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eld Check" sheetId="1" state="visible" r:id="rId1"/>
    <sheet name="Summary" sheetId="2" state="visible" r:id="rId2"/>
    <sheet name="Pending" sheetId="3" state="visible" r:id="rId3"/>
    <sheet name="Flow" sheetId="4" state="visible" r:id="rId4"/>
    <sheet name="Fundamentals" sheetId="5" state="visible" r:id="rId5"/>
    <sheet name="Override" sheetId="6" state="visible" r:id="rId6"/>
    <sheet name="HSI" sheetId="7" state="visible" r:id="rId7"/>
    <sheet name="HSTECH" sheetId="8" state="visible" r:id="rId8"/>
    <sheet name="HSCEI" sheetId="9" state="visible" r:id="rId9"/>
    <sheet name="Dvd Calendar" sheetId="10" state="visible" r:id="rId10"/>
    <sheet name="Fund History" sheetId="11" state="visible" r:id="rId11"/>
    <sheet name="Grids" sheetId="12" state="visible" r:id="rId12"/>
  </sheets>
  <definedNames>
    <definedName name="VAL_DATE">Summary!$C$11</definedName>
    <definedName name="YEAR_Y">Summary!$C$12</definedName>
    <definedName name="INC_SPECIALS">Summary!$C$13</definedName>
    <definedName name="RMB_CROSS">Summary!$C$14</definedName>
    <definedName name="HORIZON_DT">Summary!$C$15</definedName>
    <definedName name="PULL_FUND">Summary!$C$16</definedName>
    <definedName name="HIST_FROM">Summary!$C$18</definedName>
    <definedName name="HIST_TO">Summary!$D$18</definedName>
    <definedName name="OV_SWITCH">Override!$C$4</definedName>
    <definedName name="GRID_FROM">Grids!$D$5</definedName>
    <definedName name="GRID_TO">Grids!$D$6</definedName>
    <definedName name="VAL_SERIAL">Grids!$D$7</definedName>
    <definedName name="REALIZED_TO">Grids!$D$8</definedName>
    <definedName name="PROJ_FROM">Grids!$D$9</definedName>
    <definedName name="PEND_FROM">Pending!$F$4</definedName>
    <definedName name="PEND_TO">Pending!$H$4</definedName>
    <definedName name="FLD_PROJ">'Field Check'!$C$6</definedName>
    <definedName name="FLD_HIST">'Field Check'!$C$7</definedName>
    <definedName name="FLD_CCY">'Field Check'!$C$8</definedName>
    <definedName name="FLD_DPS12M">'Field Check'!$C$9</definedName>
    <definedName name="FLD_YLD12M">'Field Check'!$C$10</definedName>
    <definedName name="EPS_FIELD">'Field Check'!$C$15</definedName>
    <definedName name="YR_OVERRIDE">'Field Check'!$C$16</definedName>
    <definedName name="PAYOUT_FIELD">'Field Check'!$C$17</definedName>
    <definedName name="NDEBITDA_FIELD">'Field Check'!$C$18</definedName>
    <definedName name="EBINT_FIELD">'Field Check'!$C$19</definedName>
    <definedName name="NDE_FIELD">'Field Check'!$C$20</definedName>
    <definedName name="BUYBACK_QUERY">'Field Check'!$C$21</definedName>
    <definedName name="FCF_FIELD">'Field Check'!$C$24</definedName>
    <definedName name="BESTEPS_FIELD">'Field Check'!$C$25</definedName>
    <definedName name="BESTDPS_FIELD">'Field Check'!$C$26</definedName>
    <definedName name="FWD_OVERRIDE">'Field Check'!$C$27</definedName>
    <definedName name="TYPE1">'Field Check'!$C$30</definedName>
    <definedName name="TYPE2">'Field Check'!$C$31</definedName>
    <definedName name="TYPE3">'Field Check'!$C$32</definedName>
    <definedName name="TYPE4">'Field Check'!$C$33</definedName>
    <definedName name="SPECIAL_LBL">'Field Check'!$C$34</definedName>
    <definedName name="OVR_TICKERS">Override!$B$12:$B$71</definedName>
    <definedName name="OVR_BASE">Override!$D$12:$D$71</definedName>
    <definedName name="OVR_LOW">Override!$E$12:$E$71</definedName>
    <definedName name="OVR_HIGH">Override!$F$12:$F$71</definedName>
    <definedName name="WIN_FROM">Summary!$C$19</definedName>
    <definedName name="WIN_TO">Summary!$D$19</definedName>
    <definedName name="_xlnm._FilterDatabase" localSheetId="4" hidden="1">'Fundamentals'!$B$11:$AZ$211</definedName>
    <definedName name="_xlnm._FilterDatabase" localSheetId="6" hidden="1">'HSI'!$A$6:$Z$106</definedName>
    <definedName name="_xlnm._FilterDatabase" localSheetId="7" hidden="1">'HSTECH'!$A$6:$Z$46</definedName>
    <definedName name="_xlnm._FilterDatabase" localSheetId="8" hidden="1">'HSCEI'!$A$6:$Z$66</definedName>
  </definedNames>
  <calcPr calcId="124519" fullCalcOnLoad="1"/>
</workbook>
</file>

<file path=xl/styles.xml><?xml version="1.0" encoding="utf-8"?>
<styleSheet xmlns="http://schemas.openxmlformats.org/spreadsheetml/2006/main">
  <numFmts count="23">
    <numFmt numFmtId="164" formatCode="0.0000"/>
    <numFmt numFmtId="165" formatCode="dd-mmm-yy"/>
    <numFmt numFmtId="166" formatCode="#,##0.0"/>
    <numFmt numFmtId="167" formatCode="+#,##0.00;-#,##0.00"/>
    <numFmt numFmtId="168" formatCode="+0.0%;-0.0%"/>
    <numFmt numFmtId="169" formatCode="+#,##0.0;-#,##0.0"/>
    <numFmt numFmtId="170" formatCode=";;;"/>
    <numFmt numFmtId="171" formatCode="dd-mmm-yy;;"/>
    <numFmt numFmtId="172" formatCode="0.000"/>
    <numFmt numFmtId="173" formatCode="0.000;;"/>
    <numFmt numFmtId="174" formatCode="0.00;;"/>
    <numFmt numFmtId="175" formatCode="dd-mmm;;"/>
    <numFmt numFmtId="176" formatCode="0.0"/>
    <numFmt numFmtId="177" formatCode="0.00%;;"/>
    <numFmt numFmtId="178" formatCode="0%;;"/>
    <numFmt numFmtId="179" formatCode="0.0%;;"/>
    <numFmt numFmtId="180" formatCode="0.0;;"/>
    <numFmt numFmtId="181" formatCode="0;;"/>
    <numFmt numFmtId="182" formatCode="+0.000;-0.000;;"/>
    <numFmt numFmtId="183" formatCode="0.0%"/>
    <numFmt numFmtId="184" formatCode="#,##0.000;;"/>
    <numFmt numFmtId="185" formatCode="0.####"/>
    <numFmt numFmtId="186" formatCode="+#,##0;-#,##0"/>
  </numFmts>
  <fonts count="12">
    <font>
      <name val="Calibri"/>
      <family val="2"/>
      <color theme="1"/>
      <sz val="11"/>
      <scheme val="minor"/>
    </font>
    <font>
      <name val="Arial"/>
      <b val="1"/>
      <sz val="13"/>
    </font>
    <font>
      <name val="Arial"/>
      <i val="1"/>
      <color rgb="00808080"/>
      <sz val="9"/>
    </font>
    <font>
      <name val="Arial"/>
      <b val="1"/>
      <sz val="10"/>
    </font>
    <font>
      <name val="Arial"/>
      <b val="1"/>
      <color rgb="00006100"/>
      <sz val="10"/>
    </font>
    <font>
      <name val="Arial"/>
      <sz val="10"/>
    </font>
    <font>
      <name val="Arial"/>
      <color rgb="000000FF"/>
      <sz val="10"/>
    </font>
    <font>
      <name val="Arial"/>
      <b val="1"/>
      <color rgb="00FFFFFF"/>
      <sz val="10"/>
    </font>
    <font>
      <name val="Arial"/>
      <b val="1"/>
      <sz val="11"/>
    </font>
    <font>
      <name val="Arial"/>
      <b val="1"/>
      <color rgb="00C00000"/>
      <sz val="10"/>
    </font>
    <font>
      <name val="Arial"/>
      <color rgb="000563C1"/>
      <sz val="10"/>
      <u val="single"/>
    </font>
    <font>
      <name val="Arial"/>
      <b val="1"/>
      <color rgb="000000FF"/>
      <sz val="11"/>
    </font>
  </fonts>
  <fills count="13">
    <fill>
      <patternFill/>
    </fill>
    <fill>
      <patternFill patternType="gray125"/>
    </fill>
    <fill>
      <patternFill patternType="solid">
        <fgColor rgb="00D9D9D9"/>
      </patternFill>
    </fill>
    <fill>
      <patternFill patternType="solid">
        <fgColor rgb="00DDEBF7"/>
      </patternFill>
    </fill>
    <fill>
      <patternFill patternType="solid">
        <fgColor rgb="00FFFF00"/>
      </patternFill>
    </fill>
    <fill>
      <patternFill patternType="solid">
        <fgColor rgb="00F2F2F2"/>
      </patternFill>
    </fill>
    <fill>
      <patternFill patternType="solid">
        <fgColor rgb="001F3864"/>
      </patternFill>
    </fill>
    <fill>
      <patternFill patternType="solid">
        <fgColor rgb="00E2EFDA"/>
      </patternFill>
    </fill>
    <fill>
      <patternFill patternType="solid">
        <fgColor rgb="00FFF2CC"/>
      </patternFill>
    </fill>
    <fill>
      <patternFill patternType="solid">
        <fgColor rgb="00375623"/>
      </patternFill>
    </fill>
    <fill>
      <patternFill patternType="solid">
        <fgColor rgb="00833C00"/>
      </patternFill>
    </fill>
    <fill>
      <patternFill patternType="solid">
        <fgColor rgb="00C6EFCE"/>
      </patternFill>
    </fill>
    <fill>
      <patternFill patternType="solid">
        <fgColor rgb="00FFE699"/>
      </patternFill>
    </fill>
  </fills>
  <borders count="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right style="thin"/>
      <top style="thin"/>
      <bottom style="thin"/>
    </border>
  </borders>
  <cellStyleXfs count="1">
    <xf numFmtId="0" fontId="0" fillId="0" borderId="0"/>
  </cellStyleXfs>
  <cellXfs count="1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6" fillId="3" borderId="1" pivotButton="0" quotePrefix="0" xfId="0"/>
    <xf numFmtId="0" fontId="9"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6" fillId="11" borderId="1" pivotButton="0" quotePrefix="0" xfId="0"/>
    <xf numFmtId="0" fontId="2" fillId="2" borderId="0" pivotButton="0" quotePrefix="0" xfId="0"/>
    <xf numFmtId="0" fontId="6" fillId="12" borderId="1" pivotButton="0" quotePrefix="0" xfId="0"/>
    <xf numFmtId="164" fontId="5" fillId="5"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wrapText="1"/>
    </xf>
    <xf numFmtId="0" fontId="4" fillId="0" borderId="0" pivotButton="0" quotePrefix="0" xfId="0"/>
    <xf numFmtId="0" fontId="2" fillId="0" borderId="0" applyAlignment="1" pivotButton="0" quotePrefix="0" xfId="0">
      <alignment vertical="top" wrapText="1"/>
    </xf>
    <xf numFmtId="165" fontId="6" fillId="3" borderId="1" pivotButton="0" quotePrefix="0" xfId="0"/>
    <xf numFmtId="1" fontId="6" fillId="3" borderId="1" pivotButton="0" quotePrefix="0" xfId="0"/>
    <xf numFmtId="0" fontId="3" fillId="4" borderId="1" pivotButton="0" quotePrefix="0" xfId="0"/>
    <xf numFmtId="0" fontId="0" fillId="0" borderId="4" pivotButton="0" quotePrefix="0" xfId="0"/>
    <xf numFmtId="0" fontId="0" fillId="0" borderId="5" pivotButton="0" quotePrefix="0" xfId="0"/>
    <xf numFmtId="0" fontId="5" fillId="5" borderId="1" pivotButton="0" quotePrefix="0" xfId="0"/>
    <xf numFmtId="0" fontId="7" fillId="6" borderId="1" applyAlignment="1" pivotButton="0" quotePrefix="0" xfId="0">
      <alignment horizontal="center" vertical="center" wrapText="1"/>
    </xf>
    <xf numFmtId="166" fontId="5" fillId="5" borderId="1" pivotButton="0" quotePrefix="0" xfId="0"/>
    <xf numFmtId="4" fontId="5" fillId="5" borderId="1" pivotButton="0" quotePrefix="0" xfId="0"/>
    <xf numFmtId="0" fontId="8" fillId="0" borderId="0" pivotButton="0" quotePrefix="0" xfId="0"/>
    <xf numFmtId="4" fontId="8" fillId="4" borderId="1" pivotButton="0" quotePrefix="0" xfId="0"/>
    <xf numFmtId="10" fontId="3" fillId="5" borderId="1" pivotButton="0" quotePrefix="0" xfId="0"/>
    <xf numFmtId="4" fontId="6" fillId="3" borderId="1" pivotButton="0" quotePrefix="0" xfId="0"/>
    <xf numFmtId="4" fontId="3" fillId="5" borderId="1" pivotButton="0" quotePrefix="0" xfId="0"/>
    <xf numFmtId="167" fontId="8" fillId="4" borderId="1" pivotButton="0" quotePrefix="0" xfId="0"/>
    <xf numFmtId="168" fontId="8" fillId="4" borderId="1" pivotButton="0" quotePrefix="0" xfId="0"/>
    <xf numFmtId="3" fontId="5" fillId="5" borderId="1" pivotButton="0" quotePrefix="0" xfId="0"/>
    <xf numFmtId="10" fontId="5" fillId="5" borderId="1" pivotButton="0" quotePrefix="0" xfId="0"/>
    <xf numFmtId="169" fontId="3" fillId="4" borderId="1" pivotButton="0" quotePrefix="0" xfId="0"/>
    <xf numFmtId="3" fontId="3" fillId="4" borderId="1" pivotButton="0" quotePrefix="0" xfId="0"/>
    <xf numFmtId="0" fontId="5" fillId="5" borderId="1" applyAlignment="1" pivotButton="0" quotePrefix="0" xfId="0">
      <alignment horizontal="center"/>
    </xf>
    <xf numFmtId="165" fontId="3" fillId="4" borderId="1" pivotButton="0" quotePrefix="0" xfId="0"/>
    <xf numFmtId="170" fontId="2" fillId="0" borderId="0" pivotButton="0" quotePrefix="0" xfId="0"/>
    <xf numFmtId="3" fontId="3" fillId="5" borderId="1" applyAlignment="1" pivotButton="0" quotePrefix="0" xfId="0">
      <alignment horizontal="center"/>
    </xf>
    <xf numFmtId="1" fontId="2" fillId="0" borderId="0" pivotButton="0" quotePrefix="0" xfId="0"/>
    <xf numFmtId="171" fontId="5" fillId="5" borderId="1" pivotButton="0" quotePrefix="0" xfId="0"/>
    <xf numFmtId="172" fontId="5" fillId="5" borderId="1" pivotButton="0" quotePrefix="0" xfId="0"/>
    <xf numFmtId="173" fontId="3" fillId="5" borderId="1" pivotButton="0" quotePrefix="0" xfId="0"/>
    <xf numFmtId="0" fontId="5" fillId="0" borderId="1" pivotButton="0" quotePrefix="0" xfId="0"/>
    <xf numFmtId="0" fontId="2" fillId="0" borderId="1" pivotButton="0" quotePrefix="0" xfId="0"/>
    <xf numFmtId="1" fontId="3" fillId="4" borderId="1" applyAlignment="1" pivotButton="0" quotePrefix="0" xfId="0">
      <alignment horizontal="center"/>
    </xf>
    <xf numFmtId="165" fontId="3" fillId="5" borderId="1" pivotButton="0" quotePrefix="0" xfId="0"/>
    <xf numFmtId="4" fontId="3" fillId="4" borderId="1" pivotButton="0" quotePrefix="0" xfId="0"/>
    <xf numFmtId="174" fontId="5" fillId="5" borderId="1" pivotButton="0" quotePrefix="0" xfId="0"/>
    <xf numFmtId="175" fontId="2" fillId="0" borderId="0" pivotButton="0" quotePrefix="0" xfId="0"/>
    <xf numFmtId="173" fontId="5" fillId="0" borderId="0" pivotButton="0" quotePrefix="0" xfId="0"/>
    <xf numFmtId="174" fontId="5" fillId="0" borderId="0" pivotButton="0" quotePrefix="0" xfId="0"/>
    <xf numFmtId="9" fontId="6" fillId="3" borderId="1" pivotButton="0" quotePrefix="0" xfId="0"/>
    <xf numFmtId="176" fontId="6" fillId="3" borderId="1" pivotButton="0" quotePrefix="0" xfId="0"/>
    <xf numFmtId="0" fontId="10" fillId="0" borderId="0" pivotButton="0" quotePrefix="0" xfId="0"/>
    <xf numFmtId="0" fontId="3" fillId="7" borderId="0" pivotButton="0" quotePrefix="0" xfId="0"/>
    <xf numFmtId="0" fontId="0" fillId="7" borderId="0" pivotButton="0" quotePrefix="0" xfId="0"/>
    <xf numFmtId="0" fontId="3" fillId="8" borderId="0" pivotButton="0" quotePrefix="0" xfId="0"/>
    <xf numFmtId="0" fontId="0" fillId="8" borderId="0" pivotButton="0" quotePrefix="0" xfId="0"/>
    <xf numFmtId="0" fontId="7" fillId="9" borderId="6" applyAlignment="1" pivotButton="0" quotePrefix="0" xfId="0">
      <alignment horizontal="center" vertical="center" wrapText="1"/>
    </xf>
    <xf numFmtId="0" fontId="7" fillId="9" borderId="1" applyAlignment="1" pivotButton="0" quotePrefix="0" xfId="0">
      <alignment horizontal="center" vertical="center" wrapText="1"/>
    </xf>
    <xf numFmtId="0" fontId="7" fillId="6" borderId="6"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1" applyAlignment="1" pivotButton="0" quotePrefix="0" xfId="0">
      <alignment horizontal="center" vertical="center" wrapText="1"/>
    </xf>
    <xf numFmtId="0" fontId="2" fillId="0" borderId="0" applyAlignment="1" pivotButton="0" quotePrefix="0" xfId="0">
      <alignment horizontal="center"/>
    </xf>
    <xf numFmtId="173" fontId="5" fillId="0" borderId="6" pivotButton="0" quotePrefix="0" xfId="0"/>
    <xf numFmtId="173" fontId="5" fillId="0" borderId="1" pivotButton="0" quotePrefix="0" xfId="0"/>
    <xf numFmtId="173" fontId="5" fillId="5" borderId="1" pivotButton="0" quotePrefix="0" xfId="0"/>
    <xf numFmtId="173" fontId="5" fillId="12" borderId="1" pivotButton="0" quotePrefix="0" xfId="0"/>
    <xf numFmtId="177" fontId="5" fillId="12" borderId="6" pivotButton="0" quotePrefix="0" xfId="0"/>
    <xf numFmtId="177" fontId="5" fillId="12" borderId="1" pivotButton="0" quotePrefix="0" xfId="0"/>
    <xf numFmtId="177" fontId="5" fillId="5" borderId="1" pivotButton="0" quotePrefix="0" xfId="0"/>
    <xf numFmtId="177" fontId="3" fillId="5" borderId="1" pivotButton="0" quotePrefix="0" xfId="0"/>
    <xf numFmtId="174" fontId="5" fillId="12" borderId="6" pivotButton="0" quotePrefix="0" xfId="0"/>
    <xf numFmtId="174" fontId="5" fillId="12" borderId="1" pivotButton="0" quotePrefix="0" xfId="0"/>
    <xf numFmtId="178" fontId="5" fillId="12" borderId="6" pivotButton="0" quotePrefix="0" xfId="0"/>
    <xf numFmtId="178" fontId="5" fillId="12" borderId="1" pivotButton="0" quotePrefix="0" xfId="0"/>
    <xf numFmtId="178" fontId="3" fillId="5" borderId="1" pivotButton="0" quotePrefix="0" xfId="0"/>
    <xf numFmtId="178" fontId="5" fillId="5" borderId="1" pivotButton="0" quotePrefix="0" xfId="0"/>
    <xf numFmtId="179" fontId="5" fillId="12" borderId="6" pivotButton="0" quotePrefix="0" xfId="0"/>
    <xf numFmtId="179" fontId="5" fillId="12" borderId="1" pivotButton="0" quotePrefix="0" xfId="0"/>
    <xf numFmtId="179" fontId="3" fillId="5" borderId="1" pivotButton="0" quotePrefix="0" xfId="0"/>
    <xf numFmtId="180" fontId="5" fillId="12" borderId="1" pivotButton="0" quotePrefix="0" xfId="0"/>
    <xf numFmtId="0" fontId="2" fillId="0" borderId="6" pivotButton="0" quotePrefix="0" xfId="0"/>
    <xf numFmtId="0" fontId="2" fillId="0" borderId="1" applyAlignment="1" pivotButton="0" quotePrefix="0" xfId="0">
      <alignment horizontal="center"/>
    </xf>
    <xf numFmtId="181" fontId="2" fillId="0" borderId="1" pivotButton="0" quotePrefix="0" xfId="0"/>
    <xf numFmtId="179" fontId="5" fillId="5" borderId="1" pivotButton="0" quotePrefix="0" xfId="0"/>
    <xf numFmtId="181" fontId="3" fillId="5" borderId="1" pivotButton="0" quotePrefix="0" xfId="0"/>
    <xf numFmtId="174" fontId="3" fillId="5" borderId="1" pivotButton="0" quotePrefix="0" xfId="0"/>
    <xf numFmtId="0" fontId="11" fillId="3" borderId="1" pivotButton="0" quotePrefix="0" xfId="0"/>
    <xf numFmtId="167" fontId="3" fillId="4" borderId="1" pivotButton="0" quotePrefix="0" xfId="0"/>
    <xf numFmtId="172" fontId="6" fillId="3" borderId="1" pivotButton="0" quotePrefix="0" xfId="0"/>
    <xf numFmtId="0" fontId="9" fillId="0" borderId="1" pivotButton="0" quotePrefix="0" xfId="0"/>
    <xf numFmtId="182" fontId="5" fillId="5" borderId="1" pivotButton="0" quotePrefix="0" xfId="0"/>
    <xf numFmtId="183" fontId="3" fillId="5" borderId="1" pivotButton="0" quotePrefix="0" xfId="0"/>
    <xf numFmtId="3" fontId="6" fillId="3" borderId="1" pivotButton="0" quotePrefix="0" xfId="0"/>
    <xf numFmtId="184" fontId="5" fillId="5" borderId="1" pivotButton="0" quotePrefix="0" xfId="0"/>
    <xf numFmtId="181" fontId="2" fillId="0" borderId="0" pivotButton="0" quotePrefix="0" xfId="0"/>
    <xf numFmtId="171" fontId="2" fillId="0" borderId="0" pivotButton="0" quotePrefix="0" xfId="0"/>
    <xf numFmtId="14" fontId="5" fillId="0" borderId="0" pivotButton="0" quotePrefix="0" xfId="0"/>
    <xf numFmtId="14" fontId="0" fillId="0" borderId="0" pivotButton="0" quotePrefix="0" xfId="0"/>
    <xf numFmtId="185" fontId="0" fillId="0" borderId="0" pivotButton="0" quotePrefix="0" xfId="0"/>
    <xf numFmtId="14" fontId="2" fillId="0" borderId="0" pivotButton="0" quotePrefix="0" xfId="0"/>
    <xf numFmtId="2" fontId="0" fillId="0" borderId="0" pivotButton="0" quotePrefix="0" xfId="0"/>
    <xf numFmtId="4" fontId="0" fillId="0" borderId="0" pivotButton="0" quotePrefix="0" xfId="0"/>
    <xf numFmtId="165" fontId="5" fillId="5" borderId="1" pivotButton="0" quotePrefix="0" xfId="0"/>
    <xf numFmtId="1" fontId="5" fillId="5" borderId="1" pivotButton="0" quotePrefix="0" xfId="0"/>
    <xf numFmtId="1" fontId="2" fillId="0" borderId="1" pivotButton="0" quotePrefix="0" xfId="0"/>
    <xf numFmtId="173" fontId="2" fillId="0" borderId="0" pivotButton="0" quotePrefix="0" xfId="0"/>
    <xf numFmtId="164" fontId="5" fillId="5" borderId="1" pivotButton="0" quotePrefix="0" xfId="0"/>
    <xf numFmtId="165" fontId="6" fillId="3" borderId="1" pivotButton="0" quotePrefix="0" xfId="0"/>
    <xf numFmtId="165" fontId="5" fillId="5" borderId="1" pivotButton="0" quotePrefix="0" xfId="0"/>
    <xf numFmtId="166" fontId="5" fillId="5" borderId="1" pivotButton="0" quotePrefix="0" xfId="0"/>
    <xf numFmtId="167" fontId="8" fillId="4" borderId="1" pivotButton="0" quotePrefix="0" xfId="0"/>
    <xf numFmtId="168" fontId="8" fillId="4" borderId="1" pivotButton="0" quotePrefix="0" xfId="0"/>
    <xf numFmtId="169" fontId="3" fillId="4" borderId="1" pivotButton="0" quotePrefix="0" xfId="0"/>
    <xf numFmtId="167" fontId="5" fillId="5" borderId="1" pivotButton="0" quotePrefix="0" xfId="0"/>
    <xf numFmtId="186" fontId="5" fillId="5" borderId="1" pivotButton="0" quotePrefix="0" xfId="0"/>
    <xf numFmtId="165" fontId="3" fillId="4" borderId="1" pivotButton="0" quotePrefix="0" xfId="0"/>
    <xf numFmtId="170" fontId="2" fillId="0" borderId="0" pivotButton="0" quotePrefix="0" xfId="0"/>
    <xf numFmtId="171" fontId="5" fillId="5" borderId="1" pivotButton="0" quotePrefix="0" xfId="0"/>
    <xf numFmtId="172" fontId="5" fillId="5" borderId="1" pivotButton="0" quotePrefix="0" xfId="0"/>
    <xf numFmtId="173" fontId="3" fillId="5" borderId="1" pivotButton="0" quotePrefix="0" xfId="0"/>
    <xf numFmtId="165" fontId="3" fillId="5" borderId="1" pivotButton="0" quotePrefix="0" xfId="0"/>
    <xf numFmtId="174" fontId="5" fillId="5" borderId="1" pivotButton="0" quotePrefix="0" xfId="0"/>
    <xf numFmtId="175" fontId="2" fillId="0" borderId="0" pivotButton="0" quotePrefix="0" xfId="0"/>
    <xf numFmtId="173" fontId="5" fillId="0" borderId="0" pivotButton="0" quotePrefix="0" xfId="0"/>
    <xf numFmtId="174" fontId="5" fillId="0" borderId="0" pivotButton="0" quotePrefix="0" xfId="0"/>
    <xf numFmtId="176" fontId="6" fillId="3" borderId="1" pivotButton="0" quotePrefix="0" xfId="0"/>
    <xf numFmtId="173" fontId="5" fillId="0" borderId="6" pivotButton="0" quotePrefix="0" xfId="0"/>
    <xf numFmtId="173" fontId="5" fillId="0" borderId="1" pivotButton="0" quotePrefix="0" xfId="0"/>
    <xf numFmtId="173" fontId="5" fillId="5" borderId="1" pivotButton="0" quotePrefix="0" xfId="0"/>
    <xf numFmtId="173" fontId="5" fillId="12" borderId="1" pivotButton="0" quotePrefix="0" xfId="0"/>
    <xf numFmtId="177" fontId="5" fillId="12" borderId="6" pivotButton="0" quotePrefix="0" xfId="0"/>
    <xf numFmtId="177" fontId="5" fillId="12" borderId="1" pivotButton="0" quotePrefix="0" xfId="0"/>
    <xf numFmtId="177" fontId="5" fillId="5" borderId="1" pivotButton="0" quotePrefix="0" xfId="0"/>
    <xf numFmtId="177" fontId="3" fillId="5" borderId="1" pivotButton="0" quotePrefix="0" xfId="0"/>
    <xf numFmtId="174" fontId="5" fillId="12" borderId="6" pivotButton="0" quotePrefix="0" xfId="0"/>
    <xf numFmtId="174" fontId="5" fillId="12" borderId="1" pivotButton="0" quotePrefix="0" xfId="0"/>
    <xf numFmtId="178" fontId="5" fillId="12" borderId="6" pivotButton="0" quotePrefix="0" xfId="0"/>
    <xf numFmtId="178" fontId="5" fillId="12" borderId="1" pivotButton="0" quotePrefix="0" xfId="0"/>
    <xf numFmtId="178" fontId="3" fillId="5" borderId="1" pivotButton="0" quotePrefix="0" xfId="0"/>
    <xf numFmtId="178" fontId="5" fillId="5" borderId="1" pivotButton="0" quotePrefix="0" xfId="0"/>
    <xf numFmtId="179" fontId="5" fillId="12" borderId="6" pivotButton="0" quotePrefix="0" xfId="0"/>
    <xf numFmtId="179" fontId="5" fillId="12" borderId="1" pivotButton="0" quotePrefix="0" xfId="0"/>
    <xf numFmtId="179" fontId="3" fillId="5" borderId="1" pivotButton="0" quotePrefix="0" xfId="0"/>
    <xf numFmtId="180" fontId="5" fillId="12" borderId="1" pivotButton="0" quotePrefix="0" xfId="0"/>
    <xf numFmtId="181" fontId="2" fillId="0" borderId="1" pivotButton="0" quotePrefix="0" xfId="0"/>
    <xf numFmtId="179" fontId="5" fillId="5" borderId="1" pivotButton="0" quotePrefix="0" xfId="0"/>
    <xf numFmtId="181" fontId="3" fillId="5" borderId="1" pivotButton="0" quotePrefix="0" xfId="0"/>
    <xf numFmtId="174" fontId="3" fillId="5" borderId="1" pivotButton="0" quotePrefix="0" xfId="0"/>
    <xf numFmtId="167" fontId="3" fillId="4" borderId="1" pivotButton="0" quotePrefix="0" xfId="0"/>
    <xf numFmtId="172" fontId="6" fillId="3" borderId="1" pivotButton="0" quotePrefix="0" xfId="0"/>
    <xf numFmtId="182" fontId="5" fillId="5" borderId="1" pivotButton="0" quotePrefix="0" xfId="0"/>
    <xf numFmtId="183" fontId="3" fillId="5" borderId="1" pivotButton="0" quotePrefix="0" xfId="0"/>
    <xf numFmtId="184" fontId="5" fillId="5" borderId="1" pivotButton="0" quotePrefix="0" xfId="0"/>
    <xf numFmtId="181" fontId="2" fillId="0" borderId="0" pivotButton="0" quotePrefix="0" xfId="0"/>
    <xf numFmtId="171" fontId="2" fillId="0" borderId="0" pivotButton="0" quotePrefix="0" xfId="0"/>
    <xf numFmtId="185" fontId="0" fillId="0" borderId="0" pivotButton="0" quotePrefix="0" xfId="0"/>
    <xf numFmtId="173" fontId="2" fillId="0" borderId="0" pivotButton="0" quotePrefix="0" xfId="0"/>
  </cellXfs>
  <cellStyles count="1">
    <cellStyle name="Normal" xfId="0" builtinId="0" hidden="0"/>
  </cellStyles>
  <dxfs count="2">
    <dxf>
      <fill>
        <patternFill patternType="solid">
          <fgColor rgb="00FFC000"/>
        </patternFill>
      </fill>
    </dxf>
    <dxf>
      <border>
        <top style="mediu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Cumulative dividend points by ex-date (month-end)</a:t>
            </a:r>
          </a:p>
        </rich>
      </tx>
    </title>
    <plotArea>
      <lineChart>
        <grouping val="standard"/>
        <ser>
          <idx val="0"/>
          <order val="0"/>
          <tx>
            <strRef>
              <f>'Flow'!R8</f>
            </strRef>
          </tx>
          <spPr>
            <a:ln>
              <a:prstDash val="solid"/>
            </a:ln>
          </spPr>
          <marker>
            <symbol val="circle"/>
            <size val="6"/>
            <spPr>
              <a:ln>
                <a:prstDash val="solid"/>
              </a:ln>
            </spPr>
          </marker>
          <cat>
            <numRef>
              <f>'Flow'!$J$9:$J$20</f>
            </numRef>
          </cat>
          <val>
            <numRef>
              <f>'Flow'!$R$9:$R$20</f>
            </numRef>
          </val>
          <smooth val="0"/>
        </ser>
        <ser>
          <idx val="1"/>
          <order val="1"/>
          <tx>
            <strRef>
              <f>'Flow'!S8</f>
            </strRef>
          </tx>
          <spPr>
            <a:ln>
              <a:prstDash val="solid"/>
            </a:ln>
          </spPr>
          <marker>
            <symbol val="circle"/>
            <size val="6"/>
            <spPr>
              <a:ln>
                <a:prstDash val="solid"/>
              </a:ln>
            </spPr>
          </marker>
          <cat>
            <numRef>
              <f>'Flow'!$J$9:$J$20</f>
            </numRef>
          </cat>
          <val>
            <numRef>
              <f>'Flow'!$S$9:$S$20</f>
            </numRef>
          </val>
          <smooth val="0"/>
        </ser>
        <ser>
          <idx val="2"/>
          <order val="2"/>
          <tx>
            <strRef>
              <f>'Flow'!T8</f>
            </strRef>
          </tx>
          <spPr>
            <a:ln>
              <a:prstDash val="solid"/>
            </a:ln>
          </spPr>
          <marker>
            <symbol val="circle"/>
            <size val="6"/>
            <spPr>
              <a:ln>
                <a:prstDash val="solid"/>
              </a:ln>
            </spPr>
          </marker>
          <cat>
            <numRef>
              <f>'Flow'!$J$9:$J$20</f>
            </numRef>
          </cat>
          <val>
            <numRef>
              <f>'Flow'!$T$9:$T$20</f>
            </numRef>
          </val>
          <smooth val="0"/>
        </ser>
        <axId val="10"/>
        <axId val="100"/>
      </line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index points</a:t>
                </a:r>
              </a:p>
            </rich>
          </tx>
        </title>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HSI - dividend points by month</a:t>
            </a:r>
          </a:p>
        </rich>
      </tx>
    </title>
    <plotArea>
      <barChart>
        <barDir val="col"/>
        <grouping val="stacked"/>
        <ser>
          <idx val="0"/>
          <order val="0"/>
          <tx>
            <strRef>
              <f>'Flow'!K8</f>
            </strRef>
          </tx>
          <spPr>
            <a:ln>
              <a:prstDash val="solid"/>
            </a:ln>
          </spPr>
          <cat>
            <numRef>
              <f>'Flow'!$J$9:$J$20</f>
            </numRef>
          </cat>
          <val>
            <numRef>
              <f>'Flow'!$K$9:$K$20</f>
            </numRef>
          </val>
        </ser>
        <ser>
          <idx val="1"/>
          <order val="1"/>
          <tx>
            <strRef>
              <f>'Flow'!L8</f>
            </strRef>
          </tx>
          <spPr>
            <a:ln>
              <a:prstDash val="solid"/>
            </a:ln>
          </spPr>
          <cat>
            <numRef>
              <f>'Flow'!$J$9:$J$20</f>
            </numRef>
          </cat>
          <val>
            <numRef>
              <f>'Flow'!$L$9:$L$20</f>
            </numRef>
          </val>
        </ser>
        <gapWidth val="120"/>
        <overlap val="100"/>
        <axId val="10"/>
        <axId val="100"/>
      </bar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index points</a:t>
                </a:r>
              </a:p>
            </rich>
          </tx>
        </title>
        <numFmt formatCode="#,##0" sourceLinked="0"/>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HSTECH - dividend points by month</a:t>
            </a:r>
          </a:p>
        </rich>
      </tx>
    </title>
    <plotArea>
      <barChart>
        <barDir val="col"/>
        <grouping val="stacked"/>
        <ser>
          <idx val="0"/>
          <order val="0"/>
          <tx>
            <strRef>
              <f>'Flow'!M8</f>
            </strRef>
          </tx>
          <spPr>
            <a:ln>
              <a:prstDash val="solid"/>
            </a:ln>
          </spPr>
          <cat>
            <numRef>
              <f>'Flow'!$J$9:$J$20</f>
            </numRef>
          </cat>
          <val>
            <numRef>
              <f>'Flow'!$M$9:$M$20</f>
            </numRef>
          </val>
        </ser>
        <ser>
          <idx val="1"/>
          <order val="1"/>
          <tx>
            <strRef>
              <f>'Flow'!N8</f>
            </strRef>
          </tx>
          <spPr>
            <a:ln>
              <a:prstDash val="solid"/>
            </a:ln>
          </spPr>
          <cat>
            <numRef>
              <f>'Flow'!$J$9:$J$20</f>
            </numRef>
          </cat>
          <val>
            <numRef>
              <f>'Flow'!$N$9:$N$20</f>
            </numRef>
          </val>
        </ser>
        <gapWidth val="120"/>
        <overlap val="100"/>
        <axId val="10"/>
        <axId val="100"/>
      </bar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index points</a:t>
                </a:r>
              </a:p>
            </rich>
          </tx>
        </title>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HSCEI - dividend points by month</a:t>
            </a:r>
          </a:p>
        </rich>
      </tx>
    </title>
    <plotArea>
      <barChart>
        <barDir val="col"/>
        <grouping val="stacked"/>
        <ser>
          <idx val="0"/>
          <order val="0"/>
          <tx>
            <strRef>
              <f>'Flow'!O8</f>
            </strRef>
          </tx>
          <spPr>
            <a:ln>
              <a:prstDash val="solid"/>
            </a:ln>
          </spPr>
          <cat>
            <numRef>
              <f>'Flow'!$J$9:$J$20</f>
            </numRef>
          </cat>
          <val>
            <numRef>
              <f>'Flow'!$O$9:$O$20</f>
            </numRef>
          </val>
        </ser>
        <ser>
          <idx val="1"/>
          <order val="1"/>
          <tx>
            <strRef>
              <f>'Flow'!P8</f>
            </strRef>
          </tx>
          <spPr>
            <a:ln>
              <a:prstDash val="solid"/>
            </a:ln>
          </spPr>
          <cat>
            <numRef>
              <f>'Flow'!$J$9:$J$20</f>
            </numRef>
          </cat>
          <val>
            <numRef>
              <f>'Flow'!$P$9:$P$20</f>
            </numRef>
          </val>
        </ser>
        <gapWidth val="120"/>
        <overlap val="100"/>
        <axId val="10"/>
        <axId val="100"/>
      </bar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index points</a:t>
                </a:r>
              </a:p>
            </rich>
          </tx>
        </title>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43</row>
      <rowOff>0</rowOff>
    </from>
    <ext cx="4500000" cy="2880000"/>
    <graphicFrame>
      <nvGraphicFramePr>
        <cNvPr id="2" name="Chart 2"/>
        <cNvGraphicFramePr/>
      </nvGraphicFramePr>
      <xfrm/>
      <a:graphic>
        <a:graphicData uri="http://schemas.openxmlformats.org/drawingml/2006/chart">
          <c:chart r:id="rId2"/>
        </a:graphicData>
      </a:graphic>
    </graphicFrame>
    <clientData/>
  </oneCellAnchor>
  <oneCellAnchor>
    <from>
      <col>16</col>
      <colOff>0</colOff>
      <row>43</row>
      <rowOff>0</rowOff>
    </from>
    <ext cx="4500000" cy="2880000"/>
    <graphicFrame>
      <nvGraphicFramePr>
        <cNvPr id="3" name="Chart 3"/>
        <cNvGraphicFramePr/>
      </nvGraphicFramePr>
      <xfrm/>
      <a:graphic>
        <a:graphicData uri="http://schemas.openxmlformats.org/drawingml/2006/chart">
          <c:chart r:id="rId3"/>
        </a:graphicData>
      </a:graphic>
    </graphicFrame>
    <clientData/>
  </oneCellAnchor>
  <oneCellAnchor>
    <from>
      <col>23</col>
      <colOff>0</colOff>
      <row>43</row>
      <rowOff>0</rowOff>
    </from>
    <ext cx="450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Fundamentals!F11" TargetMode="External" Id="rId1" /><Relationship Type="http://schemas.openxmlformats.org/officeDocument/2006/relationships/hyperlink" Target="#Fundamentals!P11" TargetMode="External" Id="rId2" /><Relationship Type="http://schemas.openxmlformats.org/officeDocument/2006/relationships/hyperlink" Target="#Fundamentals!X11" TargetMode="External" Id="rId3" /><Relationship Type="http://schemas.openxmlformats.org/officeDocument/2006/relationships/hyperlink" Target="#Fundamentals!AE11" TargetMode="External" Id="rId4" /><Relationship Type="http://schemas.openxmlformats.org/officeDocument/2006/relationships/hyperlink" Target="#Fundamentals!AN11" TargetMode="External" Id="rId5" /><Relationship Type="http://schemas.openxmlformats.org/officeDocument/2006/relationships/hyperlink" Target="#Fundamentals!AS11" TargetMode="External" Id="rId6" /><Relationship Type="http://schemas.openxmlformats.org/officeDocument/2006/relationships/hyperlink" Target="#Fundamentals!B214" TargetMode="External" Id="rId7" /></Relationships>
</file>

<file path=xl/worksheets/sheet1.xml><?xml version="1.0" encoding="utf-8"?>
<worksheet xmlns="http://schemas.openxmlformats.org/spreadsheetml/2006/main">
  <sheetPr>
    <tabColor rgb="00FFD966"/>
    <outlinePr summaryBelow="1" summaryRight="1"/>
    <pageSetUpPr/>
  </sheetPr>
  <dimension ref="B1:F59"/>
  <sheetViews>
    <sheetView workbookViewId="0">
      <selection activeCell="A1" sqref="A1"/>
    </sheetView>
  </sheetViews>
  <sheetFormatPr baseColWidth="8" defaultRowHeight="15"/>
  <cols>
    <col width="3" customWidth="1" min="1" max="1"/>
    <col width="32" customWidth="1" min="2" max="2"/>
    <col width="30" customWidth="1" min="3" max="3"/>
    <col width="15" customWidth="1" min="4" max="4"/>
    <col width="14" customWidth="1" min="5" max="5"/>
    <col width="76" customWidth="1" min="6" max="6"/>
  </cols>
  <sheetData>
    <row r="1">
      <c r="B1" s="1" t="inlineStr">
        <is>
          <t>FIELD MNEMONIC TESTER &amp; CONFIG</t>
        </is>
      </c>
    </row>
    <row r="2">
      <c r="B2" s="2" t="inlineStr">
        <is>
          <t>Every mnemonic, query and type label lives on this tab - fix one here and the whole book follows. Green = verified on YOUR terminal. Amber = candidate.</t>
        </is>
      </c>
    </row>
    <row r="3">
      <c r="B3" s="3" t="inlineStr">
        <is>
          <t>Test ticker</t>
        </is>
      </c>
      <c r="C3" s="4" t="inlineStr">
        <is>
          <t>700 HK Equity</t>
        </is>
      </c>
    </row>
    <row r="4">
      <c r="B4" s="5" t="inlineStr">
        <is>
          <t>WHEN SOMETHING BREAKS: 1) the HEALTH strip on Summary  2) the status column E below  3) the two live samples at the bottom - a changed spill shape shows there instantly.</t>
        </is>
      </c>
    </row>
    <row r="5">
      <c r="B5" s="6" t="inlineStr">
        <is>
          <t>CONFIRMED - dividends &amp; members</t>
        </is>
      </c>
      <c r="C5" s="7" t="n"/>
      <c r="D5" s="7" t="n"/>
      <c r="E5" s="7" t="n"/>
      <c r="F5" s="7" t="n"/>
    </row>
    <row r="6">
      <c r="B6" s="8" t="inlineStr">
        <is>
          <t>Projected dividends (BDS)</t>
        </is>
      </c>
      <c r="C6" s="9" t="inlineStr">
        <is>
          <t>BDVD_ALL_PROJECTIONS</t>
        </is>
      </c>
      <c r="F6" s="2" t="inlineStr">
        <is>
          <t>Columns: Projected Declared / Ex-Date / Amount (the calendar pulls just these three). The declared date is filled even for far forecasts - ANNOUNCED means it has already passed.</t>
        </is>
      </c>
    </row>
    <row r="7">
      <c r="B7" s="8" t="inlineStr">
        <is>
          <t>Dividend history (BDS)</t>
        </is>
      </c>
      <c r="C7" s="9" t="inlineStr">
        <is>
          <t>DVD_HIST_ALL</t>
        </is>
      </c>
      <c r="F7" s="2" t="inlineStr">
        <is>
          <t>Columns: Declared / Ex / Record / Payable / AMOUNT (5th) / Frequency / Type.</t>
        </is>
      </c>
    </row>
    <row r="8">
      <c r="B8" s="8" t="inlineStr">
        <is>
          <t>Dividend currency (BDP)</t>
        </is>
      </c>
      <c r="C8" s="9" t="inlineStr">
        <is>
          <t>EQY_DVD_CRNCY</t>
        </is>
      </c>
      <c r="F8" s="2" t="inlineStr">
        <is>
          <t>Feeds the FX-to-HKD column.</t>
        </is>
      </c>
    </row>
    <row r="9">
      <c r="B9" s="8" t="inlineStr">
        <is>
          <t>DPS 12M (BDP)</t>
        </is>
      </c>
      <c r="C9" s="9" t="inlineStr">
        <is>
          <t>EQY_DVD_SH_12M</t>
        </is>
      </c>
      <c r="F9" s="2" t="inlineStr">
        <is>
          <t>Reference + the divisor check on Summary.</t>
        </is>
      </c>
    </row>
    <row r="10">
      <c r="B10" s="8" t="inlineStr">
        <is>
          <t>Yield 12M (BDP)</t>
        </is>
      </c>
      <c r="C10" s="9" t="inlineStr">
        <is>
          <t>EQY_DVD_YLD_12M</t>
        </is>
      </c>
      <c r="F10" s="2" t="inlineStr">
        <is>
          <t>Reference; also read at index level on Summary.</t>
        </is>
      </c>
    </row>
    <row r="11">
      <c r="B11" s="8" t="inlineStr">
        <is>
          <t>GICS sector (BDP)</t>
        </is>
      </c>
      <c r="C11" s="9" t="inlineStr">
        <is>
          <t>GICS_SECTOR_NAME</t>
        </is>
      </c>
      <c r="F11" s="2" t="inlineStr">
        <is>
          <t>Drives every sector rollup and the Override view.</t>
        </is>
      </c>
    </row>
    <row r="12">
      <c r="B12" s="8" t="inlineStr">
        <is>
          <t>Name (BDP)</t>
        </is>
      </c>
      <c r="C12" s="9" t="inlineStr">
        <is>
          <t>NAME</t>
        </is>
      </c>
      <c r="F12" s="2" t="inlineStr"/>
    </row>
    <row r="14">
      <c r="B14" s="6" t="inlineStr">
        <is>
          <t>CONFIRMED - fundamentals (verified on your terminal run)</t>
        </is>
      </c>
      <c r="C14" s="7" t="n"/>
      <c r="D14" s="7" t="n"/>
      <c r="E14" s="7" t="n"/>
      <c r="F14" s="7" t="n"/>
    </row>
    <row r="15">
      <c r="B15" s="8" t="inlineStr">
        <is>
          <t>EPS by fiscal year (BDP)</t>
        </is>
      </c>
      <c r="C15" s="9" t="inlineStr">
        <is>
          <t>IS_EPS</t>
        </is>
      </c>
      <c r="F15" s="2" t="inlineStr">
        <is>
          <t>With the year override below. Tested OK.</t>
        </is>
      </c>
    </row>
    <row r="16">
      <c r="B16" s="8" t="inlineStr">
        <is>
          <t xml:space="preserve">  fiscal-year override name</t>
        </is>
      </c>
      <c r="C16" s="9" t="inlineStr">
        <is>
          <t>EQY_FUND_YEAR</t>
        </is>
      </c>
      <c r="F16" s="2" t="inlineStr"/>
    </row>
    <row r="17">
      <c r="B17" s="8" t="inlineStr">
        <is>
          <t>Payout by fiscal year (BDP)</t>
        </is>
      </c>
      <c r="C17" s="9" t="inlineStr">
        <is>
          <t>DVD_PAYOUT_RATIO</t>
        </is>
      </c>
      <c r="F17" s="2" t="inlineStr">
        <is>
          <t>Fiscal basis - DPS and EPS on the same clock. Tested OK.</t>
        </is>
      </c>
    </row>
    <row r="18">
      <c r="B18" s="8" t="inlineStr">
        <is>
          <t>Net debt / EBITDA (BDP)</t>
        </is>
      </c>
      <c r="C18" s="9" t="inlineStr">
        <is>
          <t>NET_DEBT_TO_EBITDA</t>
        </is>
      </c>
      <c r="F18" s="2" t="inlineStr">
        <is>
          <t>Tested OK.</t>
        </is>
      </c>
    </row>
    <row r="19">
      <c r="B19" s="8" t="inlineStr">
        <is>
          <t>EBITDA / interest (BDP)</t>
        </is>
      </c>
      <c r="C19" s="9" t="inlineStr">
        <is>
          <t>EBITDA_TO_INTEREST_EXPN</t>
        </is>
      </c>
      <c r="F19" s="2" t="inlineStr">
        <is>
          <t>Tested OK.</t>
        </is>
      </c>
    </row>
    <row r="20">
      <c r="B20" s="8" t="inlineStr">
        <is>
          <t>Net debt / equity (BDH, 5Y)</t>
        </is>
      </c>
      <c r="C20" s="9" t="inlineStr">
        <is>
          <t>NET_DEBT_TO_SHRHLDR_EQTY</t>
        </is>
      </c>
      <c r="F20" s="2" t="inlineStr">
        <is>
          <t>Your working BDH pull (note _EQTY): five rows of date + value per stock on Fund History.</t>
        </is>
      </c>
    </row>
    <row r="21">
      <c r="B21" s="8" t="inlineStr">
        <is>
          <t>Buyback yield by year (BQL)</t>
        </is>
      </c>
      <c r="C21" s="9" t="inlineStr">
        <is>
          <t>dropna((bs_tot_val_of_shares_repurchased(fpt=ltm)/cur_mkt_cap())*100, true)</t>
        </is>
      </c>
      <c r="F21" s="2" t="inlineStr">
        <is>
          <t>Your working BQL query: LTM buybacks / market cap, yearly, per stock on Fund History.</t>
        </is>
      </c>
    </row>
    <row r="23">
      <c r="B23" s="6" t="inlineStr">
        <is>
          <t>CANDIDATES - check column E after a refresh</t>
        </is>
      </c>
      <c r="C23" s="7" t="n"/>
      <c r="D23" s="10" t="inlineStr">
        <is>
          <t>live result</t>
        </is>
      </c>
      <c r="E23" s="10" t="inlineStr">
        <is>
          <t>status</t>
        </is>
      </c>
      <c r="F23" s="7" t="n"/>
    </row>
    <row r="24">
      <c r="B24" s="8" t="inlineStr">
        <is>
          <t>FCF yield (BDP)</t>
        </is>
      </c>
      <c r="C24" s="11" t="inlineStr">
        <is>
          <t>FREE_CASH_FLOW_YIELD</t>
        </is>
      </c>
      <c r="D24" s="111">
        <f>BDP($C$3,$C$24)</f>
        <v/>
      </c>
      <c r="E24" s="13">
        <f>IF(ISNUMBER($D$24),"OK","check field")</f>
        <v/>
      </c>
      <c r="F24" s="2" t="inlineStr">
        <is>
          <t>Came back N/A on the test name - the field exists but may need a different basis. Alternates: CF_FREE_CASH_FLOW_YIELD, FCF_YIELD.</t>
        </is>
      </c>
    </row>
    <row r="25">
      <c r="B25" s="8" t="inlineStr">
        <is>
          <t>Forward EPS (BDP)</t>
        </is>
      </c>
      <c r="C25" s="11" t="inlineStr">
        <is>
          <t>BEST_EPS</t>
        </is>
      </c>
      <c r="D25" s="111">
        <f>BDP($C$3,$C$25,$C$27,TEXT(MOD(Summary!$C$12,100),"00")&amp;"Y")</f>
        <v/>
      </c>
      <c r="E25" s="13">
        <f>IF(ISNUMBER($D$25),"OK","check field")</f>
        <v/>
      </c>
      <c r="F25" s="2" t="inlineStr">
        <is>
          <t>Consensus EPS for year Y via the period override below.</t>
        </is>
      </c>
    </row>
    <row r="26">
      <c r="B26" s="8" t="inlineStr">
        <is>
          <t>Forward DPS (BDP)</t>
        </is>
      </c>
      <c r="C26" s="11" t="inlineStr">
        <is>
          <t>BEST_DPS</t>
        </is>
      </c>
      <c r="D26" s="111">
        <f>BDP($C$3,$C$26,$C$27,TEXT(MOD(Summary!$C$12,100),"00")&amp;"Y")</f>
        <v/>
      </c>
      <c r="E26" s="13">
        <f>IF(ISNUMBER($D$26),"OK","check field")</f>
        <v/>
      </c>
      <c r="F26" s="2" t="inlineStr">
        <is>
          <t>Consensus DPS for year Y - sits beside the model's own number on Fundamentals.</t>
        </is>
      </c>
    </row>
    <row r="27">
      <c r="B27" s="8" t="inlineStr">
        <is>
          <t xml:space="preserve">  forward period override name</t>
        </is>
      </c>
      <c r="C27" s="11" t="inlineStr">
        <is>
          <t>BEST_FPERIOD_OVERRIDE</t>
        </is>
      </c>
      <c r="F27" s="2" t="inlineStr">
        <is>
          <t>e.g. 26Y = fiscal 2026. Alternate: BEST_FPERIOD_OVR.</t>
        </is>
      </c>
    </row>
    <row r="29">
      <c r="B29" s="6" t="inlineStr">
        <is>
          <t>DIVIDEND TYPES THAT COUNT AS CASH  (anything not listed is ignored)</t>
        </is>
      </c>
      <c r="C29" s="7" t="n"/>
      <c r="D29" s="7" t="n"/>
      <c r="E29" s="7" t="n"/>
      <c r="F29" s="10" t="inlineStr">
        <is>
          <t>Seen in your data and EXCLUDED by omission: Spinoff, Bonus, Stock Split, Rights Issue, Entitlement, Omitted, Discontinued - none are cash dividends.</t>
        </is>
      </c>
    </row>
    <row r="30">
      <c r="B30" s="8" t="inlineStr">
        <is>
          <t>Cash type 1</t>
        </is>
      </c>
      <c r="C30" s="4" t="inlineStr">
        <is>
          <t>Final</t>
        </is>
      </c>
      <c r="F30" s="2" t="inlineStr"/>
    </row>
    <row r="31">
      <c r="B31" s="8" t="inlineStr">
        <is>
          <t>Cash type 2</t>
        </is>
      </c>
      <c r="C31" s="4" t="inlineStr">
        <is>
          <t>Interim</t>
        </is>
      </c>
      <c r="F31" s="2" t="inlineStr"/>
    </row>
    <row r="32">
      <c r="B32" s="8" t="inlineStr">
        <is>
          <t>Cash type 3</t>
        </is>
      </c>
      <c r="C32" s="4" t="inlineStr">
        <is>
          <t>Regular Cash</t>
        </is>
      </c>
      <c r="F32" s="2" t="inlineStr"/>
    </row>
    <row r="33">
      <c r="B33" s="8" t="inlineStr">
        <is>
          <t>Cash type 4</t>
        </is>
      </c>
      <c r="C33" s="4" t="inlineStr">
        <is>
          <t>Return of Capital</t>
        </is>
      </c>
      <c r="F33" s="2" t="inlineStr">
        <is>
          <t>Cash to holders - blank this cell to exclude it.</t>
        </is>
      </c>
    </row>
    <row r="34">
      <c r="B34" s="8" t="inlineStr">
        <is>
          <t>Special label</t>
        </is>
      </c>
      <c r="C34" s="4" t="inlineStr">
        <is>
          <t>Special Cash</t>
        </is>
      </c>
      <c r="F34" s="2" t="inlineStr">
        <is>
          <t>Counted only when the specials switch on Summary is Y.</t>
        </is>
      </c>
    </row>
    <row r="36">
      <c r="B36" s="6" t="inlineStr">
        <is>
          <t>LIVE SAMPLE 1 - projections, FULL width (the calendar itself pulls only columns 1-3)</t>
        </is>
      </c>
      <c r="C36" s="7" t="n"/>
      <c r="D36" s="7" t="n"/>
      <c r="E36" s="7" t="n"/>
      <c r="F36" s="7" t="n"/>
    </row>
    <row r="37">
      <c r="C37" s="8">
        <f>BDS($C$3,$C$6,"headers=y","startcol=1","endcol=7","dir=h")</f>
        <v/>
      </c>
    </row>
    <row r="45">
      <c r="B45" s="6" t="inlineStr">
        <is>
          <t>LIVE SAMPLE 2 - dividend history (7 rows: the amount is the 5th)</t>
        </is>
      </c>
      <c r="C45" s="7" t="n"/>
      <c r="D45" s="7" t="n"/>
      <c r="E45" s="7" t="n"/>
      <c r="F45" s="7" t="n"/>
    </row>
    <row r="46">
      <c r="C46" s="8">
        <f>BDS($C$3,$C$7,"headers=y","startcol=1","endcol=7","dir=h","DVD_START_DT",Summary!$C$18,"DVD_END_DT",Summary!$D$18)</f>
        <v/>
      </c>
    </row>
    <row r="55">
      <c r="B55" s="6" t="inlineStr">
        <is>
          <t>YOUR BQL QUERY - reference</t>
        </is>
      </c>
      <c r="C55" s="7" t="n"/>
      <c r="D55" s="7" t="n"/>
      <c r="E55" s="7" t="n"/>
      <c r="F55" s="7" t="n"/>
    </row>
    <row r="56">
      <c r="C56" s="2" t="inlineStr">
        <is>
          <t>'=@BQL.QUERY(AC16&amp;AC17,"showallcols=t, showheaders=f, xlfill=b","cols=10;rows=1")</t>
        </is>
      </c>
    </row>
    <row r="57">
      <c r="C57" s="2" t="inlineStr">
        <is>
          <t>let(#div=dividends(offset=1, status=TBA);#hastba=count(#div().status);) get(groupsort(#div,sortby=#div().ex_date,order=asc)) for(filter(members('HSI Index'),#hastba&gt;0))</t>
        </is>
      </c>
    </row>
    <row r="59">
      <c r="B59" s="2" t="inlineStr">
        <is>
          <t>Leave the space right of both samples clear - they spill as far as they need.</t>
        </is>
      </c>
    </row>
  </sheetData>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B1:G6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3" customWidth="1" min="6" max="6"/>
    <col width="78" customWidth="1" min="7" max="7"/>
  </cols>
  <sheetData>
    <row r="1">
      <c r="B1" s="1" t="inlineStr">
        <is>
          <t>HK DIVIDEND FUTURES MODEL - HSI / HSTECH / HSCEI</t>
        </is>
      </c>
    </row>
    <row r="2">
      <c r="B2" s="2" t="inlineStr">
        <is>
          <t>Full-year index dividend points (what has gone ex + what is still to come) against the dividend futures. The year is the contract - there is no monthly ladder.</t>
        </is>
      </c>
    </row>
    <row r="3">
      <c r="B3" s="3" t="inlineStr">
        <is>
          <t>HEALTH</t>
        </is>
      </c>
      <c r="C3" s="14">
        <f>IF(N(HSI!$L$2)=0,"paste quantities + divisor on the HSI tab",IF(ISNUMBER(HSI!$B$3)=FALSE,"divisor missing (HSI B3)",IF(N(HSI!$Y$5)=0,"waiting for prices - refresh on the terminal",IF(ABS(C48-1)&gt;0.02,"UNITS OFF - multiply quantities by ~"&amp;TEXT(C48,"#,##0"),IF(C55&gt;0,"calendar window overflow - widen it",IF(C53&gt;0,C53&amp;" amount(s) TBA - consider overriding","OK"))))))</f>
        <v/>
      </c>
      <c r="D3" s="14">
        <f>IF(N(HSTECH!$L$2)=0,"paste quantities + divisor on the HSTECH tab",IF(ISNUMBER(HSTECH!$B$3)=FALSE,"divisor missing (HSTECH B3)",IF(N(HSTECH!$Y$5)=0,"waiting for prices - refresh on the terminal",IF(ABS(D48-1)&gt;0.02,"UNITS OFF - multiply quantities by ~"&amp;TEXT(D48,"#,##0"),IF(D55&gt;0,"calendar window overflow - widen it",IF(D53&gt;0,D53&amp;" amount(s) TBA - consider overriding","OK"))))))</f>
        <v/>
      </c>
      <c r="E3" s="14">
        <f>IF(N(HSCEI!$L$2)=0,"paste quantities + divisor on the HSCEI tab",IF(ISNUMBER(HSCEI!$B$3)=FALSE,"divisor missing (HSCEI B3)",IF(N(HSCEI!$Y$5)=0,"waiting for prices - refresh on the terminal",IF(ABS(E48-1)&gt;0.02,"UNITS OFF - multiply quantities by ~"&amp;TEXT(E48,"#,##0"),IF(E55&gt;0,"calendar window overflow - widen it",IF(E53&gt;0,E53&amp;" amount(s) TBA - consider overriding","OK"))))))</f>
        <v/>
      </c>
      <c r="G3" s="2" t="inlineStr">
        <is>
          <t>&lt;- these three cells always name the next thing to fix. When all three say OK, the model is trustworthy.</t>
        </is>
      </c>
    </row>
    <row r="4">
      <c r="B4" s="6" t="inlineStr">
        <is>
          <t>START HERE</t>
        </is>
      </c>
      <c r="C4" s="7" t="n"/>
      <c r="D4" s="7" t="n"/>
      <c r="E4" s="7" t="n"/>
      <c r="F4" s="7" t="n"/>
      <c r="G4" s="7" t="n"/>
    </row>
    <row r="5">
      <c r="B5" s="15" t="inlineStr">
        <is>
          <t>1</t>
        </is>
      </c>
      <c r="C5" s="16" t="inlineStr">
        <is>
          <t>Paste BASKET QUANTITY into column B and the INDEX DIVISOR into B3 on the HSI, HSTECH and HSCEI tabs (blue cells). Quantity and divisor must be in CONSISTENT units - the SCALE FACTOR row in CHECKS below tells you instantly if they are not, and by how much.</t>
        </is>
      </c>
    </row>
    <row r="6">
      <c r="B6" s="15" t="inlineStr">
        <is>
          <t>2</t>
        </is>
      </c>
      <c r="C6" s="16" t="inlineStr">
        <is>
          <t>Set the control block below, then enter your futures tickers in the MODEL block (or just type the quote you see).</t>
        </is>
      </c>
    </row>
    <row r="7">
      <c r="B7" s="15" t="inlineStr">
        <is>
          <t>3</t>
        </is>
      </c>
      <c r="C7" s="16" t="inlineStr">
        <is>
          <t>On a Bloomberg terminal press Ctrl+Alt+F9 and wait - the first refresh is a few thousand requests. Set 'Pull fundamentals' to N for a fast dividends-only refresh.</t>
        </is>
      </c>
    </row>
    <row r="8">
      <c r="B8" s="15" t="inlineStr">
        <is>
          <t>4</t>
        </is>
      </c>
      <c r="C8" s="16" t="inlineStr">
        <is>
          <t>Read the CHECKS block at the bottom before you quote a gap.</t>
        </is>
      </c>
    </row>
    <row r="10">
      <c r="B10" s="6" t="inlineStr">
        <is>
          <t>CONTROL</t>
        </is>
      </c>
      <c r="C10" s="7" t="n"/>
      <c r="D10" s="7" t="n"/>
      <c r="E10" s="7" t="n"/>
      <c r="F10" s="7" t="n"/>
      <c r="G10" s="7" t="n"/>
    </row>
    <row r="11">
      <c r="B11" s="8" t="inlineStr">
        <is>
          <t>Valuation date</t>
        </is>
      </c>
      <c r="C11" s="112">
        <f>TODAY()</f>
        <v/>
      </c>
      <c r="G11" s="2" t="inlineStr">
        <is>
          <t>Today by default. Type a date to freeze the study.</t>
        </is>
      </c>
    </row>
    <row r="12">
      <c r="B12" s="3" t="inlineStr">
        <is>
          <t>Year (Y) - the futures year</t>
        </is>
      </c>
      <c r="C12" s="18">
        <f>YEAR($C$11)</f>
        <v/>
      </c>
      <c r="G12" s="2" t="inlineStr">
        <is>
          <t>2026 prices the Dec26 contract. 2027 models next year (realized empties, projections fill it). A past year gives the realized outcome.</t>
        </is>
      </c>
    </row>
    <row r="13">
      <c r="B13" s="8" t="inlineStr">
        <is>
          <t>Include special dividends?</t>
        </is>
      </c>
      <c r="C13" s="4" t="inlineStr">
        <is>
          <t>Y</t>
        </is>
      </c>
      <c r="G13" s="2" t="inlineStr">
        <is>
          <t>Applies to REALIZED dividends (history carries a type). Bloomberg projections carry no type, so projected specials cannot be split out - they are always included.</t>
        </is>
      </c>
    </row>
    <row r="14">
      <c r="B14" s="8" t="inlineStr">
        <is>
          <t>RMB cross for CNY dividends</t>
        </is>
      </c>
      <c r="C14" s="4" t="inlineStr">
        <is>
          <t>CNY</t>
        </is>
      </c>
      <c r="G14" s="2" t="inlineStr">
        <is>
          <t>CNY or CNH - which cross converts RMB-declared dividends into HKD.</t>
        </is>
      </c>
    </row>
    <row r="15">
      <c r="B15" s="8" t="inlineStr">
        <is>
          <t>Pending list horizon</t>
        </is>
      </c>
      <c r="C15" s="112">
        <f>WIN_TO</f>
        <v/>
      </c>
      <c r="G15" s="2" t="inlineStr">
        <is>
          <t>Pending shows every event with an ex-date after the valuation date up to here.</t>
        </is>
      </c>
    </row>
    <row r="16">
      <c r="B16" s="8" t="inlineStr">
        <is>
          <t>Pull fundamentals? (Y/N)</t>
        </is>
      </c>
      <c r="C16" s="4" t="inlineStr">
        <is>
          <t>Y</t>
        </is>
      </c>
      <c r="G16" s="2" t="inlineStr">
        <is>
          <t>N blanks the EPS / payout / forward / buyback / leverage requests (~3,500 of them). The dividend model itself never needs them.</t>
        </is>
      </c>
    </row>
    <row r="17">
      <c r="B17" s="8" t="inlineStr">
        <is>
          <t>Overrides</t>
        </is>
      </c>
      <c r="C17" s="19">
        <f>IF(Override!$C$4="ON","ON - "&amp;Override!$E$4&amp;" stock(s) set - the model uses YOUR numbers there.","OFF - pure Bloomberg projections.")</f>
        <v/>
      </c>
      <c r="D17" s="20" t="n"/>
      <c r="E17" s="21" t="n"/>
    </row>
    <row r="18">
      <c r="B18" s="2" t="inlineStr">
        <is>
          <t>History pull window (auto)</t>
        </is>
      </c>
      <c r="C18" s="22">
        <f>TEXT(DATE($C$12-5,1,1),"yyyymmdd")</f>
        <v/>
      </c>
      <c r="D18" s="22">
        <f>TEXT(MAX($C$11,WIN_TO),"yyyymmdd")</f>
        <v/>
      </c>
      <c r="G18" s="2" t="inlineStr">
        <is>
          <t>Five full years before Y plus the year itself - feeds the model and the 5-year fundamentals.</t>
        </is>
      </c>
    </row>
    <row r="19">
      <c r="B19" s="8" t="inlineStr">
        <is>
          <t>Dividend window (auto)</t>
        </is>
      </c>
      <c r="C19" s="113">
        <f>DATE(YEAR_Y-1,12,31)+CHOOSE(WEEKDAY(DATE(YEAR_Y-1,12,31),2),-3,-1,-1,-1,-1,-2,-3)+1</f>
        <v/>
      </c>
      <c r="D19" s="113">
        <f>DATE(YEAR_Y,12,31)+CHOOSE(WEEKDAY(DATE(YEAR_Y,12,31),2),-3,-1,-1,-1,-1,-2,-3)</f>
        <v/>
      </c>
      <c r="G19" s="2" t="inlineStr">
        <is>
          <t>THE CONTRACT YEAR IS NOT THE CALENDAR YEAR. The dividend point index resets after the close on the second-last SEHK trading day of December and the future settles on its quote that same day, so the window runs from the day after last December's reset to this December's reset. Every realized / still-to-come figure in the book uses these two dates. A dividend going ex on the last trading day of December belongs to NEXT year's contract. The two dates are the second-last WEEKDAY of December, picked off the weekday of the 31st - Hong Kong's late-December holidays (25th and 26th) can never be one of the last two trading days, so no holiday calendar is needed.</t>
        </is>
      </c>
    </row>
    <row r="20">
      <c r="B20" s="6" t="inlineStr">
        <is>
          <t>MODEL vs FUTURES        (index dividend points for year Y)</t>
        </is>
      </c>
      <c r="C20" s="7" t="n"/>
      <c r="D20" s="7" t="n"/>
      <c r="E20" s="7" t="n"/>
      <c r="F20" s="7" t="n"/>
      <c r="G20" s="7" t="n"/>
    </row>
    <row r="21">
      <c r="C21" s="23" t="inlineStr">
        <is>
          <t>HSI</t>
        </is>
      </c>
      <c r="D21" s="23" t="inlineStr">
        <is>
          <t>HSTECH</t>
        </is>
      </c>
      <c r="E21" s="23" t="inlineStr">
        <is>
          <t>HSCEI</t>
        </is>
      </c>
      <c r="G21" s="2" t="inlineStr">
        <is>
          <t>Points are index points: basket qty x FX-to-HKD x DPS / divisor.</t>
        </is>
      </c>
    </row>
    <row r="22">
      <c r="B22" s="8" t="inlineStr">
        <is>
          <t>Index ticker</t>
        </is>
      </c>
      <c r="C22" s="4" t="inlineStr">
        <is>
          <t>HSI Index</t>
        </is>
      </c>
      <c r="D22" s="4" t="inlineStr">
        <is>
          <t>HSTECH Index</t>
        </is>
      </c>
      <c r="E22" s="4" t="inlineStr">
        <is>
          <t>HSCEI Index</t>
        </is>
      </c>
    </row>
    <row r="23">
      <c r="B23" s="8" t="inlineStr">
        <is>
          <t>Index level</t>
        </is>
      </c>
      <c r="C23" s="114">
        <f>IF($C$22="","",BDP($C$22,"PX_LAST"))</f>
        <v/>
      </c>
      <c r="D23" s="114">
        <f>IF($D$22="","",BDP($D$22,"PX_LAST"))</f>
        <v/>
      </c>
      <c r="E23" s="114">
        <f>IF($E$22="","",BDP($E$22,"PX_LAST"))</f>
        <v/>
      </c>
    </row>
    <row r="24">
      <c r="B24" s="8" t="inlineStr">
        <is>
          <t>Realized leg source</t>
        </is>
      </c>
      <c r="C24" s="4" t="inlineStr">
        <is>
          <t>INDEX</t>
        </is>
      </c>
      <c r="G24" s="2" t="inlineStr">
        <is>
          <t>INDEX = take realized dividends from the published dividend point index below - the exact number the future settles on. MODEL = use this book's bottom-up engine instead. INDEX is the right answer for trading: realized dividends are a published fact, not a forecast. Either way the per-stock tabs stay bottom-up, and the still-to-come leg is always this book's own work. INDEX steps back to MODEL on its own - and says so on the 'Source in use' line - if the ticker is blank, if you freeze the valuation date (a live level would not match it), or once the index has reset into next year's contract.</t>
        </is>
      </c>
    </row>
    <row r="25">
      <c r="B25" s="8" t="inlineStr">
        <is>
          <t>Realized so far (pts)</t>
        </is>
      </c>
      <c r="C25" s="25">
        <f>IF(C65="INDEX - live",C60,HSI!$O$5)</f>
        <v/>
      </c>
      <c r="D25" s="25">
        <f>IF(D65="INDEX - live",D60,HSTECH!$O$5)</f>
        <v/>
      </c>
      <c r="E25" s="25">
        <f>IF(E65="INDEX - live",E60,HSCEI!$O$5)</f>
        <v/>
      </c>
      <c r="G25" s="2" t="inlineStr">
        <is>
          <t>Ex-dates inside the dividend window up to the valuation date - fact, never overridden. Cash dividend types only (no spinoffs / scrip - see the type list on Field Check). Whichever source row 24 selects is the figure actually used here; the index-versus-model reconciliation, and what the difference is worth per contract, are at the bottom of this tab.</t>
        </is>
      </c>
    </row>
    <row r="26">
      <c r="B26" s="8" t="inlineStr">
        <is>
          <t>Still to come - Bloomberg (pts)</t>
        </is>
      </c>
      <c r="C26" s="25">
        <f>HSI!$W$5</f>
        <v/>
      </c>
      <c r="D26" s="25">
        <f>HSTECH!$W$5</f>
        <v/>
      </c>
      <c r="E26" s="25">
        <f>HSCEI!$W$5</f>
        <v/>
      </c>
    </row>
    <row r="27">
      <c r="B27" s="8" t="inlineStr">
        <is>
          <t>Still to come - EFFECTIVE (pts)</t>
        </is>
      </c>
      <c r="C27" s="25">
        <f>HSI!$P$5</f>
        <v/>
      </c>
      <c r="D27" s="25">
        <f>HSTECH!$P$5</f>
        <v/>
      </c>
      <c r="E27" s="25">
        <f>HSCEI!$P$5</f>
        <v/>
      </c>
    </row>
    <row r="28">
      <c r="B28" s="26" t="inlineStr">
        <is>
          <t>YEAR TOTAL - base (pts)</t>
        </is>
      </c>
      <c r="C28" s="27">
        <f>IFERROR(C25+C27,"")</f>
        <v/>
      </c>
      <c r="D28" s="27">
        <f>IFERROR(D25+D27,"")</f>
        <v/>
      </c>
      <c r="E28" s="27">
        <f>IFERROR(E25+E27,"")</f>
        <v/>
      </c>
    </row>
    <row r="29">
      <c r="B29" s="8" t="inlineStr">
        <is>
          <t xml:space="preserve">   your LOW case (pts)</t>
        </is>
      </c>
      <c r="C29" s="25">
        <f>IFERROR(C25+(HSI!$R$5-HSI!$O$5),"")</f>
        <v/>
      </c>
      <c r="D29" s="25">
        <f>IFERROR(D25+(HSTECH!$R$5-HSTECH!$O$5),"")</f>
        <v/>
      </c>
      <c r="E29" s="25">
        <f>IFERROR(E25+(HSCEI!$R$5-HSCEI!$O$5),"")</f>
        <v/>
      </c>
    </row>
    <row r="30">
      <c r="B30" s="8" t="inlineStr">
        <is>
          <t xml:space="preserve">   your HIGH case (pts)</t>
        </is>
      </c>
      <c r="C30" s="25">
        <f>IFERROR(C25+(HSI!$S$5-HSI!$O$5),"")</f>
        <v/>
      </c>
      <c r="D30" s="25">
        <f>IFERROR(D25+(HSTECH!$S$5-HSTECH!$O$5),"")</f>
        <v/>
      </c>
      <c r="E30" s="25">
        <f>IFERROR(E25+(HSCEI!$S$5-HSCEI!$O$5),"")</f>
        <v/>
      </c>
    </row>
    <row r="31">
      <c r="B31" s="8" t="inlineStr">
        <is>
          <t>Implied index dividend yield</t>
        </is>
      </c>
      <c r="C31" s="28">
        <f>IFERROR(C28/C23,"")</f>
        <v/>
      </c>
      <c r="D31" s="28">
        <f>IFERROR(D28/D23,"")</f>
        <v/>
      </c>
      <c r="E31" s="28">
        <f>IFERROR(E28/E23,"")</f>
        <v/>
      </c>
    </row>
    <row r="33">
      <c r="B33" s="8" t="inlineStr">
        <is>
          <t>Futures ticker</t>
        </is>
      </c>
      <c r="C33" s="4" t="n"/>
      <c r="D33" s="4" t="n"/>
      <c r="E33" s="4" t="n"/>
    </row>
    <row r="34">
      <c r="B34" s="8" t="inlineStr">
        <is>
          <t>Futures price (Bloomberg)</t>
        </is>
      </c>
      <c r="C34" s="25">
        <f>IF($C$33="","",BDP($C$33,"PX_LAST"))</f>
        <v/>
      </c>
      <c r="D34" s="25">
        <f>IF($D$33="","",BDP($D$33,"PX_LAST"))</f>
        <v/>
      </c>
      <c r="E34" s="25">
        <f>IF($E$33="","",BDP($E$33,"PX_LAST"))</f>
        <v/>
      </c>
    </row>
    <row r="35">
      <c r="B35" s="8" t="inlineStr">
        <is>
          <t>Futures quote - type it yourself</t>
        </is>
      </c>
      <c r="C35" s="29" t="n"/>
      <c r="D35" s="29" t="n"/>
      <c r="E35" s="29" t="n"/>
    </row>
    <row r="36">
      <c r="B36" s="8" t="inlineStr">
        <is>
          <t>FUTURES USED</t>
        </is>
      </c>
      <c r="C36" s="30">
        <f>IF(ISNUMBER(C35),C35,IF(ISNUMBER(C34),C34,""))</f>
        <v/>
      </c>
      <c r="D36" s="30">
        <f>IF(ISNUMBER(D35),D35,IF(ISNUMBER(D34),D34,""))</f>
        <v/>
      </c>
      <c r="E36" s="30">
        <f>IF(ISNUMBER(E35),E35,IF(ISNUMBER(E34),E34,""))</f>
        <v/>
      </c>
    </row>
    <row r="37">
      <c r="B37" s="26" t="inlineStr">
        <is>
          <t>GAP  model - futures (pts)</t>
        </is>
      </c>
      <c r="C37" s="115">
        <f>IF(C36="","",C28-C36)</f>
        <v/>
      </c>
      <c r="D37" s="115">
        <f>IF(D36="","",D28-D36)</f>
        <v/>
      </c>
      <c r="E37" s="115">
        <f>IF(E36="","",E28-E36)</f>
        <v/>
      </c>
      <c r="G37" s="2" t="inlineStr">
        <is>
          <t>Positive = your model sees MORE dividends than the futures pay for. Read the TBA line in CHECKS before quoting it.</t>
        </is>
      </c>
    </row>
    <row r="38">
      <c r="B38" s="26" t="inlineStr">
        <is>
          <t>Gap (% of futures)</t>
        </is>
      </c>
      <c r="C38" s="116">
        <f>IF(C36="","",IFERROR(C37/C36,""))</f>
        <v/>
      </c>
      <c r="D38" s="116">
        <f>IF(D36="","",IFERROR(D37/D36,""))</f>
        <v/>
      </c>
      <c r="E38" s="116">
        <f>IF(E36="","",IFERROR(E37/E36,""))</f>
        <v/>
      </c>
    </row>
    <row r="39">
      <c r="B39" s="8" t="inlineStr">
        <is>
          <t>Where the futures sit</t>
        </is>
      </c>
      <c r="C39" s="22">
        <f>IF(C36="","",IF((C36&gt;=C29)*(C36&lt;=C30)&gt;0,"inside your low-high range",IF(C36&lt;C29,"BELOW your low - cheap vs you","ABOVE your high - rich vs you")))</f>
        <v/>
      </c>
      <c r="D39" s="22">
        <f>IF(D36="","",IF((D36&gt;=D29)*(D36&lt;=D30)&gt;0,"inside your low-high range",IF(D36&lt;D29,"BELOW your low - cheap vs you","ABOVE your high - rich vs you")))</f>
        <v/>
      </c>
      <c r="E39" s="22">
        <f>IF(E36="","",IF((E36&gt;=E29)*(E36&lt;=E30)&gt;0,"inside your low-high range",IF(E36&lt;E29,"BELOW your low - cheap vs you","ABOVE your high - rich vs you")))</f>
        <v/>
      </c>
    </row>
    <row r="41">
      <c r="B41" s="6" t="inlineStr">
        <is>
          <t>CHECKS        (read these before trusting the gap)</t>
        </is>
      </c>
      <c r="C41" s="7" t="n"/>
      <c r="D41" s="7" t="n"/>
      <c r="E41" s="7" t="n"/>
      <c r="F41" s="7" t="n"/>
      <c r="G41" s="7" t="n"/>
    </row>
    <row r="42">
      <c r="B42" s="8" t="inlineStr">
        <is>
          <t>Members returned</t>
        </is>
      </c>
      <c r="C42" s="33">
        <f>HSI!$H$2</f>
        <v/>
      </c>
      <c r="D42" s="33">
        <f>HSTECH!$H$2</f>
        <v/>
      </c>
      <c r="E42" s="33">
        <f>HSCEI!$H$2</f>
        <v/>
      </c>
      <c r="G42" s="2" t="inlineStr">
        <is>
          <t>Short of the real membership means the BDS pull was cut off.</t>
        </is>
      </c>
    </row>
    <row r="43">
      <c r="B43" s="8" t="inlineStr">
        <is>
          <t>Basket quantities pasted</t>
        </is>
      </c>
      <c r="C43" s="33">
        <f>HSI!$L$2</f>
        <v/>
      </c>
      <c r="D43" s="33">
        <f>HSTECH!$L$2</f>
        <v/>
      </c>
      <c r="E43" s="33">
        <f>HSCEI!$L$2</f>
        <v/>
      </c>
      <c r="G43" s="2" t="inlineStr">
        <is>
          <t>Should equal members.</t>
        </is>
      </c>
    </row>
    <row r="44">
      <c r="B44" s="8" t="inlineStr">
        <is>
          <t>Members with NO quantity</t>
        </is>
      </c>
      <c r="C44" s="33">
        <f>HSI!$P$2</f>
        <v/>
      </c>
      <c r="D44" s="33">
        <f>HSTECH!$P$2</f>
        <v/>
      </c>
      <c r="E44" s="33">
        <f>HSCEI!$P$2</f>
        <v/>
      </c>
      <c r="G44" s="2" t="inlineStr">
        <is>
          <t>Each one contributes zero points.</t>
        </is>
      </c>
    </row>
    <row r="45">
      <c r="B45" s="8" t="inlineStr">
        <is>
          <t>Divisor entered</t>
        </is>
      </c>
      <c r="C45" s="22">
        <f>IF(ISNUMBER(HSI!$B$3),"OK","MISSING")</f>
        <v/>
      </c>
      <c r="D45" s="22">
        <f>IF(ISNUMBER(HSTECH!$B$3),"OK","MISSING")</f>
        <v/>
      </c>
      <c r="E45" s="22">
        <f>IF(ISNUMBER(HSCEI!$B$3),"OK","MISSING")</f>
        <v/>
      </c>
      <c r="G45" s="2" t="inlineStr">
        <is>
          <t>Without it every points column is blank.</t>
        </is>
      </c>
    </row>
    <row r="46">
      <c r="B46" s="8" t="inlineStr">
        <is>
          <t>Basket value (index pts)</t>
        </is>
      </c>
      <c r="C46" s="25">
        <f>HSI!$Y$5</f>
        <v/>
      </c>
      <c r="D46" s="25">
        <f>HSTECH!$Y$5</f>
        <v/>
      </c>
      <c r="E46" s="25">
        <f>HSCEI!$Y$5</f>
        <v/>
      </c>
      <c r="G46" s="2" t="inlineStr">
        <is>
          <t>SUM of quantity x price / divisor. If your quantities and divisor are the real index ones, this IS the index level.</t>
        </is>
      </c>
    </row>
    <row r="47">
      <c r="B47" s="8" t="inlineStr">
        <is>
          <t>Index level (the comparison)</t>
        </is>
      </c>
      <c r="C47" s="25">
        <f>C23</f>
        <v/>
      </c>
      <c r="D47" s="25">
        <f>D23</f>
        <v/>
      </c>
      <c r="E47" s="25">
        <f>E23</f>
        <v/>
      </c>
    </row>
    <row r="48">
      <c r="B48" s="3" t="inlineStr">
        <is>
          <t>SCALE CHECK - level / basket value</t>
        </is>
      </c>
      <c r="C48" s="27">
        <f>IF(N(HSI!$Y$5)=0,"",C23/HSI!$Y$5)</f>
        <v/>
      </c>
      <c r="D48" s="27">
        <f>IF(N(HSTECH!$Y$5)=0,"",D23/HSTECH!$Y$5)</f>
        <v/>
      </c>
      <c r="E48" s="27">
        <f>IF(N(HSCEI!$Y$5)=0,"",E23/HSCEI!$Y$5)</f>
        <v/>
      </c>
      <c r="G48" s="2" t="inlineStr">
        <is>
          <t>MUST BE 1.00. If it reads 100,000 your quantities are that much too small - multiply them by exactly this number. Fix before reading anything else.</t>
        </is>
      </c>
    </row>
    <row r="49">
      <c r="B49" s="8" t="inlineStr">
        <is>
          <t>Bottom-up 12M yield</t>
        </is>
      </c>
      <c r="C49" s="34">
        <f>IFERROR(HSI!$V$5/C23,"")</f>
        <v/>
      </c>
      <c r="D49" s="34">
        <f>IFERROR(HSTECH!$V$5/D23,"")</f>
        <v/>
      </c>
      <c r="E49" s="34">
        <f>IFERROR(HSCEI!$V$5/E23,"")</f>
        <v/>
      </c>
      <c r="G49" s="2" t="inlineStr">
        <is>
          <t>Trailing 12M dividends of your basket over the index level.</t>
        </is>
      </c>
    </row>
    <row r="50">
      <c r="B50" s="8" t="inlineStr">
        <is>
          <t>Bloomberg index 12M yield</t>
        </is>
      </c>
      <c r="C50" s="34">
        <f>IF($C$22="","",IFERROR(BDP($C$22,"EQY_DVD_YLD_12M")/100,""))</f>
        <v/>
      </c>
      <c r="D50" s="34">
        <f>IF($D$22="","",IFERROR(BDP($D$22,"EQY_DVD_YLD_12M")/100,""))</f>
        <v/>
      </c>
      <c r="E50" s="34">
        <f>IF($E$22="","",IFERROR(BDP($E$22,"EQY_DVD_YLD_12M")/100,""))</f>
        <v/>
      </c>
    </row>
    <row r="51">
      <c r="B51" s="3" t="inlineStr">
        <is>
          <t>THE DIVISOR CHECK - gap (bp)</t>
        </is>
      </c>
      <c r="C51" s="117">
        <f>IF(N(C50)*N(C49)=0,"",(C49-C50)*10000)</f>
        <v/>
      </c>
      <c r="D51" s="117">
        <f>IF(N(D50)*N(D49)=0,"",(D49-D50)*10000)</f>
        <v/>
      </c>
      <c r="E51" s="117">
        <f>IF(N(E50)*N(E49)=0,"",(E49-E50)*10000)</f>
        <v/>
      </c>
      <c r="G51" s="2" t="inlineStr">
        <is>
          <t>Bottom-up minus Bloomberg, once the SCALE CHECK is 1.00.</t>
        </is>
      </c>
    </row>
    <row r="52">
      <c r="B52" s="8" t="inlineStr">
        <is>
          <t>Dividend ratio (BBG / bottom-up)</t>
        </is>
      </c>
      <c r="C52" s="30">
        <f>IF(N(C49)=0,"",C50/C49)</f>
        <v/>
      </c>
      <c r="D52" s="30">
        <f>IF(N(D49)=0,"",D50/D49)</f>
        <v/>
      </c>
      <c r="E52" s="30">
        <f>IF(N(E49)=0,"",E50/E49)</f>
        <v/>
      </c>
      <c r="G52" s="2" t="inlineStr">
        <is>
          <t>Only meaningful once the SCALE CHECK reads 1.00. Then it is a REAL dividend difference - a different member list, specials, or free-float factors - not units.</t>
        </is>
      </c>
    </row>
    <row r="53">
      <c r="B53" s="8" t="inlineStr">
        <is>
          <t>Stocks with an amount still TBA</t>
        </is>
      </c>
      <c r="C53" s="33">
        <f>COUNTIF(HSI!$U$7:$U$106,"TBA amount - override me")</f>
        <v/>
      </c>
      <c r="D53" s="33">
        <f>COUNTIF(HSTECH!$U$7:$U$46,"TBA amount - override me")</f>
        <v/>
      </c>
      <c r="E53" s="33">
        <f>COUNTIF(HSCEI!$U$7:$U$66,"TBA amount - override me")</f>
        <v/>
      </c>
      <c r="G53" s="2" t="inlineStr">
        <is>
          <t>Announced with no amount yet: they add ZERO until you override them.</t>
        </is>
      </c>
    </row>
    <row r="54">
      <c r="B54" s="8" t="inlineStr">
        <is>
          <t>Stocks you have overridden</t>
        </is>
      </c>
      <c r="C54" s="33">
        <f>COUNTIF(HSI!$U$7:$U$106,"overridden")</f>
        <v/>
      </c>
      <c r="D54" s="33">
        <f>COUNTIF(HSTECH!$U$7:$U$46,"overridden")</f>
        <v/>
      </c>
      <c r="E54" s="33">
        <f>COUNTIF(HSCEI!$U$7:$U$66,"overridden")</f>
        <v/>
      </c>
    </row>
    <row r="55">
      <c r="B55" s="8" t="inlineStr">
        <is>
          <t>Events beyond the data window</t>
        </is>
      </c>
      <c r="C55" s="36">
        <f>COUNTA('Dvd Calendar'!$AS$10:$CF$1109)</f>
        <v/>
      </c>
      <c r="D55" s="36">
        <f>COUNTA('Dvd Calendar'!$AS$1115:$CF$1554)</f>
        <v/>
      </c>
      <c r="E55" s="36">
        <f>COUNTA('Dvd Calendar'!$AS$1560:$CF$2219)</f>
        <v/>
      </c>
      <c r="G55" s="2" t="inlineStr">
        <is>
          <t>Must be 0 - otherwise a stock has more events than the calendar window holds (one parameter to widen).</t>
        </is>
      </c>
    </row>
    <row r="56">
      <c r="B56" s="8" t="inlineStr">
        <is>
          <t>Pending list - shown / total</t>
        </is>
      </c>
      <c r="C56" s="37">
        <f>COUNT(Pending!$B$10:$B$309)&amp;" / "&amp;COUNTIFS(Grids!$EE$12:$GQ$111,"&gt;="&amp;PEND_FROM,Grids!$EE$12:$GQ$111,"&lt;"&amp;PEND_TO)</f>
        <v/>
      </c>
      <c r="D56" s="37">
        <f>COUNT(Pending!$B$316:$B$435)&amp;" / "&amp;COUNTIFS(Grids!$EE$116:$GQ$155,"&gt;="&amp;PEND_FROM,Grids!$EE$116:$GQ$155,"&lt;"&amp;PEND_TO)</f>
        <v/>
      </c>
      <c r="E56" s="37">
        <f>COUNT(Pending!$B$442:$B$621)&amp;" / "&amp;COUNTIFS(Grids!$EE$160:$GQ$219,"&gt;="&amp;PEND_FROM,Grids!$EE$160:$GQ$219,"&lt;"&amp;PEND_TO)</f>
        <v/>
      </c>
      <c r="G56" s="2" t="inlineStr">
        <is>
          <t>If these differ the list is truncated; the model still counts them.</t>
        </is>
      </c>
    </row>
    <row r="58">
      <c r="B58" s="6" t="inlineStr">
        <is>
          <t>REALIZED LEG        (published index vs your model)</t>
        </is>
      </c>
      <c r="G58" s="2" t="inlineStr">
        <is>
          <t>Realized dividends are published live: HSIDPI and HSCEIDPI ARE the indexes the HKEX dividend futures settle on. Your bottom-up engine cannot reproduce them exactly - the divisor, free-float factors and cap factors all move through the year and a pasted basket is one snapshot - so the difference below is the engine's measured bias, not a bug. Use it to judge the still-to-come leg, which is the only part nobody publishes.</t>
        </is>
      </c>
    </row>
    <row r="59">
      <c r="B59" s="8" t="inlineStr">
        <is>
          <t>Dividend point index ticker</t>
        </is>
      </c>
      <c r="C59" s="4" t="inlineStr">
        <is>
          <t>HSIDPI Index</t>
        </is>
      </c>
      <c r="D59" s="4" t="n"/>
      <c r="E59" s="4" t="inlineStr">
        <is>
          <t>HSCEIDPI Index</t>
        </is>
      </c>
      <c r="G59" s="2" t="inlineStr">
        <is>
          <t>HSIDPI and HSCEIDPI are the two published Hang Seng dividend point indexes (HKEX codes DHS and DHH, HK$50 a point). There is NO HSTECH dividend point index and no HSTECH dividend future - that cell stays blank on purpose and HSTECH keeps using the bottom-up number.</t>
        </is>
      </c>
    </row>
    <row r="60">
      <c r="B60" s="8" t="inlineStr">
        <is>
          <t>Index level - realized so far (pts)</t>
        </is>
      </c>
      <c r="C60" s="25">
        <f>IF($C$59="","",IFERROR(BDP($C$59,"PX_LAST"),""))</f>
        <v/>
      </c>
      <c r="D60" s="25">
        <f>IF($D$59="","",IFERROR(BDP($D$59,"PX_LAST"),""))</f>
        <v/>
      </c>
      <c r="E60" s="25">
        <f>IF($E$59="","",IFERROR(BDP($E$59,"PX_LAST"),""))</f>
        <v/>
      </c>
    </row>
    <row r="61">
      <c r="B61" s="8" t="inlineStr">
        <is>
          <t>Your bottom-up realized (pts)</t>
        </is>
      </c>
      <c r="C61" s="25">
        <f>HSI!$O$5</f>
        <v/>
      </c>
      <c r="D61" s="25">
        <f>HSTECH!$O$5</f>
        <v/>
      </c>
      <c r="E61" s="25">
        <f>HSCEI!$O$5</f>
        <v/>
      </c>
    </row>
    <row r="62">
      <c r="B62" s="8" t="inlineStr">
        <is>
          <t>Model minus index (pts)</t>
        </is>
      </c>
      <c r="C62" s="118">
        <f>IF(N(C60)=0,"",C61-C60)</f>
        <v/>
      </c>
      <c r="D62" s="118">
        <f>IF(N(D60)=0,"",D61-D60)</f>
        <v/>
      </c>
      <c r="E62" s="118">
        <f>IF(N(E60)=0,"",E61-E60)</f>
        <v/>
      </c>
      <c r="G62" s="2" t="inlineStr">
        <is>
          <t>Positive = your engine counts MORE realized dividends than the index did. Persistent gaps usually mean the basket is a snapshot: quantities, free-float and cap factors change at every quarterly review, and RMB dividends are converted at the rate around the cum date, not today's.</t>
        </is>
      </c>
    </row>
    <row r="63">
      <c r="B63" s="8" t="inlineStr">
        <is>
          <t>Model minus index (HK$ per contract)</t>
        </is>
      </c>
      <c r="C63" s="119">
        <f>IF(C62="","",C62*$C$66)</f>
        <v/>
      </c>
      <c r="D63" s="119">
        <f>IF(D62="","",D62*$C$66)</f>
        <v/>
      </c>
      <c r="E63" s="119">
        <f>IF(E62="","",E62*$C$66)</f>
        <v/>
      </c>
    </row>
    <row r="64">
      <c r="B64" s="8" t="inlineStr">
        <is>
          <t>REALIZED USED (pts)</t>
        </is>
      </c>
      <c r="C64" s="27">
        <f>C25</f>
        <v/>
      </c>
      <c r="D64" s="27">
        <f>D25</f>
        <v/>
      </c>
      <c r="E64" s="27">
        <f>E25</f>
        <v/>
      </c>
    </row>
    <row r="65">
      <c r="B65" s="8" t="inlineStr">
        <is>
          <t>Source in use</t>
        </is>
      </c>
      <c r="C65" s="25">
        <f>IF($C$24="MODEL","MODEL - by your choice",IF(INT(VAL_DATE)&lt;&gt;INT(TODAY()),"MODEL - valuation date is frozen, a live index level would not match it",IF(TODAY()&gt;WIN_TO,"MODEL - the index has already reset into next year's contract",IF(NOT(ISNUMBER(C60)),"MODEL - no index level (check the ticker)","INDEX - live"))))</f>
        <v/>
      </c>
      <c r="D65" s="25">
        <f>IF($C$24="MODEL","MODEL - by your choice",IF(INT(VAL_DATE)&lt;&gt;INT(TODAY()),"MODEL - valuation date is frozen, a live index level would not match it",IF(TODAY()&gt;WIN_TO,"MODEL - the index has already reset into next year's contract",IF(NOT(ISNUMBER(D60)),"MODEL - no index level (check the ticker)","INDEX - live"))))</f>
        <v/>
      </c>
      <c r="E65" s="25">
        <f>IF($C$24="MODEL","MODEL - by your choice",IF(INT(VAL_DATE)&lt;&gt;INT(TODAY()),"MODEL - valuation date is frozen, a live index level would not match it",IF(TODAY()&gt;WIN_TO,"MODEL - the index has already reset into next year's contract",IF(NOT(ISNUMBER(E60)),"MODEL - no index level (check the ticker)","INDEX - live"))))</f>
        <v/>
      </c>
      <c r="G65" s="2" t="inlineStr">
        <is>
          <t>December basis risk worth knowing: Hang Seng converts a non-HKD dividend at the company's announced rate, or failing that at the rate around 16:00 HKT on the cum date, and then trues it up on payment date - EXCEPT when the annual reset falls between ex-date and payment, where no true-up happens. A RMB-declared dividend going ex in late December is therefore locked at the preliminary rate for good.</t>
        </is>
      </c>
    </row>
    <row r="66">
      <c r="B66" s="8" t="inlineStr">
        <is>
          <t>Contract multiplier (HK$ per point)</t>
        </is>
      </c>
      <c r="C66" s="97" t="n">
        <v>50</v>
      </c>
      <c r="G66" s="2" t="inlineStr">
        <is>
          <t>HK$50 per index point for both HSI (DHS) and HSCEI (DHH) dividend futures - used only to price the difference above.</t>
        </is>
      </c>
    </row>
  </sheetData>
  <mergeCells count="5">
    <mergeCell ref="C7:G7"/>
    <mergeCell ref="C6:G6"/>
    <mergeCell ref="C5:G5"/>
    <mergeCell ref="C17:E17"/>
    <mergeCell ref="C8:G8"/>
  </mergeCells>
  <dataValidations count="4">
    <dataValidation sqref="C13" showDropDown="0" showInputMessage="0" showErrorMessage="0" allowBlank="0" type="list">
      <formula1>"Y,N"</formula1>
    </dataValidation>
    <dataValidation sqref="C16" showDropDown="0" showInputMessage="0" showErrorMessage="0" allowBlank="0" type="list">
      <formula1>"Y,N"</formula1>
    </dataValidation>
    <dataValidation sqref="C14" showDropDown="0" showInputMessage="0" showErrorMessage="0" allowBlank="0" type="list">
      <formula1>"CNY,CNH"</formula1>
    </dataValidation>
    <dataValidation sqref="C24" showDropDown="0" showInputMessage="0" showErrorMessage="0" allowBlank="0" type="list">
      <formula1>"INDEX,MODEL"</formula1>
    </dataValidation>
  </dataValidations>
  <pageMargins left="0.75" right="0.75" top="1" bottom="1" header="0.5" footer="0.5"/>
</worksheet>
</file>

<file path=xl/worksheets/sheet3.xml><?xml version="1.0" encoding="utf-8"?>
<worksheet xmlns="http://schemas.openxmlformats.org/spreadsheetml/2006/main">
  <sheetPr>
    <tabColor rgb="00A9D08E"/>
    <outlinePr summaryBelow="1" summaryRight="1"/>
    <pageSetUpPr/>
  </sheetPr>
  <dimension ref="B1:P621"/>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6" customWidth="1" min="3" max="3"/>
    <col width="24" customWidth="1" min="4" max="4"/>
    <col width="11" customWidth="1" min="5" max="5"/>
    <col width="8" customWidth="1" min="6" max="6"/>
    <col width="11" customWidth="1" min="7" max="7"/>
    <col width="11" customWidth="1" min="8" max="8"/>
    <col width="28" customWidth="1" min="9" max="9"/>
    <col width="16" customWidth="1" min="10" max="10"/>
    <col width="3" customWidth="1" min="11" max="11"/>
    <col width="7" customWidth="1" min="12" max="12"/>
    <col width="7" customWidth="1" min="13" max="13"/>
    <col width="7" customWidth="1" min="14" max="14"/>
    <col width="7" customWidth="1" min="15" max="15"/>
    <col width="7" customWidth="1" min="16" max="16"/>
  </cols>
  <sheetData>
    <row r="1">
      <c r="B1" s="1" t="inlineStr">
        <is>
          <t>PENDING DIVIDENDS - EVERYTHING STILL TO GO EX, SORTED BY DATE</t>
        </is>
      </c>
    </row>
    <row r="2">
      <c r="B2" s="2" t="inlineStr">
        <is>
          <t>Ex-dates after the valuation date, up to the horizon. Amount TBA counts as ZERO until you override that stock.</t>
        </is>
      </c>
    </row>
    <row r="4">
      <c r="B4" s="8" t="inlineStr">
        <is>
          <t>Horizon</t>
        </is>
      </c>
      <c r="C4" s="120">
        <f>HORIZON_DT</f>
        <v/>
      </c>
      <c r="E4" s="2" t="inlineStr">
        <is>
          <t>thresholds -&gt;</t>
        </is>
      </c>
      <c r="F4" s="121">
        <f>(VAL_DATE+1)*1000000000</f>
        <v/>
      </c>
      <c r="H4" s="121">
        <f>(HORIZON_DT+1)*1000000000</f>
        <v/>
      </c>
      <c r="I4" s="2">
        <f>Summary!$C$17</f>
        <v/>
      </c>
    </row>
    <row r="6">
      <c r="B6" s="6" t="inlineStr">
        <is>
          <t>Hang Seng Index (HSI)</t>
        </is>
      </c>
      <c r="C6" s="7" t="n"/>
      <c r="D6" s="7" t="n"/>
      <c r="E6" s="7" t="n"/>
      <c r="F6" s="7" t="n"/>
      <c r="G6" s="7" t="n"/>
      <c r="H6" s="7" t="n"/>
      <c r="I6" s="7" t="n"/>
      <c r="J6" s="7" t="n"/>
    </row>
    <row r="7">
      <c r="B7" s="2" t="inlineStr">
        <is>
          <t>Events pending</t>
        </is>
      </c>
      <c r="C7" s="40">
        <f>COUNTIFS(Grids!$EE$12:$GQ$111,"&gt;="&amp;PEND_FROM,Grids!$EE$12:$GQ$111,"&lt;"&amp;PEND_TO)</f>
        <v/>
      </c>
      <c r="D7" s="5">
        <f>IF($C$7&gt;300,"LIST TRUNCATED - showing the first 300; the model still counts all of them.","all listed below")</f>
        <v/>
      </c>
      <c r="L7" s="2" t="inlineStr">
        <is>
          <t>offset</t>
        </is>
      </c>
      <c r="M7" s="41">
        <f>COUNTIF(Grids!$EE$12:$GQ$111,"&lt;"&amp;PEND_FROM)</f>
        <v/>
      </c>
    </row>
    <row r="9">
      <c r="B9" s="23" t="inlineStr">
        <is>
          <t>Ex-date</t>
        </is>
      </c>
      <c r="C9" s="23" t="inlineStr">
        <is>
          <t>Ticker</t>
        </is>
      </c>
      <c r="D9" s="23" t="inlineStr">
        <is>
          <t>Name</t>
        </is>
      </c>
      <c r="E9" s="23" t="inlineStr">
        <is>
          <t>DPS
(declared ccy)</t>
        </is>
      </c>
      <c r="F9" s="23" t="inlineStr">
        <is>
          <t>CCY</t>
        </is>
      </c>
      <c r="G9" s="23" t="inlineStr">
        <is>
          <t>Index
pts</t>
        </is>
      </c>
      <c r="H9" s="23" t="inlineStr">
        <is>
          <t>Cumulative
pts</t>
        </is>
      </c>
      <c r="I9" s="23" t="inlineStr">
        <is>
          <t>Status</t>
        </is>
      </c>
      <c r="J9" s="23" t="inlineStr">
        <is>
          <t>Your override?</t>
        </is>
      </c>
      <c r="L9" s="2" t="inlineStr">
        <is>
          <t>engine</t>
        </is>
      </c>
    </row>
    <row r="10">
      <c r="B10" s="122">
        <f>IF($L10="","",$M10)</f>
        <v/>
      </c>
      <c r="C10" s="22">
        <f>IF($L10="","",INDEX(HSI!$C$7:$C$106,$N10))</f>
        <v/>
      </c>
      <c r="D10" s="22">
        <f>IF($L10="","",INDEX(HSI!$D$7:$D$106,$N10))</f>
        <v/>
      </c>
      <c r="E10" s="123">
        <f>IF($L10="","",IF($P10=0,"TBA",IFERROR(INDEX(Grids!$C$12:$BO$111,$N10,$O10),"-")))</f>
        <v/>
      </c>
      <c r="F10" s="22">
        <f>IF($L10="","",INDEX(HSI!$F$7:$F$106,$N10))</f>
        <v/>
      </c>
      <c r="G10" s="123">
        <f>IF($L10="","",IF($P10=0,"TBA",IFERROR(INDEX(Grids!$BQ$12:$EC$111,$N10,$O10),"-")))</f>
        <v/>
      </c>
      <c r="H10" s="124">
        <f>IF($L10="","",SUM($G$10:$G10))</f>
        <v/>
      </c>
      <c r="I10" s="45">
        <f>IF($L10="","",IF(INT(($L10-INT($L10/10000000)*10000000)/1000000)=0,"Bloomberg projection",IF($P10=1,"ANNOUNCED","ANNOUNCED - amount TBA")))</f>
        <v/>
      </c>
      <c r="J10" s="46">
        <f>IF($L10="","",IF((OV_SWITCH="ON")*(COUNTIFS(OVR_TICKERS,INDEX(HSI!$C$7:$C$106,$N10),OVR_BASE,"&gt;=0")&gt;0)&gt;0,"stock overridden",""))</f>
        <v/>
      </c>
      <c r="L10" s="121">
        <f>IFERROR(IF(SMALL(Grids!$EE$12:$GQ$111,$M$7+1)&gt;=PEND_TO,"",SMALL(Grids!$EE$12:$GQ$111,$M$7+1)),"")</f>
        <v/>
      </c>
      <c r="M10" s="121">
        <f>IF($L10="","",INT($L10/1000000000))</f>
        <v/>
      </c>
      <c r="N10" s="121">
        <f>IF($L10="","",INT(($L10-INT($L10/1000000)*1000000)/1000))</f>
        <v/>
      </c>
      <c r="O10" s="121">
        <f>IF($L10="","",$L10-INT($L10/1000)*1000)</f>
        <v/>
      </c>
      <c r="P10" s="121">
        <f>IF($L10="","",INT(($L10-INT($L10/1000000000)*1000000000)/100000000))</f>
        <v/>
      </c>
    </row>
    <row r="11">
      <c r="B11" s="122">
        <f>IF($L11="","",$M11)</f>
        <v/>
      </c>
      <c r="C11" s="22">
        <f>IF($L11="","",INDEX(HSI!$C$7:$C$106,$N11))</f>
        <v/>
      </c>
      <c r="D11" s="22">
        <f>IF($L11="","",INDEX(HSI!$D$7:$D$106,$N11))</f>
        <v/>
      </c>
      <c r="E11" s="123">
        <f>IF($L11="","",IF($P11=0,"TBA",IFERROR(INDEX(Grids!$C$12:$BO$111,$N11,$O11),"-")))</f>
        <v/>
      </c>
      <c r="F11" s="22">
        <f>IF($L11="","",INDEX(HSI!$F$7:$F$106,$N11))</f>
        <v/>
      </c>
      <c r="G11" s="123">
        <f>IF($L11="","",IF($P11=0,"TBA",IFERROR(INDEX(Grids!$BQ$12:$EC$111,$N11,$O11),"-")))</f>
        <v/>
      </c>
      <c r="H11" s="124">
        <f>IF($L11="","",SUM($G$10:$G11))</f>
        <v/>
      </c>
      <c r="I11" s="45">
        <f>IF($L11="","",IF(INT(($L11-INT($L11/10000000)*10000000)/1000000)=0,"Bloomberg projection",IF($P11=1,"ANNOUNCED","ANNOUNCED - amount TBA")))</f>
        <v/>
      </c>
      <c r="J11" s="46">
        <f>IF($L11="","",IF((OV_SWITCH="ON")*(COUNTIFS(OVR_TICKERS,INDEX(HSI!$C$7:$C$106,$N11),OVR_BASE,"&gt;=0")&gt;0)&gt;0,"stock overridden",""))</f>
        <v/>
      </c>
      <c r="L11" s="121">
        <f>IFERROR(IF(SMALL(Grids!$EE$12:$GQ$111,$M$7+2)&gt;=PEND_TO,"",SMALL(Grids!$EE$12:$GQ$111,$M$7+2)),"")</f>
        <v/>
      </c>
      <c r="M11" s="121">
        <f>IF($L11="","",INT($L11/1000000000))</f>
        <v/>
      </c>
      <c r="N11" s="121">
        <f>IF($L11="","",INT(($L11-INT($L11/1000000)*1000000)/1000))</f>
        <v/>
      </c>
      <c r="O11" s="121">
        <f>IF($L11="","",$L11-INT($L11/1000)*1000)</f>
        <v/>
      </c>
      <c r="P11" s="121">
        <f>IF($L11="","",INT(($L11-INT($L11/1000000000)*1000000000)/100000000))</f>
        <v/>
      </c>
    </row>
    <row r="12">
      <c r="B12" s="122">
        <f>IF($L12="","",$M12)</f>
        <v/>
      </c>
      <c r="C12" s="22">
        <f>IF($L12="","",INDEX(HSI!$C$7:$C$106,$N12))</f>
        <v/>
      </c>
      <c r="D12" s="22">
        <f>IF($L12="","",INDEX(HSI!$D$7:$D$106,$N12))</f>
        <v/>
      </c>
      <c r="E12" s="123">
        <f>IF($L12="","",IF($P12=0,"TBA",IFERROR(INDEX(Grids!$C$12:$BO$111,$N12,$O12),"-")))</f>
        <v/>
      </c>
      <c r="F12" s="22">
        <f>IF($L12="","",INDEX(HSI!$F$7:$F$106,$N12))</f>
        <v/>
      </c>
      <c r="G12" s="123">
        <f>IF($L12="","",IF($P12=0,"TBA",IFERROR(INDEX(Grids!$BQ$12:$EC$111,$N12,$O12),"-")))</f>
        <v/>
      </c>
      <c r="H12" s="124">
        <f>IF($L12="","",SUM($G$10:$G12))</f>
        <v/>
      </c>
      <c r="I12" s="45">
        <f>IF($L12="","",IF(INT(($L12-INT($L12/10000000)*10000000)/1000000)=0,"Bloomberg projection",IF($P12=1,"ANNOUNCED","ANNOUNCED - amount TBA")))</f>
        <v/>
      </c>
      <c r="J12" s="46">
        <f>IF($L12="","",IF((OV_SWITCH="ON")*(COUNTIFS(OVR_TICKERS,INDEX(HSI!$C$7:$C$106,$N12),OVR_BASE,"&gt;=0")&gt;0)&gt;0,"stock overridden",""))</f>
        <v/>
      </c>
      <c r="L12" s="121">
        <f>IFERROR(IF(SMALL(Grids!$EE$12:$GQ$111,$M$7+3)&gt;=PEND_TO,"",SMALL(Grids!$EE$12:$GQ$111,$M$7+3)),"")</f>
        <v/>
      </c>
      <c r="M12" s="121">
        <f>IF($L12="","",INT($L12/1000000000))</f>
        <v/>
      </c>
      <c r="N12" s="121">
        <f>IF($L12="","",INT(($L12-INT($L12/1000000)*1000000)/1000))</f>
        <v/>
      </c>
      <c r="O12" s="121">
        <f>IF($L12="","",$L12-INT($L12/1000)*1000)</f>
        <v/>
      </c>
      <c r="P12" s="121">
        <f>IF($L12="","",INT(($L12-INT($L12/1000000000)*1000000000)/100000000))</f>
        <v/>
      </c>
    </row>
    <row r="13">
      <c r="B13" s="122">
        <f>IF($L13="","",$M13)</f>
        <v/>
      </c>
      <c r="C13" s="22">
        <f>IF($L13="","",INDEX(HSI!$C$7:$C$106,$N13))</f>
        <v/>
      </c>
      <c r="D13" s="22">
        <f>IF($L13="","",INDEX(HSI!$D$7:$D$106,$N13))</f>
        <v/>
      </c>
      <c r="E13" s="123">
        <f>IF($L13="","",IF($P13=0,"TBA",IFERROR(INDEX(Grids!$C$12:$BO$111,$N13,$O13),"-")))</f>
        <v/>
      </c>
      <c r="F13" s="22">
        <f>IF($L13="","",INDEX(HSI!$F$7:$F$106,$N13))</f>
        <v/>
      </c>
      <c r="G13" s="123">
        <f>IF($L13="","",IF($P13=0,"TBA",IFERROR(INDEX(Grids!$BQ$12:$EC$111,$N13,$O13),"-")))</f>
        <v/>
      </c>
      <c r="H13" s="124">
        <f>IF($L13="","",SUM($G$10:$G13))</f>
        <v/>
      </c>
      <c r="I13" s="45">
        <f>IF($L13="","",IF(INT(($L13-INT($L13/10000000)*10000000)/1000000)=0,"Bloomberg projection",IF($P13=1,"ANNOUNCED","ANNOUNCED - amount TBA")))</f>
        <v/>
      </c>
      <c r="J13" s="46">
        <f>IF($L13="","",IF((OV_SWITCH="ON")*(COUNTIFS(OVR_TICKERS,INDEX(HSI!$C$7:$C$106,$N13),OVR_BASE,"&gt;=0")&gt;0)&gt;0,"stock overridden",""))</f>
        <v/>
      </c>
      <c r="L13" s="121">
        <f>IFERROR(IF(SMALL(Grids!$EE$12:$GQ$111,$M$7+4)&gt;=PEND_TO,"",SMALL(Grids!$EE$12:$GQ$111,$M$7+4)),"")</f>
        <v/>
      </c>
      <c r="M13" s="121">
        <f>IF($L13="","",INT($L13/1000000000))</f>
        <v/>
      </c>
      <c r="N13" s="121">
        <f>IF($L13="","",INT(($L13-INT($L13/1000000)*1000000)/1000))</f>
        <v/>
      </c>
      <c r="O13" s="121">
        <f>IF($L13="","",$L13-INT($L13/1000)*1000)</f>
        <v/>
      </c>
      <c r="P13" s="121">
        <f>IF($L13="","",INT(($L13-INT($L13/1000000000)*1000000000)/100000000))</f>
        <v/>
      </c>
    </row>
    <row r="14">
      <c r="B14" s="122">
        <f>IF($L14="","",$M14)</f>
        <v/>
      </c>
      <c r="C14" s="22">
        <f>IF($L14="","",INDEX(HSI!$C$7:$C$106,$N14))</f>
        <v/>
      </c>
      <c r="D14" s="22">
        <f>IF($L14="","",INDEX(HSI!$D$7:$D$106,$N14))</f>
        <v/>
      </c>
      <c r="E14" s="123">
        <f>IF($L14="","",IF($P14=0,"TBA",IFERROR(INDEX(Grids!$C$12:$BO$111,$N14,$O14),"-")))</f>
        <v/>
      </c>
      <c r="F14" s="22">
        <f>IF($L14="","",INDEX(HSI!$F$7:$F$106,$N14))</f>
        <v/>
      </c>
      <c r="G14" s="123">
        <f>IF($L14="","",IF($P14=0,"TBA",IFERROR(INDEX(Grids!$BQ$12:$EC$111,$N14,$O14),"-")))</f>
        <v/>
      </c>
      <c r="H14" s="124">
        <f>IF($L14="","",SUM($G$10:$G14))</f>
        <v/>
      </c>
      <c r="I14" s="45">
        <f>IF($L14="","",IF(INT(($L14-INT($L14/10000000)*10000000)/1000000)=0,"Bloomberg projection",IF($P14=1,"ANNOUNCED","ANNOUNCED - amount TBA")))</f>
        <v/>
      </c>
      <c r="J14" s="46">
        <f>IF($L14="","",IF((OV_SWITCH="ON")*(COUNTIFS(OVR_TICKERS,INDEX(HSI!$C$7:$C$106,$N14),OVR_BASE,"&gt;=0")&gt;0)&gt;0,"stock overridden",""))</f>
        <v/>
      </c>
      <c r="L14" s="121">
        <f>IFERROR(IF(SMALL(Grids!$EE$12:$GQ$111,$M$7+5)&gt;=PEND_TO,"",SMALL(Grids!$EE$12:$GQ$111,$M$7+5)),"")</f>
        <v/>
      </c>
      <c r="M14" s="121">
        <f>IF($L14="","",INT($L14/1000000000))</f>
        <v/>
      </c>
      <c r="N14" s="121">
        <f>IF($L14="","",INT(($L14-INT($L14/1000000)*1000000)/1000))</f>
        <v/>
      </c>
      <c r="O14" s="121">
        <f>IF($L14="","",$L14-INT($L14/1000)*1000)</f>
        <v/>
      </c>
      <c r="P14" s="121">
        <f>IF($L14="","",INT(($L14-INT($L14/1000000000)*1000000000)/100000000))</f>
        <v/>
      </c>
    </row>
    <row r="15">
      <c r="B15" s="122">
        <f>IF($L15="","",$M15)</f>
        <v/>
      </c>
      <c r="C15" s="22">
        <f>IF($L15="","",INDEX(HSI!$C$7:$C$106,$N15))</f>
        <v/>
      </c>
      <c r="D15" s="22">
        <f>IF($L15="","",INDEX(HSI!$D$7:$D$106,$N15))</f>
        <v/>
      </c>
      <c r="E15" s="123">
        <f>IF($L15="","",IF($P15=0,"TBA",IFERROR(INDEX(Grids!$C$12:$BO$111,$N15,$O15),"-")))</f>
        <v/>
      </c>
      <c r="F15" s="22">
        <f>IF($L15="","",INDEX(HSI!$F$7:$F$106,$N15))</f>
        <v/>
      </c>
      <c r="G15" s="123">
        <f>IF($L15="","",IF($P15=0,"TBA",IFERROR(INDEX(Grids!$BQ$12:$EC$111,$N15,$O15),"-")))</f>
        <v/>
      </c>
      <c r="H15" s="124">
        <f>IF($L15="","",SUM($G$10:$G15))</f>
        <v/>
      </c>
      <c r="I15" s="45">
        <f>IF($L15="","",IF(INT(($L15-INT($L15/10000000)*10000000)/1000000)=0,"Bloomberg projection",IF($P15=1,"ANNOUNCED","ANNOUNCED - amount TBA")))</f>
        <v/>
      </c>
      <c r="J15" s="46">
        <f>IF($L15="","",IF((OV_SWITCH="ON")*(COUNTIFS(OVR_TICKERS,INDEX(HSI!$C$7:$C$106,$N15),OVR_BASE,"&gt;=0")&gt;0)&gt;0,"stock overridden",""))</f>
        <v/>
      </c>
      <c r="L15" s="121">
        <f>IFERROR(IF(SMALL(Grids!$EE$12:$GQ$111,$M$7+6)&gt;=PEND_TO,"",SMALL(Grids!$EE$12:$GQ$111,$M$7+6)),"")</f>
        <v/>
      </c>
      <c r="M15" s="121">
        <f>IF($L15="","",INT($L15/1000000000))</f>
        <v/>
      </c>
      <c r="N15" s="121">
        <f>IF($L15="","",INT(($L15-INT($L15/1000000)*1000000)/1000))</f>
        <v/>
      </c>
      <c r="O15" s="121">
        <f>IF($L15="","",$L15-INT($L15/1000)*1000)</f>
        <v/>
      </c>
      <c r="P15" s="121">
        <f>IF($L15="","",INT(($L15-INT($L15/1000000000)*1000000000)/100000000))</f>
        <v/>
      </c>
    </row>
    <row r="16">
      <c r="B16" s="122">
        <f>IF($L16="","",$M16)</f>
        <v/>
      </c>
      <c r="C16" s="22">
        <f>IF($L16="","",INDEX(HSI!$C$7:$C$106,$N16))</f>
        <v/>
      </c>
      <c r="D16" s="22">
        <f>IF($L16="","",INDEX(HSI!$D$7:$D$106,$N16))</f>
        <v/>
      </c>
      <c r="E16" s="123">
        <f>IF($L16="","",IF($P16=0,"TBA",IFERROR(INDEX(Grids!$C$12:$BO$111,$N16,$O16),"-")))</f>
        <v/>
      </c>
      <c r="F16" s="22">
        <f>IF($L16="","",INDEX(HSI!$F$7:$F$106,$N16))</f>
        <v/>
      </c>
      <c r="G16" s="123">
        <f>IF($L16="","",IF($P16=0,"TBA",IFERROR(INDEX(Grids!$BQ$12:$EC$111,$N16,$O16),"-")))</f>
        <v/>
      </c>
      <c r="H16" s="124">
        <f>IF($L16="","",SUM($G$10:$G16))</f>
        <v/>
      </c>
      <c r="I16" s="45">
        <f>IF($L16="","",IF(INT(($L16-INT($L16/10000000)*10000000)/1000000)=0,"Bloomberg projection",IF($P16=1,"ANNOUNCED","ANNOUNCED - amount TBA")))</f>
        <v/>
      </c>
      <c r="J16" s="46">
        <f>IF($L16="","",IF((OV_SWITCH="ON")*(COUNTIFS(OVR_TICKERS,INDEX(HSI!$C$7:$C$106,$N16),OVR_BASE,"&gt;=0")&gt;0)&gt;0,"stock overridden",""))</f>
        <v/>
      </c>
      <c r="L16" s="121">
        <f>IFERROR(IF(SMALL(Grids!$EE$12:$GQ$111,$M$7+7)&gt;=PEND_TO,"",SMALL(Grids!$EE$12:$GQ$111,$M$7+7)),"")</f>
        <v/>
      </c>
      <c r="M16" s="121">
        <f>IF($L16="","",INT($L16/1000000000))</f>
        <v/>
      </c>
      <c r="N16" s="121">
        <f>IF($L16="","",INT(($L16-INT($L16/1000000)*1000000)/1000))</f>
        <v/>
      </c>
      <c r="O16" s="121">
        <f>IF($L16="","",$L16-INT($L16/1000)*1000)</f>
        <v/>
      </c>
      <c r="P16" s="121">
        <f>IF($L16="","",INT(($L16-INT($L16/1000000000)*1000000000)/100000000))</f>
        <v/>
      </c>
    </row>
    <row r="17">
      <c r="B17" s="122">
        <f>IF($L17="","",$M17)</f>
        <v/>
      </c>
      <c r="C17" s="22">
        <f>IF($L17="","",INDEX(HSI!$C$7:$C$106,$N17))</f>
        <v/>
      </c>
      <c r="D17" s="22">
        <f>IF($L17="","",INDEX(HSI!$D$7:$D$106,$N17))</f>
        <v/>
      </c>
      <c r="E17" s="123">
        <f>IF($L17="","",IF($P17=0,"TBA",IFERROR(INDEX(Grids!$C$12:$BO$111,$N17,$O17),"-")))</f>
        <v/>
      </c>
      <c r="F17" s="22">
        <f>IF($L17="","",INDEX(HSI!$F$7:$F$106,$N17))</f>
        <v/>
      </c>
      <c r="G17" s="123">
        <f>IF($L17="","",IF($P17=0,"TBA",IFERROR(INDEX(Grids!$BQ$12:$EC$111,$N17,$O17),"-")))</f>
        <v/>
      </c>
      <c r="H17" s="124">
        <f>IF($L17="","",SUM($G$10:$G17))</f>
        <v/>
      </c>
      <c r="I17" s="45">
        <f>IF($L17="","",IF(INT(($L17-INT($L17/10000000)*10000000)/1000000)=0,"Bloomberg projection",IF($P17=1,"ANNOUNCED","ANNOUNCED - amount TBA")))</f>
        <v/>
      </c>
      <c r="J17" s="46">
        <f>IF($L17="","",IF((OV_SWITCH="ON")*(COUNTIFS(OVR_TICKERS,INDEX(HSI!$C$7:$C$106,$N17),OVR_BASE,"&gt;=0")&gt;0)&gt;0,"stock overridden",""))</f>
        <v/>
      </c>
      <c r="L17" s="121">
        <f>IFERROR(IF(SMALL(Grids!$EE$12:$GQ$111,$M$7+8)&gt;=PEND_TO,"",SMALL(Grids!$EE$12:$GQ$111,$M$7+8)),"")</f>
        <v/>
      </c>
      <c r="M17" s="121">
        <f>IF($L17="","",INT($L17/1000000000))</f>
        <v/>
      </c>
      <c r="N17" s="121">
        <f>IF($L17="","",INT(($L17-INT($L17/1000000)*1000000)/1000))</f>
        <v/>
      </c>
      <c r="O17" s="121">
        <f>IF($L17="","",$L17-INT($L17/1000)*1000)</f>
        <v/>
      </c>
      <c r="P17" s="121">
        <f>IF($L17="","",INT(($L17-INT($L17/1000000000)*1000000000)/100000000))</f>
        <v/>
      </c>
    </row>
    <row r="18">
      <c r="B18" s="122">
        <f>IF($L18="","",$M18)</f>
        <v/>
      </c>
      <c r="C18" s="22">
        <f>IF($L18="","",INDEX(HSI!$C$7:$C$106,$N18))</f>
        <v/>
      </c>
      <c r="D18" s="22">
        <f>IF($L18="","",INDEX(HSI!$D$7:$D$106,$N18))</f>
        <v/>
      </c>
      <c r="E18" s="123">
        <f>IF($L18="","",IF($P18=0,"TBA",IFERROR(INDEX(Grids!$C$12:$BO$111,$N18,$O18),"-")))</f>
        <v/>
      </c>
      <c r="F18" s="22">
        <f>IF($L18="","",INDEX(HSI!$F$7:$F$106,$N18))</f>
        <v/>
      </c>
      <c r="G18" s="123">
        <f>IF($L18="","",IF($P18=0,"TBA",IFERROR(INDEX(Grids!$BQ$12:$EC$111,$N18,$O18),"-")))</f>
        <v/>
      </c>
      <c r="H18" s="124">
        <f>IF($L18="","",SUM($G$10:$G18))</f>
        <v/>
      </c>
      <c r="I18" s="45">
        <f>IF($L18="","",IF(INT(($L18-INT($L18/10000000)*10000000)/1000000)=0,"Bloomberg projection",IF($P18=1,"ANNOUNCED","ANNOUNCED - amount TBA")))</f>
        <v/>
      </c>
      <c r="J18" s="46">
        <f>IF($L18="","",IF((OV_SWITCH="ON")*(COUNTIFS(OVR_TICKERS,INDEX(HSI!$C$7:$C$106,$N18),OVR_BASE,"&gt;=0")&gt;0)&gt;0,"stock overridden",""))</f>
        <v/>
      </c>
      <c r="L18" s="121">
        <f>IFERROR(IF(SMALL(Grids!$EE$12:$GQ$111,$M$7+9)&gt;=PEND_TO,"",SMALL(Grids!$EE$12:$GQ$111,$M$7+9)),"")</f>
        <v/>
      </c>
      <c r="M18" s="121">
        <f>IF($L18="","",INT($L18/1000000000))</f>
        <v/>
      </c>
      <c r="N18" s="121">
        <f>IF($L18="","",INT(($L18-INT($L18/1000000)*1000000)/1000))</f>
        <v/>
      </c>
      <c r="O18" s="121">
        <f>IF($L18="","",$L18-INT($L18/1000)*1000)</f>
        <v/>
      </c>
      <c r="P18" s="121">
        <f>IF($L18="","",INT(($L18-INT($L18/1000000000)*1000000000)/100000000))</f>
        <v/>
      </c>
    </row>
    <row r="19">
      <c r="B19" s="122">
        <f>IF($L19="","",$M19)</f>
        <v/>
      </c>
      <c r="C19" s="22">
        <f>IF($L19="","",INDEX(HSI!$C$7:$C$106,$N19))</f>
        <v/>
      </c>
      <c r="D19" s="22">
        <f>IF($L19="","",INDEX(HSI!$D$7:$D$106,$N19))</f>
        <v/>
      </c>
      <c r="E19" s="123">
        <f>IF($L19="","",IF($P19=0,"TBA",IFERROR(INDEX(Grids!$C$12:$BO$111,$N19,$O19),"-")))</f>
        <v/>
      </c>
      <c r="F19" s="22">
        <f>IF($L19="","",INDEX(HSI!$F$7:$F$106,$N19))</f>
        <v/>
      </c>
      <c r="G19" s="123">
        <f>IF($L19="","",IF($P19=0,"TBA",IFERROR(INDEX(Grids!$BQ$12:$EC$111,$N19,$O19),"-")))</f>
        <v/>
      </c>
      <c r="H19" s="124">
        <f>IF($L19="","",SUM($G$10:$G19))</f>
        <v/>
      </c>
      <c r="I19" s="45">
        <f>IF($L19="","",IF(INT(($L19-INT($L19/10000000)*10000000)/1000000)=0,"Bloomberg projection",IF($P19=1,"ANNOUNCED","ANNOUNCED - amount TBA")))</f>
        <v/>
      </c>
      <c r="J19" s="46">
        <f>IF($L19="","",IF((OV_SWITCH="ON")*(COUNTIFS(OVR_TICKERS,INDEX(HSI!$C$7:$C$106,$N19),OVR_BASE,"&gt;=0")&gt;0)&gt;0,"stock overridden",""))</f>
        <v/>
      </c>
      <c r="L19" s="121">
        <f>IFERROR(IF(SMALL(Grids!$EE$12:$GQ$111,$M$7+10)&gt;=PEND_TO,"",SMALL(Grids!$EE$12:$GQ$111,$M$7+10)),"")</f>
        <v/>
      </c>
      <c r="M19" s="121">
        <f>IF($L19="","",INT($L19/1000000000))</f>
        <v/>
      </c>
      <c r="N19" s="121">
        <f>IF($L19="","",INT(($L19-INT($L19/1000000)*1000000)/1000))</f>
        <v/>
      </c>
      <c r="O19" s="121">
        <f>IF($L19="","",$L19-INT($L19/1000)*1000)</f>
        <v/>
      </c>
      <c r="P19" s="121">
        <f>IF($L19="","",INT(($L19-INT($L19/1000000000)*1000000000)/100000000))</f>
        <v/>
      </c>
    </row>
    <row r="20">
      <c r="B20" s="122">
        <f>IF($L20="","",$M20)</f>
        <v/>
      </c>
      <c r="C20" s="22">
        <f>IF($L20="","",INDEX(HSI!$C$7:$C$106,$N20))</f>
        <v/>
      </c>
      <c r="D20" s="22">
        <f>IF($L20="","",INDEX(HSI!$D$7:$D$106,$N20))</f>
        <v/>
      </c>
      <c r="E20" s="123">
        <f>IF($L20="","",IF($P20=0,"TBA",IFERROR(INDEX(Grids!$C$12:$BO$111,$N20,$O20),"-")))</f>
        <v/>
      </c>
      <c r="F20" s="22">
        <f>IF($L20="","",INDEX(HSI!$F$7:$F$106,$N20))</f>
        <v/>
      </c>
      <c r="G20" s="123">
        <f>IF($L20="","",IF($P20=0,"TBA",IFERROR(INDEX(Grids!$BQ$12:$EC$111,$N20,$O20),"-")))</f>
        <v/>
      </c>
      <c r="H20" s="124">
        <f>IF($L20="","",SUM($G$10:$G20))</f>
        <v/>
      </c>
      <c r="I20" s="45">
        <f>IF($L20="","",IF(INT(($L20-INT($L20/10000000)*10000000)/1000000)=0,"Bloomberg projection",IF($P20=1,"ANNOUNCED","ANNOUNCED - amount TBA")))</f>
        <v/>
      </c>
      <c r="J20" s="46">
        <f>IF($L20="","",IF((OV_SWITCH="ON")*(COUNTIFS(OVR_TICKERS,INDEX(HSI!$C$7:$C$106,$N20),OVR_BASE,"&gt;=0")&gt;0)&gt;0,"stock overridden",""))</f>
        <v/>
      </c>
      <c r="L20" s="121">
        <f>IFERROR(IF(SMALL(Grids!$EE$12:$GQ$111,$M$7+11)&gt;=PEND_TO,"",SMALL(Grids!$EE$12:$GQ$111,$M$7+11)),"")</f>
        <v/>
      </c>
      <c r="M20" s="121">
        <f>IF($L20="","",INT($L20/1000000000))</f>
        <v/>
      </c>
      <c r="N20" s="121">
        <f>IF($L20="","",INT(($L20-INT($L20/1000000)*1000000)/1000))</f>
        <v/>
      </c>
      <c r="O20" s="121">
        <f>IF($L20="","",$L20-INT($L20/1000)*1000)</f>
        <v/>
      </c>
      <c r="P20" s="121">
        <f>IF($L20="","",INT(($L20-INT($L20/1000000000)*1000000000)/100000000))</f>
        <v/>
      </c>
    </row>
    <row r="21">
      <c r="B21" s="122">
        <f>IF($L21="","",$M21)</f>
        <v/>
      </c>
      <c r="C21" s="22">
        <f>IF($L21="","",INDEX(HSI!$C$7:$C$106,$N21))</f>
        <v/>
      </c>
      <c r="D21" s="22">
        <f>IF($L21="","",INDEX(HSI!$D$7:$D$106,$N21))</f>
        <v/>
      </c>
      <c r="E21" s="123">
        <f>IF($L21="","",IF($P21=0,"TBA",IFERROR(INDEX(Grids!$C$12:$BO$111,$N21,$O21),"-")))</f>
        <v/>
      </c>
      <c r="F21" s="22">
        <f>IF($L21="","",INDEX(HSI!$F$7:$F$106,$N21))</f>
        <v/>
      </c>
      <c r="G21" s="123">
        <f>IF($L21="","",IF($P21=0,"TBA",IFERROR(INDEX(Grids!$BQ$12:$EC$111,$N21,$O21),"-")))</f>
        <v/>
      </c>
      <c r="H21" s="124">
        <f>IF($L21="","",SUM($G$10:$G21))</f>
        <v/>
      </c>
      <c r="I21" s="45">
        <f>IF($L21="","",IF(INT(($L21-INT($L21/10000000)*10000000)/1000000)=0,"Bloomberg projection",IF($P21=1,"ANNOUNCED","ANNOUNCED - amount TBA")))</f>
        <v/>
      </c>
      <c r="J21" s="46">
        <f>IF($L21="","",IF((OV_SWITCH="ON")*(COUNTIFS(OVR_TICKERS,INDEX(HSI!$C$7:$C$106,$N21),OVR_BASE,"&gt;=0")&gt;0)&gt;0,"stock overridden",""))</f>
        <v/>
      </c>
      <c r="L21" s="121">
        <f>IFERROR(IF(SMALL(Grids!$EE$12:$GQ$111,$M$7+12)&gt;=PEND_TO,"",SMALL(Grids!$EE$12:$GQ$111,$M$7+12)),"")</f>
        <v/>
      </c>
      <c r="M21" s="121">
        <f>IF($L21="","",INT($L21/1000000000))</f>
        <v/>
      </c>
      <c r="N21" s="121">
        <f>IF($L21="","",INT(($L21-INT($L21/1000000)*1000000)/1000))</f>
        <v/>
      </c>
      <c r="O21" s="121">
        <f>IF($L21="","",$L21-INT($L21/1000)*1000)</f>
        <v/>
      </c>
      <c r="P21" s="121">
        <f>IF($L21="","",INT(($L21-INT($L21/1000000000)*1000000000)/100000000))</f>
        <v/>
      </c>
    </row>
    <row r="22">
      <c r="B22" s="122">
        <f>IF($L22="","",$M22)</f>
        <v/>
      </c>
      <c r="C22" s="22">
        <f>IF($L22="","",INDEX(HSI!$C$7:$C$106,$N22))</f>
        <v/>
      </c>
      <c r="D22" s="22">
        <f>IF($L22="","",INDEX(HSI!$D$7:$D$106,$N22))</f>
        <v/>
      </c>
      <c r="E22" s="123">
        <f>IF($L22="","",IF($P22=0,"TBA",IFERROR(INDEX(Grids!$C$12:$BO$111,$N22,$O22),"-")))</f>
        <v/>
      </c>
      <c r="F22" s="22">
        <f>IF($L22="","",INDEX(HSI!$F$7:$F$106,$N22))</f>
        <v/>
      </c>
      <c r="G22" s="123">
        <f>IF($L22="","",IF($P22=0,"TBA",IFERROR(INDEX(Grids!$BQ$12:$EC$111,$N22,$O22),"-")))</f>
        <v/>
      </c>
      <c r="H22" s="124">
        <f>IF($L22="","",SUM($G$10:$G22))</f>
        <v/>
      </c>
      <c r="I22" s="45">
        <f>IF($L22="","",IF(INT(($L22-INT($L22/10000000)*10000000)/1000000)=0,"Bloomberg projection",IF($P22=1,"ANNOUNCED","ANNOUNCED - amount TBA")))</f>
        <v/>
      </c>
      <c r="J22" s="46">
        <f>IF($L22="","",IF((OV_SWITCH="ON")*(COUNTIFS(OVR_TICKERS,INDEX(HSI!$C$7:$C$106,$N22),OVR_BASE,"&gt;=0")&gt;0)&gt;0,"stock overridden",""))</f>
        <v/>
      </c>
      <c r="L22" s="121">
        <f>IFERROR(IF(SMALL(Grids!$EE$12:$GQ$111,$M$7+13)&gt;=PEND_TO,"",SMALL(Grids!$EE$12:$GQ$111,$M$7+13)),"")</f>
        <v/>
      </c>
      <c r="M22" s="121">
        <f>IF($L22="","",INT($L22/1000000000))</f>
        <v/>
      </c>
      <c r="N22" s="121">
        <f>IF($L22="","",INT(($L22-INT($L22/1000000)*1000000)/1000))</f>
        <v/>
      </c>
      <c r="O22" s="121">
        <f>IF($L22="","",$L22-INT($L22/1000)*1000)</f>
        <v/>
      </c>
      <c r="P22" s="121">
        <f>IF($L22="","",INT(($L22-INT($L22/1000000000)*1000000000)/100000000))</f>
        <v/>
      </c>
    </row>
    <row r="23">
      <c r="B23" s="122">
        <f>IF($L23="","",$M23)</f>
        <v/>
      </c>
      <c r="C23" s="22">
        <f>IF($L23="","",INDEX(HSI!$C$7:$C$106,$N23))</f>
        <v/>
      </c>
      <c r="D23" s="22">
        <f>IF($L23="","",INDEX(HSI!$D$7:$D$106,$N23))</f>
        <v/>
      </c>
      <c r="E23" s="123">
        <f>IF($L23="","",IF($P23=0,"TBA",IFERROR(INDEX(Grids!$C$12:$BO$111,$N23,$O23),"-")))</f>
        <v/>
      </c>
      <c r="F23" s="22">
        <f>IF($L23="","",INDEX(HSI!$F$7:$F$106,$N23))</f>
        <v/>
      </c>
      <c r="G23" s="123">
        <f>IF($L23="","",IF($P23=0,"TBA",IFERROR(INDEX(Grids!$BQ$12:$EC$111,$N23,$O23),"-")))</f>
        <v/>
      </c>
      <c r="H23" s="124">
        <f>IF($L23="","",SUM($G$10:$G23))</f>
        <v/>
      </c>
      <c r="I23" s="45">
        <f>IF($L23="","",IF(INT(($L23-INT($L23/10000000)*10000000)/1000000)=0,"Bloomberg projection",IF($P23=1,"ANNOUNCED","ANNOUNCED - amount TBA")))</f>
        <v/>
      </c>
      <c r="J23" s="46">
        <f>IF($L23="","",IF((OV_SWITCH="ON")*(COUNTIFS(OVR_TICKERS,INDEX(HSI!$C$7:$C$106,$N23),OVR_BASE,"&gt;=0")&gt;0)&gt;0,"stock overridden",""))</f>
        <v/>
      </c>
      <c r="L23" s="121">
        <f>IFERROR(IF(SMALL(Grids!$EE$12:$GQ$111,$M$7+14)&gt;=PEND_TO,"",SMALL(Grids!$EE$12:$GQ$111,$M$7+14)),"")</f>
        <v/>
      </c>
      <c r="M23" s="121">
        <f>IF($L23="","",INT($L23/1000000000))</f>
        <v/>
      </c>
      <c r="N23" s="121">
        <f>IF($L23="","",INT(($L23-INT($L23/1000000)*1000000)/1000))</f>
        <v/>
      </c>
      <c r="O23" s="121">
        <f>IF($L23="","",$L23-INT($L23/1000)*1000)</f>
        <v/>
      </c>
      <c r="P23" s="121">
        <f>IF($L23="","",INT(($L23-INT($L23/1000000000)*1000000000)/100000000))</f>
        <v/>
      </c>
    </row>
    <row r="24">
      <c r="B24" s="122">
        <f>IF($L24="","",$M24)</f>
        <v/>
      </c>
      <c r="C24" s="22">
        <f>IF($L24="","",INDEX(HSI!$C$7:$C$106,$N24))</f>
        <v/>
      </c>
      <c r="D24" s="22">
        <f>IF($L24="","",INDEX(HSI!$D$7:$D$106,$N24))</f>
        <v/>
      </c>
      <c r="E24" s="123">
        <f>IF($L24="","",IF($P24=0,"TBA",IFERROR(INDEX(Grids!$C$12:$BO$111,$N24,$O24),"-")))</f>
        <v/>
      </c>
      <c r="F24" s="22">
        <f>IF($L24="","",INDEX(HSI!$F$7:$F$106,$N24))</f>
        <v/>
      </c>
      <c r="G24" s="123">
        <f>IF($L24="","",IF($P24=0,"TBA",IFERROR(INDEX(Grids!$BQ$12:$EC$111,$N24,$O24),"-")))</f>
        <v/>
      </c>
      <c r="H24" s="124">
        <f>IF($L24="","",SUM($G$10:$G24))</f>
        <v/>
      </c>
      <c r="I24" s="45">
        <f>IF($L24="","",IF(INT(($L24-INT($L24/10000000)*10000000)/1000000)=0,"Bloomberg projection",IF($P24=1,"ANNOUNCED","ANNOUNCED - amount TBA")))</f>
        <v/>
      </c>
      <c r="J24" s="46">
        <f>IF($L24="","",IF((OV_SWITCH="ON")*(COUNTIFS(OVR_TICKERS,INDEX(HSI!$C$7:$C$106,$N24),OVR_BASE,"&gt;=0")&gt;0)&gt;0,"stock overridden",""))</f>
        <v/>
      </c>
      <c r="L24" s="121">
        <f>IFERROR(IF(SMALL(Grids!$EE$12:$GQ$111,$M$7+15)&gt;=PEND_TO,"",SMALL(Grids!$EE$12:$GQ$111,$M$7+15)),"")</f>
        <v/>
      </c>
      <c r="M24" s="121">
        <f>IF($L24="","",INT($L24/1000000000))</f>
        <v/>
      </c>
      <c r="N24" s="121">
        <f>IF($L24="","",INT(($L24-INT($L24/1000000)*1000000)/1000))</f>
        <v/>
      </c>
      <c r="O24" s="121">
        <f>IF($L24="","",$L24-INT($L24/1000)*1000)</f>
        <v/>
      </c>
      <c r="P24" s="121">
        <f>IF($L24="","",INT(($L24-INT($L24/1000000000)*1000000000)/100000000))</f>
        <v/>
      </c>
    </row>
    <row r="25">
      <c r="B25" s="122">
        <f>IF($L25="","",$M25)</f>
        <v/>
      </c>
      <c r="C25" s="22">
        <f>IF($L25="","",INDEX(HSI!$C$7:$C$106,$N25))</f>
        <v/>
      </c>
      <c r="D25" s="22">
        <f>IF($L25="","",INDEX(HSI!$D$7:$D$106,$N25))</f>
        <v/>
      </c>
      <c r="E25" s="123">
        <f>IF($L25="","",IF($P25=0,"TBA",IFERROR(INDEX(Grids!$C$12:$BO$111,$N25,$O25),"-")))</f>
        <v/>
      </c>
      <c r="F25" s="22">
        <f>IF($L25="","",INDEX(HSI!$F$7:$F$106,$N25))</f>
        <v/>
      </c>
      <c r="G25" s="123">
        <f>IF($L25="","",IF($P25=0,"TBA",IFERROR(INDEX(Grids!$BQ$12:$EC$111,$N25,$O25),"-")))</f>
        <v/>
      </c>
      <c r="H25" s="124">
        <f>IF($L25="","",SUM($G$10:$G25))</f>
        <v/>
      </c>
      <c r="I25" s="45">
        <f>IF($L25="","",IF(INT(($L25-INT($L25/10000000)*10000000)/1000000)=0,"Bloomberg projection",IF($P25=1,"ANNOUNCED","ANNOUNCED - amount TBA")))</f>
        <v/>
      </c>
      <c r="J25" s="46">
        <f>IF($L25="","",IF((OV_SWITCH="ON")*(COUNTIFS(OVR_TICKERS,INDEX(HSI!$C$7:$C$106,$N25),OVR_BASE,"&gt;=0")&gt;0)&gt;0,"stock overridden",""))</f>
        <v/>
      </c>
      <c r="L25" s="121">
        <f>IFERROR(IF(SMALL(Grids!$EE$12:$GQ$111,$M$7+16)&gt;=PEND_TO,"",SMALL(Grids!$EE$12:$GQ$111,$M$7+16)),"")</f>
        <v/>
      </c>
      <c r="M25" s="121">
        <f>IF($L25="","",INT($L25/1000000000))</f>
        <v/>
      </c>
      <c r="N25" s="121">
        <f>IF($L25="","",INT(($L25-INT($L25/1000000)*1000000)/1000))</f>
        <v/>
      </c>
      <c r="O25" s="121">
        <f>IF($L25="","",$L25-INT($L25/1000)*1000)</f>
        <v/>
      </c>
      <c r="P25" s="121">
        <f>IF($L25="","",INT(($L25-INT($L25/1000000000)*1000000000)/100000000))</f>
        <v/>
      </c>
    </row>
    <row r="26">
      <c r="B26" s="122">
        <f>IF($L26="","",$M26)</f>
        <v/>
      </c>
      <c r="C26" s="22">
        <f>IF($L26="","",INDEX(HSI!$C$7:$C$106,$N26))</f>
        <v/>
      </c>
      <c r="D26" s="22">
        <f>IF($L26="","",INDEX(HSI!$D$7:$D$106,$N26))</f>
        <v/>
      </c>
      <c r="E26" s="123">
        <f>IF($L26="","",IF($P26=0,"TBA",IFERROR(INDEX(Grids!$C$12:$BO$111,$N26,$O26),"-")))</f>
        <v/>
      </c>
      <c r="F26" s="22">
        <f>IF($L26="","",INDEX(HSI!$F$7:$F$106,$N26))</f>
        <v/>
      </c>
      <c r="G26" s="123">
        <f>IF($L26="","",IF($P26=0,"TBA",IFERROR(INDEX(Grids!$BQ$12:$EC$111,$N26,$O26),"-")))</f>
        <v/>
      </c>
      <c r="H26" s="124">
        <f>IF($L26="","",SUM($G$10:$G26))</f>
        <v/>
      </c>
      <c r="I26" s="45">
        <f>IF($L26="","",IF(INT(($L26-INT($L26/10000000)*10000000)/1000000)=0,"Bloomberg projection",IF($P26=1,"ANNOUNCED","ANNOUNCED - amount TBA")))</f>
        <v/>
      </c>
      <c r="J26" s="46">
        <f>IF($L26="","",IF((OV_SWITCH="ON")*(COUNTIFS(OVR_TICKERS,INDEX(HSI!$C$7:$C$106,$N26),OVR_BASE,"&gt;=0")&gt;0)&gt;0,"stock overridden",""))</f>
        <v/>
      </c>
      <c r="L26" s="121">
        <f>IFERROR(IF(SMALL(Grids!$EE$12:$GQ$111,$M$7+17)&gt;=PEND_TO,"",SMALL(Grids!$EE$12:$GQ$111,$M$7+17)),"")</f>
        <v/>
      </c>
      <c r="M26" s="121">
        <f>IF($L26="","",INT($L26/1000000000))</f>
        <v/>
      </c>
      <c r="N26" s="121">
        <f>IF($L26="","",INT(($L26-INT($L26/1000000)*1000000)/1000))</f>
        <v/>
      </c>
      <c r="O26" s="121">
        <f>IF($L26="","",$L26-INT($L26/1000)*1000)</f>
        <v/>
      </c>
      <c r="P26" s="121">
        <f>IF($L26="","",INT(($L26-INT($L26/1000000000)*1000000000)/100000000))</f>
        <v/>
      </c>
    </row>
    <row r="27">
      <c r="B27" s="122">
        <f>IF($L27="","",$M27)</f>
        <v/>
      </c>
      <c r="C27" s="22">
        <f>IF($L27="","",INDEX(HSI!$C$7:$C$106,$N27))</f>
        <v/>
      </c>
      <c r="D27" s="22">
        <f>IF($L27="","",INDEX(HSI!$D$7:$D$106,$N27))</f>
        <v/>
      </c>
      <c r="E27" s="123">
        <f>IF($L27="","",IF($P27=0,"TBA",IFERROR(INDEX(Grids!$C$12:$BO$111,$N27,$O27),"-")))</f>
        <v/>
      </c>
      <c r="F27" s="22">
        <f>IF($L27="","",INDEX(HSI!$F$7:$F$106,$N27))</f>
        <v/>
      </c>
      <c r="G27" s="123">
        <f>IF($L27="","",IF($P27=0,"TBA",IFERROR(INDEX(Grids!$BQ$12:$EC$111,$N27,$O27),"-")))</f>
        <v/>
      </c>
      <c r="H27" s="124">
        <f>IF($L27="","",SUM($G$10:$G27))</f>
        <v/>
      </c>
      <c r="I27" s="45">
        <f>IF($L27="","",IF(INT(($L27-INT($L27/10000000)*10000000)/1000000)=0,"Bloomberg projection",IF($P27=1,"ANNOUNCED","ANNOUNCED - amount TBA")))</f>
        <v/>
      </c>
      <c r="J27" s="46">
        <f>IF($L27="","",IF((OV_SWITCH="ON")*(COUNTIFS(OVR_TICKERS,INDEX(HSI!$C$7:$C$106,$N27),OVR_BASE,"&gt;=0")&gt;0)&gt;0,"stock overridden",""))</f>
        <v/>
      </c>
      <c r="L27" s="121">
        <f>IFERROR(IF(SMALL(Grids!$EE$12:$GQ$111,$M$7+18)&gt;=PEND_TO,"",SMALL(Grids!$EE$12:$GQ$111,$M$7+18)),"")</f>
        <v/>
      </c>
      <c r="M27" s="121">
        <f>IF($L27="","",INT($L27/1000000000))</f>
        <v/>
      </c>
      <c r="N27" s="121">
        <f>IF($L27="","",INT(($L27-INT($L27/1000000)*1000000)/1000))</f>
        <v/>
      </c>
      <c r="O27" s="121">
        <f>IF($L27="","",$L27-INT($L27/1000)*1000)</f>
        <v/>
      </c>
      <c r="P27" s="121">
        <f>IF($L27="","",INT(($L27-INT($L27/1000000000)*1000000000)/100000000))</f>
        <v/>
      </c>
    </row>
    <row r="28">
      <c r="B28" s="122">
        <f>IF($L28="","",$M28)</f>
        <v/>
      </c>
      <c r="C28" s="22">
        <f>IF($L28="","",INDEX(HSI!$C$7:$C$106,$N28))</f>
        <v/>
      </c>
      <c r="D28" s="22">
        <f>IF($L28="","",INDEX(HSI!$D$7:$D$106,$N28))</f>
        <v/>
      </c>
      <c r="E28" s="123">
        <f>IF($L28="","",IF($P28=0,"TBA",IFERROR(INDEX(Grids!$C$12:$BO$111,$N28,$O28),"-")))</f>
        <v/>
      </c>
      <c r="F28" s="22">
        <f>IF($L28="","",INDEX(HSI!$F$7:$F$106,$N28))</f>
        <v/>
      </c>
      <c r="G28" s="123">
        <f>IF($L28="","",IF($P28=0,"TBA",IFERROR(INDEX(Grids!$BQ$12:$EC$111,$N28,$O28),"-")))</f>
        <v/>
      </c>
      <c r="H28" s="124">
        <f>IF($L28="","",SUM($G$10:$G28))</f>
        <v/>
      </c>
      <c r="I28" s="45">
        <f>IF($L28="","",IF(INT(($L28-INT($L28/10000000)*10000000)/1000000)=0,"Bloomberg projection",IF($P28=1,"ANNOUNCED","ANNOUNCED - amount TBA")))</f>
        <v/>
      </c>
      <c r="J28" s="46">
        <f>IF($L28="","",IF((OV_SWITCH="ON")*(COUNTIFS(OVR_TICKERS,INDEX(HSI!$C$7:$C$106,$N28),OVR_BASE,"&gt;=0")&gt;0)&gt;0,"stock overridden",""))</f>
        <v/>
      </c>
      <c r="L28" s="121">
        <f>IFERROR(IF(SMALL(Grids!$EE$12:$GQ$111,$M$7+19)&gt;=PEND_TO,"",SMALL(Grids!$EE$12:$GQ$111,$M$7+19)),"")</f>
        <v/>
      </c>
      <c r="M28" s="121">
        <f>IF($L28="","",INT($L28/1000000000))</f>
        <v/>
      </c>
      <c r="N28" s="121">
        <f>IF($L28="","",INT(($L28-INT($L28/1000000)*1000000)/1000))</f>
        <v/>
      </c>
      <c r="O28" s="121">
        <f>IF($L28="","",$L28-INT($L28/1000)*1000)</f>
        <v/>
      </c>
      <c r="P28" s="121">
        <f>IF($L28="","",INT(($L28-INT($L28/1000000000)*1000000000)/100000000))</f>
        <v/>
      </c>
    </row>
    <row r="29">
      <c r="B29" s="122">
        <f>IF($L29="","",$M29)</f>
        <v/>
      </c>
      <c r="C29" s="22">
        <f>IF($L29="","",INDEX(HSI!$C$7:$C$106,$N29))</f>
        <v/>
      </c>
      <c r="D29" s="22">
        <f>IF($L29="","",INDEX(HSI!$D$7:$D$106,$N29))</f>
        <v/>
      </c>
      <c r="E29" s="123">
        <f>IF($L29="","",IF($P29=0,"TBA",IFERROR(INDEX(Grids!$C$12:$BO$111,$N29,$O29),"-")))</f>
        <v/>
      </c>
      <c r="F29" s="22">
        <f>IF($L29="","",INDEX(HSI!$F$7:$F$106,$N29))</f>
        <v/>
      </c>
      <c r="G29" s="123">
        <f>IF($L29="","",IF($P29=0,"TBA",IFERROR(INDEX(Grids!$BQ$12:$EC$111,$N29,$O29),"-")))</f>
        <v/>
      </c>
      <c r="H29" s="124">
        <f>IF($L29="","",SUM($G$10:$G29))</f>
        <v/>
      </c>
      <c r="I29" s="45">
        <f>IF($L29="","",IF(INT(($L29-INT($L29/10000000)*10000000)/1000000)=0,"Bloomberg projection",IF($P29=1,"ANNOUNCED","ANNOUNCED - amount TBA")))</f>
        <v/>
      </c>
      <c r="J29" s="46">
        <f>IF($L29="","",IF((OV_SWITCH="ON")*(COUNTIFS(OVR_TICKERS,INDEX(HSI!$C$7:$C$106,$N29),OVR_BASE,"&gt;=0")&gt;0)&gt;0,"stock overridden",""))</f>
        <v/>
      </c>
      <c r="L29" s="121">
        <f>IFERROR(IF(SMALL(Grids!$EE$12:$GQ$111,$M$7+20)&gt;=PEND_TO,"",SMALL(Grids!$EE$12:$GQ$111,$M$7+20)),"")</f>
        <v/>
      </c>
      <c r="M29" s="121">
        <f>IF($L29="","",INT($L29/1000000000))</f>
        <v/>
      </c>
      <c r="N29" s="121">
        <f>IF($L29="","",INT(($L29-INT($L29/1000000)*1000000)/1000))</f>
        <v/>
      </c>
      <c r="O29" s="121">
        <f>IF($L29="","",$L29-INT($L29/1000)*1000)</f>
        <v/>
      </c>
      <c r="P29" s="121">
        <f>IF($L29="","",INT(($L29-INT($L29/1000000000)*1000000000)/100000000))</f>
        <v/>
      </c>
    </row>
    <row r="30">
      <c r="B30" s="122">
        <f>IF($L30="","",$M30)</f>
        <v/>
      </c>
      <c r="C30" s="22">
        <f>IF($L30="","",INDEX(HSI!$C$7:$C$106,$N30))</f>
        <v/>
      </c>
      <c r="D30" s="22">
        <f>IF($L30="","",INDEX(HSI!$D$7:$D$106,$N30))</f>
        <v/>
      </c>
      <c r="E30" s="123">
        <f>IF($L30="","",IF($P30=0,"TBA",IFERROR(INDEX(Grids!$C$12:$BO$111,$N30,$O30),"-")))</f>
        <v/>
      </c>
      <c r="F30" s="22">
        <f>IF($L30="","",INDEX(HSI!$F$7:$F$106,$N30))</f>
        <v/>
      </c>
      <c r="G30" s="123">
        <f>IF($L30="","",IF($P30=0,"TBA",IFERROR(INDEX(Grids!$BQ$12:$EC$111,$N30,$O30),"-")))</f>
        <v/>
      </c>
      <c r="H30" s="124">
        <f>IF($L30="","",SUM($G$10:$G30))</f>
        <v/>
      </c>
      <c r="I30" s="45">
        <f>IF($L30="","",IF(INT(($L30-INT($L30/10000000)*10000000)/1000000)=0,"Bloomberg projection",IF($P30=1,"ANNOUNCED","ANNOUNCED - amount TBA")))</f>
        <v/>
      </c>
      <c r="J30" s="46">
        <f>IF($L30="","",IF((OV_SWITCH="ON")*(COUNTIFS(OVR_TICKERS,INDEX(HSI!$C$7:$C$106,$N30),OVR_BASE,"&gt;=0")&gt;0)&gt;0,"stock overridden",""))</f>
        <v/>
      </c>
      <c r="L30" s="121">
        <f>IFERROR(IF(SMALL(Grids!$EE$12:$GQ$111,$M$7+21)&gt;=PEND_TO,"",SMALL(Grids!$EE$12:$GQ$111,$M$7+21)),"")</f>
        <v/>
      </c>
      <c r="M30" s="121">
        <f>IF($L30="","",INT($L30/1000000000))</f>
        <v/>
      </c>
      <c r="N30" s="121">
        <f>IF($L30="","",INT(($L30-INT($L30/1000000)*1000000)/1000))</f>
        <v/>
      </c>
      <c r="O30" s="121">
        <f>IF($L30="","",$L30-INT($L30/1000)*1000)</f>
        <v/>
      </c>
      <c r="P30" s="121">
        <f>IF($L30="","",INT(($L30-INT($L30/1000000000)*1000000000)/100000000))</f>
        <v/>
      </c>
    </row>
    <row r="31">
      <c r="B31" s="122">
        <f>IF($L31="","",$M31)</f>
        <v/>
      </c>
      <c r="C31" s="22">
        <f>IF($L31="","",INDEX(HSI!$C$7:$C$106,$N31))</f>
        <v/>
      </c>
      <c r="D31" s="22">
        <f>IF($L31="","",INDEX(HSI!$D$7:$D$106,$N31))</f>
        <v/>
      </c>
      <c r="E31" s="123">
        <f>IF($L31="","",IF($P31=0,"TBA",IFERROR(INDEX(Grids!$C$12:$BO$111,$N31,$O31),"-")))</f>
        <v/>
      </c>
      <c r="F31" s="22">
        <f>IF($L31="","",INDEX(HSI!$F$7:$F$106,$N31))</f>
        <v/>
      </c>
      <c r="G31" s="123">
        <f>IF($L31="","",IF($P31=0,"TBA",IFERROR(INDEX(Grids!$BQ$12:$EC$111,$N31,$O31),"-")))</f>
        <v/>
      </c>
      <c r="H31" s="124">
        <f>IF($L31="","",SUM($G$10:$G31))</f>
        <v/>
      </c>
      <c r="I31" s="45">
        <f>IF($L31="","",IF(INT(($L31-INT($L31/10000000)*10000000)/1000000)=0,"Bloomberg projection",IF($P31=1,"ANNOUNCED","ANNOUNCED - amount TBA")))</f>
        <v/>
      </c>
      <c r="J31" s="46">
        <f>IF($L31="","",IF((OV_SWITCH="ON")*(COUNTIFS(OVR_TICKERS,INDEX(HSI!$C$7:$C$106,$N31),OVR_BASE,"&gt;=0")&gt;0)&gt;0,"stock overridden",""))</f>
        <v/>
      </c>
      <c r="L31" s="121">
        <f>IFERROR(IF(SMALL(Grids!$EE$12:$GQ$111,$M$7+22)&gt;=PEND_TO,"",SMALL(Grids!$EE$12:$GQ$111,$M$7+22)),"")</f>
        <v/>
      </c>
      <c r="M31" s="121">
        <f>IF($L31="","",INT($L31/1000000000))</f>
        <v/>
      </c>
      <c r="N31" s="121">
        <f>IF($L31="","",INT(($L31-INT($L31/1000000)*1000000)/1000))</f>
        <v/>
      </c>
      <c r="O31" s="121">
        <f>IF($L31="","",$L31-INT($L31/1000)*1000)</f>
        <v/>
      </c>
      <c r="P31" s="121">
        <f>IF($L31="","",INT(($L31-INT($L31/1000000000)*1000000000)/100000000))</f>
        <v/>
      </c>
    </row>
    <row r="32">
      <c r="B32" s="122">
        <f>IF($L32="","",$M32)</f>
        <v/>
      </c>
      <c r="C32" s="22">
        <f>IF($L32="","",INDEX(HSI!$C$7:$C$106,$N32))</f>
        <v/>
      </c>
      <c r="D32" s="22">
        <f>IF($L32="","",INDEX(HSI!$D$7:$D$106,$N32))</f>
        <v/>
      </c>
      <c r="E32" s="123">
        <f>IF($L32="","",IF($P32=0,"TBA",IFERROR(INDEX(Grids!$C$12:$BO$111,$N32,$O32),"-")))</f>
        <v/>
      </c>
      <c r="F32" s="22">
        <f>IF($L32="","",INDEX(HSI!$F$7:$F$106,$N32))</f>
        <v/>
      </c>
      <c r="G32" s="123">
        <f>IF($L32="","",IF($P32=0,"TBA",IFERROR(INDEX(Grids!$BQ$12:$EC$111,$N32,$O32),"-")))</f>
        <v/>
      </c>
      <c r="H32" s="124">
        <f>IF($L32="","",SUM($G$10:$G32))</f>
        <v/>
      </c>
      <c r="I32" s="45">
        <f>IF($L32="","",IF(INT(($L32-INT($L32/10000000)*10000000)/1000000)=0,"Bloomberg projection",IF($P32=1,"ANNOUNCED","ANNOUNCED - amount TBA")))</f>
        <v/>
      </c>
      <c r="J32" s="46">
        <f>IF($L32="","",IF((OV_SWITCH="ON")*(COUNTIFS(OVR_TICKERS,INDEX(HSI!$C$7:$C$106,$N32),OVR_BASE,"&gt;=0")&gt;0)&gt;0,"stock overridden",""))</f>
        <v/>
      </c>
      <c r="L32" s="121">
        <f>IFERROR(IF(SMALL(Grids!$EE$12:$GQ$111,$M$7+23)&gt;=PEND_TO,"",SMALL(Grids!$EE$12:$GQ$111,$M$7+23)),"")</f>
        <v/>
      </c>
      <c r="M32" s="121">
        <f>IF($L32="","",INT($L32/1000000000))</f>
        <v/>
      </c>
      <c r="N32" s="121">
        <f>IF($L32="","",INT(($L32-INT($L32/1000000)*1000000)/1000))</f>
        <v/>
      </c>
      <c r="O32" s="121">
        <f>IF($L32="","",$L32-INT($L32/1000)*1000)</f>
        <v/>
      </c>
      <c r="P32" s="121">
        <f>IF($L32="","",INT(($L32-INT($L32/1000000000)*1000000000)/100000000))</f>
        <v/>
      </c>
    </row>
    <row r="33">
      <c r="B33" s="122">
        <f>IF($L33="","",$M33)</f>
        <v/>
      </c>
      <c r="C33" s="22">
        <f>IF($L33="","",INDEX(HSI!$C$7:$C$106,$N33))</f>
        <v/>
      </c>
      <c r="D33" s="22">
        <f>IF($L33="","",INDEX(HSI!$D$7:$D$106,$N33))</f>
        <v/>
      </c>
      <c r="E33" s="123">
        <f>IF($L33="","",IF($P33=0,"TBA",IFERROR(INDEX(Grids!$C$12:$BO$111,$N33,$O33),"-")))</f>
        <v/>
      </c>
      <c r="F33" s="22">
        <f>IF($L33="","",INDEX(HSI!$F$7:$F$106,$N33))</f>
        <v/>
      </c>
      <c r="G33" s="123">
        <f>IF($L33="","",IF($P33=0,"TBA",IFERROR(INDEX(Grids!$BQ$12:$EC$111,$N33,$O33),"-")))</f>
        <v/>
      </c>
      <c r="H33" s="124">
        <f>IF($L33="","",SUM($G$10:$G33))</f>
        <v/>
      </c>
      <c r="I33" s="45">
        <f>IF($L33="","",IF(INT(($L33-INT($L33/10000000)*10000000)/1000000)=0,"Bloomberg projection",IF($P33=1,"ANNOUNCED","ANNOUNCED - amount TBA")))</f>
        <v/>
      </c>
      <c r="J33" s="46">
        <f>IF($L33="","",IF((OV_SWITCH="ON")*(COUNTIFS(OVR_TICKERS,INDEX(HSI!$C$7:$C$106,$N33),OVR_BASE,"&gt;=0")&gt;0)&gt;0,"stock overridden",""))</f>
        <v/>
      </c>
      <c r="L33" s="121">
        <f>IFERROR(IF(SMALL(Grids!$EE$12:$GQ$111,$M$7+24)&gt;=PEND_TO,"",SMALL(Grids!$EE$12:$GQ$111,$M$7+24)),"")</f>
        <v/>
      </c>
      <c r="M33" s="121">
        <f>IF($L33="","",INT($L33/1000000000))</f>
        <v/>
      </c>
      <c r="N33" s="121">
        <f>IF($L33="","",INT(($L33-INT($L33/1000000)*1000000)/1000))</f>
        <v/>
      </c>
      <c r="O33" s="121">
        <f>IF($L33="","",$L33-INT($L33/1000)*1000)</f>
        <v/>
      </c>
      <c r="P33" s="121">
        <f>IF($L33="","",INT(($L33-INT($L33/1000000000)*1000000000)/100000000))</f>
        <v/>
      </c>
    </row>
    <row r="34">
      <c r="B34" s="122">
        <f>IF($L34="","",$M34)</f>
        <v/>
      </c>
      <c r="C34" s="22">
        <f>IF($L34="","",INDEX(HSI!$C$7:$C$106,$N34))</f>
        <v/>
      </c>
      <c r="D34" s="22">
        <f>IF($L34="","",INDEX(HSI!$D$7:$D$106,$N34))</f>
        <v/>
      </c>
      <c r="E34" s="123">
        <f>IF($L34="","",IF($P34=0,"TBA",IFERROR(INDEX(Grids!$C$12:$BO$111,$N34,$O34),"-")))</f>
        <v/>
      </c>
      <c r="F34" s="22">
        <f>IF($L34="","",INDEX(HSI!$F$7:$F$106,$N34))</f>
        <v/>
      </c>
      <c r="G34" s="123">
        <f>IF($L34="","",IF($P34=0,"TBA",IFERROR(INDEX(Grids!$BQ$12:$EC$111,$N34,$O34),"-")))</f>
        <v/>
      </c>
      <c r="H34" s="124">
        <f>IF($L34="","",SUM($G$10:$G34))</f>
        <v/>
      </c>
      <c r="I34" s="45">
        <f>IF($L34="","",IF(INT(($L34-INT($L34/10000000)*10000000)/1000000)=0,"Bloomberg projection",IF($P34=1,"ANNOUNCED","ANNOUNCED - amount TBA")))</f>
        <v/>
      </c>
      <c r="J34" s="46">
        <f>IF($L34="","",IF((OV_SWITCH="ON")*(COUNTIFS(OVR_TICKERS,INDEX(HSI!$C$7:$C$106,$N34),OVR_BASE,"&gt;=0")&gt;0)&gt;0,"stock overridden",""))</f>
        <v/>
      </c>
      <c r="L34" s="121">
        <f>IFERROR(IF(SMALL(Grids!$EE$12:$GQ$111,$M$7+25)&gt;=PEND_TO,"",SMALL(Grids!$EE$12:$GQ$111,$M$7+25)),"")</f>
        <v/>
      </c>
      <c r="M34" s="121">
        <f>IF($L34="","",INT($L34/1000000000))</f>
        <v/>
      </c>
      <c r="N34" s="121">
        <f>IF($L34="","",INT(($L34-INT($L34/1000000)*1000000)/1000))</f>
        <v/>
      </c>
      <c r="O34" s="121">
        <f>IF($L34="","",$L34-INT($L34/1000)*1000)</f>
        <v/>
      </c>
      <c r="P34" s="121">
        <f>IF($L34="","",INT(($L34-INT($L34/1000000000)*1000000000)/100000000))</f>
        <v/>
      </c>
    </row>
    <row r="35">
      <c r="B35" s="122">
        <f>IF($L35="","",$M35)</f>
        <v/>
      </c>
      <c r="C35" s="22">
        <f>IF($L35="","",INDEX(HSI!$C$7:$C$106,$N35))</f>
        <v/>
      </c>
      <c r="D35" s="22">
        <f>IF($L35="","",INDEX(HSI!$D$7:$D$106,$N35))</f>
        <v/>
      </c>
      <c r="E35" s="123">
        <f>IF($L35="","",IF($P35=0,"TBA",IFERROR(INDEX(Grids!$C$12:$BO$111,$N35,$O35),"-")))</f>
        <v/>
      </c>
      <c r="F35" s="22">
        <f>IF($L35="","",INDEX(HSI!$F$7:$F$106,$N35))</f>
        <v/>
      </c>
      <c r="G35" s="123">
        <f>IF($L35="","",IF($P35=0,"TBA",IFERROR(INDEX(Grids!$BQ$12:$EC$111,$N35,$O35),"-")))</f>
        <v/>
      </c>
      <c r="H35" s="124">
        <f>IF($L35="","",SUM($G$10:$G35))</f>
        <v/>
      </c>
      <c r="I35" s="45">
        <f>IF($L35="","",IF(INT(($L35-INT($L35/10000000)*10000000)/1000000)=0,"Bloomberg projection",IF($P35=1,"ANNOUNCED","ANNOUNCED - amount TBA")))</f>
        <v/>
      </c>
      <c r="J35" s="46">
        <f>IF($L35="","",IF((OV_SWITCH="ON")*(COUNTIFS(OVR_TICKERS,INDEX(HSI!$C$7:$C$106,$N35),OVR_BASE,"&gt;=0")&gt;0)&gt;0,"stock overridden",""))</f>
        <v/>
      </c>
      <c r="L35" s="121">
        <f>IFERROR(IF(SMALL(Grids!$EE$12:$GQ$111,$M$7+26)&gt;=PEND_TO,"",SMALL(Grids!$EE$12:$GQ$111,$M$7+26)),"")</f>
        <v/>
      </c>
      <c r="M35" s="121">
        <f>IF($L35="","",INT($L35/1000000000))</f>
        <v/>
      </c>
      <c r="N35" s="121">
        <f>IF($L35="","",INT(($L35-INT($L35/1000000)*1000000)/1000))</f>
        <v/>
      </c>
      <c r="O35" s="121">
        <f>IF($L35="","",$L35-INT($L35/1000)*1000)</f>
        <v/>
      </c>
      <c r="P35" s="121">
        <f>IF($L35="","",INT(($L35-INT($L35/1000000000)*1000000000)/100000000))</f>
        <v/>
      </c>
    </row>
    <row r="36">
      <c r="B36" s="122">
        <f>IF($L36="","",$M36)</f>
        <v/>
      </c>
      <c r="C36" s="22">
        <f>IF($L36="","",INDEX(HSI!$C$7:$C$106,$N36))</f>
        <v/>
      </c>
      <c r="D36" s="22">
        <f>IF($L36="","",INDEX(HSI!$D$7:$D$106,$N36))</f>
        <v/>
      </c>
      <c r="E36" s="123">
        <f>IF($L36="","",IF($P36=0,"TBA",IFERROR(INDEX(Grids!$C$12:$BO$111,$N36,$O36),"-")))</f>
        <v/>
      </c>
      <c r="F36" s="22">
        <f>IF($L36="","",INDEX(HSI!$F$7:$F$106,$N36))</f>
        <v/>
      </c>
      <c r="G36" s="123">
        <f>IF($L36="","",IF($P36=0,"TBA",IFERROR(INDEX(Grids!$BQ$12:$EC$111,$N36,$O36),"-")))</f>
        <v/>
      </c>
      <c r="H36" s="124">
        <f>IF($L36="","",SUM($G$10:$G36))</f>
        <v/>
      </c>
      <c r="I36" s="45">
        <f>IF($L36="","",IF(INT(($L36-INT($L36/10000000)*10000000)/1000000)=0,"Bloomberg projection",IF($P36=1,"ANNOUNCED","ANNOUNCED - amount TBA")))</f>
        <v/>
      </c>
      <c r="J36" s="46">
        <f>IF($L36="","",IF((OV_SWITCH="ON")*(COUNTIFS(OVR_TICKERS,INDEX(HSI!$C$7:$C$106,$N36),OVR_BASE,"&gt;=0")&gt;0)&gt;0,"stock overridden",""))</f>
        <v/>
      </c>
      <c r="L36" s="121">
        <f>IFERROR(IF(SMALL(Grids!$EE$12:$GQ$111,$M$7+27)&gt;=PEND_TO,"",SMALL(Grids!$EE$12:$GQ$111,$M$7+27)),"")</f>
        <v/>
      </c>
      <c r="M36" s="121">
        <f>IF($L36="","",INT($L36/1000000000))</f>
        <v/>
      </c>
      <c r="N36" s="121">
        <f>IF($L36="","",INT(($L36-INT($L36/1000000)*1000000)/1000))</f>
        <v/>
      </c>
      <c r="O36" s="121">
        <f>IF($L36="","",$L36-INT($L36/1000)*1000)</f>
        <v/>
      </c>
      <c r="P36" s="121">
        <f>IF($L36="","",INT(($L36-INT($L36/1000000000)*1000000000)/100000000))</f>
        <v/>
      </c>
    </row>
    <row r="37">
      <c r="B37" s="122">
        <f>IF($L37="","",$M37)</f>
        <v/>
      </c>
      <c r="C37" s="22">
        <f>IF($L37="","",INDEX(HSI!$C$7:$C$106,$N37))</f>
        <v/>
      </c>
      <c r="D37" s="22">
        <f>IF($L37="","",INDEX(HSI!$D$7:$D$106,$N37))</f>
        <v/>
      </c>
      <c r="E37" s="123">
        <f>IF($L37="","",IF($P37=0,"TBA",IFERROR(INDEX(Grids!$C$12:$BO$111,$N37,$O37),"-")))</f>
        <v/>
      </c>
      <c r="F37" s="22">
        <f>IF($L37="","",INDEX(HSI!$F$7:$F$106,$N37))</f>
        <v/>
      </c>
      <c r="G37" s="123">
        <f>IF($L37="","",IF($P37=0,"TBA",IFERROR(INDEX(Grids!$BQ$12:$EC$111,$N37,$O37),"-")))</f>
        <v/>
      </c>
      <c r="H37" s="124">
        <f>IF($L37="","",SUM($G$10:$G37))</f>
        <v/>
      </c>
      <c r="I37" s="45">
        <f>IF($L37="","",IF(INT(($L37-INT($L37/10000000)*10000000)/1000000)=0,"Bloomberg projection",IF($P37=1,"ANNOUNCED","ANNOUNCED - amount TBA")))</f>
        <v/>
      </c>
      <c r="J37" s="46">
        <f>IF($L37="","",IF((OV_SWITCH="ON")*(COUNTIFS(OVR_TICKERS,INDEX(HSI!$C$7:$C$106,$N37),OVR_BASE,"&gt;=0")&gt;0)&gt;0,"stock overridden",""))</f>
        <v/>
      </c>
      <c r="L37" s="121">
        <f>IFERROR(IF(SMALL(Grids!$EE$12:$GQ$111,$M$7+28)&gt;=PEND_TO,"",SMALL(Grids!$EE$12:$GQ$111,$M$7+28)),"")</f>
        <v/>
      </c>
      <c r="M37" s="121">
        <f>IF($L37="","",INT($L37/1000000000))</f>
        <v/>
      </c>
      <c r="N37" s="121">
        <f>IF($L37="","",INT(($L37-INT($L37/1000000)*1000000)/1000))</f>
        <v/>
      </c>
      <c r="O37" s="121">
        <f>IF($L37="","",$L37-INT($L37/1000)*1000)</f>
        <v/>
      </c>
      <c r="P37" s="121">
        <f>IF($L37="","",INT(($L37-INT($L37/1000000000)*1000000000)/100000000))</f>
        <v/>
      </c>
    </row>
    <row r="38">
      <c r="B38" s="122">
        <f>IF($L38="","",$M38)</f>
        <v/>
      </c>
      <c r="C38" s="22">
        <f>IF($L38="","",INDEX(HSI!$C$7:$C$106,$N38))</f>
        <v/>
      </c>
      <c r="D38" s="22">
        <f>IF($L38="","",INDEX(HSI!$D$7:$D$106,$N38))</f>
        <v/>
      </c>
      <c r="E38" s="123">
        <f>IF($L38="","",IF($P38=0,"TBA",IFERROR(INDEX(Grids!$C$12:$BO$111,$N38,$O38),"-")))</f>
        <v/>
      </c>
      <c r="F38" s="22">
        <f>IF($L38="","",INDEX(HSI!$F$7:$F$106,$N38))</f>
        <v/>
      </c>
      <c r="G38" s="123">
        <f>IF($L38="","",IF($P38=0,"TBA",IFERROR(INDEX(Grids!$BQ$12:$EC$111,$N38,$O38),"-")))</f>
        <v/>
      </c>
      <c r="H38" s="124">
        <f>IF($L38="","",SUM($G$10:$G38))</f>
        <v/>
      </c>
      <c r="I38" s="45">
        <f>IF($L38="","",IF(INT(($L38-INT($L38/10000000)*10000000)/1000000)=0,"Bloomberg projection",IF($P38=1,"ANNOUNCED","ANNOUNCED - amount TBA")))</f>
        <v/>
      </c>
      <c r="J38" s="46">
        <f>IF($L38="","",IF((OV_SWITCH="ON")*(COUNTIFS(OVR_TICKERS,INDEX(HSI!$C$7:$C$106,$N38),OVR_BASE,"&gt;=0")&gt;0)&gt;0,"stock overridden",""))</f>
        <v/>
      </c>
      <c r="L38" s="121">
        <f>IFERROR(IF(SMALL(Grids!$EE$12:$GQ$111,$M$7+29)&gt;=PEND_TO,"",SMALL(Grids!$EE$12:$GQ$111,$M$7+29)),"")</f>
        <v/>
      </c>
      <c r="M38" s="121">
        <f>IF($L38="","",INT($L38/1000000000))</f>
        <v/>
      </c>
      <c r="N38" s="121">
        <f>IF($L38="","",INT(($L38-INT($L38/1000000)*1000000)/1000))</f>
        <v/>
      </c>
      <c r="O38" s="121">
        <f>IF($L38="","",$L38-INT($L38/1000)*1000)</f>
        <v/>
      </c>
      <c r="P38" s="121">
        <f>IF($L38="","",INT(($L38-INT($L38/1000000000)*1000000000)/100000000))</f>
        <v/>
      </c>
    </row>
    <row r="39">
      <c r="B39" s="122">
        <f>IF($L39="","",$M39)</f>
        <v/>
      </c>
      <c r="C39" s="22">
        <f>IF($L39="","",INDEX(HSI!$C$7:$C$106,$N39))</f>
        <v/>
      </c>
      <c r="D39" s="22">
        <f>IF($L39="","",INDEX(HSI!$D$7:$D$106,$N39))</f>
        <v/>
      </c>
      <c r="E39" s="123">
        <f>IF($L39="","",IF($P39=0,"TBA",IFERROR(INDEX(Grids!$C$12:$BO$111,$N39,$O39),"-")))</f>
        <v/>
      </c>
      <c r="F39" s="22">
        <f>IF($L39="","",INDEX(HSI!$F$7:$F$106,$N39))</f>
        <v/>
      </c>
      <c r="G39" s="123">
        <f>IF($L39="","",IF($P39=0,"TBA",IFERROR(INDEX(Grids!$BQ$12:$EC$111,$N39,$O39),"-")))</f>
        <v/>
      </c>
      <c r="H39" s="124">
        <f>IF($L39="","",SUM($G$10:$G39))</f>
        <v/>
      </c>
      <c r="I39" s="45">
        <f>IF($L39="","",IF(INT(($L39-INT($L39/10000000)*10000000)/1000000)=0,"Bloomberg projection",IF($P39=1,"ANNOUNCED","ANNOUNCED - amount TBA")))</f>
        <v/>
      </c>
      <c r="J39" s="46">
        <f>IF($L39="","",IF((OV_SWITCH="ON")*(COUNTIFS(OVR_TICKERS,INDEX(HSI!$C$7:$C$106,$N39),OVR_BASE,"&gt;=0")&gt;0)&gt;0,"stock overridden",""))</f>
        <v/>
      </c>
      <c r="L39" s="121">
        <f>IFERROR(IF(SMALL(Grids!$EE$12:$GQ$111,$M$7+30)&gt;=PEND_TO,"",SMALL(Grids!$EE$12:$GQ$111,$M$7+30)),"")</f>
        <v/>
      </c>
      <c r="M39" s="121">
        <f>IF($L39="","",INT($L39/1000000000))</f>
        <v/>
      </c>
      <c r="N39" s="121">
        <f>IF($L39="","",INT(($L39-INT($L39/1000000)*1000000)/1000))</f>
        <v/>
      </c>
      <c r="O39" s="121">
        <f>IF($L39="","",$L39-INT($L39/1000)*1000)</f>
        <v/>
      </c>
      <c r="P39" s="121">
        <f>IF($L39="","",INT(($L39-INT($L39/1000000000)*1000000000)/100000000))</f>
        <v/>
      </c>
    </row>
    <row r="40">
      <c r="B40" s="122">
        <f>IF($L40="","",$M40)</f>
        <v/>
      </c>
      <c r="C40" s="22">
        <f>IF($L40="","",INDEX(HSI!$C$7:$C$106,$N40))</f>
        <v/>
      </c>
      <c r="D40" s="22">
        <f>IF($L40="","",INDEX(HSI!$D$7:$D$106,$N40))</f>
        <v/>
      </c>
      <c r="E40" s="123">
        <f>IF($L40="","",IF($P40=0,"TBA",IFERROR(INDEX(Grids!$C$12:$BO$111,$N40,$O40),"-")))</f>
        <v/>
      </c>
      <c r="F40" s="22">
        <f>IF($L40="","",INDEX(HSI!$F$7:$F$106,$N40))</f>
        <v/>
      </c>
      <c r="G40" s="123">
        <f>IF($L40="","",IF($P40=0,"TBA",IFERROR(INDEX(Grids!$BQ$12:$EC$111,$N40,$O40),"-")))</f>
        <v/>
      </c>
      <c r="H40" s="124">
        <f>IF($L40="","",SUM($G$10:$G40))</f>
        <v/>
      </c>
      <c r="I40" s="45">
        <f>IF($L40="","",IF(INT(($L40-INT($L40/10000000)*10000000)/1000000)=0,"Bloomberg projection",IF($P40=1,"ANNOUNCED","ANNOUNCED - amount TBA")))</f>
        <v/>
      </c>
      <c r="J40" s="46">
        <f>IF($L40="","",IF((OV_SWITCH="ON")*(COUNTIFS(OVR_TICKERS,INDEX(HSI!$C$7:$C$106,$N40),OVR_BASE,"&gt;=0")&gt;0)&gt;0,"stock overridden",""))</f>
        <v/>
      </c>
      <c r="L40" s="121">
        <f>IFERROR(IF(SMALL(Grids!$EE$12:$GQ$111,$M$7+31)&gt;=PEND_TO,"",SMALL(Grids!$EE$12:$GQ$111,$M$7+31)),"")</f>
        <v/>
      </c>
      <c r="M40" s="121">
        <f>IF($L40="","",INT($L40/1000000000))</f>
        <v/>
      </c>
      <c r="N40" s="121">
        <f>IF($L40="","",INT(($L40-INT($L40/1000000)*1000000)/1000))</f>
        <v/>
      </c>
      <c r="O40" s="121">
        <f>IF($L40="","",$L40-INT($L40/1000)*1000)</f>
        <v/>
      </c>
      <c r="P40" s="121">
        <f>IF($L40="","",INT(($L40-INT($L40/1000000000)*1000000000)/100000000))</f>
        <v/>
      </c>
    </row>
    <row r="41">
      <c r="B41" s="122">
        <f>IF($L41="","",$M41)</f>
        <v/>
      </c>
      <c r="C41" s="22">
        <f>IF($L41="","",INDEX(HSI!$C$7:$C$106,$N41))</f>
        <v/>
      </c>
      <c r="D41" s="22">
        <f>IF($L41="","",INDEX(HSI!$D$7:$D$106,$N41))</f>
        <v/>
      </c>
      <c r="E41" s="123">
        <f>IF($L41="","",IF($P41=0,"TBA",IFERROR(INDEX(Grids!$C$12:$BO$111,$N41,$O41),"-")))</f>
        <v/>
      </c>
      <c r="F41" s="22">
        <f>IF($L41="","",INDEX(HSI!$F$7:$F$106,$N41))</f>
        <v/>
      </c>
      <c r="G41" s="123">
        <f>IF($L41="","",IF($P41=0,"TBA",IFERROR(INDEX(Grids!$BQ$12:$EC$111,$N41,$O41),"-")))</f>
        <v/>
      </c>
      <c r="H41" s="124">
        <f>IF($L41="","",SUM($G$10:$G41))</f>
        <v/>
      </c>
      <c r="I41" s="45">
        <f>IF($L41="","",IF(INT(($L41-INT($L41/10000000)*10000000)/1000000)=0,"Bloomberg projection",IF($P41=1,"ANNOUNCED","ANNOUNCED - amount TBA")))</f>
        <v/>
      </c>
      <c r="J41" s="46">
        <f>IF($L41="","",IF((OV_SWITCH="ON")*(COUNTIFS(OVR_TICKERS,INDEX(HSI!$C$7:$C$106,$N41),OVR_BASE,"&gt;=0")&gt;0)&gt;0,"stock overridden",""))</f>
        <v/>
      </c>
      <c r="L41" s="121">
        <f>IFERROR(IF(SMALL(Grids!$EE$12:$GQ$111,$M$7+32)&gt;=PEND_TO,"",SMALL(Grids!$EE$12:$GQ$111,$M$7+32)),"")</f>
        <v/>
      </c>
      <c r="M41" s="121">
        <f>IF($L41="","",INT($L41/1000000000))</f>
        <v/>
      </c>
      <c r="N41" s="121">
        <f>IF($L41="","",INT(($L41-INT($L41/1000000)*1000000)/1000))</f>
        <v/>
      </c>
      <c r="O41" s="121">
        <f>IF($L41="","",$L41-INT($L41/1000)*1000)</f>
        <v/>
      </c>
      <c r="P41" s="121">
        <f>IF($L41="","",INT(($L41-INT($L41/1000000000)*1000000000)/100000000))</f>
        <v/>
      </c>
    </row>
    <row r="42">
      <c r="B42" s="122">
        <f>IF($L42="","",$M42)</f>
        <v/>
      </c>
      <c r="C42" s="22">
        <f>IF($L42="","",INDEX(HSI!$C$7:$C$106,$N42))</f>
        <v/>
      </c>
      <c r="D42" s="22">
        <f>IF($L42="","",INDEX(HSI!$D$7:$D$106,$N42))</f>
        <v/>
      </c>
      <c r="E42" s="123">
        <f>IF($L42="","",IF($P42=0,"TBA",IFERROR(INDEX(Grids!$C$12:$BO$111,$N42,$O42),"-")))</f>
        <v/>
      </c>
      <c r="F42" s="22">
        <f>IF($L42="","",INDEX(HSI!$F$7:$F$106,$N42))</f>
        <v/>
      </c>
      <c r="G42" s="123">
        <f>IF($L42="","",IF($P42=0,"TBA",IFERROR(INDEX(Grids!$BQ$12:$EC$111,$N42,$O42),"-")))</f>
        <v/>
      </c>
      <c r="H42" s="124">
        <f>IF($L42="","",SUM($G$10:$G42))</f>
        <v/>
      </c>
      <c r="I42" s="45">
        <f>IF($L42="","",IF(INT(($L42-INT($L42/10000000)*10000000)/1000000)=0,"Bloomberg projection",IF($P42=1,"ANNOUNCED","ANNOUNCED - amount TBA")))</f>
        <v/>
      </c>
      <c r="J42" s="46">
        <f>IF($L42="","",IF((OV_SWITCH="ON")*(COUNTIFS(OVR_TICKERS,INDEX(HSI!$C$7:$C$106,$N42),OVR_BASE,"&gt;=0")&gt;0)&gt;0,"stock overridden",""))</f>
        <v/>
      </c>
      <c r="L42" s="121">
        <f>IFERROR(IF(SMALL(Grids!$EE$12:$GQ$111,$M$7+33)&gt;=PEND_TO,"",SMALL(Grids!$EE$12:$GQ$111,$M$7+33)),"")</f>
        <v/>
      </c>
      <c r="M42" s="121">
        <f>IF($L42="","",INT($L42/1000000000))</f>
        <v/>
      </c>
      <c r="N42" s="121">
        <f>IF($L42="","",INT(($L42-INT($L42/1000000)*1000000)/1000))</f>
        <v/>
      </c>
      <c r="O42" s="121">
        <f>IF($L42="","",$L42-INT($L42/1000)*1000)</f>
        <v/>
      </c>
      <c r="P42" s="121">
        <f>IF($L42="","",INT(($L42-INT($L42/1000000000)*1000000000)/100000000))</f>
        <v/>
      </c>
    </row>
    <row r="43">
      <c r="B43" s="122">
        <f>IF($L43="","",$M43)</f>
        <v/>
      </c>
      <c r="C43" s="22">
        <f>IF($L43="","",INDEX(HSI!$C$7:$C$106,$N43))</f>
        <v/>
      </c>
      <c r="D43" s="22">
        <f>IF($L43="","",INDEX(HSI!$D$7:$D$106,$N43))</f>
        <v/>
      </c>
      <c r="E43" s="123">
        <f>IF($L43="","",IF($P43=0,"TBA",IFERROR(INDEX(Grids!$C$12:$BO$111,$N43,$O43),"-")))</f>
        <v/>
      </c>
      <c r="F43" s="22">
        <f>IF($L43="","",INDEX(HSI!$F$7:$F$106,$N43))</f>
        <v/>
      </c>
      <c r="G43" s="123">
        <f>IF($L43="","",IF($P43=0,"TBA",IFERROR(INDEX(Grids!$BQ$12:$EC$111,$N43,$O43),"-")))</f>
        <v/>
      </c>
      <c r="H43" s="124">
        <f>IF($L43="","",SUM($G$10:$G43))</f>
        <v/>
      </c>
      <c r="I43" s="45">
        <f>IF($L43="","",IF(INT(($L43-INT($L43/10000000)*10000000)/1000000)=0,"Bloomberg projection",IF($P43=1,"ANNOUNCED","ANNOUNCED - amount TBA")))</f>
        <v/>
      </c>
      <c r="J43" s="46">
        <f>IF($L43="","",IF((OV_SWITCH="ON")*(COUNTIFS(OVR_TICKERS,INDEX(HSI!$C$7:$C$106,$N43),OVR_BASE,"&gt;=0")&gt;0)&gt;0,"stock overridden",""))</f>
        <v/>
      </c>
      <c r="L43" s="121">
        <f>IFERROR(IF(SMALL(Grids!$EE$12:$GQ$111,$M$7+34)&gt;=PEND_TO,"",SMALL(Grids!$EE$12:$GQ$111,$M$7+34)),"")</f>
        <v/>
      </c>
      <c r="M43" s="121">
        <f>IF($L43="","",INT($L43/1000000000))</f>
        <v/>
      </c>
      <c r="N43" s="121">
        <f>IF($L43="","",INT(($L43-INT($L43/1000000)*1000000)/1000))</f>
        <v/>
      </c>
      <c r="O43" s="121">
        <f>IF($L43="","",$L43-INT($L43/1000)*1000)</f>
        <v/>
      </c>
      <c r="P43" s="121">
        <f>IF($L43="","",INT(($L43-INT($L43/1000000000)*1000000000)/100000000))</f>
        <v/>
      </c>
    </row>
    <row r="44">
      <c r="B44" s="122">
        <f>IF($L44="","",$M44)</f>
        <v/>
      </c>
      <c r="C44" s="22">
        <f>IF($L44="","",INDEX(HSI!$C$7:$C$106,$N44))</f>
        <v/>
      </c>
      <c r="D44" s="22">
        <f>IF($L44="","",INDEX(HSI!$D$7:$D$106,$N44))</f>
        <v/>
      </c>
      <c r="E44" s="123">
        <f>IF($L44="","",IF($P44=0,"TBA",IFERROR(INDEX(Grids!$C$12:$BO$111,$N44,$O44),"-")))</f>
        <v/>
      </c>
      <c r="F44" s="22">
        <f>IF($L44="","",INDEX(HSI!$F$7:$F$106,$N44))</f>
        <v/>
      </c>
      <c r="G44" s="123">
        <f>IF($L44="","",IF($P44=0,"TBA",IFERROR(INDEX(Grids!$BQ$12:$EC$111,$N44,$O44),"-")))</f>
        <v/>
      </c>
      <c r="H44" s="124">
        <f>IF($L44="","",SUM($G$10:$G44))</f>
        <v/>
      </c>
      <c r="I44" s="45">
        <f>IF($L44="","",IF(INT(($L44-INT($L44/10000000)*10000000)/1000000)=0,"Bloomberg projection",IF($P44=1,"ANNOUNCED","ANNOUNCED - amount TBA")))</f>
        <v/>
      </c>
      <c r="J44" s="46">
        <f>IF($L44="","",IF((OV_SWITCH="ON")*(COUNTIFS(OVR_TICKERS,INDEX(HSI!$C$7:$C$106,$N44),OVR_BASE,"&gt;=0")&gt;0)&gt;0,"stock overridden",""))</f>
        <v/>
      </c>
      <c r="L44" s="121">
        <f>IFERROR(IF(SMALL(Grids!$EE$12:$GQ$111,$M$7+35)&gt;=PEND_TO,"",SMALL(Grids!$EE$12:$GQ$111,$M$7+35)),"")</f>
        <v/>
      </c>
      <c r="M44" s="121">
        <f>IF($L44="","",INT($L44/1000000000))</f>
        <v/>
      </c>
      <c r="N44" s="121">
        <f>IF($L44="","",INT(($L44-INT($L44/1000000)*1000000)/1000))</f>
        <v/>
      </c>
      <c r="O44" s="121">
        <f>IF($L44="","",$L44-INT($L44/1000)*1000)</f>
        <v/>
      </c>
      <c r="P44" s="121">
        <f>IF($L44="","",INT(($L44-INT($L44/1000000000)*1000000000)/100000000))</f>
        <v/>
      </c>
    </row>
    <row r="45">
      <c r="B45" s="122">
        <f>IF($L45="","",$M45)</f>
        <v/>
      </c>
      <c r="C45" s="22">
        <f>IF($L45="","",INDEX(HSI!$C$7:$C$106,$N45))</f>
        <v/>
      </c>
      <c r="D45" s="22">
        <f>IF($L45="","",INDEX(HSI!$D$7:$D$106,$N45))</f>
        <v/>
      </c>
      <c r="E45" s="123">
        <f>IF($L45="","",IF($P45=0,"TBA",IFERROR(INDEX(Grids!$C$12:$BO$111,$N45,$O45),"-")))</f>
        <v/>
      </c>
      <c r="F45" s="22">
        <f>IF($L45="","",INDEX(HSI!$F$7:$F$106,$N45))</f>
        <v/>
      </c>
      <c r="G45" s="123">
        <f>IF($L45="","",IF($P45=0,"TBA",IFERROR(INDEX(Grids!$BQ$12:$EC$111,$N45,$O45),"-")))</f>
        <v/>
      </c>
      <c r="H45" s="124">
        <f>IF($L45="","",SUM($G$10:$G45))</f>
        <v/>
      </c>
      <c r="I45" s="45">
        <f>IF($L45="","",IF(INT(($L45-INT($L45/10000000)*10000000)/1000000)=0,"Bloomberg projection",IF($P45=1,"ANNOUNCED","ANNOUNCED - amount TBA")))</f>
        <v/>
      </c>
      <c r="J45" s="46">
        <f>IF($L45="","",IF((OV_SWITCH="ON")*(COUNTIFS(OVR_TICKERS,INDEX(HSI!$C$7:$C$106,$N45),OVR_BASE,"&gt;=0")&gt;0)&gt;0,"stock overridden",""))</f>
        <v/>
      </c>
      <c r="L45" s="121">
        <f>IFERROR(IF(SMALL(Grids!$EE$12:$GQ$111,$M$7+36)&gt;=PEND_TO,"",SMALL(Grids!$EE$12:$GQ$111,$M$7+36)),"")</f>
        <v/>
      </c>
      <c r="M45" s="121">
        <f>IF($L45="","",INT($L45/1000000000))</f>
        <v/>
      </c>
      <c r="N45" s="121">
        <f>IF($L45="","",INT(($L45-INT($L45/1000000)*1000000)/1000))</f>
        <v/>
      </c>
      <c r="O45" s="121">
        <f>IF($L45="","",$L45-INT($L45/1000)*1000)</f>
        <v/>
      </c>
      <c r="P45" s="121">
        <f>IF($L45="","",INT(($L45-INT($L45/1000000000)*1000000000)/100000000))</f>
        <v/>
      </c>
    </row>
    <row r="46">
      <c r="B46" s="122">
        <f>IF($L46="","",$M46)</f>
        <v/>
      </c>
      <c r="C46" s="22">
        <f>IF($L46="","",INDEX(HSI!$C$7:$C$106,$N46))</f>
        <v/>
      </c>
      <c r="D46" s="22">
        <f>IF($L46="","",INDEX(HSI!$D$7:$D$106,$N46))</f>
        <v/>
      </c>
      <c r="E46" s="123">
        <f>IF($L46="","",IF($P46=0,"TBA",IFERROR(INDEX(Grids!$C$12:$BO$111,$N46,$O46),"-")))</f>
        <v/>
      </c>
      <c r="F46" s="22">
        <f>IF($L46="","",INDEX(HSI!$F$7:$F$106,$N46))</f>
        <v/>
      </c>
      <c r="G46" s="123">
        <f>IF($L46="","",IF($P46=0,"TBA",IFERROR(INDEX(Grids!$BQ$12:$EC$111,$N46,$O46),"-")))</f>
        <v/>
      </c>
      <c r="H46" s="124">
        <f>IF($L46="","",SUM($G$10:$G46))</f>
        <v/>
      </c>
      <c r="I46" s="45">
        <f>IF($L46="","",IF(INT(($L46-INT($L46/10000000)*10000000)/1000000)=0,"Bloomberg projection",IF($P46=1,"ANNOUNCED","ANNOUNCED - amount TBA")))</f>
        <v/>
      </c>
      <c r="J46" s="46">
        <f>IF($L46="","",IF((OV_SWITCH="ON")*(COUNTIFS(OVR_TICKERS,INDEX(HSI!$C$7:$C$106,$N46),OVR_BASE,"&gt;=0")&gt;0)&gt;0,"stock overridden",""))</f>
        <v/>
      </c>
      <c r="L46" s="121">
        <f>IFERROR(IF(SMALL(Grids!$EE$12:$GQ$111,$M$7+37)&gt;=PEND_TO,"",SMALL(Grids!$EE$12:$GQ$111,$M$7+37)),"")</f>
        <v/>
      </c>
      <c r="M46" s="121">
        <f>IF($L46="","",INT($L46/1000000000))</f>
        <v/>
      </c>
      <c r="N46" s="121">
        <f>IF($L46="","",INT(($L46-INT($L46/1000000)*1000000)/1000))</f>
        <v/>
      </c>
      <c r="O46" s="121">
        <f>IF($L46="","",$L46-INT($L46/1000)*1000)</f>
        <v/>
      </c>
      <c r="P46" s="121">
        <f>IF($L46="","",INT(($L46-INT($L46/1000000000)*1000000000)/100000000))</f>
        <v/>
      </c>
    </row>
    <row r="47">
      <c r="B47" s="122">
        <f>IF($L47="","",$M47)</f>
        <v/>
      </c>
      <c r="C47" s="22">
        <f>IF($L47="","",INDEX(HSI!$C$7:$C$106,$N47))</f>
        <v/>
      </c>
      <c r="D47" s="22">
        <f>IF($L47="","",INDEX(HSI!$D$7:$D$106,$N47))</f>
        <v/>
      </c>
      <c r="E47" s="123">
        <f>IF($L47="","",IF($P47=0,"TBA",IFERROR(INDEX(Grids!$C$12:$BO$111,$N47,$O47),"-")))</f>
        <v/>
      </c>
      <c r="F47" s="22">
        <f>IF($L47="","",INDEX(HSI!$F$7:$F$106,$N47))</f>
        <v/>
      </c>
      <c r="G47" s="123">
        <f>IF($L47="","",IF($P47=0,"TBA",IFERROR(INDEX(Grids!$BQ$12:$EC$111,$N47,$O47),"-")))</f>
        <v/>
      </c>
      <c r="H47" s="124">
        <f>IF($L47="","",SUM($G$10:$G47))</f>
        <v/>
      </c>
      <c r="I47" s="45">
        <f>IF($L47="","",IF(INT(($L47-INT($L47/10000000)*10000000)/1000000)=0,"Bloomberg projection",IF($P47=1,"ANNOUNCED","ANNOUNCED - amount TBA")))</f>
        <v/>
      </c>
      <c r="J47" s="46">
        <f>IF($L47="","",IF((OV_SWITCH="ON")*(COUNTIFS(OVR_TICKERS,INDEX(HSI!$C$7:$C$106,$N47),OVR_BASE,"&gt;=0")&gt;0)&gt;0,"stock overridden",""))</f>
        <v/>
      </c>
      <c r="L47" s="121">
        <f>IFERROR(IF(SMALL(Grids!$EE$12:$GQ$111,$M$7+38)&gt;=PEND_TO,"",SMALL(Grids!$EE$12:$GQ$111,$M$7+38)),"")</f>
        <v/>
      </c>
      <c r="M47" s="121">
        <f>IF($L47="","",INT($L47/1000000000))</f>
        <v/>
      </c>
      <c r="N47" s="121">
        <f>IF($L47="","",INT(($L47-INT($L47/1000000)*1000000)/1000))</f>
        <v/>
      </c>
      <c r="O47" s="121">
        <f>IF($L47="","",$L47-INT($L47/1000)*1000)</f>
        <v/>
      </c>
      <c r="P47" s="121">
        <f>IF($L47="","",INT(($L47-INT($L47/1000000000)*1000000000)/100000000))</f>
        <v/>
      </c>
    </row>
    <row r="48">
      <c r="B48" s="122">
        <f>IF($L48="","",$M48)</f>
        <v/>
      </c>
      <c r="C48" s="22">
        <f>IF($L48="","",INDEX(HSI!$C$7:$C$106,$N48))</f>
        <v/>
      </c>
      <c r="D48" s="22">
        <f>IF($L48="","",INDEX(HSI!$D$7:$D$106,$N48))</f>
        <v/>
      </c>
      <c r="E48" s="123">
        <f>IF($L48="","",IF($P48=0,"TBA",IFERROR(INDEX(Grids!$C$12:$BO$111,$N48,$O48),"-")))</f>
        <v/>
      </c>
      <c r="F48" s="22">
        <f>IF($L48="","",INDEX(HSI!$F$7:$F$106,$N48))</f>
        <v/>
      </c>
      <c r="G48" s="123">
        <f>IF($L48="","",IF($P48=0,"TBA",IFERROR(INDEX(Grids!$BQ$12:$EC$111,$N48,$O48),"-")))</f>
        <v/>
      </c>
      <c r="H48" s="124">
        <f>IF($L48="","",SUM($G$10:$G48))</f>
        <v/>
      </c>
      <c r="I48" s="45">
        <f>IF($L48="","",IF(INT(($L48-INT($L48/10000000)*10000000)/1000000)=0,"Bloomberg projection",IF($P48=1,"ANNOUNCED","ANNOUNCED - amount TBA")))</f>
        <v/>
      </c>
      <c r="J48" s="46">
        <f>IF($L48="","",IF((OV_SWITCH="ON")*(COUNTIFS(OVR_TICKERS,INDEX(HSI!$C$7:$C$106,$N48),OVR_BASE,"&gt;=0")&gt;0)&gt;0,"stock overridden",""))</f>
        <v/>
      </c>
      <c r="L48" s="121">
        <f>IFERROR(IF(SMALL(Grids!$EE$12:$GQ$111,$M$7+39)&gt;=PEND_TO,"",SMALL(Grids!$EE$12:$GQ$111,$M$7+39)),"")</f>
        <v/>
      </c>
      <c r="M48" s="121">
        <f>IF($L48="","",INT($L48/1000000000))</f>
        <v/>
      </c>
      <c r="N48" s="121">
        <f>IF($L48="","",INT(($L48-INT($L48/1000000)*1000000)/1000))</f>
        <v/>
      </c>
      <c r="O48" s="121">
        <f>IF($L48="","",$L48-INT($L48/1000)*1000)</f>
        <v/>
      </c>
      <c r="P48" s="121">
        <f>IF($L48="","",INT(($L48-INT($L48/1000000000)*1000000000)/100000000))</f>
        <v/>
      </c>
    </row>
    <row r="49">
      <c r="B49" s="122">
        <f>IF($L49="","",$M49)</f>
        <v/>
      </c>
      <c r="C49" s="22">
        <f>IF($L49="","",INDEX(HSI!$C$7:$C$106,$N49))</f>
        <v/>
      </c>
      <c r="D49" s="22">
        <f>IF($L49="","",INDEX(HSI!$D$7:$D$106,$N49))</f>
        <v/>
      </c>
      <c r="E49" s="123">
        <f>IF($L49="","",IF($P49=0,"TBA",IFERROR(INDEX(Grids!$C$12:$BO$111,$N49,$O49),"-")))</f>
        <v/>
      </c>
      <c r="F49" s="22">
        <f>IF($L49="","",INDEX(HSI!$F$7:$F$106,$N49))</f>
        <v/>
      </c>
      <c r="G49" s="123">
        <f>IF($L49="","",IF($P49=0,"TBA",IFERROR(INDEX(Grids!$BQ$12:$EC$111,$N49,$O49),"-")))</f>
        <v/>
      </c>
      <c r="H49" s="124">
        <f>IF($L49="","",SUM($G$10:$G49))</f>
        <v/>
      </c>
      <c r="I49" s="45">
        <f>IF($L49="","",IF(INT(($L49-INT($L49/10000000)*10000000)/1000000)=0,"Bloomberg projection",IF($P49=1,"ANNOUNCED","ANNOUNCED - amount TBA")))</f>
        <v/>
      </c>
      <c r="J49" s="46">
        <f>IF($L49="","",IF((OV_SWITCH="ON")*(COUNTIFS(OVR_TICKERS,INDEX(HSI!$C$7:$C$106,$N49),OVR_BASE,"&gt;=0")&gt;0)&gt;0,"stock overridden",""))</f>
        <v/>
      </c>
      <c r="L49" s="121">
        <f>IFERROR(IF(SMALL(Grids!$EE$12:$GQ$111,$M$7+40)&gt;=PEND_TO,"",SMALL(Grids!$EE$12:$GQ$111,$M$7+40)),"")</f>
        <v/>
      </c>
      <c r="M49" s="121">
        <f>IF($L49="","",INT($L49/1000000000))</f>
        <v/>
      </c>
      <c r="N49" s="121">
        <f>IF($L49="","",INT(($L49-INT($L49/1000000)*1000000)/1000))</f>
        <v/>
      </c>
      <c r="O49" s="121">
        <f>IF($L49="","",$L49-INT($L49/1000)*1000)</f>
        <v/>
      </c>
      <c r="P49" s="121">
        <f>IF($L49="","",INT(($L49-INT($L49/1000000000)*1000000000)/100000000))</f>
        <v/>
      </c>
    </row>
    <row r="50">
      <c r="B50" s="122">
        <f>IF($L50="","",$M50)</f>
        <v/>
      </c>
      <c r="C50" s="22">
        <f>IF($L50="","",INDEX(HSI!$C$7:$C$106,$N50))</f>
        <v/>
      </c>
      <c r="D50" s="22">
        <f>IF($L50="","",INDEX(HSI!$D$7:$D$106,$N50))</f>
        <v/>
      </c>
      <c r="E50" s="123">
        <f>IF($L50="","",IF($P50=0,"TBA",IFERROR(INDEX(Grids!$C$12:$BO$111,$N50,$O50),"-")))</f>
        <v/>
      </c>
      <c r="F50" s="22">
        <f>IF($L50="","",INDEX(HSI!$F$7:$F$106,$N50))</f>
        <v/>
      </c>
      <c r="G50" s="123">
        <f>IF($L50="","",IF($P50=0,"TBA",IFERROR(INDEX(Grids!$BQ$12:$EC$111,$N50,$O50),"-")))</f>
        <v/>
      </c>
      <c r="H50" s="124">
        <f>IF($L50="","",SUM($G$10:$G50))</f>
        <v/>
      </c>
      <c r="I50" s="45">
        <f>IF($L50="","",IF(INT(($L50-INT($L50/10000000)*10000000)/1000000)=0,"Bloomberg projection",IF($P50=1,"ANNOUNCED","ANNOUNCED - amount TBA")))</f>
        <v/>
      </c>
      <c r="J50" s="46">
        <f>IF($L50="","",IF((OV_SWITCH="ON")*(COUNTIFS(OVR_TICKERS,INDEX(HSI!$C$7:$C$106,$N50),OVR_BASE,"&gt;=0")&gt;0)&gt;0,"stock overridden",""))</f>
        <v/>
      </c>
      <c r="L50" s="121">
        <f>IFERROR(IF(SMALL(Grids!$EE$12:$GQ$111,$M$7+41)&gt;=PEND_TO,"",SMALL(Grids!$EE$12:$GQ$111,$M$7+41)),"")</f>
        <v/>
      </c>
      <c r="M50" s="121">
        <f>IF($L50="","",INT($L50/1000000000))</f>
        <v/>
      </c>
      <c r="N50" s="121">
        <f>IF($L50="","",INT(($L50-INT($L50/1000000)*1000000)/1000))</f>
        <v/>
      </c>
      <c r="O50" s="121">
        <f>IF($L50="","",$L50-INT($L50/1000)*1000)</f>
        <v/>
      </c>
      <c r="P50" s="121">
        <f>IF($L50="","",INT(($L50-INT($L50/1000000000)*1000000000)/100000000))</f>
        <v/>
      </c>
    </row>
    <row r="51">
      <c r="B51" s="122">
        <f>IF($L51="","",$M51)</f>
        <v/>
      </c>
      <c r="C51" s="22">
        <f>IF($L51="","",INDEX(HSI!$C$7:$C$106,$N51))</f>
        <v/>
      </c>
      <c r="D51" s="22">
        <f>IF($L51="","",INDEX(HSI!$D$7:$D$106,$N51))</f>
        <v/>
      </c>
      <c r="E51" s="123">
        <f>IF($L51="","",IF($P51=0,"TBA",IFERROR(INDEX(Grids!$C$12:$BO$111,$N51,$O51),"-")))</f>
        <v/>
      </c>
      <c r="F51" s="22">
        <f>IF($L51="","",INDEX(HSI!$F$7:$F$106,$N51))</f>
        <v/>
      </c>
      <c r="G51" s="123">
        <f>IF($L51="","",IF($P51=0,"TBA",IFERROR(INDEX(Grids!$BQ$12:$EC$111,$N51,$O51),"-")))</f>
        <v/>
      </c>
      <c r="H51" s="124">
        <f>IF($L51="","",SUM($G$10:$G51))</f>
        <v/>
      </c>
      <c r="I51" s="45">
        <f>IF($L51="","",IF(INT(($L51-INT($L51/10000000)*10000000)/1000000)=0,"Bloomberg projection",IF($P51=1,"ANNOUNCED","ANNOUNCED - amount TBA")))</f>
        <v/>
      </c>
      <c r="J51" s="46">
        <f>IF($L51="","",IF((OV_SWITCH="ON")*(COUNTIFS(OVR_TICKERS,INDEX(HSI!$C$7:$C$106,$N51),OVR_BASE,"&gt;=0")&gt;0)&gt;0,"stock overridden",""))</f>
        <v/>
      </c>
      <c r="L51" s="121">
        <f>IFERROR(IF(SMALL(Grids!$EE$12:$GQ$111,$M$7+42)&gt;=PEND_TO,"",SMALL(Grids!$EE$12:$GQ$111,$M$7+42)),"")</f>
        <v/>
      </c>
      <c r="M51" s="121">
        <f>IF($L51="","",INT($L51/1000000000))</f>
        <v/>
      </c>
      <c r="N51" s="121">
        <f>IF($L51="","",INT(($L51-INT($L51/1000000)*1000000)/1000))</f>
        <v/>
      </c>
      <c r="O51" s="121">
        <f>IF($L51="","",$L51-INT($L51/1000)*1000)</f>
        <v/>
      </c>
      <c r="P51" s="121">
        <f>IF($L51="","",INT(($L51-INT($L51/1000000000)*1000000000)/100000000))</f>
        <v/>
      </c>
    </row>
    <row r="52">
      <c r="B52" s="122">
        <f>IF($L52="","",$M52)</f>
        <v/>
      </c>
      <c r="C52" s="22">
        <f>IF($L52="","",INDEX(HSI!$C$7:$C$106,$N52))</f>
        <v/>
      </c>
      <c r="D52" s="22">
        <f>IF($L52="","",INDEX(HSI!$D$7:$D$106,$N52))</f>
        <v/>
      </c>
      <c r="E52" s="123">
        <f>IF($L52="","",IF($P52=0,"TBA",IFERROR(INDEX(Grids!$C$12:$BO$111,$N52,$O52),"-")))</f>
        <v/>
      </c>
      <c r="F52" s="22">
        <f>IF($L52="","",INDEX(HSI!$F$7:$F$106,$N52))</f>
        <v/>
      </c>
      <c r="G52" s="123">
        <f>IF($L52="","",IF($P52=0,"TBA",IFERROR(INDEX(Grids!$BQ$12:$EC$111,$N52,$O52),"-")))</f>
        <v/>
      </c>
      <c r="H52" s="124">
        <f>IF($L52="","",SUM($G$10:$G52))</f>
        <v/>
      </c>
      <c r="I52" s="45">
        <f>IF($L52="","",IF(INT(($L52-INT($L52/10000000)*10000000)/1000000)=0,"Bloomberg projection",IF($P52=1,"ANNOUNCED","ANNOUNCED - amount TBA")))</f>
        <v/>
      </c>
      <c r="J52" s="46">
        <f>IF($L52="","",IF((OV_SWITCH="ON")*(COUNTIFS(OVR_TICKERS,INDEX(HSI!$C$7:$C$106,$N52),OVR_BASE,"&gt;=0")&gt;0)&gt;0,"stock overridden",""))</f>
        <v/>
      </c>
      <c r="L52" s="121">
        <f>IFERROR(IF(SMALL(Grids!$EE$12:$GQ$111,$M$7+43)&gt;=PEND_TO,"",SMALL(Grids!$EE$12:$GQ$111,$M$7+43)),"")</f>
        <v/>
      </c>
      <c r="M52" s="121">
        <f>IF($L52="","",INT($L52/1000000000))</f>
        <v/>
      </c>
      <c r="N52" s="121">
        <f>IF($L52="","",INT(($L52-INT($L52/1000000)*1000000)/1000))</f>
        <v/>
      </c>
      <c r="O52" s="121">
        <f>IF($L52="","",$L52-INT($L52/1000)*1000)</f>
        <v/>
      </c>
      <c r="P52" s="121">
        <f>IF($L52="","",INT(($L52-INT($L52/1000000000)*1000000000)/100000000))</f>
        <v/>
      </c>
    </row>
    <row r="53">
      <c r="B53" s="122">
        <f>IF($L53="","",$M53)</f>
        <v/>
      </c>
      <c r="C53" s="22">
        <f>IF($L53="","",INDEX(HSI!$C$7:$C$106,$N53))</f>
        <v/>
      </c>
      <c r="D53" s="22">
        <f>IF($L53="","",INDEX(HSI!$D$7:$D$106,$N53))</f>
        <v/>
      </c>
      <c r="E53" s="123">
        <f>IF($L53="","",IF($P53=0,"TBA",IFERROR(INDEX(Grids!$C$12:$BO$111,$N53,$O53),"-")))</f>
        <v/>
      </c>
      <c r="F53" s="22">
        <f>IF($L53="","",INDEX(HSI!$F$7:$F$106,$N53))</f>
        <v/>
      </c>
      <c r="G53" s="123">
        <f>IF($L53="","",IF($P53=0,"TBA",IFERROR(INDEX(Grids!$BQ$12:$EC$111,$N53,$O53),"-")))</f>
        <v/>
      </c>
      <c r="H53" s="124">
        <f>IF($L53="","",SUM($G$10:$G53))</f>
        <v/>
      </c>
      <c r="I53" s="45">
        <f>IF($L53="","",IF(INT(($L53-INT($L53/10000000)*10000000)/1000000)=0,"Bloomberg projection",IF($P53=1,"ANNOUNCED","ANNOUNCED - amount TBA")))</f>
        <v/>
      </c>
      <c r="J53" s="46">
        <f>IF($L53="","",IF((OV_SWITCH="ON")*(COUNTIFS(OVR_TICKERS,INDEX(HSI!$C$7:$C$106,$N53),OVR_BASE,"&gt;=0")&gt;0)&gt;0,"stock overridden",""))</f>
        <v/>
      </c>
      <c r="L53" s="121">
        <f>IFERROR(IF(SMALL(Grids!$EE$12:$GQ$111,$M$7+44)&gt;=PEND_TO,"",SMALL(Grids!$EE$12:$GQ$111,$M$7+44)),"")</f>
        <v/>
      </c>
      <c r="M53" s="121">
        <f>IF($L53="","",INT($L53/1000000000))</f>
        <v/>
      </c>
      <c r="N53" s="121">
        <f>IF($L53="","",INT(($L53-INT($L53/1000000)*1000000)/1000))</f>
        <v/>
      </c>
      <c r="O53" s="121">
        <f>IF($L53="","",$L53-INT($L53/1000)*1000)</f>
        <v/>
      </c>
      <c r="P53" s="121">
        <f>IF($L53="","",INT(($L53-INT($L53/1000000000)*1000000000)/100000000))</f>
        <v/>
      </c>
    </row>
    <row r="54">
      <c r="B54" s="122">
        <f>IF($L54="","",$M54)</f>
        <v/>
      </c>
      <c r="C54" s="22">
        <f>IF($L54="","",INDEX(HSI!$C$7:$C$106,$N54))</f>
        <v/>
      </c>
      <c r="D54" s="22">
        <f>IF($L54="","",INDEX(HSI!$D$7:$D$106,$N54))</f>
        <v/>
      </c>
      <c r="E54" s="123">
        <f>IF($L54="","",IF($P54=0,"TBA",IFERROR(INDEX(Grids!$C$12:$BO$111,$N54,$O54),"-")))</f>
        <v/>
      </c>
      <c r="F54" s="22">
        <f>IF($L54="","",INDEX(HSI!$F$7:$F$106,$N54))</f>
        <v/>
      </c>
      <c r="G54" s="123">
        <f>IF($L54="","",IF($P54=0,"TBA",IFERROR(INDEX(Grids!$BQ$12:$EC$111,$N54,$O54),"-")))</f>
        <v/>
      </c>
      <c r="H54" s="124">
        <f>IF($L54="","",SUM($G$10:$G54))</f>
        <v/>
      </c>
      <c r="I54" s="45">
        <f>IF($L54="","",IF(INT(($L54-INT($L54/10000000)*10000000)/1000000)=0,"Bloomberg projection",IF($P54=1,"ANNOUNCED","ANNOUNCED - amount TBA")))</f>
        <v/>
      </c>
      <c r="J54" s="46">
        <f>IF($L54="","",IF((OV_SWITCH="ON")*(COUNTIFS(OVR_TICKERS,INDEX(HSI!$C$7:$C$106,$N54),OVR_BASE,"&gt;=0")&gt;0)&gt;0,"stock overridden",""))</f>
        <v/>
      </c>
      <c r="L54" s="121">
        <f>IFERROR(IF(SMALL(Grids!$EE$12:$GQ$111,$M$7+45)&gt;=PEND_TO,"",SMALL(Grids!$EE$12:$GQ$111,$M$7+45)),"")</f>
        <v/>
      </c>
      <c r="M54" s="121">
        <f>IF($L54="","",INT($L54/1000000000))</f>
        <v/>
      </c>
      <c r="N54" s="121">
        <f>IF($L54="","",INT(($L54-INT($L54/1000000)*1000000)/1000))</f>
        <v/>
      </c>
      <c r="O54" s="121">
        <f>IF($L54="","",$L54-INT($L54/1000)*1000)</f>
        <v/>
      </c>
      <c r="P54" s="121">
        <f>IF($L54="","",INT(($L54-INT($L54/1000000000)*1000000000)/100000000))</f>
        <v/>
      </c>
    </row>
    <row r="55">
      <c r="B55" s="122">
        <f>IF($L55="","",$M55)</f>
        <v/>
      </c>
      <c r="C55" s="22">
        <f>IF($L55="","",INDEX(HSI!$C$7:$C$106,$N55))</f>
        <v/>
      </c>
      <c r="D55" s="22">
        <f>IF($L55="","",INDEX(HSI!$D$7:$D$106,$N55))</f>
        <v/>
      </c>
      <c r="E55" s="123">
        <f>IF($L55="","",IF($P55=0,"TBA",IFERROR(INDEX(Grids!$C$12:$BO$111,$N55,$O55),"-")))</f>
        <v/>
      </c>
      <c r="F55" s="22">
        <f>IF($L55="","",INDEX(HSI!$F$7:$F$106,$N55))</f>
        <v/>
      </c>
      <c r="G55" s="123">
        <f>IF($L55="","",IF($P55=0,"TBA",IFERROR(INDEX(Grids!$BQ$12:$EC$111,$N55,$O55),"-")))</f>
        <v/>
      </c>
      <c r="H55" s="124">
        <f>IF($L55="","",SUM($G$10:$G55))</f>
        <v/>
      </c>
      <c r="I55" s="45">
        <f>IF($L55="","",IF(INT(($L55-INT($L55/10000000)*10000000)/1000000)=0,"Bloomberg projection",IF($P55=1,"ANNOUNCED","ANNOUNCED - amount TBA")))</f>
        <v/>
      </c>
      <c r="J55" s="46">
        <f>IF($L55="","",IF((OV_SWITCH="ON")*(COUNTIFS(OVR_TICKERS,INDEX(HSI!$C$7:$C$106,$N55),OVR_BASE,"&gt;=0")&gt;0)&gt;0,"stock overridden",""))</f>
        <v/>
      </c>
      <c r="L55" s="121">
        <f>IFERROR(IF(SMALL(Grids!$EE$12:$GQ$111,$M$7+46)&gt;=PEND_TO,"",SMALL(Grids!$EE$12:$GQ$111,$M$7+46)),"")</f>
        <v/>
      </c>
      <c r="M55" s="121">
        <f>IF($L55="","",INT($L55/1000000000))</f>
        <v/>
      </c>
      <c r="N55" s="121">
        <f>IF($L55="","",INT(($L55-INT($L55/1000000)*1000000)/1000))</f>
        <v/>
      </c>
      <c r="O55" s="121">
        <f>IF($L55="","",$L55-INT($L55/1000)*1000)</f>
        <v/>
      </c>
      <c r="P55" s="121">
        <f>IF($L55="","",INT(($L55-INT($L55/1000000000)*1000000000)/100000000))</f>
        <v/>
      </c>
    </row>
    <row r="56">
      <c r="B56" s="122">
        <f>IF($L56="","",$M56)</f>
        <v/>
      </c>
      <c r="C56" s="22">
        <f>IF($L56="","",INDEX(HSI!$C$7:$C$106,$N56))</f>
        <v/>
      </c>
      <c r="D56" s="22">
        <f>IF($L56="","",INDEX(HSI!$D$7:$D$106,$N56))</f>
        <v/>
      </c>
      <c r="E56" s="123">
        <f>IF($L56="","",IF($P56=0,"TBA",IFERROR(INDEX(Grids!$C$12:$BO$111,$N56,$O56),"-")))</f>
        <v/>
      </c>
      <c r="F56" s="22">
        <f>IF($L56="","",INDEX(HSI!$F$7:$F$106,$N56))</f>
        <v/>
      </c>
      <c r="G56" s="123">
        <f>IF($L56="","",IF($P56=0,"TBA",IFERROR(INDEX(Grids!$BQ$12:$EC$111,$N56,$O56),"-")))</f>
        <v/>
      </c>
      <c r="H56" s="124">
        <f>IF($L56="","",SUM($G$10:$G56))</f>
        <v/>
      </c>
      <c r="I56" s="45">
        <f>IF($L56="","",IF(INT(($L56-INT($L56/10000000)*10000000)/1000000)=0,"Bloomberg projection",IF($P56=1,"ANNOUNCED","ANNOUNCED - amount TBA")))</f>
        <v/>
      </c>
      <c r="J56" s="46">
        <f>IF($L56="","",IF((OV_SWITCH="ON")*(COUNTIFS(OVR_TICKERS,INDEX(HSI!$C$7:$C$106,$N56),OVR_BASE,"&gt;=0")&gt;0)&gt;0,"stock overridden",""))</f>
        <v/>
      </c>
      <c r="L56" s="121">
        <f>IFERROR(IF(SMALL(Grids!$EE$12:$GQ$111,$M$7+47)&gt;=PEND_TO,"",SMALL(Grids!$EE$12:$GQ$111,$M$7+47)),"")</f>
        <v/>
      </c>
      <c r="M56" s="121">
        <f>IF($L56="","",INT($L56/1000000000))</f>
        <v/>
      </c>
      <c r="N56" s="121">
        <f>IF($L56="","",INT(($L56-INT($L56/1000000)*1000000)/1000))</f>
        <v/>
      </c>
      <c r="O56" s="121">
        <f>IF($L56="","",$L56-INT($L56/1000)*1000)</f>
        <v/>
      </c>
      <c r="P56" s="121">
        <f>IF($L56="","",INT(($L56-INT($L56/1000000000)*1000000000)/100000000))</f>
        <v/>
      </c>
    </row>
    <row r="57">
      <c r="B57" s="122">
        <f>IF($L57="","",$M57)</f>
        <v/>
      </c>
      <c r="C57" s="22">
        <f>IF($L57="","",INDEX(HSI!$C$7:$C$106,$N57))</f>
        <v/>
      </c>
      <c r="D57" s="22">
        <f>IF($L57="","",INDEX(HSI!$D$7:$D$106,$N57))</f>
        <v/>
      </c>
      <c r="E57" s="123">
        <f>IF($L57="","",IF($P57=0,"TBA",IFERROR(INDEX(Grids!$C$12:$BO$111,$N57,$O57),"-")))</f>
        <v/>
      </c>
      <c r="F57" s="22">
        <f>IF($L57="","",INDEX(HSI!$F$7:$F$106,$N57))</f>
        <v/>
      </c>
      <c r="G57" s="123">
        <f>IF($L57="","",IF($P57=0,"TBA",IFERROR(INDEX(Grids!$BQ$12:$EC$111,$N57,$O57),"-")))</f>
        <v/>
      </c>
      <c r="H57" s="124">
        <f>IF($L57="","",SUM($G$10:$G57))</f>
        <v/>
      </c>
      <c r="I57" s="45">
        <f>IF($L57="","",IF(INT(($L57-INT($L57/10000000)*10000000)/1000000)=0,"Bloomberg projection",IF($P57=1,"ANNOUNCED","ANNOUNCED - amount TBA")))</f>
        <v/>
      </c>
      <c r="J57" s="46">
        <f>IF($L57="","",IF((OV_SWITCH="ON")*(COUNTIFS(OVR_TICKERS,INDEX(HSI!$C$7:$C$106,$N57),OVR_BASE,"&gt;=0")&gt;0)&gt;0,"stock overridden",""))</f>
        <v/>
      </c>
      <c r="L57" s="121">
        <f>IFERROR(IF(SMALL(Grids!$EE$12:$GQ$111,$M$7+48)&gt;=PEND_TO,"",SMALL(Grids!$EE$12:$GQ$111,$M$7+48)),"")</f>
        <v/>
      </c>
      <c r="M57" s="121">
        <f>IF($L57="","",INT($L57/1000000000))</f>
        <v/>
      </c>
      <c r="N57" s="121">
        <f>IF($L57="","",INT(($L57-INT($L57/1000000)*1000000)/1000))</f>
        <v/>
      </c>
      <c r="O57" s="121">
        <f>IF($L57="","",$L57-INT($L57/1000)*1000)</f>
        <v/>
      </c>
      <c r="P57" s="121">
        <f>IF($L57="","",INT(($L57-INT($L57/1000000000)*1000000000)/100000000))</f>
        <v/>
      </c>
    </row>
    <row r="58">
      <c r="B58" s="122">
        <f>IF($L58="","",$M58)</f>
        <v/>
      </c>
      <c r="C58" s="22">
        <f>IF($L58="","",INDEX(HSI!$C$7:$C$106,$N58))</f>
        <v/>
      </c>
      <c r="D58" s="22">
        <f>IF($L58="","",INDEX(HSI!$D$7:$D$106,$N58))</f>
        <v/>
      </c>
      <c r="E58" s="123">
        <f>IF($L58="","",IF($P58=0,"TBA",IFERROR(INDEX(Grids!$C$12:$BO$111,$N58,$O58),"-")))</f>
        <v/>
      </c>
      <c r="F58" s="22">
        <f>IF($L58="","",INDEX(HSI!$F$7:$F$106,$N58))</f>
        <v/>
      </c>
      <c r="G58" s="123">
        <f>IF($L58="","",IF($P58=0,"TBA",IFERROR(INDEX(Grids!$BQ$12:$EC$111,$N58,$O58),"-")))</f>
        <v/>
      </c>
      <c r="H58" s="124">
        <f>IF($L58="","",SUM($G$10:$G58))</f>
        <v/>
      </c>
      <c r="I58" s="45">
        <f>IF($L58="","",IF(INT(($L58-INT($L58/10000000)*10000000)/1000000)=0,"Bloomberg projection",IF($P58=1,"ANNOUNCED","ANNOUNCED - amount TBA")))</f>
        <v/>
      </c>
      <c r="J58" s="46">
        <f>IF($L58="","",IF((OV_SWITCH="ON")*(COUNTIFS(OVR_TICKERS,INDEX(HSI!$C$7:$C$106,$N58),OVR_BASE,"&gt;=0")&gt;0)&gt;0,"stock overridden",""))</f>
        <v/>
      </c>
      <c r="L58" s="121">
        <f>IFERROR(IF(SMALL(Grids!$EE$12:$GQ$111,$M$7+49)&gt;=PEND_TO,"",SMALL(Grids!$EE$12:$GQ$111,$M$7+49)),"")</f>
        <v/>
      </c>
      <c r="M58" s="121">
        <f>IF($L58="","",INT($L58/1000000000))</f>
        <v/>
      </c>
      <c r="N58" s="121">
        <f>IF($L58="","",INT(($L58-INT($L58/1000000)*1000000)/1000))</f>
        <v/>
      </c>
      <c r="O58" s="121">
        <f>IF($L58="","",$L58-INT($L58/1000)*1000)</f>
        <v/>
      </c>
      <c r="P58" s="121">
        <f>IF($L58="","",INT(($L58-INT($L58/1000000000)*1000000000)/100000000))</f>
        <v/>
      </c>
    </row>
    <row r="59">
      <c r="B59" s="122">
        <f>IF($L59="","",$M59)</f>
        <v/>
      </c>
      <c r="C59" s="22">
        <f>IF($L59="","",INDEX(HSI!$C$7:$C$106,$N59))</f>
        <v/>
      </c>
      <c r="D59" s="22">
        <f>IF($L59="","",INDEX(HSI!$D$7:$D$106,$N59))</f>
        <v/>
      </c>
      <c r="E59" s="123">
        <f>IF($L59="","",IF($P59=0,"TBA",IFERROR(INDEX(Grids!$C$12:$BO$111,$N59,$O59),"-")))</f>
        <v/>
      </c>
      <c r="F59" s="22">
        <f>IF($L59="","",INDEX(HSI!$F$7:$F$106,$N59))</f>
        <v/>
      </c>
      <c r="G59" s="123">
        <f>IF($L59="","",IF($P59=0,"TBA",IFERROR(INDEX(Grids!$BQ$12:$EC$111,$N59,$O59),"-")))</f>
        <v/>
      </c>
      <c r="H59" s="124">
        <f>IF($L59="","",SUM($G$10:$G59))</f>
        <v/>
      </c>
      <c r="I59" s="45">
        <f>IF($L59="","",IF(INT(($L59-INT($L59/10000000)*10000000)/1000000)=0,"Bloomberg projection",IF($P59=1,"ANNOUNCED","ANNOUNCED - amount TBA")))</f>
        <v/>
      </c>
      <c r="J59" s="46">
        <f>IF($L59="","",IF((OV_SWITCH="ON")*(COUNTIFS(OVR_TICKERS,INDEX(HSI!$C$7:$C$106,$N59),OVR_BASE,"&gt;=0")&gt;0)&gt;0,"stock overridden",""))</f>
        <v/>
      </c>
      <c r="L59" s="121">
        <f>IFERROR(IF(SMALL(Grids!$EE$12:$GQ$111,$M$7+50)&gt;=PEND_TO,"",SMALL(Grids!$EE$12:$GQ$111,$M$7+50)),"")</f>
        <v/>
      </c>
      <c r="M59" s="121">
        <f>IF($L59="","",INT($L59/1000000000))</f>
        <v/>
      </c>
      <c r="N59" s="121">
        <f>IF($L59="","",INT(($L59-INT($L59/1000000)*1000000)/1000))</f>
        <v/>
      </c>
      <c r="O59" s="121">
        <f>IF($L59="","",$L59-INT($L59/1000)*1000)</f>
        <v/>
      </c>
      <c r="P59" s="121">
        <f>IF($L59="","",INT(($L59-INT($L59/1000000000)*1000000000)/100000000))</f>
        <v/>
      </c>
    </row>
    <row r="60">
      <c r="B60" s="122">
        <f>IF($L60="","",$M60)</f>
        <v/>
      </c>
      <c r="C60" s="22">
        <f>IF($L60="","",INDEX(HSI!$C$7:$C$106,$N60))</f>
        <v/>
      </c>
      <c r="D60" s="22">
        <f>IF($L60="","",INDEX(HSI!$D$7:$D$106,$N60))</f>
        <v/>
      </c>
      <c r="E60" s="123">
        <f>IF($L60="","",IF($P60=0,"TBA",IFERROR(INDEX(Grids!$C$12:$BO$111,$N60,$O60),"-")))</f>
        <v/>
      </c>
      <c r="F60" s="22">
        <f>IF($L60="","",INDEX(HSI!$F$7:$F$106,$N60))</f>
        <v/>
      </c>
      <c r="G60" s="123">
        <f>IF($L60="","",IF($P60=0,"TBA",IFERROR(INDEX(Grids!$BQ$12:$EC$111,$N60,$O60),"-")))</f>
        <v/>
      </c>
      <c r="H60" s="124">
        <f>IF($L60="","",SUM($G$10:$G60))</f>
        <v/>
      </c>
      <c r="I60" s="45">
        <f>IF($L60="","",IF(INT(($L60-INT($L60/10000000)*10000000)/1000000)=0,"Bloomberg projection",IF($P60=1,"ANNOUNCED","ANNOUNCED - amount TBA")))</f>
        <v/>
      </c>
      <c r="J60" s="46">
        <f>IF($L60="","",IF((OV_SWITCH="ON")*(COUNTIFS(OVR_TICKERS,INDEX(HSI!$C$7:$C$106,$N60),OVR_BASE,"&gt;=0")&gt;0)&gt;0,"stock overridden",""))</f>
        <v/>
      </c>
      <c r="L60" s="121">
        <f>IFERROR(IF(SMALL(Grids!$EE$12:$GQ$111,$M$7+51)&gt;=PEND_TO,"",SMALL(Grids!$EE$12:$GQ$111,$M$7+51)),"")</f>
        <v/>
      </c>
      <c r="M60" s="121">
        <f>IF($L60="","",INT($L60/1000000000))</f>
        <v/>
      </c>
      <c r="N60" s="121">
        <f>IF($L60="","",INT(($L60-INT($L60/1000000)*1000000)/1000))</f>
        <v/>
      </c>
      <c r="O60" s="121">
        <f>IF($L60="","",$L60-INT($L60/1000)*1000)</f>
        <v/>
      </c>
      <c r="P60" s="121">
        <f>IF($L60="","",INT(($L60-INT($L60/1000000000)*1000000000)/100000000))</f>
        <v/>
      </c>
    </row>
    <row r="61">
      <c r="B61" s="122">
        <f>IF($L61="","",$M61)</f>
        <v/>
      </c>
      <c r="C61" s="22">
        <f>IF($L61="","",INDEX(HSI!$C$7:$C$106,$N61))</f>
        <v/>
      </c>
      <c r="D61" s="22">
        <f>IF($L61="","",INDEX(HSI!$D$7:$D$106,$N61))</f>
        <v/>
      </c>
      <c r="E61" s="123">
        <f>IF($L61="","",IF($P61=0,"TBA",IFERROR(INDEX(Grids!$C$12:$BO$111,$N61,$O61),"-")))</f>
        <v/>
      </c>
      <c r="F61" s="22">
        <f>IF($L61="","",INDEX(HSI!$F$7:$F$106,$N61))</f>
        <v/>
      </c>
      <c r="G61" s="123">
        <f>IF($L61="","",IF($P61=0,"TBA",IFERROR(INDEX(Grids!$BQ$12:$EC$111,$N61,$O61),"-")))</f>
        <v/>
      </c>
      <c r="H61" s="124">
        <f>IF($L61="","",SUM($G$10:$G61))</f>
        <v/>
      </c>
      <c r="I61" s="45">
        <f>IF($L61="","",IF(INT(($L61-INT($L61/10000000)*10000000)/1000000)=0,"Bloomberg projection",IF($P61=1,"ANNOUNCED","ANNOUNCED - amount TBA")))</f>
        <v/>
      </c>
      <c r="J61" s="46">
        <f>IF($L61="","",IF((OV_SWITCH="ON")*(COUNTIFS(OVR_TICKERS,INDEX(HSI!$C$7:$C$106,$N61),OVR_BASE,"&gt;=0")&gt;0)&gt;0,"stock overridden",""))</f>
        <v/>
      </c>
      <c r="L61" s="121">
        <f>IFERROR(IF(SMALL(Grids!$EE$12:$GQ$111,$M$7+52)&gt;=PEND_TO,"",SMALL(Grids!$EE$12:$GQ$111,$M$7+52)),"")</f>
        <v/>
      </c>
      <c r="M61" s="121">
        <f>IF($L61="","",INT($L61/1000000000))</f>
        <v/>
      </c>
      <c r="N61" s="121">
        <f>IF($L61="","",INT(($L61-INT($L61/1000000)*1000000)/1000))</f>
        <v/>
      </c>
      <c r="O61" s="121">
        <f>IF($L61="","",$L61-INT($L61/1000)*1000)</f>
        <v/>
      </c>
      <c r="P61" s="121">
        <f>IF($L61="","",INT(($L61-INT($L61/1000000000)*1000000000)/100000000))</f>
        <v/>
      </c>
    </row>
    <row r="62">
      <c r="B62" s="122">
        <f>IF($L62="","",$M62)</f>
        <v/>
      </c>
      <c r="C62" s="22">
        <f>IF($L62="","",INDEX(HSI!$C$7:$C$106,$N62))</f>
        <v/>
      </c>
      <c r="D62" s="22">
        <f>IF($L62="","",INDEX(HSI!$D$7:$D$106,$N62))</f>
        <v/>
      </c>
      <c r="E62" s="123">
        <f>IF($L62="","",IF($P62=0,"TBA",IFERROR(INDEX(Grids!$C$12:$BO$111,$N62,$O62),"-")))</f>
        <v/>
      </c>
      <c r="F62" s="22">
        <f>IF($L62="","",INDEX(HSI!$F$7:$F$106,$N62))</f>
        <v/>
      </c>
      <c r="G62" s="123">
        <f>IF($L62="","",IF($P62=0,"TBA",IFERROR(INDEX(Grids!$BQ$12:$EC$111,$N62,$O62),"-")))</f>
        <v/>
      </c>
      <c r="H62" s="124">
        <f>IF($L62="","",SUM($G$10:$G62))</f>
        <v/>
      </c>
      <c r="I62" s="45">
        <f>IF($L62="","",IF(INT(($L62-INT($L62/10000000)*10000000)/1000000)=0,"Bloomberg projection",IF($P62=1,"ANNOUNCED","ANNOUNCED - amount TBA")))</f>
        <v/>
      </c>
      <c r="J62" s="46">
        <f>IF($L62="","",IF((OV_SWITCH="ON")*(COUNTIFS(OVR_TICKERS,INDEX(HSI!$C$7:$C$106,$N62),OVR_BASE,"&gt;=0")&gt;0)&gt;0,"stock overridden",""))</f>
        <v/>
      </c>
      <c r="L62" s="121">
        <f>IFERROR(IF(SMALL(Grids!$EE$12:$GQ$111,$M$7+53)&gt;=PEND_TO,"",SMALL(Grids!$EE$12:$GQ$111,$M$7+53)),"")</f>
        <v/>
      </c>
      <c r="M62" s="121">
        <f>IF($L62="","",INT($L62/1000000000))</f>
        <v/>
      </c>
      <c r="N62" s="121">
        <f>IF($L62="","",INT(($L62-INT($L62/1000000)*1000000)/1000))</f>
        <v/>
      </c>
      <c r="O62" s="121">
        <f>IF($L62="","",$L62-INT($L62/1000)*1000)</f>
        <v/>
      </c>
      <c r="P62" s="121">
        <f>IF($L62="","",INT(($L62-INT($L62/1000000000)*1000000000)/100000000))</f>
        <v/>
      </c>
    </row>
    <row r="63">
      <c r="B63" s="122">
        <f>IF($L63="","",$M63)</f>
        <v/>
      </c>
      <c r="C63" s="22">
        <f>IF($L63="","",INDEX(HSI!$C$7:$C$106,$N63))</f>
        <v/>
      </c>
      <c r="D63" s="22">
        <f>IF($L63="","",INDEX(HSI!$D$7:$D$106,$N63))</f>
        <v/>
      </c>
      <c r="E63" s="123">
        <f>IF($L63="","",IF($P63=0,"TBA",IFERROR(INDEX(Grids!$C$12:$BO$111,$N63,$O63),"-")))</f>
        <v/>
      </c>
      <c r="F63" s="22">
        <f>IF($L63="","",INDEX(HSI!$F$7:$F$106,$N63))</f>
        <v/>
      </c>
      <c r="G63" s="123">
        <f>IF($L63="","",IF($P63=0,"TBA",IFERROR(INDEX(Grids!$BQ$12:$EC$111,$N63,$O63),"-")))</f>
        <v/>
      </c>
      <c r="H63" s="124">
        <f>IF($L63="","",SUM($G$10:$G63))</f>
        <v/>
      </c>
      <c r="I63" s="45">
        <f>IF($L63="","",IF(INT(($L63-INT($L63/10000000)*10000000)/1000000)=0,"Bloomberg projection",IF($P63=1,"ANNOUNCED","ANNOUNCED - amount TBA")))</f>
        <v/>
      </c>
      <c r="J63" s="46">
        <f>IF($L63="","",IF((OV_SWITCH="ON")*(COUNTIFS(OVR_TICKERS,INDEX(HSI!$C$7:$C$106,$N63),OVR_BASE,"&gt;=0")&gt;0)&gt;0,"stock overridden",""))</f>
        <v/>
      </c>
      <c r="L63" s="121">
        <f>IFERROR(IF(SMALL(Grids!$EE$12:$GQ$111,$M$7+54)&gt;=PEND_TO,"",SMALL(Grids!$EE$12:$GQ$111,$M$7+54)),"")</f>
        <v/>
      </c>
      <c r="M63" s="121">
        <f>IF($L63="","",INT($L63/1000000000))</f>
        <v/>
      </c>
      <c r="N63" s="121">
        <f>IF($L63="","",INT(($L63-INT($L63/1000000)*1000000)/1000))</f>
        <v/>
      </c>
      <c r="O63" s="121">
        <f>IF($L63="","",$L63-INT($L63/1000)*1000)</f>
        <v/>
      </c>
      <c r="P63" s="121">
        <f>IF($L63="","",INT(($L63-INT($L63/1000000000)*1000000000)/100000000))</f>
        <v/>
      </c>
    </row>
    <row r="64">
      <c r="B64" s="122">
        <f>IF($L64="","",$M64)</f>
        <v/>
      </c>
      <c r="C64" s="22">
        <f>IF($L64="","",INDEX(HSI!$C$7:$C$106,$N64))</f>
        <v/>
      </c>
      <c r="D64" s="22">
        <f>IF($L64="","",INDEX(HSI!$D$7:$D$106,$N64))</f>
        <v/>
      </c>
      <c r="E64" s="123">
        <f>IF($L64="","",IF($P64=0,"TBA",IFERROR(INDEX(Grids!$C$12:$BO$111,$N64,$O64),"-")))</f>
        <v/>
      </c>
      <c r="F64" s="22">
        <f>IF($L64="","",INDEX(HSI!$F$7:$F$106,$N64))</f>
        <v/>
      </c>
      <c r="G64" s="123">
        <f>IF($L64="","",IF($P64=0,"TBA",IFERROR(INDEX(Grids!$BQ$12:$EC$111,$N64,$O64),"-")))</f>
        <v/>
      </c>
      <c r="H64" s="124">
        <f>IF($L64="","",SUM($G$10:$G64))</f>
        <v/>
      </c>
      <c r="I64" s="45">
        <f>IF($L64="","",IF(INT(($L64-INT($L64/10000000)*10000000)/1000000)=0,"Bloomberg projection",IF($P64=1,"ANNOUNCED","ANNOUNCED - amount TBA")))</f>
        <v/>
      </c>
      <c r="J64" s="46">
        <f>IF($L64="","",IF((OV_SWITCH="ON")*(COUNTIFS(OVR_TICKERS,INDEX(HSI!$C$7:$C$106,$N64),OVR_BASE,"&gt;=0")&gt;0)&gt;0,"stock overridden",""))</f>
        <v/>
      </c>
      <c r="L64" s="121">
        <f>IFERROR(IF(SMALL(Grids!$EE$12:$GQ$111,$M$7+55)&gt;=PEND_TO,"",SMALL(Grids!$EE$12:$GQ$111,$M$7+55)),"")</f>
        <v/>
      </c>
      <c r="M64" s="121">
        <f>IF($L64="","",INT($L64/1000000000))</f>
        <v/>
      </c>
      <c r="N64" s="121">
        <f>IF($L64="","",INT(($L64-INT($L64/1000000)*1000000)/1000))</f>
        <v/>
      </c>
      <c r="O64" s="121">
        <f>IF($L64="","",$L64-INT($L64/1000)*1000)</f>
        <v/>
      </c>
      <c r="P64" s="121">
        <f>IF($L64="","",INT(($L64-INT($L64/1000000000)*1000000000)/100000000))</f>
        <v/>
      </c>
    </row>
    <row r="65">
      <c r="B65" s="122">
        <f>IF($L65="","",$M65)</f>
        <v/>
      </c>
      <c r="C65" s="22">
        <f>IF($L65="","",INDEX(HSI!$C$7:$C$106,$N65))</f>
        <v/>
      </c>
      <c r="D65" s="22">
        <f>IF($L65="","",INDEX(HSI!$D$7:$D$106,$N65))</f>
        <v/>
      </c>
      <c r="E65" s="123">
        <f>IF($L65="","",IF($P65=0,"TBA",IFERROR(INDEX(Grids!$C$12:$BO$111,$N65,$O65),"-")))</f>
        <v/>
      </c>
      <c r="F65" s="22">
        <f>IF($L65="","",INDEX(HSI!$F$7:$F$106,$N65))</f>
        <v/>
      </c>
      <c r="G65" s="123">
        <f>IF($L65="","",IF($P65=0,"TBA",IFERROR(INDEX(Grids!$BQ$12:$EC$111,$N65,$O65),"-")))</f>
        <v/>
      </c>
      <c r="H65" s="124">
        <f>IF($L65="","",SUM($G$10:$G65))</f>
        <v/>
      </c>
      <c r="I65" s="45">
        <f>IF($L65="","",IF(INT(($L65-INT($L65/10000000)*10000000)/1000000)=0,"Bloomberg projection",IF($P65=1,"ANNOUNCED","ANNOUNCED - amount TBA")))</f>
        <v/>
      </c>
      <c r="J65" s="46">
        <f>IF($L65="","",IF((OV_SWITCH="ON")*(COUNTIFS(OVR_TICKERS,INDEX(HSI!$C$7:$C$106,$N65),OVR_BASE,"&gt;=0")&gt;0)&gt;0,"stock overridden",""))</f>
        <v/>
      </c>
      <c r="L65" s="121">
        <f>IFERROR(IF(SMALL(Grids!$EE$12:$GQ$111,$M$7+56)&gt;=PEND_TO,"",SMALL(Grids!$EE$12:$GQ$111,$M$7+56)),"")</f>
        <v/>
      </c>
      <c r="M65" s="121">
        <f>IF($L65="","",INT($L65/1000000000))</f>
        <v/>
      </c>
      <c r="N65" s="121">
        <f>IF($L65="","",INT(($L65-INT($L65/1000000)*1000000)/1000))</f>
        <v/>
      </c>
      <c r="O65" s="121">
        <f>IF($L65="","",$L65-INT($L65/1000)*1000)</f>
        <v/>
      </c>
      <c r="P65" s="121">
        <f>IF($L65="","",INT(($L65-INT($L65/1000000000)*1000000000)/100000000))</f>
        <v/>
      </c>
    </row>
    <row r="66">
      <c r="B66" s="122">
        <f>IF($L66="","",$M66)</f>
        <v/>
      </c>
      <c r="C66" s="22">
        <f>IF($L66="","",INDEX(HSI!$C$7:$C$106,$N66))</f>
        <v/>
      </c>
      <c r="D66" s="22">
        <f>IF($L66="","",INDEX(HSI!$D$7:$D$106,$N66))</f>
        <v/>
      </c>
      <c r="E66" s="123">
        <f>IF($L66="","",IF($P66=0,"TBA",IFERROR(INDEX(Grids!$C$12:$BO$111,$N66,$O66),"-")))</f>
        <v/>
      </c>
      <c r="F66" s="22">
        <f>IF($L66="","",INDEX(HSI!$F$7:$F$106,$N66))</f>
        <v/>
      </c>
      <c r="G66" s="123">
        <f>IF($L66="","",IF($P66=0,"TBA",IFERROR(INDEX(Grids!$BQ$12:$EC$111,$N66,$O66),"-")))</f>
        <v/>
      </c>
      <c r="H66" s="124">
        <f>IF($L66="","",SUM($G$10:$G66))</f>
        <v/>
      </c>
      <c r="I66" s="45">
        <f>IF($L66="","",IF(INT(($L66-INT($L66/10000000)*10000000)/1000000)=0,"Bloomberg projection",IF($P66=1,"ANNOUNCED","ANNOUNCED - amount TBA")))</f>
        <v/>
      </c>
      <c r="J66" s="46">
        <f>IF($L66="","",IF((OV_SWITCH="ON")*(COUNTIFS(OVR_TICKERS,INDEX(HSI!$C$7:$C$106,$N66),OVR_BASE,"&gt;=0")&gt;0)&gt;0,"stock overridden",""))</f>
        <v/>
      </c>
      <c r="L66" s="121">
        <f>IFERROR(IF(SMALL(Grids!$EE$12:$GQ$111,$M$7+57)&gt;=PEND_TO,"",SMALL(Grids!$EE$12:$GQ$111,$M$7+57)),"")</f>
        <v/>
      </c>
      <c r="M66" s="121">
        <f>IF($L66="","",INT($L66/1000000000))</f>
        <v/>
      </c>
      <c r="N66" s="121">
        <f>IF($L66="","",INT(($L66-INT($L66/1000000)*1000000)/1000))</f>
        <v/>
      </c>
      <c r="O66" s="121">
        <f>IF($L66="","",$L66-INT($L66/1000)*1000)</f>
        <v/>
      </c>
      <c r="P66" s="121">
        <f>IF($L66="","",INT(($L66-INT($L66/1000000000)*1000000000)/100000000))</f>
        <v/>
      </c>
    </row>
    <row r="67">
      <c r="B67" s="122">
        <f>IF($L67="","",$M67)</f>
        <v/>
      </c>
      <c r="C67" s="22">
        <f>IF($L67="","",INDEX(HSI!$C$7:$C$106,$N67))</f>
        <v/>
      </c>
      <c r="D67" s="22">
        <f>IF($L67="","",INDEX(HSI!$D$7:$D$106,$N67))</f>
        <v/>
      </c>
      <c r="E67" s="123">
        <f>IF($L67="","",IF($P67=0,"TBA",IFERROR(INDEX(Grids!$C$12:$BO$111,$N67,$O67),"-")))</f>
        <v/>
      </c>
      <c r="F67" s="22">
        <f>IF($L67="","",INDEX(HSI!$F$7:$F$106,$N67))</f>
        <v/>
      </c>
      <c r="G67" s="123">
        <f>IF($L67="","",IF($P67=0,"TBA",IFERROR(INDEX(Grids!$BQ$12:$EC$111,$N67,$O67),"-")))</f>
        <v/>
      </c>
      <c r="H67" s="124">
        <f>IF($L67="","",SUM($G$10:$G67))</f>
        <v/>
      </c>
      <c r="I67" s="45">
        <f>IF($L67="","",IF(INT(($L67-INT($L67/10000000)*10000000)/1000000)=0,"Bloomberg projection",IF($P67=1,"ANNOUNCED","ANNOUNCED - amount TBA")))</f>
        <v/>
      </c>
      <c r="J67" s="46">
        <f>IF($L67="","",IF((OV_SWITCH="ON")*(COUNTIFS(OVR_TICKERS,INDEX(HSI!$C$7:$C$106,$N67),OVR_BASE,"&gt;=0")&gt;0)&gt;0,"stock overridden",""))</f>
        <v/>
      </c>
      <c r="L67" s="121">
        <f>IFERROR(IF(SMALL(Grids!$EE$12:$GQ$111,$M$7+58)&gt;=PEND_TO,"",SMALL(Grids!$EE$12:$GQ$111,$M$7+58)),"")</f>
        <v/>
      </c>
      <c r="M67" s="121">
        <f>IF($L67="","",INT($L67/1000000000))</f>
        <v/>
      </c>
      <c r="N67" s="121">
        <f>IF($L67="","",INT(($L67-INT($L67/1000000)*1000000)/1000))</f>
        <v/>
      </c>
      <c r="O67" s="121">
        <f>IF($L67="","",$L67-INT($L67/1000)*1000)</f>
        <v/>
      </c>
      <c r="P67" s="121">
        <f>IF($L67="","",INT(($L67-INT($L67/1000000000)*1000000000)/100000000))</f>
        <v/>
      </c>
    </row>
    <row r="68">
      <c r="B68" s="122">
        <f>IF($L68="","",$M68)</f>
        <v/>
      </c>
      <c r="C68" s="22">
        <f>IF($L68="","",INDEX(HSI!$C$7:$C$106,$N68))</f>
        <v/>
      </c>
      <c r="D68" s="22">
        <f>IF($L68="","",INDEX(HSI!$D$7:$D$106,$N68))</f>
        <v/>
      </c>
      <c r="E68" s="123">
        <f>IF($L68="","",IF($P68=0,"TBA",IFERROR(INDEX(Grids!$C$12:$BO$111,$N68,$O68),"-")))</f>
        <v/>
      </c>
      <c r="F68" s="22">
        <f>IF($L68="","",INDEX(HSI!$F$7:$F$106,$N68))</f>
        <v/>
      </c>
      <c r="G68" s="123">
        <f>IF($L68="","",IF($P68=0,"TBA",IFERROR(INDEX(Grids!$BQ$12:$EC$111,$N68,$O68),"-")))</f>
        <v/>
      </c>
      <c r="H68" s="124">
        <f>IF($L68="","",SUM($G$10:$G68))</f>
        <v/>
      </c>
      <c r="I68" s="45">
        <f>IF($L68="","",IF(INT(($L68-INT($L68/10000000)*10000000)/1000000)=0,"Bloomberg projection",IF($P68=1,"ANNOUNCED","ANNOUNCED - amount TBA")))</f>
        <v/>
      </c>
      <c r="J68" s="46">
        <f>IF($L68="","",IF((OV_SWITCH="ON")*(COUNTIFS(OVR_TICKERS,INDEX(HSI!$C$7:$C$106,$N68),OVR_BASE,"&gt;=0")&gt;0)&gt;0,"stock overridden",""))</f>
        <v/>
      </c>
      <c r="L68" s="121">
        <f>IFERROR(IF(SMALL(Grids!$EE$12:$GQ$111,$M$7+59)&gt;=PEND_TO,"",SMALL(Grids!$EE$12:$GQ$111,$M$7+59)),"")</f>
        <v/>
      </c>
      <c r="M68" s="121">
        <f>IF($L68="","",INT($L68/1000000000))</f>
        <v/>
      </c>
      <c r="N68" s="121">
        <f>IF($L68="","",INT(($L68-INT($L68/1000000)*1000000)/1000))</f>
        <v/>
      </c>
      <c r="O68" s="121">
        <f>IF($L68="","",$L68-INT($L68/1000)*1000)</f>
        <v/>
      </c>
      <c r="P68" s="121">
        <f>IF($L68="","",INT(($L68-INT($L68/1000000000)*1000000000)/100000000))</f>
        <v/>
      </c>
    </row>
    <row r="69">
      <c r="B69" s="122">
        <f>IF($L69="","",$M69)</f>
        <v/>
      </c>
      <c r="C69" s="22">
        <f>IF($L69="","",INDEX(HSI!$C$7:$C$106,$N69))</f>
        <v/>
      </c>
      <c r="D69" s="22">
        <f>IF($L69="","",INDEX(HSI!$D$7:$D$106,$N69))</f>
        <v/>
      </c>
      <c r="E69" s="123">
        <f>IF($L69="","",IF($P69=0,"TBA",IFERROR(INDEX(Grids!$C$12:$BO$111,$N69,$O69),"-")))</f>
        <v/>
      </c>
      <c r="F69" s="22">
        <f>IF($L69="","",INDEX(HSI!$F$7:$F$106,$N69))</f>
        <v/>
      </c>
      <c r="G69" s="123">
        <f>IF($L69="","",IF($P69=0,"TBA",IFERROR(INDEX(Grids!$BQ$12:$EC$111,$N69,$O69),"-")))</f>
        <v/>
      </c>
      <c r="H69" s="124">
        <f>IF($L69="","",SUM($G$10:$G69))</f>
        <v/>
      </c>
      <c r="I69" s="45">
        <f>IF($L69="","",IF(INT(($L69-INT($L69/10000000)*10000000)/1000000)=0,"Bloomberg projection",IF($P69=1,"ANNOUNCED","ANNOUNCED - amount TBA")))</f>
        <v/>
      </c>
      <c r="J69" s="46">
        <f>IF($L69="","",IF((OV_SWITCH="ON")*(COUNTIFS(OVR_TICKERS,INDEX(HSI!$C$7:$C$106,$N69),OVR_BASE,"&gt;=0")&gt;0)&gt;0,"stock overridden",""))</f>
        <v/>
      </c>
      <c r="L69" s="121">
        <f>IFERROR(IF(SMALL(Grids!$EE$12:$GQ$111,$M$7+60)&gt;=PEND_TO,"",SMALL(Grids!$EE$12:$GQ$111,$M$7+60)),"")</f>
        <v/>
      </c>
      <c r="M69" s="121">
        <f>IF($L69="","",INT($L69/1000000000))</f>
        <v/>
      </c>
      <c r="N69" s="121">
        <f>IF($L69="","",INT(($L69-INT($L69/1000000)*1000000)/1000))</f>
        <v/>
      </c>
      <c r="O69" s="121">
        <f>IF($L69="","",$L69-INT($L69/1000)*1000)</f>
        <v/>
      </c>
      <c r="P69" s="121">
        <f>IF($L69="","",INT(($L69-INT($L69/1000000000)*1000000000)/100000000))</f>
        <v/>
      </c>
    </row>
    <row r="70">
      <c r="B70" s="122">
        <f>IF($L70="","",$M70)</f>
        <v/>
      </c>
      <c r="C70" s="22">
        <f>IF($L70="","",INDEX(HSI!$C$7:$C$106,$N70))</f>
        <v/>
      </c>
      <c r="D70" s="22">
        <f>IF($L70="","",INDEX(HSI!$D$7:$D$106,$N70))</f>
        <v/>
      </c>
      <c r="E70" s="123">
        <f>IF($L70="","",IF($P70=0,"TBA",IFERROR(INDEX(Grids!$C$12:$BO$111,$N70,$O70),"-")))</f>
        <v/>
      </c>
      <c r="F70" s="22">
        <f>IF($L70="","",INDEX(HSI!$F$7:$F$106,$N70))</f>
        <v/>
      </c>
      <c r="G70" s="123">
        <f>IF($L70="","",IF($P70=0,"TBA",IFERROR(INDEX(Grids!$BQ$12:$EC$111,$N70,$O70),"-")))</f>
        <v/>
      </c>
      <c r="H70" s="124">
        <f>IF($L70="","",SUM($G$10:$G70))</f>
        <v/>
      </c>
      <c r="I70" s="45">
        <f>IF($L70="","",IF(INT(($L70-INT($L70/10000000)*10000000)/1000000)=0,"Bloomberg projection",IF($P70=1,"ANNOUNCED","ANNOUNCED - amount TBA")))</f>
        <v/>
      </c>
      <c r="J70" s="46">
        <f>IF($L70="","",IF((OV_SWITCH="ON")*(COUNTIFS(OVR_TICKERS,INDEX(HSI!$C$7:$C$106,$N70),OVR_BASE,"&gt;=0")&gt;0)&gt;0,"stock overridden",""))</f>
        <v/>
      </c>
      <c r="L70" s="121">
        <f>IFERROR(IF(SMALL(Grids!$EE$12:$GQ$111,$M$7+61)&gt;=PEND_TO,"",SMALL(Grids!$EE$12:$GQ$111,$M$7+61)),"")</f>
        <v/>
      </c>
      <c r="M70" s="121">
        <f>IF($L70="","",INT($L70/1000000000))</f>
        <v/>
      </c>
      <c r="N70" s="121">
        <f>IF($L70="","",INT(($L70-INT($L70/1000000)*1000000)/1000))</f>
        <v/>
      </c>
      <c r="O70" s="121">
        <f>IF($L70="","",$L70-INT($L70/1000)*1000)</f>
        <v/>
      </c>
      <c r="P70" s="121">
        <f>IF($L70="","",INT(($L70-INT($L70/1000000000)*1000000000)/100000000))</f>
        <v/>
      </c>
    </row>
    <row r="71">
      <c r="B71" s="122">
        <f>IF($L71="","",$M71)</f>
        <v/>
      </c>
      <c r="C71" s="22">
        <f>IF($L71="","",INDEX(HSI!$C$7:$C$106,$N71))</f>
        <v/>
      </c>
      <c r="D71" s="22">
        <f>IF($L71="","",INDEX(HSI!$D$7:$D$106,$N71))</f>
        <v/>
      </c>
      <c r="E71" s="123">
        <f>IF($L71="","",IF($P71=0,"TBA",IFERROR(INDEX(Grids!$C$12:$BO$111,$N71,$O71),"-")))</f>
        <v/>
      </c>
      <c r="F71" s="22">
        <f>IF($L71="","",INDEX(HSI!$F$7:$F$106,$N71))</f>
        <v/>
      </c>
      <c r="G71" s="123">
        <f>IF($L71="","",IF($P71=0,"TBA",IFERROR(INDEX(Grids!$BQ$12:$EC$111,$N71,$O71),"-")))</f>
        <v/>
      </c>
      <c r="H71" s="124">
        <f>IF($L71="","",SUM($G$10:$G71))</f>
        <v/>
      </c>
      <c r="I71" s="45">
        <f>IF($L71="","",IF(INT(($L71-INT($L71/10000000)*10000000)/1000000)=0,"Bloomberg projection",IF($P71=1,"ANNOUNCED","ANNOUNCED - amount TBA")))</f>
        <v/>
      </c>
      <c r="J71" s="46">
        <f>IF($L71="","",IF((OV_SWITCH="ON")*(COUNTIFS(OVR_TICKERS,INDEX(HSI!$C$7:$C$106,$N71),OVR_BASE,"&gt;=0")&gt;0)&gt;0,"stock overridden",""))</f>
        <v/>
      </c>
      <c r="L71" s="121">
        <f>IFERROR(IF(SMALL(Grids!$EE$12:$GQ$111,$M$7+62)&gt;=PEND_TO,"",SMALL(Grids!$EE$12:$GQ$111,$M$7+62)),"")</f>
        <v/>
      </c>
      <c r="M71" s="121">
        <f>IF($L71="","",INT($L71/1000000000))</f>
        <v/>
      </c>
      <c r="N71" s="121">
        <f>IF($L71="","",INT(($L71-INT($L71/1000000)*1000000)/1000))</f>
        <v/>
      </c>
      <c r="O71" s="121">
        <f>IF($L71="","",$L71-INT($L71/1000)*1000)</f>
        <v/>
      </c>
      <c r="P71" s="121">
        <f>IF($L71="","",INT(($L71-INT($L71/1000000000)*1000000000)/100000000))</f>
        <v/>
      </c>
    </row>
    <row r="72">
      <c r="B72" s="122">
        <f>IF($L72="","",$M72)</f>
        <v/>
      </c>
      <c r="C72" s="22">
        <f>IF($L72="","",INDEX(HSI!$C$7:$C$106,$N72))</f>
        <v/>
      </c>
      <c r="D72" s="22">
        <f>IF($L72="","",INDEX(HSI!$D$7:$D$106,$N72))</f>
        <v/>
      </c>
      <c r="E72" s="123">
        <f>IF($L72="","",IF($P72=0,"TBA",IFERROR(INDEX(Grids!$C$12:$BO$111,$N72,$O72),"-")))</f>
        <v/>
      </c>
      <c r="F72" s="22">
        <f>IF($L72="","",INDEX(HSI!$F$7:$F$106,$N72))</f>
        <v/>
      </c>
      <c r="G72" s="123">
        <f>IF($L72="","",IF($P72=0,"TBA",IFERROR(INDEX(Grids!$BQ$12:$EC$111,$N72,$O72),"-")))</f>
        <v/>
      </c>
      <c r="H72" s="124">
        <f>IF($L72="","",SUM($G$10:$G72))</f>
        <v/>
      </c>
      <c r="I72" s="45">
        <f>IF($L72="","",IF(INT(($L72-INT($L72/10000000)*10000000)/1000000)=0,"Bloomberg projection",IF($P72=1,"ANNOUNCED","ANNOUNCED - amount TBA")))</f>
        <v/>
      </c>
      <c r="J72" s="46">
        <f>IF($L72="","",IF((OV_SWITCH="ON")*(COUNTIFS(OVR_TICKERS,INDEX(HSI!$C$7:$C$106,$N72),OVR_BASE,"&gt;=0")&gt;0)&gt;0,"stock overridden",""))</f>
        <v/>
      </c>
      <c r="L72" s="121">
        <f>IFERROR(IF(SMALL(Grids!$EE$12:$GQ$111,$M$7+63)&gt;=PEND_TO,"",SMALL(Grids!$EE$12:$GQ$111,$M$7+63)),"")</f>
        <v/>
      </c>
      <c r="M72" s="121">
        <f>IF($L72="","",INT($L72/1000000000))</f>
        <v/>
      </c>
      <c r="N72" s="121">
        <f>IF($L72="","",INT(($L72-INT($L72/1000000)*1000000)/1000))</f>
        <v/>
      </c>
      <c r="O72" s="121">
        <f>IF($L72="","",$L72-INT($L72/1000)*1000)</f>
        <v/>
      </c>
      <c r="P72" s="121">
        <f>IF($L72="","",INT(($L72-INT($L72/1000000000)*1000000000)/100000000))</f>
        <v/>
      </c>
    </row>
    <row r="73">
      <c r="B73" s="122">
        <f>IF($L73="","",$M73)</f>
        <v/>
      </c>
      <c r="C73" s="22">
        <f>IF($L73="","",INDEX(HSI!$C$7:$C$106,$N73))</f>
        <v/>
      </c>
      <c r="D73" s="22">
        <f>IF($L73="","",INDEX(HSI!$D$7:$D$106,$N73))</f>
        <v/>
      </c>
      <c r="E73" s="123">
        <f>IF($L73="","",IF($P73=0,"TBA",IFERROR(INDEX(Grids!$C$12:$BO$111,$N73,$O73),"-")))</f>
        <v/>
      </c>
      <c r="F73" s="22">
        <f>IF($L73="","",INDEX(HSI!$F$7:$F$106,$N73))</f>
        <v/>
      </c>
      <c r="G73" s="123">
        <f>IF($L73="","",IF($P73=0,"TBA",IFERROR(INDEX(Grids!$BQ$12:$EC$111,$N73,$O73),"-")))</f>
        <v/>
      </c>
      <c r="H73" s="124">
        <f>IF($L73="","",SUM($G$10:$G73))</f>
        <v/>
      </c>
      <c r="I73" s="45">
        <f>IF($L73="","",IF(INT(($L73-INT($L73/10000000)*10000000)/1000000)=0,"Bloomberg projection",IF($P73=1,"ANNOUNCED","ANNOUNCED - amount TBA")))</f>
        <v/>
      </c>
      <c r="J73" s="46">
        <f>IF($L73="","",IF((OV_SWITCH="ON")*(COUNTIFS(OVR_TICKERS,INDEX(HSI!$C$7:$C$106,$N73),OVR_BASE,"&gt;=0")&gt;0)&gt;0,"stock overridden",""))</f>
        <v/>
      </c>
      <c r="L73" s="121">
        <f>IFERROR(IF(SMALL(Grids!$EE$12:$GQ$111,$M$7+64)&gt;=PEND_TO,"",SMALL(Grids!$EE$12:$GQ$111,$M$7+64)),"")</f>
        <v/>
      </c>
      <c r="M73" s="121">
        <f>IF($L73="","",INT($L73/1000000000))</f>
        <v/>
      </c>
      <c r="N73" s="121">
        <f>IF($L73="","",INT(($L73-INT($L73/1000000)*1000000)/1000))</f>
        <v/>
      </c>
      <c r="O73" s="121">
        <f>IF($L73="","",$L73-INT($L73/1000)*1000)</f>
        <v/>
      </c>
      <c r="P73" s="121">
        <f>IF($L73="","",INT(($L73-INT($L73/1000000000)*1000000000)/100000000))</f>
        <v/>
      </c>
    </row>
    <row r="74">
      <c r="B74" s="122">
        <f>IF($L74="","",$M74)</f>
        <v/>
      </c>
      <c r="C74" s="22">
        <f>IF($L74="","",INDEX(HSI!$C$7:$C$106,$N74))</f>
        <v/>
      </c>
      <c r="D74" s="22">
        <f>IF($L74="","",INDEX(HSI!$D$7:$D$106,$N74))</f>
        <v/>
      </c>
      <c r="E74" s="123">
        <f>IF($L74="","",IF($P74=0,"TBA",IFERROR(INDEX(Grids!$C$12:$BO$111,$N74,$O74),"-")))</f>
        <v/>
      </c>
      <c r="F74" s="22">
        <f>IF($L74="","",INDEX(HSI!$F$7:$F$106,$N74))</f>
        <v/>
      </c>
      <c r="G74" s="123">
        <f>IF($L74="","",IF($P74=0,"TBA",IFERROR(INDEX(Grids!$BQ$12:$EC$111,$N74,$O74),"-")))</f>
        <v/>
      </c>
      <c r="H74" s="124">
        <f>IF($L74="","",SUM($G$10:$G74))</f>
        <v/>
      </c>
      <c r="I74" s="45">
        <f>IF($L74="","",IF(INT(($L74-INT($L74/10000000)*10000000)/1000000)=0,"Bloomberg projection",IF($P74=1,"ANNOUNCED","ANNOUNCED - amount TBA")))</f>
        <v/>
      </c>
      <c r="J74" s="46">
        <f>IF($L74="","",IF((OV_SWITCH="ON")*(COUNTIFS(OVR_TICKERS,INDEX(HSI!$C$7:$C$106,$N74),OVR_BASE,"&gt;=0")&gt;0)&gt;0,"stock overridden",""))</f>
        <v/>
      </c>
      <c r="L74" s="121">
        <f>IFERROR(IF(SMALL(Grids!$EE$12:$GQ$111,$M$7+65)&gt;=PEND_TO,"",SMALL(Grids!$EE$12:$GQ$111,$M$7+65)),"")</f>
        <v/>
      </c>
      <c r="M74" s="121">
        <f>IF($L74="","",INT($L74/1000000000))</f>
        <v/>
      </c>
      <c r="N74" s="121">
        <f>IF($L74="","",INT(($L74-INT($L74/1000000)*1000000)/1000))</f>
        <v/>
      </c>
      <c r="O74" s="121">
        <f>IF($L74="","",$L74-INT($L74/1000)*1000)</f>
        <v/>
      </c>
      <c r="P74" s="121">
        <f>IF($L74="","",INT(($L74-INT($L74/1000000000)*1000000000)/100000000))</f>
        <v/>
      </c>
    </row>
    <row r="75">
      <c r="B75" s="122">
        <f>IF($L75="","",$M75)</f>
        <v/>
      </c>
      <c r="C75" s="22">
        <f>IF($L75="","",INDEX(HSI!$C$7:$C$106,$N75))</f>
        <v/>
      </c>
      <c r="D75" s="22">
        <f>IF($L75="","",INDEX(HSI!$D$7:$D$106,$N75))</f>
        <v/>
      </c>
      <c r="E75" s="123">
        <f>IF($L75="","",IF($P75=0,"TBA",IFERROR(INDEX(Grids!$C$12:$BO$111,$N75,$O75),"-")))</f>
        <v/>
      </c>
      <c r="F75" s="22">
        <f>IF($L75="","",INDEX(HSI!$F$7:$F$106,$N75))</f>
        <v/>
      </c>
      <c r="G75" s="123">
        <f>IF($L75="","",IF($P75=0,"TBA",IFERROR(INDEX(Grids!$BQ$12:$EC$111,$N75,$O75),"-")))</f>
        <v/>
      </c>
      <c r="H75" s="124">
        <f>IF($L75="","",SUM($G$10:$G75))</f>
        <v/>
      </c>
      <c r="I75" s="45">
        <f>IF($L75="","",IF(INT(($L75-INT($L75/10000000)*10000000)/1000000)=0,"Bloomberg projection",IF($P75=1,"ANNOUNCED","ANNOUNCED - amount TBA")))</f>
        <v/>
      </c>
      <c r="J75" s="46">
        <f>IF($L75="","",IF((OV_SWITCH="ON")*(COUNTIFS(OVR_TICKERS,INDEX(HSI!$C$7:$C$106,$N75),OVR_BASE,"&gt;=0")&gt;0)&gt;0,"stock overridden",""))</f>
        <v/>
      </c>
      <c r="L75" s="121">
        <f>IFERROR(IF(SMALL(Grids!$EE$12:$GQ$111,$M$7+66)&gt;=PEND_TO,"",SMALL(Grids!$EE$12:$GQ$111,$M$7+66)),"")</f>
        <v/>
      </c>
      <c r="M75" s="121">
        <f>IF($L75="","",INT($L75/1000000000))</f>
        <v/>
      </c>
      <c r="N75" s="121">
        <f>IF($L75="","",INT(($L75-INT($L75/1000000)*1000000)/1000))</f>
        <v/>
      </c>
      <c r="O75" s="121">
        <f>IF($L75="","",$L75-INT($L75/1000)*1000)</f>
        <v/>
      </c>
      <c r="P75" s="121">
        <f>IF($L75="","",INT(($L75-INT($L75/1000000000)*1000000000)/100000000))</f>
        <v/>
      </c>
    </row>
    <row r="76">
      <c r="B76" s="122">
        <f>IF($L76="","",$M76)</f>
        <v/>
      </c>
      <c r="C76" s="22">
        <f>IF($L76="","",INDEX(HSI!$C$7:$C$106,$N76))</f>
        <v/>
      </c>
      <c r="D76" s="22">
        <f>IF($L76="","",INDEX(HSI!$D$7:$D$106,$N76))</f>
        <v/>
      </c>
      <c r="E76" s="123">
        <f>IF($L76="","",IF($P76=0,"TBA",IFERROR(INDEX(Grids!$C$12:$BO$111,$N76,$O76),"-")))</f>
        <v/>
      </c>
      <c r="F76" s="22">
        <f>IF($L76="","",INDEX(HSI!$F$7:$F$106,$N76))</f>
        <v/>
      </c>
      <c r="G76" s="123">
        <f>IF($L76="","",IF($P76=0,"TBA",IFERROR(INDEX(Grids!$BQ$12:$EC$111,$N76,$O76),"-")))</f>
        <v/>
      </c>
      <c r="H76" s="124">
        <f>IF($L76="","",SUM($G$10:$G76))</f>
        <v/>
      </c>
      <c r="I76" s="45">
        <f>IF($L76="","",IF(INT(($L76-INT($L76/10000000)*10000000)/1000000)=0,"Bloomberg projection",IF($P76=1,"ANNOUNCED","ANNOUNCED - amount TBA")))</f>
        <v/>
      </c>
      <c r="J76" s="46">
        <f>IF($L76="","",IF((OV_SWITCH="ON")*(COUNTIFS(OVR_TICKERS,INDEX(HSI!$C$7:$C$106,$N76),OVR_BASE,"&gt;=0")&gt;0)&gt;0,"stock overridden",""))</f>
        <v/>
      </c>
      <c r="L76" s="121">
        <f>IFERROR(IF(SMALL(Grids!$EE$12:$GQ$111,$M$7+67)&gt;=PEND_TO,"",SMALL(Grids!$EE$12:$GQ$111,$M$7+67)),"")</f>
        <v/>
      </c>
      <c r="M76" s="121">
        <f>IF($L76="","",INT($L76/1000000000))</f>
        <v/>
      </c>
      <c r="N76" s="121">
        <f>IF($L76="","",INT(($L76-INT($L76/1000000)*1000000)/1000))</f>
        <v/>
      </c>
      <c r="O76" s="121">
        <f>IF($L76="","",$L76-INT($L76/1000)*1000)</f>
        <v/>
      </c>
      <c r="P76" s="121">
        <f>IF($L76="","",INT(($L76-INT($L76/1000000000)*1000000000)/100000000))</f>
        <v/>
      </c>
    </row>
    <row r="77">
      <c r="B77" s="122">
        <f>IF($L77="","",$M77)</f>
        <v/>
      </c>
      <c r="C77" s="22">
        <f>IF($L77="","",INDEX(HSI!$C$7:$C$106,$N77))</f>
        <v/>
      </c>
      <c r="D77" s="22">
        <f>IF($L77="","",INDEX(HSI!$D$7:$D$106,$N77))</f>
        <v/>
      </c>
      <c r="E77" s="123">
        <f>IF($L77="","",IF($P77=0,"TBA",IFERROR(INDEX(Grids!$C$12:$BO$111,$N77,$O77),"-")))</f>
        <v/>
      </c>
      <c r="F77" s="22">
        <f>IF($L77="","",INDEX(HSI!$F$7:$F$106,$N77))</f>
        <v/>
      </c>
      <c r="G77" s="123">
        <f>IF($L77="","",IF($P77=0,"TBA",IFERROR(INDEX(Grids!$BQ$12:$EC$111,$N77,$O77),"-")))</f>
        <v/>
      </c>
      <c r="H77" s="124">
        <f>IF($L77="","",SUM($G$10:$G77))</f>
        <v/>
      </c>
      <c r="I77" s="45">
        <f>IF($L77="","",IF(INT(($L77-INT($L77/10000000)*10000000)/1000000)=0,"Bloomberg projection",IF($P77=1,"ANNOUNCED","ANNOUNCED - amount TBA")))</f>
        <v/>
      </c>
      <c r="J77" s="46">
        <f>IF($L77="","",IF((OV_SWITCH="ON")*(COUNTIFS(OVR_TICKERS,INDEX(HSI!$C$7:$C$106,$N77),OVR_BASE,"&gt;=0")&gt;0)&gt;0,"stock overridden",""))</f>
        <v/>
      </c>
      <c r="L77" s="121">
        <f>IFERROR(IF(SMALL(Grids!$EE$12:$GQ$111,$M$7+68)&gt;=PEND_TO,"",SMALL(Grids!$EE$12:$GQ$111,$M$7+68)),"")</f>
        <v/>
      </c>
      <c r="M77" s="121">
        <f>IF($L77="","",INT($L77/1000000000))</f>
        <v/>
      </c>
      <c r="N77" s="121">
        <f>IF($L77="","",INT(($L77-INT($L77/1000000)*1000000)/1000))</f>
        <v/>
      </c>
      <c r="O77" s="121">
        <f>IF($L77="","",$L77-INT($L77/1000)*1000)</f>
        <v/>
      </c>
      <c r="P77" s="121">
        <f>IF($L77="","",INT(($L77-INT($L77/1000000000)*1000000000)/100000000))</f>
        <v/>
      </c>
    </row>
    <row r="78">
      <c r="B78" s="122">
        <f>IF($L78="","",$M78)</f>
        <v/>
      </c>
      <c r="C78" s="22">
        <f>IF($L78="","",INDEX(HSI!$C$7:$C$106,$N78))</f>
        <v/>
      </c>
      <c r="D78" s="22">
        <f>IF($L78="","",INDEX(HSI!$D$7:$D$106,$N78))</f>
        <v/>
      </c>
      <c r="E78" s="123">
        <f>IF($L78="","",IF($P78=0,"TBA",IFERROR(INDEX(Grids!$C$12:$BO$111,$N78,$O78),"-")))</f>
        <v/>
      </c>
      <c r="F78" s="22">
        <f>IF($L78="","",INDEX(HSI!$F$7:$F$106,$N78))</f>
        <v/>
      </c>
      <c r="G78" s="123">
        <f>IF($L78="","",IF($P78=0,"TBA",IFERROR(INDEX(Grids!$BQ$12:$EC$111,$N78,$O78),"-")))</f>
        <v/>
      </c>
      <c r="H78" s="124">
        <f>IF($L78="","",SUM($G$10:$G78))</f>
        <v/>
      </c>
      <c r="I78" s="45">
        <f>IF($L78="","",IF(INT(($L78-INT($L78/10000000)*10000000)/1000000)=0,"Bloomberg projection",IF($P78=1,"ANNOUNCED","ANNOUNCED - amount TBA")))</f>
        <v/>
      </c>
      <c r="J78" s="46">
        <f>IF($L78="","",IF((OV_SWITCH="ON")*(COUNTIFS(OVR_TICKERS,INDEX(HSI!$C$7:$C$106,$N78),OVR_BASE,"&gt;=0")&gt;0)&gt;0,"stock overridden",""))</f>
        <v/>
      </c>
      <c r="L78" s="121">
        <f>IFERROR(IF(SMALL(Grids!$EE$12:$GQ$111,$M$7+69)&gt;=PEND_TO,"",SMALL(Grids!$EE$12:$GQ$111,$M$7+69)),"")</f>
        <v/>
      </c>
      <c r="M78" s="121">
        <f>IF($L78="","",INT($L78/1000000000))</f>
        <v/>
      </c>
      <c r="N78" s="121">
        <f>IF($L78="","",INT(($L78-INT($L78/1000000)*1000000)/1000))</f>
        <v/>
      </c>
      <c r="O78" s="121">
        <f>IF($L78="","",$L78-INT($L78/1000)*1000)</f>
        <v/>
      </c>
      <c r="P78" s="121">
        <f>IF($L78="","",INT(($L78-INT($L78/1000000000)*1000000000)/100000000))</f>
        <v/>
      </c>
    </row>
    <row r="79">
      <c r="B79" s="122">
        <f>IF($L79="","",$M79)</f>
        <v/>
      </c>
      <c r="C79" s="22">
        <f>IF($L79="","",INDEX(HSI!$C$7:$C$106,$N79))</f>
        <v/>
      </c>
      <c r="D79" s="22">
        <f>IF($L79="","",INDEX(HSI!$D$7:$D$106,$N79))</f>
        <v/>
      </c>
      <c r="E79" s="123">
        <f>IF($L79="","",IF($P79=0,"TBA",IFERROR(INDEX(Grids!$C$12:$BO$111,$N79,$O79),"-")))</f>
        <v/>
      </c>
      <c r="F79" s="22">
        <f>IF($L79="","",INDEX(HSI!$F$7:$F$106,$N79))</f>
        <v/>
      </c>
      <c r="G79" s="123">
        <f>IF($L79="","",IF($P79=0,"TBA",IFERROR(INDEX(Grids!$BQ$12:$EC$111,$N79,$O79),"-")))</f>
        <v/>
      </c>
      <c r="H79" s="124">
        <f>IF($L79="","",SUM($G$10:$G79))</f>
        <v/>
      </c>
      <c r="I79" s="45">
        <f>IF($L79="","",IF(INT(($L79-INT($L79/10000000)*10000000)/1000000)=0,"Bloomberg projection",IF($P79=1,"ANNOUNCED","ANNOUNCED - amount TBA")))</f>
        <v/>
      </c>
      <c r="J79" s="46">
        <f>IF($L79="","",IF((OV_SWITCH="ON")*(COUNTIFS(OVR_TICKERS,INDEX(HSI!$C$7:$C$106,$N79),OVR_BASE,"&gt;=0")&gt;0)&gt;0,"stock overridden",""))</f>
        <v/>
      </c>
      <c r="L79" s="121">
        <f>IFERROR(IF(SMALL(Grids!$EE$12:$GQ$111,$M$7+70)&gt;=PEND_TO,"",SMALL(Grids!$EE$12:$GQ$111,$M$7+70)),"")</f>
        <v/>
      </c>
      <c r="M79" s="121">
        <f>IF($L79="","",INT($L79/1000000000))</f>
        <v/>
      </c>
      <c r="N79" s="121">
        <f>IF($L79="","",INT(($L79-INT($L79/1000000)*1000000)/1000))</f>
        <v/>
      </c>
      <c r="O79" s="121">
        <f>IF($L79="","",$L79-INT($L79/1000)*1000)</f>
        <v/>
      </c>
      <c r="P79" s="121">
        <f>IF($L79="","",INT(($L79-INT($L79/1000000000)*1000000000)/100000000))</f>
        <v/>
      </c>
    </row>
    <row r="80">
      <c r="B80" s="122">
        <f>IF($L80="","",$M80)</f>
        <v/>
      </c>
      <c r="C80" s="22">
        <f>IF($L80="","",INDEX(HSI!$C$7:$C$106,$N80))</f>
        <v/>
      </c>
      <c r="D80" s="22">
        <f>IF($L80="","",INDEX(HSI!$D$7:$D$106,$N80))</f>
        <v/>
      </c>
      <c r="E80" s="123">
        <f>IF($L80="","",IF($P80=0,"TBA",IFERROR(INDEX(Grids!$C$12:$BO$111,$N80,$O80),"-")))</f>
        <v/>
      </c>
      <c r="F80" s="22">
        <f>IF($L80="","",INDEX(HSI!$F$7:$F$106,$N80))</f>
        <v/>
      </c>
      <c r="G80" s="123">
        <f>IF($L80="","",IF($P80=0,"TBA",IFERROR(INDEX(Grids!$BQ$12:$EC$111,$N80,$O80),"-")))</f>
        <v/>
      </c>
      <c r="H80" s="124">
        <f>IF($L80="","",SUM($G$10:$G80))</f>
        <v/>
      </c>
      <c r="I80" s="45">
        <f>IF($L80="","",IF(INT(($L80-INT($L80/10000000)*10000000)/1000000)=0,"Bloomberg projection",IF($P80=1,"ANNOUNCED","ANNOUNCED - amount TBA")))</f>
        <v/>
      </c>
      <c r="J80" s="46">
        <f>IF($L80="","",IF((OV_SWITCH="ON")*(COUNTIFS(OVR_TICKERS,INDEX(HSI!$C$7:$C$106,$N80),OVR_BASE,"&gt;=0")&gt;0)&gt;0,"stock overridden",""))</f>
        <v/>
      </c>
      <c r="L80" s="121">
        <f>IFERROR(IF(SMALL(Grids!$EE$12:$GQ$111,$M$7+71)&gt;=PEND_TO,"",SMALL(Grids!$EE$12:$GQ$111,$M$7+71)),"")</f>
        <v/>
      </c>
      <c r="M80" s="121">
        <f>IF($L80="","",INT($L80/1000000000))</f>
        <v/>
      </c>
      <c r="N80" s="121">
        <f>IF($L80="","",INT(($L80-INT($L80/1000000)*1000000)/1000))</f>
        <v/>
      </c>
      <c r="O80" s="121">
        <f>IF($L80="","",$L80-INT($L80/1000)*1000)</f>
        <v/>
      </c>
      <c r="P80" s="121">
        <f>IF($L80="","",INT(($L80-INT($L80/1000000000)*1000000000)/100000000))</f>
        <v/>
      </c>
    </row>
    <row r="81">
      <c r="B81" s="122">
        <f>IF($L81="","",$M81)</f>
        <v/>
      </c>
      <c r="C81" s="22">
        <f>IF($L81="","",INDEX(HSI!$C$7:$C$106,$N81))</f>
        <v/>
      </c>
      <c r="D81" s="22">
        <f>IF($L81="","",INDEX(HSI!$D$7:$D$106,$N81))</f>
        <v/>
      </c>
      <c r="E81" s="123">
        <f>IF($L81="","",IF($P81=0,"TBA",IFERROR(INDEX(Grids!$C$12:$BO$111,$N81,$O81),"-")))</f>
        <v/>
      </c>
      <c r="F81" s="22">
        <f>IF($L81="","",INDEX(HSI!$F$7:$F$106,$N81))</f>
        <v/>
      </c>
      <c r="G81" s="123">
        <f>IF($L81="","",IF($P81=0,"TBA",IFERROR(INDEX(Grids!$BQ$12:$EC$111,$N81,$O81),"-")))</f>
        <v/>
      </c>
      <c r="H81" s="124">
        <f>IF($L81="","",SUM($G$10:$G81))</f>
        <v/>
      </c>
      <c r="I81" s="45">
        <f>IF($L81="","",IF(INT(($L81-INT($L81/10000000)*10000000)/1000000)=0,"Bloomberg projection",IF($P81=1,"ANNOUNCED","ANNOUNCED - amount TBA")))</f>
        <v/>
      </c>
      <c r="J81" s="46">
        <f>IF($L81="","",IF((OV_SWITCH="ON")*(COUNTIFS(OVR_TICKERS,INDEX(HSI!$C$7:$C$106,$N81),OVR_BASE,"&gt;=0")&gt;0)&gt;0,"stock overridden",""))</f>
        <v/>
      </c>
      <c r="L81" s="121">
        <f>IFERROR(IF(SMALL(Grids!$EE$12:$GQ$111,$M$7+72)&gt;=PEND_TO,"",SMALL(Grids!$EE$12:$GQ$111,$M$7+72)),"")</f>
        <v/>
      </c>
      <c r="M81" s="121">
        <f>IF($L81="","",INT($L81/1000000000))</f>
        <v/>
      </c>
      <c r="N81" s="121">
        <f>IF($L81="","",INT(($L81-INT($L81/1000000)*1000000)/1000))</f>
        <v/>
      </c>
      <c r="O81" s="121">
        <f>IF($L81="","",$L81-INT($L81/1000)*1000)</f>
        <v/>
      </c>
      <c r="P81" s="121">
        <f>IF($L81="","",INT(($L81-INT($L81/1000000000)*1000000000)/100000000))</f>
        <v/>
      </c>
    </row>
    <row r="82">
      <c r="B82" s="122">
        <f>IF($L82="","",$M82)</f>
        <v/>
      </c>
      <c r="C82" s="22">
        <f>IF($L82="","",INDEX(HSI!$C$7:$C$106,$N82))</f>
        <v/>
      </c>
      <c r="D82" s="22">
        <f>IF($L82="","",INDEX(HSI!$D$7:$D$106,$N82))</f>
        <v/>
      </c>
      <c r="E82" s="123">
        <f>IF($L82="","",IF($P82=0,"TBA",IFERROR(INDEX(Grids!$C$12:$BO$111,$N82,$O82),"-")))</f>
        <v/>
      </c>
      <c r="F82" s="22">
        <f>IF($L82="","",INDEX(HSI!$F$7:$F$106,$N82))</f>
        <v/>
      </c>
      <c r="G82" s="123">
        <f>IF($L82="","",IF($P82=0,"TBA",IFERROR(INDEX(Grids!$BQ$12:$EC$111,$N82,$O82),"-")))</f>
        <v/>
      </c>
      <c r="H82" s="124">
        <f>IF($L82="","",SUM($G$10:$G82))</f>
        <v/>
      </c>
      <c r="I82" s="45">
        <f>IF($L82="","",IF(INT(($L82-INT($L82/10000000)*10000000)/1000000)=0,"Bloomberg projection",IF($P82=1,"ANNOUNCED","ANNOUNCED - amount TBA")))</f>
        <v/>
      </c>
      <c r="J82" s="46">
        <f>IF($L82="","",IF((OV_SWITCH="ON")*(COUNTIFS(OVR_TICKERS,INDEX(HSI!$C$7:$C$106,$N82),OVR_BASE,"&gt;=0")&gt;0)&gt;0,"stock overridden",""))</f>
        <v/>
      </c>
      <c r="L82" s="121">
        <f>IFERROR(IF(SMALL(Grids!$EE$12:$GQ$111,$M$7+73)&gt;=PEND_TO,"",SMALL(Grids!$EE$12:$GQ$111,$M$7+73)),"")</f>
        <v/>
      </c>
      <c r="M82" s="121">
        <f>IF($L82="","",INT($L82/1000000000))</f>
        <v/>
      </c>
      <c r="N82" s="121">
        <f>IF($L82="","",INT(($L82-INT($L82/1000000)*1000000)/1000))</f>
        <v/>
      </c>
      <c r="O82" s="121">
        <f>IF($L82="","",$L82-INT($L82/1000)*1000)</f>
        <v/>
      </c>
      <c r="P82" s="121">
        <f>IF($L82="","",INT(($L82-INT($L82/1000000000)*1000000000)/100000000))</f>
        <v/>
      </c>
    </row>
    <row r="83">
      <c r="B83" s="122">
        <f>IF($L83="","",$M83)</f>
        <v/>
      </c>
      <c r="C83" s="22">
        <f>IF($L83="","",INDEX(HSI!$C$7:$C$106,$N83))</f>
        <v/>
      </c>
      <c r="D83" s="22">
        <f>IF($L83="","",INDEX(HSI!$D$7:$D$106,$N83))</f>
        <v/>
      </c>
      <c r="E83" s="123">
        <f>IF($L83="","",IF($P83=0,"TBA",IFERROR(INDEX(Grids!$C$12:$BO$111,$N83,$O83),"-")))</f>
        <v/>
      </c>
      <c r="F83" s="22">
        <f>IF($L83="","",INDEX(HSI!$F$7:$F$106,$N83))</f>
        <v/>
      </c>
      <c r="G83" s="123">
        <f>IF($L83="","",IF($P83=0,"TBA",IFERROR(INDEX(Grids!$BQ$12:$EC$111,$N83,$O83),"-")))</f>
        <v/>
      </c>
      <c r="H83" s="124">
        <f>IF($L83="","",SUM($G$10:$G83))</f>
        <v/>
      </c>
      <c r="I83" s="45">
        <f>IF($L83="","",IF(INT(($L83-INT($L83/10000000)*10000000)/1000000)=0,"Bloomberg projection",IF($P83=1,"ANNOUNCED","ANNOUNCED - amount TBA")))</f>
        <v/>
      </c>
      <c r="J83" s="46">
        <f>IF($L83="","",IF((OV_SWITCH="ON")*(COUNTIFS(OVR_TICKERS,INDEX(HSI!$C$7:$C$106,$N83),OVR_BASE,"&gt;=0")&gt;0)&gt;0,"stock overridden",""))</f>
        <v/>
      </c>
      <c r="L83" s="121">
        <f>IFERROR(IF(SMALL(Grids!$EE$12:$GQ$111,$M$7+74)&gt;=PEND_TO,"",SMALL(Grids!$EE$12:$GQ$111,$M$7+74)),"")</f>
        <v/>
      </c>
      <c r="M83" s="121">
        <f>IF($L83="","",INT($L83/1000000000))</f>
        <v/>
      </c>
      <c r="N83" s="121">
        <f>IF($L83="","",INT(($L83-INT($L83/1000000)*1000000)/1000))</f>
        <v/>
      </c>
      <c r="O83" s="121">
        <f>IF($L83="","",$L83-INT($L83/1000)*1000)</f>
        <v/>
      </c>
      <c r="P83" s="121">
        <f>IF($L83="","",INT(($L83-INT($L83/1000000000)*1000000000)/100000000))</f>
        <v/>
      </c>
    </row>
    <row r="84">
      <c r="B84" s="122">
        <f>IF($L84="","",$M84)</f>
        <v/>
      </c>
      <c r="C84" s="22">
        <f>IF($L84="","",INDEX(HSI!$C$7:$C$106,$N84))</f>
        <v/>
      </c>
      <c r="D84" s="22">
        <f>IF($L84="","",INDEX(HSI!$D$7:$D$106,$N84))</f>
        <v/>
      </c>
      <c r="E84" s="123">
        <f>IF($L84="","",IF($P84=0,"TBA",IFERROR(INDEX(Grids!$C$12:$BO$111,$N84,$O84),"-")))</f>
        <v/>
      </c>
      <c r="F84" s="22">
        <f>IF($L84="","",INDEX(HSI!$F$7:$F$106,$N84))</f>
        <v/>
      </c>
      <c r="G84" s="123">
        <f>IF($L84="","",IF($P84=0,"TBA",IFERROR(INDEX(Grids!$BQ$12:$EC$111,$N84,$O84),"-")))</f>
        <v/>
      </c>
      <c r="H84" s="124">
        <f>IF($L84="","",SUM($G$10:$G84))</f>
        <v/>
      </c>
      <c r="I84" s="45">
        <f>IF($L84="","",IF(INT(($L84-INT($L84/10000000)*10000000)/1000000)=0,"Bloomberg projection",IF($P84=1,"ANNOUNCED","ANNOUNCED - amount TBA")))</f>
        <v/>
      </c>
      <c r="J84" s="46">
        <f>IF($L84="","",IF((OV_SWITCH="ON")*(COUNTIFS(OVR_TICKERS,INDEX(HSI!$C$7:$C$106,$N84),OVR_BASE,"&gt;=0")&gt;0)&gt;0,"stock overridden",""))</f>
        <v/>
      </c>
      <c r="L84" s="121">
        <f>IFERROR(IF(SMALL(Grids!$EE$12:$GQ$111,$M$7+75)&gt;=PEND_TO,"",SMALL(Grids!$EE$12:$GQ$111,$M$7+75)),"")</f>
        <v/>
      </c>
      <c r="M84" s="121">
        <f>IF($L84="","",INT($L84/1000000000))</f>
        <v/>
      </c>
      <c r="N84" s="121">
        <f>IF($L84="","",INT(($L84-INT($L84/1000000)*1000000)/1000))</f>
        <v/>
      </c>
      <c r="O84" s="121">
        <f>IF($L84="","",$L84-INT($L84/1000)*1000)</f>
        <v/>
      </c>
      <c r="P84" s="121">
        <f>IF($L84="","",INT(($L84-INT($L84/1000000000)*1000000000)/100000000))</f>
        <v/>
      </c>
    </row>
    <row r="85">
      <c r="B85" s="122">
        <f>IF($L85="","",$M85)</f>
        <v/>
      </c>
      <c r="C85" s="22">
        <f>IF($L85="","",INDEX(HSI!$C$7:$C$106,$N85))</f>
        <v/>
      </c>
      <c r="D85" s="22">
        <f>IF($L85="","",INDEX(HSI!$D$7:$D$106,$N85))</f>
        <v/>
      </c>
      <c r="E85" s="123">
        <f>IF($L85="","",IF($P85=0,"TBA",IFERROR(INDEX(Grids!$C$12:$BO$111,$N85,$O85),"-")))</f>
        <v/>
      </c>
      <c r="F85" s="22">
        <f>IF($L85="","",INDEX(HSI!$F$7:$F$106,$N85))</f>
        <v/>
      </c>
      <c r="G85" s="123">
        <f>IF($L85="","",IF($P85=0,"TBA",IFERROR(INDEX(Grids!$BQ$12:$EC$111,$N85,$O85),"-")))</f>
        <v/>
      </c>
      <c r="H85" s="124">
        <f>IF($L85="","",SUM($G$10:$G85))</f>
        <v/>
      </c>
      <c r="I85" s="45">
        <f>IF($L85="","",IF(INT(($L85-INT($L85/10000000)*10000000)/1000000)=0,"Bloomberg projection",IF($P85=1,"ANNOUNCED","ANNOUNCED - amount TBA")))</f>
        <v/>
      </c>
      <c r="J85" s="46">
        <f>IF($L85="","",IF((OV_SWITCH="ON")*(COUNTIFS(OVR_TICKERS,INDEX(HSI!$C$7:$C$106,$N85),OVR_BASE,"&gt;=0")&gt;0)&gt;0,"stock overridden",""))</f>
        <v/>
      </c>
      <c r="L85" s="121">
        <f>IFERROR(IF(SMALL(Grids!$EE$12:$GQ$111,$M$7+76)&gt;=PEND_TO,"",SMALL(Grids!$EE$12:$GQ$111,$M$7+76)),"")</f>
        <v/>
      </c>
      <c r="M85" s="121">
        <f>IF($L85="","",INT($L85/1000000000))</f>
        <v/>
      </c>
      <c r="N85" s="121">
        <f>IF($L85="","",INT(($L85-INT($L85/1000000)*1000000)/1000))</f>
        <v/>
      </c>
      <c r="O85" s="121">
        <f>IF($L85="","",$L85-INT($L85/1000)*1000)</f>
        <v/>
      </c>
      <c r="P85" s="121">
        <f>IF($L85="","",INT(($L85-INT($L85/1000000000)*1000000000)/100000000))</f>
        <v/>
      </c>
    </row>
    <row r="86">
      <c r="B86" s="122">
        <f>IF($L86="","",$M86)</f>
        <v/>
      </c>
      <c r="C86" s="22">
        <f>IF($L86="","",INDEX(HSI!$C$7:$C$106,$N86))</f>
        <v/>
      </c>
      <c r="D86" s="22">
        <f>IF($L86="","",INDEX(HSI!$D$7:$D$106,$N86))</f>
        <v/>
      </c>
      <c r="E86" s="123">
        <f>IF($L86="","",IF($P86=0,"TBA",IFERROR(INDEX(Grids!$C$12:$BO$111,$N86,$O86),"-")))</f>
        <v/>
      </c>
      <c r="F86" s="22">
        <f>IF($L86="","",INDEX(HSI!$F$7:$F$106,$N86))</f>
        <v/>
      </c>
      <c r="G86" s="123">
        <f>IF($L86="","",IF($P86=0,"TBA",IFERROR(INDEX(Grids!$BQ$12:$EC$111,$N86,$O86),"-")))</f>
        <v/>
      </c>
      <c r="H86" s="124">
        <f>IF($L86="","",SUM($G$10:$G86))</f>
        <v/>
      </c>
      <c r="I86" s="45">
        <f>IF($L86="","",IF(INT(($L86-INT($L86/10000000)*10000000)/1000000)=0,"Bloomberg projection",IF($P86=1,"ANNOUNCED","ANNOUNCED - amount TBA")))</f>
        <v/>
      </c>
      <c r="J86" s="46">
        <f>IF($L86="","",IF((OV_SWITCH="ON")*(COUNTIFS(OVR_TICKERS,INDEX(HSI!$C$7:$C$106,$N86),OVR_BASE,"&gt;=0")&gt;0)&gt;0,"stock overridden",""))</f>
        <v/>
      </c>
      <c r="L86" s="121">
        <f>IFERROR(IF(SMALL(Grids!$EE$12:$GQ$111,$M$7+77)&gt;=PEND_TO,"",SMALL(Grids!$EE$12:$GQ$111,$M$7+77)),"")</f>
        <v/>
      </c>
      <c r="M86" s="121">
        <f>IF($L86="","",INT($L86/1000000000))</f>
        <v/>
      </c>
      <c r="N86" s="121">
        <f>IF($L86="","",INT(($L86-INT($L86/1000000)*1000000)/1000))</f>
        <v/>
      </c>
      <c r="O86" s="121">
        <f>IF($L86="","",$L86-INT($L86/1000)*1000)</f>
        <v/>
      </c>
      <c r="P86" s="121">
        <f>IF($L86="","",INT(($L86-INT($L86/1000000000)*1000000000)/100000000))</f>
        <v/>
      </c>
    </row>
    <row r="87">
      <c r="B87" s="122">
        <f>IF($L87="","",$M87)</f>
        <v/>
      </c>
      <c r="C87" s="22">
        <f>IF($L87="","",INDEX(HSI!$C$7:$C$106,$N87))</f>
        <v/>
      </c>
      <c r="D87" s="22">
        <f>IF($L87="","",INDEX(HSI!$D$7:$D$106,$N87))</f>
        <v/>
      </c>
      <c r="E87" s="123">
        <f>IF($L87="","",IF($P87=0,"TBA",IFERROR(INDEX(Grids!$C$12:$BO$111,$N87,$O87),"-")))</f>
        <v/>
      </c>
      <c r="F87" s="22">
        <f>IF($L87="","",INDEX(HSI!$F$7:$F$106,$N87))</f>
        <v/>
      </c>
      <c r="G87" s="123">
        <f>IF($L87="","",IF($P87=0,"TBA",IFERROR(INDEX(Grids!$BQ$12:$EC$111,$N87,$O87),"-")))</f>
        <v/>
      </c>
      <c r="H87" s="124">
        <f>IF($L87="","",SUM($G$10:$G87))</f>
        <v/>
      </c>
      <c r="I87" s="45">
        <f>IF($L87="","",IF(INT(($L87-INT($L87/10000000)*10000000)/1000000)=0,"Bloomberg projection",IF($P87=1,"ANNOUNCED","ANNOUNCED - amount TBA")))</f>
        <v/>
      </c>
      <c r="J87" s="46">
        <f>IF($L87="","",IF((OV_SWITCH="ON")*(COUNTIFS(OVR_TICKERS,INDEX(HSI!$C$7:$C$106,$N87),OVR_BASE,"&gt;=0")&gt;0)&gt;0,"stock overridden",""))</f>
        <v/>
      </c>
      <c r="L87" s="121">
        <f>IFERROR(IF(SMALL(Grids!$EE$12:$GQ$111,$M$7+78)&gt;=PEND_TO,"",SMALL(Grids!$EE$12:$GQ$111,$M$7+78)),"")</f>
        <v/>
      </c>
      <c r="M87" s="121">
        <f>IF($L87="","",INT($L87/1000000000))</f>
        <v/>
      </c>
      <c r="N87" s="121">
        <f>IF($L87="","",INT(($L87-INT($L87/1000000)*1000000)/1000))</f>
        <v/>
      </c>
      <c r="O87" s="121">
        <f>IF($L87="","",$L87-INT($L87/1000)*1000)</f>
        <v/>
      </c>
      <c r="P87" s="121">
        <f>IF($L87="","",INT(($L87-INT($L87/1000000000)*1000000000)/100000000))</f>
        <v/>
      </c>
    </row>
    <row r="88">
      <c r="B88" s="122">
        <f>IF($L88="","",$M88)</f>
        <v/>
      </c>
      <c r="C88" s="22">
        <f>IF($L88="","",INDEX(HSI!$C$7:$C$106,$N88))</f>
        <v/>
      </c>
      <c r="D88" s="22">
        <f>IF($L88="","",INDEX(HSI!$D$7:$D$106,$N88))</f>
        <v/>
      </c>
      <c r="E88" s="123">
        <f>IF($L88="","",IF($P88=0,"TBA",IFERROR(INDEX(Grids!$C$12:$BO$111,$N88,$O88),"-")))</f>
        <v/>
      </c>
      <c r="F88" s="22">
        <f>IF($L88="","",INDEX(HSI!$F$7:$F$106,$N88))</f>
        <v/>
      </c>
      <c r="G88" s="123">
        <f>IF($L88="","",IF($P88=0,"TBA",IFERROR(INDEX(Grids!$BQ$12:$EC$111,$N88,$O88),"-")))</f>
        <v/>
      </c>
      <c r="H88" s="124">
        <f>IF($L88="","",SUM($G$10:$G88))</f>
        <v/>
      </c>
      <c r="I88" s="45">
        <f>IF($L88="","",IF(INT(($L88-INT($L88/10000000)*10000000)/1000000)=0,"Bloomberg projection",IF($P88=1,"ANNOUNCED","ANNOUNCED - amount TBA")))</f>
        <v/>
      </c>
      <c r="J88" s="46">
        <f>IF($L88="","",IF((OV_SWITCH="ON")*(COUNTIFS(OVR_TICKERS,INDEX(HSI!$C$7:$C$106,$N88),OVR_BASE,"&gt;=0")&gt;0)&gt;0,"stock overridden",""))</f>
        <v/>
      </c>
      <c r="L88" s="121">
        <f>IFERROR(IF(SMALL(Grids!$EE$12:$GQ$111,$M$7+79)&gt;=PEND_TO,"",SMALL(Grids!$EE$12:$GQ$111,$M$7+79)),"")</f>
        <v/>
      </c>
      <c r="M88" s="121">
        <f>IF($L88="","",INT($L88/1000000000))</f>
        <v/>
      </c>
      <c r="N88" s="121">
        <f>IF($L88="","",INT(($L88-INT($L88/1000000)*1000000)/1000))</f>
        <v/>
      </c>
      <c r="O88" s="121">
        <f>IF($L88="","",$L88-INT($L88/1000)*1000)</f>
        <v/>
      </c>
      <c r="P88" s="121">
        <f>IF($L88="","",INT(($L88-INT($L88/1000000000)*1000000000)/100000000))</f>
        <v/>
      </c>
    </row>
    <row r="89">
      <c r="B89" s="122">
        <f>IF($L89="","",$M89)</f>
        <v/>
      </c>
      <c r="C89" s="22">
        <f>IF($L89="","",INDEX(HSI!$C$7:$C$106,$N89))</f>
        <v/>
      </c>
      <c r="D89" s="22">
        <f>IF($L89="","",INDEX(HSI!$D$7:$D$106,$N89))</f>
        <v/>
      </c>
      <c r="E89" s="123">
        <f>IF($L89="","",IF($P89=0,"TBA",IFERROR(INDEX(Grids!$C$12:$BO$111,$N89,$O89),"-")))</f>
        <v/>
      </c>
      <c r="F89" s="22">
        <f>IF($L89="","",INDEX(HSI!$F$7:$F$106,$N89))</f>
        <v/>
      </c>
      <c r="G89" s="123">
        <f>IF($L89="","",IF($P89=0,"TBA",IFERROR(INDEX(Grids!$BQ$12:$EC$111,$N89,$O89),"-")))</f>
        <v/>
      </c>
      <c r="H89" s="124">
        <f>IF($L89="","",SUM($G$10:$G89))</f>
        <v/>
      </c>
      <c r="I89" s="45">
        <f>IF($L89="","",IF(INT(($L89-INT($L89/10000000)*10000000)/1000000)=0,"Bloomberg projection",IF($P89=1,"ANNOUNCED","ANNOUNCED - amount TBA")))</f>
        <v/>
      </c>
      <c r="J89" s="46">
        <f>IF($L89="","",IF((OV_SWITCH="ON")*(COUNTIFS(OVR_TICKERS,INDEX(HSI!$C$7:$C$106,$N89),OVR_BASE,"&gt;=0")&gt;0)&gt;0,"stock overridden",""))</f>
        <v/>
      </c>
      <c r="L89" s="121">
        <f>IFERROR(IF(SMALL(Grids!$EE$12:$GQ$111,$M$7+80)&gt;=PEND_TO,"",SMALL(Grids!$EE$12:$GQ$111,$M$7+80)),"")</f>
        <v/>
      </c>
      <c r="M89" s="121">
        <f>IF($L89="","",INT($L89/1000000000))</f>
        <v/>
      </c>
      <c r="N89" s="121">
        <f>IF($L89="","",INT(($L89-INT($L89/1000000)*1000000)/1000))</f>
        <v/>
      </c>
      <c r="O89" s="121">
        <f>IF($L89="","",$L89-INT($L89/1000)*1000)</f>
        <v/>
      </c>
      <c r="P89" s="121">
        <f>IF($L89="","",INT(($L89-INT($L89/1000000000)*1000000000)/100000000))</f>
        <v/>
      </c>
    </row>
    <row r="90">
      <c r="B90" s="122">
        <f>IF($L90="","",$M90)</f>
        <v/>
      </c>
      <c r="C90" s="22">
        <f>IF($L90="","",INDEX(HSI!$C$7:$C$106,$N90))</f>
        <v/>
      </c>
      <c r="D90" s="22">
        <f>IF($L90="","",INDEX(HSI!$D$7:$D$106,$N90))</f>
        <v/>
      </c>
      <c r="E90" s="123">
        <f>IF($L90="","",IF($P90=0,"TBA",IFERROR(INDEX(Grids!$C$12:$BO$111,$N90,$O90),"-")))</f>
        <v/>
      </c>
      <c r="F90" s="22">
        <f>IF($L90="","",INDEX(HSI!$F$7:$F$106,$N90))</f>
        <v/>
      </c>
      <c r="G90" s="123">
        <f>IF($L90="","",IF($P90=0,"TBA",IFERROR(INDEX(Grids!$BQ$12:$EC$111,$N90,$O90),"-")))</f>
        <v/>
      </c>
      <c r="H90" s="124">
        <f>IF($L90="","",SUM($G$10:$G90))</f>
        <v/>
      </c>
      <c r="I90" s="45">
        <f>IF($L90="","",IF(INT(($L90-INT($L90/10000000)*10000000)/1000000)=0,"Bloomberg projection",IF($P90=1,"ANNOUNCED","ANNOUNCED - amount TBA")))</f>
        <v/>
      </c>
      <c r="J90" s="46">
        <f>IF($L90="","",IF((OV_SWITCH="ON")*(COUNTIFS(OVR_TICKERS,INDEX(HSI!$C$7:$C$106,$N90),OVR_BASE,"&gt;=0")&gt;0)&gt;0,"stock overridden",""))</f>
        <v/>
      </c>
      <c r="L90" s="121">
        <f>IFERROR(IF(SMALL(Grids!$EE$12:$GQ$111,$M$7+81)&gt;=PEND_TO,"",SMALL(Grids!$EE$12:$GQ$111,$M$7+81)),"")</f>
        <v/>
      </c>
      <c r="M90" s="121">
        <f>IF($L90="","",INT($L90/1000000000))</f>
        <v/>
      </c>
      <c r="N90" s="121">
        <f>IF($L90="","",INT(($L90-INT($L90/1000000)*1000000)/1000))</f>
        <v/>
      </c>
      <c r="O90" s="121">
        <f>IF($L90="","",$L90-INT($L90/1000)*1000)</f>
        <v/>
      </c>
      <c r="P90" s="121">
        <f>IF($L90="","",INT(($L90-INT($L90/1000000000)*1000000000)/100000000))</f>
        <v/>
      </c>
    </row>
    <row r="91">
      <c r="B91" s="122">
        <f>IF($L91="","",$M91)</f>
        <v/>
      </c>
      <c r="C91" s="22">
        <f>IF($L91="","",INDEX(HSI!$C$7:$C$106,$N91))</f>
        <v/>
      </c>
      <c r="D91" s="22">
        <f>IF($L91="","",INDEX(HSI!$D$7:$D$106,$N91))</f>
        <v/>
      </c>
      <c r="E91" s="123">
        <f>IF($L91="","",IF($P91=0,"TBA",IFERROR(INDEX(Grids!$C$12:$BO$111,$N91,$O91),"-")))</f>
        <v/>
      </c>
      <c r="F91" s="22">
        <f>IF($L91="","",INDEX(HSI!$F$7:$F$106,$N91))</f>
        <v/>
      </c>
      <c r="G91" s="123">
        <f>IF($L91="","",IF($P91=0,"TBA",IFERROR(INDEX(Grids!$BQ$12:$EC$111,$N91,$O91),"-")))</f>
        <v/>
      </c>
      <c r="H91" s="124">
        <f>IF($L91="","",SUM($G$10:$G91))</f>
        <v/>
      </c>
      <c r="I91" s="45">
        <f>IF($L91="","",IF(INT(($L91-INT($L91/10000000)*10000000)/1000000)=0,"Bloomberg projection",IF($P91=1,"ANNOUNCED","ANNOUNCED - amount TBA")))</f>
        <v/>
      </c>
      <c r="J91" s="46">
        <f>IF($L91="","",IF((OV_SWITCH="ON")*(COUNTIFS(OVR_TICKERS,INDEX(HSI!$C$7:$C$106,$N91),OVR_BASE,"&gt;=0")&gt;0)&gt;0,"stock overridden",""))</f>
        <v/>
      </c>
      <c r="L91" s="121">
        <f>IFERROR(IF(SMALL(Grids!$EE$12:$GQ$111,$M$7+82)&gt;=PEND_TO,"",SMALL(Grids!$EE$12:$GQ$111,$M$7+82)),"")</f>
        <v/>
      </c>
      <c r="M91" s="121">
        <f>IF($L91="","",INT($L91/1000000000))</f>
        <v/>
      </c>
      <c r="N91" s="121">
        <f>IF($L91="","",INT(($L91-INT($L91/1000000)*1000000)/1000))</f>
        <v/>
      </c>
      <c r="O91" s="121">
        <f>IF($L91="","",$L91-INT($L91/1000)*1000)</f>
        <v/>
      </c>
      <c r="P91" s="121">
        <f>IF($L91="","",INT(($L91-INT($L91/1000000000)*1000000000)/100000000))</f>
        <v/>
      </c>
    </row>
    <row r="92">
      <c r="B92" s="122">
        <f>IF($L92="","",$M92)</f>
        <v/>
      </c>
      <c r="C92" s="22">
        <f>IF($L92="","",INDEX(HSI!$C$7:$C$106,$N92))</f>
        <v/>
      </c>
      <c r="D92" s="22">
        <f>IF($L92="","",INDEX(HSI!$D$7:$D$106,$N92))</f>
        <v/>
      </c>
      <c r="E92" s="123">
        <f>IF($L92="","",IF($P92=0,"TBA",IFERROR(INDEX(Grids!$C$12:$BO$111,$N92,$O92),"-")))</f>
        <v/>
      </c>
      <c r="F92" s="22">
        <f>IF($L92="","",INDEX(HSI!$F$7:$F$106,$N92))</f>
        <v/>
      </c>
      <c r="G92" s="123">
        <f>IF($L92="","",IF($P92=0,"TBA",IFERROR(INDEX(Grids!$BQ$12:$EC$111,$N92,$O92),"-")))</f>
        <v/>
      </c>
      <c r="H92" s="124">
        <f>IF($L92="","",SUM($G$10:$G92))</f>
        <v/>
      </c>
      <c r="I92" s="45">
        <f>IF($L92="","",IF(INT(($L92-INT($L92/10000000)*10000000)/1000000)=0,"Bloomberg projection",IF($P92=1,"ANNOUNCED","ANNOUNCED - amount TBA")))</f>
        <v/>
      </c>
      <c r="J92" s="46">
        <f>IF($L92="","",IF((OV_SWITCH="ON")*(COUNTIFS(OVR_TICKERS,INDEX(HSI!$C$7:$C$106,$N92),OVR_BASE,"&gt;=0")&gt;0)&gt;0,"stock overridden",""))</f>
        <v/>
      </c>
      <c r="L92" s="121">
        <f>IFERROR(IF(SMALL(Grids!$EE$12:$GQ$111,$M$7+83)&gt;=PEND_TO,"",SMALL(Grids!$EE$12:$GQ$111,$M$7+83)),"")</f>
        <v/>
      </c>
      <c r="M92" s="121">
        <f>IF($L92="","",INT($L92/1000000000))</f>
        <v/>
      </c>
      <c r="N92" s="121">
        <f>IF($L92="","",INT(($L92-INT($L92/1000000)*1000000)/1000))</f>
        <v/>
      </c>
      <c r="O92" s="121">
        <f>IF($L92="","",$L92-INT($L92/1000)*1000)</f>
        <v/>
      </c>
      <c r="P92" s="121">
        <f>IF($L92="","",INT(($L92-INT($L92/1000000000)*1000000000)/100000000))</f>
        <v/>
      </c>
    </row>
    <row r="93">
      <c r="B93" s="122">
        <f>IF($L93="","",$M93)</f>
        <v/>
      </c>
      <c r="C93" s="22">
        <f>IF($L93="","",INDEX(HSI!$C$7:$C$106,$N93))</f>
        <v/>
      </c>
      <c r="D93" s="22">
        <f>IF($L93="","",INDEX(HSI!$D$7:$D$106,$N93))</f>
        <v/>
      </c>
      <c r="E93" s="123">
        <f>IF($L93="","",IF($P93=0,"TBA",IFERROR(INDEX(Grids!$C$12:$BO$111,$N93,$O93),"-")))</f>
        <v/>
      </c>
      <c r="F93" s="22">
        <f>IF($L93="","",INDEX(HSI!$F$7:$F$106,$N93))</f>
        <v/>
      </c>
      <c r="G93" s="123">
        <f>IF($L93="","",IF($P93=0,"TBA",IFERROR(INDEX(Grids!$BQ$12:$EC$111,$N93,$O93),"-")))</f>
        <v/>
      </c>
      <c r="H93" s="124">
        <f>IF($L93="","",SUM($G$10:$G93))</f>
        <v/>
      </c>
      <c r="I93" s="45">
        <f>IF($L93="","",IF(INT(($L93-INT($L93/10000000)*10000000)/1000000)=0,"Bloomberg projection",IF($P93=1,"ANNOUNCED","ANNOUNCED - amount TBA")))</f>
        <v/>
      </c>
      <c r="J93" s="46">
        <f>IF($L93="","",IF((OV_SWITCH="ON")*(COUNTIFS(OVR_TICKERS,INDEX(HSI!$C$7:$C$106,$N93),OVR_BASE,"&gt;=0")&gt;0)&gt;0,"stock overridden",""))</f>
        <v/>
      </c>
      <c r="L93" s="121">
        <f>IFERROR(IF(SMALL(Grids!$EE$12:$GQ$111,$M$7+84)&gt;=PEND_TO,"",SMALL(Grids!$EE$12:$GQ$111,$M$7+84)),"")</f>
        <v/>
      </c>
      <c r="M93" s="121">
        <f>IF($L93="","",INT($L93/1000000000))</f>
        <v/>
      </c>
      <c r="N93" s="121">
        <f>IF($L93="","",INT(($L93-INT($L93/1000000)*1000000)/1000))</f>
        <v/>
      </c>
      <c r="O93" s="121">
        <f>IF($L93="","",$L93-INT($L93/1000)*1000)</f>
        <v/>
      </c>
      <c r="P93" s="121">
        <f>IF($L93="","",INT(($L93-INT($L93/1000000000)*1000000000)/100000000))</f>
        <v/>
      </c>
    </row>
    <row r="94">
      <c r="B94" s="122">
        <f>IF($L94="","",$M94)</f>
        <v/>
      </c>
      <c r="C94" s="22">
        <f>IF($L94="","",INDEX(HSI!$C$7:$C$106,$N94))</f>
        <v/>
      </c>
      <c r="D94" s="22">
        <f>IF($L94="","",INDEX(HSI!$D$7:$D$106,$N94))</f>
        <v/>
      </c>
      <c r="E94" s="123">
        <f>IF($L94="","",IF($P94=0,"TBA",IFERROR(INDEX(Grids!$C$12:$BO$111,$N94,$O94),"-")))</f>
        <v/>
      </c>
      <c r="F94" s="22">
        <f>IF($L94="","",INDEX(HSI!$F$7:$F$106,$N94))</f>
        <v/>
      </c>
      <c r="G94" s="123">
        <f>IF($L94="","",IF($P94=0,"TBA",IFERROR(INDEX(Grids!$BQ$12:$EC$111,$N94,$O94),"-")))</f>
        <v/>
      </c>
      <c r="H94" s="124">
        <f>IF($L94="","",SUM($G$10:$G94))</f>
        <v/>
      </c>
      <c r="I94" s="45">
        <f>IF($L94="","",IF(INT(($L94-INT($L94/10000000)*10000000)/1000000)=0,"Bloomberg projection",IF($P94=1,"ANNOUNCED","ANNOUNCED - amount TBA")))</f>
        <v/>
      </c>
      <c r="J94" s="46">
        <f>IF($L94="","",IF((OV_SWITCH="ON")*(COUNTIFS(OVR_TICKERS,INDEX(HSI!$C$7:$C$106,$N94),OVR_BASE,"&gt;=0")&gt;0)&gt;0,"stock overridden",""))</f>
        <v/>
      </c>
      <c r="L94" s="121">
        <f>IFERROR(IF(SMALL(Grids!$EE$12:$GQ$111,$M$7+85)&gt;=PEND_TO,"",SMALL(Grids!$EE$12:$GQ$111,$M$7+85)),"")</f>
        <v/>
      </c>
      <c r="M94" s="121">
        <f>IF($L94="","",INT($L94/1000000000))</f>
        <v/>
      </c>
      <c r="N94" s="121">
        <f>IF($L94="","",INT(($L94-INT($L94/1000000)*1000000)/1000))</f>
        <v/>
      </c>
      <c r="O94" s="121">
        <f>IF($L94="","",$L94-INT($L94/1000)*1000)</f>
        <v/>
      </c>
      <c r="P94" s="121">
        <f>IF($L94="","",INT(($L94-INT($L94/1000000000)*1000000000)/100000000))</f>
        <v/>
      </c>
    </row>
    <row r="95">
      <c r="B95" s="122">
        <f>IF($L95="","",$M95)</f>
        <v/>
      </c>
      <c r="C95" s="22">
        <f>IF($L95="","",INDEX(HSI!$C$7:$C$106,$N95))</f>
        <v/>
      </c>
      <c r="D95" s="22">
        <f>IF($L95="","",INDEX(HSI!$D$7:$D$106,$N95))</f>
        <v/>
      </c>
      <c r="E95" s="123">
        <f>IF($L95="","",IF($P95=0,"TBA",IFERROR(INDEX(Grids!$C$12:$BO$111,$N95,$O95),"-")))</f>
        <v/>
      </c>
      <c r="F95" s="22">
        <f>IF($L95="","",INDEX(HSI!$F$7:$F$106,$N95))</f>
        <v/>
      </c>
      <c r="G95" s="123">
        <f>IF($L95="","",IF($P95=0,"TBA",IFERROR(INDEX(Grids!$BQ$12:$EC$111,$N95,$O95),"-")))</f>
        <v/>
      </c>
      <c r="H95" s="124">
        <f>IF($L95="","",SUM($G$10:$G95))</f>
        <v/>
      </c>
      <c r="I95" s="45">
        <f>IF($L95="","",IF(INT(($L95-INT($L95/10000000)*10000000)/1000000)=0,"Bloomberg projection",IF($P95=1,"ANNOUNCED","ANNOUNCED - amount TBA")))</f>
        <v/>
      </c>
      <c r="J95" s="46">
        <f>IF($L95="","",IF((OV_SWITCH="ON")*(COUNTIFS(OVR_TICKERS,INDEX(HSI!$C$7:$C$106,$N95),OVR_BASE,"&gt;=0")&gt;0)&gt;0,"stock overridden",""))</f>
        <v/>
      </c>
      <c r="L95" s="121">
        <f>IFERROR(IF(SMALL(Grids!$EE$12:$GQ$111,$M$7+86)&gt;=PEND_TO,"",SMALL(Grids!$EE$12:$GQ$111,$M$7+86)),"")</f>
        <v/>
      </c>
      <c r="M95" s="121">
        <f>IF($L95="","",INT($L95/1000000000))</f>
        <v/>
      </c>
      <c r="N95" s="121">
        <f>IF($L95="","",INT(($L95-INT($L95/1000000)*1000000)/1000))</f>
        <v/>
      </c>
      <c r="O95" s="121">
        <f>IF($L95="","",$L95-INT($L95/1000)*1000)</f>
        <v/>
      </c>
      <c r="P95" s="121">
        <f>IF($L95="","",INT(($L95-INT($L95/1000000000)*1000000000)/100000000))</f>
        <v/>
      </c>
    </row>
    <row r="96">
      <c r="B96" s="122">
        <f>IF($L96="","",$M96)</f>
        <v/>
      </c>
      <c r="C96" s="22">
        <f>IF($L96="","",INDEX(HSI!$C$7:$C$106,$N96))</f>
        <v/>
      </c>
      <c r="D96" s="22">
        <f>IF($L96="","",INDEX(HSI!$D$7:$D$106,$N96))</f>
        <v/>
      </c>
      <c r="E96" s="123">
        <f>IF($L96="","",IF($P96=0,"TBA",IFERROR(INDEX(Grids!$C$12:$BO$111,$N96,$O96),"-")))</f>
        <v/>
      </c>
      <c r="F96" s="22">
        <f>IF($L96="","",INDEX(HSI!$F$7:$F$106,$N96))</f>
        <v/>
      </c>
      <c r="G96" s="123">
        <f>IF($L96="","",IF($P96=0,"TBA",IFERROR(INDEX(Grids!$BQ$12:$EC$111,$N96,$O96),"-")))</f>
        <v/>
      </c>
      <c r="H96" s="124">
        <f>IF($L96="","",SUM($G$10:$G96))</f>
        <v/>
      </c>
      <c r="I96" s="45">
        <f>IF($L96="","",IF(INT(($L96-INT($L96/10000000)*10000000)/1000000)=0,"Bloomberg projection",IF($P96=1,"ANNOUNCED","ANNOUNCED - amount TBA")))</f>
        <v/>
      </c>
      <c r="J96" s="46">
        <f>IF($L96="","",IF((OV_SWITCH="ON")*(COUNTIFS(OVR_TICKERS,INDEX(HSI!$C$7:$C$106,$N96),OVR_BASE,"&gt;=0")&gt;0)&gt;0,"stock overridden",""))</f>
        <v/>
      </c>
      <c r="L96" s="121">
        <f>IFERROR(IF(SMALL(Grids!$EE$12:$GQ$111,$M$7+87)&gt;=PEND_TO,"",SMALL(Grids!$EE$12:$GQ$111,$M$7+87)),"")</f>
        <v/>
      </c>
      <c r="M96" s="121">
        <f>IF($L96="","",INT($L96/1000000000))</f>
        <v/>
      </c>
      <c r="N96" s="121">
        <f>IF($L96="","",INT(($L96-INT($L96/1000000)*1000000)/1000))</f>
        <v/>
      </c>
      <c r="O96" s="121">
        <f>IF($L96="","",$L96-INT($L96/1000)*1000)</f>
        <v/>
      </c>
      <c r="P96" s="121">
        <f>IF($L96="","",INT(($L96-INT($L96/1000000000)*1000000000)/100000000))</f>
        <v/>
      </c>
    </row>
    <row r="97">
      <c r="B97" s="122">
        <f>IF($L97="","",$M97)</f>
        <v/>
      </c>
      <c r="C97" s="22">
        <f>IF($L97="","",INDEX(HSI!$C$7:$C$106,$N97))</f>
        <v/>
      </c>
      <c r="D97" s="22">
        <f>IF($L97="","",INDEX(HSI!$D$7:$D$106,$N97))</f>
        <v/>
      </c>
      <c r="E97" s="123">
        <f>IF($L97="","",IF($P97=0,"TBA",IFERROR(INDEX(Grids!$C$12:$BO$111,$N97,$O97),"-")))</f>
        <v/>
      </c>
      <c r="F97" s="22">
        <f>IF($L97="","",INDEX(HSI!$F$7:$F$106,$N97))</f>
        <v/>
      </c>
      <c r="G97" s="123">
        <f>IF($L97="","",IF($P97=0,"TBA",IFERROR(INDEX(Grids!$BQ$12:$EC$111,$N97,$O97),"-")))</f>
        <v/>
      </c>
      <c r="H97" s="124">
        <f>IF($L97="","",SUM($G$10:$G97))</f>
        <v/>
      </c>
      <c r="I97" s="45">
        <f>IF($L97="","",IF(INT(($L97-INT($L97/10000000)*10000000)/1000000)=0,"Bloomberg projection",IF($P97=1,"ANNOUNCED","ANNOUNCED - amount TBA")))</f>
        <v/>
      </c>
      <c r="J97" s="46">
        <f>IF($L97="","",IF((OV_SWITCH="ON")*(COUNTIFS(OVR_TICKERS,INDEX(HSI!$C$7:$C$106,$N97),OVR_BASE,"&gt;=0")&gt;0)&gt;0,"stock overridden",""))</f>
        <v/>
      </c>
      <c r="L97" s="121">
        <f>IFERROR(IF(SMALL(Grids!$EE$12:$GQ$111,$M$7+88)&gt;=PEND_TO,"",SMALL(Grids!$EE$12:$GQ$111,$M$7+88)),"")</f>
        <v/>
      </c>
      <c r="M97" s="121">
        <f>IF($L97="","",INT($L97/1000000000))</f>
        <v/>
      </c>
      <c r="N97" s="121">
        <f>IF($L97="","",INT(($L97-INT($L97/1000000)*1000000)/1000))</f>
        <v/>
      </c>
      <c r="O97" s="121">
        <f>IF($L97="","",$L97-INT($L97/1000)*1000)</f>
        <v/>
      </c>
      <c r="P97" s="121">
        <f>IF($L97="","",INT(($L97-INT($L97/1000000000)*1000000000)/100000000))</f>
        <v/>
      </c>
    </row>
    <row r="98">
      <c r="B98" s="122">
        <f>IF($L98="","",$M98)</f>
        <v/>
      </c>
      <c r="C98" s="22">
        <f>IF($L98="","",INDEX(HSI!$C$7:$C$106,$N98))</f>
        <v/>
      </c>
      <c r="D98" s="22">
        <f>IF($L98="","",INDEX(HSI!$D$7:$D$106,$N98))</f>
        <v/>
      </c>
      <c r="E98" s="123">
        <f>IF($L98="","",IF($P98=0,"TBA",IFERROR(INDEX(Grids!$C$12:$BO$111,$N98,$O98),"-")))</f>
        <v/>
      </c>
      <c r="F98" s="22">
        <f>IF($L98="","",INDEX(HSI!$F$7:$F$106,$N98))</f>
        <v/>
      </c>
      <c r="G98" s="123">
        <f>IF($L98="","",IF($P98=0,"TBA",IFERROR(INDEX(Grids!$BQ$12:$EC$111,$N98,$O98),"-")))</f>
        <v/>
      </c>
      <c r="H98" s="124">
        <f>IF($L98="","",SUM($G$10:$G98))</f>
        <v/>
      </c>
      <c r="I98" s="45">
        <f>IF($L98="","",IF(INT(($L98-INT($L98/10000000)*10000000)/1000000)=0,"Bloomberg projection",IF($P98=1,"ANNOUNCED","ANNOUNCED - amount TBA")))</f>
        <v/>
      </c>
      <c r="J98" s="46">
        <f>IF($L98="","",IF((OV_SWITCH="ON")*(COUNTIFS(OVR_TICKERS,INDEX(HSI!$C$7:$C$106,$N98),OVR_BASE,"&gt;=0")&gt;0)&gt;0,"stock overridden",""))</f>
        <v/>
      </c>
      <c r="L98" s="121">
        <f>IFERROR(IF(SMALL(Grids!$EE$12:$GQ$111,$M$7+89)&gt;=PEND_TO,"",SMALL(Grids!$EE$12:$GQ$111,$M$7+89)),"")</f>
        <v/>
      </c>
      <c r="M98" s="121">
        <f>IF($L98="","",INT($L98/1000000000))</f>
        <v/>
      </c>
      <c r="N98" s="121">
        <f>IF($L98="","",INT(($L98-INT($L98/1000000)*1000000)/1000))</f>
        <v/>
      </c>
      <c r="O98" s="121">
        <f>IF($L98="","",$L98-INT($L98/1000)*1000)</f>
        <v/>
      </c>
      <c r="P98" s="121">
        <f>IF($L98="","",INT(($L98-INT($L98/1000000000)*1000000000)/100000000))</f>
        <v/>
      </c>
    </row>
    <row r="99">
      <c r="B99" s="122">
        <f>IF($L99="","",$M99)</f>
        <v/>
      </c>
      <c r="C99" s="22">
        <f>IF($L99="","",INDEX(HSI!$C$7:$C$106,$N99))</f>
        <v/>
      </c>
      <c r="D99" s="22">
        <f>IF($L99="","",INDEX(HSI!$D$7:$D$106,$N99))</f>
        <v/>
      </c>
      <c r="E99" s="123">
        <f>IF($L99="","",IF($P99=0,"TBA",IFERROR(INDEX(Grids!$C$12:$BO$111,$N99,$O99),"-")))</f>
        <v/>
      </c>
      <c r="F99" s="22">
        <f>IF($L99="","",INDEX(HSI!$F$7:$F$106,$N99))</f>
        <v/>
      </c>
      <c r="G99" s="123">
        <f>IF($L99="","",IF($P99=0,"TBA",IFERROR(INDEX(Grids!$BQ$12:$EC$111,$N99,$O99),"-")))</f>
        <v/>
      </c>
      <c r="H99" s="124">
        <f>IF($L99="","",SUM($G$10:$G99))</f>
        <v/>
      </c>
      <c r="I99" s="45">
        <f>IF($L99="","",IF(INT(($L99-INT($L99/10000000)*10000000)/1000000)=0,"Bloomberg projection",IF($P99=1,"ANNOUNCED","ANNOUNCED - amount TBA")))</f>
        <v/>
      </c>
      <c r="J99" s="46">
        <f>IF($L99="","",IF((OV_SWITCH="ON")*(COUNTIFS(OVR_TICKERS,INDEX(HSI!$C$7:$C$106,$N99),OVR_BASE,"&gt;=0")&gt;0)&gt;0,"stock overridden",""))</f>
        <v/>
      </c>
      <c r="L99" s="121">
        <f>IFERROR(IF(SMALL(Grids!$EE$12:$GQ$111,$M$7+90)&gt;=PEND_TO,"",SMALL(Grids!$EE$12:$GQ$111,$M$7+90)),"")</f>
        <v/>
      </c>
      <c r="M99" s="121">
        <f>IF($L99="","",INT($L99/1000000000))</f>
        <v/>
      </c>
      <c r="N99" s="121">
        <f>IF($L99="","",INT(($L99-INT($L99/1000000)*1000000)/1000))</f>
        <v/>
      </c>
      <c r="O99" s="121">
        <f>IF($L99="","",$L99-INT($L99/1000)*1000)</f>
        <v/>
      </c>
      <c r="P99" s="121">
        <f>IF($L99="","",INT(($L99-INT($L99/1000000000)*1000000000)/100000000))</f>
        <v/>
      </c>
    </row>
    <row r="100">
      <c r="B100" s="122">
        <f>IF($L100="","",$M100)</f>
        <v/>
      </c>
      <c r="C100" s="22">
        <f>IF($L100="","",INDEX(HSI!$C$7:$C$106,$N100))</f>
        <v/>
      </c>
      <c r="D100" s="22">
        <f>IF($L100="","",INDEX(HSI!$D$7:$D$106,$N100))</f>
        <v/>
      </c>
      <c r="E100" s="123">
        <f>IF($L100="","",IF($P100=0,"TBA",IFERROR(INDEX(Grids!$C$12:$BO$111,$N100,$O100),"-")))</f>
        <v/>
      </c>
      <c r="F100" s="22">
        <f>IF($L100="","",INDEX(HSI!$F$7:$F$106,$N100))</f>
        <v/>
      </c>
      <c r="G100" s="123">
        <f>IF($L100="","",IF($P100=0,"TBA",IFERROR(INDEX(Grids!$BQ$12:$EC$111,$N100,$O100),"-")))</f>
        <v/>
      </c>
      <c r="H100" s="124">
        <f>IF($L100="","",SUM($G$10:$G100))</f>
        <v/>
      </c>
      <c r="I100" s="45">
        <f>IF($L100="","",IF(INT(($L100-INT($L100/10000000)*10000000)/1000000)=0,"Bloomberg projection",IF($P100=1,"ANNOUNCED","ANNOUNCED - amount TBA")))</f>
        <v/>
      </c>
      <c r="J100" s="46">
        <f>IF($L100="","",IF((OV_SWITCH="ON")*(COUNTIFS(OVR_TICKERS,INDEX(HSI!$C$7:$C$106,$N100),OVR_BASE,"&gt;=0")&gt;0)&gt;0,"stock overridden",""))</f>
        <v/>
      </c>
      <c r="L100" s="121">
        <f>IFERROR(IF(SMALL(Grids!$EE$12:$GQ$111,$M$7+91)&gt;=PEND_TO,"",SMALL(Grids!$EE$12:$GQ$111,$M$7+91)),"")</f>
        <v/>
      </c>
      <c r="M100" s="121">
        <f>IF($L100="","",INT($L100/1000000000))</f>
        <v/>
      </c>
      <c r="N100" s="121">
        <f>IF($L100="","",INT(($L100-INT($L100/1000000)*1000000)/1000))</f>
        <v/>
      </c>
      <c r="O100" s="121">
        <f>IF($L100="","",$L100-INT($L100/1000)*1000)</f>
        <v/>
      </c>
      <c r="P100" s="121">
        <f>IF($L100="","",INT(($L100-INT($L100/1000000000)*1000000000)/100000000))</f>
        <v/>
      </c>
    </row>
    <row r="101">
      <c r="B101" s="122">
        <f>IF($L101="","",$M101)</f>
        <v/>
      </c>
      <c r="C101" s="22">
        <f>IF($L101="","",INDEX(HSI!$C$7:$C$106,$N101))</f>
        <v/>
      </c>
      <c r="D101" s="22">
        <f>IF($L101="","",INDEX(HSI!$D$7:$D$106,$N101))</f>
        <v/>
      </c>
      <c r="E101" s="123">
        <f>IF($L101="","",IF($P101=0,"TBA",IFERROR(INDEX(Grids!$C$12:$BO$111,$N101,$O101),"-")))</f>
        <v/>
      </c>
      <c r="F101" s="22">
        <f>IF($L101="","",INDEX(HSI!$F$7:$F$106,$N101))</f>
        <v/>
      </c>
      <c r="G101" s="123">
        <f>IF($L101="","",IF($P101=0,"TBA",IFERROR(INDEX(Grids!$BQ$12:$EC$111,$N101,$O101),"-")))</f>
        <v/>
      </c>
      <c r="H101" s="124">
        <f>IF($L101="","",SUM($G$10:$G101))</f>
        <v/>
      </c>
      <c r="I101" s="45">
        <f>IF($L101="","",IF(INT(($L101-INT($L101/10000000)*10000000)/1000000)=0,"Bloomberg projection",IF($P101=1,"ANNOUNCED","ANNOUNCED - amount TBA")))</f>
        <v/>
      </c>
      <c r="J101" s="46">
        <f>IF($L101="","",IF((OV_SWITCH="ON")*(COUNTIFS(OVR_TICKERS,INDEX(HSI!$C$7:$C$106,$N101),OVR_BASE,"&gt;=0")&gt;0)&gt;0,"stock overridden",""))</f>
        <v/>
      </c>
      <c r="L101" s="121">
        <f>IFERROR(IF(SMALL(Grids!$EE$12:$GQ$111,$M$7+92)&gt;=PEND_TO,"",SMALL(Grids!$EE$12:$GQ$111,$M$7+92)),"")</f>
        <v/>
      </c>
      <c r="M101" s="121">
        <f>IF($L101="","",INT($L101/1000000000))</f>
        <v/>
      </c>
      <c r="N101" s="121">
        <f>IF($L101="","",INT(($L101-INT($L101/1000000)*1000000)/1000))</f>
        <v/>
      </c>
      <c r="O101" s="121">
        <f>IF($L101="","",$L101-INT($L101/1000)*1000)</f>
        <v/>
      </c>
      <c r="P101" s="121">
        <f>IF($L101="","",INT(($L101-INT($L101/1000000000)*1000000000)/100000000))</f>
        <v/>
      </c>
    </row>
    <row r="102">
      <c r="B102" s="122">
        <f>IF($L102="","",$M102)</f>
        <v/>
      </c>
      <c r="C102" s="22">
        <f>IF($L102="","",INDEX(HSI!$C$7:$C$106,$N102))</f>
        <v/>
      </c>
      <c r="D102" s="22">
        <f>IF($L102="","",INDEX(HSI!$D$7:$D$106,$N102))</f>
        <v/>
      </c>
      <c r="E102" s="123">
        <f>IF($L102="","",IF($P102=0,"TBA",IFERROR(INDEX(Grids!$C$12:$BO$111,$N102,$O102),"-")))</f>
        <v/>
      </c>
      <c r="F102" s="22">
        <f>IF($L102="","",INDEX(HSI!$F$7:$F$106,$N102))</f>
        <v/>
      </c>
      <c r="G102" s="123">
        <f>IF($L102="","",IF($P102=0,"TBA",IFERROR(INDEX(Grids!$BQ$12:$EC$111,$N102,$O102),"-")))</f>
        <v/>
      </c>
      <c r="H102" s="124">
        <f>IF($L102="","",SUM($G$10:$G102))</f>
        <v/>
      </c>
      <c r="I102" s="45">
        <f>IF($L102="","",IF(INT(($L102-INT($L102/10000000)*10000000)/1000000)=0,"Bloomberg projection",IF($P102=1,"ANNOUNCED","ANNOUNCED - amount TBA")))</f>
        <v/>
      </c>
      <c r="J102" s="46">
        <f>IF($L102="","",IF((OV_SWITCH="ON")*(COUNTIFS(OVR_TICKERS,INDEX(HSI!$C$7:$C$106,$N102),OVR_BASE,"&gt;=0")&gt;0)&gt;0,"stock overridden",""))</f>
        <v/>
      </c>
      <c r="L102" s="121">
        <f>IFERROR(IF(SMALL(Grids!$EE$12:$GQ$111,$M$7+93)&gt;=PEND_TO,"",SMALL(Grids!$EE$12:$GQ$111,$M$7+93)),"")</f>
        <v/>
      </c>
      <c r="M102" s="121">
        <f>IF($L102="","",INT($L102/1000000000))</f>
        <v/>
      </c>
      <c r="N102" s="121">
        <f>IF($L102="","",INT(($L102-INT($L102/1000000)*1000000)/1000))</f>
        <v/>
      </c>
      <c r="O102" s="121">
        <f>IF($L102="","",$L102-INT($L102/1000)*1000)</f>
        <v/>
      </c>
      <c r="P102" s="121">
        <f>IF($L102="","",INT(($L102-INT($L102/1000000000)*1000000000)/100000000))</f>
        <v/>
      </c>
    </row>
    <row r="103">
      <c r="B103" s="122">
        <f>IF($L103="","",$M103)</f>
        <v/>
      </c>
      <c r="C103" s="22">
        <f>IF($L103="","",INDEX(HSI!$C$7:$C$106,$N103))</f>
        <v/>
      </c>
      <c r="D103" s="22">
        <f>IF($L103="","",INDEX(HSI!$D$7:$D$106,$N103))</f>
        <v/>
      </c>
      <c r="E103" s="123">
        <f>IF($L103="","",IF($P103=0,"TBA",IFERROR(INDEX(Grids!$C$12:$BO$111,$N103,$O103),"-")))</f>
        <v/>
      </c>
      <c r="F103" s="22">
        <f>IF($L103="","",INDEX(HSI!$F$7:$F$106,$N103))</f>
        <v/>
      </c>
      <c r="G103" s="123">
        <f>IF($L103="","",IF($P103=0,"TBA",IFERROR(INDEX(Grids!$BQ$12:$EC$111,$N103,$O103),"-")))</f>
        <v/>
      </c>
      <c r="H103" s="124">
        <f>IF($L103="","",SUM($G$10:$G103))</f>
        <v/>
      </c>
      <c r="I103" s="45">
        <f>IF($L103="","",IF(INT(($L103-INT($L103/10000000)*10000000)/1000000)=0,"Bloomberg projection",IF($P103=1,"ANNOUNCED","ANNOUNCED - amount TBA")))</f>
        <v/>
      </c>
      <c r="J103" s="46">
        <f>IF($L103="","",IF((OV_SWITCH="ON")*(COUNTIFS(OVR_TICKERS,INDEX(HSI!$C$7:$C$106,$N103),OVR_BASE,"&gt;=0")&gt;0)&gt;0,"stock overridden",""))</f>
        <v/>
      </c>
      <c r="L103" s="121">
        <f>IFERROR(IF(SMALL(Grids!$EE$12:$GQ$111,$M$7+94)&gt;=PEND_TO,"",SMALL(Grids!$EE$12:$GQ$111,$M$7+94)),"")</f>
        <v/>
      </c>
      <c r="M103" s="121">
        <f>IF($L103="","",INT($L103/1000000000))</f>
        <v/>
      </c>
      <c r="N103" s="121">
        <f>IF($L103="","",INT(($L103-INT($L103/1000000)*1000000)/1000))</f>
        <v/>
      </c>
      <c r="O103" s="121">
        <f>IF($L103="","",$L103-INT($L103/1000)*1000)</f>
        <v/>
      </c>
      <c r="P103" s="121">
        <f>IF($L103="","",INT(($L103-INT($L103/1000000000)*1000000000)/100000000))</f>
        <v/>
      </c>
    </row>
    <row r="104">
      <c r="B104" s="122">
        <f>IF($L104="","",$M104)</f>
        <v/>
      </c>
      <c r="C104" s="22">
        <f>IF($L104="","",INDEX(HSI!$C$7:$C$106,$N104))</f>
        <v/>
      </c>
      <c r="D104" s="22">
        <f>IF($L104="","",INDEX(HSI!$D$7:$D$106,$N104))</f>
        <v/>
      </c>
      <c r="E104" s="123">
        <f>IF($L104="","",IF($P104=0,"TBA",IFERROR(INDEX(Grids!$C$12:$BO$111,$N104,$O104),"-")))</f>
        <v/>
      </c>
      <c r="F104" s="22">
        <f>IF($L104="","",INDEX(HSI!$F$7:$F$106,$N104))</f>
        <v/>
      </c>
      <c r="G104" s="123">
        <f>IF($L104="","",IF($P104=0,"TBA",IFERROR(INDEX(Grids!$BQ$12:$EC$111,$N104,$O104),"-")))</f>
        <v/>
      </c>
      <c r="H104" s="124">
        <f>IF($L104="","",SUM($G$10:$G104))</f>
        <v/>
      </c>
      <c r="I104" s="45">
        <f>IF($L104="","",IF(INT(($L104-INT($L104/10000000)*10000000)/1000000)=0,"Bloomberg projection",IF($P104=1,"ANNOUNCED","ANNOUNCED - amount TBA")))</f>
        <v/>
      </c>
      <c r="J104" s="46">
        <f>IF($L104="","",IF((OV_SWITCH="ON")*(COUNTIFS(OVR_TICKERS,INDEX(HSI!$C$7:$C$106,$N104),OVR_BASE,"&gt;=0")&gt;0)&gt;0,"stock overridden",""))</f>
        <v/>
      </c>
      <c r="L104" s="121">
        <f>IFERROR(IF(SMALL(Grids!$EE$12:$GQ$111,$M$7+95)&gt;=PEND_TO,"",SMALL(Grids!$EE$12:$GQ$111,$M$7+95)),"")</f>
        <v/>
      </c>
      <c r="M104" s="121">
        <f>IF($L104="","",INT($L104/1000000000))</f>
        <v/>
      </c>
      <c r="N104" s="121">
        <f>IF($L104="","",INT(($L104-INT($L104/1000000)*1000000)/1000))</f>
        <v/>
      </c>
      <c r="O104" s="121">
        <f>IF($L104="","",$L104-INT($L104/1000)*1000)</f>
        <v/>
      </c>
      <c r="P104" s="121">
        <f>IF($L104="","",INT(($L104-INT($L104/1000000000)*1000000000)/100000000))</f>
        <v/>
      </c>
    </row>
    <row r="105">
      <c r="B105" s="122">
        <f>IF($L105="","",$M105)</f>
        <v/>
      </c>
      <c r="C105" s="22">
        <f>IF($L105="","",INDEX(HSI!$C$7:$C$106,$N105))</f>
        <v/>
      </c>
      <c r="D105" s="22">
        <f>IF($L105="","",INDEX(HSI!$D$7:$D$106,$N105))</f>
        <v/>
      </c>
      <c r="E105" s="123">
        <f>IF($L105="","",IF($P105=0,"TBA",IFERROR(INDEX(Grids!$C$12:$BO$111,$N105,$O105),"-")))</f>
        <v/>
      </c>
      <c r="F105" s="22">
        <f>IF($L105="","",INDEX(HSI!$F$7:$F$106,$N105))</f>
        <v/>
      </c>
      <c r="G105" s="123">
        <f>IF($L105="","",IF($P105=0,"TBA",IFERROR(INDEX(Grids!$BQ$12:$EC$111,$N105,$O105),"-")))</f>
        <v/>
      </c>
      <c r="H105" s="124">
        <f>IF($L105="","",SUM($G$10:$G105))</f>
        <v/>
      </c>
      <c r="I105" s="45">
        <f>IF($L105="","",IF(INT(($L105-INT($L105/10000000)*10000000)/1000000)=0,"Bloomberg projection",IF($P105=1,"ANNOUNCED","ANNOUNCED - amount TBA")))</f>
        <v/>
      </c>
      <c r="J105" s="46">
        <f>IF($L105="","",IF((OV_SWITCH="ON")*(COUNTIFS(OVR_TICKERS,INDEX(HSI!$C$7:$C$106,$N105),OVR_BASE,"&gt;=0")&gt;0)&gt;0,"stock overridden",""))</f>
        <v/>
      </c>
      <c r="L105" s="121">
        <f>IFERROR(IF(SMALL(Grids!$EE$12:$GQ$111,$M$7+96)&gt;=PEND_TO,"",SMALL(Grids!$EE$12:$GQ$111,$M$7+96)),"")</f>
        <v/>
      </c>
      <c r="M105" s="121">
        <f>IF($L105="","",INT($L105/1000000000))</f>
        <v/>
      </c>
      <c r="N105" s="121">
        <f>IF($L105="","",INT(($L105-INT($L105/1000000)*1000000)/1000))</f>
        <v/>
      </c>
      <c r="O105" s="121">
        <f>IF($L105="","",$L105-INT($L105/1000)*1000)</f>
        <v/>
      </c>
      <c r="P105" s="121">
        <f>IF($L105="","",INT(($L105-INT($L105/1000000000)*1000000000)/100000000))</f>
        <v/>
      </c>
    </row>
    <row r="106">
      <c r="B106" s="122">
        <f>IF($L106="","",$M106)</f>
        <v/>
      </c>
      <c r="C106" s="22">
        <f>IF($L106="","",INDEX(HSI!$C$7:$C$106,$N106))</f>
        <v/>
      </c>
      <c r="D106" s="22">
        <f>IF($L106="","",INDEX(HSI!$D$7:$D$106,$N106))</f>
        <v/>
      </c>
      <c r="E106" s="123">
        <f>IF($L106="","",IF($P106=0,"TBA",IFERROR(INDEX(Grids!$C$12:$BO$111,$N106,$O106),"-")))</f>
        <v/>
      </c>
      <c r="F106" s="22">
        <f>IF($L106="","",INDEX(HSI!$F$7:$F$106,$N106))</f>
        <v/>
      </c>
      <c r="G106" s="123">
        <f>IF($L106="","",IF($P106=0,"TBA",IFERROR(INDEX(Grids!$BQ$12:$EC$111,$N106,$O106),"-")))</f>
        <v/>
      </c>
      <c r="H106" s="124">
        <f>IF($L106="","",SUM($G$10:$G106))</f>
        <v/>
      </c>
      <c r="I106" s="45">
        <f>IF($L106="","",IF(INT(($L106-INT($L106/10000000)*10000000)/1000000)=0,"Bloomberg projection",IF($P106=1,"ANNOUNCED","ANNOUNCED - amount TBA")))</f>
        <v/>
      </c>
      <c r="J106" s="46">
        <f>IF($L106="","",IF((OV_SWITCH="ON")*(COUNTIFS(OVR_TICKERS,INDEX(HSI!$C$7:$C$106,$N106),OVR_BASE,"&gt;=0")&gt;0)&gt;0,"stock overridden",""))</f>
        <v/>
      </c>
      <c r="L106" s="121">
        <f>IFERROR(IF(SMALL(Grids!$EE$12:$GQ$111,$M$7+97)&gt;=PEND_TO,"",SMALL(Grids!$EE$12:$GQ$111,$M$7+97)),"")</f>
        <v/>
      </c>
      <c r="M106" s="121">
        <f>IF($L106="","",INT($L106/1000000000))</f>
        <v/>
      </c>
      <c r="N106" s="121">
        <f>IF($L106="","",INT(($L106-INT($L106/1000000)*1000000)/1000))</f>
        <v/>
      </c>
      <c r="O106" s="121">
        <f>IF($L106="","",$L106-INT($L106/1000)*1000)</f>
        <v/>
      </c>
      <c r="P106" s="121">
        <f>IF($L106="","",INT(($L106-INT($L106/1000000000)*1000000000)/100000000))</f>
        <v/>
      </c>
    </row>
    <row r="107">
      <c r="B107" s="122">
        <f>IF($L107="","",$M107)</f>
        <v/>
      </c>
      <c r="C107" s="22">
        <f>IF($L107="","",INDEX(HSI!$C$7:$C$106,$N107))</f>
        <v/>
      </c>
      <c r="D107" s="22">
        <f>IF($L107="","",INDEX(HSI!$D$7:$D$106,$N107))</f>
        <v/>
      </c>
      <c r="E107" s="123">
        <f>IF($L107="","",IF($P107=0,"TBA",IFERROR(INDEX(Grids!$C$12:$BO$111,$N107,$O107),"-")))</f>
        <v/>
      </c>
      <c r="F107" s="22">
        <f>IF($L107="","",INDEX(HSI!$F$7:$F$106,$N107))</f>
        <v/>
      </c>
      <c r="G107" s="123">
        <f>IF($L107="","",IF($P107=0,"TBA",IFERROR(INDEX(Grids!$BQ$12:$EC$111,$N107,$O107),"-")))</f>
        <v/>
      </c>
      <c r="H107" s="124">
        <f>IF($L107="","",SUM($G$10:$G107))</f>
        <v/>
      </c>
      <c r="I107" s="45">
        <f>IF($L107="","",IF(INT(($L107-INT($L107/10000000)*10000000)/1000000)=0,"Bloomberg projection",IF($P107=1,"ANNOUNCED","ANNOUNCED - amount TBA")))</f>
        <v/>
      </c>
      <c r="J107" s="46">
        <f>IF($L107="","",IF((OV_SWITCH="ON")*(COUNTIFS(OVR_TICKERS,INDEX(HSI!$C$7:$C$106,$N107),OVR_BASE,"&gt;=0")&gt;0)&gt;0,"stock overridden",""))</f>
        <v/>
      </c>
      <c r="L107" s="121">
        <f>IFERROR(IF(SMALL(Grids!$EE$12:$GQ$111,$M$7+98)&gt;=PEND_TO,"",SMALL(Grids!$EE$12:$GQ$111,$M$7+98)),"")</f>
        <v/>
      </c>
      <c r="M107" s="121">
        <f>IF($L107="","",INT($L107/1000000000))</f>
        <v/>
      </c>
      <c r="N107" s="121">
        <f>IF($L107="","",INT(($L107-INT($L107/1000000)*1000000)/1000))</f>
        <v/>
      </c>
      <c r="O107" s="121">
        <f>IF($L107="","",$L107-INT($L107/1000)*1000)</f>
        <v/>
      </c>
      <c r="P107" s="121">
        <f>IF($L107="","",INT(($L107-INT($L107/1000000000)*1000000000)/100000000))</f>
        <v/>
      </c>
    </row>
    <row r="108">
      <c r="B108" s="122">
        <f>IF($L108="","",$M108)</f>
        <v/>
      </c>
      <c r="C108" s="22">
        <f>IF($L108="","",INDEX(HSI!$C$7:$C$106,$N108))</f>
        <v/>
      </c>
      <c r="D108" s="22">
        <f>IF($L108="","",INDEX(HSI!$D$7:$D$106,$N108))</f>
        <v/>
      </c>
      <c r="E108" s="123">
        <f>IF($L108="","",IF($P108=0,"TBA",IFERROR(INDEX(Grids!$C$12:$BO$111,$N108,$O108),"-")))</f>
        <v/>
      </c>
      <c r="F108" s="22">
        <f>IF($L108="","",INDEX(HSI!$F$7:$F$106,$N108))</f>
        <v/>
      </c>
      <c r="G108" s="123">
        <f>IF($L108="","",IF($P108=0,"TBA",IFERROR(INDEX(Grids!$BQ$12:$EC$111,$N108,$O108),"-")))</f>
        <v/>
      </c>
      <c r="H108" s="124">
        <f>IF($L108="","",SUM($G$10:$G108))</f>
        <v/>
      </c>
      <c r="I108" s="45">
        <f>IF($L108="","",IF(INT(($L108-INT($L108/10000000)*10000000)/1000000)=0,"Bloomberg projection",IF($P108=1,"ANNOUNCED","ANNOUNCED - amount TBA")))</f>
        <v/>
      </c>
      <c r="J108" s="46">
        <f>IF($L108="","",IF((OV_SWITCH="ON")*(COUNTIFS(OVR_TICKERS,INDEX(HSI!$C$7:$C$106,$N108),OVR_BASE,"&gt;=0")&gt;0)&gt;0,"stock overridden",""))</f>
        <v/>
      </c>
      <c r="L108" s="121">
        <f>IFERROR(IF(SMALL(Grids!$EE$12:$GQ$111,$M$7+99)&gt;=PEND_TO,"",SMALL(Grids!$EE$12:$GQ$111,$M$7+99)),"")</f>
        <v/>
      </c>
      <c r="M108" s="121">
        <f>IF($L108="","",INT($L108/1000000000))</f>
        <v/>
      </c>
      <c r="N108" s="121">
        <f>IF($L108="","",INT(($L108-INT($L108/1000000)*1000000)/1000))</f>
        <v/>
      </c>
      <c r="O108" s="121">
        <f>IF($L108="","",$L108-INT($L108/1000)*1000)</f>
        <v/>
      </c>
      <c r="P108" s="121">
        <f>IF($L108="","",INT(($L108-INT($L108/1000000000)*1000000000)/100000000))</f>
        <v/>
      </c>
    </row>
    <row r="109">
      <c r="B109" s="122">
        <f>IF($L109="","",$M109)</f>
        <v/>
      </c>
      <c r="C109" s="22">
        <f>IF($L109="","",INDEX(HSI!$C$7:$C$106,$N109))</f>
        <v/>
      </c>
      <c r="D109" s="22">
        <f>IF($L109="","",INDEX(HSI!$D$7:$D$106,$N109))</f>
        <v/>
      </c>
      <c r="E109" s="123">
        <f>IF($L109="","",IF($P109=0,"TBA",IFERROR(INDEX(Grids!$C$12:$BO$111,$N109,$O109),"-")))</f>
        <v/>
      </c>
      <c r="F109" s="22">
        <f>IF($L109="","",INDEX(HSI!$F$7:$F$106,$N109))</f>
        <v/>
      </c>
      <c r="G109" s="123">
        <f>IF($L109="","",IF($P109=0,"TBA",IFERROR(INDEX(Grids!$BQ$12:$EC$111,$N109,$O109),"-")))</f>
        <v/>
      </c>
      <c r="H109" s="124">
        <f>IF($L109="","",SUM($G$10:$G109))</f>
        <v/>
      </c>
      <c r="I109" s="45">
        <f>IF($L109="","",IF(INT(($L109-INT($L109/10000000)*10000000)/1000000)=0,"Bloomberg projection",IF($P109=1,"ANNOUNCED","ANNOUNCED - amount TBA")))</f>
        <v/>
      </c>
      <c r="J109" s="46">
        <f>IF($L109="","",IF((OV_SWITCH="ON")*(COUNTIFS(OVR_TICKERS,INDEX(HSI!$C$7:$C$106,$N109),OVR_BASE,"&gt;=0")&gt;0)&gt;0,"stock overridden",""))</f>
        <v/>
      </c>
      <c r="L109" s="121">
        <f>IFERROR(IF(SMALL(Grids!$EE$12:$GQ$111,$M$7+100)&gt;=PEND_TO,"",SMALL(Grids!$EE$12:$GQ$111,$M$7+100)),"")</f>
        <v/>
      </c>
      <c r="M109" s="121">
        <f>IF($L109="","",INT($L109/1000000000))</f>
        <v/>
      </c>
      <c r="N109" s="121">
        <f>IF($L109="","",INT(($L109-INT($L109/1000000)*1000000)/1000))</f>
        <v/>
      </c>
      <c r="O109" s="121">
        <f>IF($L109="","",$L109-INT($L109/1000)*1000)</f>
        <v/>
      </c>
      <c r="P109" s="121">
        <f>IF($L109="","",INT(($L109-INT($L109/1000000000)*1000000000)/100000000))</f>
        <v/>
      </c>
    </row>
    <row r="110">
      <c r="B110" s="122">
        <f>IF($L110="","",$M110)</f>
        <v/>
      </c>
      <c r="C110" s="22">
        <f>IF($L110="","",INDEX(HSI!$C$7:$C$106,$N110))</f>
        <v/>
      </c>
      <c r="D110" s="22">
        <f>IF($L110="","",INDEX(HSI!$D$7:$D$106,$N110))</f>
        <v/>
      </c>
      <c r="E110" s="123">
        <f>IF($L110="","",IF($P110=0,"TBA",IFERROR(INDEX(Grids!$C$12:$BO$111,$N110,$O110),"-")))</f>
        <v/>
      </c>
      <c r="F110" s="22">
        <f>IF($L110="","",INDEX(HSI!$F$7:$F$106,$N110))</f>
        <v/>
      </c>
      <c r="G110" s="123">
        <f>IF($L110="","",IF($P110=0,"TBA",IFERROR(INDEX(Grids!$BQ$12:$EC$111,$N110,$O110),"-")))</f>
        <v/>
      </c>
      <c r="H110" s="124">
        <f>IF($L110="","",SUM($G$10:$G110))</f>
        <v/>
      </c>
      <c r="I110" s="45">
        <f>IF($L110="","",IF(INT(($L110-INT($L110/10000000)*10000000)/1000000)=0,"Bloomberg projection",IF($P110=1,"ANNOUNCED","ANNOUNCED - amount TBA")))</f>
        <v/>
      </c>
      <c r="J110" s="46">
        <f>IF($L110="","",IF((OV_SWITCH="ON")*(COUNTIFS(OVR_TICKERS,INDEX(HSI!$C$7:$C$106,$N110),OVR_BASE,"&gt;=0")&gt;0)&gt;0,"stock overridden",""))</f>
        <v/>
      </c>
      <c r="L110" s="121">
        <f>IFERROR(IF(SMALL(Grids!$EE$12:$GQ$111,$M$7+101)&gt;=PEND_TO,"",SMALL(Grids!$EE$12:$GQ$111,$M$7+101)),"")</f>
        <v/>
      </c>
      <c r="M110" s="121">
        <f>IF($L110="","",INT($L110/1000000000))</f>
        <v/>
      </c>
      <c r="N110" s="121">
        <f>IF($L110="","",INT(($L110-INT($L110/1000000)*1000000)/1000))</f>
        <v/>
      </c>
      <c r="O110" s="121">
        <f>IF($L110="","",$L110-INT($L110/1000)*1000)</f>
        <v/>
      </c>
      <c r="P110" s="121">
        <f>IF($L110="","",INT(($L110-INT($L110/1000000000)*1000000000)/100000000))</f>
        <v/>
      </c>
    </row>
    <row r="111">
      <c r="B111" s="122">
        <f>IF($L111="","",$M111)</f>
        <v/>
      </c>
      <c r="C111" s="22">
        <f>IF($L111="","",INDEX(HSI!$C$7:$C$106,$N111))</f>
        <v/>
      </c>
      <c r="D111" s="22">
        <f>IF($L111="","",INDEX(HSI!$D$7:$D$106,$N111))</f>
        <v/>
      </c>
      <c r="E111" s="123">
        <f>IF($L111="","",IF($P111=0,"TBA",IFERROR(INDEX(Grids!$C$12:$BO$111,$N111,$O111),"-")))</f>
        <v/>
      </c>
      <c r="F111" s="22">
        <f>IF($L111="","",INDEX(HSI!$F$7:$F$106,$N111))</f>
        <v/>
      </c>
      <c r="G111" s="123">
        <f>IF($L111="","",IF($P111=0,"TBA",IFERROR(INDEX(Grids!$BQ$12:$EC$111,$N111,$O111),"-")))</f>
        <v/>
      </c>
      <c r="H111" s="124">
        <f>IF($L111="","",SUM($G$10:$G111))</f>
        <v/>
      </c>
      <c r="I111" s="45">
        <f>IF($L111="","",IF(INT(($L111-INT($L111/10000000)*10000000)/1000000)=0,"Bloomberg projection",IF($P111=1,"ANNOUNCED","ANNOUNCED - amount TBA")))</f>
        <v/>
      </c>
      <c r="J111" s="46">
        <f>IF($L111="","",IF((OV_SWITCH="ON")*(COUNTIFS(OVR_TICKERS,INDEX(HSI!$C$7:$C$106,$N111),OVR_BASE,"&gt;=0")&gt;0)&gt;0,"stock overridden",""))</f>
        <v/>
      </c>
      <c r="L111" s="121">
        <f>IFERROR(IF(SMALL(Grids!$EE$12:$GQ$111,$M$7+102)&gt;=PEND_TO,"",SMALL(Grids!$EE$12:$GQ$111,$M$7+102)),"")</f>
        <v/>
      </c>
      <c r="M111" s="121">
        <f>IF($L111="","",INT($L111/1000000000))</f>
        <v/>
      </c>
      <c r="N111" s="121">
        <f>IF($L111="","",INT(($L111-INT($L111/1000000)*1000000)/1000))</f>
        <v/>
      </c>
      <c r="O111" s="121">
        <f>IF($L111="","",$L111-INT($L111/1000)*1000)</f>
        <v/>
      </c>
      <c r="P111" s="121">
        <f>IF($L111="","",INT(($L111-INT($L111/1000000000)*1000000000)/100000000))</f>
        <v/>
      </c>
    </row>
    <row r="112">
      <c r="B112" s="122">
        <f>IF($L112="","",$M112)</f>
        <v/>
      </c>
      <c r="C112" s="22">
        <f>IF($L112="","",INDEX(HSI!$C$7:$C$106,$N112))</f>
        <v/>
      </c>
      <c r="D112" s="22">
        <f>IF($L112="","",INDEX(HSI!$D$7:$D$106,$N112))</f>
        <v/>
      </c>
      <c r="E112" s="123">
        <f>IF($L112="","",IF($P112=0,"TBA",IFERROR(INDEX(Grids!$C$12:$BO$111,$N112,$O112),"-")))</f>
        <v/>
      </c>
      <c r="F112" s="22">
        <f>IF($L112="","",INDEX(HSI!$F$7:$F$106,$N112))</f>
        <v/>
      </c>
      <c r="G112" s="123">
        <f>IF($L112="","",IF($P112=0,"TBA",IFERROR(INDEX(Grids!$BQ$12:$EC$111,$N112,$O112),"-")))</f>
        <v/>
      </c>
      <c r="H112" s="124">
        <f>IF($L112="","",SUM($G$10:$G112))</f>
        <v/>
      </c>
      <c r="I112" s="45">
        <f>IF($L112="","",IF(INT(($L112-INT($L112/10000000)*10000000)/1000000)=0,"Bloomberg projection",IF($P112=1,"ANNOUNCED","ANNOUNCED - amount TBA")))</f>
        <v/>
      </c>
      <c r="J112" s="46">
        <f>IF($L112="","",IF((OV_SWITCH="ON")*(COUNTIFS(OVR_TICKERS,INDEX(HSI!$C$7:$C$106,$N112),OVR_BASE,"&gt;=0")&gt;0)&gt;0,"stock overridden",""))</f>
        <v/>
      </c>
      <c r="L112" s="121">
        <f>IFERROR(IF(SMALL(Grids!$EE$12:$GQ$111,$M$7+103)&gt;=PEND_TO,"",SMALL(Grids!$EE$12:$GQ$111,$M$7+103)),"")</f>
        <v/>
      </c>
      <c r="M112" s="121">
        <f>IF($L112="","",INT($L112/1000000000))</f>
        <v/>
      </c>
      <c r="N112" s="121">
        <f>IF($L112="","",INT(($L112-INT($L112/1000000)*1000000)/1000))</f>
        <v/>
      </c>
      <c r="O112" s="121">
        <f>IF($L112="","",$L112-INT($L112/1000)*1000)</f>
        <v/>
      </c>
      <c r="P112" s="121">
        <f>IF($L112="","",INT(($L112-INT($L112/1000000000)*1000000000)/100000000))</f>
        <v/>
      </c>
    </row>
    <row r="113">
      <c r="B113" s="122">
        <f>IF($L113="","",$M113)</f>
        <v/>
      </c>
      <c r="C113" s="22">
        <f>IF($L113="","",INDEX(HSI!$C$7:$C$106,$N113))</f>
        <v/>
      </c>
      <c r="D113" s="22">
        <f>IF($L113="","",INDEX(HSI!$D$7:$D$106,$N113))</f>
        <v/>
      </c>
      <c r="E113" s="123">
        <f>IF($L113="","",IF($P113=0,"TBA",IFERROR(INDEX(Grids!$C$12:$BO$111,$N113,$O113),"-")))</f>
        <v/>
      </c>
      <c r="F113" s="22">
        <f>IF($L113="","",INDEX(HSI!$F$7:$F$106,$N113))</f>
        <v/>
      </c>
      <c r="G113" s="123">
        <f>IF($L113="","",IF($P113=0,"TBA",IFERROR(INDEX(Grids!$BQ$12:$EC$111,$N113,$O113),"-")))</f>
        <v/>
      </c>
      <c r="H113" s="124">
        <f>IF($L113="","",SUM($G$10:$G113))</f>
        <v/>
      </c>
      <c r="I113" s="45">
        <f>IF($L113="","",IF(INT(($L113-INT($L113/10000000)*10000000)/1000000)=0,"Bloomberg projection",IF($P113=1,"ANNOUNCED","ANNOUNCED - amount TBA")))</f>
        <v/>
      </c>
      <c r="J113" s="46">
        <f>IF($L113="","",IF((OV_SWITCH="ON")*(COUNTIFS(OVR_TICKERS,INDEX(HSI!$C$7:$C$106,$N113),OVR_BASE,"&gt;=0")&gt;0)&gt;0,"stock overridden",""))</f>
        <v/>
      </c>
      <c r="L113" s="121">
        <f>IFERROR(IF(SMALL(Grids!$EE$12:$GQ$111,$M$7+104)&gt;=PEND_TO,"",SMALL(Grids!$EE$12:$GQ$111,$M$7+104)),"")</f>
        <v/>
      </c>
      <c r="M113" s="121">
        <f>IF($L113="","",INT($L113/1000000000))</f>
        <v/>
      </c>
      <c r="N113" s="121">
        <f>IF($L113="","",INT(($L113-INT($L113/1000000)*1000000)/1000))</f>
        <v/>
      </c>
      <c r="O113" s="121">
        <f>IF($L113="","",$L113-INT($L113/1000)*1000)</f>
        <v/>
      </c>
      <c r="P113" s="121">
        <f>IF($L113="","",INT(($L113-INT($L113/1000000000)*1000000000)/100000000))</f>
        <v/>
      </c>
    </row>
    <row r="114">
      <c r="B114" s="122">
        <f>IF($L114="","",$M114)</f>
        <v/>
      </c>
      <c r="C114" s="22">
        <f>IF($L114="","",INDEX(HSI!$C$7:$C$106,$N114))</f>
        <v/>
      </c>
      <c r="D114" s="22">
        <f>IF($L114="","",INDEX(HSI!$D$7:$D$106,$N114))</f>
        <v/>
      </c>
      <c r="E114" s="123">
        <f>IF($L114="","",IF($P114=0,"TBA",IFERROR(INDEX(Grids!$C$12:$BO$111,$N114,$O114),"-")))</f>
        <v/>
      </c>
      <c r="F114" s="22">
        <f>IF($L114="","",INDEX(HSI!$F$7:$F$106,$N114))</f>
        <v/>
      </c>
      <c r="G114" s="123">
        <f>IF($L114="","",IF($P114=0,"TBA",IFERROR(INDEX(Grids!$BQ$12:$EC$111,$N114,$O114),"-")))</f>
        <v/>
      </c>
      <c r="H114" s="124">
        <f>IF($L114="","",SUM($G$10:$G114))</f>
        <v/>
      </c>
      <c r="I114" s="45">
        <f>IF($L114="","",IF(INT(($L114-INT($L114/10000000)*10000000)/1000000)=0,"Bloomberg projection",IF($P114=1,"ANNOUNCED","ANNOUNCED - amount TBA")))</f>
        <v/>
      </c>
      <c r="J114" s="46">
        <f>IF($L114="","",IF((OV_SWITCH="ON")*(COUNTIFS(OVR_TICKERS,INDEX(HSI!$C$7:$C$106,$N114),OVR_BASE,"&gt;=0")&gt;0)&gt;0,"stock overridden",""))</f>
        <v/>
      </c>
      <c r="L114" s="121">
        <f>IFERROR(IF(SMALL(Grids!$EE$12:$GQ$111,$M$7+105)&gt;=PEND_TO,"",SMALL(Grids!$EE$12:$GQ$111,$M$7+105)),"")</f>
        <v/>
      </c>
      <c r="M114" s="121">
        <f>IF($L114="","",INT($L114/1000000000))</f>
        <v/>
      </c>
      <c r="N114" s="121">
        <f>IF($L114="","",INT(($L114-INT($L114/1000000)*1000000)/1000))</f>
        <v/>
      </c>
      <c r="O114" s="121">
        <f>IF($L114="","",$L114-INT($L114/1000)*1000)</f>
        <v/>
      </c>
      <c r="P114" s="121">
        <f>IF($L114="","",INT(($L114-INT($L114/1000000000)*1000000000)/100000000))</f>
        <v/>
      </c>
    </row>
    <row r="115">
      <c r="B115" s="122">
        <f>IF($L115="","",$M115)</f>
        <v/>
      </c>
      <c r="C115" s="22">
        <f>IF($L115="","",INDEX(HSI!$C$7:$C$106,$N115))</f>
        <v/>
      </c>
      <c r="D115" s="22">
        <f>IF($L115="","",INDEX(HSI!$D$7:$D$106,$N115))</f>
        <v/>
      </c>
      <c r="E115" s="123">
        <f>IF($L115="","",IF($P115=0,"TBA",IFERROR(INDEX(Grids!$C$12:$BO$111,$N115,$O115),"-")))</f>
        <v/>
      </c>
      <c r="F115" s="22">
        <f>IF($L115="","",INDEX(HSI!$F$7:$F$106,$N115))</f>
        <v/>
      </c>
      <c r="G115" s="123">
        <f>IF($L115="","",IF($P115=0,"TBA",IFERROR(INDEX(Grids!$BQ$12:$EC$111,$N115,$O115),"-")))</f>
        <v/>
      </c>
      <c r="H115" s="124">
        <f>IF($L115="","",SUM($G$10:$G115))</f>
        <v/>
      </c>
      <c r="I115" s="45">
        <f>IF($L115="","",IF(INT(($L115-INT($L115/10000000)*10000000)/1000000)=0,"Bloomberg projection",IF($P115=1,"ANNOUNCED","ANNOUNCED - amount TBA")))</f>
        <v/>
      </c>
      <c r="J115" s="46">
        <f>IF($L115="","",IF((OV_SWITCH="ON")*(COUNTIFS(OVR_TICKERS,INDEX(HSI!$C$7:$C$106,$N115),OVR_BASE,"&gt;=0")&gt;0)&gt;0,"stock overridden",""))</f>
        <v/>
      </c>
      <c r="L115" s="121">
        <f>IFERROR(IF(SMALL(Grids!$EE$12:$GQ$111,$M$7+106)&gt;=PEND_TO,"",SMALL(Grids!$EE$12:$GQ$111,$M$7+106)),"")</f>
        <v/>
      </c>
      <c r="M115" s="121">
        <f>IF($L115="","",INT($L115/1000000000))</f>
        <v/>
      </c>
      <c r="N115" s="121">
        <f>IF($L115="","",INT(($L115-INT($L115/1000000)*1000000)/1000))</f>
        <v/>
      </c>
      <c r="O115" s="121">
        <f>IF($L115="","",$L115-INT($L115/1000)*1000)</f>
        <v/>
      </c>
      <c r="P115" s="121">
        <f>IF($L115="","",INT(($L115-INT($L115/1000000000)*1000000000)/100000000))</f>
        <v/>
      </c>
    </row>
    <row r="116">
      <c r="B116" s="122">
        <f>IF($L116="","",$M116)</f>
        <v/>
      </c>
      <c r="C116" s="22">
        <f>IF($L116="","",INDEX(HSI!$C$7:$C$106,$N116))</f>
        <v/>
      </c>
      <c r="D116" s="22">
        <f>IF($L116="","",INDEX(HSI!$D$7:$D$106,$N116))</f>
        <v/>
      </c>
      <c r="E116" s="123">
        <f>IF($L116="","",IF($P116=0,"TBA",IFERROR(INDEX(Grids!$C$12:$BO$111,$N116,$O116),"-")))</f>
        <v/>
      </c>
      <c r="F116" s="22">
        <f>IF($L116="","",INDEX(HSI!$F$7:$F$106,$N116))</f>
        <v/>
      </c>
      <c r="G116" s="123">
        <f>IF($L116="","",IF($P116=0,"TBA",IFERROR(INDEX(Grids!$BQ$12:$EC$111,$N116,$O116),"-")))</f>
        <v/>
      </c>
      <c r="H116" s="124">
        <f>IF($L116="","",SUM($G$10:$G116))</f>
        <v/>
      </c>
      <c r="I116" s="45">
        <f>IF($L116="","",IF(INT(($L116-INT($L116/10000000)*10000000)/1000000)=0,"Bloomberg projection",IF($P116=1,"ANNOUNCED","ANNOUNCED - amount TBA")))</f>
        <v/>
      </c>
      <c r="J116" s="46">
        <f>IF($L116="","",IF((OV_SWITCH="ON")*(COUNTIFS(OVR_TICKERS,INDEX(HSI!$C$7:$C$106,$N116),OVR_BASE,"&gt;=0")&gt;0)&gt;0,"stock overridden",""))</f>
        <v/>
      </c>
      <c r="L116" s="121">
        <f>IFERROR(IF(SMALL(Grids!$EE$12:$GQ$111,$M$7+107)&gt;=PEND_TO,"",SMALL(Grids!$EE$12:$GQ$111,$M$7+107)),"")</f>
        <v/>
      </c>
      <c r="M116" s="121">
        <f>IF($L116="","",INT($L116/1000000000))</f>
        <v/>
      </c>
      <c r="N116" s="121">
        <f>IF($L116="","",INT(($L116-INT($L116/1000000)*1000000)/1000))</f>
        <v/>
      </c>
      <c r="O116" s="121">
        <f>IF($L116="","",$L116-INT($L116/1000)*1000)</f>
        <v/>
      </c>
      <c r="P116" s="121">
        <f>IF($L116="","",INT(($L116-INT($L116/1000000000)*1000000000)/100000000))</f>
        <v/>
      </c>
    </row>
    <row r="117">
      <c r="B117" s="122">
        <f>IF($L117="","",$M117)</f>
        <v/>
      </c>
      <c r="C117" s="22">
        <f>IF($L117="","",INDEX(HSI!$C$7:$C$106,$N117))</f>
        <v/>
      </c>
      <c r="D117" s="22">
        <f>IF($L117="","",INDEX(HSI!$D$7:$D$106,$N117))</f>
        <v/>
      </c>
      <c r="E117" s="123">
        <f>IF($L117="","",IF($P117=0,"TBA",IFERROR(INDEX(Grids!$C$12:$BO$111,$N117,$O117),"-")))</f>
        <v/>
      </c>
      <c r="F117" s="22">
        <f>IF($L117="","",INDEX(HSI!$F$7:$F$106,$N117))</f>
        <v/>
      </c>
      <c r="G117" s="123">
        <f>IF($L117="","",IF($P117=0,"TBA",IFERROR(INDEX(Grids!$BQ$12:$EC$111,$N117,$O117),"-")))</f>
        <v/>
      </c>
      <c r="H117" s="124">
        <f>IF($L117="","",SUM($G$10:$G117))</f>
        <v/>
      </c>
      <c r="I117" s="45">
        <f>IF($L117="","",IF(INT(($L117-INT($L117/10000000)*10000000)/1000000)=0,"Bloomberg projection",IF($P117=1,"ANNOUNCED","ANNOUNCED - amount TBA")))</f>
        <v/>
      </c>
      <c r="J117" s="46">
        <f>IF($L117="","",IF((OV_SWITCH="ON")*(COUNTIFS(OVR_TICKERS,INDEX(HSI!$C$7:$C$106,$N117),OVR_BASE,"&gt;=0")&gt;0)&gt;0,"stock overridden",""))</f>
        <v/>
      </c>
      <c r="L117" s="121">
        <f>IFERROR(IF(SMALL(Grids!$EE$12:$GQ$111,$M$7+108)&gt;=PEND_TO,"",SMALL(Grids!$EE$12:$GQ$111,$M$7+108)),"")</f>
        <v/>
      </c>
      <c r="M117" s="121">
        <f>IF($L117="","",INT($L117/1000000000))</f>
        <v/>
      </c>
      <c r="N117" s="121">
        <f>IF($L117="","",INT(($L117-INT($L117/1000000)*1000000)/1000))</f>
        <v/>
      </c>
      <c r="O117" s="121">
        <f>IF($L117="","",$L117-INT($L117/1000)*1000)</f>
        <v/>
      </c>
      <c r="P117" s="121">
        <f>IF($L117="","",INT(($L117-INT($L117/1000000000)*1000000000)/100000000))</f>
        <v/>
      </c>
    </row>
    <row r="118">
      <c r="B118" s="122">
        <f>IF($L118="","",$M118)</f>
        <v/>
      </c>
      <c r="C118" s="22">
        <f>IF($L118="","",INDEX(HSI!$C$7:$C$106,$N118))</f>
        <v/>
      </c>
      <c r="D118" s="22">
        <f>IF($L118="","",INDEX(HSI!$D$7:$D$106,$N118))</f>
        <v/>
      </c>
      <c r="E118" s="123">
        <f>IF($L118="","",IF($P118=0,"TBA",IFERROR(INDEX(Grids!$C$12:$BO$111,$N118,$O118),"-")))</f>
        <v/>
      </c>
      <c r="F118" s="22">
        <f>IF($L118="","",INDEX(HSI!$F$7:$F$106,$N118))</f>
        <v/>
      </c>
      <c r="G118" s="123">
        <f>IF($L118="","",IF($P118=0,"TBA",IFERROR(INDEX(Grids!$BQ$12:$EC$111,$N118,$O118),"-")))</f>
        <v/>
      </c>
      <c r="H118" s="124">
        <f>IF($L118="","",SUM($G$10:$G118))</f>
        <v/>
      </c>
      <c r="I118" s="45">
        <f>IF($L118="","",IF(INT(($L118-INT($L118/10000000)*10000000)/1000000)=0,"Bloomberg projection",IF($P118=1,"ANNOUNCED","ANNOUNCED - amount TBA")))</f>
        <v/>
      </c>
      <c r="J118" s="46">
        <f>IF($L118="","",IF((OV_SWITCH="ON")*(COUNTIFS(OVR_TICKERS,INDEX(HSI!$C$7:$C$106,$N118),OVR_BASE,"&gt;=0")&gt;0)&gt;0,"stock overridden",""))</f>
        <v/>
      </c>
      <c r="L118" s="121">
        <f>IFERROR(IF(SMALL(Grids!$EE$12:$GQ$111,$M$7+109)&gt;=PEND_TO,"",SMALL(Grids!$EE$12:$GQ$111,$M$7+109)),"")</f>
        <v/>
      </c>
      <c r="M118" s="121">
        <f>IF($L118="","",INT($L118/1000000000))</f>
        <v/>
      </c>
      <c r="N118" s="121">
        <f>IF($L118="","",INT(($L118-INT($L118/1000000)*1000000)/1000))</f>
        <v/>
      </c>
      <c r="O118" s="121">
        <f>IF($L118="","",$L118-INT($L118/1000)*1000)</f>
        <v/>
      </c>
      <c r="P118" s="121">
        <f>IF($L118="","",INT(($L118-INT($L118/1000000000)*1000000000)/100000000))</f>
        <v/>
      </c>
    </row>
    <row r="119">
      <c r="B119" s="122">
        <f>IF($L119="","",$M119)</f>
        <v/>
      </c>
      <c r="C119" s="22">
        <f>IF($L119="","",INDEX(HSI!$C$7:$C$106,$N119))</f>
        <v/>
      </c>
      <c r="D119" s="22">
        <f>IF($L119="","",INDEX(HSI!$D$7:$D$106,$N119))</f>
        <v/>
      </c>
      <c r="E119" s="123">
        <f>IF($L119="","",IF($P119=0,"TBA",IFERROR(INDEX(Grids!$C$12:$BO$111,$N119,$O119),"-")))</f>
        <v/>
      </c>
      <c r="F119" s="22">
        <f>IF($L119="","",INDEX(HSI!$F$7:$F$106,$N119))</f>
        <v/>
      </c>
      <c r="G119" s="123">
        <f>IF($L119="","",IF($P119=0,"TBA",IFERROR(INDEX(Grids!$BQ$12:$EC$111,$N119,$O119),"-")))</f>
        <v/>
      </c>
      <c r="H119" s="124">
        <f>IF($L119="","",SUM($G$10:$G119))</f>
        <v/>
      </c>
      <c r="I119" s="45">
        <f>IF($L119="","",IF(INT(($L119-INT($L119/10000000)*10000000)/1000000)=0,"Bloomberg projection",IF($P119=1,"ANNOUNCED","ANNOUNCED - amount TBA")))</f>
        <v/>
      </c>
      <c r="J119" s="46">
        <f>IF($L119="","",IF((OV_SWITCH="ON")*(COUNTIFS(OVR_TICKERS,INDEX(HSI!$C$7:$C$106,$N119),OVR_BASE,"&gt;=0")&gt;0)&gt;0,"stock overridden",""))</f>
        <v/>
      </c>
      <c r="L119" s="121">
        <f>IFERROR(IF(SMALL(Grids!$EE$12:$GQ$111,$M$7+110)&gt;=PEND_TO,"",SMALL(Grids!$EE$12:$GQ$111,$M$7+110)),"")</f>
        <v/>
      </c>
      <c r="M119" s="121">
        <f>IF($L119="","",INT($L119/1000000000))</f>
        <v/>
      </c>
      <c r="N119" s="121">
        <f>IF($L119="","",INT(($L119-INT($L119/1000000)*1000000)/1000))</f>
        <v/>
      </c>
      <c r="O119" s="121">
        <f>IF($L119="","",$L119-INT($L119/1000)*1000)</f>
        <v/>
      </c>
      <c r="P119" s="121">
        <f>IF($L119="","",INT(($L119-INT($L119/1000000000)*1000000000)/100000000))</f>
        <v/>
      </c>
    </row>
    <row r="120">
      <c r="B120" s="122">
        <f>IF($L120="","",$M120)</f>
        <v/>
      </c>
      <c r="C120" s="22">
        <f>IF($L120="","",INDEX(HSI!$C$7:$C$106,$N120))</f>
        <v/>
      </c>
      <c r="D120" s="22">
        <f>IF($L120="","",INDEX(HSI!$D$7:$D$106,$N120))</f>
        <v/>
      </c>
      <c r="E120" s="123">
        <f>IF($L120="","",IF($P120=0,"TBA",IFERROR(INDEX(Grids!$C$12:$BO$111,$N120,$O120),"-")))</f>
        <v/>
      </c>
      <c r="F120" s="22">
        <f>IF($L120="","",INDEX(HSI!$F$7:$F$106,$N120))</f>
        <v/>
      </c>
      <c r="G120" s="123">
        <f>IF($L120="","",IF($P120=0,"TBA",IFERROR(INDEX(Grids!$BQ$12:$EC$111,$N120,$O120),"-")))</f>
        <v/>
      </c>
      <c r="H120" s="124">
        <f>IF($L120="","",SUM($G$10:$G120))</f>
        <v/>
      </c>
      <c r="I120" s="45">
        <f>IF($L120="","",IF(INT(($L120-INT($L120/10000000)*10000000)/1000000)=0,"Bloomberg projection",IF($P120=1,"ANNOUNCED","ANNOUNCED - amount TBA")))</f>
        <v/>
      </c>
      <c r="J120" s="46">
        <f>IF($L120="","",IF((OV_SWITCH="ON")*(COUNTIFS(OVR_TICKERS,INDEX(HSI!$C$7:$C$106,$N120),OVR_BASE,"&gt;=0")&gt;0)&gt;0,"stock overridden",""))</f>
        <v/>
      </c>
      <c r="L120" s="121">
        <f>IFERROR(IF(SMALL(Grids!$EE$12:$GQ$111,$M$7+111)&gt;=PEND_TO,"",SMALL(Grids!$EE$12:$GQ$111,$M$7+111)),"")</f>
        <v/>
      </c>
      <c r="M120" s="121">
        <f>IF($L120="","",INT($L120/1000000000))</f>
        <v/>
      </c>
      <c r="N120" s="121">
        <f>IF($L120="","",INT(($L120-INT($L120/1000000)*1000000)/1000))</f>
        <v/>
      </c>
      <c r="O120" s="121">
        <f>IF($L120="","",$L120-INT($L120/1000)*1000)</f>
        <v/>
      </c>
      <c r="P120" s="121">
        <f>IF($L120="","",INT(($L120-INT($L120/1000000000)*1000000000)/100000000))</f>
        <v/>
      </c>
    </row>
    <row r="121">
      <c r="B121" s="122">
        <f>IF($L121="","",$M121)</f>
        <v/>
      </c>
      <c r="C121" s="22">
        <f>IF($L121="","",INDEX(HSI!$C$7:$C$106,$N121))</f>
        <v/>
      </c>
      <c r="D121" s="22">
        <f>IF($L121="","",INDEX(HSI!$D$7:$D$106,$N121))</f>
        <v/>
      </c>
      <c r="E121" s="123">
        <f>IF($L121="","",IF($P121=0,"TBA",IFERROR(INDEX(Grids!$C$12:$BO$111,$N121,$O121),"-")))</f>
        <v/>
      </c>
      <c r="F121" s="22">
        <f>IF($L121="","",INDEX(HSI!$F$7:$F$106,$N121))</f>
        <v/>
      </c>
      <c r="G121" s="123">
        <f>IF($L121="","",IF($P121=0,"TBA",IFERROR(INDEX(Grids!$BQ$12:$EC$111,$N121,$O121),"-")))</f>
        <v/>
      </c>
      <c r="H121" s="124">
        <f>IF($L121="","",SUM($G$10:$G121))</f>
        <v/>
      </c>
      <c r="I121" s="45">
        <f>IF($L121="","",IF(INT(($L121-INT($L121/10000000)*10000000)/1000000)=0,"Bloomberg projection",IF($P121=1,"ANNOUNCED","ANNOUNCED - amount TBA")))</f>
        <v/>
      </c>
      <c r="J121" s="46">
        <f>IF($L121="","",IF((OV_SWITCH="ON")*(COUNTIFS(OVR_TICKERS,INDEX(HSI!$C$7:$C$106,$N121),OVR_BASE,"&gt;=0")&gt;0)&gt;0,"stock overridden",""))</f>
        <v/>
      </c>
      <c r="L121" s="121">
        <f>IFERROR(IF(SMALL(Grids!$EE$12:$GQ$111,$M$7+112)&gt;=PEND_TO,"",SMALL(Grids!$EE$12:$GQ$111,$M$7+112)),"")</f>
        <v/>
      </c>
      <c r="M121" s="121">
        <f>IF($L121="","",INT($L121/1000000000))</f>
        <v/>
      </c>
      <c r="N121" s="121">
        <f>IF($L121="","",INT(($L121-INT($L121/1000000)*1000000)/1000))</f>
        <v/>
      </c>
      <c r="O121" s="121">
        <f>IF($L121="","",$L121-INT($L121/1000)*1000)</f>
        <v/>
      </c>
      <c r="P121" s="121">
        <f>IF($L121="","",INT(($L121-INT($L121/1000000000)*1000000000)/100000000))</f>
        <v/>
      </c>
    </row>
    <row r="122">
      <c r="B122" s="122">
        <f>IF($L122="","",$M122)</f>
        <v/>
      </c>
      <c r="C122" s="22">
        <f>IF($L122="","",INDEX(HSI!$C$7:$C$106,$N122))</f>
        <v/>
      </c>
      <c r="D122" s="22">
        <f>IF($L122="","",INDEX(HSI!$D$7:$D$106,$N122))</f>
        <v/>
      </c>
      <c r="E122" s="123">
        <f>IF($L122="","",IF($P122=0,"TBA",IFERROR(INDEX(Grids!$C$12:$BO$111,$N122,$O122),"-")))</f>
        <v/>
      </c>
      <c r="F122" s="22">
        <f>IF($L122="","",INDEX(HSI!$F$7:$F$106,$N122))</f>
        <v/>
      </c>
      <c r="G122" s="123">
        <f>IF($L122="","",IF($P122=0,"TBA",IFERROR(INDEX(Grids!$BQ$12:$EC$111,$N122,$O122),"-")))</f>
        <v/>
      </c>
      <c r="H122" s="124">
        <f>IF($L122="","",SUM($G$10:$G122))</f>
        <v/>
      </c>
      <c r="I122" s="45">
        <f>IF($L122="","",IF(INT(($L122-INT($L122/10000000)*10000000)/1000000)=0,"Bloomberg projection",IF($P122=1,"ANNOUNCED","ANNOUNCED - amount TBA")))</f>
        <v/>
      </c>
      <c r="J122" s="46">
        <f>IF($L122="","",IF((OV_SWITCH="ON")*(COUNTIFS(OVR_TICKERS,INDEX(HSI!$C$7:$C$106,$N122),OVR_BASE,"&gt;=0")&gt;0)&gt;0,"stock overridden",""))</f>
        <v/>
      </c>
      <c r="L122" s="121">
        <f>IFERROR(IF(SMALL(Grids!$EE$12:$GQ$111,$M$7+113)&gt;=PEND_TO,"",SMALL(Grids!$EE$12:$GQ$111,$M$7+113)),"")</f>
        <v/>
      </c>
      <c r="M122" s="121">
        <f>IF($L122="","",INT($L122/1000000000))</f>
        <v/>
      </c>
      <c r="N122" s="121">
        <f>IF($L122="","",INT(($L122-INT($L122/1000000)*1000000)/1000))</f>
        <v/>
      </c>
      <c r="O122" s="121">
        <f>IF($L122="","",$L122-INT($L122/1000)*1000)</f>
        <v/>
      </c>
      <c r="P122" s="121">
        <f>IF($L122="","",INT(($L122-INT($L122/1000000000)*1000000000)/100000000))</f>
        <v/>
      </c>
    </row>
    <row r="123">
      <c r="B123" s="122">
        <f>IF($L123="","",$M123)</f>
        <v/>
      </c>
      <c r="C123" s="22">
        <f>IF($L123="","",INDEX(HSI!$C$7:$C$106,$N123))</f>
        <v/>
      </c>
      <c r="D123" s="22">
        <f>IF($L123="","",INDEX(HSI!$D$7:$D$106,$N123))</f>
        <v/>
      </c>
      <c r="E123" s="123">
        <f>IF($L123="","",IF($P123=0,"TBA",IFERROR(INDEX(Grids!$C$12:$BO$111,$N123,$O123),"-")))</f>
        <v/>
      </c>
      <c r="F123" s="22">
        <f>IF($L123="","",INDEX(HSI!$F$7:$F$106,$N123))</f>
        <v/>
      </c>
      <c r="G123" s="123">
        <f>IF($L123="","",IF($P123=0,"TBA",IFERROR(INDEX(Grids!$BQ$12:$EC$111,$N123,$O123),"-")))</f>
        <v/>
      </c>
      <c r="H123" s="124">
        <f>IF($L123="","",SUM($G$10:$G123))</f>
        <v/>
      </c>
      <c r="I123" s="45">
        <f>IF($L123="","",IF(INT(($L123-INT($L123/10000000)*10000000)/1000000)=0,"Bloomberg projection",IF($P123=1,"ANNOUNCED","ANNOUNCED - amount TBA")))</f>
        <v/>
      </c>
      <c r="J123" s="46">
        <f>IF($L123="","",IF((OV_SWITCH="ON")*(COUNTIFS(OVR_TICKERS,INDEX(HSI!$C$7:$C$106,$N123),OVR_BASE,"&gt;=0")&gt;0)&gt;0,"stock overridden",""))</f>
        <v/>
      </c>
      <c r="L123" s="121">
        <f>IFERROR(IF(SMALL(Grids!$EE$12:$GQ$111,$M$7+114)&gt;=PEND_TO,"",SMALL(Grids!$EE$12:$GQ$111,$M$7+114)),"")</f>
        <v/>
      </c>
      <c r="M123" s="121">
        <f>IF($L123="","",INT($L123/1000000000))</f>
        <v/>
      </c>
      <c r="N123" s="121">
        <f>IF($L123="","",INT(($L123-INT($L123/1000000)*1000000)/1000))</f>
        <v/>
      </c>
      <c r="O123" s="121">
        <f>IF($L123="","",$L123-INT($L123/1000)*1000)</f>
        <v/>
      </c>
      <c r="P123" s="121">
        <f>IF($L123="","",INT(($L123-INT($L123/1000000000)*1000000000)/100000000))</f>
        <v/>
      </c>
    </row>
    <row r="124">
      <c r="B124" s="122">
        <f>IF($L124="","",$M124)</f>
        <v/>
      </c>
      <c r="C124" s="22">
        <f>IF($L124="","",INDEX(HSI!$C$7:$C$106,$N124))</f>
        <v/>
      </c>
      <c r="D124" s="22">
        <f>IF($L124="","",INDEX(HSI!$D$7:$D$106,$N124))</f>
        <v/>
      </c>
      <c r="E124" s="123">
        <f>IF($L124="","",IF($P124=0,"TBA",IFERROR(INDEX(Grids!$C$12:$BO$111,$N124,$O124),"-")))</f>
        <v/>
      </c>
      <c r="F124" s="22">
        <f>IF($L124="","",INDEX(HSI!$F$7:$F$106,$N124))</f>
        <v/>
      </c>
      <c r="G124" s="123">
        <f>IF($L124="","",IF($P124=0,"TBA",IFERROR(INDEX(Grids!$BQ$12:$EC$111,$N124,$O124),"-")))</f>
        <v/>
      </c>
      <c r="H124" s="124">
        <f>IF($L124="","",SUM($G$10:$G124))</f>
        <v/>
      </c>
      <c r="I124" s="45">
        <f>IF($L124="","",IF(INT(($L124-INT($L124/10000000)*10000000)/1000000)=0,"Bloomberg projection",IF($P124=1,"ANNOUNCED","ANNOUNCED - amount TBA")))</f>
        <v/>
      </c>
      <c r="J124" s="46">
        <f>IF($L124="","",IF((OV_SWITCH="ON")*(COUNTIFS(OVR_TICKERS,INDEX(HSI!$C$7:$C$106,$N124),OVR_BASE,"&gt;=0")&gt;0)&gt;0,"stock overridden",""))</f>
        <v/>
      </c>
      <c r="L124" s="121">
        <f>IFERROR(IF(SMALL(Grids!$EE$12:$GQ$111,$M$7+115)&gt;=PEND_TO,"",SMALL(Grids!$EE$12:$GQ$111,$M$7+115)),"")</f>
        <v/>
      </c>
      <c r="M124" s="121">
        <f>IF($L124="","",INT($L124/1000000000))</f>
        <v/>
      </c>
      <c r="N124" s="121">
        <f>IF($L124="","",INT(($L124-INT($L124/1000000)*1000000)/1000))</f>
        <v/>
      </c>
      <c r="O124" s="121">
        <f>IF($L124="","",$L124-INT($L124/1000)*1000)</f>
        <v/>
      </c>
      <c r="P124" s="121">
        <f>IF($L124="","",INT(($L124-INT($L124/1000000000)*1000000000)/100000000))</f>
        <v/>
      </c>
    </row>
    <row r="125">
      <c r="B125" s="122">
        <f>IF($L125="","",$M125)</f>
        <v/>
      </c>
      <c r="C125" s="22">
        <f>IF($L125="","",INDEX(HSI!$C$7:$C$106,$N125))</f>
        <v/>
      </c>
      <c r="D125" s="22">
        <f>IF($L125="","",INDEX(HSI!$D$7:$D$106,$N125))</f>
        <v/>
      </c>
      <c r="E125" s="123">
        <f>IF($L125="","",IF($P125=0,"TBA",IFERROR(INDEX(Grids!$C$12:$BO$111,$N125,$O125),"-")))</f>
        <v/>
      </c>
      <c r="F125" s="22">
        <f>IF($L125="","",INDEX(HSI!$F$7:$F$106,$N125))</f>
        <v/>
      </c>
      <c r="G125" s="123">
        <f>IF($L125="","",IF($P125=0,"TBA",IFERROR(INDEX(Grids!$BQ$12:$EC$111,$N125,$O125),"-")))</f>
        <v/>
      </c>
      <c r="H125" s="124">
        <f>IF($L125="","",SUM($G$10:$G125))</f>
        <v/>
      </c>
      <c r="I125" s="45">
        <f>IF($L125="","",IF(INT(($L125-INT($L125/10000000)*10000000)/1000000)=0,"Bloomberg projection",IF($P125=1,"ANNOUNCED","ANNOUNCED - amount TBA")))</f>
        <v/>
      </c>
      <c r="J125" s="46">
        <f>IF($L125="","",IF((OV_SWITCH="ON")*(COUNTIFS(OVR_TICKERS,INDEX(HSI!$C$7:$C$106,$N125),OVR_BASE,"&gt;=0")&gt;0)&gt;0,"stock overridden",""))</f>
        <v/>
      </c>
      <c r="L125" s="121">
        <f>IFERROR(IF(SMALL(Grids!$EE$12:$GQ$111,$M$7+116)&gt;=PEND_TO,"",SMALL(Grids!$EE$12:$GQ$111,$M$7+116)),"")</f>
        <v/>
      </c>
      <c r="M125" s="121">
        <f>IF($L125="","",INT($L125/1000000000))</f>
        <v/>
      </c>
      <c r="N125" s="121">
        <f>IF($L125="","",INT(($L125-INT($L125/1000000)*1000000)/1000))</f>
        <v/>
      </c>
      <c r="O125" s="121">
        <f>IF($L125="","",$L125-INT($L125/1000)*1000)</f>
        <v/>
      </c>
      <c r="P125" s="121">
        <f>IF($L125="","",INT(($L125-INT($L125/1000000000)*1000000000)/100000000))</f>
        <v/>
      </c>
    </row>
    <row r="126">
      <c r="B126" s="122">
        <f>IF($L126="","",$M126)</f>
        <v/>
      </c>
      <c r="C126" s="22">
        <f>IF($L126="","",INDEX(HSI!$C$7:$C$106,$N126))</f>
        <v/>
      </c>
      <c r="D126" s="22">
        <f>IF($L126="","",INDEX(HSI!$D$7:$D$106,$N126))</f>
        <v/>
      </c>
      <c r="E126" s="123">
        <f>IF($L126="","",IF($P126=0,"TBA",IFERROR(INDEX(Grids!$C$12:$BO$111,$N126,$O126),"-")))</f>
        <v/>
      </c>
      <c r="F126" s="22">
        <f>IF($L126="","",INDEX(HSI!$F$7:$F$106,$N126))</f>
        <v/>
      </c>
      <c r="G126" s="123">
        <f>IF($L126="","",IF($P126=0,"TBA",IFERROR(INDEX(Grids!$BQ$12:$EC$111,$N126,$O126),"-")))</f>
        <v/>
      </c>
      <c r="H126" s="124">
        <f>IF($L126="","",SUM($G$10:$G126))</f>
        <v/>
      </c>
      <c r="I126" s="45">
        <f>IF($L126="","",IF(INT(($L126-INT($L126/10000000)*10000000)/1000000)=0,"Bloomberg projection",IF($P126=1,"ANNOUNCED","ANNOUNCED - amount TBA")))</f>
        <v/>
      </c>
      <c r="J126" s="46">
        <f>IF($L126="","",IF((OV_SWITCH="ON")*(COUNTIFS(OVR_TICKERS,INDEX(HSI!$C$7:$C$106,$N126),OVR_BASE,"&gt;=0")&gt;0)&gt;0,"stock overridden",""))</f>
        <v/>
      </c>
      <c r="L126" s="121">
        <f>IFERROR(IF(SMALL(Grids!$EE$12:$GQ$111,$M$7+117)&gt;=PEND_TO,"",SMALL(Grids!$EE$12:$GQ$111,$M$7+117)),"")</f>
        <v/>
      </c>
      <c r="M126" s="121">
        <f>IF($L126="","",INT($L126/1000000000))</f>
        <v/>
      </c>
      <c r="N126" s="121">
        <f>IF($L126="","",INT(($L126-INT($L126/1000000)*1000000)/1000))</f>
        <v/>
      </c>
      <c r="O126" s="121">
        <f>IF($L126="","",$L126-INT($L126/1000)*1000)</f>
        <v/>
      </c>
      <c r="P126" s="121">
        <f>IF($L126="","",INT(($L126-INT($L126/1000000000)*1000000000)/100000000))</f>
        <v/>
      </c>
    </row>
    <row r="127">
      <c r="B127" s="122">
        <f>IF($L127="","",$M127)</f>
        <v/>
      </c>
      <c r="C127" s="22">
        <f>IF($L127="","",INDEX(HSI!$C$7:$C$106,$N127))</f>
        <v/>
      </c>
      <c r="D127" s="22">
        <f>IF($L127="","",INDEX(HSI!$D$7:$D$106,$N127))</f>
        <v/>
      </c>
      <c r="E127" s="123">
        <f>IF($L127="","",IF($P127=0,"TBA",IFERROR(INDEX(Grids!$C$12:$BO$111,$N127,$O127),"-")))</f>
        <v/>
      </c>
      <c r="F127" s="22">
        <f>IF($L127="","",INDEX(HSI!$F$7:$F$106,$N127))</f>
        <v/>
      </c>
      <c r="G127" s="123">
        <f>IF($L127="","",IF($P127=0,"TBA",IFERROR(INDEX(Grids!$BQ$12:$EC$111,$N127,$O127),"-")))</f>
        <v/>
      </c>
      <c r="H127" s="124">
        <f>IF($L127="","",SUM($G$10:$G127))</f>
        <v/>
      </c>
      <c r="I127" s="45">
        <f>IF($L127="","",IF(INT(($L127-INT($L127/10000000)*10000000)/1000000)=0,"Bloomberg projection",IF($P127=1,"ANNOUNCED","ANNOUNCED - amount TBA")))</f>
        <v/>
      </c>
      <c r="J127" s="46">
        <f>IF($L127="","",IF((OV_SWITCH="ON")*(COUNTIFS(OVR_TICKERS,INDEX(HSI!$C$7:$C$106,$N127),OVR_BASE,"&gt;=0")&gt;0)&gt;0,"stock overridden",""))</f>
        <v/>
      </c>
      <c r="L127" s="121">
        <f>IFERROR(IF(SMALL(Grids!$EE$12:$GQ$111,$M$7+118)&gt;=PEND_TO,"",SMALL(Grids!$EE$12:$GQ$111,$M$7+118)),"")</f>
        <v/>
      </c>
      <c r="M127" s="121">
        <f>IF($L127="","",INT($L127/1000000000))</f>
        <v/>
      </c>
      <c r="N127" s="121">
        <f>IF($L127="","",INT(($L127-INT($L127/1000000)*1000000)/1000))</f>
        <v/>
      </c>
      <c r="O127" s="121">
        <f>IF($L127="","",$L127-INT($L127/1000)*1000)</f>
        <v/>
      </c>
      <c r="P127" s="121">
        <f>IF($L127="","",INT(($L127-INT($L127/1000000000)*1000000000)/100000000))</f>
        <v/>
      </c>
    </row>
    <row r="128">
      <c r="B128" s="122">
        <f>IF($L128="","",$M128)</f>
        <v/>
      </c>
      <c r="C128" s="22">
        <f>IF($L128="","",INDEX(HSI!$C$7:$C$106,$N128))</f>
        <v/>
      </c>
      <c r="D128" s="22">
        <f>IF($L128="","",INDEX(HSI!$D$7:$D$106,$N128))</f>
        <v/>
      </c>
      <c r="E128" s="123">
        <f>IF($L128="","",IF($P128=0,"TBA",IFERROR(INDEX(Grids!$C$12:$BO$111,$N128,$O128),"-")))</f>
        <v/>
      </c>
      <c r="F128" s="22">
        <f>IF($L128="","",INDEX(HSI!$F$7:$F$106,$N128))</f>
        <v/>
      </c>
      <c r="G128" s="123">
        <f>IF($L128="","",IF($P128=0,"TBA",IFERROR(INDEX(Grids!$BQ$12:$EC$111,$N128,$O128),"-")))</f>
        <v/>
      </c>
      <c r="H128" s="124">
        <f>IF($L128="","",SUM($G$10:$G128))</f>
        <v/>
      </c>
      <c r="I128" s="45">
        <f>IF($L128="","",IF(INT(($L128-INT($L128/10000000)*10000000)/1000000)=0,"Bloomberg projection",IF($P128=1,"ANNOUNCED","ANNOUNCED - amount TBA")))</f>
        <v/>
      </c>
      <c r="J128" s="46">
        <f>IF($L128="","",IF((OV_SWITCH="ON")*(COUNTIFS(OVR_TICKERS,INDEX(HSI!$C$7:$C$106,$N128),OVR_BASE,"&gt;=0")&gt;0)&gt;0,"stock overridden",""))</f>
        <v/>
      </c>
      <c r="L128" s="121">
        <f>IFERROR(IF(SMALL(Grids!$EE$12:$GQ$111,$M$7+119)&gt;=PEND_TO,"",SMALL(Grids!$EE$12:$GQ$111,$M$7+119)),"")</f>
        <v/>
      </c>
      <c r="M128" s="121">
        <f>IF($L128="","",INT($L128/1000000000))</f>
        <v/>
      </c>
      <c r="N128" s="121">
        <f>IF($L128="","",INT(($L128-INT($L128/1000000)*1000000)/1000))</f>
        <v/>
      </c>
      <c r="O128" s="121">
        <f>IF($L128="","",$L128-INT($L128/1000)*1000)</f>
        <v/>
      </c>
      <c r="P128" s="121">
        <f>IF($L128="","",INT(($L128-INT($L128/1000000000)*1000000000)/100000000))</f>
        <v/>
      </c>
    </row>
    <row r="129">
      <c r="B129" s="122">
        <f>IF($L129="","",$M129)</f>
        <v/>
      </c>
      <c r="C129" s="22">
        <f>IF($L129="","",INDEX(HSI!$C$7:$C$106,$N129))</f>
        <v/>
      </c>
      <c r="D129" s="22">
        <f>IF($L129="","",INDEX(HSI!$D$7:$D$106,$N129))</f>
        <v/>
      </c>
      <c r="E129" s="123">
        <f>IF($L129="","",IF($P129=0,"TBA",IFERROR(INDEX(Grids!$C$12:$BO$111,$N129,$O129),"-")))</f>
        <v/>
      </c>
      <c r="F129" s="22">
        <f>IF($L129="","",INDEX(HSI!$F$7:$F$106,$N129))</f>
        <v/>
      </c>
      <c r="G129" s="123">
        <f>IF($L129="","",IF($P129=0,"TBA",IFERROR(INDEX(Grids!$BQ$12:$EC$111,$N129,$O129),"-")))</f>
        <v/>
      </c>
      <c r="H129" s="124">
        <f>IF($L129="","",SUM($G$10:$G129))</f>
        <v/>
      </c>
      <c r="I129" s="45">
        <f>IF($L129="","",IF(INT(($L129-INT($L129/10000000)*10000000)/1000000)=0,"Bloomberg projection",IF($P129=1,"ANNOUNCED","ANNOUNCED - amount TBA")))</f>
        <v/>
      </c>
      <c r="J129" s="46">
        <f>IF($L129="","",IF((OV_SWITCH="ON")*(COUNTIFS(OVR_TICKERS,INDEX(HSI!$C$7:$C$106,$N129),OVR_BASE,"&gt;=0")&gt;0)&gt;0,"stock overridden",""))</f>
        <v/>
      </c>
      <c r="L129" s="121">
        <f>IFERROR(IF(SMALL(Grids!$EE$12:$GQ$111,$M$7+120)&gt;=PEND_TO,"",SMALL(Grids!$EE$12:$GQ$111,$M$7+120)),"")</f>
        <v/>
      </c>
      <c r="M129" s="121">
        <f>IF($L129="","",INT($L129/1000000000))</f>
        <v/>
      </c>
      <c r="N129" s="121">
        <f>IF($L129="","",INT(($L129-INT($L129/1000000)*1000000)/1000))</f>
        <v/>
      </c>
      <c r="O129" s="121">
        <f>IF($L129="","",$L129-INT($L129/1000)*1000)</f>
        <v/>
      </c>
      <c r="P129" s="121">
        <f>IF($L129="","",INT(($L129-INT($L129/1000000000)*1000000000)/100000000))</f>
        <v/>
      </c>
    </row>
    <row r="130">
      <c r="B130" s="122">
        <f>IF($L130="","",$M130)</f>
        <v/>
      </c>
      <c r="C130" s="22">
        <f>IF($L130="","",INDEX(HSI!$C$7:$C$106,$N130))</f>
        <v/>
      </c>
      <c r="D130" s="22">
        <f>IF($L130="","",INDEX(HSI!$D$7:$D$106,$N130))</f>
        <v/>
      </c>
      <c r="E130" s="123">
        <f>IF($L130="","",IF($P130=0,"TBA",IFERROR(INDEX(Grids!$C$12:$BO$111,$N130,$O130),"-")))</f>
        <v/>
      </c>
      <c r="F130" s="22">
        <f>IF($L130="","",INDEX(HSI!$F$7:$F$106,$N130))</f>
        <v/>
      </c>
      <c r="G130" s="123">
        <f>IF($L130="","",IF($P130=0,"TBA",IFERROR(INDEX(Grids!$BQ$12:$EC$111,$N130,$O130),"-")))</f>
        <v/>
      </c>
      <c r="H130" s="124">
        <f>IF($L130="","",SUM($G$10:$G130))</f>
        <v/>
      </c>
      <c r="I130" s="45">
        <f>IF($L130="","",IF(INT(($L130-INT($L130/10000000)*10000000)/1000000)=0,"Bloomberg projection",IF($P130=1,"ANNOUNCED","ANNOUNCED - amount TBA")))</f>
        <v/>
      </c>
      <c r="J130" s="46">
        <f>IF($L130="","",IF((OV_SWITCH="ON")*(COUNTIFS(OVR_TICKERS,INDEX(HSI!$C$7:$C$106,$N130),OVR_BASE,"&gt;=0")&gt;0)&gt;0,"stock overridden",""))</f>
        <v/>
      </c>
      <c r="L130" s="121">
        <f>IFERROR(IF(SMALL(Grids!$EE$12:$GQ$111,$M$7+121)&gt;=PEND_TO,"",SMALL(Grids!$EE$12:$GQ$111,$M$7+121)),"")</f>
        <v/>
      </c>
      <c r="M130" s="121">
        <f>IF($L130="","",INT($L130/1000000000))</f>
        <v/>
      </c>
      <c r="N130" s="121">
        <f>IF($L130="","",INT(($L130-INT($L130/1000000)*1000000)/1000))</f>
        <v/>
      </c>
      <c r="O130" s="121">
        <f>IF($L130="","",$L130-INT($L130/1000)*1000)</f>
        <v/>
      </c>
      <c r="P130" s="121">
        <f>IF($L130="","",INT(($L130-INT($L130/1000000000)*1000000000)/100000000))</f>
        <v/>
      </c>
    </row>
    <row r="131">
      <c r="B131" s="122">
        <f>IF($L131="","",$M131)</f>
        <v/>
      </c>
      <c r="C131" s="22">
        <f>IF($L131="","",INDEX(HSI!$C$7:$C$106,$N131))</f>
        <v/>
      </c>
      <c r="D131" s="22">
        <f>IF($L131="","",INDEX(HSI!$D$7:$D$106,$N131))</f>
        <v/>
      </c>
      <c r="E131" s="123">
        <f>IF($L131="","",IF($P131=0,"TBA",IFERROR(INDEX(Grids!$C$12:$BO$111,$N131,$O131),"-")))</f>
        <v/>
      </c>
      <c r="F131" s="22">
        <f>IF($L131="","",INDEX(HSI!$F$7:$F$106,$N131))</f>
        <v/>
      </c>
      <c r="G131" s="123">
        <f>IF($L131="","",IF($P131=0,"TBA",IFERROR(INDEX(Grids!$BQ$12:$EC$111,$N131,$O131),"-")))</f>
        <v/>
      </c>
      <c r="H131" s="124">
        <f>IF($L131="","",SUM($G$10:$G131))</f>
        <v/>
      </c>
      <c r="I131" s="45">
        <f>IF($L131="","",IF(INT(($L131-INT($L131/10000000)*10000000)/1000000)=0,"Bloomberg projection",IF($P131=1,"ANNOUNCED","ANNOUNCED - amount TBA")))</f>
        <v/>
      </c>
      <c r="J131" s="46">
        <f>IF($L131="","",IF((OV_SWITCH="ON")*(COUNTIFS(OVR_TICKERS,INDEX(HSI!$C$7:$C$106,$N131),OVR_BASE,"&gt;=0")&gt;0)&gt;0,"stock overridden",""))</f>
        <v/>
      </c>
      <c r="L131" s="121">
        <f>IFERROR(IF(SMALL(Grids!$EE$12:$GQ$111,$M$7+122)&gt;=PEND_TO,"",SMALL(Grids!$EE$12:$GQ$111,$M$7+122)),"")</f>
        <v/>
      </c>
      <c r="M131" s="121">
        <f>IF($L131="","",INT($L131/1000000000))</f>
        <v/>
      </c>
      <c r="N131" s="121">
        <f>IF($L131="","",INT(($L131-INT($L131/1000000)*1000000)/1000))</f>
        <v/>
      </c>
      <c r="O131" s="121">
        <f>IF($L131="","",$L131-INT($L131/1000)*1000)</f>
        <v/>
      </c>
      <c r="P131" s="121">
        <f>IF($L131="","",INT(($L131-INT($L131/1000000000)*1000000000)/100000000))</f>
        <v/>
      </c>
    </row>
    <row r="132">
      <c r="B132" s="122">
        <f>IF($L132="","",$M132)</f>
        <v/>
      </c>
      <c r="C132" s="22">
        <f>IF($L132="","",INDEX(HSI!$C$7:$C$106,$N132))</f>
        <v/>
      </c>
      <c r="D132" s="22">
        <f>IF($L132="","",INDEX(HSI!$D$7:$D$106,$N132))</f>
        <v/>
      </c>
      <c r="E132" s="123">
        <f>IF($L132="","",IF($P132=0,"TBA",IFERROR(INDEX(Grids!$C$12:$BO$111,$N132,$O132),"-")))</f>
        <v/>
      </c>
      <c r="F132" s="22">
        <f>IF($L132="","",INDEX(HSI!$F$7:$F$106,$N132))</f>
        <v/>
      </c>
      <c r="G132" s="123">
        <f>IF($L132="","",IF($P132=0,"TBA",IFERROR(INDEX(Grids!$BQ$12:$EC$111,$N132,$O132),"-")))</f>
        <v/>
      </c>
      <c r="H132" s="124">
        <f>IF($L132="","",SUM($G$10:$G132))</f>
        <v/>
      </c>
      <c r="I132" s="45">
        <f>IF($L132="","",IF(INT(($L132-INT($L132/10000000)*10000000)/1000000)=0,"Bloomberg projection",IF($P132=1,"ANNOUNCED","ANNOUNCED - amount TBA")))</f>
        <v/>
      </c>
      <c r="J132" s="46">
        <f>IF($L132="","",IF((OV_SWITCH="ON")*(COUNTIFS(OVR_TICKERS,INDEX(HSI!$C$7:$C$106,$N132),OVR_BASE,"&gt;=0")&gt;0)&gt;0,"stock overridden",""))</f>
        <v/>
      </c>
      <c r="L132" s="121">
        <f>IFERROR(IF(SMALL(Grids!$EE$12:$GQ$111,$M$7+123)&gt;=PEND_TO,"",SMALL(Grids!$EE$12:$GQ$111,$M$7+123)),"")</f>
        <v/>
      </c>
      <c r="M132" s="121">
        <f>IF($L132="","",INT($L132/1000000000))</f>
        <v/>
      </c>
      <c r="N132" s="121">
        <f>IF($L132="","",INT(($L132-INT($L132/1000000)*1000000)/1000))</f>
        <v/>
      </c>
      <c r="O132" s="121">
        <f>IF($L132="","",$L132-INT($L132/1000)*1000)</f>
        <v/>
      </c>
      <c r="P132" s="121">
        <f>IF($L132="","",INT(($L132-INT($L132/1000000000)*1000000000)/100000000))</f>
        <v/>
      </c>
    </row>
    <row r="133">
      <c r="B133" s="122">
        <f>IF($L133="","",$M133)</f>
        <v/>
      </c>
      <c r="C133" s="22">
        <f>IF($L133="","",INDEX(HSI!$C$7:$C$106,$N133))</f>
        <v/>
      </c>
      <c r="D133" s="22">
        <f>IF($L133="","",INDEX(HSI!$D$7:$D$106,$N133))</f>
        <v/>
      </c>
      <c r="E133" s="123">
        <f>IF($L133="","",IF($P133=0,"TBA",IFERROR(INDEX(Grids!$C$12:$BO$111,$N133,$O133),"-")))</f>
        <v/>
      </c>
      <c r="F133" s="22">
        <f>IF($L133="","",INDEX(HSI!$F$7:$F$106,$N133))</f>
        <v/>
      </c>
      <c r="G133" s="123">
        <f>IF($L133="","",IF($P133=0,"TBA",IFERROR(INDEX(Grids!$BQ$12:$EC$111,$N133,$O133),"-")))</f>
        <v/>
      </c>
      <c r="H133" s="124">
        <f>IF($L133="","",SUM($G$10:$G133))</f>
        <v/>
      </c>
      <c r="I133" s="45">
        <f>IF($L133="","",IF(INT(($L133-INT($L133/10000000)*10000000)/1000000)=0,"Bloomberg projection",IF($P133=1,"ANNOUNCED","ANNOUNCED - amount TBA")))</f>
        <v/>
      </c>
      <c r="J133" s="46">
        <f>IF($L133="","",IF((OV_SWITCH="ON")*(COUNTIFS(OVR_TICKERS,INDEX(HSI!$C$7:$C$106,$N133),OVR_BASE,"&gt;=0")&gt;0)&gt;0,"stock overridden",""))</f>
        <v/>
      </c>
      <c r="L133" s="121">
        <f>IFERROR(IF(SMALL(Grids!$EE$12:$GQ$111,$M$7+124)&gt;=PEND_TO,"",SMALL(Grids!$EE$12:$GQ$111,$M$7+124)),"")</f>
        <v/>
      </c>
      <c r="M133" s="121">
        <f>IF($L133="","",INT($L133/1000000000))</f>
        <v/>
      </c>
      <c r="N133" s="121">
        <f>IF($L133="","",INT(($L133-INT($L133/1000000)*1000000)/1000))</f>
        <v/>
      </c>
      <c r="O133" s="121">
        <f>IF($L133="","",$L133-INT($L133/1000)*1000)</f>
        <v/>
      </c>
      <c r="P133" s="121">
        <f>IF($L133="","",INT(($L133-INT($L133/1000000000)*1000000000)/100000000))</f>
        <v/>
      </c>
    </row>
    <row r="134">
      <c r="B134" s="122">
        <f>IF($L134="","",$M134)</f>
        <v/>
      </c>
      <c r="C134" s="22">
        <f>IF($L134="","",INDEX(HSI!$C$7:$C$106,$N134))</f>
        <v/>
      </c>
      <c r="D134" s="22">
        <f>IF($L134="","",INDEX(HSI!$D$7:$D$106,$N134))</f>
        <v/>
      </c>
      <c r="E134" s="123">
        <f>IF($L134="","",IF($P134=0,"TBA",IFERROR(INDEX(Grids!$C$12:$BO$111,$N134,$O134),"-")))</f>
        <v/>
      </c>
      <c r="F134" s="22">
        <f>IF($L134="","",INDEX(HSI!$F$7:$F$106,$N134))</f>
        <v/>
      </c>
      <c r="G134" s="123">
        <f>IF($L134="","",IF($P134=0,"TBA",IFERROR(INDEX(Grids!$BQ$12:$EC$111,$N134,$O134),"-")))</f>
        <v/>
      </c>
      <c r="H134" s="124">
        <f>IF($L134="","",SUM($G$10:$G134))</f>
        <v/>
      </c>
      <c r="I134" s="45">
        <f>IF($L134="","",IF(INT(($L134-INT($L134/10000000)*10000000)/1000000)=0,"Bloomberg projection",IF($P134=1,"ANNOUNCED","ANNOUNCED - amount TBA")))</f>
        <v/>
      </c>
      <c r="J134" s="46">
        <f>IF($L134="","",IF((OV_SWITCH="ON")*(COUNTIFS(OVR_TICKERS,INDEX(HSI!$C$7:$C$106,$N134),OVR_BASE,"&gt;=0")&gt;0)&gt;0,"stock overridden",""))</f>
        <v/>
      </c>
      <c r="L134" s="121">
        <f>IFERROR(IF(SMALL(Grids!$EE$12:$GQ$111,$M$7+125)&gt;=PEND_TO,"",SMALL(Grids!$EE$12:$GQ$111,$M$7+125)),"")</f>
        <v/>
      </c>
      <c r="M134" s="121">
        <f>IF($L134="","",INT($L134/1000000000))</f>
        <v/>
      </c>
      <c r="N134" s="121">
        <f>IF($L134="","",INT(($L134-INT($L134/1000000)*1000000)/1000))</f>
        <v/>
      </c>
      <c r="O134" s="121">
        <f>IF($L134="","",$L134-INT($L134/1000)*1000)</f>
        <v/>
      </c>
      <c r="P134" s="121">
        <f>IF($L134="","",INT(($L134-INT($L134/1000000000)*1000000000)/100000000))</f>
        <v/>
      </c>
    </row>
    <row r="135">
      <c r="B135" s="122">
        <f>IF($L135="","",$M135)</f>
        <v/>
      </c>
      <c r="C135" s="22">
        <f>IF($L135="","",INDEX(HSI!$C$7:$C$106,$N135))</f>
        <v/>
      </c>
      <c r="D135" s="22">
        <f>IF($L135="","",INDEX(HSI!$D$7:$D$106,$N135))</f>
        <v/>
      </c>
      <c r="E135" s="123">
        <f>IF($L135="","",IF($P135=0,"TBA",IFERROR(INDEX(Grids!$C$12:$BO$111,$N135,$O135),"-")))</f>
        <v/>
      </c>
      <c r="F135" s="22">
        <f>IF($L135="","",INDEX(HSI!$F$7:$F$106,$N135))</f>
        <v/>
      </c>
      <c r="G135" s="123">
        <f>IF($L135="","",IF($P135=0,"TBA",IFERROR(INDEX(Grids!$BQ$12:$EC$111,$N135,$O135),"-")))</f>
        <v/>
      </c>
      <c r="H135" s="124">
        <f>IF($L135="","",SUM($G$10:$G135))</f>
        <v/>
      </c>
      <c r="I135" s="45">
        <f>IF($L135="","",IF(INT(($L135-INT($L135/10000000)*10000000)/1000000)=0,"Bloomberg projection",IF($P135=1,"ANNOUNCED","ANNOUNCED - amount TBA")))</f>
        <v/>
      </c>
      <c r="J135" s="46">
        <f>IF($L135="","",IF((OV_SWITCH="ON")*(COUNTIFS(OVR_TICKERS,INDEX(HSI!$C$7:$C$106,$N135),OVR_BASE,"&gt;=0")&gt;0)&gt;0,"stock overridden",""))</f>
        <v/>
      </c>
      <c r="L135" s="121">
        <f>IFERROR(IF(SMALL(Grids!$EE$12:$GQ$111,$M$7+126)&gt;=PEND_TO,"",SMALL(Grids!$EE$12:$GQ$111,$M$7+126)),"")</f>
        <v/>
      </c>
      <c r="M135" s="121">
        <f>IF($L135="","",INT($L135/1000000000))</f>
        <v/>
      </c>
      <c r="N135" s="121">
        <f>IF($L135="","",INT(($L135-INT($L135/1000000)*1000000)/1000))</f>
        <v/>
      </c>
      <c r="O135" s="121">
        <f>IF($L135="","",$L135-INT($L135/1000)*1000)</f>
        <v/>
      </c>
      <c r="P135" s="121">
        <f>IF($L135="","",INT(($L135-INT($L135/1000000000)*1000000000)/100000000))</f>
        <v/>
      </c>
    </row>
    <row r="136">
      <c r="B136" s="122">
        <f>IF($L136="","",$M136)</f>
        <v/>
      </c>
      <c r="C136" s="22">
        <f>IF($L136="","",INDEX(HSI!$C$7:$C$106,$N136))</f>
        <v/>
      </c>
      <c r="D136" s="22">
        <f>IF($L136="","",INDEX(HSI!$D$7:$D$106,$N136))</f>
        <v/>
      </c>
      <c r="E136" s="123">
        <f>IF($L136="","",IF($P136=0,"TBA",IFERROR(INDEX(Grids!$C$12:$BO$111,$N136,$O136),"-")))</f>
        <v/>
      </c>
      <c r="F136" s="22">
        <f>IF($L136="","",INDEX(HSI!$F$7:$F$106,$N136))</f>
        <v/>
      </c>
      <c r="G136" s="123">
        <f>IF($L136="","",IF($P136=0,"TBA",IFERROR(INDEX(Grids!$BQ$12:$EC$111,$N136,$O136),"-")))</f>
        <v/>
      </c>
      <c r="H136" s="124">
        <f>IF($L136="","",SUM($G$10:$G136))</f>
        <v/>
      </c>
      <c r="I136" s="45">
        <f>IF($L136="","",IF(INT(($L136-INT($L136/10000000)*10000000)/1000000)=0,"Bloomberg projection",IF($P136=1,"ANNOUNCED","ANNOUNCED - amount TBA")))</f>
        <v/>
      </c>
      <c r="J136" s="46">
        <f>IF($L136="","",IF((OV_SWITCH="ON")*(COUNTIFS(OVR_TICKERS,INDEX(HSI!$C$7:$C$106,$N136),OVR_BASE,"&gt;=0")&gt;0)&gt;0,"stock overridden",""))</f>
        <v/>
      </c>
      <c r="L136" s="121">
        <f>IFERROR(IF(SMALL(Grids!$EE$12:$GQ$111,$M$7+127)&gt;=PEND_TO,"",SMALL(Grids!$EE$12:$GQ$111,$M$7+127)),"")</f>
        <v/>
      </c>
      <c r="M136" s="121">
        <f>IF($L136="","",INT($L136/1000000000))</f>
        <v/>
      </c>
      <c r="N136" s="121">
        <f>IF($L136="","",INT(($L136-INT($L136/1000000)*1000000)/1000))</f>
        <v/>
      </c>
      <c r="O136" s="121">
        <f>IF($L136="","",$L136-INT($L136/1000)*1000)</f>
        <v/>
      </c>
      <c r="P136" s="121">
        <f>IF($L136="","",INT(($L136-INT($L136/1000000000)*1000000000)/100000000))</f>
        <v/>
      </c>
    </row>
    <row r="137">
      <c r="B137" s="122">
        <f>IF($L137="","",$M137)</f>
        <v/>
      </c>
      <c r="C137" s="22">
        <f>IF($L137="","",INDEX(HSI!$C$7:$C$106,$N137))</f>
        <v/>
      </c>
      <c r="D137" s="22">
        <f>IF($L137="","",INDEX(HSI!$D$7:$D$106,$N137))</f>
        <v/>
      </c>
      <c r="E137" s="123">
        <f>IF($L137="","",IF($P137=0,"TBA",IFERROR(INDEX(Grids!$C$12:$BO$111,$N137,$O137),"-")))</f>
        <v/>
      </c>
      <c r="F137" s="22">
        <f>IF($L137="","",INDEX(HSI!$F$7:$F$106,$N137))</f>
        <v/>
      </c>
      <c r="G137" s="123">
        <f>IF($L137="","",IF($P137=0,"TBA",IFERROR(INDEX(Grids!$BQ$12:$EC$111,$N137,$O137),"-")))</f>
        <v/>
      </c>
      <c r="H137" s="124">
        <f>IF($L137="","",SUM($G$10:$G137))</f>
        <v/>
      </c>
      <c r="I137" s="45">
        <f>IF($L137="","",IF(INT(($L137-INT($L137/10000000)*10000000)/1000000)=0,"Bloomberg projection",IF($P137=1,"ANNOUNCED","ANNOUNCED - amount TBA")))</f>
        <v/>
      </c>
      <c r="J137" s="46">
        <f>IF($L137="","",IF((OV_SWITCH="ON")*(COUNTIFS(OVR_TICKERS,INDEX(HSI!$C$7:$C$106,$N137),OVR_BASE,"&gt;=0")&gt;0)&gt;0,"stock overridden",""))</f>
        <v/>
      </c>
      <c r="L137" s="121">
        <f>IFERROR(IF(SMALL(Grids!$EE$12:$GQ$111,$M$7+128)&gt;=PEND_TO,"",SMALL(Grids!$EE$12:$GQ$111,$M$7+128)),"")</f>
        <v/>
      </c>
      <c r="M137" s="121">
        <f>IF($L137="","",INT($L137/1000000000))</f>
        <v/>
      </c>
      <c r="N137" s="121">
        <f>IF($L137="","",INT(($L137-INT($L137/1000000)*1000000)/1000))</f>
        <v/>
      </c>
      <c r="O137" s="121">
        <f>IF($L137="","",$L137-INT($L137/1000)*1000)</f>
        <v/>
      </c>
      <c r="P137" s="121">
        <f>IF($L137="","",INT(($L137-INT($L137/1000000000)*1000000000)/100000000))</f>
        <v/>
      </c>
    </row>
    <row r="138">
      <c r="B138" s="122">
        <f>IF($L138="","",$M138)</f>
        <v/>
      </c>
      <c r="C138" s="22">
        <f>IF($L138="","",INDEX(HSI!$C$7:$C$106,$N138))</f>
        <v/>
      </c>
      <c r="D138" s="22">
        <f>IF($L138="","",INDEX(HSI!$D$7:$D$106,$N138))</f>
        <v/>
      </c>
      <c r="E138" s="123">
        <f>IF($L138="","",IF($P138=0,"TBA",IFERROR(INDEX(Grids!$C$12:$BO$111,$N138,$O138),"-")))</f>
        <v/>
      </c>
      <c r="F138" s="22">
        <f>IF($L138="","",INDEX(HSI!$F$7:$F$106,$N138))</f>
        <v/>
      </c>
      <c r="G138" s="123">
        <f>IF($L138="","",IF($P138=0,"TBA",IFERROR(INDEX(Grids!$BQ$12:$EC$111,$N138,$O138),"-")))</f>
        <v/>
      </c>
      <c r="H138" s="124">
        <f>IF($L138="","",SUM($G$10:$G138))</f>
        <v/>
      </c>
      <c r="I138" s="45">
        <f>IF($L138="","",IF(INT(($L138-INT($L138/10000000)*10000000)/1000000)=0,"Bloomberg projection",IF($P138=1,"ANNOUNCED","ANNOUNCED - amount TBA")))</f>
        <v/>
      </c>
      <c r="J138" s="46">
        <f>IF($L138="","",IF((OV_SWITCH="ON")*(COUNTIFS(OVR_TICKERS,INDEX(HSI!$C$7:$C$106,$N138),OVR_BASE,"&gt;=0")&gt;0)&gt;0,"stock overridden",""))</f>
        <v/>
      </c>
      <c r="L138" s="121">
        <f>IFERROR(IF(SMALL(Grids!$EE$12:$GQ$111,$M$7+129)&gt;=PEND_TO,"",SMALL(Grids!$EE$12:$GQ$111,$M$7+129)),"")</f>
        <v/>
      </c>
      <c r="M138" s="121">
        <f>IF($L138="","",INT($L138/1000000000))</f>
        <v/>
      </c>
      <c r="N138" s="121">
        <f>IF($L138="","",INT(($L138-INT($L138/1000000)*1000000)/1000))</f>
        <v/>
      </c>
      <c r="O138" s="121">
        <f>IF($L138="","",$L138-INT($L138/1000)*1000)</f>
        <v/>
      </c>
      <c r="P138" s="121">
        <f>IF($L138="","",INT(($L138-INT($L138/1000000000)*1000000000)/100000000))</f>
        <v/>
      </c>
    </row>
    <row r="139">
      <c r="B139" s="122">
        <f>IF($L139="","",$M139)</f>
        <v/>
      </c>
      <c r="C139" s="22">
        <f>IF($L139="","",INDEX(HSI!$C$7:$C$106,$N139))</f>
        <v/>
      </c>
      <c r="D139" s="22">
        <f>IF($L139="","",INDEX(HSI!$D$7:$D$106,$N139))</f>
        <v/>
      </c>
      <c r="E139" s="123">
        <f>IF($L139="","",IF($P139=0,"TBA",IFERROR(INDEX(Grids!$C$12:$BO$111,$N139,$O139),"-")))</f>
        <v/>
      </c>
      <c r="F139" s="22">
        <f>IF($L139="","",INDEX(HSI!$F$7:$F$106,$N139))</f>
        <v/>
      </c>
      <c r="G139" s="123">
        <f>IF($L139="","",IF($P139=0,"TBA",IFERROR(INDEX(Grids!$BQ$12:$EC$111,$N139,$O139),"-")))</f>
        <v/>
      </c>
      <c r="H139" s="124">
        <f>IF($L139="","",SUM($G$10:$G139))</f>
        <v/>
      </c>
      <c r="I139" s="45">
        <f>IF($L139="","",IF(INT(($L139-INT($L139/10000000)*10000000)/1000000)=0,"Bloomberg projection",IF($P139=1,"ANNOUNCED","ANNOUNCED - amount TBA")))</f>
        <v/>
      </c>
      <c r="J139" s="46">
        <f>IF($L139="","",IF((OV_SWITCH="ON")*(COUNTIFS(OVR_TICKERS,INDEX(HSI!$C$7:$C$106,$N139),OVR_BASE,"&gt;=0")&gt;0)&gt;0,"stock overridden",""))</f>
        <v/>
      </c>
      <c r="L139" s="121">
        <f>IFERROR(IF(SMALL(Grids!$EE$12:$GQ$111,$M$7+130)&gt;=PEND_TO,"",SMALL(Grids!$EE$12:$GQ$111,$M$7+130)),"")</f>
        <v/>
      </c>
      <c r="M139" s="121">
        <f>IF($L139="","",INT($L139/1000000000))</f>
        <v/>
      </c>
      <c r="N139" s="121">
        <f>IF($L139="","",INT(($L139-INT($L139/1000000)*1000000)/1000))</f>
        <v/>
      </c>
      <c r="O139" s="121">
        <f>IF($L139="","",$L139-INT($L139/1000)*1000)</f>
        <v/>
      </c>
      <c r="P139" s="121">
        <f>IF($L139="","",INT(($L139-INT($L139/1000000000)*1000000000)/100000000))</f>
        <v/>
      </c>
    </row>
    <row r="140">
      <c r="B140" s="122">
        <f>IF($L140="","",$M140)</f>
        <v/>
      </c>
      <c r="C140" s="22">
        <f>IF($L140="","",INDEX(HSI!$C$7:$C$106,$N140))</f>
        <v/>
      </c>
      <c r="D140" s="22">
        <f>IF($L140="","",INDEX(HSI!$D$7:$D$106,$N140))</f>
        <v/>
      </c>
      <c r="E140" s="123">
        <f>IF($L140="","",IF($P140=0,"TBA",IFERROR(INDEX(Grids!$C$12:$BO$111,$N140,$O140),"-")))</f>
        <v/>
      </c>
      <c r="F140" s="22">
        <f>IF($L140="","",INDEX(HSI!$F$7:$F$106,$N140))</f>
        <v/>
      </c>
      <c r="G140" s="123">
        <f>IF($L140="","",IF($P140=0,"TBA",IFERROR(INDEX(Grids!$BQ$12:$EC$111,$N140,$O140),"-")))</f>
        <v/>
      </c>
      <c r="H140" s="124">
        <f>IF($L140="","",SUM($G$10:$G140))</f>
        <v/>
      </c>
      <c r="I140" s="45">
        <f>IF($L140="","",IF(INT(($L140-INT($L140/10000000)*10000000)/1000000)=0,"Bloomberg projection",IF($P140=1,"ANNOUNCED","ANNOUNCED - amount TBA")))</f>
        <v/>
      </c>
      <c r="J140" s="46">
        <f>IF($L140="","",IF((OV_SWITCH="ON")*(COUNTIFS(OVR_TICKERS,INDEX(HSI!$C$7:$C$106,$N140),OVR_BASE,"&gt;=0")&gt;0)&gt;0,"stock overridden",""))</f>
        <v/>
      </c>
      <c r="L140" s="121">
        <f>IFERROR(IF(SMALL(Grids!$EE$12:$GQ$111,$M$7+131)&gt;=PEND_TO,"",SMALL(Grids!$EE$12:$GQ$111,$M$7+131)),"")</f>
        <v/>
      </c>
      <c r="M140" s="121">
        <f>IF($L140="","",INT($L140/1000000000))</f>
        <v/>
      </c>
      <c r="N140" s="121">
        <f>IF($L140="","",INT(($L140-INT($L140/1000000)*1000000)/1000))</f>
        <v/>
      </c>
      <c r="O140" s="121">
        <f>IF($L140="","",$L140-INT($L140/1000)*1000)</f>
        <v/>
      </c>
      <c r="P140" s="121">
        <f>IF($L140="","",INT(($L140-INT($L140/1000000000)*1000000000)/100000000))</f>
        <v/>
      </c>
    </row>
    <row r="141">
      <c r="B141" s="122">
        <f>IF($L141="","",$M141)</f>
        <v/>
      </c>
      <c r="C141" s="22">
        <f>IF($L141="","",INDEX(HSI!$C$7:$C$106,$N141))</f>
        <v/>
      </c>
      <c r="D141" s="22">
        <f>IF($L141="","",INDEX(HSI!$D$7:$D$106,$N141))</f>
        <v/>
      </c>
      <c r="E141" s="123">
        <f>IF($L141="","",IF($P141=0,"TBA",IFERROR(INDEX(Grids!$C$12:$BO$111,$N141,$O141),"-")))</f>
        <v/>
      </c>
      <c r="F141" s="22">
        <f>IF($L141="","",INDEX(HSI!$F$7:$F$106,$N141))</f>
        <v/>
      </c>
      <c r="G141" s="123">
        <f>IF($L141="","",IF($P141=0,"TBA",IFERROR(INDEX(Grids!$BQ$12:$EC$111,$N141,$O141),"-")))</f>
        <v/>
      </c>
      <c r="H141" s="124">
        <f>IF($L141="","",SUM($G$10:$G141))</f>
        <v/>
      </c>
      <c r="I141" s="45">
        <f>IF($L141="","",IF(INT(($L141-INT($L141/10000000)*10000000)/1000000)=0,"Bloomberg projection",IF($P141=1,"ANNOUNCED","ANNOUNCED - amount TBA")))</f>
        <v/>
      </c>
      <c r="J141" s="46">
        <f>IF($L141="","",IF((OV_SWITCH="ON")*(COUNTIFS(OVR_TICKERS,INDEX(HSI!$C$7:$C$106,$N141),OVR_BASE,"&gt;=0")&gt;0)&gt;0,"stock overridden",""))</f>
        <v/>
      </c>
      <c r="L141" s="121">
        <f>IFERROR(IF(SMALL(Grids!$EE$12:$GQ$111,$M$7+132)&gt;=PEND_TO,"",SMALL(Grids!$EE$12:$GQ$111,$M$7+132)),"")</f>
        <v/>
      </c>
      <c r="M141" s="121">
        <f>IF($L141="","",INT($L141/1000000000))</f>
        <v/>
      </c>
      <c r="N141" s="121">
        <f>IF($L141="","",INT(($L141-INT($L141/1000000)*1000000)/1000))</f>
        <v/>
      </c>
      <c r="O141" s="121">
        <f>IF($L141="","",$L141-INT($L141/1000)*1000)</f>
        <v/>
      </c>
      <c r="P141" s="121">
        <f>IF($L141="","",INT(($L141-INT($L141/1000000000)*1000000000)/100000000))</f>
        <v/>
      </c>
    </row>
    <row r="142">
      <c r="B142" s="122">
        <f>IF($L142="","",$M142)</f>
        <v/>
      </c>
      <c r="C142" s="22">
        <f>IF($L142="","",INDEX(HSI!$C$7:$C$106,$N142))</f>
        <v/>
      </c>
      <c r="D142" s="22">
        <f>IF($L142="","",INDEX(HSI!$D$7:$D$106,$N142))</f>
        <v/>
      </c>
      <c r="E142" s="123">
        <f>IF($L142="","",IF($P142=0,"TBA",IFERROR(INDEX(Grids!$C$12:$BO$111,$N142,$O142),"-")))</f>
        <v/>
      </c>
      <c r="F142" s="22">
        <f>IF($L142="","",INDEX(HSI!$F$7:$F$106,$N142))</f>
        <v/>
      </c>
      <c r="G142" s="123">
        <f>IF($L142="","",IF($P142=0,"TBA",IFERROR(INDEX(Grids!$BQ$12:$EC$111,$N142,$O142),"-")))</f>
        <v/>
      </c>
      <c r="H142" s="124">
        <f>IF($L142="","",SUM($G$10:$G142))</f>
        <v/>
      </c>
      <c r="I142" s="45">
        <f>IF($L142="","",IF(INT(($L142-INT($L142/10000000)*10000000)/1000000)=0,"Bloomberg projection",IF($P142=1,"ANNOUNCED","ANNOUNCED - amount TBA")))</f>
        <v/>
      </c>
      <c r="J142" s="46">
        <f>IF($L142="","",IF((OV_SWITCH="ON")*(COUNTIFS(OVR_TICKERS,INDEX(HSI!$C$7:$C$106,$N142),OVR_BASE,"&gt;=0")&gt;0)&gt;0,"stock overridden",""))</f>
        <v/>
      </c>
      <c r="L142" s="121">
        <f>IFERROR(IF(SMALL(Grids!$EE$12:$GQ$111,$M$7+133)&gt;=PEND_TO,"",SMALL(Grids!$EE$12:$GQ$111,$M$7+133)),"")</f>
        <v/>
      </c>
      <c r="M142" s="121">
        <f>IF($L142="","",INT($L142/1000000000))</f>
        <v/>
      </c>
      <c r="N142" s="121">
        <f>IF($L142="","",INT(($L142-INT($L142/1000000)*1000000)/1000))</f>
        <v/>
      </c>
      <c r="O142" s="121">
        <f>IF($L142="","",$L142-INT($L142/1000)*1000)</f>
        <v/>
      </c>
      <c r="P142" s="121">
        <f>IF($L142="","",INT(($L142-INT($L142/1000000000)*1000000000)/100000000))</f>
        <v/>
      </c>
    </row>
    <row r="143">
      <c r="B143" s="122">
        <f>IF($L143="","",$M143)</f>
        <v/>
      </c>
      <c r="C143" s="22">
        <f>IF($L143="","",INDEX(HSI!$C$7:$C$106,$N143))</f>
        <v/>
      </c>
      <c r="D143" s="22">
        <f>IF($L143="","",INDEX(HSI!$D$7:$D$106,$N143))</f>
        <v/>
      </c>
      <c r="E143" s="123">
        <f>IF($L143="","",IF($P143=0,"TBA",IFERROR(INDEX(Grids!$C$12:$BO$111,$N143,$O143),"-")))</f>
        <v/>
      </c>
      <c r="F143" s="22">
        <f>IF($L143="","",INDEX(HSI!$F$7:$F$106,$N143))</f>
        <v/>
      </c>
      <c r="G143" s="123">
        <f>IF($L143="","",IF($P143=0,"TBA",IFERROR(INDEX(Grids!$BQ$12:$EC$111,$N143,$O143),"-")))</f>
        <v/>
      </c>
      <c r="H143" s="124">
        <f>IF($L143="","",SUM($G$10:$G143))</f>
        <v/>
      </c>
      <c r="I143" s="45">
        <f>IF($L143="","",IF(INT(($L143-INT($L143/10000000)*10000000)/1000000)=0,"Bloomberg projection",IF($P143=1,"ANNOUNCED","ANNOUNCED - amount TBA")))</f>
        <v/>
      </c>
      <c r="J143" s="46">
        <f>IF($L143="","",IF((OV_SWITCH="ON")*(COUNTIFS(OVR_TICKERS,INDEX(HSI!$C$7:$C$106,$N143),OVR_BASE,"&gt;=0")&gt;0)&gt;0,"stock overridden",""))</f>
        <v/>
      </c>
      <c r="L143" s="121">
        <f>IFERROR(IF(SMALL(Grids!$EE$12:$GQ$111,$M$7+134)&gt;=PEND_TO,"",SMALL(Grids!$EE$12:$GQ$111,$M$7+134)),"")</f>
        <v/>
      </c>
      <c r="M143" s="121">
        <f>IF($L143="","",INT($L143/1000000000))</f>
        <v/>
      </c>
      <c r="N143" s="121">
        <f>IF($L143="","",INT(($L143-INT($L143/1000000)*1000000)/1000))</f>
        <v/>
      </c>
      <c r="O143" s="121">
        <f>IF($L143="","",$L143-INT($L143/1000)*1000)</f>
        <v/>
      </c>
      <c r="P143" s="121">
        <f>IF($L143="","",INT(($L143-INT($L143/1000000000)*1000000000)/100000000))</f>
        <v/>
      </c>
    </row>
    <row r="144">
      <c r="B144" s="122">
        <f>IF($L144="","",$M144)</f>
        <v/>
      </c>
      <c r="C144" s="22">
        <f>IF($L144="","",INDEX(HSI!$C$7:$C$106,$N144))</f>
        <v/>
      </c>
      <c r="D144" s="22">
        <f>IF($L144="","",INDEX(HSI!$D$7:$D$106,$N144))</f>
        <v/>
      </c>
      <c r="E144" s="123">
        <f>IF($L144="","",IF($P144=0,"TBA",IFERROR(INDEX(Grids!$C$12:$BO$111,$N144,$O144),"-")))</f>
        <v/>
      </c>
      <c r="F144" s="22">
        <f>IF($L144="","",INDEX(HSI!$F$7:$F$106,$N144))</f>
        <v/>
      </c>
      <c r="G144" s="123">
        <f>IF($L144="","",IF($P144=0,"TBA",IFERROR(INDEX(Grids!$BQ$12:$EC$111,$N144,$O144),"-")))</f>
        <v/>
      </c>
      <c r="H144" s="124">
        <f>IF($L144="","",SUM($G$10:$G144))</f>
        <v/>
      </c>
      <c r="I144" s="45">
        <f>IF($L144="","",IF(INT(($L144-INT($L144/10000000)*10000000)/1000000)=0,"Bloomberg projection",IF($P144=1,"ANNOUNCED","ANNOUNCED - amount TBA")))</f>
        <v/>
      </c>
      <c r="J144" s="46">
        <f>IF($L144="","",IF((OV_SWITCH="ON")*(COUNTIFS(OVR_TICKERS,INDEX(HSI!$C$7:$C$106,$N144),OVR_BASE,"&gt;=0")&gt;0)&gt;0,"stock overridden",""))</f>
        <v/>
      </c>
      <c r="L144" s="121">
        <f>IFERROR(IF(SMALL(Grids!$EE$12:$GQ$111,$M$7+135)&gt;=PEND_TO,"",SMALL(Grids!$EE$12:$GQ$111,$M$7+135)),"")</f>
        <v/>
      </c>
      <c r="M144" s="121">
        <f>IF($L144="","",INT($L144/1000000000))</f>
        <v/>
      </c>
      <c r="N144" s="121">
        <f>IF($L144="","",INT(($L144-INT($L144/1000000)*1000000)/1000))</f>
        <v/>
      </c>
      <c r="O144" s="121">
        <f>IF($L144="","",$L144-INT($L144/1000)*1000)</f>
        <v/>
      </c>
      <c r="P144" s="121">
        <f>IF($L144="","",INT(($L144-INT($L144/1000000000)*1000000000)/100000000))</f>
        <v/>
      </c>
    </row>
    <row r="145">
      <c r="B145" s="122">
        <f>IF($L145="","",$M145)</f>
        <v/>
      </c>
      <c r="C145" s="22">
        <f>IF($L145="","",INDEX(HSI!$C$7:$C$106,$N145))</f>
        <v/>
      </c>
      <c r="D145" s="22">
        <f>IF($L145="","",INDEX(HSI!$D$7:$D$106,$N145))</f>
        <v/>
      </c>
      <c r="E145" s="123">
        <f>IF($L145="","",IF($P145=0,"TBA",IFERROR(INDEX(Grids!$C$12:$BO$111,$N145,$O145),"-")))</f>
        <v/>
      </c>
      <c r="F145" s="22">
        <f>IF($L145="","",INDEX(HSI!$F$7:$F$106,$N145))</f>
        <v/>
      </c>
      <c r="G145" s="123">
        <f>IF($L145="","",IF($P145=0,"TBA",IFERROR(INDEX(Grids!$BQ$12:$EC$111,$N145,$O145),"-")))</f>
        <v/>
      </c>
      <c r="H145" s="124">
        <f>IF($L145="","",SUM($G$10:$G145))</f>
        <v/>
      </c>
      <c r="I145" s="45">
        <f>IF($L145="","",IF(INT(($L145-INT($L145/10000000)*10000000)/1000000)=0,"Bloomberg projection",IF($P145=1,"ANNOUNCED","ANNOUNCED - amount TBA")))</f>
        <v/>
      </c>
      <c r="J145" s="46">
        <f>IF($L145="","",IF((OV_SWITCH="ON")*(COUNTIFS(OVR_TICKERS,INDEX(HSI!$C$7:$C$106,$N145),OVR_BASE,"&gt;=0")&gt;0)&gt;0,"stock overridden",""))</f>
        <v/>
      </c>
      <c r="L145" s="121">
        <f>IFERROR(IF(SMALL(Grids!$EE$12:$GQ$111,$M$7+136)&gt;=PEND_TO,"",SMALL(Grids!$EE$12:$GQ$111,$M$7+136)),"")</f>
        <v/>
      </c>
      <c r="M145" s="121">
        <f>IF($L145="","",INT($L145/1000000000))</f>
        <v/>
      </c>
      <c r="N145" s="121">
        <f>IF($L145="","",INT(($L145-INT($L145/1000000)*1000000)/1000))</f>
        <v/>
      </c>
      <c r="O145" s="121">
        <f>IF($L145="","",$L145-INT($L145/1000)*1000)</f>
        <v/>
      </c>
      <c r="P145" s="121">
        <f>IF($L145="","",INT(($L145-INT($L145/1000000000)*1000000000)/100000000))</f>
        <v/>
      </c>
    </row>
    <row r="146">
      <c r="B146" s="122">
        <f>IF($L146="","",$M146)</f>
        <v/>
      </c>
      <c r="C146" s="22">
        <f>IF($L146="","",INDEX(HSI!$C$7:$C$106,$N146))</f>
        <v/>
      </c>
      <c r="D146" s="22">
        <f>IF($L146="","",INDEX(HSI!$D$7:$D$106,$N146))</f>
        <v/>
      </c>
      <c r="E146" s="123">
        <f>IF($L146="","",IF($P146=0,"TBA",IFERROR(INDEX(Grids!$C$12:$BO$111,$N146,$O146),"-")))</f>
        <v/>
      </c>
      <c r="F146" s="22">
        <f>IF($L146="","",INDEX(HSI!$F$7:$F$106,$N146))</f>
        <v/>
      </c>
      <c r="G146" s="123">
        <f>IF($L146="","",IF($P146=0,"TBA",IFERROR(INDEX(Grids!$BQ$12:$EC$111,$N146,$O146),"-")))</f>
        <v/>
      </c>
      <c r="H146" s="124">
        <f>IF($L146="","",SUM($G$10:$G146))</f>
        <v/>
      </c>
      <c r="I146" s="45">
        <f>IF($L146="","",IF(INT(($L146-INT($L146/10000000)*10000000)/1000000)=0,"Bloomberg projection",IF($P146=1,"ANNOUNCED","ANNOUNCED - amount TBA")))</f>
        <v/>
      </c>
      <c r="J146" s="46">
        <f>IF($L146="","",IF((OV_SWITCH="ON")*(COUNTIFS(OVR_TICKERS,INDEX(HSI!$C$7:$C$106,$N146),OVR_BASE,"&gt;=0")&gt;0)&gt;0,"stock overridden",""))</f>
        <v/>
      </c>
      <c r="L146" s="121">
        <f>IFERROR(IF(SMALL(Grids!$EE$12:$GQ$111,$M$7+137)&gt;=PEND_TO,"",SMALL(Grids!$EE$12:$GQ$111,$M$7+137)),"")</f>
        <v/>
      </c>
      <c r="M146" s="121">
        <f>IF($L146="","",INT($L146/1000000000))</f>
        <v/>
      </c>
      <c r="N146" s="121">
        <f>IF($L146="","",INT(($L146-INT($L146/1000000)*1000000)/1000))</f>
        <v/>
      </c>
      <c r="O146" s="121">
        <f>IF($L146="","",$L146-INT($L146/1000)*1000)</f>
        <v/>
      </c>
      <c r="P146" s="121">
        <f>IF($L146="","",INT(($L146-INT($L146/1000000000)*1000000000)/100000000))</f>
        <v/>
      </c>
    </row>
    <row r="147">
      <c r="B147" s="122">
        <f>IF($L147="","",$M147)</f>
        <v/>
      </c>
      <c r="C147" s="22">
        <f>IF($L147="","",INDEX(HSI!$C$7:$C$106,$N147))</f>
        <v/>
      </c>
      <c r="D147" s="22">
        <f>IF($L147="","",INDEX(HSI!$D$7:$D$106,$N147))</f>
        <v/>
      </c>
      <c r="E147" s="123">
        <f>IF($L147="","",IF($P147=0,"TBA",IFERROR(INDEX(Grids!$C$12:$BO$111,$N147,$O147),"-")))</f>
        <v/>
      </c>
      <c r="F147" s="22">
        <f>IF($L147="","",INDEX(HSI!$F$7:$F$106,$N147))</f>
        <v/>
      </c>
      <c r="G147" s="123">
        <f>IF($L147="","",IF($P147=0,"TBA",IFERROR(INDEX(Grids!$BQ$12:$EC$111,$N147,$O147),"-")))</f>
        <v/>
      </c>
      <c r="H147" s="124">
        <f>IF($L147="","",SUM($G$10:$G147))</f>
        <v/>
      </c>
      <c r="I147" s="45">
        <f>IF($L147="","",IF(INT(($L147-INT($L147/10000000)*10000000)/1000000)=0,"Bloomberg projection",IF($P147=1,"ANNOUNCED","ANNOUNCED - amount TBA")))</f>
        <v/>
      </c>
      <c r="J147" s="46">
        <f>IF($L147="","",IF((OV_SWITCH="ON")*(COUNTIFS(OVR_TICKERS,INDEX(HSI!$C$7:$C$106,$N147),OVR_BASE,"&gt;=0")&gt;0)&gt;0,"stock overridden",""))</f>
        <v/>
      </c>
      <c r="L147" s="121">
        <f>IFERROR(IF(SMALL(Grids!$EE$12:$GQ$111,$M$7+138)&gt;=PEND_TO,"",SMALL(Grids!$EE$12:$GQ$111,$M$7+138)),"")</f>
        <v/>
      </c>
      <c r="M147" s="121">
        <f>IF($L147="","",INT($L147/1000000000))</f>
        <v/>
      </c>
      <c r="N147" s="121">
        <f>IF($L147="","",INT(($L147-INT($L147/1000000)*1000000)/1000))</f>
        <v/>
      </c>
      <c r="O147" s="121">
        <f>IF($L147="","",$L147-INT($L147/1000)*1000)</f>
        <v/>
      </c>
      <c r="P147" s="121">
        <f>IF($L147="","",INT(($L147-INT($L147/1000000000)*1000000000)/100000000))</f>
        <v/>
      </c>
    </row>
    <row r="148">
      <c r="B148" s="122">
        <f>IF($L148="","",$M148)</f>
        <v/>
      </c>
      <c r="C148" s="22">
        <f>IF($L148="","",INDEX(HSI!$C$7:$C$106,$N148))</f>
        <v/>
      </c>
      <c r="D148" s="22">
        <f>IF($L148="","",INDEX(HSI!$D$7:$D$106,$N148))</f>
        <v/>
      </c>
      <c r="E148" s="123">
        <f>IF($L148="","",IF($P148=0,"TBA",IFERROR(INDEX(Grids!$C$12:$BO$111,$N148,$O148),"-")))</f>
        <v/>
      </c>
      <c r="F148" s="22">
        <f>IF($L148="","",INDEX(HSI!$F$7:$F$106,$N148))</f>
        <v/>
      </c>
      <c r="G148" s="123">
        <f>IF($L148="","",IF($P148=0,"TBA",IFERROR(INDEX(Grids!$BQ$12:$EC$111,$N148,$O148),"-")))</f>
        <v/>
      </c>
      <c r="H148" s="124">
        <f>IF($L148="","",SUM($G$10:$G148))</f>
        <v/>
      </c>
      <c r="I148" s="45">
        <f>IF($L148="","",IF(INT(($L148-INT($L148/10000000)*10000000)/1000000)=0,"Bloomberg projection",IF($P148=1,"ANNOUNCED","ANNOUNCED - amount TBA")))</f>
        <v/>
      </c>
      <c r="J148" s="46">
        <f>IF($L148="","",IF((OV_SWITCH="ON")*(COUNTIFS(OVR_TICKERS,INDEX(HSI!$C$7:$C$106,$N148),OVR_BASE,"&gt;=0")&gt;0)&gt;0,"stock overridden",""))</f>
        <v/>
      </c>
      <c r="L148" s="121">
        <f>IFERROR(IF(SMALL(Grids!$EE$12:$GQ$111,$M$7+139)&gt;=PEND_TO,"",SMALL(Grids!$EE$12:$GQ$111,$M$7+139)),"")</f>
        <v/>
      </c>
      <c r="M148" s="121">
        <f>IF($L148="","",INT($L148/1000000000))</f>
        <v/>
      </c>
      <c r="N148" s="121">
        <f>IF($L148="","",INT(($L148-INT($L148/1000000)*1000000)/1000))</f>
        <v/>
      </c>
      <c r="O148" s="121">
        <f>IF($L148="","",$L148-INT($L148/1000)*1000)</f>
        <v/>
      </c>
      <c r="P148" s="121">
        <f>IF($L148="","",INT(($L148-INT($L148/1000000000)*1000000000)/100000000))</f>
        <v/>
      </c>
    </row>
    <row r="149">
      <c r="B149" s="122">
        <f>IF($L149="","",$M149)</f>
        <v/>
      </c>
      <c r="C149" s="22">
        <f>IF($L149="","",INDEX(HSI!$C$7:$C$106,$N149))</f>
        <v/>
      </c>
      <c r="D149" s="22">
        <f>IF($L149="","",INDEX(HSI!$D$7:$D$106,$N149))</f>
        <v/>
      </c>
      <c r="E149" s="123">
        <f>IF($L149="","",IF($P149=0,"TBA",IFERROR(INDEX(Grids!$C$12:$BO$111,$N149,$O149),"-")))</f>
        <v/>
      </c>
      <c r="F149" s="22">
        <f>IF($L149="","",INDEX(HSI!$F$7:$F$106,$N149))</f>
        <v/>
      </c>
      <c r="G149" s="123">
        <f>IF($L149="","",IF($P149=0,"TBA",IFERROR(INDEX(Grids!$BQ$12:$EC$111,$N149,$O149),"-")))</f>
        <v/>
      </c>
      <c r="H149" s="124">
        <f>IF($L149="","",SUM($G$10:$G149))</f>
        <v/>
      </c>
      <c r="I149" s="45">
        <f>IF($L149="","",IF(INT(($L149-INT($L149/10000000)*10000000)/1000000)=0,"Bloomberg projection",IF($P149=1,"ANNOUNCED","ANNOUNCED - amount TBA")))</f>
        <v/>
      </c>
      <c r="J149" s="46">
        <f>IF($L149="","",IF((OV_SWITCH="ON")*(COUNTIFS(OVR_TICKERS,INDEX(HSI!$C$7:$C$106,$N149),OVR_BASE,"&gt;=0")&gt;0)&gt;0,"stock overridden",""))</f>
        <v/>
      </c>
      <c r="L149" s="121">
        <f>IFERROR(IF(SMALL(Grids!$EE$12:$GQ$111,$M$7+140)&gt;=PEND_TO,"",SMALL(Grids!$EE$12:$GQ$111,$M$7+140)),"")</f>
        <v/>
      </c>
      <c r="M149" s="121">
        <f>IF($L149="","",INT($L149/1000000000))</f>
        <v/>
      </c>
      <c r="N149" s="121">
        <f>IF($L149="","",INT(($L149-INT($L149/1000000)*1000000)/1000))</f>
        <v/>
      </c>
      <c r="O149" s="121">
        <f>IF($L149="","",$L149-INT($L149/1000)*1000)</f>
        <v/>
      </c>
      <c r="P149" s="121">
        <f>IF($L149="","",INT(($L149-INT($L149/1000000000)*1000000000)/100000000))</f>
        <v/>
      </c>
    </row>
    <row r="150">
      <c r="B150" s="122">
        <f>IF($L150="","",$M150)</f>
        <v/>
      </c>
      <c r="C150" s="22">
        <f>IF($L150="","",INDEX(HSI!$C$7:$C$106,$N150))</f>
        <v/>
      </c>
      <c r="D150" s="22">
        <f>IF($L150="","",INDEX(HSI!$D$7:$D$106,$N150))</f>
        <v/>
      </c>
      <c r="E150" s="123">
        <f>IF($L150="","",IF($P150=0,"TBA",IFERROR(INDEX(Grids!$C$12:$BO$111,$N150,$O150),"-")))</f>
        <v/>
      </c>
      <c r="F150" s="22">
        <f>IF($L150="","",INDEX(HSI!$F$7:$F$106,$N150))</f>
        <v/>
      </c>
      <c r="G150" s="123">
        <f>IF($L150="","",IF($P150=0,"TBA",IFERROR(INDEX(Grids!$BQ$12:$EC$111,$N150,$O150),"-")))</f>
        <v/>
      </c>
      <c r="H150" s="124">
        <f>IF($L150="","",SUM($G$10:$G150))</f>
        <v/>
      </c>
      <c r="I150" s="45">
        <f>IF($L150="","",IF(INT(($L150-INT($L150/10000000)*10000000)/1000000)=0,"Bloomberg projection",IF($P150=1,"ANNOUNCED","ANNOUNCED - amount TBA")))</f>
        <v/>
      </c>
      <c r="J150" s="46">
        <f>IF($L150="","",IF((OV_SWITCH="ON")*(COUNTIFS(OVR_TICKERS,INDEX(HSI!$C$7:$C$106,$N150),OVR_BASE,"&gt;=0")&gt;0)&gt;0,"stock overridden",""))</f>
        <v/>
      </c>
      <c r="L150" s="121">
        <f>IFERROR(IF(SMALL(Grids!$EE$12:$GQ$111,$M$7+141)&gt;=PEND_TO,"",SMALL(Grids!$EE$12:$GQ$111,$M$7+141)),"")</f>
        <v/>
      </c>
      <c r="M150" s="121">
        <f>IF($L150="","",INT($L150/1000000000))</f>
        <v/>
      </c>
      <c r="N150" s="121">
        <f>IF($L150="","",INT(($L150-INT($L150/1000000)*1000000)/1000))</f>
        <v/>
      </c>
      <c r="O150" s="121">
        <f>IF($L150="","",$L150-INT($L150/1000)*1000)</f>
        <v/>
      </c>
      <c r="P150" s="121">
        <f>IF($L150="","",INT(($L150-INT($L150/1000000000)*1000000000)/100000000))</f>
        <v/>
      </c>
    </row>
    <row r="151">
      <c r="B151" s="122">
        <f>IF($L151="","",$M151)</f>
        <v/>
      </c>
      <c r="C151" s="22">
        <f>IF($L151="","",INDEX(HSI!$C$7:$C$106,$N151))</f>
        <v/>
      </c>
      <c r="D151" s="22">
        <f>IF($L151="","",INDEX(HSI!$D$7:$D$106,$N151))</f>
        <v/>
      </c>
      <c r="E151" s="123">
        <f>IF($L151="","",IF($P151=0,"TBA",IFERROR(INDEX(Grids!$C$12:$BO$111,$N151,$O151),"-")))</f>
        <v/>
      </c>
      <c r="F151" s="22">
        <f>IF($L151="","",INDEX(HSI!$F$7:$F$106,$N151))</f>
        <v/>
      </c>
      <c r="G151" s="123">
        <f>IF($L151="","",IF($P151=0,"TBA",IFERROR(INDEX(Grids!$BQ$12:$EC$111,$N151,$O151),"-")))</f>
        <v/>
      </c>
      <c r="H151" s="124">
        <f>IF($L151="","",SUM($G$10:$G151))</f>
        <v/>
      </c>
      <c r="I151" s="45">
        <f>IF($L151="","",IF(INT(($L151-INT($L151/10000000)*10000000)/1000000)=0,"Bloomberg projection",IF($P151=1,"ANNOUNCED","ANNOUNCED - amount TBA")))</f>
        <v/>
      </c>
      <c r="J151" s="46">
        <f>IF($L151="","",IF((OV_SWITCH="ON")*(COUNTIFS(OVR_TICKERS,INDEX(HSI!$C$7:$C$106,$N151),OVR_BASE,"&gt;=0")&gt;0)&gt;0,"stock overridden",""))</f>
        <v/>
      </c>
      <c r="L151" s="121">
        <f>IFERROR(IF(SMALL(Grids!$EE$12:$GQ$111,$M$7+142)&gt;=PEND_TO,"",SMALL(Grids!$EE$12:$GQ$111,$M$7+142)),"")</f>
        <v/>
      </c>
      <c r="M151" s="121">
        <f>IF($L151="","",INT($L151/1000000000))</f>
        <v/>
      </c>
      <c r="N151" s="121">
        <f>IF($L151="","",INT(($L151-INT($L151/1000000)*1000000)/1000))</f>
        <v/>
      </c>
      <c r="O151" s="121">
        <f>IF($L151="","",$L151-INT($L151/1000)*1000)</f>
        <v/>
      </c>
      <c r="P151" s="121">
        <f>IF($L151="","",INT(($L151-INT($L151/1000000000)*1000000000)/100000000))</f>
        <v/>
      </c>
    </row>
    <row r="152">
      <c r="B152" s="122">
        <f>IF($L152="","",$M152)</f>
        <v/>
      </c>
      <c r="C152" s="22">
        <f>IF($L152="","",INDEX(HSI!$C$7:$C$106,$N152))</f>
        <v/>
      </c>
      <c r="D152" s="22">
        <f>IF($L152="","",INDEX(HSI!$D$7:$D$106,$N152))</f>
        <v/>
      </c>
      <c r="E152" s="123">
        <f>IF($L152="","",IF($P152=0,"TBA",IFERROR(INDEX(Grids!$C$12:$BO$111,$N152,$O152),"-")))</f>
        <v/>
      </c>
      <c r="F152" s="22">
        <f>IF($L152="","",INDEX(HSI!$F$7:$F$106,$N152))</f>
        <v/>
      </c>
      <c r="G152" s="123">
        <f>IF($L152="","",IF($P152=0,"TBA",IFERROR(INDEX(Grids!$BQ$12:$EC$111,$N152,$O152),"-")))</f>
        <v/>
      </c>
      <c r="H152" s="124">
        <f>IF($L152="","",SUM($G$10:$G152))</f>
        <v/>
      </c>
      <c r="I152" s="45">
        <f>IF($L152="","",IF(INT(($L152-INT($L152/10000000)*10000000)/1000000)=0,"Bloomberg projection",IF($P152=1,"ANNOUNCED","ANNOUNCED - amount TBA")))</f>
        <v/>
      </c>
      <c r="J152" s="46">
        <f>IF($L152="","",IF((OV_SWITCH="ON")*(COUNTIFS(OVR_TICKERS,INDEX(HSI!$C$7:$C$106,$N152),OVR_BASE,"&gt;=0")&gt;0)&gt;0,"stock overridden",""))</f>
        <v/>
      </c>
      <c r="L152" s="121">
        <f>IFERROR(IF(SMALL(Grids!$EE$12:$GQ$111,$M$7+143)&gt;=PEND_TO,"",SMALL(Grids!$EE$12:$GQ$111,$M$7+143)),"")</f>
        <v/>
      </c>
      <c r="M152" s="121">
        <f>IF($L152="","",INT($L152/1000000000))</f>
        <v/>
      </c>
      <c r="N152" s="121">
        <f>IF($L152="","",INT(($L152-INT($L152/1000000)*1000000)/1000))</f>
        <v/>
      </c>
      <c r="O152" s="121">
        <f>IF($L152="","",$L152-INT($L152/1000)*1000)</f>
        <v/>
      </c>
      <c r="P152" s="121">
        <f>IF($L152="","",INT(($L152-INT($L152/1000000000)*1000000000)/100000000))</f>
        <v/>
      </c>
    </row>
    <row r="153">
      <c r="B153" s="122">
        <f>IF($L153="","",$M153)</f>
        <v/>
      </c>
      <c r="C153" s="22">
        <f>IF($L153="","",INDEX(HSI!$C$7:$C$106,$N153))</f>
        <v/>
      </c>
      <c r="D153" s="22">
        <f>IF($L153="","",INDEX(HSI!$D$7:$D$106,$N153))</f>
        <v/>
      </c>
      <c r="E153" s="123">
        <f>IF($L153="","",IF($P153=0,"TBA",IFERROR(INDEX(Grids!$C$12:$BO$111,$N153,$O153),"-")))</f>
        <v/>
      </c>
      <c r="F153" s="22">
        <f>IF($L153="","",INDEX(HSI!$F$7:$F$106,$N153))</f>
        <v/>
      </c>
      <c r="G153" s="123">
        <f>IF($L153="","",IF($P153=0,"TBA",IFERROR(INDEX(Grids!$BQ$12:$EC$111,$N153,$O153),"-")))</f>
        <v/>
      </c>
      <c r="H153" s="124">
        <f>IF($L153="","",SUM($G$10:$G153))</f>
        <v/>
      </c>
      <c r="I153" s="45">
        <f>IF($L153="","",IF(INT(($L153-INT($L153/10000000)*10000000)/1000000)=0,"Bloomberg projection",IF($P153=1,"ANNOUNCED","ANNOUNCED - amount TBA")))</f>
        <v/>
      </c>
      <c r="J153" s="46">
        <f>IF($L153="","",IF((OV_SWITCH="ON")*(COUNTIFS(OVR_TICKERS,INDEX(HSI!$C$7:$C$106,$N153),OVR_BASE,"&gt;=0")&gt;0)&gt;0,"stock overridden",""))</f>
        <v/>
      </c>
      <c r="L153" s="121">
        <f>IFERROR(IF(SMALL(Grids!$EE$12:$GQ$111,$M$7+144)&gt;=PEND_TO,"",SMALL(Grids!$EE$12:$GQ$111,$M$7+144)),"")</f>
        <v/>
      </c>
      <c r="M153" s="121">
        <f>IF($L153="","",INT($L153/1000000000))</f>
        <v/>
      </c>
      <c r="N153" s="121">
        <f>IF($L153="","",INT(($L153-INT($L153/1000000)*1000000)/1000))</f>
        <v/>
      </c>
      <c r="O153" s="121">
        <f>IF($L153="","",$L153-INT($L153/1000)*1000)</f>
        <v/>
      </c>
      <c r="P153" s="121">
        <f>IF($L153="","",INT(($L153-INT($L153/1000000000)*1000000000)/100000000))</f>
        <v/>
      </c>
    </row>
    <row r="154">
      <c r="B154" s="122">
        <f>IF($L154="","",$M154)</f>
        <v/>
      </c>
      <c r="C154" s="22">
        <f>IF($L154="","",INDEX(HSI!$C$7:$C$106,$N154))</f>
        <v/>
      </c>
      <c r="D154" s="22">
        <f>IF($L154="","",INDEX(HSI!$D$7:$D$106,$N154))</f>
        <v/>
      </c>
      <c r="E154" s="123">
        <f>IF($L154="","",IF($P154=0,"TBA",IFERROR(INDEX(Grids!$C$12:$BO$111,$N154,$O154),"-")))</f>
        <v/>
      </c>
      <c r="F154" s="22">
        <f>IF($L154="","",INDEX(HSI!$F$7:$F$106,$N154))</f>
        <v/>
      </c>
      <c r="G154" s="123">
        <f>IF($L154="","",IF($P154=0,"TBA",IFERROR(INDEX(Grids!$BQ$12:$EC$111,$N154,$O154),"-")))</f>
        <v/>
      </c>
      <c r="H154" s="124">
        <f>IF($L154="","",SUM($G$10:$G154))</f>
        <v/>
      </c>
      <c r="I154" s="45">
        <f>IF($L154="","",IF(INT(($L154-INT($L154/10000000)*10000000)/1000000)=0,"Bloomberg projection",IF($P154=1,"ANNOUNCED","ANNOUNCED - amount TBA")))</f>
        <v/>
      </c>
      <c r="J154" s="46">
        <f>IF($L154="","",IF((OV_SWITCH="ON")*(COUNTIFS(OVR_TICKERS,INDEX(HSI!$C$7:$C$106,$N154),OVR_BASE,"&gt;=0")&gt;0)&gt;0,"stock overridden",""))</f>
        <v/>
      </c>
      <c r="L154" s="121">
        <f>IFERROR(IF(SMALL(Grids!$EE$12:$GQ$111,$M$7+145)&gt;=PEND_TO,"",SMALL(Grids!$EE$12:$GQ$111,$M$7+145)),"")</f>
        <v/>
      </c>
      <c r="M154" s="121">
        <f>IF($L154="","",INT($L154/1000000000))</f>
        <v/>
      </c>
      <c r="N154" s="121">
        <f>IF($L154="","",INT(($L154-INT($L154/1000000)*1000000)/1000))</f>
        <v/>
      </c>
      <c r="O154" s="121">
        <f>IF($L154="","",$L154-INT($L154/1000)*1000)</f>
        <v/>
      </c>
      <c r="P154" s="121">
        <f>IF($L154="","",INT(($L154-INT($L154/1000000000)*1000000000)/100000000))</f>
        <v/>
      </c>
    </row>
    <row r="155">
      <c r="B155" s="122">
        <f>IF($L155="","",$M155)</f>
        <v/>
      </c>
      <c r="C155" s="22">
        <f>IF($L155="","",INDEX(HSI!$C$7:$C$106,$N155))</f>
        <v/>
      </c>
      <c r="D155" s="22">
        <f>IF($L155="","",INDEX(HSI!$D$7:$D$106,$N155))</f>
        <v/>
      </c>
      <c r="E155" s="123">
        <f>IF($L155="","",IF($P155=0,"TBA",IFERROR(INDEX(Grids!$C$12:$BO$111,$N155,$O155),"-")))</f>
        <v/>
      </c>
      <c r="F155" s="22">
        <f>IF($L155="","",INDEX(HSI!$F$7:$F$106,$N155))</f>
        <v/>
      </c>
      <c r="G155" s="123">
        <f>IF($L155="","",IF($P155=0,"TBA",IFERROR(INDEX(Grids!$BQ$12:$EC$111,$N155,$O155),"-")))</f>
        <v/>
      </c>
      <c r="H155" s="124">
        <f>IF($L155="","",SUM($G$10:$G155))</f>
        <v/>
      </c>
      <c r="I155" s="45">
        <f>IF($L155="","",IF(INT(($L155-INT($L155/10000000)*10000000)/1000000)=0,"Bloomberg projection",IF($P155=1,"ANNOUNCED","ANNOUNCED - amount TBA")))</f>
        <v/>
      </c>
      <c r="J155" s="46">
        <f>IF($L155="","",IF((OV_SWITCH="ON")*(COUNTIFS(OVR_TICKERS,INDEX(HSI!$C$7:$C$106,$N155),OVR_BASE,"&gt;=0")&gt;0)&gt;0,"stock overridden",""))</f>
        <v/>
      </c>
      <c r="L155" s="121">
        <f>IFERROR(IF(SMALL(Grids!$EE$12:$GQ$111,$M$7+146)&gt;=PEND_TO,"",SMALL(Grids!$EE$12:$GQ$111,$M$7+146)),"")</f>
        <v/>
      </c>
      <c r="M155" s="121">
        <f>IF($L155="","",INT($L155/1000000000))</f>
        <v/>
      </c>
      <c r="N155" s="121">
        <f>IF($L155="","",INT(($L155-INT($L155/1000000)*1000000)/1000))</f>
        <v/>
      </c>
      <c r="O155" s="121">
        <f>IF($L155="","",$L155-INT($L155/1000)*1000)</f>
        <v/>
      </c>
      <c r="P155" s="121">
        <f>IF($L155="","",INT(($L155-INT($L155/1000000000)*1000000000)/100000000))</f>
        <v/>
      </c>
    </row>
    <row r="156">
      <c r="B156" s="122">
        <f>IF($L156="","",$M156)</f>
        <v/>
      </c>
      <c r="C156" s="22">
        <f>IF($L156="","",INDEX(HSI!$C$7:$C$106,$N156))</f>
        <v/>
      </c>
      <c r="D156" s="22">
        <f>IF($L156="","",INDEX(HSI!$D$7:$D$106,$N156))</f>
        <v/>
      </c>
      <c r="E156" s="123">
        <f>IF($L156="","",IF($P156=0,"TBA",IFERROR(INDEX(Grids!$C$12:$BO$111,$N156,$O156),"-")))</f>
        <v/>
      </c>
      <c r="F156" s="22">
        <f>IF($L156="","",INDEX(HSI!$F$7:$F$106,$N156))</f>
        <v/>
      </c>
      <c r="G156" s="123">
        <f>IF($L156="","",IF($P156=0,"TBA",IFERROR(INDEX(Grids!$BQ$12:$EC$111,$N156,$O156),"-")))</f>
        <v/>
      </c>
      <c r="H156" s="124">
        <f>IF($L156="","",SUM($G$10:$G156))</f>
        <v/>
      </c>
      <c r="I156" s="45">
        <f>IF($L156="","",IF(INT(($L156-INT($L156/10000000)*10000000)/1000000)=0,"Bloomberg projection",IF($P156=1,"ANNOUNCED","ANNOUNCED - amount TBA")))</f>
        <v/>
      </c>
      <c r="J156" s="46">
        <f>IF($L156="","",IF((OV_SWITCH="ON")*(COUNTIFS(OVR_TICKERS,INDEX(HSI!$C$7:$C$106,$N156),OVR_BASE,"&gt;=0")&gt;0)&gt;0,"stock overridden",""))</f>
        <v/>
      </c>
      <c r="L156" s="121">
        <f>IFERROR(IF(SMALL(Grids!$EE$12:$GQ$111,$M$7+147)&gt;=PEND_TO,"",SMALL(Grids!$EE$12:$GQ$111,$M$7+147)),"")</f>
        <v/>
      </c>
      <c r="M156" s="121">
        <f>IF($L156="","",INT($L156/1000000000))</f>
        <v/>
      </c>
      <c r="N156" s="121">
        <f>IF($L156="","",INT(($L156-INT($L156/1000000)*1000000)/1000))</f>
        <v/>
      </c>
      <c r="O156" s="121">
        <f>IF($L156="","",$L156-INT($L156/1000)*1000)</f>
        <v/>
      </c>
      <c r="P156" s="121">
        <f>IF($L156="","",INT(($L156-INT($L156/1000000000)*1000000000)/100000000))</f>
        <v/>
      </c>
    </row>
    <row r="157">
      <c r="B157" s="122">
        <f>IF($L157="","",$M157)</f>
        <v/>
      </c>
      <c r="C157" s="22">
        <f>IF($L157="","",INDEX(HSI!$C$7:$C$106,$N157))</f>
        <v/>
      </c>
      <c r="D157" s="22">
        <f>IF($L157="","",INDEX(HSI!$D$7:$D$106,$N157))</f>
        <v/>
      </c>
      <c r="E157" s="123">
        <f>IF($L157="","",IF($P157=0,"TBA",IFERROR(INDEX(Grids!$C$12:$BO$111,$N157,$O157),"-")))</f>
        <v/>
      </c>
      <c r="F157" s="22">
        <f>IF($L157="","",INDEX(HSI!$F$7:$F$106,$N157))</f>
        <v/>
      </c>
      <c r="G157" s="123">
        <f>IF($L157="","",IF($P157=0,"TBA",IFERROR(INDEX(Grids!$BQ$12:$EC$111,$N157,$O157),"-")))</f>
        <v/>
      </c>
      <c r="H157" s="124">
        <f>IF($L157="","",SUM($G$10:$G157))</f>
        <v/>
      </c>
      <c r="I157" s="45">
        <f>IF($L157="","",IF(INT(($L157-INT($L157/10000000)*10000000)/1000000)=0,"Bloomberg projection",IF($P157=1,"ANNOUNCED","ANNOUNCED - amount TBA")))</f>
        <v/>
      </c>
      <c r="J157" s="46">
        <f>IF($L157="","",IF((OV_SWITCH="ON")*(COUNTIFS(OVR_TICKERS,INDEX(HSI!$C$7:$C$106,$N157),OVR_BASE,"&gt;=0")&gt;0)&gt;0,"stock overridden",""))</f>
        <v/>
      </c>
      <c r="L157" s="121">
        <f>IFERROR(IF(SMALL(Grids!$EE$12:$GQ$111,$M$7+148)&gt;=PEND_TO,"",SMALL(Grids!$EE$12:$GQ$111,$M$7+148)),"")</f>
        <v/>
      </c>
      <c r="M157" s="121">
        <f>IF($L157="","",INT($L157/1000000000))</f>
        <v/>
      </c>
      <c r="N157" s="121">
        <f>IF($L157="","",INT(($L157-INT($L157/1000000)*1000000)/1000))</f>
        <v/>
      </c>
      <c r="O157" s="121">
        <f>IF($L157="","",$L157-INT($L157/1000)*1000)</f>
        <v/>
      </c>
      <c r="P157" s="121">
        <f>IF($L157="","",INT(($L157-INT($L157/1000000000)*1000000000)/100000000))</f>
        <v/>
      </c>
    </row>
    <row r="158">
      <c r="B158" s="122">
        <f>IF($L158="","",$M158)</f>
        <v/>
      </c>
      <c r="C158" s="22">
        <f>IF($L158="","",INDEX(HSI!$C$7:$C$106,$N158))</f>
        <v/>
      </c>
      <c r="D158" s="22">
        <f>IF($L158="","",INDEX(HSI!$D$7:$D$106,$N158))</f>
        <v/>
      </c>
      <c r="E158" s="123">
        <f>IF($L158="","",IF($P158=0,"TBA",IFERROR(INDEX(Grids!$C$12:$BO$111,$N158,$O158),"-")))</f>
        <v/>
      </c>
      <c r="F158" s="22">
        <f>IF($L158="","",INDEX(HSI!$F$7:$F$106,$N158))</f>
        <v/>
      </c>
      <c r="G158" s="123">
        <f>IF($L158="","",IF($P158=0,"TBA",IFERROR(INDEX(Grids!$BQ$12:$EC$111,$N158,$O158),"-")))</f>
        <v/>
      </c>
      <c r="H158" s="124">
        <f>IF($L158="","",SUM($G$10:$G158))</f>
        <v/>
      </c>
      <c r="I158" s="45">
        <f>IF($L158="","",IF(INT(($L158-INT($L158/10000000)*10000000)/1000000)=0,"Bloomberg projection",IF($P158=1,"ANNOUNCED","ANNOUNCED - amount TBA")))</f>
        <v/>
      </c>
      <c r="J158" s="46">
        <f>IF($L158="","",IF((OV_SWITCH="ON")*(COUNTIFS(OVR_TICKERS,INDEX(HSI!$C$7:$C$106,$N158),OVR_BASE,"&gt;=0")&gt;0)&gt;0,"stock overridden",""))</f>
        <v/>
      </c>
      <c r="L158" s="121">
        <f>IFERROR(IF(SMALL(Grids!$EE$12:$GQ$111,$M$7+149)&gt;=PEND_TO,"",SMALL(Grids!$EE$12:$GQ$111,$M$7+149)),"")</f>
        <v/>
      </c>
      <c r="M158" s="121">
        <f>IF($L158="","",INT($L158/1000000000))</f>
        <v/>
      </c>
      <c r="N158" s="121">
        <f>IF($L158="","",INT(($L158-INT($L158/1000000)*1000000)/1000))</f>
        <v/>
      </c>
      <c r="O158" s="121">
        <f>IF($L158="","",$L158-INT($L158/1000)*1000)</f>
        <v/>
      </c>
      <c r="P158" s="121">
        <f>IF($L158="","",INT(($L158-INT($L158/1000000000)*1000000000)/100000000))</f>
        <v/>
      </c>
    </row>
    <row r="159">
      <c r="B159" s="122">
        <f>IF($L159="","",$M159)</f>
        <v/>
      </c>
      <c r="C159" s="22">
        <f>IF($L159="","",INDEX(HSI!$C$7:$C$106,$N159))</f>
        <v/>
      </c>
      <c r="D159" s="22">
        <f>IF($L159="","",INDEX(HSI!$D$7:$D$106,$N159))</f>
        <v/>
      </c>
      <c r="E159" s="123">
        <f>IF($L159="","",IF($P159=0,"TBA",IFERROR(INDEX(Grids!$C$12:$BO$111,$N159,$O159),"-")))</f>
        <v/>
      </c>
      <c r="F159" s="22">
        <f>IF($L159="","",INDEX(HSI!$F$7:$F$106,$N159))</f>
        <v/>
      </c>
      <c r="G159" s="123">
        <f>IF($L159="","",IF($P159=0,"TBA",IFERROR(INDEX(Grids!$BQ$12:$EC$111,$N159,$O159),"-")))</f>
        <v/>
      </c>
      <c r="H159" s="124">
        <f>IF($L159="","",SUM($G$10:$G159))</f>
        <v/>
      </c>
      <c r="I159" s="45">
        <f>IF($L159="","",IF(INT(($L159-INT($L159/10000000)*10000000)/1000000)=0,"Bloomberg projection",IF($P159=1,"ANNOUNCED","ANNOUNCED - amount TBA")))</f>
        <v/>
      </c>
      <c r="J159" s="46">
        <f>IF($L159="","",IF((OV_SWITCH="ON")*(COUNTIFS(OVR_TICKERS,INDEX(HSI!$C$7:$C$106,$N159),OVR_BASE,"&gt;=0")&gt;0)&gt;0,"stock overridden",""))</f>
        <v/>
      </c>
      <c r="L159" s="121">
        <f>IFERROR(IF(SMALL(Grids!$EE$12:$GQ$111,$M$7+150)&gt;=PEND_TO,"",SMALL(Grids!$EE$12:$GQ$111,$M$7+150)),"")</f>
        <v/>
      </c>
      <c r="M159" s="121">
        <f>IF($L159="","",INT($L159/1000000000))</f>
        <v/>
      </c>
      <c r="N159" s="121">
        <f>IF($L159="","",INT(($L159-INT($L159/1000000)*1000000)/1000))</f>
        <v/>
      </c>
      <c r="O159" s="121">
        <f>IF($L159="","",$L159-INT($L159/1000)*1000)</f>
        <v/>
      </c>
      <c r="P159" s="121">
        <f>IF($L159="","",INT(($L159-INT($L159/1000000000)*1000000000)/100000000))</f>
        <v/>
      </c>
    </row>
    <row r="160">
      <c r="B160" s="122">
        <f>IF($L160="","",$M160)</f>
        <v/>
      </c>
      <c r="C160" s="22">
        <f>IF($L160="","",INDEX(HSI!$C$7:$C$106,$N160))</f>
        <v/>
      </c>
      <c r="D160" s="22">
        <f>IF($L160="","",INDEX(HSI!$D$7:$D$106,$N160))</f>
        <v/>
      </c>
      <c r="E160" s="123">
        <f>IF($L160="","",IF($P160=0,"TBA",IFERROR(INDEX(Grids!$C$12:$BO$111,$N160,$O160),"-")))</f>
        <v/>
      </c>
      <c r="F160" s="22">
        <f>IF($L160="","",INDEX(HSI!$F$7:$F$106,$N160))</f>
        <v/>
      </c>
      <c r="G160" s="123">
        <f>IF($L160="","",IF($P160=0,"TBA",IFERROR(INDEX(Grids!$BQ$12:$EC$111,$N160,$O160),"-")))</f>
        <v/>
      </c>
      <c r="H160" s="124">
        <f>IF($L160="","",SUM($G$10:$G160))</f>
        <v/>
      </c>
      <c r="I160" s="45">
        <f>IF($L160="","",IF(INT(($L160-INT($L160/10000000)*10000000)/1000000)=0,"Bloomberg projection",IF($P160=1,"ANNOUNCED","ANNOUNCED - amount TBA")))</f>
        <v/>
      </c>
      <c r="J160" s="46">
        <f>IF($L160="","",IF((OV_SWITCH="ON")*(COUNTIFS(OVR_TICKERS,INDEX(HSI!$C$7:$C$106,$N160),OVR_BASE,"&gt;=0")&gt;0)&gt;0,"stock overridden",""))</f>
        <v/>
      </c>
      <c r="L160" s="121">
        <f>IFERROR(IF(SMALL(Grids!$EE$12:$GQ$111,$M$7+151)&gt;=PEND_TO,"",SMALL(Grids!$EE$12:$GQ$111,$M$7+151)),"")</f>
        <v/>
      </c>
      <c r="M160" s="121">
        <f>IF($L160="","",INT($L160/1000000000))</f>
        <v/>
      </c>
      <c r="N160" s="121">
        <f>IF($L160="","",INT(($L160-INT($L160/1000000)*1000000)/1000))</f>
        <v/>
      </c>
      <c r="O160" s="121">
        <f>IF($L160="","",$L160-INT($L160/1000)*1000)</f>
        <v/>
      </c>
      <c r="P160" s="121">
        <f>IF($L160="","",INT(($L160-INT($L160/1000000000)*1000000000)/100000000))</f>
        <v/>
      </c>
    </row>
    <row r="161">
      <c r="B161" s="122">
        <f>IF($L161="","",$M161)</f>
        <v/>
      </c>
      <c r="C161" s="22">
        <f>IF($L161="","",INDEX(HSI!$C$7:$C$106,$N161))</f>
        <v/>
      </c>
      <c r="D161" s="22">
        <f>IF($L161="","",INDEX(HSI!$D$7:$D$106,$N161))</f>
        <v/>
      </c>
      <c r="E161" s="123">
        <f>IF($L161="","",IF($P161=0,"TBA",IFERROR(INDEX(Grids!$C$12:$BO$111,$N161,$O161),"-")))</f>
        <v/>
      </c>
      <c r="F161" s="22">
        <f>IF($L161="","",INDEX(HSI!$F$7:$F$106,$N161))</f>
        <v/>
      </c>
      <c r="G161" s="123">
        <f>IF($L161="","",IF($P161=0,"TBA",IFERROR(INDEX(Grids!$BQ$12:$EC$111,$N161,$O161),"-")))</f>
        <v/>
      </c>
      <c r="H161" s="124">
        <f>IF($L161="","",SUM($G$10:$G161))</f>
        <v/>
      </c>
      <c r="I161" s="45">
        <f>IF($L161="","",IF(INT(($L161-INT($L161/10000000)*10000000)/1000000)=0,"Bloomberg projection",IF($P161=1,"ANNOUNCED","ANNOUNCED - amount TBA")))</f>
        <v/>
      </c>
      <c r="J161" s="46">
        <f>IF($L161="","",IF((OV_SWITCH="ON")*(COUNTIFS(OVR_TICKERS,INDEX(HSI!$C$7:$C$106,$N161),OVR_BASE,"&gt;=0")&gt;0)&gt;0,"stock overridden",""))</f>
        <v/>
      </c>
      <c r="L161" s="121">
        <f>IFERROR(IF(SMALL(Grids!$EE$12:$GQ$111,$M$7+152)&gt;=PEND_TO,"",SMALL(Grids!$EE$12:$GQ$111,$M$7+152)),"")</f>
        <v/>
      </c>
      <c r="M161" s="121">
        <f>IF($L161="","",INT($L161/1000000000))</f>
        <v/>
      </c>
      <c r="N161" s="121">
        <f>IF($L161="","",INT(($L161-INT($L161/1000000)*1000000)/1000))</f>
        <v/>
      </c>
      <c r="O161" s="121">
        <f>IF($L161="","",$L161-INT($L161/1000)*1000)</f>
        <v/>
      </c>
      <c r="P161" s="121">
        <f>IF($L161="","",INT(($L161-INT($L161/1000000000)*1000000000)/100000000))</f>
        <v/>
      </c>
    </row>
    <row r="162">
      <c r="B162" s="122">
        <f>IF($L162="","",$M162)</f>
        <v/>
      </c>
      <c r="C162" s="22">
        <f>IF($L162="","",INDEX(HSI!$C$7:$C$106,$N162))</f>
        <v/>
      </c>
      <c r="D162" s="22">
        <f>IF($L162="","",INDEX(HSI!$D$7:$D$106,$N162))</f>
        <v/>
      </c>
      <c r="E162" s="123">
        <f>IF($L162="","",IF($P162=0,"TBA",IFERROR(INDEX(Grids!$C$12:$BO$111,$N162,$O162),"-")))</f>
        <v/>
      </c>
      <c r="F162" s="22">
        <f>IF($L162="","",INDEX(HSI!$F$7:$F$106,$N162))</f>
        <v/>
      </c>
      <c r="G162" s="123">
        <f>IF($L162="","",IF($P162=0,"TBA",IFERROR(INDEX(Grids!$BQ$12:$EC$111,$N162,$O162),"-")))</f>
        <v/>
      </c>
      <c r="H162" s="124">
        <f>IF($L162="","",SUM($G$10:$G162))</f>
        <v/>
      </c>
      <c r="I162" s="45">
        <f>IF($L162="","",IF(INT(($L162-INT($L162/10000000)*10000000)/1000000)=0,"Bloomberg projection",IF($P162=1,"ANNOUNCED","ANNOUNCED - amount TBA")))</f>
        <v/>
      </c>
      <c r="J162" s="46">
        <f>IF($L162="","",IF((OV_SWITCH="ON")*(COUNTIFS(OVR_TICKERS,INDEX(HSI!$C$7:$C$106,$N162),OVR_BASE,"&gt;=0")&gt;0)&gt;0,"stock overridden",""))</f>
        <v/>
      </c>
      <c r="L162" s="121">
        <f>IFERROR(IF(SMALL(Grids!$EE$12:$GQ$111,$M$7+153)&gt;=PEND_TO,"",SMALL(Grids!$EE$12:$GQ$111,$M$7+153)),"")</f>
        <v/>
      </c>
      <c r="M162" s="121">
        <f>IF($L162="","",INT($L162/1000000000))</f>
        <v/>
      </c>
      <c r="N162" s="121">
        <f>IF($L162="","",INT(($L162-INT($L162/1000000)*1000000)/1000))</f>
        <v/>
      </c>
      <c r="O162" s="121">
        <f>IF($L162="","",$L162-INT($L162/1000)*1000)</f>
        <v/>
      </c>
      <c r="P162" s="121">
        <f>IF($L162="","",INT(($L162-INT($L162/1000000000)*1000000000)/100000000))</f>
        <v/>
      </c>
    </row>
    <row r="163">
      <c r="B163" s="122">
        <f>IF($L163="","",$M163)</f>
        <v/>
      </c>
      <c r="C163" s="22">
        <f>IF($L163="","",INDEX(HSI!$C$7:$C$106,$N163))</f>
        <v/>
      </c>
      <c r="D163" s="22">
        <f>IF($L163="","",INDEX(HSI!$D$7:$D$106,$N163))</f>
        <v/>
      </c>
      <c r="E163" s="123">
        <f>IF($L163="","",IF($P163=0,"TBA",IFERROR(INDEX(Grids!$C$12:$BO$111,$N163,$O163),"-")))</f>
        <v/>
      </c>
      <c r="F163" s="22">
        <f>IF($L163="","",INDEX(HSI!$F$7:$F$106,$N163))</f>
        <v/>
      </c>
      <c r="G163" s="123">
        <f>IF($L163="","",IF($P163=0,"TBA",IFERROR(INDEX(Grids!$BQ$12:$EC$111,$N163,$O163),"-")))</f>
        <v/>
      </c>
      <c r="H163" s="124">
        <f>IF($L163="","",SUM($G$10:$G163))</f>
        <v/>
      </c>
      <c r="I163" s="45">
        <f>IF($L163="","",IF(INT(($L163-INT($L163/10000000)*10000000)/1000000)=0,"Bloomberg projection",IF($P163=1,"ANNOUNCED","ANNOUNCED - amount TBA")))</f>
        <v/>
      </c>
      <c r="J163" s="46">
        <f>IF($L163="","",IF((OV_SWITCH="ON")*(COUNTIFS(OVR_TICKERS,INDEX(HSI!$C$7:$C$106,$N163),OVR_BASE,"&gt;=0")&gt;0)&gt;0,"stock overridden",""))</f>
        <v/>
      </c>
      <c r="L163" s="121">
        <f>IFERROR(IF(SMALL(Grids!$EE$12:$GQ$111,$M$7+154)&gt;=PEND_TO,"",SMALL(Grids!$EE$12:$GQ$111,$M$7+154)),"")</f>
        <v/>
      </c>
      <c r="M163" s="121">
        <f>IF($L163="","",INT($L163/1000000000))</f>
        <v/>
      </c>
      <c r="N163" s="121">
        <f>IF($L163="","",INT(($L163-INT($L163/1000000)*1000000)/1000))</f>
        <v/>
      </c>
      <c r="O163" s="121">
        <f>IF($L163="","",$L163-INT($L163/1000)*1000)</f>
        <v/>
      </c>
      <c r="P163" s="121">
        <f>IF($L163="","",INT(($L163-INT($L163/1000000000)*1000000000)/100000000))</f>
        <v/>
      </c>
    </row>
    <row r="164">
      <c r="B164" s="122">
        <f>IF($L164="","",$M164)</f>
        <v/>
      </c>
      <c r="C164" s="22">
        <f>IF($L164="","",INDEX(HSI!$C$7:$C$106,$N164))</f>
        <v/>
      </c>
      <c r="D164" s="22">
        <f>IF($L164="","",INDEX(HSI!$D$7:$D$106,$N164))</f>
        <v/>
      </c>
      <c r="E164" s="123">
        <f>IF($L164="","",IF($P164=0,"TBA",IFERROR(INDEX(Grids!$C$12:$BO$111,$N164,$O164),"-")))</f>
        <v/>
      </c>
      <c r="F164" s="22">
        <f>IF($L164="","",INDEX(HSI!$F$7:$F$106,$N164))</f>
        <v/>
      </c>
      <c r="G164" s="123">
        <f>IF($L164="","",IF($P164=0,"TBA",IFERROR(INDEX(Grids!$BQ$12:$EC$111,$N164,$O164),"-")))</f>
        <v/>
      </c>
      <c r="H164" s="124">
        <f>IF($L164="","",SUM($G$10:$G164))</f>
        <v/>
      </c>
      <c r="I164" s="45">
        <f>IF($L164="","",IF(INT(($L164-INT($L164/10000000)*10000000)/1000000)=0,"Bloomberg projection",IF($P164=1,"ANNOUNCED","ANNOUNCED - amount TBA")))</f>
        <v/>
      </c>
      <c r="J164" s="46">
        <f>IF($L164="","",IF((OV_SWITCH="ON")*(COUNTIFS(OVR_TICKERS,INDEX(HSI!$C$7:$C$106,$N164),OVR_BASE,"&gt;=0")&gt;0)&gt;0,"stock overridden",""))</f>
        <v/>
      </c>
      <c r="L164" s="121">
        <f>IFERROR(IF(SMALL(Grids!$EE$12:$GQ$111,$M$7+155)&gt;=PEND_TO,"",SMALL(Grids!$EE$12:$GQ$111,$M$7+155)),"")</f>
        <v/>
      </c>
      <c r="M164" s="121">
        <f>IF($L164="","",INT($L164/1000000000))</f>
        <v/>
      </c>
      <c r="N164" s="121">
        <f>IF($L164="","",INT(($L164-INT($L164/1000000)*1000000)/1000))</f>
        <v/>
      </c>
      <c r="O164" s="121">
        <f>IF($L164="","",$L164-INT($L164/1000)*1000)</f>
        <v/>
      </c>
      <c r="P164" s="121">
        <f>IF($L164="","",INT(($L164-INT($L164/1000000000)*1000000000)/100000000))</f>
        <v/>
      </c>
    </row>
    <row r="165">
      <c r="B165" s="122">
        <f>IF($L165="","",$M165)</f>
        <v/>
      </c>
      <c r="C165" s="22">
        <f>IF($L165="","",INDEX(HSI!$C$7:$C$106,$N165))</f>
        <v/>
      </c>
      <c r="D165" s="22">
        <f>IF($L165="","",INDEX(HSI!$D$7:$D$106,$N165))</f>
        <v/>
      </c>
      <c r="E165" s="123">
        <f>IF($L165="","",IF($P165=0,"TBA",IFERROR(INDEX(Grids!$C$12:$BO$111,$N165,$O165),"-")))</f>
        <v/>
      </c>
      <c r="F165" s="22">
        <f>IF($L165="","",INDEX(HSI!$F$7:$F$106,$N165))</f>
        <v/>
      </c>
      <c r="G165" s="123">
        <f>IF($L165="","",IF($P165=0,"TBA",IFERROR(INDEX(Grids!$BQ$12:$EC$111,$N165,$O165),"-")))</f>
        <v/>
      </c>
      <c r="H165" s="124">
        <f>IF($L165="","",SUM($G$10:$G165))</f>
        <v/>
      </c>
      <c r="I165" s="45">
        <f>IF($L165="","",IF(INT(($L165-INT($L165/10000000)*10000000)/1000000)=0,"Bloomberg projection",IF($P165=1,"ANNOUNCED","ANNOUNCED - amount TBA")))</f>
        <v/>
      </c>
      <c r="J165" s="46">
        <f>IF($L165="","",IF((OV_SWITCH="ON")*(COUNTIFS(OVR_TICKERS,INDEX(HSI!$C$7:$C$106,$N165),OVR_BASE,"&gt;=0")&gt;0)&gt;0,"stock overridden",""))</f>
        <v/>
      </c>
      <c r="L165" s="121">
        <f>IFERROR(IF(SMALL(Grids!$EE$12:$GQ$111,$M$7+156)&gt;=PEND_TO,"",SMALL(Grids!$EE$12:$GQ$111,$M$7+156)),"")</f>
        <v/>
      </c>
      <c r="M165" s="121">
        <f>IF($L165="","",INT($L165/1000000000))</f>
        <v/>
      </c>
      <c r="N165" s="121">
        <f>IF($L165="","",INT(($L165-INT($L165/1000000)*1000000)/1000))</f>
        <v/>
      </c>
      <c r="O165" s="121">
        <f>IF($L165="","",$L165-INT($L165/1000)*1000)</f>
        <v/>
      </c>
      <c r="P165" s="121">
        <f>IF($L165="","",INT(($L165-INT($L165/1000000000)*1000000000)/100000000))</f>
        <v/>
      </c>
    </row>
    <row r="166">
      <c r="B166" s="122">
        <f>IF($L166="","",$M166)</f>
        <v/>
      </c>
      <c r="C166" s="22">
        <f>IF($L166="","",INDEX(HSI!$C$7:$C$106,$N166))</f>
        <v/>
      </c>
      <c r="D166" s="22">
        <f>IF($L166="","",INDEX(HSI!$D$7:$D$106,$N166))</f>
        <v/>
      </c>
      <c r="E166" s="123">
        <f>IF($L166="","",IF($P166=0,"TBA",IFERROR(INDEX(Grids!$C$12:$BO$111,$N166,$O166),"-")))</f>
        <v/>
      </c>
      <c r="F166" s="22">
        <f>IF($L166="","",INDEX(HSI!$F$7:$F$106,$N166))</f>
        <v/>
      </c>
      <c r="G166" s="123">
        <f>IF($L166="","",IF($P166=0,"TBA",IFERROR(INDEX(Grids!$BQ$12:$EC$111,$N166,$O166),"-")))</f>
        <v/>
      </c>
      <c r="H166" s="124">
        <f>IF($L166="","",SUM($G$10:$G166))</f>
        <v/>
      </c>
      <c r="I166" s="45">
        <f>IF($L166="","",IF(INT(($L166-INT($L166/10000000)*10000000)/1000000)=0,"Bloomberg projection",IF($P166=1,"ANNOUNCED","ANNOUNCED - amount TBA")))</f>
        <v/>
      </c>
      <c r="J166" s="46">
        <f>IF($L166="","",IF((OV_SWITCH="ON")*(COUNTIFS(OVR_TICKERS,INDEX(HSI!$C$7:$C$106,$N166),OVR_BASE,"&gt;=0")&gt;0)&gt;0,"stock overridden",""))</f>
        <v/>
      </c>
      <c r="L166" s="121">
        <f>IFERROR(IF(SMALL(Grids!$EE$12:$GQ$111,$M$7+157)&gt;=PEND_TO,"",SMALL(Grids!$EE$12:$GQ$111,$M$7+157)),"")</f>
        <v/>
      </c>
      <c r="M166" s="121">
        <f>IF($L166="","",INT($L166/1000000000))</f>
        <v/>
      </c>
      <c r="N166" s="121">
        <f>IF($L166="","",INT(($L166-INT($L166/1000000)*1000000)/1000))</f>
        <v/>
      </c>
      <c r="O166" s="121">
        <f>IF($L166="","",$L166-INT($L166/1000)*1000)</f>
        <v/>
      </c>
      <c r="P166" s="121">
        <f>IF($L166="","",INT(($L166-INT($L166/1000000000)*1000000000)/100000000))</f>
        <v/>
      </c>
    </row>
    <row r="167">
      <c r="B167" s="122">
        <f>IF($L167="","",$M167)</f>
        <v/>
      </c>
      <c r="C167" s="22">
        <f>IF($L167="","",INDEX(HSI!$C$7:$C$106,$N167))</f>
        <v/>
      </c>
      <c r="D167" s="22">
        <f>IF($L167="","",INDEX(HSI!$D$7:$D$106,$N167))</f>
        <v/>
      </c>
      <c r="E167" s="123">
        <f>IF($L167="","",IF($P167=0,"TBA",IFERROR(INDEX(Grids!$C$12:$BO$111,$N167,$O167),"-")))</f>
        <v/>
      </c>
      <c r="F167" s="22">
        <f>IF($L167="","",INDEX(HSI!$F$7:$F$106,$N167))</f>
        <v/>
      </c>
      <c r="G167" s="123">
        <f>IF($L167="","",IF($P167=0,"TBA",IFERROR(INDEX(Grids!$BQ$12:$EC$111,$N167,$O167),"-")))</f>
        <v/>
      </c>
      <c r="H167" s="124">
        <f>IF($L167="","",SUM($G$10:$G167))</f>
        <v/>
      </c>
      <c r="I167" s="45">
        <f>IF($L167="","",IF(INT(($L167-INT($L167/10000000)*10000000)/1000000)=0,"Bloomberg projection",IF($P167=1,"ANNOUNCED","ANNOUNCED - amount TBA")))</f>
        <v/>
      </c>
      <c r="J167" s="46">
        <f>IF($L167="","",IF((OV_SWITCH="ON")*(COUNTIFS(OVR_TICKERS,INDEX(HSI!$C$7:$C$106,$N167),OVR_BASE,"&gt;=0")&gt;0)&gt;0,"stock overridden",""))</f>
        <v/>
      </c>
      <c r="L167" s="121">
        <f>IFERROR(IF(SMALL(Grids!$EE$12:$GQ$111,$M$7+158)&gt;=PEND_TO,"",SMALL(Grids!$EE$12:$GQ$111,$M$7+158)),"")</f>
        <v/>
      </c>
      <c r="M167" s="121">
        <f>IF($L167="","",INT($L167/1000000000))</f>
        <v/>
      </c>
      <c r="N167" s="121">
        <f>IF($L167="","",INT(($L167-INT($L167/1000000)*1000000)/1000))</f>
        <v/>
      </c>
      <c r="O167" s="121">
        <f>IF($L167="","",$L167-INT($L167/1000)*1000)</f>
        <v/>
      </c>
      <c r="P167" s="121">
        <f>IF($L167="","",INT(($L167-INT($L167/1000000000)*1000000000)/100000000))</f>
        <v/>
      </c>
    </row>
    <row r="168">
      <c r="B168" s="122">
        <f>IF($L168="","",$M168)</f>
        <v/>
      </c>
      <c r="C168" s="22">
        <f>IF($L168="","",INDEX(HSI!$C$7:$C$106,$N168))</f>
        <v/>
      </c>
      <c r="D168" s="22">
        <f>IF($L168="","",INDEX(HSI!$D$7:$D$106,$N168))</f>
        <v/>
      </c>
      <c r="E168" s="123">
        <f>IF($L168="","",IF($P168=0,"TBA",IFERROR(INDEX(Grids!$C$12:$BO$111,$N168,$O168),"-")))</f>
        <v/>
      </c>
      <c r="F168" s="22">
        <f>IF($L168="","",INDEX(HSI!$F$7:$F$106,$N168))</f>
        <v/>
      </c>
      <c r="G168" s="123">
        <f>IF($L168="","",IF($P168=0,"TBA",IFERROR(INDEX(Grids!$BQ$12:$EC$111,$N168,$O168),"-")))</f>
        <v/>
      </c>
      <c r="H168" s="124">
        <f>IF($L168="","",SUM($G$10:$G168))</f>
        <v/>
      </c>
      <c r="I168" s="45">
        <f>IF($L168="","",IF(INT(($L168-INT($L168/10000000)*10000000)/1000000)=0,"Bloomberg projection",IF($P168=1,"ANNOUNCED","ANNOUNCED - amount TBA")))</f>
        <v/>
      </c>
      <c r="J168" s="46">
        <f>IF($L168="","",IF((OV_SWITCH="ON")*(COUNTIFS(OVR_TICKERS,INDEX(HSI!$C$7:$C$106,$N168),OVR_BASE,"&gt;=0")&gt;0)&gt;0,"stock overridden",""))</f>
        <v/>
      </c>
      <c r="L168" s="121">
        <f>IFERROR(IF(SMALL(Grids!$EE$12:$GQ$111,$M$7+159)&gt;=PEND_TO,"",SMALL(Grids!$EE$12:$GQ$111,$M$7+159)),"")</f>
        <v/>
      </c>
      <c r="M168" s="121">
        <f>IF($L168="","",INT($L168/1000000000))</f>
        <v/>
      </c>
      <c r="N168" s="121">
        <f>IF($L168="","",INT(($L168-INT($L168/1000000)*1000000)/1000))</f>
        <v/>
      </c>
      <c r="O168" s="121">
        <f>IF($L168="","",$L168-INT($L168/1000)*1000)</f>
        <v/>
      </c>
      <c r="P168" s="121">
        <f>IF($L168="","",INT(($L168-INT($L168/1000000000)*1000000000)/100000000))</f>
        <v/>
      </c>
    </row>
    <row r="169">
      <c r="B169" s="122">
        <f>IF($L169="","",$M169)</f>
        <v/>
      </c>
      <c r="C169" s="22">
        <f>IF($L169="","",INDEX(HSI!$C$7:$C$106,$N169))</f>
        <v/>
      </c>
      <c r="D169" s="22">
        <f>IF($L169="","",INDEX(HSI!$D$7:$D$106,$N169))</f>
        <v/>
      </c>
      <c r="E169" s="123">
        <f>IF($L169="","",IF($P169=0,"TBA",IFERROR(INDEX(Grids!$C$12:$BO$111,$N169,$O169),"-")))</f>
        <v/>
      </c>
      <c r="F169" s="22">
        <f>IF($L169="","",INDEX(HSI!$F$7:$F$106,$N169))</f>
        <v/>
      </c>
      <c r="G169" s="123">
        <f>IF($L169="","",IF($P169=0,"TBA",IFERROR(INDEX(Grids!$BQ$12:$EC$111,$N169,$O169),"-")))</f>
        <v/>
      </c>
      <c r="H169" s="124">
        <f>IF($L169="","",SUM($G$10:$G169))</f>
        <v/>
      </c>
      <c r="I169" s="45">
        <f>IF($L169="","",IF(INT(($L169-INT($L169/10000000)*10000000)/1000000)=0,"Bloomberg projection",IF($P169=1,"ANNOUNCED","ANNOUNCED - amount TBA")))</f>
        <v/>
      </c>
      <c r="J169" s="46">
        <f>IF($L169="","",IF((OV_SWITCH="ON")*(COUNTIFS(OVR_TICKERS,INDEX(HSI!$C$7:$C$106,$N169),OVR_BASE,"&gt;=0")&gt;0)&gt;0,"stock overridden",""))</f>
        <v/>
      </c>
      <c r="L169" s="121">
        <f>IFERROR(IF(SMALL(Grids!$EE$12:$GQ$111,$M$7+160)&gt;=PEND_TO,"",SMALL(Grids!$EE$12:$GQ$111,$M$7+160)),"")</f>
        <v/>
      </c>
      <c r="M169" s="121">
        <f>IF($L169="","",INT($L169/1000000000))</f>
        <v/>
      </c>
      <c r="N169" s="121">
        <f>IF($L169="","",INT(($L169-INT($L169/1000000)*1000000)/1000))</f>
        <v/>
      </c>
      <c r="O169" s="121">
        <f>IF($L169="","",$L169-INT($L169/1000)*1000)</f>
        <v/>
      </c>
      <c r="P169" s="121">
        <f>IF($L169="","",INT(($L169-INT($L169/1000000000)*1000000000)/100000000))</f>
        <v/>
      </c>
    </row>
    <row r="170">
      <c r="B170" s="122">
        <f>IF($L170="","",$M170)</f>
        <v/>
      </c>
      <c r="C170" s="22">
        <f>IF($L170="","",INDEX(HSI!$C$7:$C$106,$N170))</f>
        <v/>
      </c>
      <c r="D170" s="22">
        <f>IF($L170="","",INDEX(HSI!$D$7:$D$106,$N170))</f>
        <v/>
      </c>
      <c r="E170" s="123">
        <f>IF($L170="","",IF($P170=0,"TBA",IFERROR(INDEX(Grids!$C$12:$BO$111,$N170,$O170),"-")))</f>
        <v/>
      </c>
      <c r="F170" s="22">
        <f>IF($L170="","",INDEX(HSI!$F$7:$F$106,$N170))</f>
        <v/>
      </c>
      <c r="G170" s="123">
        <f>IF($L170="","",IF($P170=0,"TBA",IFERROR(INDEX(Grids!$BQ$12:$EC$111,$N170,$O170),"-")))</f>
        <v/>
      </c>
      <c r="H170" s="124">
        <f>IF($L170="","",SUM($G$10:$G170))</f>
        <v/>
      </c>
      <c r="I170" s="45">
        <f>IF($L170="","",IF(INT(($L170-INT($L170/10000000)*10000000)/1000000)=0,"Bloomberg projection",IF($P170=1,"ANNOUNCED","ANNOUNCED - amount TBA")))</f>
        <v/>
      </c>
      <c r="J170" s="46">
        <f>IF($L170="","",IF((OV_SWITCH="ON")*(COUNTIFS(OVR_TICKERS,INDEX(HSI!$C$7:$C$106,$N170),OVR_BASE,"&gt;=0")&gt;0)&gt;0,"stock overridden",""))</f>
        <v/>
      </c>
      <c r="L170" s="121">
        <f>IFERROR(IF(SMALL(Grids!$EE$12:$GQ$111,$M$7+161)&gt;=PEND_TO,"",SMALL(Grids!$EE$12:$GQ$111,$M$7+161)),"")</f>
        <v/>
      </c>
      <c r="M170" s="121">
        <f>IF($L170="","",INT($L170/1000000000))</f>
        <v/>
      </c>
      <c r="N170" s="121">
        <f>IF($L170="","",INT(($L170-INT($L170/1000000)*1000000)/1000))</f>
        <v/>
      </c>
      <c r="O170" s="121">
        <f>IF($L170="","",$L170-INT($L170/1000)*1000)</f>
        <v/>
      </c>
      <c r="P170" s="121">
        <f>IF($L170="","",INT(($L170-INT($L170/1000000000)*1000000000)/100000000))</f>
        <v/>
      </c>
    </row>
    <row r="171">
      <c r="B171" s="122">
        <f>IF($L171="","",$M171)</f>
        <v/>
      </c>
      <c r="C171" s="22">
        <f>IF($L171="","",INDEX(HSI!$C$7:$C$106,$N171))</f>
        <v/>
      </c>
      <c r="D171" s="22">
        <f>IF($L171="","",INDEX(HSI!$D$7:$D$106,$N171))</f>
        <v/>
      </c>
      <c r="E171" s="123">
        <f>IF($L171="","",IF($P171=0,"TBA",IFERROR(INDEX(Grids!$C$12:$BO$111,$N171,$O171),"-")))</f>
        <v/>
      </c>
      <c r="F171" s="22">
        <f>IF($L171="","",INDEX(HSI!$F$7:$F$106,$N171))</f>
        <v/>
      </c>
      <c r="G171" s="123">
        <f>IF($L171="","",IF($P171=0,"TBA",IFERROR(INDEX(Grids!$BQ$12:$EC$111,$N171,$O171),"-")))</f>
        <v/>
      </c>
      <c r="H171" s="124">
        <f>IF($L171="","",SUM($G$10:$G171))</f>
        <v/>
      </c>
      <c r="I171" s="45">
        <f>IF($L171="","",IF(INT(($L171-INT($L171/10000000)*10000000)/1000000)=0,"Bloomberg projection",IF($P171=1,"ANNOUNCED","ANNOUNCED - amount TBA")))</f>
        <v/>
      </c>
      <c r="J171" s="46">
        <f>IF($L171="","",IF((OV_SWITCH="ON")*(COUNTIFS(OVR_TICKERS,INDEX(HSI!$C$7:$C$106,$N171),OVR_BASE,"&gt;=0")&gt;0)&gt;0,"stock overridden",""))</f>
        <v/>
      </c>
      <c r="L171" s="121">
        <f>IFERROR(IF(SMALL(Grids!$EE$12:$GQ$111,$M$7+162)&gt;=PEND_TO,"",SMALL(Grids!$EE$12:$GQ$111,$M$7+162)),"")</f>
        <v/>
      </c>
      <c r="M171" s="121">
        <f>IF($L171="","",INT($L171/1000000000))</f>
        <v/>
      </c>
      <c r="N171" s="121">
        <f>IF($L171="","",INT(($L171-INT($L171/1000000)*1000000)/1000))</f>
        <v/>
      </c>
      <c r="O171" s="121">
        <f>IF($L171="","",$L171-INT($L171/1000)*1000)</f>
        <v/>
      </c>
      <c r="P171" s="121">
        <f>IF($L171="","",INT(($L171-INT($L171/1000000000)*1000000000)/100000000))</f>
        <v/>
      </c>
    </row>
    <row r="172">
      <c r="B172" s="122">
        <f>IF($L172="","",$M172)</f>
        <v/>
      </c>
      <c r="C172" s="22">
        <f>IF($L172="","",INDEX(HSI!$C$7:$C$106,$N172))</f>
        <v/>
      </c>
      <c r="D172" s="22">
        <f>IF($L172="","",INDEX(HSI!$D$7:$D$106,$N172))</f>
        <v/>
      </c>
      <c r="E172" s="123">
        <f>IF($L172="","",IF($P172=0,"TBA",IFERROR(INDEX(Grids!$C$12:$BO$111,$N172,$O172),"-")))</f>
        <v/>
      </c>
      <c r="F172" s="22">
        <f>IF($L172="","",INDEX(HSI!$F$7:$F$106,$N172))</f>
        <v/>
      </c>
      <c r="G172" s="123">
        <f>IF($L172="","",IF($P172=0,"TBA",IFERROR(INDEX(Grids!$BQ$12:$EC$111,$N172,$O172),"-")))</f>
        <v/>
      </c>
      <c r="H172" s="124">
        <f>IF($L172="","",SUM($G$10:$G172))</f>
        <v/>
      </c>
      <c r="I172" s="45">
        <f>IF($L172="","",IF(INT(($L172-INT($L172/10000000)*10000000)/1000000)=0,"Bloomberg projection",IF($P172=1,"ANNOUNCED","ANNOUNCED - amount TBA")))</f>
        <v/>
      </c>
      <c r="J172" s="46">
        <f>IF($L172="","",IF((OV_SWITCH="ON")*(COUNTIFS(OVR_TICKERS,INDEX(HSI!$C$7:$C$106,$N172),OVR_BASE,"&gt;=0")&gt;0)&gt;0,"stock overridden",""))</f>
        <v/>
      </c>
      <c r="L172" s="121">
        <f>IFERROR(IF(SMALL(Grids!$EE$12:$GQ$111,$M$7+163)&gt;=PEND_TO,"",SMALL(Grids!$EE$12:$GQ$111,$M$7+163)),"")</f>
        <v/>
      </c>
      <c r="M172" s="121">
        <f>IF($L172="","",INT($L172/1000000000))</f>
        <v/>
      </c>
      <c r="N172" s="121">
        <f>IF($L172="","",INT(($L172-INT($L172/1000000)*1000000)/1000))</f>
        <v/>
      </c>
      <c r="O172" s="121">
        <f>IF($L172="","",$L172-INT($L172/1000)*1000)</f>
        <v/>
      </c>
      <c r="P172" s="121">
        <f>IF($L172="","",INT(($L172-INT($L172/1000000000)*1000000000)/100000000))</f>
        <v/>
      </c>
    </row>
    <row r="173">
      <c r="B173" s="122">
        <f>IF($L173="","",$M173)</f>
        <v/>
      </c>
      <c r="C173" s="22">
        <f>IF($L173="","",INDEX(HSI!$C$7:$C$106,$N173))</f>
        <v/>
      </c>
      <c r="D173" s="22">
        <f>IF($L173="","",INDEX(HSI!$D$7:$D$106,$N173))</f>
        <v/>
      </c>
      <c r="E173" s="123">
        <f>IF($L173="","",IF($P173=0,"TBA",IFERROR(INDEX(Grids!$C$12:$BO$111,$N173,$O173),"-")))</f>
        <v/>
      </c>
      <c r="F173" s="22">
        <f>IF($L173="","",INDEX(HSI!$F$7:$F$106,$N173))</f>
        <v/>
      </c>
      <c r="G173" s="123">
        <f>IF($L173="","",IF($P173=0,"TBA",IFERROR(INDEX(Grids!$BQ$12:$EC$111,$N173,$O173),"-")))</f>
        <v/>
      </c>
      <c r="H173" s="124">
        <f>IF($L173="","",SUM($G$10:$G173))</f>
        <v/>
      </c>
      <c r="I173" s="45">
        <f>IF($L173="","",IF(INT(($L173-INT($L173/10000000)*10000000)/1000000)=0,"Bloomberg projection",IF($P173=1,"ANNOUNCED","ANNOUNCED - amount TBA")))</f>
        <v/>
      </c>
      <c r="J173" s="46">
        <f>IF($L173="","",IF((OV_SWITCH="ON")*(COUNTIFS(OVR_TICKERS,INDEX(HSI!$C$7:$C$106,$N173),OVR_BASE,"&gt;=0")&gt;0)&gt;0,"stock overridden",""))</f>
        <v/>
      </c>
      <c r="L173" s="121">
        <f>IFERROR(IF(SMALL(Grids!$EE$12:$GQ$111,$M$7+164)&gt;=PEND_TO,"",SMALL(Grids!$EE$12:$GQ$111,$M$7+164)),"")</f>
        <v/>
      </c>
      <c r="M173" s="121">
        <f>IF($L173="","",INT($L173/1000000000))</f>
        <v/>
      </c>
      <c r="N173" s="121">
        <f>IF($L173="","",INT(($L173-INT($L173/1000000)*1000000)/1000))</f>
        <v/>
      </c>
      <c r="O173" s="121">
        <f>IF($L173="","",$L173-INT($L173/1000)*1000)</f>
        <v/>
      </c>
      <c r="P173" s="121">
        <f>IF($L173="","",INT(($L173-INT($L173/1000000000)*1000000000)/100000000))</f>
        <v/>
      </c>
    </row>
    <row r="174">
      <c r="B174" s="122">
        <f>IF($L174="","",$M174)</f>
        <v/>
      </c>
      <c r="C174" s="22">
        <f>IF($L174="","",INDEX(HSI!$C$7:$C$106,$N174))</f>
        <v/>
      </c>
      <c r="D174" s="22">
        <f>IF($L174="","",INDEX(HSI!$D$7:$D$106,$N174))</f>
        <v/>
      </c>
      <c r="E174" s="123">
        <f>IF($L174="","",IF($P174=0,"TBA",IFERROR(INDEX(Grids!$C$12:$BO$111,$N174,$O174),"-")))</f>
        <v/>
      </c>
      <c r="F174" s="22">
        <f>IF($L174="","",INDEX(HSI!$F$7:$F$106,$N174))</f>
        <v/>
      </c>
      <c r="G174" s="123">
        <f>IF($L174="","",IF($P174=0,"TBA",IFERROR(INDEX(Grids!$BQ$12:$EC$111,$N174,$O174),"-")))</f>
        <v/>
      </c>
      <c r="H174" s="124">
        <f>IF($L174="","",SUM($G$10:$G174))</f>
        <v/>
      </c>
      <c r="I174" s="45">
        <f>IF($L174="","",IF(INT(($L174-INT($L174/10000000)*10000000)/1000000)=0,"Bloomberg projection",IF($P174=1,"ANNOUNCED","ANNOUNCED - amount TBA")))</f>
        <v/>
      </c>
      <c r="J174" s="46">
        <f>IF($L174="","",IF((OV_SWITCH="ON")*(COUNTIFS(OVR_TICKERS,INDEX(HSI!$C$7:$C$106,$N174),OVR_BASE,"&gt;=0")&gt;0)&gt;0,"stock overridden",""))</f>
        <v/>
      </c>
      <c r="L174" s="121">
        <f>IFERROR(IF(SMALL(Grids!$EE$12:$GQ$111,$M$7+165)&gt;=PEND_TO,"",SMALL(Grids!$EE$12:$GQ$111,$M$7+165)),"")</f>
        <v/>
      </c>
      <c r="M174" s="121">
        <f>IF($L174="","",INT($L174/1000000000))</f>
        <v/>
      </c>
      <c r="N174" s="121">
        <f>IF($L174="","",INT(($L174-INT($L174/1000000)*1000000)/1000))</f>
        <v/>
      </c>
      <c r="O174" s="121">
        <f>IF($L174="","",$L174-INT($L174/1000)*1000)</f>
        <v/>
      </c>
      <c r="P174" s="121">
        <f>IF($L174="","",INT(($L174-INT($L174/1000000000)*1000000000)/100000000))</f>
        <v/>
      </c>
    </row>
    <row r="175">
      <c r="B175" s="122">
        <f>IF($L175="","",$M175)</f>
        <v/>
      </c>
      <c r="C175" s="22">
        <f>IF($L175="","",INDEX(HSI!$C$7:$C$106,$N175))</f>
        <v/>
      </c>
      <c r="D175" s="22">
        <f>IF($L175="","",INDEX(HSI!$D$7:$D$106,$N175))</f>
        <v/>
      </c>
      <c r="E175" s="123">
        <f>IF($L175="","",IF($P175=0,"TBA",IFERROR(INDEX(Grids!$C$12:$BO$111,$N175,$O175),"-")))</f>
        <v/>
      </c>
      <c r="F175" s="22">
        <f>IF($L175="","",INDEX(HSI!$F$7:$F$106,$N175))</f>
        <v/>
      </c>
      <c r="G175" s="123">
        <f>IF($L175="","",IF($P175=0,"TBA",IFERROR(INDEX(Grids!$BQ$12:$EC$111,$N175,$O175),"-")))</f>
        <v/>
      </c>
      <c r="H175" s="124">
        <f>IF($L175="","",SUM($G$10:$G175))</f>
        <v/>
      </c>
      <c r="I175" s="45">
        <f>IF($L175="","",IF(INT(($L175-INT($L175/10000000)*10000000)/1000000)=0,"Bloomberg projection",IF($P175=1,"ANNOUNCED","ANNOUNCED - amount TBA")))</f>
        <v/>
      </c>
      <c r="J175" s="46">
        <f>IF($L175="","",IF((OV_SWITCH="ON")*(COUNTIFS(OVR_TICKERS,INDEX(HSI!$C$7:$C$106,$N175),OVR_BASE,"&gt;=0")&gt;0)&gt;0,"stock overridden",""))</f>
        <v/>
      </c>
      <c r="L175" s="121">
        <f>IFERROR(IF(SMALL(Grids!$EE$12:$GQ$111,$M$7+166)&gt;=PEND_TO,"",SMALL(Grids!$EE$12:$GQ$111,$M$7+166)),"")</f>
        <v/>
      </c>
      <c r="M175" s="121">
        <f>IF($L175="","",INT($L175/1000000000))</f>
        <v/>
      </c>
      <c r="N175" s="121">
        <f>IF($L175="","",INT(($L175-INT($L175/1000000)*1000000)/1000))</f>
        <v/>
      </c>
      <c r="O175" s="121">
        <f>IF($L175="","",$L175-INT($L175/1000)*1000)</f>
        <v/>
      </c>
      <c r="P175" s="121">
        <f>IF($L175="","",INT(($L175-INT($L175/1000000000)*1000000000)/100000000))</f>
        <v/>
      </c>
    </row>
    <row r="176">
      <c r="B176" s="122">
        <f>IF($L176="","",$M176)</f>
        <v/>
      </c>
      <c r="C176" s="22">
        <f>IF($L176="","",INDEX(HSI!$C$7:$C$106,$N176))</f>
        <v/>
      </c>
      <c r="D176" s="22">
        <f>IF($L176="","",INDEX(HSI!$D$7:$D$106,$N176))</f>
        <v/>
      </c>
      <c r="E176" s="123">
        <f>IF($L176="","",IF($P176=0,"TBA",IFERROR(INDEX(Grids!$C$12:$BO$111,$N176,$O176),"-")))</f>
        <v/>
      </c>
      <c r="F176" s="22">
        <f>IF($L176="","",INDEX(HSI!$F$7:$F$106,$N176))</f>
        <v/>
      </c>
      <c r="G176" s="123">
        <f>IF($L176="","",IF($P176=0,"TBA",IFERROR(INDEX(Grids!$BQ$12:$EC$111,$N176,$O176),"-")))</f>
        <v/>
      </c>
      <c r="H176" s="124">
        <f>IF($L176="","",SUM($G$10:$G176))</f>
        <v/>
      </c>
      <c r="I176" s="45">
        <f>IF($L176="","",IF(INT(($L176-INT($L176/10000000)*10000000)/1000000)=0,"Bloomberg projection",IF($P176=1,"ANNOUNCED","ANNOUNCED - amount TBA")))</f>
        <v/>
      </c>
      <c r="J176" s="46">
        <f>IF($L176="","",IF((OV_SWITCH="ON")*(COUNTIFS(OVR_TICKERS,INDEX(HSI!$C$7:$C$106,$N176),OVR_BASE,"&gt;=0")&gt;0)&gt;0,"stock overridden",""))</f>
        <v/>
      </c>
      <c r="L176" s="121">
        <f>IFERROR(IF(SMALL(Grids!$EE$12:$GQ$111,$M$7+167)&gt;=PEND_TO,"",SMALL(Grids!$EE$12:$GQ$111,$M$7+167)),"")</f>
        <v/>
      </c>
      <c r="M176" s="121">
        <f>IF($L176="","",INT($L176/1000000000))</f>
        <v/>
      </c>
      <c r="N176" s="121">
        <f>IF($L176="","",INT(($L176-INT($L176/1000000)*1000000)/1000))</f>
        <v/>
      </c>
      <c r="O176" s="121">
        <f>IF($L176="","",$L176-INT($L176/1000)*1000)</f>
        <v/>
      </c>
      <c r="P176" s="121">
        <f>IF($L176="","",INT(($L176-INT($L176/1000000000)*1000000000)/100000000))</f>
        <v/>
      </c>
    </row>
    <row r="177">
      <c r="B177" s="122">
        <f>IF($L177="","",$M177)</f>
        <v/>
      </c>
      <c r="C177" s="22">
        <f>IF($L177="","",INDEX(HSI!$C$7:$C$106,$N177))</f>
        <v/>
      </c>
      <c r="D177" s="22">
        <f>IF($L177="","",INDEX(HSI!$D$7:$D$106,$N177))</f>
        <v/>
      </c>
      <c r="E177" s="123">
        <f>IF($L177="","",IF($P177=0,"TBA",IFERROR(INDEX(Grids!$C$12:$BO$111,$N177,$O177),"-")))</f>
        <v/>
      </c>
      <c r="F177" s="22">
        <f>IF($L177="","",INDEX(HSI!$F$7:$F$106,$N177))</f>
        <v/>
      </c>
      <c r="G177" s="123">
        <f>IF($L177="","",IF($P177=0,"TBA",IFERROR(INDEX(Grids!$BQ$12:$EC$111,$N177,$O177),"-")))</f>
        <v/>
      </c>
      <c r="H177" s="124">
        <f>IF($L177="","",SUM($G$10:$G177))</f>
        <v/>
      </c>
      <c r="I177" s="45">
        <f>IF($L177="","",IF(INT(($L177-INT($L177/10000000)*10000000)/1000000)=0,"Bloomberg projection",IF($P177=1,"ANNOUNCED","ANNOUNCED - amount TBA")))</f>
        <v/>
      </c>
      <c r="J177" s="46">
        <f>IF($L177="","",IF((OV_SWITCH="ON")*(COUNTIFS(OVR_TICKERS,INDEX(HSI!$C$7:$C$106,$N177),OVR_BASE,"&gt;=0")&gt;0)&gt;0,"stock overridden",""))</f>
        <v/>
      </c>
      <c r="L177" s="121">
        <f>IFERROR(IF(SMALL(Grids!$EE$12:$GQ$111,$M$7+168)&gt;=PEND_TO,"",SMALL(Grids!$EE$12:$GQ$111,$M$7+168)),"")</f>
        <v/>
      </c>
      <c r="M177" s="121">
        <f>IF($L177="","",INT($L177/1000000000))</f>
        <v/>
      </c>
      <c r="N177" s="121">
        <f>IF($L177="","",INT(($L177-INT($L177/1000000)*1000000)/1000))</f>
        <v/>
      </c>
      <c r="O177" s="121">
        <f>IF($L177="","",$L177-INT($L177/1000)*1000)</f>
        <v/>
      </c>
      <c r="P177" s="121">
        <f>IF($L177="","",INT(($L177-INT($L177/1000000000)*1000000000)/100000000))</f>
        <v/>
      </c>
    </row>
    <row r="178">
      <c r="B178" s="122">
        <f>IF($L178="","",$M178)</f>
        <v/>
      </c>
      <c r="C178" s="22">
        <f>IF($L178="","",INDEX(HSI!$C$7:$C$106,$N178))</f>
        <v/>
      </c>
      <c r="D178" s="22">
        <f>IF($L178="","",INDEX(HSI!$D$7:$D$106,$N178))</f>
        <v/>
      </c>
      <c r="E178" s="123">
        <f>IF($L178="","",IF($P178=0,"TBA",IFERROR(INDEX(Grids!$C$12:$BO$111,$N178,$O178),"-")))</f>
        <v/>
      </c>
      <c r="F178" s="22">
        <f>IF($L178="","",INDEX(HSI!$F$7:$F$106,$N178))</f>
        <v/>
      </c>
      <c r="G178" s="123">
        <f>IF($L178="","",IF($P178=0,"TBA",IFERROR(INDEX(Grids!$BQ$12:$EC$111,$N178,$O178),"-")))</f>
        <v/>
      </c>
      <c r="H178" s="124">
        <f>IF($L178="","",SUM($G$10:$G178))</f>
        <v/>
      </c>
      <c r="I178" s="45">
        <f>IF($L178="","",IF(INT(($L178-INT($L178/10000000)*10000000)/1000000)=0,"Bloomberg projection",IF($P178=1,"ANNOUNCED","ANNOUNCED - amount TBA")))</f>
        <v/>
      </c>
      <c r="J178" s="46">
        <f>IF($L178="","",IF((OV_SWITCH="ON")*(COUNTIFS(OVR_TICKERS,INDEX(HSI!$C$7:$C$106,$N178),OVR_BASE,"&gt;=0")&gt;0)&gt;0,"stock overridden",""))</f>
        <v/>
      </c>
      <c r="L178" s="121">
        <f>IFERROR(IF(SMALL(Grids!$EE$12:$GQ$111,$M$7+169)&gt;=PEND_TO,"",SMALL(Grids!$EE$12:$GQ$111,$M$7+169)),"")</f>
        <v/>
      </c>
      <c r="M178" s="121">
        <f>IF($L178="","",INT($L178/1000000000))</f>
        <v/>
      </c>
      <c r="N178" s="121">
        <f>IF($L178="","",INT(($L178-INT($L178/1000000)*1000000)/1000))</f>
        <v/>
      </c>
      <c r="O178" s="121">
        <f>IF($L178="","",$L178-INT($L178/1000)*1000)</f>
        <v/>
      </c>
      <c r="P178" s="121">
        <f>IF($L178="","",INT(($L178-INT($L178/1000000000)*1000000000)/100000000))</f>
        <v/>
      </c>
    </row>
    <row r="179">
      <c r="B179" s="122">
        <f>IF($L179="","",$M179)</f>
        <v/>
      </c>
      <c r="C179" s="22">
        <f>IF($L179="","",INDEX(HSI!$C$7:$C$106,$N179))</f>
        <v/>
      </c>
      <c r="D179" s="22">
        <f>IF($L179="","",INDEX(HSI!$D$7:$D$106,$N179))</f>
        <v/>
      </c>
      <c r="E179" s="123">
        <f>IF($L179="","",IF($P179=0,"TBA",IFERROR(INDEX(Grids!$C$12:$BO$111,$N179,$O179),"-")))</f>
        <v/>
      </c>
      <c r="F179" s="22">
        <f>IF($L179="","",INDEX(HSI!$F$7:$F$106,$N179))</f>
        <v/>
      </c>
      <c r="G179" s="123">
        <f>IF($L179="","",IF($P179=0,"TBA",IFERROR(INDEX(Grids!$BQ$12:$EC$111,$N179,$O179),"-")))</f>
        <v/>
      </c>
      <c r="H179" s="124">
        <f>IF($L179="","",SUM($G$10:$G179))</f>
        <v/>
      </c>
      <c r="I179" s="45">
        <f>IF($L179="","",IF(INT(($L179-INT($L179/10000000)*10000000)/1000000)=0,"Bloomberg projection",IF($P179=1,"ANNOUNCED","ANNOUNCED - amount TBA")))</f>
        <v/>
      </c>
      <c r="J179" s="46">
        <f>IF($L179="","",IF((OV_SWITCH="ON")*(COUNTIFS(OVR_TICKERS,INDEX(HSI!$C$7:$C$106,$N179),OVR_BASE,"&gt;=0")&gt;0)&gt;0,"stock overridden",""))</f>
        <v/>
      </c>
      <c r="L179" s="121">
        <f>IFERROR(IF(SMALL(Grids!$EE$12:$GQ$111,$M$7+170)&gt;=PEND_TO,"",SMALL(Grids!$EE$12:$GQ$111,$M$7+170)),"")</f>
        <v/>
      </c>
      <c r="M179" s="121">
        <f>IF($L179="","",INT($L179/1000000000))</f>
        <v/>
      </c>
      <c r="N179" s="121">
        <f>IF($L179="","",INT(($L179-INT($L179/1000000)*1000000)/1000))</f>
        <v/>
      </c>
      <c r="O179" s="121">
        <f>IF($L179="","",$L179-INT($L179/1000)*1000)</f>
        <v/>
      </c>
      <c r="P179" s="121">
        <f>IF($L179="","",INT(($L179-INT($L179/1000000000)*1000000000)/100000000))</f>
        <v/>
      </c>
    </row>
    <row r="180">
      <c r="B180" s="122">
        <f>IF($L180="","",$M180)</f>
        <v/>
      </c>
      <c r="C180" s="22">
        <f>IF($L180="","",INDEX(HSI!$C$7:$C$106,$N180))</f>
        <v/>
      </c>
      <c r="D180" s="22">
        <f>IF($L180="","",INDEX(HSI!$D$7:$D$106,$N180))</f>
        <v/>
      </c>
      <c r="E180" s="123">
        <f>IF($L180="","",IF($P180=0,"TBA",IFERROR(INDEX(Grids!$C$12:$BO$111,$N180,$O180),"-")))</f>
        <v/>
      </c>
      <c r="F180" s="22">
        <f>IF($L180="","",INDEX(HSI!$F$7:$F$106,$N180))</f>
        <v/>
      </c>
      <c r="G180" s="123">
        <f>IF($L180="","",IF($P180=0,"TBA",IFERROR(INDEX(Grids!$BQ$12:$EC$111,$N180,$O180),"-")))</f>
        <v/>
      </c>
      <c r="H180" s="124">
        <f>IF($L180="","",SUM($G$10:$G180))</f>
        <v/>
      </c>
      <c r="I180" s="45">
        <f>IF($L180="","",IF(INT(($L180-INT($L180/10000000)*10000000)/1000000)=0,"Bloomberg projection",IF($P180=1,"ANNOUNCED","ANNOUNCED - amount TBA")))</f>
        <v/>
      </c>
      <c r="J180" s="46">
        <f>IF($L180="","",IF((OV_SWITCH="ON")*(COUNTIFS(OVR_TICKERS,INDEX(HSI!$C$7:$C$106,$N180),OVR_BASE,"&gt;=0")&gt;0)&gt;0,"stock overridden",""))</f>
        <v/>
      </c>
      <c r="L180" s="121">
        <f>IFERROR(IF(SMALL(Grids!$EE$12:$GQ$111,$M$7+171)&gt;=PEND_TO,"",SMALL(Grids!$EE$12:$GQ$111,$M$7+171)),"")</f>
        <v/>
      </c>
      <c r="M180" s="121">
        <f>IF($L180="","",INT($L180/1000000000))</f>
        <v/>
      </c>
      <c r="N180" s="121">
        <f>IF($L180="","",INT(($L180-INT($L180/1000000)*1000000)/1000))</f>
        <v/>
      </c>
      <c r="O180" s="121">
        <f>IF($L180="","",$L180-INT($L180/1000)*1000)</f>
        <v/>
      </c>
      <c r="P180" s="121">
        <f>IF($L180="","",INT(($L180-INT($L180/1000000000)*1000000000)/100000000))</f>
        <v/>
      </c>
    </row>
    <row r="181">
      <c r="B181" s="122">
        <f>IF($L181="","",$M181)</f>
        <v/>
      </c>
      <c r="C181" s="22">
        <f>IF($L181="","",INDEX(HSI!$C$7:$C$106,$N181))</f>
        <v/>
      </c>
      <c r="D181" s="22">
        <f>IF($L181="","",INDEX(HSI!$D$7:$D$106,$N181))</f>
        <v/>
      </c>
      <c r="E181" s="123">
        <f>IF($L181="","",IF($P181=0,"TBA",IFERROR(INDEX(Grids!$C$12:$BO$111,$N181,$O181),"-")))</f>
        <v/>
      </c>
      <c r="F181" s="22">
        <f>IF($L181="","",INDEX(HSI!$F$7:$F$106,$N181))</f>
        <v/>
      </c>
      <c r="G181" s="123">
        <f>IF($L181="","",IF($P181=0,"TBA",IFERROR(INDEX(Grids!$BQ$12:$EC$111,$N181,$O181),"-")))</f>
        <v/>
      </c>
      <c r="H181" s="124">
        <f>IF($L181="","",SUM($G$10:$G181))</f>
        <v/>
      </c>
      <c r="I181" s="45">
        <f>IF($L181="","",IF(INT(($L181-INT($L181/10000000)*10000000)/1000000)=0,"Bloomberg projection",IF($P181=1,"ANNOUNCED","ANNOUNCED - amount TBA")))</f>
        <v/>
      </c>
      <c r="J181" s="46">
        <f>IF($L181="","",IF((OV_SWITCH="ON")*(COUNTIFS(OVR_TICKERS,INDEX(HSI!$C$7:$C$106,$N181),OVR_BASE,"&gt;=0")&gt;0)&gt;0,"stock overridden",""))</f>
        <v/>
      </c>
      <c r="L181" s="121">
        <f>IFERROR(IF(SMALL(Grids!$EE$12:$GQ$111,$M$7+172)&gt;=PEND_TO,"",SMALL(Grids!$EE$12:$GQ$111,$M$7+172)),"")</f>
        <v/>
      </c>
      <c r="M181" s="121">
        <f>IF($L181="","",INT($L181/1000000000))</f>
        <v/>
      </c>
      <c r="N181" s="121">
        <f>IF($L181="","",INT(($L181-INT($L181/1000000)*1000000)/1000))</f>
        <v/>
      </c>
      <c r="O181" s="121">
        <f>IF($L181="","",$L181-INT($L181/1000)*1000)</f>
        <v/>
      </c>
      <c r="P181" s="121">
        <f>IF($L181="","",INT(($L181-INT($L181/1000000000)*1000000000)/100000000))</f>
        <v/>
      </c>
    </row>
    <row r="182">
      <c r="B182" s="122">
        <f>IF($L182="","",$M182)</f>
        <v/>
      </c>
      <c r="C182" s="22">
        <f>IF($L182="","",INDEX(HSI!$C$7:$C$106,$N182))</f>
        <v/>
      </c>
      <c r="D182" s="22">
        <f>IF($L182="","",INDEX(HSI!$D$7:$D$106,$N182))</f>
        <v/>
      </c>
      <c r="E182" s="123">
        <f>IF($L182="","",IF($P182=0,"TBA",IFERROR(INDEX(Grids!$C$12:$BO$111,$N182,$O182),"-")))</f>
        <v/>
      </c>
      <c r="F182" s="22">
        <f>IF($L182="","",INDEX(HSI!$F$7:$F$106,$N182))</f>
        <v/>
      </c>
      <c r="G182" s="123">
        <f>IF($L182="","",IF($P182=0,"TBA",IFERROR(INDEX(Grids!$BQ$12:$EC$111,$N182,$O182),"-")))</f>
        <v/>
      </c>
      <c r="H182" s="124">
        <f>IF($L182="","",SUM($G$10:$G182))</f>
        <v/>
      </c>
      <c r="I182" s="45">
        <f>IF($L182="","",IF(INT(($L182-INT($L182/10000000)*10000000)/1000000)=0,"Bloomberg projection",IF($P182=1,"ANNOUNCED","ANNOUNCED - amount TBA")))</f>
        <v/>
      </c>
      <c r="J182" s="46">
        <f>IF($L182="","",IF((OV_SWITCH="ON")*(COUNTIFS(OVR_TICKERS,INDEX(HSI!$C$7:$C$106,$N182),OVR_BASE,"&gt;=0")&gt;0)&gt;0,"stock overridden",""))</f>
        <v/>
      </c>
      <c r="L182" s="121">
        <f>IFERROR(IF(SMALL(Grids!$EE$12:$GQ$111,$M$7+173)&gt;=PEND_TO,"",SMALL(Grids!$EE$12:$GQ$111,$M$7+173)),"")</f>
        <v/>
      </c>
      <c r="M182" s="121">
        <f>IF($L182="","",INT($L182/1000000000))</f>
        <v/>
      </c>
      <c r="N182" s="121">
        <f>IF($L182="","",INT(($L182-INT($L182/1000000)*1000000)/1000))</f>
        <v/>
      </c>
      <c r="O182" s="121">
        <f>IF($L182="","",$L182-INT($L182/1000)*1000)</f>
        <v/>
      </c>
      <c r="P182" s="121">
        <f>IF($L182="","",INT(($L182-INT($L182/1000000000)*1000000000)/100000000))</f>
        <v/>
      </c>
    </row>
    <row r="183">
      <c r="B183" s="122">
        <f>IF($L183="","",$M183)</f>
        <v/>
      </c>
      <c r="C183" s="22">
        <f>IF($L183="","",INDEX(HSI!$C$7:$C$106,$N183))</f>
        <v/>
      </c>
      <c r="D183" s="22">
        <f>IF($L183="","",INDEX(HSI!$D$7:$D$106,$N183))</f>
        <v/>
      </c>
      <c r="E183" s="123">
        <f>IF($L183="","",IF($P183=0,"TBA",IFERROR(INDEX(Grids!$C$12:$BO$111,$N183,$O183),"-")))</f>
        <v/>
      </c>
      <c r="F183" s="22">
        <f>IF($L183="","",INDEX(HSI!$F$7:$F$106,$N183))</f>
        <v/>
      </c>
      <c r="G183" s="123">
        <f>IF($L183="","",IF($P183=0,"TBA",IFERROR(INDEX(Grids!$BQ$12:$EC$111,$N183,$O183),"-")))</f>
        <v/>
      </c>
      <c r="H183" s="124">
        <f>IF($L183="","",SUM($G$10:$G183))</f>
        <v/>
      </c>
      <c r="I183" s="45">
        <f>IF($L183="","",IF(INT(($L183-INT($L183/10000000)*10000000)/1000000)=0,"Bloomberg projection",IF($P183=1,"ANNOUNCED","ANNOUNCED - amount TBA")))</f>
        <v/>
      </c>
      <c r="J183" s="46">
        <f>IF($L183="","",IF((OV_SWITCH="ON")*(COUNTIFS(OVR_TICKERS,INDEX(HSI!$C$7:$C$106,$N183),OVR_BASE,"&gt;=0")&gt;0)&gt;0,"stock overridden",""))</f>
        <v/>
      </c>
      <c r="L183" s="121">
        <f>IFERROR(IF(SMALL(Grids!$EE$12:$GQ$111,$M$7+174)&gt;=PEND_TO,"",SMALL(Grids!$EE$12:$GQ$111,$M$7+174)),"")</f>
        <v/>
      </c>
      <c r="M183" s="121">
        <f>IF($L183="","",INT($L183/1000000000))</f>
        <v/>
      </c>
      <c r="N183" s="121">
        <f>IF($L183="","",INT(($L183-INT($L183/1000000)*1000000)/1000))</f>
        <v/>
      </c>
      <c r="O183" s="121">
        <f>IF($L183="","",$L183-INT($L183/1000)*1000)</f>
        <v/>
      </c>
      <c r="P183" s="121">
        <f>IF($L183="","",INT(($L183-INT($L183/1000000000)*1000000000)/100000000))</f>
        <v/>
      </c>
    </row>
    <row r="184">
      <c r="B184" s="122">
        <f>IF($L184="","",$M184)</f>
        <v/>
      </c>
      <c r="C184" s="22">
        <f>IF($L184="","",INDEX(HSI!$C$7:$C$106,$N184))</f>
        <v/>
      </c>
      <c r="D184" s="22">
        <f>IF($L184="","",INDEX(HSI!$D$7:$D$106,$N184))</f>
        <v/>
      </c>
      <c r="E184" s="123">
        <f>IF($L184="","",IF($P184=0,"TBA",IFERROR(INDEX(Grids!$C$12:$BO$111,$N184,$O184),"-")))</f>
        <v/>
      </c>
      <c r="F184" s="22">
        <f>IF($L184="","",INDEX(HSI!$F$7:$F$106,$N184))</f>
        <v/>
      </c>
      <c r="G184" s="123">
        <f>IF($L184="","",IF($P184=0,"TBA",IFERROR(INDEX(Grids!$BQ$12:$EC$111,$N184,$O184),"-")))</f>
        <v/>
      </c>
      <c r="H184" s="124">
        <f>IF($L184="","",SUM($G$10:$G184))</f>
        <v/>
      </c>
      <c r="I184" s="45">
        <f>IF($L184="","",IF(INT(($L184-INT($L184/10000000)*10000000)/1000000)=0,"Bloomberg projection",IF($P184=1,"ANNOUNCED","ANNOUNCED - amount TBA")))</f>
        <v/>
      </c>
      <c r="J184" s="46">
        <f>IF($L184="","",IF((OV_SWITCH="ON")*(COUNTIFS(OVR_TICKERS,INDEX(HSI!$C$7:$C$106,$N184),OVR_BASE,"&gt;=0")&gt;0)&gt;0,"stock overridden",""))</f>
        <v/>
      </c>
      <c r="L184" s="121">
        <f>IFERROR(IF(SMALL(Grids!$EE$12:$GQ$111,$M$7+175)&gt;=PEND_TO,"",SMALL(Grids!$EE$12:$GQ$111,$M$7+175)),"")</f>
        <v/>
      </c>
      <c r="M184" s="121">
        <f>IF($L184="","",INT($L184/1000000000))</f>
        <v/>
      </c>
      <c r="N184" s="121">
        <f>IF($L184="","",INT(($L184-INT($L184/1000000)*1000000)/1000))</f>
        <v/>
      </c>
      <c r="O184" s="121">
        <f>IF($L184="","",$L184-INT($L184/1000)*1000)</f>
        <v/>
      </c>
      <c r="P184" s="121">
        <f>IF($L184="","",INT(($L184-INT($L184/1000000000)*1000000000)/100000000))</f>
        <v/>
      </c>
    </row>
    <row r="185">
      <c r="B185" s="122">
        <f>IF($L185="","",$M185)</f>
        <v/>
      </c>
      <c r="C185" s="22">
        <f>IF($L185="","",INDEX(HSI!$C$7:$C$106,$N185))</f>
        <v/>
      </c>
      <c r="D185" s="22">
        <f>IF($L185="","",INDEX(HSI!$D$7:$D$106,$N185))</f>
        <v/>
      </c>
      <c r="E185" s="123">
        <f>IF($L185="","",IF($P185=0,"TBA",IFERROR(INDEX(Grids!$C$12:$BO$111,$N185,$O185),"-")))</f>
        <v/>
      </c>
      <c r="F185" s="22">
        <f>IF($L185="","",INDEX(HSI!$F$7:$F$106,$N185))</f>
        <v/>
      </c>
      <c r="G185" s="123">
        <f>IF($L185="","",IF($P185=0,"TBA",IFERROR(INDEX(Grids!$BQ$12:$EC$111,$N185,$O185),"-")))</f>
        <v/>
      </c>
      <c r="H185" s="124">
        <f>IF($L185="","",SUM($G$10:$G185))</f>
        <v/>
      </c>
      <c r="I185" s="45">
        <f>IF($L185="","",IF(INT(($L185-INT($L185/10000000)*10000000)/1000000)=0,"Bloomberg projection",IF($P185=1,"ANNOUNCED","ANNOUNCED - amount TBA")))</f>
        <v/>
      </c>
      <c r="J185" s="46">
        <f>IF($L185="","",IF((OV_SWITCH="ON")*(COUNTIFS(OVR_TICKERS,INDEX(HSI!$C$7:$C$106,$N185),OVR_BASE,"&gt;=0")&gt;0)&gt;0,"stock overridden",""))</f>
        <v/>
      </c>
      <c r="L185" s="121">
        <f>IFERROR(IF(SMALL(Grids!$EE$12:$GQ$111,$M$7+176)&gt;=PEND_TO,"",SMALL(Grids!$EE$12:$GQ$111,$M$7+176)),"")</f>
        <v/>
      </c>
      <c r="M185" s="121">
        <f>IF($L185="","",INT($L185/1000000000))</f>
        <v/>
      </c>
      <c r="N185" s="121">
        <f>IF($L185="","",INT(($L185-INT($L185/1000000)*1000000)/1000))</f>
        <v/>
      </c>
      <c r="O185" s="121">
        <f>IF($L185="","",$L185-INT($L185/1000)*1000)</f>
        <v/>
      </c>
      <c r="P185" s="121">
        <f>IF($L185="","",INT(($L185-INT($L185/1000000000)*1000000000)/100000000))</f>
        <v/>
      </c>
    </row>
    <row r="186">
      <c r="B186" s="122">
        <f>IF($L186="","",$M186)</f>
        <v/>
      </c>
      <c r="C186" s="22">
        <f>IF($L186="","",INDEX(HSI!$C$7:$C$106,$N186))</f>
        <v/>
      </c>
      <c r="D186" s="22">
        <f>IF($L186="","",INDEX(HSI!$D$7:$D$106,$N186))</f>
        <v/>
      </c>
      <c r="E186" s="123">
        <f>IF($L186="","",IF($P186=0,"TBA",IFERROR(INDEX(Grids!$C$12:$BO$111,$N186,$O186),"-")))</f>
        <v/>
      </c>
      <c r="F186" s="22">
        <f>IF($L186="","",INDEX(HSI!$F$7:$F$106,$N186))</f>
        <v/>
      </c>
      <c r="G186" s="123">
        <f>IF($L186="","",IF($P186=0,"TBA",IFERROR(INDEX(Grids!$BQ$12:$EC$111,$N186,$O186),"-")))</f>
        <v/>
      </c>
      <c r="H186" s="124">
        <f>IF($L186="","",SUM($G$10:$G186))</f>
        <v/>
      </c>
      <c r="I186" s="45">
        <f>IF($L186="","",IF(INT(($L186-INT($L186/10000000)*10000000)/1000000)=0,"Bloomberg projection",IF($P186=1,"ANNOUNCED","ANNOUNCED - amount TBA")))</f>
        <v/>
      </c>
      <c r="J186" s="46">
        <f>IF($L186="","",IF((OV_SWITCH="ON")*(COUNTIFS(OVR_TICKERS,INDEX(HSI!$C$7:$C$106,$N186),OVR_BASE,"&gt;=0")&gt;0)&gt;0,"stock overridden",""))</f>
        <v/>
      </c>
      <c r="L186" s="121">
        <f>IFERROR(IF(SMALL(Grids!$EE$12:$GQ$111,$M$7+177)&gt;=PEND_TO,"",SMALL(Grids!$EE$12:$GQ$111,$M$7+177)),"")</f>
        <v/>
      </c>
      <c r="M186" s="121">
        <f>IF($L186="","",INT($L186/1000000000))</f>
        <v/>
      </c>
      <c r="N186" s="121">
        <f>IF($L186="","",INT(($L186-INT($L186/1000000)*1000000)/1000))</f>
        <v/>
      </c>
      <c r="O186" s="121">
        <f>IF($L186="","",$L186-INT($L186/1000)*1000)</f>
        <v/>
      </c>
      <c r="P186" s="121">
        <f>IF($L186="","",INT(($L186-INT($L186/1000000000)*1000000000)/100000000))</f>
        <v/>
      </c>
    </row>
    <row r="187">
      <c r="B187" s="122">
        <f>IF($L187="","",$M187)</f>
        <v/>
      </c>
      <c r="C187" s="22">
        <f>IF($L187="","",INDEX(HSI!$C$7:$C$106,$N187))</f>
        <v/>
      </c>
      <c r="D187" s="22">
        <f>IF($L187="","",INDEX(HSI!$D$7:$D$106,$N187))</f>
        <v/>
      </c>
      <c r="E187" s="123">
        <f>IF($L187="","",IF($P187=0,"TBA",IFERROR(INDEX(Grids!$C$12:$BO$111,$N187,$O187),"-")))</f>
        <v/>
      </c>
      <c r="F187" s="22">
        <f>IF($L187="","",INDEX(HSI!$F$7:$F$106,$N187))</f>
        <v/>
      </c>
      <c r="G187" s="123">
        <f>IF($L187="","",IF($P187=0,"TBA",IFERROR(INDEX(Grids!$BQ$12:$EC$111,$N187,$O187),"-")))</f>
        <v/>
      </c>
      <c r="H187" s="124">
        <f>IF($L187="","",SUM($G$10:$G187))</f>
        <v/>
      </c>
      <c r="I187" s="45">
        <f>IF($L187="","",IF(INT(($L187-INT($L187/10000000)*10000000)/1000000)=0,"Bloomberg projection",IF($P187=1,"ANNOUNCED","ANNOUNCED - amount TBA")))</f>
        <v/>
      </c>
      <c r="J187" s="46">
        <f>IF($L187="","",IF((OV_SWITCH="ON")*(COUNTIFS(OVR_TICKERS,INDEX(HSI!$C$7:$C$106,$N187),OVR_BASE,"&gt;=0")&gt;0)&gt;0,"stock overridden",""))</f>
        <v/>
      </c>
      <c r="L187" s="121">
        <f>IFERROR(IF(SMALL(Grids!$EE$12:$GQ$111,$M$7+178)&gt;=PEND_TO,"",SMALL(Grids!$EE$12:$GQ$111,$M$7+178)),"")</f>
        <v/>
      </c>
      <c r="M187" s="121">
        <f>IF($L187="","",INT($L187/1000000000))</f>
        <v/>
      </c>
      <c r="N187" s="121">
        <f>IF($L187="","",INT(($L187-INT($L187/1000000)*1000000)/1000))</f>
        <v/>
      </c>
      <c r="O187" s="121">
        <f>IF($L187="","",$L187-INT($L187/1000)*1000)</f>
        <v/>
      </c>
      <c r="P187" s="121">
        <f>IF($L187="","",INT(($L187-INT($L187/1000000000)*1000000000)/100000000))</f>
        <v/>
      </c>
    </row>
    <row r="188">
      <c r="B188" s="122">
        <f>IF($L188="","",$M188)</f>
        <v/>
      </c>
      <c r="C188" s="22">
        <f>IF($L188="","",INDEX(HSI!$C$7:$C$106,$N188))</f>
        <v/>
      </c>
      <c r="D188" s="22">
        <f>IF($L188="","",INDEX(HSI!$D$7:$D$106,$N188))</f>
        <v/>
      </c>
      <c r="E188" s="123">
        <f>IF($L188="","",IF($P188=0,"TBA",IFERROR(INDEX(Grids!$C$12:$BO$111,$N188,$O188),"-")))</f>
        <v/>
      </c>
      <c r="F188" s="22">
        <f>IF($L188="","",INDEX(HSI!$F$7:$F$106,$N188))</f>
        <v/>
      </c>
      <c r="G188" s="123">
        <f>IF($L188="","",IF($P188=0,"TBA",IFERROR(INDEX(Grids!$BQ$12:$EC$111,$N188,$O188),"-")))</f>
        <v/>
      </c>
      <c r="H188" s="124">
        <f>IF($L188="","",SUM($G$10:$G188))</f>
        <v/>
      </c>
      <c r="I188" s="45">
        <f>IF($L188="","",IF(INT(($L188-INT($L188/10000000)*10000000)/1000000)=0,"Bloomberg projection",IF($P188=1,"ANNOUNCED","ANNOUNCED - amount TBA")))</f>
        <v/>
      </c>
      <c r="J188" s="46">
        <f>IF($L188="","",IF((OV_SWITCH="ON")*(COUNTIFS(OVR_TICKERS,INDEX(HSI!$C$7:$C$106,$N188),OVR_BASE,"&gt;=0")&gt;0)&gt;0,"stock overridden",""))</f>
        <v/>
      </c>
      <c r="L188" s="121">
        <f>IFERROR(IF(SMALL(Grids!$EE$12:$GQ$111,$M$7+179)&gt;=PEND_TO,"",SMALL(Grids!$EE$12:$GQ$111,$M$7+179)),"")</f>
        <v/>
      </c>
      <c r="M188" s="121">
        <f>IF($L188="","",INT($L188/1000000000))</f>
        <v/>
      </c>
      <c r="N188" s="121">
        <f>IF($L188="","",INT(($L188-INT($L188/1000000)*1000000)/1000))</f>
        <v/>
      </c>
      <c r="O188" s="121">
        <f>IF($L188="","",$L188-INT($L188/1000)*1000)</f>
        <v/>
      </c>
      <c r="P188" s="121">
        <f>IF($L188="","",INT(($L188-INT($L188/1000000000)*1000000000)/100000000))</f>
        <v/>
      </c>
    </row>
    <row r="189">
      <c r="B189" s="122">
        <f>IF($L189="","",$M189)</f>
        <v/>
      </c>
      <c r="C189" s="22">
        <f>IF($L189="","",INDEX(HSI!$C$7:$C$106,$N189))</f>
        <v/>
      </c>
      <c r="D189" s="22">
        <f>IF($L189="","",INDEX(HSI!$D$7:$D$106,$N189))</f>
        <v/>
      </c>
      <c r="E189" s="123">
        <f>IF($L189="","",IF($P189=0,"TBA",IFERROR(INDEX(Grids!$C$12:$BO$111,$N189,$O189),"-")))</f>
        <v/>
      </c>
      <c r="F189" s="22">
        <f>IF($L189="","",INDEX(HSI!$F$7:$F$106,$N189))</f>
        <v/>
      </c>
      <c r="G189" s="123">
        <f>IF($L189="","",IF($P189=0,"TBA",IFERROR(INDEX(Grids!$BQ$12:$EC$111,$N189,$O189),"-")))</f>
        <v/>
      </c>
      <c r="H189" s="124">
        <f>IF($L189="","",SUM($G$10:$G189))</f>
        <v/>
      </c>
      <c r="I189" s="45">
        <f>IF($L189="","",IF(INT(($L189-INT($L189/10000000)*10000000)/1000000)=0,"Bloomberg projection",IF($P189=1,"ANNOUNCED","ANNOUNCED - amount TBA")))</f>
        <v/>
      </c>
      <c r="J189" s="46">
        <f>IF($L189="","",IF((OV_SWITCH="ON")*(COUNTIFS(OVR_TICKERS,INDEX(HSI!$C$7:$C$106,$N189),OVR_BASE,"&gt;=0")&gt;0)&gt;0,"stock overridden",""))</f>
        <v/>
      </c>
      <c r="L189" s="121">
        <f>IFERROR(IF(SMALL(Grids!$EE$12:$GQ$111,$M$7+180)&gt;=PEND_TO,"",SMALL(Grids!$EE$12:$GQ$111,$M$7+180)),"")</f>
        <v/>
      </c>
      <c r="M189" s="121">
        <f>IF($L189="","",INT($L189/1000000000))</f>
        <v/>
      </c>
      <c r="N189" s="121">
        <f>IF($L189="","",INT(($L189-INT($L189/1000000)*1000000)/1000))</f>
        <v/>
      </c>
      <c r="O189" s="121">
        <f>IF($L189="","",$L189-INT($L189/1000)*1000)</f>
        <v/>
      </c>
      <c r="P189" s="121">
        <f>IF($L189="","",INT(($L189-INT($L189/1000000000)*1000000000)/100000000))</f>
        <v/>
      </c>
    </row>
    <row r="190">
      <c r="B190" s="122">
        <f>IF($L190="","",$M190)</f>
        <v/>
      </c>
      <c r="C190" s="22">
        <f>IF($L190="","",INDEX(HSI!$C$7:$C$106,$N190))</f>
        <v/>
      </c>
      <c r="D190" s="22">
        <f>IF($L190="","",INDEX(HSI!$D$7:$D$106,$N190))</f>
        <v/>
      </c>
      <c r="E190" s="123">
        <f>IF($L190="","",IF($P190=0,"TBA",IFERROR(INDEX(Grids!$C$12:$BO$111,$N190,$O190),"-")))</f>
        <v/>
      </c>
      <c r="F190" s="22">
        <f>IF($L190="","",INDEX(HSI!$F$7:$F$106,$N190))</f>
        <v/>
      </c>
      <c r="G190" s="123">
        <f>IF($L190="","",IF($P190=0,"TBA",IFERROR(INDEX(Grids!$BQ$12:$EC$111,$N190,$O190),"-")))</f>
        <v/>
      </c>
      <c r="H190" s="124">
        <f>IF($L190="","",SUM($G$10:$G190))</f>
        <v/>
      </c>
      <c r="I190" s="45">
        <f>IF($L190="","",IF(INT(($L190-INT($L190/10000000)*10000000)/1000000)=0,"Bloomberg projection",IF($P190=1,"ANNOUNCED","ANNOUNCED - amount TBA")))</f>
        <v/>
      </c>
      <c r="J190" s="46">
        <f>IF($L190="","",IF((OV_SWITCH="ON")*(COUNTIFS(OVR_TICKERS,INDEX(HSI!$C$7:$C$106,$N190),OVR_BASE,"&gt;=0")&gt;0)&gt;0,"stock overridden",""))</f>
        <v/>
      </c>
      <c r="L190" s="121">
        <f>IFERROR(IF(SMALL(Grids!$EE$12:$GQ$111,$M$7+181)&gt;=PEND_TO,"",SMALL(Grids!$EE$12:$GQ$111,$M$7+181)),"")</f>
        <v/>
      </c>
      <c r="M190" s="121">
        <f>IF($L190="","",INT($L190/1000000000))</f>
        <v/>
      </c>
      <c r="N190" s="121">
        <f>IF($L190="","",INT(($L190-INT($L190/1000000)*1000000)/1000))</f>
        <v/>
      </c>
      <c r="O190" s="121">
        <f>IF($L190="","",$L190-INT($L190/1000)*1000)</f>
        <v/>
      </c>
      <c r="P190" s="121">
        <f>IF($L190="","",INT(($L190-INT($L190/1000000000)*1000000000)/100000000))</f>
        <v/>
      </c>
    </row>
    <row r="191">
      <c r="B191" s="122">
        <f>IF($L191="","",$M191)</f>
        <v/>
      </c>
      <c r="C191" s="22">
        <f>IF($L191="","",INDEX(HSI!$C$7:$C$106,$N191))</f>
        <v/>
      </c>
      <c r="D191" s="22">
        <f>IF($L191="","",INDEX(HSI!$D$7:$D$106,$N191))</f>
        <v/>
      </c>
      <c r="E191" s="123">
        <f>IF($L191="","",IF($P191=0,"TBA",IFERROR(INDEX(Grids!$C$12:$BO$111,$N191,$O191),"-")))</f>
        <v/>
      </c>
      <c r="F191" s="22">
        <f>IF($L191="","",INDEX(HSI!$F$7:$F$106,$N191))</f>
        <v/>
      </c>
      <c r="G191" s="123">
        <f>IF($L191="","",IF($P191=0,"TBA",IFERROR(INDEX(Grids!$BQ$12:$EC$111,$N191,$O191),"-")))</f>
        <v/>
      </c>
      <c r="H191" s="124">
        <f>IF($L191="","",SUM($G$10:$G191))</f>
        <v/>
      </c>
      <c r="I191" s="45">
        <f>IF($L191="","",IF(INT(($L191-INT($L191/10000000)*10000000)/1000000)=0,"Bloomberg projection",IF($P191=1,"ANNOUNCED","ANNOUNCED - amount TBA")))</f>
        <v/>
      </c>
      <c r="J191" s="46">
        <f>IF($L191="","",IF((OV_SWITCH="ON")*(COUNTIFS(OVR_TICKERS,INDEX(HSI!$C$7:$C$106,$N191),OVR_BASE,"&gt;=0")&gt;0)&gt;0,"stock overridden",""))</f>
        <v/>
      </c>
      <c r="L191" s="121">
        <f>IFERROR(IF(SMALL(Grids!$EE$12:$GQ$111,$M$7+182)&gt;=PEND_TO,"",SMALL(Grids!$EE$12:$GQ$111,$M$7+182)),"")</f>
        <v/>
      </c>
      <c r="M191" s="121">
        <f>IF($L191="","",INT($L191/1000000000))</f>
        <v/>
      </c>
      <c r="N191" s="121">
        <f>IF($L191="","",INT(($L191-INT($L191/1000000)*1000000)/1000))</f>
        <v/>
      </c>
      <c r="O191" s="121">
        <f>IF($L191="","",$L191-INT($L191/1000)*1000)</f>
        <v/>
      </c>
      <c r="P191" s="121">
        <f>IF($L191="","",INT(($L191-INT($L191/1000000000)*1000000000)/100000000))</f>
        <v/>
      </c>
    </row>
    <row r="192">
      <c r="B192" s="122">
        <f>IF($L192="","",$M192)</f>
        <v/>
      </c>
      <c r="C192" s="22">
        <f>IF($L192="","",INDEX(HSI!$C$7:$C$106,$N192))</f>
        <v/>
      </c>
      <c r="D192" s="22">
        <f>IF($L192="","",INDEX(HSI!$D$7:$D$106,$N192))</f>
        <v/>
      </c>
      <c r="E192" s="123">
        <f>IF($L192="","",IF($P192=0,"TBA",IFERROR(INDEX(Grids!$C$12:$BO$111,$N192,$O192),"-")))</f>
        <v/>
      </c>
      <c r="F192" s="22">
        <f>IF($L192="","",INDEX(HSI!$F$7:$F$106,$N192))</f>
        <v/>
      </c>
      <c r="G192" s="123">
        <f>IF($L192="","",IF($P192=0,"TBA",IFERROR(INDEX(Grids!$BQ$12:$EC$111,$N192,$O192),"-")))</f>
        <v/>
      </c>
      <c r="H192" s="124">
        <f>IF($L192="","",SUM($G$10:$G192))</f>
        <v/>
      </c>
      <c r="I192" s="45">
        <f>IF($L192="","",IF(INT(($L192-INT($L192/10000000)*10000000)/1000000)=0,"Bloomberg projection",IF($P192=1,"ANNOUNCED","ANNOUNCED - amount TBA")))</f>
        <v/>
      </c>
      <c r="J192" s="46">
        <f>IF($L192="","",IF((OV_SWITCH="ON")*(COUNTIFS(OVR_TICKERS,INDEX(HSI!$C$7:$C$106,$N192),OVR_BASE,"&gt;=0")&gt;0)&gt;0,"stock overridden",""))</f>
        <v/>
      </c>
      <c r="L192" s="121">
        <f>IFERROR(IF(SMALL(Grids!$EE$12:$GQ$111,$M$7+183)&gt;=PEND_TO,"",SMALL(Grids!$EE$12:$GQ$111,$M$7+183)),"")</f>
        <v/>
      </c>
      <c r="M192" s="121">
        <f>IF($L192="","",INT($L192/1000000000))</f>
        <v/>
      </c>
      <c r="N192" s="121">
        <f>IF($L192="","",INT(($L192-INT($L192/1000000)*1000000)/1000))</f>
        <v/>
      </c>
      <c r="O192" s="121">
        <f>IF($L192="","",$L192-INT($L192/1000)*1000)</f>
        <v/>
      </c>
      <c r="P192" s="121">
        <f>IF($L192="","",INT(($L192-INT($L192/1000000000)*1000000000)/100000000))</f>
        <v/>
      </c>
    </row>
    <row r="193">
      <c r="B193" s="122">
        <f>IF($L193="","",$M193)</f>
        <v/>
      </c>
      <c r="C193" s="22">
        <f>IF($L193="","",INDEX(HSI!$C$7:$C$106,$N193))</f>
        <v/>
      </c>
      <c r="D193" s="22">
        <f>IF($L193="","",INDEX(HSI!$D$7:$D$106,$N193))</f>
        <v/>
      </c>
      <c r="E193" s="123">
        <f>IF($L193="","",IF($P193=0,"TBA",IFERROR(INDEX(Grids!$C$12:$BO$111,$N193,$O193),"-")))</f>
        <v/>
      </c>
      <c r="F193" s="22">
        <f>IF($L193="","",INDEX(HSI!$F$7:$F$106,$N193))</f>
        <v/>
      </c>
      <c r="G193" s="123">
        <f>IF($L193="","",IF($P193=0,"TBA",IFERROR(INDEX(Grids!$BQ$12:$EC$111,$N193,$O193),"-")))</f>
        <v/>
      </c>
      <c r="H193" s="124">
        <f>IF($L193="","",SUM($G$10:$G193))</f>
        <v/>
      </c>
      <c r="I193" s="45">
        <f>IF($L193="","",IF(INT(($L193-INT($L193/10000000)*10000000)/1000000)=0,"Bloomberg projection",IF($P193=1,"ANNOUNCED","ANNOUNCED - amount TBA")))</f>
        <v/>
      </c>
      <c r="J193" s="46">
        <f>IF($L193="","",IF((OV_SWITCH="ON")*(COUNTIFS(OVR_TICKERS,INDEX(HSI!$C$7:$C$106,$N193),OVR_BASE,"&gt;=0")&gt;0)&gt;0,"stock overridden",""))</f>
        <v/>
      </c>
      <c r="L193" s="121">
        <f>IFERROR(IF(SMALL(Grids!$EE$12:$GQ$111,$M$7+184)&gt;=PEND_TO,"",SMALL(Grids!$EE$12:$GQ$111,$M$7+184)),"")</f>
        <v/>
      </c>
      <c r="M193" s="121">
        <f>IF($L193="","",INT($L193/1000000000))</f>
        <v/>
      </c>
      <c r="N193" s="121">
        <f>IF($L193="","",INT(($L193-INT($L193/1000000)*1000000)/1000))</f>
        <v/>
      </c>
      <c r="O193" s="121">
        <f>IF($L193="","",$L193-INT($L193/1000)*1000)</f>
        <v/>
      </c>
      <c r="P193" s="121">
        <f>IF($L193="","",INT(($L193-INT($L193/1000000000)*1000000000)/100000000))</f>
        <v/>
      </c>
    </row>
    <row r="194">
      <c r="B194" s="122">
        <f>IF($L194="","",$M194)</f>
        <v/>
      </c>
      <c r="C194" s="22">
        <f>IF($L194="","",INDEX(HSI!$C$7:$C$106,$N194))</f>
        <v/>
      </c>
      <c r="D194" s="22">
        <f>IF($L194="","",INDEX(HSI!$D$7:$D$106,$N194))</f>
        <v/>
      </c>
      <c r="E194" s="123">
        <f>IF($L194="","",IF($P194=0,"TBA",IFERROR(INDEX(Grids!$C$12:$BO$111,$N194,$O194),"-")))</f>
        <v/>
      </c>
      <c r="F194" s="22">
        <f>IF($L194="","",INDEX(HSI!$F$7:$F$106,$N194))</f>
        <v/>
      </c>
      <c r="G194" s="123">
        <f>IF($L194="","",IF($P194=0,"TBA",IFERROR(INDEX(Grids!$BQ$12:$EC$111,$N194,$O194),"-")))</f>
        <v/>
      </c>
      <c r="H194" s="124">
        <f>IF($L194="","",SUM($G$10:$G194))</f>
        <v/>
      </c>
      <c r="I194" s="45">
        <f>IF($L194="","",IF(INT(($L194-INT($L194/10000000)*10000000)/1000000)=0,"Bloomberg projection",IF($P194=1,"ANNOUNCED","ANNOUNCED - amount TBA")))</f>
        <v/>
      </c>
      <c r="J194" s="46">
        <f>IF($L194="","",IF((OV_SWITCH="ON")*(COUNTIFS(OVR_TICKERS,INDEX(HSI!$C$7:$C$106,$N194),OVR_BASE,"&gt;=0")&gt;0)&gt;0,"stock overridden",""))</f>
        <v/>
      </c>
      <c r="L194" s="121">
        <f>IFERROR(IF(SMALL(Grids!$EE$12:$GQ$111,$M$7+185)&gt;=PEND_TO,"",SMALL(Grids!$EE$12:$GQ$111,$M$7+185)),"")</f>
        <v/>
      </c>
      <c r="M194" s="121">
        <f>IF($L194="","",INT($L194/1000000000))</f>
        <v/>
      </c>
      <c r="N194" s="121">
        <f>IF($L194="","",INT(($L194-INT($L194/1000000)*1000000)/1000))</f>
        <v/>
      </c>
      <c r="O194" s="121">
        <f>IF($L194="","",$L194-INT($L194/1000)*1000)</f>
        <v/>
      </c>
      <c r="P194" s="121">
        <f>IF($L194="","",INT(($L194-INT($L194/1000000000)*1000000000)/100000000))</f>
        <v/>
      </c>
    </row>
    <row r="195">
      <c r="B195" s="122">
        <f>IF($L195="","",$M195)</f>
        <v/>
      </c>
      <c r="C195" s="22">
        <f>IF($L195="","",INDEX(HSI!$C$7:$C$106,$N195))</f>
        <v/>
      </c>
      <c r="D195" s="22">
        <f>IF($L195="","",INDEX(HSI!$D$7:$D$106,$N195))</f>
        <v/>
      </c>
      <c r="E195" s="123">
        <f>IF($L195="","",IF($P195=0,"TBA",IFERROR(INDEX(Grids!$C$12:$BO$111,$N195,$O195),"-")))</f>
        <v/>
      </c>
      <c r="F195" s="22">
        <f>IF($L195="","",INDEX(HSI!$F$7:$F$106,$N195))</f>
        <v/>
      </c>
      <c r="G195" s="123">
        <f>IF($L195="","",IF($P195=0,"TBA",IFERROR(INDEX(Grids!$BQ$12:$EC$111,$N195,$O195),"-")))</f>
        <v/>
      </c>
      <c r="H195" s="124">
        <f>IF($L195="","",SUM($G$10:$G195))</f>
        <v/>
      </c>
      <c r="I195" s="45">
        <f>IF($L195="","",IF(INT(($L195-INT($L195/10000000)*10000000)/1000000)=0,"Bloomberg projection",IF($P195=1,"ANNOUNCED","ANNOUNCED - amount TBA")))</f>
        <v/>
      </c>
      <c r="J195" s="46">
        <f>IF($L195="","",IF((OV_SWITCH="ON")*(COUNTIFS(OVR_TICKERS,INDEX(HSI!$C$7:$C$106,$N195),OVR_BASE,"&gt;=0")&gt;0)&gt;0,"stock overridden",""))</f>
        <v/>
      </c>
      <c r="L195" s="121">
        <f>IFERROR(IF(SMALL(Grids!$EE$12:$GQ$111,$M$7+186)&gt;=PEND_TO,"",SMALL(Grids!$EE$12:$GQ$111,$M$7+186)),"")</f>
        <v/>
      </c>
      <c r="M195" s="121">
        <f>IF($L195="","",INT($L195/1000000000))</f>
        <v/>
      </c>
      <c r="N195" s="121">
        <f>IF($L195="","",INT(($L195-INT($L195/1000000)*1000000)/1000))</f>
        <v/>
      </c>
      <c r="O195" s="121">
        <f>IF($L195="","",$L195-INT($L195/1000)*1000)</f>
        <v/>
      </c>
      <c r="P195" s="121">
        <f>IF($L195="","",INT(($L195-INT($L195/1000000000)*1000000000)/100000000))</f>
        <v/>
      </c>
    </row>
    <row r="196">
      <c r="B196" s="122">
        <f>IF($L196="","",$M196)</f>
        <v/>
      </c>
      <c r="C196" s="22">
        <f>IF($L196="","",INDEX(HSI!$C$7:$C$106,$N196))</f>
        <v/>
      </c>
      <c r="D196" s="22">
        <f>IF($L196="","",INDEX(HSI!$D$7:$D$106,$N196))</f>
        <v/>
      </c>
      <c r="E196" s="123">
        <f>IF($L196="","",IF($P196=0,"TBA",IFERROR(INDEX(Grids!$C$12:$BO$111,$N196,$O196),"-")))</f>
        <v/>
      </c>
      <c r="F196" s="22">
        <f>IF($L196="","",INDEX(HSI!$F$7:$F$106,$N196))</f>
        <v/>
      </c>
      <c r="G196" s="123">
        <f>IF($L196="","",IF($P196=0,"TBA",IFERROR(INDEX(Grids!$BQ$12:$EC$111,$N196,$O196),"-")))</f>
        <v/>
      </c>
      <c r="H196" s="124">
        <f>IF($L196="","",SUM($G$10:$G196))</f>
        <v/>
      </c>
      <c r="I196" s="45">
        <f>IF($L196="","",IF(INT(($L196-INT($L196/10000000)*10000000)/1000000)=0,"Bloomberg projection",IF($P196=1,"ANNOUNCED","ANNOUNCED - amount TBA")))</f>
        <v/>
      </c>
      <c r="J196" s="46">
        <f>IF($L196="","",IF((OV_SWITCH="ON")*(COUNTIFS(OVR_TICKERS,INDEX(HSI!$C$7:$C$106,$N196),OVR_BASE,"&gt;=0")&gt;0)&gt;0,"stock overridden",""))</f>
        <v/>
      </c>
      <c r="L196" s="121">
        <f>IFERROR(IF(SMALL(Grids!$EE$12:$GQ$111,$M$7+187)&gt;=PEND_TO,"",SMALL(Grids!$EE$12:$GQ$111,$M$7+187)),"")</f>
        <v/>
      </c>
      <c r="M196" s="121">
        <f>IF($L196="","",INT($L196/1000000000))</f>
        <v/>
      </c>
      <c r="N196" s="121">
        <f>IF($L196="","",INT(($L196-INT($L196/1000000)*1000000)/1000))</f>
        <v/>
      </c>
      <c r="O196" s="121">
        <f>IF($L196="","",$L196-INT($L196/1000)*1000)</f>
        <v/>
      </c>
      <c r="P196" s="121">
        <f>IF($L196="","",INT(($L196-INT($L196/1000000000)*1000000000)/100000000))</f>
        <v/>
      </c>
    </row>
    <row r="197">
      <c r="B197" s="122">
        <f>IF($L197="","",$M197)</f>
        <v/>
      </c>
      <c r="C197" s="22">
        <f>IF($L197="","",INDEX(HSI!$C$7:$C$106,$N197))</f>
        <v/>
      </c>
      <c r="D197" s="22">
        <f>IF($L197="","",INDEX(HSI!$D$7:$D$106,$N197))</f>
        <v/>
      </c>
      <c r="E197" s="123">
        <f>IF($L197="","",IF($P197=0,"TBA",IFERROR(INDEX(Grids!$C$12:$BO$111,$N197,$O197),"-")))</f>
        <v/>
      </c>
      <c r="F197" s="22">
        <f>IF($L197="","",INDEX(HSI!$F$7:$F$106,$N197))</f>
        <v/>
      </c>
      <c r="G197" s="123">
        <f>IF($L197="","",IF($P197=0,"TBA",IFERROR(INDEX(Grids!$BQ$12:$EC$111,$N197,$O197),"-")))</f>
        <v/>
      </c>
      <c r="H197" s="124">
        <f>IF($L197="","",SUM($G$10:$G197))</f>
        <v/>
      </c>
      <c r="I197" s="45">
        <f>IF($L197="","",IF(INT(($L197-INT($L197/10000000)*10000000)/1000000)=0,"Bloomberg projection",IF($P197=1,"ANNOUNCED","ANNOUNCED - amount TBA")))</f>
        <v/>
      </c>
      <c r="J197" s="46">
        <f>IF($L197="","",IF((OV_SWITCH="ON")*(COUNTIFS(OVR_TICKERS,INDEX(HSI!$C$7:$C$106,$N197),OVR_BASE,"&gt;=0")&gt;0)&gt;0,"stock overridden",""))</f>
        <v/>
      </c>
      <c r="L197" s="121">
        <f>IFERROR(IF(SMALL(Grids!$EE$12:$GQ$111,$M$7+188)&gt;=PEND_TO,"",SMALL(Grids!$EE$12:$GQ$111,$M$7+188)),"")</f>
        <v/>
      </c>
      <c r="M197" s="121">
        <f>IF($L197="","",INT($L197/1000000000))</f>
        <v/>
      </c>
      <c r="N197" s="121">
        <f>IF($L197="","",INT(($L197-INT($L197/1000000)*1000000)/1000))</f>
        <v/>
      </c>
      <c r="O197" s="121">
        <f>IF($L197="","",$L197-INT($L197/1000)*1000)</f>
        <v/>
      </c>
      <c r="P197" s="121">
        <f>IF($L197="","",INT(($L197-INT($L197/1000000000)*1000000000)/100000000))</f>
        <v/>
      </c>
    </row>
    <row r="198">
      <c r="B198" s="122">
        <f>IF($L198="","",$M198)</f>
        <v/>
      </c>
      <c r="C198" s="22">
        <f>IF($L198="","",INDEX(HSI!$C$7:$C$106,$N198))</f>
        <v/>
      </c>
      <c r="D198" s="22">
        <f>IF($L198="","",INDEX(HSI!$D$7:$D$106,$N198))</f>
        <v/>
      </c>
      <c r="E198" s="123">
        <f>IF($L198="","",IF($P198=0,"TBA",IFERROR(INDEX(Grids!$C$12:$BO$111,$N198,$O198),"-")))</f>
        <v/>
      </c>
      <c r="F198" s="22">
        <f>IF($L198="","",INDEX(HSI!$F$7:$F$106,$N198))</f>
        <v/>
      </c>
      <c r="G198" s="123">
        <f>IF($L198="","",IF($P198=0,"TBA",IFERROR(INDEX(Grids!$BQ$12:$EC$111,$N198,$O198),"-")))</f>
        <v/>
      </c>
      <c r="H198" s="124">
        <f>IF($L198="","",SUM($G$10:$G198))</f>
        <v/>
      </c>
      <c r="I198" s="45">
        <f>IF($L198="","",IF(INT(($L198-INT($L198/10000000)*10000000)/1000000)=0,"Bloomberg projection",IF($P198=1,"ANNOUNCED","ANNOUNCED - amount TBA")))</f>
        <v/>
      </c>
      <c r="J198" s="46">
        <f>IF($L198="","",IF((OV_SWITCH="ON")*(COUNTIFS(OVR_TICKERS,INDEX(HSI!$C$7:$C$106,$N198),OVR_BASE,"&gt;=0")&gt;0)&gt;0,"stock overridden",""))</f>
        <v/>
      </c>
      <c r="L198" s="121">
        <f>IFERROR(IF(SMALL(Grids!$EE$12:$GQ$111,$M$7+189)&gt;=PEND_TO,"",SMALL(Grids!$EE$12:$GQ$111,$M$7+189)),"")</f>
        <v/>
      </c>
      <c r="M198" s="121">
        <f>IF($L198="","",INT($L198/1000000000))</f>
        <v/>
      </c>
      <c r="N198" s="121">
        <f>IF($L198="","",INT(($L198-INT($L198/1000000)*1000000)/1000))</f>
        <v/>
      </c>
      <c r="O198" s="121">
        <f>IF($L198="","",$L198-INT($L198/1000)*1000)</f>
        <v/>
      </c>
      <c r="P198" s="121">
        <f>IF($L198="","",INT(($L198-INT($L198/1000000000)*1000000000)/100000000))</f>
        <v/>
      </c>
    </row>
    <row r="199">
      <c r="B199" s="122">
        <f>IF($L199="","",$M199)</f>
        <v/>
      </c>
      <c r="C199" s="22">
        <f>IF($L199="","",INDEX(HSI!$C$7:$C$106,$N199))</f>
        <v/>
      </c>
      <c r="D199" s="22">
        <f>IF($L199="","",INDEX(HSI!$D$7:$D$106,$N199))</f>
        <v/>
      </c>
      <c r="E199" s="123">
        <f>IF($L199="","",IF($P199=0,"TBA",IFERROR(INDEX(Grids!$C$12:$BO$111,$N199,$O199),"-")))</f>
        <v/>
      </c>
      <c r="F199" s="22">
        <f>IF($L199="","",INDEX(HSI!$F$7:$F$106,$N199))</f>
        <v/>
      </c>
      <c r="G199" s="123">
        <f>IF($L199="","",IF($P199=0,"TBA",IFERROR(INDEX(Grids!$BQ$12:$EC$111,$N199,$O199),"-")))</f>
        <v/>
      </c>
      <c r="H199" s="124">
        <f>IF($L199="","",SUM($G$10:$G199))</f>
        <v/>
      </c>
      <c r="I199" s="45">
        <f>IF($L199="","",IF(INT(($L199-INT($L199/10000000)*10000000)/1000000)=0,"Bloomberg projection",IF($P199=1,"ANNOUNCED","ANNOUNCED - amount TBA")))</f>
        <v/>
      </c>
      <c r="J199" s="46">
        <f>IF($L199="","",IF((OV_SWITCH="ON")*(COUNTIFS(OVR_TICKERS,INDEX(HSI!$C$7:$C$106,$N199),OVR_BASE,"&gt;=0")&gt;0)&gt;0,"stock overridden",""))</f>
        <v/>
      </c>
      <c r="L199" s="121">
        <f>IFERROR(IF(SMALL(Grids!$EE$12:$GQ$111,$M$7+190)&gt;=PEND_TO,"",SMALL(Grids!$EE$12:$GQ$111,$M$7+190)),"")</f>
        <v/>
      </c>
      <c r="M199" s="121">
        <f>IF($L199="","",INT($L199/1000000000))</f>
        <v/>
      </c>
      <c r="N199" s="121">
        <f>IF($L199="","",INT(($L199-INT($L199/1000000)*1000000)/1000))</f>
        <v/>
      </c>
      <c r="O199" s="121">
        <f>IF($L199="","",$L199-INT($L199/1000)*1000)</f>
        <v/>
      </c>
      <c r="P199" s="121">
        <f>IF($L199="","",INT(($L199-INT($L199/1000000000)*1000000000)/100000000))</f>
        <v/>
      </c>
    </row>
    <row r="200">
      <c r="B200" s="122">
        <f>IF($L200="","",$M200)</f>
        <v/>
      </c>
      <c r="C200" s="22">
        <f>IF($L200="","",INDEX(HSI!$C$7:$C$106,$N200))</f>
        <v/>
      </c>
      <c r="D200" s="22">
        <f>IF($L200="","",INDEX(HSI!$D$7:$D$106,$N200))</f>
        <v/>
      </c>
      <c r="E200" s="123">
        <f>IF($L200="","",IF($P200=0,"TBA",IFERROR(INDEX(Grids!$C$12:$BO$111,$N200,$O200),"-")))</f>
        <v/>
      </c>
      <c r="F200" s="22">
        <f>IF($L200="","",INDEX(HSI!$F$7:$F$106,$N200))</f>
        <v/>
      </c>
      <c r="G200" s="123">
        <f>IF($L200="","",IF($P200=0,"TBA",IFERROR(INDEX(Grids!$BQ$12:$EC$111,$N200,$O200),"-")))</f>
        <v/>
      </c>
      <c r="H200" s="124">
        <f>IF($L200="","",SUM($G$10:$G200))</f>
        <v/>
      </c>
      <c r="I200" s="45">
        <f>IF($L200="","",IF(INT(($L200-INT($L200/10000000)*10000000)/1000000)=0,"Bloomberg projection",IF($P200=1,"ANNOUNCED","ANNOUNCED - amount TBA")))</f>
        <v/>
      </c>
      <c r="J200" s="46">
        <f>IF($L200="","",IF((OV_SWITCH="ON")*(COUNTIFS(OVR_TICKERS,INDEX(HSI!$C$7:$C$106,$N200),OVR_BASE,"&gt;=0")&gt;0)&gt;0,"stock overridden",""))</f>
        <v/>
      </c>
      <c r="L200" s="121">
        <f>IFERROR(IF(SMALL(Grids!$EE$12:$GQ$111,$M$7+191)&gt;=PEND_TO,"",SMALL(Grids!$EE$12:$GQ$111,$M$7+191)),"")</f>
        <v/>
      </c>
      <c r="M200" s="121">
        <f>IF($L200="","",INT($L200/1000000000))</f>
        <v/>
      </c>
      <c r="N200" s="121">
        <f>IF($L200="","",INT(($L200-INT($L200/1000000)*1000000)/1000))</f>
        <v/>
      </c>
      <c r="O200" s="121">
        <f>IF($L200="","",$L200-INT($L200/1000)*1000)</f>
        <v/>
      </c>
      <c r="P200" s="121">
        <f>IF($L200="","",INT(($L200-INT($L200/1000000000)*1000000000)/100000000))</f>
        <v/>
      </c>
    </row>
    <row r="201">
      <c r="B201" s="122">
        <f>IF($L201="","",$M201)</f>
        <v/>
      </c>
      <c r="C201" s="22">
        <f>IF($L201="","",INDEX(HSI!$C$7:$C$106,$N201))</f>
        <v/>
      </c>
      <c r="D201" s="22">
        <f>IF($L201="","",INDEX(HSI!$D$7:$D$106,$N201))</f>
        <v/>
      </c>
      <c r="E201" s="123">
        <f>IF($L201="","",IF($P201=0,"TBA",IFERROR(INDEX(Grids!$C$12:$BO$111,$N201,$O201),"-")))</f>
        <v/>
      </c>
      <c r="F201" s="22">
        <f>IF($L201="","",INDEX(HSI!$F$7:$F$106,$N201))</f>
        <v/>
      </c>
      <c r="G201" s="123">
        <f>IF($L201="","",IF($P201=0,"TBA",IFERROR(INDEX(Grids!$BQ$12:$EC$111,$N201,$O201),"-")))</f>
        <v/>
      </c>
      <c r="H201" s="124">
        <f>IF($L201="","",SUM($G$10:$G201))</f>
        <v/>
      </c>
      <c r="I201" s="45">
        <f>IF($L201="","",IF(INT(($L201-INT($L201/10000000)*10000000)/1000000)=0,"Bloomberg projection",IF($P201=1,"ANNOUNCED","ANNOUNCED - amount TBA")))</f>
        <v/>
      </c>
      <c r="J201" s="46">
        <f>IF($L201="","",IF((OV_SWITCH="ON")*(COUNTIFS(OVR_TICKERS,INDEX(HSI!$C$7:$C$106,$N201),OVR_BASE,"&gt;=0")&gt;0)&gt;0,"stock overridden",""))</f>
        <v/>
      </c>
      <c r="L201" s="121">
        <f>IFERROR(IF(SMALL(Grids!$EE$12:$GQ$111,$M$7+192)&gt;=PEND_TO,"",SMALL(Grids!$EE$12:$GQ$111,$M$7+192)),"")</f>
        <v/>
      </c>
      <c r="M201" s="121">
        <f>IF($L201="","",INT($L201/1000000000))</f>
        <v/>
      </c>
      <c r="N201" s="121">
        <f>IF($L201="","",INT(($L201-INT($L201/1000000)*1000000)/1000))</f>
        <v/>
      </c>
      <c r="O201" s="121">
        <f>IF($L201="","",$L201-INT($L201/1000)*1000)</f>
        <v/>
      </c>
      <c r="P201" s="121">
        <f>IF($L201="","",INT(($L201-INT($L201/1000000000)*1000000000)/100000000))</f>
        <v/>
      </c>
    </row>
    <row r="202">
      <c r="B202" s="122">
        <f>IF($L202="","",$M202)</f>
        <v/>
      </c>
      <c r="C202" s="22">
        <f>IF($L202="","",INDEX(HSI!$C$7:$C$106,$N202))</f>
        <v/>
      </c>
      <c r="D202" s="22">
        <f>IF($L202="","",INDEX(HSI!$D$7:$D$106,$N202))</f>
        <v/>
      </c>
      <c r="E202" s="123">
        <f>IF($L202="","",IF($P202=0,"TBA",IFERROR(INDEX(Grids!$C$12:$BO$111,$N202,$O202),"-")))</f>
        <v/>
      </c>
      <c r="F202" s="22">
        <f>IF($L202="","",INDEX(HSI!$F$7:$F$106,$N202))</f>
        <v/>
      </c>
      <c r="G202" s="123">
        <f>IF($L202="","",IF($P202=0,"TBA",IFERROR(INDEX(Grids!$BQ$12:$EC$111,$N202,$O202),"-")))</f>
        <v/>
      </c>
      <c r="H202" s="124">
        <f>IF($L202="","",SUM($G$10:$G202))</f>
        <v/>
      </c>
      <c r="I202" s="45">
        <f>IF($L202="","",IF(INT(($L202-INT($L202/10000000)*10000000)/1000000)=0,"Bloomberg projection",IF($P202=1,"ANNOUNCED","ANNOUNCED - amount TBA")))</f>
        <v/>
      </c>
      <c r="J202" s="46">
        <f>IF($L202="","",IF((OV_SWITCH="ON")*(COUNTIFS(OVR_TICKERS,INDEX(HSI!$C$7:$C$106,$N202),OVR_BASE,"&gt;=0")&gt;0)&gt;0,"stock overridden",""))</f>
        <v/>
      </c>
      <c r="L202" s="121">
        <f>IFERROR(IF(SMALL(Grids!$EE$12:$GQ$111,$M$7+193)&gt;=PEND_TO,"",SMALL(Grids!$EE$12:$GQ$111,$M$7+193)),"")</f>
        <v/>
      </c>
      <c r="M202" s="121">
        <f>IF($L202="","",INT($L202/1000000000))</f>
        <v/>
      </c>
      <c r="N202" s="121">
        <f>IF($L202="","",INT(($L202-INT($L202/1000000)*1000000)/1000))</f>
        <v/>
      </c>
      <c r="O202" s="121">
        <f>IF($L202="","",$L202-INT($L202/1000)*1000)</f>
        <v/>
      </c>
      <c r="P202" s="121">
        <f>IF($L202="","",INT(($L202-INT($L202/1000000000)*1000000000)/100000000))</f>
        <v/>
      </c>
    </row>
    <row r="203">
      <c r="B203" s="122">
        <f>IF($L203="","",$M203)</f>
        <v/>
      </c>
      <c r="C203" s="22">
        <f>IF($L203="","",INDEX(HSI!$C$7:$C$106,$N203))</f>
        <v/>
      </c>
      <c r="D203" s="22">
        <f>IF($L203="","",INDEX(HSI!$D$7:$D$106,$N203))</f>
        <v/>
      </c>
      <c r="E203" s="123">
        <f>IF($L203="","",IF($P203=0,"TBA",IFERROR(INDEX(Grids!$C$12:$BO$111,$N203,$O203),"-")))</f>
        <v/>
      </c>
      <c r="F203" s="22">
        <f>IF($L203="","",INDEX(HSI!$F$7:$F$106,$N203))</f>
        <v/>
      </c>
      <c r="G203" s="123">
        <f>IF($L203="","",IF($P203=0,"TBA",IFERROR(INDEX(Grids!$BQ$12:$EC$111,$N203,$O203),"-")))</f>
        <v/>
      </c>
      <c r="H203" s="124">
        <f>IF($L203="","",SUM($G$10:$G203))</f>
        <v/>
      </c>
      <c r="I203" s="45">
        <f>IF($L203="","",IF(INT(($L203-INT($L203/10000000)*10000000)/1000000)=0,"Bloomberg projection",IF($P203=1,"ANNOUNCED","ANNOUNCED - amount TBA")))</f>
        <v/>
      </c>
      <c r="J203" s="46">
        <f>IF($L203="","",IF((OV_SWITCH="ON")*(COUNTIFS(OVR_TICKERS,INDEX(HSI!$C$7:$C$106,$N203),OVR_BASE,"&gt;=0")&gt;0)&gt;0,"stock overridden",""))</f>
        <v/>
      </c>
      <c r="L203" s="121">
        <f>IFERROR(IF(SMALL(Grids!$EE$12:$GQ$111,$M$7+194)&gt;=PEND_TO,"",SMALL(Grids!$EE$12:$GQ$111,$M$7+194)),"")</f>
        <v/>
      </c>
      <c r="M203" s="121">
        <f>IF($L203="","",INT($L203/1000000000))</f>
        <v/>
      </c>
      <c r="N203" s="121">
        <f>IF($L203="","",INT(($L203-INT($L203/1000000)*1000000)/1000))</f>
        <v/>
      </c>
      <c r="O203" s="121">
        <f>IF($L203="","",$L203-INT($L203/1000)*1000)</f>
        <v/>
      </c>
      <c r="P203" s="121">
        <f>IF($L203="","",INT(($L203-INT($L203/1000000000)*1000000000)/100000000))</f>
        <v/>
      </c>
    </row>
    <row r="204">
      <c r="B204" s="122">
        <f>IF($L204="","",$M204)</f>
        <v/>
      </c>
      <c r="C204" s="22">
        <f>IF($L204="","",INDEX(HSI!$C$7:$C$106,$N204))</f>
        <v/>
      </c>
      <c r="D204" s="22">
        <f>IF($L204="","",INDEX(HSI!$D$7:$D$106,$N204))</f>
        <v/>
      </c>
      <c r="E204" s="123">
        <f>IF($L204="","",IF($P204=0,"TBA",IFERROR(INDEX(Grids!$C$12:$BO$111,$N204,$O204),"-")))</f>
        <v/>
      </c>
      <c r="F204" s="22">
        <f>IF($L204="","",INDEX(HSI!$F$7:$F$106,$N204))</f>
        <v/>
      </c>
      <c r="G204" s="123">
        <f>IF($L204="","",IF($P204=0,"TBA",IFERROR(INDEX(Grids!$BQ$12:$EC$111,$N204,$O204),"-")))</f>
        <v/>
      </c>
      <c r="H204" s="124">
        <f>IF($L204="","",SUM($G$10:$G204))</f>
        <v/>
      </c>
      <c r="I204" s="45">
        <f>IF($L204="","",IF(INT(($L204-INT($L204/10000000)*10000000)/1000000)=0,"Bloomberg projection",IF($P204=1,"ANNOUNCED","ANNOUNCED - amount TBA")))</f>
        <v/>
      </c>
      <c r="J204" s="46">
        <f>IF($L204="","",IF((OV_SWITCH="ON")*(COUNTIFS(OVR_TICKERS,INDEX(HSI!$C$7:$C$106,$N204),OVR_BASE,"&gt;=0")&gt;0)&gt;0,"stock overridden",""))</f>
        <v/>
      </c>
      <c r="L204" s="121">
        <f>IFERROR(IF(SMALL(Grids!$EE$12:$GQ$111,$M$7+195)&gt;=PEND_TO,"",SMALL(Grids!$EE$12:$GQ$111,$M$7+195)),"")</f>
        <v/>
      </c>
      <c r="M204" s="121">
        <f>IF($L204="","",INT($L204/1000000000))</f>
        <v/>
      </c>
      <c r="N204" s="121">
        <f>IF($L204="","",INT(($L204-INT($L204/1000000)*1000000)/1000))</f>
        <v/>
      </c>
      <c r="O204" s="121">
        <f>IF($L204="","",$L204-INT($L204/1000)*1000)</f>
        <v/>
      </c>
      <c r="P204" s="121">
        <f>IF($L204="","",INT(($L204-INT($L204/1000000000)*1000000000)/100000000))</f>
        <v/>
      </c>
    </row>
    <row r="205">
      <c r="B205" s="122">
        <f>IF($L205="","",$M205)</f>
        <v/>
      </c>
      <c r="C205" s="22">
        <f>IF($L205="","",INDEX(HSI!$C$7:$C$106,$N205))</f>
        <v/>
      </c>
      <c r="D205" s="22">
        <f>IF($L205="","",INDEX(HSI!$D$7:$D$106,$N205))</f>
        <v/>
      </c>
      <c r="E205" s="123">
        <f>IF($L205="","",IF($P205=0,"TBA",IFERROR(INDEX(Grids!$C$12:$BO$111,$N205,$O205),"-")))</f>
        <v/>
      </c>
      <c r="F205" s="22">
        <f>IF($L205="","",INDEX(HSI!$F$7:$F$106,$N205))</f>
        <v/>
      </c>
      <c r="G205" s="123">
        <f>IF($L205="","",IF($P205=0,"TBA",IFERROR(INDEX(Grids!$BQ$12:$EC$111,$N205,$O205),"-")))</f>
        <v/>
      </c>
      <c r="H205" s="124">
        <f>IF($L205="","",SUM($G$10:$G205))</f>
        <v/>
      </c>
      <c r="I205" s="45">
        <f>IF($L205="","",IF(INT(($L205-INT($L205/10000000)*10000000)/1000000)=0,"Bloomberg projection",IF($P205=1,"ANNOUNCED","ANNOUNCED - amount TBA")))</f>
        <v/>
      </c>
      <c r="J205" s="46">
        <f>IF($L205="","",IF((OV_SWITCH="ON")*(COUNTIFS(OVR_TICKERS,INDEX(HSI!$C$7:$C$106,$N205),OVR_BASE,"&gt;=0")&gt;0)&gt;0,"stock overridden",""))</f>
        <v/>
      </c>
      <c r="L205" s="121">
        <f>IFERROR(IF(SMALL(Grids!$EE$12:$GQ$111,$M$7+196)&gt;=PEND_TO,"",SMALL(Grids!$EE$12:$GQ$111,$M$7+196)),"")</f>
        <v/>
      </c>
      <c r="M205" s="121">
        <f>IF($L205="","",INT($L205/1000000000))</f>
        <v/>
      </c>
      <c r="N205" s="121">
        <f>IF($L205="","",INT(($L205-INT($L205/1000000)*1000000)/1000))</f>
        <v/>
      </c>
      <c r="O205" s="121">
        <f>IF($L205="","",$L205-INT($L205/1000)*1000)</f>
        <v/>
      </c>
      <c r="P205" s="121">
        <f>IF($L205="","",INT(($L205-INT($L205/1000000000)*1000000000)/100000000))</f>
        <v/>
      </c>
    </row>
    <row r="206">
      <c r="B206" s="122">
        <f>IF($L206="","",$M206)</f>
        <v/>
      </c>
      <c r="C206" s="22">
        <f>IF($L206="","",INDEX(HSI!$C$7:$C$106,$N206))</f>
        <v/>
      </c>
      <c r="D206" s="22">
        <f>IF($L206="","",INDEX(HSI!$D$7:$D$106,$N206))</f>
        <v/>
      </c>
      <c r="E206" s="123">
        <f>IF($L206="","",IF($P206=0,"TBA",IFERROR(INDEX(Grids!$C$12:$BO$111,$N206,$O206),"-")))</f>
        <v/>
      </c>
      <c r="F206" s="22">
        <f>IF($L206="","",INDEX(HSI!$F$7:$F$106,$N206))</f>
        <v/>
      </c>
      <c r="G206" s="123">
        <f>IF($L206="","",IF($P206=0,"TBA",IFERROR(INDEX(Grids!$BQ$12:$EC$111,$N206,$O206),"-")))</f>
        <v/>
      </c>
      <c r="H206" s="124">
        <f>IF($L206="","",SUM($G$10:$G206))</f>
        <v/>
      </c>
      <c r="I206" s="45">
        <f>IF($L206="","",IF(INT(($L206-INT($L206/10000000)*10000000)/1000000)=0,"Bloomberg projection",IF($P206=1,"ANNOUNCED","ANNOUNCED - amount TBA")))</f>
        <v/>
      </c>
      <c r="J206" s="46">
        <f>IF($L206="","",IF((OV_SWITCH="ON")*(COUNTIFS(OVR_TICKERS,INDEX(HSI!$C$7:$C$106,$N206),OVR_BASE,"&gt;=0")&gt;0)&gt;0,"stock overridden",""))</f>
        <v/>
      </c>
      <c r="L206" s="121">
        <f>IFERROR(IF(SMALL(Grids!$EE$12:$GQ$111,$M$7+197)&gt;=PEND_TO,"",SMALL(Grids!$EE$12:$GQ$111,$M$7+197)),"")</f>
        <v/>
      </c>
      <c r="M206" s="121">
        <f>IF($L206="","",INT($L206/1000000000))</f>
        <v/>
      </c>
      <c r="N206" s="121">
        <f>IF($L206="","",INT(($L206-INT($L206/1000000)*1000000)/1000))</f>
        <v/>
      </c>
      <c r="O206" s="121">
        <f>IF($L206="","",$L206-INT($L206/1000)*1000)</f>
        <v/>
      </c>
      <c r="P206" s="121">
        <f>IF($L206="","",INT(($L206-INT($L206/1000000000)*1000000000)/100000000))</f>
        <v/>
      </c>
    </row>
    <row r="207">
      <c r="B207" s="122">
        <f>IF($L207="","",$M207)</f>
        <v/>
      </c>
      <c r="C207" s="22">
        <f>IF($L207="","",INDEX(HSI!$C$7:$C$106,$N207))</f>
        <v/>
      </c>
      <c r="D207" s="22">
        <f>IF($L207="","",INDEX(HSI!$D$7:$D$106,$N207))</f>
        <v/>
      </c>
      <c r="E207" s="123">
        <f>IF($L207="","",IF($P207=0,"TBA",IFERROR(INDEX(Grids!$C$12:$BO$111,$N207,$O207),"-")))</f>
        <v/>
      </c>
      <c r="F207" s="22">
        <f>IF($L207="","",INDEX(HSI!$F$7:$F$106,$N207))</f>
        <v/>
      </c>
      <c r="G207" s="123">
        <f>IF($L207="","",IF($P207=0,"TBA",IFERROR(INDEX(Grids!$BQ$12:$EC$111,$N207,$O207),"-")))</f>
        <v/>
      </c>
      <c r="H207" s="124">
        <f>IF($L207="","",SUM($G$10:$G207))</f>
        <v/>
      </c>
      <c r="I207" s="45">
        <f>IF($L207="","",IF(INT(($L207-INT($L207/10000000)*10000000)/1000000)=0,"Bloomberg projection",IF($P207=1,"ANNOUNCED","ANNOUNCED - amount TBA")))</f>
        <v/>
      </c>
      <c r="J207" s="46">
        <f>IF($L207="","",IF((OV_SWITCH="ON")*(COUNTIFS(OVR_TICKERS,INDEX(HSI!$C$7:$C$106,$N207),OVR_BASE,"&gt;=0")&gt;0)&gt;0,"stock overridden",""))</f>
        <v/>
      </c>
      <c r="L207" s="121">
        <f>IFERROR(IF(SMALL(Grids!$EE$12:$GQ$111,$M$7+198)&gt;=PEND_TO,"",SMALL(Grids!$EE$12:$GQ$111,$M$7+198)),"")</f>
        <v/>
      </c>
      <c r="M207" s="121">
        <f>IF($L207="","",INT($L207/1000000000))</f>
        <v/>
      </c>
      <c r="N207" s="121">
        <f>IF($L207="","",INT(($L207-INT($L207/1000000)*1000000)/1000))</f>
        <v/>
      </c>
      <c r="O207" s="121">
        <f>IF($L207="","",$L207-INT($L207/1000)*1000)</f>
        <v/>
      </c>
      <c r="P207" s="121">
        <f>IF($L207="","",INT(($L207-INT($L207/1000000000)*1000000000)/100000000))</f>
        <v/>
      </c>
    </row>
    <row r="208">
      <c r="B208" s="122">
        <f>IF($L208="","",$M208)</f>
        <v/>
      </c>
      <c r="C208" s="22">
        <f>IF($L208="","",INDEX(HSI!$C$7:$C$106,$N208))</f>
        <v/>
      </c>
      <c r="D208" s="22">
        <f>IF($L208="","",INDEX(HSI!$D$7:$D$106,$N208))</f>
        <v/>
      </c>
      <c r="E208" s="123">
        <f>IF($L208="","",IF($P208=0,"TBA",IFERROR(INDEX(Grids!$C$12:$BO$111,$N208,$O208),"-")))</f>
        <v/>
      </c>
      <c r="F208" s="22">
        <f>IF($L208="","",INDEX(HSI!$F$7:$F$106,$N208))</f>
        <v/>
      </c>
      <c r="G208" s="123">
        <f>IF($L208="","",IF($P208=0,"TBA",IFERROR(INDEX(Grids!$BQ$12:$EC$111,$N208,$O208),"-")))</f>
        <v/>
      </c>
      <c r="H208" s="124">
        <f>IF($L208="","",SUM($G$10:$G208))</f>
        <v/>
      </c>
      <c r="I208" s="45">
        <f>IF($L208="","",IF(INT(($L208-INT($L208/10000000)*10000000)/1000000)=0,"Bloomberg projection",IF($P208=1,"ANNOUNCED","ANNOUNCED - amount TBA")))</f>
        <v/>
      </c>
      <c r="J208" s="46">
        <f>IF($L208="","",IF((OV_SWITCH="ON")*(COUNTIFS(OVR_TICKERS,INDEX(HSI!$C$7:$C$106,$N208),OVR_BASE,"&gt;=0")&gt;0)&gt;0,"stock overridden",""))</f>
        <v/>
      </c>
      <c r="L208" s="121">
        <f>IFERROR(IF(SMALL(Grids!$EE$12:$GQ$111,$M$7+199)&gt;=PEND_TO,"",SMALL(Grids!$EE$12:$GQ$111,$M$7+199)),"")</f>
        <v/>
      </c>
      <c r="M208" s="121">
        <f>IF($L208="","",INT($L208/1000000000))</f>
        <v/>
      </c>
      <c r="N208" s="121">
        <f>IF($L208="","",INT(($L208-INT($L208/1000000)*1000000)/1000))</f>
        <v/>
      </c>
      <c r="O208" s="121">
        <f>IF($L208="","",$L208-INT($L208/1000)*1000)</f>
        <v/>
      </c>
      <c r="P208" s="121">
        <f>IF($L208="","",INT(($L208-INT($L208/1000000000)*1000000000)/100000000))</f>
        <v/>
      </c>
    </row>
    <row r="209">
      <c r="B209" s="122">
        <f>IF($L209="","",$M209)</f>
        <v/>
      </c>
      <c r="C209" s="22">
        <f>IF($L209="","",INDEX(HSI!$C$7:$C$106,$N209))</f>
        <v/>
      </c>
      <c r="D209" s="22">
        <f>IF($L209="","",INDEX(HSI!$D$7:$D$106,$N209))</f>
        <v/>
      </c>
      <c r="E209" s="123">
        <f>IF($L209="","",IF($P209=0,"TBA",IFERROR(INDEX(Grids!$C$12:$BO$111,$N209,$O209),"-")))</f>
        <v/>
      </c>
      <c r="F209" s="22">
        <f>IF($L209="","",INDEX(HSI!$F$7:$F$106,$N209))</f>
        <v/>
      </c>
      <c r="G209" s="123">
        <f>IF($L209="","",IF($P209=0,"TBA",IFERROR(INDEX(Grids!$BQ$12:$EC$111,$N209,$O209),"-")))</f>
        <v/>
      </c>
      <c r="H209" s="124">
        <f>IF($L209="","",SUM($G$10:$G209))</f>
        <v/>
      </c>
      <c r="I209" s="45">
        <f>IF($L209="","",IF(INT(($L209-INT($L209/10000000)*10000000)/1000000)=0,"Bloomberg projection",IF($P209=1,"ANNOUNCED","ANNOUNCED - amount TBA")))</f>
        <v/>
      </c>
      <c r="J209" s="46">
        <f>IF($L209="","",IF((OV_SWITCH="ON")*(COUNTIFS(OVR_TICKERS,INDEX(HSI!$C$7:$C$106,$N209),OVR_BASE,"&gt;=0")&gt;0)&gt;0,"stock overridden",""))</f>
        <v/>
      </c>
      <c r="L209" s="121">
        <f>IFERROR(IF(SMALL(Grids!$EE$12:$GQ$111,$M$7+200)&gt;=PEND_TO,"",SMALL(Grids!$EE$12:$GQ$111,$M$7+200)),"")</f>
        <v/>
      </c>
      <c r="M209" s="121">
        <f>IF($L209="","",INT($L209/1000000000))</f>
        <v/>
      </c>
      <c r="N209" s="121">
        <f>IF($L209="","",INT(($L209-INT($L209/1000000)*1000000)/1000))</f>
        <v/>
      </c>
      <c r="O209" s="121">
        <f>IF($L209="","",$L209-INT($L209/1000)*1000)</f>
        <v/>
      </c>
      <c r="P209" s="121">
        <f>IF($L209="","",INT(($L209-INT($L209/1000000000)*1000000000)/100000000))</f>
        <v/>
      </c>
    </row>
    <row r="210">
      <c r="B210" s="122">
        <f>IF($L210="","",$M210)</f>
        <v/>
      </c>
      <c r="C210" s="22">
        <f>IF($L210="","",INDEX(HSI!$C$7:$C$106,$N210))</f>
        <v/>
      </c>
      <c r="D210" s="22">
        <f>IF($L210="","",INDEX(HSI!$D$7:$D$106,$N210))</f>
        <v/>
      </c>
      <c r="E210" s="123">
        <f>IF($L210="","",IF($P210=0,"TBA",IFERROR(INDEX(Grids!$C$12:$BO$111,$N210,$O210),"-")))</f>
        <v/>
      </c>
      <c r="F210" s="22">
        <f>IF($L210="","",INDEX(HSI!$F$7:$F$106,$N210))</f>
        <v/>
      </c>
      <c r="G210" s="123">
        <f>IF($L210="","",IF($P210=0,"TBA",IFERROR(INDEX(Grids!$BQ$12:$EC$111,$N210,$O210),"-")))</f>
        <v/>
      </c>
      <c r="H210" s="124">
        <f>IF($L210="","",SUM($G$10:$G210))</f>
        <v/>
      </c>
      <c r="I210" s="45">
        <f>IF($L210="","",IF(INT(($L210-INT($L210/10000000)*10000000)/1000000)=0,"Bloomberg projection",IF($P210=1,"ANNOUNCED","ANNOUNCED - amount TBA")))</f>
        <v/>
      </c>
      <c r="J210" s="46">
        <f>IF($L210="","",IF((OV_SWITCH="ON")*(COUNTIFS(OVR_TICKERS,INDEX(HSI!$C$7:$C$106,$N210),OVR_BASE,"&gt;=0")&gt;0)&gt;0,"stock overridden",""))</f>
        <v/>
      </c>
      <c r="L210" s="121">
        <f>IFERROR(IF(SMALL(Grids!$EE$12:$GQ$111,$M$7+201)&gt;=PEND_TO,"",SMALL(Grids!$EE$12:$GQ$111,$M$7+201)),"")</f>
        <v/>
      </c>
      <c r="M210" s="121">
        <f>IF($L210="","",INT($L210/1000000000))</f>
        <v/>
      </c>
      <c r="N210" s="121">
        <f>IF($L210="","",INT(($L210-INT($L210/1000000)*1000000)/1000))</f>
        <v/>
      </c>
      <c r="O210" s="121">
        <f>IF($L210="","",$L210-INT($L210/1000)*1000)</f>
        <v/>
      </c>
      <c r="P210" s="121">
        <f>IF($L210="","",INT(($L210-INT($L210/1000000000)*1000000000)/100000000))</f>
        <v/>
      </c>
    </row>
    <row r="211">
      <c r="B211" s="122">
        <f>IF($L211="","",$M211)</f>
        <v/>
      </c>
      <c r="C211" s="22">
        <f>IF($L211="","",INDEX(HSI!$C$7:$C$106,$N211))</f>
        <v/>
      </c>
      <c r="D211" s="22">
        <f>IF($L211="","",INDEX(HSI!$D$7:$D$106,$N211))</f>
        <v/>
      </c>
      <c r="E211" s="123">
        <f>IF($L211="","",IF($P211=0,"TBA",IFERROR(INDEX(Grids!$C$12:$BO$111,$N211,$O211),"-")))</f>
        <v/>
      </c>
      <c r="F211" s="22">
        <f>IF($L211="","",INDEX(HSI!$F$7:$F$106,$N211))</f>
        <v/>
      </c>
      <c r="G211" s="123">
        <f>IF($L211="","",IF($P211=0,"TBA",IFERROR(INDEX(Grids!$BQ$12:$EC$111,$N211,$O211),"-")))</f>
        <v/>
      </c>
      <c r="H211" s="124">
        <f>IF($L211="","",SUM($G$10:$G211))</f>
        <v/>
      </c>
      <c r="I211" s="45">
        <f>IF($L211="","",IF(INT(($L211-INT($L211/10000000)*10000000)/1000000)=0,"Bloomberg projection",IF($P211=1,"ANNOUNCED","ANNOUNCED - amount TBA")))</f>
        <v/>
      </c>
      <c r="J211" s="46">
        <f>IF($L211="","",IF((OV_SWITCH="ON")*(COUNTIFS(OVR_TICKERS,INDEX(HSI!$C$7:$C$106,$N211),OVR_BASE,"&gt;=0")&gt;0)&gt;0,"stock overridden",""))</f>
        <v/>
      </c>
      <c r="L211" s="121">
        <f>IFERROR(IF(SMALL(Grids!$EE$12:$GQ$111,$M$7+202)&gt;=PEND_TO,"",SMALL(Grids!$EE$12:$GQ$111,$M$7+202)),"")</f>
        <v/>
      </c>
      <c r="M211" s="121">
        <f>IF($L211="","",INT($L211/1000000000))</f>
        <v/>
      </c>
      <c r="N211" s="121">
        <f>IF($L211="","",INT(($L211-INT($L211/1000000)*1000000)/1000))</f>
        <v/>
      </c>
      <c r="O211" s="121">
        <f>IF($L211="","",$L211-INT($L211/1000)*1000)</f>
        <v/>
      </c>
      <c r="P211" s="121">
        <f>IF($L211="","",INT(($L211-INT($L211/1000000000)*1000000000)/100000000))</f>
        <v/>
      </c>
    </row>
    <row r="212">
      <c r="B212" s="122">
        <f>IF($L212="","",$M212)</f>
        <v/>
      </c>
      <c r="C212" s="22">
        <f>IF($L212="","",INDEX(HSI!$C$7:$C$106,$N212))</f>
        <v/>
      </c>
      <c r="D212" s="22">
        <f>IF($L212="","",INDEX(HSI!$D$7:$D$106,$N212))</f>
        <v/>
      </c>
      <c r="E212" s="123">
        <f>IF($L212="","",IF($P212=0,"TBA",IFERROR(INDEX(Grids!$C$12:$BO$111,$N212,$O212),"-")))</f>
        <v/>
      </c>
      <c r="F212" s="22">
        <f>IF($L212="","",INDEX(HSI!$F$7:$F$106,$N212))</f>
        <v/>
      </c>
      <c r="G212" s="123">
        <f>IF($L212="","",IF($P212=0,"TBA",IFERROR(INDEX(Grids!$BQ$12:$EC$111,$N212,$O212),"-")))</f>
        <v/>
      </c>
      <c r="H212" s="124">
        <f>IF($L212="","",SUM($G$10:$G212))</f>
        <v/>
      </c>
      <c r="I212" s="45">
        <f>IF($L212="","",IF(INT(($L212-INT($L212/10000000)*10000000)/1000000)=0,"Bloomberg projection",IF($P212=1,"ANNOUNCED","ANNOUNCED - amount TBA")))</f>
        <v/>
      </c>
      <c r="J212" s="46">
        <f>IF($L212="","",IF((OV_SWITCH="ON")*(COUNTIFS(OVR_TICKERS,INDEX(HSI!$C$7:$C$106,$N212),OVR_BASE,"&gt;=0")&gt;0)&gt;0,"stock overridden",""))</f>
        <v/>
      </c>
      <c r="L212" s="121">
        <f>IFERROR(IF(SMALL(Grids!$EE$12:$GQ$111,$M$7+203)&gt;=PEND_TO,"",SMALL(Grids!$EE$12:$GQ$111,$M$7+203)),"")</f>
        <v/>
      </c>
      <c r="M212" s="121">
        <f>IF($L212="","",INT($L212/1000000000))</f>
        <v/>
      </c>
      <c r="N212" s="121">
        <f>IF($L212="","",INT(($L212-INT($L212/1000000)*1000000)/1000))</f>
        <v/>
      </c>
      <c r="O212" s="121">
        <f>IF($L212="","",$L212-INT($L212/1000)*1000)</f>
        <v/>
      </c>
      <c r="P212" s="121">
        <f>IF($L212="","",INT(($L212-INT($L212/1000000000)*1000000000)/100000000))</f>
        <v/>
      </c>
    </row>
    <row r="213">
      <c r="B213" s="122">
        <f>IF($L213="","",$M213)</f>
        <v/>
      </c>
      <c r="C213" s="22">
        <f>IF($L213="","",INDEX(HSI!$C$7:$C$106,$N213))</f>
        <v/>
      </c>
      <c r="D213" s="22">
        <f>IF($L213="","",INDEX(HSI!$D$7:$D$106,$N213))</f>
        <v/>
      </c>
      <c r="E213" s="123">
        <f>IF($L213="","",IF($P213=0,"TBA",IFERROR(INDEX(Grids!$C$12:$BO$111,$N213,$O213),"-")))</f>
        <v/>
      </c>
      <c r="F213" s="22">
        <f>IF($L213="","",INDEX(HSI!$F$7:$F$106,$N213))</f>
        <v/>
      </c>
      <c r="G213" s="123">
        <f>IF($L213="","",IF($P213=0,"TBA",IFERROR(INDEX(Grids!$BQ$12:$EC$111,$N213,$O213),"-")))</f>
        <v/>
      </c>
      <c r="H213" s="124">
        <f>IF($L213="","",SUM($G$10:$G213))</f>
        <v/>
      </c>
      <c r="I213" s="45">
        <f>IF($L213="","",IF(INT(($L213-INT($L213/10000000)*10000000)/1000000)=0,"Bloomberg projection",IF($P213=1,"ANNOUNCED","ANNOUNCED - amount TBA")))</f>
        <v/>
      </c>
      <c r="J213" s="46">
        <f>IF($L213="","",IF((OV_SWITCH="ON")*(COUNTIFS(OVR_TICKERS,INDEX(HSI!$C$7:$C$106,$N213),OVR_BASE,"&gt;=0")&gt;0)&gt;0,"stock overridden",""))</f>
        <v/>
      </c>
      <c r="L213" s="121">
        <f>IFERROR(IF(SMALL(Grids!$EE$12:$GQ$111,$M$7+204)&gt;=PEND_TO,"",SMALL(Grids!$EE$12:$GQ$111,$M$7+204)),"")</f>
        <v/>
      </c>
      <c r="M213" s="121">
        <f>IF($L213="","",INT($L213/1000000000))</f>
        <v/>
      </c>
      <c r="N213" s="121">
        <f>IF($L213="","",INT(($L213-INT($L213/1000000)*1000000)/1000))</f>
        <v/>
      </c>
      <c r="O213" s="121">
        <f>IF($L213="","",$L213-INT($L213/1000)*1000)</f>
        <v/>
      </c>
      <c r="P213" s="121">
        <f>IF($L213="","",INT(($L213-INT($L213/1000000000)*1000000000)/100000000))</f>
        <v/>
      </c>
    </row>
    <row r="214">
      <c r="B214" s="122">
        <f>IF($L214="","",$M214)</f>
        <v/>
      </c>
      <c r="C214" s="22">
        <f>IF($L214="","",INDEX(HSI!$C$7:$C$106,$N214))</f>
        <v/>
      </c>
      <c r="D214" s="22">
        <f>IF($L214="","",INDEX(HSI!$D$7:$D$106,$N214))</f>
        <v/>
      </c>
      <c r="E214" s="123">
        <f>IF($L214="","",IF($P214=0,"TBA",IFERROR(INDEX(Grids!$C$12:$BO$111,$N214,$O214),"-")))</f>
        <v/>
      </c>
      <c r="F214" s="22">
        <f>IF($L214="","",INDEX(HSI!$F$7:$F$106,$N214))</f>
        <v/>
      </c>
      <c r="G214" s="123">
        <f>IF($L214="","",IF($P214=0,"TBA",IFERROR(INDEX(Grids!$BQ$12:$EC$111,$N214,$O214),"-")))</f>
        <v/>
      </c>
      <c r="H214" s="124">
        <f>IF($L214="","",SUM($G$10:$G214))</f>
        <v/>
      </c>
      <c r="I214" s="45">
        <f>IF($L214="","",IF(INT(($L214-INT($L214/10000000)*10000000)/1000000)=0,"Bloomberg projection",IF($P214=1,"ANNOUNCED","ANNOUNCED - amount TBA")))</f>
        <v/>
      </c>
      <c r="J214" s="46">
        <f>IF($L214="","",IF((OV_SWITCH="ON")*(COUNTIFS(OVR_TICKERS,INDEX(HSI!$C$7:$C$106,$N214),OVR_BASE,"&gt;=0")&gt;0)&gt;0,"stock overridden",""))</f>
        <v/>
      </c>
      <c r="L214" s="121">
        <f>IFERROR(IF(SMALL(Grids!$EE$12:$GQ$111,$M$7+205)&gt;=PEND_TO,"",SMALL(Grids!$EE$12:$GQ$111,$M$7+205)),"")</f>
        <v/>
      </c>
      <c r="M214" s="121">
        <f>IF($L214="","",INT($L214/1000000000))</f>
        <v/>
      </c>
      <c r="N214" s="121">
        <f>IF($L214="","",INT(($L214-INT($L214/1000000)*1000000)/1000))</f>
        <v/>
      </c>
      <c r="O214" s="121">
        <f>IF($L214="","",$L214-INT($L214/1000)*1000)</f>
        <v/>
      </c>
      <c r="P214" s="121">
        <f>IF($L214="","",INT(($L214-INT($L214/1000000000)*1000000000)/100000000))</f>
        <v/>
      </c>
    </row>
    <row r="215">
      <c r="B215" s="122">
        <f>IF($L215="","",$M215)</f>
        <v/>
      </c>
      <c r="C215" s="22">
        <f>IF($L215="","",INDEX(HSI!$C$7:$C$106,$N215))</f>
        <v/>
      </c>
      <c r="D215" s="22">
        <f>IF($L215="","",INDEX(HSI!$D$7:$D$106,$N215))</f>
        <v/>
      </c>
      <c r="E215" s="123">
        <f>IF($L215="","",IF($P215=0,"TBA",IFERROR(INDEX(Grids!$C$12:$BO$111,$N215,$O215),"-")))</f>
        <v/>
      </c>
      <c r="F215" s="22">
        <f>IF($L215="","",INDEX(HSI!$F$7:$F$106,$N215))</f>
        <v/>
      </c>
      <c r="G215" s="123">
        <f>IF($L215="","",IF($P215=0,"TBA",IFERROR(INDEX(Grids!$BQ$12:$EC$111,$N215,$O215),"-")))</f>
        <v/>
      </c>
      <c r="H215" s="124">
        <f>IF($L215="","",SUM($G$10:$G215))</f>
        <v/>
      </c>
      <c r="I215" s="45">
        <f>IF($L215="","",IF(INT(($L215-INT($L215/10000000)*10000000)/1000000)=0,"Bloomberg projection",IF($P215=1,"ANNOUNCED","ANNOUNCED - amount TBA")))</f>
        <v/>
      </c>
      <c r="J215" s="46">
        <f>IF($L215="","",IF((OV_SWITCH="ON")*(COUNTIFS(OVR_TICKERS,INDEX(HSI!$C$7:$C$106,$N215),OVR_BASE,"&gt;=0")&gt;0)&gt;0,"stock overridden",""))</f>
        <v/>
      </c>
      <c r="L215" s="121">
        <f>IFERROR(IF(SMALL(Grids!$EE$12:$GQ$111,$M$7+206)&gt;=PEND_TO,"",SMALL(Grids!$EE$12:$GQ$111,$M$7+206)),"")</f>
        <v/>
      </c>
      <c r="M215" s="121">
        <f>IF($L215="","",INT($L215/1000000000))</f>
        <v/>
      </c>
      <c r="N215" s="121">
        <f>IF($L215="","",INT(($L215-INT($L215/1000000)*1000000)/1000))</f>
        <v/>
      </c>
      <c r="O215" s="121">
        <f>IF($L215="","",$L215-INT($L215/1000)*1000)</f>
        <v/>
      </c>
      <c r="P215" s="121">
        <f>IF($L215="","",INT(($L215-INT($L215/1000000000)*1000000000)/100000000))</f>
        <v/>
      </c>
    </row>
    <row r="216">
      <c r="B216" s="122">
        <f>IF($L216="","",$M216)</f>
        <v/>
      </c>
      <c r="C216" s="22">
        <f>IF($L216="","",INDEX(HSI!$C$7:$C$106,$N216))</f>
        <v/>
      </c>
      <c r="D216" s="22">
        <f>IF($L216="","",INDEX(HSI!$D$7:$D$106,$N216))</f>
        <v/>
      </c>
      <c r="E216" s="123">
        <f>IF($L216="","",IF($P216=0,"TBA",IFERROR(INDEX(Grids!$C$12:$BO$111,$N216,$O216),"-")))</f>
        <v/>
      </c>
      <c r="F216" s="22">
        <f>IF($L216="","",INDEX(HSI!$F$7:$F$106,$N216))</f>
        <v/>
      </c>
      <c r="G216" s="123">
        <f>IF($L216="","",IF($P216=0,"TBA",IFERROR(INDEX(Grids!$BQ$12:$EC$111,$N216,$O216),"-")))</f>
        <v/>
      </c>
      <c r="H216" s="124">
        <f>IF($L216="","",SUM($G$10:$G216))</f>
        <v/>
      </c>
      <c r="I216" s="45">
        <f>IF($L216="","",IF(INT(($L216-INT($L216/10000000)*10000000)/1000000)=0,"Bloomberg projection",IF($P216=1,"ANNOUNCED","ANNOUNCED - amount TBA")))</f>
        <v/>
      </c>
      <c r="J216" s="46">
        <f>IF($L216="","",IF((OV_SWITCH="ON")*(COUNTIFS(OVR_TICKERS,INDEX(HSI!$C$7:$C$106,$N216),OVR_BASE,"&gt;=0")&gt;0)&gt;0,"stock overridden",""))</f>
        <v/>
      </c>
      <c r="L216" s="121">
        <f>IFERROR(IF(SMALL(Grids!$EE$12:$GQ$111,$M$7+207)&gt;=PEND_TO,"",SMALL(Grids!$EE$12:$GQ$111,$M$7+207)),"")</f>
        <v/>
      </c>
      <c r="M216" s="121">
        <f>IF($L216="","",INT($L216/1000000000))</f>
        <v/>
      </c>
      <c r="N216" s="121">
        <f>IF($L216="","",INT(($L216-INT($L216/1000000)*1000000)/1000))</f>
        <v/>
      </c>
      <c r="O216" s="121">
        <f>IF($L216="","",$L216-INT($L216/1000)*1000)</f>
        <v/>
      </c>
      <c r="P216" s="121">
        <f>IF($L216="","",INT(($L216-INT($L216/1000000000)*1000000000)/100000000))</f>
        <v/>
      </c>
    </row>
    <row r="217">
      <c r="B217" s="122">
        <f>IF($L217="","",$M217)</f>
        <v/>
      </c>
      <c r="C217" s="22">
        <f>IF($L217="","",INDEX(HSI!$C$7:$C$106,$N217))</f>
        <v/>
      </c>
      <c r="D217" s="22">
        <f>IF($L217="","",INDEX(HSI!$D$7:$D$106,$N217))</f>
        <v/>
      </c>
      <c r="E217" s="123">
        <f>IF($L217="","",IF($P217=0,"TBA",IFERROR(INDEX(Grids!$C$12:$BO$111,$N217,$O217),"-")))</f>
        <v/>
      </c>
      <c r="F217" s="22">
        <f>IF($L217="","",INDEX(HSI!$F$7:$F$106,$N217))</f>
        <v/>
      </c>
      <c r="G217" s="123">
        <f>IF($L217="","",IF($P217=0,"TBA",IFERROR(INDEX(Grids!$BQ$12:$EC$111,$N217,$O217),"-")))</f>
        <v/>
      </c>
      <c r="H217" s="124">
        <f>IF($L217="","",SUM($G$10:$G217))</f>
        <v/>
      </c>
      <c r="I217" s="45">
        <f>IF($L217="","",IF(INT(($L217-INT($L217/10000000)*10000000)/1000000)=0,"Bloomberg projection",IF($P217=1,"ANNOUNCED","ANNOUNCED - amount TBA")))</f>
        <v/>
      </c>
      <c r="J217" s="46">
        <f>IF($L217="","",IF((OV_SWITCH="ON")*(COUNTIFS(OVR_TICKERS,INDEX(HSI!$C$7:$C$106,$N217),OVR_BASE,"&gt;=0")&gt;0)&gt;0,"stock overridden",""))</f>
        <v/>
      </c>
      <c r="L217" s="121">
        <f>IFERROR(IF(SMALL(Grids!$EE$12:$GQ$111,$M$7+208)&gt;=PEND_TO,"",SMALL(Grids!$EE$12:$GQ$111,$M$7+208)),"")</f>
        <v/>
      </c>
      <c r="M217" s="121">
        <f>IF($L217="","",INT($L217/1000000000))</f>
        <v/>
      </c>
      <c r="N217" s="121">
        <f>IF($L217="","",INT(($L217-INT($L217/1000000)*1000000)/1000))</f>
        <v/>
      </c>
      <c r="O217" s="121">
        <f>IF($L217="","",$L217-INT($L217/1000)*1000)</f>
        <v/>
      </c>
      <c r="P217" s="121">
        <f>IF($L217="","",INT(($L217-INT($L217/1000000000)*1000000000)/100000000))</f>
        <v/>
      </c>
    </row>
    <row r="218">
      <c r="B218" s="122">
        <f>IF($L218="","",$M218)</f>
        <v/>
      </c>
      <c r="C218" s="22">
        <f>IF($L218="","",INDEX(HSI!$C$7:$C$106,$N218))</f>
        <v/>
      </c>
      <c r="D218" s="22">
        <f>IF($L218="","",INDEX(HSI!$D$7:$D$106,$N218))</f>
        <v/>
      </c>
      <c r="E218" s="123">
        <f>IF($L218="","",IF($P218=0,"TBA",IFERROR(INDEX(Grids!$C$12:$BO$111,$N218,$O218),"-")))</f>
        <v/>
      </c>
      <c r="F218" s="22">
        <f>IF($L218="","",INDEX(HSI!$F$7:$F$106,$N218))</f>
        <v/>
      </c>
      <c r="G218" s="123">
        <f>IF($L218="","",IF($P218=0,"TBA",IFERROR(INDEX(Grids!$BQ$12:$EC$111,$N218,$O218),"-")))</f>
        <v/>
      </c>
      <c r="H218" s="124">
        <f>IF($L218="","",SUM($G$10:$G218))</f>
        <v/>
      </c>
      <c r="I218" s="45">
        <f>IF($L218="","",IF(INT(($L218-INT($L218/10000000)*10000000)/1000000)=0,"Bloomberg projection",IF($P218=1,"ANNOUNCED","ANNOUNCED - amount TBA")))</f>
        <v/>
      </c>
      <c r="J218" s="46">
        <f>IF($L218="","",IF((OV_SWITCH="ON")*(COUNTIFS(OVR_TICKERS,INDEX(HSI!$C$7:$C$106,$N218),OVR_BASE,"&gt;=0")&gt;0)&gt;0,"stock overridden",""))</f>
        <v/>
      </c>
      <c r="L218" s="121">
        <f>IFERROR(IF(SMALL(Grids!$EE$12:$GQ$111,$M$7+209)&gt;=PEND_TO,"",SMALL(Grids!$EE$12:$GQ$111,$M$7+209)),"")</f>
        <v/>
      </c>
      <c r="M218" s="121">
        <f>IF($L218="","",INT($L218/1000000000))</f>
        <v/>
      </c>
      <c r="N218" s="121">
        <f>IF($L218="","",INT(($L218-INT($L218/1000000)*1000000)/1000))</f>
        <v/>
      </c>
      <c r="O218" s="121">
        <f>IF($L218="","",$L218-INT($L218/1000)*1000)</f>
        <v/>
      </c>
      <c r="P218" s="121">
        <f>IF($L218="","",INT(($L218-INT($L218/1000000000)*1000000000)/100000000))</f>
        <v/>
      </c>
    </row>
    <row r="219">
      <c r="B219" s="122">
        <f>IF($L219="","",$M219)</f>
        <v/>
      </c>
      <c r="C219" s="22">
        <f>IF($L219="","",INDEX(HSI!$C$7:$C$106,$N219))</f>
        <v/>
      </c>
      <c r="D219" s="22">
        <f>IF($L219="","",INDEX(HSI!$D$7:$D$106,$N219))</f>
        <v/>
      </c>
      <c r="E219" s="123">
        <f>IF($L219="","",IF($P219=0,"TBA",IFERROR(INDEX(Grids!$C$12:$BO$111,$N219,$O219),"-")))</f>
        <v/>
      </c>
      <c r="F219" s="22">
        <f>IF($L219="","",INDEX(HSI!$F$7:$F$106,$N219))</f>
        <v/>
      </c>
      <c r="G219" s="123">
        <f>IF($L219="","",IF($P219=0,"TBA",IFERROR(INDEX(Grids!$BQ$12:$EC$111,$N219,$O219),"-")))</f>
        <v/>
      </c>
      <c r="H219" s="124">
        <f>IF($L219="","",SUM($G$10:$G219))</f>
        <v/>
      </c>
      <c r="I219" s="45">
        <f>IF($L219="","",IF(INT(($L219-INT($L219/10000000)*10000000)/1000000)=0,"Bloomberg projection",IF($P219=1,"ANNOUNCED","ANNOUNCED - amount TBA")))</f>
        <v/>
      </c>
      <c r="J219" s="46">
        <f>IF($L219="","",IF((OV_SWITCH="ON")*(COUNTIFS(OVR_TICKERS,INDEX(HSI!$C$7:$C$106,$N219),OVR_BASE,"&gt;=0")&gt;0)&gt;0,"stock overridden",""))</f>
        <v/>
      </c>
      <c r="L219" s="121">
        <f>IFERROR(IF(SMALL(Grids!$EE$12:$GQ$111,$M$7+210)&gt;=PEND_TO,"",SMALL(Grids!$EE$12:$GQ$111,$M$7+210)),"")</f>
        <v/>
      </c>
      <c r="M219" s="121">
        <f>IF($L219="","",INT($L219/1000000000))</f>
        <v/>
      </c>
      <c r="N219" s="121">
        <f>IF($L219="","",INT(($L219-INT($L219/1000000)*1000000)/1000))</f>
        <v/>
      </c>
      <c r="O219" s="121">
        <f>IF($L219="","",$L219-INT($L219/1000)*1000)</f>
        <v/>
      </c>
      <c r="P219" s="121">
        <f>IF($L219="","",INT(($L219-INT($L219/1000000000)*1000000000)/100000000))</f>
        <v/>
      </c>
    </row>
    <row r="220">
      <c r="B220" s="122">
        <f>IF($L220="","",$M220)</f>
        <v/>
      </c>
      <c r="C220" s="22">
        <f>IF($L220="","",INDEX(HSI!$C$7:$C$106,$N220))</f>
        <v/>
      </c>
      <c r="D220" s="22">
        <f>IF($L220="","",INDEX(HSI!$D$7:$D$106,$N220))</f>
        <v/>
      </c>
      <c r="E220" s="123">
        <f>IF($L220="","",IF($P220=0,"TBA",IFERROR(INDEX(Grids!$C$12:$BO$111,$N220,$O220),"-")))</f>
        <v/>
      </c>
      <c r="F220" s="22">
        <f>IF($L220="","",INDEX(HSI!$F$7:$F$106,$N220))</f>
        <v/>
      </c>
      <c r="G220" s="123">
        <f>IF($L220="","",IF($P220=0,"TBA",IFERROR(INDEX(Grids!$BQ$12:$EC$111,$N220,$O220),"-")))</f>
        <v/>
      </c>
      <c r="H220" s="124">
        <f>IF($L220="","",SUM($G$10:$G220))</f>
        <v/>
      </c>
      <c r="I220" s="45">
        <f>IF($L220="","",IF(INT(($L220-INT($L220/10000000)*10000000)/1000000)=0,"Bloomberg projection",IF($P220=1,"ANNOUNCED","ANNOUNCED - amount TBA")))</f>
        <v/>
      </c>
      <c r="J220" s="46">
        <f>IF($L220="","",IF((OV_SWITCH="ON")*(COUNTIFS(OVR_TICKERS,INDEX(HSI!$C$7:$C$106,$N220),OVR_BASE,"&gt;=0")&gt;0)&gt;0,"stock overridden",""))</f>
        <v/>
      </c>
      <c r="L220" s="121">
        <f>IFERROR(IF(SMALL(Grids!$EE$12:$GQ$111,$M$7+211)&gt;=PEND_TO,"",SMALL(Grids!$EE$12:$GQ$111,$M$7+211)),"")</f>
        <v/>
      </c>
      <c r="M220" s="121">
        <f>IF($L220="","",INT($L220/1000000000))</f>
        <v/>
      </c>
      <c r="N220" s="121">
        <f>IF($L220="","",INT(($L220-INT($L220/1000000)*1000000)/1000))</f>
        <v/>
      </c>
      <c r="O220" s="121">
        <f>IF($L220="","",$L220-INT($L220/1000)*1000)</f>
        <v/>
      </c>
      <c r="P220" s="121">
        <f>IF($L220="","",INT(($L220-INT($L220/1000000000)*1000000000)/100000000))</f>
        <v/>
      </c>
    </row>
    <row r="221">
      <c r="B221" s="122">
        <f>IF($L221="","",$M221)</f>
        <v/>
      </c>
      <c r="C221" s="22">
        <f>IF($L221="","",INDEX(HSI!$C$7:$C$106,$N221))</f>
        <v/>
      </c>
      <c r="D221" s="22">
        <f>IF($L221="","",INDEX(HSI!$D$7:$D$106,$N221))</f>
        <v/>
      </c>
      <c r="E221" s="123">
        <f>IF($L221="","",IF($P221=0,"TBA",IFERROR(INDEX(Grids!$C$12:$BO$111,$N221,$O221),"-")))</f>
        <v/>
      </c>
      <c r="F221" s="22">
        <f>IF($L221="","",INDEX(HSI!$F$7:$F$106,$N221))</f>
        <v/>
      </c>
      <c r="G221" s="123">
        <f>IF($L221="","",IF($P221=0,"TBA",IFERROR(INDEX(Grids!$BQ$12:$EC$111,$N221,$O221),"-")))</f>
        <v/>
      </c>
      <c r="H221" s="124">
        <f>IF($L221="","",SUM($G$10:$G221))</f>
        <v/>
      </c>
      <c r="I221" s="45">
        <f>IF($L221="","",IF(INT(($L221-INT($L221/10000000)*10000000)/1000000)=0,"Bloomberg projection",IF($P221=1,"ANNOUNCED","ANNOUNCED - amount TBA")))</f>
        <v/>
      </c>
      <c r="J221" s="46">
        <f>IF($L221="","",IF((OV_SWITCH="ON")*(COUNTIFS(OVR_TICKERS,INDEX(HSI!$C$7:$C$106,$N221),OVR_BASE,"&gt;=0")&gt;0)&gt;0,"stock overridden",""))</f>
        <v/>
      </c>
      <c r="L221" s="121">
        <f>IFERROR(IF(SMALL(Grids!$EE$12:$GQ$111,$M$7+212)&gt;=PEND_TO,"",SMALL(Grids!$EE$12:$GQ$111,$M$7+212)),"")</f>
        <v/>
      </c>
      <c r="M221" s="121">
        <f>IF($L221="","",INT($L221/1000000000))</f>
        <v/>
      </c>
      <c r="N221" s="121">
        <f>IF($L221="","",INT(($L221-INT($L221/1000000)*1000000)/1000))</f>
        <v/>
      </c>
      <c r="O221" s="121">
        <f>IF($L221="","",$L221-INT($L221/1000)*1000)</f>
        <v/>
      </c>
      <c r="P221" s="121">
        <f>IF($L221="","",INT(($L221-INT($L221/1000000000)*1000000000)/100000000))</f>
        <v/>
      </c>
    </row>
    <row r="222">
      <c r="B222" s="122">
        <f>IF($L222="","",$M222)</f>
        <v/>
      </c>
      <c r="C222" s="22">
        <f>IF($L222="","",INDEX(HSI!$C$7:$C$106,$N222))</f>
        <v/>
      </c>
      <c r="D222" s="22">
        <f>IF($L222="","",INDEX(HSI!$D$7:$D$106,$N222))</f>
        <v/>
      </c>
      <c r="E222" s="123">
        <f>IF($L222="","",IF($P222=0,"TBA",IFERROR(INDEX(Grids!$C$12:$BO$111,$N222,$O222),"-")))</f>
        <v/>
      </c>
      <c r="F222" s="22">
        <f>IF($L222="","",INDEX(HSI!$F$7:$F$106,$N222))</f>
        <v/>
      </c>
      <c r="G222" s="123">
        <f>IF($L222="","",IF($P222=0,"TBA",IFERROR(INDEX(Grids!$BQ$12:$EC$111,$N222,$O222),"-")))</f>
        <v/>
      </c>
      <c r="H222" s="124">
        <f>IF($L222="","",SUM($G$10:$G222))</f>
        <v/>
      </c>
      <c r="I222" s="45">
        <f>IF($L222="","",IF(INT(($L222-INT($L222/10000000)*10000000)/1000000)=0,"Bloomberg projection",IF($P222=1,"ANNOUNCED","ANNOUNCED - amount TBA")))</f>
        <v/>
      </c>
      <c r="J222" s="46">
        <f>IF($L222="","",IF((OV_SWITCH="ON")*(COUNTIFS(OVR_TICKERS,INDEX(HSI!$C$7:$C$106,$N222),OVR_BASE,"&gt;=0")&gt;0)&gt;0,"stock overridden",""))</f>
        <v/>
      </c>
      <c r="L222" s="121">
        <f>IFERROR(IF(SMALL(Grids!$EE$12:$GQ$111,$M$7+213)&gt;=PEND_TO,"",SMALL(Grids!$EE$12:$GQ$111,$M$7+213)),"")</f>
        <v/>
      </c>
      <c r="M222" s="121">
        <f>IF($L222="","",INT($L222/1000000000))</f>
        <v/>
      </c>
      <c r="N222" s="121">
        <f>IF($L222="","",INT(($L222-INT($L222/1000000)*1000000)/1000))</f>
        <v/>
      </c>
      <c r="O222" s="121">
        <f>IF($L222="","",$L222-INT($L222/1000)*1000)</f>
        <v/>
      </c>
      <c r="P222" s="121">
        <f>IF($L222="","",INT(($L222-INT($L222/1000000000)*1000000000)/100000000))</f>
        <v/>
      </c>
    </row>
    <row r="223">
      <c r="B223" s="122">
        <f>IF($L223="","",$M223)</f>
        <v/>
      </c>
      <c r="C223" s="22">
        <f>IF($L223="","",INDEX(HSI!$C$7:$C$106,$N223))</f>
        <v/>
      </c>
      <c r="D223" s="22">
        <f>IF($L223="","",INDEX(HSI!$D$7:$D$106,$N223))</f>
        <v/>
      </c>
      <c r="E223" s="123">
        <f>IF($L223="","",IF($P223=0,"TBA",IFERROR(INDEX(Grids!$C$12:$BO$111,$N223,$O223),"-")))</f>
        <v/>
      </c>
      <c r="F223" s="22">
        <f>IF($L223="","",INDEX(HSI!$F$7:$F$106,$N223))</f>
        <v/>
      </c>
      <c r="G223" s="123">
        <f>IF($L223="","",IF($P223=0,"TBA",IFERROR(INDEX(Grids!$BQ$12:$EC$111,$N223,$O223),"-")))</f>
        <v/>
      </c>
      <c r="H223" s="124">
        <f>IF($L223="","",SUM($G$10:$G223))</f>
        <v/>
      </c>
      <c r="I223" s="45">
        <f>IF($L223="","",IF(INT(($L223-INT($L223/10000000)*10000000)/1000000)=0,"Bloomberg projection",IF($P223=1,"ANNOUNCED","ANNOUNCED - amount TBA")))</f>
        <v/>
      </c>
      <c r="J223" s="46">
        <f>IF($L223="","",IF((OV_SWITCH="ON")*(COUNTIFS(OVR_TICKERS,INDEX(HSI!$C$7:$C$106,$N223),OVR_BASE,"&gt;=0")&gt;0)&gt;0,"stock overridden",""))</f>
        <v/>
      </c>
      <c r="L223" s="121">
        <f>IFERROR(IF(SMALL(Grids!$EE$12:$GQ$111,$M$7+214)&gt;=PEND_TO,"",SMALL(Grids!$EE$12:$GQ$111,$M$7+214)),"")</f>
        <v/>
      </c>
      <c r="M223" s="121">
        <f>IF($L223="","",INT($L223/1000000000))</f>
        <v/>
      </c>
      <c r="N223" s="121">
        <f>IF($L223="","",INT(($L223-INT($L223/1000000)*1000000)/1000))</f>
        <v/>
      </c>
      <c r="O223" s="121">
        <f>IF($L223="","",$L223-INT($L223/1000)*1000)</f>
        <v/>
      </c>
      <c r="P223" s="121">
        <f>IF($L223="","",INT(($L223-INT($L223/1000000000)*1000000000)/100000000))</f>
        <v/>
      </c>
    </row>
    <row r="224">
      <c r="B224" s="122">
        <f>IF($L224="","",$M224)</f>
        <v/>
      </c>
      <c r="C224" s="22">
        <f>IF($L224="","",INDEX(HSI!$C$7:$C$106,$N224))</f>
        <v/>
      </c>
      <c r="D224" s="22">
        <f>IF($L224="","",INDEX(HSI!$D$7:$D$106,$N224))</f>
        <v/>
      </c>
      <c r="E224" s="123">
        <f>IF($L224="","",IF($P224=0,"TBA",IFERROR(INDEX(Grids!$C$12:$BO$111,$N224,$O224),"-")))</f>
        <v/>
      </c>
      <c r="F224" s="22">
        <f>IF($L224="","",INDEX(HSI!$F$7:$F$106,$N224))</f>
        <v/>
      </c>
      <c r="G224" s="123">
        <f>IF($L224="","",IF($P224=0,"TBA",IFERROR(INDEX(Grids!$BQ$12:$EC$111,$N224,$O224),"-")))</f>
        <v/>
      </c>
      <c r="H224" s="124">
        <f>IF($L224="","",SUM($G$10:$G224))</f>
        <v/>
      </c>
      <c r="I224" s="45">
        <f>IF($L224="","",IF(INT(($L224-INT($L224/10000000)*10000000)/1000000)=0,"Bloomberg projection",IF($P224=1,"ANNOUNCED","ANNOUNCED - amount TBA")))</f>
        <v/>
      </c>
      <c r="J224" s="46">
        <f>IF($L224="","",IF((OV_SWITCH="ON")*(COUNTIFS(OVR_TICKERS,INDEX(HSI!$C$7:$C$106,$N224),OVR_BASE,"&gt;=0")&gt;0)&gt;0,"stock overridden",""))</f>
        <v/>
      </c>
      <c r="L224" s="121">
        <f>IFERROR(IF(SMALL(Grids!$EE$12:$GQ$111,$M$7+215)&gt;=PEND_TO,"",SMALL(Grids!$EE$12:$GQ$111,$M$7+215)),"")</f>
        <v/>
      </c>
      <c r="M224" s="121">
        <f>IF($L224="","",INT($L224/1000000000))</f>
        <v/>
      </c>
      <c r="N224" s="121">
        <f>IF($L224="","",INT(($L224-INT($L224/1000000)*1000000)/1000))</f>
        <v/>
      </c>
      <c r="O224" s="121">
        <f>IF($L224="","",$L224-INT($L224/1000)*1000)</f>
        <v/>
      </c>
      <c r="P224" s="121">
        <f>IF($L224="","",INT(($L224-INT($L224/1000000000)*1000000000)/100000000))</f>
        <v/>
      </c>
    </row>
    <row r="225">
      <c r="B225" s="122">
        <f>IF($L225="","",$M225)</f>
        <v/>
      </c>
      <c r="C225" s="22">
        <f>IF($L225="","",INDEX(HSI!$C$7:$C$106,$N225))</f>
        <v/>
      </c>
      <c r="D225" s="22">
        <f>IF($L225="","",INDEX(HSI!$D$7:$D$106,$N225))</f>
        <v/>
      </c>
      <c r="E225" s="123">
        <f>IF($L225="","",IF($P225=0,"TBA",IFERROR(INDEX(Grids!$C$12:$BO$111,$N225,$O225),"-")))</f>
        <v/>
      </c>
      <c r="F225" s="22">
        <f>IF($L225="","",INDEX(HSI!$F$7:$F$106,$N225))</f>
        <v/>
      </c>
      <c r="G225" s="123">
        <f>IF($L225="","",IF($P225=0,"TBA",IFERROR(INDEX(Grids!$BQ$12:$EC$111,$N225,$O225),"-")))</f>
        <v/>
      </c>
      <c r="H225" s="124">
        <f>IF($L225="","",SUM($G$10:$G225))</f>
        <v/>
      </c>
      <c r="I225" s="45">
        <f>IF($L225="","",IF(INT(($L225-INT($L225/10000000)*10000000)/1000000)=0,"Bloomberg projection",IF($P225=1,"ANNOUNCED","ANNOUNCED - amount TBA")))</f>
        <v/>
      </c>
      <c r="J225" s="46">
        <f>IF($L225="","",IF((OV_SWITCH="ON")*(COUNTIFS(OVR_TICKERS,INDEX(HSI!$C$7:$C$106,$N225),OVR_BASE,"&gt;=0")&gt;0)&gt;0,"stock overridden",""))</f>
        <v/>
      </c>
      <c r="L225" s="121">
        <f>IFERROR(IF(SMALL(Grids!$EE$12:$GQ$111,$M$7+216)&gt;=PEND_TO,"",SMALL(Grids!$EE$12:$GQ$111,$M$7+216)),"")</f>
        <v/>
      </c>
      <c r="M225" s="121">
        <f>IF($L225="","",INT($L225/1000000000))</f>
        <v/>
      </c>
      <c r="N225" s="121">
        <f>IF($L225="","",INT(($L225-INT($L225/1000000)*1000000)/1000))</f>
        <v/>
      </c>
      <c r="O225" s="121">
        <f>IF($L225="","",$L225-INT($L225/1000)*1000)</f>
        <v/>
      </c>
      <c r="P225" s="121">
        <f>IF($L225="","",INT(($L225-INT($L225/1000000000)*1000000000)/100000000))</f>
        <v/>
      </c>
    </row>
    <row r="226">
      <c r="B226" s="122">
        <f>IF($L226="","",$M226)</f>
        <v/>
      </c>
      <c r="C226" s="22">
        <f>IF($L226="","",INDEX(HSI!$C$7:$C$106,$N226))</f>
        <v/>
      </c>
      <c r="D226" s="22">
        <f>IF($L226="","",INDEX(HSI!$D$7:$D$106,$N226))</f>
        <v/>
      </c>
      <c r="E226" s="123">
        <f>IF($L226="","",IF($P226=0,"TBA",IFERROR(INDEX(Grids!$C$12:$BO$111,$N226,$O226),"-")))</f>
        <v/>
      </c>
      <c r="F226" s="22">
        <f>IF($L226="","",INDEX(HSI!$F$7:$F$106,$N226))</f>
        <v/>
      </c>
      <c r="G226" s="123">
        <f>IF($L226="","",IF($P226=0,"TBA",IFERROR(INDEX(Grids!$BQ$12:$EC$111,$N226,$O226),"-")))</f>
        <v/>
      </c>
      <c r="H226" s="124">
        <f>IF($L226="","",SUM($G$10:$G226))</f>
        <v/>
      </c>
      <c r="I226" s="45">
        <f>IF($L226="","",IF(INT(($L226-INT($L226/10000000)*10000000)/1000000)=0,"Bloomberg projection",IF($P226=1,"ANNOUNCED","ANNOUNCED - amount TBA")))</f>
        <v/>
      </c>
      <c r="J226" s="46">
        <f>IF($L226="","",IF((OV_SWITCH="ON")*(COUNTIFS(OVR_TICKERS,INDEX(HSI!$C$7:$C$106,$N226),OVR_BASE,"&gt;=0")&gt;0)&gt;0,"stock overridden",""))</f>
        <v/>
      </c>
      <c r="L226" s="121">
        <f>IFERROR(IF(SMALL(Grids!$EE$12:$GQ$111,$M$7+217)&gt;=PEND_TO,"",SMALL(Grids!$EE$12:$GQ$111,$M$7+217)),"")</f>
        <v/>
      </c>
      <c r="M226" s="121">
        <f>IF($L226="","",INT($L226/1000000000))</f>
        <v/>
      </c>
      <c r="N226" s="121">
        <f>IF($L226="","",INT(($L226-INT($L226/1000000)*1000000)/1000))</f>
        <v/>
      </c>
      <c r="O226" s="121">
        <f>IF($L226="","",$L226-INT($L226/1000)*1000)</f>
        <v/>
      </c>
      <c r="P226" s="121">
        <f>IF($L226="","",INT(($L226-INT($L226/1000000000)*1000000000)/100000000))</f>
        <v/>
      </c>
    </row>
    <row r="227">
      <c r="B227" s="122">
        <f>IF($L227="","",$M227)</f>
        <v/>
      </c>
      <c r="C227" s="22">
        <f>IF($L227="","",INDEX(HSI!$C$7:$C$106,$N227))</f>
        <v/>
      </c>
      <c r="D227" s="22">
        <f>IF($L227="","",INDEX(HSI!$D$7:$D$106,$N227))</f>
        <v/>
      </c>
      <c r="E227" s="123">
        <f>IF($L227="","",IF($P227=0,"TBA",IFERROR(INDEX(Grids!$C$12:$BO$111,$N227,$O227),"-")))</f>
        <v/>
      </c>
      <c r="F227" s="22">
        <f>IF($L227="","",INDEX(HSI!$F$7:$F$106,$N227))</f>
        <v/>
      </c>
      <c r="G227" s="123">
        <f>IF($L227="","",IF($P227=0,"TBA",IFERROR(INDEX(Grids!$BQ$12:$EC$111,$N227,$O227),"-")))</f>
        <v/>
      </c>
      <c r="H227" s="124">
        <f>IF($L227="","",SUM($G$10:$G227))</f>
        <v/>
      </c>
      <c r="I227" s="45">
        <f>IF($L227="","",IF(INT(($L227-INT($L227/10000000)*10000000)/1000000)=0,"Bloomberg projection",IF($P227=1,"ANNOUNCED","ANNOUNCED - amount TBA")))</f>
        <v/>
      </c>
      <c r="J227" s="46">
        <f>IF($L227="","",IF((OV_SWITCH="ON")*(COUNTIFS(OVR_TICKERS,INDEX(HSI!$C$7:$C$106,$N227),OVR_BASE,"&gt;=0")&gt;0)&gt;0,"stock overridden",""))</f>
        <v/>
      </c>
      <c r="L227" s="121">
        <f>IFERROR(IF(SMALL(Grids!$EE$12:$GQ$111,$M$7+218)&gt;=PEND_TO,"",SMALL(Grids!$EE$12:$GQ$111,$M$7+218)),"")</f>
        <v/>
      </c>
      <c r="M227" s="121">
        <f>IF($L227="","",INT($L227/1000000000))</f>
        <v/>
      </c>
      <c r="N227" s="121">
        <f>IF($L227="","",INT(($L227-INT($L227/1000000)*1000000)/1000))</f>
        <v/>
      </c>
      <c r="O227" s="121">
        <f>IF($L227="","",$L227-INT($L227/1000)*1000)</f>
        <v/>
      </c>
      <c r="P227" s="121">
        <f>IF($L227="","",INT(($L227-INT($L227/1000000000)*1000000000)/100000000))</f>
        <v/>
      </c>
    </row>
    <row r="228">
      <c r="B228" s="122">
        <f>IF($L228="","",$M228)</f>
        <v/>
      </c>
      <c r="C228" s="22">
        <f>IF($L228="","",INDEX(HSI!$C$7:$C$106,$N228))</f>
        <v/>
      </c>
      <c r="D228" s="22">
        <f>IF($L228="","",INDEX(HSI!$D$7:$D$106,$N228))</f>
        <v/>
      </c>
      <c r="E228" s="123">
        <f>IF($L228="","",IF($P228=0,"TBA",IFERROR(INDEX(Grids!$C$12:$BO$111,$N228,$O228),"-")))</f>
        <v/>
      </c>
      <c r="F228" s="22">
        <f>IF($L228="","",INDEX(HSI!$F$7:$F$106,$N228))</f>
        <v/>
      </c>
      <c r="G228" s="123">
        <f>IF($L228="","",IF($P228=0,"TBA",IFERROR(INDEX(Grids!$BQ$12:$EC$111,$N228,$O228),"-")))</f>
        <v/>
      </c>
      <c r="H228" s="124">
        <f>IF($L228="","",SUM($G$10:$G228))</f>
        <v/>
      </c>
      <c r="I228" s="45">
        <f>IF($L228="","",IF(INT(($L228-INT($L228/10000000)*10000000)/1000000)=0,"Bloomberg projection",IF($P228=1,"ANNOUNCED","ANNOUNCED - amount TBA")))</f>
        <v/>
      </c>
      <c r="J228" s="46">
        <f>IF($L228="","",IF((OV_SWITCH="ON")*(COUNTIFS(OVR_TICKERS,INDEX(HSI!$C$7:$C$106,$N228),OVR_BASE,"&gt;=0")&gt;0)&gt;0,"stock overridden",""))</f>
        <v/>
      </c>
      <c r="L228" s="121">
        <f>IFERROR(IF(SMALL(Grids!$EE$12:$GQ$111,$M$7+219)&gt;=PEND_TO,"",SMALL(Grids!$EE$12:$GQ$111,$M$7+219)),"")</f>
        <v/>
      </c>
      <c r="M228" s="121">
        <f>IF($L228="","",INT($L228/1000000000))</f>
        <v/>
      </c>
      <c r="N228" s="121">
        <f>IF($L228="","",INT(($L228-INT($L228/1000000)*1000000)/1000))</f>
        <v/>
      </c>
      <c r="O228" s="121">
        <f>IF($L228="","",$L228-INT($L228/1000)*1000)</f>
        <v/>
      </c>
      <c r="P228" s="121">
        <f>IF($L228="","",INT(($L228-INT($L228/1000000000)*1000000000)/100000000))</f>
        <v/>
      </c>
    </row>
    <row r="229">
      <c r="B229" s="122">
        <f>IF($L229="","",$M229)</f>
        <v/>
      </c>
      <c r="C229" s="22">
        <f>IF($L229="","",INDEX(HSI!$C$7:$C$106,$N229))</f>
        <v/>
      </c>
      <c r="D229" s="22">
        <f>IF($L229="","",INDEX(HSI!$D$7:$D$106,$N229))</f>
        <v/>
      </c>
      <c r="E229" s="123">
        <f>IF($L229="","",IF($P229=0,"TBA",IFERROR(INDEX(Grids!$C$12:$BO$111,$N229,$O229),"-")))</f>
        <v/>
      </c>
      <c r="F229" s="22">
        <f>IF($L229="","",INDEX(HSI!$F$7:$F$106,$N229))</f>
        <v/>
      </c>
      <c r="G229" s="123">
        <f>IF($L229="","",IF($P229=0,"TBA",IFERROR(INDEX(Grids!$BQ$12:$EC$111,$N229,$O229),"-")))</f>
        <v/>
      </c>
      <c r="H229" s="124">
        <f>IF($L229="","",SUM($G$10:$G229))</f>
        <v/>
      </c>
      <c r="I229" s="45">
        <f>IF($L229="","",IF(INT(($L229-INT($L229/10000000)*10000000)/1000000)=0,"Bloomberg projection",IF($P229=1,"ANNOUNCED","ANNOUNCED - amount TBA")))</f>
        <v/>
      </c>
      <c r="J229" s="46">
        <f>IF($L229="","",IF((OV_SWITCH="ON")*(COUNTIFS(OVR_TICKERS,INDEX(HSI!$C$7:$C$106,$N229),OVR_BASE,"&gt;=0")&gt;0)&gt;0,"stock overridden",""))</f>
        <v/>
      </c>
      <c r="L229" s="121">
        <f>IFERROR(IF(SMALL(Grids!$EE$12:$GQ$111,$M$7+220)&gt;=PEND_TO,"",SMALL(Grids!$EE$12:$GQ$111,$M$7+220)),"")</f>
        <v/>
      </c>
      <c r="M229" s="121">
        <f>IF($L229="","",INT($L229/1000000000))</f>
        <v/>
      </c>
      <c r="N229" s="121">
        <f>IF($L229="","",INT(($L229-INT($L229/1000000)*1000000)/1000))</f>
        <v/>
      </c>
      <c r="O229" s="121">
        <f>IF($L229="","",$L229-INT($L229/1000)*1000)</f>
        <v/>
      </c>
      <c r="P229" s="121">
        <f>IF($L229="","",INT(($L229-INT($L229/1000000000)*1000000000)/100000000))</f>
        <v/>
      </c>
    </row>
    <row r="230">
      <c r="B230" s="122">
        <f>IF($L230="","",$M230)</f>
        <v/>
      </c>
      <c r="C230" s="22">
        <f>IF($L230="","",INDEX(HSI!$C$7:$C$106,$N230))</f>
        <v/>
      </c>
      <c r="D230" s="22">
        <f>IF($L230="","",INDEX(HSI!$D$7:$D$106,$N230))</f>
        <v/>
      </c>
      <c r="E230" s="123">
        <f>IF($L230="","",IF($P230=0,"TBA",IFERROR(INDEX(Grids!$C$12:$BO$111,$N230,$O230),"-")))</f>
        <v/>
      </c>
      <c r="F230" s="22">
        <f>IF($L230="","",INDEX(HSI!$F$7:$F$106,$N230))</f>
        <v/>
      </c>
      <c r="G230" s="123">
        <f>IF($L230="","",IF($P230=0,"TBA",IFERROR(INDEX(Grids!$BQ$12:$EC$111,$N230,$O230),"-")))</f>
        <v/>
      </c>
      <c r="H230" s="124">
        <f>IF($L230="","",SUM($G$10:$G230))</f>
        <v/>
      </c>
      <c r="I230" s="45">
        <f>IF($L230="","",IF(INT(($L230-INT($L230/10000000)*10000000)/1000000)=0,"Bloomberg projection",IF($P230=1,"ANNOUNCED","ANNOUNCED - amount TBA")))</f>
        <v/>
      </c>
      <c r="J230" s="46">
        <f>IF($L230="","",IF((OV_SWITCH="ON")*(COUNTIFS(OVR_TICKERS,INDEX(HSI!$C$7:$C$106,$N230),OVR_BASE,"&gt;=0")&gt;0)&gt;0,"stock overridden",""))</f>
        <v/>
      </c>
      <c r="L230" s="121">
        <f>IFERROR(IF(SMALL(Grids!$EE$12:$GQ$111,$M$7+221)&gt;=PEND_TO,"",SMALL(Grids!$EE$12:$GQ$111,$M$7+221)),"")</f>
        <v/>
      </c>
      <c r="M230" s="121">
        <f>IF($L230="","",INT($L230/1000000000))</f>
        <v/>
      </c>
      <c r="N230" s="121">
        <f>IF($L230="","",INT(($L230-INT($L230/1000000)*1000000)/1000))</f>
        <v/>
      </c>
      <c r="O230" s="121">
        <f>IF($L230="","",$L230-INT($L230/1000)*1000)</f>
        <v/>
      </c>
      <c r="P230" s="121">
        <f>IF($L230="","",INT(($L230-INT($L230/1000000000)*1000000000)/100000000))</f>
        <v/>
      </c>
    </row>
    <row r="231">
      <c r="B231" s="122">
        <f>IF($L231="","",$M231)</f>
        <v/>
      </c>
      <c r="C231" s="22">
        <f>IF($L231="","",INDEX(HSI!$C$7:$C$106,$N231))</f>
        <v/>
      </c>
      <c r="D231" s="22">
        <f>IF($L231="","",INDEX(HSI!$D$7:$D$106,$N231))</f>
        <v/>
      </c>
      <c r="E231" s="123">
        <f>IF($L231="","",IF($P231=0,"TBA",IFERROR(INDEX(Grids!$C$12:$BO$111,$N231,$O231),"-")))</f>
        <v/>
      </c>
      <c r="F231" s="22">
        <f>IF($L231="","",INDEX(HSI!$F$7:$F$106,$N231))</f>
        <v/>
      </c>
      <c r="G231" s="123">
        <f>IF($L231="","",IF($P231=0,"TBA",IFERROR(INDEX(Grids!$BQ$12:$EC$111,$N231,$O231),"-")))</f>
        <v/>
      </c>
      <c r="H231" s="124">
        <f>IF($L231="","",SUM($G$10:$G231))</f>
        <v/>
      </c>
      <c r="I231" s="45">
        <f>IF($L231="","",IF(INT(($L231-INT($L231/10000000)*10000000)/1000000)=0,"Bloomberg projection",IF($P231=1,"ANNOUNCED","ANNOUNCED - amount TBA")))</f>
        <v/>
      </c>
      <c r="J231" s="46">
        <f>IF($L231="","",IF((OV_SWITCH="ON")*(COUNTIFS(OVR_TICKERS,INDEX(HSI!$C$7:$C$106,$N231),OVR_BASE,"&gt;=0")&gt;0)&gt;0,"stock overridden",""))</f>
        <v/>
      </c>
      <c r="L231" s="121">
        <f>IFERROR(IF(SMALL(Grids!$EE$12:$GQ$111,$M$7+222)&gt;=PEND_TO,"",SMALL(Grids!$EE$12:$GQ$111,$M$7+222)),"")</f>
        <v/>
      </c>
      <c r="M231" s="121">
        <f>IF($L231="","",INT($L231/1000000000))</f>
        <v/>
      </c>
      <c r="N231" s="121">
        <f>IF($L231="","",INT(($L231-INT($L231/1000000)*1000000)/1000))</f>
        <v/>
      </c>
      <c r="O231" s="121">
        <f>IF($L231="","",$L231-INT($L231/1000)*1000)</f>
        <v/>
      </c>
      <c r="P231" s="121">
        <f>IF($L231="","",INT(($L231-INT($L231/1000000000)*1000000000)/100000000))</f>
        <v/>
      </c>
    </row>
    <row r="232">
      <c r="B232" s="122">
        <f>IF($L232="","",$M232)</f>
        <v/>
      </c>
      <c r="C232" s="22">
        <f>IF($L232="","",INDEX(HSI!$C$7:$C$106,$N232))</f>
        <v/>
      </c>
      <c r="D232" s="22">
        <f>IF($L232="","",INDEX(HSI!$D$7:$D$106,$N232))</f>
        <v/>
      </c>
      <c r="E232" s="123">
        <f>IF($L232="","",IF($P232=0,"TBA",IFERROR(INDEX(Grids!$C$12:$BO$111,$N232,$O232),"-")))</f>
        <v/>
      </c>
      <c r="F232" s="22">
        <f>IF($L232="","",INDEX(HSI!$F$7:$F$106,$N232))</f>
        <v/>
      </c>
      <c r="G232" s="123">
        <f>IF($L232="","",IF($P232=0,"TBA",IFERROR(INDEX(Grids!$BQ$12:$EC$111,$N232,$O232),"-")))</f>
        <v/>
      </c>
      <c r="H232" s="124">
        <f>IF($L232="","",SUM($G$10:$G232))</f>
        <v/>
      </c>
      <c r="I232" s="45">
        <f>IF($L232="","",IF(INT(($L232-INT($L232/10000000)*10000000)/1000000)=0,"Bloomberg projection",IF($P232=1,"ANNOUNCED","ANNOUNCED - amount TBA")))</f>
        <v/>
      </c>
      <c r="J232" s="46">
        <f>IF($L232="","",IF((OV_SWITCH="ON")*(COUNTIFS(OVR_TICKERS,INDEX(HSI!$C$7:$C$106,$N232),OVR_BASE,"&gt;=0")&gt;0)&gt;0,"stock overridden",""))</f>
        <v/>
      </c>
      <c r="L232" s="121">
        <f>IFERROR(IF(SMALL(Grids!$EE$12:$GQ$111,$M$7+223)&gt;=PEND_TO,"",SMALL(Grids!$EE$12:$GQ$111,$M$7+223)),"")</f>
        <v/>
      </c>
      <c r="M232" s="121">
        <f>IF($L232="","",INT($L232/1000000000))</f>
        <v/>
      </c>
      <c r="N232" s="121">
        <f>IF($L232="","",INT(($L232-INT($L232/1000000)*1000000)/1000))</f>
        <v/>
      </c>
      <c r="O232" s="121">
        <f>IF($L232="","",$L232-INT($L232/1000)*1000)</f>
        <v/>
      </c>
      <c r="P232" s="121">
        <f>IF($L232="","",INT(($L232-INT($L232/1000000000)*1000000000)/100000000))</f>
        <v/>
      </c>
    </row>
    <row r="233">
      <c r="B233" s="122">
        <f>IF($L233="","",$M233)</f>
        <v/>
      </c>
      <c r="C233" s="22">
        <f>IF($L233="","",INDEX(HSI!$C$7:$C$106,$N233))</f>
        <v/>
      </c>
      <c r="D233" s="22">
        <f>IF($L233="","",INDEX(HSI!$D$7:$D$106,$N233))</f>
        <v/>
      </c>
      <c r="E233" s="123">
        <f>IF($L233="","",IF($P233=0,"TBA",IFERROR(INDEX(Grids!$C$12:$BO$111,$N233,$O233),"-")))</f>
        <v/>
      </c>
      <c r="F233" s="22">
        <f>IF($L233="","",INDEX(HSI!$F$7:$F$106,$N233))</f>
        <v/>
      </c>
      <c r="G233" s="123">
        <f>IF($L233="","",IF($P233=0,"TBA",IFERROR(INDEX(Grids!$BQ$12:$EC$111,$N233,$O233),"-")))</f>
        <v/>
      </c>
      <c r="H233" s="124">
        <f>IF($L233="","",SUM($G$10:$G233))</f>
        <v/>
      </c>
      <c r="I233" s="45">
        <f>IF($L233="","",IF(INT(($L233-INT($L233/10000000)*10000000)/1000000)=0,"Bloomberg projection",IF($P233=1,"ANNOUNCED","ANNOUNCED - amount TBA")))</f>
        <v/>
      </c>
      <c r="J233" s="46">
        <f>IF($L233="","",IF((OV_SWITCH="ON")*(COUNTIFS(OVR_TICKERS,INDEX(HSI!$C$7:$C$106,$N233),OVR_BASE,"&gt;=0")&gt;0)&gt;0,"stock overridden",""))</f>
        <v/>
      </c>
      <c r="L233" s="121">
        <f>IFERROR(IF(SMALL(Grids!$EE$12:$GQ$111,$M$7+224)&gt;=PEND_TO,"",SMALL(Grids!$EE$12:$GQ$111,$M$7+224)),"")</f>
        <v/>
      </c>
      <c r="M233" s="121">
        <f>IF($L233="","",INT($L233/1000000000))</f>
        <v/>
      </c>
      <c r="N233" s="121">
        <f>IF($L233="","",INT(($L233-INT($L233/1000000)*1000000)/1000))</f>
        <v/>
      </c>
      <c r="O233" s="121">
        <f>IF($L233="","",$L233-INT($L233/1000)*1000)</f>
        <v/>
      </c>
      <c r="P233" s="121">
        <f>IF($L233="","",INT(($L233-INT($L233/1000000000)*1000000000)/100000000))</f>
        <v/>
      </c>
    </row>
    <row r="234">
      <c r="B234" s="122">
        <f>IF($L234="","",$M234)</f>
        <v/>
      </c>
      <c r="C234" s="22">
        <f>IF($L234="","",INDEX(HSI!$C$7:$C$106,$N234))</f>
        <v/>
      </c>
      <c r="D234" s="22">
        <f>IF($L234="","",INDEX(HSI!$D$7:$D$106,$N234))</f>
        <v/>
      </c>
      <c r="E234" s="123">
        <f>IF($L234="","",IF($P234=0,"TBA",IFERROR(INDEX(Grids!$C$12:$BO$111,$N234,$O234),"-")))</f>
        <v/>
      </c>
      <c r="F234" s="22">
        <f>IF($L234="","",INDEX(HSI!$F$7:$F$106,$N234))</f>
        <v/>
      </c>
      <c r="G234" s="123">
        <f>IF($L234="","",IF($P234=0,"TBA",IFERROR(INDEX(Grids!$BQ$12:$EC$111,$N234,$O234),"-")))</f>
        <v/>
      </c>
      <c r="H234" s="124">
        <f>IF($L234="","",SUM($G$10:$G234))</f>
        <v/>
      </c>
      <c r="I234" s="45">
        <f>IF($L234="","",IF(INT(($L234-INT($L234/10000000)*10000000)/1000000)=0,"Bloomberg projection",IF($P234=1,"ANNOUNCED","ANNOUNCED - amount TBA")))</f>
        <v/>
      </c>
      <c r="J234" s="46">
        <f>IF($L234="","",IF((OV_SWITCH="ON")*(COUNTIFS(OVR_TICKERS,INDEX(HSI!$C$7:$C$106,$N234),OVR_BASE,"&gt;=0")&gt;0)&gt;0,"stock overridden",""))</f>
        <v/>
      </c>
      <c r="L234" s="121">
        <f>IFERROR(IF(SMALL(Grids!$EE$12:$GQ$111,$M$7+225)&gt;=PEND_TO,"",SMALL(Grids!$EE$12:$GQ$111,$M$7+225)),"")</f>
        <v/>
      </c>
      <c r="M234" s="121">
        <f>IF($L234="","",INT($L234/1000000000))</f>
        <v/>
      </c>
      <c r="N234" s="121">
        <f>IF($L234="","",INT(($L234-INT($L234/1000000)*1000000)/1000))</f>
        <v/>
      </c>
      <c r="O234" s="121">
        <f>IF($L234="","",$L234-INT($L234/1000)*1000)</f>
        <v/>
      </c>
      <c r="P234" s="121">
        <f>IF($L234="","",INT(($L234-INT($L234/1000000000)*1000000000)/100000000))</f>
        <v/>
      </c>
    </row>
    <row r="235">
      <c r="B235" s="122">
        <f>IF($L235="","",$M235)</f>
        <v/>
      </c>
      <c r="C235" s="22">
        <f>IF($L235="","",INDEX(HSI!$C$7:$C$106,$N235))</f>
        <v/>
      </c>
      <c r="D235" s="22">
        <f>IF($L235="","",INDEX(HSI!$D$7:$D$106,$N235))</f>
        <v/>
      </c>
      <c r="E235" s="123">
        <f>IF($L235="","",IF($P235=0,"TBA",IFERROR(INDEX(Grids!$C$12:$BO$111,$N235,$O235),"-")))</f>
        <v/>
      </c>
      <c r="F235" s="22">
        <f>IF($L235="","",INDEX(HSI!$F$7:$F$106,$N235))</f>
        <v/>
      </c>
      <c r="G235" s="123">
        <f>IF($L235="","",IF($P235=0,"TBA",IFERROR(INDEX(Grids!$BQ$12:$EC$111,$N235,$O235),"-")))</f>
        <v/>
      </c>
      <c r="H235" s="124">
        <f>IF($L235="","",SUM($G$10:$G235))</f>
        <v/>
      </c>
      <c r="I235" s="45">
        <f>IF($L235="","",IF(INT(($L235-INT($L235/10000000)*10000000)/1000000)=0,"Bloomberg projection",IF($P235=1,"ANNOUNCED","ANNOUNCED - amount TBA")))</f>
        <v/>
      </c>
      <c r="J235" s="46">
        <f>IF($L235="","",IF((OV_SWITCH="ON")*(COUNTIFS(OVR_TICKERS,INDEX(HSI!$C$7:$C$106,$N235),OVR_BASE,"&gt;=0")&gt;0)&gt;0,"stock overridden",""))</f>
        <v/>
      </c>
      <c r="L235" s="121">
        <f>IFERROR(IF(SMALL(Grids!$EE$12:$GQ$111,$M$7+226)&gt;=PEND_TO,"",SMALL(Grids!$EE$12:$GQ$111,$M$7+226)),"")</f>
        <v/>
      </c>
      <c r="M235" s="121">
        <f>IF($L235="","",INT($L235/1000000000))</f>
        <v/>
      </c>
      <c r="N235" s="121">
        <f>IF($L235="","",INT(($L235-INT($L235/1000000)*1000000)/1000))</f>
        <v/>
      </c>
      <c r="O235" s="121">
        <f>IF($L235="","",$L235-INT($L235/1000)*1000)</f>
        <v/>
      </c>
      <c r="P235" s="121">
        <f>IF($L235="","",INT(($L235-INT($L235/1000000000)*1000000000)/100000000))</f>
        <v/>
      </c>
    </row>
    <row r="236">
      <c r="B236" s="122">
        <f>IF($L236="","",$M236)</f>
        <v/>
      </c>
      <c r="C236" s="22">
        <f>IF($L236="","",INDEX(HSI!$C$7:$C$106,$N236))</f>
        <v/>
      </c>
      <c r="D236" s="22">
        <f>IF($L236="","",INDEX(HSI!$D$7:$D$106,$N236))</f>
        <v/>
      </c>
      <c r="E236" s="123">
        <f>IF($L236="","",IF($P236=0,"TBA",IFERROR(INDEX(Grids!$C$12:$BO$111,$N236,$O236),"-")))</f>
        <v/>
      </c>
      <c r="F236" s="22">
        <f>IF($L236="","",INDEX(HSI!$F$7:$F$106,$N236))</f>
        <v/>
      </c>
      <c r="G236" s="123">
        <f>IF($L236="","",IF($P236=0,"TBA",IFERROR(INDEX(Grids!$BQ$12:$EC$111,$N236,$O236),"-")))</f>
        <v/>
      </c>
      <c r="H236" s="124">
        <f>IF($L236="","",SUM($G$10:$G236))</f>
        <v/>
      </c>
      <c r="I236" s="45">
        <f>IF($L236="","",IF(INT(($L236-INT($L236/10000000)*10000000)/1000000)=0,"Bloomberg projection",IF($P236=1,"ANNOUNCED","ANNOUNCED - amount TBA")))</f>
        <v/>
      </c>
      <c r="J236" s="46">
        <f>IF($L236="","",IF((OV_SWITCH="ON")*(COUNTIFS(OVR_TICKERS,INDEX(HSI!$C$7:$C$106,$N236),OVR_BASE,"&gt;=0")&gt;0)&gt;0,"stock overridden",""))</f>
        <v/>
      </c>
      <c r="L236" s="121">
        <f>IFERROR(IF(SMALL(Grids!$EE$12:$GQ$111,$M$7+227)&gt;=PEND_TO,"",SMALL(Grids!$EE$12:$GQ$111,$M$7+227)),"")</f>
        <v/>
      </c>
      <c r="M236" s="121">
        <f>IF($L236="","",INT($L236/1000000000))</f>
        <v/>
      </c>
      <c r="N236" s="121">
        <f>IF($L236="","",INT(($L236-INT($L236/1000000)*1000000)/1000))</f>
        <v/>
      </c>
      <c r="O236" s="121">
        <f>IF($L236="","",$L236-INT($L236/1000)*1000)</f>
        <v/>
      </c>
      <c r="P236" s="121">
        <f>IF($L236="","",INT(($L236-INT($L236/1000000000)*1000000000)/100000000))</f>
        <v/>
      </c>
    </row>
    <row r="237">
      <c r="B237" s="122">
        <f>IF($L237="","",$M237)</f>
        <v/>
      </c>
      <c r="C237" s="22">
        <f>IF($L237="","",INDEX(HSI!$C$7:$C$106,$N237))</f>
        <v/>
      </c>
      <c r="D237" s="22">
        <f>IF($L237="","",INDEX(HSI!$D$7:$D$106,$N237))</f>
        <v/>
      </c>
      <c r="E237" s="123">
        <f>IF($L237="","",IF($P237=0,"TBA",IFERROR(INDEX(Grids!$C$12:$BO$111,$N237,$O237),"-")))</f>
        <v/>
      </c>
      <c r="F237" s="22">
        <f>IF($L237="","",INDEX(HSI!$F$7:$F$106,$N237))</f>
        <v/>
      </c>
      <c r="G237" s="123">
        <f>IF($L237="","",IF($P237=0,"TBA",IFERROR(INDEX(Grids!$BQ$12:$EC$111,$N237,$O237),"-")))</f>
        <v/>
      </c>
      <c r="H237" s="124">
        <f>IF($L237="","",SUM($G$10:$G237))</f>
        <v/>
      </c>
      <c r="I237" s="45">
        <f>IF($L237="","",IF(INT(($L237-INT($L237/10000000)*10000000)/1000000)=0,"Bloomberg projection",IF($P237=1,"ANNOUNCED","ANNOUNCED - amount TBA")))</f>
        <v/>
      </c>
      <c r="J237" s="46">
        <f>IF($L237="","",IF((OV_SWITCH="ON")*(COUNTIFS(OVR_TICKERS,INDEX(HSI!$C$7:$C$106,$N237),OVR_BASE,"&gt;=0")&gt;0)&gt;0,"stock overridden",""))</f>
        <v/>
      </c>
      <c r="L237" s="121">
        <f>IFERROR(IF(SMALL(Grids!$EE$12:$GQ$111,$M$7+228)&gt;=PEND_TO,"",SMALL(Grids!$EE$12:$GQ$111,$M$7+228)),"")</f>
        <v/>
      </c>
      <c r="M237" s="121">
        <f>IF($L237="","",INT($L237/1000000000))</f>
        <v/>
      </c>
      <c r="N237" s="121">
        <f>IF($L237="","",INT(($L237-INT($L237/1000000)*1000000)/1000))</f>
        <v/>
      </c>
      <c r="O237" s="121">
        <f>IF($L237="","",$L237-INT($L237/1000)*1000)</f>
        <v/>
      </c>
      <c r="P237" s="121">
        <f>IF($L237="","",INT(($L237-INT($L237/1000000000)*1000000000)/100000000))</f>
        <v/>
      </c>
    </row>
    <row r="238">
      <c r="B238" s="122">
        <f>IF($L238="","",$M238)</f>
        <v/>
      </c>
      <c r="C238" s="22">
        <f>IF($L238="","",INDEX(HSI!$C$7:$C$106,$N238))</f>
        <v/>
      </c>
      <c r="D238" s="22">
        <f>IF($L238="","",INDEX(HSI!$D$7:$D$106,$N238))</f>
        <v/>
      </c>
      <c r="E238" s="123">
        <f>IF($L238="","",IF($P238=0,"TBA",IFERROR(INDEX(Grids!$C$12:$BO$111,$N238,$O238),"-")))</f>
        <v/>
      </c>
      <c r="F238" s="22">
        <f>IF($L238="","",INDEX(HSI!$F$7:$F$106,$N238))</f>
        <v/>
      </c>
      <c r="G238" s="123">
        <f>IF($L238="","",IF($P238=0,"TBA",IFERROR(INDEX(Grids!$BQ$12:$EC$111,$N238,$O238),"-")))</f>
        <v/>
      </c>
      <c r="H238" s="124">
        <f>IF($L238="","",SUM($G$10:$G238))</f>
        <v/>
      </c>
      <c r="I238" s="45">
        <f>IF($L238="","",IF(INT(($L238-INT($L238/10000000)*10000000)/1000000)=0,"Bloomberg projection",IF($P238=1,"ANNOUNCED","ANNOUNCED - amount TBA")))</f>
        <v/>
      </c>
      <c r="J238" s="46">
        <f>IF($L238="","",IF((OV_SWITCH="ON")*(COUNTIFS(OVR_TICKERS,INDEX(HSI!$C$7:$C$106,$N238),OVR_BASE,"&gt;=0")&gt;0)&gt;0,"stock overridden",""))</f>
        <v/>
      </c>
      <c r="L238" s="121">
        <f>IFERROR(IF(SMALL(Grids!$EE$12:$GQ$111,$M$7+229)&gt;=PEND_TO,"",SMALL(Grids!$EE$12:$GQ$111,$M$7+229)),"")</f>
        <v/>
      </c>
      <c r="M238" s="121">
        <f>IF($L238="","",INT($L238/1000000000))</f>
        <v/>
      </c>
      <c r="N238" s="121">
        <f>IF($L238="","",INT(($L238-INT($L238/1000000)*1000000)/1000))</f>
        <v/>
      </c>
      <c r="O238" s="121">
        <f>IF($L238="","",$L238-INT($L238/1000)*1000)</f>
        <v/>
      </c>
      <c r="P238" s="121">
        <f>IF($L238="","",INT(($L238-INT($L238/1000000000)*1000000000)/100000000))</f>
        <v/>
      </c>
    </row>
    <row r="239">
      <c r="B239" s="122">
        <f>IF($L239="","",$M239)</f>
        <v/>
      </c>
      <c r="C239" s="22">
        <f>IF($L239="","",INDEX(HSI!$C$7:$C$106,$N239))</f>
        <v/>
      </c>
      <c r="D239" s="22">
        <f>IF($L239="","",INDEX(HSI!$D$7:$D$106,$N239))</f>
        <v/>
      </c>
      <c r="E239" s="123">
        <f>IF($L239="","",IF($P239=0,"TBA",IFERROR(INDEX(Grids!$C$12:$BO$111,$N239,$O239),"-")))</f>
        <v/>
      </c>
      <c r="F239" s="22">
        <f>IF($L239="","",INDEX(HSI!$F$7:$F$106,$N239))</f>
        <v/>
      </c>
      <c r="G239" s="123">
        <f>IF($L239="","",IF($P239=0,"TBA",IFERROR(INDEX(Grids!$BQ$12:$EC$111,$N239,$O239),"-")))</f>
        <v/>
      </c>
      <c r="H239" s="124">
        <f>IF($L239="","",SUM($G$10:$G239))</f>
        <v/>
      </c>
      <c r="I239" s="45">
        <f>IF($L239="","",IF(INT(($L239-INT($L239/10000000)*10000000)/1000000)=0,"Bloomberg projection",IF($P239=1,"ANNOUNCED","ANNOUNCED - amount TBA")))</f>
        <v/>
      </c>
      <c r="J239" s="46">
        <f>IF($L239="","",IF((OV_SWITCH="ON")*(COUNTIFS(OVR_TICKERS,INDEX(HSI!$C$7:$C$106,$N239),OVR_BASE,"&gt;=0")&gt;0)&gt;0,"stock overridden",""))</f>
        <v/>
      </c>
      <c r="L239" s="121">
        <f>IFERROR(IF(SMALL(Grids!$EE$12:$GQ$111,$M$7+230)&gt;=PEND_TO,"",SMALL(Grids!$EE$12:$GQ$111,$M$7+230)),"")</f>
        <v/>
      </c>
      <c r="M239" s="121">
        <f>IF($L239="","",INT($L239/1000000000))</f>
        <v/>
      </c>
      <c r="N239" s="121">
        <f>IF($L239="","",INT(($L239-INT($L239/1000000)*1000000)/1000))</f>
        <v/>
      </c>
      <c r="O239" s="121">
        <f>IF($L239="","",$L239-INT($L239/1000)*1000)</f>
        <v/>
      </c>
      <c r="P239" s="121">
        <f>IF($L239="","",INT(($L239-INT($L239/1000000000)*1000000000)/100000000))</f>
        <v/>
      </c>
    </row>
    <row r="240">
      <c r="B240" s="122">
        <f>IF($L240="","",$M240)</f>
        <v/>
      </c>
      <c r="C240" s="22">
        <f>IF($L240="","",INDEX(HSI!$C$7:$C$106,$N240))</f>
        <v/>
      </c>
      <c r="D240" s="22">
        <f>IF($L240="","",INDEX(HSI!$D$7:$D$106,$N240))</f>
        <v/>
      </c>
      <c r="E240" s="123">
        <f>IF($L240="","",IF($P240=0,"TBA",IFERROR(INDEX(Grids!$C$12:$BO$111,$N240,$O240),"-")))</f>
        <v/>
      </c>
      <c r="F240" s="22">
        <f>IF($L240="","",INDEX(HSI!$F$7:$F$106,$N240))</f>
        <v/>
      </c>
      <c r="G240" s="123">
        <f>IF($L240="","",IF($P240=0,"TBA",IFERROR(INDEX(Grids!$BQ$12:$EC$111,$N240,$O240),"-")))</f>
        <v/>
      </c>
      <c r="H240" s="124">
        <f>IF($L240="","",SUM($G$10:$G240))</f>
        <v/>
      </c>
      <c r="I240" s="45">
        <f>IF($L240="","",IF(INT(($L240-INT($L240/10000000)*10000000)/1000000)=0,"Bloomberg projection",IF($P240=1,"ANNOUNCED","ANNOUNCED - amount TBA")))</f>
        <v/>
      </c>
      <c r="J240" s="46">
        <f>IF($L240="","",IF((OV_SWITCH="ON")*(COUNTIFS(OVR_TICKERS,INDEX(HSI!$C$7:$C$106,$N240),OVR_BASE,"&gt;=0")&gt;0)&gt;0,"stock overridden",""))</f>
        <v/>
      </c>
      <c r="L240" s="121">
        <f>IFERROR(IF(SMALL(Grids!$EE$12:$GQ$111,$M$7+231)&gt;=PEND_TO,"",SMALL(Grids!$EE$12:$GQ$111,$M$7+231)),"")</f>
        <v/>
      </c>
      <c r="M240" s="121">
        <f>IF($L240="","",INT($L240/1000000000))</f>
        <v/>
      </c>
      <c r="N240" s="121">
        <f>IF($L240="","",INT(($L240-INT($L240/1000000)*1000000)/1000))</f>
        <v/>
      </c>
      <c r="O240" s="121">
        <f>IF($L240="","",$L240-INT($L240/1000)*1000)</f>
        <v/>
      </c>
      <c r="P240" s="121">
        <f>IF($L240="","",INT(($L240-INT($L240/1000000000)*1000000000)/100000000))</f>
        <v/>
      </c>
    </row>
    <row r="241">
      <c r="B241" s="122">
        <f>IF($L241="","",$M241)</f>
        <v/>
      </c>
      <c r="C241" s="22">
        <f>IF($L241="","",INDEX(HSI!$C$7:$C$106,$N241))</f>
        <v/>
      </c>
      <c r="D241" s="22">
        <f>IF($L241="","",INDEX(HSI!$D$7:$D$106,$N241))</f>
        <v/>
      </c>
      <c r="E241" s="123">
        <f>IF($L241="","",IF($P241=0,"TBA",IFERROR(INDEX(Grids!$C$12:$BO$111,$N241,$O241),"-")))</f>
        <v/>
      </c>
      <c r="F241" s="22">
        <f>IF($L241="","",INDEX(HSI!$F$7:$F$106,$N241))</f>
        <v/>
      </c>
      <c r="G241" s="123">
        <f>IF($L241="","",IF($P241=0,"TBA",IFERROR(INDEX(Grids!$BQ$12:$EC$111,$N241,$O241),"-")))</f>
        <v/>
      </c>
      <c r="H241" s="124">
        <f>IF($L241="","",SUM($G$10:$G241))</f>
        <v/>
      </c>
      <c r="I241" s="45">
        <f>IF($L241="","",IF(INT(($L241-INT($L241/10000000)*10000000)/1000000)=0,"Bloomberg projection",IF($P241=1,"ANNOUNCED","ANNOUNCED - amount TBA")))</f>
        <v/>
      </c>
      <c r="J241" s="46">
        <f>IF($L241="","",IF((OV_SWITCH="ON")*(COUNTIFS(OVR_TICKERS,INDEX(HSI!$C$7:$C$106,$N241),OVR_BASE,"&gt;=0")&gt;0)&gt;0,"stock overridden",""))</f>
        <v/>
      </c>
      <c r="L241" s="121">
        <f>IFERROR(IF(SMALL(Grids!$EE$12:$GQ$111,$M$7+232)&gt;=PEND_TO,"",SMALL(Grids!$EE$12:$GQ$111,$M$7+232)),"")</f>
        <v/>
      </c>
      <c r="M241" s="121">
        <f>IF($L241="","",INT($L241/1000000000))</f>
        <v/>
      </c>
      <c r="N241" s="121">
        <f>IF($L241="","",INT(($L241-INT($L241/1000000)*1000000)/1000))</f>
        <v/>
      </c>
      <c r="O241" s="121">
        <f>IF($L241="","",$L241-INT($L241/1000)*1000)</f>
        <v/>
      </c>
      <c r="P241" s="121">
        <f>IF($L241="","",INT(($L241-INT($L241/1000000000)*1000000000)/100000000))</f>
        <v/>
      </c>
    </row>
    <row r="242">
      <c r="B242" s="122">
        <f>IF($L242="","",$M242)</f>
        <v/>
      </c>
      <c r="C242" s="22">
        <f>IF($L242="","",INDEX(HSI!$C$7:$C$106,$N242))</f>
        <v/>
      </c>
      <c r="D242" s="22">
        <f>IF($L242="","",INDEX(HSI!$D$7:$D$106,$N242))</f>
        <v/>
      </c>
      <c r="E242" s="123">
        <f>IF($L242="","",IF($P242=0,"TBA",IFERROR(INDEX(Grids!$C$12:$BO$111,$N242,$O242),"-")))</f>
        <v/>
      </c>
      <c r="F242" s="22">
        <f>IF($L242="","",INDEX(HSI!$F$7:$F$106,$N242))</f>
        <v/>
      </c>
      <c r="G242" s="123">
        <f>IF($L242="","",IF($P242=0,"TBA",IFERROR(INDEX(Grids!$BQ$12:$EC$111,$N242,$O242),"-")))</f>
        <v/>
      </c>
      <c r="H242" s="124">
        <f>IF($L242="","",SUM($G$10:$G242))</f>
        <v/>
      </c>
      <c r="I242" s="45">
        <f>IF($L242="","",IF(INT(($L242-INT($L242/10000000)*10000000)/1000000)=0,"Bloomberg projection",IF($P242=1,"ANNOUNCED","ANNOUNCED - amount TBA")))</f>
        <v/>
      </c>
      <c r="J242" s="46">
        <f>IF($L242="","",IF((OV_SWITCH="ON")*(COUNTIFS(OVR_TICKERS,INDEX(HSI!$C$7:$C$106,$N242),OVR_BASE,"&gt;=0")&gt;0)&gt;0,"stock overridden",""))</f>
        <v/>
      </c>
      <c r="L242" s="121">
        <f>IFERROR(IF(SMALL(Grids!$EE$12:$GQ$111,$M$7+233)&gt;=PEND_TO,"",SMALL(Grids!$EE$12:$GQ$111,$M$7+233)),"")</f>
        <v/>
      </c>
      <c r="M242" s="121">
        <f>IF($L242="","",INT($L242/1000000000))</f>
        <v/>
      </c>
      <c r="N242" s="121">
        <f>IF($L242="","",INT(($L242-INT($L242/1000000)*1000000)/1000))</f>
        <v/>
      </c>
      <c r="O242" s="121">
        <f>IF($L242="","",$L242-INT($L242/1000)*1000)</f>
        <v/>
      </c>
      <c r="P242" s="121">
        <f>IF($L242="","",INT(($L242-INT($L242/1000000000)*1000000000)/100000000))</f>
        <v/>
      </c>
    </row>
    <row r="243">
      <c r="B243" s="122">
        <f>IF($L243="","",$M243)</f>
        <v/>
      </c>
      <c r="C243" s="22">
        <f>IF($L243="","",INDEX(HSI!$C$7:$C$106,$N243))</f>
        <v/>
      </c>
      <c r="D243" s="22">
        <f>IF($L243="","",INDEX(HSI!$D$7:$D$106,$N243))</f>
        <v/>
      </c>
      <c r="E243" s="123">
        <f>IF($L243="","",IF($P243=0,"TBA",IFERROR(INDEX(Grids!$C$12:$BO$111,$N243,$O243),"-")))</f>
        <v/>
      </c>
      <c r="F243" s="22">
        <f>IF($L243="","",INDEX(HSI!$F$7:$F$106,$N243))</f>
        <v/>
      </c>
      <c r="G243" s="123">
        <f>IF($L243="","",IF($P243=0,"TBA",IFERROR(INDEX(Grids!$BQ$12:$EC$111,$N243,$O243),"-")))</f>
        <v/>
      </c>
      <c r="H243" s="124">
        <f>IF($L243="","",SUM($G$10:$G243))</f>
        <v/>
      </c>
      <c r="I243" s="45">
        <f>IF($L243="","",IF(INT(($L243-INT($L243/10000000)*10000000)/1000000)=0,"Bloomberg projection",IF($P243=1,"ANNOUNCED","ANNOUNCED - amount TBA")))</f>
        <v/>
      </c>
      <c r="J243" s="46">
        <f>IF($L243="","",IF((OV_SWITCH="ON")*(COUNTIFS(OVR_TICKERS,INDEX(HSI!$C$7:$C$106,$N243),OVR_BASE,"&gt;=0")&gt;0)&gt;0,"stock overridden",""))</f>
        <v/>
      </c>
      <c r="L243" s="121">
        <f>IFERROR(IF(SMALL(Grids!$EE$12:$GQ$111,$M$7+234)&gt;=PEND_TO,"",SMALL(Grids!$EE$12:$GQ$111,$M$7+234)),"")</f>
        <v/>
      </c>
      <c r="M243" s="121">
        <f>IF($L243="","",INT($L243/1000000000))</f>
        <v/>
      </c>
      <c r="N243" s="121">
        <f>IF($L243="","",INT(($L243-INT($L243/1000000)*1000000)/1000))</f>
        <v/>
      </c>
      <c r="O243" s="121">
        <f>IF($L243="","",$L243-INT($L243/1000)*1000)</f>
        <v/>
      </c>
      <c r="P243" s="121">
        <f>IF($L243="","",INT(($L243-INT($L243/1000000000)*1000000000)/100000000))</f>
        <v/>
      </c>
    </row>
    <row r="244">
      <c r="B244" s="122">
        <f>IF($L244="","",$M244)</f>
        <v/>
      </c>
      <c r="C244" s="22">
        <f>IF($L244="","",INDEX(HSI!$C$7:$C$106,$N244))</f>
        <v/>
      </c>
      <c r="D244" s="22">
        <f>IF($L244="","",INDEX(HSI!$D$7:$D$106,$N244))</f>
        <v/>
      </c>
      <c r="E244" s="123">
        <f>IF($L244="","",IF($P244=0,"TBA",IFERROR(INDEX(Grids!$C$12:$BO$111,$N244,$O244),"-")))</f>
        <v/>
      </c>
      <c r="F244" s="22">
        <f>IF($L244="","",INDEX(HSI!$F$7:$F$106,$N244))</f>
        <v/>
      </c>
      <c r="G244" s="123">
        <f>IF($L244="","",IF($P244=0,"TBA",IFERROR(INDEX(Grids!$BQ$12:$EC$111,$N244,$O244),"-")))</f>
        <v/>
      </c>
      <c r="H244" s="124">
        <f>IF($L244="","",SUM($G$10:$G244))</f>
        <v/>
      </c>
      <c r="I244" s="45">
        <f>IF($L244="","",IF(INT(($L244-INT($L244/10000000)*10000000)/1000000)=0,"Bloomberg projection",IF($P244=1,"ANNOUNCED","ANNOUNCED - amount TBA")))</f>
        <v/>
      </c>
      <c r="J244" s="46">
        <f>IF($L244="","",IF((OV_SWITCH="ON")*(COUNTIFS(OVR_TICKERS,INDEX(HSI!$C$7:$C$106,$N244),OVR_BASE,"&gt;=0")&gt;0)&gt;0,"stock overridden",""))</f>
        <v/>
      </c>
      <c r="L244" s="121">
        <f>IFERROR(IF(SMALL(Grids!$EE$12:$GQ$111,$M$7+235)&gt;=PEND_TO,"",SMALL(Grids!$EE$12:$GQ$111,$M$7+235)),"")</f>
        <v/>
      </c>
      <c r="M244" s="121">
        <f>IF($L244="","",INT($L244/1000000000))</f>
        <v/>
      </c>
      <c r="N244" s="121">
        <f>IF($L244="","",INT(($L244-INT($L244/1000000)*1000000)/1000))</f>
        <v/>
      </c>
      <c r="O244" s="121">
        <f>IF($L244="","",$L244-INT($L244/1000)*1000)</f>
        <v/>
      </c>
      <c r="P244" s="121">
        <f>IF($L244="","",INT(($L244-INT($L244/1000000000)*1000000000)/100000000))</f>
        <v/>
      </c>
    </row>
    <row r="245">
      <c r="B245" s="122">
        <f>IF($L245="","",$M245)</f>
        <v/>
      </c>
      <c r="C245" s="22">
        <f>IF($L245="","",INDEX(HSI!$C$7:$C$106,$N245))</f>
        <v/>
      </c>
      <c r="D245" s="22">
        <f>IF($L245="","",INDEX(HSI!$D$7:$D$106,$N245))</f>
        <v/>
      </c>
      <c r="E245" s="123">
        <f>IF($L245="","",IF($P245=0,"TBA",IFERROR(INDEX(Grids!$C$12:$BO$111,$N245,$O245),"-")))</f>
        <v/>
      </c>
      <c r="F245" s="22">
        <f>IF($L245="","",INDEX(HSI!$F$7:$F$106,$N245))</f>
        <v/>
      </c>
      <c r="G245" s="123">
        <f>IF($L245="","",IF($P245=0,"TBA",IFERROR(INDEX(Grids!$BQ$12:$EC$111,$N245,$O245),"-")))</f>
        <v/>
      </c>
      <c r="H245" s="124">
        <f>IF($L245="","",SUM($G$10:$G245))</f>
        <v/>
      </c>
      <c r="I245" s="45">
        <f>IF($L245="","",IF(INT(($L245-INT($L245/10000000)*10000000)/1000000)=0,"Bloomberg projection",IF($P245=1,"ANNOUNCED","ANNOUNCED - amount TBA")))</f>
        <v/>
      </c>
      <c r="J245" s="46">
        <f>IF($L245="","",IF((OV_SWITCH="ON")*(COUNTIFS(OVR_TICKERS,INDEX(HSI!$C$7:$C$106,$N245),OVR_BASE,"&gt;=0")&gt;0)&gt;0,"stock overridden",""))</f>
        <v/>
      </c>
      <c r="L245" s="121">
        <f>IFERROR(IF(SMALL(Grids!$EE$12:$GQ$111,$M$7+236)&gt;=PEND_TO,"",SMALL(Grids!$EE$12:$GQ$111,$M$7+236)),"")</f>
        <v/>
      </c>
      <c r="M245" s="121">
        <f>IF($L245="","",INT($L245/1000000000))</f>
        <v/>
      </c>
      <c r="N245" s="121">
        <f>IF($L245="","",INT(($L245-INT($L245/1000000)*1000000)/1000))</f>
        <v/>
      </c>
      <c r="O245" s="121">
        <f>IF($L245="","",$L245-INT($L245/1000)*1000)</f>
        <v/>
      </c>
      <c r="P245" s="121">
        <f>IF($L245="","",INT(($L245-INT($L245/1000000000)*1000000000)/100000000))</f>
        <v/>
      </c>
    </row>
    <row r="246">
      <c r="B246" s="122">
        <f>IF($L246="","",$M246)</f>
        <v/>
      </c>
      <c r="C246" s="22">
        <f>IF($L246="","",INDEX(HSI!$C$7:$C$106,$N246))</f>
        <v/>
      </c>
      <c r="D246" s="22">
        <f>IF($L246="","",INDEX(HSI!$D$7:$D$106,$N246))</f>
        <v/>
      </c>
      <c r="E246" s="123">
        <f>IF($L246="","",IF($P246=0,"TBA",IFERROR(INDEX(Grids!$C$12:$BO$111,$N246,$O246),"-")))</f>
        <v/>
      </c>
      <c r="F246" s="22">
        <f>IF($L246="","",INDEX(HSI!$F$7:$F$106,$N246))</f>
        <v/>
      </c>
      <c r="G246" s="123">
        <f>IF($L246="","",IF($P246=0,"TBA",IFERROR(INDEX(Grids!$BQ$12:$EC$111,$N246,$O246),"-")))</f>
        <v/>
      </c>
      <c r="H246" s="124">
        <f>IF($L246="","",SUM($G$10:$G246))</f>
        <v/>
      </c>
      <c r="I246" s="45">
        <f>IF($L246="","",IF(INT(($L246-INT($L246/10000000)*10000000)/1000000)=0,"Bloomberg projection",IF($P246=1,"ANNOUNCED","ANNOUNCED - amount TBA")))</f>
        <v/>
      </c>
      <c r="J246" s="46">
        <f>IF($L246="","",IF((OV_SWITCH="ON")*(COUNTIFS(OVR_TICKERS,INDEX(HSI!$C$7:$C$106,$N246),OVR_BASE,"&gt;=0")&gt;0)&gt;0,"stock overridden",""))</f>
        <v/>
      </c>
      <c r="L246" s="121">
        <f>IFERROR(IF(SMALL(Grids!$EE$12:$GQ$111,$M$7+237)&gt;=PEND_TO,"",SMALL(Grids!$EE$12:$GQ$111,$M$7+237)),"")</f>
        <v/>
      </c>
      <c r="M246" s="121">
        <f>IF($L246="","",INT($L246/1000000000))</f>
        <v/>
      </c>
      <c r="N246" s="121">
        <f>IF($L246="","",INT(($L246-INT($L246/1000000)*1000000)/1000))</f>
        <v/>
      </c>
      <c r="O246" s="121">
        <f>IF($L246="","",$L246-INT($L246/1000)*1000)</f>
        <v/>
      </c>
      <c r="P246" s="121">
        <f>IF($L246="","",INT(($L246-INT($L246/1000000000)*1000000000)/100000000))</f>
        <v/>
      </c>
    </row>
    <row r="247">
      <c r="B247" s="122">
        <f>IF($L247="","",$M247)</f>
        <v/>
      </c>
      <c r="C247" s="22">
        <f>IF($L247="","",INDEX(HSI!$C$7:$C$106,$N247))</f>
        <v/>
      </c>
      <c r="D247" s="22">
        <f>IF($L247="","",INDEX(HSI!$D$7:$D$106,$N247))</f>
        <v/>
      </c>
      <c r="E247" s="123">
        <f>IF($L247="","",IF($P247=0,"TBA",IFERROR(INDEX(Grids!$C$12:$BO$111,$N247,$O247),"-")))</f>
        <v/>
      </c>
      <c r="F247" s="22">
        <f>IF($L247="","",INDEX(HSI!$F$7:$F$106,$N247))</f>
        <v/>
      </c>
      <c r="G247" s="123">
        <f>IF($L247="","",IF($P247=0,"TBA",IFERROR(INDEX(Grids!$BQ$12:$EC$111,$N247,$O247),"-")))</f>
        <v/>
      </c>
      <c r="H247" s="124">
        <f>IF($L247="","",SUM($G$10:$G247))</f>
        <v/>
      </c>
      <c r="I247" s="45">
        <f>IF($L247="","",IF(INT(($L247-INT($L247/10000000)*10000000)/1000000)=0,"Bloomberg projection",IF($P247=1,"ANNOUNCED","ANNOUNCED - amount TBA")))</f>
        <v/>
      </c>
      <c r="J247" s="46">
        <f>IF($L247="","",IF((OV_SWITCH="ON")*(COUNTIFS(OVR_TICKERS,INDEX(HSI!$C$7:$C$106,$N247),OVR_BASE,"&gt;=0")&gt;0)&gt;0,"stock overridden",""))</f>
        <v/>
      </c>
      <c r="L247" s="121">
        <f>IFERROR(IF(SMALL(Grids!$EE$12:$GQ$111,$M$7+238)&gt;=PEND_TO,"",SMALL(Grids!$EE$12:$GQ$111,$M$7+238)),"")</f>
        <v/>
      </c>
      <c r="M247" s="121">
        <f>IF($L247="","",INT($L247/1000000000))</f>
        <v/>
      </c>
      <c r="N247" s="121">
        <f>IF($L247="","",INT(($L247-INT($L247/1000000)*1000000)/1000))</f>
        <v/>
      </c>
      <c r="O247" s="121">
        <f>IF($L247="","",$L247-INT($L247/1000)*1000)</f>
        <v/>
      </c>
      <c r="P247" s="121">
        <f>IF($L247="","",INT(($L247-INT($L247/1000000000)*1000000000)/100000000))</f>
        <v/>
      </c>
    </row>
    <row r="248">
      <c r="B248" s="122">
        <f>IF($L248="","",$M248)</f>
        <v/>
      </c>
      <c r="C248" s="22">
        <f>IF($L248="","",INDEX(HSI!$C$7:$C$106,$N248))</f>
        <v/>
      </c>
      <c r="D248" s="22">
        <f>IF($L248="","",INDEX(HSI!$D$7:$D$106,$N248))</f>
        <v/>
      </c>
      <c r="E248" s="123">
        <f>IF($L248="","",IF($P248=0,"TBA",IFERROR(INDEX(Grids!$C$12:$BO$111,$N248,$O248),"-")))</f>
        <v/>
      </c>
      <c r="F248" s="22">
        <f>IF($L248="","",INDEX(HSI!$F$7:$F$106,$N248))</f>
        <v/>
      </c>
      <c r="G248" s="123">
        <f>IF($L248="","",IF($P248=0,"TBA",IFERROR(INDEX(Grids!$BQ$12:$EC$111,$N248,$O248),"-")))</f>
        <v/>
      </c>
      <c r="H248" s="124">
        <f>IF($L248="","",SUM($G$10:$G248))</f>
        <v/>
      </c>
      <c r="I248" s="45">
        <f>IF($L248="","",IF(INT(($L248-INT($L248/10000000)*10000000)/1000000)=0,"Bloomberg projection",IF($P248=1,"ANNOUNCED","ANNOUNCED - amount TBA")))</f>
        <v/>
      </c>
      <c r="J248" s="46">
        <f>IF($L248="","",IF((OV_SWITCH="ON")*(COUNTIFS(OVR_TICKERS,INDEX(HSI!$C$7:$C$106,$N248),OVR_BASE,"&gt;=0")&gt;0)&gt;0,"stock overridden",""))</f>
        <v/>
      </c>
      <c r="L248" s="121">
        <f>IFERROR(IF(SMALL(Grids!$EE$12:$GQ$111,$M$7+239)&gt;=PEND_TO,"",SMALL(Grids!$EE$12:$GQ$111,$M$7+239)),"")</f>
        <v/>
      </c>
      <c r="M248" s="121">
        <f>IF($L248="","",INT($L248/1000000000))</f>
        <v/>
      </c>
      <c r="N248" s="121">
        <f>IF($L248="","",INT(($L248-INT($L248/1000000)*1000000)/1000))</f>
        <v/>
      </c>
      <c r="O248" s="121">
        <f>IF($L248="","",$L248-INT($L248/1000)*1000)</f>
        <v/>
      </c>
      <c r="P248" s="121">
        <f>IF($L248="","",INT(($L248-INT($L248/1000000000)*1000000000)/100000000))</f>
        <v/>
      </c>
    </row>
    <row r="249">
      <c r="B249" s="122">
        <f>IF($L249="","",$M249)</f>
        <v/>
      </c>
      <c r="C249" s="22">
        <f>IF($L249="","",INDEX(HSI!$C$7:$C$106,$N249))</f>
        <v/>
      </c>
      <c r="D249" s="22">
        <f>IF($L249="","",INDEX(HSI!$D$7:$D$106,$N249))</f>
        <v/>
      </c>
      <c r="E249" s="123">
        <f>IF($L249="","",IF($P249=0,"TBA",IFERROR(INDEX(Grids!$C$12:$BO$111,$N249,$O249),"-")))</f>
        <v/>
      </c>
      <c r="F249" s="22">
        <f>IF($L249="","",INDEX(HSI!$F$7:$F$106,$N249))</f>
        <v/>
      </c>
      <c r="G249" s="123">
        <f>IF($L249="","",IF($P249=0,"TBA",IFERROR(INDEX(Grids!$BQ$12:$EC$111,$N249,$O249),"-")))</f>
        <v/>
      </c>
      <c r="H249" s="124">
        <f>IF($L249="","",SUM($G$10:$G249))</f>
        <v/>
      </c>
      <c r="I249" s="45">
        <f>IF($L249="","",IF(INT(($L249-INT($L249/10000000)*10000000)/1000000)=0,"Bloomberg projection",IF($P249=1,"ANNOUNCED","ANNOUNCED - amount TBA")))</f>
        <v/>
      </c>
      <c r="J249" s="46">
        <f>IF($L249="","",IF((OV_SWITCH="ON")*(COUNTIFS(OVR_TICKERS,INDEX(HSI!$C$7:$C$106,$N249),OVR_BASE,"&gt;=0")&gt;0)&gt;0,"stock overridden",""))</f>
        <v/>
      </c>
      <c r="L249" s="121">
        <f>IFERROR(IF(SMALL(Grids!$EE$12:$GQ$111,$M$7+240)&gt;=PEND_TO,"",SMALL(Grids!$EE$12:$GQ$111,$M$7+240)),"")</f>
        <v/>
      </c>
      <c r="M249" s="121">
        <f>IF($L249="","",INT($L249/1000000000))</f>
        <v/>
      </c>
      <c r="N249" s="121">
        <f>IF($L249="","",INT(($L249-INT($L249/1000000)*1000000)/1000))</f>
        <v/>
      </c>
      <c r="O249" s="121">
        <f>IF($L249="","",$L249-INT($L249/1000)*1000)</f>
        <v/>
      </c>
      <c r="P249" s="121">
        <f>IF($L249="","",INT(($L249-INT($L249/1000000000)*1000000000)/100000000))</f>
        <v/>
      </c>
    </row>
    <row r="250">
      <c r="B250" s="122">
        <f>IF($L250="","",$M250)</f>
        <v/>
      </c>
      <c r="C250" s="22">
        <f>IF($L250="","",INDEX(HSI!$C$7:$C$106,$N250))</f>
        <v/>
      </c>
      <c r="D250" s="22">
        <f>IF($L250="","",INDEX(HSI!$D$7:$D$106,$N250))</f>
        <v/>
      </c>
      <c r="E250" s="123">
        <f>IF($L250="","",IF($P250=0,"TBA",IFERROR(INDEX(Grids!$C$12:$BO$111,$N250,$O250),"-")))</f>
        <v/>
      </c>
      <c r="F250" s="22">
        <f>IF($L250="","",INDEX(HSI!$F$7:$F$106,$N250))</f>
        <v/>
      </c>
      <c r="G250" s="123">
        <f>IF($L250="","",IF($P250=0,"TBA",IFERROR(INDEX(Grids!$BQ$12:$EC$111,$N250,$O250),"-")))</f>
        <v/>
      </c>
      <c r="H250" s="124">
        <f>IF($L250="","",SUM($G$10:$G250))</f>
        <v/>
      </c>
      <c r="I250" s="45">
        <f>IF($L250="","",IF(INT(($L250-INT($L250/10000000)*10000000)/1000000)=0,"Bloomberg projection",IF($P250=1,"ANNOUNCED","ANNOUNCED - amount TBA")))</f>
        <v/>
      </c>
      <c r="J250" s="46">
        <f>IF($L250="","",IF((OV_SWITCH="ON")*(COUNTIFS(OVR_TICKERS,INDEX(HSI!$C$7:$C$106,$N250),OVR_BASE,"&gt;=0")&gt;0)&gt;0,"stock overridden",""))</f>
        <v/>
      </c>
      <c r="L250" s="121">
        <f>IFERROR(IF(SMALL(Grids!$EE$12:$GQ$111,$M$7+241)&gt;=PEND_TO,"",SMALL(Grids!$EE$12:$GQ$111,$M$7+241)),"")</f>
        <v/>
      </c>
      <c r="M250" s="121">
        <f>IF($L250="","",INT($L250/1000000000))</f>
        <v/>
      </c>
      <c r="N250" s="121">
        <f>IF($L250="","",INT(($L250-INT($L250/1000000)*1000000)/1000))</f>
        <v/>
      </c>
      <c r="O250" s="121">
        <f>IF($L250="","",$L250-INT($L250/1000)*1000)</f>
        <v/>
      </c>
      <c r="P250" s="121">
        <f>IF($L250="","",INT(($L250-INT($L250/1000000000)*1000000000)/100000000))</f>
        <v/>
      </c>
    </row>
    <row r="251">
      <c r="B251" s="122">
        <f>IF($L251="","",$M251)</f>
        <v/>
      </c>
      <c r="C251" s="22">
        <f>IF($L251="","",INDEX(HSI!$C$7:$C$106,$N251))</f>
        <v/>
      </c>
      <c r="D251" s="22">
        <f>IF($L251="","",INDEX(HSI!$D$7:$D$106,$N251))</f>
        <v/>
      </c>
      <c r="E251" s="123">
        <f>IF($L251="","",IF($P251=0,"TBA",IFERROR(INDEX(Grids!$C$12:$BO$111,$N251,$O251),"-")))</f>
        <v/>
      </c>
      <c r="F251" s="22">
        <f>IF($L251="","",INDEX(HSI!$F$7:$F$106,$N251))</f>
        <v/>
      </c>
      <c r="G251" s="123">
        <f>IF($L251="","",IF($P251=0,"TBA",IFERROR(INDEX(Grids!$BQ$12:$EC$111,$N251,$O251),"-")))</f>
        <v/>
      </c>
      <c r="H251" s="124">
        <f>IF($L251="","",SUM($G$10:$G251))</f>
        <v/>
      </c>
      <c r="I251" s="45">
        <f>IF($L251="","",IF(INT(($L251-INT($L251/10000000)*10000000)/1000000)=0,"Bloomberg projection",IF($P251=1,"ANNOUNCED","ANNOUNCED - amount TBA")))</f>
        <v/>
      </c>
      <c r="J251" s="46">
        <f>IF($L251="","",IF((OV_SWITCH="ON")*(COUNTIFS(OVR_TICKERS,INDEX(HSI!$C$7:$C$106,$N251),OVR_BASE,"&gt;=0")&gt;0)&gt;0,"stock overridden",""))</f>
        <v/>
      </c>
      <c r="L251" s="121">
        <f>IFERROR(IF(SMALL(Grids!$EE$12:$GQ$111,$M$7+242)&gt;=PEND_TO,"",SMALL(Grids!$EE$12:$GQ$111,$M$7+242)),"")</f>
        <v/>
      </c>
      <c r="M251" s="121">
        <f>IF($L251="","",INT($L251/1000000000))</f>
        <v/>
      </c>
      <c r="N251" s="121">
        <f>IF($L251="","",INT(($L251-INT($L251/1000000)*1000000)/1000))</f>
        <v/>
      </c>
      <c r="O251" s="121">
        <f>IF($L251="","",$L251-INT($L251/1000)*1000)</f>
        <v/>
      </c>
      <c r="P251" s="121">
        <f>IF($L251="","",INT(($L251-INT($L251/1000000000)*1000000000)/100000000))</f>
        <v/>
      </c>
    </row>
    <row r="252">
      <c r="B252" s="122">
        <f>IF($L252="","",$M252)</f>
        <v/>
      </c>
      <c r="C252" s="22">
        <f>IF($L252="","",INDEX(HSI!$C$7:$C$106,$N252))</f>
        <v/>
      </c>
      <c r="D252" s="22">
        <f>IF($L252="","",INDEX(HSI!$D$7:$D$106,$N252))</f>
        <v/>
      </c>
      <c r="E252" s="123">
        <f>IF($L252="","",IF($P252=0,"TBA",IFERROR(INDEX(Grids!$C$12:$BO$111,$N252,$O252),"-")))</f>
        <v/>
      </c>
      <c r="F252" s="22">
        <f>IF($L252="","",INDEX(HSI!$F$7:$F$106,$N252))</f>
        <v/>
      </c>
      <c r="G252" s="123">
        <f>IF($L252="","",IF($P252=0,"TBA",IFERROR(INDEX(Grids!$BQ$12:$EC$111,$N252,$O252),"-")))</f>
        <v/>
      </c>
      <c r="H252" s="124">
        <f>IF($L252="","",SUM($G$10:$G252))</f>
        <v/>
      </c>
      <c r="I252" s="45">
        <f>IF($L252="","",IF(INT(($L252-INT($L252/10000000)*10000000)/1000000)=0,"Bloomberg projection",IF($P252=1,"ANNOUNCED","ANNOUNCED - amount TBA")))</f>
        <v/>
      </c>
      <c r="J252" s="46">
        <f>IF($L252="","",IF((OV_SWITCH="ON")*(COUNTIFS(OVR_TICKERS,INDEX(HSI!$C$7:$C$106,$N252),OVR_BASE,"&gt;=0")&gt;0)&gt;0,"stock overridden",""))</f>
        <v/>
      </c>
      <c r="L252" s="121">
        <f>IFERROR(IF(SMALL(Grids!$EE$12:$GQ$111,$M$7+243)&gt;=PEND_TO,"",SMALL(Grids!$EE$12:$GQ$111,$M$7+243)),"")</f>
        <v/>
      </c>
      <c r="M252" s="121">
        <f>IF($L252="","",INT($L252/1000000000))</f>
        <v/>
      </c>
      <c r="N252" s="121">
        <f>IF($L252="","",INT(($L252-INT($L252/1000000)*1000000)/1000))</f>
        <v/>
      </c>
      <c r="O252" s="121">
        <f>IF($L252="","",$L252-INT($L252/1000)*1000)</f>
        <v/>
      </c>
      <c r="P252" s="121">
        <f>IF($L252="","",INT(($L252-INT($L252/1000000000)*1000000000)/100000000))</f>
        <v/>
      </c>
    </row>
    <row r="253">
      <c r="B253" s="122">
        <f>IF($L253="","",$M253)</f>
        <v/>
      </c>
      <c r="C253" s="22">
        <f>IF($L253="","",INDEX(HSI!$C$7:$C$106,$N253))</f>
        <v/>
      </c>
      <c r="D253" s="22">
        <f>IF($L253="","",INDEX(HSI!$D$7:$D$106,$N253))</f>
        <v/>
      </c>
      <c r="E253" s="123">
        <f>IF($L253="","",IF($P253=0,"TBA",IFERROR(INDEX(Grids!$C$12:$BO$111,$N253,$O253),"-")))</f>
        <v/>
      </c>
      <c r="F253" s="22">
        <f>IF($L253="","",INDEX(HSI!$F$7:$F$106,$N253))</f>
        <v/>
      </c>
      <c r="G253" s="123">
        <f>IF($L253="","",IF($P253=0,"TBA",IFERROR(INDEX(Grids!$BQ$12:$EC$111,$N253,$O253),"-")))</f>
        <v/>
      </c>
      <c r="H253" s="124">
        <f>IF($L253="","",SUM($G$10:$G253))</f>
        <v/>
      </c>
      <c r="I253" s="45">
        <f>IF($L253="","",IF(INT(($L253-INT($L253/10000000)*10000000)/1000000)=0,"Bloomberg projection",IF($P253=1,"ANNOUNCED","ANNOUNCED - amount TBA")))</f>
        <v/>
      </c>
      <c r="J253" s="46">
        <f>IF($L253="","",IF((OV_SWITCH="ON")*(COUNTIFS(OVR_TICKERS,INDEX(HSI!$C$7:$C$106,$N253),OVR_BASE,"&gt;=0")&gt;0)&gt;0,"stock overridden",""))</f>
        <v/>
      </c>
      <c r="L253" s="121">
        <f>IFERROR(IF(SMALL(Grids!$EE$12:$GQ$111,$M$7+244)&gt;=PEND_TO,"",SMALL(Grids!$EE$12:$GQ$111,$M$7+244)),"")</f>
        <v/>
      </c>
      <c r="M253" s="121">
        <f>IF($L253="","",INT($L253/1000000000))</f>
        <v/>
      </c>
      <c r="N253" s="121">
        <f>IF($L253="","",INT(($L253-INT($L253/1000000)*1000000)/1000))</f>
        <v/>
      </c>
      <c r="O253" s="121">
        <f>IF($L253="","",$L253-INT($L253/1000)*1000)</f>
        <v/>
      </c>
      <c r="P253" s="121">
        <f>IF($L253="","",INT(($L253-INT($L253/1000000000)*1000000000)/100000000))</f>
        <v/>
      </c>
    </row>
    <row r="254">
      <c r="B254" s="122">
        <f>IF($L254="","",$M254)</f>
        <v/>
      </c>
      <c r="C254" s="22">
        <f>IF($L254="","",INDEX(HSI!$C$7:$C$106,$N254))</f>
        <v/>
      </c>
      <c r="D254" s="22">
        <f>IF($L254="","",INDEX(HSI!$D$7:$D$106,$N254))</f>
        <v/>
      </c>
      <c r="E254" s="123">
        <f>IF($L254="","",IF($P254=0,"TBA",IFERROR(INDEX(Grids!$C$12:$BO$111,$N254,$O254),"-")))</f>
        <v/>
      </c>
      <c r="F254" s="22">
        <f>IF($L254="","",INDEX(HSI!$F$7:$F$106,$N254))</f>
        <v/>
      </c>
      <c r="G254" s="123">
        <f>IF($L254="","",IF($P254=0,"TBA",IFERROR(INDEX(Grids!$BQ$12:$EC$111,$N254,$O254),"-")))</f>
        <v/>
      </c>
      <c r="H254" s="124">
        <f>IF($L254="","",SUM($G$10:$G254))</f>
        <v/>
      </c>
      <c r="I254" s="45">
        <f>IF($L254="","",IF(INT(($L254-INT($L254/10000000)*10000000)/1000000)=0,"Bloomberg projection",IF($P254=1,"ANNOUNCED","ANNOUNCED - amount TBA")))</f>
        <v/>
      </c>
      <c r="J254" s="46">
        <f>IF($L254="","",IF((OV_SWITCH="ON")*(COUNTIFS(OVR_TICKERS,INDEX(HSI!$C$7:$C$106,$N254),OVR_BASE,"&gt;=0")&gt;0)&gt;0,"stock overridden",""))</f>
        <v/>
      </c>
      <c r="L254" s="121">
        <f>IFERROR(IF(SMALL(Grids!$EE$12:$GQ$111,$M$7+245)&gt;=PEND_TO,"",SMALL(Grids!$EE$12:$GQ$111,$M$7+245)),"")</f>
        <v/>
      </c>
      <c r="M254" s="121">
        <f>IF($L254="","",INT($L254/1000000000))</f>
        <v/>
      </c>
      <c r="N254" s="121">
        <f>IF($L254="","",INT(($L254-INT($L254/1000000)*1000000)/1000))</f>
        <v/>
      </c>
      <c r="O254" s="121">
        <f>IF($L254="","",$L254-INT($L254/1000)*1000)</f>
        <v/>
      </c>
      <c r="P254" s="121">
        <f>IF($L254="","",INT(($L254-INT($L254/1000000000)*1000000000)/100000000))</f>
        <v/>
      </c>
    </row>
    <row r="255">
      <c r="B255" s="122">
        <f>IF($L255="","",$M255)</f>
        <v/>
      </c>
      <c r="C255" s="22">
        <f>IF($L255="","",INDEX(HSI!$C$7:$C$106,$N255))</f>
        <v/>
      </c>
      <c r="D255" s="22">
        <f>IF($L255="","",INDEX(HSI!$D$7:$D$106,$N255))</f>
        <v/>
      </c>
      <c r="E255" s="123">
        <f>IF($L255="","",IF($P255=0,"TBA",IFERROR(INDEX(Grids!$C$12:$BO$111,$N255,$O255),"-")))</f>
        <v/>
      </c>
      <c r="F255" s="22">
        <f>IF($L255="","",INDEX(HSI!$F$7:$F$106,$N255))</f>
        <v/>
      </c>
      <c r="G255" s="123">
        <f>IF($L255="","",IF($P255=0,"TBA",IFERROR(INDEX(Grids!$BQ$12:$EC$111,$N255,$O255),"-")))</f>
        <v/>
      </c>
      <c r="H255" s="124">
        <f>IF($L255="","",SUM($G$10:$G255))</f>
        <v/>
      </c>
      <c r="I255" s="45">
        <f>IF($L255="","",IF(INT(($L255-INT($L255/10000000)*10000000)/1000000)=0,"Bloomberg projection",IF($P255=1,"ANNOUNCED","ANNOUNCED - amount TBA")))</f>
        <v/>
      </c>
      <c r="J255" s="46">
        <f>IF($L255="","",IF((OV_SWITCH="ON")*(COUNTIFS(OVR_TICKERS,INDEX(HSI!$C$7:$C$106,$N255),OVR_BASE,"&gt;=0")&gt;0)&gt;0,"stock overridden",""))</f>
        <v/>
      </c>
      <c r="L255" s="121">
        <f>IFERROR(IF(SMALL(Grids!$EE$12:$GQ$111,$M$7+246)&gt;=PEND_TO,"",SMALL(Grids!$EE$12:$GQ$111,$M$7+246)),"")</f>
        <v/>
      </c>
      <c r="M255" s="121">
        <f>IF($L255="","",INT($L255/1000000000))</f>
        <v/>
      </c>
      <c r="N255" s="121">
        <f>IF($L255="","",INT(($L255-INT($L255/1000000)*1000000)/1000))</f>
        <v/>
      </c>
      <c r="O255" s="121">
        <f>IF($L255="","",$L255-INT($L255/1000)*1000)</f>
        <v/>
      </c>
      <c r="P255" s="121">
        <f>IF($L255="","",INT(($L255-INT($L255/1000000000)*1000000000)/100000000))</f>
        <v/>
      </c>
    </row>
    <row r="256">
      <c r="B256" s="122">
        <f>IF($L256="","",$M256)</f>
        <v/>
      </c>
      <c r="C256" s="22">
        <f>IF($L256="","",INDEX(HSI!$C$7:$C$106,$N256))</f>
        <v/>
      </c>
      <c r="D256" s="22">
        <f>IF($L256="","",INDEX(HSI!$D$7:$D$106,$N256))</f>
        <v/>
      </c>
      <c r="E256" s="123">
        <f>IF($L256="","",IF($P256=0,"TBA",IFERROR(INDEX(Grids!$C$12:$BO$111,$N256,$O256),"-")))</f>
        <v/>
      </c>
      <c r="F256" s="22">
        <f>IF($L256="","",INDEX(HSI!$F$7:$F$106,$N256))</f>
        <v/>
      </c>
      <c r="G256" s="123">
        <f>IF($L256="","",IF($P256=0,"TBA",IFERROR(INDEX(Grids!$BQ$12:$EC$111,$N256,$O256),"-")))</f>
        <v/>
      </c>
      <c r="H256" s="124">
        <f>IF($L256="","",SUM($G$10:$G256))</f>
        <v/>
      </c>
      <c r="I256" s="45">
        <f>IF($L256="","",IF(INT(($L256-INT($L256/10000000)*10000000)/1000000)=0,"Bloomberg projection",IF($P256=1,"ANNOUNCED","ANNOUNCED - amount TBA")))</f>
        <v/>
      </c>
      <c r="J256" s="46">
        <f>IF($L256="","",IF((OV_SWITCH="ON")*(COUNTIFS(OVR_TICKERS,INDEX(HSI!$C$7:$C$106,$N256),OVR_BASE,"&gt;=0")&gt;0)&gt;0,"stock overridden",""))</f>
        <v/>
      </c>
      <c r="L256" s="121">
        <f>IFERROR(IF(SMALL(Grids!$EE$12:$GQ$111,$M$7+247)&gt;=PEND_TO,"",SMALL(Grids!$EE$12:$GQ$111,$M$7+247)),"")</f>
        <v/>
      </c>
      <c r="M256" s="121">
        <f>IF($L256="","",INT($L256/1000000000))</f>
        <v/>
      </c>
      <c r="N256" s="121">
        <f>IF($L256="","",INT(($L256-INT($L256/1000000)*1000000)/1000))</f>
        <v/>
      </c>
      <c r="O256" s="121">
        <f>IF($L256="","",$L256-INT($L256/1000)*1000)</f>
        <v/>
      </c>
      <c r="P256" s="121">
        <f>IF($L256="","",INT(($L256-INT($L256/1000000000)*1000000000)/100000000))</f>
        <v/>
      </c>
    </row>
    <row r="257">
      <c r="B257" s="122">
        <f>IF($L257="","",$M257)</f>
        <v/>
      </c>
      <c r="C257" s="22">
        <f>IF($L257="","",INDEX(HSI!$C$7:$C$106,$N257))</f>
        <v/>
      </c>
      <c r="D257" s="22">
        <f>IF($L257="","",INDEX(HSI!$D$7:$D$106,$N257))</f>
        <v/>
      </c>
      <c r="E257" s="123">
        <f>IF($L257="","",IF($P257=0,"TBA",IFERROR(INDEX(Grids!$C$12:$BO$111,$N257,$O257),"-")))</f>
        <v/>
      </c>
      <c r="F257" s="22">
        <f>IF($L257="","",INDEX(HSI!$F$7:$F$106,$N257))</f>
        <v/>
      </c>
      <c r="G257" s="123">
        <f>IF($L257="","",IF($P257=0,"TBA",IFERROR(INDEX(Grids!$BQ$12:$EC$111,$N257,$O257),"-")))</f>
        <v/>
      </c>
      <c r="H257" s="124">
        <f>IF($L257="","",SUM($G$10:$G257))</f>
        <v/>
      </c>
      <c r="I257" s="45">
        <f>IF($L257="","",IF(INT(($L257-INT($L257/10000000)*10000000)/1000000)=0,"Bloomberg projection",IF($P257=1,"ANNOUNCED","ANNOUNCED - amount TBA")))</f>
        <v/>
      </c>
      <c r="J257" s="46">
        <f>IF($L257="","",IF((OV_SWITCH="ON")*(COUNTIFS(OVR_TICKERS,INDEX(HSI!$C$7:$C$106,$N257),OVR_BASE,"&gt;=0")&gt;0)&gt;0,"stock overridden",""))</f>
        <v/>
      </c>
      <c r="L257" s="121">
        <f>IFERROR(IF(SMALL(Grids!$EE$12:$GQ$111,$M$7+248)&gt;=PEND_TO,"",SMALL(Grids!$EE$12:$GQ$111,$M$7+248)),"")</f>
        <v/>
      </c>
      <c r="M257" s="121">
        <f>IF($L257="","",INT($L257/1000000000))</f>
        <v/>
      </c>
      <c r="N257" s="121">
        <f>IF($L257="","",INT(($L257-INT($L257/1000000)*1000000)/1000))</f>
        <v/>
      </c>
      <c r="O257" s="121">
        <f>IF($L257="","",$L257-INT($L257/1000)*1000)</f>
        <v/>
      </c>
      <c r="P257" s="121">
        <f>IF($L257="","",INT(($L257-INT($L257/1000000000)*1000000000)/100000000))</f>
        <v/>
      </c>
    </row>
    <row r="258">
      <c r="B258" s="122">
        <f>IF($L258="","",$M258)</f>
        <v/>
      </c>
      <c r="C258" s="22">
        <f>IF($L258="","",INDEX(HSI!$C$7:$C$106,$N258))</f>
        <v/>
      </c>
      <c r="D258" s="22">
        <f>IF($L258="","",INDEX(HSI!$D$7:$D$106,$N258))</f>
        <v/>
      </c>
      <c r="E258" s="123">
        <f>IF($L258="","",IF($P258=0,"TBA",IFERROR(INDEX(Grids!$C$12:$BO$111,$N258,$O258),"-")))</f>
        <v/>
      </c>
      <c r="F258" s="22">
        <f>IF($L258="","",INDEX(HSI!$F$7:$F$106,$N258))</f>
        <v/>
      </c>
      <c r="G258" s="123">
        <f>IF($L258="","",IF($P258=0,"TBA",IFERROR(INDEX(Grids!$BQ$12:$EC$111,$N258,$O258),"-")))</f>
        <v/>
      </c>
      <c r="H258" s="124">
        <f>IF($L258="","",SUM($G$10:$G258))</f>
        <v/>
      </c>
      <c r="I258" s="45">
        <f>IF($L258="","",IF(INT(($L258-INT($L258/10000000)*10000000)/1000000)=0,"Bloomberg projection",IF($P258=1,"ANNOUNCED","ANNOUNCED - amount TBA")))</f>
        <v/>
      </c>
      <c r="J258" s="46">
        <f>IF($L258="","",IF((OV_SWITCH="ON")*(COUNTIFS(OVR_TICKERS,INDEX(HSI!$C$7:$C$106,$N258),OVR_BASE,"&gt;=0")&gt;0)&gt;0,"stock overridden",""))</f>
        <v/>
      </c>
      <c r="L258" s="121">
        <f>IFERROR(IF(SMALL(Grids!$EE$12:$GQ$111,$M$7+249)&gt;=PEND_TO,"",SMALL(Grids!$EE$12:$GQ$111,$M$7+249)),"")</f>
        <v/>
      </c>
      <c r="M258" s="121">
        <f>IF($L258="","",INT($L258/1000000000))</f>
        <v/>
      </c>
      <c r="N258" s="121">
        <f>IF($L258="","",INT(($L258-INT($L258/1000000)*1000000)/1000))</f>
        <v/>
      </c>
      <c r="O258" s="121">
        <f>IF($L258="","",$L258-INT($L258/1000)*1000)</f>
        <v/>
      </c>
      <c r="P258" s="121">
        <f>IF($L258="","",INT(($L258-INT($L258/1000000000)*1000000000)/100000000))</f>
        <v/>
      </c>
    </row>
    <row r="259">
      <c r="B259" s="122">
        <f>IF($L259="","",$M259)</f>
        <v/>
      </c>
      <c r="C259" s="22">
        <f>IF($L259="","",INDEX(HSI!$C$7:$C$106,$N259))</f>
        <v/>
      </c>
      <c r="D259" s="22">
        <f>IF($L259="","",INDEX(HSI!$D$7:$D$106,$N259))</f>
        <v/>
      </c>
      <c r="E259" s="123">
        <f>IF($L259="","",IF($P259=0,"TBA",IFERROR(INDEX(Grids!$C$12:$BO$111,$N259,$O259),"-")))</f>
        <v/>
      </c>
      <c r="F259" s="22">
        <f>IF($L259="","",INDEX(HSI!$F$7:$F$106,$N259))</f>
        <v/>
      </c>
      <c r="G259" s="123">
        <f>IF($L259="","",IF($P259=0,"TBA",IFERROR(INDEX(Grids!$BQ$12:$EC$111,$N259,$O259),"-")))</f>
        <v/>
      </c>
      <c r="H259" s="124">
        <f>IF($L259="","",SUM($G$10:$G259))</f>
        <v/>
      </c>
      <c r="I259" s="45">
        <f>IF($L259="","",IF(INT(($L259-INT($L259/10000000)*10000000)/1000000)=0,"Bloomberg projection",IF($P259=1,"ANNOUNCED","ANNOUNCED - amount TBA")))</f>
        <v/>
      </c>
      <c r="J259" s="46">
        <f>IF($L259="","",IF((OV_SWITCH="ON")*(COUNTIFS(OVR_TICKERS,INDEX(HSI!$C$7:$C$106,$N259),OVR_BASE,"&gt;=0")&gt;0)&gt;0,"stock overridden",""))</f>
        <v/>
      </c>
      <c r="L259" s="121">
        <f>IFERROR(IF(SMALL(Grids!$EE$12:$GQ$111,$M$7+250)&gt;=PEND_TO,"",SMALL(Grids!$EE$12:$GQ$111,$M$7+250)),"")</f>
        <v/>
      </c>
      <c r="M259" s="121">
        <f>IF($L259="","",INT($L259/1000000000))</f>
        <v/>
      </c>
      <c r="N259" s="121">
        <f>IF($L259="","",INT(($L259-INT($L259/1000000)*1000000)/1000))</f>
        <v/>
      </c>
      <c r="O259" s="121">
        <f>IF($L259="","",$L259-INT($L259/1000)*1000)</f>
        <v/>
      </c>
      <c r="P259" s="121">
        <f>IF($L259="","",INT(($L259-INT($L259/1000000000)*1000000000)/100000000))</f>
        <v/>
      </c>
    </row>
    <row r="260">
      <c r="B260" s="122">
        <f>IF($L260="","",$M260)</f>
        <v/>
      </c>
      <c r="C260" s="22">
        <f>IF($L260="","",INDEX(HSI!$C$7:$C$106,$N260))</f>
        <v/>
      </c>
      <c r="D260" s="22">
        <f>IF($L260="","",INDEX(HSI!$D$7:$D$106,$N260))</f>
        <v/>
      </c>
      <c r="E260" s="123">
        <f>IF($L260="","",IF($P260=0,"TBA",IFERROR(INDEX(Grids!$C$12:$BO$111,$N260,$O260),"-")))</f>
        <v/>
      </c>
      <c r="F260" s="22">
        <f>IF($L260="","",INDEX(HSI!$F$7:$F$106,$N260))</f>
        <v/>
      </c>
      <c r="G260" s="123">
        <f>IF($L260="","",IF($P260=0,"TBA",IFERROR(INDEX(Grids!$BQ$12:$EC$111,$N260,$O260),"-")))</f>
        <v/>
      </c>
      <c r="H260" s="124">
        <f>IF($L260="","",SUM($G$10:$G260))</f>
        <v/>
      </c>
      <c r="I260" s="45">
        <f>IF($L260="","",IF(INT(($L260-INT($L260/10000000)*10000000)/1000000)=0,"Bloomberg projection",IF($P260=1,"ANNOUNCED","ANNOUNCED - amount TBA")))</f>
        <v/>
      </c>
      <c r="J260" s="46">
        <f>IF($L260="","",IF((OV_SWITCH="ON")*(COUNTIFS(OVR_TICKERS,INDEX(HSI!$C$7:$C$106,$N260),OVR_BASE,"&gt;=0")&gt;0)&gt;0,"stock overridden",""))</f>
        <v/>
      </c>
      <c r="L260" s="121">
        <f>IFERROR(IF(SMALL(Grids!$EE$12:$GQ$111,$M$7+251)&gt;=PEND_TO,"",SMALL(Grids!$EE$12:$GQ$111,$M$7+251)),"")</f>
        <v/>
      </c>
      <c r="M260" s="121">
        <f>IF($L260="","",INT($L260/1000000000))</f>
        <v/>
      </c>
      <c r="N260" s="121">
        <f>IF($L260="","",INT(($L260-INT($L260/1000000)*1000000)/1000))</f>
        <v/>
      </c>
      <c r="O260" s="121">
        <f>IF($L260="","",$L260-INT($L260/1000)*1000)</f>
        <v/>
      </c>
      <c r="P260" s="121">
        <f>IF($L260="","",INT(($L260-INT($L260/1000000000)*1000000000)/100000000))</f>
        <v/>
      </c>
    </row>
    <row r="261">
      <c r="B261" s="122">
        <f>IF($L261="","",$M261)</f>
        <v/>
      </c>
      <c r="C261" s="22">
        <f>IF($L261="","",INDEX(HSI!$C$7:$C$106,$N261))</f>
        <v/>
      </c>
      <c r="D261" s="22">
        <f>IF($L261="","",INDEX(HSI!$D$7:$D$106,$N261))</f>
        <v/>
      </c>
      <c r="E261" s="123">
        <f>IF($L261="","",IF($P261=0,"TBA",IFERROR(INDEX(Grids!$C$12:$BO$111,$N261,$O261),"-")))</f>
        <v/>
      </c>
      <c r="F261" s="22">
        <f>IF($L261="","",INDEX(HSI!$F$7:$F$106,$N261))</f>
        <v/>
      </c>
      <c r="G261" s="123">
        <f>IF($L261="","",IF($P261=0,"TBA",IFERROR(INDEX(Grids!$BQ$12:$EC$111,$N261,$O261),"-")))</f>
        <v/>
      </c>
      <c r="H261" s="124">
        <f>IF($L261="","",SUM($G$10:$G261))</f>
        <v/>
      </c>
      <c r="I261" s="45">
        <f>IF($L261="","",IF(INT(($L261-INT($L261/10000000)*10000000)/1000000)=0,"Bloomberg projection",IF($P261=1,"ANNOUNCED","ANNOUNCED - amount TBA")))</f>
        <v/>
      </c>
      <c r="J261" s="46">
        <f>IF($L261="","",IF((OV_SWITCH="ON")*(COUNTIFS(OVR_TICKERS,INDEX(HSI!$C$7:$C$106,$N261),OVR_BASE,"&gt;=0")&gt;0)&gt;0,"stock overridden",""))</f>
        <v/>
      </c>
      <c r="L261" s="121">
        <f>IFERROR(IF(SMALL(Grids!$EE$12:$GQ$111,$M$7+252)&gt;=PEND_TO,"",SMALL(Grids!$EE$12:$GQ$111,$M$7+252)),"")</f>
        <v/>
      </c>
      <c r="M261" s="121">
        <f>IF($L261="","",INT($L261/1000000000))</f>
        <v/>
      </c>
      <c r="N261" s="121">
        <f>IF($L261="","",INT(($L261-INT($L261/1000000)*1000000)/1000))</f>
        <v/>
      </c>
      <c r="O261" s="121">
        <f>IF($L261="","",$L261-INT($L261/1000)*1000)</f>
        <v/>
      </c>
      <c r="P261" s="121">
        <f>IF($L261="","",INT(($L261-INT($L261/1000000000)*1000000000)/100000000))</f>
        <v/>
      </c>
    </row>
    <row r="262">
      <c r="B262" s="122">
        <f>IF($L262="","",$M262)</f>
        <v/>
      </c>
      <c r="C262" s="22">
        <f>IF($L262="","",INDEX(HSI!$C$7:$C$106,$N262))</f>
        <v/>
      </c>
      <c r="D262" s="22">
        <f>IF($L262="","",INDEX(HSI!$D$7:$D$106,$N262))</f>
        <v/>
      </c>
      <c r="E262" s="123">
        <f>IF($L262="","",IF($P262=0,"TBA",IFERROR(INDEX(Grids!$C$12:$BO$111,$N262,$O262),"-")))</f>
        <v/>
      </c>
      <c r="F262" s="22">
        <f>IF($L262="","",INDEX(HSI!$F$7:$F$106,$N262))</f>
        <v/>
      </c>
      <c r="G262" s="123">
        <f>IF($L262="","",IF($P262=0,"TBA",IFERROR(INDEX(Grids!$BQ$12:$EC$111,$N262,$O262),"-")))</f>
        <v/>
      </c>
      <c r="H262" s="124">
        <f>IF($L262="","",SUM($G$10:$G262))</f>
        <v/>
      </c>
      <c r="I262" s="45">
        <f>IF($L262="","",IF(INT(($L262-INT($L262/10000000)*10000000)/1000000)=0,"Bloomberg projection",IF($P262=1,"ANNOUNCED","ANNOUNCED - amount TBA")))</f>
        <v/>
      </c>
      <c r="J262" s="46">
        <f>IF($L262="","",IF((OV_SWITCH="ON")*(COUNTIFS(OVR_TICKERS,INDEX(HSI!$C$7:$C$106,$N262),OVR_BASE,"&gt;=0")&gt;0)&gt;0,"stock overridden",""))</f>
        <v/>
      </c>
      <c r="L262" s="121">
        <f>IFERROR(IF(SMALL(Grids!$EE$12:$GQ$111,$M$7+253)&gt;=PEND_TO,"",SMALL(Grids!$EE$12:$GQ$111,$M$7+253)),"")</f>
        <v/>
      </c>
      <c r="M262" s="121">
        <f>IF($L262="","",INT($L262/1000000000))</f>
        <v/>
      </c>
      <c r="N262" s="121">
        <f>IF($L262="","",INT(($L262-INT($L262/1000000)*1000000)/1000))</f>
        <v/>
      </c>
      <c r="O262" s="121">
        <f>IF($L262="","",$L262-INT($L262/1000)*1000)</f>
        <v/>
      </c>
      <c r="P262" s="121">
        <f>IF($L262="","",INT(($L262-INT($L262/1000000000)*1000000000)/100000000))</f>
        <v/>
      </c>
    </row>
    <row r="263">
      <c r="B263" s="122">
        <f>IF($L263="","",$M263)</f>
        <v/>
      </c>
      <c r="C263" s="22">
        <f>IF($L263="","",INDEX(HSI!$C$7:$C$106,$N263))</f>
        <v/>
      </c>
      <c r="D263" s="22">
        <f>IF($L263="","",INDEX(HSI!$D$7:$D$106,$N263))</f>
        <v/>
      </c>
      <c r="E263" s="123">
        <f>IF($L263="","",IF($P263=0,"TBA",IFERROR(INDEX(Grids!$C$12:$BO$111,$N263,$O263),"-")))</f>
        <v/>
      </c>
      <c r="F263" s="22">
        <f>IF($L263="","",INDEX(HSI!$F$7:$F$106,$N263))</f>
        <v/>
      </c>
      <c r="G263" s="123">
        <f>IF($L263="","",IF($P263=0,"TBA",IFERROR(INDEX(Grids!$BQ$12:$EC$111,$N263,$O263),"-")))</f>
        <v/>
      </c>
      <c r="H263" s="124">
        <f>IF($L263="","",SUM($G$10:$G263))</f>
        <v/>
      </c>
      <c r="I263" s="45">
        <f>IF($L263="","",IF(INT(($L263-INT($L263/10000000)*10000000)/1000000)=0,"Bloomberg projection",IF($P263=1,"ANNOUNCED","ANNOUNCED - amount TBA")))</f>
        <v/>
      </c>
      <c r="J263" s="46">
        <f>IF($L263="","",IF((OV_SWITCH="ON")*(COUNTIFS(OVR_TICKERS,INDEX(HSI!$C$7:$C$106,$N263),OVR_BASE,"&gt;=0")&gt;0)&gt;0,"stock overridden",""))</f>
        <v/>
      </c>
      <c r="L263" s="121">
        <f>IFERROR(IF(SMALL(Grids!$EE$12:$GQ$111,$M$7+254)&gt;=PEND_TO,"",SMALL(Grids!$EE$12:$GQ$111,$M$7+254)),"")</f>
        <v/>
      </c>
      <c r="M263" s="121">
        <f>IF($L263="","",INT($L263/1000000000))</f>
        <v/>
      </c>
      <c r="N263" s="121">
        <f>IF($L263="","",INT(($L263-INT($L263/1000000)*1000000)/1000))</f>
        <v/>
      </c>
      <c r="O263" s="121">
        <f>IF($L263="","",$L263-INT($L263/1000)*1000)</f>
        <v/>
      </c>
      <c r="P263" s="121">
        <f>IF($L263="","",INT(($L263-INT($L263/1000000000)*1000000000)/100000000))</f>
        <v/>
      </c>
    </row>
    <row r="264">
      <c r="B264" s="122">
        <f>IF($L264="","",$M264)</f>
        <v/>
      </c>
      <c r="C264" s="22">
        <f>IF($L264="","",INDEX(HSI!$C$7:$C$106,$N264))</f>
        <v/>
      </c>
      <c r="D264" s="22">
        <f>IF($L264="","",INDEX(HSI!$D$7:$D$106,$N264))</f>
        <v/>
      </c>
      <c r="E264" s="123">
        <f>IF($L264="","",IF($P264=0,"TBA",IFERROR(INDEX(Grids!$C$12:$BO$111,$N264,$O264),"-")))</f>
        <v/>
      </c>
      <c r="F264" s="22">
        <f>IF($L264="","",INDEX(HSI!$F$7:$F$106,$N264))</f>
        <v/>
      </c>
      <c r="G264" s="123">
        <f>IF($L264="","",IF($P264=0,"TBA",IFERROR(INDEX(Grids!$BQ$12:$EC$111,$N264,$O264),"-")))</f>
        <v/>
      </c>
      <c r="H264" s="124">
        <f>IF($L264="","",SUM($G$10:$G264))</f>
        <v/>
      </c>
      <c r="I264" s="45">
        <f>IF($L264="","",IF(INT(($L264-INT($L264/10000000)*10000000)/1000000)=0,"Bloomberg projection",IF($P264=1,"ANNOUNCED","ANNOUNCED - amount TBA")))</f>
        <v/>
      </c>
      <c r="J264" s="46">
        <f>IF($L264="","",IF((OV_SWITCH="ON")*(COUNTIFS(OVR_TICKERS,INDEX(HSI!$C$7:$C$106,$N264),OVR_BASE,"&gt;=0")&gt;0)&gt;0,"stock overridden",""))</f>
        <v/>
      </c>
      <c r="L264" s="121">
        <f>IFERROR(IF(SMALL(Grids!$EE$12:$GQ$111,$M$7+255)&gt;=PEND_TO,"",SMALL(Grids!$EE$12:$GQ$111,$M$7+255)),"")</f>
        <v/>
      </c>
      <c r="M264" s="121">
        <f>IF($L264="","",INT($L264/1000000000))</f>
        <v/>
      </c>
      <c r="N264" s="121">
        <f>IF($L264="","",INT(($L264-INT($L264/1000000)*1000000)/1000))</f>
        <v/>
      </c>
      <c r="O264" s="121">
        <f>IF($L264="","",$L264-INT($L264/1000)*1000)</f>
        <v/>
      </c>
      <c r="P264" s="121">
        <f>IF($L264="","",INT(($L264-INT($L264/1000000000)*1000000000)/100000000))</f>
        <v/>
      </c>
    </row>
    <row r="265">
      <c r="B265" s="122">
        <f>IF($L265="","",$M265)</f>
        <v/>
      </c>
      <c r="C265" s="22">
        <f>IF($L265="","",INDEX(HSI!$C$7:$C$106,$N265))</f>
        <v/>
      </c>
      <c r="D265" s="22">
        <f>IF($L265="","",INDEX(HSI!$D$7:$D$106,$N265))</f>
        <v/>
      </c>
      <c r="E265" s="123">
        <f>IF($L265="","",IF($P265=0,"TBA",IFERROR(INDEX(Grids!$C$12:$BO$111,$N265,$O265),"-")))</f>
        <v/>
      </c>
      <c r="F265" s="22">
        <f>IF($L265="","",INDEX(HSI!$F$7:$F$106,$N265))</f>
        <v/>
      </c>
      <c r="G265" s="123">
        <f>IF($L265="","",IF($P265=0,"TBA",IFERROR(INDEX(Grids!$BQ$12:$EC$111,$N265,$O265),"-")))</f>
        <v/>
      </c>
      <c r="H265" s="124">
        <f>IF($L265="","",SUM($G$10:$G265))</f>
        <v/>
      </c>
      <c r="I265" s="45">
        <f>IF($L265="","",IF(INT(($L265-INT($L265/10000000)*10000000)/1000000)=0,"Bloomberg projection",IF($P265=1,"ANNOUNCED","ANNOUNCED - amount TBA")))</f>
        <v/>
      </c>
      <c r="J265" s="46">
        <f>IF($L265="","",IF((OV_SWITCH="ON")*(COUNTIFS(OVR_TICKERS,INDEX(HSI!$C$7:$C$106,$N265),OVR_BASE,"&gt;=0")&gt;0)&gt;0,"stock overridden",""))</f>
        <v/>
      </c>
      <c r="L265" s="121">
        <f>IFERROR(IF(SMALL(Grids!$EE$12:$GQ$111,$M$7+256)&gt;=PEND_TO,"",SMALL(Grids!$EE$12:$GQ$111,$M$7+256)),"")</f>
        <v/>
      </c>
      <c r="M265" s="121">
        <f>IF($L265="","",INT($L265/1000000000))</f>
        <v/>
      </c>
      <c r="N265" s="121">
        <f>IF($L265="","",INT(($L265-INT($L265/1000000)*1000000)/1000))</f>
        <v/>
      </c>
      <c r="O265" s="121">
        <f>IF($L265="","",$L265-INT($L265/1000)*1000)</f>
        <v/>
      </c>
      <c r="P265" s="121">
        <f>IF($L265="","",INT(($L265-INT($L265/1000000000)*1000000000)/100000000))</f>
        <v/>
      </c>
    </row>
    <row r="266">
      <c r="B266" s="122">
        <f>IF($L266="","",$M266)</f>
        <v/>
      </c>
      <c r="C266" s="22">
        <f>IF($L266="","",INDEX(HSI!$C$7:$C$106,$N266))</f>
        <v/>
      </c>
      <c r="D266" s="22">
        <f>IF($L266="","",INDEX(HSI!$D$7:$D$106,$N266))</f>
        <v/>
      </c>
      <c r="E266" s="123">
        <f>IF($L266="","",IF($P266=0,"TBA",IFERROR(INDEX(Grids!$C$12:$BO$111,$N266,$O266),"-")))</f>
        <v/>
      </c>
      <c r="F266" s="22">
        <f>IF($L266="","",INDEX(HSI!$F$7:$F$106,$N266))</f>
        <v/>
      </c>
      <c r="G266" s="123">
        <f>IF($L266="","",IF($P266=0,"TBA",IFERROR(INDEX(Grids!$BQ$12:$EC$111,$N266,$O266),"-")))</f>
        <v/>
      </c>
      <c r="H266" s="124">
        <f>IF($L266="","",SUM($G$10:$G266))</f>
        <v/>
      </c>
      <c r="I266" s="45">
        <f>IF($L266="","",IF(INT(($L266-INT($L266/10000000)*10000000)/1000000)=0,"Bloomberg projection",IF($P266=1,"ANNOUNCED","ANNOUNCED - amount TBA")))</f>
        <v/>
      </c>
      <c r="J266" s="46">
        <f>IF($L266="","",IF((OV_SWITCH="ON")*(COUNTIFS(OVR_TICKERS,INDEX(HSI!$C$7:$C$106,$N266),OVR_BASE,"&gt;=0")&gt;0)&gt;0,"stock overridden",""))</f>
        <v/>
      </c>
      <c r="L266" s="121">
        <f>IFERROR(IF(SMALL(Grids!$EE$12:$GQ$111,$M$7+257)&gt;=PEND_TO,"",SMALL(Grids!$EE$12:$GQ$111,$M$7+257)),"")</f>
        <v/>
      </c>
      <c r="M266" s="121">
        <f>IF($L266="","",INT($L266/1000000000))</f>
        <v/>
      </c>
      <c r="N266" s="121">
        <f>IF($L266="","",INT(($L266-INT($L266/1000000)*1000000)/1000))</f>
        <v/>
      </c>
      <c r="O266" s="121">
        <f>IF($L266="","",$L266-INT($L266/1000)*1000)</f>
        <v/>
      </c>
      <c r="P266" s="121">
        <f>IF($L266="","",INT(($L266-INT($L266/1000000000)*1000000000)/100000000))</f>
        <v/>
      </c>
    </row>
    <row r="267">
      <c r="B267" s="122">
        <f>IF($L267="","",$M267)</f>
        <v/>
      </c>
      <c r="C267" s="22">
        <f>IF($L267="","",INDEX(HSI!$C$7:$C$106,$N267))</f>
        <v/>
      </c>
      <c r="D267" s="22">
        <f>IF($L267="","",INDEX(HSI!$D$7:$D$106,$N267))</f>
        <v/>
      </c>
      <c r="E267" s="123">
        <f>IF($L267="","",IF($P267=0,"TBA",IFERROR(INDEX(Grids!$C$12:$BO$111,$N267,$O267),"-")))</f>
        <v/>
      </c>
      <c r="F267" s="22">
        <f>IF($L267="","",INDEX(HSI!$F$7:$F$106,$N267))</f>
        <v/>
      </c>
      <c r="G267" s="123">
        <f>IF($L267="","",IF($P267=0,"TBA",IFERROR(INDEX(Grids!$BQ$12:$EC$111,$N267,$O267),"-")))</f>
        <v/>
      </c>
      <c r="H267" s="124">
        <f>IF($L267="","",SUM($G$10:$G267))</f>
        <v/>
      </c>
      <c r="I267" s="45">
        <f>IF($L267="","",IF(INT(($L267-INT($L267/10000000)*10000000)/1000000)=0,"Bloomberg projection",IF($P267=1,"ANNOUNCED","ANNOUNCED - amount TBA")))</f>
        <v/>
      </c>
      <c r="J267" s="46">
        <f>IF($L267="","",IF((OV_SWITCH="ON")*(COUNTIFS(OVR_TICKERS,INDEX(HSI!$C$7:$C$106,$N267),OVR_BASE,"&gt;=0")&gt;0)&gt;0,"stock overridden",""))</f>
        <v/>
      </c>
      <c r="L267" s="121">
        <f>IFERROR(IF(SMALL(Grids!$EE$12:$GQ$111,$M$7+258)&gt;=PEND_TO,"",SMALL(Grids!$EE$12:$GQ$111,$M$7+258)),"")</f>
        <v/>
      </c>
      <c r="M267" s="121">
        <f>IF($L267="","",INT($L267/1000000000))</f>
        <v/>
      </c>
      <c r="N267" s="121">
        <f>IF($L267="","",INT(($L267-INT($L267/1000000)*1000000)/1000))</f>
        <v/>
      </c>
      <c r="O267" s="121">
        <f>IF($L267="","",$L267-INT($L267/1000)*1000)</f>
        <v/>
      </c>
      <c r="P267" s="121">
        <f>IF($L267="","",INT(($L267-INT($L267/1000000000)*1000000000)/100000000))</f>
        <v/>
      </c>
    </row>
    <row r="268">
      <c r="B268" s="122">
        <f>IF($L268="","",$M268)</f>
        <v/>
      </c>
      <c r="C268" s="22">
        <f>IF($L268="","",INDEX(HSI!$C$7:$C$106,$N268))</f>
        <v/>
      </c>
      <c r="D268" s="22">
        <f>IF($L268="","",INDEX(HSI!$D$7:$D$106,$N268))</f>
        <v/>
      </c>
      <c r="E268" s="123">
        <f>IF($L268="","",IF($P268=0,"TBA",IFERROR(INDEX(Grids!$C$12:$BO$111,$N268,$O268),"-")))</f>
        <v/>
      </c>
      <c r="F268" s="22">
        <f>IF($L268="","",INDEX(HSI!$F$7:$F$106,$N268))</f>
        <v/>
      </c>
      <c r="G268" s="123">
        <f>IF($L268="","",IF($P268=0,"TBA",IFERROR(INDEX(Grids!$BQ$12:$EC$111,$N268,$O268),"-")))</f>
        <v/>
      </c>
      <c r="H268" s="124">
        <f>IF($L268="","",SUM($G$10:$G268))</f>
        <v/>
      </c>
      <c r="I268" s="45">
        <f>IF($L268="","",IF(INT(($L268-INT($L268/10000000)*10000000)/1000000)=0,"Bloomberg projection",IF($P268=1,"ANNOUNCED","ANNOUNCED - amount TBA")))</f>
        <v/>
      </c>
      <c r="J268" s="46">
        <f>IF($L268="","",IF((OV_SWITCH="ON")*(COUNTIFS(OVR_TICKERS,INDEX(HSI!$C$7:$C$106,$N268),OVR_BASE,"&gt;=0")&gt;0)&gt;0,"stock overridden",""))</f>
        <v/>
      </c>
      <c r="L268" s="121">
        <f>IFERROR(IF(SMALL(Grids!$EE$12:$GQ$111,$M$7+259)&gt;=PEND_TO,"",SMALL(Grids!$EE$12:$GQ$111,$M$7+259)),"")</f>
        <v/>
      </c>
      <c r="M268" s="121">
        <f>IF($L268="","",INT($L268/1000000000))</f>
        <v/>
      </c>
      <c r="N268" s="121">
        <f>IF($L268="","",INT(($L268-INT($L268/1000000)*1000000)/1000))</f>
        <v/>
      </c>
      <c r="O268" s="121">
        <f>IF($L268="","",$L268-INT($L268/1000)*1000)</f>
        <v/>
      </c>
      <c r="P268" s="121">
        <f>IF($L268="","",INT(($L268-INT($L268/1000000000)*1000000000)/100000000))</f>
        <v/>
      </c>
    </row>
    <row r="269">
      <c r="B269" s="122">
        <f>IF($L269="","",$M269)</f>
        <v/>
      </c>
      <c r="C269" s="22">
        <f>IF($L269="","",INDEX(HSI!$C$7:$C$106,$N269))</f>
        <v/>
      </c>
      <c r="D269" s="22">
        <f>IF($L269="","",INDEX(HSI!$D$7:$D$106,$N269))</f>
        <v/>
      </c>
      <c r="E269" s="123">
        <f>IF($L269="","",IF($P269=0,"TBA",IFERROR(INDEX(Grids!$C$12:$BO$111,$N269,$O269),"-")))</f>
        <v/>
      </c>
      <c r="F269" s="22">
        <f>IF($L269="","",INDEX(HSI!$F$7:$F$106,$N269))</f>
        <v/>
      </c>
      <c r="G269" s="123">
        <f>IF($L269="","",IF($P269=0,"TBA",IFERROR(INDEX(Grids!$BQ$12:$EC$111,$N269,$O269),"-")))</f>
        <v/>
      </c>
      <c r="H269" s="124">
        <f>IF($L269="","",SUM($G$10:$G269))</f>
        <v/>
      </c>
      <c r="I269" s="45">
        <f>IF($L269="","",IF(INT(($L269-INT($L269/10000000)*10000000)/1000000)=0,"Bloomberg projection",IF($P269=1,"ANNOUNCED","ANNOUNCED - amount TBA")))</f>
        <v/>
      </c>
      <c r="J269" s="46">
        <f>IF($L269="","",IF((OV_SWITCH="ON")*(COUNTIFS(OVR_TICKERS,INDEX(HSI!$C$7:$C$106,$N269),OVR_BASE,"&gt;=0")&gt;0)&gt;0,"stock overridden",""))</f>
        <v/>
      </c>
      <c r="L269" s="121">
        <f>IFERROR(IF(SMALL(Grids!$EE$12:$GQ$111,$M$7+260)&gt;=PEND_TO,"",SMALL(Grids!$EE$12:$GQ$111,$M$7+260)),"")</f>
        <v/>
      </c>
      <c r="M269" s="121">
        <f>IF($L269="","",INT($L269/1000000000))</f>
        <v/>
      </c>
      <c r="N269" s="121">
        <f>IF($L269="","",INT(($L269-INT($L269/1000000)*1000000)/1000))</f>
        <v/>
      </c>
      <c r="O269" s="121">
        <f>IF($L269="","",$L269-INT($L269/1000)*1000)</f>
        <v/>
      </c>
      <c r="P269" s="121">
        <f>IF($L269="","",INT(($L269-INT($L269/1000000000)*1000000000)/100000000))</f>
        <v/>
      </c>
    </row>
    <row r="270">
      <c r="B270" s="122">
        <f>IF($L270="","",$M270)</f>
        <v/>
      </c>
      <c r="C270" s="22">
        <f>IF($L270="","",INDEX(HSI!$C$7:$C$106,$N270))</f>
        <v/>
      </c>
      <c r="D270" s="22">
        <f>IF($L270="","",INDEX(HSI!$D$7:$D$106,$N270))</f>
        <v/>
      </c>
      <c r="E270" s="123">
        <f>IF($L270="","",IF($P270=0,"TBA",IFERROR(INDEX(Grids!$C$12:$BO$111,$N270,$O270),"-")))</f>
        <v/>
      </c>
      <c r="F270" s="22">
        <f>IF($L270="","",INDEX(HSI!$F$7:$F$106,$N270))</f>
        <v/>
      </c>
      <c r="G270" s="123">
        <f>IF($L270="","",IF($P270=0,"TBA",IFERROR(INDEX(Grids!$BQ$12:$EC$111,$N270,$O270),"-")))</f>
        <v/>
      </c>
      <c r="H270" s="124">
        <f>IF($L270="","",SUM($G$10:$G270))</f>
        <v/>
      </c>
      <c r="I270" s="45">
        <f>IF($L270="","",IF(INT(($L270-INT($L270/10000000)*10000000)/1000000)=0,"Bloomberg projection",IF($P270=1,"ANNOUNCED","ANNOUNCED - amount TBA")))</f>
        <v/>
      </c>
      <c r="J270" s="46">
        <f>IF($L270="","",IF((OV_SWITCH="ON")*(COUNTIFS(OVR_TICKERS,INDEX(HSI!$C$7:$C$106,$N270),OVR_BASE,"&gt;=0")&gt;0)&gt;0,"stock overridden",""))</f>
        <v/>
      </c>
      <c r="L270" s="121">
        <f>IFERROR(IF(SMALL(Grids!$EE$12:$GQ$111,$M$7+261)&gt;=PEND_TO,"",SMALL(Grids!$EE$12:$GQ$111,$M$7+261)),"")</f>
        <v/>
      </c>
      <c r="M270" s="121">
        <f>IF($L270="","",INT($L270/1000000000))</f>
        <v/>
      </c>
      <c r="N270" s="121">
        <f>IF($L270="","",INT(($L270-INT($L270/1000000)*1000000)/1000))</f>
        <v/>
      </c>
      <c r="O270" s="121">
        <f>IF($L270="","",$L270-INT($L270/1000)*1000)</f>
        <v/>
      </c>
      <c r="P270" s="121">
        <f>IF($L270="","",INT(($L270-INT($L270/1000000000)*1000000000)/100000000))</f>
        <v/>
      </c>
    </row>
    <row r="271">
      <c r="B271" s="122">
        <f>IF($L271="","",$M271)</f>
        <v/>
      </c>
      <c r="C271" s="22">
        <f>IF($L271="","",INDEX(HSI!$C$7:$C$106,$N271))</f>
        <v/>
      </c>
      <c r="D271" s="22">
        <f>IF($L271="","",INDEX(HSI!$D$7:$D$106,$N271))</f>
        <v/>
      </c>
      <c r="E271" s="123">
        <f>IF($L271="","",IF($P271=0,"TBA",IFERROR(INDEX(Grids!$C$12:$BO$111,$N271,$O271),"-")))</f>
        <v/>
      </c>
      <c r="F271" s="22">
        <f>IF($L271="","",INDEX(HSI!$F$7:$F$106,$N271))</f>
        <v/>
      </c>
      <c r="G271" s="123">
        <f>IF($L271="","",IF($P271=0,"TBA",IFERROR(INDEX(Grids!$BQ$12:$EC$111,$N271,$O271),"-")))</f>
        <v/>
      </c>
      <c r="H271" s="124">
        <f>IF($L271="","",SUM($G$10:$G271))</f>
        <v/>
      </c>
      <c r="I271" s="45">
        <f>IF($L271="","",IF(INT(($L271-INT($L271/10000000)*10000000)/1000000)=0,"Bloomberg projection",IF($P271=1,"ANNOUNCED","ANNOUNCED - amount TBA")))</f>
        <v/>
      </c>
      <c r="J271" s="46">
        <f>IF($L271="","",IF((OV_SWITCH="ON")*(COUNTIFS(OVR_TICKERS,INDEX(HSI!$C$7:$C$106,$N271),OVR_BASE,"&gt;=0")&gt;0)&gt;0,"stock overridden",""))</f>
        <v/>
      </c>
      <c r="L271" s="121">
        <f>IFERROR(IF(SMALL(Grids!$EE$12:$GQ$111,$M$7+262)&gt;=PEND_TO,"",SMALL(Grids!$EE$12:$GQ$111,$M$7+262)),"")</f>
        <v/>
      </c>
      <c r="M271" s="121">
        <f>IF($L271="","",INT($L271/1000000000))</f>
        <v/>
      </c>
      <c r="N271" s="121">
        <f>IF($L271="","",INT(($L271-INT($L271/1000000)*1000000)/1000))</f>
        <v/>
      </c>
      <c r="O271" s="121">
        <f>IF($L271="","",$L271-INT($L271/1000)*1000)</f>
        <v/>
      </c>
      <c r="P271" s="121">
        <f>IF($L271="","",INT(($L271-INT($L271/1000000000)*1000000000)/100000000))</f>
        <v/>
      </c>
    </row>
    <row r="272">
      <c r="B272" s="122">
        <f>IF($L272="","",$M272)</f>
        <v/>
      </c>
      <c r="C272" s="22">
        <f>IF($L272="","",INDEX(HSI!$C$7:$C$106,$N272))</f>
        <v/>
      </c>
      <c r="D272" s="22">
        <f>IF($L272="","",INDEX(HSI!$D$7:$D$106,$N272))</f>
        <v/>
      </c>
      <c r="E272" s="123">
        <f>IF($L272="","",IF($P272=0,"TBA",IFERROR(INDEX(Grids!$C$12:$BO$111,$N272,$O272),"-")))</f>
        <v/>
      </c>
      <c r="F272" s="22">
        <f>IF($L272="","",INDEX(HSI!$F$7:$F$106,$N272))</f>
        <v/>
      </c>
      <c r="G272" s="123">
        <f>IF($L272="","",IF($P272=0,"TBA",IFERROR(INDEX(Grids!$BQ$12:$EC$111,$N272,$O272),"-")))</f>
        <v/>
      </c>
      <c r="H272" s="124">
        <f>IF($L272="","",SUM($G$10:$G272))</f>
        <v/>
      </c>
      <c r="I272" s="45">
        <f>IF($L272="","",IF(INT(($L272-INT($L272/10000000)*10000000)/1000000)=0,"Bloomberg projection",IF($P272=1,"ANNOUNCED","ANNOUNCED - amount TBA")))</f>
        <v/>
      </c>
      <c r="J272" s="46">
        <f>IF($L272="","",IF((OV_SWITCH="ON")*(COUNTIFS(OVR_TICKERS,INDEX(HSI!$C$7:$C$106,$N272),OVR_BASE,"&gt;=0")&gt;0)&gt;0,"stock overridden",""))</f>
        <v/>
      </c>
      <c r="L272" s="121">
        <f>IFERROR(IF(SMALL(Grids!$EE$12:$GQ$111,$M$7+263)&gt;=PEND_TO,"",SMALL(Grids!$EE$12:$GQ$111,$M$7+263)),"")</f>
        <v/>
      </c>
      <c r="M272" s="121">
        <f>IF($L272="","",INT($L272/1000000000))</f>
        <v/>
      </c>
      <c r="N272" s="121">
        <f>IF($L272="","",INT(($L272-INT($L272/1000000)*1000000)/1000))</f>
        <v/>
      </c>
      <c r="O272" s="121">
        <f>IF($L272="","",$L272-INT($L272/1000)*1000)</f>
        <v/>
      </c>
      <c r="P272" s="121">
        <f>IF($L272="","",INT(($L272-INT($L272/1000000000)*1000000000)/100000000))</f>
        <v/>
      </c>
    </row>
    <row r="273">
      <c r="B273" s="122">
        <f>IF($L273="","",$M273)</f>
        <v/>
      </c>
      <c r="C273" s="22">
        <f>IF($L273="","",INDEX(HSI!$C$7:$C$106,$N273))</f>
        <v/>
      </c>
      <c r="D273" s="22">
        <f>IF($L273="","",INDEX(HSI!$D$7:$D$106,$N273))</f>
        <v/>
      </c>
      <c r="E273" s="123">
        <f>IF($L273="","",IF($P273=0,"TBA",IFERROR(INDEX(Grids!$C$12:$BO$111,$N273,$O273),"-")))</f>
        <v/>
      </c>
      <c r="F273" s="22">
        <f>IF($L273="","",INDEX(HSI!$F$7:$F$106,$N273))</f>
        <v/>
      </c>
      <c r="G273" s="123">
        <f>IF($L273="","",IF($P273=0,"TBA",IFERROR(INDEX(Grids!$BQ$12:$EC$111,$N273,$O273),"-")))</f>
        <v/>
      </c>
      <c r="H273" s="124">
        <f>IF($L273="","",SUM($G$10:$G273))</f>
        <v/>
      </c>
      <c r="I273" s="45">
        <f>IF($L273="","",IF(INT(($L273-INT($L273/10000000)*10000000)/1000000)=0,"Bloomberg projection",IF($P273=1,"ANNOUNCED","ANNOUNCED - amount TBA")))</f>
        <v/>
      </c>
      <c r="J273" s="46">
        <f>IF($L273="","",IF((OV_SWITCH="ON")*(COUNTIFS(OVR_TICKERS,INDEX(HSI!$C$7:$C$106,$N273),OVR_BASE,"&gt;=0")&gt;0)&gt;0,"stock overridden",""))</f>
        <v/>
      </c>
      <c r="L273" s="121">
        <f>IFERROR(IF(SMALL(Grids!$EE$12:$GQ$111,$M$7+264)&gt;=PEND_TO,"",SMALL(Grids!$EE$12:$GQ$111,$M$7+264)),"")</f>
        <v/>
      </c>
      <c r="M273" s="121">
        <f>IF($L273="","",INT($L273/1000000000))</f>
        <v/>
      </c>
      <c r="N273" s="121">
        <f>IF($L273="","",INT(($L273-INT($L273/1000000)*1000000)/1000))</f>
        <v/>
      </c>
      <c r="O273" s="121">
        <f>IF($L273="","",$L273-INT($L273/1000)*1000)</f>
        <v/>
      </c>
      <c r="P273" s="121">
        <f>IF($L273="","",INT(($L273-INT($L273/1000000000)*1000000000)/100000000))</f>
        <v/>
      </c>
    </row>
    <row r="274">
      <c r="B274" s="122">
        <f>IF($L274="","",$M274)</f>
        <v/>
      </c>
      <c r="C274" s="22">
        <f>IF($L274="","",INDEX(HSI!$C$7:$C$106,$N274))</f>
        <v/>
      </c>
      <c r="D274" s="22">
        <f>IF($L274="","",INDEX(HSI!$D$7:$D$106,$N274))</f>
        <v/>
      </c>
      <c r="E274" s="123">
        <f>IF($L274="","",IF($P274=0,"TBA",IFERROR(INDEX(Grids!$C$12:$BO$111,$N274,$O274),"-")))</f>
        <v/>
      </c>
      <c r="F274" s="22">
        <f>IF($L274="","",INDEX(HSI!$F$7:$F$106,$N274))</f>
        <v/>
      </c>
      <c r="G274" s="123">
        <f>IF($L274="","",IF($P274=0,"TBA",IFERROR(INDEX(Grids!$BQ$12:$EC$111,$N274,$O274),"-")))</f>
        <v/>
      </c>
      <c r="H274" s="124">
        <f>IF($L274="","",SUM($G$10:$G274))</f>
        <v/>
      </c>
      <c r="I274" s="45">
        <f>IF($L274="","",IF(INT(($L274-INT($L274/10000000)*10000000)/1000000)=0,"Bloomberg projection",IF($P274=1,"ANNOUNCED","ANNOUNCED - amount TBA")))</f>
        <v/>
      </c>
      <c r="J274" s="46">
        <f>IF($L274="","",IF((OV_SWITCH="ON")*(COUNTIFS(OVR_TICKERS,INDEX(HSI!$C$7:$C$106,$N274),OVR_BASE,"&gt;=0")&gt;0)&gt;0,"stock overridden",""))</f>
        <v/>
      </c>
      <c r="L274" s="121">
        <f>IFERROR(IF(SMALL(Grids!$EE$12:$GQ$111,$M$7+265)&gt;=PEND_TO,"",SMALL(Grids!$EE$12:$GQ$111,$M$7+265)),"")</f>
        <v/>
      </c>
      <c r="M274" s="121">
        <f>IF($L274="","",INT($L274/1000000000))</f>
        <v/>
      </c>
      <c r="N274" s="121">
        <f>IF($L274="","",INT(($L274-INT($L274/1000000)*1000000)/1000))</f>
        <v/>
      </c>
      <c r="O274" s="121">
        <f>IF($L274="","",$L274-INT($L274/1000)*1000)</f>
        <v/>
      </c>
      <c r="P274" s="121">
        <f>IF($L274="","",INT(($L274-INT($L274/1000000000)*1000000000)/100000000))</f>
        <v/>
      </c>
    </row>
    <row r="275">
      <c r="B275" s="122">
        <f>IF($L275="","",$M275)</f>
        <v/>
      </c>
      <c r="C275" s="22">
        <f>IF($L275="","",INDEX(HSI!$C$7:$C$106,$N275))</f>
        <v/>
      </c>
      <c r="D275" s="22">
        <f>IF($L275="","",INDEX(HSI!$D$7:$D$106,$N275))</f>
        <v/>
      </c>
      <c r="E275" s="123">
        <f>IF($L275="","",IF($P275=0,"TBA",IFERROR(INDEX(Grids!$C$12:$BO$111,$N275,$O275),"-")))</f>
        <v/>
      </c>
      <c r="F275" s="22">
        <f>IF($L275="","",INDEX(HSI!$F$7:$F$106,$N275))</f>
        <v/>
      </c>
      <c r="G275" s="123">
        <f>IF($L275="","",IF($P275=0,"TBA",IFERROR(INDEX(Grids!$BQ$12:$EC$111,$N275,$O275),"-")))</f>
        <v/>
      </c>
      <c r="H275" s="124">
        <f>IF($L275="","",SUM($G$10:$G275))</f>
        <v/>
      </c>
      <c r="I275" s="45">
        <f>IF($L275="","",IF(INT(($L275-INT($L275/10000000)*10000000)/1000000)=0,"Bloomberg projection",IF($P275=1,"ANNOUNCED","ANNOUNCED - amount TBA")))</f>
        <v/>
      </c>
      <c r="J275" s="46">
        <f>IF($L275="","",IF((OV_SWITCH="ON")*(COUNTIFS(OVR_TICKERS,INDEX(HSI!$C$7:$C$106,$N275),OVR_BASE,"&gt;=0")&gt;0)&gt;0,"stock overridden",""))</f>
        <v/>
      </c>
      <c r="L275" s="121">
        <f>IFERROR(IF(SMALL(Grids!$EE$12:$GQ$111,$M$7+266)&gt;=PEND_TO,"",SMALL(Grids!$EE$12:$GQ$111,$M$7+266)),"")</f>
        <v/>
      </c>
      <c r="M275" s="121">
        <f>IF($L275="","",INT($L275/1000000000))</f>
        <v/>
      </c>
      <c r="N275" s="121">
        <f>IF($L275="","",INT(($L275-INT($L275/1000000)*1000000)/1000))</f>
        <v/>
      </c>
      <c r="O275" s="121">
        <f>IF($L275="","",$L275-INT($L275/1000)*1000)</f>
        <v/>
      </c>
      <c r="P275" s="121">
        <f>IF($L275="","",INT(($L275-INT($L275/1000000000)*1000000000)/100000000))</f>
        <v/>
      </c>
    </row>
    <row r="276">
      <c r="B276" s="122">
        <f>IF($L276="","",$M276)</f>
        <v/>
      </c>
      <c r="C276" s="22">
        <f>IF($L276="","",INDEX(HSI!$C$7:$C$106,$N276))</f>
        <v/>
      </c>
      <c r="D276" s="22">
        <f>IF($L276="","",INDEX(HSI!$D$7:$D$106,$N276))</f>
        <v/>
      </c>
      <c r="E276" s="123">
        <f>IF($L276="","",IF($P276=0,"TBA",IFERROR(INDEX(Grids!$C$12:$BO$111,$N276,$O276),"-")))</f>
        <v/>
      </c>
      <c r="F276" s="22">
        <f>IF($L276="","",INDEX(HSI!$F$7:$F$106,$N276))</f>
        <v/>
      </c>
      <c r="G276" s="123">
        <f>IF($L276="","",IF($P276=0,"TBA",IFERROR(INDEX(Grids!$BQ$12:$EC$111,$N276,$O276),"-")))</f>
        <v/>
      </c>
      <c r="H276" s="124">
        <f>IF($L276="","",SUM($G$10:$G276))</f>
        <v/>
      </c>
      <c r="I276" s="45">
        <f>IF($L276="","",IF(INT(($L276-INT($L276/10000000)*10000000)/1000000)=0,"Bloomberg projection",IF($P276=1,"ANNOUNCED","ANNOUNCED - amount TBA")))</f>
        <v/>
      </c>
      <c r="J276" s="46">
        <f>IF($L276="","",IF((OV_SWITCH="ON")*(COUNTIFS(OVR_TICKERS,INDEX(HSI!$C$7:$C$106,$N276),OVR_BASE,"&gt;=0")&gt;0)&gt;0,"stock overridden",""))</f>
        <v/>
      </c>
      <c r="L276" s="121">
        <f>IFERROR(IF(SMALL(Grids!$EE$12:$GQ$111,$M$7+267)&gt;=PEND_TO,"",SMALL(Grids!$EE$12:$GQ$111,$M$7+267)),"")</f>
        <v/>
      </c>
      <c r="M276" s="121">
        <f>IF($L276="","",INT($L276/1000000000))</f>
        <v/>
      </c>
      <c r="N276" s="121">
        <f>IF($L276="","",INT(($L276-INT($L276/1000000)*1000000)/1000))</f>
        <v/>
      </c>
      <c r="O276" s="121">
        <f>IF($L276="","",$L276-INT($L276/1000)*1000)</f>
        <v/>
      </c>
      <c r="P276" s="121">
        <f>IF($L276="","",INT(($L276-INT($L276/1000000000)*1000000000)/100000000))</f>
        <v/>
      </c>
    </row>
    <row r="277">
      <c r="B277" s="122">
        <f>IF($L277="","",$M277)</f>
        <v/>
      </c>
      <c r="C277" s="22">
        <f>IF($L277="","",INDEX(HSI!$C$7:$C$106,$N277))</f>
        <v/>
      </c>
      <c r="D277" s="22">
        <f>IF($L277="","",INDEX(HSI!$D$7:$D$106,$N277))</f>
        <v/>
      </c>
      <c r="E277" s="123">
        <f>IF($L277="","",IF($P277=0,"TBA",IFERROR(INDEX(Grids!$C$12:$BO$111,$N277,$O277),"-")))</f>
        <v/>
      </c>
      <c r="F277" s="22">
        <f>IF($L277="","",INDEX(HSI!$F$7:$F$106,$N277))</f>
        <v/>
      </c>
      <c r="G277" s="123">
        <f>IF($L277="","",IF($P277=0,"TBA",IFERROR(INDEX(Grids!$BQ$12:$EC$111,$N277,$O277),"-")))</f>
        <v/>
      </c>
      <c r="H277" s="124">
        <f>IF($L277="","",SUM($G$10:$G277))</f>
        <v/>
      </c>
      <c r="I277" s="45">
        <f>IF($L277="","",IF(INT(($L277-INT($L277/10000000)*10000000)/1000000)=0,"Bloomberg projection",IF($P277=1,"ANNOUNCED","ANNOUNCED - amount TBA")))</f>
        <v/>
      </c>
      <c r="J277" s="46">
        <f>IF($L277="","",IF((OV_SWITCH="ON")*(COUNTIFS(OVR_TICKERS,INDEX(HSI!$C$7:$C$106,$N277),OVR_BASE,"&gt;=0")&gt;0)&gt;0,"stock overridden",""))</f>
        <v/>
      </c>
      <c r="L277" s="121">
        <f>IFERROR(IF(SMALL(Grids!$EE$12:$GQ$111,$M$7+268)&gt;=PEND_TO,"",SMALL(Grids!$EE$12:$GQ$111,$M$7+268)),"")</f>
        <v/>
      </c>
      <c r="M277" s="121">
        <f>IF($L277="","",INT($L277/1000000000))</f>
        <v/>
      </c>
      <c r="N277" s="121">
        <f>IF($L277="","",INT(($L277-INT($L277/1000000)*1000000)/1000))</f>
        <v/>
      </c>
      <c r="O277" s="121">
        <f>IF($L277="","",$L277-INT($L277/1000)*1000)</f>
        <v/>
      </c>
      <c r="P277" s="121">
        <f>IF($L277="","",INT(($L277-INT($L277/1000000000)*1000000000)/100000000))</f>
        <v/>
      </c>
    </row>
    <row r="278">
      <c r="B278" s="122">
        <f>IF($L278="","",$M278)</f>
        <v/>
      </c>
      <c r="C278" s="22">
        <f>IF($L278="","",INDEX(HSI!$C$7:$C$106,$N278))</f>
        <v/>
      </c>
      <c r="D278" s="22">
        <f>IF($L278="","",INDEX(HSI!$D$7:$D$106,$N278))</f>
        <v/>
      </c>
      <c r="E278" s="123">
        <f>IF($L278="","",IF($P278=0,"TBA",IFERROR(INDEX(Grids!$C$12:$BO$111,$N278,$O278),"-")))</f>
        <v/>
      </c>
      <c r="F278" s="22">
        <f>IF($L278="","",INDEX(HSI!$F$7:$F$106,$N278))</f>
        <v/>
      </c>
      <c r="G278" s="123">
        <f>IF($L278="","",IF($P278=0,"TBA",IFERROR(INDEX(Grids!$BQ$12:$EC$111,$N278,$O278),"-")))</f>
        <v/>
      </c>
      <c r="H278" s="124">
        <f>IF($L278="","",SUM($G$10:$G278))</f>
        <v/>
      </c>
      <c r="I278" s="45">
        <f>IF($L278="","",IF(INT(($L278-INT($L278/10000000)*10000000)/1000000)=0,"Bloomberg projection",IF($P278=1,"ANNOUNCED","ANNOUNCED - amount TBA")))</f>
        <v/>
      </c>
      <c r="J278" s="46">
        <f>IF($L278="","",IF((OV_SWITCH="ON")*(COUNTIFS(OVR_TICKERS,INDEX(HSI!$C$7:$C$106,$N278),OVR_BASE,"&gt;=0")&gt;0)&gt;0,"stock overridden",""))</f>
        <v/>
      </c>
      <c r="L278" s="121">
        <f>IFERROR(IF(SMALL(Grids!$EE$12:$GQ$111,$M$7+269)&gt;=PEND_TO,"",SMALL(Grids!$EE$12:$GQ$111,$M$7+269)),"")</f>
        <v/>
      </c>
      <c r="M278" s="121">
        <f>IF($L278="","",INT($L278/1000000000))</f>
        <v/>
      </c>
      <c r="N278" s="121">
        <f>IF($L278="","",INT(($L278-INT($L278/1000000)*1000000)/1000))</f>
        <v/>
      </c>
      <c r="O278" s="121">
        <f>IF($L278="","",$L278-INT($L278/1000)*1000)</f>
        <v/>
      </c>
      <c r="P278" s="121">
        <f>IF($L278="","",INT(($L278-INT($L278/1000000000)*1000000000)/100000000))</f>
        <v/>
      </c>
    </row>
    <row r="279">
      <c r="B279" s="122">
        <f>IF($L279="","",$M279)</f>
        <v/>
      </c>
      <c r="C279" s="22">
        <f>IF($L279="","",INDEX(HSI!$C$7:$C$106,$N279))</f>
        <v/>
      </c>
      <c r="D279" s="22">
        <f>IF($L279="","",INDEX(HSI!$D$7:$D$106,$N279))</f>
        <v/>
      </c>
      <c r="E279" s="123">
        <f>IF($L279="","",IF($P279=0,"TBA",IFERROR(INDEX(Grids!$C$12:$BO$111,$N279,$O279),"-")))</f>
        <v/>
      </c>
      <c r="F279" s="22">
        <f>IF($L279="","",INDEX(HSI!$F$7:$F$106,$N279))</f>
        <v/>
      </c>
      <c r="G279" s="123">
        <f>IF($L279="","",IF($P279=0,"TBA",IFERROR(INDEX(Grids!$BQ$12:$EC$111,$N279,$O279),"-")))</f>
        <v/>
      </c>
      <c r="H279" s="124">
        <f>IF($L279="","",SUM($G$10:$G279))</f>
        <v/>
      </c>
      <c r="I279" s="45">
        <f>IF($L279="","",IF(INT(($L279-INT($L279/10000000)*10000000)/1000000)=0,"Bloomberg projection",IF($P279=1,"ANNOUNCED","ANNOUNCED - amount TBA")))</f>
        <v/>
      </c>
      <c r="J279" s="46">
        <f>IF($L279="","",IF((OV_SWITCH="ON")*(COUNTIFS(OVR_TICKERS,INDEX(HSI!$C$7:$C$106,$N279),OVR_BASE,"&gt;=0")&gt;0)&gt;0,"stock overridden",""))</f>
        <v/>
      </c>
      <c r="L279" s="121">
        <f>IFERROR(IF(SMALL(Grids!$EE$12:$GQ$111,$M$7+270)&gt;=PEND_TO,"",SMALL(Grids!$EE$12:$GQ$111,$M$7+270)),"")</f>
        <v/>
      </c>
      <c r="M279" s="121">
        <f>IF($L279="","",INT($L279/1000000000))</f>
        <v/>
      </c>
      <c r="N279" s="121">
        <f>IF($L279="","",INT(($L279-INT($L279/1000000)*1000000)/1000))</f>
        <v/>
      </c>
      <c r="O279" s="121">
        <f>IF($L279="","",$L279-INT($L279/1000)*1000)</f>
        <v/>
      </c>
      <c r="P279" s="121">
        <f>IF($L279="","",INT(($L279-INT($L279/1000000000)*1000000000)/100000000))</f>
        <v/>
      </c>
    </row>
    <row r="280">
      <c r="B280" s="122">
        <f>IF($L280="","",$M280)</f>
        <v/>
      </c>
      <c r="C280" s="22">
        <f>IF($L280="","",INDEX(HSI!$C$7:$C$106,$N280))</f>
        <v/>
      </c>
      <c r="D280" s="22">
        <f>IF($L280="","",INDEX(HSI!$D$7:$D$106,$N280))</f>
        <v/>
      </c>
      <c r="E280" s="123">
        <f>IF($L280="","",IF($P280=0,"TBA",IFERROR(INDEX(Grids!$C$12:$BO$111,$N280,$O280),"-")))</f>
        <v/>
      </c>
      <c r="F280" s="22">
        <f>IF($L280="","",INDEX(HSI!$F$7:$F$106,$N280))</f>
        <v/>
      </c>
      <c r="G280" s="123">
        <f>IF($L280="","",IF($P280=0,"TBA",IFERROR(INDEX(Grids!$BQ$12:$EC$111,$N280,$O280),"-")))</f>
        <v/>
      </c>
      <c r="H280" s="124">
        <f>IF($L280="","",SUM($G$10:$G280))</f>
        <v/>
      </c>
      <c r="I280" s="45">
        <f>IF($L280="","",IF(INT(($L280-INT($L280/10000000)*10000000)/1000000)=0,"Bloomberg projection",IF($P280=1,"ANNOUNCED","ANNOUNCED - amount TBA")))</f>
        <v/>
      </c>
      <c r="J280" s="46">
        <f>IF($L280="","",IF((OV_SWITCH="ON")*(COUNTIFS(OVR_TICKERS,INDEX(HSI!$C$7:$C$106,$N280),OVR_BASE,"&gt;=0")&gt;0)&gt;0,"stock overridden",""))</f>
        <v/>
      </c>
      <c r="L280" s="121">
        <f>IFERROR(IF(SMALL(Grids!$EE$12:$GQ$111,$M$7+271)&gt;=PEND_TO,"",SMALL(Grids!$EE$12:$GQ$111,$M$7+271)),"")</f>
        <v/>
      </c>
      <c r="M280" s="121">
        <f>IF($L280="","",INT($L280/1000000000))</f>
        <v/>
      </c>
      <c r="N280" s="121">
        <f>IF($L280="","",INT(($L280-INT($L280/1000000)*1000000)/1000))</f>
        <v/>
      </c>
      <c r="O280" s="121">
        <f>IF($L280="","",$L280-INT($L280/1000)*1000)</f>
        <v/>
      </c>
      <c r="P280" s="121">
        <f>IF($L280="","",INT(($L280-INT($L280/1000000000)*1000000000)/100000000))</f>
        <v/>
      </c>
    </row>
    <row r="281">
      <c r="B281" s="122">
        <f>IF($L281="","",$M281)</f>
        <v/>
      </c>
      <c r="C281" s="22">
        <f>IF($L281="","",INDEX(HSI!$C$7:$C$106,$N281))</f>
        <v/>
      </c>
      <c r="D281" s="22">
        <f>IF($L281="","",INDEX(HSI!$D$7:$D$106,$N281))</f>
        <v/>
      </c>
      <c r="E281" s="123">
        <f>IF($L281="","",IF($P281=0,"TBA",IFERROR(INDEX(Grids!$C$12:$BO$111,$N281,$O281),"-")))</f>
        <v/>
      </c>
      <c r="F281" s="22">
        <f>IF($L281="","",INDEX(HSI!$F$7:$F$106,$N281))</f>
        <v/>
      </c>
      <c r="G281" s="123">
        <f>IF($L281="","",IF($P281=0,"TBA",IFERROR(INDEX(Grids!$BQ$12:$EC$111,$N281,$O281),"-")))</f>
        <v/>
      </c>
      <c r="H281" s="124">
        <f>IF($L281="","",SUM($G$10:$G281))</f>
        <v/>
      </c>
      <c r="I281" s="45">
        <f>IF($L281="","",IF(INT(($L281-INT($L281/10000000)*10000000)/1000000)=0,"Bloomberg projection",IF($P281=1,"ANNOUNCED","ANNOUNCED - amount TBA")))</f>
        <v/>
      </c>
      <c r="J281" s="46">
        <f>IF($L281="","",IF((OV_SWITCH="ON")*(COUNTIFS(OVR_TICKERS,INDEX(HSI!$C$7:$C$106,$N281),OVR_BASE,"&gt;=0")&gt;0)&gt;0,"stock overridden",""))</f>
        <v/>
      </c>
      <c r="L281" s="121">
        <f>IFERROR(IF(SMALL(Grids!$EE$12:$GQ$111,$M$7+272)&gt;=PEND_TO,"",SMALL(Grids!$EE$12:$GQ$111,$M$7+272)),"")</f>
        <v/>
      </c>
      <c r="M281" s="121">
        <f>IF($L281="","",INT($L281/1000000000))</f>
        <v/>
      </c>
      <c r="N281" s="121">
        <f>IF($L281="","",INT(($L281-INT($L281/1000000)*1000000)/1000))</f>
        <v/>
      </c>
      <c r="O281" s="121">
        <f>IF($L281="","",$L281-INT($L281/1000)*1000)</f>
        <v/>
      </c>
      <c r="P281" s="121">
        <f>IF($L281="","",INT(($L281-INT($L281/1000000000)*1000000000)/100000000))</f>
        <v/>
      </c>
    </row>
    <row r="282">
      <c r="B282" s="122">
        <f>IF($L282="","",$M282)</f>
        <v/>
      </c>
      <c r="C282" s="22">
        <f>IF($L282="","",INDEX(HSI!$C$7:$C$106,$N282))</f>
        <v/>
      </c>
      <c r="D282" s="22">
        <f>IF($L282="","",INDEX(HSI!$D$7:$D$106,$N282))</f>
        <v/>
      </c>
      <c r="E282" s="123">
        <f>IF($L282="","",IF($P282=0,"TBA",IFERROR(INDEX(Grids!$C$12:$BO$111,$N282,$O282),"-")))</f>
        <v/>
      </c>
      <c r="F282" s="22">
        <f>IF($L282="","",INDEX(HSI!$F$7:$F$106,$N282))</f>
        <v/>
      </c>
      <c r="G282" s="123">
        <f>IF($L282="","",IF($P282=0,"TBA",IFERROR(INDEX(Grids!$BQ$12:$EC$111,$N282,$O282),"-")))</f>
        <v/>
      </c>
      <c r="H282" s="124">
        <f>IF($L282="","",SUM($G$10:$G282))</f>
        <v/>
      </c>
      <c r="I282" s="45">
        <f>IF($L282="","",IF(INT(($L282-INT($L282/10000000)*10000000)/1000000)=0,"Bloomberg projection",IF($P282=1,"ANNOUNCED","ANNOUNCED - amount TBA")))</f>
        <v/>
      </c>
      <c r="J282" s="46">
        <f>IF($L282="","",IF((OV_SWITCH="ON")*(COUNTIFS(OVR_TICKERS,INDEX(HSI!$C$7:$C$106,$N282),OVR_BASE,"&gt;=0")&gt;0)&gt;0,"stock overridden",""))</f>
        <v/>
      </c>
      <c r="L282" s="121">
        <f>IFERROR(IF(SMALL(Grids!$EE$12:$GQ$111,$M$7+273)&gt;=PEND_TO,"",SMALL(Grids!$EE$12:$GQ$111,$M$7+273)),"")</f>
        <v/>
      </c>
      <c r="M282" s="121">
        <f>IF($L282="","",INT($L282/1000000000))</f>
        <v/>
      </c>
      <c r="N282" s="121">
        <f>IF($L282="","",INT(($L282-INT($L282/1000000)*1000000)/1000))</f>
        <v/>
      </c>
      <c r="O282" s="121">
        <f>IF($L282="","",$L282-INT($L282/1000)*1000)</f>
        <v/>
      </c>
      <c r="P282" s="121">
        <f>IF($L282="","",INT(($L282-INT($L282/1000000000)*1000000000)/100000000))</f>
        <v/>
      </c>
    </row>
    <row r="283">
      <c r="B283" s="122">
        <f>IF($L283="","",$M283)</f>
        <v/>
      </c>
      <c r="C283" s="22">
        <f>IF($L283="","",INDEX(HSI!$C$7:$C$106,$N283))</f>
        <v/>
      </c>
      <c r="D283" s="22">
        <f>IF($L283="","",INDEX(HSI!$D$7:$D$106,$N283))</f>
        <v/>
      </c>
      <c r="E283" s="123">
        <f>IF($L283="","",IF($P283=0,"TBA",IFERROR(INDEX(Grids!$C$12:$BO$111,$N283,$O283),"-")))</f>
        <v/>
      </c>
      <c r="F283" s="22">
        <f>IF($L283="","",INDEX(HSI!$F$7:$F$106,$N283))</f>
        <v/>
      </c>
      <c r="G283" s="123">
        <f>IF($L283="","",IF($P283=0,"TBA",IFERROR(INDEX(Grids!$BQ$12:$EC$111,$N283,$O283),"-")))</f>
        <v/>
      </c>
      <c r="H283" s="124">
        <f>IF($L283="","",SUM($G$10:$G283))</f>
        <v/>
      </c>
      <c r="I283" s="45">
        <f>IF($L283="","",IF(INT(($L283-INT($L283/10000000)*10000000)/1000000)=0,"Bloomberg projection",IF($P283=1,"ANNOUNCED","ANNOUNCED - amount TBA")))</f>
        <v/>
      </c>
      <c r="J283" s="46">
        <f>IF($L283="","",IF((OV_SWITCH="ON")*(COUNTIFS(OVR_TICKERS,INDEX(HSI!$C$7:$C$106,$N283),OVR_BASE,"&gt;=0")&gt;0)&gt;0,"stock overridden",""))</f>
        <v/>
      </c>
      <c r="L283" s="121">
        <f>IFERROR(IF(SMALL(Grids!$EE$12:$GQ$111,$M$7+274)&gt;=PEND_TO,"",SMALL(Grids!$EE$12:$GQ$111,$M$7+274)),"")</f>
        <v/>
      </c>
      <c r="M283" s="121">
        <f>IF($L283="","",INT($L283/1000000000))</f>
        <v/>
      </c>
      <c r="N283" s="121">
        <f>IF($L283="","",INT(($L283-INT($L283/1000000)*1000000)/1000))</f>
        <v/>
      </c>
      <c r="O283" s="121">
        <f>IF($L283="","",$L283-INT($L283/1000)*1000)</f>
        <v/>
      </c>
      <c r="P283" s="121">
        <f>IF($L283="","",INT(($L283-INT($L283/1000000000)*1000000000)/100000000))</f>
        <v/>
      </c>
    </row>
    <row r="284">
      <c r="B284" s="122">
        <f>IF($L284="","",$M284)</f>
        <v/>
      </c>
      <c r="C284" s="22">
        <f>IF($L284="","",INDEX(HSI!$C$7:$C$106,$N284))</f>
        <v/>
      </c>
      <c r="D284" s="22">
        <f>IF($L284="","",INDEX(HSI!$D$7:$D$106,$N284))</f>
        <v/>
      </c>
      <c r="E284" s="123">
        <f>IF($L284="","",IF($P284=0,"TBA",IFERROR(INDEX(Grids!$C$12:$BO$111,$N284,$O284),"-")))</f>
        <v/>
      </c>
      <c r="F284" s="22">
        <f>IF($L284="","",INDEX(HSI!$F$7:$F$106,$N284))</f>
        <v/>
      </c>
      <c r="G284" s="123">
        <f>IF($L284="","",IF($P284=0,"TBA",IFERROR(INDEX(Grids!$BQ$12:$EC$111,$N284,$O284),"-")))</f>
        <v/>
      </c>
      <c r="H284" s="124">
        <f>IF($L284="","",SUM($G$10:$G284))</f>
        <v/>
      </c>
      <c r="I284" s="45">
        <f>IF($L284="","",IF(INT(($L284-INT($L284/10000000)*10000000)/1000000)=0,"Bloomberg projection",IF($P284=1,"ANNOUNCED","ANNOUNCED - amount TBA")))</f>
        <v/>
      </c>
      <c r="J284" s="46">
        <f>IF($L284="","",IF((OV_SWITCH="ON")*(COUNTIFS(OVR_TICKERS,INDEX(HSI!$C$7:$C$106,$N284),OVR_BASE,"&gt;=0")&gt;0)&gt;0,"stock overridden",""))</f>
        <v/>
      </c>
      <c r="L284" s="121">
        <f>IFERROR(IF(SMALL(Grids!$EE$12:$GQ$111,$M$7+275)&gt;=PEND_TO,"",SMALL(Grids!$EE$12:$GQ$111,$M$7+275)),"")</f>
        <v/>
      </c>
      <c r="M284" s="121">
        <f>IF($L284="","",INT($L284/1000000000))</f>
        <v/>
      </c>
      <c r="N284" s="121">
        <f>IF($L284="","",INT(($L284-INT($L284/1000000)*1000000)/1000))</f>
        <v/>
      </c>
      <c r="O284" s="121">
        <f>IF($L284="","",$L284-INT($L284/1000)*1000)</f>
        <v/>
      </c>
      <c r="P284" s="121">
        <f>IF($L284="","",INT(($L284-INT($L284/1000000000)*1000000000)/100000000))</f>
        <v/>
      </c>
    </row>
    <row r="285">
      <c r="B285" s="122">
        <f>IF($L285="","",$M285)</f>
        <v/>
      </c>
      <c r="C285" s="22">
        <f>IF($L285="","",INDEX(HSI!$C$7:$C$106,$N285))</f>
        <v/>
      </c>
      <c r="D285" s="22">
        <f>IF($L285="","",INDEX(HSI!$D$7:$D$106,$N285))</f>
        <v/>
      </c>
      <c r="E285" s="123">
        <f>IF($L285="","",IF($P285=0,"TBA",IFERROR(INDEX(Grids!$C$12:$BO$111,$N285,$O285),"-")))</f>
        <v/>
      </c>
      <c r="F285" s="22">
        <f>IF($L285="","",INDEX(HSI!$F$7:$F$106,$N285))</f>
        <v/>
      </c>
      <c r="G285" s="123">
        <f>IF($L285="","",IF($P285=0,"TBA",IFERROR(INDEX(Grids!$BQ$12:$EC$111,$N285,$O285),"-")))</f>
        <v/>
      </c>
      <c r="H285" s="124">
        <f>IF($L285="","",SUM($G$10:$G285))</f>
        <v/>
      </c>
      <c r="I285" s="45">
        <f>IF($L285="","",IF(INT(($L285-INT($L285/10000000)*10000000)/1000000)=0,"Bloomberg projection",IF($P285=1,"ANNOUNCED","ANNOUNCED - amount TBA")))</f>
        <v/>
      </c>
      <c r="J285" s="46">
        <f>IF($L285="","",IF((OV_SWITCH="ON")*(COUNTIFS(OVR_TICKERS,INDEX(HSI!$C$7:$C$106,$N285),OVR_BASE,"&gt;=0")&gt;0)&gt;0,"stock overridden",""))</f>
        <v/>
      </c>
      <c r="L285" s="121">
        <f>IFERROR(IF(SMALL(Grids!$EE$12:$GQ$111,$M$7+276)&gt;=PEND_TO,"",SMALL(Grids!$EE$12:$GQ$111,$M$7+276)),"")</f>
        <v/>
      </c>
      <c r="M285" s="121">
        <f>IF($L285="","",INT($L285/1000000000))</f>
        <v/>
      </c>
      <c r="N285" s="121">
        <f>IF($L285="","",INT(($L285-INT($L285/1000000)*1000000)/1000))</f>
        <v/>
      </c>
      <c r="O285" s="121">
        <f>IF($L285="","",$L285-INT($L285/1000)*1000)</f>
        <v/>
      </c>
      <c r="P285" s="121">
        <f>IF($L285="","",INT(($L285-INT($L285/1000000000)*1000000000)/100000000))</f>
        <v/>
      </c>
    </row>
    <row r="286">
      <c r="B286" s="122">
        <f>IF($L286="","",$M286)</f>
        <v/>
      </c>
      <c r="C286" s="22">
        <f>IF($L286="","",INDEX(HSI!$C$7:$C$106,$N286))</f>
        <v/>
      </c>
      <c r="D286" s="22">
        <f>IF($L286="","",INDEX(HSI!$D$7:$D$106,$N286))</f>
        <v/>
      </c>
      <c r="E286" s="123">
        <f>IF($L286="","",IF($P286=0,"TBA",IFERROR(INDEX(Grids!$C$12:$BO$111,$N286,$O286),"-")))</f>
        <v/>
      </c>
      <c r="F286" s="22">
        <f>IF($L286="","",INDEX(HSI!$F$7:$F$106,$N286))</f>
        <v/>
      </c>
      <c r="G286" s="123">
        <f>IF($L286="","",IF($P286=0,"TBA",IFERROR(INDEX(Grids!$BQ$12:$EC$111,$N286,$O286),"-")))</f>
        <v/>
      </c>
      <c r="H286" s="124">
        <f>IF($L286="","",SUM($G$10:$G286))</f>
        <v/>
      </c>
      <c r="I286" s="45">
        <f>IF($L286="","",IF(INT(($L286-INT($L286/10000000)*10000000)/1000000)=0,"Bloomberg projection",IF($P286=1,"ANNOUNCED","ANNOUNCED - amount TBA")))</f>
        <v/>
      </c>
      <c r="J286" s="46">
        <f>IF($L286="","",IF((OV_SWITCH="ON")*(COUNTIFS(OVR_TICKERS,INDEX(HSI!$C$7:$C$106,$N286),OVR_BASE,"&gt;=0")&gt;0)&gt;0,"stock overridden",""))</f>
        <v/>
      </c>
      <c r="L286" s="121">
        <f>IFERROR(IF(SMALL(Grids!$EE$12:$GQ$111,$M$7+277)&gt;=PEND_TO,"",SMALL(Grids!$EE$12:$GQ$111,$M$7+277)),"")</f>
        <v/>
      </c>
      <c r="M286" s="121">
        <f>IF($L286="","",INT($L286/1000000000))</f>
        <v/>
      </c>
      <c r="N286" s="121">
        <f>IF($L286="","",INT(($L286-INT($L286/1000000)*1000000)/1000))</f>
        <v/>
      </c>
      <c r="O286" s="121">
        <f>IF($L286="","",$L286-INT($L286/1000)*1000)</f>
        <v/>
      </c>
      <c r="P286" s="121">
        <f>IF($L286="","",INT(($L286-INT($L286/1000000000)*1000000000)/100000000))</f>
        <v/>
      </c>
    </row>
    <row r="287">
      <c r="B287" s="122">
        <f>IF($L287="","",$M287)</f>
        <v/>
      </c>
      <c r="C287" s="22">
        <f>IF($L287="","",INDEX(HSI!$C$7:$C$106,$N287))</f>
        <v/>
      </c>
      <c r="D287" s="22">
        <f>IF($L287="","",INDEX(HSI!$D$7:$D$106,$N287))</f>
        <v/>
      </c>
      <c r="E287" s="123">
        <f>IF($L287="","",IF($P287=0,"TBA",IFERROR(INDEX(Grids!$C$12:$BO$111,$N287,$O287),"-")))</f>
        <v/>
      </c>
      <c r="F287" s="22">
        <f>IF($L287="","",INDEX(HSI!$F$7:$F$106,$N287))</f>
        <v/>
      </c>
      <c r="G287" s="123">
        <f>IF($L287="","",IF($P287=0,"TBA",IFERROR(INDEX(Grids!$BQ$12:$EC$111,$N287,$O287),"-")))</f>
        <v/>
      </c>
      <c r="H287" s="124">
        <f>IF($L287="","",SUM($G$10:$G287))</f>
        <v/>
      </c>
      <c r="I287" s="45">
        <f>IF($L287="","",IF(INT(($L287-INT($L287/10000000)*10000000)/1000000)=0,"Bloomberg projection",IF($P287=1,"ANNOUNCED","ANNOUNCED - amount TBA")))</f>
        <v/>
      </c>
      <c r="J287" s="46">
        <f>IF($L287="","",IF((OV_SWITCH="ON")*(COUNTIFS(OVR_TICKERS,INDEX(HSI!$C$7:$C$106,$N287),OVR_BASE,"&gt;=0")&gt;0)&gt;0,"stock overridden",""))</f>
        <v/>
      </c>
      <c r="L287" s="121">
        <f>IFERROR(IF(SMALL(Grids!$EE$12:$GQ$111,$M$7+278)&gt;=PEND_TO,"",SMALL(Grids!$EE$12:$GQ$111,$M$7+278)),"")</f>
        <v/>
      </c>
      <c r="M287" s="121">
        <f>IF($L287="","",INT($L287/1000000000))</f>
        <v/>
      </c>
      <c r="N287" s="121">
        <f>IF($L287="","",INT(($L287-INT($L287/1000000)*1000000)/1000))</f>
        <v/>
      </c>
      <c r="O287" s="121">
        <f>IF($L287="","",$L287-INT($L287/1000)*1000)</f>
        <v/>
      </c>
      <c r="P287" s="121">
        <f>IF($L287="","",INT(($L287-INT($L287/1000000000)*1000000000)/100000000))</f>
        <v/>
      </c>
    </row>
    <row r="288">
      <c r="B288" s="122">
        <f>IF($L288="","",$M288)</f>
        <v/>
      </c>
      <c r="C288" s="22">
        <f>IF($L288="","",INDEX(HSI!$C$7:$C$106,$N288))</f>
        <v/>
      </c>
      <c r="D288" s="22">
        <f>IF($L288="","",INDEX(HSI!$D$7:$D$106,$N288))</f>
        <v/>
      </c>
      <c r="E288" s="123">
        <f>IF($L288="","",IF($P288=0,"TBA",IFERROR(INDEX(Grids!$C$12:$BO$111,$N288,$O288),"-")))</f>
        <v/>
      </c>
      <c r="F288" s="22">
        <f>IF($L288="","",INDEX(HSI!$F$7:$F$106,$N288))</f>
        <v/>
      </c>
      <c r="G288" s="123">
        <f>IF($L288="","",IF($P288=0,"TBA",IFERROR(INDEX(Grids!$BQ$12:$EC$111,$N288,$O288),"-")))</f>
        <v/>
      </c>
      <c r="H288" s="124">
        <f>IF($L288="","",SUM($G$10:$G288))</f>
        <v/>
      </c>
      <c r="I288" s="45">
        <f>IF($L288="","",IF(INT(($L288-INT($L288/10000000)*10000000)/1000000)=0,"Bloomberg projection",IF($P288=1,"ANNOUNCED","ANNOUNCED - amount TBA")))</f>
        <v/>
      </c>
      <c r="J288" s="46">
        <f>IF($L288="","",IF((OV_SWITCH="ON")*(COUNTIFS(OVR_TICKERS,INDEX(HSI!$C$7:$C$106,$N288),OVR_BASE,"&gt;=0")&gt;0)&gt;0,"stock overridden",""))</f>
        <v/>
      </c>
      <c r="L288" s="121">
        <f>IFERROR(IF(SMALL(Grids!$EE$12:$GQ$111,$M$7+279)&gt;=PEND_TO,"",SMALL(Grids!$EE$12:$GQ$111,$M$7+279)),"")</f>
        <v/>
      </c>
      <c r="M288" s="121">
        <f>IF($L288="","",INT($L288/1000000000))</f>
        <v/>
      </c>
      <c r="N288" s="121">
        <f>IF($L288="","",INT(($L288-INT($L288/1000000)*1000000)/1000))</f>
        <v/>
      </c>
      <c r="O288" s="121">
        <f>IF($L288="","",$L288-INT($L288/1000)*1000)</f>
        <v/>
      </c>
      <c r="P288" s="121">
        <f>IF($L288="","",INT(($L288-INT($L288/1000000000)*1000000000)/100000000))</f>
        <v/>
      </c>
    </row>
    <row r="289">
      <c r="B289" s="122">
        <f>IF($L289="","",$M289)</f>
        <v/>
      </c>
      <c r="C289" s="22">
        <f>IF($L289="","",INDEX(HSI!$C$7:$C$106,$N289))</f>
        <v/>
      </c>
      <c r="D289" s="22">
        <f>IF($L289="","",INDEX(HSI!$D$7:$D$106,$N289))</f>
        <v/>
      </c>
      <c r="E289" s="123">
        <f>IF($L289="","",IF($P289=0,"TBA",IFERROR(INDEX(Grids!$C$12:$BO$111,$N289,$O289),"-")))</f>
        <v/>
      </c>
      <c r="F289" s="22">
        <f>IF($L289="","",INDEX(HSI!$F$7:$F$106,$N289))</f>
        <v/>
      </c>
      <c r="G289" s="123">
        <f>IF($L289="","",IF($P289=0,"TBA",IFERROR(INDEX(Grids!$BQ$12:$EC$111,$N289,$O289),"-")))</f>
        <v/>
      </c>
      <c r="H289" s="124">
        <f>IF($L289="","",SUM($G$10:$G289))</f>
        <v/>
      </c>
      <c r="I289" s="45">
        <f>IF($L289="","",IF(INT(($L289-INT($L289/10000000)*10000000)/1000000)=0,"Bloomberg projection",IF($P289=1,"ANNOUNCED","ANNOUNCED - amount TBA")))</f>
        <v/>
      </c>
      <c r="J289" s="46">
        <f>IF($L289="","",IF((OV_SWITCH="ON")*(COUNTIFS(OVR_TICKERS,INDEX(HSI!$C$7:$C$106,$N289),OVR_BASE,"&gt;=0")&gt;0)&gt;0,"stock overridden",""))</f>
        <v/>
      </c>
      <c r="L289" s="121">
        <f>IFERROR(IF(SMALL(Grids!$EE$12:$GQ$111,$M$7+280)&gt;=PEND_TO,"",SMALL(Grids!$EE$12:$GQ$111,$M$7+280)),"")</f>
        <v/>
      </c>
      <c r="M289" s="121">
        <f>IF($L289="","",INT($L289/1000000000))</f>
        <v/>
      </c>
      <c r="N289" s="121">
        <f>IF($L289="","",INT(($L289-INT($L289/1000000)*1000000)/1000))</f>
        <v/>
      </c>
      <c r="O289" s="121">
        <f>IF($L289="","",$L289-INT($L289/1000)*1000)</f>
        <v/>
      </c>
      <c r="P289" s="121">
        <f>IF($L289="","",INT(($L289-INT($L289/1000000000)*1000000000)/100000000))</f>
        <v/>
      </c>
    </row>
    <row r="290">
      <c r="B290" s="122">
        <f>IF($L290="","",$M290)</f>
        <v/>
      </c>
      <c r="C290" s="22">
        <f>IF($L290="","",INDEX(HSI!$C$7:$C$106,$N290))</f>
        <v/>
      </c>
      <c r="D290" s="22">
        <f>IF($L290="","",INDEX(HSI!$D$7:$D$106,$N290))</f>
        <v/>
      </c>
      <c r="E290" s="123">
        <f>IF($L290="","",IF($P290=0,"TBA",IFERROR(INDEX(Grids!$C$12:$BO$111,$N290,$O290),"-")))</f>
        <v/>
      </c>
      <c r="F290" s="22">
        <f>IF($L290="","",INDEX(HSI!$F$7:$F$106,$N290))</f>
        <v/>
      </c>
      <c r="G290" s="123">
        <f>IF($L290="","",IF($P290=0,"TBA",IFERROR(INDEX(Grids!$BQ$12:$EC$111,$N290,$O290),"-")))</f>
        <v/>
      </c>
      <c r="H290" s="124">
        <f>IF($L290="","",SUM($G$10:$G290))</f>
        <v/>
      </c>
      <c r="I290" s="45">
        <f>IF($L290="","",IF(INT(($L290-INT($L290/10000000)*10000000)/1000000)=0,"Bloomberg projection",IF($P290=1,"ANNOUNCED","ANNOUNCED - amount TBA")))</f>
        <v/>
      </c>
      <c r="J290" s="46">
        <f>IF($L290="","",IF((OV_SWITCH="ON")*(COUNTIFS(OVR_TICKERS,INDEX(HSI!$C$7:$C$106,$N290),OVR_BASE,"&gt;=0")&gt;0)&gt;0,"stock overridden",""))</f>
        <v/>
      </c>
      <c r="L290" s="121">
        <f>IFERROR(IF(SMALL(Grids!$EE$12:$GQ$111,$M$7+281)&gt;=PEND_TO,"",SMALL(Grids!$EE$12:$GQ$111,$M$7+281)),"")</f>
        <v/>
      </c>
      <c r="M290" s="121">
        <f>IF($L290="","",INT($L290/1000000000))</f>
        <v/>
      </c>
      <c r="N290" s="121">
        <f>IF($L290="","",INT(($L290-INT($L290/1000000)*1000000)/1000))</f>
        <v/>
      </c>
      <c r="O290" s="121">
        <f>IF($L290="","",$L290-INT($L290/1000)*1000)</f>
        <v/>
      </c>
      <c r="P290" s="121">
        <f>IF($L290="","",INT(($L290-INT($L290/1000000000)*1000000000)/100000000))</f>
        <v/>
      </c>
    </row>
    <row r="291">
      <c r="B291" s="122">
        <f>IF($L291="","",$M291)</f>
        <v/>
      </c>
      <c r="C291" s="22">
        <f>IF($L291="","",INDEX(HSI!$C$7:$C$106,$N291))</f>
        <v/>
      </c>
      <c r="D291" s="22">
        <f>IF($L291="","",INDEX(HSI!$D$7:$D$106,$N291))</f>
        <v/>
      </c>
      <c r="E291" s="123">
        <f>IF($L291="","",IF($P291=0,"TBA",IFERROR(INDEX(Grids!$C$12:$BO$111,$N291,$O291),"-")))</f>
        <v/>
      </c>
      <c r="F291" s="22">
        <f>IF($L291="","",INDEX(HSI!$F$7:$F$106,$N291))</f>
        <v/>
      </c>
      <c r="G291" s="123">
        <f>IF($L291="","",IF($P291=0,"TBA",IFERROR(INDEX(Grids!$BQ$12:$EC$111,$N291,$O291),"-")))</f>
        <v/>
      </c>
      <c r="H291" s="124">
        <f>IF($L291="","",SUM($G$10:$G291))</f>
        <v/>
      </c>
      <c r="I291" s="45">
        <f>IF($L291="","",IF(INT(($L291-INT($L291/10000000)*10000000)/1000000)=0,"Bloomberg projection",IF($P291=1,"ANNOUNCED","ANNOUNCED - amount TBA")))</f>
        <v/>
      </c>
      <c r="J291" s="46">
        <f>IF($L291="","",IF((OV_SWITCH="ON")*(COUNTIFS(OVR_TICKERS,INDEX(HSI!$C$7:$C$106,$N291),OVR_BASE,"&gt;=0")&gt;0)&gt;0,"stock overridden",""))</f>
        <v/>
      </c>
      <c r="L291" s="121">
        <f>IFERROR(IF(SMALL(Grids!$EE$12:$GQ$111,$M$7+282)&gt;=PEND_TO,"",SMALL(Grids!$EE$12:$GQ$111,$M$7+282)),"")</f>
        <v/>
      </c>
      <c r="M291" s="121">
        <f>IF($L291="","",INT($L291/1000000000))</f>
        <v/>
      </c>
      <c r="N291" s="121">
        <f>IF($L291="","",INT(($L291-INT($L291/1000000)*1000000)/1000))</f>
        <v/>
      </c>
      <c r="O291" s="121">
        <f>IF($L291="","",$L291-INT($L291/1000)*1000)</f>
        <v/>
      </c>
      <c r="P291" s="121">
        <f>IF($L291="","",INT(($L291-INT($L291/1000000000)*1000000000)/100000000))</f>
        <v/>
      </c>
    </row>
    <row r="292">
      <c r="B292" s="122">
        <f>IF($L292="","",$M292)</f>
        <v/>
      </c>
      <c r="C292" s="22">
        <f>IF($L292="","",INDEX(HSI!$C$7:$C$106,$N292))</f>
        <v/>
      </c>
      <c r="D292" s="22">
        <f>IF($L292="","",INDEX(HSI!$D$7:$D$106,$N292))</f>
        <v/>
      </c>
      <c r="E292" s="123">
        <f>IF($L292="","",IF($P292=0,"TBA",IFERROR(INDEX(Grids!$C$12:$BO$111,$N292,$O292),"-")))</f>
        <v/>
      </c>
      <c r="F292" s="22">
        <f>IF($L292="","",INDEX(HSI!$F$7:$F$106,$N292))</f>
        <v/>
      </c>
      <c r="G292" s="123">
        <f>IF($L292="","",IF($P292=0,"TBA",IFERROR(INDEX(Grids!$BQ$12:$EC$111,$N292,$O292),"-")))</f>
        <v/>
      </c>
      <c r="H292" s="124">
        <f>IF($L292="","",SUM($G$10:$G292))</f>
        <v/>
      </c>
      <c r="I292" s="45">
        <f>IF($L292="","",IF(INT(($L292-INT($L292/10000000)*10000000)/1000000)=0,"Bloomberg projection",IF($P292=1,"ANNOUNCED","ANNOUNCED - amount TBA")))</f>
        <v/>
      </c>
      <c r="J292" s="46">
        <f>IF($L292="","",IF((OV_SWITCH="ON")*(COUNTIFS(OVR_TICKERS,INDEX(HSI!$C$7:$C$106,$N292),OVR_BASE,"&gt;=0")&gt;0)&gt;0,"stock overridden",""))</f>
        <v/>
      </c>
      <c r="L292" s="121">
        <f>IFERROR(IF(SMALL(Grids!$EE$12:$GQ$111,$M$7+283)&gt;=PEND_TO,"",SMALL(Grids!$EE$12:$GQ$111,$M$7+283)),"")</f>
        <v/>
      </c>
      <c r="M292" s="121">
        <f>IF($L292="","",INT($L292/1000000000))</f>
        <v/>
      </c>
      <c r="N292" s="121">
        <f>IF($L292="","",INT(($L292-INT($L292/1000000)*1000000)/1000))</f>
        <v/>
      </c>
      <c r="O292" s="121">
        <f>IF($L292="","",$L292-INT($L292/1000)*1000)</f>
        <v/>
      </c>
      <c r="P292" s="121">
        <f>IF($L292="","",INT(($L292-INT($L292/1000000000)*1000000000)/100000000))</f>
        <v/>
      </c>
    </row>
    <row r="293">
      <c r="B293" s="122">
        <f>IF($L293="","",$M293)</f>
        <v/>
      </c>
      <c r="C293" s="22">
        <f>IF($L293="","",INDEX(HSI!$C$7:$C$106,$N293))</f>
        <v/>
      </c>
      <c r="D293" s="22">
        <f>IF($L293="","",INDEX(HSI!$D$7:$D$106,$N293))</f>
        <v/>
      </c>
      <c r="E293" s="123">
        <f>IF($L293="","",IF($P293=0,"TBA",IFERROR(INDEX(Grids!$C$12:$BO$111,$N293,$O293),"-")))</f>
        <v/>
      </c>
      <c r="F293" s="22">
        <f>IF($L293="","",INDEX(HSI!$F$7:$F$106,$N293))</f>
        <v/>
      </c>
      <c r="G293" s="123">
        <f>IF($L293="","",IF($P293=0,"TBA",IFERROR(INDEX(Grids!$BQ$12:$EC$111,$N293,$O293),"-")))</f>
        <v/>
      </c>
      <c r="H293" s="124">
        <f>IF($L293="","",SUM($G$10:$G293))</f>
        <v/>
      </c>
      <c r="I293" s="45">
        <f>IF($L293="","",IF(INT(($L293-INT($L293/10000000)*10000000)/1000000)=0,"Bloomberg projection",IF($P293=1,"ANNOUNCED","ANNOUNCED - amount TBA")))</f>
        <v/>
      </c>
      <c r="J293" s="46">
        <f>IF($L293="","",IF((OV_SWITCH="ON")*(COUNTIFS(OVR_TICKERS,INDEX(HSI!$C$7:$C$106,$N293),OVR_BASE,"&gt;=0")&gt;0)&gt;0,"stock overridden",""))</f>
        <v/>
      </c>
      <c r="L293" s="121">
        <f>IFERROR(IF(SMALL(Grids!$EE$12:$GQ$111,$M$7+284)&gt;=PEND_TO,"",SMALL(Grids!$EE$12:$GQ$111,$M$7+284)),"")</f>
        <v/>
      </c>
      <c r="M293" s="121">
        <f>IF($L293="","",INT($L293/1000000000))</f>
        <v/>
      </c>
      <c r="N293" s="121">
        <f>IF($L293="","",INT(($L293-INT($L293/1000000)*1000000)/1000))</f>
        <v/>
      </c>
      <c r="O293" s="121">
        <f>IF($L293="","",$L293-INT($L293/1000)*1000)</f>
        <v/>
      </c>
      <c r="P293" s="121">
        <f>IF($L293="","",INT(($L293-INT($L293/1000000000)*1000000000)/100000000))</f>
        <v/>
      </c>
    </row>
    <row r="294">
      <c r="B294" s="122">
        <f>IF($L294="","",$M294)</f>
        <v/>
      </c>
      <c r="C294" s="22">
        <f>IF($L294="","",INDEX(HSI!$C$7:$C$106,$N294))</f>
        <v/>
      </c>
      <c r="D294" s="22">
        <f>IF($L294="","",INDEX(HSI!$D$7:$D$106,$N294))</f>
        <v/>
      </c>
      <c r="E294" s="123">
        <f>IF($L294="","",IF($P294=0,"TBA",IFERROR(INDEX(Grids!$C$12:$BO$111,$N294,$O294),"-")))</f>
        <v/>
      </c>
      <c r="F294" s="22">
        <f>IF($L294="","",INDEX(HSI!$F$7:$F$106,$N294))</f>
        <v/>
      </c>
      <c r="G294" s="123">
        <f>IF($L294="","",IF($P294=0,"TBA",IFERROR(INDEX(Grids!$BQ$12:$EC$111,$N294,$O294),"-")))</f>
        <v/>
      </c>
      <c r="H294" s="124">
        <f>IF($L294="","",SUM($G$10:$G294))</f>
        <v/>
      </c>
      <c r="I294" s="45">
        <f>IF($L294="","",IF(INT(($L294-INT($L294/10000000)*10000000)/1000000)=0,"Bloomberg projection",IF($P294=1,"ANNOUNCED","ANNOUNCED - amount TBA")))</f>
        <v/>
      </c>
      <c r="J294" s="46">
        <f>IF($L294="","",IF((OV_SWITCH="ON")*(COUNTIFS(OVR_TICKERS,INDEX(HSI!$C$7:$C$106,$N294),OVR_BASE,"&gt;=0")&gt;0)&gt;0,"stock overridden",""))</f>
        <v/>
      </c>
      <c r="L294" s="121">
        <f>IFERROR(IF(SMALL(Grids!$EE$12:$GQ$111,$M$7+285)&gt;=PEND_TO,"",SMALL(Grids!$EE$12:$GQ$111,$M$7+285)),"")</f>
        <v/>
      </c>
      <c r="M294" s="121">
        <f>IF($L294="","",INT($L294/1000000000))</f>
        <v/>
      </c>
      <c r="N294" s="121">
        <f>IF($L294="","",INT(($L294-INT($L294/1000000)*1000000)/1000))</f>
        <v/>
      </c>
      <c r="O294" s="121">
        <f>IF($L294="","",$L294-INT($L294/1000)*1000)</f>
        <v/>
      </c>
      <c r="P294" s="121">
        <f>IF($L294="","",INT(($L294-INT($L294/1000000000)*1000000000)/100000000))</f>
        <v/>
      </c>
    </row>
    <row r="295">
      <c r="B295" s="122">
        <f>IF($L295="","",$M295)</f>
        <v/>
      </c>
      <c r="C295" s="22">
        <f>IF($L295="","",INDEX(HSI!$C$7:$C$106,$N295))</f>
        <v/>
      </c>
      <c r="D295" s="22">
        <f>IF($L295="","",INDEX(HSI!$D$7:$D$106,$N295))</f>
        <v/>
      </c>
      <c r="E295" s="123">
        <f>IF($L295="","",IF($P295=0,"TBA",IFERROR(INDEX(Grids!$C$12:$BO$111,$N295,$O295),"-")))</f>
        <v/>
      </c>
      <c r="F295" s="22">
        <f>IF($L295="","",INDEX(HSI!$F$7:$F$106,$N295))</f>
        <v/>
      </c>
      <c r="G295" s="123">
        <f>IF($L295="","",IF($P295=0,"TBA",IFERROR(INDEX(Grids!$BQ$12:$EC$111,$N295,$O295),"-")))</f>
        <v/>
      </c>
      <c r="H295" s="124">
        <f>IF($L295="","",SUM($G$10:$G295))</f>
        <v/>
      </c>
      <c r="I295" s="45">
        <f>IF($L295="","",IF(INT(($L295-INT($L295/10000000)*10000000)/1000000)=0,"Bloomberg projection",IF($P295=1,"ANNOUNCED","ANNOUNCED - amount TBA")))</f>
        <v/>
      </c>
      <c r="J295" s="46">
        <f>IF($L295="","",IF((OV_SWITCH="ON")*(COUNTIFS(OVR_TICKERS,INDEX(HSI!$C$7:$C$106,$N295),OVR_BASE,"&gt;=0")&gt;0)&gt;0,"stock overridden",""))</f>
        <v/>
      </c>
      <c r="L295" s="121">
        <f>IFERROR(IF(SMALL(Grids!$EE$12:$GQ$111,$M$7+286)&gt;=PEND_TO,"",SMALL(Grids!$EE$12:$GQ$111,$M$7+286)),"")</f>
        <v/>
      </c>
      <c r="M295" s="121">
        <f>IF($L295="","",INT($L295/1000000000))</f>
        <v/>
      </c>
      <c r="N295" s="121">
        <f>IF($L295="","",INT(($L295-INT($L295/1000000)*1000000)/1000))</f>
        <v/>
      </c>
      <c r="O295" s="121">
        <f>IF($L295="","",$L295-INT($L295/1000)*1000)</f>
        <v/>
      </c>
      <c r="P295" s="121">
        <f>IF($L295="","",INT(($L295-INT($L295/1000000000)*1000000000)/100000000))</f>
        <v/>
      </c>
    </row>
    <row r="296">
      <c r="B296" s="122">
        <f>IF($L296="","",$M296)</f>
        <v/>
      </c>
      <c r="C296" s="22">
        <f>IF($L296="","",INDEX(HSI!$C$7:$C$106,$N296))</f>
        <v/>
      </c>
      <c r="D296" s="22">
        <f>IF($L296="","",INDEX(HSI!$D$7:$D$106,$N296))</f>
        <v/>
      </c>
      <c r="E296" s="123">
        <f>IF($L296="","",IF($P296=0,"TBA",IFERROR(INDEX(Grids!$C$12:$BO$111,$N296,$O296),"-")))</f>
        <v/>
      </c>
      <c r="F296" s="22">
        <f>IF($L296="","",INDEX(HSI!$F$7:$F$106,$N296))</f>
        <v/>
      </c>
      <c r="G296" s="123">
        <f>IF($L296="","",IF($P296=0,"TBA",IFERROR(INDEX(Grids!$BQ$12:$EC$111,$N296,$O296),"-")))</f>
        <v/>
      </c>
      <c r="H296" s="124">
        <f>IF($L296="","",SUM($G$10:$G296))</f>
        <v/>
      </c>
      <c r="I296" s="45">
        <f>IF($L296="","",IF(INT(($L296-INT($L296/10000000)*10000000)/1000000)=0,"Bloomberg projection",IF($P296=1,"ANNOUNCED","ANNOUNCED - amount TBA")))</f>
        <v/>
      </c>
      <c r="J296" s="46">
        <f>IF($L296="","",IF((OV_SWITCH="ON")*(COUNTIFS(OVR_TICKERS,INDEX(HSI!$C$7:$C$106,$N296),OVR_BASE,"&gt;=0")&gt;0)&gt;0,"stock overridden",""))</f>
        <v/>
      </c>
      <c r="L296" s="121">
        <f>IFERROR(IF(SMALL(Grids!$EE$12:$GQ$111,$M$7+287)&gt;=PEND_TO,"",SMALL(Grids!$EE$12:$GQ$111,$M$7+287)),"")</f>
        <v/>
      </c>
      <c r="M296" s="121">
        <f>IF($L296="","",INT($L296/1000000000))</f>
        <v/>
      </c>
      <c r="N296" s="121">
        <f>IF($L296="","",INT(($L296-INT($L296/1000000)*1000000)/1000))</f>
        <v/>
      </c>
      <c r="O296" s="121">
        <f>IF($L296="","",$L296-INT($L296/1000)*1000)</f>
        <v/>
      </c>
      <c r="P296" s="121">
        <f>IF($L296="","",INT(($L296-INT($L296/1000000000)*1000000000)/100000000))</f>
        <v/>
      </c>
    </row>
    <row r="297">
      <c r="B297" s="122">
        <f>IF($L297="","",$M297)</f>
        <v/>
      </c>
      <c r="C297" s="22">
        <f>IF($L297="","",INDEX(HSI!$C$7:$C$106,$N297))</f>
        <v/>
      </c>
      <c r="D297" s="22">
        <f>IF($L297="","",INDEX(HSI!$D$7:$D$106,$N297))</f>
        <v/>
      </c>
      <c r="E297" s="123">
        <f>IF($L297="","",IF($P297=0,"TBA",IFERROR(INDEX(Grids!$C$12:$BO$111,$N297,$O297),"-")))</f>
        <v/>
      </c>
      <c r="F297" s="22">
        <f>IF($L297="","",INDEX(HSI!$F$7:$F$106,$N297))</f>
        <v/>
      </c>
      <c r="G297" s="123">
        <f>IF($L297="","",IF($P297=0,"TBA",IFERROR(INDEX(Grids!$BQ$12:$EC$111,$N297,$O297),"-")))</f>
        <v/>
      </c>
      <c r="H297" s="124">
        <f>IF($L297="","",SUM($G$10:$G297))</f>
        <v/>
      </c>
      <c r="I297" s="45">
        <f>IF($L297="","",IF(INT(($L297-INT($L297/10000000)*10000000)/1000000)=0,"Bloomberg projection",IF($P297=1,"ANNOUNCED","ANNOUNCED - amount TBA")))</f>
        <v/>
      </c>
      <c r="J297" s="46">
        <f>IF($L297="","",IF((OV_SWITCH="ON")*(COUNTIFS(OVR_TICKERS,INDEX(HSI!$C$7:$C$106,$N297),OVR_BASE,"&gt;=0")&gt;0)&gt;0,"stock overridden",""))</f>
        <v/>
      </c>
      <c r="L297" s="121">
        <f>IFERROR(IF(SMALL(Grids!$EE$12:$GQ$111,$M$7+288)&gt;=PEND_TO,"",SMALL(Grids!$EE$12:$GQ$111,$M$7+288)),"")</f>
        <v/>
      </c>
      <c r="M297" s="121">
        <f>IF($L297="","",INT($L297/1000000000))</f>
        <v/>
      </c>
      <c r="N297" s="121">
        <f>IF($L297="","",INT(($L297-INT($L297/1000000)*1000000)/1000))</f>
        <v/>
      </c>
      <c r="O297" s="121">
        <f>IF($L297="","",$L297-INT($L297/1000)*1000)</f>
        <v/>
      </c>
      <c r="P297" s="121">
        <f>IF($L297="","",INT(($L297-INT($L297/1000000000)*1000000000)/100000000))</f>
        <v/>
      </c>
    </row>
    <row r="298">
      <c r="B298" s="122">
        <f>IF($L298="","",$M298)</f>
        <v/>
      </c>
      <c r="C298" s="22">
        <f>IF($L298="","",INDEX(HSI!$C$7:$C$106,$N298))</f>
        <v/>
      </c>
      <c r="D298" s="22">
        <f>IF($L298="","",INDEX(HSI!$D$7:$D$106,$N298))</f>
        <v/>
      </c>
      <c r="E298" s="123">
        <f>IF($L298="","",IF($P298=0,"TBA",IFERROR(INDEX(Grids!$C$12:$BO$111,$N298,$O298),"-")))</f>
        <v/>
      </c>
      <c r="F298" s="22">
        <f>IF($L298="","",INDEX(HSI!$F$7:$F$106,$N298))</f>
        <v/>
      </c>
      <c r="G298" s="123">
        <f>IF($L298="","",IF($P298=0,"TBA",IFERROR(INDEX(Grids!$BQ$12:$EC$111,$N298,$O298),"-")))</f>
        <v/>
      </c>
      <c r="H298" s="124">
        <f>IF($L298="","",SUM($G$10:$G298))</f>
        <v/>
      </c>
      <c r="I298" s="45">
        <f>IF($L298="","",IF(INT(($L298-INT($L298/10000000)*10000000)/1000000)=0,"Bloomberg projection",IF($P298=1,"ANNOUNCED","ANNOUNCED - amount TBA")))</f>
        <v/>
      </c>
      <c r="J298" s="46">
        <f>IF($L298="","",IF((OV_SWITCH="ON")*(COUNTIFS(OVR_TICKERS,INDEX(HSI!$C$7:$C$106,$N298),OVR_BASE,"&gt;=0")&gt;0)&gt;0,"stock overridden",""))</f>
        <v/>
      </c>
      <c r="L298" s="121">
        <f>IFERROR(IF(SMALL(Grids!$EE$12:$GQ$111,$M$7+289)&gt;=PEND_TO,"",SMALL(Grids!$EE$12:$GQ$111,$M$7+289)),"")</f>
        <v/>
      </c>
      <c r="M298" s="121">
        <f>IF($L298="","",INT($L298/1000000000))</f>
        <v/>
      </c>
      <c r="N298" s="121">
        <f>IF($L298="","",INT(($L298-INT($L298/1000000)*1000000)/1000))</f>
        <v/>
      </c>
      <c r="O298" s="121">
        <f>IF($L298="","",$L298-INT($L298/1000)*1000)</f>
        <v/>
      </c>
      <c r="P298" s="121">
        <f>IF($L298="","",INT(($L298-INT($L298/1000000000)*1000000000)/100000000))</f>
        <v/>
      </c>
    </row>
    <row r="299">
      <c r="B299" s="122">
        <f>IF($L299="","",$M299)</f>
        <v/>
      </c>
      <c r="C299" s="22">
        <f>IF($L299="","",INDEX(HSI!$C$7:$C$106,$N299))</f>
        <v/>
      </c>
      <c r="D299" s="22">
        <f>IF($L299="","",INDEX(HSI!$D$7:$D$106,$N299))</f>
        <v/>
      </c>
      <c r="E299" s="123">
        <f>IF($L299="","",IF($P299=0,"TBA",IFERROR(INDEX(Grids!$C$12:$BO$111,$N299,$O299),"-")))</f>
        <v/>
      </c>
      <c r="F299" s="22">
        <f>IF($L299="","",INDEX(HSI!$F$7:$F$106,$N299))</f>
        <v/>
      </c>
      <c r="G299" s="123">
        <f>IF($L299="","",IF($P299=0,"TBA",IFERROR(INDEX(Grids!$BQ$12:$EC$111,$N299,$O299),"-")))</f>
        <v/>
      </c>
      <c r="H299" s="124">
        <f>IF($L299="","",SUM($G$10:$G299))</f>
        <v/>
      </c>
      <c r="I299" s="45">
        <f>IF($L299="","",IF(INT(($L299-INT($L299/10000000)*10000000)/1000000)=0,"Bloomberg projection",IF($P299=1,"ANNOUNCED","ANNOUNCED - amount TBA")))</f>
        <v/>
      </c>
      <c r="J299" s="46">
        <f>IF($L299="","",IF((OV_SWITCH="ON")*(COUNTIFS(OVR_TICKERS,INDEX(HSI!$C$7:$C$106,$N299),OVR_BASE,"&gt;=0")&gt;0)&gt;0,"stock overridden",""))</f>
        <v/>
      </c>
      <c r="L299" s="121">
        <f>IFERROR(IF(SMALL(Grids!$EE$12:$GQ$111,$M$7+290)&gt;=PEND_TO,"",SMALL(Grids!$EE$12:$GQ$111,$M$7+290)),"")</f>
        <v/>
      </c>
      <c r="M299" s="121">
        <f>IF($L299="","",INT($L299/1000000000))</f>
        <v/>
      </c>
      <c r="N299" s="121">
        <f>IF($L299="","",INT(($L299-INT($L299/1000000)*1000000)/1000))</f>
        <v/>
      </c>
      <c r="O299" s="121">
        <f>IF($L299="","",$L299-INT($L299/1000)*1000)</f>
        <v/>
      </c>
      <c r="P299" s="121">
        <f>IF($L299="","",INT(($L299-INT($L299/1000000000)*1000000000)/100000000))</f>
        <v/>
      </c>
    </row>
    <row r="300">
      <c r="B300" s="122">
        <f>IF($L300="","",$M300)</f>
        <v/>
      </c>
      <c r="C300" s="22">
        <f>IF($L300="","",INDEX(HSI!$C$7:$C$106,$N300))</f>
        <v/>
      </c>
      <c r="D300" s="22">
        <f>IF($L300="","",INDEX(HSI!$D$7:$D$106,$N300))</f>
        <v/>
      </c>
      <c r="E300" s="123">
        <f>IF($L300="","",IF($P300=0,"TBA",IFERROR(INDEX(Grids!$C$12:$BO$111,$N300,$O300),"-")))</f>
        <v/>
      </c>
      <c r="F300" s="22">
        <f>IF($L300="","",INDEX(HSI!$F$7:$F$106,$N300))</f>
        <v/>
      </c>
      <c r="G300" s="123">
        <f>IF($L300="","",IF($P300=0,"TBA",IFERROR(INDEX(Grids!$BQ$12:$EC$111,$N300,$O300),"-")))</f>
        <v/>
      </c>
      <c r="H300" s="124">
        <f>IF($L300="","",SUM($G$10:$G300))</f>
        <v/>
      </c>
      <c r="I300" s="45">
        <f>IF($L300="","",IF(INT(($L300-INT($L300/10000000)*10000000)/1000000)=0,"Bloomberg projection",IF($P300=1,"ANNOUNCED","ANNOUNCED - amount TBA")))</f>
        <v/>
      </c>
      <c r="J300" s="46">
        <f>IF($L300="","",IF((OV_SWITCH="ON")*(COUNTIFS(OVR_TICKERS,INDEX(HSI!$C$7:$C$106,$N300),OVR_BASE,"&gt;=0")&gt;0)&gt;0,"stock overridden",""))</f>
        <v/>
      </c>
      <c r="L300" s="121">
        <f>IFERROR(IF(SMALL(Grids!$EE$12:$GQ$111,$M$7+291)&gt;=PEND_TO,"",SMALL(Grids!$EE$12:$GQ$111,$M$7+291)),"")</f>
        <v/>
      </c>
      <c r="M300" s="121">
        <f>IF($L300="","",INT($L300/1000000000))</f>
        <v/>
      </c>
      <c r="N300" s="121">
        <f>IF($L300="","",INT(($L300-INT($L300/1000000)*1000000)/1000))</f>
        <v/>
      </c>
      <c r="O300" s="121">
        <f>IF($L300="","",$L300-INT($L300/1000)*1000)</f>
        <v/>
      </c>
      <c r="P300" s="121">
        <f>IF($L300="","",INT(($L300-INT($L300/1000000000)*1000000000)/100000000))</f>
        <v/>
      </c>
    </row>
    <row r="301">
      <c r="B301" s="122">
        <f>IF($L301="","",$M301)</f>
        <v/>
      </c>
      <c r="C301" s="22">
        <f>IF($L301="","",INDEX(HSI!$C$7:$C$106,$N301))</f>
        <v/>
      </c>
      <c r="D301" s="22">
        <f>IF($L301="","",INDEX(HSI!$D$7:$D$106,$N301))</f>
        <v/>
      </c>
      <c r="E301" s="123">
        <f>IF($L301="","",IF($P301=0,"TBA",IFERROR(INDEX(Grids!$C$12:$BO$111,$N301,$O301),"-")))</f>
        <v/>
      </c>
      <c r="F301" s="22">
        <f>IF($L301="","",INDEX(HSI!$F$7:$F$106,$N301))</f>
        <v/>
      </c>
      <c r="G301" s="123">
        <f>IF($L301="","",IF($P301=0,"TBA",IFERROR(INDEX(Grids!$BQ$12:$EC$111,$N301,$O301),"-")))</f>
        <v/>
      </c>
      <c r="H301" s="124">
        <f>IF($L301="","",SUM($G$10:$G301))</f>
        <v/>
      </c>
      <c r="I301" s="45">
        <f>IF($L301="","",IF(INT(($L301-INT($L301/10000000)*10000000)/1000000)=0,"Bloomberg projection",IF($P301=1,"ANNOUNCED","ANNOUNCED - amount TBA")))</f>
        <v/>
      </c>
      <c r="J301" s="46">
        <f>IF($L301="","",IF((OV_SWITCH="ON")*(COUNTIFS(OVR_TICKERS,INDEX(HSI!$C$7:$C$106,$N301),OVR_BASE,"&gt;=0")&gt;0)&gt;0,"stock overridden",""))</f>
        <v/>
      </c>
      <c r="L301" s="121">
        <f>IFERROR(IF(SMALL(Grids!$EE$12:$GQ$111,$M$7+292)&gt;=PEND_TO,"",SMALL(Grids!$EE$12:$GQ$111,$M$7+292)),"")</f>
        <v/>
      </c>
      <c r="M301" s="121">
        <f>IF($L301="","",INT($L301/1000000000))</f>
        <v/>
      </c>
      <c r="N301" s="121">
        <f>IF($L301="","",INT(($L301-INT($L301/1000000)*1000000)/1000))</f>
        <v/>
      </c>
      <c r="O301" s="121">
        <f>IF($L301="","",$L301-INT($L301/1000)*1000)</f>
        <v/>
      </c>
      <c r="P301" s="121">
        <f>IF($L301="","",INT(($L301-INT($L301/1000000000)*1000000000)/100000000))</f>
        <v/>
      </c>
    </row>
    <row r="302">
      <c r="B302" s="122">
        <f>IF($L302="","",$M302)</f>
        <v/>
      </c>
      <c r="C302" s="22">
        <f>IF($L302="","",INDEX(HSI!$C$7:$C$106,$N302))</f>
        <v/>
      </c>
      <c r="D302" s="22">
        <f>IF($L302="","",INDEX(HSI!$D$7:$D$106,$N302))</f>
        <v/>
      </c>
      <c r="E302" s="123">
        <f>IF($L302="","",IF($P302=0,"TBA",IFERROR(INDEX(Grids!$C$12:$BO$111,$N302,$O302),"-")))</f>
        <v/>
      </c>
      <c r="F302" s="22">
        <f>IF($L302="","",INDEX(HSI!$F$7:$F$106,$N302))</f>
        <v/>
      </c>
      <c r="G302" s="123">
        <f>IF($L302="","",IF($P302=0,"TBA",IFERROR(INDEX(Grids!$BQ$12:$EC$111,$N302,$O302),"-")))</f>
        <v/>
      </c>
      <c r="H302" s="124">
        <f>IF($L302="","",SUM($G$10:$G302))</f>
        <v/>
      </c>
      <c r="I302" s="45">
        <f>IF($L302="","",IF(INT(($L302-INT($L302/10000000)*10000000)/1000000)=0,"Bloomberg projection",IF($P302=1,"ANNOUNCED","ANNOUNCED - amount TBA")))</f>
        <v/>
      </c>
      <c r="J302" s="46">
        <f>IF($L302="","",IF((OV_SWITCH="ON")*(COUNTIFS(OVR_TICKERS,INDEX(HSI!$C$7:$C$106,$N302),OVR_BASE,"&gt;=0")&gt;0)&gt;0,"stock overridden",""))</f>
        <v/>
      </c>
      <c r="L302" s="121">
        <f>IFERROR(IF(SMALL(Grids!$EE$12:$GQ$111,$M$7+293)&gt;=PEND_TO,"",SMALL(Grids!$EE$12:$GQ$111,$M$7+293)),"")</f>
        <v/>
      </c>
      <c r="M302" s="121">
        <f>IF($L302="","",INT($L302/1000000000))</f>
        <v/>
      </c>
      <c r="N302" s="121">
        <f>IF($L302="","",INT(($L302-INT($L302/1000000)*1000000)/1000))</f>
        <v/>
      </c>
      <c r="O302" s="121">
        <f>IF($L302="","",$L302-INT($L302/1000)*1000)</f>
        <v/>
      </c>
      <c r="P302" s="121">
        <f>IF($L302="","",INT(($L302-INT($L302/1000000000)*1000000000)/100000000))</f>
        <v/>
      </c>
    </row>
    <row r="303">
      <c r="B303" s="122">
        <f>IF($L303="","",$M303)</f>
        <v/>
      </c>
      <c r="C303" s="22">
        <f>IF($L303="","",INDEX(HSI!$C$7:$C$106,$N303))</f>
        <v/>
      </c>
      <c r="D303" s="22">
        <f>IF($L303="","",INDEX(HSI!$D$7:$D$106,$N303))</f>
        <v/>
      </c>
      <c r="E303" s="123">
        <f>IF($L303="","",IF($P303=0,"TBA",IFERROR(INDEX(Grids!$C$12:$BO$111,$N303,$O303),"-")))</f>
        <v/>
      </c>
      <c r="F303" s="22">
        <f>IF($L303="","",INDEX(HSI!$F$7:$F$106,$N303))</f>
        <v/>
      </c>
      <c r="G303" s="123">
        <f>IF($L303="","",IF($P303=0,"TBA",IFERROR(INDEX(Grids!$BQ$12:$EC$111,$N303,$O303),"-")))</f>
        <v/>
      </c>
      <c r="H303" s="124">
        <f>IF($L303="","",SUM($G$10:$G303))</f>
        <v/>
      </c>
      <c r="I303" s="45">
        <f>IF($L303="","",IF(INT(($L303-INT($L303/10000000)*10000000)/1000000)=0,"Bloomberg projection",IF($P303=1,"ANNOUNCED","ANNOUNCED - amount TBA")))</f>
        <v/>
      </c>
      <c r="J303" s="46">
        <f>IF($L303="","",IF((OV_SWITCH="ON")*(COUNTIFS(OVR_TICKERS,INDEX(HSI!$C$7:$C$106,$N303),OVR_BASE,"&gt;=0")&gt;0)&gt;0,"stock overridden",""))</f>
        <v/>
      </c>
      <c r="L303" s="121">
        <f>IFERROR(IF(SMALL(Grids!$EE$12:$GQ$111,$M$7+294)&gt;=PEND_TO,"",SMALL(Grids!$EE$12:$GQ$111,$M$7+294)),"")</f>
        <v/>
      </c>
      <c r="M303" s="121">
        <f>IF($L303="","",INT($L303/1000000000))</f>
        <v/>
      </c>
      <c r="N303" s="121">
        <f>IF($L303="","",INT(($L303-INT($L303/1000000)*1000000)/1000))</f>
        <v/>
      </c>
      <c r="O303" s="121">
        <f>IF($L303="","",$L303-INT($L303/1000)*1000)</f>
        <v/>
      </c>
      <c r="P303" s="121">
        <f>IF($L303="","",INT(($L303-INT($L303/1000000000)*1000000000)/100000000))</f>
        <v/>
      </c>
    </row>
    <row r="304">
      <c r="B304" s="122">
        <f>IF($L304="","",$M304)</f>
        <v/>
      </c>
      <c r="C304" s="22">
        <f>IF($L304="","",INDEX(HSI!$C$7:$C$106,$N304))</f>
        <v/>
      </c>
      <c r="D304" s="22">
        <f>IF($L304="","",INDEX(HSI!$D$7:$D$106,$N304))</f>
        <v/>
      </c>
      <c r="E304" s="123">
        <f>IF($L304="","",IF($P304=0,"TBA",IFERROR(INDEX(Grids!$C$12:$BO$111,$N304,$O304),"-")))</f>
        <v/>
      </c>
      <c r="F304" s="22">
        <f>IF($L304="","",INDEX(HSI!$F$7:$F$106,$N304))</f>
        <v/>
      </c>
      <c r="G304" s="123">
        <f>IF($L304="","",IF($P304=0,"TBA",IFERROR(INDEX(Grids!$BQ$12:$EC$111,$N304,$O304),"-")))</f>
        <v/>
      </c>
      <c r="H304" s="124">
        <f>IF($L304="","",SUM($G$10:$G304))</f>
        <v/>
      </c>
      <c r="I304" s="45">
        <f>IF($L304="","",IF(INT(($L304-INT($L304/10000000)*10000000)/1000000)=0,"Bloomberg projection",IF($P304=1,"ANNOUNCED","ANNOUNCED - amount TBA")))</f>
        <v/>
      </c>
      <c r="J304" s="46">
        <f>IF($L304="","",IF((OV_SWITCH="ON")*(COUNTIFS(OVR_TICKERS,INDEX(HSI!$C$7:$C$106,$N304),OVR_BASE,"&gt;=0")&gt;0)&gt;0,"stock overridden",""))</f>
        <v/>
      </c>
      <c r="L304" s="121">
        <f>IFERROR(IF(SMALL(Grids!$EE$12:$GQ$111,$M$7+295)&gt;=PEND_TO,"",SMALL(Grids!$EE$12:$GQ$111,$M$7+295)),"")</f>
        <v/>
      </c>
      <c r="M304" s="121">
        <f>IF($L304="","",INT($L304/1000000000))</f>
        <v/>
      </c>
      <c r="N304" s="121">
        <f>IF($L304="","",INT(($L304-INT($L304/1000000)*1000000)/1000))</f>
        <v/>
      </c>
      <c r="O304" s="121">
        <f>IF($L304="","",$L304-INT($L304/1000)*1000)</f>
        <v/>
      </c>
      <c r="P304" s="121">
        <f>IF($L304="","",INT(($L304-INT($L304/1000000000)*1000000000)/100000000))</f>
        <v/>
      </c>
    </row>
    <row r="305">
      <c r="B305" s="122">
        <f>IF($L305="","",$M305)</f>
        <v/>
      </c>
      <c r="C305" s="22">
        <f>IF($L305="","",INDEX(HSI!$C$7:$C$106,$N305))</f>
        <v/>
      </c>
      <c r="D305" s="22">
        <f>IF($L305="","",INDEX(HSI!$D$7:$D$106,$N305))</f>
        <v/>
      </c>
      <c r="E305" s="123">
        <f>IF($L305="","",IF($P305=0,"TBA",IFERROR(INDEX(Grids!$C$12:$BO$111,$N305,$O305),"-")))</f>
        <v/>
      </c>
      <c r="F305" s="22">
        <f>IF($L305="","",INDEX(HSI!$F$7:$F$106,$N305))</f>
        <v/>
      </c>
      <c r="G305" s="123">
        <f>IF($L305="","",IF($P305=0,"TBA",IFERROR(INDEX(Grids!$BQ$12:$EC$111,$N305,$O305),"-")))</f>
        <v/>
      </c>
      <c r="H305" s="124">
        <f>IF($L305="","",SUM($G$10:$G305))</f>
        <v/>
      </c>
      <c r="I305" s="45">
        <f>IF($L305="","",IF(INT(($L305-INT($L305/10000000)*10000000)/1000000)=0,"Bloomberg projection",IF($P305=1,"ANNOUNCED","ANNOUNCED - amount TBA")))</f>
        <v/>
      </c>
      <c r="J305" s="46">
        <f>IF($L305="","",IF((OV_SWITCH="ON")*(COUNTIFS(OVR_TICKERS,INDEX(HSI!$C$7:$C$106,$N305),OVR_BASE,"&gt;=0")&gt;0)&gt;0,"stock overridden",""))</f>
        <v/>
      </c>
      <c r="L305" s="121">
        <f>IFERROR(IF(SMALL(Grids!$EE$12:$GQ$111,$M$7+296)&gt;=PEND_TO,"",SMALL(Grids!$EE$12:$GQ$111,$M$7+296)),"")</f>
        <v/>
      </c>
      <c r="M305" s="121">
        <f>IF($L305="","",INT($L305/1000000000))</f>
        <v/>
      </c>
      <c r="N305" s="121">
        <f>IF($L305="","",INT(($L305-INT($L305/1000000)*1000000)/1000))</f>
        <v/>
      </c>
      <c r="O305" s="121">
        <f>IF($L305="","",$L305-INT($L305/1000)*1000)</f>
        <v/>
      </c>
      <c r="P305" s="121">
        <f>IF($L305="","",INT(($L305-INT($L305/1000000000)*1000000000)/100000000))</f>
        <v/>
      </c>
    </row>
    <row r="306">
      <c r="B306" s="122">
        <f>IF($L306="","",$M306)</f>
        <v/>
      </c>
      <c r="C306" s="22">
        <f>IF($L306="","",INDEX(HSI!$C$7:$C$106,$N306))</f>
        <v/>
      </c>
      <c r="D306" s="22">
        <f>IF($L306="","",INDEX(HSI!$D$7:$D$106,$N306))</f>
        <v/>
      </c>
      <c r="E306" s="123">
        <f>IF($L306="","",IF($P306=0,"TBA",IFERROR(INDEX(Grids!$C$12:$BO$111,$N306,$O306),"-")))</f>
        <v/>
      </c>
      <c r="F306" s="22">
        <f>IF($L306="","",INDEX(HSI!$F$7:$F$106,$N306))</f>
        <v/>
      </c>
      <c r="G306" s="123">
        <f>IF($L306="","",IF($P306=0,"TBA",IFERROR(INDEX(Grids!$BQ$12:$EC$111,$N306,$O306),"-")))</f>
        <v/>
      </c>
      <c r="H306" s="124">
        <f>IF($L306="","",SUM($G$10:$G306))</f>
        <v/>
      </c>
      <c r="I306" s="45">
        <f>IF($L306="","",IF(INT(($L306-INT($L306/10000000)*10000000)/1000000)=0,"Bloomberg projection",IF($P306=1,"ANNOUNCED","ANNOUNCED - amount TBA")))</f>
        <v/>
      </c>
      <c r="J306" s="46">
        <f>IF($L306="","",IF((OV_SWITCH="ON")*(COUNTIFS(OVR_TICKERS,INDEX(HSI!$C$7:$C$106,$N306),OVR_BASE,"&gt;=0")&gt;0)&gt;0,"stock overridden",""))</f>
        <v/>
      </c>
      <c r="L306" s="121">
        <f>IFERROR(IF(SMALL(Grids!$EE$12:$GQ$111,$M$7+297)&gt;=PEND_TO,"",SMALL(Grids!$EE$12:$GQ$111,$M$7+297)),"")</f>
        <v/>
      </c>
      <c r="M306" s="121">
        <f>IF($L306="","",INT($L306/1000000000))</f>
        <v/>
      </c>
      <c r="N306" s="121">
        <f>IF($L306="","",INT(($L306-INT($L306/1000000)*1000000)/1000))</f>
        <v/>
      </c>
      <c r="O306" s="121">
        <f>IF($L306="","",$L306-INT($L306/1000)*1000)</f>
        <v/>
      </c>
      <c r="P306" s="121">
        <f>IF($L306="","",INT(($L306-INT($L306/1000000000)*1000000000)/100000000))</f>
        <v/>
      </c>
    </row>
    <row r="307">
      <c r="B307" s="122">
        <f>IF($L307="","",$M307)</f>
        <v/>
      </c>
      <c r="C307" s="22">
        <f>IF($L307="","",INDEX(HSI!$C$7:$C$106,$N307))</f>
        <v/>
      </c>
      <c r="D307" s="22">
        <f>IF($L307="","",INDEX(HSI!$D$7:$D$106,$N307))</f>
        <v/>
      </c>
      <c r="E307" s="123">
        <f>IF($L307="","",IF($P307=0,"TBA",IFERROR(INDEX(Grids!$C$12:$BO$111,$N307,$O307),"-")))</f>
        <v/>
      </c>
      <c r="F307" s="22">
        <f>IF($L307="","",INDEX(HSI!$F$7:$F$106,$N307))</f>
        <v/>
      </c>
      <c r="G307" s="123">
        <f>IF($L307="","",IF($P307=0,"TBA",IFERROR(INDEX(Grids!$BQ$12:$EC$111,$N307,$O307),"-")))</f>
        <v/>
      </c>
      <c r="H307" s="124">
        <f>IF($L307="","",SUM($G$10:$G307))</f>
        <v/>
      </c>
      <c r="I307" s="45">
        <f>IF($L307="","",IF(INT(($L307-INT($L307/10000000)*10000000)/1000000)=0,"Bloomberg projection",IF($P307=1,"ANNOUNCED","ANNOUNCED - amount TBA")))</f>
        <v/>
      </c>
      <c r="J307" s="46">
        <f>IF($L307="","",IF((OV_SWITCH="ON")*(COUNTIFS(OVR_TICKERS,INDEX(HSI!$C$7:$C$106,$N307),OVR_BASE,"&gt;=0")&gt;0)&gt;0,"stock overridden",""))</f>
        <v/>
      </c>
      <c r="L307" s="121">
        <f>IFERROR(IF(SMALL(Grids!$EE$12:$GQ$111,$M$7+298)&gt;=PEND_TO,"",SMALL(Grids!$EE$12:$GQ$111,$M$7+298)),"")</f>
        <v/>
      </c>
      <c r="M307" s="121">
        <f>IF($L307="","",INT($L307/1000000000))</f>
        <v/>
      </c>
      <c r="N307" s="121">
        <f>IF($L307="","",INT(($L307-INT($L307/1000000)*1000000)/1000))</f>
        <v/>
      </c>
      <c r="O307" s="121">
        <f>IF($L307="","",$L307-INT($L307/1000)*1000)</f>
        <v/>
      </c>
      <c r="P307" s="121">
        <f>IF($L307="","",INT(($L307-INT($L307/1000000000)*1000000000)/100000000))</f>
        <v/>
      </c>
    </row>
    <row r="308">
      <c r="B308" s="122">
        <f>IF($L308="","",$M308)</f>
        <v/>
      </c>
      <c r="C308" s="22">
        <f>IF($L308="","",INDEX(HSI!$C$7:$C$106,$N308))</f>
        <v/>
      </c>
      <c r="D308" s="22">
        <f>IF($L308="","",INDEX(HSI!$D$7:$D$106,$N308))</f>
        <v/>
      </c>
      <c r="E308" s="123">
        <f>IF($L308="","",IF($P308=0,"TBA",IFERROR(INDEX(Grids!$C$12:$BO$111,$N308,$O308),"-")))</f>
        <v/>
      </c>
      <c r="F308" s="22">
        <f>IF($L308="","",INDEX(HSI!$F$7:$F$106,$N308))</f>
        <v/>
      </c>
      <c r="G308" s="123">
        <f>IF($L308="","",IF($P308=0,"TBA",IFERROR(INDEX(Grids!$BQ$12:$EC$111,$N308,$O308),"-")))</f>
        <v/>
      </c>
      <c r="H308" s="124">
        <f>IF($L308="","",SUM($G$10:$G308))</f>
        <v/>
      </c>
      <c r="I308" s="45">
        <f>IF($L308="","",IF(INT(($L308-INT($L308/10000000)*10000000)/1000000)=0,"Bloomberg projection",IF($P308=1,"ANNOUNCED","ANNOUNCED - amount TBA")))</f>
        <v/>
      </c>
      <c r="J308" s="46">
        <f>IF($L308="","",IF((OV_SWITCH="ON")*(COUNTIFS(OVR_TICKERS,INDEX(HSI!$C$7:$C$106,$N308),OVR_BASE,"&gt;=0")&gt;0)&gt;0,"stock overridden",""))</f>
        <v/>
      </c>
      <c r="L308" s="121">
        <f>IFERROR(IF(SMALL(Grids!$EE$12:$GQ$111,$M$7+299)&gt;=PEND_TO,"",SMALL(Grids!$EE$12:$GQ$111,$M$7+299)),"")</f>
        <v/>
      </c>
      <c r="M308" s="121">
        <f>IF($L308="","",INT($L308/1000000000))</f>
        <v/>
      </c>
      <c r="N308" s="121">
        <f>IF($L308="","",INT(($L308-INT($L308/1000000)*1000000)/1000))</f>
        <v/>
      </c>
      <c r="O308" s="121">
        <f>IF($L308="","",$L308-INT($L308/1000)*1000)</f>
        <v/>
      </c>
      <c r="P308" s="121">
        <f>IF($L308="","",INT(($L308-INT($L308/1000000000)*1000000000)/100000000))</f>
        <v/>
      </c>
    </row>
    <row r="309">
      <c r="B309" s="122">
        <f>IF($L309="","",$M309)</f>
        <v/>
      </c>
      <c r="C309" s="22">
        <f>IF($L309="","",INDEX(HSI!$C$7:$C$106,$N309))</f>
        <v/>
      </c>
      <c r="D309" s="22">
        <f>IF($L309="","",INDEX(HSI!$D$7:$D$106,$N309))</f>
        <v/>
      </c>
      <c r="E309" s="123">
        <f>IF($L309="","",IF($P309=0,"TBA",IFERROR(INDEX(Grids!$C$12:$BO$111,$N309,$O309),"-")))</f>
        <v/>
      </c>
      <c r="F309" s="22">
        <f>IF($L309="","",INDEX(HSI!$F$7:$F$106,$N309))</f>
        <v/>
      </c>
      <c r="G309" s="123">
        <f>IF($L309="","",IF($P309=0,"TBA",IFERROR(INDEX(Grids!$BQ$12:$EC$111,$N309,$O309),"-")))</f>
        <v/>
      </c>
      <c r="H309" s="124">
        <f>IF($L309="","",SUM($G$10:$G309))</f>
        <v/>
      </c>
      <c r="I309" s="45">
        <f>IF($L309="","",IF(INT(($L309-INT($L309/10000000)*10000000)/1000000)=0,"Bloomberg projection",IF($P309=1,"ANNOUNCED","ANNOUNCED - amount TBA")))</f>
        <v/>
      </c>
      <c r="J309" s="46">
        <f>IF($L309="","",IF((OV_SWITCH="ON")*(COUNTIFS(OVR_TICKERS,INDEX(HSI!$C$7:$C$106,$N309),OVR_BASE,"&gt;=0")&gt;0)&gt;0,"stock overridden",""))</f>
        <v/>
      </c>
      <c r="L309" s="121">
        <f>IFERROR(IF(SMALL(Grids!$EE$12:$GQ$111,$M$7+300)&gt;=PEND_TO,"",SMALL(Grids!$EE$12:$GQ$111,$M$7+300)),"")</f>
        <v/>
      </c>
      <c r="M309" s="121">
        <f>IF($L309="","",INT($L309/1000000000))</f>
        <v/>
      </c>
      <c r="N309" s="121">
        <f>IF($L309="","",INT(($L309-INT($L309/1000000)*1000000)/1000))</f>
        <v/>
      </c>
      <c r="O309" s="121">
        <f>IF($L309="","",$L309-INT($L309/1000)*1000)</f>
        <v/>
      </c>
      <c r="P309" s="121">
        <f>IF($L309="","",INT(($L309-INT($L309/1000000000)*1000000000)/100000000))</f>
        <v/>
      </c>
    </row>
    <row r="312">
      <c r="B312" s="6" t="inlineStr">
        <is>
          <t>Hang Seng TECH Index (HSTECH)</t>
        </is>
      </c>
      <c r="C312" s="7" t="n"/>
      <c r="D312" s="7" t="n"/>
      <c r="E312" s="7" t="n"/>
      <c r="F312" s="7" t="n"/>
      <c r="G312" s="7" t="n"/>
      <c r="H312" s="7" t="n"/>
      <c r="I312" s="7" t="n"/>
      <c r="J312" s="7" t="n"/>
    </row>
    <row r="313">
      <c r="B313" s="2" t="inlineStr">
        <is>
          <t>Events pending</t>
        </is>
      </c>
      <c r="C313" s="40">
        <f>COUNTIFS(Grids!$EE$116:$GQ$155,"&gt;="&amp;PEND_FROM,Grids!$EE$116:$GQ$155,"&lt;"&amp;PEND_TO)</f>
        <v/>
      </c>
      <c r="D313" s="5">
        <f>IF($C$313&gt;120,"LIST TRUNCATED - showing the first 120; the model still counts all of them.","all listed below")</f>
        <v/>
      </c>
      <c r="L313" s="2" t="inlineStr">
        <is>
          <t>offset</t>
        </is>
      </c>
      <c r="M313" s="41">
        <f>COUNTIF(Grids!$EE$116:$GQ$155,"&lt;"&amp;PEND_FROM)</f>
        <v/>
      </c>
    </row>
    <row r="315">
      <c r="B315" s="23" t="inlineStr">
        <is>
          <t>Ex-date</t>
        </is>
      </c>
      <c r="C315" s="23" t="inlineStr">
        <is>
          <t>Ticker</t>
        </is>
      </c>
      <c r="D315" s="23" t="inlineStr">
        <is>
          <t>Name</t>
        </is>
      </c>
      <c r="E315" s="23" t="inlineStr">
        <is>
          <t>DPS
(declared ccy)</t>
        </is>
      </c>
      <c r="F315" s="23" t="inlineStr">
        <is>
          <t>CCY</t>
        </is>
      </c>
      <c r="G315" s="23" t="inlineStr">
        <is>
          <t>Index
pts</t>
        </is>
      </c>
      <c r="H315" s="23" t="inlineStr">
        <is>
          <t>Cumulative
pts</t>
        </is>
      </c>
      <c r="I315" s="23" t="inlineStr">
        <is>
          <t>Status</t>
        </is>
      </c>
      <c r="J315" s="23" t="inlineStr">
        <is>
          <t>Your override?</t>
        </is>
      </c>
      <c r="L315" s="2" t="inlineStr">
        <is>
          <t>engine</t>
        </is>
      </c>
    </row>
    <row r="316">
      <c r="B316" s="122">
        <f>IF($L316="","",$M316)</f>
        <v/>
      </c>
      <c r="C316" s="22">
        <f>IF($L316="","",INDEX(HSTECH!$C$7:$C$46,$N316))</f>
        <v/>
      </c>
      <c r="D316" s="22">
        <f>IF($L316="","",INDEX(HSTECH!$D$7:$D$46,$N316))</f>
        <v/>
      </c>
      <c r="E316" s="123">
        <f>IF($L316="","",IF($P316=0,"TBA",IFERROR(INDEX(Grids!$C$116:$BO$155,$N316,$O316),"-")))</f>
        <v/>
      </c>
      <c r="F316" s="22">
        <f>IF($L316="","",INDEX(HSTECH!$F$7:$F$46,$N316))</f>
        <v/>
      </c>
      <c r="G316" s="123">
        <f>IF($L316="","",IF($P316=0,"TBA",IFERROR(INDEX(Grids!$BQ$116:$EC$155,$N316,$O316),"-")))</f>
        <v/>
      </c>
      <c r="H316" s="124">
        <f>IF($L316="","",SUM($G$316:$G316))</f>
        <v/>
      </c>
      <c r="I316" s="45">
        <f>IF($L316="","",IF(INT(($L316-INT($L316/10000000)*10000000)/1000000)=0,"Bloomberg projection",IF($P316=1,"ANNOUNCED","ANNOUNCED - amount TBA")))</f>
        <v/>
      </c>
      <c r="J316" s="46">
        <f>IF($L316="","",IF((OV_SWITCH="ON")*(COUNTIFS(OVR_TICKERS,INDEX(HSTECH!$C$7:$C$46,$N316),OVR_BASE,"&gt;=0")&gt;0)&gt;0,"stock overridden",""))</f>
        <v/>
      </c>
      <c r="L316" s="121">
        <f>IFERROR(IF(SMALL(Grids!$EE$116:$GQ$155,$M$313+1)&gt;=PEND_TO,"",SMALL(Grids!$EE$116:$GQ$155,$M$313+1)),"")</f>
        <v/>
      </c>
      <c r="M316" s="121">
        <f>IF($L316="","",INT($L316/1000000000))</f>
        <v/>
      </c>
      <c r="N316" s="121">
        <f>IF($L316="","",INT(($L316-INT($L316/1000000)*1000000)/1000))</f>
        <v/>
      </c>
      <c r="O316" s="121">
        <f>IF($L316="","",$L316-INT($L316/1000)*1000)</f>
        <v/>
      </c>
      <c r="P316" s="121">
        <f>IF($L316="","",INT(($L316-INT($L316/1000000000)*1000000000)/100000000))</f>
        <v/>
      </c>
    </row>
    <row r="317">
      <c r="B317" s="122">
        <f>IF($L317="","",$M317)</f>
        <v/>
      </c>
      <c r="C317" s="22">
        <f>IF($L317="","",INDEX(HSTECH!$C$7:$C$46,$N317))</f>
        <v/>
      </c>
      <c r="D317" s="22">
        <f>IF($L317="","",INDEX(HSTECH!$D$7:$D$46,$N317))</f>
        <v/>
      </c>
      <c r="E317" s="123">
        <f>IF($L317="","",IF($P317=0,"TBA",IFERROR(INDEX(Grids!$C$116:$BO$155,$N317,$O317),"-")))</f>
        <v/>
      </c>
      <c r="F317" s="22">
        <f>IF($L317="","",INDEX(HSTECH!$F$7:$F$46,$N317))</f>
        <v/>
      </c>
      <c r="G317" s="123">
        <f>IF($L317="","",IF($P317=0,"TBA",IFERROR(INDEX(Grids!$BQ$116:$EC$155,$N317,$O317),"-")))</f>
        <v/>
      </c>
      <c r="H317" s="124">
        <f>IF($L317="","",SUM($G$316:$G317))</f>
        <v/>
      </c>
      <c r="I317" s="45">
        <f>IF($L317="","",IF(INT(($L317-INT($L317/10000000)*10000000)/1000000)=0,"Bloomberg projection",IF($P317=1,"ANNOUNCED","ANNOUNCED - amount TBA")))</f>
        <v/>
      </c>
      <c r="J317" s="46">
        <f>IF($L317="","",IF((OV_SWITCH="ON")*(COUNTIFS(OVR_TICKERS,INDEX(HSTECH!$C$7:$C$46,$N317),OVR_BASE,"&gt;=0")&gt;0)&gt;0,"stock overridden",""))</f>
        <v/>
      </c>
      <c r="L317" s="121">
        <f>IFERROR(IF(SMALL(Grids!$EE$116:$GQ$155,$M$313+2)&gt;=PEND_TO,"",SMALL(Grids!$EE$116:$GQ$155,$M$313+2)),"")</f>
        <v/>
      </c>
      <c r="M317" s="121">
        <f>IF($L317="","",INT($L317/1000000000))</f>
        <v/>
      </c>
      <c r="N317" s="121">
        <f>IF($L317="","",INT(($L317-INT($L317/1000000)*1000000)/1000))</f>
        <v/>
      </c>
      <c r="O317" s="121">
        <f>IF($L317="","",$L317-INT($L317/1000)*1000)</f>
        <v/>
      </c>
      <c r="P317" s="121">
        <f>IF($L317="","",INT(($L317-INT($L317/1000000000)*1000000000)/100000000))</f>
        <v/>
      </c>
    </row>
    <row r="318">
      <c r="B318" s="122">
        <f>IF($L318="","",$M318)</f>
        <v/>
      </c>
      <c r="C318" s="22">
        <f>IF($L318="","",INDEX(HSTECH!$C$7:$C$46,$N318))</f>
        <v/>
      </c>
      <c r="D318" s="22">
        <f>IF($L318="","",INDEX(HSTECH!$D$7:$D$46,$N318))</f>
        <v/>
      </c>
      <c r="E318" s="123">
        <f>IF($L318="","",IF($P318=0,"TBA",IFERROR(INDEX(Grids!$C$116:$BO$155,$N318,$O318),"-")))</f>
        <v/>
      </c>
      <c r="F318" s="22">
        <f>IF($L318="","",INDEX(HSTECH!$F$7:$F$46,$N318))</f>
        <v/>
      </c>
      <c r="G318" s="123">
        <f>IF($L318="","",IF($P318=0,"TBA",IFERROR(INDEX(Grids!$BQ$116:$EC$155,$N318,$O318),"-")))</f>
        <v/>
      </c>
      <c r="H318" s="124">
        <f>IF($L318="","",SUM($G$316:$G318))</f>
        <v/>
      </c>
      <c r="I318" s="45">
        <f>IF($L318="","",IF(INT(($L318-INT($L318/10000000)*10000000)/1000000)=0,"Bloomberg projection",IF($P318=1,"ANNOUNCED","ANNOUNCED - amount TBA")))</f>
        <v/>
      </c>
      <c r="J318" s="46">
        <f>IF($L318="","",IF((OV_SWITCH="ON")*(COUNTIFS(OVR_TICKERS,INDEX(HSTECH!$C$7:$C$46,$N318),OVR_BASE,"&gt;=0")&gt;0)&gt;0,"stock overridden",""))</f>
        <v/>
      </c>
      <c r="L318" s="121">
        <f>IFERROR(IF(SMALL(Grids!$EE$116:$GQ$155,$M$313+3)&gt;=PEND_TO,"",SMALL(Grids!$EE$116:$GQ$155,$M$313+3)),"")</f>
        <v/>
      </c>
      <c r="M318" s="121">
        <f>IF($L318="","",INT($L318/1000000000))</f>
        <v/>
      </c>
      <c r="N318" s="121">
        <f>IF($L318="","",INT(($L318-INT($L318/1000000)*1000000)/1000))</f>
        <v/>
      </c>
      <c r="O318" s="121">
        <f>IF($L318="","",$L318-INT($L318/1000)*1000)</f>
        <v/>
      </c>
      <c r="P318" s="121">
        <f>IF($L318="","",INT(($L318-INT($L318/1000000000)*1000000000)/100000000))</f>
        <v/>
      </c>
    </row>
    <row r="319">
      <c r="B319" s="122">
        <f>IF($L319="","",$M319)</f>
        <v/>
      </c>
      <c r="C319" s="22">
        <f>IF($L319="","",INDEX(HSTECH!$C$7:$C$46,$N319))</f>
        <v/>
      </c>
      <c r="D319" s="22">
        <f>IF($L319="","",INDEX(HSTECH!$D$7:$D$46,$N319))</f>
        <v/>
      </c>
      <c r="E319" s="123">
        <f>IF($L319="","",IF($P319=0,"TBA",IFERROR(INDEX(Grids!$C$116:$BO$155,$N319,$O319),"-")))</f>
        <v/>
      </c>
      <c r="F319" s="22">
        <f>IF($L319="","",INDEX(HSTECH!$F$7:$F$46,$N319))</f>
        <v/>
      </c>
      <c r="G319" s="123">
        <f>IF($L319="","",IF($P319=0,"TBA",IFERROR(INDEX(Grids!$BQ$116:$EC$155,$N319,$O319),"-")))</f>
        <v/>
      </c>
      <c r="H319" s="124">
        <f>IF($L319="","",SUM($G$316:$G319))</f>
        <v/>
      </c>
      <c r="I319" s="45">
        <f>IF($L319="","",IF(INT(($L319-INT($L319/10000000)*10000000)/1000000)=0,"Bloomberg projection",IF($P319=1,"ANNOUNCED","ANNOUNCED - amount TBA")))</f>
        <v/>
      </c>
      <c r="J319" s="46">
        <f>IF($L319="","",IF((OV_SWITCH="ON")*(COUNTIFS(OVR_TICKERS,INDEX(HSTECH!$C$7:$C$46,$N319),OVR_BASE,"&gt;=0")&gt;0)&gt;0,"stock overridden",""))</f>
        <v/>
      </c>
      <c r="L319" s="121">
        <f>IFERROR(IF(SMALL(Grids!$EE$116:$GQ$155,$M$313+4)&gt;=PEND_TO,"",SMALL(Grids!$EE$116:$GQ$155,$M$313+4)),"")</f>
        <v/>
      </c>
      <c r="M319" s="121">
        <f>IF($L319="","",INT($L319/1000000000))</f>
        <v/>
      </c>
      <c r="N319" s="121">
        <f>IF($L319="","",INT(($L319-INT($L319/1000000)*1000000)/1000))</f>
        <v/>
      </c>
      <c r="O319" s="121">
        <f>IF($L319="","",$L319-INT($L319/1000)*1000)</f>
        <v/>
      </c>
      <c r="P319" s="121">
        <f>IF($L319="","",INT(($L319-INT($L319/1000000000)*1000000000)/100000000))</f>
        <v/>
      </c>
    </row>
    <row r="320">
      <c r="B320" s="122">
        <f>IF($L320="","",$M320)</f>
        <v/>
      </c>
      <c r="C320" s="22">
        <f>IF($L320="","",INDEX(HSTECH!$C$7:$C$46,$N320))</f>
        <v/>
      </c>
      <c r="D320" s="22">
        <f>IF($L320="","",INDEX(HSTECH!$D$7:$D$46,$N320))</f>
        <v/>
      </c>
      <c r="E320" s="123">
        <f>IF($L320="","",IF($P320=0,"TBA",IFERROR(INDEX(Grids!$C$116:$BO$155,$N320,$O320),"-")))</f>
        <v/>
      </c>
      <c r="F320" s="22">
        <f>IF($L320="","",INDEX(HSTECH!$F$7:$F$46,$N320))</f>
        <v/>
      </c>
      <c r="G320" s="123">
        <f>IF($L320="","",IF($P320=0,"TBA",IFERROR(INDEX(Grids!$BQ$116:$EC$155,$N320,$O320),"-")))</f>
        <v/>
      </c>
      <c r="H320" s="124">
        <f>IF($L320="","",SUM($G$316:$G320))</f>
        <v/>
      </c>
      <c r="I320" s="45">
        <f>IF($L320="","",IF(INT(($L320-INT($L320/10000000)*10000000)/1000000)=0,"Bloomberg projection",IF($P320=1,"ANNOUNCED","ANNOUNCED - amount TBA")))</f>
        <v/>
      </c>
      <c r="J320" s="46">
        <f>IF($L320="","",IF((OV_SWITCH="ON")*(COUNTIFS(OVR_TICKERS,INDEX(HSTECH!$C$7:$C$46,$N320),OVR_BASE,"&gt;=0")&gt;0)&gt;0,"stock overridden",""))</f>
        <v/>
      </c>
      <c r="L320" s="121">
        <f>IFERROR(IF(SMALL(Grids!$EE$116:$GQ$155,$M$313+5)&gt;=PEND_TO,"",SMALL(Grids!$EE$116:$GQ$155,$M$313+5)),"")</f>
        <v/>
      </c>
      <c r="M320" s="121">
        <f>IF($L320="","",INT($L320/1000000000))</f>
        <v/>
      </c>
      <c r="N320" s="121">
        <f>IF($L320="","",INT(($L320-INT($L320/1000000)*1000000)/1000))</f>
        <v/>
      </c>
      <c r="O320" s="121">
        <f>IF($L320="","",$L320-INT($L320/1000)*1000)</f>
        <v/>
      </c>
      <c r="P320" s="121">
        <f>IF($L320="","",INT(($L320-INT($L320/1000000000)*1000000000)/100000000))</f>
        <v/>
      </c>
    </row>
    <row r="321">
      <c r="B321" s="122">
        <f>IF($L321="","",$M321)</f>
        <v/>
      </c>
      <c r="C321" s="22">
        <f>IF($L321="","",INDEX(HSTECH!$C$7:$C$46,$N321))</f>
        <v/>
      </c>
      <c r="D321" s="22">
        <f>IF($L321="","",INDEX(HSTECH!$D$7:$D$46,$N321))</f>
        <v/>
      </c>
      <c r="E321" s="123">
        <f>IF($L321="","",IF($P321=0,"TBA",IFERROR(INDEX(Grids!$C$116:$BO$155,$N321,$O321),"-")))</f>
        <v/>
      </c>
      <c r="F321" s="22">
        <f>IF($L321="","",INDEX(HSTECH!$F$7:$F$46,$N321))</f>
        <v/>
      </c>
      <c r="G321" s="123">
        <f>IF($L321="","",IF($P321=0,"TBA",IFERROR(INDEX(Grids!$BQ$116:$EC$155,$N321,$O321),"-")))</f>
        <v/>
      </c>
      <c r="H321" s="124">
        <f>IF($L321="","",SUM($G$316:$G321))</f>
        <v/>
      </c>
      <c r="I321" s="45">
        <f>IF($L321="","",IF(INT(($L321-INT($L321/10000000)*10000000)/1000000)=0,"Bloomberg projection",IF($P321=1,"ANNOUNCED","ANNOUNCED - amount TBA")))</f>
        <v/>
      </c>
      <c r="J321" s="46">
        <f>IF($L321="","",IF((OV_SWITCH="ON")*(COUNTIFS(OVR_TICKERS,INDEX(HSTECH!$C$7:$C$46,$N321),OVR_BASE,"&gt;=0")&gt;0)&gt;0,"stock overridden",""))</f>
        <v/>
      </c>
      <c r="L321" s="121">
        <f>IFERROR(IF(SMALL(Grids!$EE$116:$GQ$155,$M$313+6)&gt;=PEND_TO,"",SMALL(Grids!$EE$116:$GQ$155,$M$313+6)),"")</f>
        <v/>
      </c>
      <c r="M321" s="121">
        <f>IF($L321="","",INT($L321/1000000000))</f>
        <v/>
      </c>
      <c r="N321" s="121">
        <f>IF($L321="","",INT(($L321-INT($L321/1000000)*1000000)/1000))</f>
        <v/>
      </c>
      <c r="O321" s="121">
        <f>IF($L321="","",$L321-INT($L321/1000)*1000)</f>
        <v/>
      </c>
      <c r="P321" s="121">
        <f>IF($L321="","",INT(($L321-INT($L321/1000000000)*1000000000)/100000000))</f>
        <v/>
      </c>
    </row>
    <row r="322">
      <c r="B322" s="122">
        <f>IF($L322="","",$M322)</f>
        <v/>
      </c>
      <c r="C322" s="22">
        <f>IF($L322="","",INDEX(HSTECH!$C$7:$C$46,$N322))</f>
        <v/>
      </c>
      <c r="D322" s="22">
        <f>IF($L322="","",INDEX(HSTECH!$D$7:$D$46,$N322))</f>
        <v/>
      </c>
      <c r="E322" s="123">
        <f>IF($L322="","",IF($P322=0,"TBA",IFERROR(INDEX(Grids!$C$116:$BO$155,$N322,$O322),"-")))</f>
        <v/>
      </c>
      <c r="F322" s="22">
        <f>IF($L322="","",INDEX(HSTECH!$F$7:$F$46,$N322))</f>
        <v/>
      </c>
      <c r="G322" s="123">
        <f>IF($L322="","",IF($P322=0,"TBA",IFERROR(INDEX(Grids!$BQ$116:$EC$155,$N322,$O322),"-")))</f>
        <v/>
      </c>
      <c r="H322" s="124">
        <f>IF($L322="","",SUM($G$316:$G322))</f>
        <v/>
      </c>
      <c r="I322" s="45">
        <f>IF($L322="","",IF(INT(($L322-INT($L322/10000000)*10000000)/1000000)=0,"Bloomberg projection",IF($P322=1,"ANNOUNCED","ANNOUNCED - amount TBA")))</f>
        <v/>
      </c>
      <c r="J322" s="46">
        <f>IF($L322="","",IF((OV_SWITCH="ON")*(COUNTIFS(OVR_TICKERS,INDEX(HSTECH!$C$7:$C$46,$N322),OVR_BASE,"&gt;=0")&gt;0)&gt;0,"stock overridden",""))</f>
        <v/>
      </c>
      <c r="L322" s="121">
        <f>IFERROR(IF(SMALL(Grids!$EE$116:$GQ$155,$M$313+7)&gt;=PEND_TO,"",SMALL(Grids!$EE$116:$GQ$155,$M$313+7)),"")</f>
        <v/>
      </c>
      <c r="M322" s="121">
        <f>IF($L322="","",INT($L322/1000000000))</f>
        <v/>
      </c>
      <c r="N322" s="121">
        <f>IF($L322="","",INT(($L322-INT($L322/1000000)*1000000)/1000))</f>
        <v/>
      </c>
      <c r="O322" s="121">
        <f>IF($L322="","",$L322-INT($L322/1000)*1000)</f>
        <v/>
      </c>
      <c r="P322" s="121">
        <f>IF($L322="","",INT(($L322-INT($L322/1000000000)*1000000000)/100000000))</f>
        <v/>
      </c>
    </row>
    <row r="323">
      <c r="B323" s="122">
        <f>IF($L323="","",$M323)</f>
        <v/>
      </c>
      <c r="C323" s="22">
        <f>IF($L323="","",INDEX(HSTECH!$C$7:$C$46,$N323))</f>
        <v/>
      </c>
      <c r="D323" s="22">
        <f>IF($L323="","",INDEX(HSTECH!$D$7:$D$46,$N323))</f>
        <v/>
      </c>
      <c r="E323" s="123">
        <f>IF($L323="","",IF($P323=0,"TBA",IFERROR(INDEX(Grids!$C$116:$BO$155,$N323,$O323),"-")))</f>
        <v/>
      </c>
      <c r="F323" s="22">
        <f>IF($L323="","",INDEX(HSTECH!$F$7:$F$46,$N323))</f>
        <v/>
      </c>
      <c r="G323" s="123">
        <f>IF($L323="","",IF($P323=0,"TBA",IFERROR(INDEX(Grids!$BQ$116:$EC$155,$N323,$O323),"-")))</f>
        <v/>
      </c>
      <c r="H323" s="124">
        <f>IF($L323="","",SUM($G$316:$G323))</f>
        <v/>
      </c>
      <c r="I323" s="45">
        <f>IF($L323="","",IF(INT(($L323-INT($L323/10000000)*10000000)/1000000)=0,"Bloomberg projection",IF($P323=1,"ANNOUNCED","ANNOUNCED - amount TBA")))</f>
        <v/>
      </c>
      <c r="J323" s="46">
        <f>IF($L323="","",IF((OV_SWITCH="ON")*(COUNTIFS(OVR_TICKERS,INDEX(HSTECH!$C$7:$C$46,$N323),OVR_BASE,"&gt;=0")&gt;0)&gt;0,"stock overridden",""))</f>
        <v/>
      </c>
      <c r="L323" s="121">
        <f>IFERROR(IF(SMALL(Grids!$EE$116:$GQ$155,$M$313+8)&gt;=PEND_TO,"",SMALL(Grids!$EE$116:$GQ$155,$M$313+8)),"")</f>
        <v/>
      </c>
      <c r="M323" s="121">
        <f>IF($L323="","",INT($L323/1000000000))</f>
        <v/>
      </c>
      <c r="N323" s="121">
        <f>IF($L323="","",INT(($L323-INT($L323/1000000)*1000000)/1000))</f>
        <v/>
      </c>
      <c r="O323" s="121">
        <f>IF($L323="","",$L323-INT($L323/1000)*1000)</f>
        <v/>
      </c>
      <c r="P323" s="121">
        <f>IF($L323="","",INT(($L323-INT($L323/1000000000)*1000000000)/100000000))</f>
        <v/>
      </c>
    </row>
    <row r="324">
      <c r="B324" s="122">
        <f>IF($L324="","",$M324)</f>
        <v/>
      </c>
      <c r="C324" s="22">
        <f>IF($L324="","",INDEX(HSTECH!$C$7:$C$46,$N324))</f>
        <v/>
      </c>
      <c r="D324" s="22">
        <f>IF($L324="","",INDEX(HSTECH!$D$7:$D$46,$N324))</f>
        <v/>
      </c>
      <c r="E324" s="123">
        <f>IF($L324="","",IF($P324=0,"TBA",IFERROR(INDEX(Grids!$C$116:$BO$155,$N324,$O324),"-")))</f>
        <v/>
      </c>
      <c r="F324" s="22">
        <f>IF($L324="","",INDEX(HSTECH!$F$7:$F$46,$N324))</f>
        <v/>
      </c>
      <c r="G324" s="123">
        <f>IF($L324="","",IF($P324=0,"TBA",IFERROR(INDEX(Grids!$BQ$116:$EC$155,$N324,$O324),"-")))</f>
        <v/>
      </c>
      <c r="H324" s="124">
        <f>IF($L324="","",SUM($G$316:$G324))</f>
        <v/>
      </c>
      <c r="I324" s="45">
        <f>IF($L324="","",IF(INT(($L324-INT($L324/10000000)*10000000)/1000000)=0,"Bloomberg projection",IF($P324=1,"ANNOUNCED","ANNOUNCED - amount TBA")))</f>
        <v/>
      </c>
      <c r="J324" s="46">
        <f>IF($L324="","",IF((OV_SWITCH="ON")*(COUNTIFS(OVR_TICKERS,INDEX(HSTECH!$C$7:$C$46,$N324),OVR_BASE,"&gt;=0")&gt;0)&gt;0,"stock overridden",""))</f>
        <v/>
      </c>
      <c r="L324" s="121">
        <f>IFERROR(IF(SMALL(Grids!$EE$116:$GQ$155,$M$313+9)&gt;=PEND_TO,"",SMALL(Grids!$EE$116:$GQ$155,$M$313+9)),"")</f>
        <v/>
      </c>
      <c r="M324" s="121">
        <f>IF($L324="","",INT($L324/1000000000))</f>
        <v/>
      </c>
      <c r="N324" s="121">
        <f>IF($L324="","",INT(($L324-INT($L324/1000000)*1000000)/1000))</f>
        <v/>
      </c>
      <c r="O324" s="121">
        <f>IF($L324="","",$L324-INT($L324/1000)*1000)</f>
        <v/>
      </c>
      <c r="P324" s="121">
        <f>IF($L324="","",INT(($L324-INT($L324/1000000000)*1000000000)/100000000))</f>
        <v/>
      </c>
    </row>
    <row r="325">
      <c r="B325" s="122">
        <f>IF($L325="","",$M325)</f>
        <v/>
      </c>
      <c r="C325" s="22">
        <f>IF($L325="","",INDEX(HSTECH!$C$7:$C$46,$N325))</f>
        <v/>
      </c>
      <c r="D325" s="22">
        <f>IF($L325="","",INDEX(HSTECH!$D$7:$D$46,$N325))</f>
        <v/>
      </c>
      <c r="E325" s="123">
        <f>IF($L325="","",IF($P325=0,"TBA",IFERROR(INDEX(Grids!$C$116:$BO$155,$N325,$O325),"-")))</f>
        <v/>
      </c>
      <c r="F325" s="22">
        <f>IF($L325="","",INDEX(HSTECH!$F$7:$F$46,$N325))</f>
        <v/>
      </c>
      <c r="G325" s="123">
        <f>IF($L325="","",IF($P325=0,"TBA",IFERROR(INDEX(Grids!$BQ$116:$EC$155,$N325,$O325),"-")))</f>
        <v/>
      </c>
      <c r="H325" s="124">
        <f>IF($L325="","",SUM($G$316:$G325))</f>
        <v/>
      </c>
      <c r="I325" s="45">
        <f>IF($L325="","",IF(INT(($L325-INT($L325/10000000)*10000000)/1000000)=0,"Bloomberg projection",IF($P325=1,"ANNOUNCED","ANNOUNCED - amount TBA")))</f>
        <v/>
      </c>
      <c r="J325" s="46">
        <f>IF($L325="","",IF((OV_SWITCH="ON")*(COUNTIFS(OVR_TICKERS,INDEX(HSTECH!$C$7:$C$46,$N325),OVR_BASE,"&gt;=0")&gt;0)&gt;0,"stock overridden",""))</f>
        <v/>
      </c>
      <c r="L325" s="121">
        <f>IFERROR(IF(SMALL(Grids!$EE$116:$GQ$155,$M$313+10)&gt;=PEND_TO,"",SMALL(Grids!$EE$116:$GQ$155,$M$313+10)),"")</f>
        <v/>
      </c>
      <c r="M325" s="121">
        <f>IF($L325="","",INT($L325/1000000000))</f>
        <v/>
      </c>
      <c r="N325" s="121">
        <f>IF($L325="","",INT(($L325-INT($L325/1000000)*1000000)/1000))</f>
        <v/>
      </c>
      <c r="O325" s="121">
        <f>IF($L325="","",$L325-INT($L325/1000)*1000)</f>
        <v/>
      </c>
      <c r="P325" s="121">
        <f>IF($L325="","",INT(($L325-INT($L325/1000000000)*1000000000)/100000000))</f>
        <v/>
      </c>
    </row>
    <row r="326">
      <c r="B326" s="122">
        <f>IF($L326="","",$M326)</f>
        <v/>
      </c>
      <c r="C326" s="22">
        <f>IF($L326="","",INDEX(HSTECH!$C$7:$C$46,$N326))</f>
        <v/>
      </c>
      <c r="D326" s="22">
        <f>IF($L326="","",INDEX(HSTECH!$D$7:$D$46,$N326))</f>
        <v/>
      </c>
      <c r="E326" s="123">
        <f>IF($L326="","",IF($P326=0,"TBA",IFERROR(INDEX(Grids!$C$116:$BO$155,$N326,$O326),"-")))</f>
        <v/>
      </c>
      <c r="F326" s="22">
        <f>IF($L326="","",INDEX(HSTECH!$F$7:$F$46,$N326))</f>
        <v/>
      </c>
      <c r="G326" s="123">
        <f>IF($L326="","",IF($P326=0,"TBA",IFERROR(INDEX(Grids!$BQ$116:$EC$155,$N326,$O326),"-")))</f>
        <v/>
      </c>
      <c r="H326" s="124">
        <f>IF($L326="","",SUM($G$316:$G326))</f>
        <v/>
      </c>
      <c r="I326" s="45">
        <f>IF($L326="","",IF(INT(($L326-INT($L326/10000000)*10000000)/1000000)=0,"Bloomberg projection",IF($P326=1,"ANNOUNCED","ANNOUNCED - amount TBA")))</f>
        <v/>
      </c>
      <c r="J326" s="46">
        <f>IF($L326="","",IF((OV_SWITCH="ON")*(COUNTIFS(OVR_TICKERS,INDEX(HSTECH!$C$7:$C$46,$N326),OVR_BASE,"&gt;=0")&gt;0)&gt;0,"stock overridden",""))</f>
        <v/>
      </c>
      <c r="L326" s="121">
        <f>IFERROR(IF(SMALL(Grids!$EE$116:$GQ$155,$M$313+11)&gt;=PEND_TO,"",SMALL(Grids!$EE$116:$GQ$155,$M$313+11)),"")</f>
        <v/>
      </c>
      <c r="M326" s="121">
        <f>IF($L326="","",INT($L326/1000000000))</f>
        <v/>
      </c>
      <c r="N326" s="121">
        <f>IF($L326="","",INT(($L326-INT($L326/1000000)*1000000)/1000))</f>
        <v/>
      </c>
      <c r="O326" s="121">
        <f>IF($L326="","",$L326-INT($L326/1000)*1000)</f>
        <v/>
      </c>
      <c r="P326" s="121">
        <f>IF($L326="","",INT(($L326-INT($L326/1000000000)*1000000000)/100000000))</f>
        <v/>
      </c>
    </row>
    <row r="327">
      <c r="B327" s="122">
        <f>IF($L327="","",$M327)</f>
        <v/>
      </c>
      <c r="C327" s="22">
        <f>IF($L327="","",INDEX(HSTECH!$C$7:$C$46,$N327))</f>
        <v/>
      </c>
      <c r="D327" s="22">
        <f>IF($L327="","",INDEX(HSTECH!$D$7:$D$46,$N327))</f>
        <v/>
      </c>
      <c r="E327" s="123">
        <f>IF($L327="","",IF($P327=0,"TBA",IFERROR(INDEX(Grids!$C$116:$BO$155,$N327,$O327),"-")))</f>
        <v/>
      </c>
      <c r="F327" s="22">
        <f>IF($L327="","",INDEX(HSTECH!$F$7:$F$46,$N327))</f>
        <v/>
      </c>
      <c r="G327" s="123">
        <f>IF($L327="","",IF($P327=0,"TBA",IFERROR(INDEX(Grids!$BQ$116:$EC$155,$N327,$O327),"-")))</f>
        <v/>
      </c>
      <c r="H327" s="124">
        <f>IF($L327="","",SUM($G$316:$G327))</f>
        <v/>
      </c>
      <c r="I327" s="45">
        <f>IF($L327="","",IF(INT(($L327-INT($L327/10000000)*10000000)/1000000)=0,"Bloomberg projection",IF($P327=1,"ANNOUNCED","ANNOUNCED - amount TBA")))</f>
        <v/>
      </c>
      <c r="J327" s="46">
        <f>IF($L327="","",IF((OV_SWITCH="ON")*(COUNTIFS(OVR_TICKERS,INDEX(HSTECH!$C$7:$C$46,$N327),OVR_BASE,"&gt;=0")&gt;0)&gt;0,"stock overridden",""))</f>
        <v/>
      </c>
      <c r="L327" s="121">
        <f>IFERROR(IF(SMALL(Grids!$EE$116:$GQ$155,$M$313+12)&gt;=PEND_TO,"",SMALL(Grids!$EE$116:$GQ$155,$M$313+12)),"")</f>
        <v/>
      </c>
      <c r="M327" s="121">
        <f>IF($L327="","",INT($L327/1000000000))</f>
        <v/>
      </c>
      <c r="N327" s="121">
        <f>IF($L327="","",INT(($L327-INT($L327/1000000)*1000000)/1000))</f>
        <v/>
      </c>
      <c r="O327" s="121">
        <f>IF($L327="","",$L327-INT($L327/1000)*1000)</f>
        <v/>
      </c>
      <c r="P327" s="121">
        <f>IF($L327="","",INT(($L327-INT($L327/1000000000)*1000000000)/100000000))</f>
        <v/>
      </c>
    </row>
    <row r="328">
      <c r="B328" s="122">
        <f>IF($L328="","",$M328)</f>
        <v/>
      </c>
      <c r="C328" s="22">
        <f>IF($L328="","",INDEX(HSTECH!$C$7:$C$46,$N328))</f>
        <v/>
      </c>
      <c r="D328" s="22">
        <f>IF($L328="","",INDEX(HSTECH!$D$7:$D$46,$N328))</f>
        <v/>
      </c>
      <c r="E328" s="123">
        <f>IF($L328="","",IF($P328=0,"TBA",IFERROR(INDEX(Grids!$C$116:$BO$155,$N328,$O328),"-")))</f>
        <v/>
      </c>
      <c r="F328" s="22">
        <f>IF($L328="","",INDEX(HSTECH!$F$7:$F$46,$N328))</f>
        <v/>
      </c>
      <c r="G328" s="123">
        <f>IF($L328="","",IF($P328=0,"TBA",IFERROR(INDEX(Grids!$BQ$116:$EC$155,$N328,$O328),"-")))</f>
        <v/>
      </c>
      <c r="H328" s="124">
        <f>IF($L328="","",SUM($G$316:$G328))</f>
        <v/>
      </c>
      <c r="I328" s="45">
        <f>IF($L328="","",IF(INT(($L328-INT($L328/10000000)*10000000)/1000000)=0,"Bloomberg projection",IF($P328=1,"ANNOUNCED","ANNOUNCED - amount TBA")))</f>
        <v/>
      </c>
      <c r="J328" s="46">
        <f>IF($L328="","",IF((OV_SWITCH="ON")*(COUNTIFS(OVR_TICKERS,INDEX(HSTECH!$C$7:$C$46,$N328),OVR_BASE,"&gt;=0")&gt;0)&gt;0,"stock overridden",""))</f>
        <v/>
      </c>
      <c r="L328" s="121">
        <f>IFERROR(IF(SMALL(Grids!$EE$116:$GQ$155,$M$313+13)&gt;=PEND_TO,"",SMALL(Grids!$EE$116:$GQ$155,$M$313+13)),"")</f>
        <v/>
      </c>
      <c r="M328" s="121">
        <f>IF($L328="","",INT($L328/1000000000))</f>
        <v/>
      </c>
      <c r="N328" s="121">
        <f>IF($L328="","",INT(($L328-INT($L328/1000000)*1000000)/1000))</f>
        <v/>
      </c>
      <c r="O328" s="121">
        <f>IF($L328="","",$L328-INT($L328/1000)*1000)</f>
        <v/>
      </c>
      <c r="P328" s="121">
        <f>IF($L328="","",INT(($L328-INT($L328/1000000000)*1000000000)/100000000))</f>
        <v/>
      </c>
    </row>
    <row r="329">
      <c r="B329" s="122">
        <f>IF($L329="","",$M329)</f>
        <v/>
      </c>
      <c r="C329" s="22">
        <f>IF($L329="","",INDEX(HSTECH!$C$7:$C$46,$N329))</f>
        <v/>
      </c>
      <c r="D329" s="22">
        <f>IF($L329="","",INDEX(HSTECH!$D$7:$D$46,$N329))</f>
        <v/>
      </c>
      <c r="E329" s="123">
        <f>IF($L329="","",IF($P329=0,"TBA",IFERROR(INDEX(Grids!$C$116:$BO$155,$N329,$O329),"-")))</f>
        <v/>
      </c>
      <c r="F329" s="22">
        <f>IF($L329="","",INDEX(HSTECH!$F$7:$F$46,$N329))</f>
        <v/>
      </c>
      <c r="G329" s="123">
        <f>IF($L329="","",IF($P329=0,"TBA",IFERROR(INDEX(Grids!$BQ$116:$EC$155,$N329,$O329),"-")))</f>
        <v/>
      </c>
      <c r="H329" s="124">
        <f>IF($L329="","",SUM($G$316:$G329))</f>
        <v/>
      </c>
      <c r="I329" s="45">
        <f>IF($L329="","",IF(INT(($L329-INT($L329/10000000)*10000000)/1000000)=0,"Bloomberg projection",IF($P329=1,"ANNOUNCED","ANNOUNCED - amount TBA")))</f>
        <v/>
      </c>
      <c r="J329" s="46">
        <f>IF($L329="","",IF((OV_SWITCH="ON")*(COUNTIFS(OVR_TICKERS,INDEX(HSTECH!$C$7:$C$46,$N329),OVR_BASE,"&gt;=0")&gt;0)&gt;0,"stock overridden",""))</f>
        <v/>
      </c>
      <c r="L329" s="121">
        <f>IFERROR(IF(SMALL(Grids!$EE$116:$GQ$155,$M$313+14)&gt;=PEND_TO,"",SMALL(Grids!$EE$116:$GQ$155,$M$313+14)),"")</f>
        <v/>
      </c>
      <c r="M329" s="121">
        <f>IF($L329="","",INT($L329/1000000000))</f>
        <v/>
      </c>
      <c r="N329" s="121">
        <f>IF($L329="","",INT(($L329-INT($L329/1000000)*1000000)/1000))</f>
        <v/>
      </c>
      <c r="O329" s="121">
        <f>IF($L329="","",$L329-INT($L329/1000)*1000)</f>
        <v/>
      </c>
      <c r="P329" s="121">
        <f>IF($L329="","",INT(($L329-INT($L329/1000000000)*1000000000)/100000000))</f>
        <v/>
      </c>
    </row>
    <row r="330">
      <c r="B330" s="122">
        <f>IF($L330="","",$M330)</f>
        <v/>
      </c>
      <c r="C330" s="22">
        <f>IF($L330="","",INDEX(HSTECH!$C$7:$C$46,$N330))</f>
        <v/>
      </c>
      <c r="D330" s="22">
        <f>IF($L330="","",INDEX(HSTECH!$D$7:$D$46,$N330))</f>
        <v/>
      </c>
      <c r="E330" s="123">
        <f>IF($L330="","",IF($P330=0,"TBA",IFERROR(INDEX(Grids!$C$116:$BO$155,$N330,$O330),"-")))</f>
        <v/>
      </c>
      <c r="F330" s="22">
        <f>IF($L330="","",INDEX(HSTECH!$F$7:$F$46,$N330))</f>
        <v/>
      </c>
      <c r="G330" s="123">
        <f>IF($L330="","",IF($P330=0,"TBA",IFERROR(INDEX(Grids!$BQ$116:$EC$155,$N330,$O330),"-")))</f>
        <v/>
      </c>
      <c r="H330" s="124">
        <f>IF($L330="","",SUM($G$316:$G330))</f>
        <v/>
      </c>
      <c r="I330" s="45">
        <f>IF($L330="","",IF(INT(($L330-INT($L330/10000000)*10000000)/1000000)=0,"Bloomberg projection",IF($P330=1,"ANNOUNCED","ANNOUNCED - amount TBA")))</f>
        <v/>
      </c>
      <c r="J330" s="46">
        <f>IF($L330="","",IF((OV_SWITCH="ON")*(COUNTIFS(OVR_TICKERS,INDEX(HSTECH!$C$7:$C$46,$N330),OVR_BASE,"&gt;=0")&gt;0)&gt;0,"stock overridden",""))</f>
        <v/>
      </c>
      <c r="L330" s="121">
        <f>IFERROR(IF(SMALL(Grids!$EE$116:$GQ$155,$M$313+15)&gt;=PEND_TO,"",SMALL(Grids!$EE$116:$GQ$155,$M$313+15)),"")</f>
        <v/>
      </c>
      <c r="M330" s="121">
        <f>IF($L330="","",INT($L330/1000000000))</f>
        <v/>
      </c>
      <c r="N330" s="121">
        <f>IF($L330="","",INT(($L330-INT($L330/1000000)*1000000)/1000))</f>
        <v/>
      </c>
      <c r="O330" s="121">
        <f>IF($L330="","",$L330-INT($L330/1000)*1000)</f>
        <v/>
      </c>
      <c r="P330" s="121">
        <f>IF($L330="","",INT(($L330-INT($L330/1000000000)*1000000000)/100000000))</f>
        <v/>
      </c>
    </row>
    <row r="331">
      <c r="B331" s="122">
        <f>IF($L331="","",$M331)</f>
        <v/>
      </c>
      <c r="C331" s="22">
        <f>IF($L331="","",INDEX(HSTECH!$C$7:$C$46,$N331))</f>
        <v/>
      </c>
      <c r="D331" s="22">
        <f>IF($L331="","",INDEX(HSTECH!$D$7:$D$46,$N331))</f>
        <v/>
      </c>
      <c r="E331" s="123">
        <f>IF($L331="","",IF($P331=0,"TBA",IFERROR(INDEX(Grids!$C$116:$BO$155,$N331,$O331),"-")))</f>
        <v/>
      </c>
      <c r="F331" s="22">
        <f>IF($L331="","",INDEX(HSTECH!$F$7:$F$46,$N331))</f>
        <v/>
      </c>
      <c r="G331" s="123">
        <f>IF($L331="","",IF($P331=0,"TBA",IFERROR(INDEX(Grids!$BQ$116:$EC$155,$N331,$O331),"-")))</f>
        <v/>
      </c>
      <c r="H331" s="124">
        <f>IF($L331="","",SUM($G$316:$G331))</f>
        <v/>
      </c>
      <c r="I331" s="45">
        <f>IF($L331="","",IF(INT(($L331-INT($L331/10000000)*10000000)/1000000)=0,"Bloomberg projection",IF($P331=1,"ANNOUNCED","ANNOUNCED - amount TBA")))</f>
        <v/>
      </c>
      <c r="J331" s="46">
        <f>IF($L331="","",IF((OV_SWITCH="ON")*(COUNTIFS(OVR_TICKERS,INDEX(HSTECH!$C$7:$C$46,$N331),OVR_BASE,"&gt;=0")&gt;0)&gt;0,"stock overridden",""))</f>
        <v/>
      </c>
      <c r="L331" s="121">
        <f>IFERROR(IF(SMALL(Grids!$EE$116:$GQ$155,$M$313+16)&gt;=PEND_TO,"",SMALL(Grids!$EE$116:$GQ$155,$M$313+16)),"")</f>
        <v/>
      </c>
      <c r="M331" s="121">
        <f>IF($L331="","",INT($L331/1000000000))</f>
        <v/>
      </c>
      <c r="N331" s="121">
        <f>IF($L331="","",INT(($L331-INT($L331/1000000)*1000000)/1000))</f>
        <v/>
      </c>
      <c r="O331" s="121">
        <f>IF($L331="","",$L331-INT($L331/1000)*1000)</f>
        <v/>
      </c>
      <c r="P331" s="121">
        <f>IF($L331="","",INT(($L331-INT($L331/1000000000)*1000000000)/100000000))</f>
        <v/>
      </c>
    </row>
    <row r="332">
      <c r="B332" s="122">
        <f>IF($L332="","",$M332)</f>
        <v/>
      </c>
      <c r="C332" s="22">
        <f>IF($L332="","",INDEX(HSTECH!$C$7:$C$46,$N332))</f>
        <v/>
      </c>
      <c r="D332" s="22">
        <f>IF($L332="","",INDEX(HSTECH!$D$7:$D$46,$N332))</f>
        <v/>
      </c>
      <c r="E332" s="123">
        <f>IF($L332="","",IF($P332=0,"TBA",IFERROR(INDEX(Grids!$C$116:$BO$155,$N332,$O332),"-")))</f>
        <v/>
      </c>
      <c r="F332" s="22">
        <f>IF($L332="","",INDEX(HSTECH!$F$7:$F$46,$N332))</f>
        <v/>
      </c>
      <c r="G332" s="123">
        <f>IF($L332="","",IF($P332=0,"TBA",IFERROR(INDEX(Grids!$BQ$116:$EC$155,$N332,$O332),"-")))</f>
        <v/>
      </c>
      <c r="H332" s="124">
        <f>IF($L332="","",SUM($G$316:$G332))</f>
        <v/>
      </c>
      <c r="I332" s="45">
        <f>IF($L332="","",IF(INT(($L332-INT($L332/10000000)*10000000)/1000000)=0,"Bloomberg projection",IF($P332=1,"ANNOUNCED","ANNOUNCED - amount TBA")))</f>
        <v/>
      </c>
      <c r="J332" s="46">
        <f>IF($L332="","",IF((OV_SWITCH="ON")*(COUNTIFS(OVR_TICKERS,INDEX(HSTECH!$C$7:$C$46,$N332),OVR_BASE,"&gt;=0")&gt;0)&gt;0,"stock overridden",""))</f>
        <v/>
      </c>
      <c r="L332" s="121">
        <f>IFERROR(IF(SMALL(Grids!$EE$116:$GQ$155,$M$313+17)&gt;=PEND_TO,"",SMALL(Grids!$EE$116:$GQ$155,$M$313+17)),"")</f>
        <v/>
      </c>
      <c r="M332" s="121">
        <f>IF($L332="","",INT($L332/1000000000))</f>
        <v/>
      </c>
      <c r="N332" s="121">
        <f>IF($L332="","",INT(($L332-INT($L332/1000000)*1000000)/1000))</f>
        <v/>
      </c>
      <c r="O332" s="121">
        <f>IF($L332="","",$L332-INT($L332/1000)*1000)</f>
        <v/>
      </c>
      <c r="P332" s="121">
        <f>IF($L332="","",INT(($L332-INT($L332/1000000000)*1000000000)/100000000))</f>
        <v/>
      </c>
    </row>
    <row r="333">
      <c r="B333" s="122">
        <f>IF($L333="","",$M333)</f>
        <v/>
      </c>
      <c r="C333" s="22">
        <f>IF($L333="","",INDEX(HSTECH!$C$7:$C$46,$N333))</f>
        <v/>
      </c>
      <c r="D333" s="22">
        <f>IF($L333="","",INDEX(HSTECH!$D$7:$D$46,$N333))</f>
        <v/>
      </c>
      <c r="E333" s="123">
        <f>IF($L333="","",IF($P333=0,"TBA",IFERROR(INDEX(Grids!$C$116:$BO$155,$N333,$O333),"-")))</f>
        <v/>
      </c>
      <c r="F333" s="22">
        <f>IF($L333="","",INDEX(HSTECH!$F$7:$F$46,$N333))</f>
        <v/>
      </c>
      <c r="G333" s="123">
        <f>IF($L333="","",IF($P333=0,"TBA",IFERROR(INDEX(Grids!$BQ$116:$EC$155,$N333,$O333),"-")))</f>
        <v/>
      </c>
      <c r="H333" s="124">
        <f>IF($L333="","",SUM($G$316:$G333))</f>
        <v/>
      </c>
      <c r="I333" s="45">
        <f>IF($L333="","",IF(INT(($L333-INT($L333/10000000)*10000000)/1000000)=0,"Bloomberg projection",IF($P333=1,"ANNOUNCED","ANNOUNCED - amount TBA")))</f>
        <v/>
      </c>
      <c r="J333" s="46">
        <f>IF($L333="","",IF((OV_SWITCH="ON")*(COUNTIFS(OVR_TICKERS,INDEX(HSTECH!$C$7:$C$46,$N333),OVR_BASE,"&gt;=0")&gt;0)&gt;0,"stock overridden",""))</f>
        <v/>
      </c>
      <c r="L333" s="121">
        <f>IFERROR(IF(SMALL(Grids!$EE$116:$GQ$155,$M$313+18)&gt;=PEND_TO,"",SMALL(Grids!$EE$116:$GQ$155,$M$313+18)),"")</f>
        <v/>
      </c>
      <c r="M333" s="121">
        <f>IF($L333="","",INT($L333/1000000000))</f>
        <v/>
      </c>
      <c r="N333" s="121">
        <f>IF($L333="","",INT(($L333-INT($L333/1000000)*1000000)/1000))</f>
        <v/>
      </c>
      <c r="O333" s="121">
        <f>IF($L333="","",$L333-INT($L333/1000)*1000)</f>
        <v/>
      </c>
      <c r="P333" s="121">
        <f>IF($L333="","",INT(($L333-INT($L333/1000000000)*1000000000)/100000000))</f>
        <v/>
      </c>
    </row>
    <row r="334">
      <c r="B334" s="122">
        <f>IF($L334="","",$M334)</f>
        <v/>
      </c>
      <c r="C334" s="22">
        <f>IF($L334="","",INDEX(HSTECH!$C$7:$C$46,$N334))</f>
        <v/>
      </c>
      <c r="D334" s="22">
        <f>IF($L334="","",INDEX(HSTECH!$D$7:$D$46,$N334))</f>
        <v/>
      </c>
      <c r="E334" s="123">
        <f>IF($L334="","",IF($P334=0,"TBA",IFERROR(INDEX(Grids!$C$116:$BO$155,$N334,$O334),"-")))</f>
        <v/>
      </c>
      <c r="F334" s="22">
        <f>IF($L334="","",INDEX(HSTECH!$F$7:$F$46,$N334))</f>
        <v/>
      </c>
      <c r="G334" s="123">
        <f>IF($L334="","",IF($P334=0,"TBA",IFERROR(INDEX(Grids!$BQ$116:$EC$155,$N334,$O334),"-")))</f>
        <v/>
      </c>
      <c r="H334" s="124">
        <f>IF($L334="","",SUM($G$316:$G334))</f>
        <v/>
      </c>
      <c r="I334" s="45">
        <f>IF($L334="","",IF(INT(($L334-INT($L334/10000000)*10000000)/1000000)=0,"Bloomberg projection",IF($P334=1,"ANNOUNCED","ANNOUNCED - amount TBA")))</f>
        <v/>
      </c>
      <c r="J334" s="46">
        <f>IF($L334="","",IF((OV_SWITCH="ON")*(COUNTIFS(OVR_TICKERS,INDEX(HSTECH!$C$7:$C$46,$N334),OVR_BASE,"&gt;=0")&gt;0)&gt;0,"stock overridden",""))</f>
        <v/>
      </c>
      <c r="L334" s="121">
        <f>IFERROR(IF(SMALL(Grids!$EE$116:$GQ$155,$M$313+19)&gt;=PEND_TO,"",SMALL(Grids!$EE$116:$GQ$155,$M$313+19)),"")</f>
        <v/>
      </c>
      <c r="M334" s="121">
        <f>IF($L334="","",INT($L334/1000000000))</f>
        <v/>
      </c>
      <c r="N334" s="121">
        <f>IF($L334="","",INT(($L334-INT($L334/1000000)*1000000)/1000))</f>
        <v/>
      </c>
      <c r="O334" s="121">
        <f>IF($L334="","",$L334-INT($L334/1000)*1000)</f>
        <v/>
      </c>
      <c r="P334" s="121">
        <f>IF($L334="","",INT(($L334-INT($L334/1000000000)*1000000000)/100000000))</f>
        <v/>
      </c>
    </row>
    <row r="335">
      <c r="B335" s="122">
        <f>IF($L335="","",$M335)</f>
        <v/>
      </c>
      <c r="C335" s="22">
        <f>IF($L335="","",INDEX(HSTECH!$C$7:$C$46,$N335))</f>
        <v/>
      </c>
      <c r="D335" s="22">
        <f>IF($L335="","",INDEX(HSTECH!$D$7:$D$46,$N335))</f>
        <v/>
      </c>
      <c r="E335" s="123">
        <f>IF($L335="","",IF($P335=0,"TBA",IFERROR(INDEX(Grids!$C$116:$BO$155,$N335,$O335),"-")))</f>
        <v/>
      </c>
      <c r="F335" s="22">
        <f>IF($L335="","",INDEX(HSTECH!$F$7:$F$46,$N335))</f>
        <v/>
      </c>
      <c r="G335" s="123">
        <f>IF($L335="","",IF($P335=0,"TBA",IFERROR(INDEX(Grids!$BQ$116:$EC$155,$N335,$O335),"-")))</f>
        <v/>
      </c>
      <c r="H335" s="124">
        <f>IF($L335="","",SUM($G$316:$G335))</f>
        <v/>
      </c>
      <c r="I335" s="45">
        <f>IF($L335="","",IF(INT(($L335-INT($L335/10000000)*10000000)/1000000)=0,"Bloomberg projection",IF($P335=1,"ANNOUNCED","ANNOUNCED - amount TBA")))</f>
        <v/>
      </c>
      <c r="J335" s="46">
        <f>IF($L335="","",IF((OV_SWITCH="ON")*(COUNTIFS(OVR_TICKERS,INDEX(HSTECH!$C$7:$C$46,$N335),OVR_BASE,"&gt;=0")&gt;0)&gt;0,"stock overridden",""))</f>
        <v/>
      </c>
      <c r="L335" s="121">
        <f>IFERROR(IF(SMALL(Grids!$EE$116:$GQ$155,$M$313+20)&gt;=PEND_TO,"",SMALL(Grids!$EE$116:$GQ$155,$M$313+20)),"")</f>
        <v/>
      </c>
      <c r="M335" s="121">
        <f>IF($L335="","",INT($L335/1000000000))</f>
        <v/>
      </c>
      <c r="N335" s="121">
        <f>IF($L335="","",INT(($L335-INT($L335/1000000)*1000000)/1000))</f>
        <v/>
      </c>
      <c r="O335" s="121">
        <f>IF($L335="","",$L335-INT($L335/1000)*1000)</f>
        <v/>
      </c>
      <c r="P335" s="121">
        <f>IF($L335="","",INT(($L335-INT($L335/1000000000)*1000000000)/100000000))</f>
        <v/>
      </c>
    </row>
    <row r="336">
      <c r="B336" s="122">
        <f>IF($L336="","",$M336)</f>
        <v/>
      </c>
      <c r="C336" s="22">
        <f>IF($L336="","",INDEX(HSTECH!$C$7:$C$46,$N336))</f>
        <v/>
      </c>
      <c r="D336" s="22">
        <f>IF($L336="","",INDEX(HSTECH!$D$7:$D$46,$N336))</f>
        <v/>
      </c>
      <c r="E336" s="123">
        <f>IF($L336="","",IF($P336=0,"TBA",IFERROR(INDEX(Grids!$C$116:$BO$155,$N336,$O336),"-")))</f>
        <v/>
      </c>
      <c r="F336" s="22">
        <f>IF($L336="","",INDEX(HSTECH!$F$7:$F$46,$N336))</f>
        <v/>
      </c>
      <c r="G336" s="123">
        <f>IF($L336="","",IF($P336=0,"TBA",IFERROR(INDEX(Grids!$BQ$116:$EC$155,$N336,$O336),"-")))</f>
        <v/>
      </c>
      <c r="H336" s="124">
        <f>IF($L336="","",SUM($G$316:$G336))</f>
        <v/>
      </c>
      <c r="I336" s="45">
        <f>IF($L336="","",IF(INT(($L336-INT($L336/10000000)*10000000)/1000000)=0,"Bloomberg projection",IF($P336=1,"ANNOUNCED","ANNOUNCED - amount TBA")))</f>
        <v/>
      </c>
      <c r="J336" s="46">
        <f>IF($L336="","",IF((OV_SWITCH="ON")*(COUNTIFS(OVR_TICKERS,INDEX(HSTECH!$C$7:$C$46,$N336),OVR_BASE,"&gt;=0")&gt;0)&gt;0,"stock overridden",""))</f>
        <v/>
      </c>
      <c r="L336" s="121">
        <f>IFERROR(IF(SMALL(Grids!$EE$116:$GQ$155,$M$313+21)&gt;=PEND_TO,"",SMALL(Grids!$EE$116:$GQ$155,$M$313+21)),"")</f>
        <v/>
      </c>
      <c r="M336" s="121">
        <f>IF($L336="","",INT($L336/1000000000))</f>
        <v/>
      </c>
      <c r="N336" s="121">
        <f>IF($L336="","",INT(($L336-INT($L336/1000000)*1000000)/1000))</f>
        <v/>
      </c>
      <c r="O336" s="121">
        <f>IF($L336="","",$L336-INT($L336/1000)*1000)</f>
        <v/>
      </c>
      <c r="P336" s="121">
        <f>IF($L336="","",INT(($L336-INT($L336/1000000000)*1000000000)/100000000))</f>
        <v/>
      </c>
    </row>
    <row r="337">
      <c r="B337" s="122">
        <f>IF($L337="","",$M337)</f>
        <v/>
      </c>
      <c r="C337" s="22">
        <f>IF($L337="","",INDEX(HSTECH!$C$7:$C$46,$N337))</f>
        <v/>
      </c>
      <c r="D337" s="22">
        <f>IF($L337="","",INDEX(HSTECH!$D$7:$D$46,$N337))</f>
        <v/>
      </c>
      <c r="E337" s="123">
        <f>IF($L337="","",IF($P337=0,"TBA",IFERROR(INDEX(Grids!$C$116:$BO$155,$N337,$O337),"-")))</f>
        <v/>
      </c>
      <c r="F337" s="22">
        <f>IF($L337="","",INDEX(HSTECH!$F$7:$F$46,$N337))</f>
        <v/>
      </c>
      <c r="G337" s="123">
        <f>IF($L337="","",IF($P337=0,"TBA",IFERROR(INDEX(Grids!$BQ$116:$EC$155,$N337,$O337),"-")))</f>
        <v/>
      </c>
      <c r="H337" s="124">
        <f>IF($L337="","",SUM($G$316:$G337))</f>
        <v/>
      </c>
      <c r="I337" s="45">
        <f>IF($L337="","",IF(INT(($L337-INT($L337/10000000)*10000000)/1000000)=0,"Bloomberg projection",IF($P337=1,"ANNOUNCED","ANNOUNCED - amount TBA")))</f>
        <v/>
      </c>
      <c r="J337" s="46">
        <f>IF($L337="","",IF((OV_SWITCH="ON")*(COUNTIFS(OVR_TICKERS,INDEX(HSTECH!$C$7:$C$46,$N337),OVR_BASE,"&gt;=0")&gt;0)&gt;0,"stock overridden",""))</f>
        <v/>
      </c>
      <c r="L337" s="121">
        <f>IFERROR(IF(SMALL(Grids!$EE$116:$GQ$155,$M$313+22)&gt;=PEND_TO,"",SMALL(Grids!$EE$116:$GQ$155,$M$313+22)),"")</f>
        <v/>
      </c>
      <c r="M337" s="121">
        <f>IF($L337="","",INT($L337/1000000000))</f>
        <v/>
      </c>
      <c r="N337" s="121">
        <f>IF($L337="","",INT(($L337-INT($L337/1000000)*1000000)/1000))</f>
        <v/>
      </c>
      <c r="O337" s="121">
        <f>IF($L337="","",$L337-INT($L337/1000)*1000)</f>
        <v/>
      </c>
      <c r="P337" s="121">
        <f>IF($L337="","",INT(($L337-INT($L337/1000000000)*1000000000)/100000000))</f>
        <v/>
      </c>
    </row>
    <row r="338">
      <c r="B338" s="122">
        <f>IF($L338="","",$M338)</f>
        <v/>
      </c>
      <c r="C338" s="22">
        <f>IF($L338="","",INDEX(HSTECH!$C$7:$C$46,$N338))</f>
        <v/>
      </c>
      <c r="D338" s="22">
        <f>IF($L338="","",INDEX(HSTECH!$D$7:$D$46,$N338))</f>
        <v/>
      </c>
      <c r="E338" s="123">
        <f>IF($L338="","",IF($P338=0,"TBA",IFERROR(INDEX(Grids!$C$116:$BO$155,$N338,$O338),"-")))</f>
        <v/>
      </c>
      <c r="F338" s="22">
        <f>IF($L338="","",INDEX(HSTECH!$F$7:$F$46,$N338))</f>
        <v/>
      </c>
      <c r="G338" s="123">
        <f>IF($L338="","",IF($P338=0,"TBA",IFERROR(INDEX(Grids!$BQ$116:$EC$155,$N338,$O338),"-")))</f>
        <v/>
      </c>
      <c r="H338" s="124">
        <f>IF($L338="","",SUM($G$316:$G338))</f>
        <v/>
      </c>
      <c r="I338" s="45">
        <f>IF($L338="","",IF(INT(($L338-INT($L338/10000000)*10000000)/1000000)=0,"Bloomberg projection",IF($P338=1,"ANNOUNCED","ANNOUNCED - amount TBA")))</f>
        <v/>
      </c>
      <c r="J338" s="46">
        <f>IF($L338="","",IF((OV_SWITCH="ON")*(COUNTIFS(OVR_TICKERS,INDEX(HSTECH!$C$7:$C$46,$N338),OVR_BASE,"&gt;=0")&gt;0)&gt;0,"stock overridden",""))</f>
        <v/>
      </c>
      <c r="L338" s="121">
        <f>IFERROR(IF(SMALL(Grids!$EE$116:$GQ$155,$M$313+23)&gt;=PEND_TO,"",SMALL(Grids!$EE$116:$GQ$155,$M$313+23)),"")</f>
        <v/>
      </c>
      <c r="M338" s="121">
        <f>IF($L338="","",INT($L338/1000000000))</f>
        <v/>
      </c>
      <c r="N338" s="121">
        <f>IF($L338="","",INT(($L338-INT($L338/1000000)*1000000)/1000))</f>
        <v/>
      </c>
      <c r="O338" s="121">
        <f>IF($L338="","",$L338-INT($L338/1000)*1000)</f>
        <v/>
      </c>
      <c r="P338" s="121">
        <f>IF($L338="","",INT(($L338-INT($L338/1000000000)*1000000000)/100000000))</f>
        <v/>
      </c>
    </row>
    <row r="339">
      <c r="B339" s="122">
        <f>IF($L339="","",$M339)</f>
        <v/>
      </c>
      <c r="C339" s="22">
        <f>IF($L339="","",INDEX(HSTECH!$C$7:$C$46,$N339))</f>
        <v/>
      </c>
      <c r="D339" s="22">
        <f>IF($L339="","",INDEX(HSTECH!$D$7:$D$46,$N339))</f>
        <v/>
      </c>
      <c r="E339" s="123">
        <f>IF($L339="","",IF($P339=0,"TBA",IFERROR(INDEX(Grids!$C$116:$BO$155,$N339,$O339),"-")))</f>
        <v/>
      </c>
      <c r="F339" s="22">
        <f>IF($L339="","",INDEX(HSTECH!$F$7:$F$46,$N339))</f>
        <v/>
      </c>
      <c r="G339" s="123">
        <f>IF($L339="","",IF($P339=0,"TBA",IFERROR(INDEX(Grids!$BQ$116:$EC$155,$N339,$O339),"-")))</f>
        <v/>
      </c>
      <c r="H339" s="124">
        <f>IF($L339="","",SUM($G$316:$G339))</f>
        <v/>
      </c>
      <c r="I339" s="45">
        <f>IF($L339="","",IF(INT(($L339-INT($L339/10000000)*10000000)/1000000)=0,"Bloomberg projection",IF($P339=1,"ANNOUNCED","ANNOUNCED - amount TBA")))</f>
        <v/>
      </c>
      <c r="J339" s="46">
        <f>IF($L339="","",IF((OV_SWITCH="ON")*(COUNTIFS(OVR_TICKERS,INDEX(HSTECH!$C$7:$C$46,$N339),OVR_BASE,"&gt;=0")&gt;0)&gt;0,"stock overridden",""))</f>
        <v/>
      </c>
      <c r="L339" s="121">
        <f>IFERROR(IF(SMALL(Grids!$EE$116:$GQ$155,$M$313+24)&gt;=PEND_TO,"",SMALL(Grids!$EE$116:$GQ$155,$M$313+24)),"")</f>
        <v/>
      </c>
      <c r="M339" s="121">
        <f>IF($L339="","",INT($L339/1000000000))</f>
        <v/>
      </c>
      <c r="N339" s="121">
        <f>IF($L339="","",INT(($L339-INT($L339/1000000)*1000000)/1000))</f>
        <v/>
      </c>
      <c r="O339" s="121">
        <f>IF($L339="","",$L339-INT($L339/1000)*1000)</f>
        <v/>
      </c>
      <c r="P339" s="121">
        <f>IF($L339="","",INT(($L339-INT($L339/1000000000)*1000000000)/100000000))</f>
        <v/>
      </c>
    </row>
    <row r="340">
      <c r="B340" s="122">
        <f>IF($L340="","",$M340)</f>
        <v/>
      </c>
      <c r="C340" s="22">
        <f>IF($L340="","",INDEX(HSTECH!$C$7:$C$46,$N340))</f>
        <v/>
      </c>
      <c r="D340" s="22">
        <f>IF($L340="","",INDEX(HSTECH!$D$7:$D$46,$N340))</f>
        <v/>
      </c>
      <c r="E340" s="123">
        <f>IF($L340="","",IF($P340=0,"TBA",IFERROR(INDEX(Grids!$C$116:$BO$155,$N340,$O340),"-")))</f>
        <v/>
      </c>
      <c r="F340" s="22">
        <f>IF($L340="","",INDEX(HSTECH!$F$7:$F$46,$N340))</f>
        <v/>
      </c>
      <c r="G340" s="123">
        <f>IF($L340="","",IF($P340=0,"TBA",IFERROR(INDEX(Grids!$BQ$116:$EC$155,$N340,$O340),"-")))</f>
        <v/>
      </c>
      <c r="H340" s="124">
        <f>IF($L340="","",SUM($G$316:$G340))</f>
        <v/>
      </c>
      <c r="I340" s="45">
        <f>IF($L340="","",IF(INT(($L340-INT($L340/10000000)*10000000)/1000000)=0,"Bloomberg projection",IF($P340=1,"ANNOUNCED","ANNOUNCED - amount TBA")))</f>
        <v/>
      </c>
      <c r="J340" s="46">
        <f>IF($L340="","",IF((OV_SWITCH="ON")*(COUNTIFS(OVR_TICKERS,INDEX(HSTECH!$C$7:$C$46,$N340),OVR_BASE,"&gt;=0")&gt;0)&gt;0,"stock overridden",""))</f>
        <v/>
      </c>
      <c r="L340" s="121">
        <f>IFERROR(IF(SMALL(Grids!$EE$116:$GQ$155,$M$313+25)&gt;=PEND_TO,"",SMALL(Grids!$EE$116:$GQ$155,$M$313+25)),"")</f>
        <v/>
      </c>
      <c r="M340" s="121">
        <f>IF($L340="","",INT($L340/1000000000))</f>
        <v/>
      </c>
      <c r="N340" s="121">
        <f>IF($L340="","",INT(($L340-INT($L340/1000000)*1000000)/1000))</f>
        <v/>
      </c>
      <c r="O340" s="121">
        <f>IF($L340="","",$L340-INT($L340/1000)*1000)</f>
        <v/>
      </c>
      <c r="P340" s="121">
        <f>IF($L340="","",INT(($L340-INT($L340/1000000000)*1000000000)/100000000))</f>
        <v/>
      </c>
    </row>
    <row r="341">
      <c r="B341" s="122">
        <f>IF($L341="","",$M341)</f>
        <v/>
      </c>
      <c r="C341" s="22">
        <f>IF($L341="","",INDEX(HSTECH!$C$7:$C$46,$N341))</f>
        <v/>
      </c>
      <c r="D341" s="22">
        <f>IF($L341="","",INDEX(HSTECH!$D$7:$D$46,$N341))</f>
        <v/>
      </c>
      <c r="E341" s="123">
        <f>IF($L341="","",IF($P341=0,"TBA",IFERROR(INDEX(Grids!$C$116:$BO$155,$N341,$O341),"-")))</f>
        <v/>
      </c>
      <c r="F341" s="22">
        <f>IF($L341="","",INDEX(HSTECH!$F$7:$F$46,$N341))</f>
        <v/>
      </c>
      <c r="G341" s="123">
        <f>IF($L341="","",IF($P341=0,"TBA",IFERROR(INDEX(Grids!$BQ$116:$EC$155,$N341,$O341),"-")))</f>
        <v/>
      </c>
      <c r="H341" s="124">
        <f>IF($L341="","",SUM($G$316:$G341))</f>
        <v/>
      </c>
      <c r="I341" s="45">
        <f>IF($L341="","",IF(INT(($L341-INT($L341/10000000)*10000000)/1000000)=0,"Bloomberg projection",IF($P341=1,"ANNOUNCED","ANNOUNCED - amount TBA")))</f>
        <v/>
      </c>
      <c r="J341" s="46">
        <f>IF($L341="","",IF((OV_SWITCH="ON")*(COUNTIFS(OVR_TICKERS,INDEX(HSTECH!$C$7:$C$46,$N341),OVR_BASE,"&gt;=0")&gt;0)&gt;0,"stock overridden",""))</f>
        <v/>
      </c>
      <c r="L341" s="121">
        <f>IFERROR(IF(SMALL(Grids!$EE$116:$GQ$155,$M$313+26)&gt;=PEND_TO,"",SMALL(Grids!$EE$116:$GQ$155,$M$313+26)),"")</f>
        <v/>
      </c>
      <c r="M341" s="121">
        <f>IF($L341="","",INT($L341/1000000000))</f>
        <v/>
      </c>
      <c r="N341" s="121">
        <f>IF($L341="","",INT(($L341-INT($L341/1000000)*1000000)/1000))</f>
        <v/>
      </c>
      <c r="O341" s="121">
        <f>IF($L341="","",$L341-INT($L341/1000)*1000)</f>
        <v/>
      </c>
      <c r="P341" s="121">
        <f>IF($L341="","",INT(($L341-INT($L341/1000000000)*1000000000)/100000000))</f>
        <v/>
      </c>
    </row>
    <row r="342">
      <c r="B342" s="122">
        <f>IF($L342="","",$M342)</f>
        <v/>
      </c>
      <c r="C342" s="22">
        <f>IF($L342="","",INDEX(HSTECH!$C$7:$C$46,$N342))</f>
        <v/>
      </c>
      <c r="D342" s="22">
        <f>IF($L342="","",INDEX(HSTECH!$D$7:$D$46,$N342))</f>
        <v/>
      </c>
      <c r="E342" s="123">
        <f>IF($L342="","",IF($P342=0,"TBA",IFERROR(INDEX(Grids!$C$116:$BO$155,$N342,$O342),"-")))</f>
        <v/>
      </c>
      <c r="F342" s="22">
        <f>IF($L342="","",INDEX(HSTECH!$F$7:$F$46,$N342))</f>
        <v/>
      </c>
      <c r="G342" s="123">
        <f>IF($L342="","",IF($P342=0,"TBA",IFERROR(INDEX(Grids!$BQ$116:$EC$155,$N342,$O342),"-")))</f>
        <v/>
      </c>
      <c r="H342" s="124">
        <f>IF($L342="","",SUM($G$316:$G342))</f>
        <v/>
      </c>
      <c r="I342" s="45">
        <f>IF($L342="","",IF(INT(($L342-INT($L342/10000000)*10000000)/1000000)=0,"Bloomberg projection",IF($P342=1,"ANNOUNCED","ANNOUNCED - amount TBA")))</f>
        <v/>
      </c>
      <c r="J342" s="46">
        <f>IF($L342="","",IF((OV_SWITCH="ON")*(COUNTIFS(OVR_TICKERS,INDEX(HSTECH!$C$7:$C$46,$N342),OVR_BASE,"&gt;=0")&gt;0)&gt;0,"stock overridden",""))</f>
        <v/>
      </c>
      <c r="L342" s="121">
        <f>IFERROR(IF(SMALL(Grids!$EE$116:$GQ$155,$M$313+27)&gt;=PEND_TO,"",SMALL(Grids!$EE$116:$GQ$155,$M$313+27)),"")</f>
        <v/>
      </c>
      <c r="M342" s="121">
        <f>IF($L342="","",INT($L342/1000000000))</f>
        <v/>
      </c>
      <c r="N342" s="121">
        <f>IF($L342="","",INT(($L342-INT($L342/1000000)*1000000)/1000))</f>
        <v/>
      </c>
      <c r="O342" s="121">
        <f>IF($L342="","",$L342-INT($L342/1000)*1000)</f>
        <v/>
      </c>
      <c r="P342" s="121">
        <f>IF($L342="","",INT(($L342-INT($L342/1000000000)*1000000000)/100000000))</f>
        <v/>
      </c>
    </row>
    <row r="343">
      <c r="B343" s="122">
        <f>IF($L343="","",$M343)</f>
        <v/>
      </c>
      <c r="C343" s="22">
        <f>IF($L343="","",INDEX(HSTECH!$C$7:$C$46,$N343))</f>
        <v/>
      </c>
      <c r="D343" s="22">
        <f>IF($L343="","",INDEX(HSTECH!$D$7:$D$46,$N343))</f>
        <v/>
      </c>
      <c r="E343" s="123">
        <f>IF($L343="","",IF($P343=0,"TBA",IFERROR(INDEX(Grids!$C$116:$BO$155,$N343,$O343),"-")))</f>
        <v/>
      </c>
      <c r="F343" s="22">
        <f>IF($L343="","",INDEX(HSTECH!$F$7:$F$46,$N343))</f>
        <v/>
      </c>
      <c r="G343" s="123">
        <f>IF($L343="","",IF($P343=0,"TBA",IFERROR(INDEX(Grids!$BQ$116:$EC$155,$N343,$O343),"-")))</f>
        <v/>
      </c>
      <c r="H343" s="124">
        <f>IF($L343="","",SUM($G$316:$G343))</f>
        <v/>
      </c>
      <c r="I343" s="45">
        <f>IF($L343="","",IF(INT(($L343-INT($L343/10000000)*10000000)/1000000)=0,"Bloomberg projection",IF($P343=1,"ANNOUNCED","ANNOUNCED - amount TBA")))</f>
        <v/>
      </c>
      <c r="J343" s="46">
        <f>IF($L343="","",IF((OV_SWITCH="ON")*(COUNTIFS(OVR_TICKERS,INDEX(HSTECH!$C$7:$C$46,$N343),OVR_BASE,"&gt;=0")&gt;0)&gt;0,"stock overridden",""))</f>
        <v/>
      </c>
      <c r="L343" s="121">
        <f>IFERROR(IF(SMALL(Grids!$EE$116:$GQ$155,$M$313+28)&gt;=PEND_TO,"",SMALL(Grids!$EE$116:$GQ$155,$M$313+28)),"")</f>
        <v/>
      </c>
      <c r="M343" s="121">
        <f>IF($L343="","",INT($L343/1000000000))</f>
        <v/>
      </c>
      <c r="N343" s="121">
        <f>IF($L343="","",INT(($L343-INT($L343/1000000)*1000000)/1000))</f>
        <v/>
      </c>
      <c r="O343" s="121">
        <f>IF($L343="","",$L343-INT($L343/1000)*1000)</f>
        <v/>
      </c>
      <c r="P343" s="121">
        <f>IF($L343="","",INT(($L343-INT($L343/1000000000)*1000000000)/100000000))</f>
        <v/>
      </c>
    </row>
    <row r="344">
      <c r="B344" s="122">
        <f>IF($L344="","",$M344)</f>
        <v/>
      </c>
      <c r="C344" s="22">
        <f>IF($L344="","",INDEX(HSTECH!$C$7:$C$46,$N344))</f>
        <v/>
      </c>
      <c r="D344" s="22">
        <f>IF($L344="","",INDEX(HSTECH!$D$7:$D$46,$N344))</f>
        <v/>
      </c>
      <c r="E344" s="123">
        <f>IF($L344="","",IF($P344=0,"TBA",IFERROR(INDEX(Grids!$C$116:$BO$155,$N344,$O344),"-")))</f>
        <v/>
      </c>
      <c r="F344" s="22">
        <f>IF($L344="","",INDEX(HSTECH!$F$7:$F$46,$N344))</f>
        <v/>
      </c>
      <c r="G344" s="123">
        <f>IF($L344="","",IF($P344=0,"TBA",IFERROR(INDEX(Grids!$BQ$116:$EC$155,$N344,$O344),"-")))</f>
        <v/>
      </c>
      <c r="H344" s="124">
        <f>IF($L344="","",SUM($G$316:$G344))</f>
        <v/>
      </c>
      <c r="I344" s="45">
        <f>IF($L344="","",IF(INT(($L344-INT($L344/10000000)*10000000)/1000000)=0,"Bloomberg projection",IF($P344=1,"ANNOUNCED","ANNOUNCED - amount TBA")))</f>
        <v/>
      </c>
      <c r="J344" s="46">
        <f>IF($L344="","",IF((OV_SWITCH="ON")*(COUNTIFS(OVR_TICKERS,INDEX(HSTECH!$C$7:$C$46,$N344),OVR_BASE,"&gt;=0")&gt;0)&gt;0,"stock overridden",""))</f>
        <v/>
      </c>
      <c r="L344" s="121">
        <f>IFERROR(IF(SMALL(Grids!$EE$116:$GQ$155,$M$313+29)&gt;=PEND_TO,"",SMALL(Grids!$EE$116:$GQ$155,$M$313+29)),"")</f>
        <v/>
      </c>
      <c r="M344" s="121">
        <f>IF($L344="","",INT($L344/1000000000))</f>
        <v/>
      </c>
      <c r="N344" s="121">
        <f>IF($L344="","",INT(($L344-INT($L344/1000000)*1000000)/1000))</f>
        <v/>
      </c>
      <c r="O344" s="121">
        <f>IF($L344="","",$L344-INT($L344/1000)*1000)</f>
        <v/>
      </c>
      <c r="P344" s="121">
        <f>IF($L344="","",INT(($L344-INT($L344/1000000000)*1000000000)/100000000))</f>
        <v/>
      </c>
    </row>
    <row r="345">
      <c r="B345" s="122">
        <f>IF($L345="","",$M345)</f>
        <v/>
      </c>
      <c r="C345" s="22">
        <f>IF($L345="","",INDEX(HSTECH!$C$7:$C$46,$N345))</f>
        <v/>
      </c>
      <c r="D345" s="22">
        <f>IF($L345="","",INDEX(HSTECH!$D$7:$D$46,$N345))</f>
        <v/>
      </c>
      <c r="E345" s="123">
        <f>IF($L345="","",IF($P345=0,"TBA",IFERROR(INDEX(Grids!$C$116:$BO$155,$N345,$O345),"-")))</f>
        <v/>
      </c>
      <c r="F345" s="22">
        <f>IF($L345="","",INDEX(HSTECH!$F$7:$F$46,$N345))</f>
        <v/>
      </c>
      <c r="G345" s="123">
        <f>IF($L345="","",IF($P345=0,"TBA",IFERROR(INDEX(Grids!$BQ$116:$EC$155,$N345,$O345),"-")))</f>
        <v/>
      </c>
      <c r="H345" s="124">
        <f>IF($L345="","",SUM($G$316:$G345))</f>
        <v/>
      </c>
      <c r="I345" s="45">
        <f>IF($L345="","",IF(INT(($L345-INT($L345/10000000)*10000000)/1000000)=0,"Bloomberg projection",IF($P345=1,"ANNOUNCED","ANNOUNCED - amount TBA")))</f>
        <v/>
      </c>
      <c r="J345" s="46">
        <f>IF($L345="","",IF((OV_SWITCH="ON")*(COUNTIFS(OVR_TICKERS,INDEX(HSTECH!$C$7:$C$46,$N345),OVR_BASE,"&gt;=0")&gt;0)&gt;0,"stock overridden",""))</f>
        <v/>
      </c>
      <c r="L345" s="121">
        <f>IFERROR(IF(SMALL(Grids!$EE$116:$GQ$155,$M$313+30)&gt;=PEND_TO,"",SMALL(Grids!$EE$116:$GQ$155,$M$313+30)),"")</f>
        <v/>
      </c>
      <c r="M345" s="121">
        <f>IF($L345="","",INT($L345/1000000000))</f>
        <v/>
      </c>
      <c r="N345" s="121">
        <f>IF($L345="","",INT(($L345-INT($L345/1000000)*1000000)/1000))</f>
        <v/>
      </c>
      <c r="O345" s="121">
        <f>IF($L345="","",$L345-INT($L345/1000)*1000)</f>
        <v/>
      </c>
      <c r="P345" s="121">
        <f>IF($L345="","",INT(($L345-INT($L345/1000000000)*1000000000)/100000000))</f>
        <v/>
      </c>
    </row>
    <row r="346">
      <c r="B346" s="122">
        <f>IF($L346="","",$M346)</f>
        <v/>
      </c>
      <c r="C346" s="22">
        <f>IF($L346="","",INDEX(HSTECH!$C$7:$C$46,$N346))</f>
        <v/>
      </c>
      <c r="D346" s="22">
        <f>IF($L346="","",INDEX(HSTECH!$D$7:$D$46,$N346))</f>
        <v/>
      </c>
      <c r="E346" s="123">
        <f>IF($L346="","",IF($P346=0,"TBA",IFERROR(INDEX(Grids!$C$116:$BO$155,$N346,$O346),"-")))</f>
        <v/>
      </c>
      <c r="F346" s="22">
        <f>IF($L346="","",INDEX(HSTECH!$F$7:$F$46,$N346))</f>
        <v/>
      </c>
      <c r="G346" s="123">
        <f>IF($L346="","",IF($P346=0,"TBA",IFERROR(INDEX(Grids!$BQ$116:$EC$155,$N346,$O346),"-")))</f>
        <v/>
      </c>
      <c r="H346" s="124">
        <f>IF($L346="","",SUM($G$316:$G346))</f>
        <v/>
      </c>
      <c r="I346" s="45">
        <f>IF($L346="","",IF(INT(($L346-INT($L346/10000000)*10000000)/1000000)=0,"Bloomberg projection",IF($P346=1,"ANNOUNCED","ANNOUNCED - amount TBA")))</f>
        <v/>
      </c>
      <c r="J346" s="46">
        <f>IF($L346="","",IF((OV_SWITCH="ON")*(COUNTIFS(OVR_TICKERS,INDEX(HSTECH!$C$7:$C$46,$N346),OVR_BASE,"&gt;=0")&gt;0)&gt;0,"stock overridden",""))</f>
        <v/>
      </c>
      <c r="L346" s="121">
        <f>IFERROR(IF(SMALL(Grids!$EE$116:$GQ$155,$M$313+31)&gt;=PEND_TO,"",SMALL(Grids!$EE$116:$GQ$155,$M$313+31)),"")</f>
        <v/>
      </c>
      <c r="M346" s="121">
        <f>IF($L346="","",INT($L346/1000000000))</f>
        <v/>
      </c>
      <c r="N346" s="121">
        <f>IF($L346="","",INT(($L346-INT($L346/1000000)*1000000)/1000))</f>
        <v/>
      </c>
      <c r="O346" s="121">
        <f>IF($L346="","",$L346-INT($L346/1000)*1000)</f>
        <v/>
      </c>
      <c r="P346" s="121">
        <f>IF($L346="","",INT(($L346-INT($L346/1000000000)*1000000000)/100000000))</f>
        <v/>
      </c>
    </row>
    <row r="347">
      <c r="B347" s="122">
        <f>IF($L347="","",$M347)</f>
        <v/>
      </c>
      <c r="C347" s="22">
        <f>IF($L347="","",INDEX(HSTECH!$C$7:$C$46,$N347))</f>
        <v/>
      </c>
      <c r="D347" s="22">
        <f>IF($L347="","",INDEX(HSTECH!$D$7:$D$46,$N347))</f>
        <v/>
      </c>
      <c r="E347" s="123">
        <f>IF($L347="","",IF($P347=0,"TBA",IFERROR(INDEX(Grids!$C$116:$BO$155,$N347,$O347),"-")))</f>
        <v/>
      </c>
      <c r="F347" s="22">
        <f>IF($L347="","",INDEX(HSTECH!$F$7:$F$46,$N347))</f>
        <v/>
      </c>
      <c r="G347" s="123">
        <f>IF($L347="","",IF($P347=0,"TBA",IFERROR(INDEX(Grids!$BQ$116:$EC$155,$N347,$O347),"-")))</f>
        <v/>
      </c>
      <c r="H347" s="124">
        <f>IF($L347="","",SUM($G$316:$G347))</f>
        <v/>
      </c>
      <c r="I347" s="45">
        <f>IF($L347="","",IF(INT(($L347-INT($L347/10000000)*10000000)/1000000)=0,"Bloomberg projection",IF($P347=1,"ANNOUNCED","ANNOUNCED - amount TBA")))</f>
        <v/>
      </c>
      <c r="J347" s="46">
        <f>IF($L347="","",IF((OV_SWITCH="ON")*(COUNTIFS(OVR_TICKERS,INDEX(HSTECH!$C$7:$C$46,$N347),OVR_BASE,"&gt;=0")&gt;0)&gt;0,"stock overridden",""))</f>
        <v/>
      </c>
      <c r="L347" s="121">
        <f>IFERROR(IF(SMALL(Grids!$EE$116:$GQ$155,$M$313+32)&gt;=PEND_TO,"",SMALL(Grids!$EE$116:$GQ$155,$M$313+32)),"")</f>
        <v/>
      </c>
      <c r="M347" s="121">
        <f>IF($L347="","",INT($L347/1000000000))</f>
        <v/>
      </c>
      <c r="N347" s="121">
        <f>IF($L347="","",INT(($L347-INT($L347/1000000)*1000000)/1000))</f>
        <v/>
      </c>
      <c r="O347" s="121">
        <f>IF($L347="","",$L347-INT($L347/1000)*1000)</f>
        <v/>
      </c>
      <c r="P347" s="121">
        <f>IF($L347="","",INT(($L347-INT($L347/1000000000)*1000000000)/100000000))</f>
        <v/>
      </c>
    </row>
    <row r="348">
      <c r="B348" s="122">
        <f>IF($L348="","",$M348)</f>
        <v/>
      </c>
      <c r="C348" s="22">
        <f>IF($L348="","",INDEX(HSTECH!$C$7:$C$46,$N348))</f>
        <v/>
      </c>
      <c r="D348" s="22">
        <f>IF($L348="","",INDEX(HSTECH!$D$7:$D$46,$N348))</f>
        <v/>
      </c>
      <c r="E348" s="123">
        <f>IF($L348="","",IF($P348=0,"TBA",IFERROR(INDEX(Grids!$C$116:$BO$155,$N348,$O348),"-")))</f>
        <v/>
      </c>
      <c r="F348" s="22">
        <f>IF($L348="","",INDEX(HSTECH!$F$7:$F$46,$N348))</f>
        <v/>
      </c>
      <c r="G348" s="123">
        <f>IF($L348="","",IF($P348=0,"TBA",IFERROR(INDEX(Grids!$BQ$116:$EC$155,$N348,$O348),"-")))</f>
        <v/>
      </c>
      <c r="H348" s="124">
        <f>IF($L348="","",SUM($G$316:$G348))</f>
        <v/>
      </c>
      <c r="I348" s="45">
        <f>IF($L348="","",IF(INT(($L348-INT($L348/10000000)*10000000)/1000000)=0,"Bloomberg projection",IF($P348=1,"ANNOUNCED","ANNOUNCED - amount TBA")))</f>
        <v/>
      </c>
      <c r="J348" s="46">
        <f>IF($L348="","",IF((OV_SWITCH="ON")*(COUNTIFS(OVR_TICKERS,INDEX(HSTECH!$C$7:$C$46,$N348),OVR_BASE,"&gt;=0")&gt;0)&gt;0,"stock overridden",""))</f>
        <v/>
      </c>
      <c r="L348" s="121">
        <f>IFERROR(IF(SMALL(Grids!$EE$116:$GQ$155,$M$313+33)&gt;=PEND_TO,"",SMALL(Grids!$EE$116:$GQ$155,$M$313+33)),"")</f>
        <v/>
      </c>
      <c r="M348" s="121">
        <f>IF($L348="","",INT($L348/1000000000))</f>
        <v/>
      </c>
      <c r="N348" s="121">
        <f>IF($L348="","",INT(($L348-INT($L348/1000000)*1000000)/1000))</f>
        <v/>
      </c>
      <c r="O348" s="121">
        <f>IF($L348="","",$L348-INT($L348/1000)*1000)</f>
        <v/>
      </c>
      <c r="P348" s="121">
        <f>IF($L348="","",INT(($L348-INT($L348/1000000000)*1000000000)/100000000))</f>
        <v/>
      </c>
    </row>
    <row r="349">
      <c r="B349" s="122">
        <f>IF($L349="","",$M349)</f>
        <v/>
      </c>
      <c r="C349" s="22">
        <f>IF($L349="","",INDEX(HSTECH!$C$7:$C$46,$N349))</f>
        <v/>
      </c>
      <c r="D349" s="22">
        <f>IF($L349="","",INDEX(HSTECH!$D$7:$D$46,$N349))</f>
        <v/>
      </c>
      <c r="E349" s="123">
        <f>IF($L349="","",IF($P349=0,"TBA",IFERROR(INDEX(Grids!$C$116:$BO$155,$N349,$O349),"-")))</f>
        <v/>
      </c>
      <c r="F349" s="22">
        <f>IF($L349="","",INDEX(HSTECH!$F$7:$F$46,$N349))</f>
        <v/>
      </c>
      <c r="G349" s="123">
        <f>IF($L349="","",IF($P349=0,"TBA",IFERROR(INDEX(Grids!$BQ$116:$EC$155,$N349,$O349),"-")))</f>
        <v/>
      </c>
      <c r="H349" s="124">
        <f>IF($L349="","",SUM($G$316:$G349))</f>
        <v/>
      </c>
      <c r="I349" s="45">
        <f>IF($L349="","",IF(INT(($L349-INT($L349/10000000)*10000000)/1000000)=0,"Bloomberg projection",IF($P349=1,"ANNOUNCED","ANNOUNCED - amount TBA")))</f>
        <v/>
      </c>
      <c r="J349" s="46">
        <f>IF($L349="","",IF((OV_SWITCH="ON")*(COUNTIFS(OVR_TICKERS,INDEX(HSTECH!$C$7:$C$46,$N349),OVR_BASE,"&gt;=0")&gt;0)&gt;0,"stock overridden",""))</f>
        <v/>
      </c>
      <c r="L349" s="121">
        <f>IFERROR(IF(SMALL(Grids!$EE$116:$GQ$155,$M$313+34)&gt;=PEND_TO,"",SMALL(Grids!$EE$116:$GQ$155,$M$313+34)),"")</f>
        <v/>
      </c>
      <c r="M349" s="121">
        <f>IF($L349="","",INT($L349/1000000000))</f>
        <v/>
      </c>
      <c r="N349" s="121">
        <f>IF($L349="","",INT(($L349-INT($L349/1000000)*1000000)/1000))</f>
        <v/>
      </c>
      <c r="O349" s="121">
        <f>IF($L349="","",$L349-INT($L349/1000)*1000)</f>
        <v/>
      </c>
      <c r="P349" s="121">
        <f>IF($L349="","",INT(($L349-INT($L349/1000000000)*1000000000)/100000000))</f>
        <v/>
      </c>
    </row>
    <row r="350">
      <c r="B350" s="122">
        <f>IF($L350="","",$M350)</f>
        <v/>
      </c>
      <c r="C350" s="22">
        <f>IF($L350="","",INDEX(HSTECH!$C$7:$C$46,$N350))</f>
        <v/>
      </c>
      <c r="D350" s="22">
        <f>IF($L350="","",INDEX(HSTECH!$D$7:$D$46,$N350))</f>
        <v/>
      </c>
      <c r="E350" s="123">
        <f>IF($L350="","",IF($P350=0,"TBA",IFERROR(INDEX(Grids!$C$116:$BO$155,$N350,$O350),"-")))</f>
        <v/>
      </c>
      <c r="F350" s="22">
        <f>IF($L350="","",INDEX(HSTECH!$F$7:$F$46,$N350))</f>
        <v/>
      </c>
      <c r="G350" s="123">
        <f>IF($L350="","",IF($P350=0,"TBA",IFERROR(INDEX(Grids!$BQ$116:$EC$155,$N350,$O350),"-")))</f>
        <v/>
      </c>
      <c r="H350" s="124">
        <f>IF($L350="","",SUM($G$316:$G350))</f>
        <v/>
      </c>
      <c r="I350" s="45">
        <f>IF($L350="","",IF(INT(($L350-INT($L350/10000000)*10000000)/1000000)=0,"Bloomberg projection",IF($P350=1,"ANNOUNCED","ANNOUNCED - amount TBA")))</f>
        <v/>
      </c>
      <c r="J350" s="46">
        <f>IF($L350="","",IF((OV_SWITCH="ON")*(COUNTIFS(OVR_TICKERS,INDEX(HSTECH!$C$7:$C$46,$N350),OVR_BASE,"&gt;=0")&gt;0)&gt;0,"stock overridden",""))</f>
        <v/>
      </c>
      <c r="L350" s="121">
        <f>IFERROR(IF(SMALL(Grids!$EE$116:$GQ$155,$M$313+35)&gt;=PEND_TO,"",SMALL(Grids!$EE$116:$GQ$155,$M$313+35)),"")</f>
        <v/>
      </c>
      <c r="M350" s="121">
        <f>IF($L350="","",INT($L350/1000000000))</f>
        <v/>
      </c>
      <c r="N350" s="121">
        <f>IF($L350="","",INT(($L350-INT($L350/1000000)*1000000)/1000))</f>
        <v/>
      </c>
      <c r="O350" s="121">
        <f>IF($L350="","",$L350-INT($L350/1000)*1000)</f>
        <v/>
      </c>
      <c r="P350" s="121">
        <f>IF($L350="","",INT(($L350-INT($L350/1000000000)*1000000000)/100000000))</f>
        <v/>
      </c>
    </row>
    <row r="351">
      <c r="B351" s="122">
        <f>IF($L351="","",$M351)</f>
        <v/>
      </c>
      <c r="C351" s="22">
        <f>IF($L351="","",INDEX(HSTECH!$C$7:$C$46,$N351))</f>
        <v/>
      </c>
      <c r="D351" s="22">
        <f>IF($L351="","",INDEX(HSTECH!$D$7:$D$46,$N351))</f>
        <v/>
      </c>
      <c r="E351" s="123">
        <f>IF($L351="","",IF($P351=0,"TBA",IFERROR(INDEX(Grids!$C$116:$BO$155,$N351,$O351),"-")))</f>
        <v/>
      </c>
      <c r="F351" s="22">
        <f>IF($L351="","",INDEX(HSTECH!$F$7:$F$46,$N351))</f>
        <v/>
      </c>
      <c r="G351" s="123">
        <f>IF($L351="","",IF($P351=0,"TBA",IFERROR(INDEX(Grids!$BQ$116:$EC$155,$N351,$O351),"-")))</f>
        <v/>
      </c>
      <c r="H351" s="124">
        <f>IF($L351="","",SUM($G$316:$G351))</f>
        <v/>
      </c>
      <c r="I351" s="45">
        <f>IF($L351="","",IF(INT(($L351-INT($L351/10000000)*10000000)/1000000)=0,"Bloomberg projection",IF($P351=1,"ANNOUNCED","ANNOUNCED - amount TBA")))</f>
        <v/>
      </c>
      <c r="J351" s="46">
        <f>IF($L351="","",IF((OV_SWITCH="ON")*(COUNTIFS(OVR_TICKERS,INDEX(HSTECH!$C$7:$C$46,$N351),OVR_BASE,"&gt;=0")&gt;0)&gt;0,"stock overridden",""))</f>
        <v/>
      </c>
      <c r="L351" s="121">
        <f>IFERROR(IF(SMALL(Grids!$EE$116:$GQ$155,$M$313+36)&gt;=PEND_TO,"",SMALL(Grids!$EE$116:$GQ$155,$M$313+36)),"")</f>
        <v/>
      </c>
      <c r="M351" s="121">
        <f>IF($L351="","",INT($L351/1000000000))</f>
        <v/>
      </c>
      <c r="N351" s="121">
        <f>IF($L351="","",INT(($L351-INT($L351/1000000)*1000000)/1000))</f>
        <v/>
      </c>
      <c r="O351" s="121">
        <f>IF($L351="","",$L351-INT($L351/1000)*1000)</f>
        <v/>
      </c>
      <c r="P351" s="121">
        <f>IF($L351="","",INT(($L351-INT($L351/1000000000)*1000000000)/100000000))</f>
        <v/>
      </c>
    </row>
    <row r="352">
      <c r="B352" s="122">
        <f>IF($L352="","",$M352)</f>
        <v/>
      </c>
      <c r="C352" s="22">
        <f>IF($L352="","",INDEX(HSTECH!$C$7:$C$46,$N352))</f>
        <v/>
      </c>
      <c r="D352" s="22">
        <f>IF($L352="","",INDEX(HSTECH!$D$7:$D$46,$N352))</f>
        <v/>
      </c>
      <c r="E352" s="123">
        <f>IF($L352="","",IF($P352=0,"TBA",IFERROR(INDEX(Grids!$C$116:$BO$155,$N352,$O352),"-")))</f>
        <v/>
      </c>
      <c r="F352" s="22">
        <f>IF($L352="","",INDEX(HSTECH!$F$7:$F$46,$N352))</f>
        <v/>
      </c>
      <c r="G352" s="123">
        <f>IF($L352="","",IF($P352=0,"TBA",IFERROR(INDEX(Grids!$BQ$116:$EC$155,$N352,$O352),"-")))</f>
        <v/>
      </c>
      <c r="H352" s="124">
        <f>IF($L352="","",SUM($G$316:$G352))</f>
        <v/>
      </c>
      <c r="I352" s="45">
        <f>IF($L352="","",IF(INT(($L352-INT($L352/10000000)*10000000)/1000000)=0,"Bloomberg projection",IF($P352=1,"ANNOUNCED","ANNOUNCED - amount TBA")))</f>
        <v/>
      </c>
      <c r="J352" s="46">
        <f>IF($L352="","",IF((OV_SWITCH="ON")*(COUNTIFS(OVR_TICKERS,INDEX(HSTECH!$C$7:$C$46,$N352),OVR_BASE,"&gt;=0")&gt;0)&gt;0,"stock overridden",""))</f>
        <v/>
      </c>
      <c r="L352" s="121">
        <f>IFERROR(IF(SMALL(Grids!$EE$116:$GQ$155,$M$313+37)&gt;=PEND_TO,"",SMALL(Grids!$EE$116:$GQ$155,$M$313+37)),"")</f>
        <v/>
      </c>
      <c r="M352" s="121">
        <f>IF($L352="","",INT($L352/1000000000))</f>
        <v/>
      </c>
      <c r="N352" s="121">
        <f>IF($L352="","",INT(($L352-INT($L352/1000000)*1000000)/1000))</f>
        <v/>
      </c>
      <c r="O352" s="121">
        <f>IF($L352="","",$L352-INT($L352/1000)*1000)</f>
        <v/>
      </c>
      <c r="P352" s="121">
        <f>IF($L352="","",INT(($L352-INT($L352/1000000000)*1000000000)/100000000))</f>
        <v/>
      </c>
    </row>
    <row r="353">
      <c r="B353" s="122">
        <f>IF($L353="","",$M353)</f>
        <v/>
      </c>
      <c r="C353" s="22">
        <f>IF($L353="","",INDEX(HSTECH!$C$7:$C$46,$N353))</f>
        <v/>
      </c>
      <c r="D353" s="22">
        <f>IF($L353="","",INDEX(HSTECH!$D$7:$D$46,$N353))</f>
        <v/>
      </c>
      <c r="E353" s="123">
        <f>IF($L353="","",IF($P353=0,"TBA",IFERROR(INDEX(Grids!$C$116:$BO$155,$N353,$O353),"-")))</f>
        <v/>
      </c>
      <c r="F353" s="22">
        <f>IF($L353="","",INDEX(HSTECH!$F$7:$F$46,$N353))</f>
        <v/>
      </c>
      <c r="G353" s="123">
        <f>IF($L353="","",IF($P353=0,"TBA",IFERROR(INDEX(Grids!$BQ$116:$EC$155,$N353,$O353),"-")))</f>
        <v/>
      </c>
      <c r="H353" s="124">
        <f>IF($L353="","",SUM($G$316:$G353))</f>
        <v/>
      </c>
      <c r="I353" s="45">
        <f>IF($L353="","",IF(INT(($L353-INT($L353/10000000)*10000000)/1000000)=0,"Bloomberg projection",IF($P353=1,"ANNOUNCED","ANNOUNCED - amount TBA")))</f>
        <v/>
      </c>
      <c r="J353" s="46">
        <f>IF($L353="","",IF((OV_SWITCH="ON")*(COUNTIFS(OVR_TICKERS,INDEX(HSTECH!$C$7:$C$46,$N353),OVR_BASE,"&gt;=0")&gt;0)&gt;0,"stock overridden",""))</f>
        <v/>
      </c>
      <c r="L353" s="121">
        <f>IFERROR(IF(SMALL(Grids!$EE$116:$GQ$155,$M$313+38)&gt;=PEND_TO,"",SMALL(Grids!$EE$116:$GQ$155,$M$313+38)),"")</f>
        <v/>
      </c>
      <c r="M353" s="121">
        <f>IF($L353="","",INT($L353/1000000000))</f>
        <v/>
      </c>
      <c r="N353" s="121">
        <f>IF($L353="","",INT(($L353-INT($L353/1000000)*1000000)/1000))</f>
        <v/>
      </c>
      <c r="O353" s="121">
        <f>IF($L353="","",$L353-INT($L353/1000)*1000)</f>
        <v/>
      </c>
      <c r="P353" s="121">
        <f>IF($L353="","",INT(($L353-INT($L353/1000000000)*1000000000)/100000000))</f>
        <v/>
      </c>
    </row>
    <row r="354">
      <c r="B354" s="122">
        <f>IF($L354="","",$M354)</f>
        <v/>
      </c>
      <c r="C354" s="22">
        <f>IF($L354="","",INDEX(HSTECH!$C$7:$C$46,$N354))</f>
        <v/>
      </c>
      <c r="D354" s="22">
        <f>IF($L354="","",INDEX(HSTECH!$D$7:$D$46,$N354))</f>
        <v/>
      </c>
      <c r="E354" s="123">
        <f>IF($L354="","",IF($P354=0,"TBA",IFERROR(INDEX(Grids!$C$116:$BO$155,$N354,$O354),"-")))</f>
        <v/>
      </c>
      <c r="F354" s="22">
        <f>IF($L354="","",INDEX(HSTECH!$F$7:$F$46,$N354))</f>
        <v/>
      </c>
      <c r="G354" s="123">
        <f>IF($L354="","",IF($P354=0,"TBA",IFERROR(INDEX(Grids!$BQ$116:$EC$155,$N354,$O354),"-")))</f>
        <v/>
      </c>
      <c r="H354" s="124">
        <f>IF($L354="","",SUM($G$316:$G354))</f>
        <v/>
      </c>
      <c r="I354" s="45">
        <f>IF($L354="","",IF(INT(($L354-INT($L354/10000000)*10000000)/1000000)=0,"Bloomberg projection",IF($P354=1,"ANNOUNCED","ANNOUNCED - amount TBA")))</f>
        <v/>
      </c>
      <c r="J354" s="46">
        <f>IF($L354="","",IF((OV_SWITCH="ON")*(COUNTIFS(OVR_TICKERS,INDEX(HSTECH!$C$7:$C$46,$N354),OVR_BASE,"&gt;=0")&gt;0)&gt;0,"stock overridden",""))</f>
        <v/>
      </c>
      <c r="L354" s="121">
        <f>IFERROR(IF(SMALL(Grids!$EE$116:$GQ$155,$M$313+39)&gt;=PEND_TO,"",SMALL(Grids!$EE$116:$GQ$155,$M$313+39)),"")</f>
        <v/>
      </c>
      <c r="M354" s="121">
        <f>IF($L354="","",INT($L354/1000000000))</f>
        <v/>
      </c>
      <c r="N354" s="121">
        <f>IF($L354="","",INT(($L354-INT($L354/1000000)*1000000)/1000))</f>
        <v/>
      </c>
      <c r="O354" s="121">
        <f>IF($L354="","",$L354-INT($L354/1000)*1000)</f>
        <v/>
      </c>
      <c r="P354" s="121">
        <f>IF($L354="","",INT(($L354-INT($L354/1000000000)*1000000000)/100000000))</f>
        <v/>
      </c>
    </row>
    <row r="355">
      <c r="B355" s="122">
        <f>IF($L355="","",$M355)</f>
        <v/>
      </c>
      <c r="C355" s="22">
        <f>IF($L355="","",INDEX(HSTECH!$C$7:$C$46,$N355))</f>
        <v/>
      </c>
      <c r="D355" s="22">
        <f>IF($L355="","",INDEX(HSTECH!$D$7:$D$46,$N355))</f>
        <v/>
      </c>
      <c r="E355" s="123">
        <f>IF($L355="","",IF($P355=0,"TBA",IFERROR(INDEX(Grids!$C$116:$BO$155,$N355,$O355),"-")))</f>
        <v/>
      </c>
      <c r="F355" s="22">
        <f>IF($L355="","",INDEX(HSTECH!$F$7:$F$46,$N355))</f>
        <v/>
      </c>
      <c r="G355" s="123">
        <f>IF($L355="","",IF($P355=0,"TBA",IFERROR(INDEX(Grids!$BQ$116:$EC$155,$N355,$O355),"-")))</f>
        <v/>
      </c>
      <c r="H355" s="124">
        <f>IF($L355="","",SUM($G$316:$G355))</f>
        <v/>
      </c>
      <c r="I355" s="45">
        <f>IF($L355="","",IF(INT(($L355-INT($L355/10000000)*10000000)/1000000)=0,"Bloomberg projection",IF($P355=1,"ANNOUNCED","ANNOUNCED - amount TBA")))</f>
        <v/>
      </c>
      <c r="J355" s="46">
        <f>IF($L355="","",IF((OV_SWITCH="ON")*(COUNTIFS(OVR_TICKERS,INDEX(HSTECH!$C$7:$C$46,$N355),OVR_BASE,"&gt;=0")&gt;0)&gt;0,"stock overridden",""))</f>
        <v/>
      </c>
      <c r="L355" s="121">
        <f>IFERROR(IF(SMALL(Grids!$EE$116:$GQ$155,$M$313+40)&gt;=PEND_TO,"",SMALL(Grids!$EE$116:$GQ$155,$M$313+40)),"")</f>
        <v/>
      </c>
      <c r="M355" s="121">
        <f>IF($L355="","",INT($L355/1000000000))</f>
        <v/>
      </c>
      <c r="N355" s="121">
        <f>IF($L355="","",INT(($L355-INT($L355/1000000)*1000000)/1000))</f>
        <v/>
      </c>
      <c r="O355" s="121">
        <f>IF($L355="","",$L355-INT($L355/1000)*1000)</f>
        <v/>
      </c>
      <c r="P355" s="121">
        <f>IF($L355="","",INT(($L355-INT($L355/1000000000)*1000000000)/100000000))</f>
        <v/>
      </c>
    </row>
    <row r="356">
      <c r="B356" s="122">
        <f>IF($L356="","",$M356)</f>
        <v/>
      </c>
      <c r="C356" s="22">
        <f>IF($L356="","",INDEX(HSTECH!$C$7:$C$46,$N356))</f>
        <v/>
      </c>
      <c r="D356" s="22">
        <f>IF($L356="","",INDEX(HSTECH!$D$7:$D$46,$N356))</f>
        <v/>
      </c>
      <c r="E356" s="123">
        <f>IF($L356="","",IF($P356=0,"TBA",IFERROR(INDEX(Grids!$C$116:$BO$155,$N356,$O356),"-")))</f>
        <v/>
      </c>
      <c r="F356" s="22">
        <f>IF($L356="","",INDEX(HSTECH!$F$7:$F$46,$N356))</f>
        <v/>
      </c>
      <c r="G356" s="123">
        <f>IF($L356="","",IF($P356=0,"TBA",IFERROR(INDEX(Grids!$BQ$116:$EC$155,$N356,$O356),"-")))</f>
        <v/>
      </c>
      <c r="H356" s="124">
        <f>IF($L356="","",SUM($G$316:$G356))</f>
        <v/>
      </c>
      <c r="I356" s="45">
        <f>IF($L356="","",IF(INT(($L356-INT($L356/10000000)*10000000)/1000000)=0,"Bloomberg projection",IF($P356=1,"ANNOUNCED","ANNOUNCED - amount TBA")))</f>
        <v/>
      </c>
      <c r="J356" s="46">
        <f>IF($L356="","",IF((OV_SWITCH="ON")*(COUNTIFS(OVR_TICKERS,INDEX(HSTECH!$C$7:$C$46,$N356),OVR_BASE,"&gt;=0")&gt;0)&gt;0,"stock overridden",""))</f>
        <v/>
      </c>
      <c r="L356" s="121">
        <f>IFERROR(IF(SMALL(Grids!$EE$116:$GQ$155,$M$313+41)&gt;=PEND_TO,"",SMALL(Grids!$EE$116:$GQ$155,$M$313+41)),"")</f>
        <v/>
      </c>
      <c r="M356" s="121">
        <f>IF($L356="","",INT($L356/1000000000))</f>
        <v/>
      </c>
      <c r="N356" s="121">
        <f>IF($L356="","",INT(($L356-INT($L356/1000000)*1000000)/1000))</f>
        <v/>
      </c>
      <c r="O356" s="121">
        <f>IF($L356="","",$L356-INT($L356/1000)*1000)</f>
        <v/>
      </c>
      <c r="P356" s="121">
        <f>IF($L356="","",INT(($L356-INT($L356/1000000000)*1000000000)/100000000))</f>
        <v/>
      </c>
    </row>
    <row r="357">
      <c r="B357" s="122">
        <f>IF($L357="","",$M357)</f>
        <v/>
      </c>
      <c r="C357" s="22">
        <f>IF($L357="","",INDEX(HSTECH!$C$7:$C$46,$N357))</f>
        <v/>
      </c>
      <c r="D357" s="22">
        <f>IF($L357="","",INDEX(HSTECH!$D$7:$D$46,$N357))</f>
        <v/>
      </c>
      <c r="E357" s="123">
        <f>IF($L357="","",IF($P357=0,"TBA",IFERROR(INDEX(Grids!$C$116:$BO$155,$N357,$O357),"-")))</f>
        <v/>
      </c>
      <c r="F357" s="22">
        <f>IF($L357="","",INDEX(HSTECH!$F$7:$F$46,$N357))</f>
        <v/>
      </c>
      <c r="G357" s="123">
        <f>IF($L357="","",IF($P357=0,"TBA",IFERROR(INDEX(Grids!$BQ$116:$EC$155,$N357,$O357),"-")))</f>
        <v/>
      </c>
      <c r="H357" s="124">
        <f>IF($L357="","",SUM($G$316:$G357))</f>
        <v/>
      </c>
      <c r="I357" s="45">
        <f>IF($L357="","",IF(INT(($L357-INT($L357/10000000)*10000000)/1000000)=0,"Bloomberg projection",IF($P357=1,"ANNOUNCED","ANNOUNCED - amount TBA")))</f>
        <v/>
      </c>
      <c r="J357" s="46">
        <f>IF($L357="","",IF((OV_SWITCH="ON")*(COUNTIFS(OVR_TICKERS,INDEX(HSTECH!$C$7:$C$46,$N357),OVR_BASE,"&gt;=0")&gt;0)&gt;0,"stock overridden",""))</f>
        <v/>
      </c>
      <c r="L357" s="121">
        <f>IFERROR(IF(SMALL(Grids!$EE$116:$GQ$155,$M$313+42)&gt;=PEND_TO,"",SMALL(Grids!$EE$116:$GQ$155,$M$313+42)),"")</f>
        <v/>
      </c>
      <c r="M357" s="121">
        <f>IF($L357="","",INT($L357/1000000000))</f>
        <v/>
      </c>
      <c r="N357" s="121">
        <f>IF($L357="","",INT(($L357-INT($L357/1000000)*1000000)/1000))</f>
        <v/>
      </c>
      <c r="O357" s="121">
        <f>IF($L357="","",$L357-INT($L357/1000)*1000)</f>
        <v/>
      </c>
      <c r="P357" s="121">
        <f>IF($L357="","",INT(($L357-INT($L357/1000000000)*1000000000)/100000000))</f>
        <v/>
      </c>
    </row>
    <row r="358">
      <c r="B358" s="122">
        <f>IF($L358="","",$M358)</f>
        <v/>
      </c>
      <c r="C358" s="22">
        <f>IF($L358="","",INDEX(HSTECH!$C$7:$C$46,$N358))</f>
        <v/>
      </c>
      <c r="D358" s="22">
        <f>IF($L358="","",INDEX(HSTECH!$D$7:$D$46,$N358))</f>
        <v/>
      </c>
      <c r="E358" s="123">
        <f>IF($L358="","",IF($P358=0,"TBA",IFERROR(INDEX(Grids!$C$116:$BO$155,$N358,$O358),"-")))</f>
        <v/>
      </c>
      <c r="F358" s="22">
        <f>IF($L358="","",INDEX(HSTECH!$F$7:$F$46,$N358))</f>
        <v/>
      </c>
      <c r="G358" s="123">
        <f>IF($L358="","",IF($P358=0,"TBA",IFERROR(INDEX(Grids!$BQ$116:$EC$155,$N358,$O358),"-")))</f>
        <v/>
      </c>
      <c r="H358" s="124">
        <f>IF($L358="","",SUM($G$316:$G358))</f>
        <v/>
      </c>
      <c r="I358" s="45">
        <f>IF($L358="","",IF(INT(($L358-INT($L358/10000000)*10000000)/1000000)=0,"Bloomberg projection",IF($P358=1,"ANNOUNCED","ANNOUNCED - amount TBA")))</f>
        <v/>
      </c>
      <c r="J358" s="46">
        <f>IF($L358="","",IF((OV_SWITCH="ON")*(COUNTIFS(OVR_TICKERS,INDEX(HSTECH!$C$7:$C$46,$N358),OVR_BASE,"&gt;=0")&gt;0)&gt;0,"stock overridden",""))</f>
        <v/>
      </c>
      <c r="L358" s="121">
        <f>IFERROR(IF(SMALL(Grids!$EE$116:$GQ$155,$M$313+43)&gt;=PEND_TO,"",SMALL(Grids!$EE$116:$GQ$155,$M$313+43)),"")</f>
        <v/>
      </c>
      <c r="M358" s="121">
        <f>IF($L358="","",INT($L358/1000000000))</f>
        <v/>
      </c>
      <c r="N358" s="121">
        <f>IF($L358="","",INT(($L358-INT($L358/1000000)*1000000)/1000))</f>
        <v/>
      </c>
      <c r="O358" s="121">
        <f>IF($L358="","",$L358-INT($L358/1000)*1000)</f>
        <v/>
      </c>
      <c r="P358" s="121">
        <f>IF($L358="","",INT(($L358-INT($L358/1000000000)*1000000000)/100000000))</f>
        <v/>
      </c>
    </row>
    <row r="359">
      <c r="B359" s="122">
        <f>IF($L359="","",$M359)</f>
        <v/>
      </c>
      <c r="C359" s="22">
        <f>IF($L359="","",INDEX(HSTECH!$C$7:$C$46,$N359))</f>
        <v/>
      </c>
      <c r="D359" s="22">
        <f>IF($L359="","",INDEX(HSTECH!$D$7:$D$46,$N359))</f>
        <v/>
      </c>
      <c r="E359" s="123">
        <f>IF($L359="","",IF($P359=0,"TBA",IFERROR(INDEX(Grids!$C$116:$BO$155,$N359,$O359),"-")))</f>
        <v/>
      </c>
      <c r="F359" s="22">
        <f>IF($L359="","",INDEX(HSTECH!$F$7:$F$46,$N359))</f>
        <v/>
      </c>
      <c r="G359" s="123">
        <f>IF($L359="","",IF($P359=0,"TBA",IFERROR(INDEX(Grids!$BQ$116:$EC$155,$N359,$O359),"-")))</f>
        <v/>
      </c>
      <c r="H359" s="124">
        <f>IF($L359="","",SUM($G$316:$G359))</f>
        <v/>
      </c>
      <c r="I359" s="45">
        <f>IF($L359="","",IF(INT(($L359-INT($L359/10000000)*10000000)/1000000)=0,"Bloomberg projection",IF($P359=1,"ANNOUNCED","ANNOUNCED - amount TBA")))</f>
        <v/>
      </c>
      <c r="J359" s="46">
        <f>IF($L359="","",IF((OV_SWITCH="ON")*(COUNTIFS(OVR_TICKERS,INDEX(HSTECH!$C$7:$C$46,$N359),OVR_BASE,"&gt;=0")&gt;0)&gt;0,"stock overridden",""))</f>
        <v/>
      </c>
      <c r="L359" s="121">
        <f>IFERROR(IF(SMALL(Grids!$EE$116:$GQ$155,$M$313+44)&gt;=PEND_TO,"",SMALL(Grids!$EE$116:$GQ$155,$M$313+44)),"")</f>
        <v/>
      </c>
      <c r="M359" s="121">
        <f>IF($L359="","",INT($L359/1000000000))</f>
        <v/>
      </c>
      <c r="N359" s="121">
        <f>IF($L359="","",INT(($L359-INT($L359/1000000)*1000000)/1000))</f>
        <v/>
      </c>
      <c r="O359" s="121">
        <f>IF($L359="","",$L359-INT($L359/1000)*1000)</f>
        <v/>
      </c>
      <c r="P359" s="121">
        <f>IF($L359="","",INT(($L359-INT($L359/1000000000)*1000000000)/100000000))</f>
        <v/>
      </c>
    </row>
    <row r="360">
      <c r="B360" s="122">
        <f>IF($L360="","",$M360)</f>
        <v/>
      </c>
      <c r="C360" s="22">
        <f>IF($L360="","",INDEX(HSTECH!$C$7:$C$46,$N360))</f>
        <v/>
      </c>
      <c r="D360" s="22">
        <f>IF($L360="","",INDEX(HSTECH!$D$7:$D$46,$N360))</f>
        <v/>
      </c>
      <c r="E360" s="123">
        <f>IF($L360="","",IF($P360=0,"TBA",IFERROR(INDEX(Grids!$C$116:$BO$155,$N360,$O360),"-")))</f>
        <v/>
      </c>
      <c r="F360" s="22">
        <f>IF($L360="","",INDEX(HSTECH!$F$7:$F$46,$N360))</f>
        <v/>
      </c>
      <c r="G360" s="123">
        <f>IF($L360="","",IF($P360=0,"TBA",IFERROR(INDEX(Grids!$BQ$116:$EC$155,$N360,$O360),"-")))</f>
        <v/>
      </c>
      <c r="H360" s="124">
        <f>IF($L360="","",SUM($G$316:$G360))</f>
        <v/>
      </c>
      <c r="I360" s="45">
        <f>IF($L360="","",IF(INT(($L360-INT($L360/10000000)*10000000)/1000000)=0,"Bloomberg projection",IF($P360=1,"ANNOUNCED","ANNOUNCED - amount TBA")))</f>
        <v/>
      </c>
      <c r="J360" s="46">
        <f>IF($L360="","",IF((OV_SWITCH="ON")*(COUNTIFS(OVR_TICKERS,INDEX(HSTECH!$C$7:$C$46,$N360),OVR_BASE,"&gt;=0")&gt;0)&gt;0,"stock overridden",""))</f>
        <v/>
      </c>
      <c r="L360" s="121">
        <f>IFERROR(IF(SMALL(Grids!$EE$116:$GQ$155,$M$313+45)&gt;=PEND_TO,"",SMALL(Grids!$EE$116:$GQ$155,$M$313+45)),"")</f>
        <v/>
      </c>
      <c r="M360" s="121">
        <f>IF($L360="","",INT($L360/1000000000))</f>
        <v/>
      </c>
      <c r="N360" s="121">
        <f>IF($L360="","",INT(($L360-INT($L360/1000000)*1000000)/1000))</f>
        <v/>
      </c>
      <c r="O360" s="121">
        <f>IF($L360="","",$L360-INT($L360/1000)*1000)</f>
        <v/>
      </c>
      <c r="P360" s="121">
        <f>IF($L360="","",INT(($L360-INT($L360/1000000000)*1000000000)/100000000))</f>
        <v/>
      </c>
    </row>
    <row r="361">
      <c r="B361" s="122">
        <f>IF($L361="","",$M361)</f>
        <v/>
      </c>
      <c r="C361" s="22">
        <f>IF($L361="","",INDEX(HSTECH!$C$7:$C$46,$N361))</f>
        <v/>
      </c>
      <c r="D361" s="22">
        <f>IF($L361="","",INDEX(HSTECH!$D$7:$D$46,$N361))</f>
        <v/>
      </c>
      <c r="E361" s="123">
        <f>IF($L361="","",IF($P361=0,"TBA",IFERROR(INDEX(Grids!$C$116:$BO$155,$N361,$O361),"-")))</f>
        <v/>
      </c>
      <c r="F361" s="22">
        <f>IF($L361="","",INDEX(HSTECH!$F$7:$F$46,$N361))</f>
        <v/>
      </c>
      <c r="G361" s="123">
        <f>IF($L361="","",IF($P361=0,"TBA",IFERROR(INDEX(Grids!$BQ$116:$EC$155,$N361,$O361),"-")))</f>
        <v/>
      </c>
      <c r="H361" s="124">
        <f>IF($L361="","",SUM($G$316:$G361))</f>
        <v/>
      </c>
      <c r="I361" s="45">
        <f>IF($L361="","",IF(INT(($L361-INT($L361/10000000)*10000000)/1000000)=0,"Bloomberg projection",IF($P361=1,"ANNOUNCED","ANNOUNCED - amount TBA")))</f>
        <v/>
      </c>
      <c r="J361" s="46">
        <f>IF($L361="","",IF((OV_SWITCH="ON")*(COUNTIFS(OVR_TICKERS,INDEX(HSTECH!$C$7:$C$46,$N361),OVR_BASE,"&gt;=0")&gt;0)&gt;0,"stock overridden",""))</f>
        <v/>
      </c>
      <c r="L361" s="121">
        <f>IFERROR(IF(SMALL(Grids!$EE$116:$GQ$155,$M$313+46)&gt;=PEND_TO,"",SMALL(Grids!$EE$116:$GQ$155,$M$313+46)),"")</f>
        <v/>
      </c>
      <c r="M361" s="121">
        <f>IF($L361="","",INT($L361/1000000000))</f>
        <v/>
      </c>
      <c r="N361" s="121">
        <f>IF($L361="","",INT(($L361-INT($L361/1000000)*1000000)/1000))</f>
        <v/>
      </c>
      <c r="O361" s="121">
        <f>IF($L361="","",$L361-INT($L361/1000)*1000)</f>
        <v/>
      </c>
      <c r="P361" s="121">
        <f>IF($L361="","",INT(($L361-INT($L361/1000000000)*1000000000)/100000000))</f>
        <v/>
      </c>
    </row>
    <row r="362">
      <c r="B362" s="122">
        <f>IF($L362="","",$M362)</f>
        <v/>
      </c>
      <c r="C362" s="22">
        <f>IF($L362="","",INDEX(HSTECH!$C$7:$C$46,$N362))</f>
        <v/>
      </c>
      <c r="D362" s="22">
        <f>IF($L362="","",INDEX(HSTECH!$D$7:$D$46,$N362))</f>
        <v/>
      </c>
      <c r="E362" s="123">
        <f>IF($L362="","",IF($P362=0,"TBA",IFERROR(INDEX(Grids!$C$116:$BO$155,$N362,$O362),"-")))</f>
        <v/>
      </c>
      <c r="F362" s="22">
        <f>IF($L362="","",INDEX(HSTECH!$F$7:$F$46,$N362))</f>
        <v/>
      </c>
      <c r="G362" s="123">
        <f>IF($L362="","",IF($P362=0,"TBA",IFERROR(INDEX(Grids!$BQ$116:$EC$155,$N362,$O362),"-")))</f>
        <v/>
      </c>
      <c r="H362" s="124">
        <f>IF($L362="","",SUM($G$316:$G362))</f>
        <v/>
      </c>
      <c r="I362" s="45">
        <f>IF($L362="","",IF(INT(($L362-INT($L362/10000000)*10000000)/1000000)=0,"Bloomberg projection",IF($P362=1,"ANNOUNCED","ANNOUNCED - amount TBA")))</f>
        <v/>
      </c>
      <c r="J362" s="46">
        <f>IF($L362="","",IF((OV_SWITCH="ON")*(COUNTIFS(OVR_TICKERS,INDEX(HSTECH!$C$7:$C$46,$N362),OVR_BASE,"&gt;=0")&gt;0)&gt;0,"stock overridden",""))</f>
        <v/>
      </c>
      <c r="L362" s="121">
        <f>IFERROR(IF(SMALL(Grids!$EE$116:$GQ$155,$M$313+47)&gt;=PEND_TO,"",SMALL(Grids!$EE$116:$GQ$155,$M$313+47)),"")</f>
        <v/>
      </c>
      <c r="M362" s="121">
        <f>IF($L362="","",INT($L362/1000000000))</f>
        <v/>
      </c>
      <c r="N362" s="121">
        <f>IF($L362="","",INT(($L362-INT($L362/1000000)*1000000)/1000))</f>
        <v/>
      </c>
      <c r="O362" s="121">
        <f>IF($L362="","",$L362-INT($L362/1000)*1000)</f>
        <v/>
      </c>
      <c r="P362" s="121">
        <f>IF($L362="","",INT(($L362-INT($L362/1000000000)*1000000000)/100000000))</f>
        <v/>
      </c>
    </row>
    <row r="363">
      <c r="B363" s="122">
        <f>IF($L363="","",$M363)</f>
        <v/>
      </c>
      <c r="C363" s="22">
        <f>IF($L363="","",INDEX(HSTECH!$C$7:$C$46,$N363))</f>
        <v/>
      </c>
      <c r="D363" s="22">
        <f>IF($L363="","",INDEX(HSTECH!$D$7:$D$46,$N363))</f>
        <v/>
      </c>
      <c r="E363" s="123">
        <f>IF($L363="","",IF($P363=0,"TBA",IFERROR(INDEX(Grids!$C$116:$BO$155,$N363,$O363),"-")))</f>
        <v/>
      </c>
      <c r="F363" s="22">
        <f>IF($L363="","",INDEX(HSTECH!$F$7:$F$46,$N363))</f>
        <v/>
      </c>
      <c r="G363" s="123">
        <f>IF($L363="","",IF($P363=0,"TBA",IFERROR(INDEX(Grids!$BQ$116:$EC$155,$N363,$O363),"-")))</f>
        <v/>
      </c>
      <c r="H363" s="124">
        <f>IF($L363="","",SUM($G$316:$G363))</f>
        <v/>
      </c>
      <c r="I363" s="45">
        <f>IF($L363="","",IF(INT(($L363-INT($L363/10000000)*10000000)/1000000)=0,"Bloomberg projection",IF($P363=1,"ANNOUNCED","ANNOUNCED - amount TBA")))</f>
        <v/>
      </c>
      <c r="J363" s="46">
        <f>IF($L363="","",IF((OV_SWITCH="ON")*(COUNTIFS(OVR_TICKERS,INDEX(HSTECH!$C$7:$C$46,$N363),OVR_BASE,"&gt;=0")&gt;0)&gt;0,"stock overridden",""))</f>
        <v/>
      </c>
      <c r="L363" s="121">
        <f>IFERROR(IF(SMALL(Grids!$EE$116:$GQ$155,$M$313+48)&gt;=PEND_TO,"",SMALL(Grids!$EE$116:$GQ$155,$M$313+48)),"")</f>
        <v/>
      </c>
      <c r="M363" s="121">
        <f>IF($L363="","",INT($L363/1000000000))</f>
        <v/>
      </c>
      <c r="N363" s="121">
        <f>IF($L363="","",INT(($L363-INT($L363/1000000)*1000000)/1000))</f>
        <v/>
      </c>
      <c r="O363" s="121">
        <f>IF($L363="","",$L363-INT($L363/1000)*1000)</f>
        <v/>
      </c>
      <c r="P363" s="121">
        <f>IF($L363="","",INT(($L363-INT($L363/1000000000)*1000000000)/100000000))</f>
        <v/>
      </c>
    </row>
    <row r="364">
      <c r="B364" s="122">
        <f>IF($L364="","",$M364)</f>
        <v/>
      </c>
      <c r="C364" s="22">
        <f>IF($L364="","",INDEX(HSTECH!$C$7:$C$46,$N364))</f>
        <v/>
      </c>
      <c r="D364" s="22">
        <f>IF($L364="","",INDEX(HSTECH!$D$7:$D$46,$N364))</f>
        <v/>
      </c>
      <c r="E364" s="123">
        <f>IF($L364="","",IF($P364=0,"TBA",IFERROR(INDEX(Grids!$C$116:$BO$155,$N364,$O364),"-")))</f>
        <v/>
      </c>
      <c r="F364" s="22">
        <f>IF($L364="","",INDEX(HSTECH!$F$7:$F$46,$N364))</f>
        <v/>
      </c>
      <c r="G364" s="123">
        <f>IF($L364="","",IF($P364=0,"TBA",IFERROR(INDEX(Grids!$BQ$116:$EC$155,$N364,$O364),"-")))</f>
        <v/>
      </c>
      <c r="H364" s="124">
        <f>IF($L364="","",SUM($G$316:$G364))</f>
        <v/>
      </c>
      <c r="I364" s="45">
        <f>IF($L364="","",IF(INT(($L364-INT($L364/10000000)*10000000)/1000000)=0,"Bloomberg projection",IF($P364=1,"ANNOUNCED","ANNOUNCED - amount TBA")))</f>
        <v/>
      </c>
      <c r="J364" s="46">
        <f>IF($L364="","",IF((OV_SWITCH="ON")*(COUNTIFS(OVR_TICKERS,INDEX(HSTECH!$C$7:$C$46,$N364),OVR_BASE,"&gt;=0")&gt;0)&gt;0,"stock overridden",""))</f>
        <v/>
      </c>
      <c r="L364" s="121">
        <f>IFERROR(IF(SMALL(Grids!$EE$116:$GQ$155,$M$313+49)&gt;=PEND_TO,"",SMALL(Grids!$EE$116:$GQ$155,$M$313+49)),"")</f>
        <v/>
      </c>
      <c r="M364" s="121">
        <f>IF($L364="","",INT($L364/1000000000))</f>
        <v/>
      </c>
      <c r="N364" s="121">
        <f>IF($L364="","",INT(($L364-INT($L364/1000000)*1000000)/1000))</f>
        <v/>
      </c>
      <c r="O364" s="121">
        <f>IF($L364="","",$L364-INT($L364/1000)*1000)</f>
        <v/>
      </c>
      <c r="P364" s="121">
        <f>IF($L364="","",INT(($L364-INT($L364/1000000000)*1000000000)/100000000))</f>
        <v/>
      </c>
    </row>
    <row r="365">
      <c r="B365" s="122">
        <f>IF($L365="","",$M365)</f>
        <v/>
      </c>
      <c r="C365" s="22">
        <f>IF($L365="","",INDEX(HSTECH!$C$7:$C$46,$N365))</f>
        <v/>
      </c>
      <c r="D365" s="22">
        <f>IF($L365="","",INDEX(HSTECH!$D$7:$D$46,$N365))</f>
        <v/>
      </c>
      <c r="E365" s="123">
        <f>IF($L365="","",IF($P365=0,"TBA",IFERROR(INDEX(Grids!$C$116:$BO$155,$N365,$O365),"-")))</f>
        <v/>
      </c>
      <c r="F365" s="22">
        <f>IF($L365="","",INDEX(HSTECH!$F$7:$F$46,$N365))</f>
        <v/>
      </c>
      <c r="G365" s="123">
        <f>IF($L365="","",IF($P365=0,"TBA",IFERROR(INDEX(Grids!$BQ$116:$EC$155,$N365,$O365),"-")))</f>
        <v/>
      </c>
      <c r="H365" s="124">
        <f>IF($L365="","",SUM($G$316:$G365))</f>
        <v/>
      </c>
      <c r="I365" s="45">
        <f>IF($L365="","",IF(INT(($L365-INT($L365/10000000)*10000000)/1000000)=0,"Bloomberg projection",IF($P365=1,"ANNOUNCED","ANNOUNCED - amount TBA")))</f>
        <v/>
      </c>
      <c r="J365" s="46">
        <f>IF($L365="","",IF((OV_SWITCH="ON")*(COUNTIFS(OVR_TICKERS,INDEX(HSTECH!$C$7:$C$46,$N365),OVR_BASE,"&gt;=0")&gt;0)&gt;0,"stock overridden",""))</f>
        <v/>
      </c>
      <c r="L365" s="121">
        <f>IFERROR(IF(SMALL(Grids!$EE$116:$GQ$155,$M$313+50)&gt;=PEND_TO,"",SMALL(Grids!$EE$116:$GQ$155,$M$313+50)),"")</f>
        <v/>
      </c>
      <c r="M365" s="121">
        <f>IF($L365="","",INT($L365/1000000000))</f>
        <v/>
      </c>
      <c r="N365" s="121">
        <f>IF($L365="","",INT(($L365-INT($L365/1000000)*1000000)/1000))</f>
        <v/>
      </c>
      <c r="O365" s="121">
        <f>IF($L365="","",$L365-INT($L365/1000)*1000)</f>
        <v/>
      </c>
      <c r="P365" s="121">
        <f>IF($L365="","",INT(($L365-INT($L365/1000000000)*1000000000)/100000000))</f>
        <v/>
      </c>
    </row>
    <row r="366">
      <c r="B366" s="122">
        <f>IF($L366="","",$M366)</f>
        <v/>
      </c>
      <c r="C366" s="22">
        <f>IF($L366="","",INDEX(HSTECH!$C$7:$C$46,$N366))</f>
        <v/>
      </c>
      <c r="D366" s="22">
        <f>IF($L366="","",INDEX(HSTECH!$D$7:$D$46,$N366))</f>
        <v/>
      </c>
      <c r="E366" s="123">
        <f>IF($L366="","",IF($P366=0,"TBA",IFERROR(INDEX(Grids!$C$116:$BO$155,$N366,$O366),"-")))</f>
        <v/>
      </c>
      <c r="F366" s="22">
        <f>IF($L366="","",INDEX(HSTECH!$F$7:$F$46,$N366))</f>
        <v/>
      </c>
      <c r="G366" s="123">
        <f>IF($L366="","",IF($P366=0,"TBA",IFERROR(INDEX(Grids!$BQ$116:$EC$155,$N366,$O366),"-")))</f>
        <v/>
      </c>
      <c r="H366" s="124">
        <f>IF($L366="","",SUM($G$316:$G366))</f>
        <v/>
      </c>
      <c r="I366" s="45">
        <f>IF($L366="","",IF(INT(($L366-INT($L366/10000000)*10000000)/1000000)=0,"Bloomberg projection",IF($P366=1,"ANNOUNCED","ANNOUNCED - amount TBA")))</f>
        <v/>
      </c>
      <c r="J366" s="46">
        <f>IF($L366="","",IF((OV_SWITCH="ON")*(COUNTIFS(OVR_TICKERS,INDEX(HSTECH!$C$7:$C$46,$N366),OVR_BASE,"&gt;=0")&gt;0)&gt;0,"stock overridden",""))</f>
        <v/>
      </c>
      <c r="L366" s="121">
        <f>IFERROR(IF(SMALL(Grids!$EE$116:$GQ$155,$M$313+51)&gt;=PEND_TO,"",SMALL(Grids!$EE$116:$GQ$155,$M$313+51)),"")</f>
        <v/>
      </c>
      <c r="M366" s="121">
        <f>IF($L366="","",INT($L366/1000000000))</f>
        <v/>
      </c>
      <c r="N366" s="121">
        <f>IF($L366="","",INT(($L366-INT($L366/1000000)*1000000)/1000))</f>
        <v/>
      </c>
      <c r="O366" s="121">
        <f>IF($L366="","",$L366-INT($L366/1000)*1000)</f>
        <v/>
      </c>
      <c r="P366" s="121">
        <f>IF($L366="","",INT(($L366-INT($L366/1000000000)*1000000000)/100000000))</f>
        <v/>
      </c>
    </row>
    <row r="367">
      <c r="B367" s="122">
        <f>IF($L367="","",$M367)</f>
        <v/>
      </c>
      <c r="C367" s="22">
        <f>IF($L367="","",INDEX(HSTECH!$C$7:$C$46,$N367))</f>
        <v/>
      </c>
      <c r="D367" s="22">
        <f>IF($L367="","",INDEX(HSTECH!$D$7:$D$46,$N367))</f>
        <v/>
      </c>
      <c r="E367" s="123">
        <f>IF($L367="","",IF($P367=0,"TBA",IFERROR(INDEX(Grids!$C$116:$BO$155,$N367,$O367),"-")))</f>
        <v/>
      </c>
      <c r="F367" s="22">
        <f>IF($L367="","",INDEX(HSTECH!$F$7:$F$46,$N367))</f>
        <v/>
      </c>
      <c r="G367" s="123">
        <f>IF($L367="","",IF($P367=0,"TBA",IFERROR(INDEX(Grids!$BQ$116:$EC$155,$N367,$O367),"-")))</f>
        <v/>
      </c>
      <c r="H367" s="124">
        <f>IF($L367="","",SUM($G$316:$G367))</f>
        <v/>
      </c>
      <c r="I367" s="45">
        <f>IF($L367="","",IF(INT(($L367-INT($L367/10000000)*10000000)/1000000)=0,"Bloomberg projection",IF($P367=1,"ANNOUNCED","ANNOUNCED - amount TBA")))</f>
        <v/>
      </c>
      <c r="J367" s="46">
        <f>IF($L367="","",IF((OV_SWITCH="ON")*(COUNTIFS(OVR_TICKERS,INDEX(HSTECH!$C$7:$C$46,$N367),OVR_BASE,"&gt;=0")&gt;0)&gt;0,"stock overridden",""))</f>
        <v/>
      </c>
      <c r="L367" s="121">
        <f>IFERROR(IF(SMALL(Grids!$EE$116:$GQ$155,$M$313+52)&gt;=PEND_TO,"",SMALL(Grids!$EE$116:$GQ$155,$M$313+52)),"")</f>
        <v/>
      </c>
      <c r="M367" s="121">
        <f>IF($L367="","",INT($L367/1000000000))</f>
        <v/>
      </c>
      <c r="N367" s="121">
        <f>IF($L367="","",INT(($L367-INT($L367/1000000)*1000000)/1000))</f>
        <v/>
      </c>
      <c r="O367" s="121">
        <f>IF($L367="","",$L367-INT($L367/1000)*1000)</f>
        <v/>
      </c>
      <c r="P367" s="121">
        <f>IF($L367="","",INT(($L367-INT($L367/1000000000)*1000000000)/100000000))</f>
        <v/>
      </c>
    </row>
    <row r="368">
      <c r="B368" s="122">
        <f>IF($L368="","",$M368)</f>
        <v/>
      </c>
      <c r="C368" s="22">
        <f>IF($L368="","",INDEX(HSTECH!$C$7:$C$46,$N368))</f>
        <v/>
      </c>
      <c r="D368" s="22">
        <f>IF($L368="","",INDEX(HSTECH!$D$7:$D$46,$N368))</f>
        <v/>
      </c>
      <c r="E368" s="123">
        <f>IF($L368="","",IF($P368=0,"TBA",IFERROR(INDEX(Grids!$C$116:$BO$155,$N368,$O368),"-")))</f>
        <v/>
      </c>
      <c r="F368" s="22">
        <f>IF($L368="","",INDEX(HSTECH!$F$7:$F$46,$N368))</f>
        <v/>
      </c>
      <c r="G368" s="123">
        <f>IF($L368="","",IF($P368=0,"TBA",IFERROR(INDEX(Grids!$BQ$116:$EC$155,$N368,$O368),"-")))</f>
        <v/>
      </c>
      <c r="H368" s="124">
        <f>IF($L368="","",SUM($G$316:$G368))</f>
        <v/>
      </c>
      <c r="I368" s="45">
        <f>IF($L368="","",IF(INT(($L368-INT($L368/10000000)*10000000)/1000000)=0,"Bloomberg projection",IF($P368=1,"ANNOUNCED","ANNOUNCED - amount TBA")))</f>
        <v/>
      </c>
      <c r="J368" s="46">
        <f>IF($L368="","",IF((OV_SWITCH="ON")*(COUNTIFS(OVR_TICKERS,INDEX(HSTECH!$C$7:$C$46,$N368),OVR_BASE,"&gt;=0")&gt;0)&gt;0,"stock overridden",""))</f>
        <v/>
      </c>
      <c r="L368" s="121">
        <f>IFERROR(IF(SMALL(Grids!$EE$116:$GQ$155,$M$313+53)&gt;=PEND_TO,"",SMALL(Grids!$EE$116:$GQ$155,$M$313+53)),"")</f>
        <v/>
      </c>
      <c r="M368" s="121">
        <f>IF($L368="","",INT($L368/1000000000))</f>
        <v/>
      </c>
      <c r="N368" s="121">
        <f>IF($L368="","",INT(($L368-INT($L368/1000000)*1000000)/1000))</f>
        <v/>
      </c>
      <c r="O368" s="121">
        <f>IF($L368="","",$L368-INT($L368/1000)*1000)</f>
        <v/>
      </c>
      <c r="P368" s="121">
        <f>IF($L368="","",INT(($L368-INT($L368/1000000000)*1000000000)/100000000))</f>
        <v/>
      </c>
    </row>
    <row r="369">
      <c r="B369" s="122">
        <f>IF($L369="","",$M369)</f>
        <v/>
      </c>
      <c r="C369" s="22">
        <f>IF($L369="","",INDEX(HSTECH!$C$7:$C$46,$N369))</f>
        <v/>
      </c>
      <c r="D369" s="22">
        <f>IF($L369="","",INDEX(HSTECH!$D$7:$D$46,$N369))</f>
        <v/>
      </c>
      <c r="E369" s="123">
        <f>IF($L369="","",IF($P369=0,"TBA",IFERROR(INDEX(Grids!$C$116:$BO$155,$N369,$O369),"-")))</f>
        <v/>
      </c>
      <c r="F369" s="22">
        <f>IF($L369="","",INDEX(HSTECH!$F$7:$F$46,$N369))</f>
        <v/>
      </c>
      <c r="G369" s="123">
        <f>IF($L369="","",IF($P369=0,"TBA",IFERROR(INDEX(Grids!$BQ$116:$EC$155,$N369,$O369),"-")))</f>
        <v/>
      </c>
      <c r="H369" s="124">
        <f>IF($L369="","",SUM($G$316:$G369))</f>
        <v/>
      </c>
      <c r="I369" s="45">
        <f>IF($L369="","",IF(INT(($L369-INT($L369/10000000)*10000000)/1000000)=0,"Bloomberg projection",IF($P369=1,"ANNOUNCED","ANNOUNCED - amount TBA")))</f>
        <v/>
      </c>
      <c r="J369" s="46">
        <f>IF($L369="","",IF((OV_SWITCH="ON")*(COUNTIFS(OVR_TICKERS,INDEX(HSTECH!$C$7:$C$46,$N369),OVR_BASE,"&gt;=0")&gt;0)&gt;0,"stock overridden",""))</f>
        <v/>
      </c>
      <c r="L369" s="121">
        <f>IFERROR(IF(SMALL(Grids!$EE$116:$GQ$155,$M$313+54)&gt;=PEND_TO,"",SMALL(Grids!$EE$116:$GQ$155,$M$313+54)),"")</f>
        <v/>
      </c>
      <c r="M369" s="121">
        <f>IF($L369="","",INT($L369/1000000000))</f>
        <v/>
      </c>
      <c r="N369" s="121">
        <f>IF($L369="","",INT(($L369-INT($L369/1000000)*1000000)/1000))</f>
        <v/>
      </c>
      <c r="O369" s="121">
        <f>IF($L369="","",$L369-INT($L369/1000)*1000)</f>
        <v/>
      </c>
      <c r="P369" s="121">
        <f>IF($L369="","",INT(($L369-INT($L369/1000000000)*1000000000)/100000000))</f>
        <v/>
      </c>
    </row>
    <row r="370">
      <c r="B370" s="122">
        <f>IF($L370="","",$M370)</f>
        <v/>
      </c>
      <c r="C370" s="22">
        <f>IF($L370="","",INDEX(HSTECH!$C$7:$C$46,$N370))</f>
        <v/>
      </c>
      <c r="D370" s="22">
        <f>IF($L370="","",INDEX(HSTECH!$D$7:$D$46,$N370))</f>
        <v/>
      </c>
      <c r="E370" s="123">
        <f>IF($L370="","",IF($P370=0,"TBA",IFERROR(INDEX(Grids!$C$116:$BO$155,$N370,$O370),"-")))</f>
        <v/>
      </c>
      <c r="F370" s="22">
        <f>IF($L370="","",INDEX(HSTECH!$F$7:$F$46,$N370))</f>
        <v/>
      </c>
      <c r="G370" s="123">
        <f>IF($L370="","",IF($P370=0,"TBA",IFERROR(INDEX(Grids!$BQ$116:$EC$155,$N370,$O370),"-")))</f>
        <v/>
      </c>
      <c r="H370" s="124">
        <f>IF($L370="","",SUM($G$316:$G370))</f>
        <v/>
      </c>
      <c r="I370" s="45">
        <f>IF($L370="","",IF(INT(($L370-INT($L370/10000000)*10000000)/1000000)=0,"Bloomberg projection",IF($P370=1,"ANNOUNCED","ANNOUNCED - amount TBA")))</f>
        <v/>
      </c>
      <c r="J370" s="46">
        <f>IF($L370="","",IF((OV_SWITCH="ON")*(COUNTIFS(OVR_TICKERS,INDEX(HSTECH!$C$7:$C$46,$N370),OVR_BASE,"&gt;=0")&gt;0)&gt;0,"stock overridden",""))</f>
        <v/>
      </c>
      <c r="L370" s="121">
        <f>IFERROR(IF(SMALL(Grids!$EE$116:$GQ$155,$M$313+55)&gt;=PEND_TO,"",SMALL(Grids!$EE$116:$GQ$155,$M$313+55)),"")</f>
        <v/>
      </c>
      <c r="M370" s="121">
        <f>IF($L370="","",INT($L370/1000000000))</f>
        <v/>
      </c>
      <c r="N370" s="121">
        <f>IF($L370="","",INT(($L370-INT($L370/1000000)*1000000)/1000))</f>
        <v/>
      </c>
      <c r="O370" s="121">
        <f>IF($L370="","",$L370-INT($L370/1000)*1000)</f>
        <v/>
      </c>
      <c r="P370" s="121">
        <f>IF($L370="","",INT(($L370-INT($L370/1000000000)*1000000000)/100000000))</f>
        <v/>
      </c>
    </row>
    <row r="371">
      <c r="B371" s="122">
        <f>IF($L371="","",$M371)</f>
        <v/>
      </c>
      <c r="C371" s="22">
        <f>IF($L371="","",INDEX(HSTECH!$C$7:$C$46,$N371))</f>
        <v/>
      </c>
      <c r="D371" s="22">
        <f>IF($L371="","",INDEX(HSTECH!$D$7:$D$46,$N371))</f>
        <v/>
      </c>
      <c r="E371" s="123">
        <f>IF($L371="","",IF($P371=0,"TBA",IFERROR(INDEX(Grids!$C$116:$BO$155,$N371,$O371),"-")))</f>
        <v/>
      </c>
      <c r="F371" s="22">
        <f>IF($L371="","",INDEX(HSTECH!$F$7:$F$46,$N371))</f>
        <v/>
      </c>
      <c r="G371" s="123">
        <f>IF($L371="","",IF($P371=0,"TBA",IFERROR(INDEX(Grids!$BQ$116:$EC$155,$N371,$O371),"-")))</f>
        <v/>
      </c>
      <c r="H371" s="124">
        <f>IF($L371="","",SUM($G$316:$G371))</f>
        <v/>
      </c>
      <c r="I371" s="45">
        <f>IF($L371="","",IF(INT(($L371-INT($L371/10000000)*10000000)/1000000)=0,"Bloomberg projection",IF($P371=1,"ANNOUNCED","ANNOUNCED - amount TBA")))</f>
        <v/>
      </c>
      <c r="J371" s="46">
        <f>IF($L371="","",IF((OV_SWITCH="ON")*(COUNTIFS(OVR_TICKERS,INDEX(HSTECH!$C$7:$C$46,$N371),OVR_BASE,"&gt;=0")&gt;0)&gt;0,"stock overridden",""))</f>
        <v/>
      </c>
      <c r="L371" s="121">
        <f>IFERROR(IF(SMALL(Grids!$EE$116:$GQ$155,$M$313+56)&gt;=PEND_TO,"",SMALL(Grids!$EE$116:$GQ$155,$M$313+56)),"")</f>
        <v/>
      </c>
      <c r="M371" s="121">
        <f>IF($L371="","",INT($L371/1000000000))</f>
        <v/>
      </c>
      <c r="N371" s="121">
        <f>IF($L371="","",INT(($L371-INT($L371/1000000)*1000000)/1000))</f>
        <v/>
      </c>
      <c r="O371" s="121">
        <f>IF($L371="","",$L371-INT($L371/1000)*1000)</f>
        <v/>
      </c>
      <c r="P371" s="121">
        <f>IF($L371="","",INT(($L371-INT($L371/1000000000)*1000000000)/100000000))</f>
        <v/>
      </c>
    </row>
    <row r="372">
      <c r="B372" s="122">
        <f>IF($L372="","",$M372)</f>
        <v/>
      </c>
      <c r="C372" s="22">
        <f>IF($L372="","",INDEX(HSTECH!$C$7:$C$46,$N372))</f>
        <v/>
      </c>
      <c r="D372" s="22">
        <f>IF($L372="","",INDEX(HSTECH!$D$7:$D$46,$N372))</f>
        <v/>
      </c>
      <c r="E372" s="123">
        <f>IF($L372="","",IF($P372=0,"TBA",IFERROR(INDEX(Grids!$C$116:$BO$155,$N372,$O372),"-")))</f>
        <v/>
      </c>
      <c r="F372" s="22">
        <f>IF($L372="","",INDEX(HSTECH!$F$7:$F$46,$N372))</f>
        <v/>
      </c>
      <c r="G372" s="123">
        <f>IF($L372="","",IF($P372=0,"TBA",IFERROR(INDEX(Grids!$BQ$116:$EC$155,$N372,$O372),"-")))</f>
        <v/>
      </c>
      <c r="H372" s="124">
        <f>IF($L372="","",SUM($G$316:$G372))</f>
        <v/>
      </c>
      <c r="I372" s="45">
        <f>IF($L372="","",IF(INT(($L372-INT($L372/10000000)*10000000)/1000000)=0,"Bloomberg projection",IF($P372=1,"ANNOUNCED","ANNOUNCED - amount TBA")))</f>
        <v/>
      </c>
      <c r="J372" s="46">
        <f>IF($L372="","",IF((OV_SWITCH="ON")*(COUNTIFS(OVR_TICKERS,INDEX(HSTECH!$C$7:$C$46,$N372),OVR_BASE,"&gt;=0")&gt;0)&gt;0,"stock overridden",""))</f>
        <v/>
      </c>
      <c r="L372" s="121">
        <f>IFERROR(IF(SMALL(Grids!$EE$116:$GQ$155,$M$313+57)&gt;=PEND_TO,"",SMALL(Grids!$EE$116:$GQ$155,$M$313+57)),"")</f>
        <v/>
      </c>
      <c r="M372" s="121">
        <f>IF($L372="","",INT($L372/1000000000))</f>
        <v/>
      </c>
      <c r="N372" s="121">
        <f>IF($L372="","",INT(($L372-INT($L372/1000000)*1000000)/1000))</f>
        <v/>
      </c>
      <c r="O372" s="121">
        <f>IF($L372="","",$L372-INT($L372/1000)*1000)</f>
        <v/>
      </c>
      <c r="P372" s="121">
        <f>IF($L372="","",INT(($L372-INT($L372/1000000000)*1000000000)/100000000))</f>
        <v/>
      </c>
    </row>
    <row r="373">
      <c r="B373" s="122">
        <f>IF($L373="","",$M373)</f>
        <v/>
      </c>
      <c r="C373" s="22">
        <f>IF($L373="","",INDEX(HSTECH!$C$7:$C$46,$N373))</f>
        <v/>
      </c>
      <c r="D373" s="22">
        <f>IF($L373="","",INDEX(HSTECH!$D$7:$D$46,$N373))</f>
        <v/>
      </c>
      <c r="E373" s="123">
        <f>IF($L373="","",IF($P373=0,"TBA",IFERROR(INDEX(Grids!$C$116:$BO$155,$N373,$O373),"-")))</f>
        <v/>
      </c>
      <c r="F373" s="22">
        <f>IF($L373="","",INDEX(HSTECH!$F$7:$F$46,$N373))</f>
        <v/>
      </c>
      <c r="G373" s="123">
        <f>IF($L373="","",IF($P373=0,"TBA",IFERROR(INDEX(Grids!$BQ$116:$EC$155,$N373,$O373),"-")))</f>
        <v/>
      </c>
      <c r="H373" s="124">
        <f>IF($L373="","",SUM($G$316:$G373))</f>
        <v/>
      </c>
      <c r="I373" s="45">
        <f>IF($L373="","",IF(INT(($L373-INT($L373/10000000)*10000000)/1000000)=0,"Bloomberg projection",IF($P373=1,"ANNOUNCED","ANNOUNCED - amount TBA")))</f>
        <v/>
      </c>
      <c r="J373" s="46">
        <f>IF($L373="","",IF((OV_SWITCH="ON")*(COUNTIFS(OVR_TICKERS,INDEX(HSTECH!$C$7:$C$46,$N373),OVR_BASE,"&gt;=0")&gt;0)&gt;0,"stock overridden",""))</f>
        <v/>
      </c>
      <c r="L373" s="121">
        <f>IFERROR(IF(SMALL(Grids!$EE$116:$GQ$155,$M$313+58)&gt;=PEND_TO,"",SMALL(Grids!$EE$116:$GQ$155,$M$313+58)),"")</f>
        <v/>
      </c>
      <c r="M373" s="121">
        <f>IF($L373="","",INT($L373/1000000000))</f>
        <v/>
      </c>
      <c r="N373" s="121">
        <f>IF($L373="","",INT(($L373-INT($L373/1000000)*1000000)/1000))</f>
        <v/>
      </c>
      <c r="O373" s="121">
        <f>IF($L373="","",$L373-INT($L373/1000)*1000)</f>
        <v/>
      </c>
      <c r="P373" s="121">
        <f>IF($L373="","",INT(($L373-INT($L373/1000000000)*1000000000)/100000000))</f>
        <v/>
      </c>
    </row>
    <row r="374">
      <c r="B374" s="122">
        <f>IF($L374="","",$M374)</f>
        <v/>
      </c>
      <c r="C374" s="22">
        <f>IF($L374="","",INDEX(HSTECH!$C$7:$C$46,$N374))</f>
        <v/>
      </c>
      <c r="D374" s="22">
        <f>IF($L374="","",INDEX(HSTECH!$D$7:$D$46,$N374))</f>
        <v/>
      </c>
      <c r="E374" s="123">
        <f>IF($L374="","",IF($P374=0,"TBA",IFERROR(INDEX(Grids!$C$116:$BO$155,$N374,$O374),"-")))</f>
        <v/>
      </c>
      <c r="F374" s="22">
        <f>IF($L374="","",INDEX(HSTECH!$F$7:$F$46,$N374))</f>
        <v/>
      </c>
      <c r="G374" s="123">
        <f>IF($L374="","",IF($P374=0,"TBA",IFERROR(INDEX(Grids!$BQ$116:$EC$155,$N374,$O374),"-")))</f>
        <v/>
      </c>
      <c r="H374" s="124">
        <f>IF($L374="","",SUM($G$316:$G374))</f>
        <v/>
      </c>
      <c r="I374" s="45">
        <f>IF($L374="","",IF(INT(($L374-INT($L374/10000000)*10000000)/1000000)=0,"Bloomberg projection",IF($P374=1,"ANNOUNCED","ANNOUNCED - amount TBA")))</f>
        <v/>
      </c>
      <c r="J374" s="46">
        <f>IF($L374="","",IF((OV_SWITCH="ON")*(COUNTIFS(OVR_TICKERS,INDEX(HSTECH!$C$7:$C$46,$N374),OVR_BASE,"&gt;=0")&gt;0)&gt;0,"stock overridden",""))</f>
        <v/>
      </c>
      <c r="L374" s="121">
        <f>IFERROR(IF(SMALL(Grids!$EE$116:$GQ$155,$M$313+59)&gt;=PEND_TO,"",SMALL(Grids!$EE$116:$GQ$155,$M$313+59)),"")</f>
        <v/>
      </c>
      <c r="M374" s="121">
        <f>IF($L374="","",INT($L374/1000000000))</f>
        <v/>
      </c>
      <c r="N374" s="121">
        <f>IF($L374="","",INT(($L374-INT($L374/1000000)*1000000)/1000))</f>
        <v/>
      </c>
      <c r="O374" s="121">
        <f>IF($L374="","",$L374-INT($L374/1000)*1000)</f>
        <v/>
      </c>
      <c r="P374" s="121">
        <f>IF($L374="","",INT(($L374-INT($L374/1000000000)*1000000000)/100000000))</f>
        <v/>
      </c>
    </row>
    <row r="375">
      <c r="B375" s="122">
        <f>IF($L375="","",$M375)</f>
        <v/>
      </c>
      <c r="C375" s="22">
        <f>IF($L375="","",INDEX(HSTECH!$C$7:$C$46,$N375))</f>
        <v/>
      </c>
      <c r="D375" s="22">
        <f>IF($L375="","",INDEX(HSTECH!$D$7:$D$46,$N375))</f>
        <v/>
      </c>
      <c r="E375" s="123">
        <f>IF($L375="","",IF($P375=0,"TBA",IFERROR(INDEX(Grids!$C$116:$BO$155,$N375,$O375),"-")))</f>
        <v/>
      </c>
      <c r="F375" s="22">
        <f>IF($L375="","",INDEX(HSTECH!$F$7:$F$46,$N375))</f>
        <v/>
      </c>
      <c r="G375" s="123">
        <f>IF($L375="","",IF($P375=0,"TBA",IFERROR(INDEX(Grids!$BQ$116:$EC$155,$N375,$O375),"-")))</f>
        <v/>
      </c>
      <c r="H375" s="124">
        <f>IF($L375="","",SUM($G$316:$G375))</f>
        <v/>
      </c>
      <c r="I375" s="45">
        <f>IF($L375="","",IF(INT(($L375-INT($L375/10000000)*10000000)/1000000)=0,"Bloomberg projection",IF($P375=1,"ANNOUNCED","ANNOUNCED - amount TBA")))</f>
        <v/>
      </c>
      <c r="J375" s="46">
        <f>IF($L375="","",IF((OV_SWITCH="ON")*(COUNTIFS(OVR_TICKERS,INDEX(HSTECH!$C$7:$C$46,$N375),OVR_BASE,"&gt;=0")&gt;0)&gt;0,"stock overridden",""))</f>
        <v/>
      </c>
      <c r="L375" s="121">
        <f>IFERROR(IF(SMALL(Grids!$EE$116:$GQ$155,$M$313+60)&gt;=PEND_TO,"",SMALL(Grids!$EE$116:$GQ$155,$M$313+60)),"")</f>
        <v/>
      </c>
      <c r="M375" s="121">
        <f>IF($L375="","",INT($L375/1000000000))</f>
        <v/>
      </c>
      <c r="N375" s="121">
        <f>IF($L375="","",INT(($L375-INT($L375/1000000)*1000000)/1000))</f>
        <v/>
      </c>
      <c r="O375" s="121">
        <f>IF($L375="","",$L375-INT($L375/1000)*1000)</f>
        <v/>
      </c>
      <c r="P375" s="121">
        <f>IF($L375="","",INT(($L375-INT($L375/1000000000)*1000000000)/100000000))</f>
        <v/>
      </c>
    </row>
    <row r="376">
      <c r="B376" s="122">
        <f>IF($L376="","",$M376)</f>
        <v/>
      </c>
      <c r="C376" s="22">
        <f>IF($L376="","",INDEX(HSTECH!$C$7:$C$46,$N376))</f>
        <v/>
      </c>
      <c r="D376" s="22">
        <f>IF($L376="","",INDEX(HSTECH!$D$7:$D$46,$N376))</f>
        <v/>
      </c>
      <c r="E376" s="123">
        <f>IF($L376="","",IF($P376=0,"TBA",IFERROR(INDEX(Grids!$C$116:$BO$155,$N376,$O376),"-")))</f>
        <v/>
      </c>
      <c r="F376" s="22">
        <f>IF($L376="","",INDEX(HSTECH!$F$7:$F$46,$N376))</f>
        <v/>
      </c>
      <c r="G376" s="123">
        <f>IF($L376="","",IF($P376=0,"TBA",IFERROR(INDEX(Grids!$BQ$116:$EC$155,$N376,$O376),"-")))</f>
        <v/>
      </c>
      <c r="H376" s="124">
        <f>IF($L376="","",SUM($G$316:$G376))</f>
        <v/>
      </c>
      <c r="I376" s="45">
        <f>IF($L376="","",IF(INT(($L376-INT($L376/10000000)*10000000)/1000000)=0,"Bloomberg projection",IF($P376=1,"ANNOUNCED","ANNOUNCED - amount TBA")))</f>
        <v/>
      </c>
      <c r="J376" s="46">
        <f>IF($L376="","",IF((OV_SWITCH="ON")*(COUNTIFS(OVR_TICKERS,INDEX(HSTECH!$C$7:$C$46,$N376),OVR_BASE,"&gt;=0")&gt;0)&gt;0,"stock overridden",""))</f>
        <v/>
      </c>
      <c r="L376" s="121">
        <f>IFERROR(IF(SMALL(Grids!$EE$116:$GQ$155,$M$313+61)&gt;=PEND_TO,"",SMALL(Grids!$EE$116:$GQ$155,$M$313+61)),"")</f>
        <v/>
      </c>
      <c r="M376" s="121">
        <f>IF($L376="","",INT($L376/1000000000))</f>
        <v/>
      </c>
      <c r="N376" s="121">
        <f>IF($L376="","",INT(($L376-INT($L376/1000000)*1000000)/1000))</f>
        <v/>
      </c>
      <c r="O376" s="121">
        <f>IF($L376="","",$L376-INT($L376/1000)*1000)</f>
        <v/>
      </c>
      <c r="P376" s="121">
        <f>IF($L376="","",INT(($L376-INT($L376/1000000000)*1000000000)/100000000))</f>
        <v/>
      </c>
    </row>
    <row r="377">
      <c r="B377" s="122">
        <f>IF($L377="","",$M377)</f>
        <v/>
      </c>
      <c r="C377" s="22">
        <f>IF($L377="","",INDEX(HSTECH!$C$7:$C$46,$N377))</f>
        <v/>
      </c>
      <c r="D377" s="22">
        <f>IF($L377="","",INDEX(HSTECH!$D$7:$D$46,$N377))</f>
        <v/>
      </c>
      <c r="E377" s="123">
        <f>IF($L377="","",IF($P377=0,"TBA",IFERROR(INDEX(Grids!$C$116:$BO$155,$N377,$O377),"-")))</f>
        <v/>
      </c>
      <c r="F377" s="22">
        <f>IF($L377="","",INDEX(HSTECH!$F$7:$F$46,$N377))</f>
        <v/>
      </c>
      <c r="G377" s="123">
        <f>IF($L377="","",IF($P377=0,"TBA",IFERROR(INDEX(Grids!$BQ$116:$EC$155,$N377,$O377),"-")))</f>
        <v/>
      </c>
      <c r="H377" s="124">
        <f>IF($L377="","",SUM($G$316:$G377))</f>
        <v/>
      </c>
      <c r="I377" s="45">
        <f>IF($L377="","",IF(INT(($L377-INT($L377/10000000)*10000000)/1000000)=0,"Bloomberg projection",IF($P377=1,"ANNOUNCED","ANNOUNCED - amount TBA")))</f>
        <v/>
      </c>
      <c r="J377" s="46">
        <f>IF($L377="","",IF((OV_SWITCH="ON")*(COUNTIFS(OVR_TICKERS,INDEX(HSTECH!$C$7:$C$46,$N377),OVR_BASE,"&gt;=0")&gt;0)&gt;0,"stock overridden",""))</f>
        <v/>
      </c>
      <c r="L377" s="121">
        <f>IFERROR(IF(SMALL(Grids!$EE$116:$GQ$155,$M$313+62)&gt;=PEND_TO,"",SMALL(Grids!$EE$116:$GQ$155,$M$313+62)),"")</f>
        <v/>
      </c>
      <c r="M377" s="121">
        <f>IF($L377="","",INT($L377/1000000000))</f>
        <v/>
      </c>
      <c r="N377" s="121">
        <f>IF($L377="","",INT(($L377-INT($L377/1000000)*1000000)/1000))</f>
        <v/>
      </c>
      <c r="O377" s="121">
        <f>IF($L377="","",$L377-INT($L377/1000)*1000)</f>
        <v/>
      </c>
      <c r="P377" s="121">
        <f>IF($L377="","",INT(($L377-INT($L377/1000000000)*1000000000)/100000000))</f>
        <v/>
      </c>
    </row>
    <row r="378">
      <c r="B378" s="122">
        <f>IF($L378="","",$M378)</f>
        <v/>
      </c>
      <c r="C378" s="22">
        <f>IF($L378="","",INDEX(HSTECH!$C$7:$C$46,$N378))</f>
        <v/>
      </c>
      <c r="D378" s="22">
        <f>IF($L378="","",INDEX(HSTECH!$D$7:$D$46,$N378))</f>
        <v/>
      </c>
      <c r="E378" s="123">
        <f>IF($L378="","",IF($P378=0,"TBA",IFERROR(INDEX(Grids!$C$116:$BO$155,$N378,$O378),"-")))</f>
        <v/>
      </c>
      <c r="F378" s="22">
        <f>IF($L378="","",INDEX(HSTECH!$F$7:$F$46,$N378))</f>
        <v/>
      </c>
      <c r="G378" s="123">
        <f>IF($L378="","",IF($P378=0,"TBA",IFERROR(INDEX(Grids!$BQ$116:$EC$155,$N378,$O378),"-")))</f>
        <v/>
      </c>
      <c r="H378" s="124">
        <f>IF($L378="","",SUM($G$316:$G378))</f>
        <v/>
      </c>
      <c r="I378" s="45">
        <f>IF($L378="","",IF(INT(($L378-INT($L378/10000000)*10000000)/1000000)=0,"Bloomberg projection",IF($P378=1,"ANNOUNCED","ANNOUNCED - amount TBA")))</f>
        <v/>
      </c>
      <c r="J378" s="46">
        <f>IF($L378="","",IF((OV_SWITCH="ON")*(COUNTIFS(OVR_TICKERS,INDEX(HSTECH!$C$7:$C$46,$N378),OVR_BASE,"&gt;=0")&gt;0)&gt;0,"stock overridden",""))</f>
        <v/>
      </c>
      <c r="L378" s="121">
        <f>IFERROR(IF(SMALL(Grids!$EE$116:$GQ$155,$M$313+63)&gt;=PEND_TO,"",SMALL(Grids!$EE$116:$GQ$155,$M$313+63)),"")</f>
        <v/>
      </c>
      <c r="M378" s="121">
        <f>IF($L378="","",INT($L378/1000000000))</f>
        <v/>
      </c>
      <c r="N378" s="121">
        <f>IF($L378="","",INT(($L378-INT($L378/1000000)*1000000)/1000))</f>
        <v/>
      </c>
      <c r="O378" s="121">
        <f>IF($L378="","",$L378-INT($L378/1000)*1000)</f>
        <v/>
      </c>
      <c r="P378" s="121">
        <f>IF($L378="","",INT(($L378-INT($L378/1000000000)*1000000000)/100000000))</f>
        <v/>
      </c>
    </row>
    <row r="379">
      <c r="B379" s="122">
        <f>IF($L379="","",$M379)</f>
        <v/>
      </c>
      <c r="C379" s="22">
        <f>IF($L379="","",INDEX(HSTECH!$C$7:$C$46,$N379))</f>
        <v/>
      </c>
      <c r="D379" s="22">
        <f>IF($L379="","",INDEX(HSTECH!$D$7:$D$46,$N379))</f>
        <v/>
      </c>
      <c r="E379" s="123">
        <f>IF($L379="","",IF($P379=0,"TBA",IFERROR(INDEX(Grids!$C$116:$BO$155,$N379,$O379),"-")))</f>
        <v/>
      </c>
      <c r="F379" s="22">
        <f>IF($L379="","",INDEX(HSTECH!$F$7:$F$46,$N379))</f>
        <v/>
      </c>
      <c r="G379" s="123">
        <f>IF($L379="","",IF($P379=0,"TBA",IFERROR(INDEX(Grids!$BQ$116:$EC$155,$N379,$O379),"-")))</f>
        <v/>
      </c>
      <c r="H379" s="124">
        <f>IF($L379="","",SUM($G$316:$G379))</f>
        <v/>
      </c>
      <c r="I379" s="45">
        <f>IF($L379="","",IF(INT(($L379-INT($L379/10000000)*10000000)/1000000)=0,"Bloomberg projection",IF($P379=1,"ANNOUNCED","ANNOUNCED - amount TBA")))</f>
        <v/>
      </c>
      <c r="J379" s="46">
        <f>IF($L379="","",IF((OV_SWITCH="ON")*(COUNTIFS(OVR_TICKERS,INDEX(HSTECH!$C$7:$C$46,$N379),OVR_BASE,"&gt;=0")&gt;0)&gt;0,"stock overridden",""))</f>
        <v/>
      </c>
      <c r="L379" s="121">
        <f>IFERROR(IF(SMALL(Grids!$EE$116:$GQ$155,$M$313+64)&gt;=PEND_TO,"",SMALL(Grids!$EE$116:$GQ$155,$M$313+64)),"")</f>
        <v/>
      </c>
      <c r="M379" s="121">
        <f>IF($L379="","",INT($L379/1000000000))</f>
        <v/>
      </c>
      <c r="N379" s="121">
        <f>IF($L379="","",INT(($L379-INT($L379/1000000)*1000000)/1000))</f>
        <v/>
      </c>
      <c r="O379" s="121">
        <f>IF($L379="","",$L379-INT($L379/1000)*1000)</f>
        <v/>
      </c>
      <c r="P379" s="121">
        <f>IF($L379="","",INT(($L379-INT($L379/1000000000)*1000000000)/100000000))</f>
        <v/>
      </c>
    </row>
    <row r="380">
      <c r="B380" s="122">
        <f>IF($L380="","",$M380)</f>
        <v/>
      </c>
      <c r="C380" s="22">
        <f>IF($L380="","",INDEX(HSTECH!$C$7:$C$46,$N380))</f>
        <v/>
      </c>
      <c r="D380" s="22">
        <f>IF($L380="","",INDEX(HSTECH!$D$7:$D$46,$N380))</f>
        <v/>
      </c>
      <c r="E380" s="123">
        <f>IF($L380="","",IF($P380=0,"TBA",IFERROR(INDEX(Grids!$C$116:$BO$155,$N380,$O380),"-")))</f>
        <v/>
      </c>
      <c r="F380" s="22">
        <f>IF($L380="","",INDEX(HSTECH!$F$7:$F$46,$N380))</f>
        <v/>
      </c>
      <c r="G380" s="123">
        <f>IF($L380="","",IF($P380=0,"TBA",IFERROR(INDEX(Grids!$BQ$116:$EC$155,$N380,$O380),"-")))</f>
        <v/>
      </c>
      <c r="H380" s="124">
        <f>IF($L380="","",SUM($G$316:$G380))</f>
        <v/>
      </c>
      <c r="I380" s="45">
        <f>IF($L380="","",IF(INT(($L380-INT($L380/10000000)*10000000)/1000000)=0,"Bloomberg projection",IF($P380=1,"ANNOUNCED","ANNOUNCED - amount TBA")))</f>
        <v/>
      </c>
      <c r="J380" s="46">
        <f>IF($L380="","",IF((OV_SWITCH="ON")*(COUNTIFS(OVR_TICKERS,INDEX(HSTECH!$C$7:$C$46,$N380),OVR_BASE,"&gt;=0")&gt;0)&gt;0,"stock overridden",""))</f>
        <v/>
      </c>
      <c r="L380" s="121">
        <f>IFERROR(IF(SMALL(Grids!$EE$116:$GQ$155,$M$313+65)&gt;=PEND_TO,"",SMALL(Grids!$EE$116:$GQ$155,$M$313+65)),"")</f>
        <v/>
      </c>
      <c r="M380" s="121">
        <f>IF($L380="","",INT($L380/1000000000))</f>
        <v/>
      </c>
      <c r="N380" s="121">
        <f>IF($L380="","",INT(($L380-INT($L380/1000000)*1000000)/1000))</f>
        <v/>
      </c>
      <c r="O380" s="121">
        <f>IF($L380="","",$L380-INT($L380/1000)*1000)</f>
        <v/>
      </c>
      <c r="P380" s="121">
        <f>IF($L380="","",INT(($L380-INT($L380/1000000000)*1000000000)/100000000))</f>
        <v/>
      </c>
    </row>
    <row r="381">
      <c r="B381" s="122">
        <f>IF($L381="","",$M381)</f>
        <v/>
      </c>
      <c r="C381" s="22">
        <f>IF($L381="","",INDEX(HSTECH!$C$7:$C$46,$N381))</f>
        <v/>
      </c>
      <c r="D381" s="22">
        <f>IF($L381="","",INDEX(HSTECH!$D$7:$D$46,$N381))</f>
        <v/>
      </c>
      <c r="E381" s="123">
        <f>IF($L381="","",IF($P381=0,"TBA",IFERROR(INDEX(Grids!$C$116:$BO$155,$N381,$O381),"-")))</f>
        <v/>
      </c>
      <c r="F381" s="22">
        <f>IF($L381="","",INDEX(HSTECH!$F$7:$F$46,$N381))</f>
        <v/>
      </c>
      <c r="G381" s="123">
        <f>IF($L381="","",IF($P381=0,"TBA",IFERROR(INDEX(Grids!$BQ$116:$EC$155,$N381,$O381),"-")))</f>
        <v/>
      </c>
      <c r="H381" s="124">
        <f>IF($L381="","",SUM($G$316:$G381))</f>
        <v/>
      </c>
      <c r="I381" s="45">
        <f>IF($L381="","",IF(INT(($L381-INT($L381/10000000)*10000000)/1000000)=0,"Bloomberg projection",IF($P381=1,"ANNOUNCED","ANNOUNCED - amount TBA")))</f>
        <v/>
      </c>
      <c r="J381" s="46">
        <f>IF($L381="","",IF((OV_SWITCH="ON")*(COUNTIFS(OVR_TICKERS,INDEX(HSTECH!$C$7:$C$46,$N381),OVR_BASE,"&gt;=0")&gt;0)&gt;0,"stock overridden",""))</f>
        <v/>
      </c>
      <c r="L381" s="121">
        <f>IFERROR(IF(SMALL(Grids!$EE$116:$GQ$155,$M$313+66)&gt;=PEND_TO,"",SMALL(Grids!$EE$116:$GQ$155,$M$313+66)),"")</f>
        <v/>
      </c>
      <c r="M381" s="121">
        <f>IF($L381="","",INT($L381/1000000000))</f>
        <v/>
      </c>
      <c r="N381" s="121">
        <f>IF($L381="","",INT(($L381-INT($L381/1000000)*1000000)/1000))</f>
        <v/>
      </c>
      <c r="O381" s="121">
        <f>IF($L381="","",$L381-INT($L381/1000)*1000)</f>
        <v/>
      </c>
      <c r="P381" s="121">
        <f>IF($L381="","",INT(($L381-INT($L381/1000000000)*1000000000)/100000000))</f>
        <v/>
      </c>
    </row>
    <row r="382">
      <c r="B382" s="122">
        <f>IF($L382="","",$M382)</f>
        <v/>
      </c>
      <c r="C382" s="22">
        <f>IF($L382="","",INDEX(HSTECH!$C$7:$C$46,$N382))</f>
        <v/>
      </c>
      <c r="D382" s="22">
        <f>IF($L382="","",INDEX(HSTECH!$D$7:$D$46,$N382))</f>
        <v/>
      </c>
      <c r="E382" s="123">
        <f>IF($L382="","",IF($P382=0,"TBA",IFERROR(INDEX(Grids!$C$116:$BO$155,$N382,$O382),"-")))</f>
        <v/>
      </c>
      <c r="F382" s="22">
        <f>IF($L382="","",INDEX(HSTECH!$F$7:$F$46,$N382))</f>
        <v/>
      </c>
      <c r="G382" s="123">
        <f>IF($L382="","",IF($P382=0,"TBA",IFERROR(INDEX(Grids!$BQ$116:$EC$155,$N382,$O382),"-")))</f>
        <v/>
      </c>
      <c r="H382" s="124">
        <f>IF($L382="","",SUM($G$316:$G382))</f>
        <v/>
      </c>
      <c r="I382" s="45">
        <f>IF($L382="","",IF(INT(($L382-INT($L382/10000000)*10000000)/1000000)=0,"Bloomberg projection",IF($P382=1,"ANNOUNCED","ANNOUNCED - amount TBA")))</f>
        <v/>
      </c>
      <c r="J382" s="46">
        <f>IF($L382="","",IF((OV_SWITCH="ON")*(COUNTIFS(OVR_TICKERS,INDEX(HSTECH!$C$7:$C$46,$N382),OVR_BASE,"&gt;=0")&gt;0)&gt;0,"stock overridden",""))</f>
        <v/>
      </c>
      <c r="L382" s="121">
        <f>IFERROR(IF(SMALL(Grids!$EE$116:$GQ$155,$M$313+67)&gt;=PEND_TO,"",SMALL(Grids!$EE$116:$GQ$155,$M$313+67)),"")</f>
        <v/>
      </c>
      <c r="M382" s="121">
        <f>IF($L382="","",INT($L382/1000000000))</f>
        <v/>
      </c>
      <c r="N382" s="121">
        <f>IF($L382="","",INT(($L382-INT($L382/1000000)*1000000)/1000))</f>
        <v/>
      </c>
      <c r="O382" s="121">
        <f>IF($L382="","",$L382-INT($L382/1000)*1000)</f>
        <v/>
      </c>
      <c r="P382" s="121">
        <f>IF($L382="","",INT(($L382-INT($L382/1000000000)*1000000000)/100000000))</f>
        <v/>
      </c>
    </row>
    <row r="383">
      <c r="B383" s="122">
        <f>IF($L383="","",$M383)</f>
        <v/>
      </c>
      <c r="C383" s="22">
        <f>IF($L383="","",INDEX(HSTECH!$C$7:$C$46,$N383))</f>
        <v/>
      </c>
      <c r="D383" s="22">
        <f>IF($L383="","",INDEX(HSTECH!$D$7:$D$46,$N383))</f>
        <v/>
      </c>
      <c r="E383" s="123">
        <f>IF($L383="","",IF($P383=0,"TBA",IFERROR(INDEX(Grids!$C$116:$BO$155,$N383,$O383),"-")))</f>
        <v/>
      </c>
      <c r="F383" s="22">
        <f>IF($L383="","",INDEX(HSTECH!$F$7:$F$46,$N383))</f>
        <v/>
      </c>
      <c r="G383" s="123">
        <f>IF($L383="","",IF($P383=0,"TBA",IFERROR(INDEX(Grids!$BQ$116:$EC$155,$N383,$O383),"-")))</f>
        <v/>
      </c>
      <c r="H383" s="124">
        <f>IF($L383="","",SUM($G$316:$G383))</f>
        <v/>
      </c>
      <c r="I383" s="45">
        <f>IF($L383="","",IF(INT(($L383-INT($L383/10000000)*10000000)/1000000)=0,"Bloomberg projection",IF($P383=1,"ANNOUNCED","ANNOUNCED - amount TBA")))</f>
        <v/>
      </c>
      <c r="J383" s="46">
        <f>IF($L383="","",IF((OV_SWITCH="ON")*(COUNTIFS(OVR_TICKERS,INDEX(HSTECH!$C$7:$C$46,$N383),OVR_BASE,"&gt;=0")&gt;0)&gt;0,"stock overridden",""))</f>
        <v/>
      </c>
      <c r="L383" s="121">
        <f>IFERROR(IF(SMALL(Grids!$EE$116:$GQ$155,$M$313+68)&gt;=PEND_TO,"",SMALL(Grids!$EE$116:$GQ$155,$M$313+68)),"")</f>
        <v/>
      </c>
      <c r="M383" s="121">
        <f>IF($L383="","",INT($L383/1000000000))</f>
        <v/>
      </c>
      <c r="N383" s="121">
        <f>IF($L383="","",INT(($L383-INT($L383/1000000)*1000000)/1000))</f>
        <v/>
      </c>
      <c r="O383" s="121">
        <f>IF($L383="","",$L383-INT($L383/1000)*1000)</f>
        <v/>
      </c>
      <c r="P383" s="121">
        <f>IF($L383="","",INT(($L383-INT($L383/1000000000)*1000000000)/100000000))</f>
        <v/>
      </c>
    </row>
    <row r="384">
      <c r="B384" s="122">
        <f>IF($L384="","",$M384)</f>
        <v/>
      </c>
      <c r="C384" s="22">
        <f>IF($L384="","",INDEX(HSTECH!$C$7:$C$46,$N384))</f>
        <v/>
      </c>
      <c r="D384" s="22">
        <f>IF($L384="","",INDEX(HSTECH!$D$7:$D$46,$N384))</f>
        <v/>
      </c>
      <c r="E384" s="123">
        <f>IF($L384="","",IF($P384=0,"TBA",IFERROR(INDEX(Grids!$C$116:$BO$155,$N384,$O384),"-")))</f>
        <v/>
      </c>
      <c r="F384" s="22">
        <f>IF($L384="","",INDEX(HSTECH!$F$7:$F$46,$N384))</f>
        <v/>
      </c>
      <c r="G384" s="123">
        <f>IF($L384="","",IF($P384=0,"TBA",IFERROR(INDEX(Grids!$BQ$116:$EC$155,$N384,$O384),"-")))</f>
        <v/>
      </c>
      <c r="H384" s="124">
        <f>IF($L384="","",SUM($G$316:$G384))</f>
        <v/>
      </c>
      <c r="I384" s="45">
        <f>IF($L384="","",IF(INT(($L384-INT($L384/10000000)*10000000)/1000000)=0,"Bloomberg projection",IF($P384=1,"ANNOUNCED","ANNOUNCED - amount TBA")))</f>
        <v/>
      </c>
      <c r="J384" s="46">
        <f>IF($L384="","",IF((OV_SWITCH="ON")*(COUNTIFS(OVR_TICKERS,INDEX(HSTECH!$C$7:$C$46,$N384),OVR_BASE,"&gt;=0")&gt;0)&gt;0,"stock overridden",""))</f>
        <v/>
      </c>
      <c r="L384" s="121">
        <f>IFERROR(IF(SMALL(Grids!$EE$116:$GQ$155,$M$313+69)&gt;=PEND_TO,"",SMALL(Grids!$EE$116:$GQ$155,$M$313+69)),"")</f>
        <v/>
      </c>
      <c r="M384" s="121">
        <f>IF($L384="","",INT($L384/1000000000))</f>
        <v/>
      </c>
      <c r="N384" s="121">
        <f>IF($L384="","",INT(($L384-INT($L384/1000000)*1000000)/1000))</f>
        <v/>
      </c>
      <c r="O384" s="121">
        <f>IF($L384="","",$L384-INT($L384/1000)*1000)</f>
        <v/>
      </c>
      <c r="P384" s="121">
        <f>IF($L384="","",INT(($L384-INT($L384/1000000000)*1000000000)/100000000))</f>
        <v/>
      </c>
    </row>
    <row r="385">
      <c r="B385" s="122">
        <f>IF($L385="","",$M385)</f>
        <v/>
      </c>
      <c r="C385" s="22">
        <f>IF($L385="","",INDEX(HSTECH!$C$7:$C$46,$N385))</f>
        <v/>
      </c>
      <c r="D385" s="22">
        <f>IF($L385="","",INDEX(HSTECH!$D$7:$D$46,$N385))</f>
        <v/>
      </c>
      <c r="E385" s="123">
        <f>IF($L385="","",IF($P385=0,"TBA",IFERROR(INDEX(Grids!$C$116:$BO$155,$N385,$O385),"-")))</f>
        <v/>
      </c>
      <c r="F385" s="22">
        <f>IF($L385="","",INDEX(HSTECH!$F$7:$F$46,$N385))</f>
        <v/>
      </c>
      <c r="G385" s="123">
        <f>IF($L385="","",IF($P385=0,"TBA",IFERROR(INDEX(Grids!$BQ$116:$EC$155,$N385,$O385),"-")))</f>
        <v/>
      </c>
      <c r="H385" s="124">
        <f>IF($L385="","",SUM($G$316:$G385))</f>
        <v/>
      </c>
      <c r="I385" s="45">
        <f>IF($L385="","",IF(INT(($L385-INT($L385/10000000)*10000000)/1000000)=0,"Bloomberg projection",IF($P385=1,"ANNOUNCED","ANNOUNCED - amount TBA")))</f>
        <v/>
      </c>
      <c r="J385" s="46">
        <f>IF($L385="","",IF((OV_SWITCH="ON")*(COUNTIFS(OVR_TICKERS,INDEX(HSTECH!$C$7:$C$46,$N385),OVR_BASE,"&gt;=0")&gt;0)&gt;0,"stock overridden",""))</f>
        <v/>
      </c>
      <c r="L385" s="121">
        <f>IFERROR(IF(SMALL(Grids!$EE$116:$GQ$155,$M$313+70)&gt;=PEND_TO,"",SMALL(Grids!$EE$116:$GQ$155,$M$313+70)),"")</f>
        <v/>
      </c>
      <c r="M385" s="121">
        <f>IF($L385="","",INT($L385/1000000000))</f>
        <v/>
      </c>
      <c r="N385" s="121">
        <f>IF($L385="","",INT(($L385-INT($L385/1000000)*1000000)/1000))</f>
        <v/>
      </c>
      <c r="O385" s="121">
        <f>IF($L385="","",$L385-INT($L385/1000)*1000)</f>
        <v/>
      </c>
      <c r="P385" s="121">
        <f>IF($L385="","",INT(($L385-INT($L385/1000000000)*1000000000)/100000000))</f>
        <v/>
      </c>
    </row>
    <row r="386">
      <c r="B386" s="122">
        <f>IF($L386="","",$M386)</f>
        <v/>
      </c>
      <c r="C386" s="22">
        <f>IF($L386="","",INDEX(HSTECH!$C$7:$C$46,$N386))</f>
        <v/>
      </c>
      <c r="D386" s="22">
        <f>IF($L386="","",INDEX(HSTECH!$D$7:$D$46,$N386))</f>
        <v/>
      </c>
      <c r="E386" s="123">
        <f>IF($L386="","",IF($P386=0,"TBA",IFERROR(INDEX(Grids!$C$116:$BO$155,$N386,$O386),"-")))</f>
        <v/>
      </c>
      <c r="F386" s="22">
        <f>IF($L386="","",INDEX(HSTECH!$F$7:$F$46,$N386))</f>
        <v/>
      </c>
      <c r="G386" s="123">
        <f>IF($L386="","",IF($P386=0,"TBA",IFERROR(INDEX(Grids!$BQ$116:$EC$155,$N386,$O386),"-")))</f>
        <v/>
      </c>
      <c r="H386" s="124">
        <f>IF($L386="","",SUM($G$316:$G386))</f>
        <v/>
      </c>
      <c r="I386" s="45">
        <f>IF($L386="","",IF(INT(($L386-INT($L386/10000000)*10000000)/1000000)=0,"Bloomberg projection",IF($P386=1,"ANNOUNCED","ANNOUNCED - amount TBA")))</f>
        <v/>
      </c>
      <c r="J386" s="46">
        <f>IF($L386="","",IF((OV_SWITCH="ON")*(COUNTIFS(OVR_TICKERS,INDEX(HSTECH!$C$7:$C$46,$N386),OVR_BASE,"&gt;=0")&gt;0)&gt;0,"stock overridden",""))</f>
        <v/>
      </c>
      <c r="L386" s="121">
        <f>IFERROR(IF(SMALL(Grids!$EE$116:$GQ$155,$M$313+71)&gt;=PEND_TO,"",SMALL(Grids!$EE$116:$GQ$155,$M$313+71)),"")</f>
        <v/>
      </c>
      <c r="M386" s="121">
        <f>IF($L386="","",INT($L386/1000000000))</f>
        <v/>
      </c>
      <c r="N386" s="121">
        <f>IF($L386="","",INT(($L386-INT($L386/1000000)*1000000)/1000))</f>
        <v/>
      </c>
      <c r="O386" s="121">
        <f>IF($L386="","",$L386-INT($L386/1000)*1000)</f>
        <v/>
      </c>
      <c r="P386" s="121">
        <f>IF($L386="","",INT(($L386-INT($L386/1000000000)*1000000000)/100000000))</f>
        <v/>
      </c>
    </row>
    <row r="387">
      <c r="B387" s="122">
        <f>IF($L387="","",$M387)</f>
        <v/>
      </c>
      <c r="C387" s="22">
        <f>IF($L387="","",INDEX(HSTECH!$C$7:$C$46,$N387))</f>
        <v/>
      </c>
      <c r="D387" s="22">
        <f>IF($L387="","",INDEX(HSTECH!$D$7:$D$46,$N387))</f>
        <v/>
      </c>
      <c r="E387" s="123">
        <f>IF($L387="","",IF($P387=0,"TBA",IFERROR(INDEX(Grids!$C$116:$BO$155,$N387,$O387),"-")))</f>
        <v/>
      </c>
      <c r="F387" s="22">
        <f>IF($L387="","",INDEX(HSTECH!$F$7:$F$46,$N387))</f>
        <v/>
      </c>
      <c r="G387" s="123">
        <f>IF($L387="","",IF($P387=0,"TBA",IFERROR(INDEX(Grids!$BQ$116:$EC$155,$N387,$O387),"-")))</f>
        <v/>
      </c>
      <c r="H387" s="124">
        <f>IF($L387="","",SUM($G$316:$G387))</f>
        <v/>
      </c>
      <c r="I387" s="45">
        <f>IF($L387="","",IF(INT(($L387-INT($L387/10000000)*10000000)/1000000)=0,"Bloomberg projection",IF($P387=1,"ANNOUNCED","ANNOUNCED - amount TBA")))</f>
        <v/>
      </c>
      <c r="J387" s="46">
        <f>IF($L387="","",IF((OV_SWITCH="ON")*(COUNTIFS(OVR_TICKERS,INDEX(HSTECH!$C$7:$C$46,$N387),OVR_BASE,"&gt;=0")&gt;0)&gt;0,"stock overridden",""))</f>
        <v/>
      </c>
      <c r="L387" s="121">
        <f>IFERROR(IF(SMALL(Grids!$EE$116:$GQ$155,$M$313+72)&gt;=PEND_TO,"",SMALL(Grids!$EE$116:$GQ$155,$M$313+72)),"")</f>
        <v/>
      </c>
      <c r="M387" s="121">
        <f>IF($L387="","",INT($L387/1000000000))</f>
        <v/>
      </c>
      <c r="N387" s="121">
        <f>IF($L387="","",INT(($L387-INT($L387/1000000)*1000000)/1000))</f>
        <v/>
      </c>
      <c r="O387" s="121">
        <f>IF($L387="","",$L387-INT($L387/1000)*1000)</f>
        <v/>
      </c>
      <c r="P387" s="121">
        <f>IF($L387="","",INT(($L387-INT($L387/1000000000)*1000000000)/100000000))</f>
        <v/>
      </c>
    </row>
    <row r="388">
      <c r="B388" s="122">
        <f>IF($L388="","",$M388)</f>
        <v/>
      </c>
      <c r="C388" s="22">
        <f>IF($L388="","",INDEX(HSTECH!$C$7:$C$46,$N388))</f>
        <v/>
      </c>
      <c r="D388" s="22">
        <f>IF($L388="","",INDEX(HSTECH!$D$7:$D$46,$N388))</f>
        <v/>
      </c>
      <c r="E388" s="123">
        <f>IF($L388="","",IF($P388=0,"TBA",IFERROR(INDEX(Grids!$C$116:$BO$155,$N388,$O388),"-")))</f>
        <v/>
      </c>
      <c r="F388" s="22">
        <f>IF($L388="","",INDEX(HSTECH!$F$7:$F$46,$N388))</f>
        <v/>
      </c>
      <c r="G388" s="123">
        <f>IF($L388="","",IF($P388=0,"TBA",IFERROR(INDEX(Grids!$BQ$116:$EC$155,$N388,$O388),"-")))</f>
        <v/>
      </c>
      <c r="H388" s="124">
        <f>IF($L388="","",SUM($G$316:$G388))</f>
        <v/>
      </c>
      <c r="I388" s="45">
        <f>IF($L388="","",IF(INT(($L388-INT($L388/10000000)*10000000)/1000000)=0,"Bloomberg projection",IF($P388=1,"ANNOUNCED","ANNOUNCED - amount TBA")))</f>
        <v/>
      </c>
      <c r="J388" s="46">
        <f>IF($L388="","",IF((OV_SWITCH="ON")*(COUNTIFS(OVR_TICKERS,INDEX(HSTECH!$C$7:$C$46,$N388),OVR_BASE,"&gt;=0")&gt;0)&gt;0,"stock overridden",""))</f>
        <v/>
      </c>
      <c r="L388" s="121">
        <f>IFERROR(IF(SMALL(Grids!$EE$116:$GQ$155,$M$313+73)&gt;=PEND_TO,"",SMALL(Grids!$EE$116:$GQ$155,$M$313+73)),"")</f>
        <v/>
      </c>
      <c r="M388" s="121">
        <f>IF($L388="","",INT($L388/1000000000))</f>
        <v/>
      </c>
      <c r="N388" s="121">
        <f>IF($L388="","",INT(($L388-INT($L388/1000000)*1000000)/1000))</f>
        <v/>
      </c>
      <c r="O388" s="121">
        <f>IF($L388="","",$L388-INT($L388/1000)*1000)</f>
        <v/>
      </c>
      <c r="P388" s="121">
        <f>IF($L388="","",INT(($L388-INT($L388/1000000000)*1000000000)/100000000))</f>
        <v/>
      </c>
    </row>
    <row r="389">
      <c r="B389" s="122">
        <f>IF($L389="","",$M389)</f>
        <v/>
      </c>
      <c r="C389" s="22">
        <f>IF($L389="","",INDEX(HSTECH!$C$7:$C$46,$N389))</f>
        <v/>
      </c>
      <c r="D389" s="22">
        <f>IF($L389="","",INDEX(HSTECH!$D$7:$D$46,$N389))</f>
        <v/>
      </c>
      <c r="E389" s="123">
        <f>IF($L389="","",IF($P389=0,"TBA",IFERROR(INDEX(Grids!$C$116:$BO$155,$N389,$O389),"-")))</f>
        <v/>
      </c>
      <c r="F389" s="22">
        <f>IF($L389="","",INDEX(HSTECH!$F$7:$F$46,$N389))</f>
        <v/>
      </c>
      <c r="G389" s="123">
        <f>IF($L389="","",IF($P389=0,"TBA",IFERROR(INDEX(Grids!$BQ$116:$EC$155,$N389,$O389),"-")))</f>
        <v/>
      </c>
      <c r="H389" s="124">
        <f>IF($L389="","",SUM($G$316:$G389))</f>
        <v/>
      </c>
      <c r="I389" s="45">
        <f>IF($L389="","",IF(INT(($L389-INT($L389/10000000)*10000000)/1000000)=0,"Bloomberg projection",IF($P389=1,"ANNOUNCED","ANNOUNCED - amount TBA")))</f>
        <v/>
      </c>
      <c r="J389" s="46">
        <f>IF($L389="","",IF((OV_SWITCH="ON")*(COUNTIFS(OVR_TICKERS,INDEX(HSTECH!$C$7:$C$46,$N389),OVR_BASE,"&gt;=0")&gt;0)&gt;0,"stock overridden",""))</f>
        <v/>
      </c>
      <c r="L389" s="121">
        <f>IFERROR(IF(SMALL(Grids!$EE$116:$GQ$155,$M$313+74)&gt;=PEND_TO,"",SMALL(Grids!$EE$116:$GQ$155,$M$313+74)),"")</f>
        <v/>
      </c>
      <c r="M389" s="121">
        <f>IF($L389="","",INT($L389/1000000000))</f>
        <v/>
      </c>
      <c r="N389" s="121">
        <f>IF($L389="","",INT(($L389-INT($L389/1000000)*1000000)/1000))</f>
        <v/>
      </c>
      <c r="O389" s="121">
        <f>IF($L389="","",$L389-INT($L389/1000)*1000)</f>
        <v/>
      </c>
      <c r="P389" s="121">
        <f>IF($L389="","",INT(($L389-INT($L389/1000000000)*1000000000)/100000000))</f>
        <v/>
      </c>
    </row>
    <row r="390">
      <c r="B390" s="122">
        <f>IF($L390="","",$M390)</f>
        <v/>
      </c>
      <c r="C390" s="22">
        <f>IF($L390="","",INDEX(HSTECH!$C$7:$C$46,$N390))</f>
        <v/>
      </c>
      <c r="D390" s="22">
        <f>IF($L390="","",INDEX(HSTECH!$D$7:$D$46,$N390))</f>
        <v/>
      </c>
      <c r="E390" s="123">
        <f>IF($L390="","",IF($P390=0,"TBA",IFERROR(INDEX(Grids!$C$116:$BO$155,$N390,$O390),"-")))</f>
        <v/>
      </c>
      <c r="F390" s="22">
        <f>IF($L390="","",INDEX(HSTECH!$F$7:$F$46,$N390))</f>
        <v/>
      </c>
      <c r="G390" s="123">
        <f>IF($L390="","",IF($P390=0,"TBA",IFERROR(INDEX(Grids!$BQ$116:$EC$155,$N390,$O390),"-")))</f>
        <v/>
      </c>
      <c r="H390" s="124">
        <f>IF($L390="","",SUM($G$316:$G390))</f>
        <v/>
      </c>
      <c r="I390" s="45">
        <f>IF($L390="","",IF(INT(($L390-INT($L390/10000000)*10000000)/1000000)=0,"Bloomberg projection",IF($P390=1,"ANNOUNCED","ANNOUNCED - amount TBA")))</f>
        <v/>
      </c>
      <c r="J390" s="46">
        <f>IF($L390="","",IF((OV_SWITCH="ON")*(COUNTIFS(OVR_TICKERS,INDEX(HSTECH!$C$7:$C$46,$N390),OVR_BASE,"&gt;=0")&gt;0)&gt;0,"stock overridden",""))</f>
        <v/>
      </c>
      <c r="L390" s="121">
        <f>IFERROR(IF(SMALL(Grids!$EE$116:$GQ$155,$M$313+75)&gt;=PEND_TO,"",SMALL(Grids!$EE$116:$GQ$155,$M$313+75)),"")</f>
        <v/>
      </c>
      <c r="M390" s="121">
        <f>IF($L390="","",INT($L390/1000000000))</f>
        <v/>
      </c>
      <c r="N390" s="121">
        <f>IF($L390="","",INT(($L390-INT($L390/1000000)*1000000)/1000))</f>
        <v/>
      </c>
      <c r="O390" s="121">
        <f>IF($L390="","",$L390-INT($L390/1000)*1000)</f>
        <v/>
      </c>
      <c r="P390" s="121">
        <f>IF($L390="","",INT(($L390-INT($L390/1000000000)*1000000000)/100000000))</f>
        <v/>
      </c>
    </row>
    <row r="391">
      <c r="B391" s="122">
        <f>IF($L391="","",$M391)</f>
        <v/>
      </c>
      <c r="C391" s="22">
        <f>IF($L391="","",INDEX(HSTECH!$C$7:$C$46,$N391))</f>
        <v/>
      </c>
      <c r="D391" s="22">
        <f>IF($L391="","",INDEX(HSTECH!$D$7:$D$46,$N391))</f>
        <v/>
      </c>
      <c r="E391" s="123">
        <f>IF($L391="","",IF($P391=0,"TBA",IFERROR(INDEX(Grids!$C$116:$BO$155,$N391,$O391),"-")))</f>
        <v/>
      </c>
      <c r="F391" s="22">
        <f>IF($L391="","",INDEX(HSTECH!$F$7:$F$46,$N391))</f>
        <v/>
      </c>
      <c r="G391" s="123">
        <f>IF($L391="","",IF($P391=0,"TBA",IFERROR(INDEX(Grids!$BQ$116:$EC$155,$N391,$O391),"-")))</f>
        <v/>
      </c>
      <c r="H391" s="124">
        <f>IF($L391="","",SUM($G$316:$G391))</f>
        <v/>
      </c>
      <c r="I391" s="45">
        <f>IF($L391="","",IF(INT(($L391-INT($L391/10000000)*10000000)/1000000)=0,"Bloomberg projection",IF($P391=1,"ANNOUNCED","ANNOUNCED - amount TBA")))</f>
        <v/>
      </c>
      <c r="J391" s="46">
        <f>IF($L391="","",IF((OV_SWITCH="ON")*(COUNTIFS(OVR_TICKERS,INDEX(HSTECH!$C$7:$C$46,$N391),OVR_BASE,"&gt;=0")&gt;0)&gt;0,"stock overridden",""))</f>
        <v/>
      </c>
      <c r="L391" s="121">
        <f>IFERROR(IF(SMALL(Grids!$EE$116:$GQ$155,$M$313+76)&gt;=PEND_TO,"",SMALL(Grids!$EE$116:$GQ$155,$M$313+76)),"")</f>
        <v/>
      </c>
      <c r="M391" s="121">
        <f>IF($L391="","",INT($L391/1000000000))</f>
        <v/>
      </c>
      <c r="N391" s="121">
        <f>IF($L391="","",INT(($L391-INT($L391/1000000)*1000000)/1000))</f>
        <v/>
      </c>
      <c r="O391" s="121">
        <f>IF($L391="","",$L391-INT($L391/1000)*1000)</f>
        <v/>
      </c>
      <c r="P391" s="121">
        <f>IF($L391="","",INT(($L391-INT($L391/1000000000)*1000000000)/100000000))</f>
        <v/>
      </c>
    </row>
    <row r="392">
      <c r="B392" s="122">
        <f>IF($L392="","",$M392)</f>
        <v/>
      </c>
      <c r="C392" s="22">
        <f>IF($L392="","",INDEX(HSTECH!$C$7:$C$46,$N392))</f>
        <v/>
      </c>
      <c r="D392" s="22">
        <f>IF($L392="","",INDEX(HSTECH!$D$7:$D$46,$N392))</f>
        <v/>
      </c>
      <c r="E392" s="123">
        <f>IF($L392="","",IF($P392=0,"TBA",IFERROR(INDEX(Grids!$C$116:$BO$155,$N392,$O392),"-")))</f>
        <v/>
      </c>
      <c r="F392" s="22">
        <f>IF($L392="","",INDEX(HSTECH!$F$7:$F$46,$N392))</f>
        <v/>
      </c>
      <c r="G392" s="123">
        <f>IF($L392="","",IF($P392=0,"TBA",IFERROR(INDEX(Grids!$BQ$116:$EC$155,$N392,$O392),"-")))</f>
        <v/>
      </c>
      <c r="H392" s="124">
        <f>IF($L392="","",SUM($G$316:$G392))</f>
        <v/>
      </c>
      <c r="I392" s="45">
        <f>IF($L392="","",IF(INT(($L392-INT($L392/10000000)*10000000)/1000000)=0,"Bloomberg projection",IF($P392=1,"ANNOUNCED","ANNOUNCED - amount TBA")))</f>
        <v/>
      </c>
      <c r="J392" s="46">
        <f>IF($L392="","",IF((OV_SWITCH="ON")*(COUNTIFS(OVR_TICKERS,INDEX(HSTECH!$C$7:$C$46,$N392),OVR_BASE,"&gt;=0")&gt;0)&gt;0,"stock overridden",""))</f>
        <v/>
      </c>
      <c r="L392" s="121">
        <f>IFERROR(IF(SMALL(Grids!$EE$116:$GQ$155,$M$313+77)&gt;=PEND_TO,"",SMALL(Grids!$EE$116:$GQ$155,$M$313+77)),"")</f>
        <v/>
      </c>
      <c r="M392" s="121">
        <f>IF($L392="","",INT($L392/1000000000))</f>
        <v/>
      </c>
      <c r="N392" s="121">
        <f>IF($L392="","",INT(($L392-INT($L392/1000000)*1000000)/1000))</f>
        <v/>
      </c>
      <c r="O392" s="121">
        <f>IF($L392="","",$L392-INT($L392/1000)*1000)</f>
        <v/>
      </c>
      <c r="P392" s="121">
        <f>IF($L392="","",INT(($L392-INT($L392/1000000000)*1000000000)/100000000))</f>
        <v/>
      </c>
    </row>
    <row r="393">
      <c r="B393" s="122">
        <f>IF($L393="","",$M393)</f>
        <v/>
      </c>
      <c r="C393" s="22">
        <f>IF($L393="","",INDEX(HSTECH!$C$7:$C$46,$N393))</f>
        <v/>
      </c>
      <c r="D393" s="22">
        <f>IF($L393="","",INDEX(HSTECH!$D$7:$D$46,$N393))</f>
        <v/>
      </c>
      <c r="E393" s="123">
        <f>IF($L393="","",IF($P393=0,"TBA",IFERROR(INDEX(Grids!$C$116:$BO$155,$N393,$O393),"-")))</f>
        <v/>
      </c>
      <c r="F393" s="22">
        <f>IF($L393="","",INDEX(HSTECH!$F$7:$F$46,$N393))</f>
        <v/>
      </c>
      <c r="G393" s="123">
        <f>IF($L393="","",IF($P393=0,"TBA",IFERROR(INDEX(Grids!$BQ$116:$EC$155,$N393,$O393),"-")))</f>
        <v/>
      </c>
      <c r="H393" s="124">
        <f>IF($L393="","",SUM($G$316:$G393))</f>
        <v/>
      </c>
      <c r="I393" s="45">
        <f>IF($L393="","",IF(INT(($L393-INT($L393/10000000)*10000000)/1000000)=0,"Bloomberg projection",IF($P393=1,"ANNOUNCED","ANNOUNCED - amount TBA")))</f>
        <v/>
      </c>
      <c r="J393" s="46">
        <f>IF($L393="","",IF((OV_SWITCH="ON")*(COUNTIFS(OVR_TICKERS,INDEX(HSTECH!$C$7:$C$46,$N393),OVR_BASE,"&gt;=0")&gt;0)&gt;0,"stock overridden",""))</f>
        <v/>
      </c>
      <c r="L393" s="121">
        <f>IFERROR(IF(SMALL(Grids!$EE$116:$GQ$155,$M$313+78)&gt;=PEND_TO,"",SMALL(Grids!$EE$116:$GQ$155,$M$313+78)),"")</f>
        <v/>
      </c>
      <c r="M393" s="121">
        <f>IF($L393="","",INT($L393/1000000000))</f>
        <v/>
      </c>
      <c r="N393" s="121">
        <f>IF($L393="","",INT(($L393-INT($L393/1000000)*1000000)/1000))</f>
        <v/>
      </c>
      <c r="O393" s="121">
        <f>IF($L393="","",$L393-INT($L393/1000)*1000)</f>
        <v/>
      </c>
      <c r="P393" s="121">
        <f>IF($L393="","",INT(($L393-INT($L393/1000000000)*1000000000)/100000000))</f>
        <v/>
      </c>
    </row>
    <row r="394">
      <c r="B394" s="122">
        <f>IF($L394="","",$M394)</f>
        <v/>
      </c>
      <c r="C394" s="22">
        <f>IF($L394="","",INDEX(HSTECH!$C$7:$C$46,$N394))</f>
        <v/>
      </c>
      <c r="D394" s="22">
        <f>IF($L394="","",INDEX(HSTECH!$D$7:$D$46,$N394))</f>
        <v/>
      </c>
      <c r="E394" s="123">
        <f>IF($L394="","",IF($P394=0,"TBA",IFERROR(INDEX(Grids!$C$116:$BO$155,$N394,$O394),"-")))</f>
        <v/>
      </c>
      <c r="F394" s="22">
        <f>IF($L394="","",INDEX(HSTECH!$F$7:$F$46,$N394))</f>
        <v/>
      </c>
      <c r="G394" s="123">
        <f>IF($L394="","",IF($P394=0,"TBA",IFERROR(INDEX(Grids!$BQ$116:$EC$155,$N394,$O394),"-")))</f>
        <v/>
      </c>
      <c r="H394" s="124">
        <f>IF($L394="","",SUM($G$316:$G394))</f>
        <v/>
      </c>
      <c r="I394" s="45">
        <f>IF($L394="","",IF(INT(($L394-INT($L394/10000000)*10000000)/1000000)=0,"Bloomberg projection",IF($P394=1,"ANNOUNCED","ANNOUNCED - amount TBA")))</f>
        <v/>
      </c>
      <c r="J394" s="46">
        <f>IF($L394="","",IF((OV_SWITCH="ON")*(COUNTIFS(OVR_TICKERS,INDEX(HSTECH!$C$7:$C$46,$N394),OVR_BASE,"&gt;=0")&gt;0)&gt;0,"stock overridden",""))</f>
        <v/>
      </c>
      <c r="L394" s="121">
        <f>IFERROR(IF(SMALL(Grids!$EE$116:$GQ$155,$M$313+79)&gt;=PEND_TO,"",SMALL(Grids!$EE$116:$GQ$155,$M$313+79)),"")</f>
        <v/>
      </c>
      <c r="M394" s="121">
        <f>IF($L394="","",INT($L394/1000000000))</f>
        <v/>
      </c>
      <c r="N394" s="121">
        <f>IF($L394="","",INT(($L394-INT($L394/1000000)*1000000)/1000))</f>
        <v/>
      </c>
      <c r="O394" s="121">
        <f>IF($L394="","",$L394-INT($L394/1000)*1000)</f>
        <v/>
      </c>
      <c r="P394" s="121">
        <f>IF($L394="","",INT(($L394-INT($L394/1000000000)*1000000000)/100000000))</f>
        <v/>
      </c>
    </row>
    <row r="395">
      <c r="B395" s="122">
        <f>IF($L395="","",$M395)</f>
        <v/>
      </c>
      <c r="C395" s="22">
        <f>IF($L395="","",INDEX(HSTECH!$C$7:$C$46,$N395))</f>
        <v/>
      </c>
      <c r="D395" s="22">
        <f>IF($L395="","",INDEX(HSTECH!$D$7:$D$46,$N395))</f>
        <v/>
      </c>
      <c r="E395" s="123">
        <f>IF($L395="","",IF($P395=0,"TBA",IFERROR(INDEX(Grids!$C$116:$BO$155,$N395,$O395),"-")))</f>
        <v/>
      </c>
      <c r="F395" s="22">
        <f>IF($L395="","",INDEX(HSTECH!$F$7:$F$46,$N395))</f>
        <v/>
      </c>
      <c r="G395" s="123">
        <f>IF($L395="","",IF($P395=0,"TBA",IFERROR(INDEX(Grids!$BQ$116:$EC$155,$N395,$O395),"-")))</f>
        <v/>
      </c>
      <c r="H395" s="124">
        <f>IF($L395="","",SUM($G$316:$G395))</f>
        <v/>
      </c>
      <c r="I395" s="45">
        <f>IF($L395="","",IF(INT(($L395-INT($L395/10000000)*10000000)/1000000)=0,"Bloomberg projection",IF($P395=1,"ANNOUNCED","ANNOUNCED - amount TBA")))</f>
        <v/>
      </c>
      <c r="J395" s="46">
        <f>IF($L395="","",IF((OV_SWITCH="ON")*(COUNTIFS(OVR_TICKERS,INDEX(HSTECH!$C$7:$C$46,$N395),OVR_BASE,"&gt;=0")&gt;0)&gt;0,"stock overridden",""))</f>
        <v/>
      </c>
      <c r="L395" s="121">
        <f>IFERROR(IF(SMALL(Grids!$EE$116:$GQ$155,$M$313+80)&gt;=PEND_TO,"",SMALL(Grids!$EE$116:$GQ$155,$M$313+80)),"")</f>
        <v/>
      </c>
      <c r="M395" s="121">
        <f>IF($L395="","",INT($L395/1000000000))</f>
        <v/>
      </c>
      <c r="N395" s="121">
        <f>IF($L395="","",INT(($L395-INT($L395/1000000)*1000000)/1000))</f>
        <v/>
      </c>
      <c r="O395" s="121">
        <f>IF($L395="","",$L395-INT($L395/1000)*1000)</f>
        <v/>
      </c>
      <c r="P395" s="121">
        <f>IF($L395="","",INT(($L395-INT($L395/1000000000)*1000000000)/100000000))</f>
        <v/>
      </c>
    </row>
    <row r="396">
      <c r="B396" s="122">
        <f>IF($L396="","",$M396)</f>
        <v/>
      </c>
      <c r="C396" s="22">
        <f>IF($L396="","",INDEX(HSTECH!$C$7:$C$46,$N396))</f>
        <v/>
      </c>
      <c r="D396" s="22">
        <f>IF($L396="","",INDEX(HSTECH!$D$7:$D$46,$N396))</f>
        <v/>
      </c>
      <c r="E396" s="123">
        <f>IF($L396="","",IF($P396=0,"TBA",IFERROR(INDEX(Grids!$C$116:$BO$155,$N396,$O396),"-")))</f>
        <v/>
      </c>
      <c r="F396" s="22">
        <f>IF($L396="","",INDEX(HSTECH!$F$7:$F$46,$N396))</f>
        <v/>
      </c>
      <c r="G396" s="123">
        <f>IF($L396="","",IF($P396=0,"TBA",IFERROR(INDEX(Grids!$BQ$116:$EC$155,$N396,$O396),"-")))</f>
        <v/>
      </c>
      <c r="H396" s="124">
        <f>IF($L396="","",SUM($G$316:$G396))</f>
        <v/>
      </c>
      <c r="I396" s="45">
        <f>IF($L396="","",IF(INT(($L396-INT($L396/10000000)*10000000)/1000000)=0,"Bloomberg projection",IF($P396=1,"ANNOUNCED","ANNOUNCED - amount TBA")))</f>
        <v/>
      </c>
      <c r="J396" s="46">
        <f>IF($L396="","",IF((OV_SWITCH="ON")*(COUNTIFS(OVR_TICKERS,INDEX(HSTECH!$C$7:$C$46,$N396),OVR_BASE,"&gt;=0")&gt;0)&gt;0,"stock overridden",""))</f>
        <v/>
      </c>
      <c r="L396" s="121">
        <f>IFERROR(IF(SMALL(Grids!$EE$116:$GQ$155,$M$313+81)&gt;=PEND_TO,"",SMALL(Grids!$EE$116:$GQ$155,$M$313+81)),"")</f>
        <v/>
      </c>
      <c r="M396" s="121">
        <f>IF($L396="","",INT($L396/1000000000))</f>
        <v/>
      </c>
      <c r="N396" s="121">
        <f>IF($L396="","",INT(($L396-INT($L396/1000000)*1000000)/1000))</f>
        <v/>
      </c>
      <c r="O396" s="121">
        <f>IF($L396="","",$L396-INT($L396/1000)*1000)</f>
        <v/>
      </c>
      <c r="P396" s="121">
        <f>IF($L396="","",INT(($L396-INT($L396/1000000000)*1000000000)/100000000))</f>
        <v/>
      </c>
    </row>
    <row r="397">
      <c r="B397" s="122">
        <f>IF($L397="","",$M397)</f>
        <v/>
      </c>
      <c r="C397" s="22">
        <f>IF($L397="","",INDEX(HSTECH!$C$7:$C$46,$N397))</f>
        <v/>
      </c>
      <c r="D397" s="22">
        <f>IF($L397="","",INDEX(HSTECH!$D$7:$D$46,$N397))</f>
        <v/>
      </c>
      <c r="E397" s="123">
        <f>IF($L397="","",IF($P397=0,"TBA",IFERROR(INDEX(Grids!$C$116:$BO$155,$N397,$O397),"-")))</f>
        <v/>
      </c>
      <c r="F397" s="22">
        <f>IF($L397="","",INDEX(HSTECH!$F$7:$F$46,$N397))</f>
        <v/>
      </c>
      <c r="G397" s="123">
        <f>IF($L397="","",IF($P397=0,"TBA",IFERROR(INDEX(Grids!$BQ$116:$EC$155,$N397,$O397),"-")))</f>
        <v/>
      </c>
      <c r="H397" s="124">
        <f>IF($L397="","",SUM($G$316:$G397))</f>
        <v/>
      </c>
      <c r="I397" s="45">
        <f>IF($L397="","",IF(INT(($L397-INT($L397/10000000)*10000000)/1000000)=0,"Bloomberg projection",IF($P397=1,"ANNOUNCED","ANNOUNCED - amount TBA")))</f>
        <v/>
      </c>
      <c r="J397" s="46">
        <f>IF($L397="","",IF((OV_SWITCH="ON")*(COUNTIFS(OVR_TICKERS,INDEX(HSTECH!$C$7:$C$46,$N397),OVR_BASE,"&gt;=0")&gt;0)&gt;0,"stock overridden",""))</f>
        <v/>
      </c>
      <c r="L397" s="121">
        <f>IFERROR(IF(SMALL(Grids!$EE$116:$GQ$155,$M$313+82)&gt;=PEND_TO,"",SMALL(Grids!$EE$116:$GQ$155,$M$313+82)),"")</f>
        <v/>
      </c>
      <c r="M397" s="121">
        <f>IF($L397="","",INT($L397/1000000000))</f>
        <v/>
      </c>
      <c r="N397" s="121">
        <f>IF($L397="","",INT(($L397-INT($L397/1000000)*1000000)/1000))</f>
        <v/>
      </c>
      <c r="O397" s="121">
        <f>IF($L397="","",$L397-INT($L397/1000)*1000)</f>
        <v/>
      </c>
      <c r="P397" s="121">
        <f>IF($L397="","",INT(($L397-INT($L397/1000000000)*1000000000)/100000000))</f>
        <v/>
      </c>
    </row>
    <row r="398">
      <c r="B398" s="122">
        <f>IF($L398="","",$M398)</f>
        <v/>
      </c>
      <c r="C398" s="22">
        <f>IF($L398="","",INDEX(HSTECH!$C$7:$C$46,$N398))</f>
        <v/>
      </c>
      <c r="D398" s="22">
        <f>IF($L398="","",INDEX(HSTECH!$D$7:$D$46,$N398))</f>
        <v/>
      </c>
      <c r="E398" s="123">
        <f>IF($L398="","",IF($P398=0,"TBA",IFERROR(INDEX(Grids!$C$116:$BO$155,$N398,$O398),"-")))</f>
        <v/>
      </c>
      <c r="F398" s="22">
        <f>IF($L398="","",INDEX(HSTECH!$F$7:$F$46,$N398))</f>
        <v/>
      </c>
      <c r="G398" s="123">
        <f>IF($L398="","",IF($P398=0,"TBA",IFERROR(INDEX(Grids!$BQ$116:$EC$155,$N398,$O398),"-")))</f>
        <v/>
      </c>
      <c r="H398" s="124">
        <f>IF($L398="","",SUM($G$316:$G398))</f>
        <v/>
      </c>
      <c r="I398" s="45">
        <f>IF($L398="","",IF(INT(($L398-INT($L398/10000000)*10000000)/1000000)=0,"Bloomberg projection",IF($P398=1,"ANNOUNCED","ANNOUNCED - amount TBA")))</f>
        <v/>
      </c>
      <c r="J398" s="46">
        <f>IF($L398="","",IF((OV_SWITCH="ON")*(COUNTIFS(OVR_TICKERS,INDEX(HSTECH!$C$7:$C$46,$N398),OVR_BASE,"&gt;=0")&gt;0)&gt;0,"stock overridden",""))</f>
        <v/>
      </c>
      <c r="L398" s="121">
        <f>IFERROR(IF(SMALL(Grids!$EE$116:$GQ$155,$M$313+83)&gt;=PEND_TO,"",SMALL(Grids!$EE$116:$GQ$155,$M$313+83)),"")</f>
        <v/>
      </c>
      <c r="M398" s="121">
        <f>IF($L398="","",INT($L398/1000000000))</f>
        <v/>
      </c>
      <c r="N398" s="121">
        <f>IF($L398="","",INT(($L398-INT($L398/1000000)*1000000)/1000))</f>
        <v/>
      </c>
      <c r="O398" s="121">
        <f>IF($L398="","",$L398-INT($L398/1000)*1000)</f>
        <v/>
      </c>
      <c r="P398" s="121">
        <f>IF($L398="","",INT(($L398-INT($L398/1000000000)*1000000000)/100000000))</f>
        <v/>
      </c>
    </row>
    <row r="399">
      <c r="B399" s="122">
        <f>IF($L399="","",$M399)</f>
        <v/>
      </c>
      <c r="C399" s="22">
        <f>IF($L399="","",INDEX(HSTECH!$C$7:$C$46,$N399))</f>
        <v/>
      </c>
      <c r="D399" s="22">
        <f>IF($L399="","",INDEX(HSTECH!$D$7:$D$46,$N399))</f>
        <v/>
      </c>
      <c r="E399" s="123">
        <f>IF($L399="","",IF($P399=0,"TBA",IFERROR(INDEX(Grids!$C$116:$BO$155,$N399,$O399),"-")))</f>
        <v/>
      </c>
      <c r="F399" s="22">
        <f>IF($L399="","",INDEX(HSTECH!$F$7:$F$46,$N399))</f>
        <v/>
      </c>
      <c r="G399" s="123">
        <f>IF($L399="","",IF($P399=0,"TBA",IFERROR(INDEX(Grids!$BQ$116:$EC$155,$N399,$O399),"-")))</f>
        <v/>
      </c>
      <c r="H399" s="124">
        <f>IF($L399="","",SUM($G$316:$G399))</f>
        <v/>
      </c>
      <c r="I399" s="45">
        <f>IF($L399="","",IF(INT(($L399-INT($L399/10000000)*10000000)/1000000)=0,"Bloomberg projection",IF($P399=1,"ANNOUNCED","ANNOUNCED - amount TBA")))</f>
        <v/>
      </c>
      <c r="J399" s="46">
        <f>IF($L399="","",IF((OV_SWITCH="ON")*(COUNTIFS(OVR_TICKERS,INDEX(HSTECH!$C$7:$C$46,$N399),OVR_BASE,"&gt;=0")&gt;0)&gt;0,"stock overridden",""))</f>
        <v/>
      </c>
      <c r="L399" s="121">
        <f>IFERROR(IF(SMALL(Grids!$EE$116:$GQ$155,$M$313+84)&gt;=PEND_TO,"",SMALL(Grids!$EE$116:$GQ$155,$M$313+84)),"")</f>
        <v/>
      </c>
      <c r="M399" s="121">
        <f>IF($L399="","",INT($L399/1000000000))</f>
        <v/>
      </c>
      <c r="N399" s="121">
        <f>IF($L399="","",INT(($L399-INT($L399/1000000)*1000000)/1000))</f>
        <v/>
      </c>
      <c r="O399" s="121">
        <f>IF($L399="","",$L399-INT($L399/1000)*1000)</f>
        <v/>
      </c>
      <c r="P399" s="121">
        <f>IF($L399="","",INT(($L399-INT($L399/1000000000)*1000000000)/100000000))</f>
        <v/>
      </c>
    </row>
    <row r="400">
      <c r="B400" s="122">
        <f>IF($L400="","",$M400)</f>
        <v/>
      </c>
      <c r="C400" s="22">
        <f>IF($L400="","",INDEX(HSTECH!$C$7:$C$46,$N400))</f>
        <v/>
      </c>
      <c r="D400" s="22">
        <f>IF($L400="","",INDEX(HSTECH!$D$7:$D$46,$N400))</f>
        <v/>
      </c>
      <c r="E400" s="123">
        <f>IF($L400="","",IF($P400=0,"TBA",IFERROR(INDEX(Grids!$C$116:$BO$155,$N400,$O400),"-")))</f>
        <v/>
      </c>
      <c r="F400" s="22">
        <f>IF($L400="","",INDEX(HSTECH!$F$7:$F$46,$N400))</f>
        <v/>
      </c>
      <c r="G400" s="123">
        <f>IF($L400="","",IF($P400=0,"TBA",IFERROR(INDEX(Grids!$BQ$116:$EC$155,$N400,$O400),"-")))</f>
        <v/>
      </c>
      <c r="H400" s="124">
        <f>IF($L400="","",SUM($G$316:$G400))</f>
        <v/>
      </c>
      <c r="I400" s="45">
        <f>IF($L400="","",IF(INT(($L400-INT($L400/10000000)*10000000)/1000000)=0,"Bloomberg projection",IF($P400=1,"ANNOUNCED","ANNOUNCED - amount TBA")))</f>
        <v/>
      </c>
      <c r="J400" s="46">
        <f>IF($L400="","",IF((OV_SWITCH="ON")*(COUNTIFS(OVR_TICKERS,INDEX(HSTECH!$C$7:$C$46,$N400),OVR_BASE,"&gt;=0")&gt;0)&gt;0,"stock overridden",""))</f>
        <v/>
      </c>
      <c r="L400" s="121">
        <f>IFERROR(IF(SMALL(Grids!$EE$116:$GQ$155,$M$313+85)&gt;=PEND_TO,"",SMALL(Grids!$EE$116:$GQ$155,$M$313+85)),"")</f>
        <v/>
      </c>
      <c r="M400" s="121">
        <f>IF($L400="","",INT($L400/1000000000))</f>
        <v/>
      </c>
      <c r="N400" s="121">
        <f>IF($L400="","",INT(($L400-INT($L400/1000000)*1000000)/1000))</f>
        <v/>
      </c>
      <c r="O400" s="121">
        <f>IF($L400="","",$L400-INT($L400/1000)*1000)</f>
        <v/>
      </c>
      <c r="P400" s="121">
        <f>IF($L400="","",INT(($L400-INT($L400/1000000000)*1000000000)/100000000))</f>
        <v/>
      </c>
    </row>
    <row r="401">
      <c r="B401" s="122">
        <f>IF($L401="","",$M401)</f>
        <v/>
      </c>
      <c r="C401" s="22">
        <f>IF($L401="","",INDEX(HSTECH!$C$7:$C$46,$N401))</f>
        <v/>
      </c>
      <c r="D401" s="22">
        <f>IF($L401="","",INDEX(HSTECH!$D$7:$D$46,$N401))</f>
        <v/>
      </c>
      <c r="E401" s="123">
        <f>IF($L401="","",IF($P401=0,"TBA",IFERROR(INDEX(Grids!$C$116:$BO$155,$N401,$O401),"-")))</f>
        <v/>
      </c>
      <c r="F401" s="22">
        <f>IF($L401="","",INDEX(HSTECH!$F$7:$F$46,$N401))</f>
        <v/>
      </c>
      <c r="G401" s="123">
        <f>IF($L401="","",IF($P401=0,"TBA",IFERROR(INDEX(Grids!$BQ$116:$EC$155,$N401,$O401),"-")))</f>
        <v/>
      </c>
      <c r="H401" s="124">
        <f>IF($L401="","",SUM($G$316:$G401))</f>
        <v/>
      </c>
      <c r="I401" s="45">
        <f>IF($L401="","",IF(INT(($L401-INT($L401/10000000)*10000000)/1000000)=0,"Bloomberg projection",IF($P401=1,"ANNOUNCED","ANNOUNCED - amount TBA")))</f>
        <v/>
      </c>
      <c r="J401" s="46">
        <f>IF($L401="","",IF((OV_SWITCH="ON")*(COUNTIFS(OVR_TICKERS,INDEX(HSTECH!$C$7:$C$46,$N401),OVR_BASE,"&gt;=0")&gt;0)&gt;0,"stock overridden",""))</f>
        <v/>
      </c>
      <c r="L401" s="121">
        <f>IFERROR(IF(SMALL(Grids!$EE$116:$GQ$155,$M$313+86)&gt;=PEND_TO,"",SMALL(Grids!$EE$116:$GQ$155,$M$313+86)),"")</f>
        <v/>
      </c>
      <c r="M401" s="121">
        <f>IF($L401="","",INT($L401/1000000000))</f>
        <v/>
      </c>
      <c r="N401" s="121">
        <f>IF($L401="","",INT(($L401-INT($L401/1000000)*1000000)/1000))</f>
        <v/>
      </c>
      <c r="O401" s="121">
        <f>IF($L401="","",$L401-INT($L401/1000)*1000)</f>
        <v/>
      </c>
      <c r="P401" s="121">
        <f>IF($L401="","",INT(($L401-INT($L401/1000000000)*1000000000)/100000000))</f>
        <v/>
      </c>
    </row>
    <row r="402">
      <c r="B402" s="122">
        <f>IF($L402="","",$M402)</f>
        <v/>
      </c>
      <c r="C402" s="22">
        <f>IF($L402="","",INDEX(HSTECH!$C$7:$C$46,$N402))</f>
        <v/>
      </c>
      <c r="D402" s="22">
        <f>IF($L402="","",INDEX(HSTECH!$D$7:$D$46,$N402))</f>
        <v/>
      </c>
      <c r="E402" s="123">
        <f>IF($L402="","",IF($P402=0,"TBA",IFERROR(INDEX(Grids!$C$116:$BO$155,$N402,$O402),"-")))</f>
        <v/>
      </c>
      <c r="F402" s="22">
        <f>IF($L402="","",INDEX(HSTECH!$F$7:$F$46,$N402))</f>
        <v/>
      </c>
      <c r="G402" s="123">
        <f>IF($L402="","",IF($P402=0,"TBA",IFERROR(INDEX(Grids!$BQ$116:$EC$155,$N402,$O402),"-")))</f>
        <v/>
      </c>
      <c r="H402" s="124">
        <f>IF($L402="","",SUM($G$316:$G402))</f>
        <v/>
      </c>
      <c r="I402" s="45">
        <f>IF($L402="","",IF(INT(($L402-INT($L402/10000000)*10000000)/1000000)=0,"Bloomberg projection",IF($P402=1,"ANNOUNCED","ANNOUNCED - amount TBA")))</f>
        <v/>
      </c>
      <c r="J402" s="46">
        <f>IF($L402="","",IF((OV_SWITCH="ON")*(COUNTIFS(OVR_TICKERS,INDEX(HSTECH!$C$7:$C$46,$N402),OVR_BASE,"&gt;=0")&gt;0)&gt;0,"stock overridden",""))</f>
        <v/>
      </c>
      <c r="L402" s="121">
        <f>IFERROR(IF(SMALL(Grids!$EE$116:$GQ$155,$M$313+87)&gt;=PEND_TO,"",SMALL(Grids!$EE$116:$GQ$155,$M$313+87)),"")</f>
        <v/>
      </c>
      <c r="M402" s="121">
        <f>IF($L402="","",INT($L402/1000000000))</f>
        <v/>
      </c>
      <c r="N402" s="121">
        <f>IF($L402="","",INT(($L402-INT($L402/1000000)*1000000)/1000))</f>
        <v/>
      </c>
      <c r="O402" s="121">
        <f>IF($L402="","",$L402-INT($L402/1000)*1000)</f>
        <v/>
      </c>
      <c r="P402" s="121">
        <f>IF($L402="","",INT(($L402-INT($L402/1000000000)*1000000000)/100000000))</f>
        <v/>
      </c>
    </row>
    <row r="403">
      <c r="B403" s="122">
        <f>IF($L403="","",$M403)</f>
        <v/>
      </c>
      <c r="C403" s="22">
        <f>IF($L403="","",INDEX(HSTECH!$C$7:$C$46,$N403))</f>
        <v/>
      </c>
      <c r="D403" s="22">
        <f>IF($L403="","",INDEX(HSTECH!$D$7:$D$46,$N403))</f>
        <v/>
      </c>
      <c r="E403" s="123">
        <f>IF($L403="","",IF($P403=0,"TBA",IFERROR(INDEX(Grids!$C$116:$BO$155,$N403,$O403),"-")))</f>
        <v/>
      </c>
      <c r="F403" s="22">
        <f>IF($L403="","",INDEX(HSTECH!$F$7:$F$46,$N403))</f>
        <v/>
      </c>
      <c r="G403" s="123">
        <f>IF($L403="","",IF($P403=0,"TBA",IFERROR(INDEX(Grids!$BQ$116:$EC$155,$N403,$O403),"-")))</f>
        <v/>
      </c>
      <c r="H403" s="124">
        <f>IF($L403="","",SUM($G$316:$G403))</f>
        <v/>
      </c>
      <c r="I403" s="45">
        <f>IF($L403="","",IF(INT(($L403-INT($L403/10000000)*10000000)/1000000)=0,"Bloomberg projection",IF($P403=1,"ANNOUNCED","ANNOUNCED - amount TBA")))</f>
        <v/>
      </c>
      <c r="J403" s="46">
        <f>IF($L403="","",IF((OV_SWITCH="ON")*(COUNTIFS(OVR_TICKERS,INDEX(HSTECH!$C$7:$C$46,$N403),OVR_BASE,"&gt;=0")&gt;0)&gt;0,"stock overridden",""))</f>
        <v/>
      </c>
      <c r="L403" s="121">
        <f>IFERROR(IF(SMALL(Grids!$EE$116:$GQ$155,$M$313+88)&gt;=PEND_TO,"",SMALL(Grids!$EE$116:$GQ$155,$M$313+88)),"")</f>
        <v/>
      </c>
      <c r="M403" s="121">
        <f>IF($L403="","",INT($L403/1000000000))</f>
        <v/>
      </c>
      <c r="N403" s="121">
        <f>IF($L403="","",INT(($L403-INT($L403/1000000)*1000000)/1000))</f>
        <v/>
      </c>
      <c r="O403" s="121">
        <f>IF($L403="","",$L403-INT($L403/1000)*1000)</f>
        <v/>
      </c>
      <c r="P403" s="121">
        <f>IF($L403="","",INT(($L403-INT($L403/1000000000)*1000000000)/100000000))</f>
        <v/>
      </c>
    </row>
    <row r="404">
      <c r="B404" s="122">
        <f>IF($L404="","",$M404)</f>
        <v/>
      </c>
      <c r="C404" s="22">
        <f>IF($L404="","",INDEX(HSTECH!$C$7:$C$46,$N404))</f>
        <v/>
      </c>
      <c r="D404" s="22">
        <f>IF($L404="","",INDEX(HSTECH!$D$7:$D$46,$N404))</f>
        <v/>
      </c>
      <c r="E404" s="123">
        <f>IF($L404="","",IF($P404=0,"TBA",IFERROR(INDEX(Grids!$C$116:$BO$155,$N404,$O404),"-")))</f>
        <v/>
      </c>
      <c r="F404" s="22">
        <f>IF($L404="","",INDEX(HSTECH!$F$7:$F$46,$N404))</f>
        <v/>
      </c>
      <c r="G404" s="123">
        <f>IF($L404="","",IF($P404=0,"TBA",IFERROR(INDEX(Grids!$BQ$116:$EC$155,$N404,$O404),"-")))</f>
        <v/>
      </c>
      <c r="H404" s="124">
        <f>IF($L404="","",SUM($G$316:$G404))</f>
        <v/>
      </c>
      <c r="I404" s="45">
        <f>IF($L404="","",IF(INT(($L404-INT($L404/10000000)*10000000)/1000000)=0,"Bloomberg projection",IF($P404=1,"ANNOUNCED","ANNOUNCED - amount TBA")))</f>
        <v/>
      </c>
      <c r="J404" s="46">
        <f>IF($L404="","",IF((OV_SWITCH="ON")*(COUNTIFS(OVR_TICKERS,INDEX(HSTECH!$C$7:$C$46,$N404),OVR_BASE,"&gt;=0")&gt;0)&gt;0,"stock overridden",""))</f>
        <v/>
      </c>
      <c r="L404" s="121">
        <f>IFERROR(IF(SMALL(Grids!$EE$116:$GQ$155,$M$313+89)&gt;=PEND_TO,"",SMALL(Grids!$EE$116:$GQ$155,$M$313+89)),"")</f>
        <v/>
      </c>
      <c r="M404" s="121">
        <f>IF($L404="","",INT($L404/1000000000))</f>
        <v/>
      </c>
      <c r="N404" s="121">
        <f>IF($L404="","",INT(($L404-INT($L404/1000000)*1000000)/1000))</f>
        <v/>
      </c>
      <c r="O404" s="121">
        <f>IF($L404="","",$L404-INT($L404/1000)*1000)</f>
        <v/>
      </c>
      <c r="P404" s="121">
        <f>IF($L404="","",INT(($L404-INT($L404/1000000000)*1000000000)/100000000))</f>
        <v/>
      </c>
    </row>
    <row r="405">
      <c r="B405" s="122">
        <f>IF($L405="","",$M405)</f>
        <v/>
      </c>
      <c r="C405" s="22">
        <f>IF($L405="","",INDEX(HSTECH!$C$7:$C$46,$N405))</f>
        <v/>
      </c>
      <c r="D405" s="22">
        <f>IF($L405="","",INDEX(HSTECH!$D$7:$D$46,$N405))</f>
        <v/>
      </c>
      <c r="E405" s="123">
        <f>IF($L405="","",IF($P405=0,"TBA",IFERROR(INDEX(Grids!$C$116:$BO$155,$N405,$O405),"-")))</f>
        <v/>
      </c>
      <c r="F405" s="22">
        <f>IF($L405="","",INDEX(HSTECH!$F$7:$F$46,$N405))</f>
        <v/>
      </c>
      <c r="G405" s="123">
        <f>IF($L405="","",IF($P405=0,"TBA",IFERROR(INDEX(Grids!$BQ$116:$EC$155,$N405,$O405),"-")))</f>
        <v/>
      </c>
      <c r="H405" s="124">
        <f>IF($L405="","",SUM($G$316:$G405))</f>
        <v/>
      </c>
      <c r="I405" s="45">
        <f>IF($L405="","",IF(INT(($L405-INT($L405/10000000)*10000000)/1000000)=0,"Bloomberg projection",IF($P405=1,"ANNOUNCED","ANNOUNCED - amount TBA")))</f>
        <v/>
      </c>
      <c r="J405" s="46">
        <f>IF($L405="","",IF((OV_SWITCH="ON")*(COUNTIFS(OVR_TICKERS,INDEX(HSTECH!$C$7:$C$46,$N405),OVR_BASE,"&gt;=0")&gt;0)&gt;0,"stock overridden",""))</f>
        <v/>
      </c>
      <c r="L405" s="121">
        <f>IFERROR(IF(SMALL(Grids!$EE$116:$GQ$155,$M$313+90)&gt;=PEND_TO,"",SMALL(Grids!$EE$116:$GQ$155,$M$313+90)),"")</f>
        <v/>
      </c>
      <c r="M405" s="121">
        <f>IF($L405="","",INT($L405/1000000000))</f>
        <v/>
      </c>
      <c r="N405" s="121">
        <f>IF($L405="","",INT(($L405-INT($L405/1000000)*1000000)/1000))</f>
        <v/>
      </c>
      <c r="O405" s="121">
        <f>IF($L405="","",$L405-INT($L405/1000)*1000)</f>
        <v/>
      </c>
      <c r="P405" s="121">
        <f>IF($L405="","",INT(($L405-INT($L405/1000000000)*1000000000)/100000000))</f>
        <v/>
      </c>
    </row>
    <row r="406">
      <c r="B406" s="122">
        <f>IF($L406="","",$M406)</f>
        <v/>
      </c>
      <c r="C406" s="22">
        <f>IF($L406="","",INDEX(HSTECH!$C$7:$C$46,$N406))</f>
        <v/>
      </c>
      <c r="D406" s="22">
        <f>IF($L406="","",INDEX(HSTECH!$D$7:$D$46,$N406))</f>
        <v/>
      </c>
      <c r="E406" s="123">
        <f>IF($L406="","",IF($P406=0,"TBA",IFERROR(INDEX(Grids!$C$116:$BO$155,$N406,$O406),"-")))</f>
        <v/>
      </c>
      <c r="F406" s="22">
        <f>IF($L406="","",INDEX(HSTECH!$F$7:$F$46,$N406))</f>
        <v/>
      </c>
      <c r="G406" s="123">
        <f>IF($L406="","",IF($P406=0,"TBA",IFERROR(INDEX(Grids!$BQ$116:$EC$155,$N406,$O406),"-")))</f>
        <v/>
      </c>
      <c r="H406" s="124">
        <f>IF($L406="","",SUM($G$316:$G406))</f>
        <v/>
      </c>
      <c r="I406" s="45">
        <f>IF($L406="","",IF(INT(($L406-INT($L406/10000000)*10000000)/1000000)=0,"Bloomberg projection",IF($P406=1,"ANNOUNCED","ANNOUNCED - amount TBA")))</f>
        <v/>
      </c>
      <c r="J406" s="46">
        <f>IF($L406="","",IF((OV_SWITCH="ON")*(COUNTIFS(OVR_TICKERS,INDEX(HSTECH!$C$7:$C$46,$N406),OVR_BASE,"&gt;=0")&gt;0)&gt;0,"stock overridden",""))</f>
        <v/>
      </c>
      <c r="L406" s="121">
        <f>IFERROR(IF(SMALL(Grids!$EE$116:$GQ$155,$M$313+91)&gt;=PEND_TO,"",SMALL(Grids!$EE$116:$GQ$155,$M$313+91)),"")</f>
        <v/>
      </c>
      <c r="M406" s="121">
        <f>IF($L406="","",INT($L406/1000000000))</f>
        <v/>
      </c>
      <c r="N406" s="121">
        <f>IF($L406="","",INT(($L406-INT($L406/1000000)*1000000)/1000))</f>
        <v/>
      </c>
      <c r="O406" s="121">
        <f>IF($L406="","",$L406-INT($L406/1000)*1000)</f>
        <v/>
      </c>
      <c r="P406" s="121">
        <f>IF($L406="","",INT(($L406-INT($L406/1000000000)*1000000000)/100000000))</f>
        <v/>
      </c>
    </row>
    <row r="407">
      <c r="B407" s="122">
        <f>IF($L407="","",$M407)</f>
        <v/>
      </c>
      <c r="C407" s="22">
        <f>IF($L407="","",INDEX(HSTECH!$C$7:$C$46,$N407))</f>
        <v/>
      </c>
      <c r="D407" s="22">
        <f>IF($L407="","",INDEX(HSTECH!$D$7:$D$46,$N407))</f>
        <v/>
      </c>
      <c r="E407" s="123">
        <f>IF($L407="","",IF($P407=0,"TBA",IFERROR(INDEX(Grids!$C$116:$BO$155,$N407,$O407),"-")))</f>
        <v/>
      </c>
      <c r="F407" s="22">
        <f>IF($L407="","",INDEX(HSTECH!$F$7:$F$46,$N407))</f>
        <v/>
      </c>
      <c r="G407" s="123">
        <f>IF($L407="","",IF($P407=0,"TBA",IFERROR(INDEX(Grids!$BQ$116:$EC$155,$N407,$O407),"-")))</f>
        <v/>
      </c>
      <c r="H407" s="124">
        <f>IF($L407="","",SUM($G$316:$G407))</f>
        <v/>
      </c>
      <c r="I407" s="45">
        <f>IF($L407="","",IF(INT(($L407-INT($L407/10000000)*10000000)/1000000)=0,"Bloomberg projection",IF($P407=1,"ANNOUNCED","ANNOUNCED - amount TBA")))</f>
        <v/>
      </c>
      <c r="J407" s="46">
        <f>IF($L407="","",IF((OV_SWITCH="ON")*(COUNTIFS(OVR_TICKERS,INDEX(HSTECH!$C$7:$C$46,$N407),OVR_BASE,"&gt;=0")&gt;0)&gt;0,"stock overridden",""))</f>
        <v/>
      </c>
      <c r="L407" s="121">
        <f>IFERROR(IF(SMALL(Grids!$EE$116:$GQ$155,$M$313+92)&gt;=PEND_TO,"",SMALL(Grids!$EE$116:$GQ$155,$M$313+92)),"")</f>
        <v/>
      </c>
      <c r="M407" s="121">
        <f>IF($L407="","",INT($L407/1000000000))</f>
        <v/>
      </c>
      <c r="N407" s="121">
        <f>IF($L407="","",INT(($L407-INT($L407/1000000)*1000000)/1000))</f>
        <v/>
      </c>
      <c r="O407" s="121">
        <f>IF($L407="","",$L407-INT($L407/1000)*1000)</f>
        <v/>
      </c>
      <c r="P407" s="121">
        <f>IF($L407="","",INT(($L407-INT($L407/1000000000)*1000000000)/100000000))</f>
        <v/>
      </c>
    </row>
    <row r="408">
      <c r="B408" s="122">
        <f>IF($L408="","",$M408)</f>
        <v/>
      </c>
      <c r="C408" s="22">
        <f>IF($L408="","",INDEX(HSTECH!$C$7:$C$46,$N408))</f>
        <v/>
      </c>
      <c r="D408" s="22">
        <f>IF($L408="","",INDEX(HSTECH!$D$7:$D$46,$N408))</f>
        <v/>
      </c>
      <c r="E408" s="123">
        <f>IF($L408="","",IF($P408=0,"TBA",IFERROR(INDEX(Grids!$C$116:$BO$155,$N408,$O408),"-")))</f>
        <v/>
      </c>
      <c r="F408" s="22">
        <f>IF($L408="","",INDEX(HSTECH!$F$7:$F$46,$N408))</f>
        <v/>
      </c>
      <c r="G408" s="123">
        <f>IF($L408="","",IF($P408=0,"TBA",IFERROR(INDEX(Grids!$BQ$116:$EC$155,$N408,$O408),"-")))</f>
        <v/>
      </c>
      <c r="H408" s="124">
        <f>IF($L408="","",SUM($G$316:$G408))</f>
        <v/>
      </c>
      <c r="I408" s="45">
        <f>IF($L408="","",IF(INT(($L408-INT($L408/10000000)*10000000)/1000000)=0,"Bloomberg projection",IF($P408=1,"ANNOUNCED","ANNOUNCED - amount TBA")))</f>
        <v/>
      </c>
      <c r="J408" s="46">
        <f>IF($L408="","",IF((OV_SWITCH="ON")*(COUNTIFS(OVR_TICKERS,INDEX(HSTECH!$C$7:$C$46,$N408),OVR_BASE,"&gt;=0")&gt;0)&gt;0,"stock overridden",""))</f>
        <v/>
      </c>
      <c r="L408" s="121">
        <f>IFERROR(IF(SMALL(Grids!$EE$116:$GQ$155,$M$313+93)&gt;=PEND_TO,"",SMALL(Grids!$EE$116:$GQ$155,$M$313+93)),"")</f>
        <v/>
      </c>
      <c r="M408" s="121">
        <f>IF($L408="","",INT($L408/1000000000))</f>
        <v/>
      </c>
      <c r="N408" s="121">
        <f>IF($L408="","",INT(($L408-INT($L408/1000000)*1000000)/1000))</f>
        <v/>
      </c>
      <c r="O408" s="121">
        <f>IF($L408="","",$L408-INT($L408/1000)*1000)</f>
        <v/>
      </c>
      <c r="P408" s="121">
        <f>IF($L408="","",INT(($L408-INT($L408/1000000000)*1000000000)/100000000))</f>
        <v/>
      </c>
    </row>
    <row r="409">
      <c r="B409" s="122">
        <f>IF($L409="","",$M409)</f>
        <v/>
      </c>
      <c r="C409" s="22">
        <f>IF($L409="","",INDEX(HSTECH!$C$7:$C$46,$N409))</f>
        <v/>
      </c>
      <c r="D409" s="22">
        <f>IF($L409="","",INDEX(HSTECH!$D$7:$D$46,$N409))</f>
        <v/>
      </c>
      <c r="E409" s="123">
        <f>IF($L409="","",IF($P409=0,"TBA",IFERROR(INDEX(Grids!$C$116:$BO$155,$N409,$O409),"-")))</f>
        <v/>
      </c>
      <c r="F409" s="22">
        <f>IF($L409="","",INDEX(HSTECH!$F$7:$F$46,$N409))</f>
        <v/>
      </c>
      <c r="G409" s="123">
        <f>IF($L409="","",IF($P409=0,"TBA",IFERROR(INDEX(Grids!$BQ$116:$EC$155,$N409,$O409),"-")))</f>
        <v/>
      </c>
      <c r="H409" s="124">
        <f>IF($L409="","",SUM($G$316:$G409))</f>
        <v/>
      </c>
      <c r="I409" s="45">
        <f>IF($L409="","",IF(INT(($L409-INT($L409/10000000)*10000000)/1000000)=0,"Bloomberg projection",IF($P409=1,"ANNOUNCED","ANNOUNCED - amount TBA")))</f>
        <v/>
      </c>
      <c r="J409" s="46">
        <f>IF($L409="","",IF((OV_SWITCH="ON")*(COUNTIFS(OVR_TICKERS,INDEX(HSTECH!$C$7:$C$46,$N409),OVR_BASE,"&gt;=0")&gt;0)&gt;0,"stock overridden",""))</f>
        <v/>
      </c>
      <c r="L409" s="121">
        <f>IFERROR(IF(SMALL(Grids!$EE$116:$GQ$155,$M$313+94)&gt;=PEND_TO,"",SMALL(Grids!$EE$116:$GQ$155,$M$313+94)),"")</f>
        <v/>
      </c>
      <c r="M409" s="121">
        <f>IF($L409="","",INT($L409/1000000000))</f>
        <v/>
      </c>
      <c r="N409" s="121">
        <f>IF($L409="","",INT(($L409-INT($L409/1000000)*1000000)/1000))</f>
        <v/>
      </c>
      <c r="O409" s="121">
        <f>IF($L409="","",$L409-INT($L409/1000)*1000)</f>
        <v/>
      </c>
      <c r="P409" s="121">
        <f>IF($L409="","",INT(($L409-INT($L409/1000000000)*1000000000)/100000000))</f>
        <v/>
      </c>
    </row>
    <row r="410">
      <c r="B410" s="122">
        <f>IF($L410="","",$M410)</f>
        <v/>
      </c>
      <c r="C410" s="22">
        <f>IF($L410="","",INDEX(HSTECH!$C$7:$C$46,$N410))</f>
        <v/>
      </c>
      <c r="D410" s="22">
        <f>IF($L410="","",INDEX(HSTECH!$D$7:$D$46,$N410))</f>
        <v/>
      </c>
      <c r="E410" s="123">
        <f>IF($L410="","",IF($P410=0,"TBA",IFERROR(INDEX(Grids!$C$116:$BO$155,$N410,$O410),"-")))</f>
        <v/>
      </c>
      <c r="F410" s="22">
        <f>IF($L410="","",INDEX(HSTECH!$F$7:$F$46,$N410))</f>
        <v/>
      </c>
      <c r="G410" s="123">
        <f>IF($L410="","",IF($P410=0,"TBA",IFERROR(INDEX(Grids!$BQ$116:$EC$155,$N410,$O410),"-")))</f>
        <v/>
      </c>
      <c r="H410" s="124">
        <f>IF($L410="","",SUM($G$316:$G410))</f>
        <v/>
      </c>
      <c r="I410" s="45">
        <f>IF($L410="","",IF(INT(($L410-INT($L410/10000000)*10000000)/1000000)=0,"Bloomberg projection",IF($P410=1,"ANNOUNCED","ANNOUNCED - amount TBA")))</f>
        <v/>
      </c>
      <c r="J410" s="46">
        <f>IF($L410="","",IF((OV_SWITCH="ON")*(COUNTIFS(OVR_TICKERS,INDEX(HSTECH!$C$7:$C$46,$N410),OVR_BASE,"&gt;=0")&gt;0)&gt;0,"stock overridden",""))</f>
        <v/>
      </c>
      <c r="L410" s="121">
        <f>IFERROR(IF(SMALL(Grids!$EE$116:$GQ$155,$M$313+95)&gt;=PEND_TO,"",SMALL(Grids!$EE$116:$GQ$155,$M$313+95)),"")</f>
        <v/>
      </c>
      <c r="M410" s="121">
        <f>IF($L410="","",INT($L410/1000000000))</f>
        <v/>
      </c>
      <c r="N410" s="121">
        <f>IF($L410="","",INT(($L410-INT($L410/1000000)*1000000)/1000))</f>
        <v/>
      </c>
      <c r="O410" s="121">
        <f>IF($L410="","",$L410-INT($L410/1000)*1000)</f>
        <v/>
      </c>
      <c r="P410" s="121">
        <f>IF($L410="","",INT(($L410-INT($L410/1000000000)*1000000000)/100000000))</f>
        <v/>
      </c>
    </row>
    <row r="411">
      <c r="B411" s="122">
        <f>IF($L411="","",$M411)</f>
        <v/>
      </c>
      <c r="C411" s="22">
        <f>IF($L411="","",INDEX(HSTECH!$C$7:$C$46,$N411))</f>
        <v/>
      </c>
      <c r="D411" s="22">
        <f>IF($L411="","",INDEX(HSTECH!$D$7:$D$46,$N411))</f>
        <v/>
      </c>
      <c r="E411" s="123">
        <f>IF($L411="","",IF($P411=0,"TBA",IFERROR(INDEX(Grids!$C$116:$BO$155,$N411,$O411),"-")))</f>
        <v/>
      </c>
      <c r="F411" s="22">
        <f>IF($L411="","",INDEX(HSTECH!$F$7:$F$46,$N411))</f>
        <v/>
      </c>
      <c r="G411" s="123">
        <f>IF($L411="","",IF($P411=0,"TBA",IFERROR(INDEX(Grids!$BQ$116:$EC$155,$N411,$O411),"-")))</f>
        <v/>
      </c>
      <c r="H411" s="124">
        <f>IF($L411="","",SUM($G$316:$G411))</f>
        <v/>
      </c>
      <c r="I411" s="45">
        <f>IF($L411="","",IF(INT(($L411-INT($L411/10000000)*10000000)/1000000)=0,"Bloomberg projection",IF($P411=1,"ANNOUNCED","ANNOUNCED - amount TBA")))</f>
        <v/>
      </c>
      <c r="J411" s="46">
        <f>IF($L411="","",IF((OV_SWITCH="ON")*(COUNTIFS(OVR_TICKERS,INDEX(HSTECH!$C$7:$C$46,$N411),OVR_BASE,"&gt;=0")&gt;0)&gt;0,"stock overridden",""))</f>
        <v/>
      </c>
      <c r="L411" s="121">
        <f>IFERROR(IF(SMALL(Grids!$EE$116:$GQ$155,$M$313+96)&gt;=PEND_TO,"",SMALL(Grids!$EE$116:$GQ$155,$M$313+96)),"")</f>
        <v/>
      </c>
      <c r="M411" s="121">
        <f>IF($L411="","",INT($L411/1000000000))</f>
        <v/>
      </c>
      <c r="N411" s="121">
        <f>IF($L411="","",INT(($L411-INT($L411/1000000)*1000000)/1000))</f>
        <v/>
      </c>
      <c r="O411" s="121">
        <f>IF($L411="","",$L411-INT($L411/1000)*1000)</f>
        <v/>
      </c>
      <c r="P411" s="121">
        <f>IF($L411="","",INT(($L411-INT($L411/1000000000)*1000000000)/100000000))</f>
        <v/>
      </c>
    </row>
    <row r="412">
      <c r="B412" s="122">
        <f>IF($L412="","",$M412)</f>
        <v/>
      </c>
      <c r="C412" s="22">
        <f>IF($L412="","",INDEX(HSTECH!$C$7:$C$46,$N412))</f>
        <v/>
      </c>
      <c r="D412" s="22">
        <f>IF($L412="","",INDEX(HSTECH!$D$7:$D$46,$N412))</f>
        <v/>
      </c>
      <c r="E412" s="123">
        <f>IF($L412="","",IF($P412=0,"TBA",IFERROR(INDEX(Grids!$C$116:$BO$155,$N412,$O412),"-")))</f>
        <v/>
      </c>
      <c r="F412" s="22">
        <f>IF($L412="","",INDEX(HSTECH!$F$7:$F$46,$N412))</f>
        <v/>
      </c>
      <c r="G412" s="123">
        <f>IF($L412="","",IF($P412=0,"TBA",IFERROR(INDEX(Grids!$BQ$116:$EC$155,$N412,$O412),"-")))</f>
        <v/>
      </c>
      <c r="H412" s="124">
        <f>IF($L412="","",SUM($G$316:$G412))</f>
        <v/>
      </c>
      <c r="I412" s="45">
        <f>IF($L412="","",IF(INT(($L412-INT($L412/10000000)*10000000)/1000000)=0,"Bloomberg projection",IF($P412=1,"ANNOUNCED","ANNOUNCED - amount TBA")))</f>
        <v/>
      </c>
      <c r="J412" s="46">
        <f>IF($L412="","",IF((OV_SWITCH="ON")*(COUNTIFS(OVR_TICKERS,INDEX(HSTECH!$C$7:$C$46,$N412),OVR_BASE,"&gt;=0")&gt;0)&gt;0,"stock overridden",""))</f>
        <v/>
      </c>
      <c r="L412" s="121">
        <f>IFERROR(IF(SMALL(Grids!$EE$116:$GQ$155,$M$313+97)&gt;=PEND_TO,"",SMALL(Grids!$EE$116:$GQ$155,$M$313+97)),"")</f>
        <v/>
      </c>
      <c r="M412" s="121">
        <f>IF($L412="","",INT($L412/1000000000))</f>
        <v/>
      </c>
      <c r="N412" s="121">
        <f>IF($L412="","",INT(($L412-INT($L412/1000000)*1000000)/1000))</f>
        <v/>
      </c>
      <c r="O412" s="121">
        <f>IF($L412="","",$L412-INT($L412/1000)*1000)</f>
        <v/>
      </c>
      <c r="P412" s="121">
        <f>IF($L412="","",INT(($L412-INT($L412/1000000000)*1000000000)/100000000))</f>
        <v/>
      </c>
    </row>
    <row r="413">
      <c r="B413" s="122">
        <f>IF($L413="","",$M413)</f>
        <v/>
      </c>
      <c r="C413" s="22">
        <f>IF($L413="","",INDEX(HSTECH!$C$7:$C$46,$N413))</f>
        <v/>
      </c>
      <c r="D413" s="22">
        <f>IF($L413="","",INDEX(HSTECH!$D$7:$D$46,$N413))</f>
        <v/>
      </c>
      <c r="E413" s="123">
        <f>IF($L413="","",IF($P413=0,"TBA",IFERROR(INDEX(Grids!$C$116:$BO$155,$N413,$O413),"-")))</f>
        <v/>
      </c>
      <c r="F413" s="22">
        <f>IF($L413="","",INDEX(HSTECH!$F$7:$F$46,$N413))</f>
        <v/>
      </c>
      <c r="G413" s="123">
        <f>IF($L413="","",IF($P413=0,"TBA",IFERROR(INDEX(Grids!$BQ$116:$EC$155,$N413,$O413),"-")))</f>
        <v/>
      </c>
      <c r="H413" s="124">
        <f>IF($L413="","",SUM($G$316:$G413))</f>
        <v/>
      </c>
      <c r="I413" s="45">
        <f>IF($L413="","",IF(INT(($L413-INT($L413/10000000)*10000000)/1000000)=0,"Bloomberg projection",IF($P413=1,"ANNOUNCED","ANNOUNCED - amount TBA")))</f>
        <v/>
      </c>
      <c r="J413" s="46">
        <f>IF($L413="","",IF((OV_SWITCH="ON")*(COUNTIFS(OVR_TICKERS,INDEX(HSTECH!$C$7:$C$46,$N413),OVR_BASE,"&gt;=0")&gt;0)&gt;0,"stock overridden",""))</f>
        <v/>
      </c>
      <c r="L413" s="121">
        <f>IFERROR(IF(SMALL(Grids!$EE$116:$GQ$155,$M$313+98)&gt;=PEND_TO,"",SMALL(Grids!$EE$116:$GQ$155,$M$313+98)),"")</f>
        <v/>
      </c>
      <c r="M413" s="121">
        <f>IF($L413="","",INT($L413/1000000000))</f>
        <v/>
      </c>
      <c r="N413" s="121">
        <f>IF($L413="","",INT(($L413-INT($L413/1000000)*1000000)/1000))</f>
        <v/>
      </c>
      <c r="O413" s="121">
        <f>IF($L413="","",$L413-INT($L413/1000)*1000)</f>
        <v/>
      </c>
      <c r="P413" s="121">
        <f>IF($L413="","",INT(($L413-INT($L413/1000000000)*1000000000)/100000000))</f>
        <v/>
      </c>
    </row>
    <row r="414">
      <c r="B414" s="122">
        <f>IF($L414="","",$M414)</f>
        <v/>
      </c>
      <c r="C414" s="22">
        <f>IF($L414="","",INDEX(HSTECH!$C$7:$C$46,$N414))</f>
        <v/>
      </c>
      <c r="D414" s="22">
        <f>IF($L414="","",INDEX(HSTECH!$D$7:$D$46,$N414))</f>
        <v/>
      </c>
      <c r="E414" s="123">
        <f>IF($L414="","",IF($P414=0,"TBA",IFERROR(INDEX(Grids!$C$116:$BO$155,$N414,$O414),"-")))</f>
        <v/>
      </c>
      <c r="F414" s="22">
        <f>IF($L414="","",INDEX(HSTECH!$F$7:$F$46,$N414))</f>
        <v/>
      </c>
      <c r="G414" s="123">
        <f>IF($L414="","",IF($P414=0,"TBA",IFERROR(INDEX(Grids!$BQ$116:$EC$155,$N414,$O414),"-")))</f>
        <v/>
      </c>
      <c r="H414" s="124">
        <f>IF($L414="","",SUM($G$316:$G414))</f>
        <v/>
      </c>
      <c r="I414" s="45">
        <f>IF($L414="","",IF(INT(($L414-INT($L414/10000000)*10000000)/1000000)=0,"Bloomberg projection",IF($P414=1,"ANNOUNCED","ANNOUNCED - amount TBA")))</f>
        <v/>
      </c>
      <c r="J414" s="46">
        <f>IF($L414="","",IF((OV_SWITCH="ON")*(COUNTIFS(OVR_TICKERS,INDEX(HSTECH!$C$7:$C$46,$N414),OVR_BASE,"&gt;=0")&gt;0)&gt;0,"stock overridden",""))</f>
        <v/>
      </c>
      <c r="L414" s="121">
        <f>IFERROR(IF(SMALL(Grids!$EE$116:$GQ$155,$M$313+99)&gt;=PEND_TO,"",SMALL(Grids!$EE$116:$GQ$155,$M$313+99)),"")</f>
        <v/>
      </c>
      <c r="M414" s="121">
        <f>IF($L414="","",INT($L414/1000000000))</f>
        <v/>
      </c>
      <c r="N414" s="121">
        <f>IF($L414="","",INT(($L414-INT($L414/1000000)*1000000)/1000))</f>
        <v/>
      </c>
      <c r="O414" s="121">
        <f>IF($L414="","",$L414-INT($L414/1000)*1000)</f>
        <v/>
      </c>
      <c r="P414" s="121">
        <f>IF($L414="","",INT(($L414-INT($L414/1000000000)*1000000000)/100000000))</f>
        <v/>
      </c>
    </row>
    <row r="415">
      <c r="B415" s="122">
        <f>IF($L415="","",$M415)</f>
        <v/>
      </c>
      <c r="C415" s="22">
        <f>IF($L415="","",INDEX(HSTECH!$C$7:$C$46,$N415))</f>
        <v/>
      </c>
      <c r="D415" s="22">
        <f>IF($L415="","",INDEX(HSTECH!$D$7:$D$46,$N415))</f>
        <v/>
      </c>
      <c r="E415" s="123">
        <f>IF($L415="","",IF($P415=0,"TBA",IFERROR(INDEX(Grids!$C$116:$BO$155,$N415,$O415),"-")))</f>
        <v/>
      </c>
      <c r="F415" s="22">
        <f>IF($L415="","",INDEX(HSTECH!$F$7:$F$46,$N415))</f>
        <v/>
      </c>
      <c r="G415" s="123">
        <f>IF($L415="","",IF($P415=0,"TBA",IFERROR(INDEX(Grids!$BQ$116:$EC$155,$N415,$O415),"-")))</f>
        <v/>
      </c>
      <c r="H415" s="124">
        <f>IF($L415="","",SUM($G$316:$G415))</f>
        <v/>
      </c>
      <c r="I415" s="45">
        <f>IF($L415="","",IF(INT(($L415-INT($L415/10000000)*10000000)/1000000)=0,"Bloomberg projection",IF($P415=1,"ANNOUNCED","ANNOUNCED - amount TBA")))</f>
        <v/>
      </c>
      <c r="J415" s="46">
        <f>IF($L415="","",IF((OV_SWITCH="ON")*(COUNTIFS(OVR_TICKERS,INDEX(HSTECH!$C$7:$C$46,$N415),OVR_BASE,"&gt;=0")&gt;0)&gt;0,"stock overridden",""))</f>
        <v/>
      </c>
      <c r="L415" s="121">
        <f>IFERROR(IF(SMALL(Grids!$EE$116:$GQ$155,$M$313+100)&gt;=PEND_TO,"",SMALL(Grids!$EE$116:$GQ$155,$M$313+100)),"")</f>
        <v/>
      </c>
      <c r="M415" s="121">
        <f>IF($L415="","",INT($L415/1000000000))</f>
        <v/>
      </c>
      <c r="N415" s="121">
        <f>IF($L415="","",INT(($L415-INT($L415/1000000)*1000000)/1000))</f>
        <v/>
      </c>
      <c r="O415" s="121">
        <f>IF($L415="","",$L415-INT($L415/1000)*1000)</f>
        <v/>
      </c>
      <c r="P415" s="121">
        <f>IF($L415="","",INT(($L415-INT($L415/1000000000)*1000000000)/100000000))</f>
        <v/>
      </c>
    </row>
    <row r="416">
      <c r="B416" s="122">
        <f>IF($L416="","",$M416)</f>
        <v/>
      </c>
      <c r="C416" s="22">
        <f>IF($L416="","",INDEX(HSTECH!$C$7:$C$46,$N416))</f>
        <v/>
      </c>
      <c r="D416" s="22">
        <f>IF($L416="","",INDEX(HSTECH!$D$7:$D$46,$N416))</f>
        <v/>
      </c>
      <c r="E416" s="123">
        <f>IF($L416="","",IF($P416=0,"TBA",IFERROR(INDEX(Grids!$C$116:$BO$155,$N416,$O416),"-")))</f>
        <v/>
      </c>
      <c r="F416" s="22">
        <f>IF($L416="","",INDEX(HSTECH!$F$7:$F$46,$N416))</f>
        <v/>
      </c>
      <c r="G416" s="123">
        <f>IF($L416="","",IF($P416=0,"TBA",IFERROR(INDEX(Grids!$BQ$116:$EC$155,$N416,$O416),"-")))</f>
        <v/>
      </c>
      <c r="H416" s="124">
        <f>IF($L416="","",SUM($G$316:$G416))</f>
        <v/>
      </c>
      <c r="I416" s="45">
        <f>IF($L416="","",IF(INT(($L416-INT($L416/10000000)*10000000)/1000000)=0,"Bloomberg projection",IF($P416=1,"ANNOUNCED","ANNOUNCED - amount TBA")))</f>
        <v/>
      </c>
      <c r="J416" s="46">
        <f>IF($L416="","",IF((OV_SWITCH="ON")*(COUNTIFS(OVR_TICKERS,INDEX(HSTECH!$C$7:$C$46,$N416),OVR_BASE,"&gt;=0")&gt;0)&gt;0,"stock overridden",""))</f>
        <v/>
      </c>
      <c r="L416" s="121">
        <f>IFERROR(IF(SMALL(Grids!$EE$116:$GQ$155,$M$313+101)&gt;=PEND_TO,"",SMALL(Grids!$EE$116:$GQ$155,$M$313+101)),"")</f>
        <v/>
      </c>
      <c r="M416" s="121">
        <f>IF($L416="","",INT($L416/1000000000))</f>
        <v/>
      </c>
      <c r="N416" s="121">
        <f>IF($L416="","",INT(($L416-INT($L416/1000000)*1000000)/1000))</f>
        <v/>
      </c>
      <c r="O416" s="121">
        <f>IF($L416="","",$L416-INT($L416/1000)*1000)</f>
        <v/>
      </c>
      <c r="P416" s="121">
        <f>IF($L416="","",INT(($L416-INT($L416/1000000000)*1000000000)/100000000))</f>
        <v/>
      </c>
    </row>
    <row r="417">
      <c r="B417" s="122">
        <f>IF($L417="","",$M417)</f>
        <v/>
      </c>
      <c r="C417" s="22">
        <f>IF($L417="","",INDEX(HSTECH!$C$7:$C$46,$N417))</f>
        <v/>
      </c>
      <c r="D417" s="22">
        <f>IF($L417="","",INDEX(HSTECH!$D$7:$D$46,$N417))</f>
        <v/>
      </c>
      <c r="E417" s="123">
        <f>IF($L417="","",IF($P417=0,"TBA",IFERROR(INDEX(Grids!$C$116:$BO$155,$N417,$O417),"-")))</f>
        <v/>
      </c>
      <c r="F417" s="22">
        <f>IF($L417="","",INDEX(HSTECH!$F$7:$F$46,$N417))</f>
        <v/>
      </c>
      <c r="G417" s="123">
        <f>IF($L417="","",IF($P417=0,"TBA",IFERROR(INDEX(Grids!$BQ$116:$EC$155,$N417,$O417),"-")))</f>
        <v/>
      </c>
      <c r="H417" s="124">
        <f>IF($L417="","",SUM($G$316:$G417))</f>
        <v/>
      </c>
      <c r="I417" s="45">
        <f>IF($L417="","",IF(INT(($L417-INT($L417/10000000)*10000000)/1000000)=0,"Bloomberg projection",IF($P417=1,"ANNOUNCED","ANNOUNCED - amount TBA")))</f>
        <v/>
      </c>
      <c r="J417" s="46">
        <f>IF($L417="","",IF((OV_SWITCH="ON")*(COUNTIFS(OVR_TICKERS,INDEX(HSTECH!$C$7:$C$46,$N417),OVR_BASE,"&gt;=0")&gt;0)&gt;0,"stock overridden",""))</f>
        <v/>
      </c>
      <c r="L417" s="121">
        <f>IFERROR(IF(SMALL(Grids!$EE$116:$GQ$155,$M$313+102)&gt;=PEND_TO,"",SMALL(Grids!$EE$116:$GQ$155,$M$313+102)),"")</f>
        <v/>
      </c>
      <c r="M417" s="121">
        <f>IF($L417="","",INT($L417/1000000000))</f>
        <v/>
      </c>
      <c r="N417" s="121">
        <f>IF($L417="","",INT(($L417-INT($L417/1000000)*1000000)/1000))</f>
        <v/>
      </c>
      <c r="O417" s="121">
        <f>IF($L417="","",$L417-INT($L417/1000)*1000)</f>
        <v/>
      </c>
      <c r="P417" s="121">
        <f>IF($L417="","",INT(($L417-INT($L417/1000000000)*1000000000)/100000000))</f>
        <v/>
      </c>
    </row>
    <row r="418">
      <c r="B418" s="122">
        <f>IF($L418="","",$M418)</f>
        <v/>
      </c>
      <c r="C418" s="22">
        <f>IF($L418="","",INDEX(HSTECH!$C$7:$C$46,$N418))</f>
        <v/>
      </c>
      <c r="D418" s="22">
        <f>IF($L418="","",INDEX(HSTECH!$D$7:$D$46,$N418))</f>
        <v/>
      </c>
      <c r="E418" s="123">
        <f>IF($L418="","",IF($P418=0,"TBA",IFERROR(INDEX(Grids!$C$116:$BO$155,$N418,$O418),"-")))</f>
        <v/>
      </c>
      <c r="F418" s="22">
        <f>IF($L418="","",INDEX(HSTECH!$F$7:$F$46,$N418))</f>
        <v/>
      </c>
      <c r="G418" s="123">
        <f>IF($L418="","",IF($P418=0,"TBA",IFERROR(INDEX(Grids!$BQ$116:$EC$155,$N418,$O418),"-")))</f>
        <v/>
      </c>
      <c r="H418" s="124">
        <f>IF($L418="","",SUM($G$316:$G418))</f>
        <v/>
      </c>
      <c r="I418" s="45">
        <f>IF($L418="","",IF(INT(($L418-INT($L418/10000000)*10000000)/1000000)=0,"Bloomberg projection",IF($P418=1,"ANNOUNCED","ANNOUNCED - amount TBA")))</f>
        <v/>
      </c>
      <c r="J418" s="46">
        <f>IF($L418="","",IF((OV_SWITCH="ON")*(COUNTIFS(OVR_TICKERS,INDEX(HSTECH!$C$7:$C$46,$N418),OVR_BASE,"&gt;=0")&gt;0)&gt;0,"stock overridden",""))</f>
        <v/>
      </c>
      <c r="L418" s="121">
        <f>IFERROR(IF(SMALL(Grids!$EE$116:$GQ$155,$M$313+103)&gt;=PEND_TO,"",SMALL(Grids!$EE$116:$GQ$155,$M$313+103)),"")</f>
        <v/>
      </c>
      <c r="M418" s="121">
        <f>IF($L418="","",INT($L418/1000000000))</f>
        <v/>
      </c>
      <c r="N418" s="121">
        <f>IF($L418="","",INT(($L418-INT($L418/1000000)*1000000)/1000))</f>
        <v/>
      </c>
      <c r="O418" s="121">
        <f>IF($L418="","",$L418-INT($L418/1000)*1000)</f>
        <v/>
      </c>
      <c r="P418" s="121">
        <f>IF($L418="","",INT(($L418-INT($L418/1000000000)*1000000000)/100000000))</f>
        <v/>
      </c>
    </row>
    <row r="419">
      <c r="B419" s="122">
        <f>IF($L419="","",$M419)</f>
        <v/>
      </c>
      <c r="C419" s="22">
        <f>IF($L419="","",INDEX(HSTECH!$C$7:$C$46,$N419))</f>
        <v/>
      </c>
      <c r="D419" s="22">
        <f>IF($L419="","",INDEX(HSTECH!$D$7:$D$46,$N419))</f>
        <v/>
      </c>
      <c r="E419" s="123">
        <f>IF($L419="","",IF($P419=0,"TBA",IFERROR(INDEX(Grids!$C$116:$BO$155,$N419,$O419),"-")))</f>
        <v/>
      </c>
      <c r="F419" s="22">
        <f>IF($L419="","",INDEX(HSTECH!$F$7:$F$46,$N419))</f>
        <v/>
      </c>
      <c r="G419" s="123">
        <f>IF($L419="","",IF($P419=0,"TBA",IFERROR(INDEX(Grids!$BQ$116:$EC$155,$N419,$O419),"-")))</f>
        <v/>
      </c>
      <c r="H419" s="124">
        <f>IF($L419="","",SUM($G$316:$G419))</f>
        <v/>
      </c>
      <c r="I419" s="45">
        <f>IF($L419="","",IF(INT(($L419-INT($L419/10000000)*10000000)/1000000)=0,"Bloomberg projection",IF($P419=1,"ANNOUNCED","ANNOUNCED - amount TBA")))</f>
        <v/>
      </c>
      <c r="J419" s="46">
        <f>IF($L419="","",IF((OV_SWITCH="ON")*(COUNTIFS(OVR_TICKERS,INDEX(HSTECH!$C$7:$C$46,$N419),OVR_BASE,"&gt;=0")&gt;0)&gt;0,"stock overridden",""))</f>
        <v/>
      </c>
      <c r="L419" s="121">
        <f>IFERROR(IF(SMALL(Grids!$EE$116:$GQ$155,$M$313+104)&gt;=PEND_TO,"",SMALL(Grids!$EE$116:$GQ$155,$M$313+104)),"")</f>
        <v/>
      </c>
      <c r="M419" s="121">
        <f>IF($L419="","",INT($L419/1000000000))</f>
        <v/>
      </c>
      <c r="N419" s="121">
        <f>IF($L419="","",INT(($L419-INT($L419/1000000)*1000000)/1000))</f>
        <v/>
      </c>
      <c r="O419" s="121">
        <f>IF($L419="","",$L419-INT($L419/1000)*1000)</f>
        <v/>
      </c>
      <c r="P419" s="121">
        <f>IF($L419="","",INT(($L419-INT($L419/1000000000)*1000000000)/100000000))</f>
        <v/>
      </c>
    </row>
    <row r="420">
      <c r="B420" s="122">
        <f>IF($L420="","",$M420)</f>
        <v/>
      </c>
      <c r="C420" s="22">
        <f>IF($L420="","",INDEX(HSTECH!$C$7:$C$46,$N420))</f>
        <v/>
      </c>
      <c r="D420" s="22">
        <f>IF($L420="","",INDEX(HSTECH!$D$7:$D$46,$N420))</f>
        <v/>
      </c>
      <c r="E420" s="123">
        <f>IF($L420="","",IF($P420=0,"TBA",IFERROR(INDEX(Grids!$C$116:$BO$155,$N420,$O420),"-")))</f>
        <v/>
      </c>
      <c r="F420" s="22">
        <f>IF($L420="","",INDEX(HSTECH!$F$7:$F$46,$N420))</f>
        <v/>
      </c>
      <c r="G420" s="123">
        <f>IF($L420="","",IF($P420=0,"TBA",IFERROR(INDEX(Grids!$BQ$116:$EC$155,$N420,$O420),"-")))</f>
        <v/>
      </c>
      <c r="H420" s="124">
        <f>IF($L420="","",SUM($G$316:$G420))</f>
        <v/>
      </c>
      <c r="I420" s="45">
        <f>IF($L420="","",IF(INT(($L420-INT($L420/10000000)*10000000)/1000000)=0,"Bloomberg projection",IF($P420=1,"ANNOUNCED","ANNOUNCED - amount TBA")))</f>
        <v/>
      </c>
      <c r="J420" s="46">
        <f>IF($L420="","",IF((OV_SWITCH="ON")*(COUNTIFS(OVR_TICKERS,INDEX(HSTECH!$C$7:$C$46,$N420),OVR_BASE,"&gt;=0")&gt;0)&gt;0,"stock overridden",""))</f>
        <v/>
      </c>
      <c r="L420" s="121">
        <f>IFERROR(IF(SMALL(Grids!$EE$116:$GQ$155,$M$313+105)&gt;=PEND_TO,"",SMALL(Grids!$EE$116:$GQ$155,$M$313+105)),"")</f>
        <v/>
      </c>
      <c r="M420" s="121">
        <f>IF($L420="","",INT($L420/1000000000))</f>
        <v/>
      </c>
      <c r="N420" s="121">
        <f>IF($L420="","",INT(($L420-INT($L420/1000000)*1000000)/1000))</f>
        <v/>
      </c>
      <c r="O420" s="121">
        <f>IF($L420="","",$L420-INT($L420/1000)*1000)</f>
        <v/>
      </c>
      <c r="P420" s="121">
        <f>IF($L420="","",INT(($L420-INT($L420/1000000000)*1000000000)/100000000))</f>
        <v/>
      </c>
    </row>
    <row r="421">
      <c r="B421" s="122">
        <f>IF($L421="","",$M421)</f>
        <v/>
      </c>
      <c r="C421" s="22">
        <f>IF($L421="","",INDEX(HSTECH!$C$7:$C$46,$N421))</f>
        <v/>
      </c>
      <c r="D421" s="22">
        <f>IF($L421="","",INDEX(HSTECH!$D$7:$D$46,$N421))</f>
        <v/>
      </c>
      <c r="E421" s="123">
        <f>IF($L421="","",IF($P421=0,"TBA",IFERROR(INDEX(Grids!$C$116:$BO$155,$N421,$O421),"-")))</f>
        <v/>
      </c>
      <c r="F421" s="22">
        <f>IF($L421="","",INDEX(HSTECH!$F$7:$F$46,$N421))</f>
        <v/>
      </c>
      <c r="G421" s="123">
        <f>IF($L421="","",IF($P421=0,"TBA",IFERROR(INDEX(Grids!$BQ$116:$EC$155,$N421,$O421),"-")))</f>
        <v/>
      </c>
      <c r="H421" s="124">
        <f>IF($L421="","",SUM($G$316:$G421))</f>
        <v/>
      </c>
      <c r="I421" s="45">
        <f>IF($L421="","",IF(INT(($L421-INT($L421/10000000)*10000000)/1000000)=0,"Bloomberg projection",IF($P421=1,"ANNOUNCED","ANNOUNCED - amount TBA")))</f>
        <v/>
      </c>
      <c r="J421" s="46">
        <f>IF($L421="","",IF((OV_SWITCH="ON")*(COUNTIFS(OVR_TICKERS,INDEX(HSTECH!$C$7:$C$46,$N421),OVR_BASE,"&gt;=0")&gt;0)&gt;0,"stock overridden",""))</f>
        <v/>
      </c>
      <c r="L421" s="121">
        <f>IFERROR(IF(SMALL(Grids!$EE$116:$GQ$155,$M$313+106)&gt;=PEND_TO,"",SMALL(Grids!$EE$116:$GQ$155,$M$313+106)),"")</f>
        <v/>
      </c>
      <c r="M421" s="121">
        <f>IF($L421="","",INT($L421/1000000000))</f>
        <v/>
      </c>
      <c r="N421" s="121">
        <f>IF($L421="","",INT(($L421-INT($L421/1000000)*1000000)/1000))</f>
        <v/>
      </c>
      <c r="O421" s="121">
        <f>IF($L421="","",$L421-INT($L421/1000)*1000)</f>
        <v/>
      </c>
      <c r="P421" s="121">
        <f>IF($L421="","",INT(($L421-INT($L421/1000000000)*1000000000)/100000000))</f>
        <v/>
      </c>
    </row>
    <row r="422">
      <c r="B422" s="122">
        <f>IF($L422="","",$M422)</f>
        <v/>
      </c>
      <c r="C422" s="22">
        <f>IF($L422="","",INDEX(HSTECH!$C$7:$C$46,$N422))</f>
        <v/>
      </c>
      <c r="D422" s="22">
        <f>IF($L422="","",INDEX(HSTECH!$D$7:$D$46,$N422))</f>
        <v/>
      </c>
      <c r="E422" s="123">
        <f>IF($L422="","",IF($P422=0,"TBA",IFERROR(INDEX(Grids!$C$116:$BO$155,$N422,$O422),"-")))</f>
        <v/>
      </c>
      <c r="F422" s="22">
        <f>IF($L422="","",INDEX(HSTECH!$F$7:$F$46,$N422))</f>
        <v/>
      </c>
      <c r="G422" s="123">
        <f>IF($L422="","",IF($P422=0,"TBA",IFERROR(INDEX(Grids!$BQ$116:$EC$155,$N422,$O422),"-")))</f>
        <v/>
      </c>
      <c r="H422" s="124">
        <f>IF($L422="","",SUM($G$316:$G422))</f>
        <v/>
      </c>
      <c r="I422" s="45">
        <f>IF($L422="","",IF(INT(($L422-INT($L422/10000000)*10000000)/1000000)=0,"Bloomberg projection",IF($P422=1,"ANNOUNCED","ANNOUNCED - amount TBA")))</f>
        <v/>
      </c>
      <c r="J422" s="46">
        <f>IF($L422="","",IF((OV_SWITCH="ON")*(COUNTIFS(OVR_TICKERS,INDEX(HSTECH!$C$7:$C$46,$N422),OVR_BASE,"&gt;=0")&gt;0)&gt;0,"stock overridden",""))</f>
        <v/>
      </c>
      <c r="L422" s="121">
        <f>IFERROR(IF(SMALL(Grids!$EE$116:$GQ$155,$M$313+107)&gt;=PEND_TO,"",SMALL(Grids!$EE$116:$GQ$155,$M$313+107)),"")</f>
        <v/>
      </c>
      <c r="M422" s="121">
        <f>IF($L422="","",INT($L422/1000000000))</f>
        <v/>
      </c>
      <c r="N422" s="121">
        <f>IF($L422="","",INT(($L422-INT($L422/1000000)*1000000)/1000))</f>
        <v/>
      </c>
      <c r="O422" s="121">
        <f>IF($L422="","",$L422-INT($L422/1000)*1000)</f>
        <v/>
      </c>
      <c r="P422" s="121">
        <f>IF($L422="","",INT(($L422-INT($L422/1000000000)*1000000000)/100000000))</f>
        <v/>
      </c>
    </row>
    <row r="423">
      <c r="B423" s="122">
        <f>IF($L423="","",$M423)</f>
        <v/>
      </c>
      <c r="C423" s="22">
        <f>IF($L423="","",INDEX(HSTECH!$C$7:$C$46,$N423))</f>
        <v/>
      </c>
      <c r="D423" s="22">
        <f>IF($L423="","",INDEX(HSTECH!$D$7:$D$46,$N423))</f>
        <v/>
      </c>
      <c r="E423" s="123">
        <f>IF($L423="","",IF($P423=0,"TBA",IFERROR(INDEX(Grids!$C$116:$BO$155,$N423,$O423),"-")))</f>
        <v/>
      </c>
      <c r="F423" s="22">
        <f>IF($L423="","",INDEX(HSTECH!$F$7:$F$46,$N423))</f>
        <v/>
      </c>
      <c r="G423" s="123">
        <f>IF($L423="","",IF($P423=0,"TBA",IFERROR(INDEX(Grids!$BQ$116:$EC$155,$N423,$O423),"-")))</f>
        <v/>
      </c>
      <c r="H423" s="124">
        <f>IF($L423="","",SUM($G$316:$G423))</f>
        <v/>
      </c>
      <c r="I423" s="45">
        <f>IF($L423="","",IF(INT(($L423-INT($L423/10000000)*10000000)/1000000)=0,"Bloomberg projection",IF($P423=1,"ANNOUNCED","ANNOUNCED - amount TBA")))</f>
        <v/>
      </c>
      <c r="J423" s="46">
        <f>IF($L423="","",IF((OV_SWITCH="ON")*(COUNTIFS(OVR_TICKERS,INDEX(HSTECH!$C$7:$C$46,$N423),OVR_BASE,"&gt;=0")&gt;0)&gt;0,"stock overridden",""))</f>
        <v/>
      </c>
      <c r="L423" s="121">
        <f>IFERROR(IF(SMALL(Grids!$EE$116:$GQ$155,$M$313+108)&gt;=PEND_TO,"",SMALL(Grids!$EE$116:$GQ$155,$M$313+108)),"")</f>
        <v/>
      </c>
      <c r="M423" s="121">
        <f>IF($L423="","",INT($L423/1000000000))</f>
        <v/>
      </c>
      <c r="N423" s="121">
        <f>IF($L423="","",INT(($L423-INT($L423/1000000)*1000000)/1000))</f>
        <v/>
      </c>
      <c r="O423" s="121">
        <f>IF($L423="","",$L423-INT($L423/1000)*1000)</f>
        <v/>
      </c>
      <c r="P423" s="121">
        <f>IF($L423="","",INT(($L423-INT($L423/1000000000)*1000000000)/100000000))</f>
        <v/>
      </c>
    </row>
    <row r="424">
      <c r="B424" s="122">
        <f>IF($L424="","",$M424)</f>
        <v/>
      </c>
      <c r="C424" s="22">
        <f>IF($L424="","",INDEX(HSTECH!$C$7:$C$46,$N424))</f>
        <v/>
      </c>
      <c r="D424" s="22">
        <f>IF($L424="","",INDEX(HSTECH!$D$7:$D$46,$N424))</f>
        <v/>
      </c>
      <c r="E424" s="123">
        <f>IF($L424="","",IF($P424=0,"TBA",IFERROR(INDEX(Grids!$C$116:$BO$155,$N424,$O424),"-")))</f>
        <v/>
      </c>
      <c r="F424" s="22">
        <f>IF($L424="","",INDEX(HSTECH!$F$7:$F$46,$N424))</f>
        <v/>
      </c>
      <c r="G424" s="123">
        <f>IF($L424="","",IF($P424=0,"TBA",IFERROR(INDEX(Grids!$BQ$116:$EC$155,$N424,$O424),"-")))</f>
        <v/>
      </c>
      <c r="H424" s="124">
        <f>IF($L424="","",SUM($G$316:$G424))</f>
        <v/>
      </c>
      <c r="I424" s="45">
        <f>IF($L424="","",IF(INT(($L424-INT($L424/10000000)*10000000)/1000000)=0,"Bloomberg projection",IF($P424=1,"ANNOUNCED","ANNOUNCED - amount TBA")))</f>
        <v/>
      </c>
      <c r="J424" s="46">
        <f>IF($L424="","",IF((OV_SWITCH="ON")*(COUNTIFS(OVR_TICKERS,INDEX(HSTECH!$C$7:$C$46,$N424),OVR_BASE,"&gt;=0")&gt;0)&gt;0,"stock overridden",""))</f>
        <v/>
      </c>
      <c r="L424" s="121">
        <f>IFERROR(IF(SMALL(Grids!$EE$116:$GQ$155,$M$313+109)&gt;=PEND_TO,"",SMALL(Grids!$EE$116:$GQ$155,$M$313+109)),"")</f>
        <v/>
      </c>
      <c r="M424" s="121">
        <f>IF($L424="","",INT($L424/1000000000))</f>
        <v/>
      </c>
      <c r="N424" s="121">
        <f>IF($L424="","",INT(($L424-INT($L424/1000000)*1000000)/1000))</f>
        <v/>
      </c>
      <c r="O424" s="121">
        <f>IF($L424="","",$L424-INT($L424/1000)*1000)</f>
        <v/>
      </c>
      <c r="P424" s="121">
        <f>IF($L424="","",INT(($L424-INT($L424/1000000000)*1000000000)/100000000))</f>
        <v/>
      </c>
    </row>
    <row r="425">
      <c r="B425" s="122">
        <f>IF($L425="","",$M425)</f>
        <v/>
      </c>
      <c r="C425" s="22">
        <f>IF($L425="","",INDEX(HSTECH!$C$7:$C$46,$N425))</f>
        <v/>
      </c>
      <c r="D425" s="22">
        <f>IF($L425="","",INDEX(HSTECH!$D$7:$D$46,$N425))</f>
        <v/>
      </c>
      <c r="E425" s="123">
        <f>IF($L425="","",IF($P425=0,"TBA",IFERROR(INDEX(Grids!$C$116:$BO$155,$N425,$O425),"-")))</f>
        <v/>
      </c>
      <c r="F425" s="22">
        <f>IF($L425="","",INDEX(HSTECH!$F$7:$F$46,$N425))</f>
        <v/>
      </c>
      <c r="G425" s="123">
        <f>IF($L425="","",IF($P425=0,"TBA",IFERROR(INDEX(Grids!$BQ$116:$EC$155,$N425,$O425),"-")))</f>
        <v/>
      </c>
      <c r="H425" s="124">
        <f>IF($L425="","",SUM($G$316:$G425))</f>
        <v/>
      </c>
      <c r="I425" s="45">
        <f>IF($L425="","",IF(INT(($L425-INT($L425/10000000)*10000000)/1000000)=0,"Bloomberg projection",IF($P425=1,"ANNOUNCED","ANNOUNCED - amount TBA")))</f>
        <v/>
      </c>
      <c r="J425" s="46">
        <f>IF($L425="","",IF((OV_SWITCH="ON")*(COUNTIFS(OVR_TICKERS,INDEX(HSTECH!$C$7:$C$46,$N425),OVR_BASE,"&gt;=0")&gt;0)&gt;0,"stock overridden",""))</f>
        <v/>
      </c>
      <c r="L425" s="121">
        <f>IFERROR(IF(SMALL(Grids!$EE$116:$GQ$155,$M$313+110)&gt;=PEND_TO,"",SMALL(Grids!$EE$116:$GQ$155,$M$313+110)),"")</f>
        <v/>
      </c>
      <c r="M425" s="121">
        <f>IF($L425="","",INT($L425/1000000000))</f>
        <v/>
      </c>
      <c r="N425" s="121">
        <f>IF($L425="","",INT(($L425-INT($L425/1000000)*1000000)/1000))</f>
        <v/>
      </c>
      <c r="O425" s="121">
        <f>IF($L425="","",$L425-INT($L425/1000)*1000)</f>
        <v/>
      </c>
      <c r="P425" s="121">
        <f>IF($L425="","",INT(($L425-INT($L425/1000000000)*1000000000)/100000000))</f>
        <v/>
      </c>
    </row>
    <row r="426">
      <c r="B426" s="122">
        <f>IF($L426="","",$M426)</f>
        <v/>
      </c>
      <c r="C426" s="22">
        <f>IF($L426="","",INDEX(HSTECH!$C$7:$C$46,$N426))</f>
        <v/>
      </c>
      <c r="D426" s="22">
        <f>IF($L426="","",INDEX(HSTECH!$D$7:$D$46,$N426))</f>
        <v/>
      </c>
      <c r="E426" s="123">
        <f>IF($L426="","",IF($P426=0,"TBA",IFERROR(INDEX(Grids!$C$116:$BO$155,$N426,$O426),"-")))</f>
        <v/>
      </c>
      <c r="F426" s="22">
        <f>IF($L426="","",INDEX(HSTECH!$F$7:$F$46,$N426))</f>
        <v/>
      </c>
      <c r="G426" s="123">
        <f>IF($L426="","",IF($P426=0,"TBA",IFERROR(INDEX(Grids!$BQ$116:$EC$155,$N426,$O426),"-")))</f>
        <v/>
      </c>
      <c r="H426" s="124">
        <f>IF($L426="","",SUM($G$316:$G426))</f>
        <v/>
      </c>
      <c r="I426" s="45">
        <f>IF($L426="","",IF(INT(($L426-INT($L426/10000000)*10000000)/1000000)=0,"Bloomberg projection",IF($P426=1,"ANNOUNCED","ANNOUNCED - amount TBA")))</f>
        <v/>
      </c>
      <c r="J426" s="46">
        <f>IF($L426="","",IF((OV_SWITCH="ON")*(COUNTIFS(OVR_TICKERS,INDEX(HSTECH!$C$7:$C$46,$N426),OVR_BASE,"&gt;=0")&gt;0)&gt;0,"stock overridden",""))</f>
        <v/>
      </c>
      <c r="L426" s="121">
        <f>IFERROR(IF(SMALL(Grids!$EE$116:$GQ$155,$M$313+111)&gt;=PEND_TO,"",SMALL(Grids!$EE$116:$GQ$155,$M$313+111)),"")</f>
        <v/>
      </c>
      <c r="M426" s="121">
        <f>IF($L426="","",INT($L426/1000000000))</f>
        <v/>
      </c>
      <c r="N426" s="121">
        <f>IF($L426="","",INT(($L426-INT($L426/1000000)*1000000)/1000))</f>
        <v/>
      </c>
      <c r="O426" s="121">
        <f>IF($L426="","",$L426-INT($L426/1000)*1000)</f>
        <v/>
      </c>
      <c r="P426" s="121">
        <f>IF($L426="","",INT(($L426-INT($L426/1000000000)*1000000000)/100000000))</f>
        <v/>
      </c>
    </row>
    <row r="427">
      <c r="B427" s="122">
        <f>IF($L427="","",$M427)</f>
        <v/>
      </c>
      <c r="C427" s="22">
        <f>IF($L427="","",INDEX(HSTECH!$C$7:$C$46,$N427))</f>
        <v/>
      </c>
      <c r="D427" s="22">
        <f>IF($L427="","",INDEX(HSTECH!$D$7:$D$46,$N427))</f>
        <v/>
      </c>
      <c r="E427" s="123">
        <f>IF($L427="","",IF($P427=0,"TBA",IFERROR(INDEX(Grids!$C$116:$BO$155,$N427,$O427),"-")))</f>
        <v/>
      </c>
      <c r="F427" s="22">
        <f>IF($L427="","",INDEX(HSTECH!$F$7:$F$46,$N427))</f>
        <v/>
      </c>
      <c r="G427" s="123">
        <f>IF($L427="","",IF($P427=0,"TBA",IFERROR(INDEX(Grids!$BQ$116:$EC$155,$N427,$O427),"-")))</f>
        <v/>
      </c>
      <c r="H427" s="124">
        <f>IF($L427="","",SUM($G$316:$G427))</f>
        <v/>
      </c>
      <c r="I427" s="45">
        <f>IF($L427="","",IF(INT(($L427-INT($L427/10000000)*10000000)/1000000)=0,"Bloomberg projection",IF($P427=1,"ANNOUNCED","ANNOUNCED - amount TBA")))</f>
        <v/>
      </c>
      <c r="J427" s="46">
        <f>IF($L427="","",IF((OV_SWITCH="ON")*(COUNTIFS(OVR_TICKERS,INDEX(HSTECH!$C$7:$C$46,$N427),OVR_BASE,"&gt;=0")&gt;0)&gt;0,"stock overridden",""))</f>
        <v/>
      </c>
      <c r="L427" s="121">
        <f>IFERROR(IF(SMALL(Grids!$EE$116:$GQ$155,$M$313+112)&gt;=PEND_TO,"",SMALL(Grids!$EE$116:$GQ$155,$M$313+112)),"")</f>
        <v/>
      </c>
      <c r="M427" s="121">
        <f>IF($L427="","",INT($L427/1000000000))</f>
        <v/>
      </c>
      <c r="N427" s="121">
        <f>IF($L427="","",INT(($L427-INT($L427/1000000)*1000000)/1000))</f>
        <v/>
      </c>
      <c r="O427" s="121">
        <f>IF($L427="","",$L427-INT($L427/1000)*1000)</f>
        <v/>
      </c>
      <c r="P427" s="121">
        <f>IF($L427="","",INT(($L427-INT($L427/1000000000)*1000000000)/100000000))</f>
        <v/>
      </c>
    </row>
    <row r="428">
      <c r="B428" s="122">
        <f>IF($L428="","",$M428)</f>
        <v/>
      </c>
      <c r="C428" s="22">
        <f>IF($L428="","",INDEX(HSTECH!$C$7:$C$46,$N428))</f>
        <v/>
      </c>
      <c r="D428" s="22">
        <f>IF($L428="","",INDEX(HSTECH!$D$7:$D$46,$N428))</f>
        <v/>
      </c>
      <c r="E428" s="123">
        <f>IF($L428="","",IF($P428=0,"TBA",IFERROR(INDEX(Grids!$C$116:$BO$155,$N428,$O428),"-")))</f>
        <v/>
      </c>
      <c r="F428" s="22">
        <f>IF($L428="","",INDEX(HSTECH!$F$7:$F$46,$N428))</f>
        <v/>
      </c>
      <c r="G428" s="123">
        <f>IF($L428="","",IF($P428=0,"TBA",IFERROR(INDEX(Grids!$BQ$116:$EC$155,$N428,$O428),"-")))</f>
        <v/>
      </c>
      <c r="H428" s="124">
        <f>IF($L428="","",SUM($G$316:$G428))</f>
        <v/>
      </c>
      <c r="I428" s="45">
        <f>IF($L428="","",IF(INT(($L428-INT($L428/10000000)*10000000)/1000000)=0,"Bloomberg projection",IF($P428=1,"ANNOUNCED","ANNOUNCED - amount TBA")))</f>
        <v/>
      </c>
      <c r="J428" s="46">
        <f>IF($L428="","",IF((OV_SWITCH="ON")*(COUNTIFS(OVR_TICKERS,INDEX(HSTECH!$C$7:$C$46,$N428),OVR_BASE,"&gt;=0")&gt;0)&gt;0,"stock overridden",""))</f>
        <v/>
      </c>
      <c r="L428" s="121">
        <f>IFERROR(IF(SMALL(Grids!$EE$116:$GQ$155,$M$313+113)&gt;=PEND_TO,"",SMALL(Grids!$EE$116:$GQ$155,$M$313+113)),"")</f>
        <v/>
      </c>
      <c r="M428" s="121">
        <f>IF($L428="","",INT($L428/1000000000))</f>
        <v/>
      </c>
      <c r="N428" s="121">
        <f>IF($L428="","",INT(($L428-INT($L428/1000000)*1000000)/1000))</f>
        <v/>
      </c>
      <c r="O428" s="121">
        <f>IF($L428="","",$L428-INT($L428/1000)*1000)</f>
        <v/>
      </c>
      <c r="P428" s="121">
        <f>IF($L428="","",INT(($L428-INT($L428/1000000000)*1000000000)/100000000))</f>
        <v/>
      </c>
    </row>
    <row r="429">
      <c r="B429" s="122">
        <f>IF($L429="","",$M429)</f>
        <v/>
      </c>
      <c r="C429" s="22">
        <f>IF($L429="","",INDEX(HSTECH!$C$7:$C$46,$N429))</f>
        <v/>
      </c>
      <c r="D429" s="22">
        <f>IF($L429="","",INDEX(HSTECH!$D$7:$D$46,$N429))</f>
        <v/>
      </c>
      <c r="E429" s="123">
        <f>IF($L429="","",IF($P429=0,"TBA",IFERROR(INDEX(Grids!$C$116:$BO$155,$N429,$O429),"-")))</f>
        <v/>
      </c>
      <c r="F429" s="22">
        <f>IF($L429="","",INDEX(HSTECH!$F$7:$F$46,$N429))</f>
        <v/>
      </c>
      <c r="G429" s="123">
        <f>IF($L429="","",IF($P429=0,"TBA",IFERROR(INDEX(Grids!$BQ$116:$EC$155,$N429,$O429),"-")))</f>
        <v/>
      </c>
      <c r="H429" s="124">
        <f>IF($L429="","",SUM($G$316:$G429))</f>
        <v/>
      </c>
      <c r="I429" s="45">
        <f>IF($L429="","",IF(INT(($L429-INT($L429/10000000)*10000000)/1000000)=0,"Bloomberg projection",IF($P429=1,"ANNOUNCED","ANNOUNCED - amount TBA")))</f>
        <v/>
      </c>
      <c r="J429" s="46">
        <f>IF($L429="","",IF((OV_SWITCH="ON")*(COUNTIFS(OVR_TICKERS,INDEX(HSTECH!$C$7:$C$46,$N429),OVR_BASE,"&gt;=0")&gt;0)&gt;0,"stock overridden",""))</f>
        <v/>
      </c>
      <c r="L429" s="121">
        <f>IFERROR(IF(SMALL(Grids!$EE$116:$GQ$155,$M$313+114)&gt;=PEND_TO,"",SMALL(Grids!$EE$116:$GQ$155,$M$313+114)),"")</f>
        <v/>
      </c>
      <c r="M429" s="121">
        <f>IF($L429="","",INT($L429/1000000000))</f>
        <v/>
      </c>
      <c r="N429" s="121">
        <f>IF($L429="","",INT(($L429-INT($L429/1000000)*1000000)/1000))</f>
        <v/>
      </c>
      <c r="O429" s="121">
        <f>IF($L429="","",$L429-INT($L429/1000)*1000)</f>
        <v/>
      </c>
      <c r="P429" s="121">
        <f>IF($L429="","",INT(($L429-INT($L429/1000000000)*1000000000)/100000000))</f>
        <v/>
      </c>
    </row>
    <row r="430">
      <c r="B430" s="122">
        <f>IF($L430="","",$M430)</f>
        <v/>
      </c>
      <c r="C430" s="22">
        <f>IF($L430="","",INDEX(HSTECH!$C$7:$C$46,$N430))</f>
        <v/>
      </c>
      <c r="D430" s="22">
        <f>IF($L430="","",INDEX(HSTECH!$D$7:$D$46,$N430))</f>
        <v/>
      </c>
      <c r="E430" s="123">
        <f>IF($L430="","",IF($P430=0,"TBA",IFERROR(INDEX(Grids!$C$116:$BO$155,$N430,$O430),"-")))</f>
        <v/>
      </c>
      <c r="F430" s="22">
        <f>IF($L430="","",INDEX(HSTECH!$F$7:$F$46,$N430))</f>
        <v/>
      </c>
      <c r="G430" s="123">
        <f>IF($L430="","",IF($P430=0,"TBA",IFERROR(INDEX(Grids!$BQ$116:$EC$155,$N430,$O430),"-")))</f>
        <v/>
      </c>
      <c r="H430" s="124">
        <f>IF($L430="","",SUM($G$316:$G430))</f>
        <v/>
      </c>
      <c r="I430" s="45">
        <f>IF($L430="","",IF(INT(($L430-INT($L430/10000000)*10000000)/1000000)=0,"Bloomberg projection",IF($P430=1,"ANNOUNCED","ANNOUNCED - amount TBA")))</f>
        <v/>
      </c>
      <c r="J430" s="46">
        <f>IF($L430="","",IF((OV_SWITCH="ON")*(COUNTIFS(OVR_TICKERS,INDEX(HSTECH!$C$7:$C$46,$N430),OVR_BASE,"&gt;=0")&gt;0)&gt;0,"stock overridden",""))</f>
        <v/>
      </c>
      <c r="L430" s="121">
        <f>IFERROR(IF(SMALL(Grids!$EE$116:$GQ$155,$M$313+115)&gt;=PEND_TO,"",SMALL(Grids!$EE$116:$GQ$155,$M$313+115)),"")</f>
        <v/>
      </c>
      <c r="M430" s="121">
        <f>IF($L430="","",INT($L430/1000000000))</f>
        <v/>
      </c>
      <c r="N430" s="121">
        <f>IF($L430="","",INT(($L430-INT($L430/1000000)*1000000)/1000))</f>
        <v/>
      </c>
      <c r="O430" s="121">
        <f>IF($L430="","",$L430-INT($L430/1000)*1000)</f>
        <v/>
      </c>
      <c r="P430" s="121">
        <f>IF($L430="","",INT(($L430-INT($L430/1000000000)*1000000000)/100000000))</f>
        <v/>
      </c>
    </row>
    <row r="431">
      <c r="B431" s="122">
        <f>IF($L431="","",$M431)</f>
        <v/>
      </c>
      <c r="C431" s="22">
        <f>IF($L431="","",INDEX(HSTECH!$C$7:$C$46,$N431))</f>
        <v/>
      </c>
      <c r="D431" s="22">
        <f>IF($L431="","",INDEX(HSTECH!$D$7:$D$46,$N431))</f>
        <v/>
      </c>
      <c r="E431" s="123">
        <f>IF($L431="","",IF($P431=0,"TBA",IFERROR(INDEX(Grids!$C$116:$BO$155,$N431,$O431),"-")))</f>
        <v/>
      </c>
      <c r="F431" s="22">
        <f>IF($L431="","",INDEX(HSTECH!$F$7:$F$46,$N431))</f>
        <v/>
      </c>
      <c r="G431" s="123">
        <f>IF($L431="","",IF($P431=0,"TBA",IFERROR(INDEX(Grids!$BQ$116:$EC$155,$N431,$O431),"-")))</f>
        <v/>
      </c>
      <c r="H431" s="124">
        <f>IF($L431="","",SUM($G$316:$G431))</f>
        <v/>
      </c>
      <c r="I431" s="45">
        <f>IF($L431="","",IF(INT(($L431-INT($L431/10000000)*10000000)/1000000)=0,"Bloomberg projection",IF($P431=1,"ANNOUNCED","ANNOUNCED - amount TBA")))</f>
        <v/>
      </c>
      <c r="J431" s="46">
        <f>IF($L431="","",IF((OV_SWITCH="ON")*(COUNTIFS(OVR_TICKERS,INDEX(HSTECH!$C$7:$C$46,$N431),OVR_BASE,"&gt;=0")&gt;0)&gt;0,"stock overridden",""))</f>
        <v/>
      </c>
      <c r="L431" s="121">
        <f>IFERROR(IF(SMALL(Grids!$EE$116:$GQ$155,$M$313+116)&gt;=PEND_TO,"",SMALL(Grids!$EE$116:$GQ$155,$M$313+116)),"")</f>
        <v/>
      </c>
      <c r="M431" s="121">
        <f>IF($L431="","",INT($L431/1000000000))</f>
        <v/>
      </c>
      <c r="N431" s="121">
        <f>IF($L431="","",INT(($L431-INT($L431/1000000)*1000000)/1000))</f>
        <v/>
      </c>
      <c r="O431" s="121">
        <f>IF($L431="","",$L431-INT($L431/1000)*1000)</f>
        <v/>
      </c>
      <c r="P431" s="121">
        <f>IF($L431="","",INT(($L431-INT($L431/1000000000)*1000000000)/100000000))</f>
        <v/>
      </c>
    </row>
    <row r="432">
      <c r="B432" s="122">
        <f>IF($L432="","",$M432)</f>
        <v/>
      </c>
      <c r="C432" s="22">
        <f>IF($L432="","",INDEX(HSTECH!$C$7:$C$46,$N432))</f>
        <v/>
      </c>
      <c r="D432" s="22">
        <f>IF($L432="","",INDEX(HSTECH!$D$7:$D$46,$N432))</f>
        <v/>
      </c>
      <c r="E432" s="123">
        <f>IF($L432="","",IF($P432=0,"TBA",IFERROR(INDEX(Grids!$C$116:$BO$155,$N432,$O432),"-")))</f>
        <v/>
      </c>
      <c r="F432" s="22">
        <f>IF($L432="","",INDEX(HSTECH!$F$7:$F$46,$N432))</f>
        <v/>
      </c>
      <c r="G432" s="123">
        <f>IF($L432="","",IF($P432=0,"TBA",IFERROR(INDEX(Grids!$BQ$116:$EC$155,$N432,$O432),"-")))</f>
        <v/>
      </c>
      <c r="H432" s="124">
        <f>IF($L432="","",SUM($G$316:$G432))</f>
        <v/>
      </c>
      <c r="I432" s="45">
        <f>IF($L432="","",IF(INT(($L432-INT($L432/10000000)*10000000)/1000000)=0,"Bloomberg projection",IF($P432=1,"ANNOUNCED","ANNOUNCED - amount TBA")))</f>
        <v/>
      </c>
      <c r="J432" s="46">
        <f>IF($L432="","",IF((OV_SWITCH="ON")*(COUNTIFS(OVR_TICKERS,INDEX(HSTECH!$C$7:$C$46,$N432),OVR_BASE,"&gt;=0")&gt;0)&gt;0,"stock overridden",""))</f>
        <v/>
      </c>
      <c r="L432" s="121">
        <f>IFERROR(IF(SMALL(Grids!$EE$116:$GQ$155,$M$313+117)&gt;=PEND_TO,"",SMALL(Grids!$EE$116:$GQ$155,$M$313+117)),"")</f>
        <v/>
      </c>
      <c r="M432" s="121">
        <f>IF($L432="","",INT($L432/1000000000))</f>
        <v/>
      </c>
      <c r="N432" s="121">
        <f>IF($L432="","",INT(($L432-INT($L432/1000000)*1000000)/1000))</f>
        <v/>
      </c>
      <c r="O432" s="121">
        <f>IF($L432="","",$L432-INT($L432/1000)*1000)</f>
        <v/>
      </c>
      <c r="P432" s="121">
        <f>IF($L432="","",INT(($L432-INT($L432/1000000000)*1000000000)/100000000))</f>
        <v/>
      </c>
    </row>
    <row r="433">
      <c r="B433" s="122">
        <f>IF($L433="","",$M433)</f>
        <v/>
      </c>
      <c r="C433" s="22">
        <f>IF($L433="","",INDEX(HSTECH!$C$7:$C$46,$N433))</f>
        <v/>
      </c>
      <c r="D433" s="22">
        <f>IF($L433="","",INDEX(HSTECH!$D$7:$D$46,$N433))</f>
        <v/>
      </c>
      <c r="E433" s="123">
        <f>IF($L433="","",IF($P433=0,"TBA",IFERROR(INDEX(Grids!$C$116:$BO$155,$N433,$O433),"-")))</f>
        <v/>
      </c>
      <c r="F433" s="22">
        <f>IF($L433="","",INDEX(HSTECH!$F$7:$F$46,$N433))</f>
        <v/>
      </c>
      <c r="G433" s="123">
        <f>IF($L433="","",IF($P433=0,"TBA",IFERROR(INDEX(Grids!$BQ$116:$EC$155,$N433,$O433),"-")))</f>
        <v/>
      </c>
      <c r="H433" s="124">
        <f>IF($L433="","",SUM($G$316:$G433))</f>
        <v/>
      </c>
      <c r="I433" s="45">
        <f>IF($L433="","",IF(INT(($L433-INT($L433/10000000)*10000000)/1000000)=0,"Bloomberg projection",IF($P433=1,"ANNOUNCED","ANNOUNCED - amount TBA")))</f>
        <v/>
      </c>
      <c r="J433" s="46">
        <f>IF($L433="","",IF((OV_SWITCH="ON")*(COUNTIFS(OVR_TICKERS,INDEX(HSTECH!$C$7:$C$46,$N433),OVR_BASE,"&gt;=0")&gt;0)&gt;0,"stock overridden",""))</f>
        <v/>
      </c>
      <c r="L433" s="121">
        <f>IFERROR(IF(SMALL(Grids!$EE$116:$GQ$155,$M$313+118)&gt;=PEND_TO,"",SMALL(Grids!$EE$116:$GQ$155,$M$313+118)),"")</f>
        <v/>
      </c>
      <c r="M433" s="121">
        <f>IF($L433="","",INT($L433/1000000000))</f>
        <v/>
      </c>
      <c r="N433" s="121">
        <f>IF($L433="","",INT(($L433-INT($L433/1000000)*1000000)/1000))</f>
        <v/>
      </c>
      <c r="O433" s="121">
        <f>IF($L433="","",$L433-INT($L433/1000)*1000)</f>
        <v/>
      </c>
      <c r="P433" s="121">
        <f>IF($L433="","",INT(($L433-INT($L433/1000000000)*1000000000)/100000000))</f>
        <v/>
      </c>
    </row>
    <row r="434">
      <c r="B434" s="122">
        <f>IF($L434="","",$M434)</f>
        <v/>
      </c>
      <c r="C434" s="22">
        <f>IF($L434="","",INDEX(HSTECH!$C$7:$C$46,$N434))</f>
        <v/>
      </c>
      <c r="D434" s="22">
        <f>IF($L434="","",INDEX(HSTECH!$D$7:$D$46,$N434))</f>
        <v/>
      </c>
      <c r="E434" s="123">
        <f>IF($L434="","",IF($P434=0,"TBA",IFERROR(INDEX(Grids!$C$116:$BO$155,$N434,$O434),"-")))</f>
        <v/>
      </c>
      <c r="F434" s="22">
        <f>IF($L434="","",INDEX(HSTECH!$F$7:$F$46,$N434))</f>
        <v/>
      </c>
      <c r="G434" s="123">
        <f>IF($L434="","",IF($P434=0,"TBA",IFERROR(INDEX(Grids!$BQ$116:$EC$155,$N434,$O434),"-")))</f>
        <v/>
      </c>
      <c r="H434" s="124">
        <f>IF($L434="","",SUM($G$316:$G434))</f>
        <v/>
      </c>
      <c r="I434" s="45">
        <f>IF($L434="","",IF(INT(($L434-INT($L434/10000000)*10000000)/1000000)=0,"Bloomberg projection",IF($P434=1,"ANNOUNCED","ANNOUNCED - amount TBA")))</f>
        <v/>
      </c>
      <c r="J434" s="46">
        <f>IF($L434="","",IF((OV_SWITCH="ON")*(COUNTIFS(OVR_TICKERS,INDEX(HSTECH!$C$7:$C$46,$N434),OVR_BASE,"&gt;=0")&gt;0)&gt;0,"stock overridden",""))</f>
        <v/>
      </c>
      <c r="L434" s="121">
        <f>IFERROR(IF(SMALL(Grids!$EE$116:$GQ$155,$M$313+119)&gt;=PEND_TO,"",SMALL(Grids!$EE$116:$GQ$155,$M$313+119)),"")</f>
        <v/>
      </c>
      <c r="M434" s="121">
        <f>IF($L434="","",INT($L434/1000000000))</f>
        <v/>
      </c>
      <c r="N434" s="121">
        <f>IF($L434="","",INT(($L434-INT($L434/1000000)*1000000)/1000))</f>
        <v/>
      </c>
      <c r="O434" s="121">
        <f>IF($L434="","",$L434-INT($L434/1000)*1000)</f>
        <v/>
      </c>
      <c r="P434" s="121">
        <f>IF($L434="","",INT(($L434-INT($L434/1000000000)*1000000000)/100000000))</f>
        <v/>
      </c>
    </row>
    <row r="435">
      <c r="B435" s="122">
        <f>IF($L435="","",$M435)</f>
        <v/>
      </c>
      <c r="C435" s="22">
        <f>IF($L435="","",INDEX(HSTECH!$C$7:$C$46,$N435))</f>
        <v/>
      </c>
      <c r="D435" s="22">
        <f>IF($L435="","",INDEX(HSTECH!$D$7:$D$46,$N435))</f>
        <v/>
      </c>
      <c r="E435" s="123">
        <f>IF($L435="","",IF($P435=0,"TBA",IFERROR(INDEX(Grids!$C$116:$BO$155,$N435,$O435),"-")))</f>
        <v/>
      </c>
      <c r="F435" s="22">
        <f>IF($L435="","",INDEX(HSTECH!$F$7:$F$46,$N435))</f>
        <v/>
      </c>
      <c r="G435" s="123">
        <f>IF($L435="","",IF($P435=0,"TBA",IFERROR(INDEX(Grids!$BQ$116:$EC$155,$N435,$O435),"-")))</f>
        <v/>
      </c>
      <c r="H435" s="124">
        <f>IF($L435="","",SUM($G$316:$G435))</f>
        <v/>
      </c>
      <c r="I435" s="45">
        <f>IF($L435="","",IF(INT(($L435-INT($L435/10000000)*10000000)/1000000)=0,"Bloomberg projection",IF($P435=1,"ANNOUNCED","ANNOUNCED - amount TBA")))</f>
        <v/>
      </c>
      <c r="J435" s="46">
        <f>IF($L435="","",IF((OV_SWITCH="ON")*(COUNTIFS(OVR_TICKERS,INDEX(HSTECH!$C$7:$C$46,$N435),OVR_BASE,"&gt;=0")&gt;0)&gt;0,"stock overridden",""))</f>
        <v/>
      </c>
      <c r="L435" s="121">
        <f>IFERROR(IF(SMALL(Grids!$EE$116:$GQ$155,$M$313+120)&gt;=PEND_TO,"",SMALL(Grids!$EE$116:$GQ$155,$M$313+120)),"")</f>
        <v/>
      </c>
      <c r="M435" s="121">
        <f>IF($L435="","",INT($L435/1000000000))</f>
        <v/>
      </c>
      <c r="N435" s="121">
        <f>IF($L435="","",INT(($L435-INT($L435/1000000)*1000000)/1000))</f>
        <v/>
      </c>
      <c r="O435" s="121">
        <f>IF($L435="","",$L435-INT($L435/1000)*1000)</f>
        <v/>
      </c>
      <c r="P435" s="121">
        <f>IF($L435="","",INT(($L435-INT($L435/1000000000)*1000000000)/100000000))</f>
        <v/>
      </c>
    </row>
    <row r="438">
      <c r="B438" s="6" t="inlineStr">
        <is>
          <t>Hang Seng China Enterprises (HSCEI)</t>
        </is>
      </c>
      <c r="C438" s="7" t="n"/>
      <c r="D438" s="7" t="n"/>
      <c r="E438" s="7" t="n"/>
      <c r="F438" s="7" t="n"/>
      <c r="G438" s="7" t="n"/>
      <c r="H438" s="7" t="n"/>
      <c r="I438" s="7" t="n"/>
      <c r="J438" s="7" t="n"/>
    </row>
    <row r="439">
      <c r="B439" s="2" t="inlineStr">
        <is>
          <t>Events pending</t>
        </is>
      </c>
      <c r="C439" s="40">
        <f>COUNTIFS(Grids!$EE$160:$GQ$219,"&gt;="&amp;PEND_FROM,Grids!$EE$160:$GQ$219,"&lt;"&amp;PEND_TO)</f>
        <v/>
      </c>
      <c r="D439" s="5">
        <f>IF($C$439&gt;180,"LIST TRUNCATED - showing the first 180; the model still counts all of them.","all listed below")</f>
        <v/>
      </c>
      <c r="L439" s="2" t="inlineStr">
        <is>
          <t>offset</t>
        </is>
      </c>
      <c r="M439" s="41">
        <f>COUNTIF(Grids!$EE$160:$GQ$219,"&lt;"&amp;PEND_FROM)</f>
        <v/>
      </c>
    </row>
    <row r="441">
      <c r="B441" s="23" t="inlineStr">
        <is>
          <t>Ex-date</t>
        </is>
      </c>
      <c r="C441" s="23" t="inlineStr">
        <is>
          <t>Ticker</t>
        </is>
      </c>
      <c r="D441" s="23" t="inlineStr">
        <is>
          <t>Name</t>
        </is>
      </c>
      <c r="E441" s="23" t="inlineStr">
        <is>
          <t>DPS
(declared ccy)</t>
        </is>
      </c>
      <c r="F441" s="23" t="inlineStr">
        <is>
          <t>CCY</t>
        </is>
      </c>
      <c r="G441" s="23" t="inlineStr">
        <is>
          <t>Index
pts</t>
        </is>
      </c>
      <c r="H441" s="23" t="inlineStr">
        <is>
          <t>Cumulative
pts</t>
        </is>
      </c>
      <c r="I441" s="23" t="inlineStr">
        <is>
          <t>Status</t>
        </is>
      </c>
      <c r="J441" s="23" t="inlineStr">
        <is>
          <t>Your override?</t>
        </is>
      </c>
      <c r="L441" s="2" t="inlineStr">
        <is>
          <t>engine</t>
        </is>
      </c>
    </row>
    <row r="442">
      <c r="B442" s="122">
        <f>IF($L442="","",$M442)</f>
        <v/>
      </c>
      <c r="C442" s="22">
        <f>IF($L442="","",INDEX(HSCEI!$C$7:$C$66,$N442))</f>
        <v/>
      </c>
      <c r="D442" s="22">
        <f>IF($L442="","",INDEX(HSCEI!$D$7:$D$66,$N442))</f>
        <v/>
      </c>
      <c r="E442" s="123">
        <f>IF($L442="","",IF($P442=0,"TBA",IFERROR(INDEX(Grids!$C$160:$BO$219,$N442,$O442),"-")))</f>
        <v/>
      </c>
      <c r="F442" s="22">
        <f>IF($L442="","",INDEX(HSCEI!$F$7:$F$66,$N442))</f>
        <v/>
      </c>
      <c r="G442" s="123">
        <f>IF($L442="","",IF($P442=0,"TBA",IFERROR(INDEX(Grids!$BQ$160:$EC$219,$N442,$O442),"-")))</f>
        <v/>
      </c>
      <c r="H442" s="124">
        <f>IF($L442="","",SUM($G$442:$G442))</f>
        <v/>
      </c>
      <c r="I442" s="45">
        <f>IF($L442="","",IF(INT(($L442-INT($L442/10000000)*10000000)/1000000)=0,"Bloomberg projection",IF($P442=1,"ANNOUNCED","ANNOUNCED - amount TBA")))</f>
        <v/>
      </c>
      <c r="J442" s="46">
        <f>IF($L442="","",IF((OV_SWITCH="ON")*(COUNTIFS(OVR_TICKERS,INDEX(HSCEI!$C$7:$C$66,$N442),OVR_BASE,"&gt;=0")&gt;0)&gt;0,"stock overridden",""))</f>
        <v/>
      </c>
      <c r="L442" s="121">
        <f>IFERROR(IF(SMALL(Grids!$EE$160:$GQ$219,$M$439+1)&gt;=PEND_TO,"",SMALL(Grids!$EE$160:$GQ$219,$M$439+1)),"")</f>
        <v/>
      </c>
      <c r="M442" s="121">
        <f>IF($L442="","",INT($L442/1000000000))</f>
        <v/>
      </c>
      <c r="N442" s="121">
        <f>IF($L442="","",INT(($L442-INT($L442/1000000)*1000000)/1000))</f>
        <v/>
      </c>
      <c r="O442" s="121">
        <f>IF($L442="","",$L442-INT($L442/1000)*1000)</f>
        <v/>
      </c>
      <c r="P442" s="121">
        <f>IF($L442="","",INT(($L442-INT($L442/1000000000)*1000000000)/100000000))</f>
        <v/>
      </c>
    </row>
    <row r="443">
      <c r="B443" s="122">
        <f>IF($L443="","",$M443)</f>
        <v/>
      </c>
      <c r="C443" s="22">
        <f>IF($L443="","",INDEX(HSCEI!$C$7:$C$66,$N443))</f>
        <v/>
      </c>
      <c r="D443" s="22">
        <f>IF($L443="","",INDEX(HSCEI!$D$7:$D$66,$N443))</f>
        <v/>
      </c>
      <c r="E443" s="123">
        <f>IF($L443="","",IF($P443=0,"TBA",IFERROR(INDEX(Grids!$C$160:$BO$219,$N443,$O443),"-")))</f>
        <v/>
      </c>
      <c r="F443" s="22">
        <f>IF($L443="","",INDEX(HSCEI!$F$7:$F$66,$N443))</f>
        <v/>
      </c>
      <c r="G443" s="123">
        <f>IF($L443="","",IF($P443=0,"TBA",IFERROR(INDEX(Grids!$BQ$160:$EC$219,$N443,$O443),"-")))</f>
        <v/>
      </c>
      <c r="H443" s="124">
        <f>IF($L443="","",SUM($G$442:$G443))</f>
        <v/>
      </c>
      <c r="I443" s="45">
        <f>IF($L443="","",IF(INT(($L443-INT($L443/10000000)*10000000)/1000000)=0,"Bloomberg projection",IF($P443=1,"ANNOUNCED","ANNOUNCED - amount TBA")))</f>
        <v/>
      </c>
      <c r="J443" s="46">
        <f>IF($L443="","",IF((OV_SWITCH="ON")*(COUNTIFS(OVR_TICKERS,INDEX(HSCEI!$C$7:$C$66,$N443),OVR_BASE,"&gt;=0")&gt;0)&gt;0,"stock overridden",""))</f>
        <v/>
      </c>
      <c r="L443" s="121">
        <f>IFERROR(IF(SMALL(Grids!$EE$160:$GQ$219,$M$439+2)&gt;=PEND_TO,"",SMALL(Grids!$EE$160:$GQ$219,$M$439+2)),"")</f>
        <v/>
      </c>
      <c r="M443" s="121">
        <f>IF($L443="","",INT($L443/1000000000))</f>
        <v/>
      </c>
      <c r="N443" s="121">
        <f>IF($L443="","",INT(($L443-INT($L443/1000000)*1000000)/1000))</f>
        <v/>
      </c>
      <c r="O443" s="121">
        <f>IF($L443="","",$L443-INT($L443/1000)*1000)</f>
        <v/>
      </c>
      <c r="P443" s="121">
        <f>IF($L443="","",INT(($L443-INT($L443/1000000000)*1000000000)/100000000))</f>
        <v/>
      </c>
    </row>
    <row r="444">
      <c r="B444" s="122">
        <f>IF($L444="","",$M444)</f>
        <v/>
      </c>
      <c r="C444" s="22">
        <f>IF($L444="","",INDEX(HSCEI!$C$7:$C$66,$N444))</f>
        <v/>
      </c>
      <c r="D444" s="22">
        <f>IF($L444="","",INDEX(HSCEI!$D$7:$D$66,$N444))</f>
        <v/>
      </c>
      <c r="E444" s="123">
        <f>IF($L444="","",IF($P444=0,"TBA",IFERROR(INDEX(Grids!$C$160:$BO$219,$N444,$O444),"-")))</f>
        <v/>
      </c>
      <c r="F444" s="22">
        <f>IF($L444="","",INDEX(HSCEI!$F$7:$F$66,$N444))</f>
        <v/>
      </c>
      <c r="G444" s="123">
        <f>IF($L444="","",IF($P444=0,"TBA",IFERROR(INDEX(Grids!$BQ$160:$EC$219,$N444,$O444),"-")))</f>
        <v/>
      </c>
      <c r="H444" s="124">
        <f>IF($L444="","",SUM($G$442:$G444))</f>
        <v/>
      </c>
      <c r="I444" s="45">
        <f>IF($L444="","",IF(INT(($L444-INT($L444/10000000)*10000000)/1000000)=0,"Bloomberg projection",IF($P444=1,"ANNOUNCED","ANNOUNCED - amount TBA")))</f>
        <v/>
      </c>
      <c r="J444" s="46">
        <f>IF($L444="","",IF((OV_SWITCH="ON")*(COUNTIFS(OVR_TICKERS,INDEX(HSCEI!$C$7:$C$66,$N444),OVR_BASE,"&gt;=0")&gt;0)&gt;0,"stock overridden",""))</f>
        <v/>
      </c>
      <c r="L444" s="121">
        <f>IFERROR(IF(SMALL(Grids!$EE$160:$GQ$219,$M$439+3)&gt;=PEND_TO,"",SMALL(Grids!$EE$160:$GQ$219,$M$439+3)),"")</f>
        <v/>
      </c>
      <c r="M444" s="121">
        <f>IF($L444="","",INT($L444/1000000000))</f>
        <v/>
      </c>
      <c r="N444" s="121">
        <f>IF($L444="","",INT(($L444-INT($L444/1000000)*1000000)/1000))</f>
        <v/>
      </c>
      <c r="O444" s="121">
        <f>IF($L444="","",$L444-INT($L444/1000)*1000)</f>
        <v/>
      </c>
      <c r="P444" s="121">
        <f>IF($L444="","",INT(($L444-INT($L444/1000000000)*1000000000)/100000000))</f>
        <v/>
      </c>
    </row>
    <row r="445">
      <c r="B445" s="122">
        <f>IF($L445="","",$M445)</f>
        <v/>
      </c>
      <c r="C445" s="22">
        <f>IF($L445="","",INDEX(HSCEI!$C$7:$C$66,$N445))</f>
        <v/>
      </c>
      <c r="D445" s="22">
        <f>IF($L445="","",INDEX(HSCEI!$D$7:$D$66,$N445))</f>
        <v/>
      </c>
      <c r="E445" s="123">
        <f>IF($L445="","",IF($P445=0,"TBA",IFERROR(INDEX(Grids!$C$160:$BO$219,$N445,$O445),"-")))</f>
        <v/>
      </c>
      <c r="F445" s="22">
        <f>IF($L445="","",INDEX(HSCEI!$F$7:$F$66,$N445))</f>
        <v/>
      </c>
      <c r="G445" s="123">
        <f>IF($L445="","",IF($P445=0,"TBA",IFERROR(INDEX(Grids!$BQ$160:$EC$219,$N445,$O445),"-")))</f>
        <v/>
      </c>
      <c r="H445" s="124">
        <f>IF($L445="","",SUM($G$442:$G445))</f>
        <v/>
      </c>
      <c r="I445" s="45">
        <f>IF($L445="","",IF(INT(($L445-INT($L445/10000000)*10000000)/1000000)=0,"Bloomberg projection",IF($P445=1,"ANNOUNCED","ANNOUNCED - amount TBA")))</f>
        <v/>
      </c>
      <c r="J445" s="46">
        <f>IF($L445="","",IF((OV_SWITCH="ON")*(COUNTIFS(OVR_TICKERS,INDEX(HSCEI!$C$7:$C$66,$N445),OVR_BASE,"&gt;=0")&gt;0)&gt;0,"stock overridden",""))</f>
        <v/>
      </c>
      <c r="L445" s="121">
        <f>IFERROR(IF(SMALL(Grids!$EE$160:$GQ$219,$M$439+4)&gt;=PEND_TO,"",SMALL(Grids!$EE$160:$GQ$219,$M$439+4)),"")</f>
        <v/>
      </c>
      <c r="M445" s="121">
        <f>IF($L445="","",INT($L445/1000000000))</f>
        <v/>
      </c>
      <c r="N445" s="121">
        <f>IF($L445="","",INT(($L445-INT($L445/1000000)*1000000)/1000))</f>
        <v/>
      </c>
      <c r="O445" s="121">
        <f>IF($L445="","",$L445-INT($L445/1000)*1000)</f>
        <v/>
      </c>
      <c r="P445" s="121">
        <f>IF($L445="","",INT(($L445-INT($L445/1000000000)*1000000000)/100000000))</f>
        <v/>
      </c>
    </row>
    <row r="446">
      <c r="B446" s="122">
        <f>IF($L446="","",$M446)</f>
        <v/>
      </c>
      <c r="C446" s="22">
        <f>IF($L446="","",INDEX(HSCEI!$C$7:$C$66,$N446))</f>
        <v/>
      </c>
      <c r="D446" s="22">
        <f>IF($L446="","",INDEX(HSCEI!$D$7:$D$66,$N446))</f>
        <v/>
      </c>
      <c r="E446" s="123">
        <f>IF($L446="","",IF($P446=0,"TBA",IFERROR(INDEX(Grids!$C$160:$BO$219,$N446,$O446),"-")))</f>
        <v/>
      </c>
      <c r="F446" s="22">
        <f>IF($L446="","",INDEX(HSCEI!$F$7:$F$66,$N446))</f>
        <v/>
      </c>
      <c r="G446" s="123">
        <f>IF($L446="","",IF($P446=0,"TBA",IFERROR(INDEX(Grids!$BQ$160:$EC$219,$N446,$O446),"-")))</f>
        <v/>
      </c>
      <c r="H446" s="124">
        <f>IF($L446="","",SUM($G$442:$G446))</f>
        <v/>
      </c>
      <c r="I446" s="45">
        <f>IF($L446="","",IF(INT(($L446-INT($L446/10000000)*10000000)/1000000)=0,"Bloomberg projection",IF($P446=1,"ANNOUNCED","ANNOUNCED - amount TBA")))</f>
        <v/>
      </c>
      <c r="J446" s="46">
        <f>IF($L446="","",IF((OV_SWITCH="ON")*(COUNTIFS(OVR_TICKERS,INDEX(HSCEI!$C$7:$C$66,$N446),OVR_BASE,"&gt;=0")&gt;0)&gt;0,"stock overridden",""))</f>
        <v/>
      </c>
      <c r="L446" s="121">
        <f>IFERROR(IF(SMALL(Grids!$EE$160:$GQ$219,$M$439+5)&gt;=PEND_TO,"",SMALL(Grids!$EE$160:$GQ$219,$M$439+5)),"")</f>
        <v/>
      </c>
      <c r="M446" s="121">
        <f>IF($L446="","",INT($L446/1000000000))</f>
        <v/>
      </c>
      <c r="N446" s="121">
        <f>IF($L446="","",INT(($L446-INT($L446/1000000)*1000000)/1000))</f>
        <v/>
      </c>
      <c r="O446" s="121">
        <f>IF($L446="","",$L446-INT($L446/1000)*1000)</f>
        <v/>
      </c>
      <c r="P446" s="121">
        <f>IF($L446="","",INT(($L446-INT($L446/1000000000)*1000000000)/100000000))</f>
        <v/>
      </c>
    </row>
    <row r="447">
      <c r="B447" s="122">
        <f>IF($L447="","",$M447)</f>
        <v/>
      </c>
      <c r="C447" s="22">
        <f>IF($L447="","",INDEX(HSCEI!$C$7:$C$66,$N447))</f>
        <v/>
      </c>
      <c r="D447" s="22">
        <f>IF($L447="","",INDEX(HSCEI!$D$7:$D$66,$N447))</f>
        <v/>
      </c>
      <c r="E447" s="123">
        <f>IF($L447="","",IF($P447=0,"TBA",IFERROR(INDEX(Grids!$C$160:$BO$219,$N447,$O447),"-")))</f>
        <v/>
      </c>
      <c r="F447" s="22">
        <f>IF($L447="","",INDEX(HSCEI!$F$7:$F$66,$N447))</f>
        <v/>
      </c>
      <c r="G447" s="123">
        <f>IF($L447="","",IF($P447=0,"TBA",IFERROR(INDEX(Grids!$BQ$160:$EC$219,$N447,$O447),"-")))</f>
        <v/>
      </c>
      <c r="H447" s="124">
        <f>IF($L447="","",SUM($G$442:$G447))</f>
        <v/>
      </c>
      <c r="I447" s="45">
        <f>IF($L447="","",IF(INT(($L447-INT($L447/10000000)*10000000)/1000000)=0,"Bloomberg projection",IF($P447=1,"ANNOUNCED","ANNOUNCED - amount TBA")))</f>
        <v/>
      </c>
      <c r="J447" s="46">
        <f>IF($L447="","",IF((OV_SWITCH="ON")*(COUNTIFS(OVR_TICKERS,INDEX(HSCEI!$C$7:$C$66,$N447),OVR_BASE,"&gt;=0")&gt;0)&gt;0,"stock overridden",""))</f>
        <v/>
      </c>
      <c r="L447" s="121">
        <f>IFERROR(IF(SMALL(Grids!$EE$160:$GQ$219,$M$439+6)&gt;=PEND_TO,"",SMALL(Grids!$EE$160:$GQ$219,$M$439+6)),"")</f>
        <v/>
      </c>
      <c r="M447" s="121">
        <f>IF($L447="","",INT($L447/1000000000))</f>
        <v/>
      </c>
      <c r="N447" s="121">
        <f>IF($L447="","",INT(($L447-INT($L447/1000000)*1000000)/1000))</f>
        <v/>
      </c>
      <c r="O447" s="121">
        <f>IF($L447="","",$L447-INT($L447/1000)*1000)</f>
        <v/>
      </c>
      <c r="P447" s="121">
        <f>IF($L447="","",INT(($L447-INT($L447/1000000000)*1000000000)/100000000))</f>
        <v/>
      </c>
    </row>
    <row r="448">
      <c r="B448" s="122">
        <f>IF($L448="","",$M448)</f>
        <v/>
      </c>
      <c r="C448" s="22">
        <f>IF($L448="","",INDEX(HSCEI!$C$7:$C$66,$N448))</f>
        <v/>
      </c>
      <c r="D448" s="22">
        <f>IF($L448="","",INDEX(HSCEI!$D$7:$D$66,$N448))</f>
        <v/>
      </c>
      <c r="E448" s="123">
        <f>IF($L448="","",IF($P448=0,"TBA",IFERROR(INDEX(Grids!$C$160:$BO$219,$N448,$O448),"-")))</f>
        <v/>
      </c>
      <c r="F448" s="22">
        <f>IF($L448="","",INDEX(HSCEI!$F$7:$F$66,$N448))</f>
        <v/>
      </c>
      <c r="G448" s="123">
        <f>IF($L448="","",IF($P448=0,"TBA",IFERROR(INDEX(Grids!$BQ$160:$EC$219,$N448,$O448),"-")))</f>
        <v/>
      </c>
      <c r="H448" s="124">
        <f>IF($L448="","",SUM($G$442:$G448))</f>
        <v/>
      </c>
      <c r="I448" s="45">
        <f>IF($L448="","",IF(INT(($L448-INT($L448/10000000)*10000000)/1000000)=0,"Bloomberg projection",IF($P448=1,"ANNOUNCED","ANNOUNCED - amount TBA")))</f>
        <v/>
      </c>
      <c r="J448" s="46">
        <f>IF($L448="","",IF((OV_SWITCH="ON")*(COUNTIFS(OVR_TICKERS,INDEX(HSCEI!$C$7:$C$66,$N448),OVR_BASE,"&gt;=0")&gt;0)&gt;0,"stock overridden",""))</f>
        <v/>
      </c>
      <c r="L448" s="121">
        <f>IFERROR(IF(SMALL(Grids!$EE$160:$GQ$219,$M$439+7)&gt;=PEND_TO,"",SMALL(Grids!$EE$160:$GQ$219,$M$439+7)),"")</f>
        <v/>
      </c>
      <c r="M448" s="121">
        <f>IF($L448="","",INT($L448/1000000000))</f>
        <v/>
      </c>
      <c r="N448" s="121">
        <f>IF($L448="","",INT(($L448-INT($L448/1000000)*1000000)/1000))</f>
        <v/>
      </c>
      <c r="O448" s="121">
        <f>IF($L448="","",$L448-INT($L448/1000)*1000)</f>
        <v/>
      </c>
      <c r="P448" s="121">
        <f>IF($L448="","",INT(($L448-INT($L448/1000000000)*1000000000)/100000000))</f>
        <v/>
      </c>
    </row>
    <row r="449">
      <c r="B449" s="122">
        <f>IF($L449="","",$M449)</f>
        <v/>
      </c>
      <c r="C449" s="22">
        <f>IF($L449="","",INDEX(HSCEI!$C$7:$C$66,$N449))</f>
        <v/>
      </c>
      <c r="D449" s="22">
        <f>IF($L449="","",INDEX(HSCEI!$D$7:$D$66,$N449))</f>
        <v/>
      </c>
      <c r="E449" s="123">
        <f>IF($L449="","",IF($P449=0,"TBA",IFERROR(INDEX(Grids!$C$160:$BO$219,$N449,$O449),"-")))</f>
        <v/>
      </c>
      <c r="F449" s="22">
        <f>IF($L449="","",INDEX(HSCEI!$F$7:$F$66,$N449))</f>
        <v/>
      </c>
      <c r="G449" s="123">
        <f>IF($L449="","",IF($P449=0,"TBA",IFERROR(INDEX(Grids!$BQ$160:$EC$219,$N449,$O449),"-")))</f>
        <v/>
      </c>
      <c r="H449" s="124">
        <f>IF($L449="","",SUM($G$442:$G449))</f>
        <v/>
      </c>
      <c r="I449" s="45">
        <f>IF($L449="","",IF(INT(($L449-INT($L449/10000000)*10000000)/1000000)=0,"Bloomberg projection",IF($P449=1,"ANNOUNCED","ANNOUNCED - amount TBA")))</f>
        <v/>
      </c>
      <c r="J449" s="46">
        <f>IF($L449="","",IF((OV_SWITCH="ON")*(COUNTIFS(OVR_TICKERS,INDEX(HSCEI!$C$7:$C$66,$N449),OVR_BASE,"&gt;=0")&gt;0)&gt;0,"stock overridden",""))</f>
        <v/>
      </c>
      <c r="L449" s="121">
        <f>IFERROR(IF(SMALL(Grids!$EE$160:$GQ$219,$M$439+8)&gt;=PEND_TO,"",SMALL(Grids!$EE$160:$GQ$219,$M$439+8)),"")</f>
        <v/>
      </c>
      <c r="M449" s="121">
        <f>IF($L449="","",INT($L449/1000000000))</f>
        <v/>
      </c>
      <c r="N449" s="121">
        <f>IF($L449="","",INT(($L449-INT($L449/1000000)*1000000)/1000))</f>
        <v/>
      </c>
      <c r="O449" s="121">
        <f>IF($L449="","",$L449-INT($L449/1000)*1000)</f>
        <v/>
      </c>
      <c r="P449" s="121">
        <f>IF($L449="","",INT(($L449-INT($L449/1000000000)*1000000000)/100000000))</f>
        <v/>
      </c>
    </row>
    <row r="450">
      <c r="B450" s="122">
        <f>IF($L450="","",$M450)</f>
        <v/>
      </c>
      <c r="C450" s="22">
        <f>IF($L450="","",INDEX(HSCEI!$C$7:$C$66,$N450))</f>
        <v/>
      </c>
      <c r="D450" s="22">
        <f>IF($L450="","",INDEX(HSCEI!$D$7:$D$66,$N450))</f>
        <v/>
      </c>
      <c r="E450" s="123">
        <f>IF($L450="","",IF($P450=0,"TBA",IFERROR(INDEX(Grids!$C$160:$BO$219,$N450,$O450),"-")))</f>
        <v/>
      </c>
      <c r="F450" s="22">
        <f>IF($L450="","",INDEX(HSCEI!$F$7:$F$66,$N450))</f>
        <v/>
      </c>
      <c r="G450" s="123">
        <f>IF($L450="","",IF($P450=0,"TBA",IFERROR(INDEX(Grids!$BQ$160:$EC$219,$N450,$O450),"-")))</f>
        <v/>
      </c>
      <c r="H450" s="124">
        <f>IF($L450="","",SUM($G$442:$G450))</f>
        <v/>
      </c>
      <c r="I450" s="45">
        <f>IF($L450="","",IF(INT(($L450-INT($L450/10000000)*10000000)/1000000)=0,"Bloomberg projection",IF($P450=1,"ANNOUNCED","ANNOUNCED - amount TBA")))</f>
        <v/>
      </c>
      <c r="J450" s="46">
        <f>IF($L450="","",IF((OV_SWITCH="ON")*(COUNTIFS(OVR_TICKERS,INDEX(HSCEI!$C$7:$C$66,$N450),OVR_BASE,"&gt;=0")&gt;0)&gt;0,"stock overridden",""))</f>
        <v/>
      </c>
      <c r="L450" s="121">
        <f>IFERROR(IF(SMALL(Grids!$EE$160:$GQ$219,$M$439+9)&gt;=PEND_TO,"",SMALL(Grids!$EE$160:$GQ$219,$M$439+9)),"")</f>
        <v/>
      </c>
      <c r="M450" s="121">
        <f>IF($L450="","",INT($L450/1000000000))</f>
        <v/>
      </c>
      <c r="N450" s="121">
        <f>IF($L450="","",INT(($L450-INT($L450/1000000)*1000000)/1000))</f>
        <v/>
      </c>
      <c r="O450" s="121">
        <f>IF($L450="","",$L450-INT($L450/1000)*1000)</f>
        <v/>
      </c>
      <c r="P450" s="121">
        <f>IF($L450="","",INT(($L450-INT($L450/1000000000)*1000000000)/100000000))</f>
        <v/>
      </c>
    </row>
    <row r="451">
      <c r="B451" s="122">
        <f>IF($L451="","",$M451)</f>
        <v/>
      </c>
      <c r="C451" s="22">
        <f>IF($L451="","",INDEX(HSCEI!$C$7:$C$66,$N451))</f>
        <v/>
      </c>
      <c r="D451" s="22">
        <f>IF($L451="","",INDEX(HSCEI!$D$7:$D$66,$N451))</f>
        <v/>
      </c>
      <c r="E451" s="123">
        <f>IF($L451="","",IF($P451=0,"TBA",IFERROR(INDEX(Grids!$C$160:$BO$219,$N451,$O451),"-")))</f>
        <v/>
      </c>
      <c r="F451" s="22">
        <f>IF($L451="","",INDEX(HSCEI!$F$7:$F$66,$N451))</f>
        <v/>
      </c>
      <c r="G451" s="123">
        <f>IF($L451="","",IF($P451=0,"TBA",IFERROR(INDEX(Grids!$BQ$160:$EC$219,$N451,$O451),"-")))</f>
        <v/>
      </c>
      <c r="H451" s="124">
        <f>IF($L451="","",SUM($G$442:$G451))</f>
        <v/>
      </c>
      <c r="I451" s="45">
        <f>IF($L451="","",IF(INT(($L451-INT($L451/10000000)*10000000)/1000000)=0,"Bloomberg projection",IF($P451=1,"ANNOUNCED","ANNOUNCED - amount TBA")))</f>
        <v/>
      </c>
      <c r="J451" s="46">
        <f>IF($L451="","",IF((OV_SWITCH="ON")*(COUNTIFS(OVR_TICKERS,INDEX(HSCEI!$C$7:$C$66,$N451),OVR_BASE,"&gt;=0")&gt;0)&gt;0,"stock overridden",""))</f>
        <v/>
      </c>
      <c r="L451" s="121">
        <f>IFERROR(IF(SMALL(Grids!$EE$160:$GQ$219,$M$439+10)&gt;=PEND_TO,"",SMALL(Grids!$EE$160:$GQ$219,$M$439+10)),"")</f>
        <v/>
      </c>
      <c r="M451" s="121">
        <f>IF($L451="","",INT($L451/1000000000))</f>
        <v/>
      </c>
      <c r="N451" s="121">
        <f>IF($L451="","",INT(($L451-INT($L451/1000000)*1000000)/1000))</f>
        <v/>
      </c>
      <c r="O451" s="121">
        <f>IF($L451="","",$L451-INT($L451/1000)*1000)</f>
        <v/>
      </c>
      <c r="P451" s="121">
        <f>IF($L451="","",INT(($L451-INT($L451/1000000000)*1000000000)/100000000))</f>
        <v/>
      </c>
    </row>
    <row r="452">
      <c r="B452" s="122">
        <f>IF($L452="","",$M452)</f>
        <v/>
      </c>
      <c r="C452" s="22">
        <f>IF($L452="","",INDEX(HSCEI!$C$7:$C$66,$N452))</f>
        <v/>
      </c>
      <c r="D452" s="22">
        <f>IF($L452="","",INDEX(HSCEI!$D$7:$D$66,$N452))</f>
        <v/>
      </c>
      <c r="E452" s="123">
        <f>IF($L452="","",IF($P452=0,"TBA",IFERROR(INDEX(Grids!$C$160:$BO$219,$N452,$O452),"-")))</f>
        <v/>
      </c>
      <c r="F452" s="22">
        <f>IF($L452="","",INDEX(HSCEI!$F$7:$F$66,$N452))</f>
        <v/>
      </c>
      <c r="G452" s="123">
        <f>IF($L452="","",IF($P452=0,"TBA",IFERROR(INDEX(Grids!$BQ$160:$EC$219,$N452,$O452),"-")))</f>
        <v/>
      </c>
      <c r="H452" s="124">
        <f>IF($L452="","",SUM($G$442:$G452))</f>
        <v/>
      </c>
      <c r="I452" s="45">
        <f>IF($L452="","",IF(INT(($L452-INT($L452/10000000)*10000000)/1000000)=0,"Bloomberg projection",IF($P452=1,"ANNOUNCED","ANNOUNCED - amount TBA")))</f>
        <v/>
      </c>
      <c r="J452" s="46">
        <f>IF($L452="","",IF((OV_SWITCH="ON")*(COUNTIFS(OVR_TICKERS,INDEX(HSCEI!$C$7:$C$66,$N452),OVR_BASE,"&gt;=0")&gt;0)&gt;0,"stock overridden",""))</f>
        <v/>
      </c>
      <c r="L452" s="121">
        <f>IFERROR(IF(SMALL(Grids!$EE$160:$GQ$219,$M$439+11)&gt;=PEND_TO,"",SMALL(Grids!$EE$160:$GQ$219,$M$439+11)),"")</f>
        <v/>
      </c>
      <c r="M452" s="121">
        <f>IF($L452="","",INT($L452/1000000000))</f>
        <v/>
      </c>
      <c r="N452" s="121">
        <f>IF($L452="","",INT(($L452-INT($L452/1000000)*1000000)/1000))</f>
        <v/>
      </c>
      <c r="O452" s="121">
        <f>IF($L452="","",$L452-INT($L452/1000)*1000)</f>
        <v/>
      </c>
      <c r="P452" s="121">
        <f>IF($L452="","",INT(($L452-INT($L452/1000000000)*1000000000)/100000000))</f>
        <v/>
      </c>
    </row>
    <row r="453">
      <c r="B453" s="122">
        <f>IF($L453="","",$M453)</f>
        <v/>
      </c>
      <c r="C453" s="22">
        <f>IF($L453="","",INDEX(HSCEI!$C$7:$C$66,$N453))</f>
        <v/>
      </c>
      <c r="D453" s="22">
        <f>IF($L453="","",INDEX(HSCEI!$D$7:$D$66,$N453))</f>
        <v/>
      </c>
      <c r="E453" s="123">
        <f>IF($L453="","",IF($P453=0,"TBA",IFERROR(INDEX(Grids!$C$160:$BO$219,$N453,$O453),"-")))</f>
        <v/>
      </c>
      <c r="F453" s="22">
        <f>IF($L453="","",INDEX(HSCEI!$F$7:$F$66,$N453))</f>
        <v/>
      </c>
      <c r="G453" s="123">
        <f>IF($L453="","",IF($P453=0,"TBA",IFERROR(INDEX(Grids!$BQ$160:$EC$219,$N453,$O453),"-")))</f>
        <v/>
      </c>
      <c r="H453" s="124">
        <f>IF($L453="","",SUM($G$442:$G453))</f>
        <v/>
      </c>
      <c r="I453" s="45">
        <f>IF($L453="","",IF(INT(($L453-INT($L453/10000000)*10000000)/1000000)=0,"Bloomberg projection",IF($P453=1,"ANNOUNCED","ANNOUNCED - amount TBA")))</f>
        <v/>
      </c>
      <c r="J453" s="46">
        <f>IF($L453="","",IF((OV_SWITCH="ON")*(COUNTIFS(OVR_TICKERS,INDEX(HSCEI!$C$7:$C$66,$N453),OVR_BASE,"&gt;=0")&gt;0)&gt;0,"stock overridden",""))</f>
        <v/>
      </c>
      <c r="L453" s="121">
        <f>IFERROR(IF(SMALL(Grids!$EE$160:$GQ$219,$M$439+12)&gt;=PEND_TO,"",SMALL(Grids!$EE$160:$GQ$219,$M$439+12)),"")</f>
        <v/>
      </c>
      <c r="M453" s="121">
        <f>IF($L453="","",INT($L453/1000000000))</f>
        <v/>
      </c>
      <c r="N453" s="121">
        <f>IF($L453="","",INT(($L453-INT($L453/1000000)*1000000)/1000))</f>
        <v/>
      </c>
      <c r="O453" s="121">
        <f>IF($L453="","",$L453-INT($L453/1000)*1000)</f>
        <v/>
      </c>
      <c r="P453" s="121">
        <f>IF($L453="","",INT(($L453-INT($L453/1000000000)*1000000000)/100000000))</f>
        <v/>
      </c>
    </row>
    <row r="454">
      <c r="B454" s="122">
        <f>IF($L454="","",$M454)</f>
        <v/>
      </c>
      <c r="C454" s="22">
        <f>IF($L454="","",INDEX(HSCEI!$C$7:$C$66,$N454))</f>
        <v/>
      </c>
      <c r="D454" s="22">
        <f>IF($L454="","",INDEX(HSCEI!$D$7:$D$66,$N454))</f>
        <v/>
      </c>
      <c r="E454" s="123">
        <f>IF($L454="","",IF($P454=0,"TBA",IFERROR(INDEX(Grids!$C$160:$BO$219,$N454,$O454),"-")))</f>
        <v/>
      </c>
      <c r="F454" s="22">
        <f>IF($L454="","",INDEX(HSCEI!$F$7:$F$66,$N454))</f>
        <v/>
      </c>
      <c r="G454" s="123">
        <f>IF($L454="","",IF($P454=0,"TBA",IFERROR(INDEX(Grids!$BQ$160:$EC$219,$N454,$O454),"-")))</f>
        <v/>
      </c>
      <c r="H454" s="124">
        <f>IF($L454="","",SUM($G$442:$G454))</f>
        <v/>
      </c>
      <c r="I454" s="45">
        <f>IF($L454="","",IF(INT(($L454-INT($L454/10000000)*10000000)/1000000)=0,"Bloomberg projection",IF($P454=1,"ANNOUNCED","ANNOUNCED - amount TBA")))</f>
        <v/>
      </c>
      <c r="J454" s="46">
        <f>IF($L454="","",IF((OV_SWITCH="ON")*(COUNTIFS(OVR_TICKERS,INDEX(HSCEI!$C$7:$C$66,$N454),OVR_BASE,"&gt;=0")&gt;0)&gt;0,"stock overridden",""))</f>
        <v/>
      </c>
      <c r="L454" s="121">
        <f>IFERROR(IF(SMALL(Grids!$EE$160:$GQ$219,$M$439+13)&gt;=PEND_TO,"",SMALL(Grids!$EE$160:$GQ$219,$M$439+13)),"")</f>
        <v/>
      </c>
      <c r="M454" s="121">
        <f>IF($L454="","",INT($L454/1000000000))</f>
        <v/>
      </c>
      <c r="N454" s="121">
        <f>IF($L454="","",INT(($L454-INT($L454/1000000)*1000000)/1000))</f>
        <v/>
      </c>
      <c r="O454" s="121">
        <f>IF($L454="","",$L454-INT($L454/1000)*1000)</f>
        <v/>
      </c>
      <c r="P454" s="121">
        <f>IF($L454="","",INT(($L454-INT($L454/1000000000)*1000000000)/100000000))</f>
        <v/>
      </c>
    </row>
    <row r="455">
      <c r="B455" s="122">
        <f>IF($L455="","",$M455)</f>
        <v/>
      </c>
      <c r="C455" s="22">
        <f>IF($L455="","",INDEX(HSCEI!$C$7:$C$66,$N455))</f>
        <v/>
      </c>
      <c r="D455" s="22">
        <f>IF($L455="","",INDEX(HSCEI!$D$7:$D$66,$N455))</f>
        <v/>
      </c>
      <c r="E455" s="123">
        <f>IF($L455="","",IF($P455=0,"TBA",IFERROR(INDEX(Grids!$C$160:$BO$219,$N455,$O455),"-")))</f>
        <v/>
      </c>
      <c r="F455" s="22">
        <f>IF($L455="","",INDEX(HSCEI!$F$7:$F$66,$N455))</f>
        <v/>
      </c>
      <c r="G455" s="123">
        <f>IF($L455="","",IF($P455=0,"TBA",IFERROR(INDEX(Grids!$BQ$160:$EC$219,$N455,$O455),"-")))</f>
        <v/>
      </c>
      <c r="H455" s="124">
        <f>IF($L455="","",SUM($G$442:$G455))</f>
        <v/>
      </c>
      <c r="I455" s="45">
        <f>IF($L455="","",IF(INT(($L455-INT($L455/10000000)*10000000)/1000000)=0,"Bloomberg projection",IF($P455=1,"ANNOUNCED","ANNOUNCED - amount TBA")))</f>
        <v/>
      </c>
      <c r="J455" s="46">
        <f>IF($L455="","",IF((OV_SWITCH="ON")*(COUNTIFS(OVR_TICKERS,INDEX(HSCEI!$C$7:$C$66,$N455),OVR_BASE,"&gt;=0")&gt;0)&gt;0,"stock overridden",""))</f>
        <v/>
      </c>
      <c r="L455" s="121">
        <f>IFERROR(IF(SMALL(Grids!$EE$160:$GQ$219,$M$439+14)&gt;=PEND_TO,"",SMALL(Grids!$EE$160:$GQ$219,$M$439+14)),"")</f>
        <v/>
      </c>
      <c r="M455" s="121">
        <f>IF($L455="","",INT($L455/1000000000))</f>
        <v/>
      </c>
      <c r="N455" s="121">
        <f>IF($L455="","",INT(($L455-INT($L455/1000000)*1000000)/1000))</f>
        <v/>
      </c>
      <c r="O455" s="121">
        <f>IF($L455="","",$L455-INT($L455/1000)*1000)</f>
        <v/>
      </c>
      <c r="P455" s="121">
        <f>IF($L455="","",INT(($L455-INT($L455/1000000000)*1000000000)/100000000))</f>
        <v/>
      </c>
    </row>
    <row r="456">
      <c r="B456" s="122">
        <f>IF($L456="","",$M456)</f>
        <v/>
      </c>
      <c r="C456" s="22">
        <f>IF($L456="","",INDEX(HSCEI!$C$7:$C$66,$N456))</f>
        <v/>
      </c>
      <c r="D456" s="22">
        <f>IF($L456="","",INDEX(HSCEI!$D$7:$D$66,$N456))</f>
        <v/>
      </c>
      <c r="E456" s="123">
        <f>IF($L456="","",IF($P456=0,"TBA",IFERROR(INDEX(Grids!$C$160:$BO$219,$N456,$O456),"-")))</f>
        <v/>
      </c>
      <c r="F456" s="22">
        <f>IF($L456="","",INDEX(HSCEI!$F$7:$F$66,$N456))</f>
        <v/>
      </c>
      <c r="G456" s="123">
        <f>IF($L456="","",IF($P456=0,"TBA",IFERROR(INDEX(Grids!$BQ$160:$EC$219,$N456,$O456),"-")))</f>
        <v/>
      </c>
      <c r="H456" s="124">
        <f>IF($L456="","",SUM($G$442:$G456))</f>
        <v/>
      </c>
      <c r="I456" s="45">
        <f>IF($L456="","",IF(INT(($L456-INT($L456/10000000)*10000000)/1000000)=0,"Bloomberg projection",IF($P456=1,"ANNOUNCED","ANNOUNCED - amount TBA")))</f>
        <v/>
      </c>
      <c r="J456" s="46">
        <f>IF($L456="","",IF((OV_SWITCH="ON")*(COUNTIFS(OVR_TICKERS,INDEX(HSCEI!$C$7:$C$66,$N456),OVR_BASE,"&gt;=0")&gt;0)&gt;0,"stock overridden",""))</f>
        <v/>
      </c>
      <c r="L456" s="121">
        <f>IFERROR(IF(SMALL(Grids!$EE$160:$GQ$219,$M$439+15)&gt;=PEND_TO,"",SMALL(Grids!$EE$160:$GQ$219,$M$439+15)),"")</f>
        <v/>
      </c>
      <c r="M456" s="121">
        <f>IF($L456="","",INT($L456/1000000000))</f>
        <v/>
      </c>
      <c r="N456" s="121">
        <f>IF($L456="","",INT(($L456-INT($L456/1000000)*1000000)/1000))</f>
        <v/>
      </c>
      <c r="O456" s="121">
        <f>IF($L456="","",$L456-INT($L456/1000)*1000)</f>
        <v/>
      </c>
      <c r="P456" s="121">
        <f>IF($L456="","",INT(($L456-INT($L456/1000000000)*1000000000)/100000000))</f>
        <v/>
      </c>
    </row>
    <row r="457">
      <c r="B457" s="122">
        <f>IF($L457="","",$M457)</f>
        <v/>
      </c>
      <c r="C457" s="22">
        <f>IF($L457="","",INDEX(HSCEI!$C$7:$C$66,$N457))</f>
        <v/>
      </c>
      <c r="D457" s="22">
        <f>IF($L457="","",INDEX(HSCEI!$D$7:$D$66,$N457))</f>
        <v/>
      </c>
      <c r="E457" s="123">
        <f>IF($L457="","",IF($P457=0,"TBA",IFERROR(INDEX(Grids!$C$160:$BO$219,$N457,$O457),"-")))</f>
        <v/>
      </c>
      <c r="F457" s="22">
        <f>IF($L457="","",INDEX(HSCEI!$F$7:$F$66,$N457))</f>
        <v/>
      </c>
      <c r="G457" s="123">
        <f>IF($L457="","",IF($P457=0,"TBA",IFERROR(INDEX(Grids!$BQ$160:$EC$219,$N457,$O457),"-")))</f>
        <v/>
      </c>
      <c r="H457" s="124">
        <f>IF($L457="","",SUM($G$442:$G457))</f>
        <v/>
      </c>
      <c r="I457" s="45">
        <f>IF($L457="","",IF(INT(($L457-INT($L457/10000000)*10000000)/1000000)=0,"Bloomberg projection",IF($P457=1,"ANNOUNCED","ANNOUNCED - amount TBA")))</f>
        <v/>
      </c>
      <c r="J457" s="46">
        <f>IF($L457="","",IF((OV_SWITCH="ON")*(COUNTIFS(OVR_TICKERS,INDEX(HSCEI!$C$7:$C$66,$N457),OVR_BASE,"&gt;=0")&gt;0)&gt;0,"stock overridden",""))</f>
        <v/>
      </c>
      <c r="L457" s="121">
        <f>IFERROR(IF(SMALL(Grids!$EE$160:$GQ$219,$M$439+16)&gt;=PEND_TO,"",SMALL(Grids!$EE$160:$GQ$219,$M$439+16)),"")</f>
        <v/>
      </c>
      <c r="M457" s="121">
        <f>IF($L457="","",INT($L457/1000000000))</f>
        <v/>
      </c>
      <c r="N457" s="121">
        <f>IF($L457="","",INT(($L457-INT($L457/1000000)*1000000)/1000))</f>
        <v/>
      </c>
      <c r="O457" s="121">
        <f>IF($L457="","",$L457-INT($L457/1000)*1000)</f>
        <v/>
      </c>
      <c r="P457" s="121">
        <f>IF($L457="","",INT(($L457-INT($L457/1000000000)*1000000000)/100000000))</f>
        <v/>
      </c>
    </row>
    <row r="458">
      <c r="B458" s="122">
        <f>IF($L458="","",$M458)</f>
        <v/>
      </c>
      <c r="C458" s="22">
        <f>IF($L458="","",INDEX(HSCEI!$C$7:$C$66,$N458))</f>
        <v/>
      </c>
      <c r="D458" s="22">
        <f>IF($L458="","",INDEX(HSCEI!$D$7:$D$66,$N458))</f>
        <v/>
      </c>
      <c r="E458" s="123">
        <f>IF($L458="","",IF($P458=0,"TBA",IFERROR(INDEX(Grids!$C$160:$BO$219,$N458,$O458),"-")))</f>
        <v/>
      </c>
      <c r="F458" s="22">
        <f>IF($L458="","",INDEX(HSCEI!$F$7:$F$66,$N458))</f>
        <v/>
      </c>
      <c r="G458" s="123">
        <f>IF($L458="","",IF($P458=0,"TBA",IFERROR(INDEX(Grids!$BQ$160:$EC$219,$N458,$O458),"-")))</f>
        <v/>
      </c>
      <c r="H458" s="124">
        <f>IF($L458="","",SUM($G$442:$G458))</f>
        <v/>
      </c>
      <c r="I458" s="45">
        <f>IF($L458="","",IF(INT(($L458-INT($L458/10000000)*10000000)/1000000)=0,"Bloomberg projection",IF($P458=1,"ANNOUNCED","ANNOUNCED - amount TBA")))</f>
        <v/>
      </c>
      <c r="J458" s="46">
        <f>IF($L458="","",IF((OV_SWITCH="ON")*(COUNTIFS(OVR_TICKERS,INDEX(HSCEI!$C$7:$C$66,$N458),OVR_BASE,"&gt;=0")&gt;0)&gt;0,"stock overridden",""))</f>
        <v/>
      </c>
      <c r="L458" s="121">
        <f>IFERROR(IF(SMALL(Grids!$EE$160:$GQ$219,$M$439+17)&gt;=PEND_TO,"",SMALL(Grids!$EE$160:$GQ$219,$M$439+17)),"")</f>
        <v/>
      </c>
      <c r="M458" s="121">
        <f>IF($L458="","",INT($L458/1000000000))</f>
        <v/>
      </c>
      <c r="N458" s="121">
        <f>IF($L458="","",INT(($L458-INT($L458/1000000)*1000000)/1000))</f>
        <v/>
      </c>
      <c r="O458" s="121">
        <f>IF($L458="","",$L458-INT($L458/1000)*1000)</f>
        <v/>
      </c>
      <c r="P458" s="121">
        <f>IF($L458="","",INT(($L458-INT($L458/1000000000)*1000000000)/100000000))</f>
        <v/>
      </c>
    </row>
    <row r="459">
      <c r="B459" s="122">
        <f>IF($L459="","",$M459)</f>
        <v/>
      </c>
      <c r="C459" s="22">
        <f>IF($L459="","",INDEX(HSCEI!$C$7:$C$66,$N459))</f>
        <v/>
      </c>
      <c r="D459" s="22">
        <f>IF($L459="","",INDEX(HSCEI!$D$7:$D$66,$N459))</f>
        <v/>
      </c>
      <c r="E459" s="123">
        <f>IF($L459="","",IF($P459=0,"TBA",IFERROR(INDEX(Grids!$C$160:$BO$219,$N459,$O459),"-")))</f>
        <v/>
      </c>
      <c r="F459" s="22">
        <f>IF($L459="","",INDEX(HSCEI!$F$7:$F$66,$N459))</f>
        <v/>
      </c>
      <c r="G459" s="123">
        <f>IF($L459="","",IF($P459=0,"TBA",IFERROR(INDEX(Grids!$BQ$160:$EC$219,$N459,$O459),"-")))</f>
        <v/>
      </c>
      <c r="H459" s="124">
        <f>IF($L459="","",SUM($G$442:$G459))</f>
        <v/>
      </c>
      <c r="I459" s="45">
        <f>IF($L459="","",IF(INT(($L459-INT($L459/10000000)*10000000)/1000000)=0,"Bloomberg projection",IF($P459=1,"ANNOUNCED","ANNOUNCED - amount TBA")))</f>
        <v/>
      </c>
      <c r="J459" s="46">
        <f>IF($L459="","",IF((OV_SWITCH="ON")*(COUNTIFS(OVR_TICKERS,INDEX(HSCEI!$C$7:$C$66,$N459),OVR_BASE,"&gt;=0")&gt;0)&gt;0,"stock overridden",""))</f>
        <v/>
      </c>
      <c r="L459" s="121">
        <f>IFERROR(IF(SMALL(Grids!$EE$160:$GQ$219,$M$439+18)&gt;=PEND_TO,"",SMALL(Grids!$EE$160:$GQ$219,$M$439+18)),"")</f>
        <v/>
      </c>
      <c r="M459" s="121">
        <f>IF($L459="","",INT($L459/1000000000))</f>
        <v/>
      </c>
      <c r="N459" s="121">
        <f>IF($L459="","",INT(($L459-INT($L459/1000000)*1000000)/1000))</f>
        <v/>
      </c>
      <c r="O459" s="121">
        <f>IF($L459="","",$L459-INT($L459/1000)*1000)</f>
        <v/>
      </c>
      <c r="P459" s="121">
        <f>IF($L459="","",INT(($L459-INT($L459/1000000000)*1000000000)/100000000))</f>
        <v/>
      </c>
    </row>
    <row r="460">
      <c r="B460" s="122">
        <f>IF($L460="","",$M460)</f>
        <v/>
      </c>
      <c r="C460" s="22">
        <f>IF($L460="","",INDEX(HSCEI!$C$7:$C$66,$N460))</f>
        <v/>
      </c>
      <c r="D460" s="22">
        <f>IF($L460="","",INDEX(HSCEI!$D$7:$D$66,$N460))</f>
        <v/>
      </c>
      <c r="E460" s="123">
        <f>IF($L460="","",IF($P460=0,"TBA",IFERROR(INDEX(Grids!$C$160:$BO$219,$N460,$O460),"-")))</f>
        <v/>
      </c>
      <c r="F460" s="22">
        <f>IF($L460="","",INDEX(HSCEI!$F$7:$F$66,$N460))</f>
        <v/>
      </c>
      <c r="G460" s="123">
        <f>IF($L460="","",IF($P460=0,"TBA",IFERROR(INDEX(Grids!$BQ$160:$EC$219,$N460,$O460),"-")))</f>
        <v/>
      </c>
      <c r="H460" s="124">
        <f>IF($L460="","",SUM($G$442:$G460))</f>
        <v/>
      </c>
      <c r="I460" s="45">
        <f>IF($L460="","",IF(INT(($L460-INT($L460/10000000)*10000000)/1000000)=0,"Bloomberg projection",IF($P460=1,"ANNOUNCED","ANNOUNCED - amount TBA")))</f>
        <v/>
      </c>
      <c r="J460" s="46">
        <f>IF($L460="","",IF((OV_SWITCH="ON")*(COUNTIFS(OVR_TICKERS,INDEX(HSCEI!$C$7:$C$66,$N460),OVR_BASE,"&gt;=0")&gt;0)&gt;0,"stock overridden",""))</f>
        <v/>
      </c>
      <c r="L460" s="121">
        <f>IFERROR(IF(SMALL(Grids!$EE$160:$GQ$219,$M$439+19)&gt;=PEND_TO,"",SMALL(Grids!$EE$160:$GQ$219,$M$439+19)),"")</f>
        <v/>
      </c>
      <c r="M460" s="121">
        <f>IF($L460="","",INT($L460/1000000000))</f>
        <v/>
      </c>
      <c r="N460" s="121">
        <f>IF($L460="","",INT(($L460-INT($L460/1000000)*1000000)/1000))</f>
        <v/>
      </c>
      <c r="O460" s="121">
        <f>IF($L460="","",$L460-INT($L460/1000)*1000)</f>
        <v/>
      </c>
      <c r="P460" s="121">
        <f>IF($L460="","",INT(($L460-INT($L460/1000000000)*1000000000)/100000000))</f>
        <v/>
      </c>
    </row>
    <row r="461">
      <c r="B461" s="122">
        <f>IF($L461="","",$M461)</f>
        <v/>
      </c>
      <c r="C461" s="22">
        <f>IF($L461="","",INDEX(HSCEI!$C$7:$C$66,$N461))</f>
        <v/>
      </c>
      <c r="D461" s="22">
        <f>IF($L461="","",INDEX(HSCEI!$D$7:$D$66,$N461))</f>
        <v/>
      </c>
      <c r="E461" s="123">
        <f>IF($L461="","",IF($P461=0,"TBA",IFERROR(INDEX(Grids!$C$160:$BO$219,$N461,$O461),"-")))</f>
        <v/>
      </c>
      <c r="F461" s="22">
        <f>IF($L461="","",INDEX(HSCEI!$F$7:$F$66,$N461))</f>
        <v/>
      </c>
      <c r="G461" s="123">
        <f>IF($L461="","",IF($P461=0,"TBA",IFERROR(INDEX(Grids!$BQ$160:$EC$219,$N461,$O461),"-")))</f>
        <v/>
      </c>
      <c r="H461" s="124">
        <f>IF($L461="","",SUM($G$442:$G461))</f>
        <v/>
      </c>
      <c r="I461" s="45">
        <f>IF($L461="","",IF(INT(($L461-INT($L461/10000000)*10000000)/1000000)=0,"Bloomberg projection",IF($P461=1,"ANNOUNCED","ANNOUNCED - amount TBA")))</f>
        <v/>
      </c>
      <c r="J461" s="46">
        <f>IF($L461="","",IF((OV_SWITCH="ON")*(COUNTIFS(OVR_TICKERS,INDEX(HSCEI!$C$7:$C$66,$N461),OVR_BASE,"&gt;=0")&gt;0)&gt;0,"stock overridden",""))</f>
        <v/>
      </c>
      <c r="L461" s="121">
        <f>IFERROR(IF(SMALL(Grids!$EE$160:$GQ$219,$M$439+20)&gt;=PEND_TO,"",SMALL(Grids!$EE$160:$GQ$219,$M$439+20)),"")</f>
        <v/>
      </c>
      <c r="M461" s="121">
        <f>IF($L461="","",INT($L461/1000000000))</f>
        <v/>
      </c>
      <c r="N461" s="121">
        <f>IF($L461="","",INT(($L461-INT($L461/1000000)*1000000)/1000))</f>
        <v/>
      </c>
      <c r="O461" s="121">
        <f>IF($L461="","",$L461-INT($L461/1000)*1000)</f>
        <v/>
      </c>
      <c r="P461" s="121">
        <f>IF($L461="","",INT(($L461-INT($L461/1000000000)*1000000000)/100000000))</f>
        <v/>
      </c>
    </row>
    <row r="462">
      <c r="B462" s="122">
        <f>IF($L462="","",$M462)</f>
        <v/>
      </c>
      <c r="C462" s="22">
        <f>IF($L462="","",INDEX(HSCEI!$C$7:$C$66,$N462))</f>
        <v/>
      </c>
      <c r="D462" s="22">
        <f>IF($L462="","",INDEX(HSCEI!$D$7:$D$66,$N462))</f>
        <v/>
      </c>
      <c r="E462" s="123">
        <f>IF($L462="","",IF($P462=0,"TBA",IFERROR(INDEX(Grids!$C$160:$BO$219,$N462,$O462),"-")))</f>
        <v/>
      </c>
      <c r="F462" s="22">
        <f>IF($L462="","",INDEX(HSCEI!$F$7:$F$66,$N462))</f>
        <v/>
      </c>
      <c r="G462" s="123">
        <f>IF($L462="","",IF($P462=0,"TBA",IFERROR(INDEX(Grids!$BQ$160:$EC$219,$N462,$O462),"-")))</f>
        <v/>
      </c>
      <c r="H462" s="124">
        <f>IF($L462="","",SUM($G$442:$G462))</f>
        <v/>
      </c>
      <c r="I462" s="45">
        <f>IF($L462="","",IF(INT(($L462-INT($L462/10000000)*10000000)/1000000)=0,"Bloomberg projection",IF($P462=1,"ANNOUNCED","ANNOUNCED - amount TBA")))</f>
        <v/>
      </c>
      <c r="J462" s="46">
        <f>IF($L462="","",IF((OV_SWITCH="ON")*(COUNTIFS(OVR_TICKERS,INDEX(HSCEI!$C$7:$C$66,$N462),OVR_BASE,"&gt;=0")&gt;0)&gt;0,"stock overridden",""))</f>
        <v/>
      </c>
      <c r="L462" s="121">
        <f>IFERROR(IF(SMALL(Grids!$EE$160:$GQ$219,$M$439+21)&gt;=PEND_TO,"",SMALL(Grids!$EE$160:$GQ$219,$M$439+21)),"")</f>
        <v/>
      </c>
      <c r="M462" s="121">
        <f>IF($L462="","",INT($L462/1000000000))</f>
        <v/>
      </c>
      <c r="N462" s="121">
        <f>IF($L462="","",INT(($L462-INT($L462/1000000)*1000000)/1000))</f>
        <v/>
      </c>
      <c r="O462" s="121">
        <f>IF($L462="","",$L462-INT($L462/1000)*1000)</f>
        <v/>
      </c>
      <c r="P462" s="121">
        <f>IF($L462="","",INT(($L462-INT($L462/1000000000)*1000000000)/100000000))</f>
        <v/>
      </c>
    </row>
    <row r="463">
      <c r="B463" s="122">
        <f>IF($L463="","",$M463)</f>
        <v/>
      </c>
      <c r="C463" s="22">
        <f>IF($L463="","",INDEX(HSCEI!$C$7:$C$66,$N463))</f>
        <v/>
      </c>
      <c r="D463" s="22">
        <f>IF($L463="","",INDEX(HSCEI!$D$7:$D$66,$N463))</f>
        <v/>
      </c>
      <c r="E463" s="123">
        <f>IF($L463="","",IF($P463=0,"TBA",IFERROR(INDEX(Grids!$C$160:$BO$219,$N463,$O463),"-")))</f>
        <v/>
      </c>
      <c r="F463" s="22">
        <f>IF($L463="","",INDEX(HSCEI!$F$7:$F$66,$N463))</f>
        <v/>
      </c>
      <c r="G463" s="123">
        <f>IF($L463="","",IF($P463=0,"TBA",IFERROR(INDEX(Grids!$BQ$160:$EC$219,$N463,$O463),"-")))</f>
        <v/>
      </c>
      <c r="H463" s="124">
        <f>IF($L463="","",SUM($G$442:$G463))</f>
        <v/>
      </c>
      <c r="I463" s="45">
        <f>IF($L463="","",IF(INT(($L463-INT($L463/10000000)*10000000)/1000000)=0,"Bloomberg projection",IF($P463=1,"ANNOUNCED","ANNOUNCED - amount TBA")))</f>
        <v/>
      </c>
      <c r="J463" s="46">
        <f>IF($L463="","",IF((OV_SWITCH="ON")*(COUNTIFS(OVR_TICKERS,INDEX(HSCEI!$C$7:$C$66,$N463),OVR_BASE,"&gt;=0")&gt;0)&gt;0,"stock overridden",""))</f>
        <v/>
      </c>
      <c r="L463" s="121">
        <f>IFERROR(IF(SMALL(Grids!$EE$160:$GQ$219,$M$439+22)&gt;=PEND_TO,"",SMALL(Grids!$EE$160:$GQ$219,$M$439+22)),"")</f>
        <v/>
      </c>
      <c r="M463" s="121">
        <f>IF($L463="","",INT($L463/1000000000))</f>
        <v/>
      </c>
      <c r="N463" s="121">
        <f>IF($L463="","",INT(($L463-INT($L463/1000000)*1000000)/1000))</f>
        <v/>
      </c>
      <c r="O463" s="121">
        <f>IF($L463="","",$L463-INT($L463/1000)*1000)</f>
        <v/>
      </c>
      <c r="P463" s="121">
        <f>IF($L463="","",INT(($L463-INT($L463/1000000000)*1000000000)/100000000))</f>
        <v/>
      </c>
    </row>
    <row r="464">
      <c r="B464" s="122">
        <f>IF($L464="","",$M464)</f>
        <v/>
      </c>
      <c r="C464" s="22">
        <f>IF($L464="","",INDEX(HSCEI!$C$7:$C$66,$N464))</f>
        <v/>
      </c>
      <c r="D464" s="22">
        <f>IF($L464="","",INDEX(HSCEI!$D$7:$D$66,$N464))</f>
        <v/>
      </c>
      <c r="E464" s="123">
        <f>IF($L464="","",IF($P464=0,"TBA",IFERROR(INDEX(Grids!$C$160:$BO$219,$N464,$O464),"-")))</f>
        <v/>
      </c>
      <c r="F464" s="22">
        <f>IF($L464="","",INDEX(HSCEI!$F$7:$F$66,$N464))</f>
        <v/>
      </c>
      <c r="G464" s="123">
        <f>IF($L464="","",IF($P464=0,"TBA",IFERROR(INDEX(Grids!$BQ$160:$EC$219,$N464,$O464),"-")))</f>
        <v/>
      </c>
      <c r="H464" s="124">
        <f>IF($L464="","",SUM($G$442:$G464))</f>
        <v/>
      </c>
      <c r="I464" s="45">
        <f>IF($L464="","",IF(INT(($L464-INT($L464/10000000)*10000000)/1000000)=0,"Bloomberg projection",IF($P464=1,"ANNOUNCED","ANNOUNCED - amount TBA")))</f>
        <v/>
      </c>
      <c r="J464" s="46">
        <f>IF($L464="","",IF((OV_SWITCH="ON")*(COUNTIFS(OVR_TICKERS,INDEX(HSCEI!$C$7:$C$66,$N464),OVR_BASE,"&gt;=0")&gt;0)&gt;0,"stock overridden",""))</f>
        <v/>
      </c>
      <c r="L464" s="121">
        <f>IFERROR(IF(SMALL(Grids!$EE$160:$GQ$219,$M$439+23)&gt;=PEND_TO,"",SMALL(Grids!$EE$160:$GQ$219,$M$439+23)),"")</f>
        <v/>
      </c>
      <c r="M464" s="121">
        <f>IF($L464="","",INT($L464/1000000000))</f>
        <v/>
      </c>
      <c r="N464" s="121">
        <f>IF($L464="","",INT(($L464-INT($L464/1000000)*1000000)/1000))</f>
        <v/>
      </c>
      <c r="O464" s="121">
        <f>IF($L464="","",$L464-INT($L464/1000)*1000)</f>
        <v/>
      </c>
      <c r="P464" s="121">
        <f>IF($L464="","",INT(($L464-INT($L464/1000000000)*1000000000)/100000000))</f>
        <v/>
      </c>
    </row>
    <row r="465">
      <c r="B465" s="122">
        <f>IF($L465="","",$M465)</f>
        <v/>
      </c>
      <c r="C465" s="22">
        <f>IF($L465="","",INDEX(HSCEI!$C$7:$C$66,$N465))</f>
        <v/>
      </c>
      <c r="D465" s="22">
        <f>IF($L465="","",INDEX(HSCEI!$D$7:$D$66,$N465))</f>
        <v/>
      </c>
      <c r="E465" s="123">
        <f>IF($L465="","",IF($P465=0,"TBA",IFERROR(INDEX(Grids!$C$160:$BO$219,$N465,$O465),"-")))</f>
        <v/>
      </c>
      <c r="F465" s="22">
        <f>IF($L465="","",INDEX(HSCEI!$F$7:$F$66,$N465))</f>
        <v/>
      </c>
      <c r="G465" s="123">
        <f>IF($L465="","",IF($P465=0,"TBA",IFERROR(INDEX(Grids!$BQ$160:$EC$219,$N465,$O465),"-")))</f>
        <v/>
      </c>
      <c r="H465" s="124">
        <f>IF($L465="","",SUM($G$442:$G465))</f>
        <v/>
      </c>
      <c r="I465" s="45">
        <f>IF($L465="","",IF(INT(($L465-INT($L465/10000000)*10000000)/1000000)=0,"Bloomberg projection",IF($P465=1,"ANNOUNCED","ANNOUNCED - amount TBA")))</f>
        <v/>
      </c>
      <c r="J465" s="46">
        <f>IF($L465="","",IF((OV_SWITCH="ON")*(COUNTIFS(OVR_TICKERS,INDEX(HSCEI!$C$7:$C$66,$N465),OVR_BASE,"&gt;=0")&gt;0)&gt;0,"stock overridden",""))</f>
        <v/>
      </c>
      <c r="L465" s="121">
        <f>IFERROR(IF(SMALL(Grids!$EE$160:$GQ$219,$M$439+24)&gt;=PEND_TO,"",SMALL(Grids!$EE$160:$GQ$219,$M$439+24)),"")</f>
        <v/>
      </c>
      <c r="M465" s="121">
        <f>IF($L465="","",INT($L465/1000000000))</f>
        <v/>
      </c>
      <c r="N465" s="121">
        <f>IF($L465="","",INT(($L465-INT($L465/1000000)*1000000)/1000))</f>
        <v/>
      </c>
      <c r="O465" s="121">
        <f>IF($L465="","",$L465-INT($L465/1000)*1000)</f>
        <v/>
      </c>
      <c r="P465" s="121">
        <f>IF($L465="","",INT(($L465-INT($L465/1000000000)*1000000000)/100000000))</f>
        <v/>
      </c>
    </row>
    <row r="466">
      <c r="B466" s="122">
        <f>IF($L466="","",$M466)</f>
        <v/>
      </c>
      <c r="C466" s="22">
        <f>IF($L466="","",INDEX(HSCEI!$C$7:$C$66,$N466))</f>
        <v/>
      </c>
      <c r="D466" s="22">
        <f>IF($L466="","",INDEX(HSCEI!$D$7:$D$66,$N466))</f>
        <v/>
      </c>
      <c r="E466" s="123">
        <f>IF($L466="","",IF($P466=0,"TBA",IFERROR(INDEX(Grids!$C$160:$BO$219,$N466,$O466),"-")))</f>
        <v/>
      </c>
      <c r="F466" s="22">
        <f>IF($L466="","",INDEX(HSCEI!$F$7:$F$66,$N466))</f>
        <v/>
      </c>
      <c r="G466" s="123">
        <f>IF($L466="","",IF($P466=0,"TBA",IFERROR(INDEX(Grids!$BQ$160:$EC$219,$N466,$O466),"-")))</f>
        <v/>
      </c>
      <c r="H466" s="124">
        <f>IF($L466="","",SUM($G$442:$G466))</f>
        <v/>
      </c>
      <c r="I466" s="45">
        <f>IF($L466="","",IF(INT(($L466-INT($L466/10000000)*10000000)/1000000)=0,"Bloomberg projection",IF($P466=1,"ANNOUNCED","ANNOUNCED - amount TBA")))</f>
        <v/>
      </c>
      <c r="J466" s="46">
        <f>IF($L466="","",IF((OV_SWITCH="ON")*(COUNTIFS(OVR_TICKERS,INDEX(HSCEI!$C$7:$C$66,$N466),OVR_BASE,"&gt;=0")&gt;0)&gt;0,"stock overridden",""))</f>
        <v/>
      </c>
      <c r="L466" s="121">
        <f>IFERROR(IF(SMALL(Grids!$EE$160:$GQ$219,$M$439+25)&gt;=PEND_TO,"",SMALL(Grids!$EE$160:$GQ$219,$M$439+25)),"")</f>
        <v/>
      </c>
      <c r="M466" s="121">
        <f>IF($L466="","",INT($L466/1000000000))</f>
        <v/>
      </c>
      <c r="N466" s="121">
        <f>IF($L466="","",INT(($L466-INT($L466/1000000)*1000000)/1000))</f>
        <v/>
      </c>
      <c r="O466" s="121">
        <f>IF($L466="","",$L466-INT($L466/1000)*1000)</f>
        <v/>
      </c>
      <c r="P466" s="121">
        <f>IF($L466="","",INT(($L466-INT($L466/1000000000)*1000000000)/100000000))</f>
        <v/>
      </c>
    </row>
    <row r="467">
      <c r="B467" s="122">
        <f>IF($L467="","",$M467)</f>
        <v/>
      </c>
      <c r="C467" s="22">
        <f>IF($L467="","",INDEX(HSCEI!$C$7:$C$66,$N467))</f>
        <v/>
      </c>
      <c r="D467" s="22">
        <f>IF($L467="","",INDEX(HSCEI!$D$7:$D$66,$N467))</f>
        <v/>
      </c>
      <c r="E467" s="123">
        <f>IF($L467="","",IF($P467=0,"TBA",IFERROR(INDEX(Grids!$C$160:$BO$219,$N467,$O467),"-")))</f>
        <v/>
      </c>
      <c r="F467" s="22">
        <f>IF($L467="","",INDEX(HSCEI!$F$7:$F$66,$N467))</f>
        <v/>
      </c>
      <c r="G467" s="123">
        <f>IF($L467="","",IF($P467=0,"TBA",IFERROR(INDEX(Grids!$BQ$160:$EC$219,$N467,$O467),"-")))</f>
        <v/>
      </c>
      <c r="H467" s="124">
        <f>IF($L467="","",SUM($G$442:$G467))</f>
        <v/>
      </c>
      <c r="I467" s="45">
        <f>IF($L467="","",IF(INT(($L467-INT($L467/10000000)*10000000)/1000000)=0,"Bloomberg projection",IF($P467=1,"ANNOUNCED","ANNOUNCED - amount TBA")))</f>
        <v/>
      </c>
      <c r="J467" s="46">
        <f>IF($L467="","",IF((OV_SWITCH="ON")*(COUNTIFS(OVR_TICKERS,INDEX(HSCEI!$C$7:$C$66,$N467),OVR_BASE,"&gt;=0")&gt;0)&gt;0,"stock overridden",""))</f>
        <v/>
      </c>
      <c r="L467" s="121">
        <f>IFERROR(IF(SMALL(Grids!$EE$160:$GQ$219,$M$439+26)&gt;=PEND_TO,"",SMALL(Grids!$EE$160:$GQ$219,$M$439+26)),"")</f>
        <v/>
      </c>
      <c r="M467" s="121">
        <f>IF($L467="","",INT($L467/1000000000))</f>
        <v/>
      </c>
      <c r="N467" s="121">
        <f>IF($L467="","",INT(($L467-INT($L467/1000000)*1000000)/1000))</f>
        <v/>
      </c>
      <c r="O467" s="121">
        <f>IF($L467="","",$L467-INT($L467/1000)*1000)</f>
        <v/>
      </c>
      <c r="P467" s="121">
        <f>IF($L467="","",INT(($L467-INT($L467/1000000000)*1000000000)/100000000))</f>
        <v/>
      </c>
    </row>
    <row r="468">
      <c r="B468" s="122">
        <f>IF($L468="","",$M468)</f>
        <v/>
      </c>
      <c r="C468" s="22">
        <f>IF($L468="","",INDEX(HSCEI!$C$7:$C$66,$N468))</f>
        <v/>
      </c>
      <c r="D468" s="22">
        <f>IF($L468="","",INDEX(HSCEI!$D$7:$D$66,$N468))</f>
        <v/>
      </c>
      <c r="E468" s="123">
        <f>IF($L468="","",IF($P468=0,"TBA",IFERROR(INDEX(Grids!$C$160:$BO$219,$N468,$O468),"-")))</f>
        <v/>
      </c>
      <c r="F468" s="22">
        <f>IF($L468="","",INDEX(HSCEI!$F$7:$F$66,$N468))</f>
        <v/>
      </c>
      <c r="G468" s="123">
        <f>IF($L468="","",IF($P468=0,"TBA",IFERROR(INDEX(Grids!$BQ$160:$EC$219,$N468,$O468),"-")))</f>
        <v/>
      </c>
      <c r="H468" s="124">
        <f>IF($L468="","",SUM($G$442:$G468))</f>
        <v/>
      </c>
      <c r="I468" s="45">
        <f>IF($L468="","",IF(INT(($L468-INT($L468/10000000)*10000000)/1000000)=0,"Bloomberg projection",IF($P468=1,"ANNOUNCED","ANNOUNCED - amount TBA")))</f>
        <v/>
      </c>
      <c r="J468" s="46">
        <f>IF($L468="","",IF((OV_SWITCH="ON")*(COUNTIFS(OVR_TICKERS,INDEX(HSCEI!$C$7:$C$66,$N468),OVR_BASE,"&gt;=0")&gt;0)&gt;0,"stock overridden",""))</f>
        <v/>
      </c>
      <c r="L468" s="121">
        <f>IFERROR(IF(SMALL(Grids!$EE$160:$GQ$219,$M$439+27)&gt;=PEND_TO,"",SMALL(Grids!$EE$160:$GQ$219,$M$439+27)),"")</f>
        <v/>
      </c>
      <c r="M468" s="121">
        <f>IF($L468="","",INT($L468/1000000000))</f>
        <v/>
      </c>
      <c r="N468" s="121">
        <f>IF($L468="","",INT(($L468-INT($L468/1000000)*1000000)/1000))</f>
        <v/>
      </c>
      <c r="O468" s="121">
        <f>IF($L468="","",$L468-INT($L468/1000)*1000)</f>
        <v/>
      </c>
      <c r="P468" s="121">
        <f>IF($L468="","",INT(($L468-INT($L468/1000000000)*1000000000)/100000000))</f>
        <v/>
      </c>
    </row>
    <row r="469">
      <c r="B469" s="122">
        <f>IF($L469="","",$M469)</f>
        <v/>
      </c>
      <c r="C469" s="22">
        <f>IF($L469="","",INDEX(HSCEI!$C$7:$C$66,$N469))</f>
        <v/>
      </c>
      <c r="D469" s="22">
        <f>IF($L469="","",INDEX(HSCEI!$D$7:$D$66,$N469))</f>
        <v/>
      </c>
      <c r="E469" s="123">
        <f>IF($L469="","",IF($P469=0,"TBA",IFERROR(INDEX(Grids!$C$160:$BO$219,$N469,$O469),"-")))</f>
        <v/>
      </c>
      <c r="F469" s="22">
        <f>IF($L469="","",INDEX(HSCEI!$F$7:$F$66,$N469))</f>
        <v/>
      </c>
      <c r="G469" s="123">
        <f>IF($L469="","",IF($P469=0,"TBA",IFERROR(INDEX(Grids!$BQ$160:$EC$219,$N469,$O469),"-")))</f>
        <v/>
      </c>
      <c r="H469" s="124">
        <f>IF($L469="","",SUM($G$442:$G469))</f>
        <v/>
      </c>
      <c r="I469" s="45">
        <f>IF($L469="","",IF(INT(($L469-INT($L469/10000000)*10000000)/1000000)=0,"Bloomberg projection",IF($P469=1,"ANNOUNCED","ANNOUNCED - amount TBA")))</f>
        <v/>
      </c>
      <c r="J469" s="46">
        <f>IF($L469="","",IF((OV_SWITCH="ON")*(COUNTIFS(OVR_TICKERS,INDEX(HSCEI!$C$7:$C$66,$N469),OVR_BASE,"&gt;=0")&gt;0)&gt;0,"stock overridden",""))</f>
        <v/>
      </c>
      <c r="L469" s="121">
        <f>IFERROR(IF(SMALL(Grids!$EE$160:$GQ$219,$M$439+28)&gt;=PEND_TO,"",SMALL(Grids!$EE$160:$GQ$219,$M$439+28)),"")</f>
        <v/>
      </c>
      <c r="M469" s="121">
        <f>IF($L469="","",INT($L469/1000000000))</f>
        <v/>
      </c>
      <c r="N469" s="121">
        <f>IF($L469="","",INT(($L469-INT($L469/1000000)*1000000)/1000))</f>
        <v/>
      </c>
      <c r="O469" s="121">
        <f>IF($L469="","",$L469-INT($L469/1000)*1000)</f>
        <v/>
      </c>
      <c r="P469" s="121">
        <f>IF($L469="","",INT(($L469-INT($L469/1000000000)*1000000000)/100000000))</f>
        <v/>
      </c>
    </row>
    <row r="470">
      <c r="B470" s="122">
        <f>IF($L470="","",$M470)</f>
        <v/>
      </c>
      <c r="C470" s="22">
        <f>IF($L470="","",INDEX(HSCEI!$C$7:$C$66,$N470))</f>
        <v/>
      </c>
      <c r="D470" s="22">
        <f>IF($L470="","",INDEX(HSCEI!$D$7:$D$66,$N470))</f>
        <v/>
      </c>
      <c r="E470" s="123">
        <f>IF($L470="","",IF($P470=0,"TBA",IFERROR(INDEX(Grids!$C$160:$BO$219,$N470,$O470),"-")))</f>
        <v/>
      </c>
      <c r="F470" s="22">
        <f>IF($L470="","",INDEX(HSCEI!$F$7:$F$66,$N470))</f>
        <v/>
      </c>
      <c r="G470" s="123">
        <f>IF($L470="","",IF($P470=0,"TBA",IFERROR(INDEX(Grids!$BQ$160:$EC$219,$N470,$O470),"-")))</f>
        <v/>
      </c>
      <c r="H470" s="124">
        <f>IF($L470="","",SUM($G$442:$G470))</f>
        <v/>
      </c>
      <c r="I470" s="45">
        <f>IF($L470="","",IF(INT(($L470-INT($L470/10000000)*10000000)/1000000)=0,"Bloomberg projection",IF($P470=1,"ANNOUNCED","ANNOUNCED - amount TBA")))</f>
        <v/>
      </c>
      <c r="J470" s="46">
        <f>IF($L470="","",IF((OV_SWITCH="ON")*(COUNTIFS(OVR_TICKERS,INDEX(HSCEI!$C$7:$C$66,$N470),OVR_BASE,"&gt;=0")&gt;0)&gt;0,"stock overridden",""))</f>
        <v/>
      </c>
      <c r="L470" s="121">
        <f>IFERROR(IF(SMALL(Grids!$EE$160:$GQ$219,$M$439+29)&gt;=PEND_TO,"",SMALL(Grids!$EE$160:$GQ$219,$M$439+29)),"")</f>
        <v/>
      </c>
      <c r="M470" s="121">
        <f>IF($L470="","",INT($L470/1000000000))</f>
        <v/>
      </c>
      <c r="N470" s="121">
        <f>IF($L470="","",INT(($L470-INT($L470/1000000)*1000000)/1000))</f>
        <v/>
      </c>
      <c r="O470" s="121">
        <f>IF($L470="","",$L470-INT($L470/1000)*1000)</f>
        <v/>
      </c>
      <c r="P470" s="121">
        <f>IF($L470="","",INT(($L470-INT($L470/1000000000)*1000000000)/100000000))</f>
        <v/>
      </c>
    </row>
    <row r="471">
      <c r="B471" s="122">
        <f>IF($L471="","",$M471)</f>
        <v/>
      </c>
      <c r="C471" s="22">
        <f>IF($L471="","",INDEX(HSCEI!$C$7:$C$66,$N471))</f>
        <v/>
      </c>
      <c r="D471" s="22">
        <f>IF($L471="","",INDEX(HSCEI!$D$7:$D$66,$N471))</f>
        <v/>
      </c>
      <c r="E471" s="123">
        <f>IF($L471="","",IF($P471=0,"TBA",IFERROR(INDEX(Grids!$C$160:$BO$219,$N471,$O471),"-")))</f>
        <v/>
      </c>
      <c r="F471" s="22">
        <f>IF($L471="","",INDEX(HSCEI!$F$7:$F$66,$N471))</f>
        <v/>
      </c>
      <c r="G471" s="123">
        <f>IF($L471="","",IF($P471=0,"TBA",IFERROR(INDEX(Grids!$BQ$160:$EC$219,$N471,$O471),"-")))</f>
        <v/>
      </c>
      <c r="H471" s="124">
        <f>IF($L471="","",SUM($G$442:$G471))</f>
        <v/>
      </c>
      <c r="I471" s="45">
        <f>IF($L471="","",IF(INT(($L471-INT($L471/10000000)*10000000)/1000000)=0,"Bloomberg projection",IF($P471=1,"ANNOUNCED","ANNOUNCED - amount TBA")))</f>
        <v/>
      </c>
      <c r="J471" s="46">
        <f>IF($L471="","",IF((OV_SWITCH="ON")*(COUNTIFS(OVR_TICKERS,INDEX(HSCEI!$C$7:$C$66,$N471),OVR_BASE,"&gt;=0")&gt;0)&gt;0,"stock overridden",""))</f>
        <v/>
      </c>
      <c r="L471" s="121">
        <f>IFERROR(IF(SMALL(Grids!$EE$160:$GQ$219,$M$439+30)&gt;=PEND_TO,"",SMALL(Grids!$EE$160:$GQ$219,$M$439+30)),"")</f>
        <v/>
      </c>
      <c r="M471" s="121">
        <f>IF($L471="","",INT($L471/1000000000))</f>
        <v/>
      </c>
      <c r="N471" s="121">
        <f>IF($L471="","",INT(($L471-INT($L471/1000000)*1000000)/1000))</f>
        <v/>
      </c>
      <c r="O471" s="121">
        <f>IF($L471="","",$L471-INT($L471/1000)*1000)</f>
        <v/>
      </c>
      <c r="P471" s="121">
        <f>IF($L471="","",INT(($L471-INT($L471/1000000000)*1000000000)/100000000))</f>
        <v/>
      </c>
    </row>
    <row r="472">
      <c r="B472" s="122">
        <f>IF($L472="","",$M472)</f>
        <v/>
      </c>
      <c r="C472" s="22">
        <f>IF($L472="","",INDEX(HSCEI!$C$7:$C$66,$N472))</f>
        <v/>
      </c>
      <c r="D472" s="22">
        <f>IF($L472="","",INDEX(HSCEI!$D$7:$D$66,$N472))</f>
        <v/>
      </c>
      <c r="E472" s="123">
        <f>IF($L472="","",IF($P472=0,"TBA",IFERROR(INDEX(Grids!$C$160:$BO$219,$N472,$O472),"-")))</f>
        <v/>
      </c>
      <c r="F472" s="22">
        <f>IF($L472="","",INDEX(HSCEI!$F$7:$F$66,$N472))</f>
        <v/>
      </c>
      <c r="G472" s="123">
        <f>IF($L472="","",IF($P472=0,"TBA",IFERROR(INDEX(Grids!$BQ$160:$EC$219,$N472,$O472),"-")))</f>
        <v/>
      </c>
      <c r="H472" s="124">
        <f>IF($L472="","",SUM($G$442:$G472))</f>
        <v/>
      </c>
      <c r="I472" s="45">
        <f>IF($L472="","",IF(INT(($L472-INT($L472/10000000)*10000000)/1000000)=0,"Bloomberg projection",IF($P472=1,"ANNOUNCED","ANNOUNCED - amount TBA")))</f>
        <v/>
      </c>
      <c r="J472" s="46">
        <f>IF($L472="","",IF((OV_SWITCH="ON")*(COUNTIFS(OVR_TICKERS,INDEX(HSCEI!$C$7:$C$66,$N472),OVR_BASE,"&gt;=0")&gt;0)&gt;0,"stock overridden",""))</f>
        <v/>
      </c>
      <c r="L472" s="121">
        <f>IFERROR(IF(SMALL(Grids!$EE$160:$GQ$219,$M$439+31)&gt;=PEND_TO,"",SMALL(Grids!$EE$160:$GQ$219,$M$439+31)),"")</f>
        <v/>
      </c>
      <c r="M472" s="121">
        <f>IF($L472="","",INT($L472/1000000000))</f>
        <v/>
      </c>
      <c r="N472" s="121">
        <f>IF($L472="","",INT(($L472-INT($L472/1000000)*1000000)/1000))</f>
        <v/>
      </c>
      <c r="O472" s="121">
        <f>IF($L472="","",$L472-INT($L472/1000)*1000)</f>
        <v/>
      </c>
      <c r="P472" s="121">
        <f>IF($L472="","",INT(($L472-INT($L472/1000000000)*1000000000)/100000000))</f>
        <v/>
      </c>
    </row>
    <row r="473">
      <c r="B473" s="122">
        <f>IF($L473="","",$M473)</f>
        <v/>
      </c>
      <c r="C473" s="22">
        <f>IF($L473="","",INDEX(HSCEI!$C$7:$C$66,$N473))</f>
        <v/>
      </c>
      <c r="D473" s="22">
        <f>IF($L473="","",INDEX(HSCEI!$D$7:$D$66,$N473))</f>
        <v/>
      </c>
      <c r="E473" s="123">
        <f>IF($L473="","",IF($P473=0,"TBA",IFERROR(INDEX(Grids!$C$160:$BO$219,$N473,$O473),"-")))</f>
        <v/>
      </c>
      <c r="F473" s="22">
        <f>IF($L473="","",INDEX(HSCEI!$F$7:$F$66,$N473))</f>
        <v/>
      </c>
      <c r="G473" s="123">
        <f>IF($L473="","",IF($P473=0,"TBA",IFERROR(INDEX(Grids!$BQ$160:$EC$219,$N473,$O473),"-")))</f>
        <v/>
      </c>
      <c r="H473" s="124">
        <f>IF($L473="","",SUM($G$442:$G473))</f>
        <v/>
      </c>
      <c r="I473" s="45">
        <f>IF($L473="","",IF(INT(($L473-INT($L473/10000000)*10000000)/1000000)=0,"Bloomberg projection",IF($P473=1,"ANNOUNCED","ANNOUNCED - amount TBA")))</f>
        <v/>
      </c>
      <c r="J473" s="46">
        <f>IF($L473="","",IF((OV_SWITCH="ON")*(COUNTIFS(OVR_TICKERS,INDEX(HSCEI!$C$7:$C$66,$N473),OVR_BASE,"&gt;=0")&gt;0)&gt;0,"stock overridden",""))</f>
        <v/>
      </c>
      <c r="L473" s="121">
        <f>IFERROR(IF(SMALL(Grids!$EE$160:$GQ$219,$M$439+32)&gt;=PEND_TO,"",SMALL(Grids!$EE$160:$GQ$219,$M$439+32)),"")</f>
        <v/>
      </c>
      <c r="M473" s="121">
        <f>IF($L473="","",INT($L473/1000000000))</f>
        <v/>
      </c>
      <c r="N473" s="121">
        <f>IF($L473="","",INT(($L473-INT($L473/1000000)*1000000)/1000))</f>
        <v/>
      </c>
      <c r="O473" s="121">
        <f>IF($L473="","",$L473-INT($L473/1000)*1000)</f>
        <v/>
      </c>
      <c r="P473" s="121">
        <f>IF($L473="","",INT(($L473-INT($L473/1000000000)*1000000000)/100000000))</f>
        <v/>
      </c>
    </row>
    <row r="474">
      <c r="B474" s="122">
        <f>IF($L474="","",$M474)</f>
        <v/>
      </c>
      <c r="C474" s="22">
        <f>IF($L474="","",INDEX(HSCEI!$C$7:$C$66,$N474))</f>
        <v/>
      </c>
      <c r="D474" s="22">
        <f>IF($L474="","",INDEX(HSCEI!$D$7:$D$66,$N474))</f>
        <v/>
      </c>
      <c r="E474" s="123">
        <f>IF($L474="","",IF($P474=0,"TBA",IFERROR(INDEX(Grids!$C$160:$BO$219,$N474,$O474),"-")))</f>
        <v/>
      </c>
      <c r="F474" s="22">
        <f>IF($L474="","",INDEX(HSCEI!$F$7:$F$66,$N474))</f>
        <v/>
      </c>
      <c r="G474" s="123">
        <f>IF($L474="","",IF($P474=0,"TBA",IFERROR(INDEX(Grids!$BQ$160:$EC$219,$N474,$O474),"-")))</f>
        <v/>
      </c>
      <c r="H474" s="124">
        <f>IF($L474="","",SUM($G$442:$G474))</f>
        <v/>
      </c>
      <c r="I474" s="45">
        <f>IF($L474="","",IF(INT(($L474-INT($L474/10000000)*10000000)/1000000)=0,"Bloomberg projection",IF($P474=1,"ANNOUNCED","ANNOUNCED - amount TBA")))</f>
        <v/>
      </c>
      <c r="J474" s="46">
        <f>IF($L474="","",IF((OV_SWITCH="ON")*(COUNTIFS(OVR_TICKERS,INDEX(HSCEI!$C$7:$C$66,$N474),OVR_BASE,"&gt;=0")&gt;0)&gt;0,"stock overridden",""))</f>
        <v/>
      </c>
      <c r="L474" s="121">
        <f>IFERROR(IF(SMALL(Grids!$EE$160:$GQ$219,$M$439+33)&gt;=PEND_TO,"",SMALL(Grids!$EE$160:$GQ$219,$M$439+33)),"")</f>
        <v/>
      </c>
      <c r="M474" s="121">
        <f>IF($L474="","",INT($L474/1000000000))</f>
        <v/>
      </c>
      <c r="N474" s="121">
        <f>IF($L474="","",INT(($L474-INT($L474/1000000)*1000000)/1000))</f>
        <v/>
      </c>
      <c r="O474" s="121">
        <f>IF($L474="","",$L474-INT($L474/1000)*1000)</f>
        <v/>
      </c>
      <c r="P474" s="121">
        <f>IF($L474="","",INT(($L474-INT($L474/1000000000)*1000000000)/100000000))</f>
        <v/>
      </c>
    </row>
    <row r="475">
      <c r="B475" s="122">
        <f>IF($L475="","",$M475)</f>
        <v/>
      </c>
      <c r="C475" s="22">
        <f>IF($L475="","",INDEX(HSCEI!$C$7:$C$66,$N475))</f>
        <v/>
      </c>
      <c r="D475" s="22">
        <f>IF($L475="","",INDEX(HSCEI!$D$7:$D$66,$N475))</f>
        <v/>
      </c>
      <c r="E475" s="123">
        <f>IF($L475="","",IF($P475=0,"TBA",IFERROR(INDEX(Grids!$C$160:$BO$219,$N475,$O475),"-")))</f>
        <v/>
      </c>
      <c r="F475" s="22">
        <f>IF($L475="","",INDEX(HSCEI!$F$7:$F$66,$N475))</f>
        <v/>
      </c>
      <c r="G475" s="123">
        <f>IF($L475="","",IF($P475=0,"TBA",IFERROR(INDEX(Grids!$BQ$160:$EC$219,$N475,$O475),"-")))</f>
        <v/>
      </c>
      <c r="H475" s="124">
        <f>IF($L475="","",SUM($G$442:$G475))</f>
        <v/>
      </c>
      <c r="I475" s="45">
        <f>IF($L475="","",IF(INT(($L475-INT($L475/10000000)*10000000)/1000000)=0,"Bloomberg projection",IF($P475=1,"ANNOUNCED","ANNOUNCED - amount TBA")))</f>
        <v/>
      </c>
      <c r="J475" s="46">
        <f>IF($L475="","",IF((OV_SWITCH="ON")*(COUNTIFS(OVR_TICKERS,INDEX(HSCEI!$C$7:$C$66,$N475),OVR_BASE,"&gt;=0")&gt;0)&gt;0,"stock overridden",""))</f>
        <v/>
      </c>
      <c r="L475" s="121">
        <f>IFERROR(IF(SMALL(Grids!$EE$160:$GQ$219,$M$439+34)&gt;=PEND_TO,"",SMALL(Grids!$EE$160:$GQ$219,$M$439+34)),"")</f>
        <v/>
      </c>
      <c r="M475" s="121">
        <f>IF($L475="","",INT($L475/1000000000))</f>
        <v/>
      </c>
      <c r="N475" s="121">
        <f>IF($L475="","",INT(($L475-INT($L475/1000000)*1000000)/1000))</f>
        <v/>
      </c>
      <c r="O475" s="121">
        <f>IF($L475="","",$L475-INT($L475/1000)*1000)</f>
        <v/>
      </c>
      <c r="P475" s="121">
        <f>IF($L475="","",INT(($L475-INT($L475/1000000000)*1000000000)/100000000))</f>
        <v/>
      </c>
    </row>
    <row r="476">
      <c r="B476" s="122">
        <f>IF($L476="","",$M476)</f>
        <v/>
      </c>
      <c r="C476" s="22">
        <f>IF($L476="","",INDEX(HSCEI!$C$7:$C$66,$N476))</f>
        <v/>
      </c>
      <c r="D476" s="22">
        <f>IF($L476="","",INDEX(HSCEI!$D$7:$D$66,$N476))</f>
        <v/>
      </c>
      <c r="E476" s="123">
        <f>IF($L476="","",IF($P476=0,"TBA",IFERROR(INDEX(Grids!$C$160:$BO$219,$N476,$O476),"-")))</f>
        <v/>
      </c>
      <c r="F476" s="22">
        <f>IF($L476="","",INDEX(HSCEI!$F$7:$F$66,$N476))</f>
        <v/>
      </c>
      <c r="G476" s="123">
        <f>IF($L476="","",IF($P476=0,"TBA",IFERROR(INDEX(Grids!$BQ$160:$EC$219,$N476,$O476),"-")))</f>
        <v/>
      </c>
      <c r="H476" s="124">
        <f>IF($L476="","",SUM($G$442:$G476))</f>
        <v/>
      </c>
      <c r="I476" s="45">
        <f>IF($L476="","",IF(INT(($L476-INT($L476/10000000)*10000000)/1000000)=0,"Bloomberg projection",IF($P476=1,"ANNOUNCED","ANNOUNCED - amount TBA")))</f>
        <v/>
      </c>
      <c r="J476" s="46">
        <f>IF($L476="","",IF((OV_SWITCH="ON")*(COUNTIFS(OVR_TICKERS,INDEX(HSCEI!$C$7:$C$66,$N476),OVR_BASE,"&gt;=0")&gt;0)&gt;0,"stock overridden",""))</f>
        <v/>
      </c>
      <c r="L476" s="121">
        <f>IFERROR(IF(SMALL(Grids!$EE$160:$GQ$219,$M$439+35)&gt;=PEND_TO,"",SMALL(Grids!$EE$160:$GQ$219,$M$439+35)),"")</f>
        <v/>
      </c>
      <c r="M476" s="121">
        <f>IF($L476="","",INT($L476/1000000000))</f>
        <v/>
      </c>
      <c r="N476" s="121">
        <f>IF($L476="","",INT(($L476-INT($L476/1000000)*1000000)/1000))</f>
        <v/>
      </c>
      <c r="O476" s="121">
        <f>IF($L476="","",$L476-INT($L476/1000)*1000)</f>
        <v/>
      </c>
      <c r="P476" s="121">
        <f>IF($L476="","",INT(($L476-INT($L476/1000000000)*1000000000)/100000000))</f>
        <v/>
      </c>
    </row>
    <row r="477">
      <c r="B477" s="122">
        <f>IF($L477="","",$M477)</f>
        <v/>
      </c>
      <c r="C477" s="22">
        <f>IF($L477="","",INDEX(HSCEI!$C$7:$C$66,$N477))</f>
        <v/>
      </c>
      <c r="D477" s="22">
        <f>IF($L477="","",INDEX(HSCEI!$D$7:$D$66,$N477))</f>
        <v/>
      </c>
      <c r="E477" s="123">
        <f>IF($L477="","",IF($P477=0,"TBA",IFERROR(INDEX(Grids!$C$160:$BO$219,$N477,$O477),"-")))</f>
        <v/>
      </c>
      <c r="F477" s="22">
        <f>IF($L477="","",INDEX(HSCEI!$F$7:$F$66,$N477))</f>
        <v/>
      </c>
      <c r="G477" s="123">
        <f>IF($L477="","",IF($P477=0,"TBA",IFERROR(INDEX(Grids!$BQ$160:$EC$219,$N477,$O477),"-")))</f>
        <v/>
      </c>
      <c r="H477" s="124">
        <f>IF($L477="","",SUM($G$442:$G477))</f>
        <v/>
      </c>
      <c r="I477" s="45">
        <f>IF($L477="","",IF(INT(($L477-INT($L477/10000000)*10000000)/1000000)=0,"Bloomberg projection",IF($P477=1,"ANNOUNCED","ANNOUNCED - amount TBA")))</f>
        <v/>
      </c>
      <c r="J477" s="46">
        <f>IF($L477="","",IF((OV_SWITCH="ON")*(COUNTIFS(OVR_TICKERS,INDEX(HSCEI!$C$7:$C$66,$N477),OVR_BASE,"&gt;=0")&gt;0)&gt;0,"stock overridden",""))</f>
        <v/>
      </c>
      <c r="L477" s="121">
        <f>IFERROR(IF(SMALL(Grids!$EE$160:$GQ$219,$M$439+36)&gt;=PEND_TO,"",SMALL(Grids!$EE$160:$GQ$219,$M$439+36)),"")</f>
        <v/>
      </c>
      <c r="M477" s="121">
        <f>IF($L477="","",INT($L477/1000000000))</f>
        <v/>
      </c>
      <c r="N477" s="121">
        <f>IF($L477="","",INT(($L477-INT($L477/1000000)*1000000)/1000))</f>
        <v/>
      </c>
      <c r="O477" s="121">
        <f>IF($L477="","",$L477-INT($L477/1000)*1000)</f>
        <v/>
      </c>
      <c r="P477" s="121">
        <f>IF($L477="","",INT(($L477-INT($L477/1000000000)*1000000000)/100000000))</f>
        <v/>
      </c>
    </row>
    <row r="478">
      <c r="B478" s="122">
        <f>IF($L478="","",$M478)</f>
        <v/>
      </c>
      <c r="C478" s="22">
        <f>IF($L478="","",INDEX(HSCEI!$C$7:$C$66,$N478))</f>
        <v/>
      </c>
      <c r="D478" s="22">
        <f>IF($L478="","",INDEX(HSCEI!$D$7:$D$66,$N478))</f>
        <v/>
      </c>
      <c r="E478" s="123">
        <f>IF($L478="","",IF($P478=0,"TBA",IFERROR(INDEX(Grids!$C$160:$BO$219,$N478,$O478),"-")))</f>
        <v/>
      </c>
      <c r="F478" s="22">
        <f>IF($L478="","",INDEX(HSCEI!$F$7:$F$66,$N478))</f>
        <v/>
      </c>
      <c r="G478" s="123">
        <f>IF($L478="","",IF($P478=0,"TBA",IFERROR(INDEX(Grids!$BQ$160:$EC$219,$N478,$O478),"-")))</f>
        <v/>
      </c>
      <c r="H478" s="124">
        <f>IF($L478="","",SUM($G$442:$G478))</f>
        <v/>
      </c>
      <c r="I478" s="45">
        <f>IF($L478="","",IF(INT(($L478-INT($L478/10000000)*10000000)/1000000)=0,"Bloomberg projection",IF($P478=1,"ANNOUNCED","ANNOUNCED - amount TBA")))</f>
        <v/>
      </c>
      <c r="J478" s="46">
        <f>IF($L478="","",IF((OV_SWITCH="ON")*(COUNTIFS(OVR_TICKERS,INDEX(HSCEI!$C$7:$C$66,$N478),OVR_BASE,"&gt;=0")&gt;0)&gt;0,"stock overridden",""))</f>
        <v/>
      </c>
      <c r="L478" s="121">
        <f>IFERROR(IF(SMALL(Grids!$EE$160:$GQ$219,$M$439+37)&gt;=PEND_TO,"",SMALL(Grids!$EE$160:$GQ$219,$M$439+37)),"")</f>
        <v/>
      </c>
      <c r="M478" s="121">
        <f>IF($L478="","",INT($L478/1000000000))</f>
        <v/>
      </c>
      <c r="N478" s="121">
        <f>IF($L478="","",INT(($L478-INT($L478/1000000)*1000000)/1000))</f>
        <v/>
      </c>
      <c r="O478" s="121">
        <f>IF($L478="","",$L478-INT($L478/1000)*1000)</f>
        <v/>
      </c>
      <c r="P478" s="121">
        <f>IF($L478="","",INT(($L478-INT($L478/1000000000)*1000000000)/100000000))</f>
        <v/>
      </c>
    </row>
    <row r="479">
      <c r="B479" s="122">
        <f>IF($L479="","",$M479)</f>
        <v/>
      </c>
      <c r="C479" s="22">
        <f>IF($L479="","",INDEX(HSCEI!$C$7:$C$66,$N479))</f>
        <v/>
      </c>
      <c r="D479" s="22">
        <f>IF($L479="","",INDEX(HSCEI!$D$7:$D$66,$N479))</f>
        <v/>
      </c>
      <c r="E479" s="123">
        <f>IF($L479="","",IF($P479=0,"TBA",IFERROR(INDEX(Grids!$C$160:$BO$219,$N479,$O479),"-")))</f>
        <v/>
      </c>
      <c r="F479" s="22">
        <f>IF($L479="","",INDEX(HSCEI!$F$7:$F$66,$N479))</f>
        <v/>
      </c>
      <c r="G479" s="123">
        <f>IF($L479="","",IF($P479=0,"TBA",IFERROR(INDEX(Grids!$BQ$160:$EC$219,$N479,$O479),"-")))</f>
        <v/>
      </c>
      <c r="H479" s="124">
        <f>IF($L479="","",SUM($G$442:$G479))</f>
        <v/>
      </c>
      <c r="I479" s="45">
        <f>IF($L479="","",IF(INT(($L479-INT($L479/10000000)*10000000)/1000000)=0,"Bloomberg projection",IF($P479=1,"ANNOUNCED","ANNOUNCED - amount TBA")))</f>
        <v/>
      </c>
      <c r="J479" s="46">
        <f>IF($L479="","",IF((OV_SWITCH="ON")*(COUNTIFS(OVR_TICKERS,INDEX(HSCEI!$C$7:$C$66,$N479),OVR_BASE,"&gt;=0")&gt;0)&gt;0,"stock overridden",""))</f>
        <v/>
      </c>
      <c r="L479" s="121">
        <f>IFERROR(IF(SMALL(Grids!$EE$160:$GQ$219,$M$439+38)&gt;=PEND_TO,"",SMALL(Grids!$EE$160:$GQ$219,$M$439+38)),"")</f>
        <v/>
      </c>
      <c r="M479" s="121">
        <f>IF($L479="","",INT($L479/1000000000))</f>
        <v/>
      </c>
      <c r="N479" s="121">
        <f>IF($L479="","",INT(($L479-INT($L479/1000000)*1000000)/1000))</f>
        <v/>
      </c>
      <c r="O479" s="121">
        <f>IF($L479="","",$L479-INT($L479/1000)*1000)</f>
        <v/>
      </c>
      <c r="P479" s="121">
        <f>IF($L479="","",INT(($L479-INT($L479/1000000000)*1000000000)/100000000))</f>
        <v/>
      </c>
    </row>
    <row r="480">
      <c r="B480" s="122">
        <f>IF($L480="","",$M480)</f>
        <v/>
      </c>
      <c r="C480" s="22">
        <f>IF($L480="","",INDEX(HSCEI!$C$7:$C$66,$N480))</f>
        <v/>
      </c>
      <c r="D480" s="22">
        <f>IF($L480="","",INDEX(HSCEI!$D$7:$D$66,$N480))</f>
        <v/>
      </c>
      <c r="E480" s="123">
        <f>IF($L480="","",IF($P480=0,"TBA",IFERROR(INDEX(Grids!$C$160:$BO$219,$N480,$O480),"-")))</f>
        <v/>
      </c>
      <c r="F480" s="22">
        <f>IF($L480="","",INDEX(HSCEI!$F$7:$F$66,$N480))</f>
        <v/>
      </c>
      <c r="G480" s="123">
        <f>IF($L480="","",IF($P480=0,"TBA",IFERROR(INDEX(Grids!$BQ$160:$EC$219,$N480,$O480),"-")))</f>
        <v/>
      </c>
      <c r="H480" s="124">
        <f>IF($L480="","",SUM($G$442:$G480))</f>
        <v/>
      </c>
      <c r="I480" s="45">
        <f>IF($L480="","",IF(INT(($L480-INT($L480/10000000)*10000000)/1000000)=0,"Bloomberg projection",IF($P480=1,"ANNOUNCED","ANNOUNCED - amount TBA")))</f>
        <v/>
      </c>
      <c r="J480" s="46">
        <f>IF($L480="","",IF((OV_SWITCH="ON")*(COUNTIFS(OVR_TICKERS,INDEX(HSCEI!$C$7:$C$66,$N480),OVR_BASE,"&gt;=0")&gt;0)&gt;0,"stock overridden",""))</f>
        <v/>
      </c>
      <c r="L480" s="121">
        <f>IFERROR(IF(SMALL(Grids!$EE$160:$GQ$219,$M$439+39)&gt;=PEND_TO,"",SMALL(Grids!$EE$160:$GQ$219,$M$439+39)),"")</f>
        <v/>
      </c>
      <c r="M480" s="121">
        <f>IF($L480="","",INT($L480/1000000000))</f>
        <v/>
      </c>
      <c r="N480" s="121">
        <f>IF($L480="","",INT(($L480-INT($L480/1000000)*1000000)/1000))</f>
        <v/>
      </c>
      <c r="O480" s="121">
        <f>IF($L480="","",$L480-INT($L480/1000)*1000)</f>
        <v/>
      </c>
      <c r="P480" s="121">
        <f>IF($L480="","",INT(($L480-INT($L480/1000000000)*1000000000)/100000000))</f>
        <v/>
      </c>
    </row>
    <row r="481">
      <c r="B481" s="122">
        <f>IF($L481="","",$M481)</f>
        <v/>
      </c>
      <c r="C481" s="22">
        <f>IF($L481="","",INDEX(HSCEI!$C$7:$C$66,$N481))</f>
        <v/>
      </c>
      <c r="D481" s="22">
        <f>IF($L481="","",INDEX(HSCEI!$D$7:$D$66,$N481))</f>
        <v/>
      </c>
      <c r="E481" s="123">
        <f>IF($L481="","",IF($P481=0,"TBA",IFERROR(INDEX(Grids!$C$160:$BO$219,$N481,$O481),"-")))</f>
        <v/>
      </c>
      <c r="F481" s="22">
        <f>IF($L481="","",INDEX(HSCEI!$F$7:$F$66,$N481))</f>
        <v/>
      </c>
      <c r="G481" s="123">
        <f>IF($L481="","",IF($P481=0,"TBA",IFERROR(INDEX(Grids!$BQ$160:$EC$219,$N481,$O481),"-")))</f>
        <v/>
      </c>
      <c r="H481" s="124">
        <f>IF($L481="","",SUM($G$442:$G481))</f>
        <v/>
      </c>
      <c r="I481" s="45">
        <f>IF($L481="","",IF(INT(($L481-INT($L481/10000000)*10000000)/1000000)=0,"Bloomberg projection",IF($P481=1,"ANNOUNCED","ANNOUNCED - amount TBA")))</f>
        <v/>
      </c>
      <c r="J481" s="46">
        <f>IF($L481="","",IF((OV_SWITCH="ON")*(COUNTIFS(OVR_TICKERS,INDEX(HSCEI!$C$7:$C$66,$N481),OVR_BASE,"&gt;=0")&gt;0)&gt;0,"stock overridden",""))</f>
        <v/>
      </c>
      <c r="L481" s="121">
        <f>IFERROR(IF(SMALL(Grids!$EE$160:$GQ$219,$M$439+40)&gt;=PEND_TO,"",SMALL(Grids!$EE$160:$GQ$219,$M$439+40)),"")</f>
        <v/>
      </c>
      <c r="M481" s="121">
        <f>IF($L481="","",INT($L481/1000000000))</f>
        <v/>
      </c>
      <c r="N481" s="121">
        <f>IF($L481="","",INT(($L481-INT($L481/1000000)*1000000)/1000))</f>
        <v/>
      </c>
      <c r="O481" s="121">
        <f>IF($L481="","",$L481-INT($L481/1000)*1000)</f>
        <v/>
      </c>
      <c r="P481" s="121">
        <f>IF($L481="","",INT(($L481-INT($L481/1000000000)*1000000000)/100000000))</f>
        <v/>
      </c>
    </row>
    <row r="482">
      <c r="B482" s="122">
        <f>IF($L482="","",$M482)</f>
        <v/>
      </c>
      <c r="C482" s="22">
        <f>IF($L482="","",INDEX(HSCEI!$C$7:$C$66,$N482))</f>
        <v/>
      </c>
      <c r="D482" s="22">
        <f>IF($L482="","",INDEX(HSCEI!$D$7:$D$66,$N482))</f>
        <v/>
      </c>
      <c r="E482" s="123">
        <f>IF($L482="","",IF($P482=0,"TBA",IFERROR(INDEX(Grids!$C$160:$BO$219,$N482,$O482),"-")))</f>
        <v/>
      </c>
      <c r="F482" s="22">
        <f>IF($L482="","",INDEX(HSCEI!$F$7:$F$66,$N482))</f>
        <v/>
      </c>
      <c r="G482" s="123">
        <f>IF($L482="","",IF($P482=0,"TBA",IFERROR(INDEX(Grids!$BQ$160:$EC$219,$N482,$O482),"-")))</f>
        <v/>
      </c>
      <c r="H482" s="124">
        <f>IF($L482="","",SUM($G$442:$G482))</f>
        <v/>
      </c>
      <c r="I482" s="45">
        <f>IF($L482="","",IF(INT(($L482-INT($L482/10000000)*10000000)/1000000)=0,"Bloomberg projection",IF($P482=1,"ANNOUNCED","ANNOUNCED - amount TBA")))</f>
        <v/>
      </c>
      <c r="J482" s="46">
        <f>IF($L482="","",IF((OV_SWITCH="ON")*(COUNTIFS(OVR_TICKERS,INDEX(HSCEI!$C$7:$C$66,$N482),OVR_BASE,"&gt;=0")&gt;0)&gt;0,"stock overridden",""))</f>
        <v/>
      </c>
      <c r="L482" s="121">
        <f>IFERROR(IF(SMALL(Grids!$EE$160:$GQ$219,$M$439+41)&gt;=PEND_TO,"",SMALL(Grids!$EE$160:$GQ$219,$M$439+41)),"")</f>
        <v/>
      </c>
      <c r="M482" s="121">
        <f>IF($L482="","",INT($L482/1000000000))</f>
        <v/>
      </c>
      <c r="N482" s="121">
        <f>IF($L482="","",INT(($L482-INT($L482/1000000)*1000000)/1000))</f>
        <v/>
      </c>
      <c r="O482" s="121">
        <f>IF($L482="","",$L482-INT($L482/1000)*1000)</f>
        <v/>
      </c>
      <c r="P482" s="121">
        <f>IF($L482="","",INT(($L482-INT($L482/1000000000)*1000000000)/100000000))</f>
        <v/>
      </c>
    </row>
    <row r="483">
      <c r="B483" s="122">
        <f>IF($L483="","",$M483)</f>
        <v/>
      </c>
      <c r="C483" s="22">
        <f>IF($L483="","",INDEX(HSCEI!$C$7:$C$66,$N483))</f>
        <v/>
      </c>
      <c r="D483" s="22">
        <f>IF($L483="","",INDEX(HSCEI!$D$7:$D$66,$N483))</f>
        <v/>
      </c>
      <c r="E483" s="123">
        <f>IF($L483="","",IF($P483=0,"TBA",IFERROR(INDEX(Grids!$C$160:$BO$219,$N483,$O483),"-")))</f>
        <v/>
      </c>
      <c r="F483" s="22">
        <f>IF($L483="","",INDEX(HSCEI!$F$7:$F$66,$N483))</f>
        <v/>
      </c>
      <c r="G483" s="123">
        <f>IF($L483="","",IF($P483=0,"TBA",IFERROR(INDEX(Grids!$BQ$160:$EC$219,$N483,$O483),"-")))</f>
        <v/>
      </c>
      <c r="H483" s="124">
        <f>IF($L483="","",SUM($G$442:$G483))</f>
        <v/>
      </c>
      <c r="I483" s="45">
        <f>IF($L483="","",IF(INT(($L483-INT($L483/10000000)*10000000)/1000000)=0,"Bloomberg projection",IF($P483=1,"ANNOUNCED","ANNOUNCED - amount TBA")))</f>
        <v/>
      </c>
      <c r="J483" s="46">
        <f>IF($L483="","",IF((OV_SWITCH="ON")*(COUNTIFS(OVR_TICKERS,INDEX(HSCEI!$C$7:$C$66,$N483),OVR_BASE,"&gt;=0")&gt;0)&gt;0,"stock overridden",""))</f>
        <v/>
      </c>
      <c r="L483" s="121">
        <f>IFERROR(IF(SMALL(Grids!$EE$160:$GQ$219,$M$439+42)&gt;=PEND_TO,"",SMALL(Grids!$EE$160:$GQ$219,$M$439+42)),"")</f>
        <v/>
      </c>
      <c r="M483" s="121">
        <f>IF($L483="","",INT($L483/1000000000))</f>
        <v/>
      </c>
      <c r="N483" s="121">
        <f>IF($L483="","",INT(($L483-INT($L483/1000000)*1000000)/1000))</f>
        <v/>
      </c>
      <c r="O483" s="121">
        <f>IF($L483="","",$L483-INT($L483/1000)*1000)</f>
        <v/>
      </c>
      <c r="P483" s="121">
        <f>IF($L483="","",INT(($L483-INT($L483/1000000000)*1000000000)/100000000))</f>
        <v/>
      </c>
    </row>
    <row r="484">
      <c r="B484" s="122">
        <f>IF($L484="","",$M484)</f>
        <v/>
      </c>
      <c r="C484" s="22">
        <f>IF($L484="","",INDEX(HSCEI!$C$7:$C$66,$N484))</f>
        <v/>
      </c>
      <c r="D484" s="22">
        <f>IF($L484="","",INDEX(HSCEI!$D$7:$D$66,$N484))</f>
        <v/>
      </c>
      <c r="E484" s="123">
        <f>IF($L484="","",IF($P484=0,"TBA",IFERROR(INDEX(Grids!$C$160:$BO$219,$N484,$O484),"-")))</f>
        <v/>
      </c>
      <c r="F484" s="22">
        <f>IF($L484="","",INDEX(HSCEI!$F$7:$F$66,$N484))</f>
        <v/>
      </c>
      <c r="G484" s="123">
        <f>IF($L484="","",IF($P484=0,"TBA",IFERROR(INDEX(Grids!$BQ$160:$EC$219,$N484,$O484),"-")))</f>
        <v/>
      </c>
      <c r="H484" s="124">
        <f>IF($L484="","",SUM($G$442:$G484))</f>
        <v/>
      </c>
      <c r="I484" s="45">
        <f>IF($L484="","",IF(INT(($L484-INT($L484/10000000)*10000000)/1000000)=0,"Bloomberg projection",IF($P484=1,"ANNOUNCED","ANNOUNCED - amount TBA")))</f>
        <v/>
      </c>
      <c r="J484" s="46">
        <f>IF($L484="","",IF((OV_SWITCH="ON")*(COUNTIFS(OVR_TICKERS,INDEX(HSCEI!$C$7:$C$66,$N484),OVR_BASE,"&gt;=0")&gt;0)&gt;0,"stock overridden",""))</f>
        <v/>
      </c>
      <c r="L484" s="121">
        <f>IFERROR(IF(SMALL(Grids!$EE$160:$GQ$219,$M$439+43)&gt;=PEND_TO,"",SMALL(Grids!$EE$160:$GQ$219,$M$439+43)),"")</f>
        <v/>
      </c>
      <c r="M484" s="121">
        <f>IF($L484="","",INT($L484/1000000000))</f>
        <v/>
      </c>
      <c r="N484" s="121">
        <f>IF($L484="","",INT(($L484-INT($L484/1000000)*1000000)/1000))</f>
        <v/>
      </c>
      <c r="O484" s="121">
        <f>IF($L484="","",$L484-INT($L484/1000)*1000)</f>
        <v/>
      </c>
      <c r="P484" s="121">
        <f>IF($L484="","",INT(($L484-INT($L484/1000000000)*1000000000)/100000000))</f>
        <v/>
      </c>
    </row>
    <row r="485">
      <c r="B485" s="122">
        <f>IF($L485="","",$M485)</f>
        <v/>
      </c>
      <c r="C485" s="22">
        <f>IF($L485="","",INDEX(HSCEI!$C$7:$C$66,$N485))</f>
        <v/>
      </c>
      <c r="D485" s="22">
        <f>IF($L485="","",INDEX(HSCEI!$D$7:$D$66,$N485))</f>
        <v/>
      </c>
      <c r="E485" s="123">
        <f>IF($L485="","",IF($P485=0,"TBA",IFERROR(INDEX(Grids!$C$160:$BO$219,$N485,$O485),"-")))</f>
        <v/>
      </c>
      <c r="F485" s="22">
        <f>IF($L485="","",INDEX(HSCEI!$F$7:$F$66,$N485))</f>
        <v/>
      </c>
      <c r="G485" s="123">
        <f>IF($L485="","",IF($P485=0,"TBA",IFERROR(INDEX(Grids!$BQ$160:$EC$219,$N485,$O485),"-")))</f>
        <v/>
      </c>
      <c r="H485" s="124">
        <f>IF($L485="","",SUM($G$442:$G485))</f>
        <v/>
      </c>
      <c r="I485" s="45">
        <f>IF($L485="","",IF(INT(($L485-INT($L485/10000000)*10000000)/1000000)=0,"Bloomberg projection",IF($P485=1,"ANNOUNCED","ANNOUNCED - amount TBA")))</f>
        <v/>
      </c>
      <c r="J485" s="46">
        <f>IF($L485="","",IF((OV_SWITCH="ON")*(COUNTIFS(OVR_TICKERS,INDEX(HSCEI!$C$7:$C$66,$N485),OVR_BASE,"&gt;=0")&gt;0)&gt;0,"stock overridden",""))</f>
        <v/>
      </c>
      <c r="L485" s="121">
        <f>IFERROR(IF(SMALL(Grids!$EE$160:$GQ$219,$M$439+44)&gt;=PEND_TO,"",SMALL(Grids!$EE$160:$GQ$219,$M$439+44)),"")</f>
        <v/>
      </c>
      <c r="M485" s="121">
        <f>IF($L485="","",INT($L485/1000000000))</f>
        <v/>
      </c>
      <c r="N485" s="121">
        <f>IF($L485="","",INT(($L485-INT($L485/1000000)*1000000)/1000))</f>
        <v/>
      </c>
      <c r="O485" s="121">
        <f>IF($L485="","",$L485-INT($L485/1000)*1000)</f>
        <v/>
      </c>
      <c r="P485" s="121">
        <f>IF($L485="","",INT(($L485-INT($L485/1000000000)*1000000000)/100000000))</f>
        <v/>
      </c>
    </row>
    <row r="486">
      <c r="B486" s="122">
        <f>IF($L486="","",$M486)</f>
        <v/>
      </c>
      <c r="C486" s="22">
        <f>IF($L486="","",INDEX(HSCEI!$C$7:$C$66,$N486))</f>
        <v/>
      </c>
      <c r="D486" s="22">
        <f>IF($L486="","",INDEX(HSCEI!$D$7:$D$66,$N486))</f>
        <v/>
      </c>
      <c r="E486" s="123">
        <f>IF($L486="","",IF($P486=0,"TBA",IFERROR(INDEX(Grids!$C$160:$BO$219,$N486,$O486),"-")))</f>
        <v/>
      </c>
      <c r="F486" s="22">
        <f>IF($L486="","",INDEX(HSCEI!$F$7:$F$66,$N486))</f>
        <v/>
      </c>
      <c r="G486" s="123">
        <f>IF($L486="","",IF($P486=0,"TBA",IFERROR(INDEX(Grids!$BQ$160:$EC$219,$N486,$O486),"-")))</f>
        <v/>
      </c>
      <c r="H486" s="124">
        <f>IF($L486="","",SUM($G$442:$G486))</f>
        <v/>
      </c>
      <c r="I486" s="45">
        <f>IF($L486="","",IF(INT(($L486-INT($L486/10000000)*10000000)/1000000)=0,"Bloomberg projection",IF($P486=1,"ANNOUNCED","ANNOUNCED - amount TBA")))</f>
        <v/>
      </c>
      <c r="J486" s="46">
        <f>IF($L486="","",IF((OV_SWITCH="ON")*(COUNTIFS(OVR_TICKERS,INDEX(HSCEI!$C$7:$C$66,$N486),OVR_BASE,"&gt;=0")&gt;0)&gt;0,"stock overridden",""))</f>
        <v/>
      </c>
      <c r="L486" s="121">
        <f>IFERROR(IF(SMALL(Grids!$EE$160:$GQ$219,$M$439+45)&gt;=PEND_TO,"",SMALL(Grids!$EE$160:$GQ$219,$M$439+45)),"")</f>
        <v/>
      </c>
      <c r="M486" s="121">
        <f>IF($L486="","",INT($L486/1000000000))</f>
        <v/>
      </c>
      <c r="N486" s="121">
        <f>IF($L486="","",INT(($L486-INT($L486/1000000)*1000000)/1000))</f>
        <v/>
      </c>
      <c r="O486" s="121">
        <f>IF($L486="","",$L486-INT($L486/1000)*1000)</f>
        <v/>
      </c>
      <c r="P486" s="121">
        <f>IF($L486="","",INT(($L486-INT($L486/1000000000)*1000000000)/100000000))</f>
        <v/>
      </c>
    </row>
    <row r="487">
      <c r="B487" s="122">
        <f>IF($L487="","",$M487)</f>
        <v/>
      </c>
      <c r="C487" s="22">
        <f>IF($L487="","",INDEX(HSCEI!$C$7:$C$66,$N487))</f>
        <v/>
      </c>
      <c r="D487" s="22">
        <f>IF($L487="","",INDEX(HSCEI!$D$7:$D$66,$N487))</f>
        <v/>
      </c>
      <c r="E487" s="123">
        <f>IF($L487="","",IF($P487=0,"TBA",IFERROR(INDEX(Grids!$C$160:$BO$219,$N487,$O487),"-")))</f>
        <v/>
      </c>
      <c r="F487" s="22">
        <f>IF($L487="","",INDEX(HSCEI!$F$7:$F$66,$N487))</f>
        <v/>
      </c>
      <c r="G487" s="123">
        <f>IF($L487="","",IF($P487=0,"TBA",IFERROR(INDEX(Grids!$BQ$160:$EC$219,$N487,$O487),"-")))</f>
        <v/>
      </c>
      <c r="H487" s="124">
        <f>IF($L487="","",SUM($G$442:$G487))</f>
        <v/>
      </c>
      <c r="I487" s="45">
        <f>IF($L487="","",IF(INT(($L487-INT($L487/10000000)*10000000)/1000000)=0,"Bloomberg projection",IF($P487=1,"ANNOUNCED","ANNOUNCED - amount TBA")))</f>
        <v/>
      </c>
      <c r="J487" s="46">
        <f>IF($L487="","",IF((OV_SWITCH="ON")*(COUNTIFS(OVR_TICKERS,INDEX(HSCEI!$C$7:$C$66,$N487),OVR_BASE,"&gt;=0")&gt;0)&gt;0,"stock overridden",""))</f>
        <v/>
      </c>
      <c r="L487" s="121">
        <f>IFERROR(IF(SMALL(Grids!$EE$160:$GQ$219,$M$439+46)&gt;=PEND_TO,"",SMALL(Grids!$EE$160:$GQ$219,$M$439+46)),"")</f>
        <v/>
      </c>
      <c r="M487" s="121">
        <f>IF($L487="","",INT($L487/1000000000))</f>
        <v/>
      </c>
      <c r="N487" s="121">
        <f>IF($L487="","",INT(($L487-INT($L487/1000000)*1000000)/1000))</f>
        <v/>
      </c>
      <c r="O487" s="121">
        <f>IF($L487="","",$L487-INT($L487/1000)*1000)</f>
        <v/>
      </c>
      <c r="P487" s="121">
        <f>IF($L487="","",INT(($L487-INT($L487/1000000000)*1000000000)/100000000))</f>
        <v/>
      </c>
    </row>
    <row r="488">
      <c r="B488" s="122">
        <f>IF($L488="","",$M488)</f>
        <v/>
      </c>
      <c r="C488" s="22">
        <f>IF($L488="","",INDEX(HSCEI!$C$7:$C$66,$N488))</f>
        <v/>
      </c>
      <c r="D488" s="22">
        <f>IF($L488="","",INDEX(HSCEI!$D$7:$D$66,$N488))</f>
        <v/>
      </c>
      <c r="E488" s="123">
        <f>IF($L488="","",IF($P488=0,"TBA",IFERROR(INDEX(Grids!$C$160:$BO$219,$N488,$O488),"-")))</f>
        <v/>
      </c>
      <c r="F488" s="22">
        <f>IF($L488="","",INDEX(HSCEI!$F$7:$F$66,$N488))</f>
        <v/>
      </c>
      <c r="G488" s="123">
        <f>IF($L488="","",IF($P488=0,"TBA",IFERROR(INDEX(Grids!$BQ$160:$EC$219,$N488,$O488),"-")))</f>
        <v/>
      </c>
      <c r="H488" s="124">
        <f>IF($L488="","",SUM($G$442:$G488))</f>
        <v/>
      </c>
      <c r="I488" s="45">
        <f>IF($L488="","",IF(INT(($L488-INT($L488/10000000)*10000000)/1000000)=0,"Bloomberg projection",IF($P488=1,"ANNOUNCED","ANNOUNCED - amount TBA")))</f>
        <v/>
      </c>
      <c r="J488" s="46">
        <f>IF($L488="","",IF((OV_SWITCH="ON")*(COUNTIFS(OVR_TICKERS,INDEX(HSCEI!$C$7:$C$66,$N488),OVR_BASE,"&gt;=0")&gt;0)&gt;0,"stock overridden",""))</f>
        <v/>
      </c>
      <c r="L488" s="121">
        <f>IFERROR(IF(SMALL(Grids!$EE$160:$GQ$219,$M$439+47)&gt;=PEND_TO,"",SMALL(Grids!$EE$160:$GQ$219,$M$439+47)),"")</f>
        <v/>
      </c>
      <c r="M488" s="121">
        <f>IF($L488="","",INT($L488/1000000000))</f>
        <v/>
      </c>
      <c r="N488" s="121">
        <f>IF($L488="","",INT(($L488-INT($L488/1000000)*1000000)/1000))</f>
        <v/>
      </c>
      <c r="O488" s="121">
        <f>IF($L488="","",$L488-INT($L488/1000)*1000)</f>
        <v/>
      </c>
      <c r="P488" s="121">
        <f>IF($L488="","",INT(($L488-INT($L488/1000000000)*1000000000)/100000000))</f>
        <v/>
      </c>
    </row>
    <row r="489">
      <c r="B489" s="122">
        <f>IF($L489="","",$M489)</f>
        <v/>
      </c>
      <c r="C489" s="22">
        <f>IF($L489="","",INDEX(HSCEI!$C$7:$C$66,$N489))</f>
        <v/>
      </c>
      <c r="D489" s="22">
        <f>IF($L489="","",INDEX(HSCEI!$D$7:$D$66,$N489))</f>
        <v/>
      </c>
      <c r="E489" s="123">
        <f>IF($L489="","",IF($P489=0,"TBA",IFERROR(INDEX(Grids!$C$160:$BO$219,$N489,$O489),"-")))</f>
        <v/>
      </c>
      <c r="F489" s="22">
        <f>IF($L489="","",INDEX(HSCEI!$F$7:$F$66,$N489))</f>
        <v/>
      </c>
      <c r="G489" s="123">
        <f>IF($L489="","",IF($P489=0,"TBA",IFERROR(INDEX(Grids!$BQ$160:$EC$219,$N489,$O489),"-")))</f>
        <v/>
      </c>
      <c r="H489" s="124">
        <f>IF($L489="","",SUM($G$442:$G489))</f>
        <v/>
      </c>
      <c r="I489" s="45">
        <f>IF($L489="","",IF(INT(($L489-INT($L489/10000000)*10000000)/1000000)=0,"Bloomberg projection",IF($P489=1,"ANNOUNCED","ANNOUNCED - amount TBA")))</f>
        <v/>
      </c>
      <c r="J489" s="46">
        <f>IF($L489="","",IF((OV_SWITCH="ON")*(COUNTIFS(OVR_TICKERS,INDEX(HSCEI!$C$7:$C$66,$N489),OVR_BASE,"&gt;=0")&gt;0)&gt;0,"stock overridden",""))</f>
        <v/>
      </c>
      <c r="L489" s="121">
        <f>IFERROR(IF(SMALL(Grids!$EE$160:$GQ$219,$M$439+48)&gt;=PEND_TO,"",SMALL(Grids!$EE$160:$GQ$219,$M$439+48)),"")</f>
        <v/>
      </c>
      <c r="M489" s="121">
        <f>IF($L489="","",INT($L489/1000000000))</f>
        <v/>
      </c>
      <c r="N489" s="121">
        <f>IF($L489="","",INT(($L489-INT($L489/1000000)*1000000)/1000))</f>
        <v/>
      </c>
      <c r="O489" s="121">
        <f>IF($L489="","",$L489-INT($L489/1000)*1000)</f>
        <v/>
      </c>
      <c r="P489" s="121">
        <f>IF($L489="","",INT(($L489-INT($L489/1000000000)*1000000000)/100000000))</f>
        <v/>
      </c>
    </row>
    <row r="490">
      <c r="B490" s="122">
        <f>IF($L490="","",$M490)</f>
        <v/>
      </c>
      <c r="C490" s="22">
        <f>IF($L490="","",INDEX(HSCEI!$C$7:$C$66,$N490))</f>
        <v/>
      </c>
      <c r="D490" s="22">
        <f>IF($L490="","",INDEX(HSCEI!$D$7:$D$66,$N490))</f>
        <v/>
      </c>
      <c r="E490" s="123">
        <f>IF($L490="","",IF($P490=0,"TBA",IFERROR(INDEX(Grids!$C$160:$BO$219,$N490,$O490),"-")))</f>
        <v/>
      </c>
      <c r="F490" s="22">
        <f>IF($L490="","",INDEX(HSCEI!$F$7:$F$66,$N490))</f>
        <v/>
      </c>
      <c r="G490" s="123">
        <f>IF($L490="","",IF($P490=0,"TBA",IFERROR(INDEX(Grids!$BQ$160:$EC$219,$N490,$O490),"-")))</f>
        <v/>
      </c>
      <c r="H490" s="124">
        <f>IF($L490="","",SUM($G$442:$G490))</f>
        <v/>
      </c>
      <c r="I490" s="45">
        <f>IF($L490="","",IF(INT(($L490-INT($L490/10000000)*10000000)/1000000)=0,"Bloomberg projection",IF($P490=1,"ANNOUNCED","ANNOUNCED - amount TBA")))</f>
        <v/>
      </c>
      <c r="J490" s="46">
        <f>IF($L490="","",IF((OV_SWITCH="ON")*(COUNTIFS(OVR_TICKERS,INDEX(HSCEI!$C$7:$C$66,$N490),OVR_BASE,"&gt;=0")&gt;0)&gt;0,"stock overridden",""))</f>
        <v/>
      </c>
      <c r="L490" s="121">
        <f>IFERROR(IF(SMALL(Grids!$EE$160:$GQ$219,$M$439+49)&gt;=PEND_TO,"",SMALL(Grids!$EE$160:$GQ$219,$M$439+49)),"")</f>
        <v/>
      </c>
      <c r="M490" s="121">
        <f>IF($L490="","",INT($L490/1000000000))</f>
        <v/>
      </c>
      <c r="N490" s="121">
        <f>IF($L490="","",INT(($L490-INT($L490/1000000)*1000000)/1000))</f>
        <v/>
      </c>
      <c r="O490" s="121">
        <f>IF($L490="","",$L490-INT($L490/1000)*1000)</f>
        <v/>
      </c>
      <c r="P490" s="121">
        <f>IF($L490="","",INT(($L490-INT($L490/1000000000)*1000000000)/100000000))</f>
        <v/>
      </c>
    </row>
    <row r="491">
      <c r="B491" s="122">
        <f>IF($L491="","",$M491)</f>
        <v/>
      </c>
      <c r="C491" s="22">
        <f>IF($L491="","",INDEX(HSCEI!$C$7:$C$66,$N491))</f>
        <v/>
      </c>
      <c r="D491" s="22">
        <f>IF($L491="","",INDEX(HSCEI!$D$7:$D$66,$N491))</f>
        <v/>
      </c>
      <c r="E491" s="123">
        <f>IF($L491="","",IF($P491=0,"TBA",IFERROR(INDEX(Grids!$C$160:$BO$219,$N491,$O491),"-")))</f>
        <v/>
      </c>
      <c r="F491" s="22">
        <f>IF($L491="","",INDEX(HSCEI!$F$7:$F$66,$N491))</f>
        <v/>
      </c>
      <c r="G491" s="123">
        <f>IF($L491="","",IF($P491=0,"TBA",IFERROR(INDEX(Grids!$BQ$160:$EC$219,$N491,$O491),"-")))</f>
        <v/>
      </c>
      <c r="H491" s="124">
        <f>IF($L491="","",SUM($G$442:$G491))</f>
        <v/>
      </c>
      <c r="I491" s="45">
        <f>IF($L491="","",IF(INT(($L491-INT($L491/10000000)*10000000)/1000000)=0,"Bloomberg projection",IF($P491=1,"ANNOUNCED","ANNOUNCED - amount TBA")))</f>
        <v/>
      </c>
      <c r="J491" s="46">
        <f>IF($L491="","",IF((OV_SWITCH="ON")*(COUNTIFS(OVR_TICKERS,INDEX(HSCEI!$C$7:$C$66,$N491),OVR_BASE,"&gt;=0")&gt;0)&gt;0,"stock overridden",""))</f>
        <v/>
      </c>
      <c r="L491" s="121">
        <f>IFERROR(IF(SMALL(Grids!$EE$160:$GQ$219,$M$439+50)&gt;=PEND_TO,"",SMALL(Grids!$EE$160:$GQ$219,$M$439+50)),"")</f>
        <v/>
      </c>
      <c r="M491" s="121">
        <f>IF($L491="","",INT($L491/1000000000))</f>
        <v/>
      </c>
      <c r="N491" s="121">
        <f>IF($L491="","",INT(($L491-INT($L491/1000000)*1000000)/1000))</f>
        <v/>
      </c>
      <c r="O491" s="121">
        <f>IF($L491="","",$L491-INT($L491/1000)*1000)</f>
        <v/>
      </c>
      <c r="P491" s="121">
        <f>IF($L491="","",INT(($L491-INT($L491/1000000000)*1000000000)/100000000))</f>
        <v/>
      </c>
    </row>
    <row r="492">
      <c r="B492" s="122">
        <f>IF($L492="","",$M492)</f>
        <v/>
      </c>
      <c r="C492" s="22">
        <f>IF($L492="","",INDEX(HSCEI!$C$7:$C$66,$N492))</f>
        <v/>
      </c>
      <c r="D492" s="22">
        <f>IF($L492="","",INDEX(HSCEI!$D$7:$D$66,$N492))</f>
        <v/>
      </c>
      <c r="E492" s="123">
        <f>IF($L492="","",IF($P492=0,"TBA",IFERROR(INDEX(Grids!$C$160:$BO$219,$N492,$O492),"-")))</f>
        <v/>
      </c>
      <c r="F492" s="22">
        <f>IF($L492="","",INDEX(HSCEI!$F$7:$F$66,$N492))</f>
        <v/>
      </c>
      <c r="G492" s="123">
        <f>IF($L492="","",IF($P492=0,"TBA",IFERROR(INDEX(Grids!$BQ$160:$EC$219,$N492,$O492),"-")))</f>
        <v/>
      </c>
      <c r="H492" s="124">
        <f>IF($L492="","",SUM($G$442:$G492))</f>
        <v/>
      </c>
      <c r="I492" s="45">
        <f>IF($L492="","",IF(INT(($L492-INT($L492/10000000)*10000000)/1000000)=0,"Bloomberg projection",IF($P492=1,"ANNOUNCED","ANNOUNCED - amount TBA")))</f>
        <v/>
      </c>
      <c r="J492" s="46">
        <f>IF($L492="","",IF((OV_SWITCH="ON")*(COUNTIFS(OVR_TICKERS,INDEX(HSCEI!$C$7:$C$66,$N492),OVR_BASE,"&gt;=0")&gt;0)&gt;0,"stock overridden",""))</f>
        <v/>
      </c>
      <c r="L492" s="121">
        <f>IFERROR(IF(SMALL(Grids!$EE$160:$GQ$219,$M$439+51)&gt;=PEND_TO,"",SMALL(Grids!$EE$160:$GQ$219,$M$439+51)),"")</f>
        <v/>
      </c>
      <c r="M492" s="121">
        <f>IF($L492="","",INT($L492/1000000000))</f>
        <v/>
      </c>
      <c r="N492" s="121">
        <f>IF($L492="","",INT(($L492-INT($L492/1000000)*1000000)/1000))</f>
        <v/>
      </c>
      <c r="O492" s="121">
        <f>IF($L492="","",$L492-INT($L492/1000)*1000)</f>
        <v/>
      </c>
      <c r="P492" s="121">
        <f>IF($L492="","",INT(($L492-INT($L492/1000000000)*1000000000)/100000000))</f>
        <v/>
      </c>
    </row>
    <row r="493">
      <c r="B493" s="122">
        <f>IF($L493="","",$M493)</f>
        <v/>
      </c>
      <c r="C493" s="22">
        <f>IF($L493="","",INDEX(HSCEI!$C$7:$C$66,$N493))</f>
        <v/>
      </c>
      <c r="D493" s="22">
        <f>IF($L493="","",INDEX(HSCEI!$D$7:$D$66,$N493))</f>
        <v/>
      </c>
      <c r="E493" s="123">
        <f>IF($L493="","",IF($P493=0,"TBA",IFERROR(INDEX(Grids!$C$160:$BO$219,$N493,$O493),"-")))</f>
        <v/>
      </c>
      <c r="F493" s="22">
        <f>IF($L493="","",INDEX(HSCEI!$F$7:$F$66,$N493))</f>
        <v/>
      </c>
      <c r="G493" s="123">
        <f>IF($L493="","",IF($P493=0,"TBA",IFERROR(INDEX(Grids!$BQ$160:$EC$219,$N493,$O493),"-")))</f>
        <v/>
      </c>
      <c r="H493" s="124">
        <f>IF($L493="","",SUM($G$442:$G493))</f>
        <v/>
      </c>
      <c r="I493" s="45">
        <f>IF($L493="","",IF(INT(($L493-INT($L493/10000000)*10000000)/1000000)=0,"Bloomberg projection",IF($P493=1,"ANNOUNCED","ANNOUNCED - amount TBA")))</f>
        <v/>
      </c>
      <c r="J493" s="46">
        <f>IF($L493="","",IF((OV_SWITCH="ON")*(COUNTIFS(OVR_TICKERS,INDEX(HSCEI!$C$7:$C$66,$N493),OVR_BASE,"&gt;=0")&gt;0)&gt;0,"stock overridden",""))</f>
        <v/>
      </c>
      <c r="L493" s="121">
        <f>IFERROR(IF(SMALL(Grids!$EE$160:$GQ$219,$M$439+52)&gt;=PEND_TO,"",SMALL(Grids!$EE$160:$GQ$219,$M$439+52)),"")</f>
        <v/>
      </c>
      <c r="M493" s="121">
        <f>IF($L493="","",INT($L493/1000000000))</f>
        <v/>
      </c>
      <c r="N493" s="121">
        <f>IF($L493="","",INT(($L493-INT($L493/1000000)*1000000)/1000))</f>
        <v/>
      </c>
      <c r="O493" s="121">
        <f>IF($L493="","",$L493-INT($L493/1000)*1000)</f>
        <v/>
      </c>
      <c r="P493" s="121">
        <f>IF($L493="","",INT(($L493-INT($L493/1000000000)*1000000000)/100000000))</f>
        <v/>
      </c>
    </row>
    <row r="494">
      <c r="B494" s="122">
        <f>IF($L494="","",$M494)</f>
        <v/>
      </c>
      <c r="C494" s="22">
        <f>IF($L494="","",INDEX(HSCEI!$C$7:$C$66,$N494))</f>
        <v/>
      </c>
      <c r="D494" s="22">
        <f>IF($L494="","",INDEX(HSCEI!$D$7:$D$66,$N494))</f>
        <v/>
      </c>
      <c r="E494" s="123">
        <f>IF($L494="","",IF($P494=0,"TBA",IFERROR(INDEX(Grids!$C$160:$BO$219,$N494,$O494),"-")))</f>
        <v/>
      </c>
      <c r="F494" s="22">
        <f>IF($L494="","",INDEX(HSCEI!$F$7:$F$66,$N494))</f>
        <v/>
      </c>
      <c r="G494" s="123">
        <f>IF($L494="","",IF($P494=0,"TBA",IFERROR(INDEX(Grids!$BQ$160:$EC$219,$N494,$O494),"-")))</f>
        <v/>
      </c>
      <c r="H494" s="124">
        <f>IF($L494="","",SUM($G$442:$G494))</f>
        <v/>
      </c>
      <c r="I494" s="45">
        <f>IF($L494="","",IF(INT(($L494-INT($L494/10000000)*10000000)/1000000)=0,"Bloomberg projection",IF($P494=1,"ANNOUNCED","ANNOUNCED - amount TBA")))</f>
        <v/>
      </c>
      <c r="J494" s="46">
        <f>IF($L494="","",IF((OV_SWITCH="ON")*(COUNTIFS(OVR_TICKERS,INDEX(HSCEI!$C$7:$C$66,$N494),OVR_BASE,"&gt;=0")&gt;0)&gt;0,"stock overridden",""))</f>
        <v/>
      </c>
      <c r="L494" s="121">
        <f>IFERROR(IF(SMALL(Grids!$EE$160:$GQ$219,$M$439+53)&gt;=PEND_TO,"",SMALL(Grids!$EE$160:$GQ$219,$M$439+53)),"")</f>
        <v/>
      </c>
      <c r="M494" s="121">
        <f>IF($L494="","",INT($L494/1000000000))</f>
        <v/>
      </c>
      <c r="N494" s="121">
        <f>IF($L494="","",INT(($L494-INT($L494/1000000)*1000000)/1000))</f>
        <v/>
      </c>
      <c r="O494" s="121">
        <f>IF($L494="","",$L494-INT($L494/1000)*1000)</f>
        <v/>
      </c>
      <c r="P494" s="121">
        <f>IF($L494="","",INT(($L494-INT($L494/1000000000)*1000000000)/100000000))</f>
        <v/>
      </c>
    </row>
    <row r="495">
      <c r="B495" s="122">
        <f>IF($L495="","",$M495)</f>
        <v/>
      </c>
      <c r="C495" s="22">
        <f>IF($L495="","",INDEX(HSCEI!$C$7:$C$66,$N495))</f>
        <v/>
      </c>
      <c r="D495" s="22">
        <f>IF($L495="","",INDEX(HSCEI!$D$7:$D$66,$N495))</f>
        <v/>
      </c>
      <c r="E495" s="123">
        <f>IF($L495="","",IF($P495=0,"TBA",IFERROR(INDEX(Grids!$C$160:$BO$219,$N495,$O495),"-")))</f>
        <v/>
      </c>
      <c r="F495" s="22">
        <f>IF($L495="","",INDEX(HSCEI!$F$7:$F$66,$N495))</f>
        <v/>
      </c>
      <c r="G495" s="123">
        <f>IF($L495="","",IF($P495=0,"TBA",IFERROR(INDEX(Grids!$BQ$160:$EC$219,$N495,$O495),"-")))</f>
        <v/>
      </c>
      <c r="H495" s="124">
        <f>IF($L495="","",SUM($G$442:$G495))</f>
        <v/>
      </c>
      <c r="I495" s="45">
        <f>IF($L495="","",IF(INT(($L495-INT($L495/10000000)*10000000)/1000000)=0,"Bloomberg projection",IF($P495=1,"ANNOUNCED","ANNOUNCED - amount TBA")))</f>
        <v/>
      </c>
      <c r="J495" s="46">
        <f>IF($L495="","",IF((OV_SWITCH="ON")*(COUNTIFS(OVR_TICKERS,INDEX(HSCEI!$C$7:$C$66,$N495),OVR_BASE,"&gt;=0")&gt;0)&gt;0,"stock overridden",""))</f>
        <v/>
      </c>
      <c r="L495" s="121">
        <f>IFERROR(IF(SMALL(Grids!$EE$160:$GQ$219,$M$439+54)&gt;=PEND_TO,"",SMALL(Grids!$EE$160:$GQ$219,$M$439+54)),"")</f>
        <v/>
      </c>
      <c r="M495" s="121">
        <f>IF($L495="","",INT($L495/1000000000))</f>
        <v/>
      </c>
      <c r="N495" s="121">
        <f>IF($L495="","",INT(($L495-INT($L495/1000000)*1000000)/1000))</f>
        <v/>
      </c>
      <c r="O495" s="121">
        <f>IF($L495="","",$L495-INT($L495/1000)*1000)</f>
        <v/>
      </c>
      <c r="P495" s="121">
        <f>IF($L495="","",INT(($L495-INT($L495/1000000000)*1000000000)/100000000))</f>
        <v/>
      </c>
    </row>
    <row r="496">
      <c r="B496" s="122">
        <f>IF($L496="","",$M496)</f>
        <v/>
      </c>
      <c r="C496" s="22">
        <f>IF($L496="","",INDEX(HSCEI!$C$7:$C$66,$N496))</f>
        <v/>
      </c>
      <c r="D496" s="22">
        <f>IF($L496="","",INDEX(HSCEI!$D$7:$D$66,$N496))</f>
        <v/>
      </c>
      <c r="E496" s="123">
        <f>IF($L496="","",IF($P496=0,"TBA",IFERROR(INDEX(Grids!$C$160:$BO$219,$N496,$O496),"-")))</f>
        <v/>
      </c>
      <c r="F496" s="22">
        <f>IF($L496="","",INDEX(HSCEI!$F$7:$F$66,$N496))</f>
        <v/>
      </c>
      <c r="G496" s="123">
        <f>IF($L496="","",IF($P496=0,"TBA",IFERROR(INDEX(Grids!$BQ$160:$EC$219,$N496,$O496),"-")))</f>
        <v/>
      </c>
      <c r="H496" s="124">
        <f>IF($L496="","",SUM($G$442:$G496))</f>
        <v/>
      </c>
      <c r="I496" s="45">
        <f>IF($L496="","",IF(INT(($L496-INT($L496/10000000)*10000000)/1000000)=0,"Bloomberg projection",IF($P496=1,"ANNOUNCED","ANNOUNCED - amount TBA")))</f>
        <v/>
      </c>
      <c r="J496" s="46">
        <f>IF($L496="","",IF((OV_SWITCH="ON")*(COUNTIFS(OVR_TICKERS,INDEX(HSCEI!$C$7:$C$66,$N496),OVR_BASE,"&gt;=0")&gt;0)&gt;0,"stock overridden",""))</f>
        <v/>
      </c>
      <c r="L496" s="121">
        <f>IFERROR(IF(SMALL(Grids!$EE$160:$GQ$219,$M$439+55)&gt;=PEND_TO,"",SMALL(Grids!$EE$160:$GQ$219,$M$439+55)),"")</f>
        <v/>
      </c>
      <c r="M496" s="121">
        <f>IF($L496="","",INT($L496/1000000000))</f>
        <v/>
      </c>
      <c r="N496" s="121">
        <f>IF($L496="","",INT(($L496-INT($L496/1000000)*1000000)/1000))</f>
        <v/>
      </c>
      <c r="O496" s="121">
        <f>IF($L496="","",$L496-INT($L496/1000)*1000)</f>
        <v/>
      </c>
      <c r="P496" s="121">
        <f>IF($L496="","",INT(($L496-INT($L496/1000000000)*1000000000)/100000000))</f>
        <v/>
      </c>
    </row>
    <row r="497">
      <c r="B497" s="122">
        <f>IF($L497="","",$M497)</f>
        <v/>
      </c>
      <c r="C497" s="22">
        <f>IF($L497="","",INDEX(HSCEI!$C$7:$C$66,$N497))</f>
        <v/>
      </c>
      <c r="D497" s="22">
        <f>IF($L497="","",INDEX(HSCEI!$D$7:$D$66,$N497))</f>
        <v/>
      </c>
      <c r="E497" s="123">
        <f>IF($L497="","",IF($P497=0,"TBA",IFERROR(INDEX(Grids!$C$160:$BO$219,$N497,$O497),"-")))</f>
        <v/>
      </c>
      <c r="F497" s="22">
        <f>IF($L497="","",INDEX(HSCEI!$F$7:$F$66,$N497))</f>
        <v/>
      </c>
      <c r="G497" s="123">
        <f>IF($L497="","",IF($P497=0,"TBA",IFERROR(INDEX(Grids!$BQ$160:$EC$219,$N497,$O497),"-")))</f>
        <v/>
      </c>
      <c r="H497" s="124">
        <f>IF($L497="","",SUM($G$442:$G497))</f>
        <v/>
      </c>
      <c r="I497" s="45">
        <f>IF($L497="","",IF(INT(($L497-INT($L497/10000000)*10000000)/1000000)=0,"Bloomberg projection",IF($P497=1,"ANNOUNCED","ANNOUNCED - amount TBA")))</f>
        <v/>
      </c>
      <c r="J497" s="46">
        <f>IF($L497="","",IF((OV_SWITCH="ON")*(COUNTIFS(OVR_TICKERS,INDEX(HSCEI!$C$7:$C$66,$N497),OVR_BASE,"&gt;=0")&gt;0)&gt;0,"stock overridden",""))</f>
        <v/>
      </c>
      <c r="L497" s="121">
        <f>IFERROR(IF(SMALL(Grids!$EE$160:$GQ$219,$M$439+56)&gt;=PEND_TO,"",SMALL(Grids!$EE$160:$GQ$219,$M$439+56)),"")</f>
        <v/>
      </c>
      <c r="M497" s="121">
        <f>IF($L497="","",INT($L497/1000000000))</f>
        <v/>
      </c>
      <c r="N497" s="121">
        <f>IF($L497="","",INT(($L497-INT($L497/1000000)*1000000)/1000))</f>
        <v/>
      </c>
      <c r="O497" s="121">
        <f>IF($L497="","",$L497-INT($L497/1000)*1000)</f>
        <v/>
      </c>
      <c r="P497" s="121">
        <f>IF($L497="","",INT(($L497-INT($L497/1000000000)*1000000000)/100000000))</f>
        <v/>
      </c>
    </row>
    <row r="498">
      <c r="B498" s="122">
        <f>IF($L498="","",$M498)</f>
        <v/>
      </c>
      <c r="C498" s="22">
        <f>IF($L498="","",INDEX(HSCEI!$C$7:$C$66,$N498))</f>
        <v/>
      </c>
      <c r="D498" s="22">
        <f>IF($L498="","",INDEX(HSCEI!$D$7:$D$66,$N498))</f>
        <v/>
      </c>
      <c r="E498" s="123">
        <f>IF($L498="","",IF($P498=0,"TBA",IFERROR(INDEX(Grids!$C$160:$BO$219,$N498,$O498),"-")))</f>
        <v/>
      </c>
      <c r="F498" s="22">
        <f>IF($L498="","",INDEX(HSCEI!$F$7:$F$66,$N498))</f>
        <v/>
      </c>
      <c r="G498" s="123">
        <f>IF($L498="","",IF($P498=0,"TBA",IFERROR(INDEX(Grids!$BQ$160:$EC$219,$N498,$O498),"-")))</f>
        <v/>
      </c>
      <c r="H498" s="124">
        <f>IF($L498="","",SUM($G$442:$G498))</f>
        <v/>
      </c>
      <c r="I498" s="45">
        <f>IF($L498="","",IF(INT(($L498-INT($L498/10000000)*10000000)/1000000)=0,"Bloomberg projection",IF($P498=1,"ANNOUNCED","ANNOUNCED - amount TBA")))</f>
        <v/>
      </c>
      <c r="J498" s="46">
        <f>IF($L498="","",IF((OV_SWITCH="ON")*(COUNTIFS(OVR_TICKERS,INDEX(HSCEI!$C$7:$C$66,$N498),OVR_BASE,"&gt;=0")&gt;0)&gt;0,"stock overridden",""))</f>
        <v/>
      </c>
      <c r="L498" s="121">
        <f>IFERROR(IF(SMALL(Grids!$EE$160:$GQ$219,$M$439+57)&gt;=PEND_TO,"",SMALL(Grids!$EE$160:$GQ$219,$M$439+57)),"")</f>
        <v/>
      </c>
      <c r="M498" s="121">
        <f>IF($L498="","",INT($L498/1000000000))</f>
        <v/>
      </c>
      <c r="N498" s="121">
        <f>IF($L498="","",INT(($L498-INT($L498/1000000)*1000000)/1000))</f>
        <v/>
      </c>
      <c r="O498" s="121">
        <f>IF($L498="","",$L498-INT($L498/1000)*1000)</f>
        <v/>
      </c>
      <c r="P498" s="121">
        <f>IF($L498="","",INT(($L498-INT($L498/1000000000)*1000000000)/100000000))</f>
        <v/>
      </c>
    </row>
    <row r="499">
      <c r="B499" s="122">
        <f>IF($L499="","",$M499)</f>
        <v/>
      </c>
      <c r="C499" s="22">
        <f>IF($L499="","",INDEX(HSCEI!$C$7:$C$66,$N499))</f>
        <v/>
      </c>
      <c r="D499" s="22">
        <f>IF($L499="","",INDEX(HSCEI!$D$7:$D$66,$N499))</f>
        <v/>
      </c>
      <c r="E499" s="123">
        <f>IF($L499="","",IF($P499=0,"TBA",IFERROR(INDEX(Grids!$C$160:$BO$219,$N499,$O499),"-")))</f>
        <v/>
      </c>
      <c r="F499" s="22">
        <f>IF($L499="","",INDEX(HSCEI!$F$7:$F$66,$N499))</f>
        <v/>
      </c>
      <c r="G499" s="123">
        <f>IF($L499="","",IF($P499=0,"TBA",IFERROR(INDEX(Grids!$BQ$160:$EC$219,$N499,$O499),"-")))</f>
        <v/>
      </c>
      <c r="H499" s="124">
        <f>IF($L499="","",SUM($G$442:$G499))</f>
        <v/>
      </c>
      <c r="I499" s="45">
        <f>IF($L499="","",IF(INT(($L499-INT($L499/10000000)*10000000)/1000000)=0,"Bloomberg projection",IF($P499=1,"ANNOUNCED","ANNOUNCED - amount TBA")))</f>
        <v/>
      </c>
      <c r="J499" s="46">
        <f>IF($L499="","",IF((OV_SWITCH="ON")*(COUNTIFS(OVR_TICKERS,INDEX(HSCEI!$C$7:$C$66,$N499),OVR_BASE,"&gt;=0")&gt;0)&gt;0,"stock overridden",""))</f>
        <v/>
      </c>
      <c r="L499" s="121">
        <f>IFERROR(IF(SMALL(Grids!$EE$160:$GQ$219,$M$439+58)&gt;=PEND_TO,"",SMALL(Grids!$EE$160:$GQ$219,$M$439+58)),"")</f>
        <v/>
      </c>
      <c r="M499" s="121">
        <f>IF($L499="","",INT($L499/1000000000))</f>
        <v/>
      </c>
      <c r="N499" s="121">
        <f>IF($L499="","",INT(($L499-INT($L499/1000000)*1000000)/1000))</f>
        <v/>
      </c>
      <c r="O499" s="121">
        <f>IF($L499="","",$L499-INT($L499/1000)*1000)</f>
        <v/>
      </c>
      <c r="P499" s="121">
        <f>IF($L499="","",INT(($L499-INT($L499/1000000000)*1000000000)/100000000))</f>
        <v/>
      </c>
    </row>
    <row r="500">
      <c r="B500" s="122">
        <f>IF($L500="","",$M500)</f>
        <v/>
      </c>
      <c r="C500" s="22">
        <f>IF($L500="","",INDEX(HSCEI!$C$7:$C$66,$N500))</f>
        <v/>
      </c>
      <c r="D500" s="22">
        <f>IF($L500="","",INDEX(HSCEI!$D$7:$D$66,$N500))</f>
        <v/>
      </c>
      <c r="E500" s="123">
        <f>IF($L500="","",IF($P500=0,"TBA",IFERROR(INDEX(Grids!$C$160:$BO$219,$N500,$O500),"-")))</f>
        <v/>
      </c>
      <c r="F500" s="22">
        <f>IF($L500="","",INDEX(HSCEI!$F$7:$F$66,$N500))</f>
        <v/>
      </c>
      <c r="G500" s="123">
        <f>IF($L500="","",IF($P500=0,"TBA",IFERROR(INDEX(Grids!$BQ$160:$EC$219,$N500,$O500),"-")))</f>
        <v/>
      </c>
      <c r="H500" s="124">
        <f>IF($L500="","",SUM($G$442:$G500))</f>
        <v/>
      </c>
      <c r="I500" s="45">
        <f>IF($L500="","",IF(INT(($L500-INT($L500/10000000)*10000000)/1000000)=0,"Bloomberg projection",IF($P500=1,"ANNOUNCED","ANNOUNCED - amount TBA")))</f>
        <v/>
      </c>
      <c r="J500" s="46">
        <f>IF($L500="","",IF((OV_SWITCH="ON")*(COUNTIFS(OVR_TICKERS,INDEX(HSCEI!$C$7:$C$66,$N500),OVR_BASE,"&gt;=0")&gt;0)&gt;0,"stock overridden",""))</f>
        <v/>
      </c>
      <c r="L500" s="121">
        <f>IFERROR(IF(SMALL(Grids!$EE$160:$GQ$219,$M$439+59)&gt;=PEND_TO,"",SMALL(Grids!$EE$160:$GQ$219,$M$439+59)),"")</f>
        <v/>
      </c>
      <c r="M500" s="121">
        <f>IF($L500="","",INT($L500/1000000000))</f>
        <v/>
      </c>
      <c r="N500" s="121">
        <f>IF($L500="","",INT(($L500-INT($L500/1000000)*1000000)/1000))</f>
        <v/>
      </c>
      <c r="O500" s="121">
        <f>IF($L500="","",$L500-INT($L500/1000)*1000)</f>
        <v/>
      </c>
      <c r="P500" s="121">
        <f>IF($L500="","",INT(($L500-INT($L500/1000000000)*1000000000)/100000000))</f>
        <v/>
      </c>
    </row>
    <row r="501">
      <c r="B501" s="122">
        <f>IF($L501="","",$M501)</f>
        <v/>
      </c>
      <c r="C501" s="22">
        <f>IF($L501="","",INDEX(HSCEI!$C$7:$C$66,$N501))</f>
        <v/>
      </c>
      <c r="D501" s="22">
        <f>IF($L501="","",INDEX(HSCEI!$D$7:$D$66,$N501))</f>
        <v/>
      </c>
      <c r="E501" s="123">
        <f>IF($L501="","",IF($P501=0,"TBA",IFERROR(INDEX(Grids!$C$160:$BO$219,$N501,$O501),"-")))</f>
        <v/>
      </c>
      <c r="F501" s="22">
        <f>IF($L501="","",INDEX(HSCEI!$F$7:$F$66,$N501))</f>
        <v/>
      </c>
      <c r="G501" s="123">
        <f>IF($L501="","",IF($P501=0,"TBA",IFERROR(INDEX(Grids!$BQ$160:$EC$219,$N501,$O501),"-")))</f>
        <v/>
      </c>
      <c r="H501" s="124">
        <f>IF($L501="","",SUM($G$442:$G501))</f>
        <v/>
      </c>
      <c r="I501" s="45">
        <f>IF($L501="","",IF(INT(($L501-INT($L501/10000000)*10000000)/1000000)=0,"Bloomberg projection",IF($P501=1,"ANNOUNCED","ANNOUNCED - amount TBA")))</f>
        <v/>
      </c>
      <c r="J501" s="46">
        <f>IF($L501="","",IF((OV_SWITCH="ON")*(COUNTIFS(OVR_TICKERS,INDEX(HSCEI!$C$7:$C$66,$N501),OVR_BASE,"&gt;=0")&gt;0)&gt;0,"stock overridden",""))</f>
        <v/>
      </c>
      <c r="L501" s="121">
        <f>IFERROR(IF(SMALL(Grids!$EE$160:$GQ$219,$M$439+60)&gt;=PEND_TO,"",SMALL(Grids!$EE$160:$GQ$219,$M$439+60)),"")</f>
        <v/>
      </c>
      <c r="M501" s="121">
        <f>IF($L501="","",INT($L501/1000000000))</f>
        <v/>
      </c>
      <c r="N501" s="121">
        <f>IF($L501="","",INT(($L501-INT($L501/1000000)*1000000)/1000))</f>
        <v/>
      </c>
      <c r="O501" s="121">
        <f>IF($L501="","",$L501-INT($L501/1000)*1000)</f>
        <v/>
      </c>
      <c r="P501" s="121">
        <f>IF($L501="","",INT(($L501-INT($L501/1000000000)*1000000000)/100000000))</f>
        <v/>
      </c>
    </row>
    <row r="502">
      <c r="B502" s="122">
        <f>IF($L502="","",$M502)</f>
        <v/>
      </c>
      <c r="C502" s="22">
        <f>IF($L502="","",INDEX(HSCEI!$C$7:$C$66,$N502))</f>
        <v/>
      </c>
      <c r="D502" s="22">
        <f>IF($L502="","",INDEX(HSCEI!$D$7:$D$66,$N502))</f>
        <v/>
      </c>
      <c r="E502" s="123">
        <f>IF($L502="","",IF($P502=0,"TBA",IFERROR(INDEX(Grids!$C$160:$BO$219,$N502,$O502),"-")))</f>
        <v/>
      </c>
      <c r="F502" s="22">
        <f>IF($L502="","",INDEX(HSCEI!$F$7:$F$66,$N502))</f>
        <v/>
      </c>
      <c r="G502" s="123">
        <f>IF($L502="","",IF($P502=0,"TBA",IFERROR(INDEX(Grids!$BQ$160:$EC$219,$N502,$O502),"-")))</f>
        <v/>
      </c>
      <c r="H502" s="124">
        <f>IF($L502="","",SUM($G$442:$G502))</f>
        <v/>
      </c>
      <c r="I502" s="45">
        <f>IF($L502="","",IF(INT(($L502-INT($L502/10000000)*10000000)/1000000)=0,"Bloomberg projection",IF($P502=1,"ANNOUNCED","ANNOUNCED - amount TBA")))</f>
        <v/>
      </c>
      <c r="J502" s="46">
        <f>IF($L502="","",IF((OV_SWITCH="ON")*(COUNTIFS(OVR_TICKERS,INDEX(HSCEI!$C$7:$C$66,$N502),OVR_BASE,"&gt;=0")&gt;0)&gt;0,"stock overridden",""))</f>
        <v/>
      </c>
      <c r="L502" s="121">
        <f>IFERROR(IF(SMALL(Grids!$EE$160:$GQ$219,$M$439+61)&gt;=PEND_TO,"",SMALL(Grids!$EE$160:$GQ$219,$M$439+61)),"")</f>
        <v/>
      </c>
      <c r="M502" s="121">
        <f>IF($L502="","",INT($L502/1000000000))</f>
        <v/>
      </c>
      <c r="N502" s="121">
        <f>IF($L502="","",INT(($L502-INT($L502/1000000)*1000000)/1000))</f>
        <v/>
      </c>
      <c r="O502" s="121">
        <f>IF($L502="","",$L502-INT($L502/1000)*1000)</f>
        <v/>
      </c>
      <c r="P502" s="121">
        <f>IF($L502="","",INT(($L502-INT($L502/1000000000)*1000000000)/100000000))</f>
        <v/>
      </c>
    </row>
    <row r="503">
      <c r="B503" s="122">
        <f>IF($L503="","",$M503)</f>
        <v/>
      </c>
      <c r="C503" s="22">
        <f>IF($L503="","",INDEX(HSCEI!$C$7:$C$66,$N503))</f>
        <v/>
      </c>
      <c r="D503" s="22">
        <f>IF($L503="","",INDEX(HSCEI!$D$7:$D$66,$N503))</f>
        <v/>
      </c>
      <c r="E503" s="123">
        <f>IF($L503="","",IF($P503=0,"TBA",IFERROR(INDEX(Grids!$C$160:$BO$219,$N503,$O503),"-")))</f>
        <v/>
      </c>
      <c r="F503" s="22">
        <f>IF($L503="","",INDEX(HSCEI!$F$7:$F$66,$N503))</f>
        <v/>
      </c>
      <c r="G503" s="123">
        <f>IF($L503="","",IF($P503=0,"TBA",IFERROR(INDEX(Grids!$BQ$160:$EC$219,$N503,$O503),"-")))</f>
        <v/>
      </c>
      <c r="H503" s="124">
        <f>IF($L503="","",SUM($G$442:$G503))</f>
        <v/>
      </c>
      <c r="I503" s="45">
        <f>IF($L503="","",IF(INT(($L503-INT($L503/10000000)*10000000)/1000000)=0,"Bloomberg projection",IF($P503=1,"ANNOUNCED","ANNOUNCED - amount TBA")))</f>
        <v/>
      </c>
      <c r="J503" s="46">
        <f>IF($L503="","",IF((OV_SWITCH="ON")*(COUNTIFS(OVR_TICKERS,INDEX(HSCEI!$C$7:$C$66,$N503),OVR_BASE,"&gt;=0")&gt;0)&gt;0,"stock overridden",""))</f>
        <v/>
      </c>
      <c r="L503" s="121">
        <f>IFERROR(IF(SMALL(Grids!$EE$160:$GQ$219,$M$439+62)&gt;=PEND_TO,"",SMALL(Grids!$EE$160:$GQ$219,$M$439+62)),"")</f>
        <v/>
      </c>
      <c r="M503" s="121">
        <f>IF($L503="","",INT($L503/1000000000))</f>
        <v/>
      </c>
      <c r="N503" s="121">
        <f>IF($L503="","",INT(($L503-INT($L503/1000000)*1000000)/1000))</f>
        <v/>
      </c>
      <c r="O503" s="121">
        <f>IF($L503="","",$L503-INT($L503/1000)*1000)</f>
        <v/>
      </c>
      <c r="P503" s="121">
        <f>IF($L503="","",INT(($L503-INT($L503/1000000000)*1000000000)/100000000))</f>
        <v/>
      </c>
    </row>
    <row r="504">
      <c r="B504" s="122">
        <f>IF($L504="","",$M504)</f>
        <v/>
      </c>
      <c r="C504" s="22">
        <f>IF($L504="","",INDEX(HSCEI!$C$7:$C$66,$N504))</f>
        <v/>
      </c>
      <c r="D504" s="22">
        <f>IF($L504="","",INDEX(HSCEI!$D$7:$D$66,$N504))</f>
        <v/>
      </c>
      <c r="E504" s="123">
        <f>IF($L504="","",IF($P504=0,"TBA",IFERROR(INDEX(Grids!$C$160:$BO$219,$N504,$O504),"-")))</f>
        <v/>
      </c>
      <c r="F504" s="22">
        <f>IF($L504="","",INDEX(HSCEI!$F$7:$F$66,$N504))</f>
        <v/>
      </c>
      <c r="G504" s="123">
        <f>IF($L504="","",IF($P504=0,"TBA",IFERROR(INDEX(Grids!$BQ$160:$EC$219,$N504,$O504),"-")))</f>
        <v/>
      </c>
      <c r="H504" s="124">
        <f>IF($L504="","",SUM($G$442:$G504))</f>
        <v/>
      </c>
      <c r="I504" s="45">
        <f>IF($L504="","",IF(INT(($L504-INT($L504/10000000)*10000000)/1000000)=0,"Bloomberg projection",IF($P504=1,"ANNOUNCED","ANNOUNCED - amount TBA")))</f>
        <v/>
      </c>
      <c r="J504" s="46">
        <f>IF($L504="","",IF((OV_SWITCH="ON")*(COUNTIFS(OVR_TICKERS,INDEX(HSCEI!$C$7:$C$66,$N504),OVR_BASE,"&gt;=0")&gt;0)&gt;0,"stock overridden",""))</f>
        <v/>
      </c>
      <c r="L504" s="121">
        <f>IFERROR(IF(SMALL(Grids!$EE$160:$GQ$219,$M$439+63)&gt;=PEND_TO,"",SMALL(Grids!$EE$160:$GQ$219,$M$439+63)),"")</f>
        <v/>
      </c>
      <c r="M504" s="121">
        <f>IF($L504="","",INT($L504/1000000000))</f>
        <v/>
      </c>
      <c r="N504" s="121">
        <f>IF($L504="","",INT(($L504-INT($L504/1000000)*1000000)/1000))</f>
        <v/>
      </c>
      <c r="O504" s="121">
        <f>IF($L504="","",$L504-INT($L504/1000)*1000)</f>
        <v/>
      </c>
      <c r="P504" s="121">
        <f>IF($L504="","",INT(($L504-INT($L504/1000000000)*1000000000)/100000000))</f>
        <v/>
      </c>
    </row>
    <row r="505">
      <c r="B505" s="122">
        <f>IF($L505="","",$M505)</f>
        <v/>
      </c>
      <c r="C505" s="22">
        <f>IF($L505="","",INDEX(HSCEI!$C$7:$C$66,$N505))</f>
        <v/>
      </c>
      <c r="D505" s="22">
        <f>IF($L505="","",INDEX(HSCEI!$D$7:$D$66,$N505))</f>
        <v/>
      </c>
      <c r="E505" s="123">
        <f>IF($L505="","",IF($P505=0,"TBA",IFERROR(INDEX(Grids!$C$160:$BO$219,$N505,$O505),"-")))</f>
        <v/>
      </c>
      <c r="F505" s="22">
        <f>IF($L505="","",INDEX(HSCEI!$F$7:$F$66,$N505))</f>
        <v/>
      </c>
      <c r="G505" s="123">
        <f>IF($L505="","",IF($P505=0,"TBA",IFERROR(INDEX(Grids!$BQ$160:$EC$219,$N505,$O505),"-")))</f>
        <v/>
      </c>
      <c r="H505" s="124">
        <f>IF($L505="","",SUM($G$442:$G505))</f>
        <v/>
      </c>
      <c r="I505" s="45">
        <f>IF($L505="","",IF(INT(($L505-INT($L505/10000000)*10000000)/1000000)=0,"Bloomberg projection",IF($P505=1,"ANNOUNCED","ANNOUNCED - amount TBA")))</f>
        <v/>
      </c>
      <c r="J505" s="46">
        <f>IF($L505="","",IF((OV_SWITCH="ON")*(COUNTIFS(OVR_TICKERS,INDEX(HSCEI!$C$7:$C$66,$N505),OVR_BASE,"&gt;=0")&gt;0)&gt;0,"stock overridden",""))</f>
        <v/>
      </c>
      <c r="L505" s="121">
        <f>IFERROR(IF(SMALL(Grids!$EE$160:$GQ$219,$M$439+64)&gt;=PEND_TO,"",SMALL(Grids!$EE$160:$GQ$219,$M$439+64)),"")</f>
        <v/>
      </c>
      <c r="M505" s="121">
        <f>IF($L505="","",INT($L505/1000000000))</f>
        <v/>
      </c>
      <c r="N505" s="121">
        <f>IF($L505="","",INT(($L505-INT($L505/1000000)*1000000)/1000))</f>
        <v/>
      </c>
      <c r="O505" s="121">
        <f>IF($L505="","",$L505-INT($L505/1000)*1000)</f>
        <v/>
      </c>
      <c r="P505" s="121">
        <f>IF($L505="","",INT(($L505-INT($L505/1000000000)*1000000000)/100000000))</f>
        <v/>
      </c>
    </row>
    <row r="506">
      <c r="B506" s="122">
        <f>IF($L506="","",$M506)</f>
        <v/>
      </c>
      <c r="C506" s="22">
        <f>IF($L506="","",INDEX(HSCEI!$C$7:$C$66,$N506))</f>
        <v/>
      </c>
      <c r="D506" s="22">
        <f>IF($L506="","",INDEX(HSCEI!$D$7:$D$66,$N506))</f>
        <v/>
      </c>
      <c r="E506" s="123">
        <f>IF($L506="","",IF($P506=0,"TBA",IFERROR(INDEX(Grids!$C$160:$BO$219,$N506,$O506),"-")))</f>
        <v/>
      </c>
      <c r="F506" s="22">
        <f>IF($L506="","",INDEX(HSCEI!$F$7:$F$66,$N506))</f>
        <v/>
      </c>
      <c r="G506" s="123">
        <f>IF($L506="","",IF($P506=0,"TBA",IFERROR(INDEX(Grids!$BQ$160:$EC$219,$N506,$O506),"-")))</f>
        <v/>
      </c>
      <c r="H506" s="124">
        <f>IF($L506="","",SUM($G$442:$G506))</f>
        <v/>
      </c>
      <c r="I506" s="45">
        <f>IF($L506="","",IF(INT(($L506-INT($L506/10000000)*10000000)/1000000)=0,"Bloomberg projection",IF($P506=1,"ANNOUNCED","ANNOUNCED - amount TBA")))</f>
        <v/>
      </c>
      <c r="J506" s="46">
        <f>IF($L506="","",IF((OV_SWITCH="ON")*(COUNTIFS(OVR_TICKERS,INDEX(HSCEI!$C$7:$C$66,$N506),OVR_BASE,"&gt;=0")&gt;0)&gt;0,"stock overridden",""))</f>
        <v/>
      </c>
      <c r="L506" s="121">
        <f>IFERROR(IF(SMALL(Grids!$EE$160:$GQ$219,$M$439+65)&gt;=PEND_TO,"",SMALL(Grids!$EE$160:$GQ$219,$M$439+65)),"")</f>
        <v/>
      </c>
      <c r="M506" s="121">
        <f>IF($L506="","",INT($L506/1000000000))</f>
        <v/>
      </c>
      <c r="N506" s="121">
        <f>IF($L506="","",INT(($L506-INT($L506/1000000)*1000000)/1000))</f>
        <v/>
      </c>
      <c r="O506" s="121">
        <f>IF($L506="","",$L506-INT($L506/1000)*1000)</f>
        <v/>
      </c>
      <c r="P506" s="121">
        <f>IF($L506="","",INT(($L506-INT($L506/1000000000)*1000000000)/100000000))</f>
        <v/>
      </c>
    </row>
    <row r="507">
      <c r="B507" s="122">
        <f>IF($L507="","",$M507)</f>
        <v/>
      </c>
      <c r="C507" s="22">
        <f>IF($L507="","",INDEX(HSCEI!$C$7:$C$66,$N507))</f>
        <v/>
      </c>
      <c r="D507" s="22">
        <f>IF($L507="","",INDEX(HSCEI!$D$7:$D$66,$N507))</f>
        <v/>
      </c>
      <c r="E507" s="123">
        <f>IF($L507="","",IF($P507=0,"TBA",IFERROR(INDEX(Grids!$C$160:$BO$219,$N507,$O507),"-")))</f>
        <v/>
      </c>
      <c r="F507" s="22">
        <f>IF($L507="","",INDEX(HSCEI!$F$7:$F$66,$N507))</f>
        <v/>
      </c>
      <c r="G507" s="123">
        <f>IF($L507="","",IF($P507=0,"TBA",IFERROR(INDEX(Grids!$BQ$160:$EC$219,$N507,$O507),"-")))</f>
        <v/>
      </c>
      <c r="H507" s="124">
        <f>IF($L507="","",SUM($G$442:$G507))</f>
        <v/>
      </c>
      <c r="I507" s="45">
        <f>IF($L507="","",IF(INT(($L507-INT($L507/10000000)*10000000)/1000000)=0,"Bloomberg projection",IF($P507=1,"ANNOUNCED","ANNOUNCED - amount TBA")))</f>
        <v/>
      </c>
      <c r="J507" s="46">
        <f>IF($L507="","",IF((OV_SWITCH="ON")*(COUNTIFS(OVR_TICKERS,INDEX(HSCEI!$C$7:$C$66,$N507),OVR_BASE,"&gt;=0")&gt;0)&gt;0,"stock overridden",""))</f>
        <v/>
      </c>
      <c r="L507" s="121">
        <f>IFERROR(IF(SMALL(Grids!$EE$160:$GQ$219,$M$439+66)&gt;=PEND_TO,"",SMALL(Grids!$EE$160:$GQ$219,$M$439+66)),"")</f>
        <v/>
      </c>
      <c r="M507" s="121">
        <f>IF($L507="","",INT($L507/1000000000))</f>
        <v/>
      </c>
      <c r="N507" s="121">
        <f>IF($L507="","",INT(($L507-INT($L507/1000000)*1000000)/1000))</f>
        <v/>
      </c>
      <c r="O507" s="121">
        <f>IF($L507="","",$L507-INT($L507/1000)*1000)</f>
        <v/>
      </c>
      <c r="P507" s="121">
        <f>IF($L507="","",INT(($L507-INT($L507/1000000000)*1000000000)/100000000))</f>
        <v/>
      </c>
    </row>
    <row r="508">
      <c r="B508" s="122">
        <f>IF($L508="","",$M508)</f>
        <v/>
      </c>
      <c r="C508" s="22">
        <f>IF($L508="","",INDEX(HSCEI!$C$7:$C$66,$N508))</f>
        <v/>
      </c>
      <c r="D508" s="22">
        <f>IF($L508="","",INDEX(HSCEI!$D$7:$D$66,$N508))</f>
        <v/>
      </c>
      <c r="E508" s="123">
        <f>IF($L508="","",IF($P508=0,"TBA",IFERROR(INDEX(Grids!$C$160:$BO$219,$N508,$O508),"-")))</f>
        <v/>
      </c>
      <c r="F508" s="22">
        <f>IF($L508="","",INDEX(HSCEI!$F$7:$F$66,$N508))</f>
        <v/>
      </c>
      <c r="G508" s="123">
        <f>IF($L508="","",IF($P508=0,"TBA",IFERROR(INDEX(Grids!$BQ$160:$EC$219,$N508,$O508),"-")))</f>
        <v/>
      </c>
      <c r="H508" s="124">
        <f>IF($L508="","",SUM($G$442:$G508))</f>
        <v/>
      </c>
      <c r="I508" s="45">
        <f>IF($L508="","",IF(INT(($L508-INT($L508/10000000)*10000000)/1000000)=0,"Bloomberg projection",IF($P508=1,"ANNOUNCED","ANNOUNCED - amount TBA")))</f>
        <v/>
      </c>
      <c r="J508" s="46">
        <f>IF($L508="","",IF((OV_SWITCH="ON")*(COUNTIFS(OVR_TICKERS,INDEX(HSCEI!$C$7:$C$66,$N508),OVR_BASE,"&gt;=0")&gt;0)&gt;0,"stock overridden",""))</f>
        <v/>
      </c>
      <c r="L508" s="121">
        <f>IFERROR(IF(SMALL(Grids!$EE$160:$GQ$219,$M$439+67)&gt;=PEND_TO,"",SMALL(Grids!$EE$160:$GQ$219,$M$439+67)),"")</f>
        <v/>
      </c>
      <c r="M508" s="121">
        <f>IF($L508="","",INT($L508/1000000000))</f>
        <v/>
      </c>
      <c r="N508" s="121">
        <f>IF($L508="","",INT(($L508-INT($L508/1000000)*1000000)/1000))</f>
        <v/>
      </c>
      <c r="O508" s="121">
        <f>IF($L508="","",$L508-INT($L508/1000)*1000)</f>
        <v/>
      </c>
      <c r="P508" s="121">
        <f>IF($L508="","",INT(($L508-INT($L508/1000000000)*1000000000)/100000000))</f>
        <v/>
      </c>
    </row>
    <row r="509">
      <c r="B509" s="122">
        <f>IF($L509="","",$M509)</f>
        <v/>
      </c>
      <c r="C509" s="22">
        <f>IF($L509="","",INDEX(HSCEI!$C$7:$C$66,$N509))</f>
        <v/>
      </c>
      <c r="D509" s="22">
        <f>IF($L509="","",INDEX(HSCEI!$D$7:$D$66,$N509))</f>
        <v/>
      </c>
      <c r="E509" s="123">
        <f>IF($L509="","",IF($P509=0,"TBA",IFERROR(INDEX(Grids!$C$160:$BO$219,$N509,$O509),"-")))</f>
        <v/>
      </c>
      <c r="F509" s="22">
        <f>IF($L509="","",INDEX(HSCEI!$F$7:$F$66,$N509))</f>
        <v/>
      </c>
      <c r="G509" s="123">
        <f>IF($L509="","",IF($P509=0,"TBA",IFERROR(INDEX(Grids!$BQ$160:$EC$219,$N509,$O509),"-")))</f>
        <v/>
      </c>
      <c r="H509" s="124">
        <f>IF($L509="","",SUM($G$442:$G509))</f>
        <v/>
      </c>
      <c r="I509" s="45">
        <f>IF($L509="","",IF(INT(($L509-INT($L509/10000000)*10000000)/1000000)=0,"Bloomberg projection",IF($P509=1,"ANNOUNCED","ANNOUNCED - amount TBA")))</f>
        <v/>
      </c>
      <c r="J509" s="46">
        <f>IF($L509="","",IF((OV_SWITCH="ON")*(COUNTIFS(OVR_TICKERS,INDEX(HSCEI!$C$7:$C$66,$N509),OVR_BASE,"&gt;=0")&gt;0)&gt;0,"stock overridden",""))</f>
        <v/>
      </c>
      <c r="L509" s="121">
        <f>IFERROR(IF(SMALL(Grids!$EE$160:$GQ$219,$M$439+68)&gt;=PEND_TO,"",SMALL(Grids!$EE$160:$GQ$219,$M$439+68)),"")</f>
        <v/>
      </c>
      <c r="M509" s="121">
        <f>IF($L509="","",INT($L509/1000000000))</f>
        <v/>
      </c>
      <c r="N509" s="121">
        <f>IF($L509="","",INT(($L509-INT($L509/1000000)*1000000)/1000))</f>
        <v/>
      </c>
      <c r="O509" s="121">
        <f>IF($L509="","",$L509-INT($L509/1000)*1000)</f>
        <v/>
      </c>
      <c r="P509" s="121">
        <f>IF($L509="","",INT(($L509-INT($L509/1000000000)*1000000000)/100000000))</f>
        <v/>
      </c>
    </row>
    <row r="510">
      <c r="B510" s="122">
        <f>IF($L510="","",$M510)</f>
        <v/>
      </c>
      <c r="C510" s="22">
        <f>IF($L510="","",INDEX(HSCEI!$C$7:$C$66,$N510))</f>
        <v/>
      </c>
      <c r="D510" s="22">
        <f>IF($L510="","",INDEX(HSCEI!$D$7:$D$66,$N510))</f>
        <v/>
      </c>
      <c r="E510" s="123">
        <f>IF($L510="","",IF($P510=0,"TBA",IFERROR(INDEX(Grids!$C$160:$BO$219,$N510,$O510),"-")))</f>
        <v/>
      </c>
      <c r="F510" s="22">
        <f>IF($L510="","",INDEX(HSCEI!$F$7:$F$66,$N510))</f>
        <v/>
      </c>
      <c r="G510" s="123">
        <f>IF($L510="","",IF($P510=0,"TBA",IFERROR(INDEX(Grids!$BQ$160:$EC$219,$N510,$O510),"-")))</f>
        <v/>
      </c>
      <c r="H510" s="124">
        <f>IF($L510="","",SUM($G$442:$G510))</f>
        <v/>
      </c>
      <c r="I510" s="45">
        <f>IF($L510="","",IF(INT(($L510-INT($L510/10000000)*10000000)/1000000)=0,"Bloomberg projection",IF($P510=1,"ANNOUNCED","ANNOUNCED - amount TBA")))</f>
        <v/>
      </c>
      <c r="J510" s="46">
        <f>IF($L510="","",IF((OV_SWITCH="ON")*(COUNTIFS(OVR_TICKERS,INDEX(HSCEI!$C$7:$C$66,$N510),OVR_BASE,"&gt;=0")&gt;0)&gt;0,"stock overridden",""))</f>
        <v/>
      </c>
      <c r="L510" s="121">
        <f>IFERROR(IF(SMALL(Grids!$EE$160:$GQ$219,$M$439+69)&gt;=PEND_TO,"",SMALL(Grids!$EE$160:$GQ$219,$M$439+69)),"")</f>
        <v/>
      </c>
      <c r="M510" s="121">
        <f>IF($L510="","",INT($L510/1000000000))</f>
        <v/>
      </c>
      <c r="N510" s="121">
        <f>IF($L510="","",INT(($L510-INT($L510/1000000)*1000000)/1000))</f>
        <v/>
      </c>
      <c r="O510" s="121">
        <f>IF($L510="","",$L510-INT($L510/1000)*1000)</f>
        <v/>
      </c>
      <c r="P510" s="121">
        <f>IF($L510="","",INT(($L510-INT($L510/1000000000)*1000000000)/100000000))</f>
        <v/>
      </c>
    </row>
    <row r="511">
      <c r="B511" s="122">
        <f>IF($L511="","",$M511)</f>
        <v/>
      </c>
      <c r="C511" s="22">
        <f>IF($L511="","",INDEX(HSCEI!$C$7:$C$66,$N511))</f>
        <v/>
      </c>
      <c r="D511" s="22">
        <f>IF($L511="","",INDEX(HSCEI!$D$7:$D$66,$N511))</f>
        <v/>
      </c>
      <c r="E511" s="123">
        <f>IF($L511="","",IF($P511=0,"TBA",IFERROR(INDEX(Grids!$C$160:$BO$219,$N511,$O511),"-")))</f>
        <v/>
      </c>
      <c r="F511" s="22">
        <f>IF($L511="","",INDEX(HSCEI!$F$7:$F$66,$N511))</f>
        <v/>
      </c>
      <c r="G511" s="123">
        <f>IF($L511="","",IF($P511=0,"TBA",IFERROR(INDEX(Grids!$BQ$160:$EC$219,$N511,$O511),"-")))</f>
        <v/>
      </c>
      <c r="H511" s="124">
        <f>IF($L511="","",SUM($G$442:$G511))</f>
        <v/>
      </c>
      <c r="I511" s="45">
        <f>IF($L511="","",IF(INT(($L511-INT($L511/10000000)*10000000)/1000000)=0,"Bloomberg projection",IF($P511=1,"ANNOUNCED","ANNOUNCED - amount TBA")))</f>
        <v/>
      </c>
      <c r="J511" s="46">
        <f>IF($L511="","",IF((OV_SWITCH="ON")*(COUNTIFS(OVR_TICKERS,INDEX(HSCEI!$C$7:$C$66,$N511),OVR_BASE,"&gt;=0")&gt;0)&gt;0,"stock overridden",""))</f>
        <v/>
      </c>
      <c r="L511" s="121">
        <f>IFERROR(IF(SMALL(Grids!$EE$160:$GQ$219,$M$439+70)&gt;=PEND_TO,"",SMALL(Grids!$EE$160:$GQ$219,$M$439+70)),"")</f>
        <v/>
      </c>
      <c r="M511" s="121">
        <f>IF($L511="","",INT($L511/1000000000))</f>
        <v/>
      </c>
      <c r="N511" s="121">
        <f>IF($L511="","",INT(($L511-INT($L511/1000000)*1000000)/1000))</f>
        <v/>
      </c>
      <c r="O511" s="121">
        <f>IF($L511="","",$L511-INT($L511/1000)*1000)</f>
        <v/>
      </c>
      <c r="P511" s="121">
        <f>IF($L511="","",INT(($L511-INT($L511/1000000000)*1000000000)/100000000))</f>
        <v/>
      </c>
    </row>
    <row r="512">
      <c r="B512" s="122">
        <f>IF($L512="","",$M512)</f>
        <v/>
      </c>
      <c r="C512" s="22">
        <f>IF($L512="","",INDEX(HSCEI!$C$7:$C$66,$N512))</f>
        <v/>
      </c>
      <c r="D512" s="22">
        <f>IF($L512="","",INDEX(HSCEI!$D$7:$D$66,$N512))</f>
        <v/>
      </c>
      <c r="E512" s="123">
        <f>IF($L512="","",IF($P512=0,"TBA",IFERROR(INDEX(Grids!$C$160:$BO$219,$N512,$O512),"-")))</f>
        <v/>
      </c>
      <c r="F512" s="22">
        <f>IF($L512="","",INDEX(HSCEI!$F$7:$F$66,$N512))</f>
        <v/>
      </c>
      <c r="G512" s="123">
        <f>IF($L512="","",IF($P512=0,"TBA",IFERROR(INDEX(Grids!$BQ$160:$EC$219,$N512,$O512),"-")))</f>
        <v/>
      </c>
      <c r="H512" s="124">
        <f>IF($L512="","",SUM($G$442:$G512))</f>
        <v/>
      </c>
      <c r="I512" s="45">
        <f>IF($L512="","",IF(INT(($L512-INT($L512/10000000)*10000000)/1000000)=0,"Bloomberg projection",IF($P512=1,"ANNOUNCED","ANNOUNCED - amount TBA")))</f>
        <v/>
      </c>
      <c r="J512" s="46">
        <f>IF($L512="","",IF((OV_SWITCH="ON")*(COUNTIFS(OVR_TICKERS,INDEX(HSCEI!$C$7:$C$66,$N512),OVR_BASE,"&gt;=0")&gt;0)&gt;0,"stock overridden",""))</f>
        <v/>
      </c>
      <c r="L512" s="121">
        <f>IFERROR(IF(SMALL(Grids!$EE$160:$GQ$219,$M$439+71)&gt;=PEND_TO,"",SMALL(Grids!$EE$160:$GQ$219,$M$439+71)),"")</f>
        <v/>
      </c>
      <c r="M512" s="121">
        <f>IF($L512="","",INT($L512/1000000000))</f>
        <v/>
      </c>
      <c r="N512" s="121">
        <f>IF($L512="","",INT(($L512-INT($L512/1000000)*1000000)/1000))</f>
        <v/>
      </c>
      <c r="O512" s="121">
        <f>IF($L512="","",$L512-INT($L512/1000)*1000)</f>
        <v/>
      </c>
      <c r="P512" s="121">
        <f>IF($L512="","",INT(($L512-INT($L512/1000000000)*1000000000)/100000000))</f>
        <v/>
      </c>
    </row>
    <row r="513">
      <c r="B513" s="122">
        <f>IF($L513="","",$M513)</f>
        <v/>
      </c>
      <c r="C513" s="22">
        <f>IF($L513="","",INDEX(HSCEI!$C$7:$C$66,$N513))</f>
        <v/>
      </c>
      <c r="D513" s="22">
        <f>IF($L513="","",INDEX(HSCEI!$D$7:$D$66,$N513))</f>
        <v/>
      </c>
      <c r="E513" s="123">
        <f>IF($L513="","",IF($P513=0,"TBA",IFERROR(INDEX(Grids!$C$160:$BO$219,$N513,$O513),"-")))</f>
        <v/>
      </c>
      <c r="F513" s="22">
        <f>IF($L513="","",INDEX(HSCEI!$F$7:$F$66,$N513))</f>
        <v/>
      </c>
      <c r="G513" s="123">
        <f>IF($L513="","",IF($P513=0,"TBA",IFERROR(INDEX(Grids!$BQ$160:$EC$219,$N513,$O513),"-")))</f>
        <v/>
      </c>
      <c r="H513" s="124">
        <f>IF($L513="","",SUM($G$442:$G513))</f>
        <v/>
      </c>
      <c r="I513" s="45">
        <f>IF($L513="","",IF(INT(($L513-INT($L513/10000000)*10000000)/1000000)=0,"Bloomberg projection",IF($P513=1,"ANNOUNCED","ANNOUNCED - amount TBA")))</f>
        <v/>
      </c>
      <c r="J513" s="46">
        <f>IF($L513="","",IF((OV_SWITCH="ON")*(COUNTIFS(OVR_TICKERS,INDEX(HSCEI!$C$7:$C$66,$N513),OVR_BASE,"&gt;=0")&gt;0)&gt;0,"stock overridden",""))</f>
        <v/>
      </c>
      <c r="L513" s="121">
        <f>IFERROR(IF(SMALL(Grids!$EE$160:$GQ$219,$M$439+72)&gt;=PEND_TO,"",SMALL(Grids!$EE$160:$GQ$219,$M$439+72)),"")</f>
        <v/>
      </c>
      <c r="M513" s="121">
        <f>IF($L513="","",INT($L513/1000000000))</f>
        <v/>
      </c>
      <c r="N513" s="121">
        <f>IF($L513="","",INT(($L513-INT($L513/1000000)*1000000)/1000))</f>
        <v/>
      </c>
      <c r="O513" s="121">
        <f>IF($L513="","",$L513-INT($L513/1000)*1000)</f>
        <v/>
      </c>
      <c r="P513" s="121">
        <f>IF($L513="","",INT(($L513-INT($L513/1000000000)*1000000000)/100000000))</f>
        <v/>
      </c>
    </row>
    <row r="514">
      <c r="B514" s="122">
        <f>IF($L514="","",$M514)</f>
        <v/>
      </c>
      <c r="C514" s="22">
        <f>IF($L514="","",INDEX(HSCEI!$C$7:$C$66,$N514))</f>
        <v/>
      </c>
      <c r="D514" s="22">
        <f>IF($L514="","",INDEX(HSCEI!$D$7:$D$66,$N514))</f>
        <v/>
      </c>
      <c r="E514" s="123">
        <f>IF($L514="","",IF($P514=0,"TBA",IFERROR(INDEX(Grids!$C$160:$BO$219,$N514,$O514),"-")))</f>
        <v/>
      </c>
      <c r="F514" s="22">
        <f>IF($L514="","",INDEX(HSCEI!$F$7:$F$66,$N514))</f>
        <v/>
      </c>
      <c r="G514" s="123">
        <f>IF($L514="","",IF($P514=0,"TBA",IFERROR(INDEX(Grids!$BQ$160:$EC$219,$N514,$O514),"-")))</f>
        <v/>
      </c>
      <c r="H514" s="124">
        <f>IF($L514="","",SUM($G$442:$G514))</f>
        <v/>
      </c>
      <c r="I514" s="45">
        <f>IF($L514="","",IF(INT(($L514-INT($L514/10000000)*10000000)/1000000)=0,"Bloomberg projection",IF($P514=1,"ANNOUNCED","ANNOUNCED - amount TBA")))</f>
        <v/>
      </c>
      <c r="J514" s="46">
        <f>IF($L514="","",IF((OV_SWITCH="ON")*(COUNTIFS(OVR_TICKERS,INDEX(HSCEI!$C$7:$C$66,$N514),OVR_BASE,"&gt;=0")&gt;0)&gt;0,"stock overridden",""))</f>
        <v/>
      </c>
      <c r="L514" s="121">
        <f>IFERROR(IF(SMALL(Grids!$EE$160:$GQ$219,$M$439+73)&gt;=PEND_TO,"",SMALL(Grids!$EE$160:$GQ$219,$M$439+73)),"")</f>
        <v/>
      </c>
      <c r="M514" s="121">
        <f>IF($L514="","",INT($L514/1000000000))</f>
        <v/>
      </c>
      <c r="N514" s="121">
        <f>IF($L514="","",INT(($L514-INT($L514/1000000)*1000000)/1000))</f>
        <v/>
      </c>
      <c r="O514" s="121">
        <f>IF($L514="","",$L514-INT($L514/1000)*1000)</f>
        <v/>
      </c>
      <c r="P514" s="121">
        <f>IF($L514="","",INT(($L514-INT($L514/1000000000)*1000000000)/100000000))</f>
        <v/>
      </c>
    </row>
    <row r="515">
      <c r="B515" s="122">
        <f>IF($L515="","",$M515)</f>
        <v/>
      </c>
      <c r="C515" s="22">
        <f>IF($L515="","",INDEX(HSCEI!$C$7:$C$66,$N515))</f>
        <v/>
      </c>
      <c r="D515" s="22">
        <f>IF($L515="","",INDEX(HSCEI!$D$7:$D$66,$N515))</f>
        <v/>
      </c>
      <c r="E515" s="123">
        <f>IF($L515="","",IF($P515=0,"TBA",IFERROR(INDEX(Grids!$C$160:$BO$219,$N515,$O515),"-")))</f>
        <v/>
      </c>
      <c r="F515" s="22">
        <f>IF($L515="","",INDEX(HSCEI!$F$7:$F$66,$N515))</f>
        <v/>
      </c>
      <c r="G515" s="123">
        <f>IF($L515="","",IF($P515=0,"TBA",IFERROR(INDEX(Grids!$BQ$160:$EC$219,$N515,$O515),"-")))</f>
        <v/>
      </c>
      <c r="H515" s="124">
        <f>IF($L515="","",SUM($G$442:$G515))</f>
        <v/>
      </c>
      <c r="I515" s="45">
        <f>IF($L515="","",IF(INT(($L515-INT($L515/10000000)*10000000)/1000000)=0,"Bloomberg projection",IF($P515=1,"ANNOUNCED","ANNOUNCED - amount TBA")))</f>
        <v/>
      </c>
      <c r="J515" s="46">
        <f>IF($L515="","",IF((OV_SWITCH="ON")*(COUNTIFS(OVR_TICKERS,INDEX(HSCEI!$C$7:$C$66,$N515),OVR_BASE,"&gt;=0")&gt;0)&gt;0,"stock overridden",""))</f>
        <v/>
      </c>
      <c r="L515" s="121">
        <f>IFERROR(IF(SMALL(Grids!$EE$160:$GQ$219,$M$439+74)&gt;=PEND_TO,"",SMALL(Grids!$EE$160:$GQ$219,$M$439+74)),"")</f>
        <v/>
      </c>
      <c r="M515" s="121">
        <f>IF($L515="","",INT($L515/1000000000))</f>
        <v/>
      </c>
      <c r="N515" s="121">
        <f>IF($L515="","",INT(($L515-INT($L515/1000000)*1000000)/1000))</f>
        <v/>
      </c>
      <c r="O515" s="121">
        <f>IF($L515="","",$L515-INT($L515/1000)*1000)</f>
        <v/>
      </c>
      <c r="P515" s="121">
        <f>IF($L515="","",INT(($L515-INT($L515/1000000000)*1000000000)/100000000))</f>
        <v/>
      </c>
    </row>
    <row r="516">
      <c r="B516" s="122">
        <f>IF($L516="","",$M516)</f>
        <v/>
      </c>
      <c r="C516" s="22">
        <f>IF($L516="","",INDEX(HSCEI!$C$7:$C$66,$N516))</f>
        <v/>
      </c>
      <c r="D516" s="22">
        <f>IF($L516="","",INDEX(HSCEI!$D$7:$D$66,$N516))</f>
        <v/>
      </c>
      <c r="E516" s="123">
        <f>IF($L516="","",IF($P516=0,"TBA",IFERROR(INDEX(Grids!$C$160:$BO$219,$N516,$O516),"-")))</f>
        <v/>
      </c>
      <c r="F516" s="22">
        <f>IF($L516="","",INDEX(HSCEI!$F$7:$F$66,$N516))</f>
        <v/>
      </c>
      <c r="G516" s="123">
        <f>IF($L516="","",IF($P516=0,"TBA",IFERROR(INDEX(Grids!$BQ$160:$EC$219,$N516,$O516),"-")))</f>
        <v/>
      </c>
      <c r="H516" s="124">
        <f>IF($L516="","",SUM($G$442:$G516))</f>
        <v/>
      </c>
      <c r="I516" s="45">
        <f>IF($L516="","",IF(INT(($L516-INT($L516/10000000)*10000000)/1000000)=0,"Bloomberg projection",IF($P516=1,"ANNOUNCED","ANNOUNCED - amount TBA")))</f>
        <v/>
      </c>
      <c r="J516" s="46">
        <f>IF($L516="","",IF((OV_SWITCH="ON")*(COUNTIFS(OVR_TICKERS,INDEX(HSCEI!$C$7:$C$66,$N516),OVR_BASE,"&gt;=0")&gt;0)&gt;0,"stock overridden",""))</f>
        <v/>
      </c>
      <c r="L516" s="121">
        <f>IFERROR(IF(SMALL(Grids!$EE$160:$GQ$219,$M$439+75)&gt;=PEND_TO,"",SMALL(Grids!$EE$160:$GQ$219,$M$439+75)),"")</f>
        <v/>
      </c>
      <c r="M516" s="121">
        <f>IF($L516="","",INT($L516/1000000000))</f>
        <v/>
      </c>
      <c r="N516" s="121">
        <f>IF($L516="","",INT(($L516-INT($L516/1000000)*1000000)/1000))</f>
        <v/>
      </c>
      <c r="O516" s="121">
        <f>IF($L516="","",$L516-INT($L516/1000)*1000)</f>
        <v/>
      </c>
      <c r="P516" s="121">
        <f>IF($L516="","",INT(($L516-INT($L516/1000000000)*1000000000)/100000000))</f>
        <v/>
      </c>
    </row>
    <row r="517">
      <c r="B517" s="122">
        <f>IF($L517="","",$M517)</f>
        <v/>
      </c>
      <c r="C517" s="22">
        <f>IF($L517="","",INDEX(HSCEI!$C$7:$C$66,$N517))</f>
        <v/>
      </c>
      <c r="D517" s="22">
        <f>IF($L517="","",INDEX(HSCEI!$D$7:$D$66,$N517))</f>
        <v/>
      </c>
      <c r="E517" s="123">
        <f>IF($L517="","",IF($P517=0,"TBA",IFERROR(INDEX(Grids!$C$160:$BO$219,$N517,$O517),"-")))</f>
        <v/>
      </c>
      <c r="F517" s="22">
        <f>IF($L517="","",INDEX(HSCEI!$F$7:$F$66,$N517))</f>
        <v/>
      </c>
      <c r="G517" s="123">
        <f>IF($L517="","",IF($P517=0,"TBA",IFERROR(INDEX(Grids!$BQ$160:$EC$219,$N517,$O517),"-")))</f>
        <v/>
      </c>
      <c r="H517" s="124">
        <f>IF($L517="","",SUM($G$442:$G517))</f>
        <v/>
      </c>
      <c r="I517" s="45">
        <f>IF($L517="","",IF(INT(($L517-INT($L517/10000000)*10000000)/1000000)=0,"Bloomberg projection",IF($P517=1,"ANNOUNCED","ANNOUNCED - amount TBA")))</f>
        <v/>
      </c>
      <c r="J517" s="46">
        <f>IF($L517="","",IF((OV_SWITCH="ON")*(COUNTIFS(OVR_TICKERS,INDEX(HSCEI!$C$7:$C$66,$N517),OVR_BASE,"&gt;=0")&gt;0)&gt;0,"stock overridden",""))</f>
        <v/>
      </c>
      <c r="L517" s="121">
        <f>IFERROR(IF(SMALL(Grids!$EE$160:$GQ$219,$M$439+76)&gt;=PEND_TO,"",SMALL(Grids!$EE$160:$GQ$219,$M$439+76)),"")</f>
        <v/>
      </c>
      <c r="M517" s="121">
        <f>IF($L517="","",INT($L517/1000000000))</f>
        <v/>
      </c>
      <c r="N517" s="121">
        <f>IF($L517="","",INT(($L517-INT($L517/1000000)*1000000)/1000))</f>
        <v/>
      </c>
      <c r="O517" s="121">
        <f>IF($L517="","",$L517-INT($L517/1000)*1000)</f>
        <v/>
      </c>
      <c r="P517" s="121">
        <f>IF($L517="","",INT(($L517-INT($L517/1000000000)*1000000000)/100000000))</f>
        <v/>
      </c>
    </row>
    <row r="518">
      <c r="B518" s="122">
        <f>IF($L518="","",$M518)</f>
        <v/>
      </c>
      <c r="C518" s="22">
        <f>IF($L518="","",INDEX(HSCEI!$C$7:$C$66,$N518))</f>
        <v/>
      </c>
      <c r="D518" s="22">
        <f>IF($L518="","",INDEX(HSCEI!$D$7:$D$66,$N518))</f>
        <v/>
      </c>
      <c r="E518" s="123">
        <f>IF($L518="","",IF($P518=0,"TBA",IFERROR(INDEX(Grids!$C$160:$BO$219,$N518,$O518),"-")))</f>
        <v/>
      </c>
      <c r="F518" s="22">
        <f>IF($L518="","",INDEX(HSCEI!$F$7:$F$66,$N518))</f>
        <v/>
      </c>
      <c r="G518" s="123">
        <f>IF($L518="","",IF($P518=0,"TBA",IFERROR(INDEX(Grids!$BQ$160:$EC$219,$N518,$O518),"-")))</f>
        <v/>
      </c>
      <c r="H518" s="124">
        <f>IF($L518="","",SUM($G$442:$G518))</f>
        <v/>
      </c>
      <c r="I518" s="45">
        <f>IF($L518="","",IF(INT(($L518-INT($L518/10000000)*10000000)/1000000)=0,"Bloomberg projection",IF($P518=1,"ANNOUNCED","ANNOUNCED - amount TBA")))</f>
        <v/>
      </c>
      <c r="J518" s="46">
        <f>IF($L518="","",IF((OV_SWITCH="ON")*(COUNTIFS(OVR_TICKERS,INDEX(HSCEI!$C$7:$C$66,$N518),OVR_BASE,"&gt;=0")&gt;0)&gt;0,"stock overridden",""))</f>
        <v/>
      </c>
      <c r="L518" s="121">
        <f>IFERROR(IF(SMALL(Grids!$EE$160:$GQ$219,$M$439+77)&gt;=PEND_TO,"",SMALL(Grids!$EE$160:$GQ$219,$M$439+77)),"")</f>
        <v/>
      </c>
      <c r="M518" s="121">
        <f>IF($L518="","",INT($L518/1000000000))</f>
        <v/>
      </c>
      <c r="N518" s="121">
        <f>IF($L518="","",INT(($L518-INT($L518/1000000)*1000000)/1000))</f>
        <v/>
      </c>
      <c r="O518" s="121">
        <f>IF($L518="","",$L518-INT($L518/1000)*1000)</f>
        <v/>
      </c>
      <c r="P518" s="121">
        <f>IF($L518="","",INT(($L518-INT($L518/1000000000)*1000000000)/100000000))</f>
        <v/>
      </c>
    </row>
    <row r="519">
      <c r="B519" s="122">
        <f>IF($L519="","",$M519)</f>
        <v/>
      </c>
      <c r="C519" s="22">
        <f>IF($L519="","",INDEX(HSCEI!$C$7:$C$66,$N519))</f>
        <v/>
      </c>
      <c r="D519" s="22">
        <f>IF($L519="","",INDEX(HSCEI!$D$7:$D$66,$N519))</f>
        <v/>
      </c>
      <c r="E519" s="123">
        <f>IF($L519="","",IF($P519=0,"TBA",IFERROR(INDEX(Grids!$C$160:$BO$219,$N519,$O519),"-")))</f>
        <v/>
      </c>
      <c r="F519" s="22">
        <f>IF($L519="","",INDEX(HSCEI!$F$7:$F$66,$N519))</f>
        <v/>
      </c>
      <c r="G519" s="123">
        <f>IF($L519="","",IF($P519=0,"TBA",IFERROR(INDEX(Grids!$BQ$160:$EC$219,$N519,$O519),"-")))</f>
        <v/>
      </c>
      <c r="H519" s="124">
        <f>IF($L519="","",SUM($G$442:$G519))</f>
        <v/>
      </c>
      <c r="I519" s="45">
        <f>IF($L519="","",IF(INT(($L519-INT($L519/10000000)*10000000)/1000000)=0,"Bloomberg projection",IF($P519=1,"ANNOUNCED","ANNOUNCED - amount TBA")))</f>
        <v/>
      </c>
      <c r="J519" s="46">
        <f>IF($L519="","",IF((OV_SWITCH="ON")*(COUNTIFS(OVR_TICKERS,INDEX(HSCEI!$C$7:$C$66,$N519),OVR_BASE,"&gt;=0")&gt;0)&gt;0,"stock overridden",""))</f>
        <v/>
      </c>
      <c r="L519" s="121">
        <f>IFERROR(IF(SMALL(Grids!$EE$160:$GQ$219,$M$439+78)&gt;=PEND_TO,"",SMALL(Grids!$EE$160:$GQ$219,$M$439+78)),"")</f>
        <v/>
      </c>
      <c r="M519" s="121">
        <f>IF($L519="","",INT($L519/1000000000))</f>
        <v/>
      </c>
      <c r="N519" s="121">
        <f>IF($L519="","",INT(($L519-INT($L519/1000000)*1000000)/1000))</f>
        <v/>
      </c>
      <c r="O519" s="121">
        <f>IF($L519="","",$L519-INT($L519/1000)*1000)</f>
        <v/>
      </c>
      <c r="P519" s="121">
        <f>IF($L519="","",INT(($L519-INT($L519/1000000000)*1000000000)/100000000))</f>
        <v/>
      </c>
    </row>
    <row r="520">
      <c r="B520" s="122">
        <f>IF($L520="","",$M520)</f>
        <v/>
      </c>
      <c r="C520" s="22">
        <f>IF($L520="","",INDEX(HSCEI!$C$7:$C$66,$N520))</f>
        <v/>
      </c>
      <c r="D520" s="22">
        <f>IF($L520="","",INDEX(HSCEI!$D$7:$D$66,$N520))</f>
        <v/>
      </c>
      <c r="E520" s="123">
        <f>IF($L520="","",IF($P520=0,"TBA",IFERROR(INDEX(Grids!$C$160:$BO$219,$N520,$O520),"-")))</f>
        <v/>
      </c>
      <c r="F520" s="22">
        <f>IF($L520="","",INDEX(HSCEI!$F$7:$F$66,$N520))</f>
        <v/>
      </c>
      <c r="G520" s="123">
        <f>IF($L520="","",IF($P520=0,"TBA",IFERROR(INDEX(Grids!$BQ$160:$EC$219,$N520,$O520),"-")))</f>
        <v/>
      </c>
      <c r="H520" s="124">
        <f>IF($L520="","",SUM($G$442:$G520))</f>
        <v/>
      </c>
      <c r="I520" s="45">
        <f>IF($L520="","",IF(INT(($L520-INT($L520/10000000)*10000000)/1000000)=0,"Bloomberg projection",IF($P520=1,"ANNOUNCED","ANNOUNCED - amount TBA")))</f>
        <v/>
      </c>
      <c r="J520" s="46">
        <f>IF($L520="","",IF((OV_SWITCH="ON")*(COUNTIFS(OVR_TICKERS,INDEX(HSCEI!$C$7:$C$66,$N520),OVR_BASE,"&gt;=0")&gt;0)&gt;0,"stock overridden",""))</f>
        <v/>
      </c>
      <c r="L520" s="121">
        <f>IFERROR(IF(SMALL(Grids!$EE$160:$GQ$219,$M$439+79)&gt;=PEND_TO,"",SMALL(Grids!$EE$160:$GQ$219,$M$439+79)),"")</f>
        <v/>
      </c>
      <c r="M520" s="121">
        <f>IF($L520="","",INT($L520/1000000000))</f>
        <v/>
      </c>
      <c r="N520" s="121">
        <f>IF($L520="","",INT(($L520-INT($L520/1000000)*1000000)/1000))</f>
        <v/>
      </c>
      <c r="O520" s="121">
        <f>IF($L520="","",$L520-INT($L520/1000)*1000)</f>
        <v/>
      </c>
      <c r="P520" s="121">
        <f>IF($L520="","",INT(($L520-INT($L520/1000000000)*1000000000)/100000000))</f>
        <v/>
      </c>
    </row>
    <row r="521">
      <c r="B521" s="122">
        <f>IF($L521="","",$M521)</f>
        <v/>
      </c>
      <c r="C521" s="22">
        <f>IF($L521="","",INDEX(HSCEI!$C$7:$C$66,$N521))</f>
        <v/>
      </c>
      <c r="D521" s="22">
        <f>IF($L521="","",INDEX(HSCEI!$D$7:$D$66,$N521))</f>
        <v/>
      </c>
      <c r="E521" s="123">
        <f>IF($L521="","",IF($P521=0,"TBA",IFERROR(INDEX(Grids!$C$160:$BO$219,$N521,$O521),"-")))</f>
        <v/>
      </c>
      <c r="F521" s="22">
        <f>IF($L521="","",INDEX(HSCEI!$F$7:$F$66,$N521))</f>
        <v/>
      </c>
      <c r="G521" s="123">
        <f>IF($L521="","",IF($P521=0,"TBA",IFERROR(INDEX(Grids!$BQ$160:$EC$219,$N521,$O521),"-")))</f>
        <v/>
      </c>
      <c r="H521" s="124">
        <f>IF($L521="","",SUM($G$442:$G521))</f>
        <v/>
      </c>
      <c r="I521" s="45">
        <f>IF($L521="","",IF(INT(($L521-INT($L521/10000000)*10000000)/1000000)=0,"Bloomberg projection",IF($P521=1,"ANNOUNCED","ANNOUNCED - amount TBA")))</f>
        <v/>
      </c>
      <c r="J521" s="46">
        <f>IF($L521="","",IF((OV_SWITCH="ON")*(COUNTIFS(OVR_TICKERS,INDEX(HSCEI!$C$7:$C$66,$N521),OVR_BASE,"&gt;=0")&gt;0)&gt;0,"stock overridden",""))</f>
        <v/>
      </c>
      <c r="L521" s="121">
        <f>IFERROR(IF(SMALL(Grids!$EE$160:$GQ$219,$M$439+80)&gt;=PEND_TO,"",SMALL(Grids!$EE$160:$GQ$219,$M$439+80)),"")</f>
        <v/>
      </c>
      <c r="M521" s="121">
        <f>IF($L521="","",INT($L521/1000000000))</f>
        <v/>
      </c>
      <c r="N521" s="121">
        <f>IF($L521="","",INT(($L521-INT($L521/1000000)*1000000)/1000))</f>
        <v/>
      </c>
      <c r="O521" s="121">
        <f>IF($L521="","",$L521-INT($L521/1000)*1000)</f>
        <v/>
      </c>
      <c r="P521" s="121">
        <f>IF($L521="","",INT(($L521-INT($L521/1000000000)*1000000000)/100000000))</f>
        <v/>
      </c>
    </row>
    <row r="522">
      <c r="B522" s="122">
        <f>IF($L522="","",$M522)</f>
        <v/>
      </c>
      <c r="C522" s="22">
        <f>IF($L522="","",INDEX(HSCEI!$C$7:$C$66,$N522))</f>
        <v/>
      </c>
      <c r="D522" s="22">
        <f>IF($L522="","",INDEX(HSCEI!$D$7:$D$66,$N522))</f>
        <v/>
      </c>
      <c r="E522" s="123">
        <f>IF($L522="","",IF($P522=0,"TBA",IFERROR(INDEX(Grids!$C$160:$BO$219,$N522,$O522),"-")))</f>
        <v/>
      </c>
      <c r="F522" s="22">
        <f>IF($L522="","",INDEX(HSCEI!$F$7:$F$66,$N522))</f>
        <v/>
      </c>
      <c r="G522" s="123">
        <f>IF($L522="","",IF($P522=0,"TBA",IFERROR(INDEX(Grids!$BQ$160:$EC$219,$N522,$O522),"-")))</f>
        <v/>
      </c>
      <c r="H522" s="124">
        <f>IF($L522="","",SUM($G$442:$G522))</f>
        <v/>
      </c>
      <c r="I522" s="45">
        <f>IF($L522="","",IF(INT(($L522-INT($L522/10000000)*10000000)/1000000)=0,"Bloomberg projection",IF($P522=1,"ANNOUNCED","ANNOUNCED - amount TBA")))</f>
        <v/>
      </c>
      <c r="J522" s="46">
        <f>IF($L522="","",IF((OV_SWITCH="ON")*(COUNTIFS(OVR_TICKERS,INDEX(HSCEI!$C$7:$C$66,$N522),OVR_BASE,"&gt;=0")&gt;0)&gt;0,"stock overridden",""))</f>
        <v/>
      </c>
      <c r="L522" s="121">
        <f>IFERROR(IF(SMALL(Grids!$EE$160:$GQ$219,$M$439+81)&gt;=PEND_TO,"",SMALL(Grids!$EE$160:$GQ$219,$M$439+81)),"")</f>
        <v/>
      </c>
      <c r="M522" s="121">
        <f>IF($L522="","",INT($L522/1000000000))</f>
        <v/>
      </c>
      <c r="N522" s="121">
        <f>IF($L522="","",INT(($L522-INT($L522/1000000)*1000000)/1000))</f>
        <v/>
      </c>
      <c r="O522" s="121">
        <f>IF($L522="","",$L522-INT($L522/1000)*1000)</f>
        <v/>
      </c>
      <c r="P522" s="121">
        <f>IF($L522="","",INT(($L522-INT($L522/1000000000)*1000000000)/100000000))</f>
        <v/>
      </c>
    </row>
    <row r="523">
      <c r="B523" s="122">
        <f>IF($L523="","",$M523)</f>
        <v/>
      </c>
      <c r="C523" s="22">
        <f>IF($L523="","",INDEX(HSCEI!$C$7:$C$66,$N523))</f>
        <v/>
      </c>
      <c r="D523" s="22">
        <f>IF($L523="","",INDEX(HSCEI!$D$7:$D$66,$N523))</f>
        <v/>
      </c>
      <c r="E523" s="123">
        <f>IF($L523="","",IF($P523=0,"TBA",IFERROR(INDEX(Grids!$C$160:$BO$219,$N523,$O523),"-")))</f>
        <v/>
      </c>
      <c r="F523" s="22">
        <f>IF($L523="","",INDEX(HSCEI!$F$7:$F$66,$N523))</f>
        <v/>
      </c>
      <c r="G523" s="123">
        <f>IF($L523="","",IF($P523=0,"TBA",IFERROR(INDEX(Grids!$BQ$160:$EC$219,$N523,$O523),"-")))</f>
        <v/>
      </c>
      <c r="H523" s="124">
        <f>IF($L523="","",SUM($G$442:$G523))</f>
        <v/>
      </c>
      <c r="I523" s="45">
        <f>IF($L523="","",IF(INT(($L523-INT($L523/10000000)*10000000)/1000000)=0,"Bloomberg projection",IF($P523=1,"ANNOUNCED","ANNOUNCED - amount TBA")))</f>
        <v/>
      </c>
      <c r="J523" s="46">
        <f>IF($L523="","",IF((OV_SWITCH="ON")*(COUNTIFS(OVR_TICKERS,INDEX(HSCEI!$C$7:$C$66,$N523),OVR_BASE,"&gt;=0")&gt;0)&gt;0,"stock overridden",""))</f>
        <v/>
      </c>
      <c r="L523" s="121">
        <f>IFERROR(IF(SMALL(Grids!$EE$160:$GQ$219,$M$439+82)&gt;=PEND_TO,"",SMALL(Grids!$EE$160:$GQ$219,$M$439+82)),"")</f>
        <v/>
      </c>
      <c r="M523" s="121">
        <f>IF($L523="","",INT($L523/1000000000))</f>
        <v/>
      </c>
      <c r="N523" s="121">
        <f>IF($L523="","",INT(($L523-INT($L523/1000000)*1000000)/1000))</f>
        <v/>
      </c>
      <c r="O523" s="121">
        <f>IF($L523="","",$L523-INT($L523/1000)*1000)</f>
        <v/>
      </c>
      <c r="P523" s="121">
        <f>IF($L523="","",INT(($L523-INT($L523/1000000000)*1000000000)/100000000))</f>
        <v/>
      </c>
    </row>
    <row r="524">
      <c r="B524" s="122">
        <f>IF($L524="","",$M524)</f>
        <v/>
      </c>
      <c r="C524" s="22">
        <f>IF($L524="","",INDEX(HSCEI!$C$7:$C$66,$N524))</f>
        <v/>
      </c>
      <c r="D524" s="22">
        <f>IF($L524="","",INDEX(HSCEI!$D$7:$D$66,$N524))</f>
        <v/>
      </c>
      <c r="E524" s="123">
        <f>IF($L524="","",IF($P524=0,"TBA",IFERROR(INDEX(Grids!$C$160:$BO$219,$N524,$O524),"-")))</f>
        <v/>
      </c>
      <c r="F524" s="22">
        <f>IF($L524="","",INDEX(HSCEI!$F$7:$F$66,$N524))</f>
        <v/>
      </c>
      <c r="G524" s="123">
        <f>IF($L524="","",IF($P524=0,"TBA",IFERROR(INDEX(Grids!$BQ$160:$EC$219,$N524,$O524),"-")))</f>
        <v/>
      </c>
      <c r="H524" s="124">
        <f>IF($L524="","",SUM($G$442:$G524))</f>
        <v/>
      </c>
      <c r="I524" s="45">
        <f>IF($L524="","",IF(INT(($L524-INT($L524/10000000)*10000000)/1000000)=0,"Bloomberg projection",IF($P524=1,"ANNOUNCED","ANNOUNCED - amount TBA")))</f>
        <v/>
      </c>
      <c r="J524" s="46">
        <f>IF($L524="","",IF((OV_SWITCH="ON")*(COUNTIFS(OVR_TICKERS,INDEX(HSCEI!$C$7:$C$66,$N524),OVR_BASE,"&gt;=0")&gt;0)&gt;0,"stock overridden",""))</f>
        <v/>
      </c>
      <c r="L524" s="121">
        <f>IFERROR(IF(SMALL(Grids!$EE$160:$GQ$219,$M$439+83)&gt;=PEND_TO,"",SMALL(Grids!$EE$160:$GQ$219,$M$439+83)),"")</f>
        <v/>
      </c>
      <c r="M524" s="121">
        <f>IF($L524="","",INT($L524/1000000000))</f>
        <v/>
      </c>
      <c r="N524" s="121">
        <f>IF($L524="","",INT(($L524-INT($L524/1000000)*1000000)/1000))</f>
        <v/>
      </c>
      <c r="O524" s="121">
        <f>IF($L524="","",$L524-INT($L524/1000)*1000)</f>
        <v/>
      </c>
      <c r="P524" s="121">
        <f>IF($L524="","",INT(($L524-INT($L524/1000000000)*1000000000)/100000000))</f>
        <v/>
      </c>
    </row>
    <row r="525">
      <c r="B525" s="122">
        <f>IF($L525="","",$M525)</f>
        <v/>
      </c>
      <c r="C525" s="22">
        <f>IF($L525="","",INDEX(HSCEI!$C$7:$C$66,$N525))</f>
        <v/>
      </c>
      <c r="D525" s="22">
        <f>IF($L525="","",INDEX(HSCEI!$D$7:$D$66,$N525))</f>
        <v/>
      </c>
      <c r="E525" s="123">
        <f>IF($L525="","",IF($P525=0,"TBA",IFERROR(INDEX(Grids!$C$160:$BO$219,$N525,$O525),"-")))</f>
        <v/>
      </c>
      <c r="F525" s="22">
        <f>IF($L525="","",INDEX(HSCEI!$F$7:$F$66,$N525))</f>
        <v/>
      </c>
      <c r="G525" s="123">
        <f>IF($L525="","",IF($P525=0,"TBA",IFERROR(INDEX(Grids!$BQ$160:$EC$219,$N525,$O525),"-")))</f>
        <v/>
      </c>
      <c r="H525" s="124">
        <f>IF($L525="","",SUM($G$442:$G525))</f>
        <v/>
      </c>
      <c r="I525" s="45">
        <f>IF($L525="","",IF(INT(($L525-INT($L525/10000000)*10000000)/1000000)=0,"Bloomberg projection",IF($P525=1,"ANNOUNCED","ANNOUNCED - amount TBA")))</f>
        <v/>
      </c>
      <c r="J525" s="46">
        <f>IF($L525="","",IF((OV_SWITCH="ON")*(COUNTIFS(OVR_TICKERS,INDEX(HSCEI!$C$7:$C$66,$N525),OVR_BASE,"&gt;=0")&gt;0)&gt;0,"stock overridden",""))</f>
        <v/>
      </c>
      <c r="L525" s="121">
        <f>IFERROR(IF(SMALL(Grids!$EE$160:$GQ$219,$M$439+84)&gt;=PEND_TO,"",SMALL(Grids!$EE$160:$GQ$219,$M$439+84)),"")</f>
        <v/>
      </c>
      <c r="M525" s="121">
        <f>IF($L525="","",INT($L525/1000000000))</f>
        <v/>
      </c>
      <c r="N525" s="121">
        <f>IF($L525="","",INT(($L525-INT($L525/1000000)*1000000)/1000))</f>
        <v/>
      </c>
      <c r="O525" s="121">
        <f>IF($L525="","",$L525-INT($L525/1000)*1000)</f>
        <v/>
      </c>
      <c r="P525" s="121">
        <f>IF($L525="","",INT(($L525-INT($L525/1000000000)*1000000000)/100000000))</f>
        <v/>
      </c>
    </row>
    <row r="526">
      <c r="B526" s="122">
        <f>IF($L526="","",$M526)</f>
        <v/>
      </c>
      <c r="C526" s="22">
        <f>IF($L526="","",INDEX(HSCEI!$C$7:$C$66,$N526))</f>
        <v/>
      </c>
      <c r="D526" s="22">
        <f>IF($L526="","",INDEX(HSCEI!$D$7:$D$66,$N526))</f>
        <v/>
      </c>
      <c r="E526" s="123">
        <f>IF($L526="","",IF($P526=0,"TBA",IFERROR(INDEX(Grids!$C$160:$BO$219,$N526,$O526),"-")))</f>
        <v/>
      </c>
      <c r="F526" s="22">
        <f>IF($L526="","",INDEX(HSCEI!$F$7:$F$66,$N526))</f>
        <v/>
      </c>
      <c r="G526" s="123">
        <f>IF($L526="","",IF($P526=0,"TBA",IFERROR(INDEX(Grids!$BQ$160:$EC$219,$N526,$O526),"-")))</f>
        <v/>
      </c>
      <c r="H526" s="124">
        <f>IF($L526="","",SUM($G$442:$G526))</f>
        <v/>
      </c>
      <c r="I526" s="45">
        <f>IF($L526="","",IF(INT(($L526-INT($L526/10000000)*10000000)/1000000)=0,"Bloomberg projection",IF($P526=1,"ANNOUNCED","ANNOUNCED - amount TBA")))</f>
        <v/>
      </c>
      <c r="J526" s="46">
        <f>IF($L526="","",IF((OV_SWITCH="ON")*(COUNTIFS(OVR_TICKERS,INDEX(HSCEI!$C$7:$C$66,$N526),OVR_BASE,"&gt;=0")&gt;0)&gt;0,"stock overridden",""))</f>
        <v/>
      </c>
      <c r="L526" s="121">
        <f>IFERROR(IF(SMALL(Grids!$EE$160:$GQ$219,$M$439+85)&gt;=PEND_TO,"",SMALL(Grids!$EE$160:$GQ$219,$M$439+85)),"")</f>
        <v/>
      </c>
      <c r="M526" s="121">
        <f>IF($L526="","",INT($L526/1000000000))</f>
        <v/>
      </c>
      <c r="N526" s="121">
        <f>IF($L526="","",INT(($L526-INT($L526/1000000)*1000000)/1000))</f>
        <v/>
      </c>
      <c r="O526" s="121">
        <f>IF($L526="","",$L526-INT($L526/1000)*1000)</f>
        <v/>
      </c>
      <c r="P526" s="121">
        <f>IF($L526="","",INT(($L526-INT($L526/1000000000)*1000000000)/100000000))</f>
        <v/>
      </c>
    </row>
    <row r="527">
      <c r="B527" s="122">
        <f>IF($L527="","",$M527)</f>
        <v/>
      </c>
      <c r="C527" s="22">
        <f>IF($L527="","",INDEX(HSCEI!$C$7:$C$66,$N527))</f>
        <v/>
      </c>
      <c r="D527" s="22">
        <f>IF($L527="","",INDEX(HSCEI!$D$7:$D$66,$N527))</f>
        <v/>
      </c>
      <c r="E527" s="123">
        <f>IF($L527="","",IF($P527=0,"TBA",IFERROR(INDEX(Grids!$C$160:$BO$219,$N527,$O527),"-")))</f>
        <v/>
      </c>
      <c r="F527" s="22">
        <f>IF($L527="","",INDEX(HSCEI!$F$7:$F$66,$N527))</f>
        <v/>
      </c>
      <c r="G527" s="123">
        <f>IF($L527="","",IF($P527=0,"TBA",IFERROR(INDEX(Grids!$BQ$160:$EC$219,$N527,$O527),"-")))</f>
        <v/>
      </c>
      <c r="H527" s="124">
        <f>IF($L527="","",SUM($G$442:$G527))</f>
        <v/>
      </c>
      <c r="I527" s="45">
        <f>IF($L527="","",IF(INT(($L527-INT($L527/10000000)*10000000)/1000000)=0,"Bloomberg projection",IF($P527=1,"ANNOUNCED","ANNOUNCED - amount TBA")))</f>
        <v/>
      </c>
      <c r="J527" s="46">
        <f>IF($L527="","",IF((OV_SWITCH="ON")*(COUNTIFS(OVR_TICKERS,INDEX(HSCEI!$C$7:$C$66,$N527),OVR_BASE,"&gt;=0")&gt;0)&gt;0,"stock overridden",""))</f>
        <v/>
      </c>
      <c r="L527" s="121">
        <f>IFERROR(IF(SMALL(Grids!$EE$160:$GQ$219,$M$439+86)&gt;=PEND_TO,"",SMALL(Grids!$EE$160:$GQ$219,$M$439+86)),"")</f>
        <v/>
      </c>
      <c r="M527" s="121">
        <f>IF($L527="","",INT($L527/1000000000))</f>
        <v/>
      </c>
      <c r="N527" s="121">
        <f>IF($L527="","",INT(($L527-INT($L527/1000000)*1000000)/1000))</f>
        <v/>
      </c>
      <c r="O527" s="121">
        <f>IF($L527="","",$L527-INT($L527/1000)*1000)</f>
        <v/>
      </c>
      <c r="P527" s="121">
        <f>IF($L527="","",INT(($L527-INT($L527/1000000000)*1000000000)/100000000))</f>
        <v/>
      </c>
    </row>
    <row r="528">
      <c r="B528" s="122">
        <f>IF($L528="","",$M528)</f>
        <v/>
      </c>
      <c r="C528" s="22">
        <f>IF($L528="","",INDEX(HSCEI!$C$7:$C$66,$N528))</f>
        <v/>
      </c>
      <c r="D528" s="22">
        <f>IF($L528="","",INDEX(HSCEI!$D$7:$D$66,$N528))</f>
        <v/>
      </c>
      <c r="E528" s="123">
        <f>IF($L528="","",IF($P528=0,"TBA",IFERROR(INDEX(Grids!$C$160:$BO$219,$N528,$O528),"-")))</f>
        <v/>
      </c>
      <c r="F528" s="22">
        <f>IF($L528="","",INDEX(HSCEI!$F$7:$F$66,$N528))</f>
        <v/>
      </c>
      <c r="G528" s="123">
        <f>IF($L528="","",IF($P528=0,"TBA",IFERROR(INDEX(Grids!$BQ$160:$EC$219,$N528,$O528),"-")))</f>
        <v/>
      </c>
      <c r="H528" s="124">
        <f>IF($L528="","",SUM($G$442:$G528))</f>
        <v/>
      </c>
      <c r="I528" s="45">
        <f>IF($L528="","",IF(INT(($L528-INT($L528/10000000)*10000000)/1000000)=0,"Bloomberg projection",IF($P528=1,"ANNOUNCED","ANNOUNCED - amount TBA")))</f>
        <v/>
      </c>
      <c r="J528" s="46">
        <f>IF($L528="","",IF((OV_SWITCH="ON")*(COUNTIFS(OVR_TICKERS,INDEX(HSCEI!$C$7:$C$66,$N528),OVR_BASE,"&gt;=0")&gt;0)&gt;0,"stock overridden",""))</f>
        <v/>
      </c>
      <c r="L528" s="121">
        <f>IFERROR(IF(SMALL(Grids!$EE$160:$GQ$219,$M$439+87)&gt;=PEND_TO,"",SMALL(Grids!$EE$160:$GQ$219,$M$439+87)),"")</f>
        <v/>
      </c>
      <c r="M528" s="121">
        <f>IF($L528="","",INT($L528/1000000000))</f>
        <v/>
      </c>
      <c r="N528" s="121">
        <f>IF($L528="","",INT(($L528-INT($L528/1000000)*1000000)/1000))</f>
        <v/>
      </c>
      <c r="O528" s="121">
        <f>IF($L528="","",$L528-INT($L528/1000)*1000)</f>
        <v/>
      </c>
      <c r="P528" s="121">
        <f>IF($L528="","",INT(($L528-INT($L528/1000000000)*1000000000)/100000000))</f>
        <v/>
      </c>
    </row>
    <row r="529">
      <c r="B529" s="122">
        <f>IF($L529="","",$M529)</f>
        <v/>
      </c>
      <c r="C529" s="22">
        <f>IF($L529="","",INDEX(HSCEI!$C$7:$C$66,$N529))</f>
        <v/>
      </c>
      <c r="D529" s="22">
        <f>IF($L529="","",INDEX(HSCEI!$D$7:$D$66,$N529))</f>
        <v/>
      </c>
      <c r="E529" s="123">
        <f>IF($L529="","",IF($P529=0,"TBA",IFERROR(INDEX(Grids!$C$160:$BO$219,$N529,$O529),"-")))</f>
        <v/>
      </c>
      <c r="F529" s="22">
        <f>IF($L529="","",INDEX(HSCEI!$F$7:$F$66,$N529))</f>
        <v/>
      </c>
      <c r="G529" s="123">
        <f>IF($L529="","",IF($P529=0,"TBA",IFERROR(INDEX(Grids!$BQ$160:$EC$219,$N529,$O529),"-")))</f>
        <v/>
      </c>
      <c r="H529" s="124">
        <f>IF($L529="","",SUM($G$442:$G529))</f>
        <v/>
      </c>
      <c r="I529" s="45">
        <f>IF($L529="","",IF(INT(($L529-INT($L529/10000000)*10000000)/1000000)=0,"Bloomberg projection",IF($P529=1,"ANNOUNCED","ANNOUNCED - amount TBA")))</f>
        <v/>
      </c>
      <c r="J529" s="46">
        <f>IF($L529="","",IF((OV_SWITCH="ON")*(COUNTIFS(OVR_TICKERS,INDEX(HSCEI!$C$7:$C$66,$N529),OVR_BASE,"&gt;=0")&gt;0)&gt;0,"stock overridden",""))</f>
        <v/>
      </c>
      <c r="L529" s="121">
        <f>IFERROR(IF(SMALL(Grids!$EE$160:$GQ$219,$M$439+88)&gt;=PEND_TO,"",SMALL(Grids!$EE$160:$GQ$219,$M$439+88)),"")</f>
        <v/>
      </c>
      <c r="M529" s="121">
        <f>IF($L529="","",INT($L529/1000000000))</f>
        <v/>
      </c>
      <c r="N529" s="121">
        <f>IF($L529="","",INT(($L529-INT($L529/1000000)*1000000)/1000))</f>
        <v/>
      </c>
      <c r="O529" s="121">
        <f>IF($L529="","",$L529-INT($L529/1000)*1000)</f>
        <v/>
      </c>
      <c r="P529" s="121">
        <f>IF($L529="","",INT(($L529-INT($L529/1000000000)*1000000000)/100000000))</f>
        <v/>
      </c>
    </row>
    <row r="530">
      <c r="B530" s="122">
        <f>IF($L530="","",$M530)</f>
        <v/>
      </c>
      <c r="C530" s="22">
        <f>IF($L530="","",INDEX(HSCEI!$C$7:$C$66,$N530))</f>
        <v/>
      </c>
      <c r="D530" s="22">
        <f>IF($L530="","",INDEX(HSCEI!$D$7:$D$66,$N530))</f>
        <v/>
      </c>
      <c r="E530" s="123">
        <f>IF($L530="","",IF($P530=0,"TBA",IFERROR(INDEX(Grids!$C$160:$BO$219,$N530,$O530),"-")))</f>
        <v/>
      </c>
      <c r="F530" s="22">
        <f>IF($L530="","",INDEX(HSCEI!$F$7:$F$66,$N530))</f>
        <v/>
      </c>
      <c r="G530" s="123">
        <f>IF($L530="","",IF($P530=0,"TBA",IFERROR(INDEX(Grids!$BQ$160:$EC$219,$N530,$O530),"-")))</f>
        <v/>
      </c>
      <c r="H530" s="124">
        <f>IF($L530="","",SUM($G$442:$G530))</f>
        <v/>
      </c>
      <c r="I530" s="45">
        <f>IF($L530="","",IF(INT(($L530-INT($L530/10000000)*10000000)/1000000)=0,"Bloomberg projection",IF($P530=1,"ANNOUNCED","ANNOUNCED - amount TBA")))</f>
        <v/>
      </c>
      <c r="J530" s="46">
        <f>IF($L530="","",IF((OV_SWITCH="ON")*(COUNTIFS(OVR_TICKERS,INDEX(HSCEI!$C$7:$C$66,$N530),OVR_BASE,"&gt;=0")&gt;0)&gt;0,"stock overridden",""))</f>
        <v/>
      </c>
      <c r="L530" s="121">
        <f>IFERROR(IF(SMALL(Grids!$EE$160:$GQ$219,$M$439+89)&gt;=PEND_TO,"",SMALL(Grids!$EE$160:$GQ$219,$M$439+89)),"")</f>
        <v/>
      </c>
      <c r="M530" s="121">
        <f>IF($L530="","",INT($L530/1000000000))</f>
        <v/>
      </c>
      <c r="N530" s="121">
        <f>IF($L530="","",INT(($L530-INT($L530/1000000)*1000000)/1000))</f>
        <v/>
      </c>
      <c r="O530" s="121">
        <f>IF($L530="","",$L530-INT($L530/1000)*1000)</f>
        <v/>
      </c>
      <c r="P530" s="121">
        <f>IF($L530="","",INT(($L530-INT($L530/1000000000)*1000000000)/100000000))</f>
        <v/>
      </c>
    </row>
    <row r="531">
      <c r="B531" s="122">
        <f>IF($L531="","",$M531)</f>
        <v/>
      </c>
      <c r="C531" s="22">
        <f>IF($L531="","",INDEX(HSCEI!$C$7:$C$66,$N531))</f>
        <v/>
      </c>
      <c r="D531" s="22">
        <f>IF($L531="","",INDEX(HSCEI!$D$7:$D$66,$N531))</f>
        <v/>
      </c>
      <c r="E531" s="123">
        <f>IF($L531="","",IF($P531=0,"TBA",IFERROR(INDEX(Grids!$C$160:$BO$219,$N531,$O531),"-")))</f>
        <v/>
      </c>
      <c r="F531" s="22">
        <f>IF($L531="","",INDEX(HSCEI!$F$7:$F$66,$N531))</f>
        <v/>
      </c>
      <c r="G531" s="123">
        <f>IF($L531="","",IF($P531=0,"TBA",IFERROR(INDEX(Grids!$BQ$160:$EC$219,$N531,$O531),"-")))</f>
        <v/>
      </c>
      <c r="H531" s="124">
        <f>IF($L531="","",SUM($G$442:$G531))</f>
        <v/>
      </c>
      <c r="I531" s="45">
        <f>IF($L531="","",IF(INT(($L531-INT($L531/10000000)*10000000)/1000000)=0,"Bloomberg projection",IF($P531=1,"ANNOUNCED","ANNOUNCED - amount TBA")))</f>
        <v/>
      </c>
      <c r="J531" s="46">
        <f>IF($L531="","",IF((OV_SWITCH="ON")*(COUNTIFS(OVR_TICKERS,INDEX(HSCEI!$C$7:$C$66,$N531),OVR_BASE,"&gt;=0")&gt;0)&gt;0,"stock overridden",""))</f>
        <v/>
      </c>
      <c r="L531" s="121">
        <f>IFERROR(IF(SMALL(Grids!$EE$160:$GQ$219,$M$439+90)&gt;=PEND_TO,"",SMALL(Grids!$EE$160:$GQ$219,$M$439+90)),"")</f>
        <v/>
      </c>
      <c r="M531" s="121">
        <f>IF($L531="","",INT($L531/1000000000))</f>
        <v/>
      </c>
      <c r="N531" s="121">
        <f>IF($L531="","",INT(($L531-INT($L531/1000000)*1000000)/1000))</f>
        <v/>
      </c>
      <c r="O531" s="121">
        <f>IF($L531="","",$L531-INT($L531/1000)*1000)</f>
        <v/>
      </c>
      <c r="P531" s="121">
        <f>IF($L531="","",INT(($L531-INT($L531/1000000000)*1000000000)/100000000))</f>
        <v/>
      </c>
    </row>
    <row r="532">
      <c r="B532" s="122">
        <f>IF($L532="","",$M532)</f>
        <v/>
      </c>
      <c r="C532" s="22">
        <f>IF($L532="","",INDEX(HSCEI!$C$7:$C$66,$N532))</f>
        <v/>
      </c>
      <c r="D532" s="22">
        <f>IF($L532="","",INDEX(HSCEI!$D$7:$D$66,$N532))</f>
        <v/>
      </c>
      <c r="E532" s="123">
        <f>IF($L532="","",IF($P532=0,"TBA",IFERROR(INDEX(Grids!$C$160:$BO$219,$N532,$O532),"-")))</f>
        <v/>
      </c>
      <c r="F532" s="22">
        <f>IF($L532="","",INDEX(HSCEI!$F$7:$F$66,$N532))</f>
        <v/>
      </c>
      <c r="G532" s="123">
        <f>IF($L532="","",IF($P532=0,"TBA",IFERROR(INDEX(Grids!$BQ$160:$EC$219,$N532,$O532),"-")))</f>
        <v/>
      </c>
      <c r="H532" s="124">
        <f>IF($L532="","",SUM($G$442:$G532))</f>
        <v/>
      </c>
      <c r="I532" s="45">
        <f>IF($L532="","",IF(INT(($L532-INT($L532/10000000)*10000000)/1000000)=0,"Bloomberg projection",IF($P532=1,"ANNOUNCED","ANNOUNCED - amount TBA")))</f>
        <v/>
      </c>
      <c r="J532" s="46">
        <f>IF($L532="","",IF((OV_SWITCH="ON")*(COUNTIFS(OVR_TICKERS,INDEX(HSCEI!$C$7:$C$66,$N532),OVR_BASE,"&gt;=0")&gt;0)&gt;0,"stock overridden",""))</f>
        <v/>
      </c>
      <c r="L532" s="121">
        <f>IFERROR(IF(SMALL(Grids!$EE$160:$GQ$219,$M$439+91)&gt;=PEND_TO,"",SMALL(Grids!$EE$160:$GQ$219,$M$439+91)),"")</f>
        <v/>
      </c>
      <c r="M532" s="121">
        <f>IF($L532="","",INT($L532/1000000000))</f>
        <v/>
      </c>
      <c r="N532" s="121">
        <f>IF($L532="","",INT(($L532-INT($L532/1000000)*1000000)/1000))</f>
        <v/>
      </c>
      <c r="O532" s="121">
        <f>IF($L532="","",$L532-INT($L532/1000)*1000)</f>
        <v/>
      </c>
      <c r="P532" s="121">
        <f>IF($L532="","",INT(($L532-INT($L532/1000000000)*1000000000)/100000000))</f>
        <v/>
      </c>
    </row>
    <row r="533">
      <c r="B533" s="122">
        <f>IF($L533="","",$M533)</f>
        <v/>
      </c>
      <c r="C533" s="22">
        <f>IF($L533="","",INDEX(HSCEI!$C$7:$C$66,$N533))</f>
        <v/>
      </c>
      <c r="D533" s="22">
        <f>IF($L533="","",INDEX(HSCEI!$D$7:$D$66,$N533))</f>
        <v/>
      </c>
      <c r="E533" s="123">
        <f>IF($L533="","",IF($P533=0,"TBA",IFERROR(INDEX(Grids!$C$160:$BO$219,$N533,$O533),"-")))</f>
        <v/>
      </c>
      <c r="F533" s="22">
        <f>IF($L533="","",INDEX(HSCEI!$F$7:$F$66,$N533))</f>
        <v/>
      </c>
      <c r="G533" s="123">
        <f>IF($L533="","",IF($P533=0,"TBA",IFERROR(INDEX(Grids!$BQ$160:$EC$219,$N533,$O533),"-")))</f>
        <v/>
      </c>
      <c r="H533" s="124">
        <f>IF($L533="","",SUM($G$442:$G533))</f>
        <v/>
      </c>
      <c r="I533" s="45">
        <f>IF($L533="","",IF(INT(($L533-INT($L533/10000000)*10000000)/1000000)=0,"Bloomberg projection",IF($P533=1,"ANNOUNCED","ANNOUNCED - amount TBA")))</f>
        <v/>
      </c>
      <c r="J533" s="46">
        <f>IF($L533="","",IF((OV_SWITCH="ON")*(COUNTIFS(OVR_TICKERS,INDEX(HSCEI!$C$7:$C$66,$N533),OVR_BASE,"&gt;=0")&gt;0)&gt;0,"stock overridden",""))</f>
        <v/>
      </c>
      <c r="L533" s="121">
        <f>IFERROR(IF(SMALL(Grids!$EE$160:$GQ$219,$M$439+92)&gt;=PEND_TO,"",SMALL(Grids!$EE$160:$GQ$219,$M$439+92)),"")</f>
        <v/>
      </c>
      <c r="M533" s="121">
        <f>IF($L533="","",INT($L533/1000000000))</f>
        <v/>
      </c>
      <c r="N533" s="121">
        <f>IF($L533="","",INT(($L533-INT($L533/1000000)*1000000)/1000))</f>
        <v/>
      </c>
      <c r="O533" s="121">
        <f>IF($L533="","",$L533-INT($L533/1000)*1000)</f>
        <v/>
      </c>
      <c r="P533" s="121">
        <f>IF($L533="","",INT(($L533-INT($L533/1000000000)*1000000000)/100000000))</f>
        <v/>
      </c>
    </row>
    <row r="534">
      <c r="B534" s="122">
        <f>IF($L534="","",$M534)</f>
        <v/>
      </c>
      <c r="C534" s="22">
        <f>IF($L534="","",INDEX(HSCEI!$C$7:$C$66,$N534))</f>
        <v/>
      </c>
      <c r="D534" s="22">
        <f>IF($L534="","",INDEX(HSCEI!$D$7:$D$66,$N534))</f>
        <v/>
      </c>
      <c r="E534" s="123">
        <f>IF($L534="","",IF($P534=0,"TBA",IFERROR(INDEX(Grids!$C$160:$BO$219,$N534,$O534),"-")))</f>
        <v/>
      </c>
      <c r="F534" s="22">
        <f>IF($L534="","",INDEX(HSCEI!$F$7:$F$66,$N534))</f>
        <v/>
      </c>
      <c r="G534" s="123">
        <f>IF($L534="","",IF($P534=0,"TBA",IFERROR(INDEX(Grids!$BQ$160:$EC$219,$N534,$O534),"-")))</f>
        <v/>
      </c>
      <c r="H534" s="124">
        <f>IF($L534="","",SUM($G$442:$G534))</f>
        <v/>
      </c>
      <c r="I534" s="45">
        <f>IF($L534="","",IF(INT(($L534-INT($L534/10000000)*10000000)/1000000)=0,"Bloomberg projection",IF($P534=1,"ANNOUNCED","ANNOUNCED - amount TBA")))</f>
        <v/>
      </c>
      <c r="J534" s="46">
        <f>IF($L534="","",IF((OV_SWITCH="ON")*(COUNTIFS(OVR_TICKERS,INDEX(HSCEI!$C$7:$C$66,$N534),OVR_BASE,"&gt;=0")&gt;0)&gt;0,"stock overridden",""))</f>
        <v/>
      </c>
      <c r="L534" s="121">
        <f>IFERROR(IF(SMALL(Grids!$EE$160:$GQ$219,$M$439+93)&gt;=PEND_TO,"",SMALL(Grids!$EE$160:$GQ$219,$M$439+93)),"")</f>
        <v/>
      </c>
      <c r="M534" s="121">
        <f>IF($L534="","",INT($L534/1000000000))</f>
        <v/>
      </c>
      <c r="N534" s="121">
        <f>IF($L534="","",INT(($L534-INT($L534/1000000)*1000000)/1000))</f>
        <v/>
      </c>
      <c r="O534" s="121">
        <f>IF($L534="","",$L534-INT($L534/1000)*1000)</f>
        <v/>
      </c>
      <c r="P534" s="121">
        <f>IF($L534="","",INT(($L534-INT($L534/1000000000)*1000000000)/100000000))</f>
        <v/>
      </c>
    </row>
    <row r="535">
      <c r="B535" s="122">
        <f>IF($L535="","",$M535)</f>
        <v/>
      </c>
      <c r="C535" s="22">
        <f>IF($L535="","",INDEX(HSCEI!$C$7:$C$66,$N535))</f>
        <v/>
      </c>
      <c r="D535" s="22">
        <f>IF($L535="","",INDEX(HSCEI!$D$7:$D$66,$N535))</f>
        <v/>
      </c>
      <c r="E535" s="123">
        <f>IF($L535="","",IF($P535=0,"TBA",IFERROR(INDEX(Grids!$C$160:$BO$219,$N535,$O535),"-")))</f>
        <v/>
      </c>
      <c r="F535" s="22">
        <f>IF($L535="","",INDEX(HSCEI!$F$7:$F$66,$N535))</f>
        <v/>
      </c>
      <c r="G535" s="123">
        <f>IF($L535="","",IF($P535=0,"TBA",IFERROR(INDEX(Grids!$BQ$160:$EC$219,$N535,$O535),"-")))</f>
        <v/>
      </c>
      <c r="H535" s="124">
        <f>IF($L535="","",SUM($G$442:$G535))</f>
        <v/>
      </c>
      <c r="I535" s="45">
        <f>IF($L535="","",IF(INT(($L535-INT($L535/10000000)*10000000)/1000000)=0,"Bloomberg projection",IF($P535=1,"ANNOUNCED","ANNOUNCED - amount TBA")))</f>
        <v/>
      </c>
      <c r="J535" s="46">
        <f>IF($L535="","",IF((OV_SWITCH="ON")*(COUNTIFS(OVR_TICKERS,INDEX(HSCEI!$C$7:$C$66,$N535),OVR_BASE,"&gt;=0")&gt;0)&gt;0,"stock overridden",""))</f>
        <v/>
      </c>
      <c r="L535" s="121">
        <f>IFERROR(IF(SMALL(Grids!$EE$160:$GQ$219,$M$439+94)&gt;=PEND_TO,"",SMALL(Grids!$EE$160:$GQ$219,$M$439+94)),"")</f>
        <v/>
      </c>
      <c r="M535" s="121">
        <f>IF($L535="","",INT($L535/1000000000))</f>
        <v/>
      </c>
      <c r="N535" s="121">
        <f>IF($L535="","",INT(($L535-INT($L535/1000000)*1000000)/1000))</f>
        <v/>
      </c>
      <c r="O535" s="121">
        <f>IF($L535="","",$L535-INT($L535/1000)*1000)</f>
        <v/>
      </c>
      <c r="P535" s="121">
        <f>IF($L535="","",INT(($L535-INT($L535/1000000000)*1000000000)/100000000))</f>
        <v/>
      </c>
    </row>
    <row r="536">
      <c r="B536" s="122">
        <f>IF($L536="","",$M536)</f>
        <v/>
      </c>
      <c r="C536" s="22">
        <f>IF($L536="","",INDEX(HSCEI!$C$7:$C$66,$N536))</f>
        <v/>
      </c>
      <c r="D536" s="22">
        <f>IF($L536="","",INDEX(HSCEI!$D$7:$D$66,$N536))</f>
        <v/>
      </c>
      <c r="E536" s="123">
        <f>IF($L536="","",IF($P536=0,"TBA",IFERROR(INDEX(Grids!$C$160:$BO$219,$N536,$O536),"-")))</f>
        <v/>
      </c>
      <c r="F536" s="22">
        <f>IF($L536="","",INDEX(HSCEI!$F$7:$F$66,$N536))</f>
        <v/>
      </c>
      <c r="G536" s="123">
        <f>IF($L536="","",IF($P536=0,"TBA",IFERROR(INDEX(Grids!$BQ$160:$EC$219,$N536,$O536),"-")))</f>
        <v/>
      </c>
      <c r="H536" s="124">
        <f>IF($L536="","",SUM($G$442:$G536))</f>
        <v/>
      </c>
      <c r="I536" s="45">
        <f>IF($L536="","",IF(INT(($L536-INT($L536/10000000)*10000000)/1000000)=0,"Bloomberg projection",IF($P536=1,"ANNOUNCED","ANNOUNCED - amount TBA")))</f>
        <v/>
      </c>
      <c r="J536" s="46">
        <f>IF($L536="","",IF((OV_SWITCH="ON")*(COUNTIFS(OVR_TICKERS,INDEX(HSCEI!$C$7:$C$66,$N536),OVR_BASE,"&gt;=0")&gt;0)&gt;0,"stock overridden",""))</f>
        <v/>
      </c>
      <c r="L536" s="121">
        <f>IFERROR(IF(SMALL(Grids!$EE$160:$GQ$219,$M$439+95)&gt;=PEND_TO,"",SMALL(Grids!$EE$160:$GQ$219,$M$439+95)),"")</f>
        <v/>
      </c>
      <c r="M536" s="121">
        <f>IF($L536="","",INT($L536/1000000000))</f>
        <v/>
      </c>
      <c r="N536" s="121">
        <f>IF($L536="","",INT(($L536-INT($L536/1000000)*1000000)/1000))</f>
        <v/>
      </c>
      <c r="O536" s="121">
        <f>IF($L536="","",$L536-INT($L536/1000)*1000)</f>
        <v/>
      </c>
      <c r="P536" s="121">
        <f>IF($L536="","",INT(($L536-INT($L536/1000000000)*1000000000)/100000000))</f>
        <v/>
      </c>
    </row>
    <row r="537">
      <c r="B537" s="122">
        <f>IF($L537="","",$M537)</f>
        <v/>
      </c>
      <c r="C537" s="22">
        <f>IF($L537="","",INDEX(HSCEI!$C$7:$C$66,$N537))</f>
        <v/>
      </c>
      <c r="D537" s="22">
        <f>IF($L537="","",INDEX(HSCEI!$D$7:$D$66,$N537))</f>
        <v/>
      </c>
      <c r="E537" s="123">
        <f>IF($L537="","",IF($P537=0,"TBA",IFERROR(INDEX(Grids!$C$160:$BO$219,$N537,$O537),"-")))</f>
        <v/>
      </c>
      <c r="F537" s="22">
        <f>IF($L537="","",INDEX(HSCEI!$F$7:$F$66,$N537))</f>
        <v/>
      </c>
      <c r="G537" s="123">
        <f>IF($L537="","",IF($P537=0,"TBA",IFERROR(INDEX(Grids!$BQ$160:$EC$219,$N537,$O537),"-")))</f>
        <v/>
      </c>
      <c r="H537" s="124">
        <f>IF($L537="","",SUM($G$442:$G537))</f>
        <v/>
      </c>
      <c r="I537" s="45">
        <f>IF($L537="","",IF(INT(($L537-INT($L537/10000000)*10000000)/1000000)=0,"Bloomberg projection",IF($P537=1,"ANNOUNCED","ANNOUNCED - amount TBA")))</f>
        <v/>
      </c>
      <c r="J537" s="46">
        <f>IF($L537="","",IF((OV_SWITCH="ON")*(COUNTIFS(OVR_TICKERS,INDEX(HSCEI!$C$7:$C$66,$N537),OVR_BASE,"&gt;=0")&gt;0)&gt;0,"stock overridden",""))</f>
        <v/>
      </c>
      <c r="L537" s="121">
        <f>IFERROR(IF(SMALL(Grids!$EE$160:$GQ$219,$M$439+96)&gt;=PEND_TO,"",SMALL(Grids!$EE$160:$GQ$219,$M$439+96)),"")</f>
        <v/>
      </c>
      <c r="M537" s="121">
        <f>IF($L537="","",INT($L537/1000000000))</f>
        <v/>
      </c>
      <c r="N537" s="121">
        <f>IF($L537="","",INT(($L537-INT($L537/1000000)*1000000)/1000))</f>
        <v/>
      </c>
      <c r="O537" s="121">
        <f>IF($L537="","",$L537-INT($L537/1000)*1000)</f>
        <v/>
      </c>
      <c r="P537" s="121">
        <f>IF($L537="","",INT(($L537-INT($L537/1000000000)*1000000000)/100000000))</f>
        <v/>
      </c>
    </row>
    <row r="538">
      <c r="B538" s="122">
        <f>IF($L538="","",$M538)</f>
        <v/>
      </c>
      <c r="C538" s="22">
        <f>IF($L538="","",INDEX(HSCEI!$C$7:$C$66,$N538))</f>
        <v/>
      </c>
      <c r="D538" s="22">
        <f>IF($L538="","",INDEX(HSCEI!$D$7:$D$66,$N538))</f>
        <v/>
      </c>
      <c r="E538" s="123">
        <f>IF($L538="","",IF($P538=0,"TBA",IFERROR(INDEX(Grids!$C$160:$BO$219,$N538,$O538),"-")))</f>
        <v/>
      </c>
      <c r="F538" s="22">
        <f>IF($L538="","",INDEX(HSCEI!$F$7:$F$66,$N538))</f>
        <v/>
      </c>
      <c r="G538" s="123">
        <f>IF($L538="","",IF($P538=0,"TBA",IFERROR(INDEX(Grids!$BQ$160:$EC$219,$N538,$O538),"-")))</f>
        <v/>
      </c>
      <c r="H538" s="124">
        <f>IF($L538="","",SUM($G$442:$G538))</f>
        <v/>
      </c>
      <c r="I538" s="45">
        <f>IF($L538="","",IF(INT(($L538-INT($L538/10000000)*10000000)/1000000)=0,"Bloomberg projection",IF($P538=1,"ANNOUNCED","ANNOUNCED - amount TBA")))</f>
        <v/>
      </c>
      <c r="J538" s="46">
        <f>IF($L538="","",IF((OV_SWITCH="ON")*(COUNTIFS(OVR_TICKERS,INDEX(HSCEI!$C$7:$C$66,$N538),OVR_BASE,"&gt;=0")&gt;0)&gt;0,"stock overridden",""))</f>
        <v/>
      </c>
      <c r="L538" s="121">
        <f>IFERROR(IF(SMALL(Grids!$EE$160:$GQ$219,$M$439+97)&gt;=PEND_TO,"",SMALL(Grids!$EE$160:$GQ$219,$M$439+97)),"")</f>
        <v/>
      </c>
      <c r="M538" s="121">
        <f>IF($L538="","",INT($L538/1000000000))</f>
        <v/>
      </c>
      <c r="N538" s="121">
        <f>IF($L538="","",INT(($L538-INT($L538/1000000)*1000000)/1000))</f>
        <v/>
      </c>
      <c r="O538" s="121">
        <f>IF($L538="","",$L538-INT($L538/1000)*1000)</f>
        <v/>
      </c>
      <c r="P538" s="121">
        <f>IF($L538="","",INT(($L538-INT($L538/1000000000)*1000000000)/100000000))</f>
        <v/>
      </c>
    </row>
    <row r="539">
      <c r="B539" s="122">
        <f>IF($L539="","",$M539)</f>
        <v/>
      </c>
      <c r="C539" s="22">
        <f>IF($L539="","",INDEX(HSCEI!$C$7:$C$66,$N539))</f>
        <v/>
      </c>
      <c r="D539" s="22">
        <f>IF($L539="","",INDEX(HSCEI!$D$7:$D$66,$N539))</f>
        <v/>
      </c>
      <c r="E539" s="123">
        <f>IF($L539="","",IF($P539=0,"TBA",IFERROR(INDEX(Grids!$C$160:$BO$219,$N539,$O539),"-")))</f>
        <v/>
      </c>
      <c r="F539" s="22">
        <f>IF($L539="","",INDEX(HSCEI!$F$7:$F$66,$N539))</f>
        <v/>
      </c>
      <c r="G539" s="123">
        <f>IF($L539="","",IF($P539=0,"TBA",IFERROR(INDEX(Grids!$BQ$160:$EC$219,$N539,$O539),"-")))</f>
        <v/>
      </c>
      <c r="H539" s="124">
        <f>IF($L539="","",SUM($G$442:$G539))</f>
        <v/>
      </c>
      <c r="I539" s="45">
        <f>IF($L539="","",IF(INT(($L539-INT($L539/10000000)*10000000)/1000000)=0,"Bloomberg projection",IF($P539=1,"ANNOUNCED","ANNOUNCED - amount TBA")))</f>
        <v/>
      </c>
      <c r="J539" s="46">
        <f>IF($L539="","",IF((OV_SWITCH="ON")*(COUNTIFS(OVR_TICKERS,INDEX(HSCEI!$C$7:$C$66,$N539),OVR_BASE,"&gt;=0")&gt;0)&gt;0,"stock overridden",""))</f>
        <v/>
      </c>
      <c r="L539" s="121">
        <f>IFERROR(IF(SMALL(Grids!$EE$160:$GQ$219,$M$439+98)&gt;=PEND_TO,"",SMALL(Grids!$EE$160:$GQ$219,$M$439+98)),"")</f>
        <v/>
      </c>
      <c r="M539" s="121">
        <f>IF($L539="","",INT($L539/1000000000))</f>
        <v/>
      </c>
      <c r="N539" s="121">
        <f>IF($L539="","",INT(($L539-INT($L539/1000000)*1000000)/1000))</f>
        <v/>
      </c>
      <c r="O539" s="121">
        <f>IF($L539="","",$L539-INT($L539/1000)*1000)</f>
        <v/>
      </c>
      <c r="P539" s="121">
        <f>IF($L539="","",INT(($L539-INT($L539/1000000000)*1000000000)/100000000))</f>
        <v/>
      </c>
    </row>
    <row r="540">
      <c r="B540" s="122">
        <f>IF($L540="","",$M540)</f>
        <v/>
      </c>
      <c r="C540" s="22">
        <f>IF($L540="","",INDEX(HSCEI!$C$7:$C$66,$N540))</f>
        <v/>
      </c>
      <c r="D540" s="22">
        <f>IF($L540="","",INDEX(HSCEI!$D$7:$D$66,$N540))</f>
        <v/>
      </c>
      <c r="E540" s="123">
        <f>IF($L540="","",IF($P540=0,"TBA",IFERROR(INDEX(Grids!$C$160:$BO$219,$N540,$O540),"-")))</f>
        <v/>
      </c>
      <c r="F540" s="22">
        <f>IF($L540="","",INDEX(HSCEI!$F$7:$F$66,$N540))</f>
        <v/>
      </c>
      <c r="G540" s="123">
        <f>IF($L540="","",IF($P540=0,"TBA",IFERROR(INDEX(Grids!$BQ$160:$EC$219,$N540,$O540),"-")))</f>
        <v/>
      </c>
      <c r="H540" s="124">
        <f>IF($L540="","",SUM($G$442:$G540))</f>
        <v/>
      </c>
      <c r="I540" s="45">
        <f>IF($L540="","",IF(INT(($L540-INT($L540/10000000)*10000000)/1000000)=0,"Bloomberg projection",IF($P540=1,"ANNOUNCED","ANNOUNCED - amount TBA")))</f>
        <v/>
      </c>
      <c r="J540" s="46">
        <f>IF($L540="","",IF((OV_SWITCH="ON")*(COUNTIFS(OVR_TICKERS,INDEX(HSCEI!$C$7:$C$66,$N540),OVR_BASE,"&gt;=0")&gt;0)&gt;0,"stock overridden",""))</f>
        <v/>
      </c>
      <c r="L540" s="121">
        <f>IFERROR(IF(SMALL(Grids!$EE$160:$GQ$219,$M$439+99)&gt;=PEND_TO,"",SMALL(Grids!$EE$160:$GQ$219,$M$439+99)),"")</f>
        <v/>
      </c>
      <c r="M540" s="121">
        <f>IF($L540="","",INT($L540/1000000000))</f>
        <v/>
      </c>
      <c r="N540" s="121">
        <f>IF($L540="","",INT(($L540-INT($L540/1000000)*1000000)/1000))</f>
        <v/>
      </c>
      <c r="O540" s="121">
        <f>IF($L540="","",$L540-INT($L540/1000)*1000)</f>
        <v/>
      </c>
      <c r="P540" s="121">
        <f>IF($L540="","",INT(($L540-INT($L540/1000000000)*1000000000)/100000000))</f>
        <v/>
      </c>
    </row>
    <row r="541">
      <c r="B541" s="122">
        <f>IF($L541="","",$M541)</f>
        <v/>
      </c>
      <c r="C541" s="22">
        <f>IF($L541="","",INDEX(HSCEI!$C$7:$C$66,$N541))</f>
        <v/>
      </c>
      <c r="D541" s="22">
        <f>IF($L541="","",INDEX(HSCEI!$D$7:$D$66,$N541))</f>
        <v/>
      </c>
      <c r="E541" s="123">
        <f>IF($L541="","",IF($P541=0,"TBA",IFERROR(INDEX(Grids!$C$160:$BO$219,$N541,$O541),"-")))</f>
        <v/>
      </c>
      <c r="F541" s="22">
        <f>IF($L541="","",INDEX(HSCEI!$F$7:$F$66,$N541))</f>
        <v/>
      </c>
      <c r="G541" s="123">
        <f>IF($L541="","",IF($P541=0,"TBA",IFERROR(INDEX(Grids!$BQ$160:$EC$219,$N541,$O541),"-")))</f>
        <v/>
      </c>
      <c r="H541" s="124">
        <f>IF($L541="","",SUM($G$442:$G541))</f>
        <v/>
      </c>
      <c r="I541" s="45">
        <f>IF($L541="","",IF(INT(($L541-INT($L541/10000000)*10000000)/1000000)=0,"Bloomberg projection",IF($P541=1,"ANNOUNCED","ANNOUNCED - amount TBA")))</f>
        <v/>
      </c>
      <c r="J541" s="46">
        <f>IF($L541="","",IF((OV_SWITCH="ON")*(COUNTIFS(OVR_TICKERS,INDEX(HSCEI!$C$7:$C$66,$N541),OVR_BASE,"&gt;=0")&gt;0)&gt;0,"stock overridden",""))</f>
        <v/>
      </c>
      <c r="L541" s="121">
        <f>IFERROR(IF(SMALL(Grids!$EE$160:$GQ$219,$M$439+100)&gt;=PEND_TO,"",SMALL(Grids!$EE$160:$GQ$219,$M$439+100)),"")</f>
        <v/>
      </c>
      <c r="M541" s="121">
        <f>IF($L541="","",INT($L541/1000000000))</f>
        <v/>
      </c>
      <c r="N541" s="121">
        <f>IF($L541="","",INT(($L541-INT($L541/1000000)*1000000)/1000))</f>
        <v/>
      </c>
      <c r="O541" s="121">
        <f>IF($L541="","",$L541-INT($L541/1000)*1000)</f>
        <v/>
      </c>
      <c r="P541" s="121">
        <f>IF($L541="","",INT(($L541-INT($L541/1000000000)*1000000000)/100000000))</f>
        <v/>
      </c>
    </row>
    <row r="542">
      <c r="B542" s="122">
        <f>IF($L542="","",$M542)</f>
        <v/>
      </c>
      <c r="C542" s="22">
        <f>IF($L542="","",INDEX(HSCEI!$C$7:$C$66,$N542))</f>
        <v/>
      </c>
      <c r="D542" s="22">
        <f>IF($L542="","",INDEX(HSCEI!$D$7:$D$66,$N542))</f>
        <v/>
      </c>
      <c r="E542" s="123">
        <f>IF($L542="","",IF($P542=0,"TBA",IFERROR(INDEX(Grids!$C$160:$BO$219,$N542,$O542),"-")))</f>
        <v/>
      </c>
      <c r="F542" s="22">
        <f>IF($L542="","",INDEX(HSCEI!$F$7:$F$66,$N542))</f>
        <v/>
      </c>
      <c r="G542" s="123">
        <f>IF($L542="","",IF($P542=0,"TBA",IFERROR(INDEX(Grids!$BQ$160:$EC$219,$N542,$O542),"-")))</f>
        <v/>
      </c>
      <c r="H542" s="124">
        <f>IF($L542="","",SUM($G$442:$G542))</f>
        <v/>
      </c>
      <c r="I542" s="45">
        <f>IF($L542="","",IF(INT(($L542-INT($L542/10000000)*10000000)/1000000)=0,"Bloomberg projection",IF($P542=1,"ANNOUNCED","ANNOUNCED - amount TBA")))</f>
        <v/>
      </c>
      <c r="J542" s="46">
        <f>IF($L542="","",IF((OV_SWITCH="ON")*(COUNTIFS(OVR_TICKERS,INDEX(HSCEI!$C$7:$C$66,$N542),OVR_BASE,"&gt;=0")&gt;0)&gt;0,"stock overridden",""))</f>
        <v/>
      </c>
      <c r="L542" s="121">
        <f>IFERROR(IF(SMALL(Grids!$EE$160:$GQ$219,$M$439+101)&gt;=PEND_TO,"",SMALL(Grids!$EE$160:$GQ$219,$M$439+101)),"")</f>
        <v/>
      </c>
      <c r="M542" s="121">
        <f>IF($L542="","",INT($L542/1000000000))</f>
        <v/>
      </c>
      <c r="N542" s="121">
        <f>IF($L542="","",INT(($L542-INT($L542/1000000)*1000000)/1000))</f>
        <v/>
      </c>
      <c r="O542" s="121">
        <f>IF($L542="","",$L542-INT($L542/1000)*1000)</f>
        <v/>
      </c>
      <c r="P542" s="121">
        <f>IF($L542="","",INT(($L542-INT($L542/1000000000)*1000000000)/100000000))</f>
        <v/>
      </c>
    </row>
    <row r="543">
      <c r="B543" s="122">
        <f>IF($L543="","",$M543)</f>
        <v/>
      </c>
      <c r="C543" s="22">
        <f>IF($L543="","",INDEX(HSCEI!$C$7:$C$66,$N543))</f>
        <v/>
      </c>
      <c r="D543" s="22">
        <f>IF($L543="","",INDEX(HSCEI!$D$7:$D$66,$N543))</f>
        <v/>
      </c>
      <c r="E543" s="123">
        <f>IF($L543="","",IF($P543=0,"TBA",IFERROR(INDEX(Grids!$C$160:$BO$219,$N543,$O543),"-")))</f>
        <v/>
      </c>
      <c r="F543" s="22">
        <f>IF($L543="","",INDEX(HSCEI!$F$7:$F$66,$N543))</f>
        <v/>
      </c>
      <c r="G543" s="123">
        <f>IF($L543="","",IF($P543=0,"TBA",IFERROR(INDEX(Grids!$BQ$160:$EC$219,$N543,$O543),"-")))</f>
        <v/>
      </c>
      <c r="H543" s="124">
        <f>IF($L543="","",SUM($G$442:$G543))</f>
        <v/>
      </c>
      <c r="I543" s="45">
        <f>IF($L543="","",IF(INT(($L543-INT($L543/10000000)*10000000)/1000000)=0,"Bloomberg projection",IF($P543=1,"ANNOUNCED","ANNOUNCED - amount TBA")))</f>
        <v/>
      </c>
      <c r="J543" s="46">
        <f>IF($L543="","",IF((OV_SWITCH="ON")*(COUNTIFS(OVR_TICKERS,INDEX(HSCEI!$C$7:$C$66,$N543),OVR_BASE,"&gt;=0")&gt;0)&gt;0,"stock overridden",""))</f>
        <v/>
      </c>
      <c r="L543" s="121">
        <f>IFERROR(IF(SMALL(Grids!$EE$160:$GQ$219,$M$439+102)&gt;=PEND_TO,"",SMALL(Grids!$EE$160:$GQ$219,$M$439+102)),"")</f>
        <v/>
      </c>
      <c r="M543" s="121">
        <f>IF($L543="","",INT($L543/1000000000))</f>
        <v/>
      </c>
      <c r="N543" s="121">
        <f>IF($L543="","",INT(($L543-INT($L543/1000000)*1000000)/1000))</f>
        <v/>
      </c>
      <c r="O543" s="121">
        <f>IF($L543="","",$L543-INT($L543/1000)*1000)</f>
        <v/>
      </c>
      <c r="P543" s="121">
        <f>IF($L543="","",INT(($L543-INT($L543/1000000000)*1000000000)/100000000))</f>
        <v/>
      </c>
    </row>
    <row r="544">
      <c r="B544" s="122">
        <f>IF($L544="","",$M544)</f>
        <v/>
      </c>
      <c r="C544" s="22">
        <f>IF($L544="","",INDEX(HSCEI!$C$7:$C$66,$N544))</f>
        <v/>
      </c>
      <c r="D544" s="22">
        <f>IF($L544="","",INDEX(HSCEI!$D$7:$D$66,$N544))</f>
        <v/>
      </c>
      <c r="E544" s="123">
        <f>IF($L544="","",IF($P544=0,"TBA",IFERROR(INDEX(Grids!$C$160:$BO$219,$N544,$O544),"-")))</f>
        <v/>
      </c>
      <c r="F544" s="22">
        <f>IF($L544="","",INDEX(HSCEI!$F$7:$F$66,$N544))</f>
        <v/>
      </c>
      <c r="G544" s="123">
        <f>IF($L544="","",IF($P544=0,"TBA",IFERROR(INDEX(Grids!$BQ$160:$EC$219,$N544,$O544),"-")))</f>
        <v/>
      </c>
      <c r="H544" s="124">
        <f>IF($L544="","",SUM($G$442:$G544))</f>
        <v/>
      </c>
      <c r="I544" s="45">
        <f>IF($L544="","",IF(INT(($L544-INT($L544/10000000)*10000000)/1000000)=0,"Bloomberg projection",IF($P544=1,"ANNOUNCED","ANNOUNCED - amount TBA")))</f>
        <v/>
      </c>
      <c r="J544" s="46">
        <f>IF($L544="","",IF((OV_SWITCH="ON")*(COUNTIFS(OVR_TICKERS,INDEX(HSCEI!$C$7:$C$66,$N544),OVR_BASE,"&gt;=0")&gt;0)&gt;0,"stock overridden",""))</f>
        <v/>
      </c>
      <c r="L544" s="121">
        <f>IFERROR(IF(SMALL(Grids!$EE$160:$GQ$219,$M$439+103)&gt;=PEND_TO,"",SMALL(Grids!$EE$160:$GQ$219,$M$439+103)),"")</f>
        <v/>
      </c>
      <c r="M544" s="121">
        <f>IF($L544="","",INT($L544/1000000000))</f>
        <v/>
      </c>
      <c r="N544" s="121">
        <f>IF($L544="","",INT(($L544-INT($L544/1000000)*1000000)/1000))</f>
        <v/>
      </c>
      <c r="O544" s="121">
        <f>IF($L544="","",$L544-INT($L544/1000)*1000)</f>
        <v/>
      </c>
      <c r="P544" s="121">
        <f>IF($L544="","",INT(($L544-INT($L544/1000000000)*1000000000)/100000000))</f>
        <v/>
      </c>
    </row>
    <row r="545">
      <c r="B545" s="122">
        <f>IF($L545="","",$M545)</f>
        <v/>
      </c>
      <c r="C545" s="22">
        <f>IF($L545="","",INDEX(HSCEI!$C$7:$C$66,$N545))</f>
        <v/>
      </c>
      <c r="D545" s="22">
        <f>IF($L545="","",INDEX(HSCEI!$D$7:$D$66,$N545))</f>
        <v/>
      </c>
      <c r="E545" s="123">
        <f>IF($L545="","",IF($P545=0,"TBA",IFERROR(INDEX(Grids!$C$160:$BO$219,$N545,$O545),"-")))</f>
        <v/>
      </c>
      <c r="F545" s="22">
        <f>IF($L545="","",INDEX(HSCEI!$F$7:$F$66,$N545))</f>
        <v/>
      </c>
      <c r="G545" s="123">
        <f>IF($L545="","",IF($P545=0,"TBA",IFERROR(INDEX(Grids!$BQ$160:$EC$219,$N545,$O545),"-")))</f>
        <v/>
      </c>
      <c r="H545" s="124">
        <f>IF($L545="","",SUM($G$442:$G545))</f>
        <v/>
      </c>
      <c r="I545" s="45">
        <f>IF($L545="","",IF(INT(($L545-INT($L545/10000000)*10000000)/1000000)=0,"Bloomberg projection",IF($P545=1,"ANNOUNCED","ANNOUNCED - amount TBA")))</f>
        <v/>
      </c>
      <c r="J545" s="46">
        <f>IF($L545="","",IF((OV_SWITCH="ON")*(COUNTIFS(OVR_TICKERS,INDEX(HSCEI!$C$7:$C$66,$N545),OVR_BASE,"&gt;=0")&gt;0)&gt;0,"stock overridden",""))</f>
        <v/>
      </c>
      <c r="L545" s="121">
        <f>IFERROR(IF(SMALL(Grids!$EE$160:$GQ$219,$M$439+104)&gt;=PEND_TO,"",SMALL(Grids!$EE$160:$GQ$219,$M$439+104)),"")</f>
        <v/>
      </c>
      <c r="M545" s="121">
        <f>IF($L545="","",INT($L545/1000000000))</f>
        <v/>
      </c>
      <c r="N545" s="121">
        <f>IF($L545="","",INT(($L545-INT($L545/1000000)*1000000)/1000))</f>
        <v/>
      </c>
      <c r="O545" s="121">
        <f>IF($L545="","",$L545-INT($L545/1000)*1000)</f>
        <v/>
      </c>
      <c r="P545" s="121">
        <f>IF($L545="","",INT(($L545-INT($L545/1000000000)*1000000000)/100000000))</f>
        <v/>
      </c>
    </row>
    <row r="546">
      <c r="B546" s="122">
        <f>IF($L546="","",$M546)</f>
        <v/>
      </c>
      <c r="C546" s="22">
        <f>IF($L546="","",INDEX(HSCEI!$C$7:$C$66,$N546))</f>
        <v/>
      </c>
      <c r="D546" s="22">
        <f>IF($L546="","",INDEX(HSCEI!$D$7:$D$66,$N546))</f>
        <v/>
      </c>
      <c r="E546" s="123">
        <f>IF($L546="","",IF($P546=0,"TBA",IFERROR(INDEX(Grids!$C$160:$BO$219,$N546,$O546),"-")))</f>
        <v/>
      </c>
      <c r="F546" s="22">
        <f>IF($L546="","",INDEX(HSCEI!$F$7:$F$66,$N546))</f>
        <v/>
      </c>
      <c r="G546" s="123">
        <f>IF($L546="","",IF($P546=0,"TBA",IFERROR(INDEX(Grids!$BQ$160:$EC$219,$N546,$O546),"-")))</f>
        <v/>
      </c>
      <c r="H546" s="124">
        <f>IF($L546="","",SUM($G$442:$G546))</f>
        <v/>
      </c>
      <c r="I546" s="45">
        <f>IF($L546="","",IF(INT(($L546-INT($L546/10000000)*10000000)/1000000)=0,"Bloomberg projection",IF($P546=1,"ANNOUNCED","ANNOUNCED - amount TBA")))</f>
        <v/>
      </c>
      <c r="J546" s="46">
        <f>IF($L546="","",IF((OV_SWITCH="ON")*(COUNTIFS(OVR_TICKERS,INDEX(HSCEI!$C$7:$C$66,$N546),OVR_BASE,"&gt;=0")&gt;0)&gt;0,"stock overridden",""))</f>
        <v/>
      </c>
      <c r="L546" s="121">
        <f>IFERROR(IF(SMALL(Grids!$EE$160:$GQ$219,$M$439+105)&gt;=PEND_TO,"",SMALL(Grids!$EE$160:$GQ$219,$M$439+105)),"")</f>
        <v/>
      </c>
      <c r="M546" s="121">
        <f>IF($L546="","",INT($L546/1000000000))</f>
        <v/>
      </c>
      <c r="N546" s="121">
        <f>IF($L546="","",INT(($L546-INT($L546/1000000)*1000000)/1000))</f>
        <v/>
      </c>
      <c r="O546" s="121">
        <f>IF($L546="","",$L546-INT($L546/1000)*1000)</f>
        <v/>
      </c>
      <c r="P546" s="121">
        <f>IF($L546="","",INT(($L546-INT($L546/1000000000)*1000000000)/100000000))</f>
        <v/>
      </c>
    </row>
    <row r="547">
      <c r="B547" s="122">
        <f>IF($L547="","",$M547)</f>
        <v/>
      </c>
      <c r="C547" s="22">
        <f>IF($L547="","",INDEX(HSCEI!$C$7:$C$66,$N547))</f>
        <v/>
      </c>
      <c r="D547" s="22">
        <f>IF($L547="","",INDEX(HSCEI!$D$7:$D$66,$N547))</f>
        <v/>
      </c>
      <c r="E547" s="123">
        <f>IF($L547="","",IF($P547=0,"TBA",IFERROR(INDEX(Grids!$C$160:$BO$219,$N547,$O547),"-")))</f>
        <v/>
      </c>
      <c r="F547" s="22">
        <f>IF($L547="","",INDEX(HSCEI!$F$7:$F$66,$N547))</f>
        <v/>
      </c>
      <c r="G547" s="123">
        <f>IF($L547="","",IF($P547=0,"TBA",IFERROR(INDEX(Grids!$BQ$160:$EC$219,$N547,$O547),"-")))</f>
        <v/>
      </c>
      <c r="H547" s="124">
        <f>IF($L547="","",SUM($G$442:$G547))</f>
        <v/>
      </c>
      <c r="I547" s="45">
        <f>IF($L547="","",IF(INT(($L547-INT($L547/10000000)*10000000)/1000000)=0,"Bloomberg projection",IF($P547=1,"ANNOUNCED","ANNOUNCED - amount TBA")))</f>
        <v/>
      </c>
      <c r="J547" s="46">
        <f>IF($L547="","",IF((OV_SWITCH="ON")*(COUNTIFS(OVR_TICKERS,INDEX(HSCEI!$C$7:$C$66,$N547),OVR_BASE,"&gt;=0")&gt;0)&gt;0,"stock overridden",""))</f>
        <v/>
      </c>
      <c r="L547" s="121">
        <f>IFERROR(IF(SMALL(Grids!$EE$160:$GQ$219,$M$439+106)&gt;=PEND_TO,"",SMALL(Grids!$EE$160:$GQ$219,$M$439+106)),"")</f>
        <v/>
      </c>
      <c r="M547" s="121">
        <f>IF($L547="","",INT($L547/1000000000))</f>
        <v/>
      </c>
      <c r="N547" s="121">
        <f>IF($L547="","",INT(($L547-INT($L547/1000000)*1000000)/1000))</f>
        <v/>
      </c>
      <c r="O547" s="121">
        <f>IF($L547="","",$L547-INT($L547/1000)*1000)</f>
        <v/>
      </c>
      <c r="P547" s="121">
        <f>IF($L547="","",INT(($L547-INT($L547/1000000000)*1000000000)/100000000))</f>
        <v/>
      </c>
    </row>
    <row r="548">
      <c r="B548" s="122">
        <f>IF($L548="","",$M548)</f>
        <v/>
      </c>
      <c r="C548" s="22">
        <f>IF($L548="","",INDEX(HSCEI!$C$7:$C$66,$N548))</f>
        <v/>
      </c>
      <c r="D548" s="22">
        <f>IF($L548="","",INDEX(HSCEI!$D$7:$D$66,$N548))</f>
        <v/>
      </c>
      <c r="E548" s="123">
        <f>IF($L548="","",IF($P548=0,"TBA",IFERROR(INDEX(Grids!$C$160:$BO$219,$N548,$O548),"-")))</f>
        <v/>
      </c>
      <c r="F548" s="22">
        <f>IF($L548="","",INDEX(HSCEI!$F$7:$F$66,$N548))</f>
        <v/>
      </c>
      <c r="G548" s="123">
        <f>IF($L548="","",IF($P548=0,"TBA",IFERROR(INDEX(Grids!$BQ$160:$EC$219,$N548,$O548),"-")))</f>
        <v/>
      </c>
      <c r="H548" s="124">
        <f>IF($L548="","",SUM($G$442:$G548))</f>
        <v/>
      </c>
      <c r="I548" s="45">
        <f>IF($L548="","",IF(INT(($L548-INT($L548/10000000)*10000000)/1000000)=0,"Bloomberg projection",IF($P548=1,"ANNOUNCED","ANNOUNCED - amount TBA")))</f>
        <v/>
      </c>
      <c r="J548" s="46">
        <f>IF($L548="","",IF((OV_SWITCH="ON")*(COUNTIFS(OVR_TICKERS,INDEX(HSCEI!$C$7:$C$66,$N548),OVR_BASE,"&gt;=0")&gt;0)&gt;0,"stock overridden",""))</f>
        <v/>
      </c>
      <c r="L548" s="121">
        <f>IFERROR(IF(SMALL(Grids!$EE$160:$GQ$219,$M$439+107)&gt;=PEND_TO,"",SMALL(Grids!$EE$160:$GQ$219,$M$439+107)),"")</f>
        <v/>
      </c>
      <c r="M548" s="121">
        <f>IF($L548="","",INT($L548/1000000000))</f>
        <v/>
      </c>
      <c r="N548" s="121">
        <f>IF($L548="","",INT(($L548-INT($L548/1000000)*1000000)/1000))</f>
        <v/>
      </c>
      <c r="O548" s="121">
        <f>IF($L548="","",$L548-INT($L548/1000)*1000)</f>
        <v/>
      </c>
      <c r="P548" s="121">
        <f>IF($L548="","",INT(($L548-INT($L548/1000000000)*1000000000)/100000000))</f>
        <v/>
      </c>
    </row>
    <row r="549">
      <c r="B549" s="122">
        <f>IF($L549="","",$M549)</f>
        <v/>
      </c>
      <c r="C549" s="22">
        <f>IF($L549="","",INDEX(HSCEI!$C$7:$C$66,$N549))</f>
        <v/>
      </c>
      <c r="D549" s="22">
        <f>IF($L549="","",INDEX(HSCEI!$D$7:$D$66,$N549))</f>
        <v/>
      </c>
      <c r="E549" s="123">
        <f>IF($L549="","",IF($P549=0,"TBA",IFERROR(INDEX(Grids!$C$160:$BO$219,$N549,$O549),"-")))</f>
        <v/>
      </c>
      <c r="F549" s="22">
        <f>IF($L549="","",INDEX(HSCEI!$F$7:$F$66,$N549))</f>
        <v/>
      </c>
      <c r="G549" s="123">
        <f>IF($L549="","",IF($P549=0,"TBA",IFERROR(INDEX(Grids!$BQ$160:$EC$219,$N549,$O549),"-")))</f>
        <v/>
      </c>
      <c r="H549" s="124">
        <f>IF($L549="","",SUM($G$442:$G549))</f>
        <v/>
      </c>
      <c r="I549" s="45">
        <f>IF($L549="","",IF(INT(($L549-INT($L549/10000000)*10000000)/1000000)=0,"Bloomberg projection",IF($P549=1,"ANNOUNCED","ANNOUNCED - amount TBA")))</f>
        <v/>
      </c>
      <c r="J549" s="46">
        <f>IF($L549="","",IF((OV_SWITCH="ON")*(COUNTIFS(OVR_TICKERS,INDEX(HSCEI!$C$7:$C$66,$N549),OVR_BASE,"&gt;=0")&gt;0)&gt;0,"stock overridden",""))</f>
        <v/>
      </c>
      <c r="L549" s="121">
        <f>IFERROR(IF(SMALL(Grids!$EE$160:$GQ$219,$M$439+108)&gt;=PEND_TO,"",SMALL(Grids!$EE$160:$GQ$219,$M$439+108)),"")</f>
        <v/>
      </c>
      <c r="M549" s="121">
        <f>IF($L549="","",INT($L549/1000000000))</f>
        <v/>
      </c>
      <c r="N549" s="121">
        <f>IF($L549="","",INT(($L549-INT($L549/1000000)*1000000)/1000))</f>
        <v/>
      </c>
      <c r="O549" s="121">
        <f>IF($L549="","",$L549-INT($L549/1000)*1000)</f>
        <v/>
      </c>
      <c r="P549" s="121">
        <f>IF($L549="","",INT(($L549-INT($L549/1000000000)*1000000000)/100000000))</f>
        <v/>
      </c>
    </row>
    <row r="550">
      <c r="B550" s="122">
        <f>IF($L550="","",$M550)</f>
        <v/>
      </c>
      <c r="C550" s="22">
        <f>IF($L550="","",INDEX(HSCEI!$C$7:$C$66,$N550))</f>
        <v/>
      </c>
      <c r="D550" s="22">
        <f>IF($L550="","",INDEX(HSCEI!$D$7:$D$66,$N550))</f>
        <v/>
      </c>
      <c r="E550" s="123">
        <f>IF($L550="","",IF($P550=0,"TBA",IFERROR(INDEX(Grids!$C$160:$BO$219,$N550,$O550),"-")))</f>
        <v/>
      </c>
      <c r="F550" s="22">
        <f>IF($L550="","",INDEX(HSCEI!$F$7:$F$66,$N550))</f>
        <v/>
      </c>
      <c r="G550" s="123">
        <f>IF($L550="","",IF($P550=0,"TBA",IFERROR(INDEX(Grids!$BQ$160:$EC$219,$N550,$O550),"-")))</f>
        <v/>
      </c>
      <c r="H550" s="124">
        <f>IF($L550="","",SUM($G$442:$G550))</f>
        <v/>
      </c>
      <c r="I550" s="45">
        <f>IF($L550="","",IF(INT(($L550-INT($L550/10000000)*10000000)/1000000)=0,"Bloomberg projection",IF($P550=1,"ANNOUNCED","ANNOUNCED - amount TBA")))</f>
        <v/>
      </c>
      <c r="J550" s="46">
        <f>IF($L550="","",IF((OV_SWITCH="ON")*(COUNTIFS(OVR_TICKERS,INDEX(HSCEI!$C$7:$C$66,$N550),OVR_BASE,"&gt;=0")&gt;0)&gt;0,"stock overridden",""))</f>
        <v/>
      </c>
      <c r="L550" s="121">
        <f>IFERROR(IF(SMALL(Grids!$EE$160:$GQ$219,$M$439+109)&gt;=PEND_TO,"",SMALL(Grids!$EE$160:$GQ$219,$M$439+109)),"")</f>
        <v/>
      </c>
      <c r="M550" s="121">
        <f>IF($L550="","",INT($L550/1000000000))</f>
        <v/>
      </c>
      <c r="N550" s="121">
        <f>IF($L550="","",INT(($L550-INT($L550/1000000)*1000000)/1000))</f>
        <v/>
      </c>
      <c r="O550" s="121">
        <f>IF($L550="","",$L550-INT($L550/1000)*1000)</f>
        <v/>
      </c>
      <c r="P550" s="121">
        <f>IF($L550="","",INT(($L550-INT($L550/1000000000)*1000000000)/100000000))</f>
        <v/>
      </c>
    </row>
    <row r="551">
      <c r="B551" s="122">
        <f>IF($L551="","",$M551)</f>
        <v/>
      </c>
      <c r="C551" s="22">
        <f>IF($L551="","",INDEX(HSCEI!$C$7:$C$66,$N551))</f>
        <v/>
      </c>
      <c r="D551" s="22">
        <f>IF($L551="","",INDEX(HSCEI!$D$7:$D$66,$N551))</f>
        <v/>
      </c>
      <c r="E551" s="123">
        <f>IF($L551="","",IF($P551=0,"TBA",IFERROR(INDEX(Grids!$C$160:$BO$219,$N551,$O551),"-")))</f>
        <v/>
      </c>
      <c r="F551" s="22">
        <f>IF($L551="","",INDEX(HSCEI!$F$7:$F$66,$N551))</f>
        <v/>
      </c>
      <c r="G551" s="123">
        <f>IF($L551="","",IF($P551=0,"TBA",IFERROR(INDEX(Grids!$BQ$160:$EC$219,$N551,$O551),"-")))</f>
        <v/>
      </c>
      <c r="H551" s="124">
        <f>IF($L551="","",SUM($G$442:$G551))</f>
        <v/>
      </c>
      <c r="I551" s="45">
        <f>IF($L551="","",IF(INT(($L551-INT($L551/10000000)*10000000)/1000000)=0,"Bloomberg projection",IF($P551=1,"ANNOUNCED","ANNOUNCED - amount TBA")))</f>
        <v/>
      </c>
      <c r="J551" s="46">
        <f>IF($L551="","",IF((OV_SWITCH="ON")*(COUNTIFS(OVR_TICKERS,INDEX(HSCEI!$C$7:$C$66,$N551),OVR_BASE,"&gt;=0")&gt;0)&gt;0,"stock overridden",""))</f>
        <v/>
      </c>
      <c r="L551" s="121">
        <f>IFERROR(IF(SMALL(Grids!$EE$160:$GQ$219,$M$439+110)&gt;=PEND_TO,"",SMALL(Grids!$EE$160:$GQ$219,$M$439+110)),"")</f>
        <v/>
      </c>
      <c r="M551" s="121">
        <f>IF($L551="","",INT($L551/1000000000))</f>
        <v/>
      </c>
      <c r="N551" s="121">
        <f>IF($L551="","",INT(($L551-INT($L551/1000000)*1000000)/1000))</f>
        <v/>
      </c>
      <c r="O551" s="121">
        <f>IF($L551="","",$L551-INT($L551/1000)*1000)</f>
        <v/>
      </c>
      <c r="P551" s="121">
        <f>IF($L551="","",INT(($L551-INT($L551/1000000000)*1000000000)/100000000))</f>
        <v/>
      </c>
    </row>
    <row r="552">
      <c r="B552" s="122">
        <f>IF($L552="","",$M552)</f>
        <v/>
      </c>
      <c r="C552" s="22">
        <f>IF($L552="","",INDEX(HSCEI!$C$7:$C$66,$N552))</f>
        <v/>
      </c>
      <c r="D552" s="22">
        <f>IF($L552="","",INDEX(HSCEI!$D$7:$D$66,$N552))</f>
        <v/>
      </c>
      <c r="E552" s="123">
        <f>IF($L552="","",IF($P552=0,"TBA",IFERROR(INDEX(Grids!$C$160:$BO$219,$N552,$O552),"-")))</f>
        <v/>
      </c>
      <c r="F552" s="22">
        <f>IF($L552="","",INDEX(HSCEI!$F$7:$F$66,$N552))</f>
        <v/>
      </c>
      <c r="G552" s="123">
        <f>IF($L552="","",IF($P552=0,"TBA",IFERROR(INDEX(Grids!$BQ$160:$EC$219,$N552,$O552),"-")))</f>
        <v/>
      </c>
      <c r="H552" s="124">
        <f>IF($L552="","",SUM($G$442:$G552))</f>
        <v/>
      </c>
      <c r="I552" s="45">
        <f>IF($L552="","",IF(INT(($L552-INT($L552/10000000)*10000000)/1000000)=0,"Bloomberg projection",IF($P552=1,"ANNOUNCED","ANNOUNCED - amount TBA")))</f>
        <v/>
      </c>
      <c r="J552" s="46">
        <f>IF($L552="","",IF((OV_SWITCH="ON")*(COUNTIFS(OVR_TICKERS,INDEX(HSCEI!$C$7:$C$66,$N552),OVR_BASE,"&gt;=0")&gt;0)&gt;0,"stock overridden",""))</f>
        <v/>
      </c>
      <c r="L552" s="121">
        <f>IFERROR(IF(SMALL(Grids!$EE$160:$GQ$219,$M$439+111)&gt;=PEND_TO,"",SMALL(Grids!$EE$160:$GQ$219,$M$439+111)),"")</f>
        <v/>
      </c>
      <c r="M552" s="121">
        <f>IF($L552="","",INT($L552/1000000000))</f>
        <v/>
      </c>
      <c r="N552" s="121">
        <f>IF($L552="","",INT(($L552-INT($L552/1000000)*1000000)/1000))</f>
        <v/>
      </c>
      <c r="O552" s="121">
        <f>IF($L552="","",$L552-INT($L552/1000)*1000)</f>
        <v/>
      </c>
      <c r="P552" s="121">
        <f>IF($L552="","",INT(($L552-INT($L552/1000000000)*1000000000)/100000000))</f>
        <v/>
      </c>
    </row>
    <row r="553">
      <c r="B553" s="122">
        <f>IF($L553="","",$M553)</f>
        <v/>
      </c>
      <c r="C553" s="22">
        <f>IF($L553="","",INDEX(HSCEI!$C$7:$C$66,$N553))</f>
        <v/>
      </c>
      <c r="D553" s="22">
        <f>IF($L553="","",INDEX(HSCEI!$D$7:$D$66,$N553))</f>
        <v/>
      </c>
      <c r="E553" s="123">
        <f>IF($L553="","",IF($P553=0,"TBA",IFERROR(INDEX(Grids!$C$160:$BO$219,$N553,$O553),"-")))</f>
        <v/>
      </c>
      <c r="F553" s="22">
        <f>IF($L553="","",INDEX(HSCEI!$F$7:$F$66,$N553))</f>
        <v/>
      </c>
      <c r="G553" s="123">
        <f>IF($L553="","",IF($P553=0,"TBA",IFERROR(INDEX(Grids!$BQ$160:$EC$219,$N553,$O553),"-")))</f>
        <v/>
      </c>
      <c r="H553" s="124">
        <f>IF($L553="","",SUM($G$442:$G553))</f>
        <v/>
      </c>
      <c r="I553" s="45">
        <f>IF($L553="","",IF(INT(($L553-INT($L553/10000000)*10000000)/1000000)=0,"Bloomberg projection",IF($P553=1,"ANNOUNCED","ANNOUNCED - amount TBA")))</f>
        <v/>
      </c>
      <c r="J553" s="46">
        <f>IF($L553="","",IF((OV_SWITCH="ON")*(COUNTIFS(OVR_TICKERS,INDEX(HSCEI!$C$7:$C$66,$N553),OVR_BASE,"&gt;=0")&gt;0)&gt;0,"stock overridden",""))</f>
        <v/>
      </c>
      <c r="L553" s="121">
        <f>IFERROR(IF(SMALL(Grids!$EE$160:$GQ$219,$M$439+112)&gt;=PEND_TO,"",SMALL(Grids!$EE$160:$GQ$219,$M$439+112)),"")</f>
        <v/>
      </c>
      <c r="M553" s="121">
        <f>IF($L553="","",INT($L553/1000000000))</f>
        <v/>
      </c>
      <c r="N553" s="121">
        <f>IF($L553="","",INT(($L553-INT($L553/1000000)*1000000)/1000))</f>
        <v/>
      </c>
      <c r="O553" s="121">
        <f>IF($L553="","",$L553-INT($L553/1000)*1000)</f>
        <v/>
      </c>
      <c r="P553" s="121">
        <f>IF($L553="","",INT(($L553-INT($L553/1000000000)*1000000000)/100000000))</f>
        <v/>
      </c>
    </row>
    <row r="554">
      <c r="B554" s="122">
        <f>IF($L554="","",$M554)</f>
        <v/>
      </c>
      <c r="C554" s="22">
        <f>IF($L554="","",INDEX(HSCEI!$C$7:$C$66,$N554))</f>
        <v/>
      </c>
      <c r="D554" s="22">
        <f>IF($L554="","",INDEX(HSCEI!$D$7:$D$66,$N554))</f>
        <v/>
      </c>
      <c r="E554" s="123">
        <f>IF($L554="","",IF($P554=0,"TBA",IFERROR(INDEX(Grids!$C$160:$BO$219,$N554,$O554),"-")))</f>
        <v/>
      </c>
      <c r="F554" s="22">
        <f>IF($L554="","",INDEX(HSCEI!$F$7:$F$66,$N554))</f>
        <v/>
      </c>
      <c r="G554" s="123">
        <f>IF($L554="","",IF($P554=0,"TBA",IFERROR(INDEX(Grids!$BQ$160:$EC$219,$N554,$O554),"-")))</f>
        <v/>
      </c>
      <c r="H554" s="124">
        <f>IF($L554="","",SUM($G$442:$G554))</f>
        <v/>
      </c>
      <c r="I554" s="45">
        <f>IF($L554="","",IF(INT(($L554-INT($L554/10000000)*10000000)/1000000)=0,"Bloomberg projection",IF($P554=1,"ANNOUNCED","ANNOUNCED - amount TBA")))</f>
        <v/>
      </c>
      <c r="J554" s="46">
        <f>IF($L554="","",IF((OV_SWITCH="ON")*(COUNTIFS(OVR_TICKERS,INDEX(HSCEI!$C$7:$C$66,$N554),OVR_BASE,"&gt;=0")&gt;0)&gt;0,"stock overridden",""))</f>
        <v/>
      </c>
      <c r="L554" s="121">
        <f>IFERROR(IF(SMALL(Grids!$EE$160:$GQ$219,$M$439+113)&gt;=PEND_TO,"",SMALL(Grids!$EE$160:$GQ$219,$M$439+113)),"")</f>
        <v/>
      </c>
      <c r="M554" s="121">
        <f>IF($L554="","",INT($L554/1000000000))</f>
        <v/>
      </c>
      <c r="N554" s="121">
        <f>IF($L554="","",INT(($L554-INT($L554/1000000)*1000000)/1000))</f>
        <v/>
      </c>
      <c r="O554" s="121">
        <f>IF($L554="","",$L554-INT($L554/1000)*1000)</f>
        <v/>
      </c>
      <c r="P554" s="121">
        <f>IF($L554="","",INT(($L554-INT($L554/1000000000)*1000000000)/100000000))</f>
        <v/>
      </c>
    </row>
    <row r="555">
      <c r="B555" s="122">
        <f>IF($L555="","",$M555)</f>
        <v/>
      </c>
      <c r="C555" s="22">
        <f>IF($L555="","",INDEX(HSCEI!$C$7:$C$66,$N555))</f>
        <v/>
      </c>
      <c r="D555" s="22">
        <f>IF($L555="","",INDEX(HSCEI!$D$7:$D$66,$N555))</f>
        <v/>
      </c>
      <c r="E555" s="123">
        <f>IF($L555="","",IF($P555=0,"TBA",IFERROR(INDEX(Grids!$C$160:$BO$219,$N555,$O555),"-")))</f>
        <v/>
      </c>
      <c r="F555" s="22">
        <f>IF($L555="","",INDEX(HSCEI!$F$7:$F$66,$N555))</f>
        <v/>
      </c>
      <c r="G555" s="123">
        <f>IF($L555="","",IF($P555=0,"TBA",IFERROR(INDEX(Grids!$BQ$160:$EC$219,$N555,$O555),"-")))</f>
        <v/>
      </c>
      <c r="H555" s="124">
        <f>IF($L555="","",SUM($G$442:$G555))</f>
        <v/>
      </c>
      <c r="I555" s="45">
        <f>IF($L555="","",IF(INT(($L555-INT($L555/10000000)*10000000)/1000000)=0,"Bloomberg projection",IF($P555=1,"ANNOUNCED","ANNOUNCED - amount TBA")))</f>
        <v/>
      </c>
      <c r="J555" s="46">
        <f>IF($L555="","",IF((OV_SWITCH="ON")*(COUNTIFS(OVR_TICKERS,INDEX(HSCEI!$C$7:$C$66,$N555),OVR_BASE,"&gt;=0")&gt;0)&gt;0,"stock overridden",""))</f>
        <v/>
      </c>
      <c r="L555" s="121">
        <f>IFERROR(IF(SMALL(Grids!$EE$160:$GQ$219,$M$439+114)&gt;=PEND_TO,"",SMALL(Grids!$EE$160:$GQ$219,$M$439+114)),"")</f>
        <v/>
      </c>
      <c r="M555" s="121">
        <f>IF($L555="","",INT($L555/1000000000))</f>
        <v/>
      </c>
      <c r="N555" s="121">
        <f>IF($L555="","",INT(($L555-INT($L555/1000000)*1000000)/1000))</f>
        <v/>
      </c>
      <c r="O555" s="121">
        <f>IF($L555="","",$L555-INT($L555/1000)*1000)</f>
        <v/>
      </c>
      <c r="P555" s="121">
        <f>IF($L555="","",INT(($L555-INT($L555/1000000000)*1000000000)/100000000))</f>
        <v/>
      </c>
    </row>
    <row r="556">
      <c r="B556" s="122">
        <f>IF($L556="","",$M556)</f>
        <v/>
      </c>
      <c r="C556" s="22">
        <f>IF($L556="","",INDEX(HSCEI!$C$7:$C$66,$N556))</f>
        <v/>
      </c>
      <c r="D556" s="22">
        <f>IF($L556="","",INDEX(HSCEI!$D$7:$D$66,$N556))</f>
        <v/>
      </c>
      <c r="E556" s="123">
        <f>IF($L556="","",IF($P556=0,"TBA",IFERROR(INDEX(Grids!$C$160:$BO$219,$N556,$O556),"-")))</f>
        <v/>
      </c>
      <c r="F556" s="22">
        <f>IF($L556="","",INDEX(HSCEI!$F$7:$F$66,$N556))</f>
        <v/>
      </c>
      <c r="G556" s="123">
        <f>IF($L556="","",IF($P556=0,"TBA",IFERROR(INDEX(Grids!$BQ$160:$EC$219,$N556,$O556),"-")))</f>
        <v/>
      </c>
      <c r="H556" s="124">
        <f>IF($L556="","",SUM($G$442:$G556))</f>
        <v/>
      </c>
      <c r="I556" s="45">
        <f>IF($L556="","",IF(INT(($L556-INT($L556/10000000)*10000000)/1000000)=0,"Bloomberg projection",IF($P556=1,"ANNOUNCED","ANNOUNCED - amount TBA")))</f>
        <v/>
      </c>
      <c r="J556" s="46">
        <f>IF($L556="","",IF((OV_SWITCH="ON")*(COUNTIFS(OVR_TICKERS,INDEX(HSCEI!$C$7:$C$66,$N556),OVR_BASE,"&gt;=0")&gt;0)&gt;0,"stock overridden",""))</f>
        <v/>
      </c>
      <c r="L556" s="121">
        <f>IFERROR(IF(SMALL(Grids!$EE$160:$GQ$219,$M$439+115)&gt;=PEND_TO,"",SMALL(Grids!$EE$160:$GQ$219,$M$439+115)),"")</f>
        <v/>
      </c>
      <c r="M556" s="121">
        <f>IF($L556="","",INT($L556/1000000000))</f>
        <v/>
      </c>
      <c r="N556" s="121">
        <f>IF($L556="","",INT(($L556-INT($L556/1000000)*1000000)/1000))</f>
        <v/>
      </c>
      <c r="O556" s="121">
        <f>IF($L556="","",$L556-INT($L556/1000)*1000)</f>
        <v/>
      </c>
      <c r="P556" s="121">
        <f>IF($L556="","",INT(($L556-INT($L556/1000000000)*1000000000)/100000000))</f>
        <v/>
      </c>
    </row>
    <row r="557">
      <c r="B557" s="122">
        <f>IF($L557="","",$M557)</f>
        <v/>
      </c>
      <c r="C557" s="22">
        <f>IF($L557="","",INDEX(HSCEI!$C$7:$C$66,$N557))</f>
        <v/>
      </c>
      <c r="D557" s="22">
        <f>IF($L557="","",INDEX(HSCEI!$D$7:$D$66,$N557))</f>
        <v/>
      </c>
      <c r="E557" s="123">
        <f>IF($L557="","",IF($P557=0,"TBA",IFERROR(INDEX(Grids!$C$160:$BO$219,$N557,$O557),"-")))</f>
        <v/>
      </c>
      <c r="F557" s="22">
        <f>IF($L557="","",INDEX(HSCEI!$F$7:$F$66,$N557))</f>
        <v/>
      </c>
      <c r="G557" s="123">
        <f>IF($L557="","",IF($P557=0,"TBA",IFERROR(INDEX(Grids!$BQ$160:$EC$219,$N557,$O557),"-")))</f>
        <v/>
      </c>
      <c r="H557" s="124">
        <f>IF($L557="","",SUM($G$442:$G557))</f>
        <v/>
      </c>
      <c r="I557" s="45">
        <f>IF($L557="","",IF(INT(($L557-INT($L557/10000000)*10000000)/1000000)=0,"Bloomberg projection",IF($P557=1,"ANNOUNCED","ANNOUNCED - amount TBA")))</f>
        <v/>
      </c>
      <c r="J557" s="46">
        <f>IF($L557="","",IF((OV_SWITCH="ON")*(COUNTIFS(OVR_TICKERS,INDEX(HSCEI!$C$7:$C$66,$N557),OVR_BASE,"&gt;=0")&gt;0)&gt;0,"stock overridden",""))</f>
        <v/>
      </c>
      <c r="L557" s="121">
        <f>IFERROR(IF(SMALL(Grids!$EE$160:$GQ$219,$M$439+116)&gt;=PEND_TO,"",SMALL(Grids!$EE$160:$GQ$219,$M$439+116)),"")</f>
        <v/>
      </c>
      <c r="M557" s="121">
        <f>IF($L557="","",INT($L557/1000000000))</f>
        <v/>
      </c>
      <c r="N557" s="121">
        <f>IF($L557="","",INT(($L557-INT($L557/1000000)*1000000)/1000))</f>
        <v/>
      </c>
      <c r="O557" s="121">
        <f>IF($L557="","",$L557-INT($L557/1000)*1000)</f>
        <v/>
      </c>
      <c r="P557" s="121">
        <f>IF($L557="","",INT(($L557-INT($L557/1000000000)*1000000000)/100000000))</f>
        <v/>
      </c>
    </row>
    <row r="558">
      <c r="B558" s="122">
        <f>IF($L558="","",$M558)</f>
        <v/>
      </c>
      <c r="C558" s="22">
        <f>IF($L558="","",INDEX(HSCEI!$C$7:$C$66,$N558))</f>
        <v/>
      </c>
      <c r="D558" s="22">
        <f>IF($L558="","",INDEX(HSCEI!$D$7:$D$66,$N558))</f>
        <v/>
      </c>
      <c r="E558" s="123">
        <f>IF($L558="","",IF($P558=0,"TBA",IFERROR(INDEX(Grids!$C$160:$BO$219,$N558,$O558),"-")))</f>
        <v/>
      </c>
      <c r="F558" s="22">
        <f>IF($L558="","",INDEX(HSCEI!$F$7:$F$66,$N558))</f>
        <v/>
      </c>
      <c r="G558" s="123">
        <f>IF($L558="","",IF($P558=0,"TBA",IFERROR(INDEX(Grids!$BQ$160:$EC$219,$N558,$O558),"-")))</f>
        <v/>
      </c>
      <c r="H558" s="124">
        <f>IF($L558="","",SUM($G$442:$G558))</f>
        <v/>
      </c>
      <c r="I558" s="45">
        <f>IF($L558="","",IF(INT(($L558-INT($L558/10000000)*10000000)/1000000)=0,"Bloomberg projection",IF($P558=1,"ANNOUNCED","ANNOUNCED - amount TBA")))</f>
        <v/>
      </c>
      <c r="J558" s="46">
        <f>IF($L558="","",IF((OV_SWITCH="ON")*(COUNTIFS(OVR_TICKERS,INDEX(HSCEI!$C$7:$C$66,$N558),OVR_BASE,"&gt;=0")&gt;0)&gt;0,"stock overridden",""))</f>
        <v/>
      </c>
      <c r="L558" s="121">
        <f>IFERROR(IF(SMALL(Grids!$EE$160:$GQ$219,$M$439+117)&gt;=PEND_TO,"",SMALL(Grids!$EE$160:$GQ$219,$M$439+117)),"")</f>
        <v/>
      </c>
      <c r="M558" s="121">
        <f>IF($L558="","",INT($L558/1000000000))</f>
        <v/>
      </c>
      <c r="N558" s="121">
        <f>IF($L558="","",INT(($L558-INT($L558/1000000)*1000000)/1000))</f>
        <v/>
      </c>
      <c r="O558" s="121">
        <f>IF($L558="","",$L558-INT($L558/1000)*1000)</f>
        <v/>
      </c>
      <c r="P558" s="121">
        <f>IF($L558="","",INT(($L558-INT($L558/1000000000)*1000000000)/100000000))</f>
        <v/>
      </c>
    </row>
    <row r="559">
      <c r="B559" s="122">
        <f>IF($L559="","",$M559)</f>
        <v/>
      </c>
      <c r="C559" s="22">
        <f>IF($L559="","",INDEX(HSCEI!$C$7:$C$66,$N559))</f>
        <v/>
      </c>
      <c r="D559" s="22">
        <f>IF($L559="","",INDEX(HSCEI!$D$7:$D$66,$N559))</f>
        <v/>
      </c>
      <c r="E559" s="123">
        <f>IF($L559="","",IF($P559=0,"TBA",IFERROR(INDEX(Grids!$C$160:$BO$219,$N559,$O559),"-")))</f>
        <v/>
      </c>
      <c r="F559" s="22">
        <f>IF($L559="","",INDEX(HSCEI!$F$7:$F$66,$N559))</f>
        <v/>
      </c>
      <c r="G559" s="123">
        <f>IF($L559="","",IF($P559=0,"TBA",IFERROR(INDEX(Grids!$BQ$160:$EC$219,$N559,$O559),"-")))</f>
        <v/>
      </c>
      <c r="H559" s="124">
        <f>IF($L559="","",SUM($G$442:$G559))</f>
        <v/>
      </c>
      <c r="I559" s="45">
        <f>IF($L559="","",IF(INT(($L559-INT($L559/10000000)*10000000)/1000000)=0,"Bloomberg projection",IF($P559=1,"ANNOUNCED","ANNOUNCED - amount TBA")))</f>
        <v/>
      </c>
      <c r="J559" s="46">
        <f>IF($L559="","",IF((OV_SWITCH="ON")*(COUNTIFS(OVR_TICKERS,INDEX(HSCEI!$C$7:$C$66,$N559),OVR_BASE,"&gt;=0")&gt;0)&gt;0,"stock overridden",""))</f>
        <v/>
      </c>
      <c r="L559" s="121">
        <f>IFERROR(IF(SMALL(Grids!$EE$160:$GQ$219,$M$439+118)&gt;=PEND_TO,"",SMALL(Grids!$EE$160:$GQ$219,$M$439+118)),"")</f>
        <v/>
      </c>
      <c r="M559" s="121">
        <f>IF($L559="","",INT($L559/1000000000))</f>
        <v/>
      </c>
      <c r="N559" s="121">
        <f>IF($L559="","",INT(($L559-INT($L559/1000000)*1000000)/1000))</f>
        <v/>
      </c>
      <c r="O559" s="121">
        <f>IF($L559="","",$L559-INT($L559/1000)*1000)</f>
        <v/>
      </c>
      <c r="P559" s="121">
        <f>IF($L559="","",INT(($L559-INT($L559/1000000000)*1000000000)/100000000))</f>
        <v/>
      </c>
    </row>
    <row r="560">
      <c r="B560" s="122">
        <f>IF($L560="","",$M560)</f>
        <v/>
      </c>
      <c r="C560" s="22">
        <f>IF($L560="","",INDEX(HSCEI!$C$7:$C$66,$N560))</f>
        <v/>
      </c>
      <c r="D560" s="22">
        <f>IF($L560="","",INDEX(HSCEI!$D$7:$D$66,$N560))</f>
        <v/>
      </c>
      <c r="E560" s="123">
        <f>IF($L560="","",IF($P560=0,"TBA",IFERROR(INDEX(Grids!$C$160:$BO$219,$N560,$O560),"-")))</f>
        <v/>
      </c>
      <c r="F560" s="22">
        <f>IF($L560="","",INDEX(HSCEI!$F$7:$F$66,$N560))</f>
        <v/>
      </c>
      <c r="G560" s="123">
        <f>IF($L560="","",IF($P560=0,"TBA",IFERROR(INDEX(Grids!$BQ$160:$EC$219,$N560,$O560),"-")))</f>
        <v/>
      </c>
      <c r="H560" s="124">
        <f>IF($L560="","",SUM($G$442:$G560))</f>
        <v/>
      </c>
      <c r="I560" s="45">
        <f>IF($L560="","",IF(INT(($L560-INT($L560/10000000)*10000000)/1000000)=0,"Bloomberg projection",IF($P560=1,"ANNOUNCED","ANNOUNCED - amount TBA")))</f>
        <v/>
      </c>
      <c r="J560" s="46">
        <f>IF($L560="","",IF((OV_SWITCH="ON")*(COUNTIFS(OVR_TICKERS,INDEX(HSCEI!$C$7:$C$66,$N560),OVR_BASE,"&gt;=0")&gt;0)&gt;0,"stock overridden",""))</f>
        <v/>
      </c>
      <c r="L560" s="121">
        <f>IFERROR(IF(SMALL(Grids!$EE$160:$GQ$219,$M$439+119)&gt;=PEND_TO,"",SMALL(Grids!$EE$160:$GQ$219,$M$439+119)),"")</f>
        <v/>
      </c>
      <c r="M560" s="121">
        <f>IF($L560="","",INT($L560/1000000000))</f>
        <v/>
      </c>
      <c r="N560" s="121">
        <f>IF($L560="","",INT(($L560-INT($L560/1000000)*1000000)/1000))</f>
        <v/>
      </c>
      <c r="O560" s="121">
        <f>IF($L560="","",$L560-INT($L560/1000)*1000)</f>
        <v/>
      </c>
      <c r="P560" s="121">
        <f>IF($L560="","",INT(($L560-INT($L560/1000000000)*1000000000)/100000000))</f>
        <v/>
      </c>
    </row>
    <row r="561">
      <c r="B561" s="122">
        <f>IF($L561="","",$M561)</f>
        <v/>
      </c>
      <c r="C561" s="22">
        <f>IF($L561="","",INDEX(HSCEI!$C$7:$C$66,$N561))</f>
        <v/>
      </c>
      <c r="D561" s="22">
        <f>IF($L561="","",INDEX(HSCEI!$D$7:$D$66,$N561))</f>
        <v/>
      </c>
      <c r="E561" s="123">
        <f>IF($L561="","",IF($P561=0,"TBA",IFERROR(INDEX(Grids!$C$160:$BO$219,$N561,$O561),"-")))</f>
        <v/>
      </c>
      <c r="F561" s="22">
        <f>IF($L561="","",INDEX(HSCEI!$F$7:$F$66,$N561))</f>
        <v/>
      </c>
      <c r="G561" s="123">
        <f>IF($L561="","",IF($P561=0,"TBA",IFERROR(INDEX(Grids!$BQ$160:$EC$219,$N561,$O561),"-")))</f>
        <v/>
      </c>
      <c r="H561" s="124">
        <f>IF($L561="","",SUM($G$442:$G561))</f>
        <v/>
      </c>
      <c r="I561" s="45">
        <f>IF($L561="","",IF(INT(($L561-INT($L561/10000000)*10000000)/1000000)=0,"Bloomberg projection",IF($P561=1,"ANNOUNCED","ANNOUNCED - amount TBA")))</f>
        <v/>
      </c>
      <c r="J561" s="46">
        <f>IF($L561="","",IF((OV_SWITCH="ON")*(COUNTIFS(OVR_TICKERS,INDEX(HSCEI!$C$7:$C$66,$N561),OVR_BASE,"&gt;=0")&gt;0)&gt;0,"stock overridden",""))</f>
        <v/>
      </c>
      <c r="L561" s="121">
        <f>IFERROR(IF(SMALL(Grids!$EE$160:$GQ$219,$M$439+120)&gt;=PEND_TO,"",SMALL(Grids!$EE$160:$GQ$219,$M$439+120)),"")</f>
        <v/>
      </c>
      <c r="M561" s="121">
        <f>IF($L561="","",INT($L561/1000000000))</f>
        <v/>
      </c>
      <c r="N561" s="121">
        <f>IF($L561="","",INT(($L561-INT($L561/1000000)*1000000)/1000))</f>
        <v/>
      </c>
      <c r="O561" s="121">
        <f>IF($L561="","",$L561-INT($L561/1000)*1000)</f>
        <v/>
      </c>
      <c r="P561" s="121">
        <f>IF($L561="","",INT(($L561-INT($L561/1000000000)*1000000000)/100000000))</f>
        <v/>
      </c>
    </row>
    <row r="562">
      <c r="B562" s="122">
        <f>IF($L562="","",$M562)</f>
        <v/>
      </c>
      <c r="C562" s="22">
        <f>IF($L562="","",INDEX(HSCEI!$C$7:$C$66,$N562))</f>
        <v/>
      </c>
      <c r="D562" s="22">
        <f>IF($L562="","",INDEX(HSCEI!$D$7:$D$66,$N562))</f>
        <v/>
      </c>
      <c r="E562" s="123">
        <f>IF($L562="","",IF($P562=0,"TBA",IFERROR(INDEX(Grids!$C$160:$BO$219,$N562,$O562),"-")))</f>
        <v/>
      </c>
      <c r="F562" s="22">
        <f>IF($L562="","",INDEX(HSCEI!$F$7:$F$66,$N562))</f>
        <v/>
      </c>
      <c r="G562" s="123">
        <f>IF($L562="","",IF($P562=0,"TBA",IFERROR(INDEX(Grids!$BQ$160:$EC$219,$N562,$O562),"-")))</f>
        <v/>
      </c>
      <c r="H562" s="124">
        <f>IF($L562="","",SUM($G$442:$G562))</f>
        <v/>
      </c>
      <c r="I562" s="45">
        <f>IF($L562="","",IF(INT(($L562-INT($L562/10000000)*10000000)/1000000)=0,"Bloomberg projection",IF($P562=1,"ANNOUNCED","ANNOUNCED - amount TBA")))</f>
        <v/>
      </c>
      <c r="J562" s="46">
        <f>IF($L562="","",IF((OV_SWITCH="ON")*(COUNTIFS(OVR_TICKERS,INDEX(HSCEI!$C$7:$C$66,$N562),OVR_BASE,"&gt;=0")&gt;0)&gt;0,"stock overridden",""))</f>
        <v/>
      </c>
      <c r="L562" s="121">
        <f>IFERROR(IF(SMALL(Grids!$EE$160:$GQ$219,$M$439+121)&gt;=PEND_TO,"",SMALL(Grids!$EE$160:$GQ$219,$M$439+121)),"")</f>
        <v/>
      </c>
      <c r="M562" s="121">
        <f>IF($L562="","",INT($L562/1000000000))</f>
        <v/>
      </c>
      <c r="N562" s="121">
        <f>IF($L562="","",INT(($L562-INT($L562/1000000)*1000000)/1000))</f>
        <v/>
      </c>
      <c r="O562" s="121">
        <f>IF($L562="","",$L562-INT($L562/1000)*1000)</f>
        <v/>
      </c>
      <c r="P562" s="121">
        <f>IF($L562="","",INT(($L562-INT($L562/1000000000)*1000000000)/100000000))</f>
        <v/>
      </c>
    </row>
    <row r="563">
      <c r="B563" s="122">
        <f>IF($L563="","",$M563)</f>
        <v/>
      </c>
      <c r="C563" s="22">
        <f>IF($L563="","",INDEX(HSCEI!$C$7:$C$66,$N563))</f>
        <v/>
      </c>
      <c r="D563" s="22">
        <f>IF($L563="","",INDEX(HSCEI!$D$7:$D$66,$N563))</f>
        <v/>
      </c>
      <c r="E563" s="123">
        <f>IF($L563="","",IF($P563=0,"TBA",IFERROR(INDEX(Grids!$C$160:$BO$219,$N563,$O563),"-")))</f>
        <v/>
      </c>
      <c r="F563" s="22">
        <f>IF($L563="","",INDEX(HSCEI!$F$7:$F$66,$N563))</f>
        <v/>
      </c>
      <c r="G563" s="123">
        <f>IF($L563="","",IF($P563=0,"TBA",IFERROR(INDEX(Grids!$BQ$160:$EC$219,$N563,$O563),"-")))</f>
        <v/>
      </c>
      <c r="H563" s="124">
        <f>IF($L563="","",SUM($G$442:$G563))</f>
        <v/>
      </c>
      <c r="I563" s="45">
        <f>IF($L563="","",IF(INT(($L563-INT($L563/10000000)*10000000)/1000000)=0,"Bloomberg projection",IF($P563=1,"ANNOUNCED","ANNOUNCED - amount TBA")))</f>
        <v/>
      </c>
      <c r="J563" s="46">
        <f>IF($L563="","",IF((OV_SWITCH="ON")*(COUNTIFS(OVR_TICKERS,INDEX(HSCEI!$C$7:$C$66,$N563),OVR_BASE,"&gt;=0")&gt;0)&gt;0,"stock overridden",""))</f>
        <v/>
      </c>
      <c r="L563" s="121">
        <f>IFERROR(IF(SMALL(Grids!$EE$160:$GQ$219,$M$439+122)&gt;=PEND_TO,"",SMALL(Grids!$EE$160:$GQ$219,$M$439+122)),"")</f>
        <v/>
      </c>
      <c r="M563" s="121">
        <f>IF($L563="","",INT($L563/1000000000))</f>
        <v/>
      </c>
      <c r="N563" s="121">
        <f>IF($L563="","",INT(($L563-INT($L563/1000000)*1000000)/1000))</f>
        <v/>
      </c>
      <c r="O563" s="121">
        <f>IF($L563="","",$L563-INT($L563/1000)*1000)</f>
        <v/>
      </c>
      <c r="P563" s="121">
        <f>IF($L563="","",INT(($L563-INT($L563/1000000000)*1000000000)/100000000))</f>
        <v/>
      </c>
    </row>
    <row r="564">
      <c r="B564" s="122">
        <f>IF($L564="","",$M564)</f>
        <v/>
      </c>
      <c r="C564" s="22">
        <f>IF($L564="","",INDEX(HSCEI!$C$7:$C$66,$N564))</f>
        <v/>
      </c>
      <c r="D564" s="22">
        <f>IF($L564="","",INDEX(HSCEI!$D$7:$D$66,$N564))</f>
        <v/>
      </c>
      <c r="E564" s="123">
        <f>IF($L564="","",IF($P564=0,"TBA",IFERROR(INDEX(Grids!$C$160:$BO$219,$N564,$O564),"-")))</f>
        <v/>
      </c>
      <c r="F564" s="22">
        <f>IF($L564="","",INDEX(HSCEI!$F$7:$F$66,$N564))</f>
        <v/>
      </c>
      <c r="G564" s="123">
        <f>IF($L564="","",IF($P564=0,"TBA",IFERROR(INDEX(Grids!$BQ$160:$EC$219,$N564,$O564),"-")))</f>
        <v/>
      </c>
      <c r="H564" s="124">
        <f>IF($L564="","",SUM($G$442:$G564))</f>
        <v/>
      </c>
      <c r="I564" s="45">
        <f>IF($L564="","",IF(INT(($L564-INT($L564/10000000)*10000000)/1000000)=0,"Bloomberg projection",IF($P564=1,"ANNOUNCED","ANNOUNCED - amount TBA")))</f>
        <v/>
      </c>
      <c r="J564" s="46">
        <f>IF($L564="","",IF((OV_SWITCH="ON")*(COUNTIFS(OVR_TICKERS,INDEX(HSCEI!$C$7:$C$66,$N564),OVR_BASE,"&gt;=0")&gt;0)&gt;0,"stock overridden",""))</f>
        <v/>
      </c>
      <c r="L564" s="121">
        <f>IFERROR(IF(SMALL(Grids!$EE$160:$GQ$219,$M$439+123)&gt;=PEND_TO,"",SMALL(Grids!$EE$160:$GQ$219,$M$439+123)),"")</f>
        <v/>
      </c>
      <c r="M564" s="121">
        <f>IF($L564="","",INT($L564/1000000000))</f>
        <v/>
      </c>
      <c r="N564" s="121">
        <f>IF($L564="","",INT(($L564-INT($L564/1000000)*1000000)/1000))</f>
        <v/>
      </c>
      <c r="O564" s="121">
        <f>IF($L564="","",$L564-INT($L564/1000)*1000)</f>
        <v/>
      </c>
      <c r="P564" s="121">
        <f>IF($L564="","",INT(($L564-INT($L564/1000000000)*1000000000)/100000000))</f>
        <v/>
      </c>
    </row>
    <row r="565">
      <c r="B565" s="122">
        <f>IF($L565="","",$M565)</f>
        <v/>
      </c>
      <c r="C565" s="22">
        <f>IF($L565="","",INDEX(HSCEI!$C$7:$C$66,$N565))</f>
        <v/>
      </c>
      <c r="D565" s="22">
        <f>IF($L565="","",INDEX(HSCEI!$D$7:$D$66,$N565))</f>
        <v/>
      </c>
      <c r="E565" s="123">
        <f>IF($L565="","",IF($P565=0,"TBA",IFERROR(INDEX(Grids!$C$160:$BO$219,$N565,$O565),"-")))</f>
        <v/>
      </c>
      <c r="F565" s="22">
        <f>IF($L565="","",INDEX(HSCEI!$F$7:$F$66,$N565))</f>
        <v/>
      </c>
      <c r="G565" s="123">
        <f>IF($L565="","",IF($P565=0,"TBA",IFERROR(INDEX(Grids!$BQ$160:$EC$219,$N565,$O565),"-")))</f>
        <v/>
      </c>
      <c r="H565" s="124">
        <f>IF($L565="","",SUM($G$442:$G565))</f>
        <v/>
      </c>
      <c r="I565" s="45">
        <f>IF($L565="","",IF(INT(($L565-INT($L565/10000000)*10000000)/1000000)=0,"Bloomberg projection",IF($P565=1,"ANNOUNCED","ANNOUNCED - amount TBA")))</f>
        <v/>
      </c>
      <c r="J565" s="46">
        <f>IF($L565="","",IF((OV_SWITCH="ON")*(COUNTIFS(OVR_TICKERS,INDEX(HSCEI!$C$7:$C$66,$N565),OVR_BASE,"&gt;=0")&gt;0)&gt;0,"stock overridden",""))</f>
        <v/>
      </c>
      <c r="L565" s="121">
        <f>IFERROR(IF(SMALL(Grids!$EE$160:$GQ$219,$M$439+124)&gt;=PEND_TO,"",SMALL(Grids!$EE$160:$GQ$219,$M$439+124)),"")</f>
        <v/>
      </c>
      <c r="M565" s="121">
        <f>IF($L565="","",INT($L565/1000000000))</f>
        <v/>
      </c>
      <c r="N565" s="121">
        <f>IF($L565="","",INT(($L565-INT($L565/1000000)*1000000)/1000))</f>
        <v/>
      </c>
      <c r="O565" s="121">
        <f>IF($L565="","",$L565-INT($L565/1000)*1000)</f>
        <v/>
      </c>
      <c r="P565" s="121">
        <f>IF($L565="","",INT(($L565-INT($L565/1000000000)*1000000000)/100000000))</f>
        <v/>
      </c>
    </row>
    <row r="566">
      <c r="B566" s="122">
        <f>IF($L566="","",$M566)</f>
        <v/>
      </c>
      <c r="C566" s="22">
        <f>IF($L566="","",INDEX(HSCEI!$C$7:$C$66,$N566))</f>
        <v/>
      </c>
      <c r="D566" s="22">
        <f>IF($L566="","",INDEX(HSCEI!$D$7:$D$66,$N566))</f>
        <v/>
      </c>
      <c r="E566" s="123">
        <f>IF($L566="","",IF($P566=0,"TBA",IFERROR(INDEX(Grids!$C$160:$BO$219,$N566,$O566),"-")))</f>
        <v/>
      </c>
      <c r="F566" s="22">
        <f>IF($L566="","",INDEX(HSCEI!$F$7:$F$66,$N566))</f>
        <v/>
      </c>
      <c r="G566" s="123">
        <f>IF($L566="","",IF($P566=0,"TBA",IFERROR(INDEX(Grids!$BQ$160:$EC$219,$N566,$O566),"-")))</f>
        <v/>
      </c>
      <c r="H566" s="124">
        <f>IF($L566="","",SUM($G$442:$G566))</f>
        <v/>
      </c>
      <c r="I566" s="45">
        <f>IF($L566="","",IF(INT(($L566-INT($L566/10000000)*10000000)/1000000)=0,"Bloomberg projection",IF($P566=1,"ANNOUNCED","ANNOUNCED - amount TBA")))</f>
        <v/>
      </c>
      <c r="J566" s="46">
        <f>IF($L566="","",IF((OV_SWITCH="ON")*(COUNTIFS(OVR_TICKERS,INDEX(HSCEI!$C$7:$C$66,$N566),OVR_BASE,"&gt;=0")&gt;0)&gt;0,"stock overridden",""))</f>
        <v/>
      </c>
      <c r="L566" s="121">
        <f>IFERROR(IF(SMALL(Grids!$EE$160:$GQ$219,$M$439+125)&gt;=PEND_TO,"",SMALL(Grids!$EE$160:$GQ$219,$M$439+125)),"")</f>
        <v/>
      </c>
      <c r="M566" s="121">
        <f>IF($L566="","",INT($L566/1000000000))</f>
        <v/>
      </c>
      <c r="N566" s="121">
        <f>IF($L566="","",INT(($L566-INT($L566/1000000)*1000000)/1000))</f>
        <v/>
      </c>
      <c r="O566" s="121">
        <f>IF($L566="","",$L566-INT($L566/1000)*1000)</f>
        <v/>
      </c>
      <c r="P566" s="121">
        <f>IF($L566="","",INT(($L566-INT($L566/1000000000)*1000000000)/100000000))</f>
        <v/>
      </c>
    </row>
    <row r="567">
      <c r="B567" s="122">
        <f>IF($L567="","",$M567)</f>
        <v/>
      </c>
      <c r="C567" s="22">
        <f>IF($L567="","",INDEX(HSCEI!$C$7:$C$66,$N567))</f>
        <v/>
      </c>
      <c r="D567" s="22">
        <f>IF($L567="","",INDEX(HSCEI!$D$7:$D$66,$N567))</f>
        <v/>
      </c>
      <c r="E567" s="123">
        <f>IF($L567="","",IF($P567=0,"TBA",IFERROR(INDEX(Grids!$C$160:$BO$219,$N567,$O567),"-")))</f>
        <v/>
      </c>
      <c r="F567" s="22">
        <f>IF($L567="","",INDEX(HSCEI!$F$7:$F$66,$N567))</f>
        <v/>
      </c>
      <c r="G567" s="123">
        <f>IF($L567="","",IF($P567=0,"TBA",IFERROR(INDEX(Grids!$BQ$160:$EC$219,$N567,$O567),"-")))</f>
        <v/>
      </c>
      <c r="H567" s="124">
        <f>IF($L567="","",SUM($G$442:$G567))</f>
        <v/>
      </c>
      <c r="I567" s="45">
        <f>IF($L567="","",IF(INT(($L567-INT($L567/10000000)*10000000)/1000000)=0,"Bloomberg projection",IF($P567=1,"ANNOUNCED","ANNOUNCED - amount TBA")))</f>
        <v/>
      </c>
      <c r="J567" s="46">
        <f>IF($L567="","",IF((OV_SWITCH="ON")*(COUNTIFS(OVR_TICKERS,INDEX(HSCEI!$C$7:$C$66,$N567),OVR_BASE,"&gt;=0")&gt;0)&gt;0,"stock overridden",""))</f>
        <v/>
      </c>
      <c r="L567" s="121">
        <f>IFERROR(IF(SMALL(Grids!$EE$160:$GQ$219,$M$439+126)&gt;=PEND_TO,"",SMALL(Grids!$EE$160:$GQ$219,$M$439+126)),"")</f>
        <v/>
      </c>
      <c r="M567" s="121">
        <f>IF($L567="","",INT($L567/1000000000))</f>
        <v/>
      </c>
      <c r="N567" s="121">
        <f>IF($L567="","",INT(($L567-INT($L567/1000000)*1000000)/1000))</f>
        <v/>
      </c>
      <c r="O567" s="121">
        <f>IF($L567="","",$L567-INT($L567/1000)*1000)</f>
        <v/>
      </c>
      <c r="P567" s="121">
        <f>IF($L567="","",INT(($L567-INT($L567/1000000000)*1000000000)/100000000))</f>
        <v/>
      </c>
    </row>
    <row r="568">
      <c r="B568" s="122">
        <f>IF($L568="","",$M568)</f>
        <v/>
      </c>
      <c r="C568" s="22">
        <f>IF($L568="","",INDEX(HSCEI!$C$7:$C$66,$N568))</f>
        <v/>
      </c>
      <c r="D568" s="22">
        <f>IF($L568="","",INDEX(HSCEI!$D$7:$D$66,$N568))</f>
        <v/>
      </c>
      <c r="E568" s="123">
        <f>IF($L568="","",IF($P568=0,"TBA",IFERROR(INDEX(Grids!$C$160:$BO$219,$N568,$O568),"-")))</f>
        <v/>
      </c>
      <c r="F568" s="22">
        <f>IF($L568="","",INDEX(HSCEI!$F$7:$F$66,$N568))</f>
        <v/>
      </c>
      <c r="G568" s="123">
        <f>IF($L568="","",IF($P568=0,"TBA",IFERROR(INDEX(Grids!$BQ$160:$EC$219,$N568,$O568),"-")))</f>
        <v/>
      </c>
      <c r="H568" s="124">
        <f>IF($L568="","",SUM($G$442:$G568))</f>
        <v/>
      </c>
      <c r="I568" s="45">
        <f>IF($L568="","",IF(INT(($L568-INT($L568/10000000)*10000000)/1000000)=0,"Bloomberg projection",IF($P568=1,"ANNOUNCED","ANNOUNCED - amount TBA")))</f>
        <v/>
      </c>
      <c r="J568" s="46">
        <f>IF($L568="","",IF((OV_SWITCH="ON")*(COUNTIFS(OVR_TICKERS,INDEX(HSCEI!$C$7:$C$66,$N568),OVR_BASE,"&gt;=0")&gt;0)&gt;0,"stock overridden",""))</f>
        <v/>
      </c>
      <c r="L568" s="121">
        <f>IFERROR(IF(SMALL(Grids!$EE$160:$GQ$219,$M$439+127)&gt;=PEND_TO,"",SMALL(Grids!$EE$160:$GQ$219,$M$439+127)),"")</f>
        <v/>
      </c>
      <c r="M568" s="121">
        <f>IF($L568="","",INT($L568/1000000000))</f>
        <v/>
      </c>
      <c r="N568" s="121">
        <f>IF($L568="","",INT(($L568-INT($L568/1000000)*1000000)/1000))</f>
        <v/>
      </c>
      <c r="O568" s="121">
        <f>IF($L568="","",$L568-INT($L568/1000)*1000)</f>
        <v/>
      </c>
      <c r="P568" s="121">
        <f>IF($L568="","",INT(($L568-INT($L568/1000000000)*1000000000)/100000000))</f>
        <v/>
      </c>
    </row>
    <row r="569">
      <c r="B569" s="122">
        <f>IF($L569="","",$M569)</f>
        <v/>
      </c>
      <c r="C569" s="22">
        <f>IF($L569="","",INDEX(HSCEI!$C$7:$C$66,$N569))</f>
        <v/>
      </c>
      <c r="D569" s="22">
        <f>IF($L569="","",INDEX(HSCEI!$D$7:$D$66,$N569))</f>
        <v/>
      </c>
      <c r="E569" s="123">
        <f>IF($L569="","",IF($P569=0,"TBA",IFERROR(INDEX(Grids!$C$160:$BO$219,$N569,$O569),"-")))</f>
        <v/>
      </c>
      <c r="F569" s="22">
        <f>IF($L569="","",INDEX(HSCEI!$F$7:$F$66,$N569))</f>
        <v/>
      </c>
      <c r="G569" s="123">
        <f>IF($L569="","",IF($P569=0,"TBA",IFERROR(INDEX(Grids!$BQ$160:$EC$219,$N569,$O569),"-")))</f>
        <v/>
      </c>
      <c r="H569" s="124">
        <f>IF($L569="","",SUM($G$442:$G569))</f>
        <v/>
      </c>
      <c r="I569" s="45">
        <f>IF($L569="","",IF(INT(($L569-INT($L569/10000000)*10000000)/1000000)=0,"Bloomberg projection",IF($P569=1,"ANNOUNCED","ANNOUNCED - amount TBA")))</f>
        <v/>
      </c>
      <c r="J569" s="46">
        <f>IF($L569="","",IF((OV_SWITCH="ON")*(COUNTIFS(OVR_TICKERS,INDEX(HSCEI!$C$7:$C$66,$N569),OVR_BASE,"&gt;=0")&gt;0)&gt;0,"stock overridden",""))</f>
        <v/>
      </c>
      <c r="L569" s="121">
        <f>IFERROR(IF(SMALL(Grids!$EE$160:$GQ$219,$M$439+128)&gt;=PEND_TO,"",SMALL(Grids!$EE$160:$GQ$219,$M$439+128)),"")</f>
        <v/>
      </c>
      <c r="M569" s="121">
        <f>IF($L569="","",INT($L569/1000000000))</f>
        <v/>
      </c>
      <c r="N569" s="121">
        <f>IF($L569="","",INT(($L569-INT($L569/1000000)*1000000)/1000))</f>
        <v/>
      </c>
      <c r="O569" s="121">
        <f>IF($L569="","",$L569-INT($L569/1000)*1000)</f>
        <v/>
      </c>
      <c r="P569" s="121">
        <f>IF($L569="","",INT(($L569-INT($L569/1000000000)*1000000000)/100000000))</f>
        <v/>
      </c>
    </row>
    <row r="570">
      <c r="B570" s="122">
        <f>IF($L570="","",$M570)</f>
        <v/>
      </c>
      <c r="C570" s="22">
        <f>IF($L570="","",INDEX(HSCEI!$C$7:$C$66,$N570))</f>
        <v/>
      </c>
      <c r="D570" s="22">
        <f>IF($L570="","",INDEX(HSCEI!$D$7:$D$66,$N570))</f>
        <v/>
      </c>
      <c r="E570" s="123">
        <f>IF($L570="","",IF($P570=0,"TBA",IFERROR(INDEX(Grids!$C$160:$BO$219,$N570,$O570),"-")))</f>
        <v/>
      </c>
      <c r="F570" s="22">
        <f>IF($L570="","",INDEX(HSCEI!$F$7:$F$66,$N570))</f>
        <v/>
      </c>
      <c r="G570" s="123">
        <f>IF($L570="","",IF($P570=0,"TBA",IFERROR(INDEX(Grids!$BQ$160:$EC$219,$N570,$O570),"-")))</f>
        <v/>
      </c>
      <c r="H570" s="124">
        <f>IF($L570="","",SUM($G$442:$G570))</f>
        <v/>
      </c>
      <c r="I570" s="45">
        <f>IF($L570="","",IF(INT(($L570-INT($L570/10000000)*10000000)/1000000)=0,"Bloomberg projection",IF($P570=1,"ANNOUNCED","ANNOUNCED - amount TBA")))</f>
        <v/>
      </c>
      <c r="J570" s="46">
        <f>IF($L570="","",IF((OV_SWITCH="ON")*(COUNTIFS(OVR_TICKERS,INDEX(HSCEI!$C$7:$C$66,$N570),OVR_BASE,"&gt;=0")&gt;0)&gt;0,"stock overridden",""))</f>
        <v/>
      </c>
      <c r="L570" s="121">
        <f>IFERROR(IF(SMALL(Grids!$EE$160:$GQ$219,$M$439+129)&gt;=PEND_TO,"",SMALL(Grids!$EE$160:$GQ$219,$M$439+129)),"")</f>
        <v/>
      </c>
      <c r="M570" s="121">
        <f>IF($L570="","",INT($L570/1000000000))</f>
        <v/>
      </c>
      <c r="N570" s="121">
        <f>IF($L570="","",INT(($L570-INT($L570/1000000)*1000000)/1000))</f>
        <v/>
      </c>
      <c r="O570" s="121">
        <f>IF($L570="","",$L570-INT($L570/1000)*1000)</f>
        <v/>
      </c>
      <c r="P570" s="121">
        <f>IF($L570="","",INT(($L570-INT($L570/1000000000)*1000000000)/100000000))</f>
        <v/>
      </c>
    </row>
    <row r="571">
      <c r="B571" s="122">
        <f>IF($L571="","",$M571)</f>
        <v/>
      </c>
      <c r="C571" s="22">
        <f>IF($L571="","",INDEX(HSCEI!$C$7:$C$66,$N571))</f>
        <v/>
      </c>
      <c r="D571" s="22">
        <f>IF($L571="","",INDEX(HSCEI!$D$7:$D$66,$N571))</f>
        <v/>
      </c>
      <c r="E571" s="123">
        <f>IF($L571="","",IF($P571=0,"TBA",IFERROR(INDEX(Grids!$C$160:$BO$219,$N571,$O571),"-")))</f>
        <v/>
      </c>
      <c r="F571" s="22">
        <f>IF($L571="","",INDEX(HSCEI!$F$7:$F$66,$N571))</f>
        <v/>
      </c>
      <c r="G571" s="123">
        <f>IF($L571="","",IF($P571=0,"TBA",IFERROR(INDEX(Grids!$BQ$160:$EC$219,$N571,$O571),"-")))</f>
        <v/>
      </c>
      <c r="H571" s="124">
        <f>IF($L571="","",SUM($G$442:$G571))</f>
        <v/>
      </c>
      <c r="I571" s="45">
        <f>IF($L571="","",IF(INT(($L571-INT($L571/10000000)*10000000)/1000000)=0,"Bloomberg projection",IF($P571=1,"ANNOUNCED","ANNOUNCED - amount TBA")))</f>
        <v/>
      </c>
      <c r="J571" s="46">
        <f>IF($L571="","",IF((OV_SWITCH="ON")*(COUNTIFS(OVR_TICKERS,INDEX(HSCEI!$C$7:$C$66,$N571),OVR_BASE,"&gt;=0")&gt;0)&gt;0,"stock overridden",""))</f>
        <v/>
      </c>
      <c r="L571" s="121">
        <f>IFERROR(IF(SMALL(Grids!$EE$160:$GQ$219,$M$439+130)&gt;=PEND_TO,"",SMALL(Grids!$EE$160:$GQ$219,$M$439+130)),"")</f>
        <v/>
      </c>
      <c r="M571" s="121">
        <f>IF($L571="","",INT($L571/1000000000))</f>
        <v/>
      </c>
      <c r="N571" s="121">
        <f>IF($L571="","",INT(($L571-INT($L571/1000000)*1000000)/1000))</f>
        <v/>
      </c>
      <c r="O571" s="121">
        <f>IF($L571="","",$L571-INT($L571/1000)*1000)</f>
        <v/>
      </c>
      <c r="P571" s="121">
        <f>IF($L571="","",INT(($L571-INT($L571/1000000000)*1000000000)/100000000))</f>
        <v/>
      </c>
    </row>
    <row r="572">
      <c r="B572" s="122">
        <f>IF($L572="","",$M572)</f>
        <v/>
      </c>
      <c r="C572" s="22">
        <f>IF($L572="","",INDEX(HSCEI!$C$7:$C$66,$N572))</f>
        <v/>
      </c>
      <c r="D572" s="22">
        <f>IF($L572="","",INDEX(HSCEI!$D$7:$D$66,$N572))</f>
        <v/>
      </c>
      <c r="E572" s="123">
        <f>IF($L572="","",IF($P572=0,"TBA",IFERROR(INDEX(Grids!$C$160:$BO$219,$N572,$O572),"-")))</f>
        <v/>
      </c>
      <c r="F572" s="22">
        <f>IF($L572="","",INDEX(HSCEI!$F$7:$F$66,$N572))</f>
        <v/>
      </c>
      <c r="G572" s="123">
        <f>IF($L572="","",IF($P572=0,"TBA",IFERROR(INDEX(Grids!$BQ$160:$EC$219,$N572,$O572),"-")))</f>
        <v/>
      </c>
      <c r="H572" s="124">
        <f>IF($L572="","",SUM($G$442:$G572))</f>
        <v/>
      </c>
      <c r="I572" s="45">
        <f>IF($L572="","",IF(INT(($L572-INT($L572/10000000)*10000000)/1000000)=0,"Bloomberg projection",IF($P572=1,"ANNOUNCED","ANNOUNCED - amount TBA")))</f>
        <v/>
      </c>
      <c r="J572" s="46">
        <f>IF($L572="","",IF((OV_SWITCH="ON")*(COUNTIFS(OVR_TICKERS,INDEX(HSCEI!$C$7:$C$66,$N572),OVR_BASE,"&gt;=0")&gt;0)&gt;0,"stock overridden",""))</f>
        <v/>
      </c>
      <c r="L572" s="121">
        <f>IFERROR(IF(SMALL(Grids!$EE$160:$GQ$219,$M$439+131)&gt;=PEND_TO,"",SMALL(Grids!$EE$160:$GQ$219,$M$439+131)),"")</f>
        <v/>
      </c>
      <c r="M572" s="121">
        <f>IF($L572="","",INT($L572/1000000000))</f>
        <v/>
      </c>
      <c r="N572" s="121">
        <f>IF($L572="","",INT(($L572-INT($L572/1000000)*1000000)/1000))</f>
        <v/>
      </c>
      <c r="O572" s="121">
        <f>IF($L572="","",$L572-INT($L572/1000)*1000)</f>
        <v/>
      </c>
      <c r="P572" s="121">
        <f>IF($L572="","",INT(($L572-INT($L572/1000000000)*1000000000)/100000000))</f>
        <v/>
      </c>
    </row>
    <row r="573">
      <c r="B573" s="122">
        <f>IF($L573="","",$M573)</f>
        <v/>
      </c>
      <c r="C573" s="22">
        <f>IF($L573="","",INDEX(HSCEI!$C$7:$C$66,$N573))</f>
        <v/>
      </c>
      <c r="D573" s="22">
        <f>IF($L573="","",INDEX(HSCEI!$D$7:$D$66,$N573))</f>
        <v/>
      </c>
      <c r="E573" s="123">
        <f>IF($L573="","",IF($P573=0,"TBA",IFERROR(INDEX(Grids!$C$160:$BO$219,$N573,$O573),"-")))</f>
        <v/>
      </c>
      <c r="F573" s="22">
        <f>IF($L573="","",INDEX(HSCEI!$F$7:$F$66,$N573))</f>
        <v/>
      </c>
      <c r="G573" s="123">
        <f>IF($L573="","",IF($P573=0,"TBA",IFERROR(INDEX(Grids!$BQ$160:$EC$219,$N573,$O573),"-")))</f>
        <v/>
      </c>
      <c r="H573" s="124">
        <f>IF($L573="","",SUM($G$442:$G573))</f>
        <v/>
      </c>
      <c r="I573" s="45">
        <f>IF($L573="","",IF(INT(($L573-INT($L573/10000000)*10000000)/1000000)=0,"Bloomberg projection",IF($P573=1,"ANNOUNCED","ANNOUNCED - amount TBA")))</f>
        <v/>
      </c>
      <c r="J573" s="46">
        <f>IF($L573="","",IF((OV_SWITCH="ON")*(COUNTIFS(OVR_TICKERS,INDEX(HSCEI!$C$7:$C$66,$N573),OVR_BASE,"&gt;=0")&gt;0)&gt;0,"stock overridden",""))</f>
        <v/>
      </c>
      <c r="L573" s="121">
        <f>IFERROR(IF(SMALL(Grids!$EE$160:$GQ$219,$M$439+132)&gt;=PEND_TO,"",SMALL(Grids!$EE$160:$GQ$219,$M$439+132)),"")</f>
        <v/>
      </c>
      <c r="M573" s="121">
        <f>IF($L573="","",INT($L573/1000000000))</f>
        <v/>
      </c>
      <c r="N573" s="121">
        <f>IF($L573="","",INT(($L573-INT($L573/1000000)*1000000)/1000))</f>
        <v/>
      </c>
      <c r="O573" s="121">
        <f>IF($L573="","",$L573-INT($L573/1000)*1000)</f>
        <v/>
      </c>
      <c r="P573" s="121">
        <f>IF($L573="","",INT(($L573-INT($L573/1000000000)*1000000000)/100000000))</f>
        <v/>
      </c>
    </row>
    <row r="574">
      <c r="B574" s="122">
        <f>IF($L574="","",$M574)</f>
        <v/>
      </c>
      <c r="C574" s="22">
        <f>IF($L574="","",INDEX(HSCEI!$C$7:$C$66,$N574))</f>
        <v/>
      </c>
      <c r="D574" s="22">
        <f>IF($L574="","",INDEX(HSCEI!$D$7:$D$66,$N574))</f>
        <v/>
      </c>
      <c r="E574" s="123">
        <f>IF($L574="","",IF($P574=0,"TBA",IFERROR(INDEX(Grids!$C$160:$BO$219,$N574,$O574),"-")))</f>
        <v/>
      </c>
      <c r="F574" s="22">
        <f>IF($L574="","",INDEX(HSCEI!$F$7:$F$66,$N574))</f>
        <v/>
      </c>
      <c r="G574" s="123">
        <f>IF($L574="","",IF($P574=0,"TBA",IFERROR(INDEX(Grids!$BQ$160:$EC$219,$N574,$O574),"-")))</f>
        <v/>
      </c>
      <c r="H574" s="124">
        <f>IF($L574="","",SUM($G$442:$G574))</f>
        <v/>
      </c>
      <c r="I574" s="45">
        <f>IF($L574="","",IF(INT(($L574-INT($L574/10000000)*10000000)/1000000)=0,"Bloomberg projection",IF($P574=1,"ANNOUNCED","ANNOUNCED - amount TBA")))</f>
        <v/>
      </c>
      <c r="J574" s="46">
        <f>IF($L574="","",IF((OV_SWITCH="ON")*(COUNTIFS(OVR_TICKERS,INDEX(HSCEI!$C$7:$C$66,$N574),OVR_BASE,"&gt;=0")&gt;0)&gt;0,"stock overridden",""))</f>
        <v/>
      </c>
      <c r="L574" s="121">
        <f>IFERROR(IF(SMALL(Grids!$EE$160:$GQ$219,$M$439+133)&gt;=PEND_TO,"",SMALL(Grids!$EE$160:$GQ$219,$M$439+133)),"")</f>
        <v/>
      </c>
      <c r="M574" s="121">
        <f>IF($L574="","",INT($L574/1000000000))</f>
        <v/>
      </c>
      <c r="N574" s="121">
        <f>IF($L574="","",INT(($L574-INT($L574/1000000)*1000000)/1000))</f>
        <v/>
      </c>
      <c r="O574" s="121">
        <f>IF($L574="","",$L574-INT($L574/1000)*1000)</f>
        <v/>
      </c>
      <c r="P574" s="121">
        <f>IF($L574="","",INT(($L574-INT($L574/1000000000)*1000000000)/100000000))</f>
        <v/>
      </c>
    </row>
    <row r="575">
      <c r="B575" s="122">
        <f>IF($L575="","",$M575)</f>
        <v/>
      </c>
      <c r="C575" s="22">
        <f>IF($L575="","",INDEX(HSCEI!$C$7:$C$66,$N575))</f>
        <v/>
      </c>
      <c r="D575" s="22">
        <f>IF($L575="","",INDEX(HSCEI!$D$7:$D$66,$N575))</f>
        <v/>
      </c>
      <c r="E575" s="123">
        <f>IF($L575="","",IF($P575=0,"TBA",IFERROR(INDEX(Grids!$C$160:$BO$219,$N575,$O575),"-")))</f>
        <v/>
      </c>
      <c r="F575" s="22">
        <f>IF($L575="","",INDEX(HSCEI!$F$7:$F$66,$N575))</f>
        <v/>
      </c>
      <c r="G575" s="123">
        <f>IF($L575="","",IF($P575=0,"TBA",IFERROR(INDEX(Grids!$BQ$160:$EC$219,$N575,$O575),"-")))</f>
        <v/>
      </c>
      <c r="H575" s="124">
        <f>IF($L575="","",SUM($G$442:$G575))</f>
        <v/>
      </c>
      <c r="I575" s="45">
        <f>IF($L575="","",IF(INT(($L575-INT($L575/10000000)*10000000)/1000000)=0,"Bloomberg projection",IF($P575=1,"ANNOUNCED","ANNOUNCED - amount TBA")))</f>
        <v/>
      </c>
      <c r="J575" s="46">
        <f>IF($L575="","",IF((OV_SWITCH="ON")*(COUNTIFS(OVR_TICKERS,INDEX(HSCEI!$C$7:$C$66,$N575),OVR_BASE,"&gt;=0")&gt;0)&gt;0,"stock overridden",""))</f>
        <v/>
      </c>
      <c r="L575" s="121">
        <f>IFERROR(IF(SMALL(Grids!$EE$160:$GQ$219,$M$439+134)&gt;=PEND_TO,"",SMALL(Grids!$EE$160:$GQ$219,$M$439+134)),"")</f>
        <v/>
      </c>
      <c r="M575" s="121">
        <f>IF($L575="","",INT($L575/1000000000))</f>
        <v/>
      </c>
      <c r="N575" s="121">
        <f>IF($L575="","",INT(($L575-INT($L575/1000000)*1000000)/1000))</f>
        <v/>
      </c>
      <c r="O575" s="121">
        <f>IF($L575="","",$L575-INT($L575/1000)*1000)</f>
        <v/>
      </c>
      <c r="P575" s="121">
        <f>IF($L575="","",INT(($L575-INT($L575/1000000000)*1000000000)/100000000))</f>
        <v/>
      </c>
    </row>
    <row r="576">
      <c r="B576" s="122">
        <f>IF($L576="","",$M576)</f>
        <v/>
      </c>
      <c r="C576" s="22">
        <f>IF($L576="","",INDEX(HSCEI!$C$7:$C$66,$N576))</f>
        <v/>
      </c>
      <c r="D576" s="22">
        <f>IF($L576="","",INDEX(HSCEI!$D$7:$D$66,$N576))</f>
        <v/>
      </c>
      <c r="E576" s="123">
        <f>IF($L576="","",IF($P576=0,"TBA",IFERROR(INDEX(Grids!$C$160:$BO$219,$N576,$O576),"-")))</f>
        <v/>
      </c>
      <c r="F576" s="22">
        <f>IF($L576="","",INDEX(HSCEI!$F$7:$F$66,$N576))</f>
        <v/>
      </c>
      <c r="G576" s="123">
        <f>IF($L576="","",IF($P576=0,"TBA",IFERROR(INDEX(Grids!$BQ$160:$EC$219,$N576,$O576),"-")))</f>
        <v/>
      </c>
      <c r="H576" s="124">
        <f>IF($L576="","",SUM($G$442:$G576))</f>
        <v/>
      </c>
      <c r="I576" s="45">
        <f>IF($L576="","",IF(INT(($L576-INT($L576/10000000)*10000000)/1000000)=0,"Bloomberg projection",IF($P576=1,"ANNOUNCED","ANNOUNCED - amount TBA")))</f>
        <v/>
      </c>
      <c r="J576" s="46">
        <f>IF($L576="","",IF((OV_SWITCH="ON")*(COUNTIFS(OVR_TICKERS,INDEX(HSCEI!$C$7:$C$66,$N576),OVR_BASE,"&gt;=0")&gt;0)&gt;0,"stock overridden",""))</f>
        <v/>
      </c>
      <c r="L576" s="121">
        <f>IFERROR(IF(SMALL(Grids!$EE$160:$GQ$219,$M$439+135)&gt;=PEND_TO,"",SMALL(Grids!$EE$160:$GQ$219,$M$439+135)),"")</f>
        <v/>
      </c>
      <c r="M576" s="121">
        <f>IF($L576="","",INT($L576/1000000000))</f>
        <v/>
      </c>
      <c r="N576" s="121">
        <f>IF($L576="","",INT(($L576-INT($L576/1000000)*1000000)/1000))</f>
        <v/>
      </c>
      <c r="O576" s="121">
        <f>IF($L576="","",$L576-INT($L576/1000)*1000)</f>
        <v/>
      </c>
      <c r="P576" s="121">
        <f>IF($L576="","",INT(($L576-INT($L576/1000000000)*1000000000)/100000000))</f>
        <v/>
      </c>
    </row>
    <row r="577">
      <c r="B577" s="122">
        <f>IF($L577="","",$M577)</f>
        <v/>
      </c>
      <c r="C577" s="22">
        <f>IF($L577="","",INDEX(HSCEI!$C$7:$C$66,$N577))</f>
        <v/>
      </c>
      <c r="D577" s="22">
        <f>IF($L577="","",INDEX(HSCEI!$D$7:$D$66,$N577))</f>
        <v/>
      </c>
      <c r="E577" s="123">
        <f>IF($L577="","",IF($P577=0,"TBA",IFERROR(INDEX(Grids!$C$160:$BO$219,$N577,$O577),"-")))</f>
        <v/>
      </c>
      <c r="F577" s="22">
        <f>IF($L577="","",INDEX(HSCEI!$F$7:$F$66,$N577))</f>
        <v/>
      </c>
      <c r="G577" s="123">
        <f>IF($L577="","",IF($P577=0,"TBA",IFERROR(INDEX(Grids!$BQ$160:$EC$219,$N577,$O577),"-")))</f>
        <v/>
      </c>
      <c r="H577" s="124">
        <f>IF($L577="","",SUM($G$442:$G577))</f>
        <v/>
      </c>
      <c r="I577" s="45">
        <f>IF($L577="","",IF(INT(($L577-INT($L577/10000000)*10000000)/1000000)=0,"Bloomberg projection",IF($P577=1,"ANNOUNCED","ANNOUNCED - amount TBA")))</f>
        <v/>
      </c>
      <c r="J577" s="46">
        <f>IF($L577="","",IF((OV_SWITCH="ON")*(COUNTIFS(OVR_TICKERS,INDEX(HSCEI!$C$7:$C$66,$N577),OVR_BASE,"&gt;=0")&gt;0)&gt;0,"stock overridden",""))</f>
        <v/>
      </c>
      <c r="L577" s="121">
        <f>IFERROR(IF(SMALL(Grids!$EE$160:$GQ$219,$M$439+136)&gt;=PEND_TO,"",SMALL(Grids!$EE$160:$GQ$219,$M$439+136)),"")</f>
        <v/>
      </c>
      <c r="M577" s="121">
        <f>IF($L577="","",INT($L577/1000000000))</f>
        <v/>
      </c>
      <c r="N577" s="121">
        <f>IF($L577="","",INT(($L577-INT($L577/1000000)*1000000)/1000))</f>
        <v/>
      </c>
      <c r="O577" s="121">
        <f>IF($L577="","",$L577-INT($L577/1000)*1000)</f>
        <v/>
      </c>
      <c r="P577" s="121">
        <f>IF($L577="","",INT(($L577-INT($L577/1000000000)*1000000000)/100000000))</f>
        <v/>
      </c>
    </row>
    <row r="578">
      <c r="B578" s="122">
        <f>IF($L578="","",$M578)</f>
        <v/>
      </c>
      <c r="C578" s="22">
        <f>IF($L578="","",INDEX(HSCEI!$C$7:$C$66,$N578))</f>
        <v/>
      </c>
      <c r="D578" s="22">
        <f>IF($L578="","",INDEX(HSCEI!$D$7:$D$66,$N578))</f>
        <v/>
      </c>
      <c r="E578" s="123">
        <f>IF($L578="","",IF($P578=0,"TBA",IFERROR(INDEX(Grids!$C$160:$BO$219,$N578,$O578),"-")))</f>
        <v/>
      </c>
      <c r="F578" s="22">
        <f>IF($L578="","",INDEX(HSCEI!$F$7:$F$66,$N578))</f>
        <v/>
      </c>
      <c r="G578" s="123">
        <f>IF($L578="","",IF($P578=0,"TBA",IFERROR(INDEX(Grids!$BQ$160:$EC$219,$N578,$O578),"-")))</f>
        <v/>
      </c>
      <c r="H578" s="124">
        <f>IF($L578="","",SUM($G$442:$G578))</f>
        <v/>
      </c>
      <c r="I578" s="45">
        <f>IF($L578="","",IF(INT(($L578-INT($L578/10000000)*10000000)/1000000)=0,"Bloomberg projection",IF($P578=1,"ANNOUNCED","ANNOUNCED - amount TBA")))</f>
        <v/>
      </c>
      <c r="J578" s="46">
        <f>IF($L578="","",IF((OV_SWITCH="ON")*(COUNTIFS(OVR_TICKERS,INDEX(HSCEI!$C$7:$C$66,$N578),OVR_BASE,"&gt;=0")&gt;0)&gt;0,"stock overridden",""))</f>
        <v/>
      </c>
      <c r="L578" s="121">
        <f>IFERROR(IF(SMALL(Grids!$EE$160:$GQ$219,$M$439+137)&gt;=PEND_TO,"",SMALL(Grids!$EE$160:$GQ$219,$M$439+137)),"")</f>
        <v/>
      </c>
      <c r="M578" s="121">
        <f>IF($L578="","",INT($L578/1000000000))</f>
        <v/>
      </c>
      <c r="N578" s="121">
        <f>IF($L578="","",INT(($L578-INT($L578/1000000)*1000000)/1000))</f>
        <v/>
      </c>
      <c r="O578" s="121">
        <f>IF($L578="","",$L578-INT($L578/1000)*1000)</f>
        <v/>
      </c>
      <c r="P578" s="121">
        <f>IF($L578="","",INT(($L578-INT($L578/1000000000)*1000000000)/100000000))</f>
        <v/>
      </c>
    </row>
    <row r="579">
      <c r="B579" s="122">
        <f>IF($L579="","",$M579)</f>
        <v/>
      </c>
      <c r="C579" s="22">
        <f>IF($L579="","",INDEX(HSCEI!$C$7:$C$66,$N579))</f>
        <v/>
      </c>
      <c r="D579" s="22">
        <f>IF($L579="","",INDEX(HSCEI!$D$7:$D$66,$N579))</f>
        <v/>
      </c>
      <c r="E579" s="123">
        <f>IF($L579="","",IF($P579=0,"TBA",IFERROR(INDEX(Grids!$C$160:$BO$219,$N579,$O579),"-")))</f>
        <v/>
      </c>
      <c r="F579" s="22">
        <f>IF($L579="","",INDEX(HSCEI!$F$7:$F$66,$N579))</f>
        <v/>
      </c>
      <c r="G579" s="123">
        <f>IF($L579="","",IF($P579=0,"TBA",IFERROR(INDEX(Grids!$BQ$160:$EC$219,$N579,$O579),"-")))</f>
        <v/>
      </c>
      <c r="H579" s="124">
        <f>IF($L579="","",SUM($G$442:$G579))</f>
        <v/>
      </c>
      <c r="I579" s="45">
        <f>IF($L579="","",IF(INT(($L579-INT($L579/10000000)*10000000)/1000000)=0,"Bloomberg projection",IF($P579=1,"ANNOUNCED","ANNOUNCED - amount TBA")))</f>
        <v/>
      </c>
      <c r="J579" s="46">
        <f>IF($L579="","",IF((OV_SWITCH="ON")*(COUNTIFS(OVR_TICKERS,INDEX(HSCEI!$C$7:$C$66,$N579),OVR_BASE,"&gt;=0")&gt;0)&gt;0,"stock overridden",""))</f>
        <v/>
      </c>
      <c r="L579" s="121">
        <f>IFERROR(IF(SMALL(Grids!$EE$160:$GQ$219,$M$439+138)&gt;=PEND_TO,"",SMALL(Grids!$EE$160:$GQ$219,$M$439+138)),"")</f>
        <v/>
      </c>
      <c r="M579" s="121">
        <f>IF($L579="","",INT($L579/1000000000))</f>
        <v/>
      </c>
      <c r="N579" s="121">
        <f>IF($L579="","",INT(($L579-INT($L579/1000000)*1000000)/1000))</f>
        <v/>
      </c>
      <c r="O579" s="121">
        <f>IF($L579="","",$L579-INT($L579/1000)*1000)</f>
        <v/>
      </c>
      <c r="P579" s="121">
        <f>IF($L579="","",INT(($L579-INT($L579/1000000000)*1000000000)/100000000))</f>
        <v/>
      </c>
    </row>
    <row r="580">
      <c r="B580" s="122">
        <f>IF($L580="","",$M580)</f>
        <v/>
      </c>
      <c r="C580" s="22">
        <f>IF($L580="","",INDEX(HSCEI!$C$7:$C$66,$N580))</f>
        <v/>
      </c>
      <c r="D580" s="22">
        <f>IF($L580="","",INDEX(HSCEI!$D$7:$D$66,$N580))</f>
        <v/>
      </c>
      <c r="E580" s="123">
        <f>IF($L580="","",IF($P580=0,"TBA",IFERROR(INDEX(Grids!$C$160:$BO$219,$N580,$O580),"-")))</f>
        <v/>
      </c>
      <c r="F580" s="22">
        <f>IF($L580="","",INDEX(HSCEI!$F$7:$F$66,$N580))</f>
        <v/>
      </c>
      <c r="G580" s="123">
        <f>IF($L580="","",IF($P580=0,"TBA",IFERROR(INDEX(Grids!$BQ$160:$EC$219,$N580,$O580),"-")))</f>
        <v/>
      </c>
      <c r="H580" s="124">
        <f>IF($L580="","",SUM($G$442:$G580))</f>
        <v/>
      </c>
      <c r="I580" s="45">
        <f>IF($L580="","",IF(INT(($L580-INT($L580/10000000)*10000000)/1000000)=0,"Bloomberg projection",IF($P580=1,"ANNOUNCED","ANNOUNCED - amount TBA")))</f>
        <v/>
      </c>
      <c r="J580" s="46">
        <f>IF($L580="","",IF((OV_SWITCH="ON")*(COUNTIFS(OVR_TICKERS,INDEX(HSCEI!$C$7:$C$66,$N580),OVR_BASE,"&gt;=0")&gt;0)&gt;0,"stock overridden",""))</f>
        <v/>
      </c>
      <c r="L580" s="121">
        <f>IFERROR(IF(SMALL(Grids!$EE$160:$GQ$219,$M$439+139)&gt;=PEND_TO,"",SMALL(Grids!$EE$160:$GQ$219,$M$439+139)),"")</f>
        <v/>
      </c>
      <c r="M580" s="121">
        <f>IF($L580="","",INT($L580/1000000000))</f>
        <v/>
      </c>
      <c r="N580" s="121">
        <f>IF($L580="","",INT(($L580-INT($L580/1000000)*1000000)/1000))</f>
        <v/>
      </c>
      <c r="O580" s="121">
        <f>IF($L580="","",$L580-INT($L580/1000)*1000)</f>
        <v/>
      </c>
      <c r="P580" s="121">
        <f>IF($L580="","",INT(($L580-INT($L580/1000000000)*1000000000)/100000000))</f>
        <v/>
      </c>
    </row>
    <row r="581">
      <c r="B581" s="122">
        <f>IF($L581="","",$M581)</f>
        <v/>
      </c>
      <c r="C581" s="22">
        <f>IF($L581="","",INDEX(HSCEI!$C$7:$C$66,$N581))</f>
        <v/>
      </c>
      <c r="D581" s="22">
        <f>IF($L581="","",INDEX(HSCEI!$D$7:$D$66,$N581))</f>
        <v/>
      </c>
      <c r="E581" s="123">
        <f>IF($L581="","",IF($P581=0,"TBA",IFERROR(INDEX(Grids!$C$160:$BO$219,$N581,$O581),"-")))</f>
        <v/>
      </c>
      <c r="F581" s="22">
        <f>IF($L581="","",INDEX(HSCEI!$F$7:$F$66,$N581))</f>
        <v/>
      </c>
      <c r="G581" s="123">
        <f>IF($L581="","",IF($P581=0,"TBA",IFERROR(INDEX(Grids!$BQ$160:$EC$219,$N581,$O581),"-")))</f>
        <v/>
      </c>
      <c r="H581" s="124">
        <f>IF($L581="","",SUM($G$442:$G581))</f>
        <v/>
      </c>
      <c r="I581" s="45">
        <f>IF($L581="","",IF(INT(($L581-INT($L581/10000000)*10000000)/1000000)=0,"Bloomberg projection",IF($P581=1,"ANNOUNCED","ANNOUNCED - amount TBA")))</f>
        <v/>
      </c>
      <c r="J581" s="46">
        <f>IF($L581="","",IF((OV_SWITCH="ON")*(COUNTIFS(OVR_TICKERS,INDEX(HSCEI!$C$7:$C$66,$N581),OVR_BASE,"&gt;=0")&gt;0)&gt;0,"stock overridden",""))</f>
        <v/>
      </c>
      <c r="L581" s="121">
        <f>IFERROR(IF(SMALL(Grids!$EE$160:$GQ$219,$M$439+140)&gt;=PEND_TO,"",SMALL(Grids!$EE$160:$GQ$219,$M$439+140)),"")</f>
        <v/>
      </c>
      <c r="M581" s="121">
        <f>IF($L581="","",INT($L581/1000000000))</f>
        <v/>
      </c>
      <c r="N581" s="121">
        <f>IF($L581="","",INT(($L581-INT($L581/1000000)*1000000)/1000))</f>
        <v/>
      </c>
      <c r="O581" s="121">
        <f>IF($L581="","",$L581-INT($L581/1000)*1000)</f>
        <v/>
      </c>
      <c r="P581" s="121">
        <f>IF($L581="","",INT(($L581-INT($L581/1000000000)*1000000000)/100000000))</f>
        <v/>
      </c>
    </row>
    <row r="582">
      <c r="B582" s="122">
        <f>IF($L582="","",$M582)</f>
        <v/>
      </c>
      <c r="C582" s="22">
        <f>IF($L582="","",INDEX(HSCEI!$C$7:$C$66,$N582))</f>
        <v/>
      </c>
      <c r="D582" s="22">
        <f>IF($L582="","",INDEX(HSCEI!$D$7:$D$66,$N582))</f>
        <v/>
      </c>
      <c r="E582" s="123">
        <f>IF($L582="","",IF($P582=0,"TBA",IFERROR(INDEX(Grids!$C$160:$BO$219,$N582,$O582),"-")))</f>
        <v/>
      </c>
      <c r="F582" s="22">
        <f>IF($L582="","",INDEX(HSCEI!$F$7:$F$66,$N582))</f>
        <v/>
      </c>
      <c r="G582" s="123">
        <f>IF($L582="","",IF($P582=0,"TBA",IFERROR(INDEX(Grids!$BQ$160:$EC$219,$N582,$O582),"-")))</f>
        <v/>
      </c>
      <c r="H582" s="124">
        <f>IF($L582="","",SUM($G$442:$G582))</f>
        <v/>
      </c>
      <c r="I582" s="45">
        <f>IF($L582="","",IF(INT(($L582-INT($L582/10000000)*10000000)/1000000)=0,"Bloomberg projection",IF($P582=1,"ANNOUNCED","ANNOUNCED - amount TBA")))</f>
        <v/>
      </c>
      <c r="J582" s="46">
        <f>IF($L582="","",IF((OV_SWITCH="ON")*(COUNTIFS(OVR_TICKERS,INDEX(HSCEI!$C$7:$C$66,$N582),OVR_BASE,"&gt;=0")&gt;0)&gt;0,"stock overridden",""))</f>
        <v/>
      </c>
      <c r="L582" s="121">
        <f>IFERROR(IF(SMALL(Grids!$EE$160:$GQ$219,$M$439+141)&gt;=PEND_TO,"",SMALL(Grids!$EE$160:$GQ$219,$M$439+141)),"")</f>
        <v/>
      </c>
      <c r="M582" s="121">
        <f>IF($L582="","",INT($L582/1000000000))</f>
        <v/>
      </c>
      <c r="N582" s="121">
        <f>IF($L582="","",INT(($L582-INT($L582/1000000)*1000000)/1000))</f>
        <v/>
      </c>
      <c r="O582" s="121">
        <f>IF($L582="","",$L582-INT($L582/1000)*1000)</f>
        <v/>
      </c>
      <c r="P582" s="121">
        <f>IF($L582="","",INT(($L582-INT($L582/1000000000)*1000000000)/100000000))</f>
        <v/>
      </c>
    </row>
    <row r="583">
      <c r="B583" s="122">
        <f>IF($L583="","",$M583)</f>
        <v/>
      </c>
      <c r="C583" s="22">
        <f>IF($L583="","",INDEX(HSCEI!$C$7:$C$66,$N583))</f>
        <v/>
      </c>
      <c r="D583" s="22">
        <f>IF($L583="","",INDEX(HSCEI!$D$7:$D$66,$N583))</f>
        <v/>
      </c>
      <c r="E583" s="123">
        <f>IF($L583="","",IF($P583=0,"TBA",IFERROR(INDEX(Grids!$C$160:$BO$219,$N583,$O583),"-")))</f>
        <v/>
      </c>
      <c r="F583" s="22">
        <f>IF($L583="","",INDEX(HSCEI!$F$7:$F$66,$N583))</f>
        <v/>
      </c>
      <c r="G583" s="123">
        <f>IF($L583="","",IF($P583=0,"TBA",IFERROR(INDEX(Grids!$BQ$160:$EC$219,$N583,$O583),"-")))</f>
        <v/>
      </c>
      <c r="H583" s="124">
        <f>IF($L583="","",SUM($G$442:$G583))</f>
        <v/>
      </c>
      <c r="I583" s="45">
        <f>IF($L583="","",IF(INT(($L583-INT($L583/10000000)*10000000)/1000000)=0,"Bloomberg projection",IF($P583=1,"ANNOUNCED","ANNOUNCED - amount TBA")))</f>
        <v/>
      </c>
      <c r="J583" s="46">
        <f>IF($L583="","",IF((OV_SWITCH="ON")*(COUNTIFS(OVR_TICKERS,INDEX(HSCEI!$C$7:$C$66,$N583),OVR_BASE,"&gt;=0")&gt;0)&gt;0,"stock overridden",""))</f>
        <v/>
      </c>
      <c r="L583" s="121">
        <f>IFERROR(IF(SMALL(Grids!$EE$160:$GQ$219,$M$439+142)&gt;=PEND_TO,"",SMALL(Grids!$EE$160:$GQ$219,$M$439+142)),"")</f>
        <v/>
      </c>
      <c r="M583" s="121">
        <f>IF($L583="","",INT($L583/1000000000))</f>
        <v/>
      </c>
      <c r="N583" s="121">
        <f>IF($L583="","",INT(($L583-INT($L583/1000000)*1000000)/1000))</f>
        <v/>
      </c>
      <c r="O583" s="121">
        <f>IF($L583="","",$L583-INT($L583/1000)*1000)</f>
        <v/>
      </c>
      <c r="P583" s="121">
        <f>IF($L583="","",INT(($L583-INT($L583/1000000000)*1000000000)/100000000))</f>
        <v/>
      </c>
    </row>
    <row r="584">
      <c r="B584" s="122">
        <f>IF($L584="","",$M584)</f>
        <v/>
      </c>
      <c r="C584" s="22">
        <f>IF($L584="","",INDEX(HSCEI!$C$7:$C$66,$N584))</f>
        <v/>
      </c>
      <c r="D584" s="22">
        <f>IF($L584="","",INDEX(HSCEI!$D$7:$D$66,$N584))</f>
        <v/>
      </c>
      <c r="E584" s="123">
        <f>IF($L584="","",IF($P584=0,"TBA",IFERROR(INDEX(Grids!$C$160:$BO$219,$N584,$O584),"-")))</f>
        <v/>
      </c>
      <c r="F584" s="22">
        <f>IF($L584="","",INDEX(HSCEI!$F$7:$F$66,$N584))</f>
        <v/>
      </c>
      <c r="G584" s="123">
        <f>IF($L584="","",IF($P584=0,"TBA",IFERROR(INDEX(Grids!$BQ$160:$EC$219,$N584,$O584),"-")))</f>
        <v/>
      </c>
      <c r="H584" s="124">
        <f>IF($L584="","",SUM($G$442:$G584))</f>
        <v/>
      </c>
      <c r="I584" s="45">
        <f>IF($L584="","",IF(INT(($L584-INT($L584/10000000)*10000000)/1000000)=0,"Bloomberg projection",IF($P584=1,"ANNOUNCED","ANNOUNCED - amount TBA")))</f>
        <v/>
      </c>
      <c r="J584" s="46">
        <f>IF($L584="","",IF((OV_SWITCH="ON")*(COUNTIFS(OVR_TICKERS,INDEX(HSCEI!$C$7:$C$66,$N584),OVR_BASE,"&gt;=0")&gt;0)&gt;0,"stock overridden",""))</f>
        <v/>
      </c>
      <c r="L584" s="121">
        <f>IFERROR(IF(SMALL(Grids!$EE$160:$GQ$219,$M$439+143)&gt;=PEND_TO,"",SMALL(Grids!$EE$160:$GQ$219,$M$439+143)),"")</f>
        <v/>
      </c>
      <c r="M584" s="121">
        <f>IF($L584="","",INT($L584/1000000000))</f>
        <v/>
      </c>
      <c r="N584" s="121">
        <f>IF($L584="","",INT(($L584-INT($L584/1000000)*1000000)/1000))</f>
        <v/>
      </c>
      <c r="O584" s="121">
        <f>IF($L584="","",$L584-INT($L584/1000)*1000)</f>
        <v/>
      </c>
      <c r="P584" s="121">
        <f>IF($L584="","",INT(($L584-INT($L584/1000000000)*1000000000)/100000000))</f>
        <v/>
      </c>
    </row>
    <row r="585">
      <c r="B585" s="122">
        <f>IF($L585="","",$M585)</f>
        <v/>
      </c>
      <c r="C585" s="22">
        <f>IF($L585="","",INDEX(HSCEI!$C$7:$C$66,$N585))</f>
        <v/>
      </c>
      <c r="D585" s="22">
        <f>IF($L585="","",INDEX(HSCEI!$D$7:$D$66,$N585))</f>
        <v/>
      </c>
      <c r="E585" s="123">
        <f>IF($L585="","",IF($P585=0,"TBA",IFERROR(INDEX(Grids!$C$160:$BO$219,$N585,$O585),"-")))</f>
        <v/>
      </c>
      <c r="F585" s="22">
        <f>IF($L585="","",INDEX(HSCEI!$F$7:$F$66,$N585))</f>
        <v/>
      </c>
      <c r="G585" s="123">
        <f>IF($L585="","",IF($P585=0,"TBA",IFERROR(INDEX(Grids!$BQ$160:$EC$219,$N585,$O585),"-")))</f>
        <v/>
      </c>
      <c r="H585" s="124">
        <f>IF($L585="","",SUM($G$442:$G585))</f>
        <v/>
      </c>
      <c r="I585" s="45">
        <f>IF($L585="","",IF(INT(($L585-INT($L585/10000000)*10000000)/1000000)=0,"Bloomberg projection",IF($P585=1,"ANNOUNCED","ANNOUNCED - amount TBA")))</f>
        <v/>
      </c>
      <c r="J585" s="46">
        <f>IF($L585="","",IF((OV_SWITCH="ON")*(COUNTIFS(OVR_TICKERS,INDEX(HSCEI!$C$7:$C$66,$N585),OVR_BASE,"&gt;=0")&gt;0)&gt;0,"stock overridden",""))</f>
        <v/>
      </c>
      <c r="L585" s="121">
        <f>IFERROR(IF(SMALL(Grids!$EE$160:$GQ$219,$M$439+144)&gt;=PEND_TO,"",SMALL(Grids!$EE$160:$GQ$219,$M$439+144)),"")</f>
        <v/>
      </c>
      <c r="M585" s="121">
        <f>IF($L585="","",INT($L585/1000000000))</f>
        <v/>
      </c>
      <c r="N585" s="121">
        <f>IF($L585="","",INT(($L585-INT($L585/1000000)*1000000)/1000))</f>
        <v/>
      </c>
      <c r="O585" s="121">
        <f>IF($L585="","",$L585-INT($L585/1000)*1000)</f>
        <v/>
      </c>
      <c r="P585" s="121">
        <f>IF($L585="","",INT(($L585-INT($L585/1000000000)*1000000000)/100000000))</f>
        <v/>
      </c>
    </row>
    <row r="586">
      <c r="B586" s="122">
        <f>IF($L586="","",$M586)</f>
        <v/>
      </c>
      <c r="C586" s="22">
        <f>IF($L586="","",INDEX(HSCEI!$C$7:$C$66,$N586))</f>
        <v/>
      </c>
      <c r="D586" s="22">
        <f>IF($L586="","",INDEX(HSCEI!$D$7:$D$66,$N586))</f>
        <v/>
      </c>
      <c r="E586" s="123">
        <f>IF($L586="","",IF($P586=0,"TBA",IFERROR(INDEX(Grids!$C$160:$BO$219,$N586,$O586),"-")))</f>
        <v/>
      </c>
      <c r="F586" s="22">
        <f>IF($L586="","",INDEX(HSCEI!$F$7:$F$66,$N586))</f>
        <v/>
      </c>
      <c r="G586" s="123">
        <f>IF($L586="","",IF($P586=0,"TBA",IFERROR(INDEX(Grids!$BQ$160:$EC$219,$N586,$O586),"-")))</f>
        <v/>
      </c>
      <c r="H586" s="124">
        <f>IF($L586="","",SUM($G$442:$G586))</f>
        <v/>
      </c>
      <c r="I586" s="45">
        <f>IF($L586="","",IF(INT(($L586-INT($L586/10000000)*10000000)/1000000)=0,"Bloomberg projection",IF($P586=1,"ANNOUNCED","ANNOUNCED - amount TBA")))</f>
        <v/>
      </c>
      <c r="J586" s="46">
        <f>IF($L586="","",IF((OV_SWITCH="ON")*(COUNTIFS(OVR_TICKERS,INDEX(HSCEI!$C$7:$C$66,$N586),OVR_BASE,"&gt;=0")&gt;0)&gt;0,"stock overridden",""))</f>
        <v/>
      </c>
      <c r="L586" s="121">
        <f>IFERROR(IF(SMALL(Grids!$EE$160:$GQ$219,$M$439+145)&gt;=PEND_TO,"",SMALL(Grids!$EE$160:$GQ$219,$M$439+145)),"")</f>
        <v/>
      </c>
      <c r="M586" s="121">
        <f>IF($L586="","",INT($L586/1000000000))</f>
        <v/>
      </c>
      <c r="N586" s="121">
        <f>IF($L586="","",INT(($L586-INT($L586/1000000)*1000000)/1000))</f>
        <v/>
      </c>
      <c r="O586" s="121">
        <f>IF($L586="","",$L586-INT($L586/1000)*1000)</f>
        <v/>
      </c>
      <c r="P586" s="121">
        <f>IF($L586="","",INT(($L586-INT($L586/1000000000)*1000000000)/100000000))</f>
        <v/>
      </c>
    </row>
    <row r="587">
      <c r="B587" s="122">
        <f>IF($L587="","",$M587)</f>
        <v/>
      </c>
      <c r="C587" s="22">
        <f>IF($L587="","",INDEX(HSCEI!$C$7:$C$66,$N587))</f>
        <v/>
      </c>
      <c r="D587" s="22">
        <f>IF($L587="","",INDEX(HSCEI!$D$7:$D$66,$N587))</f>
        <v/>
      </c>
      <c r="E587" s="123">
        <f>IF($L587="","",IF($P587=0,"TBA",IFERROR(INDEX(Grids!$C$160:$BO$219,$N587,$O587),"-")))</f>
        <v/>
      </c>
      <c r="F587" s="22">
        <f>IF($L587="","",INDEX(HSCEI!$F$7:$F$66,$N587))</f>
        <v/>
      </c>
      <c r="G587" s="123">
        <f>IF($L587="","",IF($P587=0,"TBA",IFERROR(INDEX(Grids!$BQ$160:$EC$219,$N587,$O587),"-")))</f>
        <v/>
      </c>
      <c r="H587" s="124">
        <f>IF($L587="","",SUM($G$442:$G587))</f>
        <v/>
      </c>
      <c r="I587" s="45">
        <f>IF($L587="","",IF(INT(($L587-INT($L587/10000000)*10000000)/1000000)=0,"Bloomberg projection",IF($P587=1,"ANNOUNCED","ANNOUNCED - amount TBA")))</f>
        <v/>
      </c>
      <c r="J587" s="46">
        <f>IF($L587="","",IF((OV_SWITCH="ON")*(COUNTIFS(OVR_TICKERS,INDEX(HSCEI!$C$7:$C$66,$N587),OVR_BASE,"&gt;=0")&gt;0)&gt;0,"stock overridden",""))</f>
        <v/>
      </c>
      <c r="L587" s="121">
        <f>IFERROR(IF(SMALL(Grids!$EE$160:$GQ$219,$M$439+146)&gt;=PEND_TO,"",SMALL(Grids!$EE$160:$GQ$219,$M$439+146)),"")</f>
        <v/>
      </c>
      <c r="M587" s="121">
        <f>IF($L587="","",INT($L587/1000000000))</f>
        <v/>
      </c>
      <c r="N587" s="121">
        <f>IF($L587="","",INT(($L587-INT($L587/1000000)*1000000)/1000))</f>
        <v/>
      </c>
      <c r="O587" s="121">
        <f>IF($L587="","",$L587-INT($L587/1000)*1000)</f>
        <v/>
      </c>
      <c r="P587" s="121">
        <f>IF($L587="","",INT(($L587-INT($L587/1000000000)*1000000000)/100000000))</f>
        <v/>
      </c>
    </row>
    <row r="588">
      <c r="B588" s="122">
        <f>IF($L588="","",$M588)</f>
        <v/>
      </c>
      <c r="C588" s="22">
        <f>IF($L588="","",INDEX(HSCEI!$C$7:$C$66,$N588))</f>
        <v/>
      </c>
      <c r="D588" s="22">
        <f>IF($L588="","",INDEX(HSCEI!$D$7:$D$66,$N588))</f>
        <v/>
      </c>
      <c r="E588" s="123">
        <f>IF($L588="","",IF($P588=0,"TBA",IFERROR(INDEX(Grids!$C$160:$BO$219,$N588,$O588),"-")))</f>
        <v/>
      </c>
      <c r="F588" s="22">
        <f>IF($L588="","",INDEX(HSCEI!$F$7:$F$66,$N588))</f>
        <v/>
      </c>
      <c r="G588" s="123">
        <f>IF($L588="","",IF($P588=0,"TBA",IFERROR(INDEX(Grids!$BQ$160:$EC$219,$N588,$O588),"-")))</f>
        <v/>
      </c>
      <c r="H588" s="124">
        <f>IF($L588="","",SUM($G$442:$G588))</f>
        <v/>
      </c>
      <c r="I588" s="45">
        <f>IF($L588="","",IF(INT(($L588-INT($L588/10000000)*10000000)/1000000)=0,"Bloomberg projection",IF($P588=1,"ANNOUNCED","ANNOUNCED - amount TBA")))</f>
        <v/>
      </c>
      <c r="J588" s="46">
        <f>IF($L588="","",IF((OV_SWITCH="ON")*(COUNTIFS(OVR_TICKERS,INDEX(HSCEI!$C$7:$C$66,$N588),OVR_BASE,"&gt;=0")&gt;0)&gt;0,"stock overridden",""))</f>
        <v/>
      </c>
      <c r="L588" s="121">
        <f>IFERROR(IF(SMALL(Grids!$EE$160:$GQ$219,$M$439+147)&gt;=PEND_TO,"",SMALL(Grids!$EE$160:$GQ$219,$M$439+147)),"")</f>
        <v/>
      </c>
      <c r="M588" s="121">
        <f>IF($L588="","",INT($L588/1000000000))</f>
        <v/>
      </c>
      <c r="N588" s="121">
        <f>IF($L588="","",INT(($L588-INT($L588/1000000)*1000000)/1000))</f>
        <v/>
      </c>
      <c r="O588" s="121">
        <f>IF($L588="","",$L588-INT($L588/1000)*1000)</f>
        <v/>
      </c>
      <c r="P588" s="121">
        <f>IF($L588="","",INT(($L588-INT($L588/1000000000)*1000000000)/100000000))</f>
        <v/>
      </c>
    </row>
    <row r="589">
      <c r="B589" s="122">
        <f>IF($L589="","",$M589)</f>
        <v/>
      </c>
      <c r="C589" s="22">
        <f>IF($L589="","",INDEX(HSCEI!$C$7:$C$66,$N589))</f>
        <v/>
      </c>
      <c r="D589" s="22">
        <f>IF($L589="","",INDEX(HSCEI!$D$7:$D$66,$N589))</f>
        <v/>
      </c>
      <c r="E589" s="123">
        <f>IF($L589="","",IF($P589=0,"TBA",IFERROR(INDEX(Grids!$C$160:$BO$219,$N589,$O589),"-")))</f>
        <v/>
      </c>
      <c r="F589" s="22">
        <f>IF($L589="","",INDEX(HSCEI!$F$7:$F$66,$N589))</f>
        <v/>
      </c>
      <c r="G589" s="123">
        <f>IF($L589="","",IF($P589=0,"TBA",IFERROR(INDEX(Grids!$BQ$160:$EC$219,$N589,$O589),"-")))</f>
        <v/>
      </c>
      <c r="H589" s="124">
        <f>IF($L589="","",SUM($G$442:$G589))</f>
        <v/>
      </c>
      <c r="I589" s="45">
        <f>IF($L589="","",IF(INT(($L589-INT($L589/10000000)*10000000)/1000000)=0,"Bloomberg projection",IF($P589=1,"ANNOUNCED","ANNOUNCED - amount TBA")))</f>
        <v/>
      </c>
      <c r="J589" s="46">
        <f>IF($L589="","",IF((OV_SWITCH="ON")*(COUNTIFS(OVR_TICKERS,INDEX(HSCEI!$C$7:$C$66,$N589),OVR_BASE,"&gt;=0")&gt;0)&gt;0,"stock overridden",""))</f>
        <v/>
      </c>
      <c r="L589" s="121">
        <f>IFERROR(IF(SMALL(Grids!$EE$160:$GQ$219,$M$439+148)&gt;=PEND_TO,"",SMALL(Grids!$EE$160:$GQ$219,$M$439+148)),"")</f>
        <v/>
      </c>
      <c r="M589" s="121">
        <f>IF($L589="","",INT($L589/1000000000))</f>
        <v/>
      </c>
      <c r="N589" s="121">
        <f>IF($L589="","",INT(($L589-INT($L589/1000000)*1000000)/1000))</f>
        <v/>
      </c>
      <c r="O589" s="121">
        <f>IF($L589="","",$L589-INT($L589/1000)*1000)</f>
        <v/>
      </c>
      <c r="P589" s="121">
        <f>IF($L589="","",INT(($L589-INT($L589/1000000000)*1000000000)/100000000))</f>
        <v/>
      </c>
    </row>
    <row r="590">
      <c r="B590" s="122">
        <f>IF($L590="","",$M590)</f>
        <v/>
      </c>
      <c r="C590" s="22">
        <f>IF($L590="","",INDEX(HSCEI!$C$7:$C$66,$N590))</f>
        <v/>
      </c>
      <c r="D590" s="22">
        <f>IF($L590="","",INDEX(HSCEI!$D$7:$D$66,$N590))</f>
        <v/>
      </c>
      <c r="E590" s="123">
        <f>IF($L590="","",IF($P590=0,"TBA",IFERROR(INDEX(Grids!$C$160:$BO$219,$N590,$O590),"-")))</f>
        <v/>
      </c>
      <c r="F590" s="22">
        <f>IF($L590="","",INDEX(HSCEI!$F$7:$F$66,$N590))</f>
        <v/>
      </c>
      <c r="G590" s="123">
        <f>IF($L590="","",IF($P590=0,"TBA",IFERROR(INDEX(Grids!$BQ$160:$EC$219,$N590,$O590),"-")))</f>
        <v/>
      </c>
      <c r="H590" s="124">
        <f>IF($L590="","",SUM($G$442:$G590))</f>
        <v/>
      </c>
      <c r="I590" s="45">
        <f>IF($L590="","",IF(INT(($L590-INT($L590/10000000)*10000000)/1000000)=0,"Bloomberg projection",IF($P590=1,"ANNOUNCED","ANNOUNCED - amount TBA")))</f>
        <v/>
      </c>
      <c r="J590" s="46">
        <f>IF($L590="","",IF((OV_SWITCH="ON")*(COUNTIFS(OVR_TICKERS,INDEX(HSCEI!$C$7:$C$66,$N590),OVR_BASE,"&gt;=0")&gt;0)&gt;0,"stock overridden",""))</f>
        <v/>
      </c>
      <c r="L590" s="121">
        <f>IFERROR(IF(SMALL(Grids!$EE$160:$GQ$219,$M$439+149)&gt;=PEND_TO,"",SMALL(Grids!$EE$160:$GQ$219,$M$439+149)),"")</f>
        <v/>
      </c>
      <c r="M590" s="121">
        <f>IF($L590="","",INT($L590/1000000000))</f>
        <v/>
      </c>
      <c r="N590" s="121">
        <f>IF($L590="","",INT(($L590-INT($L590/1000000)*1000000)/1000))</f>
        <v/>
      </c>
      <c r="O590" s="121">
        <f>IF($L590="","",$L590-INT($L590/1000)*1000)</f>
        <v/>
      </c>
      <c r="P590" s="121">
        <f>IF($L590="","",INT(($L590-INT($L590/1000000000)*1000000000)/100000000))</f>
        <v/>
      </c>
    </row>
    <row r="591">
      <c r="B591" s="122">
        <f>IF($L591="","",$M591)</f>
        <v/>
      </c>
      <c r="C591" s="22">
        <f>IF($L591="","",INDEX(HSCEI!$C$7:$C$66,$N591))</f>
        <v/>
      </c>
      <c r="D591" s="22">
        <f>IF($L591="","",INDEX(HSCEI!$D$7:$D$66,$N591))</f>
        <v/>
      </c>
      <c r="E591" s="123">
        <f>IF($L591="","",IF($P591=0,"TBA",IFERROR(INDEX(Grids!$C$160:$BO$219,$N591,$O591),"-")))</f>
        <v/>
      </c>
      <c r="F591" s="22">
        <f>IF($L591="","",INDEX(HSCEI!$F$7:$F$66,$N591))</f>
        <v/>
      </c>
      <c r="G591" s="123">
        <f>IF($L591="","",IF($P591=0,"TBA",IFERROR(INDEX(Grids!$BQ$160:$EC$219,$N591,$O591),"-")))</f>
        <v/>
      </c>
      <c r="H591" s="124">
        <f>IF($L591="","",SUM($G$442:$G591))</f>
        <v/>
      </c>
      <c r="I591" s="45">
        <f>IF($L591="","",IF(INT(($L591-INT($L591/10000000)*10000000)/1000000)=0,"Bloomberg projection",IF($P591=1,"ANNOUNCED","ANNOUNCED - amount TBA")))</f>
        <v/>
      </c>
      <c r="J591" s="46">
        <f>IF($L591="","",IF((OV_SWITCH="ON")*(COUNTIFS(OVR_TICKERS,INDEX(HSCEI!$C$7:$C$66,$N591),OVR_BASE,"&gt;=0")&gt;0)&gt;0,"stock overridden",""))</f>
        <v/>
      </c>
      <c r="L591" s="121">
        <f>IFERROR(IF(SMALL(Grids!$EE$160:$GQ$219,$M$439+150)&gt;=PEND_TO,"",SMALL(Grids!$EE$160:$GQ$219,$M$439+150)),"")</f>
        <v/>
      </c>
      <c r="M591" s="121">
        <f>IF($L591="","",INT($L591/1000000000))</f>
        <v/>
      </c>
      <c r="N591" s="121">
        <f>IF($L591="","",INT(($L591-INT($L591/1000000)*1000000)/1000))</f>
        <v/>
      </c>
      <c r="O591" s="121">
        <f>IF($L591="","",$L591-INT($L591/1000)*1000)</f>
        <v/>
      </c>
      <c r="P591" s="121">
        <f>IF($L591="","",INT(($L591-INT($L591/1000000000)*1000000000)/100000000))</f>
        <v/>
      </c>
    </row>
    <row r="592">
      <c r="B592" s="122">
        <f>IF($L592="","",$M592)</f>
        <v/>
      </c>
      <c r="C592" s="22">
        <f>IF($L592="","",INDEX(HSCEI!$C$7:$C$66,$N592))</f>
        <v/>
      </c>
      <c r="D592" s="22">
        <f>IF($L592="","",INDEX(HSCEI!$D$7:$D$66,$N592))</f>
        <v/>
      </c>
      <c r="E592" s="123">
        <f>IF($L592="","",IF($P592=0,"TBA",IFERROR(INDEX(Grids!$C$160:$BO$219,$N592,$O592),"-")))</f>
        <v/>
      </c>
      <c r="F592" s="22">
        <f>IF($L592="","",INDEX(HSCEI!$F$7:$F$66,$N592))</f>
        <v/>
      </c>
      <c r="G592" s="123">
        <f>IF($L592="","",IF($P592=0,"TBA",IFERROR(INDEX(Grids!$BQ$160:$EC$219,$N592,$O592),"-")))</f>
        <v/>
      </c>
      <c r="H592" s="124">
        <f>IF($L592="","",SUM($G$442:$G592))</f>
        <v/>
      </c>
      <c r="I592" s="45">
        <f>IF($L592="","",IF(INT(($L592-INT($L592/10000000)*10000000)/1000000)=0,"Bloomberg projection",IF($P592=1,"ANNOUNCED","ANNOUNCED - amount TBA")))</f>
        <v/>
      </c>
      <c r="J592" s="46">
        <f>IF($L592="","",IF((OV_SWITCH="ON")*(COUNTIFS(OVR_TICKERS,INDEX(HSCEI!$C$7:$C$66,$N592),OVR_BASE,"&gt;=0")&gt;0)&gt;0,"stock overridden",""))</f>
        <v/>
      </c>
      <c r="L592" s="121">
        <f>IFERROR(IF(SMALL(Grids!$EE$160:$GQ$219,$M$439+151)&gt;=PEND_TO,"",SMALL(Grids!$EE$160:$GQ$219,$M$439+151)),"")</f>
        <v/>
      </c>
      <c r="M592" s="121">
        <f>IF($L592="","",INT($L592/1000000000))</f>
        <v/>
      </c>
      <c r="N592" s="121">
        <f>IF($L592="","",INT(($L592-INT($L592/1000000)*1000000)/1000))</f>
        <v/>
      </c>
      <c r="O592" s="121">
        <f>IF($L592="","",$L592-INT($L592/1000)*1000)</f>
        <v/>
      </c>
      <c r="P592" s="121">
        <f>IF($L592="","",INT(($L592-INT($L592/1000000000)*1000000000)/100000000))</f>
        <v/>
      </c>
    </row>
    <row r="593">
      <c r="B593" s="122">
        <f>IF($L593="","",$M593)</f>
        <v/>
      </c>
      <c r="C593" s="22">
        <f>IF($L593="","",INDEX(HSCEI!$C$7:$C$66,$N593))</f>
        <v/>
      </c>
      <c r="D593" s="22">
        <f>IF($L593="","",INDEX(HSCEI!$D$7:$D$66,$N593))</f>
        <v/>
      </c>
      <c r="E593" s="123">
        <f>IF($L593="","",IF($P593=0,"TBA",IFERROR(INDEX(Grids!$C$160:$BO$219,$N593,$O593),"-")))</f>
        <v/>
      </c>
      <c r="F593" s="22">
        <f>IF($L593="","",INDEX(HSCEI!$F$7:$F$66,$N593))</f>
        <v/>
      </c>
      <c r="G593" s="123">
        <f>IF($L593="","",IF($P593=0,"TBA",IFERROR(INDEX(Grids!$BQ$160:$EC$219,$N593,$O593),"-")))</f>
        <v/>
      </c>
      <c r="H593" s="124">
        <f>IF($L593="","",SUM($G$442:$G593))</f>
        <v/>
      </c>
      <c r="I593" s="45">
        <f>IF($L593="","",IF(INT(($L593-INT($L593/10000000)*10000000)/1000000)=0,"Bloomberg projection",IF($P593=1,"ANNOUNCED","ANNOUNCED - amount TBA")))</f>
        <v/>
      </c>
      <c r="J593" s="46">
        <f>IF($L593="","",IF((OV_SWITCH="ON")*(COUNTIFS(OVR_TICKERS,INDEX(HSCEI!$C$7:$C$66,$N593),OVR_BASE,"&gt;=0")&gt;0)&gt;0,"stock overridden",""))</f>
        <v/>
      </c>
      <c r="L593" s="121">
        <f>IFERROR(IF(SMALL(Grids!$EE$160:$GQ$219,$M$439+152)&gt;=PEND_TO,"",SMALL(Grids!$EE$160:$GQ$219,$M$439+152)),"")</f>
        <v/>
      </c>
      <c r="M593" s="121">
        <f>IF($L593="","",INT($L593/1000000000))</f>
        <v/>
      </c>
      <c r="N593" s="121">
        <f>IF($L593="","",INT(($L593-INT($L593/1000000)*1000000)/1000))</f>
        <v/>
      </c>
      <c r="O593" s="121">
        <f>IF($L593="","",$L593-INT($L593/1000)*1000)</f>
        <v/>
      </c>
      <c r="P593" s="121">
        <f>IF($L593="","",INT(($L593-INT($L593/1000000000)*1000000000)/100000000))</f>
        <v/>
      </c>
    </row>
    <row r="594">
      <c r="B594" s="122">
        <f>IF($L594="","",$M594)</f>
        <v/>
      </c>
      <c r="C594" s="22">
        <f>IF($L594="","",INDEX(HSCEI!$C$7:$C$66,$N594))</f>
        <v/>
      </c>
      <c r="D594" s="22">
        <f>IF($L594="","",INDEX(HSCEI!$D$7:$D$66,$N594))</f>
        <v/>
      </c>
      <c r="E594" s="123">
        <f>IF($L594="","",IF($P594=0,"TBA",IFERROR(INDEX(Grids!$C$160:$BO$219,$N594,$O594),"-")))</f>
        <v/>
      </c>
      <c r="F594" s="22">
        <f>IF($L594="","",INDEX(HSCEI!$F$7:$F$66,$N594))</f>
        <v/>
      </c>
      <c r="G594" s="123">
        <f>IF($L594="","",IF($P594=0,"TBA",IFERROR(INDEX(Grids!$BQ$160:$EC$219,$N594,$O594),"-")))</f>
        <v/>
      </c>
      <c r="H594" s="124">
        <f>IF($L594="","",SUM($G$442:$G594))</f>
        <v/>
      </c>
      <c r="I594" s="45">
        <f>IF($L594="","",IF(INT(($L594-INT($L594/10000000)*10000000)/1000000)=0,"Bloomberg projection",IF($P594=1,"ANNOUNCED","ANNOUNCED - amount TBA")))</f>
        <v/>
      </c>
      <c r="J594" s="46">
        <f>IF($L594="","",IF((OV_SWITCH="ON")*(COUNTIFS(OVR_TICKERS,INDEX(HSCEI!$C$7:$C$66,$N594),OVR_BASE,"&gt;=0")&gt;0)&gt;0,"stock overridden",""))</f>
        <v/>
      </c>
      <c r="L594" s="121">
        <f>IFERROR(IF(SMALL(Grids!$EE$160:$GQ$219,$M$439+153)&gt;=PEND_TO,"",SMALL(Grids!$EE$160:$GQ$219,$M$439+153)),"")</f>
        <v/>
      </c>
      <c r="M594" s="121">
        <f>IF($L594="","",INT($L594/1000000000))</f>
        <v/>
      </c>
      <c r="N594" s="121">
        <f>IF($L594="","",INT(($L594-INT($L594/1000000)*1000000)/1000))</f>
        <v/>
      </c>
      <c r="O594" s="121">
        <f>IF($L594="","",$L594-INT($L594/1000)*1000)</f>
        <v/>
      </c>
      <c r="P594" s="121">
        <f>IF($L594="","",INT(($L594-INT($L594/1000000000)*1000000000)/100000000))</f>
        <v/>
      </c>
    </row>
    <row r="595">
      <c r="B595" s="122">
        <f>IF($L595="","",$M595)</f>
        <v/>
      </c>
      <c r="C595" s="22">
        <f>IF($L595="","",INDEX(HSCEI!$C$7:$C$66,$N595))</f>
        <v/>
      </c>
      <c r="D595" s="22">
        <f>IF($L595="","",INDEX(HSCEI!$D$7:$D$66,$N595))</f>
        <v/>
      </c>
      <c r="E595" s="123">
        <f>IF($L595="","",IF($P595=0,"TBA",IFERROR(INDEX(Grids!$C$160:$BO$219,$N595,$O595),"-")))</f>
        <v/>
      </c>
      <c r="F595" s="22">
        <f>IF($L595="","",INDEX(HSCEI!$F$7:$F$66,$N595))</f>
        <v/>
      </c>
      <c r="G595" s="123">
        <f>IF($L595="","",IF($P595=0,"TBA",IFERROR(INDEX(Grids!$BQ$160:$EC$219,$N595,$O595),"-")))</f>
        <v/>
      </c>
      <c r="H595" s="124">
        <f>IF($L595="","",SUM($G$442:$G595))</f>
        <v/>
      </c>
      <c r="I595" s="45">
        <f>IF($L595="","",IF(INT(($L595-INT($L595/10000000)*10000000)/1000000)=0,"Bloomberg projection",IF($P595=1,"ANNOUNCED","ANNOUNCED - amount TBA")))</f>
        <v/>
      </c>
      <c r="J595" s="46">
        <f>IF($L595="","",IF((OV_SWITCH="ON")*(COUNTIFS(OVR_TICKERS,INDEX(HSCEI!$C$7:$C$66,$N595),OVR_BASE,"&gt;=0")&gt;0)&gt;0,"stock overridden",""))</f>
        <v/>
      </c>
      <c r="L595" s="121">
        <f>IFERROR(IF(SMALL(Grids!$EE$160:$GQ$219,$M$439+154)&gt;=PEND_TO,"",SMALL(Grids!$EE$160:$GQ$219,$M$439+154)),"")</f>
        <v/>
      </c>
      <c r="M595" s="121">
        <f>IF($L595="","",INT($L595/1000000000))</f>
        <v/>
      </c>
      <c r="N595" s="121">
        <f>IF($L595="","",INT(($L595-INT($L595/1000000)*1000000)/1000))</f>
        <v/>
      </c>
      <c r="O595" s="121">
        <f>IF($L595="","",$L595-INT($L595/1000)*1000)</f>
        <v/>
      </c>
      <c r="P595" s="121">
        <f>IF($L595="","",INT(($L595-INT($L595/1000000000)*1000000000)/100000000))</f>
        <v/>
      </c>
    </row>
    <row r="596">
      <c r="B596" s="122">
        <f>IF($L596="","",$M596)</f>
        <v/>
      </c>
      <c r="C596" s="22">
        <f>IF($L596="","",INDEX(HSCEI!$C$7:$C$66,$N596))</f>
        <v/>
      </c>
      <c r="D596" s="22">
        <f>IF($L596="","",INDEX(HSCEI!$D$7:$D$66,$N596))</f>
        <v/>
      </c>
      <c r="E596" s="123">
        <f>IF($L596="","",IF($P596=0,"TBA",IFERROR(INDEX(Grids!$C$160:$BO$219,$N596,$O596),"-")))</f>
        <v/>
      </c>
      <c r="F596" s="22">
        <f>IF($L596="","",INDEX(HSCEI!$F$7:$F$66,$N596))</f>
        <v/>
      </c>
      <c r="G596" s="123">
        <f>IF($L596="","",IF($P596=0,"TBA",IFERROR(INDEX(Grids!$BQ$160:$EC$219,$N596,$O596),"-")))</f>
        <v/>
      </c>
      <c r="H596" s="124">
        <f>IF($L596="","",SUM($G$442:$G596))</f>
        <v/>
      </c>
      <c r="I596" s="45">
        <f>IF($L596="","",IF(INT(($L596-INT($L596/10000000)*10000000)/1000000)=0,"Bloomberg projection",IF($P596=1,"ANNOUNCED","ANNOUNCED - amount TBA")))</f>
        <v/>
      </c>
      <c r="J596" s="46">
        <f>IF($L596="","",IF((OV_SWITCH="ON")*(COUNTIFS(OVR_TICKERS,INDEX(HSCEI!$C$7:$C$66,$N596),OVR_BASE,"&gt;=0")&gt;0)&gt;0,"stock overridden",""))</f>
        <v/>
      </c>
      <c r="L596" s="121">
        <f>IFERROR(IF(SMALL(Grids!$EE$160:$GQ$219,$M$439+155)&gt;=PEND_TO,"",SMALL(Grids!$EE$160:$GQ$219,$M$439+155)),"")</f>
        <v/>
      </c>
      <c r="M596" s="121">
        <f>IF($L596="","",INT($L596/1000000000))</f>
        <v/>
      </c>
      <c r="N596" s="121">
        <f>IF($L596="","",INT(($L596-INT($L596/1000000)*1000000)/1000))</f>
        <v/>
      </c>
      <c r="O596" s="121">
        <f>IF($L596="","",$L596-INT($L596/1000)*1000)</f>
        <v/>
      </c>
      <c r="P596" s="121">
        <f>IF($L596="","",INT(($L596-INT($L596/1000000000)*1000000000)/100000000))</f>
        <v/>
      </c>
    </row>
    <row r="597">
      <c r="B597" s="122">
        <f>IF($L597="","",$M597)</f>
        <v/>
      </c>
      <c r="C597" s="22">
        <f>IF($L597="","",INDEX(HSCEI!$C$7:$C$66,$N597))</f>
        <v/>
      </c>
      <c r="D597" s="22">
        <f>IF($L597="","",INDEX(HSCEI!$D$7:$D$66,$N597))</f>
        <v/>
      </c>
      <c r="E597" s="123">
        <f>IF($L597="","",IF($P597=0,"TBA",IFERROR(INDEX(Grids!$C$160:$BO$219,$N597,$O597),"-")))</f>
        <v/>
      </c>
      <c r="F597" s="22">
        <f>IF($L597="","",INDEX(HSCEI!$F$7:$F$66,$N597))</f>
        <v/>
      </c>
      <c r="G597" s="123">
        <f>IF($L597="","",IF($P597=0,"TBA",IFERROR(INDEX(Grids!$BQ$160:$EC$219,$N597,$O597),"-")))</f>
        <v/>
      </c>
      <c r="H597" s="124">
        <f>IF($L597="","",SUM($G$442:$G597))</f>
        <v/>
      </c>
      <c r="I597" s="45">
        <f>IF($L597="","",IF(INT(($L597-INT($L597/10000000)*10000000)/1000000)=0,"Bloomberg projection",IF($P597=1,"ANNOUNCED","ANNOUNCED - amount TBA")))</f>
        <v/>
      </c>
      <c r="J597" s="46">
        <f>IF($L597="","",IF((OV_SWITCH="ON")*(COUNTIFS(OVR_TICKERS,INDEX(HSCEI!$C$7:$C$66,$N597),OVR_BASE,"&gt;=0")&gt;0)&gt;0,"stock overridden",""))</f>
        <v/>
      </c>
      <c r="L597" s="121">
        <f>IFERROR(IF(SMALL(Grids!$EE$160:$GQ$219,$M$439+156)&gt;=PEND_TO,"",SMALL(Grids!$EE$160:$GQ$219,$M$439+156)),"")</f>
        <v/>
      </c>
      <c r="M597" s="121">
        <f>IF($L597="","",INT($L597/1000000000))</f>
        <v/>
      </c>
      <c r="N597" s="121">
        <f>IF($L597="","",INT(($L597-INT($L597/1000000)*1000000)/1000))</f>
        <v/>
      </c>
      <c r="O597" s="121">
        <f>IF($L597="","",$L597-INT($L597/1000)*1000)</f>
        <v/>
      </c>
      <c r="P597" s="121">
        <f>IF($L597="","",INT(($L597-INT($L597/1000000000)*1000000000)/100000000))</f>
        <v/>
      </c>
    </row>
    <row r="598">
      <c r="B598" s="122">
        <f>IF($L598="","",$M598)</f>
        <v/>
      </c>
      <c r="C598" s="22">
        <f>IF($L598="","",INDEX(HSCEI!$C$7:$C$66,$N598))</f>
        <v/>
      </c>
      <c r="D598" s="22">
        <f>IF($L598="","",INDEX(HSCEI!$D$7:$D$66,$N598))</f>
        <v/>
      </c>
      <c r="E598" s="123">
        <f>IF($L598="","",IF($P598=0,"TBA",IFERROR(INDEX(Grids!$C$160:$BO$219,$N598,$O598),"-")))</f>
        <v/>
      </c>
      <c r="F598" s="22">
        <f>IF($L598="","",INDEX(HSCEI!$F$7:$F$66,$N598))</f>
        <v/>
      </c>
      <c r="G598" s="123">
        <f>IF($L598="","",IF($P598=0,"TBA",IFERROR(INDEX(Grids!$BQ$160:$EC$219,$N598,$O598),"-")))</f>
        <v/>
      </c>
      <c r="H598" s="124">
        <f>IF($L598="","",SUM($G$442:$G598))</f>
        <v/>
      </c>
      <c r="I598" s="45">
        <f>IF($L598="","",IF(INT(($L598-INT($L598/10000000)*10000000)/1000000)=0,"Bloomberg projection",IF($P598=1,"ANNOUNCED","ANNOUNCED - amount TBA")))</f>
        <v/>
      </c>
      <c r="J598" s="46">
        <f>IF($L598="","",IF((OV_SWITCH="ON")*(COUNTIFS(OVR_TICKERS,INDEX(HSCEI!$C$7:$C$66,$N598),OVR_BASE,"&gt;=0")&gt;0)&gt;0,"stock overridden",""))</f>
        <v/>
      </c>
      <c r="L598" s="121">
        <f>IFERROR(IF(SMALL(Grids!$EE$160:$GQ$219,$M$439+157)&gt;=PEND_TO,"",SMALL(Grids!$EE$160:$GQ$219,$M$439+157)),"")</f>
        <v/>
      </c>
      <c r="M598" s="121">
        <f>IF($L598="","",INT($L598/1000000000))</f>
        <v/>
      </c>
      <c r="N598" s="121">
        <f>IF($L598="","",INT(($L598-INT($L598/1000000)*1000000)/1000))</f>
        <v/>
      </c>
      <c r="O598" s="121">
        <f>IF($L598="","",$L598-INT($L598/1000)*1000)</f>
        <v/>
      </c>
      <c r="P598" s="121">
        <f>IF($L598="","",INT(($L598-INT($L598/1000000000)*1000000000)/100000000))</f>
        <v/>
      </c>
    </row>
    <row r="599">
      <c r="B599" s="122">
        <f>IF($L599="","",$M599)</f>
        <v/>
      </c>
      <c r="C599" s="22">
        <f>IF($L599="","",INDEX(HSCEI!$C$7:$C$66,$N599))</f>
        <v/>
      </c>
      <c r="D599" s="22">
        <f>IF($L599="","",INDEX(HSCEI!$D$7:$D$66,$N599))</f>
        <v/>
      </c>
      <c r="E599" s="123">
        <f>IF($L599="","",IF($P599=0,"TBA",IFERROR(INDEX(Grids!$C$160:$BO$219,$N599,$O599),"-")))</f>
        <v/>
      </c>
      <c r="F599" s="22">
        <f>IF($L599="","",INDEX(HSCEI!$F$7:$F$66,$N599))</f>
        <v/>
      </c>
      <c r="G599" s="123">
        <f>IF($L599="","",IF($P599=0,"TBA",IFERROR(INDEX(Grids!$BQ$160:$EC$219,$N599,$O599),"-")))</f>
        <v/>
      </c>
      <c r="H599" s="124">
        <f>IF($L599="","",SUM($G$442:$G599))</f>
        <v/>
      </c>
      <c r="I599" s="45">
        <f>IF($L599="","",IF(INT(($L599-INT($L599/10000000)*10000000)/1000000)=0,"Bloomberg projection",IF($P599=1,"ANNOUNCED","ANNOUNCED - amount TBA")))</f>
        <v/>
      </c>
      <c r="J599" s="46">
        <f>IF($L599="","",IF((OV_SWITCH="ON")*(COUNTIFS(OVR_TICKERS,INDEX(HSCEI!$C$7:$C$66,$N599),OVR_BASE,"&gt;=0")&gt;0)&gt;0,"stock overridden",""))</f>
        <v/>
      </c>
      <c r="L599" s="121">
        <f>IFERROR(IF(SMALL(Grids!$EE$160:$GQ$219,$M$439+158)&gt;=PEND_TO,"",SMALL(Grids!$EE$160:$GQ$219,$M$439+158)),"")</f>
        <v/>
      </c>
      <c r="M599" s="121">
        <f>IF($L599="","",INT($L599/1000000000))</f>
        <v/>
      </c>
      <c r="N599" s="121">
        <f>IF($L599="","",INT(($L599-INT($L599/1000000)*1000000)/1000))</f>
        <v/>
      </c>
      <c r="O599" s="121">
        <f>IF($L599="","",$L599-INT($L599/1000)*1000)</f>
        <v/>
      </c>
      <c r="P599" s="121">
        <f>IF($L599="","",INT(($L599-INT($L599/1000000000)*1000000000)/100000000))</f>
        <v/>
      </c>
    </row>
    <row r="600">
      <c r="B600" s="122">
        <f>IF($L600="","",$M600)</f>
        <v/>
      </c>
      <c r="C600" s="22">
        <f>IF($L600="","",INDEX(HSCEI!$C$7:$C$66,$N600))</f>
        <v/>
      </c>
      <c r="D600" s="22">
        <f>IF($L600="","",INDEX(HSCEI!$D$7:$D$66,$N600))</f>
        <v/>
      </c>
      <c r="E600" s="123">
        <f>IF($L600="","",IF($P600=0,"TBA",IFERROR(INDEX(Grids!$C$160:$BO$219,$N600,$O600),"-")))</f>
        <v/>
      </c>
      <c r="F600" s="22">
        <f>IF($L600="","",INDEX(HSCEI!$F$7:$F$66,$N600))</f>
        <v/>
      </c>
      <c r="G600" s="123">
        <f>IF($L600="","",IF($P600=0,"TBA",IFERROR(INDEX(Grids!$BQ$160:$EC$219,$N600,$O600),"-")))</f>
        <v/>
      </c>
      <c r="H600" s="124">
        <f>IF($L600="","",SUM($G$442:$G600))</f>
        <v/>
      </c>
      <c r="I600" s="45">
        <f>IF($L600="","",IF(INT(($L600-INT($L600/10000000)*10000000)/1000000)=0,"Bloomberg projection",IF($P600=1,"ANNOUNCED","ANNOUNCED - amount TBA")))</f>
        <v/>
      </c>
      <c r="J600" s="46">
        <f>IF($L600="","",IF((OV_SWITCH="ON")*(COUNTIFS(OVR_TICKERS,INDEX(HSCEI!$C$7:$C$66,$N600),OVR_BASE,"&gt;=0")&gt;0)&gt;0,"stock overridden",""))</f>
        <v/>
      </c>
      <c r="L600" s="121">
        <f>IFERROR(IF(SMALL(Grids!$EE$160:$GQ$219,$M$439+159)&gt;=PEND_TO,"",SMALL(Grids!$EE$160:$GQ$219,$M$439+159)),"")</f>
        <v/>
      </c>
      <c r="M600" s="121">
        <f>IF($L600="","",INT($L600/1000000000))</f>
        <v/>
      </c>
      <c r="N600" s="121">
        <f>IF($L600="","",INT(($L600-INT($L600/1000000)*1000000)/1000))</f>
        <v/>
      </c>
      <c r="O600" s="121">
        <f>IF($L600="","",$L600-INT($L600/1000)*1000)</f>
        <v/>
      </c>
      <c r="P600" s="121">
        <f>IF($L600="","",INT(($L600-INT($L600/1000000000)*1000000000)/100000000))</f>
        <v/>
      </c>
    </row>
    <row r="601">
      <c r="B601" s="122">
        <f>IF($L601="","",$M601)</f>
        <v/>
      </c>
      <c r="C601" s="22">
        <f>IF($L601="","",INDEX(HSCEI!$C$7:$C$66,$N601))</f>
        <v/>
      </c>
      <c r="D601" s="22">
        <f>IF($L601="","",INDEX(HSCEI!$D$7:$D$66,$N601))</f>
        <v/>
      </c>
      <c r="E601" s="123">
        <f>IF($L601="","",IF($P601=0,"TBA",IFERROR(INDEX(Grids!$C$160:$BO$219,$N601,$O601),"-")))</f>
        <v/>
      </c>
      <c r="F601" s="22">
        <f>IF($L601="","",INDEX(HSCEI!$F$7:$F$66,$N601))</f>
        <v/>
      </c>
      <c r="G601" s="123">
        <f>IF($L601="","",IF($P601=0,"TBA",IFERROR(INDEX(Grids!$BQ$160:$EC$219,$N601,$O601),"-")))</f>
        <v/>
      </c>
      <c r="H601" s="124">
        <f>IF($L601="","",SUM($G$442:$G601))</f>
        <v/>
      </c>
      <c r="I601" s="45">
        <f>IF($L601="","",IF(INT(($L601-INT($L601/10000000)*10000000)/1000000)=0,"Bloomberg projection",IF($P601=1,"ANNOUNCED","ANNOUNCED - amount TBA")))</f>
        <v/>
      </c>
      <c r="J601" s="46">
        <f>IF($L601="","",IF((OV_SWITCH="ON")*(COUNTIFS(OVR_TICKERS,INDEX(HSCEI!$C$7:$C$66,$N601),OVR_BASE,"&gt;=0")&gt;0)&gt;0,"stock overridden",""))</f>
        <v/>
      </c>
      <c r="L601" s="121">
        <f>IFERROR(IF(SMALL(Grids!$EE$160:$GQ$219,$M$439+160)&gt;=PEND_TO,"",SMALL(Grids!$EE$160:$GQ$219,$M$439+160)),"")</f>
        <v/>
      </c>
      <c r="M601" s="121">
        <f>IF($L601="","",INT($L601/1000000000))</f>
        <v/>
      </c>
      <c r="N601" s="121">
        <f>IF($L601="","",INT(($L601-INT($L601/1000000)*1000000)/1000))</f>
        <v/>
      </c>
      <c r="O601" s="121">
        <f>IF($L601="","",$L601-INT($L601/1000)*1000)</f>
        <v/>
      </c>
      <c r="P601" s="121">
        <f>IF($L601="","",INT(($L601-INT($L601/1000000000)*1000000000)/100000000))</f>
        <v/>
      </c>
    </row>
    <row r="602">
      <c r="B602" s="122">
        <f>IF($L602="","",$M602)</f>
        <v/>
      </c>
      <c r="C602" s="22">
        <f>IF($L602="","",INDEX(HSCEI!$C$7:$C$66,$N602))</f>
        <v/>
      </c>
      <c r="D602" s="22">
        <f>IF($L602="","",INDEX(HSCEI!$D$7:$D$66,$N602))</f>
        <v/>
      </c>
      <c r="E602" s="123">
        <f>IF($L602="","",IF($P602=0,"TBA",IFERROR(INDEX(Grids!$C$160:$BO$219,$N602,$O602),"-")))</f>
        <v/>
      </c>
      <c r="F602" s="22">
        <f>IF($L602="","",INDEX(HSCEI!$F$7:$F$66,$N602))</f>
        <v/>
      </c>
      <c r="G602" s="123">
        <f>IF($L602="","",IF($P602=0,"TBA",IFERROR(INDEX(Grids!$BQ$160:$EC$219,$N602,$O602),"-")))</f>
        <v/>
      </c>
      <c r="H602" s="124">
        <f>IF($L602="","",SUM($G$442:$G602))</f>
        <v/>
      </c>
      <c r="I602" s="45">
        <f>IF($L602="","",IF(INT(($L602-INT($L602/10000000)*10000000)/1000000)=0,"Bloomberg projection",IF($P602=1,"ANNOUNCED","ANNOUNCED - amount TBA")))</f>
        <v/>
      </c>
      <c r="J602" s="46">
        <f>IF($L602="","",IF((OV_SWITCH="ON")*(COUNTIFS(OVR_TICKERS,INDEX(HSCEI!$C$7:$C$66,$N602),OVR_BASE,"&gt;=0")&gt;0)&gt;0,"stock overridden",""))</f>
        <v/>
      </c>
      <c r="L602" s="121">
        <f>IFERROR(IF(SMALL(Grids!$EE$160:$GQ$219,$M$439+161)&gt;=PEND_TO,"",SMALL(Grids!$EE$160:$GQ$219,$M$439+161)),"")</f>
        <v/>
      </c>
      <c r="M602" s="121">
        <f>IF($L602="","",INT($L602/1000000000))</f>
        <v/>
      </c>
      <c r="N602" s="121">
        <f>IF($L602="","",INT(($L602-INT($L602/1000000)*1000000)/1000))</f>
        <v/>
      </c>
      <c r="O602" s="121">
        <f>IF($L602="","",$L602-INT($L602/1000)*1000)</f>
        <v/>
      </c>
      <c r="P602" s="121">
        <f>IF($L602="","",INT(($L602-INT($L602/1000000000)*1000000000)/100000000))</f>
        <v/>
      </c>
    </row>
    <row r="603">
      <c r="B603" s="122">
        <f>IF($L603="","",$M603)</f>
        <v/>
      </c>
      <c r="C603" s="22">
        <f>IF($L603="","",INDEX(HSCEI!$C$7:$C$66,$N603))</f>
        <v/>
      </c>
      <c r="D603" s="22">
        <f>IF($L603="","",INDEX(HSCEI!$D$7:$D$66,$N603))</f>
        <v/>
      </c>
      <c r="E603" s="123">
        <f>IF($L603="","",IF($P603=0,"TBA",IFERROR(INDEX(Grids!$C$160:$BO$219,$N603,$O603),"-")))</f>
        <v/>
      </c>
      <c r="F603" s="22">
        <f>IF($L603="","",INDEX(HSCEI!$F$7:$F$66,$N603))</f>
        <v/>
      </c>
      <c r="G603" s="123">
        <f>IF($L603="","",IF($P603=0,"TBA",IFERROR(INDEX(Grids!$BQ$160:$EC$219,$N603,$O603),"-")))</f>
        <v/>
      </c>
      <c r="H603" s="124">
        <f>IF($L603="","",SUM($G$442:$G603))</f>
        <v/>
      </c>
      <c r="I603" s="45">
        <f>IF($L603="","",IF(INT(($L603-INT($L603/10000000)*10000000)/1000000)=0,"Bloomberg projection",IF($P603=1,"ANNOUNCED","ANNOUNCED - amount TBA")))</f>
        <v/>
      </c>
      <c r="J603" s="46">
        <f>IF($L603="","",IF((OV_SWITCH="ON")*(COUNTIFS(OVR_TICKERS,INDEX(HSCEI!$C$7:$C$66,$N603),OVR_BASE,"&gt;=0")&gt;0)&gt;0,"stock overridden",""))</f>
        <v/>
      </c>
      <c r="L603" s="121">
        <f>IFERROR(IF(SMALL(Grids!$EE$160:$GQ$219,$M$439+162)&gt;=PEND_TO,"",SMALL(Grids!$EE$160:$GQ$219,$M$439+162)),"")</f>
        <v/>
      </c>
      <c r="M603" s="121">
        <f>IF($L603="","",INT($L603/1000000000))</f>
        <v/>
      </c>
      <c r="N603" s="121">
        <f>IF($L603="","",INT(($L603-INT($L603/1000000)*1000000)/1000))</f>
        <v/>
      </c>
      <c r="O603" s="121">
        <f>IF($L603="","",$L603-INT($L603/1000)*1000)</f>
        <v/>
      </c>
      <c r="P603" s="121">
        <f>IF($L603="","",INT(($L603-INT($L603/1000000000)*1000000000)/100000000))</f>
        <v/>
      </c>
    </row>
    <row r="604">
      <c r="B604" s="122">
        <f>IF($L604="","",$M604)</f>
        <v/>
      </c>
      <c r="C604" s="22">
        <f>IF($L604="","",INDEX(HSCEI!$C$7:$C$66,$N604))</f>
        <v/>
      </c>
      <c r="D604" s="22">
        <f>IF($L604="","",INDEX(HSCEI!$D$7:$D$66,$N604))</f>
        <v/>
      </c>
      <c r="E604" s="123">
        <f>IF($L604="","",IF($P604=0,"TBA",IFERROR(INDEX(Grids!$C$160:$BO$219,$N604,$O604),"-")))</f>
        <v/>
      </c>
      <c r="F604" s="22">
        <f>IF($L604="","",INDEX(HSCEI!$F$7:$F$66,$N604))</f>
        <v/>
      </c>
      <c r="G604" s="123">
        <f>IF($L604="","",IF($P604=0,"TBA",IFERROR(INDEX(Grids!$BQ$160:$EC$219,$N604,$O604),"-")))</f>
        <v/>
      </c>
      <c r="H604" s="124">
        <f>IF($L604="","",SUM($G$442:$G604))</f>
        <v/>
      </c>
      <c r="I604" s="45">
        <f>IF($L604="","",IF(INT(($L604-INT($L604/10000000)*10000000)/1000000)=0,"Bloomberg projection",IF($P604=1,"ANNOUNCED","ANNOUNCED - amount TBA")))</f>
        <v/>
      </c>
      <c r="J604" s="46">
        <f>IF($L604="","",IF((OV_SWITCH="ON")*(COUNTIFS(OVR_TICKERS,INDEX(HSCEI!$C$7:$C$66,$N604),OVR_BASE,"&gt;=0")&gt;0)&gt;0,"stock overridden",""))</f>
        <v/>
      </c>
      <c r="L604" s="121">
        <f>IFERROR(IF(SMALL(Grids!$EE$160:$GQ$219,$M$439+163)&gt;=PEND_TO,"",SMALL(Grids!$EE$160:$GQ$219,$M$439+163)),"")</f>
        <v/>
      </c>
      <c r="M604" s="121">
        <f>IF($L604="","",INT($L604/1000000000))</f>
        <v/>
      </c>
      <c r="N604" s="121">
        <f>IF($L604="","",INT(($L604-INT($L604/1000000)*1000000)/1000))</f>
        <v/>
      </c>
      <c r="O604" s="121">
        <f>IF($L604="","",$L604-INT($L604/1000)*1000)</f>
        <v/>
      </c>
      <c r="P604" s="121">
        <f>IF($L604="","",INT(($L604-INT($L604/1000000000)*1000000000)/100000000))</f>
        <v/>
      </c>
    </row>
    <row r="605">
      <c r="B605" s="122">
        <f>IF($L605="","",$M605)</f>
        <v/>
      </c>
      <c r="C605" s="22">
        <f>IF($L605="","",INDEX(HSCEI!$C$7:$C$66,$N605))</f>
        <v/>
      </c>
      <c r="D605" s="22">
        <f>IF($L605="","",INDEX(HSCEI!$D$7:$D$66,$N605))</f>
        <v/>
      </c>
      <c r="E605" s="123">
        <f>IF($L605="","",IF($P605=0,"TBA",IFERROR(INDEX(Grids!$C$160:$BO$219,$N605,$O605),"-")))</f>
        <v/>
      </c>
      <c r="F605" s="22">
        <f>IF($L605="","",INDEX(HSCEI!$F$7:$F$66,$N605))</f>
        <v/>
      </c>
      <c r="G605" s="123">
        <f>IF($L605="","",IF($P605=0,"TBA",IFERROR(INDEX(Grids!$BQ$160:$EC$219,$N605,$O605),"-")))</f>
        <v/>
      </c>
      <c r="H605" s="124">
        <f>IF($L605="","",SUM($G$442:$G605))</f>
        <v/>
      </c>
      <c r="I605" s="45">
        <f>IF($L605="","",IF(INT(($L605-INT($L605/10000000)*10000000)/1000000)=0,"Bloomberg projection",IF($P605=1,"ANNOUNCED","ANNOUNCED - amount TBA")))</f>
        <v/>
      </c>
      <c r="J605" s="46">
        <f>IF($L605="","",IF((OV_SWITCH="ON")*(COUNTIFS(OVR_TICKERS,INDEX(HSCEI!$C$7:$C$66,$N605),OVR_BASE,"&gt;=0")&gt;0)&gt;0,"stock overridden",""))</f>
        <v/>
      </c>
      <c r="L605" s="121">
        <f>IFERROR(IF(SMALL(Grids!$EE$160:$GQ$219,$M$439+164)&gt;=PEND_TO,"",SMALL(Grids!$EE$160:$GQ$219,$M$439+164)),"")</f>
        <v/>
      </c>
      <c r="M605" s="121">
        <f>IF($L605="","",INT($L605/1000000000))</f>
        <v/>
      </c>
      <c r="N605" s="121">
        <f>IF($L605="","",INT(($L605-INT($L605/1000000)*1000000)/1000))</f>
        <v/>
      </c>
      <c r="O605" s="121">
        <f>IF($L605="","",$L605-INT($L605/1000)*1000)</f>
        <v/>
      </c>
      <c r="P605" s="121">
        <f>IF($L605="","",INT(($L605-INT($L605/1000000000)*1000000000)/100000000))</f>
        <v/>
      </c>
    </row>
    <row r="606">
      <c r="B606" s="122">
        <f>IF($L606="","",$M606)</f>
        <v/>
      </c>
      <c r="C606" s="22">
        <f>IF($L606="","",INDEX(HSCEI!$C$7:$C$66,$N606))</f>
        <v/>
      </c>
      <c r="D606" s="22">
        <f>IF($L606="","",INDEX(HSCEI!$D$7:$D$66,$N606))</f>
        <v/>
      </c>
      <c r="E606" s="123">
        <f>IF($L606="","",IF($P606=0,"TBA",IFERROR(INDEX(Grids!$C$160:$BO$219,$N606,$O606),"-")))</f>
        <v/>
      </c>
      <c r="F606" s="22">
        <f>IF($L606="","",INDEX(HSCEI!$F$7:$F$66,$N606))</f>
        <v/>
      </c>
      <c r="G606" s="123">
        <f>IF($L606="","",IF($P606=0,"TBA",IFERROR(INDEX(Grids!$BQ$160:$EC$219,$N606,$O606),"-")))</f>
        <v/>
      </c>
      <c r="H606" s="124">
        <f>IF($L606="","",SUM($G$442:$G606))</f>
        <v/>
      </c>
      <c r="I606" s="45">
        <f>IF($L606="","",IF(INT(($L606-INT($L606/10000000)*10000000)/1000000)=0,"Bloomberg projection",IF($P606=1,"ANNOUNCED","ANNOUNCED - amount TBA")))</f>
        <v/>
      </c>
      <c r="J606" s="46">
        <f>IF($L606="","",IF((OV_SWITCH="ON")*(COUNTIFS(OVR_TICKERS,INDEX(HSCEI!$C$7:$C$66,$N606),OVR_BASE,"&gt;=0")&gt;0)&gt;0,"stock overridden",""))</f>
        <v/>
      </c>
      <c r="L606" s="121">
        <f>IFERROR(IF(SMALL(Grids!$EE$160:$GQ$219,$M$439+165)&gt;=PEND_TO,"",SMALL(Grids!$EE$160:$GQ$219,$M$439+165)),"")</f>
        <v/>
      </c>
      <c r="M606" s="121">
        <f>IF($L606="","",INT($L606/1000000000))</f>
        <v/>
      </c>
      <c r="N606" s="121">
        <f>IF($L606="","",INT(($L606-INT($L606/1000000)*1000000)/1000))</f>
        <v/>
      </c>
      <c r="O606" s="121">
        <f>IF($L606="","",$L606-INT($L606/1000)*1000)</f>
        <v/>
      </c>
      <c r="P606" s="121">
        <f>IF($L606="","",INT(($L606-INT($L606/1000000000)*1000000000)/100000000))</f>
        <v/>
      </c>
    </row>
    <row r="607">
      <c r="B607" s="122">
        <f>IF($L607="","",$M607)</f>
        <v/>
      </c>
      <c r="C607" s="22">
        <f>IF($L607="","",INDEX(HSCEI!$C$7:$C$66,$N607))</f>
        <v/>
      </c>
      <c r="D607" s="22">
        <f>IF($L607="","",INDEX(HSCEI!$D$7:$D$66,$N607))</f>
        <v/>
      </c>
      <c r="E607" s="123">
        <f>IF($L607="","",IF($P607=0,"TBA",IFERROR(INDEX(Grids!$C$160:$BO$219,$N607,$O607),"-")))</f>
        <v/>
      </c>
      <c r="F607" s="22">
        <f>IF($L607="","",INDEX(HSCEI!$F$7:$F$66,$N607))</f>
        <v/>
      </c>
      <c r="G607" s="123">
        <f>IF($L607="","",IF($P607=0,"TBA",IFERROR(INDEX(Grids!$BQ$160:$EC$219,$N607,$O607),"-")))</f>
        <v/>
      </c>
      <c r="H607" s="124">
        <f>IF($L607="","",SUM($G$442:$G607))</f>
        <v/>
      </c>
      <c r="I607" s="45">
        <f>IF($L607="","",IF(INT(($L607-INT($L607/10000000)*10000000)/1000000)=0,"Bloomberg projection",IF($P607=1,"ANNOUNCED","ANNOUNCED - amount TBA")))</f>
        <v/>
      </c>
      <c r="J607" s="46">
        <f>IF($L607="","",IF((OV_SWITCH="ON")*(COUNTIFS(OVR_TICKERS,INDEX(HSCEI!$C$7:$C$66,$N607),OVR_BASE,"&gt;=0")&gt;0)&gt;0,"stock overridden",""))</f>
        <v/>
      </c>
      <c r="L607" s="121">
        <f>IFERROR(IF(SMALL(Grids!$EE$160:$GQ$219,$M$439+166)&gt;=PEND_TO,"",SMALL(Grids!$EE$160:$GQ$219,$M$439+166)),"")</f>
        <v/>
      </c>
      <c r="M607" s="121">
        <f>IF($L607="","",INT($L607/1000000000))</f>
        <v/>
      </c>
      <c r="N607" s="121">
        <f>IF($L607="","",INT(($L607-INT($L607/1000000)*1000000)/1000))</f>
        <v/>
      </c>
      <c r="O607" s="121">
        <f>IF($L607="","",$L607-INT($L607/1000)*1000)</f>
        <v/>
      </c>
      <c r="P607" s="121">
        <f>IF($L607="","",INT(($L607-INT($L607/1000000000)*1000000000)/100000000))</f>
        <v/>
      </c>
    </row>
    <row r="608">
      <c r="B608" s="122">
        <f>IF($L608="","",$M608)</f>
        <v/>
      </c>
      <c r="C608" s="22">
        <f>IF($L608="","",INDEX(HSCEI!$C$7:$C$66,$N608))</f>
        <v/>
      </c>
      <c r="D608" s="22">
        <f>IF($L608="","",INDEX(HSCEI!$D$7:$D$66,$N608))</f>
        <v/>
      </c>
      <c r="E608" s="123">
        <f>IF($L608="","",IF($P608=0,"TBA",IFERROR(INDEX(Grids!$C$160:$BO$219,$N608,$O608),"-")))</f>
        <v/>
      </c>
      <c r="F608" s="22">
        <f>IF($L608="","",INDEX(HSCEI!$F$7:$F$66,$N608))</f>
        <v/>
      </c>
      <c r="G608" s="123">
        <f>IF($L608="","",IF($P608=0,"TBA",IFERROR(INDEX(Grids!$BQ$160:$EC$219,$N608,$O608),"-")))</f>
        <v/>
      </c>
      <c r="H608" s="124">
        <f>IF($L608="","",SUM($G$442:$G608))</f>
        <v/>
      </c>
      <c r="I608" s="45">
        <f>IF($L608="","",IF(INT(($L608-INT($L608/10000000)*10000000)/1000000)=0,"Bloomberg projection",IF($P608=1,"ANNOUNCED","ANNOUNCED - amount TBA")))</f>
        <v/>
      </c>
      <c r="J608" s="46">
        <f>IF($L608="","",IF((OV_SWITCH="ON")*(COUNTIFS(OVR_TICKERS,INDEX(HSCEI!$C$7:$C$66,$N608),OVR_BASE,"&gt;=0")&gt;0)&gt;0,"stock overridden",""))</f>
        <v/>
      </c>
      <c r="L608" s="121">
        <f>IFERROR(IF(SMALL(Grids!$EE$160:$GQ$219,$M$439+167)&gt;=PEND_TO,"",SMALL(Grids!$EE$160:$GQ$219,$M$439+167)),"")</f>
        <v/>
      </c>
      <c r="M608" s="121">
        <f>IF($L608="","",INT($L608/1000000000))</f>
        <v/>
      </c>
      <c r="N608" s="121">
        <f>IF($L608="","",INT(($L608-INT($L608/1000000)*1000000)/1000))</f>
        <v/>
      </c>
      <c r="O608" s="121">
        <f>IF($L608="","",$L608-INT($L608/1000)*1000)</f>
        <v/>
      </c>
      <c r="P608" s="121">
        <f>IF($L608="","",INT(($L608-INT($L608/1000000000)*1000000000)/100000000))</f>
        <v/>
      </c>
    </row>
    <row r="609">
      <c r="B609" s="122">
        <f>IF($L609="","",$M609)</f>
        <v/>
      </c>
      <c r="C609" s="22">
        <f>IF($L609="","",INDEX(HSCEI!$C$7:$C$66,$N609))</f>
        <v/>
      </c>
      <c r="D609" s="22">
        <f>IF($L609="","",INDEX(HSCEI!$D$7:$D$66,$N609))</f>
        <v/>
      </c>
      <c r="E609" s="123">
        <f>IF($L609="","",IF($P609=0,"TBA",IFERROR(INDEX(Grids!$C$160:$BO$219,$N609,$O609),"-")))</f>
        <v/>
      </c>
      <c r="F609" s="22">
        <f>IF($L609="","",INDEX(HSCEI!$F$7:$F$66,$N609))</f>
        <v/>
      </c>
      <c r="G609" s="123">
        <f>IF($L609="","",IF($P609=0,"TBA",IFERROR(INDEX(Grids!$BQ$160:$EC$219,$N609,$O609),"-")))</f>
        <v/>
      </c>
      <c r="H609" s="124">
        <f>IF($L609="","",SUM($G$442:$G609))</f>
        <v/>
      </c>
      <c r="I609" s="45">
        <f>IF($L609="","",IF(INT(($L609-INT($L609/10000000)*10000000)/1000000)=0,"Bloomberg projection",IF($P609=1,"ANNOUNCED","ANNOUNCED - amount TBA")))</f>
        <v/>
      </c>
      <c r="J609" s="46">
        <f>IF($L609="","",IF((OV_SWITCH="ON")*(COUNTIFS(OVR_TICKERS,INDEX(HSCEI!$C$7:$C$66,$N609),OVR_BASE,"&gt;=0")&gt;0)&gt;0,"stock overridden",""))</f>
        <v/>
      </c>
      <c r="L609" s="121">
        <f>IFERROR(IF(SMALL(Grids!$EE$160:$GQ$219,$M$439+168)&gt;=PEND_TO,"",SMALL(Grids!$EE$160:$GQ$219,$M$439+168)),"")</f>
        <v/>
      </c>
      <c r="M609" s="121">
        <f>IF($L609="","",INT($L609/1000000000))</f>
        <v/>
      </c>
      <c r="N609" s="121">
        <f>IF($L609="","",INT(($L609-INT($L609/1000000)*1000000)/1000))</f>
        <v/>
      </c>
      <c r="O609" s="121">
        <f>IF($L609="","",$L609-INT($L609/1000)*1000)</f>
        <v/>
      </c>
      <c r="P609" s="121">
        <f>IF($L609="","",INT(($L609-INT($L609/1000000000)*1000000000)/100000000))</f>
        <v/>
      </c>
    </row>
    <row r="610">
      <c r="B610" s="122">
        <f>IF($L610="","",$M610)</f>
        <v/>
      </c>
      <c r="C610" s="22">
        <f>IF($L610="","",INDEX(HSCEI!$C$7:$C$66,$N610))</f>
        <v/>
      </c>
      <c r="D610" s="22">
        <f>IF($L610="","",INDEX(HSCEI!$D$7:$D$66,$N610))</f>
        <v/>
      </c>
      <c r="E610" s="123">
        <f>IF($L610="","",IF($P610=0,"TBA",IFERROR(INDEX(Grids!$C$160:$BO$219,$N610,$O610),"-")))</f>
        <v/>
      </c>
      <c r="F610" s="22">
        <f>IF($L610="","",INDEX(HSCEI!$F$7:$F$66,$N610))</f>
        <v/>
      </c>
      <c r="G610" s="123">
        <f>IF($L610="","",IF($P610=0,"TBA",IFERROR(INDEX(Grids!$BQ$160:$EC$219,$N610,$O610),"-")))</f>
        <v/>
      </c>
      <c r="H610" s="124">
        <f>IF($L610="","",SUM($G$442:$G610))</f>
        <v/>
      </c>
      <c r="I610" s="45">
        <f>IF($L610="","",IF(INT(($L610-INT($L610/10000000)*10000000)/1000000)=0,"Bloomberg projection",IF($P610=1,"ANNOUNCED","ANNOUNCED - amount TBA")))</f>
        <v/>
      </c>
      <c r="J610" s="46">
        <f>IF($L610="","",IF((OV_SWITCH="ON")*(COUNTIFS(OVR_TICKERS,INDEX(HSCEI!$C$7:$C$66,$N610),OVR_BASE,"&gt;=0")&gt;0)&gt;0,"stock overridden",""))</f>
        <v/>
      </c>
      <c r="L610" s="121">
        <f>IFERROR(IF(SMALL(Grids!$EE$160:$GQ$219,$M$439+169)&gt;=PEND_TO,"",SMALL(Grids!$EE$160:$GQ$219,$M$439+169)),"")</f>
        <v/>
      </c>
      <c r="M610" s="121">
        <f>IF($L610="","",INT($L610/1000000000))</f>
        <v/>
      </c>
      <c r="N610" s="121">
        <f>IF($L610="","",INT(($L610-INT($L610/1000000)*1000000)/1000))</f>
        <v/>
      </c>
      <c r="O610" s="121">
        <f>IF($L610="","",$L610-INT($L610/1000)*1000)</f>
        <v/>
      </c>
      <c r="P610" s="121">
        <f>IF($L610="","",INT(($L610-INT($L610/1000000000)*1000000000)/100000000))</f>
        <v/>
      </c>
    </row>
    <row r="611">
      <c r="B611" s="122">
        <f>IF($L611="","",$M611)</f>
        <v/>
      </c>
      <c r="C611" s="22">
        <f>IF($L611="","",INDEX(HSCEI!$C$7:$C$66,$N611))</f>
        <v/>
      </c>
      <c r="D611" s="22">
        <f>IF($L611="","",INDEX(HSCEI!$D$7:$D$66,$N611))</f>
        <v/>
      </c>
      <c r="E611" s="123">
        <f>IF($L611="","",IF($P611=0,"TBA",IFERROR(INDEX(Grids!$C$160:$BO$219,$N611,$O611),"-")))</f>
        <v/>
      </c>
      <c r="F611" s="22">
        <f>IF($L611="","",INDEX(HSCEI!$F$7:$F$66,$N611))</f>
        <v/>
      </c>
      <c r="G611" s="123">
        <f>IF($L611="","",IF($P611=0,"TBA",IFERROR(INDEX(Grids!$BQ$160:$EC$219,$N611,$O611),"-")))</f>
        <v/>
      </c>
      <c r="H611" s="124">
        <f>IF($L611="","",SUM($G$442:$G611))</f>
        <v/>
      </c>
      <c r="I611" s="45">
        <f>IF($L611="","",IF(INT(($L611-INT($L611/10000000)*10000000)/1000000)=0,"Bloomberg projection",IF($P611=1,"ANNOUNCED","ANNOUNCED - amount TBA")))</f>
        <v/>
      </c>
      <c r="J611" s="46">
        <f>IF($L611="","",IF((OV_SWITCH="ON")*(COUNTIFS(OVR_TICKERS,INDEX(HSCEI!$C$7:$C$66,$N611),OVR_BASE,"&gt;=0")&gt;0)&gt;0,"stock overridden",""))</f>
        <v/>
      </c>
      <c r="L611" s="121">
        <f>IFERROR(IF(SMALL(Grids!$EE$160:$GQ$219,$M$439+170)&gt;=PEND_TO,"",SMALL(Grids!$EE$160:$GQ$219,$M$439+170)),"")</f>
        <v/>
      </c>
      <c r="M611" s="121">
        <f>IF($L611="","",INT($L611/1000000000))</f>
        <v/>
      </c>
      <c r="N611" s="121">
        <f>IF($L611="","",INT(($L611-INT($L611/1000000)*1000000)/1000))</f>
        <v/>
      </c>
      <c r="O611" s="121">
        <f>IF($L611="","",$L611-INT($L611/1000)*1000)</f>
        <v/>
      </c>
      <c r="P611" s="121">
        <f>IF($L611="","",INT(($L611-INT($L611/1000000000)*1000000000)/100000000))</f>
        <v/>
      </c>
    </row>
    <row r="612">
      <c r="B612" s="122">
        <f>IF($L612="","",$M612)</f>
        <v/>
      </c>
      <c r="C612" s="22">
        <f>IF($L612="","",INDEX(HSCEI!$C$7:$C$66,$N612))</f>
        <v/>
      </c>
      <c r="D612" s="22">
        <f>IF($L612="","",INDEX(HSCEI!$D$7:$D$66,$N612))</f>
        <v/>
      </c>
      <c r="E612" s="123">
        <f>IF($L612="","",IF($P612=0,"TBA",IFERROR(INDEX(Grids!$C$160:$BO$219,$N612,$O612),"-")))</f>
        <v/>
      </c>
      <c r="F612" s="22">
        <f>IF($L612="","",INDEX(HSCEI!$F$7:$F$66,$N612))</f>
        <v/>
      </c>
      <c r="G612" s="123">
        <f>IF($L612="","",IF($P612=0,"TBA",IFERROR(INDEX(Grids!$BQ$160:$EC$219,$N612,$O612),"-")))</f>
        <v/>
      </c>
      <c r="H612" s="124">
        <f>IF($L612="","",SUM($G$442:$G612))</f>
        <v/>
      </c>
      <c r="I612" s="45">
        <f>IF($L612="","",IF(INT(($L612-INT($L612/10000000)*10000000)/1000000)=0,"Bloomberg projection",IF($P612=1,"ANNOUNCED","ANNOUNCED - amount TBA")))</f>
        <v/>
      </c>
      <c r="J612" s="46">
        <f>IF($L612="","",IF((OV_SWITCH="ON")*(COUNTIFS(OVR_TICKERS,INDEX(HSCEI!$C$7:$C$66,$N612),OVR_BASE,"&gt;=0")&gt;0)&gt;0,"stock overridden",""))</f>
        <v/>
      </c>
      <c r="L612" s="121">
        <f>IFERROR(IF(SMALL(Grids!$EE$160:$GQ$219,$M$439+171)&gt;=PEND_TO,"",SMALL(Grids!$EE$160:$GQ$219,$M$439+171)),"")</f>
        <v/>
      </c>
      <c r="M612" s="121">
        <f>IF($L612="","",INT($L612/1000000000))</f>
        <v/>
      </c>
      <c r="N612" s="121">
        <f>IF($L612="","",INT(($L612-INT($L612/1000000)*1000000)/1000))</f>
        <v/>
      </c>
      <c r="O612" s="121">
        <f>IF($L612="","",$L612-INT($L612/1000)*1000)</f>
        <v/>
      </c>
      <c r="P612" s="121">
        <f>IF($L612="","",INT(($L612-INT($L612/1000000000)*1000000000)/100000000))</f>
        <v/>
      </c>
    </row>
    <row r="613">
      <c r="B613" s="122">
        <f>IF($L613="","",$M613)</f>
        <v/>
      </c>
      <c r="C613" s="22">
        <f>IF($L613="","",INDEX(HSCEI!$C$7:$C$66,$N613))</f>
        <v/>
      </c>
      <c r="D613" s="22">
        <f>IF($L613="","",INDEX(HSCEI!$D$7:$D$66,$N613))</f>
        <v/>
      </c>
      <c r="E613" s="123">
        <f>IF($L613="","",IF($P613=0,"TBA",IFERROR(INDEX(Grids!$C$160:$BO$219,$N613,$O613),"-")))</f>
        <v/>
      </c>
      <c r="F613" s="22">
        <f>IF($L613="","",INDEX(HSCEI!$F$7:$F$66,$N613))</f>
        <v/>
      </c>
      <c r="G613" s="123">
        <f>IF($L613="","",IF($P613=0,"TBA",IFERROR(INDEX(Grids!$BQ$160:$EC$219,$N613,$O613),"-")))</f>
        <v/>
      </c>
      <c r="H613" s="124">
        <f>IF($L613="","",SUM($G$442:$G613))</f>
        <v/>
      </c>
      <c r="I613" s="45">
        <f>IF($L613="","",IF(INT(($L613-INT($L613/10000000)*10000000)/1000000)=0,"Bloomberg projection",IF($P613=1,"ANNOUNCED","ANNOUNCED - amount TBA")))</f>
        <v/>
      </c>
      <c r="J613" s="46">
        <f>IF($L613="","",IF((OV_SWITCH="ON")*(COUNTIFS(OVR_TICKERS,INDEX(HSCEI!$C$7:$C$66,$N613),OVR_BASE,"&gt;=0")&gt;0)&gt;0,"stock overridden",""))</f>
        <v/>
      </c>
      <c r="L613" s="121">
        <f>IFERROR(IF(SMALL(Grids!$EE$160:$GQ$219,$M$439+172)&gt;=PEND_TO,"",SMALL(Grids!$EE$160:$GQ$219,$M$439+172)),"")</f>
        <v/>
      </c>
      <c r="M613" s="121">
        <f>IF($L613="","",INT($L613/1000000000))</f>
        <v/>
      </c>
      <c r="N613" s="121">
        <f>IF($L613="","",INT(($L613-INT($L613/1000000)*1000000)/1000))</f>
        <v/>
      </c>
      <c r="O613" s="121">
        <f>IF($L613="","",$L613-INT($L613/1000)*1000)</f>
        <v/>
      </c>
      <c r="P613" s="121">
        <f>IF($L613="","",INT(($L613-INT($L613/1000000000)*1000000000)/100000000))</f>
        <v/>
      </c>
    </row>
    <row r="614">
      <c r="B614" s="122">
        <f>IF($L614="","",$M614)</f>
        <v/>
      </c>
      <c r="C614" s="22">
        <f>IF($L614="","",INDEX(HSCEI!$C$7:$C$66,$N614))</f>
        <v/>
      </c>
      <c r="D614" s="22">
        <f>IF($L614="","",INDEX(HSCEI!$D$7:$D$66,$N614))</f>
        <v/>
      </c>
      <c r="E614" s="123">
        <f>IF($L614="","",IF($P614=0,"TBA",IFERROR(INDEX(Grids!$C$160:$BO$219,$N614,$O614),"-")))</f>
        <v/>
      </c>
      <c r="F614" s="22">
        <f>IF($L614="","",INDEX(HSCEI!$F$7:$F$66,$N614))</f>
        <v/>
      </c>
      <c r="G614" s="123">
        <f>IF($L614="","",IF($P614=0,"TBA",IFERROR(INDEX(Grids!$BQ$160:$EC$219,$N614,$O614),"-")))</f>
        <v/>
      </c>
      <c r="H614" s="124">
        <f>IF($L614="","",SUM($G$442:$G614))</f>
        <v/>
      </c>
      <c r="I614" s="45">
        <f>IF($L614="","",IF(INT(($L614-INT($L614/10000000)*10000000)/1000000)=0,"Bloomberg projection",IF($P614=1,"ANNOUNCED","ANNOUNCED - amount TBA")))</f>
        <v/>
      </c>
      <c r="J614" s="46">
        <f>IF($L614="","",IF((OV_SWITCH="ON")*(COUNTIFS(OVR_TICKERS,INDEX(HSCEI!$C$7:$C$66,$N614),OVR_BASE,"&gt;=0")&gt;0)&gt;0,"stock overridden",""))</f>
        <v/>
      </c>
      <c r="L614" s="121">
        <f>IFERROR(IF(SMALL(Grids!$EE$160:$GQ$219,$M$439+173)&gt;=PEND_TO,"",SMALL(Grids!$EE$160:$GQ$219,$M$439+173)),"")</f>
        <v/>
      </c>
      <c r="M614" s="121">
        <f>IF($L614="","",INT($L614/1000000000))</f>
        <v/>
      </c>
      <c r="N614" s="121">
        <f>IF($L614="","",INT(($L614-INT($L614/1000000)*1000000)/1000))</f>
        <v/>
      </c>
      <c r="O614" s="121">
        <f>IF($L614="","",$L614-INT($L614/1000)*1000)</f>
        <v/>
      </c>
      <c r="P614" s="121">
        <f>IF($L614="","",INT(($L614-INT($L614/1000000000)*1000000000)/100000000))</f>
        <v/>
      </c>
    </row>
    <row r="615">
      <c r="B615" s="122">
        <f>IF($L615="","",$M615)</f>
        <v/>
      </c>
      <c r="C615" s="22">
        <f>IF($L615="","",INDEX(HSCEI!$C$7:$C$66,$N615))</f>
        <v/>
      </c>
      <c r="D615" s="22">
        <f>IF($L615="","",INDEX(HSCEI!$D$7:$D$66,$N615))</f>
        <v/>
      </c>
      <c r="E615" s="123">
        <f>IF($L615="","",IF($P615=0,"TBA",IFERROR(INDEX(Grids!$C$160:$BO$219,$N615,$O615),"-")))</f>
        <v/>
      </c>
      <c r="F615" s="22">
        <f>IF($L615="","",INDEX(HSCEI!$F$7:$F$66,$N615))</f>
        <v/>
      </c>
      <c r="G615" s="123">
        <f>IF($L615="","",IF($P615=0,"TBA",IFERROR(INDEX(Grids!$BQ$160:$EC$219,$N615,$O615),"-")))</f>
        <v/>
      </c>
      <c r="H615" s="124">
        <f>IF($L615="","",SUM($G$442:$G615))</f>
        <v/>
      </c>
      <c r="I615" s="45">
        <f>IF($L615="","",IF(INT(($L615-INT($L615/10000000)*10000000)/1000000)=0,"Bloomberg projection",IF($P615=1,"ANNOUNCED","ANNOUNCED - amount TBA")))</f>
        <v/>
      </c>
      <c r="J615" s="46">
        <f>IF($L615="","",IF((OV_SWITCH="ON")*(COUNTIFS(OVR_TICKERS,INDEX(HSCEI!$C$7:$C$66,$N615),OVR_BASE,"&gt;=0")&gt;0)&gt;0,"stock overridden",""))</f>
        <v/>
      </c>
      <c r="L615" s="121">
        <f>IFERROR(IF(SMALL(Grids!$EE$160:$GQ$219,$M$439+174)&gt;=PEND_TO,"",SMALL(Grids!$EE$160:$GQ$219,$M$439+174)),"")</f>
        <v/>
      </c>
      <c r="M615" s="121">
        <f>IF($L615="","",INT($L615/1000000000))</f>
        <v/>
      </c>
      <c r="N615" s="121">
        <f>IF($L615="","",INT(($L615-INT($L615/1000000)*1000000)/1000))</f>
        <v/>
      </c>
      <c r="O615" s="121">
        <f>IF($L615="","",$L615-INT($L615/1000)*1000)</f>
        <v/>
      </c>
      <c r="P615" s="121">
        <f>IF($L615="","",INT(($L615-INT($L615/1000000000)*1000000000)/100000000))</f>
        <v/>
      </c>
    </row>
    <row r="616">
      <c r="B616" s="122">
        <f>IF($L616="","",$M616)</f>
        <v/>
      </c>
      <c r="C616" s="22">
        <f>IF($L616="","",INDEX(HSCEI!$C$7:$C$66,$N616))</f>
        <v/>
      </c>
      <c r="D616" s="22">
        <f>IF($L616="","",INDEX(HSCEI!$D$7:$D$66,$N616))</f>
        <v/>
      </c>
      <c r="E616" s="123">
        <f>IF($L616="","",IF($P616=0,"TBA",IFERROR(INDEX(Grids!$C$160:$BO$219,$N616,$O616),"-")))</f>
        <v/>
      </c>
      <c r="F616" s="22">
        <f>IF($L616="","",INDEX(HSCEI!$F$7:$F$66,$N616))</f>
        <v/>
      </c>
      <c r="G616" s="123">
        <f>IF($L616="","",IF($P616=0,"TBA",IFERROR(INDEX(Grids!$BQ$160:$EC$219,$N616,$O616),"-")))</f>
        <v/>
      </c>
      <c r="H616" s="124">
        <f>IF($L616="","",SUM($G$442:$G616))</f>
        <v/>
      </c>
      <c r="I616" s="45">
        <f>IF($L616="","",IF(INT(($L616-INT($L616/10000000)*10000000)/1000000)=0,"Bloomberg projection",IF($P616=1,"ANNOUNCED","ANNOUNCED - amount TBA")))</f>
        <v/>
      </c>
      <c r="J616" s="46">
        <f>IF($L616="","",IF((OV_SWITCH="ON")*(COUNTIFS(OVR_TICKERS,INDEX(HSCEI!$C$7:$C$66,$N616),OVR_BASE,"&gt;=0")&gt;0)&gt;0,"stock overridden",""))</f>
        <v/>
      </c>
      <c r="L616" s="121">
        <f>IFERROR(IF(SMALL(Grids!$EE$160:$GQ$219,$M$439+175)&gt;=PEND_TO,"",SMALL(Grids!$EE$160:$GQ$219,$M$439+175)),"")</f>
        <v/>
      </c>
      <c r="M616" s="121">
        <f>IF($L616="","",INT($L616/1000000000))</f>
        <v/>
      </c>
      <c r="N616" s="121">
        <f>IF($L616="","",INT(($L616-INT($L616/1000000)*1000000)/1000))</f>
        <v/>
      </c>
      <c r="O616" s="121">
        <f>IF($L616="","",$L616-INT($L616/1000)*1000)</f>
        <v/>
      </c>
      <c r="P616" s="121">
        <f>IF($L616="","",INT(($L616-INT($L616/1000000000)*1000000000)/100000000))</f>
        <v/>
      </c>
    </row>
    <row r="617">
      <c r="B617" s="122">
        <f>IF($L617="","",$M617)</f>
        <v/>
      </c>
      <c r="C617" s="22">
        <f>IF($L617="","",INDEX(HSCEI!$C$7:$C$66,$N617))</f>
        <v/>
      </c>
      <c r="D617" s="22">
        <f>IF($L617="","",INDEX(HSCEI!$D$7:$D$66,$N617))</f>
        <v/>
      </c>
      <c r="E617" s="123">
        <f>IF($L617="","",IF($P617=0,"TBA",IFERROR(INDEX(Grids!$C$160:$BO$219,$N617,$O617),"-")))</f>
        <v/>
      </c>
      <c r="F617" s="22">
        <f>IF($L617="","",INDEX(HSCEI!$F$7:$F$66,$N617))</f>
        <v/>
      </c>
      <c r="G617" s="123">
        <f>IF($L617="","",IF($P617=0,"TBA",IFERROR(INDEX(Grids!$BQ$160:$EC$219,$N617,$O617),"-")))</f>
        <v/>
      </c>
      <c r="H617" s="124">
        <f>IF($L617="","",SUM($G$442:$G617))</f>
        <v/>
      </c>
      <c r="I617" s="45">
        <f>IF($L617="","",IF(INT(($L617-INT($L617/10000000)*10000000)/1000000)=0,"Bloomberg projection",IF($P617=1,"ANNOUNCED","ANNOUNCED - amount TBA")))</f>
        <v/>
      </c>
      <c r="J617" s="46">
        <f>IF($L617="","",IF((OV_SWITCH="ON")*(COUNTIFS(OVR_TICKERS,INDEX(HSCEI!$C$7:$C$66,$N617),OVR_BASE,"&gt;=0")&gt;0)&gt;0,"stock overridden",""))</f>
        <v/>
      </c>
      <c r="L617" s="121">
        <f>IFERROR(IF(SMALL(Grids!$EE$160:$GQ$219,$M$439+176)&gt;=PEND_TO,"",SMALL(Grids!$EE$160:$GQ$219,$M$439+176)),"")</f>
        <v/>
      </c>
      <c r="M617" s="121">
        <f>IF($L617="","",INT($L617/1000000000))</f>
        <v/>
      </c>
      <c r="N617" s="121">
        <f>IF($L617="","",INT(($L617-INT($L617/1000000)*1000000)/1000))</f>
        <v/>
      </c>
      <c r="O617" s="121">
        <f>IF($L617="","",$L617-INT($L617/1000)*1000)</f>
        <v/>
      </c>
      <c r="P617" s="121">
        <f>IF($L617="","",INT(($L617-INT($L617/1000000000)*1000000000)/100000000))</f>
        <v/>
      </c>
    </row>
    <row r="618">
      <c r="B618" s="122">
        <f>IF($L618="","",$M618)</f>
        <v/>
      </c>
      <c r="C618" s="22">
        <f>IF($L618="","",INDEX(HSCEI!$C$7:$C$66,$N618))</f>
        <v/>
      </c>
      <c r="D618" s="22">
        <f>IF($L618="","",INDEX(HSCEI!$D$7:$D$66,$N618))</f>
        <v/>
      </c>
      <c r="E618" s="123">
        <f>IF($L618="","",IF($P618=0,"TBA",IFERROR(INDEX(Grids!$C$160:$BO$219,$N618,$O618),"-")))</f>
        <v/>
      </c>
      <c r="F618" s="22">
        <f>IF($L618="","",INDEX(HSCEI!$F$7:$F$66,$N618))</f>
        <v/>
      </c>
      <c r="G618" s="123">
        <f>IF($L618="","",IF($P618=0,"TBA",IFERROR(INDEX(Grids!$BQ$160:$EC$219,$N618,$O618),"-")))</f>
        <v/>
      </c>
      <c r="H618" s="124">
        <f>IF($L618="","",SUM($G$442:$G618))</f>
        <v/>
      </c>
      <c r="I618" s="45">
        <f>IF($L618="","",IF(INT(($L618-INT($L618/10000000)*10000000)/1000000)=0,"Bloomberg projection",IF($P618=1,"ANNOUNCED","ANNOUNCED - amount TBA")))</f>
        <v/>
      </c>
      <c r="J618" s="46">
        <f>IF($L618="","",IF((OV_SWITCH="ON")*(COUNTIFS(OVR_TICKERS,INDEX(HSCEI!$C$7:$C$66,$N618),OVR_BASE,"&gt;=0")&gt;0)&gt;0,"stock overridden",""))</f>
        <v/>
      </c>
      <c r="L618" s="121">
        <f>IFERROR(IF(SMALL(Grids!$EE$160:$GQ$219,$M$439+177)&gt;=PEND_TO,"",SMALL(Grids!$EE$160:$GQ$219,$M$439+177)),"")</f>
        <v/>
      </c>
      <c r="M618" s="121">
        <f>IF($L618="","",INT($L618/1000000000))</f>
        <v/>
      </c>
      <c r="N618" s="121">
        <f>IF($L618="","",INT(($L618-INT($L618/1000000)*1000000)/1000))</f>
        <v/>
      </c>
      <c r="O618" s="121">
        <f>IF($L618="","",$L618-INT($L618/1000)*1000)</f>
        <v/>
      </c>
      <c r="P618" s="121">
        <f>IF($L618="","",INT(($L618-INT($L618/1000000000)*1000000000)/100000000))</f>
        <v/>
      </c>
    </row>
    <row r="619">
      <c r="B619" s="122">
        <f>IF($L619="","",$M619)</f>
        <v/>
      </c>
      <c r="C619" s="22">
        <f>IF($L619="","",INDEX(HSCEI!$C$7:$C$66,$N619))</f>
        <v/>
      </c>
      <c r="D619" s="22">
        <f>IF($L619="","",INDEX(HSCEI!$D$7:$D$66,$N619))</f>
        <v/>
      </c>
      <c r="E619" s="123">
        <f>IF($L619="","",IF($P619=0,"TBA",IFERROR(INDEX(Grids!$C$160:$BO$219,$N619,$O619),"-")))</f>
        <v/>
      </c>
      <c r="F619" s="22">
        <f>IF($L619="","",INDEX(HSCEI!$F$7:$F$66,$N619))</f>
        <v/>
      </c>
      <c r="G619" s="123">
        <f>IF($L619="","",IF($P619=0,"TBA",IFERROR(INDEX(Grids!$BQ$160:$EC$219,$N619,$O619),"-")))</f>
        <v/>
      </c>
      <c r="H619" s="124">
        <f>IF($L619="","",SUM($G$442:$G619))</f>
        <v/>
      </c>
      <c r="I619" s="45">
        <f>IF($L619="","",IF(INT(($L619-INT($L619/10000000)*10000000)/1000000)=0,"Bloomberg projection",IF($P619=1,"ANNOUNCED","ANNOUNCED - amount TBA")))</f>
        <v/>
      </c>
      <c r="J619" s="46">
        <f>IF($L619="","",IF((OV_SWITCH="ON")*(COUNTIFS(OVR_TICKERS,INDEX(HSCEI!$C$7:$C$66,$N619),OVR_BASE,"&gt;=0")&gt;0)&gt;0,"stock overridden",""))</f>
        <v/>
      </c>
      <c r="L619" s="121">
        <f>IFERROR(IF(SMALL(Grids!$EE$160:$GQ$219,$M$439+178)&gt;=PEND_TO,"",SMALL(Grids!$EE$160:$GQ$219,$M$439+178)),"")</f>
        <v/>
      </c>
      <c r="M619" s="121">
        <f>IF($L619="","",INT($L619/1000000000))</f>
        <v/>
      </c>
      <c r="N619" s="121">
        <f>IF($L619="","",INT(($L619-INT($L619/1000000)*1000000)/1000))</f>
        <v/>
      </c>
      <c r="O619" s="121">
        <f>IF($L619="","",$L619-INT($L619/1000)*1000)</f>
        <v/>
      </c>
      <c r="P619" s="121">
        <f>IF($L619="","",INT(($L619-INT($L619/1000000000)*1000000000)/100000000))</f>
        <v/>
      </c>
    </row>
    <row r="620">
      <c r="B620" s="122">
        <f>IF($L620="","",$M620)</f>
        <v/>
      </c>
      <c r="C620" s="22">
        <f>IF($L620="","",INDEX(HSCEI!$C$7:$C$66,$N620))</f>
        <v/>
      </c>
      <c r="D620" s="22">
        <f>IF($L620="","",INDEX(HSCEI!$D$7:$D$66,$N620))</f>
        <v/>
      </c>
      <c r="E620" s="123">
        <f>IF($L620="","",IF($P620=0,"TBA",IFERROR(INDEX(Grids!$C$160:$BO$219,$N620,$O620),"-")))</f>
        <v/>
      </c>
      <c r="F620" s="22">
        <f>IF($L620="","",INDEX(HSCEI!$F$7:$F$66,$N620))</f>
        <v/>
      </c>
      <c r="G620" s="123">
        <f>IF($L620="","",IF($P620=0,"TBA",IFERROR(INDEX(Grids!$BQ$160:$EC$219,$N620,$O620),"-")))</f>
        <v/>
      </c>
      <c r="H620" s="124">
        <f>IF($L620="","",SUM($G$442:$G620))</f>
        <v/>
      </c>
      <c r="I620" s="45">
        <f>IF($L620="","",IF(INT(($L620-INT($L620/10000000)*10000000)/1000000)=0,"Bloomberg projection",IF($P620=1,"ANNOUNCED","ANNOUNCED - amount TBA")))</f>
        <v/>
      </c>
      <c r="J620" s="46">
        <f>IF($L620="","",IF((OV_SWITCH="ON")*(COUNTIFS(OVR_TICKERS,INDEX(HSCEI!$C$7:$C$66,$N620),OVR_BASE,"&gt;=0")&gt;0)&gt;0,"stock overridden",""))</f>
        <v/>
      </c>
      <c r="L620" s="121">
        <f>IFERROR(IF(SMALL(Grids!$EE$160:$GQ$219,$M$439+179)&gt;=PEND_TO,"",SMALL(Grids!$EE$160:$GQ$219,$M$439+179)),"")</f>
        <v/>
      </c>
      <c r="M620" s="121">
        <f>IF($L620="","",INT($L620/1000000000))</f>
        <v/>
      </c>
      <c r="N620" s="121">
        <f>IF($L620="","",INT(($L620-INT($L620/1000000)*1000000)/1000))</f>
        <v/>
      </c>
      <c r="O620" s="121">
        <f>IF($L620="","",$L620-INT($L620/1000)*1000)</f>
        <v/>
      </c>
      <c r="P620" s="121">
        <f>IF($L620="","",INT(($L620-INT($L620/1000000000)*1000000000)/100000000))</f>
        <v/>
      </c>
    </row>
    <row r="621">
      <c r="B621" s="122">
        <f>IF($L621="","",$M621)</f>
        <v/>
      </c>
      <c r="C621" s="22">
        <f>IF($L621="","",INDEX(HSCEI!$C$7:$C$66,$N621))</f>
        <v/>
      </c>
      <c r="D621" s="22">
        <f>IF($L621="","",INDEX(HSCEI!$D$7:$D$66,$N621))</f>
        <v/>
      </c>
      <c r="E621" s="123">
        <f>IF($L621="","",IF($P621=0,"TBA",IFERROR(INDEX(Grids!$C$160:$BO$219,$N621,$O621),"-")))</f>
        <v/>
      </c>
      <c r="F621" s="22">
        <f>IF($L621="","",INDEX(HSCEI!$F$7:$F$66,$N621))</f>
        <v/>
      </c>
      <c r="G621" s="123">
        <f>IF($L621="","",IF($P621=0,"TBA",IFERROR(INDEX(Grids!$BQ$160:$EC$219,$N621,$O621),"-")))</f>
        <v/>
      </c>
      <c r="H621" s="124">
        <f>IF($L621="","",SUM($G$442:$G621))</f>
        <v/>
      </c>
      <c r="I621" s="45">
        <f>IF($L621="","",IF(INT(($L621-INT($L621/10000000)*10000000)/1000000)=0,"Bloomberg projection",IF($P621=1,"ANNOUNCED","ANNOUNCED - amount TBA")))</f>
        <v/>
      </c>
      <c r="J621" s="46">
        <f>IF($L621="","",IF((OV_SWITCH="ON")*(COUNTIFS(OVR_TICKERS,INDEX(HSCEI!$C$7:$C$66,$N621),OVR_BASE,"&gt;=0")&gt;0)&gt;0,"stock overridden",""))</f>
        <v/>
      </c>
      <c r="L621" s="121">
        <f>IFERROR(IF(SMALL(Grids!$EE$160:$GQ$219,$M$439+180)&gt;=PEND_TO,"",SMALL(Grids!$EE$160:$GQ$219,$M$439+180)),"")</f>
        <v/>
      </c>
      <c r="M621" s="121">
        <f>IF($L621="","",INT($L621/1000000000))</f>
        <v/>
      </c>
      <c r="N621" s="121">
        <f>IF($L621="","",INT(($L621-INT($L621/1000000)*1000000)/1000))</f>
        <v/>
      </c>
      <c r="O621" s="121">
        <f>IF($L621="","",$L621-INT($L621/1000)*1000)</f>
        <v/>
      </c>
      <c r="P621" s="121">
        <f>IF($L621="","",INT(($L621-INT($L621/1000000000)*1000000000)/100000000))</f>
        <v/>
      </c>
    </row>
  </sheetData>
  <conditionalFormatting sqref="I10:I309">
    <cfRule type="expression" priority="1" dxfId="0">
      <formula>ISNUMBER(SEARCH("TBA",$I10))</formula>
    </cfRule>
  </conditionalFormatting>
  <conditionalFormatting sqref="I316:I435">
    <cfRule type="expression" priority="2" dxfId="0">
      <formula>ISNUMBER(SEARCH("TBA",$I316))</formula>
    </cfRule>
  </conditionalFormatting>
  <conditionalFormatting sqref="I442:I621">
    <cfRule type="expression" priority="3" dxfId="0">
      <formula>ISNUMBER(SEARCH("TBA",$I442))</formula>
    </cfRule>
  </conditionalFormatting>
  <pageMargins left="0.75" right="0.75" top="1" bottom="1" header="0.5" footer="0.5"/>
</worksheet>
</file>

<file path=xl/worksheets/sheet4.xml><?xml version="1.0" encoding="utf-8"?>
<worksheet xmlns="http://schemas.openxmlformats.org/spreadsheetml/2006/main">
  <sheetPr>
    <tabColor rgb="00A9D08E"/>
    <outlinePr summaryBelow="1" summaryRight="1"/>
    <pageSetUpPr/>
  </sheetPr>
  <dimension ref="B1:T395"/>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1" customWidth="1" min="3" max="3"/>
    <col width="11" customWidth="1" min="4" max="4"/>
    <col width="11" customWidth="1" min="5" max="5"/>
    <col width="11" customWidth="1" min="6" max="6"/>
    <col width="11" customWidth="1" min="7" max="7"/>
    <col width="11" customWidth="1" min="8" max="8"/>
    <col width="3" customWidth="1" min="9" max="9"/>
    <col width="9" customWidth="1" min="10" max="10"/>
    <col width="11" customWidth="1" min="11" max="11"/>
    <col width="11" customWidth="1" min="12" max="12"/>
    <col width="11" customWidth="1" min="13" max="13"/>
    <col width="11" customWidth="1" min="14" max="14"/>
    <col width="11" customWidth="1" min="15" max="15"/>
    <col width="11" customWidth="1" min="16" max="16"/>
  </cols>
  <sheetData>
    <row r="1">
      <c r="B1" s="1" t="inlineStr">
        <is>
          <t>DIVIDEND FLOW - WHEN THE POINTS GO EX</t>
        </is>
      </c>
    </row>
    <row r="2">
      <c r="B2" s="2" t="inlineStr">
        <is>
          <t>Year Y by ex-date. Up to the valuation date = realized, after it = still to come. Bloomberg's event view (with your cash-type rules). The window is the dividend point index's own accumulation period (see Summary), so the first bar also carries any late-December ex-dates from the prior year.</t>
        </is>
      </c>
    </row>
    <row r="4">
      <c r="B4" s="8" t="inlineStr">
        <is>
          <t>Year</t>
        </is>
      </c>
      <c r="C4" s="47">
        <f>YEAR_Y</f>
        <v/>
      </c>
      <c r="D4" s="8" t="inlineStr">
        <is>
          <t>Valuation</t>
        </is>
      </c>
      <c r="E4" s="125">
        <f>VAL_DATE</f>
        <v/>
      </c>
    </row>
    <row r="6">
      <c r="B6" s="6" t="inlineStr">
        <is>
          <t>YEAR TOTALS (index points)</t>
        </is>
      </c>
      <c r="C6" s="7" t="n"/>
      <c r="D6" s="7" t="n"/>
      <c r="E6" s="7" t="n"/>
      <c r="F6" s="7" t="n"/>
      <c r="G6" s="7" t="n"/>
      <c r="H6" s="7" t="n"/>
    </row>
    <row r="7">
      <c r="C7" s="2" t="inlineStr">
        <is>
          <t>Realized</t>
        </is>
      </c>
      <c r="D7" s="2" t="inlineStr">
        <is>
          <t>Still to come</t>
        </is>
      </c>
      <c r="E7" s="2" t="inlineStr">
        <is>
          <t>YEAR TOTAL</t>
        </is>
      </c>
      <c r="J7" s="6" t="inlineStr">
        <is>
          <t>BY MONTH (realized vs still to come)</t>
        </is>
      </c>
      <c r="K7" s="7" t="n"/>
      <c r="L7" s="7" t="n"/>
      <c r="M7" s="7" t="n"/>
      <c r="N7" s="7" t="n"/>
      <c r="O7" s="7" t="n"/>
      <c r="P7" s="7" t="n"/>
      <c r="R7" s="2" t="inlineStr">
        <is>
          <t>cumulative to month-end</t>
        </is>
      </c>
    </row>
    <row r="8">
      <c r="B8" s="3" t="inlineStr">
        <is>
          <t>HSI</t>
        </is>
      </c>
      <c r="C8" s="25">
        <f>HSI!$O$5</f>
        <v/>
      </c>
      <c r="D8" s="25">
        <f>HSI!$P$5</f>
        <v/>
      </c>
      <c r="E8" s="49">
        <f>HSI!$Q$5</f>
        <v/>
      </c>
      <c r="J8" s="23" t="inlineStr">
        <is>
          <t>Month</t>
        </is>
      </c>
      <c r="K8" s="23" t="inlineStr">
        <is>
          <t>HSI
realized</t>
        </is>
      </c>
      <c r="L8" s="23" t="inlineStr">
        <is>
          <t>HSI
to come</t>
        </is>
      </c>
      <c r="M8" s="23" t="inlineStr">
        <is>
          <t>HSTECH
realized</t>
        </is>
      </c>
      <c r="N8" s="23" t="inlineStr">
        <is>
          <t>HSTECH
to come</t>
        </is>
      </c>
      <c r="O8" s="23" t="inlineStr">
        <is>
          <t>HSCEI
realized</t>
        </is>
      </c>
      <c r="P8" s="23" t="inlineStr">
        <is>
          <t>HSCEI
to come</t>
        </is>
      </c>
      <c r="R8" s="23" t="inlineStr">
        <is>
          <t>HSI</t>
        </is>
      </c>
      <c r="S8" s="23" t="inlineStr">
        <is>
          <t>HSTECH</t>
        </is>
      </c>
      <c r="T8" s="23" t="inlineStr">
        <is>
          <t>HSCEI</t>
        </is>
      </c>
    </row>
    <row r="9">
      <c r="B9" s="3" t="inlineStr">
        <is>
          <t>HSTECH</t>
        </is>
      </c>
      <c r="C9" s="25">
        <f>HSTECH!$O$5</f>
        <v/>
      </c>
      <c r="D9" s="25">
        <f>HSTECH!$P$5</f>
        <v/>
      </c>
      <c r="E9" s="49">
        <f>HSTECH!$Q$5</f>
        <v/>
      </c>
      <c r="J9" s="45">
        <f>TEXT(DATE(YEAR_Y,1,1),"mmm")</f>
        <v/>
      </c>
      <c r="K9" s="126">
        <f>SUMIFS($C$26:$C$395,$B$26:$B$395,"&gt;="&amp;WIN_FROM,$B$26:$B$395,"&lt;"&amp;DATE(YEAR_Y+(1=12),MOD(1,12)+1,1),$B$26:$B$395,"&lt;="&amp;VAL_DATE)</f>
        <v/>
      </c>
      <c r="L9" s="126">
        <f>SUMIFS($C$26:$C$395,$B$26:$B$395,"&gt;="&amp;WIN_FROM,$B$26:$B$395,"&lt;"&amp;DATE(YEAR_Y+(1=12),MOD(1,12)+1,1),$B$26:$B$395,"&gt;"&amp;VAL_DATE)</f>
        <v/>
      </c>
      <c r="M9" s="126">
        <f>SUMIFS($D$26:$D$395,$B$26:$B$395,"&gt;="&amp;WIN_FROM,$B$26:$B$395,"&lt;"&amp;DATE(YEAR_Y+(1=12),MOD(1,12)+1,1),$B$26:$B$395,"&lt;="&amp;VAL_DATE)</f>
        <v/>
      </c>
      <c r="N9" s="126">
        <f>SUMIFS($D$26:$D$395,$B$26:$B$395,"&gt;="&amp;WIN_FROM,$B$26:$B$395,"&lt;"&amp;DATE(YEAR_Y+(1=12),MOD(1,12)+1,1),$B$26:$B$395,"&gt;"&amp;VAL_DATE)</f>
        <v/>
      </c>
      <c r="O9" s="126">
        <f>SUMIFS($E$26:$E$395,$B$26:$B$395,"&gt;="&amp;WIN_FROM,$B$26:$B$395,"&lt;"&amp;DATE(YEAR_Y+(1=12),MOD(1,12)+1,1),$B$26:$B$395,"&lt;="&amp;VAL_DATE)</f>
        <v/>
      </c>
      <c r="P9" s="126">
        <f>SUMIFS($E$26:$E$395,$B$26:$B$395,"&gt;="&amp;WIN_FROM,$B$26:$B$395,"&lt;"&amp;DATE(YEAR_Y+(1=12),MOD(1,12)+1,1),$B$26:$B$395,"&gt;"&amp;VAL_DATE)</f>
        <v/>
      </c>
      <c r="R9" s="126">
        <f>SUM($K$9:$L9)</f>
        <v/>
      </c>
      <c r="S9" s="126">
        <f>SUM($M$9:$N9)</f>
        <v/>
      </c>
      <c r="T9" s="126">
        <f>SUM($O$9:$P9)</f>
        <v/>
      </c>
    </row>
    <row r="10">
      <c r="B10" s="3" t="inlineStr">
        <is>
          <t>HSCEI</t>
        </is>
      </c>
      <c r="C10" s="25">
        <f>HSCEI!$O$5</f>
        <v/>
      </c>
      <c r="D10" s="25">
        <f>HSCEI!$P$5</f>
        <v/>
      </c>
      <c r="E10" s="49">
        <f>HSCEI!$Q$5</f>
        <v/>
      </c>
      <c r="J10" s="45">
        <f>TEXT(DATE(YEAR_Y,2,1),"mmm")</f>
        <v/>
      </c>
      <c r="K10" s="126">
        <f>SUMIFS($C$26:$C$395,$B$26:$B$395,"&gt;="&amp;DATE(YEAR_Y,2,1),$B$26:$B$395,"&lt;"&amp;DATE(YEAR_Y+(2=12),MOD(2,12)+1,1),$B$26:$B$395,"&lt;="&amp;VAL_DATE)</f>
        <v/>
      </c>
      <c r="L10" s="126">
        <f>SUMIFS($C$26:$C$395,$B$26:$B$395,"&gt;="&amp;DATE(YEAR_Y,2,1),$B$26:$B$395,"&lt;"&amp;DATE(YEAR_Y+(2=12),MOD(2,12)+1,1),$B$26:$B$395,"&gt;"&amp;VAL_DATE)</f>
        <v/>
      </c>
      <c r="M10" s="126">
        <f>SUMIFS($D$26:$D$395,$B$26:$B$395,"&gt;="&amp;DATE(YEAR_Y,2,1),$B$26:$B$395,"&lt;"&amp;DATE(YEAR_Y+(2=12),MOD(2,12)+1,1),$B$26:$B$395,"&lt;="&amp;VAL_DATE)</f>
        <v/>
      </c>
      <c r="N10" s="126">
        <f>SUMIFS($D$26:$D$395,$B$26:$B$395,"&gt;="&amp;DATE(YEAR_Y,2,1),$B$26:$B$395,"&lt;"&amp;DATE(YEAR_Y+(2=12),MOD(2,12)+1,1),$B$26:$B$395,"&gt;"&amp;VAL_DATE)</f>
        <v/>
      </c>
      <c r="O10" s="126">
        <f>SUMIFS($E$26:$E$395,$B$26:$B$395,"&gt;="&amp;DATE(YEAR_Y,2,1),$B$26:$B$395,"&lt;"&amp;DATE(YEAR_Y+(2=12),MOD(2,12)+1,1),$B$26:$B$395,"&lt;="&amp;VAL_DATE)</f>
        <v/>
      </c>
      <c r="P10" s="126">
        <f>SUMIFS($E$26:$E$395,$B$26:$B$395,"&gt;="&amp;DATE(YEAR_Y,2,1),$B$26:$B$395,"&lt;"&amp;DATE(YEAR_Y+(2=12),MOD(2,12)+1,1),$B$26:$B$395,"&gt;"&amp;VAL_DATE)</f>
        <v/>
      </c>
      <c r="R10" s="126">
        <f>SUM($K$9:$L10)</f>
        <v/>
      </c>
      <c r="S10" s="126">
        <f>SUM($M$9:$N10)</f>
        <v/>
      </c>
      <c r="T10" s="126">
        <f>SUM($O$9:$P10)</f>
        <v/>
      </c>
    </row>
    <row r="11">
      <c r="J11" s="45">
        <f>TEXT(DATE(YEAR_Y,3,1),"mmm")</f>
        <v/>
      </c>
      <c r="K11" s="126">
        <f>SUMIFS($C$26:$C$395,$B$26:$B$395,"&gt;="&amp;DATE(YEAR_Y,3,1),$B$26:$B$395,"&lt;"&amp;DATE(YEAR_Y+(3=12),MOD(3,12)+1,1),$B$26:$B$395,"&lt;="&amp;VAL_DATE)</f>
        <v/>
      </c>
      <c r="L11" s="126">
        <f>SUMIFS($C$26:$C$395,$B$26:$B$395,"&gt;="&amp;DATE(YEAR_Y,3,1),$B$26:$B$395,"&lt;"&amp;DATE(YEAR_Y+(3=12),MOD(3,12)+1,1),$B$26:$B$395,"&gt;"&amp;VAL_DATE)</f>
        <v/>
      </c>
      <c r="M11" s="126">
        <f>SUMIFS($D$26:$D$395,$B$26:$B$395,"&gt;="&amp;DATE(YEAR_Y,3,1),$B$26:$B$395,"&lt;"&amp;DATE(YEAR_Y+(3=12),MOD(3,12)+1,1),$B$26:$B$395,"&lt;="&amp;VAL_DATE)</f>
        <v/>
      </c>
      <c r="N11" s="126">
        <f>SUMIFS($D$26:$D$395,$B$26:$B$395,"&gt;="&amp;DATE(YEAR_Y,3,1),$B$26:$B$395,"&lt;"&amp;DATE(YEAR_Y+(3=12),MOD(3,12)+1,1),$B$26:$B$395,"&gt;"&amp;VAL_DATE)</f>
        <v/>
      </c>
      <c r="O11" s="126">
        <f>SUMIFS($E$26:$E$395,$B$26:$B$395,"&gt;="&amp;DATE(YEAR_Y,3,1),$B$26:$B$395,"&lt;"&amp;DATE(YEAR_Y+(3=12),MOD(3,12)+1,1),$B$26:$B$395,"&lt;="&amp;VAL_DATE)</f>
        <v/>
      </c>
      <c r="P11" s="126">
        <f>SUMIFS($E$26:$E$395,$B$26:$B$395,"&gt;="&amp;DATE(YEAR_Y,3,1),$B$26:$B$395,"&lt;"&amp;DATE(YEAR_Y+(3=12),MOD(3,12)+1,1),$B$26:$B$395,"&gt;"&amp;VAL_DATE)</f>
        <v/>
      </c>
      <c r="R11" s="126">
        <f>SUM($K$9:$L11)</f>
        <v/>
      </c>
      <c r="S11" s="126">
        <f>SUM($M$9:$N11)</f>
        <v/>
      </c>
      <c r="T11" s="126">
        <f>SUM($O$9:$P11)</f>
        <v/>
      </c>
    </row>
    <row r="12">
      <c r="J12" s="45">
        <f>TEXT(DATE(YEAR_Y,4,1),"mmm")</f>
        <v/>
      </c>
      <c r="K12" s="126">
        <f>SUMIFS($C$26:$C$395,$B$26:$B$395,"&gt;="&amp;DATE(YEAR_Y,4,1),$B$26:$B$395,"&lt;"&amp;DATE(YEAR_Y+(4=12),MOD(4,12)+1,1),$B$26:$B$395,"&lt;="&amp;VAL_DATE)</f>
        <v/>
      </c>
      <c r="L12" s="126">
        <f>SUMIFS($C$26:$C$395,$B$26:$B$395,"&gt;="&amp;DATE(YEAR_Y,4,1),$B$26:$B$395,"&lt;"&amp;DATE(YEAR_Y+(4=12),MOD(4,12)+1,1),$B$26:$B$395,"&gt;"&amp;VAL_DATE)</f>
        <v/>
      </c>
      <c r="M12" s="126">
        <f>SUMIFS($D$26:$D$395,$B$26:$B$395,"&gt;="&amp;DATE(YEAR_Y,4,1),$B$26:$B$395,"&lt;"&amp;DATE(YEAR_Y+(4=12),MOD(4,12)+1,1),$B$26:$B$395,"&lt;="&amp;VAL_DATE)</f>
        <v/>
      </c>
      <c r="N12" s="126">
        <f>SUMIFS($D$26:$D$395,$B$26:$B$395,"&gt;="&amp;DATE(YEAR_Y,4,1),$B$26:$B$395,"&lt;"&amp;DATE(YEAR_Y+(4=12),MOD(4,12)+1,1),$B$26:$B$395,"&gt;"&amp;VAL_DATE)</f>
        <v/>
      </c>
      <c r="O12" s="126">
        <f>SUMIFS($E$26:$E$395,$B$26:$B$395,"&gt;="&amp;DATE(YEAR_Y,4,1),$B$26:$B$395,"&lt;"&amp;DATE(YEAR_Y+(4=12),MOD(4,12)+1,1),$B$26:$B$395,"&lt;="&amp;VAL_DATE)</f>
        <v/>
      </c>
      <c r="P12" s="126">
        <f>SUMIFS($E$26:$E$395,$B$26:$B$395,"&gt;="&amp;DATE(YEAR_Y,4,1),$B$26:$B$395,"&lt;"&amp;DATE(YEAR_Y+(4=12),MOD(4,12)+1,1),$B$26:$B$395,"&gt;"&amp;VAL_DATE)</f>
        <v/>
      </c>
      <c r="R12" s="126">
        <f>SUM($K$9:$L12)</f>
        <v/>
      </c>
      <c r="S12" s="126">
        <f>SUM($M$9:$N12)</f>
        <v/>
      </c>
      <c r="T12" s="126">
        <f>SUM($O$9:$P12)</f>
        <v/>
      </c>
    </row>
    <row r="13">
      <c r="J13" s="45">
        <f>TEXT(DATE(YEAR_Y,5,1),"mmm")</f>
        <v/>
      </c>
      <c r="K13" s="126">
        <f>SUMIFS($C$26:$C$395,$B$26:$B$395,"&gt;="&amp;DATE(YEAR_Y,5,1),$B$26:$B$395,"&lt;"&amp;DATE(YEAR_Y+(5=12),MOD(5,12)+1,1),$B$26:$B$395,"&lt;="&amp;VAL_DATE)</f>
        <v/>
      </c>
      <c r="L13" s="126">
        <f>SUMIFS($C$26:$C$395,$B$26:$B$395,"&gt;="&amp;DATE(YEAR_Y,5,1),$B$26:$B$395,"&lt;"&amp;DATE(YEAR_Y+(5=12),MOD(5,12)+1,1),$B$26:$B$395,"&gt;"&amp;VAL_DATE)</f>
        <v/>
      </c>
      <c r="M13" s="126">
        <f>SUMIFS($D$26:$D$395,$B$26:$B$395,"&gt;="&amp;DATE(YEAR_Y,5,1),$B$26:$B$395,"&lt;"&amp;DATE(YEAR_Y+(5=12),MOD(5,12)+1,1),$B$26:$B$395,"&lt;="&amp;VAL_DATE)</f>
        <v/>
      </c>
      <c r="N13" s="126">
        <f>SUMIFS($D$26:$D$395,$B$26:$B$395,"&gt;="&amp;DATE(YEAR_Y,5,1),$B$26:$B$395,"&lt;"&amp;DATE(YEAR_Y+(5=12),MOD(5,12)+1,1),$B$26:$B$395,"&gt;"&amp;VAL_DATE)</f>
        <v/>
      </c>
      <c r="O13" s="126">
        <f>SUMIFS($E$26:$E$395,$B$26:$B$395,"&gt;="&amp;DATE(YEAR_Y,5,1),$B$26:$B$395,"&lt;"&amp;DATE(YEAR_Y+(5=12),MOD(5,12)+1,1),$B$26:$B$395,"&lt;="&amp;VAL_DATE)</f>
        <v/>
      </c>
      <c r="P13" s="126">
        <f>SUMIFS($E$26:$E$395,$B$26:$B$395,"&gt;="&amp;DATE(YEAR_Y,5,1),$B$26:$B$395,"&lt;"&amp;DATE(YEAR_Y+(5=12),MOD(5,12)+1,1),$B$26:$B$395,"&gt;"&amp;VAL_DATE)</f>
        <v/>
      </c>
      <c r="R13" s="126">
        <f>SUM($K$9:$L13)</f>
        <v/>
      </c>
      <c r="S13" s="126">
        <f>SUM($M$9:$N13)</f>
        <v/>
      </c>
      <c r="T13" s="126">
        <f>SUM($O$9:$P13)</f>
        <v/>
      </c>
    </row>
    <row r="14">
      <c r="J14" s="45">
        <f>TEXT(DATE(YEAR_Y,6,1),"mmm")</f>
        <v/>
      </c>
      <c r="K14" s="126">
        <f>SUMIFS($C$26:$C$395,$B$26:$B$395,"&gt;="&amp;DATE(YEAR_Y,6,1),$B$26:$B$395,"&lt;"&amp;DATE(YEAR_Y+(6=12),MOD(6,12)+1,1),$B$26:$B$395,"&lt;="&amp;VAL_DATE)</f>
        <v/>
      </c>
      <c r="L14" s="126">
        <f>SUMIFS($C$26:$C$395,$B$26:$B$395,"&gt;="&amp;DATE(YEAR_Y,6,1),$B$26:$B$395,"&lt;"&amp;DATE(YEAR_Y+(6=12),MOD(6,12)+1,1),$B$26:$B$395,"&gt;"&amp;VAL_DATE)</f>
        <v/>
      </c>
      <c r="M14" s="126">
        <f>SUMIFS($D$26:$D$395,$B$26:$B$395,"&gt;="&amp;DATE(YEAR_Y,6,1),$B$26:$B$395,"&lt;"&amp;DATE(YEAR_Y+(6=12),MOD(6,12)+1,1),$B$26:$B$395,"&lt;="&amp;VAL_DATE)</f>
        <v/>
      </c>
      <c r="N14" s="126">
        <f>SUMIFS($D$26:$D$395,$B$26:$B$395,"&gt;="&amp;DATE(YEAR_Y,6,1),$B$26:$B$395,"&lt;"&amp;DATE(YEAR_Y+(6=12),MOD(6,12)+1,1),$B$26:$B$395,"&gt;"&amp;VAL_DATE)</f>
        <v/>
      </c>
      <c r="O14" s="126">
        <f>SUMIFS($E$26:$E$395,$B$26:$B$395,"&gt;="&amp;DATE(YEAR_Y,6,1),$B$26:$B$395,"&lt;"&amp;DATE(YEAR_Y+(6=12),MOD(6,12)+1,1),$B$26:$B$395,"&lt;="&amp;VAL_DATE)</f>
        <v/>
      </c>
      <c r="P14" s="126">
        <f>SUMIFS($E$26:$E$395,$B$26:$B$395,"&gt;="&amp;DATE(YEAR_Y,6,1),$B$26:$B$395,"&lt;"&amp;DATE(YEAR_Y+(6=12),MOD(6,12)+1,1),$B$26:$B$395,"&gt;"&amp;VAL_DATE)</f>
        <v/>
      </c>
      <c r="R14" s="126">
        <f>SUM($K$9:$L14)</f>
        <v/>
      </c>
      <c r="S14" s="126">
        <f>SUM($M$9:$N14)</f>
        <v/>
      </c>
      <c r="T14" s="126">
        <f>SUM($O$9:$P14)</f>
        <v/>
      </c>
    </row>
    <row r="15">
      <c r="J15" s="45">
        <f>TEXT(DATE(YEAR_Y,7,1),"mmm")</f>
        <v/>
      </c>
      <c r="K15" s="126">
        <f>SUMIFS($C$26:$C$395,$B$26:$B$395,"&gt;="&amp;DATE(YEAR_Y,7,1),$B$26:$B$395,"&lt;"&amp;DATE(YEAR_Y+(7=12),MOD(7,12)+1,1),$B$26:$B$395,"&lt;="&amp;VAL_DATE)</f>
        <v/>
      </c>
      <c r="L15" s="126">
        <f>SUMIFS($C$26:$C$395,$B$26:$B$395,"&gt;="&amp;DATE(YEAR_Y,7,1),$B$26:$B$395,"&lt;"&amp;DATE(YEAR_Y+(7=12),MOD(7,12)+1,1),$B$26:$B$395,"&gt;"&amp;VAL_DATE)</f>
        <v/>
      </c>
      <c r="M15" s="126">
        <f>SUMIFS($D$26:$D$395,$B$26:$B$395,"&gt;="&amp;DATE(YEAR_Y,7,1),$B$26:$B$395,"&lt;"&amp;DATE(YEAR_Y+(7=12),MOD(7,12)+1,1),$B$26:$B$395,"&lt;="&amp;VAL_DATE)</f>
        <v/>
      </c>
      <c r="N15" s="126">
        <f>SUMIFS($D$26:$D$395,$B$26:$B$395,"&gt;="&amp;DATE(YEAR_Y,7,1),$B$26:$B$395,"&lt;"&amp;DATE(YEAR_Y+(7=12),MOD(7,12)+1,1),$B$26:$B$395,"&gt;"&amp;VAL_DATE)</f>
        <v/>
      </c>
      <c r="O15" s="126">
        <f>SUMIFS($E$26:$E$395,$B$26:$B$395,"&gt;="&amp;DATE(YEAR_Y,7,1),$B$26:$B$395,"&lt;"&amp;DATE(YEAR_Y+(7=12),MOD(7,12)+1,1),$B$26:$B$395,"&lt;="&amp;VAL_DATE)</f>
        <v/>
      </c>
      <c r="P15" s="126">
        <f>SUMIFS($E$26:$E$395,$B$26:$B$395,"&gt;="&amp;DATE(YEAR_Y,7,1),$B$26:$B$395,"&lt;"&amp;DATE(YEAR_Y+(7=12),MOD(7,12)+1,1),$B$26:$B$395,"&gt;"&amp;VAL_DATE)</f>
        <v/>
      </c>
      <c r="R15" s="126">
        <f>SUM($K$9:$L15)</f>
        <v/>
      </c>
      <c r="S15" s="126">
        <f>SUM($M$9:$N15)</f>
        <v/>
      </c>
      <c r="T15" s="126">
        <f>SUM($O$9:$P15)</f>
        <v/>
      </c>
    </row>
    <row r="16">
      <c r="J16" s="45">
        <f>TEXT(DATE(YEAR_Y,8,1),"mmm")</f>
        <v/>
      </c>
      <c r="K16" s="126">
        <f>SUMIFS($C$26:$C$395,$B$26:$B$395,"&gt;="&amp;DATE(YEAR_Y,8,1),$B$26:$B$395,"&lt;"&amp;DATE(YEAR_Y+(8=12),MOD(8,12)+1,1),$B$26:$B$395,"&lt;="&amp;VAL_DATE)</f>
        <v/>
      </c>
      <c r="L16" s="126">
        <f>SUMIFS($C$26:$C$395,$B$26:$B$395,"&gt;="&amp;DATE(YEAR_Y,8,1),$B$26:$B$395,"&lt;"&amp;DATE(YEAR_Y+(8=12),MOD(8,12)+1,1),$B$26:$B$395,"&gt;"&amp;VAL_DATE)</f>
        <v/>
      </c>
      <c r="M16" s="126">
        <f>SUMIFS($D$26:$D$395,$B$26:$B$395,"&gt;="&amp;DATE(YEAR_Y,8,1),$B$26:$B$395,"&lt;"&amp;DATE(YEAR_Y+(8=12),MOD(8,12)+1,1),$B$26:$B$395,"&lt;="&amp;VAL_DATE)</f>
        <v/>
      </c>
      <c r="N16" s="126">
        <f>SUMIFS($D$26:$D$395,$B$26:$B$395,"&gt;="&amp;DATE(YEAR_Y,8,1),$B$26:$B$395,"&lt;"&amp;DATE(YEAR_Y+(8=12),MOD(8,12)+1,1),$B$26:$B$395,"&gt;"&amp;VAL_DATE)</f>
        <v/>
      </c>
      <c r="O16" s="126">
        <f>SUMIFS($E$26:$E$395,$B$26:$B$395,"&gt;="&amp;DATE(YEAR_Y,8,1),$B$26:$B$395,"&lt;"&amp;DATE(YEAR_Y+(8=12),MOD(8,12)+1,1),$B$26:$B$395,"&lt;="&amp;VAL_DATE)</f>
        <v/>
      </c>
      <c r="P16" s="126">
        <f>SUMIFS($E$26:$E$395,$B$26:$B$395,"&gt;="&amp;DATE(YEAR_Y,8,1),$B$26:$B$395,"&lt;"&amp;DATE(YEAR_Y+(8=12),MOD(8,12)+1,1),$B$26:$B$395,"&gt;"&amp;VAL_DATE)</f>
        <v/>
      </c>
      <c r="R16" s="126">
        <f>SUM($K$9:$L16)</f>
        <v/>
      </c>
      <c r="S16" s="126">
        <f>SUM($M$9:$N16)</f>
        <v/>
      </c>
      <c r="T16" s="126">
        <f>SUM($O$9:$P16)</f>
        <v/>
      </c>
    </row>
    <row r="17">
      <c r="J17" s="45">
        <f>TEXT(DATE(YEAR_Y,9,1),"mmm")</f>
        <v/>
      </c>
      <c r="K17" s="126">
        <f>SUMIFS($C$26:$C$395,$B$26:$B$395,"&gt;="&amp;DATE(YEAR_Y,9,1),$B$26:$B$395,"&lt;"&amp;DATE(YEAR_Y+(9=12),MOD(9,12)+1,1),$B$26:$B$395,"&lt;="&amp;VAL_DATE)</f>
        <v/>
      </c>
      <c r="L17" s="126">
        <f>SUMIFS($C$26:$C$395,$B$26:$B$395,"&gt;="&amp;DATE(YEAR_Y,9,1),$B$26:$B$395,"&lt;"&amp;DATE(YEAR_Y+(9=12),MOD(9,12)+1,1),$B$26:$B$395,"&gt;"&amp;VAL_DATE)</f>
        <v/>
      </c>
      <c r="M17" s="126">
        <f>SUMIFS($D$26:$D$395,$B$26:$B$395,"&gt;="&amp;DATE(YEAR_Y,9,1),$B$26:$B$395,"&lt;"&amp;DATE(YEAR_Y+(9=12),MOD(9,12)+1,1),$B$26:$B$395,"&lt;="&amp;VAL_DATE)</f>
        <v/>
      </c>
      <c r="N17" s="126">
        <f>SUMIFS($D$26:$D$395,$B$26:$B$395,"&gt;="&amp;DATE(YEAR_Y,9,1),$B$26:$B$395,"&lt;"&amp;DATE(YEAR_Y+(9=12),MOD(9,12)+1,1),$B$26:$B$395,"&gt;"&amp;VAL_DATE)</f>
        <v/>
      </c>
      <c r="O17" s="126">
        <f>SUMIFS($E$26:$E$395,$B$26:$B$395,"&gt;="&amp;DATE(YEAR_Y,9,1),$B$26:$B$395,"&lt;"&amp;DATE(YEAR_Y+(9=12),MOD(9,12)+1,1),$B$26:$B$395,"&lt;="&amp;VAL_DATE)</f>
        <v/>
      </c>
      <c r="P17" s="126">
        <f>SUMIFS($E$26:$E$395,$B$26:$B$395,"&gt;="&amp;DATE(YEAR_Y,9,1),$B$26:$B$395,"&lt;"&amp;DATE(YEAR_Y+(9=12),MOD(9,12)+1,1),$B$26:$B$395,"&gt;"&amp;VAL_DATE)</f>
        <v/>
      </c>
      <c r="R17" s="126">
        <f>SUM($K$9:$L17)</f>
        <v/>
      </c>
      <c r="S17" s="126">
        <f>SUM($M$9:$N17)</f>
        <v/>
      </c>
      <c r="T17" s="126">
        <f>SUM($O$9:$P17)</f>
        <v/>
      </c>
    </row>
    <row r="18">
      <c r="J18" s="45">
        <f>TEXT(DATE(YEAR_Y,10,1),"mmm")</f>
        <v/>
      </c>
      <c r="K18" s="126">
        <f>SUMIFS($C$26:$C$395,$B$26:$B$395,"&gt;="&amp;DATE(YEAR_Y,10,1),$B$26:$B$395,"&lt;"&amp;DATE(YEAR_Y+(10=12),MOD(10,12)+1,1),$B$26:$B$395,"&lt;="&amp;VAL_DATE)</f>
        <v/>
      </c>
      <c r="L18" s="126">
        <f>SUMIFS($C$26:$C$395,$B$26:$B$395,"&gt;="&amp;DATE(YEAR_Y,10,1),$B$26:$B$395,"&lt;"&amp;DATE(YEAR_Y+(10=12),MOD(10,12)+1,1),$B$26:$B$395,"&gt;"&amp;VAL_DATE)</f>
        <v/>
      </c>
      <c r="M18" s="126">
        <f>SUMIFS($D$26:$D$395,$B$26:$B$395,"&gt;="&amp;DATE(YEAR_Y,10,1),$B$26:$B$395,"&lt;"&amp;DATE(YEAR_Y+(10=12),MOD(10,12)+1,1),$B$26:$B$395,"&lt;="&amp;VAL_DATE)</f>
        <v/>
      </c>
      <c r="N18" s="126">
        <f>SUMIFS($D$26:$D$395,$B$26:$B$395,"&gt;="&amp;DATE(YEAR_Y,10,1),$B$26:$B$395,"&lt;"&amp;DATE(YEAR_Y+(10=12),MOD(10,12)+1,1),$B$26:$B$395,"&gt;"&amp;VAL_DATE)</f>
        <v/>
      </c>
      <c r="O18" s="126">
        <f>SUMIFS($E$26:$E$395,$B$26:$B$395,"&gt;="&amp;DATE(YEAR_Y,10,1),$B$26:$B$395,"&lt;"&amp;DATE(YEAR_Y+(10=12),MOD(10,12)+1,1),$B$26:$B$395,"&lt;="&amp;VAL_DATE)</f>
        <v/>
      </c>
      <c r="P18" s="126">
        <f>SUMIFS($E$26:$E$395,$B$26:$B$395,"&gt;="&amp;DATE(YEAR_Y,10,1),$B$26:$B$395,"&lt;"&amp;DATE(YEAR_Y+(10=12),MOD(10,12)+1,1),$B$26:$B$395,"&gt;"&amp;VAL_DATE)</f>
        <v/>
      </c>
      <c r="R18" s="126">
        <f>SUM($K$9:$L18)</f>
        <v/>
      </c>
      <c r="S18" s="126">
        <f>SUM($M$9:$N18)</f>
        <v/>
      </c>
      <c r="T18" s="126">
        <f>SUM($O$9:$P18)</f>
        <v/>
      </c>
    </row>
    <row r="19">
      <c r="J19" s="45">
        <f>TEXT(DATE(YEAR_Y,11,1),"mmm")</f>
        <v/>
      </c>
      <c r="K19" s="126">
        <f>SUMIFS($C$26:$C$395,$B$26:$B$395,"&gt;="&amp;DATE(YEAR_Y,11,1),$B$26:$B$395,"&lt;"&amp;DATE(YEAR_Y+(11=12),MOD(11,12)+1,1),$B$26:$B$395,"&lt;="&amp;VAL_DATE)</f>
        <v/>
      </c>
      <c r="L19" s="126">
        <f>SUMIFS($C$26:$C$395,$B$26:$B$395,"&gt;="&amp;DATE(YEAR_Y,11,1),$B$26:$B$395,"&lt;"&amp;DATE(YEAR_Y+(11=12),MOD(11,12)+1,1),$B$26:$B$395,"&gt;"&amp;VAL_DATE)</f>
        <v/>
      </c>
      <c r="M19" s="126">
        <f>SUMIFS($D$26:$D$395,$B$26:$B$395,"&gt;="&amp;DATE(YEAR_Y,11,1),$B$26:$B$395,"&lt;"&amp;DATE(YEAR_Y+(11=12),MOD(11,12)+1,1),$B$26:$B$395,"&lt;="&amp;VAL_DATE)</f>
        <v/>
      </c>
      <c r="N19" s="126">
        <f>SUMIFS($D$26:$D$395,$B$26:$B$395,"&gt;="&amp;DATE(YEAR_Y,11,1),$B$26:$B$395,"&lt;"&amp;DATE(YEAR_Y+(11=12),MOD(11,12)+1,1),$B$26:$B$395,"&gt;"&amp;VAL_DATE)</f>
        <v/>
      </c>
      <c r="O19" s="126">
        <f>SUMIFS($E$26:$E$395,$B$26:$B$395,"&gt;="&amp;DATE(YEAR_Y,11,1),$B$26:$B$395,"&lt;"&amp;DATE(YEAR_Y+(11=12),MOD(11,12)+1,1),$B$26:$B$395,"&lt;="&amp;VAL_DATE)</f>
        <v/>
      </c>
      <c r="P19" s="126">
        <f>SUMIFS($E$26:$E$395,$B$26:$B$395,"&gt;="&amp;DATE(YEAR_Y,11,1),$B$26:$B$395,"&lt;"&amp;DATE(YEAR_Y+(11=12),MOD(11,12)+1,1),$B$26:$B$395,"&gt;"&amp;VAL_DATE)</f>
        <v/>
      </c>
      <c r="R19" s="126">
        <f>SUM($K$9:$L19)</f>
        <v/>
      </c>
      <c r="S19" s="126">
        <f>SUM($M$9:$N19)</f>
        <v/>
      </c>
      <c r="T19" s="126">
        <f>SUM($O$9:$P19)</f>
        <v/>
      </c>
    </row>
    <row r="20">
      <c r="J20" s="45">
        <f>TEXT(DATE(YEAR_Y,12,1),"mmm")</f>
        <v/>
      </c>
      <c r="K20" s="126">
        <f>SUMIFS($C$26:$C$395,$B$26:$B$395,"&gt;="&amp;DATE(YEAR_Y,12,1),$B$26:$B$395,"&lt;"&amp;DATE(YEAR_Y+(12=12),MOD(12,12)+1,1),$B$26:$B$395,"&lt;="&amp;VAL_DATE)</f>
        <v/>
      </c>
      <c r="L20" s="126">
        <f>SUMIFS($C$26:$C$395,$B$26:$B$395,"&gt;="&amp;DATE(YEAR_Y,12,1),$B$26:$B$395,"&lt;"&amp;DATE(YEAR_Y+(12=12),MOD(12,12)+1,1),$B$26:$B$395,"&gt;"&amp;VAL_DATE)</f>
        <v/>
      </c>
      <c r="M20" s="126">
        <f>SUMIFS($D$26:$D$395,$B$26:$B$395,"&gt;="&amp;DATE(YEAR_Y,12,1),$B$26:$B$395,"&lt;"&amp;DATE(YEAR_Y+(12=12),MOD(12,12)+1,1),$B$26:$B$395,"&lt;="&amp;VAL_DATE)</f>
        <v/>
      </c>
      <c r="N20" s="126">
        <f>SUMIFS($D$26:$D$395,$B$26:$B$395,"&gt;="&amp;DATE(YEAR_Y,12,1),$B$26:$B$395,"&lt;"&amp;DATE(YEAR_Y+(12=12),MOD(12,12)+1,1),$B$26:$B$395,"&gt;"&amp;VAL_DATE)</f>
        <v/>
      </c>
      <c r="O20" s="126">
        <f>SUMIFS($E$26:$E$395,$B$26:$B$395,"&gt;="&amp;DATE(YEAR_Y,12,1),$B$26:$B$395,"&lt;"&amp;DATE(YEAR_Y+(12=12),MOD(12,12)+1,1),$B$26:$B$395,"&lt;="&amp;VAL_DATE)</f>
        <v/>
      </c>
      <c r="P20" s="126">
        <f>SUMIFS($E$26:$E$395,$B$26:$B$395,"&gt;="&amp;DATE(YEAR_Y,12,1),$B$26:$B$395,"&lt;"&amp;DATE(YEAR_Y+(12=12),MOD(12,12)+1,1),$B$26:$B$395,"&gt;"&amp;VAL_DATE)</f>
        <v/>
      </c>
      <c r="R20" s="126">
        <f>SUM($K$9:$L20)</f>
        <v/>
      </c>
      <c r="S20" s="126">
        <f>SUM($M$9:$N20)</f>
        <v/>
      </c>
      <c r="T20" s="126">
        <f>SUM($O$9:$P20)</f>
        <v/>
      </c>
    </row>
    <row r="24">
      <c r="B24" s="6" t="inlineStr">
        <is>
          <t>BY DAY</t>
        </is>
      </c>
      <c r="C24" s="7" t="n"/>
      <c r="D24" s="7" t="n"/>
      <c r="E24" s="7" t="n"/>
      <c r="F24" s="7" t="n"/>
      <c r="G24" s="7" t="n"/>
      <c r="H24" s="7" t="n"/>
    </row>
    <row r="25">
      <c r="B25" s="23" t="inlineStr">
        <is>
          <t>Date</t>
        </is>
      </c>
      <c r="C25" s="23" t="inlineStr">
        <is>
          <t>HSI
pts</t>
        </is>
      </c>
      <c r="D25" s="23" t="inlineStr">
        <is>
          <t>HSTECH
pts</t>
        </is>
      </c>
      <c r="E25" s="23" t="inlineStr">
        <is>
          <t>HSCEI
pts</t>
        </is>
      </c>
      <c r="F25" s="23" t="inlineStr">
        <is>
          <t>HSI
cumulative</t>
        </is>
      </c>
      <c r="G25" s="23" t="inlineStr">
        <is>
          <t>HSTECH
cumulative</t>
        </is>
      </c>
      <c r="H25" s="23" t="inlineStr">
        <is>
          <t>HSCEI
cumulative</t>
        </is>
      </c>
    </row>
    <row r="26">
      <c r="B26" s="127">
        <f>IF(WIN_FROM+0&gt;WIN_TO,"",WIN_FROM+0)</f>
        <v/>
      </c>
      <c r="C26" s="128">
        <f>IF($B26="","",SUMIFS(Grids!$BQ$12:$EC$111,Grids!$EE$12:$GQ$111,"&gt;="&amp;$B26*1000000000,Grids!$EE$12:$GQ$111,"&lt;"&amp;($B26+1)*1000000000))</f>
        <v/>
      </c>
      <c r="D26" s="128">
        <f>IF($B26="","",SUMIFS(Grids!$BQ$116:$EC$155,Grids!$EE$116:$GQ$155,"&gt;="&amp;$B26*1000000000,Grids!$EE$116:$GQ$155,"&lt;"&amp;($B26+1)*1000000000))</f>
        <v/>
      </c>
      <c r="E26" s="128">
        <f>IF($B26="","",SUMIFS(Grids!$BQ$160:$EC$219,Grids!$EE$160:$GQ$219,"&gt;="&amp;$B26*1000000000,Grids!$EE$160:$GQ$219,"&lt;"&amp;($B26+1)*1000000000))</f>
        <v/>
      </c>
      <c r="F26" s="129">
        <f>IF($B26="","",SUM($C$26:$C26))</f>
        <v/>
      </c>
      <c r="G26" s="129">
        <f>IF($B26="","",SUM($D$26:$D26))</f>
        <v/>
      </c>
      <c r="H26" s="129">
        <f>IF($B26="","",SUM($E$26:$E26))</f>
        <v/>
      </c>
    </row>
    <row r="27">
      <c r="B27" s="127">
        <f>IF(WIN_FROM+1&gt;WIN_TO,"",WIN_FROM+1)</f>
        <v/>
      </c>
      <c r="C27" s="128">
        <f>IF($B27="","",SUMIFS(Grids!$BQ$12:$EC$111,Grids!$EE$12:$GQ$111,"&gt;="&amp;$B27*1000000000,Grids!$EE$12:$GQ$111,"&lt;"&amp;($B27+1)*1000000000))</f>
        <v/>
      </c>
      <c r="D27" s="128">
        <f>IF($B27="","",SUMIFS(Grids!$BQ$116:$EC$155,Grids!$EE$116:$GQ$155,"&gt;="&amp;$B27*1000000000,Grids!$EE$116:$GQ$155,"&lt;"&amp;($B27+1)*1000000000))</f>
        <v/>
      </c>
      <c r="E27" s="128">
        <f>IF($B27="","",SUMIFS(Grids!$BQ$160:$EC$219,Grids!$EE$160:$GQ$219,"&gt;="&amp;$B27*1000000000,Grids!$EE$160:$GQ$219,"&lt;"&amp;($B27+1)*1000000000))</f>
        <v/>
      </c>
      <c r="F27" s="129">
        <f>IF($B27="","",SUM($C$26:$C27))</f>
        <v/>
      </c>
      <c r="G27" s="129">
        <f>IF($B27="","",SUM($D$26:$D27))</f>
        <v/>
      </c>
      <c r="H27" s="129">
        <f>IF($B27="","",SUM($E$26:$E27))</f>
        <v/>
      </c>
    </row>
    <row r="28">
      <c r="B28" s="127">
        <f>IF(WIN_FROM+2&gt;WIN_TO,"",WIN_FROM+2)</f>
        <v/>
      </c>
      <c r="C28" s="128">
        <f>IF($B28="","",SUMIFS(Grids!$BQ$12:$EC$111,Grids!$EE$12:$GQ$111,"&gt;="&amp;$B28*1000000000,Grids!$EE$12:$GQ$111,"&lt;"&amp;($B28+1)*1000000000))</f>
        <v/>
      </c>
      <c r="D28" s="128">
        <f>IF($B28="","",SUMIFS(Grids!$BQ$116:$EC$155,Grids!$EE$116:$GQ$155,"&gt;="&amp;$B28*1000000000,Grids!$EE$116:$GQ$155,"&lt;"&amp;($B28+1)*1000000000))</f>
        <v/>
      </c>
      <c r="E28" s="128">
        <f>IF($B28="","",SUMIFS(Grids!$BQ$160:$EC$219,Grids!$EE$160:$GQ$219,"&gt;="&amp;$B28*1000000000,Grids!$EE$160:$GQ$219,"&lt;"&amp;($B28+1)*1000000000))</f>
        <v/>
      </c>
      <c r="F28" s="129">
        <f>IF($B28="","",SUM($C$26:$C28))</f>
        <v/>
      </c>
      <c r="G28" s="129">
        <f>IF($B28="","",SUM($D$26:$D28))</f>
        <v/>
      </c>
      <c r="H28" s="129">
        <f>IF($B28="","",SUM($E$26:$E28))</f>
        <v/>
      </c>
    </row>
    <row r="29">
      <c r="B29" s="127">
        <f>IF(WIN_FROM+3&gt;WIN_TO,"",WIN_FROM+3)</f>
        <v/>
      </c>
      <c r="C29" s="128">
        <f>IF($B29="","",SUMIFS(Grids!$BQ$12:$EC$111,Grids!$EE$12:$GQ$111,"&gt;="&amp;$B29*1000000000,Grids!$EE$12:$GQ$111,"&lt;"&amp;($B29+1)*1000000000))</f>
        <v/>
      </c>
      <c r="D29" s="128">
        <f>IF($B29="","",SUMIFS(Grids!$BQ$116:$EC$155,Grids!$EE$116:$GQ$155,"&gt;="&amp;$B29*1000000000,Grids!$EE$116:$GQ$155,"&lt;"&amp;($B29+1)*1000000000))</f>
        <v/>
      </c>
      <c r="E29" s="128">
        <f>IF($B29="","",SUMIFS(Grids!$BQ$160:$EC$219,Grids!$EE$160:$GQ$219,"&gt;="&amp;$B29*1000000000,Grids!$EE$160:$GQ$219,"&lt;"&amp;($B29+1)*1000000000))</f>
        <v/>
      </c>
      <c r="F29" s="129">
        <f>IF($B29="","",SUM($C$26:$C29))</f>
        <v/>
      </c>
      <c r="G29" s="129">
        <f>IF($B29="","",SUM($D$26:$D29))</f>
        <v/>
      </c>
      <c r="H29" s="129">
        <f>IF($B29="","",SUM($E$26:$E29))</f>
        <v/>
      </c>
    </row>
    <row r="30">
      <c r="B30" s="127">
        <f>IF(WIN_FROM+4&gt;WIN_TO,"",WIN_FROM+4)</f>
        <v/>
      </c>
      <c r="C30" s="128">
        <f>IF($B30="","",SUMIFS(Grids!$BQ$12:$EC$111,Grids!$EE$12:$GQ$111,"&gt;="&amp;$B30*1000000000,Grids!$EE$12:$GQ$111,"&lt;"&amp;($B30+1)*1000000000))</f>
        <v/>
      </c>
      <c r="D30" s="128">
        <f>IF($B30="","",SUMIFS(Grids!$BQ$116:$EC$155,Grids!$EE$116:$GQ$155,"&gt;="&amp;$B30*1000000000,Grids!$EE$116:$GQ$155,"&lt;"&amp;($B30+1)*1000000000))</f>
        <v/>
      </c>
      <c r="E30" s="128">
        <f>IF($B30="","",SUMIFS(Grids!$BQ$160:$EC$219,Grids!$EE$160:$GQ$219,"&gt;="&amp;$B30*1000000000,Grids!$EE$160:$GQ$219,"&lt;"&amp;($B30+1)*1000000000))</f>
        <v/>
      </c>
      <c r="F30" s="129">
        <f>IF($B30="","",SUM($C$26:$C30))</f>
        <v/>
      </c>
      <c r="G30" s="129">
        <f>IF($B30="","",SUM($D$26:$D30))</f>
        <v/>
      </c>
      <c r="H30" s="129">
        <f>IF($B30="","",SUM($E$26:$E30))</f>
        <v/>
      </c>
    </row>
    <row r="31">
      <c r="B31" s="127">
        <f>IF(WIN_FROM+5&gt;WIN_TO,"",WIN_FROM+5)</f>
        <v/>
      </c>
      <c r="C31" s="128">
        <f>IF($B31="","",SUMIFS(Grids!$BQ$12:$EC$111,Grids!$EE$12:$GQ$111,"&gt;="&amp;$B31*1000000000,Grids!$EE$12:$GQ$111,"&lt;"&amp;($B31+1)*1000000000))</f>
        <v/>
      </c>
      <c r="D31" s="128">
        <f>IF($B31="","",SUMIFS(Grids!$BQ$116:$EC$155,Grids!$EE$116:$GQ$155,"&gt;="&amp;$B31*1000000000,Grids!$EE$116:$GQ$155,"&lt;"&amp;($B31+1)*1000000000))</f>
        <v/>
      </c>
      <c r="E31" s="128">
        <f>IF($B31="","",SUMIFS(Grids!$BQ$160:$EC$219,Grids!$EE$160:$GQ$219,"&gt;="&amp;$B31*1000000000,Grids!$EE$160:$GQ$219,"&lt;"&amp;($B31+1)*1000000000))</f>
        <v/>
      </c>
      <c r="F31" s="129">
        <f>IF($B31="","",SUM($C$26:$C31))</f>
        <v/>
      </c>
      <c r="G31" s="129">
        <f>IF($B31="","",SUM($D$26:$D31))</f>
        <v/>
      </c>
      <c r="H31" s="129">
        <f>IF($B31="","",SUM($E$26:$E31))</f>
        <v/>
      </c>
    </row>
    <row r="32">
      <c r="B32" s="127">
        <f>IF(WIN_FROM+6&gt;WIN_TO,"",WIN_FROM+6)</f>
        <v/>
      </c>
      <c r="C32" s="128">
        <f>IF($B32="","",SUMIFS(Grids!$BQ$12:$EC$111,Grids!$EE$12:$GQ$111,"&gt;="&amp;$B32*1000000000,Grids!$EE$12:$GQ$111,"&lt;"&amp;($B32+1)*1000000000))</f>
        <v/>
      </c>
      <c r="D32" s="128">
        <f>IF($B32="","",SUMIFS(Grids!$BQ$116:$EC$155,Grids!$EE$116:$GQ$155,"&gt;="&amp;$B32*1000000000,Grids!$EE$116:$GQ$155,"&lt;"&amp;($B32+1)*1000000000))</f>
        <v/>
      </c>
      <c r="E32" s="128">
        <f>IF($B32="","",SUMIFS(Grids!$BQ$160:$EC$219,Grids!$EE$160:$GQ$219,"&gt;="&amp;$B32*1000000000,Grids!$EE$160:$GQ$219,"&lt;"&amp;($B32+1)*1000000000))</f>
        <v/>
      </c>
      <c r="F32" s="129">
        <f>IF($B32="","",SUM($C$26:$C32))</f>
        <v/>
      </c>
      <c r="G32" s="129">
        <f>IF($B32="","",SUM($D$26:$D32))</f>
        <v/>
      </c>
      <c r="H32" s="129">
        <f>IF($B32="","",SUM($E$26:$E32))</f>
        <v/>
      </c>
    </row>
    <row r="33">
      <c r="B33" s="127">
        <f>IF(WIN_FROM+7&gt;WIN_TO,"",WIN_FROM+7)</f>
        <v/>
      </c>
      <c r="C33" s="128">
        <f>IF($B33="","",SUMIFS(Grids!$BQ$12:$EC$111,Grids!$EE$12:$GQ$111,"&gt;="&amp;$B33*1000000000,Grids!$EE$12:$GQ$111,"&lt;"&amp;($B33+1)*1000000000))</f>
        <v/>
      </c>
      <c r="D33" s="128">
        <f>IF($B33="","",SUMIFS(Grids!$BQ$116:$EC$155,Grids!$EE$116:$GQ$155,"&gt;="&amp;$B33*1000000000,Grids!$EE$116:$GQ$155,"&lt;"&amp;($B33+1)*1000000000))</f>
        <v/>
      </c>
      <c r="E33" s="128">
        <f>IF($B33="","",SUMIFS(Grids!$BQ$160:$EC$219,Grids!$EE$160:$GQ$219,"&gt;="&amp;$B33*1000000000,Grids!$EE$160:$GQ$219,"&lt;"&amp;($B33+1)*1000000000))</f>
        <v/>
      </c>
      <c r="F33" s="129">
        <f>IF($B33="","",SUM($C$26:$C33))</f>
        <v/>
      </c>
      <c r="G33" s="129">
        <f>IF($B33="","",SUM($D$26:$D33))</f>
        <v/>
      </c>
      <c r="H33" s="129">
        <f>IF($B33="","",SUM($E$26:$E33))</f>
        <v/>
      </c>
    </row>
    <row r="34">
      <c r="B34" s="127">
        <f>IF(WIN_FROM+8&gt;WIN_TO,"",WIN_FROM+8)</f>
        <v/>
      </c>
      <c r="C34" s="128">
        <f>IF($B34="","",SUMIFS(Grids!$BQ$12:$EC$111,Grids!$EE$12:$GQ$111,"&gt;="&amp;$B34*1000000000,Grids!$EE$12:$GQ$111,"&lt;"&amp;($B34+1)*1000000000))</f>
        <v/>
      </c>
      <c r="D34" s="128">
        <f>IF($B34="","",SUMIFS(Grids!$BQ$116:$EC$155,Grids!$EE$116:$GQ$155,"&gt;="&amp;$B34*1000000000,Grids!$EE$116:$GQ$155,"&lt;"&amp;($B34+1)*1000000000))</f>
        <v/>
      </c>
      <c r="E34" s="128">
        <f>IF($B34="","",SUMIFS(Grids!$BQ$160:$EC$219,Grids!$EE$160:$GQ$219,"&gt;="&amp;$B34*1000000000,Grids!$EE$160:$GQ$219,"&lt;"&amp;($B34+1)*1000000000))</f>
        <v/>
      </c>
      <c r="F34" s="129">
        <f>IF($B34="","",SUM($C$26:$C34))</f>
        <v/>
      </c>
      <c r="G34" s="129">
        <f>IF($B34="","",SUM($D$26:$D34))</f>
        <v/>
      </c>
      <c r="H34" s="129">
        <f>IF($B34="","",SUM($E$26:$E34))</f>
        <v/>
      </c>
    </row>
    <row r="35">
      <c r="B35" s="127">
        <f>IF(WIN_FROM+9&gt;WIN_TO,"",WIN_FROM+9)</f>
        <v/>
      </c>
      <c r="C35" s="128">
        <f>IF($B35="","",SUMIFS(Grids!$BQ$12:$EC$111,Grids!$EE$12:$GQ$111,"&gt;="&amp;$B35*1000000000,Grids!$EE$12:$GQ$111,"&lt;"&amp;($B35+1)*1000000000))</f>
        <v/>
      </c>
      <c r="D35" s="128">
        <f>IF($B35="","",SUMIFS(Grids!$BQ$116:$EC$155,Grids!$EE$116:$GQ$155,"&gt;="&amp;$B35*1000000000,Grids!$EE$116:$GQ$155,"&lt;"&amp;($B35+1)*1000000000))</f>
        <v/>
      </c>
      <c r="E35" s="128">
        <f>IF($B35="","",SUMIFS(Grids!$BQ$160:$EC$219,Grids!$EE$160:$GQ$219,"&gt;="&amp;$B35*1000000000,Grids!$EE$160:$GQ$219,"&lt;"&amp;($B35+1)*1000000000))</f>
        <v/>
      </c>
      <c r="F35" s="129">
        <f>IF($B35="","",SUM($C$26:$C35))</f>
        <v/>
      </c>
      <c r="G35" s="129">
        <f>IF($B35="","",SUM($D$26:$D35))</f>
        <v/>
      </c>
      <c r="H35" s="129">
        <f>IF($B35="","",SUM($E$26:$E35))</f>
        <v/>
      </c>
    </row>
    <row r="36">
      <c r="B36" s="127">
        <f>IF(WIN_FROM+10&gt;WIN_TO,"",WIN_FROM+10)</f>
        <v/>
      </c>
      <c r="C36" s="128">
        <f>IF($B36="","",SUMIFS(Grids!$BQ$12:$EC$111,Grids!$EE$12:$GQ$111,"&gt;="&amp;$B36*1000000000,Grids!$EE$12:$GQ$111,"&lt;"&amp;($B36+1)*1000000000))</f>
        <v/>
      </c>
      <c r="D36" s="128">
        <f>IF($B36="","",SUMIFS(Grids!$BQ$116:$EC$155,Grids!$EE$116:$GQ$155,"&gt;="&amp;$B36*1000000000,Grids!$EE$116:$GQ$155,"&lt;"&amp;($B36+1)*1000000000))</f>
        <v/>
      </c>
      <c r="E36" s="128">
        <f>IF($B36="","",SUMIFS(Grids!$BQ$160:$EC$219,Grids!$EE$160:$GQ$219,"&gt;="&amp;$B36*1000000000,Grids!$EE$160:$GQ$219,"&lt;"&amp;($B36+1)*1000000000))</f>
        <v/>
      </c>
      <c r="F36" s="129">
        <f>IF($B36="","",SUM($C$26:$C36))</f>
        <v/>
      </c>
      <c r="G36" s="129">
        <f>IF($B36="","",SUM($D$26:$D36))</f>
        <v/>
      </c>
      <c r="H36" s="129">
        <f>IF($B36="","",SUM($E$26:$E36))</f>
        <v/>
      </c>
    </row>
    <row r="37">
      <c r="B37" s="127">
        <f>IF(WIN_FROM+11&gt;WIN_TO,"",WIN_FROM+11)</f>
        <v/>
      </c>
      <c r="C37" s="128">
        <f>IF($B37="","",SUMIFS(Grids!$BQ$12:$EC$111,Grids!$EE$12:$GQ$111,"&gt;="&amp;$B37*1000000000,Grids!$EE$12:$GQ$111,"&lt;"&amp;($B37+1)*1000000000))</f>
        <v/>
      </c>
      <c r="D37" s="128">
        <f>IF($B37="","",SUMIFS(Grids!$BQ$116:$EC$155,Grids!$EE$116:$GQ$155,"&gt;="&amp;$B37*1000000000,Grids!$EE$116:$GQ$155,"&lt;"&amp;($B37+1)*1000000000))</f>
        <v/>
      </c>
      <c r="E37" s="128">
        <f>IF($B37="","",SUMIFS(Grids!$BQ$160:$EC$219,Grids!$EE$160:$GQ$219,"&gt;="&amp;$B37*1000000000,Grids!$EE$160:$GQ$219,"&lt;"&amp;($B37+1)*1000000000))</f>
        <v/>
      </c>
      <c r="F37" s="129">
        <f>IF($B37="","",SUM($C$26:$C37))</f>
        <v/>
      </c>
      <c r="G37" s="129">
        <f>IF($B37="","",SUM($D$26:$D37))</f>
        <v/>
      </c>
      <c r="H37" s="129">
        <f>IF($B37="","",SUM($E$26:$E37))</f>
        <v/>
      </c>
    </row>
    <row r="38">
      <c r="B38" s="127">
        <f>IF(WIN_FROM+12&gt;WIN_TO,"",WIN_FROM+12)</f>
        <v/>
      </c>
      <c r="C38" s="128">
        <f>IF($B38="","",SUMIFS(Grids!$BQ$12:$EC$111,Grids!$EE$12:$GQ$111,"&gt;="&amp;$B38*1000000000,Grids!$EE$12:$GQ$111,"&lt;"&amp;($B38+1)*1000000000))</f>
        <v/>
      </c>
      <c r="D38" s="128">
        <f>IF($B38="","",SUMIFS(Grids!$BQ$116:$EC$155,Grids!$EE$116:$GQ$155,"&gt;="&amp;$B38*1000000000,Grids!$EE$116:$GQ$155,"&lt;"&amp;($B38+1)*1000000000))</f>
        <v/>
      </c>
      <c r="E38" s="128">
        <f>IF($B38="","",SUMIFS(Grids!$BQ$160:$EC$219,Grids!$EE$160:$GQ$219,"&gt;="&amp;$B38*1000000000,Grids!$EE$160:$GQ$219,"&lt;"&amp;($B38+1)*1000000000))</f>
        <v/>
      </c>
      <c r="F38" s="129">
        <f>IF($B38="","",SUM($C$26:$C38))</f>
        <v/>
      </c>
      <c r="G38" s="129">
        <f>IF($B38="","",SUM($D$26:$D38))</f>
        <v/>
      </c>
      <c r="H38" s="129">
        <f>IF($B38="","",SUM($E$26:$E38))</f>
        <v/>
      </c>
    </row>
    <row r="39">
      <c r="B39" s="127">
        <f>IF(WIN_FROM+13&gt;WIN_TO,"",WIN_FROM+13)</f>
        <v/>
      </c>
      <c r="C39" s="128">
        <f>IF($B39="","",SUMIFS(Grids!$BQ$12:$EC$111,Grids!$EE$12:$GQ$111,"&gt;="&amp;$B39*1000000000,Grids!$EE$12:$GQ$111,"&lt;"&amp;($B39+1)*1000000000))</f>
        <v/>
      </c>
      <c r="D39" s="128">
        <f>IF($B39="","",SUMIFS(Grids!$BQ$116:$EC$155,Grids!$EE$116:$GQ$155,"&gt;="&amp;$B39*1000000000,Grids!$EE$116:$GQ$155,"&lt;"&amp;($B39+1)*1000000000))</f>
        <v/>
      </c>
      <c r="E39" s="128">
        <f>IF($B39="","",SUMIFS(Grids!$BQ$160:$EC$219,Grids!$EE$160:$GQ$219,"&gt;="&amp;$B39*1000000000,Grids!$EE$160:$GQ$219,"&lt;"&amp;($B39+1)*1000000000))</f>
        <v/>
      </c>
      <c r="F39" s="129">
        <f>IF($B39="","",SUM($C$26:$C39))</f>
        <v/>
      </c>
      <c r="G39" s="129">
        <f>IF($B39="","",SUM($D$26:$D39))</f>
        <v/>
      </c>
      <c r="H39" s="129">
        <f>IF($B39="","",SUM($E$26:$E39))</f>
        <v/>
      </c>
    </row>
    <row r="40">
      <c r="B40" s="127">
        <f>IF(WIN_FROM+14&gt;WIN_TO,"",WIN_FROM+14)</f>
        <v/>
      </c>
      <c r="C40" s="128">
        <f>IF($B40="","",SUMIFS(Grids!$BQ$12:$EC$111,Grids!$EE$12:$GQ$111,"&gt;="&amp;$B40*1000000000,Grids!$EE$12:$GQ$111,"&lt;"&amp;($B40+1)*1000000000))</f>
        <v/>
      </c>
      <c r="D40" s="128">
        <f>IF($B40="","",SUMIFS(Grids!$BQ$116:$EC$155,Grids!$EE$116:$GQ$155,"&gt;="&amp;$B40*1000000000,Grids!$EE$116:$GQ$155,"&lt;"&amp;($B40+1)*1000000000))</f>
        <v/>
      </c>
      <c r="E40" s="128">
        <f>IF($B40="","",SUMIFS(Grids!$BQ$160:$EC$219,Grids!$EE$160:$GQ$219,"&gt;="&amp;$B40*1000000000,Grids!$EE$160:$GQ$219,"&lt;"&amp;($B40+1)*1000000000))</f>
        <v/>
      </c>
      <c r="F40" s="129">
        <f>IF($B40="","",SUM($C$26:$C40))</f>
        <v/>
      </c>
      <c r="G40" s="129">
        <f>IF($B40="","",SUM($D$26:$D40))</f>
        <v/>
      </c>
      <c r="H40" s="129">
        <f>IF($B40="","",SUM($E$26:$E40))</f>
        <v/>
      </c>
    </row>
    <row r="41">
      <c r="B41" s="127">
        <f>IF(WIN_FROM+15&gt;WIN_TO,"",WIN_FROM+15)</f>
        <v/>
      </c>
      <c r="C41" s="128">
        <f>IF($B41="","",SUMIFS(Grids!$BQ$12:$EC$111,Grids!$EE$12:$GQ$111,"&gt;="&amp;$B41*1000000000,Grids!$EE$12:$GQ$111,"&lt;"&amp;($B41+1)*1000000000))</f>
        <v/>
      </c>
      <c r="D41" s="128">
        <f>IF($B41="","",SUMIFS(Grids!$BQ$116:$EC$155,Grids!$EE$116:$GQ$155,"&gt;="&amp;$B41*1000000000,Grids!$EE$116:$GQ$155,"&lt;"&amp;($B41+1)*1000000000))</f>
        <v/>
      </c>
      <c r="E41" s="128">
        <f>IF($B41="","",SUMIFS(Grids!$BQ$160:$EC$219,Grids!$EE$160:$GQ$219,"&gt;="&amp;$B41*1000000000,Grids!$EE$160:$GQ$219,"&lt;"&amp;($B41+1)*1000000000))</f>
        <v/>
      </c>
      <c r="F41" s="129">
        <f>IF($B41="","",SUM($C$26:$C41))</f>
        <v/>
      </c>
      <c r="G41" s="129">
        <f>IF($B41="","",SUM($D$26:$D41))</f>
        <v/>
      </c>
      <c r="H41" s="129">
        <f>IF($B41="","",SUM($E$26:$E41))</f>
        <v/>
      </c>
    </row>
    <row r="42">
      <c r="B42" s="127">
        <f>IF(WIN_FROM+16&gt;WIN_TO,"",WIN_FROM+16)</f>
        <v/>
      </c>
      <c r="C42" s="128">
        <f>IF($B42="","",SUMIFS(Grids!$BQ$12:$EC$111,Grids!$EE$12:$GQ$111,"&gt;="&amp;$B42*1000000000,Grids!$EE$12:$GQ$111,"&lt;"&amp;($B42+1)*1000000000))</f>
        <v/>
      </c>
      <c r="D42" s="128">
        <f>IF($B42="","",SUMIFS(Grids!$BQ$116:$EC$155,Grids!$EE$116:$GQ$155,"&gt;="&amp;$B42*1000000000,Grids!$EE$116:$GQ$155,"&lt;"&amp;($B42+1)*1000000000))</f>
        <v/>
      </c>
      <c r="E42" s="128">
        <f>IF($B42="","",SUMIFS(Grids!$BQ$160:$EC$219,Grids!$EE$160:$GQ$219,"&gt;="&amp;$B42*1000000000,Grids!$EE$160:$GQ$219,"&lt;"&amp;($B42+1)*1000000000))</f>
        <v/>
      </c>
      <c r="F42" s="129">
        <f>IF($B42="","",SUM($C$26:$C42))</f>
        <v/>
      </c>
      <c r="G42" s="129">
        <f>IF($B42="","",SUM($D$26:$D42))</f>
        <v/>
      </c>
      <c r="H42" s="129">
        <f>IF($B42="","",SUM($E$26:$E42))</f>
        <v/>
      </c>
    </row>
    <row r="43">
      <c r="B43" s="127">
        <f>IF(WIN_FROM+17&gt;WIN_TO,"",WIN_FROM+17)</f>
        <v/>
      </c>
      <c r="C43" s="128">
        <f>IF($B43="","",SUMIFS(Grids!$BQ$12:$EC$111,Grids!$EE$12:$GQ$111,"&gt;="&amp;$B43*1000000000,Grids!$EE$12:$GQ$111,"&lt;"&amp;($B43+1)*1000000000))</f>
        <v/>
      </c>
      <c r="D43" s="128">
        <f>IF($B43="","",SUMIFS(Grids!$BQ$116:$EC$155,Grids!$EE$116:$GQ$155,"&gt;="&amp;$B43*1000000000,Grids!$EE$116:$GQ$155,"&lt;"&amp;($B43+1)*1000000000))</f>
        <v/>
      </c>
      <c r="E43" s="128">
        <f>IF($B43="","",SUMIFS(Grids!$BQ$160:$EC$219,Grids!$EE$160:$GQ$219,"&gt;="&amp;$B43*1000000000,Grids!$EE$160:$GQ$219,"&lt;"&amp;($B43+1)*1000000000))</f>
        <v/>
      </c>
      <c r="F43" s="129">
        <f>IF($B43="","",SUM($C$26:$C43))</f>
        <v/>
      </c>
      <c r="G43" s="129">
        <f>IF($B43="","",SUM($D$26:$D43))</f>
        <v/>
      </c>
      <c r="H43" s="129">
        <f>IF($B43="","",SUM($E$26:$E43))</f>
        <v/>
      </c>
    </row>
    <row r="44">
      <c r="B44" s="127">
        <f>IF(WIN_FROM+18&gt;WIN_TO,"",WIN_FROM+18)</f>
        <v/>
      </c>
      <c r="C44" s="128">
        <f>IF($B44="","",SUMIFS(Grids!$BQ$12:$EC$111,Grids!$EE$12:$GQ$111,"&gt;="&amp;$B44*1000000000,Grids!$EE$12:$GQ$111,"&lt;"&amp;($B44+1)*1000000000))</f>
        <v/>
      </c>
      <c r="D44" s="128">
        <f>IF($B44="","",SUMIFS(Grids!$BQ$116:$EC$155,Grids!$EE$116:$GQ$155,"&gt;="&amp;$B44*1000000000,Grids!$EE$116:$GQ$155,"&lt;"&amp;($B44+1)*1000000000))</f>
        <v/>
      </c>
      <c r="E44" s="128">
        <f>IF($B44="","",SUMIFS(Grids!$BQ$160:$EC$219,Grids!$EE$160:$GQ$219,"&gt;="&amp;$B44*1000000000,Grids!$EE$160:$GQ$219,"&lt;"&amp;($B44+1)*1000000000))</f>
        <v/>
      </c>
      <c r="F44" s="129">
        <f>IF($B44="","",SUM($C$26:$C44))</f>
        <v/>
      </c>
      <c r="G44" s="129">
        <f>IF($B44="","",SUM($D$26:$D44))</f>
        <v/>
      </c>
      <c r="H44" s="129">
        <f>IF($B44="","",SUM($E$26:$E44))</f>
        <v/>
      </c>
    </row>
    <row r="45">
      <c r="B45" s="127">
        <f>IF(WIN_FROM+19&gt;WIN_TO,"",WIN_FROM+19)</f>
        <v/>
      </c>
      <c r="C45" s="128">
        <f>IF($B45="","",SUMIFS(Grids!$BQ$12:$EC$111,Grids!$EE$12:$GQ$111,"&gt;="&amp;$B45*1000000000,Grids!$EE$12:$GQ$111,"&lt;"&amp;($B45+1)*1000000000))</f>
        <v/>
      </c>
      <c r="D45" s="128">
        <f>IF($B45="","",SUMIFS(Grids!$BQ$116:$EC$155,Grids!$EE$116:$GQ$155,"&gt;="&amp;$B45*1000000000,Grids!$EE$116:$GQ$155,"&lt;"&amp;($B45+1)*1000000000))</f>
        <v/>
      </c>
      <c r="E45" s="128">
        <f>IF($B45="","",SUMIFS(Grids!$BQ$160:$EC$219,Grids!$EE$160:$GQ$219,"&gt;="&amp;$B45*1000000000,Grids!$EE$160:$GQ$219,"&lt;"&amp;($B45+1)*1000000000))</f>
        <v/>
      </c>
      <c r="F45" s="129">
        <f>IF($B45="","",SUM($C$26:$C45))</f>
        <v/>
      </c>
      <c r="G45" s="129">
        <f>IF($B45="","",SUM($D$26:$D45))</f>
        <v/>
      </c>
      <c r="H45" s="129">
        <f>IF($B45="","",SUM($E$26:$E45))</f>
        <v/>
      </c>
    </row>
    <row r="46">
      <c r="B46" s="127">
        <f>IF(WIN_FROM+20&gt;WIN_TO,"",WIN_FROM+20)</f>
        <v/>
      </c>
      <c r="C46" s="128">
        <f>IF($B46="","",SUMIFS(Grids!$BQ$12:$EC$111,Grids!$EE$12:$GQ$111,"&gt;="&amp;$B46*1000000000,Grids!$EE$12:$GQ$111,"&lt;"&amp;($B46+1)*1000000000))</f>
        <v/>
      </c>
      <c r="D46" s="128">
        <f>IF($B46="","",SUMIFS(Grids!$BQ$116:$EC$155,Grids!$EE$116:$GQ$155,"&gt;="&amp;$B46*1000000000,Grids!$EE$116:$GQ$155,"&lt;"&amp;($B46+1)*1000000000))</f>
        <v/>
      </c>
      <c r="E46" s="128">
        <f>IF($B46="","",SUMIFS(Grids!$BQ$160:$EC$219,Grids!$EE$160:$GQ$219,"&gt;="&amp;$B46*1000000000,Grids!$EE$160:$GQ$219,"&lt;"&amp;($B46+1)*1000000000))</f>
        <v/>
      </c>
      <c r="F46" s="129">
        <f>IF($B46="","",SUM($C$26:$C46))</f>
        <v/>
      </c>
      <c r="G46" s="129">
        <f>IF($B46="","",SUM($D$26:$D46))</f>
        <v/>
      </c>
      <c r="H46" s="129">
        <f>IF($B46="","",SUM($E$26:$E46))</f>
        <v/>
      </c>
    </row>
    <row r="47">
      <c r="B47" s="127">
        <f>IF(WIN_FROM+21&gt;WIN_TO,"",WIN_FROM+21)</f>
        <v/>
      </c>
      <c r="C47" s="128">
        <f>IF($B47="","",SUMIFS(Grids!$BQ$12:$EC$111,Grids!$EE$12:$GQ$111,"&gt;="&amp;$B47*1000000000,Grids!$EE$12:$GQ$111,"&lt;"&amp;($B47+1)*1000000000))</f>
        <v/>
      </c>
      <c r="D47" s="128">
        <f>IF($B47="","",SUMIFS(Grids!$BQ$116:$EC$155,Grids!$EE$116:$GQ$155,"&gt;="&amp;$B47*1000000000,Grids!$EE$116:$GQ$155,"&lt;"&amp;($B47+1)*1000000000))</f>
        <v/>
      </c>
      <c r="E47" s="128">
        <f>IF($B47="","",SUMIFS(Grids!$BQ$160:$EC$219,Grids!$EE$160:$GQ$219,"&gt;="&amp;$B47*1000000000,Grids!$EE$160:$GQ$219,"&lt;"&amp;($B47+1)*1000000000))</f>
        <v/>
      </c>
      <c r="F47" s="129">
        <f>IF($B47="","",SUM($C$26:$C47))</f>
        <v/>
      </c>
      <c r="G47" s="129">
        <f>IF($B47="","",SUM($D$26:$D47))</f>
        <v/>
      </c>
      <c r="H47" s="129">
        <f>IF($B47="","",SUM($E$26:$E47))</f>
        <v/>
      </c>
    </row>
    <row r="48">
      <c r="B48" s="127">
        <f>IF(WIN_FROM+22&gt;WIN_TO,"",WIN_FROM+22)</f>
        <v/>
      </c>
      <c r="C48" s="128">
        <f>IF($B48="","",SUMIFS(Grids!$BQ$12:$EC$111,Grids!$EE$12:$GQ$111,"&gt;="&amp;$B48*1000000000,Grids!$EE$12:$GQ$111,"&lt;"&amp;($B48+1)*1000000000))</f>
        <v/>
      </c>
      <c r="D48" s="128">
        <f>IF($B48="","",SUMIFS(Grids!$BQ$116:$EC$155,Grids!$EE$116:$GQ$155,"&gt;="&amp;$B48*1000000000,Grids!$EE$116:$GQ$155,"&lt;"&amp;($B48+1)*1000000000))</f>
        <v/>
      </c>
      <c r="E48" s="128">
        <f>IF($B48="","",SUMIFS(Grids!$BQ$160:$EC$219,Grids!$EE$160:$GQ$219,"&gt;="&amp;$B48*1000000000,Grids!$EE$160:$GQ$219,"&lt;"&amp;($B48+1)*1000000000))</f>
        <v/>
      </c>
      <c r="F48" s="129">
        <f>IF($B48="","",SUM($C$26:$C48))</f>
        <v/>
      </c>
      <c r="G48" s="129">
        <f>IF($B48="","",SUM($D$26:$D48))</f>
        <v/>
      </c>
      <c r="H48" s="129">
        <f>IF($B48="","",SUM($E$26:$E48))</f>
        <v/>
      </c>
    </row>
    <row r="49">
      <c r="B49" s="127">
        <f>IF(WIN_FROM+23&gt;WIN_TO,"",WIN_FROM+23)</f>
        <v/>
      </c>
      <c r="C49" s="128">
        <f>IF($B49="","",SUMIFS(Grids!$BQ$12:$EC$111,Grids!$EE$12:$GQ$111,"&gt;="&amp;$B49*1000000000,Grids!$EE$12:$GQ$111,"&lt;"&amp;($B49+1)*1000000000))</f>
        <v/>
      </c>
      <c r="D49" s="128">
        <f>IF($B49="","",SUMIFS(Grids!$BQ$116:$EC$155,Grids!$EE$116:$GQ$155,"&gt;="&amp;$B49*1000000000,Grids!$EE$116:$GQ$155,"&lt;"&amp;($B49+1)*1000000000))</f>
        <v/>
      </c>
      <c r="E49" s="128">
        <f>IF($B49="","",SUMIFS(Grids!$BQ$160:$EC$219,Grids!$EE$160:$GQ$219,"&gt;="&amp;$B49*1000000000,Grids!$EE$160:$GQ$219,"&lt;"&amp;($B49+1)*1000000000))</f>
        <v/>
      </c>
      <c r="F49" s="129">
        <f>IF($B49="","",SUM($C$26:$C49))</f>
        <v/>
      </c>
      <c r="G49" s="129">
        <f>IF($B49="","",SUM($D$26:$D49))</f>
        <v/>
      </c>
      <c r="H49" s="129">
        <f>IF($B49="","",SUM($E$26:$E49))</f>
        <v/>
      </c>
    </row>
    <row r="50">
      <c r="B50" s="127">
        <f>IF(WIN_FROM+24&gt;WIN_TO,"",WIN_FROM+24)</f>
        <v/>
      </c>
      <c r="C50" s="128">
        <f>IF($B50="","",SUMIFS(Grids!$BQ$12:$EC$111,Grids!$EE$12:$GQ$111,"&gt;="&amp;$B50*1000000000,Grids!$EE$12:$GQ$111,"&lt;"&amp;($B50+1)*1000000000))</f>
        <v/>
      </c>
      <c r="D50" s="128">
        <f>IF($B50="","",SUMIFS(Grids!$BQ$116:$EC$155,Grids!$EE$116:$GQ$155,"&gt;="&amp;$B50*1000000000,Grids!$EE$116:$GQ$155,"&lt;"&amp;($B50+1)*1000000000))</f>
        <v/>
      </c>
      <c r="E50" s="128">
        <f>IF($B50="","",SUMIFS(Grids!$BQ$160:$EC$219,Grids!$EE$160:$GQ$219,"&gt;="&amp;$B50*1000000000,Grids!$EE$160:$GQ$219,"&lt;"&amp;($B50+1)*1000000000))</f>
        <v/>
      </c>
      <c r="F50" s="129">
        <f>IF($B50="","",SUM($C$26:$C50))</f>
        <v/>
      </c>
      <c r="G50" s="129">
        <f>IF($B50="","",SUM($D$26:$D50))</f>
        <v/>
      </c>
      <c r="H50" s="129">
        <f>IF($B50="","",SUM($E$26:$E50))</f>
        <v/>
      </c>
    </row>
    <row r="51">
      <c r="B51" s="127">
        <f>IF(WIN_FROM+25&gt;WIN_TO,"",WIN_FROM+25)</f>
        <v/>
      </c>
      <c r="C51" s="128">
        <f>IF($B51="","",SUMIFS(Grids!$BQ$12:$EC$111,Grids!$EE$12:$GQ$111,"&gt;="&amp;$B51*1000000000,Grids!$EE$12:$GQ$111,"&lt;"&amp;($B51+1)*1000000000))</f>
        <v/>
      </c>
      <c r="D51" s="128">
        <f>IF($B51="","",SUMIFS(Grids!$BQ$116:$EC$155,Grids!$EE$116:$GQ$155,"&gt;="&amp;$B51*1000000000,Grids!$EE$116:$GQ$155,"&lt;"&amp;($B51+1)*1000000000))</f>
        <v/>
      </c>
      <c r="E51" s="128">
        <f>IF($B51="","",SUMIFS(Grids!$BQ$160:$EC$219,Grids!$EE$160:$GQ$219,"&gt;="&amp;$B51*1000000000,Grids!$EE$160:$GQ$219,"&lt;"&amp;($B51+1)*1000000000))</f>
        <v/>
      </c>
      <c r="F51" s="129">
        <f>IF($B51="","",SUM($C$26:$C51))</f>
        <v/>
      </c>
      <c r="G51" s="129">
        <f>IF($B51="","",SUM($D$26:$D51))</f>
        <v/>
      </c>
      <c r="H51" s="129">
        <f>IF($B51="","",SUM($E$26:$E51))</f>
        <v/>
      </c>
    </row>
    <row r="52">
      <c r="B52" s="127">
        <f>IF(WIN_FROM+26&gt;WIN_TO,"",WIN_FROM+26)</f>
        <v/>
      </c>
      <c r="C52" s="128">
        <f>IF($B52="","",SUMIFS(Grids!$BQ$12:$EC$111,Grids!$EE$12:$GQ$111,"&gt;="&amp;$B52*1000000000,Grids!$EE$12:$GQ$111,"&lt;"&amp;($B52+1)*1000000000))</f>
        <v/>
      </c>
      <c r="D52" s="128">
        <f>IF($B52="","",SUMIFS(Grids!$BQ$116:$EC$155,Grids!$EE$116:$GQ$155,"&gt;="&amp;$B52*1000000000,Grids!$EE$116:$GQ$155,"&lt;"&amp;($B52+1)*1000000000))</f>
        <v/>
      </c>
      <c r="E52" s="128">
        <f>IF($B52="","",SUMIFS(Grids!$BQ$160:$EC$219,Grids!$EE$160:$GQ$219,"&gt;="&amp;$B52*1000000000,Grids!$EE$160:$GQ$219,"&lt;"&amp;($B52+1)*1000000000))</f>
        <v/>
      </c>
      <c r="F52" s="129">
        <f>IF($B52="","",SUM($C$26:$C52))</f>
        <v/>
      </c>
      <c r="G52" s="129">
        <f>IF($B52="","",SUM($D$26:$D52))</f>
        <v/>
      </c>
      <c r="H52" s="129">
        <f>IF($B52="","",SUM($E$26:$E52))</f>
        <v/>
      </c>
    </row>
    <row r="53">
      <c r="B53" s="127">
        <f>IF(WIN_FROM+27&gt;WIN_TO,"",WIN_FROM+27)</f>
        <v/>
      </c>
      <c r="C53" s="128">
        <f>IF($B53="","",SUMIFS(Grids!$BQ$12:$EC$111,Grids!$EE$12:$GQ$111,"&gt;="&amp;$B53*1000000000,Grids!$EE$12:$GQ$111,"&lt;"&amp;($B53+1)*1000000000))</f>
        <v/>
      </c>
      <c r="D53" s="128">
        <f>IF($B53="","",SUMIFS(Grids!$BQ$116:$EC$155,Grids!$EE$116:$GQ$155,"&gt;="&amp;$B53*1000000000,Grids!$EE$116:$GQ$155,"&lt;"&amp;($B53+1)*1000000000))</f>
        <v/>
      </c>
      <c r="E53" s="128">
        <f>IF($B53="","",SUMIFS(Grids!$BQ$160:$EC$219,Grids!$EE$160:$GQ$219,"&gt;="&amp;$B53*1000000000,Grids!$EE$160:$GQ$219,"&lt;"&amp;($B53+1)*1000000000))</f>
        <v/>
      </c>
      <c r="F53" s="129">
        <f>IF($B53="","",SUM($C$26:$C53))</f>
        <v/>
      </c>
      <c r="G53" s="129">
        <f>IF($B53="","",SUM($D$26:$D53))</f>
        <v/>
      </c>
      <c r="H53" s="129">
        <f>IF($B53="","",SUM($E$26:$E53))</f>
        <v/>
      </c>
    </row>
    <row r="54">
      <c r="B54" s="127">
        <f>IF(WIN_FROM+28&gt;WIN_TO,"",WIN_FROM+28)</f>
        <v/>
      </c>
      <c r="C54" s="128">
        <f>IF($B54="","",SUMIFS(Grids!$BQ$12:$EC$111,Grids!$EE$12:$GQ$111,"&gt;="&amp;$B54*1000000000,Grids!$EE$12:$GQ$111,"&lt;"&amp;($B54+1)*1000000000))</f>
        <v/>
      </c>
      <c r="D54" s="128">
        <f>IF($B54="","",SUMIFS(Grids!$BQ$116:$EC$155,Grids!$EE$116:$GQ$155,"&gt;="&amp;$B54*1000000000,Grids!$EE$116:$GQ$155,"&lt;"&amp;($B54+1)*1000000000))</f>
        <v/>
      </c>
      <c r="E54" s="128">
        <f>IF($B54="","",SUMIFS(Grids!$BQ$160:$EC$219,Grids!$EE$160:$GQ$219,"&gt;="&amp;$B54*1000000000,Grids!$EE$160:$GQ$219,"&lt;"&amp;($B54+1)*1000000000))</f>
        <v/>
      </c>
      <c r="F54" s="129">
        <f>IF($B54="","",SUM($C$26:$C54))</f>
        <v/>
      </c>
      <c r="G54" s="129">
        <f>IF($B54="","",SUM($D$26:$D54))</f>
        <v/>
      </c>
      <c r="H54" s="129">
        <f>IF($B54="","",SUM($E$26:$E54))</f>
        <v/>
      </c>
    </row>
    <row r="55">
      <c r="B55" s="127">
        <f>IF(WIN_FROM+29&gt;WIN_TO,"",WIN_FROM+29)</f>
        <v/>
      </c>
      <c r="C55" s="128">
        <f>IF($B55="","",SUMIFS(Grids!$BQ$12:$EC$111,Grids!$EE$12:$GQ$111,"&gt;="&amp;$B55*1000000000,Grids!$EE$12:$GQ$111,"&lt;"&amp;($B55+1)*1000000000))</f>
        <v/>
      </c>
      <c r="D55" s="128">
        <f>IF($B55="","",SUMIFS(Grids!$BQ$116:$EC$155,Grids!$EE$116:$GQ$155,"&gt;="&amp;$B55*1000000000,Grids!$EE$116:$GQ$155,"&lt;"&amp;($B55+1)*1000000000))</f>
        <v/>
      </c>
      <c r="E55" s="128">
        <f>IF($B55="","",SUMIFS(Grids!$BQ$160:$EC$219,Grids!$EE$160:$GQ$219,"&gt;="&amp;$B55*1000000000,Grids!$EE$160:$GQ$219,"&lt;"&amp;($B55+1)*1000000000))</f>
        <v/>
      </c>
      <c r="F55" s="129">
        <f>IF($B55="","",SUM($C$26:$C55))</f>
        <v/>
      </c>
      <c r="G55" s="129">
        <f>IF($B55="","",SUM($D$26:$D55))</f>
        <v/>
      </c>
      <c r="H55" s="129">
        <f>IF($B55="","",SUM($E$26:$E55))</f>
        <v/>
      </c>
    </row>
    <row r="56">
      <c r="B56" s="127">
        <f>IF(WIN_FROM+30&gt;WIN_TO,"",WIN_FROM+30)</f>
        <v/>
      </c>
      <c r="C56" s="128">
        <f>IF($B56="","",SUMIFS(Grids!$BQ$12:$EC$111,Grids!$EE$12:$GQ$111,"&gt;="&amp;$B56*1000000000,Grids!$EE$12:$GQ$111,"&lt;"&amp;($B56+1)*1000000000))</f>
        <v/>
      </c>
      <c r="D56" s="128">
        <f>IF($B56="","",SUMIFS(Grids!$BQ$116:$EC$155,Grids!$EE$116:$GQ$155,"&gt;="&amp;$B56*1000000000,Grids!$EE$116:$GQ$155,"&lt;"&amp;($B56+1)*1000000000))</f>
        <v/>
      </c>
      <c r="E56" s="128">
        <f>IF($B56="","",SUMIFS(Grids!$BQ$160:$EC$219,Grids!$EE$160:$GQ$219,"&gt;="&amp;$B56*1000000000,Grids!$EE$160:$GQ$219,"&lt;"&amp;($B56+1)*1000000000))</f>
        <v/>
      </c>
      <c r="F56" s="129">
        <f>IF($B56="","",SUM($C$26:$C56))</f>
        <v/>
      </c>
      <c r="G56" s="129">
        <f>IF($B56="","",SUM($D$26:$D56))</f>
        <v/>
      </c>
      <c r="H56" s="129">
        <f>IF($B56="","",SUM($E$26:$E56))</f>
        <v/>
      </c>
    </row>
    <row r="57">
      <c r="B57" s="127">
        <f>IF(WIN_FROM+31&gt;WIN_TO,"",WIN_FROM+31)</f>
        <v/>
      </c>
      <c r="C57" s="128">
        <f>IF($B57="","",SUMIFS(Grids!$BQ$12:$EC$111,Grids!$EE$12:$GQ$111,"&gt;="&amp;$B57*1000000000,Grids!$EE$12:$GQ$111,"&lt;"&amp;($B57+1)*1000000000))</f>
        <v/>
      </c>
      <c r="D57" s="128">
        <f>IF($B57="","",SUMIFS(Grids!$BQ$116:$EC$155,Grids!$EE$116:$GQ$155,"&gt;="&amp;$B57*1000000000,Grids!$EE$116:$GQ$155,"&lt;"&amp;($B57+1)*1000000000))</f>
        <v/>
      </c>
      <c r="E57" s="128">
        <f>IF($B57="","",SUMIFS(Grids!$BQ$160:$EC$219,Grids!$EE$160:$GQ$219,"&gt;="&amp;$B57*1000000000,Grids!$EE$160:$GQ$219,"&lt;"&amp;($B57+1)*1000000000))</f>
        <v/>
      </c>
      <c r="F57" s="129">
        <f>IF($B57="","",SUM($C$26:$C57))</f>
        <v/>
      </c>
      <c r="G57" s="129">
        <f>IF($B57="","",SUM($D$26:$D57))</f>
        <v/>
      </c>
      <c r="H57" s="129">
        <f>IF($B57="","",SUM($E$26:$E57))</f>
        <v/>
      </c>
    </row>
    <row r="58">
      <c r="B58" s="127">
        <f>IF(WIN_FROM+32&gt;WIN_TO,"",WIN_FROM+32)</f>
        <v/>
      </c>
      <c r="C58" s="128">
        <f>IF($B58="","",SUMIFS(Grids!$BQ$12:$EC$111,Grids!$EE$12:$GQ$111,"&gt;="&amp;$B58*1000000000,Grids!$EE$12:$GQ$111,"&lt;"&amp;($B58+1)*1000000000))</f>
        <v/>
      </c>
      <c r="D58" s="128">
        <f>IF($B58="","",SUMIFS(Grids!$BQ$116:$EC$155,Grids!$EE$116:$GQ$155,"&gt;="&amp;$B58*1000000000,Grids!$EE$116:$GQ$155,"&lt;"&amp;($B58+1)*1000000000))</f>
        <v/>
      </c>
      <c r="E58" s="128">
        <f>IF($B58="","",SUMIFS(Grids!$BQ$160:$EC$219,Grids!$EE$160:$GQ$219,"&gt;="&amp;$B58*1000000000,Grids!$EE$160:$GQ$219,"&lt;"&amp;($B58+1)*1000000000))</f>
        <v/>
      </c>
      <c r="F58" s="129">
        <f>IF($B58="","",SUM($C$26:$C58))</f>
        <v/>
      </c>
      <c r="G58" s="129">
        <f>IF($B58="","",SUM($D$26:$D58))</f>
        <v/>
      </c>
      <c r="H58" s="129">
        <f>IF($B58="","",SUM($E$26:$E58))</f>
        <v/>
      </c>
    </row>
    <row r="59">
      <c r="B59" s="127">
        <f>IF(WIN_FROM+33&gt;WIN_TO,"",WIN_FROM+33)</f>
        <v/>
      </c>
      <c r="C59" s="128">
        <f>IF($B59="","",SUMIFS(Grids!$BQ$12:$EC$111,Grids!$EE$12:$GQ$111,"&gt;="&amp;$B59*1000000000,Grids!$EE$12:$GQ$111,"&lt;"&amp;($B59+1)*1000000000))</f>
        <v/>
      </c>
      <c r="D59" s="128">
        <f>IF($B59="","",SUMIFS(Grids!$BQ$116:$EC$155,Grids!$EE$116:$GQ$155,"&gt;="&amp;$B59*1000000000,Grids!$EE$116:$GQ$155,"&lt;"&amp;($B59+1)*1000000000))</f>
        <v/>
      </c>
      <c r="E59" s="128">
        <f>IF($B59="","",SUMIFS(Grids!$BQ$160:$EC$219,Grids!$EE$160:$GQ$219,"&gt;="&amp;$B59*1000000000,Grids!$EE$160:$GQ$219,"&lt;"&amp;($B59+1)*1000000000))</f>
        <v/>
      </c>
      <c r="F59" s="129">
        <f>IF($B59="","",SUM($C$26:$C59))</f>
        <v/>
      </c>
      <c r="G59" s="129">
        <f>IF($B59="","",SUM($D$26:$D59))</f>
        <v/>
      </c>
      <c r="H59" s="129">
        <f>IF($B59="","",SUM($E$26:$E59))</f>
        <v/>
      </c>
    </row>
    <row r="60">
      <c r="B60" s="127">
        <f>IF(WIN_FROM+34&gt;WIN_TO,"",WIN_FROM+34)</f>
        <v/>
      </c>
      <c r="C60" s="128">
        <f>IF($B60="","",SUMIFS(Grids!$BQ$12:$EC$111,Grids!$EE$12:$GQ$111,"&gt;="&amp;$B60*1000000000,Grids!$EE$12:$GQ$111,"&lt;"&amp;($B60+1)*1000000000))</f>
        <v/>
      </c>
      <c r="D60" s="128">
        <f>IF($B60="","",SUMIFS(Grids!$BQ$116:$EC$155,Grids!$EE$116:$GQ$155,"&gt;="&amp;$B60*1000000000,Grids!$EE$116:$GQ$155,"&lt;"&amp;($B60+1)*1000000000))</f>
        <v/>
      </c>
      <c r="E60" s="128">
        <f>IF($B60="","",SUMIFS(Grids!$BQ$160:$EC$219,Grids!$EE$160:$GQ$219,"&gt;="&amp;$B60*1000000000,Grids!$EE$160:$GQ$219,"&lt;"&amp;($B60+1)*1000000000))</f>
        <v/>
      </c>
      <c r="F60" s="129">
        <f>IF($B60="","",SUM($C$26:$C60))</f>
        <v/>
      </c>
      <c r="G60" s="129">
        <f>IF($B60="","",SUM($D$26:$D60))</f>
        <v/>
      </c>
      <c r="H60" s="129">
        <f>IF($B60="","",SUM($E$26:$E60))</f>
        <v/>
      </c>
    </row>
    <row r="61">
      <c r="B61" s="127">
        <f>IF(WIN_FROM+35&gt;WIN_TO,"",WIN_FROM+35)</f>
        <v/>
      </c>
      <c r="C61" s="128">
        <f>IF($B61="","",SUMIFS(Grids!$BQ$12:$EC$111,Grids!$EE$12:$GQ$111,"&gt;="&amp;$B61*1000000000,Grids!$EE$12:$GQ$111,"&lt;"&amp;($B61+1)*1000000000))</f>
        <v/>
      </c>
      <c r="D61" s="128">
        <f>IF($B61="","",SUMIFS(Grids!$BQ$116:$EC$155,Grids!$EE$116:$GQ$155,"&gt;="&amp;$B61*1000000000,Grids!$EE$116:$GQ$155,"&lt;"&amp;($B61+1)*1000000000))</f>
        <v/>
      </c>
      <c r="E61" s="128">
        <f>IF($B61="","",SUMIFS(Grids!$BQ$160:$EC$219,Grids!$EE$160:$GQ$219,"&gt;="&amp;$B61*1000000000,Grids!$EE$160:$GQ$219,"&lt;"&amp;($B61+1)*1000000000))</f>
        <v/>
      </c>
      <c r="F61" s="129">
        <f>IF($B61="","",SUM($C$26:$C61))</f>
        <v/>
      </c>
      <c r="G61" s="129">
        <f>IF($B61="","",SUM($D$26:$D61))</f>
        <v/>
      </c>
      <c r="H61" s="129">
        <f>IF($B61="","",SUM($E$26:$E61))</f>
        <v/>
      </c>
    </row>
    <row r="62">
      <c r="B62" s="127">
        <f>IF(WIN_FROM+36&gt;WIN_TO,"",WIN_FROM+36)</f>
        <v/>
      </c>
      <c r="C62" s="128">
        <f>IF($B62="","",SUMIFS(Grids!$BQ$12:$EC$111,Grids!$EE$12:$GQ$111,"&gt;="&amp;$B62*1000000000,Grids!$EE$12:$GQ$111,"&lt;"&amp;($B62+1)*1000000000))</f>
        <v/>
      </c>
      <c r="D62" s="128">
        <f>IF($B62="","",SUMIFS(Grids!$BQ$116:$EC$155,Grids!$EE$116:$GQ$155,"&gt;="&amp;$B62*1000000000,Grids!$EE$116:$GQ$155,"&lt;"&amp;($B62+1)*1000000000))</f>
        <v/>
      </c>
      <c r="E62" s="128">
        <f>IF($B62="","",SUMIFS(Grids!$BQ$160:$EC$219,Grids!$EE$160:$GQ$219,"&gt;="&amp;$B62*1000000000,Grids!$EE$160:$GQ$219,"&lt;"&amp;($B62+1)*1000000000))</f>
        <v/>
      </c>
      <c r="F62" s="129">
        <f>IF($B62="","",SUM($C$26:$C62))</f>
        <v/>
      </c>
      <c r="G62" s="129">
        <f>IF($B62="","",SUM($D$26:$D62))</f>
        <v/>
      </c>
      <c r="H62" s="129">
        <f>IF($B62="","",SUM($E$26:$E62))</f>
        <v/>
      </c>
    </row>
    <row r="63">
      <c r="B63" s="127">
        <f>IF(WIN_FROM+37&gt;WIN_TO,"",WIN_FROM+37)</f>
        <v/>
      </c>
      <c r="C63" s="128">
        <f>IF($B63="","",SUMIFS(Grids!$BQ$12:$EC$111,Grids!$EE$12:$GQ$111,"&gt;="&amp;$B63*1000000000,Grids!$EE$12:$GQ$111,"&lt;"&amp;($B63+1)*1000000000))</f>
        <v/>
      </c>
      <c r="D63" s="128">
        <f>IF($B63="","",SUMIFS(Grids!$BQ$116:$EC$155,Grids!$EE$116:$GQ$155,"&gt;="&amp;$B63*1000000000,Grids!$EE$116:$GQ$155,"&lt;"&amp;($B63+1)*1000000000))</f>
        <v/>
      </c>
      <c r="E63" s="128">
        <f>IF($B63="","",SUMIFS(Grids!$BQ$160:$EC$219,Grids!$EE$160:$GQ$219,"&gt;="&amp;$B63*1000000000,Grids!$EE$160:$GQ$219,"&lt;"&amp;($B63+1)*1000000000))</f>
        <v/>
      </c>
      <c r="F63" s="129">
        <f>IF($B63="","",SUM($C$26:$C63))</f>
        <v/>
      </c>
      <c r="G63" s="129">
        <f>IF($B63="","",SUM($D$26:$D63))</f>
        <v/>
      </c>
      <c r="H63" s="129">
        <f>IF($B63="","",SUM($E$26:$E63))</f>
        <v/>
      </c>
    </row>
    <row r="64">
      <c r="B64" s="127">
        <f>IF(WIN_FROM+38&gt;WIN_TO,"",WIN_FROM+38)</f>
        <v/>
      </c>
      <c r="C64" s="128">
        <f>IF($B64="","",SUMIFS(Grids!$BQ$12:$EC$111,Grids!$EE$12:$GQ$111,"&gt;="&amp;$B64*1000000000,Grids!$EE$12:$GQ$111,"&lt;"&amp;($B64+1)*1000000000))</f>
        <v/>
      </c>
      <c r="D64" s="128">
        <f>IF($B64="","",SUMIFS(Grids!$BQ$116:$EC$155,Grids!$EE$116:$GQ$155,"&gt;="&amp;$B64*1000000000,Grids!$EE$116:$GQ$155,"&lt;"&amp;($B64+1)*1000000000))</f>
        <v/>
      </c>
      <c r="E64" s="128">
        <f>IF($B64="","",SUMIFS(Grids!$BQ$160:$EC$219,Grids!$EE$160:$GQ$219,"&gt;="&amp;$B64*1000000000,Grids!$EE$160:$GQ$219,"&lt;"&amp;($B64+1)*1000000000))</f>
        <v/>
      </c>
      <c r="F64" s="129">
        <f>IF($B64="","",SUM($C$26:$C64))</f>
        <v/>
      </c>
      <c r="G64" s="129">
        <f>IF($B64="","",SUM($D$26:$D64))</f>
        <v/>
      </c>
      <c r="H64" s="129">
        <f>IF($B64="","",SUM($E$26:$E64))</f>
        <v/>
      </c>
    </row>
    <row r="65">
      <c r="B65" s="127">
        <f>IF(WIN_FROM+39&gt;WIN_TO,"",WIN_FROM+39)</f>
        <v/>
      </c>
      <c r="C65" s="128">
        <f>IF($B65="","",SUMIFS(Grids!$BQ$12:$EC$111,Grids!$EE$12:$GQ$111,"&gt;="&amp;$B65*1000000000,Grids!$EE$12:$GQ$111,"&lt;"&amp;($B65+1)*1000000000))</f>
        <v/>
      </c>
      <c r="D65" s="128">
        <f>IF($B65="","",SUMIFS(Grids!$BQ$116:$EC$155,Grids!$EE$116:$GQ$155,"&gt;="&amp;$B65*1000000000,Grids!$EE$116:$GQ$155,"&lt;"&amp;($B65+1)*1000000000))</f>
        <v/>
      </c>
      <c r="E65" s="128">
        <f>IF($B65="","",SUMIFS(Grids!$BQ$160:$EC$219,Grids!$EE$160:$GQ$219,"&gt;="&amp;$B65*1000000000,Grids!$EE$160:$GQ$219,"&lt;"&amp;($B65+1)*1000000000))</f>
        <v/>
      </c>
      <c r="F65" s="129">
        <f>IF($B65="","",SUM($C$26:$C65))</f>
        <v/>
      </c>
      <c r="G65" s="129">
        <f>IF($B65="","",SUM($D$26:$D65))</f>
        <v/>
      </c>
      <c r="H65" s="129">
        <f>IF($B65="","",SUM($E$26:$E65))</f>
        <v/>
      </c>
    </row>
    <row r="66">
      <c r="B66" s="127">
        <f>IF(WIN_FROM+40&gt;WIN_TO,"",WIN_FROM+40)</f>
        <v/>
      </c>
      <c r="C66" s="128">
        <f>IF($B66="","",SUMIFS(Grids!$BQ$12:$EC$111,Grids!$EE$12:$GQ$111,"&gt;="&amp;$B66*1000000000,Grids!$EE$12:$GQ$111,"&lt;"&amp;($B66+1)*1000000000))</f>
        <v/>
      </c>
      <c r="D66" s="128">
        <f>IF($B66="","",SUMIFS(Grids!$BQ$116:$EC$155,Grids!$EE$116:$GQ$155,"&gt;="&amp;$B66*1000000000,Grids!$EE$116:$GQ$155,"&lt;"&amp;($B66+1)*1000000000))</f>
        <v/>
      </c>
      <c r="E66" s="128">
        <f>IF($B66="","",SUMIFS(Grids!$BQ$160:$EC$219,Grids!$EE$160:$GQ$219,"&gt;="&amp;$B66*1000000000,Grids!$EE$160:$GQ$219,"&lt;"&amp;($B66+1)*1000000000))</f>
        <v/>
      </c>
      <c r="F66" s="129">
        <f>IF($B66="","",SUM($C$26:$C66))</f>
        <v/>
      </c>
      <c r="G66" s="129">
        <f>IF($B66="","",SUM($D$26:$D66))</f>
        <v/>
      </c>
      <c r="H66" s="129">
        <f>IF($B66="","",SUM($E$26:$E66))</f>
        <v/>
      </c>
    </row>
    <row r="67">
      <c r="B67" s="127">
        <f>IF(WIN_FROM+41&gt;WIN_TO,"",WIN_FROM+41)</f>
        <v/>
      </c>
      <c r="C67" s="128">
        <f>IF($B67="","",SUMIFS(Grids!$BQ$12:$EC$111,Grids!$EE$12:$GQ$111,"&gt;="&amp;$B67*1000000000,Grids!$EE$12:$GQ$111,"&lt;"&amp;($B67+1)*1000000000))</f>
        <v/>
      </c>
      <c r="D67" s="128">
        <f>IF($B67="","",SUMIFS(Grids!$BQ$116:$EC$155,Grids!$EE$116:$GQ$155,"&gt;="&amp;$B67*1000000000,Grids!$EE$116:$GQ$155,"&lt;"&amp;($B67+1)*1000000000))</f>
        <v/>
      </c>
      <c r="E67" s="128">
        <f>IF($B67="","",SUMIFS(Grids!$BQ$160:$EC$219,Grids!$EE$160:$GQ$219,"&gt;="&amp;$B67*1000000000,Grids!$EE$160:$GQ$219,"&lt;"&amp;($B67+1)*1000000000))</f>
        <v/>
      </c>
      <c r="F67" s="129">
        <f>IF($B67="","",SUM($C$26:$C67))</f>
        <v/>
      </c>
      <c r="G67" s="129">
        <f>IF($B67="","",SUM($D$26:$D67))</f>
        <v/>
      </c>
      <c r="H67" s="129">
        <f>IF($B67="","",SUM($E$26:$E67))</f>
        <v/>
      </c>
    </row>
    <row r="68">
      <c r="B68" s="127">
        <f>IF(WIN_FROM+42&gt;WIN_TO,"",WIN_FROM+42)</f>
        <v/>
      </c>
      <c r="C68" s="128">
        <f>IF($B68="","",SUMIFS(Grids!$BQ$12:$EC$111,Grids!$EE$12:$GQ$111,"&gt;="&amp;$B68*1000000000,Grids!$EE$12:$GQ$111,"&lt;"&amp;($B68+1)*1000000000))</f>
        <v/>
      </c>
      <c r="D68" s="128">
        <f>IF($B68="","",SUMIFS(Grids!$BQ$116:$EC$155,Grids!$EE$116:$GQ$155,"&gt;="&amp;$B68*1000000000,Grids!$EE$116:$GQ$155,"&lt;"&amp;($B68+1)*1000000000))</f>
        <v/>
      </c>
      <c r="E68" s="128">
        <f>IF($B68="","",SUMIFS(Grids!$BQ$160:$EC$219,Grids!$EE$160:$GQ$219,"&gt;="&amp;$B68*1000000000,Grids!$EE$160:$GQ$219,"&lt;"&amp;($B68+1)*1000000000))</f>
        <v/>
      </c>
      <c r="F68" s="129">
        <f>IF($B68="","",SUM($C$26:$C68))</f>
        <v/>
      </c>
      <c r="G68" s="129">
        <f>IF($B68="","",SUM($D$26:$D68))</f>
        <v/>
      </c>
      <c r="H68" s="129">
        <f>IF($B68="","",SUM($E$26:$E68))</f>
        <v/>
      </c>
    </row>
    <row r="69">
      <c r="B69" s="127">
        <f>IF(WIN_FROM+43&gt;WIN_TO,"",WIN_FROM+43)</f>
        <v/>
      </c>
      <c r="C69" s="128">
        <f>IF($B69="","",SUMIFS(Grids!$BQ$12:$EC$111,Grids!$EE$12:$GQ$111,"&gt;="&amp;$B69*1000000000,Grids!$EE$12:$GQ$111,"&lt;"&amp;($B69+1)*1000000000))</f>
        <v/>
      </c>
      <c r="D69" s="128">
        <f>IF($B69="","",SUMIFS(Grids!$BQ$116:$EC$155,Grids!$EE$116:$GQ$155,"&gt;="&amp;$B69*1000000000,Grids!$EE$116:$GQ$155,"&lt;"&amp;($B69+1)*1000000000))</f>
        <v/>
      </c>
      <c r="E69" s="128">
        <f>IF($B69="","",SUMIFS(Grids!$BQ$160:$EC$219,Grids!$EE$160:$GQ$219,"&gt;="&amp;$B69*1000000000,Grids!$EE$160:$GQ$219,"&lt;"&amp;($B69+1)*1000000000))</f>
        <v/>
      </c>
      <c r="F69" s="129">
        <f>IF($B69="","",SUM($C$26:$C69))</f>
        <v/>
      </c>
      <c r="G69" s="129">
        <f>IF($B69="","",SUM($D$26:$D69))</f>
        <v/>
      </c>
      <c r="H69" s="129">
        <f>IF($B69="","",SUM($E$26:$E69))</f>
        <v/>
      </c>
    </row>
    <row r="70">
      <c r="B70" s="127">
        <f>IF(WIN_FROM+44&gt;WIN_TO,"",WIN_FROM+44)</f>
        <v/>
      </c>
      <c r="C70" s="128">
        <f>IF($B70="","",SUMIFS(Grids!$BQ$12:$EC$111,Grids!$EE$12:$GQ$111,"&gt;="&amp;$B70*1000000000,Grids!$EE$12:$GQ$111,"&lt;"&amp;($B70+1)*1000000000))</f>
        <v/>
      </c>
      <c r="D70" s="128">
        <f>IF($B70="","",SUMIFS(Grids!$BQ$116:$EC$155,Grids!$EE$116:$GQ$155,"&gt;="&amp;$B70*1000000000,Grids!$EE$116:$GQ$155,"&lt;"&amp;($B70+1)*1000000000))</f>
        <v/>
      </c>
      <c r="E70" s="128">
        <f>IF($B70="","",SUMIFS(Grids!$BQ$160:$EC$219,Grids!$EE$160:$GQ$219,"&gt;="&amp;$B70*1000000000,Grids!$EE$160:$GQ$219,"&lt;"&amp;($B70+1)*1000000000))</f>
        <v/>
      </c>
      <c r="F70" s="129">
        <f>IF($B70="","",SUM($C$26:$C70))</f>
        <v/>
      </c>
      <c r="G70" s="129">
        <f>IF($B70="","",SUM($D$26:$D70))</f>
        <v/>
      </c>
      <c r="H70" s="129">
        <f>IF($B70="","",SUM($E$26:$E70))</f>
        <v/>
      </c>
    </row>
    <row r="71">
      <c r="B71" s="127">
        <f>IF(WIN_FROM+45&gt;WIN_TO,"",WIN_FROM+45)</f>
        <v/>
      </c>
      <c r="C71" s="128">
        <f>IF($B71="","",SUMIFS(Grids!$BQ$12:$EC$111,Grids!$EE$12:$GQ$111,"&gt;="&amp;$B71*1000000000,Grids!$EE$12:$GQ$111,"&lt;"&amp;($B71+1)*1000000000))</f>
        <v/>
      </c>
      <c r="D71" s="128">
        <f>IF($B71="","",SUMIFS(Grids!$BQ$116:$EC$155,Grids!$EE$116:$GQ$155,"&gt;="&amp;$B71*1000000000,Grids!$EE$116:$GQ$155,"&lt;"&amp;($B71+1)*1000000000))</f>
        <v/>
      </c>
      <c r="E71" s="128">
        <f>IF($B71="","",SUMIFS(Grids!$BQ$160:$EC$219,Grids!$EE$160:$GQ$219,"&gt;="&amp;$B71*1000000000,Grids!$EE$160:$GQ$219,"&lt;"&amp;($B71+1)*1000000000))</f>
        <v/>
      </c>
      <c r="F71" s="129">
        <f>IF($B71="","",SUM($C$26:$C71))</f>
        <v/>
      </c>
      <c r="G71" s="129">
        <f>IF($B71="","",SUM($D$26:$D71))</f>
        <v/>
      </c>
      <c r="H71" s="129">
        <f>IF($B71="","",SUM($E$26:$E71))</f>
        <v/>
      </c>
    </row>
    <row r="72">
      <c r="B72" s="127">
        <f>IF(WIN_FROM+46&gt;WIN_TO,"",WIN_FROM+46)</f>
        <v/>
      </c>
      <c r="C72" s="128">
        <f>IF($B72="","",SUMIFS(Grids!$BQ$12:$EC$111,Grids!$EE$12:$GQ$111,"&gt;="&amp;$B72*1000000000,Grids!$EE$12:$GQ$111,"&lt;"&amp;($B72+1)*1000000000))</f>
        <v/>
      </c>
      <c r="D72" s="128">
        <f>IF($B72="","",SUMIFS(Grids!$BQ$116:$EC$155,Grids!$EE$116:$GQ$155,"&gt;="&amp;$B72*1000000000,Grids!$EE$116:$GQ$155,"&lt;"&amp;($B72+1)*1000000000))</f>
        <v/>
      </c>
      <c r="E72" s="128">
        <f>IF($B72="","",SUMIFS(Grids!$BQ$160:$EC$219,Grids!$EE$160:$GQ$219,"&gt;="&amp;$B72*1000000000,Grids!$EE$160:$GQ$219,"&lt;"&amp;($B72+1)*1000000000))</f>
        <v/>
      </c>
      <c r="F72" s="129">
        <f>IF($B72="","",SUM($C$26:$C72))</f>
        <v/>
      </c>
      <c r="G72" s="129">
        <f>IF($B72="","",SUM($D$26:$D72))</f>
        <v/>
      </c>
      <c r="H72" s="129">
        <f>IF($B72="","",SUM($E$26:$E72))</f>
        <v/>
      </c>
    </row>
    <row r="73">
      <c r="B73" s="127">
        <f>IF(WIN_FROM+47&gt;WIN_TO,"",WIN_FROM+47)</f>
        <v/>
      </c>
      <c r="C73" s="128">
        <f>IF($B73="","",SUMIFS(Grids!$BQ$12:$EC$111,Grids!$EE$12:$GQ$111,"&gt;="&amp;$B73*1000000000,Grids!$EE$12:$GQ$111,"&lt;"&amp;($B73+1)*1000000000))</f>
        <v/>
      </c>
      <c r="D73" s="128">
        <f>IF($B73="","",SUMIFS(Grids!$BQ$116:$EC$155,Grids!$EE$116:$GQ$155,"&gt;="&amp;$B73*1000000000,Grids!$EE$116:$GQ$155,"&lt;"&amp;($B73+1)*1000000000))</f>
        <v/>
      </c>
      <c r="E73" s="128">
        <f>IF($B73="","",SUMIFS(Grids!$BQ$160:$EC$219,Grids!$EE$160:$GQ$219,"&gt;="&amp;$B73*1000000000,Grids!$EE$160:$GQ$219,"&lt;"&amp;($B73+1)*1000000000))</f>
        <v/>
      </c>
      <c r="F73" s="129">
        <f>IF($B73="","",SUM($C$26:$C73))</f>
        <v/>
      </c>
      <c r="G73" s="129">
        <f>IF($B73="","",SUM($D$26:$D73))</f>
        <v/>
      </c>
      <c r="H73" s="129">
        <f>IF($B73="","",SUM($E$26:$E73))</f>
        <v/>
      </c>
    </row>
    <row r="74">
      <c r="B74" s="127">
        <f>IF(WIN_FROM+48&gt;WIN_TO,"",WIN_FROM+48)</f>
        <v/>
      </c>
      <c r="C74" s="128">
        <f>IF($B74="","",SUMIFS(Grids!$BQ$12:$EC$111,Grids!$EE$12:$GQ$111,"&gt;="&amp;$B74*1000000000,Grids!$EE$12:$GQ$111,"&lt;"&amp;($B74+1)*1000000000))</f>
        <v/>
      </c>
      <c r="D74" s="128">
        <f>IF($B74="","",SUMIFS(Grids!$BQ$116:$EC$155,Grids!$EE$116:$GQ$155,"&gt;="&amp;$B74*1000000000,Grids!$EE$116:$GQ$155,"&lt;"&amp;($B74+1)*1000000000))</f>
        <v/>
      </c>
      <c r="E74" s="128">
        <f>IF($B74="","",SUMIFS(Grids!$BQ$160:$EC$219,Grids!$EE$160:$GQ$219,"&gt;="&amp;$B74*1000000000,Grids!$EE$160:$GQ$219,"&lt;"&amp;($B74+1)*1000000000))</f>
        <v/>
      </c>
      <c r="F74" s="129">
        <f>IF($B74="","",SUM($C$26:$C74))</f>
        <v/>
      </c>
      <c r="G74" s="129">
        <f>IF($B74="","",SUM($D$26:$D74))</f>
        <v/>
      </c>
      <c r="H74" s="129">
        <f>IF($B74="","",SUM($E$26:$E74))</f>
        <v/>
      </c>
    </row>
    <row r="75">
      <c r="B75" s="127">
        <f>IF(WIN_FROM+49&gt;WIN_TO,"",WIN_FROM+49)</f>
        <v/>
      </c>
      <c r="C75" s="128">
        <f>IF($B75="","",SUMIFS(Grids!$BQ$12:$EC$111,Grids!$EE$12:$GQ$111,"&gt;="&amp;$B75*1000000000,Grids!$EE$12:$GQ$111,"&lt;"&amp;($B75+1)*1000000000))</f>
        <v/>
      </c>
      <c r="D75" s="128">
        <f>IF($B75="","",SUMIFS(Grids!$BQ$116:$EC$155,Grids!$EE$116:$GQ$155,"&gt;="&amp;$B75*1000000000,Grids!$EE$116:$GQ$155,"&lt;"&amp;($B75+1)*1000000000))</f>
        <v/>
      </c>
      <c r="E75" s="128">
        <f>IF($B75="","",SUMIFS(Grids!$BQ$160:$EC$219,Grids!$EE$160:$GQ$219,"&gt;="&amp;$B75*1000000000,Grids!$EE$160:$GQ$219,"&lt;"&amp;($B75+1)*1000000000))</f>
        <v/>
      </c>
      <c r="F75" s="129">
        <f>IF($B75="","",SUM($C$26:$C75))</f>
        <v/>
      </c>
      <c r="G75" s="129">
        <f>IF($B75="","",SUM($D$26:$D75))</f>
        <v/>
      </c>
      <c r="H75" s="129">
        <f>IF($B75="","",SUM($E$26:$E75))</f>
        <v/>
      </c>
    </row>
    <row r="76">
      <c r="B76" s="127">
        <f>IF(WIN_FROM+50&gt;WIN_TO,"",WIN_FROM+50)</f>
        <v/>
      </c>
      <c r="C76" s="128">
        <f>IF($B76="","",SUMIFS(Grids!$BQ$12:$EC$111,Grids!$EE$12:$GQ$111,"&gt;="&amp;$B76*1000000000,Grids!$EE$12:$GQ$111,"&lt;"&amp;($B76+1)*1000000000))</f>
        <v/>
      </c>
      <c r="D76" s="128">
        <f>IF($B76="","",SUMIFS(Grids!$BQ$116:$EC$155,Grids!$EE$116:$GQ$155,"&gt;="&amp;$B76*1000000000,Grids!$EE$116:$GQ$155,"&lt;"&amp;($B76+1)*1000000000))</f>
        <v/>
      </c>
      <c r="E76" s="128">
        <f>IF($B76="","",SUMIFS(Grids!$BQ$160:$EC$219,Grids!$EE$160:$GQ$219,"&gt;="&amp;$B76*1000000000,Grids!$EE$160:$GQ$219,"&lt;"&amp;($B76+1)*1000000000))</f>
        <v/>
      </c>
      <c r="F76" s="129">
        <f>IF($B76="","",SUM($C$26:$C76))</f>
        <v/>
      </c>
      <c r="G76" s="129">
        <f>IF($B76="","",SUM($D$26:$D76))</f>
        <v/>
      </c>
      <c r="H76" s="129">
        <f>IF($B76="","",SUM($E$26:$E76))</f>
        <v/>
      </c>
    </row>
    <row r="77">
      <c r="B77" s="127">
        <f>IF(WIN_FROM+51&gt;WIN_TO,"",WIN_FROM+51)</f>
        <v/>
      </c>
      <c r="C77" s="128">
        <f>IF($B77="","",SUMIFS(Grids!$BQ$12:$EC$111,Grids!$EE$12:$GQ$111,"&gt;="&amp;$B77*1000000000,Grids!$EE$12:$GQ$111,"&lt;"&amp;($B77+1)*1000000000))</f>
        <v/>
      </c>
      <c r="D77" s="128">
        <f>IF($B77="","",SUMIFS(Grids!$BQ$116:$EC$155,Grids!$EE$116:$GQ$155,"&gt;="&amp;$B77*1000000000,Grids!$EE$116:$GQ$155,"&lt;"&amp;($B77+1)*1000000000))</f>
        <v/>
      </c>
      <c r="E77" s="128">
        <f>IF($B77="","",SUMIFS(Grids!$BQ$160:$EC$219,Grids!$EE$160:$GQ$219,"&gt;="&amp;$B77*1000000000,Grids!$EE$160:$GQ$219,"&lt;"&amp;($B77+1)*1000000000))</f>
        <v/>
      </c>
      <c r="F77" s="129">
        <f>IF($B77="","",SUM($C$26:$C77))</f>
        <v/>
      </c>
      <c r="G77" s="129">
        <f>IF($B77="","",SUM($D$26:$D77))</f>
        <v/>
      </c>
      <c r="H77" s="129">
        <f>IF($B77="","",SUM($E$26:$E77))</f>
        <v/>
      </c>
    </row>
    <row r="78">
      <c r="B78" s="127">
        <f>IF(WIN_FROM+52&gt;WIN_TO,"",WIN_FROM+52)</f>
        <v/>
      </c>
      <c r="C78" s="128">
        <f>IF($B78="","",SUMIFS(Grids!$BQ$12:$EC$111,Grids!$EE$12:$GQ$111,"&gt;="&amp;$B78*1000000000,Grids!$EE$12:$GQ$111,"&lt;"&amp;($B78+1)*1000000000))</f>
        <v/>
      </c>
      <c r="D78" s="128">
        <f>IF($B78="","",SUMIFS(Grids!$BQ$116:$EC$155,Grids!$EE$116:$GQ$155,"&gt;="&amp;$B78*1000000000,Grids!$EE$116:$GQ$155,"&lt;"&amp;($B78+1)*1000000000))</f>
        <v/>
      </c>
      <c r="E78" s="128">
        <f>IF($B78="","",SUMIFS(Grids!$BQ$160:$EC$219,Grids!$EE$160:$GQ$219,"&gt;="&amp;$B78*1000000000,Grids!$EE$160:$GQ$219,"&lt;"&amp;($B78+1)*1000000000))</f>
        <v/>
      </c>
      <c r="F78" s="129">
        <f>IF($B78="","",SUM($C$26:$C78))</f>
        <v/>
      </c>
      <c r="G78" s="129">
        <f>IF($B78="","",SUM($D$26:$D78))</f>
        <v/>
      </c>
      <c r="H78" s="129">
        <f>IF($B78="","",SUM($E$26:$E78))</f>
        <v/>
      </c>
    </row>
    <row r="79">
      <c r="B79" s="127">
        <f>IF(WIN_FROM+53&gt;WIN_TO,"",WIN_FROM+53)</f>
        <v/>
      </c>
      <c r="C79" s="128">
        <f>IF($B79="","",SUMIFS(Grids!$BQ$12:$EC$111,Grids!$EE$12:$GQ$111,"&gt;="&amp;$B79*1000000000,Grids!$EE$12:$GQ$111,"&lt;"&amp;($B79+1)*1000000000))</f>
        <v/>
      </c>
      <c r="D79" s="128">
        <f>IF($B79="","",SUMIFS(Grids!$BQ$116:$EC$155,Grids!$EE$116:$GQ$155,"&gt;="&amp;$B79*1000000000,Grids!$EE$116:$GQ$155,"&lt;"&amp;($B79+1)*1000000000))</f>
        <v/>
      </c>
      <c r="E79" s="128">
        <f>IF($B79="","",SUMIFS(Grids!$BQ$160:$EC$219,Grids!$EE$160:$GQ$219,"&gt;="&amp;$B79*1000000000,Grids!$EE$160:$GQ$219,"&lt;"&amp;($B79+1)*1000000000))</f>
        <v/>
      </c>
      <c r="F79" s="129">
        <f>IF($B79="","",SUM($C$26:$C79))</f>
        <v/>
      </c>
      <c r="G79" s="129">
        <f>IF($B79="","",SUM($D$26:$D79))</f>
        <v/>
      </c>
      <c r="H79" s="129">
        <f>IF($B79="","",SUM($E$26:$E79))</f>
        <v/>
      </c>
    </row>
    <row r="80">
      <c r="B80" s="127">
        <f>IF(WIN_FROM+54&gt;WIN_TO,"",WIN_FROM+54)</f>
        <v/>
      </c>
      <c r="C80" s="128">
        <f>IF($B80="","",SUMIFS(Grids!$BQ$12:$EC$111,Grids!$EE$12:$GQ$111,"&gt;="&amp;$B80*1000000000,Grids!$EE$12:$GQ$111,"&lt;"&amp;($B80+1)*1000000000))</f>
        <v/>
      </c>
      <c r="D80" s="128">
        <f>IF($B80="","",SUMIFS(Grids!$BQ$116:$EC$155,Grids!$EE$116:$GQ$155,"&gt;="&amp;$B80*1000000000,Grids!$EE$116:$GQ$155,"&lt;"&amp;($B80+1)*1000000000))</f>
        <v/>
      </c>
      <c r="E80" s="128">
        <f>IF($B80="","",SUMIFS(Grids!$BQ$160:$EC$219,Grids!$EE$160:$GQ$219,"&gt;="&amp;$B80*1000000000,Grids!$EE$160:$GQ$219,"&lt;"&amp;($B80+1)*1000000000))</f>
        <v/>
      </c>
      <c r="F80" s="129">
        <f>IF($B80="","",SUM($C$26:$C80))</f>
        <v/>
      </c>
      <c r="G80" s="129">
        <f>IF($B80="","",SUM($D$26:$D80))</f>
        <v/>
      </c>
      <c r="H80" s="129">
        <f>IF($B80="","",SUM($E$26:$E80))</f>
        <v/>
      </c>
    </row>
    <row r="81">
      <c r="B81" s="127">
        <f>IF(WIN_FROM+55&gt;WIN_TO,"",WIN_FROM+55)</f>
        <v/>
      </c>
      <c r="C81" s="128">
        <f>IF($B81="","",SUMIFS(Grids!$BQ$12:$EC$111,Grids!$EE$12:$GQ$111,"&gt;="&amp;$B81*1000000000,Grids!$EE$12:$GQ$111,"&lt;"&amp;($B81+1)*1000000000))</f>
        <v/>
      </c>
      <c r="D81" s="128">
        <f>IF($B81="","",SUMIFS(Grids!$BQ$116:$EC$155,Grids!$EE$116:$GQ$155,"&gt;="&amp;$B81*1000000000,Grids!$EE$116:$GQ$155,"&lt;"&amp;($B81+1)*1000000000))</f>
        <v/>
      </c>
      <c r="E81" s="128">
        <f>IF($B81="","",SUMIFS(Grids!$BQ$160:$EC$219,Grids!$EE$160:$GQ$219,"&gt;="&amp;$B81*1000000000,Grids!$EE$160:$GQ$219,"&lt;"&amp;($B81+1)*1000000000))</f>
        <v/>
      </c>
      <c r="F81" s="129">
        <f>IF($B81="","",SUM($C$26:$C81))</f>
        <v/>
      </c>
      <c r="G81" s="129">
        <f>IF($B81="","",SUM($D$26:$D81))</f>
        <v/>
      </c>
      <c r="H81" s="129">
        <f>IF($B81="","",SUM($E$26:$E81))</f>
        <v/>
      </c>
    </row>
    <row r="82">
      <c r="B82" s="127">
        <f>IF(WIN_FROM+56&gt;WIN_TO,"",WIN_FROM+56)</f>
        <v/>
      </c>
      <c r="C82" s="128">
        <f>IF($B82="","",SUMIFS(Grids!$BQ$12:$EC$111,Grids!$EE$12:$GQ$111,"&gt;="&amp;$B82*1000000000,Grids!$EE$12:$GQ$111,"&lt;"&amp;($B82+1)*1000000000))</f>
        <v/>
      </c>
      <c r="D82" s="128">
        <f>IF($B82="","",SUMIFS(Grids!$BQ$116:$EC$155,Grids!$EE$116:$GQ$155,"&gt;="&amp;$B82*1000000000,Grids!$EE$116:$GQ$155,"&lt;"&amp;($B82+1)*1000000000))</f>
        <v/>
      </c>
      <c r="E82" s="128">
        <f>IF($B82="","",SUMIFS(Grids!$BQ$160:$EC$219,Grids!$EE$160:$GQ$219,"&gt;="&amp;$B82*1000000000,Grids!$EE$160:$GQ$219,"&lt;"&amp;($B82+1)*1000000000))</f>
        <v/>
      </c>
      <c r="F82" s="129">
        <f>IF($B82="","",SUM($C$26:$C82))</f>
        <v/>
      </c>
      <c r="G82" s="129">
        <f>IF($B82="","",SUM($D$26:$D82))</f>
        <v/>
      </c>
      <c r="H82" s="129">
        <f>IF($B82="","",SUM($E$26:$E82))</f>
        <v/>
      </c>
    </row>
    <row r="83">
      <c r="B83" s="127">
        <f>IF(WIN_FROM+57&gt;WIN_TO,"",WIN_FROM+57)</f>
        <v/>
      </c>
      <c r="C83" s="128">
        <f>IF($B83="","",SUMIFS(Grids!$BQ$12:$EC$111,Grids!$EE$12:$GQ$111,"&gt;="&amp;$B83*1000000000,Grids!$EE$12:$GQ$111,"&lt;"&amp;($B83+1)*1000000000))</f>
        <v/>
      </c>
      <c r="D83" s="128">
        <f>IF($B83="","",SUMIFS(Grids!$BQ$116:$EC$155,Grids!$EE$116:$GQ$155,"&gt;="&amp;$B83*1000000000,Grids!$EE$116:$GQ$155,"&lt;"&amp;($B83+1)*1000000000))</f>
        <v/>
      </c>
      <c r="E83" s="128">
        <f>IF($B83="","",SUMIFS(Grids!$BQ$160:$EC$219,Grids!$EE$160:$GQ$219,"&gt;="&amp;$B83*1000000000,Grids!$EE$160:$GQ$219,"&lt;"&amp;($B83+1)*1000000000))</f>
        <v/>
      </c>
      <c r="F83" s="129">
        <f>IF($B83="","",SUM($C$26:$C83))</f>
        <v/>
      </c>
      <c r="G83" s="129">
        <f>IF($B83="","",SUM($D$26:$D83))</f>
        <v/>
      </c>
      <c r="H83" s="129">
        <f>IF($B83="","",SUM($E$26:$E83))</f>
        <v/>
      </c>
    </row>
    <row r="84">
      <c r="B84" s="127">
        <f>IF(WIN_FROM+58&gt;WIN_TO,"",WIN_FROM+58)</f>
        <v/>
      </c>
      <c r="C84" s="128">
        <f>IF($B84="","",SUMIFS(Grids!$BQ$12:$EC$111,Grids!$EE$12:$GQ$111,"&gt;="&amp;$B84*1000000000,Grids!$EE$12:$GQ$111,"&lt;"&amp;($B84+1)*1000000000))</f>
        <v/>
      </c>
      <c r="D84" s="128">
        <f>IF($B84="","",SUMIFS(Grids!$BQ$116:$EC$155,Grids!$EE$116:$GQ$155,"&gt;="&amp;$B84*1000000000,Grids!$EE$116:$GQ$155,"&lt;"&amp;($B84+1)*1000000000))</f>
        <v/>
      </c>
      <c r="E84" s="128">
        <f>IF($B84="","",SUMIFS(Grids!$BQ$160:$EC$219,Grids!$EE$160:$GQ$219,"&gt;="&amp;$B84*1000000000,Grids!$EE$160:$GQ$219,"&lt;"&amp;($B84+1)*1000000000))</f>
        <v/>
      </c>
      <c r="F84" s="129">
        <f>IF($B84="","",SUM($C$26:$C84))</f>
        <v/>
      </c>
      <c r="G84" s="129">
        <f>IF($B84="","",SUM($D$26:$D84))</f>
        <v/>
      </c>
      <c r="H84" s="129">
        <f>IF($B84="","",SUM($E$26:$E84))</f>
        <v/>
      </c>
    </row>
    <row r="85">
      <c r="B85" s="127">
        <f>IF(WIN_FROM+59&gt;WIN_TO,"",WIN_FROM+59)</f>
        <v/>
      </c>
      <c r="C85" s="128">
        <f>IF($B85="","",SUMIFS(Grids!$BQ$12:$EC$111,Grids!$EE$12:$GQ$111,"&gt;="&amp;$B85*1000000000,Grids!$EE$12:$GQ$111,"&lt;"&amp;($B85+1)*1000000000))</f>
        <v/>
      </c>
      <c r="D85" s="128">
        <f>IF($B85="","",SUMIFS(Grids!$BQ$116:$EC$155,Grids!$EE$116:$GQ$155,"&gt;="&amp;$B85*1000000000,Grids!$EE$116:$GQ$155,"&lt;"&amp;($B85+1)*1000000000))</f>
        <v/>
      </c>
      <c r="E85" s="128">
        <f>IF($B85="","",SUMIFS(Grids!$BQ$160:$EC$219,Grids!$EE$160:$GQ$219,"&gt;="&amp;$B85*1000000000,Grids!$EE$160:$GQ$219,"&lt;"&amp;($B85+1)*1000000000))</f>
        <v/>
      </c>
      <c r="F85" s="129">
        <f>IF($B85="","",SUM($C$26:$C85))</f>
        <v/>
      </c>
      <c r="G85" s="129">
        <f>IF($B85="","",SUM($D$26:$D85))</f>
        <v/>
      </c>
      <c r="H85" s="129">
        <f>IF($B85="","",SUM($E$26:$E85))</f>
        <v/>
      </c>
    </row>
    <row r="86">
      <c r="B86" s="127">
        <f>IF(WIN_FROM+60&gt;WIN_TO,"",WIN_FROM+60)</f>
        <v/>
      </c>
      <c r="C86" s="128">
        <f>IF($B86="","",SUMIFS(Grids!$BQ$12:$EC$111,Grids!$EE$12:$GQ$111,"&gt;="&amp;$B86*1000000000,Grids!$EE$12:$GQ$111,"&lt;"&amp;($B86+1)*1000000000))</f>
        <v/>
      </c>
      <c r="D86" s="128">
        <f>IF($B86="","",SUMIFS(Grids!$BQ$116:$EC$155,Grids!$EE$116:$GQ$155,"&gt;="&amp;$B86*1000000000,Grids!$EE$116:$GQ$155,"&lt;"&amp;($B86+1)*1000000000))</f>
        <v/>
      </c>
      <c r="E86" s="128">
        <f>IF($B86="","",SUMIFS(Grids!$BQ$160:$EC$219,Grids!$EE$160:$GQ$219,"&gt;="&amp;$B86*1000000000,Grids!$EE$160:$GQ$219,"&lt;"&amp;($B86+1)*1000000000))</f>
        <v/>
      </c>
      <c r="F86" s="129">
        <f>IF($B86="","",SUM($C$26:$C86))</f>
        <v/>
      </c>
      <c r="G86" s="129">
        <f>IF($B86="","",SUM($D$26:$D86))</f>
        <v/>
      </c>
      <c r="H86" s="129">
        <f>IF($B86="","",SUM($E$26:$E86))</f>
        <v/>
      </c>
    </row>
    <row r="87">
      <c r="B87" s="127">
        <f>IF(WIN_FROM+61&gt;WIN_TO,"",WIN_FROM+61)</f>
        <v/>
      </c>
      <c r="C87" s="128">
        <f>IF($B87="","",SUMIFS(Grids!$BQ$12:$EC$111,Grids!$EE$12:$GQ$111,"&gt;="&amp;$B87*1000000000,Grids!$EE$12:$GQ$111,"&lt;"&amp;($B87+1)*1000000000))</f>
        <v/>
      </c>
      <c r="D87" s="128">
        <f>IF($B87="","",SUMIFS(Grids!$BQ$116:$EC$155,Grids!$EE$116:$GQ$155,"&gt;="&amp;$B87*1000000000,Grids!$EE$116:$GQ$155,"&lt;"&amp;($B87+1)*1000000000))</f>
        <v/>
      </c>
      <c r="E87" s="128">
        <f>IF($B87="","",SUMIFS(Grids!$BQ$160:$EC$219,Grids!$EE$160:$GQ$219,"&gt;="&amp;$B87*1000000000,Grids!$EE$160:$GQ$219,"&lt;"&amp;($B87+1)*1000000000))</f>
        <v/>
      </c>
      <c r="F87" s="129">
        <f>IF($B87="","",SUM($C$26:$C87))</f>
        <v/>
      </c>
      <c r="G87" s="129">
        <f>IF($B87="","",SUM($D$26:$D87))</f>
        <v/>
      </c>
      <c r="H87" s="129">
        <f>IF($B87="","",SUM($E$26:$E87))</f>
        <v/>
      </c>
    </row>
    <row r="88">
      <c r="B88" s="127">
        <f>IF(WIN_FROM+62&gt;WIN_TO,"",WIN_FROM+62)</f>
        <v/>
      </c>
      <c r="C88" s="128">
        <f>IF($B88="","",SUMIFS(Grids!$BQ$12:$EC$111,Grids!$EE$12:$GQ$111,"&gt;="&amp;$B88*1000000000,Grids!$EE$12:$GQ$111,"&lt;"&amp;($B88+1)*1000000000))</f>
        <v/>
      </c>
      <c r="D88" s="128">
        <f>IF($B88="","",SUMIFS(Grids!$BQ$116:$EC$155,Grids!$EE$116:$GQ$155,"&gt;="&amp;$B88*1000000000,Grids!$EE$116:$GQ$155,"&lt;"&amp;($B88+1)*1000000000))</f>
        <v/>
      </c>
      <c r="E88" s="128">
        <f>IF($B88="","",SUMIFS(Grids!$BQ$160:$EC$219,Grids!$EE$160:$GQ$219,"&gt;="&amp;$B88*1000000000,Grids!$EE$160:$GQ$219,"&lt;"&amp;($B88+1)*1000000000))</f>
        <v/>
      </c>
      <c r="F88" s="129">
        <f>IF($B88="","",SUM($C$26:$C88))</f>
        <v/>
      </c>
      <c r="G88" s="129">
        <f>IF($B88="","",SUM($D$26:$D88))</f>
        <v/>
      </c>
      <c r="H88" s="129">
        <f>IF($B88="","",SUM($E$26:$E88))</f>
        <v/>
      </c>
    </row>
    <row r="89">
      <c r="B89" s="127">
        <f>IF(WIN_FROM+63&gt;WIN_TO,"",WIN_FROM+63)</f>
        <v/>
      </c>
      <c r="C89" s="128">
        <f>IF($B89="","",SUMIFS(Grids!$BQ$12:$EC$111,Grids!$EE$12:$GQ$111,"&gt;="&amp;$B89*1000000000,Grids!$EE$12:$GQ$111,"&lt;"&amp;($B89+1)*1000000000))</f>
        <v/>
      </c>
      <c r="D89" s="128">
        <f>IF($B89="","",SUMIFS(Grids!$BQ$116:$EC$155,Grids!$EE$116:$GQ$155,"&gt;="&amp;$B89*1000000000,Grids!$EE$116:$GQ$155,"&lt;"&amp;($B89+1)*1000000000))</f>
        <v/>
      </c>
      <c r="E89" s="128">
        <f>IF($B89="","",SUMIFS(Grids!$BQ$160:$EC$219,Grids!$EE$160:$GQ$219,"&gt;="&amp;$B89*1000000000,Grids!$EE$160:$GQ$219,"&lt;"&amp;($B89+1)*1000000000))</f>
        <v/>
      </c>
      <c r="F89" s="129">
        <f>IF($B89="","",SUM($C$26:$C89))</f>
        <v/>
      </c>
      <c r="G89" s="129">
        <f>IF($B89="","",SUM($D$26:$D89))</f>
        <v/>
      </c>
      <c r="H89" s="129">
        <f>IF($B89="","",SUM($E$26:$E89))</f>
        <v/>
      </c>
    </row>
    <row r="90">
      <c r="B90" s="127">
        <f>IF(WIN_FROM+64&gt;WIN_TO,"",WIN_FROM+64)</f>
        <v/>
      </c>
      <c r="C90" s="128">
        <f>IF($B90="","",SUMIFS(Grids!$BQ$12:$EC$111,Grids!$EE$12:$GQ$111,"&gt;="&amp;$B90*1000000000,Grids!$EE$12:$GQ$111,"&lt;"&amp;($B90+1)*1000000000))</f>
        <v/>
      </c>
      <c r="D90" s="128">
        <f>IF($B90="","",SUMIFS(Grids!$BQ$116:$EC$155,Grids!$EE$116:$GQ$155,"&gt;="&amp;$B90*1000000000,Grids!$EE$116:$GQ$155,"&lt;"&amp;($B90+1)*1000000000))</f>
        <v/>
      </c>
      <c r="E90" s="128">
        <f>IF($B90="","",SUMIFS(Grids!$BQ$160:$EC$219,Grids!$EE$160:$GQ$219,"&gt;="&amp;$B90*1000000000,Grids!$EE$160:$GQ$219,"&lt;"&amp;($B90+1)*1000000000))</f>
        <v/>
      </c>
      <c r="F90" s="129">
        <f>IF($B90="","",SUM($C$26:$C90))</f>
        <v/>
      </c>
      <c r="G90" s="129">
        <f>IF($B90="","",SUM($D$26:$D90))</f>
        <v/>
      </c>
      <c r="H90" s="129">
        <f>IF($B90="","",SUM($E$26:$E90))</f>
        <v/>
      </c>
    </row>
    <row r="91">
      <c r="B91" s="127">
        <f>IF(WIN_FROM+65&gt;WIN_TO,"",WIN_FROM+65)</f>
        <v/>
      </c>
      <c r="C91" s="128">
        <f>IF($B91="","",SUMIFS(Grids!$BQ$12:$EC$111,Grids!$EE$12:$GQ$111,"&gt;="&amp;$B91*1000000000,Grids!$EE$12:$GQ$111,"&lt;"&amp;($B91+1)*1000000000))</f>
        <v/>
      </c>
      <c r="D91" s="128">
        <f>IF($B91="","",SUMIFS(Grids!$BQ$116:$EC$155,Grids!$EE$116:$GQ$155,"&gt;="&amp;$B91*1000000000,Grids!$EE$116:$GQ$155,"&lt;"&amp;($B91+1)*1000000000))</f>
        <v/>
      </c>
      <c r="E91" s="128">
        <f>IF($B91="","",SUMIFS(Grids!$BQ$160:$EC$219,Grids!$EE$160:$GQ$219,"&gt;="&amp;$B91*1000000000,Grids!$EE$160:$GQ$219,"&lt;"&amp;($B91+1)*1000000000))</f>
        <v/>
      </c>
      <c r="F91" s="129">
        <f>IF($B91="","",SUM($C$26:$C91))</f>
        <v/>
      </c>
      <c r="G91" s="129">
        <f>IF($B91="","",SUM($D$26:$D91))</f>
        <v/>
      </c>
      <c r="H91" s="129">
        <f>IF($B91="","",SUM($E$26:$E91))</f>
        <v/>
      </c>
    </row>
    <row r="92">
      <c r="B92" s="127">
        <f>IF(WIN_FROM+66&gt;WIN_TO,"",WIN_FROM+66)</f>
        <v/>
      </c>
      <c r="C92" s="128">
        <f>IF($B92="","",SUMIFS(Grids!$BQ$12:$EC$111,Grids!$EE$12:$GQ$111,"&gt;="&amp;$B92*1000000000,Grids!$EE$12:$GQ$111,"&lt;"&amp;($B92+1)*1000000000))</f>
        <v/>
      </c>
      <c r="D92" s="128">
        <f>IF($B92="","",SUMIFS(Grids!$BQ$116:$EC$155,Grids!$EE$116:$GQ$155,"&gt;="&amp;$B92*1000000000,Grids!$EE$116:$GQ$155,"&lt;"&amp;($B92+1)*1000000000))</f>
        <v/>
      </c>
      <c r="E92" s="128">
        <f>IF($B92="","",SUMIFS(Grids!$BQ$160:$EC$219,Grids!$EE$160:$GQ$219,"&gt;="&amp;$B92*1000000000,Grids!$EE$160:$GQ$219,"&lt;"&amp;($B92+1)*1000000000))</f>
        <v/>
      </c>
      <c r="F92" s="129">
        <f>IF($B92="","",SUM($C$26:$C92))</f>
        <v/>
      </c>
      <c r="G92" s="129">
        <f>IF($B92="","",SUM($D$26:$D92))</f>
        <v/>
      </c>
      <c r="H92" s="129">
        <f>IF($B92="","",SUM($E$26:$E92))</f>
        <v/>
      </c>
    </row>
    <row r="93">
      <c r="B93" s="127">
        <f>IF(WIN_FROM+67&gt;WIN_TO,"",WIN_FROM+67)</f>
        <v/>
      </c>
      <c r="C93" s="128">
        <f>IF($B93="","",SUMIFS(Grids!$BQ$12:$EC$111,Grids!$EE$12:$GQ$111,"&gt;="&amp;$B93*1000000000,Grids!$EE$12:$GQ$111,"&lt;"&amp;($B93+1)*1000000000))</f>
        <v/>
      </c>
      <c r="D93" s="128">
        <f>IF($B93="","",SUMIFS(Grids!$BQ$116:$EC$155,Grids!$EE$116:$GQ$155,"&gt;="&amp;$B93*1000000000,Grids!$EE$116:$GQ$155,"&lt;"&amp;($B93+1)*1000000000))</f>
        <v/>
      </c>
      <c r="E93" s="128">
        <f>IF($B93="","",SUMIFS(Grids!$BQ$160:$EC$219,Grids!$EE$160:$GQ$219,"&gt;="&amp;$B93*1000000000,Grids!$EE$160:$GQ$219,"&lt;"&amp;($B93+1)*1000000000))</f>
        <v/>
      </c>
      <c r="F93" s="129">
        <f>IF($B93="","",SUM($C$26:$C93))</f>
        <v/>
      </c>
      <c r="G93" s="129">
        <f>IF($B93="","",SUM($D$26:$D93))</f>
        <v/>
      </c>
      <c r="H93" s="129">
        <f>IF($B93="","",SUM($E$26:$E93))</f>
        <v/>
      </c>
    </row>
    <row r="94">
      <c r="B94" s="127">
        <f>IF(WIN_FROM+68&gt;WIN_TO,"",WIN_FROM+68)</f>
        <v/>
      </c>
      <c r="C94" s="128">
        <f>IF($B94="","",SUMIFS(Grids!$BQ$12:$EC$111,Grids!$EE$12:$GQ$111,"&gt;="&amp;$B94*1000000000,Grids!$EE$12:$GQ$111,"&lt;"&amp;($B94+1)*1000000000))</f>
        <v/>
      </c>
      <c r="D94" s="128">
        <f>IF($B94="","",SUMIFS(Grids!$BQ$116:$EC$155,Grids!$EE$116:$GQ$155,"&gt;="&amp;$B94*1000000000,Grids!$EE$116:$GQ$155,"&lt;"&amp;($B94+1)*1000000000))</f>
        <v/>
      </c>
      <c r="E94" s="128">
        <f>IF($B94="","",SUMIFS(Grids!$BQ$160:$EC$219,Grids!$EE$160:$GQ$219,"&gt;="&amp;$B94*1000000000,Grids!$EE$160:$GQ$219,"&lt;"&amp;($B94+1)*1000000000))</f>
        <v/>
      </c>
      <c r="F94" s="129">
        <f>IF($B94="","",SUM($C$26:$C94))</f>
        <v/>
      </c>
      <c r="G94" s="129">
        <f>IF($B94="","",SUM($D$26:$D94))</f>
        <v/>
      </c>
      <c r="H94" s="129">
        <f>IF($B94="","",SUM($E$26:$E94))</f>
        <v/>
      </c>
    </row>
    <row r="95">
      <c r="B95" s="127">
        <f>IF(WIN_FROM+69&gt;WIN_TO,"",WIN_FROM+69)</f>
        <v/>
      </c>
      <c r="C95" s="128">
        <f>IF($B95="","",SUMIFS(Grids!$BQ$12:$EC$111,Grids!$EE$12:$GQ$111,"&gt;="&amp;$B95*1000000000,Grids!$EE$12:$GQ$111,"&lt;"&amp;($B95+1)*1000000000))</f>
        <v/>
      </c>
      <c r="D95" s="128">
        <f>IF($B95="","",SUMIFS(Grids!$BQ$116:$EC$155,Grids!$EE$116:$GQ$155,"&gt;="&amp;$B95*1000000000,Grids!$EE$116:$GQ$155,"&lt;"&amp;($B95+1)*1000000000))</f>
        <v/>
      </c>
      <c r="E95" s="128">
        <f>IF($B95="","",SUMIFS(Grids!$BQ$160:$EC$219,Grids!$EE$160:$GQ$219,"&gt;="&amp;$B95*1000000000,Grids!$EE$160:$GQ$219,"&lt;"&amp;($B95+1)*1000000000))</f>
        <v/>
      </c>
      <c r="F95" s="129">
        <f>IF($B95="","",SUM($C$26:$C95))</f>
        <v/>
      </c>
      <c r="G95" s="129">
        <f>IF($B95="","",SUM($D$26:$D95))</f>
        <v/>
      </c>
      <c r="H95" s="129">
        <f>IF($B95="","",SUM($E$26:$E95))</f>
        <v/>
      </c>
    </row>
    <row r="96">
      <c r="B96" s="127">
        <f>IF(WIN_FROM+70&gt;WIN_TO,"",WIN_FROM+70)</f>
        <v/>
      </c>
      <c r="C96" s="128">
        <f>IF($B96="","",SUMIFS(Grids!$BQ$12:$EC$111,Grids!$EE$12:$GQ$111,"&gt;="&amp;$B96*1000000000,Grids!$EE$12:$GQ$111,"&lt;"&amp;($B96+1)*1000000000))</f>
        <v/>
      </c>
      <c r="D96" s="128">
        <f>IF($B96="","",SUMIFS(Grids!$BQ$116:$EC$155,Grids!$EE$116:$GQ$155,"&gt;="&amp;$B96*1000000000,Grids!$EE$116:$GQ$155,"&lt;"&amp;($B96+1)*1000000000))</f>
        <v/>
      </c>
      <c r="E96" s="128">
        <f>IF($B96="","",SUMIFS(Grids!$BQ$160:$EC$219,Grids!$EE$160:$GQ$219,"&gt;="&amp;$B96*1000000000,Grids!$EE$160:$GQ$219,"&lt;"&amp;($B96+1)*1000000000))</f>
        <v/>
      </c>
      <c r="F96" s="129">
        <f>IF($B96="","",SUM($C$26:$C96))</f>
        <v/>
      </c>
      <c r="G96" s="129">
        <f>IF($B96="","",SUM($D$26:$D96))</f>
        <v/>
      </c>
      <c r="H96" s="129">
        <f>IF($B96="","",SUM($E$26:$E96))</f>
        <v/>
      </c>
    </row>
    <row r="97">
      <c r="B97" s="127">
        <f>IF(WIN_FROM+71&gt;WIN_TO,"",WIN_FROM+71)</f>
        <v/>
      </c>
      <c r="C97" s="128">
        <f>IF($B97="","",SUMIFS(Grids!$BQ$12:$EC$111,Grids!$EE$12:$GQ$111,"&gt;="&amp;$B97*1000000000,Grids!$EE$12:$GQ$111,"&lt;"&amp;($B97+1)*1000000000))</f>
        <v/>
      </c>
      <c r="D97" s="128">
        <f>IF($B97="","",SUMIFS(Grids!$BQ$116:$EC$155,Grids!$EE$116:$GQ$155,"&gt;="&amp;$B97*1000000000,Grids!$EE$116:$GQ$155,"&lt;"&amp;($B97+1)*1000000000))</f>
        <v/>
      </c>
      <c r="E97" s="128">
        <f>IF($B97="","",SUMIFS(Grids!$BQ$160:$EC$219,Grids!$EE$160:$GQ$219,"&gt;="&amp;$B97*1000000000,Grids!$EE$160:$GQ$219,"&lt;"&amp;($B97+1)*1000000000))</f>
        <v/>
      </c>
      <c r="F97" s="129">
        <f>IF($B97="","",SUM($C$26:$C97))</f>
        <v/>
      </c>
      <c r="G97" s="129">
        <f>IF($B97="","",SUM($D$26:$D97))</f>
        <v/>
      </c>
      <c r="H97" s="129">
        <f>IF($B97="","",SUM($E$26:$E97))</f>
        <v/>
      </c>
    </row>
    <row r="98">
      <c r="B98" s="127">
        <f>IF(WIN_FROM+72&gt;WIN_TO,"",WIN_FROM+72)</f>
        <v/>
      </c>
      <c r="C98" s="128">
        <f>IF($B98="","",SUMIFS(Grids!$BQ$12:$EC$111,Grids!$EE$12:$GQ$111,"&gt;="&amp;$B98*1000000000,Grids!$EE$12:$GQ$111,"&lt;"&amp;($B98+1)*1000000000))</f>
        <v/>
      </c>
      <c r="D98" s="128">
        <f>IF($B98="","",SUMIFS(Grids!$BQ$116:$EC$155,Grids!$EE$116:$GQ$155,"&gt;="&amp;$B98*1000000000,Grids!$EE$116:$GQ$155,"&lt;"&amp;($B98+1)*1000000000))</f>
        <v/>
      </c>
      <c r="E98" s="128">
        <f>IF($B98="","",SUMIFS(Grids!$BQ$160:$EC$219,Grids!$EE$160:$GQ$219,"&gt;="&amp;$B98*1000000000,Grids!$EE$160:$GQ$219,"&lt;"&amp;($B98+1)*1000000000))</f>
        <v/>
      </c>
      <c r="F98" s="129">
        <f>IF($B98="","",SUM($C$26:$C98))</f>
        <v/>
      </c>
      <c r="G98" s="129">
        <f>IF($B98="","",SUM($D$26:$D98))</f>
        <v/>
      </c>
      <c r="H98" s="129">
        <f>IF($B98="","",SUM($E$26:$E98))</f>
        <v/>
      </c>
    </row>
    <row r="99">
      <c r="B99" s="127">
        <f>IF(WIN_FROM+73&gt;WIN_TO,"",WIN_FROM+73)</f>
        <v/>
      </c>
      <c r="C99" s="128">
        <f>IF($B99="","",SUMIFS(Grids!$BQ$12:$EC$111,Grids!$EE$12:$GQ$111,"&gt;="&amp;$B99*1000000000,Grids!$EE$12:$GQ$111,"&lt;"&amp;($B99+1)*1000000000))</f>
        <v/>
      </c>
      <c r="D99" s="128">
        <f>IF($B99="","",SUMIFS(Grids!$BQ$116:$EC$155,Grids!$EE$116:$GQ$155,"&gt;="&amp;$B99*1000000000,Grids!$EE$116:$GQ$155,"&lt;"&amp;($B99+1)*1000000000))</f>
        <v/>
      </c>
      <c r="E99" s="128">
        <f>IF($B99="","",SUMIFS(Grids!$BQ$160:$EC$219,Grids!$EE$160:$GQ$219,"&gt;="&amp;$B99*1000000000,Grids!$EE$160:$GQ$219,"&lt;"&amp;($B99+1)*1000000000))</f>
        <v/>
      </c>
      <c r="F99" s="129">
        <f>IF($B99="","",SUM($C$26:$C99))</f>
        <v/>
      </c>
      <c r="G99" s="129">
        <f>IF($B99="","",SUM($D$26:$D99))</f>
        <v/>
      </c>
      <c r="H99" s="129">
        <f>IF($B99="","",SUM($E$26:$E99))</f>
        <v/>
      </c>
    </row>
    <row r="100">
      <c r="B100" s="127">
        <f>IF(WIN_FROM+74&gt;WIN_TO,"",WIN_FROM+74)</f>
        <v/>
      </c>
      <c r="C100" s="128">
        <f>IF($B100="","",SUMIFS(Grids!$BQ$12:$EC$111,Grids!$EE$12:$GQ$111,"&gt;="&amp;$B100*1000000000,Grids!$EE$12:$GQ$111,"&lt;"&amp;($B100+1)*1000000000))</f>
        <v/>
      </c>
      <c r="D100" s="128">
        <f>IF($B100="","",SUMIFS(Grids!$BQ$116:$EC$155,Grids!$EE$116:$GQ$155,"&gt;="&amp;$B100*1000000000,Grids!$EE$116:$GQ$155,"&lt;"&amp;($B100+1)*1000000000))</f>
        <v/>
      </c>
      <c r="E100" s="128">
        <f>IF($B100="","",SUMIFS(Grids!$BQ$160:$EC$219,Grids!$EE$160:$GQ$219,"&gt;="&amp;$B100*1000000000,Grids!$EE$160:$GQ$219,"&lt;"&amp;($B100+1)*1000000000))</f>
        <v/>
      </c>
      <c r="F100" s="129">
        <f>IF($B100="","",SUM($C$26:$C100))</f>
        <v/>
      </c>
      <c r="G100" s="129">
        <f>IF($B100="","",SUM($D$26:$D100))</f>
        <v/>
      </c>
      <c r="H100" s="129">
        <f>IF($B100="","",SUM($E$26:$E100))</f>
        <v/>
      </c>
    </row>
    <row r="101">
      <c r="B101" s="127">
        <f>IF(WIN_FROM+75&gt;WIN_TO,"",WIN_FROM+75)</f>
        <v/>
      </c>
      <c r="C101" s="128">
        <f>IF($B101="","",SUMIFS(Grids!$BQ$12:$EC$111,Grids!$EE$12:$GQ$111,"&gt;="&amp;$B101*1000000000,Grids!$EE$12:$GQ$111,"&lt;"&amp;($B101+1)*1000000000))</f>
        <v/>
      </c>
      <c r="D101" s="128">
        <f>IF($B101="","",SUMIFS(Grids!$BQ$116:$EC$155,Grids!$EE$116:$GQ$155,"&gt;="&amp;$B101*1000000000,Grids!$EE$116:$GQ$155,"&lt;"&amp;($B101+1)*1000000000))</f>
        <v/>
      </c>
      <c r="E101" s="128">
        <f>IF($B101="","",SUMIFS(Grids!$BQ$160:$EC$219,Grids!$EE$160:$GQ$219,"&gt;="&amp;$B101*1000000000,Grids!$EE$160:$GQ$219,"&lt;"&amp;($B101+1)*1000000000))</f>
        <v/>
      </c>
      <c r="F101" s="129">
        <f>IF($B101="","",SUM($C$26:$C101))</f>
        <v/>
      </c>
      <c r="G101" s="129">
        <f>IF($B101="","",SUM($D$26:$D101))</f>
        <v/>
      </c>
      <c r="H101" s="129">
        <f>IF($B101="","",SUM($E$26:$E101))</f>
        <v/>
      </c>
    </row>
    <row r="102">
      <c r="B102" s="127">
        <f>IF(WIN_FROM+76&gt;WIN_TO,"",WIN_FROM+76)</f>
        <v/>
      </c>
      <c r="C102" s="128">
        <f>IF($B102="","",SUMIFS(Grids!$BQ$12:$EC$111,Grids!$EE$12:$GQ$111,"&gt;="&amp;$B102*1000000000,Grids!$EE$12:$GQ$111,"&lt;"&amp;($B102+1)*1000000000))</f>
        <v/>
      </c>
      <c r="D102" s="128">
        <f>IF($B102="","",SUMIFS(Grids!$BQ$116:$EC$155,Grids!$EE$116:$GQ$155,"&gt;="&amp;$B102*1000000000,Grids!$EE$116:$GQ$155,"&lt;"&amp;($B102+1)*1000000000))</f>
        <v/>
      </c>
      <c r="E102" s="128">
        <f>IF($B102="","",SUMIFS(Grids!$BQ$160:$EC$219,Grids!$EE$160:$GQ$219,"&gt;="&amp;$B102*1000000000,Grids!$EE$160:$GQ$219,"&lt;"&amp;($B102+1)*1000000000))</f>
        <v/>
      </c>
      <c r="F102" s="129">
        <f>IF($B102="","",SUM($C$26:$C102))</f>
        <v/>
      </c>
      <c r="G102" s="129">
        <f>IF($B102="","",SUM($D$26:$D102))</f>
        <v/>
      </c>
      <c r="H102" s="129">
        <f>IF($B102="","",SUM($E$26:$E102))</f>
        <v/>
      </c>
    </row>
    <row r="103">
      <c r="B103" s="127">
        <f>IF(WIN_FROM+77&gt;WIN_TO,"",WIN_FROM+77)</f>
        <v/>
      </c>
      <c r="C103" s="128">
        <f>IF($B103="","",SUMIFS(Grids!$BQ$12:$EC$111,Grids!$EE$12:$GQ$111,"&gt;="&amp;$B103*1000000000,Grids!$EE$12:$GQ$111,"&lt;"&amp;($B103+1)*1000000000))</f>
        <v/>
      </c>
      <c r="D103" s="128">
        <f>IF($B103="","",SUMIFS(Grids!$BQ$116:$EC$155,Grids!$EE$116:$GQ$155,"&gt;="&amp;$B103*1000000000,Grids!$EE$116:$GQ$155,"&lt;"&amp;($B103+1)*1000000000))</f>
        <v/>
      </c>
      <c r="E103" s="128">
        <f>IF($B103="","",SUMIFS(Grids!$BQ$160:$EC$219,Grids!$EE$160:$GQ$219,"&gt;="&amp;$B103*1000000000,Grids!$EE$160:$GQ$219,"&lt;"&amp;($B103+1)*1000000000))</f>
        <v/>
      </c>
      <c r="F103" s="129">
        <f>IF($B103="","",SUM($C$26:$C103))</f>
        <v/>
      </c>
      <c r="G103" s="129">
        <f>IF($B103="","",SUM($D$26:$D103))</f>
        <v/>
      </c>
      <c r="H103" s="129">
        <f>IF($B103="","",SUM($E$26:$E103))</f>
        <v/>
      </c>
    </row>
    <row r="104">
      <c r="B104" s="127">
        <f>IF(WIN_FROM+78&gt;WIN_TO,"",WIN_FROM+78)</f>
        <v/>
      </c>
      <c r="C104" s="128">
        <f>IF($B104="","",SUMIFS(Grids!$BQ$12:$EC$111,Grids!$EE$12:$GQ$111,"&gt;="&amp;$B104*1000000000,Grids!$EE$12:$GQ$111,"&lt;"&amp;($B104+1)*1000000000))</f>
        <v/>
      </c>
      <c r="D104" s="128">
        <f>IF($B104="","",SUMIFS(Grids!$BQ$116:$EC$155,Grids!$EE$116:$GQ$155,"&gt;="&amp;$B104*1000000000,Grids!$EE$116:$GQ$155,"&lt;"&amp;($B104+1)*1000000000))</f>
        <v/>
      </c>
      <c r="E104" s="128">
        <f>IF($B104="","",SUMIFS(Grids!$BQ$160:$EC$219,Grids!$EE$160:$GQ$219,"&gt;="&amp;$B104*1000000000,Grids!$EE$160:$GQ$219,"&lt;"&amp;($B104+1)*1000000000))</f>
        <v/>
      </c>
      <c r="F104" s="129">
        <f>IF($B104="","",SUM($C$26:$C104))</f>
        <v/>
      </c>
      <c r="G104" s="129">
        <f>IF($B104="","",SUM($D$26:$D104))</f>
        <v/>
      </c>
      <c r="H104" s="129">
        <f>IF($B104="","",SUM($E$26:$E104))</f>
        <v/>
      </c>
    </row>
    <row r="105">
      <c r="B105" s="127">
        <f>IF(WIN_FROM+79&gt;WIN_TO,"",WIN_FROM+79)</f>
        <v/>
      </c>
      <c r="C105" s="128">
        <f>IF($B105="","",SUMIFS(Grids!$BQ$12:$EC$111,Grids!$EE$12:$GQ$111,"&gt;="&amp;$B105*1000000000,Grids!$EE$12:$GQ$111,"&lt;"&amp;($B105+1)*1000000000))</f>
        <v/>
      </c>
      <c r="D105" s="128">
        <f>IF($B105="","",SUMIFS(Grids!$BQ$116:$EC$155,Grids!$EE$116:$GQ$155,"&gt;="&amp;$B105*1000000000,Grids!$EE$116:$GQ$155,"&lt;"&amp;($B105+1)*1000000000))</f>
        <v/>
      </c>
      <c r="E105" s="128">
        <f>IF($B105="","",SUMIFS(Grids!$BQ$160:$EC$219,Grids!$EE$160:$GQ$219,"&gt;="&amp;$B105*1000000000,Grids!$EE$160:$GQ$219,"&lt;"&amp;($B105+1)*1000000000))</f>
        <v/>
      </c>
      <c r="F105" s="129">
        <f>IF($B105="","",SUM($C$26:$C105))</f>
        <v/>
      </c>
      <c r="G105" s="129">
        <f>IF($B105="","",SUM($D$26:$D105))</f>
        <v/>
      </c>
      <c r="H105" s="129">
        <f>IF($B105="","",SUM($E$26:$E105))</f>
        <v/>
      </c>
    </row>
    <row r="106">
      <c r="B106" s="127">
        <f>IF(WIN_FROM+80&gt;WIN_TO,"",WIN_FROM+80)</f>
        <v/>
      </c>
      <c r="C106" s="128">
        <f>IF($B106="","",SUMIFS(Grids!$BQ$12:$EC$111,Grids!$EE$12:$GQ$111,"&gt;="&amp;$B106*1000000000,Grids!$EE$12:$GQ$111,"&lt;"&amp;($B106+1)*1000000000))</f>
        <v/>
      </c>
      <c r="D106" s="128">
        <f>IF($B106="","",SUMIFS(Grids!$BQ$116:$EC$155,Grids!$EE$116:$GQ$155,"&gt;="&amp;$B106*1000000000,Grids!$EE$116:$GQ$155,"&lt;"&amp;($B106+1)*1000000000))</f>
        <v/>
      </c>
      <c r="E106" s="128">
        <f>IF($B106="","",SUMIFS(Grids!$BQ$160:$EC$219,Grids!$EE$160:$GQ$219,"&gt;="&amp;$B106*1000000000,Grids!$EE$160:$GQ$219,"&lt;"&amp;($B106+1)*1000000000))</f>
        <v/>
      </c>
      <c r="F106" s="129">
        <f>IF($B106="","",SUM($C$26:$C106))</f>
        <v/>
      </c>
      <c r="G106" s="129">
        <f>IF($B106="","",SUM($D$26:$D106))</f>
        <v/>
      </c>
      <c r="H106" s="129">
        <f>IF($B106="","",SUM($E$26:$E106))</f>
        <v/>
      </c>
    </row>
    <row r="107">
      <c r="B107" s="127">
        <f>IF(WIN_FROM+81&gt;WIN_TO,"",WIN_FROM+81)</f>
        <v/>
      </c>
      <c r="C107" s="128">
        <f>IF($B107="","",SUMIFS(Grids!$BQ$12:$EC$111,Grids!$EE$12:$GQ$111,"&gt;="&amp;$B107*1000000000,Grids!$EE$12:$GQ$111,"&lt;"&amp;($B107+1)*1000000000))</f>
        <v/>
      </c>
      <c r="D107" s="128">
        <f>IF($B107="","",SUMIFS(Grids!$BQ$116:$EC$155,Grids!$EE$116:$GQ$155,"&gt;="&amp;$B107*1000000000,Grids!$EE$116:$GQ$155,"&lt;"&amp;($B107+1)*1000000000))</f>
        <v/>
      </c>
      <c r="E107" s="128">
        <f>IF($B107="","",SUMIFS(Grids!$BQ$160:$EC$219,Grids!$EE$160:$GQ$219,"&gt;="&amp;$B107*1000000000,Grids!$EE$160:$GQ$219,"&lt;"&amp;($B107+1)*1000000000))</f>
        <v/>
      </c>
      <c r="F107" s="129">
        <f>IF($B107="","",SUM($C$26:$C107))</f>
        <v/>
      </c>
      <c r="G107" s="129">
        <f>IF($B107="","",SUM($D$26:$D107))</f>
        <v/>
      </c>
      <c r="H107" s="129">
        <f>IF($B107="","",SUM($E$26:$E107))</f>
        <v/>
      </c>
    </row>
    <row r="108">
      <c r="B108" s="127">
        <f>IF(WIN_FROM+82&gt;WIN_TO,"",WIN_FROM+82)</f>
        <v/>
      </c>
      <c r="C108" s="128">
        <f>IF($B108="","",SUMIFS(Grids!$BQ$12:$EC$111,Grids!$EE$12:$GQ$111,"&gt;="&amp;$B108*1000000000,Grids!$EE$12:$GQ$111,"&lt;"&amp;($B108+1)*1000000000))</f>
        <v/>
      </c>
      <c r="D108" s="128">
        <f>IF($B108="","",SUMIFS(Grids!$BQ$116:$EC$155,Grids!$EE$116:$GQ$155,"&gt;="&amp;$B108*1000000000,Grids!$EE$116:$GQ$155,"&lt;"&amp;($B108+1)*1000000000))</f>
        <v/>
      </c>
      <c r="E108" s="128">
        <f>IF($B108="","",SUMIFS(Grids!$BQ$160:$EC$219,Grids!$EE$160:$GQ$219,"&gt;="&amp;$B108*1000000000,Grids!$EE$160:$GQ$219,"&lt;"&amp;($B108+1)*1000000000))</f>
        <v/>
      </c>
      <c r="F108" s="129">
        <f>IF($B108="","",SUM($C$26:$C108))</f>
        <v/>
      </c>
      <c r="G108" s="129">
        <f>IF($B108="","",SUM($D$26:$D108))</f>
        <v/>
      </c>
      <c r="H108" s="129">
        <f>IF($B108="","",SUM($E$26:$E108))</f>
        <v/>
      </c>
    </row>
    <row r="109">
      <c r="B109" s="127">
        <f>IF(WIN_FROM+83&gt;WIN_TO,"",WIN_FROM+83)</f>
        <v/>
      </c>
      <c r="C109" s="128">
        <f>IF($B109="","",SUMIFS(Grids!$BQ$12:$EC$111,Grids!$EE$12:$GQ$111,"&gt;="&amp;$B109*1000000000,Grids!$EE$12:$GQ$111,"&lt;"&amp;($B109+1)*1000000000))</f>
        <v/>
      </c>
      <c r="D109" s="128">
        <f>IF($B109="","",SUMIFS(Grids!$BQ$116:$EC$155,Grids!$EE$116:$GQ$155,"&gt;="&amp;$B109*1000000000,Grids!$EE$116:$GQ$155,"&lt;"&amp;($B109+1)*1000000000))</f>
        <v/>
      </c>
      <c r="E109" s="128">
        <f>IF($B109="","",SUMIFS(Grids!$BQ$160:$EC$219,Grids!$EE$160:$GQ$219,"&gt;="&amp;$B109*1000000000,Grids!$EE$160:$GQ$219,"&lt;"&amp;($B109+1)*1000000000))</f>
        <v/>
      </c>
      <c r="F109" s="129">
        <f>IF($B109="","",SUM($C$26:$C109))</f>
        <v/>
      </c>
      <c r="G109" s="129">
        <f>IF($B109="","",SUM($D$26:$D109))</f>
        <v/>
      </c>
      <c r="H109" s="129">
        <f>IF($B109="","",SUM($E$26:$E109))</f>
        <v/>
      </c>
    </row>
    <row r="110">
      <c r="B110" s="127">
        <f>IF(WIN_FROM+84&gt;WIN_TO,"",WIN_FROM+84)</f>
        <v/>
      </c>
      <c r="C110" s="128">
        <f>IF($B110="","",SUMIFS(Grids!$BQ$12:$EC$111,Grids!$EE$12:$GQ$111,"&gt;="&amp;$B110*1000000000,Grids!$EE$12:$GQ$111,"&lt;"&amp;($B110+1)*1000000000))</f>
        <v/>
      </c>
      <c r="D110" s="128">
        <f>IF($B110="","",SUMIFS(Grids!$BQ$116:$EC$155,Grids!$EE$116:$GQ$155,"&gt;="&amp;$B110*1000000000,Grids!$EE$116:$GQ$155,"&lt;"&amp;($B110+1)*1000000000))</f>
        <v/>
      </c>
      <c r="E110" s="128">
        <f>IF($B110="","",SUMIFS(Grids!$BQ$160:$EC$219,Grids!$EE$160:$GQ$219,"&gt;="&amp;$B110*1000000000,Grids!$EE$160:$GQ$219,"&lt;"&amp;($B110+1)*1000000000))</f>
        <v/>
      </c>
      <c r="F110" s="129">
        <f>IF($B110="","",SUM($C$26:$C110))</f>
        <v/>
      </c>
      <c r="G110" s="129">
        <f>IF($B110="","",SUM($D$26:$D110))</f>
        <v/>
      </c>
      <c r="H110" s="129">
        <f>IF($B110="","",SUM($E$26:$E110))</f>
        <v/>
      </c>
    </row>
    <row r="111">
      <c r="B111" s="127">
        <f>IF(WIN_FROM+85&gt;WIN_TO,"",WIN_FROM+85)</f>
        <v/>
      </c>
      <c r="C111" s="128">
        <f>IF($B111="","",SUMIFS(Grids!$BQ$12:$EC$111,Grids!$EE$12:$GQ$111,"&gt;="&amp;$B111*1000000000,Grids!$EE$12:$GQ$111,"&lt;"&amp;($B111+1)*1000000000))</f>
        <v/>
      </c>
      <c r="D111" s="128">
        <f>IF($B111="","",SUMIFS(Grids!$BQ$116:$EC$155,Grids!$EE$116:$GQ$155,"&gt;="&amp;$B111*1000000000,Grids!$EE$116:$GQ$155,"&lt;"&amp;($B111+1)*1000000000))</f>
        <v/>
      </c>
      <c r="E111" s="128">
        <f>IF($B111="","",SUMIFS(Grids!$BQ$160:$EC$219,Grids!$EE$160:$GQ$219,"&gt;="&amp;$B111*1000000000,Grids!$EE$160:$GQ$219,"&lt;"&amp;($B111+1)*1000000000))</f>
        <v/>
      </c>
      <c r="F111" s="129">
        <f>IF($B111="","",SUM($C$26:$C111))</f>
        <v/>
      </c>
      <c r="G111" s="129">
        <f>IF($B111="","",SUM($D$26:$D111))</f>
        <v/>
      </c>
      <c r="H111" s="129">
        <f>IF($B111="","",SUM($E$26:$E111))</f>
        <v/>
      </c>
    </row>
    <row r="112">
      <c r="B112" s="127">
        <f>IF(WIN_FROM+86&gt;WIN_TO,"",WIN_FROM+86)</f>
        <v/>
      </c>
      <c r="C112" s="128">
        <f>IF($B112="","",SUMIFS(Grids!$BQ$12:$EC$111,Grids!$EE$12:$GQ$111,"&gt;="&amp;$B112*1000000000,Grids!$EE$12:$GQ$111,"&lt;"&amp;($B112+1)*1000000000))</f>
        <v/>
      </c>
      <c r="D112" s="128">
        <f>IF($B112="","",SUMIFS(Grids!$BQ$116:$EC$155,Grids!$EE$116:$GQ$155,"&gt;="&amp;$B112*1000000000,Grids!$EE$116:$GQ$155,"&lt;"&amp;($B112+1)*1000000000))</f>
        <v/>
      </c>
      <c r="E112" s="128">
        <f>IF($B112="","",SUMIFS(Grids!$BQ$160:$EC$219,Grids!$EE$160:$GQ$219,"&gt;="&amp;$B112*1000000000,Grids!$EE$160:$GQ$219,"&lt;"&amp;($B112+1)*1000000000))</f>
        <v/>
      </c>
      <c r="F112" s="129">
        <f>IF($B112="","",SUM($C$26:$C112))</f>
        <v/>
      </c>
      <c r="G112" s="129">
        <f>IF($B112="","",SUM($D$26:$D112))</f>
        <v/>
      </c>
      <c r="H112" s="129">
        <f>IF($B112="","",SUM($E$26:$E112))</f>
        <v/>
      </c>
    </row>
    <row r="113">
      <c r="B113" s="127">
        <f>IF(WIN_FROM+87&gt;WIN_TO,"",WIN_FROM+87)</f>
        <v/>
      </c>
      <c r="C113" s="128">
        <f>IF($B113="","",SUMIFS(Grids!$BQ$12:$EC$111,Grids!$EE$12:$GQ$111,"&gt;="&amp;$B113*1000000000,Grids!$EE$12:$GQ$111,"&lt;"&amp;($B113+1)*1000000000))</f>
        <v/>
      </c>
      <c r="D113" s="128">
        <f>IF($B113="","",SUMIFS(Grids!$BQ$116:$EC$155,Grids!$EE$116:$GQ$155,"&gt;="&amp;$B113*1000000000,Grids!$EE$116:$GQ$155,"&lt;"&amp;($B113+1)*1000000000))</f>
        <v/>
      </c>
      <c r="E113" s="128">
        <f>IF($B113="","",SUMIFS(Grids!$BQ$160:$EC$219,Grids!$EE$160:$GQ$219,"&gt;="&amp;$B113*1000000000,Grids!$EE$160:$GQ$219,"&lt;"&amp;($B113+1)*1000000000))</f>
        <v/>
      </c>
      <c r="F113" s="129">
        <f>IF($B113="","",SUM($C$26:$C113))</f>
        <v/>
      </c>
      <c r="G113" s="129">
        <f>IF($B113="","",SUM($D$26:$D113))</f>
        <v/>
      </c>
      <c r="H113" s="129">
        <f>IF($B113="","",SUM($E$26:$E113))</f>
        <v/>
      </c>
    </row>
    <row r="114">
      <c r="B114" s="127">
        <f>IF(WIN_FROM+88&gt;WIN_TO,"",WIN_FROM+88)</f>
        <v/>
      </c>
      <c r="C114" s="128">
        <f>IF($B114="","",SUMIFS(Grids!$BQ$12:$EC$111,Grids!$EE$12:$GQ$111,"&gt;="&amp;$B114*1000000000,Grids!$EE$12:$GQ$111,"&lt;"&amp;($B114+1)*1000000000))</f>
        <v/>
      </c>
      <c r="D114" s="128">
        <f>IF($B114="","",SUMIFS(Grids!$BQ$116:$EC$155,Grids!$EE$116:$GQ$155,"&gt;="&amp;$B114*1000000000,Grids!$EE$116:$GQ$155,"&lt;"&amp;($B114+1)*1000000000))</f>
        <v/>
      </c>
      <c r="E114" s="128">
        <f>IF($B114="","",SUMIFS(Grids!$BQ$160:$EC$219,Grids!$EE$160:$GQ$219,"&gt;="&amp;$B114*1000000000,Grids!$EE$160:$GQ$219,"&lt;"&amp;($B114+1)*1000000000))</f>
        <v/>
      </c>
      <c r="F114" s="129">
        <f>IF($B114="","",SUM($C$26:$C114))</f>
        <v/>
      </c>
      <c r="G114" s="129">
        <f>IF($B114="","",SUM($D$26:$D114))</f>
        <v/>
      </c>
      <c r="H114" s="129">
        <f>IF($B114="","",SUM($E$26:$E114))</f>
        <v/>
      </c>
    </row>
    <row r="115">
      <c r="B115" s="127">
        <f>IF(WIN_FROM+89&gt;WIN_TO,"",WIN_FROM+89)</f>
        <v/>
      </c>
      <c r="C115" s="128">
        <f>IF($B115="","",SUMIFS(Grids!$BQ$12:$EC$111,Grids!$EE$12:$GQ$111,"&gt;="&amp;$B115*1000000000,Grids!$EE$12:$GQ$111,"&lt;"&amp;($B115+1)*1000000000))</f>
        <v/>
      </c>
      <c r="D115" s="128">
        <f>IF($B115="","",SUMIFS(Grids!$BQ$116:$EC$155,Grids!$EE$116:$GQ$155,"&gt;="&amp;$B115*1000000000,Grids!$EE$116:$GQ$155,"&lt;"&amp;($B115+1)*1000000000))</f>
        <v/>
      </c>
      <c r="E115" s="128">
        <f>IF($B115="","",SUMIFS(Grids!$BQ$160:$EC$219,Grids!$EE$160:$GQ$219,"&gt;="&amp;$B115*1000000000,Grids!$EE$160:$GQ$219,"&lt;"&amp;($B115+1)*1000000000))</f>
        <v/>
      </c>
      <c r="F115" s="129">
        <f>IF($B115="","",SUM($C$26:$C115))</f>
        <v/>
      </c>
      <c r="G115" s="129">
        <f>IF($B115="","",SUM($D$26:$D115))</f>
        <v/>
      </c>
      <c r="H115" s="129">
        <f>IF($B115="","",SUM($E$26:$E115))</f>
        <v/>
      </c>
    </row>
    <row r="116">
      <c r="B116" s="127">
        <f>IF(WIN_FROM+90&gt;WIN_TO,"",WIN_FROM+90)</f>
        <v/>
      </c>
      <c r="C116" s="128">
        <f>IF($B116="","",SUMIFS(Grids!$BQ$12:$EC$111,Grids!$EE$12:$GQ$111,"&gt;="&amp;$B116*1000000000,Grids!$EE$12:$GQ$111,"&lt;"&amp;($B116+1)*1000000000))</f>
        <v/>
      </c>
      <c r="D116" s="128">
        <f>IF($B116="","",SUMIFS(Grids!$BQ$116:$EC$155,Grids!$EE$116:$GQ$155,"&gt;="&amp;$B116*1000000000,Grids!$EE$116:$GQ$155,"&lt;"&amp;($B116+1)*1000000000))</f>
        <v/>
      </c>
      <c r="E116" s="128">
        <f>IF($B116="","",SUMIFS(Grids!$BQ$160:$EC$219,Grids!$EE$160:$GQ$219,"&gt;="&amp;$B116*1000000000,Grids!$EE$160:$GQ$219,"&lt;"&amp;($B116+1)*1000000000))</f>
        <v/>
      </c>
      <c r="F116" s="129">
        <f>IF($B116="","",SUM($C$26:$C116))</f>
        <v/>
      </c>
      <c r="G116" s="129">
        <f>IF($B116="","",SUM($D$26:$D116))</f>
        <v/>
      </c>
      <c r="H116" s="129">
        <f>IF($B116="","",SUM($E$26:$E116))</f>
        <v/>
      </c>
    </row>
    <row r="117">
      <c r="B117" s="127">
        <f>IF(WIN_FROM+91&gt;WIN_TO,"",WIN_FROM+91)</f>
        <v/>
      </c>
      <c r="C117" s="128">
        <f>IF($B117="","",SUMIFS(Grids!$BQ$12:$EC$111,Grids!$EE$12:$GQ$111,"&gt;="&amp;$B117*1000000000,Grids!$EE$12:$GQ$111,"&lt;"&amp;($B117+1)*1000000000))</f>
        <v/>
      </c>
      <c r="D117" s="128">
        <f>IF($B117="","",SUMIFS(Grids!$BQ$116:$EC$155,Grids!$EE$116:$GQ$155,"&gt;="&amp;$B117*1000000000,Grids!$EE$116:$GQ$155,"&lt;"&amp;($B117+1)*1000000000))</f>
        <v/>
      </c>
      <c r="E117" s="128">
        <f>IF($B117="","",SUMIFS(Grids!$BQ$160:$EC$219,Grids!$EE$160:$GQ$219,"&gt;="&amp;$B117*1000000000,Grids!$EE$160:$GQ$219,"&lt;"&amp;($B117+1)*1000000000))</f>
        <v/>
      </c>
      <c r="F117" s="129">
        <f>IF($B117="","",SUM($C$26:$C117))</f>
        <v/>
      </c>
      <c r="G117" s="129">
        <f>IF($B117="","",SUM($D$26:$D117))</f>
        <v/>
      </c>
      <c r="H117" s="129">
        <f>IF($B117="","",SUM($E$26:$E117))</f>
        <v/>
      </c>
    </row>
    <row r="118">
      <c r="B118" s="127">
        <f>IF(WIN_FROM+92&gt;WIN_TO,"",WIN_FROM+92)</f>
        <v/>
      </c>
      <c r="C118" s="128">
        <f>IF($B118="","",SUMIFS(Grids!$BQ$12:$EC$111,Grids!$EE$12:$GQ$111,"&gt;="&amp;$B118*1000000000,Grids!$EE$12:$GQ$111,"&lt;"&amp;($B118+1)*1000000000))</f>
        <v/>
      </c>
      <c r="D118" s="128">
        <f>IF($B118="","",SUMIFS(Grids!$BQ$116:$EC$155,Grids!$EE$116:$GQ$155,"&gt;="&amp;$B118*1000000000,Grids!$EE$116:$GQ$155,"&lt;"&amp;($B118+1)*1000000000))</f>
        <v/>
      </c>
      <c r="E118" s="128">
        <f>IF($B118="","",SUMIFS(Grids!$BQ$160:$EC$219,Grids!$EE$160:$GQ$219,"&gt;="&amp;$B118*1000000000,Grids!$EE$160:$GQ$219,"&lt;"&amp;($B118+1)*1000000000))</f>
        <v/>
      </c>
      <c r="F118" s="129">
        <f>IF($B118="","",SUM($C$26:$C118))</f>
        <v/>
      </c>
      <c r="G118" s="129">
        <f>IF($B118="","",SUM($D$26:$D118))</f>
        <v/>
      </c>
      <c r="H118" s="129">
        <f>IF($B118="","",SUM($E$26:$E118))</f>
        <v/>
      </c>
    </row>
    <row r="119">
      <c r="B119" s="127">
        <f>IF(WIN_FROM+93&gt;WIN_TO,"",WIN_FROM+93)</f>
        <v/>
      </c>
      <c r="C119" s="128">
        <f>IF($B119="","",SUMIFS(Grids!$BQ$12:$EC$111,Grids!$EE$12:$GQ$111,"&gt;="&amp;$B119*1000000000,Grids!$EE$12:$GQ$111,"&lt;"&amp;($B119+1)*1000000000))</f>
        <v/>
      </c>
      <c r="D119" s="128">
        <f>IF($B119="","",SUMIFS(Grids!$BQ$116:$EC$155,Grids!$EE$116:$GQ$155,"&gt;="&amp;$B119*1000000000,Grids!$EE$116:$GQ$155,"&lt;"&amp;($B119+1)*1000000000))</f>
        <v/>
      </c>
      <c r="E119" s="128">
        <f>IF($B119="","",SUMIFS(Grids!$BQ$160:$EC$219,Grids!$EE$160:$GQ$219,"&gt;="&amp;$B119*1000000000,Grids!$EE$160:$GQ$219,"&lt;"&amp;($B119+1)*1000000000))</f>
        <v/>
      </c>
      <c r="F119" s="129">
        <f>IF($B119="","",SUM($C$26:$C119))</f>
        <v/>
      </c>
      <c r="G119" s="129">
        <f>IF($B119="","",SUM($D$26:$D119))</f>
        <v/>
      </c>
      <c r="H119" s="129">
        <f>IF($B119="","",SUM($E$26:$E119))</f>
        <v/>
      </c>
    </row>
    <row r="120">
      <c r="B120" s="127">
        <f>IF(WIN_FROM+94&gt;WIN_TO,"",WIN_FROM+94)</f>
        <v/>
      </c>
      <c r="C120" s="128">
        <f>IF($B120="","",SUMIFS(Grids!$BQ$12:$EC$111,Grids!$EE$12:$GQ$111,"&gt;="&amp;$B120*1000000000,Grids!$EE$12:$GQ$111,"&lt;"&amp;($B120+1)*1000000000))</f>
        <v/>
      </c>
      <c r="D120" s="128">
        <f>IF($B120="","",SUMIFS(Grids!$BQ$116:$EC$155,Grids!$EE$116:$GQ$155,"&gt;="&amp;$B120*1000000000,Grids!$EE$116:$GQ$155,"&lt;"&amp;($B120+1)*1000000000))</f>
        <v/>
      </c>
      <c r="E120" s="128">
        <f>IF($B120="","",SUMIFS(Grids!$BQ$160:$EC$219,Grids!$EE$160:$GQ$219,"&gt;="&amp;$B120*1000000000,Grids!$EE$160:$GQ$219,"&lt;"&amp;($B120+1)*1000000000))</f>
        <v/>
      </c>
      <c r="F120" s="129">
        <f>IF($B120="","",SUM($C$26:$C120))</f>
        <v/>
      </c>
      <c r="G120" s="129">
        <f>IF($B120="","",SUM($D$26:$D120))</f>
        <v/>
      </c>
      <c r="H120" s="129">
        <f>IF($B120="","",SUM($E$26:$E120))</f>
        <v/>
      </c>
    </row>
    <row r="121">
      <c r="B121" s="127">
        <f>IF(WIN_FROM+95&gt;WIN_TO,"",WIN_FROM+95)</f>
        <v/>
      </c>
      <c r="C121" s="128">
        <f>IF($B121="","",SUMIFS(Grids!$BQ$12:$EC$111,Grids!$EE$12:$GQ$111,"&gt;="&amp;$B121*1000000000,Grids!$EE$12:$GQ$111,"&lt;"&amp;($B121+1)*1000000000))</f>
        <v/>
      </c>
      <c r="D121" s="128">
        <f>IF($B121="","",SUMIFS(Grids!$BQ$116:$EC$155,Grids!$EE$116:$GQ$155,"&gt;="&amp;$B121*1000000000,Grids!$EE$116:$GQ$155,"&lt;"&amp;($B121+1)*1000000000))</f>
        <v/>
      </c>
      <c r="E121" s="128">
        <f>IF($B121="","",SUMIFS(Grids!$BQ$160:$EC$219,Grids!$EE$160:$GQ$219,"&gt;="&amp;$B121*1000000000,Grids!$EE$160:$GQ$219,"&lt;"&amp;($B121+1)*1000000000))</f>
        <v/>
      </c>
      <c r="F121" s="129">
        <f>IF($B121="","",SUM($C$26:$C121))</f>
        <v/>
      </c>
      <c r="G121" s="129">
        <f>IF($B121="","",SUM($D$26:$D121))</f>
        <v/>
      </c>
      <c r="H121" s="129">
        <f>IF($B121="","",SUM($E$26:$E121))</f>
        <v/>
      </c>
    </row>
    <row r="122">
      <c r="B122" s="127">
        <f>IF(WIN_FROM+96&gt;WIN_TO,"",WIN_FROM+96)</f>
        <v/>
      </c>
      <c r="C122" s="128">
        <f>IF($B122="","",SUMIFS(Grids!$BQ$12:$EC$111,Grids!$EE$12:$GQ$111,"&gt;="&amp;$B122*1000000000,Grids!$EE$12:$GQ$111,"&lt;"&amp;($B122+1)*1000000000))</f>
        <v/>
      </c>
      <c r="D122" s="128">
        <f>IF($B122="","",SUMIFS(Grids!$BQ$116:$EC$155,Grids!$EE$116:$GQ$155,"&gt;="&amp;$B122*1000000000,Grids!$EE$116:$GQ$155,"&lt;"&amp;($B122+1)*1000000000))</f>
        <v/>
      </c>
      <c r="E122" s="128">
        <f>IF($B122="","",SUMIFS(Grids!$BQ$160:$EC$219,Grids!$EE$160:$GQ$219,"&gt;="&amp;$B122*1000000000,Grids!$EE$160:$GQ$219,"&lt;"&amp;($B122+1)*1000000000))</f>
        <v/>
      </c>
      <c r="F122" s="129">
        <f>IF($B122="","",SUM($C$26:$C122))</f>
        <v/>
      </c>
      <c r="G122" s="129">
        <f>IF($B122="","",SUM($D$26:$D122))</f>
        <v/>
      </c>
      <c r="H122" s="129">
        <f>IF($B122="","",SUM($E$26:$E122))</f>
        <v/>
      </c>
    </row>
    <row r="123">
      <c r="B123" s="127">
        <f>IF(WIN_FROM+97&gt;WIN_TO,"",WIN_FROM+97)</f>
        <v/>
      </c>
      <c r="C123" s="128">
        <f>IF($B123="","",SUMIFS(Grids!$BQ$12:$EC$111,Grids!$EE$12:$GQ$111,"&gt;="&amp;$B123*1000000000,Grids!$EE$12:$GQ$111,"&lt;"&amp;($B123+1)*1000000000))</f>
        <v/>
      </c>
      <c r="D123" s="128">
        <f>IF($B123="","",SUMIFS(Grids!$BQ$116:$EC$155,Grids!$EE$116:$GQ$155,"&gt;="&amp;$B123*1000000000,Grids!$EE$116:$GQ$155,"&lt;"&amp;($B123+1)*1000000000))</f>
        <v/>
      </c>
      <c r="E123" s="128">
        <f>IF($B123="","",SUMIFS(Grids!$BQ$160:$EC$219,Grids!$EE$160:$GQ$219,"&gt;="&amp;$B123*1000000000,Grids!$EE$160:$GQ$219,"&lt;"&amp;($B123+1)*1000000000))</f>
        <v/>
      </c>
      <c r="F123" s="129">
        <f>IF($B123="","",SUM($C$26:$C123))</f>
        <v/>
      </c>
      <c r="G123" s="129">
        <f>IF($B123="","",SUM($D$26:$D123))</f>
        <v/>
      </c>
      <c r="H123" s="129">
        <f>IF($B123="","",SUM($E$26:$E123))</f>
        <v/>
      </c>
    </row>
    <row r="124">
      <c r="B124" s="127">
        <f>IF(WIN_FROM+98&gt;WIN_TO,"",WIN_FROM+98)</f>
        <v/>
      </c>
      <c r="C124" s="128">
        <f>IF($B124="","",SUMIFS(Grids!$BQ$12:$EC$111,Grids!$EE$12:$GQ$111,"&gt;="&amp;$B124*1000000000,Grids!$EE$12:$GQ$111,"&lt;"&amp;($B124+1)*1000000000))</f>
        <v/>
      </c>
      <c r="D124" s="128">
        <f>IF($B124="","",SUMIFS(Grids!$BQ$116:$EC$155,Grids!$EE$116:$GQ$155,"&gt;="&amp;$B124*1000000000,Grids!$EE$116:$GQ$155,"&lt;"&amp;($B124+1)*1000000000))</f>
        <v/>
      </c>
      <c r="E124" s="128">
        <f>IF($B124="","",SUMIFS(Grids!$BQ$160:$EC$219,Grids!$EE$160:$GQ$219,"&gt;="&amp;$B124*1000000000,Grids!$EE$160:$GQ$219,"&lt;"&amp;($B124+1)*1000000000))</f>
        <v/>
      </c>
      <c r="F124" s="129">
        <f>IF($B124="","",SUM($C$26:$C124))</f>
        <v/>
      </c>
      <c r="G124" s="129">
        <f>IF($B124="","",SUM($D$26:$D124))</f>
        <v/>
      </c>
      <c r="H124" s="129">
        <f>IF($B124="","",SUM($E$26:$E124))</f>
        <v/>
      </c>
    </row>
    <row r="125">
      <c r="B125" s="127">
        <f>IF(WIN_FROM+99&gt;WIN_TO,"",WIN_FROM+99)</f>
        <v/>
      </c>
      <c r="C125" s="128">
        <f>IF($B125="","",SUMIFS(Grids!$BQ$12:$EC$111,Grids!$EE$12:$GQ$111,"&gt;="&amp;$B125*1000000000,Grids!$EE$12:$GQ$111,"&lt;"&amp;($B125+1)*1000000000))</f>
        <v/>
      </c>
      <c r="D125" s="128">
        <f>IF($B125="","",SUMIFS(Grids!$BQ$116:$EC$155,Grids!$EE$116:$GQ$155,"&gt;="&amp;$B125*1000000000,Grids!$EE$116:$GQ$155,"&lt;"&amp;($B125+1)*1000000000))</f>
        <v/>
      </c>
      <c r="E125" s="128">
        <f>IF($B125="","",SUMIFS(Grids!$BQ$160:$EC$219,Grids!$EE$160:$GQ$219,"&gt;="&amp;$B125*1000000000,Grids!$EE$160:$GQ$219,"&lt;"&amp;($B125+1)*1000000000))</f>
        <v/>
      </c>
      <c r="F125" s="129">
        <f>IF($B125="","",SUM($C$26:$C125))</f>
        <v/>
      </c>
      <c r="G125" s="129">
        <f>IF($B125="","",SUM($D$26:$D125))</f>
        <v/>
      </c>
      <c r="H125" s="129">
        <f>IF($B125="","",SUM($E$26:$E125))</f>
        <v/>
      </c>
    </row>
    <row r="126">
      <c r="B126" s="127">
        <f>IF(WIN_FROM+100&gt;WIN_TO,"",WIN_FROM+100)</f>
        <v/>
      </c>
      <c r="C126" s="128">
        <f>IF($B126="","",SUMIFS(Grids!$BQ$12:$EC$111,Grids!$EE$12:$GQ$111,"&gt;="&amp;$B126*1000000000,Grids!$EE$12:$GQ$111,"&lt;"&amp;($B126+1)*1000000000))</f>
        <v/>
      </c>
      <c r="D126" s="128">
        <f>IF($B126="","",SUMIFS(Grids!$BQ$116:$EC$155,Grids!$EE$116:$GQ$155,"&gt;="&amp;$B126*1000000000,Grids!$EE$116:$GQ$155,"&lt;"&amp;($B126+1)*1000000000))</f>
        <v/>
      </c>
      <c r="E126" s="128">
        <f>IF($B126="","",SUMIFS(Grids!$BQ$160:$EC$219,Grids!$EE$160:$GQ$219,"&gt;="&amp;$B126*1000000000,Grids!$EE$160:$GQ$219,"&lt;"&amp;($B126+1)*1000000000))</f>
        <v/>
      </c>
      <c r="F126" s="129">
        <f>IF($B126="","",SUM($C$26:$C126))</f>
        <v/>
      </c>
      <c r="G126" s="129">
        <f>IF($B126="","",SUM($D$26:$D126))</f>
        <v/>
      </c>
      <c r="H126" s="129">
        <f>IF($B126="","",SUM($E$26:$E126))</f>
        <v/>
      </c>
    </row>
    <row r="127">
      <c r="B127" s="127">
        <f>IF(WIN_FROM+101&gt;WIN_TO,"",WIN_FROM+101)</f>
        <v/>
      </c>
      <c r="C127" s="128">
        <f>IF($B127="","",SUMIFS(Grids!$BQ$12:$EC$111,Grids!$EE$12:$GQ$111,"&gt;="&amp;$B127*1000000000,Grids!$EE$12:$GQ$111,"&lt;"&amp;($B127+1)*1000000000))</f>
        <v/>
      </c>
      <c r="D127" s="128">
        <f>IF($B127="","",SUMIFS(Grids!$BQ$116:$EC$155,Grids!$EE$116:$GQ$155,"&gt;="&amp;$B127*1000000000,Grids!$EE$116:$GQ$155,"&lt;"&amp;($B127+1)*1000000000))</f>
        <v/>
      </c>
      <c r="E127" s="128">
        <f>IF($B127="","",SUMIFS(Grids!$BQ$160:$EC$219,Grids!$EE$160:$GQ$219,"&gt;="&amp;$B127*1000000000,Grids!$EE$160:$GQ$219,"&lt;"&amp;($B127+1)*1000000000))</f>
        <v/>
      </c>
      <c r="F127" s="129">
        <f>IF($B127="","",SUM($C$26:$C127))</f>
        <v/>
      </c>
      <c r="G127" s="129">
        <f>IF($B127="","",SUM($D$26:$D127))</f>
        <v/>
      </c>
      <c r="H127" s="129">
        <f>IF($B127="","",SUM($E$26:$E127))</f>
        <v/>
      </c>
    </row>
    <row r="128">
      <c r="B128" s="127">
        <f>IF(WIN_FROM+102&gt;WIN_TO,"",WIN_FROM+102)</f>
        <v/>
      </c>
      <c r="C128" s="128">
        <f>IF($B128="","",SUMIFS(Grids!$BQ$12:$EC$111,Grids!$EE$12:$GQ$111,"&gt;="&amp;$B128*1000000000,Grids!$EE$12:$GQ$111,"&lt;"&amp;($B128+1)*1000000000))</f>
        <v/>
      </c>
      <c r="D128" s="128">
        <f>IF($B128="","",SUMIFS(Grids!$BQ$116:$EC$155,Grids!$EE$116:$GQ$155,"&gt;="&amp;$B128*1000000000,Grids!$EE$116:$GQ$155,"&lt;"&amp;($B128+1)*1000000000))</f>
        <v/>
      </c>
      <c r="E128" s="128">
        <f>IF($B128="","",SUMIFS(Grids!$BQ$160:$EC$219,Grids!$EE$160:$GQ$219,"&gt;="&amp;$B128*1000000000,Grids!$EE$160:$GQ$219,"&lt;"&amp;($B128+1)*1000000000))</f>
        <v/>
      </c>
      <c r="F128" s="129">
        <f>IF($B128="","",SUM($C$26:$C128))</f>
        <v/>
      </c>
      <c r="G128" s="129">
        <f>IF($B128="","",SUM($D$26:$D128))</f>
        <v/>
      </c>
      <c r="H128" s="129">
        <f>IF($B128="","",SUM($E$26:$E128))</f>
        <v/>
      </c>
    </row>
    <row r="129">
      <c r="B129" s="127">
        <f>IF(WIN_FROM+103&gt;WIN_TO,"",WIN_FROM+103)</f>
        <v/>
      </c>
      <c r="C129" s="128">
        <f>IF($B129="","",SUMIFS(Grids!$BQ$12:$EC$111,Grids!$EE$12:$GQ$111,"&gt;="&amp;$B129*1000000000,Grids!$EE$12:$GQ$111,"&lt;"&amp;($B129+1)*1000000000))</f>
        <v/>
      </c>
      <c r="D129" s="128">
        <f>IF($B129="","",SUMIFS(Grids!$BQ$116:$EC$155,Grids!$EE$116:$GQ$155,"&gt;="&amp;$B129*1000000000,Grids!$EE$116:$GQ$155,"&lt;"&amp;($B129+1)*1000000000))</f>
        <v/>
      </c>
      <c r="E129" s="128">
        <f>IF($B129="","",SUMIFS(Grids!$BQ$160:$EC$219,Grids!$EE$160:$GQ$219,"&gt;="&amp;$B129*1000000000,Grids!$EE$160:$GQ$219,"&lt;"&amp;($B129+1)*1000000000))</f>
        <v/>
      </c>
      <c r="F129" s="129">
        <f>IF($B129="","",SUM($C$26:$C129))</f>
        <v/>
      </c>
      <c r="G129" s="129">
        <f>IF($B129="","",SUM($D$26:$D129))</f>
        <v/>
      </c>
      <c r="H129" s="129">
        <f>IF($B129="","",SUM($E$26:$E129))</f>
        <v/>
      </c>
    </row>
    <row r="130">
      <c r="B130" s="127">
        <f>IF(WIN_FROM+104&gt;WIN_TO,"",WIN_FROM+104)</f>
        <v/>
      </c>
      <c r="C130" s="128">
        <f>IF($B130="","",SUMIFS(Grids!$BQ$12:$EC$111,Grids!$EE$12:$GQ$111,"&gt;="&amp;$B130*1000000000,Grids!$EE$12:$GQ$111,"&lt;"&amp;($B130+1)*1000000000))</f>
        <v/>
      </c>
      <c r="D130" s="128">
        <f>IF($B130="","",SUMIFS(Grids!$BQ$116:$EC$155,Grids!$EE$116:$GQ$155,"&gt;="&amp;$B130*1000000000,Grids!$EE$116:$GQ$155,"&lt;"&amp;($B130+1)*1000000000))</f>
        <v/>
      </c>
      <c r="E130" s="128">
        <f>IF($B130="","",SUMIFS(Grids!$BQ$160:$EC$219,Grids!$EE$160:$GQ$219,"&gt;="&amp;$B130*1000000000,Grids!$EE$160:$GQ$219,"&lt;"&amp;($B130+1)*1000000000))</f>
        <v/>
      </c>
      <c r="F130" s="129">
        <f>IF($B130="","",SUM($C$26:$C130))</f>
        <v/>
      </c>
      <c r="G130" s="129">
        <f>IF($B130="","",SUM($D$26:$D130))</f>
        <v/>
      </c>
      <c r="H130" s="129">
        <f>IF($B130="","",SUM($E$26:$E130))</f>
        <v/>
      </c>
    </row>
    <row r="131">
      <c r="B131" s="127">
        <f>IF(WIN_FROM+105&gt;WIN_TO,"",WIN_FROM+105)</f>
        <v/>
      </c>
      <c r="C131" s="128">
        <f>IF($B131="","",SUMIFS(Grids!$BQ$12:$EC$111,Grids!$EE$12:$GQ$111,"&gt;="&amp;$B131*1000000000,Grids!$EE$12:$GQ$111,"&lt;"&amp;($B131+1)*1000000000))</f>
        <v/>
      </c>
      <c r="D131" s="128">
        <f>IF($B131="","",SUMIFS(Grids!$BQ$116:$EC$155,Grids!$EE$116:$GQ$155,"&gt;="&amp;$B131*1000000000,Grids!$EE$116:$GQ$155,"&lt;"&amp;($B131+1)*1000000000))</f>
        <v/>
      </c>
      <c r="E131" s="128">
        <f>IF($B131="","",SUMIFS(Grids!$BQ$160:$EC$219,Grids!$EE$160:$GQ$219,"&gt;="&amp;$B131*1000000000,Grids!$EE$160:$GQ$219,"&lt;"&amp;($B131+1)*1000000000))</f>
        <v/>
      </c>
      <c r="F131" s="129">
        <f>IF($B131="","",SUM($C$26:$C131))</f>
        <v/>
      </c>
      <c r="G131" s="129">
        <f>IF($B131="","",SUM($D$26:$D131))</f>
        <v/>
      </c>
      <c r="H131" s="129">
        <f>IF($B131="","",SUM($E$26:$E131))</f>
        <v/>
      </c>
    </row>
    <row r="132">
      <c r="B132" s="127">
        <f>IF(WIN_FROM+106&gt;WIN_TO,"",WIN_FROM+106)</f>
        <v/>
      </c>
      <c r="C132" s="128">
        <f>IF($B132="","",SUMIFS(Grids!$BQ$12:$EC$111,Grids!$EE$12:$GQ$111,"&gt;="&amp;$B132*1000000000,Grids!$EE$12:$GQ$111,"&lt;"&amp;($B132+1)*1000000000))</f>
        <v/>
      </c>
      <c r="D132" s="128">
        <f>IF($B132="","",SUMIFS(Grids!$BQ$116:$EC$155,Grids!$EE$116:$GQ$155,"&gt;="&amp;$B132*1000000000,Grids!$EE$116:$GQ$155,"&lt;"&amp;($B132+1)*1000000000))</f>
        <v/>
      </c>
      <c r="E132" s="128">
        <f>IF($B132="","",SUMIFS(Grids!$BQ$160:$EC$219,Grids!$EE$160:$GQ$219,"&gt;="&amp;$B132*1000000000,Grids!$EE$160:$GQ$219,"&lt;"&amp;($B132+1)*1000000000))</f>
        <v/>
      </c>
      <c r="F132" s="129">
        <f>IF($B132="","",SUM($C$26:$C132))</f>
        <v/>
      </c>
      <c r="G132" s="129">
        <f>IF($B132="","",SUM($D$26:$D132))</f>
        <v/>
      </c>
      <c r="H132" s="129">
        <f>IF($B132="","",SUM($E$26:$E132))</f>
        <v/>
      </c>
    </row>
    <row r="133">
      <c r="B133" s="127">
        <f>IF(WIN_FROM+107&gt;WIN_TO,"",WIN_FROM+107)</f>
        <v/>
      </c>
      <c r="C133" s="128">
        <f>IF($B133="","",SUMIFS(Grids!$BQ$12:$EC$111,Grids!$EE$12:$GQ$111,"&gt;="&amp;$B133*1000000000,Grids!$EE$12:$GQ$111,"&lt;"&amp;($B133+1)*1000000000))</f>
        <v/>
      </c>
      <c r="D133" s="128">
        <f>IF($B133="","",SUMIFS(Grids!$BQ$116:$EC$155,Grids!$EE$116:$GQ$155,"&gt;="&amp;$B133*1000000000,Grids!$EE$116:$GQ$155,"&lt;"&amp;($B133+1)*1000000000))</f>
        <v/>
      </c>
      <c r="E133" s="128">
        <f>IF($B133="","",SUMIFS(Grids!$BQ$160:$EC$219,Grids!$EE$160:$GQ$219,"&gt;="&amp;$B133*1000000000,Grids!$EE$160:$GQ$219,"&lt;"&amp;($B133+1)*1000000000))</f>
        <v/>
      </c>
      <c r="F133" s="129">
        <f>IF($B133="","",SUM($C$26:$C133))</f>
        <v/>
      </c>
      <c r="G133" s="129">
        <f>IF($B133="","",SUM($D$26:$D133))</f>
        <v/>
      </c>
      <c r="H133" s="129">
        <f>IF($B133="","",SUM($E$26:$E133))</f>
        <v/>
      </c>
    </row>
    <row r="134">
      <c r="B134" s="127">
        <f>IF(WIN_FROM+108&gt;WIN_TO,"",WIN_FROM+108)</f>
        <v/>
      </c>
      <c r="C134" s="128">
        <f>IF($B134="","",SUMIFS(Grids!$BQ$12:$EC$111,Grids!$EE$12:$GQ$111,"&gt;="&amp;$B134*1000000000,Grids!$EE$12:$GQ$111,"&lt;"&amp;($B134+1)*1000000000))</f>
        <v/>
      </c>
      <c r="D134" s="128">
        <f>IF($B134="","",SUMIFS(Grids!$BQ$116:$EC$155,Grids!$EE$116:$GQ$155,"&gt;="&amp;$B134*1000000000,Grids!$EE$116:$GQ$155,"&lt;"&amp;($B134+1)*1000000000))</f>
        <v/>
      </c>
      <c r="E134" s="128">
        <f>IF($B134="","",SUMIFS(Grids!$BQ$160:$EC$219,Grids!$EE$160:$GQ$219,"&gt;="&amp;$B134*1000000000,Grids!$EE$160:$GQ$219,"&lt;"&amp;($B134+1)*1000000000))</f>
        <v/>
      </c>
      <c r="F134" s="129">
        <f>IF($B134="","",SUM($C$26:$C134))</f>
        <v/>
      </c>
      <c r="G134" s="129">
        <f>IF($B134="","",SUM($D$26:$D134))</f>
        <v/>
      </c>
      <c r="H134" s="129">
        <f>IF($B134="","",SUM($E$26:$E134))</f>
        <v/>
      </c>
    </row>
    <row r="135">
      <c r="B135" s="127">
        <f>IF(WIN_FROM+109&gt;WIN_TO,"",WIN_FROM+109)</f>
        <v/>
      </c>
      <c r="C135" s="128">
        <f>IF($B135="","",SUMIFS(Grids!$BQ$12:$EC$111,Grids!$EE$12:$GQ$111,"&gt;="&amp;$B135*1000000000,Grids!$EE$12:$GQ$111,"&lt;"&amp;($B135+1)*1000000000))</f>
        <v/>
      </c>
      <c r="D135" s="128">
        <f>IF($B135="","",SUMIFS(Grids!$BQ$116:$EC$155,Grids!$EE$116:$GQ$155,"&gt;="&amp;$B135*1000000000,Grids!$EE$116:$GQ$155,"&lt;"&amp;($B135+1)*1000000000))</f>
        <v/>
      </c>
      <c r="E135" s="128">
        <f>IF($B135="","",SUMIFS(Grids!$BQ$160:$EC$219,Grids!$EE$160:$GQ$219,"&gt;="&amp;$B135*1000000000,Grids!$EE$160:$GQ$219,"&lt;"&amp;($B135+1)*1000000000))</f>
        <v/>
      </c>
      <c r="F135" s="129">
        <f>IF($B135="","",SUM($C$26:$C135))</f>
        <v/>
      </c>
      <c r="G135" s="129">
        <f>IF($B135="","",SUM($D$26:$D135))</f>
        <v/>
      </c>
      <c r="H135" s="129">
        <f>IF($B135="","",SUM($E$26:$E135))</f>
        <v/>
      </c>
    </row>
    <row r="136">
      <c r="B136" s="127">
        <f>IF(WIN_FROM+110&gt;WIN_TO,"",WIN_FROM+110)</f>
        <v/>
      </c>
      <c r="C136" s="128">
        <f>IF($B136="","",SUMIFS(Grids!$BQ$12:$EC$111,Grids!$EE$12:$GQ$111,"&gt;="&amp;$B136*1000000000,Grids!$EE$12:$GQ$111,"&lt;"&amp;($B136+1)*1000000000))</f>
        <v/>
      </c>
      <c r="D136" s="128">
        <f>IF($B136="","",SUMIFS(Grids!$BQ$116:$EC$155,Grids!$EE$116:$GQ$155,"&gt;="&amp;$B136*1000000000,Grids!$EE$116:$GQ$155,"&lt;"&amp;($B136+1)*1000000000))</f>
        <v/>
      </c>
      <c r="E136" s="128">
        <f>IF($B136="","",SUMIFS(Grids!$BQ$160:$EC$219,Grids!$EE$160:$GQ$219,"&gt;="&amp;$B136*1000000000,Grids!$EE$160:$GQ$219,"&lt;"&amp;($B136+1)*1000000000))</f>
        <v/>
      </c>
      <c r="F136" s="129">
        <f>IF($B136="","",SUM($C$26:$C136))</f>
        <v/>
      </c>
      <c r="G136" s="129">
        <f>IF($B136="","",SUM($D$26:$D136))</f>
        <v/>
      </c>
      <c r="H136" s="129">
        <f>IF($B136="","",SUM($E$26:$E136))</f>
        <v/>
      </c>
    </row>
    <row r="137">
      <c r="B137" s="127">
        <f>IF(WIN_FROM+111&gt;WIN_TO,"",WIN_FROM+111)</f>
        <v/>
      </c>
      <c r="C137" s="128">
        <f>IF($B137="","",SUMIFS(Grids!$BQ$12:$EC$111,Grids!$EE$12:$GQ$111,"&gt;="&amp;$B137*1000000000,Grids!$EE$12:$GQ$111,"&lt;"&amp;($B137+1)*1000000000))</f>
        <v/>
      </c>
      <c r="D137" s="128">
        <f>IF($B137="","",SUMIFS(Grids!$BQ$116:$EC$155,Grids!$EE$116:$GQ$155,"&gt;="&amp;$B137*1000000000,Grids!$EE$116:$GQ$155,"&lt;"&amp;($B137+1)*1000000000))</f>
        <v/>
      </c>
      <c r="E137" s="128">
        <f>IF($B137="","",SUMIFS(Grids!$BQ$160:$EC$219,Grids!$EE$160:$GQ$219,"&gt;="&amp;$B137*1000000000,Grids!$EE$160:$GQ$219,"&lt;"&amp;($B137+1)*1000000000))</f>
        <v/>
      </c>
      <c r="F137" s="129">
        <f>IF($B137="","",SUM($C$26:$C137))</f>
        <v/>
      </c>
      <c r="G137" s="129">
        <f>IF($B137="","",SUM($D$26:$D137))</f>
        <v/>
      </c>
      <c r="H137" s="129">
        <f>IF($B137="","",SUM($E$26:$E137))</f>
        <v/>
      </c>
    </row>
    <row r="138">
      <c r="B138" s="127">
        <f>IF(WIN_FROM+112&gt;WIN_TO,"",WIN_FROM+112)</f>
        <v/>
      </c>
      <c r="C138" s="128">
        <f>IF($B138="","",SUMIFS(Grids!$BQ$12:$EC$111,Grids!$EE$12:$GQ$111,"&gt;="&amp;$B138*1000000000,Grids!$EE$12:$GQ$111,"&lt;"&amp;($B138+1)*1000000000))</f>
        <v/>
      </c>
      <c r="D138" s="128">
        <f>IF($B138="","",SUMIFS(Grids!$BQ$116:$EC$155,Grids!$EE$116:$GQ$155,"&gt;="&amp;$B138*1000000000,Grids!$EE$116:$GQ$155,"&lt;"&amp;($B138+1)*1000000000))</f>
        <v/>
      </c>
      <c r="E138" s="128">
        <f>IF($B138="","",SUMIFS(Grids!$BQ$160:$EC$219,Grids!$EE$160:$GQ$219,"&gt;="&amp;$B138*1000000000,Grids!$EE$160:$GQ$219,"&lt;"&amp;($B138+1)*1000000000))</f>
        <v/>
      </c>
      <c r="F138" s="129">
        <f>IF($B138="","",SUM($C$26:$C138))</f>
        <v/>
      </c>
      <c r="G138" s="129">
        <f>IF($B138="","",SUM($D$26:$D138))</f>
        <v/>
      </c>
      <c r="H138" s="129">
        <f>IF($B138="","",SUM($E$26:$E138))</f>
        <v/>
      </c>
    </row>
    <row r="139">
      <c r="B139" s="127">
        <f>IF(WIN_FROM+113&gt;WIN_TO,"",WIN_FROM+113)</f>
        <v/>
      </c>
      <c r="C139" s="128">
        <f>IF($B139="","",SUMIFS(Grids!$BQ$12:$EC$111,Grids!$EE$12:$GQ$111,"&gt;="&amp;$B139*1000000000,Grids!$EE$12:$GQ$111,"&lt;"&amp;($B139+1)*1000000000))</f>
        <v/>
      </c>
      <c r="D139" s="128">
        <f>IF($B139="","",SUMIFS(Grids!$BQ$116:$EC$155,Grids!$EE$116:$GQ$155,"&gt;="&amp;$B139*1000000000,Grids!$EE$116:$GQ$155,"&lt;"&amp;($B139+1)*1000000000))</f>
        <v/>
      </c>
      <c r="E139" s="128">
        <f>IF($B139="","",SUMIFS(Grids!$BQ$160:$EC$219,Grids!$EE$160:$GQ$219,"&gt;="&amp;$B139*1000000000,Grids!$EE$160:$GQ$219,"&lt;"&amp;($B139+1)*1000000000))</f>
        <v/>
      </c>
      <c r="F139" s="129">
        <f>IF($B139="","",SUM($C$26:$C139))</f>
        <v/>
      </c>
      <c r="G139" s="129">
        <f>IF($B139="","",SUM($D$26:$D139))</f>
        <v/>
      </c>
      <c r="H139" s="129">
        <f>IF($B139="","",SUM($E$26:$E139))</f>
        <v/>
      </c>
    </row>
    <row r="140">
      <c r="B140" s="127">
        <f>IF(WIN_FROM+114&gt;WIN_TO,"",WIN_FROM+114)</f>
        <v/>
      </c>
      <c r="C140" s="128">
        <f>IF($B140="","",SUMIFS(Grids!$BQ$12:$EC$111,Grids!$EE$12:$GQ$111,"&gt;="&amp;$B140*1000000000,Grids!$EE$12:$GQ$111,"&lt;"&amp;($B140+1)*1000000000))</f>
        <v/>
      </c>
      <c r="D140" s="128">
        <f>IF($B140="","",SUMIFS(Grids!$BQ$116:$EC$155,Grids!$EE$116:$GQ$155,"&gt;="&amp;$B140*1000000000,Grids!$EE$116:$GQ$155,"&lt;"&amp;($B140+1)*1000000000))</f>
        <v/>
      </c>
      <c r="E140" s="128">
        <f>IF($B140="","",SUMIFS(Grids!$BQ$160:$EC$219,Grids!$EE$160:$GQ$219,"&gt;="&amp;$B140*1000000000,Grids!$EE$160:$GQ$219,"&lt;"&amp;($B140+1)*1000000000))</f>
        <v/>
      </c>
      <c r="F140" s="129">
        <f>IF($B140="","",SUM($C$26:$C140))</f>
        <v/>
      </c>
      <c r="G140" s="129">
        <f>IF($B140="","",SUM($D$26:$D140))</f>
        <v/>
      </c>
      <c r="H140" s="129">
        <f>IF($B140="","",SUM($E$26:$E140))</f>
        <v/>
      </c>
    </row>
    <row r="141">
      <c r="B141" s="127">
        <f>IF(WIN_FROM+115&gt;WIN_TO,"",WIN_FROM+115)</f>
        <v/>
      </c>
      <c r="C141" s="128">
        <f>IF($B141="","",SUMIFS(Grids!$BQ$12:$EC$111,Grids!$EE$12:$GQ$111,"&gt;="&amp;$B141*1000000000,Grids!$EE$12:$GQ$111,"&lt;"&amp;($B141+1)*1000000000))</f>
        <v/>
      </c>
      <c r="D141" s="128">
        <f>IF($B141="","",SUMIFS(Grids!$BQ$116:$EC$155,Grids!$EE$116:$GQ$155,"&gt;="&amp;$B141*1000000000,Grids!$EE$116:$GQ$155,"&lt;"&amp;($B141+1)*1000000000))</f>
        <v/>
      </c>
      <c r="E141" s="128">
        <f>IF($B141="","",SUMIFS(Grids!$BQ$160:$EC$219,Grids!$EE$160:$GQ$219,"&gt;="&amp;$B141*1000000000,Grids!$EE$160:$GQ$219,"&lt;"&amp;($B141+1)*1000000000))</f>
        <v/>
      </c>
      <c r="F141" s="129">
        <f>IF($B141="","",SUM($C$26:$C141))</f>
        <v/>
      </c>
      <c r="G141" s="129">
        <f>IF($B141="","",SUM($D$26:$D141))</f>
        <v/>
      </c>
      <c r="H141" s="129">
        <f>IF($B141="","",SUM($E$26:$E141))</f>
        <v/>
      </c>
    </row>
    <row r="142">
      <c r="B142" s="127">
        <f>IF(WIN_FROM+116&gt;WIN_TO,"",WIN_FROM+116)</f>
        <v/>
      </c>
      <c r="C142" s="128">
        <f>IF($B142="","",SUMIFS(Grids!$BQ$12:$EC$111,Grids!$EE$12:$GQ$111,"&gt;="&amp;$B142*1000000000,Grids!$EE$12:$GQ$111,"&lt;"&amp;($B142+1)*1000000000))</f>
        <v/>
      </c>
      <c r="D142" s="128">
        <f>IF($B142="","",SUMIFS(Grids!$BQ$116:$EC$155,Grids!$EE$116:$GQ$155,"&gt;="&amp;$B142*1000000000,Grids!$EE$116:$GQ$155,"&lt;"&amp;($B142+1)*1000000000))</f>
        <v/>
      </c>
      <c r="E142" s="128">
        <f>IF($B142="","",SUMIFS(Grids!$BQ$160:$EC$219,Grids!$EE$160:$GQ$219,"&gt;="&amp;$B142*1000000000,Grids!$EE$160:$GQ$219,"&lt;"&amp;($B142+1)*1000000000))</f>
        <v/>
      </c>
      <c r="F142" s="129">
        <f>IF($B142="","",SUM($C$26:$C142))</f>
        <v/>
      </c>
      <c r="G142" s="129">
        <f>IF($B142="","",SUM($D$26:$D142))</f>
        <v/>
      </c>
      <c r="H142" s="129">
        <f>IF($B142="","",SUM($E$26:$E142))</f>
        <v/>
      </c>
    </row>
    <row r="143">
      <c r="B143" s="127">
        <f>IF(WIN_FROM+117&gt;WIN_TO,"",WIN_FROM+117)</f>
        <v/>
      </c>
      <c r="C143" s="128">
        <f>IF($B143="","",SUMIFS(Grids!$BQ$12:$EC$111,Grids!$EE$12:$GQ$111,"&gt;="&amp;$B143*1000000000,Grids!$EE$12:$GQ$111,"&lt;"&amp;($B143+1)*1000000000))</f>
        <v/>
      </c>
      <c r="D143" s="128">
        <f>IF($B143="","",SUMIFS(Grids!$BQ$116:$EC$155,Grids!$EE$116:$GQ$155,"&gt;="&amp;$B143*1000000000,Grids!$EE$116:$GQ$155,"&lt;"&amp;($B143+1)*1000000000))</f>
        <v/>
      </c>
      <c r="E143" s="128">
        <f>IF($B143="","",SUMIFS(Grids!$BQ$160:$EC$219,Grids!$EE$160:$GQ$219,"&gt;="&amp;$B143*1000000000,Grids!$EE$160:$GQ$219,"&lt;"&amp;($B143+1)*1000000000))</f>
        <v/>
      </c>
      <c r="F143" s="129">
        <f>IF($B143="","",SUM($C$26:$C143))</f>
        <v/>
      </c>
      <c r="G143" s="129">
        <f>IF($B143="","",SUM($D$26:$D143))</f>
        <v/>
      </c>
      <c r="H143" s="129">
        <f>IF($B143="","",SUM($E$26:$E143))</f>
        <v/>
      </c>
    </row>
    <row r="144">
      <c r="B144" s="127">
        <f>IF(WIN_FROM+118&gt;WIN_TO,"",WIN_FROM+118)</f>
        <v/>
      </c>
      <c r="C144" s="128">
        <f>IF($B144="","",SUMIFS(Grids!$BQ$12:$EC$111,Grids!$EE$12:$GQ$111,"&gt;="&amp;$B144*1000000000,Grids!$EE$12:$GQ$111,"&lt;"&amp;($B144+1)*1000000000))</f>
        <v/>
      </c>
      <c r="D144" s="128">
        <f>IF($B144="","",SUMIFS(Grids!$BQ$116:$EC$155,Grids!$EE$116:$GQ$155,"&gt;="&amp;$B144*1000000000,Grids!$EE$116:$GQ$155,"&lt;"&amp;($B144+1)*1000000000))</f>
        <v/>
      </c>
      <c r="E144" s="128">
        <f>IF($B144="","",SUMIFS(Grids!$BQ$160:$EC$219,Grids!$EE$160:$GQ$219,"&gt;="&amp;$B144*1000000000,Grids!$EE$160:$GQ$219,"&lt;"&amp;($B144+1)*1000000000))</f>
        <v/>
      </c>
      <c r="F144" s="129">
        <f>IF($B144="","",SUM($C$26:$C144))</f>
        <v/>
      </c>
      <c r="G144" s="129">
        <f>IF($B144="","",SUM($D$26:$D144))</f>
        <v/>
      </c>
      <c r="H144" s="129">
        <f>IF($B144="","",SUM($E$26:$E144))</f>
        <v/>
      </c>
    </row>
    <row r="145">
      <c r="B145" s="127">
        <f>IF(WIN_FROM+119&gt;WIN_TO,"",WIN_FROM+119)</f>
        <v/>
      </c>
      <c r="C145" s="128">
        <f>IF($B145="","",SUMIFS(Grids!$BQ$12:$EC$111,Grids!$EE$12:$GQ$111,"&gt;="&amp;$B145*1000000000,Grids!$EE$12:$GQ$111,"&lt;"&amp;($B145+1)*1000000000))</f>
        <v/>
      </c>
      <c r="D145" s="128">
        <f>IF($B145="","",SUMIFS(Grids!$BQ$116:$EC$155,Grids!$EE$116:$GQ$155,"&gt;="&amp;$B145*1000000000,Grids!$EE$116:$GQ$155,"&lt;"&amp;($B145+1)*1000000000))</f>
        <v/>
      </c>
      <c r="E145" s="128">
        <f>IF($B145="","",SUMIFS(Grids!$BQ$160:$EC$219,Grids!$EE$160:$GQ$219,"&gt;="&amp;$B145*1000000000,Grids!$EE$160:$GQ$219,"&lt;"&amp;($B145+1)*1000000000))</f>
        <v/>
      </c>
      <c r="F145" s="129">
        <f>IF($B145="","",SUM($C$26:$C145))</f>
        <v/>
      </c>
      <c r="G145" s="129">
        <f>IF($B145="","",SUM($D$26:$D145))</f>
        <v/>
      </c>
      <c r="H145" s="129">
        <f>IF($B145="","",SUM($E$26:$E145))</f>
        <v/>
      </c>
    </row>
    <row r="146">
      <c r="B146" s="127">
        <f>IF(WIN_FROM+120&gt;WIN_TO,"",WIN_FROM+120)</f>
        <v/>
      </c>
      <c r="C146" s="128">
        <f>IF($B146="","",SUMIFS(Grids!$BQ$12:$EC$111,Grids!$EE$12:$GQ$111,"&gt;="&amp;$B146*1000000000,Grids!$EE$12:$GQ$111,"&lt;"&amp;($B146+1)*1000000000))</f>
        <v/>
      </c>
      <c r="D146" s="128">
        <f>IF($B146="","",SUMIFS(Grids!$BQ$116:$EC$155,Grids!$EE$116:$GQ$155,"&gt;="&amp;$B146*1000000000,Grids!$EE$116:$GQ$155,"&lt;"&amp;($B146+1)*1000000000))</f>
        <v/>
      </c>
      <c r="E146" s="128">
        <f>IF($B146="","",SUMIFS(Grids!$BQ$160:$EC$219,Grids!$EE$160:$GQ$219,"&gt;="&amp;$B146*1000000000,Grids!$EE$160:$GQ$219,"&lt;"&amp;($B146+1)*1000000000))</f>
        <v/>
      </c>
      <c r="F146" s="129">
        <f>IF($B146="","",SUM($C$26:$C146))</f>
        <v/>
      </c>
      <c r="G146" s="129">
        <f>IF($B146="","",SUM($D$26:$D146))</f>
        <v/>
      </c>
      <c r="H146" s="129">
        <f>IF($B146="","",SUM($E$26:$E146))</f>
        <v/>
      </c>
    </row>
    <row r="147">
      <c r="B147" s="127">
        <f>IF(WIN_FROM+121&gt;WIN_TO,"",WIN_FROM+121)</f>
        <v/>
      </c>
      <c r="C147" s="128">
        <f>IF($B147="","",SUMIFS(Grids!$BQ$12:$EC$111,Grids!$EE$12:$GQ$111,"&gt;="&amp;$B147*1000000000,Grids!$EE$12:$GQ$111,"&lt;"&amp;($B147+1)*1000000000))</f>
        <v/>
      </c>
      <c r="D147" s="128">
        <f>IF($B147="","",SUMIFS(Grids!$BQ$116:$EC$155,Grids!$EE$116:$GQ$155,"&gt;="&amp;$B147*1000000000,Grids!$EE$116:$GQ$155,"&lt;"&amp;($B147+1)*1000000000))</f>
        <v/>
      </c>
      <c r="E147" s="128">
        <f>IF($B147="","",SUMIFS(Grids!$BQ$160:$EC$219,Grids!$EE$160:$GQ$219,"&gt;="&amp;$B147*1000000000,Grids!$EE$160:$GQ$219,"&lt;"&amp;($B147+1)*1000000000))</f>
        <v/>
      </c>
      <c r="F147" s="129">
        <f>IF($B147="","",SUM($C$26:$C147))</f>
        <v/>
      </c>
      <c r="G147" s="129">
        <f>IF($B147="","",SUM($D$26:$D147))</f>
        <v/>
      </c>
      <c r="H147" s="129">
        <f>IF($B147="","",SUM($E$26:$E147))</f>
        <v/>
      </c>
    </row>
    <row r="148">
      <c r="B148" s="127">
        <f>IF(WIN_FROM+122&gt;WIN_TO,"",WIN_FROM+122)</f>
        <v/>
      </c>
      <c r="C148" s="128">
        <f>IF($B148="","",SUMIFS(Grids!$BQ$12:$EC$111,Grids!$EE$12:$GQ$111,"&gt;="&amp;$B148*1000000000,Grids!$EE$12:$GQ$111,"&lt;"&amp;($B148+1)*1000000000))</f>
        <v/>
      </c>
      <c r="D148" s="128">
        <f>IF($B148="","",SUMIFS(Grids!$BQ$116:$EC$155,Grids!$EE$116:$GQ$155,"&gt;="&amp;$B148*1000000000,Grids!$EE$116:$GQ$155,"&lt;"&amp;($B148+1)*1000000000))</f>
        <v/>
      </c>
      <c r="E148" s="128">
        <f>IF($B148="","",SUMIFS(Grids!$BQ$160:$EC$219,Grids!$EE$160:$GQ$219,"&gt;="&amp;$B148*1000000000,Grids!$EE$160:$GQ$219,"&lt;"&amp;($B148+1)*1000000000))</f>
        <v/>
      </c>
      <c r="F148" s="129">
        <f>IF($B148="","",SUM($C$26:$C148))</f>
        <v/>
      </c>
      <c r="G148" s="129">
        <f>IF($B148="","",SUM($D$26:$D148))</f>
        <v/>
      </c>
      <c r="H148" s="129">
        <f>IF($B148="","",SUM($E$26:$E148))</f>
        <v/>
      </c>
    </row>
    <row r="149">
      <c r="B149" s="127">
        <f>IF(WIN_FROM+123&gt;WIN_TO,"",WIN_FROM+123)</f>
        <v/>
      </c>
      <c r="C149" s="128">
        <f>IF($B149="","",SUMIFS(Grids!$BQ$12:$EC$111,Grids!$EE$12:$GQ$111,"&gt;="&amp;$B149*1000000000,Grids!$EE$12:$GQ$111,"&lt;"&amp;($B149+1)*1000000000))</f>
        <v/>
      </c>
      <c r="D149" s="128">
        <f>IF($B149="","",SUMIFS(Grids!$BQ$116:$EC$155,Grids!$EE$116:$GQ$155,"&gt;="&amp;$B149*1000000000,Grids!$EE$116:$GQ$155,"&lt;"&amp;($B149+1)*1000000000))</f>
        <v/>
      </c>
      <c r="E149" s="128">
        <f>IF($B149="","",SUMIFS(Grids!$BQ$160:$EC$219,Grids!$EE$160:$GQ$219,"&gt;="&amp;$B149*1000000000,Grids!$EE$160:$GQ$219,"&lt;"&amp;($B149+1)*1000000000))</f>
        <v/>
      </c>
      <c r="F149" s="129">
        <f>IF($B149="","",SUM($C$26:$C149))</f>
        <v/>
      </c>
      <c r="G149" s="129">
        <f>IF($B149="","",SUM($D$26:$D149))</f>
        <v/>
      </c>
      <c r="H149" s="129">
        <f>IF($B149="","",SUM($E$26:$E149))</f>
        <v/>
      </c>
    </row>
    <row r="150">
      <c r="B150" s="127">
        <f>IF(WIN_FROM+124&gt;WIN_TO,"",WIN_FROM+124)</f>
        <v/>
      </c>
      <c r="C150" s="128">
        <f>IF($B150="","",SUMIFS(Grids!$BQ$12:$EC$111,Grids!$EE$12:$GQ$111,"&gt;="&amp;$B150*1000000000,Grids!$EE$12:$GQ$111,"&lt;"&amp;($B150+1)*1000000000))</f>
        <v/>
      </c>
      <c r="D150" s="128">
        <f>IF($B150="","",SUMIFS(Grids!$BQ$116:$EC$155,Grids!$EE$116:$GQ$155,"&gt;="&amp;$B150*1000000000,Grids!$EE$116:$GQ$155,"&lt;"&amp;($B150+1)*1000000000))</f>
        <v/>
      </c>
      <c r="E150" s="128">
        <f>IF($B150="","",SUMIFS(Grids!$BQ$160:$EC$219,Grids!$EE$160:$GQ$219,"&gt;="&amp;$B150*1000000000,Grids!$EE$160:$GQ$219,"&lt;"&amp;($B150+1)*1000000000))</f>
        <v/>
      </c>
      <c r="F150" s="129">
        <f>IF($B150="","",SUM($C$26:$C150))</f>
        <v/>
      </c>
      <c r="G150" s="129">
        <f>IF($B150="","",SUM($D$26:$D150))</f>
        <v/>
      </c>
      <c r="H150" s="129">
        <f>IF($B150="","",SUM($E$26:$E150))</f>
        <v/>
      </c>
    </row>
    <row r="151">
      <c r="B151" s="127">
        <f>IF(WIN_FROM+125&gt;WIN_TO,"",WIN_FROM+125)</f>
        <v/>
      </c>
      <c r="C151" s="128">
        <f>IF($B151="","",SUMIFS(Grids!$BQ$12:$EC$111,Grids!$EE$12:$GQ$111,"&gt;="&amp;$B151*1000000000,Grids!$EE$12:$GQ$111,"&lt;"&amp;($B151+1)*1000000000))</f>
        <v/>
      </c>
      <c r="D151" s="128">
        <f>IF($B151="","",SUMIFS(Grids!$BQ$116:$EC$155,Grids!$EE$116:$GQ$155,"&gt;="&amp;$B151*1000000000,Grids!$EE$116:$GQ$155,"&lt;"&amp;($B151+1)*1000000000))</f>
        <v/>
      </c>
      <c r="E151" s="128">
        <f>IF($B151="","",SUMIFS(Grids!$BQ$160:$EC$219,Grids!$EE$160:$GQ$219,"&gt;="&amp;$B151*1000000000,Grids!$EE$160:$GQ$219,"&lt;"&amp;($B151+1)*1000000000))</f>
        <v/>
      </c>
      <c r="F151" s="129">
        <f>IF($B151="","",SUM($C$26:$C151))</f>
        <v/>
      </c>
      <c r="G151" s="129">
        <f>IF($B151="","",SUM($D$26:$D151))</f>
        <v/>
      </c>
      <c r="H151" s="129">
        <f>IF($B151="","",SUM($E$26:$E151))</f>
        <v/>
      </c>
    </row>
    <row r="152">
      <c r="B152" s="127">
        <f>IF(WIN_FROM+126&gt;WIN_TO,"",WIN_FROM+126)</f>
        <v/>
      </c>
      <c r="C152" s="128">
        <f>IF($B152="","",SUMIFS(Grids!$BQ$12:$EC$111,Grids!$EE$12:$GQ$111,"&gt;="&amp;$B152*1000000000,Grids!$EE$12:$GQ$111,"&lt;"&amp;($B152+1)*1000000000))</f>
        <v/>
      </c>
      <c r="D152" s="128">
        <f>IF($B152="","",SUMIFS(Grids!$BQ$116:$EC$155,Grids!$EE$116:$GQ$155,"&gt;="&amp;$B152*1000000000,Grids!$EE$116:$GQ$155,"&lt;"&amp;($B152+1)*1000000000))</f>
        <v/>
      </c>
      <c r="E152" s="128">
        <f>IF($B152="","",SUMIFS(Grids!$BQ$160:$EC$219,Grids!$EE$160:$GQ$219,"&gt;="&amp;$B152*1000000000,Grids!$EE$160:$GQ$219,"&lt;"&amp;($B152+1)*1000000000))</f>
        <v/>
      </c>
      <c r="F152" s="129">
        <f>IF($B152="","",SUM($C$26:$C152))</f>
        <v/>
      </c>
      <c r="G152" s="129">
        <f>IF($B152="","",SUM($D$26:$D152))</f>
        <v/>
      </c>
      <c r="H152" s="129">
        <f>IF($B152="","",SUM($E$26:$E152))</f>
        <v/>
      </c>
    </row>
    <row r="153">
      <c r="B153" s="127">
        <f>IF(WIN_FROM+127&gt;WIN_TO,"",WIN_FROM+127)</f>
        <v/>
      </c>
      <c r="C153" s="128">
        <f>IF($B153="","",SUMIFS(Grids!$BQ$12:$EC$111,Grids!$EE$12:$GQ$111,"&gt;="&amp;$B153*1000000000,Grids!$EE$12:$GQ$111,"&lt;"&amp;($B153+1)*1000000000))</f>
        <v/>
      </c>
      <c r="D153" s="128">
        <f>IF($B153="","",SUMIFS(Grids!$BQ$116:$EC$155,Grids!$EE$116:$GQ$155,"&gt;="&amp;$B153*1000000000,Grids!$EE$116:$GQ$155,"&lt;"&amp;($B153+1)*1000000000))</f>
        <v/>
      </c>
      <c r="E153" s="128">
        <f>IF($B153="","",SUMIFS(Grids!$BQ$160:$EC$219,Grids!$EE$160:$GQ$219,"&gt;="&amp;$B153*1000000000,Grids!$EE$160:$GQ$219,"&lt;"&amp;($B153+1)*1000000000))</f>
        <v/>
      </c>
      <c r="F153" s="129">
        <f>IF($B153="","",SUM($C$26:$C153))</f>
        <v/>
      </c>
      <c r="G153" s="129">
        <f>IF($B153="","",SUM($D$26:$D153))</f>
        <v/>
      </c>
      <c r="H153" s="129">
        <f>IF($B153="","",SUM($E$26:$E153))</f>
        <v/>
      </c>
    </row>
    <row r="154">
      <c r="B154" s="127">
        <f>IF(WIN_FROM+128&gt;WIN_TO,"",WIN_FROM+128)</f>
        <v/>
      </c>
      <c r="C154" s="128">
        <f>IF($B154="","",SUMIFS(Grids!$BQ$12:$EC$111,Grids!$EE$12:$GQ$111,"&gt;="&amp;$B154*1000000000,Grids!$EE$12:$GQ$111,"&lt;"&amp;($B154+1)*1000000000))</f>
        <v/>
      </c>
      <c r="D154" s="128">
        <f>IF($B154="","",SUMIFS(Grids!$BQ$116:$EC$155,Grids!$EE$116:$GQ$155,"&gt;="&amp;$B154*1000000000,Grids!$EE$116:$GQ$155,"&lt;"&amp;($B154+1)*1000000000))</f>
        <v/>
      </c>
      <c r="E154" s="128">
        <f>IF($B154="","",SUMIFS(Grids!$BQ$160:$EC$219,Grids!$EE$160:$GQ$219,"&gt;="&amp;$B154*1000000000,Grids!$EE$160:$GQ$219,"&lt;"&amp;($B154+1)*1000000000))</f>
        <v/>
      </c>
      <c r="F154" s="129">
        <f>IF($B154="","",SUM($C$26:$C154))</f>
        <v/>
      </c>
      <c r="G154" s="129">
        <f>IF($B154="","",SUM($D$26:$D154))</f>
        <v/>
      </c>
      <c r="H154" s="129">
        <f>IF($B154="","",SUM($E$26:$E154))</f>
        <v/>
      </c>
    </row>
    <row r="155">
      <c r="B155" s="127">
        <f>IF(WIN_FROM+129&gt;WIN_TO,"",WIN_FROM+129)</f>
        <v/>
      </c>
      <c r="C155" s="128">
        <f>IF($B155="","",SUMIFS(Grids!$BQ$12:$EC$111,Grids!$EE$12:$GQ$111,"&gt;="&amp;$B155*1000000000,Grids!$EE$12:$GQ$111,"&lt;"&amp;($B155+1)*1000000000))</f>
        <v/>
      </c>
      <c r="D155" s="128">
        <f>IF($B155="","",SUMIFS(Grids!$BQ$116:$EC$155,Grids!$EE$116:$GQ$155,"&gt;="&amp;$B155*1000000000,Grids!$EE$116:$GQ$155,"&lt;"&amp;($B155+1)*1000000000))</f>
        <v/>
      </c>
      <c r="E155" s="128">
        <f>IF($B155="","",SUMIFS(Grids!$BQ$160:$EC$219,Grids!$EE$160:$GQ$219,"&gt;="&amp;$B155*1000000000,Grids!$EE$160:$GQ$219,"&lt;"&amp;($B155+1)*1000000000))</f>
        <v/>
      </c>
      <c r="F155" s="129">
        <f>IF($B155="","",SUM($C$26:$C155))</f>
        <v/>
      </c>
      <c r="G155" s="129">
        <f>IF($B155="","",SUM($D$26:$D155))</f>
        <v/>
      </c>
      <c r="H155" s="129">
        <f>IF($B155="","",SUM($E$26:$E155))</f>
        <v/>
      </c>
    </row>
    <row r="156">
      <c r="B156" s="127">
        <f>IF(WIN_FROM+130&gt;WIN_TO,"",WIN_FROM+130)</f>
        <v/>
      </c>
      <c r="C156" s="128">
        <f>IF($B156="","",SUMIFS(Grids!$BQ$12:$EC$111,Grids!$EE$12:$GQ$111,"&gt;="&amp;$B156*1000000000,Grids!$EE$12:$GQ$111,"&lt;"&amp;($B156+1)*1000000000))</f>
        <v/>
      </c>
      <c r="D156" s="128">
        <f>IF($B156="","",SUMIFS(Grids!$BQ$116:$EC$155,Grids!$EE$116:$GQ$155,"&gt;="&amp;$B156*1000000000,Grids!$EE$116:$GQ$155,"&lt;"&amp;($B156+1)*1000000000))</f>
        <v/>
      </c>
      <c r="E156" s="128">
        <f>IF($B156="","",SUMIFS(Grids!$BQ$160:$EC$219,Grids!$EE$160:$GQ$219,"&gt;="&amp;$B156*1000000000,Grids!$EE$160:$GQ$219,"&lt;"&amp;($B156+1)*1000000000))</f>
        <v/>
      </c>
      <c r="F156" s="129">
        <f>IF($B156="","",SUM($C$26:$C156))</f>
        <v/>
      </c>
      <c r="G156" s="129">
        <f>IF($B156="","",SUM($D$26:$D156))</f>
        <v/>
      </c>
      <c r="H156" s="129">
        <f>IF($B156="","",SUM($E$26:$E156))</f>
        <v/>
      </c>
    </row>
    <row r="157">
      <c r="B157" s="127">
        <f>IF(WIN_FROM+131&gt;WIN_TO,"",WIN_FROM+131)</f>
        <v/>
      </c>
      <c r="C157" s="128">
        <f>IF($B157="","",SUMIFS(Grids!$BQ$12:$EC$111,Grids!$EE$12:$GQ$111,"&gt;="&amp;$B157*1000000000,Grids!$EE$12:$GQ$111,"&lt;"&amp;($B157+1)*1000000000))</f>
        <v/>
      </c>
      <c r="D157" s="128">
        <f>IF($B157="","",SUMIFS(Grids!$BQ$116:$EC$155,Grids!$EE$116:$GQ$155,"&gt;="&amp;$B157*1000000000,Grids!$EE$116:$GQ$155,"&lt;"&amp;($B157+1)*1000000000))</f>
        <v/>
      </c>
      <c r="E157" s="128">
        <f>IF($B157="","",SUMIFS(Grids!$BQ$160:$EC$219,Grids!$EE$160:$GQ$219,"&gt;="&amp;$B157*1000000000,Grids!$EE$160:$GQ$219,"&lt;"&amp;($B157+1)*1000000000))</f>
        <v/>
      </c>
      <c r="F157" s="129">
        <f>IF($B157="","",SUM($C$26:$C157))</f>
        <v/>
      </c>
      <c r="G157" s="129">
        <f>IF($B157="","",SUM($D$26:$D157))</f>
        <v/>
      </c>
      <c r="H157" s="129">
        <f>IF($B157="","",SUM($E$26:$E157))</f>
        <v/>
      </c>
    </row>
    <row r="158">
      <c r="B158" s="127">
        <f>IF(WIN_FROM+132&gt;WIN_TO,"",WIN_FROM+132)</f>
        <v/>
      </c>
      <c r="C158" s="128">
        <f>IF($B158="","",SUMIFS(Grids!$BQ$12:$EC$111,Grids!$EE$12:$GQ$111,"&gt;="&amp;$B158*1000000000,Grids!$EE$12:$GQ$111,"&lt;"&amp;($B158+1)*1000000000))</f>
        <v/>
      </c>
      <c r="D158" s="128">
        <f>IF($B158="","",SUMIFS(Grids!$BQ$116:$EC$155,Grids!$EE$116:$GQ$155,"&gt;="&amp;$B158*1000000000,Grids!$EE$116:$GQ$155,"&lt;"&amp;($B158+1)*1000000000))</f>
        <v/>
      </c>
      <c r="E158" s="128">
        <f>IF($B158="","",SUMIFS(Grids!$BQ$160:$EC$219,Grids!$EE$160:$GQ$219,"&gt;="&amp;$B158*1000000000,Grids!$EE$160:$GQ$219,"&lt;"&amp;($B158+1)*1000000000))</f>
        <v/>
      </c>
      <c r="F158" s="129">
        <f>IF($B158="","",SUM($C$26:$C158))</f>
        <v/>
      </c>
      <c r="G158" s="129">
        <f>IF($B158="","",SUM($D$26:$D158))</f>
        <v/>
      </c>
      <c r="H158" s="129">
        <f>IF($B158="","",SUM($E$26:$E158))</f>
        <v/>
      </c>
    </row>
    <row r="159">
      <c r="B159" s="127">
        <f>IF(WIN_FROM+133&gt;WIN_TO,"",WIN_FROM+133)</f>
        <v/>
      </c>
      <c r="C159" s="128">
        <f>IF($B159="","",SUMIFS(Grids!$BQ$12:$EC$111,Grids!$EE$12:$GQ$111,"&gt;="&amp;$B159*1000000000,Grids!$EE$12:$GQ$111,"&lt;"&amp;($B159+1)*1000000000))</f>
        <v/>
      </c>
      <c r="D159" s="128">
        <f>IF($B159="","",SUMIFS(Grids!$BQ$116:$EC$155,Grids!$EE$116:$GQ$155,"&gt;="&amp;$B159*1000000000,Grids!$EE$116:$GQ$155,"&lt;"&amp;($B159+1)*1000000000))</f>
        <v/>
      </c>
      <c r="E159" s="128">
        <f>IF($B159="","",SUMIFS(Grids!$BQ$160:$EC$219,Grids!$EE$160:$GQ$219,"&gt;="&amp;$B159*1000000000,Grids!$EE$160:$GQ$219,"&lt;"&amp;($B159+1)*1000000000))</f>
        <v/>
      </c>
      <c r="F159" s="129">
        <f>IF($B159="","",SUM($C$26:$C159))</f>
        <v/>
      </c>
      <c r="G159" s="129">
        <f>IF($B159="","",SUM($D$26:$D159))</f>
        <v/>
      </c>
      <c r="H159" s="129">
        <f>IF($B159="","",SUM($E$26:$E159))</f>
        <v/>
      </c>
    </row>
    <row r="160">
      <c r="B160" s="127">
        <f>IF(WIN_FROM+134&gt;WIN_TO,"",WIN_FROM+134)</f>
        <v/>
      </c>
      <c r="C160" s="128">
        <f>IF($B160="","",SUMIFS(Grids!$BQ$12:$EC$111,Grids!$EE$12:$GQ$111,"&gt;="&amp;$B160*1000000000,Grids!$EE$12:$GQ$111,"&lt;"&amp;($B160+1)*1000000000))</f>
        <v/>
      </c>
      <c r="D160" s="128">
        <f>IF($B160="","",SUMIFS(Grids!$BQ$116:$EC$155,Grids!$EE$116:$GQ$155,"&gt;="&amp;$B160*1000000000,Grids!$EE$116:$GQ$155,"&lt;"&amp;($B160+1)*1000000000))</f>
        <v/>
      </c>
      <c r="E160" s="128">
        <f>IF($B160="","",SUMIFS(Grids!$BQ$160:$EC$219,Grids!$EE$160:$GQ$219,"&gt;="&amp;$B160*1000000000,Grids!$EE$160:$GQ$219,"&lt;"&amp;($B160+1)*1000000000))</f>
        <v/>
      </c>
      <c r="F160" s="129">
        <f>IF($B160="","",SUM($C$26:$C160))</f>
        <v/>
      </c>
      <c r="G160" s="129">
        <f>IF($B160="","",SUM($D$26:$D160))</f>
        <v/>
      </c>
      <c r="H160" s="129">
        <f>IF($B160="","",SUM($E$26:$E160))</f>
        <v/>
      </c>
    </row>
    <row r="161">
      <c r="B161" s="127">
        <f>IF(WIN_FROM+135&gt;WIN_TO,"",WIN_FROM+135)</f>
        <v/>
      </c>
      <c r="C161" s="128">
        <f>IF($B161="","",SUMIFS(Grids!$BQ$12:$EC$111,Grids!$EE$12:$GQ$111,"&gt;="&amp;$B161*1000000000,Grids!$EE$12:$GQ$111,"&lt;"&amp;($B161+1)*1000000000))</f>
        <v/>
      </c>
      <c r="D161" s="128">
        <f>IF($B161="","",SUMIFS(Grids!$BQ$116:$EC$155,Grids!$EE$116:$GQ$155,"&gt;="&amp;$B161*1000000000,Grids!$EE$116:$GQ$155,"&lt;"&amp;($B161+1)*1000000000))</f>
        <v/>
      </c>
      <c r="E161" s="128">
        <f>IF($B161="","",SUMIFS(Grids!$BQ$160:$EC$219,Grids!$EE$160:$GQ$219,"&gt;="&amp;$B161*1000000000,Grids!$EE$160:$GQ$219,"&lt;"&amp;($B161+1)*1000000000))</f>
        <v/>
      </c>
      <c r="F161" s="129">
        <f>IF($B161="","",SUM($C$26:$C161))</f>
        <v/>
      </c>
      <c r="G161" s="129">
        <f>IF($B161="","",SUM($D$26:$D161))</f>
        <v/>
      </c>
      <c r="H161" s="129">
        <f>IF($B161="","",SUM($E$26:$E161))</f>
        <v/>
      </c>
    </row>
    <row r="162">
      <c r="B162" s="127">
        <f>IF(WIN_FROM+136&gt;WIN_TO,"",WIN_FROM+136)</f>
        <v/>
      </c>
      <c r="C162" s="128">
        <f>IF($B162="","",SUMIFS(Grids!$BQ$12:$EC$111,Grids!$EE$12:$GQ$111,"&gt;="&amp;$B162*1000000000,Grids!$EE$12:$GQ$111,"&lt;"&amp;($B162+1)*1000000000))</f>
        <v/>
      </c>
      <c r="D162" s="128">
        <f>IF($B162="","",SUMIFS(Grids!$BQ$116:$EC$155,Grids!$EE$116:$GQ$155,"&gt;="&amp;$B162*1000000000,Grids!$EE$116:$GQ$155,"&lt;"&amp;($B162+1)*1000000000))</f>
        <v/>
      </c>
      <c r="E162" s="128">
        <f>IF($B162="","",SUMIFS(Grids!$BQ$160:$EC$219,Grids!$EE$160:$GQ$219,"&gt;="&amp;$B162*1000000000,Grids!$EE$160:$GQ$219,"&lt;"&amp;($B162+1)*1000000000))</f>
        <v/>
      </c>
      <c r="F162" s="129">
        <f>IF($B162="","",SUM($C$26:$C162))</f>
        <v/>
      </c>
      <c r="G162" s="129">
        <f>IF($B162="","",SUM($D$26:$D162))</f>
        <v/>
      </c>
      <c r="H162" s="129">
        <f>IF($B162="","",SUM($E$26:$E162))</f>
        <v/>
      </c>
    </row>
    <row r="163">
      <c r="B163" s="127">
        <f>IF(WIN_FROM+137&gt;WIN_TO,"",WIN_FROM+137)</f>
        <v/>
      </c>
      <c r="C163" s="128">
        <f>IF($B163="","",SUMIFS(Grids!$BQ$12:$EC$111,Grids!$EE$12:$GQ$111,"&gt;="&amp;$B163*1000000000,Grids!$EE$12:$GQ$111,"&lt;"&amp;($B163+1)*1000000000))</f>
        <v/>
      </c>
      <c r="D163" s="128">
        <f>IF($B163="","",SUMIFS(Grids!$BQ$116:$EC$155,Grids!$EE$116:$GQ$155,"&gt;="&amp;$B163*1000000000,Grids!$EE$116:$GQ$155,"&lt;"&amp;($B163+1)*1000000000))</f>
        <v/>
      </c>
      <c r="E163" s="128">
        <f>IF($B163="","",SUMIFS(Grids!$BQ$160:$EC$219,Grids!$EE$160:$GQ$219,"&gt;="&amp;$B163*1000000000,Grids!$EE$160:$GQ$219,"&lt;"&amp;($B163+1)*1000000000))</f>
        <v/>
      </c>
      <c r="F163" s="129">
        <f>IF($B163="","",SUM($C$26:$C163))</f>
        <v/>
      </c>
      <c r="G163" s="129">
        <f>IF($B163="","",SUM($D$26:$D163))</f>
        <v/>
      </c>
      <c r="H163" s="129">
        <f>IF($B163="","",SUM($E$26:$E163))</f>
        <v/>
      </c>
    </row>
    <row r="164">
      <c r="B164" s="127">
        <f>IF(WIN_FROM+138&gt;WIN_TO,"",WIN_FROM+138)</f>
        <v/>
      </c>
      <c r="C164" s="128">
        <f>IF($B164="","",SUMIFS(Grids!$BQ$12:$EC$111,Grids!$EE$12:$GQ$111,"&gt;="&amp;$B164*1000000000,Grids!$EE$12:$GQ$111,"&lt;"&amp;($B164+1)*1000000000))</f>
        <v/>
      </c>
      <c r="D164" s="128">
        <f>IF($B164="","",SUMIFS(Grids!$BQ$116:$EC$155,Grids!$EE$116:$GQ$155,"&gt;="&amp;$B164*1000000000,Grids!$EE$116:$GQ$155,"&lt;"&amp;($B164+1)*1000000000))</f>
        <v/>
      </c>
      <c r="E164" s="128">
        <f>IF($B164="","",SUMIFS(Grids!$BQ$160:$EC$219,Grids!$EE$160:$GQ$219,"&gt;="&amp;$B164*1000000000,Grids!$EE$160:$GQ$219,"&lt;"&amp;($B164+1)*1000000000))</f>
        <v/>
      </c>
      <c r="F164" s="129">
        <f>IF($B164="","",SUM($C$26:$C164))</f>
        <v/>
      </c>
      <c r="G164" s="129">
        <f>IF($B164="","",SUM($D$26:$D164))</f>
        <v/>
      </c>
      <c r="H164" s="129">
        <f>IF($B164="","",SUM($E$26:$E164))</f>
        <v/>
      </c>
    </row>
    <row r="165">
      <c r="B165" s="127">
        <f>IF(WIN_FROM+139&gt;WIN_TO,"",WIN_FROM+139)</f>
        <v/>
      </c>
      <c r="C165" s="128">
        <f>IF($B165="","",SUMIFS(Grids!$BQ$12:$EC$111,Grids!$EE$12:$GQ$111,"&gt;="&amp;$B165*1000000000,Grids!$EE$12:$GQ$111,"&lt;"&amp;($B165+1)*1000000000))</f>
        <v/>
      </c>
      <c r="D165" s="128">
        <f>IF($B165="","",SUMIFS(Grids!$BQ$116:$EC$155,Grids!$EE$116:$GQ$155,"&gt;="&amp;$B165*1000000000,Grids!$EE$116:$GQ$155,"&lt;"&amp;($B165+1)*1000000000))</f>
        <v/>
      </c>
      <c r="E165" s="128">
        <f>IF($B165="","",SUMIFS(Grids!$BQ$160:$EC$219,Grids!$EE$160:$GQ$219,"&gt;="&amp;$B165*1000000000,Grids!$EE$160:$GQ$219,"&lt;"&amp;($B165+1)*1000000000))</f>
        <v/>
      </c>
      <c r="F165" s="129">
        <f>IF($B165="","",SUM($C$26:$C165))</f>
        <v/>
      </c>
      <c r="G165" s="129">
        <f>IF($B165="","",SUM($D$26:$D165))</f>
        <v/>
      </c>
      <c r="H165" s="129">
        <f>IF($B165="","",SUM($E$26:$E165))</f>
        <v/>
      </c>
    </row>
    <row r="166">
      <c r="B166" s="127">
        <f>IF(WIN_FROM+140&gt;WIN_TO,"",WIN_FROM+140)</f>
        <v/>
      </c>
      <c r="C166" s="128">
        <f>IF($B166="","",SUMIFS(Grids!$BQ$12:$EC$111,Grids!$EE$12:$GQ$111,"&gt;="&amp;$B166*1000000000,Grids!$EE$12:$GQ$111,"&lt;"&amp;($B166+1)*1000000000))</f>
        <v/>
      </c>
      <c r="D166" s="128">
        <f>IF($B166="","",SUMIFS(Grids!$BQ$116:$EC$155,Grids!$EE$116:$GQ$155,"&gt;="&amp;$B166*1000000000,Grids!$EE$116:$GQ$155,"&lt;"&amp;($B166+1)*1000000000))</f>
        <v/>
      </c>
      <c r="E166" s="128">
        <f>IF($B166="","",SUMIFS(Grids!$BQ$160:$EC$219,Grids!$EE$160:$GQ$219,"&gt;="&amp;$B166*1000000000,Grids!$EE$160:$GQ$219,"&lt;"&amp;($B166+1)*1000000000))</f>
        <v/>
      </c>
      <c r="F166" s="129">
        <f>IF($B166="","",SUM($C$26:$C166))</f>
        <v/>
      </c>
      <c r="G166" s="129">
        <f>IF($B166="","",SUM($D$26:$D166))</f>
        <v/>
      </c>
      <c r="H166" s="129">
        <f>IF($B166="","",SUM($E$26:$E166))</f>
        <v/>
      </c>
    </row>
    <row r="167">
      <c r="B167" s="127">
        <f>IF(WIN_FROM+141&gt;WIN_TO,"",WIN_FROM+141)</f>
        <v/>
      </c>
      <c r="C167" s="128">
        <f>IF($B167="","",SUMIFS(Grids!$BQ$12:$EC$111,Grids!$EE$12:$GQ$111,"&gt;="&amp;$B167*1000000000,Grids!$EE$12:$GQ$111,"&lt;"&amp;($B167+1)*1000000000))</f>
        <v/>
      </c>
      <c r="D167" s="128">
        <f>IF($B167="","",SUMIFS(Grids!$BQ$116:$EC$155,Grids!$EE$116:$GQ$155,"&gt;="&amp;$B167*1000000000,Grids!$EE$116:$GQ$155,"&lt;"&amp;($B167+1)*1000000000))</f>
        <v/>
      </c>
      <c r="E167" s="128">
        <f>IF($B167="","",SUMIFS(Grids!$BQ$160:$EC$219,Grids!$EE$160:$GQ$219,"&gt;="&amp;$B167*1000000000,Grids!$EE$160:$GQ$219,"&lt;"&amp;($B167+1)*1000000000))</f>
        <v/>
      </c>
      <c r="F167" s="129">
        <f>IF($B167="","",SUM($C$26:$C167))</f>
        <v/>
      </c>
      <c r="G167" s="129">
        <f>IF($B167="","",SUM($D$26:$D167))</f>
        <v/>
      </c>
      <c r="H167" s="129">
        <f>IF($B167="","",SUM($E$26:$E167))</f>
        <v/>
      </c>
    </row>
    <row r="168">
      <c r="B168" s="127">
        <f>IF(WIN_FROM+142&gt;WIN_TO,"",WIN_FROM+142)</f>
        <v/>
      </c>
      <c r="C168" s="128">
        <f>IF($B168="","",SUMIFS(Grids!$BQ$12:$EC$111,Grids!$EE$12:$GQ$111,"&gt;="&amp;$B168*1000000000,Grids!$EE$12:$GQ$111,"&lt;"&amp;($B168+1)*1000000000))</f>
        <v/>
      </c>
      <c r="D168" s="128">
        <f>IF($B168="","",SUMIFS(Grids!$BQ$116:$EC$155,Grids!$EE$116:$GQ$155,"&gt;="&amp;$B168*1000000000,Grids!$EE$116:$GQ$155,"&lt;"&amp;($B168+1)*1000000000))</f>
        <v/>
      </c>
      <c r="E168" s="128">
        <f>IF($B168="","",SUMIFS(Grids!$BQ$160:$EC$219,Grids!$EE$160:$GQ$219,"&gt;="&amp;$B168*1000000000,Grids!$EE$160:$GQ$219,"&lt;"&amp;($B168+1)*1000000000))</f>
        <v/>
      </c>
      <c r="F168" s="129">
        <f>IF($B168="","",SUM($C$26:$C168))</f>
        <v/>
      </c>
      <c r="G168" s="129">
        <f>IF($B168="","",SUM($D$26:$D168))</f>
        <v/>
      </c>
      <c r="H168" s="129">
        <f>IF($B168="","",SUM($E$26:$E168))</f>
        <v/>
      </c>
    </row>
    <row r="169">
      <c r="B169" s="127">
        <f>IF(WIN_FROM+143&gt;WIN_TO,"",WIN_FROM+143)</f>
        <v/>
      </c>
      <c r="C169" s="128">
        <f>IF($B169="","",SUMIFS(Grids!$BQ$12:$EC$111,Grids!$EE$12:$GQ$111,"&gt;="&amp;$B169*1000000000,Grids!$EE$12:$GQ$111,"&lt;"&amp;($B169+1)*1000000000))</f>
        <v/>
      </c>
      <c r="D169" s="128">
        <f>IF($B169="","",SUMIFS(Grids!$BQ$116:$EC$155,Grids!$EE$116:$GQ$155,"&gt;="&amp;$B169*1000000000,Grids!$EE$116:$GQ$155,"&lt;"&amp;($B169+1)*1000000000))</f>
        <v/>
      </c>
      <c r="E169" s="128">
        <f>IF($B169="","",SUMIFS(Grids!$BQ$160:$EC$219,Grids!$EE$160:$GQ$219,"&gt;="&amp;$B169*1000000000,Grids!$EE$160:$GQ$219,"&lt;"&amp;($B169+1)*1000000000))</f>
        <v/>
      </c>
      <c r="F169" s="129">
        <f>IF($B169="","",SUM($C$26:$C169))</f>
        <v/>
      </c>
      <c r="G169" s="129">
        <f>IF($B169="","",SUM($D$26:$D169))</f>
        <v/>
      </c>
      <c r="H169" s="129">
        <f>IF($B169="","",SUM($E$26:$E169))</f>
        <v/>
      </c>
    </row>
    <row r="170">
      <c r="B170" s="127">
        <f>IF(WIN_FROM+144&gt;WIN_TO,"",WIN_FROM+144)</f>
        <v/>
      </c>
      <c r="C170" s="128">
        <f>IF($B170="","",SUMIFS(Grids!$BQ$12:$EC$111,Grids!$EE$12:$GQ$111,"&gt;="&amp;$B170*1000000000,Grids!$EE$12:$GQ$111,"&lt;"&amp;($B170+1)*1000000000))</f>
        <v/>
      </c>
      <c r="D170" s="128">
        <f>IF($B170="","",SUMIFS(Grids!$BQ$116:$EC$155,Grids!$EE$116:$GQ$155,"&gt;="&amp;$B170*1000000000,Grids!$EE$116:$GQ$155,"&lt;"&amp;($B170+1)*1000000000))</f>
        <v/>
      </c>
      <c r="E170" s="128">
        <f>IF($B170="","",SUMIFS(Grids!$BQ$160:$EC$219,Grids!$EE$160:$GQ$219,"&gt;="&amp;$B170*1000000000,Grids!$EE$160:$GQ$219,"&lt;"&amp;($B170+1)*1000000000))</f>
        <v/>
      </c>
      <c r="F170" s="129">
        <f>IF($B170="","",SUM($C$26:$C170))</f>
        <v/>
      </c>
      <c r="G170" s="129">
        <f>IF($B170="","",SUM($D$26:$D170))</f>
        <v/>
      </c>
      <c r="H170" s="129">
        <f>IF($B170="","",SUM($E$26:$E170))</f>
        <v/>
      </c>
    </row>
    <row r="171">
      <c r="B171" s="127">
        <f>IF(WIN_FROM+145&gt;WIN_TO,"",WIN_FROM+145)</f>
        <v/>
      </c>
      <c r="C171" s="128">
        <f>IF($B171="","",SUMIFS(Grids!$BQ$12:$EC$111,Grids!$EE$12:$GQ$111,"&gt;="&amp;$B171*1000000000,Grids!$EE$12:$GQ$111,"&lt;"&amp;($B171+1)*1000000000))</f>
        <v/>
      </c>
      <c r="D171" s="128">
        <f>IF($B171="","",SUMIFS(Grids!$BQ$116:$EC$155,Grids!$EE$116:$GQ$155,"&gt;="&amp;$B171*1000000000,Grids!$EE$116:$GQ$155,"&lt;"&amp;($B171+1)*1000000000))</f>
        <v/>
      </c>
      <c r="E171" s="128">
        <f>IF($B171="","",SUMIFS(Grids!$BQ$160:$EC$219,Grids!$EE$160:$GQ$219,"&gt;="&amp;$B171*1000000000,Grids!$EE$160:$GQ$219,"&lt;"&amp;($B171+1)*1000000000))</f>
        <v/>
      </c>
      <c r="F171" s="129">
        <f>IF($B171="","",SUM($C$26:$C171))</f>
        <v/>
      </c>
      <c r="G171" s="129">
        <f>IF($B171="","",SUM($D$26:$D171))</f>
        <v/>
      </c>
      <c r="H171" s="129">
        <f>IF($B171="","",SUM($E$26:$E171))</f>
        <v/>
      </c>
    </row>
    <row r="172">
      <c r="B172" s="127">
        <f>IF(WIN_FROM+146&gt;WIN_TO,"",WIN_FROM+146)</f>
        <v/>
      </c>
      <c r="C172" s="128">
        <f>IF($B172="","",SUMIFS(Grids!$BQ$12:$EC$111,Grids!$EE$12:$GQ$111,"&gt;="&amp;$B172*1000000000,Grids!$EE$12:$GQ$111,"&lt;"&amp;($B172+1)*1000000000))</f>
        <v/>
      </c>
      <c r="D172" s="128">
        <f>IF($B172="","",SUMIFS(Grids!$BQ$116:$EC$155,Grids!$EE$116:$GQ$155,"&gt;="&amp;$B172*1000000000,Grids!$EE$116:$GQ$155,"&lt;"&amp;($B172+1)*1000000000))</f>
        <v/>
      </c>
      <c r="E172" s="128">
        <f>IF($B172="","",SUMIFS(Grids!$BQ$160:$EC$219,Grids!$EE$160:$GQ$219,"&gt;="&amp;$B172*1000000000,Grids!$EE$160:$GQ$219,"&lt;"&amp;($B172+1)*1000000000))</f>
        <v/>
      </c>
      <c r="F172" s="129">
        <f>IF($B172="","",SUM($C$26:$C172))</f>
        <v/>
      </c>
      <c r="G172" s="129">
        <f>IF($B172="","",SUM($D$26:$D172))</f>
        <v/>
      </c>
      <c r="H172" s="129">
        <f>IF($B172="","",SUM($E$26:$E172))</f>
        <v/>
      </c>
    </row>
    <row r="173">
      <c r="B173" s="127">
        <f>IF(WIN_FROM+147&gt;WIN_TO,"",WIN_FROM+147)</f>
        <v/>
      </c>
      <c r="C173" s="128">
        <f>IF($B173="","",SUMIFS(Grids!$BQ$12:$EC$111,Grids!$EE$12:$GQ$111,"&gt;="&amp;$B173*1000000000,Grids!$EE$12:$GQ$111,"&lt;"&amp;($B173+1)*1000000000))</f>
        <v/>
      </c>
      <c r="D173" s="128">
        <f>IF($B173="","",SUMIFS(Grids!$BQ$116:$EC$155,Grids!$EE$116:$GQ$155,"&gt;="&amp;$B173*1000000000,Grids!$EE$116:$GQ$155,"&lt;"&amp;($B173+1)*1000000000))</f>
        <v/>
      </c>
      <c r="E173" s="128">
        <f>IF($B173="","",SUMIFS(Grids!$BQ$160:$EC$219,Grids!$EE$160:$GQ$219,"&gt;="&amp;$B173*1000000000,Grids!$EE$160:$GQ$219,"&lt;"&amp;($B173+1)*1000000000))</f>
        <v/>
      </c>
      <c r="F173" s="129">
        <f>IF($B173="","",SUM($C$26:$C173))</f>
        <v/>
      </c>
      <c r="G173" s="129">
        <f>IF($B173="","",SUM($D$26:$D173))</f>
        <v/>
      </c>
      <c r="H173" s="129">
        <f>IF($B173="","",SUM($E$26:$E173))</f>
        <v/>
      </c>
    </row>
    <row r="174">
      <c r="B174" s="127">
        <f>IF(WIN_FROM+148&gt;WIN_TO,"",WIN_FROM+148)</f>
        <v/>
      </c>
      <c r="C174" s="128">
        <f>IF($B174="","",SUMIFS(Grids!$BQ$12:$EC$111,Grids!$EE$12:$GQ$111,"&gt;="&amp;$B174*1000000000,Grids!$EE$12:$GQ$111,"&lt;"&amp;($B174+1)*1000000000))</f>
        <v/>
      </c>
      <c r="D174" s="128">
        <f>IF($B174="","",SUMIFS(Grids!$BQ$116:$EC$155,Grids!$EE$116:$GQ$155,"&gt;="&amp;$B174*1000000000,Grids!$EE$116:$GQ$155,"&lt;"&amp;($B174+1)*1000000000))</f>
        <v/>
      </c>
      <c r="E174" s="128">
        <f>IF($B174="","",SUMIFS(Grids!$BQ$160:$EC$219,Grids!$EE$160:$GQ$219,"&gt;="&amp;$B174*1000000000,Grids!$EE$160:$GQ$219,"&lt;"&amp;($B174+1)*1000000000))</f>
        <v/>
      </c>
      <c r="F174" s="129">
        <f>IF($B174="","",SUM($C$26:$C174))</f>
        <v/>
      </c>
      <c r="G174" s="129">
        <f>IF($B174="","",SUM($D$26:$D174))</f>
        <v/>
      </c>
      <c r="H174" s="129">
        <f>IF($B174="","",SUM($E$26:$E174))</f>
        <v/>
      </c>
    </row>
    <row r="175">
      <c r="B175" s="127">
        <f>IF(WIN_FROM+149&gt;WIN_TO,"",WIN_FROM+149)</f>
        <v/>
      </c>
      <c r="C175" s="128">
        <f>IF($B175="","",SUMIFS(Grids!$BQ$12:$EC$111,Grids!$EE$12:$GQ$111,"&gt;="&amp;$B175*1000000000,Grids!$EE$12:$GQ$111,"&lt;"&amp;($B175+1)*1000000000))</f>
        <v/>
      </c>
      <c r="D175" s="128">
        <f>IF($B175="","",SUMIFS(Grids!$BQ$116:$EC$155,Grids!$EE$116:$GQ$155,"&gt;="&amp;$B175*1000000000,Grids!$EE$116:$GQ$155,"&lt;"&amp;($B175+1)*1000000000))</f>
        <v/>
      </c>
      <c r="E175" s="128">
        <f>IF($B175="","",SUMIFS(Grids!$BQ$160:$EC$219,Grids!$EE$160:$GQ$219,"&gt;="&amp;$B175*1000000000,Grids!$EE$160:$GQ$219,"&lt;"&amp;($B175+1)*1000000000))</f>
        <v/>
      </c>
      <c r="F175" s="129">
        <f>IF($B175="","",SUM($C$26:$C175))</f>
        <v/>
      </c>
      <c r="G175" s="129">
        <f>IF($B175="","",SUM($D$26:$D175))</f>
        <v/>
      </c>
      <c r="H175" s="129">
        <f>IF($B175="","",SUM($E$26:$E175))</f>
        <v/>
      </c>
    </row>
    <row r="176">
      <c r="B176" s="127">
        <f>IF(WIN_FROM+150&gt;WIN_TO,"",WIN_FROM+150)</f>
        <v/>
      </c>
      <c r="C176" s="128">
        <f>IF($B176="","",SUMIFS(Grids!$BQ$12:$EC$111,Grids!$EE$12:$GQ$111,"&gt;="&amp;$B176*1000000000,Grids!$EE$12:$GQ$111,"&lt;"&amp;($B176+1)*1000000000))</f>
        <v/>
      </c>
      <c r="D176" s="128">
        <f>IF($B176="","",SUMIFS(Grids!$BQ$116:$EC$155,Grids!$EE$116:$GQ$155,"&gt;="&amp;$B176*1000000000,Grids!$EE$116:$GQ$155,"&lt;"&amp;($B176+1)*1000000000))</f>
        <v/>
      </c>
      <c r="E176" s="128">
        <f>IF($B176="","",SUMIFS(Grids!$BQ$160:$EC$219,Grids!$EE$160:$GQ$219,"&gt;="&amp;$B176*1000000000,Grids!$EE$160:$GQ$219,"&lt;"&amp;($B176+1)*1000000000))</f>
        <v/>
      </c>
      <c r="F176" s="129">
        <f>IF($B176="","",SUM($C$26:$C176))</f>
        <v/>
      </c>
      <c r="G176" s="129">
        <f>IF($B176="","",SUM($D$26:$D176))</f>
        <v/>
      </c>
      <c r="H176" s="129">
        <f>IF($B176="","",SUM($E$26:$E176))</f>
        <v/>
      </c>
    </row>
    <row r="177">
      <c r="B177" s="127">
        <f>IF(WIN_FROM+151&gt;WIN_TO,"",WIN_FROM+151)</f>
        <v/>
      </c>
      <c r="C177" s="128">
        <f>IF($B177="","",SUMIFS(Grids!$BQ$12:$EC$111,Grids!$EE$12:$GQ$111,"&gt;="&amp;$B177*1000000000,Grids!$EE$12:$GQ$111,"&lt;"&amp;($B177+1)*1000000000))</f>
        <v/>
      </c>
      <c r="D177" s="128">
        <f>IF($B177="","",SUMIFS(Grids!$BQ$116:$EC$155,Grids!$EE$116:$GQ$155,"&gt;="&amp;$B177*1000000000,Grids!$EE$116:$GQ$155,"&lt;"&amp;($B177+1)*1000000000))</f>
        <v/>
      </c>
      <c r="E177" s="128">
        <f>IF($B177="","",SUMIFS(Grids!$BQ$160:$EC$219,Grids!$EE$160:$GQ$219,"&gt;="&amp;$B177*1000000000,Grids!$EE$160:$GQ$219,"&lt;"&amp;($B177+1)*1000000000))</f>
        <v/>
      </c>
      <c r="F177" s="129">
        <f>IF($B177="","",SUM($C$26:$C177))</f>
        <v/>
      </c>
      <c r="G177" s="129">
        <f>IF($B177="","",SUM($D$26:$D177))</f>
        <v/>
      </c>
      <c r="H177" s="129">
        <f>IF($B177="","",SUM($E$26:$E177))</f>
        <v/>
      </c>
    </row>
    <row r="178">
      <c r="B178" s="127">
        <f>IF(WIN_FROM+152&gt;WIN_TO,"",WIN_FROM+152)</f>
        <v/>
      </c>
      <c r="C178" s="128">
        <f>IF($B178="","",SUMIFS(Grids!$BQ$12:$EC$111,Grids!$EE$12:$GQ$111,"&gt;="&amp;$B178*1000000000,Grids!$EE$12:$GQ$111,"&lt;"&amp;($B178+1)*1000000000))</f>
        <v/>
      </c>
      <c r="D178" s="128">
        <f>IF($B178="","",SUMIFS(Grids!$BQ$116:$EC$155,Grids!$EE$116:$GQ$155,"&gt;="&amp;$B178*1000000000,Grids!$EE$116:$GQ$155,"&lt;"&amp;($B178+1)*1000000000))</f>
        <v/>
      </c>
      <c r="E178" s="128">
        <f>IF($B178="","",SUMIFS(Grids!$BQ$160:$EC$219,Grids!$EE$160:$GQ$219,"&gt;="&amp;$B178*1000000000,Grids!$EE$160:$GQ$219,"&lt;"&amp;($B178+1)*1000000000))</f>
        <v/>
      </c>
      <c r="F178" s="129">
        <f>IF($B178="","",SUM($C$26:$C178))</f>
        <v/>
      </c>
      <c r="G178" s="129">
        <f>IF($B178="","",SUM($D$26:$D178))</f>
        <v/>
      </c>
      <c r="H178" s="129">
        <f>IF($B178="","",SUM($E$26:$E178))</f>
        <v/>
      </c>
    </row>
    <row r="179">
      <c r="B179" s="127">
        <f>IF(WIN_FROM+153&gt;WIN_TO,"",WIN_FROM+153)</f>
        <v/>
      </c>
      <c r="C179" s="128">
        <f>IF($B179="","",SUMIFS(Grids!$BQ$12:$EC$111,Grids!$EE$12:$GQ$111,"&gt;="&amp;$B179*1000000000,Grids!$EE$12:$GQ$111,"&lt;"&amp;($B179+1)*1000000000))</f>
        <v/>
      </c>
      <c r="D179" s="128">
        <f>IF($B179="","",SUMIFS(Grids!$BQ$116:$EC$155,Grids!$EE$116:$GQ$155,"&gt;="&amp;$B179*1000000000,Grids!$EE$116:$GQ$155,"&lt;"&amp;($B179+1)*1000000000))</f>
        <v/>
      </c>
      <c r="E179" s="128">
        <f>IF($B179="","",SUMIFS(Grids!$BQ$160:$EC$219,Grids!$EE$160:$GQ$219,"&gt;="&amp;$B179*1000000000,Grids!$EE$160:$GQ$219,"&lt;"&amp;($B179+1)*1000000000))</f>
        <v/>
      </c>
      <c r="F179" s="129">
        <f>IF($B179="","",SUM($C$26:$C179))</f>
        <v/>
      </c>
      <c r="G179" s="129">
        <f>IF($B179="","",SUM($D$26:$D179))</f>
        <v/>
      </c>
      <c r="H179" s="129">
        <f>IF($B179="","",SUM($E$26:$E179))</f>
        <v/>
      </c>
    </row>
    <row r="180">
      <c r="B180" s="127">
        <f>IF(WIN_FROM+154&gt;WIN_TO,"",WIN_FROM+154)</f>
        <v/>
      </c>
      <c r="C180" s="128">
        <f>IF($B180="","",SUMIFS(Grids!$BQ$12:$EC$111,Grids!$EE$12:$GQ$111,"&gt;="&amp;$B180*1000000000,Grids!$EE$12:$GQ$111,"&lt;"&amp;($B180+1)*1000000000))</f>
        <v/>
      </c>
      <c r="D180" s="128">
        <f>IF($B180="","",SUMIFS(Grids!$BQ$116:$EC$155,Grids!$EE$116:$GQ$155,"&gt;="&amp;$B180*1000000000,Grids!$EE$116:$GQ$155,"&lt;"&amp;($B180+1)*1000000000))</f>
        <v/>
      </c>
      <c r="E180" s="128">
        <f>IF($B180="","",SUMIFS(Grids!$BQ$160:$EC$219,Grids!$EE$160:$GQ$219,"&gt;="&amp;$B180*1000000000,Grids!$EE$160:$GQ$219,"&lt;"&amp;($B180+1)*1000000000))</f>
        <v/>
      </c>
      <c r="F180" s="129">
        <f>IF($B180="","",SUM($C$26:$C180))</f>
        <v/>
      </c>
      <c r="G180" s="129">
        <f>IF($B180="","",SUM($D$26:$D180))</f>
        <v/>
      </c>
      <c r="H180" s="129">
        <f>IF($B180="","",SUM($E$26:$E180))</f>
        <v/>
      </c>
    </row>
    <row r="181">
      <c r="B181" s="127">
        <f>IF(WIN_FROM+155&gt;WIN_TO,"",WIN_FROM+155)</f>
        <v/>
      </c>
      <c r="C181" s="128">
        <f>IF($B181="","",SUMIFS(Grids!$BQ$12:$EC$111,Grids!$EE$12:$GQ$111,"&gt;="&amp;$B181*1000000000,Grids!$EE$12:$GQ$111,"&lt;"&amp;($B181+1)*1000000000))</f>
        <v/>
      </c>
      <c r="D181" s="128">
        <f>IF($B181="","",SUMIFS(Grids!$BQ$116:$EC$155,Grids!$EE$116:$GQ$155,"&gt;="&amp;$B181*1000000000,Grids!$EE$116:$GQ$155,"&lt;"&amp;($B181+1)*1000000000))</f>
        <v/>
      </c>
      <c r="E181" s="128">
        <f>IF($B181="","",SUMIFS(Grids!$BQ$160:$EC$219,Grids!$EE$160:$GQ$219,"&gt;="&amp;$B181*1000000000,Grids!$EE$160:$GQ$219,"&lt;"&amp;($B181+1)*1000000000))</f>
        <v/>
      </c>
      <c r="F181" s="129">
        <f>IF($B181="","",SUM($C$26:$C181))</f>
        <v/>
      </c>
      <c r="G181" s="129">
        <f>IF($B181="","",SUM($D$26:$D181))</f>
        <v/>
      </c>
      <c r="H181" s="129">
        <f>IF($B181="","",SUM($E$26:$E181))</f>
        <v/>
      </c>
    </row>
    <row r="182">
      <c r="B182" s="127">
        <f>IF(WIN_FROM+156&gt;WIN_TO,"",WIN_FROM+156)</f>
        <v/>
      </c>
      <c r="C182" s="128">
        <f>IF($B182="","",SUMIFS(Grids!$BQ$12:$EC$111,Grids!$EE$12:$GQ$111,"&gt;="&amp;$B182*1000000000,Grids!$EE$12:$GQ$111,"&lt;"&amp;($B182+1)*1000000000))</f>
        <v/>
      </c>
      <c r="D182" s="128">
        <f>IF($B182="","",SUMIFS(Grids!$BQ$116:$EC$155,Grids!$EE$116:$GQ$155,"&gt;="&amp;$B182*1000000000,Grids!$EE$116:$GQ$155,"&lt;"&amp;($B182+1)*1000000000))</f>
        <v/>
      </c>
      <c r="E182" s="128">
        <f>IF($B182="","",SUMIFS(Grids!$BQ$160:$EC$219,Grids!$EE$160:$GQ$219,"&gt;="&amp;$B182*1000000000,Grids!$EE$160:$GQ$219,"&lt;"&amp;($B182+1)*1000000000))</f>
        <v/>
      </c>
      <c r="F182" s="129">
        <f>IF($B182="","",SUM($C$26:$C182))</f>
        <v/>
      </c>
      <c r="G182" s="129">
        <f>IF($B182="","",SUM($D$26:$D182))</f>
        <v/>
      </c>
      <c r="H182" s="129">
        <f>IF($B182="","",SUM($E$26:$E182))</f>
        <v/>
      </c>
    </row>
    <row r="183">
      <c r="B183" s="127">
        <f>IF(WIN_FROM+157&gt;WIN_TO,"",WIN_FROM+157)</f>
        <v/>
      </c>
      <c r="C183" s="128">
        <f>IF($B183="","",SUMIFS(Grids!$BQ$12:$EC$111,Grids!$EE$12:$GQ$111,"&gt;="&amp;$B183*1000000000,Grids!$EE$12:$GQ$111,"&lt;"&amp;($B183+1)*1000000000))</f>
        <v/>
      </c>
      <c r="D183" s="128">
        <f>IF($B183="","",SUMIFS(Grids!$BQ$116:$EC$155,Grids!$EE$116:$GQ$155,"&gt;="&amp;$B183*1000000000,Grids!$EE$116:$GQ$155,"&lt;"&amp;($B183+1)*1000000000))</f>
        <v/>
      </c>
      <c r="E183" s="128">
        <f>IF($B183="","",SUMIFS(Grids!$BQ$160:$EC$219,Grids!$EE$160:$GQ$219,"&gt;="&amp;$B183*1000000000,Grids!$EE$160:$GQ$219,"&lt;"&amp;($B183+1)*1000000000))</f>
        <v/>
      </c>
      <c r="F183" s="129">
        <f>IF($B183="","",SUM($C$26:$C183))</f>
        <v/>
      </c>
      <c r="G183" s="129">
        <f>IF($B183="","",SUM($D$26:$D183))</f>
        <v/>
      </c>
      <c r="H183" s="129">
        <f>IF($B183="","",SUM($E$26:$E183))</f>
        <v/>
      </c>
    </row>
    <row r="184">
      <c r="B184" s="127">
        <f>IF(WIN_FROM+158&gt;WIN_TO,"",WIN_FROM+158)</f>
        <v/>
      </c>
      <c r="C184" s="128">
        <f>IF($B184="","",SUMIFS(Grids!$BQ$12:$EC$111,Grids!$EE$12:$GQ$111,"&gt;="&amp;$B184*1000000000,Grids!$EE$12:$GQ$111,"&lt;"&amp;($B184+1)*1000000000))</f>
        <v/>
      </c>
      <c r="D184" s="128">
        <f>IF($B184="","",SUMIFS(Grids!$BQ$116:$EC$155,Grids!$EE$116:$GQ$155,"&gt;="&amp;$B184*1000000000,Grids!$EE$116:$GQ$155,"&lt;"&amp;($B184+1)*1000000000))</f>
        <v/>
      </c>
      <c r="E184" s="128">
        <f>IF($B184="","",SUMIFS(Grids!$BQ$160:$EC$219,Grids!$EE$160:$GQ$219,"&gt;="&amp;$B184*1000000000,Grids!$EE$160:$GQ$219,"&lt;"&amp;($B184+1)*1000000000))</f>
        <v/>
      </c>
      <c r="F184" s="129">
        <f>IF($B184="","",SUM($C$26:$C184))</f>
        <v/>
      </c>
      <c r="G184" s="129">
        <f>IF($B184="","",SUM($D$26:$D184))</f>
        <v/>
      </c>
      <c r="H184" s="129">
        <f>IF($B184="","",SUM($E$26:$E184))</f>
        <v/>
      </c>
    </row>
    <row r="185">
      <c r="B185" s="127">
        <f>IF(WIN_FROM+159&gt;WIN_TO,"",WIN_FROM+159)</f>
        <v/>
      </c>
      <c r="C185" s="128">
        <f>IF($B185="","",SUMIFS(Grids!$BQ$12:$EC$111,Grids!$EE$12:$GQ$111,"&gt;="&amp;$B185*1000000000,Grids!$EE$12:$GQ$111,"&lt;"&amp;($B185+1)*1000000000))</f>
        <v/>
      </c>
      <c r="D185" s="128">
        <f>IF($B185="","",SUMIFS(Grids!$BQ$116:$EC$155,Grids!$EE$116:$GQ$155,"&gt;="&amp;$B185*1000000000,Grids!$EE$116:$GQ$155,"&lt;"&amp;($B185+1)*1000000000))</f>
        <v/>
      </c>
      <c r="E185" s="128">
        <f>IF($B185="","",SUMIFS(Grids!$BQ$160:$EC$219,Grids!$EE$160:$GQ$219,"&gt;="&amp;$B185*1000000000,Grids!$EE$160:$GQ$219,"&lt;"&amp;($B185+1)*1000000000))</f>
        <v/>
      </c>
      <c r="F185" s="129">
        <f>IF($B185="","",SUM($C$26:$C185))</f>
        <v/>
      </c>
      <c r="G185" s="129">
        <f>IF($B185="","",SUM($D$26:$D185))</f>
        <v/>
      </c>
      <c r="H185" s="129">
        <f>IF($B185="","",SUM($E$26:$E185))</f>
        <v/>
      </c>
    </row>
    <row r="186">
      <c r="B186" s="127">
        <f>IF(WIN_FROM+160&gt;WIN_TO,"",WIN_FROM+160)</f>
        <v/>
      </c>
      <c r="C186" s="128">
        <f>IF($B186="","",SUMIFS(Grids!$BQ$12:$EC$111,Grids!$EE$12:$GQ$111,"&gt;="&amp;$B186*1000000000,Grids!$EE$12:$GQ$111,"&lt;"&amp;($B186+1)*1000000000))</f>
        <v/>
      </c>
      <c r="D186" s="128">
        <f>IF($B186="","",SUMIFS(Grids!$BQ$116:$EC$155,Grids!$EE$116:$GQ$155,"&gt;="&amp;$B186*1000000000,Grids!$EE$116:$GQ$155,"&lt;"&amp;($B186+1)*1000000000))</f>
        <v/>
      </c>
      <c r="E186" s="128">
        <f>IF($B186="","",SUMIFS(Grids!$BQ$160:$EC$219,Grids!$EE$160:$GQ$219,"&gt;="&amp;$B186*1000000000,Grids!$EE$160:$GQ$219,"&lt;"&amp;($B186+1)*1000000000))</f>
        <v/>
      </c>
      <c r="F186" s="129">
        <f>IF($B186="","",SUM($C$26:$C186))</f>
        <v/>
      </c>
      <c r="G186" s="129">
        <f>IF($B186="","",SUM($D$26:$D186))</f>
        <v/>
      </c>
      <c r="H186" s="129">
        <f>IF($B186="","",SUM($E$26:$E186))</f>
        <v/>
      </c>
    </row>
    <row r="187">
      <c r="B187" s="127">
        <f>IF(WIN_FROM+161&gt;WIN_TO,"",WIN_FROM+161)</f>
        <v/>
      </c>
      <c r="C187" s="128">
        <f>IF($B187="","",SUMIFS(Grids!$BQ$12:$EC$111,Grids!$EE$12:$GQ$111,"&gt;="&amp;$B187*1000000000,Grids!$EE$12:$GQ$111,"&lt;"&amp;($B187+1)*1000000000))</f>
        <v/>
      </c>
      <c r="D187" s="128">
        <f>IF($B187="","",SUMIFS(Grids!$BQ$116:$EC$155,Grids!$EE$116:$GQ$155,"&gt;="&amp;$B187*1000000000,Grids!$EE$116:$GQ$155,"&lt;"&amp;($B187+1)*1000000000))</f>
        <v/>
      </c>
      <c r="E187" s="128">
        <f>IF($B187="","",SUMIFS(Grids!$BQ$160:$EC$219,Grids!$EE$160:$GQ$219,"&gt;="&amp;$B187*1000000000,Grids!$EE$160:$GQ$219,"&lt;"&amp;($B187+1)*1000000000))</f>
        <v/>
      </c>
      <c r="F187" s="129">
        <f>IF($B187="","",SUM($C$26:$C187))</f>
        <v/>
      </c>
      <c r="G187" s="129">
        <f>IF($B187="","",SUM($D$26:$D187))</f>
        <v/>
      </c>
      <c r="H187" s="129">
        <f>IF($B187="","",SUM($E$26:$E187))</f>
        <v/>
      </c>
    </row>
    <row r="188">
      <c r="B188" s="127">
        <f>IF(WIN_FROM+162&gt;WIN_TO,"",WIN_FROM+162)</f>
        <v/>
      </c>
      <c r="C188" s="128">
        <f>IF($B188="","",SUMIFS(Grids!$BQ$12:$EC$111,Grids!$EE$12:$GQ$111,"&gt;="&amp;$B188*1000000000,Grids!$EE$12:$GQ$111,"&lt;"&amp;($B188+1)*1000000000))</f>
        <v/>
      </c>
      <c r="D188" s="128">
        <f>IF($B188="","",SUMIFS(Grids!$BQ$116:$EC$155,Grids!$EE$116:$GQ$155,"&gt;="&amp;$B188*1000000000,Grids!$EE$116:$GQ$155,"&lt;"&amp;($B188+1)*1000000000))</f>
        <v/>
      </c>
      <c r="E188" s="128">
        <f>IF($B188="","",SUMIFS(Grids!$BQ$160:$EC$219,Grids!$EE$160:$GQ$219,"&gt;="&amp;$B188*1000000000,Grids!$EE$160:$GQ$219,"&lt;"&amp;($B188+1)*1000000000))</f>
        <v/>
      </c>
      <c r="F188" s="129">
        <f>IF($B188="","",SUM($C$26:$C188))</f>
        <v/>
      </c>
      <c r="G188" s="129">
        <f>IF($B188="","",SUM($D$26:$D188))</f>
        <v/>
      </c>
      <c r="H188" s="129">
        <f>IF($B188="","",SUM($E$26:$E188))</f>
        <v/>
      </c>
    </row>
    <row r="189">
      <c r="B189" s="127">
        <f>IF(WIN_FROM+163&gt;WIN_TO,"",WIN_FROM+163)</f>
        <v/>
      </c>
      <c r="C189" s="128">
        <f>IF($B189="","",SUMIFS(Grids!$BQ$12:$EC$111,Grids!$EE$12:$GQ$111,"&gt;="&amp;$B189*1000000000,Grids!$EE$12:$GQ$111,"&lt;"&amp;($B189+1)*1000000000))</f>
        <v/>
      </c>
      <c r="D189" s="128">
        <f>IF($B189="","",SUMIFS(Grids!$BQ$116:$EC$155,Grids!$EE$116:$GQ$155,"&gt;="&amp;$B189*1000000000,Grids!$EE$116:$GQ$155,"&lt;"&amp;($B189+1)*1000000000))</f>
        <v/>
      </c>
      <c r="E189" s="128">
        <f>IF($B189="","",SUMIFS(Grids!$BQ$160:$EC$219,Grids!$EE$160:$GQ$219,"&gt;="&amp;$B189*1000000000,Grids!$EE$160:$GQ$219,"&lt;"&amp;($B189+1)*1000000000))</f>
        <v/>
      </c>
      <c r="F189" s="129">
        <f>IF($B189="","",SUM($C$26:$C189))</f>
        <v/>
      </c>
      <c r="G189" s="129">
        <f>IF($B189="","",SUM($D$26:$D189))</f>
        <v/>
      </c>
      <c r="H189" s="129">
        <f>IF($B189="","",SUM($E$26:$E189))</f>
        <v/>
      </c>
    </row>
    <row r="190">
      <c r="B190" s="127">
        <f>IF(WIN_FROM+164&gt;WIN_TO,"",WIN_FROM+164)</f>
        <v/>
      </c>
      <c r="C190" s="128">
        <f>IF($B190="","",SUMIFS(Grids!$BQ$12:$EC$111,Grids!$EE$12:$GQ$111,"&gt;="&amp;$B190*1000000000,Grids!$EE$12:$GQ$111,"&lt;"&amp;($B190+1)*1000000000))</f>
        <v/>
      </c>
      <c r="D190" s="128">
        <f>IF($B190="","",SUMIFS(Grids!$BQ$116:$EC$155,Grids!$EE$116:$GQ$155,"&gt;="&amp;$B190*1000000000,Grids!$EE$116:$GQ$155,"&lt;"&amp;($B190+1)*1000000000))</f>
        <v/>
      </c>
      <c r="E190" s="128">
        <f>IF($B190="","",SUMIFS(Grids!$BQ$160:$EC$219,Grids!$EE$160:$GQ$219,"&gt;="&amp;$B190*1000000000,Grids!$EE$160:$GQ$219,"&lt;"&amp;($B190+1)*1000000000))</f>
        <v/>
      </c>
      <c r="F190" s="129">
        <f>IF($B190="","",SUM($C$26:$C190))</f>
        <v/>
      </c>
      <c r="G190" s="129">
        <f>IF($B190="","",SUM($D$26:$D190))</f>
        <v/>
      </c>
      <c r="H190" s="129">
        <f>IF($B190="","",SUM($E$26:$E190))</f>
        <v/>
      </c>
    </row>
    <row r="191">
      <c r="B191" s="127">
        <f>IF(WIN_FROM+165&gt;WIN_TO,"",WIN_FROM+165)</f>
        <v/>
      </c>
      <c r="C191" s="128">
        <f>IF($B191="","",SUMIFS(Grids!$BQ$12:$EC$111,Grids!$EE$12:$GQ$111,"&gt;="&amp;$B191*1000000000,Grids!$EE$12:$GQ$111,"&lt;"&amp;($B191+1)*1000000000))</f>
        <v/>
      </c>
      <c r="D191" s="128">
        <f>IF($B191="","",SUMIFS(Grids!$BQ$116:$EC$155,Grids!$EE$116:$GQ$155,"&gt;="&amp;$B191*1000000000,Grids!$EE$116:$GQ$155,"&lt;"&amp;($B191+1)*1000000000))</f>
        <v/>
      </c>
      <c r="E191" s="128">
        <f>IF($B191="","",SUMIFS(Grids!$BQ$160:$EC$219,Grids!$EE$160:$GQ$219,"&gt;="&amp;$B191*1000000000,Grids!$EE$160:$GQ$219,"&lt;"&amp;($B191+1)*1000000000))</f>
        <v/>
      </c>
      <c r="F191" s="129">
        <f>IF($B191="","",SUM($C$26:$C191))</f>
        <v/>
      </c>
      <c r="G191" s="129">
        <f>IF($B191="","",SUM($D$26:$D191))</f>
        <v/>
      </c>
      <c r="H191" s="129">
        <f>IF($B191="","",SUM($E$26:$E191))</f>
        <v/>
      </c>
    </row>
    <row r="192">
      <c r="B192" s="127">
        <f>IF(WIN_FROM+166&gt;WIN_TO,"",WIN_FROM+166)</f>
        <v/>
      </c>
      <c r="C192" s="128">
        <f>IF($B192="","",SUMIFS(Grids!$BQ$12:$EC$111,Grids!$EE$12:$GQ$111,"&gt;="&amp;$B192*1000000000,Grids!$EE$12:$GQ$111,"&lt;"&amp;($B192+1)*1000000000))</f>
        <v/>
      </c>
      <c r="D192" s="128">
        <f>IF($B192="","",SUMIFS(Grids!$BQ$116:$EC$155,Grids!$EE$116:$GQ$155,"&gt;="&amp;$B192*1000000000,Grids!$EE$116:$GQ$155,"&lt;"&amp;($B192+1)*1000000000))</f>
        <v/>
      </c>
      <c r="E192" s="128">
        <f>IF($B192="","",SUMIFS(Grids!$BQ$160:$EC$219,Grids!$EE$160:$GQ$219,"&gt;="&amp;$B192*1000000000,Grids!$EE$160:$GQ$219,"&lt;"&amp;($B192+1)*1000000000))</f>
        <v/>
      </c>
      <c r="F192" s="129">
        <f>IF($B192="","",SUM($C$26:$C192))</f>
        <v/>
      </c>
      <c r="G192" s="129">
        <f>IF($B192="","",SUM($D$26:$D192))</f>
        <v/>
      </c>
      <c r="H192" s="129">
        <f>IF($B192="","",SUM($E$26:$E192))</f>
        <v/>
      </c>
    </row>
    <row r="193">
      <c r="B193" s="127">
        <f>IF(WIN_FROM+167&gt;WIN_TO,"",WIN_FROM+167)</f>
        <v/>
      </c>
      <c r="C193" s="128">
        <f>IF($B193="","",SUMIFS(Grids!$BQ$12:$EC$111,Grids!$EE$12:$GQ$111,"&gt;="&amp;$B193*1000000000,Grids!$EE$12:$GQ$111,"&lt;"&amp;($B193+1)*1000000000))</f>
        <v/>
      </c>
      <c r="D193" s="128">
        <f>IF($B193="","",SUMIFS(Grids!$BQ$116:$EC$155,Grids!$EE$116:$GQ$155,"&gt;="&amp;$B193*1000000000,Grids!$EE$116:$GQ$155,"&lt;"&amp;($B193+1)*1000000000))</f>
        <v/>
      </c>
      <c r="E193" s="128">
        <f>IF($B193="","",SUMIFS(Grids!$BQ$160:$EC$219,Grids!$EE$160:$GQ$219,"&gt;="&amp;$B193*1000000000,Grids!$EE$160:$GQ$219,"&lt;"&amp;($B193+1)*1000000000))</f>
        <v/>
      </c>
      <c r="F193" s="129">
        <f>IF($B193="","",SUM($C$26:$C193))</f>
        <v/>
      </c>
      <c r="G193" s="129">
        <f>IF($B193="","",SUM($D$26:$D193))</f>
        <v/>
      </c>
      <c r="H193" s="129">
        <f>IF($B193="","",SUM($E$26:$E193))</f>
        <v/>
      </c>
    </row>
    <row r="194">
      <c r="B194" s="127">
        <f>IF(WIN_FROM+168&gt;WIN_TO,"",WIN_FROM+168)</f>
        <v/>
      </c>
      <c r="C194" s="128">
        <f>IF($B194="","",SUMIFS(Grids!$BQ$12:$EC$111,Grids!$EE$12:$GQ$111,"&gt;="&amp;$B194*1000000000,Grids!$EE$12:$GQ$111,"&lt;"&amp;($B194+1)*1000000000))</f>
        <v/>
      </c>
      <c r="D194" s="128">
        <f>IF($B194="","",SUMIFS(Grids!$BQ$116:$EC$155,Grids!$EE$116:$GQ$155,"&gt;="&amp;$B194*1000000000,Grids!$EE$116:$GQ$155,"&lt;"&amp;($B194+1)*1000000000))</f>
        <v/>
      </c>
      <c r="E194" s="128">
        <f>IF($B194="","",SUMIFS(Grids!$BQ$160:$EC$219,Grids!$EE$160:$GQ$219,"&gt;="&amp;$B194*1000000000,Grids!$EE$160:$GQ$219,"&lt;"&amp;($B194+1)*1000000000))</f>
        <v/>
      </c>
      <c r="F194" s="129">
        <f>IF($B194="","",SUM($C$26:$C194))</f>
        <v/>
      </c>
      <c r="G194" s="129">
        <f>IF($B194="","",SUM($D$26:$D194))</f>
        <v/>
      </c>
      <c r="H194" s="129">
        <f>IF($B194="","",SUM($E$26:$E194))</f>
        <v/>
      </c>
    </row>
    <row r="195">
      <c r="B195" s="127">
        <f>IF(WIN_FROM+169&gt;WIN_TO,"",WIN_FROM+169)</f>
        <v/>
      </c>
      <c r="C195" s="128">
        <f>IF($B195="","",SUMIFS(Grids!$BQ$12:$EC$111,Grids!$EE$12:$GQ$111,"&gt;="&amp;$B195*1000000000,Grids!$EE$12:$GQ$111,"&lt;"&amp;($B195+1)*1000000000))</f>
        <v/>
      </c>
      <c r="D195" s="128">
        <f>IF($B195="","",SUMIFS(Grids!$BQ$116:$EC$155,Grids!$EE$116:$GQ$155,"&gt;="&amp;$B195*1000000000,Grids!$EE$116:$GQ$155,"&lt;"&amp;($B195+1)*1000000000))</f>
        <v/>
      </c>
      <c r="E195" s="128">
        <f>IF($B195="","",SUMIFS(Grids!$BQ$160:$EC$219,Grids!$EE$160:$GQ$219,"&gt;="&amp;$B195*1000000000,Grids!$EE$160:$GQ$219,"&lt;"&amp;($B195+1)*1000000000))</f>
        <v/>
      </c>
      <c r="F195" s="129">
        <f>IF($B195="","",SUM($C$26:$C195))</f>
        <v/>
      </c>
      <c r="G195" s="129">
        <f>IF($B195="","",SUM($D$26:$D195))</f>
        <v/>
      </c>
      <c r="H195" s="129">
        <f>IF($B195="","",SUM($E$26:$E195))</f>
        <v/>
      </c>
    </row>
    <row r="196">
      <c r="B196" s="127">
        <f>IF(WIN_FROM+170&gt;WIN_TO,"",WIN_FROM+170)</f>
        <v/>
      </c>
      <c r="C196" s="128">
        <f>IF($B196="","",SUMIFS(Grids!$BQ$12:$EC$111,Grids!$EE$12:$GQ$111,"&gt;="&amp;$B196*1000000000,Grids!$EE$12:$GQ$111,"&lt;"&amp;($B196+1)*1000000000))</f>
        <v/>
      </c>
      <c r="D196" s="128">
        <f>IF($B196="","",SUMIFS(Grids!$BQ$116:$EC$155,Grids!$EE$116:$GQ$155,"&gt;="&amp;$B196*1000000000,Grids!$EE$116:$GQ$155,"&lt;"&amp;($B196+1)*1000000000))</f>
        <v/>
      </c>
      <c r="E196" s="128">
        <f>IF($B196="","",SUMIFS(Grids!$BQ$160:$EC$219,Grids!$EE$160:$GQ$219,"&gt;="&amp;$B196*1000000000,Grids!$EE$160:$GQ$219,"&lt;"&amp;($B196+1)*1000000000))</f>
        <v/>
      </c>
      <c r="F196" s="129">
        <f>IF($B196="","",SUM($C$26:$C196))</f>
        <v/>
      </c>
      <c r="G196" s="129">
        <f>IF($B196="","",SUM($D$26:$D196))</f>
        <v/>
      </c>
      <c r="H196" s="129">
        <f>IF($B196="","",SUM($E$26:$E196))</f>
        <v/>
      </c>
    </row>
    <row r="197">
      <c r="B197" s="127">
        <f>IF(WIN_FROM+171&gt;WIN_TO,"",WIN_FROM+171)</f>
        <v/>
      </c>
      <c r="C197" s="128">
        <f>IF($B197="","",SUMIFS(Grids!$BQ$12:$EC$111,Grids!$EE$12:$GQ$111,"&gt;="&amp;$B197*1000000000,Grids!$EE$12:$GQ$111,"&lt;"&amp;($B197+1)*1000000000))</f>
        <v/>
      </c>
      <c r="D197" s="128">
        <f>IF($B197="","",SUMIFS(Grids!$BQ$116:$EC$155,Grids!$EE$116:$GQ$155,"&gt;="&amp;$B197*1000000000,Grids!$EE$116:$GQ$155,"&lt;"&amp;($B197+1)*1000000000))</f>
        <v/>
      </c>
      <c r="E197" s="128">
        <f>IF($B197="","",SUMIFS(Grids!$BQ$160:$EC$219,Grids!$EE$160:$GQ$219,"&gt;="&amp;$B197*1000000000,Grids!$EE$160:$GQ$219,"&lt;"&amp;($B197+1)*1000000000))</f>
        <v/>
      </c>
      <c r="F197" s="129">
        <f>IF($B197="","",SUM($C$26:$C197))</f>
        <v/>
      </c>
      <c r="G197" s="129">
        <f>IF($B197="","",SUM($D$26:$D197))</f>
        <v/>
      </c>
      <c r="H197" s="129">
        <f>IF($B197="","",SUM($E$26:$E197))</f>
        <v/>
      </c>
    </row>
    <row r="198">
      <c r="B198" s="127">
        <f>IF(WIN_FROM+172&gt;WIN_TO,"",WIN_FROM+172)</f>
        <v/>
      </c>
      <c r="C198" s="128">
        <f>IF($B198="","",SUMIFS(Grids!$BQ$12:$EC$111,Grids!$EE$12:$GQ$111,"&gt;="&amp;$B198*1000000000,Grids!$EE$12:$GQ$111,"&lt;"&amp;($B198+1)*1000000000))</f>
        <v/>
      </c>
      <c r="D198" s="128">
        <f>IF($B198="","",SUMIFS(Grids!$BQ$116:$EC$155,Grids!$EE$116:$GQ$155,"&gt;="&amp;$B198*1000000000,Grids!$EE$116:$GQ$155,"&lt;"&amp;($B198+1)*1000000000))</f>
        <v/>
      </c>
      <c r="E198" s="128">
        <f>IF($B198="","",SUMIFS(Grids!$BQ$160:$EC$219,Grids!$EE$160:$GQ$219,"&gt;="&amp;$B198*1000000000,Grids!$EE$160:$GQ$219,"&lt;"&amp;($B198+1)*1000000000))</f>
        <v/>
      </c>
      <c r="F198" s="129">
        <f>IF($B198="","",SUM($C$26:$C198))</f>
        <v/>
      </c>
      <c r="G198" s="129">
        <f>IF($B198="","",SUM($D$26:$D198))</f>
        <v/>
      </c>
      <c r="H198" s="129">
        <f>IF($B198="","",SUM($E$26:$E198))</f>
        <v/>
      </c>
    </row>
    <row r="199">
      <c r="B199" s="127">
        <f>IF(WIN_FROM+173&gt;WIN_TO,"",WIN_FROM+173)</f>
        <v/>
      </c>
      <c r="C199" s="128">
        <f>IF($B199="","",SUMIFS(Grids!$BQ$12:$EC$111,Grids!$EE$12:$GQ$111,"&gt;="&amp;$B199*1000000000,Grids!$EE$12:$GQ$111,"&lt;"&amp;($B199+1)*1000000000))</f>
        <v/>
      </c>
      <c r="D199" s="128">
        <f>IF($B199="","",SUMIFS(Grids!$BQ$116:$EC$155,Grids!$EE$116:$GQ$155,"&gt;="&amp;$B199*1000000000,Grids!$EE$116:$GQ$155,"&lt;"&amp;($B199+1)*1000000000))</f>
        <v/>
      </c>
      <c r="E199" s="128">
        <f>IF($B199="","",SUMIFS(Grids!$BQ$160:$EC$219,Grids!$EE$160:$GQ$219,"&gt;="&amp;$B199*1000000000,Grids!$EE$160:$GQ$219,"&lt;"&amp;($B199+1)*1000000000))</f>
        <v/>
      </c>
      <c r="F199" s="129">
        <f>IF($B199="","",SUM($C$26:$C199))</f>
        <v/>
      </c>
      <c r="G199" s="129">
        <f>IF($B199="","",SUM($D$26:$D199))</f>
        <v/>
      </c>
      <c r="H199" s="129">
        <f>IF($B199="","",SUM($E$26:$E199))</f>
        <v/>
      </c>
    </row>
    <row r="200">
      <c r="B200" s="127">
        <f>IF(WIN_FROM+174&gt;WIN_TO,"",WIN_FROM+174)</f>
        <v/>
      </c>
      <c r="C200" s="128">
        <f>IF($B200="","",SUMIFS(Grids!$BQ$12:$EC$111,Grids!$EE$12:$GQ$111,"&gt;="&amp;$B200*1000000000,Grids!$EE$12:$GQ$111,"&lt;"&amp;($B200+1)*1000000000))</f>
        <v/>
      </c>
      <c r="D200" s="128">
        <f>IF($B200="","",SUMIFS(Grids!$BQ$116:$EC$155,Grids!$EE$116:$GQ$155,"&gt;="&amp;$B200*1000000000,Grids!$EE$116:$GQ$155,"&lt;"&amp;($B200+1)*1000000000))</f>
        <v/>
      </c>
      <c r="E200" s="128">
        <f>IF($B200="","",SUMIFS(Grids!$BQ$160:$EC$219,Grids!$EE$160:$GQ$219,"&gt;="&amp;$B200*1000000000,Grids!$EE$160:$GQ$219,"&lt;"&amp;($B200+1)*1000000000))</f>
        <v/>
      </c>
      <c r="F200" s="129">
        <f>IF($B200="","",SUM($C$26:$C200))</f>
        <v/>
      </c>
      <c r="G200" s="129">
        <f>IF($B200="","",SUM($D$26:$D200))</f>
        <v/>
      </c>
      <c r="H200" s="129">
        <f>IF($B200="","",SUM($E$26:$E200))</f>
        <v/>
      </c>
    </row>
    <row r="201">
      <c r="B201" s="127">
        <f>IF(WIN_FROM+175&gt;WIN_TO,"",WIN_FROM+175)</f>
        <v/>
      </c>
      <c r="C201" s="128">
        <f>IF($B201="","",SUMIFS(Grids!$BQ$12:$EC$111,Grids!$EE$12:$GQ$111,"&gt;="&amp;$B201*1000000000,Grids!$EE$12:$GQ$111,"&lt;"&amp;($B201+1)*1000000000))</f>
        <v/>
      </c>
      <c r="D201" s="128">
        <f>IF($B201="","",SUMIFS(Grids!$BQ$116:$EC$155,Grids!$EE$116:$GQ$155,"&gt;="&amp;$B201*1000000000,Grids!$EE$116:$GQ$155,"&lt;"&amp;($B201+1)*1000000000))</f>
        <v/>
      </c>
      <c r="E201" s="128">
        <f>IF($B201="","",SUMIFS(Grids!$BQ$160:$EC$219,Grids!$EE$160:$GQ$219,"&gt;="&amp;$B201*1000000000,Grids!$EE$160:$GQ$219,"&lt;"&amp;($B201+1)*1000000000))</f>
        <v/>
      </c>
      <c r="F201" s="129">
        <f>IF($B201="","",SUM($C$26:$C201))</f>
        <v/>
      </c>
      <c r="G201" s="129">
        <f>IF($B201="","",SUM($D$26:$D201))</f>
        <v/>
      </c>
      <c r="H201" s="129">
        <f>IF($B201="","",SUM($E$26:$E201))</f>
        <v/>
      </c>
    </row>
    <row r="202">
      <c r="B202" s="127">
        <f>IF(WIN_FROM+176&gt;WIN_TO,"",WIN_FROM+176)</f>
        <v/>
      </c>
      <c r="C202" s="128">
        <f>IF($B202="","",SUMIFS(Grids!$BQ$12:$EC$111,Grids!$EE$12:$GQ$111,"&gt;="&amp;$B202*1000000000,Grids!$EE$12:$GQ$111,"&lt;"&amp;($B202+1)*1000000000))</f>
        <v/>
      </c>
      <c r="D202" s="128">
        <f>IF($B202="","",SUMIFS(Grids!$BQ$116:$EC$155,Grids!$EE$116:$GQ$155,"&gt;="&amp;$B202*1000000000,Grids!$EE$116:$GQ$155,"&lt;"&amp;($B202+1)*1000000000))</f>
        <v/>
      </c>
      <c r="E202" s="128">
        <f>IF($B202="","",SUMIFS(Grids!$BQ$160:$EC$219,Grids!$EE$160:$GQ$219,"&gt;="&amp;$B202*1000000000,Grids!$EE$160:$GQ$219,"&lt;"&amp;($B202+1)*1000000000))</f>
        <v/>
      </c>
      <c r="F202" s="129">
        <f>IF($B202="","",SUM($C$26:$C202))</f>
        <v/>
      </c>
      <c r="G202" s="129">
        <f>IF($B202="","",SUM($D$26:$D202))</f>
        <v/>
      </c>
      <c r="H202" s="129">
        <f>IF($B202="","",SUM($E$26:$E202))</f>
        <v/>
      </c>
    </row>
    <row r="203">
      <c r="B203" s="127">
        <f>IF(WIN_FROM+177&gt;WIN_TO,"",WIN_FROM+177)</f>
        <v/>
      </c>
      <c r="C203" s="128">
        <f>IF($B203="","",SUMIFS(Grids!$BQ$12:$EC$111,Grids!$EE$12:$GQ$111,"&gt;="&amp;$B203*1000000000,Grids!$EE$12:$GQ$111,"&lt;"&amp;($B203+1)*1000000000))</f>
        <v/>
      </c>
      <c r="D203" s="128">
        <f>IF($B203="","",SUMIFS(Grids!$BQ$116:$EC$155,Grids!$EE$116:$GQ$155,"&gt;="&amp;$B203*1000000000,Grids!$EE$116:$GQ$155,"&lt;"&amp;($B203+1)*1000000000))</f>
        <v/>
      </c>
      <c r="E203" s="128">
        <f>IF($B203="","",SUMIFS(Grids!$BQ$160:$EC$219,Grids!$EE$160:$GQ$219,"&gt;="&amp;$B203*1000000000,Grids!$EE$160:$GQ$219,"&lt;"&amp;($B203+1)*1000000000))</f>
        <v/>
      </c>
      <c r="F203" s="129">
        <f>IF($B203="","",SUM($C$26:$C203))</f>
        <v/>
      </c>
      <c r="G203" s="129">
        <f>IF($B203="","",SUM($D$26:$D203))</f>
        <v/>
      </c>
      <c r="H203" s="129">
        <f>IF($B203="","",SUM($E$26:$E203))</f>
        <v/>
      </c>
    </row>
    <row r="204">
      <c r="B204" s="127">
        <f>IF(WIN_FROM+178&gt;WIN_TO,"",WIN_FROM+178)</f>
        <v/>
      </c>
      <c r="C204" s="128">
        <f>IF($B204="","",SUMIFS(Grids!$BQ$12:$EC$111,Grids!$EE$12:$GQ$111,"&gt;="&amp;$B204*1000000000,Grids!$EE$12:$GQ$111,"&lt;"&amp;($B204+1)*1000000000))</f>
        <v/>
      </c>
      <c r="D204" s="128">
        <f>IF($B204="","",SUMIFS(Grids!$BQ$116:$EC$155,Grids!$EE$116:$GQ$155,"&gt;="&amp;$B204*1000000000,Grids!$EE$116:$GQ$155,"&lt;"&amp;($B204+1)*1000000000))</f>
        <v/>
      </c>
      <c r="E204" s="128">
        <f>IF($B204="","",SUMIFS(Grids!$BQ$160:$EC$219,Grids!$EE$160:$GQ$219,"&gt;="&amp;$B204*1000000000,Grids!$EE$160:$GQ$219,"&lt;"&amp;($B204+1)*1000000000))</f>
        <v/>
      </c>
      <c r="F204" s="129">
        <f>IF($B204="","",SUM($C$26:$C204))</f>
        <v/>
      </c>
      <c r="G204" s="129">
        <f>IF($B204="","",SUM($D$26:$D204))</f>
        <v/>
      </c>
      <c r="H204" s="129">
        <f>IF($B204="","",SUM($E$26:$E204))</f>
        <v/>
      </c>
    </row>
    <row r="205">
      <c r="B205" s="127">
        <f>IF(WIN_FROM+179&gt;WIN_TO,"",WIN_FROM+179)</f>
        <v/>
      </c>
      <c r="C205" s="128">
        <f>IF($B205="","",SUMIFS(Grids!$BQ$12:$EC$111,Grids!$EE$12:$GQ$111,"&gt;="&amp;$B205*1000000000,Grids!$EE$12:$GQ$111,"&lt;"&amp;($B205+1)*1000000000))</f>
        <v/>
      </c>
      <c r="D205" s="128">
        <f>IF($B205="","",SUMIFS(Grids!$BQ$116:$EC$155,Grids!$EE$116:$GQ$155,"&gt;="&amp;$B205*1000000000,Grids!$EE$116:$GQ$155,"&lt;"&amp;($B205+1)*1000000000))</f>
        <v/>
      </c>
      <c r="E205" s="128">
        <f>IF($B205="","",SUMIFS(Grids!$BQ$160:$EC$219,Grids!$EE$160:$GQ$219,"&gt;="&amp;$B205*1000000000,Grids!$EE$160:$GQ$219,"&lt;"&amp;($B205+1)*1000000000))</f>
        <v/>
      </c>
      <c r="F205" s="129">
        <f>IF($B205="","",SUM($C$26:$C205))</f>
        <v/>
      </c>
      <c r="G205" s="129">
        <f>IF($B205="","",SUM($D$26:$D205))</f>
        <v/>
      </c>
      <c r="H205" s="129">
        <f>IF($B205="","",SUM($E$26:$E205))</f>
        <v/>
      </c>
    </row>
    <row r="206">
      <c r="B206" s="127">
        <f>IF(WIN_FROM+180&gt;WIN_TO,"",WIN_FROM+180)</f>
        <v/>
      </c>
      <c r="C206" s="128">
        <f>IF($B206="","",SUMIFS(Grids!$BQ$12:$EC$111,Grids!$EE$12:$GQ$111,"&gt;="&amp;$B206*1000000000,Grids!$EE$12:$GQ$111,"&lt;"&amp;($B206+1)*1000000000))</f>
        <v/>
      </c>
      <c r="D206" s="128">
        <f>IF($B206="","",SUMIFS(Grids!$BQ$116:$EC$155,Grids!$EE$116:$GQ$155,"&gt;="&amp;$B206*1000000000,Grids!$EE$116:$GQ$155,"&lt;"&amp;($B206+1)*1000000000))</f>
        <v/>
      </c>
      <c r="E206" s="128">
        <f>IF($B206="","",SUMIFS(Grids!$BQ$160:$EC$219,Grids!$EE$160:$GQ$219,"&gt;="&amp;$B206*1000000000,Grids!$EE$160:$GQ$219,"&lt;"&amp;($B206+1)*1000000000))</f>
        <v/>
      </c>
      <c r="F206" s="129">
        <f>IF($B206="","",SUM($C$26:$C206))</f>
        <v/>
      </c>
      <c r="G206" s="129">
        <f>IF($B206="","",SUM($D$26:$D206))</f>
        <v/>
      </c>
      <c r="H206" s="129">
        <f>IF($B206="","",SUM($E$26:$E206))</f>
        <v/>
      </c>
    </row>
    <row r="207">
      <c r="B207" s="127">
        <f>IF(WIN_FROM+181&gt;WIN_TO,"",WIN_FROM+181)</f>
        <v/>
      </c>
      <c r="C207" s="128">
        <f>IF($B207="","",SUMIFS(Grids!$BQ$12:$EC$111,Grids!$EE$12:$GQ$111,"&gt;="&amp;$B207*1000000000,Grids!$EE$12:$GQ$111,"&lt;"&amp;($B207+1)*1000000000))</f>
        <v/>
      </c>
      <c r="D207" s="128">
        <f>IF($B207="","",SUMIFS(Grids!$BQ$116:$EC$155,Grids!$EE$116:$GQ$155,"&gt;="&amp;$B207*1000000000,Grids!$EE$116:$GQ$155,"&lt;"&amp;($B207+1)*1000000000))</f>
        <v/>
      </c>
      <c r="E207" s="128">
        <f>IF($B207="","",SUMIFS(Grids!$BQ$160:$EC$219,Grids!$EE$160:$GQ$219,"&gt;="&amp;$B207*1000000000,Grids!$EE$160:$GQ$219,"&lt;"&amp;($B207+1)*1000000000))</f>
        <v/>
      </c>
      <c r="F207" s="129">
        <f>IF($B207="","",SUM($C$26:$C207))</f>
        <v/>
      </c>
      <c r="G207" s="129">
        <f>IF($B207="","",SUM($D$26:$D207))</f>
        <v/>
      </c>
      <c r="H207" s="129">
        <f>IF($B207="","",SUM($E$26:$E207))</f>
        <v/>
      </c>
    </row>
    <row r="208">
      <c r="B208" s="127">
        <f>IF(WIN_FROM+182&gt;WIN_TO,"",WIN_FROM+182)</f>
        <v/>
      </c>
      <c r="C208" s="128">
        <f>IF($B208="","",SUMIFS(Grids!$BQ$12:$EC$111,Grids!$EE$12:$GQ$111,"&gt;="&amp;$B208*1000000000,Grids!$EE$12:$GQ$111,"&lt;"&amp;($B208+1)*1000000000))</f>
        <v/>
      </c>
      <c r="D208" s="128">
        <f>IF($B208="","",SUMIFS(Grids!$BQ$116:$EC$155,Grids!$EE$116:$GQ$155,"&gt;="&amp;$B208*1000000000,Grids!$EE$116:$GQ$155,"&lt;"&amp;($B208+1)*1000000000))</f>
        <v/>
      </c>
      <c r="E208" s="128">
        <f>IF($B208="","",SUMIFS(Grids!$BQ$160:$EC$219,Grids!$EE$160:$GQ$219,"&gt;="&amp;$B208*1000000000,Grids!$EE$160:$GQ$219,"&lt;"&amp;($B208+1)*1000000000))</f>
        <v/>
      </c>
      <c r="F208" s="129">
        <f>IF($B208="","",SUM($C$26:$C208))</f>
        <v/>
      </c>
      <c r="G208" s="129">
        <f>IF($B208="","",SUM($D$26:$D208))</f>
        <v/>
      </c>
      <c r="H208" s="129">
        <f>IF($B208="","",SUM($E$26:$E208))</f>
        <v/>
      </c>
    </row>
    <row r="209">
      <c r="B209" s="127">
        <f>IF(WIN_FROM+183&gt;WIN_TO,"",WIN_FROM+183)</f>
        <v/>
      </c>
      <c r="C209" s="128">
        <f>IF($B209="","",SUMIFS(Grids!$BQ$12:$EC$111,Grids!$EE$12:$GQ$111,"&gt;="&amp;$B209*1000000000,Grids!$EE$12:$GQ$111,"&lt;"&amp;($B209+1)*1000000000))</f>
        <v/>
      </c>
      <c r="D209" s="128">
        <f>IF($B209="","",SUMIFS(Grids!$BQ$116:$EC$155,Grids!$EE$116:$GQ$155,"&gt;="&amp;$B209*1000000000,Grids!$EE$116:$GQ$155,"&lt;"&amp;($B209+1)*1000000000))</f>
        <v/>
      </c>
      <c r="E209" s="128">
        <f>IF($B209="","",SUMIFS(Grids!$BQ$160:$EC$219,Grids!$EE$160:$GQ$219,"&gt;="&amp;$B209*1000000000,Grids!$EE$160:$GQ$219,"&lt;"&amp;($B209+1)*1000000000))</f>
        <v/>
      </c>
      <c r="F209" s="129">
        <f>IF($B209="","",SUM($C$26:$C209))</f>
        <v/>
      </c>
      <c r="G209" s="129">
        <f>IF($B209="","",SUM($D$26:$D209))</f>
        <v/>
      </c>
      <c r="H209" s="129">
        <f>IF($B209="","",SUM($E$26:$E209))</f>
        <v/>
      </c>
    </row>
    <row r="210">
      <c r="B210" s="127">
        <f>IF(WIN_FROM+184&gt;WIN_TO,"",WIN_FROM+184)</f>
        <v/>
      </c>
      <c r="C210" s="128">
        <f>IF($B210="","",SUMIFS(Grids!$BQ$12:$EC$111,Grids!$EE$12:$GQ$111,"&gt;="&amp;$B210*1000000000,Grids!$EE$12:$GQ$111,"&lt;"&amp;($B210+1)*1000000000))</f>
        <v/>
      </c>
      <c r="D210" s="128">
        <f>IF($B210="","",SUMIFS(Grids!$BQ$116:$EC$155,Grids!$EE$116:$GQ$155,"&gt;="&amp;$B210*1000000000,Grids!$EE$116:$GQ$155,"&lt;"&amp;($B210+1)*1000000000))</f>
        <v/>
      </c>
      <c r="E210" s="128">
        <f>IF($B210="","",SUMIFS(Grids!$BQ$160:$EC$219,Grids!$EE$160:$GQ$219,"&gt;="&amp;$B210*1000000000,Grids!$EE$160:$GQ$219,"&lt;"&amp;($B210+1)*1000000000))</f>
        <v/>
      </c>
      <c r="F210" s="129">
        <f>IF($B210="","",SUM($C$26:$C210))</f>
        <v/>
      </c>
      <c r="G210" s="129">
        <f>IF($B210="","",SUM($D$26:$D210))</f>
        <v/>
      </c>
      <c r="H210" s="129">
        <f>IF($B210="","",SUM($E$26:$E210))</f>
        <v/>
      </c>
    </row>
    <row r="211">
      <c r="B211" s="127">
        <f>IF(WIN_FROM+185&gt;WIN_TO,"",WIN_FROM+185)</f>
        <v/>
      </c>
      <c r="C211" s="128">
        <f>IF($B211="","",SUMIFS(Grids!$BQ$12:$EC$111,Grids!$EE$12:$GQ$111,"&gt;="&amp;$B211*1000000000,Grids!$EE$12:$GQ$111,"&lt;"&amp;($B211+1)*1000000000))</f>
        <v/>
      </c>
      <c r="D211" s="128">
        <f>IF($B211="","",SUMIFS(Grids!$BQ$116:$EC$155,Grids!$EE$116:$GQ$155,"&gt;="&amp;$B211*1000000000,Grids!$EE$116:$GQ$155,"&lt;"&amp;($B211+1)*1000000000))</f>
        <v/>
      </c>
      <c r="E211" s="128">
        <f>IF($B211="","",SUMIFS(Grids!$BQ$160:$EC$219,Grids!$EE$160:$GQ$219,"&gt;="&amp;$B211*1000000000,Grids!$EE$160:$GQ$219,"&lt;"&amp;($B211+1)*1000000000))</f>
        <v/>
      </c>
      <c r="F211" s="129">
        <f>IF($B211="","",SUM($C$26:$C211))</f>
        <v/>
      </c>
      <c r="G211" s="129">
        <f>IF($B211="","",SUM($D$26:$D211))</f>
        <v/>
      </c>
      <c r="H211" s="129">
        <f>IF($B211="","",SUM($E$26:$E211))</f>
        <v/>
      </c>
    </row>
    <row r="212">
      <c r="B212" s="127">
        <f>IF(WIN_FROM+186&gt;WIN_TO,"",WIN_FROM+186)</f>
        <v/>
      </c>
      <c r="C212" s="128">
        <f>IF($B212="","",SUMIFS(Grids!$BQ$12:$EC$111,Grids!$EE$12:$GQ$111,"&gt;="&amp;$B212*1000000000,Grids!$EE$12:$GQ$111,"&lt;"&amp;($B212+1)*1000000000))</f>
        <v/>
      </c>
      <c r="D212" s="128">
        <f>IF($B212="","",SUMIFS(Grids!$BQ$116:$EC$155,Grids!$EE$116:$GQ$155,"&gt;="&amp;$B212*1000000000,Grids!$EE$116:$GQ$155,"&lt;"&amp;($B212+1)*1000000000))</f>
        <v/>
      </c>
      <c r="E212" s="128">
        <f>IF($B212="","",SUMIFS(Grids!$BQ$160:$EC$219,Grids!$EE$160:$GQ$219,"&gt;="&amp;$B212*1000000000,Grids!$EE$160:$GQ$219,"&lt;"&amp;($B212+1)*1000000000))</f>
        <v/>
      </c>
      <c r="F212" s="129">
        <f>IF($B212="","",SUM($C$26:$C212))</f>
        <v/>
      </c>
      <c r="G212" s="129">
        <f>IF($B212="","",SUM($D$26:$D212))</f>
        <v/>
      </c>
      <c r="H212" s="129">
        <f>IF($B212="","",SUM($E$26:$E212))</f>
        <v/>
      </c>
    </row>
    <row r="213">
      <c r="B213" s="127">
        <f>IF(WIN_FROM+187&gt;WIN_TO,"",WIN_FROM+187)</f>
        <v/>
      </c>
      <c r="C213" s="128">
        <f>IF($B213="","",SUMIFS(Grids!$BQ$12:$EC$111,Grids!$EE$12:$GQ$111,"&gt;="&amp;$B213*1000000000,Grids!$EE$12:$GQ$111,"&lt;"&amp;($B213+1)*1000000000))</f>
        <v/>
      </c>
      <c r="D213" s="128">
        <f>IF($B213="","",SUMIFS(Grids!$BQ$116:$EC$155,Grids!$EE$116:$GQ$155,"&gt;="&amp;$B213*1000000000,Grids!$EE$116:$GQ$155,"&lt;"&amp;($B213+1)*1000000000))</f>
        <v/>
      </c>
      <c r="E213" s="128">
        <f>IF($B213="","",SUMIFS(Grids!$BQ$160:$EC$219,Grids!$EE$160:$GQ$219,"&gt;="&amp;$B213*1000000000,Grids!$EE$160:$GQ$219,"&lt;"&amp;($B213+1)*1000000000))</f>
        <v/>
      </c>
      <c r="F213" s="129">
        <f>IF($B213="","",SUM($C$26:$C213))</f>
        <v/>
      </c>
      <c r="G213" s="129">
        <f>IF($B213="","",SUM($D$26:$D213))</f>
        <v/>
      </c>
      <c r="H213" s="129">
        <f>IF($B213="","",SUM($E$26:$E213))</f>
        <v/>
      </c>
    </row>
    <row r="214">
      <c r="B214" s="127">
        <f>IF(WIN_FROM+188&gt;WIN_TO,"",WIN_FROM+188)</f>
        <v/>
      </c>
      <c r="C214" s="128">
        <f>IF($B214="","",SUMIFS(Grids!$BQ$12:$EC$111,Grids!$EE$12:$GQ$111,"&gt;="&amp;$B214*1000000000,Grids!$EE$12:$GQ$111,"&lt;"&amp;($B214+1)*1000000000))</f>
        <v/>
      </c>
      <c r="D214" s="128">
        <f>IF($B214="","",SUMIFS(Grids!$BQ$116:$EC$155,Grids!$EE$116:$GQ$155,"&gt;="&amp;$B214*1000000000,Grids!$EE$116:$GQ$155,"&lt;"&amp;($B214+1)*1000000000))</f>
        <v/>
      </c>
      <c r="E214" s="128">
        <f>IF($B214="","",SUMIFS(Grids!$BQ$160:$EC$219,Grids!$EE$160:$GQ$219,"&gt;="&amp;$B214*1000000000,Grids!$EE$160:$GQ$219,"&lt;"&amp;($B214+1)*1000000000))</f>
        <v/>
      </c>
      <c r="F214" s="129">
        <f>IF($B214="","",SUM($C$26:$C214))</f>
        <v/>
      </c>
      <c r="G214" s="129">
        <f>IF($B214="","",SUM($D$26:$D214))</f>
        <v/>
      </c>
      <c r="H214" s="129">
        <f>IF($B214="","",SUM($E$26:$E214))</f>
        <v/>
      </c>
    </row>
    <row r="215">
      <c r="B215" s="127">
        <f>IF(WIN_FROM+189&gt;WIN_TO,"",WIN_FROM+189)</f>
        <v/>
      </c>
      <c r="C215" s="128">
        <f>IF($B215="","",SUMIFS(Grids!$BQ$12:$EC$111,Grids!$EE$12:$GQ$111,"&gt;="&amp;$B215*1000000000,Grids!$EE$12:$GQ$111,"&lt;"&amp;($B215+1)*1000000000))</f>
        <v/>
      </c>
      <c r="D215" s="128">
        <f>IF($B215="","",SUMIFS(Grids!$BQ$116:$EC$155,Grids!$EE$116:$GQ$155,"&gt;="&amp;$B215*1000000000,Grids!$EE$116:$GQ$155,"&lt;"&amp;($B215+1)*1000000000))</f>
        <v/>
      </c>
      <c r="E215" s="128">
        <f>IF($B215="","",SUMIFS(Grids!$BQ$160:$EC$219,Grids!$EE$160:$GQ$219,"&gt;="&amp;$B215*1000000000,Grids!$EE$160:$GQ$219,"&lt;"&amp;($B215+1)*1000000000))</f>
        <v/>
      </c>
      <c r="F215" s="129">
        <f>IF($B215="","",SUM($C$26:$C215))</f>
        <v/>
      </c>
      <c r="G215" s="129">
        <f>IF($B215="","",SUM($D$26:$D215))</f>
        <v/>
      </c>
      <c r="H215" s="129">
        <f>IF($B215="","",SUM($E$26:$E215))</f>
        <v/>
      </c>
    </row>
    <row r="216">
      <c r="B216" s="127">
        <f>IF(WIN_FROM+190&gt;WIN_TO,"",WIN_FROM+190)</f>
        <v/>
      </c>
      <c r="C216" s="128">
        <f>IF($B216="","",SUMIFS(Grids!$BQ$12:$EC$111,Grids!$EE$12:$GQ$111,"&gt;="&amp;$B216*1000000000,Grids!$EE$12:$GQ$111,"&lt;"&amp;($B216+1)*1000000000))</f>
        <v/>
      </c>
      <c r="D216" s="128">
        <f>IF($B216="","",SUMIFS(Grids!$BQ$116:$EC$155,Grids!$EE$116:$GQ$155,"&gt;="&amp;$B216*1000000000,Grids!$EE$116:$GQ$155,"&lt;"&amp;($B216+1)*1000000000))</f>
        <v/>
      </c>
      <c r="E216" s="128">
        <f>IF($B216="","",SUMIFS(Grids!$BQ$160:$EC$219,Grids!$EE$160:$GQ$219,"&gt;="&amp;$B216*1000000000,Grids!$EE$160:$GQ$219,"&lt;"&amp;($B216+1)*1000000000))</f>
        <v/>
      </c>
      <c r="F216" s="129">
        <f>IF($B216="","",SUM($C$26:$C216))</f>
        <v/>
      </c>
      <c r="G216" s="129">
        <f>IF($B216="","",SUM($D$26:$D216))</f>
        <v/>
      </c>
      <c r="H216" s="129">
        <f>IF($B216="","",SUM($E$26:$E216))</f>
        <v/>
      </c>
    </row>
    <row r="217">
      <c r="B217" s="127">
        <f>IF(WIN_FROM+191&gt;WIN_TO,"",WIN_FROM+191)</f>
        <v/>
      </c>
      <c r="C217" s="128">
        <f>IF($B217="","",SUMIFS(Grids!$BQ$12:$EC$111,Grids!$EE$12:$GQ$111,"&gt;="&amp;$B217*1000000000,Grids!$EE$12:$GQ$111,"&lt;"&amp;($B217+1)*1000000000))</f>
        <v/>
      </c>
      <c r="D217" s="128">
        <f>IF($B217="","",SUMIFS(Grids!$BQ$116:$EC$155,Grids!$EE$116:$GQ$155,"&gt;="&amp;$B217*1000000000,Grids!$EE$116:$GQ$155,"&lt;"&amp;($B217+1)*1000000000))</f>
        <v/>
      </c>
      <c r="E217" s="128">
        <f>IF($B217="","",SUMIFS(Grids!$BQ$160:$EC$219,Grids!$EE$160:$GQ$219,"&gt;="&amp;$B217*1000000000,Grids!$EE$160:$GQ$219,"&lt;"&amp;($B217+1)*1000000000))</f>
        <v/>
      </c>
      <c r="F217" s="129">
        <f>IF($B217="","",SUM($C$26:$C217))</f>
        <v/>
      </c>
      <c r="G217" s="129">
        <f>IF($B217="","",SUM($D$26:$D217))</f>
        <v/>
      </c>
      <c r="H217" s="129">
        <f>IF($B217="","",SUM($E$26:$E217))</f>
        <v/>
      </c>
    </row>
    <row r="218">
      <c r="B218" s="127">
        <f>IF(WIN_FROM+192&gt;WIN_TO,"",WIN_FROM+192)</f>
        <v/>
      </c>
      <c r="C218" s="128">
        <f>IF($B218="","",SUMIFS(Grids!$BQ$12:$EC$111,Grids!$EE$12:$GQ$111,"&gt;="&amp;$B218*1000000000,Grids!$EE$12:$GQ$111,"&lt;"&amp;($B218+1)*1000000000))</f>
        <v/>
      </c>
      <c r="D218" s="128">
        <f>IF($B218="","",SUMIFS(Grids!$BQ$116:$EC$155,Grids!$EE$116:$GQ$155,"&gt;="&amp;$B218*1000000000,Grids!$EE$116:$GQ$155,"&lt;"&amp;($B218+1)*1000000000))</f>
        <v/>
      </c>
      <c r="E218" s="128">
        <f>IF($B218="","",SUMIFS(Grids!$BQ$160:$EC$219,Grids!$EE$160:$GQ$219,"&gt;="&amp;$B218*1000000000,Grids!$EE$160:$GQ$219,"&lt;"&amp;($B218+1)*1000000000))</f>
        <v/>
      </c>
      <c r="F218" s="129">
        <f>IF($B218="","",SUM($C$26:$C218))</f>
        <v/>
      </c>
      <c r="G218" s="129">
        <f>IF($B218="","",SUM($D$26:$D218))</f>
        <v/>
      </c>
      <c r="H218" s="129">
        <f>IF($B218="","",SUM($E$26:$E218))</f>
        <v/>
      </c>
    </row>
    <row r="219">
      <c r="B219" s="127">
        <f>IF(WIN_FROM+193&gt;WIN_TO,"",WIN_FROM+193)</f>
        <v/>
      </c>
      <c r="C219" s="128">
        <f>IF($B219="","",SUMIFS(Grids!$BQ$12:$EC$111,Grids!$EE$12:$GQ$111,"&gt;="&amp;$B219*1000000000,Grids!$EE$12:$GQ$111,"&lt;"&amp;($B219+1)*1000000000))</f>
        <v/>
      </c>
      <c r="D219" s="128">
        <f>IF($B219="","",SUMIFS(Grids!$BQ$116:$EC$155,Grids!$EE$116:$GQ$155,"&gt;="&amp;$B219*1000000000,Grids!$EE$116:$GQ$155,"&lt;"&amp;($B219+1)*1000000000))</f>
        <v/>
      </c>
      <c r="E219" s="128">
        <f>IF($B219="","",SUMIFS(Grids!$BQ$160:$EC$219,Grids!$EE$160:$GQ$219,"&gt;="&amp;$B219*1000000000,Grids!$EE$160:$GQ$219,"&lt;"&amp;($B219+1)*1000000000))</f>
        <v/>
      </c>
      <c r="F219" s="129">
        <f>IF($B219="","",SUM($C$26:$C219))</f>
        <v/>
      </c>
      <c r="G219" s="129">
        <f>IF($B219="","",SUM($D$26:$D219))</f>
        <v/>
      </c>
      <c r="H219" s="129">
        <f>IF($B219="","",SUM($E$26:$E219))</f>
        <v/>
      </c>
    </row>
    <row r="220">
      <c r="B220" s="127">
        <f>IF(WIN_FROM+194&gt;WIN_TO,"",WIN_FROM+194)</f>
        <v/>
      </c>
      <c r="C220" s="128">
        <f>IF($B220="","",SUMIFS(Grids!$BQ$12:$EC$111,Grids!$EE$12:$GQ$111,"&gt;="&amp;$B220*1000000000,Grids!$EE$12:$GQ$111,"&lt;"&amp;($B220+1)*1000000000))</f>
        <v/>
      </c>
      <c r="D220" s="128">
        <f>IF($B220="","",SUMIFS(Grids!$BQ$116:$EC$155,Grids!$EE$116:$GQ$155,"&gt;="&amp;$B220*1000000000,Grids!$EE$116:$GQ$155,"&lt;"&amp;($B220+1)*1000000000))</f>
        <v/>
      </c>
      <c r="E220" s="128">
        <f>IF($B220="","",SUMIFS(Grids!$BQ$160:$EC$219,Grids!$EE$160:$GQ$219,"&gt;="&amp;$B220*1000000000,Grids!$EE$160:$GQ$219,"&lt;"&amp;($B220+1)*1000000000))</f>
        <v/>
      </c>
      <c r="F220" s="129">
        <f>IF($B220="","",SUM($C$26:$C220))</f>
        <v/>
      </c>
      <c r="G220" s="129">
        <f>IF($B220="","",SUM($D$26:$D220))</f>
        <v/>
      </c>
      <c r="H220" s="129">
        <f>IF($B220="","",SUM($E$26:$E220))</f>
        <v/>
      </c>
    </row>
    <row r="221">
      <c r="B221" s="127">
        <f>IF(WIN_FROM+195&gt;WIN_TO,"",WIN_FROM+195)</f>
        <v/>
      </c>
      <c r="C221" s="128">
        <f>IF($B221="","",SUMIFS(Grids!$BQ$12:$EC$111,Grids!$EE$12:$GQ$111,"&gt;="&amp;$B221*1000000000,Grids!$EE$12:$GQ$111,"&lt;"&amp;($B221+1)*1000000000))</f>
        <v/>
      </c>
      <c r="D221" s="128">
        <f>IF($B221="","",SUMIFS(Grids!$BQ$116:$EC$155,Grids!$EE$116:$GQ$155,"&gt;="&amp;$B221*1000000000,Grids!$EE$116:$GQ$155,"&lt;"&amp;($B221+1)*1000000000))</f>
        <v/>
      </c>
      <c r="E221" s="128">
        <f>IF($B221="","",SUMIFS(Grids!$BQ$160:$EC$219,Grids!$EE$160:$GQ$219,"&gt;="&amp;$B221*1000000000,Grids!$EE$160:$GQ$219,"&lt;"&amp;($B221+1)*1000000000))</f>
        <v/>
      </c>
      <c r="F221" s="129">
        <f>IF($B221="","",SUM($C$26:$C221))</f>
        <v/>
      </c>
      <c r="G221" s="129">
        <f>IF($B221="","",SUM($D$26:$D221))</f>
        <v/>
      </c>
      <c r="H221" s="129">
        <f>IF($B221="","",SUM($E$26:$E221))</f>
        <v/>
      </c>
    </row>
    <row r="222">
      <c r="B222" s="127">
        <f>IF(WIN_FROM+196&gt;WIN_TO,"",WIN_FROM+196)</f>
        <v/>
      </c>
      <c r="C222" s="128">
        <f>IF($B222="","",SUMIFS(Grids!$BQ$12:$EC$111,Grids!$EE$12:$GQ$111,"&gt;="&amp;$B222*1000000000,Grids!$EE$12:$GQ$111,"&lt;"&amp;($B222+1)*1000000000))</f>
        <v/>
      </c>
      <c r="D222" s="128">
        <f>IF($B222="","",SUMIFS(Grids!$BQ$116:$EC$155,Grids!$EE$116:$GQ$155,"&gt;="&amp;$B222*1000000000,Grids!$EE$116:$GQ$155,"&lt;"&amp;($B222+1)*1000000000))</f>
        <v/>
      </c>
      <c r="E222" s="128">
        <f>IF($B222="","",SUMIFS(Grids!$BQ$160:$EC$219,Grids!$EE$160:$GQ$219,"&gt;="&amp;$B222*1000000000,Grids!$EE$160:$GQ$219,"&lt;"&amp;($B222+1)*1000000000))</f>
        <v/>
      </c>
      <c r="F222" s="129">
        <f>IF($B222="","",SUM($C$26:$C222))</f>
        <v/>
      </c>
      <c r="G222" s="129">
        <f>IF($B222="","",SUM($D$26:$D222))</f>
        <v/>
      </c>
      <c r="H222" s="129">
        <f>IF($B222="","",SUM($E$26:$E222))</f>
        <v/>
      </c>
    </row>
    <row r="223">
      <c r="B223" s="127">
        <f>IF(WIN_FROM+197&gt;WIN_TO,"",WIN_FROM+197)</f>
        <v/>
      </c>
      <c r="C223" s="128">
        <f>IF($B223="","",SUMIFS(Grids!$BQ$12:$EC$111,Grids!$EE$12:$GQ$111,"&gt;="&amp;$B223*1000000000,Grids!$EE$12:$GQ$111,"&lt;"&amp;($B223+1)*1000000000))</f>
        <v/>
      </c>
      <c r="D223" s="128">
        <f>IF($B223="","",SUMIFS(Grids!$BQ$116:$EC$155,Grids!$EE$116:$GQ$155,"&gt;="&amp;$B223*1000000000,Grids!$EE$116:$GQ$155,"&lt;"&amp;($B223+1)*1000000000))</f>
        <v/>
      </c>
      <c r="E223" s="128">
        <f>IF($B223="","",SUMIFS(Grids!$BQ$160:$EC$219,Grids!$EE$160:$GQ$219,"&gt;="&amp;$B223*1000000000,Grids!$EE$160:$GQ$219,"&lt;"&amp;($B223+1)*1000000000))</f>
        <v/>
      </c>
      <c r="F223" s="129">
        <f>IF($B223="","",SUM($C$26:$C223))</f>
        <v/>
      </c>
      <c r="G223" s="129">
        <f>IF($B223="","",SUM($D$26:$D223))</f>
        <v/>
      </c>
      <c r="H223" s="129">
        <f>IF($B223="","",SUM($E$26:$E223))</f>
        <v/>
      </c>
    </row>
    <row r="224">
      <c r="B224" s="127">
        <f>IF(WIN_FROM+198&gt;WIN_TO,"",WIN_FROM+198)</f>
        <v/>
      </c>
      <c r="C224" s="128">
        <f>IF($B224="","",SUMIFS(Grids!$BQ$12:$EC$111,Grids!$EE$12:$GQ$111,"&gt;="&amp;$B224*1000000000,Grids!$EE$12:$GQ$111,"&lt;"&amp;($B224+1)*1000000000))</f>
        <v/>
      </c>
      <c r="D224" s="128">
        <f>IF($B224="","",SUMIFS(Grids!$BQ$116:$EC$155,Grids!$EE$116:$GQ$155,"&gt;="&amp;$B224*1000000000,Grids!$EE$116:$GQ$155,"&lt;"&amp;($B224+1)*1000000000))</f>
        <v/>
      </c>
      <c r="E224" s="128">
        <f>IF($B224="","",SUMIFS(Grids!$BQ$160:$EC$219,Grids!$EE$160:$GQ$219,"&gt;="&amp;$B224*1000000000,Grids!$EE$160:$GQ$219,"&lt;"&amp;($B224+1)*1000000000))</f>
        <v/>
      </c>
      <c r="F224" s="129">
        <f>IF($B224="","",SUM($C$26:$C224))</f>
        <v/>
      </c>
      <c r="G224" s="129">
        <f>IF($B224="","",SUM($D$26:$D224))</f>
        <v/>
      </c>
      <c r="H224" s="129">
        <f>IF($B224="","",SUM($E$26:$E224))</f>
        <v/>
      </c>
    </row>
    <row r="225">
      <c r="B225" s="127">
        <f>IF(WIN_FROM+199&gt;WIN_TO,"",WIN_FROM+199)</f>
        <v/>
      </c>
      <c r="C225" s="128">
        <f>IF($B225="","",SUMIFS(Grids!$BQ$12:$EC$111,Grids!$EE$12:$GQ$111,"&gt;="&amp;$B225*1000000000,Grids!$EE$12:$GQ$111,"&lt;"&amp;($B225+1)*1000000000))</f>
        <v/>
      </c>
      <c r="D225" s="128">
        <f>IF($B225="","",SUMIFS(Grids!$BQ$116:$EC$155,Grids!$EE$116:$GQ$155,"&gt;="&amp;$B225*1000000000,Grids!$EE$116:$GQ$155,"&lt;"&amp;($B225+1)*1000000000))</f>
        <v/>
      </c>
      <c r="E225" s="128">
        <f>IF($B225="","",SUMIFS(Grids!$BQ$160:$EC$219,Grids!$EE$160:$GQ$219,"&gt;="&amp;$B225*1000000000,Grids!$EE$160:$GQ$219,"&lt;"&amp;($B225+1)*1000000000))</f>
        <v/>
      </c>
      <c r="F225" s="129">
        <f>IF($B225="","",SUM($C$26:$C225))</f>
        <v/>
      </c>
      <c r="G225" s="129">
        <f>IF($B225="","",SUM($D$26:$D225))</f>
        <v/>
      </c>
      <c r="H225" s="129">
        <f>IF($B225="","",SUM($E$26:$E225))</f>
        <v/>
      </c>
    </row>
    <row r="226">
      <c r="B226" s="127">
        <f>IF(WIN_FROM+200&gt;WIN_TO,"",WIN_FROM+200)</f>
        <v/>
      </c>
      <c r="C226" s="128">
        <f>IF($B226="","",SUMIFS(Grids!$BQ$12:$EC$111,Grids!$EE$12:$GQ$111,"&gt;="&amp;$B226*1000000000,Grids!$EE$12:$GQ$111,"&lt;"&amp;($B226+1)*1000000000))</f>
        <v/>
      </c>
      <c r="D226" s="128">
        <f>IF($B226="","",SUMIFS(Grids!$BQ$116:$EC$155,Grids!$EE$116:$GQ$155,"&gt;="&amp;$B226*1000000000,Grids!$EE$116:$GQ$155,"&lt;"&amp;($B226+1)*1000000000))</f>
        <v/>
      </c>
      <c r="E226" s="128">
        <f>IF($B226="","",SUMIFS(Grids!$BQ$160:$EC$219,Grids!$EE$160:$GQ$219,"&gt;="&amp;$B226*1000000000,Grids!$EE$160:$GQ$219,"&lt;"&amp;($B226+1)*1000000000))</f>
        <v/>
      </c>
      <c r="F226" s="129">
        <f>IF($B226="","",SUM($C$26:$C226))</f>
        <v/>
      </c>
      <c r="G226" s="129">
        <f>IF($B226="","",SUM($D$26:$D226))</f>
        <v/>
      </c>
      <c r="H226" s="129">
        <f>IF($B226="","",SUM($E$26:$E226))</f>
        <v/>
      </c>
    </row>
    <row r="227">
      <c r="B227" s="127">
        <f>IF(WIN_FROM+201&gt;WIN_TO,"",WIN_FROM+201)</f>
        <v/>
      </c>
      <c r="C227" s="128">
        <f>IF($B227="","",SUMIFS(Grids!$BQ$12:$EC$111,Grids!$EE$12:$GQ$111,"&gt;="&amp;$B227*1000000000,Grids!$EE$12:$GQ$111,"&lt;"&amp;($B227+1)*1000000000))</f>
        <v/>
      </c>
      <c r="D227" s="128">
        <f>IF($B227="","",SUMIFS(Grids!$BQ$116:$EC$155,Grids!$EE$116:$GQ$155,"&gt;="&amp;$B227*1000000000,Grids!$EE$116:$GQ$155,"&lt;"&amp;($B227+1)*1000000000))</f>
        <v/>
      </c>
      <c r="E227" s="128">
        <f>IF($B227="","",SUMIFS(Grids!$BQ$160:$EC$219,Grids!$EE$160:$GQ$219,"&gt;="&amp;$B227*1000000000,Grids!$EE$160:$GQ$219,"&lt;"&amp;($B227+1)*1000000000))</f>
        <v/>
      </c>
      <c r="F227" s="129">
        <f>IF($B227="","",SUM($C$26:$C227))</f>
        <v/>
      </c>
      <c r="G227" s="129">
        <f>IF($B227="","",SUM($D$26:$D227))</f>
        <v/>
      </c>
      <c r="H227" s="129">
        <f>IF($B227="","",SUM($E$26:$E227))</f>
        <v/>
      </c>
    </row>
    <row r="228">
      <c r="B228" s="127">
        <f>IF(WIN_FROM+202&gt;WIN_TO,"",WIN_FROM+202)</f>
        <v/>
      </c>
      <c r="C228" s="128">
        <f>IF($B228="","",SUMIFS(Grids!$BQ$12:$EC$111,Grids!$EE$12:$GQ$111,"&gt;="&amp;$B228*1000000000,Grids!$EE$12:$GQ$111,"&lt;"&amp;($B228+1)*1000000000))</f>
        <v/>
      </c>
      <c r="D228" s="128">
        <f>IF($B228="","",SUMIFS(Grids!$BQ$116:$EC$155,Grids!$EE$116:$GQ$155,"&gt;="&amp;$B228*1000000000,Grids!$EE$116:$GQ$155,"&lt;"&amp;($B228+1)*1000000000))</f>
        <v/>
      </c>
      <c r="E228" s="128">
        <f>IF($B228="","",SUMIFS(Grids!$BQ$160:$EC$219,Grids!$EE$160:$GQ$219,"&gt;="&amp;$B228*1000000000,Grids!$EE$160:$GQ$219,"&lt;"&amp;($B228+1)*1000000000))</f>
        <v/>
      </c>
      <c r="F228" s="129">
        <f>IF($B228="","",SUM($C$26:$C228))</f>
        <v/>
      </c>
      <c r="G228" s="129">
        <f>IF($B228="","",SUM($D$26:$D228))</f>
        <v/>
      </c>
      <c r="H228" s="129">
        <f>IF($B228="","",SUM($E$26:$E228))</f>
        <v/>
      </c>
    </row>
    <row r="229">
      <c r="B229" s="127">
        <f>IF(WIN_FROM+203&gt;WIN_TO,"",WIN_FROM+203)</f>
        <v/>
      </c>
      <c r="C229" s="128">
        <f>IF($B229="","",SUMIFS(Grids!$BQ$12:$EC$111,Grids!$EE$12:$GQ$111,"&gt;="&amp;$B229*1000000000,Grids!$EE$12:$GQ$111,"&lt;"&amp;($B229+1)*1000000000))</f>
        <v/>
      </c>
      <c r="D229" s="128">
        <f>IF($B229="","",SUMIFS(Grids!$BQ$116:$EC$155,Grids!$EE$116:$GQ$155,"&gt;="&amp;$B229*1000000000,Grids!$EE$116:$GQ$155,"&lt;"&amp;($B229+1)*1000000000))</f>
        <v/>
      </c>
      <c r="E229" s="128">
        <f>IF($B229="","",SUMIFS(Grids!$BQ$160:$EC$219,Grids!$EE$160:$GQ$219,"&gt;="&amp;$B229*1000000000,Grids!$EE$160:$GQ$219,"&lt;"&amp;($B229+1)*1000000000))</f>
        <v/>
      </c>
      <c r="F229" s="129">
        <f>IF($B229="","",SUM($C$26:$C229))</f>
        <v/>
      </c>
      <c r="G229" s="129">
        <f>IF($B229="","",SUM($D$26:$D229))</f>
        <v/>
      </c>
      <c r="H229" s="129">
        <f>IF($B229="","",SUM($E$26:$E229))</f>
        <v/>
      </c>
    </row>
    <row r="230">
      <c r="B230" s="127">
        <f>IF(WIN_FROM+204&gt;WIN_TO,"",WIN_FROM+204)</f>
        <v/>
      </c>
      <c r="C230" s="128">
        <f>IF($B230="","",SUMIFS(Grids!$BQ$12:$EC$111,Grids!$EE$12:$GQ$111,"&gt;="&amp;$B230*1000000000,Grids!$EE$12:$GQ$111,"&lt;"&amp;($B230+1)*1000000000))</f>
        <v/>
      </c>
      <c r="D230" s="128">
        <f>IF($B230="","",SUMIFS(Grids!$BQ$116:$EC$155,Grids!$EE$116:$GQ$155,"&gt;="&amp;$B230*1000000000,Grids!$EE$116:$GQ$155,"&lt;"&amp;($B230+1)*1000000000))</f>
        <v/>
      </c>
      <c r="E230" s="128">
        <f>IF($B230="","",SUMIFS(Grids!$BQ$160:$EC$219,Grids!$EE$160:$GQ$219,"&gt;="&amp;$B230*1000000000,Grids!$EE$160:$GQ$219,"&lt;"&amp;($B230+1)*1000000000))</f>
        <v/>
      </c>
      <c r="F230" s="129">
        <f>IF($B230="","",SUM($C$26:$C230))</f>
        <v/>
      </c>
      <c r="G230" s="129">
        <f>IF($B230="","",SUM($D$26:$D230))</f>
        <v/>
      </c>
      <c r="H230" s="129">
        <f>IF($B230="","",SUM($E$26:$E230))</f>
        <v/>
      </c>
    </row>
    <row r="231">
      <c r="B231" s="127">
        <f>IF(WIN_FROM+205&gt;WIN_TO,"",WIN_FROM+205)</f>
        <v/>
      </c>
      <c r="C231" s="128">
        <f>IF($B231="","",SUMIFS(Grids!$BQ$12:$EC$111,Grids!$EE$12:$GQ$111,"&gt;="&amp;$B231*1000000000,Grids!$EE$12:$GQ$111,"&lt;"&amp;($B231+1)*1000000000))</f>
        <v/>
      </c>
      <c r="D231" s="128">
        <f>IF($B231="","",SUMIFS(Grids!$BQ$116:$EC$155,Grids!$EE$116:$GQ$155,"&gt;="&amp;$B231*1000000000,Grids!$EE$116:$GQ$155,"&lt;"&amp;($B231+1)*1000000000))</f>
        <v/>
      </c>
      <c r="E231" s="128">
        <f>IF($B231="","",SUMIFS(Grids!$BQ$160:$EC$219,Grids!$EE$160:$GQ$219,"&gt;="&amp;$B231*1000000000,Grids!$EE$160:$GQ$219,"&lt;"&amp;($B231+1)*1000000000))</f>
        <v/>
      </c>
      <c r="F231" s="129">
        <f>IF($B231="","",SUM($C$26:$C231))</f>
        <v/>
      </c>
      <c r="G231" s="129">
        <f>IF($B231="","",SUM($D$26:$D231))</f>
        <v/>
      </c>
      <c r="H231" s="129">
        <f>IF($B231="","",SUM($E$26:$E231))</f>
        <v/>
      </c>
    </row>
    <row r="232">
      <c r="B232" s="127">
        <f>IF(WIN_FROM+206&gt;WIN_TO,"",WIN_FROM+206)</f>
        <v/>
      </c>
      <c r="C232" s="128">
        <f>IF($B232="","",SUMIFS(Grids!$BQ$12:$EC$111,Grids!$EE$12:$GQ$111,"&gt;="&amp;$B232*1000000000,Grids!$EE$12:$GQ$111,"&lt;"&amp;($B232+1)*1000000000))</f>
        <v/>
      </c>
      <c r="D232" s="128">
        <f>IF($B232="","",SUMIFS(Grids!$BQ$116:$EC$155,Grids!$EE$116:$GQ$155,"&gt;="&amp;$B232*1000000000,Grids!$EE$116:$GQ$155,"&lt;"&amp;($B232+1)*1000000000))</f>
        <v/>
      </c>
      <c r="E232" s="128">
        <f>IF($B232="","",SUMIFS(Grids!$BQ$160:$EC$219,Grids!$EE$160:$GQ$219,"&gt;="&amp;$B232*1000000000,Grids!$EE$160:$GQ$219,"&lt;"&amp;($B232+1)*1000000000))</f>
        <v/>
      </c>
      <c r="F232" s="129">
        <f>IF($B232="","",SUM($C$26:$C232))</f>
        <v/>
      </c>
      <c r="G232" s="129">
        <f>IF($B232="","",SUM($D$26:$D232))</f>
        <v/>
      </c>
      <c r="H232" s="129">
        <f>IF($B232="","",SUM($E$26:$E232))</f>
        <v/>
      </c>
    </row>
    <row r="233">
      <c r="B233" s="127">
        <f>IF(WIN_FROM+207&gt;WIN_TO,"",WIN_FROM+207)</f>
        <v/>
      </c>
      <c r="C233" s="128">
        <f>IF($B233="","",SUMIFS(Grids!$BQ$12:$EC$111,Grids!$EE$12:$GQ$111,"&gt;="&amp;$B233*1000000000,Grids!$EE$12:$GQ$111,"&lt;"&amp;($B233+1)*1000000000))</f>
        <v/>
      </c>
      <c r="D233" s="128">
        <f>IF($B233="","",SUMIFS(Grids!$BQ$116:$EC$155,Grids!$EE$116:$GQ$155,"&gt;="&amp;$B233*1000000000,Grids!$EE$116:$GQ$155,"&lt;"&amp;($B233+1)*1000000000))</f>
        <v/>
      </c>
      <c r="E233" s="128">
        <f>IF($B233="","",SUMIFS(Grids!$BQ$160:$EC$219,Grids!$EE$160:$GQ$219,"&gt;="&amp;$B233*1000000000,Grids!$EE$160:$GQ$219,"&lt;"&amp;($B233+1)*1000000000))</f>
        <v/>
      </c>
      <c r="F233" s="129">
        <f>IF($B233="","",SUM($C$26:$C233))</f>
        <v/>
      </c>
      <c r="G233" s="129">
        <f>IF($B233="","",SUM($D$26:$D233))</f>
        <v/>
      </c>
      <c r="H233" s="129">
        <f>IF($B233="","",SUM($E$26:$E233))</f>
        <v/>
      </c>
    </row>
    <row r="234">
      <c r="B234" s="127">
        <f>IF(WIN_FROM+208&gt;WIN_TO,"",WIN_FROM+208)</f>
        <v/>
      </c>
      <c r="C234" s="128">
        <f>IF($B234="","",SUMIFS(Grids!$BQ$12:$EC$111,Grids!$EE$12:$GQ$111,"&gt;="&amp;$B234*1000000000,Grids!$EE$12:$GQ$111,"&lt;"&amp;($B234+1)*1000000000))</f>
        <v/>
      </c>
      <c r="D234" s="128">
        <f>IF($B234="","",SUMIFS(Grids!$BQ$116:$EC$155,Grids!$EE$116:$GQ$155,"&gt;="&amp;$B234*1000000000,Grids!$EE$116:$GQ$155,"&lt;"&amp;($B234+1)*1000000000))</f>
        <v/>
      </c>
      <c r="E234" s="128">
        <f>IF($B234="","",SUMIFS(Grids!$BQ$160:$EC$219,Grids!$EE$160:$GQ$219,"&gt;="&amp;$B234*1000000000,Grids!$EE$160:$GQ$219,"&lt;"&amp;($B234+1)*1000000000))</f>
        <v/>
      </c>
      <c r="F234" s="129">
        <f>IF($B234="","",SUM($C$26:$C234))</f>
        <v/>
      </c>
      <c r="G234" s="129">
        <f>IF($B234="","",SUM($D$26:$D234))</f>
        <v/>
      </c>
      <c r="H234" s="129">
        <f>IF($B234="","",SUM($E$26:$E234))</f>
        <v/>
      </c>
    </row>
    <row r="235">
      <c r="B235" s="127">
        <f>IF(WIN_FROM+209&gt;WIN_TO,"",WIN_FROM+209)</f>
        <v/>
      </c>
      <c r="C235" s="128">
        <f>IF($B235="","",SUMIFS(Grids!$BQ$12:$EC$111,Grids!$EE$12:$GQ$111,"&gt;="&amp;$B235*1000000000,Grids!$EE$12:$GQ$111,"&lt;"&amp;($B235+1)*1000000000))</f>
        <v/>
      </c>
      <c r="D235" s="128">
        <f>IF($B235="","",SUMIFS(Grids!$BQ$116:$EC$155,Grids!$EE$116:$GQ$155,"&gt;="&amp;$B235*1000000000,Grids!$EE$116:$GQ$155,"&lt;"&amp;($B235+1)*1000000000))</f>
        <v/>
      </c>
      <c r="E235" s="128">
        <f>IF($B235="","",SUMIFS(Grids!$BQ$160:$EC$219,Grids!$EE$160:$GQ$219,"&gt;="&amp;$B235*1000000000,Grids!$EE$160:$GQ$219,"&lt;"&amp;($B235+1)*1000000000))</f>
        <v/>
      </c>
      <c r="F235" s="129">
        <f>IF($B235="","",SUM($C$26:$C235))</f>
        <v/>
      </c>
      <c r="G235" s="129">
        <f>IF($B235="","",SUM($D$26:$D235))</f>
        <v/>
      </c>
      <c r="H235" s="129">
        <f>IF($B235="","",SUM($E$26:$E235))</f>
        <v/>
      </c>
    </row>
    <row r="236">
      <c r="B236" s="127">
        <f>IF(WIN_FROM+210&gt;WIN_TO,"",WIN_FROM+210)</f>
        <v/>
      </c>
      <c r="C236" s="128">
        <f>IF($B236="","",SUMIFS(Grids!$BQ$12:$EC$111,Grids!$EE$12:$GQ$111,"&gt;="&amp;$B236*1000000000,Grids!$EE$12:$GQ$111,"&lt;"&amp;($B236+1)*1000000000))</f>
        <v/>
      </c>
      <c r="D236" s="128">
        <f>IF($B236="","",SUMIFS(Grids!$BQ$116:$EC$155,Grids!$EE$116:$GQ$155,"&gt;="&amp;$B236*1000000000,Grids!$EE$116:$GQ$155,"&lt;"&amp;($B236+1)*1000000000))</f>
        <v/>
      </c>
      <c r="E236" s="128">
        <f>IF($B236="","",SUMIFS(Grids!$BQ$160:$EC$219,Grids!$EE$160:$GQ$219,"&gt;="&amp;$B236*1000000000,Grids!$EE$160:$GQ$219,"&lt;"&amp;($B236+1)*1000000000))</f>
        <v/>
      </c>
      <c r="F236" s="129">
        <f>IF($B236="","",SUM($C$26:$C236))</f>
        <v/>
      </c>
      <c r="G236" s="129">
        <f>IF($B236="","",SUM($D$26:$D236))</f>
        <v/>
      </c>
      <c r="H236" s="129">
        <f>IF($B236="","",SUM($E$26:$E236))</f>
        <v/>
      </c>
    </row>
    <row r="237">
      <c r="B237" s="127">
        <f>IF(WIN_FROM+211&gt;WIN_TO,"",WIN_FROM+211)</f>
        <v/>
      </c>
      <c r="C237" s="128">
        <f>IF($B237="","",SUMIFS(Grids!$BQ$12:$EC$111,Grids!$EE$12:$GQ$111,"&gt;="&amp;$B237*1000000000,Grids!$EE$12:$GQ$111,"&lt;"&amp;($B237+1)*1000000000))</f>
        <v/>
      </c>
      <c r="D237" s="128">
        <f>IF($B237="","",SUMIFS(Grids!$BQ$116:$EC$155,Grids!$EE$116:$GQ$155,"&gt;="&amp;$B237*1000000000,Grids!$EE$116:$GQ$155,"&lt;"&amp;($B237+1)*1000000000))</f>
        <v/>
      </c>
      <c r="E237" s="128">
        <f>IF($B237="","",SUMIFS(Grids!$BQ$160:$EC$219,Grids!$EE$160:$GQ$219,"&gt;="&amp;$B237*1000000000,Grids!$EE$160:$GQ$219,"&lt;"&amp;($B237+1)*1000000000))</f>
        <v/>
      </c>
      <c r="F237" s="129">
        <f>IF($B237="","",SUM($C$26:$C237))</f>
        <v/>
      </c>
      <c r="G237" s="129">
        <f>IF($B237="","",SUM($D$26:$D237))</f>
        <v/>
      </c>
      <c r="H237" s="129">
        <f>IF($B237="","",SUM($E$26:$E237))</f>
        <v/>
      </c>
    </row>
    <row r="238">
      <c r="B238" s="127">
        <f>IF(WIN_FROM+212&gt;WIN_TO,"",WIN_FROM+212)</f>
        <v/>
      </c>
      <c r="C238" s="128">
        <f>IF($B238="","",SUMIFS(Grids!$BQ$12:$EC$111,Grids!$EE$12:$GQ$111,"&gt;="&amp;$B238*1000000000,Grids!$EE$12:$GQ$111,"&lt;"&amp;($B238+1)*1000000000))</f>
        <v/>
      </c>
      <c r="D238" s="128">
        <f>IF($B238="","",SUMIFS(Grids!$BQ$116:$EC$155,Grids!$EE$116:$GQ$155,"&gt;="&amp;$B238*1000000000,Grids!$EE$116:$GQ$155,"&lt;"&amp;($B238+1)*1000000000))</f>
        <v/>
      </c>
      <c r="E238" s="128">
        <f>IF($B238="","",SUMIFS(Grids!$BQ$160:$EC$219,Grids!$EE$160:$GQ$219,"&gt;="&amp;$B238*1000000000,Grids!$EE$160:$GQ$219,"&lt;"&amp;($B238+1)*1000000000))</f>
        <v/>
      </c>
      <c r="F238" s="129">
        <f>IF($B238="","",SUM($C$26:$C238))</f>
        <v/>
      </c>
      <c r="G238" s="129">
        <f>IF($B238="","",SUM($D$26:$D238))</f>
        <v/>
      </c>
      <c r="H238" s="129">
        <f>IF($B238="","",SUM($E$26:$E238))</f>
        <v/>
      </c>
    </row>
    <row r="239">
      <c r="B239" s="127">
        <f>IF(WIN_FROM+213&gt;WIN_TO,"",WIN_FROM+213)</f>
        <v/>
      </c>
      <c r="C239" s="128">
        <f>IF($B239="","",SUMIFS(Grids!$BQ$12:$EC$111,Grids!$EE$12:$GQ$111,"&gt;="&amp;$B239*1000000000,Grids!$EE$12:$GQ$111,"&lt;"&amp;($B239+1)*1000000000))</f>
        <v/>
      </c>
      <c r="D239" s="128">
        <f>IF($B239="","",SUMIFS(Grids!$BQ$116:$EC$155,Grids!$EE$116:$GQ$155,"&gt;="&amp;$B239*1000000000,Grids!$EE$116:$GQ$155,"&lt;"&amp;($B239+1)*1000000000))</f>
        <v/>
      </c>
      <c r="E239" s="128">
        <f>IF($B239="","",SUMIFS(Grids!$BQ$160:$EC$219,Grids!$EE$160:$GQ$219,"&gt;="&amp;$B239*1000000000,Grids!$EE$160:$GQ$219,"&lt;"&amp;($B239+1)*1000000000))</f>
        <v/>
      </c>
      <c r="F239" s="129">
        <f>IF($B239="","",SUM($C$26:$C239))</f>
        <v/>
      </c>
      <c r="G239" s="129">
        <f>IF($B239="","",SUM($D$26:$D239))</f>
        <v/>
      </c>
      <c r="H239" s="129">
        <f>IF($B239="","",SUM($E$26:$E239))</f>
        <v/>
      </c>
    </row>
    <row r="240">
      <c r="B240" s="127">
        <f>IF(WIN_FROM+214&gt;WIN_TO,"",WIN_FROM+214)</f>
        <v/>
      </c>
      <c r="C240" s="128">
        <f>IF($B240="","",SUMIFS(Grids!$BQ$12:$EC$111,Grids!$EE$12:$GQ$111,"&gt;="&amp;$B240*1000000000,Grids!$EE$12:$GQ$111,"&lt;"&amp;($B240+1)*1000000000))</f>
        <v/>
      </c>
      <c r="D240" s="128">
        <f>IF($B240="","",SUMIFS(Grids!$BQ$116:$EC$155,Grids!$EE$116:$GQ$155,"&gt;="&amp;$B240*1000000000,Grids!$EE$116:$GQ$155,"&lt;"&amp;($B240+1)*1000000000))</f>
        <v/>
      </c>
      <c r="E240" s="128">
        <f>IF($B240="","",SUMIFS(Grids!$BQ$160:$EC$219,Grids!$EE$160:$GQ$219,"&gt;="&amp;$B240*1000000000,Grids!$EE$160:$GQ$219,"&lt;"&amp;($B240+1)*1000000000))</f>
        <v/>
      </c>
      <c r="F240" s="129">
        <f>IF($B240="","",SUM($C$26:$C240))</f>
        <v/>
      </c>
      <c r="G240" s="129">
        <f>IF($B240="","",SUM($D$26:$D240))</f>
        <v/>
      </c>
      <c r="H240" s="129">
        <f>IF($B240="","",SUM($E$26:$E240))</f>
        <v/>
      </c>
    </row>
    <row r="241">
      <c r="B241" s="127">
        <f>IF(WIN_FROM+215&gt;WIN_TO,"",WIN_FROM+215)</f>
        <v/>
      </c>
      <c r="C241" s="128">
        <f>IF($B241="","",SUMIFS(Grids!$BQ$12:$EC$111,Grids!$EE$12:$GQ$111,"&gt;="&amp;$B241*1000000000,Grids!$EE$12:$GQ$111,"&lt;"&amp;($B241+1)*1000000000))</f>
        <v/>
      </c>
      <c r="D241" s="128">
        <f>IF($B241="","",SUMIFS(Grids!$BQ$116:$EC$155,Grids!$EE$116:$GQ$155,"&gt;="&amp;$B241*1000000000,Grids!$EE$116:$GQ$155,"&lt;"&amp;($B241+1)*1000000000))</f>
        <v/>
      </c>
      <c r="E241" s="128">
        <f>IF($B241="","",SUMIFS(Grids!$BQ$160:$EC$219,Grids!$EE$160:$GQ$219,"&gt;="&amp;$B241*1000000000,Grids!$EE$160:$GQ$219,"&lt;"&amp;($B241+1)*1000000000))</f>
        <v/>
      </c>
      <c r="F241" s="129">
        <f>IF($B241="","",SUM($C$26:$C241))</f>
        <v/>
      </c>
      <c r="G241" s="129">
        <f>IF($B241="","",SUM($D$26:$D241))</f>
        <v/>
      </c>
      <c r="H241" s="129">
        <f>IF($B241="","",SUM($E$26:$E241))</f>
        <v/>
      </c>
    </row>
    <row r="242">
      <c r="B242" s="127">
        <f>IF(WIN_FROM+216&gt;WIN_TO,"",WIN_FROM+216)</f>
        <v/>
      </c>
      <c r="C242" s="128">
        <f>IF($B242="","",SUMIFS(Grids!$BQ$12:$EC$111,Grids!$EE$12:$GQ$111,"&gt;="&amp;$B242*1000000000,Grids!$EE$12:$GQ$111,"&lt;"&amp;($B242+1)*1000000000))</f>
        <v/>
      </c>
      <c r="D242" s="128">
        <f>IF($B242="","",SUMIFS(Grids!$BQ$116:$EC$155,Grids!$EE$116:$GQ$155,"&gt;="&amp;$B242*1000000000,Grids!$EE$116:$GQ$155,"&lt;"&amp;($B242+1)*1000000000))</f>
        <v/>
      </c>
      <c r="E242" s="128">
        <f>IF($B242="","",SUMIFS(Grids!$BQ$160:$EC$219,Grids!$EE$160:$GQ$219,"&gt;="&amp;$B242*1000000000,Grids!$EE$160:$GQ$219,"&lt;"&amp;($B242+1)*1000000000))</f>
        <v/>
      </c>
      <c r="F242" s="129">
        <f>IF($B242="","",SUM($C$26:$C242))</f>
        <v/>
      </c>
      <c r="G242" s="129">
        <f>IF($B242="","",SUM($D$26:$D242))</f>
        <v/>
      </c>
      <c r="H242" s="129">
        <f>IF($B242="","",SUM($E$26:$E242))</f>
        <v/>
      </c>
    </row>
    <row r="243">
      <c r="B243" s="127">
        <f>IF(WIN_FROM+217&gt;WIN_TO,"",WIN_FROM+217)</f>
        <v/>
      </c>
      <c r="C243" s="128">
        <f>IF($B243="","",SUMIFS(Grids!$BQ$12:$EC$111,Grids!$EE$12:$GQ$111,"&gt;="&amp;$B243*1000000000,Grids!$EE$12:$GQ$111,"&lt;"&amp;($B243+1)*1000000000))</f>
        <v/>
      </c>
      <c r="D243" s="128">
        <f>IF($B243="","",SUMIFS(Grids!$BQ$116:$EC$155,Grids!$EE$116:$GQ$155,"&gt;="&amp;$B243*1000000000,Grids!$EE$116:$GQ$155,"&lt;"&amp;($B243+1)*1000000000))</f>
        <v/>
      </c>
      <c r="E243" s="128">
        <f>IF($B243="","",SUMIFS(Grids!$BQ$160:$EC$219,Grids!$EE$160:$GQ$219,"&gt;="&amp;$B243*1000000000,Grids!$EE$160:$GQ$219,"&lt;"&amp;($B243+1)*1000000000))</f>
        <v/>
      </c>
      <c r="F243" s="129">
        <f>IF($B243="","",SUM($C$26:$C243))</f>
        <v/>
      </c>
      <c r="G243" s="129">
        <f>IF($B243="","",SUM($D$26:$D243))</f>
        <v/>
      </c>
      <c r="H243" s="129">
        <f>IF($B243="","",SUM($E$26:$E243))</f>
        <v/>
      </c>
    </row>
    <row r="244">
      <c r="B244" s="127">
        <f>IF(WIN_FROM+218&gt;WIN_TO,"",WIN_FROM+218)</f>
        <v/>
      </c>
      <c r="C244" s="128">
        <f>IF($B244="","",SUMIFS(Grids!$BQ$12:$EC$111,Grids!$EE$12:$GQ$111,"&gt;="&amp;$B244*1000000000,Grids!$EE$12:$GQ$111,"&lt;"&amp;($B244+1)*1000000000))</f>
        <v/>
      </c>
      <c r="D244" s="128">
        <f>IF($B244="","",SUMIFS(Grids!$BQ$116:$EC$155,Grids!$EE$116:$GQ$155,"&gt;="&amp;$B244*1000000000,Grids!$EE$116:$GQ$155,"&lt;"&amp;($B244+1)*1000000000))</f>
        <v/>
      </c>
      <c r="E244" s="128">
        <f>IF($B244="","",SUMIFS(Grids!$BQ$160:$EC$219,Grids!$EE$160:$GQ$219,"&gt;="&amp;$B244*1000000000,Grids!$EE$160:$GQ$219,"&lt;"&amp;($B244+1)*1000000000))</f>
        <v/>
      </c>
      <c r="F244" s="129">
        <f>IF($B244="","",SUM($C$26:$C244))</f>
        <v/>
      </c>
      <c r="G244" s="129">
        <f>IF($B244="","",SUM($D$26:$D244))</f>
        <v/>
      </c>
      <c r="H244" s="129">
        <f>IF($B244="","",SUM($E$26:$E244))</f>
        <v/>
      </c>
    </row>
    <row r="245">
      <c r="B245" s="127">
        <f>IF(WIN_FROM+219&gt;WIN_TO,"",WIN_FROM+219)</f>
        <v/>
      </c>
      <c r="C245" s="128">
        <f>IF($B245="","",SUMIFS(Grids!$BQ$12:$EC$111,Grids!$EE$12:$GQ$111,"&gt;="&amp;$B245*1000000000,Grids!$EE$12:$GQ$111,"&lt;"&amp;($B245+1)*1000000000))</f>
        <v/>
      </c>
      <c r="D245" s="128">
        <f>IF($B245="","",SUMIFS(Grids!$BQ$116:$EC$155,Grids!$EE$116:$GQ$155,"&gt;="&amp;$B245*1000000000,Grids!$EE$116:$GQ$155,"&lt;"&amp;($B245+1)*1000000000))</f>
        <v/>
      </c>
      <c r="E245" s="128">
        <f>IF($B245="","",SUMIFS(Grids!$BQ$160:$EC$219,Grids!$EE$160:$GQ$219,"&gt;="&amp;$B245*1000000000,Grids!$EE$160:$GQ$219,"&lt;"&amp;($B245+1)*1000000000))</f>
        <v/>
      </c>
      <c r="F245" s="129">
        <f>IF($B245="","",SUM($C$26:$C245))</f>
        <v/>
      </c>
      <c r="G245" s="129">
        <f>IF($B245="","",SUM($D$26:$D245))</f>
        <v/>
      </c>
      <c r="H245" s="129">
        <f>IF($B245="","",SUM($E$26:$E245))</f>
        <v/>
      </c>
    </row>
    <row r="246">
      <c r="B246" s="127">
        <f>IF(WIN_FROM+220&gt;WIN_TO,"",WIN_FROM+220)</f>
        <v/>
      </c>
      <c r="C246" s="128">
        <f>IF($B246="","",SUMIFS(Grids!$BQ$12:$EC$111,Grids!$EE$12:$GQ$111,"&gt;="&amp;$B246*1000000000,Grids!$EE$12:$GQ$111,"&lt;"&amp;($B246+1)*1000000000))</f>
        <v/>
      </c>
      <c r="D246" s="128">
        <f>IF($B246="","",SUMIFS(Grids!$BQ$116:$EC$155,Grids!$EE$116:$GQ$155,"&gt;="&amp;$B246*1000000000,Grids!$EE$116:$GQ$155,"&lt;"&amp;($B246+1)*1000000000))</f>
        <v/>
      </c>
      <c r="E246" s="128">
        <f>IF($B246="","",SUMIFS(Grids!$BQ$160:$EC$219,Grids!$EE$160:$GQ$219,"&gt;="&amp;$B246*1000000000,Grids!$EE$160:$GQ$219,"&lt;"&amp;($B246+1)*1000000000))</f>
        <v/>
      </c>
      <c r="F246" s="129">
        <f>IF($B246="","",SUM($C$26:$C246))</f>
        <v/>
      </c>
      <c r="G246" s="129">
        <f>IF($B246="","",SUM($D$26:$D246))</f>
        <v/>
      </c>
      <c r="H246" s="129">
        <f>IF($B246="","",SUM($E$26:$E246))</f>
        <v/>
      </c>
    </row>
    <row r="247">
      <c r="B247" s="127">
        <f>IF(WIN_FROM+221&gt;WIN_TO,"",WIN_FROM+221)</f>
        <v/>
      </c>
      <c r="C247" s="128">
        <f>IF($B247="","",SUMIFS(Grids!$BQ$12:$EC$111,Grids!$EE$12:$GQ$111,"&gt;="&amp;$B247*1000000000,Grids!$EE$12:$GQ$111,"&lt;"&amp;($B247+1)*1000000000))</f>
        <v/>
      </c>
      <c r="D247" s="128">
        <f>IF($B247="","",SUMIFS(Grids!$BQ$116:$EC$155,Grids!$EE$116:$GQ$155,"&gt;="&amp;$B247*1000000000,Grids!$EE$116:$GQ$155,"&lt;"&amp;($B247+1)*1000000000))</f>
        <v/>
      </c>
      <c r="E247" s="128">
        <f>IF($B247="","",SUMIFS(Grids!$BQ$160:$EC$219,Grids!$EE$160:$GQ$219,"&gt;="&amp;$B247*1000000000,Grids!$EE$160:$GQ$219,"&lt;"&amp;($B247+1)*1000000000))</f>
        <v/>
      </c>
      <c r="F247" s="129">
        <f>IF($B247="","",SUM($C$26:$C247))</f>
        <v/>
      </c>
      <c r="G247" s="129">
        <f>IF($B247="","",SUM($D$26:$D247))</f>
        <v/>
      </c>
      <c r="H247" s="129">
        <f>IF($B247="","",SUM($E$26:$E247))</f>
        <v/>
      </c>
    </row>
    <row r="248">
      <c r="B248" s="127">
        <f>IF(WIN_FROM+222&gt;WIN_TO,"",WIN_FROM+222)</f>
        <v/>
      </c>
      <c r="C248" s="128">
        <f>IF($B248="","",SUMIFS(Grids!$BQ$12:$EC$111,Grids!$EE$12:$GQ$111,"&gt;="&amp;$B248*1000000000,Grids!$EE$12:$GQ$111,"&lt;"&amp;($B248+1)*1000000000))</f>
        <v/>
      </c>
      <c r="D248" s="128">
        <f>IF($B248="","",SUMIFS(Grids!$BQ$116:$EC$155,Grids!$EE$116:$GQ$155,"&gt;="&amp;$B248*1000000000,Grids!$EE$116:$GQ$155,"&lt;"&amp;($B248+1)*1000000000))</f>
        <v/>
      </c>
      <c r="E248" s="128">
        <f>IF($B248="","",SUMIFS(Grids!$BQ$160:$EC$219,Grids!$EE$160:$GQ$219,"&gt;="&amp;$B248*1000000000,Grids!$EE$160:$GQ$219,"&lt;"&amp;($B248+1)*1000000000))</f>
        <v/>
      </c>
      <c r="F248" s="129">
        <f>IF($B248="","",SUM($C$26:$C248))</f>
        <v/>
      </c>
      <c r="G248" s="129">
        <f>IF($B248="","",SUM($D$26:$D248))</f>
        <v/>
      </c>
      <c r="H248" s="129">
        <f>IF($B248="","",SUM($E$26:$E248))</f>
        <v/>
      </c>
    </row>
    <row r="249">
      <c r="B249" s="127">
        <f>IF(WIN_FROM+223&gt;WIN_TO,"",WIN_FROM+223)</f>
        <v/>
      </c>
      <c r="C249" s="128">
        <f>IF($B249="","",SUMIFS(Grids!$BQ$12:$EC$111,Grids!$EE$12:$GQ$111,"&gt;="&amp;$B249*1000000000,Grids!$EE$12:$GQ$111,"&lt;"&amp;($B249+1)*1000000000))</f>
        <v/>
      </c>
      <c r="D249" s="128">
        <f>IF($B249="","",SUMIFS(Grids!$BQ$116:$EC$155,Grids!$EE$116:$GQ$155,"&gt;="&amp;$B249*1000000000,Grids!$EE$116:$GQ$155,"&lt;"&amp;($B249+1)*1000000000))</f>
        <v/>
      </c>
      <c r="E249" s="128">
        <f>IF($B249="","",SUMIFS(Grids!$BQ$160:$EC$219,Grids!$EE$160:$GQ$219,"&gt;="&amp;$B249*1000000000,Grids!$EE$160:$GQ$219,"&lt;"&amp;($B249+1)*1000000000))</f>
        <v/>
      </c>
      <c r="F249" s="129">
        <f>IF($B249="","",SUM($C$26:$C249))</f>
        <v/>
      </c>
      <c r="G249" s="129">
        <f>IF($B249="","",SUM($D$26:$D249))</f>
        <v/>
      </c>
      <c r="H249" s="129">
        <f>IF($B249="","",SUM($E$26:$E249))</f>
        <v/>
      </c>
    </row>
    <row r="250">
      <c r="B250" s="127">
        <f>IF(WIN_FROM+224&gt;WIN_TO,"",WIN_FROM+224)</f>
        <v/>
      </c>
      <c r="C250" s="128">
        <f>IF($B250="","",SUMIFS(Grids!$BQ$12:$EC$111,Grids!$EE$12:$GQ$111,"&gt;="&amp;$B250*1000000000,Grids!$EE$12:$GQ$111,"&lt;"&amp;($B250+1)*1000000000))</f>
        <v/>
      </c>
      <c r="D250" s="128">
        <f>IF($B250="","",SUMIFS(Grids!$BQ$116:$EC$155,Grids!$EE$116:$GQ$155,"&gt;="&amp;$B250*1000000000,Grids!$EE$116:$GQ$155,"&lt;"&amp;($B250+1)*1000000000))</f>
        <v/>
      </c>
      <c r="E250" s="128">
        <f>IF($B250="","",SUMIFS(Grids!$BQ$160:$EC$219,Grids!$EE$160:$GQ$219,"&gt;="&amp;$B250*1000000000,Grids!$EE$160:$GQ$219,"&lt;"&amp;($B250+1)*1000000000))</f>
        <v/>
      </c>
      <c r="F250" s="129">
        <f>IF($B250="","",SUM($C$26:$C250))</f>
        <v/>
      </c>
      <c r="G250" s="129">
        <f>IF($B250="","",SUM($D$26:$D250))</f>
        <v/>
      </c>
      <c r="H250" s="129">
        <f>IF($B250="","",SUM($E$26:$E250))</f>
        <v/>
      </c>
    </row>
    <row r="251">
      <c r="B251" s="127">
        <f>IF(WIN_FROM+225&gt;WIN_TO,"",WIN_FROM+225)</f>
        <v/>
      </c>
      <c r="C251" s="128">
        <f>IF($B251="","",SUMIFS(Grids!$BQ$12:$EC$111,Grids!$EE$12:$GQ$111,"&gt;="&amp;$B251*1000000000,Grids!$EE$12:$GQ$111,"&lt;"&amp;($B251+1)*1000000000))</f>
        <v/>
      </c>
      <c r="D251" s="128">
        <f>IF($B251="","",SUMIFS(Grids!$BQ$116:$EC$155,Grids!$EE$116:$GQ$155,"&gt;="&amp;$B251*1000000000,Grids!$EE$116:$GQ$155,"&lt;"&amp;($B251+1)*1000000000))</f>
        <v/>
      </c>
      <c r="E251" s="128">
        <f>IF($B251="","",SUMIFS(Grids!$BQ$160:$EC$219,Grids!$EE$160:$GQ$219,"&gt;="&amp;$B251*1000000000,Grids!$EE$160:$GQ$219,"&lt;"&amp;($B251+1)*1000000000))</f>
        <v/>
      </c>
      <c r="F251" s="129">
        <f>IF($B251="","",SUM($C$26:$C251))</f>
        <v/>
      </c>
      <c r="G251" s="129">
        <f>IF($B251="","",SUM($D$26:$D251))</f>
        <v/>
      </c>
      <c r="H251" s="129">
        <f>IF($B251="","",SUM($E$26:$E251))</f>
        <v/>
      </c>
    </row>
    <row r="252">
      <c r="B252" s="127">
        <f>IF(WIN_FROM+226&gt;WIN_TO,"",WIN_FROM+226)</f>
        <v/>
      </c>
      <c r="C252" s="128">
        <f>IF($B252="","",SUMIFS(Grids!$BQ$12:$EC$111,Grids!$EE$12:$GQ$111,"&gt;="&amp;$B252*1000000000,Grids!$EE$12:$GQ$111,"&lt;"&amp;($B252+1)*1000000000))</f>
        <v/>
      </c>
      <c r="D252" s="128">
        <f>IF($B252="","",SUMIFS(Grids!$BQ$116:$EC$155,Grids!$EE$116:$GQ$155,"&gt;="&amp;$B252*1000000000,Grids!$EE$116:$GQ$155,"&lt;"&amp;($B252+1)*1000000000))</f>
        <v/>
      </c>
      <c r="E252" s="128">
        <f>IF($B252="","",SUMIFS(Grids!$BQ$160:$EC$219,Grids!$EE$160:$GQ$219,"&gt;="&amp;$B252*1000000000,Grids!$EE$160:$GQ$219,"&lt;"&amp;($B252+1)*1000000000))</f>
        <v/>
      </c>
      <c r="F252" s="129">
        <f>IF($B252="","",SUM($C$26:$C252))</f>
        <v/>
      </c>
      <c r="G252" s="129">
        <f>IF($B252="","",SUM($D$26:$D252))</f>
        <v/>
      </c>
      <c r="H252" s="129">
        <f>IF($B252="","",SUM($E$26:$E252))</f>
        <v/>
      </c>
    </row>
    <row r="253">
      <c r="B253" s="127">
        <f>IF(WIN_FROM+227&gt;WIN_TO,"",WIN_FROM+227)</f>
        <v/>
      </c>
      <c r="C253" s="128">
        <f>IF($B253="","",SUMIFS(Grids!$BQ$12:$EC$111,Grids!$EE$12:$GQ$111,"&gt;="&amp;$B253*1000000000,Grids!$EE$12:$GQ$111,"&lt;"&amp;($B253+1)*1000000000))</f>
        <v/>
      </c>
      <c r="D253" s="128">
        <f>IF($B253="","",SUMIFS(Grids!$BQ$116:$EC$155,Grids!$EE$116:$GQ$155,"&gt;="&amp;$B253*1000000000,Grids!$EE$116:$GQ$155,"&lt;"&amp;($B253+1)*1000000000))</f>
        <v/>
      </c>
      <c r="E253" s="128">
        <f>IF($B253="","",SUMIFS(Grids!$BQ$160:$EC$219,Grids!$EE$160:$GQ$219,"&gt;="&amp;$B253*1000000000,Grids!$EE$160:$GQ$219,"&lt;"&amp;($B253+1)*1000000000))</f>
        <v/>
      </c>
      <c r="F253" s="129">
        <f>IF($B253="","",SUM($C$26:$C253))</f>
        <v/>
      </c>
      <c r="G253" s="129">
        <f>IF($B253="","",SUM($D$26:$D253))</f>
        <v/>
      </c>
      <c r="H253" s="129">
        <f>IF($B253="","",SUM($E$26:$E253))</f>
        <v/>
      </c>
    </row>
    <row r="254">
      <c r="B254" s="127">
        <f>IF(WIN_FROM+228&gt;WIN_TO,"",WIN_FROM+228)</f>
        <v/>
      </c>
      <c r="C254" s="128">
        <f>IF($B254="","",SUMIFS(Grids!$BQ$12:$EC$111,Grids!$EE$12:$GQ$111,"&gt;="&amp;$B254*1000000000,Grids!$EE$12:$GQ$111,"&lt;"&amp;($B254+1)*1000000000))</f>
        <v/>
      </c>
      <c r="D254" s="128">
        <f>IF($B254="","",SUMIFS(Grids!$BQ$116:$EC$155,Grids!$EE$116:$GQ$155,"&gt;="&amp;$B254*1000000000,Grids!$EE$116:$GQ$155,"&lt;"&amp;($B254+1)*1000000000))</f>
        <v/>
      </c>
      <c r="E254" s="128">
        <f>IF($B254="","",SUMIFS(Grids!$BQ$160:$EC$219,Grids!$EE$160:$GQ$219,"&gt;="&amp;$B254*1000000000,Grids!$EE$160:$GQ$219,"&lt;"&amp;($B254+1)*1000000000))</f>
        <v/>
      </c>
      <c r="F254" s="129">
        <f>IF($B254="","",SUM($C$26:$C254))</f>
        <v/>
      </c>
      <c r="G254" s="129">
        <f>IF($B254="","",SUM($D$26:$D254))</f>
        <v/>
      </c>
      <c r="H254" s="129">
        <f>IF($B254="","",SUM($E$26:$E254))</f>
        <v/>
      </c>
    </row>
    <row r="255">
      <c r="B255" s="127">
        <f>IF(WIN_FROM+229&gt;WIN_TO,"",WIN_FROM+229)</f>
        <v/>
      </c>
      <c r="C255" s="128">
        <f>IF($B255="","",SUMIFS(Grids!$BQ$12:$EC$111,Grids!$EE$12:$GQ$111,"&gt;="&amp;$B255*1000000000,Grids!$EE$12:$GQ$111,"&lt;"&amp;($B255+1)*1000000000))</f>
        <v/>
      </c>
      <c r="D255" s="128">
        <f>IF($B255="","",SUMIFS(Grids!$BQ$116:$EC$155,Grids!$EE$116:$GQ$155,"&gt;="&amp;$B255*1000000000,Grids!$EE$116:$GQ$155,"&lt;"&amp;($B255+1)*1000000000))</f>
        <v/>
      </c>
      <c r="E255" s="128">
        <f>IF($B255="","",SUMIFS(Grids!$BQ$160:$EC$219,Grids!$EE$160:$GQ$219,"&gt;="&amp;$B255*1000000000,Grids!$EE$160:$GQ$219,"&lt;"&amp;($B255+1)*1000000000))</f>
        <v/>
      </c>
      <c r="F255" s="129">
        <f>IF($B255="","",SUM($C$26:$C255))</f>
        <v/>
      </c>
      <c r="G255" s="129">
        <f>IF($B255="","",SUM($D$26:$D255))</f>
        <v/>
      </c>
      <c r="H255" s="129">
        <f>IF($B255="","",SUM($E$26:$E255))</f>
        <v/>
      </c>
    </row>
    <row r="256">
      <c r="B256" s="127">
        <f>IF(WIN_FROM+230&gt;WIN_TO,"",WIN_FROM+230)</f>
        <v/>
      </c>
      <c r="C256" s="128">
        <f>IF($B256="","",SUMIFS(Grids!$BQ$12:$EC$111,Grids!$EE$12:$GQ$111,"&gt;="&amp;$B256*1000000000,Grids!$EE$12:$GQ$111,"&lt;"&amp;($B256+1)*1000000000))</f>
        <v/>
      </c>
      <c r="D256" s="128">
        <f>IF($B256="","",SUMIFS(Grids!$BQ$116:$EC$155,Grids!$EE$116:$GQ$155,"&gt;="&amp;$B256*1000000000,Grids!$EE$116:$GQ$155,"&lt;"&amp;($B256+1)*1000000000))</f>
        <v/>
      </c>
      <c r="E256" s="128">
        <f>IF($B256="","",SUMIFS(Grids!$BQ$160:$EC$219,Grids!$EE$160:$GQ$219,"&gt;="&amp;$B256*1000000000,Grids!$EE$160:$GQ$219,"&lt;"&amp;($B256+1)*1000000000))</f>
        <v/>
      </c>
      <c r="F256" s="129">
        <f>IF($B256="","",SUM($C$26:$C256))</f>
        <v/>
      </c>
      <c r="G256" s="129">
        <f>IF($B256="","",SUM($D$26:$D256))</f>
        <v/>
      </c>
      <c r="H256" s="129">
        <f>IF($B256="","",SUM($E$26:$E256))</f>
        <v/>
      </c>
    </row>
    <row r="257">
      <c r="B257" s="127">
        <f>IF(WIN_FROM+231&gt;WIN_TO,"",WIN_FROM+231)</f>
        <v/>
      </c>
      <c r="C257" s="128">
        <f>IF($B257="","",SUMIFS(Grids!$BQ$12:$EC$111,Grids!$EE$12:$GQ$111,"&gt;="&amp;$B257*1000000000,Grids!$EE$12:$GQ$111,"&lt;"&amp;($B257+1)*1000000000))</f>
        <v/>
      </c>
      <c r="D257" s="128">
        <f>IF($B257="","",SUMIFS(Grids!$BQ$116:$EC$155,Grids!$EE$116:$GQ$155,"&gt;="&amp;$B257*1000000000,Grids!$EE$116:$GQ$155,"&lt;"&amp;($B257+1)*1000000000))</f>
        <v/>
      </c>
      <c r="E257" s="128">
        <f>IF($B257="","",SUMIFS(Grids!$BQ$160:$EC$219,Grids!$EE$160:$GQ$219,"&gt;="&amp;$B257*1000000000,Grids!$EE$160:$GQ$219,"&lt;"&amp;($B257+1)*1000000000))</f>
        <v/>
      </c>
      <c r="F257" s="129">
        <f>IF($B257="","",SUM($C$26:$C257))</f>
        <v/>
      </c>
      <c r="G257" s="129">
        <f>IF($B257="","",SUM($D$26:$D257))</f>
        <v/>
      </c>
      <c r="H257" s="129">
        <f>IF($B257="","",SUM($E$26:$E257))</f>
        <v/>
      </c>
    </row>
    <row r="258">
      <c r="B258" s="127">
        <f>IF(WIN_FROM+232&gt;WIN_TO,"",WIN_FROM+232)</f>
        <v/>
      </c>
      <c r="C258" s="128">
        <f>IF($B258="","",SUMIFS(Grids!$BQ$12:$EC$111,Grids!$EE$12:$GQ$111,"&gt;="&amp;$B258*1000000000,Grids!$EE$12:$GQ$111,"&lt;"&amp;($B258+1)*1000000000))</f>
        <v/>
      </c>
      <c r="D258" s="128">
        <f>IF($B258="","",SUMIFS(Grids!$BQ$116:$EC$155,Grids!$EE$116:$GQ$155,"&gt;="&amp;$B258*1000000000,Grids!$EE$116:$GQ$155,"&lt;"&amp;($B258+1)*1000000000))</f>
        <v/>
      </c>
      <c r="E258" s="128">
        <f>IF($B258="","",SUMIFS(Grids!$BQ$160:$EC$219,Grids!$EE$160:$GQ$219,"&gt;="&amp;$B258*1000000000,Grids!$EE$160:$GQ$219,"&lt;"&amp;($B258+1)*1000000000))</f>
        <v/>
      </c>
      <c r="F258" s="129">
        <f>IF($B258="","",SUM($C$26:$C258))</f>
        <v/>
      </c>
      <c r="G258" s="129">
        <f>IF($B258="","",SUM($D$26:$D258))</f>
        <v/>
      </c>
      <c r="H258" s="129">
        <f>IF($B258="","",SUM($E$26:$E258))</f>
        <v/>
      </c>
    </row>
    <row r="259">
      <c r="B259" s="127">
        <f>IF(WIN_FROM+233&gt;WIN_TO,"",WIN_FROM+233)</f>
        <v/>
      </c>
      <c r="C259" s="128">
        <f>IF($B259="","",SUMIFS(Grids!$BQ$12:$EC$111,Grids!$EE$12:$GQ$111,"&gt;="&amp;$B259*1000000000,Grids!$EE$12:$GQ$111,"&lt;"&amp;($B259+1)*1000000000))</f>
        <v/>
      </c>
      <c r="D259" s="128">
        <f>IF($B259="","",SUMIFS(Grids!$BQ$116:$EC$155,Grids!$EE$116:$GQ$155,"&gt;="&amp;$B259*1000000000,Grids!$EE$116:$GQ$155,"&lt;"&amp;($B259+1)*1000000000))</f>
        <v/>
      </c>
      <c r="E259" s="128">
        <f>IF($B259="","",SUMIFS(Grids!$BQ$160:$EC$219,Grids!$EE$160:$GQ$219,"&gt;="&amp;$B259*1000000000,Grids!$EE$160:$GQ$219,"&lt;"&amp;($B259+1)*1000000000))</f>
        <v/>
      </c>
      <c r="F259" s="129">
        <f>IF($B259="","",SUM($C$26:$C259))</f>
        <v/>
      </c>
      <c r="G259" s="129">
        <f>IF($B259="","",SUM($D$26:$D259))</f>
        <v/>
      </c>
      <c r="H259" s="129">
        <f>IF($B259="","",SUM($E$26:$E259))</f>
        <v/>
      </c>
    </row>
    <row r="260">
      <c r="B260" s="127">
        <f>IF(WIN_FROM+234&gt;WIN_TO,"",WIN_FROM+234)</f>
        <v/>
      </c>
      <c r="C260" s="128">
        <f>IF($B260="","",SUMIFS(Grids!$BQ$12:$EC$111,Grids!$EE$12:$GQ$111,"&gt;="&amp;$B260*1000000000,Grids!$EE$12:$GQ$111,"&lt;"&amp;($B260+1)*1000000000))</f>
        <v/>
      </c>
      <c r="D260" s="128">
        <f>IF($B260="","",SUMIFS(Grids!$BQ$116:$EC$155,Grids!$EE$116:$GQ$155,"&gt;="&amp;$B260*1000000000,Grids!$EE$116:$GQ$155,"&lt;"&amp;($B260+1)*1000000000))</f>
        <v/>
      </c>
      <c r="E260" s="128">
        <f>IF($B260="","",SUMIFS(Grids!$BQ$160:$EC$219,Grids!$EE$160:$GQ$219,"&gt;="&amp;$B260*1000000000,Grids!$EE$160:$GQ$219,"&lt;"&amp;($B260+1)*1000000000))</f>
        <v/>
      </c>
      <c r="F260" s="129">
        <f>IF($B260="","",SUM($C$26:$C260))</f>
        <v/>
      </c>
      <c r="G260" s="129">
        <f>IF($B260="","",SUM($D$26:$D260))</f>
        <v/>
      </c>
      <c r="H260" s="129">
        <f>IF($B260="","",SUM($E$26:$E260))</f>
        <v/>
      </c>
    </row>
    <row r="261">
      <c r="B261" s="127">
        <f>IF(WIN_FROM+235&gt;WIN_TO,"",WIN_FROM+235)</f>
        <v/>
      </c>
      <c r="C261" s="128">
        <f>IF($B261="","",SUMIFS(Grids!$BQ$12:$EC$111,Grids!$EE$12:$GQ$111,"&gt;="&amp;$B261*1000000000,Grids!$EE$12:$GQ$111,"&lt;"&amp;($B261+1)*1000000000))</f>
        <v/>
      </c>
      <c r="D261" s="128">
        <f>IF($B261="","",SUMIFS(Grids!$BQ$116:$EC$155,Grids!$EE$116:$GQ$155,"&gt;="&amp;$B261*1000000000,Grids!$EE$116:$GQ$155,"&lt;"&amp;($B261+1)*1000000000))</f>
        <v/>
      </c>
      <c r="E261" s="128">
        <f>IF($B261="","",SUMIFS(Grids!$BQ$160:$EC$219,Grids!$EE$160:$GQ$219,"&gt;="&amp;$B261*1000000000,Grids!$EE$160:$GQ$219,"&lt;"&amp;($B261+1)*1000000000))</f>
        <v/>
      </c>
      <c r="F261" s="129">
        <f>IF($B261="","",SUM($C$26:$C261))</f>
        <v/>
      </c>
      <c r="G261" s="129">
        <f>IF($B261="","",SUM($D$26:$D261))</f>
        <v/>
      </c>
      <c r="H261" s="129">
        <f>IF($B261="","",SUM($E$26:$E261))</f>
        <v/>
      </c>
    </row>
    <row r="262">
      <c r="B262" s="127">
        <f>IF(WIN_FROM+236&gt;WIN_TO,"",WIN_FROM+236)</f>
        <v/>
      </c>
      <c r="C262" s="128">
        <f>IF($B262="","",SUMIFS(Grids!$BQ$12:$EC$111,Grids!$EE$12:$GQ$111,"&gt;="&amp;$B262*1000000000,Grids!$EE$12:$GQ$111,"&lt;"&amp;($B262+1)*1000000000))</f>
        <v/>
      </c>
      <c r="D262" s="128">
        <f>IF($B262="","",SUMIFS(Grids!$BQ$116:$EC$155,Grids!$EE$116:$GQ$155,"&gt;="&amp;$B262*1000000000,Grids!$EE$116:$GQ$155,"&lt;"&amp;($B262+1)*1000000000))</f>
        <v/>
      </c>
      <c r="E262" s="128">
        <f>IF($B262="","",SUMIFS(Grids!$BQ$160:$EC$219,Grids!$EE$160:$GQ$219,"&gt;="&amp;$B262*1000000000,Grids!$EE$160:$GQ$219,"&lt;"&amp;($B262+1)*1000000000))</f>
        <v/>
      </c>
      <c r="F262" s="129">
        <f>IF($B262="","",SUM($C$26:$C262))</f>
        <v/>
      </c>
      <c r="G262" s="129">
        <f>IF($B262="","",SUM($D$26:$D262))</f>
        <v/>
      </c>
      <c r="H262" s="129">
        <f>IF($B262="","",SUM($E$26:$E262))</f>
        <v/>
      </c>
    </row>
    <row r="263">
      <c r="B263" s="127">
        <f>IF(WIN_FROM+237&gt;WIN_TO,"",WIN_FROM+237)</f>
        <v/>
      </c>
      <c r="C263" s="128">
        <f>IF($B263="","",SUMIFS(Grids!$BQ$12:$EC$111,Grids!$EE$12:$GQ$111,"&gt;="&amp;$B263*1000000000,Grids!$EE$12:$GQ$111,"&lt;"&amp;($B263+1)*1000000000))</f>
        <v/>
      </c>
      <c r="D263" s="128">
        <f>IF($B263="","",SUMIFS(Grids!$BQ$116:$EC$155,Grids!$EE$116:$GQ$155,"&gt;="&amp;$B263*1000000000,Grids!$EE$116:$GQ$155,"&lt;"&amp;($B263+1)*1000000000))</f>
        <v/>
      </c>
      <c r="E263" s="128">
        <f>IF($B263="","",SUMIFS(Grids!$BQ$160:$EC$219,Grids!$EE$160:$GQ$219,"&gt;="&amp;$B263*1000000000,Grids!$EE$160:$GQ$219,"&lt;"&amp;($B263+1)*1000000000))</f>
        <v/>
      </c>
      <c r="F263" s="129">
        <f>IF($B263="","",SUM($C$26:$C263))</f>
        <v/>
      </c>
      <c r="G263" s="129">
        <f>IF($B263="","",SUM($D$26:$D263))</f>
        <v/>
      </c>
      <c r="H263" s="129">
        <f>IF($B263="","",SUM($E$26:$E263))</f>
        <v/>
      </c>
    </row>
    <row r="264">
      <c r="B264" s="127">
        <f>IF(WIN_FROM+238&gt;WIN_TO,"",WIN_FROM+238)</f>
        <v/>
      </c>
      <c r="C264" s="128">
        <f>IF($B264="","",SUMIFS(Grids!$BQ$12:$EC$111,Grids!$EE$12:$GQ$111,"&gt;="&amp;$B264*1000000000,Grids!$EE$12:$GQ$111,"&lt;"&amp;($B264+1)*1000000000))</f>
        <v/>
      </c>
      <c r="D264" s="128">
        <f>IF($B264="","",SUMIFS(Grids!$BQ$116:$EC$155,Grids!$EE$116:$GQ$155,"&gt;="&amp;$B264*1000000000,Grids!$EE$116:$GQ$155,"&lt;"&amp;($B264+1)*1000000000))</f>
        <v/>
      </c>
      <c r="E264" s="128">
        <f>IF($B264="","",SUMIFS(Grids!$BQ$160:$EC$219,Grids!$EE$160:$GQ$219,"&gt;="&amp;$B264*1000000000,Grids!$EE$160:$GQ$219,"&lt;"&amp;($B264+1)*1000000000))</f>
        <v/>
      </c>
      <c r="F264" s="129">
        <f>IF($B264="","",SUM($C$26:$C264))</f>
        <v/>
      </c>
      <c r="G264" s="129">
        <f>IF($B264="","",SUM($D$26:$D264))</f>
        <v/>
      </c>
      <c r="H264" s="129">
        <f>IF($B264="","",SUM($E$26:$E264))</f>
        <v/>
      </c>
    </row>
    <row r="265">
      <c r="B265" s="127">
        <f>IF(WIN_FROM+239&gt;WIN_TO,"",WIN_FROM+239)</f>
        <v/>
      </c>
      <c r="C265" s="128">
        <f>IF($B265="","",SUMIFS(Grids!$BQ$12:$EC$111,Grids!$EE$12:$GQ$111,"&gt;="&amp;$B265*1000000000,Grids!$EE$12:$GQ$111,"&lt;"&amp;($B265+1)*1000000000))</f>
        <v/>
      </c>
      <c r="D265" s="128">
        <f>IF($B265="","",SUMIFS(Grids!$BQ$116:$EC$155,Grids!$EE$116:$GQ$155,"&gt;="&amp;$B265*1000000000,Grids!$EE$116:$GQ$155,"&lt;"&amp;($B265+1)*1000000000))</f>
        <v/>
      </c>
      <c r="E265" s="128">
        <f>IF($B265="","",SUMIFS(Grids!$BQ$160:$EC$219,Grids!$EE$160:$GQ$219,"&gt;="&amp;$B265*1000000000,Grids!$EE$160:$GQ$219,"&lt;"&amp;($B265+1)*1000000000))</f>
        <v/>
      </c>
      <c r="F265" s="129">
        <f>IF($B265="","",SUM($C$26:$C265))</f>
        <v/>
      </c>
      <c r="G265" s="129">
        <f>IF($B265="","",SUM($D$26:$D265))</f>
        <v/>
      </c>
      <c r="H265" s="129">
        <f>IF($B265="","",SUM($E$26:$E265))</f>
        <v/>
      </c>
    </row>
    <row r="266">
      <c r="B266" s="127">
        <f>IF(WIN_FROM+240&gt;WIN_TO,"",WIN_FROM+240)</f>
        <v/>
      </c>
      <c r="C266" s="128">
        <f>IF($B266="","",SUMIFS(Grids!$BQ$12:$EC$111,Grids!$EE$12:$GQ$111,"&gt;="&amp;$B266*1000000000,Grids!$EE$12:$GQ$111,"&lt;"&amp;($B266+1)*1000000000))</f>
        <v/>
      </c>
      <c r="D266" s="128">
        <f>IF($B266="","",SUMIFS(Grids!$BQ$116:$EC$155,Grids!$EE$116:$GQ$155,"&gt;="&amp;$B266*1000000000,Grids!$EE$116:$GQ$155,"&lt;"&amp;($B266+1)*1000000000))</f>
        <v/>
      </c>
      <c r="E266" s="128">
        <f>IF($B266="","",SUMIFS(Grids!$BQ$160:$EC$219,Grids!$EE$160:$GQ$219,"&gt;="&amp;$B266*1000000000,Grids!$EE$160:$GQ$219,"&lt;"&amp;($B266+1)*1000000000))</f>
        <v/>
      </c>
      <c r="F266" s="129">
        <f>IF($B266="","",SUM($C$26:$C266))</f>
        <v/>
      </c>
      <c r="G266" s="129">
        <f>IF($B266="","",SUM($D$26:$D266))</f>
        <v/>
      </c>
      <c r="H266" s="129">
        <f>IF($B266="","",SUM($E$26:$E266))</f>
        <v/>
      </c>
    </row>
    <row r="267">
      <c r="B267" s="127">
        <f>IF(WIN_FROM+241&gt;WIN_TO,"",WIN_FROM+241)</f>
        <v/>
      </c>
      <c r="C267" s="128">
        <f>IF($B267="","",SUMIFS(Grids!$BQ$12:$EC$111,Grids!$EE$12:$GQ$111,"&gt;="&amp;$B267*1000000000,Grids!$EE$12:$GQ$111,"&lt;"&amp;($B267+1)*1000000000))</f>
        <v/>
      </c>
      <c r="D267" s="128">
        <f>IF($B267="","",SUMIFS(Grids!$BQ$116:$EC$155,Grids!$EE$116:$GQ$155,"&gt;="&amp;$B267*1000000000,Grids!$EE$116:$GQ$155,"&lt;"&amp;($B267+1)*1000000000))</f>
        <v/>
      </c>
      <c r="E267" s="128">
        <f>IF($B267="","",SUMIFS(Grids!$BQ$160:$EC$219,Grids!$EE$160:$GQ$219,"&gt;="&amp;$B267*1000000000,Grids!$EE$160:$GQ$219,"&lt;"&amp;($B267+1)*1000000000))</f>
        <v/>
      </c>
      <c r="F267" s="129">
        <f>IF($B267="","",SUM($C$26:$C267))</f>
        <v/>
      </c>
      <c r="G267" s="129">
        <f>IF($B267="","",SUM($D$26:$D267))</f>
        <v/>
      </c>
      <c r="H267" s="129">
        <f>IF($B267="","",SUM($E$26:$E267))</f>
        <v/>
      </c>
    </row>
    <row r="268">
      <c r="B268" s="127">
        <f>IF(WIN_FROM+242&gt;WIN_TO,"",WIN_FROM+242)</f>
        <v/>
      </c>
      <c r="C268" s="128">
        <f>IF($B268="","",SUMIFS(Grids!$BQ$12:$EC$111,Grids!$EE$12:$GQ$111,"&gt;="&amp;$B268*1000000000,Grids!$EE$12:$GQ$111,"&lt;"&amp;($B268+1)*1000000000))</f>
        <v/>
      </c>
      <c r="D268" s="128">
        <f>IF($B268="","",SUMIFS(Grids!$BQ$116:$EC$155,Grids!$EE$116:$GQ$155,"&gt;="&amp;$B268*1000000000,Grids!$EE$116:$GQ$155,"&lt;"&amp;($B268+1)*1000000000))</f>
        <v/>
      </c>
      <c r="E268" s="128">
        <f>IF($B268="","",SUMIFS(Grids!$BQ$160:$EC$219,Grids!$EE$160:$GQ$219,"&gt;="&amp;$B268*1000000000,Grids!$EE$160:$GQ$219,"&lt;"&amp;($B268+1)*1000000000))</f>
        <v/>
      </c>
      <c r="F268" s="129">
        <f>IF($B268="","",SUM($C$26:$C268))</f>
        <v/>
      </c>
      <c r="G268" s="129">
        <f>IF($B268="","",SUM($D$26:$D268))</f>
        <v/>
      </c>
      <c r="H268" s="129">
        <f>IF($B268="","",SUM($E$26:$E268))</f>
        <v/>
      </c>
    </row>
    <row r="269">
      <c r="B269" s="127">
        <f>IF(WIN_FROM+243&gt;WIN_TO,"",WIN_FROM+243)</f>
        <v/>
      </c>
      <c r="C269" s="128">
        <f>IF($B269="","",SUMIFS(Grids!$BQ$12:$EC$111,Grids!$EE$12:$GQ$111,"&gt;="&amp;$B269*1000000000,Grids!$EE$12:$GQ$111,"&lt;"&amp;($B269+1)*1000000000))</f>
        <v/>
      </c>
      <c r="D269" s="128">
        <f>IF($B269="","",SUMIFS(Grids!$BQ$116:$EC$155,Grids!$EE$116:$GQ$155,"&gt;="&amp;$B269*1000000000,Grids!$EE$116:$GQ$155,"&lt;"&amp;($B269+1)*1000000000))</f>
        <v/>
      </c>
      <c r="E269" s="128">
        <f>IF($B269="","",SUMIFS(Grids!$BQ$160:$EC$219,Grids!$EE$160:$GQ$219,"&gt;="&amp;$B269*1000000000,Grids!$EE$160:$GQ$219,"&lt;"&amp;($B269+1)*1000000000))</f>
        <v/>
      </c>
      <c r="F269" s="129">
        <f>IF($B269="","",SUM($C$26:$C269))</f>
        <v/>
      </c>
      <c r="G269" s="129">
        <f>IF($B269="","",SUM($D$26:$D269))</f>
        <v/>
      </c>
      <c r="H269" s="129">
        <f>IF($B269="","",SUM($E$26:$E269))</f>
        <v/>
      </c>
    </row>
    <row r="270">
      <c r="B270" s="127">
        <f>IF(WIN_FROM+244&gt;WIN_TO,"",WIN_FROM+244)</f>
        <v/>
      </c>
      <c r="C270" s="128">
        <f>IF($B270="","",SUMIFS(Grids!$BQ$12:$EC$111,Grids!$EE$12:$GQ$111,"&gt;="&amp;$B270*1000000000,Grids!$EE$12:$GQ$111,"&lt;"&amp;($B270+1)*1000000000))</f>
        <v/>
      </c>
      <c r="D270" s="128">
        <f>IF($B270="","",SUMIFS(Grids!$BQ$116:$EC$155,Grids!$EE$116:$GQ$155,"&gt;="&amp;$B270*1000000000,Grids!$EE$116:$GQ$155,"&lt;"&amp;($B270+1)*1000000000))</f>
        <v/>
      </c>
      <c r="E270" s="128">
        <f>IF($B270="","",SUMIFS(Grids!$BQ$160:$EC$219,Grids!$EE$160:$GQ$219,"&gt;="&amp;$B270*1000000000,Grids!$EE$160:$GQ$219,"&lt;"&amp;($B270+1)*1000000000))</f>
        <v/>
      </c>
      <c r="F270" s="129">
        <f>IF($B270="","",SUM($C$26:$C270))</f>
        <v/>
      </c>
      <c r="G270" s="129">
        <f>IF($B270="","",SUM($D$26:$D270))</f>
        <v/>
      </c>
      <c r="H270" s="129">
        <f>IF($B270="","",SUM($E$26:$E270))</f>
        <v/>
      </c>
    </row>
    <row r="271">
      <c r="B271" s="127">
        <f>IF(WIN_FROM+245&gt;WIN_TO,"",WIN_FROM+245)</f>
        <v/>
      </c>
      <c r="C271" s="128">
        <f>IF($B271="","",SUMIFS(Grids!$BQ$12:$EC$111,Grids!$EE$12:$GQ$111,"&gt;="&amp;$B271*1000000000,Grids!$EE$12:$GQ$111,"&lt;"&amp;($B271+1)*1000000000))</f>
        <v/>
      </c>
      <c r="D271" s="128">
        <f>IF($B271="","",SUMIFS(Grids!$BQ$116:$EC$155,Grids!$EE$116:$GQ$155,"&gt;="&amp;$B271*1000000000,Grids!$EE$116:$GQ$155,"&lt;"&amp;($B271+1)*1000000000))</f>
        <v/>
      </c>
      <c r="E271" s="128">
        <f>IF($B271="","",SUMIFS(Grids!$BQ$160:$EC$219,Grids!$EE$160:$GQ$219,"&gt;="&amp;$B271*1000000000,Grids!$EE$160:$GQ$219,"&lt;"&amp;($B271+1)*1000000000))</f>
        <v/>
      </c>
      <c r="F271" s="129">
        <f>IF($B271="","",SUM($C$26:$C271))</f>
        <v/>
      </c>
      <c r="G271" s="129">
        <f>IF($B271="","",SUM($D$26:$D271))</f>
        <v/>
      </c>
      <c r="H271" s="129">
        <f>IF($B271="","",SUM($E$26:$E271))</f>
        <v/>
      </c>
    </row>
    <row r="272">
      <c r="B272" s="127">
        <f>IF(WIN_FROM+246&gt;WIN_TO,"",WIN_FROM+246)</f>
        <v/>
      </c>
      <c r="C272" s="128">
        <f>IF($B272="","",SUMIFS(Grids!$BQ$12:$EC$111,Grids!$EE$12:$GQ$111,"&gt;="&amp;$B272*1000000000,Grids!$EE$12:$GQ$111,"&lt;"&amp;($B272+1)*1000000000))</f>
        <v/>
      </c>
      <c r="D272" s="128">
        <f>IF($B272="","",SUMIFS(Grids!$BQ$116:$EC$155,Grids!$EE$116:$GQ$155,"&gt;="&amp;$B272*1000000000,Grids!$EE$116:$GQ$155,"&lt;"&amp;($B272+1)*1000000000))</f>
        <v/>
      </c>
      <c r="E272" s="128">
        <f>IF($B272="","",SUMIFS(Grids!$BQ$160:$EC$219,Grids!$EE$160:$GQ$219,"&gt;="&amp;$B272*1000000000,Grids!$EE$160:$GQ$219,"&lt;"&amp;($B272+1)*1000000000))</f>
        <v/>
      </c>
      <c r="F272" s="129">
        <f>IF($B272="","",SUM($C$26:$C272))</f>
        <v/>
      </c>
      <c r="G272" s="129">
        <f>IF($B272="","",SUM($D$26:$D272))</f>
        <v/>
      </c>
      <c r="H272" s="129">
        <f>IF($B272="","",SUM($E$26:$E272))</f>
        <v/>
      </c>
    </row>
    <row r="273">
      <c r="B273" s="127">
        <f>IF(WIN_FROM+247&gt;WIN_TO,"",WIN_FROM+247)</f>
        <v/>
      </c>
      <c r="C273" s="128">
        <f>IF($B273="","",SUMIFS(Grids!$BQ$12:$EC$111,Grids!$EE$12:$GQ$111,"&gt;="&amp;$B273*1000000000,Grids!$EE$12:$GQ$111,"&lt;"&amp;($B273+1)*1000000000))</f>
        <v/>
      </c>
      <c r="D273" s="128">
        <f>IF($B273="","",SUMIFS(Grids!$BQ$116:$EC$155,Grids!$EE$116:$GQ$155,"&gt;="&amp;$B273*1000000000,Grids!$EE$116:$GQ$155,"&lt;"&amp;($B273+1)*1000000000))</f>
        <v/>
      </c>
      <c r="E273" s="128">
        <f>IF($B273="","",SUMIFS(Grids!$BQ$160:$EC$219,Grids!$EE$160:$GQ$219,"&gt;="&amp;$B273*1000000000,Grids!$EE$160:$GQ$219,"&lt;"&amp;($B273+1)*1000000000))</f>
        <v/>
      </c>
      <c r="F273" s="129">
        <f>IF($B273="","",SUM($C$26:$C273))</f>
        <v/>
      </c>
      <c r="G273" s="129">
        <f>IF($B273="","",SUM($D$26:$D273))</f>
        <v/>
      </c>
      <c r="H273" s="129">
        <f>IF($B273="","",SUM($E$26:$E273))</f>
        <v/>
      </c>
    </row>
    <row r="274">
      <c r="B274" s="127">
        <f>IF(WIN_FROM+248&gt;WIN_TO,"",WIN_FROM+248)</f>
        <v/>
      </c>
      <c r="C274" s="128">
        <f>IF($B274="","",SUMIFS(Grids!$BQ$12:$EC$111,Grids!$EE$12:$GQ$111,"&gt;="&amp;$B274*1000000000,Grids!$EE$12:$GQ$111,"&lt;"&amp;($B274+1)*1000000000))</f>
        <v/>
      </c>
      <c r="D274" s="128">
        <f>IF($B274="","",SUMIFS(Grids!$BQ$116:$EC$155,Grids!$EE$116:$GQ$155,"&gt;="&amp;$B274*1000000000,Grids!$EE$116:$GQ$155,"&lt;"&amp;($B274+1)*1000000000))</f>
        <v/>
      </c>
      <c r="E274" s="128">
        <f>IF($B274="","",SUMIFS(Grids!$BQ$160:$EC$219,Grids!$EE$160:$GQ$219,"&gt;="&amp;$B274*1000000000,Grids!$EE$160:$GQ$219,"&lt;"&amp;($B274+1)*1000000000))</f>
        <v/>
      </c>
      <c r="F274" s="129">
        <f>IF($B274="","",SUM($C$26:$C274))</f>
        <v/>
      </c>
      <c r="G274" s="129">
        <f>IF($B274="","",SUM($D$26:$D274))</f>
        <v/>
      </c>
      <c r="H274" s="129">
        <f>IF($B274="","",SUM($E$26:$E274))</f>
        <v/>
      </c>
    </row>
    <row r="275">
      <c r="B275" s="127">
        <f>IF(WIN_FROM+249&gt;WIN_TO,"",WIN_FROM+249)</f>
        <v/>
      </c>
      <c r="C275" s="128">
        <f>IF($B275="","",SUMIFS(Grids!$BQ$12:$EC$111,Grids!$EE$12:$GQ$111,"&gt;="&amp;$B275*1000000000,Grids!$EE$12:$GQ$111,"&lt;"&amp;($B275+1)*1000000000))</f>
        <v/>
      </c>
      <c r="D275" s="128">
        <f>IF($B275="","",SUMIFS(Grids!$BQ$116:$EC$155,Grids!$EE$116:$GQ$155,"&gt;="&amp;$B275*1000000000,Grids!$EE$116:$GQ$155,"&lt;"&amp;($B275+1)*1000000000))</f>
        <v/>
      </c>
      <c r="E275" s="128">
        <f>IF($B275="","",SUMIFS(Grids!$BQ$160:$EC$219,Grids!$EE$160:$GQ$219,"&gt;="&amp;$B275*1000000000,Grids!$EE$160:$GQ$219,"&lt;"&amp;($B275+1)*1000000000))</f>
        <v/>
      </c>
      <c r="F275" s="129">
        <f>IF($B275="","",SUM($C$26:$C275))</f>
        <v/>
      </c>
      <c r="G275" s="129">
        <f>IF($B275="","",SUM($D$26:$D275))</f>
        <v/>
      </c>
      <c r="H275" s="129">
        <f>IF($B275="","",SUM($E$26:$E275))</f>
        <v/>
      </c>
    </row>
    <row r="276">
      <c r="B276" s="127">
        <f>IF(WIN_FROM+250&gt;WIN_TO,"",WIN_FROM+250)</f>
        <v/>
      </c>
      <c r="C276" s="128">
        <f>IF($B276="","",SUMIFS(Grids!$BQ$12:$EC$111,Grids!$EE$12:$GQ$111,"&gt;="&amp;$B276*1000000000,Grids!$EE$12:$GQ$111,"&lt;"&amp;($B276+1)*1000000000))</f>
        <v/>
      </c>
      <c r="D276" s="128">
        <f>IF($B276="","",SUMIFS(Grids!$BQ$116:$EC$155,Grids!$EE$116:$GQ$155,"&gt;="&amp;$B276*1000000000,Grids!$EE$116:$GQ$155,"&lt;"&amp;($B276+1)*1000000000))</f>
        <v/>
      </c>
      <c r="E276" s="128">
        <f>IF($B276="","",SUMIFS(Grids!$BQ$160:$EC$219,Grids!$EE$160:$GQ$219,"&gt;="&amp;$B276*1000000000,Grids!$EE$160:$GQ$219,"&lt;"&amp;($B276+1)*1000000000))</f>
        <v/>
      </c>
      <c r="F276" s="129">
        <f>IF($B276="","",SUM($C$26:$C276))</f>
        <v/>
      </c>
      <c r="G276" s="129">
        <f>IF($B276="","",SUM($D$26:$D276))</f>
        <v/>
      </c>
      <c r="H276" s="129">
        <f>IF($B276="","",SUM($E$26:$E276))</f>
        <v/>
      </c>
    </row>
    <row r="277">
      <c r="B277" s="127">
        <f>IF(WIN_FROM+251&gt;WIN_TO,"",WIN_FROM+251)</f>
        <v/>
      </c>
      <c r="C277" s="128">
        <f>IF($B277="","",SUMIFS(Grids!$BQ$12:$EC$111,Grids!$EE$12:$GQ$111,"&gt;="&amp;$B277*1000000000,Grids!$EE$12:$GQ$111,"&lt;"&amp;($B277+1)*1000000000))</f>
        <v/>
      </c>
      <c r="D277" s="128">
        <f>IF($B277="","",SUMIFS(Grids!$BQ$116:$EC$155,Grids!$EE$116:$GQ$155,"&gt;="&amp;$B277*1000000000,Grids!$EE$116:$GQ$155,"&lt;"&amp;($B277+1)*1000000000))</f>
        <v/>
      </c>
      <c r="E277" s="128">
        <f>IF($B277="","",SUMIFS(Grids!$BQ$160:$EC$219,Grids!$EE$160:$GQ$219,"&gt;="&amp;$B277*1000000000,Grids!$EE$160:$GQ$219,"&lt;"&amp;($B277+1)*1000000000))</f>
        <v/>
      </c>
      <c r="F277" s="129">
        <f>IF($B277="","",SUM($C$26:$C277))</f>
        <v/>
      </c>
      <c r="G277" s="129">
        <f>IF($B277="","",SUM($D$26:$D277))</f>
        <v/>
      </c>
      <c r="H277" s="129">
        <f>IF($B277="","",SUM($E$26:$E277))</f>
        <v/>
      </c>
    </row>
    <row r="278">
      <c r="B278" s="127">
        <f>IF(WIN_FROM+252&gt;WIN_TO,"",WIN_FROM+252)</f>
        <v/>
      </c>
      <c r="C278" s="128">
        <f>IF($B278="","",SUMIFS(Grids!$BQ$12:$EC$111,Grids!$EE$12:$GQ$111,"&gt;="&amp;$B278*1000000000,Grids!$EE$12:$GQ$111,"&lt;"&amp;($B278+1)*1000000000))</f>
        <v/>
      </c>
      <c r="D278" s="128">
        <f>IF($B278="","",SUMIFS(Grids!$BQ$116:$EC$155,Grids!$EE$116:$GQ$155,"&gt;="&amp;$B278*1000000000,Grids!$EE$116:$GQ$155,"&lt;"&amp;($B278+1)*1000000000))</f>
        <v/>
      </c>
      <c r="E278" s="128">
        <f>IF($B278="","",SUMIFS(Grids!$BQ$160:$EC$219,Grids!$EE$160:$GQ$219,"&gt;="&amp;$B278*1000000000,Grids!$EE$160:$GQ$219,"&lt;"&amp;($B278+1)*1000000000))</f>
        <v/>
      </c>
      <c r="F278" s="129">
        <f>IF($B278="","",SUM($C$26:$C278))</f>
        <v/>
      </c>
      <c r="G278" s="129">
        <f>IF($B278="","",SUM($D$26:$D278))</f>
        <v/>
      </c>
      <c r="H278" s="129">
        <f>IF($B278="","",SUM($E$26:$E278))</f>
        <v/>
      </c>
    </row>
    <row r="279">
      <c r="B279" s="127">
        <f>IF(WIN_FROM+253&gt;WIN_TO,"",WIN_FROM+253)</f>
        <v/>
      </c>
      <c r="C279" s="128">
        <f>IF($B279="","",SUMIFS(Grids!$BQ$12:$EC$111,Grids!$EE$12:$GQ$111,"&gt;="&amp;$B279*1000000000,Grids!$EE$12:$GQ$111,"&lt;"&amp;($B279+1)*1000000000))</f>
        <v/>
      </c>
      <c r="D279" s="128">
        <f>IF($B279="","",SUMIFS(Grids!$BQ$116:$EC$155,Grids!$EE$116:$GQ$155,"&gt;="&amp;$B279*1000000000,Grids!$EE$116:$GQ$155,"&lt;"&amp;($B279+1)*1000000000))</f>
        <v/>
      </c>
      <c r="E279" s="128">
        <f>IF($B279="","",SUMIFS(Grids!$BQ$160:$EC$219,Grids!$EE$160:$GQ$219,"&gt;="&amp;$B279*1000000000,Grids!$EE$160:$GQ$219,"&lt;"&amp;($B279+1)*1000000000))</f>
        <v/>
      </c>
      <c r="F279" s="129">
        <f>IF($B279="","",SUM($C$26:$C279))</f>
        <v/>
      </c>
      <c r="G279" s="129">
        <f>IF($B279="","",SUM($D$26:$D279))</f>
        <v/>
      </c>
      <c r="H279" s="129">
        <f>IF($B279="","",SUM($E$26:$E279))</f>
        <v/>
      </c>
    </row>
    <row r="280">
      <c r="B280" s="127">
        <f>IF(WIN_FROM+254&gt;WIN_TO,"",WIN_FROM+254)</f>
        <v/>
      </c>
      <c r="C280" s="128">
        <f>IF($B280="","",SUMIFS(Grids!$BQ$12:$EC$111,Grids!$EE$12:$GQ$111,"&gt;="&amp;$B280*1000000000,Grids!$EE$12:$GQ$111,"&lt;"&amp;($B280+1)*1000000000))</f>
        <v/>
      </c>
      <c r="D280" s="128">
        <f>IF($B280="","",SUMIFS(Grids!$BQ$116:$EC$155,Grids!$EE$116:$GQ$155,"&gt;="&amp;$B280*1000000000,Grids!$EE$116:$GQ$155,"&lt;"&amp;($B280+1)*1000000000))</f>
        <v/>
      </c>
      <c r="E280" s="128">
        <f>IF($B280="","",SUMIFS(Grids!$BQ$160:$EC$219,Grids!$EE$160:$GQ$219,"&gt;="&amp;$B280*1000000000,Grids!$EE$160:$GQ$219,"&lt;"&amp;($B280+1)*1000000000))</f>
        <v/>
      </c>
      <c r="F280" s="129">
        <f>IF($B280="","",SUM($C$26:$C280))</f>
        <v/>
      </c>
      <c r="G280" s="129">
        <f>IF($B280="","",SUM($D$26:$D280))</f>
        <v/>
      </c>
      <c r="H280" s="129">
        <f>IF($B280="","",SUM($E$26:$E280))</f>
        <v/>
      </c>
    </row>
    <row r="281">
      <c r="B281" s="127">
        <f>IF(WIN_FROM+255&gt;WIN_TO,"",WIN_FROM+255)</f>
        <v/>
      </c>
      <c r="C281" s="128">
        <f>IF($B281="","",SUMIFS(Grids!$BQ$12:$EC$111,Grids!$EE$12:$GQ$111,"&gt;="&amp;$B281*1000000000,Grids!$EE$12:$GQ$111,"&lt;"&amp;($B281+1)*1000000000))</f>
        <v/>
      </c>
      <c r="D281" s="128">
        <f>IF($B281="","",SUMIFS(Grids!$BQ$116:$EC$155,Grids!$EE$116:$GQ$155,"&gt;="&amp;$B281*1000000000,Grids!$EE$116:$GQ$155,"&lt;"&amp;($B281+1)*1000000000))</f>
        <v/>
      </c>
      <c r="E281" s="128">
        <f>IF($B281="","",SUMIFS(Grids!$BQ$160:$EC$219,Grids!$EE$160:$GQ$219,"&gt;="&amp;$B281*1000000000,Grids!$EE$160:$GQ$219,"&lt;"&amp;($B281+1)*1000000000))</f>
        <v/>
      </c>
      <c r="F281" s="129">
        <f>IF($B281="","",SUM($C$26:$C281))</f>
        <v/>
      </c>
      <c r="G281" s="129">
        <f>IF($B281="","",SUM($D$26:$D281))</f>
        <v/>
      </c>
      <c r="H281" s="129">
        <f>IF($B281="","",SUM($E$26:$E281))</f>
        <v/>
      </c>
    </row>
    <row r="282">
      <c r="B282" s="127">
        <f>IF(WIN_FROM+256&gt;WIN_TO,"",WIN_FROM+256)</f>
        <v/>
      </c>
      <c r="C282" s="128">
        <f>IF($B282="","",SUMIFS(Grids!$BQ$12:$EC$111,Grids!$EE$12:$GQ$111,"&gt;="&amp;$B282*1000000000,Grids!$EE$12:$GQ$111,"&lt;"&amp;($B282+1)*1000000000))</f>
        <v/>
      </c>
      <c r="D282" s="128">
        <f>IF($B282="","",SUMIFS(Grids!$BQ$116:$EC$155,Grids!$EE$116:$GQ$155,"&gt;="&amp;$B282*1000000000,Grids!$EE$116:$GQ$155,"&lt;"&amp;($B282+1)*1000000000))</f>
        <v/>
      </c>
      <c r="E282" s="128">
        <f>IF($B282="","",SUMIFS(Grids!$BQ$160:$EC$219,Grids!$EE$160:$GQ$219,"&gt;="&amp;$B282*1000000000,Grids!$EE$160:$GQ$219,"&lt;"&amp;($B282+1)*1000000000))</f>
        <v/>
      </c>
      <c r="F282" s="129">
        <f>IF($B282="","",SUM($C$26:$C282))</f>
        <v/>
      </c>
      <c r="G282" s="129">
        <f>IF($B282="","",SUM($D$26:$D282))</f>
        <v/>
      </c>
      <c r="H282" s="129">
        <f>IF($B282="","",SUM($E$26:$E282))</f>
        <v/>
      </c>
    </row>
    <row r="283">
      <c r="B283" s="127">
        <f>IF(WIN_FROM+257&gt;WIN_TO,"",WIN_FROM+257)</f>
        <v/>
      </c>
      <c r="C283" s="128">
        <f>IF($B283="","",SUMIFS(Grids!$BQ$12:$EC$111,Grids!$EE$12:$GQ$111,"&gt;="&amp;$B283*1000000000,Grids!$EE$12:$GQ$111,"&lt;"&amp;($B283+1)*1000000000))</f>
        <v/>
      </c>
      <c r="D283" s="128">
        <f>IF($B283="","",SUMIFS(Grids!$BQ$116:$EC$155,Grids!$EE$116:$GQ$155,"&gt;="&amp;$B283*1000000000,Grids!$EE$116:$GQ$155,"&lt;"&amp;($B283+1)*1000000000))</f>
        <v/>
      </c>
      <c r="E283" s="128">
        <f>IF($B283="","",SUMIFS(Grids!$BQ$160:$EC$219,Grids!$EE$160:$GQ$219,"&gt;="&amp;$B283*1000000000,Grids!$EE$160:$GQ$219,"&lt;"&amp;($B283+1)*1000000000))</f>
        <v/>
      </c>
      <c r="F283" s="129">
        <f>IF($B283="","",SUM($C$26:$C283))</f>
        <v/>
      </c>
      <c r="G283" s="129">
        <f>IF($B283="","",SUM($D$26:$D283))</f>
        <v/>
      </c>
      <c r="H283" s="129">
        <f>IF($B283="","",SUM($E$26:$E283))</f>
        <v/>
      </c>
    </row>
    <row r="284">
      <c r="B284" s="127">
        <f>IF(WIN_FROM+258&gt;WIN_TO,"",WIN_FROM+258)</f>
        <v/>
      </c>
      <c r="C284" s="128">
        <f>IF($B284="","",SUMIFS(Grids!$BQ$12:$EC$111,Grids!$EE$12:$GQ$111,"&gt;="&amp;$B284*1000000000,Grids!$EE$12:$GQ$111,"&lt;"&amp;($B284+1)*1000000000))</f>
        <v/>
      </c>
      <c r="D284" s="128">
        <f>IF($B284="","",SUMIFS(Grids!$BQ$116:$EC$155,Grids!$EE$116:$GQ$155,"&gt;="&amp;$B284*1000000000,Grids!$EE$116:$GQ$155,"&lt;"&amp;($B284+1)*1000000000))</f>
        <v/>
      </c>
      <c r="E284" s="128">
        <f>IF($B284="","",SUMIFS(Grids!$BQ$160:$EC$219,Grids!$EE$160:$GQ$219,"&gt;="&amp;$B284*1000000000,Grids!$EE$160:$GQ$219,"&lt;"&amp;($B284+1)*1000000000))</f>
        <v/>
      </c>
      <c r="F284" s="129">
        <f>IF($B284="","",SUM($C$26:$C284))</f>
        <v/>
      </c>
      <c r="G284" s="129">
        <f>IF($B284="","",SUM($D$26:$D284))</f>
        <v/>
      </c>
      <c r="H284" s="129">
        <f>IF($B284="","",SUM($E$26:$E284))</f>
        <v/>
      </c>
    </row>
    <row r="285">
      <c r="B285" s="127">
        <f>IF(WIN_FROM+259&gt;WIN_TO,"",WIN_FROM+259)</f>
        <v/>
      </c>
      <c r="C285" s="128">
        <f>IF($B285="","",SUMIFS(Grids!$BQ$12:$EC$111,Grids!$EE$12:$GQ$111,"&gt;="&amp;$B285*1000000000,Grids!$EE$12:$GQ$111,"&lt;"&amp;($B285+1)*1000000000))</f>
        <v/>
      </c>
      <c r="D285" s="128">
        <f>IF($B285="","",SUMIFS(Grids!$BQ$116:$EC$155,Grids!$EE$116:$GQ$155,"&gt;="&amp;$B285*1000000000,Grids!$EE$116:$GQ$155,"&lt;"&amp;($B285+1)*1000000000))</f>
        <v/>
      </c>
      <c r="E285" s="128">
        <f>IF($B285="","",SUMIFS(Grids!$BQ$160:$EC$219,Grids!$EE$160:$GQ$219,"&gt;="&amp;$B285*1000000000,Grids!$EE$160:$GQ$219,"&lt;"&amp;($B285+1)*1000000000))</f>
        <v/>
      </c>
      <c r="F285" s="129">
        <f>IF($B285="","",SUM($C$26:$C285))</f>
        <v/>
      </c>
      <c r="G285" s="129">
        <f>IF($B285="","",SUM($D$26:$D285))</f>
        <v/>
      </c>
      <c r="H285" s="129">
        <f>IF($B285="","",SUM($E$26:$E285))</f>
        <v/>
      </c>
    </row>
    <row r="286">
      <c r="B286" s="127">
        <f>IF(WIN_FROM+260&gt;WIN_TO,"",WIN_FROM+260)</f>
        <v/>
      </c>
      <c r="C286" s="128">
        <f>IF($B286="","",SUMIFS(Grids!$BQ$12:$EC$111,Grids!$EE$12:$GQ$111,"&gt;="&amp;$B286*1000000000,Grids!$EE$12:$GQ$111,"&lt;"&amp;($B286+1)*1000000000))</f>
        <v/>
      </c>
      <c r="D286" s="128">
        <f>IF($B286="","",SUMIFS(Grids!$BQ$116:$EC$155,Grids!$EE$116:$GQ$155,"&gt;="&amp;$B286*1000000000,Grids!$EE$116:$GQ$155,"&lt;"&amp;($B286+1)*1000000000))</f>
        <v/>
      </c>
      <c r="E286" s="128">
        <f>IF($B286="","",SUMIFS(Grids!$BQ$160:$EC$219,Grids!$EE$160:$GQ$219,"&gt;="&amp;$B286*1000000000,Grids!$EE$160:$GQ$219,"&lt;"&amp;($B286+1)*1000000000))</f>
        <v/>
      </c>
      <c r="F286" s="129">
        <f>IF($B286="","",SUM($C$26:$C286))</f>
        <v/>
      </c>
      <c r="G286" s="129">
        <f>IF($B286="","",SUM($D$26:$D286))</f>
        <v/>
      </c>
      <c r="H286" s="129">
        <f>IF($B286="","",SUM($E$26:$E286))</f>
        <v/>
      </c>
    </row>
    <row r="287">
      <c r="B287" s="127">
        <f>IF(WIN_FROM+261&gt;WIN_TO,"",WIN_FROM+261)</f>
        <v/>
      </c>
      <c r="C287" s="128">
        <f>IF($B287="","",SUMIFS(Grids!$BQ$12:$EC$111,Grids!$EE$12:$GQ$111,"&gt;="&amp;$B287*1000000000,Grids!$EE$12:$GQ$111,"&lt;"&amp;($B287+1)*1000000000))</f>
        <v/>
      </c>
      <c r="D287" s="128">
        <f>IF($B287="","",SUMIFS(Grids!$BQ$116:$EC$155,Grids!$EE$116:$GQ$155,"&gt;="&amp;$B287*1000000000,Grids!$EE$116:$GQ$155,"&lt;"&amp;($B287+1)*1000000000))</f>
        <v/>
      </c>
      <c r="E287" s="128">
        <f>IF($B287="","",SUMIFS(Grids!$BQ$160:$EC$219,Grids!$EE$160:$GQ$219,"&gt;="&amp;$B287*1000000000,Grids!$EE$160:$GQ$219,"&lt;"&amp;($B287+1)*1000000000))</f>
        <v/>
      </c>
      <c r="F287" s="129">
        <f>IF($B287="","",SUM($C$26:$C287))</f>
        <v/>
      </c>
      <c r="G287" s="129">
        <f>IF($B287="","",SUM($D$26:$D287))</f>
        <v/>
      </c>
      <c r="H287" s="129">
        <f>IF($B287="","",SUM($E$26:$E287))</f>
        <v/>
      </c>
    </row>
    <row r="288">
      <c r="B288" s="127">
        <f>IF(WIN_FROM+262&gt;WIN_TO,"",WIN_FROM+262)</f>
        <v/>
      </c>
      <c r="C288" s="128">
        <f>IF($B288="","",SUMIFS(Grids!$BQ$12:$EC$111,Grids!$EE$12:$GQ$111,"&gt;="&amp;$B288*1000000000,Grids!$EE$12:$GQ$111,"&lt;"&amp;($B288+1)*1000000000))</f>
        <v/>
      </c>
      <c r="D288" s="128">
        <f>IF($B288="","",SUMIFS(Grids!$BQ$116:$EC$155,Grids!$EE$116:$GQ$155,"&gt;="&amp;$B288*1000000000,Grids!$EE$116:$GQ$155,"&lt;"&amp;($B288+1)*1000000000))</f>
        <v/>
      </c>
      <c r="E288" s="128">
        <f>IF($B288="","",SUMIFS(Grids!$BQ$160:$EC$219,Grids!$EE$160:$GQ$219,"&gt;="&amp;$B288*1000000000,Grids!$EE$160:$GQ$219,"&lt;"&amp;($B288+1)*1000000000))</f>
        <v/>
      </c>
      <c r="F288" s="129">
        <f>IF($B288="","",SUM($C$26:$C288))</f>
        <v/>
      </c>
      <c r="G288" s="129">
        <f>IF($B288="","",SUM($D$26:$D288))</f>
        <v/>
      </c>
      <c r="H288" s="129">
        <f>IF($B288="","",SUM($E$26:$E288))</f>
        <v/>
      </c>
    </row>
    <row r="289">
      <c r="B289" s="127">
        <f>IF(WIN_FROM+263&gt;WIN_TO,"",WIN_FROM+263)</f>
        <v/>
      </c>
      <c r="C289" s="128">
        <f>IF($B289="","",SUMIFS(Grids!$BQ$12:$EC$111,Grids!$EE$12:$GQ$111,"&gt;="&amp;$B289*1000000000,Grids!$EE$12:$GQ$111,"&lt;"&amp;($B289+1)*1000000000))</f>
        <v/>
      </c>
      <c r="D289" s="128">
        <f>IF($B289="","",SUMIFS(Grids!$BQ$116:$EC$155,Grids!$EE$116:$GQ$155,"&gt;="&amp;$B289*1000000000,Grids!$EE$116:$GQ$155,"&lt;"&amp;($B289+1)*1000000000))</f>
        <v/>
      </c>
      <c r="E289" s="128">
        <f>IF($B289="","",SUMIFS(Grids!$BQ$160:$EC$219,Grids!$EE$160:$GQ$219,"&gt;="&amp;$B289*1000000000,Grids!$EE$160:$GQ$219,"&lt;"&amp;($B289+1)*1000000000))</f>
        <v/>
      </c>
      <c r="F289" s="129">
        <f>IF($B289="","",SUM($C$26:$C289))</f>
        <v/>
      </c>
      <c r="G289" s="129">
        <f>IF($B289="","",SUM($D$26:$D289))</f>
        <v/>
      </c>
      <c r="H289" s="129">
        <f>IF($B289="","",SUM($E$26:$E289))</f>
        <v/>
      </c>
    </row>
    <row r="290">
      <c r="B290" s="127">
        <f>IF(WIN_FROM+264&gt;WIN_TO,"",WIN_FROM+264)</f>
        <v/>
      </c>
      <c r="C290" s="128">
        <f>IF($B290="","",SUMIFS(Grids!$BQ$12:$EC$111,Grids!$EE$12:$GQ$111,"&gt;="&amp;$B290*1000000000,Grids!$EE$12:$GQ$111,"&lt;"&amp;($B290+1)*1000000000))</f>
        <v/>
      </c>
      <c r="D290" s="128">
        <f>IF($B290="","",SUMIFS(Grids!$BQ$116:$EC$155,Grids!$EE$116:$GQ$155,"&gt;="&amp;$B290*1000000000,Grids!$EE$116:$GQ$155,"&lt;"&amp;($B290+1)*1000000000))</f>
        <v/>
      </c>
      <c r="E290" s="128">
        <f>IF($B290="","",SUMIFS(Grids!$BQ$160:$EC$219,Grids!$EE$160:$GQ$219,"&gt;="&amp;$B290*1000000000,Grids!$EE$160:$GQ$219,"&lt;"&amp;($B290+1)*1000000000))</f>
        <v/>
      </c>
      <c r="F290" s="129">
        <f>IF($B290="","",SUM($C$26:$C290))</f>
        <v/>
      </c>
      <c r="G290" s="129">
        <f>IF($B290="","",SUM($D$26:$D290))</f>
        <v/>
      </c>
      <c r="H290" s="129">
        <f>IF($B290="","",SUM($E$26:$E290))</f>
        <v/>
      </c>
    </row>
    <row r="291">
      <c r="B291" s="127">
        <f>IF(WIN_FROM+265&gt;WIN_TO,"",WIN_FROM+265)</f>
        <v/>
      </c>
      <c r="C291" s="128">
        <f>IF($B291="","",SUMIFS(Grids!$BQ$12:$EC$111,Grids!$EE$12:$GQ$111,"&gt;="&amp;$B291*1000000000,Grids!$EE$12:$GQ$111,"&lt;"&amp;($B291+1)*1000000000))</f>
        <v/>
      </c>
      <c r="D291" s="128">
        <f>IF($B291="","",SUMIFS(Grids!$BQ$116:$EC$155,Grids!$EE$116:$GQ$155,"&gt;="&amp;$B291*1000000000,Grids!$EE$116:$GQ$155,"&lt;"&amp;($B291+1)*1000000000))</f>
        <v/>
      </c>
      <c r="E291" s="128">
        <f>IF($B291="","",SUMIFS(Grids!$BQ$160:$EC$219,Grids!$EE$160:$GQ$219,"&gt;="&amp;$B291*1000000000,Grids!$EE$160:$GQ$219,"&lt;"&amp;($B291+1)*1000000000))</f>
        <v/>
      </c>
      <c r="F291" s="129">
        <f>IF($B291="","",SUM($C$26:$C291))</f>
        <v/>
      </c>
      <c r="G291" s="129">
        <f>IF($B291="","",SUM($D$26:$D291))</f>
        <v/>
      </c>
      <c r="H291" s="129">
        <f>IF($B291="","",SUM($E$26:$E291))</f>
        <v/>
      </c>
    </row>
    <row r="292">
      <c r="B292" s="127">
        <f>IF(WIN_FROM+266&gt;WIN_TO,"",WIN_FROM+266)</f>
        <v/>
      </c>
      <c r="C292" s="128">
        <f>IF($B292="","",SUMIFS(Grids!$BQ$12:$EC$111,Grids!$EE$12:$GQ$111,"&gt;="&amp;$B292*1000000000,Grids!$EE$12:$GQ$111,"&lt;"&amp;($B292+1)*1000000000))</f>
        <v/>
      </c>
      <c r="D292" s="128">
        <f>IF($B292="","",SUMIFS(Grids!$BQ$116:$EC$155,Grids!$EE$116:$GQ$155,"&gt;="&amp;$B292*1000000000,Grids!$EE$116:$GQ$155,"&lt;"&amp;($B292+1)*1000000000))</f>
        <v/>
      </c>
      <c r="E292" s="128">
        <f>IF($B292="","",SUMIFS(Grids!$BQ$160:$EC$219,Grids!$EE$160:$GQ$219,"&gt;="&amp;$B292*1000000000,Grids!$EE$160:$GQ$219,"&lt;"&amp;($B292+1)*1000000000))</f>
        <v/>
      </c>
      <c r="F292" s="129">
        <f>IF($B292="","",SUM($C$26:$C292))</f>
        <v/>
      </c>
      <c r="G292" s="129">
        <f>IF($B292="","",SUM($D$26:$D292))</f>
        <v/>
      </c>
      <c r="H292" s="129">
        <f>IF($B292="","",SUM($E$26:$E292))</f>
        <v/>
      </c>
    </row>
    <row r="293">
      <c r="B293" s="127">
        <f>IF(WIN_FROM+267&gt;WIN_TO,"",WIN_FROM+267)</f>
        <v/>
      </c>
      <c r="C293" s="128">
        <f>IF($B293="","",SUMIFS(Grids!$BQ$12:$EC$111,Grids!$EE$12:$GQ$111,"&gt;="&amp;$B293*1000000000,Grids!$EE$12:$GQ$111,"&lt;"&amp;($B293+1)*1000000000))</f>
        <v/>
      </c>
      <c r="D293" s="128">
        <f>IF($B293="","",SUMIFS(Grids!$BQ$116:$EC$155,Grids!$EE$116:$GQ$155,"&gt;="&amp;$B293*1000000000,Grids!$EE$116:$GQ$155,"&lt;"&amp;($B293+1)*1000000000))</f>
        <v/>
      </c>
      <c r="E293" s="128">
        <f>IF($B293="","",SUMIFS(Grids!$BQ$160:$EC$219,Grids!$EE$160:$GQ$219,"&gt;="&amp;$B293*1000000000,Grids!$EE$160:$GQ$219,"&lt;"&amp;($B293+1)*1000000000))</f>
        <v/>
      </c>
      <c r="F293" s="129">
        <f>IF($B293="","",SUM($C$26:$C293))</f>
        <v/>
      </c>
      <c r="G293" s="129">
        <f>IF($B293="","",SUM($D$26:$D293))</f>
        <v/>
      </c>
      <c r="H293" s="129">
        <f>IF($B293="","",SUM($E$26:$E293))</f>
        <v/>
      </c>
    </row>
    <row r="294">
      <c r="B294" s="127">
        <f>IF(WIN_FROM+268&gt;WIN_TO,"",WIN_FROM+268)</f>
        <v/>
      </c>
      <c r="C294" s="128">
        <f>IF($B294="","",SUMIFS(Grids!$BQ$12:$EC$111,Grids!$EE$12:$GQ$111,"&gt;="&amp;$B294*1000000000,Grids!$EE$12:$GQ$111,"&lt;"&amp;($B294+1)*1000000000))</f>
        <v/>
      </c>
      <c r="D294" s="128">
        <f>IF($B294="","",SUMIFS(Grids!$BQ$116:$EC$155,Grids!$EE$116:$GQ$155,"&gt;="&amp;$B294*1000000000,Grids!$EE$116:$GQ$155,"&lt;"&amp;($B294+1)*1000000000))</f>
        <v/>
      </c>
      <c r="E294" s="128">
        <f>IF($B294="","",SUMIFS(Grids!$BQ$160:$EC$219,Grids!$EE$160:$GQ$219,"&gt;="&amp;$B294*1000000000,Grids!$EE$160:$GQ$219,"&lt;"&amp;($B294+1)*1000000000))</f>
        <v/>
      </c>
      <c r="F294" s="129">
        <f>IF($B294="","",SUM($C$26:$C294))</f>
        <v/>
      </c>
      <c r="G294" s="129">
        <f>IF($B294="","",SUM($D$26:$D294))</f>
        <v/>
      </c>
      <c r="H294" s="129">
        <f>IF($B294="","",SUM($E$26:$E294))</f>
        <v/>
      </c>
    </row>
    <row r="295">
      <c r="B295" s="127">
        <f>IF(WIN_FROM+269&gt;WIN_TO,"",WIN_FROM+269)</f>
        <v/>
      </c>
      <c r="C295" s="128">
        <f>IF($B295="","",SUMIFS(Grids!$BQ$12:$EC$111,Grids!$EE$12:$GQ$111,"&gt;="&amp;$B295*1000000000,Grids!$EE$12:$GQ$111,"&lt;"&amp;($B295+1)*1000000000))</f>
        <v/>
      </c>
      <c r="D295" s="128">
        <f>IF($B295="","",SUMIFS(Grids!$BQ$116:$EC$155,Grids!$EE$116:$GQ$155,"&gt;="&amp;$B295*1000000000,Grids!$EE$116:$GQ$155,"&lt;"&amp;($B295+1)*1000000000))</f>
        <v/>
      </c>
      <c r="E295" s="128">
        <f>IF($B295="","",SUMIFS(Grids!$BQ$160:$EC$219,Grids!$EE$160:$GQ$219,"&gt;="&amp;$B295*1000000000,Grids!$EE$160:$GQ$219,"&lt;"&amp;($B295+1)*1000000000))</f>
        <v/>
      </c>
      <c r="F295" s="129">
        <f>IF($B295="","",SUM($C$26:$C295))</f>
        <v/>
      </c>
      <c r="G295" s="129">
        <f>IF($B295="","",SUM($D$26:$D295))</f>
        <v/>
      </c>
      <c r="H295" s="129">
        <f>IF($B295="","",SUM($E$26:$E295))</f>
        <v/>
      </c>
    </row>
    <row r="296">
      <c r="B296" s="127">
        <f>IF(WIN_FROM+270&gt;WIN_TO,"",WIN_FROM+270)</f>
        <v/>
      </c>
      <c r="C296" s="128">
        <f>IF($B296="","",SUMIFS(Grids!$BQ$12:$EC$111,Grids!$EE$12:$GQ$111,"&gt;="&amp;$B296*1000000000,Grids!$EE$12:$GQ$111,"&lt;"&amp;($B296+1)*1000000000))</f>
        <v/>
      </c>
      <c r="D296" s="128">
        <f>IF($B296="","",SUMIFS(Grids!$BQ$116:$EC$155,Grids!$EE$116:$GQ$155,"&gt;="&amp;$B296*1000000000,Grids!$EE$116:$GQ$155,"&lt;"&amp;($B296+1)*1000000000))</f>
        <v/>
      </c>
      <c r="E296" s="128">
        <f>IF($B296="","",SUMIFS(Grids!$BQ$160:$EC$219,Grids!$EE$160:$GQ$219,"&gt;="&amp;$B296*1000000000,Grids!$EE$160:$GQ$219,"&lt;"&amp;($B296+1)*1000000000))</f>
        <v/>
      </c>
      <c r="F296" s="129">
        <f>IF($B296="","",SUM($C$26:$C296))</f>
        <v/>
      </c>
      <c r="G296" s="129">
        <f>IF($B296="","",SUM($D$26:$D296))</f>
        <v/>
      </c>
      <c r="H296" s="129">
        <f>IF($B296="","",SUM($E$26:$E296))</f>
        <v/>
      </c>
    </row>
    <row r="297">
      <c r="B297" s="127">
        <f>IF(WIN_FROM+271&gt;WIN_TO,"",WIN_FROM+271)</f>
        <v/>
      </c>
      <c r="C297" s="128">
        <f>IF($B297="","",SUMIFS(Grids!$BQ$12:$EC$111,Grids!$EE$12:$GQ$111,"&gt;="&amp;$B297*1000000000,Grids!$EE$12:$GQ$111,"&lt;"&amp;($B297+1)*1000000000))</f>
        <v/>
      </c>
      <c r="D297" s="128">
        <f>IF($B297="","",SUMIFS(Grids!$BQ$116:$EC$155,Grids!$EE$116:$GQ$155,"&gt;="&amp;$B297*1000000000,Grids!$EE$116:$GQ$155,"&lt;"&amp;($B297+1)*1000000000))</f>
        <v/>
      </c>
      <c r="E297" s="128">
        <f>IF($B297="","",SUMIFS(Grids!$BQ$160:$EC$219,Grids!$EE$160:$GQ$219,"&gt;="&amp;$B297*1000000000,Grids!$EE$160:$GQ$219,"&lt;"&amp;($B297+1)*1000000000))</f>
        <v/>
      </c>
      <c r="F297" s="129">
        <f>IF($B297="","",SUM($C$26:$C297))</f>
        <v/>
      </c>
      <c r="G297" s="129">
        <f>IF($B297="","",SUM($D$26:$D297))</f>
        <v/>
      </c>
      <c r="H297" s="129">
        <f>IF($B297="","",SUM($E$26:$E297))</f>
        <v/>
      </c>
    </row>
    <row r="298">
      <c r="B298" s="127">
        <f>IF(WIN_FROM+272&gt;WIN_TO,"",WIN_FROM+272)</f>
        <v/>
      </c>
      <c r="C298" s="128">
        <f>IF($B298="","",SUMIFS(Grids!$BQ$12:$EC$111,Grids!$EE$12:$GQ$111,"&gt;="&amp;$B298*1000000000,Grids!$EE$12:$GQ$111,"&lt;"&amp;($B298+1)*1000000000))</f>
        <v/>
      </c>
      <c r="D298" s="128">
        <f>IF($B298="","",SUMIFS(Grids!$BQ$116:$EC$155,Grids!$EE$116:$GQ$155,"&gt;="&amp;$B298*1000000000,Grids!$EE$116:$GQ$155,"&lt;"&amp;($B298+1)*1000000000))</f>
        <v/>
      </c>
      <c r="E298" s="128">
        <f>IF($B298="","",SUMIFS(Grids!$BQ$160:$EC$219,Grids!$EE$160:$GQ$219,"&gt;="&amp;$B298*1000000000,Grids!$EE$160:$GQ$219,"&lt;"&amp;($B298+1)*1000000000))</f>
        <v/>
      </c>
      <c r="F298" s="129">
        <f>IF($B298="","",SUM($C$26:$C298))</f>
        <v/>
      </c>
      <c r="G298" s="129">
        <f>IF($B298="","",SUM($D$26:$D298))</f>
        <v/>
      </c>
      <c r="H298" s="129">
        <f>IF($B298="","",SUM($E$26:$E298))</f>
        <v/>
      </c>
    </row>
    <row r="299">
      <c r="B299" s="127">
        <f>IF(WIN_FROM+273&gt;WIN_TO,"",WIN_FROM+273)</f>
        <v/>
      </c>
      <c r="C299" s="128">
        <f>IF($B299="","",SUMIFS(Grids!$BQ$12:$EC$111,Grids!$EE$12:$GQ$111,"&gt;="&amp;$B299*1000000000,Grids!$EE$12:$GQ$111,"&lt;"&amp;($B299+1)*1000000000))</f>
        <v/>
      </c>
      <c r="D299" s="128">
        <f>IF($B299="","",SUMIFS(Grids!$BQ$116:$EC$155,Grids!$EE$116:$GQ$155,"&gt;="&amp;$B299*1000000000,Grids!$EE$116:$GQ$155,"&lt;"&amp;($B299+1)*1000000000))</f>
        <v/>
      </c>
      <c r="E299" s="128">
        <f>IF($B299="","",SUMIFS(Grids!$BQ$160:$EC$219,Grids!$EE$160:$GQ$219,"&gt;="&amp;$B299*1000000000,Grids!$EE$160:$GQ$219,"&lt;"&amp;($B299+1)*1000000000))</f>
        <v/>
      </c>
      <c r="F299" s="129">
        <f>IF($B299="","",SUM($C$26:$C299))</f>
        <v/>
      </c>
      <c r="G299" s="129">
        <f>IF($B299="","",SUM($D$26:$D299))</f>
        <v/>
      </c>
      <c r="H299" s="129">
        <f>IF($B299="","",SUM($E$26:$E299))</f>
        <v/>
      </c>
    </row>
    <row r="300">
      <c r="B300" s="127">
        <f>IF(WIN_FROM+274&gt;WIN_TO,"",WIN_FROM+274)</f>
        <v/>
      </c>
      <c r="C300" s="128">
        <f>IF($B300="","",SUMIFS(Grids!$BQ$12:$EC$111,Grids!$EE$12:$GQ$111,"&gt;="&amp;$B300*1000000000,Grids!$EE$12:$GQ$111,"&lt;"&amp;($B300+1)*1000000000))</f>
        <v/>
      </c>
      <c r="D300" s="128">
        <f>IF($B300="","",SUMIFS(Grids!$BQ$116:$EC$155,Grids!$EE$116:$GQ$155,"&gt;="&amp;$B300*1000000000,Grids!$EE$116:$GQ$155,"&lt;"&amp;($B300+1)*1000000000))</f>
        <v/>
      </c>
      <c r="E300" s="128">
        <f>IF($B300="","",SUMIFS(Grids!$BQ$160:$EC$219,Grids!$EE$160:$GQ$219,"&gt;="&amp;$B300*1000000000,Grids!$EE$160:$GQ$219,"&lt;"&amp;($B300+1)*1000000000))</f>
        <v/>
      </c>
      <c r="F300" s="129">
        <f>IF($B300="","",SUM($C$26:$C300))</f>
        <v/>
      </c>
      <c r="G300" s="129">
        <f>IF($B300="","",SUM($D$26:$D300))</f>
        <v/>
      </c>
      <c r="H300" s="129">
        <f>IF($B300="","",SUM($E$26:$E300))</f>
        <v/>
      </c>
    </row>
    <row r="301">
      <c r="B301" s="127">
        <f>IF(WIN_FROM+275&gt;WIN_TO,"",WIN_FROM+275)</f>
        <v/>
      </c>
      <c r="C301" s="128">
        <f>IF($B301="","",SUMIFS(Grids!$BQ$12:$EC$111,Grids!$EE$12:$GQ$111,"&gt;="&amp;$B301*1000000000,Grids!$EE$12:$GQ$111,"&lt;"&amp;($B301+1)*1000000000))</f>
        <v/>
      </c>
      <c r="D301" s="128">
        <f>IF($B301="","",SUMIFS(Grids!$BQ$116:$EC$155,Grids!$EE$116:$GQ$155,"&gt;="&amp;$B301*1000000000,Grids!$EE$116:$GQ$155,"&lt;"&amp;($B301+1)*1000000000))</f>
        <v/>
      </c>
      <c r="E301" s="128">
        <f>IF($B301="","",SUMIFS(Grids!$BQ$160:$EC$219,Grids!$EE$160:$GQ$219,"&gt;="&amp;$B301*1000000000,Grids!$EE$160:$GQ$219,"&lt;"&amp;($B301+1)*1000000000))</f>
        <v/>
      </c>
      <c r="F301" s="129">
        <f>IF($B301="","",SUM($C$26:$C301))</f>
        <v/>
      </c>
      <c r="G301" s="129">
        <f>IF($B301="","",SUM($D$26:$D301))</f>
        <v/>
      </c>
      <c r="H301" s="129">
        <f>IF($B301="","",SUM($E$26:$E301))</f>
        <v/>
      </c>
    </row>
    <row r="302">
      <c r="B302" s="127">
        <f>IF(WIN_FROM+276&gt;WIN_TO,"",WIN_FROM+276)</f>
        <v/>
      </c>
      <c r="C302" s="128">
        <f>IF($B302="","",SUMIFS(Grids!$BQ$12:$EC$111,Grids!$EE$12:$GQ$111,"&gt;="&amp;$B302*1000000000,Grids!$EE$12:$GQ$111,"&lt;"&amp;($B302+1)*1000000000))</f>
        <v/>
      </c>
      <c r="D302" s="128">
        <f>IF($B302="","",SUMIFS(Grids!$BQ$116:$EC$155,Grids!$EE$116:$GQ$155,"&gt;="&amp;$B302*1000000000,Grids!$EE$116:$GQ$155,"&lt;"&amp;($B302+1)*1000000000))</f>
        <v/>
      </c>
      <c r="E302" s="128">
        <f>IF($B302="","",SUMIFS(Grids!$BQ$160:$EC$219,Grids!$EE$160:$GQ$219,"&gt;="&amp;$B302*1000000000,Grids!$EE$160:$GQ$219,"&lt;"&amp;($B302+1)*1000000000))</f>
        <v/>
      </c>
      <c r="F302" s="129">
        <f>IF($B302="","",SUM($C$26:$C302))</f>
        <v/>
      </c>
      <c r="G302" s="129">
        <f>IF($B302="","",SUM($D$26:$D302))</f>
        <v/>
      </c>
      <c r="H302" s="129">
        <f>IF($B302="","",SUM($E$26:$E302))</f>
        <v/>
      </c>
    </row>
    <row r="303">
      <c r="B303" s="127">
        <f>IF(WIN_FROM+277&gt;WIN_TO,"",WIN_FROM+277)</f>
        <v/>
      </c>
      <c r="C303" s="128">
        <f>IF($B303="","",SUMIFS(Grids!$BQ$12:$EC$111,Grids!$EE$12:$GQ$111,"&gt;="&amp;$B303*1000000000,Grids!$EE$12:$GQ$111,"&lt;"&amp;($B303+1)*1000000000))</f>
        <v/>
      </c>
      <c r="D303" s="128">
        <f>IF($B303="","",SUMIFS(Grids!$BQ$116:$EC$155,Grids!$EE$116:$GQ$155,"&gt;="&amp;$B303*1000000000,Grids!$EE$116:$GQ$155,"&lt;"&amp;($B303+1)*1000000000))</f>
        <v/>
      </c>
      <c r="E303" s="128">
        <f>IF($B303="","",SUMIFS(Grids!$BQ$160:$EC$219,Grids!$EE$160:$GQ$219,"&gt;="&amp;$B303*1000000000,Grids!$EE$160:$GQ$219,"&lt;"&amp;($B303+1)*1000000000))</f>
        <v/>
      </c>
      <c r="F303" s="129">
        <f>IF($B303="","",SUM($C$26:$C303))</f>
        <v/>
      </c>
      <c r="G303" s="129">
        <f>IF($B303="","",SUM($D$26:$D303))</f>
        <v/>
      </c>
      <c r="H303" s="129">
        <f>IF($B303="","",SUM($E$26:$E303))</f>
        <v/>
      </c>
    </row>
    <row r="304">
      <c r="B304" s="127">
        <f>IF(WIN_FROM+278&gt;WIN_TO,"",WIN_FROM+278)</f>
        <v/>
      </c>
      <c r="C304" s="128">
        <f>IF($B304="","",SUMIFS(Grids!$BQ$12:$EC$111,Grids!$EE$12:$GQ$111,"&gt;="&amp;$B304*1000000000,Grids!$EE$12:$GQ$111,"&lt;"&amp;($B304+1)*1000000000))</f>
        <v/>
      </c>
      <c r="D304" s="128">
        <f>IF($B304="","",SUMIFS(Grids!$BQ$116:$EC$155,Grids!$EE$116:$GQ$155,"&gt;="&amp;$B304*1000000000,Grids!$EE$116:$GQ$155,"&lt;"&amp;($B304+1)*1000000000))</f>
        <v/>
      </c>
      <c r="E304" s="128">
        <f>IF($B304="","",SUMIFS(Grids!$BQ$160:$EC$219,Grids!$EE$160:$GQ$219,"&gt;="&amp;$B304*1000000000,Grids!$EE$160:$GQ$219,"&lt;"&amp;($B304+1)*1000000000))</f>
        <v/>
      </c>
      <c r="F304" s="129">
        <f>IF($B304="","",SUM($C$26:$C304))</f>
        <v/>
      </c>
      <c r="G304" s="129">
        <f>IF($B304="","",SUM($D$26:$D304))</f>
        <v/>
      </c>
      <c r="H304" s="129">
        <f>IF($B304="","",SUM($E$26:$E304))</f>
        <v/>
      </c>
    </row>
    <row r="305">
      <c r="B305" s="127">
        <f>IF(WIN_FROM+279&gt;WIN_TO,"",WIN_FROM+279)</f>
        <v/>
      </c>
      <c r="C305" s="128">
        <f>IF($B305="","",SUMIFS(Grids!$BQ$12:$EC$111,Grids!$EE$12:$GQ$111,"&gt;="&amp;$B305*1000000000,Grids!$EE$12:$GQ$111,"&lt;"&amp;($B305+1)*1000000000))</f>
        <v/>
      </c>
      <c r="D305" s="128">
        <f>IF($B305="","",SUMIFS(Grids!$BQ$116:$EC$155,Grids!$EE$116:$GQ$155,"&gt;="&amp;$B305*1000000000,Grids!$EE$116:$GQ$155,"&lt;"&amp;($B305+1)*1000000000))</f>
        <v/>
      </c>
      <c r="E305" s="128">
        <f>IF($B305="","",SUMIFS(Grids!$BQ$160:$EC$219,Grids!$EE$160:$GQ$219,"&gt;="&amp;$B305*1000000000,Grids!$EE$160:$GQ$219,"&lt;"&amp;($B305+1)*1000000000))</f>
        <v/>
      </c>
      <c r="F305" s="129">
        <f>IF($B305="","",SUM($C$26:$C305))</f>
        <v/>
      </c>
      <c r="G305" s="129">
        <f>IF($B305="","",SUM($D$26:$D305))</f>
        <v/>
      </c>
      <c r="H305" s="129">
        <f>IF($B305="","",SUM($E$26:$E305))</f>
        <v/>
      </c>
    </row>
    <row r="306">
      <c r="B306" s="127">
        <f>IF(WIN_FROM+280&gt;WIN_TO,"",WIN_FROM+280)</f>
        <v/>
      </c>
      <c r="C306" s="128">
        <f>IF($B306="","",SUMIFS(Grids!$BQ$12:$EC$111,Grids!$EE$12:$GQ$111,"&gt;="&amp;$B306*1000000000,Grids!$EE$12:$GQ$111,"&lt;"&amp;($B306+1)*1000000000))</f>
        <v/>
      </c>
      <c r="D306" s="128">
        <f>IF($B306="","",SUMIFS(Grids!$BQ$116:$EC$155,Grids!$EE$116:$GQ$155,"&gt;="&amp;$B306*1000000000,Grids!$EE$116:$GQ$155,"&lt;"&amp;($B306+1)*1000000000))</f>
        <v/>
      </c>
      <c r="E306" s="128">
        <f>IF($B306="","",SUMIFS(Grids!$BQ$160:$EC$219,Grids!$EE$160:$GQ$219,"&gt;="&amp;$B306*1000000000,Grids!$EE$160:$GQ$219,"&lt;"&amp;($B306+1)*1000000000))</f>
        <v/>
      </c>
      <c r="F306" s="129">
        <f>IF($B306="","",SUM($C$26:$C306))</f>
        <v/>
      </c>
      <c r="G306" s="129">
        <f>IF($B306="","",SUM($D$26:$D306))</f>
        <v/>
      </c>
      <c r="H306" s="129">
        <f>IF($B306="","",SUM($E$26:$E306))</f>
        <v/>
      </c>
    </row>
    <row r="307">
      <c r="B307" s="127">
        <f>IF(WIN_FROM+281&gt;WIN_TO,"",WIN_FROM+281)</f>
        <v/>
      </c>
      <c r="C307" s="128">
        <f>IF($B307="","",SUMIFS(Grids!$BQ$12:$EC$111,Grids!$EE$12:$GQ$111,"&gt;="&amp;$B307*1000000000,Grids!$EE$12:$GQ$111,"&lt;"&amp;($B307+1)*1000000000))</f>
        <v/>
      </c>
      <c r="D307" s="128">
        <f>IF($B307="","",SUMIFS(Grids!$BQ$116:$EC$155,Grids!$EE$116:$GQ$155,"&gt;="&amp;$B307*1000000000,Grids!$EE$116:$GQ$155,"&lt;"&amp;($B307+1)*1000000000))</f>
        <v/>
      </c>
      <c r="E307" s="128">
        <f>IF($B307="","",SUMIFS(Grids!$BQ$160:$EC$219,Grids!$EE$160:$GQ$219,"&gt;="&amp;$B307*1000000000,Grids!$EE$160:$GQ$219,"&lt;"&amp;($B307+1)*1000000000))</f>
        <v/>
      </c>
      <c r="F307" s="129">
        <f>IF($B307="","",SUM($C$26:$C307))</f>
        <v/>
      </c>
      <c r="G307" s="129">
        <f>IF($B307="","",SUM($D$26:$D307))</f>
        <v/>
      </c>
      <c r="H307" s="129">
        <f>IF($B307="","",SUM($E$26:$E307))</f>
        <v/>
      </c>
    </row>
    <row r="308">
      <c r="B308" s="127">
        <f>IF(WIN_FROM+282&gt;WIN_TO,"",WIN_FROM+282)</f>
        <v/>
      </c>
      <c r="C308" s="128">
        <f>IF($B308="","",SUMIFS(Grids!$BQ$12:$EC$111,Grids!$EE$12:$GQ$111,"&gt;="&amp;$B308*1000000000,Grids!$EE$12:$GQ$111,"&lt;"&amp;($B308+1)*1000000000))</f>
        <v/>
      </c>
      <c r="D308" s="128">
        <f>IF($B308="","",SUMIFS(Grids!$BQ$116:$EC$155,Grids!$EE$116:$GQ$155,"&gt;="&amp;$B308*1000000000,Grids!$EE$116:$GQ$155,"&lt;"&amp;($B308+1)*1000000000))</f>
        <v/>
      </c>
      <c r="E308" s="128">
        <f>IF($B308="","",SUMIFS(Grids!$BQ$160:$EC$219,Grids!$EE$160:$GQ$219,"&gt;="&amp;$B308*1000000000,Grids!$EE$160:$GQ$219,"&lt;"&amp;($B308+1)*1000000000))</f>
        <v/>
      </c>
      <c r="F308" s="129">
        <f>IF($B308="","",SUM($C$26:$C308))</f>
        <v/>
      </c>
      <c r="G308" s="129">
        <f>IF($B308="","",SUM($D$26:$D308))</f>
        <v/>
      </c>
      <c r="H308" s="129">
        <f>IF($B308="","",SUM($E$26:$E308))</f>
        <v/>
      </c>
    </row>
    <row r="309">
      <c r="B309" s="127">
        <f>IF(WIN_FROM+283&gt;WIN_TO,"",WIN_FROM+283)</f>
        <v/>
      </c>
      <c r="C309" s="128">
        <f>IF($B309="","",SUMIFS(Grids!$BQ$12:$EC$111,Grids!$EE$12:$GQ$111,"&gt;="&amp;$B309*1000000000,Grids!$EE$12:$GQ$111,"&lt;"&amp;($B309+1)*1000000000))</f>
        <v/>
      </c>
      <c r="D309" s="128">
        <f>IF($B309="","",SUMIFS(Grids!$BQ$116:$EC$155,Grids!$EE$116:$GQ$155,"&gt;="&amp;$B309*1000000000,Grids!$EE$116:$GQ$155,"&lt;"&amp;($B309+1)*1000000000))</f>
        <v/>
      </c>
      <c r="E309" s="128">
        <f>IF($B309="","",SUMIFS(Grids!$BQ$160:$EC$219,Grids!$EE$160:$GQ$219,"&gt;="&amp;$B309*1000000000,Grids!$EE$160:$GQ$219,"&lt;"&amp;($B309+1)*1000000000))</f>
        <v/>
      </c>
      <c r="F309" s="129">
        <f>IF($B309="","",SUM($C$26:$C309))</f>
        <v/>
      </c>
      <c r="G309" s="129">
        <f>IF($B309="","",SUM($D$26:$D309))</f>
        <v/>
      </c>
      <c r="H309" s="129">
        <f>IF($B309="","",SUM($E$26:$E309))</f>
        <v/>
      </c>
    </row>
    <row r="310">
      <c r="B310" s="127">
        <f>IF(WIN_FROM+284&gt;WIN_TO,"",WIN_FROM+284)</f>
        <v/>
      </c>
      <c r="C310" s="128">
        <f>IF($B310="","",SUMIFS(Grids!$BQ$12:$EC$111,Grids!$EE$12:$GQ$111,"&gt;="&amp;$B310*1000000000,Grids!$EE$12:$GQ$111,"&lt;"&amp;($B310+1)*1000000000))</f>
        <v/>
      </c>
      <c r="D310" s="128">
        <f>IF($B310="","",SUMIFS(Grids!$BQ$116:$EC$155,Grids!$EE$116:$GQ$155,"&gt;="&amp;$B310*1000000000,Grids!$EE$116:$GQ$155,"&lt;"&amp;($B310+1)*1000000000))</f>
        <v/>
      </c>
      <c r="E310" s="128">
        <f>IF($B310="","",SUMIFS(Grids!$BQ$160:$EC$219,Grids!$EE$160:$GQ$219,"&gt;="&amp;$B310*1000000000,Grids!$EE$160:$GQ$219,"&lt;"&amp;($B310+1)*1000000000))</f>
        <v/>
      </c>
      <c r="F310" s="129">
        <f>IF($B310="","",SUM($C$26:$C310))</f>
        <v/>
      </c>
      <c r="G310" s="129">
        <f>IF($B310="","",SUM($D$26:$D310))</f>
        <v/>
      </c>
      <c r="H310" s="129">
        <f>IF($B310="","",SUM($E$26:$E310))</f>
        <v/>
      </c>
    </row>
    <row r="311">
      <c r="B311" s="127">
        <f>IF(WIN_FROM+285&gt;WIN_TO,"",WIN_FROM+285)</f>
        <v/>
      </c>
      <c r="C311" s="128">
        <f>IF($B311="","",SUMIFS(Grids!$BQ$12:$EC$111,Grids!$EE$12:$GQ$111,"&gt;="&amp;$B311*1000000000,Grids!$EE$12:$GQ$111,"&lt;"&amp;($B311+1)*1000000000))</f>
        <v/>
      </c>
      <c r="D311" s="128">
        <f>IF($B311="","",SUMIFS(Grids!$BQ$116:$EC$155,Grids!$EE$116:$GQ$155,"&gt;="&amp;$B311*1000000000,Grids!$EE$116:$GQ$155,"&lt;"&amp;($B311+1)*1000000000))</f>
        <v/>
      </c>
      <c r="E311" s="128">
        <f>IF($B311="","",SUMIFS(Grids!$BQ$160:$EC$219,Grids!$EE$160:$GQ$219,"&gt;="&amp;$B311*1000000000,Grids!$EE$160:$GQ$219,"&lt;"&amp;($B311+1)*1000000000))</f>
        <v/>
      </c>
      <c r="F311" s="129">
        <f>IF($B311="","",SUM($C$26:$C311))</f>
        <v/>
      </c>
      <c r="G311" s="129">
        <f>IF($B311="","",SUM($D$26:$D311))</f>
        <v/>
      </c>
      <c r="H311" s="129">
        <f>IF($B311="","",SUM($E$26:$E311))</f>
        <v/>
      </c>
    </row>
    <row r="312">
      <c r="B312" s="127">
        <f>IF(WIN_FROM+286&gt;WIN_TO,"",WIN_FROM+286)</f>
        <v/>
      </c>
      <c r="C312" s="128">
        <f>IF($B312="","",SUMIFS(Grids!$BQ$12:$EC$111,Grids!$EE$12:$GQ$111,"&gt;="&amp;$B312*1000000000,Grids!$EE$12:$GQ$111,"&lt;"&amp;($B312+1)*1000000000))</f>
        <v/>
      </c>
      <c r="D312" s="128">
        <f>IF($B312="","",SUMIFS(Grids!$BQ$116:$EC$155,Grids!$EE$116:$GQ$155,"&gt;="&amp;$B312*1000000000,Grids!$EE$116:$GQ$155,"&lt;"&amp;($B312+1)*1000000000))</f>
        <v/>
      </c>
      <c r="E312" s="128">
        <f>IF($B312="","",SUMIFS(Grids!$BQ$160:$EC$219,Grids!$EE$160:$GQ$219,"&gt;="&amp;$B312*1000000000,Grids!$EE$160:$GQ$219,"&lt;"&amp;($B312+1)*1000000000))</f>
        <v/>
      </c>
      <c r="F312" s="129">
        <f>IF($B312="","",SUM($C$26:$C312))</f>
        <v/>
      </c>
      <c r="G312" s="129">
        <f>IF($B312="","",SUM($D$26:$D312))</f>
        <v/>
      </c>
      <c r="H312" s="129">
        <f>IF($B312="","",SUM($E$26:$E312))</f>
        <v/>
      </c>
    </row>
    <row r="313">
      <c r="B313" s="127">
        <f>IF(WIN_FROM+287&gt;WIN_TO,"",WIN_FROM+287)</f>
        <v/>
      </c>
      <c r="C313" s="128">
        <f>IF($B313="","",SUMIFS(Grids!$BQ$12:$EC$111,Grids!$EE$12:$GQ$111,"&gt;="&amp;$B313*1000000000,Grids!$EE$12:$GQ$111,"&lt;"&amp;($B313+1)*1000000000))</f>
        <v/>
      </c>
      <c r="D313" s="128">
        <f>IF($B313="","",SUMIFS(Grids!$BQ$116:$EC$155,Grids!$EE$116:$GQ$155,"&gt;="&amp;$B313*1000000000,Grids!$EE$116:$GQ$155,"&lt;"&amp;($B313+1)*1000000000))</f>
        <v/>
      </c>
      <c r="E313" s="128">
        <f>IF($B313="","",SUMIFS(Grids!$BQ$160:$EC$219,Grids!$EE$160:$GQ$219,"&gt;="&amp;$B313*1000000000,Grids!$EE$160:$GQ$219,"&lt;"&amp;($B313+1)*1000000000))</f>
        <v/>
      </c>
      <c r="F313" s="129">
        <f>IF($B313="","",SUM($C$26:$C313))</f>
        <v/>
      </c>
      <c r="G313" s="129">
        <f>IF($B313="","",SUM($D$26:$D313))</f>
        <v/>
      </c>
      <c r="H313" s="129">
        <f>IF($B313="","",SUM($E$26:$E313))</f>
        <v/>
      </c>
    </row>
    <row r="314">
      <c r="B314" s="127">
        <f>IF(WIN_FROM+288&gt;WIN_TO,"",WIN_FROM+288)</f>
        <v/>
      </c>
      <c r="C314" s="128">
        <f>IF($B314="","",SUMIFS(Grids!$BQ$12:$EC$111,Grids!$EE$12:$GQ$111,"&gt;="&amp;$B314*1000000000,Grids!$EE$12:$GQ$111,"&lt;"&amp;($B314+1)*1000000000))</f>
        <v/>
      </c>
      <c r="D314" s="128">
        <f>IF($B314="","",SUMIFS(Grids!$BQ$116:$EC$155,Grids!$EE$116:$GQ$155,"&gt;="&amp;$B314*1000000000,Grids!$EE$116:$GQ$155,"&lt;"&amp;($B314+1)*1000000000))</f>
        <v/>
      </c>
      <c r="E314" s="128">
        <f>IF($B314="","",SUMIFS(Grids!$BQ$160:$EC$219,Grids!$EE$160:$GQ$219,"&gt;="&amp;$B314*1000000000,Grids!$EE$160:$GQ$219,"&lt;"&amp;($B314+1)*1000000000))</f>
        <v/>
      </c>
      <c r="F314" s="129">
        <f>IF($B314="","",SUM($C$26:$C314))</f>
        <v/>
      </c>
      <c r="G314" s="129">
        <f>IF($B314="","",SUM($D$26:$D314))</f>
        <v/>
      </c>
      <c r="H314" s="129">
        <f>IF($B314="","",SUM($E$26:$E314))</f>
        <v/>
      </c>
    </row>
    <row r="315">
      <c r="B315" s="127">
        <f>IF(WIN_FROM+289&gt;WIN_TO,"",WIN_FROM+289)</f>
        <v/>
      </c>
      <c r="C315" s="128">
        <f>IF($B315="","",SUMIFS(Grids!$BQ$12:$EC$111,Grids!$EE$12:$GQ$111,"&gt;="&amp;$B315*1000000000,Grids!$EE$12:$GQ$111,"&lt;"&amp;($B315+1)*1000000000))</f>
        <v/>
      </c>
      <c r="D315" s="128">
        <f>IF($B315="","",SUMIFS(Grids!$BQ$116:$EC$155,Grids!$EE$116:$GQ$155,"&gt;="&amp;$B315*1000000000,Grids!$EE$116:$GQ$155,"&lt;"&amp;($B315+1)*1000000000))</f>
        <v/>
      </c>
      <c r="E315" s="128">
        <f>IF($B315="","",SUMIFS(Grids!$BQ$160:$EC$219,Grids!$EE$160:$GQ$219,"&gt;="&amp;$B315*1000000000,Grids!$EE$160:$GQ$219,"&lt;"&amp;($B315+1)*1000000000))</f>
        <v/>
      </c>
      <c r="F315" s="129">
        <f>IF($B315="","",SUM($C$26:$C315))</f>
        <v/>
      </c>
      <c r="G315" s="129">
        <f>IF($B315="","",SUM($D$26:$D315))</f>
        <v/>
      </c>
      <c r="H315" s="129">
        <f>IF($B315="","",SUM($E$26:$E315))</f>
        <v/>
      </c>
    </row>
    <row r="316">
      <c r="B316" s="127">
        <f>IF(WIN_FROM+290&gt;WIN_TO,"",WIN_FROM+290)</f>
        <v/>
      </c>
      <c r="C316" s="128">
        <f>IF($B316="","",SUMIFS(Grids!$BQ$12:$EC$111,Grids!$EE$12:$GQ$111,"&gt;="&amp;$B316*1000000000,Grids!$EE$12:$GQ$111,"&lt;"&amp;($B316+1)*1000000000))</f>
        <v/>
      </c>
      <c r="D316" s="128">
        <f>IF($B316="","",SUMIFS(Grids!$BQ$116:$EC$155,Grids!$EE$116:$GQ$155,"&gt;="&amp;$B316*1000000000,Grids!$EE$116:$GQ$155,"&lt;"&amp;($B316+1)*1000000000))</f>
        <v/>
      </c>
      <c r="E316" s="128">
        <f>IF($B316="","",SUMIFS(Grids!$BQ$160:$EC$219,Grids!$EE$160:$GQ$219,"&gt;="&amp;$B316*1000000000,Grids!$EE$160:$GQ$219,"&lt;"&amp;($B316+1)*1000000000))</f>
        <v/>
      </c>
      <c r="F316" s="129">
        <f>IF($B316="","",SUM($C$26:$C316))</f>
        <v/>
      </c>
      <c r="G316" s="129">
        <f>IF($B316="","",SUM($D$26:$D316))</f>
        <v/>
      </c>
      <c r="H316" s="129">
        <f>IF($B316="","",SUM($E$26:$E316))</f>
        <v/>
      </c>
    </row>
    <row r="317">
      <c r="B317" s="127">
        <f>IF(WIN_FROM+291&gt;WIN_TO,"",WIN_FROM+291)</f>
        <v/>
      </c>
      <c r="C317" s="128">
        <f>IF($B317="","",SUMIFS(Grids!$BQ$12:$EC$111,Grids!$EE$12:$GQ$111,"&gt;="&amp;$B317*1000000000,Grids!$EE$12:$GQ$111,"&lt;"&amp;($B317+1)*1000000000))</f>
        <v/>
      </c>
      <c r="D317" s="128">
        <f>IF($B317="","",SUMIFS(Grids!$BQ$116:$EC$155,Grids!$EE$116:$GQ$155,"&gt;="&amp;$B317*1000000000,Grids!$EE$116:$GQ$155,"&lt;"&amp;($B317+1)*1000000000))</f>
        <v/>
      </c>
      <c r="E317" s="128">
        <f>IF($B317="","",SUMIFS(Grids!$BQ$160:$EC$219,Grids!$EE$160:$GQ$219,"&gt;="&amp;$B317*1000000000,Grids!$EE$160:$GQ$219,"&lt;"&amp;($B317+1)*1000000000))</f>
        <v/>
      </c>
      <c r="F317" s="129">
        <f>IF($B317="","",SUM($C$26:$C317))</f>
        <v/>
      </c>
      <c r="G317" s="129">
        <f>IF($B317="","",SUM($D$26:$D317))</f>
        <v/>
      </c>
      <c r="H317" s="129">
        <f>IF($B317="","",SUM($E$26:$E317))</f>
        <v/>
      </c>
    </row>
    <row r="318">
      <c r="B318" s="127">
        <f>IF(WIN_FROM+292&gt;WIN_TO,"",WIN_FROM+292)</f>
        <v/>
      </c>
      <c r="C318" s="128">
        <f>IF($B318="","",SUMIFS(Grids!$BQ$12:$EC$111,Grids!$EE$12:$GQ$111,"&gt;="&amp;$B318*1000000000,Grids!$EE$12:$GQ$111,"&lt;"&amp;($B318+1)*1000000000))</f>
        <v/>
      </c>
      <c r="D318" s="128">
        <f>IF($B318="","",SUMIFS(Grids!$BQ$116:$EC$155,Grids!$EE$116:$GQ$155,"&gt;="&amp;$B318*1000000000,Grids!$EE$116:$GQ$155,"&lt;"&amp;($B318+1)*1000000000))</f>
        <v/>
      </c>
      <c r="E318" s="128">
        <f>IF($B318="","",SUMIFS(Grids!$BQ$160:$EC$219,Grids!$EE$160:$GQ$219,"&gt;="&amp;$B318*1000000000,Grids!$EE$160:$GQ$219,"&lt;"&amp;($B318+1)*1000000000))</f>
        <v/>
      </c>
      <c r="F318" s="129">
        <f>IF($B318="","",SUM($C$26:$C318))</f>
        <v/>
      </c>
      <c r="G318" s="129">
        <f>IF($B318="","",SUM($D$26:$D318))</f>
        <v/>
      </c>
      <c r="H318" s="129">
        <f>IF($B318="","",SUM($E$26:$E318))</f>
        <v/>
      </c>
    </row>
    <row r="319">
      <c r="B319" s="127">
        <f>IF(WIN_FROM+293&gt;WIN_TO,"",WIN_FROM+293)</f>
        <v/>
      </c>
      <c r="C319" s="128">
        <f>IF($B319="","",SUMIFS(Grids!$BQ$12:$EC$111,Grids!$EE$12:$GQ$111,"&gt;="&amp;$B319*1000000000,Grids!$EE$12:$GQ$111,"&lt;"&amp;($B319+1)*1000000000))</f>
        <v/>
      </c>
      <c r="D319" s="128">
        <f>IF($B319="","",SUMIFS(Grids!$BQ$116:$EC$155,Grids!$EE$116:$GQ$155,"&gt;="&amp;$B319*1000000000,Grids!$EE$116:$GQ$155,"&lt;"&amp;($B319+1)*1000000000))</f>
        <v/>
      </c>
      <c r="E319" s="128">
        <f>IF($B319="","",SUMIFS(Grids!$BQ$160:$EC$219,Grids!$EE$160:$GQ$219,"&gt;="&amp;$B319*1000000000,Grids!$EE$160:$GQ$219,"&lt;"&amp;($B319+1)*1000000000))</f>
        <v/>
      </c>
      <c r="F319" s="129">
        <f>IF($B319="","",SUM($C$26:$C319))</f>
        <v/>
      </c>
      <c r="G319" s="129">
        <f>IF($B319="","",SUM($D$26:$D319))</f>
        <v/>
      </c>
      <c r="H319" s="129">
        <f>IF($B319="","",SUM($E$26:$E319))</f>
        <v/>
      </c>
    </row>
    <row r="320">
      <c r="B320" s="127">
        <f>IF(WIN_FROM+294&gt;WIN_TO,"",WIN_FROM+294)</f>
        <v/>
      </c>
      <c r="C320" s="128">
        <f>IF($B320="","",SUMIFS(Grids!$BQ$12:$EC$111,Grids!$EE$12:$GQ$111,"&gt;="&amp;$B320*1000000000,Grids!$EE$12:$GQ$111,"&lt;"&amp;($B320+1)*1000000000))</f>
        <v/>
      </c>
      <c r="D320" s="128">
        <f>IF($B320="","",SUMIFS(Grids!$BQ$116:$EC$155,Grids!$EE$116:$GQ$155,"&gt;="&amp;$B320*1000000000,Grids!$EE$116:$GQ$155,"&lt;"&amp;($B320+1)*1000000000))</f>
        <v/>
      </c>
      <c r="E320" s="128">
        <f>IF($B320="","",SUMIFS(Grids!$BQ$160:$EC$219,Grids!$EE$160:$GQ$219,"&gt;="&amp;$B320*1000000000,Grids!$EE$160:$GQ$219,"&lt;"&amp;($B320+1)*1000000000))</f>
        <v/>
      </c>
      <c r="F320" s="129">
        <f>IF($B320="","",SUM($C$26:$C320))</f>
        <v/>
      </c>
      <c r="G320" s="129">
        <f>IF($B320="","",SUM($D$26:$D320))</f>
        <v/>
      </c>
      <c r="H320" s="129">
        <f>IF($B320="","",SUM($E$26:$E320))</f>
        <v/>
      </c>
    </row>
    <row r="321">
      <c r="B321" s="127">
        <f>IF(WIN_FROM+295&gt;WIN_TO,"",WIN_FROM+295)</f>
        <v/>
      </c>
      <c r="C321" s="128">
        <f>IF($B321="","",SUMIFS(Grids!$BQ$12:$EC$111,Grids!$EE$12:$GQ$111,"&gt;="&amp;$B321*1000000000,Grids!$EE$12:$GQ$111,"&lt;"&amp;($B321+1)*1000000000))</f>
        <v/>
      </c>
      <c r="D321" s="128">
        <f>IF($B321="","",SUMIFS(Grids!$BQ$116:$EC$155,Grids!$EE$116:$GQ$155,"&gt;="&amp;$B321*1000000000,Grids!$EE$116:$GQ$155,"&lt;"&amp;($B321+1)*1000000000))</f>
        <v/>
      </c>
      <c r="E321" s="128">
        <f>IF($B321="","",SUMIFS(Grids!$BQ$160:$EC$219,Grids!$EE$160:$GQ$219,"&gt;="&amp;$B321*1000000000,Grids!$EE$160:$GQ$219,"&lt;"&amp;($B321+1)*1000000000))</f>
        <v/>
      </c>
      <c r="F321" s="129">
        <f>IF($B321="","",SUM($C$26:$C321))</f>
        <v/>
      </c>
      <c r="G321" s="129">
        <f>IF($B321="","",SUM($D$26:$D321))</f>
        <v/>
      </c>
      <c r="H321" s="129">
        <f>IF($B321="","",SUM($E$26:$E321))</f>
        <v/>
      </c>
    </row>
    <row r="322">
      <c r="B322" s="127">
        <f>IF(WIN_FROM+296&gt;WIN_TO,"",WIN_FROM+296)</f>
        <v/>
      </c>
      <c r="C322" s="128">
        <f>IF($B322="","",SUMIFS(Grids!$BQ$12:$EC$111,Grids!$EE$12:$GQ$111,"&gt;="&amp;$B322*1000000000,Grids!$EE$12:$GQ$111,"&lt;"&amp;($B322+1)*1000000000))</f>
        <v/>
      </c>
      <c r="D322" s="128">
        <f>IF($B322="","",SUMIFS(Grids!$BQ$116:$EC$155,Grids!$EE$116:$GQ$155,"&gt;="&amp;$B322*1000000000,Grids!$EE$116:$GQ$155,"&lt;"&amp;($B322+1)*1000000000))</f>
        <v/>
      </c>
      <c r="E322" s="128">
        <f>IF($B322="","",SUMIFS(Grids!$BQ$160:$EC$219,Grids!$EE$160:$GQ$219,"&gt;="&amp;$B322*1000000000,Grids!$EE$160:$GQ$219,"&lt;"&amp;($B322+1)*1000000000))</f>
        <v/>
      </c>
      <c r="F322" s="129">
        <f>IF($B322="","",SUM($C$26:$C322))</f>
        <v/>
      </c>
      <c r="G322" s="129">
        <f>IF($B322="","",SUM($D$26:$D322))</f>
        <v/>
      </c>
      <c r="H322" s="129">
        <f>IF($B322="","",SUM($E$26:$E322))</f>
        <v/>
      </c>
    </row>
    <row r="323">
      <c r="B323" s="127">
        <f>IF(WIN_FROM+297&gt;WIN_TO,"",WIN_FROM+297)</f>
        <v/>
      </c>
      <c r="C323" s="128">
        <f>IF($B323="","",SUMIFS(Grids!$BQ$12:$EC$111,Grids!$EE$12:$GQ$111,"&gt;="&amp;$B323*1000000000,Grids!$EE$12:$GQ$111,"&lt;"&amp;($B323+1)*1000000000))</f>
        <v/>
      </c>
      <c r="D323" s="128">
        <f>IF($B323="","",SUMIFS(Grids!$BQ$116:$EC$155,Grids!$EE$116:$GQ$155,"&gt;="&amp;$B323*1000000000,Grids!$EE$116:$GQ$155,"&lt;"&amp;($B323+1)*1000000000))</f>
        <v/>
      </c>
      <c r="E323" s="128">
        <f>IF($B323="","",SUMIFS(Grids!$BQ$160:$EC$219,Grids!$EE$160:$GQ$219,"&gt;="&amp;$B323*1000000000,Grids!$EE$160:$GQ$219,"&lt;"&amp;($B323+1)*1000000000))</f>
        <v/>
      </c>
      <c r="F323" s="129">
        <f>IF($B323="","",SUM($C$26:$C323))</f>
        <v/>
      </c>
      <c r="G323" s="129">
        <f>IF($B323="","",SUM($D$26:$D323))</f>
        <v/>
      </c>
      <c r="H323" s="129">
        <f>IF($B323="","",SUM($E$26:$E323))</f>
        <v/>
      </c>
    </row>
    <row r="324">
      <c r="B324" s="127">
        <f>IF(WIN_FROM+298&gt;WIN_TO,"",WIN_FROM+298)</f>
        <v/>
      </c>
      <c r="C324" s="128">
        <f>IF($B324="","",SUMIFS(Grids!$BQ$12:$EC$111,Grids!$EE$12:$GQ$111,"&gt;="&amp;$B324*1000000000,Grids!$EE$12:$GQ$111,"&lt;"&amp;($B324+1)*1000000000))</f>
        <v/>
      </c>
      <c r="D324" s="128">
        <f>IF($B324="","",SUMIFS(Grids!$BQ$116:$EC$155,Grids!$EE$116:$GQ$155,"&gt;="&amp;$B324*1000000000,Grids!$EE$116:$GQ$155,"&lt;"&amp;($B324+1)*1000000000))</f>
        <v/>
      </c>
      <c r="E324" s="128">
        <f>IF($B324="","",SUMIFS(Grids!$BQ$160:$EC$219,Grids!$EE$160:$GQ$219,"&gt;="&amp;$B324*1000000000,Grids!$EE$160:$GQ$219,"&lt;"&amp;($B324+1)*1000000000))</f>
        <v/>
      </c>
      <c r="F324" s="129">
        <f>IF($B324="","",SUM($C$26:$C324))</f>
        <v/>
      </c>
      <c r="G324" s="129">
        <f>IF($B324="","",SUM($D$26:$D324))</f>
        <v/>
      </c>
      <c r="H324" s="129">
        <f>IF($B324="","",SUM($E$26:$E324))</f>
        <v/>
      </c>
    </row>
    <row r="325">
      <c r="B325" s="127">
        <f>IF(WIN_FROM+299&gt;WIN_TO,"",WIN_FROM+299)</f>
        <v/>
      </c>
      <c r="C325" s="128">
        <f>IF($B325="","",SUMIFS(Grids!$BQ$12:$EC$111,Grids!$EE$12:$GQ$111,"&gt;="&amp;$B325*1000000000,Grids!$EE$12:$GQ$111,"&lt;"&amp;($B325+1)*1000000000))</f>
        <v/>
      </c>
      <c r="D325" s="128">
        <f>IF($B325="","",SUMIFS(Grids!$BQ$116:$EC$155,Grids!$EE$116:$GQ$155,"&gt;="&amp;$B325*1000000000,Grids!$EE$116:$GQ$155,"&lt;"&amp;($B325+1)*1000000000))</f>
        <v/>
      </c>
      <c r="E325" s="128">
        <f>IF($B325="","",SUMIFS(Grids!$BQ$160:$EC$219,Grids!$EE$160:$GQ$219,"&gt;="&amp;$B325*1000000000,Grids!$EE$160:$GQ$219,"&lt;"&amp;($B325+1)*1000000000))</f>
        <v/>
      </c>
      <c r="F325" s="129">
        <f>IF($B325="","",SUM($C$26:$C325))</f>
        <v/>
      </c>
      <c r="G325" s="129">
        <f>IF($B325="","",SUM($D$26:$D325))</f>
        <v/>
      </c>
      <c r="H325" s="129">
        <f>IF($B325="","",SUM($E$26:$E325))</f>
        <v/>
      </c>
    </row>
    <row r="326">
      <c r="B326" s="127">
        <f>IF(WIN_FROM+300&gt;WIN_TO,"",WIN_FROM+300)</f>
        <v/>
      </c>
      <c r="C326" s="128">
        <f>IF($B326="","",SUMIFS(Grids!$BQ$12:$EC$111,Grids!$EE$12:$GQ$111,"&gt;="&amp;$B326*1000000000,Grids!$EE$12:$GQ$111,"&lt;"&amp;($B326+1)*1000000000))</f>
        <v/>
      </c>
      <c r="D326" s="128">
        <f>IF($B326="","",SUMIFS(Grids!$BQ$116:$EC$155,Grids!$EE$116:$GQ$155,"&gt;="&amp;$B326*1000000000,Grids!$EE$116:$GQ$155,"&lt;"&amp;($B326+1)*1000000000))</f>
        <v/>
      </c>
      <c r="E326" s="128">
        <f>IF($B326="","",SUMIFS(Grids!$BQ$160:$EC$219,Grids!$EE$160:$GQ$219,"&gt;="&amp;$B326*1000000000,Grids!$EE$160:$GQ$219,"&lt;"&amp;($B326+1)*1000000000))</f>
        <v/>
      </c>
      <c r="F326" s="129">
        <f>IF($B326="","",SUM($C$26:$C326))</f>
        <v/>
      </c>
      <c r="G326" s="129">
        <f>IF($B326="","",SUM($D$26:$D326))</f>
        <v/>
      </c>
      <c r="H326" s="129">
        <f>IF($B326="","",SUM($E$26:$E326))</f>
        <v/>
      </c>
    </row>
    <row r="327">
      <c r="B327" s="127">
        <f>IF(WIN_FROM+301&gt;WIN_TO,"",WIN_FROM+301)</f>
        <v/>
      </c>
      <c r="C327" s="128">
        <f>IF($B327="","",SUMIFS(Grids!$BQ$12:$EC$111,Grids!$EE$12:$GQ$111,"&gt;="&amp;$B327*1000000000,Grids!$EE$12:$GQ$111,"&lt;"&amp;($B327+1)*1000000000))</f>
        <v/>
      </c>
      <c r="D327" s="128">
        <f>IF($B327="","",SUMIFS(Grids!$BQ$116:$EC$155,Grids!$EE$116:$GQ$155,"&gt;="&amp;$B327*1000000000,Grids!$EE$116:$GQ$155,"&lt;"&amp;($B327+1)*1000000000))</f>
        <v/>
      </c>
      <c r="E327" s="128">
        <f>IF($B327="","",SUMIFS(Grids!$BQ$160:$EC$219,Grids!$EE$160:$GQ$219,"&gt;="&amp;$B327*1000000000,Grids!$EE$160:$GQ$219,"&lt;"&amp;($B327+1)*1000000000))</f>
        <v/>
      </c>
      <c r="F327" s="129">
        <f>IF($B327="","",SUM($C$26:$C327))</f>
        <v/>
      </c>
      <c r="G327" s="129">
        <f>IF($B327="","",SUM($D$26:$D327))</f>
        <v/>
      </c>
      <c r="H327" s="129">
        <f>IF($B327="","",SUM($E$26:$E327))</f>
        <v/>
      </c>
    </row>
    <row r="328">
      <c r="B328" s="127">
        <f>IF(WIN_FROM+302&gt;WIN_TO,"",WIN_FROM+302)</f>
        <v/>
      </c>
      <c r="C328" s="128">
        <f>IF($B328="","",SUMIFS(Grids!$BQ$12:$EC$111,Grids!$EE$12:$GQ$111,"&gt;="&amp;$B328*1000000000,Grids!$EE$12:$GQ$111,"&lt;"&amp;($B328+1)*1000000000))</f>
        <v/>
      </c>
      <c r="D328" s="128">
        <f>IF($B328="","",SUMIFS(Grids!$BQ$116:$EC$155,Grids!$EE$116:$GQ$155,"&gt;="&amp;$B328*1000000000,Grids!$EE$116:$GQ$155,"&lt;"&amp;($B328+1)*1000000000))</f>
        <v/>
      </c>
      <c r="E328" s="128">
        <f>IF($B328="","",SUMIFS(Grids!$BQ$160:$EC$219,Grids!$EE$160:$GQ$219,"&gt;="&amp;$B328*1000000000,Grids!$EE$160:$GQ$219,"&lt;"&amp;($B328+1)*1000000000))</f>
        <v/>
      </c>
      <c r="F328" s="129">
        <f>IF($B328="","",SUM($C$26:$C328))</f>
        <v/>
      </c>
      <c r="G328" s="129">
        <f>IF($B328="","",SUM($D$26:$D328))</f>
        <v/>
      </c>
      <c r="H328" s="129">
        <f>IF($B328="","",SUM($E$26:$E328))</f>
        <v/>
      </c>
    </row>
    <row r="329">
      <c r="B329" s="127">
        <f>IF(WIN_FROM+303&gt;WIN_TO,"",WIN_FROM+303)</f>
        <v/>
      </c>
      <c r="C329" s="128">
        <f>IF($B329="","",SUMIFS(Grids!$BQ$12:$EC$111,Grids!$EE$12:$GQ$111,"&gt;="&amp;$B329*1000000000,Grids!$EE$12:$GQ$111,"&lt;"&amp;($B329+1)*1000000000))</f>
        <v/>
      </c>
      <c r="D329" s="128">
        <f>IF($B329="","",SUMIFS(Grids!$BQ$116:$EC$155,Grids!$EE$116:$GQ$155,"&gt;="&amp;$B329*1000000000,Grids!$EE$116:$GQ$155,"&lt;"&amp;($B329+1)*1000000000))</f>
        <v/>
      </c>
      <c r="E329" s="128">
        <f>IF($B329="","",SUMIFS(Grids!$BQ$160:$EC$219,Grids!$EE$160:$GQ$219,"&gt;="&amp;$B329*1000000000,Grids!$EE$160:$GQ$219,"&lt;"&amp;($B329+1)*1000000000))</f>
        <v/>
      </c>
      <c r="F329" s="129">
        <f>IF($B329="","",SUM($C$26:$C329))</f>
        <v/>
      </c>
      <c r="G329" s="129">
        <f>IF($B329="","",SUM($D$26:$D329))</f>
        <v/>
      </c>
      <c r="H329" s="129">
        <f>IF($B329="","",SUM($E$26:$E329))</f>
        <v/>
      </c>
    </row>
    <row r="330">
      <c r="B330" s="127">
        <f>IF(WIN_FROM+304&gt;WIN_TO,"",WIN_FROM+304)</f>
        <v/>
      </c>
      <c r="C330" s="128">
        <f>IF($B330="","",SUMIFS(Grids!$BQ$12:$EC$111,Grids!$EE$12:$GQ$111,"&gt;="&amp;$B330*1000000000,Grids!$EE$12:$GQ$111,"&lt;"&amp;($B330+1)*1000000000))</f>
        <v/>
      </c>
      <c r="D330" s="128">
        <f>IF($B330="","",SUMIFS(Grids!$BQ$116:$EC$155,Grids!$EE$116:$GQ$155,"&gt;="&amp;$B330*1000000000,Grids!$EE$116:$GQ$155,"&lt;"&amp;($B330+1)*1000000000))</f>
        <v/>
      </c>
      <c r="E330" s="128">
        <f>IF($B330="","",SUMIFS(Grids!$BQ$160:$EC$219,Grids!$EE$160:$GQ$219,"&gt;="&amp;$B330*1000000000,Grids!$EE$160:$GQ$219,"&lt;"&amp;($B330+1)*1000000000))</f>
        <v/>
      </c>
      <c r="F330" s="129">
        <f>IF($B330="","",SUM($C$26:$C330))</f>
        <v/>
      </c>
      <c r="G330" s="129">
        <f>IF($B330="","",SUM($D$26:$D330))</f>
        <v/>
      </c>
      <c r="H330" s="129">
        <f>IF($B330="","",SUM($E$26:$E330))</f>
        <v/>
      </c>
    </row>
    <row r="331">
      <c r="B331" s="127">
        <f>IF(WIN_FROM+305&gt;WIN_TO,"",WIN_FROM+305)</f>
        <v/>
      </c>
      <c r="C331" s="128">
        <f>IF($B331="","",SUMIFS(Grids!$BQ$12:$EC$111,Grids!$EE$12:$GQ$111,"&gt;="&amp;$B331*1000000000,Grids!$EE$12:$GQ$111,"&lt;"&amp;($B331+1)*1000000000))</f>
        <v/>
      </c>
      <c r="D331" s="128">
        <f>IF($B331="","",SUMIFS(Grids!$BQ$116:$EC$155,Grids!$EE$116:$GQ$155,"&gt;="&amp;$B331*1000000000,Grids!$EE$116:$GQ$155,"&lt;"&amp;($B331+1)*1000000000))</f>
        <v/>
      </c>
      <c r="E331" s="128">
        <f>IF($B331="","",SUMIFS(Grids!$BQ$160:$EC$219,Grids!$EE$160:$GQ$219,"&gt;="&amp;$B331*1000000000,Grids!$EE$160:$GQ$219,"&lt;"&amp;($B331+1)*1000000000))</f>
        <v/>
      </c>
      <c r="F331" s="129">
        <f>IF($B331="","",SUM($C$26:$C331))</f>
        <v/>
      </c>
      <c r="G331" s="129">
        <f>IF($B331="","",SUM($D$26:$D331))</f>
        <v/>
      </c>
      <c r="H331" s="129">
        <f>IF($B331="","",SUM($E$26:$E331))</f>
        <v/>
      </c>
    </row>
    <row r="332">
      <c r="B332" s="127">
        <f>IF(WIN_FROM+306&gt;WIN_TO,"",WIN_FROM+306)</f>
        <v/>
      </c>
      <c r="C332" s="128">
        <f>IF($B332="","",SUMIFS(Grids!$BQ$12:$EC$111,Grids!$EE$12:$GQ$111,"&gt;="&amp;$B332*1000000000,Grids!$EE$12:$GQ$111,"&lt;"&amp;($B332+1)*1000000000))</f>
        <v/>
      </c>
      <c r="D332" s="128">
        <f>IF($B332="","",SUMIFS(Grids!$BQ$116:$EC$155,Grids!$EE$116:$GQ$155,"&gt;="&amp;$B332*1000000000,Grids!$EE$116:$GQ$155,"&lt;"&amp;($B332+1)*1000000000))</f>
        <v/>
      </c>
      <c r="E332" s="128">
        <f>IF($B332="","",SUMIFS(Grids!$BQ$160:$EC$219,Grids!$EE$160:$GQ$219,"&gt;="&amp;$B332*1000000000,Grids!$EE$160:$GQ$219,"&lt;"&amp;($B332+1)*1000000000))</f>
        <v/>
      </c>
      <c r="F332" s="129">
        <f>IF($B332="","",SUM($C$26:$C332))</f>
        <v/>
      </c>
      <c r="G332" s="129">
        <f>IF($B332="","",SUM($D$26:$D332))</f>
        <v/>
      </c>
      <c r="H332" s="129">
        <f>IF($B332="","",SUM($E$26:$E332))</f>
        <v/>
      </c>
    </row>
    <row r="333">
      <c r="B333" s="127">
        <f>IF(WIN_FROM+307&gt;WIN_TO,"",WIN_FROM+307)</f>
        <v/>
      </c>
      <c r="C333" s="128">
        <f>IF($B333="","",SUMIFS(Grids!$BQ$12:$EC$111,Grids!$EE$12:$GQ$111,"&gt;="&amp;$B333*1000000000,Grids!$EE$12:$GQ$111,"&lt;"&amp;($B333+1)*1000000000))</f>
        <v/>
      </c>
      <c r="D333" s="128">
        <f>IF($B333="","",SUMIFS(Grids!$BQ$116:$EC$155,Grids!$EE$116:$GQ$155,"&gt;="&amp;$B333*1000000000,Grids!$EE$116:$GQ$155,"&lt;"&amp;($B333+1)*1000000000))</f>
        <v/>
      </c>
      <c r="E333" s="128">
        <f>IF($B333="","",SUMIFS(Grids!$BQ$160:$EC$219,Grids!$EE$160:$GQ$219,"&gt;="&amp;$B333*1000000000,Grids!$EE$160:$GQ$219,"&lt;"&amp;($B333+1)*1000000000))</f>
        <v/>
      </c>
      <c r="F333" s="129">
        <f>IF($B333="","",SUM($C$26:$C333))</f>
        <v/>
      </c>
      <c r="G333" s="129">
        <f>IF($B333="","",SUM($D$26:$D333))</f>
        <v/>
      </c>
      <c r="H333" s="129">
        <f>IF($B333="","",SUM($E$26:$E333))</f>
        <v/>
      </c>
    </row>
    <row r="334">
      <c r="B334" s="127">
        <f>IF(WIN_FROM+308&gt;WIN_TO,"",WIN_FROM+308)</f>
        <v/>
      </c>
      <c r="C334" s="128">
        <f>IF($B334="","",SUMIFS(Grids!$BQ$12:$EC$111,Grids!$EE$12:$GQ$111,"&gt;="&amp;$B334*1000000000,Grids!$EE$12:$GQ$111,"&lt;"&amp;($B334+1)*1000000000))</f>
        <v/>
      </c>
      <c r="D334" s="128">
        <f>IF($B334="","",SUMIFS(Grids!$BQ$116:$EC$155,Grids!$EE$116:$GQ$155,"&gt;="&amp;$B334*1000000000,Grids!$EE$116:$GQ$155,"&lt;"&amp;($B334+1)*1000000000))</f>
        <v/>
      </c>
      <c r="E334" s="128">
        <f>IF($B334="","",SUMIFS(Grids!$BQ$160:$EC$219,Grids!$EE$160:$GQ$219,"&gt;="&amp;$B334*1000000000,Grids!$EE$160:$GQ$219,"&lt;"&amp;($B334+1)*1000000000))</f>
        <v/>
      </c>
      <c r="F334" s="129">
        <f>IF($B334="","",SUM($C$26:$C334))</f>
        <v/>
      </c>
      <c r="G334" s="129">
        <f>IF($B334="","",SUM($D$26:$D334))</f>
        <v/>
      </c>
      <c r="H334" s="129">
        <f>IF($B334="","",SUM($E$26:$E334))</f>
        <v/>
      </c>
    </row>
    <row r="335">
      <c r="B335" s="127">
        <f>IF(WIN_FROM+309&gt;WIN_TO,"",WIN_FROM+309)</f>
        <v/>
      </c>
      <c r="C335" s="128">
        <f>IF($B335="","",SUMIFS(Grids!$BQ$12:$EC$111,Grids!$EE$12:$GQ$111,"&gt;="&amp;$B335*1000000000,Grids!$EE$12:$GQ$111,"&lt;"&amp;($B335+1)*1000000000))</f>
        <v/>
      </c>
      <c r="D335" s="128">
        <f>IF($B335="","",SUMIFS(Grids!$BQ$116:$EC$155,Grids!$EE$116:$GQ$155,"&gt;="&amp;$B335*1000000000,Grids!$EE$116:$GQ$155,"&lt;"&amp;($B335+1)*1000000000))</f>
        <v/>
      </c>
      <c r="E335" s="128">
        <f>IF($B335="","",SUMIFS(Grids!$BQ$160:$EC$219,Grids!$EE$160:$GQ$219,"&gt;="&amp;$B335*1000000000,Grids!$EE$160:$GQ$219,"&lt;"&amp;($B335+1)*1000000000))</f>
        <v/>
      </c>
      <c r="F335" s="129">
        <f>IF($B335="","",SUM($C$26:$C335))</f>
        <v/>
      </c>
      <c r="G335" s="129">
        <f>IF($B335="","",SUM($D$26:$D335))</f>
        <v/>
      </c>
      <c r="H335" s="129">
        <f>IF($B335="","",SUM($E$26:$E335))</f>
        <v/>
      </c>
    </row>
    <row r="336">
      <c r="B336" s="127">
        <f>IF(WIN_FROM+310&gt;WIN_TO,"",WIN_FROM+310)</f>
        <v/>
      </c>
      <c r="C336" s="128">
        <f>IF($B336="","",SUMIFS(Grids!$BQ$12:$EC$111,Grids!$EE$12:$GQ$111,"&gt;="&amp;$B336*1000000000,Grids!$EE$12:$GQ$111,"&lt;"&amp;($B336+1)*1000000000))</f>
        <v/>
      </c>
      <c r="D336" s="128">
        <f>IF($B336="","",SUMIFS(Grids!$BQ$116:$EC$155,Grids!$EE$116:$GQ$155,"&gt;="&amp;$B336*1000000000,Grids!$EE$116:$GQ$155,"&lt;"&amp;($B336+1)*1000000000))</f>
        <v/>
      </c>
      <c r="E336" s="128">
        <f>IF($B336="","",SUMIFS(Grids!$BQ$160:$EC$219,Grids!$EE$160:$GQ$219,"&gt;="&amp;$B336*1000000000,Grids!$EE$160:$GQ$219,"&lt;"&amp;($B336+1)*1000000000))</f>
        <v/>
      </c>
      <c r="F336" s="129">
        <f>IF($B336="","",SUM($C$26:$C336))</f>
        <v/>
      </c>
      <c r="G336" s="129">
        <f>IF($B336="","",SUM($D$26:$D336))</f>
        <v/>
      </c>
      <c r="H336" s="129">
        <f>IF($B336="","",SUM($E$26:$E336))</f>
        <v/>
      </c>
    </row>
    <row r="337">
      <c r="B337" s="127">
        <f>IF(WIN_FROM+311&gt;WIN_TO,"",WIN_FROM+311)</f>
        <v/>
      </c>
      <c r="C337" s="128">
        <f>IF($B337="","",SUMIFS(Grids!$BQ$12:$EC$111,Grids!$EE$12:$GQ$111,"&gt;="&amp;$B337*1000000000,Grids!$EE$12:$GQ$111,"&lt;"&amp;($B337+1)*1000000000))</f>
        <v/>
      </c>
      <c r="D337" s="128">
        <f>IF($B337="","",SUMIFS(Grids!$BQ$116:$EC$155,Grids!$EE$116:$GQ$155,"&gt;="&amp;$B337*1000000000,Grids!$EE$116:$GQ$155,"&lt;"&amp;($B337+1)*1000000000))</f>
        <v/>
      </c>
      <c r="E337" s="128">
        <f>IF($B337="","",SUMIFS(Grids!$BQ$160:$EC$219,Grids!$EE$160:$GQ$219,"&gt;="&amp;$B337*1000000000,Grids!$EE$160:$GQ$219,"&lt;"&amp;($B337+1)*1000000000))</f>
        <v/>
      </c>
      <c r="F337" s="129">
        <f>IF($B337="","",SUM($C$26:$C337))</f>
        <v/>
      </c>
      <c r="G337" s="129">
        <f>IF($B337="","",SUM($D$26:$D337))</f>
        <v/>
      </c>
      <c r="H337" s="129">
        <f>IF($B337="","",SUM($E$26:$E337))</f>
        <v/>
      </c>
    </row>
    <row r="338">
      <c r="B338" s="127">
        <f>IF(WIN_FROM+312&gt;WIN_TO,"",WIN_FROM+312)</f>
        <v/>
      </c>
      <c r="C338" s="128">
        <f>IF($B338="","",SUMIFS(Grids!$BQ$12:$EC$111,Grids!$EE$12:$GQ$111,"&gt;="&amp;$B338*1000000000,Grids!$EE$12:$GQ$111,"&lt;"&amp;($B338+1)*1000000000))</f>
        <v/>
      </c>
      <c r="D338" s="128">
        <f>IF($B338="","",SUMIFS(Grids!$BQ$116:$EC$155,Grids!$EE$116:$GQ$155,"&gt;="&amp;$B338*1000000000,Grids!$EE$116:$GQ$155,"&lt;"&amp;($B338+1)*1000000000))</f>
        <v/>
      </c>
      <c r="E338" s="128">
        <f>IF($B338="","",SUMIFS(Grids!$BQ$160:$EC$219,Grids!$EE$160:$GQ$219,"&gt;="&amp;$B338*1000000000,Grids!$EE$160:$GQ$219,"&lt;"&amp;($B338+1)*1000000000))</f>
        <v/>
      </c>
      <c r="F338" s="129">
        <f>IF($B338="","",SUM($C$26:$C338))</f>
        <v/>
      </c>
      <c r="G338" s="129">
        <f>IF($B338="","",SUM($D$26:$D338))</f>
        <v/>
      </c>
      <c r="H338" s="129">
        <f>IF($B338="","",SUM($E$26:$E338))</f>
        <v/>
      </c>
    </row>
    <row r="339">
      <c r="B339" s="127">
        <f>IF(WIN_FROM+313&gt;WIN_TO,"",WIN_FROM+313)</f>
        <v/>
      </c>
      <c r="C339" s="128">
        <f>IF($B339="","",SUMIFS(Grids!$BQ$12:$EC$111,Grids!$EE$12:$GQ$111,"&gt;="&amp;$B339*1000000000,Grids!$EE$12:$GQ$111,"&lt;"&amp;($B339+1)*1000000000))</f>
        <v/>
      </c>
      <c r="D339" s="128">
        <f>IF($B339="","",SUMIFS(Grids!$BQ$116:$EC$155,Grids!$EE$116:$GQ$155,"&gt;="&amp;$B339*1000000000,Grids!$EE$116:$GQ$155,"&lt;"&amp;($B339+1)*1000000000))</f>
        <v/>
      </c>
      <c r="E339" s="128">
        <f>IF($B339="","",SUMIFS(Grids!$BQ$160:$EC$219,Grids!$EE$160:$GQ$219,"&gt;="&amp;$B339*1000000000,Grids!$EE$160:$GQ$219,"&lt;"&amp;($B339+1)*1000000000))</f>
        <v/>
      </c>
      <c r="F339" s="129">
        <f>IF($B339="","",SUM($C$26:$C339))</f>
        <v/>
      </c>
      <c r="G339" s="129">
        <f>IF($B339="","",SUM($D$26:$D339))</f>
        <v/>
      </c>
      <c r="H339" s="129">
        <f>IF($B339="","",SUM($E$26:$E339))</f>
        <v/>
      </c>
    </row>
    <row r="340">
      <c r="B340" s="127">
        <f>IF(WIN_FROM+314&gt;WIN_TO,"",WIN_FROM+314)</f>
        <v/>
      </c>
      <c r="C340" s="128">
        <f>IF($B340="","",SUMIFS(Grids!$BQ$12:$EC$111,Grids!$EE$12:$GQ$111,"&gt;="&amp;$B340*1000000000,Grids!$EE$12:$GQ$111,"&lt;"&amp;($B340+1)*1000000000))</f>
        <v/>
      </c>
      <c r="D340" s="128">
        <f>IF($B340="","",SUMIFS(Grids!$BQ$116:$EC$155,Grids!$EE$116:$GQ$155,"&gt;="&amp;$B340*1000000000,Grids!$EE$116:$GQ$155,"&lt;"&amp;($B340+1)*1000000000))</f>
        <v/>
      </c>
      <c r="E340" s="128">
        <f>IF($B340="","",SUMIFS(Grids!$BQ$160:$EC$219,Grids!$EE$160:$GQ$219,"&gt;="&amp;$B340*1000000000,Grids!$EE$160:$GQ$219,"&lt;"&amp;($B340+1)*1000000000))</f>
        <v/>
      </c>
      <c r="F340" s="129">
        <f>IF($B340="","",SUM($C$26:$C340))</f>
        <v/>
      </c>
      <c r="G340" s="129">
        <f>IF($B340="","",SUM($D$26:$D340))</f>
        <v/>
      </c>
      <c r="H340" s="129">
        <f>IF($B340="","",SUM($E$26:$E340))</f>
        <v/>
      </c>
    </row>
    <row r="341">
      <c r="B341" s="127">
        <f>IF(WIN_FROM+315&gt;WIN_TO,"",WIN_FROM+315)</f>
        <v/>
      </c>
      <c r="C341" s="128">
        <f>IF($B341="","",SUMIFS(Grids!$BQ$12:$EC$111,Grids!$EE$12:$GQ$111,"&gt;="&amp;$B341*1000000000,Grids!$EE$12:$GQ$111,"&lt;"&amp;($B341+1)*1000000000))</f>
        <v/>
      </c>
      <c r="D341" s="128">
        <f>IF($B341="","",SUMIFS(Grids!$BQ$116:$EC$155,Grids!$EE$116:$GQ$155,"&gt;="&amp;$B341*1000000000,Grids!$EE$116:$GQ$155,"&lt;"&amp;($B341+1)*1000000000))</f>
        <v/>
      </c>
      <c r="E341" s="128">
        <f>IF($B341="","",SUMIFS(Grids!$BQ$160:$EC$219,Grids!$EE$160:$GQ$219,"&gt;="&amp;$B341*1000000000,Grids!$EE$160:$GQ$219,"&lt;"&amp;($B341+1)*1000000000))</f>
        <v/>
      </c>
      <c r="F341" s="129">
        <f>IF($B341="","",SUM($C$26:$C341))</f>
        <v/>
      </c>
      <c r="G341" s="129">
        <f>IF($B341="","",SUM($D$26:$D341))</f>
        <v/>
      </c>
      <c r="H341" s="129">
        <f>IF($B341="","",SUM($E$26:$E341))</f>
        <v/>
      </c>
    </row>
    <row r="342">
      <c r="B342" s="127">
        <f>IF(WIN_FROM+316&gt;WIN_TO,"",WIN_FROM+316)</f>
        <v/>
      </c>
      <c r="C342" s="128">
        <f>IF($B342="","",SUMIFS(Grids!$BQ$12:$EC$111,Grids!$EE$12:$GQ$111,"&gt;="&amp;$B342*1000000000,Grids!$EE$12:$GQ$111,"&lt;"&amp;($B342+1)*1000000000))</f>
        <v/>
      </c>
      <c r="D342" s="128">
        <f>IF($B342="","",SUMIFS(Grids!$BQ$116:$EC$155,Grids!$EE$116:$GQ$155,"&gt;="&amp;$B342*1000000000,Grids!$EE$116:$GQ$155,"&lt;"&amp;($B342+1)*1000000000))</f>
        <v/>
      </c>
      <c r="E342" s="128">
        <f>IF($B342="","",SUMIFS(Grids!$BQ$160:$EC$219,Grids!$EE$160:$GQ$219,"&gt;="&amp;$B342*1000000000,Grids!$EE$160:$GQ$219,"&lt;"&amp;($B342+1)*1000000000))</f>
        <v/>
      </c>
      <c r="F342" s="129">
        <f>IF($B342="","",SUM($C$26:$C342))</f>
        <v/>
      </c>
      <c r="G342" s="129">
        <f>IF($B342="","",SUM($D$26:$D342))</f>
        <v/>
      </c>
      <c r="H342" s="129">
        <f>IF($B342="","",SUM($E$26:$E342))</f>
        <v/>
      </c>
    </row>
    <row r="343">
      <c r="B343" s="127">
        <f>IF(WIN_FROM+317&gt;WIN_TO,"",WIN_FROM+317)</f>
        <v/>
      </c>
      <c r="C343" s="128">
        <f>IF($B343="","",SUMIFS(Grids!$BQ$12:$EC$111,Grids!$EE$12:$GQ$111,"&gt;="&amp;$B343*1000000000,Grids!$EE$12:$GQ$111,"&lt;"&amp;($B343+1)*1000000000))</f>
        <v/>
      </c>
      <c r="D343" s="128">
        <f>IF($B343="","",SUMIFS(Grids!$BQ$116:$EC$155,Grids!$EE$116:$GQ$155,"&gt;="&amp;$B343*1000000000,Grids!$EE$116:$GQ$155,"&lt;"&amp;($B343+1)*1000000000))</f>
        <v/>
      </c>
      <c r="E343" s="128">
        <f>IF($B343="","",SUMIFS(Grids!$BQ$160:$EC$219,Grids!$EE$160:$GQ$219,"&gt;="&amp;$B343*1000000000,Grids!$EE$160:$GQ$219,"&lt;"&amp;($B343+1)*1000000000))</f>
        <v/>
      </c>
      <c r="F343" s="129">
        <f>IF($B343="","",SUM($C$26:$C343))</f>
        <v/>
      </c>
      <c r="G343" s="129">
        <f>IF($B343="","",SUM($D$26:$D343))</f>
        <v/>
      </c>
      <c r="H343" s="129">
        <f>IF($B343="","",SUM($E$26:$E343))</f>
        <v/>
      </c>
    </row>
    <row r="344">
      <c r="B344" s="127">
        <f>IF(WIN_FROM+318&gt;WIN_TO,"",WIN_FROM+318)</f>
        <v/>
      </c>
      <c r="C344" s="128">
        <f>IF($B344="","",SUMIFS(Grids!$BQ$12:$EC$111,Grids!$EE$12:$GQ$111,"&gt;="&amp;$B344*1000000000,Grids!$EE$12:$GQ$111,"&lt;"&amp;($B344+1)*1000000000))</f>
        <v/>
      </c>
      <c r="D344" s="128">
        <f>IF($B344="","",SUMIFS(Grids!$BQ$116:$EC$155,Grids!$EE$116:$GQ$155,"&gt;="&amp;$B344*1000000000,Grids!$EE$116:$GQ$155,"&lt;"&amp;($B344+1)*1000000000))</f>
        <v/>
      </c>
      <c r="E344" s="128">
        <f>IF($B344="","",SUMIFS(Grids!$BQ$160:$EC$219,Grids!$EE$160:$GQ$219,"&gt;="&amp;$B344*1000000000,Grids!$EE$160:$GQ$219,"&lt;"&amp;($B344+1)*1000000000))</f>
        <v/>
      </c>
      <c r="F344" s="129">
        <f>IF($B344="","",SUM($C$26:$C344))</f>
        <v/>
      </c>
      <c r="G344" s="129">
        <f>IF($B344="","",SUM($D$26:$D344))</f>
        <v/>
      </c>
      <c r="H344" s="129">
        <f>IF($B344="","",SUM($E$26:$E344))</f>
        <v/>
      </c>
    </row>
    <row r="345">
      <c r="B345" s="127">
        <f>IF(WIN_FROM+319&gt;WIN_TO,"",WIN_FROM+319)</f>
        <v/>
      </c>
      <c r="C345" s="128">
        <f>IF($B345="","",SUMIFS(Grids!$BQ$12:$EC$111,Grids!$EE$12:$GQ$111,"&gt;="&amp;$B345*1000000000,Grids!$EE$12:$GQ$111,"&lt;"&amp;($B345+1)*1000000000))</f>
        <v/>
      </c>
      <c r="D345" s="128">
        <f>IF($B345="","",SUMIFS(Grids!$BQ$116:$EC$155,Grids!$EE$116:$GQ$155,"&gt;="&amp;$B345*1000000000,Grids!$EE$116:$GQ$155,"&lt;"&amp;($B345+1)*1000000000))</f>
        <v/>
      </c>
      <c r="E345" s="128">
        <f>IF($B345="","",SUMIFS(Grids!$BQ$160:$EC$219,Grids!$EE$160:$GQ$219,"&gt;="&amp;$B345*1000000000,Grids!$EE$160:$GQ$219,"&lt;"&amp;($B345+1)*1000000000))</f>
        <v/>
      </c>
      <c r="F345" s="129">
        <f>IF($B345="","",SUM($C$26:$C345))</f>
        <v/>
      </c>
      <c r="G345" s="129">
        <f>IF($B345="","",SUM($D$26:$D345))</f>
        <v/>
      </c>
      <c r="H345" s="129">
        <f>IF($B345="","",SUM($E$26:$E345))</f>
        <v/>
      </c>
    </row>
    <row r="346">
      <c r="B346" s="127">
        <f>IF(WIN_FROM+320&gt;WIN_TO,"",WIN_FROM+320)</f>
        <v/>
      </c>
      <c r="C346" s="128">
        <f>IF($B346="","",SUMIFS(Grids!$BQ$12:$EC$111,Grids!$EE$12:$GQ$111,"&gt;="&amp;$B346*1000000000,Grids!$EE$12:$GQ$111,"&lt;"&amp;($B346+1)*1000000000))</f>
        <v/>
      </c>
      <c r="D346" s="128">
        <f>IF($B346="","",SUMIFS(Grids!$BQ$116:$EC$155,Grids!$EE$116:$GQ$155,"&gt;="&amp;$B346*1000000000,Grids!$EE$116:$GQ$155,"&lt;"&amp;($B346+1)*1000000000))</f>
        <v/>
      </c>
      <c r="E346" s="128">
        <f>IF($B346="","",SUMIFS(Grids!$BQ$160:$EC$219,Grids!$EE$160:$GQ$219,"&gt;="&amp;$B346*1000000000,Grids!$EE$160:$GQ$219,"&lt;"&amp;($B346+1)*1000000000))</f>
        <v/>
      </c>
      <c r="F346" s="129">
        <f>IF($B346="","",SUM($C$26:$C346))</f>
        <v/>
      </c>
      <c r="G346" s="129">
        <f>IF($B346="","",SUM($D$26:$D346))</f>
        <v/>
      </c>
      <c r="H346" s="129">
        <f>IF($B346="","",SUM($E$26:$E346))</f>
        <v/>
      </c>
    </row>
    <row r="347">
      <c r="B347" s="127">
        <f>IF(WIN_FROM+321&gt;WIN_TO,"",WIN_FROM+321)</f>
        <v/>
      </c>
      <c r="C347" s="128">
        <f>IF($B347="","",SUMIFS(Grids!$BQ$12:$EC$111,Grids!$EE$12:$GQ$111,"&gt;="&amp;$B347*1000000000,Grids!$EE$12:$GQ$111,"&lt;"&amp;($B347+1)*1000000000))</f>
        <v/>
      </c>
      <c r="D347" s="128">
        <f>IF($B347="","",SUMIFS(Grids!$BQ$116:$EC$155,Grids!$EE$116:$GQ$155,"&gt;="&amp;$B347*1000000000,Grids!$EE$116:$GQ$155,"&lt;"&amp;($B347+1)*1000000000))</f>
        <v/>
      </c>
      <c r="E347" s="128">
        <f>IF($B347="","",SUMIFS(Grids!$BQ$160:$EC$219,Grids!$EE$160:$GQ$219,"&gt;="&amp;$B347*1000000000,Grids!$EE$160:$GQ$219,"&lt;"&amp;($B347+1)*1000000000))</f>
        <v/>
      </c>
      <c r="F347" s="129">
        <f>IF($B347="","",SUM($C$26:$C347))</f>
        <v/>
      </c>
      <c r="G347" s="129">
        <f>IF($B347="","",SUM($D$26:$D347))</f>
        <v/>
      </c>
      <c r="H347" s="129">
        <f>IF($B347="","",SUM($E$26:$E347))</f>
        <v/>
      </c>
    </row>
    <row r="348">
      <c r="B348" s="127">
        <f>IF(WIN_FROM+322&gt;WIN_TO,"",WIN_FROM+322)</f>
        <v/>
      </c>
      <c r="C348" s="128">
        <f>IF($B348="","",SUMIFS(Grids!$BQ$12:$EC$111,Grids!$EE$12:$GQ$111,"&gt;="&amp;$B348*1000000000,Grids!$EE$12:$GQ$111,"&lt;"&amp;($B348+1)*1000000000))</f>
        <v/>
      </c>
      <c r="D348" s="128">
        <f>IF($B348="","",SUMIFS(Grids!$BQ$116:$EC$155,Grids!$EE$116:$GQ$155,"&gt;="&amp;$B348*1000000000,Grids!$EE$116:$GQ$155,"&lt;"&amp;($B348+1)*1000000000))</f>
        <v/>
      </c>
      <c r="E348" s="128">
        <f>IF($B348="","",SUMIFS(Grids!$BQ$160:$EC$219,Grids!$EE$160:$GQ$219,"&gt;="&amp;$B348*1000000000,Grids!$EE$160:$GQ$219,"&lt;"&amp;($B348+1)*1000000000))</f>
        <v/>
      </c>
      <c r="F348" s="129">
        <f>IF($B348="","",SUM($C$26:$C348))</f>
        <v/>
      </c>
      <c r="G348" s="129">
        <f>IF($B348="","",SUM($D$26:$D348))</f>
        <v/>
      </c>
      <c r="H348" s="129">
        <f>IF($B348="","",SUM($E$26:$E348))</f>
        <v/>
      </c>
    </row>
    <row r="349">
      <c r="B349" s="127">
        <f>IF(WIN_FROM+323&gt;WIN_TO,"",WIN_FROM+323)</f>
        <v/>
      </c>
      <c r="C349" s="128">
        <f>IF($B349="","",SUMIFS(Grids!$BQ$12:$EC$111,Grids!$EE$12:$GQ$111,"&gt;="&amp;$B349*1000000000,Grids!$EE$12:$GQ$111,"&lt;"&amp;($B349+1)*1000000000))</f>
        <v/>
      </c>
      <c r="D349" s="128">
        <f>IF($B349="","",SUMIFS(Grids!$BQ$116:$EC$155,Grids!$EE$116:$GQ$155,"&gt;="&amp;$B349*1000000000,Grids!$EE$116:$GQ$155,"&lt;"&amp;($B349+1)*1000000000))</f>
        <v/>
      </c>
      <c r="E349" s="128">
        <f>IF($B349="","",SUMIFS(Grids!$BQ$160:$EC$219,Grids!$EE$160:$GQ$219,"&gt;="&amp;$B349*1000000000,Grids!$EE$160:$GQ$219,"&lt;"&amp;($B349+1)*1000000000))</f>
        <v/>
      </c>
      <c r="F349" s="129">
        <f>IF($B349="","",SUM($C$26:$C349))</f>
        <v/>
      </c>
      <c r="G349" s="129">
        <f>IF($B349="","",SUM($D$26:$D349))</f>
        <v/>
      </c>
      <c r="H349" s="129">
        <f>IF($B349="","",SUM($E$26:$E349))</f>
        <v/>
      </c>
    </row>
    <row r="350">
      <c r="B350" s="127">
        <f>IF(WIN_FROM+324&gt;WIN_TO,"",WIN_FROM+324)</f>
        <v/>
      </c>
      <c r="C350" s="128">
        <f>IF($B350="","",SUMIFS(Grids!$BQ$12:$EC$111,Grids!$EE$12:$GQ$111,"&gt;="&amp;$B350*1000000000,Grids!$EE$12:$GQ$111,"&lt;"&amp;($B350+1)*1000000000))</f>
        <v/>
      </c>
      <c r="D350" s="128">
        <f>IF($B350="","",SUMIFS(Grids!$BQ$116:$EC$155,Grids!$EE$116:$GQ$155,"&gt;="&amp;$B350*1000000000,Grids!$EE$116:$GQ$155,"&lt;"&amp;($B350+1)*1000000000))</f>
        <v/>
      </c>
      <c r="E350" s="128">
        <f>IF($B350="","",SUMIFS(Grids!$BQ$160:$EC$219,Grids!$EE$160:$GQ$219,"&gt;="&amp;$B350*1000000000,Grids!$EE$160:$GQ$219,"&lt;"&amp;($B350+1)*1000000000))</f>
        <v/>
      </c>
      <c r="F350" s="129">
        <f>IF($B350="","",SUM($C$26:$C350))</f>
        <v/>
      </c>
      <c r="G350" s="129">
        <f>IF($B350="","",SUM($D$26:$D350))</f>
        <v/>
      </c>
      <c r="H350" s="129">
        <f>IF($B350="","",SUM($E$26:$E350))</f>
        <v/>
      </c>
    </row>
    <row r="351">
      <c r="B351" s="127">
        <f>IF(WIN_FROM+325&gt;WIN_TO,"",WIN_FROM+325)</f>
        <v/>
      </c>
      <c r="C351" s="128">
        <f>IF($B351="","",SUMIFS(Grids!$BQ$12:$EC$111,Grids!$EE$12:$GQ$111,"&gt;="&amp;$B351*1000000000,Grids!$EE$12:$GQ$111,"&lt;"&amp;($B351+1)*1000000000))</f>
        <v/>
      </c>
      <c r="D351" s="128">
        <f>IF($B351="","",SUMIFS(Grids!$BQ$116:$EC$155,Grids!$EE$116:$GQ$155,"&gt;="&amp;$B351*1000000000,Grids!$EE$116:$GQ$155,"&lt;"&amp;($B351+1)*1000000000))</f>
        <v/>
      </c>
      <c r="E351" s="128">
        <f>IF($B351="","",SUMIFS(Grids!$BQ$160:$EC$219,Grids!$EE$160:$GQ$219,"&gt;="&amp;$B351*1000000000,Grids!$EE$160:$GQ$219,"&lt;"&amp;($B351+1)*1000000000))</f>
        <v/>
      </c>
      <c r="F351" s="129">
        <f>IF($B351="","",SUM($C$26:$C351))</f>
        <v/>
      </c>
      <c r="G351" s="129">
        <f>IF($B351="","",SUM($D$26:$D351))</f>
        <v/>
      </c>
      <c r="H351" s="129">
        <f>IF($B351="","",SUM($E$26:$E351))</f>
        <v/>
      </c>
    </row>
    <row r="352">
      <c r="B352" s="127">
        <f>IF(WIN_FROM+326&gt;WIN_TO,"",WIN_FROM+326)</f>
        <v/>
      </c>
      <c r="C352" s="128">
        <f>IF($B352="","",SUMIFS(Grids!$BQ$12:$EC$111,Grids!$EE$12:$GQ$111,"&gt;="&amp;$B352*1000000000,Grids!$EE$12:$GQ$111,"&lt;"&amp;($B352+1)*1000000000))</f>
        <v/>
      </c>
      <c r="D352" s="128">
        <f>IF($B352="","",SUMIFS(Grids!$BQ$116:$EC$155,Grids!$EE$116:$GQ$155,"&gt;="&amp;$B352*1000000000,Grids!$EE$116:$GQ$155,"&lt;"&amp;($B352+1)*1000000000))</f>
        <v/>
      </c>
      <c r="E352" s="128">
        <f>IF($B352="","",SUMIFS(Grids!$BQ$160:$EC$219,Grids!$EE$160:$GQ$219,"&gt;="&amp;$B352*1000000000,Grids!$EE$160:$GQ$219,"&lt;"&amp;($B352+1)*1000000000))</f>
        <v/>
      </c>
      <c r="F352" s="129">
        <f>IF($B352="","",SUM($C$26:$C352))</f>
        <v/>
      </c>
      <c r="G352" s="129">
        <f>IF($B352="","",SUM($D$26:$D352))</f>
        <v/>
      </c>
      <c r="H352" s="129">
        <f>IF($B352="","",SUM($E$26:$E352))</f>
        <v/>
      </c>
    </row>
    <row r="353">
      <c r="B353" s="127">
        <f>IF(WIN_FROM+327&gt;WIN_TO,"",WIN_FROM+327)</f>
        <v/>
      </c>
      <c r="C353" s="128">
        <f>IF($B353="","",SUMIFS(Grids!$BQ$12:$EC$111,Grids!$EE$12:$GQ$111,"&gt;="&amp;$B353*1000000000,Grids!$EE$12:$GQ$111,"&lt;"&amp;($B353+1)*1000000000))</f>
        <v/>
      </c>
      <c r="D353" s="128">
        <f>IF($B353="","",SUMIFS(Grids!$BQ$116:$EC$155,Grids!$EE$116:$GQ$155,"&gt;="&amp;$B353*1000000000,Grids!$EE$116:$GQ$155,"&lt;"&amp;($B353+1)*1000000000))</f>
        <v/>
      </c>
      <c r="E353" s="128">
        <f>IF($B353="","",SUMIFS(Grids!$BQ$160:$EC$219,Grids!$EE$160:$GQ$219,"&gt;="&amp;$B353*1000000000,Grids!$EE$160:$GQ$219,"&lt;"&amp;($B353+1)*1000000000))</f>
        <v/>
      </c>
      <c r="F353" s="129">
        <f>IF($B353="","",SUM($C$26:$C353))</f>
        <v/>
      </c>
      <c r="G353" s="129">
        <f>IF($B353="","",SUM($D$26:$D353))</f>
        <v/>
      </c>
      <c r="H353" s="129">
        <f>IF($B353="","",SUM($E$26:$E353))</f>
        <v/>
      </c>
    </row>
    <row r="354">
      <c r="B354" s="127">
        <f>IF(WIN_FROM+328&gt;WIN_TO,"",WIN_FROM+328)</f>
        <v/>
      </c>
      <c r="C354" s="128">
        <f>IF($B354="","",SUMIFS(Grids!$BQ$12:$EC$111,Grids!$EE$12:$GQ$111,"&gt;="&amp;$B354*1000000000,Grids!$EE$12:$GQ$111,"&lt;"&amp;($B354+1)*1000000000))</f>
        <v/>
      </c>
      <c r="D354" s="128">
        <f>IF($B354="","",SUMIFS(Grids!$BQ$116:$EC$155,Grids!$EE$116:$GQ$155,"&gt;="&amp;$B354*1000000000,Grids!$EE$116:$GQ$155,"&lt;"&amp;($B354+1)*1000000000))</f>
        <v/>
      </c>
      <c r="E354" s="128">
        <f>IF($B354="","",SUMIFS(Grids!$BQ$160:$EC$219,Grids!$EE$160:$GQ$219,"&gt;="&amp;$B354*1000000000,Grids!$EE$160:$GQ$219,"&lt;"&amp;($B354+1)*1000000000))</f>
        <v/>
      </c>
      <c r="F354" s="129">
        <f>IF($B354="","",SUM($C$26:$C354))</f>
        <v/>
      </c>
      <c r="G354" s="129">
        <f>IF($B354="","",SUM($D$26:$D354))</f>
        <v/>
      </c>
      <c r="H354" s="129">
        <f>IF($B354="","",SUM($E$26:$E354))</f>
        <v/>
      </c>
    </row>
    <row r="355">
      <c r="B355" s="127">
        <f>IF(WIN_FROM+329&gt;WIN_TO,"",WIN_FROM+329)</f>
        <v/>
      </c>
      <c r="C355" s="128">
        <f>IF($B355="","",SUMIFS(Grids!$BQ$12:$EC$111,Grids!$EE$12:$GQ$111,"&gt;="&amp;$B355*1000000000,Grids!$EE$12:$GQ$111,"&lt;"&amp;($B355+1)*1000000000))</f>
        <v/>
      </c>
      <c r="D355" s="128">
        <f>IF($B355="","",SUMIFS(Grids!$BQ$116:$EC$155,Grids!$EE$116:$GQ$155,"&gt;="&amp;$B355*1000000000,Grids!$EE$116:$GQ$155,"&lt;"&amp;($B355+1)*1000000000))</f>
        <v/>
      </c>
      <c r="E355" s="128">
        <f>IF($B355="","",SUMIFS(Grids!$BQ$160:$EC$219,Grids!$EE$160:$GQ$219,"&gt;="&amp;$B355*1000000000,Grids!$EE$160:$GQ$219,"&lt;"&amp;($B355+1)*1000000000))</f>
        <v/>
      </c>
      <c r="F355" s="129">
        <f>IF($B355="","",SUM($C$26:$C355))</f>
        <v/>
      </c>
      <c r="G355" s="129">
        <f>IF($B355="","",SUM($D$26:$D355))</f>
        <v/>
      </c>
      <c r="H355" s="129">
        <f>IF($B355="","",SUM($E$26:$E355))</f>
        <v/>
      </c>
    </row>
    <row r="356">
      <c r="B356" s="127">
        <f>IF(WIN_FROM+330&gt;WIN_TO,"",WIN_FROM+330)</f>
        <v/>
      </c>
      <c r="C356" s="128">
        <f>IF($B356="","",SUMIFS(Grids!$BQ$12:$EC$111,Grids!$EE$12:$GQ$111,"&gt;="&amp;$B356*1000000000,Grids!$EE$12:$GQ$111,"&lt;"&amp;($B356+1)*1000000000))</f>
        <v/>
      </c>
      <c r="D356" s="128">
        <f>IF($B356="","",SUMIFS(Grids!$BQ$116:$EC$155,Grids!$EE$116:$GQ$155,"&gt;="&amp;$B356*1000000000,Grids!$EE$116:$GQ$155,"&lt;"&amp;($B356+1)*1000000000))</f>
        <v/>
      </c>
      <c r="E356" s="128">
        <f>IF($B356="","",SUMIFS(Grids!$BQ$160:$EC$219,Grids!$EE$160:$GQ$219,"&gt;="&amp;$B356*1000000000,Grids!$EE$160:$GQ$219,"&lt;"&amp;($B356+1)*1000000000))</f>
        <v/>
      </c>
      <c r="F356" s="129">
        <f>IF($B356="","",SUM($C$26:$C356))</f>
        <v/>
      </c>
      <c r="G356" s="129">
        <f>IF($B356="","",SUM($D$26:$D356))</f>
        <v/>
      </c>
      <c r="H356" s="129">
        <f>IF($B356="","",SUM($E$26:$E356))</f>
        <v/>
      </c>
    </row>
    <row r="357">
      <c r="B357" s="127">
        <f>IF(WIN_FROM+331&gt;WIN_TO,"",WIN_FROM+331)</f>
        <v/>
      </c>
      <c r="C357" s="128">
        <f>IF($B357="","",SUMIFS(Grids!$BQ$12:$EC$111,Grids!$EE$12:$GQ$111,"&gt;="&amp;$B357*1000000000,Grids!$EE$12:$GQ$111,"&lt;"&amp;($B357+1)*1000000000))</f>
        <v/>
      </c>
      <c r="D357" s="128">
        <f>IF($B357="","",SUMIFS(Grids!$BQ$116:$EC$155,Grids!$EE$116:$GQ$155,"&gt;="&amp;$B357*1000000000,Grids!$EE$116:$GQ$155,"&lt;"&amp;($B357+1)*1000000000))</f>
        <v/>
      </c>
      <c r="E357" s="128">
        <f>IF($B357="","",SUMIFS(Grids!$BQ$160:$EC$219,Grids!$EE$160:$GQ$219,"&gt;="&amp;$B357*1000000000,Grids!$EE$160:$GQ$219,"&lt;"&amp;($B357+1)*1000000000))</f>
        <v/>
      </c>
      <c r="F357" s="129">
        <f>IF($B357="","",SUM($C$26:$C357))</f>
        <v/>
      </c>
      <c r="G357" s="129">
        <f>IF($B357="","",SUM($D$26:$D357))</f>
        <v/>
      </c>
      <c r="H357" s="129">
        <f>IF($B357="","",SUM($E$26:$E357))</f>
        <v/>
      </c>
    </row>
    <row r="358">
      <c r="B358" s="127">
        <f>IF(WIN_FROM+332&gt;WIN_TO,"",WIN_FROM+332)</f>
        <v/>
      </c>
      <c r="C358" s="128">
        <f>IF($B358="","",SUMIFS(Grids!$BQ$12:$EC$111,Grids!$EE$12:$GQ$111,"&gt;="&amp;$B358*1000000000,Grids!$EE$12:$GQ$111,"&lt;"&amp;($B358+1)*1000000000))</f>
        <v/>
      </c>
      <c r="D358" s="128">
        <f>IF($B358="","",SUMIFS(Grids!$BQ$116:$EC$155,Grids!$EE$116:$GQ$155,"&gt;="&amp;$B358*1000000000,Grids!$EE$116:$GQ$155,"&lt;"&amp;($B358+1)*1000000000))</f>
        <v/>
      </c>
      <c r="E358" s="128">
        <f>IF($B358="","",SUMIFS(Grids!$BQ$160:$EC$219,Grids!$EE$160:$GQ$219,"&gt;="&amp;$B358*1000000000,Grids!$EE$160:$GQ$219,"&lt;"&amp;($B358+1)*1000000000))</f>
        <v/>
      </c>
      <c r="F358" s="129">
        <f>IF($B358="","",SUM($C$26:$C358))</f>
        <v/>
      </c>
      <c r="G358" s="129">
        <f>IF($B358="","",SUM($D$26:$D358))</f>
        <v/>
      </c>
      <c r="H358" s="129">
        <f>IF($B358="","",SUM($E$26:$E358))</f>
        <v/>
      </c>
    </row>
    <row r="359">
      <c r="B359" s="127">
        <f>IF(WIN_FROM+333&gt;WIN_TO,"",WIN_FROM+333)</f>
        <v/>
      </c>
      <c r="C359" s="128">
        <f>IF($B359="","",SUMIFS(Grids!$BQ$12:$EC$111,Grids!$EE$12:$GQ$111,"&gt;="&amp;$B359*1000000000,Grids!$EE$12:$GQ$111,"&lt;"&amp;($B359+1)*1000000000))</f>
        <v/>
      </c>
      <c r="D359" s="128">
        <f>IF($B359="","",SUMIFS(Grids!$BQ$116:$EC$155,Grids!$EE$116:$GQ$155,"&gt;="&amp;$B359*1000000000,Grids!$EE$116:$GQ$155,"&lt;"&amp;($B359+1)*1000000000))</f>
        <v/>
      </c>
      <c r="E359" s="128">
        <f>IF($B359="","",SUMIFS(Grids!$BQ$160:$EC$219,Grids!$EE$160:$GQ$219,"&gt;="&amp;$B359*1000000000,Grids!$EE$160:$GQ$219,"&lt;"&amp;($B359+1)*1000000000))</f>
        <v/>
      </c>
      <c r="F359" s="129">
        <f>IF($B359="","",SUM($C$26:$C359))</f>
        <v/>
      </c>
      <c r="G359" s="129">
        <f>IF($B359="","",SUM($D$26:$D359))</f>
        <v/>
      </c>
      <c r="H359" s="129">
        <f>IF($B359="","",SUM($E$26:$E359))</f>
        <v/>
      </c>
    </row>
    <row r="360">
      <c r="B360" s="127">
        <f>IF(WIN_FROM+334&gt;WIN_TO,"",WIN_FROM+334)</f>
        <v/>
      </c>
      <c r="C360" s="128">
        <f>IF($B360="","",SUMIFS(Grids!$BQ$12:$EC$111,Grids!$EE$12:$GQ$111,"&gt;="&amp;$B360*1000000000,Grids!$EE$12:$GQ$111,"&lt;"&amp;($B360+1)*1000000000))</f>
        <v/>
      </c>
      <c r="D360" s="128">
        <f>IF($B360="","",SUMIFS(Grids!$BQ$116:$EC$155,Grids!$EE$116:$GQ$155,"&gt;="&amp;$B360*1000000000,Grids!$EE$116:$GQ$155,"&lt;"&amp;($B360+1)*1000000000))</f>
        <v/>
      </c>
      <c r="E360" s="128">
        <f>IF($B360="","",SUMIFS(Grids!$BQ$160:$EC$219,Grids!$EE$160:$GQ$219,"&gt;="&amp;$B360*1000000000,Grids!$EE$160:$GQ$219,"&lt;"&amp;($B360+1)*1000000000))</f>
        <v/>
      </c>
      <c r="F360" s="129">
        <f>IF($B360="","",SUM($C$26:$C360))</f>
        <v/>
      </c>
      <c r="G360" s="129">
        <f>IF($B360="","",SUM($D$26:$D360))</f>
        <v/>
      </c>
      <c r="H360" s="129">
        <f>IF($B360="","",SUM($E$26:$E360))</f>
        <v/>
      </c>
    </row>
    <row r="361">
      <c r="B361" s="127">
        <f>IF(WIN_FROM+335&gt;WIN_TO,"",WIN_FROM+335)</f>
        <v/>
      </c>
      <c r="C361" s="128">
        <f>IF($B361="","",SUMIFS(Grids!$BQ$12:$EC$111,Grids!$EE$12:$GQ$111,"&gt;="&amp;$B361*1000000000,Grids!$EE$12:$GQ$111,"&lt;"&amp;($B361+1)*1000000000))</f>
        <v/>
      </c>
      <c r="D361" s="128">
        <f>IF($B361="","",SUMIFS(Grids!$BQ$116:$EC$155,Grids!$EE$116:$GQ$155,"&gt;="&amp;$B361*1000000000,Grids!$EE$116:$GQ$155,"&lt;"&amp;($B361+1)*1000000000))</f>
        <v/>
      </c>
      <c r="E361" s="128">
        <f>IF($B361="","",SUMIFS(Grids!$BQ$160:$EC$219,Grids!$EE$160:$GQ$219,"&gt;="&amp;$B361*1000000000,Grids!$EE$160:$GQ$219,"&lt;"&amp;($B361+1)*1000000000))</f>
        <v/>
      </c>
      <c r="F361" s="129">
        <f>IF($B361="","",SUM($C$26:$C361))</f>
        <v/>
      </c>
      <c r="G361" s="129">
        <f>IF($B361="","",SUM($D$26:$D361))</f>
        <v/>
      </c>
      <c r="H361" s="129">
        <f>IF($B361="","",SUM($E$26:$E361))</f>
        <v/>
      </c>
    </row>
    <row r="362">
      <c r="B362" s="127">
        <f>IF(WIN_FROM+336&gt;WIN_TO,"",WIN_FROM+336)</f>
        <v/>
      </c>
      <c r="C362" s="128">
        <f>IF($B362="","",SUMIFS(Grids!$BQ$12:$EC$111,Grids!$EE$12:$GQ$111,"&gt;="&amp;$B362*1000000000,Grids!$EE$12:$GQ$111,"&lt;"&amp;($B362+1)*1000000000))</f>
        <v/>
      </c>
      <c r="D362" s="128">
        <f>IF($B362="","",SUMIFS(Grids!$BQ$116:$EC$155,Grids!$EE$116:$GQ$155,"&gt;="&amp;$B362*1000000000,Grids!$EE$116:$GQ$155,"&lt;"&amp;($B362+1)*1000000000))</f>
        <v/>
      </c>
      <c r="E362" s="128">
        <f>IF($B362="","",SUMIFS(Grids!$BQ$160:$EC$219,Grids!$EE$160:$GQ$219,"&gt;="&amp;$B362*1000000000,Grids!$EE$160:$GQ$219,"&lt;"&amp;($B362+1)*1000000000))</f>
        <v/>
      </c>
      <c r="F362" s="129">
        <f>IF($B362="","",SUM($C$26:$C362))</f>
        <v/>
      </c>
      <c r="G362" s="129">
        <f>IF($B362="","",SUM($D$26:$D362))</f>
        <v/>
      </c>
      <c r="H362" s="129">
        <f>IF($B362="","",SUM($E$26:$E362))</f>
        <v/>
      </c>
    </row>
    <row r="363">
      <c r="B363" s="127">
        <f>IF(WIN_FROM+337&gt;WIN_TO,"",WIN_FROM+337)</f>
        <v/>
      </c>
      <c r="C363" s="128">
        <f>IF($B363="","",SUMIFS(Grids!$BQ$12:$EC$111,Grids!$EE$12:$GQ$111,"&gt;="&amp;$B363*1000000000,Grids!$EE$12:$GQ$111,"&lt;"&amp;($B363+1)*1000000000))</f>
        <v/>
      </c>
      <c r="D363" s="128">
        <f>IF($B363="","",SUMIFS(Grids!$BQ$116:$EC$155,Grids!$EE$116:$GQ$155,"&gt;="&amp;$B363*1000000000,Grids!$EE$116:$GQ$155,"&lt;"&amp;($B363+1)*1000000000))</f>
        <v/>
      </c>
      <c r="E363" s="128">
        <f>IF($B363="","",SUMIFS(Grids!$BQ$160:$EC$219,Grids!$EE$160:$GQ$219,"&gt;="&amp;$B363*1000000000,Grids!$EE$160:$GQ$219,"&lt;"&amp;($B363+1)*1000000000))</f>
        <v/>
      </c>
      <c r="F363" s="129">
        <f>IF($B363="","",SUM($C$26:$C363))</f>
        <v/>
      </c>
      <c r="G363" s="129">
        <f>IF($B363="","",SUM($D$26:$D363))</f>
        <v/>
      </c>
      <c r="H363" s="129">
        <f>IF($B363="","",SUM($E$26:$E363))</f>
        <v/>
      </c>
    </row>
    <row r="364">
      <c r="B364" s="127">
        <f>IF(WIN_FROM+338&gt;WIN_TO,"",WIN_FROM+338)</f>
        <v/>
      </c>
      <c r="C364" s="128">
        <f>IF($B364="","",SUMIFS(Grids!$BQ$12:$EC$111,Grids!$EE$12:$GQ$111,"&gt;="&amp;$B364*1000000000,Grids!$EE$12:$GQ$111,"&lt;"&amp;($B364+1)*1000000000))</f>
        <v/>
      </c>
      <c r="D364" s="128">
        <f>IF($B364="","",SUMIFS(Grids!$BQ$116:$EC$155,Grids!$EE$116:$GQ$155,"&gt;="&amp;$B364*1000000000,Grids!$EE$116:$GQ$155,"&lt;"&amp;($B364+1)*1000000000))</f>
        <v/>
      </c>
      <c r="E364" s="128">
        <f>IF($B364="","",SUMIFS(Grids!$BQ$160:$EC$219,Grids!$EE$160:$GQ$219,"&gt;="&amp;$B364*1000000000,Grids!$EE$160:$GQ$219,"&lt;"&amp;($B364+1)*1000000000))</f>
        <v/>
      </c>
      <c r="F364" s="129">
        <f>IF($B364="","",SUM($C$26:$C364))</f>
        <v/>
      </c>
      <c r="G364" s="129">
        <f>IF($B364="","",SUM($D$26:$D364))</f>
        <v/>
      </c>
      <c r="H364" s="129">
        <f>IF($B364="","",SUM($E$26:$E364))</f>
        <v/>
      </c>
    </row>
    <row r="365">
      <c r="B365" s="127">
        <f>IF(WIN_FROM+339&gt;WIN_TO,"",WIN_FROM+339)</f>
        <v/>
      </c>
      <c r="C365" s="128">
        <f>IF($B365="","",SUMIFS(Grids!$BQ$12:$EC$111,Grids!$EE$12:$GQ$111,"&gt;="&amp;$B365*1000000000,Grids!$EE$12:$GQ$111,"&lt;"&amp;($B365+1)*1000000000))</f>
        <v/>
      </c>
      <c r="D365" s="128">
        <f>IF($B365="","",SUMIFS(Grids!$BQ$116:$EC$155,Grids!$EE$116:$GQ$155,"&gt;="&amp;$B365*1000000000,Grids!$EE$116:$GQ$155,"&lt;"&amp;($B365+1)*1000000000))</f>
        <v/>
      </c>
      <c r="E365" s="128">
        <f>IF($B365="","",SUMIFS(Grids!$BQ$160:$EC$219,Grids!$EE$160:$GQ$219,"&gt;="&amp;$B365*1000000000,Grids!$EE$160:$GQ$219,"&lt;"&amp;($B365+1)*1000000000))</f>
        <v/>
      </c>
      <c r="F365" s="129">
        <f>IF($B365="","",SUM($C$26:$C365))</f>
        <v/>
      </c>
      <c r="G365" s="129">
        <f>IF($B365="","",SUM($D$26:$D365))</f>
        <v/>
      </c>
      <c r="H365" s="129">
        <f>IF($B365="","",SUM($E$26:$E365))</f>
        <v/>
      </c>
    </row>
    <row r="366">
      <c r="B366" s="127">
        <f>IF(WIN_FROM+340&gt;WIN_TO,"",WIN_FROM+340)</f>
        <v/>
      </c>
      <c r="C366" s="128">
        <f>IF($B366="","",SUMIFS(Grids!$BQ$12:$EC$111,Grids!$EE$12:$GQ$111,"&gt;="&amp;$B366*1000000000,Grids!$EE$12:$GQ$111,"&lt;"&amp;($B366+1)*1000000000))</f>
        <v/>
      </c>
      <c r="D366" s="128">
        <f>IF($B366="","",SUMIFS(Grids!$BQ$116:$EC$155,Grids!$EE$116:$GQ$155,"&gt;="&amp;$B366*1000000000,Grids!$EE$116:$GQ$155,"&lt;"&amp;($B366+1)*1000000000))</f>
        <v/>
      </c>
      <c r="E366" s="128">
        <f>IF($B366="","",SUMIFS(Grids!$BQ$160:$EC$219,Grids!$EE$160:$GQ$219,"&gt;="&amp;$B366*1000000000,Grids!$EE$160:$GQ$219,"&lt;"&amp;($B366+1)*1000000000))</f>
        <v/>
      </c>
      <c r="F366" s="129">
        <f>IF($B366="","",SUM($C$26:$C366))</f>
        <v/>
      </c>
      <c r="G366" s="129">
        <f>IF($B366="","",SUM($D$26:$D366))</f>
        <v/>
      </c>
      <c r="H366" s="129">
        <f>IF($B366="","",SUM($E$26:$E366))</f>
        <v/>
      </c>
    </row>
    <row r="367">
      <c r="B367" s="127">
        <f>IF(WIN_FROM+341&gt;WIN_TO,"",WIN_FROM+341)</f>
        <v/>
      </c>
      <c r="C367" s="128">
        <f>IF($B367="","",SUMIFS(Grids!$BQ$12:$EC$111,Grids!$EE$12:$GQ$111,"&gt;="&amp;$B367*1000000000,Grids!$EE$12:$GQ$111,"&lt;"&amp;($B367+1)*1000000000))</f>
        <v/>
      </c>
      <c r="D367" s="128">
        <f>IF($B367="","",SUMIFS(Grids!$BQ$116:$EC$155,Grids!$EE$116:$GQ$155,"&gt;="&amp;$B367*1000000000,Grids!$EE$116:$GQ$155,"&lt;"&amp;($B367+1)*1000000000))</f>
        <v/>
      </c>
      <c r="E367" s="128">
        <f>IF($B367="","",SUMIFS(Grids!$BQ$160:$EC$219,Grids!$EE$160:$GQ$219,"&gt;="&amp;$B367*1000000000,Grids!$EE$160:$GQ$219,"&lt;"&amp;($B367+1)*1000000000))</f>
        <v/>
      </c>
      <c r="F367" s="129">
        <f>IF($B367="","",SUM($C$26:$C367))</f>
        <v/>
      </c>
      <c r="G367" s="129">
        <f>IF($B367="","",SUM($D$26:$D367))</f>
        <v/>
      </c>
      <c r="H367" s="129">
        <f>IF($B367="","",SUM($E$26:$E367))</f>
        <v/>
      </c>
    </row>
    <row r="368">
      <c r="B368" s="127">
        <f>IF(WIN_FROM+342&gt;WIN_TO,"",WIN_FROM+342)</f>
        <v/>
      </c>
      <c r="C368" s="128">
        <f>IF($B368="","",SUMIFS(Grids!$BQ$12:$EC$111,Grids!$EE$12:$GQ$111,"&gt;="&amp;$B368*1000000000,Grids!$EE$12:$GQ$111,"&lt;"&amp;($B368+1)*1000000000))</f>
        <v/>
      </c>
      <c r="D368" s="128">
        <f>IF($B368="","",SUMIFS(Grids!$BQ$116:$EC$155,Grids!$EE$116:$GQ$155,"&gt;="&amp;$B368*1000000000,Grids!$EE$116:$GQ$155,"&lt;"&amp;($B368+1)*1000000000))</f>
        <v/>
      </c>
      <c r="E368" s="128">
        <f>IF($B368="","",SUMIFS(Grids!$BQ$160:$EC$219,Grids!$EE$160:$GQ$219,"&gt;="&amp;$B368*1000000000,Grids!$EE$160:$GQ$219,"&lt;"&amp;($B368+1)*1000000000))</f>
        <v/>
      </c>
      <c r="F368" s="129">
        <f>IF($B368="","",SUM($C$26:$C368))</f>
        <v/>
      </c>
      <c r="G368" s="129">
        <f>IF($B368="","",SUM($D$26:$D368))</f>
        <v/>
      </c>
      <c r="H368" s="129">
        <f>IF($B368="","",SUM($E$26:$E368))</f>
        <v/>
      </c>
    </row>
    <row r="369">
      <c r="B369" s="127">
        <f>IF(WIN_FROM+343&gt;WIN_TO,"",WIN_FROM+343)</f>
        <v/>
      </c>
      <c r="C369" s="128">
        <f>IF($B369="","",SUMIFS(Grids!$BQ$12:$EC$111,Grids!$EE$12:$GQ$111,"&gt;="&amp;$B369*1000000000,Grids!$EE$12:$GQ$111,"&lt;"&amp;($B369+1)*1000000000))</f>
        <v/>
      </c>
      <c r="D369" s="128">
        <f>IF($B369="","",SUMIFS(Grids!$BQ$116:$EC$155,Grids!$EE$116:$GQ$155,"&gt;="&amp;$B369*1000000000,Grids!$EE$116:$GQ$155,"&lt;"&amp;($B369+1)*1000000000))</f>
        <v/>
      </c>
      <c r="E369" s="128">
        <f>IF($B369="","",SUMIFS(Grids!$BQ$160:$EC$219,Grids!$EE$160:$GQ$219,"&gt;="&amp;$B369*1000000000,Grids!$EE$160:$GQ$219,"&lt;"&amp;($B369+1)*1000000000))</f>
        <v/>
      </c>
      <c r="F369" s="129">
        <f>IF($B369="","",SUM($C$26:$C369))</f>
        <v/>
      </c>
      <c r="G369" s="129">
        <f>IF($B369="","",SUM($D$26:$D369))</f>
        <v/>
      </c>
      <c r="H369" s="129">
        <f>IF($B369="","",SUM($E$26:$E369))</f>
        <v/>
      </c>
    </row>
    <row r="370">
      <c r="B370" s="127">
        <f>IF(WIN_FROM+344&gt;WIN_TO,"",WIN_FROM+344)</f>
        <v/>
      </c>
      <c r="C370" s="128">
        <f>IF($B370="","",SUMIFS(Grids!$BQ$12:$EC$111,Grids!$EE$12:$GQ$111,"&gt;="&amp;$B370*1000000000,Grids!$EE$12:$GQ$111,"&lt;"&amp;($B370+1)*1000000000))</f>
        <v/>
      </c>
      <c r="D370" s="128">
        <f>IF($B370="","",SUMIFS(Grids!$BQ$116:$EC$155,Grids!$EE$116:$GQ$155,"&gt;="&amp;$B370*1000000000,Grids!$EE$116:$GQ$155,"&lt;"&amp;($B370+1)*1000000000))</f>
        <v/>
      </c>
      <c r="E370" s="128">
        <f>IF($B370="","",SUMIFS(Grids!$BQ$160:$EC$219,Grids!$EE$160:$GQ$219,"&gt;="&amp;$B370*1000000000,Grids!$EE$160:$GQ$219,"&lt;"&amp;($B370+1)*1000000000))</f>
        <v/>
      </c>
      <c r="F370" s="129">
        <f>IF($B370="","",SUM($C$26:$C370))</f>
        <v/>
      </c>
      <c r="G370" s="129">
        <f>IF($B370="","",SUM($D$26:$D370))</f>
        <v/>
      </c>
      <c r="H370" s="129">
        <f>IF($B370="","",SUM($E$26:$E370))</f>
        <v/>
      </c>
    </row>
    <row r="371">
      <c r="B371" s="127">
        <f>IF(WIN_FROM+345&gt;WIN_TO,"",WIN_FROM+345)</f>
        <v/>
      </c>
      <c r="C371" s="128">
        <f>IF($B371="","",SUMIFS(Grids!$BQ$12:$EC$111,Grids!$EE$12:$GQ$111,"&gt;="&amp;$B371*1000000000,Grids!$EE$12:$GQ$111,"&lt;"&amp;($B371+1)*1000000000))</f>
        <v/>
      </c>
      <c r="D371" s="128">
        <f>IF($B371="","",SUMIFS(Grids!$BQ$116:$EC$155,Grids!$EE$116:$GQ$155,"&gt;="&amp;$B371*1000000000,Grids!$EE$116:$GQ$155,"&lt;"&amp;($B371+1)*1000000000))</f>
        <v/>
      </c>
      <c r="E371" s="128">
        <f>IF($B371="","",SUMIFS(Grids!$BQ$160:$EC$219,Grids!$EE$160:$GQ$219,"&gt;="&amp;$B371*1000000000,Grids!$EE$160:$GQ$219,"&lt;"&amp;($B371+1)*1000000000))</f>
        <v/>
      </c>
      <c r="F371" s="129">
        <f>IF($B371="","",SUM($C$26:$C371))</f>
        <v/>
      </c>
      <c r="G371" s="129">
        <f>IF($B371="","",SUM($D$26:$D371))</f>
        <v/>
      </c>
      <c r="H371" s="129">
        <f>IF($B371="","",SUM($E$26:$E371))</f>
        <v/>
      </c>
    </row>
    <row r="372">
      <c r="B372" s="127">
        <f>IF(WIN_FROM+346&gt;WIN_TO,"",WIN_FROM+346)</f>
        <v/>
      </c>
      <c r="C372" s="128">
        <f>IF($B372="","",SUMIFS(Grids!$BQ$12:$EC$111,Grids!$EE$12:$GQ$111,"&gt;="&amp;$B372*1000000000,Grids!$EE$12:$GQ$111,"&lt;"&amp;($B372+1)*1000000000))</f>
        <v/>
      </c>
      <c r="D372" s="128">
        <f>IF($B372="","",SUMIFS(Grids!$BQ$116:$EC$155,Grids!$EE$116:$GQ$155,"&gt;="&amp;$B372*1000000000,Grids!$EE$116:$GQ$155,"&lt;"&amp;($B372+1)*1000000000))</f>
        <v/>
      </c>
      <c r="E372" s="128">
        <f>IF($B372="","",SUMIFS(Grids!$BQ$160:$EC$219,Grids!$EE$160:$GQ$219,"&gt;="&amp;$B372*1000000000,Grids!$EE$160:$GQ$219,"&lt;"&amp;($B372+1)*1000000000))</f>
        <v/>
      </c>
      <c r="F372" s="129">
        <f>IF($B372="","",SUM($C$26:$C372))</f>
        <v/>
      </c>
      <c r="G372" s="129">
        <f>IF($B372="","",SUM($D$26:$D372))</f>
        <v/>
      </c>
      <c r="H372" s="129">
        <f>IF($B372="","",SUM($E$26:$E372))</f>
        <v/>
      </c>
    </row>
    <row r="373">
      <c r="B373" s="127">
        <f>IF(WIN_FROM+347&gt;WIN_TO,"",WIN_FROM+347)</f>
        <v/>
      </c>
      <c r="C373" s="128">
        <f>IF($B373="","",SUMIFS(Grids!$BQ$12:$EC$111,Grids!$EE$12:$GQ$111,"&gt;="&amp;$B373*1000000000,Grids!$EE$12:$GQ$111,"&lt;"&amp;($B373+1)*1000000000))</f>
        <v/>
      </c>
      <c r="D373" s="128">
        <f>IF($B373="","",SUMIFS(Grids!$BQ$116:$EC$155,Grids!$EE$116:$GQ$155,"&gt;="&amp;$B373*1000000000,Grids!$EE$116:$GQ$155,"&lt;"&amp;($B373+1)*1000000000))</f>
        <v/>
      </c>
      <c r="E373" s="128">
        <f>IF($B373="","",SUMIFS(Grids!$BQ$160:$EC$219,Grids!$EE$160:$GQ$219,"&gt;="&amp;$B373*1000000000,Grids!$EE$160:$GQ$219,"&lt;"&amp;($B373+1)*1000000000))</f>
        <v/>
      </c>
      <c r="F373" s="129">
        <f>IF($B373="","",SUM($C$26:$C373))</f>
        <v/>
      </c>
      <c r="G373" s="129">
        <f>IF($B373="","",SUM($D$26:$D373))</f>
        <v/>
      </c>
      <c r="H373" s="129">
        <f>IF($B373="","",SUM($E$26:$E373))</f>
        <v/>
      </c>
    </row>
    <row r="374">
      <c r="B374" s="127">
        <f>IF(WIN_FROM+348&gt;WIN_TO,"",WIN_FROM+348)</f>
        <v/>
      </c>
      <c r="C374" s="128">
        <f>IF($B374="","",SUMIFS(Grids!$BQ$12:$EC$111,Grids!$EE$12:$GQ$111,"&gt;="&amp;$B374*1000000000,Grids!$EE$12:$GQ$111,"&lt;"&amp;($B374+1)*1000000000))</f>
        <v/>
      </c>
      <c r="D374" s="128">
        <f>IF($B374="","",SUMIFS(Grids!$BQ$116:$EC$155,Grids!$EE$116:$GQ$155,"&gt;="&amp;$B374*1000000000,Grids!$EE$116:$GQ$155,"&lt;"&amp;($B374+1)*1000000000))</f>
        <v/>
      </c>
      <c r="E374" s="128">
        <f>IF($B374="","",SUMIFS(Grids!$BQ$160:$EC$219,Grids!$EE$160:$GQ$219,"&gt;="&amp;$B374*1000000000,Grids!$EE$160:$GQ$219,"&lt;"&amp;($B374+1)*1000000000))</f>
        <v/>
      </c>
      <c r="F374" s="129">
        <f>IF($B374="","",SUM($C$26:$C374))</f>
        <v/>
      </c>
      <c r="G374" s="129">
        <f>IF($B374="","",SUM($D$26:$D374))</f>
        <v/>
      </c>
      <c r="H374" s="129">
        <f>IF($B374="","",SUM($E$26:$E374))</f>
        <v/>
      </c>
    </row>
    <row r="375">
      <c r="B375" s="127">
        <f>IF(WIN_FROM+349&gt;WIN_TO,"",WIN_FROM+349)</f>
        <v/>
      </c>
      <c r="C375" s="128">
        <f>IF($B375="","",SUMIFS(Grids!$BQ$12:$EC$111,Grids!$EE$12:$GQ$111,"&gt;="&amp;$B375*1000000000,Grids!$EE$12:$GQ$111,"&lt;"&amp;($B375+1)*1000000000))</f>
        <v/>
      </c>
      <c r="D375" s="128">
        <f>IF($B375="","",SUMIFS(Grids!$BQ$116:$EC$155,Grids!$EE$116:$GQ$155,"&gt;="&amp;$B375*1000000000,Grids!$EE$116:$GQ$155,"&lt;"&amp;($B375+1)*1000000000))</f>
        <v/>
      </c>
      <c r="E375" s="128">
        <f>IF($B375="","",SUMIFS(Grids!$BQ$160:$EC$219,Grids!$EE$160:$GQ$219,"&gt;="&amp;$B375*1000000000,Grids!$EE$160:$GQ$219,"&lt;"&amp;($B375+1)*1000000000))</f>
        <v/>
      </c>
      <c r="F375" s="129">
        <f>IF($B375="","",SUM($C$26:$C375))</f>
        <v/>
      </c>
      <c r="G375" s="129">
        <f>IF($B375="","",SUM($D$26:$D375))</f>
        <v/>
      </c>
      <c r="H375" s="129">
        <f>IF($B375="","",SUM($E$26:$E375))</f>
        <v/>
      </c>
    </row>
    <row r="376">
      <c r="B376" s="127">
        <f>IF(WIN_FROM+350&gt;WIN_TO,"",WIN_FROM+350)</f>
        <v/>
      </c>
      <c r="C376" s="128">
        <f>IF($B376="","",SUMIFS(Grids!$BQ$12:$EC$111,Grids!$EE$12:$GQ$111,"&gt;="&amp;$B376*1000000000,Grids!$EE$12:$GQ$111,"&lt;"&amp;($B376+1)*1000000000))</f>
        <v/>
      </c>
      <c r="D376" s="128">
        <f>IF($B376="","",SUMIFS(Grids!$BQ$116:$EC$155,Grids!$EE$116:$GQ$155,"&gt;="&amp;$B376*1000000000,Grids!$EE$116:$GQ$155,"&lt;"&amp;($B376+1)*1000000000))</f>
        <v/>
      </c>
      <c r="E376" s="128">
        <f>IF($B376="","",SUMIFS(Grids!$BQ$160:$EC$219,Grids!$EE$160:$GQ$219,"&gt;="&amp;$B376*1000000000,Grids!$EE$160:$GQ$219,"&lt;"&amp;($B376+1)*1000000000))</f>
        <v/>
      </c>
      <c r="F376" s="129">
        <f>IF($B376="","",SUM($C$26:$C376))</f>
        <v/>
      </c>
      <c r="G376" s="129">
        <f>IF($B376="","",SUM($D$26:$D376))</f>
        <v/>
      </c>
      <c r="H376" s="129">
        <f>IF($B376="","",SUM($E$26:$E376))</f>
        <v/>
      </c>
    </row>
    <row r="377">
      <c r="B377" s="127">
        <f>IF(WIN_FROM+351&gt;WIN_TO,"",WIN_FROM+351)</f>
        <v/>
      </c>
      <c r="C377" s="128">
        <f>IF($B377="","",SUMIFS(Grids!$BQ$12:$EC$111,Grids!$EE$12:$GQ$111,"&gt;="&amp;$B377*1000000000,Grids!$EE$12:$GQ$111,"&lt;"&amp;($B377+1)*1000000000))</f>
        <v/>
      </c>
      <c r="D377" s="128">
        <f>IF($B377="","",SUMIFS(Grids!$BQ$116:$EC$155,Grids!$EE$116:$GQ$155,"&gt;="&amp;$B377*1000000000,Grids!$EE$116:$GQ$155,"&lt;"&amp;($B377+1)*1000000000))</f>
        <v/>
      </c>
      <c r="E377" s="128">
        <f>IF($B377="","",SUMIFS(Grids!$BQ$160:$EC$219,Grids!$EE$160:$GQ$219,"&gt;="&amp;$B377*1000000000,Grids!$EE$160:$GQ$219,"&lt;"&amp;($B377+1)*1000000000))</f>
        <v/>
      </c>
      <c r="F377" s="129">
        <f>IF($B377="","",SUM($C$26:$C377))</f>
        <v/>
      </c>
      <c r="G377" s="129">
        <f>IF($B377="","",SUM($D$26:$D377))</f>
        <v/>
      </c>
      <c r="H377" s="129">
        <f>IF($B377="","",SUM($E$26:$E377))</f>
        <v/>
      </c>
    </row>
    <row r="378">
      <c r="B378" s="127">
        <f>IF(WIN_FROM+352&gt;WIN_TO,"",WIN_FROM+352)</f>
        <v/>
      </c>
      <c r="C378" s="128">
        <f>IF($B378="","",SUMIFS(Grids!$BQ$12:$EC$111,Grids!$EE$12:$GQ$111,"&gt;="&amp;$B378*1000000000,Grids!$EE$12:$GQ$111,"&lt;"&amp;($B378+1)*1000000000))</f>
        <v/>
      </c>
      <c r="D378" s="128">
        <f>IF($B378="","",SUMIFS(Grids!$BQ$116:$EC$155,Grids!$EE$116:$GQ$155,"&gt;="&amp;$B378*1000000000,Grids!$EE$116:$GQ$155,"&lt;"&amp;($B378+1)*1000000000))</f>
        <v/>
      </c>
      <c r="E378" s="128">
        <f>IF($B378="","",SUMIFS(Grids!$BQ$160:$EC$219,Grids!$EE$160:$GQ$219,"&gt;="&amp;$B378*1000000000,Grids!$EE$160:$GQ$219,"&lt;"&amp;($B378+1)*1000000000))</f>
        <v/>
      </c>
      <c r="F378" s="129">
        <f>IF($B378="","",SUM($C$26:$C378))</f>
        <v/>
      </c>
      <c r="G378" s="129">
        <f>IF($B378="","",SUM($D$26:$D378))</f>
        <v/>
      </c>
      <c r="H378" s="129">
        <f>IF($B378="","",SUM($E$26:$E378))</f>
        <v/>
      </c>
    </row>
    <row r="379">
      <c r="B379" s="127">
        <f>IF(WIN_FROM+353&gt;WIN_TO,"",WIN_FROM+353)</f>
        <v/>
      </c>
      <c r="C379" s="128">
        <f>IF($B379="","",SUMIFS(Grids!$BQ$12:$EC$111,Grids!$EE$12:$GQ$111,"&gt;="&amp;$B379*1000000000,Grids!$EE$12:$GQ$111,"&lt;"&amp;($B379+1)*1000000000))</f>
        <v/>
      </c>
      <c r="D379" s="128">
        <f>IF($B379="","",SUMIFS(Grids!$BQ$116:$EC$155,Grids!$EE$116:$GQ$155,"&gt;="&amp;$B379*1000000000,Grids!$EE$116:$GQ$155,"&lt;"&amp;($B379+1)*1000000000))</f>
        <v/>
      </c>
      <c r="E379" s="128">
        <f>IF($B379="","",SUMIFS(Grids!$BQ$160:$EC$219,Grids!$EE$160:$GQ$219,"&gt;="&amp;$B379*1000000000,Grids!$EE$160:$GQ$219,"&lt;"&amp;($B379+1)*1000000000))</f>
        <v/>
      </c>
      <c r="F379" s="129">
        <f>IF($B379="","",SUM($C$26:$C379))</f>
        <v/>
      </c>
      <c r="G379" s="129">
        <f>IF($B379="","",SUM($D$26:$D379))</f>
        <v/>
      </c>
      <c r="H379" s="129">
        <f>IF($B379="","",SUM($E$26:$E379))</f>
        <v/>
      </c>
    </row>
    <row r="380">
      <c r="B380" s="127">
        <f>IF(WIN_FROM+354&gt;WIN_TO,"",WIN_FROM+354)</f>
        <v/>
      </c>
      <c r="C380" s="128">
        <f>IF($B380="","",SUMIFS(Grids!$BQ$12:$EC$111,Grids!$EE$12:$GQ$111,"&gt;="&amp;$B380*1000000000,Grids!$EE$12:$GQ$111,"&lt;"&amp;($B380+1)*1000000000))</f>
        <v/>
      </c>
      <c r="D380" s="128">
        <f>IF($B380="","",SUMIFS(Grids!$BQ$116:$EC$155,Grids!$EE$116:$GQ$155,"&gt;="&amp;$B380*1000000000,Grids!$EE$116:$GQ$155,"&lt;"&amp;($B380+1)*1000000000))</f>
        <v/>
      </c>
      <c r="E380" s="128">
        <f>IF($B380="","",SUMIFS(Grids!$BQ$160:$EC$219,Grids!$EE$160:$GQ$219,"&gt;="&amp;$B380*1000000000,Grids!$EE$160:$GQ$219,"&lt;"&amp;($B380+1)*1000000000))</f>
        <v/>
      </c>
      <c r="F380" s="129">
        <f>IF($B380="","",SUM($C$26:$C380))</f>
        <v/>
      </c>
      <c r="G380" s="129">
        <f>IF($B380="","",SUM($D$26:$D380))</f>
        <v/>
      </c>
      <c r="H380" s="129">
        <f>IF($B380="","",SUM($E$26:$E380))</f>
        <v/>
      </c>
    </row>
    <row r="381">
      <c r="B381" s="127">
        <f>IF(WIN_FROM+355&gt;WIN_TO,"",WIN_FROM+355)</f>
        <v/>
      </c>
      <c r="C381" s="128">
        <f>IF($B381="","",SUMIFS(Grids!$BQ$12:$EC$111,Grids!$EE$12:$GQ$111,"&gt;="&amp;$B381*1000000000,Grids!$EE$12:$GQ$111,"&lt;"&amp;($B381+1)*1000000000))</f>
        <v/>
      </c>
      <c r="D381" s="128">
        <f>IF($B381="","",SUMIFS(Grids!$BQ$116:$EC$155,Grids!$EE$116:$GQ$155,"&gt;="&amp;$B381*1000000000,Grids!$EE$116:$GQ$155,"&lt;"&amp;($B381+1)*1000000000))</f>
        <v/>
      </c>
      <c r="E381" s="128">
        <f>IF($B381="","",SUMIFS(Grids!$BQ$160:$EC$219,Grids!$EE$160:$GQ$219,"&gt;="&amp;$B381*1000000000,Grids!$EE$160:$GQ$219,"&lt;"&amp;($B381+1)*1000000000))</f>
        <v/>
      </c>
      <c r="F381" s="129">
        <f>IF($B381="","",SUM($C$26:$C381))</f>
        <v/>
      </c>
      <c r="G381" s="129">
        <f>IF($B381="","",SUM($D$26:$D381))</f>
        <v/>
      </c>
      <c r="H381" s="129">
        <f>IF($B381="","",SUM($E$26:$E381))</f>
        <v/>
      </c>
    </row>
    <row r="382">
      <c r="B382" s="127">
        <f>IF(WIN_FROM+356&gt;WIN_TO,"",WIN_FROM+356)</f>
        <v/>
      </c>
      <c r="C382" s="128">
        <f>IF($B382="","",SUMIFS(Grids!$BQ$12:$EC$111,Grids!$EE$12:$GQ$111,"&gt;="&amp;$B382*1000000000,Grids!$EE$12:$GQ$111,"&lt;"&amp;($B382+1)*1000000000))</f>
        <v/>
      </c>
      <c r="D382" s="128">
        <f>IF($B382="","",SUMIFS(Grids!$BQ$116:$EC$155,Grids!$EE$116:$GQ$155,"&gt;="&amp;$B382*1000000000,Grids!$EE$116:$GQ$155,"&lt;"&amp;($B382+1)*1000000000))</f>
        <v/>
      </c>
      <c r="E382" s="128">
        <f>IF($B382="","",SUMIFS(Grids!$BQ$160:$EC$219,Grids!$EE$160:$GQ$219,"&gt;="&amp;$B382*1000000000,Grids!$EE$160:$GQ$219,"&lt;"&amp;($B382+1)*1000000000))</f>
        <v/>
      </c>
      <c r="F382" s="129">
        <f>IF($B382="","",SUM($C$26:$C382))</f>
        <v/>
      </c>
      <c r="G382" s="129">
        <f>IF($B382="","",SUM($D$26:$D382))</f>
        <v/>
      </c>
      <c r="H382" s="129">
        <f>IF($B382="","",SUM($E$26:$E382))</f>
        <v/>
      </c>
    </row>
    <row r="383">
      <c r="B383" s="127">
        <f>IF(WIN_FROM+357&gt;WIN_TO,"",WIN_FROM+357)</f>
        <v/>
      </c>
      <c r="C383" s="128">
        <f>IF($B383="","",SUMIFS(Grids!$BQ$12:$EC$111,Grids!$EE$12:$GQ$111,"&gt;="&amp;$B383*1000000000,Grids!$EE$12:$GQ$111,"&lt;"&amp;($B383+1)*1000000000))</f>
        <v/>
      </c>
      <c r="D383" s="128">
        <f>IF($B383="","",SUMIFS(Grids!$BQ$116:$EC$155,Grids!$EE$116:$GQ$155,"&gt;="&amp;$B383*1000000000,Grids!$EE$116:$GQ$155,"&lt;"&amp;($B383+1)*1000000000))</f>
        <v/>
      </c>
      <c r="E383" s="128">
        <f>IF($B383="","",SUMIFS(Grids!$BQ$160:$EC$219,Grids!$EE$160:$GQ$219,"&gt;="&amp;$B383*1000000000,Grids!$EE$160:$GQ$219,"&lt;"&amp;($B383+1)*1000000000))</f>
        <v/>
      </c>
      <c r="F383" s="129">
        <f>IF($B383="","",SUM($C$26:$C383))</f>
        <v/>
      </c>
      <c r="G383" s="129">
        <f>IF($B383="","",SUM($D$26:$D383))</f>
        <v/>
      </c>
      <c r="H383" s="129">
        <f>IF($B383="","",SUM($E$26:$E383))</f>
        <v/>
      </c>
    </row>
    <row r="384">
      <c r="B384" s="127">
        <f>IF(WIN_FROM+358&gt;WIN_TO,"",WIN_FROM+358)</f>
        <v/>
      </c>
      <c r="C384" s="128">
        <f>IF($B384="","",SUMIFS(Grids!$BQ$12:$EC$111,Grids!$EE$12:$GQ$111,"&gt;="&amp;$B384*1000000000,Grids!$EE$12:$GQ$111,"&lt;"&amp;($B384+1)*1000000000))</f>
        <v/>
      </c>
      <c r="D384" s="128">
        <f>IF($B384="","",SUMIFS(Grids!$BQ$116:$EC$155,Grids!$EE$116:$GQ$155,"&gt;="&amp;$B384*1000000000,Grids!$EE$116:$GQ$155,"&lt;"&amp;($B384+1)*1000000000))</f>
        <v/>
      </c>
      <c r="E384" s="128">
        <f>IF($B384="","",SUMIFS(Grids!$BQ$160:$EC$219,Grids!$EE$160:$GQ$219,"&gt;="&amp;$B384*1000000000,Grids!$EE$160:$GQ$219,"&lt;"&amp;($B384+1)*1000000000))</f>
        <v/>
      </c>
      <c r="F384" s="129">
        <f>IF($B384="","",SUM($C$26:$C384))</f>
        <v/>
      </c>
      <c r="G384" s="129">
        <f>IF($B384="","",SUM($D$26:$D384))</f>
        <v/>
      </c>
      <c r="H384" s="129">
        <f>IF($B384="","",SUM($E$26:$E384))</f>
        <v/>
      </c>
    </row>
    <row r="385">
      <c r="B385" s="127">
        <f>IF(WIN_FROM+359&gt;WIN_TO,"",WIN_FROM+359)</f>
        <v/>
      </c>
      <c r="C385" s="128">
        <f>IF($B385="","",SUMIFS(Grids!$BQ$12:$EC$111,Grids!$EE$12:$GQ$111,"&gt;="&amp;$B385*1000000000,Grids!$EE$12:$GQ$111,"&lt;"&amp;($B385+1)*1000000000))</f>
        <v/>
      </c>
      <c r="D385" s="128">
        <f>IF($B385="","",SUMIFS(Grids!$BQ$116:$EC$155,Grids!$EE$116:$GQ$155,"&gt;="&amp;$B385*1000000000,Grids!$EE$116:$GQ$155,"&lt;"&amp;($B385+1)*1000000000))</f>
        <v/>
      </c>
      <c r="E385" s="128">
        <f>IF($B385="","",SUMIFS(Grids!$BQ$160:$EC$219,Grids!$EE$160:$GQ$219,"&gt;="&amp;$B385*1000000000,Grids!$EE$160:$GQ$219,"&lt;"&amp;($B385+1)*1000000000))</f>
        <v/>
      </c>
      <c r="F385" s="129">
        <f>IF($B385="","",SUM($C$26:$C385))</f>
        <v/>
      </c>
      <c r="G385" s="129">
        <f>IF($B385="","",SUM($D$26:$D385))</f>
        <v/>
      </c>
      <c r="H385" s="129">
        <f>IF($B385="","",SUM($E$26:$E385))</f>
        <v/>
      </c>
    </row>
    <row r="386">
      <c r="B386" s="127">
        <f>IF(WIN_FROM+360&gt;WIN_TO,"",WIN_FROM+360)</f>
        <v/>
      </c>
      <c r="C386" s="128">
        <f>IF($B386="","",SUMIFS(Grids!$BQ$12:$EC$111,Grids!$EE$12:$GQ$111,"&gt;="&amp;$B386*1000000000,Grids!$EE$12:$GQ$111,"&lt;"&amp;($B386+1)*1000000000))</f>
        <v/>
      </c>
      <c r="D386" s="128">
        <f>IF($B386="","",SUMIFS(Grids!$BQ$116:$EC$155,Grids!$EE$116:$GQ$155,"&gt;="&amp;$B386*1000000000,Grids!$EE$116:$GQ$155,"&lt;"&amp;($B386+1)*1000000000))</f>
        <v/>
      </c>
      <c r="E386" s="128">
        <f>IF($B386="","",SUMIFS(Grids!$BQ$160:$EC$219,Grids!$EE$160:$GQ$219,"&gt;="&amp;$B386*1000000000,Grids!$EE$160:$GQ$219,"&lt;"&amp;($B386+1)*1000000000))</f>
        <v/>
      </c>
      <c r="F386" s="129">
        <f>IF($B386="","",SUM($C$26:$C386))</f>
        <v/>
      </c>
      <c r="G386" s="129">
        <f>IF($B386="","",SUM($D$26:$D386))</f>
        <v/>
      </c>
      <c r="H386" s="129">
        <f>IF($B386="","",SUM($E$26:$E386))</f>
        <v/>
      </c>
    </row>
    <row r="387">
      <c r="B387" s="127">
        <f>IF(WIN_FROM+361&gt;WIN_TO,"",WIN_FROM+361)</f>
        <v/>
      </c>
      <c r="C387" s="128">
        <f>IF($B387="","",SUMIFS(Grids!$BQ$12:$EC$111,Grids!$EE$12:$GQ$111,"&gt;="&amp;$B387*1000000000,Grids!$EE$12:$GQ$111,"&lt;"&amp;($B387+1)*1000000000))</f>
        <v/>
      </c>
      <c r="D387" s="128">
        <f>IF($B387="","",SUMIFS(Grids!$BQ$116:$EC$155,Grids!$EE$116:$GQ$155,"&gt;="&amp;$B387*1000000000,Grids!$EE$116:$GQ$155,"&lt;"&amp;($B387+1)*1000000000))</f>
        <v/>
      </c>
      <c r="E387" s="128">
        <f>IF($B387="","",SUMIFS(Grids!$BQ$160:$EC$219,Grids!$EE$160:$GQ$219,"&gt;="&amp;$B387*1000000000,Grids!$EE$160:$GQ$219,"&lt;"&amp;($B387+1)*1000000000))</f>
        <v/>
      </c>
      <c r="F387" s="129">
        <f>IF($B387="","",SUM($C$26:$C387))</f>
        <v/>
      </c>
      <c r="G387" s="129">
        <f>IF($B387="","",SUM($D$26:$D387))</f>
        <v/>
      </c>
      <c r="H387" s="129">
        <f>IF($B387="","",SUM($E$26:$E387))</f>
        <v/>
      </c>
    </row>
    <row r="388">
      <c r="B388" s="127">
        <f>IF(WIN_FROM+362&gt;WIN_TO,"",WIN_FROM+362)</f>
        <v/>
      </c>
      <c r="C388" s="128">
        <f>IF($B388="","",SUMIFS(Grids!$BQ$12:$EC$111,Grids!$EE$12:$GQ$111,"&gt;="&amp;$B388*1000000000,Grids!$EE$12:$GQ$111,"&lt;"&amp;($B388+1)*1000000000))</f>
        <v/>
      </c>
      <c r="D388" s="128">
        <f>IF($B388="","",SUMIFS(Grids!$BQ$116:$EC$155,Grids!$EE$116:$GQ$155,"&gt;="&amp;$B388*1000000000,Grids!$EE$116:$GQ$155,"&lt;"&amp;($B388+1)*1000000000))</f>
        <v/>
      </c>
      <c r="E388" s="128">
        <f>IF($B388="","",SUMIFS(Grids!$BQ$160:$EC$219,Grids!$EE$160:$GQ$219,"&gt;="&amp;$B388*1000000000,Grids!$EE$160:$GQ$219,"&lt;"&amp;($B388+1)*1000000000))</f>
        <v/>
      </c>
      <c r="F388" s="129">
        <f>IF($B388="","",SUM($C$26:$C388))</f>
        <v/>
      </c>
      <c r="G388" s="129">
        <f>IF($B388="","",SUM($D$26:$D388))</f>
        <v/>
      </c>
      <c r="H388" s="129">
        <f>IF($B388="","",SUM($E$26:$E388))</f>
        <v/>
      </c>
    </row>
    <row r="389">
      <c r="B389" s="127">
        <f>IF(WIN_FROM+363&gt;WIN_TO,"",WIN_FROM+363)</f>
        <v/>
      </c>
      <c r="C389" s="128">
        <f>IF($B389="","",SUMIFS(Grids!$BQ$12:$EC$111,Grids!$EE$12:$GQ$111,"&gt;="&amp;$B389*1000000000,Grids!$EE$12:$GQ$111,"&lt;"&amp;($B389+1)*1000000000))</f>
        <v/>
      </c>
      <c r="D389" s="128">
        <f>IF($B389="","",SUMIFS(Grids!$BQ$116:$EC$155,Grids!$EE$116:$GQ$155,"&gt;="&amp;$B389*1000000000,Grids!$EE$116:$GQ$155,"&lt;"&amp;($B389+1)*1000000000))</f>
        <v/>
      </c>
      <c r="E389" s="128">
        <f>IF($B389="","",SUMIFS(Grids!$BQ$160:$EC$219,Grids!$EE$160:$GQ$219,"&gt;="&amp;$B389*1000000000,Grids!$EE$160:$GQ$219,"&lt;"&amp;($B389+1)*1000000000))</f>
        <v/>
      </c>
      <c r="F389" s="129">
        <f>IF($B389="","",SUM($C$26:$C389))</f>
        <v/>
      </c>
      <c r="G389" s="129">
        <f>IF($B389="","",SUM($D$26:$D389))</f>
        <v/>
      </c>
      <c r="H389" s="129">
        <f>IF($B389="","",SUM($E$26:$E389))</f>
        <v/>
      </c>
    </row>
    <row r="390">
      <c r="B390" s="127">
        <f>IF(WIN_FROM+364&gt;WIN_TO,"",WIN_FROM+364)</f>
        <v/>
      </c>
      <c r="C390" s="128">
        <f>IF($B390="","",SUMIFS(Grids!$BQ$12:$EC$111,Grids!$EE$12:$GQ$111,"&gt;="&amp;$B390*1000000000,Grids!$EE$12:$GQ$111,"&lt;"&amp;($B390+1)*1000000000))</f>
        <v/>
      </c>
      <c r="D390" s="128">
        <f>IF($B390="","",SUMIFS(Grids!$BQ$116:$EC$155,Grids!$EE$116:$GQ$155,"&gt;="&amp;$B390*1000000000,Grids!$EE$116:$GQ$155,"&lt;"&amp;($B390+1)*1000000000))</f>
        <v/>
      </c>
      <c r="E390" s="128">
        <f>IF($B390="","",SUMIFS(Grids!$BQ$160:$EC$219,Grids!$EE$160:$GQ$219,"&gt;="&amp;$B390*1000000000,Grids!$EE$160:$GQ$219,"&lt;"&amp;($B390+1)*1000000000))</f>
        <v/>
      </c>
      <c r="F390" s="129">
        <f>IF($B390="","",SUM($C$26:$C390))</f>
        <v/>
      </c>
      <c r="G390" s="129">
        <f>IF($B390="","",SUM($D$26:$D390))</f>
        <v/>
      </c>
      <c r="H390" s="129">
        <f>IF($B390="","",SUM($E$26:$E390))</f>
        <v/>
      </c>
    </row>
    <row r="391">
      <c r="B391" s="127">
        <f>IF(WIN_FROM+365&gt;WIN_TO,"",WIN_FROM+365)</f>
        <v/>
      </c>
      <c r="C391" s="128">
        <f>IF($B391="","",SUMIFS(Grids!$BQ$12:$EC$111,Grids!$EE$12:$GQ$111,"&gt;="&amp;$B391*1000000000,Grids!$EE$12:$GQ$111,"&lt;"&amp;($B391+1)*1000000000))</f>
        <v/>
      </c>
      <c r="D391" s="128">
        <f>IF($B391="","",SUMIFS(Grids!$BQ$116:$EC$155,Grids!$EE$116:$GQ$155,"&gt;="&amp;$B391*1000000000,Grids!$EE$116:$GQ$155,"&lt;"&amp;($B391+1)*1000000000))</f>
        <v/>
      </c>
      <c r="E391" s="128">
        <f>IF($B391="","",SUMIFS(Grids!$BQ$160:$EC$219,Grids!$EE$160:$GQ$219,"&gt;="&amp;$B391*1000000000,Grids!$EE$160:$GQ$219,"&lt;"&amp;($B391+1)*1000000000))</f>
        <v/>
      </c>
      <c r="F391" s="129">
        <f>IF($B391="","",SUM($C$26:$C391))</f>
        <v/>
      </c>
      <c r="G391" s="129">
        <f>IF($B391="","",SUM($D$26:$D391))</f>
        <v/>
      </c>
      <c r="H391" s="129">
        <f>IF($B391="","",SUM($E$26:$E391))</f>
        <v/>
      </c>
    </row>
    <row r="392">
      <c r="B392" s="127">
        <f>IF(WIN_FROM+366&gt;WIN_TO,"",WIN_FROM+366)</f>
        <v/>
      </c>
      <c r="C392" s="128">
        <f>IF($B392="","",SUMIFS(Grids!$BQ$12:$EC$111,Grids!$EE$12:$GQ$111,"&gt;="&amp;$B392*1000000000,Grids!$EE$12:$GQ$111,"&lt;"&amp;($B392+1)*1000000000))</f>
        <v/>
      </c>
      <c r="D392" s="128">
        <f>IF($B392="","",SUMIFS(Grids!$BQ$116:$EC$155,Grids!$EE$116:$GQ$155,"&gt;="&amp;$B392*1000000000,Grids!$EE$116:$GQ$155,"&lt;"&amp;($B392+1)*1000000000))</f>
        <v/>
      </c>
      <c r="E392" s="128">
        <f>IF($B392="","",SUMIFS(Grids!$BQ$160:$EC$219,Grids!$EE$160:$GQ$219,"&gt;="&amp;$B392*1000000000,Grids!$EE$160:$GQ$219,"&lt;"&amp;($B392+1)*1000000000))</f>
        <v/>
      </c>
      <c r="F392" s="129">
        <f>IF($B392="","",SUM($C$26:$C392))</f>
        <v/>
      </c>
      <c r="G392" s="129">
        <f>IF($B392="","",SUM($D$26:$D392))</f>
        <v/>
      </c>
      <c r="H392" s="129">
        <f>IF($B392="","",SUM($E$26:$E392))</f>
        <v/>
      </c>
    </row>
    <row r="393">
      <c r="B393" s="127">
        <f>IF(WIN_FROM+367&gt;WIN_TO,"",WIN_FROM+367)</f>
        <v/>
      </c>
      <c r="C393" s="128">
        <f>IF($B393="","",SUMIFS(Grids!$BQ$12:$EC$111,Grids!$EE$12:$GQ$111,"&gt;="&amp;$B393*1000000000,Grids!$EE$12:$GQ$111,"&lt;"&amp;($B393+1)*1000000000))</f>
        <v/>
      </c>
      <c r="D393" s="128">
        <f>IF($B393="","",SUMIFS(Grids!$BQ$116:$EC$155,Grids!$EE$116:$GQ$155,"&gt;="&amp;$B393*1000000000,Grids!$EE$116:$GQ$155,"&lt;"&amp;($B393+1)*1000000000))</f>
        <v/>
      </c>
      <c r="E393" s="128">
        <f>IF($B393="","",SUMIFS(Grids!$BQ$160:$EC$219,Grids!$EE$160:$GQ$219,"&gt;="&amp;$B393*1000000000,Grids!$EE$160:$GQ$219,"&lt;"&amp;($B393+1)*1000000000))</f>
        <v/>
      </c>
      <c r="F393" s="129">
        <f>IF($B393="","",SUM($C$26:$C393))</f>
        <v/>
      </c>
      <c r="G393" s="129">
        <f>IF($B393="","",SUM($D$26:$D393))</f>
        <v/>
      </c>
      <c r="H393" s="129">
        <f>IF($B393="","",SUM($E$26:$E393))</f>
        <v/>
      </c>
    </row>
    <row r="394">
      <c r="B394" s="127">
        <f>IF(WIN_FROM+368&gt;WIN_TO,"",WIN_FROM+368)</f>
        <v/>
      </c>
      <c r="C394" s="128">
        <f>IF($B394="","",SUMIFS(Grids!$BQ$12:$EC$111,Grids!$EE$12:$GQ$111,"&gt;="&amp;$B394*1000000000,Grids!$EE$12:$GQ$111,"&lt;"&amp;($B394+1)*1000000000))</f>
        <v/>
      </c>
      <c r="D394" s="128">
        <f>IF($B394="","",SUMIFS(Grids!$BQ$116:$EC$155,Grids!$EE$116:$GQ$155,"&gt;="&amp;$B394*1000000000,Grids!$EE$116:$GQ$155,"&lt;"&amp;($B394+1)*1000000000))</f>
        <v/>
      </c>
      <c r="E394" s="128">
        <f>IF($B394="","",SUMIFS(Grids!$BQ$160:$EC$219,Grids!$EE$160:$GQ$219,"&gt;="&amp;$B394*1000000000,Grids!$EE$160:$GQ$219,"&lt;"&amp;($B394+1)*1000000000))</f>
        <v/>
      </c>
      <c r="F394" s="129">
        <f>IF($B394="","",SUM($C$26:$C394))</f>
        <v/>
      </c>
      <c r="G394" s="129">
        <f>IF($B394="","",SUM($D$26:$D394))</f>
        <v/>
      </c>
      <c r="H394" s="129">
        <f>IF($B394="","",SUM($E$26:$E394))</f>
        <v/>
      </c>
    </row>
    <row r="395">
      <c r="B395" s="127">
        <f>IF(WIN_FROM+369&gt;WIN_TO,"",WIN_FROM+369)</f>
        <v/>
      </c>
      <c r="C395" s="128">
        <f>IF($B395="","",SUMIFS(Grids!$BQ$12:$EC$111,Grids!$EE$12:$GQ$111,"&gt;="&amp;$B395*1000000000,Grids!$EE$12:$GQ$111,"&lt;"&amp;($B395+1)*1000000000))</f>
        <v/>
      </c>
      <c r="D395" s="128">
        <f>IF($B395="","",SUMIFS(Grids!$BQ$116:$EC$155,Grids!$EE$116:$GQ$155,"&gt;="&amp;$B395*1000000000,Grids!$EE$116:$GQ$155,"&lt;"&amp;($B395+1)*1000000000))</f>
        <v/>
      </c>
      <c r="E395" s="128">
        <f>IF($B395="","",SUMIFS(Grids!$BQ$160:$EC$219,Grids!$EE$160:$GQ$219,"&gt;="&amp;$B395*1000000000,Grids!$EE$160:$GQ$219,"&lt;"&amp;($B395+1)*1000000000))</f>
        <v/>
      </c>
      <c r="F395" s="129">
        <f>IF($B395="","",SUM($C$26:$C395))</f>
        <v/>
      </c>
      <c r="G395" s="129">
        <f>IF($B395="","",SUM($D$26:$D395))</f>
        <v/>
      </c>
      <c r="H395" s="129">
        <f>IF($B395="","",SUM($E$26:$E395))</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A9D08E"/>
    <outlinePr summaryBelow="1" summaryRight="1"/>
    <pageSetUpPr/>
  </sheetPr>
  <dimension ref="B1:AZ259"/>
  <sheetViews>
    <sheetView workbookViewId="0">
      <pane xSplit="5" ySplit="11" topLeftCell="F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15" customWidth="1" min="3" max="3"/>
    <col width="22"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8" customWidth="1" min="42" max="42"/>
    <col width="8" customWidth="1" min="43" max="43"/>
    <col width="8" customWidth="1" min="44" max="44"/>
    <col width="8" customWidth="1" min="45" max="45"/>
    <col width="8" customWidth="1" min="46" max="46"/>
    <col width="8" customWidth="1" min="47" max="47"/>
    <col width="8" customWidth="1" min="48" max="48"/>
    <col width="8" customWidth="1" min="49" max="49"/>
    <col width="8" customWidth="1" min="50" max="50"/>
    <col width="24" customWidth="1" min="51" max="51"/>
    <col width="8" customWidth="1" min="52" max="52"/>
  </cols>
  <sheetData>
    <row r="1">
      <c r="B1" s="1" t="inlineStr">
        <is>
          <t>FUNDAMENTALS - WHAT PAYS THE DIVIDEND</t>
        </is>
      </c>
    </row>
    <row r="2">
      <c r="B2" s="2" t="inlineStr">
        <is>
          <t>DPS is per share, declared currency, on an ex-date clock; EPS and payout are fiscal; yield Y-n = DPS Y-n x FX / that year-end price. Filter with the header arrows; never sort.</t>
        </is>
      </c>
    </row>
    <row r="4">
      <c r="B4" s="3" t="inlineStr">
        <is>
          <t>Flag thresholds</t>
        </is>
      </c>
      <c r="C4" s="8" t="inlineStr">
        <is>
          <t>payout above</t>
        </is>
      </c>
      <c r="D4" s="54" t="n">
        <v>1</v>
      </c>
      <c r="E4" s="8" t="inlineStr">
        <is>
          <t>FCF cover below</t>
        </is>
      </c>
      <c r="F4" s="130" t="n">
        <v>1</v>
      </c>
      <c r="G4" s="8" t="inlineStr">
        <is>
          <t>ND/EBITDA above</t>
        </is>
      </c>
      <c r="H4" s="130" t="n">
        <v>3</v>
      </c>
    </row>
    <row r="5">
      <c r="B5" s="8" t="inlineStr">
        <is>
          <t>Fundamentals pulls</t>
        </is>
      </c>
      <c r="C5" s="19">
        <f>IF(PULL_FUND="Y","ON - amber columns live","OFF - amber columns blank (Summary C16)")</f>
        <v/>
      </c>
      <c r="D5" s="20" t="n"/>
      <c r="E5" s="20" t="n"/>
      <c r="F5" s="20" t="n"/>
      <c r="G5" s="20" t="n"/>
      <c r="H5" s="21" t="n"/>
    </row>
    <row r="8">
      <c r="B8" s="2" t="inlineStr">
        <is>
          <t>Jump to:</t>
        </is>
      </c>
      <c r="C8" s="56" t="inlineStr">
        <is>
          <t>DPS</t>
        </is>
      </c>
      <c r="D8" s="56" t="inlineStr">
        <is>
          <t>Yields</t>
        </is>
      </c>
      <c r="E8" s="56" t="inlineStr">
        <is>
          <t>EPS</t>
        </is>
      </c>
      <c r="F8" s="56" t="inlineStr">
        <is>
          <t>Payout</t>
        </is>
      </c>
      <c r="G8" s="56" t="inlineStr">
        <is>
          <t>Buybacks</t>
        </is>
      </c>
      <c r="H8" s="56" t="inlineStr">
        <is>
          <t>Balance sheet</t>
        </is>
      </c>
      <c r="I8" s="56" t="inlineStr">
        <is>
          <t>Sector tables</t>
        </is>
      </c>
    </row>
    <row r="10">
      <c r="B10" s="6" t="inlineStr">
        <is>
          <t>WHO</t>
        </is>
      </c>
      <c r="C10" s="7" t="n"/>
      <c r="D10" s="7" t="n"/>
      <c r="E10" s="7" t="n"/>
      <c r="F10" s="57" t="inlineStr">
        <is>
          <t>DPS BY EX-DATE YEAR  (per share, declared ccy - cash types only)</t>
        </is>
      </c>
      <c r="G10" s="58" t="n"/>
      <c r="H10" s="58" t="n"/>
      <c r="I10" s="58" t="n"/>
      <c r="J10" s="58" t="n"/>
      <c r="K10" s="58" t="n"/>
      <c r="L10" s="58" t="n"/>
      <c r="M10" s="58" t="n"/>
      <c r="N10" s="58" t="n"/>
      <c r="O10" s="58" t="n"/>
      <c r="P10" s="6" t="inlineStr">
        <is>
          <t>DIVIDEND YIELD BY YEAR</t>
        </is>
      </c>
      <c r="Q10" s="7" t="n"/>
      <c r="R10" s="7" t="n"/>
      <c r="S10" s="7" t="n"/>
      <c r="T10" s="7" t="n"/>
      <c r="U10" s="7" t="n"/>
      <c r="V10" s="7" t="n"/>
      <c r="W10" s="7" t="n"/>
      <c r="X10" s="59" t="inlineStr">
        <is>
          <t>EPS BY FISCAL YEAR</t>
        </is>
      </c>
      <c r="Y10" s="60" t="n"/>
      <c r="Z10" s="60" t="n"/>
      <c r="AA10" s="60" t="n"/>
      <c r="AB10" s="60" t="n"/>
      <c r="AC10" s="60" t="n"/>
      <c r="AD10" s="60" t="n"/>
      <c r="AE10" s="6" t="inlineStr">
        <is>
          <t>PAYOUT</t>
        </is>
      </c>
      <c r="AF10" s="7" t="n"/>
      <c r="AG10" s="7" t="n"/>
      <c r="AH10" s="7" t="n"/>
      <c r="AI10" s="7" t="n"/>
      <c r="AJ10" s="7" t="n"/>
      <c r="AK10" s="7" t="n"/>
      <c r="AL10" s="7" t="n"/>
      <c r="AM10" s="7" t="n"/>
      <c r="AN10" s="57" t="inlineStr">
        <is>
          <t>BUYBACKS (LTM / mkt cap)</t>
        </is>
      </c>
      <c r="AO10" s="58" t="n"/>
      <c r="AP10" s="58" t="n"/>
      <c r="AQ10" s="58" t="n"/>
      <c r="AR10" s="58" t="n"/>
      <c r="AS10" s="59" t="inlineStr">
        <is>
          <t>BALANCE SHEET &amp; CASH</t>
        </is>
      </c>
      <c r="AT10" s="60" t="n"/>
      <c r="AU10" s="60" t="n"/>
      <c r="AV10" s="60" t="n"/>
      <c r="AW10" s="60" t="n"/>
      <c r="AX10" s="60" t="n"/>
    </row>
    <row r="11">
      <c r="B11" s="23" t="inlineStr">
        <is>
          <t>Index</t>
        </is>
      </c>
      <c r="C11" s="23" t="inlineStr">
        <is>
          <t>Ticker</t>
        </is>
      </c>
      <c r="D11" s="23" t="inlineStr">
        <is>
          <t>Name</t>
        </is>
      </c>
      <c r="E11" s="23" t="inlineStr">
        <is>
          <t>GICS Sector</t>
        </is>
      </c>
      <c r="F11" s="61" t="inlineStr">
        <is>
          <t>DPS
Y-5</t>
        </is>
      </c>
      <c r="G11" s="62" t="inlineStr">
        <is>
          <t>DPS
Y-4</t>
        </is>
      </c>
      <c r="H11" s="62" t="inlineStr">
        <is>
          <t>DPS
Y-3</t>
        </is>
      </c>
      <c r="I11" s="62" t="inlineStr">
        <is>
          <t>DPS
Y-2</t>
        </is>
      </c>
      <c r="J11" s="62" t="inlineStr">
        <is>
          <t>DPS
Y-1</t>
        </is>
      </c>
      <c r="K11" s="62" t="inlineStr">
        <is>
          <t>DPS
YTD</t>
        </is>
      </c>
      <c r="L11" s="62" t="inlineStr">
        <is>
          <t>DPS to
come</t>
        </is>
      </c>
      <c r="M11" s="62" t="inlineStr">
        <is>
          <t>MODEL DPS
yr Y</t>
        </is>
      </c>
      <c r="N11" s="62" t="inlineStr">
        <is>
          <t>Fwd DPS
(street)</t>
        </is>
      </c>
      <c r="O11" s="62" t="inlineStr">
        <is>
          <t>5Y avg
DPS</t>
        </is>
      </c>
      <c r="P11" s="63" t="inlineStr">
        <is>
          <t>Yld
Y-5</t>
        </is>
      </c>
      <c r="Q11" s="23" t="inlineStr">
        <is>
          <t>Yld
Y-4</t>
        </is>
      </c>
      <c r="R11" s="23" t="inlineStr">
        <is>
          <t>Yld
Y-3</t>
        </is>
      </c>
      <c r="S11" s="23" t="inlineStr">
        <is>
          <t>Yld
Y-2</t>
        </is>
      </c>
      <c r="T11" s="23" t="inlineStr">
        <is>
          <t>Yld
Y-1</t>
        </is>
      </c>
      <c r="U11" s="23" t="inlineStr">
        <is>
          <t>Dvd yld
12M</t>
        </is>
      </c>
      <c r="V11" s="23" t="inlineStr">
        <is>
          <t>MODEL
fwd yld</t>
        </is>
      </c>
      <c r="W11" s="23" t="inlineStr">
        <is>
          <t>Street
fwd yld</t>
        </is>
      </c>
      <c r="X11" s="64" t="inlineStr">
        <is>
          <t>EPS
Y-5</t>
        </is>
      </c>
      <c r="Y11" s="65" t="inlineStr">
        <is>
          <t>EPS
Y-4</t>
        </is>
      </c>
      <c r="Z11" s="65" t="inlineStr">
        <is>
          <t>EPS
Y-3</t>
        </is>
      </c>
      <c r="AA11" s="65" t="inlineStr">
        <is>
          <t>EPS
Y-2</t>
        </is>
      </c>
      <c r="AB11" s="65" t="inlineStr">
        <is>
          <t>EPS
Y-1</t>
        </is>
      </c>
      <c r="AC11" s="65" t="inlineStr">
        <is>
          <t>5Y avg
EPS</t>
        </is>
      </c>
      <c r="AD11" s="65" t="inlineStr">
        <is>
          <t>Fwd EPS
(street)</t>
        </is>
      </c>
      <c r="AE11" s="63" t="inlineStr">
        <is>
          <t>Payout
Y-5</t>
        </is>
      </c>
      <c r="AF11" s="23" t="inlineStr">
        <is>
          <t>Payout
Y-4</t>
        </is>
      </c>
      <c r="AG11" s="23" t="inlineStr">
        <is>
          <t>Payout
Y-3</t>
        </is>
      </c>
      <c r="AH11" s="23" t="inlineStr">
        <is>
          <t>Payout
Y-2</t>
        </is>
      </c>
      <c r="AI11" s="23" t="inlineStr">
        <is>
          <t>Payout
Y-1</t>
        </is>
      </c>
      <c r="AJ11" s="23" t="inlineStr">
        <is>
          <t>5Y avg
payout</t>
        </is>
      </c>
      <c r="AK11" s="23" t="inlineStr">
        <is>
          <t>Fwd payout
(street)</t>
        </is>
      </c>
      <c r="AL11" s="23" t="inlineStr">
        <is>
          <t>MODEL
payout (Y)</t>
        </is>
      </c>
      <c r="AM11" s="23" t="inlineStr">
        <is>
          <t>Payout
trend</t>
        </is>
      </c>
      <c r="AN11" s="61" t="inlineStr">
        <is>
          <t>Buyback
Y-4</t>
        </is>
      </c>
      <c r="AO11" s="62" t="inlineStr">
        <is>
          <t>Buyback
Y-3</t>
        </is>
      </c>
      <c r="AP11" s="62" t="inlineStr">
        <is>
          <t>Buyback
Y-2</t>
        </is>
      </c>
      <c r="AQ11" s="62" t="inlineStr">
        <is>
          <t>Buyback
Y-1</t>
        </is>
      </c>
      <c r="AR11" s="62" t="inlineStr">
        <is>
          <t>Bb+dvd
yield</t>
        </is>
      </c>
      <c r="AS11" s="64" t="inlineStr">
        <is>
          <t>ND/E
Y-2</t>
        </is>
      </c>
      <c r="AT11" s="65" t="inlineStr">
        <is>
          <t>ND/E
Y-1</t>
        </is>
      </c>
      <c r="AU11" s="65" t="inlineStr">
        <is>
          <t>Net debt
/EBITDA</t>
        </is>
      </c>
      <c r="AV11" s="65" t="inlineStr">
        <is>
          <t>EBITDA
/interest</t>
        </is>
      </c>
      <c r="AW11" s="65" t="inlineStr">
        <is>
          <t>FCF
yld</t>
        </is>
      </c>
      <c r="AX11" s="65" t="inlineStr">
        <is>
          <t>FCF
cover</t>
        </is>
      </c>
      <c r="AY11" s="63" t="inlineStr">
        <is>
          <t>Watch</t>
        </is>
      </c>
      <c r="AZ11" s="23" t="inlineStr">
        <is>
          <t>Dvd
ccy</t>
        </is>
      </c>
    </row>
    <row r="12">
      <c r="B12" s="66" t="inlineStr">
        <is>
          <t>HSI</t>
        </is>
      </c>
      <c r="C12" s="8">
        <f>IF(HSI!$C$7="","",HSI!$C$7)</f>
        <v/>
      </c>
      <c r="D12" s="8">
        <f>IF($C12="","",HSI!$D$7)</f>
        <v/>
      </c>
      <c r="E12" s="8">
        <f>IF($C12="","",HSI!$E$7)</f>
        <v/>
      </c>
      <c r="F12" s="131">
        <f>IF($C12="","",SUMPRODUCT(('Dvd Calendar'!$E$11:$AR$11&gt;=DATE(YEAR_Y-5,1,1))*('Dvd Calendar'!$E$11:$AR$11&lt;=DATE(YEAR_Y-5,12,31))*'Dvd Calendar'!$E$14:$AR$14*(('Dvd Calendar'!$E$16:$AR$16=TYPE1)*(TYPE1&lt;&gt;"")+('Dvd Calendar'!$E$16:$AR$16=TYPE2)*(TYPE2&lt;&gt;"")+('Dvd Calendar'!$E$16:$AR$16=TYPE3)*(TYPE3&lt;&gt;"")+('Dvd Calendar'!$E$16:$AR$16=TYPE4)*(TYPE4&lt;&gt;"")+('Dvd Calendar'!$E$16:$AR$16=SPECIAL_LBL)*(INC_SPECIALS="Y"))))</f>
        <v/>
      </c>
      <c r="G12" s="132">
        <f>IF($C12="","",SUMPRODUCT(('Dvd Calendar'!$E$11:$AR$11&gt;=DATE(YEAR_Y-4,1,1))*('Dvd Calendar'!$E$11:$AR$11&lt;=DATE(YEAR_Y-4,12,31))*'Dvd Calendar'!$E$14:$AR$14*(('Dvd Calendar'!$E$16:$AR$16=TYPE1)*(TYPE1&lt;&gt;"")+('Dvd Calendar'!$E$16:$AR$16=TYPE2)*(TYPE2&lt;&gt;"")+('Dvd Calendar'!$E$16:$AR$16=TYPE3)*(TYPE3&lt;&gt;"")+('Dvd Calendar'!$E$16:$AR$16=TYPE4)*(TYPE4&lt;&gt;"")+('Dvd Calendar'!$E$16:$AR$16=SPECIAL_LBL)*(INC_SPECIALS="Y"))))</f>
        <v/>
      </c>
      <c r="H12" s="132">
        <f>IF($C12="","",SUMPRODUCT(('Dvd Calendar'!$E$11:$AR$11&gt;=DATE(YEAR_Y-3,1,1))*('Dvd Calendar'!$E$11:$AR$11&lt;=DATE(YEAR_Y-3,12,31))*'Dvd Calendar'!$E$14:$AR$14*(('Dvd Calendar'!$E$16:$AR$16=TYPE1)*(TYPE1&lt;&gt;"")+('Dvd Calendar'!$E$16:$AR$16=TYPE2)*(TYPE2&lt;&gt;"")+('Dvd Calendar'!$E$16:$AR$16=TYPE3)*(TYPE3&lt;&gt;"")+('Dvd Calendar'!$E$16:$AR$16=TYPE4)*(TYPE4&lt;&gt;"")+('Dvd Calendar'!$E$16:$AR$16=SPECIAL_LBL)*(INC_SPECIALS="Y"))))</f>
        <v/>
      </c>
      <c r="I12" s="132">
        <f>IF($C12="","",SUMPRODUCT(('Dvd Calendar'!$E$11:$AR$11&gt;=DATE(YEAR_Y-2,1,1))*('Dvd Calendar'!$E$11:$AR$11&lt;=DATE(YEAR_Y-2,12,31))*'Dvd Calendar'!$E$14:$AR$14*(('Dvd Calendar'!$E$16:$AR$16=TYPE1)*(TYPE1&lt;&gt;"")+('Dvd Calendar'!$E$16:$AR$16=TYPE2)*(TYPE2&lt;&gt;"")+('Dvd Calendar'!$E$16:$AR$16=TYPE3)*(TYPE3&lt;&gt;"")+('Dvd Calendar'!$E$16:$AR$16=TYPE4)*(TYPE4&lt;&gt;"")+('Dvd Calendar'!$E$16:$AR$16=SPECIAL_LBL)*(INC_SPECIALS="Y"))))</f>
        <v/>
      </c>
      <c r="J12" s="132">
        <f>IF($C12="","",SUMPRODUCT(('Dvd Calendar'!$E$11:$AR$11&gt;=DATE(YEAR_Y-1,1,1))*('Dvd Calendar'!$E$11:$AR$11&lt;=DATE(YEAR_Y-1,12,31))*'Dvd Calendar'!$E$14:$AR$14*(('Dvd Calendar'!$E$16:$AR$16=TYPE1)*(TYPE1&lt;&gt;"")+('Dvd Calendar'!$E$16:$AR$16=TYPE2)*(TYPE2&lt;&gt;"")+('Dvd Calendar'!$E$16:$AR$16=TYPE3)*(TYPE3&lt;&gt;"")+('Dvd Calendar'!$E$16:$AR$16=TYPE4)*(TYPE4&lt;&gt;"")+('Dvd Calendar'!$E$16:$AR$16=SPECIAL_LBL)*(INC_SPECIALS="Y"))))</f>
        <v/>
      </c>
      <c r="K12" s="133">
        <f>IF($C12="","",HSI!$J$7)</f>
        <v/>
      </c>
      <c r="L12" s="133">
        <f>IF($C12="","",HSI!$K$7)</f>
        <v/>
      </c>
      <c r="M12" s="124">
        <f>IF($C12="","",HSI!$J$7+HSI!$L$7)</f>
        <v/>
      </c>
      <c r="N12" s="134">
        <f>IF($C12="","",IF(PULL_FUND="N","",IFERROR(BDP($C12,BESTDPS_FIELD,FWD_OVERRIDE,TEXT(MOD(YEAR_Y,100),"00")&amp;"Y"),"")))</f>
        <v/>
      </c>
      <c r="O12" s="133">
        <f>IF($C12="","",AVERAGE(F12:J12))</f>
        <v/>
      </c>
      <c r="P12" s="135">
        <f>IF($C12="","",IF(PULL_FUND="N","",IF(COUNTIFS('Fund History'!$J$8:$J$12,"&gt;="&amp;DATE(YEAR_Y-5,1,1),'Fund History'!$J$8:$J$12,"&lt;="&amp;DATE(YEAR_Y-5,12,31))=0,"",IFERROR($F12*HSI!$G$7/SUMIFS('Fund History'!$K$8:$K$12,'Fund History'!$J$8:$J$12,"&gt;="&amp;DATE(YEAR_Y-5,1,1),'Fund History'!$J$8:$J$12,"&lt;="&amp;DATE(YEAR_Y-5,12,31)),""))))</f>
        <v/>
      </c>
      <c r="Q12" s="136">
        <f>IF($C12="","",IF(PULL_FUND="N","",IF(COUNTIFS('Fund History'!$J$8:$J$12,"&gt;="&amp;DATE(YEAR_Y-4,1,1),'Fund History'!$J$8:$J$12,"&lt;="&amp;DATE(YEAR_Y-4,12,31))=0,"",IFERROR($G12*HSI!$G$7/SUMIFS('Fund History'!$K$8:$K$12,'Fund History'!$J$8:$J$12,"&gt;="&amp;DATE(YEAR_Y-4,1,1),'Fund History'!$J$8:$J$12,"&lt;="&amp;DATE(YEAR_Y-4,12,31)),""))))</f>
        <v/>
      </c>
      <c r="R12" s="136">
        <f>IF($C12="","",IF(PULL_FUND="N","",IF(COUNTIFS('Fund History'!$J$8:$J$12,"&gt;="&amp;DATE(YEAR_Y-3,1,1),'Fund History'!$J$8:$J$12,"&lt;="&amp;DATE(YEAR_Y-3,12,31))=0,"",IFERROR($H12*HSI!$G$7/SUMIFS('Fund History'!$K$8:$K$12,'Fund History'!$J$8:$J$12,"&gt;="&amp;DATE(YEAR_Y-3,1,1),'Fund History'!$J$8:$J$12,"&lt;="&amp;DATE(YEAR_Y-3,12,31)),""))))</f>
        <v/>
      </c>
      <c r="S12" s="136">
        <f>IF($C12="","",IF(PULL_FUND="N","",IF(COUNTIFS('Fund History'!$J$8:$J$12,"&gt;="&amp;DATE(YEAR_Y-2,1,1),'Fund History'!$J$8:$J$12,"&lt;="&amp;DATE(YEAR_Y-2,12,31))=0,"",IFERROR($I12*HSI!$G$7/SUMIFS('Fund History'!$K$8:$K$12,'Fund History'!$J$8:$J$12,"&gt;="&amp;DATE(YEAR_Y-2,1,1),'Fund History'!$J$8:$J$12,"&lt;="&amp;DATE(YEAR_Y-2,12,31)),""))))</f>
        <v/>
      </c>
      <c r="T12" s="136">
        <f>IF($C12="","",IF(PULL_FUND="N","",IF(COUNTIFS('Fund History'!$J$8:$J$12,"&gt;="&amp;DATE(YEAR_Y-1,1,1),'Fund History'!$J$8:$J$12,"&lt;="&amp;DATE(YEAR_Y-1,12,31))=0,"",IFERROR($J12*HSI!$G$7/SUMIFS('Fund History'!$K$8:$K$12,'Fund History'!$J$8:$J$12,"&gt;="&amp;DATE(YEAR_Y-1,1,1),'Fund History'!$J$8:$J$12,"&lt;="&amp;DATE(YEAR_Y-1,12,31)),""))))</f>
        <v/>
      </c>
      <c r="U12" s="137">
        <f>IF($C12="","",IF(ISNUMBER(HSI!$I$7),HSI!$I$7/100,""))</f>
        <v/>
      </c>
      <c r="V12" s="138">
        <f>IF($C12="","",IF(ISNUMBER(HSI!$X$7),IFERROR($M12*HSI!$G$7/HSI!$X$7,""),""))</f>
        <v/>
      </c>
      <c r="W12" s="137">
        <f>IF($C12="","",IF(ISNUMBER($N12),IFERROR($N12*HSI!$G$7/HSI!$X$7,""),""))</f>
        <v/>
      </c>
      <c r="X12" s="139">
        <f>IF($C12="","",IF(PULL_FUND="N","",IFERROR(BDP($C12,EPS_FIELD,YR_OVERRIDE,TEXT(YEAR_Y-5,"0")),"")))</f>
        <v/>
      </c>
      <c r="Y12" s="140">
        <f>IF($C12="","",IF(PULL_FUND="N","",IFERROR(BDP($C12,EPS_FIELD,YR_OVERRIDE,TEXT(YEAR_Y-4,"0")),"")))</f>
        <v/>
      </c>
      <c r="Z12" s="140">
        <f>IF($C12="","",IF(PULL_FUND="N","",IFERROR(BDP($C12,EPS_FIELD,YR_OVERRIDE,TEXT(YEAR_Y-3,"0")),"")))</f>
        <v/>
      </c>
      <c r="AA12" s="140">
        <f>IF($C12="","",IF(PULL_FUND="N","",IFERROR(BDP($C12,EPS_FIELD,YR_OVERRIDE,TEXT(YEAR_Y-2,"0")),"")))</f>
        <v/>
      </c>
      <c r="AB12" s="140">
        <f>IF($C12="","",IF(PULL_FUND="N","",IFERROR(BDP($C12,EPS_FIELD,YR_OVERRIDE,TEXT(YEAR_Y-1,"0")),"")))</f>
        <v/>
      </c>
      <c r="AC12" s="126">
        <f>IF($C12="","",IFERROR(AVERAGE(X12:AB12),""))</f>
        <v/>
      </c>
      <c r="AD12" s="140">
        <f>IF($C12="","",IF(PULL_FUND="N","",IFERROR(BDP($C12,BESTEPS_FIELD,FWD_OVERRIDE,TEXT(MOD(YEAR_Y,100),"00")&amp;"Y"),"")))</f>
        <v/>
      </c>
      <c r="AE12" s="141">
        <f>IF($C12="","",IF(PULL_FUND="N","",IFERROR(BDP($C12,PAYOUT_FIELD,YR_OVERRIDE,TEXT(YEAR_Y-5,"0"))/100,"")))</f>
        <v/>
      </c>
      <c r="AF12" s="142">
        <f>IF($C12="","",IF(PULL_FUND="N","",IFERROR(BDP($C12,PAYOUT_FIELD,YR_OVERRIDE,TEXT(YEAR_Y-4,"0"))/100,"")))</f>
        <v/>
      </c>
      <c r="AG12" s="142">
        <f>IF($C12="","",IF(PULL_FUND="N","",IFERROR(BDP($C12,PAYOUT_FIELD,YR_OVERRIDE,TEXT(YEAR_Y-3,"0"))/100,"")))</f>
        <v/>
      </c>
      <c r="AH12" s="142">
        <f>IF($C12="","",IF(PULL_FUND="N","",IFERROR(BDP($C12,PAYOUT_FIELD,YR_OVERRIDE,TEXT(YEAR_Y-2,"0"))/100,"")))</f>
        <v/>
      </c>
      <c r="AI12" s="142">
        <f>IF($C12="","",IF(PULL_FUND="N","",IFERROR(BDP($C12,PAYOUT_FIELD,YR_OVERRIDE,TEXT(YEAR_Y-1,"0"))/100,"")))</f>
        <v/>
      </c>
      <c r="AJ12" s="143">
        <f>IF($C12="","",IFERROR(AVERAGE(AE12:AI12),""))</f>
        <v/>
      </c>
      <c r="AK12" s="144">
        <f>IF($C12="","",IF(ISNUMBER($AD12)*ISNUMBER($N12)*($AD12&lt;&gt;0)=0,"",$N12/$AD12))</f>
        <v/>
      </c>
      <c r="AL12" s="143">
        <f>IF($C12="","",IF(ISNUMBER($AD12)*($AD12&lt;&gt;0)=0,"",$M12/$AD12))</f>
        <v/>
      </c>
      <c r="AM12" s="37">
        <f>IF($C12="","",IF(ISNUMBER($AE12)*ISNUMBER($AI12)=0,"",IF($AI12&gt;$AE12+0.05,"rising",IF($AI12&lt;$AE12-0.05,"falling","stable"))))</f>
        <v/>
      </c>
      <c r="AN12" s="145">
        <f>IF($C12="","",IF(PULL_FUND="N","",IF(COUNTIFS('Fund History'!$G$8:$G$12,"&gt;="&amp;DATE(YEAR_Y-4,1,1),'Fund History'!$G$8:$G$12,"&lt;="&amp;DATE(YEAR_Y-4,12,31))=0,"",SUMIFS('Fund History'!$H$8:$H$12,'Fund History'!$G$8:$G$12,"&gt;="&amp;DATE(YEAR_Y-4,1,1),'Fund History'!$G$8:$G$12,"&lt;="&amp;DATE(YEAR_Y-4,12,31))/100)))</f>
        <v/>
      </c>
      <c r="AO12" s="146">
        <f>IF($C12="","",IF(PULL_FUND="N","",IF(COUNTIFS('Fund History'!$G$8:$G$12,"&gt;="&amp;DATE(YEAR_Y-3,1,1),'Fund History'!$G$8:$G$12,"&lt;="&amp;DATE(YEAR_Y-3,12,31))=0,"",SUMIFS('Fund History'!$H$8:$H$12,'Fund History'!$G$8:$G$12,"&gt;="&amp;DATE(YEAR_Y-3,1,1),'Fund History'!$G$8:$G$12,"&lt;="&amp;DATE(YEAR_Y-3,12,31))/100)))</f>
        <v/>
      </c>
      <c r="AP12" s="146">
        <f>IF($C12="","",IF(PULL_FUND="N","",IF(COUNTIFS('Fund History'!$G$8:$G$12,"&gt;="&amp;DATE(YEAR_Y-2,1,1),'Fund History'!$G$8:$G$12,"&lt;="&amp;DATE(YEAR_Y-2,12,31))=0,"",SUMIFS('Fund History'!$H$8:$H$12,'Fund History'!$G$8:$G$12,"&gt;="&amp;DATE(YEAR_Y-2,1,1),'Fund History'!$G$8:$G$12,"&lt;="&amp;DATE(YEAR_Y-2,12,31))/100)))</f>
        <v/>
      </c>
      <c r="AQ12" s="146">
        <f>IF($C12="","",IF(PULL_FUND="N","",IF(COUNTIFS('Fund History'!$G$8:$G$12,"&gt;="&amp;DATE(YEAR_Y-1,1,1),'Fund History'!$G$8:$G$12,"&lt;="&amp;DATE(YEAR_Y-1,12,31))=0,"",SUMIFS('Fund History'!$H$8:$H$12,'Fund History'!$G$8:$G$12,"&gt;="&amp;DATE(YEAR_Y-1,1,1),'Fund History'!$G$8:$G$12,"&lt;="&amp;DATE(YEAR_Y-1,12,31))/100)))</f>
        <v/>
      </c>
      <c r="AR12" s="147">
        <f>IF($C12="","",IF(N($AQ12)+N(HSI!$I$7)=0,"",N($AQ12)+N(HSI!$I$7)/100))</f>
        <v/>
      </c>
      <c r="AS12" s="139">
        <f>IF($C12="","",IF(PULL_FUND="N","",IF(COUNTIFS('Fund History'!$D$8:$D$12,"&gt;="&amp;DATE(YEAR_Y-2,1,1),'Fund History'!$D$8:$D$12,"&lt;="&amp;DATE(YEAR_Y-2,12,31))=0,"",SUMIFS('Fund History'!$E$8:$E$12,'Fund History'!$D$8:$D$12,"&gt;="&amp;DATE(YEAR_Y-2,1,1),'Fund History'!$D$8:$D$12,"&lt;="&amp;DATE(YEAR_Y-2,12,31)))))</f>
        <v/>
      </c>
      <c r="AT12" s="140">
        <f>IF($C12="","",IF(PULL_FUND="N","",IF(COUNTIFS('Fund History'!$D$8:$D$12,"&gt;="&amp;DATE(YEAR_Y-1,1,1),'Fund History'!$D$8:$D$12,"&lt;="&amp;DATE(YEAR_Y-1,12,31))=0,"",SUMIFS('Fund History'!$E$8:$E$12,'Fund History'!$D$8:$D$12,"&gt;="&amp;DATE(YEAR_Y-1,1,1),'Fund History'!$D$8:$D$12,"&lt;="&amp;DATE(YEAR_Y-1,12,31)))))</f>
        <v/>
      </c>
      <c r="AU12" s="140">
        <f>IF($C12="","",IF(PULL_FUND="N","",IFERROR(BDP($C12,NDEBITDA_FIELD),"")))</f>
        <v/>
      </c>
      <c r="AV12" s="148">
        <f>IF($C12="","",IF(PULL_FUND="N","",IFERROR(BDP($C12,EBINT_FIELD),"")))</f>
        <v/>
      </c>
      <c r="AW12" s="146">
        <f>IF($C12="","",IF(PULL_FUND="N","",IFERROR(BDP($C12,FCF_FIELD)/100,"")))</f>
        <v/>
      </c>
      <c r="AX12" s="126">
        <f>IF($C12="","",IF(N($U12)=0,"",IFERROR($AW12/$U12,"")))</f>
        <v/>
      </c>
      <c r="AY12" s="85">
        <f>IF($C12="","",TRIM(IF(ISNUMBER($AJ12)*(N($AJ12)&gt;$D$4)&gt;0,"payout high  ","")&amp;IF(ISNUMBER($AX12)*(N($AX12)&lt;$F$4)&gt;0,"FCF below dvd  ","")&amp;IF(ISNUMBER($AU12)*(N($AU12)&gt;$H$4)&gt;0,"leverage high","")))</f>
        <v/>
      </c>
      <c r="AZ12" s="86">
        <f>IF($C12="","",IF(HSI!$F$7="HKD","",HSI!$F$7))</f>
        <v/>
      </c>
    </row>
    <row r="13">
      <c r="B13" s="66" t="inlineStr">
        <is>
          <t>HSI</t>
        </is>
      </c>
      <c r="C13" s="8">
        <f>IF(HSI!$C$8="","",HSI!$C$8)</f>
        <v/>
      </c>
      <c r="D13" s="8">
        <f>IF($C13="","",HSI!$D$8)</f>
        <v/>
      </c>
      <c r="E13" s="8">
        <f>IF($C13="","",HSI!$E$8)</f>
        <v/>
      </c>
      <c r="F13" s="131">
        <f>IF($C13="","",SUMPRODUCT(('Dvd Calendar'!$E$22:$AR$22&gt;=DATE(YEAR_Y-5,1,1))*('Dvd Calendar'!$E$22:$AR$22&lt;=DATE(YEAR_Y-5,12,31))*'Dvd Calendar'!$E$25:$AR$25*(('Dvd Calendar'!$E$27:$AR$27=TYPE1)*(TYPE1&lt;&gt;"")+('Dvd Calendar'!$E$27:$AR$27=TYPE2)*(TYPE2&lt;&gt;"")+('Dvd Calendar'!$E$27:$AR$27=TYPE3)*(TYPE3&lt;&gt;"")+('Dvd Calendar'!$E$27:$AR$27=TYPE4)*(TYPE4&lt;&gt;"")+('Dvd Calendar'!$E$27:$AR$27=SPECIAL_LBL)*(INC_SPECIALS="Y"))))</f>
        <v/>
      </c>
      <c r="G13" s="132">
        <f>IF($C13="","",SUMPRODUCT(('Dvd Calendar'!$E$22:$AR$22&gt;=DATE(YEAR_Y-4,1,1))*('Dvd Calendar'!$E$22:$AR$22&lt;=DATE(YEAR_Y-4,12,31))*'Dvd Calendar'!$E$25:$AR$25*(('Dvd Calendar'!$E$27:$AR$27=TYPE1)*(TYPE1&lt;&gt;"")+('Dvd Calendar'!$E$27:$AR$27=TYPE2)*(TYPE2&lt;&gt;"")+('Dvd Calendar'!$E$27:$AR$27=TYPE3)*(TYPE3&lt;&gt;"")+('Dvd Calendar'!$E$27:$AR$27=TYPE4)*(TYPE4&lt;&gt;"")+('Dvd Calendar'!$E$27:$AR$27=SPECIAL_LBL)*(INC_SPECIALS="Y"))))</f>
        <v/>
      </c>
      <c r="H13" s="132">
        <f>IF($C13="","",SUMPRODUCT(('Dvd Calendar'!$E$22:$AR$22&gt;=DATE(YEAR_Y-3,1,1))*('Dvd Calendar'!$E$22:$AR$22&lt;=DATE(YEAR_Y-3,12,31))*'Dvd Calendar'!$E$25:$AR$25*(('Dvd Calendar'!$E$27:$AR$27=TYPE1)*(TYPE1&lt;&gt;"")+('Dvd Calendar'!$E$27:$AR$27=TYPE2)*(TYPE2&lt;&gt;"")+('Dvd Calendar'!$E$27:$AR$27=TYPE3)*(TYPE3&lt;&gt;"")+('Dvd Calendar'!$E$27:$AR$27=TYPE4)*(TYPE4&lt;&gt;"")+('Dvd Calendar'!$E$27:$AR$27=SPECIAL_LBL)*(INC_SPECIALS="Y"))))</f>
        <v/>
      </c>
      <c r="I13" s="132">
        <f>IF($C13="","",SUMPRODUCT(('Dvd Calendar'!$E$22:$AR$22&gt;=DATE(YEAR_Y-2,1,1))*('Dvd Calendar'!$E$22:$AR$22&lt;=DATE(YEAR_Y-2,12,31))*'Dvd Calendar'!$E$25:$AR$25*(('Dvd Calendar'!$E$27:$AR$27=TYPE1)*(TYPE1&lt;&gt;"")+('Dvd Calendar'!$E$27:$AR$27=TYPE2)*(TYPE2&lt;&gt;"")+('Dvd Calendar'!$E$27:$AR$27=TYPE3)*(TYPE3&lt;&gt;"")+('Dvd Calendar'!$E$27:$AR$27=TYPE4)*(TYPE4&lt;&gt;"")+('Dvd Calendar'!$E$27:$AR$27=SPECIAL_LBL)*(INC_SPECIALS="Y"))))</f>
        <v/>
      </c>
      <c r="J13" s="132">
        <f>IF($C13="","",SUMPRODUCT(('Dvd Calendar'!$E$22:$AR$22&gt;=DATE(YEAR_Y-1,1,1))*('Dvd Calendar'!$E$22:$AR$22&lt;=DATE(YEAR_Y-1,12,31))*'Dvd Calendar'!$E$25:$AR$25*(('Dvd Calendar'!$E$27:$AR$27=TYPE1)*(TYPE1&lt;&gt;"")+('Dvd Calendar'!$E$27:$AR$27=TYPE2)*(TYPE2&lt;&gt;"")+('Dvd Calendar'!$E$27:$AR$27=TYPE3)*(TYPE3&lt;&gt;"")+('Dvd Calendar'!$E$27:$AR$27=TYPE4)*(TYPE4&lt;&gt;"")+('Dvd Calendar'!$E$27:$AR$27=SPECIAL_LBL)*(INC_SPECIALS="Y"))))</f>
        <v/>
      </c>
      <c r="K13" s="133">
        <f>IF($C13="","",HSI!$J$8)</f>
        <v/>
      </c>
      <c r="L13" s="133">
        <f>IF($C13="","",HSI!$K$8)</f>
        <v/>
      </c>
      <c r="M13" s="124">
        <f>IF($C13="","",HSI!$J$8+HSI!$L$8)</f>
        <v/>
      </c>
      <c r="N13" s="134">
        <f>IF($C13="","",IF(PULL_FUND="N","",IFERROR(BDP($C13,BESTDPS_FIELD,FWD_OVERRIDE,TEXT(MOD(YEAR_Y,100),"00")&amp;"Y"),"")))</f>
        <v/>
      </c>
      <c r="O13" s="133">
        <f>IF($C13="","",AVERAGE(F13:J13))</f>
        <v/>
      </c>
      <c r="P13" s="135">
        <f>IF($C13="","",IF(PULL_FUND="N","",IF(COUNTIFS('Fund History'!$J$14:$J$18,"&gt;="&amp;DATE(YEAR_Y-5,1,1),'Fund History'!$J$14:$J$18,"&lt;="&amp;DATE(YEAR_Y-5,12,31))=0,"",IFERROR($F13*HSI!$G$8/SUMIFS('Fund History'!$K$14:$K$18,'Fund History'!$J$14:$J$18,"&gt;="&amp;DATE(YEAR_Y-5,1,1),'Fund History'!$J$14:$J$18,"&lt;="&amp;DATE(YEAR_Y-5,12,31)),""))))</f>
        <v/>
      </c>
      <c r="Q13" s="136">
        <f>IF($C13="","",IF(PULL_FUND="N","",IF(COUNTIFS('Fund History'!$J$14:$J$18,"&gt;="&amp;DATE(YEAR_Y-4,1,1),'Fund History'!$J$14:$J$18,"&lt;="&amp;DATE(YEAR_Y-4,12,31))=0,"",IFERROR($G13*HSI!$G$8/SUMIFS('Fund History'!$K$14:$K$18,'Fund History'!$J$14:$J$18,"&gt;="&amp;DATE(YEAR_Y-4,1,1),'Fund History'!$J$14:$J$18,"&lt;="&amp;DATE(YEAR_Y-4,12,31)),""))))</f>
        <v/>
      </c>
      <c r="R13" s="136">
        <f>IF($C13="","",IF(PULL_FUND="N","",IF(COUNTIFS('Fund History'!$J$14:$J$18,"&gt;="&amp;DATE(YEAR_Y-3,1,1),'Fund History'!$J$14:$J$18,"&lt;="&amp;DATE(YEAR_Y-3,12,31))=0,"",IFERROR($H13*HSI!$G$8/SUMIFS('Fund History'!$K$14:$K$18,'Fund History'!$J$14:$J$18,"&gt;="&amp;DATE(YEAR_Y-3,1,1),'Fund History'!$J$14:$J$18,"&lt;="&amp;DATE(YEAR_Y-3,12,31)),""))))</f>
        <v/>
      </c>
      <c r="S13" s="136">
        <f>IF($C13="","",IF(PULL_FUND="N","",IF(COUNTIFS('Fund History'!$J$14:$J$18,"&gt;="&amp;DATE(YEAR_Y-2,1,1),'Fund History'!$J$14:$J$18,"&lt;="&amp;DATE(YEAR_Y-2,12,31))=0,"",IFERROR($I13*HSI!$G$8/SUMIFS('Fund History'!$K$14:$K$18,'Fund History'!$J$14:$J$18,"&gt;="&amp;DATE(YEAR_Y-2,1,1),'Fund History'!$J$14:$J$18,"&lt;="&amp;DATE(YEAR_Y-2,12,31)),""))))</f>
        <v/>
      </c>
      <c r="T13" s="136">
        <f>IF($C13="","",IF(PULL_FUND="N","",IF(COUNTIFS('Fund History'!$J$14:$J$18,"&gt;="&amp;DATE(YEAR_Y-1,1,1),'Fund History'!$J$14:$J$18,"&lt;="&amp;DATE(YEAR_Y-1,12,31))=0,"",IFERROR($J13*HSI!$G$8/SUMIFS('Fund History'!$K$14:$K$18,'Fund History'!$J$14:$J$18,"&gt;="&amp;DATE(YEAR_Y-1,1,1),'Fund History'!$J$14:$J$18,"&lt;="&amp;DATE(YEAR_Y-1,12,31)),""))))</f>
        <v/>
      </c>
      <c r="U13" s="137">
        <f>IF($C13="","",IF(ISNUMBER(HSI!$I$8),HSI!$I$8/100,""))</f>
        <v/>
      </c>
      <c r="V13" s="138">
        <f>IF($C13="","",IF(ISNUMBER(HSI!$X$8),IFERROR($M13*HSI!$G$8/HSI!$X$8,""),""))</f>
        <v/>
      </c>
      <c r="W13" s="137">
        <f>IF($C13="","",IF(ISNUMBER($N13),IFERROR($N13*HSI!$G$8/HSI!$X$8,""),""))</f>
        <v/>
      </c>
      <c r="X13" s="139">
        <f>IF($C13="","",IF(PULL_FUND="N","",IFERROR(BDP($C13,EPS_FIELD,YR_OVERRIDE,TEXT(YEAR_Y-5,"0")),"")))</f>
        <v/>
      </c>
      <c r="Y13" s="140">
        <f>IF($C13="","",IF(PULL_FUND="N","",IFERROR(BDP($C13,EPS_FIELD,YR_OVERRIDE,TEXT(YEAR_Y-4,"0")),"")))</f>
        <v/>
      </c>
      <c r="Z13" s="140">
        <f>IF($C13="","",IF(PULL_FUND="N","",IFERROR(BDP($C13,EPS_FIELD,YR_OVERRIDE,TEXT(YEAR_Y-3,"0")),"")))</f>
        <v/>
      </c>
      <c r="AA13" s="140">
        <f>IF($C13="","",IF(PULL_FUND="N","",IFERROR(BDP($C13,EPS_FIELD,YR_OVERRIDE,TEXT(YEAR_Y-2,"0")),"")))</f>
        <v/>
      </c>
      <c r="AB13" s="140">
        <f>IF($C13="","",IF(PULL_FUND="N","",IFERROR(BDP($C13,EPS_FIELD,YR_OVERRIDE,TEXT(YEAR_Y-1,"0")),"")))</f>
        <v/>
      </c>
      <c r="AC13" s="126">
        <f>IF($C13="","",IFERROR(AVERAGE(X13:AB13),""))</f>
        <v/>
      </c>
      <c r="AD13" s="140">
        <f>IF($C13="","",IF(PULL_FUND="N","",IFERROR(BDP($C13,BESTEPS_FIELD,FWD_OVERRIDE,TEXT(MOD(YEAR_Y,100),"00")&amp;"Y"),"")))</f>
        <v/>
      </c>
      <c r="AE13" s="141">
        <f>IF($C13="","",IF(PULL_FUND="N","",IFERROR(BDP($C13,PAYOUT_FIELD,YR_OVERRIDE,TEXT(YEAR_Y-5,"0"))/100,"")))</f>
        <v/>
      </c>
      <c r="AF13" s="142">
        <f>IF($C13="","",IF(PULL_FUND="N","",IFERROR(BDP($C13,PAYOUT_FIELD,YR_OVERRIDE,TEXT(YEAR_Y-4,"0"))/100,"")))</f>
        <v/>
      </c>
      <c r="AG13" s="142">
        <f>IF($C13="","",IF(PULL_FUND="N","",IFERROR(BDP($C13,PAYOUT_FIELD,YR_OVERRIDE,TEXT(YEAR_Y-3,"0"))/100,"")))</f>
        <v/>
      </c>
      <c r="AH13" s="142">
        <f>IF($C13="","",IF(PULL_FUND="N","",IFERROR(BDP($C13,PAYOUT_FIELD,YR_OVERRIDE,TEXT(YEAR_Y-2,"0"))/100,"")))</f>
        <v/>
      </c>
      <c r="AI13" s="142">
        <f>IF($C13="","",IF(PULL_FUND="N","",IFERROR(BDP($C13,PAYOUT_FIELD,YR_OVERRIDE,TEXT(YEAR_Y-1,"0"))/100,"")))</f>
        <v/>
      </c>
      <c r="AJ13" s="143">
        <f>IF($C13="","",IFERROR(AVERAGE(AE13:AI13),""))</f>
        <v/>
      </c>
      <c r="AK13" s="144">
        <f>IF($C13="","",IF(ISNUMBER($AD13)*ISNUMBER($N13)*($AD13&lt;&gt;0)=0,"",$N13/$AD13))</f>
        <v/>
      </c>
      <c r="AL13" s="143">
        <f>IF($C13="","",IF(ISNUMBER($AD13)*($AD13&lt;&gt;0)=0,"",$M13/$AD13))</f>
        <v/>
      </c>
      <c r="AM13" s="37">
        <f>IF($C13="","",IF(ISNUMBER($AE13)*ISNUMBER($AI13)=0,"",IF($AI13&gt;$AE13+0.05,"rising",IF($AI13&lt;$AE13-0.05,"falling","stable"))))</f>
        <v/>
      </c>
      <c r="AN13" s="145">
        <f>IF($C13="","",IF(PULL_FUND="N","",IF(COUNTIFS('Fund History'!$G$14:$G$18,"&gt;="&amp;DATE(YEAR_Y-4,1,1),'Fund History'!$G$14:$G$18,"&lt;="&amp;DATE(YEAR_Y-4,12,31))=0,"",SUMIFS('Fund History'!$H$14:$H$18,'Fund History'!$G$14:$G$18,"&gt;="&amp;DATE(YEAR_Y-4,1,1),'Fund History'!$G$14:$G$18,"&lt;="&amp;DATE(YEAR_Y-4,12,31))/100)))</f>
        <v/>
      </c>
      <c r="AO13" s="146">
        <f>IF($C13="","",IF(PULL_FUND="N","",IF(COUNTIFS('Fund History'!$G$14:$G$18,"&gt;="&amp;DATE(YEAR_Y-3,1,1),'Fund History'!$G$14:$G$18,"&lt;="&amp;DATE(YEAR_Y-3,12,31))=0,"",SUMIFS('Fund History'!$H$14:$H$18,'Fund History'!$G$14:$G$18,"&gt;="&amp;DATE(YEAR_Y-3,1,1),'Fund History'!$G$14:$G$18,"&lt;="&amp;DATE(YEAR_Y-3,12,31))/100)))</f>
        <v/>
      </c>
      <c r="AP13" s="146">
        <f>IF($C13="","",IF(PULL_FUND="N","",IF(COUNTIFS('Fund History'!$G$14:$G$18,"&gt;="&amp;DATE(YEAR_Y-2,1,1),'Fund History'!$G$14:$G$18,"&lt;="&amp;DATE(YEAR_Y-2,12,31))=0,"",SUMIFS('Fund History'!$H$14:$H$18,'Fund History'!$G$14:$G$18,"&gt;="&amp;DATE(YEAR_Y-2,1,1),'Fund History'!$G$14:$G$18,"&lt;="&amp;DATE(YEAR_Y-2,12,31))/100)))</f>
        <v/>
      </c>
      <c r="AQ13" s="146">
        <f>IF($C13="","",IF(PULL_FUND="N","",IF(COUNTIFS('Fund History'!$G$14:$G$18,"&gt;="&amp;DATE(YEAR_Y-1,1,1),'Fund History'!$G$14:$G$18,"&lt;="&amp;DATE(YEAR_Y-1,12,31))=0,"",SUMIFS('Fund History'!$H$14:$H$18,'Fund History'!$G$14:$G$18,"&gt;="&amp;DATE(YEAR_Y-1,1,1),'Fund History'!$G$14:$G$18,"&lt;="&amp;DATE(YEAR_Y-1,12,31))/100)))</f>
        <v/>
      </c>
      <c r="AR13" s="147">
        <f>IF($C13="","",IF(N($AQ13)+N(HSI!$I$8)=0,"",N($AQ13)+N(HSI!$I$8)/100))</f>
        <v/>
      </c>
      <c r="AS13" s="139">
        <f>IF($C13="","",IF(PULL_FUND="N","",IF(COUNTIFS('Fund History'!$D$14:$D$18,"&gt;="&amp;DATE(YEAR_Y-2,1,1),'Fund History'!$D$14:$D$18,"&lt;="&amp;DATE(YEAR_Y-2,12,31))=0,"",SUMIFS('Fund History'!$E$14:$E$18,'Fund History'!$D$14:$D$18,"&gt;="&amp;DATE(YEAR_Y-2,1,1),'Fund History'!$D$14:$D$18,"&lt;="&amp;DATE(YEAR_Y-2,12,31)))))</f>
        <v/>
      </c>
      <c r="AT13" s="140">
        <f>IF($C13="","",IF(PULL_FUND="N","",IF(COUNTIFS('Fund History'!$D$14:$D$18,"&gt;="&amp;DATE(YEAR_Y-1,1,1),'Fund History'!$D$14:$D$18,"&lt;="&amp;DATE(YEAR_Y-1,12,31))=0,"",SUMIFS('Fund History'!$E$14:$E$18,'Fund History'!$D$14:$D$18,"&gt;="&amp;DATE(YEAR_Y-1,1,1),'Fund History'!$D$14:$D$18,"&lt;="&amp;DATE(YEAR_Y-1,12,31)))))</f>
        <v/>
      </c>
      <c r="AU13" s="140">
        <f>IF($C13="","",IF(PULL_FUND="N","",IFERROR(BDP($C13,NDEBITDA_FIELD),"")))</f>
        <v/>
      </c>
      <c r="AV13" s="148">
        <f>IF($C13="","",IF(PULL_FUND="N","",IFERROR(BDP($C13,EBINT_FIELD),"")))</f>
        <v/>
      </c>
      <c r="AW13" s="146">
        <f>IF($C13="","",IF(PULL_FUND="N","",IFERROR(BDP($C13,FCF_FIELD)/100,"")))</f>
        <v/>
      </c>
      <c r="AX13" s="126">
        <f>IF($C13="","",IF(N($U13)=0,"",IFERROR($AW13/$U13,"")))</f>
        <v/>
      </c>
      <c r="AY13" s="85">
        <f>IF($C13="","",TRIM(IF(ISNUMBER($AJ13)*(N($AJ13)&gt;$D$4)&gt;0,"payout high  ","")&amp;IF(ISNUMBER($AX13)*(N($AX13)&lt;$F$4)&gt;0,"FCF below dvd  ","")&amp;IF(ISNUMBER($AU13)*(N($AU13)&gt;$H$4)&gt;0,"leverage high","")))</f>
        <v/>
      </c>
      <c r="AZ13" s="86">
        <f>IF($C13="","",IF(HSI!$F$8="HKD","",HSI!$F$8))</f>
        <v/>
      </c>
    </row>
    <row r="14">
      <c r="B14" s="66" t="inlineStr">
        <is>
          <t>HSI</t>
        </is>
      </c>
      <c r="C14" s="8">
        <f>IF(HSI!$C$9="","",HSI!$C$9)</f>
        <v/>
      </c>
      <c r="D14" s="8">
        <f>IF($C14="","",HSI!$D$9)</f>
        <v/>
      </c>
      <c r="E14" s="8">
        <f>IF($C14="","",HSI!$E$9)</f>
        <v/>
      </c>
      <c r="F14" s="131">
        <f>IF($C14="","",SUMPRODUCT(('Dvd Calendar'!$E$33:$AR$33&gt;=DATE(YEAR_Y-5,1,1))*('Dvd Calendar'!$E$33:$AR$33&lt;=DATE(YEAR_Y-5,12,31))*'Dvd Calendar'!$E$36:$AR$36*(('Dvd Calendar'!$E$38:$AR$38=TYPE1)*(TYPE1&lt;&gt;"")+('Dvd Calendar'!$E$38:$AR$38=TYPE2)*(TYPE2&lt;&gt;"")+('Dvd Calendar'!$E$38:$AR$38=TYPE3)*(TYPE3&lt;&gt;"")+('Dvd Calendar'!$E$38:$AR$38=TYPE4)*(TYPE4&lt;&gt;"")+('Dvd Calendar'!$E$38:$AR$38=SPECIAL_LBL)*(INC_SPECIALS="Y"))))</f>
        <v/>
      </c>
      <c r="G14" s="132">
        <f>IF($C14="","",SUMPRODUCT(('Dvd Calendar'!$E$33:$AR$33&gt;=DATE(YEAR_Y-4,1,1))*('Dvd Calendar'!$E$33:$AR$33&lt;=DATE(YEAR_Y-4,12,31))*'Dvd Calendar'!$E$36:$AR$36*(('Dvd Calendar'!$E$38:$AR$38=TYPE1)*(TYPE1&lt;&gt;"")+('Dvd Calendar'!$E$38:$AR$38=TYPE2)*(TYPE2&lt;&gt;"")+('Dvd Calendar'!$E$38:$AR$38=TYPE3)*(TYPE3&lt;&gt;"")+('Dvd Calendar'!$E$38:$AR$38=TYPE4)*(TYPE4&lt;&gt;"")+('Dvd Calendar'!$E$38:$AR$38=SPECIAL_LBL)*(INC_SPECIALS="Y"))))</f>
        <v/>
      </c>
      <c r="H14" s="132">
        <f>IF($C14="","",SUMPRODUCT(('Dvd Calendar'!$E$33:$AR$33&gt;=DATE(YEAR_Y-3,1,1))*('Dvd Calendar'!$E$33:$AR$33&lt;=DATE(YEAR_Y-3,12,31))*'Dvd Calendar'!$E$36:$AR$36*(('Dvd Calendar'!$E$38:$AR$38=TYPE1)*(TYPE1&lt;&gt;"")+('Dvd Calendar'!$E$38:$AR$38=TYPE2)*(TYPE2&lt;&gt;"")+('Dvd Calendar'!$E$38:$AR$38=TYPE3)*(TYPE3&lt;&gt;"")+('Dvd Calendar'!$E$38:$AR$38=TYPE4)*(TYPE4&lt;&gt;"")+('Dvd Calendar'!$E$38:$AR$38=SPECIAL_LBL)*(INC_SPECIALS="Y"))))</f>
        <v/>
      </c>
      <c r="I14" s="132">
        <f>IF($C14="","",SUMPRODUCT(('Dvd Calendar'!$E$33:$AR$33&gt;=DATE(YEAR_Y-2,1,1))*('Dvd Calendar'!$E$33:$AR$33&lt;=DATE(YEAR_Y-2,12,31))*'Dvd Calendar'!$E$36:$AR$36*(('Dvd Calendar'!$E$38:$AR$38=TYPE1)*(TYPE1&lt;&gt;"")+('Dvd Calendar'!$E$38:$AR$38=TYPE2)*(TYPE2&lt;&gt;"")+('Dvd Calendar'!$E$38:$AR$38=TYPE3)*(TYPE3&lt;&gt;"")+('Dvd Calendar'!$E$38:$AR$38=TYPE4)*(TYPE4&lt;&gt;"")+('Dvd Calendar'!$E$38:$AR$38=SPECIAL_LBL)*(INC_SPECIALS="Y"))))</f>
        <v/>
      </c>
      <c r="J14" s="132">
        <f>IF($C14="","",SUMPRODUCT(('Dvd Calendar'!$E$33:$AR$33&gt;=DATE(YEAR_Y-1,1,1))*('Dvd Calendar'!$E$33:$AR$33&lt;=DATE(YEAR_Y-1,12,31))*'Dvd Calendar'!$E$36:$AR$36*(('Dvd Calendar'!$E$38:$AR$38=TYPE1)*(TYPE1&lt;&gt;"")+('Dvd Calendar'!$E$38:$AR$38=TYPE2)*(TYPE2&lt;&gt;"")+('Dvd Calendar'!$E$38:$AR$38=TYPE3)*(TYPE3&lt;&gt;"")+('Dvd Calendar'!$E$38:$AR$38=TYPE4)*(TYPE4&lt;&gt;"")+('Dvd Calendar'!$E$38:$AR$38=SPECIAL_LBL)*(INC_SPECIALS="Y"))))</f>
        <v/>
      </c>
      <c r="K14" s="133">
        <f>IF($C14="","",HSI!$J$9)</f>
        <v/>
      </c>
      <c r="L14" s="133">
        <f>IF($C14="","",HSI!$K$9)</f>
        <v/>
      </c>
      <c r="M14" s="124">
        <f>IF($C14="","",HSI!$J$9+HSI!$L$9)</f>
        <v/>
      </c>
      <c r="N14" s="134">
        <f>IF($C14="","",IF(PULL_FUND="N","",IFERROR(BDP($C14,BESTDPS_FIELD,FWD_OVERRIDE,TEXT(MOD(YEAR_Y,100),"00")&amp;"Y"),"")))</f>
        <v/>
      </c>
      <c r="O14" s="133">
        <f>IF($C14="","",AVERAGE(F14:J14))</f>
        <v/>
      </c>
      <c r="P14" s="135">
        <f>IF($C14="","",IF(PULL_FUND="N","",IF(COUNTIFS('Fund History'!$J$20:$J$24,"&gt;="&amp;DATE(YEAR_Y-5,1,1),'Fund History'!$J$20:$J$24,"&lt;="&amp;DATE(YEAR_Y-5,12,31))=0,"",IFERROR($F14*HSI!$G$9/SUMIFS('Fund History'!$K$20:$K$24,'Fund History'!$J$20:$J$24,"&gt;="&amp;DATE(YEAR_Y-5,1,1),'Fund History'!$J$20:$J$24,"&lt;="&amp;DATE(YEAR_Y-5,12,31)),""))))</f>
        <v/>
      </c>
      <c r="Q14" s="136">
        <f>IF($C14="","",IF(PULL_FUND="N","",IF(COUNTIFS('Fund History'!$J$20:$J$24,"&gt;="&amp;DATE(YEAR_Y-4,1,1),'Fund History'!$J$20:$J$24,"&lt;="&amp;DATE(YEAR_Y-4,12,31))=0,"",IFERROR($G14*HSI!$G$9/SUMIFS('Fund History'!$K$20:$K$24,'Fund History'!$J$20:$J$24,"&gt;="&amp;DATE(YEAR_Y-4,1,1),'Fund History'!$J$20:$J$24,"&lt;="&amp;DATE(YEAR_Y-4,12,31)),""))))</f>
        <v/>
      </c>
      <c r="R14" s="136">
        <f>IF($C14="","",IF(PULL_FUND="N","",IF(COUNTIFS('Fund History'!$J$20:$J$24,"&gt;="&amp;DATE(YEAR_Y-3,1,1),'Fund History'!$J$20:$J$24,"&lt;="&amp;DATE(YEAR_Y-3,12,31))=0,"",IFERROR($H14*HSI!$G$9/SUMIFS('Fund History'!$K$20:$K$24,'Fund History'!$J$20:$J$24,"&gt;="&amp;DATE(YEAR_Y-3,1,1),'Fund History'!$J$20:$J$24,"&lt;="&amp;DATE(YEAR_Y-3,12,31)),""))))</f>
        <v/>
      </c>
      <c r="S14" s="136">
        <f>IF($C14="","",IF(PULL_FUND="N","",IF(COUNTIFS('Fund History'!$J$20:$J$24,"&gt;="&amp;DATE(YEAR_Y-2,1,1),'Fund History'!$J$20:$J$24,"&lt;="&amp;DATE(YEAR_Y-2,12,31))=0,"",IFERROR($I14*HSI!$G$9/SUMIFS('Fund History'!$K$20:$K$24,'Fund History'!$J$20:$J$24,"&gt;="&amp;DATE(YEAR_Y-2,1,1),'Fund History'!$J$20:$J$24,"&lt;="&amp;DATE(YEAR_Y-2,12,31)),""))))</f>
        <v/>
      </c>
      <c r="T14" s="136">
        <f>IF($C14="","",IF(PULL_FUND="N","",IF(COUNTIFS('Fund History'!$J$20:$J$24,"&gt;="&amp;DATE(YEAR_Y-1,1,1),'Fund History'!$J$20:$J$24,"&lt;="&amp;DATE(YEAR_Y-1,12,31))=0,"",IFERROR($J14*HSI!$G$9/SUMIFS('Fund History'!$K$20:$K$24,'Fund History'!$J$20:$J$24,"&gt;="&amp;DATE(YEAR_Y-1,1,1),'Fund History'!$J$20:$J$24,"&lt;="&amp;DATE(YEAR_Y-1,12,31)),""))))</f>
        <v/>
      </c>
      <c r="U14" s="137">
        <f>IF($C14="","",IF(ISNUMBER(HSI!$I$9),HSI!$I$9/100,""))</f>
        <v/>
      </c>
      <c r="V14" s="138">
        <f>IF($C14="","",IF(ISNUMBER(HSI!$X$9),IFERROR($M14*HSI!$G$9/HSI!$X$9,""),""))</f>
        <v/>
      </c>
      <c r="W14" s="137">
        <f>IF($C14="","",IF(ISNUMBER($N14),IFERROR($N14*HSI!$G$9/HSI!$X$9,""),""))</f>
        <v/>
      </c>
      <c r="X14" s="139">
        <f>IF($C14="","",IF(PULL_FUND="N","",IFERROR(BDP($C14,EPS_FIELD,YR_OVERRIDE,TEXT(YEAR_Y-5,"0")),"")))</f>
        <v/>
      </c>
      <c r="Y14" s="140">
        <f>IF($C14="","",IF(PULL_FUND="N","",IFERROR(BDP($C14,EPS_FIELD,YR_OVERRIDE,TEXT(YEAR_Y-4,"0")),"")))</f>
        <v/>
      </c>
      <c r="Z14" s="140">
        <f>IF($C14="","",IF(PULL_FUND="N","",IFERROR(BDP($C14,EPS_FIELD,YR_OVERRIDE,TEXT(YEAR_Y-3,"0")),"")))</f>
        <v/>
      </c>
      <c r="AA14" s="140">
        <f>IF($C14="","",IF(PULL_FUND="N","",IFERROR(BDP($C14,EPS_FIELD,YR_OVERRIDE,TEXT(YEAR_Y-2,"0")),"")))</f>
        <v/>
      </c>
      <c r="AB14" s="140">
        <f>IF($C14="","",IF(PULL_FUND="N","",IFERROR(BDP($C14,EPS_FIELD,YR_OVERRIDE,TEXT(YEAR_Y-1,"0")),"")))</f>
        <v/>
      </c>
      <c r="AC14" s="126">
        <f>IF($C14="","",IFERROR(AVERAGE(X14:AB14),""))</f>
        <v/>
      </c>
      <c r="AD14" s="140">
        <f>IF($C14="","",IF(PULL_FUND="N","",IFERROR(BDP($C14,BESTEPS_FIELD,FWD_OVERRIDE,TEXT(MOD(YEAR_Y,100),"00")&amp;"Y"),"")))</f>
        <v/>
      </c>
      <c r="AE14" s="141">
        <f>IF($C14="","",IF(PULL_FUND="N","",IFERROR(BDP($C14,PAYOUT_FIELD,YR_OVERRIDE,TEXT(YEAR_Y-5,"0"))/100,"")))</f>
        <v/>
      </c>
      <c r="AF14" s="142">
        <f>IF($C14="","",IF(PULL_FUND="N","",IFERROR(BDP($C14,PAYOUT_FIELD,YR_OVERRIDE,TEXT(YEAR_Y-4,"0"))/100,"")))</f>
        <v/>
      </c>
      <c r="AG14" s="142">
        <f>IF($C14="","",IF(PULL_FUND="N","",IFERROR(BDP($C14,PAYOUT_FIELD,YR_OVERRIDE,TEXT(YEAR_Y-3,"0"))/100,"")))</f>
        <v/>
      </c>
      <c r="AH14" s="142">
        <f>IF($C14="","",IF(PULL_FUND="N","",IFERROR(BDP($C14,PAYOUT_FIELD,YR_OVERRIDE,TEXT(YEAR_Y-2,"0"))/100,"")))</f>
        <v/>
      </c>
      <c r="AI14" s="142">
        <f>IF($C14="","",IF(PULL_FUND="N","",IFERROR(BDP($C14,PAYOUT_FIELD,YR_OVERRIDE,TEXT(YEAR_Y-1,"0"))/100,"")))</f>
        <v/>
      </c>
      <c r="AJ14" s="143">
        <f>IF($C14="","",IFERROR(AVERAGE(AE14:AI14),""))</f>
        <v/>
      </c>
      <c r="AK14" s="144">
        <f>IF($C14="","",IF(ISNUMBER($AD14)*ISNUMBER($N14)*($AD14&lt;&gt;0)=0,"",$N14/$AD14))</f>
        <v/>
      </c>
      <c r="AL14" s="143">
        <f>IF($C14="","",IF(ISNUMBER($AD14)*($AD14&lt;&gt;0)=0,"",$M14/$AD14))</f>
        <v/>
      </c>
      <c r="AM14" s="37">
        <f>IF($C14="","",IF(ISNUMBER($AE14)*ISNUMBER($AI14)=0,"",IF($AI14&gt;$AE14+0.05,"rising",IF($AI14&lt;$AE14-0.05,"falling","stable"))))</f>
        <v/>
      </c>
      <c r="AN14" s="145">
        <f>IF($C14="","",IF(PULL_FUND="N","",IF(COUNTIFS('Fund History'!$G$20:$G$24,"&gt;="&amp;DATE(YEAR_Y-4,1,1),'Fund History'!$G$20:$G$24,"&lt;="&amp;DATE(YEAR_Y-4,12,31))=0,"",SUMIFS('Fund History'!$H$20:$H$24,'Fund History'!$G$20:$G$24,"&gt;="&amp;DATE(YEAR_Y-4,1,1),'Fund History'!$G$20:$G$24,"&lt;="&amp;DATE(YEAR_Y-4,12,31))/100)))</f>
        <v/>
      </c>
      <c r="AO14" s="146">
        <f>IF($C14="","",IF(PULL_FUND="N","",IF(COUNTIFS('Fund History'!$G$20:$G$24,"&gt;="&amp;DATE(YEAR_Y-3,1,1),'Fund History'!$G$20:$G$24,"&lt;="&amp;DATE(YEAR_Y-3,12,31))=0,"",SUMIFS('Fund History'!$H$20:$H$24,'Fund History'!$G$20:$G$24,"&gt;="&amp;DATE(YEAR_Y-3,1,1),'Fund History'!$G$20:$G$24,"&lt;="&amp;DATE(YEAR_Y-3,12,31))/100)))</f>
        <v/>
      </c>
      <c r="AP14" s="146">
        <f>IF($C14="","",IF(PULL_FUND="N","",IF(COUNTIFS('Fund History'!$G$20:$G$24,"&gt;="&amp;DATE(YEAR_Y-2,1,1),'Fund History'!$G$20:$G$24,"&lt;="&amp;DATE(YEAR_Y-2,12,31))=0,"",SUMIFS('Fund History'!$H$20:$H$24,'Fund History'!$G$20:$G$24,"&gt;="&amp;DATE(YEAR_Y-2,1,1),'Fund History'!$G$20:$G$24,"&lt;="&amp;DATE(YEAR_Y-2,12,31))/100)))</f>
        <v/>
      </c>
      <c r="AQ14" s="146">
        <f>IF($C14="","",IF(PULL_FUND="N","",IF(COUNTIFS('Fund History'!$G$20:$G$24,"&gt;="&amp;DATE(YEAR_Y-1,1,1),'Fund History'!$G$20:$G$24,"&lt;="&amp;DATE(YEAR_Y-1,12,31))=0,"",SUMIFS('Fund History'!$H$20:$H$24,'Fund History'!$G$20:$G$24,"&gt;="&amp;DATE(YEAR_Y-1,1,1),'Fund History'!$G$20:$G$24,"&lt;="&amp;DATE(YEAR_Y-1,12,31))/100)))</f>
        <v/>
      </c>
      <c r="AR14" s="147">
        <f>IF($C14="","",IF(N($AQ14)+N(HSI!$I$9)=0,"",N($AQ14)+N(HSI!$I$9)/100))</f>
        <v/>
      </c>
      <c r="AS14" s="139">
        <f>IF($C14="","",IF(PULL_FUND="N","",IF(COUNTIFS('Fund History'!$D$20:$D$24,"&gt;="&amp;DATE(YEAR_Y-2,1,1),'Fund History'!$D$20:$D$24,"&lt;="&amp;DATE(YEAR_Y-2,12,31))=0,"",SUMIFS('Fund History'!$E$20:$E$24,'Fund History'!$D$20:$D$24,"&gt;="&amp;DATE(YEAR_Y-2,1,1),'Fund History'!$D$20:$D$24,"&lt;="&amp;DATE(YEAR_Y-2,12,31)))))</f>
        <v/>
      </c>
      <c r="AT14" s="140">
        <f>IF($C14="","",IF(PULL_FUND="N","",IF(COUNTIFS('Fund History'!$D$20:$D$24,"&gt;="&amp;DATE(YEAR_Y-1,1,1),'Fund History'!$D$20:$D$24,"&lt;="&amp;DATE(YEAR_Y-1,12,31))=0,"",SUMIFS('Fund History'!$E$20:$E$24,'Fund History'!$D$20:$D$24,"&gt;="&amp;DATE(YEAR_Y-1,1,1),'Fund History'!$D$20:$D$24,"&lt;="&amp;DATE(YEAR_Y-1,12,31)))))</f>
        <v/>
      </c>
      <c r="AU14" s="140">
        <f>IF($C14="","",IF(PULL_FUND="N","",IFERROR(BDP($C14,NDEBITDA_FIELD),"")))</f>
        <v/>
      </c>
      <c r="AV14" s="148">
        <f>IF($C14="","",IF(PULL_FUND="N","",IFERROR(BDP($C14,EBINT_FIELD),"")))</f>
        <v/>
      </c>
      <c r="AW14" s="146">
        <f>IF($C14="","",IF(PULL_FUND="N","",IFERROR(BDP($C14,FCF_FIELD)/100,"")))</f>
        <v/>
      </c>
      <c r="AX14" s="126">
        <f>IF($C14="","",IF(N($U14)=0,"",IFERROR($AW14/$U14,"")))</f>
        <v/>
      </c>
      <c r="AY14" s="85">
        <f>IF($C14="","",TRIM(IF(ISNUMBER($AJ14)*(N($AJ14)&gt;$D$4)&gt;0,"payout high  ","")&amp;IF(ISNUMBER($AX14)*(N($AX14)&lt;$F$4)&gt;0,"FCF below dvd  ","")&amp;IF(ISNUMBER($AU14)*(N($AU14)&gt;$H$4)&gt;0,"leverage high","")))</f>
        <v/>
      </c>
      <c r="AZ14" s="86">
        <f>IF($C14="","",IF(HSI!$F$9="HKD","",HSI!$F$9))</f>
        <v/>
      </c>
    </row>
    <row r="15">
      <c r="B15" s="66" t="inlineStr">
        <is>
          <t>HSI</t>
        </is>
      </c>
      <c r="C15" s="8">
        <f>IF(HSI!$C$10="","",HSI!$C$10)</f>
        <v/>
      </c>
      <c r="D15" s="8">
        <f>IF($C15="","",HSI!$D$10)</f>
        <v/>
      </c>
      <c r="E15" s="8">
        <f>IF($C15="","",HSI!$E$10)</f>
        <v/>
      </c>
      <c r="F15" s="131">
        <f>IF($C15="","",SUMPRODUCT(('Dvd Calendar'!$E$44:$AR$44&gt;=DATE(YEAR_Y-5,1,1))*('Dvd Calendar'!$E$44:$AR$44&lt;=DATE(YEAR_Y-5,12,31))*'Dvd Calendar'!$E$47:$AR$47*(('Dvd Calendar'!$E$49:$AR$49=TYPE1)*(TYPE1&lt;&gt;"")+('Dvd Calendar'!$E$49:$AR$49=TYPE2)*(TYPE2&lt;&gt;"")+('Dvd Calendar'!$E$49:$AR$49=TYPE3)*(TYPE3&lt;&gt;"")+('Dvd Calendar'!$E$49:$AR$49=TYPE4)*(TYPE4&lt;&gt;"")+('Dvd Calendar'!$E$49:$AR$49=SPECIAL_LBL)*(INC_SPECIALS="Y"))))</f>
        <v/>
      </c>
      <c r="G15" s="132">
        <f>IF($C15="","",SUMPRODUCT(('Dvd Calendar'!$E$44:$AR$44&gt;=DATE(YEAR_Y-4,1,1))*('Dvd Calendar'!$E$44:$AR$44&lt;=DATE(YEAR_Y-4,12,31))*'Dvd Calendar'!$E$47:$AR$47*(('Dvd Calendar'!$E$49:$AR$49=TYPE1)*(TYPE1&lt;&gt;"")+('Dvd Calendar'!$E$49:$AR$49=TYPE2)*(TYPE2&lt;&gt;"")+('Dvd Calendar'!$E$49:$AR$49=TYPE3)*(TYPE3&lt;&gt;"")+('Dvd Calendar'!$E$49:$AR$49=TYPE4)*(TYPE4&lt;&gt;"")+('Dvd Calendar'!$E$49:$AR$49=SPECIAL_LBL)*(INC_SPECIALS="Y"))))</f>
        <v/>
      </c>
      <c r="H15" s="132">
        <f>IF($C15="","",SUMPRODUCT(('Dvd Calendar'!$E$44:$AR$44&gt;=DATE(YEAR_Y-3,1,1))*('Dvd Calendar'!$E$44:$AR$44&lt;=DATE(YEAR_Y-3,12,31))*'Dvd Calendar'!$E$47:$AR$47*(('Dvd Calendar'!$E$49:$AR$49=TYPE1)*(TYPE1&lt;&gt;"")+('Dvd Calendar'!$E$49:$AR$49=TYPE2)*(TYPE2&lt;&gt;"")+('Dvd Calendar'!$E$49:$AR$49=TYPE3)*(TYPE3&lt;&gt;"")+('Dvd Calendar'!$E$49:$AR$49=TYPE4)*(TYPE4&lt;&gt;"")+('Dvd Calendar'!$E$49:$AR$49=SPECIAL_LBL)*(INC_SPECIALS="Y"))))</f>
        <v/>
      </c>
      <c r="I15" s="132">
        <f>IF($C15="","",SUMPRODUCT(('Dvd Calendar'!$E$44:$AR$44&gt;=DATE(YEAR_Y-2,1,1))*('Dvd Calendar'!$E$44:$AR$44&lt;=DATE(YEAR_Y-2,12,31))*'Dvd Calendar'!$E$47:$AR$47*(('Dvd Calendar'!$E$49:$AR$49=TYPE1)*(TYPE1&lt;&gt;"")+('Dvd Calendar'!$E$49:$AR$49=TYPE2)*(TYPE2&lt;&gt;"")+('Dvd Calendar'!$E$49:$AR$49=TYPE3)*(TYPE3&lt;&gt;"")+('Dvd Calendar'!$E$49:$AR$49=TYPE4)*(TYPE4&lt;&gt;"")+('Dvd Calendar'!$E$49:$AR$49=SPECIAL_LBL)*(INC_SPECIALS="Y"))))</f>
        <v/>
      </c>
      <c r="J15" s="132">
        <f>IF($C15="","",SUMPRODUCT(('Dvd Calendar'!$E$44:$AR$44&gt;=DATE(YEAR_Y-1,1,1))*('Dvd Calendar'!$E$44:$AR$44&lt;=DATE(YEAR_Y-1,12,31))*'Dvd Calendar'!$E$47:$AR$47*(('Dvd Calendar'!$E$49:$AR$49=TYPE1)*(TYPE1&lt;&gt;"")+('Dvd Calendar'!$E$49:$AR$49=TYPE2)*(TYPE2&lt;&gt;"")+('Dvd Calendar'!$E$49:$AR$49=TYPE3)*(TYPE3&lt;&gt;"")+('Dvd Calendar'!$E$49:$AR$49=TYPE4)*(TYPE4&lt;&gt;"")+('Dvd Calendar'!$E$49:$AR$49=SPECIAL_LBL)*(INC_SPECIALS="Y"))))</f>
        <v/>
      </c>
      <c r="K15" s="133">
        <f>IF($C15="","",HSI!$J$10)</f>
        <v/>
      </c>
      <c r="L15" s="133">
        <f>IF($C15="","",HSI!$K$10)</f>
        <v/>
      </c>
      <c r="M15" s="124">
        <f>IF($C15="","",HSI!$J$10+HSI!$L$10)</f>
        <v/>
      </c>
      <c r="N15" s="134">
        <f>IF($C15="","",IF(PULL_FUND="N","",IFERROR(BDP($C15,BESTDPS_FIELD,FWD_OVERRIDE,TEXT(MOD(YEAR_Y,100),"00")&amp;"Y"),"")))</f>
        <v/>
      </c>
      <c r="O15" s="133">
        <f>IF($C15="","",AVERAGE(F15:J15))</f>
        <v/>
      </c>
      <c r="P15" s="135">
        <f>IF($C15="","",IF(PULL_FUND="N","",IF(COUNTIFS('Fund History'!$J$26:$J$30,"&gt;="&amp;DATE(YEAR_Y-5,1,1),'Fund History'!$J$26:$J$30,"&lt;="&amp;DATE(YEAR_Y-5,12,31))=0,"",IFERROR($F15*HSI!$G$10/SUMIFS('Fund History'!$K$26:$K$30,'Fund History'!$J$26:$J$30,"&gt;="&amp;DATE(YEAR_Y-5,1,1),'Fund History'!$J$26:$J$30,"&lt;="&amp;DATE(YEAR_Y-5,12,31)),""))))</f>
        <v/>
      </c>
      <c r="Q15" s="136">
        <f>IF($C15="","",IF(PULL_FUND="N","",IF(COUNTIFS('Fund History'!$J$26:$J$30,"&gt;="&amp;DATE(YEAR_Y-4,1,1),'Fund History'!$J$26:$J$30,"&lt;="&amp;DATE(YEAR_Y-4,12,31))=0,"",IFERROR($G15*HSI!$G$10/SUMIFS('Fund History'!$K$26:$K$30,'Fund History'!$J$26:$J$30,"&gt;="&amp;DATE(YEAR_Y-4,1,1),'Fund History'!$J$26:$J$30,"&lt;="&amp;DATE(YEAR_Y-4,12,31)),""))))</f>
        <v/>
      </c>
      <c r="R15" s="136">
        <f>IF($C15="","",IF(PULL_FUND="N","",IF(COUNTIFS('Fund History'!$J$26:$J$30,"&gt;="&amp;DATE(YEAR_Y-3,1,1),'Fund History'!$J$26:$J$30,"&lt;="&amp;DATE(YEAR_Y-3,12,31))=0,"",IFERROR($H15*HSI!$G$10/SUMIFS('Fund History'!$K$26:$K$30,'Fund History'!$J$26:$J$30,"&gt;="&amp;DATE(YEAR_Y-3,1,1),'Fund History'!$J$26:$J$30,"&lt;="&amp;DATE(YEAR_Y-3,12,31)),""))))</f>
        <v/>
      </c>
      <c r="S15" s="136">
        <f>IF($C15="","",IF(PULL_FUND="N","",IF(COUNTIFS('Fund History'!$J$26:$J$30,"&gt;="&amp;DATE(YEAR_Y-2,1,1),'Fund History'!$J$26:$J$30,"&lt;="&amp;DATE(YEAR_Y-2,12,31))=0,"",IFERROR($I15*HSI!$G$10/SUMIFS('Fund History'!$K$26:$K$30,'Fund History'!$J$26:$J$30,"&gt;="&amp;DATE(YEAR_Y-2,1,1),'Fund History'!$J$26:$J$30,"&lt;="&amp;DATE(YEAR_Y-2,12,31)),""))))</f>
        <v/>
      </c>
      <c r="T15" s="136">
        <f>IF($C15="","",IF(PULL_FUND="N","",IF(COUNTIFS('Fund History'!$J$26:$J$30,"&gt;="&amp;DATE(YEAR_Y-1,1,1),'Fund History'!$J$26:$J$30,"&lt;="&amp;DATE(YEAR_Y-1,12,31))=0,"",IFERROR($J15*HSI!$G$10/SUMIFS('Fund History'!$K$26:$K$30,'Fund History'!$J$26:$J$30,"&gt;="&amp;DATE(YEAR_Y-1,1,1),'Fund History'!$J$26:$J$30,"&lt;="&amp;DATE(YEAR_Y-1,12,31)),""))))</f>
        <v/>
      </c>
      <c r="U15" s="137">
        <f>IF($C15="","",IF(ISNUMBER(HSI!$I$10),HSI!$I$10/100,""))</f>
        <v/>
      </c>
      <c r="V15" s="138">
        <f>IF($C15="","",IF(ISNUMBER(HSI!$X$10),IFERROR($M15*HSI!$G$10/HSI!$X$10,""),""))</f>
        <v/>
      </c>
      <c r="W15" s="137">
        <f>IF($C15="","",IF(ISNUMBER($N15),IFERROR($N15*HSI!$G$10/HSI!$X$10,""),""))</f>
        <v/>
      </c>
      <c r="X15" s="139">
        <f>IF($C15="","",IF(PULL_FUND="N","",IFERROR(BDP($C15,EPS_FIELD,YR_OVERRIDE,TEXT(YEAR_Y-5,"0")),"")))</f>
        <v/>
      </c>
      <c r="Y15" s="140">
        <f>IF($C15="","",IF(PULL_FUND="N","",IFERROR(BDP($C15,EPS_FIELD,YR_OVERRIDE,TEXT(YEAR_Y-4,"0")),"")))</f>
        <v/>
      </c>
      <c r="Z15" s="140">
        <f>IF($C15="","",IF(PULL_FUND="N","",IFERROR(BDP($C15,EPS_FIELD,YR_OVERRIDE,TEXT(YEAR_Y-3,"0")),"")))</f>
        <v/>
      </c>
      <c r="AA15" s="140">
        <f>IF($C15="","",IF(PULL_FUND="N","",IFERROR(BDP($C15,EPS_FIELD,YR_OVERRIDE,TEXT(YEAR_Y-2,"0")),"")))</f>
        <v/>
      </c>
      <c r="AB15" s="140">
        <f>IF($C15="","",IF(PULL_FUND="N","",IFERROR(BDP($C15,EPS_FIELD,YR_OVERRIDE,TEXT(YEAR_Y-1,"0")),"")))</f>
        <v/>
      </c>
      <c r="AC15" s="126">
        <f>IF($C15="","",IFERROR(AVERAGE(X15:AB15),""))</f>
        <v/>
      </c>
      <c r="AD15" s="140">
        <f>IF($C15="","",IF(PULL_FUND="N","",IFERROR(BDP($C15,BESTEPS_FIELD,FWD_OVERRIDE,TEXT(MOD(YEAR_Y,100),"00")&amp;"Y"),"")))</f>
        <v/>
      </c>
      <c r="AE15" s="141">
        <f>IF($C15="","",IF(PULL_FUND="N","",IFERROR(BDP($C15,PAYOUT_FIELD,YR_OVERRIDE,TEXT(YEAR_Y-5,"0"))/100,"")))</f>
        <v/>
      </c>
      <c r="AF15" s="142">
        <f>IF($C15="","",IF(PULL_FUND="N","",IFERROR(BDP($C15,PAYOUT_FIELD,YR_OVERRIDE,TEXT(YEAR_Y-4,"0"))/100,"")))</f>
        <v/>
      </c>
      <c r="AG15" s="142">
        <f>IF($C15="","",IF(PULL_FUND="N","",IFERROR(BDP($C15,PAYOUT_FIELD,YR_OVERRIDE,TEXT(YEAR_Y-3,"0"))/100,"")))</f>
        <v/>
      </c>
      <c r="AH15" s="142">
        <f>IF($C15="","",IF(PULL_FUND="N","",IFERROR(BDP($C15,PAYOUT_FIELD,YR_OVERRIDE,TEXT(YEAR_Y-2,"0"))/100,"")))</f>
        <v/>
      </c>
      <c r="AI15" s="142">
        <f>IF($C15="","",IF(PULL_FUND="N","",IFERROR(BDP($C15,PAYOUT_FIELD,YR_OVERRIDE,TEXT(YEAR_Y-1,"0"))/100,"")))</f>
        <v/>
      </c>
      <c r="AJ15" s="143">
        <f>IF($C15="","",IFERROR(AVERAGE(AE15:AI15),""))</f>
        <v/>
      </c>
      <c r="AK15" s="144">
        <f>IF($C15="","",IF(ISNUMBER($AD15)*ISNUMBER($N15)*($AD15&lt;&gt;0)=0,"",$N15/$AD15))</f>
        <v/>
      </c>
      <c r="AL15" s="143">
        <f>IF($C15="","",IF(ISNUMBER($AD15)*($AD15&lt;&gt;0)=0,"",$M15/$AD15))</f>
        <v/>
      </c>
      <c r="AM15" s="37">
        <f>IF($C15="","",IF(ISNUMBER($AE15)*ISNUMBER($AI15)=0,"",IF($AI15&gt;$AE15+0.05,"rising",IF($AI15&lt;$AE15-0.05,"falling","stable"))))</f>
        <v/>
      </c>
      <c r="AN15" s="145">
        <f>IF($C15="","",IF(PULL_FUND="N","",IF(COUNTIFS('Fund History'!$G$26:$G$30,"&gt;="&amp;DATE(YEAR_Y-4,1,1),'Fund History'!$G$26:$G$30,"&lt;="&amp;DATE(YEAR_Y-4,12,31))=0,"",SUMIFS('Fund History'!$H$26:$H$30,'Fund History'!$G$26:$G$30,"&gt;="&amp;DATE(YEAR_Y-4,1,1),'Fund History'!$G$26:$G$30,"&lt;="&amp;DATE(YEAR_Y-4,12,31))/100)))</f>
        <v/>
      </c>
      <c r="AO15" s="146">
        <f>IF($C15="","",IF(PULL_FUND="N","",IF(COUNTIFS('Fund History'!$G$26:$G$30,"&gt;="&amp;DATE(YEAR_Y-3,1,1),'Fund History'!$G$26:$G$30,"&lt;="&amp;DATE(YEAR_Y-3,12,31))=0,"",SUMIFS('Fund History'!$H$26:$H$30,'Fund History'!$G$26:$G$30,"&gt;="&amp;DATE(YEAR_Y-3,1,1),'Fund History'!$G$26:$G$30,"&lt;="&amp;DATE(YEAR_Y-3,12,31))/100)))</f>
        <v/>
      </c>
      <c r="AP15" s="146">
        <f>IF($C15="","",IF(PULL_FUND="N","",IF(COUNTIFS('Fund History'!$G$26:$G$30,"&gt;="&amp;DATE(YEAR_Y-2,1,1),'Fund History'!$G$26:$G$30,"&lt;="&amp;DATE(YEAR_Y-2,12,31))=0,"",SUMIFS('Fund History'!$H$26:$H$30,'Fund History'!$G$26:$G$30,"&gt;="&amp;DATE(YEAR_Y-2,1,1),'Fund History'!$G$26:$G$30,"&lt;="&amp;DATE(YEAR_Y-2,12,31))/100)))</f>
        <v/>
      </c>
      <c r="AQ15" s="146">
        <f>IF($C15="","",IF(PULL_FUND="N","",IF(COUNTIFS('Fund History'!$G$26:$G$30,"&gt;="&amp;DATE(YEAR_Y-1,1,1),'Fund History'!$G$26:$G$30,"&lt;="&amp;DATE(YEAR_Y-1,12,31))=0,"",SUMIFS('Fund History'!$H$26:$H$30,'Fund History'!$G$26:$G$30,"&gt;="&amp;DATE(YEAR_Y-1,1,1),'Fund History'!$G$26:$G$30,"&lt;="&amp;DATE(YEAR_Y-1,12,31))/100)))</f>
        <v/>
      </c>
      <c r="AR15" s="147">
        <f>IF($C15="","",IF(N($AQ15)+N(HSI!$I$10)=0,"",N($AQ15)+N(HSI!$I$10)/100))</f>
        <v/>
      </c>
      <c r="AS15" s="139">
        <f>IF($C15="","",IF(PULL_FUND="N","",IF(COUNTIFS('Fund History'!$D$26:$D$30,"&gt;="&amp;DATE(YEAR_Y-2,1,1),'Fund History'!$D$26:$D$30,"&lt;="&amp;DATE(YEAR_Y-2,12,31))=0,"",SUMIFS('Fund History'!$E$26:$E$30,'Fund History'!$D$26:$D$30,"&gt;="&amp;DATE(YEAR_Y-2,1,1),'Fund History'!$D$26:$D$30,"&lt;="&amp;DATE(YEAR_Y-2,12,31)))))</f>
        <v/>
      </c>
      <c r="AT15" s="140">
        <f>IF($C15="","",IF(PULL_FUND="N","",IF(COUNTIFS('Fund History'!$D$26:$D$30,"&gt;="&amp;DATE(YEAR_Y-1,1,1),'Fund History'!$D$26:$D$30,"&lt;="&amp;DATE(YEAR_Y-1,12,31))=0,"",SUMIFS('Fund History'!$E$26:$E$30,'Fund History'!$D$26:$D$30,"&gt;="&amp;DATE(YEAR_Y-1,1,1),'Fund History'!$D$26:$D$30,"&lt;="&amp;DATE(YEAR_Y-1,12,31)))))</f>
        <v/>
      </c>
      <c r="AU15" s="140">
        <f>IF($C15="","",IF(PULL_FUND="N","",IFERROR(BDP($C15,NDEBITDA_FIELD),"")))</f>
        <v/>
      </c>
      <c r="AV15" s="148">
        <f>IF($C15="","",IF(PULL_FUND="N","",IFERROR(BDP($C15,EBINT_FIELD),"")))</f>
        <v/>
      </c>
      <c r="AW15" s="146">
        <f>IF($C15="","",IF(PULL_FUND="N","",IFERROR(BDP($C15,FCF_FIELD)/100,"")))</f>
        <v/>
      </c>
      <c r="AX15" s="126">
        <f>IF($C15="","",IF(N($U15)=0,"",IFERROR($AW15/$U15,"")))</f>
        <v/>
      </c>
      <c r="AY15" s="85">
        <f>IF($C15="","",TRIM(IF(ISNUMBER($AJ15)*(N($AJ15)&gt;$D$4)&gt;0,"payout high  ","")&amp;IF(ISNUMBER($AX15)*(N($AX15)&lt;$F$4)&gt;0,"FCF below dvd  ","")&amp;IF(ISNUMBER($AU15)*(N($AU15)&gt;$H$4)&gt;0,"leverage high","")))</f>
        <v/>
      </c>
      <c r="AZ15" s="86">
        <f>IF($C15="","",IF(HSI!$F$10="HKD","",HSI!$F$10))</f>
        <v/>
      </c>
    </row>
    <row r="16">
      <c r="B16" s="66" t="inlineStr">
        <is>
          <t>HSI</t>
        </is>
      </c>
      <c r="C16" s="8">
        <f>IF(HSI!$C$11="","",HSI!$C$11)</f>
        <v/>
      </c>
      <c r="D16" s="8">
        <f>IF($C16="","",HSI!$D$11)</f>
        <v/>
      </c>
      <c r="E16" s="8">
        <f>IF($C16="","",HSI!$E$11)</f>
        <v/>
      </c>
      <c r="F16" s="131">
        <f>IF($C16="","",SUMPRODUCT(('Dvd Calendar'!$E$55:$AR$55&gt;=DATE(YEAR_Y-5,1,1))*('Dvd Calendar'!$E$55:$AR$55&lt;=DATE(YEAR_Y-5,12,31))*'Dvd Calendar'!$E$58:$AR$58*(('Dvd Calendar'!$E$60:$AR$60=TYPE1)*(TYPE1&lt;&gt;"")+('Dvd Calendar'!$E$60:$AR$60=TYPE2)*(TYPE2&lt;&gt;"")+('Dvd Calendar'!$E$60:$AR$60=TYPE3)*(TYPE3&lt;&gt;"")+('Dvd Calendar'!$E$60:$AR$60=TYPE4)*(TYPE4&lt;&gt;"")+('Dvd Calendar'!$E$60:$AR$60=SPECIAL_LBL)*(INC_SPECIALS="Y"))))</f>
        <v/>
      </c>
      <c r="G16" s="132">
        <f>IF($C16="","",SUMPRODUCT(('Dvd Calendar'!$E$55:$AR$55&gt;=DATE(YEAR_Y-4,1,1))*('Dvd Calendar'!$E$55:$AR$55&lt;=DATE(YEAR_Y-4,12,31))*'Dvd Calendar'!$E$58:$AR$58*(('Dvd Calendar'!$E$60:$AR$60=TYPE1)*(TYPE1&lt;&gt;"")+('Dvd Calendar'!$E$60:$AR$60=TYPE2)*(TYPE2&lt;&gt;"")+('Dvd Calendar'!$E$60:$AR$60=TYPE3)*(TYPE3&lt;&gt;"")+('Dvd Calendar'!$E$60:$AR$60=TYPE4)*(TYPE4&lt;&gt;"")+('Dvd Calendar'!$E$60:$AR$60=SPECIAL_LBL)*(INC_SPECIALS="Y"))))</f>
        <v/>
      </c>
      <c r="H16" s="132">
        <f>IF($C16="","",SUMPRODUCT(('Dvd Calendar'!$E$55:$AR$55&gt;=DATE(YEAR_Y-3,1,1))*('Dvd Calendar'!$E$55:$AR$55&lt;=DATE(YEAR_Y-3,12,31))*'Dvd Calendar'!$E$58:$AR$58*(('Dvd Calendar'!$E$60:$AR$60=TYPE1)*(TYPE1&lt;&gt;"")+('Dvd Calendar'!$E$60:$AR$60=TYPE2)*(TYPE2&lt;&gt;"")+('Dvd Calendar'!$E$60:$AR$60=TYPE3)*(TYPE3&lt;&gt;"")+('Dvd Calendar'!$E$60:$AR$60=TYPE4)*(TYPE4&lt;&gt;"")+('Dvd Calendar'!$E$60:$AR$60=SPECIAL_LBL)*(INC_SPECIALS="Y"))))</f>
        <v/>
      </c>
      <c r="I16" s="132">
        <f>IF($C16="","",SUMPRODUCT(('Dvd Calendar'!$E$55:$AR$55&gt;=DATE(YEAR_Y-2,1,1))*('Dvd Calendar'!$E$55:$AR$55&lt;=DATE(YEAR_Y-2,12,31))*'Dvd Calendar'!$E$58:$AR$58*(('Dvd Calendar'!$E$60:$AR$60=TYPE1)*(TYPE1&lt;&gt;"")+('Dvd Calendar'!$E$60:$AR$60=TYPE2)*(TYPE2&lt;&gt;"")+('Dvd Calendar'!$E$60:$AR$60=TYPE3)*(TYPE3&lt;&gt;"")+('Dvd Calendar'!$E$60:$AR$60=TYPE4)*(TYPE4&lt;&gt;"")+('Dvd Calendar'!$E$60:$AR$60=SPECIAL_LBL)*(INC_SPECIALS="Y"))))</f>
        <v/>
      </c>
      <c r="J16" s="132">
        <f>IF($C16="","",SUMPRODUCT(('Dvd Calendar'!$E$55:$AR$55&gt;=DATE(YEAR_Y-1,1,1))*('Dvd Calendar'!$E$55:$AR$55&lt;=DATE(YEAR_Y-1,12,31))*'Dvd Calendar'!$E$58:$AR$58*(('Dvd Calendar'!$E$60:$AR$60=TYPE1)*(TYPE1&lt;&gt;"")+('Dvd Calendar'!$E$60:$AR$60=TYPE2)*(TYPE2&lt;&gt;"")+('Dvd Calendar'!$E$60:$AR$60=TYPE3)*(TYPE3&lt;&gt;"")+('Dvd Calendar'!$E$60:$AR$60=TYPE4)*(TYPE4&lt;&gt;"")+('Dvd Calendar'!$E$60:$AR$60=SPECIAL_LBL)*(INC_SPECIALS="Y"))))</f>
        <v/>
      </c>
      <c r="K16" s="133">
        <f>IF($C16="","",HSI!$J$11)</f>
        <v/>
      </c>
      <c r="L16" s="133">
        <f>IF($C16="","",HSI!$K$11)</f>
        <v/>
      </c>
      <c r="M16" s="124">
        <f>IF($C16="","",HSI!$J$11+HSI!$L$11)</f>
        <v/>
      </c>
      <c r="N16" s="134">
        <f>IF($C16="","",IF(PULL_FUND="N","",IFERROR(BDP($C16,BESTDPS_FIELD,FWD_OVERRIDE,TEXT(MOD(YEAR_Y,100),"00")&amp;"Y"),"")))</f>
        <v/>
      </c>
      <c r="O16" s="133">
        <f>IF($C16="","",AVERAGE(F16:J16))</f>
        <v/>
      </c>
      <c r="P16" s="135">
        <f>IF($C16="","",IF(PULL_FUND="N","",IF(COUNTIFS('Fund History'!$J$32:$J$36,"&gt;="&amp;DATE(YEAR_Y-5,1,1),'Fund History'!$J$32:$J$36,"&lt;="&amp;DATE(YEAR_Y-5,12,31))=0,"",IFERROR($F16*HSI!$G$11/SUMIFS('Fund History'!$K$32:$K$36,'Fund History'!$J$32:$J$36,"&gt;="&amp;DATE(YEAR_Y-5,1,1),'Fund History'!$J$32:$J$36,"&lt;="&amp;DATE(YEAR_Y-5,12,31)),""))))</f>
        <v/>
      </c>
      <c r="Q16" s="136">
        <f>IF($C16="","",IF(PULL_FUND="N","",IF(COUNTIFS('Fund History'!$J$32:$J$36,"&gt;="&amp;DATE(YEAR_Y-4,1,1),'Fund History'!$J$32:$J$36,"&lt;="&amp;DATE(YEAR_Y-4,12,31))=0,"",IFERROR($G16*HSI!$G$11/SUMIFS('Fund History'!$K$32:$K$36,'Fund History'!$J$32:$J$36,"&gt;="&amp;DATE(YEAR_Y-4,1,1),'Fund History'!$J$32:$J$36,"&lt;="&amp;DATE(YEAR_Y-4,12,31)),""))))</f>
        <v/>
      </c>
      <c r="R16" s="136">
        <f>IF($C16="","",IF(PULL_FUND="N","",IF(COUNTIFS('Fund History'!$J$32:$J$36,"&gt;="&amp;DATE(YEAR_Y-3,1,1),'Fund History'!$J$32:$J$36,"&lt;="&amp;DATE(YEAR_Y-3,12,31))=0,"",IFERROR($H16*HSI!$G$11/SUMIFS('Fund History'!$K$32:$K$36,'Fund History'!$J$32:$J$36,"&gt;="&amp;DATE(YEAR_Y-3,1,1),'Fund History'!$J$32:$J$36,"&lt;="&amp;DATE(YEAR_Y-3,12,31)),""))))</f>
        <v/>
      </c>
      <c r="S16" s="136">
        <f>IF($C16="","",IF(PULL_FUND="N","",IF(COUNTIFS('Fund History'!$J$32:$J$36,"&gt;="&amp;DATE(YEAR_Y-2,1,1),'Fund History'!$J$32:$J$36,"&lt;="&amp;DATE(YEAR_Y-2,12,31))=0,"",IFERROR($I16*HSI!$G$11/SUMIFS('Fund History'!$K$32:$K$36,'Fund History'!$J$32:$J$36,"&gt;="&amp;DATE(YEAR_Y-2,1,1),'Fund History'!$J$32:$J$36,"&lt;="&amp;DATE(YEAR_Y-2,12,31)),""))))</f>
        <v/>
      </c>
      <c r="T16" s="136">
        <f>IF($C16="","",IF(PULL_FUND="N","",IF(COUNTIFS('Fund History'!$J$32:$J$36,"&gt;="&amp;DATE(YEAR_Y-1,1,1),'Fund History'!$J$32:$J$36,"&lt;="&amp;DATE(YEAR_Y-1,12,31))=0,"",IFERROR($J16*HSI!$G$11/SUMIFS('Fund History'!$K$32:$K$36,'Fund History'!$J$32:$J$36,"&gt;="&amp;DATE(YEAR_Y-1,1,1),'Fund History'!$J$32:$J$36,"&lt;="&amp;DATE(YEAR_Y-1,12,31)),""))))</f>
        <v/>
      </c>
      <c r="U16" s="137">
        <f>IF($C16="","",IF(ISNUMBER(HSI!$I$11),HSI!$I$11/100,""))</f>
        <v/>
      </c>
      <c r="V16" s="138">
        <f>IF($C16="","",IF(ISNUMBER(HSI!$X$11),IFERROR($M16*HSI!$G$11/HSI!$X$11,""),""))</f>
        <v/>
      </c>
      <c r="W16" s="137">
        <f>IF($C16="","",IF(ISNUMBER($N16),IFERROR($N16*HSI!$G$11/HSI!$X$11,""),""))</f>
        <v/>
      </c>
      <c r="X16" s="139">
        <f>IF($C16="","",IF(PULL_FUND="N","",IFERROR(BDP($C16,EPS_FIELD,YR_OVERRIDE,TEXT(YEAR_Y-5,"0")),"")))</f>
        <v/>
      </c>
      <c r="Y16" s="140">
        <f>IF($C16="","",IF(PULL_FUND="N","",IFERROR(BDP($C16,EPS_FIELD,YR_OVERRIDE,TEXT(YEAR_Y-4,"0")),"")))</f>
        <v/>
      </c>
      <c r="Z16" s="140">
        <f>IF($C16="","",IF(PULL_FUND="N","",IFERROR(BDP($C16,EPS_FIELD,YR_OVERRIDE,TEXT(YEAR_Y-3,"0")),"")))</f>
        <v/>
      </c>
      <c r="AA16" s="140">
        <f>IF($C16="","",IF(PULL_FUND="N","",IFERROR(BDP($C16,EPS_FIELD,YR_OVERRIDE,TEXT(YEAR_Y-2,"0")),"")))</f>
        <v/>
      </c>
      <c r="AB16" s="140">
        <f>IF($C16="","",IF(PULL_FUND="N","",IFERROR(BDP($C16,EPS_FIELD,YR_OVERRIDE,TEXT(YEAR_Y-1,"0")),"")))</f>
        <v/>
      </c>
      <c r="AC16" s="126">
        <f>IF($C16="","",IFERROR(AVERAGE(X16:AB16),""))</f>
        <v/>
      </c>
      <c r="AD16" s="140">
        <f>IF($C16="","",IF(PULL_FUND="N","",IFERROR(BDP($C16,BESTEPS_FIELD,FWD_OVERRIDE,TEXT(MOD(YEAR_Y,100),"00")&amp;"Y"),"")))</f>
        <v/>
      </c>
      <c r="AE16" s="141">
        <f>IF($C16="","",IF(PULL_FUND="N","",IFERROR(BDP($C16,PAYOUT_FIELD,YR_OVERRIDE,TEXT(YEAR_Y-5,"0"))/100,"")))</f>
        <v/>
      </c>
      <c r="AF16" s="142">
        <f>IF($C16="","",IF(PULL_FUND="N","",IFERROR(BDP($C16,PAYOUT_FIELD,YR_OVERRIDE,TEXT(YEAR_Y-4,"0"))/100,"")))</f>
        <v/>
      </c>
      <c r="AG16" s="142">
        <f>IF($C16="","",IF(PULL_FUND="N","",IFERROR(BDP($C16,PAYOUT_FIELD,YR_OVERRIDE,TEXT(YEAR_Y-3,"0"))/100,"")))</f>
        <v/>
      </c>
      <c r="AH16" s="142">
        <f>IF($C16="","",IF(PULL_FUND="N","",IFERROR(BDP($C16,PAYOUT_FIELD,YR_OVERRIDE,TEXT(YEAR_Y-2,"0"))/100,"")))</f>
        <v/>
      </c>
      <c r="AI16" s="142">
        <f>IF($C16="","",IF(PULL_FUND="N","",IFERROR(BDP($C16,PAYOUT_FIELD,YR_OVERRIDE,TEXT(YEAR_Y-1,"0"))/100,"")))</f>
        <v/>
      </c>
      <c r="AJ16" s="143">
        <f>IF($C16="","",IFERROR(AVERAGE(AE16:AI16),""))</f>
        <v/>
      </c>
      <c r="AK16" s="144">
        <f>IF($C16="","",IF(ISNUMBER($AD16)*ISNUMBER($N16)*($AD16&lt;&gt;0)=0,"",$N16/$AD16))</f>
        <v/>
      </c>
      <c r="AL16" s="143">
        <f>IF($C16="","",IF(ISNUMBER($AD16)*($AD16&lt;&gt;0)=0,"",$M16/$AD16))</f>
        <v/>
      </c>
      <c r="AM16" s="37">
        <f>IF($C16="","",IF(ISNUMBER($AE16)*ISNUMBER($AI16)=0,"",IF($AI16&gt;$AE16+0.05,"rising",IF($AI16&lt;$AE16-0.05,"falling","stable"))))</f>
        <v/>
      </c>
      <c r="AN16" s="145">
        <f>IF($C16="","",IF(PULL_FUND="N","",IF(COUNTIFS('Fund History'!$G$32:$G$36,"&gt;="&amp;DATE(YEAR_Y-4,1,1),'Fund History'!$G$32:$G$36,"&lt;="&amp;DATE(YEAR_Y-4,12,31))=0,"",SUMIFS('Fund History'!$H$32:$H$36,'Fund History'!$G$32:$G$36,"&gt;="&amp;DATE(YEAR_Y-4,1,1),'Fund History'!$G$32:$G$36,"&lt;="&amp;DATE(YEAR_Y-4,12,31))/100)))</f>
        <v/>
      </c>
      <c r="AO16" s="146">
        <f>IF($C16="","",IF(PULL_FUND="N","",IF(COUNTIFS('Fund History'!$G$32:$G$36,"&gt;="&amp;DATE(YEAR_Y-3,1,1),'Fund History'!$G$32:$G$36,"&lt;="&amp;DATE(YEAR_Y-3,12,31))=0,"",SUMIFS('Fund History'!$H$32:$H$36,'Fund History'!$G$32:$G$36,"&gt;="&amp;DATE(YEAR_Y-3,1,1),'Fund History'!$G$32:$G$36,"&lt;="&amp;DATE(YEAR_Y-3,12,31))/100)))</f>
        <v/>
      </c>
      <c r="AP16" s="146">
        <f>IF($C16="","",IF(PULL_FUND="N","",IF(COUNTIFS('Fund History'!$G$32:$G$36,"&gt;="&amp;DATE(YEAR_Y-2,1,1),'Fund History'!$G$32:$G$36,"&lt;="&amp;DATE(YEAR_Y-2,12,31))=0,"",SUMIFS('Fund History'!$H$32:$H$36,'Fund History'!$G$32:$G$36,"&gt;="&amp;DATE(YEAR_Y-2,1,1),'Fund History'!$G$32:$G$36,"&lt;="&amp;DATE(YEAR_Y-2,12,31))/100)))</f>
        <v/>
      </c>
      <c r="AQ16" s="146">
        <f>IF($C16="","",IF(PULL_FUND="N","",IF(COUNTIFS('Fund History'!$G$32:$G$36,"&gt;="&amp;DATE(YEAR_Y-1,1,1),'Fund History'!$G$32:$G$36,"&lt;="&amp;DATE(YEAR_Y-1,12,31))=0,"",SUMIFS('Fund History'!$H$32:$H$36,'Fund History'!$G$32:$G$36,"&gt;="&amp;DATE(YEAR_Y-1,1,1),'Fund History'!$G$32:$G$36,"&lt;="&amp;DATE(YEAR_Y-1,12,31))/100)))</f>
        <v/>
      </c>
      <c r="AR16" s="147">
        <f>IF($C16="","",IF(N($AQ16)+N(HSI!$I$11)=0,"",N($AQ16)+N(HSI!$I$11)/100))</f>
        <v/>
      </c>
      <c r="AS16" s="139">
        <f>IF($C16="","",IF(PULL_FUND="N","",IF(COUNTIFS('Fund History'!$D$32:$D$36,"&gt;="&amp;DATE(YEAR_Y-2,1,1),'Fund History'!$D$32:$D$36,"&lt;="&amp;DATE(YEAR_Y-2,12,31))=0,"",SUMIFS('Fund History'!$E$32:$E$36,'Fund History'!$D$32:$D$36,"&gt;="&amp;DATE(YEAR_Y-2,1,1),'Fund History'!$D$32:$D$36,"&lt;="&amp;DATE(YEAR_Y-2,12,31)))))</f>
        <v/>
      </c>
      <c r="AT16" s="140">
        <f>IF($C16="","",IF(PULL_FUND="N","",IF(COUNTIFS('Fund History'!$D$32:$D$36,"&gt;="&amp;DATE(YEAR_Y-1,1,1),'Fund History'!$D$32:$D$36,"&lt;="&amp;DATE(YEAR_Y-1,12,31))=0,"",SUMIFS('Fund History'!$E$32:$E$36,'Fund History'!$D$32:$D$36,"&gt;="&amp;DATE(YEAR_Y-1,1,1),'Fund History'!$D$32:$D$36,"&lt;="&amp;DATE(YEAR_Y-1,12,31)))))</f>
        <v/>
      </c>
      <c r="AU16" s="140">
        <f>IF($C16="","",IF(PULL_FUND="N","",IFERROR(BDP($C16,NDEBITDA_FIELD),"")))</f>
        <v/>
      </c>
      <c r="AV16" s="148">
        <f>IF($C16="","",IF(PULL_FUND="N","",IFERROR(BDP($C16,EBINT_FIELD),"")))</f>
        <v/>
      </c>
      <c r="AW16" s="146">
        <f>IF($C16="","",IF(PULL_FUND="N","",IFERROR(BDP($C16,FCF_FIELD)/100,"")))</f>
        <v/>
      </c>
      <c r="AX16" s="126">
        <f>IF($C16="","",IF(N($U16)=0,"",IFERROR($AW16/$U16,"")))</f>
        <v/>
      </c>
      <c r="AY16" s="85">
        <f>IF($C16="","",TRIM(IF(ISNUMBER($AJ16)*(N($AJ16)&gt;$D$4)&gt;0,"payout high  ","")&amp;IF(ISNUMBER($AX16)*(N($AX16)&lt;$F$4)&gt;0,"FCF below dvd  ","")&amp;IF(ISNUMBER($AU16)*(N($AU16)&gt;$H$4)&gt;0,"leverage high","")))</f>
        <v/>
      </c>
      <c r="AZ16" s="86">
        <f>IF($C16="","",IF(HSI!$F$11="HKD","",HSI!$F$11))</f>
        <v/>
      </c>
    </row>
    <row r="17">
      <c r="B17" s="66" t="inlineStr">
        <is>
          <t>HSI</t>
        </is>
      </c>
      <c r="C17" s="8">
        <f>IF(HSI!$C$12="","",HSI!$C$12)</f>
        <v/>
      </c>
      <c r="D17" s="8">
        <f>IF($C17="","",HSI!$D$12)</f>
        <v/>
      </c>
      <c r="E17" s="8">
        <f>IF($C17="","",HSI!$E$12)</f>
        <v/>
      </c>
      <c r="F17" s="131">
        <f>IF($C17="","",SUMPRODUCT(('Dvd Calendar'!$E$66:$AR$66&gt;=DATE(YEAR_Y-5,1,1))*('Dvd Calendar'!$E$66:$AR$66&lt;=DATE(YEAR_Y-5,12,31))*'Dvd Calendar'!$E$69:$AR$69*(('Dvd Calendar'!$E$71:$AR$71=TYPE1)*(TYPE1&lt;&gt;"")+('Dvd Calendar'!$E$71:$AR$71=TYPE2)*(TYPE2&lt;&gt;"")+('Dvd Calendar'!$E$71:$AR$71=TYPE3)*(TYPE3&lt;&gt;"")+('Dvd Calendar'!$E$71:$AR$71=TYPE4)*(TYPE4&lt;&gt;"")+('Dvd Calendar'!$E$71:$AR$71=SPECIAL_LBL)*(INC_SPECIALS="Y"))))</f>
        <v/>
      </c>
      <c r="G17" s="132">
        <f>IF($C17="","",SUMPRODUCT(('Dvd Calendar'!$E$66:$AR$66&gt;=DATE(YEAR_Y-4,1,1))*('Dvd Calendar'!$E$66:$AR$66&lt;=DATE(YEAR_Y-4,12,31))*'Dvd Calendar'!$E$69:$AR$69*(('Dvd Calendar'!$E$71:$AR$71=TYPE1)*(TYPE1&lt;&gt;"")+('Dvd Calendar'!$E$71:$AR$71=TYPE2)*(TYPE2&lt;&gt;"")+('Dvd Calendar'!$E$71:$AR$71=TYPE3)*(TYPE3&lt;&gt;"")+('Dvd Calendar'!$E$71:$AR$71=TYPE4)*(TYPE4&lt;&gt;"")+('Dvd Calendar'!$E$71:$AR$71=SPECIAL_LBL)*(INC_SPECIALS="Y"))))</f>
        <v/>
      </c>
      <c r="H17" s="132">
        <f>IF($C17="","",SUMPRODUCT(('Dvd Calendar'!$E$66:$AR$66&gt;=DATE(YEAR_Y-3,1,1))*('Dvd Calendar'!$E$66:$AR$66&lt;=DATE(YEAR_Y-3,12,31))*'Dvd Calendar'!$E$69:$AR$69*(('Dvd Calendar'!$E$71:$AR$71=TYPE1)*(TYPE1&lt;&gt;"")+('Dvd Calendar'!$E$71:$AR$71=TYPE2)*(TYPE2&lt;&gt;"")+('Dvd Calendar'!$E$71:$AR$71=TYPE3)*(TYPE3&lt;&gt;"")+('Dvd Calendar'!$E$71:$AR$71=TYPE4)*(TYPE4&lt;&gt;"")+('Dvd Calendar'!$E$71:$AR$71=SPECIAL_LBL)*(INC_SPECIALS="Y"))))</f>
        <v/>
      </c>
      <c r="I17" s="132">
        <f>IF($C17="","",SUMPRODUCT(('Dvd Calendar'!$E$66:$AR$66&gt;=DATE(YEAR_Y-2,1,1))*('Dvd Calendar'!$E$66:$AR$66&lt;=DATE(YEAR_Y-2,12,31))*'Dvd Calendar'!$E$69:$AR$69*(('Dvd Calendar'!$E$71:$AR$71=TYPE1)*(TYPE1&lt;&gt;"")+('Dvd Calendar'!$E$71:$AR$71=TYPE2)*(TYPE2&lt;&gt;"")+('Dvd Calendar'!$E$71:$AR$71=TYPE3)*(TYPE3&lt;&gt;"")+('Dvd Calendar'!$E$71:$AR$71=TYPE4)*(TYPE4&lt;&gt;"")+('Dvd Calendar'!$E$71:$AR$71=SPECIAL_LBL)*(INC_SPECIALS="Y"))))</f>
        <v/>
      </c>
      <c r="J17" s="132">
        <f>IF($C17="","",SUMPRODUCT(('Dvd Calendar'!$E$66:$AR$66&gt;=DATE(YEAR_Y-1,1,1))*('Dvd Calendar'!$E$66:$AR$66&lt;=DATE(YEAR_Y-1,12,31))*'Dvd Calendar'!$E$69:$AR$69*(('Dvd Calendar'!$E$71:$AR$71=TYPE1)*(TYPE1&lt;&gt;"")+('Dvd Calendar'!$E$71:$AR$71=TYPE2)*(TYPE2&lt;&gt;"")+('Dvd Calendar'!$E$71:$AR$71=TYPE3)*(TYPE3&lt;&gt;"")+('Dvd Calendar'!$E$71:$AR$71=TYPE4)*(TYPE4&lt;&gt;"")+('Dvd Calendar'!$E$71:$AR$71=SPECIAL_LBL)*(INC_SPECIALS="Y"))))</f>
        <v/>
      </c>
      <c r="K17" s="133">
        <f>IF($C17="","",HSI!$J$12)</f>
        <v/>
      </c>
      <c r="L17" s="133">
        <f>IF($C17="","",HSI!$K$12)</f>
        <v/>
      </c>
      <c r="M17" s="124">
        <f>IF($C17="","",HSI!$J$12+HSI!$L$12)</f>
        <v/>
      </c>
      <c r="N17" s="134">
        <f>IF($C17="","",IF(PULL_FUND="N","",IFERROR(BDP($C17,BESTDPS_FIELD,FWD_OVERRIDE,TEXT(MOD(YEAR_Y,100),"00")&amp;"Y"),"")))</f>
        <v/>
      </c>
      <c r="O17" s="133">
        <f>IF($C17="","",AVERAGE(F17:J17))</f>
        <v/>
      </c>
      <c r="P17" s="135">
        <f>IF($C17="","",IF(PULL_FUND="N","",IF(COUNTIFS('Fund History'!$J$38:$J$42,"&gt;="&amp;DATE(YEAR_Y-5,1,1),'Fund History'!$J$38:$J$42,"&lt;="&amp;DATE(YEAR_Y-5,12,31))=0,"",IFERROR($F17*HSI!$G$12/SUMIFS('Fund History'!$K$38:$K$42,'Fund History'!$J$38:$J$42,"&gt;="&amp;DATE(YEAR_Y-5,1,1),'Fund History'!$J$38:$J$42,"&lt;="&amp;DATE(YEAR_Y-5,12,31)),""))))</f>
        <v/>
      </c>
      <c r="Q17" s="136">
        <f>IF($C17="","",IF(PULL_FUND="N","",IF(COUNTIFS('Fund History'!$J$38:$J$42,"&gt;="&amp;DATE(YEAR_Y-4,1,1),'Fund History'!$J$38:$J$42,"&lt;="&amp;DATE(YEAR_Y-4,12,31))=0,"",IFERROR($G17*HSI!$G$12/SUMIFS('Fund History'!$K$38:$K$42,'Fund History'!$J$38:$J$42,"&gt;="&amp;DATE(YEAR_Y-4,1,1),'Fund History'!$J$38:$J$42,"&lt;="&amp;DATE(YEAR_Y-4,12,31)),""))))</f>
        <v/>
      </c>
      <c r="R17" s="136">
        <f>IF($C17="","",IF(PULL_FUND="N","",IF(COUNTIFS('Fund History'!$J$38:$J$42,"&gt;="&amp;DATE(YEAR_Y-3,1,1),'Fund History'!$J$38:$J$42,"&lt;="&amp;DATE(YEAR_Y-3,12,31))=0,"",IFERROR($H17*HSI!$G$12/SUMIFS('Fund History'!$K$38:$K$42,'Fund History'!$J$38:$J$42,"&gt;="&amp;DATE(YEAR_Y-3,1,1),'Fund History'!$J$38:$J$42,"&lt;="&amp;DATE(YEAR_Y-3,12,31)),""))))</f>
        <v/>
      </c>
      <c r="S17" s="136">
        <f>IF($C17="","",IF(PULL_FUND="N","",IF(COUNTIFS('Fund History'!$J$38:$J$42,"&gt;="&amp;DATE(YEAR_Y-2,1,1),'Fund History'!$J$38:$J$42,"&lt;="&amp;DATE(YEAR_Y-2,12,31))=0,"",IFERROR($I17*HSI!$G$12/SUMIFS('Fund History'!$K$38:$K$42,'Fund History'!$J$38:$J$42,"&gt;="&amp;DATE(YEAR_Y-2,1,1),'Fund History'!$J$38:$J$42,"&lt;="&amp;DATE(YEAR_Y-2,12,31)),""))))</f>
        <v/>
      </c>
      <c r="T17" s="136">
        <f>IF($C17="","",IF(PULL_FUND="N","",IF(COUNTIFS('Fund History'!$J$38:$J$42,"&gt;="&amp;DATE(YEAR_Y-1,1,1),'Fund History'!$J$38:$J$42,"&lt;="&amp;DATE(YEAR_Y-1,12,31))=0,"",IFERROR($J17*HSI!$G$12/SUMIFS('Fund History'!$K$38:$K$42,'Fund History'!$J$38:$J$42,"&gt;="&amp;DATE(YEAR_Y-1,1,1),'Fund History'!$J$38:$J$42,"&lt;="&amp;DATE(YEAR_Y-1,12,31)),""))))</f>
        <v/>
      </c>
      <c r="U17" s="137">
        <f>IF($C17="","",IF(ISNUMBER(HSI!$I$12),HSI!$I$12/100,""))</f>
        <v/>
      </c>
      <c r="V17" s="138">
        <f>IF($C17="","",IF(ISNUMBER(HSI!$X$12),IFERROR($M17*HSI!$G$12/HSI!$X$12,""),""))</f>
        <v/>
      </c>
      <c r="W17" s="137">
        <f>IF($C17="","",IF(ISNUMBER($N17),IFERROR($N17*HSI!$G$12/HSI!$X$12,""),""))</f>
        <v/>
      </c>
      <c r="X17" s="139">
        <f>IF($C17="","",IF(PULL_FUND="N","",IFERROR(BDP($C17,EPS_FIELD,YR_OVERRIDE,TEXT(YEAR_Y-5,"0")),"")))</f>
        <v/>
      </c>
      <c r="Y17" s="140">
        <f>IF($C17="","",IF(PULL_FUND="N","",IFERROR(BDP($C17,EPS_FIELD,YR_OVERRIDE,TEXT(YEAR_Y-4,"0")),"")))</f>
        <v/>
      </c>
      <c r="Z17" s="140">
        <f>IF($C17="","",IF(PULL_FUND="N","",IFERROR(BDP($C17,EPS_FIELD,YR_OVERRIDE,TEXT(YEAR_Y-3,"0")),"")))</f>
        <v/>
      </c>
      <c r="AA17" s="140">
        <f>IF($C17="","",IF(PULL_FUND="N","",IFERROR(BDP($C17,EPS_FIELD,YR_OVERRIDE,TEXT(YEAR_Y-2,"0")),"")))</f>
        <v/>
      </c>
      <c r="AB17" s="140">
        <f>IF($C17="","",IF(PULL_FUND="N","",IFERROR(BDP($C17,EPS_FIELD,YR_OVERRIDE,TEXT(YEAR_Y-1,"0")),"")))</f>
        <v/>
      </c>
      <c r="AC17" s="126">
        <f>IF($C17="","",IFERROR(AVERAGE(X17:AB17),""))</f>
        <v/>
      </c>
      <c r="AD17" s="140">
        <f>IF($C17="","",IF(PULL_FUND="N","",IFERROR(BDP($C17,BESTEPS_FIELD,FWD_OVERRIDE,TEXT(MOD(YEAR_Y,100),"00")&amp;"Y"),"")))</f>
        <v/>
      </c>
      <c r="AE17" s="141">
        <f>IF($C17="","",IF(PULL_FUND="N","",IFERROR(BDP($C17,PAYOUT_FIELD,YR_OVERRIDE,TEXT(YEAR_Y-5,"0"))/100,"")))</f>
        <v/>
      </c>
      <c r="AF17" s="142">
        <f>IF($C17="","",IF(PULL_FUND="N","",IFERROR(BDP($C17,PAYOUT_FIELD,YR_OVERRIDE,TEXT(YEAR_Y-4,"0"))/100,"")))</f>
        <v/>
      </c>
      <c r="AG17" s="142">
        <f>IF($C17="","",IF(PULL_FUND="N","",IFERROR(BDP($C17,PAYOUT_FIELD,YR_OVERRIDE,TEXT(YEAR_Y-3,"0"))/100,"")))</f>
        <v/>
      </c>
      <c r="AH17" s="142">
        <f>IF($C17="","",IF(PULL_FUND="N","",IFERROR(BDP($C17,PAYOUT_FIELD,YR_OVERRIDE,TEXT(YEAR_Y-2,"0"))/100,"")))</f>
        <v/>
      </c>
      <c r="AI17" s="142">
        <f>IF($C17="","",IF(PULL_FUND="N","",IFERROR(BDP($C17,PAYOUT_FIELD,YR_OVERRIDE,TEXT(YEAR_Y-1,"0"))/100,"")))</f>
        <v/>
      </c>
      <c r="AJ17" s="143">
        <f>IF($C17="","",IFERROR(AVERAGE(AE17:AI17),""))</f>
        <v/>
      </c>
      <c r="AK17" s="144">
        <f>IF($C17="","",IF(ISNUMBER($AD17)*ISNUMBER($N17)*($AD17&lt;&gt;0)=0,"",$N17/$AD17))</f>
        <v/>
      </c>
      <c r="AL17" s="143">
        <f>IF($C17="","",IF(ISNUMBER($AD17)*($AD17&lt;&gt;0)=0,"",$M17/$AD17))</f>
        <v/>
      </c>
      <c r="AM17" s="37">
        <f>IF($C17="","",IF(ISNUMBER($AE17)*ISNUMBER($AI17)=0,"",IF($AI17&gt;$AE17+0.05,"rising",IF($AI17&lt;$AE17-0.05,"falling","stable"))))</f>
        <v/>
      </c>
      <c r="AN17" s="145">
        <f>IF($C17="","",IF(PULL_FUND="N","",IF(COUNTIFS('Fund History'!$G$38:$G$42,"&gt;="&amp;DATE(YEAR_Y-4,1,1),'Fund History'!$G$38:$G$42,"&lt;="&amp;DATE(YEAR_Y-4,12,31))=0,"",SUMIFS('Fund History'!$H$38:$H$42,'Fund History'!$G$38:$G$42,"&gt;="&amp;DATE(YEAR_Y-4,1,1),'Fund History'!$G$38:$G$42,"&lt;="&amp;DATE(YEAR_Y-4,12,31))/100)))</f>
        <v/>
      </c>
      <c r="AO17" s="146">
        <f>IF($C17="","",IF(PULL_FUND="N","",IF(COUNTIFS('Fund History'!$G$38:$G$42,"&gt;="&amp;DATE(YEAR_Y-3,1,1),'Fund History'!$G$38:$G$42,"&lt;="&amp;DATE(YEAR_Y-3,12,31))=0,"",SUMIFS('Fund History'!$H$38:$H$42,'Fund History'!$G$38:$G$42,"&gt;="&amp;DATE(YEAR_Y-3,1,1),'Fund History'!$G$38:$G$42,"&lt;="&amp;DATE(YEAR_Y-3,12,31))/100)))</f>
        <v/>
      </c>
      <c r="AP17" s="146">
        <f>IF($C17="","",IF(PULL_FUND="N","",IF(COUNTIFS('Fund History'!$G$38:$G$42,"&gt;="&amp;DATE(YEAR_Y-2,1,1),'Fund History'!$G$38:$G$42,"&lt;="&amp;DATE(YEAR_Y-2,12,31))=0,"",SUMIFS('Fund History'!$H$38:$H$42,'Fund History'!$G$38:$G$42,"&gt;="&amp;DATE(YEAR_Y-2,1,1),'Fund History'!$G$38:$G$42,"&lt;="&amp;DATE(YEAR_Y-2,12,31))/100)))</f>
        <v/>
      </c>
      <c r="AQ17" s="146">
        <f>IF($C17="","",IF(PULL_FUND="N","",IF(COUNTIFS('Fund History'!$G$38:$G$42,"&gt;="&amp;DATE(YEAR_Y-1,1,1),'Fund History'!$G$38:$G$42,"&lt;="&amp;DATE(YEAR_Y-1,12,31))=0,"",SUMIFS('Fund History'!$H$38:$H$42,'Fund History'!$G$38:$G$42,"&gt;="&amp;DATE(YEAR_Y-1,1,1),'Fund History'!$G$38:$G$42,"&lt;="&amp;DATE(YEAR_Y-1,12,31))/100)))</f>
        <v/>
      </c>
      <c r="AR17" s="147">
        <f>IF($C17="","",IF(N($AQ17)+N(HSI!$I$12)=0,"",N($AQ17)+N(HSI!$I$12)/100))</f>
        <v/>
      </c>
      <c r="AS17" s="139">
        <f>IF($C17="","",IF(PULL_FUND="N","",IF(COUNTIFS('Fund History'!$D$38:$D$42,"&gt;="&amp;DATE(YEAR_Y-2,1,1),'Fund History'!$D$38:$D$42,"&lt;="&amp;DATE(YEAR_Y-2,12,31))=0,"",SUMIFS('Fund History'!$E$38:$E$42,'Fund History'!$D$38:$D$42,"&gt;="&amp;DATE(YEAR_Y-2,1,1),'Fund History'!$D$38:$D$42,"&lt;="&amp;DATE(YEAR_Y-2,12,31)))))</f>
        <v/>
      </c>
      <c r="AT17" s="140">
        <f>IF($C17="","",IF(PULL_FUND="N","",IF(COUNTIFS('Fund History'!$D$38:$D$42,"&gt;="&amp;DATE(YEAR_Y-1,1,1),'Fund History'!$D$38:$D$42,"&lt;="&amp;DATE(YEAR_Y-1,12,31))=0,"",SUMIFS('Fund History'!$E$38:$E$42,'Fund History'!$D$38:$D$42,"&gt;="&amp;DATE(YEAR_Y-1,1,1),'Fund History'!$D$38:$D$42,"&lt;="&amp;DATE(YEAR_Y-1,12,31)))))</f>
        <v/>
      </c>
      <c r="AU17" s="140">
        <f>IF($C17="","",IF(PULL_FUND="N","",IFERROR(BDP($C17,NDEBITDA_FIELD),"")))</f>
        <v/>
      </c>
      <c r="AV17" s="148">
        <f>IF($C17="","",IF(PULL_FUND="N","",IFERROR(BDP($C17,EBINT_FIELD),"")))</f>
        <v/>
      </c>
      <c r="AW17" s="146">
        <f>IF($C17="","",IF(PULL_FUND="N","",IFERROR(BDP($C17,FCF_FIELD)/100,"")))</f>
        <v/>
      </c>
      <c r="AX17" s="126">
        <f>IF($C17="","",IF(N($U17)=0,"",IFERROR($AW17/$U17,"")))</f>
        <v/>
      </c>
      <c r="AY17" s="85">
        <f>IF($C17="","",TRIM(IF(ISNUMBER($AJ17)*(N($AJ17)&gt;$D$4)&gt;0,"payout high  ","")&amp;IF(ISNUMBER($AX17)*(N($AX17)&lt;$F$4)&gt;0,"FCF below dvd  ","")&amp;IF(ISNUMBER($AU17)*(N($AU17)&gt;$H$4)&gt;0,"leverage high","")))</f>
        <v/>
      </c>
      <c r="AZ17" s="86">
        <f>IF($C17="","",IF(HSI!$F$12="HKD","",HSI!$F$12))</f>
        <v/>
      </c>
    </row>
    <row r="18">
      <c r="B18" s="66" t="inlineStr">
        <is>
          <t>HSI</t>
        </is>
      </c>
      <c r="C18" s="8">
        <f>IF(HSI!$C$13="","",HSI!$C$13)</f>
        <v/>
      </c>
      <c r="D18" s="8">
        <f>IF($C18="","",HSI!$D$13)</f>
        <v/>
      </c>
      <c r="E18" s="8">
        <f>IF($C18="","",HSI!$E$13)</f>
        <v/>
      </c>
      <c r="F18" s="131">
        <f>IF($C18="","",SUMPRODUCT(('Dvd Calendar'!$E$77:$AR$77&gt;=DATE(YEAR_Y-5,1,1))*('Dvd Calendar'!$E$77:$AR$77&lt;=DATE(YEAR_Y-5,12,31))*'Dvd Calendar'!$E$80:$AR$80*(('Dvd Calendar'!$E$82:$AR$82=TYPE1)*(TYPE1&lt;&gt;"")+('Dvd Calendar'!$E$82:$AR$82=TYPE2)*(TYPE2&lt;&gt;"")+('Dvd Calendar'!$E$82:$AR$82=TYPE3)*(TYPE3&lt;&gt;"")+('Dvd Calendar'!$E$82:$AR$82=TYPE4)*(TYPE4&lt;&gt;"")+('Dvd Calendar'!$E$82:$AR$82=SPECIAL_LBL)*(INC_SPECIALS="Y"))))</f>
        <v/>
      </c>
      <c r="G18" s="132">
        <f>IF($C18="","",SUMPRODUCT(('Dvd Calendar'!$E$77:$AR$77&gt;=DATE(YEAR_Y-4,1,1))*('Dvd Calendar'!$E$77:$AR$77&lt;=DATE(YEAR_Y-4,12,31))*'Dvd Calendar'!$E$80:$AR$80*(('Dvd Calendar'!$E$82:$AR$82=TYPE1)*(TYPE1&lt;&gt;"")+('Dvd Calendar'!$E$82:$AR$82=TYPE2)*(TYPE2&lt;&gt;"")+('Dvd Calendar'!$E$82:$AR$82=TYPE3)*(TYPE3&lt;&gt;"")+('Dvd Calendar'!$E$82:$AR$82=TYPE4)*(TYPE4&lt;&gt;"")+('Dvd Calendar'!$E$82:$AR$82=SPECIAL_LBL)*(INC_SPECIALS="Y"))))</f>
        <v/>
      </c>
      <c r="H18" s="132">
        <f>IF($C18="","",SUMPRODUCT(('Dvd Calendar'!$E$77:$AR$77&gt;=DATE(YEAR_Y-3,1,1))*('Dvd Calendar'!$E$77:$AR$77&lt;=DATE(YEAR_Y-3,12,31))*'Dvd Calendar'!$E$80:$AR$80*(('Dvd Calendar'!$E$82:$AR$82=TYPE1)*(TYPE1&lt;&gt;"")+('Dvd Calendar'!$E$82:$AR$82=TYPE2)*(TYPE2&lt;&gt;"")+('Dvd Calendar'!$E$82:$AR$82=TYPE3)*(TYPE3&lt;&gt;"")+('Dvd Calendar'!$E$82:$AR$82=TYPE4)*(TYPE4&lt;&gt;"")+('Dvd Calendar'!$E$82:$AR$82=SPECIAL_LBL)*(INC_SPECIALS="Y"))))</f>
        <v/>
      </c>
      <c r="I18" s="132">
        <f>IF($C18="","",SUMPRODUCT(('Dvd Calendar'!$E$77:$AR$77&gt;=DATE(YEAR_Y-2,1,1))*('Dvd Calendar'!$E$77:$AR$77&lt;=DATE(YEAR_Y-2,12,31))*'Dvd Calendar'!$E$80:$AR$80*(('Dvd Calendar'!$E$82:$AR$82=TYPE1)*(TYPE1&lt;&gt;"")+('Dvd Calendar'!$E$82:$AR$82=TYPE2)*(TYPE2&lt;&gt;"")+('Dvd Calendar'!$E$82:$AR$82=TYPE3)*(TYPE3&lt;&gt;"")+('Dvd Calendar'!$E$82:$AR$82=TYPE4)*(TYPE4&lt;&gt;"")+('Dvd Calendar'!$E$82:$AR$82=SPECIAL_LBL)*(INC_SPECIALS="Y"))))</f>
        <v/>
      </c>
      <c r="J18" s="132">
        <f>IF($C18="","",SUMPRODUCT(('Dvd Calendar'!$E$77:$AR$77&gt;=DATE(YEAR_Y-1,1,1))*('Dvd Calendar'!$E$77:$AR$77&lt;=DATE(YEAR_Y-1,12,31))*'Dvd Calendar'!$E$80:$AR$80*(('Dvd Calendar'!$E$82:$AR$82=TYPE1)*(TYPE1&lt;&gt;"")+('Dvd Calendar'!$E$82:$AR$82=TYPE2)*(TYPE2&lt;&gt;"")+('Dvd Calendar'!$E$82:$AR$82=TYPE3)*(TYPE3&lt;&gt;"")+('Dvd Calendar'!$E$82:$AR$82=TYPE4)*(TYPE4&lt;&gt;"")+('Dvd Calendar'!$E$82:$AR$82=SPECIAL_LBL)*(INC_SPECIALS="Y"))))</f>
        <v/>
      </c>
      <c r="K18" s="133">
        <f>IF($C18="","",HSI!$J$13)</f>
        <v/>
      </c>
      <c r="L18" s="133">
        <f>IF($C18="","",HSI!$K$13)</f>
        <v/>
      </c>
      <c r="M18" s="124">
        <f>IF($C18="","",HSI!$J$13+HSI!$L$13)</f>
        <v/>
      </c>
      <c r="N18" s="134">
        <f>IF($C18="","",IF(PULL_FUND="N","",IFERROR(BDP($C18,BESTDPS_FIELD,FWD_OVERRIDE,TEXT(MOD(YEAR_Y,100),"00")&amp;"Y"),"")))</f>
        <v/>
      </c>
      <c r="O18" s="133">
        <f>IF($C18="","",AVERAGE(F18:J18))</f>
        <v/>
      </c>
      <c r="P18" s="135">
        <f>IF($C18="","",IF(PULL_FUND="N","",IF(COUNTIFS('Fund History'!$J$44:$J$48,"&gt;="&amp;DATE(YEAR_Y-5,1,1),'Fund History'!$J$44:$J$48,"&lt;="&amp;DATE(YEAR_Y-5,12,31))=0,"",IFERROR($F18*HSI!$G$13/SUMIFS('Fund History'!$K$44:$K$48,'Fund History'!$J$44:$J$48,"&gt;="&amp;DATE(YEAR_Y-5,1,1),'Fund History'!$J$44:$J$48,"&lt;="&amp;DATE(YEAR_Y-5,12,31)),""))))</f>
        <v/>
      </c>
      <c r="Q18" s="136">
        <f>IF($C18="","",IF(PULL_FUND="N","",IF(COUNTIFS('Fund History'!$J$44:$J$48,"&gt;="&amp;DATE(YEAR_Y-4,1,1),'Fund History'!$J$44:$J$48,"&lt;="&amp;DATE(YEAR_Y-4,12,31))=0,"",IFERROR($G18*HSI!$G$13/SUMIFS('Fund History'!$K$44:$K$48,'Fund History'!$J$44:$J$48,"&gt;="&amp;DATE(YEAR_Y-4,1,1),'Fund History'!$J$44:$J$48,"&lt;="&amp;DATE(YEAR_Y-4,12,31)),""))))</f>
        <v/>
      </c>
      <c r="R18" s="136">
        <f>IF($C18="","",IF(PULL_FUND="N","",IF(COUNTIFS('Fund History'!$J$44:$J$48,"&gt;="&amp;DATE(YEAR_Y-3,1,1),'Fund History'!$J$44:$J$48,"&lt;="&amp;DATE(YEAR_Y-3,12,31))=0,"",IFERROR($H18*HSI!$G$13/SUMIFS('Fund History'!$K$44:$K$48,'Fund History'!$J$44:$J$48,"&gt;="&amp;DATE(YEAR_Y-3,1,1),'Fund History'!$J$44:$J$48,"&lt;="&amp;DATE(YEAR_Y-3,12,31)),""))))</f>
        <v/>
      </c>
      <c r="S18" s="136">
        <f>IF($C18="","",IF(PULL_FUND="N","",IF(COUNTIFS('Fund History'!$J$44:$J$48,"&gt;="&amp;DATE(YEAR_Y-2,1,1),'Fund History'!$J$44:$J$48,"&lt;="&amp;DATE(YEAR_Y-2,12,31))=0,"",IFERROR($I18*HSI!$G$13/SUMIFS('Fund History'!$K$44:$K$48,'Fund History'!$J$44:$J$48,"&gt;="&amp;DATE(YEAR_Y-2,1,1),'Fund History'!$J$44:$J$48,"&lt;="&amp;DATE(YEAR_Y-2,12,31)),""))))</f>
        <v/>
      </c>
      <c r="T18" s="136">
        <f>IF($C18="","",IF(PULL_FUND="N","",IF(COUNTIFS('Fund History'!$J$44:$J$48,"&gt;="&amp;DATE(YEAR_Y-1,1,1),'Fund History'!$J$44:$J$48,"&lt;="&amp;DATE(YEAR_Y-1,12,31))=0,"",IFERROR($J18*HSI!$G$13/SUMIFS('Fund History'!$K$44:$K$48,'Fund History'!$J$44:$J$48,"&gt;="&amp;DATE(YEAR_Y-1,1,1),'Fund History'!$J$44:$J$48,"&lt;="&amp;DATE(YEAR_Y-1,12,31)),""))))</f>
        <v/>
      </c>
      <c r="U18" s="137">
        <f>IF($C18="","",IF(ISNUMBER(HSI!$I$13),HSI!$I$13/100,""))</f>
        <v/>
      </c>
      <c r="V18" s="138">
        <f>IF($C18="","",IF(ISNUMBER(HSI!$X$13),IFERROR($M18*HSI!$G$13/HSI!$X$13,""),""))</f>
        <v/>
      </c>
      <c r="W18" s="137">
        <f>IF($C18="","",IF(ISNUMBER($N18),IFERROR($N18*HSI!$G$13/HSI!$X$13,""),""))</f>
        <v/>
      </c>
      <c r="X18" s="139">
        <f>IF($C18="","",IF(PULL_FUND="N","",IFERROR(BDP($C18,EPS_FIELD,YR_OVERRIDE,TEXT(YEAR_Y-5,"0")),"")))</f>
        <v/>
      </c>
      <c r="Y18" s="140">
        <f>IF($C18="","",IF(PULL_FUND="N","",IFERROR(BDP($C18,EPS_FIELD,YR_OVERRIDE,TEXT(YEAR_Y-4,"0")),"")))</f>
        <v/>
      </c>
      <c r="Z18" s="140">
        <f>IF($C18="","",IF(PULL_FUND="N","",IFERROR(BDP($C18,EPS_FIELD,YR_OVERRIDE,TEXT(YEAR_Y-3,"0")),"")))</f>
        <v/>
      </c>
      <c r="AA18" s="140">
        <f>IF($C18="","",IF(PULL_FUND="N","",IFERROR(BDP($C18,EPS_FIELD,YR_OVERRIDE,TEXT(YEAR_Y-2,"0")),"")))</f>
        <v/>
      </c>
      <c r="AB18" s="140">
        <f>IF($C18="","",IF(PULL_FUND="N","",IFERROR(BDP($C18,EPS_FIELD,YR_OVERRIDE,TEXT(YEAR_Y-1,"0")),"")))</f>
        <v/>
      </c>
      <c r="AC18" s="126">
        <f>IF($C18="","",IFERROR(AVERAGE(X18:AB18),""))</f>
        <v/>
      </c>
      <c r="AD18" s="140">
        <f>IF($C18="","",IF(PULL_FUND="N","",IFERROR(BDP($C18,BESTEPS_FIELD,FWD_OVERRIDE,TEXT(MOD(YEAR_Y,100),"00")&amp;"Y"),"")))</f>
        <v/>
      </c>
      <c r="AE18" s="141">
        <f>IF($C18="","",IF(PULL_FUND="N","",IFERROR(BDP($C18,PAYOUT_FIELD,YR_OVERRIDE,TEXT(YEAR_Y-5,"0"))/100,"")))</f>
        <v/>
      </c>
      <c r="AF18" s="142">
        <f>IF($C18="","",IF(PULL_FUND="N","",IFERROR(BDP($C18,PAYOUT_FIELD,YR_OVERRIDE,TEXT(YEAR_Y-4,"0"))/100,"")))</f>
        <v/>
      </c>
      <c r="AG18" s="142">
        <f>IF($C18="","",IF(PULL_FUND="N","",IFERROR(BDP($C18,PAYOUT_FIELD,YR_OVERRIDE,TEXT(YEAR_Y-3,"0"))/100,"")))</f>
        <v/>
      </c>
      <c r="AH18" s="142">
        <f>IF($C18="","",IF(PULL_FUND="N","",IFERROR(BDP($C18,PAYOUT_FIELD,YR_OVERRIDE,TEXT(YEAR_Y-2,"0"))/100,"")))</f>
        <v/>
      </c>
      <c r="AI18" s="142">
        <f>IF($C18="","",IF(PULL_FUND="N","",IFERROR(BDP($C18,PAYOUT_FIELD,YR_OVERRIDE,TEXT(YEAR_Y-1,"0"))/100,"")))</f>
        <v/>
      </c>
      <c r="AJ18" s="143">
        <f>IF($C18="","",IFERROR(AVERAGE(AE18:AI18),""))</f>
        <v/>
      </c>
      <c r="AK18" s="144">
        <f>IF($C18="","",IF(ISNUMBER($AD18)*ISNUMBER($N18)*($AD18&lt;&gt;0)=0,"",$N18/$AD18))</f>
        <v/>
      </c>
      <c r="AL18" s="143">
        <f>IF($C18="","",IF(ISNUMBER($AD18)*($AD18&lt;&gt;0)=0,"",$M18/$AD18))</f>
        <v/>
      </c>
      <c r="AM18" s="37">
        <f>IF($C18="","",IF(ISNUMBER($AE18)*ISNUMBER($AI18)=0,"",IF($AI18&gt;$AE18+0.05,"rising",IF($AI18&lt;$AE18-0.05,"falling","stable"))))</f>
        <v/>
      </c>
      <c r="AN18" s="145">
        <f>IF($C18="","",IF(PULL_FUND="N","",IF(COUNTIFS('Fund History'!$G$44:$G$48,"&gt;="&amp;DATE(YEAR_Y-4,1,1),'Fund History'!$G$44:$G$48,"&lt;="&amp;DATE(YEAR_Y-4,12,31))=0,"",SUMIFS('Fund History'!$H$44:$H$48,'Fund History'!$G$44:$G$48,"&gt;="&amp;DATE(YEAR_Y-4,1,1),'Fund History'!$G$44:$G$48,"&lt;="&amp;DATE(YEAR_Y-4,12,31))/100)))</f>
        <v/>
      </c>
      <c r="AO18" s="146">
        <f>IF($C18="","",IF(PULL_FUND="N","",IF(COUNTIFS('Fund History'!$G$44:$G$48,"&gt;="&amp;DATE(YEAR_Y-3,1,1),'Fund History'!$G$44:$G$48,"&lt;="&amp;DATE(YEAR_Y-3,12,31))=0,"",SUMIFS('Fund History'!$H$44:$H$48,'Fund History'!$G$44:$G$48,"&gt;="&amp;DATE(YEAR_Y-3,1,1),'Fund History'!$G$44:$G$48,"&lt;="&amp;DATE(YEAR_Y-3,12,31))/100)))</f>
        <v/>
      </c>
      <c r="AP18" s="146">
        <f>IF($C18="","",IF(PULL_FUND="N","",IF(COUNTIFS('Fund History'!$G$44:$G$48,"&gt;="&amp;DATE(YEAR_Y-2,1,1),'Fund History'!$G$44:$G$48,"&lt;="&amp;DATE(YEAR_Y-2,12,31))=0,"",SUMIFS('Fund History'!$H$44:$H$48,'Fund History'!$G$44:$G$48,"&gt;="&amp;DATE(YEAR_Y-2,1,1),'Fund History'!$G$44:$G$48,"&lt;="&amp;DATE(YEAR_Y-2,12,31))/100)))</f>
        <v/>
      </c>
      <c r="AQ18" s="146">
        <f>IF($C18="","",IF(PULL_FUND="N","",IF(COUNTIFS('Fund History'!$G$44:$G$48,"&gt;="&amp;DATE(YEAR_Y-1,1,1),'Fund History'!$G$44:$G$48,"&lt;="&amp;DATE(YEAR_Y-1,12,31))=0,"",SUMIFS('Fund History'!$H$44:$H$48,'Fund History'!$G$44:$G$48,"&gt;="&amp;DATE(YEAR_Y-1,1,1),'Fund History'!$G$44:$G$48,"&lt;="&amp;DATE(YEAR_Y-1,12,31))/100)))</f>
        <v/>
      </c>
      <c r="AR18" s="147">
        <f>IF($C18="","",IF(N($AQ18)+N(HSI!$I$13)=0,"",N($AQ18)+N(HSI!$I$13)/100))</f>
        <v/>
      </c>
      <c r="AS18" s="139">
        <f>IF($C18="","",IF(PULL_FUND="N","",IF(COUNTIFS('Fund History'!$D$44:$D$48,"&gt;="&amp;DATE(YEAR_Y-2,1,1),'Fund History'!$D$44:$D$48,"&lt;="&amp;DATE(YEAR_Y-2,12,31))=0,"",SUMIFS('Fund History'!$E$44:$E$48,'Fund History'!$D$44:$D$48,"&gt;="&amp;DATE(YEAR_Y-2,1,1),'Fund History'!$D$44:$D$48,"&lt;="&amp;DATE(YEAR_Y-2,12,31)))))</f>
        <v/>
      </c>
      <c r="AT18" s="140">
        <f>IF($C18="","",IF(PULL_FUND="N","",IF(COUNTIFS('Fund History'!$D$44:$D$48,"&gt;="&amp;DATE(YEAR_Y-1,1,1),'Fund History'!$D$44:$D$48,"&lt;="&amp;DATE(YEAR_Y-1,12,31))=0,"",SUMIFS('Fund History'!$E$44:$E$48,'Fund History'!$D$44:$D$48,"&gt;="&amp;DATE(YEAR_Y-1,1,1),'Fund History'!$D$44:$D$48,"&lt;="&amp;DATE(YEAR_Y-1,12,31)))))</f>
        <v/>
      </c>
      <c r="AU18" s="140">
        <f>IF($C18="","",IF(PULL_FUND="N","",IFERROR(BDP($C18,NDEBITDA_FIELD),"")))</f>
        <v/>
      </c>
      <c r="AV18" s="148">
        <f>IF($C18="","",IF(PULL_FUND="N","",IFERROR(BDP($C18,EBINT_FIELD),"")))</f>
        <v/>
      </c>
      <c r="AW18" s="146">
        <f>IF($C18="","",IF(PULL_FUND="N","",IFERROR(BDP($C18,FCF_FIELD)/100,"")))</f>
        <v/>
      </c>
      <c r="AX18" s="126">
        <f>IF($C18="","",IF(N($U18)=0,"",IFERROR($AW18/$U18,"")))</f>
        <v/>
      </c>
      <c r="AY18" s="85">
        <f>IF($C18="","",TRIM(IF(ISNUMBER($AJ18)*(N($AJ18)&gt;$D$4)&gt;0,"payout high  ","")&amp;IF(ISNUMBER($AX18)*(N($AX18)&lt;$F$4)&gt;0,"FCF below dvd  ","")&amp;IF(ISNUMBER($AU18)*(N($AU18)&gt;$H$4)&gt;0,"leverage high","")))</f>
        <v/>
      </c>
      <c r="AZ18" s="86">
        <f>IF($C18="","",IF(HSI!$F$13="HKD","",HSI!$F$13))</f>
        <v/>
      </c>
    </row>
    <row r="19">
      <c r="B19" s="66" t="inlineStr">
        <is>
          <t>HSI</t>
        </is>
      </c>
      <c r="C19" s="8">
        <f>IF(HSI!$C$14="","",HSI!$C$14)</f>
        <v/>
      </c>
      <c r="D19" s="8">
        <f>IF($C19="","",HSI!$D$14)</f>
        <v/>
      </c>
      <c r="E19" s="8">
        <f>IF($C19="","",HSI!$E$14)</f>
        <v/>
      </c>
      <c r="F19" s="131">
        <f>IF($C19="","",SUMPRODUCT(('Dvd Calendar'!$E$88:$AR$88&gt;=DATE(YEAR_Y-5,1,1))*('Dvd Calendar'!$E$88:$AR$88&lt;=DATE(YEAR_Y-5,12,31))*'Dvd Calendar'!$E$91:$AR$91*(('Dvd Calendar'!$E$93:$AR$93=TYPE1)*(TYPE1&lt;&gt;"")+('Dvd Calendar'!$E$93:$AR$93=TYPE2)*(TYPE2&lt;&gt;"")+('Dvd Calendar'!$E$93:$AR$93=TYPE3)*(TYPE3&lt;&gt;"")+('Dvd Calendar'!$E$93:$AR$93=TYPE4)*(TYPE4&lt;&gt;"")+('Dvd Calendar'!$E$93:$AR$93=SPECIAL_LBL)*(INC_SPECIALS="Y"))))</f>
        <v/>
      </c>
      <c r="G19" s="132">
        <f>IF($C19="","",SUMPRODUCT(('Dvd Calendar'!$E$88:$AR$88&gt;=DATE(YEAR_Y-4,1,1))*('Dvd Calendar'!$E$88:$AR$88&lt;=DATE(YEAR_Y-4,12,31))*'Dvd Calendar'!$E$91:$AR$91*(('Dvd Calendar'!$E$93:$AR$93=TYPE1)*(TYPE1&lt;&gt;"")+('Dvd Calendar'!$E$93:$AR$93=TYPE2)*(TYPE2&lt;&gt;"")+('Dvd Calendar'!$E$93:$AR$93=TYPE3)*(TYPE3&lt;&gt;"")+('Dvd Calendar'!$E$93:$AR$93=TYPE4)*(TYPE4&lt;&gt;"")+('Dvd Calendar'!$E$93:$AR$93=SPECIAL_LBL)*(INC_SPECIALS="Y"))))</f>
        <v/>
      </c>
      <c r="H19" s="132">
        <f>IF($C19="","",SUMPRODUCT(('Dvd Calendar'!$E$88:$AR$88&gt;=DATE(YEAR_Y-3,1,1))*('Dvd Calendar'!$E$88:$AR$88&lt;=DATE(YEAR_Y-3,12,31))*'Dvd Calendar'!$E$91:$AR$91*(('Dvd Calendar'!$E$93:$AR$93=TYPE1)*(TYPE1&lt;&gt;"")+('Dvd Calendar'!$E$93:$AR$93=TYPE2)*(TYPE2&lt;&gt;"")+('Dvd Calendar'!$E$93:$AR$93=TYPE3)*(TYPE3&lt;&gt;"")+('Dvd Calendar'!$E$93:$AR$93=TYPE4)*(TYPE4&lt;&gt;"")+('Dvd Calendar'!$E$93:$AR$93=SPECIAL_LBL)*(INC_SPECIALS="Y"))))</f>
        <v/>
      </c>
      <c r="I19" s="132">
        <f>IF($C19="","",SUMPRODUCT(('Dvd Calendar'!$E$88:$AR$88&gt;=DATE(YEAR_Y-2,1,1))*('Dvd Calendar'!$E$88:$AR$88&lt;=DATE(YEAR_Y-2,12,31))*'Dvd Calendar'!$E$91:$AR$91*(('Dvd Calendar'!$E$93:$AR$93=TYPE1)*(TYPE1&lt;&gt;"")+('Dvd Calendar'!$E$93:$AR$93=TYPE2)*(TYPE2&lt;&gt;"")+('Dvd Calendar'!$E$93:$AR$93=TYPE3)*(TYPE3&lt;&gt;"")+('Dvd Calendar'!$E$93:$AR$93=TYPE4)*(TYPE4&lt;&gt;"")+('Dvd Calendar'!$E$93:$AR$93=SPECIAL_LBL)*(INC_SPECIALS="Y"))))</f>
        <v/>
      </c>
      <c r="J19" s="132">
        <f>IF($C19="","",SUMPRODUCT(('Dvd Calendar'!$E$88:$AR$88&gt;=DATE(YEAR_Y-1,1,1))*('Dvd Calendar'!$E$88:$AR$88&lt;=DATE(YEAR_Y-1,12,31))*'Dvd Calendar'!$E$91:$AR$91*(('Dvd Calendar'!$E$93:$AR$93=TYPE1)*(TYPE1&lt;&gt;"")+('Dvd Calendar'!$E$93:$AR$93=TYPE2)*(TYPE2&lt;&gt;"")+('Dvd Calendar'!$E$93:$AR$93=TYPE3)*(TYPE3&lt;&gt;"")+('Dvd Calendar'!$E$93:$AR$93=TYPE4)*(TYPE4&lt;&gt;"")+('Dvd Calendar'!$E$93:$AR$93=SPECIAL_LBL)*(INC_SPECIALS="Y"))))</f>
        <v/>
      </c>
      <c r="K19" s="133">
        <f>IF($C19="","",HSI!$J$14)</f>
        <v/>
      </c>
      <c r="L19" s="133">
        <f>IF($C19="","",HSI!$K$14)</f>
        <v/>
      </c>
      <c r="M19" s="124">
        <f>IF($C19="","",HSI!$J$14+HSI!$L$14)</f>
        <v/>
      </c>
      <c r="N19" s="134">
        <f>IF($C19="","",IF(PULL_FUND="N","",IFERROR(BDP($C19,BESTDPS_FIELD,FWD_OVERRIDE,TEXT(MOD(YEAR_Y,100),"00")&amp;"Y"),"")))</f>
        <v/>
      </c>
      <c r="O19" s="133">
        <f>IF($C19="","",AVERAGE(F19:J19))</f>
        <v/>
      </c>
      <c r="P19" s="135">
        <f>IF($C19="","",IF(PULL_FUND="N","",IF(COUNTIFS('Fund History'!$J$50:$J$54,"&gt;="&amp;DATE(YEAR_Y-5,1,1),'Fund History'!$J$50:$J$54,"&lt;="&amp;DATE(YEAR_Y-5,12,31))=0,"",IFERROR($F19*HSI!$G$14/SUMIFS('Fund History'!$K$50:$K$54,'Fund History'!$J$50:$J$54,"&gt;="&amp;DATE(YEAR_Y-5,1,1),'Fund History'!$J$50:$J$54,"&lt;="&amp;DATE(YEAR_Y-5,12,31)),""))))</f>
        <v/>
      </c>
      <c r="Q19" s="136">
        <f>IF($C19="","",IF(PULL_FUND="N","",IF(COUNTIFS('Fund History'!$J$50:$J$54,"&gt;="&amp;DATE(YEAR_Y-4,1,1),'Fund History'!$J$50:$J$54,"&lt;="&amp;DATE(YEAR_Y-4,12,31))=0,"",IFERROR($G19*HSI!$G$14/SUMIFS('Fund History'!$K$50:$K$54,'Fund History'!$J$50:$J$54,"&gt;="&amp;DATE(YEAR_Y-4,1,1),'Fund History'!$J$50:$J$54,"&lt;="&amp;DATE(YEAR_Y-4,12,31)),""))))</f>
        <v/>
      </c>
      <c r="R19" s="136">
        <f>IF($C19="","",IF(PULL_FUND="N","",IF(COUNTIFS('Fund History'!$J$50:$J$54,"&gt;="&amp;DATE(YEAR_Y-3,1,1),'Fund History'!$J$50:$J$54,"&lt;="&amp;DATE(YEAR_Y-3,12,31))=0,"",IFERROR($H19*HSI!$G$14/SUMIFS('Fund History'!$K$50:$K$54,'Fund History'!$J$50:$J$54,"&gt;="&amp;DATE(YEAR_Y-3,1,1),'Fund History'!$J$50:$J$54,"&lt;="&amp;DATE(YEAR_Y-3,12,31)),""))))</f>
        <v/>
      </c>
      <c r="S19" s="136">
        <f>IF($C19="","",IF(PULL_FUND="N","",IF(COUNTIFS('Fund History'!$J$50:$J$54,"&gt;="&amp;DATE(YEAR_Y-2,1,1),'Fund History'!$J$50:$J$54,"&lt;="&amp;DATE(YEAR_Y-2,12,31))=0,"",IFERROR($I19*HSI!$G$14/SUMIFS('Fund History'!$K$50:$K$54,'Fund History'!$J$50:$J$54,"&gt;="&amp;DATE(YEAR_Y-2,1,1),'Fund History'!$J$50:$J$54,"&lt;="&amp;DATE(YEAR_Y-2,12,31)),""))))</f>
        <v/>
      </c>
      <c r="T19" s="136">
        <f>IF($C19="","",IF(PULL_FUND="N","",IF(COUNTIFS('Fund History'!$J$50:$J$54,"&gt;="&amp;DATE(YEAR_Y-1,1,1),'Fund History'!$J$50:$J$54,"&lt;="&amp;DATE(YEAR_Y-1,12,31))=0,"",IFERROR($J19*HSI!$G$14/SUMIFS('Fund History'!$K$50:$K$54,'Fund History'!$J$50:$J$54,"&gt;="&amp;DATE(YEAR_Y-1,1,1),'Fund History'!$J$50:$J$54,"&lt;="&amp;DATE(YEAR_Y-1,12,31)),""))))</f>
        <v/>
      </c>
      <c r="U19" s="137">
        <f>IF($C19="","",IF(ISNUMBER(HSI!$I$14),HSI!$I$14/100,""))</f>
        <v/>
      </c>
      <c r="V19" s="138">
        <f>IF($C19="","",IF(ISNUMBER(HSI!$X$14),IFERROR($M19*HSI!$G$14/HSI!$X$14,""),""))</f>
        <v/>
      </c>
      <c r="W19" s="137">
        <f>IF($C19="","",IF(ISNUMBER($N19),IFERROR($N19*HSI!$G$14/HSI!$X$14,""),""))</f>
        <v/>
      </c>
      <c r="X19" s="139">
        <f>IF($C19="","",IF(PULL_FUND="N","",IFERROR(BDP($C19,EPS_FIELD,YR_OVERRIDE,TEXT(YEAR_Y-5,"0")),"")))</f>
        <v/>
      </c>
      <c r="Y19" s="140">
        <f>IF($C19="","",IF(PULL_FUND="N","",IFERROR(BDP($C19,EPS_FIELD,YR_OVERRIDE,TEXT(YEAR_Y-4,"0")),"")))</f>
        <v/>
      </c>
      <c r="Z19" s="140">
        <f>IF($C19="","",IF(PULL_FUND="N","",IFERROR(BDP($C19,EPS_FIELD,YR_OVERRIDE,TEXT(YEAR_Y-3,"0")),"")))</f>
        <v/>
      </c>
      <c r="AA19" s="140">
        <f>IF($C19="","",IF(PULL_FUND="N","",IFERROR(BDP($C19,EPS_FIELD,YR_OVERRIDE,TEXT(YEAR_Y-2,"0")),"")))</f>
        <v/>
      </c>
      <c r="AB19" s="140">
        <f>IF($C19="","",IF(PULL_FUND="N","",IFERROR(BDP($C19,EPS_FIELD,YR_OVERRIDE,TEXT(YEAR_Y-1,"0")),"")))</f>
        <v/>
      </c>
      <c r="AC19" s="126">
        <f>IF($C19="","",IFERROR(AVERAGE(X19:AB19),""))</f>
        <v/>
      </c>
      <c r="AD19" s="140">
        <f>IF($C19="","",IF(PULL_FUND="N","",IFERROR(BDP($C19,BESTEPS_FIELD,FWD_OVERRIDE,TEXT(MOD(YEAR_Y,100),"00")&amp;"Y"),"")))</f>
        <v/>
      </c>
      <c r="AE19" s="141">
        <f>IF($C19="","",IF(PULL_FUND="N","",IFERROR(BDP($C19,PAYOUT_FIELD,YR_OVERRIDE,TEXT(YEAR_Y-5,"0"))/100,"")))</f>
        <v/>
      </c>
      <c r="AF19" s="142">
        <f>IF($C19="","",IF(PULL_FUND="N","",IFERROR(BDP($C19,PAYOUT_FIELD,YR_OVERRIDE,TEXT(YEAR_Y-4,"0"))/100,"")))</f>
        <v/>
      </c>
      <c r="AG19" s="142">
        <f>IF($C19="","",IF(PULL_FUND="N","",IFERROR(BDP($C19,PAYOUT_FIELD,YR_OVERRIDE,TEXT(YEAR_Y-3,"0"))/100,"")))</f>
        <v/>
      </c>
      <c r="AH19" s="142">
        <f>IF($C19="","",IF(PULL_FUND="N","",IFERROR(BDP($C19,PAYOUT_FIELD,YR_OVERRIDE,TEXT(YEAR_Y-2,"0"))/100,"")))</f>
        <v/>
      </c>
      <c r="AI19" s="142">
        <f>IF($C19="","",IF(PULL_FUND="N","",IFERROR(BDP($C19,PAYOUT_FIELD,YR_OVERRIDE,TEXT(YEAR_Y-1,"0"))/100,"")))</f>
        <v/>
      </c>
      <c r="AJ19" s="143">
        <f>IF($C19="","",IFERROR(AVERAGE(AE19:AI19),""))</f>
        <v/>
      </c>
      <c r="AK19" s="144">
        <f>IF($C19="","",IF(ISNUMBER($AD19)*ISNUMBER($N19)*($AD19&lt;&gt;0)=0,"",$N19/$AD19))</f>
        <v/>
      </c>
      <c r="AL19" s="143">
        <f>IF($C19="","",IF(ISNUMBER($AD19)*($AD19&lt;&gt;0)=0,"",$M19/$AD19))</f>
        <v/>
      </c>
      <c r="AM19" s="37">
        <f>IF($C19="","",IF(ISNUMBER($AE19)*ISNUMBER($AI19)=0,"",IF($AI19&gt;$AE19+0.05,"rising",IF($AI19&lt;$AE19-0.05,"falling","stable"))))</f>
        <v/>
      </c>
      <c r="AN19" s="145">
        <f>IF($C19="","",IF(PULL_FUND="N","",IF(COUNTIFS('Fund History'!$G$50:$G$54,"&gt;="&amp;DATE(YEAR_Y-4,1,1),'Fund History'!$G$50:$G$54,"&lt;="&amp;DATE(YEAR_Y-4,12,31))=0,"",SUMIFS('Fund History'!$H$50:$H$54,'Fund History'!$G$50:$G$54,"&gt;="&amp;DATE(YEAR_Y-4,1,1),'Fund History'!$G$50:$G$54,"&lt;="&amp;DATE(YEAR_Y-4,12,31))/100)))</f>
        <v/>
      </c>
      <c r="AO19" s="146">
        <f>IF($C19="","",IF(PULL_FUND="N","",IF(COUNTIFS('Fund History'!$G$50:$G$54,"&gt;="&amp;DATE(YEAR_Y-3,1,1),'Fund History'!$G$50:$G$54,"&lt;="&amp;DATE(YEAR_Y-3,12,31))=0,"",SUMIFS('Fund History'!$H$50:$H$54,'Fund History'!$G$50:$G$54,"&gt;="&amp;DATE(YEAR_Y-3,1,1),'Fund History'!$G$50:$G$54,"&lt;="&amp;DATE(YEAR_Y-3,12,31))/100)))</f>
        <v/>
      </c>
      <c r="AP19" s="146">
        <f>IF($C19="","",IF(PULL_FUND="N","",IF(COUNTIFS('Fund History'!$G$50:$G$54,"&gt;="&amp;DATE(YEAR_Y-2,1,1),'Fund History'!$G$50:$G$54,"&lt;="&amp;DATE(YEAR_Y-2,12,31))=0,"",SUMIFS('Fund History'!$H$50:$H$54,'Fund History'!$G$50:$G$54,"&gt;="&amp;DATE(YEAR_Y-2,1,1),'Fund History'!$G$50:$G$54,"&lt;="&amp;DATE(YEAR_Y-2,12,31))/100)))</f>
        <v/>
      </c>
      <c r="AQ19" s="146">
        <f>IF($C19="","",IF(PULL_FUND="N","",IF(COUNTIFS('Fund History'!$G$50:$G$54,"&gt;="&amp;DATE(YEAR_Y-1,1,1),'Fund History'!$G$50:$G$54,"&lt;="&amp;DATE(YEAR_Y-1,12,31))=0,"",SUMIFS('Fund History'!$H$50:$H$54,'Fund History'!$G$50:$G$54,"&gt;="&amp;DATE(YEAR_Y-1,1,1),'Fund History'!$G$50:$G$54,"&lt;="&amp;DATE(YEAR_Y-1,12,31))/100)))</f>
        <v/>
      </c>
      <c r="AR19" s="147">
        <f>IF($C19="","",IF(N($AQ19)+N(HSI!$I$14)=0,"",N($AQ19)+N(HSI!$I$14)/100))</f>
        <v/>
      </c>
      <c r="AS19" s="139">
        <f>IF($C19="","",IF(PULL_FUND="N","",IF(COUNTIFS('Fund History'!$D$50:$D$54,"&gt;="&amp;DATE(YEAR_Y-2,1,1),'Fund History'!$D$50:$D$54,"&lt;="&amp;DATE(YEAR_Y-2,12,31))=0,"",SUMIFS('Fund History'!$E$50:$E$54,'Fund History'!$D$50:$D$54,"&gt;="&amp;DATE(YEAR_Y-2,1,1),'Fund History'!$D$50:$D$54,"&lt;="&amp;DATE(YEAR_Y-2,12,31)))))</f>
        <v/>
      </c>
      <c r="AT19" s="140">
        <f>IF($C19="","",IF(PULL_FUND="N","",IF(COUNTIFS('Fund History'!$D$50:$D$54,"&gt;="&amp;DATE(YEAR_Y-1,1,1),'Fund History'!$D$50:$D$54,"&lt;="&amp;DATE(YEAR_Y-1,12,31))=0,"",SUMIFS('Fund History'!$E$50:$E$54,'Fund History'!$D$50:$D$54,"&gt;="&amp;DATE(YEAR_Y-1,1,1),'Fund History'!$D$50:$D$54,"&lt;="&amp;DATE(YEAR_Y-1,12,31)))))</f>
        <v/>
      </c>
      <c r="AU19" s="140">
        <f>IF($C19="","",IF(PULL_FUND="N","",IFERROR(BDP($C19,NDEBITDA_FIELD),"")))</f>
        <v/>
      </c>
      <c r="AV19" s="148">
        <f>IF($C19="","",IF(PULL_FUND="N","",IFERROR(BDP($C19,EBINT_FIELD),"")))</f>
        <v/>
      </c>
      <c r="AW19" s="146">
        <f>IF($C19="","",IF(PULL_FUND="N","",IFERROR(BDP($C19,FCF_FIELD)/100,"")))</f>
        <v/>
      </c>
      <c r="AX19" s="126">
        <f>IF($C19="","",IF(N($U19)=0,"",IFERROR($AW19/$U19,"")))</f>
        <v/>
      </c>
      <c r="AY19" s="85">
        <f>IF($C19="","",TRIM(IF(ISNUMBER($AJ19)*(N($AJ19)&gt;$D$4)&gt;0,"payout high  ","")&amp;IF(ISNUMBER($AX19)*(N($AX19)&lt;$F$4)&gt;0,"FCF below dvd  ","")&amp;IF(ISNUMBER($AU19)*(N($AU19)&gt;$H$4)&gt;0,"leverage high","")))</f>
        <v/>
      </c>
      <c r="AZ19" s="86">
        <f>IF($C19="","",IF(HSI!$F$14="HKD","",HSI!$F$14))</f>
        <v/>
      </c>
    </row>
    <row r="20">
      <c r="B20" s="66" t="inlineStr">
        <is>
          <t>HSI</t>
        </is>
      </c>
      <c r="C20" s="8">
        <f>IF(HSI!$C$15="","",HSI!$C$15)</f>
        <v/>
      </c>
      <c r="D20" s="8">
        <f>IF($C20="","",HSI!$D$15)</f>
        <v/>
      </c>
      <c r="E20" s="8">
        <f>IF($C20="","",HSI!$E$15)</f>
        <v/>
      </c>
      <c r="F20" s="131">
        <f>IF($C20="","",SUMPRODUCT(('Dvd Calendar'!$E$99:$AR$99&gt;=DATE(YEAR_Y-5,1,1))*('Dvd Calendar'!$E$99:$AR$99&lt;=DATE(YEAR_Y-5,12,31))*'Dvd Calendar'!$E$102:$AR$102*(('Dvd Calendar'!$E$104:$AR$104=TYPE1)*(TYPE1&lt;&gt;"")+('Dvd Calendar'!$E$104:$AR$104=TYPE2)*(TYPE2&lt;&gt;"")+('Dvd Calendar'!$E$104:$AR$104=TYPE3)*(TYPE3&lt;&gt;"")+('Dvd Calendar'!$E$104:$AR$104=TYPE4)*(TYPE4&lt;&gt;"")+('Dvd Calendar'!$E$104:$AR$104=SPECIAL_LBL)*(INC_SPECIALS="Y"))))</f>
        <v/>
      </c>
      <c r="G20" s="132">
        <f>IF($C20="","",SUMPRODUCT(('Dvd Calendar'!$E$99:$AR$99&gt;=DATE(YEAR_Y-4,1,1))*('Dvd Calendar'!$E$99:$AR$99&lt;=DATE(YEAR_Y-4,12,31))*'Dvd Calendar'!$E$102:$AR$102*(('Dvd Calendar'!$E$104:$AR$104=TYPE1)*(TYPE1&lt;&gt;"")+('Dvd Calendar'!$E$104:$AR$104=TYPE2)*(TYPE2&lt;&gt;"")+('Dvd Calendar'!$E$104:$AR$104=TYPE3)*(TYPE3&lt;&gt;"")+('Dvd Calendar'!$E$104:$AR$104=TYPE4)*(TYPE4&lt;&gt;"")+('Dvd Calendar'!$E$104:$AR$104=SPECIAL_LBL)*(INC_SPECIALS="Y"))))</f>
        <v/>
      </c>
      <c r="H20" s="132">
        <f>IF($C20="","",SUMPRODUCT(('Dvd Calendar'!$E$99:$AR$99&gt;=DATE(YEAR_Y-3,1,1))*('Dvd Calendar'!$E$99:$AR$99&lt;=DATE(YEAR_Y-3,12,31))*'Dvd Calendar'!$E$102:$AR$102*(('Dvd Calendar'!$E$104:$AR$104=TYPE1)*(TYPE1&lt;&gt;"")+('Dvd Calendar'!$E$104:$AR$104=TYPE2)*(TYPE2&lt;&gt;"")+('Dvd Calendar'!$E$104:$AR$104=TYPE3)*(TYPE3&lt;&gt;"")+('Dvd Calendar'!$E$104:$AR$104=TYPE4)*(TYPE4&lt;&gt;"")+('Dvd Calendar'!$E$104:$AR$104=SPECIAL_LBL)*(INC_SPECIALS="Y"))))</f>
        <v/>
      </c>
      <c r="I20" s="132">
        <f>IF($C20="","",SUMPRODUCT(('Dvd Calendar'!$E$99:$AR$99&gt;=DATE(YEAR_Y-2,1,1))*('Dvd Calendar'!$E$99:$AR$99&lt;=DATE(YEAR_Y-2,12,31))*'Dvd Calendar'!$E$102:$AR$102*(('Dvd Calendar'!$E$104:$AR$104=TYPE1)*(TYPE1&lt;&gt;"")+('Dvd Calendar'!$E$104:$AR$104=TYPE2)*(TYPE2&lt;&gt;"")+('Dvd Calendar'!$E$104:$AR$104=TYPE3)*(TYPE3&lt;&gt;"")+('Dvd Calendar'!$E$104:$AR$104=TYPE4)*(TYPE4&lt;&gt;"")+('Dvd Calendar'!$E$104:$AR$104=SPECIAL_LBL)*(INC_SPECIALS="Y"))))</f>
        <v/>
      </c>
      <c r="J20" s="132">
        <f>IF($C20="","",SUMPRODUCT(('Dvd Calendar'!$E$99:$AR$99&gt;=DATE(YEAR_Y-1,1,1))*('Dvd Calendar'!$E$99:$AR$99&lt;=DATE(YEAR_Y-1,12,31))*'Dvd Calendar'!$E$102:$AR$102*(('Dvd Calendar'!$E$104:$AR$104=TYPE1)*(TYPE1&lt;&gt;"")+('Dvd Calendar'!$E$104:$AR$104=TYPE2)*(TYPE2&lt;&gt;"")+('Dvd Calendar'!$E$104:$AR$104=TYPE3)*(TYPE3&lt;&gt;"")+('Dvd Calendar'!$E$104:$AR$104=TYPE4)*(TYPE4&lt;&gt;"")+('Dvd Calendar'!$E$104:$AR$104=SPECIAL_LBL)*(INC_SPECIALS="Y"))))</f>
        <v/>
      </c>
      <c r="K20" s="133">
        <f>IF($C20="","",HSI!$J$15)</f>
        <v/>
      </c>
      <c r="L20" s="133">
        <f>IF($C20="","",HSI!$K$15)</f>
        <v/>
      </c>
      <c r="M20" s="124">
        <f>IF($C20="","",HSI!$J$15+HSI!$L$15)</f>
        <v/>
      </c>
      <c r="N20" s="134">
        <f>IF($C20="","",IF(PULL_FUND="N","",IFERROR(BDP($C20,BESTDPS_FIELD,FWD_OVERRIDE,TEXT(MOD(YEAR_Y,100),"00")&amp;"Y"),"")))</f>
        <v/>
      </c>
      <c r="O20" s="133">
        <f>IF($C20="","",AVERAGE(F20:J20))</f>
        <v/>
      </c>
      <c r="P20" s="135">
        <f>IF($C20="","",IF(PULL_FUND="N","",IF(COUNTIFS('Fund History'!$J$56:$J$60,"&gt;="&amp;DATE(YEAR_Y-5,1,1),'Fund History'!$J$56:$J$60,"&lt;="&amp;DATE(YEAR_Y-5,12,31))=0,"",IFERROR($F20*HSI!$G$15/SUMIFS('Fund History'!$K$56:$K$60,'Fund History'!$J$56:$J$60,"&gt;="&amp;DATE(YEAR_Y-5,1,1),'Fund History'!$J$56:$J$60,"&lt;="&amp;DATE(YEAR_Y-5,12,31)),""))))</f>
        <v/>
      </c>
      <c r="Q20" s="136">
        <f>IF($C20="","",IF(PULL_FUND="N","",IF(COUNTIFS('Fund History'!$J$56:$J$60,"&gt;="&amp;DATE(YEAR_Y-4,1,1),'Fund History'!$J$56:$J$60,"&lt;="&amp;DATE(YEAR_Y-4,12,31))=0,"",IFERROR($G20*HSI!$G$15/SUMIFS('Fund History'!$K$56:$K$60,'Fund History'!$J$56:$J$60,"&gt;="&amp;DATE(YEAR_Y-4,1,1),'Fund History'!$J$56:$J$60,"&lt;="&amp;DATE(YEAR_Y-4,12,31)),""))))</f>
        <v/>
      </c>
      <c r="R20" s="136">
        <f>IF($C20="","",IF(PULL_FUND="N","",IF(COUNTIFS('Fund History'!$J$56:$J$60,"&gt;="&amp;DATE(YEAR_Y-3,1,1),'Fund History'!$J$56:$J$60,"&lt;="&amp;DATE(YEAR_Y-3,12,31))=0,"",IFERROR($H20*HSI!$G$15/SUMIFS('Fund History'!$K$56:$K$60,'Fund History'!$J$56:$J$60,"&gt;="&amp;DATE(YEAR_Y-3,1,1),'Fund History'!$J$56:$J$60,"&lt;="&amp;DATE(YEAR_Y-3,12,31)),""))))</f>
        <v/>
      </c>
      <c r="S20" s="136">
        <f>IF($C20="","",IF(PULL_FUND="N","",IF(COUNTIFS('Fund History'!$J$56:$J$60,"&gt;="&amp;DATE(YEAR_Y-2,1,1),'Fund History'!$J$56:$J$60,"&lt;="&amp;DATE(YEAR_Y-2,12,31))=0,"",IFERROR($I20*HSI!$G$15/SUMIFS('Fund History'!$K$56:$K$60,'Fund History'!$J$56:$J$60,"&gt;="&amp;DATE(YEAR_Y-2,1,1),'Fund History'!$J$56:$J$60,"&lt;="&amp;DATE(YEAR_Y-2,12,31)),""))))</f>
        <v/>
      </c>
      <c r="T20" s="136">
        <f>IF($C20="","",IF(PULL_FUND="N","",IF(COUNTIFS('Fund History'!$J$56:$J$60,"&gt;="&amp;DATE(YEAR_Y-1,1,1),'Fund History'!$J$56:$J$60,"&lt;="&amp;DATE(YEAR_Y-1,12,31))=0,"",IFERROR($J20*HSI!$G$15/SUMIFS('Fund History'!$K$56:$K$60,'Fund History'!$J$56:$J$60,"&gt;="&amp;DATE(YEAR_Y-1,1,1),'Fund History'!$J$56:$J$60,"&lt;="&amp;DATE(YEAR_Y-1,12,31)),""))))</f>
        <v/>
      </c>
      <c r="U20" s="137">
        <f>IF($C20="","",IF(ISNUMBER(HSI!$I$15),HSI!$I$15/100,""))</f>
        <v/>
      </c>
      <c r="V20" s="138">
        <f>IF($C20="","",IF(ISNUMBER(HSI!$X$15),IFERROR($M20*HSI!$G$15/HSI!$X$15,""),""))</f>
        <v/>
      </c>
      <c r="W20" s="137">
        <f>IF($C20="","",IF(ISNUMBER($N20),IFERROR($N20*HSI!$G$15/HSI!$X$15,""),""))</f>
        <v/>
      </c>
      <c r="X20" s="139">
        <f>IF($C20="","",IF(PULL_FUND="N","",IFERROR(BDP($C20,EPS_FIELD,YR_OVERRIDE,TEXT(YEAR_Y-5,"0")),"")))</f>
        <v/>
      </c>
      <c r="Y20" s="140">
        <f>IF($C20="","",IF(PULL_FUND="N","",IFERROR(BDP($C20,EPS_FIELD,YR_OVERRIDE,TEXT(YEAR_Y-4,"0")),"")))</f>
        <v/>
      </c>
      <c r="Z20" s="140">
        <f>IF($C20="","",IF(PULL_FUND="N","",IFERROR(BDP($C20,EPS_FIELD,YR_OVERRIDE,TEXT(YEAR_Y-3,"0")),"")))</f>
        <v/>
      </c>
      <c r="AA20" s="140">
        <f>IF($C20="","",IF(PULL_FUND="N","",IFERROR(BDP($C20,EPS_FIELD,YR_OVERRIDE,TEXT(YEAR_Y-2,"0")),"")))</f>
        <v/>
      </c>
      <c r="AB20" s="140">
        <f>IF($C20="","",IF(PULL_FUND="N","",IFERROR(BDP($C20,EPS_FIELD,YR_OVERRIDE,TEXT(YEAR_Y-1,"0")),"")))</f>
        <v/>
      </c>
      <c r="AC20" s="126">
        <f>IF($C20="","",IFERROR(AVERAGE(X20:AB20),""))</f>
        <v/>
      </c>
      <c r="AD20" s="140">
        <f>IF($C20="","",IF(PULL_FUND="N","",IFERROR(BDP($C20,BESTEPS_FIELD,FWD_OVERRIDE,TEXT(MOD(YEAR_Y,100),"00")&amp;"Y"),"")))</f>
        <v/>
      </c>
      <c r="AE20" s="141">
        <f>IF($C20="","",IF(PULL_FUND="N","",IFERROR(BDP($C20,PAYOUT_FIELD,YR_OVERRIDE,TEXT(YEAR_Y-5,"0"))/100,"")))</f>
        <v/>
      </c>
      <c r="AF20" s="142">
        <f>IF($C20="","",IF(PULL_FUND="N","",IFERROR(BDP($C20,PAYOUT_FIELD,YR_OVERRIDE,TEXT(YEAR_Y-4,"0"))/100,"")))</f>
        <v/>
      </c>
      <c r="AG20" s="142">
        <f>IF($C20="","",IF(PULL_FUND="N","",IFERROR(BDP($C20,PAYOUT_FIELD,YR_OVERRIDE,TEXT(YEAR_Y-3,"0"))/100,"")))</f>
        <v/>
      </c>
      <c r="AH20" s="142">
        <f>IF($C20="","",IF(PULL_FUND="N","",IFERROR(BDP($C20,PAYOUT_FIELD,YR_OVERRIDE,TEXT(YEAR_Y-2,"0"))/100,"")))</f>
        <v/>
      </c>
      <c r="AI20" s="142">
        <f>IF($C20="","",IF(PULL_FUND="N","",IFERROR(BDP($C20,PAYOUT_FIELD,YR_OVERRIDE,TEXT(YEAR_Y-1,"0"))/100,"")))</f>
        <v/>
      </c>
      <c r="AJ20" s="143">
        <f>IF($C20="","",IFERROR(AVERAGE(AE20:AI20),""))</f>
        <v/>
      </c>
      <c r="AK20" s="144">
        <f>IF($C20="","",IF(ISNUMBER($AD20)*ISNUMBER($N20)*($AD20&lt;&gt;0)=0,"",$N20/$AD20))</f>
        <v/>
      </c>
      <c r="AL20" s="143">
        <f>IF($C20="","",IF(ISNUMBER($AD20)*($AD20&lt;&gt;0)=0,"",$M20/$AD20))</f>
        <v/>
      </c>
      <c r="AM20" s="37">
        <f>IF($C20="","",IF(ISNUMBER($AE20)*ISNUMBER($AI20)=0,"",IF($AI20&gt;$AE20+0.05,"rising",IF($AI20&lt;$AE20-0.05,"falling","stable"))))</f>
        <v/>
      </c>
      <c r="AN20" s="145">
        <f>IF($C20="","",IF(PULL_FUND="N","",IF(COUNTIFS('Fund History'!$G$56:$G$60,"&gt;="&amp;DATE(YEAR_Y-4,1,1),'Fund History'!$G$56:$G$60,"&lt;="&amp;DATE(YEAR_Y-4,12,31))=0,"",SUMIFS('Fund History'!$H$56:$H$60,'Fund History'!$G$56:$G$60,"&gt;="&amp;DATE(YEAR_Y-4,1,1),'Fund History'!$G$56:$G$60,"&lt;="&amp;DATE(YEAR_Y-4,12,31))/100)))</f>
        <v/>
      </c>
      <c r="AO20" s="146">
        <f>IF($C20="","",IF(PULL_FUND="N","",IF(COUNTIFS('Fund History'!$G$56:$G$60,"&gt;="&amp;DATE(YEAR_Y-3,1,1),'Fund History'!$G$56:$G$60,"&lt;="&amp;DATE(YEAR_Y-3,12,31))=0,"",SUMIFS('Fund History'!$H$56:$H$60,'Fund History'!$G$56:$G$60,"&gt;="&amp;DATE(YEAR_Y-3,1,1),'Fund History'!$G$56:$G$60,"&lt;="&amp;DATE(YEAR_Y-3,12,31))/100)))</f>
        <v/>
      </c>
      <c r="AP20" s="146">
        <f>IF($C20="","",IF(PULL_FUND="N","",IF(COUNTIFS('Fund History'!$G$56:$G$60,"&gt;="&amp;DATE(YEAR_Y-2,1,1),'Fund History'!$G$56:$G$60,"&lt;="&amp;DATE(YEAR_Y-2,12,31))=0,"",SUMIFS('Fund History'!$H$56:$H$60,'Fund History'!$G$56:$G$60,"&gt;="&amp;DATE(YEAR_Y-2,1,1),'Fund History'!$G$56:$G$60,"&lt;="&amp;DATE(YEAR_Y-2,12,31))/100)))</f>
        <v/>
      </c>
      <c r="AQ20" s="146">
        <f>IF($C20="","",IF(PULL_FUND="N","",IF(COUNTIFS('Fund History'!$G$56:$G$60,"&gt;="&amp;DATE(YEAR_Y-1,1,1),'Fund History'!$G$56:$G$60,"&lt;="&amp;DATE(YEAR_Y-1,12,31))=0,"",SUMIFS('Fund History'!$H$56:$H$60,'Fund History'!$G$56:$G$60,"&gt;="&amp;DATE(YEAR_Y-1,1,1),'Fund History'!$G$56:$G$60,"&lt;="&amp;DATE(YEAR_Y-1,12,31))/100)))</f>
        <v/>
      </c>
      <c r="AR20" s="147">
        <f>IF($C20="","",IF(N($AQ20)+N(HSI!$I$15)=0,"",N($AQ20)+N(HSI!$I$15)/100))</f>
        <v/>
      </c>
      <c r="AS20" s="139">
        <f>IF($C20="","",IF(PULL_FUND="N","",IF(COUNTIFS('Fund History'!$D$56:$D$60,"&gt;="&amp;DATE(YEAR_Y-2,1,1),'Fund History'!$D$56:$D$60,"&lt;="&amp;DATE(YEAR_Y-2,12,31))=0,"",SUMIFS('Fund History'!$E$56:$E$60,'Fund History'!$D$56:$D$60,"&gt;="&amp;DATE(YEAR_Y-2,1,1),'Fund History'!$D$56:$D$60,"&lt;="&amp;DATE(YEAR_Y-2,12,31)))))</f>
        <v/>
      </c>
      <c r="AT20" s="140">
        <f>IF($C20="","",IF(PULL_FUND="N","",IF(COUNTIFS('Fund History'!$D$56:$D$60,"&gt;="&amp;DATE(YEAR_Y-1,1,1),'Fund History'!$D$56:$D$60,"&lt;="&amp;DATE(YEAR_Y-1,12,31))=0,"",SUMIFS('Fund History'!$E$56:$E$60,'Fund History'!$D$56:$D$60,"&gt;="&amp;DATE(YEAR_Y-1,1,1),'Fund History'!$D$56:$D$60,"&lt;="&amp;DATE(YEAR_Y-1,12,31)))))</f>
        <v/>
      </c>
      <c r="AU20" s="140">
        <f>IF($C20="","",IF(PULL_FUND="N","",IFERROR(BDP($C20,NDEBITDA_FIELD),"")))</f>
        <v/>
      </c>
      <c r="AV20" s="148">
        <f>IF($C20="","",IF(PULL_FUND="N","",IFERROR(BDP($C20,EBINT_FIELD),"")))</f>
        <v/>
      </c>
      <c r="AW20" s="146">
        <f>IF($C20="","",IF(PULL_FUND="N","",IFERROR(BDP($C20,FCF_FIELD)/100,"")))</f>
        <v/>
      </c>
      <c r="AX20" s="126">
        <f>IF($C20="","",IF(N($U20)=0,"",IFERROR($AW20/$U20,"")))</f>
        <v/>
      </c>
      <c r="AY20" s="85">
        <f>IF($C20="","",TRIM(IF(ISNUMBER($AJ20)*(N($AJ20)&gt;$D$4)&gt;0,"payout high  ","")&amp;IF(ISNUMBER($AX20)*(N($AX20)&lt;$F$4)&gt;0,"FCF below dvd  ","")&amp;IF(ISNUMBER($AU20)*(N($AU20)&gt;$H$4)&gt;0,"leverage high","")))</f>
        <v/>
      </c>
      <c r="AZ20" s="86">
        <f>IF($C20="","",IF(HSI!$F$15="HKD","",HSI!$F$15))</f>
        <v/>
      </c>
    </row>
    <row r="21">
      <c r="B21" s="66" t="inlineStr">
        <is>
          <t>HSI</t>
        </is>
      </c>
      <c r="C21" s="8">
        <f>IF(HSI!$C$16="","",HSI!$C$16)</f>
        <v/>
      </c>
      <c r="D21" s="8">
        <f>IF($C21="","",HSI!$D$16)</f>
        <v/>
      </c>
      <c r="E21" s="8">
        <f>IF($C21="","",HSI!$E$16)</f>
        <v/>
      </c>
      <c r="F21" s="131">
        <f>IF($C21="","",SUMPRODUCT(('Dvd Calendar'!$E$110:$AR$110&gt;=DATE(YEAR_Y-5,1,1))*('Dvd Calendar'!$E$110:$AR$110&lt;=DATE(YEAR_Y-5,12,31))*'Dvd Calendar'!$E$113:$AR$113*(('Dvd Calendar'!$E$115:$AR$115=TYPE1)*(TYPE1&lt;&gt;"")+('Dvd Calendar'!$E$115:$AR$115=TYPE2)*(TYPE2&lt;&gt;"")+('Dvd Calendar'!$E$115:$AR$115=TYPE3)*(TYPE3&lt;&gt;"")+('Dvd Calendar'!$E$115:$AR$115=TYPE4)*(TYPE4&lt;&gt;"")+('Dvd Calendar'!$E$115:$AR$115=SPECIAL_LBL)*(INC_SPECIALS="Y"))))</f>
        <v/>
      </c>
      <c r="G21" s="132">
        <f>IF($C21="","",SUMPRODUCT(('Dvd Calendar'!$E$110:$AR$110&gt;=DATE(YEAR_Y-4,1,1))*('Dvd Calendar'!$E$110:$AR$110&lt;=DATE(YEAR_Y-4,12,31))*'Dvd Calendar'!$E$113:$AR$113*(('Dvd Calendar'!$E$115:$AR$115=TYPE1)*(TYPE1&lt;&gt;"")+('Dvd Calendar'!$E$115:$AR$115=TYPE2)*(TYPE2&lt;&gt;"")+('Dvd Calendar'!$E$115:$AR$115=TYPE3)*(TYPE3&lt;&gt;"")+('Dvd Calendar'!$E$115:$AR$115=TYPE4)*(TYPE4&lt;&gt;"")+('Dvd Calendar'!$E$115:$AR$115=SPECIAL_LBL)*(INC_SPECIALS="Y"))))</f>
        <v/>
      </c>
      <c r="H21" s="132">
        <f>IF($C21="","",SUMPRODUCT(('Dvd Calendar'!$E$110:$AR$110&gt;=DATE(YEAR_Y-3,1,1))*('Dvd Calendar'!$E$110:$AR$110&lt;=DATE(YEAR_Y-3,12,31))*'Dvd Calendar'!$E$113:$AR$113*(('Dvd Calendar'!$E$115:$AR$115=TYPE1)*(TYPE1&lt;&gt;"")+('Dvd Calendar'!$E$115:$AR$115=TYPE2)*(TYPE2&lt;&gt;"")+('Dvd Calendar'!$E$115:$AR$115=TYPE3)*(TYPE3&lt;&gt;"")+('Dvd Calendar'!$E$115:$AR$115=TYPE4)*(TYPE4&lt;&gt;"")+('Dvd Calendar'!$E$115:$AR$115=SPECIAL_LBL)*(INC_SPECIALS="Y"))))</f>
        <v/>
      </c>
      <c r="I21" s="132">
        <f>IF($C21="","",SUMPRODUCT(('Dvd Calendar'!$E$110:$AR$110&gt;=DATE(YEAR_Y-2,1,1))*('Dvd Calendar'!$E$110:$AR$110&lt;=DATE(YEAR_Y-2,12,31))*'Dvd Calendar'!$E$113:$AR$113*(('Dvd Calendar'!$E$115:$AR$115=TYPE1)*(TYPE1&lt;&gt;"")+('Dvd Calendar'!$E$115:$AR$115=TYPE2)*(TYPE2&lt;&gt;"")+('Dvd Calendar'!$E$115:$AR$115=TYPE3)*(TYPE3&lt;&gt;"")+('Dvd Calendar'!$E$115:$AR$115=TYPE4)*(TYPE4&lt;&gt;"")+('Dvd Calendar'!$E$115:$AR$115=SPECIAL_LBL)*(INC_SPECIALS="Y"))))</f>
        <v/>
      </c>
      <c r="J21" s="132">
        <f>IF($C21="","",SUMPRODUCT(('Dvd Calendar'!$E$110:$AR$110&gt;=DATE(YEAR_Y-1,1,1))*('Dvd Calendar'!$E$110:$AR$110&lt;=DATE(YEAR_Y-1,12,31))*'Dvd Calendar'!$E$113:$AR$113*(('Dvd Calendar'!$E$115:$AR$115=TYPE1)*(TYPE1&lt;&gt;"")+('Dvd Calendar'!$E$115:$AR$115=TYPE2)*(TYPE2&lt;&gt;"")+('Dvd Calendar'!$E$115:$AR$115=TYPE3)*(TYPE3&lt;&gt;"")+('Dvd Calendar'!$E$115:$AR$115=TYPE4)*(TYPE4&lt;&gt;"")+('Dvd Calendar'!$E$115:$AR$115=SPECIAL_LBL)*(INC_SPECIALS="Y"))))</f>
        <v/>
      </c>
      <c r="K21" s="133">
        <f>IF($C21="","",HSI!$J$16)</f>
        <v/>
      </c>
      <c r="L21" s="133">
        <f>IF($C21="","",HSI!$K$16)</f>
        <v/>
      </c>
      <c r="M21" s="124">
        <f>IF($C21="","",HSI!$J$16+HSI!$L$16)</f>
        <v/>
      </c>
      <c r="N21" s="134">
        <f>IF($C21="","",IF(PULL_FUND="N","",IFERROR(BDP($C21,BESTDPS_FIELD,FWD_OVERRIDE,TEXT(MOD(YEAR_Y,100),"00")&amp;"Y"),"")))</f>
        <v/>
      </c>
      <c r="O21" s="133">
        <f>IF($C21="","",AVERAGE(F21:J21))</f>
        <v/>
      </c>
      <c r="P21" s="135">
        <f>IF($C21="","",IF(PULL_FUND="N","",IF(COUNTIFS('Fund History'!$J$62:$J$66,"&gt;="&amp;DATE(YEAR_Y-5,1,1),'Fund History'!$J$62:$J$66,"&lt;="&amp;DATE(YEAR_Y-5,12,31))=0,"",IFERROR($F21*HSI!$G$16/SUMIFS('Fund History'!$K$62:$K$66,'Fund History'!$J$62:$J$66,"&gt;="&amp;DATE(YEAR_Y-5,1,1),'Fund History'!$J$62:$J$66,"&lt;="&amp;DATE(YEAR_Y-5,12,31)),""))))</f>
        <v/>
      </c>
      <c r="Q21" s="136">
        <f>IF($C21="","",IF(PULL_FUND="N","",IF(COUNTIFS('Fund History'!$J$62:$J$66,"&gt;="&amp;DATE(YEAR_Y-4,1,1),'Fund History'!$J$62:$J$66,"&lt;="&amp;DATE(YEAR_Y-4,12,31))=0,"",IFERROR($G21*HSI!$G$16/SUMIFS('Fund History'!$K$62:$K$66,'Fund History'!$J$62:$J$66,"&gt;="&amp;DATE(YEAR_Y-4,1,1),'Fund History'!$J$62:$J$66,"&lt;="&amp;DATE(YEAR_Y-4,12,31)),""))))</f>
        <v/>
      </c>
      <c r="R21" s="136">
        <f>IF($C21="","",IF(PULL_FUND="N","",IF(COUNTIFS('Fund History'!$J$62:$J$66,"&gt;="&amp;DATE(YEAR_Y-3,1,1),'Fund History'!$J$62:$J$66,"&lt;="&amp;DATE(YEAR_Y-3,12,31))=0,"",IFERROR($H21*HSI!$G$16/SUMIFS('Fund History'!$K$62:$K$66,'Fund History'!$J$62:$J$66,"&gt;="&amp;DATE(YEAR_Y-3,1,1),'Fund History'!$J$62:$J$66,"&lt;="&amp;DATE(YEAR_Y-3,12,31)),""))))</f>
        <v/>
      </c>
      <c r="S21" s="136">
        <f>IF($C21="","",IF(PULL_FUND="N","",IF(COUNTIFS('Fund History'!$J$62:$J$66,"&gt;="&amp;DATE(YEAR_Y-2,1,1),'Fund History'!$J$62:$J$66,"&lt;="&amp;DATE(YEAR_Y-2,12,31))=0,"",IFERROR($I21*HSI!$G$16/SUMIFS('Fund History'!$K$62:$K$66,'Fund History'!$J$62:$J$66,"&gt;="&amp;DATE(YEAR_Y-2,1,1),'Fund History'!$J$62:$J$66,"&lt;="&amp;DATE(YEAR_Y-2,12,31)),""))))</f>
        <v/>
      </c>
      <c r="T21" s="136">
        <f>IF($C21="","",IF(PULL_FUND="N","",IF(COUNTIFS('Fund History'!$J$62:$J$66,"&gt;="&amp;DATE(YEAR_Y-1,1,1),'Fund History'!$J$62:$J$66,"&lt;="&amp;DATE(YEAR_Y-1,12,31))=0,"",IFERROR($J21*HSI!$G$16/SUMIFS('Fund History'!$K$62:$K$66,'Fund History'!$J$62:$J$66,"&gt;="&amp;DATE(YEAR_Y-1,1,1),'Fund History'!$J$62:$J$66,"&lt;="&amp;DATE(YEAR_Y-1,12,31)),""))))</f>
        <v/>
      </c>
      <c r="U21" s="137">
        <f>IF($C21="","",IF(ISNUMBER(HSI!$I$16),HSI!$I$16/100,""))</f>
        <v/>
      </c>
      <c r="V21" s="138">
        <f>IF($C21="","",IF(ISNUMBER(HSI!$X$16),IFERROR($M21*HSI!$G$16/HSI!$X$16,""),""))</f>
        <v/>
      </c>
      <c r="W21" s="137">
        <f>IF($C21="","",IF(ISNUMBER($N21),IFERROR($N21*HSI!$G$16/HSI!$X$16,""),""))</f>
        <v/>
      </c>
      <c r="X21" s="139">
        <f>IF($C21="","",IF(PULL_FUND="N","",IFERROR(BDP($C21,EPS_FIELD,YR_OVERRIDE,TEXT(YEAR_Y-5,"0")),"")))</f>
        <v/>
      </c>
      <c r="Y21" s="140">
        <f>IF($C21="","",IF(PULL_FUND="N","",IFERROR(BDP($C21,EPS_FIELD,YR_OVERRIDE,TEXT(YEAR_Y-4,"0")),"")))</f>
        <v/>
      </c>
      <c r="Z21" s="140">
        <f>IF($C21="","",IF(PULL_FUND="N","",IFERROR(BDP($C21,EPS_FIELD,YR_OVERRIDE,TEXT(YEAR_Y-3,"0")),"")))</f>
        <v/>
      </c>
      <c r="AA21" s="140">
        <f>IF($C21="","",IF(PULL_FUND="N","",IFERROR(BDP($C21,EPS_FIELD,YR_OVERRIDE,TEXT(YEAR_Y-2,"0")),"")))</f>
        <v/>
      </c>
      <c r="AB21" s="140">
        <f>IF($C21="","",IF(PULL_FUND="N","",IFERROR(BDP($C21,EPS_FIELD,YR_OVERRIDE,TEXT(YEAR_Y-1,"0")),"")))</f>
        <v/>
      </c>
      <c r="AC21" s="126">
        <f>IF($C21="","",IFERROR(AVERAGE(X21:AB21),""))</f>
        <v/>
      </c>
      <c r="AD21" s="140">
        <f>IF($C21="","",IF(PULL_FUND="N","",IFERROR(BDP($C21,BESTEPS_FIELD,FWD_OVERRIDE,TEXT(MOD(YEAR_Y,100),"00")&amp;"Y"),"")))</f>
        <v/>
      </c>
      <c r="AE21" s="141">
        <f>IF($C21="","",IF(PULL_FUND="N","",IFERROR(BDP($C21,PAYOUT_FIELD,YR_OVERRIDE,TEXT(YEAR_Y-5,"0"))/100,"")))</f>
        <v/>
      </c>
      <c r="AF21" s="142">
        <f>IF($C21="","",IF(PULL_FUND="N","",IFERROR(BDP($C21,PAYOUT_FIELD,YR_OVERRIDE,TEXT(YEAR_Y-4,"0"))/100,"")))</f>
        <v/>
      </c>
      <c r="AG21" s="142">
        <f>IF($C21="","",IF(PULL_FUND="N","",IFERROR(BDP($C21,PAYOUT_FIELD,YR_OVERRIDE,TEXT(YEAR_Y-3,"0"))/100,"")))</f>
        <v/>
      </c>
      <c r="AH21" s="142">
        <f>IF($C21="","",IF(PULL_FUND="N","",IFERROR(BDP($C21,PAYOUT_FIELD,YR_OVERRIDE,TEXT(YEAR_Y-2,"0"))/100,"")))</f>
        <v/>
      </c>
      <c r="AI21" s="142">
        <f>IF($C21="","",IF(PULL_FUND="N","",IFERROR(BDP($C21,PAYOUT_FIELD,YR_OVERRIDE,TEXT(YEAR_Y-1,"0"))/100,"")))</f>
        <v/>
      </c>
      <c r="AJ21" s="143">
        <f>IF($C21="","",IFERROR(AVERAGE(AE21:AI21),""))</f>
        <v/>
      </c>
      <c r="AK21" s="144">
        <f>IF($C21="","",IF(ISNUMBER($AD21)*ISNUMBER($N21)*($AD21&lt;&gt;0)=0,"",$N21/$AD21))</f>
        <v/>
      </c>
      <c r="AL21" s="143">
        <f>IF($C21="","",IF(ISNUMBER($AD21)*($AD21&lt;&gt;0)=0,"",$M21/$AD21))</f>
        <v/>
      </c>
      <c r="AM21" s="37">
        <f>IF($C21="","",IF(ISNUMBER($AE21)*ISNUMBER($AI21)=0,"",IF($AI21&gt;$AE21+0.05,"rising",IF($AI21&lt;$AE21-0.05,"falling","stable"))))</f>
        <v/>
      </c>
      <c r="AN21" s="145">
        <f>IF($C21="","",IF(PULL_FUND="N","",IF(COUNTIFS('Fund History'!$G$62:$G$66,"&gt;="&amp;DATE(YEAR_Y-4,1,1),'Fund History'!$G$62:$G$66,"&lt;="&amp;DATE(YEAR_Y-4,12,31))=0,"",SUMIFS('Fund History'!$H$62:$H$66,'Fund History'!$G$62:$G$66,"&gt;="&amp;DATE(YEAR_Y-4,1,1),'Fund History'!$G$62:$G$66,"&lt;="&amp;DATE(YEAR_Y-4,12,31))/100)))</f>
        <v/>
      </c>
      <c r="AO21" s="146">
        <f>IF($C21="","",IF(PULL_FUND="N","",IF(COUNTIFS('Fund History'!$G$62:$G$66,"&gt;="&amp;DATE(YEAR_Y-3,1,1),'Fund History'!$G$62:$G$66,"&lt;="&amp;DATE(YEAR_Y-3,12,31))=0,"",SUMIFS('Fund History'!$H$62:$H$66,'Fund History'!$G$62:$G$66,"&gt;="&amp;DATE(YEAR_Y-3,1,1),'Fund History'!$G$62:$G$66,"&lt;="&amp;DATE(YEAR_Y-3,12,31))/100)))</f>
        <v/>
      </c>
      <c r="AP21" s="146">
        <f>IF($C21="","",IF(PULL_FUND="N","",IF(COUNTIFS('Fund History'!$G$62:$G$66,"&gt;="&amp;DATE(YEAR_Y-2,1,1),'Fund History'!$G$62:$G$66,"&lt;="&amp;DATE(YEAR_Y-2,12,31))=0,"",SUMIFS('Fund History'!$H$62:$H$66,'Fund History'!$G$62:$G$66,"&gt;="&amp;DATE(YEAR_Y-2,1,1),'Fund History'!$G$62:$G$66,"&lt;="&amp;DATE(YEAR_Y-2,12,31))/100)))</f>
        <v/>
      </c>
      <c r="AQ21" s="146">
        <f>IF($C21="","",IF(PULL_FUND="N","",IF(COUNTIFS('Fund History'!$G$62:$G$66,"&gt;="&amp;DATE(YEAR_Y-1,1,1),'Fund History'!$G$62:$G$66,"&lt;="&amp;DATE(YEAR_Y-1,12,31))=0,"",SUMIFS('Fund History'!$H$62:$H$66,'Fund History'!$G$62:$G$66,"&gt;="&amp;DATE(YEAR_Y-1,1,1),'Fund History'!$G$62:$G$66,"&lt;="&amp;DATE(YEAR_Y-1,12,31))/100)))</f>
        <v/>
      </c>
      <c r="AR21" s="147">
        <f>IF($C21="","",IF(N($AQ21)+N(HSI!$I$16)=0,"",N($AQ21)+N(HSI!$I$16)/100))</f>
        <v/>
      </c>
      <c r="AS21" s="139">
        <f>IF($C21="","",IF(PULL_FUND="N","",IF(COUNTIFS('Fund History'!$D$62:$D$66,"&gt;="&amp;DATE(YEAR_Y-2,1,1),'Fund History'!$D$62:$D$66,"&lt;="&amp;DATE(YEAR_Y-2,12,31))=0,"",SUMIFS('Fund History'!$E$62:$E$66,'Fund History'!$D$62:$D$66,"&gt;="&amp;DATE(YEAR_Y-2,1,1),'Fund History'!$D$62:$D$66,"&lt;="&amp;DATE(YEAR_Y-2,12,31)))))</f>
        <v/>
      </c>
      <c r="AT21" s="140">
        <f>IF($C21="","",IF(PULL_FUND="N","",IF(COUNTIFS('Fund History'!$D$62:$D$66,"&gt;="&amp;DATE(YEAR_Y-1,1,1),'Fund History'!$D$62:$D$66,"&lt;="&amp;DATE(YEAR_Y-1,12,31))=0,"",SUMIFS('Fund History'!$E$62:$E$66,'Fund History'!$D$62:$D$66,"&gt;="&amp;DATE(YEAR_Y-1,1,1),'Fund History'!$D$62:$D$66,"&lt;="&amp;DATE(YEAR_Y-1,12,31)))))</f>
        <v/>
      </c>
      <c r="AU21" s="140">
        <f>IF($C21="","",IF(PULL_FUND="N","",IFERROR(BDP($C21,NDEBITDA_FIELD),"")))</f>
        <v/>
      </c>
      <c r="AV21" s="148">
        <f>IF($C21="","",IF(PULL_FUND="N","",IFERROR(BDP($C21,EBINT_FIELD),"")))</f>
        <v/>
      </c>
      <c r="AW21" s="146">
        <f>IF($C21="","",IF(PULL_FUND="N","",IFERROR(BDP($C21,FCF_FIELD)/100,"")))</f>
        <v/>
      </c>
      <c r="AX21" s="126">
        <f>IF($C21="","",IF(N($U21)=0,"",IFERROR($AW21/$U21,"")))</f>
        <v/>
      </c>
      <c r="AY21" s="85">
        <f>IF($C21="","",TRIM(IF(ISNUMBER($AJ21)*(N($AJ21)&gt;$D$4)&gt;0,"payout high  ","")&amp;IF(ISNUMBER($AX21)*(N($AX21)&lt;$F$4)&gt;0,"FCF below dvd  ","")&amp;IF(ISNUMBER($AU21)*(N($AU21)&gt;$H$4)&gt;0,"leverage high","")))</f>
        <v/>
      </c>
      <c r="AZ21" s="86">
        <f>IF($C21="","",IF(HSI!$F$16="HKD","",HSI!$F$16))</f>
        <v/>
      </c>
    </row>
    <row r="22">
      <c r="B22" s="66" t="inlineStr">
        <is>
          <t>HSI</t>
        </is>
      </c>
      <c r="C22" s="8">
        <f>IF(HSI!$C$17="","",HSI!$C$17)</f>
        <v/>
      </c>
      <c r="D22" s="8">
        <f>IF($C22="","",HSI!$D$17)</f>
        <v/>
      </c>
      <c r="E22" s="8">
        <f>IF($C22="","",HSI!$E$17)</f>
        <v/>
      </c>
      <c r="F22" s="131">
        <f>IF($C22="","",SUMPRODUCT(('Dvd Calendar'!$E$121:$AR$121&gt;=DATE(YEAR_Y-5,1,1))*('Dvd Calendar'!$E$121:$AR$121&lt;=DATE(YEAR_Y-5,12,31))*'Dvd Calendar'!$E$124:$AR$124*(('Dvd Calendar'!$E$126:$AR$126=TYPE1)*(TYPE1&lt;&gt;"")+('Dvd Calendar'!$E$126:$AR$126=TYPE2)*(TYPE2&lt;&gt;"")+('Dvd Calendar'!$E$126:$AR$126=TYPE3)*(TYPE3&lt;&gt;"")+('Dvd Calendar'!$E$126:$AR$126=TYPE4)*(TYPE4&lt;&gt;"")+('Dvd Calendar'!$E$126:$AR$126=SPECIAL_LBL)*(INC_SPECIALS="Y"))))</f>
        <v/>
      </c>
      <c r="G22" s="132">
        <f>IF($C22="","",SUMPRODUCT(('Dvd Calendar'!$E$121:$AR$121&gt;=DATE(YEAR_Y-4,1,1))*('Dvd Calendar'!$E$121:$AR$121&lt;=DATE(YEAR_Y-4,12,31))*'Dvd Calendar'!$E$124:$AR$124*(('Dvd Calendar'!$E$126:$AR$126=TYPE1)*(TYPE1&lt;&gt;"")+('Dvd Calendar'!$E$126:$AR$126=TYPE2)*(TYPE2&lt;&gt;"")+('Dvd Calendar'!$E$126:$AR$126=TYPE3)*(TYPE3&lt;&gt;"")+('Dvd Calendar'!$E$126:$AR$126=TYPE4)*(TYPE4&lt;&gt;"")+('Dvd Calendar'!$E$126:$AR$126=SPECIAL_LBL)*(INC_SPECIALS="Y"))))</f>
        <v/>
      </c>
      <c r="H22" s="132">
        <f>IF($C22="","",SUMPRODUCT(('Dvd Calendar'!$E$121:$AR$121&gt;=DATE(YEAR_Y-3,1,1))*('Dvd Calendar'!$E$121:$AR$121&lt;=DATE(YEAR_Y-3,12,31))*'Dvd Calendar'!$E$124:$AR$124*(('Dvd Calendar'!$E$126:$AR$126=TYPE1)*(TYPE1&lt;&gt;"")+('Dvd Calendar'!$E$126:$AR$126=TYPE2)*(TYPE2&lt;&gt;"")+('Dvd Calendar'!$E$126:$AR$126=TYPE3)*(TYPE3&lt;&gt;"")+('Dvd Calendar'!$E$126:$AR$126=TYPE4)*(TYPE4&lt;&gt;"")+('Dvd Calendar'!$E$126:$AR$126=SPECIAL_LBL)*(INC_SPECIALS="Y"))))</f>
        <v/>
      </c>
      <c r="I22" s="132">
        <f>IF($C22="","",SUMPRODUCT(('Dvd Calendar'!$E$121:$AR$121&gt;=DATE(YEAR_Y-2,1,1))*('Dvd Calendar'!$E$121:$AR$121&lt;=DATE(YEAR_Y-2,12,31))*'Dvd Calendar'!$E$124:$AR$124*(('Dvd Calendar'!$E$126:$AR$126=TYPE1)*(TYPE1&lt;&gt;"")+('Dvd Calendar'!$E$126:$AR$126=TYPE2)*(TYPE2&lt;&gt;"")+('Dvd Calendar'!$E$126:$AR$126=TYPE3)*(TYPE3&lt;&gt;"")+('Dvd Calendar'!$E$126:$AR$126=TYPE4)*(TYPE4&lt;&gt;"")+('Dvd Calendar'!$E$126:$AR$126=SPECIAL_LBL)*(INC_SPECIALS="Y"))))</f>
        <v/>
      </c>
      <c r="J22" s="132">
        <f>IF($C22="","",SUMPRODUCT(('Dvd Calendar'!$E$121:$AR$121&gt;=DATE(YEAR_Y-1,1,1))*('Dvd Calendar'!$E$121:$AR$121&lt;=DATE(YEAR_Y-1,12,31))*'Dvd Calendar'!$E$124:$AR$124*(('Dvd Calendar'!$E$126:$AR$126=TYPE1)*(TYPE1&lt;&gt;"")+('Dvd Calendar'!$E$126:$AR$126=TYPE2)*(TYPE2&lt;&gt;"")+('Dvd Calendar'!$E$126:$AR$126=TYPE3)*(TYPE3&lt;&gt;"")+('Dvd Calendar'!$E$126:$AR$126=TYPE4)*(TYPE4&lt;&gt;"")+('Dvd Calendar'!$E$126:$AR$126=SPECIAL_LBL)*(INC_SPECIALS="Y"))))</f>
        <v/>
      </c>
      <c r="K22" s="133">
        <f>IF($C22="","",HSI!$J$17)</f>
        <v/>
      </c>
      <c r="L22" s="133">
        <f>IF($C22="","",HSI!$K$17)</f>
        <v/>
      </c>
      <c r="M22" s="124">
        <f>IF($C22="","",HSI!$J$17+HSI!$L$17)</f>
        <v/>
      </c>
      <c r="N22" s="134">
        <f>IF($C22="","",IF(PULL_FUND="N","",IFERROR(BDP($C22,BESTDPS_FIELD,FWD_OVERRIDE,TEXT(MOD(YEAR_Y,100),"00")&amp;"Y"),"")))</f>
        <v/>
      </c>
      <c r="O22" s="133">
        <f>IF($C22="","",AVERAGE(F22:J22))</f>
        <v/>
      </c>
      <c r="P22" s="135">
        <f>IF($C22="","",IF(PULL_FUND="N","",IF(COUNTIFS('Fund History'!$J$68:$J$72,"&gt;="&amp;DATE(YEAR_Y-5,1,1),'Fund History'!$J$68:$J$72,"&lt;="&amp;DATE(YEAR_Y-5,12,31))=0,"",IFERROR($F22*HSI!$G$17/SUMIFS('Fund History'!$K$68:$K$72,'Fund History'!$J$68:$J$72,"&gt;="&amp;DATE(YEAR_Y-5,1,1),'Fund History'!$J$68:$J$72,"&lt;="&amp;DATE(YEAR_Y-5,12,31)),""))))</f>
        <v/>
      </c>
      <c r="Q22" s="136">
        <f>IF($C22="","",IF(PULL_FUND="N","",IF(COUNTIFS('Fund History'!$J$68:$J$72,"&gt;="&amp;DATE(YEAR_Y-4,1,1),'Fund History'!$J$68:$J$72,"&lt;="&amp;DATE(YEAR_Y-4,12,31))=0,"",IFERROR($G22*HSI!$G$17/SUMIFS('Fund History'!$K$68:$K$72,'Fund History'!$J$68:$J$72,"&gt;="&amp;DATE(YEAR_Y-4,1,1),'Fund History'!$J$68:$J$72,"&lt;="&amp;DATE(YEAR_Y-4,12,31)),""))))</f>
        <v/>
      </c>
      <c r="R22" s="136">
        <f>IF($C22="","",IF(PULL_FUND="N","",IF(COUNTIFS('Fund History'!$J$68:$J$72,"&gt;="&amp;DATE(YEAR_Y-3,1,1),'Fund History'!$J$68:$J$72,"&lt;="&amp;DATE(YEAR_Y-3,12,31))=0,"",IFERROR($H22*HSI!$G$17/SUMIFS('Fund History'!$K$68:$K$72,'Fund History'!$J$68:$J$72,"&gt;="&amp;DATE(YEAR_Y-3,1,1),'Fund History'!$J$68:$J$72,"&lt;="&amp;DATE(YEAR_Y-3,12,31)),""))))</f>
        <v/>
      </c>
      <c r="S22" s="136">
        <f>IF($C22="","",IF(PULL_FUND="N","",IF(COUNTIFS('Fund History'!$J$68:$J$72,"&gt;="&amp;DATE(YEAR_Y-2,1,1),'Fund History'!$J$68:$J$72,"&lt;="&amp;DATE(YEAR_Y-2,12,31))=0,"",IFERROR($I22*HSI!$G$17/SUMIFS('Fund History'!$K$68:$K$72,'Fund History'!$J$68:$J$72,"&gt;="&amp;DATE(YEAR_Y-2,1,1),'Fund History'!$J$68:$J$72,"&lt;="&amp;DATE(YEAR_Y-2,12,31)),""))))</f>
        <v/>
      </c>
      <c r="T22" s="136">
        <f>IF($C22="","",IF(PULL_FUND="N","",IF(COUNTIFS('Fund History'!$J$68:$J$72,"&gt;="&amp;DATE(YEAR_Y-1,1,1),'Fund History'!$J$68:$J$72,"&lt;="&amp;DATE(YEAR_Y-1,12,31))=0,"",IFERROR($J22*HSI!$G$17/SUMIFS('Fund History'!$K$68:$K$72,'Fund History'!$J$68:$J$72,"&gt;="&amp;DATE(YEAR_Y-1,1,1),'Fund History'!$J$68:$J$72,"&lt;="&amp;DATE(YEAR_Y-1,12,31)),""))))</f>
        <v/>
      </c>
      <c r="U22" s="137">
        <f>IF($C22="","",IF(ISNUMBER(HSI!$I$17),HSI!$I$17/100,""))</f>
        <v/>
      </c>
      <c r="V22" s="138">
        <f>IF($C22="","",IF(ISNUMBER(HSI!$X$17),IFERROR($M22*HSI!$G$17/HSI!$X$17,""),""))</f>
        <v/>
      </c>
      <c r="W22" s="137">
        <f>IF($C22="","",IF(ISNUMBER($N22),IFERROR($N22*HSI!$G$17/HSI!$X$17,""),""))</f>
        <v/>
      </c>
      <c r="X22" s="139">
        <f>IF($C22="","",IF(PULL_FUND="N","",IFERROR(BDP($C22,EPS_FIELD,YR_OVERRIDE,TEXT(YEAR_Y-5,"0")),"")))</f>
        <v/>
      </c>
      <c r="Y22" s="140">
        <f>IF($C22="","",IF(PULL_FUND="N","",IFERROR(BDP($C22,EPS_FIELD,YR_OVERRIDE,TEXT(YEAR_Y-4,"0")),"")))</f>
        <v/>
      </c>
      <c r="Z22" s="140">
        <f>IF($C22="","",IF(PULL_FUND="N","",IFERROR(BDP($C22,EPS_FIELD,YR_OVERRIDE,TEXT(YEAR_Y-3,"0")),"")))</f>
        <v/>
      </c>
      <c r="AA22" s="140">
        <f>IF($C22="","",IF(PULL_FUND="N","",IFERROR(BDP($C22,EPS_FIELD,YR_OVERRIDE,TEXT(YEAR_Y-2,"0")),"")))</f>
        <v/>
      </c>
      <c r="AB22" s="140">
        <f>IF($C22="","",IF(PULL_FUND="N","",IFERROR(BDP($C22,EPS_FIELD,YR_OVERRIDE,TEXT(YEAR_Y-1,"0")),"")))</f>
        <v/>
      </c>
      <c r="AC22" s="126">
        <f>IF($C22="","",IFERROR(AVERAGE(X22:AB22),""))</f>
        <v/>
      </c>
      <c r="AD22" s="140">
        <f>IF($C22="","",IF(PULL_FUND="N","",IFERROR(BDP($C22,BESTEPS_FIELD,FWD_OVERRIDE,TEXT(MOD(YEAR_Y,100),"00")&amp;"Y"),"")))</f>
        <v/>
      </c>
      <c r="AE22" s="141">
        <f>IF($C22="","",IF(PULL_FUND="N","",IFERROR(BDP($C22,PAYOUT_FIELD,YR_OVERRIDE,TEXT(YEAR_Y-5,"0"))/100,"")))</f>
        <v/>
      </c>
      <c r="AF22" s="142">
        <f>IF($C22="","",IF(PULL_FUND="N","",IFERROR(BDP($C22,PAYOUT_FIELD,YR_OVERRIDE,TEXT(YEAR_Y-4,"0"))/100,"")))</f>
        <v/>
      </c>
      <c r="AG22" s="142">
        <f>IF($C22="","",IF(PULL_FUND="N","",IFERROR(BDP($C22,PAYOUT_FIELD,YR_OVERRIDE,TEXT(YEAR_Y-3,"0"))/100,"")))</f>
        <v/>
      </c>
      <c r="AH22" s="142">
        <f>IF($C22="","",IF(PULL_FUND="N","",IFERROR(BDP($C22,PAYOUT_FIELD,YR_OVERRIDE,TEXT(YEAR_Y-2,"0"))/100,"")))</f>
        <v/>
      </c>
      <c r="AI22" s="142">
        <f>IF($C22="","",IF(PULL_FUND="N","",IFERROR(BDP($C22,PAYOUT_FIELD,YR_OVERRIDE,TEXT(YEAR_Y-1,"0"))/100,"")))</f>
        <v/>
      </c>
      <c r="AJ22" s="143">
        <f>IF($C22="","",IFERROR(AVERAGE(AE22:AI22),""))</f>
        <v/>
      </c>
      <c r="AK22" s="144">
        <f>IF($C22="","",IF(ISNUMBER($AD22)*ISNUMBER($N22)*($AD22&lt;&gt;0)=0,"",$N22/$AD22))</f>
        <v/>
      </c>
      <c r="AL22" s="143">
        <f>IF($C22="","",IF(ISNUMBER($AD22)*($AD22&lt;&gt;0)=0,"",$M22/$AD22))</f>
        <v/>
      </c>
      <c r="AM22" s="37">
        <f>IF($C22="","",IF(ISNUMBER($AE22)*ISNUMBER($AI22)=0,"",IF($AI22&gt;$AE22+0.05,"rising",IF($AI22&lt;$AE22-0.05,"falling","stable"))))</f>
        <v/>
      </c>
      <c r="AN22" s="145">
        <f>IF($C22="","",IF(PULL_FUND="N","",IF(COUNTIFS('Fund History'!$G$68:$G$72,"&gt;="&amp;DATE(YEAR_Y-4,1,1),'Fund History'!$G$68:$G$72,"&lt;="&amp;DATE(YEAR_Y-4,12,31))=0,"",SUMIFS('Fund History'!$H$68:$H$72,'Fund History'!$G$68:$G$72,"&gt;="&amp;DATE(YEAR_Y-4,1,1),'Fund History'!$G$68:$G$72,"&lt;="&amp;DATE(YEAR_Y-4,12,31))/100)))</f>
        <v/>
      </c>
      <c r="AO22" s="146">
        <f>IF($C22="","",IF(PULL_FUND="N","",IF(COUNTIFS('Fund History'!$G$68:$G$72,"&gt;="&amp;DATE(YEAR_Y-3,1,1),'Fund History'!$G$68:$G$72,"&lt;="&amp;DATE(YEAR_Y-3,12,31))=0,"",SUMIFS('Fund History'!$H$68:$H$72,'Fund History'!$G$68:$G$72,"&gt;="&amp;DATE(YEAR_Y-3,1,1),'Fund History'!$G$68:$G$72,"&lt;="&amp;DATE(YEAR_Y-3,12,31))/100)))</f>
        <v/>
      </c>
      <c r="AP22" s="146">
        <f>IF($C22="","",IF(PULL_FUND="N","",IF(COUNTIFS('Fund History'!$G$68:$G$72,"&gt;="&amp;DATE(YEAR_Y-2,1,1),'Fund History'!$G$68:$G$72,"&lt;="&amp;DATE(YEAR_Y-2,12,31))=0,"",SUMIFS('Fund History'!$H$68:$H$72,'Fund History'!$G$68:$G$72,"&gt;="&amp;DATE(YEAR_Y-2,1,1),'Fund History'!$G$68:$G$72,"&lt;="&amp;DATE(YEAR_Y-2,12,31))/100)))</f>
        <v/>
      </c>
      <c r="AQ22" s="146">
        <f>IF($C22="","",IF(PULL_FUND="N","",IF(COUNTIFS('Fund History'!$G$68:$G$72,"&gt;="&amp;DATE(YEAR_Y-1,1,1),'Fund History'!$G$68:$G$72,"&lt;="&amp;DATE(YEAR_Y-1,12,31))=0,"",SUMIFS('Fund History'!$H$68:$H$72,'Fund History'!$G$68:$G$72,"&gt;="&amp;DATE(YEAR_Y-1,1,1),'Fund History'!$G$68:$G$72,"&lt;="&amp;DATE(YEAR_Y-1,12,31))/100)))</f>
        <v/>
      </c>
      <c r="AR22" s="147">
        <f>IF($C22="","",IF(N($AQ22)+N(HSI!$I$17)=0,"",N($AQ22)+N(HSI!$I$17)/100))</f>
        <v/>
      </c>
      <c r="AS22" s="139">
        <f>IF($C22="","",IF(PULL_FUND="N","",IF(COUNTIFS('Fund History'!$D$68:$D$72,"&gt;="&amp;DATE(YEAR_Y-2,1,1),'Fund History'!$D$68:$D$72,"&lt;="&amp;DATE(YEAR_Y-2,12,31))=0,"",SUMIFS('Fund History'!$E$68:$E$72,'Fund History'!$D$68:$D$72,"&gt;="&amp;DATE(YEAR_Y-2,1,1),'Fund History'!$D$68:$D$72,"&lt;="&amp;DATE(YEAR_Y-2,12,31)))))</f>
        <v/>
      </c>
      <c r="AT22" s="140">
        <f>IF($C22="","",IF(PULL_FUND="N","",IF(COUNTIFS('Fund History'!$D$68:$D$72,"&gt;="&amp;DATE(YEAR_Y-1,1,1),'Fund History'!$D$68:$D$72,"&lt;="&amp;DATE(YEAR_Y-1,12,31))=0,"",SUMIFS('Fund History'!$E$68:$E$72,'Fund History'!$D$68:$D$72,"&gt;="&amp;DATE(YEAR_Y-1,1,1),'Fund History'!$D$68:$D$72,"&lt;="&amp;DATE(YEAR_Y-1,12,31)))))</f>
        <v/>
      </c>
      <c r="AU22" s="140">
        <f>IF($C22="","",IF(PULL_FUND="N","",IFERROR(BDP($C22,NDEBITDA_FIELD),"")))</f>
        <v/>
      </c>
      <c r="AV22" s="148">
        <f>IF($C22="","",IF(PULL_FUND="N","",IFERROR(BDP($C22,EBINT_FIELD),"")))</f>
        <v/>
      </c>
      <c r="AW22" s="146">
        <f>IF($C22="","",IF(PULL_FUND="N","",IFERROR(BDP($C22,FCF_FIELD)/100,"")))</f>
        <v/>
      </c>
      <c r="AX22" s="126">
        <f>IF($C22="","",IF(N($U22)=0,"",IFERROR($AW22/$U22,"")))</f>
        <v/>
      </c>
      <c r="AY22" s="85">
        <f>IF($C22="","",TRIM(IF(ISNUMBER($AJ22)*(N($AJ22)&gt;$D$4)&gt;0,"payout high  ","")&amp;IF(ISNUMBER($AX22)*(N($AX22)&lt;$F$4)&gt;0,"FCF below dvd  ","")&amp;IF(ISNUMBER($AU22)*(N($AU22)&gt;$H$4)&gt;0,"leverage high","")))</f>
        <v/>
      </c>
      <c r="AZ22" s="86">
        <f>IF($C22="","",IF(HSI!$F$17="HKD","",HSI!$F$17))</f>
        <v/>
      </c>
    </row>
    <row r="23">
      <c r="B23" s="66" t="inlineStr">
        <is>
          <t>HSI</t>
        </is>
      </c>
      <c r="C23" s="8">
        <f>IF(HSI!$C$18="","",HSI!$C$18)</f>
        <v/>
      </c>
      <c r="D23" s="8">
        <f>IF($C23="","",HSI!$D$18)</f>
        <v/>
      </c>
      <c r="E23" s="8">
        <f>IF($C23="","",HSI!$E$18)</f>
        <v/>
      </c>
      <c r="F23" s="131">
        <f>IF($C23="","",SUMPRODUCT(('Dvd Calendar'!$E$132:$AR$132&gt;=DATE(YEAR_Y-5,1,1))*('Dvd Calendar'!$E$132:$AR$132&lt;=DATE(YEAR_Y-5,12,31))*'Dvd Calendar'!$E$135:$AR$135*(('Dvd Calendar'!$E$137:$AR$137=TYPE1)*(TYPE1&lt;&gt;"")+('Dvd Calendar'!$E$137:$AR$137=TYPE2)*(TYPE2&lt;&gt;"")+('Dvd Calendar'!$E$137:$AR$137=TYPE3)*(TYPE3&lt;&gt;"")+('Dvd Calendar'!$E$137:$AR$137=TYPE4)*(TYPE4&lt;&gt;"")+('Dvd Calendar'!$E$137:$AR$137=SPECIAL_LBL)*(INC_SPECIALS="Y"))))</f>
        <v/>
      </c>
      <c r="G23" s="132">
        <f>IF($C23="","",SUMPRODUCT(('Dvd Calendar'!$E$132:$AR$132&gt;=DATE(YEAR_Y-4,1,1))*('Dvd Calendar'!$E$132:$AR$132&lt;=DATE(YEAR_Y-4,12,31))*'Dvd Calendar'!$E$135:$AR$135*(('Dvd Calendar'!$E$137:$AR$137=TYPE1)*(TYPE1&lt;&gt;"")+('Dvd Calendar'!$E$137:$AR$137=TYPE2)*(TYPE2&lt;&gt;"")+('Dvd Calendar'!$E$137:$AR$137=TYPE3)*(TYPE3&lt;&gt;"")+('Dvd Calendar'!$E$137:$AR$137=TYPE4)*(TYPE4&lt;&gt;"")+('Dvd Calendar'!$E$137:$AR$137=SPECIAL_LBL)*(INC_SPECIALS="Y"))))</f>
        <v/>
      </c>
      <c r="H23" s="132">
        <f>IF($C23="","",SUMPRODUCT(('Dvd Calendar'!$E$132:$AR$132&gt;=DATE(YEAR_Y-3,1,1))*('Dvd Calendar'!$E$132:$AR$132&lt;=DATE(YEAR_Y-3,12,31))*'Dvd Calendar'!$E$135:$AR$135*(('Dvd Calendar'!$E$137:$AR$137=TYPE1)*(TYPE1&lt;&gt;"")+('Dvd Calendar'!$E$137:$AR$137=TYPE2)*(TYPE2&lt;&gt;"")+('Dvd Calendar'!$E$137:$AR$137=TYPE3)*(TYPE3&lt;&gt;"")+('Dvd Calendar'!$E$137:$AR$137=TYPE4)*(TYPE4&lt;&gt;"")+('Dvd Calendar'!$E$137:$AR$137=SPECIAL_LBL)*(INC_SPECIALS="Y"))))</f>
        <v/>
      </c>
      <c r="I23" s="132">
        <f>IF($C23="","",SUMPRODUCT(('Dvd Calendar'!$E$132:$AR$132&gt;=DATE(YEAR_Y-2,1,1))*('Dvd Calendar'!$E$132:$AR$132&lt;=DATE(YEAR_Y-2,12,31))*'Dvd Calendar'!$E$135:$AR$135*(('Dvd Calendar'!$E$137:$AR$137=TYPE1)*(TYPE1&lt;&gt;"")+('Dvd Calendar'!$E$137:$AR$137=TYPE2)*(TYPE2&lt;&gt;"")+('Dvd Calendar'!$E$137:$AR$137=TYPE3)*(TYPE3&lt;&gt;"")+('Dvd Calendar'!$E$137:$AR$137=TYPE4)*(TYPE4&lt;&gt;"")+('Dvd Calendar'!$E$137:$AR$137=SPECIAL_LBL)*(INC_SPECIALS="Y"))))</f>
        <v/>
      </c>
      <c r="J23" s="132">
        <f>IF($C23="","",SUMPRODUCT(('Dvd Calendar'!$E$132:$AR$132&gt;=DATE(YEAR_Y-1,1,1))*('Dvd Calendar'!$E$132:$AR$132&lt;=DATE(YEAR_Y-1,12,31))*'Dvd Calendar'!$E$135:$AR$135*(('Dvd Calendar'!$E$137:$AR$137=TYPE1)*(TYPE1&lt;&gt;"")+('Dvd Calendar'!$E$137:$AR$137=TYPE2)*(TYPE2&lt;&gt;"")+('Dvd Calendar'!$E$137:$AR$137=TYPE3)*(TYPE3&lt;&gt;"")+('Dvd Calendar'!$E$137:$AR$137=TYPE4)*(TYPE4&lt;&gt;"")+('Dvd Calendar'!$E$137:$AR$137=SPECIAL_LBL)*(INC_SPECIALS="Y"))))</f>
        <v/>
      </c>
      <c r="K23" s="133">
        <f>IF($C23="","",HSI!$J$18)</f>
        <v/>
      </c>
      <c r="L23" s="133">
        <f>IF($C23="","",HSI!$K$18)</f>
        <v/>
      </c>
      <c r="M23" s="124">
        <f>IF($C23="","",HSI!$J$18+HSI!$L$18)</f>
        <v/>
      </c>
      <c r="N23" s="134">
        <f>IF($C23="","",IF(PULL_FUND="N","",IFERROR(BDP($C23,BESTDPS_FIELD,FWD_OVERRIDE,TEXT(MOD(YEAR_Y,100),"00")&amp;"Y"),"")))</f>
        <v/>
      </c>
      <c r="O23" s="133">
        <f>IF($C23="","",AVERAGE(F23:J23))</f>
        <v/>
      </c>
      <c r="P23" s="135">
        <f>IF($C23="","",IF(PULL_FUND="N","",IF(COUNTIFS('Fund History'!$J$74:$J$78,"&gt;="&amp;DATE(YEAR_Y-5,1,1),'Fund History'!$J$74:$J$78,"&lt;="&amp;DATE(YEAR_Y-5,12,31))=0,"",IFERROR($F23*HSI!$G$18/SUMIFS('Fund History'!$K$74:$K$78,'Fund History'!$J$74:$J$78,"&gt;="&amp;DATE(YEAR_Y-5,1,1),'Fund History'!$J$74:$J$78,"&lt;="&amp;DATE(YEAR_Y-5,12,31)),""))))</f>
        <v/>
      </c>
      <c r="Q23" s="136">
        <f>IF($C23="","",IF(PULL_FUND="N","",IF(COUNTIFS('Fund History'!$J$74:$J$78,"&gt;="&amp;DATE(YEAR_Y-4,1,1),'Fund History'!$J$74:$J$78,"&lt;="&amp;DATE(YEAR_Y-4,12,31))=0,"",IFERROR($G23*HSI!$G$18/SUMIFS('Fund History'!$K$74:$K$78,'Fund History'!$J$74:$J$78,"&gt;="&amp;DATE(YEAR_Y-4,1,1),'Fund History'!$J$74:$J$78,"&lt;="&amp;DATE(YEAR_Y-4,12,31)),""))))</f>
        <v/>
      </c>
      <c r="R23" s="136">
        <f>IF($C23="","",IF(PULL_FUND="N","",IF(COUNTIFS('Fund History'!$J$74:$J$78,"&gt;="&amp;DATE(YEAR_Y-3,1,1),'Fund History'!$J$74:$J$78,"&lt;="&amp;DATE(YEAR_Y-3,12,31))=0,"",IFERROR($H23*HSI!$G$18/SUMIFS('Fund History'!$K$74:$K$78,'Fund History'!$J$74:$J$78,"&gt;="&amp;DATE(YEAR_Y-3,1,1),'Fund History'!$J$74:$J$78,"&lt;="&amp;DATE(YEAR_Y-3,12,31)),""))))</f>
        <v/>
      </c>
      <c r="S23" s="136">
        <f>IF($C23="","",IF(PULL_FUND="N","",IF(COUNTIFS('Fund History'!$J$74:$J$78,"&gt;="&amp;DATE(YEAR_Y-2,1,1),'Fund History'!$J$74:$J$78,"&lt;="&amp;DATE(YEAR_Y-2,12,31))=0,"",IFERROR($I23*HSI!$G$18/SUMIFS('Fund History'!$K$74:$K$78,'Fund History'!$J$74:$J$78,"&gt;="&amp;DATE(YEAR_Y-2,1,1),'Fund History'!$J$74:$J$78,"&lt;="&amp;DATE(YEAR_Y-2,12,31)),""))))</f>
        <v/>
      </c>
      <c r="T23" s="136">
        <f>IF($C23="","",IF(PULL_FUND="N","",IF(COUNTIFS('Fund History'!$J$74:$J$78,"&gt;="&amp;DATE(YEAR_Y-1,1,1),'Fund History'!$J$74:$J$78,"&lt;="&amp;DATE(YEAR_Y-1,12,31))=0,"",IFERROR($J23*HSI!$G$18/SUMIFS('Fund History'!$K$74:$K$78,'Fund History'!$J$74:$J$78,"&gt;="&amp;DATE(YEAR_Y-1,1,1),'Fund History'!$J$74:$J$78,"&lt;="&amp;DATE(YEAR_Y-1,12,31)),""))))</f>
        <v/>
      </c>
      <c r="U23" s="137">
        <f>IF($C23="","",IF(ISNUMBER(HSI!$I$18),HSI!$I$18/100,""))</f>
        <v/>
      </c>
      <c r="V23" s="138">
        <f>IF($C23="","",IF(ISNUMBER(HSI!$X$18),IFERROR($M23*HSI!$G$18/HSI!$X$18,""),""))</f>
        <v/>
      </c>
      <c r="W23" s="137">
        <f>IF($C23="","",IF(ISNUMBER($N23),IFERROR($N23*HSI!$G$18/HSI!$X$18,""),""))</f>
        <v/>
      </c>
      <c r="X23" s="139">
        <f>IF($C23="","",IF(PULL_FUND="N","",IFERROR(BDP($C23,EPS_FIELD,YR_OVERRIDE,TEXT(YEAR_Y-5,"0")),"")))</f>
        <v/>
      </c>
      <c r="Y23" s="140">
        <f>IF($C23="","",IF(PULL_FUND="N","",IFERROR(BDP($C23,EPS_FIELD,YR_OVERRIDE,TEXT(YEAR_Y-4,"0")),"")))</f>
        <v/>
      </c>
      <c r="Z23" s="140">
        <f>IF($C23="","",IF(PULL_FUND="N","",IFERROR(BDP($C23,EPS_FIELD,YR_OVERRIDE,TEXT(YEAR_Y-3,"0")),"")))</f>
        <v/>
      </c>
      <c r="AA23" s="140">
        <f>IF($C23="","",IF(PULL_FUND="N","",IFERROR(BDP($C23,EPS_FIELD,YR_OVERRIDE,TEXT(YEAR_Y-2,"0")),"")))</f>
        <v/>
      </c>
      <c r="AB23" s="140">
        <f>IF($C23="","",IF(PULL_FUND="N","",IFERROR(BDP($C23,EPS_FIELD,YR_OVERRIDE,TEXT(YEAR_Y-1,"0")),"")))</f>
        <v/>
      </c>
      <c r="AC23" s="126">
        <f>IF($C23="","",IFERROR(AVERAGE(X23:AB23),""))</f>
        <v/>
      </c>
      <c r="AD23" s="140">
        <f>IF($C23="","",IF(PULL_FUND="N","",IFERROR(BDP($C23,BESTEPS_FIELD,FWD_OVERRIDE,TEXT(MOD(YEAR_Y,100),"00")&amp;"Y"),"")))</f>
        <v/>
      </c>
      <c r="AE23" s="141">
        <f>IF($C23="","",IF(PULL_FUND="N","",IFERROR(BDP($C23,PAYOUT_FIELD,YR_OVERRIDE,TEXT(YEAR_Y-5,"0"))/100,"")))</f>
        <v/>
      </c>
      <c r="AF23" s="142">
        <f>IF($C23="","",IF(PULL_FUND="N","",IFERROR(BDP($C23,PAYOUT_FIELD,YR_OVERRIDE,TEXT(YEAR_Y-4,"0"))/100,"")))</f>
        <v/>
      </c>
      <c r="AG23" s="142">
        <f>IF($C23="","",IF(PULL_FUND="N","",IFERROR(BDP($C23,PAYOUT_FIELD,YR_OVERRIDE,TEXT(YEAR_Y-3,"0"))/100,"")))</f>
        <v/>
      </c>
      <c r="AH23" s="142">
        <f>IF($C23="","",IF(PULL_FUND="N","",IFERROR(BDP($C23,PAYOUT_FIELD,YR_OVERRIDE,TEXT(YEAR_Y-2,"0"))/100,"")))</f>
        <v/>
      </c>
      <c r="AI23" s="142">
        <f>IF($C23="","",IF(PULL_FUND="N","",IFERROR(BDP($C23,PAYOUT_FIELD,YR_OVERRIDE,TEXT(YEAR_Y-1,"0"))/100,"")))</f>
        <v/>
      </c>
      <c r="AJ23" s="143">
        <f>IF($C23="","",IFERROR(AVERAGE(AE23:AI23),""))</f>
        <v/>
      </c>
      <c r="AK23" s="144">
        <f>IF($C23="","",IF(ISNUMBER($AD23)*ISNUMBER($N23)*($AD23&lt;&gt;0)=0,"",$N23/$AD23))</f>
        <v/>
      </c>
      <c r="AL23" s="143">
        <f>IF($C23="","",IF(ISNUMBER($AD23)*($AD23&lt;&gt;0)=0,"",$M23/$AD23))</f>
        <v/>
      </c>
      <c r="AM23" s="37">
        <f>IF($C23="","",IF(ISNUMBER($AE23)*ISNUMBER($AI23)=0,"",IF($AI23&gt;$AE23+0.05,"rising",IF($AI23&lt;$AE23-0.05,"falling","stable"))))</f>
        <v/>
      </c>
      <c r="AN23" s="145">
        <f>IF($C23="","",IF(PULL_FUND="N","",IF(COUNTIFS('Fund History'!$G$74:$G$78,"&gt;="&amp;DATE(YEAR_Y-4,1,1),'Fund History'!$G$74:$G$78,"&lt;="&amp;DATE(YEAR_Y-4,12,31))=0,"",SUMIFS('Fund History'!$H$74:$H$78,'Fund History'!$G$74:$G$78,"&gt;="&amp;DATE(YEAR_Y-4,1,1),'Fund History'!$G$74:$G$78,"&lt;="&amp;DATE(YEAR_Y-4,12,31))/100)))</f>
        <v/>
      </c>
      <c r="AO23" s="146">
        <f>IF($C23="","",IF(PULL_FUND="N","",IF(COUNTIFS('Fund History'!$G$74:$G$78,"&gt;="&amp;DATE(YEAR_Y-3,1,1),'Fund History'!$G$74:$G$78,"&lt;="&amp;DATE(YEAR_Y-3,12,31))=0,"",SUMIFS('Fund History'!$H$74:$H$78,'Fund History'!$G$74:$G$78,"&gt;="&amp;DATE(YEAR_Y-3,1,1),'Fund History'!$G$74:$G$78,"&lt;="&amp;DATE(YEAR_Y-3,12,31))/100)))</f>
        <v/>
      </c>
      <c r="AP23" s="146">
        <f>IF($C23="","",IF(PULL_FUND="N","",IF(COUNTIFS('Fund History'!$G$74:$G$78,"&gt;="&amp;DATE(YEAR_Y-2,1,1),'Fund History'!$G$74:$G$78,"&lt;="&amp;DATE(YEAR_Y-2,12,31))=0,"",SUMIFS('Fund History'!$H$74:$H$78,'Fund History'!$G$74:$G$78,"&gt;="&amp;DATE(YEAR_Y-2,1,1),'Fund History'!$G$74:$G$78,"&lt;="&amp;DATE(YEAR_Y-2,12,31))/100)))</f>
        <v/>
      </c>
      <c r="AQ23" s="146">
        <f>IF($C23="","",IF(PULL_FUND="N","",IF(COUNTIFS('Fund History'!$G$74:$G$78,"&gt;="&amp;DATE(YEAR_Y-1,1,1),'Fund History'!$G$74:$G$78,"&lt;="&amp;DATE(YEAR_Y-1,12,31))=0,"",SUMIFS('Fund History'!$H$74:$H$78,'Fund History'!$G$74:$G$78,"&gt;="&amp;DATE(YEAR_Y-1,1,1),'Fund History'!$G$74:$G$78,"&lt;="&amp;DATE(YEAR_Y-1,12,31))/100)))</f>
        <v/>
      </c>
      <c r="AR23" s="147">
        <f>IF($C23="","",IF(N($AQ23)+N(HSI!$I$18)=0,"",N($AQ23)+N(HSI!$I$18)/100))</f>
        <v/>
      </c>
      <c r="AS23" s="139">
        <f>IF($C23="","",IF(PULL_FUND="N","",IF(COUNTIFS('Fund History'!$D$74:$D$78,"&gt;="&amp;DATE(YEAR_Y-2,1,1),'Fund History'!$D$74:$D$78,"&lt;="&amp;DATE(YEAR_Y-2,12,31))=0,"",SUMIFS('Fund History'!$E$74:$E$78,'Fund History'!$D$74:$D$78,"&gt;="&amp;DATE(YEAR_Y-2,1,1),'Fund History'!$D$74:$D$78,"&lt;="&amp;DATE(YEAR_Y-2,12,31)))))</f>
        <v/>
      </c>
      <c r="AT23" s="140">
        <f>IF($C23="","",IF(PULL_FUND="N","",IF(COUNTIFS('Fund History'!$D$74:$D$78,"&gt;="&amp;DATE(YEAR_Y-1,1,1),'Fund History'!$D$74:$D$78,"&lt;="&amp;DATE(YEAR_Y-1,12,31))=0,"",SUMIFS('Fund History'!$E$74:$E$78,'Fund History'!$D$74:$D$78,"&gt;="&amp;DATE(YEAR_Y-1,1,1),'Fund History'!$D$74:$D$78,"&lt;="&amp;DATE(YEAR_Y-1,12,31)))))</f>
        <v/>
      </c>
      <c r="AU23" s="140">
        <f>IF($C23="","",IF(PULL_FUND="N","",IFERROR(BDP($C23,NDEBITDA_FIELD),"")))</f>
        <v/>
      </c>
      <c r="AV23" s="148">
        <f>IF($C23="","",IF(PULL_FUND="N","",IFERROR(BDP($C23,EBINT_FIELD),"")))</f>
        <v/>
      </c>
      <c r="AW23" s="146">
        <f>IF($C23="","",IF(PULL_FUND="N","",IFERROR(BDP($C23,FCF_FIELD)/100,"")))</f>
        <v/>
      </c>
      <c r="AX23" s="126">
        <f>IF($C23="","",IF(N($U23)=0,"",IFERROR($AW23/$U23,"")))</f>
        <v/>
      </c>
      <c r="AY23" s="85">
        <f>IF($C23="","",TRIM(IF(ISNUMBER($AJ23)*(N($AJ23)&gt;$D$4)&gt;0,"payout high  ","")&amp;IF(ISNUMBER($AX23)*(N($AX23)&lt;$F$4)&gt;0,"FCF below dvd  ","")&amp;IF(ISNUMBER($AU23)*(N($AU23)&gt;$H$4)&gt;0,"leverage high","")))</f>
        <v/>
      </c>
      <c r="AZ23" s="86">
        <f>IF($C23="","",IF(HSI!$F$18="HKD","",HSI!$F$18))</f>
        <v/>
      </c>
    </row>
    <row r="24">
      <c r="B24" s="66" t="inlineStr">
        <is>
          <t>HSI</t>
        </is>
      </c>
      <c r="C24" s="8">
        <f>IF(HSI!$C$19="","",HSI!$C$19)</f>
        <v/>
      </c>
      <c r="D24" s="8">
        <f>IF($C24="","",HSI!$D$19)</f>
        <v/>
      </c>
      <c r="E24" s="8">
        <f>IF($C24="","",HSI!$E$19)</f>
        <v/>
      </c>
      <c r="F24" s="131">
        <f>IF($C24="","",SUMPRODUCT(('Dvd Calendar'!$E$143:$AR$143&gt;=DATE(YEAR_Y-5,1,1))*('Dvd Calendar'!$E$143:$AR$143&lt;=DATE(YEAR_Y-5,12,31))*'Dvd Calendar'!$E$146:$AR$146*(('Dvd Calendar'!$E$148:$AR$148=TYPE1)*(TYPE1&lt;&gt;"")+('Dvd Calendar'!$E$148:$AR$148=TYPE2)*(TYPE2&lt;&gt;"")+('Dvd Calendar'!$E$148:$AR$148=TYPE3)*(TYPE3&lt;&gt;"")+('Dvd Calendar'!$E$148:$AR$148=TYPE4)*(TYPE4&lt;&gt;"")+('Dvd Calendar'!$E$148:$AR$148=SPECIAL_LBL)*(INC_SPECIALS="Y"))))</f>
        <v/>
      </c>
      <c r="G24" s="132">
        <f>IF($C24="","",SUMPRODUCT(('Dvd Calendar'!$E$143:$AR$143&gt;=DATE(YEAR_Y-4,1,1))*('Dvd Calendar'!$E$143:$AR$143&lt;=DATE(YEAR_Y-4,12,31))*'Dvd Calendar'!$E$146:$AR$146*(('Dvd Calendar'!$E$148:$AR$148=TYPE1)*(TYPE1&lt;&gt;"")+('Dvd Calendar'!$E$148:$AR$148=TYPE2)*(TYPE2&lt;&gt;"")+('Dvd Calendar'!$E$148:$AR$148=TYPE3)*(TYPE3&lt;&gt;"")+('Dvd Calendar'!$E$148:$AR$148=TYPE4)*(TYPE4&lt;&gt;"")+('Dvd Calendar'!$E$148:$AR$148=SPECIAL_LBL)*(INC_SPECIALS="Y"))))</f>
        <v/>
      </c>
      <c r="H24" s="132">
        <f>IF($C24="","",SUMPRODUCT(('Dvd Calendar'!$E$143:$AR$143&gt;=DATE(YEAR_Y-3,1,1))*('Dvd Calendar'!$E$143:$AR$143&lt;=DATE(YEAR_Y-3,12,31))*'Dvd Calendar'!$E$146:$AR$146*(('Dvd Calendar'!$E$148:$AR$148=TYPE1)*(TYPE1&lt;&gt;"")+('Dvd Calendar'!$E$148:$AR$148=TYPE2)*(TYPE2&lt;&gt;"")+('Dvd Calendar'!$E$148:$AR$148=TYPE3)*(TYPE3&lt;&gt;"")+('Dvd Calendar'!$E$148:$AR$148=TYPE4)*(TYPE4&lt;&gt;"")+('Dvd Calendar'!$E$148:$AR$148=SPECIAL_LBL)*(INC_SPECIALS="Y"))))</f>
        <v/>
      </c>
      <c r="I24" s="132">
        <f>IF($C24="","",SUMPRODUCT(('Dvd Calendar'!$E$143:$AR$143&gt;=DATE(YEAR_Y-2,1,1))*('Dvd Calendar'!$E$143:$AR$143&lt;=DATE(YEAR_Y-2,12,31))*'Dvd Calendar'!$E$146:$AR$146*(('Dvd Calendar'!$E$148:$AR$148=TYPE1)*(TYPE1&lt;&gt;"")+('Dvd Calendar'!$E$148:$AR$148=TYPE2)*(TYPE2&lt;&gt;"")+('Dvd Calendar'!$E$148:$AR$148=TYPE3)*(TYPE3&lt;&gt;"")+('Dvd Calendar'!$E$148:$AR$148=TYPE4)*(TYPE4&lt;&gt;"")+('Dvd Calendar'!$E$148:$AR$148=SPECIAL_LBL)*(INC_SPECIALS="Y"))))</f>
        <v/>
      </c>
      <c r="J24" s="132">
        <f>IF($C24="","",SUMPRODUCT(('Dvd Calendar'!$E$143:$AR$143&gt;=DATE(YEAR_Y-1,1,1))*('Dvd Calendar'!$E$143:$AR$143&lt;=DATE(YEAR_Y-1,12,31))*'Dvd Calendar'!$E$146:$AR$146*(('Dvd Calendar'!$E$148:$AR$148=TYPE1)*(TYPE1&lt;&gt;"")+('Dvd Calendar'!$E$148:$AR$148=TYPE2)*(TYPE2&lt;&gt;"")+('Dvd Calendar'!$E$148:$AR$148=TYPE3)*(TYPE3&lt;&gt;"")+('Dvd Calendar'!$E$148:$AR$148=TYPE4)*(TYPE4&lt;&gt;"")+('Dvd Calendar'!$E$148:$AR$148=SPECIAL_LBL)*(INC_SPECIALS="Y"))))</f>
        <v/>
      </c>
      <c r="K24" s="133">
        <f>IF($C24="","",HSI!$J$19)</f>
        <v/>
      </c>
      <c r="L24" s="133">
        <f>IF($C24="","",HSI!$K$19)</f>
        <v/>
      </c>
      <c r="M24" s="124">
        <f>IF($C24="","",HSI!$J$19+HSI!$L$19)</f>
        <v/>
      </c>
      <c r="N24" s="134">
        <f>IF($C24="","",IF(PULL_FUND="N","",IFERROR(BDP($C24,BESTDPS_FIELD,FWD_OVERRIDE,TEXT(MOD(YEAR_Y,100),"00")&amp;"Y"),"")))</f>
        <v/>
      </c>
      <c r="O24" s="133">
        <f>IF($C24="","",AVERAGE(F24:J24))</f>
        <v/>
      </c>
      <c r="P24" s="135">
        <f>IF($C24="","",IF(PULL_FUND="N","",IF(COUNTIFS('Fund History'!$J$80:$J$84,"&gt;="&amp;DATE(YEAR_Y-5,1,1),'Fund History'!$J$80:$J$84,"&lt;="&amp;DATE(YEAR_Y-5,12,31))=0,"",IFERROR($F24*HSI!$G$19/SUMIFS('Fund History'!$K$80:$K$84,'Fund History'!$J$80:$J$84,"&gt;="&amp;DATE(YEAR_Y-5,1,1),'Fund History'!$J$80:$J$84,"&lt;="&amp;DATE(YEAR_Y-5,12,31)),""))))</f>
        <v/>
      </c>
      <c r="Q24" s="136">
        <f>IF($C24="","",IF(PULL_FUND="N","",IF(COUNTIFS('Fund History'!$J$80:$J$84,"&gt;="&amp;DATE(YEAR_Y-4,1,1),'Fund History'!$J$80:$J$84,"&lt;="&amp;DATE(YEAR_Y-4,12,31))=0,"",IFERROR($G24*HSI!$G$19/SUMIFS('Fund History'!$K$80:$K$84,'Fund History'!$J$80:$J$84,"&gt;="&amp;DATE(YEAR_Y-4,1,1),'Fund History'!$J$80:$J$84,"&lt;="&amp;DATE(YEAR_Y-4,12,31)),""))))</f>
        <v/>
      </c>
      <c r="R24" s="136">
        <f>IF($C24="","",IF(PULL_FUND="N","",IF(COUNTIFS('Fund History'!$J$80:$J$84,"&gt;="&amp;DATE(YEAR_Y-3,1,1),'Fund History'!$J$80:$J$84,"&lt;="&amp;DATE(YEAR_Y-3,12,31))=0,"",IFERROR($H24*HSI!$G$19/SUMIFS('Fund History'!$K$80:$K$84,'Fund History'!$J$80:$J$84,"&gt;="&amp;DATE(YEAR_Y-3,1,1),'Fund History'!$J$80:$J$84,"&lt;="&amp;DATE(YEAR_Y-3,12,31)),""))))</f>
        <v/>
      </c>
      <c r="S24" s="136">
        <f>IF($C24="","",IF(PULL_FUND="N","",IF(COUNTIFS('Fund History'!$J$80:$J$84,"&gt;="&amp;DATE(YEAR_Y-2,1,1),'Fund History'!$J$80:$J$84,"&lt;="&amp;DATE(YEAR_Y-2,12,31))=0,"",IFERROR($I24*HSI!$G$19/SUMIFS('Fund History'!$K$80:$K$84,'Fund History'!$J$80:$J$84,"&gt;="&amp;DATE(YEAR_Y-2,1,1),'Fund History'!$J$80:$J$84,"&lt;="&amp;DATE(YEAR_Y-2,12,31)),""))))</f>
        <v/>
      </c>
      <c r="T24" s="136">
        <f>IF($C24="","",IF(PULL_FUND="N","",IF(COUNTIFS('Fund History'!$J$80:$J$84,"&gt;="&amp;DATE(YEAR_Y-1,1,1),'Fund History'!$J$80:$J$84,"&lt;="&amp;DATE(YEAR_Y-1,12,31))=0,"",IFERROR($J24*HSI!$G$19/SUMIFS('Fund History'!$K$80:$K$84,'Fund History'!$J$80:$J$84,"&gt;="&amp;DATE(YEAR_Y-1,1,1),'Fund History'!$J$80:$J$84,"&lt;="&amp;DATE(YEAR_Y-1,12,31)),""))))</f>
        <v/>
      </c>
      <c r="U24" s="137">
        <f>IF($C24="","",IF(ISNUMBER(HSI!$I$19),HSI!$I$19/100,""))</f>
        <v/>
      </c>
      <c r="V24" s="138">
        <f>IF($C24="","",IF(ISNUMBER(HSI!$X$19),IFERROR($M24*HSI!$G$19/HSI!$X$19,""),""))</f>
        <v/>
      </c>
      <c r="W24" s="137">
        <f>IF($C24="","",IF(ISNUMBER($N24),IFERROR($N24*HSI!$G$19/HSI!$X$19,""),""))</f>
        <v/>
      </c>
      <c r="X24" s="139">
        <f>IF($C24="","",IF(PULL_FUND="N","",IFERROR(BDP($C24,EPS_FIELD,YR_OVERRIDE,TEXT(YEAR_Y-5,"0")),"")))</f>
        <v/>
      </c>
      <c r="Y24" s="140">
        <f>IF($C24="","",IF(PULL_FUND="N","",IFERROR(BDP($C24,EPS_FIELD,YR_OVERRIDE,TEXT(YEAR_Y-4,"0")),"")))</f>
        <v/>
      </c>
      <c r="Z24" s="140">
        <f>IF($C24="","",IF(PULL_FUND="N","",IFERROR(BDP($C24,EPS_FIELD,YR_OVERRIDE,TEXT(YEAR_Y-3,"0")),"")))</f>
        <v/>
      </c>
      <c r="AA24" s="140">
        <f>IF($C24="","",IF(PULL_FUND="N","",IFERROR(BDP($C24,EPS_FIELD,YR_OVERRIDE,TEXT(YEAR_Y-2,"0")),"")))</f>
        <v/>
      </c>
      <c r="AB24" s="140">
        <f>IF($C24="","",IF(PULL_FUND="N","",IFERROR(BDP($C24,EPS_FIELD,YR_OVERRIDE,TEXT(YEAR_Y-1,"0")),"")))</f>
        <v/>
      </c>
      <c r="AC24" s="126">
        <f>IF($C24="","",IFERROR(AVERAGE(X24:AB24),""))</f>
        <v/>
      </c>
      <c r="AD24" s="140">
        <f>IF($C24="","",IF(PULL_FUND="N","",IFERROR(BDP($C24,BESTEPS_FIELD,FWD_OVERRIDE,TEXT(MOD(YEAR_Y,100),"00")&amp;"Y"),"")))</f>
        <v/>
      </c>
      <c r="AE24" s="141">
        <f>IF($C24="","",IF(PULL_FUND="N","",IFERROR(BDP($C24,PAYOUT_FIELD,YR_OVERRIDE,TEXT(YEAR_Y-5,"0"))/100,"")))</f>
        <v/>
      </c>
      <c r="AF24" s="142">
        <f>IF($C24="","",IF(PULL_FUND="N","",IFERROR(BDP($C24,PAYOUT_FIELD,YR_OVERRIDE,TEXT(YEAR_Y-4,"0"))/100,"")))</f>
        <v/>
      </c>
      <c r="AG24" s="142">
        <f>IF($C24="","",IF(PULL_FUND="N","",IFERROR(BDP($C24,PAYOUT_FIELD,YR_OVERRIDE,TEXT(YEAR_Y-3,"0"))/100,"")))</f>
        <v/>
      </c>
      <c r="AH24" s="142">
        <f>IF($C24="","",IF(PULL_FUND="N","",IFERROR(BDP($C24,PAYOUT_FIELD,YR_OVERRIDE,TEXT(YEAR_Y-2,"0"))/100,"")))</f>
        <v/>
      </c>
      <c r="AI24" s="142">
        <f>IF($C24="","",IF(PULL_FUND="N","",IFERROR(BDP($C24,PAYOUT_FIELD,YR_OVERRIDE,TEXT(YEAR_Y-1,"0"))/100,"")))</f>
        <v/>
      </c>
      <c r="AJ24" s="143">
        <f>IF($C24="","",IFERROR(AVERAGE(AE24:AI24),""))</f>
        <v/>
      </c>
      <c r="AK24" s="144">
        <f>IF($C24="","",IF(ISNUMBER($AD24)*ISNUMBER($N24)*($AD24&lt;&gt;0)=0,"",$N24/$AD24))</f>
        <v/>
      </c>
      <c r="AL24" s="143">
        <f>IF($C24="","",IF(ISNUMBER($AD24)*($AD24&lt;&gt;0)=0,"",$M24/$AD24))</f>
        <v/>
      </c>
      <c r="AM24" s="37">
        <f>IF($C24="","",IF(ISNUMBER($AE24)*ISNUMBER($AI24)=0,"",IF($AI24&gt;$AE24+0.05,"rising",IF($AI24&lt;$AE24-0.05,"falling","stable"))))</f>
        <v/>
      </c>
      <c r="AN24" s="145">
        <f>IF($C24="","",IF(PULL_FUND="N","",IF(COUNTIFS('Fund History'!$G$80:$G$84,"&gt;="&amp;DATE(YEAR_Y-4,1,1),'Fund History'!$G$80:$G$84,"&lt;="&amp;DATE(YEAR_Y-4,12,31))=0,"",SUMIFS('Fund History'!$H$80:$H$84,'Fund History'!$G$80:$G$84,"&gt;="&amp;DATE(YEAR_Y-4,1,1),'Fund History'!$G$80:$G$84,"&lt;="&amp;DATE(YEAR_Y-4,12,31))/100)))</f>
        <v/>
      </c>
      <c r="AO24" s="146">
        <f>IF($C24="","",IF(PULL_FUND="N","",IF(COUNTIFS('Fund History'!$G$80:$G$84,"&gt;="&amp;DATE(YEAR_Y-3,1,1),'Fund History'!$G$80:$G$84,"&lt;="&amp;DATE(YEAR_Y-3,12,31))=0,"",SUMIFS('Fund History'!$H$80:$H$84,'Fund History'!$G$80:$G$84,"&gt;="&amp;DATE(YEAR_Y-3,1,1),'Fund History'!$G$80:$G$84,"&lt;="&amp;DATE(YEAR_Y-3,12,31))/100)))</f>
        <v/>
      </c>
      <c r="AP24" s="146">
        <f>IF($C24="","",IF(PULL_FUND="N","",IF(COUNTIFS('Fund History'!$G$80:$G$84,"&gt;="&amp;DATE(YEAR_Y-2,1,1),'Fund History'!$G$80:$G$84,"&lt;="&amp;DATE(YEAR_Y-2,12,31))=0,"",SUMIFS('Fund History'!$H$80:$H$84,'Fund History'!$G$80:$G$84,"&gt;="&amp;DATE(YEAR_Y-2,1,1),'Fund History'!$G$80:$G$84,"&lt;="&amp;DATE(YEAR_Y-2,12,31))/100)))</f>
        <v/>
      </c>
      <c r="AQ24" s="146">
        <f>IF($C24="","",IF(PULL_FUND="N","",IF(COUNTIFS('Fund History'!$G$80:$G$84,"&gt;="&amp;DATE(YEAR_Y-1,1,1),'Fund History'!$G$80:$G$84,"&lt;="&amp;DATE(YEAR_Y-1,12,31))=0,"",SUMIFS('Fund History'!$H$80:$H$84,'Fund History'!$G$80:$G$84,"&gt;="&amp;DATE(YEAR_Y-1,1,1),'Fund History'!$G$80:$G$84,"&lt;="&amp;DATE(YEAR_Y-1,12,31))/100)))</f>
        <v/>
      </c>
      <c r="AR24" s="147">
        <f>IF($C24="","",IF(N($AQ24)+N(HSI!$I$19)=0,"",N($AQ24)+N(HSI!$I$19)/100))</f>
        <v/>
      </c>
      <c r="AS24" s="139">
        <f>IF($C24="","",IF(PULL_FUND="N","",IF(COUNTIFS('Fund History'!$D$80:$D$84,"&gt;="&amp;DATE(YEAR_Y-2,1,1),'Fund History'!$D$80:$D$84,"&lt;="&amp;DATE(YEAR_Y-2,12,31))=0,"",SUMIFS('Fund History'!$E$80:$E$84,'Fund History'!$D$80:$D$84,"&gt;="&amp;DATE(YEAR_Y-2,1,1),'Fund History'!$D$80:$D$84,"&lt;="&amp;DATE(YEAR_Y-2,12,31)))))</f>
        <v/>
      </c>
      <c r="AT24" s="140">
        <f>IF($C24="","",IF(PULL_FUND="N","",IF(COUNTIFS('Fund History'!$D$80:$D$84,"&gt;="&amp;DATE(YEAR_Y-1,1,1),'Fund History'!$D$80:$D$84,"&lt;="&amp;DATE(YEAR_Y-1,12,31))=0,"",SUMIFS('Fund History'!$E$80:$E$84,'Fund History'!$D$80:$D$84,"&gt;="&amp;DATE(YEAR_Y-1,1,1),'Fund History'!$D$80:$D$84,"&lt;="&amp;DATE(YEAR_Y-1,12,31)))))</f>
        <v/>
      </c>
      <c r="AU24" s="140">
        <f>IF($C24="","",IF(PULL_FUND="N","",IFERROR(BDP($C24,NDEBITDA_FIELD),"")))</f>
        <v/>
      </c>
      <c r="AV24" s="148">
        <f>IF($C24="","",IF(PULL_FUND="N","",IFERROR(BDP($C24,EBINT_FIELD),"")))</f>
        <v/>
      </c>
      <c r="AW24" s="146">
        <f>IF($C24="","",IF(PULL_FUND="N","",IFERROR(BDP($C24,FCF_FIELD)/100,"")))</f>
        <v/>
      </c>
      <c r="AX24" s="126">
        <f>IF($C24="","",IF(N($U24)=0,"",IFERROR($AW24/$U24,"")))</f>
        <v/>
      </c>
      <c r="AY24" s="85">
        <f>IF($C24="","",TRIM(IF(ISNUMBER($AJ24)*(N($AJ24)&gt;$D$4)&gt;0,"payout high  ","")&amp;IF(ISNUMBER($AX24)*(N($AX24)&lt;$F$4)&gt;0,"FCF below dvd  ","")&amp;IF(ISNUMBER($AU24)*(N($AU24)&gt;$H$4)&gt;0,"leverage high","")))</f>
        <v/>
      </c>
      <c r="AZ24" s="86">
        <f>IF($C24="","",IF(HSI!$F$19="HKD","",HSI!$F$19))</f>
        <v/>
      </c>
    </row>
    <row r="25">
      <c r="B25" s="66" t="inlineStr">
        <is>
          <t>HSI</t>
        </is>
      </c>
      <c r="C25" s="8">
        <f>IF(HSI!$C$20="","",HSI!$C$20)</f>
        <v/>
      </c>
      <c r="D25" s="8">
        <f>IF($C25="","",HSI!$D$20)</f>
        <v/>
      </c>
      <c r="E25" s="8">
        <f>IF($C25="","",HSI!$E$20)</f>
        <v/>
      </c>
      <c r="F25" s="131">
        <f>IF($C25="","",SUMPRODUCT(('Dvd Calendar'!$E$154:$AR$154&gt;=DATE(YEAR_Y-5,1,1))*('Dvd Calendar'!$E$154:$AR$154&lt;=DATE(YEAR_Y-5,12,31))*'Dvd Calendar'!$E$157:$AR$157*(('Dvd Calendar'!$E$159:$AR$159=TYPE1)*(TYPE1&lt;&gt;"")+('Dvd Calendar'!$E$159:$AR$159=TYPE2)*(TYPE2&lt;&gt;"")+('Dvd Calendar'!$E$159:$AR$159=TYPE3)*(TYPE3&lt;&gt;"")+('Dvd Calendar'!$E$159:$AR$159=TYPE4)*(TYPE4&lt;&gt;"")+('Dvd Calendar'!$E$159:$AR$159=SPECIAL_LBL)*(INC_SPECIALS="Y"))))</f>
        <v/>
      </c>
      <c r="G25" s="132">
        <f>IF($C25="","",SUMPRODUCT(('Dvd Calendar'!$E$154:$AR$154&gt;=DATE(YEAR_Y-4,1,1))*('Dvd Calendar'!$E$154:$AR$154&lt;=DATE(YEAR_Y-4,12,31))*'Dvd Calendar'!$E$157:$AR$157*(('Dvd Calendar'!$E$159:$AR$159=TYPE1)*(TYPE1&lt;&gt;"")+('Dvd Calendar'!$E$159:$AR$159=TYPE2)*(TYPE2&lt;&gt;"")+('Dvd Calendar'!$E$159:$AR$159=TYPE3)*(TYPE3&lt;&gt;"")+('Dvd Calendar'!$E$159:$AR$159=TYPE4)*(TYPE4&lt;&gt;"")+('Dvd Calendar'!$E$159:$AR$159=SPECIAL_LBL)*(INC_SPECIALS="Y"))))</f>
        <v/>
      </c>
      <c r="H25" s="132">
        <f>IF($C25="","",SUMPRODUCT(('Dvd Calendar'!$E$154:$AR$154&gt;=DATE(YEAR_Y-3,1,1))*('Dvd Calendar'!$E$154:$AR$154&lt;=DATE(YEAR_Y-3,12,31))*'Dvd Calendar'!$E$157:$AR$157*(('Dvd Calendar'!$E$159:$AR$159=TYPE1)*(TYPE1&lt;&gt;"")+('Dvd Calendar'!$E$159:$AR$159=TYPE2)*(TYPE2&lt;&gt;"")+('Dvd Calendar'!$E$159:$AR$159=TYPE3)*(TYPE3&lt;&gt;"")+('Dvd Calendar'!$E$159:$AR$159=TYPE4)*(TYPE4&lt;&gt;"")+('Dvd Calendar'!$E$159:$AR$159=SPECIAL_LBL)*(INC_SPECIALS="Y"))))</f>
        <v/>
      </c>
      <c r="I25" s="132">
        <f>IF($C25="","",SUMPRODUCT(('Dvd Calendar'!$E$154:$AR$154&gt;=DATE(YEAR_Y-2,1,1))*('Dvd Calendar'!$E$154:$AR$154&lt;=DATE(YEAR_Y-2,12,31))*'Dvd Calendar'!$E$157:$AR$157*(('Dvd Calendar'!$E$159:$AR$159=TYPE1)*(TYPE1&lt;&gt;"")+('Dvd Calendar'!$E$159:$AR$159=TYPE2)*(TYPE2&lt;&gt;"")+('Dvd Calendar'!$E$159:$AR$159=TYPE3)*(TYPE3&lt;&gt;"")+('Dvd Calendar'!$E$159:$AR$159=TYPE4)*(TYPE4&lt;&gt;"")+('Dvd Calendar'!$E$159:$AR$159=SPECIAL_LBL)*(INC_SPECIALS="Y"))))</f>
        <v/>
      </c>
      <c r="J25" s="132">
        <f>IF($C25="","",SUMPRODUCT(('Dvd Calendar'!$E$154:$AR$154&gt;=DATE(YEAR_Y-1,1,1))*('Dvd Calendar'!$E$154:$AR$154&lt;=DATE(YEAR_Y-1,12,31))*'Dvd Calendar'!$E$157:$AR$157*(('Dvd Calendar'!$E$159:$AR$159=TYPE1)*(TYPE1&lt;&gt;"")+('Dvd Calendar'!$E$159:$AR$159=TYPE2)*(TYPE2&lt;&gt;"")+('Dvd Calendar'!$E$159:$AR$159=TYPE3)*(TYPE3&lt;&gt;"")+('Dvd Calendar'!$E$159:$AR$159=TYPE4)*(TYPE4&lt;&gt;"")+('Dvd Calendar'!$E$159:$AR$159=SPECIAL_LBL)*(INC_SPECIALS="Y"))))</f>
        <v/>
      </c>
      <c r="K25" s="133">
        <f>IF($C25="","",HSI!$J$20)</f>
        <v/>
      </c>
      <c r="L25" s="133">
        <f>IF($C25="","",HSI!$K$20)</f>
        <v/>
      </c>
      <c r="M25" s="124">
        <f>IF($C25="","",HSI!$J$20+HSI!$L$20)</f>
        <v/>
      </c>
      <c r="N25" s="134">
        <f>IF($C25="","",IF(PULL_FUND="N","",IFERROR(BDP($C25,BESTDPS_FIELD,FWD_OVERRIDE,TEXT(MOD(YEAR_Y,100),"00")&amp;"Y"),"")))</f>
        <v/>
      </c>
      <c r="O25" s="133">
        <f>IF($C25="","",AVERAGE(F25:J25))</f>
        <v/>
      </c>
      <c r="P25" s="135">
        <f>IF($C25="","",IF(PULL_FUND="N","",IF(COUNTIFS('Fund History'!$J$86:$J$90,"&gt;="&amp;DATE(YEAR_Y-5,1,1),'Fund History'!$J$86:$J$90,"&lt;="&amp;DATE(YEAR_Y-5,12,31))=0,"",IFERROR($F25*HSI!$G$20/SUMIFS('Fund History'!$K$86:$K$90,'Fund History'!$J$86:$J$90,"&gt;="&amp;DATE(YEAR_Y-5,1,1),'Fund History'!$J$86:$J$90,"&lt;="&amp;DATE(YEAR_Y-5,12,31)),""))))</f>
        <v/>
      </c>
      <c r="Q25" s="136">
        <f>IF($C25="","",IF(PULL_FUND="N","",IF(COUNTIFS('Fund History'!$J$86:$J$90,"&gt;="&amp;DATE(YEAR_Y-4,1,1),'Fund History'!$J$86:$J$90,"&lt;="&amp;DATE(YEAR_Y-4,12,31))=0,"",IFERROR($G25*HSI!$G$20/SUMIFS('Fund History'!$K$86:$K$90,'Fund History'!$J$86:$J$90,"&gt;="&amp;DATE(YEAR_Y-4,1,1),'Fund History'!$J$86:$J$90,"&lt;="&amp;DATE(YEAR_Y-4,12,31)),""))))</f>
        <v/>
      </c>
      <c r="R25" s="136">
        <f>IF($C25="","",IF(PULL_FUND="N","",IF(COUNTIFS('Fund History'!$J$86:$J$90,"&gt;="&amp;DATE(YEAR_Y-3,1,1),'Fund History'!$J$86:$J$90,"&lt;="&amp;DATE(YEAR_Y-3,12,31))=0,"",IFERROR($H25*HSI!$G$20/SUMIFS('Fund History'!$K$86:$K$90,'Fund History'!$J$86:$J$90,"&gt;="&amp;DATE(YEAR_Y-3,1,1),'Fund History'!$J$86:$J$90,"&lt;="&amp;DATE(YEAR_Y-3,12,31)),""))))</f>
        <v/>
      </c>
      <c r="S25" s="136">
        <f>IF($C25="","",IF(PULL_FUND="N","",IF(COUNTIFS('Fund History'!$J$86:$J$90,"&gt;="&amp;DATE(YEAR_Y-2,1,1),'Fund History'!$J$86:$J$90,"&lt;="&amp;DATE(YEAR_Y-2,12,31))=0,"",IFERROR($I25*HSI!$G$20/SUMIFS('Fund History'!$K$86:$K$90,'Fund History'!$J$86:$J$90,"&gt;="&amp;DATE(YEAR_Y-2,1,1),'Fund History'!$J$86:$J$90,"&lt;="&amp;DATE(YEAR_Y-2,12,31)),""))))</f>
        <v/>
      </c>
      <c r="T25" s="136">
        <f>IF($C25="","",IF(PULL_FUND="N","",IF(COUNTIFS('Fund History'!$J$86:$J$90,"&gt;="&amp;DATE(YEAR_Y-1,1,1),'Fund History'!$J$86:$J$90,"&lt;="&amp;DATE(YEAR_Y-1,12,31))=0,"",IFERROR($J25*HSI!$G$20/SUMIFS('Fund History'!$K$86:$K$90,'Fund History'!$J$86:$J$90,"&gt;="&amp;DATE(YEAR_Y-1,1,1),'Fund History'!$J$86:$J$90,"&lt;="&amp;DATE(YEAR_Y-1,12,31)),""))))</f>
        <v/>
      </c>
      <c r="U25" s="137">
        <f>IF($C25="","",IF(ISNUMBER(HSI!$I$20),HSI!$I$20/100,""))</f>
        <v/>
      </c>
      <c r="V25" s="138">
        <f>IF($C25="","",IF(ISNUMBER(HSI!$X$20),IFERROR($M25*HSI!$G$20/HSI!$X$20,""),""))</f>
        <v/>
      </c>
      <c r="W25" s="137">
        <f>IF($C25="","",IF(ISNUMBER($N25),IFERROR($N25*HSI!$G$20/HSI!$X$20,""),""))</f>
        <v/>
      </c>
      <c r="X25" s="139">
        <f>IF($C25="","",IF(PULL_FUND="N","",IFERROR(BDP($C25,EPS_FIELD,YR_OVERRIDE,TEXT(YEAR_Y-5,"0")),"")))</f>
        <v/>
      </c>
      <c r="Y25" s="140">
        <f>IF($C25="","",IF(PULL_FUND="N","",IFERROR(BDP($C25,EPS_FIELD,YR_OVERRIDE,TEXT(YEAR_Y-4,"0")),"")))</f>
        <v/>
      </c>
      <c r="Z25" s="140">
        <f>IF($C25="","",IF(PULL_FUND="N","",IFERROR(BDP($C25,EPS_FIELD,YR_OVERRIDE,TEXT(YEAR_Y-3,"0")),"")))</f>
        <v/>
      </c>
      <c r="AA25" s="140">
        <f>IF($C25="","",IF(PULL_FUND="N","",IFERROR(BDP($C25,EPS_FIELD,YR_OVERRIDE,TEXT(YEAR_Y-2,"0")),"")))</f>
        <v/>
      </c>
      <c r="AB25" s="140">
        <f>IF($C25="","",IF(PULL_FUND="N","",IFERROR(BDP($C25,EPS_FIELD,YR_OVERRIDE,TEXT(YEAR_Y-1,"0")),"")))</f>
        <v/>
      </c>
      <c r="AC25" s="126">
        <f>IF($C25="","",IFERROR(AVERAGE(X25:AB25),""))</f>
        <v/>
      </c>
      <c r="AD25" s="140">
        <f>IF($C25="","",IF(PULL_FUND="N","",IFERROR(BDP($C25,BESTEPS_FIELD,FWD_OVERRIDE,TEXT(MOD(YEAR_Y,100),"00")&amp;"Y"),"")))</f>
        <v/>
      </c>
      <c r="AE25" s="141">
        <f>IF($C25="","",IF(PULL_FUND="N","",IFERROR(BDP($C25,PAYOUT_FIELD,YR_OVERRIDE,TEXT(YEAR_Y-5,"0"))/100,"")))</f>
        <v/>
      </c>
      <c r="AF25" s="142">
        <f>IF($C25="","",IF(PULL_FUND="N","",IFERROR(BDP($C25,PAYOUT_FIELD,YR_OVERRIDE,TEXT(YEAR_Y-4,"0"))/100,"")))</f>
        <v/>
      </c>
      <c r="AG25" s="142">
        <f>IF($C25="","",IF(PULL_FUND="N","",IFERROR(BDP($C25,PAYOUT_FIELD,YR_OVERRIDE,TEXT(YEAR_Y-3,"0"))/100,"")))</f>
        <v/>
      </c>
      <c r="AH25" s="142">
        <f>IF($C25="","",IF(PULL_FUND="N","",IFERROR(BDP($C25,PAYOUT_FIELD,YR_OVERRIDE,TEXT(YEAR_Y-2,"0"))/100,"")))</f>
        <v/>
      </c>
      <c r="AI25" s="142">
        <f>IF($C25="","",IF(PULL_FUND="N","",IFERROR(BDP($C25,PAYOUT_FIELD,YR_OVERRIDE,TEXT(YEAR_Y-1,"0"))/100,"")))</f>
        <v/>
      </c>
      <c r="AJ25" s="143">
        <f>IF($C25="","",IFERROR(AVERAGE(AE25:AI25),""))</f>
        <v/>
      </c>
      <c r="AK25" s="144">
        <f>IF($C25="","",IF(ISNUMBER($AD25)*ISNUMBER($N25)*($AD25&lt;&gt;0)=0,"",$N25/$AD25))</f>
        <v/>
      </c>
      <c r="AL25" s="143">
        <f>IF($C25="","",IF(ISNUMBER($AD25)*($AD25&lt;&gt;0)=0,"",$M25/$AD25))</f>
        <v/>
      </c>
      <c r="AM25" s="37">
        <f>IF($C25="","",IF(ISNUMBER($AE25)*ISNUMBER($AI25)=0,"",IF($AI25&gt;$AE25+0.05,"rising",IF($AI25&lt;$AE25-0.05,"falling","stable"))))</f>
        <v/>
      </c>
      <c r="AN25" s="145">
        <f>IF($C25="","",IF(PULL_FUND="N","",IF(COUNTIFS('Fund History'!$G$86:$G$90,"&gt;="&amp;DATE(YEAR_Y-4,1,1),'Fund History'!$G$86:$G$90,"&lt;="&amp;DATE(YEAR_Y-4,12,31))=0,"",SUMIFS('Fund History'!$H$86:$H$90,'Fund History'!$G$86:$G$90,"&gt;="&amp;DATE(YEAR_Y-4,1,1),'Fund History'!$G$86:$G$90,"&lt;="&amp;DATE(YEAR_Y-4,12,31))/100)))</f>
        <v/>
      </c>
      <c r="AO25" s="146">
        <f>IF($C25="","",IF(PULL_FUND="N","",IF(COUNTIFS('Fund History'!$G$86:$G$90,"&gt;="&amp;DATE(YEAR_Y-3,1,1),'Fund History'!$G$86:$G$90,"&lt;="&amp;DATE(YEAR_Y-3,12,31))=0,"",SUMIFS('Fund History'!$H$86:$H$90,'Fund History'!$G$86:$G$90,"&gt;="&amp;DATE(YEAR_Y-3,1,1),'Fund History'!$G$86:$G$90,"&lt;="&amp;DATE(YEAR_Y-3,12,31))/100)))</f>
        <v/>
      </c>
      <c r="AP25" s="146">
        <f>IF($C25="","",IF(PULL_FUND="N","",IF(COUNTIFS('Fund History'!$G$86:$G$90,"&gt;="&amp;DATE(YEAR_Y-2,1,1),'Fund History'!$G$86:$G$90,"&lt;="&amp;DATE(YEAR_Y-2,12,31))=0,"",SUMIFS('Fund History'!$H$86:$H$90,'Fund History'!$G$86:$G$90,"&gt;="&amp;DATE(YEAR_Y-2,1,1),'Fund History'!$G$86:$G$90,"&lt;="&amp;DATE(YEAR_Y-2,12,31))/100)))</f>
        <v/>
      </c>
      <c r="AQ25" s="146">
        <f>IF($C25="","",IF(PULL_FUND="N","",IF(COUNTIFS('Fund History'!$G$86:$G$90,"&gt;="&amp;DATE(YEAR_Y-1,1,1),'Fund History'!$G$86:$G$90,"&lt;="&amp;DATE(YEAR_Y-1,12,31))=0,"",SUMIFS('Fund History'!$H$86:$H$90,'Fund History'!$G$86:$G$90,"&gt;="&amp;DATE(YEAR_Y-1,1,1),'Fund History'!$G$86:$G$90,"&lt;="&amp;DATE(YEAR_Y-1,12,31))/100)))</f>
        <v/>
      </c>
      <c r="AR25" s="147">
        <f>IF($C25="","",IF(N($AQ25)+N(HSI!$I$20)=0,"",N($AQ25)+N(HSI!$I$20)/100))</f>
        <v/>
      </c>
      <c r="AS25" s="139">
        <f>IF($C25="","",IF(PULL_FUND="N","",IF(COUNTIFS('Fund History'!$D$86:$D$90,"&gt;="&amp;DATE(YEAR_Y-2,1,1),'Fund History'!$D$86:$D$90,"&lt;="&amp;DATE(YEAR_Y-2,12,31))=0,"",SUMIFS('Fund History'!$E$86:$E$90,'Fund History'!$D$86:$D$90,"&gt;="&amp;DATE(YEAR_Y-2,1,1),'Fund History'!$D$86:$D$90,"&lt;="&amp;DATE(YEAR_Y-2,12,31)))))</f>
        <v/>
      </c>
      <c r="AT25" s="140">
        <f>IF($C25="","",IF(PULL_FUND="N","",IF(COUNTIFS('Fund History'!$D$86:$D$90,"&gt;="&amp;DATE(YEAR_Y-1,1,1),'Fund History'!$D$86:$D$90,"&lt;="&amp;DATE(YEAR_Y-1,12,31))=0,"",SUMIFS('Fund History'!$E$86:$E$90,'Fund History'!$D$86:$D$90,"&gt;="&amp;DATE(YEAR_Y-1,1,1),'Fund History'!$D$86:$D$90,"&lt;="&amp;DATE(YEAR_Y-1,12,31)))))</f>
        <v/>
      </c>
      <c r="AU25" s="140">
        <f>IF($C25="","",IF(PULL_FUND="N","",IFERROR(BDP($C25,NDEBITDA_FIELD),"")))</f>
        <v/>
      </c>
      <c r="AV25" s="148">
        <f>IF($C25="","",IF(PULL_FUND="N","",IFERROR(BDP($C25,EBINT_FIELD),"")))</f>
        <v/>
      </c>
      <c r="AW25" s="146">
        <f>IF($C25="","",IF(PULL_FUND="N","",IFERROR(BDP($C25,FCF_FIELD)/100,"")))</f>
        <v/>
      </c>
      <c r="AX25" s="126">
        <f>IF($C25="","",IF(N($U25)=0,"",IFERROR($AW25/$U25,"")))</f>
        <v/>
      </c>
      <c r="AY25" s="85">
        <f>IF($C25="","",TRIM(IF(ISNUMBER($AJ25)*(N($AJ25)&gt;$D$4)&gt;0,"payout high  ","")&amp;IF(ISNUMBER($AX25)*(N($AX25)&lt;$F$4)&gt;0,"FCF below dvd  ","")&amp;IF(ISNUMBER($AU25)*(N($AU25)&gt;$H$4)&gt;0,"leverage high","")))</f>
        <v/>
      </c>
      <c r="AZ25" s="86">
        <f>IF($C25="","",IF(HSI!$F$20="HKD","",HSI!$F$20))</f>
        <v/>
      </c>
    </row>
    <row r="26">
      <c r="B26" s="66" t="inlineStr">
        <is>
          <t>HSI</t>
        </is>
      </c>
      <c r="C26" s="8">
        <f>IF(HSI!$C$21="","",HSI!$C$21)</f>
        <v/>
      </c>
      <c r="D26" s="8">
        <f>IF($C26="","",HSI!$D$21)</f>
        <v/>
      </c>
      <c r="E26" s="8">
        <f>IF($C26="","",HSI!$E$21)</f>
        <v/>
      </c>
      <c r="F26" s="131">
        <f>IF($C26="","",SUMPRODUCT(('Dvd Calendar'!$E$165:$AR$165&gt;=DATE(YEAR_Y-5,1,1))*('Dvd Calendar'!$E$165:$AR$165&lt;=DATE(YEAR_Y-5,12,31))*'Dvd Calendar'!$E$168:$AR$168*(('Dvd Calendar'!$E$170:$AR$170=TYPE1)*(TYPE1&lt;&gt;"")+('Dvd Calendar'!$E$170:$AR$170=TYPE2)*(TYPE2&lt;&gt;"")+('Dvd Calendar'!$E$170:$AR$170=TYPE3)*(TYPE3&lt;&gt;"")+('Dvd Calendar'!$E$170:$AR$170=TYPE4)*(TYPE4&lt;&gt;"")+('Dvd Calendar'!$E$170:$AR$170=SPECIAL_LBL)*(INC_SPECIALS="Y"))))</f>
        <v/>
      </c>
      <c r="G26" s="132">
        <f>IF($C26="","",SUMPRODUCT(('Dvd Calendar'!$E$165:$AR$165&gt;=DATE(YEAR_Y-4,1,1))*('Dvd Calendar'!$E$165:$AR$165&lt;=DATE(YEAR_Y-4,12,31))*'Dvd Calendar'!$E$168:$AR$168*(('Dvd Calendar'!$E$170:$AR$170=TYPE1)*(TYPE1&lt;&gt;"")+('Dvd Calendar'!$E$170:$AR$170=TYPE2)*(TYPE2&lt;&gt;"")+('Dvd Calendar'!$E$170:$AR$170=TYPE3)*(TYPE3&lt;&gt;"")+('Dvd Calendar'!$E$170:$AR$170=TYPE4)*(TYPE4&lt;&gt;"")+('Dvd Calendar'!$E$170:$AR$170=SPECIAL_LBL)*(INC_SPECIALS="Y"))))</f>
        <v/>
      </c>
      <c r="H26" s="132">
        <f>IF($C26="","",SUMPRODUCT(('Dvd Calendar'!$E$165:$AR$165&gt;=DATE(YEAR_Y-3,1,1))*('Dvd Calendar'!$E$165:$AR$165&lt;=DATE(YEAR_Y-3,12,31))*'Dvd Calendar'!$E$168:$AR$168*(('Dvd Calendar'!$E$170:$AR$170=TYPE1)*(TYPE1&lt;&gt;"")+('Dvd Calendar'!$E$170:$AR$170=TYPE2)*(TYPE2&lt;&gt;"")+('Dvd Calendar'!$E$170:$AR$170=TYPE3)*(TYPE3&lt;&gt;"")+('Dvd Calendar'!$E$170:$AR$170=TYPE4)*(TYPE4&lt;&gt;"")+('Dvd Calendar'!$E$170:$AR$170=SPECIAL_LBL)*(INC_SPECIALS="Y"))))</f>
        <v/>
      </c>
      <c r="I26" s="132">
        <f>IF($C26="","",SUMPRODUCT(('Dvd Calendar'!$E$165:$AR$165&gt;=DATE(YEAR_Y-2,1,1))*('Dvd Calendar'!$E$165:$AR$165&lt;=DATE(YEAR_Y-2,12,31))*'Dvd Calendar'!$E$168:$AR$168*(('Dvd Calendar'!$E$170:$AR$170=TYPE1)*(TYPE1&lt;&gt;"")+('Dvd Calendar'!$E$170:$AR$170=TYPE2)*(TYPE2&lt;&gt;"")+('Dvd Calendar'!$E$170:$AR$170=TYPE3)*(TYPE3&lt;&gt;"")+('Dvd Calendar'!$E$170:$AR$170=TYPE4)*(TYPE4&lt;&gt;"")+('Dvd Calendar'!$E$170:$AR$170=SPECIAL_LBL)*(INC_SPECIALS="Y"))))</f>
        <v/>
      </c>
      <c r="J26" s="132">
        <f>IF($C26="","",SUMPRODUCT(('Dvd Calendar'!$E$165:$AR$165&gt;=DATE(YEAR_Y-1,1,1))*('Dvd Calendar'!$E$165:$AR$165&lt;=DATE(YEAR_Y-1,12,31))*'Dvd Calendar'!$E$168:$AR$168*(('Dvd Calendar'!$E$170:$AR$170=TYPE1)*(TYPE1&lt;&gt;"")+('Dvd Calendar'!$E$170:$AR$170=TYPE2)*(TYPE2&lt;&gt;"")+('Dvd Calendar'!$E$170:$AR$170=TYPE3)*(TYPE3&lt;&gt;"")+('Dvd Calendar'!$E$170:$AR$170=TYPE4)*(TYPE4&lt;&gt;"")+('Dvd Calendar'!$E$170:$AR$170=SPECIAL_LBL)*(INC_SPECIALS="Y"))))</f>
        <v/>
      </c>
      <c r="K26" s="133">
        <f>IF($C26="","",HSI!$J$21)</f>
        <v/>
      </c>
      <c r="L26" s="133">
        <f>IF($C26="","",HSI!$K$21)</f>
        <v/>
      </c>
      <c r="M26" s="124">
        <f>IF($C26="","",HSI!$J$21+HSI!$L$21)</f>
        <v/>
      </c>
      <c r="N26" s="134">
        <f>IF($C26="","",IF(PULL_FUND="N","",IFERROR(BDP($C26,BESTDPS_FIELD,FWD_OVERRIDE,TEXT(MOD(YEAR_Y,100),"00")&amp;"Y"),"")))</f>
        <v/>
      </c>
      <c r="O26" s="133">
        <f>IF($C26="","",AVERAGE(F26:J26))</f>
        <v/>
      </c>
      <c r="P26" s="135">
        <f>IF($C26="","",IF(PULL_FUND="N","",IF(COUNTIFS('Fund History'!$J$92:$J$96,"&gt;="&amp;DATE(YEAR_Y-5,1,1),'Fund History'!$J$92:$J$96,"&lt;="&amp;DATE(YEAR_Y-5,12,31))=0,"",IFERROR($F26*HSI!$G$21/SUMIFS('Fund History'!$K$92:$K$96,'Fund History'!$J$92:$J$96,"&gt;="&amp;DATE(YEAR_Y-5,1,1),'Fund History'!$J$92:$J$96,"&lt;="&amp;DATE(YEAR_Y-5,12,31)),""))))</f>
        <v/>
      </c>
      <c r="Q26" s="136">
        <f>IF($C26="","",IF(PULL_FUND="N","",IF(COUNTIFS('Fund History'!$J$92:$J$96,"&gt;="&amp;DATE(YEAR_Y-4,1,1),'Fund History'!$J$92:$J$96,"&lt;="&amp;DATE(YEAR_Y-4,12,31))=0,"",IFERROR($G26*HSI!$G$21/SUMIFS('Fund History'!$K$92:$K$96,'Fund History'!$J$92:$J$96,"&gt;="&amp;DATE(YEAR_Y-4,1,1),'Fund History'!$J$92:$J$96,"&lt;="&amp;DATE(YEAR_Y-4,12,31)),""))))</f>
        <v/>
      </c>
      <c r="R26" s="136">
        <f>IF($C26="","",IF(PULL_FUND="N","",IF(COUNTIFS('Fund History'!$J$92:$J$96,"&gt;="&amp;DATE(YEAR_Y-3,1,1),'Fund History'!$J$92:$J$96,"&lt;="&amp;DATE(YEAR_Y-3,12,31))=0,"",IFERROR($H26*HSI!$G$21/SUMIFS('Fund History'!$K$92:$K$96,'Fund History'!$J$92:$J$96,"&gt;="&amp;DATE(YEAR_Y-3,1,1),'Fund History'!$J$92:$J$96,"&lt;="&amp;DATE(YEAR_Y-3,12,31)),""))))</f>
        <v/>
      </c>
      <c r="S26" s="136">
        <f>IF($C26="","",IF(PULL_FUND="N","",IF(COUNTIFS('Fund History'!$J$92:$J$96,"&gt;="&amp;DATE(YEAR_Y-2,1,1),'Fund History'!$J$92:$J$96,"&lt;="&amp;DATE(YEAR_Y-2,12,31))=0,"",IFERROR($I26*HSI!$G$21/SUMIFS('Fund History'!$K$92:$K$96,'Fund History'!$J$92:$J$96,"&gt;="&amp;DATE(YEAR_Y-2,1,1),'Fund History'!$J$92:$J$96,"&lt;="&amp;DATE(YEAR_Y-2,12,31)),""))))</f>
        <v/>
      </c>
      <c r="T26" s="136">
        <f>IF($C26="","",IF(PULL_FUND="N","",IF(COUNTIFS('Fund History'!$J$92:$J$96,"&gt;="&amp;DATE(YEAR_Y-1,1,1),'Fund History'!$J$92:$J$96,"&lt;="&amp;DATE(YEAR_Y-1,12,31))=0,"",IFERROR($J26*HSI!$G$21/SUMIFS('Fund History'!$K$92:$K$96,'Fund History'!$J$92:$J$96,"&gt;="&amp;DATE(YEAR_Y-1,1,1),'Fund History'!$J$92:$J$96,"&lt;="&amp;DATE(YEAR_Y-1,12,31)),""))))</f>
        <v/>
      </c>
      <c r="U26" s="137">
        <f>IF($C26="","",IF(ISNUMBER(HSI!$I$21),HSI!$I$21/100,""))</f>
        <v/>
      </c>
      <c r="V26" s="138">
        <f>IF($C26="","",IF(ISNUMBER(HSI!$X$21),IFERROR($M26*HSI!$G$21/HSI!$X$21,""),""))</f>
        <v/>
      </c>
      <c r="W26" s="137">
        <f>IF($C26="","",IF(ISNUMBER($N26),IFERROR($N26*HSI!$G$21/HSI!$X$21,""),""))</f>
        <v/>
      </c>
      <c r="X26" s="139">
        <f>IF($C26="","",IF(PULL_FUND="N","",IFERROR(BDP($C26,EPS_FIELD,YR_OVERRIDE,TEXT(YEAR_Y-5,"0")),"")))</f>
        <v/>
      </c>
      <c r="Y26" s="140">
        <f>IF($C26="","",IF(PULL_FUND="N","",IFERROR(BDP($C26,EPS_FIELD,YR_OVERRIDE,TEXT(YEAR_Y-4,"0")),"")))</f>
        <v/>
      </c>
      <c r="Z26" s="140">
        <f>IF($C26="","",IF(PULL_FUND="N","",IFERROR(BDP($C26,EPS_FIELD,YR_OVERRIDE,TEXT(YEAR_Y-3,"0")),"")))</f>
        <v/>
      </c>
      <c r="AA26" s="140">
        <f>IF($C26="","",IF(PULL_FUND="N","",IFERROR(BDP($C26,EPS_FIELD,YR_OVERRIDE,TEXT(YEAR_Y-2,"0")),"")))</f>
        <v/>
      </c>
      <c r="AB26" s="140">
        <f>IF($C26="","",IF(PULL_FUND="N","",IFERROR(BDP($C26,EPS_FIELD,YR_OVERRIDE,TEXT(YEAR_Y-1,"0")),"")))</f>
        <v/>
      </c>
      <c r="AC26" s="126">
        <f>IF($C26="","",IFERROR(AVERAGE(X26:AB26),""))</f>
        <v/>
      </c>
      <c r="AD26" s="140">
        <f>IF($C26="","",IF(PULL_FUND="N","",IFERROR(BDP($C26,BESTEPS_FIELD,FWD_OVERRIDE,TEXT(MOD(YEAR_Y,100),"00")&amp;"Y"),"")))</f>
        <v/>
      </c>
      <c r="AE26" s="141">
        <f>IF($C26="","",IF(PULL_FUND="N","",IFERROR(BDP($C26,PAYOUT_FIELD,YR_OVERRIDE,TEXT(YEAR_Y-5,"0"))/100,"")))</f>
        <v/>
      </c>
      <c r="AF26" s="142">
        <f>IF($C26="","",IF(PULL_FUND="N","",IFERROR(BDP($C26,PAYOUT_FIELD,YR_OVERRIDE,TEXT(YEAR_Y-4,"0"))/100,"")))</f>
        <v/>
      </c>
      <c r="AG26" s="142">
        <f>IF($C26="","",IF(PULL_FUND="N","",IFERROR(BDP($C26,PAYOUT_FIELD,YR_OVERRIDE,TEXT(YEAR_Y-3,"0"))/100,"")))</f>
        <v/>
      </c>
      <c r="AH26" s="142">
        <f>IF($C26="","",IF(PULL_FUND="N","",IFERROR(BDP($C26,PAYOUT_FIELD,YR_OVERRIDE,TEXT(YEAR_Y-2,"0"))/100,"")))</f>
        <v/>
      </c>
      <c r="AI26" s="142">
        <f>IF($C26="","",IF(PULL_FUND="N","",IFERROR(BDP($C26,PAYOUT_FIELD,YR_OVERRIDE,TEXT(YEAR_Y-1,"0"))/100,"")))</f>
        <v/>
      </c>
      <c r="AJ26" s="143">
        <f>IF($C26="","",IFERROR(AVERAGE(AE26:AI26),""))</f>
        <v/>
      </c>
      <c r="AK26" s="144">
        <f>IF($C26="","",IF(ISNUMBER($AD26)*ISNUMBER($N26)*($AD26&lt;&gt;0)=0,"",$N26/$AD26))</f>
        <v/>
      </c>
      <c r="AL26" s="143">
        <f>IF($C26="","",IF(ISNUMBER($AD26)*($AD26&lt;&gt;0)=0,"",$M26/$AD26))</f>
        <v/>
      </c>
      <c r="AM26" s="37">
        <f>IF($C26="","",IF(ISNUMBER($AE26)*ISNUMBER($AI26)=0,"",IF($AI26&gt;$AE26+0.05,"rising",IF($AI26&lt;$AE26-0.05,"falling","stable"))))</f>
        <v/>
      </c>
      <c r="AN26" s="145">
        <f>IF($C26="","",IF(PULL_FUND="N","",IF(COUNTIFS('Fund History'!$G$92:$G$96,"&gt;="&amp;DATE(YEAR_Y-4,1,1),'Fund History'!$G$92:$G$96,"&lt;="&amp;DATE(YEAR_Y-4,12,31))=0,"",SUMIFS('Fund History'!$H$92:$H$96,'Fund History'!$G$92:$G$96,"&gt;="&amp;DATE(YEAR_Y-4,1,1),'Fund History'!$G$92:$G$96,"&lt;="&amp;DATE(YEAR_Y-4,12,31))/100)))</f>
        <v/>
      </c>
      <c r="AO26" s="146">
        <f>IF($C26="","",IF(PULL_FUND="N","",IF(COUNTIFS('Fund History'!$G$92:$G$96,"&gt;="&amp;DATE(YEAR_Y-3,1,1),'Fund History'!$G$92:$G$96,"&lt;="&amp;DATE(YEAR_Y-3,12,31))=0,"",SUMIFS('Fund History'!$H$92:$H$96,'Fund History'!$G$92:$G$96,"&gt;="&amp;DATE(YEAR_Y-3,1,1),'Fund History'!$G$92:$G$96,"&lt;="&amp;DATE(YEAR_Y-3,12,31))/100)))</f>
        <v/>
      </c>
      <c r="AP26" s="146">
        <f>IF($C26="","",IF(PULL_FUND="N","",IF(COUNTIFS('Fund History'!$G$92:$G$96,"&gt;="&amp;DATE(YEAR_Y-2,1,1),'Fund History'!$G$92:$G$96,"&lt;="&amp;DATE(YEAR_Y-2,12,31))=0,"",SUMIFS('Fund History'!$H$92:$H$96,'Fund History'!$G$92:$G$96,"&gt;="&amp;DATE(YEAR_Y-2,1,1),'Fund History'!$G$92:$G$96,"&lt;="&amp;DATE(YEAR_Y-2,12,31))/100)))</f>
        <v/>
      </c>
      <c r="AQ26" s="146">
        <f>IF($C26="","",IF(PULL_FUND="N","",IF(COUNTIFS('Fund History'!$G$92:$G$96,"&gt;="&amp;DATE(YEAR_Y-1,1,1),'Fund History'!$G$92:$G$96,"&lt;="&amp;DATE(YEAR_Y-1,12,31))=0,"",SUMIFS('Fund History'!$H$92:$H$96,'Fund History'!$G$92:$G$96,"&gt;="&amp;DATE(YEAR_Y-1,1,1),'Fund History'!$G$92:$G$96,"&lt;="&amp;DATE(YEAR_Y-1,12,31))/100)))</f>
        <v/>
      </c>
      <c r="AR26" s="147">
        <f>IF($C26="","",IF(N($AQ26)+N(HSI!$I$21)=0,"",N($AQ26)+N(HSI!$I$21)/100))</f>
        <v/>
      </c>
      <c r="AS26" s="139">
        <f>IF($C26="","",IF(PULL_FUND="N","",IF(COUNTIFS('Fund History'!$D$92:$D$96,"&gt;="&amp;DATE(YEAR_Y-2,1,1),'Fund History'!$D$92:$D$96,"&lt;="&amp;DATE(YEAR_Y-2,12,31))=0,"",SUMIFS('Fund History'!$E$92:$E$96,'Fund History'!$D$92:$D$96,"&gt;="&amp;DATE(YEAR_Y-2,1,1),'Fund History'!$D$92:$D$96,"&lt;="&amp;DATE(YEAR_Y-2,12,31)))))</f>
        <v/>
      </c>
      <c r="AT26" s="140">
        <f>IF($C26="","",IF(PULL_FUND="N","",IF(COUNTIFS('Fund History'!$D$92:$D$96,"&gt;="&amp;DATE(YEAR_Y-1,1,1),'Fund History'!$D$92:$D$96,"&lt;="&amp;DATE(YEAR_Y-1,12,31))=0,"",SUMIFS('Fund History'!$E$92:$E$96,'Fund History'!$D$92:$D$96,"&gt;="&amp;DATE(YEAR_Y-1,1,1),'Fund History'!$D$92:$D$96,"&lt;="&amp;DATE(YEAR_Y-1,12,31)))))</f>
        <v/>
      </c>
      <c r="AU26" s="140">
        <f>IF($C26="","",IF(PULL_FUND="N","",IFERROR(BDP($C26,NDEBITDA_FIELD),"")))</f>
        <v/>
      </c>
      <c r="AV26" s="148">
        <f>IF($C26="","",IF(PULL_FUND="N","",IFERROR(BDP($C26,EBINT_FIELD),"")))</f>
        <v/>
      </c>
      <c r="AW26" s="146">
        <f>IF($C26="","",IF(PULL_FUND="N","",IFERROR(BDP($C26,FCF_FIELD)/100,"")))</f>
        <v/>
      </c>
      <c r="AX26" s="126">
        <f>IF($C26="","",IF(N($U26)=0,"",IFERROR($AW26/$U26,"")))</f>
        <v/>
      </c>
      <c r="AY26" s="85">
        <f>IF($C26="","",TRIM(IF(ISNUMBER($AJ26)*(N($AJ26)&gt;$D$4)&gt;0,"payout high  ","")&amp;IF(ISNUMBER($AX26)*(N($AX26)&lt;$F$4)&gt;0,"FCF below dvd  ","")&amp;IF(ISNUMBER($AU26)*(N($AU26)&gt;$H$4)&gt;0,"leverage high","")))</f>
        <v/>
      </c>
      <c r="AZ26" s="86">
        <f>IF($C26="","",IF(HSI!$F$21="HKD","",HSI!$F$21))</f>
        <v/>
      </c>
    </row>
    <row r="27">
      <c r="B27" s="66" t="inlineStr">
        <is>
          <t>HSI</t>
        </is>
      </c>
      <c r="C27" s="8">
        <f>IF(HSI!$C$22="","",HSI!$C$22)</f>
        <v/>
      </c>
      <c r="D27" s="8">
        <f>IF($C27="","",HSI!$D$22)</f>
        <v/>
      </c>
      <c r="E27" s="8">
        <f>IF($C27="","",HSI!$E$22)</f>
        <v/>
      </c>
      <c r="F27" s="131">
        <f>IF($C27="","",SUMPRODUCT(('Dvd Calendar'!$E$176:$AR$176&gt;=DATE(YEAR_Y-5,1,1))*('Dvd Calendar'!$E$176:$AR$176&lt;=DATE(YEAR_Y-5,12,31))*'Dvd Calendar'!$E$179:$AR$179*(('Dvd Calendar'!$E$181:$AR$181=TYPE1)*(TYPE1&lt;&gt;"")+('Dvd Calendar'!$E$181:$AR$181=TYPE2)*(TYPE2&lt;&gt;"")+('Dvd Calendar'!$E$181:$AR$181=TYPE3)*(TYPE3&lt;&gt;"")+('Dvd Calendar'!$E$181:$AR$181=TYPE4)*(TYPE4&lt;&gt;"")+('Dvd Calendar'!$E$181:$AR$181=SPECIAL_LBL)*(INC_SPECIALS="Y"))))</f>
        <v/>
      </c>
      <c r="G27" s="132">
        <f>IF($C27="","",SUMPRODUCT(('Dvd Calendar'!$E$176:$AR$176&gt;=DATE(YEAR_Y-4,1,1))*('Dvd Calendar'!$E$176:$AR$176&lt;=DATE(YEAR_Y-4,12,31))*'Dvd Calendar'!$E$179:$AR$179*(('Dvd Calendar'!$E$181:$AR$181=TYPE1)*(TYPE1&lt;&gt;"")+('Dvd Calendar'!$E$181:$AR$181=TYPE2)*(TYPE2&lt;&gt;"")+('Dvd Calendar'!$E$181:$AR$181=TYPE3)*(TYPE3&lt;&gt;"")+('Dvd Calendar'!$E$181:$AR$181=TYPE4)*(TYPE4&lt;&gt;"")+('Dvd Calendar'!$E$181:$AR$181=SPECIAL_LBL)*(INC_SPECIALS="Y"))))</f>
        <v/>
      </c>
      <c r="H27" s="132">
        <f>IF($C27="","",SUMPRODUCT(('Dvd Calendar'!$E$176:$AR$176&gt;=DATE(YEAR_Y-3,1,1))*('Dvd Calendar'!$E$176:$AR$176&lt;=DATE(YEAR_Y-3,12,31))*'Dvd Calendar'!$E$179:$AR$179*(('Dvd Calendar'!$E$181:$AR$181=TYPE1)*(TYPE1&lt;&gt;"")+('Dvd Calendar'!$E$181:$AR$181=TYPE2)*(TYPE2&lt;&gt;"")+('Dvd Calendar'!$E$181:$AR$181=TYPE3)*(TYPE3&lt;&gt;"")+('Dvd Calendar'!$E$181:$AR$181=TYPE4)*(TYPE4&lt;&gt;"")+('Dvd Calendar'!$E$181:$AR$181=SPECIAL_LBL)*(INC_SPECIALS="Y"))))</f>
        <v/>
      </c>
      <c r="I27" s="132">
        <f>IF($C27="","",SUMPRODUCT(('Dvd Calendar'!$E$176:$AR$176&gt;=DATE(YEAR_Y-2,1,1))*('Dvd Calendar'!$E$176:$AR$176&lt;=DATE(YEAR_Y-2,12,31))*'Dvd Calendar'!$E$179:$AR$179*(('Dvd Calendar'!$E$181:$AR$181=TYPE1)*(TYPE1&lt;&gt;"")+('Dvd Calendar'!$E$181:$AR$181=TYPE2)*(TYPE2&lt;&gt;"")+('Dvd Calendar'!$E$181:$AR$181=TYPE3)*(TYPE3&lt;&gt;"")+('Dvd Calendar'!$E$181:$AR$181=TYPE4)*(TYPE4&lt;&gt;"")+('Dvd Calendar'!$E$181:$AR$181=SPECIAL_LBL)*(INC_SPECIALS="Y"))))</f>
        <v/>
      </c>
      <c r="J27" s="132">
        <f>IF($C27="","",SUMPRODUCT(('Dvd Calendar'!$E$176:$AR$176&gt;=DATE(YEAR_Y-1,1,1))*('Dvd Calendar'!$E$176:$AR$176&lt;=DATE(YEAR_Y-1,12,31))*'Dvd Calendar'!$E$179:$AR$179*(('Dvd Calendar'!$E$181:$AR$181=TYPE1)*(TYPE1&lt;&gt;"")+('Dvd Calendar'!$E$181:$AR$181=TYPE2)*(TYPE2&lt;&gt;"")+('Dvd Calendar'!$E$181:$AR$181=TYPE3)*(TYPE3&lt;&gt;"")+('Dvd Calendar'!$E$181:$AR$181=TYPE4)*(TYPE4&lt;&gt;"")+('Dvd Calendar'!$E$181:$AR$181=SPECIAL_LBL)*(INC_SPECIALS="Y"))))</f>
        <v/>
      </c>
      <c r="K27" s="133">
        <f>IF($C27="","",HSI!$J$22)</f>
        <v/>
      </c>
      <c r="L27" s="133">
        <f>IF($C27="","",HSI!$K$22)</f>
        <v/>
      </c>
      <c r="M27" s="124">
        <f>IF($C27="","",HSI!$J$22+HSI!$L$22)</f>
        <v/>
      </c>
      <c r="N27" s="134">
        <f>IF($C27="","",IF(PULL_FUND="N","",IFERROR(BDP($C27,BESTDPS_FIELD,FWD_OVERRIDE,TEXT(MOD(YEAR_Y,100),"00")&amp;"Y"),"")))</f>
        <v/>
      </c>
      <c r="O27" s="133">
        <f>IF($C27="","",AVERAGE(F27:J27))</f>
        <v/>
      </c>
      <c r="P27" s="135">
        <f>IF($C27="","",IF(PULL_FUND="N","",IF(COUNTIFS('Fund History'!$J$98:$J$102,"&gt;="&amp;DATE(YEAR_Y-5,1,1),'Fund History'!$J$98:$J$102,"&lt;="&amp;DATE(YEAR_Y-5,12,31))=0,"",IFERROR($F27*HSI!$G$22/SUMIFS('Fund History'!$K$98:$K$102,'Fund History'!$J$98:$J$102,"&gt;="&amp;DATE(YEAR_Y-5,1,1),'Fund History'!$J$98:$J$102,"&lt;="&amp;DATE(YEAR_Y-5,12,31)),""))))</f>
        <v/>
      </c>
      <c r="Q27" s="136">
        <f>IF($C27="","",IF(PULL_FUND="N","",IF(COUNTIFS('Fund History'!$J$98:$J$102,"&gt;="&amp;DATE(YEAR_Y-4,1,1),'Fund History'!$J$98:$J$102,"&lt;="&amp;DATE(YEAR_Y-4,12,31))=0,"",IFERROR($G27*HSI!$G$22/SUMIFS('Fund History'!$K$98:$K$102,'Fund History'!$J$98:$J$102,"&gt;="&amp;DATE(YEAR_Y-4,1,1),'Fund History'!$J$98:$J$102,"&lt;="&amp;DATE(YEAR_Y-4,12,31)),""))))</f>
        <v/>
      </c>
      <c r="R27" s="136">
        <f>IF($C27="","",IF(PULL_FUND="N","",IF(COUNTIFS('Fund History'!$J$98:$J$102,"&gt;="&amp;DATE(YEAR_Y-3,1,1),'Fund History'!$J$98:$J$102,"&lt;="&amp;DATE(YEAR_Y-3,12,31))=0,"",IFERROR($H27*HSI!$G$22/SUMIFS('Fund History'!$K$98:$K$102,'Fund History'!$J$98:$J$102,"&gt;="&amp;DATE(YEAR_Y-3,1,1),'Fund History'!$J$98:$J$102,"&lt;="&amp;DATE(YEAR_Y-3,12,31)),""))))</f>
        <v/>
      </c>
      <c r="S27" s="136">
        <f>IF($C27="","",IF(PULL_FUND="N","",IF(COUNTIFS('Fund History'!$J$98:$J$102,"&gt;="&amp;DATE(YEAR_Y-2,1,1),'Fund History'!$J$98:$J$102,"&lt;="&amp;DATE(YEAR_Y-2,12,31))=0,"",IFERROR($I27*HSI!$G$22/SUMIFS('Fund History'!$K$98:$K$102,'Fund History'!$J$98:$J$102,"&gt;="&amp;DATE(YEAR_Y-2,1,1),'Fund History'!$J$98:$J$102,"&lt;="&amp;DATE(YEAR_Y-2,12,31)),""))))</f>
        <v/>
      </c>
      <c r="T27" s="136">
        <f>IF($C27="","",IF(PULL_FUND="N","",IF(COUNTIFS('Fund History'!$J$98:$J$102,"&gt;="&amp;DATE(YEAR_Y-1,1,1),'Fund History'!$J$98:$J$102,"&lt;="&amp;DATE(YEAR_Y-1,12,31))=0,"",IFERROR($J27*HSI!$G$22/SUMIFS('Fund History'!$K$98:$K$102,'Fund History'!$J$98:$J$102,"&gt;="&amp;DATE(YEAR_Y-1,1,1),'Fund History'!$J$98:$J$102,"&lt;="&amp;DATE(YEAR_Y-1,12,31)),""))))</f>
        <v/>
      </c>
      <c r="U27" s="137">
        <f>IF($C27="","",IF(ISNUMBER(HSI!$I$22),HSI!$I$22/100,""))</f>
        <v/>
      </c>
      <c r="V27" s="138">
        <f>IF($C27="","",IF(ISNUMBER(HSI!$X$22),IFERROR($M27*HSI!$G$22/HSI!$X$22,""),""))</f>
        <v/>
      </c>
      <c r="W27" s="137">
        <f>IF($C27="","",IF(ISNUMBER($N27),IFERROR($N27*HSI!$G$22/HSI!$X$22,""),""))</f>
        <v/>
      </c>
      <c r="X27" s="139">
        <f>IF($C27="","",IF(PULL_FUND="N","",IFERROR(BDP($C27,EPS_FIELD,YR_OVERRIDE,TEXT(YEAR_Y-5,"0")),"")))</f>
        <v/>
      </c>
      <c r="Y27" s="140">
        <f>IF($C27="","",IF(PULL_FUND="N","",IFERROR(BDP($C27,EPS_FIELD,YR_OVERRIDE,TEXT(YEAR_Y-4,"0")),"")))</f>
        <v/>
      </c>
      <c r="Z27" s="140">
        <f>IF($C27="","",IF(PULL_FUND="N","",IFERROR(BDP($C27,EPS_FIELD,YR_OVERRIDE,TEXT(YEAR_Y-3,"0")),"")))</f>
        <v/>
      </c>
      <c r="AA27" s="140">
        <f>IF($C27="","",IF(PULL_FUND="N","",IFERROR(BDP($C27,EPS_FIELD,YR_OVERRIDE,TEXT(YEAR_Y-2,"0")),"")))</f>
        <v/>
      </c>
      <c r="AB27" s="140">
        <f>IF($C27="","",IF(PULL_FUND="N","",IFERROR(BDP($C27,EPS_FIELD,YR_OVERRIDE,TEXT(YEAR_Y-1,"0")),"")))</f>
        <v/>
      </c>
      <c r="AC27" s="126">
        <f>IF($C27="","",IFERROR(AVERAGE(X27:AB27),""))</f>
        <v/>
      </c>
      <c r="AD27" s="140">
        <f>IF($C27="","",IF(PULL_FUND="N","",IFERROR(BDP($C27,BESTEPS_FIELD,FWD_OVERRIDE,TEXT(MOD(YEAR_Y,100),"00")&amp;"Y"),"")))</f>
        <v/>
      </c>
      <c r="AE27" s="141">
        <f>IF($C27="","",IF(PULL_FUND="N","",IFERROR(BDP($C27,PAYOUT_FIELD,YR_OVERRIDE,TEXT(YEAR_Y-5,"0"))/100,"")))</f>
        <v/>
      </c>
      <c r="AF27" s="142">
        <f>IF($C27="","",IF(PULL_FUND="N","",IFERROR(BDP($C27,PAYOUT_FIELD,YR_OVERRIDE,TEXT(YEAR_Y-4,"0"))/100,"")))</f>
        <v/>
      </c>
      <c r="AG27" s="142">
        <f>IF($C27="","",IF(PULL_FUND="N","",IFERROR(BDP($C27,PAYOUT_FIELD,YR_OVERRIDE,TEXT(YEAR_Y-3,"0"))/100,"")))</f>
        <v/>
      </c>
      <c r="AH27" s="142">
        <f>IF($C27="","",IF(PULL_FUND="N","",IFERROR(BDP($C27,PAYOUT_FIELD,YR_OVERRIDE,TEXT(YEAR_Y-2,"0"))/100,"")))</f>
        <v/>
      </c>
      <c r="AI27" s="142">
        <f>IF($C27="","",IF(PULL_FUND="N","",IFERROR(BDP($C27,PAYOUT_FIELD,YR_OVERRIDE,TEXT(YEAR_Y-1,"0"))/100,"")))</f>
        <v/>
      </c>
      <c r="AJ27" s="143">
        <f>IF($C27="","",IFERROR(AVERAGE(AE27:AI27),""))</f>
        <v/>
      </c>
      <c r="AK27" s="144">
        <f>IF($C27="","",IF(ISNUMBER($AD27)*ISNUMBER($N27)*($AD27&lt;&gt;0)=0,"",$N27/$AD27))</f>
        <v/>
      </c>
      <c r="AL27" s="143">
        <f>IF($C27="","",IF(ISNUMBER($AD27)*($AD27&lt;&gt;0)=0,"",$M27/$AD27))</f>
        <v/>
      </c>
      <c r="AM27" s="37">
        <f>IF($C27="","",IF(ISNUMBER($AE27)*ISNUMBER($AI27)=0,"",IF($AI27&gt;$AE27+0.05,"rising",IF($AI27&lt;$AE27-0.05,"falling","stable"))))</f>
        <v/>
      </c>
      <c r="AN27" s="145">
        <f>IF($C27="","",IF(PULL_FUND="N","",IF(COUNTIFS('Fund History'!$G$98:$G$102,"&gt;="&amp;DATE(YEAR_Y-4,1,1),'Fund History'!$G$98:$G$102,"&lt;="&amp;DATE(YEAR_Y-4,12,31))=0,"",SUMIFS('Fund History'!$H$98:$H$102,'Fund History'!$G$98:$G$102,"&gt;="&amp;DATE(YEAR_Y-4,1,1),'Fund History'!$G$98:$G$102,"&lt;="&amp;DATE(YEAR_Y-4,12,31))/100)))</f>
        <v/>
      </c>
      <c r="AO27" s="146">
        <f>IF($C27="","",IF(PULL_FUND="N","",IF(COUNTIFS('Fund History'!$G$98:$G$102,"&gt;="&amp;DATE(YEAR_Y-3,1,1),'Fund History'!$G$98:$G$102,"&lt;="&amp;DATE(YEAR_Y-3,12,31))=0,"",SUMIFS('Fund History'!$H$98:$H$102,'Fund History'!$G$98:$G$102,"&gt;="&amp;DATE(YEAR_Y-3,1,1),'Fund History'!$G$98:$G$102,"&lt;="&amp;DATE(YEAR_Y-3,12,31))/100)))</f>
        <v/>
      </c>
      <c r="AP27" s="146">
        <f>IF($C27="","",IF(PULL_FUND="N","",IF(COUNTIFS('Fund History'!$G$98:$G$102,"&gt;="&amp;DATE(YEAR_Y-2,1,1),'Fund History'!$G$98:$G$102,"&lt;="&amp;DATE(YEAR_Y-2,12,31))=0,"",SUMIFS('Fund History'!$H$98:$H$102,'Fund History'!$G$98:$G$102,"&gt;="&amp;DATE(YEAR_Y-2,1,1),'Fund History'!$G$98:$G$102,"&lt;="&amp;DATE(YEAR_Y-2,12,31))/100)))</f>
        <v/>
      </c>
      <c r="AQ27" s="146">
        <f>IF($C27="","",IF(PULL_FUND="N","",IF(COUNTIFS('Fund History'!$G$98:$G$102,"&gt;="&amp;DATE(YEAR_Y-1,1,1),'Fund History'!$G$98:$G$102,"&lt;="&amp;DATE(YEAR_Y-1,12,31))=0,"",SUMIFS('Fund History'!$H$98:$H$102,'Fund History'!$G$98:$G$102,"&gt;="&amp;DATE(YEAR_Y-1,1,1),'Fund History'!$G$98:$G$102,"&lt;="&amp;DATE(YEAR_Y-1,12,31))/100)))</f>
        <v/>
      </c>
      <c r="AR27" s="147">
        <f>IF($C27="","",IF(N($AQ27)+N(HSI!$I$22)=0,"",N($AQ27)+N(HSI!$I$22)/100))</f>
        <v/>
      </c>
      <c r="AS27" s="139">
        <f>IF($C27="","",IF(PULL_FUND="N","",IF(COUNTIFS('Fund History'!$D$98:$D$102,"&gt;="&amp;DATE(YEAR_Y-2,1,1),'Fund History'!$D$98:$D$102,"&lt;="&amp;DATE(YEAR_Y-2,12,31))=0,"",SUMIFS('Fund History'!$E$98:$E$102,'Fund History'!$D$98:$D$102,"&gt;="&amp;DATE(YEAR_Y-2,1,1),'Fund History'!$D$98:$D$102,"&lt;="&amp;DATE(YEAR_Y-2,12,31)))))</f>
        <v/>
      </c>
      <c r="AT27" s="140">
        <f>IF($C27="","",IF(PULL_FUND="N","",IF(COUNTIFS('Fund History'!$D$98:$D$102,"&gt;="&amp;DATE(YEAR_Y-1,1,1),'Fund History'!$D$98:$D$102,"&lt;="&amp;DATE(YEAR_Y-1,12,31))=0,"",SUMIFS('Fund History'!$E$98:$E$102,'Fund History'!$D$98:$D$102,"&gt;="&amp;DATE(YEAR_Y-1,1,1),'Fund History'!$D$98:$D$102,"&lt;="&amp;DATE(YEAR_Y-1,12,31)))))</f>
        <v/>
      </c>
      <c r="AU27" s="140">
        <f>IF($C27="","",IF(PULL_FUND="N","",IFERROR(BDP($C27,NDEBITDA_FIELD),"")))</f>
        <v/>
      </c>
      <c r="AV27" s="148">
        <f>IF($C27="","",IF(PULL_FUND="N","",IFERROR(BDP($C27,EBINT_FIELD),"")))</f>
        <v/>
      </c>
      <c r="AW27" s="146">
        <f>IF($C27="","",IF(PULL_FUND="N","",IFERROR(BDP($C27,FCF_FIELD)/100,"")))</f>
        <v/>
      </c>
      <c r="AX27" s="126">
        <f>IF($C27="","",IF(N($U27)=0,"",IFERROR($AW27/$U27,"")))</f>
        <v/>
      </c>
      <c r="AY27" s="85">
        <f>IF($C27="","",TRIM(IF(ISNUMBER($AJ27)*(N($AJ27)&gt;$D$4)&gt;0,"payout high  ","")&amp;IF(ISNUMBER($AX27)*(N($AX27)&lt;$F$4)&gt;0,"FCF below dvd  ","")&amp;IF(ISNUMBER($AU27)*(N($AU27)&gt;$H$4)&gt;0,"leverage high","")))</f>
        <v/>
      </c>
      <c r="AZ27" s="86">
        <f>IF($C27="","",IF(HSI!$F$22="HKD","",HSI!$F$22))</f>
        <v/>
      </c>
    </row>
    <row r="28">
      <c r="B28" s="66" t="inlineStr">
        <is>
          <t>HSI</t>
        </is>
      </c>
      <c r="C28" s="8">
        <f>IF(HSI!$C$23="","",HSI!$C$23)</f>
        <v/>
      </c>
      <c r="D28" s="8">
        <f>IF($C28="","",HSI!$D$23)</f>
        <v/>
      </c>
      <c r="E28" s="8">
        <f>IF($C28="","",HSI!$E$23)</f>
        <v/>
      </c>
      <c r="F28" s="131">
        <f>IF($C28="","",SUMPRODUCT(('Dvd Calendar'!$E$187:$AR$187&gt;=DATE(YEAR_Y-5,1,1))*('Dvd Calendar'!$E$187:$AR$187&lt;=DATE(YEAR_Y-5,12,31))*'Dvd Calendar'!$E$190:$AR$190*(('Dvd Calendar'!$E$192:$AR$192=TYPE1)*(TYPE1&lt;&gt;"")+('Dvd Calendar'!$E$192:$AR$192=TYPE2)*(TYPE2&lt;&gt;"")+('Dvd Calendar'!$E$192:$AR$192=TYPE3)*(TYPE3&lt;&gt;"")+('Dvd Calendar'!$E$192:$AR$192=TYPE4)*(TYPE4&lt;&gt;"")+('Dvd Calendar'!$E$192:$AR$192=SPECIAL_LBL)*(INC_SPECIALS="Y"))))</f>
        <v/>
      </c>
      <c r="G28" s="132">
        <f>IF($C28="","",SUMPRODUCT(('Dvd Calendar'!$E$187:$AR$187&gt;=DATE(YEAR_Y-4,1,1))*('Dvd Calendar'!$E$187:$AR$187&lt;=DATE(YEAR_Y-4,12,31))*'Dvd Calendar'!$E$190:$AR$190*(('Dvd Calendar'!$E$192:$AR$192=TYPE1)*(TYPE1&lt;&gt;"")+('Dvd Calendar'!$E$192:$AR$192=TYPE2)*(TYPE2&lt;&gt;"")+('Dvd Calendar'!$E$192:$AR$192=TYPE3)*(TYPE3&lt;&gt;"")+('Dvd Calendar'!$E$192:$AR$192=TYPE4)*(TYPE4&lt;&gt;"")+('Dvd Calendar'!$E$192:$AR$192=SPECIAL_LBL)*(INC_SPECIALS="Y"))))</f>
        <v/>
      </c>
      <c r="H28" s="132">
        <f>IF($C28="","",SUMPRODUCT(('Dvd Calendar'!$E$187:$AR$187&gt;=DATE(YEAR_Y-3,1,1))*('Dvd Calendar'!$E$187:$AR$187&lt;=DATE(YEAR_Y-3,12,31))*'Dvd Calendar'!$E$190:$AR$190*(('Dvd Calendar'!$E$192:$AR$192=TYPE1)*(TYPE1&lt;&gt;"")+('Dvd Calendar'!$E$192:$AR$192=TYPE2)*(TYPE2&lt;&gt;"")+('Dvd Calendar'!$E$192:$AR$192=TYPE3)*(TYPE3&lt;&gt;"")+('Dvd Calendar'!$E$192:$AR$192=TYPE4)*(TYPE4&lt;&gt;"")+('Dvd Calendar'!$E$192:$AR$192=SPECIAL_LBL)*(INC_SPECIALS="Y"))))</f>
        <v/>
      </c>
      <c r="I28" s="132">
        <f>IF($C28="","",SUMPRODUCT(('Dvd Calendar'!$E$187:$AR$187&gt;=DATE(YEAR_Y-2,1,1))*('Dvd Calendar'!$E$187:$AR$187&lt;=DATE(YEAR_Y-2,12,31))*'Dvd Calendar'!$E$190:$AR$190*(('Dvd Calendar'!$E$192:$AR$192=TYPE1)*(TYPE1&lt;&gt;"")+('Dvd Calendar'!$E$192:$AR$192=TYPE2)*(TYPE2&lt;&gt;"")+('Dvd Calendar'!$E$192:$AR$192=TYPE3)*(TYPE3&lt;&gt;"")+('Dvd Calendar'!$E$192:$AR$192=TYPE4)*(TYPE4&lt;&gt;"")+('Dvd Calendar'!$E$192:$AR$192=SPECIAL_LBL)*(INC_SPECIALS="Y"))))</f>
        <v/>
      </c>
      <c r="J28" s="132">
        <f>IF($C28="","",SUMPRODUCT(('Dvd Calendar'!$E$187:$AR$187&gt;=DATE(YEAR_Y-1,1,1))*('Dvd Calendar'!$E$187:$AR$187&lt;=DATE(YEAR_Y-1,12,31))*'Dvd Calendar'!$E$190:$AR$190*(('Dvd Calendar'!$E$192:$AR$192=TYPE1)*(TYPE1&lt;&gt;"")+('Dvd Calendar'!$E$192:$AR$192=TYPE2)*(TYPE2&lt;&gt;"")+('Dvd Calendar'!$E$192:$AR$192=TYPE3)*(TYPE3&lt;&gt;"")+('Dvd Calendar'!$E$192:$AR$192=TYPE4)*(TYPE4&lt;&gt;"")+('Dvd Calendar'!$E$192:$AR$192=SPECIAL_LBL)*(INC_SPECIALS="Y"))))</f>
        <v/>
      </c>
      <c r="K28" s="133">
        <f>IF($C28="","",HSI!$J$23)</f>
        <v/>
      </c>
      <c r="L28" s="133">
        <f>IF($C28="","",HSI!$K$23)</f>
        <v/>
      </c>
      <c r="M28" s="124">
        <f>IF($C28="","",HSI!$J$23+HSI!$L$23)</f>
        <v/>
      </c>
      <c r="N28" s="134">
        <f>IF($C28="","",IF(PULL_FUND="N","",IFERROR(BDP($C28,BESTDPS_FIELD,FWD_OVERRIDE,TEXT(MOD(YEAR_Y,100),"00")&amp;"Y"),"")))</f>
        <v/>
      </c>
      <c r="O28" s="133">
        <f>IF($C28="","",AVERAGE(F28:J28))</f>
        <v/>
      </c>
      <c r="P28" s="135">
        <f>IF($C28="","",IF(PULL_FUND="N","",IF(COUNTIFS('Fund History'!$J$104:$J$108,"&gt;="&amp;DATE(YEAR_Y-5,1,1),'Fund History'!$J$104:$J$108,"&lt;="&amp;DATE(YEAR_Y-5,12,31))=0,"",IFERROR($F28*HSI!$G$23/SUMIFS('Fund History'!$K$104:$K$108,'Fund History'!$J$104:$J$108,"&gt;="&amp;DATE(YEAR_Y-5,1,1),'Fund History'!$J$104:$J$108,"&lt;="&amp;DATE(YEAR_Y-5,12,31)),""))))</f>
        <v/>
      </c>
      <c r="Q28" s="136">
        <f>IF($C28="","",IF(PULL_FUND="N","",IF(COUNTIFS('Fund History'!$J$104:$J$108,"&gt;="&amp;DATE(YEAR_Y-4,1,1),'Fund History'!$J$104:$J$108,"&lt;="&amp;DATE(YEAR_Y-4,12,31))=0,"",IFERROR($G28*HSI!$G$23/SUMIFS('Fund History'!$K$104:$K$108,'Fund History'!$J$104:$J$108,"&gt;="&amp;DATE(YEAR_Y-4,1,1),'Fund History'!$J$104:$J$108,"&lt;="&amp;DATE(YEAR_Y-4,12,31)),""))))</f>
        <v/>
      </c>
      <c r="R28" s="136">
        <f>IF($C28="","",IF(PULL_FUND="N","",IF(COUNTIFS('Fund History'!$J$104:$J$108,"&gt;="&amp;DATE(YEAR_Y-3,1,1),'Fund History'!$J$104:$J$108,"&lt;="&amp;DATE(YEAR_Y-3,12,31))=0,"",IFERROR($H28*HSI!$G$23/SUMIFS('Fund History'!$K$104:$K$108,'Fund History'!$J$104:$J$108,"&gt;="&amp;DATE(YEAR_Y-3,1,1),'Fund History'!$J$104:$J$108,"&lt;="&amp;DATE(YEAR_Y-3,12,31)),""))))</f>
        <v/>
      </c>
      <c r="S28" s="136">
        <f>IF($C28="","",IF(PULL_FUND="N","",IF(COUNTIFS('Fund History'!$J$104:$J$108,"&gt;="&amp;DATE(YEAR_Y-2,1,1),'Fund History'!$J$104:$J$108,"&lt;="&amp;DATE(YEAR_Y-2,12,31))=0,"",IFERROR($I28*HSI!$G$23/SUMIFS('Fund History'!$K$104:$K$108,'Fund History'!$J$104:$J$108,"&gt;="&amp;DATE(YEAR_Y-2,1,1),'Fund History'!$J$104:$J$108,"&lt;="&amp;DATE(YEAR_Y-2,12,31)),""))))</f>
        <v/>
      </c>
      <c r="T28" s="136">
        <f>IF($C28="","",IF(PULL_FUND="N","",IF(COUNTIFS('Fund History'!$J$104:$J$108,"&gt;="&amp;DATE(YEAR_Y-1,1,1),'Fund History'!$J$104:$J$108,"&lt;="&amp;DATE(YEAR_Y-1,12,31))=0,"",IFERROR($J28*HSI!$G$23/SUMIFS('Fund History'!$K$104:$K$108,'Fund History'!$J$104:$J$108,"&gt;="&amp;DATE(YEAR_Y-1,1,1),'Fund History'!$J$104:$J$108,"&lt;="&amp;DATE(YEAR_Y-1,12,31)),""))))</f>
        <v/>
      </c>
      <c r="U28" s="137">
        <f>IF($C28="","",IF(ISNUMBER(HSI!$I$23),HSI!$I$23/100,""))</f>
        <v/>
      </c>
      <c r="V28" s="138">
        <f>IF($C28="","",IF(ISNUMBER(HSI!$X$23),IFERROR($M28*HSI!$G$23/HSI!$X$23,""),""))</f>
        <v/>
      </c>
      <c r="W28" s="137">
        <f>IF($C28="","",IF(ISNUMBER($N28),IFERROR($N28*HSI!$G$23/HSI!$X$23,""),""))</f>
        <v/>
      </c>
      <c r="X28" s="139">
        <f>IF($C28="","",IF(PULL_FUND="N","",IFERROR(BDP($C28,EPS_FIELD,YR_OVERRIDE,TEXT(YEAR_Y-5,"0")),"")))</f>
        <v/>
      </c>
      <c r="Y28" s="140">
        <f>IF($C28="","",IF(PULL_FUND="N","",IFERROR(BDP($C28,EPS_FIELD,YR_OVERRIDE,TEXT(YEAR_Y-4,"0")),"")))</f>
        <v/>
      </c>
      <c r="Z28" s="140">
        <f>IF($C28="","",IF(PULL_FUND="N","",IFERROR(BDP($C28,EPS_FIELD,YR_OVERRIDE,TEXT(YEAR_Y-3,"0")),"")))</f>
        <v/>
      </c>
      <c r="AA28" s="140">
        <f>IF($C28="","",IF(PULL_FUND="N","",IFERROR(BDP($C28,EPS_FIELD,YR_OVERRIDE,TEXT(YEAR_Y-2,"0")),"")))</f>
        <v/>
      </c>
      <c r="AB28" s="140">
        <f>IF($C28="","",IF(PULL_FUND="N","",IFERROR(BDP($C28,EPS_FIELD,YR_OVERRIDE,TEXT(YEAR_Y-1,"0")),"")))</f>
        <v/>
      </c>
      <c r="AC28" s="126">
        <f>IF($C28="","",IFERROR(AVERAGE(X28:AB28),""))</f>
        <v/>
      </c>
      <c r="AD28" s="140">
        <f>IF($C28="","",IF(PULL_FUND="N","",IFERROR(BDP($C28,BESTEPS_FIELD,FWD_OVERRIDE,TEXT(MOD(YEAR_Y,100),"00")&amp;"Y"),"")))</f>
        <v/>
      </c>
      <c r="AE28" s="141">
        <f>IF($C28="","",IF(PULL_FUND="N","",IFERROR(BDP($C28,PAYOUT_FIELD,YR_OVERRIDE,TEXT(YEAR_Y-5,"0"))/100,"")))</f>
        <v/>
      </c>
      <c r="AF28" s="142">
        <f>IF($C28="","",IF(PULL_FUND="N","",IFERROR(BDP($C28,PAYOUT_FIELD,YR_OVERRIDE,TEXT(YEAR_Y-4,"0"))/100,"")))</f>
        <v/>
      </c>
      <c r="AG28" s="142">
        <f>IF($C28="","",IF(PULL_FUND="N","",IFERROR(BDP($C28,PAYOUT_FIELD,YR_OVERRIDE,TEXT(YEAR_Y-3,"0"))/100,"")))</f>
        <v/>
      </c>
      <c r="AH28" s="142">
        <f>IF($C28="","",IF(PULL_FUND="N","",IFERROR(BDP($C28,PAYOUT_FIELD,YR_OVERRIDE,TEXT(YEAR_Y-2,"0"))/100,"")))</f>
        <v/>
      </c>
      <c r="AI28" s="142">
        <f>IF($C28="","",IF(PULL_FUND="N","",IFERROR(BDP($C28,PAYOUT_FIELD,YR_OVERRIDE,TEXT(YEAR_Y-1,"0"))/100,"")))</f>
        <v/>
      </c>
      <c r="AJ28" s="143">
        <f>IF($C28="","",IFERROR(AVERAGE(AE28:AI28),""))</f>
        <v/>
      </c>
      <c r="AK28" s="144">
        <f>IF($C28="","",IF(ISNUMBER($AD28)*ISNUMBER($N28)*($AD28&lt;&gt;0)=0,"",$N28/$AD28))</f>
        <v/>
      </c>
      <c r="AL28" s="143">
        <f>IF($C28="","",IF(ISNUMBER($AD28)*($AD28&lt;&gt;0)=0,"",$M28/$AD28))</f>
        <v/>
      </c>
      <c r="AM28" s="37">
        <f>IF($C28="","",IF(ISNUMBER($AE28)*ISNUMBER($AI28)=0,"",IF($AI28&gt;$AE28+0.05,"rising",IF($AI28&lt;$AE28-0.05,"falling","stable"))))</f>
        <v/>
      </c>
      <c r="AN28" s="145">
        <f>IF($C28="","",IF(PULL_FUND="N","",IF(COUNTIFS('Fund History'!$G$104:$G$108,"&gt;="&amp;DATE(YEAR_Y-4,1,1),'Fund History'!$G$104:$G$108,"&lt;="&amp;DATE(YEAR_Y-4,12,31))=0,"",SUMIFS('Fund History'!$H$104:$H$108,'Fund History'!$G$104:$G$108,"&gt;="&amp;DATE(YEAR_Y-4,1,1),'Fund History'!$G$104:$G$108,"&lt;="&amp;DATE(YEAR_Y-4,12,31))/100)))</f>
        <v/>
      </c>
      <c r="AO28" s="146">
        <f>IF($C28="","",IF(PULL_FUND="N","",IF(COUNTIFS('Fund History'!$G$104:$G$108,"&gt;="&amp;DATE(YEAR_Y-3,1,1),'Fund History'!$G$104:$G$108,"&lt;="&amp;DATE(YEAR_Y-3,12,31))=0,"",SUMIFS('Fund History'!$H$104:$H$108,'Fund History'!$G$104:$G$108,"&gt;="&amp;DATE(YEAR_Y-3,1,1),'Fund History'!$G$104:$G$108,"&lt;="&amp;DATE(YEAR_Y-3,12,31))/100)))</f>
        <v/>
      </c>
      <c r="AP28" s="146">
        <f>IF($C28="","",IF(PULL_FUND="N","",IF(COUNTIFS('Fund History'!$G$104:$G$108,"&gt;="&amp;DATE(YEAR_Y-2,1,1),'Fund History'!$G$104:$G$108,"&lt;="&amp;DATE(YEAR_Y-2,12,31))=0,"",SUMIFS('Fund History'!$H$104:$H$108,'Fund History'!$G$104:$G$108,"&gt;="&amp;DATE(YEAR_Y-2,1,1),'Fund History'!$G$104:$G$108,"&lt;="&amp;DATE(YEAR_Y-2,12,31))/100)))</f>
        <v/>
      </c>
      <c r="AQ28" s="146">
        <f>IF($C28="","",IF(PULL_FUND="N","",IF(COUNTIFS('Fund History'!$G$104:$G$108,"&gt;="&amp;DATE(YEAR_Y-1,1,1),'Fund History'!$G$104:$G$108,"&lt;="&amp;DATE(YEAR_Y-1,12,31))=0,"",SUMIFS('Fund History'!$H$104:$H$108,'Fund History'!$G$104:$G$108,"&gt;="&amp;DATE(YEAR_Y-1,1,1),'Fund History'!$G$104:$G$108,"&lt;="&amp;DATE(YEAR_Y-1,12,31))/100)))</f>
        <v/>
      </c>
      <c r="AR28" s="147">
        <f>IF($C28="","",IF(N($AQ28)+N(HSI!$I$23)=0,"",N($AQ28)+N(HSI!$I$23)/100))</f>
        <v/>
      </c>
      <c r="AS28" s="139">
        <f>IF($C28="","",IF(PULL_FUND="N","",IF(COUNTIFS('Fund History'!$D$104:$D$108,"&gt;="&amp;DATE(YEAR_Y-2,1,1),'Fund History'!$D$104:$D$108,"&lt;="&amp;DATE(YEAR_Y-2,12,31))=0,"",SUMIFS('Fund History'!$E$104:$E$108,'Fund History'!$D$104:$D$108,"&gt;="&amp;DATE(YEAR_Y-2,1,1),'Fund History'!$D$104:$D$108,"&lt;="&amp;DATE(YEAR_Y-2,12,31)))))</f>
        <v/>
      </c>
      <c r="AT28" s="140">
        <f>IF($C28="","",IF(PULL_FUND="N","",IF(COUNTIFS('Fund History'!$D$104:$D$108,"&gt;="&amp;DATE(YEAR_Y-1,1,1),'Fund History'!$D$104:$D$108,"&lt;="&amp;DATE(YEAR_Y-1,12,31))=0,"",SUMIFS('Fund History'!$E$104:$E$108,'Fund History'!$D$104:$D$108,"&gt;="&amp;DATE(YEAR_Y-1,1,1),'Fund History'!$D$104:$D$108,"&lt;="&amp;DATE(YEAR_Y-1,12,31)))))</f>
        <v/>
      </c>
      <c r="AU28" s="140">
        <f>IF($C28="","",IF(PULL_FUND="N","",IFERROR(BDP($C28,NDEBITDA_FIELD),"")))</f>
        <v/>
      </c>
      <c r="AV28" s="148">
        <f>IF($C28="","",IF(PULL_FUND="N","",IFERROR(BDP($C28,EBINT_FIELD),"")))</f>
        <v/>
      </c>
      <c r="AW28" s="146">
        <f>IF($C28="","",IF(PULL_FUND="N","",IFERROR(BDP($C28,FCF_FIELD)/100,"")))</f>
        <v/>
      </c>
      <c r="AX28" s="126">
        <f>IF($C28="","",IF(N($U28)=0,"",IFERROR($AW28/$U28,"")))</f>
        <v/>
      </c>
      <c r="AY28" s="85">
        <f>IF($C28="","",TRIM(IF(ISNUMBER($AJ28)*(N($AJ28)&gt;$D$4)&gt;0,"payout high  ","")&amp;IF(ISNUMBER($AX28)*(N($AX28)&lt;$F$4)&gt;0,"FCF below dvd  ","")&amp;IF(ISNUMBER($AU28)*(N($AU28)&gt;$H$4)&gt;0,"leverage high","")))</f>
        <v/>
      </c>
      <c r="AZ28" s="86">
        <f>IF($C28="","",IF(HSI!$F$23="HKD","",HSI!$F$23))</f>
        <v/>
      </c>
    </row>
    <row r="29">
      <c r="B29" s="66" t="inlineStr">
        <is>
          <t>HSI</t>
        </is>
      </c>
      <c r="C29" s="8">
        <f>IF(HSI!$C$24="","",HSI!$C$24)</f>
        <v/>
      </c>
      <c r="D29" s="8">
        <f>IF($C29="","",HSI!$D$24)</f>
        <v/>
      </c>
      <c r="E29" s="8">
        <f>IF($C29="","",HSI!$E$24)</f>
        <v/>
      </c>
      <c r="F29" s="131">
        <f>IF($C29="","",SUMPRODUCT(('Dvd Calendar'!$E$198:$AR$198&gt;=DATE(YEAR_Y-5,1,1))*('Dvd Calendar'!$E$198:$AR$198&lt;=DATE(YEAR_Y-5,12,31))*'Dvd Calendar'!$E$201:$AR$201*(('Dvd Calendar'!$E$203:$AR$203=TYPE1)*(TYPE1&lt;&gt;"")+('Dvd Calendar'!$E$203:$AR$203=TYPE2)*(TYPE2&lt;&gt;"")+('Dvd Calendar'!$E$203:$AR$203=TYPE3)*(TYPE3&lt;&gt;"")+('Dvd Calendar'!$E$203:$AR$203=TYPE4)*(TYPE4&lt;&gt;"")+('Dvd Calendar'!$E$203:$AR$203=SPECIAL_LBL)*(INC_SPECIALS="Y"))))</f>
        <v/>
      </c>
      <c r="G29" s="132">
        <f>IF($C29="","",SUMPRODUCT(('Dvd Calendar'!$E$198:$AR$198&gt;=DATE(YEAR_Y-4,1,1))*('Dvd Calendar'!$E$198:$AR$198&lt;=DATE(YEAR_Y-4,12,31))*'Dvd Calendar'!$E$201:$AR$201*(('Dvd Calendar'!$E$203:$AR$203=TYPE1)*(TYPE1&lt;&gt;"")+('Dvd Calendar'!$E$203:$AR$203=TYPE2)*(TYPE2&lt;&gt;"")+('Dvd Calendar'!$E$203:$AR$203=TYPE3)*(TYPE3&lt;&gt;"")+('Dvd Calendar'!$E$203:$AR$203=TYPE4)*(TYPE4&lt;&gt;"")+('Dvd Calendar'!$E$203:$AR$203=SPECIAL_LBL)*(INC_SPECIALS="Y"))))</f>
        <v/>
      </c>
      <c r="H29" s="132">
        <f>IF($C29="","",SUMPRODUCT(('Dvd Calendar'!$E$198:$AR$198&gt;=DATE(YEAR_Y-3,1,1))*('Dvd Calendar'!$E$198:$AR$198&lt;=DATE(YEAR_Y-3,12,31))*'Dvd Calendar'!$E$201:$AR$201*(('Dvd Calendar'!$E$203:$AR$203=TYPE1)*(TYPE1&lt;&gt;"")+('Dvd Calendar'!$E$203:$AR$203=TYPE2)*(TYPE2&lt;&gt;"")+('Dvd Calendar'!$E$203:$AR$203=TYPE3)*(TYPE3&lt;&gt;"")+('Dvd Calendar'!$E$203:$AR$203=TYPE4)*(TYPE4&lt;&gt;"")+('Dvd Calendar'!$E$203:$AR$203=SPECIAL_LBL)*(INC_SPECIALS="Y"))))</f>
        <v/>
      </c>
      <c r="I29" s="132">
        <f>IF($C29="","",SUMPRODUCT(('Dvd Calendar'!$E$198:$AR$198&gt;=DATE(YEAR_Y-2,1,1))*('Dvd Calendar'!$E$198:$AR$198&lt;=DATE(YEAR_Y-2,12,31))*'Dvd Calendar'!$E$201:$AR$201*(('Dvd Calendar'!$E$203:$AR$203=TYPE1)*(TYPE1&lt;&gt;"")+('Dvd Calendar'!$E$203:$AR$203=TYPE2)*(TYPE2&lt;&gt;"")+('Dvd Calendar'!$E$203:$AR$203=TYPE3)*(TYPE3&lt;&gt;"")+('Dvd Calendar'!$E$203:$AR$203=TYPE4)*(TYPE4&lt;&gt;"")+('Dvd Calendar'!$E$203:$AR$203=SPECIAL_LBL)*(INC_SPECIALS="Y"))))</f>
        <v/>
      </c>
      <c r="J29" s="132">
        <f>IF($C29="","",SUMPRODUCT(('Dvd Calendar'!$E$198:$AR$198&gt;=DATE(YEAR_Y-1,1,1))*('Dvd Calendar'!$E$198:$AR$198&lt;=DATE(YEAR_Y-1,12,31))*'Dvd Calendar'!$E$201:$AR$201*(('Dvd Calendar'!$E$203:$AR$203=TYPE1)*(TYPE1&lt;&gt;"")+('Dvd Calendar'!$E$203:$AR$203=TYPE2)*(TYPE2&lt;&gt;"")+('Dvd Calendar'!$E$203:$AR$203=TYPE3)*(TYPE3&lt;&gt;"")+('Dvd Calendar'!$E$203:$AR$203=TYPE4)*(TYPE4&lt;&gt;"")+('Dvd Calendar'!$E$203:$AR$203=SPECIAL_LBL)*(INC_SPECIALS="Y"))))</f>
        <v/>
      </c>
      <c r="K29" s="133">
        <f>IF($C29="","",HSI!$J$24)</f>
        <v/>
      </c>
      <c r="L29" s="133">
        <f>IF($C29="","",HSI!$K$24)</f>
        <v/>
      </c>
      <c r="M29" s="124">
        <f>IF($C29="","",HSI!$J$24+HSI!$L$24)</f>
        <v/>
      </c>
      <c r="N29" s="134">
        <f>IF($C29="","",IF(PULL_FUND="N","",IFERROR(BDP($C29,BESTDPS_FIELD,FWD_OVERRIDE,TEXT(MOD(YEAR_Y,100),"00")&amp;"Y"),"")))</f>
        <v/>
      </c>
      <c r="O29" s="133">
        <f>IF($C29="","",AVERAGE(F29:J29))</f>
        <v/>
      </c>
      <c r="P29" s="135">
        <f>IF($C29="","",IF(PULL_FUND="N","",IF(COUNTIFS('Fund History'!$J$110:$J$114,"&gt;="&amp;DATE(YEAR_Y-5,1,1),'Fund History'!$J$110:$J$114,"&lt;="&amp;DATE(YEAR_Y-5,12,31))=0,"",IFERROR($F29*HSI!$G$24/SUMIFS('Fund History'!$K$110:$K$114,'Fund History'!$J$110:$J$114,"&gt;="&amp;DATE(YEAR_Y-5,1,1),'Fund History'!$J$110:$J$114,"&lt;="&amp;DATE(YEAR_Y-5,12,31)),""))))</f>
        <v/>
      </c>
      <c r="Q29" s="136">
        <f>IF($C29="","",IF(PULL_FUND="N","",IF(COUNTIFS('Fund History'!$J$110:$J$114,"&gt;="&amp;DATE(YEAR_Y-4,1,1),'Fund History'!$J$110:$J$114,"&lt;="&amp;DATE(YEAR_Y-4,12,31))=0,"",IFERROR($G29*HSI!$G$24/SUMIFS('Fund History'!$K$110:$K$114,'Fund History'!$J$110:$J$114,"&gt;="&amp;DATE(YEAR_Y-4,1,1),'Fund History'!$J$110:$J$114,"&lt;="&amp;DATE(YEAR_Y-4,12,31)),""))))</f>
        <v/>
      </c>
      <c r="R29" s="136">
        <f>IF($C29="","",IF(PULL_FUND="N","",IF(COUNTIFS('Fund History'!$J$110:$J$114,"&gt;="&amp;DATE(YEAR_Y-3,1,1),'Fund History'!$J$110:$J$114,"&lt;="&amp;DATE(YEAR_Y-3,12,31))=0,"",IFERROR($H29*HSI!$G$24/SUMIFS('Fund History'!$K$110:$K$114,'Fund History'!$J$110:$J$114,"&gt;="&amp;DATE(YEAR_Y-3,1,1),'Fund History'!$J$110:$J$114,"&lt;="&amp;DATE(YEAR_Y-3,12,31)),""))))</f>
        <v/>
      </c>
      <c r="S29" s="136">
        <f>IF($C29="","",IF(PULL_FUND="N","",IF(COUNTIFS('Fund History'!$J$110:$J$114,"&gt;="&amp;DATE(YEAR_Y-2,1,1),'Fund History'!$J$110:$J$114,"&lt;="&amp;DATE(YEAR_Y-2,12,31))=0,"",IFERROR($I29*HSI!$G$24/SUMIFS('Fund History'!$K$110:$K$114,'Fund History'!$J$110:$J$114,"&gt;="&amp;DATE(YEAR_Y-2,1,1),'Fund History'!$J$110:$J$114,"&lt;="&amp;DATE(YEAR_Y-2,12,31)),""))))</f>
        <v/>
      </c>
      <c r="T29" s="136">
        <f>IF($C29="","",IF(PULL_FUND="N","",IF(COUNTIFS('Fund History'!$J$110:$J$114,"&gt;="&amp;DATE(YEAR_Y-1,1,1),'Fund History'!$J$110:$J$114,"&lt;="&amp;DATE(YEAR_Y-1,12,31))=0,"",IFERROR($J29*HSI!$G$24/SUMIFS('Fund History'!$K$110:$K$114,'Fund History'!$J$110:$J$114,"&gt;="&amp;DATE(YEAR_Y-1,1,1),'Fund History'!$J$110:$J$114,"&lt;="&amp;DATE(YEAR_Y-1,12,31)),""))))</f>
        <v/>
      </c>
      <c r="U29" s="137">
        <f>IF($C29="","",IF(ISNUMBER(HSI!$I$24),HSI!$I$24/100,""))</f>
        <v/>
      </c>
      <c r="V29" s="138">
        <f>IF($C29="","",IF(ISNUMBER(HSI!$X$24),IFERROR($M29*HSI!$G$24/HSI!$X$24,""),""))</f>
        <v/>
      </c>
      <c r="W29" s="137">
        <f>IF($C29="","",IF(ISNUMBER($N29),IFERROR($N29*HSI!$G$24/HSI!$X$24,""),""))</f>
        <v/>
      </c>
      <c r="X29" s="139">
        <f>IF($C29="","",IF(PULL_FUND="N","",IFERROR(BDP($C29,EPS_FIELD,YR_OVERRIDE,TEXT(YEAR_Y-5,"0")),"")))</f>
        <v/>
      </c>
      <c r="Y29" s="140">
        <f>IF($C29="","",IF(PULL_FUND="N","",IFERROR(BDP($C29,EPS_FIELD,YR_OVERRIDE,TEXT(YEAR_Y-4,"0")),"")))</f>
        <v/>
      </c>
      <c r="Z29" s="140">
        <f>IF($C29="","",IF(PULL_FUND="N","",IFERROR(BDP($C29,EPS_FIELD,YR_OVERRIDE,TEXT(YEAR_Y-3,"0")),"")))</f>
        <v/>
      </c>
      <c r="AA29" s="140">
        <f>IF($C29="","",IF(PULL_FUND="N","",IFERROR(BDP($C29,EPS_FIELD,YR_OVERRIDE,TEXT(YEAR_Y-2,"0")),"")))</f>
        <v/>
      </c>
      <c r="AB29" s="140">
        <f>IF($C29="","",IF(PULL_FUND="N","",IFERROR(BDP($C29,EPS_FIELD,YR_OVERRIDE,TEXT(YEAR_Y-1,"0")),"")))</f>
        <v/>
      </c>
      <c r="AC29" s="126">
        <f>IF($C29="","",IFERROR(AVERAGE(X29:AB29),""))</f>
        <v/>
      </c>
      <c r="AD29" s="140">
        <f>IF($C29="","",IF(PULL_FUND="N","",IFERROR(BDP($C29,BESTEPS_FIELD,FWD_OVERRIDE,TEXT(MOD(YEAR_Y,100),"00")&amp;"Y"),"")))</f>
        <v/>
      </c>
      <c r="AE29" s="141">
        <f>IF($C29="","",IF(PULL_FUND="N","",IFERROR(BDP($C29,PAYOUT_FIELD,YR_OVERRIDE,TEXT(YEAR_Y-5,"0"))/100,"")))</f>
        <v/>
      </c>
      <c r="AF29" s="142">
        <f>IF($C29="","",IF(PULL_FUND="N","",IFERROR(BDP($C29,PAYOUT_FIELD,YR_OVERRIDE,TEXT(YEAR_Y-4,"0"))/100,"")))</f>
        <v/>
      </c>
      <c r="AG29" s="142">
        <f>IF($C29="","",IF(PULL_FUND="N","",IFERROR(BDP($C29,PAYOUT_FIELD,YR_OVERRIDE,TEXT(YEAR_Y-3,"0"))/100,"")))</f>
        <v/>
      </c>
      <c r="AH29" s="142">
        <f>IF($C29="","",IF(PULL_FUND="N","",IFERROR(BDP($C29,PAYOUT_FIELD,YR_OVERRIDE,TEXT(YEAR_Y-2,"0"))/100,"")))</f>
        <v/>
      </c>
      <c r="AI29" s="142">
        <f>IF($C29="","",IF(PULL_FUND="N","",IFERROR(BDP($C29,PAYOUT_FIELD,YR_OVERRIDE,TEXT(YEAR_Y-1,"0"))/100,"")))</f>
        <v/>
      </c>
      <c r="AJ29" s="143">
        <f>IF($C29="","",IFERROR(AVERAGE(AE29:AI29),""))</f>
        <v/>
      </c>
      <c r="AK29" s="144">
        <f>IF($C29="","",IF(ISNUMBER($AD29)*ISNUMBER($N29)*($AD29&lt;&gt;0)=0,"",$N29/$AD29))</f>
        <v/>
      </c>
      <c r="AL29" s="143">
        <f>IF($C29="","",IF(ISNUMBER($AD29)*($AD29&lt;&gt;0)=0,"",$M29/$AD29))</f>
        <v/>
      </c>
      <c r="AM29" s="37">
        <f>IF($C29="","",IF(ISNUMBER($AE29)*ISNUMBER($AI29)=0,"",IF($AI29&gt;$AE29+0.05,"rising",IF($AI29&lt;$AE29-0.05,"falling","stable"))))</f>
        <v/>
      </c>
      <c r="AN29" s="145">
        <f>IF($C29="","",IF(PULL_FUND="N","",IF(COUNTIFS('Fund History'!$G$110:$G$114,"&gt;="&amp;DATE(YEAR_Y-4,1,1),'Fund History'!$G$110:$G$114,"&lt;="&amp;DATE(YEAR_Y-4,12,31))=0,"",SUMIFS('Fund History'!$H$110:$H$114,'Fund History'!$G$110:$G$114,"&gt;="&amp;DATE(YEAR_Y-4,1,1),'Fund History'!$G$110:$G$114,"&lt;="&amp;DATE(YEAR_Y-4,12,31))/100)))</f>
        <v/>
      </c>
      <c r="AO29" s="146">
        <f>IF($C29="","",IF(PULL_FUND="N","",IF(COUNTIFS('Fund History'!$G$110:$G$114,"&gt;="&amp;DATE(YEAR_Y-3,1,1),'Fund History'!$G$110:$G$114,"&lt;="&amp;DATE(YEAR_Y-3,12,31))=0,"",SUMIFS('Fund History'!$H$110:$H$114,'Fund History'!$G$110:$G$114,"&gt;="&amp;DATE(YEAR_Y-3,1,1),'Fund History'!$G$110:$G$114,"&lt;="&amp;DATE(YEAR_Y-3,12,31))/100)))</f>
        <v/>
      </c>
      <c r="AP29" s="146">
        <f>IF($C29="","",IF(PULL_FUND="N","",IF(COUNTIFS('Fund History'!$G$110:$G$114,"&gt;="&amp;DATE(YEAR_Y-2,1,1),'Fund History'!$G$110:$G$114,"&lt;="&amp;DATE(YEAR_Y-2,12,31))=0,"",SUMIFS('Fund History'!$H$110:$H$114,'Fund History'!$G$110:$G$114,"&gt;="&amp;DATE(YEAR_Y-2,1,1),'Fund History'!$G$110:$G$114,"&lt;="&amp;DATE(YEAR_Y-2,12,31))/100)))</f>
        <v/>
      </c>
      <c r="AQ29" s="146">
        <f>IF($C29="","",IF(PULL_FUND="N","",IF(COUNTIFS('Fund History'!$G$110:$G$114,"&gt;="&amp;DATE(YEAR_Y-1,1,1),'Fund History'!$G$110:$G$114,"&lt;="&amp;DATE(YEAR_Y-1,12,31))=0,"",SUMIFS('Fund History'!$H$110:$H$114,'Fund History'!$G$110:$G$114,"&gt;="&amp;DATE(YEAR_Y-1,1,1),'Fund History'!$G$110:$G$114,"&lt;="&amp;DATE(YEAR_Y-1,12,31))/100)))</f>
        <v/>
      </c>
      <c r="AR29" s="147">
        <f>IF($C29="","",IF(N($AQ29)+N(HSI!$I$24)=0,"",N($AQ29)+N(HSI!$I$24)/100))</f>
        <v/>
      </c>
      <c r="AS29" s="139">
        <f>IF($C29="","",IF(PULL_FUND="N","",IF(COUNTIFS('Fund History'!$D$110:$D$114,"&gt;="&amp;DATE(YEAR_Y-2,1,1),'Fund History'!$D$110:$D$114,"&lt;="&amp;DATE(YEAR_Y-2,12,31))=0,"",SUMIFS('Fund History'!$E$110:$E$114,'Fund History'!$D$110:$D$114,"&gt;="&amp;DATE(YEAR_Y-2,1,1),'Fund History'!$D$110:$D$114,"&lt;="&amp;DATE(YEAR_Y-2,12,31)))))</f>
        <v/>
      </c>
      <c r="AT29" s="140">
        <f>IF($C29="","",IF(PULL_FUND="N","",IF(COUNTIFS('Fund History'!$D$110:$D$114,"&gt;="&amp;DATE(YEAR_Y-1,1,1),'Fund History'!$D$110:$D$114,"&lt;="&amp;DATE(YEAR_Y-1,12,31))=0,"",SUMIFS('Fund History'!$E$110:$E$114,'Fund History'!$D$110:$D$114,"&gt;="&amp;DATE(YEAR_Y-1,1,1),'Fund History'!$D$110:$D$114,"&lt;="&amp;DATE(YEAR_Y-1,12,31)))))</f>
        <v/>
      </c>
      <c r="AU29" s="140">
        <f>IF($C29="","",IF(PULL_FUND="N","",IFERROR(BDP($C29,NDEBITDA_FIELD),"")))</f>
        <v/>
      </c>
      <c r="AV29" s="148">
        <f>IF($C29="","",IF(PULL_FUND="N","",IFERROR(BDP($C29,EBINT_FIELD),"")))</f>
        <v/>
      </c>
      <c r="AW29" s="146">
        <f>IF($C29="","",IF(PULL_FUND="N","",IFERROR(BDP($C29,FCF_FIELD)/100,"")))</f>
        <v/>
      </c>
      <c r="AX29" s="126">
        <f>IF($C29="","",IF(N($U29)=0,"",IFERROR($AW29/$U29,"")))</f>
        <v/>
      </c>
      <c r="AY29" s="85">
        <f>IF($C29="","",TRIM(IF(ISNUMBER($AJ29)*(N($AJ29)&gt;$D$4)&gt;0,"payout high  ","")&amp;IF(ISNUMBER($AX29)*(N($AX29)&lt;$F$4)&gt;0,"FCF below dvd  ","")&amp;IF(ISNUMBER($AU29)*(N($AU29)&gt;$H$4)&gt;0,"leverage high","")))</f>
        <v/>
      </c>
      <c r="AZ29" s="86">
        <f>IF($C29="","",IF(HSI!$F$24="HKD","",HSI!$F$24))</f>
        <v/>
      </c>
    </row>
    <row r="30">
      <c r="B30" s="66" t="inlineStr">
        <is>
          <t>HSI</t>
        </is>
      </c>
      <c r="C30" s="8">
        <f>IF(HSI!$C$25="","",HSI!$C$25)</f>
        <v/>
      </c>
      <c r="D30" s="8">
        <f>IF($C30="","",HSI!$D$25)</f>
        <v/>
      </c>
      <c r="E30" s="8">
        <f>IF($C30="","",HSI!$E$25)</f>
        <v/>
      </c>
      <c r="F30" s="131">
        <f>IF($C30="","",SUMPRODUCT(('Dvd Calendar'!$E$209:$AR$209&gt;=DATE(YEAR_Y-5,1,1))*('Dvd Calendar'!$E$209:$AR$209&lt;=DATE(YEAR_Y-5,12,31))*'Dvd Calendar'!$E$212:$AR$212*(('Dvd Calendar'!$E$214:$AR$214=TYPE1)*(TYPE1&lt;&gt;"")+('Dvd Calendar'!$E$214:$AR$214=TYPE2)*(TYPE2&lt;&gt;"")+('Dvd Calendar'!$E$214:$AR$214=TYPE3)*(TYPE3&lt;&gt;"")+('Dvd Calendar'!$E$214:$AR$214=TYPE4)*(TYPE4&lt;&gt;"")+('Dvd Calendar'!$E$214:$AR$214=SPECIAL_LBL)*(INC_SPECIALS="Y"))))</f>
        <v/>
      </c>
      <c r="G30" s="132">
        <f>IF($C30="","",SUMPRODUCT(('Dvd Calendar'!$E$209:$AR$209&gt;=DATE(YEAR_Y-4,1,1))*('Dvd Calendar'!$E$209:$AR$209&lt;=DATE(YEAR_Y-4,12,31))*'Dvd Calendar'!$E$212:$AR$212*(('Dvd Calendar'!$E$214:$AR$214=TYPE1)*(TYPE1&lt;&gt;"")+('Dvd Calendar'!$E$214:$AR$214=TYPE2)*(TYPE2&lt;&gt;"")+('Dvd Calendar'!$E$214:$AR$214=TYPE3)*(TYPE3&lt;&gt;"")+('Dvd Calendar'!$E$214:$AR$214=TYPE4)*(TYPE4&lt;&gt;"")+('Dvd Calendar'!$E$214:$AR$214=SPECIAL_LBL)*(INC_SPECIALS="Y"))))</f>
        <v/>
      </c>
      <c r="H30" s="132">
        <f>IF($C30="","",SUMPRODUCT(('Dvd Calendar'!$E$209:$AR$209&gt;=DATE(YEAR_Y-3,1,1))*('Dvd Calendar'!$E$209:$AR$209&lt;=DATE(YEAR_Y-3,12,31))*'Dvd Calendar'!$E$212:$AR$212*(('Dvd Calendar'!$E$214:$AR$214=TYPE1)*(TYPE1&lt;&gt;"")+('Dvd Calendar'!$E$214:$AR$214=TYPE2)*(TYPE2&lt;&gt;"")+('Dvd Calendar'!$E$214:$AR$214=TYPE3)*(TYPE3&lt;&gt;"")+('Dvd Calendar'!$E$214:$AR$214=TYPE4)*(TYPE4&lt;&gt;"")+('Dvd Calendar'!$E$214:$AR$214=SPECIAL_LBL)*(INC_SPECIALS="Y"))))</f>
        <v/>
      </c>
      <c r="I30" s="132">
        <f>IF($C30="","",SUMPRODUCT(('Dvd Calendar'!$E$209:$AR$209&gt;=DATE(YEAR_Y-2,1,1))*('Dvd Calendar'!$E$209:$AR$209&lt;=DATE(YEAR_Y-2,12,31))*'Dvd Calendar'!$E$212:$AR$212*(('Dvd Calendar'!$E$214:$AR$214=TYPE1)*(TYPE1&lt;&gt;"")+('Dvd Calendar'!$E$214:$AR$214=TYPE2)*(TYPE2&lt;&gt;"")+('Dvd Calendar'!$E$214:$AR$214=TYPE3)*(TYPE3&lt;&gt;"")+('Dvd Calendar'!$E$214:$AR$214=TYPE4)*(TYPE4&lt;&gt;"")+('Dvd Calendar'!$E$214:$AR$214=SPECIAL_LBL)*(INC_SPECIALS="Y"))))</f>
        <v/>
      </c>
      <c r="J30" s="132">
        <f>IF($C30="","",SUMPRODUCT(('Dvd Calendar'!$E$209:$AR$209&gt;=DATE(YEAR_Y-1,1,1))*('Dvd Calendar'!$E$209:$AR$209&lt;=DATE(YEAR_Y-1,12,31))*'Dvd Calendar'!$E$212:$AR$212*(('Dvd Calendar'!$E$214:$AR$214=TYPE1)*(TYPE1&lt;&gt;"")+('Dvd Calendar'!$E$214:$AR$214=TYPE2)*(TYPE2&lt;&gt;"")+('Dvd Calendar'!$E$214:$AR$214=TYPE3)*(TYPE3&lt;&gt;"")+('Dvd Calendar'!$E$214:$AR$214=TYPE4)*(TYPE4&lt;&gt;"")+('Dvd Calendar'!$E$214:$AR$214=SPECIAL_LBL)*(INC_SPECIALS="Y"))))</f>
        <v/>
      </c>
      <c r="K30" s="133">
        <f>IF($C30="","",HSI!$J$25)</f>
        <v/>
      </c>
      <c r="L30" s="133">
        <f>IF($C30="","",HSI!$K$25)</f>
        <v/>
      </c>
      <c r="M30" s="124">
        <f>IF($C30="","",HSI!$J$25+HSI!$L$25)</f>
        <v/>
      </c>
      <c r="N30" s="134">
        <f>IF($C30="","",IF(PULL_FUND="N","",IFERROR(BDP($C30,BESTDPS_FIELD,FWD_OVERRIDE,TEXT(MOD(YEAR_Y,100),"00")&amp;"Y"),"")))</f>
        <v/>
      </c>
      <c r="O30" s="133">
        <f>IF($C30="","",AVERAGE(F30:J30))</f>
        <v/>
      </c>
      <c r="P30" s="135">
        <f>IF($C30="","",IF(PULL_FUND="N","",IF(COUNTIFS('Fund History'!$J$116:$J$120,"&gt;="&amp;DATE(YEAR_Y-5,1,1),'Fund History'!$J$116:$J$120,"&lt;="&amp;DATE(YEAR_Y-5,12,31))=0,"",IFERROR($F30*HSI!$G$25/SUMIFS('Fund History'!$K$116:$K$120,'Fund History'!$J$116:$J$120,"&gt;="&amp;DATE(YEAR_Y-5,1,1),'Fund History'!$J$116:$J$120,"&lt;="&amp;DATE(YEAR_Y-5,12,31)),""))))</f>
        <v/>
      </c>
      <c r="Q30" s="136">
        <f>IF($C30="","",IF(PULL_FUND="N","",IF(COUNTIFS('Fund History'!$J$116:$J$120,"&gt;="&amp;DATE(YEAR_Y-4,1,1),'Fund History'!$J$116:$J$120,"&lt;="&amp;DATE(YEAR_Y-4,12,31))=0,"",IFERROR($G30*HSI!$G$25/SUMIFS('Fund History'!$K$116:$K$120,'Fund History'!$J$116:$J$120,"&gt;="&amp;DATE(YEAR_Y-4,1,1),'Fund History'!$J$116:$J$120,"&lt;="&amp;DATE(YEAR_Y-4,12,31)),""))))</f>
        <v/>
      </c>
      <c r="R30" s="136">
        <f>IF($C30="","",IF(PULL_FUND="N","",IF(COUNTIFS('Fund History'!$J$116:$J$120,"&gt;="&amp;DATE(YEAR_Y-3,1,1),'Fund History'!$J$116:$J$120,"&lt;="&amp;DATE(YEAR_Y-3,12,31))=0,"",IFERROR($H30*HSI!$G$25/SUMIFS('Fund History'!$K$116:$K$120,'Fund History'!$J$116:$J$120,"&gt;="&amp;DATE(YEAR_Y-3,1,1),'Fund History'!$J$116:$J$120,"&lt;="&amp;DATE(YEAR_Y-3,12,31)),""))))</f>
        <v/>
      </c>
      <c r="S30" s="136">
        <f>IF($C30="","",IF(PULL_FUND="N","",IF(COUNTIFS('Fund History'!$J$116:$J$120,"&gt;="&amp;DATE(YEAR_Y-2,1,1),'Fund History'!$J$116:$J$120,"&lt;="&amp;DATE(YEAR_Y-2,12,31))=0,"",IFERROR($I30*HSI!$G$25/SUMIFS('Fund History'!$K$116:$K$120,'Fund History'!$J$116:$J$120,"&gt;="&amp;DATE(YEAR_Y-2,1,1),'Fund History'!$J$116:$J$120,"&lt;="&amp;DATE(YEAR_Y-2,12,31)),""))))</f>
        <v/>
      </c>
      <c r="T30" s="136">
        <f>IF($C30="","",IF(PULL_FUND="N","",IF(COUNTIFS('Fund History'!$J$116:$J$120,"&gt;="&amp;DATE(YEAR_Y-1,1,1),'Fund History'!$J$116:$J$120,"&lt;="&amp;DATE(YEAR_Y-1,12,31))=0,"",IFERROR($J30*HSI!$G$25/SUMIFS('Fund History'!$K$116:$K$120,'Fund History'!$J$116:$J$120,"&gt;="&amp;DATE(YEAR_Y-1,1,1),'Fund History'!$J$116:$J$120,"&lt;="&amp;DATE(YEAR_Y-1,12,31)),""))))</f>
        <v/>
      </c>
      <c r="U30" s="137">
        <f>IF($C30="","",IF(ISNUMBER(HSI!$I$25),HSI!$I$25/100,""))</f>
        <v/>
      </c>
      <c r="V30" s="138">
        <f>IF($C30="","",IF(ISNUMBER(HSI!$X$25),IFERROR($M30*HSI!$G$25/HSI!$X$25,""),""))</f>
        <v/>
      </c>
      <c r="W30" s="137">
        <f>IF($C30="","",IF(ISNUMBER($N30),IFERROR($N30*HSI!$G$25/HSI!$X$25,""),""))</f>
        <v/>
      </c>
      <c r="X30" s="139">
        <f>IF($C30="","",IF(PULL_FUND="N","",IFERROR(BDP($C30,EPS_FIELD,YR_OVERRIDE,TEXT(YEAR_Y-5,"0")),"")))</f>
        <v/>
      </c>
      <c r="Y30" s="140">
        <f>IF($C30="","",IF(PULL_FUND="N","",IFERROR(BDP($C30,EPS_FIELD,YR_OVERRIDE,TEXT(YEAR_Y-4,"0")),"")))</f>
        <v/>
      </c>
      <c r="Z30" s="140">
        <f>IF($C30="","",IF(PULL_FUND="N","",IFERROR(BDP($C30,EPS_FIELD,YR_OVERRIDE,TEXT(YEAR_Y-3,"0")),"")))</f>
        <v/>
      </c>
      <c r="AA30" s="140">
        <f>IF($C30="","",IF(PULL_FUND="N","",IFERROR(BDP($C30,EPS_FIELD,YR_OVERRIDE,TEXT(YEAR_Y-2,"0")),"")))</f>
        <v/>
      </c>
      <c r="AB30" s="140">
        <f>IF($C30="","",IF(PULL_FUND="N","",IFERROR(BDP($C30,EPS_FIELD,YR_OVERRIDE,TEXT(YEAR_Y-1,"0")),"")))</f>
        <v/>
      </c>
      <c r="AC30" s="126">
        <f>IF($C30="","",IFERROR(AVERAGE(X30:AB30),""))</f>
        <v/>
      </c>
      <c r="AD30" s="140">
        <f>IF($C30="","",IF(PULL_FUND="N","",IFERROR(BDP($C30,BESTEPS_FIELD,FWD_OVERRIDE,TEXT(MOD(YEAR_Y,100),"00")&amp;"Y"),"")))</f>
        <v/>
      </c>
      <c r="AE30" s="141">
        <f>IF($C30="","",IF(PULL_FUND="N","",IFERROR(BDP($C30,PAYOUT_FIELD,YR_OVERRIDE,TEXT(YEAR_Y-5,"0"))/100,"")))</f>
        <v/>
      </c>
      <c r="AF30" s="142">
        <f>IF($C30="","",IF(PULL_FUND="N","",IFERROR(BDP($C30,PAYOUT_FIELD,YR_OVERRIDE,TEXT(YEAR_Y-4,"0"))/100,"")))</f>
        <v/>
      </c>
      <c r="AG30" s="142">
        <f>IF($C30="","",IF(PULL_FUND="N","",IFERROR(BDP($C30,PAYOUT_FIELD,YR_OVERRIDE,TEXT(YEAR_Y-3,"0"))/100,"")))</f>
        <v/>
      </c>
      <c r="AH30" s="142">
        <f>IF($C30="","",IF(PULL_FUND="N","",IFERROR(BDP($C30,PAYOUT_FIELD,YR_OVERRIDE,TEXT(YEAR_Y-2,"0"))/100,"")))</f>
        <v/>
      </c>
      <c r="AI30" s="142">
        <f>IF($C30="","",IF(PULL_FUND="N","",IFERROR(BDP($C30,PAYOUT_FIELD,YR_OVERRIDE,TEXT(YEAR_Y-1,"0"))/100,"")))</f>
        <v/>
      </c>
      <c r="AJ30" s="143">
        <f>IF($C30="","",IFERROR(AVERAGE(AE30:AI30),""))</f>
        <v/>
      </c>
      <c r="AK30" s="144">
        <f>IF($C30="","",IF(ISNUMBER($AD30)*ISNUMBER($N30)*($AD30&lt;&gt;0)=0,"",$N30/$AD30))</f>
        <v/>
      </c>
      <c r="AL30" s="143">
        <f>IF($C30="","",IF(ISNUMBER($AD30)*($AD30&lt;&gt;0)=0,"",$M30/$AD30))</f>
        <v/>
      </c>
      <c r="AM30" s="37">
        <f>IF($C30="","",IF(ISNUMBER($AE30)*ISNUMBER($AI30)=0,"",IF($AI30&gt;$AE30+0.05,"rising",IF($AI30&lt;$AE30-0.05,"falling","stable"))))</f>
        <v/>
      </c>
      <c r="AN30" s="145">
        <f>IF($C30="","",IF(PULL_FUND="N","",IF(COUNTIFS('Fund History'!$G$116:$G$120,"&gt;="&amp;DATE(YEAR_Y-4,1,1),'Fund History'!$G$116:$G$120,"&lt;="&amp;DATE(YEAR_Y-4,12,31))=0,"",SUMIFS('Fund History'!$H$116:$H$120,'Fund History'!$G$116:$G$120,"&gt;="&amp;DATE(YEAR_Y-4,1,1),'Fund History'!$G$116:$G$120,"&lt;="&amp;DATE(YEAR_Y-4,12,31))/100)))</f>
        <v/>
      </c>
      <c r="AO30" s="146">
        <f>IF($C30="","",IF(PULL_FUND="N","",IF(COUNTIFS('Fund History'!$G$116:$G$120,"&gt;="&amp;DATE(YEAR_Y-3,1,1),'Fund History'!$G$116:$G$120,"&lt;="&amp;DATE(YEAR_Y-3,12,31))=0,"",SUMIFS('Fund History'!$H$116:$H$120,'Fund History'!$G$116:$G$120,"&gt;="&amp;DATE(YEAR_Y-3,1,1),'Fund History'!$G$116:$G$120,"&lt;="&amp;DATE(YEAR_Y-3,12,31))/100)))</f>
        <v/>
      </c>
      <c r="AP30" s="146">
        <f>IF($C30="","",IF(PULL_FUND="N","",IF(COUNTIFS('Fund History'!$G$116:$G$120,"&gt;="&amp;DATE(YEAR_Y-2,1,1),'Fund History'!$G$116:$G$120,"&lt;="&amp;DATE(YEAR_Y-2,12,31))=0,"",SUMIFS('Fund History'!$H$116:$H$120,'Fund History'!$G$116:$G$120,"&gt;="&amp;DATE(YEAR_Y-2,1,1),'Fund History'!$G$116:$G$120,"&lt;="&amp;DATE(YEAR_Y-2,12,31))/100)))</f>
        <v/>
      </c>
      <c r="AQ30" s="146">
        <f>IF($C30="","",IF(PULL_FUND="N","",IF(COUNTIFS('Fund History'!$G$116:$G$120,"&gt;="&amp;DATE(YEAR_Y-1,1,1),'Fund History'!$G$116:$G$120,"&lt;="&amp;DATE(YEAR_Y-1,12,31))=0,"",SUMIFS('Fund History'!$H$116:$H$120,'Fund History'!$G$116:$G$120,"&gt;="&amp;DATE(YEAR_Y-1,1,1),'Fund History'!$G$116:$G$120,"&lt;="&amp;DATE(YEAR_Y-1,12,31))/100)))</f>
        <v/>
      </c>
      <c r="AR30" s="147">
        <f>IF($C30="","",IF(N($AQ30)+N(HSI!$I$25)=0,"",N($AQ30)+N(HSI!$I$25)/100))</f>
        <v/>
      </c>
      <c r="AS30" s="139">
        <f>IF($C30="","",IF(PULL_FUND="N","",IF(COUNTIFS('Fund History'!$D$116:$D$120,"&gt;="&amp;DATE(YEAR_Y-2,1,1),'Fund History'!$D$116:$D$120,"&lt;="&amp;DATE(YEAR_Y-2,12,31))=0,"",SUMIFS('Fund History'!$E$116:$E$120,'Fund History'!$D$116:$D$120,"&gt;="&amp;DATE(YEAR_Y-2,1,1),'Fund History'!$D$116:$D$120,"&lt;="&amp;DATE(YEAR_Y-2,12,31)))))</f>
        <v/>
      </c>
      <c r="AT30" s="140">
        <f>IF($C30="","",IF(PULL_FUND="N","",IF(COUNTIFS('Fund History'!$D$116:$D$120,"&gt;="&amp;DATE(YEAR_Y-1,1,1),'Fund History'!$D$116:$D$120,"&lt;="&amp;DATE(YEAR_Y-1,12,31))=0,"",SUMIFS('Fund History'!$E$116:$E$120,'Fund History'!$D$116:$D$120,"&gt;="&amp;DATE(YEAR_Y-1,1,1),'Fund History'!$D$116:$D$120,"&lt;="&amp;DATE(YEAR_Y-1,12,31)))))</f>
        <v/>
      </c>
      <c r="AU30" s="140">
        <f>IF($C30="","",IF(PULL_FUND="N","",IFERROR(BDP($C30,NDEBITDA_FIELD),"")))</f>
        <v/>
      </c>
      <c r="AV30" s="148">
        <f>IF($C30="","",IF(PULL_FUND="N","",IFERROR(BDP($C30,EBINT_FIELD),"")))</f>
        <v/>
      </c>
      <c r="AW30" s="146">
        <f>IF($C30="","",IF(PULL_FUND="N","",IFERROR(BDP($C30,FCF_FIELD)/100,"")))</f>
        <v/>
      </c>
      <c r="AX30" s="126">
        <f>IF($C30="","",IF(N($U30)=0,"",IFERROR($AW30/$U30,"")))</f>
        <v/>
      </c>
      <c r="AY30" s="85">
        <f>IF($C30="","",TRIM(IF(ISNUMBER($AJ30)*(N($AJ30)&gt;$D$4)&gt;0,"payout high  ","")&amp;IF(ISNUMBER($AX30)*(N($AX30)&lt;$F$4)&gt;0,"FCF below dvd  ","")&amp;IF(ISNUMBER($AU30)*(N($AU30)&gt;$H$4)&gt;0,"leverage high","")))</f>
        <v/>
      </c>
      <c r="AZ30" s="86">
        <f>IF($C30="","",IF(HSI!$F$25="HKD","",HSI!$F$25))</f>
        <v/>
      </c>
    </row>
    <row r="31">
      <c r="B31" s="66" t="inlineStr">
        <is>
          <t>HSI</t>
        </is>
      </c>
      <c r="C31" s="8">
        <f>IF(HSI!$C$26="","",HSI!$C$26)</f>
        <v/>
      </c>
      <c r="D31" s="8">
        <f>IF($C31="","",HSI!$D$26)</f>
        <v/>
      </c>
      <c r="E31" s="8">
        <f>IF($C31="","",HSI!$E$26)</f>
        <v/>
      </c>
      <c r="F31" s="131">
        <f>IF($C31="","",SUMPRODUCT(('Dvd Calendar'!$E$220:$AR$220&gt;=DATE(YEAR_Y-5,1,1))*('Dvd Calendar'!$E$220:$AR$220&lt;=DATE(YEAR_Y-5,12,31))*'Dvd Calendar'!$E$223:$AR$223*(('Dvd Calendar'!$E$225:$AR$225=TYPE1)*(TYPE1&lt;&gt;"")+('Dvd Calendar'!$E$225:$AR$225=TYPE2)*(TYPE2&lt;&gt;"")+('Dvd Calendar'!$E$225:$AR$225=TYPE3)*(TYPE3&lt;&gt;"")+('Dvd Calendar'!$E$225:$AR$225=TYPE4)*(TYPE4&lt;&gt;"")+('Dvd Calendar'!$E$225:$AR$225=SPECIAL_LBL)*(INC_SPECIALS="Y"))))</f>
        <v/>
      </c>
      <c r="G31" s="132">
        <f>IF($C31="","",SUMPRODUCT(('Dvd Calendar'!$E$220:$AR$220&gt;=DATE(YEAR_Y-4,1,1))*('Dvd Calendar'!$E$220:$AR$220&lt;=DATE(YEAR_Y-4,12,31))*'Dvd Calendar'!$E$223:$AR$223*(('Dvd Calendar'!$E$225:$AR$225=TYPE1)*(TYPE1&lt;&gt;"")+('Dvd Calendar'!$E$225:$AR$225=TYPE2)*(TYPE2&lt;&gt;"")+('Dvd Calendar'!$E$225:$AR$225=TYPE3)*(TYPE3&lt;&gt;"")+('Dvd Calendar'!$E$225:$AR$225=TYPE4)*(TYPE4&lt;&gt;"")+('Dvd Calendar'!$E$225:$AR$225=SPECIAL_LBL)*(INC_SPECIALS="Y"))))</f>
        <v/>
      </c>
      <c r="H31" s="132">
        <f>IF($C31="","",SUMPRODUCT(('Dvd Calendar'!$E$220:$AR$220&gt;=DATE(YEAR_Y-3,1,1))*('Dvd Calendar'!$E$220:$AR$220&lt;=DATE(YEAR_Y-3,12,31))*'Dvd Calendar'!$E$223:$AR$223*(('Dvd Calendar'!$E$225:$AR$225=TYPE1)*(TYPE1&lt;&gt;"")+('Dvd Calendar'!$E$225:$AR$225=TYPE2)*(TYPE2&lt;&gt;"")+('Dvd Calendar'!$E$225:$AR$225=TYPE3)*(TYPE3&lt;&gt;"")+('Dvd Calendar'!$E$225:$AR$225=TYPE4)*(TYPE4&lt;&gt;"")+('Dvd Calendar'!$E$225:$AR$225=SPECIAL_LBL)*(INC_SPECIALS="Y"))))</f>
        <v/>
      </c>
      <c r="I31" s="132">
        <f>IF($C31="","",SUMPRODUCT(('Dvd Calendar'!$E$220:$AR$220&gt;=DATE(YEAR_Y-2,1,1))*('Dvd Calendar'!$E$220:$AR$220&lt;=DATE(YEAR_Y-2,12,31))*'Dvd Calendar'!$E$223:$AR$223*(('Dvd Calendar'!$E$225:$AR$225=TYPE1)*(TYPE1&lt;&gt;"")+('Dvd Calendar'!$E$225:$AR$225=TYPE2)*(TYPE2&lt;&gt;"")+('Dvd Calendar'!$E$225:$AR$225=TYPE3)*(TYPE3&lt;&gt;"")+('Dvd Calendar'!$E$225:$AR$225=TYPE4)*(TYPE4&lt;&gt;"")+('Dvd Calendar'!$E$225:$AR$225=SPECIAL_LBL)*(INC_SPECIALS="Y"))))</f>
        <v/>
      </c>
      <c r="J31" s="132">
        <f>IF($C31="","",SUMPRODUCT(('Dvd Calendar'!$E$220:$AR$220&gt;=DATE(YEAR_Y-1,1,1))*('Dvd Calendar'!$E$220:$AR$220&lt;=DATE(YEAR_Y-1,12,31))*'Dvd Calendar'!$E$223:$AR$223*(('Dvd Calendar'!$E$225:$AR$225=TYPE1)*(TYPE1&lt;&gt;"")+('Dvd Calendar'!$E$225:$AR$225=TYPE2)*(TYPE2&lt;&gt;"")+('Dvd Calendar'!$E$225:$AR$225=TYPE3)*(TYPE3&lt;&gt;"")+('Dvd Calendar'!$E$225:$AR$225=TYPE4)*(TYPE4&lt;&gt;"")+('Dvd Calendar'!$E$225:$AR$225=SPECIAL_LBL)*(INC_SPECIALS="Y"))))</f>
        <v/>
      </c>
      <c r="K31" s="133">
        <f>IF($C31="","",HSI!$J$26)</f>
        <v/>
      </c>
      <c r="L31" s="133">
        <f>IF($C31="","",HSI!$K$26)</f>
        <v/>
      </c>
      <c r="M31" s="124">
        <f>IF($C31="","",HSI!$J$26+HSI!$L$26)</f>
        <v/>
      </c>
      <c r="N31" s="134">
        <f>IF($C31="","",IF(PULL_FUND="N","",IFERROR(BDP($C31,BESTDPS_FIELD,FWD_OVERRIDE,TEXT(MOD(YEAR_Y,100),"00")&amp;"Y"),"")))</f>
        <v/>
      </c>
      <c r="O31" s="133">
        <f>IF($C31="","",AVERAGE(F31:J31))</f>
        <v/>
      </c>
      <c r="P31" s="135">
        <f>IF($C31="","",IF(PULL_FUND="N","",IF(COUNTIFS('Fund History'!$J$122:$J$126,"&gt;="&amp;DATE(YEAR_Y-5,1,1),'Fund History'!$J$122:$J$126,"&lt;="&amp;DATE(YEAR_Y-5,12,31))=0,"",IFERROR($F31*HSI!$G$26/SUMIFS('Fund History'!$K$122:$K$126,'Fund History'!$J$122:$J$126,"&gt;="&amp;DATE(YEAR_Y-5,1,1),'Fund History'!$J$122:$J$126,"&lt;="&amp;DATE(YEAR_Y-5,12,31)),""))))</f>
        <v/>
      </c>
      <c r="Q31" s="136">
        <f>IF($C31="","",IF(PULL_FUND="N","",IF(COUNTIFS('Fund History'!$J$122:$J$126,"&gt;="&amp;DATE(YEAR_Y-4,1,1),'Fund History'!$J$122:$J$126,"&lt;="&amp;DATE(YEAR_Y-4,12,31))=0,"",IFERROR($G31*HSI!$G$26/SUMIFS('Fund History'!$K$122:$K$126,'Fund History'!$J$122:$J$126,"&gt;="&amp;DATE(YEAR_Y-4,1,1),'Fund History'!$J$122:$J$126,"&lt;="&amp;DATE(YEAR_Y-4,12,31)),""))))</f>
        <v/>
      </c>
      <c r="R31" s="136">
        <f>IF($C31="","",IF(PULL_FUND="N","",IF(COUNTIFS('Fund History'!$J$122:$J$126,"&gt;="&amp;DATE(YEAR_Y-3,1,1),'Fund History'!$J$122:$J$126,"&lt;="&amp;DATE(YEAR_Y-3,12,31))=0,"",IFERROR($H31*HSI!$G$26/SUMIFS('Fund History'!$K$122:$K$126,'Fund History'!$J$122:$J$126,"&gt;="&amp;DATE(YEAR_Y-3,1,1),'Fund History'!$J$122:$J$126,"&lt;="&amp;DATE(YEAR_Y-3,12,31)),""))))</f>
        <v/>
      </c>
      <c r="S31" s="136">
        <f>IF($C31="","",IF(PULL_FUND="N","",IF(COUNTIFS('Fund History'!$J$122:$J$126,"&gt;="&amp;DATE(YEAR_Y-2,1,1),'Fund History'!$J$122:$J$126,"&lt;="&amp;DATE(YEAR_Y-2,12,31))=0,"",IFERROR($I31*HSI!$G$26/SUMIFS('Fund History'!$K$122:$K$126,'Fund History'!$J$122:$J$126,"&gt;="&amp;DATE(YEAR_Y-2,1,1),'Fund History'!$J$122:$J$126,"&lt;="&amp;DATE(YEAR_Y-2,12,31)),""))))</f>
        <v/>
      </c>
      <c r="T31" s="136">
        <f>IF($C31="","",IF(PULL_FUND="N","",IF(COUNTIFS('Fund History'!$J$122:$J$126,"&gt;="&amp;DATE(YEAR_Y-1,1,1),'Fund History'!$J$122:$J$126,"&lt;="&amp;DATE(YEAR_Y-1,12,31))=0,"",IFERROR($J31*HSI!$G$26/SUMIFS('Fund History'!$K$122:$K$126,'Fund History'!$J$122:$J$126,"&gt;="&amp;DATE(YEAR_Y-1,1,1),'Fund History'!$J$122:$J$126,"&lt;="&amp;DATE(YEAR_Y-1,12,31)),""))))</f>
        <v/>
      </c>
      <c r="U31" s="137">
        <f>IF($C31="","",IF(ISNUMBER(HSI!$I$26),HSI!$I$26/100,""))</f>
        <v/>
      </c>
      <c r="V31" s="138">
        <f>IF($C31="","",IF(ISNUMBER(HSI!$X$26),IFERROR($M31*HSI!$G$26/HSI!$X$26,""),""))</f>
        <v/>
      </c>
      <c r="W31" s="137">
        <f>IF($C31="","",IF(ISNUMBER($N31),IFERROR($N31*HSI!$G$26/HSI!$X$26,""),""))</f>
        <v/>
      </c>
      <c r="X31" s="139">
        <f>IF($C31="","",IF(PULL_FUND="N","",IFERROR(BDP($C31,EPS_FIELD,YR_OVERRIDE,TEXT(YEAR_Y-5,"0")),"")))</f>
        <v/>
      </c>
      <c r="Y31" s="140">
        <f>IF($C31="","",IF(PULL_FUND="N","",IFERROR(BDP($C31,EPS_FIELD,YR_OVERRIDE,TEXT(YEAR_Y-4,"0")),"")))</f>
        <v/>
      </c>
      <c r="Z31" s="140">
        <f>IF($C31="","",IF(PULL_FUND="N","",IFERROR(BDP($C31,EPS_FIELD,YR_OVERRIDE,TEXT(YEAR_Y-3,"0")),"")))</f>
        <v/>
      </c>
      <c r="AA31" s="140">
        <f>IF($C31="","",IF(PULL_FUND="N","",IFERROR(BDP($C31,EPS_FIELD,YR_OVERRIDE,TEXT(YEAR_Y-2,"0")),"")))</f>
        <v/>
      </c>
      <c r="AB31" s="140">
        <f>IF($C31="","",IF(PULL_FUND="N","",IFERROR(BDP($C31,EPS_FIELD,YR_OVERRIDE,TEXT(YEAR_Y-1,"0")),"")))</f>
        <v/>
      </c>
      <c r="AC31" s="126">
        <f>IF($C31="","",IFERROR(AVERAGE(X31:AB31),""))</f>
        <v/>
      </c>
      <c r="AD31" s="140">
        <f>IF($C31="","",IF(PULL_FUND="N","",IFERROR(BDP($C31,BESTEPS_FIELD,FWD_OVERRIDE,TEXT(MOD(YEAR_Y,100),"00")&amp;"Y"),"")))</f>
        <v/>
      </c>
      <c r="AE31" s="141">
        <f>IF($C31="","",IF(PULL_FUND="N","",IFERROR(BDP($C31,PAYOUT_FIELD,YR_OVERRIDE,TEXT(YEAR_Y-5,"0"))/100,"")))</f>
        <v/>
      </c>
      <c r="AF31" s="142">
        <f>IF($C31="","",IF(PULL_FUND="N","",IFERROR(BDP($C31,PAYOUT_FIELD,YR_OVERRIDE,TEXT(YEAR_Y-4,"0"))/100,"")))</f>
        <v/>
      </c>
      <c r="AG31" s="142">
        <f>IF($C31="","",IF(PULL_FUND="N","",IFERROR(BDP($C31,PAYOUT_FIELD,YR_OVERRIDE,TEXT(YEAR_Y-3,"0"))/100,"")))</f>
        <v/>
      </c>
      <c r="AH31" s="142">
        <f>IF($C31="","",IF(PULL_FUND="N","",IFERROR(BDP($C31,PAYOUT_FIELD,YR_OVERRIDE,TEXT(YEAR_Y-2,"0"))/100,"")))</f>
        <v/>
      </c>
      <c r="AI31" s="142">
        <f>IF($C31="","",IF(PULL_FUND="N","",IFERROR(BDP($C31,PAYOUT_FIELD,YR_OVERRIDE,TEXT(YEAR_Y-1,"0"))/100,"")))</f>
        <v/>
      </c>
      <c r="AJ31" s="143">
        <f>IF($C31="","",IFERROR(AVERAGE(AE31:AI31),""))</f>
        <v/>
      </c>
      <c r="AK31" s="144">
        <f>IF($C31="","",IF(ISNUMBER($AD31)*ISNUMBER($N31)*($AD31&lt;&gt;0)=0,"",$N31/$AD31))</f>
        <v/>
      </c>
      <c r="AL31" s="143">
        <f>IF($C31="","",IF(ISNUMBER($AD31)*($AD31&lt;&gt;0)=0,"",$M31/$AD31))</f>
        <v/>
      </c>
      <c r="AM31" s="37">
        <f>IF($C31="","",IF(ISNUMBER($AE31)*ISNUMBER($AI31)=0,"",IF($AI31&gt;$AE31+0.05,"rising",IF($AI31&lt;$AE31-0.05,"falling","stable"))))</f>
        <v/>
      </c>
      <c r="AN31" s="145">
        <f>IF($C31="","",IF(PULL_FUND="N","",IF(COUNTIFS('Fund History'!$G$122:$G$126,"&gt;="&amp;DATE(YEAR_Y-4,1,1),'Fund History'!$G$122:$G$126,"&lt;="&amp;DATE(YEAR_Y-4,12,31))=0,"",SUMIFS('Fund History'!$H$122:$H$126,'Fund History'!$G$122:$G$126,"&gt;="&amp;DATE(YEAR_Y-4,1,1),'Fund History'!$G$122:$G$126,"&lt;="&amp;DATE(YEAR_Y-4,12,31))/100)))</f>
        <v/>
      </c>
      <c r="AO31" s="146">
        <f>IF($C31="","",IF(PULL_FUND="N","",IF(COUNTIFS('Fund History'!$G$122:$G$126,"&gt;="&amp;DATE(YEAR_Y-3,1,1),'Fund History'!$G$122:$G$126,"&lt;="&amp;DATE(YEAR_Y-3,12,31))=0,"",SUMIFS('Fund History'!$H$122:$H$126,'Fund History'!$G$122:$G$126,"&gt;="&amp;DATE(YEAR_Y-3,1,1),'Fund History'!$G$122:$G$126,"&lt;="&amp;DATE(YEAR_Y-3,12,31))/100)))</f>
        <v/>
      </c>
      <c r="AP31" s="146">
        <f>IF($C31="","",IF(PULL_FUND="N","",IF(COUNTIFS('Fund History'!$G$122:$G$126,"&gt;="&amp;DATE(YEAR_Y-2,1,1),'Fund History'!$G$122:$G$126,"&lt;="&amp;DATE(YEAR_Y-2,12,31))=0,"",SUMIFS('Fund History'!$H$122:$H$126,'Fund History'!$G$122:$G$126,"&gt;="&amp;DATE(YEAR_Y-2,1,1),'Fund History'!$G$122:$G$126,"&lt;="&amp;DATE(YEAR_Y-2,12,31))/100)))</f>
        <v/>
      </c>
      <c r="AQ31" s="146">
        <f>IF($C31="","",IF(PULL_FUND="N","",IF(COUNTIFS('Fund History'!$G$122:$G$126,"&gt;="&amp;DATE(YEAR_Y-1,1,1),'Fund History'!$G$122:$G$126,"&lt;="&amp;DATE(YEAR_Y-1,12,31))=0,"",SUMIFS('Fund History'!$H$122:$H$126,'Fund History'!$G$122:$G$126,"&gt;="&amp;DATE(YEAR_Y-1,1,1),'Fund History'!$G$122:$G$126,"&lt;="&amp;DATE(YEAR_Y-1,12,31))/100)))</f>
        <v/>
      </c>
      <c r="AR31" s="147">
        <f>IF($C31="","",IF(N($AQ31)+N(HSI!$I$26)=0,"",N($AQ31)+N(HSI!$I$26)/100))</f>
        <v/>
      </c>
      <c r="AS31" s="139">
        <f>IF($C31="","",IF(PULL_FUND="N","",IF(COUNTIFS('Fund History'!$D$122:$D$126,"&gt;="&amp;DATE(YEAR_Y-2,1,1),'Fund History'!$D$122:$D$126,"&lt;="&amp;DATE(YEAR_Y-2,12,31))=0,"",SUMIFS('Fund History'!$E$122:$E$126,'Fund History'!$D$122:$D$126,"&gt;="&amp;DATE(YEAR_Y-2,1,1),'Fund History'!$D$122:$D$126,"&lt;="&amp;DATE(YEAR_Y-2,12,31)))))</f>
        <v/>
      </c>
      <c r="AT31" s="140">
        <f>IF($C31="","",IF(PULL_FUND="N","",IF(COUNTIFS('Fund History'!$D$122:$D$126,"&gt;="&amp;DATE(YEAR_Y-1,1,1),'Fund History'!$D$122:$D$126,"&lt;="&amp;DATE(YEAR_Y-1,12,31))=0,"",SUMIFS('Fund History'!$E$122:$E$126,'Fund History'!$D$122:$D$126,"&gt;="&amp;DATE(YEAR_Y-1,1,1),'Fund History'!$D$122:$D$126,"&lt;="&amp;DATE(YEAR_Y-1,12,31)))))</f>
        <v/>
      </c>
      <c r="AU31" s="140">
        <f>IF($C31="","",IF(PULL_FUND="N","",IFERROR(BDP($C31,NDEBITDA_FIELD),"")))</f>
        <v/>
      </c>
      <c r="AV31" s="148">
        <f>IF($C31="","",IF(PULL_FUND="N","",IFERROR(BDP($C31,EBINT_FIELD),"")))</f>
        <v/>
      </c>
      <c r="AW31" s="146">
        <f>IF($C31="","",IF(PULL_FUND="N","",IFERROR(BDP($C31,FCF_FIELD)/100,"")))</f>
        <v/>
      </c>
      <c r="AX31" s="126">
        <f>IF($C31="","",IF(N($U31)=0,"",IFERROR($AW31/$U31,"")))</f>
        <v/>
      </c>
      <c r="AY31" s="85">
        <f>IF($C31="","",TRIM(IF(ISNUMBER($AJ31)*(N($AJ31)&gt;$D$4)&gt;0,"payout high  ","")&amp;IF(ISNUMBER($AX31)*(N($AX31)&lt;$F$4)&gt;0,"FCF below dvd  ","")&amp;IF(ISNUMBER($AU31)*(N($AU31)&gt;$H$4)&gt;0,"leverage high","")))</f>
        <v/>
      </c>
      <c r="AZ31" s="86">
        <f>IF($C31="","",IF(HSI!$F$26="HKD","",HSI!$F$26))</f>
        <v/>
      </c>
    </row>
    <row r="32">
      <c r="B32" s="66" t="inlineStr">
        <is>
          <t>HSI</t>
        </is>
      </c>
      <c r="C32" s="8">
        <f>IF(HSI!$C$27="","",HSI!$C$27)</f>
        <v/>
      </c>
      <c r="D32" s="8">
        <f>IF($C32="","",HSI!$D$27)</f>
        <v/>
      </c>
      <c r="E32" s="8">
        <f>IF($C32="","",HSI!$E$27)</f>
        <v/>
      </c>
      <c r="F32" s="131">
        <f>IF($C32="","",SUMPRODUCT(('Dvd Calendar'!$E$231:$AR$231&gt;=DATE(YEAR_Y-5,1,1))*('Dvd Calendar'!$E$231:$AR$231&lt;=DATE(YEAR_Y-5,12,31))*'Dvd Calendar'!$E$234:$AR$234*(('Dvd Calendar'!$E$236:$AR$236=TYPE1)*(TYPE1&lt;&gt;"")+('Dvd Calendar'!$E$236:$AR$236=TYPE2)*(TYPE2&lt;&gt;"")+('Dvd Calendar'!$E$236:$AR$236=TYPE3)*(TYPE3&lt;&gt;"")+('Dvd Calendar'!$E$236:$AR$236=TYPE4)*(TYPE4&lt;&gt;"")+('Dvd Calendar'!$E$236:$AR$236=SPECIAL_LBL)*(INC_SPECIALS="Y"))))</f>
        <v/>
      </c>
      <c r="G32" s="132">
        <f>IF($C32="","",SUMPRODUCT(('Dvd Calendar'!$E$231:$AR$231&gt;=DATE(YEAR_Y-4,1,1))*('Dvd Calendar'!$E$231:$AR$231&lt;=DATE(YEAR_Y-4,12,31))*'Dvd Calendar'!$E$234:$AR$234*(('Dvd Calendar'!$E$236:$AR$236=TYPE1)*(TYPE1&lt;&gt;"")+('Dvd Calendar'!$E$236:$AR$236=TYPE2)*(TYPE2&lt;&gt;"")+('Dvd Calendar'!$E$236:$AR$236=TYPE3)*(TYPE3&lt;&gt;"")+('Dvd Calendar'!$E$236:$AR$236=TYPE4)*(TYPE4&lt;&gt;"")+('Dvd Calendar'!$E$236:$AR$236=SPECIAL_LBL)*(INC_SPECIALS="Y"))))</f>
        <v/>
      </c>
      <c r="H32" s="132">
        <f>IF($C32="","",SUMPRODUCT(('Dvd Calendar'!$E$231:$AR$231&gt;=DATE(YEAR_Y-3,1,1))*('Dvd Calendar'!$E$231:$AR$231&lt;=DATE(YEAR_Y-3,12,31))*'Dvd Calendar'!$E$234:$AR$234*(('Dvd Calendar'!$E$236:$AR$236=TYPE1)*(TYPE1&lt;&gt;"")+('Dvd Calendar'!$E$236:$AR$236=TYPE2)*(TYPE2&lt;&gt;"")+('Dvd Calendar'!$E$236:$AR$236=TYPE3)*(TYPE3&lt;&gt;"")+('Dvd Calendar'!$E$236:$AR$236=TYPE4)*(TYPE4&lt;&gt;"")+('Dvd Calendar'!$E$236:$AR$236=SPECIAL_LBL)*(INC_SPECIALS="Y"))))</f>
        <v/>
      </c>
      <c r="I32" s="132">
        <f>IF($C32="","",SUMPRODUCT(('Dvd Calendar'!$E$231:$AR$231&gt;=DATE(YEAR_Y-2,1,1))*('Dvd Calendar'!$E$231:$AR$231&lt;=DATE(YEAR_Y-2,12,31))*'Dvd Calendar'!$E$234:$AR$234*(('Dvd Calendar'!$E$236:$AR$236=TYPE1)*(TYPE1&lt;&gt;"")+('Dvd Calendar'!$E$236:$AR$236=TYPE2)*(TYPE2&lt;&gt;"")+('Dvd Calendar'!$E$236:$AR$236=TYPE3)*(TYPE3&lt;&gt;"")+('Dvd Calendar'!$E$236:$AR$236=TYPE4)*(TYPE4&lt;&gt;"")+('Dvd Calendar'!$E$236:$AR$236=SPECIAL_LBL)*(INC_SPECIALS="Y"))))</f>
        <v/>
      </c>
      <c r="J32" s="132">
        <f>IF($C32="","",SUMPRODUCT(('Dvd Calendar'!$E$231:$AR$231&gt;=DATE(YEAR_Y-1,1,1))*('Dvd Calendar'!$E$231:$AR$231&lt;=DATE(YEAR_Y-1,12,31))*'Dvd Calendar'!$E$234:$AR$234*(('Dvd Calendar'!$E$236:$AR$236=TYPE1)*(TYPE1&lt;&gt;"")+('Dvd Calendar'!$E$236:$AR$236=TYPE2)*(TYPE2&lt;&gt;"")+('Dvd Calendar'!$E$236:$AR$236=TYPE3)*(TYPE3&lt;&gt;"")+('Dvd Calendar'!$E$236:$AR$236=TYPE4)*(TYPE4&lt;&gt;"")+('Dvd Calendar'!$E$236:$AR$236=SPECIAL_LBL)*(INC_SPECIALS="Y"))))</f>
        <v/>
      </c>
      <c r="K32" s="133">
        <f>IF($C32="","",HSI!$J$27)</f>
        <v/>
      </c>
      <c r="L32" s="133">
        <f>IF($C32="","",HSI!$K$27)</f>
        <v/>
      </c>
      <c r="M32" s="124">
        <f>IF($C32="","",HSI!$J$27+HSI!$L$27)</f>
        <v/>
      </c>
      <c r="N32" s="134">
        <f>IF($C32="","",IF(PULL_FUND="N","",IFERROR(BDP($C32,BESTDPS_FIELD,FWD_OVERRIDE,TEXT(MOD(YEAR_Y,100),"00")&amp;"Y"),"")))</f>
        <v/>
      </c>
      <c r="O32" s="133">
        <f>IF($C32="","",AVERAGE(F32:J32))</f>
        <v/>
      </c>
      <c r="P32" s="135">
        <f>IF($C32="","",IF(PULL_FUND="N","",IF(COUNTIFS('Fund History'!$J$128:$J$132,"&gt;="&amp;DATE(YEAR_Y-5,1,1),'Fund History'!$J$128:$J$132,"&lt;="&amp;DATE(YEAR_Y-5,12,31))=0,"",IFERROR($F32*HSI!$G$27/SUMIFS('Fund History'!$K$128:$K$132,'Fund History'!$J$128:$J$132,"&gt;="&amp;DATE(YEAR_Y-5,1,1),'Fund History'!$J$128:$J$132,"&lt;="&amp;DATE(YEAR_Y-5,12,31)),""))))</f>
        <v/>
      </c>
      <c r="Q32" s="136">
        <f>IF($C32="","",IF(PULL_FUND="N","",IF(COUNTIFS('Fund History'!$J$128:$J$132,"&gt;="&amp;DATE(YEAR_Y-4,1,1),'Fund History'!$J$128:$J$132,"&lt;="&amp;DATE(YEAR_Y-4,12,31))=0,"",IFERROR($G32*HSI!$G$27/SUMIFS('Fund History'!$K$128:$K$132,'Fund History'!$J$128:$J$132,"&gt;="&amp;DATE(YEAR_Y-4,1,1),'Fund History'!$J$128:$J$132,"&lt;="&amp;DATE(YEAR_Y-4,12,31)),""))))</f>
        <v/>
      </c>
      <c r="R32" s="136">
        <f>IF($C32="","",IF(PULL_FUND="N","",IF(COUNTIFS('Fund History'!$J$128:$J$132,"&gt;="&amp;DATE(YEAR_Y-3,1,1),'Fund History'!$J$128:$J$132,"&lt;="&amp;DATE(YEAR_Y-3,12,31))=0,"",IFERROR($H32*HSI!$G$27/SUMIFS('Fund History'!$K$128:$K$132,'Fund History'!$J$128:$J$132,"&gt;="&amp;DATE(YEAR_Y-3,1,1),'Fund History'!$J$128:$J$132,"&lt;="&amp;DATE(YEAR_Y-3,12,31)),""))))</f>
        <v/>
      </c>
      <c r="S32" s="136">
        <f>IF($C32="","",IF(PULL_FUND="N","",IF(COUNTIFS('Fund History'!$J$128:$J$132,"&gt;="&amp;DATE(YEAR_Y-2,1,1),'Fund History'!$J$128:$J$132,"&lt;="&amp;DATE(YEAR_Y-2,12,31))=0,"",IFERROR($I32*HSI!$G$27/SUMIFS('Fund History'!$K$128:$K$132,'Fund History'!$J$128:$J$132,"&gt;="&amp;DATE(YEAR_Y-2,1,1),'Fund History'!$J$128:$J$132,"&lt;="&amp;DATE(YEAR_Y-2,12,31)),""))))</f>
        <v/>
      </c>
      <c r="T32" s="136">
        <f>IF($C32="","",IF(PULL_FUND="N","",IF(COUNTIFS('Fund History'!$J$128:$J$132,"&gt;="&amp;DATE(YEAR_Y-1,1,1),'Fund History'!$J$128:$J$132,"&lt;="&amp;DATE(YEAR_Y-1,12,31))=0,"",IFERROR($J32*HSI!$G$27/SUMIFS('Fund History'!$K$128:$K$132,'Fund History'!$J$128:$J$132,"&gt;="&amp;DATE(YEAR_Y-1,1,1),'Fund History'!$J$128:$J$132,"&lt;="&amp;DATE(YEAR_Y-1,12,31)),""))))</f>
        <v/>
      </c>
      <c r="U32" s="137">
        <f>IF($C32="","",IF(ISNUMBER(HSI!$I$27),HSI!$I$27/100,""))</f>
        <v/>
      </c>
      <c r="V32" s="138">
        <f>IF($C32="","",IF(ISNUMBER(HSI!$X$27),IFERROR($M32*HSI!$G$27/HSI!$X$27,""),""))</f>
        <v/>
      </c>
      <c r="W32" s="137">
        <f>IF($C32="","",IF(ISNUMBER($N32),IFERROR($N32*HSI!$G$27/HSI!$X$27,""),""))</f>
        <v/>
      </c>
      <c r="X32" s="139">
        <f>IF($C32="","",IF(PULL_FUND="N","",IFERROR(BDP($C32,EPS_FIELD,YR_OVERRIDE,TEXT(YEAR_Y-5,"0")),"")))</f>
        <v/>
      </c>
      <c r="Y32" s="140">
        <f>IF($C32="","",IF(PULL_FUND="N","",IFERROR(BDP($C32,EPS_FIELD,YR_OVERRIDE,TEXT(YEAR_Y-4,"0")),"")))</f>
        <v/>
      </c>
      <c r="Z32" s="140">
        <f>IF($C32="","",IF(PULL_FUND="N","",IFERROR(BDP($C32,EPS_FIELD,YR_OVERRIDE,TEXT(YEAR_Y-3,"0")),"")))</f>
        <v/>
      </c>
      <c r="AA32" s="140">
        <f>IF($C32="","",IF(PULL_FUND="N","",IFERROR(BDP($C32,EPS_FIELD,YR_OVERRIDE,TEXT(YEAR_Y-2,"0")),"")))</f>
        <v/>
      </c>
      <c r="AB32" s="140">
        <f>IF($C32="","",IF(PULL_FUND="N","",IFERROR(BDP($C32,EPS_FIELD,YR_OVERRIDE,TEXT(YEAR_Y-1,"0")),"")))</f>
        <v/>
      </c>
      <c r="AC32" s="126">
        <f>IF($C32="","",IFERROR(AVERAGE(X32:AB32),""))</f>
        <v/>
      </c>
      <c r="AD32" s="140">
        <f>IF($C32="","",IF(PULL_FUND="N","",IFERROR(BDP($C32,BESTEPS_FIELD,FWD_OVERRIDE,TEXT(MOD(YEAR_Y,100),"00")&amp;"Y"),"")))</f>
        <v/>
      </c>
      <c r="AE32" s="141">
        <f>IF($C32="","",IF(PULL_FUND="N","",IFERROR(BDP($C32,PAYOUT_FIELD,YR_OVERRIDE,TEXT(YEAR_Y-5,"0"))/100,"")))</f>
        <v/>
      </c>
      <c r="AF32" s="142">
        <f>IF($C32="","",IF(PULL_FUND="N","",IFERROR(BDP($C32,PAYOUT_FIELD,YR_OVERRIDE,TEXT(YEAR_Y-4,"0"))/100,"")))</f>
        <v/>
      </c>
      <c r="AG32" s="142">
        <f>IF($C32="","",IF(PULL_FUND="N","",IFERROR(BDP($C32,PAYOUT_FIELD,YR_OVERRIDE,TEXT(YEAR_Y-3,"0"))/100,"")))</f>
        <v/>
      </c>
      <c r="AH32" s="142">
        <f>IF($C32="","",IF(PULL_FUND="N","",IFERROR(BDP($C32,PAYOUT_FIELD,YR_OVERRIDE,TEXT(YEAR_Y-2,"0"))/100,"")))</f>
        <v/>
      </c>
      <c r="AI32" s="142">
        <f>IF($C32="","",IF(PULL_FUND="N","",IFERROR(BDP($C32,PAYOUT_FIELD,YR_OVERRIDE,TEXT(YEAR_Y-1,"0"))/100,"")))</f>
        <v/>
      </c>
      <c r="AJ32" s="143">
        <f>IF($C32="","",IFERROR(AVERAGE(AE32:AI32),""))</f>
        <v/>
      </c>
      <c r="AK32" s="144">
        <f>IF($C32="","",IF(ISNUMBER($AD32)*ISNUMBER($N32)*($AD32&lt;&gt;0)=0,"",$N32/$AD32))</f>
        <v/>
      </c>
      <c r="AL32" s="143">
        <f>IF($C32="","",IF(ISNUMBER($AD32)*($AD32&lt;&gt;0)=0,"",$M32/$AD32))</f>
        <v/>
      </c>
      <c r="AM32" s="37">
        <f>IF($C32="","",IF(ISNUMBER($AE32)*ISNUMBER($AI32)=0,"",IF($AI32&gt;$AE32+0.05,"rising",IF($AI32&lt;$AE32-0.05,"falling","stable"))))</f>
        <v/>
      </c>
      <c r="AN32" s="145">
        <f>IF($C32="","",IF(PULL_FUND="N","",IF(COUNTIFS('Fund History'!$G$128:$G$132,"&gt;="&amp;DATE(YEAR_Y-4,1,1),'Fund History'!$G$128:$G$132,"&lt;="&amp;DATE(YEAR_Y-4,12,31))=0,"",SUMIFS('Fund History'!$H$128:$H$132,'Fund History'!$G$128:$G$132,"&gt;="&amp;DATE(YEAR_Y-4,1,1),'Fund History'!$G$128:$G$132,"&lt;="&amp;DATE(YEAR_Y-4,12,31))/100)))</f>
        <v/>
      </c>
      <c r="AO32" s="146">
        <f>IF($C32="","",IF(PULL_FUND="N","",IF(COUNTIFS('Fund History'!$G$128:$G$132,"&gt;="&amp;DATE(YEAR_Y-3,1,1),'Fund History'!$G$128:$G$132,"&lt;="&amp;DATE(YEAR_Y-3,12,31))=0,"",SUMIFS('Fund History'!$H$128:$H$132,'Fund History'!$G$128:$G$132,"&gt;="&amp;DATE(YEAR_Y-3,1,1),'Fund History'!$G$128:$G$132,"&lt;="&amp;DATE(YEAR_Y-3,12,31))/100)))</f>
        <v/>
      </c>
      <c r="AP32" s="146">
        <f>IF($C32="","",IF(PULL_FUND="N","",IF(COUNTIFS('Fund History'!$G$128:$G$132,"&gt;="&amp;DATE(YEAR_Y-2,1,1),'Fund History'!$G$128:$G$132,"&lt;="&amp;DATE(YEAR_Y-2,12,31))=0,"",SUMIFS('Fund History'!$H$128:$H$132,'Fund History'!$G$128:$G$132,"&gt;="&amp;DATE(YEAR_Y-2,1,1),'Fund History'!$G$128:$G$132,"&lt;="&amp;DATE(YEAR_Y-2,12,31))/100)))</f>
        <v/>
      </c>
      <c r="AQ32" s="146">
        <f>IF($C32="","",IF(PULL_FUND="N","",IF(COUNTIFS('Fund History'!$G$128:$G$132,"&gt;="&amp;DATE(YEAR_Y-1,1,1),'Fund History'!$G$128:$G$132,"&lt;="&amp;DATE(YEAR_Y-1,12,31))=0,"",SUMIFS('Fund History'!$H$128:$H$132,'Fund History'!$G$128:$G$132,"&gt;="&amp;DATE(YEAR_Y-1,1,1),'Fund History'!$G$128:$G$132,"&lt;="&amp;DATE(YEAR_Y-1,12,31))/100)))</f>
        <v/>
      </c>
      <c r="AR32" s="147">
        <f>IF($C32="","",IF(N($AQ32)+N(HSI!$I$27)=0,"",N($AQ32)+N(HSI!$I$27)/100))</f>
        <v/>
      </c>
      <c r="AS32" s="139">
        <f>IF($C32="","",IF(PULL_FUND="N","",IF(COUNTIFS('Fund History'!$D$128:$D$132,"&gt;="&amp;DATE(YEAR_Y-2,1,1),'Fund History'!$D$128:$D$132,"&lt;="&amp;DATE(YEAR_Y-2,12,31))=0,"",SUMIFS('Fund History'!$E$128:$E$132,'Fund History'!$D$128:$D$132,"&gt;="&amp;DATE(YEAR_Y-2,1,1),'Fund History'!$D$128:$D$132,"&lt;="&amp;DATE(YEAR_Y-2,12,31)))))</f>
        <v/>
      </c>
      <c r="AT32" s="140">
        <f>IF($C32="","",IF(PULL_FUND="N","",IF(COUNTIFS('Fund History'!$D$128:$D$132,"&gt;="&amp;DATE(YEAR_Y-1,1,1),'Fund History'!$D$128:$D$132,"&lt;="&amp;DATE(YEAR_Y-1,12,31))=0,"",SUMIFS('Fund History'!$E$128:$E$132,'Fund History'!$D$128:$D$132,"&gt;="&amp;DATE(YEAR_Y-1,1,1),'Fund History'!$D$128:$D$132,"&lt;="&amp;DATE(YEAR_Y-1,12,31)))))</f>
        <v/>
      </c>
      <c r="AU32" s="140">
        <f>IF($C32="","",IF(PULL_FUND="N","",IFERROR(BDP($C32,NDEBITDA_FIELD),"")))</f>
        <v/>
      </c>
      <c r="AV32" s="148">
        <f>IF($C32="","",IF(PULL_FUND="N","",IFERROR(BDP($C32,EBINT_FIELD),"")))</f>
        <v/>
      </c>
      <c r="AW32" s="146">
        <f>IF($C32="","",IF(PULL_FUND="N","",IFERROR(BDP($C32,FCF_FIELD)/100,"")))</f>
        <v/>
      </c>
      <c r="AX32" s="126">
        <f>IF($C32="","",IF(N($U32)=0,"",IFERROR($AW32/$U32,"")))</f>
        <v/>
      </c>
      <c r="AY32" s="85">
        <f>IF($C32="","",TRIM(IF(ISNUMBER($AJ32)*(N($AJ32)&gt;$D$4)&gt;0,"payout high  ","")&amp;IF(ISNUMBER($AX32)*(N($AX32)&lt;$F$4)&gt;0,"FCF below dvd  ","")&amp;IF(ISNUMBER($AU32)*(N($AU32)&gt;$H$4)&gt;0,"leverage high","")))</f>
        <v/>
      </c>
      <c r="AZ32" s="86">
        <f>IF($C32="","",IF(HSI!$F$27="HKD","",HSI!$F$27))</f>
        <v/>
      </c>
    </row>
    <row r="33">
      <c r="B33" s="66" t="inlineStr">
        <is>
          <t>HSI</t>
        </is>
      </c>
      <c r="C33" s="8">
        <f>IF(HSI!$C$28="","",HSI!$C$28)</f>
        <v/>
      </c>
      <c r="D33" s="8">
        <f>IF($C33="","",HSI!$D$28)</f>
        <v/>
      </c>
      <c r="E33" s="8">
        <f>IF($C33="","",HSI!$E$28)</f>
        <v/>
      </c>
      <c r="F33" s="131">
        <f>IF($C33="","",SUMPRODUCT(('Dvd Calendar'!$E$242:$AR$242&gt;=DATE(YEAR_Y-5,1,1))*('Dvd Calendar'!$E$242:$AR$242&lt;=DATE(YEAR_Y-5,12,31))*'Dvd Calendar'!$E$245:$AR$245*(('Dvd Calendar'!$E$247:$AR$247=TYPE1)*(TYPE1&lt;&gt;"")+('Dvd Calendar'!$E$247:$AR$247=TYPE2)*(TYPE2&lt;&gt;"")+('Dvd Calendar'!$E$247:$AR$247=TYPE3)*(TYPE3&lt;&gt;"")+('Dvd Calendar'!$E$247:$AR$247=TYPE4)*(TYPE4&lt;&gt;"")+('Dvd Calendar'!$E$247:$AR$247=SPECIAL_LBL)*(INC_SPECIALS="Y"))))</f>
        <v/>
      </c>
      <c r="G33" s="132">
        <f>IF($C33="","",SUMPRODUCT(('Dvd Calendar'!$E$242:$AR$242&gt;=DATE(YEAR_Y-4,1,1))*('Dvd Calendar'!$E$242:$AR$242&lt;=DATE(YEAR_Y-4,12,31))*'Dvd Calendar'!$E$245:$AR$245*(('Dvd Calendar'!$E$247:$AR$247=TYPE1)*(TYPE1&lt;&gt;"")+('Dvd Calendar'!$E$247:$AR$247=TYPE2)*(TYPE2&lt;&gt;"")+('Dvd Calendar'!$E$247:$AR$247=TYPE3)*(TYPE3&lt;&gt;"")+('Dvd Calendar'!$E$247:$AR$247=TYPE4)*(TYPE4&lt;&gt;"")+('Dvd Calendar'!$E$247:$AR$247=SPECIAL_LBL)*(INC_SPECIALS="Y"))))</f>
        <v/>
      </c>
      <c r="H33" s="132">
        <f>IF($C33="","",SUMPRODUCT(('Dvd Calendar'!$E$242:$AR$242&gt;=DATE(YEAR_Y-3,1,1))*('Dvd Calendar'!$E$242:$AR$242&lt;=DATE(YEAR_Y-3,12,31))*'Dvd Calendar'!$E$245:$AR$245*(('Dvd Calendar'!$E$247:$AR$247=TYPE1)*(TYPE1&lt;&gt;"")+('Dvd Calendar'!$E$247:$AR$247=TYPE2)*(TYPE2&lt;&gt;"")+('Dvd Calendar'!$E$247:$AR$247=TYPE3)*(TYPE3&lt;&gt;"")+('Dvd Calendar'!$E$247:$AR$247=TYPE4)*(TYPE4&lt;&gt;"")+('Dvd Calendar'!$E$247:$AR$247=SPECIAL_LBL)*(INC_SPECIALS="Y"))))</f>
        <v/>
      </c>
      <c r="I33" s="132">
        <f>IF($C33="","",SUMPRODUCT(('Dvd Calendar'!$E$242:$AR$242&gt;=DATE(YEAR_Y-2,1,1))*('Dvd Calendar'!$E$242:$AR$242&lt;=DATE(YEAR_Y-2,12,31))*'Dvd Calendar'!$E$245:$AR$245*(('Dvd Calendar'!$E$247:$AR$247=TYPE1)*(TYPE1&lt;&gt;"")+('Dvd Calendar'!$E$247:$AR$247=TYPE2)*(TYPE2&lt;&gt;"")+('Dvd Calendar'!$E$247:$AR$247=TYPE3)*(TYPE3&lt;&gt;"")+('Dvd Calendar'!$E$247:$AR$247=TYPE4)*(TYPE4&lt;&gt;"")+('Dvd Calendar'!$E$247:$AR$247=SPECIAL_LBL)*(INC_SPECIALS="Y"))))</f>
        <v/>
      </c>
      <c r="J33" s="132">
        <f>IF($C33="","",SUMPRODUCT(('Dvd Calendar'!$E$242:$AR$242&gt;=DATE(YEAR_Y-1,1,1))*('Dvd Calendar'!$E$242:$AR$242&lt;=DATE(YEAR_Y-1,12,31))*'Dvd Calendar'!$E$245:$AR$245*(('Dvd Calendar'!$E$247:$AR$247=TYPE1)*(TYPE1&lt;&gt;"")+('Dvd Calendar'!$E$247:$AR$247=TYPE2)*(TYPE2&lt;&gt;"")+('Dvd Calendar'!$E$247:$AR$247=TYPE3)*(TYPE3&lt;&gt;"")+('Dvd Calendar'!$E$247:$AR$247=TYPE4)*(TYPE4&lt;&gt;"")+('Dvd Calendar'!$E$247:$AR$247=SPECIAL_LBL)*(INC_SPECIALS="Y"))))</f>
        <v/>
      </c>
      <c r="K33" s="133">
        <f>IF($C33="","",HSI!$J$28)</f>
        <v/>
      </c>
      <c r="L33" s="133">
        <f>IF($C33="","",HSI!$K$28)</f>
        <v/>
      </c>
      <c r="M33" s="124">
        <f>IF($C33="","",HSI!$J$28+HSI!$L$28)</f>
        <v/>
      </c>
      <c r="N33" s="134">
        <f>IF($C33="","",IF(PULL_FUND="N","",IFERROR(BDP($C33,BESTDPS_FIELD,FWD_OVERRIDE,TEXT(MOD(YEAR_Y,100),"00")&amp;"Y"),"")))</f>
        <v/>
      </c>
      <c r="O33" s="133">
        <f>IF($C33="","",AVERAGE(F33:J33))</f>
        <v/>
      </c>
      <c r="P33" s="135">
        <f>IF($C33="","",IF(PULL_FUND="N","",IF(COUNTIFS('Fund History'!$J$134:$J$138,"&gt;="&amp;DATE(YEAR_Y-5,1,1),'Fund History'!$J$134:$J$138,"&lt;="&amp;DATE(YEAR_Y-5,12,31))=0,"",IFERROR($F33*HSI!$G$28/SUMIFS('Fund History'!$K$134:$K$138,'Fund History'!$J$134:$J$138,"&gt;="&amp;DATE(YEAR_Y-5,1,1),'Fund History'!$J$134:$J$138,"&lt;="&amp;DATE(YEAR_Y-5,12,31)),""))))</f>
        <v/>
      </c>
      <c r="Q33" s="136">
        <f>IF($C33="","",IF(PULL_FUND="N","",IF(COUNTIFS('Fund History'!$J$134:$J$138,"&gt;="&amp;DATE(YEAR_Y-4,1,1),'Fund History'!$J$134:$J$138,"&lt;="&amp;DATE(YEAR_Y-4,12,31))=0,"",IFERROR($G33*HSI!$G$28/SUMIFS('Fund History'!$K$134:$K$138,'Fund History'!$J$134:$J$138,"&gt;="&amp;DATE(YEAR_Y-4,1,1),'Fund History'!$J$134:$J$138,"&lt;="&amp;DATE(YEAR_Y-4,12,31)),""))))</f>
        <v/>
      </c>
      <c r="R33" s="136">
        <f>IF($C33="","",IF(PULL_FUND="N","",IF(COUNTIFS('Fund History'!$J$134:$J$138,"&gt;="&amp;DATE(YEAR_Y-3,1,1),'Fund History'!$J$134:$J$138,"&lt;="&amp;DATE(YEAR_Y-3,12,31))=0,"",IFERROR($H33*HSI!$G$28/SUMIFS('Fund History'!$K$134:$K$138,'Fund History'!$J$134:$J$138,"&gt;="&amp;DATE(YEAR_Y-3,1,1),'Fund History'!$J$134:$J$138,"&lt;="&amp;DATE(YEAR_Y-3,12,31)),""))))</f>
        <v/>
      </c>
      <c r="S33" s="136">
        <f>IF($C33="","",IF(PULL_FUND="N","",IF(COUNTIFS('Fund History'!$J$134:$J$138,"&gt;="&amp;DATE(YEAR_Y-2,1,1),'Fund History'!$J$134:$J$138,"&lt;="&amp;DATE(YEAR_Y-2,12,31))=0,"",IFERROR($I33*HSI!$G$28/SUMIFS('Fund History'!$K$134:$K$138,'Fund History'!$J$134:$J$138,"&gt;="&amp;DATE(YEAR_Y-2,1,1),'Fund History'!$J$134:$J$138,"&lt;="&amp;DATE(YEAR_Y-2,12,31)),""))))</f>
        <v/>
      </c>
      <c r="T33" s="136">
        <f>IF($C33="","",IF(PULL_FUND="N","",IF(COUNTIFS('Fund History'!$J$134:$J$138,"&gt;="&amp;DATE(YEAR_Y-1,1,1),'Fund History'!$J$134:$J$138,"&lt;="&amp;DATE(YEAR_Y-1,12,31))=0,"",IFERROR($J33*HSI!$G$28/SUMIFS('Fund History'!$K$134:$K$138,'Fund History'!$J$134:$J$138,"&gt;="&amp;DATE(YEAR_Y-1,1,1),'Fund History'!$J$134:$J$138,"&lt;="&amp;DATE(YEAR_Y-1,12,31)),""))))</f>
        <v/>
      </c>
      <c r="U33" s="137">
        <f>IF($C33="","",IF(ISNUMBER(HSI!$I$28),HSI!$I$28/100,""))</f>
        <v/>
      </c>
      <c r="V33" s="138">
        <f>IF($C33="","",IF(ISNUMBER(HSI!$X$28),IFERROR($M33*HSI!$G$28/HSI!$X$28,""),""))</f>
        <v/>
      </c>
      <c r="W33" s="137">
        <f>IF($C33="","",IF(ISNUMBER($N33),IFERROR($N33*HSI!$G$28/HSI!$X$28,""),""))</f>
        <v/>
      </c>
      <c r="X33" s="139">
        <f>IF($C33="","",IF(PULL_FUND="N","",IFERROR(BDP($C33,EPS_FIELD,YR_OVERRIDE,TEXT(YEAR_Y-5,"0")),"")))</f>
        <v/>
      </c>
      <c r="Y33" s="140">
        <f>IF($C33="","",IF(PULL_FUND="N","",IFERROR(BDP($C33,EPS_FIELD,YR_OVERRIDE,TEXT(YEAR_Y-4,"0")),"")))</f>
        <v/>
      </c>
      <c r="Z33" s="140">
        <f>IF($C33="","",IF(PULL_FUND="N","",IFERROR(BDP($C33,EPS_FIELD,YR_OVERRIDE,TEXT(YEAR_Y-3,"0")),"")))</f>
        <v/>
      </c>
      <c r="AA33" s="140">
        <f>IF($C33="","",IF(PULL_FUND="N","",IFERROR(BDP($C33,EPS_FIELD,YR_OVERRIDE,TEXT(YEAR_Y-2,"0")),"")))</f>
        <v/>
      </c>
      <c r="AB33" s="140">
        <f>IF($C33="","",IF(PULL_FUND="N","",IFERROR(BDP($C33,EPS_FIELD,YR_OVERRIDE,TEXT(YEAR_Y-1,"0")),"")))</f>
        <v/>
      </c>
      <c r="AC33" s="126">
        <f>IF($C33="","",IFERROR(AVERAGE(X33:AB33),""))</f>
        <v/>
      </c>
      <c r="AD33" s="140">
        <f>IF($C33="","",IF(PULL_FUND="N","",IFERROR(BDP($C33,BESTEPS_FIELD,FWD_OVERRIDE,TEXT(MOD(YEAR_Y,100),"00")&amp;"Y"),"")))</f>
        <v/>
      </c>
      <c r="AE33" s="141">
        <f>IF($C33="","",IF(PULL_FUND="N","",IFERROR(BDP($C33,PAYOUT_FIELD,YR_OVERRIDE,TEXT(YEAR_Y-5,"0"))/100,"")))</f>
        <v/>
      </c>
      <c r="AF33" s="142">
        <f>IF($C33="","",IF(PULL_FUND="N","",IFERROR(BDP($C33,PAYOUT_FIELD,YR_OVERRIDE,TEXT(YEAR_Y-4,"0"))/100,"")))</f>
        <v/>
      </c>
      <c r="AG33" s="142">
        <f>IF($C33="","",IF(PULL_FUND="N","",IFERROR(BDP($C33,PAYOUT_FIELD,YR_OVERRIDE,TEXT(YEAR_Y-3,"0"))/100,"")))</f>
        <v/>
      </c>
      <c r="AH33" s="142">
        <f>IF($C33="","",IF(PULL_FUND="N","",IFERROR(BDP($C33,PAYOUT_FIELD,YR_OVERRIDE,TEXT(YEAR_Y-2,"0"))/100,"")))</f>
        <v/>
      </c>
      <c r="AI33" s="142">
        <f>IF($C33="","",IF(PULL_FUND="N","",IFERROR(BDP($C33,PAYOUT_FIELD,YR_OVERRIDE,TEXT(YEAR_Y-1,"0"))/100,"")))</f>
        <v/>
      </c>
      <c r="AJ33" s="143">
        <f>IF($C33="","",IFERROR(AVERAGE(AE33:AI33),""))</f>
        <v/>
      </c>
      <c r="AK33" s="144">
        <f>IF($C33="","",IF(ISNUMBER($AD33)*ISNUMBER($N33)*($AD33&lt;&gt;0)=0,"",$N33/$AD33))</f>
        <v/>
      </c>
      <c r="AL33" s="143">
        <f>IF($C33="","",IF(ISNUMBER($AD33)*($AD33&lt;&gt;0)=0,"",$M33/$AD33))</f>
        <v/>
      </c>
      <c r="AM33" s="37">
        <f>IF($C33="","",IF(ISNUMBER($AE33)*ISNUMBER($AI33)=0,"",IF($AI33&gt;$AE33+0.05,"rising",IF($AI33&lt;$AE33-0.05,"falling","stable"))))</f>
        <v/>
      </c>
      <c r="AN33" s="145">
        <f>IF($C33="","",IF(PULL_FUND="N","",IF(COUNTIFS('Fund History'!$G$134:$G$138,"&gt;="&amp;DATE(YEAR_Y-4,1,1),'Fund History'!$G$134:$G$138,"&lt;="&amp;DATE(YEAR_Y-4,12,31))=0,"",SUMIFS('Fund History'!$H$134:$H$138,'Fund History'!$G$134:$G$138,"&gt;="&amp;DATE(YEAR_Y-4,1,1),'Fund History'!$G$134:$G$138,"&lt;="&amp;DATE(YEAR_Y-4,12,31))/100)))</f>
        <v/>
      </c>
      <c r="AO33" s="146">
        <f>IF($C33="","",IF(PULL_FUND="N","",IF(COUNTIFS('Fund History'!$G$134:$G$138,"&gt;="&amp;DATE(YEAR_Y-3,1,1),'Fund History'!$G$134:$G$138,"&lt;="&amp;DATE(YEAR_Y-3,12,31))=0,"",SUMIFS('Fund History'!$H$134:$H$138,'Fund History'!$G$134:$G$138,"&gt;="&amp;DATE(YEAR_Y-3,1,1),'Fund History'!$G$134:$G$138,"&lt;="&amp;DATE(YEAR_Y-3,12,31))/100)))</f>
        <v/>
      </c>
      <c r="AP33" s="146">
        <f>IF($C33="","",IF(PULL_FUND="N","",IF(COUNTIFS('Fund History'!$G$134:$G$138,"&gt;="&amp;DATE(YEAR_Y-2,1,1),'Fund History'!$G$134:$G$138,"&lt;="&amp;DATE(YEAR_Y-2,12,31))=0,"",SUMIFS('Fund History'!$H$134:$H$138,'Fund History'!$G$134:$G$138,"&gt;="&amp;DATE(YEAR_Y-2,1,1),'Fund History'!$G$134:$G$138,"&lt;="&amp;DATE(YEAR_Y-2,12,31))/100)))</f>
        <v/>
      </c>
      <c r="AQ33" s="146">
        <f>IF($C33="","",IF(PULL_FUND="N","",IF(COUNTIFS('Fund History'!$G$134:$G$138,"&gt;="&amp;DATE(YEAR_Y-1,1,1),'Fund History'!$G$134:$G$138,"&lt;="&amp;DATE(YEAR_Y-1,12,31))=0,"",SUMIFS('Fund History'!$H$134:$H$138,'Fund History'!$G$134:$G$138,"&gt;="&amp;DATE(YEAR_Y-1,1,1),'Fund History'!$G$134:$G$138,"&lt;="&amp;DATE(YEAR_Y-1,12,31))/100)))</f>
        <v/>
      </c>
      <c r="AR33" s="147">
        <f>IF($C33="","",IF(N($AQ33)+N(HSI!$I$28)=0,"",N($AQ33)+N(HSI!$I$28)/100))</f>
        <v/>
      </c>
      <c r="AS33" s="139">
        <f>IF($C33="","",IF(PULL_FUND="N","",IF(COUNTIFS('Fund History'!$D$134:$D$138,"&gt;="&amp;DATE(YEAR_Y-2,1,1),'Fund History'!$D$134:$D$138,"&lt;="&amp;DATE(YEAR_Y-2,12,31))=0,"",SUMIFS('Fund History'!$E$134:$E$138,'Fund History'!$D$134:$D$138,"&gt;="&amp;DATE(YEAR_Y-2,1,1),'Fund History'!$D$134:$D$138,"&lt;="&amp;DATE(YEAR_Y-2,12,31)))))</f>
        <v/>
      </c>
      <c r="AT33" s="140">
        <f>IF($C33="","",IF(PULL_FUND="N","",IF(COUNTIFS('Fund History'!$D$134:$D$138,"&gt;="&amp;DATE(YEAR_Y-1,1,1),'Fund History'!$D$134:$D$138,"&lt;="&amp;DATE(YEAR_Y-1,12,31))=0,"",SUMIFS('Fund History'!$E$134:$E$138,'Fund History'!$D$134:$D$138,"&gt;="&amp;DATE(YEAR_Y-1,1,1),'Fund History'!$D$134:$D$138,"&lt;="&amp;DATE(YEAR_Y-1,12,31)))))</f>
        <v/>
      </c>
      <c r="AU33" s="140">
        <f>IF($C33="","",IF(PULL_FUND="N","",IFERROR(BDP($C33,NDEBITDA_FIELD),"")))</f>
        <v/>
      </c>
      <c r="AV33" s="148">
        <f>IF($C33="","",IF(PULL_FUND="N","",IFERROR(BDP($C33,EBINT_FIELD),"")))</f>
        <v/>
      </c>
      <c r="AW33" s="146">
        <f>IF($C33="","",IF(PULL_FUND="N","",IFERROR(BDP($C33,FCF_FIELD)/100,"")))</f>
        <v/>
      </c>
      <c r="AX33" s="126">
        <f>IF($C33="","",IF(N($U33)=0,"",IFERROR($AW33/$U33,"")))</f>
        <v/>
      </c>
      <c r="AY33" s="85">
        <f>IF($C33="","",TRIM(IF(ISNUMBER($AJ33)*(N($AJ33)&gt;$D$4)&gt;0,"payout high  ","")&amp;IF(ISNUMBER($AX33)*(N($AX33)&lt;$F$4)&gt;0,"FCF below dvd  ","")&amp;IF(ISNUMBER($AU33)*(N($AU33)&gt;$H$4)&gt;0,"leverage high","")))</f>
        <v/>
      </c>
      <c r="AZ33" s="86">
        <f>IF($C33="","",IF(HSI!$F$28="HKD","",HSI!$F$28))</f>
        <v/>
      </c>
    </row>
    <row r="34">
      <c r="B34" s="66" t="inlineStr">
        <is>
          <t>HSI</t>
        </is>
      </c>
      <c r="C34" s="8">
        <f>IF(HSI!$C$29="","",HSI!$C$29)</f>
        <v/>
      </c>
      <c r="D34" s="8">
        <f>IF($C34="","",HSI!$D$29)</f>
        <v/>
      </c>
      <c r="E34" s="8">
        <f>IF($C34="","",HSI!$E$29)</f>
        <v/>
      </c>
      <c r="F34" s="131">
        <f>IF($C34="","",SUMPRODUCT(('Dvd Calendar'!$E$253:$AR$253&gt;=DATE(YEAR_Y-5,1,1))*('Dvd Calendar'!$E$253:$AR$253&lt;=DATE(YEAR_Y-5,12,31))*'Dvd Calendar'!$E$256:$AR$256*(('Dvd Calendar'!$E$258:$AR$258=TYPE1)*(TYPE1&lt;&gt;"")+('Dvd Calendar'!$E$258:$AR$258=TYPE2)*(TYPE2&lt;&gt;"")+('Dvd Calendar'!$E$258:$AR$258=TYPE3)*(TYPE3&lt;&gt;"")+('Dvd Calendar'!$E$258:$AR$258=TYPE4)*(TYPE4&lt;&gt;"")+('Dvd Calendar'!$E$258:$AR$258=SPECIAL_LBL)*(INC_SPECIALS="Y"))))</f>
        <v/>
      </c>
      <c r="G34" s="132">
        <f>IF($C34="","",SUMPRODUCT(('Dvd Calendar'!$E$253:$AR$253&gt;=DATE(YEAR_Y-4,1,1))*('Dvd Calendar'!$E$253:$AR$253&lt;=DATE(YEAR_Y-4,12,31))*'Dvd Calendar'!$E$256:$AR$256*(('Dvd Calendar'!$E$258:$AR$258=TYPE1)*(TYPE1&lt;&gt;"")+('Dvd Calendar'!$E$258:$AR$258=TYPE2)*(TYPE2&lt;&gt;"")+('Dvd Calendar'!$E$258:$AR$258=TYPE3)*(TYPE3&lt;&gt;"")+('Dvd Calendar'!$E$258:$AR$258=TYPE4)*(TYPE4&lt;&gt;"")+('Dvd Calendar'!$E$258:$AR$258=SPECIAL_LBL)*(INC_SPECIALS="Y"))))</f>
        <v/>
      </c>
      <c r="H34" s="132">
        <f>IF($C34="","",SUMPRODUCT(('Dvd Calendar'!$E$253:$AR$253&gt;=DATE(YEAR_Y-3,1,1))*('Dvd Calendar'!$E$253:$AR$253&lt;=DATE(YEAR_Y-3,12,31))*'Dvd Calendar'!$E$256:$AR$256*(('Dvd Calendar'!$E$258:$AR$258=TYPE1)*(TYPE1&lt;&gt;"")+('Dvd Calendar'!$E$258:$AR$258=TYPE2)*(TYPE2&lt;&gt;"")+('Dvd Calendar'!$E$258:$AR$258=TYPE3)*(TYPE3&lt;&gt;"")+('Dvd Calendar'!$E$258:$AR$258=TYPE4)*(TYPE4&lt;&gt;"")+('Dvd Calendar'!$E$258:$AR$258=SPECIAL_LBL)*(INC_SPECIALS="Y"))))</f>
        <v/>
      </c>
      <c r="I34" s="132">
        <f>IF($C34="","",SUMPRODUCT(('Dvd Calendar'!$E$253:$AR$253&gt;=DATE(YEAR_Y-2,1,1))*('Dvd Calendar'!$E$253:$AR$253&lt;=DATE(YEAR_Y-2,12,31))*'Dvd Calendar'!$E$256:$AR$256*(('Dvd Calendar'!$E$258:$AR$258=TYPE1)*(TYPE1&lt;&gt;"")+('Dvd Calendar'!$E$258:$AR$258=TYPE2)*(TYPE2&lt;&gt;"")+('Dvd Calendar'!$E$258:$AR$258=TYPE3)*(TYPE3&lt;&gt;"")+('Dvd Calendar'!$E$258:$AR$258=TYPE4)*(TYPE4&lt;&gt;"")+('Dvd Calendar'!$E$258:$AR$258=SPECIAL_LBL)*(INC_SPECIALS="Y"))))</f>
        <v/>
      </c>
      <c r="J34" s="132">
        <f>IF($C34="","",SUMPRODUCT(('Dvd Calendar'!$E$253:$AR$253&gt;=DATE(YEAR_Y-1,1,1))*('Dvd Calendar'!$E$253:$AR$253&lt;=DATE(YEAR_Y-1,12,31))*'Dvd Calendar'!$E$256:$AR$256*(('Dvd Calendar'!$E$258:$AR$258=TYPE1)*(TYPE1&lt;&gt;"")+('Dvd Calendar'!$E$258:$AR$258=TYPE2)*(TYPE2&lt;&gt;"")+('Dvd Calendar'!$E$258:$AR$258=TYPE3)*(TYPE3&lt;&gt;"")+('Dvd Calendar'!$E$258:$AR$258=TYPE4)*(TYPE4&lt;&gt;"")+('Dvd Calendar'!$E$258:$AR$258=SPECIAL_LBL)*(INC_SPECIALS="Y"))))</f>
        <v/>
      </c>
      <c r="K34" s="133">
        <f>IF($C34="","",HSI!$J$29)</f>
        <v/>
      </c>
      <c r="L34" s="133">
        <f>IF($C34="","",HSI!$K$29)</f>
        <v/>
      </c>
      <c r="M34" s="124">
        <f>IF($C34="","",HSI!$J$29+HSI!$L$29)</f>
        <v/>
      </c>
      <c r="N34" s="134">
        <f>IF($C34="","",IF(PULL_FUND="N","",IFERROR(BDP($C34,BESTDPS_FIELD,FWD_OVERRIDE,TEXT(MOD(YEAR_Y,100),"00")&amp;"Y"),"")))</f>
        <v/>
      </c>
      <c r="O34" s="133">
        <f>IF($C34="","",AVERAGE(F34:J34))</f>
        <v/>
      </c>
      <c r="P34" s="135">
        <f>IF($C34="","",IF(PULL_FUND="N","",IF(COUNTIFS('Fund History'!$J$140:$J$144,"&gt;="&amp;DATE(YEAR_Y-5,1,1),'Fund History'!$J$140:$J$144,"&lt;="&amp;DATE(YEAR_Y-5,12,31))=0,"",IFERROR($F34*HSI!$G$29/SUMIFS('Fund History'!$K$140:$K$144,'Fund History'!$J$140:$J$144,"&gt;="&amp;DATE(YEAR_Y-5,1,1),'Fund History'!$J$140:$J$144,"&lt;="&amp;DATE(YEAR_Y-5,12,31)),""))))</f>
        <v/>
      </c>
      <c r="Q34" s="136">
        <f>IF($C34="","",IF(PULL_FUND="N","",IF(COUNTIFS('Fund History'!$J$140:$J$144,"&gt;="&amp;DATE(YEAR_Y-4,1,1),'Fund History'!$J$140:$J$144,"&lt;="&amp;DATE(YEAR_Y-4,12,31))=0,"",IFERROR($G34*HSI!$G$29/SUMIFS('Fund History'!$K$140:$K$144,'Fund History'!$J$140:$J$144,"&gt;="&amp;DATE(YEAR_Y-4,1,1),'Fund History'!$J$140:$J$144,"&lt;="&amp;DATE(YEAR_Y-4,12,31)),""))))</f>
        <v/>
      </c>
      <c r="R34" s="136">
        <f>IF($C34="","",IF(PULL_FUND="N","",IF(COUNTIFS('Fund History'!$J$140:$J$144,"&gt;="&amp;DATE(YEAR_Y-3,1,1),'Fund History'!$J$140:$J$144,"&lt;="&amp;DATE(YEAR_Y-3,12,31))=0,"",IFERROR($H34*HSI!$G$29/SUMIFS('Fund History'!$K$140:$K$144,'Fund History'!$J$140:$J$144,"&gt;="&amp;DATE(YEAR_Y-3,1,1),'Fund History'!$J$140:$J$144,"&lt;="&amp;DATE(YEAR_Y-3,12,31)),""))))</f>
        <v/>
      </c>
      <c r="S34" s="136">
        <f>IF($C34="","",IF(PULL_FUND="N","",IF(COUNTIFS('Fund History'!$J$140:$J$144,"&gt;="&amp;DATE(YEAR_Y-2,1,1),'Fund History'!$J$140:$J$144,"&lt;="&amp;DATE(YEAR_Y-2,12,31))=0,"",IFERROR($I34*HSI!$G$29/SUMIFS('Fund History'!$K$140:$K$144,'Fund History'!$J$140:$J$144,"&gt;="&amp;DATE(YEAR_Y-2,1,1),'Fund History'!$J$140:$J$144,"&lt;="&amp;DATE(YEAR_Y-2,12,31)),""))))</f>
        <v/>
      </c>
      <c r="T34" s="136">
        <f>IF($C34="","",IF(PULL_FUND="N","",IF(COUNTIFS('Fund History'!$J$140:$J$144,"&gt;="&amp;DATE(YEAR_Y-1,1,1),'Fund History'!$J$140:$J$144,"&lt;="&amp;DATE(YEAR_Y-1,12,31))=0,"",IFERROR($J34*HSI!$G$29/SUMIFS('Fund History'!$K$140:$K$144,'Fund History'!$J$140:$J$144,"&gt;="&amp;DATE(YEAR_Y-1,1,1),'Fund History'!$J$140:$J$144,"&lt;="&amp;DATE(YEAR_Y-1,12,31)),""))))</f>
        <v/>
      </c>
      <c r="U34" s="137">
        <f>IF($C34="","",IF(ISNUMBER(HSI!$I$29),HSI!$I$29/100,""))</f>
        <v/>
      </c>
      <c r="V34" s="138">
        <f>IF($C34="","",IF(ISNUMBER(HSI!$X$29),IFERROR($M34*HSI!$G$29/HSI!$X$29,""),""))</f>
        <v/>
      </c>
      <c r="W34" s="137">
        <f>IF($C34="","",IF(ISNUMBER($N34),IFERROR($N34*HSI!$G$29/HSI!$X$29,""),""))</f>
        <v/>
      </c>
      <c r="X34" s="139">
        <f>IF($C34="","",IF(PULL_FUND="N","",IFERROR(BDP($C34,EPS_FIELD,YR_OVERRIDE,TEXT(YEAR_Y-5,"0")),"")))</f>
        <v/>
      </c>
      <c r="Y34" s="140">
        <f>IF($C34="","",IF(PULL_FUND="N","",IFERROR(BDP($C34,EPS_FIELD,YR_OVERRIDE,TEXT(YEAR_Y-4,"0")),"")))</f>
        <v/>
      </c>
      <c r="Z34" s="140">
        <f>IF($C34="","",IF(PULL_FUND="N","",IFERROR(BDP($C34,EPS_FIELD,YR_OVERRIDE,TEXT(YEAR_Y-3,"0")),"")))</f>
        <v/>
      </c>
      <c r="AA34" s="140">
        <f>IF($C34="","",IF(PULL_FUND="N","",IFERROR(BDP($C34,EPS_FIELD,YR_OVERRIDE,TEXT(YEAR_Y-2,"0")),"")))</f>
        <v/>
      </c>
      <c r="AB34" s="140">
        <f>IF($C34="","",IF(PULL_FUND="N","",IFERROR(BDP($C34,EPS_FIELD,YR_OVERRIDE,TEXT(YEAR_Y-1,"0")),"")))</f>
        <v/>
      </c>
      <c r="AC34" s="126">
        <f>IF($C34="","",IFERROR(AVERAGE(X34:AB34),""))</f>
        <v/>
      </c>
      <c r="AD34" s="140">
        <f>IF($C34="","",IF(PULL_FUND="N","",IFERROR(BDP($C34,BESTEPS_FIELD,FWD_OVERRIDE,TEXT(MOD(YEAR_Y,100),"00")&amp;"Y"),"")))</f>
        <v/>
      </c>
      <c r="AE34" s="141">
        <f>IF($C34="","",IF(PULL_FUND="N","",IFERROR(BDP($C34,PAYOUT_FIELD,YR_OVERRIDE,TEXT(YEAR_Y-5,"0"))/100,"")))</f>
        <v/>
      </c>
      <c r="AF34" s="142">
        <f>IF($C34="","",IF(PULL_FUND="N","",IFERROR(BDP($C34,PAYOUT_FIELD,YR_OVERRIDE,TEXT(YEAR_Y-4,"0"))/100,"")))</f>
        <v/>
      </c>
      <c r="AG34" s="142">
        <f>IF($C34="","",IF(PULL_FUND="N","",IFERROR(BDP($C34,PAYOUT_FIELD,YR_OVERRIDE,TEXT(YEAR_Y-3,"0"))/100,"")))</f>
        <v/>
      </c>
      <c r="AH34" s="142">
        <f>IF($C34="","",IF(PULL_FUND="N","",IFERROR(BDP($C34,PAYOUT_FIELD,YR_OVERRIDE,TEXT(YEAR_Y-2,"0"))/100,"")))</f>
        <v/>
      </c>
      <c r="AI34" s="142">
        <f>IF($C34="","",IF(PULL_FUND="N","",IFERROR(BDP($C34,PAYOUT_FIELD,YR_OVERRIDE,TEXT(YEAR_Y-1,"0"))/100,"")))</f>
        <v/>
      </c>
      <c r="AJ34" s="143">
        <f>IF($C34="","",IFERROR(AVERAGE(AE34:AI34),""))</f>
        <v/>
      </c>
      <c r="AK34" s="144">
        <f>IF($C34="","",IF(ISNUMBER($AD34)*ISNUMBER($N34)*($AD34&lt;&gt;0)=0,"",$N34/$AD34))</f>
        <v/>
      </c>
      <c r="AL34" s="143">
        <f>IF($C34="","",IF(ISNUMBER($AD34)*($AD34&lt;&gt;0)=0,"",$M34/$AD34))</f>
        <v/>
      </c>
      <c r="AM34" s="37">
        <f>IF($C34="","",IF(ISNUMBER($AE34)*ISNUMBER($AI34)=0,"",IF($AI34&gt;$AE34+0.05,"rising",IF($AI34&lt;$AE34-0.05,"falling","stable"))))</f>
        <v/>
      </c>
      <c r="AN34" s="145">
        <f>IF($C34="","",IF(PULL_FUND="N","",IF(COUNTIFS('Fund History'!$G$140:$G$144,"&gt;="&amp;DATE(YEAR_Y-4,1,1),'Fund History'!$G$140:$G$144,"&lt;="&amp;DATE(YEAR_Y-4,12,31))=0,"",SUMIFS('Fund History'!$H$140:$H$144,'Fund History'!$G$140:$G$144,"&gt;="&amp;DATE(YEAR_Y-4,1,1),'Fund History'!$G$140:$G$144,"&lt;="&amp;DATE(YEAR_Y-4,12,31))/100)))</f>
        <v/>
      </c>
      <c r="AO34" s="146">
        <f>IF($C34="","",IF(PULL_FUND="N","",IF(COUNTIFS('Fund History'!$G$140:$G$144,"&gt;="&amp;DATE(YEAR_Y-3,1,1),'Fund History'!$G$140:$G$144,"&lt;="&amp;DATE(YEAR_Y-3,12,31))=0,"",SUMIFS('Fund History'!$H$140:$H$144,'Fund History'!$G$140:$G$144,"&gt;="&amp;DATE(YEAR_Y-3,1,1),'Fund History'!$G$140:$G$144,"&lt;="&amp;DATE(YEAR_Y-3,12,31))/100)))</f>
        <v/>
      </c>
      <c r="AP34" s="146">
        <f>IF($C34="","",IF(PULL_FUND="N","",IF(COUNTIFS('Fund History'!$G$140:$G$144,"&gt;="&amp;DATE(YEAR_Y-2,1,1),'Fund History'!$G$140:$G$144,"&lt;="&amp;DATE(YEAR_Y-2,12,31))=0,"",SUMIFS('Fund History'!$H$140:$H$144,'Fund History'!$G$140:$G$144,"&gt;="&amp;DATE(YEAR_Y-2,1,1),'Fund History'!$G$140:$G$144,"&lt;="&amp;DATE(YEAR_Y-2,12,31))/100)))</f>
        <v/>
      </c>
      <c r="AQ34" s="146">
        <f>IF($C34="","",IF(PULL_FUND="N","",IF(COUNTIFS('Fund History'!$G$140:$G$144,"&gt;="&amp;DATE(YEAR_Y-1,1,1),'Fund History'!$G$140:$G$144,"&lt;="&amp;DATE(YEAR_Y-1,12,31))=0,"",SUMIFS('Fund History'!$H$140:$H$144,'Fund History'!$G$140:$G$144,"&gt;="&amp;DATE(YEAR_Y-1,1,1),'Fund History'!$G$140:$G$144,"&lt;="&amp;DATE(YEAR_Y-1,12,31))/100)))</f>
        <v/>
      </c>
      <c r="AR34" s="147">
        <f>IF($C34="","",IF(N($AQ34)+N(HSI!$I$29)=0,"",N($AQ34)+N(HSI!$I$29)/100))</f>
        <v/>
      </c>
      <c r="AS34" s="139">
        <f>IF($C34="","",IF(PULL_FUND="N","",IF(COUNTIFS('Fund History'!$D$140:$D$144,"&gt;="&amp;DATE(YEAR_Y-2,1,1),'Fund History'!$D$140:$D$144,"&lt;="&amp;DATE(YEAR_Y-2,12,31))=0,"",SUMIFS('Fund History'!$E$140:$E$144,'Fund History'!$D$140:$D$144,"&gt;="&amp;DATE(YEAR_Y-2,1,1),'Fund History'!$D$140:$D$144,"&lt;="&amp;DATE(YEAR_Y-2,12,31)))))</f>
        <v/>
      </c>
      <c r="AT34" s="140">
        <f>IF($C34="","",IF(PULL_FUND="N","",IF(COUNTIFS('Fund History'!$D$140:$D$144,"&gt;="&amp;DATE(YEAR_Y-1,1,1),'Fund History'!$D$140:$D$144,"&lt;="&amp;DATE(YEAR_Y-1,12,31))=0,"",SUMIFS('Fund History'!$E$140:$E$144,'Fund History'!$D$140:$D$144,"&gt;="&amp;DATE(YEAR_Y-1,1,1),'Fund History'!$D$140:$D$144,"&lt;="&amp;DATE(YEAR_Y-1,12,31)))))</f>
        <v/>
      </c>
      <c r="AU34" s="140">
        <f>IF($C34="","",IF(PULL_FUND="N","",IFERROR(BDP($C34,NDEBITDA_FIELD),"")))</f>
        <v/>
      </c>
      <c r="AV34" s="148">
        <f>IF($C34="","",IF(PULL_FUND="N","",IFERROR(BDP($C34,EBINT_FIELD),"")))</f>
        <v/>
      </c>
      <c r="AW34" s="146">
        <f>IF($C34="","",IF(PULL_FUND="N","",IFERROR(BDP($C34,FCF_FIELD)/100,"")))</f>
        <v/>
      </c>
      <c r="AX34" s="126">
        <f>IF($C34="","",IF(N($U34)=0,"",IFERROR($AW34/$U34,"")))</f>
        <v/>
      </c>
      <c r="AY34" s="85">
        <f>IF($C34="","",TRIM(IF(ISNUMBER($AJ34)*(N($AJ34)&gt;$D$4)&gt;0,"payout high  ","")&amp;IF(ISNUMBER($AX34)*(N($AX34)&lt;$F$4)&gt;0,"FCF below dvd  ","")&amp;IF(ISNUMBER($AU34)*(N($AU34)&gt;$H$4)&gt;0,"leverage high","")))</f>
        <v/>
      </c>
      <c r="AZ34" s="86">
        <f>IF($C34="","",IF(HSI!$F$29="HKD","",HSI!$F$29))</f>
        <v/>
      </c>
    </row>
    <row r="35">
      <c r="B35" s="66" t="inlineStr">
        <is>
          <t>HSI</t>
        </is>
      </c>
      <c r="C35" s="8">
        <f>IF(HSI!$C$30="","",HSI!$C$30)</f>
        <v/>
      </c>
      <c r="D35" s="8">
        <f>IF($C35="","",HSI!$D$30)</f>
        <v/>
      </c>
      <c r="E35" s="8">
        <f>IF($C35="","",HSI!$E$30)</f>
        <v/>
      </c>
      <c r="F35" s="131">
        <f>IF($C35="","",SUMPRODUCT(('Dvd Calendar'!$E$264:$AR$264&gt;=DATE(YEAR_Y-5,1,1))*('Dvd Calendar'!$E$264:$AR$264&lt;=DATE(YEAR_Y-5,12,31))*'Dvd Calendar'!$E$267:$AR$267*(('Dvd Calendar'!$E$269:$AR$269=TYPE1)*(TYPE1&lt;&gt;"")+('Dvd Calendar'!$E$269:$AR$269=TYPE2)*(TYPE2&lt;&gt;"")+('Dvd Calendar'!$E$269:$AR$269=TYPE3)*(TYPE3&lt;&gt;"")+('Dvd Calendar'!$E$269:$AR$269=TYPE4)*(TYPE4&lt;&gt;"")+('Dvd Calendar'!$E$269:$AR$269=SPECIAL_LBL)*(INC_SPECIALS="Y"))))</f>
        <v/>
      </c>
      <c r="G35" s="132">
        <f>IF($C35="","",SUMPRODUCT(('Dvd Calendar'!$E$264:$AR$264&gt;=DATE(YEAR_Y-4,1,1))*('Dvd Calendar'!$E$264:$AR$264&lt;=DATE(YEAR_Y-4,12,31))*'Dvd Calendar'!$E$267:$AR$267*(('Dvd Calendar'!$E$269:$AR$269=TYPE1)*(TYPE1&lt;&gt;"")+('Dvd Calendar'!$E$269:$AR$269=TYPE2)*(TYPE2&lt;&gt;"")+('Dvd Calendar'!$E$269:$AR$269=TYPE3)*(TYPE3&lt;&gt;"")+('Dvd Calendar'!$E$269:$AR$269=TYPE4)*(TYPE4&lt;&gt;"")+('Dvd Calendar'!$E$269:$AR$269=SPECIAL_LBL)*(INC_SPECIALS="Y"))))</f>
        <v/>
      </c>
      <c r="H35" s="132">
        <f>IF($C35="","",SUMPRODUCT(('Dvd Calendar'!$E$264:$AR$264&gt;=DATE(YEAR_Y-3,1,1))*('Dvd Calendar'!$E$264:$AR$264&lt;=DATE(YEAR_Y-3,12,31))*'Dvd Calendar'!$E$267:$AR$267*(('Dvd Calendar'!$E$269:$AR$269=TYPE1)*(TYPE1&lt;&gt;"")+('Dvd Calendar'!$E$269:$AR$269=TYPE2)*(TYPE2&lt;&gt;"")+('Dvd Calendar'!$E$269:$AR$269=TYPE3)*(TYPE3&lt;&gt;"")+('Dvd Calendar'!$E$269:$AR$269=TYPE4)*(TYPE4&lt;&gt;"")+('Dvd Calendar'!$E$269:$AR$269=SPECIAL_LBL)*(INC_SPECIALS="Y"))))</f>
        <v/>
      </c>
      <c r="I35" s="132">
        <f>IF($C35="","",SUMPRODUCT(('Dvd Calendar'!$E$264:$AR$264&gt;=DATE(YEAR_Y-2,1,1))*('Dvd Calendar'!$E$264:$AR$264&lt;=DATE(YEAR_Y-2,12,31))*'Dvd Calendar'!$E$267:$AR$267*(('Dvd Calendar'!$E$269:$AR$269=TYPE1)*(TYPE1&lt;&gt;"")+('Dvd Calendar'!$E$269:$AR$269=TYPE2)*(TYPE2&lt;&gt;"")+('Dvd Calendar'!$E$269:$AR$269=TYPE3)*(TYPE3&lt;&gt;"")+('Dvd Calendar'!$E$269:$AR$269=TYPE4)*(TYPE4&lt;&gt;"")+('Dvd Calendar'!$E$269:$AR$269=SPECIAL_LBL)*(INC_SPECIALS="Y"))))</f>
        <v/>
      </c>
      <c r="J35" s="132">
        <f>IF($C35="","",SUMPRODUCT(('Dvd Calendar'!$E$264:$AR$264&gt;=DATE(YEAR_Y-1,1,1))*('Dvd Calendar'!$E$264:$AR$264&lt;=DATE(YEAR_Y-1,12,31))*'Dvd Calendar'!$E$267:$AR$267*(('Dvd Calendar'!$E$269:$AR$269=TYPE1)*(TYPE1&lt;&gt;"")+('Dvd Calendar'!$E$269:$AR$269=TYPE2)*(TYPE2&lt;&gt;"")+('Dvd Calendar'!$E$269:$AR$269=TYPE3)*(TYPE3&lt;&gt;"")+('Dvd Calendar'!$E$269:$AR$269=TYPE4)*(TYPE4&lt;&gt;"")+('Dvd Calendar'!$E$269:$AR$269=SPECIAL_LBL)*(INC_SPECIALS="Y"))))</f>
        <v/>
      </c>
      <c r="K35" s="133">
        <f>IF($C35="","",HSI!$J$30)</f>
        <v/>
      </c>
      <c r="L35" s="133">
        <f>IF($C35="","",HSI!$K$30)</f>
        <v/>
      </c>
      <c r="M35" s="124">
        <f>IF($C35="","",HSI!$J$30+HSI!$L$30)</f>
        <v/>
      </c>
      <c r="N35" s="134">
        <f>IF($C35="","",IF(PULL_FUND="N","",IFERROR(BDP($C35,BESTDPS_FIELD,FWD_OVERRIDE,TEXT(MOD(YEAR_Y,100),"00")&amp;"Y"),"")))</f>
        <v/>
      </c>
      <c r="O35" s="133">
        <f>IF($C35="","",AVERAGE(F35:J35))</f>
        <v/>
      </c>
      <c r="P35" s="135">
        <f>IF($C35="","",IF(PULL_FUND="N","",IF(COUNTIFS('Fund History'!$J$146:$J$150,"&gt;="&amp;DATE(YEAR_Y-5,1,1),'Fund History'!$J$146:$J$150,"&lt;="&amp;DATE(YEAR_Y-5,12,31))=0,"",IFERROR($F35*HSI!$G$30/SUMIFS('Fund History'!$K$146:$K$150,'Fund History'!$J$146:$J$150,"&gt;="&amp;DATE(YEAR_Y-5,1,1),'Fund History'!$J$146:$J$150,"&lt;="&amp;DATE(YEAR_Y-5,12,31)),""))))</f>
        <v/>
      </c>
      <c r="Q35" s="136">
        <f>IF($C35="","",IF(PULL_FUND="N","",IF(COUNTIFS('Fund History'!$J$146:$J$150,"&gt;="&amp;DATE(YEAR_Y-4,1,1),'Fund History'!$J$146:$J$150,"&lt;="&amp;DATE(YEAR_Y-4,12,31))=0,"",IFERROR($G35*HSI!$G$30/SUMIFS('Fund History'!$K$146:$K$150,'Fund History'!$J$146:$J$150,"&gt;="&amp;DATE(YEAR_Y-4,1,1),'Fund History'!$J$146:$J$150,"&lt;="&amp;DATE(YEAR_Y-4,12,31)),""))))</f>
        <v/>
      </c>
      <c r="R35" s="136">
        <f>IF($C35="","",IF(PULL_FUND="N","",IF(COUNTIFS('Fund History'!$J$146:$J$150,"&gt;="&amp;DATE(YEAR_Y-3,1,1),'Fund History'!$J$146:$J$150,"&lt;="&amp;DATE(YEAR_Y-3,12,31))=0,"",IFERROR($H35*HSI!$G$30/SUMIFS('Fund History'!$K$146:$K$150,'Fund History'!$J$146:$J$150,"&gt;="&amp;DATE(YEAR_Y-3,1,1),'Fund History'!$J$146:$J$150,"&lt;="&amp;DATE(YEAR_Y-3,12,31)),""))))</f>
        <v/>
      </c>
      <c r="S35" s="136">
        <f>IF($C35="","",IF(PULL_FUND="N","",IF(COUNTIFS('Fund History'!$J$146:$J$150,"&gt;="&amp;DATE(YEAR_Y-2,1,1),'Fund History'!$J$146:$J$150,"&lt;="&amp;DATE(YEAR_Y-2,12,31))=0,"",IFERROR($I35*HSI!$G$30/SUMIFS('Fund History'!$K$146:$K$150,'Fund History'!$J$146:$J$150,"&gt;="&amp;DATE(YEAR_Y-2,1,1),'Fund History'!$J$146:$J$150,"&lt;="&amp;DATE(YEAR_Y-2,12,31)),""))))</f>
        <v/>
      </c>
      <c r="T35" s="136">
        <f>IF($C35="","",IF(PULL_FUND="N","",IF(COUNTIFS('Fund History'!$J$146:$J$150,"&gt;="&amp;DATE(YEAR_Y-1,1,1),'Fund History'!$J$146:$J$150,"&lt;="&amp;DATE(YEAR_Y-1,12,31))=0,"",IFERROR($J35*HSI!$G$30/SUMIFS('Fund History'!$K$146:$K$150,'Fund History'!$J$146:$J$150,"&gt;="&amp;DATE(YEAR_Y-1,1,1),'Fund History'!$J$146:$J$150,"&lt;="&amp;DATE(YEAR_Y-1,12,31)),""))))</f>
        <v/>
      </c>
      <c r="U35" s="137">
        <f>IF($C35="","",IF(ISNUMBER(HSI!$I$30),HSI!$I$30/100,""))</f>
        <v/>
      </c>
      <c r="V35" s="138">
        <f>IF($C35="","",IF(ISNUMBER(HSI!$X$30),IFERROR($M35*HSI!$G$30/HSI!$X$30,""),""))</f>
        <v/>
      </c>
      <c r="W35" s="137">
        <f>IF($C35="","",IF(ISNUMBER($N35),IFERROR($N35*HSI!$G$30/HSI!$X$30,""),""))</f>
        <v/>
      </c>
      <c r="X35" s="139">
        <f>IF($C35="","",IF(PULL_FUND="N","",IFERROR(BDP($C35,EPS_FIELD,YR_OVERRIDE,TEXT(YEAR_Y-5,"0")),"")))</f>
        <v/>
      </c>
      <c r="Y35" s="140">
        <f>IF($C35="","",IF(PULL_FUND="N","",IFERROR(BDP($C35,EPS_FIELD,YR_OVERRIDE,TEXT(YEAR_Y-4,"0")),"")))</f>
        <v/>
      </c>
      <c r="Z35" s="140">
        <f>IF($C35="","",IF(PULL_FUND="N","",IFERROR(BDP($C35,EPS_FIELD,YR_OVERRIDE,TEXT(YEAR_Y-3,"0")),"")))</f>
        <v/>
      </c>
      <c r="AA35" s="140">
        <f>IF($C35="","",IF(PULL_FUND="N","",IFERROR(BDP($C35,EPS_FIELD,YR_OVERRIDE,TEXT(YEAR_Y-2,"0")),"")))</f>
        <v/>
      </c>
      <c r="AB35" s="140">
        <f>IF($C35="","",IF(PULL_FUND="N","",IFERROR(BDP($C35,EPS_FIELD,YR_OVERRIDE,TEXT(YEAR_Y-1,"0")),"")))</f>
        <v/>
      </c>
      <c r="AC35" s="126">
        <f>IF($C35="","",IFERROR(AVERAGE(X35:AB35),""))</f>
        <v/>
      </c>
      <c r="AD35" s="140">
        <f>IF($C35="","",IF(PULL_FUND="N","",IFERROR(BDP($C35,BESTEPS_FIELD,FWD_OVERRIDE,TEXT(MOD(YEAR_Y,100),"00")&amp;"Y"),"")))</f>
        <v/>
      </c>
      <c r="AE35" s="141">
        <f>IF($C35="","",IF(PULL_FUND="N","",IFERROR(BDP($C35,PAYOUT_FIELD,YR_OVERRIDE,TEXT(YEAR_Y-5,"0"))/100,"")))</f>
        <v/>
      </c>
      <c r="AF35" s="142">
        <f>IF($C35="","",IF(PULL_FUND="N","",IFERROR(BDP($C35,PAYOUT_FIELD,YR_OVERRIDE,TEXT(YEAR_Y-4,"0"))/100,"")))</f>
        <v/>
      </c>
      <c r="AG35" s="142">
        <f>IF($C35="","",IF(PULL_FUND="N","",IFERROR(BDP($C35,PAYOUT_FIELD,YR_OVERRIDE,TEXT(YEAR_Y-3,"0"))/100,"")))</f>
        <v/>
      </c>
      <c r="AH35" s="142">
        <f>IF($C35="","",IF(PULL_FUND="N","",IFERROR(BDP($C35,PAYOUT_FIELD,YR_OVERRIDE,TEXT(YEAR_Y-2,"0"))/100,"")))</f>
        <v/>
      </c>
      <c r="AI35" s="142">
        <f>IF($C35="","",IF(PULL_FUND="N","",IFERROR(BDP($C35,PAYOUT_FIELD,YR_OVERRIDE,TEXT(YEAR_Y-1,"0"))/100,"")))</f>
        <v/>
      </c>
      <c r="AJ35" s="143">
        <f>IF($C35="","",IFERROR(AVERAGE(AE35:AI35),""))</f>
        <v/>
      </c>
      <c r="AK35" s="144">
        <f>IF($C35="","",IF(ISNUMBER($AD35)*ISNUMBER($N35)*($AD35&lt;&gt;0)=0,"",$N35/$AD35))</f>
        <v/>
      </c>
      <c r="AL35" s="143">
        <f>IF($C35="","",IF(ISNUMBER($AD35)*($AD35&lt;&gt;0)=0,"",$M35/$AD35))</f>
        <v/>
      </c>
      <c r="AM35" s="37">
        <f>IF($C35="","",IF(ISNUMBER($AE35)*ISNUMBER($AI35)=0,"",IF($AI35&gt;$AE35+0.05,"rising",IF($AI35&lt;$AE35-0.05,"falling","stable"))))</f>
        <v/>
      </c>
      <c r="AN35" s="145">
        <f>IF($C35="","",IF(PULL_FUND="N","",IF(COUNTIFS('Fund History'!$G$146:$G$150,"&gt;="&amp;DATE(YEAR_Y-4,1,1),'Fund History'!$G$146:$G$150,"&lt;="&amp;DATE(YEAR_Y-4,12,31))=0,"",SUMIFS('Fund History'!$H$146:$H$150,'Fund History'!$G$146:$G$150,"&gt;="&amp;DATE(YEAR_Y-4,1,1),'Fund History'!$G$146:$G$150,"&lt;="&amp;DATE(YEAR_Y-4,12,31))/100)))</f>
        <v/>
      </c>
      <c r="AO35" s="146">
        <f>IF($C35="","",IF(PULL_FUND="N","",IF(COUNTIFS('Fund History'!$G$146:$G$150,"&gt;="&amp;DATE(YEAR_Y-3,1,1),'Fund History'!$G$146:$G$150,"&lt;="&amp;DATE(YEAR_Y-3,12,31))=0,"",SUMIFS('Fund History'!$H$146:$H$150,'Fund History'!$G$146:$G$150,"&gt;="&amp;DATE(YEAR_Y-3,1,1),'Fund History'!$G$146:$G$150,"&lt;="&amp;DATE(YEAR_Y-3,12,31))/100)))</f>
        <v/>
      </c>
      <c r="AP35" s="146">
        <f>IF($C35="","",IF(PULL_FUND="N","",IF(COUNTIFS('Fund History'!$G$146:$G$150,"&gt;="&amp;DATE(YEAR_Y-2,1,1),'Fund History'!$G$146:$G$150,"&lt;="&amp;DATE(YEAR_Y-2,12,31))=0,"",SUMIFS('Fund History'!$H$146:$H$150,'Fund History'!$G$146:$G$150,"&gt;="&amp;DATE(YEAR_Y-2,1,1),'Fund History'!$G$146:$G$150,"&lt;="&amp;DATE(YEAR_Y-2,12,31))/100)))</f>
        <v/>
      </c>
      <c r="AQ35" s="146">
        <f>IF($C35="","",IF(PULL_FUND="N","",IF(COUNTIFS('Fund History'!$G$146:$G$150,"&gt;="&amp;DATE(YEAR_Y-1,1,1),'Fund History'!$G$146:$G$150,"&lt;="&amp;DATE(YEAR_Y-1,12,31))=0,"",SUMIFS('Fund History'!$H$146:$H$150,'Fund History'!$G$146:$G$150,"&gt;="&amp;DATE(YEAR_Y-1,1,1),'Fund History'!$G$146:$G$150,"&lt;="&amp;DATE(YEAR_Y-1,12,31))/100)))</f>
        <v/>
      </c>
      <c r="AR35" s="147">
        <f>IF($C35="","",IF(N($AQ35)+N(HSI!$I$30)=0,"",N($AQ35)+N(HSI!$I$30)/100))</f>
        <v/>
      </c>
      <c r="AS35" s="139">
        <f>IF($C35="","",IF(PULL_FUND="N","",IF(COUNTIFS('Fund History'!$D$146:$D$150,"&gt;="&amp;DATE(YEAR_Y-2,1,1),'Fund History'!$D$146:$D$150,"&lt;="&amp;DATE(YEAR_Y-2,12,31))=0,"",SUMIFS('Fund History'!$E$146:$E$150,'Fund History'!$D$146:$D$150,"&gt;="&amp;DATE(YEAR_Y-2,1,1),'Fund History'!$D$146:$D$150,"&lt;="&amp;DATE(YEAR_Y-2,12,31)))))</f>
        <v/>
      </c>
      <c r="AT35" s="140">
        <f>IF($C35="","",IF(PULL_FUND="N","",IF(COUNTIFS('Fund History'!$D$146:$D$150,"&gt;="&amp;DATE(YEAR_Y-1,1,1),'Fund History'!$D$146:$D$150,"&lt;="&amp;DATE(YEAR_Y-1,12,31))=0,"",SUMIFS('Fund History'!$E$146:$E$150,'Fund History'!$D$146:$D$150,"&gt;="&amp;DATE(YEAR_Y-1,1,1),'Fund History'!$D$146:$D$150,"&lt;="&amp;DATE(YEAR_Y-1,12,31)))))</f>
        <v/>
      </c>
      <c r="AU35" s="140">
        <f>IF($C35="","",IF(PULL_FUND="N","",IFERROR(BDP($C35,NDEBITDA_FIELD),"")))</f>
        <v/>
      </c>
      <c r="AV35" s="148">
        <f>IF($C35="","",IF(PULL_FUND="N","",IFERROR(BDP($C35,EBINT_FIELD),"")))</f>
        <v/>
      </c>
      <c r="AW35" s="146">
        <f>IF($C35="","",IF(PULL_FUND="N","",IFERROR(BDP($C35,FCF_FIELD)/100,"")))</f>
        <v/>
      </c>
      <c r="AX35" s="126">
        <f>IF($C35="","",IF(N($U35)=0,"",IFERROR($AW35/$U35,"")))</f>
        <v/>
      </c>
      <c r="AY35" s="85">
        <f>IF($C35="","",TRIM(IF(ISNUMBER($AJ35)*(N($AJ35)&gt;$D$4)&gt;0,"payout high  ","")&amp;IF(ISNUMBER($AX35)*(N($AX35)&lt;$F$4)&gt;0,"FCF below dvd  ","")&amp;IF(ISNUMBER($AU35)*(N($AU35)&gt;$H$4)&gt;0,"leverage high","")))</f>
        <v/>
      </c>
      <c r="AZ35" s="86">
        <f>IF($C35="","",IF(HSI!$F$30="HKD","",HSI!$F$30))</f>
        <v/>
      </c>
    </row>
    <row r="36">
      <c r="B36" s="66" t="inlineStr">
        <is>
          <t>HSI</t>
        </is>
      </c>
      <c r="C36" s="8">
        <f>IF(HSI!$C$31="","",HSI!$C$31)</f>
        <v/>
      </c>
      <c r="D36" s="8">
        <f>IF($C36="","",HSI!$D$31)</f>
        <v/>
      </c>
      <c r="E36" s="8">
        <f>IF($C36="","",HSI!$E$31)</f>
        <v/>
      </c>
      <c r="F36" s="131">
        <f>IF($C36="","",SUMPRODUCT(('Dvd Calendar'!$E$275:$AR$275&gt;=DATE(YEAR_Y-5,1,1))*('Dvd Calendar'!$E$275:$AR$275&lt;=DATE(YEAR_Y-5,12,31))*'Dvd Calendar'!$E$278:$AR$278*(('Dvd Calendar'!$E$280:$AR$280=TYPE1)*(TYPE1&lt;&gt;"")+('Dvd Calendar'!$E$280:$AR$280=TYPE2)*(TYPE2&lt;&gt;"")+('Dvd Calendar'!$E$280:$AR$280=TYPE3)*(TYPE3&lt;&gt;"")+('Dvd Calendar'!$E$280:$AR$280=TYPE4)*(TYPE4&lt;&gt;"")+('Dvd Calendar'!$E$280:$AR$280=SPECIAL_LBL)*(INC_SPECIALS="Y"))))</f>
        <v/>
      </c>
      <c r="G36" s="132">
        <f>IF($C36="","",SUMPRODUCT(('Dvd Calendar'!$E$275:$AR$275&gt;=DATE(YEAR_Y-4,1,1))*('Dvd Calendar'!$E$275:$AR$275&lt;=DATE(YEAR_Y-4,12,31))*'Dvd Calendar'!$E$278:$AR$278*(('Dvd Calendar'!$E$280:$AR$280=TYPE1)*(TYPE1&lt;&gt;"")+('Dvd Calendar'!$E$280:$AR$280=TYPE2)*(TYPE2&lt;&gt;"")+('Dvd Calendar'!$E$280:$AR$280=TYPE3)*(TYPE3&lt;&gt;"")+('Dvd Calendar'!$E$280:$AR$280=TYPE4)*(TYPE4&lt;&gt;"")+('Dvd Calendar'!$E$280:$AR$280=SPECIAL_LBL)*(INC_SPECIALS="Y"))))</f>
        <v/>
      </c>
      <c r="H36" s="132">
        <f>IF($C36="","",SUMPRODUCT(('Dvd Calendar'!$E$275:$AR$275&gt;=DATE(YEAR_Y-3,1,1))*('Dvd Calendar'!$E$275:$AR$275&lt;=DATE(YEAR_Y-3,12,31))*'Dvd Calendar'!$E$278:$AR$278*(('Dvd Calendar'!$E$280:$AR$280=TYPE1)*(TYPE1&lt;&gt;"")+('Dvd Calendar'!$E$280:$AR$280=TYPE2)*(TYPE2&lt;&gt;"")+('Dvd Calendar'!$E$280:$AR$280=TYPE3)*(TYPE3&lt;&gt;"")+('Dvd Calendar'!$E$280:$AR$280=TYPE4)*(TYPE4&lt;&gt;"")+('Dvd Calendar'!$E$280:$AR$280=SPECIAL_LBL)*(INC_SPECIALS="Y"))))</f>
        <v/>
      </c>
      <c r="I36" s="132">
        <f>IF($C36="","",SUMPRODUCT(('Dvd Calendar'!$E$275:$AR$275&gt;=DATE(YEAR_Y-2,1,1))*('Dvd Calendar'!$E$275:$AR$275&lt;=DATE(YEAR_Y-2,12,31))*'Dvd Calendar'!$E$278:$AR$278*(('Dvd Calendar'!$E$280:$AR$280=TYPE1)*(TYPE1&lt;&gt;"")+('Dvd Calendar'!$E$280:$AR$280=TYPE2)*(TYPE2&lt;&gt;"")+('Dvd Calendar'!$E$280:$AR$280=TYPE3)*(TYPE3&lt;&gt;"")+('Dvd Calendar'!$E$280:$AR$280=TYPE4)*(TYPE4&lt;&gt;"")+('Dvd Calendar'!$E$280:$AR$280=SPECIAL_LBL)*(INC_SPECIALS="Y"))))</f>
        <v/>
      </c>
      <c r="J36" s="132">
        <f>IF($C36="","",SUMPRODUCT(('Dvd Calendar'!$E$275:$AR$275&gt;=DATE(YEAR_Y-1,1,1))*('Dvd Calendar'!$E$275:$AR$275&lt;=DATE(YEAR_Y-1,12,31))*'Dvd Calendar'!$E$278:$AR$278*(('Dvd Calendar'!$E$280:$AR$280=TYPE1)*(TYPE1&lt;&gt;"")+('Dvd Calendar'!$E$280:$AR$280=TYPE2)*(TYPE2&lt;&gt;"")+('Dvd Calendar'!$E$280:$AR$280=TYPE3)*(TYPE3&lt;&gt;"")+('Dvd Calendar'!$E$280:$AR$280=TYPE4)*(TYPE4&lt;&gt;"")+('Dvd Calendar'!$E$280:$AR$280=SPECIAL_LBL)*(INC_SPECIALS="Y"))))</f>
        <v/>
      </c>
      <c r="K36" s="133">
        <f>IF($C36="","",HSI!$J$31)</f>
        <v/>
      </c>
      <c r="L36" s="133">
        <f>IF($C36="","",HSI!$K$31)</f>
        <v/>
      </c>
      <c r="M36" s="124">
        <f>IF($C36="","",HSI!$J$31+HSI!$L$31)</f>
        <v/>
      </c>
      <c r="N36" s="134">
        <f>IF($C36="","",IF(PULL_FUND="N","",IFERROR(BDP($C36,BESTDPS_FIELD,FWD_OVERRIDE,TEXT(MOD(YEAR_Y,100),"00")&amp;"Y"),"")))</f>
        <v/>
      </c>
      <c r="O36" s="133">
        <f>IF($C36="","",AVERAGE(F36:J36))</f>
        <v/>
      </c>
      <c r="P36" s="135">
        <f>IF($C36="","",IF(PULL_FUND="N","",IF(COUNTIFS('Fund History'!$J$152:$J$156,"&gt;="&amp;DATE(YEAR_Y-5,1,1),'Fund History'!$J$152:$J$156,"&lt;="&amp;DATE(YEAR_Y-5,12,31))=0,"",IFERROR($F36*HSI!$G$31/SUMIFS('Fund History'!$K$152:$K$156,'Fund History'!$J$152:$J$156,"&gt;="&amp;DATE(YEAR_Y-5,1,1),'Fund History'!$J$152:$J$156,"&lt;="&amp;DATE(YEAR_Y-5,12,31)),""))))</f>
        <v/>
      </c>
      <c r="Q36" s="136">
        <f>IF($C36="","",IF(PULL_FUND="N","",IF(COUNTIFS('Fund History'!$J$152:$J$156,"&gt;="&amp;DATE(YEAR_Y-4,1,1),'Fund History'!$J$152:$J$156,"&lt;="&amp;DATE(YEAR_Y-4,12,31))=0,"",IFERROR($G36*HSI!$G$31/SUMIFS('Fund History'!$K$152:$K$156,'Fund History'!$J$152:$J$156,"&gt;="&amp;DATE(YEAR_Y-4,1,1),'Fund History'!$J$152:$J$156,"&lt;="&amp;DATE(YEAR_Y-4,12,31)),""))))</f>
        <v/>
      </c>
      <c r="R36" s="136">
        <f>IF($C36="","",IF(PULL_FUND="N","",IF(COUNTIFS('Fund History'!$J$152:$J$156,"&gt;="&amp;DATE(YEAR_Y-3,1,1),'Fund History'!$J$152:$J$156,"&lt;="&amp;DATE(YEAR_Y-3,12,31))=0,"",IFERROR($H36*HSI!$G$31/SUMIFS('Fund History'!$K$152:$K$156,'Fund History'!$J$152:$J$156,"&gt;="&amp;DATE(YEAR_Y-3,1,1),'Fund History'!$J$152:$J$156,"&lt;="&amp;DATE(YEAR_Y-3,12,31)),""))))</f>
        <v/>
      </c>
      <c r="S36" s="136">
        <f>IF($C36="","",IF(PULL_FUND="N","",IF(COUNTIFS('Fund History'!$J$152:$J$156,"&gt;="&amp;DATE(YEAR_Y-2,1,1),'Fund History'!$J$152:$J$156,"&lt;="&amp;DATE(YEAR_Y-2,12,31))=0,"",IFERROR($I36*HSI!$G$31/SUMIFS('Fund History'!$K$152:$K$156,'Fund History'!$J$152:$J$156,"&gt;="&amp;DATE(YEAR_Y-2,1,1),'Fund History'!$J$152:$J$156,"&lt;="&amp;DATE(YEAR_Y-2,12,31)),""))))</f>
        <v/>
      </c>
      <c r="T36" s="136">
        <f>IF($C36="","",IF(PULL_FUND="N","",IF(COUNTIFS('Fund History'!$J$152:$J$156,"&gt;="&amp;DATE(YEAR_Y-1,1,1),'Fund History'!$J$152:$J$156,"&lt;="&amp;DATE(YEAR_Y-1,12,31))=0,"",IFERROR($J36*HSI!$G$31/SUMIFS('Fund History'!$K$152:$K$156,'Fund History'!$J$152:$J$156,"&gt;="&amp;DATE(YEAR_Y-1,1,1),'Fund History'!$J$152:$J$156,"&lt;="&amp;DATE(YEAR_Y-1,12,31)),""))))</f>
        <v/>
      </c>
      <c r="U36" s="137">
        <f>IF($C36="","",IF(ISNUMBER(HSI!$I$31),HSI!$I$31/100,""))</f>
        <v/>
      </c>
      <c r="V36" s="138">
        <f>IF($C36="","",IF(ISNUMBER(HSI!$X$31),IFERROR($M36*HSI!$G$31/HSI!$X$31,""),""))</f>
        <v/>
      </c>
      <c r="W36" s="137">
        <f>IF($C36="","",IF(ISNUMBER($N36),IFERROR($N36*HSI!$G$31/HSI!$X$31,""),""))</f>
        <v/>
      </c>
      <c r="X36" s="139">
        <f>IF($C36="","",IF(PULL_FUND="N","",IFERROR(BDP($C36,EPS_FIELD,YR_OVERRIDE,TEXT(YEAR_Y-5,"0")),"")))</f>
        <v/>
      </c>
      <c r="Y36" s="140">
        <f>IF($C36="","",IF(PULL_FUND="N","",IFERROR(BDP($C36,EPS_FIELD,YR_OVERRIDE,TEXT(YEAR_Y-4,"0")),"")))</f>
        <v/>
      </c>
      <c r="Z36" s="140">
        <f>IF($C36="","",IF(PULL_FUND="N","",IFERROR(BDP($C36,EPS_FIELD,YR_OVERRIDE,TEXT(YEAR_Y-3,"0")),"")))</f>
        <v/>
      </c>
      <c r="AA36" s="140">
        <f>IF($C36="","",IF(PULL_FUND="N","",IFERROR(BDP($C36,EPS_FIELD,YR_OVERRIDE,TEXT(YEAR_Y-2,"0")),"")))</f>
        <v/>
      </c>
      <c r="AB36" s="140">
        <f>IF($C36="","",IF(PULL_FUND="N","",IFERROR(BDP($C36,EPS_FIELD,YR_OVERRIDE,TEXT(YEAR_Y-1,"0")),"")))</f>
        <v/>
      </c>
      <c r="AC36" s="126">
        <f>IF($C36="","",IFERROR(AVERAGE(X36:AB36),""))</f>
        <v/>
      </c>
      <c r="AD36" s="140">
        <f>IF($C36="","",IF(PULL_FUND="N","",IFERROR(BDP($C36,BESTEPS_FIELD,FWD_OVERRIDE,TEXT(MOD(YEAR_Y,100),"00")&amp;"Y"),"")))</f>
        <v/>
      </c>
      <c r="AE36" s="141">
        <f>IF($C36="","",IF(PULL_FUND="N","",IFERROR(BDP($C36,PAYOUT_FIELD,YR_OVERRIDE,TEXT(YEAR_Y-5,"0"))/100,"")))</f>
        <v/>
      </c>
      <c r="AF36" s="142">
        <f>IF($C36="","",IF(PULL_FUND="N","",IFERROR(BDP($C36,PAYOUT_FIELD,YR_OVERRIDE,TEXT(YEAR_Y-4,"0"))/100,"")))</f>
        <v/>
      </c>
      <c r="AG36" s="142">
        <f>IF($C36="","",IF(PULL_FUND="N","",IFERROR(BDP($C36,PAYOUT_FIELD,YR_OVERRIDE,TEXT(YEAR_Y-3,"0"))/100,"")))</f>
        <v/>
      </c>
      <c r="AH36" s="142">
        <f>IF($C36="","",IF(PULL_FUND="N","",IFERROR(BDP($C36,PAYOUT_FIELD,YR_OVERRIDE,TEXT(YEAR_Y-2,"0"))/100,"")))</f>
        <v/>
      </c>
      <c r="AI36" s="142">
        <f>IF($C36="","",IF(PULL_FUND="N","",IFERROR(BDP($C36,PAYOUT_FIELD,YR_OVERRIDE,TEXT(YEAR_Y-1,"0"))/100,"")))</f>
        <v/>
      </c>
      <c r="AJ36" s="143">
        <f>IF($C36="","",IFERROR(AVERAGE(AE36:AI36),""))</f>
        <v/>
      </c>
      <c r="AK36" s="144">
        <f>IF($C36="","",IF(ISNUMBER($AD36)*ISNUMBER($N36)*($AD36&lt;&gt;0)=0,"",$N36/$AD36))</f>
        <v/>
      </c>
      <c r="AL36" s="143">
        <f>IF($C36="","",IF(ISNUMBER($AD36)*($AD36&lt;&gt;0)=0,"",$M36/$AD36))</f>
        <v/>
      </c>
      <c r="AM36" s="37">
        <f>IF($C36="","",IF(ISNUMBER($AE36)*ISNUMBER($AI36)=0,"",IF($AI36&gt;$AE36+0.05,"rising",IF($AI36&lt;$AE36-0.05,"falling","stable"))))</f>
        <v/>
      </c>
      <c r="AN36" s="145">
        <f>IF($C36="","",IF(PULL_FUND="N","",IF(COUNTIFS('Fund History'!$G$152:$G$156,"&gt;="&amp;DATE(YEAR_Y-4,1,1),'Fund History'!$G$152:$G$156,"&lt;="&amp;DATE(YEAR_Y-4,12,31))=0,"",SUMIFS('Fund History'!$H$152:$H$156,'Fund History'!$G$152:$G$156,"&gt;="&amp;DATE(YEAR_Y-4,1,1),'Fund History'!$G$152:$G$156,"&lt;="&amp;DATE(YEAR_Y-4,12,31))/100)))</f>
        <v/>
      </c>
      <c r="AO36" s="146">
        <f>IF($C36="","",IF(PULL_FUND="N","",IF(COUNTIFS('Fund History'!$G$152:$G$156,"&gt;="&amp;DATE(YEAR_Y-3,1,1),'Fund History'!$G$152:$G$156,"&lt;="&amp;DATE(YEAR_Y-3,12,31))=0,"",SUMIFS('Fund History'!$H$152:$H$156,'Fund History'!$G$152:$G$156,"&gt;="&amp;DATE(YEAR_Y-3,1,1),'Fund History'!$G$152:$G$156,"&lt;="&amp;DATE(YEAR_Y-3,12,31))/100)))</f>
        <v/>
      </c>
      <c r="AP36" s="146">
        <f>IF($C36="","",IF(PULL_FUND="N","",IF(COUNTIFS('Fund History'!$G$152:$G$156,"&gt;="&amp;DATE(YEAR_Y-2,1,1),'Fund History'!$G$152:$G$156,"&lt;="&amp;DATE(YEAR_Y-2,12,31))=0,"",SUMIFS('Fund History'!$H$152:$H$156,'Fund History'!$G$152:$G$156,"&gt;="&amp;DATE(YEAR_Y-2,1,1),'Fund History'!$G$152:$G$156,"&lt;="&amp;DATE(YEAR_Y-2,12,31))/100)))</f>
        <v/>
      </c>
      <c r="AQ36" s="146">
        <f>IF($C36="","",IF(PULL_FUND="N","",IF(COUNTIFS('Fund History'!$G$152:$G$156,"&gt;="&amp;DATE(YEAR_Y-1,1,1),'Fund History'!$G$152:$G$156,"&lt;="&amp;DATE(YEAR_Y-1,12,31))=0,"",SUMIFS('Fund History'!$H$152:$H$156,'Fund History'!$G$152:$G$156,"&gt;="&amp;DATE(YEAR_Y-1,1,1),'Fund History'!$G$152:$G$156,"&lt;="&amp;DATE(YEAR_Y-1,12,31))/100)))</f>
        <v/>
      </c>
      <c r="AR36" s="147">
        <f>IF($C36="","",IF(N($AQ36)+N(HSI!$I$31)=0,"",N($AQ36)+N(HSI!$I$31)/100))</f>
        <v/>
      </c>
      <c r="AS36" s="139">
        <f>IF($C36="","",IF(PULL_FUND="N","",IF(COUNTIFS('Fund History'!$D$152:$D$156,"&gt;="&amp;DATE(YEAR_Y-2,1,1),'Fund History'!$D$152:$D$156,"&lt;="&amp;DATE(YEAR_Y-2,12,31))=0,"",SUMIFS('Fund History'!$E$152:$E$156,'Fund History'!$D$152:$D$156,"&gt;="&amp;DATE(YEAR_Y-2,1,1),'Fund History'!$D$152:$D$156,"&lt;="&amp;DATE(YEAR_Y-2,12,31)))))</f>
        <v/>
      </c>
      <c r="AT36" s="140">
        <f>IF($C36="","",IF(PULL_FUND="N","",IF(COUNTIFS('Fund History'!$D$152:$D$156,"&gt;="&amp;DATE(YEAR_Y-1,1,1),'Fund History'!$D$152:$D$156,"&lt;="&amp;DATE(YEAR_Y-1,12,31))=0,"",SUMIFS('Fund History'!$E$152:$E$156,'Fund History'!$D$152:$D$156,"&gt;="&amp;DATE(YEAR_Y-1,1,1),'Fund History'!$D$152:$D$156,"&lt;="&amp;DATE(YEAR_Y-1,12,31)))))</f>
        <v/>
      </c>
      <c r="AU36" s="140">
        <f>IF($C36="","",IF(PULL_FUND="N","",IFERROR(BDP($C36,NDEBITDA_FIELD),"")))</f>
        <v/>
      </c>
      <c r="AV36" s="148">
        <f>IF($C36="","",IF(PULL_FUND="N","",IFERROR(BDP($C36,EBINT_FIELD),"")))</f>
        <v/>
      </c>
      <c r="AW36" s="146">
        <f>IF($C36="","",IF(PULL_FUND="N","",IFERROR(BDP($C36,FCF_FIELD)/100,"")))</f>
        <v/>
      </c>
      <c r="AX36" s="126">
        <f>IF($C36="","",IF(N($U36)=0,"",IFERROR($AW36/$U36,"")))</f>
        <v/>
      </c>
      <c r="AY36" s="85">
        <f>IF($C36="","",TRIM(IF(ISNUMBER($AJ36)*(N($AJ36)&gt;$D$4)&gt;0,"payout high  ","")&amp;IF(ISNUMBER($AX36)*(N($AX36)&lt;$F$4)&gt;0,"FCF below dvd  ","")&amp;IF(ISNUMBER($AU36)*(N($AU36)&gt;$H$4)&gt;0,"leverage high","")))</f>
        <v/>
      </c>
      <c r="AZ36" s="86">
        <f>IF($C36="","",IF(HSI!$F$31="HKD","",HSI!$F$31))</f>
        <v/>
      </c>
    </row>
    <row r="37">
      <c r="B37" s="66" t="inlineStr">
        <is>
          <t>HSI</t>
        </is>
      </c>
      <c r="C37" s="8">
        <f>IF(HSI!$C$32="","",HSI!$C$32)</f>
        <v/>
      </c>
      <c r="D37" s="8">
        <f>IF($C37="","",HSI!$D$32)</f>
        <v/>
      </c>
      <c r="E37" s="8">
        <f>IF($C37="","",HSI!$E$32)</f>
        <v/>
      </c>
      <c r="F37" s="131">
        <f>IF($C37="","",SUMPRODUCT(('Dvd Calendar'!$E$286:$AR$286&gt;=DATE(YEAR_Y-5,1,1))*('Dvd Calendar'!$E$286:$AR$286&lt;=DATE(YEAR_Y-5,12,31))*'Dvd Calendar'!$E$289:$AR$289*(('Dvd Calendar'!$E$291:$AR$291=TYPE1)*(TYPE1&lt;&gt;"")+('Dvd Calendar'!$E$291:$AR$291=TYPE2)*(TYPE2&lt;&gt;"")+('Dvd Calendar'!$E$291:$AR$291=TYPE3)*(TYPE3&lt;&gt;"")+('Dvd Calendar'!$E$291:$AR$291=TYPE4)*(TYPE4&lt;&gt;"")+('Dvd Calendar'!$E$291:$AR$291=SPECIAL_LBL)*(INC_SPECIALS="Y"))))</f>
        <v/>
      </c>
      <c r="G37" s="132">
        <f>IF($C37="","",SUMPRODUCT(('Dvd Calendar'!$E$286:$AR$286&gt;=DATE(YEAR_Y-4,1,1))*('Dvd Calendar'!$E$286:$AR$286&lt;=DATE(YEAR_Y-4,12,31))*'Dvd Calendar'!$E$289:$AR$289*(('Dvd Calendar'!$E$291:$AR$291=TYPE1)*(TYPE1&lt;&gt;"")+('Dvd Calendar'!$E$291:$AR$291=TYPE2)*(TYPE2&lt;&gt;"")+('Dvd Calendar'!$E$291:$AR$291=TYPE3)*(TYPE3&lt;&gt;"")+('Dvd Calendar'!$E$291:$AR$291=TYPE4)*(TYPE4&lt;&gt;"")+('Dvd Calendar'!$E$291:$AR$291=SPECIAL_LBL)*(INC_SPECIALS="Y"))))</f>
        <v/>
      </c>
      <c r="H37" s="132">
        <f>IF($C37="","",SUMPRODUCT(('Dvd Calendar'!$E$286:$AR$286&gt;=DATE(YEAR_Y-3,1,1))*('Dvd Calendar'!$E$286:$AR$286&lt;=DATE(YEAR_Y-3,12,31))*'Dvd Calendar'!$E$289:$AR$289*(('Dvd Calendar'!$E$291:$AR$291=TYPE1)*(TYPE1&lt;&gt;"")+('Dvd Calendar'!$E$291:$AR$291=TYPE2)*(TYPE2&lt;&gt;"")+('Dvd Calendar'!$E$291:$AR$291=TYPE3)*(TYPE3&lt;&gt;"")+('Dvd Calendar'!$E$291:$AR$291=TYPE4)*(TYPE4&lt;&gt;"")+('Dvd Calendar'!$E$291:$AR$291=SPECIAL_LBL)*(INC_SPECIALS="Y"))))</f>
        <v/>
      </c>
      <c r="I37" s="132">
        <f>IF($C37="","",SUMPRODUCT(('Dvd Calendar'!$E$286:$AR$286&gt;=DATE(YEAR_Y-2,1,1))*('Dvd Calendar'!$E$286:$AR$286&lt;=DATE(YEAR_Y-2,12,31))*'Dvd Calendar'!$E$289:$AR$289*(('Dvd Calendar'!$E$291:$AR$291=TYPE1)*(TYPE1&lt;&gt;"")+('Dvd Calendar'!$E$291:$AR$291=TYPE2)*(TYPE2&lt;&gt;"")+('Dvd Calendar'!$E$291:$AR$291=TYPE3)*(TYPE3&lt;&gt;"")+('Dvd Calendar'!$E$291:$AR$291=TYPE4)*(TYPE4&lt;&gt;"")+('Dvd Calendar'!$E$291:$AR$291=SPECIAL_LBL)*(INC_SPECIALS="Y"))))</f>
        <v/>
      </c>
      <c r="J37" s="132">
        <f>IF($C37="","",SUMPRODUCT(('Dvd Calendar'!$E$286:$AR$286&gt;=DATE(YEAR_Y-1,1,1))*('Dvd Calendar'!$E$286:$AR$286&lt;=DATE(YEAR_Y-1,12,31))*'Dvd Calendar'!$E$289:$AR$289*(('Dvd Calendar'!$E$291:$AR$291=TYPE1)*(TYPE1&lt;&gt;"")+('Dvd Calendar'!$E$291:$AR$291=TYPE2)*(TYPE2&lt;&gt;"")+('Dvd Calendar'!$E$291:$AR$291=TYPE3)*(TYPE3&lt;&gt;"")+('Dvd Calendar'!$E$291:$AR$291=TYPE4)*(TYPE4&lt;&gt;"")+('Dvd Calendar'!$E$291:$AR$291=SPECIAL_LBL)*(INC_SPECIALS="Y"))))</f>
        <v/>
      </c>
      <c r="K37" s="133">
        <f>IF($C37="","",HSI!$J$32)</f>
        <v/>
      </c>
      <c r="L37" s="133">
        <f>IF($C37="","",HSI!$K$32)</f>
        <v/>
      </c>
      <c r="M37" s="124">
        <f>IF($C37="","",HSI!$J$32+HSI!$L$32)</f>
        <v/>
      </c>
      <c r="N37" s="134">
        <f>IF($C37="","",IF(PULL_FUND="N","",IFERROR(BDP($C37,BESTDPS_FIELD,FWD_OVERRIDE,TEXT(MOD(YEAR_Y,100),"00")&amp;"Y"),"")))</f>
        <v/>
      </c>
      <c r="O37" s="133">
        <f>IF($C37="","",AVERAGE(F37:J37))</f>
        <v/>
      </c>
      <c r="P37" s="135">
        <f>IF($C37="","",IF(PULL_FUND="N","",IF(COUNTIFS('Fund History'!$J$158:$J$162,"&gt;="&amp;DATE(YEAR_Y-5,1,1),'Fund History'!$J$158:$J$162,"&lt;="&amp;DATE(YEAR_Y-5,12,31))=0,"",IFERROR($F37*HSI!$G$32/SUMIFS('Fund History'!$K$158:$K$162,'Fund History'!$J$158:$J$162,"&gt;="&amp;DATE(YEAR_Y-5,1,1),'Fund History'!$J$158:$J$162,"&lt;="&amp;DATE(YEAR_Y-5,12,31)),""))))</f>
        <v/>
      </c>
      <c r="Q37" s="136">
        <f>IF($C37="","",IF(PULL_FUND="N","",IF(COUNTIFS('Fund History'!$J$158:$J$162,"&gt;="&amp;DATE(YEAR_Y-4,1,1),'Fund History'!$J$158:$J$162,"&lt;="&amp;DATE(YEAR_Y-4,12,31))=0,"",IFERROR($G37*HSI!$G$32/SUMIFS('Fund History'!$K$158:$K$162,'Fund History'!$J$158:$J$162,"&gt;="&amp;DATE(YEAR_Y-4,1,1),'Fund History'!$J$158:$J$162,"&lt;="&amp;DATE(YEAR_Y-4,12,31)),""))))</f>
        <v/>
      </c>
      <c r="R37" s="136">
        <f>IF($C37="","",IF(PULL_FUND="N","",IF(COUNTIFS('Fund History'!$J$158:$J$162,"&gt;="&amp;DATE(YEAR_Y-3,1,1),'Fund History'!$J$158:$J$162,"&lt;="&amp;DATE(YEAR_Y-3,12,31))=0,"",IFERROR($H37*HSI!$G$32/SUMIFS('Fund History'!$K$158:$K$162,'Fund History'!$J$158:$J$162,"&gt;="&amp;DATE(YEAR_Y-3,1,1),'Fund History'!$J$158:$J$162,"&lt;="&amp;DATE(YEAR_Y-3,12,31)),""))))</f>
        <v/>
      </c>
      <c r="S37" s="136">
        <f>IF($C37="","",IF(PULL_FUND="N","",IF(COUNTIFS('Fund History'!$J$158:$J$162,"&gt;="&amp;DATE(YEAR_Y-2,1,1),'Fund History'!$J$158:$J$162,"&lt;="&amp;DATE(YEAR_Y-2,12,31))=0,"",IFERROR($I37*HSI!$G$32/SUMIFS('Fund History'!$K$158:$K$162,'Fund History'!$J$158:$J$162,"&gt;="&amp;DATE(YEAR_Y-2,1,1),'Fund History'!$J$158:$J$162,"&lt;="&amp;DATE(YEAR_Y-2,12,31)),""))))</f>
        <v/>
      </c>
      <c r="T37" s="136">
        <f>IF($C37="","",IF(PULL_FUND="N","",IF(COUNTIFS('Fund History'!$J$158:$J$162,"&gt;="&amp;DATE(YEAR_Y-1,1,1),'Fund History'!$J$158:$J$162,"&lt;="&amp;DATE(YEAR_Y-1,12,31))=0,"",IFERROR($J37*HSI!$G$32/SUMIFS('Fund History'!$K$158:$K$162,'Fund History'!$J$158:$J$162,"&gt;="&amp;DATE(YEAR_Y-1,1,1),'Fund History'!$J$158:$J$162,"&lt;="&amp;DATE(YEAR_Y-1,12,31)),""))))</f>
        <v/>
      </c>
      <c r="U37" s="137">
        <f>IF($C37="","",IF(ISNUMBER(HSI!$I$32),HSI!$I$32/100,""))</f>
        <v/>
      </c>
      <c r="V37" s="138">
        <f>IF($C37="","",IF(ISNUMBER(HSI!$X$32),IFERROR($M37*HSI!$G$32/HSI!$X$32,""),""))</f>
        <v/>
      </c>
      <c r="W37" s="137">
        <f>IF($C37="","",IF(ISNUMBER($N37),IFERROR($N37*HSI!$G$32/HSI!$X$32,""),""))</f>
        <v/>
      </c>
      <c r="X37" s="139">
        <f>IF($C37="","",IF(PULL_FUND="N","",IFERROR(BDP($C37,EPS_FIELD,YR_OVERRIDE,TEXT(YEAR_Y-5,"0")),"")))</f>
        <v/>
      </c>
      <c r="Y37" s="140">
        <f>IF($C37="","",IF(PULL_FUND="N","",IFERROR(BDP($C37,EPS_FIELD,YR_OVERRIDE,TEXT(YEAR_Y-4,"0")),"")))</f>
        <v/>
      </c>
      <c r="Z37" s="140">
        <f>IF($C37="","",IF(PULL_FUND="N","",IFERROR(BDP($C37,EPS_FIELD,YR_OVERRIDE,TEXT(YEAR_Y-3,"0")),"")))</f>
        <v/>
      </c>
      <c r="AA37" s="140">
        <f>IF($C37="","",IF(PULL_FUND="N","",IFERROR(BDP($C37,EPS_FIELD,YR_OVERRIDE,TEXT(YEAR_Y-2,"0")),"")))</f>
        <v/>
      </c>
      <c r="AB37" s="140">
        <f>IF($C37="","",IF(PULL_FUND="N","",IFERROR(BDP($C37,EPS_FIELD,YR_OVERRIDE,TEXT(YEAR_Y-1,"0")),"")))</f>
        <v/>
      </c>
      <c r="AC37" s="126">
        <f>IF($C37="","",IFERROR(AVERAGE(X37:AB37),""))</f>
        <v/>
      </c>
      <c r="AD37" s="140">
        <f>IF($C37="","",IF(PULL_FUND="N","",IFERROR(BDP($C37,BESTEPS_FIELD,FWD_OVERRIDE,TEXT(MOD(YEAR_Y,100),"00")&amp;"Y"),"")))</f>
        <v/>
      </c>
      <c r="AE37" s="141">
        <f>IF($C37="","",IF(PULL_FUND="N","",IFERROR(BDP($C37,PAYOUT_FIELD,YR_OVERRIDE,TEXT(YEAR_Y-5,"0"))/100,"")))</f>
        <v/>
      </c>
      <c r="AF37" s="142">
        <f>IF($C37="","",IF(PULL_FUND="N","",IFERROR(BDP($C37,PAYOUT_FIELD,YR_OVERRIDE,TEXT(YEAR_Y-4,"0"))/100,"")))</f>
        <v/>
      </c>
      <c r="AG37" s="142">
        <f>IF($C37="","",IF(PULL_FUND="N","",IFERROR(BDP($C37,PAYOUT_FIELD,YR_OVERRIDE,TEXT(YEAR_Y-3,"0"))/100,"")))</f>
        <v/>
      </c>
      <c r="AH37" s="142">
        <f>IF($C37="","",IF(PULL_FUND="N","",IFERROR(BDP($C37,PAYOUT_FIELD,YR_OVERRIDE,TEXT(YEAR_Y-2,"0"))/100,"")))</f>
        <v/>
      </c>
      <c r="AI37" s="142">
        <f>IF($C37="","",IF(PULL_FUND="N","",IFERROR(BDP($C37,PAYOUT_FIELD,YR_OVERRIDE,TEXT(YEAR_Y-1,"0"))/100,"")))</f>
        <v/>
      </c>
      <c r="AJ37" s="143">
        <f>IF($C37="","",IFERROR(AVERAGE(AE37:AI37),""))</f>
        <v/>
      </c>
      <c r="AK37" s="144">
        <f>IF($C37="","",IF(ISNUMBER($AD37)*ISNUMBER($N37)*($AD37&lt;&gt;0)=0,"",$N37/$AD37))</f>
        <v/>
      </c>
      <c r="AL37" s="143">
        <f>IF($C37="","",IF(ISNUMBER($AD37)*($AD37&lt;&gt;0)=0,"",$M37/$AD37))</f>
        <v/>
      </c>
      <c r="AM37" s="37">
        <f>IF($C37="","",IF(ISNUMBER($AE37)*ISNUMBER($AI37)=0,"",IF($AI37&gt;$AE37+0.05,"rising",IF($AI37&lt;$AE37-0.05,"falling","stable"))))</f>
        <v/>
      </c>
      <c r="AN37" s="145">
        <f>IF($C37="","",IF(PULL_FUND="N","",IF(COUNTIFS('Fund History'!$G$158:$G$162,"&gt;="&amp;DATE(YEAR_Y-4,1,1),'Fund History'!$G$158:$G$162,"&lt;="&amp;DATE(YEAR_Y-4,12,31))=0,"",SUMIFS('Fund History'!$H$158:$H$162,'Fund History'!$G$158:$G$162,"&gt;="&amp;DATE(YEAR_Y-4,1,1),'Fund History'!$G$158:$G$162,"&lt;="&amp;DATE(YEAR_Y-4,12,31))/100)))</f>
        <v/>
      </c>
      <c r="AO37" s="146">
        <f>IF($C37="","",IF(PULL_FUND="N","",IF(COUNTIFS('Fund History'!$G$158:$G$162,"&gt;="&amp;DATE(YEAR_Y-3,1,1),'Fund History'!$G$158:$G$162,"&lt;="&amp;DATE(YEAR_Y-3,12,31))=0,"",SUMIFS('Fund History'!$H$158:$H$162,'Fund History'!$G$158:$G$162,"&gt;="&amp;DATE(YEAR_Y-3,1,1),'Fund History'!$G$158:$G$162,"&lt;="&amp;DATE(YEAR_Y-3,12,31))/100)))</f>
        <v/>
      </c>
      <c r="AP37" s="146">
        <f>IF($C37="","",IF(PULL_FUND="N","",IF(COUNTIFS('Fund History'!$G$158:$G$162,"&gt;="&amp;DATE(YEAR_Y-2,1,1),'Fund History'!$G$158:$G$162,"&lt;="&amp;DATE(YEAR_Y-2,12,31))=0,"",SUMIFS('Fund History'!$H$158:$H$162,'Fund History'!$G$158:$G$162,"&gt;="&amp;DATE(YEAR_Y-2,1,1),'Fund History'!$G$158:$G$162,"&lt;="&amp;DATE(YEAR_Y-2,12,31))/100)))</f>
        <v/>
      </c>
      <c r="AQ37" s="146">
        <f>IF($C37="","",IF(PULL_FUND="N","",IF(COUNTIFS('Fund History'!$G$158:$G$162,"&gt;="&amp;DATE(YEAR_Y-1,1,1),'Fund History'!$G$158:$G$162,"&lt;="&amp;DATE(YEAR_Y-1,12,31))=0,"",SUMIFS('Fund History'!$H$158:$H$162,'Fund History'!$G$158:$G$162,"&gt;="&amp;DATE(YEAR_Y-1,1,1),'Fund History'!$G$158:$G$162,"&lt;="&amp;DATE(YEAR_Y-1,12,31))/100)))</f>
        <v/>
      </c>
      <c r="AR37" s="147">
        <f>IF($C37="","",IF(N($AQ37)+N(HSI!$I$32)=0,"",N($AQ37)+N(HSI!$I$32)/100))</f>
        <v/>
      </c>
      <c r="AS37" s="139">
        <f>IF($C37="","",IF(PULL_FUND="N","",IF(COUNTIFS('Fund History'!$D$158:$D$162,"&gt;="&amp;DATE(YEAR_Y-2,1,1),'Fund History'!$D$158:$D$162,"&lt;="&amp;DATE(YEAR_Y-2,12,31))=0,"",SUMIFS('Fund History'!$E$158:$E$162,'Fund History'!$D$158:$D$162,"&gt;="&amp;DATE(YEAR_Y-2,1,1),'Fund History'!$D$158:$D$162,"&lt;="&amp;DATE(YEAR_Y-2,12,31)))))</f>
        <v/>
      </c>
      <c r="AT37" s="140">
        <f>IF($C37="","",IF(PULL_FUND="N","",IF(COUNTIFS('Fund History'!$D$158:$D$162,"&gt;="&amp;DATE(YEAR_Y-1,1,1),'Fund History'!$D$158:$D$162,"&lt;="&amp;DATE(YEAR_Y-1,12,31))=0,"",SUMIFS('Fund History'!$E$158:$E$162,'Fund History'!$D$158:$D$162,"&gt;="&amp;DATE(YEAR_Y-1,1,1),'Fund History'!$D$158:$D$162,"&lt;="&amp;DATE(YEAR_Y-1,12,31)))))</f>
        <v/>
      </c>
      <c r="AU37" s="140">
        <f>IF($C37="","",IF(PULL_FUND="N","",IFERROR(BDP($C37,NDEBITDA_FIELD),"")))</f>
        <v/>
      </c>
      <c r="AV37" s="148">
        <f>IF($C37="","",IF(PULL_FUND="N","",IFERROR(BDP($C37,EBINT_FIELD),"")))</f>
        <v/>
      </c>
      <c r="AW37" s="146">
        <f>IF($C37="","",IF(PULL_FUND="N","",IFERROR(BDP($C37,FCF_FIELD)/100,"")))</f>
        <v/>
      </c>
      <c r="AX37" s="126">
        <f>IF($C37="","",IF(N($U37)=0,"",IFERROR($AW37/$U37,"")))</f>
        <v/>
      </c>
      <c r="AY37" s="85">
        <f>IF($C37="","",TRIM(IF(ISNUMBER($AJ37)*(N($AJ37)&gt;$D$4)&gt;0,"payout high  ","")&amp;IF(ISNUMBER($AX37)*(N($AX37)&lt;$F$4)&gt;0,"FCF below dvd  ","")&amp;IF(ISNUMBER($AU37)*(N($AU37)&gt;$H$4)&gt;0,"leverage high","")))</f>
        <v/>
      </c>
      <c r="AZ37" s="86">
        <f>IF($C37="","",IF(HSI!$F$32="HKD","",HSI!$F$32))</f>
        <v/>
      </c>
    </row>
    <row r="38">
      <c r="B38" s="66" t="inlineStr">
        <is>
          <t>HSI</t>
        </is>
      </c>
      <c r="C38" s="8">
        <f>IF(HSI!$C$33="","",HSI!$C$33)</f>
        <v/>
      </c>
      <c r="D38" s="8">
        <f>IF($C38="","",HSI!$D$33)</f>
        <v/>
      </c>
      <c r="E38" s="8">
        <f>IF($C38="","",HSI!$E$33)</f>
        <v/>
      </c>
      <c r="F38" s="131">
        <f>IF($C38="","",SUMPRODUCT(('Dvd Calendar'!$E$297:$AR$297&gt;=DATE(YEAR_Y-5,1,1))*('Dvd Calendar'!$E$297:$AR$297&lt;=DATE(YEAR_Y-5,12,31))*'Dvd Calendar'!$E$300:$AR$300*(('Dvd Calendar'!$E$302:$AR$302=TYPE1)*(TYPE1&lt;&gt;"")+('Dvd Calendar'!$E$302:$AR$302=TYPE2)*(TYPE2&lt;&gt;"")+('Dvd Calendar'!$E$302:$AR$302=TYPE3)*(TYPE3&lt;&gt;"")+('Dvd Calendar'!$E$302:$AR$302=TYPE4)*(TYPE4&lt;&gt;"")+('Dvd Calendar'!$E$302:$AR$302=SPECIAL_LBL)*(INC_SPECIALS="Y"))))</f>
        <v/>
      </c>
      <c r="G38" s="132">
        <f>IF($C38="","",SUMPRODUCT(('Dvd Calendar'!$E$297:$AR$297&gt;=DATE(YEAR_Y-4,1,1))*('Dvd Calendar'!$E$297:$AR$297&lt;=DATE(YEAR_Y-4,12,31))*'Dvd Calendar'!$E$300:$AR$300*(('Dvd Calendar'!$E$302:$AR$302=TYPE1)*(TYPE1&lt;&gt;"")+('Dvd Calendar'!$E$302:$AR$302=TYPE2)*(TYPE2&lt;&gt;"")+('Dvd Calendar'!$E$302:$AR$302=TYPE3)*(TYPE3&lt;&gt;"")+('Dvd Calendar'!$E$302:$AR$302=TYPE4)*(TYPE4&lt;&gt;"")+('Dvd Calendar'!$E$302:$AR$302=SPECIAL_LBL)*(INC_SPECIALS="Y"))))</f>
        <v/>
      </c>
      <c r="H38" s="132">
        <f>IF($C38="","",SUMPRODUCT(('Dvd Calendar'!$E$297:$AR$297&gt;=DATE(YEAR_Y-3,1,1))*('Dvd Calendar'!$E$297:$AR$297&lt;=DATE(YEAR_Y-3,12,31))*'Dvd Calendar'!$E$300:$AR$300*(('Dvd Calendar'!$E$302:$AR$302=TYPE1)*(TYPE1&lt;&gt;"")+('Dvd Calendar'!$E$302:$AR$302=TYPE2)*(TYPE2&lt;&gt;"")+('Dvd Calendar'!$E$302:$AR$302=TYPE3)*(TYPE3&lt;&gt;"")+('Dvd Calendar'!$E$302:$AR$302=TYPE4)*(TYPE4&lt;&gt;"")+('Dvd Calendar'!$E$302:$AR$302=SPECIAL_LBL)*(INC_SPECIALS="Y"))))</f>
        <v/>
      </c>
      <c r="I38" s="132">
        <f>IF($C38="","",SUMPRODUCT(('Dvd Calendar'!$E$297:$AR$297&gt;=DATE(YEAR_Y-2,1,1))*('Dvd Calendar'!$E$297:$AR$297&lt;=DATE(YEAR_Y-2,12,31))*'Dvd Calendar'!$E$300:$AR$300*(('Dvd Calendar'!$E$302:$AR$302=TYPE1)*(TYPE1&lt;&gt;"")+('Dvd Calendar'!$E$302:$AR$302=TYPE2)*(TYPE2&lt;&gt;"")+('Dvd Calendar'!$E$302:$AR$302=TYPE3)*(TYPE3&lt;&gt;"")+('Dvd Calendar'!$E$302:$AR$302=TYPE4)*(TYPE4&lt;&gt;"")+('Dvd Calendar'!$E$302:$AR$302=SPECIAL_LBL)*(INC_SPECIALS="Y"))))</f>
        <v/>
      </c>
      <c r="J38" s="132">
        <f>IF($C38="","",SUMPRODUCT(('Dvd Calendar'!$E$297:$AR$297&gt;=DATE(YEAR_Y-1,1,1))*('Dvd Calendar'!$E$297:$AR$297&lt;=DATE(YEAR_Y-1,12,31))*'Dvd Calendar'!$E$300:$AR$300*(('Dvd Calendar'!$E$302:$AR$302=TYPE1)*(TYPE1&lt;&gt;"")+('Dvd Calendar'!$E$302:$AR$302=TYPE2)*(TYPE2&lt;&gt;"")+('Dvd Calendar'!$E$302:$AR$302=TYPE3)*(TYPE3&lt;&gt;"")+('Dvd Calendar'!$E$302:$AR$302=TYPE4)*(TYPE4&lt;&gt;"")+('Dvd Calendar'!$E$302:$AR$302=SPECIAL_LBL)*(INC_SPECIALS="Y"))))</f>
        <v/>
      </c>
      <c r="K38" s="133">
        <f>IF($C38="","",HSI!$J$33)</f>
        <v/>
      </c>
      <c r="L38" s="133">
        <f>IF($C38="","",HSI!$K$33)</f>
        <v/>
      </c>
      <c r="M38" s="124">
        <f>IF($C38="","",HSI!$J$33+HSI!$L$33)</f>
        <v/>
      </c>
      <c r="N38" s="134">
        <f>IF($C38="","",IF(PULL_FUND="N","",IFERROR(BDP($C38,BESTDPS_FIELD,FWD_OVERRIDE,TEXT(MOD(YEAR_Y,100),"00")&amp;"Y"),"")))</f>
        <v/>
      </c>
      <c r="O38" s="133">
        <f>IF($C38="","",AVERAGE(F38:J38))</f>
        <v/>
      </c>
      <c r="P38" s="135">
        <f>IF($C38="","",IF(PULL_FUND="N","",IF(COUNTIFS('Fund History'!$J$164:$J$168,"&gt;="&amp;DATE(YEAR_Y-5,1,1),'Fund History'!$J$164:$J$168,"&lt;="&amp;DATE(YEAR_Y-5,12,31))=0,"",IFERROR($F38*HSI!$G$33/SUMIFS('Fund History'!$K$164:$K$168,'Fund History'!$J$164:$J$168,"&gt;="&amp;DATE(YEAR_Y-5,1,1),'Fund History'!$J$164:$J$168,"&lt;="&amp;DATE(YEAR_Y-5,12,31)),""))))</f>
        <v/>
      </c>
      <c r="Q38" s="136">
        <f>IF($C38="","",IF(PULL_FUND="N","",IF(COUNTIFS('Fund History'!$J$164:$J$168,"&gt;="&amp;DATE(YEAR_Y-4,1,1),'Fund History'!$J$164:$J$168,"&lt;="&amp;DATE(YEAR_Y-4,12,31))=0,"",IFERROR($G38*HSI!$G$33/SUMIFS('Fund History'!$K$164:$K$168,'Fund History'!$J$164:$J$168,"&gt;="&amp;DATE(YEAR_Y-4,1,1),'Fund History'!$J$164:$J$168,"&lt;="&amp;DATE(YEAR_Y-4,12,31)),""))))</f>
        <v/>
      </c>
      <c r="R38" s="136">
        <f>IF($C38="","",IF(PULL_FUND="N","",IF(COUNTIFS('Fund History'!$J$164:$J$168,"&gt;="&amp;DATE(YEAR_Y-3,1,1),'Fund History'!$J$164:$J$168,"&lt;="&amp;DATE(YEAR_Y-3,12,31))=0,"",IFERROR($H38*HSI!$G$33/SUMIFS('Fund History'!$K$164:$K$168,'Fund History'!$J$164:$J$168,"&gt;="&amp;DATE(YEAR_Y-3,1,1),'Fund History'!$J$164:$J$168,"&lt;="&amp;DATE(YEAR_Y-3,12,31)),""))))</f>
        <v/>
      </c>
      <c r="S38" s="136">
        <f>IF($C38="","",IF(PULL_FUND="N","",IF(COUNTIFS('Fund History'!$J$164:$J$168,"&gt;="&amp;DATE(YEAR_Y-2,1,1),'Fund History'!$J$164:$J$168,"&lt;="&amp;DATE(YEAR_Y-2,12,31))=0,"",IFERROR($I38*HSI!$G$33/SUMIFS('Fund History'!$K$164:$K$168,'Fund History'!$J$164:$J$168,"&gt;="&amp;DATE(YEAR_Y-2,1,1),'Fund History'!$J$164:$J$168,"&lt;="&amp;DATE(YEAR_Y-2,12,31)),""))))</f>
        <v/>
      </c>
      <c r="T38" s="136">
        <f>IF($C38="","",IF(PULL_FUND="N","",IF(COUNTIFS('Fund History'!$J$164:$J$168,"&gt;="&amp;DATE(YEAR_Y-1,1,1),'Fund History'!$J$164:$J$168,"&lt;="&amp;DATE(YEAR_Y-1,12,31))=0,"",IFERROR($J38*HSI!$G$33/SUMIFS('Fund History'!$K$164:$K$168,'Fund History'!$J$164:$J$168,"&gt;="&amp;DATE(YEAR_Y-1,1,1),'Fund History'!$J$164:$J$168,"&lt;="&amp;DATE(YEAR_Y-1,12,31)),""))))</f>
        <v/>
      </c>
      <c r="U38" s="137">
        <f>IF($C38="","",IF(ISNUMBER(HSI!$I$33),HSI!$I$33/100,""))</f>
        <v/>
      </c>
      <c r="V38" s="138">
        <f>IF($C38="","",IF(ISNUMBER(HSI!$X$33),IFERROR($M38*HSI!$G$33/HSI!$X$33,""),""))</f>
        <v/>
      </c>
      <c r="W38" s="137">
        <f>IF($C38="","",IF(ISNUMBER($N38),IFERROR($N38*HSI!$G$33/HSI!$X$33,""),""))</f>
        <v/>
      </c>
      <c r="X38" s="139">
        <f>IF($C38="","",IF(PULL_FUND="N","",IFERROR(BDP($C38,EPS_FIELD,YR_OVERRIDE,TEXT(YEAR_Y-5,"0")),"")))</f>
        <v/>
      </c>
      <c r="Y38" s="140">
        <f>IF($C38="","",IF(PULL_FUND="N","",IFERROR(BDP($C38,EPS_FIELD,YR_OVERRIDE,TEXT(YEAR_Y-4,"0")),"")))</f>
        <v/>
      </c>
      <c r="Z38" s="140">
        <f>IF($C38="","",IF(PULL_FUND="N","",IFERROR(BDP($C38,EPS_FIELD,YR_OVERRIDE,TEXT(YEAR_Y-3,"0")),"")))</f>
        <v/>
      </c>
      <c r="AA38" s="140">
        <f>IF($C38="","",IF(PULL_FUND="N","",IFERROR(BDP($C38,EPS_FIELD,YR_OVERRIDE,TEXT(YEAR_Y-2,"0")),"")))</f>
        <v/>
      </c>
      <c r="AB38" s="140">
        <f>IF($C38="","",IF(PULL_FUND="N","",IFERROR(BDP($C38,EPS_FIELD,YR_OVERRIDE,TEXT(YEAR_Y-1,"0")),"")))</f>
        <v/>
      </c>
      <c r="AC38" s="126">
        <f>IF($C38="","",IFERROR(AVERAGE(X38:AB38),""))</f>
        <v/>
      </c>
      <c r="AD38" s="140">
        <f>IF($C38="","",IF(PULL_FUND="N","",IFERROR(BDP($C38,BESTEPS_FIELD,FWD_OVERRIDE,TEXT(MOD(YEAR_Y,100),"00")&amp;"Y"),"")))</f>
        <v/>
      </c>
      <c r="AE38" s="141">
        <f>IF($C38="","",IF(PULL_FUND="N","",IFERROR(BDP($C38,PAYOUT_FIELD,YR_OVERRIDE,TEXT(YEAR_Y-5,"0"))/100,"")))</f>
        <v/>
      </c>
      <c r="AF38" s="142">
        <f>IF($C38="","",IF(PULL_FUND="N","",IFERROR(BDP($C38,PAYOUT_FIELD,YR_OVERRIDE,TEXT(YEAR_Y-4,"0"))/100,"")))</f>
        <v/>
      </c>
      <c r="AG38" s="142">
        <f>IF($C38="","",IF(PULL_FUND="N","",IFERROR(BDP($C38,PAYOUT_FIELD,YR_OVERRIDE,TEXT(YEAR_Y-3,"0"))/100,"")))</f>
        <v/>
      </c>
      <c r="AH38" s="142">
        <f>IF($C38="","",IF(PULL_FUND="N","",IFERROR(BDP($C38,PAYOUT_FIELD,YR_OVERRIDE,TEXT(YEAR_Y-2,"0"))/100,"")))</f>
        <v/>
      </c>
      <c r="AI38" s="142">
        <f>IF($C38="","",IF(PULL_FUND="N","",IFERROR(BDP($C38,PAYOUT_FIELD,YR_OVERRIDE,TEXT(YEAR_Y-1,"0"))/100,"")))</f>
        <v/>
      </c>
      <c r="AJ38" s="143">
        <f>IF($C38="","",IFERROR(AVERAGE(AE38:AI38),""))</f>
        <v/>
      </c>
      <c r="AK38" s="144">
        <f>IF($C38="","",IF(ISNUMBER($AD38)*ISNUMBER($N38)*($AD38&lt;&gt;0)=0,"",$N38/$AD38))</f>
        <v/>
      </c>
      <c r="AL38" s="143">
        <f>IF($C38="","",IF(ISNUMBER($AD38)*($AD38&lt;&gt;0)=0,"",$M38/$AD38))</f>
        <v/>
      </c>
      <c r="AM38" s="37">
        <f>IF($C38="","",IF(ISNUMBER($AE38)*ISNUMBER($AI38)=0,"",IF($AI38&gt;$AE38+0.05,"rising",IF($AI38&lt;$AE38-0.05,"falling","stable"))))</f>
        <v/>
      </c>
      <c r="AN38" s="145">
        <f>IF($C38="","",IF(PULL_FUND="N","",IF(COUNTIFS('Fund History'!$G$164:$G$168,"&gt;="&amp;DATE(YEAR_Y-4,1,1),'Fund History'!$G$164:$G$168,"&lt;="&amp;DATE(YEAR_Y-4,12,31))=0,"",SUMIFS('Fund History'!$H$164:$H$168,'Fund History'!$G$164:$G$168,"&gt;="&amp;DATE(YEAR_Y-4,1,1),'Fund History'!$G$164:$G$168,"&lt;="&amp;DATE(YEAR_Y-4,12,31))/100)))</f>
        <v/>
      </c>
      <c r="AO38" s="146">
        <f>IF($C38="","",IF(PULL_FUND="N","",IF(COUNTIFS('Fund History'!$G$164:$G$168,"&gt;="&amp;DATE(YEAR_Y-3,1,1),'Fund History'!$G$164:$G$168,"&lt;="&amp;DATE(YEAR_Y-3,12,31))=0,"",SUMIFS('Fund History'!$H$164:$H$168,'Fund History'!$G$164:$G$168,"&gt;="&amp;DATE(YEAR_Y-3,1,1),'Fund History'!$G$164:$G$168,"&lt;="&amp;DATE(YEAR_Y-3,12,31))/100)))</f>
        <v/>
      </c>
      <c r="AP38" s="146">
        <f>IF($C38="","",IF(PULL_FUND="N","",IF(COUNTIFS('Fund History'!$G$164:$G$168,"&gt;="&amp;DATE(YEAR_Y-2,1,1),'Fund History'!$G$164:$G$168,"&lt;="&amp;DATE(YEAR_Y-2,12,31))=0,"",SUMIFS('Fund History'!$H$164:$H$168,'Fund History'!$G$164:$G$168,"&gt;="&amp;DATE(YEAR_Y-2,1,1),'Fund History'!$G$164:$G$168,"&lt;="&amp;DATE(YEAR_Y-2,12,31))/100)))</f>
        <v/>
      </c>
      <c r="AQ38" s="146">
        <f>IF($C38="","",IF(PULL_FUND="N","",IF(COUNTIFS('Fund History'!$G$164:$G$168,"&gt;="&amp;DATE(YEAR_Y-1,1,1),'Fund History'!$G$164:$G$168,"&lt;="&amp;DATE(YEAR_Y-1,12,31))=0,"",SUMIFS('Fund History'!$H$164:$H$168,'Fund History'!$G$164:$G$168,"&gt;="&amp;DATE(YEAR_Y-1,1,1),'Fund History'!$G$164:$G$168,"&lt;="&amp;DATE(YEAR_Y-1,12,31))/100)))</f>
        <v/>
      </c>
      <c r="AR38" s="147">
        <f>IF($C38="","",IF(N($AQ38)+N(HSI!$I$33)=0,"",N($AQ38)+N(HSI!$I$33)/100))</f>
        <v/>
      </c>
      <c r="AS38" s="139">
        <f>IF($C38="","",IF(PULL_FUND="N","",IF(COUNTIFS('Fund History'!$D$164:$D$168,"&gt;="&amp;DATE(YEAR_Y-2,1,1),'Fund History'!$D$164:$D$168,"&lt;="&amp;DATE(YEAR_Y-2,12,31))=0,"",SUMIFS('Fund History'!$E$164:$E$168,'Fund History'!$D$164:$D$168,"&gt;="&amp;DATE(YEAR_Y-2,1,1),'Fund History'!$D$164:$D$168,"&lt;="&amp;DATE(YEAR_Y-2,12,31)))))</f>
        <v/>
      </c>
      <c r="AT38" s="140">
        <f>IF($C38="","",IF(PULL_FUND="N","",IF(COUNTIFS('Fund History'!$D$164:$D$168,"&gt;="&amp;DATE(YEAR_Y-1,1,1),'Fund History'!$D$164:$D$168,"&lt;="&amp;DATE(YEAR_Y-1,12,31))=0,"",SUMIFS('Fund History'!$E$164:$E$168,'Fund History'!$D$164:$D$168,"&gt;="&amp;DATE(YEAR_Y-1,1,1),'Fund History'!$D$164:$D$168,"&lt;="&amp;DATE(YEAR_Y-1,12,31)))))</f>
        <v/>
      </c>
      <c r="AU38" s="140">
        <f>IF($C38="","",IF(PULL_FUND="N","",IFERROR(BDP($C38,NDEBITDA_FIELD),"")))</f>
        <v/>
      </c>
      <c r="AV38" s="148">
        <f>IF($C38="","",IF(PULL_FUND="N","",IFERROR(BDP($C38,EBINT_FIELD),"")))</f>
        <v/>
      </c>
      <c r="AW38" s="146">
        <f>IF($C38="","",IF(PULL_FUND="N","",IFERROR(BDP($C38,FCF_FIELD)/100,"")))</f>
        <v/>
      </c>
      <c r="AX38" s="126">
        <f>IF($C38="","",IF(N($U38)=0,"",IFERROR($AW38/$U38,"")))</f>
        <v/>
      </c>
      <c r="AY38" s="85">
        <f>IF($C38="","",TRIM(IF(ISNUMBER($AJ38)*(N($AJ38)&gt;$D$4)&gt;0,"payout high  ","")&amp;IF(ISNUMBER($AX38)*(N($AX38)&lt;$F$4)&gt;0,"FCF below dvd  ","")&amp;IF(ISNUMBER($AU38)*(N($AU38)&gt;$H$4)&gt;0,"leverage high","")))</f>
        <v/>
      </c>
      <c r="AZ38" s="86">
        <f>IF($C38="","",IF(HSI!$F$33="HKD","",HSI!$F$33))</f>
        <v/>
      </c>
    </row>
    <row r="39">
      <c r="B39" s="66" t="inlineStr">
        <is>
          <t>HSI</t>
        </is>
      </c>
      <c r="C39" s="8">
        <f>IF(HSI!$C$34="","",HSI!$C$34)</f>
        <v/>
      </c>
      <c r="D39" s="8">
        <f>IF($C39="","",HSI!$D$34)</f>
        <v/>
      </c>
      <c r="E39" s="8">
        <f>IF($C39="","",HSI!$E$34)</f>
        <v/>
      </c>
      <c r="F39" s="131">
        <f>IF($C39="","",SUMPRODUCT(('Dvd Calendar'!$E$308:$AR$308&gt;=DATE(YEAR_Y-5,1,1))*('Dvd Calendar'!$E$308:$AR$308&lt;=DATE(YEAR_Y-5,12,31))*'Dvd Calendar'!$E$311:$AR$311*(('Dvd Calendar'!$E$313:$AR$313=TYPE1)*(TYPE1&lt;&gt;"")+('Dvd Calendar'!$E$313:$AR$313=TYPE2)*(TYPE2&lt;&gt;"")+('Dvd Calendar'!$E$313:$AR$313=TYPE3)*(TYPE3&lt;&gt;"")+('Dvd Calendar'!$E$313:$AR$313=TYPE4)*(TYPE4&lt;&gt;"")+('Dvd Calendar'!$E$313:$AR$313=SPECIAL_LBL)*(INC_SPECIALS="Y"))))</f>
        <v/>
      </c>
      <c r="G39" s="132">
        <f>IF($C39="","",SUMPRODUCT(('Dvd Calendar'!$E$308:$AR$308&gt;=DATE(YEAR_Y-4,1,1))*('Dvd Calendar'!$E$308:$AR$308&lt;=DATE(YEAR_Y-4,12,31))*'Dvd Calendar'!$E$311:$AR$311*(('Dvd Calendar'!$E$313:$AR$313=TYPE1)*(TYPE1&lt;&gt;"")+('Dvd Calendar'!$E$313:$AR$313=TYPE2)*(TYPE2&lt;&gt;"")+('Dvd Calendar'!$E$313:$AR$313=TYPE3)*(TYPE3&lt;&gt;"")+('Dvd Calendar'!$E$313:$AR$313=TYPE4)*(TYPE4&lt;&gt;"")+('Dvd Calendar'!$E$313:$AR$313=SPECIAL_LBL)*(INC_SPECIALS="Y"))))</f>
        <v/>
      </c>
      <c r="H39" s="132">
        <f>IF($C39="","",SUMPRODUCT(('Dvd Calendar'!$E$308:$AR$308&gt;=DATE(YEAR_Y-3,1,1))*('Dvd Calendar'!$E$308:$AR$308&lt;=DATE(YEAR_Y-3,12,31))*'Dvd Calendar'!$E$311:$AR$311*(('Dvd Calendar'!$E$313:$AR$313=TYPE1)*(TYPE1&lt;&gt;"")+('Dvd Calendar'!$E$313:$AR$313=TYPE2)*(TYPE2&lt;&gt;"")+('Dvd Calendar'!$E$313:$AR$313=TYPE3)*(TYPE3&lt;&gt;"")+('Dvd Calendar'!$E$313:$AR$313=TYPE4)*(TYPE4&lt;&gt;"")+('Dvd Calendar'!$E$313:$AR$313=SPECIAL_LBL)*(INC_SPECIALS="Y"))))</f>
        <v/>
      </c>
      <c r="I39" s="132">
        <f>IF($C39="","",SUMPRODUCT(('Dvd Calendar'!$E$308:$AR$308&gt;=DATE(YEAR_Y-2,1,1))*('Dvd Calendar'!$E$308:$AR$308&lt;=DATE(YEAR_Y-2,12,31))*'Dvd Calendar'!$E$311:$AR$311*(('Dvd Calendar'!$E$313:$AR$313=TYPE1)*(TYPE1&lt;&gt;"")+('Dvd Calendar'!$E$313:$AR$313=TYPE2)*(TYPE2&lt;&gt;"")+('Dvd Calendar'!$E$313:$AR$313=TYPE3)*(TYPE3&lt;&gt;"")+('Dvd Calendar'!$E$313:$AR$313=TYPE4)*(TYPE4&lt;&gt;"")+('Dvd Calendar'!$E$313:$AR$313=SPECIAL_LBL)*(INC_SPECIALS="Y"))))</f>
        <v/>
      </c>
      <c r="J39" s="132">
        <f>IF($C39="","",SUMPRODUCT(('Dvd Calendar'!$E$308:$AR$308&gt;=DATE(YEAR_Y-1,1,1))*('Dvd Calendar'!$E$308:$AR$308&lt;=DATE(YEAR_Y-1,12,31))*'Dvd Calendar'!$E$311:$AR$311*(('Dvd Calendar'!$E$313:$AR$313=TYPE1)*(TYPE1&lt;&gt;"")+('Dvd Calendar'!$E$313:$AR$313=TYPE2)*(TYPE2&lt;&gt;"")+('Dvd Calendar'!$E$313:$AR$313=TYPE3)*(TYPE3&lt;&gt;"")+('Dvd Calendar'!$E$313:$AR$313=TYPE4)*(TYPE4&lt;&gt;"")+('Dvd Calendar'!$E$313:$AR$313=SPECIAL_LBL)*(INC_SPECIALS="Y"))))</f>
        <v/>
      </c>
      <c r="K39" s="133">
        <f>IF($C39="","",HSI!$J$34)</f>
        <v/>
      </c>
      <c r="L39" s="133">
        <f>IF($C39="","",HSI!$K$34)</f>
        <v/>
      </c>
      <c r="M39" s="124">
        <f>IF($C39="","",HSI!$J$34+HSI!$L$34)</f>
        <v/>
      </c>
      <c r="N39" s="134">
        <f>IF($C39="","",IF(PULL_FUND="N","",IFERROR(BDP($C39,BESTDPS_FIELD,FWD_OVERRIDE,TEXT(MOD(YEAR_Y,100),"00")&amp;"Y"),"")))</f>
        <v/>
      </c>
      <c r="O39" s="133">
        <f>IF($C39="","",AVERAGE(F39:J39))</f>
        <v/>
      </c>
      <c r="P39" s="135">
        <f>IF($C39="","",IF(PULL_FUND="N","",IF(COUNTIFS('Fund History'!$J$170:$J$174,"&gt;="&amp;DATE(YEAR_Y-5,1,1),'Fund History'!$J$170:$J$174,"&lt;="&amp;DATE(YEAR_Y-5,12,31))=0,"",IFERROR($F39*HSI!$G$34/SUMIFS('Fund History'!$K$170:$K$174,'Fund History'!$J$170:$J$174,"&gt;="&amp;DATE(YEAR_Y-5,1,1),'Fund History'!$J$170:$J$174,"&lt;="&amp;DATE(YEAR_Y-5,12,31)),""))))</f>
        <v/>
      </c>
      <c r="Q39" s="136">
        <f>IF($C39="","",IF(PULL_FUND="N","",IF(COUNTIFS('Fund History'!$J$170:$J$174,"&gt;="&amp;DATE(YEAR_Y-4,1,1),'Fund History'!$J$170:$J$174,"&lt;="&amp;DATE(YEAR_Y-4,12,31))=0,"",IFERROR($G39*HSI!$G$34/SUMIFS('Fund History'!$K$170:$K$174,'Fund History'!$J$170:$J$174,"&gt;="&amp;DATE(YEAR_Y-4,1,1),'Fund History'!$J$170:$J$174,"&lt;="&amp;DATE(YEAR_Y-4,12,31)),""))))</f>
        <v/>
      </c>
      <c r="R39" s="136">
        <f>IF($C39="","",IF(PULL_FUND="N","",IF(COUNTIFS('Fund History'!$J$170:$J$174,"&gt;="&amp;DATE(YEAR_Y-3,1,1),'Fund History'!$J$170:$J$174,"&lt;="&amp;DATE(YEAR_Y-3,12,31))=0,"",IFERROR($H39*HSI!$G$34/SUMIFS('Fund History'!$K$170:$K$174,'Fund History'!$J$170:$J$174,"&gt;="&amp;DATE(YEAR_Y-3,1,1),'Fund History'!$J$170:$J$174,"&lt;="&amp;DATE(YEAR_Y-3,12,31)),""))))</f>
        <v/>
      </c>
      <c r="S39" s="136">
        <f>IF($C39="","",IF(PULL_FUND="N","",IF(COUNTIFS('Fund History'!$J$170:$J$174,"&gt;="&amp;DATE(YEAR_Y-2,1,1),'Fund History'!$J$170:$J$174,"&lt;="&amp;DATE(YEAR_Y-2,12,31))=0,"",IFERROR($I39*HSI!$G$34/SUMIFS('Fund History'!$K$170:$K$174,'Fund History'!$J$170:$J$174,"&gt;="&amp;DATE(YEAR_Y-2,1,1),'Fund History'!$J$170:$J$174,"&lt;="&amp;DATE(YEAR_Y-2,12,31)),""))))</f>
        <v/>
      </c>
      <c r="T39" s="136">
        <f>IF($C39="","",IF(PULL_FUND="N","",IF(COUNTIFS('Fund History'!$J$170:$J$174,"&gt;="&amp;DATE(YEAR_Y-1,1,1),'Fund History'!$J$170:$J$174,"&lt;="&amp;DATE(YEAR_Y-1,12,31))=0,"",IFERROR($J39*HSI!$G$34/SUMIFS('Fund History'!$K$170:$K$174,'Fund History'!$J$170:$J$174,"&gt;="&amp;DATE(YEAR_Y-1,1,1),'Fund History'!$J$170:$J$174,"&lt;="&amp;DATE(YEAR_Y-1,12,31)),""))))</f>
        <v/>
      </c>
      <c r="U39" s="137">
        <f>IF($C39="","",IF(ISNUMBER(HSI!$I$34),HSI!$I$34/100,""))</f>
        <v/>
      </c>
      <c r="V39" s="138">
        <f>IF($C39="","",IF(ISNUMBER(HSI!$X$34),IFERROR($M39*HSI!$G$34/HSI!$X$34,""),""))</f>
        <v/>
      </c>
      <c r="W39" s="137">
        <f>IF($C39="","",IF(ISNUMBER($N39),IFERROR($N39*HSI!$G$34/HSI!$X$34,""),""))</f>
        <v/>
      </c>
      <c r="X39" s="139">
        <f>IF($C39="","",IF(PULL_FUND="N","",IFERROR(BDP($C39,EPS_FIELD,YR_OVERRIDE,TEXT(YEAR_Y-5,"0")),"")))</f>
        <v/>
      </c>
      <c r="Y39" s="140">
        <f>IF($C39="","",IF(PULL_FUND="N","",IFERROR(BDP($C39,EPS_FIELD,YR_OVERRIDE,TEXT(YEAR_Y-4,"0")),"")))</f>
        <v/>
      </c>
      <c r="Z39" s="140">
        <f>IF($C39="","",IF(PULL_FUND="N","",IFERROR(BDP($C39,EPS_FIELD,YR_OVERRIDE,TEXT(YEAR_Y-3,"0")),"")))</f>
        <v/>
      </c>
      <c r="AA39" s="140">
        <f>IF($C39="","",IF(PULL_FUND="N","",IFERROR(BDP($C39,EPS_FIELD,YR_OVERRIDE,TEXT(YEAR_Y-2,"0")),"")))</f>
        <v/>
      </c>
      <c r="AB39" s="140">
        <f>IF($C39="","",IF(PULL_FUND="N","",IFERROR(BDP($C39,EPS_FIELD,YR_OVERRIDE,TEXT(YEAR_Y-1,"0")),"")))</f>
        <v/>
      </c>
      <c r="AC39" s="126">
        <f>IF($C39="","",IFERROR(AVERAGE(X39:AB39),""))</f>
        <v/>
      </c>
      <c r="AD39" s="140">
        <f>IF($C39="","",IF(PULL_FUND="N","",IFERROR(BDP($C39,BESTEPS_FIELD,FWD_OVERRIDE,TEXT(MOD(YEAR_Y,100),"00")&amp;"Y"),"")))</f>
        <v/>
      </c>
      <c r="AE39" s="141">
        <f>IF($C39="","",IF(PULL_FUND="N","",IFERROR(BDP($C39,PAYOUT_FIELD,YR_OVERRIDE,TEXT(YEAR_Y-5,"0"))/100,"")))</f>
        <v/>
      </c>
      <c r="AF39" s="142">
        <f>IF($C39="","",IF(PULL_FUND="N","",IFERROR(BDP($C39,PAYOUT_FIELD,YR_OVERRIDE,TEXT(YEAR_Y-4,"0"))/100,"")))</f>
        <v/>
      </c>
      <c r="AG39" s="142">
        <f>IF($C39="","",IF(PULL_FUND="N","",IFERROR(BDP($C39,PAYOUT_FIELD,YR_OVERRIDE,TEXT(YEAR_Y-3,"0"))/100,"")))</f>
        <v/>
      </c>
      <c r="AH39" s="142">
        <f>IF($C39="","",IF(PULL_FUND="N","",IFERROR(BDP($C39,PAYOUT_FIELD,YR_OVERRIDE,TEXT(YEAR_Y-2,"0"))/100,"")))</f>
        <v/>
      </c>
      <c r="AI39" s="142">
        <f>IF($C39="","",IF(PULL_FUND="N","",IFERROR(BDP($C39,PAYOUT_FIELD,YR_OVERRIDE,TEXT(YEAR_Y-1,"0"))/100,"")))</f>
        <v/>
      </c>
      <c r="AJ39" s="143">
        <f>IF($C39="","",IFERROR(AVERAGE(AE39:AI39),""))</f>
        <v/>
      </c>
      <c r="AK39" s="144">
        <f>IF($C39="","",IF(ISNUMBER($AD39)*ISNUMBER($N39)*($AD39&lt;&gt;0)=0,"",$N39/$AD39))</f>
        <v/>
      </c>
      <c r="AL39" s="143">
        <f>IF($C39="","",IF(ISNUMBER($AD39)*($AD39&lt;&gt;0)=0,"",$M39/$AD39))</f>
        <v/>
      </c>
      <c r="AM39" s="37">
        <f>IF($C39="","",IF(ISNUMBER($AE39)*ISNUMBER($AI39)=0,"",IF($AI39&gt;$AE39+0.05,"rising",IF($AI39&lt;$AE39-0.05,"falling","stable"))))</f>
        <v/>
      </c>
      <c r="AN39" s="145">
        <f>IF($C39="","",IF(PULL_FUND="N","",IF(COUNTIFS('Fund History'!$G$170:$G$174,"&gt;="&amp;DATE(YEAR_Y-4,1,1),'Fund History'!$G$170:$G$174,"&lt;="&amp;DATE(YEAR_Y-4,12,31))=0,"",SUMIFS('Fund History'!$H$170:$H$174,'Fund History'!$G$170:$G$174,"&gt;="&amp;DATE(YEAR_Y-4,1,1),'Fund History'!$G$170:$G$174,"&lt;="&amp;DATE(YEAR_Y-4,12,31))/100)))</f>
        <v/>
      </c>
      <c r="AO39" s="146">
        <f>IF($C39="","",IF(PULL_FUND="N","",IF(COUNTIFS('Fund History'!$G$170:$G$174,"&gt;="&amp;DATE(YEAR_Y-3,1,1),'Fund History'!$G$170:$G$174,"&lt;="&amp;DATE(YEAR_Y-3,12,31))=0,"",SUMIFS('Fund History'!$H$170:$H$174,'Fund History'!$G$170:$G$174,"&gt;="&amp;DATE(YEAR_Y-3,1,1),'Fund History'!$G$170:$G$174,"&lt;="&amp;DATE(YEAR_Y-3,12,31))/100)))</f>
        <v/>
      </c>
      <c r="AP39" s="146">
        <f>IF($C39="","",IF(PULL_FUND="N","",IF(COUNTIFS('Fund History'!$G$170:$G$174,"&gt;="&amp;DATE(YEAR_Y-2,1,1),'Fund History'!$G$170:$G$174,"&lt;="&amp;DATE(YEAR_Y-2,12,31))=0,"",SUMIFS('Fund History'!$H$170:$H$174,'Fund History'!$G$170:$G$174,"&gt;="&amp;DATE(YEAR_Y-2,1,1),'Fund History'!$G$170:$G$174,"&lt;="&amp;DATE(YEAR_Y-2,12,31))/100)))</f>
        <v/>
      </c>
      <c r="AQ39" s="146">
        <f>IF($C39="","",IF(PULL_FUND="N","",IF(COUNTIFS('Fund History'!$G$170:$G$174,"&gt;="&amp;DATE(YEAR_Y-1,1,1),'Fund History'!$G$170:$G$174,"&lt;="&amp;DATE(YEAR_Y-1,12,31))=0,"",SUMIFS('Fund History'!$H$170:$H$174,'Fund History'!$G$170:$G$174,"&gt;="&amp;DATE(YEAR_Y-1,1,1),'Fund History'!$G$170:$G$174,"&lt;="&amp;DATE(YEAR_Y-1,12,31))/100)))</f>
        <v/>
      </c>
      <c r="AR39" s="147">
        <f>IF($C39="","",IF(N($AQ39)+N(HSI!$I$34)=0,"",N($AQ39)+N(HSI!$I$34)/100))</f>
        <v/>
      </c>
      <c r="AS39" s="139">
        <f>IF($C39="","",IF(PULL_FUND="N","",IF(COUNTIFS('Fund History'!$D$170:$D$174,"&gt;="&amp;DATE(YEAR_Y-2,1,1),'Fund History'!$D$170:$D$174,"&lt;="&amp;DATE(YEAR_Y-2,12,31))=0,"",SUMIFS('Fund History'!$E$170:$E$174,'Fund History'!$D$170:$D$174,"&gt;="&amp;DATE(YEAR_Y-2,1,1),'Fund History'!$D$170:$D$174,"&lt;="&amp;DATE(YEAR_Y-2,12,31)))))</f>
        <v/>
      </c>
      <c r="AT39" s="140">
        <f>IF($C39="","",IF(PULL_FUND="N","",IF(COUNTIFS('Fund History'!$D$170:$D$174,"&gt;="&amp;DATE(YEAR_Y-1,1,1),'Fund History'!$D$170:$D$174,"&lt;="&amp;DATE(YEAR_Y-1,12,31))=0,"",SUMIFS('Fund History'!$E$170:$E$174,'Fund History'!$D$170:$D$174,"&gt;="&amp;DATE(YEAR_Y-1,1,1),'Fund History'!$D$170:$D$174,"&lt;="&amp;DATE(YEAR_Y-1,12,31)))))</f>
        <v/>
      </c>
      <c r="AU39" s="140">
        <f>IF($C39="","",IF(PULL_FUND="N","",IFERROR(BDP($C39,NDEBITDA_FIELD),"")))</f>
        <v/>
      </c>
      <c r="AV39" s="148">
        <f>IF($C39="","",IF(PULL_FUND="N","",IFERROR(BDP($C39,EBINT_FIELD),"")))</f>
        <v/>
      </c>
      <c r="AW39" s="146">
        <f>IF($C39="","",IF(PULL_FUND="N","",IFERROR(BDP($C39,FCF_FIELD)/100,"")))</f>
        <v/>
      </c>
      <c r="AX39" s="126">
        <f>IF($C39="","",IF(N($U39)=0,"",IFERROR($AW39/$U39,"")))</f>
        <v/>
      </c>
      <c r="AY39" s="85">
        <f>IF($C39="","",TRIM(IF(ISNUMBER($AJ39)*(N($AJ39)&gt;$D$4)&gt;0,"payout high  ","")&amp;IF(ISNUMBER($AX39)*(N($AX39)&lt;$F$4)&gt;0,"FCF below dvd  ","")&amp;IF(ISNUMBER($AU39)*(N($AU39)&gt;$H$4)&gt;0,"leverage high","")))</f>
        <v/>
      </c>
      <c r="AZ39" s="86">
        <f>IF($C39="","",IF(HSI!$F$34="HKD","",HSI!$F$34))</f>
        <v/>
      </c>
    </row>
    <row r="40">
      <c r="B40" s="66" t="inlineStr">
        <is>
          <t>HSI</t>
        </is>
      </c>
      <c r="C40" s="8">
        <f>IF(HSI!$C$35="","",HSI!$C$35)</f>
        <v/>
      </c>
      <c r="D40" s="8">
        <f>IF($C40="","",HSI!$D$35)</f>
        <v/>
      </c>
      <c r="E40" s="8">
        <f>IF($C40="","",HSI!$E$35)</f>
        <v/>
      </c>
      <c r="F40" s="131">
        <f>IF($C40="","",SUMPRODUCT(('Dvd Calendar'!$E$319:$AR$319&gt;=DATE(YEAR_Y-5,1,1))*('Dvd Calendar'!$E$319:$AR$319&lt;=DATE(YEAR_Y-5,12,31))*'Dvd Calendar'!$E$322:$AR$322*(('Dvd Calendar'!$E$324:$AR$324=TYPE1)*(TYPE1&lt;&gt;"")+('Dvd Calendar'!$E$324:$AR$324=TYPE2)*(TYPE2&lt;&gt;"")+('Dvd Calendar'!$E$324:$AR$324=TYPE3)*(TYPE3&lt;&gt;"")+('Dvd Calendar'!$E$324:$AR$324=TYPE4)*(TYPE4&lt;&gt;"")+('Dvd Calendar'!$E$324:$AR$324=SPECIAL_LBL)*(INC_SPECIALS="Y"))))</f>
        <v/>
      </c>
      <c r="G40" s="132">
        <f>IF($C40="","",SUMPRODUCT(('Dvd Calendar'!$E$319:$AR$319&gt;=DATE(YEAR_Y-4,1,1))*('Dvd Calendar'!$E$319:$AR$319&lt;=DATE(YEAR_Y-4,12,31))*'Dvd Calendar'!$E$322:$AR$322*(('Dvd Calendar'!$E$324:$AR$324=TYPE1)*(TYPE1&lt;&gt;"")+('Dvd Calendar'!$E$324:$AR$324=TYPE2)*(TYPE2&lt;&gt;"")+('Dvd Calendar'!$E$324:$AR$324=TYPE3)*(TYPE3&lt;&gt;"")+('Dvd Calendar'!$E$324:$AR$324=TYPE4)*(TYPE4&lt;&gt;"")+('Dvd Calendar'!$E$324:$AR$324=SPECIAL_LBL)*(INC_SPECIALS="Y"))))</f>
        <v/>
      </c>
      <c r="H40" s="132">
        <f>IF($C40="","",SUMPRODUCT(('Dvd Calendar'!$E$319:$AR$319&gt;=DATE(YEAR_Y-3,1,1))*('Dvd Calendar'!$E$319:$AR$319&lt;=DATE(YEAR_Y-3,12,31))*'Dvd Calendar'!$E$322:$AR$322*(('Dvd Calendar'!$E$324:$AR$324=TYPE1)*(TYPE1&lt;&gt;"")+('Dvd Calendar'!$E$324:$AR$324=TYPE2)*(TYPE2&lt;&gt;"")+('Dvd Calendar'!$E$324:$AR$324=TYPE3)*(TYPE3&lt;&gt;"")+('Dvd Calendar'!$E$324:$AR$324=TYPE4)*(TYPE4&lt;&gt;"")+('Dvd Calendar'!$E$324:$AR$324=SPECIAL_LBL)*(INC_SPECIALS="Y"))))</f>
        <v/>
      </c>
      <c r="I40" s="132">
        <f>IF($C40="","",SUMPRODUCT(('Dvd Calendar'!$E$319:$AR$319&gt;=DATE(YEAR_Y-2,1,1))*('Dvd Calendar'!$E$319:$AR$319&lt;=DATE(YEAR_Y-2,12,31))*'Dvd Calendar'!$E$322:$AR$322*(('Dvd Calendar'!$E$324:$AR$324=TYPE1)*(TYPE1&lt;&gt;"")+('Dvd Calendar'!$E$324:$AR$324=TYPE2)*(TYPE2&lt;&gt;"")+('Dvd Calendar'!$E$324:$AR$324=TYPE3)*(TYPE3&lt;&gt;"")+('Dvd Calendar'!$E$324:$AR$324=TYPE4)*(TYPE4&lt;&gt;"")+('Dvd Calendar'!$E$324:$AR$324=SPECIAL_LBL)*(INC_SPECIALS="Y"))))</f>
        <v/>
      </c>
      <c r="J40" s="132">
        <f>IF($C40="","",SUMPRODUCT(('Dvd Calendar'!$E$319:$AR$319&gt;=DATE(YEAR_Y-1,1,1))*('Dvd Calendar'!$E$319:$AR$319&lt;=DATE(YEAR_Y-1,12,31))*'Dvd Calendar'!$E$322:$AR$322*(('Dvd Calendar'!$E$324:$AR$324=TYPE1)*(TYPE1&lt;&gt;"")+('Dvd Calendar'!$E$324:$AR$324=TYPE2)*(TYPE2&lt;&gt;"")+('Dvd Calendar'!$E$324:$AR$324=TYPE3)*(TYPE3&lt;&gt;"")+('Dvd Calendar'!$E$324:$AR$324=TYPE4)*(TYPE4&lt;&gt;"")+('Dvd Calendar'!$E$324:$AR$324=SPECIAL_LBL)*(INC_SPECIALS="Y"))))</f>
        <v/>
      </c>
      <c r="K40" s="133">
        <f>IF($C40="","",HSI!$J$35)</f>
        <v/>
      </c>
      <c r="L40" s="133">
        <f>IF($C40="","",HSI!$K$35)</f>
        <v/>
      </c>
      <c r="M40" s="124">
        <f>IF($C40="","",HSI!$J$35+HSI!$L$35)</f>
        <v/>
      </c>
      <c r="N40" s="134">
        <f>IF($C40="","",IF(PULL_FUND="N","",IFERROR(BDP($C40,BESTDPS_FIELD,FWD_OVERRIDE,TEXT(MOD(YEAR_Y,100),"00")&amp;"Y"),"")))</f>
        <v/>
      </c>
      <c r="O40" s="133">
        <f>IF($C40="","",AVERAGE(F40:J40))</f>
        <v/>
      </c>
      <c r="P40" s="135">
        <f>IF($C40="","",IF(PULL_FUND="N","",IF(COUNTIFS('Fund History'!$J$176:$J$180,"&gt;="&amp;DATE(YEAR_Y-5,1,1),'Fund History'!$J$176:$J$180,"&lt;="&amp;DATE(YEAR_Y-5,12,31))=0,"",IFERROR($F40*HSI!$G$35/SUMIFS('Fund History'!$K$176:$K$180,'Fund History'!$J$176:$J$180,"&gt;="&amp;DATE(YEAR_Y-5,1,1),'Fund History'!$J$176:$J$180,"&lt;="&amp;DATE(YEAR_Y-5,12,31)),""))))</f>
        <v/>
      </c>
      <c r="Q40" s="136">
        <f>IF($C40="","",IF(PULL_FUND="N","",IF(COUNTIFS('Fund History'!$J$176:$J$180,"&gt;="&amp;DATE(YEAR_Y-4,1,1),'Fund History'!$J$176:$J$180,"&lt;="&amp;DATE(YEAR_Y-4,12,31))=0,"",IFERROR($G40*HSI!$G$35/SUMIFS('Fund History'!$K$176:$K$180,'Fund History'!$J$176:$J$180,"&gt;="&amp;DATE(YEAR_Y-4,1,1),'Fund History'!$J$176:$J$180,"&lt;="&amp;DATE(YEAR_Y-4,12,31)),""))))</f>
        <v/>
      </c>
      <c r="R40" s="136">
        <f>IF($C40="","",IF(PULL_FUND="N","",IF(COUNTIFS('Fund History'!$J$176:$J$180,"&gt;="&amp;DATE(YEAR_Y-3,1,1),'Fund History'!$J$176:$J$180,"&lt;="&amp;DATE(YEAR_Y-3,12,31))=0,"",IFERROR($H40*HSI!$G$35/SUMIFS('Fund History'!$K$176:$K$180,'Fund History'!$J$176:$J$180,"&gt;="&amp;DATE(YEAR_Y-3,1,1),'Fund History'!$J$176:$J$180,"&lt;="&amp;DATE(YEAR_Y-3,12,31)),""))))</f>
        <v/>
      </c>
      <c r="S40" s="136">
        <f>IF($C40="","",IF(PULL_FUND="N","",IF(COUNTIFS('Fund History'!$J$176:$J$180,"&gt;="&amp;DATE(YEAR_Y-2,1,1),'Fund History'!$J$176:$J$180,"&lt;="&amp;DATE(YEAR_Y-2,12,31))=0,"",IFERROR($I40*HSI!$G$35/SUMIFS('Fund History'!$K$176:$K$180,'Fund History'!$J$176:$J$180,"&gt;="&amp;DATE(YEAR_Y-2,1,1),'Fund History'!$J$176:$J$180,"&lt;="&amp;DATE(YEAR_Y-2,12,31)),""))))</f>
        <v/>
      </c>
      <c r="T40" s="136">
        <f>IF($C40="","",IF(PULL_FUND="N","",IF(COUNTIFS('Fund History'!$J$176:$J$180,"&gt;="&amp;DATE(YEAR_Y-1,1,1),'Fund History'!$J$176:$J$180,"&lt;="&amp;DATE(YEAR_Y-1,12,31))=0,"",IFERROR($J40*HSI!$G$35/SUMIFS('Fund History'!$K$176:$K$180,'Fund History'!$J$176:$J$180,"&gt;="&amp;DATE(YEAR_Y-1,1,1),'Fund History'!$J$176:$J$180,"&lt;="&amp;DATE(YEAR_Y-1,12,31)),""))))</f>
        <v/>
      </c>
      <c r="U40" s="137">
        <f>IF($C40="","",IF(ISNUMBER(HSI!$I$35),HSI!$I$35/100,""))</f>
        <v/>
      </c>
      <c r="V40" s="138">
        <f>IF($C40="","",IF(ISNUMBER(HSI!$X$35),IFERROR($M40*HSI!$G$35/HSI!$X$35,""),""))</f>
        <v/>
      </c>
      <c r="W40" s="137">
        <f>IF($C40="","",IF(ISNUMBER($N40),IFERROR($N40*HSI!$G$35/HSI!$X$35,""),""))</f>
        <v/>
      </c>
      <c r="X40" s="139">
        <f>IF($C40="","",IF(PULL_FUND="N","",IFERROR(BDP($C40,EPS_FIELD,YR_OVERRIDE,TEXT(YEAR_Y-5,"0")),"")))</f>
        <v/>
      </c>
      <c r="Y40" s="140">
        <f>IF($C40="","",IF(PULL_FUND="N","",IFERROR(BDP($C40,EPS_FIELD,YR_OVERRIDE,TEXT(YEAR_Y-4,"0")),"")))</f>
        <v/>
      </c>
      <c r="Z40" s="140">
        <f>IF($C40="","",IF(PULL_FUND="N","",IFERROR(BDP($C40,EPS_FIELD,YR_OVERRIDE,TEXT(YEAR_Y-3,"0")),"")))</f>
        <v/>
      </c>
      <c r="AA40" s="140">
        <f>IF($C40="","",IF(PULL_FUND="N","",IFERROR(BDP($C40,EPS_FIELD,YR_OVERRIDE,TEXT(YEAR_Y-2,"0")),"")))</f>
        <v/>
      </c>
      <c r="AB40" s="140">
        <f>IF($C40="","",IF(PULL_FUND="N","",IFERROR(BDP($C40,EPS_FIELD,YR_OVERRIDE,TEXT(YEAR_Y-1,"0")),"")))</f>
        <v/>
      </c>
      <c r="AC40" s="126">
        <f>IF($C40="","",IFERROR(AVERAGE(X40:AB40),""))</f>
        <v/>
      </c>
      <c r="AD40" s="140">
        <f>IF($C40="","",IF(PULL_FUND="N","",IFERROR(BDP($C40,BESTEPS_FIELD,FWD_OVERRIDE,TEXT(MOD(YEAR_Y,100),"00")&amp;"Y"),"")))</f>
        <v/>
      </c>
      <c r="AE40" s="141">
        <f>IF($C40="","",IF(PULL_FUND="N","",IFERROR(BDP($C40,PAYOUT_FIELD,YR_OVERRIDE,TEXT(YEAR_Y-5,"0"))/100,"")))</f>
        <v/>
      </c>
      <c r="AF40" s="142">
        <f>IF($C40="","",IF(PULL_FUND="N","",IFERROR(BDP($C40,PAYOUT_FIELD,YR_OVERRIDE,TEXT(YEAR_Y-4,"0"))/100,"")))</f>
        <v/>
      </c>
      <c r="AG40" s="142">
        <f>IF($C40="","",IF(PULL_FUND="N","",IFERROR(BDP($C40,PAYOUT_FIELD,YR_OVERRIDE,TEXT(YEAR_Y-3,"0"))/100,"")))</f>
        <v/>
      </c>
      <c r="AH40" s="142">
        <f>IF($C40="","",IF(PULL_FUND="N","",IFERROR(BDP($C40,PAYOUT_FIELD,YR_OVERRIDE,TEXT(YEAR_Y-2,"0"))/100,"")))</f>
        <v/>
      </c>
      <c r="AI40" s="142">
        <f>IF($C40="","",IF(PULL_FUND="N","",IFERROR(BDP($C40,PAYOUT_FIELD,YR_OVERRIDE,TEXT(YEAR_Y-1,"0"))/100,"")))</f>
        <v/>
      </c>
      <c r="AJ40" s="143">
        <f>IF($C40="","",IFERROR(AVERAGE(AE40:AI40),""))</f>
        <v/>
      </c>
      <c r="AK40" s="144">
        <f>IF($C40="","",IF(ISNUMBER($AD40)*ISNUMBER($N40)*($AD40&lt;&gt;0)=0,"",$N40/$AD40))</f>
        <v/>
      </c>
      <c r="AL40" s="143">
        <f>IF($C40="","",IF(ISNUMBER($AD40)*($AD40&lt;&gt;0)=0,"",$M40/$AD40))</f>
        <v/>
      </c>
      <c r="AM40" s="37">
        <f>IF($C40="","",IF(ISNUMBER($AE40)*ISNUMBER($AI40)=0,"",IF($AI40&gt;$AE40+0.05,"rising",IF($AI40&lt;$AE40-0.05,"falling","stable"))))</f>
        <v/>
      </c>
      <c r="AN40" s="145">
        <f>IF($C40="","",IF(PULL_FUND="N","",IF(COUNTIFS('Fund History'!$G$176:$G$180,"&gt;="&amp;DATE(YEAR_Y-4,1,1),'Fund History'!$G$176:$G$180,"&lt;="&amp;DATE(YEAR_Y-4,12,31))=0,"",SUMIFS('Fund History'!$H$176:$H$180,'Fund History'!$G$176:$G$180,"&gt;="&amp;DATE(YEAR_Y-4,1,1),'Fund History'!$G$176:$G$180,"&lt;="&amp;DATE(YEAR_Y-4,12,31))/100)))</f>
        <v/>
      </c>
      <c r="AO40" s="146">
        <f>IF($C40="","",IF(PULL_FUND="N","",IF(COUNTIFS('Fund History'!$G$176:$G$180,"&gt;="&amp;DATE(YEAR_Y-3,1,1),'Fund History'!$G$176:$G$180,"&lt;="&amp;DATE(YEAR_Y-3,12,31))=0,"",SUMIFS('Fund History'!$H$176:$H$180,'Fund History'!$G$176:$G$180,"&gt;="&amp;DATE(YEAR_Y-3,1,1),'Fund History'!$G$176:$G$180,"&lt;="&amp;DATE(YEAR_Y-3,12,31))/100)))</f>
        <v/>
      </c>
      <c r="AP40" s="146">
        <f>IF($C40="","",IF(PULL_FUND="N","",IF(COUNTIFS('Fund History'!$G$176:$G$180,"&gt;="&amp;DATE(YEAR_Y-2,1,1),'Fund History'!$G$176:$G$180,"&lt;="&amp;DATE(YEAR_Y-2,12,31))=0,"",SUMIFS('Fund History'!$H$176:$H$180,'Fund History'!$G$176:$G$180,"&gt;="&amp;DATE(YEAR_Y-2,1,1),'Fund History'!$G$176:$G$180,"&lt;="&amp;DATE(YEAR_Y-2,12,31))/100)))</f>
        <v/>
      </c>
      <c r="AQ40" s="146">
        <f>IF($C40="","",IF(PULL_FUND="N","",IF(COUNTIFS('Fund History'!$G$176:$G$180,"&gt;="&amp;DATE(YEAR_Y-1,1,1),'Fund History'!$G$176:$G$180,"&lt;="&amp;DATE(YEAR_Y-1,12,31))=0,"",SUMIFS('Fund History'!$H$176:$H$180,'Fund History'!$G$176:$G$180,"&gt;="&amp;DATE(YEAR_Y-1,1,1),'Fund History'!$G$176:$G$180,"&lt;="&amp;DATE(YEAR_Y-1,12,31))/100)))</f>
        <v/>
      </c>
      <c r="AR40" s="147">
        <f>IF($C40="","",IF(N($AQ40)+N(HSI!$I$35)=0,"",N($AQ40)+N(HSI!$I$35)/100))</f>
        <v/>
      </c>
      <c r="AS40" s="139">
        <f>IF($C40="","",IF(PULL_FUND="N","",IF(COUNTIFS('Fund History'!$D$176:$D$180,"&gt;="&amp;DATE(YEAR_Y-2,1,1),'Fund History'!$D$176:$D$180,"&lt;="&amp;DATE(YEAR_Y-2,12,31))=0,"",SUMIFS('Fund History'!$E$176:$E$180,'Fund History'!$D$176:$D$180,"&gt;="&amp;DATE(YEAR_Y-2,1,1),'Fund History'!$D$176:$D$180,"&lt;="&amp;DATE(YEAR_Y-2,12,31)))))</f>
        <v/>
      </c>
      <c r="AT40" s="140">
        <f>IF($C40="","",IF(PULL_FUND="N","",IF(COUNTIFS('Fund History'!$D$176:$D$180,"&gt;="&amp;DATE(YEAR_Y-1,1,1),'Fund History'!$D$176:$D$180,"&lt;="&amp;DATE(YEAR_Y-1,12,31))=0,"",SUMIFS('Fund History'!$E$176:$E$180,'Fund History'!$D$176:$D$180,"&gt;="&amp;DATE(YEAR_Y-1,1,1),'Fund History'!$D$176:$D$180,"&lt;="&amp;DATE(YEAR_Y-1,12,31)))))</f>
        <v/>
      </c>
      <c r="AU40" s="140">
        <f>IF($C40="","",IF(PULL_FUND="N","",IFERROR(BDP($C40,NDEBITDA_FIELD),"")))</f>
        <v/>
      </c>
      <c r="AV40" s="148">
        <f>IF($C40="","",IF(PULL_FUND="N","",IFERROR(BDP($C40,EBINT_FIELD),"")))</f>
        <v/>
      </c>
      <c r="AW40" s="146">
        <f>IF($C40="","",IF(PULL_FUND="N","",IFERROR(BDP($C40,FCF_FIELD)/100,"")))</f>
        <v/>
      </c>
      <c r="AX40" s="126">
        <f>IF($C40="","",IF(N($U40)=0,"",IFERROR($AW40/$U40,"")))</f>
        <v/>
      </c>
      <c r="AY40" s="85">
        <f>IF($C40="","",TRIM(IF(ISNUMBER($AJ40)*(N($AJ40)&gt;$D$4)&gt;0,"payout high  ","")&amp;IF(ISNUMBER($AX40)*(N($AX40)&lt;$F$4)&gt;0,"FCF below dvd  ","")&amp;IF(ISNUMBER($AU40)*(N($AU40)&gt;$H$4)&gt;0,"leverage high","")))</f>
        <v/>
      </c>
      <c r="AZ40" s="86">
        <f>IF($C40="","",IF(HSI!$F$35="HKD","",HSI!$F$35))</f>
        <v/>
      </c>
    </row>
    <row r="41">
      <c r="B41" s="66" t="inlineStr">
        <is>
          <t>HSI</t>
        </is>
      </c>
      <c r="C41" s="8">
        <f>IF(HSI!$C$36="","",HSI!$C$36)</f>
        <v/>
      </c>
      <c r="D41" s="8">
        <f>IF($C41="","",HSI!$D$36)</f>
        <v/>
      </c>
      <c r="E41" s="8">
        <f>IF($C41="","",HSI!$E$36)</f>
        <v/>
      </c>
      <c r="F41" s="131">
        <f>IF($C41="","",SUMPRODUCT(('Dvd Calendar'!$E$330:$AR$330&gt;=DATE(YEAR_Y-5,1,1))*('Dvd Calendar'!$E$330:$AR$330&lt;=DATE(YEAR_Y-5,12,31))*'Dvd Calendar'!$E$333:$AR$333*(('Dvd Calendar'!$E$335:$AR$335=TYPE1)*(TYPE1&lt;&gt;"")+('Dvd Calendar'!$E$335:$AR$335=TYPE2)*(TYPE2&lt;&gt;"")+('Dvd Calendar'!$E$335:$AR$335=TYPE3)*(TYPE3&lt;&gt;"")+('Dvd Calendar'!$E$335:$AR$335=TYPE4)*(TYPE4&lt;&gt;"")+('Dvd Calendar'!$E$335:$AR$335=SPECIAL_LBL)*(INC_SPECIALS="Y"))))</f>
        <v/>
      </c>
      <c r="G41" s="132">
        <f>IF($C41="","",SUMPRODUCT(('Dvd Calendar'!$E$330:$AR$330&gt;=DATE(YEAR_Y-4,1,1))*('Dvd Calendar'!$E$330:$AR$330&lt;=DATE(YEAR_Y-4,12,31))*'Dvd Calendar'!$E$333:$AR$333*(('Dvd Calendar'!$E$335:$AR$335=TYPE1)*(TYPE1&lt;&gt;"")+('Dvd Calendar'!$E$335:$AR$335=TYPE2)*(TYPE2&lt;&gt;"")+('Dvd Calendar'!$E$335:$AR$335=TYPE3)*(TYPE3&lt;&gt;"")+('Dvd Calendar'!$E$335:$AR$335=TYPE4)*(TYPE4&lt;&gt;"")+('Dvd Calendar'!$E$335:$AR$335=SPECIAL_LBL)*(INC_SPECIALS="Y"))))</f>
        <v/>
      </c>
      <c r="H41" s="132">
        <f>IF($C41="","",SUMPRODUCT(('Dvd Calendar'!$E$330:$AR$330&gt;=DATE(YEAR_Y-3,1,1))*('Dvd Calendar'!$E$330:$AR$330&lt;=DATE(YEAR_Y-3,12,31))*'Dvd Calendar'!$E$333:$AR$333*(('Dvd Calendar'!$E$335:$AR$335=TYPE1)*(TYPE1&lt;&gt;"")+('Dvd Calendar'!$E$335:$AR$335=TYPE2)*(TYPE2&lt;&gt;"")+('Dvd Calendar'!$E$335:$AR$335=TYPE3)*(TYPE3&lt;&gt;"")+('Dvd Calendar'!$E$335:$AR$335=TYPE4)*(TYPE4&lt;&gt;"")+('Dvd Calendar'!$E$335:$AR$335=SPECIAL_LBL)*(INC_SPECIALS="Y"))))</f>
        <v/>
      </c>
      <c r="I41" s="132">
        <f>IF($C41="","",SUMPRODUCT(('Dvd Calendar'!$E$330:$AR$330&gt;=DATE(YEAR_Y-2,1,1))*('Dvd Calendar'!$E$330:$AR$330&lt;=DATE(YEAR_Y-2,12,31))*'Dvd Calendar'!$E$333:$AR$333*(('Dvd Calendar'!$E$335:$AR$335=TYPE1)*(TYPE1&lt;&gt;"")+('Dvd Calendar'!$E$335:$AR$335=TYPE2)*(TYPE2&lt;&gt;"")+('Dvd Calendar'!$E$335:$AR$335=TYPE3)*(TYPE3&lt;&gt;"")+('Dvd Calendar'!$E$335:$AR$335=TYPE4)*(TYPE4&lt;&gt;"")+('Dvd Calendar'!$E$335:$AR$335=SPECIAL_LBL)*(INC_SPECIALS="Y"))))</f>
        <v/>
      </c>
      <c r="J41" s="132">
        <f>IF($C41="","",SUMPRODUCT(('Dvd Calendar'!$E$330:$AR$330&gt;=DATE(YEAR_Y-1,1,1))*('Dvd Calendar'!$E$330:$AR$330&lt;=DATE(YEAR_Y-1,12,31))*'Dvd Calendar'!$E$333:$AR$333*(('Dvd Calendar'!$E$335:$AR$335=TYPE1)*(TYPE1&lt;&gt;"")+('Dvd Calendar'!$E$335:$AR$335=TYPE2)*(TYPE2&lt;&gt;"")+('Dvd Calendar'!$E$335:$AR$335=TYPE3)*(TYPE3&lt;&gt;"")+('Dvd Calendar'!$E$335:$AR$335=TYPE4)*(TYPE4&lt;&gt;"")+('Dvd Calendar'!$E$335:$AR$335=SPECIAL_LBL)*(INC_SPECIALS="Y"))))</f>
        <v/>
      </c>
      <c r="K41" s="133">
        <f>IF($C41="","",HSI!$J$36)</f>
        <v/>
      </c>
      <c r="L41" s="133">
        <f>IF($C41="","",HSI!$K$36)</f>
        <v/>
      </c>
      <c r="M41" s="124">
        <f>IF($C41="","",HSI!$J$36+HSI!$L$36)</f>
        <v/>
      </c>
      <c r="N41" s="134">
        <f>IF($C41="","",IF(PULL_FUND="N","",IFERROR(BDP($C41,BESTDPS_FIELD,FWD_OVERRIDE,TEXT(MOD(YEAR_Y,100),"00")&amp;"Y"),"")))</f>
        <v/>
      </c>
      <c r="O41" s="133">
        <f>IF($C41="","",AVERAGE(F41:J41))</f>
        <v/>
      </c>
      <c r="P41" s="135">
        <f>IF($C41="","",IF(PULL_FUND="N","",IF(COUNTIFS('Fund History'!$J$182:$J$186,"&gt;="&amp;DATE(YEAR_Y-5,1,1),'Fund History'!$J$182:$J$186,"&lt;="&amp;DATE(YEAR_Y-5,12,31))=0,"",IFERROR($F41*HSI!$G$36/SUMIFS('Fund History'!$K$182:$K$186,'Fund History'!$J$182:$J$186,"&gt;="&amp;DATE(YEAR_Y-5,1,1),'Fund History'!$J$182:$J$186,"&lt;="&amp;DATE(YEAR_Y-5,12,31)),""))))</f>
        <v/>
      </c>
      <c r="Q41" s="136">
        <f>IF($C41="","",IF(PULL_FUND="N","",IF(COUNTIFS('Fund History'!$J$182:$J$186,"&gt;="&amp;DATE(YEAR_Y-4,1,1),'Fund History'!$J$182:$J$186,"&lt;="&amp;DATE(YEAR_Y-4,12,31))=0,"",IFERROR($G41*HSI!$G$36/SUMIFS('Fund History'!$K$182:$K$186,'Fund History'!$J$182:$J$186,"&gt;="&amp;DATE(YEAR_Y-4,1,1),'Fund History'!$J$182:$J$186,"&lt;="&amp;DATE(YEAR_Y-4,12,31)),""))))</f>
        <v/>
      </c>
      <c r="R41" s="136">
        <f>IF($C41="","",IF(PULL_FUND="N","",IF(COUNTIFS('Fund History'!$J$182:$J$186,"&gt;="&amp;DATE(YEAR_Y-3,1,1),'Fund History'!$J$182:$J$186,"&lt;="&amp;DATE(YEAR_Y-3,12,31))=0,"",IFERROR($H41*HSI!$G$36/SUMIFS('Fund History'!$K$182:$K$186,'Fund History'!$J$182:$J$186,"&gt;="&amp;DATE(YEAR_Y-3,1,1),'Fund History'!$J$182:$J$186,"&lt;="&amp;DATE(YEAR_Y-3,12,31)),""))))</f>
        <v/>
      </c>
      <c r="S41" s="136">
        <f>IF($C41="","",IF(PULL_FUND="N","",IF(COUNTIFS('Fund History'!$J$182:$J$186,"&gt;="&amp;DATE(YEAR_Y-2,1,1),'Fund History'!$J$182:$J$186,"&lt;="&amp;DATE(YEAR_Y-2,12,31))=0,"",IFERROR($I41*HSI!$G$36/SUMIFS('Fund History'!$K$182:$K$186,'Fund History'!$J$182:$J$186,"&gt;="&amp;DATE(YEAR_Y-2,1,1),'Fund History'!$J$182:$J$186,"&lt;="&amp;DATE(YEAR_Y-2,12,31)),""))))</f>
        <v/>
      </c>
      <c r="T41" s="136">
        <f>IF($C41="","",IF(PULL_FUND="N","",IF(COUNTIFS('Fund History'!$J$182:$J$186,"&gt;="&amp;DATE(YEAR_Y-1,1,1),'Fund History'!$J$182:$J$186,"&lt;="&amp;DATE(YEAR_Y-1,12,31))=0,"",IFERROR($J41*HSI!$G$36/SUMIFS('Fund History'!$K$182:$K$186,'Fund History'!$J$182:$J$186,"&gt;="&amp;DATE(YEAR_Y-1,1,1),'Fund History'!$J$182:$J$186,"&lt;="&amp;DATE(YEAR_Y-1,12,31)),""))))</f>
        <v/>
      </c>
      <c r="U41" s="137">
        <f>IF($C41="","",IF(ISNUMBER(HSI!$I$36),HSI!$I$36/100,""))</f>
        <v/>
      </c>
      <c r="V41" s="138">
        <f>IF($C41="","",IF(ISNUMBER(HSI!$X$36),IFERROR($M41*HSI!$G$36/HSI!$X$36,""),""))</f>
        <v/>
      </c>
      <c r="W41" s="137">
        <f>IF($C41="","",IF(ISNUMBER($N41),IFERROR($N41*HSI!$G$36/HSI!$X$36,""),""))</f>
        <v/>
      </c>
      <c r="X41" s="139">
        <f>IF($C41="","",IF(PULL_FUND="N","",IFERROR(BDP($C41,EPS_FIELD,YR_OVERRIDE,TEXT(YEAR_Y-5,"0")),"")))</f>
        <v/>
      </c>
      <c r="Y41" s="140">
        <f>IF($C41="","",IF(PULL_FUND="N","",IFERROR(BDP($C41,EPS_FIELD,YR_OVERRIDE,TEXT(YEAR_Y-4,"0")),"")))</f>
        <v/>
      </c>
      <c r="Z41" s="140">
        <f>IF($C41="","",IF(PULL_FUND="N","",IFERROR(BDP($C41,EPS_FIELD,YR_OVERRIDE,TEXT(YEAR_Y-3,"0")),"")))</f>
        <v/>
      </c>
      <c r="AA41" s="140">
        <f>IF($C41="","",IF(PULL_FUND="N","",IFERROR(BDP($C41,EPS_FIELD,YR_OVERRIDE,TEXT(YEAR_Y-2,"0")),"")))</f>
        <v/>
      </c>
      <c r="AB41" s="140">
        <f>IF($C41="","",IF(PULL_FUND="N","",IFERROR(BDP($C41,EPS_FIELD,YR_OVERRIDE,TEXT(YEAR_Y-1,"0")),"")))</f>
        <v/>
      </c>
      <c r="AC41" s="126">
        <f>IF($C41="","",IFERROR(AVERAGE(X41:AB41),""))</f>
        <v/>
      </c>
      <c r="AD41" s="140">
        <f>IF($C41="","",IF(PULL_FUND="N","",IFERROR(BDP($C41,BESTEPS_FIELD,FWD_OVERRIDE,TEXT(MOD(YEAR_Y,100),"00")&amp;"Y"),"")))</f>
        <v/>
      </c>
      <c r="AE41" s="141">
        <f>IF($C41="","",IF(PULL_FUND="N","",IFERROR(BDP($C41,PAYOUT_FIELD,YR_OVERRIDE,TEXT(YEAR_Y-5,"0"))/100,"")))</f>
        <v/>
      </c>
      <c r="AF41" s="142">
        <f>IF($C41="","",IF(PULL_FUND="N","",IFERROR(BDP($C41,PAYOUT_FIELD,YR_OVERRIDE,TEXT(YEAR_Y-4,"0"))/100,"")))</f>
        <v/>
      </c>
      <c r="AG41" s="142">
        <f>IF($C41="","",IF(PULL_FUND="N","",IFERROR(BDP($C41,PAYOUT_FIELD,YR_OVERRIDE,TEXT(YEAR_Y-3,"0"))/100,"")))</f>
        <v/>
      </c>
      <c r="AH41" s="142">
        <f>IF($C41="","",IF(PULL_FUND="N","",IFERROR(BDP($C41,PAYOUT_FIELD,YR_OVERRIDE,TEXT(YEAR_Y-2,"0"))/100,"")))</f>
        <v/>
      </c>
      <c r="AI41" s="142">
        <f>IF($C41="","",IF(PULL_FUND="N","",IFERROR(BDP($C41,PAYOUT_FIELD,YR_OVERRIDE,TEXT(YEAR_Y-1,"0"))/100,"")))</f>
        <v/>
      </c>
      <c r="AJ41" s="143">
        <f>IF($C41="","",IFERROR(AVERAGE(AE41:AI41),""))</f>
        <v/>
      </c>
      <c r="AK41" s="144">
        <f>IF($C41="","",IF(ISNUMBER($AD41)*ISNUMBER($N41)*($AD41&lt;&gt;0)=0,"",$N41/$AD41))</f>
        <v/>
      </c>
      <c r="AL41" s="143">
        <f>IF($C41="","",IF(ISNUMBER($AD41)*($AD41&lt;&gt;0)=0,"",$M41/$AD41))</f>
        <v/>
      </c>
      <c r="AM41" s="37">
        <f>IF($C41="","",IF(ISNUMBER($AE41)*ISNUMBER($AI41)=0,"",IF($AI41&gt;$AE41+0.05,"rising",IF($AI41&lt;$AE41-0.05,"falling","stable"))))</f>
        <v/>
      </c>
      <c r="AN41" s="145">
        <f>IF($C41="","",IF(PULL_FUND="N","",IF(COUNTIFS('Fund History'!$G$182:$G$186,"&gt;="&amp;DATE(YEAR_Y-4,1,1),'Fund History'!$G$182:$G$186,"&lt;="&amp;DATE(YEAR_Y-4,12,31))=0,"",SUMIFS('Fund History'!$H$182:$H$186,'Fund History'!$G$182:$G$186,"&gt;="&amp;DATE(YEAR_Y-4,1,1),'Fund History'!$G$182:$G$186,"&lt;="&amp;DATE(YEAR_Y-4,12,31))/100)))</f>
        <v/>
      </c>
      <c r="AO41" s="146">
        <f>IF($C41="","",IF(PULL_FUND="N","",IF(COUNTIFS('Fund History'!$G$182:$G$186,"&gt;="&amp;DATE(YEAR_Y-3,1,1),'Fund History'!$G$182:$G$186,"&lt;="&amp;DATE(YEAR_Y-3,12,31))=0,"",SUMIFS('Fund History'!$H$182:$H$186,'Fund History'!$G$182:$G$186,"&gt;="&amp;DATE(YEAR_Y-3,1,1),'Fund History'!$G$182:$G$186,"&lt;="&amp;DATE(YEAR_Y-3,12,31))/100)))</f>
        <v/>
      </c>
      <c r="AP41" s="146">
        <f>IF($C41="","",IF(PULL_FUND="N","",IF(COUNTIFS('Fund History'!$G$182:$G$186,"&gt;="&amp;DATE(YEAR_Y-2,1,1),'Fund History'!$G$182:$G$186,"&lt;="&amp;DATE(YEAR_Y-2,12,31))=0,"",SUMIFS('Fund History'!$H$182:$H$186,'Fund History'!$G$182:$G$186,"&gt;="&amp;DATE(YEAR_Y-2,1,1),'Fund History'!$G$182:$G$186,"&lt;="&amp;DATE(YEAR_Y-2,12,31))/100)))</f>
        <v/>
      </c>
      <c r="AQ41" s="146">
        <f>IF($C41="","",IF(PULL_FUND="N","",IF(COUNTIFS('Fund History'!$G$182:$G$186,"&gt;="&amp;DATE(YEAR_Y-1,1,1),'Fund History'!$G$182:$G$186,"&lt;="&amp;DATE(YEAR_Y-1,12,31))=0,"",SUMIFS('Fund History'!$H$182:$H$186,'Fund History'!$G$182:$G$186,"&gt;="&amp;DATE(YEAR_Y-1,1,1),'Fund History'!$G$182:$G$186,"&lt;="&amp;DATE(YEAR_Y-1,12,31))/100)))</f>
        <v/>
      </c>
      <c r="AR41" s="147">
        <f>IF($C41="","",IF(N($AQ41)+N(HSI!$I$36)=0,"",N($AQ41)+N(HSI!$I$36)/100))</f>
        <v/>
      </c>
      <c r="AS41" s="139">
        <f>IF($C41="","",IF(PULL_FUND="N","",IF(COUNTIFS('Fund History'!$D$182:$D$186,"&gt;="&amp;DATE(YEAR_Y-2,1,1),'Fund History'!$D$182:$D$186,"&lt;="&amp;DATE(YEAR_Y-2,12,31))=0,"",SUMIFS('Fund History'!$E$182:$E$186,'Fund History'!$D$182:$D$186,"&gt;="&amp;DATE(YEAR_Y-2,1,1),'Fund History'!$D$182:$D$186,"&lt;="&amp;DATE(YEAR_Y-2,12,31)))))</f>
        <v/>
      </c>
      <c r="AT41" s="140">
        <f>IF($C41="","",IF(PULL_FUND="N","",IF(COUNTIFS('Fund History'!$D$182:$D$186,"&gt;="&amp;DATE(YEAR_Y-1,1,1),'Fund History'!$D$182:$D$186,"&lt;="&amp;DATE(YEAR_Y-1,12,31))=0,"",SUMIFS('Fund History'!$E$182:$E$186,'Fund History'!$D$182:$D$186,"&gt;="&amp;DATE(YEAR_Y-1,1,1),'Fund History'!$D$182:$D$186,"&lt;="&amp;DATE(YEAR_Y-1,12,31)))))</f>
        <v/>
      </c>
      <c r="AU41" s="140">
        <f>IF($C41="","",IF(PULL_FUND="N","",IFERROR(BDP($C41,NDEBITDA_FIELD),"")))</f>
        <v/>
      </c>
      <c r="AV41" s="148">
        <f>IF($C41="","",IF(PULL_FUND="N","",IFERROR(BDP($C41,EBINT_FIELD),"")))</f>
        <v/>
      </c>
      <c r="AW41" s="146">
        <f>IF($C41="","",IF(PULL_FUND="N","",IFERROR(BDP($C41,FCF_FIELD)/100,"")))</f>
        <v/>
      </c>
      <c r="AX41" s="126">
        <f>IF($C41="","",IF(N($U41)=0,"",IFERROR($AW41/$U41,"")))</f>
        <v/>
      </c>
      <c r="AY41" s="85">
        <f>IF($C41="","",TRIM(IF(ISNUMBER($AJ41)*(N($AJ41)&gt;$D$4)&gt;0,"payout high  ","")&amp;IF(ISNUMBER($AX41)*(N($AX41)&lt;$F$4)&gt;0,"FCF below dvd  ","")&amp;IF(ISNUMBER($AU41)*(N($AU41)&gt;$H$4)&gt;0,"leverage high","")))</f>
        <v/>
      </c>
      <c r="AZ41" s="86">
        <f>IF($C41="","",IF(HSI!$F$36="HKD","",HSI!$F$36))</f>
        <v/>
      </c>
    </row>
    <row r="42">
      <c r="B42" s="66" t="inlineStr">
        <is>
          <t>HSI</t>
        </is>
      </c>
      <c r="C42" s="8">
        <f>IF(HSI!$C$37="","",HSI!$C$37)</f>
        <v/>
      </c>
      <c r="D42" s="8">
        <f>IF($C42="","",HSI!$D$37)</f>
        <v/>
      </c>
      <c r="E42" s="8">
        <f>IF($C42="","",HSI!$E$37)</f>
        <v/>
      </c>
      <c r="F42" s="131">
        <f>IF($C42="","",SUMPRODUCT(('Dvd Calendar'!$E$341:$AR$341&gt;=DATE(YEAR_Y-5,1,1))*('Dvd Calendar'!$E$341:$AR$341&lt;=DATE(YEAR_Y-5,12,31))*'Dvd Calendar'!$E$344:$AR$344*(('Dvd Calendar'!$E$346:$AR$346=TYPE1)*(TYPE1&lt;&gt;"")+('Dvd Calendar'!$E$346:$AR$346=TYPE2)*(TYPE2&lt;&gt;"")+('Dvd Calendar'!$E$346:$AR$346=TYPE3)*(TYPE3&lt;&gt;"")+('Dvd Calendar'!$E$346:$AR$346=TYPE4)*(TYPE4&lt;&gt;"")+('Dvd Calendar'!$E$346:$AR$346=SPECIAL_LBL)*(INC_SPECIALS="Y"))))</f>
        <v/>
      </c>
      <c r="G42" s="132">
        <f>IF($C42="","",SUMPRODUCT(('Dvd Calendar'!$E$341:$AR$341&gt;=DATE(YEAR_Y-4,1,1))*('Dvd Calendar'!$E$341:$AR$341&lt;=DATE(YEAR_Y-4,12,31))*'Dvd Calendar'!$E$344:$AR$344*(('Dvd Calendar'!$E$346:$AR$346=TYPE1)*(TYPE1&lt;&gt;"")+('Dvd Calendar'!$E$346:$AR$346=TYPE2)*(TYPE2&lt;&gt;"")+('Dvd Calendar'!$E$346:$AR$346=TYPE3)*(TYPE3&lt;&gt;"")+('Dvd Calendar'!$E$346:$AR$346=TYPE4)*(TYPE4&lt;&gt;"")+('Dvd Calendar'!$E$346:$AR$346=SPECIAL_LBL)*(INC_SPECIALS="Y"))))</f>
        <v/>
      </c>
      <c r="H42" s="132">
        <f>IF($C42="","",SUMPRODUCT(('Dvd Calendar'!$E$341:$AR$341&gt;=DATE(YEAR_Y-3,1,1))*('Dvd Calendar'!$E$341:$AR$341&lt;=DATE(YEAR_Y-3,12,31))*'Dvd Calendar'!$E$344:$AR$344*(('Dvd Calendar'!$E$346:$AR$346=TYPE1)*(TYPE1&lt;&gt;"")+('Dvd Calendar'!$E$346:$AR$346=TYPE2)*(TYPE2&lt;&gt;"")+('Dvd Calendar'!$E$346:$AR$346=TYPE3)*(TYPE3&lt;&gt;"")+('Dvd Calendar'!$E$346:$AR$346=TYPE4)*(TYPE4&lt;&gt;"")+('Dvd Calendar'!$E$346:$AR$346=SPECIAL_LBL)*(INC_SPECIALS="Y"))))</f>
        <v/>
      </c>
      <c r="I42" s="132">
        <f>IF($C42="","",SUMPRODUCT(('Dvd Calendar'!$E$341:$AR$341&gt;=DATE(YEAR_Y-2,1,1))*('Dvd Calendar'!$E$341:$AR$341&lt;=DATE(YEAR_Y-2,12,31))*'Dvd Calendar'!$E$344:$AR$344*(('Dvd Calendar'!$E$346:$AR$346=TYPE1)*(TYPE1&lt;&gt;"")+('Dvd Calendar'!$E$346:$AR$346=TYPE2)*(TYPE2&lt;&gt;"")+('Dvd Calendar'!$E$346:$AR$346=TYPE3)*(TYPE3&lt;&gt;"")+('Dvd Calendar'!$E$346:$AR$346=TYPE4)*(TYPE4&lt;&gt;"")+('Dvd Calendar'!$E$346:$AR$346=SPECIAL_LBL)*(INC_SPECIALS="Y"))))</f>
        <v/>
      </c>
      <c r="J42" s="132">
        <f>IF($C42="","",SUMPRODUCT(('Dvd Calendar'!$E$341:$AR$341&gt;=DATE(YEAR_Y-1,1,1))*('Dvd Calendar'!$E$341:$AR$341&lt;=DATE(YEAR_Y-1,12,31))*'Dvd Calendar'!$E$344:$AR$344*(('Dvd Calendar'!$E$346:$AR$346=TYPE1)*(TYPE1&lt;&gt;"")+('Dvd Calendar'!$E$346:$AR$346=TYPE2)*(TYPE2&lt;&gt;"")+('Dvd Calendar'!$E$346:$AR$346=TYPE3)*(TYPE3&lt;&gt;"")+('Dvd Calendar'!$E$346:$AR$346=TYPE4)*(TYPE4&lt;&gt;"")+('Dvd Calendar'!$E$346:$AR$346=SPECIAL_LBL)*(INC_SPECIALS="Y"))))</f>
        <v/>
      </c>
      <c r="K42" s="133">
        <f>IF($C42="","",HSI!$J$37)</f>
        <v/>
      </c>
      <c r="L42" s="133">
        <f>IF($C42="","",HSI!$K$37)</f>
        <v/>
      </c>
      <c r="M42" s="124">
        <f>IF($C42="","",HSI!$J$37+HSI!$L$37)</f>
        <v/>
      </c>
      <c r="N42" s="134">
        <f>IF($C42="","",IF(PULL_FUND="N","",IFERROR(BDP($C42,BESTDPS_FIELD,FWD_OVERRIDE,TEXT(MOD(YEAR_Y,100),"00")&amp;"Y"),"")))</f>
        <v/>
      </c>
      <c r="O42" s="133">
        <f>IF($C42="","",AVERAGE(F42:J42))</f>
        <v/>
      </c>
      <c r="P42" s="135">
        <f>IF($C42="","",IF(PULL_FUND="N","",IF(COUNTIFS('Fund History'!$J$188:$J$192,"&gt;="&amp;DATE(YEAR_Y-5,1,1),'Fund History'!$J$188:$J$192,"&lt;="&amp;DATE(YEAR_Y-5,12,31))=0,"",IFERROR($F42*HSI!$G$37/SUMIFS('Fund History'!$K$188:$K$192,'Fund History'!$J$188:$J$192,"&gt;="&amp;DATE(YEAR_Y-5,1,1),'Fund History'!$J$188:$J$192,"&lt;="&amp;DATE(YEAR_Y-5,12,31)),""))))</f>
        <v/>
      </c>
      <c r="Q42" s="136">
        <f>IF($C42="","",IF(PULL_FUND="N","",IF(COUNTIFS('Fund History'!$J$188:$J$192,"&gt;="&amp;DATE(YEAR_Y-4,1,1),'Fund History'!$J$188:$J$192,"&lt;="&amp;DATE(YEAR_Y-4,12,31))=0,"",IFERROR($G42*HSI!$G$37/SUMIFS('Fund History'!$K$188:$K$192,'Fund History'!$J$188:$J$192,"&gt;="&amp;DATE(YEAR_Y-4,1,1),'Fund History'!$J$188:$J$192,"&lt;="&amp;DATE(YEAR_Y-4,12,31)),""))))</f>
        <v/>
      </c>
      <c r="R42" s="136">
        <f>IF($C42="","",IF(PULL_FUND="N","",IF(COUNTIFS('Fund History'!$J$188:$J$192,"&gt;="&amp;DATE(YEAR_Y-3,1,1),'Fund History'!$J$188:$J$192,"&lt;="&amp;DATE(YEAR_Y-3,12,31))=0,"",IFERROR($H42*HSI!$G$37/SUMIFS('Fund History'!$K$188:$K$192,'Fund History'!$J$188:$J$192,"&gt;="&amp;DATE(YEAR_Y-3,1,1),'Fund History'!$J$188:$J$192,"&lt;="&amp;DATE(YEAR_Y-3,12,31)),""))))</f>
        <v/>
      </c>
      <c r="S42" s="136">
        <f>IF($C42="","",IF(PULL_FUND="N","",IF(COUNTIFS('Fund History'!$J$188:$J$192,"&gt;="&amp;DATE(YEAR_Y-2,1,1),'Fund History'!$J$188:$J$192,"&lt;="&amp;DATE(YEAR_Y-2,12,31))=0,"",IFERROR($I42*HSI!$G$37/SUMIFS('Fund History'!$K$188:$K$192,'Fund History'!$J$188:$J$192,"&gt;="&amp;DATE(YEAR_Y-2,1,1),'Fund History'!$J$188:$J$192,"&lt;="&amp;DATE(YEAR_Y-2,12,31)),""))))</f>
        <v/>
      </c>
      <c r="T42" s="136">
        <f>IF($C42="","",IF(PULL_FUND="N","",IF(COUNTIFS('Fund History'!$J$188:$J$192,"&gt;="&amp;DATE(YEAR_Y-1,1,1),'Fund History'!$J$188:$J$192,"&lt;="&amp;DATE(YEAR_Y-1,12,31))=0,"",IFERROR($J42*HSI!$G$37/SUMIFS('Fund History'!$K$188:$K$192,'Fund History'!$J$188:$J$192,"&gt;="&amp;DATE(YEAR_Y-1,1,1),'Fund History'!$J$188:$J$192,"&lt;="&amp;DATE(YEAR_Y-1,12,31)),""))))</f>
        <v/>
      </c>
      <c r="U42" s="137">
        <f>IF($C42="","",IF(ISNUMBER(HSI!$I$37),HSI!$I$37/100,""))</f>
        <v/>
      </c>
      <c r="V42" s="138">
        <f>IF($C42="","",IF(ISNUMBER(HSI!$X$37),IFERROR($M42*HSI!$G$37/HSI!$X$37,""),""))</f>
        <v/>
      </c>
      <c r="W42" s="137">
        <f>IF($C42="","",IF(ISNUMBER($N42),IFERROR($N42*HSI!$G$37/HSI!$X$37,""),""))</f>
        <v/>
      </c>
      <c r="X42" s="139">
        <f>IF($C42="","",IF(PULL_FUND="N","",IFERROR(BDP($C42,EPS_FIELD,YR_OVERRIDE,TEXT(YEAR_Y-5,"0")),"")))</f>
        <v/>
      </c>
      <c r="Y42" s="140">
        <f>IF($C42="","",IF(PULL_FUND="N","",IFERROR(BDP($C42,EPS_FIELD,YR_OVERRIDE,TEXT(YEAR_Y-4,"0")),"")))</f>
        <v/>
      </c>
      <c r="Z42" s="140">
        <f>IF($C42="","",IF(PULL_FUND="N","",IFERROR(BDP($C42,EPS_FIELD,YR_OVERRIDE,TEXT(YEAR_Y-3,"0")),"")))</f>
        <v/>
      </c>
      <c r="AA42" s="140">
        <f>IF($C42="","",IF(PULL_FUND="N","",IFERROR(BDP($C42,EPS_FIELD,YR_OVERRIDE,TEXT(YEAR_Y-2,"0")),"")))</f>
        <v/>
      </c>
      <c r="AB42" s="140">
        <f>IF($C42="","",IF(PULL_FUND="N","",IFERROR(BDP($C42,EPS_FIELD,YR_OVERRIDE,TEXT(YEAR_Y-1,"0")),"")))</f>
        <v/>
      </c>
      <c r="AC42" s="126">
        <f>IF($C42="","",IFERROR(AVERAGE(X42:AB42),""))</f>
        <v/>
      </c>
      <c r="AD42" s="140">
        <f>IF($C42="","",IF(PULL_FUND="N","",IFERROR(BDP($C42,BESTEPS_FIELD,FWD_OVERRIDE,TEXT(MOD(YEAR_Y,100),"00")&amp;"Y"),"")))</f>
        <v/>
      </c>
      <c r="AE42" s="141">
        <f>IF($C42="","",IF(PULL_FUND="N","",IFERROR(BDP($C42,PAYOUT_FIELD,YR_OVERRIDE,TEXT(YEAR_Y-5,"0"))/100,"")))</f>
        <v/>
      </c>
      <c r="AF42" s="142">
        <f>IF($C42="","",IF(PULL_FUND="N","",IFERROR(BDP($C42,PAYOUT_FIELD,YR_OVERRIDE,TEXT(YEAR_Y-4,"0"))/100,"")))</f>
        <v/>
      </c>
      <c r="AG42" s="142">
        <f>IF($C42="","",IF(PULL_FUND="N","",IFERROR(BDP($C42,PAYOUT_FIELD,YR_OVERRIDE,TEXT(YEAR_Y-3,"0"))/100,"")))</f>
        <v/>
      </c>
      <c r="AH42" s="142">
        <f>IF($C42="","",IF(PULL_FUND="N","",IFERROR(BDP($C42,PAYOUT_FIELD,YR_OVERRIDE,TEXT(YEAR_Y-2,"0"))/100,"")))</f>
        <v/>
      </c>
      <c r="AI42" s="142">
        <f>IF($C42="","",IF(PULL_FUND="N","",IFERROR(BDP($C42,PAYOUT_FIELD,YR_OVERRIDE,TEXT(YEAR_Y-1,"0"))/100,"")))</f>
        <v/>
      </c>
      <c r="AJ42" s="143">
        <f>IF($C42="","",IFERROR(AVERAGE(AE42:AI42),""))</f>
        <v/>
      </c>
      <c r="AK42" s="144">
        <f>IF($C42="","",IF(ISNUMBER($AD42)*ISNUMBER($N42)*($AD42&lt;&gt;0)=0,"",$N42/$AD42))</f>
        <v/>
      </c>
      <c r="AL42" s="143">
        <f>IF($C42="","",IF(ISNUMBER($AD42)*($AD42&lt;&gt;0)=0,"",$M42/$AD42))</f>
        <v/>
      </c>
      <c r="AM42" s="37">
        <f>IF($C42="","",IF(ISNUMBER($AE42)*ISNUMBER($AI42)=0,"",IF($AI42&gt;$AE42+0.05,"rising",IF($AI42&lt;$AE42-0.05,"falling","stable"))))</f>
        <v/>
      </c>
      <c r="AN42" s="145">
        <f>IF($C42="","",IF(PULL_FUND="N","",IF(COUNTIFS('Fund History'!$G$188:$G$192,"&gt;="&amp;DATE(YEAR_Y-4,1,1),'Fund History'!$G$188:$G$192,"&lt;="&amp;DATE(YEAR_Y-4,12,31))=0,"",SUMIFS('Fund History'!$H$188:$H$192,'Fund History'!$G$188:$G$192,"&gt;="&amp;DATE(YEAR_Y-4,1,1),'Fund History'!$G$188:$G$192,"&lt;="&amp;DATE(YEAR_Y-4,12,31))/100)))</f>
        <v/>
      </c>
      <c r="AO42" s="146">
        <f>IF($C42="","",IF(PULL_FUND="N","",IF(COUNTIFS('Fund History'!$G$188:$G$192,"&gt;="&amp;DATE(YEAR_Y-3,1,1),'Fund History'!$G$188:$G$192,"&lt;="&amp;DATE(YEAR_Y-3,12,31))=0,"",SUMIFS('Fund History'!$H$188:$H$192,'Fund History'!$G$188:$G$192,"&gt;="&amp;DATE(YEAR_Y-3,1,1),'Fund History'!$G$188:$G$192,"&lt;="&amp;DATE(YEAR_Y-3,12,31))/100)))</f>
        <v/>
      </c>
      <c r="AP42" s="146">
        <f>IF($C42="","",IF(PULL_FUND="N","",IF(COUNTIFS('Fund History'!$G$188:$G$192,"&gt;="&amp;DATE(YEAR_Y-2,1,1),'Fund History'!$G$188:$G$192,"&lt;="&amp;DATE(YEAR_Y-2,12,31))=0,"",SUMIFS('Fund History'!$H$188:$H$192,'Fund History'!$G$188:$G$192,"&gt;="&amp;DATE(YEAR_Y-2,1,1),'Fund History'!$G$188:$G$192,"&lt;="&amp;DATE(YEAR_Y-2,12,31))/100)))</f>
        <v/>
      </c>
      <c r="AQ42" s="146">
        <f>IF($C42="","",IF(PULL_FUND="N","",IF(COUNTIFS('Fund History'!$G$188:$G$192,"&gt;="&amp;DATE(YEAR_Y-1,1,1),'Fund History'!$G$188:$G$192,"&lt;="&amp;DATE(YEAR_Y-1,12,31))=0,"",SUMIFS('Fund History'!$H$188:$H$192,'Fund History'!$G$188:$G$192,"&gt;="&amp;DATE(YEAR_Y-1,1,1),'Fund History'!$G$188:$G$192,"&lt;="&amp;DATE(YEAR_Y-1,12,31))/100)))</f>
        <v/>
      </c>
      <c r="AR42" s="147">
        <f>IF($C42="","",IF(N($AQ42)+N(HSI!$I$37)=0,"",N($AQ42)+N(HSI!$I$37)/100))</f>
        <v/>
      </c>
      <c r="AS42" s="139">
        <f>IF($C42="","",IF(PULL_FUND="N","",IF(COUNTIFS('Fund History'!$D$188:$D$192,"&gt;="&amp;DATE(YEAR_Y-2,1,1),'Fund History'!$D$188:$D$192,"&lt;="&amp;DATE(YEAR_Y-2,12,31))=0,"",SUMIFS('Fund History'!$E$188:$E$192,'Fund History'!$D$188:$D$192,"&gt;="&amp;DATE(YEAR_Y-2,1,1),'Fund History'!$D$188:$D$192,"&lt;="&amp;DATE(YEAR_Y-2,12,31)))))</f>
        <v/>
      </c>
      <c r="AT42" s="140">
        <f>IF($C42="","",IF(PULL_FUND="N","",IF(COUNTIFS('Fund History'!$D$188:$D$192,"&gt;="&amp;DATE(YEAR_Y-1,1,1),'Fund History'!$D$188:$D$192,"&lt;="&amp;DATE(YEAR_Y-1,12,31))=0,"",SUMIFS('Fund History'!$E$188:$E$192,'Fund History'!$D$188:$D$192,"&gt;="&amp;DATE(YEAR_Y-1,1,1),'Fund History'!$D$188:$D$192,"&lt;="&amp;DATE(YEAR_Y-1,12,31)))))</f>
        <v/>
      </c>
      <c r="AU42" s="140">
        <f>IF($C42="","",IF(PULL_FUND="N","",IFERROR(BDP($C42,NDEBITDA_FIELD),"")))</f>
        <v/>
      </c>
      <c r="AV42" s="148">
        <f>IF($C42="","",IF(PULL_FUND="N","",IFERROR(BDP($C42,EBINT_FIELD),"")))</f>
        <v/>
      </c>
      <c r="AW42" s="146">
        <f>IF($C42="","",IF(PULL_FUND="N","",IFERROR(BDP($C42,FCF_FIELD)/100,"")))</f>
        <v/>
      </c>
      <c r="AX42" s="126">
        <f>IF($C42="","",IF(N($U42)=0,"",IFERROR($AW42/$U42,"")))</f>
        <v/>
      </c>
      <c r="AY42" s="85">
        <f>IF($C42="","",TRIM(IF(ISNUMBER($AJ42)*(N($AJ42)&gt;$D$4)&gt;0,"payout high  ","")&amp;IF(ISNUMBER($AX42)*(N($AX42)&lt;$F$4)&gt;0,"FCF below dvd  ","")&amp;IF(ISNUMBER($AU42)*(N($AU42)&gt;$H$4)&gt;0,"leverage high","")))</f>
        <v/>
      </c>
      <c r="AZ42" s="86">
        <f>IF($C42="","",IF(HSI!$F$37="HKD","",HSI!$F$37))</f>
        <v/>
      </c>
    </row>
    <row r="43">
      <c r="B43" s="66" t="inlineStr">
        <is>
          <t>HSI</t>
        </is>
      </c>
      <c r="C43" s="8">
        <f>IF(HSI!$C$38="","",HSI!$C$38)</f>
        <v/>
      </c>
      <c r="D43" s="8">
        <f>IF($C43="","",HSI!$D$38)</f>
        <v/>
      </c>
      <c r="E43" s="8">
        <f>IF($C43="","",HSI!$E$38)</f>
        <v/>
      </c>
      <c r="F43" s="131">
        <f>IF($C43="","",SUMPRODUCT(('Dvd Calendar'!$E$352:$AR$352&gt;=DATE(YEAR_Y-5,1,1))*('Dvd Calendar'!$E$352:$AR$352&lt;=DATE(YEAR_Y-5,12,31))*'Dvd Calendar'!$E$355:$AR$355*(('Dvd Calendar'!$E$357:$AR$357=TYPE1)*(TYPE1&lt;&gt;"")+('Dvd Calendar'!$E$357:$AR$357=TYPE2)*(TYPE2&lt;&gt;"")+('Dvd Calendar'!$E$357:$AR$357=TYPE3)*(TYPE3&lt;&gt;"")+('Dvd Calendar'!$E$357:$AR$357=TYPE4)*(TYPE4&lt;&gt;"")+('Dvd Calendar'!$E$357:$AR$357=SPECIAL_LBL)*(INC_SPECIALS="Y"))))</f>
        <v/>
      </c>
      <c r="G43" s="132">
        <f>IF($C43="","",SUMPRODUCT(('Dvd Calendar'!$E$352:$AR$352&gt;=DATE(YEAR_Y-4,1,1))*('Dvd Calendar'!$E$352:$AR$352&lt;=DATE(YEAR_Y-4,12,31))*'Dvd Calendar'!$E$355:$AR$355*(('Dvd Calendar'!$E$357:$AR$357=TYPE1)*(TYPE1&lt;&gt;"")+('Dvd Calendar'!$E$357:$AR$357=TYPE2)*(TYPE2&lt;&gt;"")+('Dvd Calendar'!$E$357:$AR$357=TYPE3)*(TYPE3&lt;&gt;"")+('Dvd Calendar'!$E$357:$AR$357=TYPE4)*(TYPE4&lt;&gt;"")+('Dvd Calendar'!$E$357:$AR$357=SPECIAL_LBL)*(INC_SPECIALS="Y"))))</f>
        <v/>
      </c>
      <c r="H43" s="132">
        <f>IF($C43="","",SUMPRODUCT(('Dvd Calendar'!$E$352:$AR$352&gt;=DATE(YEAR_Y-3,1,1))*('Dvd Calendar'!$E$352:$AR$352&lt;=DATE(YEAR_Y-3,12,31))*'Dvd Calendar'!$E$355:$AR$355*(('Dvd Calendar'!$E$357:$AR$357=TYPE1)*(TYPE1&lt;&gt;"")+('Dvd Calendar'!$E$357:$AR$357=TYPE2)*(TYPE2&lt;&gt;"")+('Dvd Calendar'!$E$357:$AR$357=TYPE3)*(TYPE3&lt;&gt;"")+('Dvd Calendar'!$E$357:$AR$357=TYPE4)*(TYPE4&lt;&gt;"")+('Dvd Calendar'!$E$357:$AR$357=SPECIAL_LBL)*(INC_SPECIALS="Y"))))</f>
        <v/>
      </c>
      <c r="I43" s="132">
        <f>IF($C43="","",SUMPRODUCT(('Dvd Calendar'!$E$352:$AR$352&gt;=DATE(YEAR_Y-2,1,1))*('Dvd Calendar'!$E$352:$AR$352&lt;=DATE(YEAR_Y-2,12,31))*'Dvd Calendar'!$E$355:$AR$355*(('Dvd Calendar'!$E$357:$AR$357=TYPE1)*(TYPE1&lt;&gt;"")+('Dvd Calendar'!$E$357:$AR$357=TYPE2)*(TYPE2&lt;&gt;"")+('Dvd Calendar'!$E$357:$AR$357=TYPE3)*(TYPE3&lt;&gt;"")+('Dvd Calendar'!$E$357:$AR$357=TYPE4)*(TYPE4&lt;&gt;"")+('Dvd Calendar'!$E$357:$AR$357=SPECIAL_LBL)*(INC_SPECIALS="Y"))))</f>
        <v/>
      </c>
      <c r="J43" s="132">
        <f>IF($C43="","",SUMPRODUCT(('Dvd Calendar'!$E$352:$AR$352&gt;=DATE(YEAR_Y-1,1,1))*('Dvd Calendar'!$E$352:$AR$352&lt;=DATE(YEAR_Y-1,12,31))*'Dvd Calendar'!$E$355:$AR$355*(('Dvd Calendar'!$E$357:$AR$357=TYPE1)*(TYPE1&lt;&gt;"")+('Dvd Calendar'!$E$357:$AR$357=TYPE2)*(TYPE2&lt;&gt;"")+('Dvd Calendar'!$E$357:$AR$357=TYPE3)*(TYPE3&lt;&gt;"")+('Dvd Calendar'!$E$357:$AR$357=TYPE4)*(TYPE4&lt;&gt;"")+('Dvd Calendar'!$E$357:$AR$357=SPECIAL_LBL)*(INC_SPECIALS="Y"))))</f>
        <v/>
      </c>
      <c r="K43" s="133">
        <f>IF($C43="","",HSI!$J$38)</f>
        <v/>
      </c>
      <c r="L43" s="133">
        <f>IF($C43="","",HSI!$K$38)</f>
        <v/>
      </c>
      <c r="M43" s="124">
        <f>IF($C43="","",HSI!$J$38+HSI!$L$38)</f>
        <v/>
      </c>
      <c r="N43" s="134">
        <f>IF($C43="","",IF(PULL_FUND="N","",IFERROR(BDP($C43,BESTDPS_FIELD,FWD_OVERRIDE,TEXT(MOD(YEAR_Y,100),"00")&amp;"Y"),"")))</f>
        <v/>
      </c>
      <c r="O43" s="133">
        <f>IF($C43="","",AVERAGE(F43:J43))</f>
        <v/>
      </c>
      <c r="P43" s="135">
        <f>IF($C43="","",IF(PULL_FUND="N","",IF(COUNTIFS('Fund History'!$J$194:$J$198,"&gt;="&amp;DATE(YEAR_Y-5,1,1),'Fund History'!$J$194:$J$198,"&lt;="&amp;DATE(YEAR_Y-5,12,31))=0,"",IFERROR($F43*HSI!$G$38/SUMIFS('Fund History'!$K$194:$K$198,'Fund History'!$J$194:$J$198,"&gt;="&amp;DATE(YEAR_Y-5,1,1),'Fund History'!$J$194:$J$198,"&lt;="&amp;DATE(YEAR_Y-5,12,31)),""))))</f>
        <v/>
      </c>
      <c r="Q43" s="136">
        <f>IF($C43="","",IF(PULL_FUND="N","",IF(COUNTIFS('Fund History'!$J$194:$J$198,"&gt;="&amp;DATE(YEAR_Y-4,1,1),'Fund History'!$J$194:$J$198,"&lt;="&amp;DATE(YEAR_Y-4,12,31))=0,"",IFERROR($G43*HSI!$G$38/SUMIFS('Fund History'!$K$194:$K$198,'Fund History'!$J$194:$J$198,"&gt;="&amp;DATE(YEAR_Y-4,1,1),'Fund History'!$J$194:$J$198,"&lt;="&amp;DATE(YEAR_Y-4,12,31)),""))))</f>
        <v/>
      </c>
      <c r="R43" s="136">
        <f>IF($C43="","",IF(PULL_FUND="N","",IF(COUNTIFS('Fund History'!$J$194:$J$198,"&gt;="&amp;DATE(YEAR_Y-3,1,1),'Fund History'!$J$194:$J$198,"&lt;="&amp;DATE(YEAR_Y-3,12,31))=0,"",IFERROR($H43*HSI!$G$38/SUMIFS('Fund History'!$K$194:$K$198,'Fund History'!$J$194:$J$198,"&gt;="&amp;DATE(YEAR_Y-3,1,1),'Fund History'!$J$194:$J$198,"&lt;="&amp;DATE(YEAR_Y-3,12,31)),""))))</f>
        <v/>
      </c>
      <c r="S43" s="136">
        <f>IF($C43="","",IF(PULL_FUND="N","",IF(COUNTIFS('Fund History'!$J$194:$J$198,"&gt;="&amp;DATE(YEAR_Y-2,1,1),'Fund History'!$J$194:$J$198,"&lt;="&amp;DATE(YEAR_Y-2,12,31))=0,"",IFERROR($I43*HSI!$G$38/SUMIFS('Fund History'!$K$194:$K$198,'Fund History'!$J$194:$J$198,"&gt;="&amp;DATE(YEAR_Y-2,1,1),'Fund History'!$J$194:$J$198,"&lt;="&amp;DATE(YEAR_Y-2,12,31)),""))))</f>
        <v/>
      </c>
      <c r="T43" s="136">
        <f>IF($C43="","",IF(PULL_FUND="N","",IF(COUNTIFS('Fund History'!$J$194:$J$198,"&gt;="&amp;DATE(YEAR_Y-1,1,1),'Fund History'!$J$194:$J$198,"&lt;="&amp;DATE(YEAR_Y-1,12,31))=0,"",IFERROR($J43*HSI!$G$38/SUMIFS('Fund History'!$K$194:$K$198,'Fund History'!$J$194:$J$198,"&gt;="&amp;DATE(YEAR_Y-1,1,1),'Fund History'!$J$194:$J$198,"&lt;="&amp;DATE(YEAR_Y-1,12,31)),""))))</f>
        <v/>
      </c>
      <c r="U43" s="137">
        <f>IF($C43="","",IF(ISNUMBER(HSI!$I$38),HSI!$I$38/100,""))</f>
        <v/>
      </c>
      <c r="V43" s="138">
        <f>IF($C43="","",IF(ISNUMBER(HSI!$X$38),IFERROR($M43*HSI!$G$38/HSI!$X$38,""),""))</f>
        <v/>
      </c>
      <c r="W43" s="137">
        <f>IF($C43="","",IF(ISNUMBER($N43),IFERROR($N43*HSI!$G$38/HSI!$X$38,""),""))</f>
        <v/>
      </c>
      <c r="X43" s="139">
        <f>IF($C43="","",IF(PULL_FUND="N","",IFERROR(BDP($C43,EPS_FIELD,YR_OVERRIDE,TEXT(YEAR_Y-5,"0")),"")))</f>
        <v/>
      </c>
      <c r="Y43" s="140">
        <f>IF($C43="","",IF(PULL_FUND="N","",IFERROR(BDP($C43,EPS_FIELD,YR_OVERRIDE,TEXT(YEAR_Y-4,"0")),"")))</f>
        <v/>
      </c>
      <c r="Z43" s="140">
        <f>IF($C43="","",IF(PULL_FUND="N","",IFERROR(BDP($C43,EPS_FIELD,YR_OVERRIDE,TEXT(YEAR_Y-3,"0")),"")))</f>
        <v/>
      </c>
      <c r="AA43" s="140">
        <f>IF($C43="","",IF(PULL_FUND="N","",IFERROR(BDP($C43,EPS_FIELD,YR_OVERRIDE,TEXT(YEAR_Y-2,"0")),"")))</f>
        <v/>
      </c>
      <c r="AB43" s="140">
        <f>IF($C43="","",IF(PULL_FUND="N","",IFERROR(BDP($C43,EPS_FIELD,YR_OVERRIDE,TEXT(YEAR_Y-1,"0")),"")))</f>
        <v/>
      </c>
      <c r="AC43" s="126">
        <f>IF($C43="","",IFERROR(AVERAGE(X43:AB43),""))</f>
        <v/>
      </c>
      <c r="AD43" s="140">
        <f>IF($C43="","",IF(PULL_FUND="N","",IFERROR(BDP($C43,BESTEPS_FIELD,FWD_OVERRIDE,TEXT(MOD(YEAR_Y,100),"00")&amp;"Y"),"")))</f>
        <v/>
      </c>
      <c r="AE43" s="141">
        <f>IF($C43="","",IF(PULL_FUND="N","",IFERROR(BDP($C43,PAYOUT_FIELD,YR_OVERRIDE,TEXT(YEAR_Y-5,"0"))/100,"")))</f>
        <v/>
      </c>
      <c r="AF43" s="142">
        <f>IF($C43="","",IF(PULL_FUND="N","",IFERROR(BDP($C43,PAYOUT_FIELD,YR_OVERRIDE,TEXT(YEAR_Y-4,"0"))/100,"")))</f>
        <v/>
      </c>
      <c r="AG43" s="142">
        <f>IF($C43="","",IF(PULL_FUND="N","",IFERROR(BDP($C43,PAYOUT_FIELD,YR_OVERRIDE,TEXT(YEAR_Y-3,"0"))/100,"")))</f>
        <v/>
      </c>
      <c r="AH43" s="142">
        <f>IF($C43="","",IF(PULL_FUND="N","",IFERROR(BDP($C43,PAYOUT_FIELD,YR_OVERRIDE,TEXT(YEAR_Y-2,"0"))/100,"")))</f>
        <v/>
      </c>
      <c r="AI43" s="142">
        <f>IF($C43="","",IF(PULL_FUND="N","",IFERROR(BDP($C43,PAYOUT_FIELD,YR_OVERRIDE,TEXT(YEAR_Y-1,"0"))/100,"")))</f>
        <v/>
      </c>
      <c r="AJ43" s="143">
        <f>IF($C43="","",IFERROR(AVERAGE(AE43:AI43),""))</f>
        <v/>
      </c>
      <c r="AK43" s="144">
        <f>IF($C43="","",IF(ISNUMBER($AD43)*ISNUMBER($N43)*($AD43&lt;&gt;0)=0,"",$N43/$AD43))</f>
        <v/>
      </c>
      <c r="AL43" s="143">
        <f>IF($C43="","",IF(ISNUMBER($AD43)*($AD43&lt;&gt;0)=0,"",$M43/$AD43))</f>
        <v/>
      </c>
      <c r="AM43" s="37">
        <f>IF($C43="","",IF(ISNUMBER($AE43)*ISNUMBER($AI43)=0,"",IF($AI43&gt;$AE43+0.05,"rising",IF($AI43&lt;$AE43-0.05,"falling","stable"))))</f>
        <v/>
      </c>
      <c r="AN43" s="145">
        <f>IF($C43="","",IF(PULL_FUND="N","",IF(COUNTIFS('Fund History'!$G$194:$G$198,"&gt;="&amp;DATE(YEAR_Y-4,1,1),'Fund History'!$G$194:$G$198,"&lt;="&amp;DATE(YEAR_Y-4,12,31))=0,"",SUMIFS('Fund History'!$H$194:$H$198,'Fund History'!$G$194:$G$198,"&gt;="&amp;DATE(YEAR_Y-4,1,1),'Fund History'!$G$194:$G$198,"&lt;="&amp;DATE(YEAR_Y-4,12,31))/100)))</f>
        <v/>
      </c>
      <c r="AO43" s="146">
        <f>IF($C43="","",IF(PULL_FUND="N","",IF(COUNTIFS('Fund History'!$G$194:$G$198,"&gt;="&amp;DATE(YEAR_Y-3,1,1),'Fund History'!$G$194:$G$198,"&lt;="&amp;DATE(YEAR_Y-3,12,31))=0,"",SUMIFS('Fund History'!$H$194:$H$198,'Fund History'!$G$194:$G$198,"&gt;="&amp;DATE(YEAR_Y-3,1,1),'Fund History'!$G$194:$G$198,"&lt;="&amp;DATE(YEAR_Y-3,12,31))/100)))</f>
        <v/>
      </c>
      <c r="AP43" s="146">
        <f>IF($C43="","",IF(PULL_FUND="N","",IF(COUNTIFS('Fund History'!$G$194:$G$198,"&gt;="&amp;DATE(YEAR_Y-2,1,1),'Fund History'!$G$194:$G$198,"&lt;="&amp;DATE(YEAR_Y-2,12,31))=0,"",SUMIFS('Fund History'!$H$194:$H$198,'Fund History'!$G$194:$G$198,"&gt;="&amp;DATE(YEAR_Y-2,1,1),'Fund History'!$G$194:$G$198,"&lt;="&amp;DATE(YEAR_Y-2,12,31))/100)))</f>
        <v/>
      </c>
      <c r="AQ43" s="146">
        <f>IF($C43="","",IF(PULL_FUND="N","",IF(COUNTIFS('Fund History'!$G$194:$G$198,"&gt;="&amp;DATE(YEAR_Y-1,1,1),'Fund History'!$G$194:$G$198,"&lt;="&amp;DATE(YEAR_Y-1,12,31))=0,"",SUMIFS('Fund History'!$H$194:$H$198,'Fund History'!$G$194:$G$198,"&gt;="&amp;DATE(YEAR_Y-1,1,1),'Fund History'!$G$194:$G$198,"&lt;="&amp;DATE(YEAR_Y-1,12,31))/100)))</f>
        <v/>
      </c>
      <c r="AR43" s="147">
        <f>IF($C43="","",IF(N($AQ43)+N(HSI!$I$38)=0,"",N($AQ43)+N(HSI!$I$38)/100))</f>
        <v/>
      </c>
      <c r="AS43" s="139">
        <f>IF($C43="","",IF(PULL_FUND="N","",IF(COUNTIFS('Fund History'!$D$194:$D$198,"&gt;="&amp;DATE(YEAR_Y-2,1,1),'Fund History'!$D$194:$D$198,"&lt;="&amp;DATE(YEAR_Y-2,12,31))=0,"",SUMIFS('Fund History'!$E$194:$E$198,'Fund History'!$D$194:$D$198,"&gt;="&amp;DATE(YEAR_Y-2,1,1),'Fund History'!$D$194:$D$198,"&lt;="&amp;DATE(YEAR_Y-2,12,31)))))</f>
        <v/>
      </c>
      <c r="AT43" s="140">
        <f>IF($C43="","",IF(PULL_FUND="N","",IF(COUNTIFS('Fund History'!$D$194:$D$198,"&gt;="&amp;DATE(YEAR_Y-1,1,1),'Fund History'!$D$194:$D$198,"&lt;="&amp;DATE(YEAR_Y-1,12,31))=0,"",SUMIFS('Fund History'!$E$194:$E$198,'Fund History'!$D$194:$D$198,"&gt;="&amp;DATE(YEAR_Y-1,1,1),'Fund History'!$D$194:$D$198,"&lt;="&amp;DATE(YEAR_Y-1,12,31)))))</f>
        <v/>
      </c>
      <c r="AU43" s="140">
        <f>IF($C43="","",IF(PULL_FUND="N","",IFERROR(BDP($C43,NDEBITDA_FIELD),"")))</f>
        <v/>
      </c>
      <c r="AV43" s="148">
        <f>IF($C43="","",IF(PULL_FUND="N","",IFERROR(BDP($C43,EBINT_FIELD),"")))</f>
        <v/>
      </c>
      <c r="AW43" s="146">
        <f>IF($C43="","",IF(PULL_FUND="N","",IFERROR(BDP($C43,FCF_FIELD)/100,"")))</f>
        <v/>
      </c>
      <c r="AX43" s="126">
        <f>IF($C43="","",IF(N($U43)=0,"",IFERROR($AW43/$U43,"")))</f>
        <v/>
      </c>
      <c r="AY43" s="85">
        <f>IF($C43="","",TRIM(IF(ISNUMBER($AJ43)*(N($AJ43)&gt;$D$4)&gt;0,"payout high  ","")&amp;IF(ISNUMBER($AX43)*(N($AX43)&lt;$F$4)&gt;0,"FCF below dvd  ","")&amp;IF(ISNUMBER($AU43)*(N($AU43)&gt;$H$4)&gt;0,"leverage high","")))</f>
        <v/>
      </c>
      <c r="AZ43" s="86">
        <f>IF($C43="","",IF(HSI!$F$38="HKD","",HSI!$F$38))</f>
        <v/>
      </c>
    </row>
    <row r="44">
      <c r="B44" s="66" t="inlineStr">
        <is>
          <t>HSI</t>
        </is>
      </c>
      <c r="C44" s="8">
        <f>IF(HSI!$C$39="","",HSI!$C$39)</f>
        <v/>
      </c>
      <c r="D44" s="8">
        <f>IF($C44="","",HSI!$D$39)</f>
        <v/>
      </c>
      <c r="E44" s="8">
        <f>IF($C44="","",HSI!$E$39)</f>
        <v/>
      </c>
      <c r="F44" s="131">
        <f>IF($C44="","",SUMPRODUCT(('Dvd Calendar'!$E$363:$AR$363&gt;=DATE(YEAR_Y-5,1,1))*('Dvd Calendar'!$E$363:$AR$363&lt;=DATE(YEAR_Y-5,12,31))*'Dvd Calendar'!$E$366:$AR$366*(('Dvd Calendar'!$E$368:$AR$368=TYPE1)*(TYPE1&lt;&gt;"")+('Dvd Calendar'!$E$368:$AR$368=TYPE2)*(TYPE2&lt;&gt;"")+('Dvd Calendar'!$E$368:$AR$368=TYPE3)*(TYPE3&lt;&gt;"")+('Dvd Calendar'!$E$368:$AR$368=TYPE4)*(TYPE4&lt;&gt;"")+('Dvd Calendar'!$E$368:$AR$368=SPECIAL_LBL)*(INC_SPECIALS="Y"))))</f>
        <v/>
      </c>
      <c r="G44" s="132">
        <f>IF($C44="","",SUMPRODUCT(('Dvd Calendar'!$E$363:$AR$363&gt;=DATE(YEAR_Y-4,1,1))*('Dvd Calendar'!$E$363:$AR$363&lt;=DATE(YEAR_Y-4,12,31))*'Dvd Calendar'!$E$366:$AR$366*(('Dvd Calendar'!$E$368:$AR$368=TYPE1)*(TYPE1&lt;&gt;"")+('Dvd Calendar'!$E$368:$AR$368=TYPE2)*(TYPE2&lt;&gt;"")+('Dvd Calendar'!$E$368:$AR$368=TYPE3)*(TYPE3&lt;&gt;"")+('Dvd Calendar'!$E$368:$AR$368=TYPE4)*(TYPE4&lt;&gt;"")+('Dvd Calendar'!$E$368:$AR$368=SPECIAL_LBL)*(INC_SPECIALS="Y"))))</f>
        <v/>
      </c>
      <c r="H44" s="132">
        <f>IF($C44="","",SUMPRODUCT(('Dvd Calendar'!$E$363:$AR$363&gt;=DATE(YEAR_Y-3,1,1))*('Dvd Calendar'!$E$363:$AR$363&lt;=DATE(YEAR_Y-3,12,31))*'Dvd Calendar'!$E$366:$AR$366*(('Dvd Calendar'!$E$368:$AR$368=TYPE1)*(TYPE1&lt;&gt;"")+('Dvd Calendar'!$E$368:$AR$368=TYPE2)*(TYPE2&lt;&gt;"")+('Dvd Calendar'!$E$368:$AR$368=TYPE3)*(TYPE3&lt;&gt;"")+('Dvd Calendar'!$E$368:$AR$368=TYPE4)*(TYPE4&lt;&gt;"")+('Dvd Calendar'!$E$368:$AR$368=SPECIAL_LBL)*(INC_SPECIALS="Y"))))</f>
        <v/>
      </c>
      <c r="I44" s="132">
        <f>IF($C44="","",SUMPRODUCT(('Dvd Calendar'!$E$363:$AR$363&gt;=DATE(YEAR_Y-2,1,1))*('Dvd Calendar'!$E$363:$AR$363&lt;=DATE(YEAR_Y-2,12,31))*'Dvd Calendar'!$E$366:$AR$366*(('Dvd Calendar'!$E$368:$AR$368=TYPE1)*(TYPE1&lt;&gt;"")+('Dvd Calendar'!$E$368:$AR$368=TYPE2)*(TYPE2&lt;&gt;"")+('Dvd Calendar'!$E$368:$AR$368=TYPE3)*(TYPE3&lt;&gt;"")+('Dvd Calendar'!$E$368:$AR$368=TYPE4)*(TYPE4&lt;&gt;"")+('Dvd Calendar'!$E$368:$AR$368=SPECIAL_LBL)*(INC_SPECIALS="Y"))))</f>
        <v/>
      </c>
      <c r="J44" s="132">
        <f>IF($C44="","",SUMPRODUCT(('Dvd Calendar'!$E$363:$AR$363&gt;=DATE(YEAR_Y-1,1,1))*('Dvd Calendar'!$E$363:$AR$363&lt;=DATE(YEAR_Y-1,12,31))*'Dvd Calendar'!$E$366:$AR$366*(('Dvd Calendar'!$E$368:$AR$368=TYPE1)*(TYPE1&lt;&gt;"")+('Dvd Calendar'!$E$368:$AR$368=TYPE2)*(TYPE2&lt;&gt;"")+('Dvd Calendar'!$E$368:$AR$368=TYPE3)*(TYPE3&lt;&gt;"")+('Dvd Calendar'!$E$368:$AR$368=TYPE4)*(TYPE4&lt;&gt;"")+('Dvd Calendar'!$E$368:$AR$368=SPECIAL_LBL)*(INC_SPECIALS="Y"))))</f>
        <v/>
      </c>
      <c r="K44" s="133">
        <f>IF($C44="","",HSI!$J$39)</f>
        <v/>
      </c>
      <c r="L44" s="133">
        <f>IF($C44="","",HSI!$K$39)</f>
        <v/>
      </c>
      <c r="M44" s="124">
        <f>IF($C44="","",HSI!$J$39+HSI!$L$39)</f>
        <v/>
      </c>
      <c r="N44" s="134">
        <f>IF($C44="","",IF(PULL_FUND="N","",IFERROR(BDP($C44,BESTDPS_FIELD,FWD_OVERRIDE,TEXT(MOD(YEAR_Y,100),"00")&amp;"Y"),"")))</f>
        <v/>
      </c>
      <c r="O44" s="133">
        <f>IF($C44="","",AVERAGE(F44:J44))</f>
        <v/>
      </c>
      <c r="P44" s="135">
        <f>IF($C44="","",IF(PULL_FUND="N","",IF(COUNTIFS('Fund History'!$J$200:$J$204,"&gt;="&amp;DATE(YEAR_Y-5,1,1),'Fund History'!$J$200:$J$204,"&lt;="&amp;DATE(YEAR_Y-5,12,31))=0,"",IFERROR($F44*HSI!$G$39/SUMIFS('Fund History'!$K$200:$K$204,'Fund History'!$J$200:$J$204,"&gt;="&amp;DATE(YEAR_Y-5,1,1),'Fund History'!$J$200:$J$204,"&lt;="&amp;DATE(YEAR_Y-5,12,31)),""))))</f>
        <v/>
      </c>
      <c r="Q44" s="136">
        <f>IF($C44="","",IF(PULL_FUND="N","",IF(COUNTIFS('Fund History'!$J$200:$J$204,"&gt;="&amp;DATE(YEAR_Y-4,1,1),'Fund History'!$J$200:$J$204,"&lt;="&amp;DATE(YEAR_Y-4,12,31))=0,"",IFERROR($G44*HSI!$G$39/SUMIFS('Fund History'!$K$200:$K$204,'Fund History'!$J$200:$J$204,"&gt;="&amp;DATE(YEAR_Y-4,1,1),'Fund History'!$J$200:$J$204,"&lt;="&amp;DATE(YEAR_Y-4,12,31)),""))))</f>
        <v/>
      </c>
      <c r="R44" s="136">
        <f>IF($C44="","",IF(PULL_FUND="N","",IF(COUNTIFS('Fund History'!$J$200:$J$204,"&gt;="&amp;DATE(YEAR_Y-3,1,1),'Fund History'!$J$200:$J$204,"&lt;="&amp;DATE(YEAR_Y-3,12,31))=0,"",IFERROR($H44*HSI!$G$39/SUMIFS('Fund History'!$K$200:$K$204,'Fund History'!$J$200:$J$204,"&gt;="&amp;DATE(YEAR_Y-3,1,1),'Fund History'!$J$200:$J$204,"&lt;="&amp;DATE(YEAR_Y-3,12,31)),""))))</f>
        <v/>
      </c>
      <c r="S44" s="136">
        <f>IF($C44="","",IF(PULL_FUND="N","",IF(COUNTIFS('Fund History'!$J$200:$J$204,"&gt;="&amp;DATE(YEAR_Y-2,1,1),'Fund History'!$J$200:$J$204,"&lt;="&amp;DATE(YEAR_Y-2,12,31))=0,"",IFERROR($I44*HSI!$G$39/SUMIFS('Fund History'!$K$200:$K$204,'Fund History'!$J$200:$J$204,"&gt;="&amp;DATE(YEAR_Y-2,1,1),'Fund History'!$J$200:$J$204,"&lt;="&amp;DATE(YEAR_Y-2,12,31)),""))))</f>
        <v/>
      </c>
      <c r="T44" s="136">
        <f>IF($C44="","",IF(PULL_FUND="N","",IF(COUNTIFS('Fund History'!$J$200:$J$204,"&gt;="&amp;DATE(YEAR_Y-1,1,1),'Fund History'!$J$200:$J$204,"&lt;="&amp;DATE(YEAR_Y-1,12,31))=0,"",IFERROR($J44*HSI!$G$39/SUMIFS('Fund History'!$K$200:$K$204,'Fund History'!$J$200:$J$204,"&gt;="&amp;DATE(YEAR_Y-1,1,1),'Fund History'!$J$200:$J$204,"&lt;="&amp;DATE(YEAR_Y-1,12,31)),""))))</f>
        <v/>
      </c>
      <c r="U44" s="137">
        <f>IF($C44="","",IF(ISNUMBER(HSI!$I$39),HSI!$I$39/100,""))</f>
        <v/>
      </c>
      <c r="V44" s="138">
        <f>IF($C44="","",IF(ISNUMBER(HSI!$X$39),IFERROR($M44*HSI!$G$39/HSI!$X$39,""),""))</f>
        <v/>
      </c>
      <c r="W44" s="137">
        <f>IF($C44="","",IF(ISNUMBER($N44),IFERROR($N44*HSI!$G$39/HSI!$X$39,""),""))</f>
        <v/>
      </c>
      <c r="X44" s="139">
        <f>IF($C44="","",IF(PULL_FUND="N","",IFERROR(BDP($C44,EPS_FIELD,YR_OVERRIDE,TEXT(YEAR_Y-5,"0")),"")))</f>
        <v/>
      </c>
      <c r="Y44" s="140">
        <f>IF($C44="","",IF(PULL_FUND="N","",IFERROR(BDP($C44,EPS_FIELD,YR_OVERRIDE,TEXT(YEAR_Y-4,"0")),"")))</f>
        <v/>
      </c>
      <c r="Z44" s="140">
        <f>IF($C44="","",IF(PULL_FUND="N","",IFERROR(BDP($C44,EPS_FIELD,YR_OVERRIDE,TEXT(YEAR_Y-3,"0")),"")))</f>
        <v/>
      </c>
      <c r="AA44" s="140">
        <f>IF($C44="","",IF(PULL_FUND="N","",IFERROR(BDP($C44,EPS_FIELD,YR_OVERRIDE,TEXT(YEAR_Y-2,"0")),"")))</f>
        <v/>
      </c>
      <c r="AB44" s="140">
        <f>IF($C44="","",IF(PULL_FUND="N","",IFERROR(BDP($C44,EPS_FIELD,YR_OVERRIDE,TEXT(YEAR_Y-1,"0")),"")))</f>
        <v/>
      </c>
      <c r="AC44" s="126">
        <f>IF($C44="","",IFERROR(AVERAGE(X44:AB44),""))</f>
        <v/>
      </c>
      <c r="AD44" s="140">
        <f>IF($C44="","",IF(PULL_FUND="N","",IFERROR(BDP($C44,BESTEPS_FIELD,FWD_OVERRIDE,TEXT(MOD(YEAR_Y,100),"00")&amp;"Y"),"")))</f>
        <v/>
      </c>
      <c r="AE44" s="141">
        <f>IF($C44="","",IF(PULL_FUND="N","",IFERROR(BDP($C44,PAYOUT_FIELD,YR_OVERRIDE,TEXT(YEAR_Y-5,"0"))/100,"")))</f>
        <v/>
      </c>
      <c r="AF44" s="142">
        <f>IF($C44="","",IF(PULL_FUND="N","",IFERROR(BDP($C44,PAYOUT_FIELD,YR_OVERRIDE,TEXT(YEAR_Y-4,"0"))/100,"")))</f>
        <v/>
      </c>
      <c r="AG44" s="142">
        <f>IF($C44="","",IF(PULL_FUND="N","",IFERROR(BDP($C44,PAYOUT_FIELD,YR_OVERRIDE,TEXT(YEAR_Y-3,"0"))/100,"")))</f>
        <v/>
      </c>
      <c r="AH44" s="142">
        <f>IF($C44="","",IF(PULL_FUND="N","",IFERROR(BDP($C44,PAYOUT_FIELD,YR_OVERRIDE,TEXT(YEAR_Y-2,"0"))/100,"")))</f>
        <v/>
      </c>
      <c r="AI44" s="142">
        <f>IF($C44="","",IF(PULL_FUND="N","",IFERROR(BDP($C44,PAYOUT_FIELD,YR_OVERRIDE,TEXT(YEAR_Y-1,"0"))/100,"")))</f>
        <v/>
      </c>
      <c r="AJ44" s="143">
        <f>IF($C44="","",IFERROR(AVERAGE(AE44:AI44),""))</f>
        <v/>
      </c>
      <c r="AK44" s="144">
        <f>IF($C44="","",IF(ISNUMBER($AD44)*ISNUMBER($N44)*($AD44&lt;&gt;0)=0,"",$N44/$AD44))</f>
        <v/>
      </c>
      <c r="AL44" s="143">
        <f>IF($C44="","",IF(ISNUMBER($AD44)*($AD44&lt;&gt;0)=0,"",$M44/$AD44))</f>
        <v/>
      </c>
      <c r="AM44" s="37">
        <f>IF($C44="","",IF(ISNUMBER($AE44)*ISNUMBER($AI44)=0,"",IF($AI44&gt;$AE44+0.05,"rising",IF($AI44&lt;$AE44-0.05,"falling","stable"))))</f>
        <v/>
      </c>
      <c r="AN44" s="145">
        <f>IF($C44="","",IF(PULL_FUND="N","",IF(COUNTIFS('Fund History'!$G$200:$G$204,"&gt;="&amp;DATE(YEAR_Y-4,1,1),'Fund History'!$G$200:$G$204,"&lt;="&amp;DATE(YEAR_Y-4,12,31))=0,"",SUMIFS('Fund History'!$H$200:$H$204,'Fund History'!$G$200:$G$204,"&gt;="&amp;DATE(YEAR_Y-4,1,1),'Fund History'!$G$200:$G$204,"&lt;="&amp;DATE(YEAR_Y-4,12,31))/100)))</f>
        <v/>
      </c>
      <c r="AO44" s="146">
        <f>IF($C44="","",IF(PULL_FUND="N","",IF(COUNTIFS('Fund History'!$G$200:$G$204,"&gt;="&amp;DATE(YEAR_Y-3,1,1),'Fund History'!$G$200:$G$204,"&lt;="&amp;DATE(YEAR_Y-3,12,31))=0,"",SUMIFS('Fund History'!$H$200:$H$204,'Fund History'!$G$200:$G$204,"&gt;="&amp;DATE(YEAR_Y-3,1,1),'Fund History'!$G$200:$G$204,"&lt;="&amp;DATE(YEAR_Y-3,12,31))/100)))</f>
        <v/>
      </c>
      <c r="AP44" s="146">
        <f>IF($C44="","",IF(PULL_FUND="N","",IF(COUNTIFS('Fund History'!$G$200:$G$204,"&gt;="&amp;DATE(YEAR_Y-2,1,1),'Fund History'!$G$200:$G$204,"&lt;="&amp;DATE(YEAR_Y-2,12,31))=0,"",SUMIFS('Fund History'!$H$200:$H$204,'Fund History'!$G$200:$G$204,"&gt;="&amp;DATE(YEAR_Y-2,1,1),'Fund History'!$G$200:$G$204,"&lt;="&amp;DATE(YEAR_Y-2,12,31))/100)))</f>
        <v/>
      </c>
      <c r="AQ44" s="146">
        <f>IF($C44="","",IF(PULL_FUND="N","",IF(COUNTIFS('Fund History'!$G$200:$G$204,"&gt;="&amp;DATE(YEAR_Y-1,1,1),'Fund History'!$G$200:$G$204,"&lt;="&amp;DATE(YEAR_Y-1,12,31))=0,"",SUMIFS('Fund History'!$H$200:$H$204,'Fund History'!$G$200:$G$204,"&gt;="&amp;DATE(YEAR_Y-1,1,1),'Fund History'!$G$200:$G$204,"&lt;="&amp;DATE(YEAR_Y-1,12,31))/100)))</f>
        <v/>
      </c>
      <c r="AR44" s="147">
        <f>IF($C44="","",IF(N($AQ44)+N(HSI!$I$39)=0,"",N($AQ44)+N(HSI!$I$39)/100))</f>
        <v/>
      </c>
      <c r="AS44" s="139">
        <f>IF($C44="","",IF(PULL_FUND="N","",IF(COUNTIFS('Fund History'!$D$200:$D$204,"&gt;="&amp;DATE(YEAR_Y-2,1,1),'Fund History'!$D$200:$D$204,"&lt;="&amp;DATE(YEAR_Y-2,12,31))=0,"",SUMIFS('Fund History'!$E$200:$E$204,'Fund History'!$D$200:$D$204,"&gt;="&amp;DATE(YEAR_Y-2,1,1),'Fund History'!$D$200:$D$204,"&lt;="&amp;DATE(YEAR_Y-2,12,31)))))</f>
        <v/>
      </c>
      <c r="AT44" s="140">
        <f>IF($C44="","",IF(PULL_FUND="N","",IF(COUNTIFS('Fund History'!$D$200:$D$204,"&gt;="&amp;DATE(YEAR_Y-1,1,1),'Fund History'!$D$200:$D$204,"&lt;="&amp;DATE(YEAR_Y-1,12,31))=0,"",SUMIFS('Fund History'!$E$200:$E$204,'Fund History'!$D$200:$D$204,"&gt;="&amp;DATE(YEAR_Y-1,1,1),'Fund History'!$D$200:$D$204,"&lt;="&amp;DATE(YEAR_Y-1,12,31)))))</f>
        <v/>
      </c>
      <c r="AU44" s="140">
        <f>IF($C44="","",IF(PULL_FUND="N","",IFERROR(BDP($C44,NDEBITDA_FIELD),"")))</f>
        <v/>
      </c>
      <c r="AV44" s="148">
        <f>IF($C44="","",IF(PULL_FUND="N","",IFERROR(BDP($C44,EBINT_FIELD),"")))</f>
        <v/>
      </c>
      <c r="AW44" s="146">
        <f>IF($C44="","",IF(PULL_FUND="N","",IFERROR(BDP($C44,FCF_FIELD)/100,"")))</f>
        <v/>
      </c>
      <c r="AX44" s="126">
        <f>IF($C44="","",IF(N($U44)=0,"",IFERROR($AW44/$U44,"")))</f>
        <v/>
      </c>
      <c r="AY44" s="85">
        <f>IF($C44="","",TRIM(IF(ISNUMBER($AJ44)*(N($AJ44)&gt;$D$4)&gt;0,"payout high  ","")&amp;IF(ISNUMBER($AX44)*(N($AX44)&lt;$F$4)&gt;0,"FCF below dvd  ","")&amp;IF(ISNUMBER($AU44)*(N($AU44)&gt;$H$4)&gt;0,"leverage high","")))</f>
        <v/>
      </c>
      <c r="AZ44" s="86">
        <f>IF($C44="","",IF(HSI!$F$39="HKD","",HSI!$F$39))</f>
        <v/>
      </c>
    </row>
    <row r="45">
      <c r="B45" s="66" t="inlineStr">
        <is>
          <t>HSI</t>
        </is>
      </c>
      <c r="C45" s="8">
        <f>IF(HSI!$C$40="","",HSI!$C$40)</f>
        <v/>
      </c>
      <c r="D45" s="8">
        <f>IF($C45="","",HSI!$D$40)</f>
        <v/>
      </c>
      <c r="E45" s="8">
        <f>IF($C45="","",HSI!$E$40)</f>
        <v/>
      </c>
      <c r="F45" s="131">
        <f>IF($C45="","",SUMPRODUCT(('Dvd Calendar'!$E$374:$AR$374&gt;=DATE(YEAR_Y-5,1,1))*('Dvd Calendar'!$E$374:$AR$374&lt;=DATE(YEAR_Y-5,12,31))*'Dvd Calendar'!$E$377:$AR$377*(('Dvd Calendar'!$E$379:$AR$379=TYPE1)*(TYPE1&lt;&gt;"")+('Dvd Calendar'!$E$379:$AR$379=TYPE2)*(TYPE2&lt;&gt;"")+('Dvd Calendar'!$E$379:$AR$379=TYPE3)*(TYPE3&lt;&gt;"")+('Dvd Calendar'!$E$379:$AR$379=TYPE4)*(TYPE4&lt;&gt;"")+('Dvd Calendar'!$E$379:$AR$379=SPECIAL_LBL)*(INC_SPECIALS="Y"))))</f>
        <v/>
      </c>
      <c r="G45" s="132">
        <f>IF($C45="","",SUMPRODUCT(('Dvd Calendar'!$E$374:$AR$374&gt;=DATE(YEAR_Y-4,1,1))*('Dvd Calendar'!$E$374:$AR$374&lt;=DATE(YEAR_Y-4,12,31))*'Dvd Calendar'!$E$377:$AR$377*(('Dvd Calendar'!$E$379:$AR$379=TYPE1)*(TYPE1&lt;&gt;"")+('Dvd Calendar'!$E$379:$AR$379=TYPE2)*(TYPE2&lt;&gt;"")+('Dvd Calendar'!$E$379:$AR$379=TYPE3)*(TYPE3&lt;&gt;"")+('Dvd Calendar'!$E$379:$AR$379=TYPE4)*(TYPE4&lt;&gt;"")+('Dvd Calendar'!$E$379:$AR$379=SPECIAL_LBL)*(INC_SPECIALS="Y"))))</f>
        <v/>
      </c>
      <c r="H45" s="132">
        <f>IF($C45="","",SUMPRODUCT(('Dvd Calendar'!$E$374:$AR$374&gt;=DATE(YEAR_Y-3,1,1))*('Dvd Calendar'!$E$374:$AR$374&lt;=DATE(YEAR_Y-3,12,31))*'Dvd Calendar'!$E$377:$AR$377*(('Dvd Calendar'!$E$379:$AR$379=TYPE1)*(TYPE1&lt;&gt;"")+('Dvd Calendar'!$E$379:$AR$379=TYPE2)*(TYPE2&lt;&gt;"")+('Dvd Calendar'!$E$379:$AR$379=TYPE3)*(TYPE3&lt;&gt;"")+('Dvd Calendar'!$E$379:$AR$379=TYPE4)*(TYPE4&lt;&gt;"")+('Dvd Calendar'!$E$379:$AR$379=SPECIAL_LBL)*(INC_SPECIALS="Y"))))</f>
        <v/>
      </c>
      <c r="I45" s="132">
        <f>IF($C45="","",SUMPRODUCT(('Dvd Calendar'!$E$374:$AR$374&gt;=DATE(YEAR_Y-2,1,1))*('Dvd Calendar'!$E$374:$AR$374&lt;=DATE(YEAR_Y-2,12,31))*'Dvd Calendar'!$E$377:$AR$377*(('Dvd Calendar'!$E$379:$AR$379=TYPE1)*(TYPE1&lt;&gt;"")+('Dvd Calendar'!$E$379:$AR$379=TYPE2)*(TYPE2&lt;&gt;"")+('Dvd Calendar'!$E$379:$AR$379=TYPE3)*(TYPE3&lt;&gt;"")+('Dvd Calendar'!$E$379:$AR$379=TYPE4)*(TYPE4&lt;&gt;"")+('Dvd Calendar'!$E$379:$AR$379=SPECIAL_LBL)*(INC_SPECIALS="Y"))))</f>
        <v/>
      </c>
      <c r="J45" s="132">
        <f>IF($C45="","",SUMPRODUCT(('Dvd Calendar'!$E$374:$AR$374&gt;=DATE(YEAR_Y-1,1,1))*('Dvd Calendar'!$E$374:$AR$374&lt;=DATE(YEAR_Y-1,12,31))*'Dvd Calendar'!$E$377:$AR$377*(('Dvd Calendar'!$E$379:$AR$379=TYPE1)*(TYPE1&lt;&gt;"")+('Dvd Calendar'!$E$379:$AR$379=TYPE2)*(TYPE2&lt;&gt;"")+('Dvd Calendar'!$E$379:$AR$379=TYPE3)*(TYPE3&lt;&gt;"")+('Dvd Calendar'!$E$379:$AR$379=TYPE4)*(TYPE4&lt;&gt;"")+('Dvd Calendar'!$E$379:$AR$379=SPECIAL_LBL)*(INC_SPECIALS="Y"))))</f>
        <v/>
      </c>
      <c r="K45" s="133">
        <f>IF($C45="","",HSI!$J$40)</f>
        <v/>
      </c>
      <c r="L45" s="133">
        <f>IF($C45="","",HSI!$K$40)</f>
        <v/>
      </c>
      <c r="M45" s="124">
        <f>IF($C45="","",HSI!$J$40+HSI!$L$40)</f>
        <v/>
      </c>
      <c r="N45" s="134">
        <f>IF($C45="","",IF(PULL_FUND="N","",IFERROR(BDP($C45,BESTDPS_FIELD,FWD_OVERRIDE,TEXT(MOD(YEAR_Y,100),"00")&amp;"Y"),"")))</f>
        <v/>
      </c>
      <c r="O45" s="133">
        <f>IF($C45="","",AVERAGE(F45:J45))</f>
        <v/>
      </c>
      <c r="P45" s="135">
        <f>IF($C45="","",IF(PULL_FUND="N","",IF(COUNTIFS('Fund History'!$J$206:$J$210,"&gt;="&amp;DATE(YEAR_Y-5,1,1),'Fund History'!$J$206:$J$210,"&lt;="&amp;DATE(YEAR_Y-5,12,31))=0,"",IFERROR($F45*HSI!$G$40/SUMIFS('Fund History'!$K$206:$K$210,'Fund History'!$J$206:$J$210,"&gt;="&amp;DATE(YEAR_Y-5,1,1),'Fund History'!$J$206:$J$210,"&lt;="&amp;DATE(YEAR_Y-5,12,31)),""))))</f>
        <v/>
      </c>
      <c r="Q45" s="136">
        <f>IF($C45="","",IF(PULL_FUND="N","",IF(COUNTIFS('Fund History'!$J$206:$J$210,"&gt;="&amp;DATE(YEAR_Y-4,1,1),'Fund History'!$J$206:$J$210,"&lt;="&amp;DATE(YEAR_Y-4,12,31))=0,"",IFERROR($G45*HSI!$G$40/SUMIFS('Fund History'!$K$206:$K$210,'Fund History'!$J$206:$J$210,"&gt;="&amp;DATE(YEAR_Y-4,1,1),'Fund History'!$J$206:$J$210,"&lt;="&amp;DATE(YEAR_Y-4,12,31)),""))))</f>
        <v/>
      </c>
      <c r="R45" s="136">
        <f>IF($C45="","",IF(PULL_FUND="N","",IF(COUNTIFS('Fund History'!$J$206:$J$210,"&gt;="&amp;DATE(YEAR_Y-3,1,1),'Fund History'!$J$206:$J$210,"&lt;="&amp;DATE(YEAR_Y-3,12,31))=0,"",IFERROR($H45*HSI!$G$40/SUMIFS('Fund History'!$K$206:$K$210,'Fund History'!$J$206:$J$210,"&gt;="&amp;DATE(YEAR_Y-3,1,1),'Fund History'!$J$206:$J$210,"&lt;="&amp;DATE(YEAR_Y-3,12,31)),""))))</f>
        <v/>
      </c>
      <c r="S45" s="136">
        <f>IF($C45="","",IF(PULL_FUND="N","",IF(COUNTIFS('Fund History'!$J$206:$J$210,"&gt;="&amp;DATE(YEAR_Y-2,1,1),'Fund History'!$J$206:$J$210,"&lt;="&amp;DATE(YEAR_Y-2,12,31))=0,"",IFERROR($I45*HSI!$G$40/SUMIFS('Fund History'!$K$206:$K$210,'Fund History'!$J$206:$J$210,"&gt;="&amp;DATE(YEAR_Y-2,1,1),'Fund History'!$J$206:$J$210,"&lt;="&amp;DATE(YEAR_Y-2,12,31)),""))))</f>
        <v/>
      </c>
      <c r="T45" s="136">
        <f>IF($C45="","",IF(PULL_FUND="N","",IF(COUNTIFS('Fund History'!$J$206:$J$210,"&gt;="&amp;DATE(YEAR_Y-1,1,1),'Fund History'!$J$206:$J$210,"&lt;="&amp;DATE(YEAR_Y-1,12,31))=0,"",IFERROR($J45*HSI!$G$40/SUMIFS('Fund History'!$K$206:$K$210,'Fund History'!$J$206:$J$210,"&gt;="&amp;DATE(YEAR_Y-1,1,1),'Fund History'!$J$206:$J$210,"&lt;="&amp;DATE(YEAR_Y-1,12,31)),""))))</f>
        <v/>
      </c>
      <c r="U45" s="137">
        <f>IF($C45="","",IF(ISNUMBER(HSI!$I$40),HSI!$I$40/100,""))</f>
        <v/>
      </c>
      <c r="V45" s="138">
        <f>IF($C45="","",IF(ISNUMBER(HSI!$X$40),IFERROR($M45*HSI!$G$40/HSI!$X$40,""),""))</f>
        <v/>
      </c>
      <c r="W45" s="137">
        <f>IF($C45="","",IF(ISNUMBER($N45),IFERROR($N45*HSI!$G$40/HSI!$X$40,""),""))</f>
        <v/>
      </c>
      <c r="X45" s="139">
        <f>IF($C45="","",IF(PULL_FUND="N","",IFERROR(BDP($C45,EPS_FIELD,YR_OVERRIDE,TEXT(YEAR_Y-5,"0")),"")))</f>
        <v/>
      </c>
      <c r="Y45" s="140">
        <f>IF($C45="","",IF(PULL_FUND="N","",IFERROR(BDP($C45,EPS_FIELD,YR_OVERRIDE,TEXT(YEAR_Y-4,"0")),"")))</f>
        <v/>
      </c>
      <c r="Z45" s="140">
        <f>IF($C45="","",IF(PULL_FUND="N","",IFERROR(BDP($C45,EPS_FIELD,YR_OVERRIDE,TEXT(YEAR_Y-3,"0")),"")))</f>
        <v/>
      </c>
      <c r="AA45" s="140">
        <f>IF($C45="","",IF(PULL_FUND="N","",IFERROR(BDP($C45,EPS_FIELD,YR_OVERRIDE,TEXT(YEAR_Y-2,"0")),"")))</f>
        <v/>
      </c>
      <c r="AB45" s="140">
        <f>IF($C45="","",IF(PULL_FUND="N","",IFERROR(BDP($C45,EPS_FIELD,YR_OVERRIDE,TEXT(YEAR_Y-1,"0")),"")))</f>
        <v/>
      </c>
      <c r="AC45" s="126">
        <f>IF($C45="","",IFERROR(AVERAGE(X45:AB45),""))</f>
        <v/>
      </c>
      <c r="AD45" s="140">
        <f>IF($C45="","",IF(PULL_FUND="N","",IFERROR(BDP($C45,BESTEPS_FIELD,FWD_OVERRIDE,TEXT(MOD(YEAR_Y,100),"00")&amp;"Y"),"")))</f>
        <v/>
      </c>
      <c r="AE45" s="141">
        <f>IF($C45="","",IF(PULL_FUND="N","",IFERROR(BDP($C45,PAYOUT_FIELD,YR_OVERRIDE,TEXT(YEAR_Y-5,"0"))/100,"")))</f>
        <v/>
      </c>
      <c r="AF45" s="142">
        <f>IF($C45="","",IF(PULL_FUND="N","",IFERROR(BDP($C45,PAYOUT_FIELD,YR_OVERRIDE,TEXT(YEAR_Y-4,"0"))/100,"")))</f>
        <v/>
      </c>
      <c r="AG45" s="142">
        <f>IF($C45="","",IF(PULL_FUND="N","",IFERROR(BDP($C45,PAYOUT_FIELD,YR_OVERRIDE,TEXT(YEAR_Y-3,"0"))/100,"")))</f>
        <v/>
      </c>
      <c r="AH45" s="142">
        <f>IF($C45="","",IF(PULL_FUND="N","",IFERROR(BDP($C45,PAYOUT_FIELD,YR_OVERRIDE,TEXT(YEAR_Y-2,"0"))/100,"")))</f>
        <v/>
      </c>
      <c r="AI45" s="142">
        <f>IF($C45="","",IF(PULL_FUND="N","",IFERROR(BDP($C45,PAYOUT_FIELD,YR_OVERRIDE,TEXT(YEAR_Y-1,"0"))/100,"")))</f>
        <v/>
      </c>
      <c r="AJ45" s="143">
        <f>IF($C45="","",IFERROR(AVERAGE(AE45:AI45),""))</f>
        <v/>
      </c>
      <c r="AK45" s="144">
        <f>IF($C45="","",IF(ISNUMBER($AD45)*ISNUMBER($N45)*($AD45&lt;&gt;0)=0,"",$N45/$AD45))</f>
        <v/>
      </c>
      <c r="AL45" s="143">
        <f>IF($C45="","",IF(ISNUMBER($AD45)*($AD45&lt;&gt;0)=0,"",$M45/$AD45))</f>
        <v/>
      </c>
      <c r="AM45" s="37">
        <f>IF($C45="","",IF(ISNUMBER($AE45)*ISNUMBER($AI45)=0,"",IF($AI45&gt;$AE45+0.05,"rising",IF($AI45&lt;$AE45-0.05,"falling","stable"))))</f>
        <v/>
      </c>
      <c r="AN45" s="145">
        <f>IF($C45="","",IF(PULL_FUND="N","",IF(COUNTIFS('Fund History'!$G$206:$G$210,"&gt;="&amp;DATE(YEAR_Y-4,1,1),'Fund History'!$G$206:$G$210,"&lt;="&amp;DATE(YEAR_Y-4,12,31))=0,"",SUMIFS('Fund History'!$H$206:$H$210,'Fund History'!$G$206:$G$210,"&gt;="&amp;DATE(YEAR_Y-4,1,1),'Fund History'!$G$206:$G$210,"&lt;="&amp;DATE(YEAR_Y-4,12,31))/100)))</f>
        <v/>
      </c>
      <c r="AO45" s="146">
        <f>IF($C45="","",IF(PULL_FUND="N","",IF(COUNTIFS('Fund History'!$G$206:$G$210,"&gt;="&amp;DATE(YEAR_Y-3,1,1),'Fund History'!$G$206:$G$210,"&lt;="&amp;DATE(YEAR_Y-3,12,31))=0,"",SUMIFS('Fund History'!$H$206:$H$210,'Fund History'!$G$206:$G$210,"&gt;="&amp;DATE(YEAR_Y-3,1,1),'Fund History'!$G$206:$G$210,"&lt;="&amp;DATE(YEAR_Y-3,12,31))/100)))</f>
        <v/>
      </c>
      <c r="AP45" s="146">
        <f>IF($C45="","",IF(PULL_FUND="N","",IF(COUNTIFS('Fund History'!$G$206:$G$210,"&gt;="&amp;DATE(YEAR_Y-2,1,1),'Fund History'!$G$206:$G$210,"&lt;="&amp;DATE(YEAR_Y-2,12,31))=0,"",SUMIFS('Fund History'!$H$206:$H$210,'Fund History'!$G$206:$G$210,"&gt;="&amp;DATE(YEAR_Y-2,1,1),'Fund History'!$G$206:$G$210,"&lt;="&amp;DATE(YEAR_Y-2,12,31))/100)))</f>
        <v/>
      </c>
      <c r="AQ45" s="146">
        <f>IF($C45="","",IF(PULL_FUND="N","",IF(COUNTIFS('Fund History'!$G$206:$G$210,"&gt;="&amp;DATE(YEAR_Y-1,1,1),'Fund History'!$G$206:$G$210,"&lt;="&amp;DATE(YEAR_Y-1,12,31))=0,"",SUMIFS('Fund History'!$H$206:$H$210,'Fund History'!$G$206:$G$210,"&gt;="&amp;DATE(YEAR_Y-1,1,1),'Fund History'!$G$206:$G$210,"&lt;="&amp;DATE(YEAR_Y-1,12,31))/100)))</f>
        <v/>
      </c>
      <c r="AR45" s="147">
        <f>IF($C45="","",IF(N($AQ45)+N(HSI!$I$40)=0,"",N($AQ45)+N(HSI!$I$40)/100))</f>
        <v/>
      </c>
      <c r="AS45" s="139">
        <f>IF($C45="","",IF(PULL_FUND="N","",IF(COUNTIFS('Fund History'!$D$206:$D$210,"&gt;="&amp;DATE(YEAR_Y-2,1,1),'Fund History'!$D$206:$D$210,"&lt;="&amp;DATE(YEAR_Y-2,12,31))=0,"",SUMIFS('Fund History'!$E$206:$E$210,'Fund History'!$D$206:$D$210,"&gt;="&amp;DATE(YEAR_Y-2,1,1),'Fund History'!$D$206:$D$210,"&lt;="&amp;DATE(YEAR_Y-2,12,31)))))</f>
        <v/>
      </c>
      <c r="AT45" s="140">
        <f>IF($C45="","",IF(PULL_FUND="N","",IF(COUNTIFS('Fund History'!$D$206:$D$210,"&gt;="&amp;DATE(YEAR_Y-1,1,1),'Fund History'!$D$206:$D$210,"&lt;="&amp;DATE(YEAR_Y-1,12,31))=0,"",SUMIFS('Fund History'!$E$206:$E$210,'Fund History'!$D$206:$D$210,"&gt;="&amp;DATE(YEAR_Y-1,1,1),'Fund History'!$D$206:$D$210,"&lt;="&amp;DATE(YEAR_Y-1,12,31)))))</f>
        <v/>
      </c>
      <c r="AU45" s="140">
        <f>IF($C45="","",IF(PULL_FUND="N","",IFERROR(BDP($C45,NDEBITDA_FIELD),"")))</f>
        <v/>
      </c>
      <c r="AV45" s="148">
        <f>IF($C45="","",IF(PULL_FUND="N","",IFERROR(BDP($C45,EBINT_FIELD),"")))</f>
        <v/>
      </c>
      <c r="AW45" s="146">
        <f>IF($C45="","",IF(PULL_FUND="N","",IFERROR(BDP($C45,FCF_FIELD)/100,"")))</f>
        <v/>
      </c>
      <c r="AX45" s="126">
        <f>IF($C45="","",IF(N($U45)=0,"",IFERROR($AW45/$U45,"")))</f>
        <v/>
      </c>
      <c r="AY45" s="85">
        <f>IF($C45="","",TRIM(IF(ISNUMBER($AJ45)*(N($AJ45)&gt;$D$4)&gt;0,"payout high  ","")&amp;IF(ISNUMBER($AX45)*(N($AX45)&lt;$F$4)&gt;0,"FCF below dvd  ","")&amp;IF(ISNUMBER($AU45)*(N($AU45)&gt;$H$4)&gt;0,"leverage high","")))</f>
        <v/>
      </c>
      <c r="AZ45" s="86">
        <f>IF($C45="","",IF(HSI!$F$40="HKD","",HSI!$F$40))</f>
        <v/>
      </c>
    </row>
    <row r="46">
      <c r="B46" s="66" t="inlineStr">
        <is>
          <t>HSI</t>
        </is>
      </c>
      <c r="C46" s="8">
        <f>IF(HSI!$C$41="","",HSI!$C$41)</f>
        <v/>
      </c>
      <c r="D46" s="8">
        <f>IF($C46="","",HSI!$D$41)</f>
        <v/>
      </c>
      <c r="E46" s="8">
        <f>IF($C46="","",HSI!$E$41)</f>
        <v/>
      </c>
      <c r="F46" s="131">
        <f>IF($C46="","",SUMPRODUCT(('Dvd Calendar'!$E$385:$AR$385&gt;=DATE(YEAR_Y-5,1,1))*('Dvd Calendar'!$E$385:$AR$385&lt;=DATE(YEAR_Y-5,12,31))*'Dvd Calendar'!$E$388:$AR$388*(('Dvd Calendar'!$E$390:$AR$390=TYPE1)*(TYPE1&lt;&gt;"")+('Dvd Calendar'!$E$390:$AR$390=TYPE2)*(TYPE2&lt;&gt;"")+('Dvd Calendar'!$E$390:$AR$390=TYPE3)*(TYPE3&lt;&gt;"")+('Dvd Calendar'!$E$390:$AR$390=TYPE4)*(TYPE4&lt;&gt;"")+('Dvd Calendar'!$E$390:$AR$390=SPECIAL_LBL)*(INC_SPECIALS="Y"))))</f>
        <v/>
      </c>
      <c r="G46" s="132">
        <f>IF($C46="","",SUMPRODUCT(('Dvd Calendar'!$E$385:$AR$385&gt;=DATE(YEAR_Y-4,1,1))*('Dvd Calendar'!$E$385:$AR$385&lt;=DATE(YEAR_Y-4,12,31))*'Dvd Calendar'!$E$388:$AR$388*(('Dvd Calendar'!$E$390:$AR$390=TYPE1)*(TYPE1&lt;&gt;"")+('Dvd Calendar'!$E$390:$AR$390=TYPE2)*(TYPE2&lt;&gt;"")+('Dvd Calendar'!$E$390:$AR$390=TYPE3)*(TYPE3&lt;&gt;"")+('Dvd Calendar'!$E$390:$AR$390=TYPE4)*(TYPE4&lt;&gt;"")+('Dvd Calendar'!$E$390:$AR$390=SPECIAL_LBL)*(INC_SPECIALS="Y"))))</f>
        <v/>
      </c>
      <c r="H46" s="132">
        <f>IF($C46="","",SUMPRODUCT(('Dvd Calendar'!$E$385:$AR$385&gt;=DATE(YEAR_Y-3,1,1))*('Dvd Calendar'!$E$385:$AR$385&lt;=DATE(YEAR_Y-3,12,31))*'Dvd Calendar'!$E$388:$AR$388*(('Dvd Calendar'!$E$390:$AR$390=TYPE1)*(TYPE1&lt;&gt;"")+('Dvd Calendar'!$E$390:$AR$390=TYPE2)*(TYPE2&lt;&gt;"")+('Dvd Calendar'!$E$390:$AR$390=TYPE3)*(TYPE3&lt;&gt;"")+('Dvd Calendar'!$E$390:$AR$390=TYPE4)*(TYPE4&lt;&gt;"")+('Dvd Calendar'!$E$390:$AR$390=SPECIAL_LBL)*(INC_SPECIALS="Y"))))</f>
        <v/>
      </c>
      <c r="I46" s="132">
        <f>IF($C46="","",SUMPRODUCT(('Dvd Calendar'!$E$385:$AR$385&gt;=DATE(YEAR_Y-2,1,1))*('Dvd Calendar'!$E$385:$AR$385&lt;=DATE(YEAR_Y-2,12,31))*'Dvd Calendar'!$E$388:$AR$388*(('Dvd Calendar'!$E$390:$AR$390=TYPE1)*(TYPE1&lt;&gt;"")+('Dvd Calendar'!$E$390:$AR$390=TYPE2)*(TYPE2&lt;&gt;"")+('Dvd Calendar'!$E$390:$AR$390=TYPE3)*(TYPE3&lt;&gt;"")+('Dvd Calendar'!$E$390:$AR$390=TYPE4)*(TYPE4&lt;&gt;"")+('Dvd Calendar'!$E$390:$AR$390=SPECIAL_LBL)*(INC_SPECIALS="Y"))))</f>
        <v/>
      </c>
      <c r="J46" s="132">
        <f>IF($C46="","",SUMPRODUCT(('Dvd Calendar'!$E$385:$AR$385&gt;=DATE(YEAR_Y-1,1,1))*('Dvd Calendar'!$E$385:$AR$385&lt;=DATE(YEAR_Y-1,12,31))*'Dvd Calendar'!$E$388:$AR$388*(('Dvd Calendar'!$E$390:$AR$390=TYPE1)*(TYPE1&lt;&gt;"")+('Dvd Calendar'!$E$390:$AR$390=TYPE2)*(TYPE2&lt;&gt;"")+('Dvd Calendar'!$E$390:$AR$390=TYPE3)*(TYPE3&lt;&gt;"")+('Dvd Calendar'!$E$390:$AR$390=TYPE4)*(TYPE4&lt;&gt;"")+('Dvd Calendar'!$E$390:$AR$390=SPECIAL_LBL)*(INC_SPECIALS="Y"))))</f>
        <v/>
      </c>
      <c r="K46" s="133">
        <f>IF($C46="","",HSI!$J$41)</f>
        <v/>
      </c>
      <c r="L46" s="133">
        <f>IF($C46="","",HSI!$K$41)</f>
        <v/>
      </c>
      <c r="M46" s="124">
        <f>IF($C46="","",HSI!$J$41+HSI!$L$41)</f>
        <v/>
      </c>
      <c r="N46" s="134">
        <f>IF($C46="","",IF(PULL_FUND="N","",IFERROR(BDP($C46,BESTDPS_FIELD,FWD_OVERRIDE,TEXT(MOD(YEAR_Y,100),"00")&amp;"Y"),"")))</f>
        <v/>
      </c>
      <c r="O46" s="133">
        <f>IF($C46="","",AVERAGE(F46:J46))</f>
        <v/>
      </c>
      <c r="P46" s="135">
        <f>IF($C46="","",IF(PULL_FUND="N","",IF(COUNTIFS('Fund History'!$J$212:$J$216,"&gt;="&amp;DATE(YEAR_Y-5,1,1),'Fund History'!$J$212:$J$216,"&lt;="&amp;DATE(YEAR_Y-5,12,31))=0,"",IFERROR($F46*HSI!$G$41/SUMIFS('Fund History'!$K$212:$K$216,'Fund History'!$J$212:$J$216,"&gt;="&amp;DATE(YEAR_Y-5,1,1),'Fund History'!$J$212:$J$216,"&lt;="&amp;DATE(YEAR_Y-5,12,31)),""))))</f>
        <v/>
      </c>
      <c r="Q46" s="136">
        <f>IF($C46="","",IF(PULL_FUND="N","",IF(COUNTIFS('Fund History'!$J$212:$J$216,"&gt;="&amp;DATE(YEAR_Y-4,1,1),'Fund History'!$J$212:$J$216,"&lt;="&amp;DATE(YEAR_Y-4,12,31))=0,"",IFERROR($G46*HSI!$G$41/SUMIFS('Fund History'!$K$212:$K$216,'Fund History'!$J$212:$J$216,"&gt;="&amp;DATE(YEAR_Y-4,1,1),'Fund History'!$J$212:$J$216,"&lt;="&amp;DATE(YEAR_Y-4,12,31)),""))))</f>
        <v/>
      </c>
      <c r="R46" s="136">
        <f>IF($C46="","",IF(PULL_FUND="N","",IF(COUNTIFS('Fund History'!$J$212:$J$216,"&gt;="&amp;DATE(YEAR_Y-3,1,1),'Fund History'!$J$212:$J$216,"&lt;="&amp;DATE(YEAR_Y-3,12,31))=0,"",IFERROR($H46*HSI!$G$41/SUMIFS('Fund History'!$K$212:$K$216,'Fund History'!$J$212:$J$216,"&gt;="&amp;DATE(YEAR_Y-3,1,1),'Fund History'!$J$212:$J$216,"&lt;="&amp;DATE(YEAR_Y-3,12,31)),""))))</f>
        <v/>
      </c>
      <c r="S46" s="136">
        <f>IF($C46="","",IF(PULL_FUND="N","",IF(COUNTIFS('Fund History'!$J$212:$J$216,"&gt;="&amp;DATE(YEAR_Y-2,1,1),'Fund History'!$J$212:$J$216,"&lt;="&amp;DATE(YEAR_Y-2,12,31))=0,"",IFERROR($I46*HSI!$G$41/SUMIFS('Fund History'!$K$212:$K$216,'Fund History'!$J$212:$J$216,"&gt;="&amp;DATE(YEAR_Y-2,1,1),'Fund History'!$J$212:$J$216,"&lt;="&amp;DATE(YEAR_Y-2,12,31)),""))))</f>
        <v/>
      </c>
      <c r="T46" s="136">
        <f>IF($C46="","",IF(PULL_FUND="N","",IF(COUNTIFS('Fund History'!$J$212:$J$216,"&gt;="&amp;DATE(YEAR_Y-1,1,1),'Fund History'!$J$212:$J$216,"&lt;="&amp;DATE(YEAR_Y-1,12,31))=0,"",IFERROR($J46*HSI!$G$41/SUMIFS('Fund History'!$K$212:$K$216,'Fund History'!$J$212:$J$216,"&gt;="&amp;DATE(YEAR_Y-1,1,1),'Fund History'!$J$212:$J$216,"&lt;="&amp;DATE(YEAR_Y-1,12,31)),""))))</f>
        <v/>
      </c>
      <c r="U46" s="137">
        <f>IF($C46="","",IF(ISNUMBER(HSI!$I$41),HSI!$I$41/100,""))</f>
        <v/>
      </c>
      <c r="V46" s="138">
        <f>IF($C46="","",IF(ISNUMBER(HSI!$X$41),IFERROR($M46*HSI!$G$41/HSI!$X$41,""),""))</f>
        <v/>
      </c>
      <c r="W46" s="137">
        <f>IF($C46="","",IF(ISNUMBER($N46),IFERROR($N46*HSI!$G$41/HSI!$X$41,""),""))</f>
        <v/>
      </c>
      <c r="X46" s="139">
        <f>IF($C46="","",IF(PULL_FUND="N","",IFERROR(BDP($C46,EPS_FIELD,YR_OVERRIDE,TEXT(YEAR_Y-5,"0")),"")))</f>
        <v/>
      </c>
      <c r="Y46" s="140">
        <f>IF($C46="","",IF(PULL_FUND="N","",IFERROR(BDP($C46,EPS_FIELD,YR_OVERRIDE,TEXT(YEAR_Y-4,"0")),"")))</f>
        <v/>
      </c>
      <c r="Z46" s="140">
        <f>IF($C46="","",IF(PULL_FUND="N","",IFERROR(BDP($C46,EPS_FIELD,YR_OVERRIDE,TEXT(YEAR_Y-3,"0")),"")))</f>
        <v/>
      </c>
      <c r="AA46" s="140">
        <f>IF($C46="","",IF(PULL_FUND="N","",IFERROR(BDP($C46,EPS_FIELD,YR_OVERRIDE,TEXT(YEAR_Y-2,"0")),"")))</f>
        <v/>
      </c>
      <c r="AB46" s="140">
        <f>IF($C46="","",IF(PULL_FUND="N","",IFERROR(BDP($C46,EPS_FIELD,YR_OVERRIDE,TEXT(YEAR_Y-1,"0")),"")))</f>
        <v/>
      </c>
      <c r="AC46" s="126">
        <f>IF($C46="","",IFERROR(AVERAGE(X46:AB46),""))</f>
        <v/>
      </c>
      <c r="AD46" s="140">
        <f>IF($C46="","",IF(PULL_FUND="N","",IFERROR(BDP($C46,BESTEPS_FIELD,FWD_OVERRIDE,TEXT(MOD(YEAR_Y,100),"00")&amp;"Y"),"")))</f>
        <v/>
      </c>
      <c r="AE46" s="141">
        <f>IF($C46="","",IF(PULL_FUND="N","",IFERROR(BDP($C46,PAYOUT_FIELD,YR_OVERRIDE,TEXT(YEAR_Y-5,"0"))/100,"")))</f>
        <v/>
      </c>
      <c r="AF46" s="142">
        <f>IF($C46="","",IF(PULL_FUND="N","",IFERROR(BDP($C46,PAYOUT_FIELD,YR_OVERRIDE,TEXT(YEAR_Y-4,"0"))/100,"")))</f>
        <v/>
      </c>
      <c r="AG46" s="142">
        <f>IF($C46="","",IF(PULL_FUND="N","",IFERROR(BDP($C46,PAYOUT_FIELD,YR_OVERRIDE,TEXT(YEAR_Y-3,"0"))/100,"")))</f>
        <v/>
      </c>
      <c r="AH46" s="142">
        <f>IF($C46="","",IF(PULL_FUND="N","",IFERROR(BDP($C46,PAYOUT_FIELD,YR_OVERRIDE,TEXT(YEAR_Y-2,"0"))/100,"")))</f>
        <v/>
      </c>
      <c r="AI46" s="142">
        <f>IF($C46="","",IF(PULL_FUND="N","",IFERROR(BDP($C46,PAYOUT_FIELD,YR_OVERRIDE,TEXT(YEAR_Y-1,"0"))/100,"")))</f>
        <v/>
      </c>
      <c r="AJ46" s="143">
        <f>IF($C46="","",IFERROR(AVERAGE(AE46:AI46),""))</f>
        <v/>
      </c>
      <c r="AK46" s="144">
        <f>IF($C46="","",IF(ISNUMBER($AD46)*ISNUMBER($N46)*($AD46&lt;&gt;0)=0,"",$N46/$AD46))</f>
        <v/>
      </c>
      <c r="AL46" s="143">
        <f>IF($C46="","",IF(ISNUMBER($AD46)*($AD46&lt;&gt;0)=0,"",$M46/$AD46))</f>
        <v/>
      </c>
      <c r="AM46" s="37">
        <f>IF($C46="","",IF(ISNUMBER($AE46)*ISNUMBER($AI46)=0,"",IF($AI46&gt;$AE46+0.05,"rising",IF($AI46&lt;$AE46-0.05,"falling","stable"))))</f>
        <v/>
      </c>
      <c r="AN46" s="145">
        <f>IF($C46="","",IF(PULL_FUND="N","",IF(COUNTIFS('Fund History'!$G$212:$G$216,"&gt;="&amp;DATE(YEAR_Y-4,1,1),'Fund History'!$G$212:$G$216,"&lt;="&amp;DATE(YEAR_Y-4,12,31))=0,"",SUMIFS('Fund History'!$H$212:$H$216,'Fund History'!$G$212:$G$216,"&gt;="&amp;DATE(YEAR_Y-4,1,1),'Fund History'!$G$212:$G$216,"&lt;="&amp;DATE(YEAR_Y-4,12,31))/100)))</f>
        <v/>
      </c>
      <c r="AO46" s="146">
        <f>IF($C46="","",IF(PULL_FUND="N","",IF(COUNTIFS('Fund History'!$G$212:$G$216,"&gt;="&amp;DATE(YEAR_Y-3,1,1),'Fund History'!$G$212:$G$216,"&lt;="&amp;DATE(YEAR_Y-3,12,31))=0,"",SUMIFS('Fund History'!$H$212:$H$216,'Fund History'!$G$212:$G$216,"&gt;="&amp;DATE(YEAR_Y-3,1,1),'Fund History'!$G$212:$G$216,"&lt;="&amp;DATE(YEAR_Y-3,12,31))/100)))</f>
        <v/>
      </c>
      <c r="AP46" s="146">
        <f>IF($C46="","",IF(PULL_FUND="N","",IF(COUNTIFS('Fund History'!$G$212:$G$216,"&gt;="&amp;DATE(YEAR_Y-2,1,1),'Fund History'!$G$212:$G$216,"&lt;="&amp;DATE(YEAR_Y-2,12,31))=0,"",SUMIFS('Fund History'!$H$212:$H$216,'Fund History'!$G$212:$G$216,"&gt;="&amp;DATE(YEAR_Y-2,1,1),'Fund History'!$G$212:$G$216,"&lt;="&amp;DATE(YEAR_Y-2,12,31))/100)))</f>
        <v/>
      </c>
      <c r="AQ46" s="146">
        <f>IF($C46="","",IF(PULL_FUND="N","",IF(COUNTIFS('Fund History'!$G$212:$G$216,"&gt;="&amp;DATE(YEAR_Y-1,1,1),'Fund History'!$G$212:$G$216,"&lt;="&amp;DATE(YEAR_Y-1,12,31))=0,"",SUMIFS('Fund History'!$H$212:$H$216,'Fund History'!$G$212:$G$216,"&gt;="&amp;DATE(YEAR_Y-1,1,1),'Fund History'!$G$212:$G$216,"&lt;="&amp;DATE(YEAR_Y-1,12,31))/100)))</f>
        <v/>
      </c>
      <c r="AR46" s="147">
        <f>IF($C46="","",IF(N($AQ46)+N(HSI!$I$41)=0,"",N($AQ46)+N(HSI!$I$41)/100))</f>
        <v/>
      </c>
      <c r="AS46" s="139">
        <f>IF($C46="","",IF(PULL_FUND="N","",IF(COUNTIFS('Fund History'!$D$212:$D$216,"&gt;="&amp;DATE(YEAR_Y-2,1,1),'Fund History'!$D$212:$D$216,"&lt;="&amp;DATE(YEAR_Y-2,12,31))=0,"",SUMIFS('Fund History'!$E$212:$E$216,'Fund History'!$D$212:$D$216,"&gt;="&amp;DATE(YEAR_Y-2,1,1),'Fund History'!$D$212:$D$216,"&lt;="&amp;DATE(YEAR_Y-2,12,31)))))</f>
        <v/>
      </c>
      <c r="AT46" s="140">
        <f>IF($C46="","",IF(PULL_FUND="N","",IF(COUNTIFS('Fund History'!$D$212:$D$216,"&gt;="&amp;DATE(YEAR_Y-1,1,1),'Fund History'!$D$212:$D$216,"&lt;="&amp;DATE(YEAR_Y-1,12,31))=0,"",SUMIFS('Fund History'!$E$212:$E$216,'Fund History'!$D$212:$D$216,"&gt;="&amp;DATE(YEAR_Y-1,1,1),'Fund History'!$D$212:$D$216,"&lt;="&amp;DATE(YEAR_Y-1,12,31)))))</f>
        <v/>
      </c>
      <c r="AU46" s="140">
        <f>IF($C46="","",IF(PULL_FUND="N","",IFERROR(BDP($C46,NDEBITDA_FIELD),"")))</f>
        <v/>
      </c>
      <c r="AV46" s="148">
        <f>IF($C46="","",IF(PULL_FUND="N","",IFERROR(BDP($C46,EBINT_FIELD),"")))</f>
        <v/>
      </c>
      <c r="AW46" s="146">
        <f>IF($C46="","",IF(PULL_FUND="N","",IFERROR(BDP($C46,FCF_FIELD)/100,"")))</f>
        <v/>
      </c>
      <c r="AX46" s="126">
        <f>IF($C46="","",IF(N($U46)=0,"",IFERROR($AW46/$U46,"")))</f>
        <v/>
      </c>
      <c r="AY46" s="85">
        <f>IF($C46="","",TRIM(IF(ISNUMBER($AJ46)*(N($AJ46)&gt;$D$4)&gt;0,"payout high  ","")&amp;IF(ISNUMBER($AX46)*(N($AX46)&lt;$F$4)&gt;0,"FCF below dvd  ","")&amp;IF(ISNUMBER($AU46)*(N($AU46)&gt;$H$4)&gt;0,"leverage high","")))</f>
        <v/>
      </c>
      <c r="AZ46" s="86">
        <f>IF($C46="","",IF(HSI!$F$41="HKD","",HSI!$F$41))</f>
        <v/>
      </c>
    </row>
    <row r="47">
      <c r="B47" s="66" t="inlineStr">
        <is>
          <t>HSI</t>
        </is>
      </c>
      <c r="C47" s="8">
        <f>IF(HSI!$C$42="","",HSI!$C$42)</f>
        <v/>
      </c>
      <c r="D47" s="8">
        <f>IF($C47="","",HSI!$D$42)</f>
        <v/>
      </c>
      <c r="E47" s="8">
        <f>IF($C47="","",HSI!$E$42)</f>
        <v/>
      </c>
      <c r="F47" s="131">
        <f>IF($C47="","",SUMPRODUCT(('Dvd Calendar'!$E$396:$AR$396&gt;=DATE(YEAR_Y-5,1,1))*('Dvd Calendar'!$E$396:$AR$396&lt;=DATE(YEAR_Y-5,12,31))*'Dvd Calendar'!$E$399:$AR$399*(('Dvd Calendar'!$E$401:$AR$401=TYPE1)*(TYPE1&lt;&gt;"")+('Dvd Calendar'!$E$401:$AR$401=TYPE2)*(TYPE2&lt;&gt;"")+('Dvd Calendar'!$E$401:$AR$401=TYPE3)*(TYPE3&lt;&gt;"")+('Dvd Calendar'!$E$401:$AR$401=TYPE4)*(TYPE4&lt;&gt;"")+('Dvd Calendar'!$E$401:$AR$401=SPECIAL_LBL)*(INC_SPECIALS="Y"))))</f>
        <v/>
      </c>
      <c r="G47" s="132">
        <f>IF($C47="","",SUMPRODUCT(('Dvd Calendar'!$E$396:$AR$396&gt;=DATE(YEAR_Y-4,1,1))*('Dvd Calendar'!$E$396:$AR$396&lt;=DATE(YEAR_Y-4,12,31))*'Dvd Calendar'!$E$399:$AR$399*(('Dvd Calendar'!$E$401:$AR$401=TYPE1)*(TYPE1&lt;&gt;"")+('Dvd Calendar'!$E$401:$AR$401=TYPE2)*(TYPE2&lt;&gt;"")+('Dvd Calendar'!$E$401:$AR$401=TYPE3)*(TYPE3&lt;&gt;"")+('Dvd Calendar'!$E$401:$AR$401=TYPE4)*(TYPE4&lt;&gt;"")+('Dvd Calendar'!$E$401:$AR$401=SPECIAL_LBL)*(INC_SPECIALS="Y"))))</f>
        <v/>
      </c>
      <c r="H47" s="132">
        <f>IF($C47="","",SUMPRODUCT(('Dvd Calendar'!$E$396:$AR$396&gt;=DATE(YEAR_Y-3,1,1))*('Dvd Calendar'!$E$396:$AR$396&lt;=DATE(YEAR_Y-3,12,31))*'Dvd Calendar'!$E$399:$AR$399*(('Dvd Calendar'!$E$401:$AR$401=TYPE1)*(TYPE1&lt;&gt;"")+('Dvd Calendar'!$E$401:$AR$401=TYPE2)*(TYPE2&lt;&gt;"")+('Dvd Calendar'!$E$401:$AR$401=TYPE3)*(TYPE3&lt;&gt;"")+('Dvd Calendar'!$E$401:$AR$401=TYPE4)*(TYPE4&lt;&gt;"")+('Dvd Calendar'!$E$401:$AR$401=SPECIAL_LBL)*(INC_SPECIALS="Y"))))</f>
        <v/>
      </c>
      <c r="I47" s="132">
        <f>IF($C47="","",SUMPRODUCT(('Dvd Calendar'!$E$396:$AR$396&gt;=DATE(YEAR_Y-2,1,1))*('Dvd Calendar'!$E$396:$AR$396&lt;=DATE(YEAR_Y-2,12,31))*'Dvd Calendar'!$E$399:$AR$399*(('Dvd Calendar'!$E$401:$AR$401=TYPE1)*(TYPE1&lt;&gt;"")+('Dvd Calendar'!$E$401:$AR$401=TYPE2)*(TYPE2&lt;&gt;"")+('Dvd Calendar'!$E$401:$AR$401=TYPE3)*(TYPE3&lt;&gt;"")+('Dvd Calendar'!$E$401:$AR$401=TYPE4)*(TYPE4&lt;&gt;"")+('Dvd Calendar'!$E$401:$AR$401=SPECIAL_LBL)*(INC_SPECIALS="Y"))))</f>
        <v/>
      </c>
      <c r="J47" s="132">
        <f>IF($C47="","",SUMPRODUCT(('Dvd Calendar'!$E$396:$AR$396&gt;=DATE(YEAR_Y-1,1,1))*('Dvd Calendar'!$E$396:$AR$396&lt;=DATE(YEAR_Y-1,12,31))*'Dvd Calendar'!$E$399:$AR$399*(('Dvd Calendar'!$E$401:$AR$401=TYPE1)*(TYPE1&lt;&gt;"")+('Dvd Calendar'!$E$401:$AR$401=TYPE2)*(TYPE2&lt;&gt;"")+('Dvd Calendar'!$E$401:$AR$401=TYPE3)*(TYPE3&lt;&gt;"")+('Dvd Calendar'!$E$401:$AR$401=TYPE4)*(TYPE4&lt;&gt;"")+('Dvd Calendar'!$E$401:$AR$401=SPECIAL_LBL)*(INC_SPECIALS="Y"))))</f>
        <v/>
      </c>
      <c r="K47" s="133">
        <f>IF($C47="","",HSI!$J$42)</f>
        <v/>
      </c>
      <c r="L47" s="133">
        <f>IF($C47="","",HSI!$K$42)</f>
        <v/>
      </c>
      <c r="M47" s="124">
        <f>IF($C47="","",HSI!$J$42+HSI!$L$42)</f>
        <v/>
      </c>
      <c r="N47" s="134">
        <f>IF($C47="","",IF(PULL_FUND="N","",IFERROR(BDP($C47,BESTDPS_FIELD,FWD_OVERRIDE,TEXT(MOD(YEAR_Y,100),"00")&amp;"Y"),"")))</f>
        <v/>
      </c>
      <c r="O47" s="133">
        <f>IF($C47="","",AVERAGE(F47:J47))</f>
        <v/>
      </c>
      <c r="P47" s="135">
        <f>IF($C47="","",IF(PULL_FUND="N","",IF(COUNTIFS('Fund History'!$J$218:$J$222,"&gt;="&amp;DATE(YEAR_Y-5,1,1),'Fund History'!$J$218:$J$222,"&lt;="&amp;DATE(YEAR_Y-5,12,31))=0,"",IFERROR($F47*HSI!$G$42/SUMIFS('Fund History'!$K$218:$K$222,'Fund History'!$J$218:$J$222,"&gt;="&amp;DATE(YEAR_Y-5,1,1),'Fund History'!$J$218:$J$222,"&lt;="&amp;DATE(YEAR_Y-5,12,31)),""))))</f>
        <v/>
      </c>
      <c r="Q47" s="136">
        <f>IF($C47="","",IF(PULL_FUND="N","",IF(COUNTIFS('Fund History'!$J$218:$J$222,"&gt;="&amp;DATE(YEAR_Y-4,1,1),'Fund History'!$J$218:$J$222,"&lt;="&amp;DATE(YEAR_Y-4,12,31))=0,"",IFERROR($G47*HSI!$G$42/SUMIFS('Fund History'!$K$218:$K$222,'Fund History'!$J$218:$J$222,"&gt;="&amp;DATE(YEAR_Y-4,1,1),'Fund History'!$J$218:$J$222,"&lt;="&amp;DATE(YEAR_Y-4,12,31)),""))))</f>
        <v/>
      </c>
      <c r="R47" s="136">
        <f>IF($C47="","",IF(PULL_FUND="N","",IF(COUNTIFS('Fund History'!$J$218:$J$222,"&gt;="&amp;DATE(YEAR_Y-3,1,1),'Fund History'!$J$218:$J$222,"&lt;="&amp;DATE(YEAR_Y-3,12,31))=0,"",IFERROR($H47*HSI!$G$42/SUMIFS('Fund History'!$K$218:$K$222,'Fund History'!$J$218:$J$222,"&gt;="&amp;DATE(YEAR_Y-3,1,1),'Fund History'!$J$218:$J$222,"&lt;="&amp;DATE(YEAR_Y-3,12,31)),""))))</f>
        <v/>
      </c>
      <c r="S47" s="136">
        <f>IF($C47="","",IF(PULL_FUND="N","",IF(COUNTIFS('Fund History'!$J$218:$J$222,"&gt;="&amp;DATE(YEAR_Y-2,1,1),'Fund History'!$J$218:$J$222,"&lt;="&amp;DATE(YEAR_Y-2,12,31))=0,"",IFERROR($I47*HSI!$G$42/SUMIFS('Fund History'!$K$218:$K$222,'Fund History'!$J$218:$J$222,"&gt;="&amp;DATE(YEAR_Y-2,1,1),'Fund History'!$J$218:$J$222,"&lt;="&amp;DATE(YEAR_Y-2,12,31)),""))))</f>
        <v/>
      </c>
      <c r="T47" s="136">
        <f>IF($C47="","",IF(PULL_FUND="N","",IF(COUNTIFS('Fund History'!$J$218:$J$222,"&gt;="&amp;DATE(YEAR_Y-1,1,1),'Fund History'!$J$218:$J$222,"&lt;="&amp;DATE(YEAR_Y-1,12,31))=0,"",IFERROR($J47*HSI!$G$42/SUMIFS('Fund History'!$K$218:$K$222,'Fund History'!$J$218:$J$222,"&gt;="&amp;DATE(YEAR_Y-1,1,1),'Fund History'!$J$218:$J$222,"&lt;="&amp;DATE(YEAR_Y-1,12,31)),""))))</f>
        <v/>
      </c>
      <c r="U47" s="137">
        <f>IF($C47="","",IF(ISNUMBER(HSI!$I$42),HSI!$I$42/100,""))</f>
        <v/>
      </c>
      <c r="V47" s="138">
        <f>IF($C47="","",IF(ISNUMBER(HSI!$X$42),IFERROR($M47*HSI!$G$42/HSI!$X$42,""),""))</f>
        <v/>
      </c>
      <c r="W47" s="137">
        <f>IF($C47="","",IF(ISNUMBER($N47),IFERROR($N47*HSI!$G$42/HSI!$X$42,""),""))</f>
        <v/>
      </c>
      <c r="X47" s="139">
        <f>IF($C47="","",IF(PULL_FUND="N","",IFERROR(BDP($C47,EPS_FIELD,YR_OVERRIDE,TEXT(YEAR_Y-5,"0")),"")))</f>
        <v/>
      </c>
      <c r="Y47" s="140">
        <f>IF($C47="","",IF(PULL_FUND="N","",IFERROR(BDP($C47,EPS_FIELD,YR_OVERRIDE,TEXT(YEAR_Y-4,"0")),"")))</f>
        <v/>
      </c>
      <c r="Z47" s="140">
        <f>IF($C47="","",IF(PULL_FUND="N","",IFERROR(BDP($C47,EPS_FIELD,YR_OVERRIDE,TEXT(YEAR_Y-3,"0")),"")))</f>
        <v/>
      </c>
      <c r="AA47" s="140">
        <f>IF($C47="","",IF(PULL_FUND="N","",IFERROR(BDP($C47,EPS_FIELD,YR_OVERRIDE,TEXT(YEAR_Y-2,"0")),"")))</f>
        <v/>
      </c>
      <c r="AB47" s="140">
        <f>IF($C47="","",IF(PULL_FUND="N","",IFERROR(BDP($C47,EPS_FIELD,YR_OVERRIDE,TEXT(YEAR_Y-1,"0")),"")))</f>
        <v/>
      </c>
      <c r="AC47" s="126">
        <f>IF($C47="","",IFERROR(AVERAGE(X47:AB47),""))</f>
        <v/>
      </c>
      <c r="AD47" s="140">
        <f>IF($C47="","",IF(PULL_FUND="N","",IFERROR(BDP($C47,BESTEPS_FIELD,FWD_OVERRIDE,TEXT(MOD(YEAR_Y,100),"00")&amp;"Y"),"")))</f>
        <v/>
      </c>
      <c r="AE47" s="141">
        <f>IF($C47="","",IF(PULL_FUND="N","",IFERROR(BDP($C47,PAYOUT_FIELD,YR_OVERRIDE,TEXT(YEAR_Y-5,"0"))/100,"")))</f>
        <v/>
      </c>
      <c r="AF47" s="142">
        <f>IF($C47="","",IF(PULL_FUND="N","",IFERROR(BDP($C47,PAYOUT_FIELD,YR_OVERRIDE,TEXT(YEAR_Y-4,"0"))/100,"")))</f>
        <v/>
      </c>
      <c r="AG47" s="142">
        <f>IF($C47="","",IF(PULL_FUND="N","",IFERROR(BDP($C47,PAYOUT_FIELD,YR_OVERRIDE,TEXT(YEAR_Y-3,"0"))/100,"")))</f>
        <v/>
      </c>
      <c r="AH47" s="142">
        <f>IF($C47="","",IF(PULL_FUND="N","",IFERROR(BDP($C47,PAYOUT_FIELD,YR_OVERRIDE,TEXT(YEAR_Y-2,"0"))/100,"")))</f>
        <v/>
      </c>
      <c r="AI47" s="142">
        <f>IF($C47="","",IF(PULL_FUND="N","",IFERROR(BDP($C47,PAYOUT_FIELD,YR_OVERRIDE,TEXT(YEAR_Y-1,"0"))/100,"")))</f>
        <v/>
      </c>
      <c r="AJ47" s="143">
        <f>IF($C47="","",IFERROR(AVERAGE(AE47:AI47),""))</f>
        <v/>
      </c>
      <c r="AK47" s="144">
        <f>IF($C47="","",IF(ISNUMBER($AD47)*ISNUMBER($N47)*($AD47&lt;&gt;0)=0,"",$N47/$AD47))</f>
        <v/>
      </c>
      <c r="AL47" s="143">
        <f>IF($C47="","",IF(ISNUMBER($AD47)*($AD47&lt;&gt;0)=0,"",$M47/$AD47))</f>
        <v/>
      </c>
      <c r="AM47" s="37">
        <f>IF($C47="","",IF(ISNUMBER($AE47)*ISNUMBER($AI47)=0,"",IF($AI47&gt;$AE47+0.05,"rising",IF($AI47&lt;$AE47-0.05,"falling","stable"))))</f>
        <v/>
      </c>
      <c r="AN47" s="145">
        <f>IF($C47="","",IF(PULL_FUND="N","",IF(COUNTIFS('Fund History'!$G$218:$G$222,"&gt;="&amp;DATE(YEAR_Y-4,1,1),'Fund History'!$G$218:$G$222,"&lt;="&amp;DATE(YEAR_Y-4,12,31))=0,"",SUMIFS('Fund History'!$H$218:$H$222,'Fund History'!$G$218:$G$222,"&gt;="&amp;DATE(YEAR_Y-4,1,1),'Fund History'!$G$218:$G$222,"&lt;="&amp;DATE(YEAR_Y-4,12,31))/100)))</f>
        <v/>
      </c>
      <c r="AO47" s="146">
        <f>IF($C47="","",IF(PULL_FUND="N","",IF(COUNTIFS('Fund History'!$G$218:$G$222,"&gt;="&amp;DATE(YEAR_Y-3,1,1),'Fund History'!$G$218:$G$222,"&lt;="&amp;DATE(YEAR_Y-3,12,31))=0,"",SUMIFS('Fund History'!$H$218:$H$222,'Fund History'!$G$218:$G$222,"&gt;="&amp;DATE(YEAR_Y-3,1,1),'Fund History'!$G$218:$G$222,"&lt;="&amp;DATE(YEAR_Y-3,12,31))/100)))</f>
        <v/>
      </c>
      <c r="AP47" s="146">
        <f>IF($C47="","",IF(PULL_FUND="N","",IF(COUNTIFS('Fund History'!$G$218:$G$222,"&gt;="&amp;DATE(YEAR_Y-2,1,1),'Fund History'!$G$218:$G$222,"&lt;="&amp;DATE(YEAR_Y-2,12,31))=0,"",SUMIFS('Fund History'!$H$218:$H$222,'Fund History'!$G$218:$G$222,"&gt;="&amp;DATE(YEAR_Y-2,1,1),'Fund History'!$G$218:$G$222,"&lt;="&amp;DATE(YEAR_Y-2,12,31))/100)))</f>
        <v/>
      </c>
      <c r="AQ47" s="146">
        <f>IF($C47="","",IF(PULL_FUND="N","",IF(COUNTIFS('Fund History'!$G$218:$G$222,"&gt;="&amp;DATE(YEAR_Y-1,1,1),'Fund History'!$G$218:$G$222,"&lt;="&amp;DATE(YEAR_Y-1,12,31))=0,"",SUMIFS('Fund History'!$H$218:$H$222,'Fund History'!$G$218:$G$222,"&gt;="&amp;DATE(YEAR_Y-1,1,1),'Fund History'!$G$218:$G$222,"&lt;="&amp;DATE(YEAR_Y-1,12,31))/100)))</f>
        <v/>
      </c>
      <c r="AR47" s="147">
        <f>IF($C47="","",IF(N($AQ47)+N(HSI!$I$42)=0,"",N($AQ47)+N(HSI!$I$42)/100))</f>
        <v/>
      </c>
      <c r="AS47" s="139">
        <f>IF($C47="","",IF(PULL_FUND="N","",IF(COUNTIFS('Fund History'!$D$218:$D$222,"&gt;="&amp;DATE(YEAR_Y-2,1,1),'Fund History'!$D$218:$D$222,"&lt;="&amp;DATE(YEAR_Y-2,12,31))=0,"",SUMIFS('Fund History'!$E$218:$E$222,'Fund History'!$D$218:$D$222,"&gt;="&amp;DATE(YEAR_Y-2,1,1),'Fund History'!$D$218:$D$222,"&lt;="&amp;DATE(YEAR_Y-2,12,31)))))</f>
        <v/>
      </c>
      <c r="AT47" s="140">
        <f>IF($C47="","",IF(PULL_FUND="N","",IF(COUNTIFS('Fund History'!$D$218:$D$222,"&gt;="&amp;DATE(YEAR_Y-1,1,1),'Fund History'!$D$218:$D$222,"&lt;="&amp;DATE(YEAR_Y-1,12,31))=0,"",SUMIFS('Fund History'!$E$218:$E$222,'Fund History'!$D$218:$D$222,"&gt;="&amp;DATE(YEAR_Y-1,1,1),'Fund History'!$D$218:$D$222,"&lt;="&amp;DATE(YEAR_Y-1,12,31)))))</f>
        <v/>
      </c>
      <c r="AU47" s="140">
        <f>IF($C47="","",IF(PULL_FUND="N","",IFERROR(BDP($C47,NDEBITDA_FIELD),"")))</f>
        <v/>
      </c>
      <c r="AV47" s="148">
        <f>IF($C47="","",IF(PULL_FUND="N","",IFERROR(BDP($C47,EBINT_FIELD),"")))</f>
        <v/>
      </c>
      <c r="AW47" s="146">
        <f>IF($C47="","",IF(PULL_FUND="N","",IFERROR(BDP($C47,FCF_FIELD)/100,"")))</f>
        <v/>
      </c>
      <c r="AX47" s="126">
        <f>IF($C47="","",IF(N($U47)=0,"",IFERROR($AW47/$U47,"")))</f>
        <v/>
      </c>
      <c r="AY47" s="85">
        <f>IF($C47="","",TRIM(IF(ISNUMBER($AJ47)*(N($AJ47)&gt;$D$4)&gt;0,"payout high  ","")&amp;IF(ISNUMBER($AX47)*(N($AX47)&lt;$F$4)&gt;0,"FCF below dvd  ","")&amp;IF(ISNUMBER($AU47)*(N($AU47)&gt;$H$4)&gt;0,"leverage high","")))</f>
        <v/>
      </c>
      <c r="AZ47" s="86">
        <f>IF($C47="","",IF(HSI!$F$42="HKD","",HSI!$F$42))</f>
        <v/>
      </c>
    </row>
    <row r="48">
      <c r="B48" s="66" t="inlineStr">
        <is>
          <t>HSI</t>
        </is>
      </c>
      <c r="C48" s="8">
        <f>IF(HSI!$C$43="","",HSI!$C$43)</f>
        <v/>
      </c>
      <c r="D48" s="8">
        <f>IF($C48="","",HSI!$D$43)</f>
        <v/>
      </c>
      <c r="E48" s="8">
        <f>IF($C48="","",HSI!$E$43)</f>
        <v/>
      </c>
      <c r="F48" s="131">
        <f>IF($C48="","",SUMPRODUCT(('Dvd Calendar'!$E$407:$AR$407&gt;=DATE(YEAR_Y-5,1,1))*('Dvd Calendar'!$E$407:$AR$407&lt;=DATE(YEAR_Y-5,12,31))*'Dvd Calendar'!$E$410:$AR$410*(('Dvd Calendar'!$E$412:$AR$412=TYPE1)*(TYPE1&lt;&gt;"")+('Dvd Calendar'!$E$412:$AR$412=TYPE2)*(TYPE2&lt;&gt;"")+('Dvd Calendar'!$E$412:$AR$412=TYPE3)*(TYPE3&lt;&gt;"")+('Dvd Calendar'!$E$412:$AR$412=TYPE4)*(TYPE4&lt;&gt;"")+('Dvd Calendar'!$E$412:$AR$412=SPECIAL_LBL)*(INC_SPECIALS="Y"))))</f>
        <v/>
      </c>
      <c r="G48" s="132">
        <f>IF($C48="","",SUMPRODUCT(('Dvd Calendar'!$E$407:$AR$407&gt;=DATE(YEAR_Y-4,1,1))*('Dvd Calendar'!$E$407:$AR$407&lt;=DATE(YEAR_Y-4,12,31))*'Dvd Calendar'!$E$410:$AR$410*(('Dvd Calendar'!$E$412:$AR$412=TYPE1)*(TYPE1&lt;&gt;"")+('Dvd Calendar'!$E$412:$AR$412=TYPE2)*(TYPE2&lt;&gt;"")+('Dvd Calendar'!$E$412:$AR$412=TYPE3)*(TYPE3&lt;&gt;"")+('Dvd Calendar'!$E$412:$AR$412=TYPE4)*(TYPE4&lt;&gt;"")+('Dvd Calendar'!$E$412:$AR$412=SPECIAL_LBL)*(INC_SPECIALS="Y"))))</f>
        <v/>
      </c>
      <c r="H48" s="132">
        <f>IF($C48="","",SUMPRODUCT(('Dvd Calendar'!$E$407:$AR$407&gt;=DATE(YEAR_Y-3,1,1))*('Dvd Calendar'!$E$407:$AR$407&lt;=DATE(YEAR_Y-3,12,31))*'Dvd Calendar'!$E$410:$AR$410*(('Dvd Calendar'!$E$412:$AR$412=TYPE1)*(TYPE1&lt;&gt;"")+('Dvd Calendar'!$E$412:$AR$412=TYPE2)*(TYPE2&lt;&gt;"")+('Dvd Calendar'!$E$412:$AR$412=TYPE3)*(TYPE3&lt;&gt;"")+('Dvd Calendar'!$E$412:$AR$412=TYPE4)*(TYPE4&lt;&gt;"")+('Dvd Calendar'!$E$412:$AR$412=SPECIAL_LBL)*(INC_SPECIALS="Y"))))</f>
        <v/>
      </c>
      <c r="I48" s="132">
        <f>IF($C48="","",SUMPRODUCT(('Dvd Calendar'!$E$407:$AR$407&gt;=DATE(YEAR_Y-2,1,1))*('Dvd Calendar'!$E$407:$AR$407&lt;=DATE(YEAR_Y-2,12,31))*'Dvd Calendar'!$E$410:$AR$410*(('Dvd Calendar'!$E$412:$AR$412=TYPE1)*(TYPE1&lt;&gt;"")+('Dvd Calendar'!$E$412:$AR$412=TYPE2)*(TYPE2&lt;&gt;"")+('Dvd Calendar'!$E$412:$AR$412=TYPE3)*(TYPE3&lt;&gt;"")+('Dvd Calendar'!$E$412:$AR$412=TYPE4)*(TYPE4&lt;&gt;"")+('Dvd Calendar'!$E$412:$AR$412=SPECIAL_LBL)*(INC_SPECIALS="Y"))))</f>
        <v/>
      </c>
      <c r="J48" s="132">
        <f>IF($C48="","",SUMPRODUCT(('Dvd Calendar'!$E$407:$AR$407&gt;=DATE(YEAR_Y-1,1,1))*('Dvd Calendar'!$E$407:$AR$407&lt;=DATE(YEAR_Y-1,12,31))*'Dvd Calendar'!$E$410:$AR$410*(('Dvd Calendar'!$E$412:$AR$412=TYPE1)*(TYPE1&lt;&gt;"")+('Dvd Calendar'!$E$412:$AR$412=TYPE2)*(TYPE2&lt;&gt;"")+('Dvd Calendar'!$E$412:$AR$412=TYPE3)*(TYPE3&lt;&gt;"")+('Dvd Calendar'!$E$412:$AR$412=TYPE4)*(TYPE4&lt;&gt;"")+('Dvd Calendar'!$E$412:$AR$412=SPECIAL_LBL)*(INC_SPECIALS="Y"))))</f>
        <v/>
      </c>
      <c r="K48" s="133">
        <f>IF($C48="","",HSI!$J$43)</f>
        <v/>
      </c>
      <c r="L48" s="133">
        <f>IF($C48="","",HSI!$K$43)</f>
        <v/>
      </c>
      <c r="M48" s="124">
        <f>IF($C48="","",HSI!$J$43+HSI!$L$43)</f>
        <v/>
      </c>
      <c r="N48" s="134">
        <f>IF($C48="","",IF(PULL_FUND="N","",IFERROR(BDP($C48,BESTDPS_FIELD,FWD_OVERRIDE,TEXT(MOD(YEAR_Y,100),"00")&amp;"Y"),"")))</f>
        <v/>
      </c>
      <c r="O48" s="133">
        <f>IF($C48="","",AVERAGE(F48:J48))</f>
        <v/>
      </c>
      <c r="P48" s="135">
        <f>IF($C48="","",IF(PULL_FUND="N","",IF(COUNTIFS('Fund History'!$J$224:$J$228,"&gt;="&amp;DATE(YEAR_Y-5,1,1),'Fund History'!$J$224:$J$228,"&lt;="&amp;DATE(YEAR_Y-5,12,31))=0,"",IFERROR($F48*HSI!$G$43/SUMIFS('Fund History'!$K$224:$K$228,'Fund History'!$J$224:$J$228,"&gt;="&amp;DATE(YEAR_Y-5,1,1),'Fund History'!$J$224:$J$228,"&lt;="&amp;DATE(YEAR_Y-5,12,31)),""))))</f>
        <v/>
      </c>
      <c r="Q48" s="136">
        <f>IF($C48="","",IF(PULL_FUND="N","",IF(COUNTIFS('Fund History'!$J$224:$J$228,"&gt;="&amp;DATE(YEAR_Y-4,1,1),'Fund History'!$J$224:$J$228,"&lt;="&amp;DATE(YEAR_Y-4,12,31))=0,"",IFERROR($G48*HSI!$G$43/SUMIFS('Fund History'!$K$224:$K$228,'Fund History'!$J$224:$J$228,"&gt;="&amp;DATE(YEAR_Y-4,1,1),'Fund History'!$J$224:$J$228,"&lt;="&amp;DATE(YEAR_Y-4,12,31)),""))))</f>
        <v/>
      </c>
      <c r="R48" s="136">
        <f>IF($C48="","",IF(PULL_FUND="N","",IF(COUNTIFS('Fund History'!$J$224:$J$228,"&gt;="&amp;DATE(YEAR_Y-3,1,1),'Fund History'!$J$224:$J$228,"&lt;="&amp;DATE(YEAR_Y-3,12,31))=0,"",IFERROR($H48*HSI!$G$43/SUMIFS('Fund History'!$K$224:$K$228,'Fund History'!$J$224:$J$228,"&gt;="&amp;DATE(YEAR_Y-3,1,1),'Fund History'!$J$224:$J$228,"&lt;="&amp;DATE(YEAR_Y-3,12,31)),""))))</f>
        <v/>
      </c>
      <c r="S48" s="136">
        <f>IF($C48="","",IF(PULL_FUND="N","",IF(COUNTIFS('Fund History'!$J$224:$J$228,"&gt;="&amp;DATE(YEAR_Y-2,1,1),'Fund History'!$J$224:$J$228,"&lt;="&amp;DATE(YEAR_Y-2,12,31))=0,"",IFERROR($I48*HSI!$G$43/SUMIFS('Fund History'!$K$224:$K$228,'Fund History'!$J$224:$J$228,"&gt;="&amp;DATE(YEAR_Y-2,1,1),'Fund History'!$J$224:$J$228,"&lt;="&amp;DATE(YEAR_Y-2,12,31)),""))))</f>
        <v/>
      </c>
      <c r="T48" s="136">
        <f>IF($C48="","",IF(PULL_FUND="N","",IF(COUNTIFS('Fund History'!$J$224:$J$228,"&gt;="&amp;DATE(YEAR_Y-1,1,1),'Fund History'!$J$224:$J$228,"&lt;="&amp;DATE(YEAR_Y-1,12,31))=0,"",IFERROR($J48*HSI!$G$43/SUMIFS('Fund History'!$K$224:$K$228,'Fund History'!$J$224:$J$228,"&gt;="&amp;DATE(YEAR_Y-1,1,1),'Fund History'!$J$224:$J$228,"&lt;="&amp;DATE(YEAR_Y-1,12,31)),""))))</f>
        <v/>
      </c>
      <c r="U48" s="137">
        <f>IF($C48="","",IF(ISNUMBER(HSI!$I$43),HSI!$I$43/100,""))</f>
        <v/>
      </c>
      <c r="V48" s="138">
        <f>IF($C48="","",IF(ISNUMBER(HSI!$X$43),IFERROR($M48*HSI!$G$43/HSI!$X$43,""),""))</f>
        <v/>
      </c>
      <c r="W48" s="137">
        <f>IF($C48="","",IF(ISNUMBER($N48),IFERROR($N48*HSI!$G$43/HSI!$X$43,""),""))</f>
        <v/>
      </c>
      <c r="X48" s="139">
        <f>IF($C48="","",IF(PULL_FUND="N","",IFERROR(BDP($C48,EPS_FIELD,YR_OVERRIDE,TEXT(YEAR_Y-5,"0")),"")))</f>
        <v/>
      </c>
      <c r="Y48" s="140">
        <f>IF($C48="","",IF(PULL_FUND="N","",IFERROR(BDP($C48,EPS_FIELD,YR_OVERRIDE,TEXT(YEAR_Y-4,"0")),"")))</f>
        <v/>
      </c>
      <c r="Z48" s="140">
        <f>IF($C48="","",IF(PULL_FUND="N","",IFERROR(BDP($C48,EPS_FIELD,YR_OVERRIDE,TEXT(YEAR_Y-3,"0")),"")))</f>
        <v/>
      </c>
      <c r="AA48" s="140">
        <f>IF($C48="","",IF(PULL_FUND="N","",IFERROR(BDP($C48,EPS_FIELD,YR_OVERRIDE,TEXT(YEAR_Y-2,"0")),"")))</f>
        <v/>
      </c>
      <c r="AB48" s="140">
        <f>IF($C48="","",IF(PULL_FUND="N","",IFERROR(BDP($C48,EPS_FIELD,YR_OVERRIDE,TEXT(YEAR_Y-1,"0")),"")))</f>
        <v/>
      </c>
      <c r="AC48" s="126">
        <f>IF($C48="","",IFERROR(AVERAGE(X48:AB48),""))</f>
        <v/>
      </c>
      <c r="AD48" s="140">
        <f>IF($C48="","",IF(PULL_FUND="N","",IFERROR(BDP($C48,BESTEPS_FIELD,FWD_OVERRIDE,TEXT(MOD(YEAR_Y,100),"00")&amp;"Y"),"")))</f>
        <v/>
      </c>
      <c r="AE48" s="141">
        <f>IF($C48="","",IF(PULL_FUND="N","",IFERROR(BDP($C48,PAYOUT_FIELD,YR_OVERRIDE,TEXT(YEAR_Y-5,"0"))/100,"")))</f>
        <v/>
      </c>
      <c r="AF48" s="142">
        <f>IF($C48="","",IF(PULL_FUND="N","",IFERROR(BDP($C48,PAYOUT_FIELD,YR_OVERRIDE,TEXT(YEAR_Y-4,"0"))/100,"")))</f>
        <v/>
      </c>
      <c r="AG48" s="142">
        <f>IF($C48="","",IF(PULL_FUND="N","",IFERROR(BDP($C48,PAYOUT_FIELD,YR_OVERRIDE,TEXT(YEAR_Y-3,"0"))/100,"")))</f>
        <v/>
      </c>
      <c r="AH48" s="142">
        <f>IF($C48="","",IF(PULL_FUND="N","",IFERROR(BDP($C48,PAYOUT_FIELD,YR_OVERRIDE,TEXT(YEAR_Y-2,"0"))/100,"")))</f>
        <v/>
      </c>
      <c r="AI48" s="142">
        <f>IF($C48="","",IF(PULL_FUND="N","",IFERROR(BDP($C48,PAYOUT_FIELD,YR_OVERRIDE,TEXT(YEAR_Y-1,"0"))/100,"")))</f>
        <v/>
      </c>
      <c r="AJ48" s="143">
        <f>IF($C48="","",IFERROR(AVERAGE(AE48:AI48),""))</f>
        <v/>
      </c>
      <c r="AK48" s="144">
        <f>IF($C48="","",IF(ISNUMBER($AD48)*ISNUMBER($N48)*($AD48&lt;&gt;0)=0,"",$N48/$AD48))</f>
        <v/>
      </c>
      <c r="AL48" s="143">
        <f>IF($C48="","",IF(ISNUMBER($AD48)*($AD48&lt;&gt;0)=0,"",$M48/$AD48))</f>
        <v/>
      </c>
      <c r="AM48" s="37">
        <f>IF($C48="","",IF(ISNUMBER($AE48)*ISNUMBER($AI48)=0,"",IF($AI48&gt;$AE48+0.05,"rising",IF($AI48&lt;$AE48-0.05,"falling","stable"))))</f>
        <v/>
      </c>
      <c r="AN48" s="145">
        <f>IF($C48="","",IF(PULL_FUND="N","",IF(COUNTIFS('Fund History'!$G$224:$G$228,"&gt;="&amp;DATE(YEAR_Y-4,1,1),'Fund History'!$G$224:$G$228,"&lt;="&amp;DATE(YEAR_Y-4,12,31))=0,"",SUMIFS('Fund History'!$H$224:$H$228,'Fund History'!$G$224:$G$228,"&gt;="&amp;DATE(YEAR_Y-4,1,1),'Fund History'!$G$224:$G$228,"&lt;="&amp;DATE(YEAR_Y-4,12,31))/100)))</f>
        <v/>
      </c>
      <c r="AO48" s="146">
        <f>IF($C48="","",IF(PULL_FUND="N","",IF(COUNTIFS('Fund History'!$G$224:$G$228,"&gt;="&amp;DATE(YEAR_Y-3,1,1),'Fund History'!$G$224:$G$228,"&lt;="&amp;DATE(YEAR_Y-3,12,31))=0,"",SUMIFS('Fund History'!$H$224:$H$228,'Fund History'!$G$224:$G$228,"&gt;="&amp;DATE(YEAR_Y-3,1,1),'Fund History'!$G$224:$G$228,"&lt;="&amp;DATE(YEAR_Y-3,12,31))/100)))</f>
        <v/>
      </c>
      <c r="AP48" s="146">
        <f>IF($C48="","",IF(PULL_FUND="N","",IF(COUNTIFS('Fund History'!$G$224:$G$228,"&gt;="&amp;DATE(YEAR_Y-2,1,1),'Fund History'!$G$224:$G$228,"&lt;="&amp;DATE(YEAR_Y-2,12,31))=0,"",SUMIFS('Fund History'!$H$224:$H$228,'Fund History'!$G$224:$G$228,"&gt;="&amp;DATE(YEAR_Y-2,1,1),'Fund History'!$G$224:$G$228,"&lt;="&amp;DATE(YEAR_Y-2,12,31))/100)))</f>
        <v/>
      </c>
      <c r="AQ48" s="146">
        <f>IF($C48="","",IF(PULL_FUND="N","",IF(COUNTIFS('Fund History'!$G$224:$G$228,"&gt;="&amp;DATE(YEAR_Y-1,1,1),'Fund History'!$G$224:$G$228,"&lt;="&amp;DATE(YEAR_Y-1,12,31))=0,"",SUMIFS('Fund History'!$H$224:$H$228,'Fund History'!$G$224:$G$228,"&gt;="&amp;DATE(YEAR_Y-1,1,1),'Fund History'!$G$224:$G$228,"&lt;="&amp;DATE(YEAR_Y-1,12,31))/100)))</f>
        <v/>
      </c>
      <c r="AR48" s="147">
        <f>IF($C48="","",IF(N($AQ48)+N(HSI!$I$43)=0,"",N($AQ48)+N(HSI!$I$43)/100))</f>
        <v/>
      </c>
      <c r="AS48" s="139">
        <f>IF($C48="","",IF(PULL_FUND="N","",IF(COUNTIFS('Fund History'!$D$224:$D$228,"&gt;="&amp;DATE(YEAR_Y-2,1,1),'Fund History'!$D$224:$D$228,"&lt;="&amp;DATE(YEAR_Y-2,12,31))=0,"",SUMIFS('Fund History'!$E$224:$E$228,'Fund History'!$D$224:$D$228,"&gt;="&amp;DATE(YEAR_Y-2,1,1),'Fund History'!$D$224:$D$228,"&lt;="&amp;DATE(YEAR_Y-2,12,31)))))</f>
        <v/>
      </c>
      <c r="AT48" s="140">
        <f>IF($C48="","",IF(PULL_FUND="N","",IF(COUNTIFS('Fund History'!$D$224:$D$228,"&gt;="&amp;DATE(YEAR_Y-1,1,1),'Fund History'!$D$224:$D$228,"&lt;="&amp;DATE(YEAR_Y-1,12,31))=0,"",SUMIFS('Fund History'!$E$224:$E$228,'Fund History'!$D$224:$D$228,"&gt;="&amp;DATE(YEAR_Y-1,1,1),'Fund History'!$D$224:$D$228,"&lt;="&amp;DATE(YEAR_Y-1,12,31)))))</f>
        <v/>
      </c>
      <c r="AU48" s="140">
        <f>IF($C48="","",IF(PULL_FUND="N","",IFERROR(BDP($C48,NDEBITDA_FIELD),"")))</f>
        <v/>
      </c>
      <c r="AV48" s="148">
        <f>IF($C48="","",IF(PULL_FUND="N","",IFERROR(BDP($C48,EBINT_FIELD),"")))</f>
        <v/>
      </c>
      <c r="AW48" s="146">
        <f>IF($C48="","",IF(PULL_FUND="N","",IFERROR(BDP($C48,FCF_FIELD)/100,"")))</f>
        <v/>
      </c>
      <c r="AX48" s="126">
        <f>IF($C48="","",IF(N($U48)=0,"",IFERROR($AW48/$U48,"")))</f>
        <v/>
      </c>
      <c r="AY48" s="85">
        <f>IF($C48="","",TRIM(IF(ISNUMBER($AJ48)*(N($AJ48)&gt;$D$4)&gt;0,"payout high  ","")&amp;IF(ISNUMBER($AX48)*(N($AX48)&lt;$F$4)&gt;0,"FCF below dvd  ","")&amp;IF(ISNUMBER($AU48)*(N($AU48)&gt;$H$4)&gt;0,"leverage high","")))</f>
        <v/>
      </c>
      <c r="AZ48" s="86">
        <f>IF($C48="","",IF(HSI!$F$43="HKD","",HSI!$F$43))</f>
        <v/>
      </c>
    </row>
    <row r="49">
      <c r="B49" s="66" t="inlineStr">
        <is>
          <t>HSI</t>
        </is>
      </c>
      <c r="C49" s="8">
        <f>IF(HSI!$C$44="","",HSI!$C$44)</f>
        <v/>
      </c>
      <c r="D49" s="8">
        <f>IF($C49="","",HSI!$D$44)</f>
        <v/>
      </c>
      <c r="E49" s="8">
        <f>IF($C49="","",HSI!$E$44)</f>
        <v/>
      </c>
      <c r="F49" s="131">
        <f>IF($C49="","",SUMPRODUCT(('Dvd Calendar'!$E$418:$AR$418&gt;=DATE(YEAR_Y-5,1,1))*('Dvd Calendar'!$E$418:$AR$418&lt;=DATE(YEAR_Y-5,12,31))*'Dvd Calendar'!$E$421:$AR$421*(('Dvd Calendar'!$E$423:$AR$423=TYPE1)*(TYPE1&lt;&gt;"")+('Dvd Calendar'!$E$423:$AR$423=TYPE2)*(TYPE2&lt;&gt;"")+('Dvd Calendar'!$E$423:$AR$423=TYPE3)*(TYPE3&lt;&gt;"")+('Dvd Calendar'!$E$423:$AR$423=TYPE4)*(TYPE4&lt;&gt;"")+('Dvd Calendar'!$E$423:$AR$423=SPECIAL_LBL)*(INC_SPECIALS="Y"))))</f>
        <v/>
      </c>
      <c r="G49" s="132">
        <f>IF($C49="","",SUMPRODUCT(('Dvd Calendar'!$E$418:$AR$418&gt;=DATE(YEAR_Y-4,1,1))*('Dvd Calendar'!$E$418:$AR$418&lt;=DATE(YEAR_Y-4,12,31))*'Dvd Calendar'!$E$421:$AR$421*(('Dvd Calendar'!$E$423:$AR$423=TYPE1)*(TYPE1&lt;&gt;"")+('Dvd Calendar'!$E$423:$AR$423=TYPE2)*(TYPE2&lt;&gt;"")+('Dvd Calendar'!$E$423:$AR$423=TYPE3)*(TYPE3&lt;&gt;"")+('Dvd Calendar'!$E$423:$AR$423=TYPE4)*(TYPE4&lt;&gt;"")+('Dvd Calendar'!$E$423:$AR$423=SPECIAL_LBL)*(INC_SPECIALS="Y"))))</f>
        <v/>
      </c>
      <c r="H49" s="132">
        <f>IF($C49="","",SUMPRODUCT(('Dvd Calendar'!$E$418:$AR$418&gt;=DATE(YEAR_Y-3,1,1))*('Dvd Calendar'!$E$418:$AR$418&lt;=DATE(YEAR_Y-3,12,31))*'Dvd Calendar'!$E$421:$AR$421*(('Dvd Calendar'!$E$423:$AR$423=TYPE1)*(TYPE1&lt;&gt;"")+('Dvd Calendar'!$E$423:$AR$423=TYPE2)*(TYPE2&lt;&gt;"")+('Dvd Calendar'!$E$423:$AR$423=TYPE3)*(TYPE3&lt;&gt;"")+('Dvd Calendar'!$E$423:$AR$423=TYPE4)*(TYPE4&lt;&gt;"")+('Dvd Calendar'!$E$423:$AR$423=SPECIAL_LBL)*(INC_SPECIALS="Y"))))</f>
        <v/>
      </c>
      <c r="I49" s="132">
        <f>IF($C49="","",SUMPRODUCT(('Dvd Calendar'!$E$418:$AR$418&gt;=DATE(YEAR_Y-2,1,1))*('Dvd Calendar'!$E$418:$AR$418&lt;=DATE(YEAR_Y-2,12,31))*'Dvd Calendar'!$E$421:$AR$421*(('Dvd Calendar'!$E$423:$AR$423=TYPE1)*(TYPE1&lt;&gt;"")+('Dvd Calendar'!$E$423:$AR$423=TYPE2)*(TYPE2&lt;&gt;"")+('Dvd Calendar'!$E$423:$AR$423=TYPE3)*(TYPE3&lt;&gt;"")+('Dvd Calendar'!$E$423:$AR$423=TYPE4)*(TYPE4&lt;&gt;"")+('Dvd Calendar'!$E$423:$AR$423=SPECIAL_LBL)*(INC_SPECIALS="Y"))))</f>
        <v/>
      </c>
      <c r="J49" s="132">
        <f>IF($C49="","",SUMPRODUCT(('Dvd Calendar'!$E$418:$AR$418&gt;=DATE(YEAR_Y-1,1,1))*('Dvd Calendar'!$E$418:$AR$418&lt;=DATE(YEAR_Y-1,12,31))*'Dvd Calendar'!$E$421:$AR$421*(('Dvd Calendar'!$E$423:$AR$423=TYPE1)*(TYPE1&lt;&gt;"")+('Dvd Calendar'!$E$423:$AR$423=TYPE2)*(TYPE2&lt;&gt;"")+('Dvd Calendar'!$E$423:$AR$423=TYPE3)*(TYPE3&lt;&gt;"")+('Dvd Calendar'!$E$423:$AR$423=TYPE4)*(TYPE4&lt;&gt;"")+('Dvd Calendar'!$E$423:$AR$423=SPECIAL_LBL)*(INC_SPECIALS="Y"))))</f>
        <v/>
      </c>
      <c r="K49" s="133">
        <f>IF($C49="","",HSI!$J$44)</f>
        <v/>
      </c>
      <c r="L49" s="133">
        <f>IF($C49="","",HSI!$K$44)</f>
        <v/>
      </c>
      <c r="M49" s="124">
        <f>IF($C49="","",HSI!$J$44+HSI!$L$44)</f>
        <v/>
      </c>
      <c r="N49" s="134">
        <f>IF($C49="","",IF(PULL_FUND="N","",IFERROR(BDP($C49,BESTDPS_FIELD,FWD_OVERRIDE,TEXT(MOD(YEAR_Y,100),"00")&amp;"Y"),"")))</f>
        <v/>
      </c>
      <c r="O49" s="133">
        <f>IF($C49="","",AVERAGE(F49:J49))</f>
        <v/>
      </c>
      <c r="P49" s="135">
        <f>IF($C49="","",IF(PULL_FUND="N","",IF(COUNTIFS('Fund History'!$J$230:$J$234,"&gt;="&amp;DATE(YEAR_Y-5,1,1),'Fund History'!$J$230:$J$234,"&lt;="&amp;DATE(YEAR_Y-5,12,31))=0,"",IFERROR($F49*HSI!$G$44/SUMIFS('Fund History'!$K$230:$K$234,'Fund History'!$J$230:$J$234,"&gt;="&amp;DATE(YEAR_Y-5,1,1),'Fund History'!$J$230:$J$234,"&lt;="&amp;DATE(YEAR_Y-5,12,31)),""))))</f>
        <v/>
      </c>
      <c r="Q49" s="136">
        <f>IF($C49="","",IF(PULL_FUND="N","",IF(COUNTIFS('Fund History'!$J$230:$J$234,"&gt;="&amp;DATE(YEAR_Y-4,1,1),'Fund History'!$J$230:$J$234,"&lt;="&amp;DATE(YEAR_Y-4,12,31))=0,"",IFERROR($G49*HSI!$G$44/SUMIFS('Fund History'!$K$230:$K$234,'Fund History'!$J$230:$J$234,"&gt;="&amp;DATE(YEAR_Y-4,1,1),'Fund History'!$J$230:$J$234,"&lt;="&amp;DATE(YEAR_Y-4,12,31)),""))))</f>
        <v/>
      </c>
      <c r="R49" s="136">
        <f>IF($C49="","",IF(PULL_FUND="N","",IF(COUNTIFS('Fund History'!$J$230:$J$234,"&gt;="&amp;DATE(YEAR_Y-3,1,1),'Fund History'!$J$230:$J$234,"&lt;="&amp;DATE(YEAR_Y-3,12,31))=0,"",IFERROR($H49*HSI!$G$44/SUMIFS('Fund History'!$K$230:$K$234,'Fund History'!$J$230:$J$234,"&gt;="&amp;DATE(YEAR_Y-3,1,1),'Fund History'!$J$230:$J$234,"&lt;="&amp;DATE(YEAR_Y-3,12,31)),""))))</f>
        <v/>
      </c>
      <c r="S49" s="136">
        <f>IF($C49="","",IF(PULL_FUND="N","",IF(COUNTIFS('Fund History'!$J$230:$J$234,"&gt;="&amp;DATE(YEAR_Y-2,1,1),'Fund History'!$J$230:$J$234,"&lt;="&amp;DATE(YEAR_Y-2,12,31))=0,"",IFERROR($I49*HSI!$G$44/SUMIFS('Fund History'!$K$230:$K$234,'Fund History'!$J$230:$J$234,"&gt;="&amp;DATE(YEAR_Y-2,1,1),'Fund History'!$J$230:$J$234,"&lt;="&amp;DATE(YEAR_Y-2,12,31)),""))))</f>
        <v/>
      </c>
      <c r="T49" s="136">
        <f>IF($C49="","",IF(PULL_FUND="N","",IF(COUNTIFS('Fund History'!$J$230:$J$234,"&gt;="&amp;DATE(YEAR_Y-1,1,1),'Fund History'!$J$230:$J$234,"&lt;="&amp;DATE(YEAR_Y-1,12,31))=0,"",IFERROR($J49*HSI!$G$44/SUMIFS('Fund History'!$K$230:$K$234,'Fund History'!$J$230:$J$234,"&gt;="&amp;DATE(YEAR_Y-1,1,1),'Fund History'!$J$230:$J$234,"&lt;="&amp;DATE(YEAR_Y-1,12,31)),""))))</f>
        <v/>
      </c>
      <c r="U49" s="137">
        <f>IF($C49="","",IF(ISNUMBER(HSI!$I$44),HSI!$I$44/100,""))</f>
        <v/>
      </c>
      <c r="V49" s="138">
        <f>IF($C49="","",IF(ISNUMBER(HSI!$X$44),IFERROR($M49*HSI!$G$44/HSI!$X$44,""),""))</f>
        <v/>
      </c>
      <c r="W49" s="137">
        <f>IF($C49="","",IF(ISNUMBER($N49),IFERROR($N49*HSI!$G$44/HSI!$X$44,""),""))</f>
        <v/>
      </c>
      <c r="X49" s="139">
        <f>IF($C49="","",IF(PULL_FUND="N","",IFERROR(BDP($C49,EPS_FIELD,YR_OVERRIDE,TEXT(YEAR_Y-5,"0")),"")))</f>
        <v/>
      </c>
      <c r="Y49" s="140">
        <f>IF($C49="","",IF(PULL_FUND="N","",IFERROR(BDP($C49,EPS_FIELD,YR_OVERRIDE,TEXT(YEAR_Y-4,"0")),"")))</f>
        <v/>
      </c>
      <c r="Z49" s="140">
        <f>IF($C49="","",IF(PULL_FUND="N","",IFERROR(BDP($C49,EPS_FIELD,YR_OVERRIDE,TEXT(YEAR_Y-3,"0")),"")))</f>
        <v/>
      </c>
      <c r="AA49" s="140">
        <f>IF($C49="","",IF(PULL_FUND="N","",IFERROR(BDP($C49,EPS_FIELD,YR_OVERRIDE,TEXT(YEAR_Y-2,"0")),"")))</f>
        <v/>
      </c>
      <c r="AB49" s="140">
        <f>IF($C49="","",IF(PULL_FUND="N","",IFERROR(BDP($C49,EPS_FIELD,YR_OVERRIDE,TEXT(YEAR_Y-1,"0")),"")))</f>
        <v/>
      </c>
      <c r="AC49" s="126">
        <f>IF($C49="","",IFERROR(AVERAGE(X49:AB49),""))</f>
        <v/>
      </c>
      <c r="AD49" s="140">
        <f>IF($C49="","",IF(PULL_FUND="N","",IFERROR(BDP($C49,BESTEPS_FIELD,FWD_OVERRIDE,TEXT(MOD(YEAR_Y,100),"00")&amp;"Y"),"")))</f>
        <v/>
      </c>
      <c r="AE49" s="141">
        <f>IF($C49="","",IF(PULL_FUND="N","",IFERROR(BDP($C49,PAYOUT_FIELD,YR_OVERRIDE,TEXT(YEAR_Y-5,"0"))/100,"")))</f>
        <v/>
      </c>
      <c r="AF49" s="142">
        <f>IF($C49="","",IF(PULL_FUND="N","",IFERROR(BDP($C49,PAYOUT_FIELD,YR_OVERRIDE,TEXT(YEAR_Y-4,"0"))/100,"")))</f>
        <v/>
      </c>
      <c r="AG49" s="142">
        <f>IF($C49="","",IF(PULL_FUND="N","",IFERROR(BDP($C49,PAYOUT_FIELD,YR_OVERRIDE,TEXT(YEAR_Y-3,"0"))/100,"")))</f>
        <v/>
      </c>
      <c r="AH49" s="142">
        <f>IF($C49="","",IF(PULL_FUND="N","",IFERROR(BDP($C49,PAYOUT_FIELD,YR_OVERRIDE,TEXT(YEAR_Y-2,"0"))/100,"")))</f>
        <v/>
      </c>
      <c r="AI49" s="142">
        <f>IF($C49="","",IF(PULL_FUND="N","",IFERROR(BDP($C49,PAYOUT_FIELD,YR_OVERRIDE,TEXT(YEAR_Y-1,"0"))/100,"")))</f>
        <v/>
      </c>
      <c r="AJ49" s="143">
        <f>IF($C49="","",IFERROR(AVERAGE(AE49:AI49),""))</f>
        <v/>
      </c>
      <c r="AK49" s="144">
        <f>IF($C49="","",IF(ISNUMBER($AD49)*ISNUMBER($N49)*($AD49&lt;&gt;0)=0,"",$N49/$AD49))</f>
        <v/>
      </c>
      <c r="AL49" s="143">
        <f>IF($C49="","",IF(ISNUMBER($AD49)*($AD49&lt;&gt;0)=0,"",$M49/$AD49))</f>
        <v/>
      </c>
      <c r="AM49" s="37">
        <f>IF($C49="","",IF(ISNUMBER($AE49)*ISNUMBER($AI49)=0,"",IF($AI49&gt;$AE49+0.05,"rising",IF($AI49&lt;$AE49-0.05,"falling","stable"))))</f>
        <v/>
      </c>
      <c r="AN49" s="145">
        <f>IF($C49="","",IF(PULL_FUND="N","",IF(COUNTIFS('Fund History'!$G$230:$G$234,"&gt;="&amp;DATE(YEAR_Y-4,1,1),'Fund History'!$G$230:$G$234,"&lt;="&amp;DATE(YEAR_Y-4,12,31))=0,"",SUMIFS('Fund History'!$H$230:$H$234,'Fund History'!$G$230:$G$234,"&gt;="&amp;DATE(YEAR_Y-4,1,1),'Fund History'!$G$230:$G$234,"&lt;="&amp;DATE(YEAR_Y-4,12,31))/100)))</f>
        <v/>
      </c>
      <c r="AO49" s="146">
        <f>IF($C49="","",IF(PULL_FUND="N","",IF(COUNTIFS('Fund History'!$G$230:$G$234,"&gt;="&amp;DATE(YEAR_Y-3,1,1),'Fund History'!$G$230:$G$234,"&lt;="&amp;DATE(YEAR_Y-3,12,31))=0,"",SUMIFS('Fund History'!$H$230:$H$234,'Fund History'!$G$230:$G$234,"&gt;="&amp;DATE(YEAR_Y-3,1,1),'Fund History'!$G$230:$G$234,"&lt;="&amp;DATE(YEAR_Y-3,12,31))/100)))</f>
        <v/>
      </c>
      <c r="AP49" s="146">
        <f>IF($C49="","",IF(PULL_FUND="N","",IF(COUNTIFS('Fund History'!$G$230:$G$234,"&gt;="&amp;DATE(YEAR_Y-2,1,1),'Fund History'!$G$230:$G$234,"&lt;="&amp;DATE(YEAR_Y-2,12,31))=0,"",SUMIFS('Fund History'!$H$230:$H$234,'Fund History'!$G$230:$G$234,"&gt;="&amp;DATE(YEAR_Y-2,1,1),'Fund History'!$G$230:$G$234,"&lt;="&amp;DATE(YEAR_Y-2,12,31))/100)))</f>
        <v/>
      </c>
      <c r="AQ49" s="146">
        <f>IF($C49="","",IF(PULL_FUND="N","",IF(COUNTIFS('Fund History'!$G$230:$G$234,"&gt;="&amp;DATE(YEAR_Y-1,1,1),'Fund History'!$G$230:$G$234,"&lt;="&amp;DATE(YEAR_Y-1,12,31))=0,"",SUMIFS('Fund History'!$H$230:$H$234,'Fund History'!$G$230:$G$234,"&gt;="&amp;DATE(YEAR_Y-1,1,1),'Fund History'!$G$230:$G$234,"&lt;="&amp;DATE(YEAR_Y-1,12,31))/100)))</f>
        <v/>
      </c>
      <c r="AR49" s="147">
        <f>IF($C49="","",IF(N($AQ49)+N(HSI!$I$44)=0,"",N($AQ49)+N(HSI!$I$44)/100))</f>
        <v/>
      </c>
      <c r="AS49" s="139">
        <f>IF($C49="","",IF(PULL_FUND="N","",IF(COUNTIFS('Fund History'!$D$230:$D$234,"&gt;="&amp;DATE(YEAR_Y-2,1,1),'Fund History'!$D$230:$D$234,"&lt;="&amp;DATE(YEAR_Y-2,12,31))=0,"",SUMIFS('Fund History'!$E$230:$E$234,'Fund History'!$D$230:$D$234,"&gt;="&amp;DATE(YEAR_Y-2,1,1),'Fund History'!$D$230:$D$234,"&lt;="&amp;DATE(YEAR_Y-2,12,31)))))</f>
        <v/>
      </c>
      <c r="AT49" s="140">
        <f>IF($C49="","",IF(PULL_FUND="N","",IF(COUNTIFS('Fund History'!$D$230:$D$234,"&gt;="&amp;DATE(YEAR_Y-1,1,1),'Fund History'!$D$230:$D$234,"&lt;="&amp;DATE(YEAR_Y-1,12,31))=0,"",SUMIFS('Fund History'!$E$230:$E$234,'Fund History'!$D$230:$D$234,"&gt;="&amp;DATE(YEAR_Y-1,1,1),'Fund History'!$D$230:$D$234,"&lt;="&amp;DATE(YEAR_Y-1,12,31)))))</f>
        <v/>
      </c>
      <c r="AU49" s="140">
        <f>IF($C49="","",IF(PULL_FUND="N","",IFERROR(BDP($C49,NDEBITDA_FIELD),"")))</f>
        <v/>
      </c>
      <c r="AV49" s="148">
        <f>IF($C49="","",IF(PULL_FUND="N","",IFERROR(BDP($C49,EBINT_FIELD),"")))</f>
        <v/>
      </c>
      <c r="AW49" s="146">
        <f>IF($C49="","",IF(PULL_FUND="N","",IFERROR(BDP($C49,FCF_FIELD)/100,"")))</f>
        <v/>
      </c>
      <c r="AX49" s="126">
        <f>IF($C49="","",IF(N($U49)=0,"",IFERROR($AW49/$U49,"")))</f>
        <v/>
      </c>
      <c r="AY49" s="85">
        <f>IF($C49="","",TRIM(IF(ISNUMBER($AJ49)*(N($AJ49)&gt;$D$4)&gt;0,"payout high  ","")&amp;IF(ISNUMBER($AX49)*(N($AX49)&lt;$F$4)&gt;0,"FCF below dvd  ","")&amp;IF(ISNUMBER($AU49)*(N($AU49)&gt;$H$4)&gt;0,"leverage high","")))</f>
        <v/>
      </c>
      <c r="AZ49" s="86">
        <f>IF($C49="","",IF(HSI!$F$44="HKD","",HSI!$F$44))</f>
        <v/>
      </c>
    </row>
    <row r="50">
      <c r="B50" s="66" t="inlineStr">
        <is>
          <t>HSI</t>
        </is>
      </c>
      <c r="C50" s="8">
        <f>IF(HSI!$C$45="","",HSI!$C$45)</f>
        <v/>
      </c>
      <c r="D50" s="8">
        <f>IF($C50="","",HSI!$D$45)</f>
        <v/>
      </c>
      <c r="E50" s="8">
        <f>IF($C50="","",HSI!$E$45)</f>
        <v/>
      </c>
      <c r="F50" s="131">
        <f>IF($C50="","",SUMPRODUCT(('Dvd Calendar'!$E$429:$AR$429&gt;=DATE(YEAR_Y-5,1,1))*('Dvd Calendar'!$E$429:$AR$429&lt;=DATE(YEAR_Y-5,12,31))*'Dvd Calendar'!$E$432:$AR$432*(('Dvd Calendar'!$E$434:$AR$434=TYPE1)*(TYPE1&lt;&gt;"")+('Dvd Calendar'!$E$434:$AR$434=TYPE2)*(TYPE2&lt;&gt;"")+('Dvd Calendar'!$E$434:$AR$434=TYPE3)*(TYPE3&lt;&gt;"")+('Dvd Calendar'!$E$434:$AR$434=TYPE4)*(TYPE4&lt;&gt;"")+('Dvd Calendar'!$E$434:$AR$434=SPECIAL_LBL)*(INC_SPECIALS="Y"))))</f>
        <v/>
      </c>
      <c r="G50" s="132">
        <f>IF($C50="","",SUMPRODUCT(('Dvd Calendar'!$E$429:$AR$429&gt;=DATE(YEAR_Y-4,1,1))*('Dvd Calendar'!$E$429:$AR$429&lt;=DATE(YEAR_Y-4,12,31))*'Dvd Calendar'!$E$432:$AR$432*(('Dvd Calendar'!$E$434:$AR$434=TYPE1)*(TYPE1&lt;&gt;"")+('Dvd Calendar'!$E$434:$AR$434=TYPE2)*(TYPE2&lt;&gt;"")+('Dvd Calendar'!$E$434:$AR$434=TYPE3)*(TYPE3&lt;&gt;"")+('Dvd Calendar'!$E$434:$AR$434=TYPE4)*(TYPE4&lt;&gt;"")+('Dvd Calendar'!$E$434:$AR$434=SPECIAL_LBL)*(INC_SPECIALS="Y"))))</f>
        <v/>
      </c>
      <c r="H50" s="132">
        <f>IF($C50="","",SUMPRODUCT(('Dvd Calendar'!$E$429:$AR$429&gt;=DATE(YEAR_Y-3,1,1))*('Dvd Calendar'!$E$429:$AR$429&lt;=DATE(YEAR_Y-3,12,31))*'Dvd Calendar'!$E$432:$AR$432*(('Dvd Calendar'!$E$434:$AR$434=TYPE1)*(TYPE1&lt;&gt;"")+('Dvd Calendar'!$E$434:$AR$434=TYPE2)*(TYPE2&lt;&gt;"")+('Dvd Calendar'!$E$434:$AR$434=TYPE3)*(TYPE3&lt;&gt;"")+('Dvd Calendar'!$E$434:$AR$434=TYPE4)*(TYPE4&lt;&gt;"")+('Dvd Calendar'!$E$434:$AR$434=SPECIAL_LBL)*(INC_SPECIALS="Y"))))</f>
        <v/>
      </c>
      <c r="I50" s="132">
        <f>IF($C50="","",SUMPRODUCT(('Dvd Calendar'!$E$429:$AR$429&gt;=DATE(YEAR_Y-2,1,1))*('Dvd Calendar'!$E$429:$AR$429&lt;=DATE(YEAR_Y-2,12,31))*'Dvd Calendar'!$E$432:$AR$432*(('Dvd Calendar'!$E$434:$AR$434=TYPE1)*(TYPE1&lt;&gt;"")+('Dvd Calendar'!$E$434:$AR$434=TYPE2)*(TYPE2&lt;&gt;"")+('Dvd Calendar'!$E$434:$AR$434=TYPE3)*(TYPE3&lt;&gt;"")+('Dvd Calendar'!$E$434:$AR$434=TYPE4)*(TYPE4&lt;&gt;"")+('Dvd Calendar'!$E$434:$AR$434=SPECIAL_LBL)*(INC_SPECIALS="Y"))))</f>
        <v/>
      </c>
      <c r="J50" s="132">
        <f>IF($C50="","",SUMPRODUCT(('Dvd Calendar'!$E$429:$AR$429&gt;=DATE(YEAR_Y-1,1,1))*('Dvd Calendar'!$E$429:$AR$429&lt;=DATE(YEAR_Y-1,12,31))*'Dvd Calendar'!$E$432:$AR$432*(('Dvd Calendar'!$E$434:$AR$434=TYPE1)*(TYPE1&lt;&gt;"")+('Dvd Calendar'!$E$434:$AR$434=TYPE2)*(TYPE2&lt;&gt;"")+('Dvd Calendar'!$E$434:$AR$434=TYPE3)*(TYPE3&lt;&gt;"")+('Dvd Calendar'!$E$434:$AR$434=TYPE4)*(TYPE4&lt;&gt;"")+('Dvd Calendar'!$E$434:$AR$434=SPECIAL_LBL)*(INC_SPECIALS="Y"))))</f>
        <v/>
      </c>
      <c r="K50" s="133">
        <f>IF($C50="","",HSI!$J$45)</f>
        <v/>
      </c>
      <c r="L50" s="133">
        <f>IF($C50="","",HSI!$K$45)</f>
        <v/>
      </c>
      <c r="M50" s="124">
        <f>IF($C50="","",HSI!$J$45+HSI!$L$45)</f>
        <v/>
      </c>
      <c r="N50" s="134">
        <f>IF($C50="","",IF(PULL_FUND="N","",IFERROR(BDP($C50,BESTDPS_FIELD,FWD_OVERRIDE,TEXT(MOD(YEAR_Y,100),"00")&amp;"Y"),"")))</f>
        <v/>
      </c>
      <c r="O50" s="133">
        <f>IF($C50="","",AVERAGE(F50:J50))</f>
        <v/>
      </c>
      <c r="P50" s="135">
        <f>IF($C50="","",IF(PULL_FUND="N","",IF(COUNTIFS('Fund History'!$J$236:$J$240,"&gt;="&amp;DATE(YEAR_Y-5,1,1),'Fund History'!$J$236:$J$240,"&lt;="&amp;DATE(YEAR_Y-5,12,31))=0,"",IFERROR($F50*HSI!$G$45/SUMIFS('Fund History'!$K$236:$K$240,'Fund History'!$J$236:$J$240,"&gt;="&amp;DATE(YEAR_Y-5,1,1),'Fund History'!$J$236:$J$240,"&lt;="&amp;DATE(YEAR_Y-5,12,31)),""))))</f>
        <v/>
      </c>
      <c r="Q50" s="136">
        <f>IF($C50="","",IF(PULL_FUND="N","",IF(COUNTIFS('Fund History'!$J$236:$J$240,"&gt;="&amp;DATE(YEAR_Y-4,1,1),'Fund History'!$J$236:$J$240,"&lt;="&amp;DATE(YEAR_Y-4,12,31))=0,"",IFERROR($G50*HSI!$G$45/SUMIFS('Fund History'!$K$236:$K$240,'Fund History'!$J$236:$J$240,"&gt;="&amp;DATE(YEAR_Y-4,1,1),'Fund History'!$J$236:$J$240,"&lt;="&amp;DATE(YEAR_Y-4,12,31)),""))))</f>
        <v/>
      </c>
      <c r="R50" s="136">
        <f>IF($C50="","",IF(PULL_FUND="N","",IF(COUNTIFS('Fund History'!$J$236:$J$240,"&gt;="&amp;DATE(YEAR_Y-3,1,1),'Fund History'!$J$236:$J$240,"&lt;="&amp;DATE(YEAR_Y-3,12,31))=0,"",IFERROR($H50*HSI!$G$45/SUMIFS('Fund History'!$K$236:$K$240,'Fund History'!$J$236:$J$240,"&gt;="&amp;DATE(YEAR_Y-3,1,1),'Fund History'!$J$236:$J$240,"&lt;="&amp;DATE(YEAR_Y-3,12,31)),""))))</f>
        <v/>
      </c>
      <c r="S50" s="136">
        <f>IF($C50="","",IF(PULL_FUND="N","",IF(COUNTIFS('Fund History'!$J$236:$J$240,"&gt;="&amp;DATE(YEAR_Y-2,1,1),'Fund History'!$J$236:$J$240,"&lt;="&amp;DATE(YEAR_Y-2,12,31))=0,"",IFERROR($I50*HSI!$G$45/SUMIFS('Fund History'!$K$236:$K$240,'Fund History'!$J$236:$J$240,"&gt;="&amp;DATE(YEAR_Y-2,1,1),'Fund History'!$J$236:$J$240,"&lt;="&amp;DATE(YEAR_Y-2,12,31)),""))))</f>
        <v/>
      </c>
      <c r="T50" s="136">
        <f>IF($C50="","",IF(PULL_FUND="N","",IF(COUNTIFS('Fund History'!$J$236:$J$240,"&gt;="&amp;DATE(YEAR_Y-1,1,1),'Fund History'!$J$236:$J$240,"&lt;="&amp;DATE(YEAR_Y-1,12,31))=0,"",IFERROR($J50*HSI!$G$45/SUMIFS('Fund History'!$K$236:$K$240,'Fund History'!$J$236:$J$240,"&gt;="&amp;DATE(YEAR_Y-1,1,1),'Fund History'!$J$236:$J$240,"&lt;="&amp;DATE(YEAR_Y-1,12,31)),""))))</f>
        <v/>
      </c>
      <c r="U50" s="137">
        <f>IF($C50="","",IF(ISNUMBER(HSI!$I$45),HSI!$I$45/100,""))</f>
        <v/>
      </c>
      <c r="V50" s="138">
        <f>IF($C50="","",IF(ISNUMBER(HSI!$X$45),IFERROR($M50*HSI!$G$45/HSI!$X$45,""),""))</f>
        <v/>
      </c>
      <c r="W50" s="137">
        <f>IF($C50="","",IF(ISNUMBER($N50),IFERROR($N50*HSI!$G$45/HSI!$X$45,""),""))</f>
        <v/>
      </c>
      <c r="X50" s="139">
        <f>IF($C50="","",IF(PULL_FUND="N","",IFERROR(BDP($C50,EPS_FIELD,YR_OVERRIDE,TEXT(YEAR_Y-5,"0")),"")))</f>
        <v/>
      </c>
      <c r="Y50" s="140">
        <f>IF($C50="","",IF(PULL_FUND="N","",IFERROR(BDP($C50,EPS_FIELD,YR_OVERRIDE,TEXT(YEAR_Y-4,"0")),"")))</f>
        <v/>
      </c>
      <c r="Z50" s="140">
        <f>IF($C50="","",IF(PULL_FUND="N","",IFERROR(BDP($C50,EPS_FIELD,YR_OVERRIDE,TEXT(YEAR_Y-3,"0")),"")))</f>
        <v/>
      </c>
      <c r="AA50" s="140">
        <f>IF($C50="","",IF(PULL_FUND="N","",IFERROR(BDP($C50,EPS_FIELD,YR_OVERRIDE,TEXT(YEAR_Y-2,"0")),"")))</f>
        <v/>
      </c>
      <c r="AB50" s="140">
        <f>IF($C50="","",IF(PULL_FUND="N","",IFERROR(BDP($C50,EPS_FIELD,YR_OVERRIDE,TEXT(YEAR_Y-1,"0")),"")))</f>
        <v/>
      </c>
      <c r="AC50" s="126">
        <f>IF($C50="","",IFERROR(AVERAGE(X50:AB50),""))</f>
        <v/>
      </c>
      <c r="AD50" s="140">
        <f>IF($C50="","",IF(PULL_FUND="N","",IFERROR(BDP($C50,BESTEPS_FIELD,FWD_OVERRIDE,TEXT(MOD(YEAR_Y,100),"00")&amp;"Y"),"")))</f>
        <v/>
      </c>
      <c r="AE50" s="141">
        <f>IF($C50="","",IF(PULL_FUND="N","",IFERROR(BDP($C50,PAYOUT_FIELD,YR_OVERRIDE,TEXT(YEAR_Y-5,"0"))/100,"")))</f>
        <v/>
      </c>
      <c r="AF50" s="142">
        <f>IF($C50="","",IF(PULL_FUND="N","",IFERROR(BDP($C50,PAYOUT_FIELD,YR_OVERRIDE,TEXT(YEAR_Y-4,"0"))/100,"")))</f>
        <v/>
      </c>
      <c r="AG50" s="142">
        <f>IF($C50="","",IF(PULL_FUND="N","",IFERROR(BDP($C50,PAYOUT_FIELD,YR_OVERRIDE,TEXT(YEAR_Y-3,"0"))/100,"")))</f>
        <v/>
      </c>
      <c r="AH50" s="142">
        <f>IF($C50="","",IF(PULL_FUND="N","",IFERROR(BDP($C50,PAYOUT_FIELD,YR_OVERRIDE,TEXT(YEAR_Y-2,"0"))/100,"")))</f>
        <v/>
      </c>
      <c r="AI50" s="142">
        <f>IF($C50="","",IF(PULL_FUND="N","",IFERROR(BDP($C50,PAYOUT_FIELD,YR_OVERRIDE,TEXT(YEAR_Y-1,"0"))/100,"")))</f>
        <v/>
      </c>
      <c r="AJ50" s="143">
        <f>IF($C50="","",IFERROR(AVERAGE(AE50:AI50),""))</f>
        <v/>
      </c>
      <c r="AK50" s="144">
        <f>IF($C50="","",IF(ISNUMBER($AD50)*ISNUMBER($N50)*($AD50&lt;&gt;0)=0,"",$N50/$AD50))</f>
        <v/>
      </c>
      <c r="AL50" s="143">
        <f>IF($C50="","",IF(ISNUMBER($AD50)*($AD50&lt;&gt;0)=0,"",$M50/$AD50))</f>
        <v/>
      </c>
      <c r="AM50" s="37">
        <f>IF($C50="","",IF(ISNUMBER($AE50)*ISNUMBER($AI50)=0,"",IF($AI50&gt;$AE50+0.05,"rising",IF($AI50&lt;$AE50-0.05,"falling","stable"))))</f>
        <v/>
      </c>
      <c r="AN50" s="145">
        <f>IF($C50="","",IF(PULL_FUND="N","",IF(COUNTIFS('Fund History'!$G$236:$G$240,"&gt;="&amp;DATE(YEAR_Y-4,1,1),'Fund History'!$G$236:$G$240,"&lt;="&amp;DATE(YEAR_Y-4,12,31))=0,"",SUMIFS('Fund History'!$H$236:$H$240,'Fund History'!$G$236:$G$240,"&gt;="&amp;DATE(YEAR_Y-4,1,1),'Fund History'!$G$236:$G$240,"&lt;="&amp;DATE(YEAR_Y-4,12,31))/100)))</f>
        <v/>
      </c>
      <c r="AO50" s="146">
        <f>IF($C50="","",IF(PULL_FUND="N","",IF(COUNTIFS('Fund History'!$G$236:$G$240,"&gt;="&amp;DATE(YEAR_Y-3,1,1),'Fund History'!$G$236:$G$240,"&lt;="&amp;DATE(YEAR_Y-3,12,31))=0,"",SUMIFS('Fund History'!$H$236:$H$240,'Fund History'!$G$236:$G$240,"&gt;="&amp;DATE(YEAR_Y-3,1,1),'Fund History'!$G$236:$G$240,"&lt;="&amp;DATE(YEAR_Y-3,12,31))/100)))</f>
        <v/>
      </c>
      <c r="AP50" s="146">
        <f>IF($C50="","",IF(PULL_FUND="N","",IF(COUNTIFS('Fund History'!$G$236:$G$240,"&gt;="&amp;DATE(YEAR_Y-2,1,1),'Fund History'!$G$236:$G$240,"&lt;="&amp;DATE(YEAR_Y-2,12,31))=0,"",SUMIFS('Fund History'!$H$236:$H$240,'Fund History'!$G$236:$G$240,"&gt;="&amp;DATE(YEAR_Y-2,1,1),'Fund History'!$G$236:$G$240,"&lt;="&amp;DATE(YEAR_Y-2,12,31))/100)))</f>
        <v/>
      </c>
      <c r="AQ50" s="146">
        <f>IF($C50="","",IF(PULL_FUND="N","",IF(COUNTIFS('Fund History'!$G$236:$G$240,"&gt;="&amp;DATE(YEAR_Y-1,1,1),'Fund History'!$G$236:$G$240,"&lt;="&amp;DATE(YEAR_Y-1,12,31))=0,"",SUMIFS('Fund History'!$H$236:$H$240,'Fund History'!$G$236:$G$240,"&gt;="&amp;DATE(YEAR_Y-1,1,1),'Fund History'!$G$236:$G$240,"&lt;="&amp;DATE(YEAR_Y-1,12,31))/100)))</f>
        <v/>
      </c>
      <c r="AR50" s="147">
        <f>IF($C50="","",IF(N($AQ50)+N(HSI!$I$45)=0,"",N($AQ50)+N(HSI!$I$45)/100))</f>
        <v/>
      </c>
      <c r="AS50" s="139">
        <f>IF($C50="","",IF(PULL_FUND="N","",IF(COUNTIFS('Fund History'!$D$236:$D$240,"&gt;="&amp;DATE(YEAR_Y-2,1,1),'Fund History'!$D$236:$D$240,"&lt;="&amp;DATE(YEAR_Y-2,12,31))=0,"",SUMIFS('Fund History'!$E$236:$E$240,'Fund History'!$D$236:$D$240,"&gt;="&amp;DATE(YEAR_Y-2,1,1),'Fund History'!$D$236:$D$240,"&lt;="&amp;DATE(YEAR_Y-2,12,31)))))</f>
        <v/>
      </c>
      <c r="AT50" s="140">
        <f>IF($C50="","",IF(PULL_FUND="N","",IF(COUNTIFS('Fund History'!$D$236:$D$240,"&gt;="&amp;DATE(YEAR_Y-1,1,1),'Fund History'!$D$236:$D$240,"&lt;="&amp;DATE(YEAR_Y-1,12,31))=0,"",SUMIFS('Fund History'!$E$236:$E$240,'Fund History'!$D$236:$D$240,"&gt;="&amp;DATE(YEAR_Y-1,1,1),'Fund History'!$D$236:$D$240,"&lt;="&amp;DATE(YEAR_Y-1,12,31)))))</f>
        <v/>
      </c>
      <c r="AU50" s="140">
        <f>IF($C50="","",IF(PULL_FUND="N","",IFERROR(BDP($C50,NDEBITDA_FIELD),"")))</f>
        <v/>
      </c>
      <c r="AV50" s="148">
        <f>IF($C50="","",IF(PULL_FUND="N","",IFERROR(BDP($C50,EBINT_FIELD),"")))</f>
        <v/>
      </c>
      <c r="AW50" s="146">
        <f>IF($C50="","",IF(PULL_FUND="N","",IFERROR(BDP($C50,FCF_FIELD)/100,"")))</f>
        <v/>
      </c>
      <c r="AX50" s="126">
        <f>IF($C50="","",IF(N($U50)=0,"",IFERROR($AW50/$U50,"")))</f>
        <v/>
      </c>
      <c r="AY50" s="85">
        <f>IF($C50="","",TRIM(IF(ISNUMBER($AJ50)*(N($AJ50)&gt;$D$4)&gt;0,"payout high  ","")&amp;IF(ISNUMBER($AX50)*(N($AX50)&lt;$F$4)&gt;0,"FCF below dvd  ","")&amp;IF(ISNUMBER($AU50)*(N($AU50)&gt;$H$4)&gt;0,"leverage high","")))</f>
        <v/>
      </c>
      <c r="AZ50" s="86">
        <f>IF($C50="","",IF(HSI!$F$45="HKD","",HSI!$F$45))</f>
        <v/>
      </c>
    </row>
    <row r="51">
      <c r="B51" s="66" t="inlineStr">
        <is>
          <t>HSI</t>
        </is>
      </c>
      <c r="C51" s="8">
        <f>IF(HSI!$C$46="","",HSI!$C$46)</f>
        <v/>
      </c>
      <c r="D51" s="8">
        <f>IF($C51="","",HSI!$D$46)</f>
        <v/>
      </c>
      <c r="E51" s="8">
        <f>IF($C51="","",HSI!$E$46)</f>
        <v/>
      </c>
      <c r="F51" s="131">
        <f>IF($C51="","",SUMPRODUCT(('Dvd Calendar'!$E$440:$AR$440&gt;=DATE(YEAR_Y-5,1,1))*('Dvd Calendar'!$E$440:$AR$440&lt;=DATE(YEAR_Y-5,12,31))*'Dvd Calendar'!$E$443:$AR$443*(('Dvd Calendar'!$E$445:$AR$445=TYPE1)*(TYPE1&lt;&gt;"")+('Dvd Calendar'!$E$445:$AR$445=TYPE2)*(TYPE2&lt;&gt;"")+('Dvd Calendar'!$E$445:$AR$445=TYPE3)*(TYPE3&lt;&gt;"")+('Dvd Calendar'!$E$445:$AR$445=TYPE4)*(TYPE4&lt;&gt;"")+('Dvd Calendar'!$E$445:$AR$445=SPECIAL_LBL)*(INC_SPECIALS="Y"))))</f>
        <v/>
      </c>
      <c r="G51" s="132">
        <f>IF($C51="","",SUMPRODUCT(('Dvd Calendar'!$E$440:$AR$440&gt;=DATE(YEAR_Y-4,1,1))*('Dvd Calendar'!$E$440:$AR$440&lt;=DATE(YEAR_Y-4,12,31))*'Dvd Calendar'!$E$443:$AR$443*(('Dvd Calendar'!$E$445:$AR$445=TYPE1)*(TYPE1&lt;&gt;"")+('Dvd Calendar'!$E$445:$AR$445=TYPE2)*(TYPE2&lt;&gt;"")+('Dvd Calendar'!$E$445:$AR$445=TYPE3)*(TYPE3&lt;&gt;"")+('Dvd Calendar'!$E$445:$AR$445=TYPE4)*(TYPE4&lt;&gt;"")+('Dvd Calendar'!$E$445:$AR$445=SPECIAL_LBL)*(INC_SPECIALS="Y"))))</f>
        <v/>
      </c>
      <c r="H51" s="132">
        <f>IF($C51="","",SUMPRODUCT(('Dvd Calendar'!$E$440:$AR$440&gt;=DATE(YEAR_Y-3,1,1))*('Dvd Calendar'!$E$440:$AR$440&lt;=DATE(YEAR_Y-3,12,31))*'Dvd Calendar'!$E$443:$AR$443*(('Dvd Calendar'!$E$445:$AR$445=TYPE1)*(TYPE1&lt;&gt;"")+('Dvd Calendar'!$E$445:$AR$445=TYPE2)*(TYPE2&lt;&gt;"")+('Dvd Calendar'!$E$445:$AR$445=TYPE3)*(TYPE3&lt;&gt;"")+('Dvd Calendar'!$E$445:$AR$445=TYPE4)*(TYPE4&lt;&gt;"")+('Dvd Calendar'!$E$445:$AR$445=SPECIAL_LBL)*(INC_SPECIALS="Y"))))</f>
        <v/>
      </c>
      <c r="I51" s="132">
        <f>IF($C51="","",SUMPRODUCT(('Dvd Calendar'!$E$440:$AR$440&gt;=DATE(YEAR_Y-2,1,1))*('Dvd Calendar'!$E$440:$AR$440&lt;=DATE(YEAR_Y-2,12,31))*'Dvd Calendar'!$E$443:$AR$443*(('Dvd Calendar'!$E$445:$AR$445=TYPE1)*(TYPE1&lt;&gt;"")+('Dvd Calendar'!$E$445:$AR$445=TYPE2)*(TYPE2&lt;&gt;"")+('Dvd Calendar'!$E$445:$AR$445=TYPE3)*(TYPE3&lt;&gt;"")+('Dvd Calendar'!$E$445:$AR$445=TYPE4)*(TYPE4&lt;&gt;"")+('Dvd Calendar'!$E$445:$AR$445=SPECIAL_LBL)*(INC_SPECIALS="Y"))))</f>
        <v/>
      </c>
      <c r="J51" s="132">
        <f>IF($C51="","",SUMPRODUCT(('Dvd Calendar'!$E$440:$AR$440&gt;=DATE(YEAR_Y-1,1,1))*('Dvd Calendar'!$E$440:$AR$440&lt;=DATE(YEAR_Y-1,12,31))*'Dvd Calendar'!$E$443:$AR$443*(('Dvd Calendar'!$E$445:$AR$445=TYPE1)*(TYPE1&lt;&gt;"")+('Dvd Calendar'!$E$445:$AR$445=TYPE2)*(TYPE2&lt;&gt;"")+('Dvd Calendar'!$E$445:$AR$445=TYPE3)*(TYPE3&lt;&gt;"")+('Dvd Calendar'!$E$445:$AR$445=TYPE4)*(TYPE4&lt;&gt;"")+('Dvd Calendar'!$E$445:$AR$445=SPECIAL_LBL)*(INC_SPECIALS="Y"))))</f>
        <v/>
      </c>
      <c r="K51" s="133">
        <f>IF($C51="","",HSI!$J$46)</f>
        <v/>
      </c>
      <c r="L51" s="133">
        <f>IF($C51="","",HSI!$K$46)</f>
        <v/>
      </c>
      <c r="M51" s="124">
        <f>IF($C51="","",HSI!$J$46+HSI!$L$46)</f>
        <v/>
      </c>
      <c r="N51" s="134">
        <f>IF($C51="","",IF(PULL_FUND="N","",IFERROR(BDP($C51,BESTDPS_FIELD,FWD_OVERRIDE,TEXT(MOD(YEAR_Y,100),"00")&amp;"Y"),"")))</f>
        <v/>
      </c>
      <c r="O51" s="133">
        <f>IF($C51="","",AVERAGE(F51:J51))</f>
        <v/>
      </c>
      <c r="P51" s="135">
        <f>IF($C51="","",IF(PULL_FUND="N","",IF(COUNTIFS('Fund History'!$J$242:$J$246,"&gt;="&amp;DATE(YEAR_Y-5,1,1),'Fund History'!$J$242:$J$246,"&lt;="&amp;DATE(YEAR_Y-5,12,31))=0,"",IFERROR($F51*HSI!$G$46/SUMIFS('Fund History'!$K$242:$K$246,'Fund History'!$J$242:$J$246,"&gt;="&amp;DATE(YEAR_Y-5,1,1),'Fund History'!$J$242:$J$246,"&lt;="&amp;DATE(YEAR_Y-5,12,31)),""))))</f>
        <v/>
      </c>
      <c r="Q51" s="136">
        <f>IF($C51="","",IF(PULL_FUND="N","",IF(COUNTIFS('Fund History'!$J$242:$J$246,"&gt;="&amp;DATE(YEAR_Y-4,1,1),'Fund History'!$J$242:$J$246,"&lt;="&amp;DATE(YEAR_Y-4,12,31))=0,"",IFERROR($G51*HSI!$G$46/SUMIFS('Fund History'!$K$242:$K$246,'Fund History'!$J$242:$J$246,"&gt;="&amp;DATE(YEAR_Y-4,1,1),'Fund History'!$J$242:$J$246,"&lt;="&amp;DATE(YEAR_Y-4,12,31)),""))))</f>
        <v/>
      </c>
      <c r="R51" s="136">
        <f>IF($C51="","",IF(PULL_FUND="N","",IF(COUNTIFS('Fund History'!$J$242:$J$246,"&gt;="&amp;DATE(YEAR_Y-3,1,1),'Fund History'!$J$242:$J$246,"&lt;="&amp;DATE(YEAR_Y-3,12,31))=0,"",IFERROR($H51*HSI!$G$46/SUMIFS('Fund History'!$K$242:$K$246,'Fund History'!$J$242:$J$246,"&gt;="&amp;DATE(YEAR_Y-3,1,1),'Fund History'!$J$242:$J$246,"&lt;="&amp;DATE(YEAR_Y-3,12,31)),""))))</f>
        <v/>
      </c>
      <c r="S51" s="136">
        <f>IF($C51="","",IF(PULL_FUND="N","",IF(COUNTIFS('Fund History'!$J$242:$J$246,"&gt;="&amp;DATE(YEAR_Y-2,1,1),'Fund History'!$J$242:$J$246,"&lt;="&amp;DATE(YEAR_Y-2,12,31))=0,"",IFERROR($I51*HSI!$G$46/SUMIFS('Fund History'!$K$242:$K$246,'Fund History'!$J$242:$J$246,"&gt;="&amp;DATE(YEAR_Y-2,1,1),'Fund History'!$J$242:$J$246,"&lt;="&amp;DATE(YEAR_Y-2,12,31)),""))))</f>
        <v/>
      </c>
      <c r="T51" s="136">
        <f>IF($C51="","",IF(PULL_FUND="N","",IF(COUNTIFS('Fund History'!$J$242:$J$246,"&gt;="&amp;DATE(YEAR_Y-1,1,1),'Fund History'!$J$242:$J$246,"&lt;="&amp;DATE(YEAR_Y-1,12,31))=0,"",IFERROR($J51*HSI!$G$46/SUMIFS('Fund History'!$K$242:$K$246,'Fund History'!$J$242:$J$246,"&gt;="&amp;DATE(YEAR_Y-1,1,1),'Fund History'!$J$242:$J$246,"&lt;="&amp;DATE(YEAR_Y-1,12,31)),""))))</f>
        <v/>
      </c>
      <c r="U51" s="137">
        <f>IF($C51="","",IF(ISNUMBER(HSI!$I$46),HSI!$I$46/100,""))</f>
        <v/>
      </c>
      <c r="V51" s="138">
        <f>IF($C51="","",IF(ISNUMBER(HSI!$X$46),IFERROR($M51*HSI!$G$46/HSI!$X$46,""),""))</f>
        <v/>
      </c>
      <c r="W51" s="137">
        <f>IF($C51="","",IF(ISNUMBER($N51),IFERROR($N51*HSI!$G$46/HSI!$X$46,""),""))</f>
        <v/>
      </c>
      <c r="X51" s="139">
        <f>IF($C51="","",IF(PULL_FUND="N","",IFERROR(BDP($C51,EPS_FIELD,YR_OVERRIDE,TEXT(YEAR_Y-5,"0")),"")))</f>
        <v/>
      </c>
      <c r="Y51" s="140">
        <f>IF($C51="","",IF(PULL_FUND="N","",IFERROR(BDP($C51,EPS_FIELD,YR_OVERRIDE,TEXT(YEAR_Y-4,"0")),"")))</f>
        <v/>
      </c>
      <c r="Z51" s="140">
        <f>IF($C51="","",IF(PULL_FUND="N","",IFERROR(BDP($C51,EPS_FIELD,YR_OVERRIDE,TEXT(YEAR_Y-3,"0")),"")))</f>
        <v/>
      </c>
      <c r="AA51" s="140">
        <f>IF($C51="","",IF(PULL_FUND="N","",IFERROR(BDP($C51,EPS_FIELD,YR_OVERRIDE,TEXT(YEAR_Y-2,"0")),"")))</f>
        <v/>
      </c>
      <c r="AB51" s="140">
        <f>IF($C51="","",IF(PULL_FUND="N","",IFERROR(BDP($C51,EPS_FIELD,YR_OVERRIDE,TEXT(YEAR_Y-1,"0")),"")))</f>
        <v/>
      </c>
      <c r="AC51" s="126">
        <f>IF($C51="","",IFERROR(AVERAGE(X51:AB51),""))</f>
        <v/>
      </c>
      <c r="AD51" s="140">
        <f>IF($C51="","",IF(PULL_FUND="N","",IFERROR(BDP($C51,BESTEPS_FIELD,FWD_OVERRIDE,TEXT(MOD(YEAR_Y,100),"00")&amp;"Y"),"")))</f>
        <v/>
      </c>
      <c r="AE51" s="141">
        <f>IF($C51="","",IF(PULL_FUND="N","",IFERROR(BDP($C51,PAYOUT_FIELD,YR_OVERRIDE,TEXT(YEAR_Y-5,"0"))/100,"")))</f>
        <v/>
      </c>
      <c r="AF51" s="142">
        <f>IF($C51="","",IF(PULL_FUND="N","",IFERROR(BDP($C51,PAYOUT_FIELD,YR_OVERRIDE,TEXT(YEAR_Y-4,"0"))/100,"")))</f>
        <v/>
      </c>
      <c r="AG51" s="142">
        <f>IF($C51="","",IF(PULL_FUND="N","",IFERROR(BDP($C51,PAYOUT_FIELD,YR_OVERRIDE,TEXT(YEAR_Y-3,"0"))/100,"")))</f>
        <v/>
      </c>
      <c r="AH51" s="142">
        <f>IF($C51="","",IF(PULL_FUND="N","",IFERROR(BDP($C51,PAYOUT_FIELD,YR_OVERRIDE,TEXT(YEAR_Y-2,"0"))/100,"")))</f>
        <v/>
      </c>
      <c r="AI51" s="142">
        <f>IF($C51="","",IF(PULL_FUND="N","",IFERROR(BDP($C51,PAYOUT_FIELD,YR_OVERRIDE,TEXT(YEAR_Y-1,"0"))/100,"")))</f>
        <v/>
      </c>
      <c r="AJ51" s="143">
        <f>IF($C51="","",IFERROR(AVERAGE(AE51:AI51),""))</f>
        <v/>
      </c>
      <c r="AK51" s="144">
        <f>IF($C51="","",IF(ISNUMBER($AD51)*ISNUMBER($N51)*($AD51&lt;&gt;0)=0,"",$N51/$AD51))</f>
        <v/>
      </c>
      <c r="AL51" s="143">
        <f>IF($C51="","",IF(ISNUMBER($AD51)*($AD51&lt;&gt;0)=0,"",$M51/$AD51))</f>
        <v/>
      </c>
      <c r="AM51" s="37">
        <f>IF($C51="","",IF(ISNUMBER($AE51)*ISNUMBER($AI51)=0,"",IF($AI51&gt;$AE51+0.05,"rising",IF($AI51&lt;$AE51-0.05,"falling","stable"))))</f>
        <v/>
      </c>
      <c r="AN51" s="145">
        <f>IF($C51="","",IF(PULL_FUND="N","",IF(COUNTIFS('Fund History'!$G$242:$G$246,"&gt;="&amp;DATE(YEAR_Y-4,1,1),'Fund History'!$G$242:$G$246,"&lt;="&amp;DATE(YEAR_Y-4,12,31))=0,"",SUMIFS('Fund History'!$H$242:$H$246,'Fund History'!$G$242:$G$246,"&gt;="&amp;DATE(YEAR_Y-4,1,1),'Fund History'!$G$242:$G$246,"&lt;="&amp;DATE(YEAR_Y-4,12,31))/100)))</f>
        <v/>
      </c>
      <c r="AO51" s="146">
        <f>IF($C51="","",IF(PULL_FUND="N","",IF(COUNTIFS('Fund History'!$G$242:$G$246,"&gt;="&amp;DATE(YEAR_Y-3,1,1),'Fund History'!$G$242:$G$246,"&lt;="&amp;DATE(YEAR_Y-3,12,31))=0,"",SUMIFS('Fund History'!$H$242:$H$246,'Fund History'!$G$242:$G$246,"&gt;="&amp;DATE(YEAR_Y-3,1,1),'Fund History'!$G$242:$G$246,"&lt;="&amp;DATE(YEAR_Y-3,12,31))/100)))</f>
        <v/>
      </c>
      <c r="AP51" s="146">
        <f>IF($C51="","",IF(PULL_FUND="N","",IF(COUNTIFS('Fund History'!$G$242:$G$246,"&gt;="&amp;DATE(YEAR_Y-2,1,1),'Fund History'!$G$242:$G$246,"&lt;="&amp;DATE(YEAR_Y-2,12,31))=0,"",SUMIFS('Fund History'!$H$242:$H$246,'Fund History'!$G$242:$G$246,"&gt;="&amp;DATE(YEAR_Y-2,1,1),'Fund History'!$G$242:$G$246,"&lt;="&amp;DATE(YEAR_Y-2,12,31))/100)))</f>
        <v/>
      </c>
      <c r="AQ51" s="146">
        <f>IF($C51="","",IF(PULL_FUND="N","",IF(COUNTIFS('Fund History'!$G$242:$G$246,"&gt;="&amp;DATE(YEAR_Y-1,1,1),'Fund History'!$G$242:$G$246,"&lt;="&amp;DATE(YEAR_Y-1,12,31))=0,"",SUMIFS('Fund History'!$H$242:$H$246,'Fund History'!$G$242:$G$246,"&gt;="&amp;DATE(YEAR_Y-1,1,1),'Fund History'!$G$242:$G$246,"&lt;="&amp;DATE(YEAR_Y-1,12,31))/100)))</f>
        <v/>
      </c>
      <c r="AR51" s="147">
        <f>IF($C51="","",IF(N($AQ51)+N(HSI!$I$46)=0,"",N($AQ51)+N(HSI!$I$46)/100))</f>
        <v/>
      </c>
      <c r="AS51" s="139">
        <f>IF($C51="","",IF(PULL_FUND="N","",IF(COUNTIFS('Fund History'!$D$242:$D$246,"&gt;="&amp;DATE(YEAR_Y-2,1,1),'Fund History'!$D$242:$D$246,"&lt;="&amp;DATE(YEAR_Y-2,12,31))=0,"",SUMIFS('Fund History'!$E$242:$E$246,'Fund History'!$D$242:$D$246,"&gt;="&amp;DATE(YEAR_Y-2,1,1),'Fund History'!$D$242:$D$246,"&lt;="&amp;DATE(YEAR_Y-2,12,31)))))</f>
        <v/>
      </c>
      <c r="AT51" s="140">
        <f>IF($C51="","",IF(PULL_FUND="N","",IF(COUNTIFS('Fund History'!$D$242:$D$246,"&gt;="&amp;DATE(YEAR_Y-1,1,1),'Fund History'!$D$242:$D$246,"&lt;="&amp;DATE(YEAR_Y-1,12,31))=0,"",SUMIFS('Fund History'!$E$242:$E$246,'Fund History'!$D$242:$D$246,"&gt;="&amp;DATE(YEAR_Y-1,1,1),'Fund History'!$D$242:$D$246,"&lt;="&amp;DATE(YEAR_Y-1,12,31)))))</f>
        <v/>
      </c>
      <c r="AU51" s="140">
        <f>IF($C51="","",IF(PULL_FUND="N","",IFERROR(BDP($C51,NDEBITDA_FIELD),"")))</f>
        <v/>
      </c>
      <c r="AV51" s="148">
        <f>IF($C51="","",IF(PULL_FUND="N","",IFERROR(BDP($C51,EBINT_FIELD),"")))</f>
        <v/>
      </c>
      <c r="AW51" s="146">
        <f>IF($C51="","",IF(PULL_FUND="N","",IFERROR(BDP($C51,FCF_FIELD)/100,"")))</f>
        <v/>
      </c>
      <c r="AX51" s="126">
        <f>IF($C51="","",IF(N($U51)=0,"",IFERROR($AW51/$U51,"")))</f>
        <v/>
      </c>
      <c r="AY51" s="85">
        <f>IF($C51="","",TRIM(IF(ISNUMBER($AJ51)*(N($AJ51)&gt;$D$4)&gt;0,"payout high  ","")&amp;IF(ISNUMBER($AX51)*(N($AX51)&lt;$F$4)&gt;0,"FCF below dvd  ","")&amp;IF(ISNUMBER($AU51)*(N($AU51)&gt;$H$4)&gt;0,"leverage high","")))</f>
        <v/>
      </c>
      <c r="AZ51" s="86">
        <f>IF($C51="","",IF(HSI!$F$46="HKD","",HSI!$F$46))</f>
        <v/>
      </c>
    </row>
    <row r="52">
      <c r="B52" s="66" t="inlineStr">
        <is>
          <t>HSI</t>
        </is>
      </c>
      <c r="C52" s="8">
        <f>IF(HSI!$C$47="","",HSI!$C$47)</f>
        <v/>
      </c>
      <c r="D52" s="8">
        <f>IF($C52="","",HSI!$D$47)</f>
        <v/>
      </c>
      <c r="E52" s="8">
        <f>IF($C52="","",HSI!$E$47)</f>
        <v/>
      </c>
      <c r="F52" s="131">
        <f>IF($C52="","",SUMPRODUCT(('Dvd Calendar'!$E$451:$AR$451&gt;=DATE(YEAR_Y-5,1,1))*('Dvd Calendar'!$E$451:$AR$451&lt;=DATE(YEAR_Y-5,12,31))*'Dvd Calendar'!$E$454:$AR$454*(('Dvd Calendar'!$E$456:$AR$456=TYPE1)*(TYPE1&lt;&gt;"")+('Dvd Calendar'!$E$456:$AR$456=TYPE2)*(TYPE2&lt;&gt;"")+('Dvd Calendar'!$E$456:$AR$456=TYPE3)*(TYPE3&lt;&gt;"")+('Dvd Calendar'!$E$456:$AR$456=TYPE4)*(TYPE4&lt;&gt;"")+('Dvd Calendar'!$E$456:$AR$456=SPECIAL_LBL)*(INC_SPECIALS="Y"))))</f>
        <v/>
      </c>
      <c r="G52" s="132">
        <f>IF($C52="","",SUMPRODUCT(('Dvd Calendar'!$E$451:$AR$451&gt;=DATE(YEAR_Y-4,1,1))*('Dvd Calendar'!$E$451:$AR$451&lt;=DATE(YEAR_Y-4,12,31))*'Dvd Calendar'!$E$454:$AR$454*(('Dvd Calendar'!$E$456:$AR$456=TYPE1)*(TYPE1&lt;&gt;"")+('Dvd Calendar'!$E$456:$AR$456=TYPE2)*(TYPE2&lt;&gt;"")+('Dvd Calendar'!$E$456:$AR$456=TYPE3)*(TYPE3&lt;&gt;"")+('Dvd Calendar'!$E$456:$AR$456=TYPE4)*(TYPE4&lt;&gt;"")+('Dvd Calendar'!$E$456:$AR$456=SPECIAL_LBL)*(INC_SPECIALS="Y"))))</f>
        <v/>
      </c>
      <c r="H52" s="132">
        <f>IF($C52="","",SUMPRODUCT(('Dvd Calendar'!$E$451:$AR$451&gt;=DATE(YEAR_Y-3,1,1))*('Dvd Calendar'!$E$451:$AR$451&lt;=DATE(YEAR_Y-3,12,31))*'Dvd Calendar'!$E$454:$AR$454*(('Dvd Calendar'!$E$456:$AR$456=TYPE1)*(TYPE1&lt;&gt;"")+('Dvd Calendar'!$E$456:$AR$456=TYPE2)*(TYPE2&lt;&gt;"")+('Dvd Calendar'!$E$456:$AR$456=TYPE3)*(TYPE3&lt;&gt;"")+('Dvd Calendar'!$E$456:$AR$456=TYPE4)*(TYPE4&lt;&gt;"")+('Dvd Calendar'!$E$456:$AR$456=SPECIAL_LBL)*(INC_SPECIALS="Y"))))</f>
        <v/>
      </c>
      <c r="I52" s="132">
        <f>IF($C52="","",SUMPRODUCT(('Dvd Calendar'!$E$451:$AR$451&gt;=DATE(YEAR_Y-2,1,1))*('Dvd Calendar'!$E$451:$AR$451&lt;=DATE(YEAR_Y-2,12,31))*'Dvd Calendar'!$E$454:$AR$454*(('Dvd Calendar'!$E$456:$AR$456=TYPE1)*(TYPE1&lt;&gt;"")+('Dvd Calendar'!$E$456:$AR$456=TYPE2)*(TYPE2&lt;&gt;"")+('Dvd Calendar'!$E$456:$AR$456=TYPE3)*(TYPE3&lt;&gt;"")+('Dvd Calendar'!$E$456:$AR$456=TYPE4)*(TYPE4&lt;&gt;"")+('Dvd Calendar'!$E$456:$AR$456=SPECIAL_LBL)*(INC_SPECIALS="Y"))))</f>
        <v/>
      </c>
      <c r="J52" s="132">
        <f>IF($C52="","",SUMPRODUCT(('Dvd Calendar'!$E$451:$AR$451&gt;=DATE(YEAR_Y-1,1,1))*('Dvd Calendar'!$E$451:$AR$451&lt;=DATE(YEAR_Y-1,12,31))*'Dvd Calendar'!$E$454:$AR$454*(('Dvd Calendar'!$E$456:$AR$456=TYPE1)*(TYPE1&lt;&gt;"")+('Dvd Calendar'!$E$456:$AR$456=TYPE2)*(TYPE2&lt;&gt;"")+('Dvd Calendar'!$E$456:$AR$456=TYPE3)*(TYPE3&lt;&gt;"")+('Dvd Calendar'!$E$456:$AR$456=TYPE4)*(TYPE4&lt;&gt;"")+('Dvd Calendar'!$E$456:$AR$456=SPECIAL_LBL)*(INC_SPECIALS="Y"))))</f>
        <v/>
      </c>
      <c r="K52" s="133">
        <f>IF($C52="","",HSI!$J$47)</f>
        <v/>
      </c>
      <c r="L52" s="133">
        <f>IF($C52="","",HSI!$K$47)</f>
        <v/>
      </c>
      <c r="M52" s="124">
        <f>IF($C52="","",HSI!$J$47+HSI!$L$47)</f>
        <v/>
      </c>
      <c r="N52" s="134">
        <f>IF($C52="","",IF(PULL_FUND="N","",IFERROR(BDP($C52,BESTDPS_FIELD,FWD_OVERRIDE,TEXT(MOD(YEAR_Y,100),"00")&amp;"Y"),"")))</f>
        <v/>
      </c>
      <c r="O52" s="133">
        <f>IF($C52="","",AVERAGE(F52:J52))</f>
        <v/>
      </c>
      <c r="P52" s="135">
        <f>IF($C52="","",IF(PULL_FUND="N","",IF(COUNTIFS('Fund History'!$J$248:$J$252,"&gt;="&amp;DATE(YEAR_Y-5,1,1),'Fund History'!$J$248:$J$252,"&lt;="&amp;DATE(YEAR_Y-5,12,31))=0,"",IFERROR($F52*HSI!$G$47/SUMIFS('Fund History'!$K$248:$K$252,'Fund History'!$J$248:$J$252,"&gt;="&amp;DATE(YEAR_Y-5,1,1),'Fund History'!$J$248:$J$252,"&lt;="&amp;DATE(YEAR_Y-5,12,31)),""))))</f>
        <v/>
      </c>
      <c r="Q52" s="136">
        <f>IF($C52="","",IF(PULL_FUND="N","",IF(COUNTIFS('Fund History'!$J$248:$J$252,"&gt;="&amp;DATE(YEAR_Y-4,1,1),'Fund History'!$J$248:$J$252,"&lt;="&amp;DATE(YEAR_Y-4,12,31))=0,"",IFERROR($G52*HSI!$G$47/SUMIFS('Fund History'!$K$248:$K$252,'Fund History'!$J$248:$J$252,"&gt;="&amp;DATE(YEAR_Y-4,1,1),'Fund History'!$J$248:$J$252,"&lt;="&amp;DATE(YEAR_Y-4,12,31)),""))))</f>
        <v/>
      </c>
      <c r="R52" s="136">
        <f>IF($C52="","",IF(PULL_FUND="N","",IF(COUNTIFS('Fund History'!$J$248:$J$252,"&gt;="&amp;DATE(YEAR_Y-3,1,1),'Fund History'!$J$248:$J$252,"&lt;="&amp;DATE(YEAR_Y-3,12,31))=0,"",IFERROR($H52*HSI!$G$47/SUMIFS('Fund History'!$K$248:$K$252,'Fund History'!$J$248:$J$252,"&gt;="&amp;DATE(YEAR_Y-3,1,1),'Fund History'!$J$248:$J$252,"&lt;="&amp;DATE(YEAR_Y-3,12,31)),""))))</f>
        <v/>
      </c>
      <c r="S52" s="136">
        <f>IF($C52="","",IF(PULL_FUND="N","",IF(COUNTIFS('Fund History'!$J$248:$J$252,"&gt;="&amp;DATE(YEAR_Y-2,1,1),'Fund History'!$J$248:$J$252,"&lt;="&amp;DATE(YEAR_Y-2,12,31))=0,"",IFERROR($I52*HSI!$G$47/SUMIFS('Fund History'!$K$248:$K$252,'Fund History'!$J$248:$J$252,"&gt;="&amp;DATE(YEAR_Y-2,1,1),'Fund History'!$J$248:$J$252,"&lt;="&amp;DATE(YEAR_Y-2,12,31)),""))))</f>
        <v/>
      </c>
      <c r="T52" s="136">
        <f>IF($C52="","",IF(PULL_FUND="N","",IF(COUNTIFS('Fund History'!$J$248:$J$252,"&gt;="&amp;DATE(YEAR_Y-1,1,1),'Fund History'!$J$248:$J$252,"&lt;="&amp;DATE(YEAR_Y-1,12,31))=0,"",IFERROR($J52*HSI!$G$47/SUMIFS('Fund History'!$K$248:$K$252,'Fund History'!$J$248:$J$252,"&gt;="&amp;DATE(YEAR_Y-1,1,1),'Fund History'!$J$248:$J$252,"&lt;="&amp;DATE(YEAR_Y-1,12,31)),""))))</f>
        <v/>
      </c>
      <c r="U52" s="137">
        <f>IF($C52="","",IF(ISNUMBER(HSI!$I$47),HSI!$I$47/100,""))</f>
        <v/>
      </c>
      <c r="V52" s="138">
        <f>IF($C52="","",IF(ISNUMBER(HSI!$X$47),IFERROR($M52*HSI!$G$47/HSI!$X$47,""),""))</f>
        <v/>
      </c>
      <c r="W52" s="137">
        <f>IF($C52="","",IF(ISNUMBER($N52),IFERROR($N52*HSI!$G$47/HSI!$X$47,""),""))</f>
        <v/>
      </c>
      <c r="X52" s="139">
        <f>IF($C52="","",IF(PULL_FUND="N","",IFERROR(BDP($C52,EPS_FIELD,YR_OVERRIDE,TEXT(YEAR_Y-5,"0")),"")))</f>
        <v/>
      </c>
      <c r="Y52" s="140">
        <f>IF($C52="","",IF(PULL_FUND="N","",IFERROR(BDP($C52,EPS_FIELD,YR_OVERRIDE,TEXT(YEAR_Y-4,"0")),"")))</f>
        <v/>
      </c>
      <c r="Z52" s="140">
        <f>IF($C52="","",IF(PULL_FUND="N","",IFERROR(BDP($C52,EPS_FIELD,YR_OVERRIDE,TEXT(YEAR_Y-3,"0")),"")))</f>
        <v/>
      </c>
      <c r="AA52" s="140">
        <f>IF($C52="","",IF(PULL_FUND="N","",IFERROR(BDP($C52,EPS_FIELD,YR_OVERRIDE,TEXT(YEAR_Y-2,"0")),"")))</f>
        <v/>
      </c>
      <c r="AB52" s="140">
        <f>IF($C52="","",IF(PULL_FUND="N","",IFERROR(BDP($C52,EPS_FIELD,YR_OVERRIDE,TEXT(YEAR_Y-1,"0")),"")))</f>
        <v/>
      </c>
      <c r="AC52" s="126">
        <f>IF($C52="","",IFERROR(AVERAGE(X52:AB52),""))</f>
        <v/>
      </c>
      <c r="AD52" s="140">
        <f>IF($C52="","",IF(PULL_FUND="N","",IFERROR(BDP($C52,BESTEPS_FIELD,FWD_OVERRIDE,TEXT(MOD(YEAR_Y,100),"00")&amp;"Y"),"")))</f>
        <v/>
      </c>
      <c r="AE52" s="141">
        <f>IF($C52="","",IF(PULL_FUND="N","",IFERROR(BDP($C52,PAYOUT_FIELD,YR_OVERRIDE,TEXT(YEAR_Y-5,"0"))/100,"")))</f>
        <v/>
      </c>
      <c r="AF52" s="142">
        <f>IF($C52="","",IF(PULL_FUND="N","",IFERROR(BDP($C52,PAYOUT_FIELD,YR_OVERRIDE,TEXT(YEAR_Y-4,"0"))/100,"")))</f>
        <v/>
      </c>
      <c r="AG52" s="142">
        <f>IF($C52="","",IF(PULL_FUND="N","",IFERROR(BDP($C52,PAYOUT_FIELD,YR_OVERRIDE,TEXT(YEAR_Y-3,"0"))/100,"")))</f>
        <v/>
      </c>
      <c r="AH52" s="142">
        <f>IF($C52="","",IF(PULL_FUND="N","",IFERROR(BDP($C52,PAYOUT_FIELD,YR_OVERRIDE,TEXT(YEAR_Y-2,"0"))/100,"")))</f>
        <v/>
      </c>
      <c r="AI52" s="142">
        <f>IF($C52="","",IF(PULL_FUND="N","",IFERROR(BDP($C52,PAYOUT_FIELD,YR_OVERRIDE,TEXT(YEAR_Y-1,"0"))/100,"")))</f>
        <v/>
      </c>
      <c r="AJ52" s="143">
        <f>IF($C52="","",IFERROR(AVERAGE(AE52:AI52),""))</f>
        <v/>
      </c>
      <c r="AK52" s="144">
        <f>IF($C52="","",IF(ISNUMBER($AD52)*ISNUMBER($N52)*($AD52&lt;&gt;0)=0,"",$N52/$AD52))</f>
        <v/>
      </c>
      <c r="AL52" s="143">
        <f>IF($C52="","",IF(ISNUMBER($AD52)*($AD52&lt;&gt;0)=0,"",$M52/$AD52))</f>
        <v/>
      </c>
      <c r="AM52" s="37">
        <f>IF($C52="","",IF(ISNUMBER($AE52)*ISNUMBER($AI52)=0,"",IF($AI52&gt;$AE52+0.05,"rising",IF($AI52&lt;$AE52-0.05,"falling","stable"))))</f>
        <v/>
      </c>
      <c r="AN52" s="145">
        <f>IF($C52="","",IF(PULL_FUND="N","",IF(COUNTIFS('Fund History'!$G$248:$G$252,"&gt;="&amp;DATE(YEAR_Y-4,1,1),'Fund History'!$G$248:$G$252,"&lt;="&amp;DATE(YEAR_Y-4,12,31))=0,"",SUMIFS('Fund History'!$H$248:$H$252,'Fund History'!$G$248:$G$252,"&gt;="&amp;DATE(YEAR_Y-4,1,1),'Fund History'!$G$248:$G$252,"&lt;="&amp;DATE(YEAR_Y-4,12,31))/100)))</f>
        <v/>
      </c>
      <c r="AO52" s="146">
        <f>IF($C52="","",IF(PULL_FUND="N","",IF(COUNTIFS('Fund History'!$G$248:$G$252,"&gt;="&amp;DATE(YEAR_Y-3,1,1),'Fund History'!$G$248:$G$252,"&lt;="&amp;DATE(YEAR_Y-3,12,31))=0,"",SUMIFS('Fund History'!$H$248:$H$252,'Fund History'!$G$248:$G$252,"&gt;="&amp;DATE(YEAR_Y-3,1,1),'Fund History'!$G$248:$G$252,"&lt;="&amp;DATE(YEAR_Y-3,12,31))/100)))</f>
        <v/>
      </c>
      <c r="AP52" s="146">
        <f>IF($C52="","",IF(PULL_FUND="N","",IF(COUNTIFS('Fund History'!$G$248:$G$252,"&gt;="&amp;DATE(YEAR_Y-2,1,1),'Fund History'!$G$248:$G$252,"&lt;="&amp;DATE(YEAR_Y-2,12,31))=0,"",SUMIFS('Fund History'!$H$248:$H$252,'Fund History'!$G$248:$G$252,"&gt;="&amp;DATE(YEAR_Y-2,1,1),'Fund History'!$G$248:$G$252,"&lt;="&amp;DATE(YEAR_Y-2,12,31))/100)))</f>
        <v/>
      </c>
      <c r="AQ52" s="146">
        <f>IF($C52="","",IF(PULL_FUND="N","",IF(COUNTIFS('Fund History'!$G$248:$G$252,"&gt;="&amp;DATE(YEAR_Y-1,1,1),'Fund History'!$G$248:$G$252,"&lt;="&amp;DATE(YEAR_Y-1,12,31))=0,"",SUMIFS('Fund History'!$H$248:$H$252,'Fund History'!$G$248:$G$252,"&gt;="&amp;DATE(YEAR_Y-1,1,1),'Fund History'!$G$248:$G$252,"&lt;="&amp;DATE(YEAR_Y-1,12,31))/100)))</f>
        <v/>
      </c>
      <c r="AR52" s="147">
        <f>IF($C52="","",IF(N($AQ52)+N(HSI!$I$47)=0,"",N($AQ52)+N(HSI!$I$47)/100))</f>
        <v/>
      </c>
      <c r="AS52" s="139">
        <f>IF($C52="","",IF(PULL_FUND="N","",IF(COUNTIFS('Fund History'!$D$248:$D$252,"&gt;="&amp;DATE(YEAR_Y-2,1,1),'Fund History'!$D$248:$D$252,"&lt;="&amp;DATE(YEAR_Y-2,12,31))=0,"",SUMIFS('Fund History'!$E$248:$E$252,'Fund History'!$D$248:$D$252,"&gt;="&amp;DATE(YEAR_Y-2,1,1),'Fund History'!$D$248:$D$252,"&lt;="&amp;DATE(YEAR_Y-2,12,31)))))</f>
        <v/>
      </c>
      <c r="AT52" s="140">
        <f>IF($C52="","",IF(PULL_FUND="N","",IF(COUNTIFS('Fund History'!$D$248:$D$252,"&gt;="&amp;DATE(YEAR_Y-1,1,1),'Fund History'!$D$248:$D$252,"&lt;="&amp;DATE(YEAR_Y-1,12,31))=0,"",SUMIFS('Fund History'!$E$248:$E$252,'Fund History'!$D$248:$D$252,"&gt;="&amp;DATE(YEAR_Y-1,1,1),'Fund History'!$D$248:$D$252,"&lt;="&amp;DATE(YEAR_Y-1,12,31)))))</f>
        <v/>
      </c>
      <c r="AU52" s="140">
        <f>IF($C52="","",IF(PULL_FUND="N","",IFERROR(BDP($C52,NDEBITDA_FIELD),"")))</f>
        <v/>
      </c>
      <c r="AV52" s="148">
        <f>IF($C52="","",IF(PULL_FUND="N","",IFERROR(BDP($C52,EBINT_FIELD),"")))</f>
        <v/>
      </c>
      <c r="AW52" s="146">
        <f>IF($C52="","",IF(PULL_FUND="N","",IFERROR(BDP($C52,FCF_FIELD)/100,"")))</f>
        <v/>
      </c>
      <c r="AX52" s="126">
        <f>IF($C52="","",IF(N($U52)=0,"",IFERROR($AW52/$U52,"")))</f>
        <v/>
      </c>
      <c r="AY52" s="85">
        <f>IF($C52="","",TRIM(IF(ISNUMBER($AJ52)*(N($AJ52)&gt;$D$4)&gt;0,"payout high  ","")&amp;IF(ISNUMBER($AX52)*(N($AX52)&lt;$F$4)&gt;0,"FCF below dvd  ","")&amp;IF(ISNUMBER($AU52)*(N($AU52)&gt;$H$4)&gt;0,"leverage high","")))</f>
        <v/>
      </c>
      <c r="AZ52" s="86">
        <f>IF($C52="","",IF(HSI!$F$47="HKD","",HSI!$F$47))</f>
        <v/>
      </c>
    </row>
    <row r="53">
      <c r="B53" s="66" t="inlineStr">
        <is>
          <t>HSI</t>
        </is>
      </c>
      <c r="C53" s="8">
        <f>IF(HSI!$C$48="","",HSI!$C$48)</f>
        <v/>
      </c>
      <c r="D53" s="8">
        <f>IF($C53="","",HSI!$D$48)</f>
        <v/>
      </c>
      <c r="E53" s="8">
        <f>IF($C53="","",HSI!$E$48)</f>
        <v/>
      </c>
      <c r="F53" s="131">
        <f>IF($C53="","",SUMPRODUCT(('Dvd Calendar'!$E$462:$AR$462&gt;=DATE(YEAR_Y-5,1,1))*('Dvd Calendar'!$E$462:$AR$462&lt;=DATE(YEAR_Y-5,12,31))*'Dvd Calendar'!$E$465:$AR$465*(('Dvd Calendar'!$E$467:$AR$467=TYPE1)*(TYPE1&lt;&gt;"")+('Dvd Calendar'!$E$467:$AR$467=TYPE2)*(TYPE2&lt;&gt;"")+('Dvd Calendar'!$E$467:$AR$467=TYPE3)*(TYPE3&lt;&gt;"")+('Dvd Calendar'!$E$467:$AR$467=TYPE4)*(TYPE4&lt;&gt;"")+('Dvd Calendar'!$E$467:$AR$467=SPECIAL_LBL)*(INC_SPECIALS="Y"))))</f>
        <v/>
      </c>
      <c r="G53" s="132">
        <f>IF($C53="","",SUMPRODUCT(('Dvd Calendar'!$E$462:$AR$462&gt;=DATE(YEAR_Y-4,1,1))*('Dvd Calendar'!$E$462:$AR$462&lt;=DATE(YEAR_Y-4,12,31))*'Dvd Calendar'!$E$465:$AR$465*(('Dvd Calendar'!$E$467:$AR$467=TYPE1)*(TYPE1&lt;&gt;"")+('Dvd Calendar'!$E$467:$AR$467=TYPE2)*(TYPE2&lt;&gt;"")+('Dvd Calendar'!$E$467:$AR$467=TYPE3)*(TYPE3&lt;&gt;"")+('Dvd Calendar'!$E$467:$AR$467=TYPE4)*(TYPE4&lt;&gt;"")+('Dvd Calendar'!$E$467:$AR$467=SPECIAL_LBL)*(INC_SPECIALS="Y"))))</f>
        <v/>
      </c>
      <c r="H53" s="132">
        <f>IF($C53="","",SUMPRODUCT(('Dvd Calendar'!$E$462:$AR$462&gt;=DATE(YEAR_Y-3,1,1))*('Dvd Calendar'!$E$462:$AR$462&lt;=DATE(YEAR_Y-3,12,31))*'Dvd Calendar'!$E$465:$AR$465*(('Dvd Calendar'!$E$467:$AR$467=TYPE1)*(TYPE1&lt;&gt;"")+('Dvd Calendar'!$E$467:$AR$467=TYPE2)*(TYPE2&lt;&gt;"")+('Dvd Calendar'!$E$467:$AR$467=TYPE3)*(TYPE3&lt;&gt;"")+('Dvd Calendar'!$E$467:$AR$467=TYPE4)*(TYPE4&lt;&gt;"")+('Dvd Calendar'!$E$467:$AR$467=SPECIAL_LBL)*(INC_SPECIALS="Y"))))</f>
        <v/>
      </c>
      <c r="I53" s="132">
        <f>IF($C53="","",SUMPRODUCT(('Dvd Calendar'!$E$462:$AR$462&gt;=DATE(YEAR_Y-2,1,1))*('Dvd Calendar'!$E$462:$AR$462&lt;=DATE(YEAR_Y-2,12,31))*'Dvd Calendar'!$E$465:$AR$465*(('Dvd Calendar'!$E$467:$AR$467=TYPE1)*(TYPE1&lt;&gt;"")+('Dvd Calendar'!$E$467:$AR$467=TYPE2)*(TYPE2&lt;&gt;"")+('Dvd Calendar'!$E$467:$AR$467=TYPE3)*(TYPE3&lt;&gt;"")+('Dvd Calendar'!$E$467:$AR$467=TYPE4)*(TYPE4&lt;&gt;"")+('Dvd Calendar'!$E$467:$AR$467=SPECIAL_LBL)*(INC_SPECIALS="Y"))))</f>
        <v/>
      </c>
      <c r="J53" s="132">
        <f>IF($C53="","",SUMPRODUCT(('Dvd Calendar'!$E$462:$AR$462&gt;=DATE(YEAR_Y-1,1,1))*('Dvd Calendar'!$E$462:$AR$462&lt;=DATE(YEAR_Y-1,12,31))*'Dvd Calendar'!$E$465:$AR$465*(('Dvd Calendar'!$E$467:$AR$467=TYPE1)*(TYPE1&lt;&gt;"")+('Dvd Calendar'!$E$467:$AR$467=TYPE2)*(TYPE2&lt;&gt;"")+('Dvd Calendar'!$E$467:$AR$467=TYPE3)*(TYPE3&lt;&gt;"")+('Dvd Calendar'!$E$467:$AR$467=TYPE4)*(TYPE4&lt;&gt;"")+('Dvd Calendar'!$E$467:$AR$467=SPECIAL_LBL)*(INC_SPECIALS="Y"))))</f>
        <v/>
      </c>
      <c r="K53" s="133">
        <f>IF($C53="","",HSI!$J$48)</f>
        <v/>
      </c>
      <c r="L53" s="133">
        <f>IF($C53="","",HSI!$K$48)</f>
        <v/>
      </c>
      <c r="M53" s="124">
        <f>IF($C53="","",HSI!$J$48+HSI!$L$48)</f>
        <v/>
      </c>
      <c r="N53" s="134">
        <f>IF($C53="","",IF(PULL_FUND="N","",IFERROR(BDP($C53,BESTDPS_FIELD,FWD_OVERRIDE,TEXT(MOD(YEAR_Y,100),"00")&amp;"Y"),"")))</f>
        <v/>
      </c>
      <c r="O53" s="133">
        <f>IF($C53="","",AVERAGE(F53:J53))</f>
        <v/>
      </c>
      <c r="P53" s="135">
        <f>IF($C53="","",IF(PULL_FUND="N","",IF(COUNTIFS('Fund History'!$J$254:$J$258,"&gt;="&amp;DATE(YEAR_Y-5,1,1),'Fund History'!$J$254:$J$258,"&lt;="&amp;DATE(YEAR_Y-5,12,31))=0,"",IFERROR($F53*HSI!$G$48/SUMIFS('Fund History'!$K$254:$K$258,'Fund History'!$J$254:$J$258,"&gt;="&amp;DATE(YEAR_Y-5,1,1),'Fund History'!$J$254:$J$258,"&lt;="&amp;DATE(YEAR_Y-5,12,31)),""))))</f>
        <v/>
      </c>
      <c r="Q53" s="136">
        <f>IF($C53="","",IF(PULL_FUND="N","",IF(COUNTIFS('Fund History'!$J$254:$J$258,"&gt;="&amp;DATE(YEAR_Y-4,1,1),'Fund History'!$J$254:$J$258,"&lt;="&amp;DATE(YEAR_Y-4,12,31))=0,"",IFERROR($G53*HSI!$G$48/SUMIFS('Fund History'!$K$254:$K$258,'Fund History'!$J$254:$J$258,"&gt;="&amp;DATE(YEAR_Y-4,1,1),'Fund History'!$J$254:$J$258,"&lt;="&amp;DATE(YEAR_Y-4,12,31)),""))))</f>
        <v/>
      </c>
      <c r="R53" s="136">
        <f>IF($C53="","",IF(PULL_FUND="N","",IF(COUNTIFS('Fund History'!$J$254:$J$258,"&gt;="&amp;DATE(YEAR_Y-3,1,1),'Fund History'!$J$254:$J$258,"&lt;="&amp;DATE(YEAR_Y-3,12,31))=0,"",IFERROR($H53*HSI!$G$48/SUMIFS('Fund History'!$K$254:$K$258,'Fund History'!$J$254:$J$258,"&gt;="&amp;DATE(YEAR_Y-3,1,1),'Fund History'!$J$254:$J$258,"&lt;="&amp;DATE(YEAR_Y-3,12,31)),""))))</f>
        <v/>
      </c>
      <c r="S53" s="136">
        <f>IF($C53="","",IF(PULL_FUND="N","",IF(COUNTIFS('Fund History'!$J$254:$J$258,"&gt;="&amp;DATE(YEAR_Y-2,1,1),'Fund History'!$J$254:$J$258,"&lt;="&amp;DATE(YEAR_Y-2,12,31))=0,"",IFERROR($I53*HSI!$G$48/SUMIFS('Fund History'!$K$254:$K$258,'Fund History'!$J$254:$J$258,"&gt;="&amp;DATE(YEAR_Y-2,1,1),'Fund History'!$J$254:$J$258,"&lt;="&amp;DATE(YEAR_Y-2,12,31)),""))))</f>
        <v/>
      </c>
      <c r="T53" s="136">
        <f>IF($C53="","",IF(PULL_FUND="N","",IF(COUNTIFS('Fund History'!$J$254:$J$258,"&gt;="&amp;DATE(YEAR_Y-1,1,1),'Fund History'!$J$254:$J$258,"&lt;="&amp;DATE(YEAR_Y-1,12,31))=0,"",IFERROR($J53*HSI!$G$48/SUMIFS('Fund History'!$K$254:$K$258,'Fund History'!$J$254:$J$258,"&gt;="&amp;DATE(YEAR_Y-1,1,1),'Fund History'!$J$254:$J$258,"&lt;="&amp;DATE(YEAR_Y-1,12,31)),""))))</f>
        <v/>
      </c>
      <c r="U53" s="137">
        <f>IF($C53="","",IF(ISNUMBER(HSI!$I$48),HSI!$I$48/100,""))</f>
        <v/>
      </c>
      <c r="V53" s="138">
        <f>IF($C53="","",IF(ISNUMBER(HSI!$X$48),IFERROR($M53*HSI!$G$48/HSI!$X$48,""),""))</f>
        <v/>
      </c>
      <c r="W53" s="137">
        <f>IF($C53="","",IF(ISNUMBER($N53),IFERROR($N53*HSI!$G$48/HSI!$X$48,""),""))</f>
        <v/>
      </c>
      <c r="X53" s="139">
        <f>IF($C53="","",IF(PULL_FUND="N","",IFERROR(BDP($C53,EPS_FIELD,YR_OVERRIDE,TEXT(YEAR_Y-5,"0")),"")))</f>
        <v/>
      </c>
      <c r="Y53" s="140">
        <f>IF($C53="","",IF(PULL_FUND="N","",IFERROR(BDP($C53,EPS_FIELD,YR_OVERRIDE,TEXT(YEAR_Y-4,"0")),"")))</f>
        <v/>
      </c>
      <c r="Z53" s="140">
        <f>IF($C53="","",IF(PULL_FUND="N","",IFERROR(BDP($C53,EPS_FIELD,YR_OVERRIDE,TEXT(YEAR_Y-3,"0")),"")))</f>
        <v/>
      </c>
      <c r="AA53" s="140">
        <f>IF($C53="","",IF(PULL_FUND="N","",IFERROR(BDP($C53,EPS_FIELD,YR_OVERRIDE,TEXT(YEAR_Y-2,"0")),"")))</f>
        <v/>
      </c>
      <c r="AB53" s="140">
        <f>IF($C53="","",IF(PULL_FUND="N","",IFERROR(BDP($C53,EPS_FIELD,YR_OVERRIDE,TEXT(YEAR_Y-1,"0")),"")))</f>
        <v/>
      </c>
      <c r="AC53" s="126">
        <f>IF($C53="","",IFERROR(AVERAGE(X53:AB53),""))</f>
        <v/>
      </c>
      <c r="AD53" s="140">
        <f>IF($C53="","",IF(PULL_FUND="N","",IFERROR(BDP($C53,BESTEPS_FIELD,FWD_OVERRIDE,TEXT(MOD(YEAR_Y,100),"00")&amp;"Y"),"")))</f>
        <v/>
      </c>
      <c r="AE53" s="141">
        <f>IF($C53="","",IF(PULL_FUND="N","",IFERROR(BDP($C53,PAYOUT_FIELD,YR_OVERRIDE,TEXT(YEAR_Y-5,"0"))/100,"")))</f>
        <v/>
      </c>
      <c r="AF53" s="142">
        <f>IF($C53="","",IF(PULL_FUND="N","",IFERROR(BDP($C53,PAYOUT_FIELD,YR_OVERRIDE,TEXT(YEAR_Y-4,"0"))/100,"")))</f>
        <v/>
      </c>
      <c r="AG53" s="142">
        <f>IF($C53="","",IF(PULL_FUND="N","",IFERROR(BDP($C53,PAYOUT_FIELD,YR_OVERRIDE,TEXT(YEAR_Y-3,"0"))/100,"")))</f>
        <v/>
      </c>
      <c r="AH53" s="142">
        <f>IF($C53="","",IF(PULL_FUND="N","",IFERROR(BDP($C53,PAYOUT_FIELD,YR_OVERRIDE,TEXT(YEAR_Y-2,"0"))/100,"")))</f>
        <v/>
      </c>
      <c r="AI53" s="142">
        <f>IF($C53="","",IF(PULL_FUND="N","",IFERROR(BDP($C53,PAYOUT_FIELD,YR_OVERRIDE,TEXT(YEAR_Y-1,"0"))/100,"")))</f>
        <v/>
      </c>
      <c r="AJ53" s="143">
        <f>IF($C53="","",IFERROR(AVERAGE(AE53:AI53),""))</f>
        <v/>
      </c>
      <c r="AK53" s="144">
        <f>IF($C53="","",IF(ISNUMBER($AD53)*ISNUMBER($N53)*($AD53&lt;&gt;0)=0,"",$N53/$AD53))</f>
        <v/>
      </c>
      <c r="AL53" s="143">
        <f>IF($C53="","",IF(ISNUMBER($AD53)*($AD53&lt;&gt;0)=0,"",$M53/$AD53))</f>
        <v/>
      </c>
      <c r="AM53" s="37">
        <f>IF($C53="","",IF(ISNUMBER($AE53)*ISNUMBER($AI53)=0,"",IF($AI53&gt;$AE53+0.05,"rising",IF($AI53&lt;$AE53-0.05,"falling","stable"))))</f>
        <v/>
      </c>
      <c r="AN53" s="145">
        <f>IF($C53="","",IF(PULL_FUND="N","",IF(COUNTIFS('Fund History'!$G$254:$G$258,"&gt;="&amp;DATE(YEAR_Y-4,1,1),'Fund History'!$G$254:$G$258,"&lt;="&amp;DATE(YEAR_Y-4,12,31))=0,"",SUMIFS('Fund History'!$H$254:$H$258,'Fund History'!$G$254:$G$258,"&gt;="&amp;DATE(YEAR_Y-4,1,1),'Fund History'!$G$254:$G$258,"&lt;="&amp;DATE(YEAR_Y-4,12,31))/100)))</f>
        <v/>
      </c>
      <c r="AO53" s="146">
        <f>IF($C53="","",IF(PULL_FUND="N","",IF(COUNTIFS('Fund History'!$G$254:$G$258,"&gt;="&amp;DATE(YEAR_Y-3,1,1),'Fund History'!$G$254:$G$258,"&lt;="&amp;DATE(YEAR_Y-3,12,31))=0,"",SUMIFS('Fund History'!$H$254:$H$258,'Fund History'!$G$254:$G$258,"&gt;="&amp;DATE(YEAR_Y-3,1,1),'Fund History'!$G$254:$G$258,"&lt;="&amp;DATE(YEAR_Y-3,12,31))/100)))</f>
        <v/>
      </c>
      <c r="AP53" s="146">
        <f>IF($C53="","",IF(PULL_FUND="N","",IF(COUNTIFS('Fund History'!$G$254:$G$258,"&gt;="&amp;DATE(YEAR_Y-2,1,1),'Fund History'!$G$254:$G$258,"&lt;="&amp;DATE(YEAR_Y-2,12,31))=0,"",SUMIFS('Fund History'!$H$254:$H$258,'Fund History'!$G$254:$G$258,"&gt;="&amp;DATE(YEAR_Y-2,1,1),'Fund History'!$G$254:$G$258,"&lt;="&amp;DATE(YEAR_Y-2,12,31))/100)))</f>
        <v/>
      </c>
      <c r="AQ53" s="146">
        <f>IF($C53="","",IF(PULL_FUND="N","",IF(COUNTIFS('Fund History'!$G$254:$G$258,"&gt;="&amp;DATE(YEAR_Y-1,1,1),'Fund History'!$G$254:$G$258,"&lt;="&amp;DATE(YEAR_Y-1,12,31))=0,"",SUMIFS('Fund History'!$H$254:$H$258,'Fund History'!$G$254:$G$258,"&gt;="&amp;DATE(YEAR_Y-1,1,1),'Fund History'!$G$254:$G$258,"&lt;="&amp;DATE(YEAR_Y-1,12,31))/100)))</f>
        <v/>
      </c>
      <c r="AR53" s="147">
        <f>IF($C53="","",IF(N($AQ53)+N(HSI!$I$48)=0,"",N($AQ53)+N(HSI!$I$48)/100))</f>
        <v/>
      </c>
      <c r="AS53" s="139">
        <f>IF($C53="","",IF(PULL_FUND="N","",IF(COUNTIFS('Fund History'!$D$254:$D$258,"&gt;="&amp;DATE(YEAR_Y-2,1,1),'Fund History'!$D$254:$D$258,"&lt;="&amp;DATE(YEAR_Y-2,12,31))=0,"",SUMIFS('Fund History'!$E$254:$E$258,'Fund History'!$D$254:$D$258,"&gt;="&amp;DATE(YEAR_Y-2,1,1),'Fund History'!$D$254:$D$258,"&lt;="&amp;DATE(YEAR_Y-2,12,31)))))</f>
        <v/>
      </c>
      <c r="AT53" s="140">
        <f>IF($C53="","",IF(PULL_FUND="N","",IF(COUNTIFS('Fund History'!$D$254:$D$258,"&gt;="&amp;DATE(YEAR_Y-1,1,1),'Fund History'!$D$254:$D$258,"&lt;="&amp;DATE(YEAR_Y-1,12,31))=0,"",SUMIFS('Fund History'!$E$254:$E$258,'Fund History'!$D$254:$D$258,"&gt;="&amp;DATE(YEAR_Y-1,1,1),'Fund History'!$D$254:$D$258,"&lt;="&amp;DATE(YEAR_Y-1,12,31)))))</f>
        <v/>
      </c>
      <c r="AU53" s="140">
        <f>IF($C53="","",IF(PULL_FUND="N","",IFERROR(BDP($C53,NDEBITDA_FIELD),"")))</f>
        <v/>
      </c>
      <c r="AV53" s="148">
        <f>IF($C53="","",IF(PULL_FUND="N","",IFERROR(BDP($C53,EBINT_FIELD),"")))</f>
        <v/>
      </c>
      <c r="AW53" s="146">
        <f>IF($C53="","",IF(PULL_FUND="N","",IFERROR(BDP($C53,FCF_FIELD)/100,"")))</f>
        <v/>
      </c>
      <c r="AX53" s="126">
        <f>IF($C53="","",IF(N($U53)=0,"",IFERROR($AW53/$U53,"")))</f>
        <v/>
      </c>
      <c r="AY53" s="85">
        <f>IF($C53="","",TRIM(IF(ISNUMBER($AJ53)*(N($AJ53)&gt;$D$4)&gt;0,"payout high  ","")&amp;IF(ISNUMBER($AX53)*(N($AX53)&lt;$F$4)&gt;0,"FCF below dvd  ","")&amp;IF(ISNUMBER($AU53)*(N($AU53)&gt;$H$4)&gt;0,"leverage high","")))</f>
        <v/>
      </c>
      <c r="AZ53" s="86">
        <f>IF($C53="","",IF(HSI!$F$48="HKD","",HSI!$F$48))</f>
        <v/>
      </c>
    </row>
    <row r="54">
      <c r="B54" s="66" t="inlineStr">
        <is>
          <t>HSI</t>
        </is>
      </c>
      <c r="C54" s="8">
        <f>IF(HSI!$C$49="","",HSI!$C$49)</f>
        <v/>
      </c>
      <c r="D54" s="8">
        <f>IF($C54="","",HSI!$D$49)</f>
        <v/>
      </c>
      <c r="E54" s="8">
        <f>IF($C54="","",HSI!$E$49)</f>
        <v/>
      </c>
      <c r="F54" s="131">
        <f>IF($C54="","",SUMPRODUCT(('Dvd Calendar'!$E$473:$AR$473&gt;=DATE(YEAR_Y-5,1,1))*('Dvd Calendar'!$E$473:$AR$473&lt;=DATE(YEAR_Y-5,12,31))*'Dvd Calendar'!$E$476:$AR$476*(('Dvd Calendar'!$E$478:$AR$478=TYPE1)*(TYPE1&lt;&gt;"")+('Dvd Calendar'!$E$478:$AR$478=TYPE2)*(TYPE2&lt;&gt;"")+('Dvd Calendar'!$E$478:$AR$478=TYPE3)*(TYPE3&lt;&gt;"")+('Dvd Calendar'!$E$478:$AR$478=TYPE4)*(TYPE4&lt;&gt;"")+('Dvd Calendar'!$E$478:$AR$478=SPECIAL_LBL)*(INC_SPECIALS="Y"))))</f>
        <v/>
      </c>
      <c r="G54" s="132">
        <f>IF($C54="","",SUMPRODUCT(('Dvd Calendar'!$E$473:$AR$473&gt;=DATE(YEAR_Y-4,1,1))*('Dvd Calendar'!$E$473:$AR$473&lt;=DATE(YEAR_Y-4,12,31))*'Dvd Calendar'!$E$476:$AR$476*(('Dvd Calendar'!$E$478:$AR$478=TYPE1)*(TYPE1&lt;&gt;"")+('Dvd Calendar'!$E$478:$AR$478=TYPE2)*(TYPE2&lt;&gt;"")+('Dvd Calendar'!$E$478:$AR$478=TYPE3)*(TYPE3&lt;&gt;"")+('Dvd Calendar'!$E$478:$AR$478=TYPE4)*(TYPE4&lt;&gt;"")+('Dvd Calendar'!$E$478:$AR$478=SPECIAL_LBL)*(INC_SPECIALS="Y"))))</f>
        <v/>
      </c>
      <c r="H54" s="132">
        <f>IF($C54="","",SUMPRODUCT(('Dvd Calendar'!$E$473:$AR$473&gt;=DATE(YEAR_Y-3,1,1))*('Dvd Calendar'!$E$473:$AR$473&lt;=DATE(YEAR_Y-3,12,31))*'Dvd Calendar'!$E$476:$AR$476*(('Dvd Calendar'!$E$478:$AR$478=TYPE1)*(TYPE1&lt;&gt;"")+('Dvd Calendar'!$E$478:$AR$478=TYPE2)*(TYPE2&lt;&gt;"")+('Dvd Calendar'!$E$478:$AR$478=TYPE3)*(TYPE3&lt;&gt;"")+('Dvd Calendar'!$E$478:$AR$478=TYPE4)*(TYPE4&lt;&gt;"")+('Dvd Calendar'!$E$478:$AR$478=SPECIAL_LBL)*(INC_SPECIALS="Y"))))</f>
        <v/>
      </c>
      <c r="I54" s="132">
        <f>IF($C54="","",SUMPRODUCT(('Dvd Calendar'!$E$473:$AR$473&gt;=DATE(YEAR_Y-2,1,1))*('Dvd Calendar'!$E$473:$AR$473&lt;=DATE(YEAR_Y-2,12,31))*'Dvd Calendar'!$E$476:$AR$476*(('Dvd Calendar'!$E$478:$AR$478=TYPE1)*(TYPE1&lt;&gt;"")+('Dvd Calendar'!$E$478:$AR$478=TYPE2)*(TYPE2&lt;&gt;"")+('Dvd Calendar'!$E$478:$AR$478=TYPE3)*(TYPE3&lt;&gt;"")+('Dvd Calendar'!$E$478:$AR$478=TYPE4)*(TYPE4&lt;&gt;"")+('Dvd Calendar'!$E$478:$AR$478=SPECIAL_LBL)*(INC_SPECIALS="Y"))))</f>
        <v/>
      </c>
      <c r="J54" s="132">
        <f>IF($C54="","",SUMPRODUCT(('Dvd Calendar'!$E$473:$AR$473&gt;=DATE(YEAR_Y-1,1,1))*('Dvd Calendar'!$E$473:$AR$473&lt;=DATE(YEAR_Y-1,12,31))*'Dvd Calendar'!$E$476:$AR$476*(('Dvd Calendar'!$E$478:$AR$478=TYPE1)*(TYPE1&lt;&gt;"")+('Dvd Calendar'!$E$478:$AR$478=TYPE2)*(TYPE2&lt;&gt;"")+('Dvd Calendar'!$E$478:$AR$478=TYPE3)*(TYPE3&lt;&gt;"")+('Dvd Calendar'!$E$478:$AR$478=TYPE4)*(TYPE4&lt;&gt;"")+('Dvd Calendar'!$E$478:$AR$478=SPECIAL_LBL)*(INC_SPECIALS="Y"))))</f>
        <v/>
      </c>
      <c r="K54" s="133">
        <f>IF($C54="","",HSI!$J$49)</f>
        <v/>
      </c>
      <c r="L54" s="133">
        <f>IF($C54="","",HSI!$K$49)</f>
        <v/>
      </c>
      <c r="M54" s="124">
        <f>IF($C54="","",HSI!$J$49+HSI!$L$49)</f>
        <v/>
      </c>
      <c r="N54" s="134">
        <f>IF($C54="","",IF(PULL_FUND="N","",IFERROR(BDP($C54,BESTDPS_FIELD,FWD_OVERRIDE,TEXT(MOD(YEAR_Y,100),"00")&amp;"Y"),"")))</f>
        <v/>
      </c>
      <c r="O54" s="133">
        <f>IF($C54="","",AVERAGE(F54:J54))</f>
        <v/>
      </c>
      <c r="P54" s="135">
        <f>IF($C54="","",IF(PULL_FUND="N","",IF(COUNTIFS('Fund History'!$J$260:$J$264,"&gt;="&amp;DATE(YEAR_Y-5,1,1),'Fund History'!$J$260:$J$264,"&lt;="&amp;DATE(YEAR_Y-5,12,31))=0,"",IFERROR($F54*HSI!$G$49/SUMIFS('Fund History'!$K$260:$K$264,'Fund History'!$J$260:$J$264,"&gt;="&amp;DATE(YEAR_Y-5,1,1),'Fund History'!$J$260:$J$264,"&lt;="&amp;DATE(YEAR_Y-5,12,31)),""))))</f>
        <v/>
      </c>
      <c r="Q54" s="136">
        <f>IF($C54="","",IF(PULL_FUND="N","",IF(COUNTIFS('Fund History'!$J$260:$J$264,"&gt;="&amp;DATE(YEAR_Y-4,1,1),'Fund History'!$J$260:$J$264,"&lt;="&amp;DATE(YEAR_Y-4,12,31))=0,"",IFERROR($G54*HSI!$G$49/SUMIFS('Fund History'!$K$260:$K$264,'Fund History'!$J$260:$J$264,"&gt;="&amp;DATE(YEAR_Y-4,1,1),'Fund History'!$J$260:$J$264,"&lt;="&amp;DATE(YEAR_Y-4,12,31)),""))))</f>
        <v/>
      </c>
      <c r="R54" s="136">
        <f>IF($C54="","",IF(PULL_FUND="N","",IF(COUNTIFS('Fund History'!$J$260:$J$264,"&gt;="&amp;DATE(YEAR_Y-3,1,1),'Fund History'!$J$260:$J$264,"&lt;="&amp;DATE(YEAR_Y-3,12,31))=0,"",IFERROR($H54*HSI!$G$49/SUMIFS('Fund History'!$K$260:$K$264,'Fund History'!$J$260:$J$264,"&gt;="&amp;DATE(YEAR_Y-3,1,1),'Fund History'!$J$260:$J$264,"&lt;="&amp;DATE(YEAR_Y-3,12,31)),""))))</f>
        <v/>
      </c>
      <c r="S54" s="136">
        <f>IF($C54="","",IF(PULL_FUND="N","",IF(COUNTIFS('Fund History'!$J$260:$J$264,"&gt;="&amp;DATE(YEAR_Y-2,1,1),'Fund History'!$J$260:$J$264,"&lt;="&amp;DATE(YEAR_Y-2,12,31))=0,"",IFERROR($I54*HSI!$G$49/SUMIFS('Fund History'!$K$260:$K$264,'Fund History'!$J$260:$J$264,"&gt;="&amp;DATE(YEAR_Y-2,1,1),'Fund History'!$J$260:$J$264,"&lt;="&amp;DATE(YEAR_Y-2,12,31)),""))))</f>
        <v/>
      </c>
      <c r="T54" s="136">
        <f>IF($C54="","",IF(PULL_FUND="N","",IF(COUNTIFS('Fund History'!$J$260:$J$264,"&gt;="&amp;DATE(YEAR_Y-1,1,1),'Fund History'!$J$260:$J$264,"&lt;="&amp;DATE(YEAR_Y-1,12,31))=0,"",IFERROR($J54*HSI!$G$49/SUMIFS('Fund History'!$K$260:$K$264,'Fund History'!$J$260:$J$264,"&gt;="&amp;DATE(YEAR_Y-1,1,1),'Fund History'!$J$260:$J$264,"&lt;="&amp;DATE(YEAR_Y-1,12,31)),""))))</f>
        <v/>
      </c>
      <c r="U54" s="137">
        <f>IF($C54="","",IF(ISNUMBER(HSI!$I$49),HSI!$I$49/100,""))</f>
        <v/>
      </c>
      <c r="V54" s="138">
        <f>IF($C54="","",IF(ISNUMBER(HSI!$X$49),IFERROR($M54*HSI!$G$49/HSI!$X$49,""),""))</f>
        <v/>
      </c>
      <c r="W54" s="137">
        <f>IF($C54="","",IF(ISNUMBER($N54),IFERROR($N54*HSI!$G$49/HSI!$X$49,""),""))</f>
        <v/>
      </c>
      <c r="X54" s="139">
        <f>IF($C54="","",IF(PULL_FUND="N","",IFERROR(BDP($C54,EPS_FIELD,YR_OVERRIDE,TEXT(YEAR_Y-5,"0")),"")))</f>
        <v/>
      </c>
      <c r="Y54" s="140">
        <f>IF($C54="","",IF(PULL_FUND="N","",IFERROR(BDP($C54,EPS_FIELD,YR_OVERRIDE,TEXT(YEAR_Y-4,"0")),"")))</f>
        <v/>
      </c>
      <c r="Z54" s="140">
        <f>IF($C54="","",IF(PULL_FUND="N","",IFERROR(BDP($C54,EPS_FIELD,YR_OVERRIDE,TEXT(YEAR_Y-3,"0")),"")))</f>
        <v/>
      </c>
      <c r="AA54" s="140">
        <f>IF($C54="","",IF(PULL_FUND="N","",IFERROR(BDP($C54,EPS_FIELD,YR_OVERRIDE,TEXT(YEAR_Y-2,"0")),"")))</f>
        <v/>
      </c>
      <c r="AB54" s="140">
        <f>IF($C54="","",IF(PULL_FUND="N","",IFERROR(BDP($C54,EPS_FIELD,YR_OVERRIDE,TEXT(YEAR_Y-1,"0")),"")))</f>
        <v/>
      </c>
      <c r="AC54" s="126">
        <f>IF($C54="","",IFERROR(AVERAGE(X54:AB54),""))</f>
        <v/>
      </c>
      <c r="AD54" s="140">
        <f>IF($C54="","",IF(PULL_FUND="N","",IFERROR(BDP($C54,BESTEPS_FIELD,FWD_OVERRIDE,TEXT(MOD(YEAR_Y,100),"00")&amp;"Y"),"")))</f>
        <v/>
      </c>
      <c r="AE54" s="141">
        <f>IF($C54="","",IF(PULL_FUND="N","",IFERROR(BDP($C54,PAYOUT_FIELD,YR_OVERRIDE,TEXT(YEAR_Y-5,"0"))/100,"")))</f>
        <v/>
      </c>
      <c r="AF54" s="142">
        <f>IF($C54="","",IF(PULL_FUND="N","",IFERROR(BDP($C54,PAYOUT_FIELD,YR_OVERRIDE,TEXT(YEAR_Y-4,"0"))/100,"")))</f>
        <v/>
      </c>
      <c r="AG54" s="142">
        <f>IF($C54="","",IF(PULL_FUND="N","",IFERROR(BDP($C54,PAYOUT_FIELD,YR_OVERRIDE,TEXT(YEAR_Y-3,"0"))/100,"")))</f>
        <v/>
      </c>
      <c r="AH54" s="142">
        <f>IF($C54="","",IF(PULL_FUND="N","",IFERROR(BDP($C54,PAYOUT_FIELD,YR_OVERRIDE,TEXT(YEAR_Y-2,"0"))/100,"")))</f>
        <v/>
      </c>
      <c r="AI54" s="142">
        <f>IF($C54="","",IF(PULL_FUND="N","",IFERROR(BDP($C54,PAYOUT_FIELD,YR_OVERRIDE,TEXT(YEAR_Y-1,"0"))/100,"")))</f>
        <v/>
      </c>
      <c r="AJ54" s="143">
        <f>IF($C54="","",IFERROR(AVERAGE(AE54:AI54),""))</f>
        <v/>
      </c>
      <c r="AK54" s="144">
        <f>IF($C54="","",IF(ISNUMBER($AD54)*ISNUMBER($N54)*($AD54&lt;&gt;0)=0,"",$N54/$AD54))</f>
        <v/>
      </c>
      <c r="AL54" s="143">
        <f>IF($C54="","",IF(ISNUMBER($AD54)*($AD54&lt;&gt;0)=0,"",$M54/$AD54))</f>
        <v/>
      </c>
      <c r="AM54" s="37">
        <f>IF($C54="","",IF(ISNUMBER($AE54)*ISNUMBER($AI54)=0,"",IF($AI54&gt;$AE54+0.05,"rising",IF($AI54&lt;$AE54-0.05,"falling","stable"))))</f>
        <v/>
      </c>
      <c r="AN54" s="145">
        <f>IF($C54="","",IF(PULL_FUND="N","",IF(COUNTIFS('Fund History'!$G$260:$G$264,"&gt;="&amp;DATE(YEAR_Y-4,1,1),'Fund History'!$G$260:$G$264,"&lt;="&amp;DATE(YEAR_Y-4,12,31))=0,"",SUMIFS('Fund History'!$H$260:$H$264,'Fund History'!$G$260:$G$264,"&gt;="&amp;DATE(YEAR_Y-4,1,1),'Fund History'!$G$260:$G$264,"&lt;="&amp;DATE(YEAR_Y-4,12,31))/100)))</f>
        <v/>
      </c>
      <c r="AO54" s="146">
        <f>IF($C54="","",IF(PULL_FUND="N","",IF(COUNTIFS('Fund History'!$G$260:$G$264,"&gt;="&amp;DATE(YEAR_Y-3,1,1),'Fund History'!$G$260:$G$264,"&lt;="&amp;DATE(YEAR_Y-3,12,31))=0,"",SUMIFS('Fund History'!$H$260:$H$264,'Fund History'!$G$260:$G$264,"&gt;="&amp;DATE(YEAR_Y-3,1,1),'Fund History'!$G$260:$G$264,"&lt;="&amp;DATE(YEAR_Y-3,12,31))/100)))</f>
        <v/>
      </c>
      <c r="AP54" s="146">
        <f>IF($C54="","",IF(PULL_FUND="N","",IF(COUNTIFS('Fund History'!$G$260:$G$264,"&gt;="&amp;DATE(YEAR_Y-2,1,1),'Fund History'!$G$260:$G$264,"&lt;="&amp;DATE(YEAR_Y-2,12,31))=0,"",SUMIFS('Fund History'!$H$260:$H$264,'Fund History'!$G$260:$G$264,"&gt;="&amp;DATE(YEAR_Y-2,1,1),'Fund History'!$G$260:$G$264,"&lt;="&amp;DATE(YEAR_Y-2,12,31))/100)))</f>
        <v/>
      </c>
      <c r="AQ54" s="146">
        <f>IF($C54="","",IF(PULL_FUND="N","",IF(COUNTIFS('Fund History'!$G$260:$G$264,"&gt;="&amp;DATE(YEAR_Y-1,1,1),'Fund History'!$G$260:$G$264,"&lt;="&amp;DATE(YEAR_Y-1,12,31))=0,"",SUMIFS('Fund History'!$H$260:$H$264,'Fund History'!$G$260:$G$264,"&gt;="&amp;DATE(YEAR_Y-1,1,1),'Fund History'!$G$260:$G$264,"&lt;="&amp;DATE(YEAR_Y-1,12,31))/100)))</f>
        <v/>
      </c>
      <c r="AR54" s="147">
        <f>IF($C54="","",IF(N($AQ54)+N(HSI!$I$49)=0,"",N($AQ54)+N(HSI!$I$49)/100))</f>
        <v/>
      </c>
      <c r="AS54" s="139">
        <f>IF($C54="","",IF(PULL_FUND="N","",IF(COUNTIFS('Fund History'!$D$260:$D$264,"&gt;="&amp;DATE(YEAR_Y-2,1,1),'Fund History'!$D$260:$D$264,"&lt;="&amp;DATE(YEAR_Y-2,12,31))=0,"",SUMIFS('Fund History'!$E$260:$E$264,'Fund History'!$D$260:$D$264,"&gt;="&amp;DATE(YEAR_Y-2,1,1),'Fund History'!$D$260:$D$264,"&lt;="&amp;DATE(YEAR_Y-2,12,31)))))</f>
        <v/>
      </c>
      <c r="AT54" s="140">
        <f>IF($C54="","",IF(PULL_FUND="N","",IF(COUNTIFS('Fund History'!$D$260:$D$264,"&gt;="&amp;DATE(YEAR_Y-1,1,1),'Fund History'!$D$260:$D$264,"&lt;="&amp;DATE(YEAR_Y-1,12,31))=0,"",SUMIFS('Fund History'!$E$260:$E$264,'Fund History'!$D$260:$D$264,"&gt;="&amp;DATE(YEAR_Y-1,1,1),'Fund History'!$D$260:$D$264,"&lt;="&amp;DATE(YEAR_Y-1,12,31)))))</f>
        <v/>
      </c>
      <c r="AU54" s="140">
        <f>IF($C54="","",IF(PULL_FUND="N","",IFERROR(BDP($C54,NDEBITDA_FIELD),"")))</f>
        <v/>
      </c>
      <c r="AV54" s="148">
        <f>IF($C54="","",IF(PULL_FUND="N","",IFERROR(BDP($C54,EBINT_FIELD),"")))</f>
        <v/>
      </c>
      <c r="AW54" s="146">
        <f>IF($C54="","",IF(PULL_FUND="N","",IFERROR(BDP($C54,FCF_FIELD)/100,"")))</f>
        <v/>
      </c>
      <c r="AX54" s="126">
        <f>IF($C54="","",IF(N($U54)=0,"",IFERROR($AW54/$U54,"")))</f>
        <v/>
      </c>
      <c r="AY54" s="85">
        <f>IF($C54="","",TRIM(IF(ISNUMBER($AJ54)*(N($AJ54)&gt;$D$4)&gt;0,"payout high  ","")&amp;IF(ISNUMBER($AX54)*(N($AX54)&lt;$F$4)&gt;0,"FCF below dvd  ","")&amp;IF(ISNUMBER($AU54)*(N($AU54)&gt;$H$4)&gt;0,"leverage high","")))</f>
        <v/>
      </c>
      <c r="AZ54" s="86">
        <f>IF($C54="","",IF(HSI!$F$49="HKD","",HSI!$F$49))</f>
        <v/>
      </c>
    </row>
    <row r="55">
      <c r="B55" s="66" t="inlineStr">
        <is>
          <t>HSI</t>
        </is>
      </c>
      <c r="C55" s="8">
        <f>IF(HSI!$C$50="","",HSI!$C$50)</f>
        <v/>
      </c>
      <c r="D55" s="8">
        <f>IF($C55="","",HSI!$D$50)</f>
        <v/>
      </c>
      <c r="E55" s="8">
        <f>IF($C55="","",HSI!$E$50)</f>
        <v/>
      </c>
      <c r="F55" s="131">
        <f>IF($C55="","",SUMPRODUCT(('Dvd Calendar'!$E$484:$AR$484&gt;=DATE(YEAR_Y-5,1,1))*('Dvd Calendar'!$E$484:$AR$484&lt;=DATE(YEAR_Y-5,12,31))*'Dvd Calendar'!$E$487:$AR$487*(('Dvd Calendar'!$E$489:$AR$489=TYPE1)*(TYPE1&lt;&gt;"")+('Dvd Calendar'!$E$489:$AR$489=TYPE2)*(TYPE2&lt;&gt;"")+('Dvd Calendar'!$E$489:$AR$489=TYPE3)*(TYPE3&lt;&gt;"")+('Dvd Calendar'!$E$489:$AR$489=TYPE4)*(TYPE4&lt;&gt;"")+('Dvd Calendar'!$E$489:$AR$489=SPECIAL_LBL)*(INC_SPECIALS="Y"))))</f>
        <v/>
      </c>
      <c r="G55" s="132">
        <f>IF($C55="","",SUMPRODUCT(('Dvd Calendar'!$E$484:$AR$484&gt;=DATE(YEAR_Y-4,1,1))*('Dvd Calendar'!$E$484:$AR$484&lt;=DATE(YEAR_Y-4,12,31))*'Dvd Calendar'!$E$487:$AR$487*(('Dvd Calendar'!$E$489:$AR$489=TYPE1)*(TYPE1&lt;&gt;"")+('Dvd Calendar'!$E$489:$AR$489=TYPE2)*(TYPE2&lt;&gt;"")+('Dvd Calendar'!$E$489:$AR$489=TYPE3)*(TYPE3&lt;&gt;"")+('Dvd Calendar'!$E$489:$AR$489=TYPE4)*(TYPE4&lt;&gt;"")+('Dvd Calendar'!$E$489:$AR$489=SPECIAL_LBL)*(INC_SPECIALS="Y"))))</f>
        <v/>
      </c>
      <c r="H55" s="132">
        <f>IF($C55="","",SUMPRODUCT(('Dvd Calendar'!$E$484:$AR$484&gt;=DATE(YEAR_Y-3,1,1))*('Dvd Calendar'!$E$484:$AR$484&lt;=DATE(YEAR_Y-3,12,31))*'Dvd Calendar'!$E$487:$AR$487*(('Dvd Calendar'!$E$489:$AR$489=TYPE1)*(TYPE1&lt;&gt;"")+('Dvd Calendar'!$E$489:$AR$489=TYPE2)*(TYPE2&lt;&gt;"")+('Dvd Calendar'!$E$489:$AR$489=TYPE3)*(TYPE3&lt;&gt;"")+('Dvd Calendar'!$E$489:$AR$489=TYPE4)*(TYPE4&lt;&gt;"")+('Dvd Calendar'!$E$489:$AR$489=SPECIAL_LBL)*(INC_SPECIALS="Y"))))</f>
        <v/>
      </c>
      <c r="I55" s="132">
        <f>IF($C55="","",SUMPRODUCT(('Dvd Calendar'!$E$484:$AR$484&gt;=DATE(YEAR_Y-2,1,1))*('Dvd Calendar'!$E$484:$AR$484&lt;=DATE(YEAR_Y-2,12,31))*'Dvd Calendar'!$E$487:$AR$487*(('Dvd Calendar'!$E$489:$AR$489=TYPE1)*(TYPE1&lt;&gt;"")+('Dvd Calendar'!$E$489:$AR$489=TYPE2)*(TYPE2&lt;&gt;"")+('Dvd Calendar'!$E$489:$AR$489=TYPE3)*(TYPE3&lt;&gt;"")+('Dvd Calendar'!$E$489:$AR$489=TYPE4)*(TYPE4&lt;&gt;"")+('Dvd Calendar'!$E$489:$AR$489=SPECIAL_LBL)*(INC_SPECIALS="Y"))))</f>
        <v/>
      </c>
      <c r="J55" s="132">
        <f>IF($C55="","",SUMPRODUCT(('Dvd Calendar'!$E$484:$AR$484&gt;=DATE(YEAR_Y-1,1,1))*('Dvd Calendar'!$E$484:$AR$484&lt;=DATE(YEAR_Y-1,12,31))*'Dvd Calendar'!$E$487:$AR$487*(('Dvd Calendar'!$E$489:$AR$489=TYPE1)*(TYPE1&lt;&gt;"")+('Dvd Calendar'!$E$489:$AR$489=TYPE2)*(TYPE2&lt;&gt;"")+('Dvd Calendar'!$E$489:$AR$489=TYPE3)*(TYPE3&lt;&gt;"")+('Dvd Calendar'!$E$489:$AR$489=TYPE4)*(TYPE4&lt;&gt;"")+('Dvd Calendar'!$E$489:$AR$489=SPECIAL_LBL)*(INC_SPECIALS="Y"))))</f>
        <v/>
      </c>
      <c r="K55" s="133">
        <f>IF($C55="","",HSI!$J$50)</f>
        <v/>
      </c>
      <c r="L55" s="133">
        <f>IF($C55="","",HSI!$K$50)</f>
        <v/>
      </c>
      <c r="M55" s="124">
        <f>IF($C55="","",HSI!$J$50+HSI!$L$50)</f>
        <v/>
      </c>
      <c r="N55" s="134">
        <f>IF($C55="","",IF(PULL_FUND="N","",IFERROR(BDP($C55,BESTDPS_FIELD,FWD_OVERRIDE,TEXT(MOD(YEAR_Y,100),"00")&amp;"Y"),"")))</f>
        <v/>
      </c>
      <c r="O55" s="133">
        <f>IF($C55="","",AVERAGE(F55:J55))</f>
        <v/>
      </c>
      <c r="P55" s="135">
        <f>IF($C55="","",IF(PULL_FUND="N","",IF(COUNTIFS('Fund History'!$J$266:$J$270,"&gt;="&amp;DATE(YEAR_Y-5,1,1),'Fund History'!$J$266:$J$270,"&lt;="&amp;DATE(YEAR_Y-5,12,31))=0,"",IFERROR($F55*HSI!$G$50/SUMIFS('Fund History'!$K$266:$K$270,'Fund History'!$J$266:$J$270,"&gt;="&amp;DATE(YEAR_Y-5,1,1),'Fund History'!$J$266:$J$270,"&lt;="&amp;DATE(YEAR_Y-5,12,31)),""))))</f>
        <v/>
      </c>
      <c r="Q55" s="136">
        <f>IF($C55="","",IF(PULL_FUND="N","",IF(COUNTIFS('Fund History'!$J$266:$J$270,"&gt;="&amp;DATE(YEAR_Y-4,1,1),'Fund History'!$J$266:$J$270,"&lt;="&amp;DATE(YEAR_Y-4,12,31))=0,"",IFERROR($G55*HSI!$G$50/SUMIFS('Fund History'!$K$266:$K$270,'Fund History'!$J$266:$J$270,"&gt;="&amp;DATE(YEAR_Y-4,1,1),'Fund History'!$J$266:$J$270,"&lt;="&amp;DATE(YEAR_Y-4,12,31)),""))))</f>
        <v/>
      </c>
      <c r="R55" s="136">
        <f>IF($C55="","",IF(PULL_FUND="N","",IF(COUNTIFS('Fund History'!$J$266:$J$270,"&gt;="&amp;DATE(YEAR_Y-3,1,1),'Fund History'!$J$266:$J$270,"&lt;="&amp;DATE(YEAR_Y-3,12,31))=0,"",IFERROR($H55*HSI!$G$50/SUMIFS('Fund History'!$K$266:$K$270,'Fund History'!$J$266:$J$270,"&gt;="&amp;DATE(YEAR_Y-3,1,1),'Fund History'!$J$266:$J$270,"&lt;="&amp;DATE(YEAR_Y-3,12,31)),""))))</f>
        <v/>
      </c>
      <c r="S55" s="136">
        <f>IF($C55="","",IF(PULL_FUND="N","",IF(COUNTIFS('Fund History'!$J$266:$J$270,"&gt;="&amp;DATE(YEAR_Y-2,1,1),'Fund History'!$J$266:$J$270,"&lt;="&amp;DATE(YEAR_Y-2,12,31))=0,"",IFERROR($I55*HSI!$G$50/SUMIFS('Fund History'!$K$266:$K$270,'Fund History'!$J$266:$J$270,"&gt;="&amp;DATE(YEAR_Y-2,1,1),'Fund History'!$J$266:$J$270,"&lt;="&amp;DATE(YEAR_Y-2,12,31)),""))))</f>
        <v/>
      </c>
      <c r="T55" s="136">
        <f>IF($C55="","",IF(PULL_FUND="N","",IF(COUNTIFS('Fund History'!$J$266:$J$270,"&gt;="&amp;DATE(YEAR_Y-1,1,1),'Fund History'!$J$266:$J$270,"&lt;="&amp;DATE(YEAR_Y-1,12,31))=0,"",IFERROR($J55*HSI!$G$50/SUMIFS('Fund History'!$K$266:$K$270,'Fund History'!$J$266:$J$270,"&gt;="&amp;DATE(YEAR_Y-1,1,1),'Fund History'!$J$266:$J$270,"&lt;="&amp;DATE(YEAR_Y-1,12,31)),""))))</f>
        <v/>
      </c>
      <c r="U55" s="137">
        <f>IF($C55="","",IF(ISNUMBER(HSI!$I$50),HSI!$I$50/100,""))</f>
        <v/>
      </c>
      <c r="V55" s="138">
        <f>IF($C55="","",IF(ISNUMBER(HSI!$X$50),IFERROR($M55*HSI!$G$50/HSI!$X$50,""),""))</f>
        <v/>
      </c>
      <c r="W55" s="137">
        <f>IF($C55="","",IF(ISNUMBER($N55),IFERROR($N55*HSI!$G$50/HSI!$X$50,""),""))</f>
        <v/>
      </c>
      <c r="X55" s="139">
        <f>IF($C55="","",IF(PULL_FUND="N","",IFERROR(BDP($C55,EPS_FIELD,YR_OVERRIDE,TEXT(YEAR_Y-5,"0")),"")))</f>
        <v/>
      </c>
      <c r="Y55" s="140">
        <f>IF($C55="","",IF(PULL_FUND="N","",IFERROR(BDP($C55,EPS_FIELD,YR_OVERRIDE,TEXT(YEAR_Y-4,"0")),"")))</f>
        <v/>
      </c>
      <c r="Z55" s="140">
        <f>IF($C55="","",IF(PULL_FUND="N","",IFERROR(BDP($C55,EPS_FIELD,YR_OVERRIDE,TEXT(YEAR_Y-3,"0")),"")))</f>
        <v/>
      </c>
      <c r="AA55" s="140">
        <f>IF($C55="","",IF(PULL_FUND="N","",IFERROR(BDP($C55,EPS_FIELD,YR_OVERRIDE,TEXT(YEAR_Y-2,"0")),"")))</f>
        <v/>
      </c>
      <c r="AB55" s="140">
        <f>IF($C55="","",IF(PULL_FUND="N","",IFERROR(BDP($C55,EPS_FIELD,YR_OVERRIDE,TEXT(YEAR_Y-1,"0")),"")))</f>
        <v/>
      </c>
      <c r="AC55" s="126">
        <f>IF($C55="","",IFERROR(AVERAGE(X55:AB55),""))</f>
        <v/>
      </c>
      <c r="AD55" s="140">
        <f>IF($C55="","",IF(PULL_FUND="N","",IFERROR(BDP($C55,BESTEPS_FIELD,FWD_OVERRIDE,TEXT(MOD(YEAR_Y,100),"00")&amp;"Y"),"")))</f>
        <v/>
      </c>
      <c r="AE55" s="141">
        <f>IF($C55="","",IF(PULL_FUND="N","",IFERROR(BDP($C55,PAYOUT_FIELD,YR_OVERRIDE,TEXT(YEAR_Y-5,"0"))/100,"")))</f>
        <v/>
      </c>
      <c r="AF55" s="142">
        <f>IF($C55="","",IF(PULL_FUND="N","",IFERROR(BDP($C55,PAYOUT_FIELD,YR_OVERRIDE,TEXT(YEAR_Y-4,"0"))/100,"")))</f>
        <v/>
      </c>
      <c r="AG55" s="142">
        <f>IF($C55="","",IF(PULL_FUND="N","",IFERROR(BDP($C55,PAYOUT_FIELD,YR_OVERRIDE,TEXT(YEAR_Y-3,"0"))/100,"")))</f>
        <v/>
      </c>
      <c r="AH55" s="142">
        <f>IF($C55="","",IF(PULL_FUND="N","",IFERROR(BDP($C55,PAYOUT_FIELD,YR_OVERRIDE,TEXT(YEAR_Y-2,"0"))/100,"")))</f>
        <v/>
      </c>
      <c r="AI55" s="142">
        <f>IF($C55="","",IF(PULL_FUND="N","",IFERROR(BDP($C55,PAYOUT_FIELD,YR_OVERRIDE,TEXT(YEAR_Y-1,"0"))/100,"")))</f>
        <v/>
      </c>
      <c r="AJ55" s="143">
        <f>IF($C55="","",IFERROR(AVERAGE(AE55:AI55),""))</f>
        <v/>
      </c>
      <c r="AK55" s="144">
        <f>IF($C55="","",IF(ISNUMBER($AD55)*ISNUMBER($N55)*($AD55&lt;&gt;0)=0,"",$N55/$AD55))</f>
        <v/>
      </c>
      <c r="AL55" s="143">
        <f>IF($C55="","",IF(ISNUMBER($AD55)*($AD55&lt;&gt;0)=0,"",$M55/$AD55))</f>
        <v/>
      </c>
      <c r="AM55" s="37">
        <f>IF($C55="","",IF(ISNUMBER($AE55)*ISNUMBER($AI55)=0,"",IF($AI55&gt;$AE55+0.05,"rising",IF($AI55&lt;$AE55-0.05,"falling","stable"))))</f>
        <v/>
      </c>
      <c r="AN55" s="145">
        <f>IF($C55="","",IF(PULL_FUND="N","",IF(COUNTIFS('Fund History'!$G$266:$G$270,"&gt;="&amp;DATE(YEAR_Y-4,1,1),'Fund History'!$G$266:$G$270,"&lt;="&amp;DATE(YEAR_Y-4,12,31))=0,"",SUMIFS('Fund History'!$H$266:$H$270,'Fund History'!$G$266:$G$270,"&gt;="&amp;DATE(YEAR_Y-4,1,1),'Fund History'!$G$266:$G$270,"&lt;="&amp;DATE(YEAR_Y-4,12,31))/100)))</f>
        <v/>
      </c>
      <c r="AO55" s="146">
        <f>IF($C55="","",IF(PULL_FUND="N","",IF(COUNTIFS('Fund History'!$G$266:$G$270,"&gt;="&amp;DATE(YEAR_Y-3,1,1),'Fund History'!$G$266:$G$270,"&lt;="&amp;DATE(YEAR_Y-3,12,31))=0,"",SUMIFS('Fund History'!$H$266:$H$270,'Fund History'!$G$266:$G$270,"&gt;="&amp;DATE(YEAR_Y-3,1,1),'Fund History'!$G$266:$G$270,"&lt;="&amp;DATE(YEAR_Y-3,12,31))/100)))</f>
        <v/>
      </c>
      <c r="AP55" s="146">
        <f>IF($C55="","",IF(PULL_FUND="N","",IF(COUNTIFS('Fund History'!$G$266:$G$270,"&gt;="&amp;DATE(YEAR_Y-2,1,1),'Fund History'!$G$266:$G$270,"&lt;="&amp;DATE(YEAR_Y-2,12,31))=0,"",SUMIFS('Fund History'!$H$266:$H$270,'Fund History'!$G$266:$G$270,"&gt;="&amp;DATE(YEAR_Y-2,1,1),'Fund History'!$G$266:$G$270,"&lt;="&amp;DATE(YEAR_Y-2,12,31))/100)))</f>
        <v/>
      </c>
      <c r="AQ55" s="146">
        <f>IF($C55="","",IF(PULL_FUND="N","",IF(COUNTIFS('Fund History'!$G$266:$G$270,"&gt;="&amp;DATE(YEAR_Y-1,1,1),'Fund History'!$G$266:$G$270,"&lt;="&amp;DATE(YEAR_Y-1,12,31))=0,"",SUMIFS('Fund History'!$H$266:$H$270,'Fund History'!$G$266:$G$270,"&gt;="&amp;DATE(YEAR_Y-1,1,1),'Fund History'!$G$266:$G$270,"&lt;="&amp;DATE(YEAR_Y-1,12,31))/100)))</f>
        <v/>
      </c>
      <c r="AR55" s="147">
        <f>IF($C55="","",IF(N($AQ55)+N(HSI!$I$50)=0,"",N($AQ55)+N(HSI!$I$50)/100))</f>
        <v/>
      </c>
      <c r="AS55" s="139">
        <f>IF($C55="","",IF(PULL_FUND="N","",IF(COUNTIFS('Fund History'!$D$266:$D$270,"&gt;="&amp;DATE(YEAR_Y-2,1,1),'Fund History'!$D$266:$D$270,"&lt;="&amp;DATE(YEAR_Y-2,12,31))=0,"",SUMIFS('Fund History'!$E$266:$E$270,'Fund History'!$D$266:$D$270,"&gt;="&amp;DATE(YEAR_Y-2,1,1),'Fund History'!$D$266:$D$270,"&lt;="&amp;DATE(YEAR_Y-2,12,31)))))</f>
        <v/>
      </c>
      <c r="AT55" s="140">
        <f>IF($C55="","",IF(PULL_FUND="N","",IF(COUNTIFS('Fund History'!$D$266:$D$270,"&gt;="&amp;DATE(YEAR_Y-1,1,1),'Fund History'!$D$266:$D$270,"&lt;="&amp;DATE(YEAR_Y-1,12,31))=0,"",SUMIFS('Fund History'!$E$266:$E$270,'Fund History'!$D$266:$D$270,"&gt;="&amp;DATE(YEAR_Y-1,1,1),'Fund History'!$D$266:$D$270,"&lt;="&amp;DATE(YEAR_Y-1,12,31)))))</f>
        <v/>
      </c>
      <c r="AU55" s="140">
        <f>IF($C55="","",IF(PULL_FUND="N","",IFERROR(BDP($C55,NDEBITDA_FIELD),"")))</f>
        <v/>
      </c>
      <c r="AV55" s="148">
        <f>IF($C55="","",IF(PULL_FUND="N","",IFERROR(BDP($C55,EBINT_FIELD),"")))</f>
        <v/>
      </c>
      <c r="AW55" s="146">
        <f>IF($C55="","",IF(PULL_FUND="N","",IFERROR(BDP($C55,FCF_FIELD)/100,"")))</f>
        <v/>
      </c>
      <c r="AX55" s="126">
        <f>IF($C55="","",IF(N($U55)=0,"",IFERROR($AW55/$U55,"")))</f>
        <v/>
      </c>
      <c r="AY55" s="85">
        <f>IF($C55="","",TRIM(IF(ISNUMBER($AJ55)*(N($AJ55)&gt;$D$4)&gt;0,"payout high  ","")&amp;IF(ISNUMBER($AX55)*(N($AX55)&lt;$F$4)&gt;0,"FCF below dvd  ","")&amp;IF(ISNUMBER($AU55)*(N($AU55)&gt;$H$4)&gt;0,"leverage high","")))</f>
        <v/>
      </c>
      <c r="AZ55" s="86">
        <f>IF($C55="","",IF(HSI!$F$50="HKD","",HSI!$F$50))</f>
        <v/>
      </c>
    </row>
    <row r="56">
      <c r="B56" s="66" t="inlineStr">
        <is>
          <t>HSI</t>
        </is>
      </c>
      <c r="C56" s="8">
        <f>IF(HSI!$C$51="","",HSI!$C$51)</f>
        <v/>
      </c>
      <c r="D56" s="8">
        <f>IF($C56="","",HSI!$D$51)</f>
        <v/>
      </c>
      <c r="E56" s="8">
        <f>IF($C56="","",HSI!$E$51)</f>
        <v/>
      </c>
      <c r="F56" s="131">
        <f>IF($C56="","",SUMPRODUCT(('Dvd Calendar'!$E$495:$AR$495&gt;=DATE(YEAR_Y-5,1,1))*('Dvd Calendar'!$E$495:$AR$495&lt;=DATE(YEAR_Y-5,12,31))*'Dvd Calendar'!$E$498:$AR$498*(('Dvd Calendar'!$E$500:$AR$500=TYPE1)*(TYPE1&lt;&gt;"")+('Dvd Calendar'!$E$500:$AR$500=TYPE2)*(TYPE2&lt;&gt;"")+('Dvd Calendar'!$E$500:$AR$500=TYPE3)*(TYPE3&lt;&gt;"")+('Dvd Calendar'!$E$500:$AR$500=TYPE4)*(TYPE4&lt;&gt;"")+('Dvd Calendar'!$E$500:$AR$500=SPECIAL_LBL)*(INC_SPECIALS="Y"))))</f>
        <v/>
      </c>
      <c r="G56" s="132">
        <f>IF($C56="","",SUMPRODUCT(('Dvd Calendar'!$E$495:$AR$495&gt;=DATE(YEAR_Y-4,1,1))*('Dvd Calendar'!$E$495:$AR$495&lt;=DATE(YEAR_Y-4,12,31))*'Dvd Calendar'!$E$498:$AR$498*(('Dvd Calendar'!$E$500:$AR$500=TYPE1)*(TYPE1&lt;&gt;"")+('Dvd Calendar'!$E$500:$AR$500=TYPE2)*(TYPE2&lt;&gt;"")+('Dvd Calendar'!$E$500:$AR$500=TYPE3)*(TYPE3&lt;&gt;"")+('Dvd Calendar'!$E$500:$AR$500=TYPE4)*(TYPE4&lt;&gt;"")+('Dvd Calendar'!$E$500:$AR$500=SPECIAL_LBL)*(INC_SPECIALS="Y"))))</f>
        <v/>
      </c>
      <c r="H56" s="132">
        <f>IF($C56="","",SUMPRODUCT(('Dvd Calendar'!$E$495:$AR$495&gt;=DATE(YEAR_Y-3,1,1))*('Dvd Calendar'!$E$495:$AR$495&lt;=DATE(YEAR_Y-3,12,31))*'Dvd Calendar'!$E$498:$AR$498*(('Dvd Calendar'!$E$500:$AR$500=TYPE1)*(TYPE1&lt;&gt;"")+('Dvd Calendar'!$E$500:$AR$500=TYPE2)*(TYPE2&lt;&gt;"")+('Dvd Calendar'!$E$500:$AR$500=TYPE3)*(TYPE3&lt;&gt;"")+('Dvd Calendar'!$E$500:$AR$500=TYPE4)*(TYPE4&lt;&gt;"")+('Dvd Calendar'!$E$500:$AR$500=SPECIAL_LBL)*(INC_SPECIALS="Y"))))</f>
        <v/>
      </c>
      <c r="I56" s="132">
        <f>IF($C56="","",SUMPRODUCT(('Dvd Calendar'!$E$495:$AR$495&gt;=DATE(YEAR_Y-2,1,1))*('Dvd Calendar'!$E$495:$AR$495&lt;=DATE(YEAR_Y-2,12,31))*'Dvd Calendar'!$E$498:$AR$498*(('Dvd Calendar'!$E$500:$AR$500=TYPE1)*(TYPE1&lt;&gt;"")+('Dvd Calendar'!$E$500:$AR$500=TYPE2)*(TYPE2&lt;&gt;"")+('Dvd Calendar'!$E$500:$AR$500=TYPE3)*(TYPE3&lt;&gt;"")+('Dvd Calendar'!$E$500:$AR$500=TYPE4)*(TYPE4&lt;&gt;"")+('Dvd Calendar'!$E$500:$AR$500=SPECIAL_LBL)*(INC_SPECIALS="Y"))))</f>
        <v/>
      </c>
      <c r="J56" s="132">
        <f>IF($C56="","",SUMPRODUCT(('Dvd Calendar'!$E$495:$AR$495&gt;=DATE(YEAR_Y-1,1,1))*('Dvd Calendar'!$E$495:$AR$495&lt;=DATE(YEAR_Y-1,12,31))*'Dvd Calendar'!$E$498:$AR$498*(('Dvd Calendar'!$E$500:$AR$500=TYPE1)*(TYPE1&lt;&gt;"")+('Dvd Calendar'!$E$500:$AR$500=TYPE2)*(TYPE2&lt;&gt;"")+('Dvd Calendar'!$E$500:$AR$500=TYPE3)*(TYPE3&lt;&gt;"")+('Dvd Calendar'!$E$500:$AR$500=TYPE4)*(TYPE4&lt;&gt;"")+('Dvd Calendar'!$E$500:$AR$500=SPECIAL_LBL)*(INC_SPECIALS="Y"))))</f>
        <v/>
      </c>
      <c r="K56" s="133">
        <f>IF($C56="","",HSI!$J$51)</f>
        <v/>
      </c>
      <c r="L56" s="133">
        <f>IF($C56="","",HSI!$K$51)</f>
        <v/>
      </c>
      <c r="M56" s="124">
        <f>IF($C56="","",HSI!$J$51+HSI!$L$51)</f>
        <v/>
      </c>
      <c r="N56" s="134">
        <f>IF($C56="","",IF(PULL_FUND="N","",IFERROR(BDP($C56,BESTDPS_FIELD,FWD_OVERRIDE,TEXT(MOD(YEAR_Y,100),"00")&amp;"Y"),"")))</f>
        <v/>
      </c>
      <c r="O56" s="133">
        <f>IF($C56="","",AVERAGE(F56:J56))</f>
        <v/>
      </c>
      <c r="P56" s="135">
        <f>IF($C56="","",IF(PULL_FUND="N","",IF(COUNTIFS('Fund History'!$J$272:$J$276,"&gt;="&amp;DATE(YEAR_Y-5,1,1),'Fund History'!$J$272:$J$276,"&lt;="&amp;DATE(YEAR_Y-5,12,31))=0,"",IFERROR($F56*HSI!$G$51/SUMIFS('Fund History'!$K$272:$K$276,'Fund History'!$J$272:$J$276,"&gt;="&amp;DATE(YEAR_Y-5,1,1),'Fund History'!$J$272:$J$276,"&lt;="&amp;DATE(YEAR_Y-5,12,31)),""))))</f>
        <v/>
      </c>
      <c r="Q56" s="136">
        <f>IF($C56="","",IF(PULL_FUND="N","",IF(COUNTIFS('Fund History'!$J$272:$J$276,"&gt;="&amp;DATE(YEAR_Y-4,1,1),'Fund History'!$J$272:$J$276,"&lt;="&amp;DATE(YEAR_Y-4,12,31))=0,"",IFERROR($G56*HSI!$G$51/SUMIFS('Fund History'!$K$272:$K$276,'Fund History'!$J$272:$J$276,"&gt;="&amp;DATE(YEAR_Y-4,1,1),'Fund History'!$J$272:$J$276,"&lt;="&amp;DATE(YEAR_Y-4,12,31)),""))))</f>
        <v/>
      </c>
      <c r="R56" s="136">
        <f>IF($C56="","",IF(PULL_FUND="N","",IF(COUNTIFS('Fund History'!$J$272:$J$276,"&gt;="&amp;DATE(YEAR_Y-3,1,1),'Fund History'!$J$272:$J$276,"&lt;="&amp;DATE(YEAR_Y-3,12,31))=0,"",IFERROR($H56*HSI!$G$51/SUMIFS('Fund History'!$K$272:$K$276,'Fund History'!$J$272:$J$276,"&gt;="&amp;DATE(YEAR_Y-3,1,1),'Fund History'!$J$272:$J$276,"&lt;="&amp;DATE(YEAR_Y-3,12,31)),""))))</f>
        <v/>
      </c>
      <c r="S56" s="136">
        <f>IF($C56="","",IF(PULL_FUND="N","",IF(COUNTIFS('Fund History'!$J$272:$J$276,"&gt;="&amp;DATE(YEAR_Y-2,1,1),'Fund History'!$J$272:$J$276,"&lt;="&amp;DATE(YEAR_Y-2,12,31))=0,"",IFERROR($I56*HSI!$G$51/SUMIFS('Fund History'!$K$272:$K$276,'Fund History'!$J$272:$J$276,"&gt;="&amp;DATE(YEAR_Y-2,1,1),'Fund History'!$J$272:$J$276,"&lt;="&amp;DATE(YEAR_Y-2,12,31)),""))))</f>
        <v/>
      </c>
      <c r="T56" s="136">
        <f>IF($C56="","",IF(PULL_FUND="N","",IF(COUNTIFS('Fund History'!$J$272:$J$276,"&gt;="&amp;DATE(YEAR_Y-1,1,1),'Fund History'!$J$272:$J$276,"&lt;="&amp;DATE(YEAR_Y-1,12,31))=0,"",IFERROR($J56*HSI!$G$51/SUMIFS('Fund History'!$K$272:$K$276,'Fund History'!$J$272:$J$276,"&gt;="&amp;DATE(YEAR_Y-1,1,1),'Fund History'!$J$272:$J$276,"&lt;="&amp;DATE(YEAR_Y-1,12,31)),""))))</f>
        <v/>
      </c>
      <c r="U56" s="137">
        <f>IF($C56="","",IF(ISNUMBER(HSI!$I$51),HSI!$I$51/100,""))</f>
        <v/>
      </c>
      <c r="V56" s="138">
        <f>IF($C56="","",IF(ISNUMBER(HSI!$X$51),IFERROR($M56*HSI!$G$51/HSI!$X$51,""),""))</f>
        <v/>
      </c>
      <c r="W56" s="137">
        <f>IF($C56="","",IF(ISNUMBER($N56),IFERROR($N56*HSI!$G$51/HSI!$X$51,""),""))</f>
        <v/>
      </c>
      <c r="X56" s="139">
        <f>IF($C56="","",IF(PULL_FUND="N","",IFERROR(BDP($C56,EPS_FIELD,YR_OVERRIDE,TEXT(YEAR_Y-5,"0")),"")))</f>
        <v/>
      </c>
      <c r="Y56" s="140">
        <f>IF($C56="","",IF(PULL_FUND="N","",IFERROR(BDP($C56,EPS_FIELD,YR_OVERRIDE,TEXT(YEAR_Y-4,"0")),"")))</f>
        <v/>
      </c>
      <c r="Z56" s="140">
        <f>IF($C56="","",IF(PULL_FUND="N","",IFERROR(BDP($C56,EPS_FIELD,YR_OVERRIDE,TEXT(YEAR_Y-3,"0")),"")))</f>
        <v/>
      </c>
      <c r="AA56" s="140">
        <f>IF($C56="","",IF(PULL_FUND="N","",IFERROR(BDP($C56,EPS_FIELD,YR_OVERRIDE,TEXT(YEAR_Y-2,"0")),"")))</f>
        <v/>
      </c>
      <c r="AB56" s="140">
        <f>IF($C56="","",IF(PULL_FUND="N","",IFERROR(BDP($C56,EPS_FIELD,YR_OVERRIDE,TEXT(YEAR_Y-1,"0")),"")))</f>
        <v/>
      </c>
      <c r="AC56" s="126">
        <f>IF($C56="","",IFERROR(AVERAGE(X56:AB56),""))</f>
        <v/>
      </c>
      <c r="AD56" s="140">
        <f>IF($C56="","",IF(PULL_FUND="N","",IFERROR(BDP($C56,BESTEPS_FIELD,FWD_OVERRIDE,TEXT(MOD(YEAR_Y,100),"00")&amp;"Y"),"")))</f>
        <v/>
      </c>
      <c r="AE56" s="141">
        <f>IF($C56="","",IF(PULL_FUND="N","",IFERROR(BDP($C56,PAYOUT_FIELD,YR_OVERRIDE,TEXT(YEAR_Y-5,"0"))/100,"")))</f>
        <v/>
      </c>
      <c r="AF56" s="142">
        <f>IF($C56="","",IF(PULL_FUND="N","",IFERROR(BDP($C56,PAYOUT_FIELD,YR_OVERRIDE,TEXT(YEAR_Y-4,"0"))/100,"")))</f>
        <v/>
      </c>
      <c r="AG56" s="142">
        <f>IF($C56="","",IF(PULL_FUND="N","",IFERROR(BDP($C56,PAYOUT_FIELD,YR_OVERRIDE,TEXT(YEAR_Y-3,"0"))/100,"")))</f>
        <v/>
      </c>
      <c r="AH56" s="142">
        <f>IF($C56="","",IF(PULL_FUND="N","",IFERROR(BDP($C56,PAYOUT_FIELD,YR_OVERRIDE,TEXT(YEAR_Y-2,"0"))/100,"")))</f>
        <v/>
      </c>
      <c r="AI56" s="142">
        <f>IF($C56="","",IF(PULL_FUND="N","",IFERROR(BDP($C56,PAYOUT_FIELD,YR_OVERRIDE,TEXT(YEAR_Y-1,"0"))/100,"")))</f>
        <v/>
      </c>
      <c r="AJ56" s="143">
        <f>IF($C56="","",IFERROR(AVERAGE(AE56:AI56),""))</f>
        <v/>
      </c>
      <c r="AK56" s="144">
        <f>IF($C56="","",IF(ISNUMBER($AD56)*ISNUMBER($N56)*($AD56&lt;&gt;0)=0,"",$N56/$AD56))</f>
        <v/>
      </c>
      <c r="AL56" s="143">
        <f>IF($C56="","",IF(ISNUMBER($AD56)*($AD56&lt;&gt;0)=0,"",$M56/$AD56))</f>
        <v/>
      </c>
      <c r="AM56" s="37">
        <f>IF($C56="","",IF(ISNUMBER($AE56)*ISNUMBER($AI56)=0,"",IF($AI56&gt;$AE56+0.05,"rising",IF($AI56&lt;$AE56-0.05,"falling","stable"))))</f>
        <v/>
      </c>
      <c r="AN56" s="145">
        <f>IF($C56="","",IF(PULL_FUND="N","",IF(COUNTIFS('Fund History'!$G$272:$G$276,"&gt;="&amp;DATE(YEAR_Y-4,1,1),'Fund History'!$G$272:$G$276,"&lt;="&amp;DATE(YEAR_Y-4,12,31))=0,"",SUMIFS('Fund History'!$H$272:$H$276,'Fund History'!$G$272:$G$276,"&gt;="&amp;DATE(YEAR_Y-4,1,1),'Fund History'!$G$272:$G$276,"&lt;="&amp;DATE(YEAR_Y-4,12,31))/100)))</f>
        <v/>
      </c>
      <c r="AO56" s="146">
        <f>IF($C56="","",IF(PULL_FUND="N","",IF(COUNTIFS('Fund History'!$G$272:$G$276,"&gt;="&amp;DATE(YEAR_Y-3,1,1),'Fund History'!$G$272:$G$276,"&lt;="&amp;DATE(YEAR_Y-3,12,31))=0,"",SUMIFS('Fund History'!$H$272:$H$276,'Fund History'!$G$272:$G$276,"&gt;="&amp;DATE(YEAR_Y-3,1,1),'Fund History'!$G$272:$G$276,"&lt;="&amp;DATE(YEAR_Y-3,12,31))/100)))</f>
        <v/>
      </c>
      <c r="AP56" s="146">
        <f>IF($C56="","",IF(PULL_FUND="N","",IF(COUNTIFS('Fund History'!$G$272:$G$276,"&gt;="&amp;DATE(YEAR_Y-2,1,1),'Fund History'!$G$272:$G$276,"&lt;="&amp;DATE(YEAR_Y-2,12,31))=0,"",SUMIFS('Fund History'!$H$272:$H$276,'Fund History'!$G$272:$G$276,"&gt;="&amp;DATE(YEAR_Y-2,1,1),'Fund History'!$G$272:$G$276,"&lt;="&amp;DATE(YEAR_Y-2,12,31))/100)))</f>
        <v/>
      </c>
      <c r="AQ56" s="146">
        <f>IF($C56="","",IF(PULL_FUND="N","",IF(COUNTIFS('Fund History'!$G$272:$G$276,"&gt;="&amp;DATE(YEAR_Y-1,1,1),'Fund History'!$G$272:$G$276,"&lt;="&amp;DATE(YEAR_Y-1,12,31))=0,"",SUMIFS('Fund History'!$H$272:$H$276,'Fund History'!$G$272:$G$276,"&gt;="&amp;DATE(YEAR_Y-1,1,1),'Fund History'!$G$272:$G$276,"&lt;="&amp;DATE(YEAR_Y-1,12,31))/100)))</f>
        <v/>
      </c>
      <c r="AR56" s="147">
        <f>IF($C56="","",IF(N($AQ56)+N(HSI!$I$51)=0,"",N($AQ56)+N(HSI!$I$51)/100))</f>
        <v/>
      </c>
      <c r="AS56" s="139">
        <f>IF($C56="","",IF(PULL_FUND="N","",IF(COUNTIFS('Fund History'!$D$272:$D$276,"&gt;="&amp;DATE(YEAR_Y-2,1,1),'Fund History'!$D$272:$D$276,"&lt;="&amp;DATE(YEAR_Y-2,12,31))=0,"",SUMIFS('Fund History'!$E$272:$E$276,'Fund History'!$D$272:$D$276,"&gt;="&amp;DATE(YEAR_Y-2,1,1),'Fund History'!$D$272:$D$276,"&lt;="&amp;DATE(YEAR_Y-2,12,31)))))</f>
        <v/>
      </c>
      <c r="AT56" s="140">
        <f>IF($C56="","",IF(PULL_FUND="N","",IF(COUNTIFS('Fund History'!$D$272:$D$276,"&gt;="&amp;DATE(YEAR_Y-1,1,1),'Fund History'!$D$272:$D$276,"&lt;="&amp;DATE(YEAR_Y-1,12,31))=0,"",SUMIFS('Fund History'!$E$272:$E$276,'Fund History'!$D$272:$D$276,"&gt;="&amp;DATE(YEAR_Y-1,1,1),'Fund History'!$D$272:$D$276,"&lt;="&amp;DATE(YEAR_Y-1,12,31)))))</f>
        <v/>
      </c>
      <c r="AU56" s="140">
        <f>IF($C56="","",IF(PULL_FUND="N","",IFERROR(BDP($C56,NDEBITDA_FIELD),"")))</f>
        <v/>
      </c>
      <c r="AV56" s="148">
        <f>IF($C56="","",IF(PULL_FUND="N","",IFERROR(BDP($C56,EBINT_FIELD),"")))</f>
        <v/>
      </c>
      <c r="AW56" s="146">
        <f>IF($C56="","",IF(PULL_FUND="N","",IFERROR(BDP($C56,FCF_FIELD)/100,"")))</f>
        <v/>
      </c>
      <c r="AX56" s="126">
        <f>IF($C56="","",IF(N($U56)=0,"",IFERROR($AW56/$U56,"")))</f>
        <v/>
      </c>
      <c r="AY56" s="85">
        <f>IF($C56="","",TRIM(IF(ISNUMBER($AJ56)*(N($AJ56)&gt;$D$4)&gt;0,"payout high  ","")&amp;IF(ISNUMBER($AX56)*(N($AX56)&lt;$F$4)&gt;0,"FCF below dvd  ","")&amp;IF(ISNUMBER($AU56)*(N($AU56)&gt;$H$4)&gt;0,"leverage high","")))</f>
        <v/>
      </c>
      <c r="AZ56" s="86">
        <f>IF($C56="","",IF(HSI!$F$51="HKD","",HSI!$F$51))</f>
        <v/>
      </c>
    </row>
    <row r="57">
      <c r="B57" s="66" t="inlineStr">
        <is>
          <t>HSI</t>
        </is>
      </c>
      <c r="C57" s="8">
        <f>IF(HSI!$C$52="","",HSI!$C$52)</f>
        <v/>
      </c>
      <c r="D57" s="8">
        <f>IF($C57="","",HSI!$D$52)</f>
        <v/>
      </c>
      <c r="E57" s="8">
        <f>IF($C57="","",HSI!$E$52)</f>
        <v/>
      </c>
      <c r="F57" s="131">
        <f>IF($C57="","",SUMPRODUCT(('Dvd Calendar'!$E$506:$AR$506&gt;=DATE(YEAR_Y-5,1,1))*('Dvd Calendar'!$E$506:$AR$506&lt;=DATE(YEAR_Y-5,12,31))*'Dvd Calendar'!$E$509:$AR$509*(('Dvd Calendar'!$E$511:$AR$511=TYPE1)*(TYPE1&lt;&gt;"")+('Dvd Calendar'!$E$511:$AR$511=TYPE2)*(TYPE2&lt;&gt;"")+('Dvd Calendar'!$E$511:$AR$511=TYPE3)*(TYPE3&lt;&gt;"")+('Dvd Calendar'!$E$511:$AR$511=TYPE4)*(TYPE4&lt;&gt;"")+('Dvd Calendar'!$E$511:$AR$511=SPECIAL_LBL)*(INC_SPECIALS="Y"))))</f>
        <v/>
      </c>
      <c r="G57" s="132">
        <f>IF($C57="","",SUMPRODUCT(('Dvd Calendar'!$E$506:$AR$506&gt;=DATE(YEAR_Y-4,1,1))*('Dvd Calendar'!$E$506:$AR$506&lt;=DATE(YEAR_Y-4,12,31))*'Dvd Calendar'!$E$509:$AR$509*(('Dvd Calendar'!$E$511:$AR$511=TYPE1)*(TYPE1&lt;&gt;"")+('Dvd Calendar'!$E$511:$AR$511=TYPE2)*(TYPE2&lt;&gt;"")+('Dvd Calendar'!$E$511:$AR$511=TYPE3)*(TYPE3&lt;&gt;"")+('Dvd Calendar'!$E$511:$AR$511=TYPE4)*(TYPE4&lt;&gt;"")+('Dvd Calendar'!$E$511:$AR$511=SPECIAL_LBL)*(INC_SPECIALS="Y"))))</f>
        <v/>
      </c>
      <c r="H57" s="132">
        <f>IF($C57="","",SUMPRODUCT(('Dvd Calendar'!$E$506:$AR$506&gt;=DATE(YEAR_Y-3,1,1))*('Dvd Calendar'!$E$506:$AR$506&lt;=DATE(YEAR_Y-3,12,31))*'Dvd Calendar'!$E$509:$AR$509*(('Dvd Calendar'!$E$511:$AR$511=TYPE1)*(TYPE1&lt;&gt;"")+('Dvd Calendar'!$E$511:$AR$511=TYPE2)*(TYPE2&lt;&gt;"")+('Dvd Calendar'!$E$511:$AR$511=TYPE3)*(TYPE3&lt;&gt;"")+('Dvd Calendar'!$E$511:$AR$511=TYPE4)*(TYPE4&lt;&gt;"")+('Dvd Calendar'!$E$511:$AR$511=SPECIAL_LBL)*(INC_SPECIALS="Y"))))</f>
        <v/>
      </c>
      <c r="I57" s="132">
        <f>IF($C57="","",SUMPRODUCT(('Dvd Calendar'!$E$506:$AR$506&gt;=DATE(YEAR_Y-2,1,1))*('Dvd Calendar'!$E$506:$AR$506&lt;=DATE(YEAR_Y-2,12,31))*'Dvd Calendar'!$E$509:$AR$509*(('Dvd Calendar'!$E$511:$AR$511=TYPE1)*(TYPE1&lt;&gt;"")+('Dvd Calendar'!$E$511:$AR$511=TYPE2)*(TYPE2&lt;&gt;"")+('Dvd Calendar'!$E$511:$AR$511=TYPE3)*(TYPE3&lt;&gt;"")+('Dvd Calendar'!$E$511:$AR$511=TYPE4)*(TYPE4&lt;&gt;"")+('Dvd Calendar'!$E$511:$AR$511=SPECIAL_LBL)*(INC_SPECIALS="Y"))))</f>
        <v/>
      </c>
      <c r="J57" s="132">
        <f>IF($C57="","",SUMPRODUCT(('Dvd Calendar'!$E$506:$AR$506&gt;=DATE(YEAR_Y-1,1,1))*('Dvd Calendar'!$E$506:$AR$506&lt;=DATE(YEAR_Y-1,12,31))*'Dvd Calendar'!$E$509:$AR$509*(('Dvd Calendar'!$E$511:$AR$511=TYPE1)*(TYPE1&lt;&gt;"")+('Dvd Calendar'!$E$511:$AR$511=TYPE2)*(TYPE2&lt;&gt;"")+('Dvd Calendar'!$E$511:$AR$511=TYPE3)*(TYPE3&lt;&gt;"")+('Dvd Calendar'!$E$511:$AR$511=TYPE4)*(TYPE4&lt;&gt;"")+('Dvd Calendar'!$E$511:$AR$511=SPECIAL_LBL)*(INC_SPECIALS="Y"))))</f>
        <v/>
      </c>
      <c r="K57" s="133">
        <f>IF($C57="","",HSI!$J$52)</f>
        <v/>
      </c>
      <c r="L57" s="133">
        <f>IF($C57="","",HSI!$K$52)</f>
        <v/>
      </c>
      <c r="M57" s="124">
        <f>IF($C57="","",HSI!$J$52+HSI!$L$52)</f>
        <v/>
      </c>
      <c r="N57" s="134">
        <f>IF($C57="","",IF(PULL_FUND="N","",IFERROR(BDP($C57,BESTDPS_FIELD,FWD_OVERRIDE,TEXT(MOD(YEAR_Y,100),"00")&amp;"Y"),"")))</f>
        <v/>
      </c>
      <c r="O57" s="133">
        <f>IF($C57="","",AVERAGE(F57:J57))</f>
        <v/>
      </c>
      <c r="P57" s="135">
        <f>IF($C57="","",IF(PULL_FUND="N","",IF(COUNTIFS('Fund History'!$J$278:$J$282,"&gt;="&amp;DATE(YEAR_Y-5,1,1),'Fund History'!$J$278:$J$282,"&lt;="&amp;DATE(YEAR_Y-5,12,31))=0,"",IFERROR($F57*HSI!$G$52/SUMIFS('Fund History'!$K$278:$K$282,'Fund History'!$J$278:$J$282,"&gt;="&amp;DATE(YEAR_Y-5,1,1),'Fund History'!$J$278:$J$282,"&lt;="&amp;DATE(YEAR_Y-5,12,31)),""))))</f>
        <v/>
      </c>
      <c r="Q57" s="136">
        <f>IF($C57="","",IF(PULL_FUND="N","",IF(COUNTIFS('Fund History'!$J$278:$J$282,"&gt;="&amp;DATE(YEAR_Y-4,1,1),'Fund History'!$J$278:$J$282,"&lt;="&amp;DATE(YEAR_Y-4,12,31))=0,"",IFERROR($G57*HSI!$G$52/SUMIFS('Fund History'!$K$278:$K$282,'Fund History'!$J$278:$J$282,"&gt;="&amp;DATE(YEAR_Y-4,1,1),'Fund History'!$J$278:$J$282,"&lt;="&amp;DATE(YEAR_Y-4,12,31)),""))))</f>
        <v/>
      </c>
      <c r="R57" s="136">
        <f>IF($C57="","",IF(PULL_FUND="N","",IF(COUNTIFS('Fund History'!$J$278:$J$282,"&gt;="&amp;DATE(YEAR_Y-3,1,1),'Fund History'!$J$278:$J$282,"&lt;="&amp;DATE(YEAR_Y-3,12,31))=0,"",IFERROR($H57*HSI!$G$52/SUMIFS('Fund History'!$K$278:$K$282,'Fund History'!$J$278:$J$282,"&gt;="&amp;DATE(YEAR_Y-3,1,1),'Fund History'!$J$278:$J$282,"&lt;="&amp;DATE(YEAR_Y-3,12,31)),""))))</f>
        <v/>
      </c>
      <c r="S57" s="136">
        <f>IF($C57="","",IF(PULL_FUND="N","",IF(COUNTIFS('Fund History'!$J$278:$J$282,"&gt;="&amp;DATE(YEAR_Y-2,1,1),'Fund History'!$J$278:$J$282,"&lt;="&amp;DATE(YEAR_Y-2,12,31))=0,"",IFERROR($I57*HSI!$G$52/SUMIFS('Fund History'!$K$278:$K$282,'Fund History'!$J$278:$J$282,"&gt;="&amp;DATE(YEAR_Y-2,1,1),'Fund History'!$J$278:$J$282,"&lt;="&amp;DATE(YEAR_Y-2,12,31)),""))))</f>
        <v/>
      </c>
      <c r="T57" s="136">
        <f>IF($C57="","",IF(PULL_FUND="N","",IF(COUNTIFS('Fund History'!$J$278:$J$282,"&gt;="&amp;DATE(YEAR_Y-1,1,1),'Fund History'!$J$278:$J$282,"&lt;="&amp;DATE(YEAR_Y-1,12,31))=0,"",IFERROR($J57*HSI!$G$52/SUMIFS('Fund History'!$K$278:$K$282,'Fund History'!$J$278:$J$282,"&gt;="&amp;DATE(YEAR_Y-1,1,1),'Fund History'!$J$278:$J$282,"&lt;="&amp;DATE(YEAR_Y-1,12,31)),""))))</f>
        <v/>
      </c>
      <c r="U57" s="137">
        <f>IF($C57="","",IF(ISNUMBER(HSI!$I$52),HSI!$I$52/100,""))</f>
        <v/>
      </c>
      <c r="V57" s="138">
        <f>IF($C57="","",IF(ISNUMBER(HSI!$X$52),IFERROR($M57*HSI!$G$52/HSI!$X$52,""),""))</f>
        <v/>
      </c>
      <c r="W57" s="137">
        <f>IF($C57="","",IF(ISNUMBER($N57),IFERROR($N57*HSI!$G$52/HSI!$X$52,""),""))</f>
        <v/>
      </c>
      <c r="X57" s="139">
        <f>IF($C57="","",IF(PULL_FUND="N","",IFERROR(BDP($C57,EPS_FIELD,YR_OVERRIDE,TEXT(YEAR_Y-5,"0")),"")))</f>
        <v/>
      </c>
      <c r="Y57" s="140">
        <f>IF($C57="","",IF(PULL_FUND="N","",IFERROR(BDP($C57,EPS_FIELD,YR_OVERRIDE,TEXT(YEAR_Y-4,"0")),"")))</f>
        <v/>
      </c>
      <c r="Z57" s="140">
        <f>IF($C57="","",IF(PULL_FUND="N","",IFERROR(BDP($C57,EPS_FIELD,YR_OVERRIDE,TEXT(YEAR_Y-3,"0")),"")))</f>
        <v/>
      </c>
      <c r="AA57" s="140">
        <f>IF($C57="","",IF(PULL_FUND="N","",IFERROR(BDP($C57,EPS_FIELD,YR_OVERRIDE,TEXT(YEAR_Y-2,"0")),"")))</f>
        <v/>
      </c>
      <c r="AB57" s="140">
        <f>IF($C57="","",IF(PULL_FUND="N","",IFERROR(BDP($C57,EPS_FIELD,YR_OVERRIDE,TEXT(YEAR_Y-1,"0")),"")))</f>
        <v/>
      </c>
      <c r="AC57" s="126">
        <f>IF($C57="","",IFERROR(AVERAGE(X57:AB57),""))</f>
        <v/>
      </c>
      <c r="AD57" s="140">
        <f>IF($C57="","",IF(PULL_FUND="N","",IFERROR(BDP($C57,BESTEPS_FIELD,FWD_OVERRIDE,TEXT(MOD(YEAR_Y,100),"00")&amp;"Y"),"")))</f>
        <v/>
      </c>
      <c r="AE57" s="141">
        <f>IF($C57="","",IF(PULL_FUND="N","",IFERROR(BDP($C57,PAYOUT_FIELD,YR_OVERRIDE,TEXT(YEAR_Y-5,"0"))/100,"")))</f>
        <v/>
      </c>
      <c r="AF57" s="142">
        <f>IF($C57="","",IF(PULL_FUND="N","",IFERROR(BDP($C57,PAYOUT_FIELD,YR_OVERRIDE,TEXT(YEAR_Y-4,"0"))/100,"")))</f>
        <v/>
      </c>
      <c r="AG57" s="142">
        <f>IF($C57="","",IF(PULL_FUND="N","",IFERROR(BDP($C57,PAYOUT_FIELD,YR_OVERRIDE,TEXT(YEAR_Y-3,"0"))/100,"")))</f>
        <v/>
      </c>
      <c r="AH57" s="142">
        <f>IF($C57="","",IF(PULL_FUND="N","",IFERROR(BDP($C57,PAYOUT_FIELD,YR_OVERRIDE,TEXT(YEAR_Y-2,"0"))/100,"")))</f>
        <v/>
      </c>
      <c r="AI57" s="142">
        <f>IF($C57="","",IF(PULL_FUND="N","",IFERROR(BDP($C57,PAYOUT_FIELD,YR_OVERRIDE,TEXT(YEAR_Y-1,"0"))/100,"")))</f>
        <v/>
      </c>
      <c r="AJ57" s="143">
        <f>IF($C57="","",IFERROR(AVERAGE(AE57:AI57),""))</f>
        <v/>
      </c>
      <c r="AK57" s="144">
        <f>IF($C57="","",IF(ISNUMBER($AD57)*ISNUMBER($N57)*($AD57&lt;&gt;0)=0,"",$N57/$AD57))</f>
        <v/>
      </c>
      <c r="AL57" s="143">
        <f>IF($C57="","",IF(ISNUMBER($AD57)*($AD57&lt;&gt;0)=0,"",$M57/$AD57))</f>
        <v/>
      </c>
      <c r="AM57" s="37">
        <f>IF($C57="","",IF(ISNUMBER($AE57)*ISNUMBER($AI57)=0,"",IF($AI57&gt;$AE57+0.05,"rising",IF($AI57&lt;$AE57-0.05,"falling","stable"))))</f>
        <v/>
      </c>
      <c r="AN57" s="145">
        <f>IF($C57="","",IF(PULL_FUND="N","",IF(COUNTIFS('Fund History'!$G$278:$G$282,"&gt;="&amp;DATE(YEAR_Y-4,1,1),'Fund History'!$G$278:$G$282,"&lt;="&amp;DATE(YEAR_Y-4,12,31))=0,"",SUMIFS('Fund History'!$H$278:$H$282,'Fund History'!$G$278:$G$282,"&gt;="&amp;DATE(YEAR_Y-4,1,1),'Fund History'!$G$278:$G$282,"&lt;="&amp;DATE(YEAR_Y-4,12,31))/100)))</f>
        <v/>
      </c>
      <c r="AO57" s="146">
        <f>IF($C57="","",IF(PULL_FUND="N","",IF(COUNTIFS('Fund History'!$G$278:$G$282,"&gt;="&amp;DATE(YEAR_Y-3,1,1),'Fund History'!$G$278:$G$282,"&lt;="&amp;DATE(YEAR_Y-3,12,31))=0,"",SUMIFS('Fund History'!$H$278:$H$282,'Fund History'!$G$278:$G$282,"&gt;="&amp;DATE(YEAR_Y-3,1,1),'Fund History'!$G$278:$G$282,"&lt;="&amp;DATE(YEAR_Y-3,12,31))/100)))</f>
        <v/>
      </c>
      <c r="AP57" s="146">
        <f>IF($C57="","",IF(PULL_FUND="N","",IF(COUNTIFS('Fund History'!$G$278:$G$282,"&gt;="&amp;DATE(YEAR_Y-2,1,1),'Fund History'!$G$278:$G$282,"&lt;="&amp;DATE(YEAR_Y-2,12,31))=0,"",SUMIFS('Fund History'!$H$278:$H$282,'Fund History'!$G$278:$G$282,"&gt;="&amp;DATE(YEAR_Y-2,1,1),'Fund History'!$G$278:$G$282,"&lt;="&amp;DATE(YEAR_Y-2,12,31))/100)))</f>
        <v/>
      </c>
      <c r="AQ57" s="146">
        <f>IF($C57="","",IF(PULL_FUND="N","",IF(COUNTIFS('Fund History'!$G$278:$G$282,"&gt;="&amp;DATE(YEAR_Y-1,1,1),'Fund History'!$G$278:$G$282,"&lt;="&amp;DATE(YEAR_Y-1,12,31))=0,"",SUMIFS('Fund History'!$H$278:$H$282,'Fund History'!$G$278:$G$282,"&gt;="&amp;DATE(YEAR_Y-1,1,1),'Fund History'!$G$278:$G$282,"&lt;="&amp;DATE(YEAR_Y-1,12,31))/100)))</f>
        <v/>
      </c>
      <c r="AR57" s="147">
        <f>IF($C57="","",IF(N($AQ57)+N(HSI!$I$52)=0,"",N($AQ57)+N(HSI!$I$52)/100))</f>
        <v/>
      </c>
      <c r="AS57" s="139">
        <f>IF($C57="","",IF(PULL_FUND="N","",IF(COUNTIFS('Fund History'!$D$278:$D$282,"&gt;="&amp;DATE(YEAR_Y-2,1,1),'Fund History'!$D$278:$D$282,"&lt;="&amp;DATE(YEAR_Y-2,12,31))=0,"",SUMIFS('Fund History'!$E$278:$E$282,'Fund History'!$D$278:$D$282,"&gt;="&amp;DATE(YEAR_Y-2,1,1),'Fund History'!$D$278:$D$282,"&lt;="&amp;DATE(YEAR_Y-2,12,31)))))</f>
        <v/>
      </c>
      <c r="AT57" s="140">
        <f>IF($C57="","",IF(PULL_FUND="N","",IF(COUNTIFS('Fund History'!$D$278:$D$282,"&gt;="&amp;DATE(YEAR_Y-1,1,1),'Fund History'!$D$278:$D$282,"&lt;="&amp;DATE(YEAR_Y-1,12,31))=0,"",SUMIFS('Fund History'!$E$278:$E$282,'Fund History'!$D$278:$D$282,"&gt;="&amp;DATE(YEAR_Y-1,1,1),'Fund History'!$D$278:$D$282,"&lt;="&amp;DATE(YEAR_Y-1,12,31)))))</f>
        <v/>
      </c>
      <c r="AU57" s="140">
        <f>IF($C57="","",IF(PULL_FUND="N","",IFERROR(BDP($C57,NDEBITDA_FIELD),"")))</f>
        <v/>
      </c>
      <c r="AV57" s="148">
        <f>IF($C57="","",IF(PULL_FUND="N","",IFERROR(BDP($C57,EBINT_FIELD),"")))</f>
        <v/>
      </c>
      <c r="AW57" s="146">
        <f>IF($C57="","",IF(PULL_FUND="N","",IFERROR(BDP($C57,FCF_FIELD)/100,"")))</f>
        <v/>
      </c>
      <c r="AX57" s="126">
        <f>IF($C57="","",IF(N($U57)=0,"",IFERROR($AW57/$U57,"")))</f>
        <v/>
      </c>
      <c r="AY57" s="85">
        <f>IF($C57="","",TRIM(IF(ISNUMBER($AJ57)*(N($AJ57)&gt;$D$4)&gt;0,"payout high  ","")&amp;IF(ISNUMBER($AX57)*(N($AX57)&lt;$F$4)&gt;0,"FCF below dvd  ","")&amp;IF(ISNUMBER($AU57)*(N($AU57)&gt;$H$4)&gt;0,"leverage high","")))</f>
        <v/>
      </c>
      <c r="AZ57" s="86">
        <f>IF($C57="","",IF(HSI!$F$52="HKD","",HSI!$F$52))</f>
        <v/>
      </c>
    </row>
    <row r="58">
      <c r="B58" s="66" t="inlineStr">
        <is>
          <t>HSI</t>
        </is>
      </c>
      <c r="C58" s="8">
        <f>IF(HSI!$C$53="","",HSI!$C$53)</f>
        <v/>
      </c>
      <c r="D58" s="8">
        <f>IF($C58="","",HSI!$D$53)</f>
        <v/>
      </c>
      <c r="E58" s="8">
        <f>IF($C58="","",HSI!$E$53)</f>
        <v/>
      </c>
      <c r="F58" s="131">
        <f>IF($C58="","",SUMPRODUCT(('Dvd Calendar'!$E$517:$AR$517&gt;=DATE(YEAR_Y-5,1,1))*('Dvd Calendar'!$E$517:$AR$517&lt;=DATE(YEAR_Y-5,12,31))*'Dvd Calendar'!$E$520:$AR$520*(('Dvd Calendar'!$E$522:$AR$522=TYPE1)*(TYPE1&lt;&gt;"")+('Dvd Calendar'!$E$522:$AR$522=TYPE2)*(TYPE2&lt;&gt;"")+('Dvd Calendar'!$E$522:$AR$522=TYPE3)*(TYPE3&lt;&gt;"")+('Dvd Calendar'!$E$522:$AR$522=TYPE4)*(TYPE4&lt;&gt;"")+('Dvd Calendar'!$E$522:$AR$522=SPECIAL_LBL)*(INC_SPECIALS="Y"))))</f>
        <v/>
      </c>
      <c r="G58" s="132">
        <f>IF($C58="","",SUMPRODUCT(('Dvd Calendar'!$E$517:$AR$517&gt;=DATE(YEAR_Y-4,1,1))*('Dvd Calendar'!$E$517:$AR$517&lt;=DATE(YEAR_Y-4,12,31))*'Dvd Calendar'!$E$520:$AR$520*(('Dvd Calendar'!$E$522:$AR$522=TYPE1)*(TYPE1&lt;&gt;"")+('Dvd Calendar'!$E$522:$AR$522=TYPE2)*(TYPE2&lt;&gt;"")+('Dvd Calendar'!$E$522:$AR$522=TYPE3)*(TYPE3&lt;&gt;"")+('Dvd Calendar'!$E$522:$AR$522=TYPE4)*(TYPE4&lt;&gt;"")+('Dvd Calendar'!$E$522:$AR$522=SPECIAL_LBL)*(INC_SPECIALS="Y"))))</f>
        <v/>
      </c>
      <c r="H58" s="132">
        <f>IF($C58="","",SUMPRODUCT(('Dvd Calendar'!$E$517:$AR$517&gt;=DATE(YEAR_Y-3,1,1))*('Dvd Calendar'!$E$517:$AR$517&lt;=DATE(YEAR_Y-3,12,31))*'Dvd Calendar'!$E$520:$AR$520*(('Dvd Calendar'!$E$522:$AR$522=TYPE1)*(TYPE1&lt;&gt;"")+('Dvd Calendar'!$E$522:$AR$522=TYPE2)*(TYPE2&lt;&gt;"")+('Dvd Calendar'!$E$522:$AR$522=TYPE3)*(TYPE3&lt;&gt;"")+('Dvd Calendar'!$E$522:$AR$522=TYPE4)*(TYPE4&lt;&gt;"")+('Dvd Calendar'!$E$522:$AR$522=SPECIAL_LBL)*(INC_SPECIALS="Y"))))</f>
        <v/>
      </c>
      <c r="I58" s="132">
        <f>IF($C58="","",SUMPRODUCT(('Dvd Calendar'!$E$517:$AR$517&gt;=DATE(YEAR_Y-2,1,1))*('Dvd Calendar'!$E$517:$AR$517&lt;=DATE(YEAR_Y-2,12,31))*'Dvd Calendar'!$E$520:$AR$520*(('Dvd Calendar'!$E$522:$AR$522=TYPE1)*(TYPE1&lt;&gt;"")+('Dvd Calendar'!$E$522:$AR$522=TYPE2)*(TYPE2&lt;&gt;"")+('Dvd Calendar'!$E$522:$AR$522=TYPE3)*(TYPE3&lt;&gt;"")+('Dvd Calendar'!$E$522:$AR$522=TYPE4)*(TYPE4&lt;&gt;"")+('Dvd Calendar'!$E$522:$AR$522=SPECIAL_LBL)*(INC_SPECIALS="Y"))))</f>
        <v/>
      </c>
      <c r="J58" s="132">
        <f>IF($C58="","",SUMPRODUCT(('Dvd Calendar'!$E$517:$AR$517&gt;=DATE(YEAR_Y-1,1,1))*('Dvd Calendar'!$E$517:$AR$517&lt;=DATE(YEAR_Y-1,12,31))*'Dvd Calendar'!$E$520:$AR$520*(('Dvd Calendar'!$E$522:$AR$522=TYPE1)*(TYPE1&lt;&gt;"")+('Dvd Calendar'!$E$522:$AR$522=TYPE2)*(TYPE2&lt;&gt;"")+('Dvd Calendar'!$E$522:$AR$522=TYPE3)*(TYPE3&lt;&gt;"")+('Dvd Calendar'!$E$522:$AR$522=TYPE4)*(TYPE4&lt;&gt;"")+('Dvd Calendar'!$E$522:$AR$522=SPECIAL_LBL)*(INC_SPECIALS="Y"))))</f>
        <v/>
      </c>
      <c r="K58" s="133">
        <f>IF($C58="","",HSI!$J$53)</f>
        <v/>
      </c>
      <c r="L58" s="133">
        <f>IF($C58="","",HSI!$K$53)</f>
        <v/>
      </c>
      <c r="M58" s="124">
        <f>IF($C58="","",HSI!$J$53+HSI!$L$53)</f>
        <v/>
      </c>
      <c r="N58" s="134">
        <f>IF($C58="","",IF(PULL_FUND="N","",IFERROR(BDP($C58,BESTDPS_FIELD,FWD_OVERRIDE,TEXT(MOD(YEAR_Y,100),"00")&amp;"Y"),"")))</f>
        <v/>
      </c>
      <c r="O58" s="133">
        <f>IF($C58="","",AVERAGE(F58:J58))</f>
        <v/>
      </c>
      <c r="P58" s="135">
        <f>IF($C58="","",IF(PULL_FUND="N","",IF(COUNTIFS('Fund History'!$J$284:$J$288,"&gt;="&amp;DATE(YEAR_Y-5,1,1),'Fund History'!$J$284:$J$288,"&lt;="&amp;DATE(YEAR_Y-5,12,31))=0,"",IFERROR($F58*HSI!$G$53/SUMIFS('Fund History'!$K$284:$K$288,'Fund History'!$J$284:$J$288,"&gt;="&amp;DATE(YEAR_Y-5,1,1),'Fund History'!$J$284:$J$288,"&lt;="&amp;DATE(YEAR_Y-5,12,31)),""))))</f>
        <v/>
      </c>
      <c r="Q58" s="136">
        <f>IF($C58="","",IF(PULL_FUND="N","",IF(COUNTIFS('Fund History'!$J$284:$J$288,"&gt;="&amp;DATE(YEAR_Y-4,1,1),'Fund History'!$J$284:$J$288,"&lt;="&amp;DATE(YEAR_Y-4,12,31))=0,"",IFERROR($G58*HSI!$G$53/SUMIFS('Fund History'!$K$284:$K$288,'Fund History'!$J$284:$J$288,"&gt;="&amp;DATE(YEAR_Y-4,1,1),'Fund History'!$J$284:$J$288,"&lt;="&amp;DATE(YEAR_Y-4,12,31)),""))))</f>
        <v/>
      </c>
      <c r="R58" s="136">
        <f>IF($C58="","",IF(PULL_FUND="N","",IF(COUNTIFS('Fund History'!$J$284:$J$288,"&gt;="&amp;DATE(YEAR_Y-3,1,1),'Fund History'!$J$284:$J$288,"&lt;="&amp;DATE(YEAR_Y-3,12,31))=0,"",IFERROR($H58*HSI!$G$53/SUMIFS('Fund History'!$K$284:$K$288,'Fund History'!$J$284:$J$288,"&gt;="&amp;DATE(YEAR_Y-3,1,1),'Fund History'!$J$284:$J$288,"&lt;="&amp;DATE(YEAR_Y-3,12,31)),""))))</f>
        <v/>
      </c>
      <c r="S58" s="136">
        <f>IF($C58="","",IF(PULL_FUND="N","",IF(COUNTIFS('Fund History'!$J$284:$J$288,"&gt;="&amp;DATE(YEAR_Y-2,1,1),'Fund History'!$J$284:$J$288,"&lt;="&amp;DATE(YEAR_Y-2,12,31))=0,"",IFERROR($I58*HSI!$G$53/SUMIFS('Fund History'!$K$284:$K$288,'Fund History'!$J$284:$J$288,"&gt;="&amp;DATE(YEAR_Y-2,1,1),'Fund History'!$J$284:$J$288,"&lt;="&amp;DATE(YEAR_Y-2,12,31)),""))))</f>
        <v/>
      </c>
      <c r="T58" s="136">
        <f>IF($C58="","",IF(PULL_FUND="N","",IF(COUNTIFS('Fund History'!$J$284:$J$288,"&gt;="&amp;DATE(YEAR_Y-1,1,1),'Fund History'!$J$284:$J$288,"&lt;="&amp;DATE(YEAR_Y-1,12,31))=0,"",IFERROR($J58*HSI!$G$53/SUMIFS('Fund History'!$K$284:$K$288,'Fund History'!$J$284:$J$288,"&gt;="&amp;DATE(YEAR_Y-1,1,1),'Fund History'!$J$284:$J$288,"&lt;="&amp;DATE(YEAR_Y-1,12,31)),""))))</f>
        <v/>
      </c>
      <c r="U58" s="137">
        <f>IF($C58="","",IF(ISNUMBER(HSI!$I$53),HSI!$I$53/100,""))</f>
        <v/>
      </c>
      <c r="V58" s="138">
        <f>IF($C58="","",IF(ISNUMBER(HSI!$X$53),IFERROR($M58*HSI!$G$53/HSI!$X$53,""),""))</f>
        <v/>
      </c>
      <c r="W58" s="137">
        <f>IF($C58="","",IF(ISNUMBER($N58),IFERROR($N58*HSI!$G$53/HSI!$X$53,""),""))</f>
        <v/>
      </c>
      <c r="X58" s="139">
        <f>IF($C58="","",IF(PULL_FUND="N","",IFERROR(BDP($C58,EPS_FIELD,YR_OVERRIDE,TEXT(YEAR_Y-5,"0")),"")))</f>
        <v/>
      </c>
      <c r="Y58" s="140">
        <f>IF($C58="","",IF(PULL_FUND="N","",IFERROR(BDP($C58,EPS_FIELD,YR_OVERRIDE,TEXT(YEAR_Y-4,"0")),"")))</f>
        <v/>
      </c>
      <c r="Z58" s="140">
        <f>IF($C58="","",IF(PULL_FUND="N","",IFERROR(BDP($C58,EPS_FIELD,YR_OVERRIDE,TEXT(YEAR_Y-3,"0")),"")))</f>
        <v/>
      </c>
      <c r="AA58" s="140">
        <f>IF($C58="","",IF(PULL_FUND="N","",IFERROR(BDP($C58,EPS_FIELD,YR_OVERRIDE,TEXT(YEAR_Y-2,"0")),"")))</f>
        <v/>
      </c>
      <c r="AB58" s="140">
        <f>IF($C58="","",IF(PULL_FUND="N","",IFERROR(BDP($C58,EPS_FIELD,YR_OVERRIDE,TEXT(YEAR_Y-1,"0")),"")))</f>
        <v/>
      </c>
      <c r="AC58" s="126">
        <f>IF($C58="","",IFERROR(AVERAGE(X58:AB58),""))</f>
        <v/>
      </c>
      <c r="AD58" s="140">
        <f>IF($C58="","",IF(PULL_FUND="N","",IFERROR(BDP($C58,BESTEPS_FIELD,FWD_OVERRIDE,TEXT(MOD(YEAR_Y,100),"00")&amp;"Y"),"")))</f>
        <v/>
      </c>
      <c r="AE58" s="141">
        <f>IF($C58="","",IF(PULL_FUND="N","",IFERROR(BDP($C58,PAYOUT_FIELD,YR_OVERRIDE,TEXT(YEAR_Y-5,"0"))/100,"")))</f>
        <v/>
      </c>
      <c r="AF58" s="142">
        <f>IF($C58="","",IF(PULL_FUND="N","",IFERROR(BDP($C58,PAYOUT_FIELD,YR_OVERRIDE,TEXT(YEAR_Y-4,"0"))/100,"")))</f>
        <v/>
      </c>
      <c r="AG58" s="142">
        <f>IF($C58="","",IF(PULL_FUND="N","",IFERROR(BDP($C58,PAYOUT_FIELD,YR_OVERRIDE,TEXT(YEAR_Y-3,"0"))/100,"")))</f>
        <v/>
      </c>
      <c r="AH58" s="142">
        <f>IF($C58="","",IF(PULL_FUND="N","",IFERROR(BDP($C58,PAYOUT_FIELD,YR_OVERRIDE,TEXT(YEAR_Y-2,"0"))/100,"")))</f>
        <v/>
      </c>
      <c r="AI58" s="142">
        <f>IF($C58="","",IF(PULL_FUND="N","",IFERROR(BDP($C58,PAYOUT_FIELD,YR_OVERRIDE,TEXT(YEAR_Y-1,"0"))/100,"")))</f>
        <v/>
      </c>
      <c r="AJ58" s="143">
        <f>IF($C58="","",IFERROR(AVERAGE(AE58:AI58),""))</f>
        <v/>
      </c>
      <c r="AK58" s="144">
        <f>IF($C58="","",IF(ISNUMBER($AD58)*ISNUMBER($N58)*($AD58&lt;&gt;0)=0,"",$N58/$AD58))</f>
        <v/>
      </c>
      <c r="AL58" s="143">
        <f>IF($C58="","",IF(ISNUMBER($AD58)*($AD58&lt;&gt;0)=0,"",$M58/$AD58))</f>
        <v/>
      </c>
      <c r="AM58" s="37">
        <f>IF($C58="","",IF(ISNUMBER($AE58)*ISNUMBER($AI58)=0,"",IF($AI58&gt;$AE58+0.05,"rising",IF($AI58&lt;$AE58-0.05,"falling","stable"))))</f>
        <v/>
      </c>
      <c r="AN58" s="145">
        <f>IF($C58="","",IF(PULL_FUND="N","",IF(COUNTIFS('Fund History'!$G$284:$G$288,"&gt;="&amp;DATE(YEAR_Y-4,1,1),'Fund History'!$G$284:$G$288,"&lt;="&amp;DATE(YEAR_Y-4,12,31))=0,"",SUMIFS('Fund History'!$H$284:$H$288,'Fund History'!$G$284:$G$288,"&gt;="&amp;DATE(YEAR_Y-4,1,1),'Fund History'!$G$284:$G$288,"&lt;="&amp;DATE(YEAR_Y-4,12,31))/100)))</f>
        <v/>
      </c>
      <c r="AO58" s="146">
        <f>IF($C58="","",IF(PULL_FUND="N","",IF(COUNTIFS('Fund History'!$G$284:$G$288,"&gt;="&amp;DATE(YEAR_Y-3,1,1),'Fund History'!$G$284:$G$288,"&lt;="&amp;DATE(YEAR_Y-3,12,31))=0,"",SUMIFS('Fund History'!$H$284:$H$288,'Fund History'!$G$284:$G$288,"&gt;="&amp;DATE(YEAR_Y-3,1,1),'Fund History'!$G$284:$G$288,"&lt;="&amp;DATE(YEAR_Y-3,12,31))/100)))</f>
        <v/>
      </c>
      <c r="AP58" s="146">
        <f>IF($C58="","",IF(PULL_FUND="N","",IF(COUNTIFS('Fund History'!$G$284:$G$288,"&gt;="&amp;DATE(YEAR_Y-2,1,1),'Fund History'!$G$284:$G$288,"&lt;="&amp;DATE(YEAR_Y-2,12,31))=0,"",SUMIFS('Fund History'!$H$284:$H$288,'Fund History'!$G$284:$G$288,"&gt;="&amp;DATE(YEAR_Y-2,1,1),'Fund History'!$G$284:$G$288,"&lt;="&amp;DATE(YEAR_Y-2,12,31))/100)))</f>
        <v/>
      </c>
      <c r="AQ58" s="146">
        <f>IF($C58="","",IF(PULL_FUND="N","",IF(COUNTIFS('Fund History'!$G$284:$G$288,"&gt;="&amp;DATE(YEAR_Y-1,1,1),'Fund History'!$G$284:$G$288,"&lt;="&amp;DATE(YEAR_Y-1,12,31))=0,"",SUMIFS('Fund History'!$H$284:$H$288,'Fund History'!$G$284:$G$288,"&gt;="&amp;DATE(YEAR_Y-1,1,1),'Fund History'!$G$284:$G$288,"&lt;="&amp;DATE(YEAR_Y-1,12,31))/100)))</f>
        <v/>
      </c>
      <c r="AR58" s="147">
        <f>IF($C58="","",IF(N($AQ58)+N(HSI!$I$53)=0,"",N($AQ58)+N(HSI!$I$53)/100))</f>
        <v/>
      </c>
      <c r="AS58" s="139">
        <f>IF($C58="","",IF(PULL_FUND="N","",IF(COUNTIFS('Fund History'!$D$284:$D$288,"&gt;="&amp;DATE(YEAR_Y-2,1,1),'Fund History'!$D$284:$D$288,"&lt;="&amp;DATE(YEAR_Y-2,12,31))=0,"",SUMIFS('Fund History'!$E$284:$E$288,'Fund History'!$D$284:$D$288,"&gt;="&amp;DATE(YEAR_Y-2,1,1),'Fund History'!$D$284:$D$288,"&lt;="&amp;DATE(YEAR_Y-2,12,31)))))</f>
        <v/>
      </c>
      <c r="AT58" s="140">
        <f>IF($C58="","",IF(PULL_FUND="N","",IF(COUNTIFS('Fund History'!$D$284:$D$288,"&gt;="&amp;DATE(YEAR_Y-1,1,1),'Fund History'!$D$284:$D$288,"&lt;="&amp;DATE(YEAR_Y-1,12,31))=0,"",SUMIFS('Fund History'!$E$284:$E$288,'Fund History'!$D$284:$D$288,"&gt;="&amp;DATE(YEAR_Y-1,1,1),'Fund History'!$D$284:$D$288,"&lt;="&amp;DATE(YEAR_Y-1,12,31)))))</f>
        <v/>
      </c>
      <c r="AU58" s="140">
        <f>IF($C58="","",IF(PULL_FUND="N","",IFERROR(BDP($C58,NDEBITDA_FIELD),"")))</f>
        <v/>
      </c>
      <c r="AV58" s="148">
        <f>IF($C58="","",IF(PULL_FUND="N","",IFERROR(BDP($C58,EBINT_FIELD),"")))</f>
        <v/>
      </c>
      <c r="AW58" s="146">
        <f>IF($C58="","",IF(PULL_FUND="N","",IFERROR(BDP($C58,FCF_FIELD)/100,"")))</f>
        <v/>
      </c>
      <c r="AX58" s="126">
        <f>IF($C58="","",IF(N($U58)=0,"",IFERROR($AW58/$U58,"")))</f>
        <v/>
      </c>
      <c r="AY58" s="85">
        <f>IF($C58="","",TRIM(IF(ISNUMBER($AJ58)*(N($AJ58)&gt;$D$4)&gt;0,"payout high  ","")&amp;IF(ISNUMBER($AX58)*(N($AX58)&lt;$F$4)&gt;0,"FCF below dvd  ","")&amp;IF(ISNUMBER($AU58)*(N($AU58)&gt;$H$4)&gt;0,"leverage high","")))</f>
        <v/>
      </c>
      <c r="AZ58" s="86">
        <f>IF($C58="","",IF(HSI!$F$53="HKD","",HSI!$F$53))</f>
        <v/>
      </c>
    </row>
    <row r="59">
      <c r="B59" s="66" t="inlineStr">
        <is>
          <t>HSI</t>
        </is>
      </c>
      <c r="C59" s="8">
        <f>IF(HSI!$C$54="","",HSI!$C$54)</f>
        <v/>
      </c>
      <c r="D59" s="8">
        <f>IF($C59="","",HSI!$D$54)</f>
        <v/>
      </c>
      <c r="E59" s="8">
        <f>IF($C59="","",HSI!$E$54)</f>
        <v/>
      </c>
      <c r="F59" s="131">
        <f>IF($C59="","",SUMPRODUCT(('Dvd Calendar'!$E$528:$AR$528&gt;=DATE(YEAR_Y-5,1,1))*('Dvd Calendar'!$E$528:$AR$528&lt;=DATE(YEAR_Y-5,12,31))*'Dvd Calendar'!$E$531:$AR$531*(('Dvd Calendar'!$E$533:$AR$533=TYPE1)*(TYPE1&lt;&gt;"")+('Dvd Calendar'!$E$533:$AR$533=TYPE2)*(TYPE2&lt;&gt;"")+('Dvd Calendar'!$E$533:$AR$533=TYPE3)*(TYPE3&lt;&gt;"")+('Dvd Calendar'!$E$533:$AR$533=TYPE4)*(TYPE4&lt;&gt;"")+('Dvd Calendar'!$E$533:$AR$533=SPECIAL_LBL)*(INC_SPECIALS="Y"))))</f>
        <v/>
      </c>
      <c r="G59" s="132">
        <f>IF($C59="","",SUMPRODUCT(('Dvd Calendar'!$E$528:$AR$528&gt;=DATE(YEAR_Y-4,1,1))*('Dvd Calendar'!$E$528:$AR$528&lt;=DATE(YEAR_Y-4,12,31))*'Dvd Calendar'!$E$531:$AR$531*(('Dvd Calendar'!$E$533:$AR$533=TYPE1)*(TYPE1&lt;&gt;"")+('Dvd Calendar'!$E$533:$AR$533=TYPE2)*(TYPE2&lt;&gt;"")+('Dvd Calendar'!$E$533:$AR$533=TYPE3)*(TYPE3&lt;&gt;"")+('Dvd Calendar'!$E$533:$AR$533=TYPE4)*(TYPE4&lt;&gt;"")+('Dvd Calendar'!$E$533:$AR$533=SPECIAL_LBL)*(INC_SPECIALS="Y"))))</f>
        <v/>
      </c>
      <c r="H59" s="132">
        <f>IF($C59="","",SUMPRODUCT(('Dvd Calendar'!$E$528:$AR$528&gt;=DATE(YEAR_Y-3,1,1))*('Dvd Calendar'!$E$528:$AR$528&lt;=DATE(YEAR_Y-3,12,31))*'Dvd Calendar'!$E$531:$AR$531*(('Dvd Calendar'!$E$533:$AR$533=TYPE1)*(TYPE1&lt;&gt;"")+('Dvd Calendar'!$E$533:$AR$533=TYPE2)*(TYPE2&lt;&gt;"")+('Dvd Calendar'!$E$533:$AR$533=TYPE3)*(TYPE3&lt;&gt;"")+('Dvd Calendar'!$E$533:$AR$533=TYPE4)*(TYPE4&lt;&gt;"")+('Dvd Calendar'!$E$533:$AR$533=SPECIAL_LBL)*(INC_SPECIALS="Y"))))</f>
        <v/>
      </c>
      <c r="I59" s="132">
        <f>IF($C59="","",SUMPRODUCT(('Dvd Calendar'!$E$528:$AR$528&gt;=DATE(YEAR_Y-2,1,1))*('Dvd Calendar'!$E$528:$AR$528&lt;=DATE(YEAR_Y-2,12,31))*'Dvd Calendar'!$E$531:$AR$531*(('Dvd Calendar'!$E$533:$AR$533=TYPE1)*(TYPE1&lt;&gt;"")+('Dvd Calendar'!$E$533:$AR$533=TYPE2)*(TYPE2&lt;&gt;"")+('Dvd Calendar'!$E$533:$AR$533=TYPE3)*(TYPE3&lt;&gt;"")+('Dvd Calendar'!$E$533:$AR$533=TYPE4)*(TYPE4&lt;&gt;"")+('Dvd Calendar'!$E$533:$AR$533=SPECIAL_LBL)*(INC_SPECIALS="Y"))))</f>
        <v/>
      </c>
      <c r="J59" s="132">
        <f>IF($C59="","",SUMPRODUCT(('Dvd Calendar'!$E$528:$AR$528&gt;=DATE(YEAR_Y-1,1,1))*('Dvd Calendar'!$E$528:$AR$528&lt;=DATE(YEAR_Y-1,12,31))*'Dvd Calendar'!$E$531:$AR$531*(('Dvd Calendar'!$E$533:$AR$533=TYPE1)*(TYPE1&lt;&gt;"")+('Dvd Calendar'!$E$533:$AR$533=TYPE2)*(TYPE2&lt;&gt;"")+('Dvd Calendar'!$E$533:$AR$533=TYPE3)*(TYPE3&lt;&gt;"")+('Dvd Calendar'!$E$533:$AR$533=TYPE4)*(TYPE4&lt;&gt;"")+('Dvd Calendar'!$E$533:$AR$533=SPECIAL_LBL)*(INC_SPECIALS="Y"))))</f>
        <v/>
      </c>
      <c r="K59" s="133">
        <f>IF($C59="","",HSI!$J$54)</f>
        <v/>
      </c>
      <c r="L59" s="133">
        <f>IF($C59="","",HSI!$K$54)</f>
        <v/>
      </c>
      <c r="M59" s="124">
        <f>IF($C59="","",HSI!$J$54+HSI!$L$54)</f>
        <v/>
      </c>
      <c r="N59" s="134">
        <f>IF($C59="","",IF(PULL_FUND="N","",IFERROR(BDP($C59,BESTDPS_FIELD,FWD_OVERRIDE,TEXT(MOD(YEAR_Y,100),"00")&amp;"Y"),"")))</f>
        <v/>
      </c>
      <c r="O59" s="133">
        <f>IF($C59="","",AVERAGE(F59:J59))</f>
        <v/>
      </c>
      <c r="P59" s="135">
        <f>IF($C59="","",IF(PULL_FUND="N","",IF(COUNTIFS('Fund History'!$J$290:$J$294,"&gt;="&amp;DATE(YEAR_Y-5,1,1),'Fund History'!$J$290:$J$294,"&lt;="&amp;DATE(YEAR_Y-5,12,31))=0,"",IFERROR($F59*HSI!$G$54/SUMIFS('Fund History'!$K$290:$K$294,'Fund History'!$J$290:$J$294,"&gt;="&amp;DATE(YEAR_Y-5,1,1),'Fund History'!$J$290:$J$294,"&lt;="&amp;DATE(YEAR_Y-5,12,31)),""))))</f>
        <v/>
      </c>
      <c r="Q59" s="136">
        <f>IF($C59="","",IF(PULL_FUND="N","",IF(COUNTIFS('Fund History'!$J$290:$J$294,"&gt;="&amp;DATE(YEAR_Y-4,1,1),'Fund History'!$J$290:$J$294,"&lt;="&amp;DATE(YEAR_Y-4,12,31))=0,"",IFERROR($G59*HSI!$G$54/SUMIFS('Fund History'!$K$290:$K$294,'Fund History'!$J$290:$J$294,"&gt;="&amp;DATE(YEAR_Y-4,1,1),'Fund History'!$J$290:$J$294,"&lt;="&amp;DATE(YEAR_Y-4,12,31)),""))))</f>
        <v/>
      </c>
      <c r="R59" s="136">
        <f>IF($C59="","",IF(PULL_FUND="N","",IF(COUNTIFS('Fund History'!$J$290:$J$294,"&gt;="&amp;DATE(YEAR_Y-3,1,1),'Fund History'!$J$290:$J$294,"&lt;="&amp;DATE(YEAR_Y-3,12,31))=0,"",IFERROR($H59*HSI!$G$54/SUMIFS('Fund History'!$K$290:$K$294,'Fund History'!$J$290:$J$294,"&gt;="&amp;DATE(YEAR_Y-3,1,1),'Fund History'!$J$290:$J$294,"&lt;="&amp;DATE(YEAR_Y-3,12,31)),""))))</f>
        <v/>
      </c>
      <c r="S59" s="136">
        <f>IF($C59="","",IF(PULL_FUND="N","",IF(COUNTIFS('Fund History'!$J$290:$J$294,"&gt;="&amp;DATE(YEAR_Y-2,1,1),'Fund History'!$J$290:$J$294,"&lt;="&amp;DATE(YEAR_Y-2,12,31))=0,"",IFERROR($I59*HSI!$G$54/SUMIFS('Fund History'!$K$290:$K$294,'Fund History'!$J$290:$J$294,"&gt;="&amp;DATE(YEAR_Y-2,1,1),'Fund History'!$J$290:$J$294,"&lt;="&amp;DATE(YEAR_Y-2,12,31)),""))))</f>
        <v/>
      </c>
      <c r="T59" s="136">
        <f>IF($C59="","",IF(PULL_FUND="N","",IF(COUNTIFS('Fund History'!$J$290:$J$294,"&gt;="&amp;DATE(YEAR_Y-1,1,1),'Fund History'!$J$290:$J$294,"&lt;="&amp;DATE(YEAR_Y-1,12,31))=0,"",IFERROR($J59*HSI!$G$54/SUMIFS('Fund History'!$K$290:$K$294,'Fund History'!$J$290:$J$294,"&gt;="&amp;DATE(YEAR_Y-1,1,1),'Fund History'!$J$290:$J$294,"&lt;="&amp;DATE(YEAR_Y-1,12,31)),""))))</f>
        <v/>
      </c>
      <c r="U59" s="137">
        <f>IF($C59="","",IF(ISNUMBER(HSI!$I$54),HSI!$I$54/100,""))</f>
        <v/>
      </c>
      <c r="V59" s="138">
        <f>IF($C59="","",IF(ISNUMBER(HSI!$X$54),IFERROR($M59*HSI!$G$54/HSI!$X$54,""),""))</f>
        <v/>
      </c>
      <c r="W59" s="137">
        <f>IF($C59="","",IF(ISNUMBER($N59),IFERROR($N59*HSI!$G$54/HSI!$X$54,""),""))</f>
        <v/>
      </c>
      <c r="X59" s="139">
        <f>IF($C59="","",IF(PULL_FUND="N","",IFERROR(BDP($C59,EPS_FIELD,YR_OVERRIDE,TEXT(YEAR_Y-5,"0")),"")))</f>
        <v/>
      </c>
      <c r="Y59" s="140">
        <f>IF($C59="","",IF(PULL_FUND="N","",IFERROR(BDP($C59,EPS_FIELD,YR_OVERRIDE,TEXT(YEAR_Y-4,"0")),"")))</f>
        <v/>
      </c>
      <c r="Z59" s="140">
        <f>IF($C59="","",IF(PULL_FUND="N","",IFERROR(BDP($C59,EPS_FIELD,YR_OVERRIDE,TEXT(YEAR_Y-3,"0")),"")))</f>
        <v/>
      </c>
      <c r="AA59" s="140">
        <f>IF($C59="","",IF(PULL_FUND="N","",IFERROR(BDP($C59,EPS_FIELD,YR_OVERRIDE,TEXT(YEAR_Y-2,"0")),"")))</f>
        <v/>
      </c>
      <c r="AB59" s="140">
        <f>IF($C59="","",IF(PULL_FUND="N","",IFERROR(BDP($C59,EPS_FIELD,YR_OVERRIDE,TEXT(YEAR_Y-1,"0")),"")))</f>
        <v/>
      </c>
      <c r="AC59" s="126">
        <f>IF($C59="","",IFERROR(AVERAGE(X59:AB59),""))</f>
        <v/>
      </c>
      <c r="AD59" s="140">
        <f>IF($C59="","",IF(PULL_FUND="N","",IFERROR(BDP($C59,BESTEPS_FIELD,FWD_OVERRIDE,TEXT(MOD(YEAR_Y,100),"00")&amp;"Y"),"")))</f>
        <v/>
      </c>
      <c r="AE59" s="141">
        <f>IF($C59="","",IF(PULL_FUND="N","",IFERROR(BDP($C59,PAYOUT_FIELD,YR_OVERRIDE,TEXT(YEAR_Y-5,"0"))/100,"")))</f>
        <v/>
      </c>
      <c r="AF59" s="142">
        <f>IF($C59="","",IF(PULL_FUND="N","",IFERROR(BDP($C59,PAYOUT_FIELD,YR_OVERRIDE,TEXT(YEAR_Y-4,"0"))/100,"")))</f>
        <v/>
      </c>
      <c r="AG59" s="142">
        <f>IF($C59="","",IF(PULL_FUND="N","",IFERROR(BDP($C59,PAYOUT_FIELD,YR_OVERRIDE,TEXT(YEAR_Y-3,"0"))/100,"")))</f>
        <v/>
      </c>
      <c r="AH59" s="142">
        <f>IF($C59="","",IF(PULL_FUND="N","",IFERROR(BDP($C59,PAYOUT_FIELD,YR_OVERRIDE,TEXT(YEAR_Y-2,"0"))/100,"")))</f>
        <v/>
      </c>
      <c r="AI59" s="142">
        <f>IF($C59="","",IF(PULL_FUND="N","",IFERROR(BDP($C59,PAYOUT_FIELD,YR_OVERRIDE,TEXT(YEAR_Y-1,"0"))/100,"")))</f>
        <v/>
      </c>
      <c r="AJ59" s="143">
        <f>IF($C59="","",IFERROR(AVERAGE(AE59:AI59),""))</f>
        <v/>
      </c>
      <c r="AK59" s="144">
        <f>IF($C59="","",IF(ISNUMBER($AD59)*ISNUMBER($N59)*($AD59&lt;&gt;0)=0,"",$N59/$AD59))</f>
        <v/>
      </c>
      <c r="AL59" s="143">
        <f>IF($C59="","",IF(ISNUMBER($AD59)*($AD59&lt;&gt;0)=0,"",$M59/$AD59))</f>
        <v/>
      </c>
      <c r="AM59" s="37">
        <f>IF($C59="","",IF(ISNUMBER($AE59)*ISNUMBER($AI59)=0,"",IF($AI59&gt;$AE59+0.05,"rising",IF($AI59&lt;$AE59-0.05,"falling","stable"))))</f>
        <v/>
      </c>
      <c r="AN59" s="145">
        <f>IF($C59="","",IF(PULL_FUND="N","",IF(COUNTIFS('Fund History'!$G$290:$G$294,"&gt;="&amp;DATE(YEAR_Y-4,1,1),'Fund History'!$G$290:$G$294,"&lt;="&amp;DATE(YEAR_Y-4,12,31))=0,"",SUMIFS('Fund History'!$H$290:$H$294,'Fund History'!$G$290:$G$294,"&gt;="&amp;DATE(YEAR_Y-4,1,1),'Fund History'!$G$290:$G$294,"&lt;="&amp;DATE(YEAR_Y-4,12,31))/100)))</f>
        <v/>
      </c>
      <c r="AO59" s="146">
        <f>IF($C59="","",IF(PULL_FUND="N","",IF(COUNTIFS('Fund History'!$G$290:$G$294,"&gt;="&amp;DATE(YEAR_Y-3,1,1),'Fund History'!$G$290:$G$294,"&lt;="&amp;DATE(YEAR_Y-3,12,31))=0,"",SUMIFS('Fund History'!$H$290:$H$294,'Fund History'!$G$290:$G$294,"&gt;="&amp;DATE(YEAR_Y-3,1,1),'Fund History'!$G$290:$G$294,"&lt;="&amp;DATE(YEAR_Y-3,12,31))/100)))</f>
        <v/>
      </c>
      <c r="AP59" s="146">
        <f>IF($C59="","",IF(PULL_FUND="N","",IF(COUNTIFS('Fund History'!$G$290:$G$294,"&gt;="&amp;DATE(YEAR_Y-2,1,1),'Fund History'!$G$290:$G$294,"&lt;="&amp;DATE(YEAR_Y-2,12,31))=0,"",SUMIFS('Fund History'!$H$290:$H$294,'Fund History'!$G$290:$G$294,"&gt;="&amp;DATE(YEAR_Y-2,1,1),'Fund History'!$G$290:$G$294,"&lt;="&amp;DATE(YEAR_Y-2,12,31))/100)))</f>
        <v/>
      </c>
      <c r="AQ59" s="146">
        <f>IF($C59="","",IF(PULL_FUND="N","",IF(COUNTIFS('Fund History'!$G$290:$G$294,"&gt;="&amp;DATE(YEAR_Y-1,1,1),'Fund History'!$G$290:$G$294,"&lt;="&amp;DATE(YEAR_Y-1,12,31))=0,"",SUMIFS('Fund History'!$H$290:$H$294,'Fund History'!$G$290:$G$294,"&gt;="&amp;DATE(YEAR_Y-1,1,1),'Fund History'!$G$290:$G$294,"&lt;="&amp;DATE(YEAR_Y-1,12,31))/100)))</f>
        <v/>
      </c>
      <c r="AR59" s="147">
        <f>IF($C59="","",IF(N($AQ59)+N(HSI!$I$54)=0,"",N($AQ59)+N(HSI!$I$54)/100))</f>
        <v/>
      </c>
      <c r="AS59" s="139">
        <f>IF($C59="","",IF(PULL_FUND="N","",IF(COUNTIFS('Fund History'!$D$290:$D$294,"&gt;="&amp;DATE(YEAR_Y-2,1,1),'Fund History'!$D$290:$D$294,"&lt;="&amp;DATE(YEAR_Y-2,12,31))=0,"",SUMIFS('Fund History'!$E$290:$E$294,'Fund History'!$D$290:$D$294,"&gt;="&amp;DATE(YEAR_Y-2,1,1),'Fund History'!$D$290:$D$294,"&lt;="&amp;DATE(YEAR_Y-2,12,31)))))</f>
        <v/>
      </c>
      <c r="AT59" s="140">
        <f>IF($C59="","",IF(PULL_FUND="N","",IF(COUNTIFS('Fund History'!$D$290:$D$294,"&gt;="&amp;DATE(YEAR_Y-1,1,1),'Fund History'!$D$290:$D$294,"&lt;="&amp;DATE(YEAR_Y-1,12,31))=0,"",SUMIFS('Fund History'!$E$290:$E$294,'Fund History'!$D$290:$D$294,"&gt;="&amp;DATE(YEAR_Y-1,1,1),'Fund History'!$D$290:$D$294,"&lt;="&amp;DATE(YEAR_Y-1,12,31)))))</f>
        <v/>
      </c>
      <c r="AU59" s="140">
        <f>IF($C59="","",IF(PULL_FUND="N","",IFERROR(BDP($C59,NDEBITDA_FIELD),"")))</f>
        <v/>
      </c>
      <c r="AV59" s="148">
        <f>IF($C59="","",IF(PULL_FUND="N","",IFERROR(BDP($C59,EBINT_FIELD),"")))</f>
        <v/>
      </c>
      <c r="AW59" s="146">
        <f>IF($C59="","",IF(PULL_FUND="N","",IFERROR(BDP($C59,FCF_FIELD)/100,"")))</f>
        <v/>
      </c>
      <c r="AX59" s="126">
        <f>IF($C59="","",IF(N($U59)=0,"",IFERROR($AW59/$U59,"")))</f>
        <v/>
      </c>
      <c r="AY59" s="85">
        <f>IF($C59="","",TRIM(IF(ISNUMBER($AJ59)*(N($AJ59)&gt;$D$4)&gt;0,"payout high  ","")&amp;IF(ISNUMBER($AX59)*(N($AX59)&lt;$F$4)&gt;0,"FCF below dvd  ","")&amp;IF(ISNUMBER($AU59)*(N($AU59)&gt;$H$4)&gt;0,"leverage high","")))</f>
        <v/>
      </c>
      <c r="AZ59" s="86">
        <f>IF($C59="","",IF(HSI!$F$54="HKD","",HSI!$F$54))</f>
        <v/>
      </c>
    </row>
    <row r="60">
      <c r="B60" s="66" t="inlineStr">
        <is>
          <t>HSI</t>
        </is>
      </c>
      <c r="C60" s="8">
        <f>IF(HSI!$C$55="","",HSI!$C$55)</f>
        <v/>
      </c>
      <c r="D60" s="8">
        <f>IF($C60="","",HSI!$D$55)</f>
        <v/>
      </c>
      <c r="E60" s="8">
        <f>IF($C60="","",HSI!$E$55)</f>
        <v/>
      </c>
      <c r="F60" s="131">
        <f>IF($C60="","",SUMPRODUCT(('Dvd Calendar'!$E$539:$AR$539&gt;=DATE(YEAR_Y-5,1,1))*('Dvd Calendar'!$E$539:$AR$539&lt;=DATE(YEAR_Y-5,12,31))*'Dvd Calendar'!$E$542:$AR$542*(('Dvd Calendar'!$E$544:$AR$544=TYPE1)*(TYPE1&lt;&gt;"")+('Dvd Calendar'!$E$544:$AR$544=TYPE2)*(TYPE2&lt;&gt;"")+('Dvd Calendar'!$E$544:$AR$544=TYPE3)*(TYPE3&lt;&gt;"")+('Dvd Calendar'!$E$544:$AR$544=TYPE4)*(TYPE4&lt;&gt;"")+('Dvd Calendar'!$E$544:$AR$544=SPECIAL_LBL)*(INC_SPECIALS="Y"))))</f>
        <v/>
      </c>
      <c r="G60" s="132">
        <f>IF($C60="","",SUMPRODUCT(('Dvd Calendar'!$E$539:$AR$539&gt;=DATE(YEAR_Y-4,1,1))*('Dvd Calendar'!$E$539:$AR$539&lt;=DATE(YEAR_Y-4,12,31))*'Dvd Calendar'!$E$542:$AR$542*(('Dvd Calendar'!$E$544:$AR$544=TYPE1)*(TYPE1&lt;&gt;"")+('Dvd Calendar'!$E$544:$AR$544=TYPE2)*(TYPE2&lt;&gt;"")+('Dvd Calendar'!$E$544:$AR$544=TYPE3)*(TYPE3&lt;&gt;"")+('Dvd Calendar'!$E$544:$AR$544=TYPE4)*(TYPE4&lt;&gt;"")+('Dvd Calendar'!$E$544:$AR$544=SPECIAL_LBL)*(INC_SPECIALS="Y"))))</f>
        <v/>
      </c>
      <c r="H60" s="132">
        <f>IF($C60="","",SUMPRODUCT(('Dvd Calendar'!$E$539:$AR$539&gt;=DATE(YEAR_Y-3,1,1))*('Dvd Calendar'!$E$539:$AR$539&lt;=DATE(YEAR_Y-3,12,31))*'Dvd Calendar'!$E$542:$AR$542*(('Dvd Calendar'!$E$544:$AR$544=TYPE1)*(TYPE1&lt;&gt;"")+('Dvd Calendar'!$E$544:$AR$544=TYPE2)*(TYPE2&lt;&gt;"")+('Dvd Calendar'!$E$544:$AR$544=TYPE3)*(TYPE3&lt;&gt;"")+('Dvd Calendar'!$E$544:$AR$544=TYPE4)*(TYPE4&lt;&gt;"")+('Dvd Calendar'!$E$544:$AR$544=SPECIAL_LBL)*(INC_SPECIALS="Y"))))</f>
        <v/>
      </c>
      <c r="I60" s="132">
        <f>IF($C60="","",SUMPRODUCT(('Dvd Calendar'!$E$539:$AR$539&gt;=DATE(YEAR_Y-2,1,1))*('Dvd Calendar'!$E$539:$AR$539&lt;=DATE(YEAR_Y-2,12,31))*'Dvd Calendar'!$E$542:$AR$542*(('Dvd Calendar'!$E$544:$AR$544=TYPE1)*(TYPE1&lt;&gt;"")+('Dvd Calendar'!$E$544:$AR$544=TYPE2)*(TYPE2&lt;&gt;"")+('Dvd Calendar'!$E$544:$AR$544=TYPE3)*(TYPE3&lt;&gt;"")+('Dvd Calendar'!$E$544:$AR$544=TYPE4)*(TYPE4&lt;&gt;"")+('Dvd Calendar'!$E$544:$AR$544=SPECIAL_LBL)*(INC_SPECIALS="Y"))))</f>
        <v/>
      </c>
      <c r="J60" s="132">
        <f>IF($C60="","",SUMPRODUCT(('Dvd Calendar'!$E$539:$AR$539&gt;=DATE(YEAR_Y-1,1,1))*('Dvd Calendar'!$E$539:$AR$539&lt;=DATE(YEAR_Y-1,12,31))*'Dvd Calendar'!$E$542:$AR$542*(('Dvd Calendar'!$E$544:$AR$544=TYPE1)*(TYPE1&lt;&gt;"")+('Dvd Calendar'!$E$544:$AR$544=TYPE2)*(TYPE2&lt;&gt;"")+('Dvd Calendar'!$E$544:$AR$544=TYPE3)*(TYPE3&lt;&gt;"")+('Dvd Calendar'!$E$544:$AR$544=TYPE4)*(TYPE4&lt;&gt;"")+('Dvd Calendar'!$E$544:$AR$544=SPECIAL_LBL)*(INC_SPECIALS="Y"))))</f>
        <v/>
      </c>
      <c r="K60" s="133">
        <f>IF($C60="","",HSI!$J$55)</f>
        <v/>
      </c>
      <c r="L60" s="133">
        <f>IF($C60="","",HSI!$K$55)</f>
        <v/>
      </c>
      <c r="M60" s="124">
        <f>IF($C60="","",HSI!$J$55+HSI!$L$55)</f>
        <v/>
      </c>
      <c r="N60" s="134">
        <f>IF($C60="","",IF(PULL_FUND="N","",IFERROR(BDP($C60,BESTDPS_FIELD,FWD_OVERRIDE,TEXT(MOD(YEAR_Y,100),"00")&amp;"Y"),"")))</f>
        <v/>
      </c>
      <c r="O60" s="133">
        <f>IF($C60="","",AVERAGE(F60:J60))</f>
        <v/>
      </c>
      <c r="P60" s="135">
        <f>IF($C60="","",IF(PULL_FUND="N","",IF(COUNTIFS('Fund History'!$J$296:$J$300,"&gt;="&amp;DATE(YEAR_Y-5,1,1),'Fund History'!$J$296:$J$300,"&lt;="&amp;DATE(YEAR_Y-5,12,31))=0,"",IFERROR($F60*HSI!$G$55/SUMIFS('Fund History'!$K$296:$K$300,'Fund History'!$J$296:$J$300,"&gt;="&amp;DATE(YEAR_Y-5,1,1),'Fund History'!$J$296:$J$300,"&lt;="&amp;DATE(YEAR_Y-5,12,31)),""))))</f>
        <v/>
      </c>
      <c r="Q60" s="136">
        <f>IF($C60="","",IF(PULL_FUND="N","",IF(COUNTIFS('Fund History'!$J$296:$J$300,"&gt;="&amp;DATE(YEAR_Y-4,1,1),'Fund History'!$J$296:$J$300,"&lt;="&amp;DATE(YEAR_Y-4,12,31))=0,"",IFERROR($G60*HSI!$G$55/SUMIFS('Fund History'!$K$296:$K$300,'Fund History'!$J$296:$J$300,"&gt;="&amp;DATE(YEAR_Y-4,1,1),'Fund History'!$J$296:$J$300,"&lt;="&amp;DATE(YEAR_Y-4,12,31)),""))))</f>
        <v/>
      </c>
      <c r="R60" s="136">
        <f>IF($C60="","",IF(PULL_FUND="N","",IF(COUNTIFS('Fund History'!$J$296:$J$300,"&gt;="&amp;DATE(YEAR_Y-3,1,1),'Fund History'!$J$296:$J$300,"&lt;="&amp;DATE(YEAR_Y-3,12,31))=0,"",IFERROR($H60*HSI!$G$55/SUMIFS('Fund History'!$K$296:$K$300,'Fund History'!$J$296:$J$300,"&gt;="&amp;DATE(YEAR_Y-3,1,1),'Fund History'!$J$296:$J$300,"&lt;="&amp;DATE(YEAR_Y-3,12,31)),""))))</f>
        <v/>
      </c>
      <c r="S60" s="136">
        <f>IF($C60="","",IF(PULL_FUND="N","",IF(COUNTIFS('Fund History'!$J$296:$J$300,"&gt;="&amp;DATE(YEAR_Y-2,1,1),'Fund History'!$J$296:$J$300,"&lt;="&amp;DATE(YEAR_Y-2,12,31))=0,"",IFERROR($I60*HSI!$G$55/SUMIFS('Fund History'!$K$296:$K$300,'Fund History'!$J$296:$J$300,"&gt;="&amp;DATE(YEAR_Y-2,1,1),'Fund History'!$J$296:$J$300,"&lt;="&amp;DATE(YEAR_Y-2,12,31)),""))))</f>
        <v/>
      </c>
      <c r="T60" s="136">
        <f>IF($C60="","",IF(PULL_FUND="N","",IF(COUNTIFS('Fund History'!$J$296:$J$300,"&gt;="&amp;DATE(YEAR_Y-1,1,1),'Fund History'!$J$296:$J$300,"&lt;="&amp;DATE(YEAR_Y-1,12,31))=0,"",IFERROR($J60*HSI!$G$55/SUMIFS('Fund History'!$K$296:$K$300,'Fund History'!$J$296:$J$300,"&gt;="&amp;DATE(YEAR_Y-1,1,1),'Fund History'!$J$296:$J$300,"&lt;="&amp;DATE(YEAR_Y-1,12,31)),""))))</f>
        <v/>
      </c>
      <c r="U60" s="137">
        <f>IF($C60="","",IF(ISNUMBER(HSI!$I$55),HSI!$I$55/100,""))</f>
        <v/>
      </c>
      <c r="V60" s="138">
        <f>IF($C60="","",IF(ISNUMBER(HSI!$X$55),IFERROR($M60*HSI!$G$55/HSI!$X$55,""),""))</f>
        <v/>
      </c>
      <c r="W60" s="137">
        <f>IF($C60="","",IF(ISNUMBER($N60),IFERROR($N60*HSI!$G$55/HSI!$X$55,""),""))</f>
        <v/>
      </c>
      <c r="X60" s="139">
        <f>IF($C60="","",IF(PULL_FUND="N","",IFERROR(BDP($C60,EPS_FIELD,YR_OVERRIDE,TEXT(YEAR_Y-5,"0")),"")))</f>
        <v/>
      </c>
      <c r="Y60" s="140">
        <f>IF($C60="","",IF(PULL_FUND="N","",IFERROR(BDP($C60,EPS_FIELD,YR_OVERRIDE,TEXT(YEAR_Y-4,"0")),"")))</f>
        <v/>
      </c>
      <c r="Z60" s="140">
        <f>IF($C60="","",IF(PULL_FUND="N","",IFERROR(BDP($C60,EPS_FIELD,YR_OVERRIDE,TEXT(YEAR_Y-3,"0")),"")))</f>
        <v/>
      </c>
      <c r="AA60" s="140">
        <f>IF($C60="","",IF(PULL_FUND="N","",IFERROR(BDP($C60,EPS_FIELD,YR_OVERRIDE,TEXT(YEAR_Y-2,"0")),"")))</f>
        <v/>
      </c>
      <c r="AB60" s="140">
        <f>IF($C60="","",IF(PULL_FUND="N","",IFERROR(BDP($C60,EPS_FIELD,YR_OVERRIDE,TEXT(YEAR_Y-1,"0")),"")))</f>
        <v/>
      </c>
      <c r="AC60" s="126">
        <f>IF($C60="","",IFERROR(AVERAGE(X60:AB60),""))</f>
        <v/>
      </c>
      <c r="AD60" s="140">
        <f>IF($C60="","",IF(PULL_FUND="N","",IFERROR(BDP($C60,BESTEPS_FIELD,FWD_OVERRIDE,TEXT(MOD(YEAR_Y,100),"00")&amp;"Y"),"")))</f>
        <v/>
      </c>
      <c r="AE60" s="141">
        <f>IF($C60="","",IF(PULL_FUND="N","",IFERROR(BDP($C60,PAYOUT_FIELD,YR_OVERRIDE,TEXT(YEAR_Y-5,"0"))/100,"")))</f>
        <v/>
      </c>
      <c r="AF60" s="142">
        <f>IF($C60="","",IF(PULL_FUND="N","",IFERROR(BDP($C60,PAYOUT_FIELD,YR_OVERRIDE,TEXT(YEAR_Y-4,"0"))/100,"")))</f>
        <v/>
      </c>
      <c r="AG60" s="142">
        <f>IF($C60="","",IF(PULL_FUND="N","",IFERROR(BDP($C60,PAYOUT_FIELD,YR_OVERRIDE,TEXT(YEAR_Y-3,"0"))/100,"")))</f>
        <v/>
      </c>
      <c r="AH60" s="142">
        <f>IF($C60="","",IF(PULL_FUND="N","",IFERROR(BDP($C60,PAYOUT_FIELD,YR_OVERRIDE,TEXT(YEAR_Y-2,"0"))/100,"")))</f>
        <v/>
      </c>
      <c r="AI60" s="142">
        <f>IF($C60="","",IF(PULL_FUND="N","",IFERROR(BDP($C60,PAYOUT_FIELD,YR_OVERRIDE,TEXT(YEAR_Y-1,"0"))/100,"")))</f>
        <v/>
      </c>
      <c r="AJ60" s="143">
        <f>IF($C60="","",IFERROR(AVERAGE(AE60:AI60),""))</f>
        <v/>
      </c>
      <c r="AK60" s="144">
        <f>IF($C60="","",IF(ISNUMBER($AD60)*ISNUMBER($N60)*($AD60&lt;&gt;0)=0,"",$N60/$AD60))</f>
        <v/>
      </c>
      <c r="AL60" s="143">
        <f>IF($C60="","",IF(ISNUMBER($AD60)*($AD60&lt;&gt;0)=0,"",$M60/$AD60))</f>
        <v/>
      </c>
      <c r="AM60" s="37">
        <f>IF($C60="","",IF(ISNUMBER($AE60)*ISNUMBER($AI60)=0,"",IF($AI60&gt;$AE60+0.05,"rising",IF($AI60&lt;$AE60-0.05,"falling","stable"))))</f>
        <v/>
      </c>
      <c r="AN60" s="145">
        <f>IF($C60="","",IF(PULL_FUND="N","",IF(COUNTIFS('Fund History'!$G$296:$G$300,"&gt;="&amp;DATE(YEAR_Y-4,1,1),'Fund History'!$G$296:$G$300,"&lt;="&amp;DATE(YEAR_Y-4,12,31))=0,"",SUMIFS('Fund History'!$H$296:$H$300,'Fund History'!$G$296:$G$300,"&gt;="&amp;DATE(YEAR_Y-4,1,1),'Fund History'!$G$296:$G$300,"&lt;="&amp;DATE(YEAR_Y-4,12,31))/100)))</f>
        <v/>
      </c>
      <c r="AO60" s="146">
        <f>IF($C60="","",IF(PULL_FUND="N","",IF(COUNTIFS('Fund History'!$G$296:$G$300,"&gt;="&amp;DATE(YEAR_Y-3,1,1),'Fund History'!$G$296:$G$300,"&lt;="&amp;DATE(YEAR_Y-3,12,31))=0,"",SUMIFS('Fund History'!$H$296:$H$300,'Fund History'!$G$296:$G$300,"&gt;="&amp;DATE(YEAR_Y-3,1,1),'Fund History'!$G$296:$G$300,"&lt;="&amp;DATE(YEAR_Y-3,12,31))/100)))</f>
        <v/>
      </c>
      <c r="AP60" s="146">
        <f>IF($C60="","",IF(PULL_FUND="N","",IF(COUNTIFS('Fund History'!$G$296:$G$300,"&gt;="&amp;DATE(YEAR_Y-2,1,1),'Fund History'!$G$296:$G$300,"&lt;="&amp;DATE(YEAR_Y-2,12,31))=0,"",SUMIFS('Fund History'!$H$296:$H$300,'Fund History'!$G$296:$G$300,"&gt;="&amp;DATE(YEAR_Y-2,1,1),'Fund History'!$G$296:$G$300,"&lt;="&amp;DATE(YEAR_Y-2,12,31))/100)))</f>
        <v/>
      </c>
      <c r="AQ60" s="146">
        <f>IF($C60="","",IF(PULL_FUND="N","",IF(COUNTIFS('Fund History'!$G$296:$G$300,"&gt;="&amp;DATE(YEAR_Y-1,1,1),'Fund History'!$G$296:$G$300,"&lt;="&amp;DATE(YEAR_Y-1,12,31))=0,"",SUMIFS('Fund History'!$H$296:$H$300,'Fund History'!$G$296:$G$300,"&gt;="&amp;DATE(YEAR_Y-1,1,1),'Fund History'!$G$296:$G$300,"&lt;="&amp;DATE(YEAR_Y-1,12,31))/100)))</f>
        <v/>
      </c>
      <c r="AR60" s="147">
        <f>IF($C60="","",IF(N($AQ60)+N(HSI!$I$55)=0,"",N($AQ60)+N(HSI!$I$55)/100))</f>
        <v/>
      </c>
      <c r="AS60" s="139">
        <f>IF($C60="","",IF(PULL_FUND="N","",IF(COUNTIFS('Fund History'!$D$296:$D$300,"&gt;="&amp;DATE(YEAR_Y-2,1,1),'Fund History'!$D$296:$D$300,"&lt;="&amp;DATE(YEAR_Y-2,12,31))=0,"",SUMIFS('Fund History'!$E$296:$E$300,'Fund History'!$D$296:$D$300,"&gt;="&amp;DATE(YEAR_Y-2,1,1),'Fund History'!$D$296:$D$300,"&lt;="&amp;DATE(YEAR_Y-2,12,31)))))</f>
        <v/>
      </c>
      <c r="AT60" s="140">
        <f>IF($C60="","",IF(PULL_FUND="N","",IF(COUNTIFS('Fund History'!$D$296:$D$300,"&gt;="&amp;DATE(YEAR_Y-1,1,1),'Fund History'!$D$296:$D$300,"&lt;="&amp;DATE(YEAR_Y-1,12,31))=0,"",SUMIFS('Fund History'!$E$296:$E$300,'Fund History'!$D$296:$D$300,"&gt;="&amp;DATE(YEAR_Y-1,1,1),'Fund History'!$D$296:$D$300,"&lt;="&amp;DATE(YEAR_Y-1,12,31)))))</f>
        <v/>
      </c>
      <c r="AU60" s="140">
        <f>IF($C60="","",IF(PULL_FUND="N","",IFERROR(BDP($C60,NDEBITDA_FIELD),"")))</f>
        <v/>
      </c>
      <c r="AV60" s="148">
        <f>IF($C60="","",IF(PULL_FUND="N","",IFERROR(BDP($C60,EBINT_FIELD),"")))</f>
        <v/>
      </c>
      <c r="AW60" s="146">
        <f>IF($C60="","",IF(PULL_FUND="N","",IFERROR(BDP($C60,FCF_FIELD)/100,"")))</f>
        <v/>
      </c>
      <c r="AX60" s="126">
        <f>IF($C60="","",IF(N($U60)=0,"",IFERROR($AW60/$U60,"")))</f>
        <v/>
      </c>
      <c r="AY60" s="85">
        <f>IF($C60="","",TRIM(IF(ISNUMBER($AJ60)*(N($AJ60)&gt;$D$4)&gt;0,"payout high  ","")&amp;IF(ISNUMBER($AX60)*(N($AX60)&lt;$F$4)&gt;0,"FCF below dvd  ","")&amp;IF(ISNUMBER($AU60)*(N($AU60)&gt;$H$4)&gt;0,"leverage high","")))</f>
        <v/>
      </c>
      <c r="AZ60" s="86">
        <f>IF($C60="","",IF(HSI!$F$55="HKD","",HSI!$F$55))</f>
        <v/>
      </c>
    </row>
    <row r="61">
      <c r="B61" s="66" t="inlineStr">
        <is>
          <t>HSI</t>
        </is>
      </c>
      <c r="C61" s="8">
        <f>IF(HSI!$C$56="","",HSI!$C$56)</f>
        <v/>
      </c>
      <c r="D61" s="8">
        <f>IF($C61="","",HSI!$D$56)</f>
        <v/>
      </c>
      <c r="E61" s="8">
        <f>IF($C61="","",HSI!$E$56)</f>
        <v/>
      </c>
      <c r="F61" s="131">
        <f>IF($C61="","",SUMPRODUCT(('Dvd Calendar'!$E$550:$AR$550&gt;=DATE(YEAR_Y-5,1,1))*('Dvd Calendar'!$E$550:$AR$550&lt;=DATE(YEAR_Y-5,12,31))*'Dvd Calendar'!$E$553:$AR$553*(('Dvd Calendar'!$E$555:$AR$555=TYPE1)*(TYPE1&lt;&gt;"")+('Dvd Calendar'!$E$555:$AR$555=TYPE2)*(TYPE2&lt;&gt;"")+('Dvd Calendar'!$E$555:$AR$555=TYPE3)*(TYPE3&lt;&gt;"")+('Dvd Calendar'!$E$555:$AR$555=TYPE4)*(TYPE4&lt;&gt;"")+('Dvd Calendar'!$E$555:$AR$555=SPECIAL_LBL)*(INC_SPECIALS="Y"))))</f>
        <v/>
      </c>
      <c r="G61" s="132">
        <f>IF($C61="","",SUMPRODUCT(('Dvd Calendar'!$E$550:$AR$550&gt;=DATE(YEAR_Y-4,1,1))*('Dvd Calendar'!$E$550:$AR$550&lt;=DATE(YEAR_Y-4,12,31))*'Dvd Calendar'!$E$553:$AR$553*(('Dvd Calendar'!$E$555:$AR$555=TYPE1)*(TYPE1&lt;&gt;"")+('Dvd Calendar'!$E$555:$AR$555=TYPE2)*(TYPE2&lt;&gt;"")+('Dvd Calendar'!$E$555:$AR$555=TYPE3)*(TYPE3&lt;&gt;"")+('Dvd Calendar'!$E$555:$AR$555=TYPE4)*(TYPE4&lt;&gt;"")+('Dvd Calendar'!$E$555:$AR$555=SPECIAL_LBL)*(INC_SPECIALS="Y"))))</f>
        <v/>
      </c>
      <c r="H61" s="132">
        <f>IF($C61="","",SUMPRODUCT(('Dvd Calendar'!$E$550:$AR$550&gt;=DATE(YEAR_Y-3,1,1))*('Dvd Calendar'!$E$550:$AR$550&lt;=DATE(YEAR_Y-3,12,31))*'Dvd Calendar'!$E$553:$AR$553*(('Dvd Calendar'!$E$555:$AR$555=TYPE1)*(TYPE1&lt;&gt;"")+('Dvd Calendar'!$E$555:$AR$555=TYPE2)*(TYPE2&lt;&gt;"")+('Dvd Calendar'!$E$555:$AR$555=TYPE3)*(TYPE3&lt;&gt;"")+('Dvd Calendar'!$E$555:$AR$555=TYPE4)*(TYPE4&lt;&gt;"")+('Dvd Calendar'!$E$555:$AR$555=SPECIAL_LBL)*(INC_SPECIALS="Y"))))</f>
        <v/>
      </c>
      <c r="I61" s="132">
        <f>IF($C61="","",SUMPRODUCT(('Dvd Calendar'!$E$550:$AR$550&gt;=DATE(YEAR_Y-2,1,1))*('Dvd Calendar'!$E$550:$AR$550&lt;=DATE(YEAR_Y-2,12,31))*'Dvd Calendar'!$E$553:$AR$553*(('Dvd Calendar'!$E$555:$AR$555=TYPE1)*(TYPE1&lt;&gt;"")+('Dvd Calendar'!$E$555:$AR$555=TYPE2)*(TYPE2&lt;&gt;"")+('Dvd Calendar'!$E$555:$AR$555=TYPE3)*(TYPE3&lt;&gt;"")+('Dvd Calendar'!$E$555:$AR$555=TYPE4)*(TYPE4&lt;&gt;"")+('Dvd Calendar'!$E$555:$AR$555=SPECIAL_LBL)*(INC_SPECIALS="Y"))))</f>
        <v/>
      </c>
      <c r="J61" s="132">
        <f>IF($C61="","",SUMPRODUCT(('Dvd Calendar'!$E$550:$AR$550&gt;=DATE(YEAR_Y-1,1,1))*('Dvd Calendar'!$E$550:$AR$550&lt;=DATE(YEAR_Y-1,12,31))*'Dvd Calendar'!$E$553:$AR$553*(('Dvd Calendar'!$E$555:$AR$555=TYPE1)*(TYPE1&lt;&gt;"")+('Dvd Calendar'!$E$555:$AR$555=TYPE2)*(TYPE2&lt;&gt;"")+('Dvd Calendar'!$E$555:$AR$555=TYPE3)*(TYPE3&lt;&gt;"")+('Dvd Calendar'!$E$555:$AR$555=TYPE4)*(TYPE4&lt;&gt;"")+('Dvd Calendar'!$E$555:$AR$555=SPECIAL_LBL)*(INC_SPECIALS="Y"))))</f>
        <v/>
      </c>
      <c r="K61" s="133">
        <f>IF($C61="","",HSI!$J$56)</f>
        <v/>
      </c>
      <c r="L61" s="133">
        <f>IF($C61="","",HSI!$K$56)</f>
        <v/>
      </c>
      <c r="M61" s="124">
        <f>IF($C61="","",HSI!$J$56+HSI!$L$56)</f>
        <v/>
      </c>
      <c r="N61" s="134">
        <f>IF($C61="","",IF(PULL_FUND="N","",IFERROR(BDP($C61,BESTDPS_FIELD,FWD_OVERRIDE,TEXT(MOD(YEAR_Y,100),"00")&amp;"Y"),"")))</f>
        <v/>
      </c>
      <c r="O61" s="133">
        <f>IF($C61="","",AVERAGE(F61:J61))</f>
        <v/>
      </c>
      <c r="P61" s="135">
        <f>IF($C61="","",IF(PULL_FUND="N","",IF(COUNTIFS('Fund History'!$J$302:$J$306,"&gt;="&amp;DATE(YEAR_Y-5,1,1),'Fund History'!$J$302:$J$306,"&lt;="&amp;DATE(YEAR_Y-5,12,31))=0,"",IFERROR($F61*HSI!$G$56/SUMIFS('Fund History'!$K$302:$K$306,'Fund History'!$J$302:$J$306,"&gt;="&amp;DATE(YEAR_Y-5,1,1),'Fund History'!$J$302:$J$306,"&lt;="&amp;DATE(YEAR_Y-5,12,31)),""))))</f>
        <v/>
      </c>
      <c r="Q61" s="136">
        <f>IF($C61="","",IF(PULL_FUND="N","",IF(COUNTIFS('Fund History'!$J$302:$J$306,"&gt;="&amp;DATE(YEAR_Y-4,1,1),'Fund History'!$J$302:$J$306,"&lt;="&amp;DATE(YEAR_Y-4,12,31))=0,"",IFERROR($G61*HSI!$G$56/SUMIFS('Fund History'!$K$302:$K$306,'Fund History'!$J$302:$J$306,"&gt;="&amp;DATE(YEAR_Y-4,1,1),'Fund History'!$J$302:$J$306,"&lt;="&amp;DATE(YEAR_Y-4,12,31)),""))))</f>
        <v/>
      </c>
      <c r="R61" s="136">
        <f>IF($C61="","",IF(PULL_FUND="N","",IF(COUNTIFS('Fund History'!$J$302:$J$306,"&gt;="&amp;DATE(YEAR_Y-3,1,1),'Fund History'!$J$302:$J$306,"&lt;="&amp;DATE(YEAR_Y-3,12,31))=0,"",IFERROR($H61*HSI!$G$56/SUMIFS('Fund History'!$K$302:$K$306,'Fund History'!$J$302:$J$306,"&gt;="&amp;DATE(YEAR_Y-3,1,1),'Fund History'!$J$302:$J$306,"&lt;="&amp;DATE(YEAR_Y-3,12,31)),""))))</f>
        <v/>
      </c>
      <c r="S61" s="136">
        <f>IF($C61="","",IF(PULL_FUND="N","",IF(COUNTIFS('Fund History'!$J$302:$J$306,"&gt;="&amp;DATE(YEAR_Y-2,1,1),'Fund History'!$J$302:$J$306,"&lt;="&amp;DATE(YEAR_Y-2,12,31))=0,"",IFERROR($I61*HSI!$G$56/SUMIFS('Fund History'!$K$302:$K$306,'Fund History'!$J$302:$J$306,"&gt;="&amp;DATE(YEAR_Y-2,1,1),'Fund History'!$J$302:$J$306,"&lt;="&amp;DATE(YEAR_Y-2,12,31)),""))))</f>
        <v/>
      </c>
      <c r="T61" s="136">
        <f>IF($C61="","",IF(PULL_FUND="N","",IF(COUNTIFS('Fund History'!$J$302:$J$306,"&gt;="&amp;DATE(YEAR_Y-1,1,1),'Fund History'!$J$302:$J$306,"&lt;="&amp;DATE(YEAR_Y-1,12,31))=0,"",IFERROR($J61*HSI!$G$56/SUMIFS('Fund History'!$K$302:$K$306,'Fund History'!$J$302:$J$306,"&gt;="&amp;DATE(YEAR_Y-1,1,1),'Fund History'!$J$302:$J$306,"&lt;="&amp;DATE(YEAR_Y-1,12,31)),""))))</f>
        <v/>
      </c>
      <c r="U61" s="137">
        <f>IF($C61="","",IF(ISNUMBER(HSI!$I$56),HSI!$I$56/100,""))</f>
        <v/>
      </c>
      <c r="V61" s="138">
        <f>IF($C61="","",IF(ISNUMBER(HSI!$X$56),IFERROR($M61*HSI!$G$56/HSI!$X$56,""),""))</f>
        <v/>
      </c>
      <c r="W61" s="137">
        <f>IF($C61="","",IF(ISNUMBER($N61),IFERROR($N61*HSI!$G$56/HSI!$X$56,""),""))</f>
        <v/>
      </c>
      <c r="X61" s="139">
        <f>IF($C61="","",IF(PULL_FUND="N","",IFERROR(BDP($C61,EPS_FIELD,YR_OVERRIDE,TEXT(YEAR_Y-5,"0")),"")))</f>
        <v/>
      </c>
      <c r="Y61" s="140">
        <f>IF($C61="","",IF(PULL_FUND="N","",IFERROR(BDP($C61,EPS_FIELD,YR_OVERRIDE,TEXT(YEAR_Y-4,"0")),"")))</f>
        <v/>
      </c>
      <c r="Z61" s="140">
        <f>IF($C61="","",IF(PULL_FUND="N","",IFERROR(BDP($C61,EPS_FIELD,YR_OVERRIDE,TEXT(YEAR_Y-3,"0")),"")))</f>
        <v/>
      </c>
      <c r="AA61" s="140">
        <f>IF($C61="","",IF(PULL_FUND="N","",IFERROR(BDP($C61,EPS_FIELD,YR_OVERRIDE,TEXT(YEAR_Y-2,"0")),"")))</f>
        <v/>
      </c>
      <c r="AB61" s="140">
        <f>IF($C61="","",IF(PULL_FUND="N","",IFERROR(BDP($C61,EPS_FIELD,YR_OVERRIDE,TEXT(YEAR_Y-1,"0")),"")))</f>
        <v/>
      </c>
      <c r="AC61" s="126">
        <f>IF($C61="","",IFERROR(AVERAGE(X61:AB61),""))</f>
        <v/>
      </c>
      <c r="AD61" s="140">
        <f>IF($C61="","",IF(PULL_FUND="N","",IFERROR(BDP($C61,BESTEPS_FIELD,FWD_OVERRIDE,TEXT(MOD(YEAR_Y,100),"00")&amp;"Y"),"")))</f>
        <v/>
      </c>
      <c r="AE61" s="141">
        <f>IF($C61="","",IF(PULL_FUND="N","",IFERROR(BDP($C61,PAYOUT_FIELD,YR_OVERRIDE,TEXT(YEAR_Y-5,"0"))/100,"")))</f>
        <v/>
      </c>
      <c r="AF61" s="142">
        <f>IF($C61="","",IF(PULL_FUND="N","",IFERROR(BDP($C61,PAYOUT_FIELD,YR_OVERRIDE,TEXT(YEAR_Y-4,"0"))/100,"")))</f>
        <v/>
      </c>
      <c r="AG61" s="142">
        <f>IF($C61="","",IF(PULL_FUND="N","",IFERROR(BDP($C61,PAYOUT_FIELD,YR_OVERRIDE,TEXT(YEAR_Y-3,"0"))/100,"")))</f>
        <v/>
      </c>
      <c r="AH61" s="142">
        <f>IF($C61="","",IF(PULL_FUND="N","",IFERROR(BDP($C61,PAYOUT_FIELD,YR_OVERRIDE,TEXT(YEAR_Y-2,"0"))/100,"")))</f>
        <v/>
      </c>
      <c r="AI61" s="142">
        <f>IF($C61="","",IF(PULL_FUND="N","",IFERROR(BDP($C61,PAYOUT_FIELD,YR_OVERRIDE,TEXT(YEAR_Y-1,"0"))/100,"")))</f>
        <v/>
      </c>
      <c r="AJ61" s="143">
        <f>IF($C61="","",IFERROR(AVERAGE(AE61:AI61),""))</f>
        <v/>
      </c>
      <c r="AK61" s="144">
        <f>IF($C61="","",IF(ISNUMBER($AD61)*ISNUMBER($N61)*($AD61&lt;&gt;0)=0,"",$N61/$AD61))</f>
        <v/>
      </c>
      <c r="AL61" s="143">
        <f>IF($C61="","",IF(ISNUMBER($AD61)*($AD61&lt;&gt;0)=0,"",$M61/$AD61))</f>
        <v/>
      </c>
      <c r="AM61" s="37">
        <f>IF($C61="","",IF(ISNUMBER($AE61)*ISNUMBER($AI61)=0,"",IF($AI61&gt;$AE61+0.05,"rising",IF($AI61&lt;$AE61-0.05,"falling","stable"))))</f>
        <v/>
      </c>
      <c r="AN61" s="145">
        <f>IF($C61="","",IF(PULL_FUND="N","",IF(COUNTIFS('Fund History'!$G$302:$G$306,"&gt;="&amp;DATE(YEAR_Y-4,1,1),'Fund History'!$G$302:$G$306,"&lt;="&amp;DATE(YEAR_Y-4,12,31))=0,"",SUMIFS('Fund History'!$H$302:$H$306,'Fund History'!$G$302:$G$306,"&gt;="&amp;DATE(YEAR_Y-4,1,1),'Fund History'!$G$302:$G$306,"&lt;="&amp;DATE(YEAR_Y-4,12,31))/100)))</f>
        <v/>
      </c>
      <c r="AO61" s="146">
        <f>IF($C61="","",IF(PULL_FUND="N","",IF(COUNTIFS('Fund History'!$G$302:$G$306,"&gt;="&amp;DATE(YEAR_Y-3,1,1),'Fund History'!$G$302:$G$306,"&lt;="&amp;DATE(YEAR_Y-3,12,31))=0,"",SUMIFS('Fund History'!$H$302:$H$306,'Fund History'!$G$302:$G$306,"&gt;="&amp;DATE(YEAR_Y-3,1,1),'Fund History'!$G$302:$G$306,"&lt;="&amp;DATE(YEAR_Y-3,12,31))/100)))</f>
        <v/>
      </c>
      <c r="AP61" s="146">
        <f>IF($C61="","",IF(PULL_FUND="N","",IF(COUNTIFS('Fund History'!$G$302:$G$306,"&gt;="&amp;DATE(YEAR_Y-2,1,1),'Fund History'!$G$302:$G$306,"&lt;="&amp;DATE(YEAR_Y-2,12,31))=0,"",SUMIFS('Fund History'!$H$302:$H$306,'Fund History'!$G$302:$G$306,"&gt;="&amp;DATE(YEAR_Y-2,1,1),'Fund History'!$G$302:$G$306,"&lt;="&amp;DATE(YEAR_Y-2,12,31))/100)))</f>
        <v/>
      </c>
      <c r="AQ61" s="146">
        <f>IF($C61="","",IF(PULL_FUND="N","",IF(COUNTIFS('Fund History'!$G$302:$G$306,"&gt;="&amp;DATE(YEAR_Y-1,1,1),'Fund History'!$G$302:$G$306,"&lt;="&amp;DATE(YEAR_Y-1,12,31))=0,"",SUMIFS('Fund History'!$H$302:$H$306,'Fund History'!$G$302:$G$306,"&gt;="&amp;DATE(YEAR_Y-1,1,1),'Fund History'!$G$302:$G$306,"&lt;="&amp;DATE(YEAR_Y-1,12,31))/100)))</f>
        <v/>
      </c>
      <c r="AR61" s="147">
        <f>IF($C61="","",IF(N($AQ61)+N(HSI!$I$56)=0,"",N($AQ61)+N(HSI!$I$56)/100))</f>
        <v/>
      </c>
      <c r="AS61" s="139">
        <f>IF($C61="","",IF(PULL_FUND="N","",IF(COUNTIFS('Fund History'!$D$302:$D$306,"&gt;="&amp;DATE(YEAR_Y-2,1,1),'Fund History'!$D$302:$D$306,"&lt;="&amp;DATE(YEAR_Y-2,12,31))=0,"",SUMIFS('Fund History'!$E$302:$E$306,'Fund History'!$D$302:$D$306,"&gt;="&amp;DATE(YEAR_Y-2,1,1),'Fund History'!$D$302:$D$306,"&lt;="&amp;DATE(YEAR_Y-2,12,31)))))</f>
        <v/>
      </c>
      <c r="AT61" s="140">
        <f>IF($C61="","",IF(PULL_FUND="N","",IF(COUNTIFS('Fund History'!$D$302:$D$306,"&gt;="&amp;DATE(YEAR_Y-1,1,1),'Fund History'!$D$302:$D$306,"&lt;="&amp;DATE(YEAR_Y-1,12,31))=0,"",SUMIFS('Fund History'!$E$302:$E$306,'Fund History'!$D$302:$D$306,"&gt;="&amp;DATE(YEAR_Y-1,1,1),'Fund History'!$D$302:$D$306,"&lt;="&amp;DATE(YEAR_Y-1,12,31)))))</f>
        <v/>
      </c>
      <c r="AU61" s="140">
        <f>IF($C61="","",IF(PULL_FUND="N","",IFERROR(BDP($C61,NDEBITDA_FIELD),"")))</f>
        <v/>
      </c>
      <c r="AV61" s="148">
        <f>IF($C61="","",IF(PULL_FUND="N","",IFERROR(BDP($C61,EBINT_FIELD),"")))</f>
        <v/>
      </c>
      <c r="AW61" s="146">
        <f>IF($C61="","",IF(PULL_FUND="N","",IFERROR(BDP($C61,FCF_FIELD)/100,"")))</f>
        <v/>
      </c>
      <c r="AX61" s="126">
        <f>IF($C61="","",IF(N($U61)=0,"",IFERROR($AW61/$U61,"")))</f>
        <v/>
      </c>
      <c r="AY61" s="85">
        <f>IF($C61="","",TRIM(IF(ISNUMBER($AJ61)*(N($AJ61)&gt;$D$4)&gt;0,"payout high  ","")&amp;IF(ISNUMBER($AX61)*(N($AX61)&lt;$F$4)&gt;0,"FCF below dvd  ","")&amp;IF(ISNUMBER($AU61)*(N($AU61)&gt;$H$4)&gt;0,"leverage high","")))</f>
        <v/>
      </c>
      <c r="AZ61" s="86">
        <f>IF($C61="","",IF(HSI!$F$56="HKD","",HSI!$F$56))</f>
        <v/>
      </c>
    </row>
    <row r="62">
      <c r="B62" s="66" t="inlineStr">
        <is>
          <t>HSI</t>
        </is>
      </c>
      <c r="C62" s="8">
        <f>IF(HSI!$C$57="","",HSI!$C$57)</f>
        <v/>
      </c>
      <c r="D62" s="8">
        <f>IF($C62="","",HSI!$D$57)</f>
        <v/>
      </c>
      <c r="E62" s="8">
        <f>IF($C62="","",HSI!$E$57)</f>
        <v/>
      </c>
      <c r="F62" s="131">
        <f>IF($C62="","",SUMPRODUCT(('Dvd Calendar'!$E$561:$AR$561&gt;=DATE(YEAR_Y-5,1,1))*('Dvd Calendar'!$E$561:$AR$561&lt;=DATE(YEAR_Y-5,12,31))*'Dvd Calendar'!$E$564:$AR$564*(('Dvd Calendar'!$E$566:$AR$566=TYPE1)*(TYPE1&lt;&gt;"")+('Dvd Calendar'!$E$566:$AR$566=TYPE2)*(TYPE2&lt;&gt;"")+('Dvd Calendar'!$E$566:$AR$566=TYPE3)*(TYPE3&lt;&gt;"")+('Dvd Calendar'!$E$566:$AR$566=TYPE4)*(TYPE4&lt;&gt;"")+('Dvd Calendar'!$E$566:$AR$566=SPECIAL_LBL)*(INC_SPECIALS="Y"))))</f>
        <v/>
      </c>
      <c r="G62" s="132">
        <f>IF($C62="","",SUMPRODUCT(('Dvd Calendar'!$E$561:$AR$561&gt;=DATE(YEAR_Y-4,1,1))*('Dvd Calendar'!$E$561:$AR$561&lt;=DATE(YEAR_Y-4,12,31))*'Dvd Calendar'!$E$564:$AR$564*(('Dvd Calendar'!$E$566:$AR$566=TYPE1)*(TYPE1&lt;&gt;"")+('Dvd Calendar'!$E$566:$AR$566=TYPE2)*(TYPE2&lt;&gt;"")+('Dvd Calendar'!$E$566:$AR$566=TYPE3)*(TYPE3&lt;&gt;"")+('Dvd Calendar'!$E$566:$AR$566=TYPE4)*(TYPE4&lt;&gt;"")+('Dvd Calendar'!$E$566:$AR$566=SPECIAL_LBL)*(INC_SPECIALS="Y"))))</f>
        <v/>
      </c>
      <c r="H62" s="132">
        <f>IF($C62="","",SUMPRODUCT(('Dvd Calendar'!$E$561:$AR$561&gt;=DATE(YEAR_Y-3,1,1))*('Dvd Calendar'!$E$561:$AR$561&lt;=DATE(YEAR_Y-3,12,31))*'Dvd Calendar'!$E$564:$AR$564*(('Dvd Calendar'!$E$566:$AR$566=TYPE1)*(TYPE1&lt;&gt;"")+('Dvd Calendar'!$E$566:$AR$566=TYPE2)*(TYPE2&lt;&gt;"")+('Dvd Calendar'!$E$566:$AR$566=TYPE3)*(TYPE3&lt;&gt;"")+('Dvd Calendar'!$E$566:$AR$566=TYPE4)*(TYPE4&lt;&gt;"")+('Dvd Calendar'!$E$566:$AR$566=SPECIAL_LBL)*(INC_SPECIALS="Y"))))</f>
        <v/>
      </c>
      <c r="I62" s="132">
        <f>IF($C62="","",SUMPRODUCT(('Dvd Calendar'!$E$561:$AR$561&gt;=DATE(YEAR_Y-2,1,1))*('Dvd Calendar'!$E$561:$AR$561&lt;=DATE(YEAR_Y-2,12,31))*'Dvd Calendar'!$E$564:$AR$564*(('Dvd Calendar'!$E$566:$AR$566=TYPE1)*(TYPE1&lt;&gt;"")+('Dvd Calendar'!$E$566:$AR$566=TYPE2)*(TYPE2&lt;&gt;"")+('Dvd Calendar'!$E$566:$AR$566=TYPE3)*(TYPE3&lt;&gt;"")+('Dvd Calendar'!$E$566:$AR$566=TYPE4)*(TYPE4&lt;&gt;"")+('Dvd Calendar'!$E$566:$AR$566=SPECIAL_LBL)*(INC_SPECIALS="Y"))))</f>
        <v/>
      </c>
      <c r="J62" s="132">
        <f>IF($C62="","",SUMPRODUCT(('Dvd Calendar'!$E$561:$AR$561&gt;=DATE(YEAR_Y-1,1,1))*('Dvd Calendar'!$E$561:$AR$561&lt;=DATE(YEAR_Y-1,12,31))*'Dvd Calendar'!$E$564:$AR$564*(('Dvd Calendar'!$E$566:$AR$566=TYPE1)*(TYPE1&lt;&gt;"")+('Dvd Calendar'!$E$566:$AR$566=TYPE2)*(TYPE2&lt;&gt;"")+('Dvd Calendar'!$E$566:$AR$566=TYPE3)*(TYPE3&lt;&gt;"")+('Dvd Calendar'!$E$566:$AR$566=TYPE4)*(TYPE4&lt;&gt;"")+('Dvd Calendar'!$E$566:$AR$566=SPECIAL_LBL)*(INC_SPECIALS="Y"))))</f>
        <v/>
      </c>
      <c r="K62" s="133">
        <f>IF($C62="","",HSI!$J$57)</f>
        <v/>
      </c>
      <c r="L62" s="133">
        <f>IF($C62="","",HSI!$K$57)</f>
        <v/>
      </c>
      <c r="M62" s="124">
        <f>IF($C62="","",HSI!$J$57+HSI!$L$57)</f>
        <v/>
      </c>
      <c r="N62" s="134">
        <f>IF($C62="","",IF(PULL_FUND="N","",IFERROR(BDP($C62,BESTDPS_FIELD,FWD_OVERRIDE,TEXT(MOD(YEAR_Y,100),"00")&amp;"Y"),"")))</f>
        <v/>
      </c>
      <c r="O62" s="133">
        <f>IF($C62="","",AVERAGE(F62:J62))</f>
        <v/>
      </c>
      <c r="P62" s="135">
        <f>IF($C62="","",IF(PULL_FUND="N","",IF(COUNTIFS('Fund History'!$J$308:$J$312,"&gt;="&amp;DATE(YEAR_Y-5,1,1),'Fund History'!$J$308:$J$312,"&lt;="&amp;DATE(YEAR_Y-5,12,31))=0,"",IFERROR($F62*HSI!$G$57/SUMIFS('Fund History'!$K$308:$K$312,'Fund History'!$J$308:$J$312,"&gt;="&amp;DATE(YEAR_Y-5,1,1),'Fund History'!$J$308:$J$312,"&lt;="&amp;DATE(YEAR_Y-5,12,31)),""))))</f>
        <v/>
      </c>
      <c r="Q62" s="136">
        <f>IF($C62="","",IF(PULL_FUND="N","",IF(COUNTIFS('Fund History'!$J$308:$J$312,"&gt;="&amp;DATE(YEAR_Y-4,1,1),'Fund History'!$J$308:$J$312,"&lt;="&amp;DATE(YEAR_Y-4,12,31))=0,"",IFERROR($G62*HSI!$G$57/SUMIFS('Fund History'!$K$308:$K$312,'Fund History'!$J$308:$J$312,"&gt;="&amp;DATE(YEAR_Y-4,1,1),'Fund History'!$J$308:$J$312,"&lt;="&amp;DATE(YEAR_Y-4,12,31)),""))))</f>
        <v/>
      </c>
      <c r="R62" s="136">
        <f>IF($C62="","",IF(PULL_FUND="N","",IF(COUNTIFS('Fund History'!$J$308:$J$312,"&gt;="&amp;DATE(YEAR_Y-3,1,1),'Fund History'!$J$308:$J$312,"&lt;="&amp;DATE(YEAR_Y-3,12,31))=0,"",IFERROR($H62*HSI!$G$57/SUMIFS('Fund History'!$K$308:$K$312,'Fund History'!$J$308:$J$312,"&gt;="&amp;DATE(YEAR_Y-3,1,1),'Fund History'!$J$308:$J$312,"&lt;="&amp;DATE(YEAR_Y-3,12,31)),""))))</f>
        <v/>
      </c>
      <c r="S62" s="136">
        <f>IF($C62="","",IF(PULL_FUND="N","",IF(COUNTIFS('Fund History'!$J$308:$J$312,"&gt;="&amp;DATE(YEAR_Y-2,1,1),'Fund History'!$J$308:$J$312,"&lt;="&amp;DATE(YEAR_Y-2,12,31))=0,"",IFERROR($I62*HSI!$G$57/SUMIFS('Fund History'!$K$308:$K$312,'Fund History'!$J$308:$J$312,"&gt;="&amp;DATE(YEAR_Y-2,1,1),'Fund History'!$J$308:$J$312,"&lt;="&amp;DATE(YEAR_Y-2,12,31)),""))))</f>
        <v/>
      </c>
      <c r="T62" s="136">
        <f>IF($C62="","",IF(PULL_FUND="N","",IF(COUNTIFS('Fund History'!$J$308:$J$312,"&gt;="&amp;DATE(YEAR_Y-1,1,1),'Fund History'!$J$308:$J$312,"&lt;="&amp;DATE(YEAR_Y-1,12,31))=0,"",IFERROR($J62*HSI!$G$57/SUMIFS('Fund History'!$K$308:$K$312,'Fund History'!$J$308:$J$312,"&gt;="&amp;DATE(YEAR_Y-1,1,1),'Fund History'!$J$308:$J$312,"&lt;="&amp;DATE(YEAR_Y-1,12,31)),""))))</f>
        <v/>
      </c>
      <c r="U62" s="137">
        <f>IF($C62="","",IF(ISNUMBER(HSI!$I$57),HSI!$I$57/100,""))</f>
        <v/>
      </c>
      <c r="V62" s="138">
        <f>IF($C62="","",IF(ISNUMBER(HSI!$X$57),IFERROR($M62*HSI!$G$57/HSI!$X$57,""),""))</f>
        <v/>
      </c>
      <c r="W62" s="137">
        <f>IF($C62="","",IF(ISNUMBER($N62),IFERROR($N62*HSI!$G$57/HSI!$X$57,""),""))</f>
        <v/>
      </c>
      <c r="X62" s="139">
        <f>IF($C62="","",IF(PULL_FUND="N","",IFERROR(BDP($C62,EPS_FIELD,YR_OVERRIDE,TEXT(YEAR_Y-5,"0")),"")))</f>
        <v/>
      </c>
      <c r="Y62" s="140">
        <f>IF($C62="","",IF(PULL_FUND="N","",IFERROR(BDP($C62,EPS_FIELD,YR_OVERRIDE,TEXT(YEAR_Y-4,"0")),"")))</f>
        <v/>
      </c>
      <c r="Z62" s="140">
        <f>IF($C62="","",IF(PULL_FUND="N","",IFERROR(BDP($C62,EPS_FIELD,YR_OVERRIDE,TEXT(YEAR_Y-3,"0")),"")))</f>
        <v/>
      </c>
      <c r="AA62" s="140">
        <f>IF($C62="","",IF(PULL_FUND="N","",IFERROR(BDP($C62,EPS_FIELD,YR_OVERRIDE,TEXT(YEAR_Y-2,"0")),"")))</f>
        <v/>
      </c>
      <c r="AB62" s="140">
        <f>IF($C62="","",IF(PULL_FUND="N","",IFERROR(BDP($C62,EPS_FIELD,YR_OVERRIDE,TEXT(YEAR_Y-1,"0")),"")))</f>
        <v/>
      </c>
      <c r="AC62" s="126">
        <f>IF($C62="","",IFERROR(AVERAGE(X62:AB62),""))</f>
        <v/>
      </c>
      <c r="AD62" s="140">
        <f>IF($C62="","",IF(PULL_FUND="N","",IFERROR(BDP($C62,BESTEPS_FIELD,FWD_OVERRIDE,TEXT(MOD(YEAR_Y,100),"00")&amp;"Y"),"")))</f>
        <v/>
      </c>
      <c r="AE62" s="141">
        <f>IF($C62="","",IF(PULL_FUND="N","",IFERROR(BDP($C62,PAYOUT_FIELD,YR_OVERRIDE,TEXT(YEAR_Y-5,"0"))/100,"")))</f>
        <v/>
      </c>
      <c r="AF62" s="142">
        <f>IF($C62="","",IF(PULL_FUND="N","",IFERROR(BDP($C62,PAYOUT_FIELD,YR_OVERRIDE,TEXT(YEAR_Y-4,"0"))/100,"")))</f>
        <v/>
      </c>
      <c r="AG62" s="142">
        <f>IF($C62="","",IF(PULL_FUND="N","",IFERROR(BDP($C62,PAYOUT_FIELD,YR_OVERRIDE,TEXT(YEAR_Y-3,"0"))/100,"")))</f>
        <v/>
      </c>
      <c r="AH62" s="142">
        <f>IF($C62="","",IF(PULL_FUND="N","",IFERROR(BDP($C62,PAYOUT_FIELD,YR_OVERRIDE,TEXT(YEAR_Y-2,"0"))/100,"")))</f>
        <v/>
      </c>
      <c r="AI62" s="142">
        <f>IF($C62="","",IF(PULL_FUND="N","",IFERROR(BDP($C62,PAYOUT_FIELD,YR_OVERRIDE,TEXT(YEAR_Y-1,"0"))/100,"")))</f>
        <v/>
      </c>
      <c r="AJ62" s="143">
        <f>IF($C62="","",IFERROR(AVERAGE(AE62:AI62),""))</f>
        <v/>
      </c>
      <c r="AK62" s="144">
        <f>IF($C62="","",IF(ISNUMBER($AD62)*ISNUMBER($N62)*($AD62&lt;&gt;0)=0,"",$N62/$AD62))</f>
        <v/>
      </c>
      <c r="AL62" s="143">
        <f>IF($C62="","",IF(ISNUMBER($AD62)*($AD62&lt;&gt;0)=0,"",$M62/$AD62))</f>
        <v/>
      </c>
      <c r="AM62" s="37">
        <f>IF($C62="","",IF(ISNUMBER($AE62)*ISNUMBER($AI62)=0,"",IF($AI62&gt;$AE62+0.05,"rising",IF($AI62&lt;$AE62-0.05,"falling","stable"))))</f>
        <v/>
      </c>
      <c r="AN62" s="145">
        <f>IF($C62="","",IF(PULL_FUND="N","",IF(COUNTIFS('Fund History'!$G$308:$G$312,"&gt;="&amp;DATE(YEAR_Y-4,1,1),'Fund History'!$G$308:$G$312,"&lt;="&amp;DATE(YEAR_Y-4,12,31))=0,"",SUMIFS('Fund History'!$H$308:$H$312,'Fund History'!$G$308:$G$312,"&gt;="&amp;DATE(YEAR_Y-4,1,1),'Fund History'!$G$308:$G$312,"&lt;="&amp;DATE(YEAR_Y-4,12,31))/100)))</f>
        <v/>
      </c>
      <c r="AO62" s="146">
        <f>IF($C62="","",IF(PULL_FUND="N","",IF(COUNTIFS('Fund History'!$G$308:$G$312,"&gt;="&amp;DATE(YEAR_Y-3,1,1),'Fund History'!$G$308:$G$312,"&lt;="&amp;DATE(YEAR_Y-3,12,31))=0,"",SUMIFS('Fund History'!$H$308:$H$312,'Fund History'!$G$308:$G$312,"&gt;="&amp;DATE(YEAR_Y-3,1,1),'Fund History'!$G$308:$G$312,"&lt;="&amp;DATE(YEAR_Y-3,12,31))/100)))</f>
        <v/>
      </c>
      <c r="AP62" s="146">
        <f>IF($C62="","",IF(PULL_FUND="N","",IF(COUNTIFS('Fund History'!$G$308:$G$312,"&gt;="&amp;DATE(YEAR_Y-2,1,1),'Fund History'!$G$308:$G$312,"&lt;="&amp;DATE(YEAR_Y-2,12,31))=0,"",SUMIFS('Fund History'!$H$308:$H$312,'Fund History'!$G$308:$G$312,"&gt;="&amp;DATE(YEAR_Y-2,1,1),'Fund History'!$G$308:$G$312,"&lt;="&amp;DATE(YEAR_Y-2,12,31))/100)))</f>
        <v/>
      </c>
      <c r="AQ62" s="146">
        <f>IF($C62="","",IF(PULL_FUND="N","",IF(COUNTIFS('Fund History'!$G$308:$G$312,"&gt;="&amp;DATE(YEAR_Y-1,1,1),'Fund History'!$G$308:$G$312,"&lt;="&amp;DATE(YEAR_Y-1,12,31))=0,"",SUMIFS('Fund History'!$H$308:$H$312,'Fund History'!$G$308:$G$312,"&gt;="&amp;DATE(YEAR_Y-1,1,1),'Fund History'!$G$308:$G$312,"&lt;="&amp;DATE(YEAR_Y-1,12,31))/100)))</f>
        <v/>
      </c>
      <c r="AR62" s="147">
        <f>IF($C62="","",IF(N($AQ62)+N(HSI!$I$57)=0,"",N($AQ62)+N(HSI!$I$57)/100))</f>
        <v/>
      </c>
      <c r="AS62" s="139">
        <f>IF($C62="","",IF(PULL_FUND="N","",IF(COUNTIFS('Fund History'!$D$308:$D$312,"&gt;="&amp;DATE(YEAR_Y-2,1,1),'Fund History'!$D$308:$D$312,"&lt;="&amp;DATE(YEAR_Y-2,12,31))=0,"",SUMIFS('Fund History'!$E$308:$E$312,'Fund History'!$D$308:$D$312,"&gt;="&amp;DATE(YEAR_Y-2,1,1),'Fund History'!$D$308:$D$312,"&lt;="&amp;DATE(YEAR_Y-2,12,31)))))</f>
        <v/>
      </c>
      <c r="AT62" s="140">
        <f>IF($C62="","",IF(PULL_FUND="N","",IF(COUNTIFS('Fund History'!$D$308:$D$312,"&gt;="&amp;DATE(YEAR_Y-1,1,1),'Fund History'!$D$308:$D$312,"&lt;="&amp;DATE(YEAR_Y-1,12,31))=0,"",SUMIFS('Fund History'!$E$308:$E$312,'Fund History'!$D$308:$D$312,"&gt;="&amp;DATE(YEAR_Y-1,1,1),'Fund History'!$D$308:$D$312,"&lt;="&amp;DATE(YEAR_Y-1,12,31)))))</f>
        <v/>
      </c>
      <c r="AU62" s="140">
        <f>IF($C62="","",IF(PULL_FUND="N","",IFERROR(BDP($C62,NDEBITDA_FIELD),"")))</f>
        <v/>
      </c>
      <c r="AV62" s="148">
        <f>IF($C62="","",IF(PULL_FUND="N","",IFERROR(BDP($C62,EBINT_FIELD),"")))</f>
        <v/>
      </c>
      <c r="AW62" s="146">
        <f>IF($C62="","",IF(PULL_FUND="N","",IFERROR(BDP($C62,FCF_FIELD)/100,"")))</f>
        <v/>
      </c>
      <c r="AX62" s="126">
        <f>IF($C62="","",IF(N($U62)=0,"",IFERROR($AW62/$U62,"")))</f>
        <v/>
      </c>
      <c r="AY62" s="85">
        <f>IF($C62="","",TRIM(IF(ISNUMBER($AJ62)*(N($AJ62)&gt;$D$4)&gt;0,"payout high  ","")&amp;IF(ISNUMBER($AX62)*(N($AX62)&lt;$F$4)&gt;0,"FCF below dvd  ","")&amp;IF(ISNUMBER($AU62)*(N($AU62)&gt;$H$4)&gt;0,"leverage high","")))</f>
        <v/>
      </c>
      <c r="AZ62" s="86">
        <f>IF($C62="","",IF(HSI!$F$57="HKD","",HSI!$F$57))</f>
        <v/>
      </c>
    </row>
    <row r="63">
      <c r="B63" s="66" t="inlineStr">
        <is>
          <t>HSI</t>
        </is>
      </c>
      <c r="C63" s="8">
        <f>IF(HSI!$C$58="","",HSI!$C$58)</f>
        <v/>
      </c>
      <c r="D63" s="8">
        <f>IF($C63="","",HSI!$D$58)</f>
        <v/>
      </c>
      <c r="E63" s="8">
        <f>IF($C63="","",HSI!$E$58)</f>
        <v/>
      </c>
      <c r="F63" s="131">
        <f>IF($C63="","",SUMPRODUCT(('Dvd Calendar'!$E$572:$AR$572&gt;=DATE(YEAR_Y-5,1,1))*('Dvd Calendar'!$E$572:$AR$572&lt;=DATE(YEAR_Y-5,12,31))*'Dvd Calendar'!$E$575:$AR$575*(('Dvd Calendar'!$E$577:$AR$577=TYPE1)*(TYPE1&lt;&gt;"")+('Dvd Calendar'!$E$577:$AR$577=TYPE2)*(TYPE2&lt;&gt;"")+('Dvd Calendar'!$E$577:$AR$577=TYPE3)*(TYPE3&lt;&gt;"")+('Dvd Calendar'!$E$577:$AR$577=TYPE4)*(TYPE4&lt;&gt;"")+('Dvd Calendar'!$E$577:$AR$577=SPECIAL_LBL)*(INC_SPECIALS="Y"))))</f>
        <v/>
      </c>
      <c r="G63" s="132">
        <f>IF($C63="","",SUMPRODUCT(('Dvd Calendar'!$E$572:$AR$572&gt;=DATE(YEAR_Y-4,1,1))*('Dvd Calendar'!$E$572:$AR$572&lt;=DATE(YEAR_Y-4,12,31))*'Dvd Calendar'!$E$575:$AR$575*(('Dvd Calendar'!$E$577:$AR$577=TYPE1)*(TYPE1&lt;&gt;"")+('Dvd Calendar'!$E$577:$AR$577=TYPE2)*(TYPE2&lt;&gt;"")+('Dvd Calendar'!$E$577:$AR$577=TYPE3)*(TYPE3&lt;&gt;"")+('Dvd Calendar'!$E$577:$AR$577=TYPE4)*(TYPE4&lt;&gt;"")+('Dvd Calendar'!$E$577:$AR$577=SPECIAL_LBL)*(INC_SPECIALS="Y"))))</f>
        <v/>
      </c>
      <c r="H63" s="132">
        <f>IF($C63="","",SUMPRODUCT(('Dvd Calendar'!$E$572:$AR$572&gt;=DATE(YEAR_Y-3,1,1))*('Dvd Calendar'!$E$572:$AR$572&lt;=DATE(YEAR_Y-3,12,31))*'Dvd Calendar'!$E$575:$AR$575*(('Dvd Calendar'!$E$577:$AR$577=TYPE1)*(TYPE1&lt;&gt;"")+('Dvd Calendar'!$E$577:$AR$577=TYPE2)*(TYPE2&lt;&gt;"")+('Dvd Calendar'!$E$577:$AR$577=TYPE3)*(TYPE3&lt;&gt;"")+('Dvd Calendar'!$E$577:$AR$577=TYPE4)*(TYPE4&lt;&gt;"")+('Dvd Calendar'!$E$577:$AR$577=SPECIAL_LBL)*(INC_SPECIALS="Y"))))</f>
        <v/>
      </c>
      <c r="I63" s="132">
        <f>IF($C63="","",SUMPRODUCT(('Dvd Calendar'!$E$572:$AR$572&gt;=DATE(YEAR_Y-2,1,1))*('Dvd Calendar'!$E$572:$AR$572&lt;=DATE(YEAR_Y-2,12,31))*'Dvd Calendar'!$E$575:$AR$575*(('Dvd Calendar'!$E$577:$AR$577=TYPE1)*(TYPE1&lt;&gt;"")+('Dvd Calendar'!$E$577:$AR$577=TYPE2)*(TYPE2&lt;&gt;"")+('Dvd Calendar'!$E$577:$AR$577=TYPE3)*(TYPE3&lt;&gt;"")+('Dvd Calendar'!$E$577:$AR$577=TYPE4)*(TYPE4&lt;&gt;"")+('Dvd Calendar'!$E$577:$AR$577=SPECIAL_LBL)*(INC_SPECIALS="Y"))))</f>
        <v/>
      </c>
      <c r="J63" s="132">
        <f>IF($C63="","",SUMPRODUCT(('Dvd Calendar'!$E$572:$AR$572&gt;=DATE(YEAR_Y-1,1,1))*('Dvd Calendar'!$E$572:$AR$572&lt;=DATE(YEAR_Y-1,12,31))*'Dvd Calendar'!$E$575:$AR$575*(('Dvd Calendar'!$E$577:$AR$577=TYPE1)*(TYPE1&lt;&gt;"")+('Dvd Calendar'!$E$577:$AR$577=TYPE2)*(TYPE2&lt;&gt;"")+('Dvd Calendar'!$E$577:$AR$577=TYPE3)*(TYPE3&lt;&gt;"")+('Dvd Calendar'!$E$577:$AR$577=TYPE4)*(TYPE4&lt;&gt;"")+('Dvd Calendar'!$E$577:$AR$577=SPECIAL_LBL)*(INC_SPECIALS="Y"))))</f>
        <v/>
      </c>
      <c r="K63" s="133">
        <f>IF($C63="","",HSI!$J$58)</f>
        <v/>
      </c>
      <c r="L63" s="133">
        <f>IF($C63="","",HSI!$K$58)</f>
        <v/>
      </c>
      <c r="M63" s="124">
        <f>IF($C63="","",HSI!$J$58+HSI!$L$58)</f>
        <v/>
      </c>
      <c r="N63" s="134">
        <f>IF($C63="","",IF(PULL_FUND="N","",IFERROR(BDP($C63,BESTDPS_FIELD,FWD_OVERRIDE,TEXT(MOD(YEAR_Y,100),"00")&amp;"Y"),"")))</f>
        <v/>
      </c>
      <c r="O63" s="133">
        <f>IF($C63="","",AVERAGE(F63:J63))</f>
        <v/>
      </c>
      <c r="P63" s="135">
        <f>IF($C63="","",IF(PULL_FUND="N","",IF(COUNTIFS('Fund History'!$J$314:$J$318,"&gt;="&amp;DATE(YEAR_Y-5,1,1),'Fund History'!$J$314:$J$318,"&lt;="&amp;DATE(YEAR_Y-5,12,31))=0,"",IFERROR($F63*HSI!$G$58/SUMIFS('Fund History'!$K$314:$K$318,'Fund History'!$J$314:$J$318,"&gt;="&amp;DATE(YEAR_Y-5,1,1),'Fund History'!$J$314:$J$318,"&lt;="&amp;DATE(YEAR_Y-5,12,31)),""))))</f>
        <v/>
      </c>
      <c r="Q63" s="136">
        <f>IF($C63="","",IF(PULL_FUND="N","",IF(COUNTIFS('Fund History'!$J$314:$J$318,"&gt;="&amp;DATE(YEAR_Y-4,1,1),'Fund History'!$J$314:$J$318,"&lt;="&amp;DATE(YEAR_Y-4,12,31))=0,"",IFERROR($G63*HSI!$G$58/SUMIFS('Fund History'!$K$314:$K$318,'Fund History'!$J$314:$J$318,"&gt;="&amp;DATE(YEAR_Y-4,1,1),'Fund History'!$J$314:$J$318,"&lt;="&amp;DATE(YEAR_Y-4,12,31)),""))))</f>
        <v/>
      </c>
      <c r="R63" s="136">
        <f>IF($C63="","",IF(PULL_FUND="N","",IF(COUNTIFS('Fund History'!$J$314:$J$318,"&gt;="&amp;DATE(YEAR_Y-3,1,1),'Fund History'!$J$314:$J$318,"&lt;="&amp;DATE(YEAR_Y-3,12,31))=0,"",IFERROR($H63*HSI!$G$58/SUMIFS('Fund History'!$K$314:$K$318,'Fund History'!$J$314:$J$318,"&gt;="&amp;DATE(YEAR_Y-3,1,1),'Fund History'!$J$314:$J$318,"&lt;="&amp;DATE(YEAR_Y-3,12,31)),""))))</f>
        <v/>
      </c>
      <c r="S63" s="136">
        <f>IF($C63="","",IF(PULL_FUND="N","",IF(COUNTIFS('Fund History'!$J$314:$J$318,"&gt;="&amp;DATE(YEAR_Y-2,1,1),'Fund History'!$J$314:$J$318,"&lt;="&amp;DATE(YEAR_Y-2,12,31))=0,"",IFERROR($I63*HSI!$G$58/SUMIFS('Fund History'!$K$314:$K$318,'Fund History'!$J$314:$J$318,"&gt;="&amp;DATE(YEAR_Y-2,1,1),'Fund History'!$J$314:$J$318,"&lt;="&amp;DATE(YEAR_Y-2,12,31)),""))))</f>
        <v/>
      </c>
      <c r="T63" s="136">
        <f>IF($C63="","",IF(PULL_FUND="N","",IF(COUNTIFS('Fund History'!$J$314:$J$318,"&gt;="&amp;DATE(YEAR_Y-1,1,1),'Fund History'!$J$314:$J$318,"&lt;="&amp;DATE(YEAR_Y-1,12,31))=0,"",IFERROR($J63*HSI!$G$58/SUMIFS('Fund History'!$K$314:$K$318,'Fund History'!$J$314:$J$318,"&gt;="&amp;DATE(YEAR_Y-1,1,1),'Fund History'!$J$314:$J$318,"&lt;="&amp;DATE(YEAR_Y-1,12,31)),""))))</f>
        <v/>
      </c>
      <c r="U63" s="137">
        <f>IF($C63="","",IF(ISNUMBER(HSI!$I$58),HSI!$I$58/100,""))</f>
        <v/>
      </c>
      <c r="V63" s="138">
        <f>IF($C63="","",IF(ISNUMBER(HSI!$X$58),IFERROR($M63*HSI!$G$58/HSI!$X$58,""),""))</f>
        <v/>
      </c>
      <c r="W63" s="137">
        <f>IF($C63="","",IF(ISNUMBER($N63),IFERROR($N63*HSI!$G$58/HSI!$X$58,""),""))</f>
        <v/>
      </c>
      <c r="X63" s="139">
        <f>IF($C63="","",IF(PULL_FUND="N","",IFERROR(BDP($C63,EPS_FIELD,YR_OVERRIDE,TEXT(YEAR_Y-5,"0")),"")))</f>
        <v/>
      </c>
      <c r="Y63" s="140">
        <f>IF($C63="","",IF(PULL_FUND="N","",IFERROR(BDP($C63,EPS_FIELD,YR_OVERRIDE,TEXT(YEAR_Y-4,"0")),"")))</f>
        <v/>
      </c>
      <c r="Z63" s="140">
        <f>IF($C63="","",IF(PULL_FUND="N","",IFERROR(BDP($C63,EPS_FIELD,YR_OVERRIDE,TEXT(YEAR_Y-3,"0")),"")))</f>
        <v/>
      </c>
      <c r="AA63" s="140">
        <f>IF($C63="","",IF(PULL_FUND="N","",IFERROR(BDP($C63,EPS_FIELD,YR_OVERRIDE,TEXT(YEAR_Y-2,"0")),"")))</f>
        <v/>
      </c>
      <c r="AB63" s="140">
        <f>IF($C63="","",IF(PULL_FUND="N","",IFERROR(BDP($C63,EPS_FIELD,YR_OVERRIDE,TEXT(YEAR_Y-1,"0")),"")))</f>
        <v/>
      </c>
      <c r="AC63" s="126">
        <f>IF($C63="","",IFERROR(AVERAGE(X63:AB63),""))</f>
        <v/>
      </c>
      <c r="AD63" s="140">
        <f>IF($C63="","",IF(PULL_FUND="N","",IFERROR(BDP($C63,BESTEPS_FIELD,FWD_OVERRIDE,TEXT(MOD(YEAR_Y,100),"00")&amp;"Y"),"")))</f>
        <v/>
      </c>
      <c r="AE63" s="141">
        <f>IF($C63="","",IF(PULL_FUND="N","",IFERROR(BDP($C63,PAYOUT_FIELD,YR_OVERRIDE,TEXT(YEAR_Y-5,"0"))/100,"")))</f>
        <v/>
      </c>
      <c r="AF63" s="142">
        <f>IF($C63="","",IF(PULL_FUND="N","",IFERROR(BDP($C63,PAYOUT_FIELD,YR_OVERRIDE,TEXT(YEAR_Y-4,"0"))/100,"")))</f>
        <v/>
      </c>
      <c r="AG63" s="142">
        <f>IF($C63="","",IF(PULL_FUND="N","",IFERROR(BDP($C63,PAYOUT_FIELD,YR_OVERRIDE,TEXT(YEAR_Y-3,"0"))/100,"")))</f>
        <v/>
      </c>
      <c r="AH63" s="142">
        <f>IF($C63="","",IF(PULL_FUND="N","",IFERROR(BDP($C63,PAYOUT_FIELD,YR_OVERRIDE,TEXT(YEAR_Y-2,"0"))/100,"")))</f>
        <v/>
      </c>
      <c r="AI63" s="142">
        <f>IF($C63="","",IF(PULL_FUND="N","",IFERROR(BDP($C63,PAYOUT_FIELD,YR_OVERRIDE,TEXT(YEAR_Y-1,"0"))/100,"")))</f>
        <v/>
      </c>
      <c r="AJ63" s="143">
        <f>IF($C63="","",IFERROR(AVERAGE(AE63:AI63),""))</f>
        <v/>
      </c>
      <c r="AK63" s="144">
        <f>IF($C63="","",IF(ISNUMBER($AD63)*ISNUMBER($N63)*($AD63&lt;&gt;0)=0,"",$N63/$AD63))</f>
        <v/>
      </c>
      <c r="AL63" s="143">
        <f>IF($C63="","",IF(ISNUMBER($AD63)*($AD63&lt;&gt;0)=0,"",$M63/$AD63))</f>
        <v/>
      </c>
      <c r="AM63" s="37">
        <f>IF($C63="","",IF(ISNUMBER($AE63)*ISNUMBER($AI63)=0,"",IF($AI63&gt;$AE63+0.05,"rising",IF($AI63&lt;$AE63-0.05,"falling","stable"))))</f>
        <v/>
      </c>
      <c r="AN63" s="145">
        <f>IF($C63="","",IF(PULL_FUND="N","",IF(COUNTIFS('Fund History'!$G$314:$G$318,"&gt;="&amp;DATE(YEAR_Y-4,1,1),'Fund History'!$G$314:$G$318,"&lt;="&amp;DATE(YEAR_Y-4,12,31))=0,"",SUMIFS('Fund History'!$H$314:$H$318,'Fund History'!$G$314:$G$318,"&gt;="&amp;DATE(YEAR_Y-4,1,1),'Fund History'!$G$314:$G$318,"&lt;="&amp;DATE(YEAR_Y-4,12,31))/100)))</f>
        <v/>
      </c>
      <c r="AO63" s="146">
        <f>IF($C63="","",IF(PULL_FUND="N","",IF(COUNTIFS('Fund History'!$G$314:$G$318,"&gt;="&amp;DATE(YEAR_Y-3,1,1),'Fund History'!$G$314:$G$318,"&lt;="&amp;DATE(YEAR_Y-3,12,31))=0,"",SUMIFS('Fund History'!$H$314:$H$318,'Fund History'!$G$314:$G$318,"&gt;="&amp;DATE(YEAR_Y-3,1,1),'Fund History'!$G$314:$G$318,"&lt;="&amp;DATE(YEAR_Y-3,12,31))/100)))</f>
        <v/>
      </c>
      <c r="AP63" s="146">
        <f>IF($C63="","",IF(PULL_FUND="N","",IF(COUNTIFS('Fund History'!$G$314:$G$318,"&gt;="&amp;DATE(YEAR_Y-2,1,1),'Fund History'!$G$314:$G$318,"&lt;="&amp;DATE(YEAR_Y-2,12,31))=0,"",SUMIFS('Fund History'!$H$314:$H$318,'Fund History'!$G$314:$G$318,"&gt;="&amp;DATE(YEAR_Y-2,1,1),'Fund History'!$G$314:$G$318,"&lt;="&amp;DATE(YEAR_Y-2,12,31))/100)))</f>
        <v/>
      </c>
      <c r="AQ63" s="146">
        <f>IF($C63="","",IF(PULL_FUND="N","",IF(COUNTIFS('Fund History'!$G$314:$G$318,"&gt;="&amp;DATE(YEAR_Y-1,1,1),'Fund History'!$G$314:$G$318,"&lt;="&amp;DATE(YEAR_Y-1,12,31))=0,"",SUMIFS('Fund History'!$H$314:$H$318,'Fund History'!$G$314:$G$318,"&gt;="&amp;DATE(YEAR_Y-1,1,1),'Fund History'!$G$314:$G$318,"&lt;="&amp;DATE(YEAR_Y-1,12,31))/100)))</f>
        <v/>
      </c>
      <c r="AR63" s="147">
        <f>IF($C63="","",IF(N($AQ63)+N(HSI!$I$58)=0,"",N($AQ63)+N(HSI!$I$58)/100))</f>
        <v/>
      </c>
      <c r="AS63" s="139">
        <f>IF($C63="","",IF(PULL_FUND="N","",IF(COUNTIFS('Fund History'!$D$314:$D$318,"&gt;="&amp;DATE(YEAR_Y-2,1,1),'Fund History'!$D$314:$D$318,"&lt;="&amp;DATE(YEAR_Y-2,12,31))=0,"",SUMIFS('Fund History'!$E$314:$E$318,'Fund History'!$D$314:$D$318,"&gt;="&amp;DATE(YEAR_Y-2,1,1),'Fund History'!$D$314:$D$318,"&lt;="&amp;DATE(YEAR_Y-2,12,31)))))</f>
        <v/>
      </c>
      <c r="AT63" s="140">
        <f>IF($C63="","",IF(PULL_FUND="N","",IF(COUNTIFS('Fund History'!$D$314:$D$318,"&gt;="&amp;DATE(YEAR_Y-1,1,1),'Fund History'!$D$314:$D$318,"&lt;="&amp;DATE(YEAR_Y-1,12,31))=0,"",SUMIFS('Fund History'!$E$314:$E$318,'Fund History'!$D$314:$D$318,"&gt;="&amp;DATE(YEAR_Y-1,1,1),'Fund History'!$D$314:$D$318,"&lt;="&amp;DATE(YEAR_Y-1,12,31)))))</f>
        <v/>
      </c>
      <c r="AU63" s="140">
        <f>IF($C63="","",IF(PULL_FUND="N","",IFERROR(BDP($C63,NDEBITDA_FIELD),"")))</f>
        <v/>
      </c>
      <c r="AV63" s="148">
        <f>IF($C63="","",IF(PULL_FUND="N","",IFERROR(BDP($C63,EBINT_FIELD),"")))</f>
        <v/>
      </c>
      <c r="AW63" s="146">
        <f>IF($C63="","",IF(PULL_FUND="N","",IFERROR(BDP($C63,FCF_FIELD)/100,"")))</f>
        <v/>
      </c>
      <c r="AX63" s="126">
        <f>IF($C63="","",IF(N($U63)=0,"",IFERROR($AW63/$U63,"")))</f>
        <v/>
      </c>
      <c r="AY63" s="85">
        <f>IF($C63="","",TRIM(IF(ISNUMBER($AJ63)*(N($AJ63)&gt;$D$4)&gt;0,"payout high  ","")&amp;IF(ISNUMBER($AX63)*(N($AX63)&lt;$F$4)&gt;0,"FCF below dvd  ","")&amp;IF(ISNUMBER($AU63)*(N($AU63)&gt;$H$4)&gt;0,"leverage high","")))</f>
        <v/>
      </c>
      <c r="AZ63" s="86">
        <f>IF($C63="","",IF(HSI!$F$58="HKD","",HSI!$F$58))</f>
        <v/>
      </c>
    </row>
    <row r="64">
      <c r="B64" s="66" t="inlineStr">
        <is>
          <t>HSI</t>
        </is>
      </c>
      <c r="C64" s="8">
        <f>IF(HSI!$C$59="","",HSI!$C$59)</f>
        <v/>
      </c>
      <c r="D64" s="8">
        <f>IF($C64="","",HSI!$D$59)</f>
        <v/>
      </c>
      <c r="E64" s="8">
        <f>IF($C64="","",HSI!$E$59)</f>
        <v/>
      </c>
      <c r="F64" s="131">
        <f>IF($C64="","",SUMPRODUCT(('Dvd Calendar'!$E$583:$AR$583&gt;=DATE(YEAR_Y-5,1,1))*('Dvd Calendar'!$E$583:$AR$583&lt;=DATE(YEAR_Y-5,12,31))*'Dvd Calendar'!$E$586:$AR$586*(('Dvd Calendar'!$E$588:$AR$588=TYPE1)*(TYPE1&lt;&gt;"")+('Dvd Calendar'!$E$588:$AR$588=TYPE2)*(TYPE2&lt;&gt;"")+('Dvd Calendar'!$E$588:$AR$588=TYPE3)*(TYPE3&lt;&gt;"")+('Dvd Calendar'!$E$588:$AR$588=TYPE4)*(TYPE4&lt;&gt;"")+('Dvd Calendar'!$E$588:$AR$588=SPECIAL_LBL)*(INC_SPECIALS="Y"))))</f>
        <v/>
      </c>
      <c r="G64" s="132">
        <f>IF($C64="","",SUMPRODUCT(('Dvd Calendar'!$E$583:$AR$583&gt;=DATE(YEAR_Y-4,1,1))*('Dvd Calendar'!$E$583:$AR$583&lt;=DATE(YEAR_Y-4,12,31))*'Dvd Calendar'!$E$586:$AR$586*(('Dvd Calendar'!$E$588:$AR$588=TYPE1)*(TYPE1&lt;&gt;"")+('Dvd Calendar'!$E$588:$AR$588=TYPE2)*(TYPE2&lt;&gt;"")+('Dvd Calendar'!$E$588:$AR$588=TYPE3)*(TYPE3&lt;&gt;"")+('Dvd Calendar'!$E$588:$AR$588=TYPE4)*(TYPE4&lt;&gt;"")+('Dvd Calendar'!$E$588:$AR$588=SPECIAL_LBL)*(INC_SPECIALS="Y"))))</f>
        <v/>
      </c>
      <c r="H64" s="132">
        <f>IF($C64="","",SUMPRODUCT(('Dvd Calendar'!$E$583:$AR$583&gt;=DATE(YEAR_Y-3,1,1))*('Dvd Calendar'!$E$583:$AR$583&lt;=DATE(YEAR_Y-3,12,31))*'Dvd Calendar'!$E$586:$AR$586*(('Dvd Calendar'!$E$588:$AR$588=TYPE1)*(TYPE1&lt;&gt;"")+('Dvd Calendar'!$E$588:$AR$588=TYPE2)*(TYPE2&lt;&gt;"")+('Dvd Calendar'!$E$588:$AR$588=TYPE3)*(TYPE3&lt;&gt;"")+('Dvd Calendar'!$E$588:$AR$588=TYPE4)*(TYPE4&lt;&gt;"")+('Dvd Calendar'!$E$588:$AR$588=SPECIAL_LBL)*(INC_SPECIALS="Y"))))</f>
        <v/>
      </c>
      <c r="I64" s="132">
        <f>IF($C64="","",SUMPRODUCT(('Dvd Calendar'!$E$583:$AR$583&gt;=DATE(YEAR_Y-2,1,1))*('Dvd Calendar'!$E$583:$AR$583&lt;=DATE(YEAR_Y-2,12,31))*'Dvd Calendar'!$E$586:$AR$586*(('Dvd Calendar'!$E$588:$AR$588=TYPE1)*(TYPE1&lt;&gt;"")+('Dvd Calendar'!$E$588:$AR$588=TYPE2)*(TYPE2&lt;&gt;"")+('Dvd Calendar'!$E$588:$AR$588=TYPE3)*(TYPE3&lt;&gt;"")+('Dvd Calendar'!$E$588:$AR$588=TYPE4)*(TYPE4&lt;&gt;"")+('Dvd Calendar'!$E$588:$AR$588=SPECIAL_LBL)*(INC_SPECIALS="Y"))))</f>
        <v/>
      </c>
      <c r="J64" s="132">
        <f>IF($C64="","",SUMPRODUCT(('Dvd Calendar'!$E$583:$AR$583&gt;=DATE(YEAR_Y-1,1,1))*('Dvd Calendar'!$E$583:$AR$583&lt;=DATE(YEAR_Y-1,12,31))*'Dvd Calendar'!$E$586:$AR$586*(('Dvd Calendar'!$E$588:$AR$588=TYPE1)*(TYPE1&lt;&gt;"")+('Dvd Calendar'!$E$588:$AR$588=TYPE2)*(TYPE2&lt;&gt;"")+('Dvd Calendar'!$E$588:$AR$588=TYPE3)*(TYPE3&lt;&gt;"")+('Dvd Calendar'!$E$588:$AR$588=TYPE4)*(TYPE4&lt;&gt;"")+('Dvd Calendar'!$E$588:$AR$588=SPECIAL_LBL)*(INC_SPECIALS="Y"))))</f>
        <v/>
      </c>
      <c r="K64" s="133">
        <f>IF($C64="","",HSI!$J$59)</f>
        <v/>
      </c>
      <c r="L64" s="133">
        <f>IF($C64="","",HSI!$K$59)</f>
        <v/>
      </c>
      <c r="M64" s="124">
        <f>IF($C64="","",HSI!$J$59+HSI!$L$59)</f>
        <v/>
      </c>
      <c r="N64" s="134">
        <f>IF($C64="","",IF(PULL_FUND="N","",IFERROR(BDP($C64,BESTDPS_FIELD,FWD_OVERRIDE,TEXT(MOD(YEAR_Y,100),"00")&amp;"Y"),"")))</f>
        <v/>
      </c>
      <c r="O64" s="133">
        <f>IF($C64="","",AVERAGE(F64:J64))</f>
        <v/>
      </c>
      <c r="P64" s="135">
        <f>IF($C64="","",IF(PULL_FUND="N","",IF(COUNTIFS('Fund History'!$J$320:$J$324,"&gt;="&amp;DATE(YEAR_Y-5,1,1),'Fund History'!$J$320:$J$324,"&lt;="&amp;DATE(YEAR_Y-5,12,31))=0,"",IFERROR($F64*HSI!$G$59/SUMIFS('Fund History'!$K$320:$K$324,'Fund History'!$J$320:$J$324,"&gt;="&amp;DATE(YEAR_Y-5,1,1),'Fund History'!$J$320:$J$324,"&lt;="&amp;DATE(YEAR_Y-5,12,31)),""))))</f>
        <v/>
      </c>
      <c r="Q64" s="136">
        <f>IF($C64="","",IF(PULL_FUND="N","",IF(COUNTIFS('Fund History'!$J$320:$J$324,"&gt;="&amp;DATE(YEAR_Y-4,1,1),'Fund History'!$J$320:$J$324,"&lt;="&amp;DATE(YEAR_Y-4,12,31))=0,"",IFERROR($G64*HSI!$G$59/SUMIFS('Fund History'!$K$320:$K$324,'Fund History'!$J$320:$J$324,"&gt;="&amp;DATE(YEAR_Y-4,1,1),'Fund History'!$J$320:$J$324,"&lt;="&amp;DATE(YEAR_Y-4,12,31)),""))))</f>
        <v/>
      </c>
      <c r="R64" s="136">
        <f>IF($C64="","",IF(PULL_FUND="N","",IF(COUNTIFS('Fund History'!$J$320:$J$324,"&gt;="&amp;DATE(YEAR_Y-3,1,1),'Fund History'!$J$320:$J$324,"&lt;="&amp;DATE(YEAR_Y-3,12,31))=0,"",IFERROR($H64*HSI!$G$59/SUMIFS('Fund History'!$K$320:$K$324,'Fund History'!$J$320:$J$324,"&gt;="&amp;DATE(YEAR_Y-3,1,1),'Fund History'!$J$320:$J$324,"&lt;="&amp;DATE(YEAR_Y-3,12,31)),""))))</f>
        <v/>
      </c>
      <c r="S64" s="136">
        <f>IF($C64="","",IF(PULL_FUND="N","",IF(COUNTIFS('Fund History'!$J$320:$J$324,"&gt;="&amp;DATE(YEAR_Y-2,1,1),'Fund History'!$J$320:$J$324,"&lt;="&amp;DATE(YEAR_Y-2,12,31))=0,"",IFERROR($I64*HSI!$G$59/SUMIFS('Fund History'!$K$320:$K$324,'Fund History'!$J$320:$J$324,"&gt;="&amp;DATE(YEAR_Y-2,1,1),'Fund History'!$J$320:$J$324,"&lt;="&amp;DATE(YEAR_Y-2,12,31)),""))))</f>
        <v/>
      </c>
      <c r="T64" s="136">
        <f>IF($C64="","",IF(PULL_FUND="N","",IF(COUNTIFS('Fund History'!$J$320:$J$324,"&gt;="&amp;DATE(YEAR_Y-1,1,1),'Fund History'!$J$320:$J$324,"&lt;="&amp;DATE(YEAR_Y-1,12,31))=0,"",IFERROR($J64*HSI!$G$59/SUMIFS('Fund History'!$K$320:$K$324,'Fund History'!$J$320:$J$324,"&gt;="&amp;DATE(YEAR_Y-1,1,1),'Fund History'!$J$320:$J$324,"&lt;="&amp;DATE(YEAR_Y-1,12,31)),""))))</f>
        <v/>
      </c>
      <c r="U64" s="137">
        <f>IF($C64="","",IF(ISNUMBER(HSI!$I$59),HSI!$I$59/100,""))</f>
        <v/>
      </c>
      <c r="V64" s="138">
        <f>IF($C64="","",IF(ISNUMBER(HSI!$X$59),IFERROR($M64*HSI!$G$59/HSI!$X$59,""),""))</f>
        <v/>
      </c>
      <c r="W64" s="137">
        <f>IF($C64="","",IF(ISNUMBER($N64),IFERROR($N64*HSI!$G$59/HSI!$X$59,""),""))</f>
        <v/>
      </c>
      <c r="X64" s="139">
        <f>IF($C64="","",IF(PULL_FUND="N","",IFERROR(BDP($C64,EPS_FIELD,YR_OVERRIDE,TEXT(YEAR_Y-5,"0")),"")))</f>
        <v/>
      </c>
      <c r="Y64" s="140">
        <f>IF($C64="","",IF(PULL_FUND="N","",IFERROR(BDP($C64,EPS_FIELD,YR_OVERRIDE,TEXT(YEAR_Y-4,"0")),"")))</f>
        <v/>
      </c>
      <c r="Z64" s="140">
        <f>IF($C64="","",IF(PULL_FUND="N","",IFERROR(BDP($C64,EPS_FIELD,YR_OVERRIDE,TEXT(YEAR_Y-3,"0")),"")))</f>
        <v/>
      </c>
      <c r="AA64" s="140">
        <f>IF($C64="","",IF(PULL_FUND="N","",IFERROR(BDP($C64,EPS_FIELD,YR_OVERRIDE,TEXT(YEAR_Y-2,"0")),"")))</f>
        <v/>
      </c>
      <c r="AB64" s="140">
        <f>IF($C64="","",IF(PULL_FUND="N","",IFERROR(BDP($C64,EPS_FIELD,YR_OVERRIDE,TEXT(YEAR_Y-1,"0")),"")))</f>
        <v/>
      </c>
      <c r="AC64" s="126">
        <f>IF($C64="","",IFERROR(AVERAGE(X64:AB64),""))</f>
        <v/>
      </c>
      <c r="AD64" s="140">
        <f>IF($C64="","",IF(PULL_FUND="N","",IFERROR(BDP($C64,BESTEPS_FIELD,FWD_OVERRIDE,TEXT(MOD(YEAR_Y,100),"00")&amp;"Y"),"")))</f>
        <v/>
      </c>
      <c r="AE64" s="141">
        <f>IF($C64="","",IF(PULL_FUND="N","",IFERROR(BDP($C64,PAYOUT_FIELD,YR_OVERRIDE,TEXT(YEAR_Y-5,"0"))/100,"")))</f>
        <v/>
      </c>
      <c r="AF64" s="142">
        <f>IF($C64="","",IF(PULL_FUND="N","",IFERROR(BDP($C64,PAYOUT_FIELD,YR_OVERRIDE,TEXT(YEAR_Y-4,"0"))/100,"")))</f>
        <v/>
      </c>
      <c r="AG64" s="142">
        <f>IF($C64="","",IF(PULL_FUND="N","",IFERROR(BDP($C64,PAYOUT_FIELD,YR_OVERRIDE,TEXT(YEAR_Y-3,"0"))/100,"")))</f>
        <v/>
      </c>
      <c r="AH64" s="142">
        <f>IF($C64="","",IF(PULL_FUND="N","",IFERROR(BDP($C64,PAYOUT_FIELD,YR_OVERRIDE,TEXT(YEAR_Y-2,"0"))/100,"")))</f>
        <v/>
      </c>
      <c r="AI64" s="142">
        <f>IF($C64="","",IF(PULL_FUND="N","",IFERROR(BDP($C64,PAYOUT_FIELD,YR_OVERRIDE,TEXT(YEAR_Y-1,"0"))/100,"")))</f>
        <v/>
      </c>
      <c r="AJ64" s="143">
        <f>IF($C64="","",IFERROR(AVERAGE(AE64:AI64),""))</f>
        <v/>
      </c>
      <c r="AK64" s="144">
        <f>IF($C64="","",IF(ISNUMBER($AD64)*ISNUMBER($N64)*($AD64&lt;&gt;0)=0,"",$N64/$AD64))</f>
        <v/>
      </c>
      <c r="AL64" s="143">
        <f>IF($C64="","",IF(ISNUMBER($AD64)*($AD64&lt;&gt;0)=0,"",$M64/$AD64))</f>
        <v/>
      </c>
      <c r="AM64" s="37">
        <f>IF($C64="","",IF(ISNUMBER($AE64)*ISNUMBER($AI64)=0,"",IF($AI64&gt;$AE64+0.05,"rising",IF($AI64&lt;$AE64-0.05,"falling","stable"))))</f>
        <v/>
      </c>
      <c r="AN64" s="145">
        <f>IF($C64="","",IF(PULL_FUND="N","",IF(COUNTIFS('Fund History'!$G$320:$G$324,"&gt;="&amp;DATE(YEAR_Y-4,1,1),'Fund History'!$G$320:$G$324,"&lt;="&amp;DATE(YEAR_Y-4,12,31))=0,"",SUMIFS('Fund History'!$H$320:$H$324,'Fund History'!$G$320:$G$324,"&gt;="&amp;DATE(YEAR_Y-4,1,1),'Fund History'!$G$320:$G$324,"&lt;="&amp;DATE(YEAR_Y-4,12,31))/100)))</f>
        <v/>
      </c>
      <c r="AO64" s="146">
        <f>IF($C64="","",IF(PULL_FUND="N","",IF(COUNTIFS('Fund History'!$G$320:$G$324,"&gt;="&amp;DATE(YEAR_Y-3,1,1),'Fund History'!$G$320:$G$324,"&lt;="&amp;DATE(YEAR_Y-3,12,31))=0,"",SUMIFS('Fund History'!$H$320:$H$324,'Fund History'!$G$320:$G$324,"&gt;="&amp;DATE(YEAR_Y-3,1,1),'Fund History'!$G$320:$G$324,"&lt;="&amp;DATE(YEAR_Y-3,12,31))/100)))</f>
        <v/>
      </c>
      <c r="AP64" s="146">
        <f>IF($C64="","",IF(PULL_FUND="N","",IF(COUNTIFS('Fund History'!$G$320:$G$324,"&gt;="&amp;DATE(YEAR_Y-2,1,1),'Fund History'!$G$320:$G$324,"&lt;="&amp;DATE(YEAR_Y-2,12,31))=0,"",SUMIFS('Fund History'!$H$320:$H$324,'Fund History'!$G$320:$G$324,"&gt;="&amp;DATE(YEAR_Y-2,1,1),'Fund History'!$G$320:$G$324,"&lt;="&amp;DATE(YEAR_Y-2,12,31))/100)))</f>
        <v/>
      </c>
      <c r="AQ64" s="146">
        <f>IF($C64="","",IF(PULL_FUND="N","",IF(COUNTIFS('Fund History'!$G$320:$G$324,"&gt;="&amp;DATE(YEAR_Y-1,1,1),'Fund History'!$G$320:$G$324,"&lt;="&amp;DATE(YEAR_Y-1,12,31))=0,"",SUMIFS('Fund History'!$H$320:$H$324,'Fund History'!$G$320:$G$324,"&gt;="&amp;DATE(YEAR_Y-1,1,1),'Fund History'!$G$320:$G$324,"&lt;="&amp;DATE(YEAR_Y-1,12,31))/100)))</f>
        <v/>
      </c>
      <c r="AR64" s="147">
        <f>IF($C64="","",IF(N($AQ64)+N(HSI!$I$59)=0,"",N($AQ64)+N(HSI!$I$59)/100))</f>
        <v/>
      </c>
      <c r="AS64" s="139">
        <f>IF($C64="","",IF(PULL_FUND="N","",IF(COUNTIFS('Fund History'!$D$320:$D$324,"&gt;="&amp;DATE(YEAR_Y-2,1,1),'Fund History'!$D$320:$D$324,"&lt;="&amp;DATE(YEAR_Y-2,12,31))=0,"",SUMIFS('Fund History'!$E$320:$E$324,'Fund History'!$D$320:$D$324,"&gt;="&amp;DATE(YEAR_Y-2,1,1),'Fund History'!$D$320:$D$324,"&lt;="&amp;DATE(YEAR_Y-2,12,31)))))</f>
        <v/>
      </c>
      <c r="AT64" s="140">
        <f>IF($C64="","",IF(PULL_FUND="N","",IF(COUNTIFS('Fund History'!$D$320:$D$324,"&gt;="&amp;DATE(YEAR_Y-1,1,1),'Fund History'!$D$320:$D$324,"&lt;="&amp;DATE(YEAR_Y-1,12,31))=0,"",SUMIFS('Fund History'!$E$320:$E$324,'Fund History'!$D$320:$D$324,"&gt;="&amp;DATE(YEAR_Y-1,1,1),'Fund History'!$D$320:$D$324,"&lt;="&amp;DATE(YEAR_Y-1,12,31)))))</f>
        <v/>
      </c>
      <c r="AU64" s="140">
        <f>IF($C64="","",IF(PULL_FUND="N","",IFERROR(BDP($C64,NDEBITDA_FIELD),"")))</f>
        <v/>
      </c>
      <c r="AV64" s="148">
        <f>IF($C64="","",IF(PULL_FUND="N","",IFERROR(BDP($C64,EBINT_FIELD),"")))</f>
        <v/>
      </c>
      <c r="AW64" s="146">
        <f>IF($C64="","",IF(PULL_FUND="N","",IFERROR(BDP($C64,FCF_FIELD)/100,"")))</f>
        <v/>
      </c>
      <c r="AX64" s="126">
        <f>IF($C64="","",IF(N($U64)=0,"",IFERROR($AW64/$U64,"")))</f>
        <v/>
      </c>
      <c r="AY64" s="85">
        <f>IF($C64="","",TRIM(IF(ISNUMBER($AJ64)*(N($AJ64)&gt;$D$4)&gt;0,"payout high  ","")&amp;IF(ISNUMBER($AX64)*(N($AX64)&lt;$F$4)&gt;0,"FCF below dvd  ","")&amp;IF(ISNUMBER($AU64)*(N($AU64)&gt;$H$4)&gt;0,"leverage high","")))</f>
        <v/>
      </c>
      <c r="AZ64" s="86">
        <f>IF($C64="","",IF(HSI!$F$59="HKD","",HSI!$F$59))</f>
        <v/>
      </c>
    </row>
    <row r="65">
      <c r="B65" s="66" t="inlineStr">
        <is>
          <t>HSI</t>
        </is>
      </c>
      <c r="C65" s="8">
        <f>IF(HSI!$C$60="","",HSI!$C$60)</f>
        <v/>
      </c>
      <c r="D65" s="8">
        <f>IF($C65="","",HSI!$D$60)</f>
        <v/>
      </c>
      <c r="E65" s="8">
        <f>IF($C65="","",HSI!$E$60)</f>
        <v/>
      </c>
      <c r="F65" s="131">
        <f>IF($C65="","",SUMPRODUCT(('Dvd Calendar'!$E$594:$AR$594&gt;=DATE(YEAR_Y-5,1,1))*('Dvd Calendar'!$E$594:$AR$594&lt;=DATE(YEAR_Y-5,12,31))*'Dvd Calendar'!$E$597:$AR$597*(('Dvd Calendar'!$E$599:$AR$599=TYPE1)*(TYPE1&lt;&gt;"")+('Dvd Calendar'!$E$599:$AR$599=TYPE2)*(TYPE2&lt;&gt;"")+('Dvd Calendar'!$E$599:$AR$599=TYPE3)*(TYPE3&lt;&gt;"")+('Dvd Calendar'!$E$599:$AR$599=TYPE4)*(TYPE4&lt;&gt;"")+('Dvd Calendar'!$E$599:$AR$599=SPECIAL_LBL)*(INC_SPECIALS="Y"))))</f>
        <v/>
      </c>
      <c r="G65" s="132">
        <f>IF($C65="","",SUMPRODUCT(('Dvd Calendar'!$E$594:$AR$594&gt;=DATE(YEAR_Y-4,1,1))*('Dvd Calendar'!$E$594:$AR$594&lt;=DATE(YEAR_Y-4,12,31))*'Dvd Calendar'!$E$597:$AR$597*(('Dvd Calendar'!$E$599:$AR$599=TYPE1)*(TYPE1&lt;&gt;"")+('Dvd Calendar'!$E$599:$AR$599=TYPE2)*(TYPE2&lt;&gt;"")+('Dvd Calendar'!$E$599:$AR$599=TYPE3)*(TYPE3&lt;&gt;"")+('Dvd Calendar'!$E$599:$AR$599=TYPE4)*(TYPE4&lt;&gt;"")+('Dvd Calendar'!$E$599:$AR$599=SPECIAL_LBL)*(INC_SPECIALS="Y"))))</f>
        <v/>
      </c>
      <c r="H65" s="132">
        <f>IF($C65="","",SUMPRODUCT(('Dvd Calendar'!$E$594:$AR$594&gt;=DATE(YEAR_Y-3,1,1))*('Dvd Calendar'!$E$594:$AR$594&lt;=DATE(YEAR_Y-3,12,31))*'Dvd Calendar'!$E$597:$AR$597*(('Dvd Calendar'!$E$599:$AR$599=TYPE1)*(TYPE1&lt;&gt;"")+('Dvd Calendar'!$E$599:$AR$599=TYPE2)*(TYPE2&lt;&gt;"")+('Dvd Calendar'!$E$599:$AR$599=TYPE3)*(TYPE3&lt;&gt;"")+('Dvd Calendar'!$E$599:$AR$599=TYPE4)*(TYPE4&lt;&gt;"")+('Dvd Calendar'!$E$599:$AR$599=SPECIAL_LBL)*(INC_SPECIALS="Y"))))</f>
        <v/>
      </c>
      <c r="I65" s="132">
        <f>IF($C65="","",SUMPRODUCT(('Dvd Calendar'!$E$594:$AR$594&gt;=DATE(YEAR_Y-2,1,1))*('Dvd Calendar'!$E$594:$AR$594&lt;=DATE(YEAR_Y-2,12,31))*'Dvd Calendar'!$E$597:$AR$597*(('Dvd Calendar'!$E$599:$AR$599=TYPE1)*(TYPE1&lt;&gt;"")+('Dvd Calendar'!$E$599:$AR$599=TYPE2)*(TYPE2&lt;&gt;"")+('Dvd Calendar'!$E$599:$AR$599=TYPE3)*(TYPE3&lt;&gt;"")+('Dvd Calendar'!$E$599:$AR$599=TYPE4)*(TYPE4&lt;&gt;"")+('Dvd Calendar'!$E$599:$AR$599=SPECIAL_LBL)*(INC_SPECIALS="Y"))))</f>
        <v/>
      </c>
      <c r="J65" s="132">
        <f>IF($C65="","",SUMPRODUCT(('Dvd Calendar'!$E$594:$AR$594&gt;=DATE(YEAR_Y-1,1,1))*('Dvd Calendar'!$E$594:$AR$594&lt;=DATE(YEAR_Y-1,12,31))*'Dvd Calendar'!$E$597:$AR$597*(('Dvd Calendar'!$E$599:$AR$599=TYPE1)*(TYPE1&lt;&gt;"")+('Dvd Calendar'!$E$599:$AR$599=TYPE2)*(TYPE2&lt;&gt;"")+('Dvd Calendar'!$E$599:$AR$599=TYPE3)*(TYPE3&lt;&gt;"")+('Dvd Calendar'!$E$599:$AR$599=TYPE4)*(TYPE4&lt;&gt;"")+('Dvd Calendar'!$E$599:$AR$599=SPECIAL_LBL)*(INC_SPECIALS="Y"))))</f>
        <v/>
      </c>
      <c r="K65" s="133">
        <f>IF($C65="","",HSI!$J$60)</f>
        <v/>
      </c>
      <c r="L65" s="133">
        <f>IF($C65="","",HSI!$K$60)</f>
        <v/>
      </c>
      <c r="M65" s="124">
        <f>IF($C65="","",HSI!$J$60+HSI!$L$60)</f>
        <v/>
      </c>
      <c r="N65" s="134">
        <f>IF($C65="","",IF(PULL_FUND="N","",IFERROR(BDP($C65,BESTDPS_FIELD,FWD_OVERRIDE,TEXT(MOD(YEAR_Y,100),"00")&amp;"Y"),"")))</f>
        <v/>
      </c>
      <c r="O65" s="133">
        <f>IF($C65="","",AVERAGE(F65:J65))</f>
        <v/>
      </c>
      <c r="P65" s="135">
        <f>IF($C65="","",IF(PULL_FUND="N","",IF(COUNTIFS('Fund History'!$J$326:$J$330,"&gt;="&amp;DATE(YEAR_Y-5,1,1),'Fund History'!$J$326:$J$330,"&lt;="&amp;DATE(YEAR_Y-5,12,31))=0,"",IFERROR($F65*HSI!$G$60/SUMIFS('Fund History'!$K$326:$K$330,'Fund History'!$J$326:$J$330,"&gt;="&amp;DATE(YEAR_Y-5,1,1),'Fund History'!$J$326:$J$330,"&lt;="&amp;DATE(YEAR_Y-5,12,31)),""))))</f>
        <v/>
      </c>
      <c r="Q65" s="136">
        <f>IF($C65="","",IF(PULL_FUND="N","",IF(COUNTIFS('Fund History'!$J$326:$J$330,"&gt;="&amp;DATE(YEAR_Y-4,1,1),'Fund History'!$J$326:$J$330,"&lt;="&amp;DATE(YEAR_Y-4,12,31))=0,"",IFERROR($G65*HSI!$G$60/SUMIFS('Fund History'!$K$326:$K$330,'Fund History'!$J$326:$J$330,"&gt;="&amp;DATE(YEAR_Y-4,1,1),'Fund History'!$J$326:$J$330,"&lt;="&amp;DATE(YEAR_Y-4,12,31)),""))))</f>
        <v/>
      </c>
      <c r="R65" s="136">
        <f>IF($C65="","",IF(PULL_FUND="N","",IF(COUNTIFS('Fund History'!$J$326:$J$330,"&gt;="&amp;DATE(YEAR_Y-3,1,1),'Fund History'!$J$326:$J$330,"&lt;="&amp;DATE(YEAR_Y-3,12,31))=0,"",IFERROR($H65*HSI!$G$60/SUMIFS('Fund History'!$K$326:$K$330,'Fund History'!$J$326:$J$330,"&gt;="&amp;DATE(YEAR_Y-3,1,1),'Fund History'!$J$326:$J$330,"&lt;="&amp;DATE(YEAR_Y-3,12,31)),""))))</f>
        <v/>
      </c>
      <c r="S65" s="136">
        <f>IF($C65="","",IF(PULL_FUND="N","",IF(COUNTIFS('Fund History'!$J$326:$J$330,"&gt;="&amp;DATE(YEAR_Y-2,1,1),'Fund History'!$J$326:$J$330,"&lt;="&amp;DATE(YEAR_Y-2,12,31))=0,"",IFERROR($I65*HSI!$G$60/SUMIFS('Fund History'!$K$326:$K$330,'Fund History'!$J$326:$J$330,"&gt;="&amp;DATE(YEAR_Y-2,1,1),'Fund History'!$J$326:$J$330,"&lt;="&amp;DATE(YEAR_Y-2,12,31)),""))))</f>
        <v/>
      </c>
      <c r="T65" s="136">
        <f>IF($C65="","",IF(PULL_FUND="N","",IF(COUNTIFS('Fund History'!$J$326:$J$330,"&gt;="&amp;DATE(YEAR_Y-1,1,1),'Fund History'!$J$326:$J$330,"&lt;="&amp;DATE(YEAR_Y-1,12,31))=0,"",IFERROR($J65*HSI!$G$60/SUMIFS('Fund History'!$K$326:$K$330,'Fund History'!$J$326:$J$330,"&gt;="&amp;DATE(YEAR_Y-1,1,1),'Fund History'!$J$326:$J$330,"&lt;="&amp;DATE(YEAR_Y-1,12,31)),""))))</f>
        <v/>
      </c>
      <c r="U65" s="137">
        <f>IF($C65="","",IF(ISNUMBER(HSI!$I$60),HSI!$I$60/100,""))</f>
        <v/>
      </c>
      <c r="V65" s="138">
        <f>IF($C65="","",IF(ISNUMBER(HSI!$X$60),IFERROR($M65*HSI!$G$60/HSI!$X$60,""),""))</f>
        <v/>
      </c>
      <c r="W65" s="137">
        <f>IF($C65="","",IF(ISNUMBER($N65),IFERROR($N65*HSI!$G$60/HSI!$X$60,""),""))</f>
        <v/>
      </c>
      <c r="X65" s="139">
        <f>IF($C65="","",IF(PULL_FUND="N","",IFERROR(BDP($C65,EPS_FIELD,YR_OVERRIDE,TEXT(YEAR_Y-5,"0")),"")))</f>
        <v/>
      </c>
      <c r="Y65" s="140">
        <f>IF($C65="","",IF(PULL_FUND="N","",IFERROR(BDP($C65,EPS_FIELD,YR_OVERRIDE,TEXT(YEAR_Y-4,"0")),"")))</f>
        <v/>
      </c>
      <c r="Z65" s="140">
        <f>IF($C65="","",IF(PULL_FUND="N","",IFERROR(BDP($C65,EPS_FIELD,YR_OVERRIDE,TEXT(YEAR_Y-3,"0")),"")))</f>
        <v/>
      </c>
      <c r="AA65" s="140">
        <f>IF($C65="","",IF(PULL_FUND="N","",IFERROR(BDP($C65,EPS_FIELD,YR_OVERRIDE,TEXT(YEAR_Y-2,"0")),"")))</f>
        <v/>
      </c>
      <c r="AB65" s="140">
        <f>IF($C65="","",IF(PULL_FUND="N","",IFERROR(BDP($C65,EPS_FIELD,YR_OVERRIDE,TEXT(YEAR_Y-1,"0")),"")))</f>
        <v/>
      </c>
      <c r="AC65" s="126">
        <f>IF($C65="","",IFERROR(AVERAGE(X65:AB65),""))</f>
        <v/>
      </c>
      <c r="AD65" s="140">
        <f>IF($C65="","",IF(PULL_FUND="N","",IFERROR(BDP($C65,BESTEPS_FIELD,FWD_OVERRIDE,TEXT(MOD(YEAR_Y,100),"00")&amp;"Y"),"")))</f>
        <v/>
      </c>
      <c r="AE65" s="141">
        <f>IF($C65="","",IF(PULL_FUND="N","",IFERROR(BDP($C65,PAYOUT_FIELD,YR_OVERRIDE,TEXT(YEAR_Y-5,"0"))/100,"")))</f>
        <v/>
      </c>
      <c r="AF65" s="142">
        <f>IF($C65="","",IF(PULL_FUND="N","",IFERROR(BDP($C65,PAYOUT_FIELD,YR_OVERRIDE,TEXT(YEAR_Y-4,"0"))/100,"")))</f>
        <v/>
      </c>
      <c r="AG65" s="142">
        <f>IF($C65="","",IF(PULL_FUND="N","",IFERROR(BDP($C65,PAYOUT_FIELD,YR_OVERRIDE,TEXT(YEAR_Y-3,"0"))/100,"")))</f>
        <v/>
      </c>
      <c r="AH65" s="142">
        <f>IF($C65="","",IF(PULL_FUND="N","",IFERROR(BDP($C65,PAYOUT_FIELD,YR_OVERRIDE,TEXT(YEAR_Y-2,"0"))/100,"")))</f>
        <v/>
      </c>
      <c r="AI65" s="142">
        <f>IF($C65="","",IF(PULL_FUND="N","",IFERROR(BDP($C65,PAYOUT_FIELD,YR_OVERRIDE,TEXT(YEAR_Y-1,"0"))/100,"")))</f>
        <v/>
      </c>
      <c r="AJ65" s="143">
        <f>IF($C65="","",IFERROR(AVERAGE(AE65:AI65),""))</f>
        <v/>
      </c>
      <c r="AK65" s="144">
        <f>IF($C65="","",IF(ISNUMBER($AD65)*ISNUMBER($N65)*($AD65&lt;&gt;0)=0,"",$N65/$AD65))</f>
        <v/>
      </c>
      <c r="AL65" s="143">
        <f>IF($C65="","",IF(ISNUMBER($AD65)*($AD65&lt;&gt;0)=0,"",$M65/$AD65))</f>
        <v/>
      </c>
      <c r="AM65" s="37">
        <f>IF($C65="","",IF(ISNUMBER($AE65)*ISNUMBER($AI65)=0,"",IF($AI65&gt;$AE65+0.05,"rising",IF($AI65&lt;$AE65-0.05,"falling","stable"))))</f>
        <v/>
      </c>
      <c r="AN65" s="145">
        <f>IF($C65="","",IF(PULL_FUND="N","",IF(COUNTIFS('Fund History'!$G$326:$G$330,"&gt;="&amp;DATE(YEAR_Y-4,1,1),'Fund History'!$G$326:$G$330,"&lt;="&amp;DATE(YEAR_Y-4,12,31))=0,"",SUMIFS('Fund History'!$H$326:$H$330,'Fund History'!$G$326:$G$330,"&gt;="&amp;DATE(YEAR_Y-4,1,1),'Fund History'!$G$326:$G$330,"&lt;="&amp;DATE(YEAR_Y-4,12,31))/100)))</f>
        <v/>
      </c>
      <c r="AO65" s="146">
        <f>IF($C65="","",IF(PULL_FUND="N","",IF(COUNTIFS('Fund History'!$G$326:$G$330,"&gt;="&amp;DATE(YEAR_Y-3,1,1),'Fund History'!$G$326:$G$330,"&lt;="&amp;DATE(YEAR_Y-3,12,31))=0,"",SUMIFS('Fund History'!$H$326:$H$330,'Fund History'!$G$326:$G$330,"&gt;="&amp;DATE(YEAR_Y-3,1,1),'Fund History'!$G$326:$G$330,"&lt;="&amp;DATE(YEAR_Y-3,12,31))/100)))</f>
        <v/>
      </c>
      <c r="AP65" s="146">
        <f>IF($C65="","",IF(PULL_FUND="N","",IF(COUNTIFS('Fund History'!$G$326:$G$330,"&gt;="&amp;DATE(YEAR_Y-2,1,1),'Fund History'!$G$326:$G$330,"&lt;="&amp;DATE(YEAR_Y-2,12,31))=0,"",SUMIFS('Fund History'!$H$326:$H$330,'Fund History'!$G$326:$G$330,"&gt;="&amp;DATE(YEAR_Y-2,1,1),'Fund History'!$G$326:$G$330,"&lt;="&amp;DATE(YEAR_Y-2,12,31))/100)))</f>
        <v/>
      </c>
      <c r="AQ65" s="146">
        <f>IF($C65="","",IF(PULL_FUND="N","",IF(COUNTIFS('Fund History'!$G$326:$G$330,"&gt;="&amp;DATE(YEAR_Y-1,1,1),'Fund History'!$G$326:$G$330,"&lt;="&amp;DATE(YEAR_Y-1,12,31))=0,"",SUMIFS('Fund History'!$H$326:$H$330,'Fund History'!$G$326:$G$330,"&gt;="&amp;DATE(YEAR_Y-1,1,1),'Fund History'!$G$326:$G$330,"&lt;="&amp;DATE(YEAR_Y-1,12,31))/100)))</f>
        <v/>
      </c>
      <c r="AR65" s="147">
        <f>IF($C65="","",IF(N($AQ65)+N(HSI!$I$60)=0,"",N($AQ65)+N(HSI!$I$60)/100))</f>
        <v/>
      </c>
      <c r="AS65" s="139">
        <f>IF($C65="","",IF(PULL_FUND="N","",IF(COUNTIFS('Fund History'!$D$326:$D$330,"&gt;="&amp;DATE(YEAR_Y-2,1,1),'Fund History'!$D$326:$D$330,"&lt;="&amp;DATE(YEAR_Y-2,12,31))=0,"",SUMIFS('Fund History'!$E$326:$E$330,'Fund History'!$D$326:$D$330,"&gt;="&amp;DATE(YEAR_Y-2,1,1),'Fund History'!$D$326:$D$330,"&lt;="&amp;DATE(YEAR_Y-2,12,31)))))</f>
        <v/>
      </c>
      <c r="AT65" s="140">
        <f>IF($C65="","",IF(PULL_FUND="N","",IF(COUNTIFS('Fund History'!$D$326:$D$330,"&gt;="&amp;DATE(YEAR_Y-1,1,1),'Fund History'!$D$326:$D$330,"&lt;="&amp;DATE(YEAR_Y-1,12,31))=0,"",SUMIFS('Fund History'!$E$326:$E$330,'Fund History'!$D$326:$D$330,"&gt;="&amp;DATE(YEAR_Y-1,1,1),'Fund History'!$D$326:$D$330,"&lt;="&amp;DATE(YEAR_Y-1,12,31)))))</f>
        <v/>
      </c>
      <c r="AU65" s="140">
        <f>IF($C65="","",IF(PULL_FUND="N","",IFERROR(BDP($C65,NDEBITDA_FIELD),"")))</f>
        <v/>
      </c>
      <c r="AV65" s="148">
        <f>IF($C65="","",IF(PULL_FUND="N","",IFERROR(BDP($C65,EBINT_FIELD),"")))</f>
        <v/>
      </c>
      <c r="AW65" s="146">
        <f>IF($C65="","",IF(PULL_FUND="N","",IFERROR(BDP($C65,FCF_FIELD)/100,"")))</f>
        <v/>
      </c>
      <c r="AX65" s="126">
        <f>IF($C65="","",IF(N($U65)=0,"",IFERROR($AW65/$U65,"")))</f>
        <v/>
      </c>
      <c r="AY65" s="85">
        <f>IF($C65="","",TRIM(IF(ISNUMBER($AJ65)*(N($AJ65)&gt;$D$4)&gt;0,"payout high  ","")&amp;IF(ISNUMBER($AX65)*(N($AX65)&lt;$F$4)&gt;0,"FCF below dvd  ","")&amp;IF(ISNUMBER($AU65)*(N($AU65)&gt;$H$4)&gt;0,"leverage high","")))</f>
        <v/>
      </c>
      <c r="AZ65" s="86">
        <f>IF($C65="","",IF(HSI!$F$60="HKD","",HSI!$F$60))</f>
        <v/>
      </c>
    </row>
    <row r="66">
      <c r="B66" s="66" t="inlineStr">
        <is>
          <t>HSI</t>
        </is>
      </c>
      <c r="C66" s="8">
        <f>IF(HSI!$C$61="","",HSI!$C$61)</f>
        <v/>
      </c>
      <c r="D66" s="8">
        <f>IF($C66="","",HSI!$D$61)</f>
        <v/>
      </c>
      <c r="E66" s="8">
        <f>IF($C66="","",HSI!$E$61)</f>
        <v/>
      </c>
      <c r="F66" s="131">
        <f>IF($C66="","",SUMPRODUCT(('Dvd Calendar'!$E$605:$AR$605&gt;=DATE(YEAR_Y-5,1,1))*('Dvd Calendar'!$E$605:$AR$605&lt;=DATE(YEAR_Y-5,12,31))*'Dvd Calendar'!$E$608:$AR$608*(('Dvd Calendar'!$E$610:$AR$610=TYPE1)*(TYPE1&lt;&gt;"")+('Dvd Calendar'!$E$610:$AR$610=TYPE2)*(TYPE2&lt;&gt;"")+('Dvd Calendar'!$E$610:$AR$610=TYPE3)*(TYPE3&lt;&gt;"")+('Dvd Calendar'!$E$610:$AR$610=TYPE4)*(TYPE4&lt;&gt;"")+('Dvd Calendar'!$E$610:$AR$610=SPECIAL_LBL)*(INC_SPECIALS="Y"))))</f>
        <v/>
      </c>
      <c r="G66" s="132">
        <f>IF($C66="","",SUMPRODUCT(('Dvd Calendar'!$E$605:$AR$605&gt;=DATE(YEAR_Y-4,1,1))*('Dvd Calendar'!$E$605:$AR$605&lt;=DATE(YEAR_Y-4,12,31))*'Dvd Calendar'!$E$608:$AR$608*(('Dvd Calendar'!$E$610:$AR$610=TYPE1)*(TYPE1&lt;&gt;"")+('Dvd Calendar'!$E$610:$AR$610=TYPE2)*(TYPE2&lt;&gt;"")+('Dvd Calendar'!$E$610:$AR$610=TYPE3)*(TYPE3&lt;&gt;"")+('Dvd Calendar'!$E$610:$AR$610=TYPE4)*(TYPE4&lt;&gt;"")+('Dvd Calendar'!$E$610:$AR$610=SPECIAL_LBL)*(INC_SPECIALS="Y"))))</f>
        <v/>
      </c>
      <c r="H66" s="132">
        <f>IF($C66="","",SUMPRODUCT(('Dvd Calendar'!$E$605:$AR$605&gt;=DATE(YEAR_Y-3,1,1))*('Dvd Calendar'!$E$605:$AR$605&lt;=DATE(YEAR_Y-3,12,31))*'Dvd Calendar'!$E$608:$AR$608*(('Dvd Calendar'!$E$610:$AR$610=TYPE1)*(TYPE1&lt;&gt;"")+('Dvd Calendar'!$E$610:$AR$610=TYPE2)*(TYPE2&lt;&gt;"")+('Dvd Calendar'!$E$610:$AR$610=TYPE3)*(TYPE3&lt;&gt;"")+('Dvd Calendar'!$E$610:$AR$610=TYPE4)*(TYPE4&lt;&gt;"")+('Dvd Calendar'!$E$610:$AR$610=SPECIAL_LBL)*(INC_SPECIALS="Y"))))</f>
        <v/>
      </c>
      <c r="I66" s="132">
        <f>IF($C66="","",SUMPRODUCT(('Dvd Calendar'!$E$605:$AR$605&gt;=DATE(YEAR_Y-2,1,1))*('Dvd Calendar'!$E$605:$AR$605&lt;=DATE(YEAR_Y-2,12,31))*'Dvd Calendar'!$E$608:$AR$608*(('Dvd Calendar'!$E$610:$AR$610=TYPE1)*(TYPE1&lt;&gt;"")+('Dvd Calendar'!$E$610:$AR$610=TYPE2)*(TYPE2&lt;&gt;"")+('Dvd Calendar'!$E$610:$AR$610=TYPE3)*(TYPE3&lt;&gt;"")+('Dvd Calendar'!$E$610:$AR$610=TYPE4)*(TYPE4&lt;&gt;"")+('Dvd Calendar'!$E$610:$AR$610=SPECIAL_LBL)*(INC_SPECIALS="Y"))))</f>
        <v/>
      </c>
      <c r="J66" s="132">
        <f>IF($C66="","",SUMPRODUCT(('Dvd Calendar'!$E$605:$AR$605&gt;=DATE(YEAR_Y-1,1,1))*('Dvd Calendar'!$E$605:$AR$605&lt;=DATE(YEAR_Y-1,12,31))*'Dvd Calendar'!$E$608:$AR$608*(('Dvd Calendar'!$E$610:$AR$610=TYPE1)*(TYPE1&lt;&gt;"")+('Dvd Calendar'!$E$610:$AR$610=TYPE2)*(TYPE2&lt;&gt;"")+('Dvd Calendar'!$E$610:$AR$610=TYPE3)*(TYPE3&lt;&gt;"")+('Dvd Calendar'!$E$610:$AR$610=TYPE4)*(TYPE4&lt;&gt;"")+('Dvd Calendar'!$E$610:$AR$610=SPECIAL_LBL)*(INC_SPECIALS="Y"))))</f>
        <v/>
      </c>
      <c r="K66" s="133">
        <f>IF($C66="","",HSI!$J$61)</f>
        <v/>
      </c>
      <c r="L66" s="133">
        <f>IF($C66="","",HSI!$K$61)</f>
        <v/>
      </c>
      <c r="M66" s="124">
        <f>IF($C66="","",HSI!$J$61+HSI!$L$61)</f>
        <v/>
      </c>
      <c r="N66" s="134">
        <f>IF($C66="","",IF(PULL_FUND="N","",IFERROR(BDP($C66,BESTDPS_FIELD,FWD_OVERRIDE,TEXT(MOD(YEAR_Y,100),"00")&amp;"Y"),"")))</f>
        <v/>
      </c>
      <c r="O66" s="133">
        <f>IF($C66="","",AVERAGE(F66:J66))</f>
        <v/>
      </c>
      <c r="P66" s="135">
        <f>IF($C66="","",IF(PULL_FUND="N","",IF(COUNTIFS('Fund History'!$J$332:$J$336,"&gt;="&amp;DATE(YEAR_Y-5,1,1),'Fund History'!$J$332:$J$336,"&lt;="&amp;DATE(YEAR_Y-5,12,31))=0,"",IFERROR($F66*HSI!$G$61/SUMIFS('Fund History'!$K$332:$K$336,'Fund History'!$J$332:$J$336,"&gt;="&amp;DATE(YEAR_Y-5,1,1),'Fund History'!$J$332:$J$336,"&lt;="&amp;DATE(YEAR_Y-5,12,31)),""))))</f>
        <v/>
      </c>
      <c r="Q66" s="136">
        <f>IF($C66="","",IF(PULL_FUND="N","",IF(COUNTIFS('Fund History'!$J$332:$J$336,"&gt;="&amp;DATE(YEAR_Y-4,1,1),'Fund History'!$J$332:$J$336,"&lt;="&amp;DATE(YEAR_Y-4,12,31))=0,"",IFERROR($G66*HSI!$G$61/SUMIFS('Fund History'!$K$332:$K$336,'Fund History'!$J$332:$J$336,"&gt;="&amp;DATE(YEAR_Y-4,1,1),'Fund History'!$J$332:$J$336,"&lt;="&amp;DATE(YEAR_Y-4,12,31)),""))))</f>
        <v/>
      </c>
      <c r="R66" s="136">
        <f>IF($C66="","",IF(PULL_FUND="N","",IF(COUNTIFS('Fund History'!$J$332:$J$336,"&gt;="&amp;DATE(YEAR_Y-3,1,1),'Fund History'!$J$332:$J$336,"&lt;="&amp;DATE(YEAR_Y-3,12,31))=0,"",IFERROR($H66*HSI!$G$61/SUMIFS('Fund History'!$K$332:$K$336,'Fund History'!$J$332:$J$336,"&gt;="&amp;DATE(YEAR_Y-3,1,1),'Fund History'!$J$332:$J$336,"&lt;="&amp;DATE(YEAR_Y-3,12,31)),""))))</f>
        <v/>
      </c>
      <c r="S66" s="136">
        <f>IF($C66="","",IF(PULL_FUND="N","",IF(COUNTIFS('Fund History'!$J$332:$J$336,"&gt;="&amp;DATE(YEAR_Y-2,1,1),'Fund History'!$J$332:$J$336,"&lt;="&amp;DATE(YEAR_Y-2,12,31))=0,"",IFERROR($I66*HSI!$G$61/SUMIFS('Fund History'!$K$332:$K$336,'Fund History'!$J$332:$J$336,"&gt;="&amp;DATE(YEAR_Y-2,1,1),'Fund History'!$J$332:$J$336,"&lt;="&amp;DATE(YEAR_Y-2,12,31)),""))))</f>
        <v/>
      </c>
      <c r="T66" s="136">
        <f>IF($C66="","",IF(PULL_FUND="N","",IF(COUNTIFS('Fund History'!$J$332:$J$336,"&gt;="&amp;DATE(YEAR_Y-1,1,1),'Fund History'!$J$332:$J$336,"&lt;="&amp;DATE(YEAR_Y-1,12,31))=0,"",IFERROR($J66*HSI!$G$61/SUMIFS('Fund History'!$K$332:$K$336,'Fund History'!$J$332:$J$336,"&gt;="&amp;DATE(YEAR_Y-1,1,1),'Fund History'!$J$332:$J$336,"&lt;="&amp;DATE(YEAR_Y-1,12,31)),""))))</f>
        <v/>
      </c>
      <c r="U66" s="137">
        <f>IF($C66="","",IF(ISNUMBER(HSI!$I$61),HSI!$I$61/100,""))</f>
        <v/>
      </c>
      <c r="V66" s="138">
        <f>IF($C66="","",IF(ISNUMBER(HSI!$X$61),IFERROR($M66*HSI!$G$61/HSI!$X$61,""),""))</f>
        <v/>
      </c>
      <c r="W66" s="137">
        <f>IF($C66="","",IF(ISNUMBER($N66),IFERROR($N66*HSI!$G$61/HSI!$X$61,""),""))</f>
        <v/>
      </c>
      <c r="X66" s="139">
        <f>IF($C66="","",IF(PULL_FUND="N","",IFERROR(BDP($C66,EPS_FIELD,YR_OVERRIDE,TEXT(YEAR_Y-5,"0")),"")))</f>
        <v/>
      </c>
      <c r="Y66" s="140">
        <f>IF($C66="","",IF(PULL_FUND="N","",IFERROR(BDP($C66,EPS_FIELD,YR_OVERRIDE,TEXT(YEAR_Y-4,"0")),"")))</f>
        <v/>
      </c>
      <c r="Z66" s="140">
        <f>IF($C66="","",IF(PULL_FUND="N","",IFERROR(BDP($C66,EPS_FIELD,YR_OVERRIDE,TEXT(YEAR_Y-3,"0")),"")))</f>
        <v/>
      </c>
      <c r="AA66" s="140">
        <f>IF($C66="","",IF(PULL_FUND="N","",IFERROR(BDP($C66,EPS_FIELD,YR_OVERRIDE,TEXT(YEAR_Y-2,"0")),"")))</f>
        <v/>
      </c>
      <c r="AB66" s="140">
        <f>IF($C66="","",IF(PULL_FUND="N","",IFERROR(BDP($C66,EPS_FIELD,YR_OVERRIDE,TEXT(YEAR_Y-1,"0")),"")))</f>
        <v/>
      </c>
      <c r="AC66" s="126">
        <f>IF($C66="","",IFERROR(AVERAGE(X66:AB66),""))</f>
        <v/>
      </c>
      <c r="AD66" s="140">
        <f>IF($C66="","",IF(PULL_FUND="N","",IFERROR(BDP($C66,BESTEPS_FIELD,FWD_OVERRIDE,TEXT(MOD(YEAR_Y,100),"00")&amp;"Y"),"")))</f>
        <v/>
      </c>
      <c r="AE66" s="141">
        <f>IF($C66="","",IF(PULL_FUND="N","",IFERROR(BDP($C66,PAYOUT_FIELD,YR_OVERRIDE,TEXT(YEAR_Y-5,"0"))/100,"")))</f>
        <v/>
      </c>
      <c r="AF66" s="142">
        <f>IF($C66="","",IF(PULL_FUND="N","",IFERROR(BDP($C66,PAYOUT_FIELD,YR_OVERRIDE,TEXT(YEAR_Y-4,"0"))/100,"")))</f>
        <v/>
      </c>
      <c r="AG66" s="142">
        <f>IF($C66="","",IF(PULL_FUND="N","",IFERROR(BDP($C66,PAYOUT_FIELD,YR_OVERRIDE,TEXT(YEAR_Y-3,"0"))/100,"")))</f>
        <v/>
      </c>
      <c r="AH66" s="142">
        <f>IF($C66="","",IF(PULL_FUND="N","",IFERROR(BDP($C66,PAYOUT_FIELD,YR_OVERRIDE,TEXT(YEAR_Y-2,"0"))/100,"")))</f>
        <v/>
      </c>
      <c r="AI66" s="142">
        <f>IF($C66="","",IF(PULL_FUND="N","",IFERROR(BDP($C66,PAYOUT_FIELD,YR_OVERRIDE,TEXT(YEAR_Y-1,"0"))/100,"")))</f>
        <v/>
      </c>
      <c r="AJ66" s="143">
        <f>IF($C66="","",IFERROR(AVERAGE(AE66:AI66),""))</f>
        <v/>
      </c>
      <c r="AK66" s="144">
        <f>IF($C66="","",IF(ISNUMBER($AD66)*ISNUMBER($N66)*($AD66&lt;&gt;0)=0,"",$N66/$AD66))</f>
        <v/>
      </c>
      <c r="AL66" s="143">
        <f>IF($C66="","",IF(ISNUMBER($AD66)*($AD66&lt;&gt;0)=0,"",$M66/$AD66))</f>
        <v/>
      </c>
      <c r="AM66" s="37">
        <f>IF($C66="","",IF(ISNUMBER($AE66)*ISNUMBER($AI66)=0,"",IF($AI66&gt;$AE66+0.05,"rising",IF($AI66&lt;$AE66-0.05,"falling","stable"))))</f>
        <v/>
      </c>
      <c r="AN66" s="145">
        <f>IF($C66="","",IF(PULL_FUND="N","",IF(COUNTIFS('Fund History'!$G$332:$G$336,"&gt;="&amp;DATE(YEAR_Y-4,1,1),'Fund History'!$G$332:$G$336,"&lt;="&amp;DATE(YEAR_Y-4,12,31))=0,"",SUMIFS('Fund History'!$H$332:$H$336,'Fund History'!$G$332:$G$336,"&gt;="&amp;DATE(YEAR_Y-4,1,1),'Fund History'!$G$332:$G$336,"&lt;="&amp;DATE(YEAR_Y-4,12,31))/100)))</f>
        <v/>
      </c>
      <c r="AO66" s="146">
        <f>IF($C66="","",IF(PULL_FUND="N","",IF(COUNTIFS('Fund History'!$G$332:$G$336,"&gt;="&amp;DATE(YEAR_Y-3,1,1),'Fund History'!$G$332:$G$336,"&lt;="&amp;DATE(YEAR_Y-3,12,31))=0,"",SUMIFS('Fund History'!$H$332:$H$336,'Fund History'!$G$332:$G$336,"&gt;="&amp;DATE(YEAR_Y-3,1,1),'Fund History'!$G$332:$G$336,"&lt;="&amp;DATE(YEAR_Y-3,12,31))/100)))</f>
        <v/>
      </c>
      <c r="AP66" s="146">
        <f>IF($C66="","",IF(PULL_FUND="N","",IF(COUNTIFS('Fund History'!$G$332:$G$336,"&gt;="&amp;DATE(YEAR_Y-2,1,1),'Fund History'!$G$332:$G$336,"&lt;="&amp;DATE(YEAR_Y-2,12,31))=0,"",SUMIFS('Fund History'!$H$332:$H$336,'Fund History'!$G$332:$G$336,"&gt;="&amp;DATE(YEAR_Y-2,1,1),'Fund History'!$G$332:$G$336,"&lt;="&amp;DATE(YEAR_Y-2,12,31))/100)))</f>
        <v/>
      </c>
      <c r="AQ66" s="146">
        <f>IF($C66="","",IF(PULL_FUND="N","",IF(COUNTIFS('Fund History'!$G$332:$G$336,"&gt;="&amp;DATE(YEAR_Y-1,1,1),'Fund History'!$G$332:$G$336,"&lt;="&amp;DATE(YEAR_Y-1,12,31))=0,"",SUMIFS('Fund History'!$H$332:$H$336,'Fund History'!$G$332:$G$336,"&gt;="&amp;DATE(YEAR_Y-1,1,1),'Fund History'!$G$332:$G$336,"&lt;="&amp;DATE(YEAR_Y-1,12,31))/100)))</f>
        <v/>
      </c>
      <c r="AR66" s="147">
        <f>IF($C66="","",IF(N($AQ66)+N(HSI!$I$61)=0,"",N($AQ66)+N(HSI!$I$61)/100))</f>
        <v/>
      </c>
      <c r="AS66" s="139">
        <f>IF($C66="","",IF(PULL_FUND="N","",IF(COUNTIFS('Fund History'!$D$332:$D$336,"&gt;="&amp;DATE(YEAR_Y-2,1,1),'Fund History'!$D$332:$D$336,"&lt;="&amp;DATE(YEAR_Y-2,12,31))=0,"",SUMIFS('Fund History'!$E$332:$E$336,'Fund History'!$D$332:$D$336,"&gt;="&amp;DATE(YEAR_Y-2,1,1),'Fund History'!$D$332:$D$336,"&lt;="&amp;DATE(YEAR_Y-2,12,31)))))</f>
        <v/>
      </c>
      <c r="AT66" s="140">
        <f>IF($C66="","",IF(PULL_FUND="N","",IF(COUNTIFS('Fund History'!$D$332:$D$336,"&gt;="&amp;DATE(YEAR_Y-1,1,1),'Fund History'!$D$332:$D$336,"&lt;="&amp;DATE(YEAR_Y-1,12,31))=0,"",SUMIFS('Fund History'!$E$332:$E$336,'Fund History'!$D$332:$D$336,"&gt;="&amp;DATE(YEAR_Y-1,1,1),'Fund History'!$D$332:$D$336,"&lt;="&amp;DATE(YEAR_Y-1,12,31)))))</f>
        <v/>
      </c>
      <c r="AU66" s="140">
        <f>IF($C66="","",IF(PULL_FUND="N","",IFERROR(BDP($C66,NDEBITDA_FIELD),"")))</f>
        <v/>
      </c>
      <c r="AV66" s="148">
        <f>IF($C66="","",IF(PULL_FUND="N","",IFERROR(BDP($C66,EBINT_FIELD),"")))</f>
        <v/>
      </c>
      <c r="AW66" s="146">
        <f>IF($C66="","",IF(PULL_FUND="N","",IFERROR(BDP($C66,FCF_FIELD)/100,"")))</f>
        <v/>
      </c>
      <c r="AX66" s="126">
        <f>IF($C66="","",IF(N($U66)=0,"",IFERROR($AW66/$U66,"")))</f>
        <v/>
      </c>
      <c r="AY66" s="85">
        <f>IF($C66="","",TRIM(IF(ISNUMBER($AJ66)*(N($AJ66)&gt;$D$4)&gt;0,"payout high  ","")&amp;IF(ISNUMBER($AX66)*(N($AX66)&lt;$F$4)&gt;0,"FCF below dvd  ","")&amp;IF(ISNUMBER($AU66)*(N($AU66)&gt;$H$4)&gt;0,"leverage high","")))</f>
        <v/>
      </c>
      <c r="AZ66" s="86">
        <f>IF($C66="","",IF(HSI!$F$61="HKD","",HSI!$F$61))</f>
        <v/>
      </c>
    </row>
    <row r="67">
      <c r="B67" s="66" t="inlineStr">
        <is>
          <t>HSI</t>
        </is>
      </c>
      <c r="C67" s="8">
        <f>IF(HSI!$C$62="","",HSI!$C$62)</f>
        <v/>
      </c>
      <c r="D67" s="8">
        <f>IF($C67="","",HSI!$D$62)</f>
        <v/>
      </c>
      <c r="E67" s="8">
        <f>IF($C67="","",HSI!$E$62)</f>
        <v/>
      </c>
      <c r="F67" s="131">
        <f>IF($C67="","",SUMPRODUCT(('Dvd Calendar'!$E$616:$AR$616&gt;=DATE(YEAR_Y-5,1,1))*('Dvd Calendar'!$E$616:$AR$616&lt;=DATE(YEAR_Y-5,12,31))*'Dvd Calendar'!$E$619:$AR$619*(('Dvd Calendar'!$E$621:$AR$621=TYPE1)*(TYPE1&lt;&gt;"")+('Dvd Calendar'!$E$621:$AR$621=TYPE2)*(TYPE2&lt;&gt;"")+('Dvd Calendar'!$E$621:$AR$621=TYPE3)*(TYPE3&lt;&gt;"")+('Dvd Calendar'!$E$621:$AR$621=TYPE4)*(TYPE4&lt;&gt;"")+('Dvd Calendar'!$E$621:$AR$621=SPECIAL_LBL)*(INC_SPECIALS="Y"))))</f>
        <v/>
      </c>
      <c r="G67" s="132">
        <f>IF($C67="","",SUMPRODUCT(('Dvd Calendar'!$E$616:$AR$616&gt;=DATE(YEAR_Y-4,1,1))*('Dvd Calendar'!$E$616:$AR$616&lt;=DATE(YEAR_Y-4,12,31))*'Dvd Calendar'!$E$619:$AR$619*(('Dvd Calendar'!$E$621:$AR$621=TYPE1)*(TYPE1&lt;&gt;"")+('Dvd Calendar'!$E$621:$AR$621=TYPE2)*(TYPE2&lt;&gt;"")+('Dvd Calendar'!$E$621:$AR$621=TYPE3)*(TYPE3&lt;&gt;"")+('Dvd Calendar'!$E$621:$AR$621=TYPE4)*(TYPE4&lt;&gt;"")+('Dvd Calendar'!$E$621:$AR$621=SPECIAL_LBL)*(INC_SPECIALS="Y"))))</f>
        <v/>
      </c>
      <c r="H67" s="132">
        <f>IF($C67="","",SUMPRODUCT(('Dvd Calendar'!$E$616:$AR$616&gt;=DATE(YEAR_Y-3,1,1))*('Dvd Calendar'!$E$616:$AR$616&lt;=DATE(YEAR_Y-3,12,31))*'Dvd Calendar'!$E$619:$AR$619*(('Dvd Calendar'!$E$621:$AR$621=TYPE1)*(TYPE1&lt;&gt;"")+('Dvd Calendar'!$E$621:$AR$621=TYPE2)*(TYPE2&lt;&gt;"")+('Dvd Calendar'!$E$621:$AR$621=TYPE3)*(TYPE3&lt;&gt;"")+('Dvd Calendar'!$E$621:$AR$621=TYPE4)*(TYPE4&lt;&gt;"")+('Dvd Calendar'!$E$621:$AR$621=SPECIAL_LBL)*(INC_SPECIALS="Y"))))</f>
        <v/>
      </c>
      <c r="I67" s="132">
        <f>IF($C67="","",SUMPRODUCT(('Dvd Calendar'!$E$616:$AR$616&gt;=DATE(YEAR_Y-2,1,1))*('Dvd Calendar'!$E$616:$AR$616&lt;=DATE(YEAR_Y-2,12,31))*'Dvd Calendar'!$E$619:$AR$619*(('Dvd Calendar'!$E$621:$AR$621=TYPE1)*(TYPE1&lt;&gt;"")+('Dvd Calendar'!$E$621:$AR$621=TYPE2)*(TYPE2&lt;&gt;"")+('Dvd Calendar'!$E$621:$AR$621=TYPE3)*(TYPE3&lt;&gt;"")+('Dvd Calendar'!$E$621:$AR$621=TYPE4)*(TYPE4&lt;&gt;"")+('Dvd Calendar'!$E$621:$AR$621=SPECIAL_LBL)*(INC_SPECIALS="Y"))))</f>
        <v/>
      </c>
      <c r="J67" s="132">
        <f>IF($C67="","",SUMPRODUCT(('Dvd Calendar'!$E$616:$AR$616&gt;=DATE(YEAR_Y-1,1,1))*('Dvd Calendar'!$E$616:$AR$616&lt;=DATE(YEAR_Y-1,12,31))*'Dvd Calendar'!$E$619:$AR$619*(('Dvd Calendar'!$E$621:$AR$621=TYPE1)*(TYPE1&lt;&gt;"")+('Dvd Calendar'!$E$621:$AR$621=TYPE2)*(TYPE2&lt;&gt;"")+('Dvd Calendar'!$E$621:$AR$621=TYPE3)*(TYPE3&lt;&gt;"")+('Dvd Calendar'!$E$621:$AR$621=TYPE4)*(TYPE4&lt;&gt;"")+('Dvd Calendar'!$E$621:$AR$621=SPECIAL_LBL)*(INC_SPECIALS="Y"))))</f>
        <v/>
      </c>
      <c r="K67" s="133">
        <f>IF($C67="","",HSI!$J$62)</f>
        <v/>
      </c>
      <c r="L67" s="133">
        <f>IF($C67="","",HSI!$K$62)</f>
        <v/>
      </c>
      <c r="M67" s="124">
        <f>IF($C67="","",HSI!$J$62+HSI!$L$62)</f>
        <v/>
      </c>
      <c r="N67" s="134">
        <f>IF($C67="","",IF(PULL_FUND="N","",IFERROR(BDP($C67,BESTDPS_FIELD,FWD_OVERRIDE,TEXT(MOD(YEAR_Y,100),"00")&amp;"Y"),"")))</f>
        <v/>
      </c>
      <c r="O67" s="133">
        <f>IF($C67="","",AVERAGE(F67:J67))</f>
        <v/>
      </c>
      <c r="P67" s="135">
        <f>IF($C67="","",IF(PULL_FUND="N","",IF(COUNTIFS('Fund History'!$J$338:$J$342,"&gt;="&amp;DATE(YEAR_Y-5,1,1),'Fund History'!$J$338:$J$342,"&lt;="&amp;DATE(YEAR_Y-5,12,31))=0,"",IFERROR($F67*HSI!$G$62/SUMIFS('Fund History'!$K$338:$K$342,'Fund History'!$J$338:$J$342,"&gt;="&amp;DATE(YEAR_Y-5,1,1),'Fund History'!$J$338:$J$342,"&lt;="&amp;DATE(YEAR_Y-5,12,31)),""))))</f>
        <v/>
      </c>
      <c r="Q67" s="136">
        <f>IF($C67="","",IF(PULL_FUND="N","",IF(COUNTIFS('Fund History'!$J$338:$J$342,"&gt;="&amp;DATE(YEAR_Y-4,1,1),'Fund History'!$J$338:$J$342,"&lt;="&amp;DATE(YEAR_Y-4,12,31))=0,"",IFERROR($G67*HSI!$G$62/SUMIFS('Fund History'!$K$338:$K$342,'Fund History'!$J$338:$J$342,"&gt;="&amp;DATE(YEAR_Y-4,1,1),'Fund History'!$J$338:$J$342,"&lt;="&amp;DATE(YEAR_Y-4,12,31)),""))))</f>
        <v/>
      </c>
      <c r="R67" s="136">
        <f>IF($C67="","",IF(PULL_FUND="N","",IF(COUNTIFS('Fund History'!$J$338:$J$342,"&gt;="&amp;DATE(YEAR_Y-3,1,1),'Fund History'!$J$338:$J$342,"&lt;="&amp;DATE(YEAR_Y-3,12,31))=0,"",IFERROR($H67*HSI!$G$62/SUMIFS('Fund History'!$K$338:$K$342,'Fund History'!$J$338:$J$342,"&gt;="&amp;DATE(YEAR_Y-3,1,1),'Fund History'!$J$338:$J$342,"&lt;="&amp;DATE(YEAR_Y-3,12,31)),""))))</f>
        <v/>
      </c>
      <c r="S67" s="136">
        <f>IF($C67="","",IF(PULL_FUND="N","",IF(COUNTIFS('Fund History'!$J$338:$J$342,"&gt;="&amp;DATE(YEAR_Y-2,1,1),'Fund History'!$J$338:$J$342,"&lt;="&amp;DATE(YEAR_Y-2,12,31))=0,"",IFERROR($I67*HSI!$G$62/SUMIFS('Fund History'!$K$338:$K$342,'Fund History'!$J$338:$J$342,"&gt;="&amp;DATE(YEAR_Y-2,1,1),'Fund History'!$J$338:$J$342,"&lt;="&amp;DATE(YEAR_Y-2,12,31)),""))))</f>
        <v/>
      </c>
      <c r="T67" s="136">
        <f>IF($C67="","",IF(PULL_FUND="N","",IF(COUNTIFS('Fund History'!$J$338:$J$342,"&gt;="&amp;DATE(YEAR_Y-1,1,1),'Fund History'!$J$338:$J$342,"&lt;="&amp;DATE(YEAR_Y-1,12,31))=0,"",IFERROR($J67*HSI!$G$62/SUMIFS('Fund History'!$K$338:$K$342,'Fund History'!$J$338:$J$342,"&gt;="&amp;DATE(YEAR_Y-1,1,1),'Fund History'!$J$338:$J$342,"&lt;="&amp;DATE(YEAR_Y-1,12,31)),""))))</f>
        <v/>
      </c>
      <c r="U67" s="137">
        <f>IF($C67="","",IF(ISNUMBER(HSI!$I$62),HSI!$I$62/100,""))</f>
        <v/>
      </c>
      <c r="V67" s="138">
        <f>IF($C67="","",IF(ISNUMBER(HSI!$X$62),IFERROR($M67*HSI!$G$62/HSI!$X$62,""),""))</f>
        <v/>
      </c>
      <c r="W67" s="137">
        <f>IF($C67="","",IF(ISNUMBER($N67),IFERROR($N67*HSI!$G$62/HSI!$X$62,""),""))</f>
        <v/>
      </c>
      <c r="X67" s="139">
        <f>IF($C67="","",IF(PULL_FUND="N","",IFERROR(BDP($C67,EPS_FIELD,YR_OVERRIDE,TEXT(YEAR_Y-5,"0")),"")))</f>
        <v/>
      </c>
      <c r="Y67" s="140">
        <f>IF($C67="","",IF(PULL_FUND="N","",IFERROR(BDP($C67,EPS_FIELD,YR_OVERRIDE,TEXT(YEAR_Y-4,"0")),"")))</f>
        <v/>
      </c>
      <c r="Z67" s="140">
        <f>IF($C67="","",IF(PULL_FUND="N","",IFERROR(BDP($C67,EPS_FIELD,YR_OVERRIDE,TEXT(YEAR_Y-3,"0")),"")))</f>
        <v/>
      </c>
      <c r="AA67" s="140">
        <f>IF($C67="","",IF(PULL_FUND="N","",IFERROR(BDP($C67,EPS_FIELD,YR_OVERRIDE,TEXT(YEAR_Y-2,"0")),"")))</f>
        <v/>
      </c>
      <c r="AB67" s="140">
        <f>IF($C67="","",IF(PULL_FUND="N","",IFERROR(BDP($C67,EPS_FIELD,YR_OVERRIDE,TEXT(YEAR_Y-1,"0")),"")))</f>
        <v/>
      </c>
      <c r="AC67" s="126">
        <f>IF($C67="","",IFERROR(AVERAGE(X67:AB67),""))</f>
        <v/>
      </c>
      <c r="AD67" s="140">
        <f>IF($C67="","",IF(PULL_FUND="N","",IFERROR(BDP($C67,BESTEPS_FIELD,FWD_OVERRIDE,TEXT(MOD(YEAR_Y,100),"00")&amp;"Y"),"")))</f>
        <v/>
      </c>
      <c r="AE67" s="141">
        <f>IF($C67="","",IF(PULL_FUND="N","",IFERROR(BDP($C67,PAYOUT_FIELD,YR_OVERRIDE,TEXT(YEAR_Y-5,"0"))/100,"")))</f>
        <v/>
      </c>
      <c r="AF67" s="142">
        <f>IF($C67="","",IF(PULL_FUND="N","",IFERROR(BDP($C67,PAYOUT_FIELD,YR_OVERRIDE,TEXT(YEAR_Y-4,"0"))/100,"")))</f>
        <v/>
      </c>
      <c r="AG67" s="142">
        <f>IF($C67="","",IF(PULL_FUND="N","",IFERROR(BDP($C67,PAYOUT_FIELD,YR_OVERRIDE,TEXT(YEAR_Y-3,"0"))/100,"")))</f>
        <v/>
      </c>
      <c r="AH67" s="142">
        <f>IF($C67="","",IF(PULL_FUND="N","",IFERROR(BDP($C67,PAYOUT_FIELD,YR_OVERRIDE,TEXT(YEAR_Y-2,"0"))/100,"")))</f>
        <v/>
      </c>
      <c r="AI67" s="142">
        <f>IF($C67="","",IF(PULL_FUND="N","",IFERROR(BDP($C67,PAYOUT_FIELD,YR_OVERRIDE,TEXT(YEAR_Y-1,"0"))/100,"")))</f>
        <v/>
      </c>
      <c r="AJ67" s="143">
        <f>IF($C67="","",IFERROR(AVERAGE(AE67:AI67),""))</f>
        <v/>
      </c>
      <c r="AK67" s="144">
        <f>IF($C67="","",IF(ISNUMBER($AD67)*ISNUMBER($N67)*($AD67&lt;&gt;0)=0,"",$N67/$AD67))</f>
        <v/>
      </c>
      <c r="AL67" s="143">
        <f>IF($C67="","",IF(ISNUMBER($AD67)*($AD67&lt;&gt;0)=0,"",$M67/$AD67))</f>
        <v/>
      </c>
      <c r="AM67" s="37">
        <f>IF($C67="","",IF(ISNUMBER($AE67)*ISNUMBER($AI67)=0,"",IF($AI67&gt;$AE67+0.05,"rising",IF($AI67&lt;$AE67-0.05,"falling","stable"))))</f>
        <v/>
      </c>
      <c r="AN67" s="145">
        <f>IF($C67="","",IF(PULL_FUND="N","",IF(COUNTIFS('Fund History'!$G$338:$G$342,"&gt;="&amp;DATE(YEAR_Y-4,1,1),'Fund History'!$G$338:$G$342,"&lt;="&amp;DATE(YEAR_Y-4,12,31))=0,"",SUMIFS('Fund History'!$H$338:$H$342,'Fund History'!$G$338:$G$342,"&gt;="&amp;DATE(YEAR_Y-4,1,1),'Fund History'!$G$338:$G$342,"&lt;="&amp;DATE(YEAR_Y-4,12,31))/100)))</f>
        <v/>
      </c>
      <c r="AO67" s="146">
        <f>IF($C67="","",IF(PULL_FUND="N","",IF(COUNTIFS('Fund History'!$G$338:$G$342,"&gt;="&amp;DATE(YEAR_Y-3,1,1),'Fund History'!$G$338:$G$342,"&lt;="&amp;DATE(YEAR_Y-3,12,31))=0,"",SUMIFS('Fund History'!$H$338:$H$342,'Fund History'!$G$338:$G$342,"&gt;="&amp;DATE(YEAR_Y-3,1,1),'Fund History'!$G$338:$G$342,"&lt;="&amp;DATE(YEAR_Y-3,12,31))/100)))</f>
        <v/>
      </c>
      <c r="AP67" s="146">
        <f>IF($C67="","",IF(PULL_FUND="N","",IF(COUNTIFS('Fund History'!$G$338:$G$342,"&gt;="&amp;DATE(YEAR_Y-2,1,1),'Fund History'!$G$338:$G$342,"&lt;="&amp;DATE(YEAR_Y-2,12,31))=0,"",SUMIFS('Fund History'!$H$338:$H$342,'Fund History'!$G$338:$G$342,"&gt;="&amp;DATE(YEAR_Y-2,1,1),'Fund History'!$G$338:$G$342,"&lt;="&amp;DATE(YEAR_Y-2,12,31))/100)))</f>
        <v/>
      </c>
      <c r="AQ67" s="146">
        <f>IF($C67="","",IF(PULL_FUND="N","",IF(COUNTIFS('Fund History'!$G$338:$G$342,"&gt;="&amp;DATE(YEAR_Y-1,1,1),'Fund History'!$G$338:$G$342,"&lt;="&amp;DATE(YEAR_Y-1,12,31))=0,"",SUMIFS('Fund History'!$H$338:$H$342,'Fund History'!$G$338:$G$342,"&gt;="&amp;DATE(YEAR_Y-1,1,1),'Fund History'!$G$338:$G$342,"&lt;="&amp;DATE(YEAR_Y-1,12,31))/100)))</f>
        <v/>
      </c>
      <c r="AR67" s="147">
        <f>IF($C67="","",IF(N($AQ67)+N(HSI!$I$62)=0,"",N($AQ67)+N(HSI!$I$62)/100))</f>
        <v/>
      </c>
      <c r="AS67" s="139">
        <f>IF($C67="","",IF(PULL_FUND="N","",IF(COUNTIFS('Fund History'!$D$338:$D$342,"&gt;="&amp;DATE(YEAR_Y-2,1,1),'Fund History'!$D$338:$D$342,"&lt;="&amp;DATE(YEAR_Y-2,12,31))=0,"",SUMIFS('Fund History'!$E$338:$E$342,'Fund History'!$D$338:$D$342,"&gt;="&amp;DATE(YEAR_Y-2,1,1),'Fund History'!$D$338:$D$342,"&lt;="&amp;DATE(YEAR_Y-2,12,31)))))</f>
        <v/>
      </c>
      <c r="AT67" s="140">
        <f>IF($C67="","",IF(PULL_FUND="N","",IF(COUNTIFS('Fund History'!$D$338:$D$342,"&gt;="&amp;DATE(YEAR_Y-1,1,1),'Fund History'!$D$338:$D$342,"&lt;="&amp;DATE(YEAR_Y-1,12,31))=0,"",SUMIFS('Fund History'!$E$338:$E$342,'Fund History'!$D$338:$D$342,"&gt;="&amp;DATE(YEAR_Y-1,1,1),'Fund History'!$D$338:$D$342,"&lt;="&amp;DATE(YEAR_Y-1,12,31)))))</f>
        <v/>
      </c>
      <c r="AU67" s="140">
        <f>IF($C67="","",IF(PULL_FUND="N","",IFERROR(BDP($C67,NDEBITDA_FIELD),"")))</f>
        <v/>
      </c>
      <c r="AV67" s="148">
        <f>IF($C67="","",IF(PULL_FUND="N","",IFERROR(BDP($C67,EBINT_FIELD),"")))</f>
        <v/>
      </c>
      <c r="AW67" s="146">
        <f>IF($C67="","",IF(PULL_FUND="N","",IFERROR(BDP($C67,FCF_FIELD)/100,"")))</f>
        <v/>
      </c>
      <c r="AX67" s="126">
        <f>IF($C67="","",IF(N($U67)=0,"",IFERROR($AW67/$U67,"")))</f>
        <v/>
      </c>
      <c r="AY67" s="85">
        <f>IF($C67="","",TRIM(IF(ISNUMBER($AJ67)*(N($AJ67)&gt;$D$4)&gt;0,"payout high  ","")&amp;IF(ISNUMBER($AX67)*(N($AX67)&lt;$F$4)&gt;0,"FCF below dvd  ","")&amp;IF(ISNUMBER($AU67)*(N($AU67)&gt;$H$4)&gt;0,"leverage high","")))</f>
        <v/>
      </c>
      <c r="AZ67" s="86">
        <f>IF($C67="","",IF(HSI!$F$62="HKD","",HSI!$F$62))</f>
        <v/>
      </c>
    </row>
    <row r="68">
      <c r="B68" s="66" t="inlineStr">
        <is>
          <t>HSI</t>
        </is>
      </c>
      <c r="C68" s="8">
        <f>IF(HSI!$C$63="","",HSI!$C$63)</f>
        <v/>
      </c>
      <c r="D68" s="8">
        <f>IF($C68="","",HSI!$D$63)</f>
        <v/>
      </c>
      <c r="E68" s="8">
        <f>IF($C68="","",HSI!$E$63)</f>
        <v/>
      </c>
      <c r="F68" s="131">
        <f>IF($C68="","",SUMPRODUCT(('Dvd Calendar'!$E$627:$AR$627&gt;=DATE(YEAR_Y-5,1,1))*('Dvd Calendar'!$E$627:$AR$627&lt;=DATE(YEAR_Y-5,12,31))*'Dvd Calendar'!$E$630:$AR$630*(('Dvd Calendar'!$E$632:$AR$632=TYPE1)*(TYPE1&lt;&gt;"")+('Dvd Calendar'!$E$632:$AR$632=TYPE2)*(TYPE2&lt;&gt;"")+('Dvd Calendar'!$E$632:$AR$632=TYPE3)*(TYPE3&lt;&gt;"")+('Dvd Calendar'!$E$632:$AR$632=TYPE4)*(TYPE4&lt;&gt;"")+('Dvd Calendar'!$E$632:$AR$632=SPECIAL_LBL)*(INC_SPECIALS="Y"))))</f>
        <v/>
      </c>
      <c r="G68" s="132">
        <f>IF($C68="","",SUMPRODUCT(('Dvd Calendar'!$E$627:$AR$627&gt;=DATE(YEAR_Y-4,1,1))*('Dvd Calendar'!$E$627:$AR$627&lt;=DATE(YEAR_Y-4,12,31))*'Dvd Calendar'!$E$630:$AR$630*(('Dvd Calendar'!$E$632:$AR$632=TYPE1)*(TYPE1&lt;&gt;"")+('Dvd Calendar'!$E$632:$AR$632=TYPE2)*(TYPE2&lt;&gt;"")+('Dvd Calendar'!$E$632:$AR$632=TYPE3)*(TYPE3&lt;&gt;"")+('Dvd Calendar'!$E$632:$AR$632=TYPE4)*(TYPE4&lt;&gt;"")+('Dvd Calendar'!$E$632:$AR$632=SPECIAL_LBL)*(INC_SPECIALS="Y"))))</f>
        <v/>
      </c>
      <c r="H68" s="132">
        <f>IF($C68="","",SUMPRODUCT(('Dvd Calendar'!$E$627:$AR$627&gt;=DATE(YEAR_Y-3,1,1))*('Dvd Calendar'!$E$627:$AR$627&lt;=DATE(YEAR_Y-3,12,31))*'Dvd Calendar'!$E$630:$AR$630*(('Dvd Calendar'!$E$632:$AR$632=TYPE1)*(TYPE1&lt;&gt;"")+('Dvd Calendar'!$E$632:$AR$632=TYPE2)*(TYPE2&lt;&gt;"")+('Dvd Calendar'!$E$632:$AR$632=TYPE3)*(TYPE3&lt;&gt;"")+('Dvd Calendar'!$E$632:$AR$632=TYPE4)*(TYPE4&lt;&gt;"")+('Dvd Calendar'!$E$632:$AR$632=SPECIAL_LBL)*(INC_SPECIALS="Y"))))</f>
        <v/>
      </c>
      <c r="I68" s="132">
        <f>IF($C68="","",SUMPRODUCT(('Dvd Calendar'!$E$627:$AR$627&gt;=DATE(YEAR_Y-2,1,1))*('Dvd Calendar'!$E$627:$AR$627&lt;=DATE(YEAR_Y-2,12,31))*'Dvd Calendar'!$E$630:$AR$630*(('Dvd Calendar'!$E$632:$AR$632=TYPE1)*(TYPE1&lt;&gt;"")+('Dvd Calendar'!$E$632:$AR$632=TYPE2)*(TYPE2&lt;&gt;"")+('Dvd Calendar'!$E$632:$AR$632=TYPE3)*(TYPE3&lt;&gt;"")+('Dvd Calendar'!$E$632:$AR$632=TYPE4)*(TYPE4&lt;&gt;"")+('Dvd Calendar'!$E$632:$AR$632=SPECIAL_LBL)*(INC_SPECIALS="Y"))))</f>
        <v/>
      </c>
      <c r="J68" s="132">
        <f>IF($C68="","",SUMPRODUCT(('Dvd Calendar'!$E$627:$AR$627&gt;=DATE(YEAR_Y-1,1,1))*('Dvd Calendar'!$E$627:$AR$627&lt;=DATE(YEAR_Y-1,12,31))*'Dvd Calendar'!$E$630:$AR$630*(('Dvd Calendar'!$E$632:$AR$632=TYPE1)*(TYPE1&lt;&gt;"")+('Dvd Calendar'!$E$632:$AR$632=TYPE2)*(TYPE2&lt;&gt;"")+('Dvd Calendar'!$E$632:$AR$632=TYPE3)*(TYPE3&lt;&gt;"")+('Dvd Calendar'!$E$632:$AR$632=TYPE4)*(TYPE4&lt;&gt;"")+('Dvd Calendar'!$E$632:$AR$632=SPECIAL_LBL)*(INC_SPECIALS="Y"))))</f>
        <v/>
      </c>
      <c r="K68" s="133">
        <f>IF($C68="","",HSI!$J$63)</f>
        <v/>
      </c>
      <c r="L68" s="133">
        <f>IF($C68="","",HSI!$K$63)</f>
        <v/>
      </c>
      <c r="M68" s="124">
        <f>IF($C68="","",HSI!$J$63+HSI!$L$63)</f>
        <v/>
      </c>
      <c r="N68" s="134">
        <f>IF($C68="","",IF(PULL_FUND="N","",IFERROR(BDP($C68,BESTDPS_FIELD,FWD_OVERRIDE,TEXT(MOD(YEAR_Y,100),"00")&amp;"Y"),"")))</f>
        <v/>
      </c>
      <c r="O68" s="133">
        <f>IF($C68="","",AVERAGE(F68:J68))</f>
        <v/>
      </c>
      <c r="P68" s="135">
        <f>IF($C68="","",IF(PULL_FUND="N","",IF(COUNTIFS('Fund History'!$J$344:$J$348,"&gt;="&amp;DATE(YEAR_Y-5,1,1),'Fund History'!$J$344:$J$348,"&lt;="&amp;DATE(YEAR_Y-5,12,31))=0,"",IFERROR($F68*HSI!$G$63/SUMIFS('Fund History'!$K$344:$K$348,'Fund History'!$J$344:$J$348,"&gt;="&amp;DATE(YEAR_Y-5,1,1),'Fund History'!$J$344:$J$348,"&lt;="&amp;DATE(YEAR_Y-5,12,31)),""))))</f>
        <v/>
      </c>
      <c r="Q68" s="136">
        <f>IF($C68="","",IF(PULL_FUND="N","",IF(COUNTIFS('Fund History'!$J$344:$J$348,"&gt;="&amp;DATE(YEAR_Y-4,1,1),'Fund History'!$J$344:$J$348,"&lt;="&amp;DATE(YEAR_Y-4,12,31))=0,"",IFERROR($G68*HSI!$G$63/SUMIFS('Fund History'!$K$344:$K$348,'Fund History'!$J$344:$J$348,"&gt;="&amp;DATE(YEAR_Y-4,1,1),'Fund History'!$J$344:$J$348,"&lt;="&amp;DATE(YEAR_Y-4,12,31)),""))))</f>
        <v/>
      </c>
      <c r="R68" s="136">
        <f>IF($C68="","",IF(PULL_FUND="N","",IF(COUNTIFS('Fund History'!$J$344:$J$348,"&gt;="&amp;DATE(YEAR_Y-3,1,1),'Fund History'!$J$344:$J$348,"&lt;="&amp;DATE(YEAR_Y-3,12,31))=0,"",IFERROR($H68*HSI!$G$63/SUMIFS('Fund History'!$K$344:$K$348,'Fund History'!$J$344:$J$348,"&gt;="&amp;DATE(YEAR_Y-3,1,1),'Fund History'!$J$344:$J$348,"&lt;="&amp;DATE(YEAR_Y-3,12,31)),""))))</f>
        <v/>
      </c>
      <c r="S68" s="136">
        <f>IF($C68="","",IF(PULL_FUND="N","",IF(COUNTIFS('Fund History'!$J$344:$J$348,"&gt;="&amp;DATE(YEAR_Y-2,1,1),'Fund History'!$J$344:$J$348,"&lt;="&amp;DATE(YEAR_Y-2,12,31))=0,"",IFERROR($I68*HSI!$G$63/SUMIFS('Fund History'!$K$344:$K$348,'Fund History'!$J$344:$J$348,"&gt;="&amp;DATE(YEAR_Y-2,1,1),'Fund History'!$J$344:$J$348,"&lt;="&amp;DATE(YEAR_Y-2,12,31)),""))))</f>
        <v/>
      </c>
      <c r="T68" s="136">
        <f>IF($C68="","",IF(PULL_FUND="N","",IF(COUNTIFS('Fund History'!$J$344:$J$348,"&gt;="&amp;DATE(YEAR_Y-1,1,1),'Fund History'!$J$344:$J$348,"&lt;="&amp;DATE(YEAR_Y-1,12,31))=0,"",IFERROR($J68*HSI!$G$63/SUMIFS('Fund History'!$K$344:$K$348,'Fund History'!$J$344:$J$348,"&gt;="&amp;DATE(YEAR_Y-1,1,1),'Fund History'!$J$344:$J$348,"&lt;="&amp;DATE(YEAR_Y-1,12,31)),""))))</f>
        <v/>
      </c>
      <c r="U68" s="137">
        <f>IF($C68="","",IF(ISNUMBER(HSI!$I$63),HSI!$I$63/100,""))</f>
        <v/>
      </c>
      <c r="V68" s="138">
        <f>IF($C68="","",IF(ISNUMBER(HSI!$X$63),IFERROR($M68*HSI!$G$63/HSI!$X$63,""),""))</f>
        <v/>
      </c>
      <c r="W68" s="137">
        <f>IF($C68="","",IF(ISNUMBER($N68),IFERROR($N68*HSI!$G$63/HSI!$X$63,""),""))</f>
        <v/>
      </c>
      <c r="X68" s="139">
        <f>IF($C68="","",IF(PULL_FUND="N","",IFERROR(BDP($C68,EPS_FIELD,YR_OVERRIDE,TEXT(YEAR_Y-5,"0")),"")))</f>
        <v/>
      </c>
      <c r="Y68" s="140">
        <f>IF($C68="","",IF(PULL_FUND="N","",IFERROR(BDP($C68,EPS_FIELD,YR_OVERRIDE,TEXT(YEAR_Y-4,"0")),"")))</f>
        <v/>
      </c>
      <c r="Z68" s="140">
        <f>IF($C68="","",IF(PULL_FUND="N","",IFERROR(BDP($C68,EPS_FIELD,YR_OVERRIDE,TEXT(YEAR_Y-3,"0")),"")))</f>
        <v/>
      </c>
      <c r="AA68" s="140">
        <f>IF($C68="","",IF(PULL_FUND="N","",IFERROR(BDP($C68,EPS_FIELD,YR_OVERRIDE,TEXT(YEAR_Y-2,"0")),"")))</f>
        <v/>
      </c>
      <c r="AB68" s="140">
        <f>IF($C68="","",IF(PULL_FUND="N","",IFERROR(BDP($C68,EPS_FIELD,YR_OVERRIDE,TEXT(YEAR_Y-1,"0")),"")))</f>
        <v/>
      </c>
      <c r="AC68" s="126">
        <f>IF($C68="","",IFERROR(AVERAGE(X68:AB68),""))</f>
        <v/>
      </c>
      <c r="AD68" s="140">
        <f>IF($C68="","",IF(PULL_FUND="N","",IFERROR(BDP($C68,BESTEPS_FIELD,FWD_OVERRIDE,TEXT(MOD(YEAR_Y,100),"00")&amp;"Y"),"")))</f>
        <v/>
      </c>
      <c r="AE68" s="141">
        <f>IF($C68="","",IF(PULL_FUND="N","",IFERROR(BDP($C68,PAYOUT_FIELD,YR_OVERRIDE,TEXT(YEAR_Y-5,"0"))/100,"")))</f>
        <v/>
      </c>
      <c r="AF68" s="142">
        <f>IF($C68="","",IF(PULL_FUND="N","",IFERROR(BDP($C68,PAYOUT_FIELD,YR_OVERRIDE,TEXT(YEAR_Y-4,"0"))/100,"")))</f>
        <v/>
      </c>
      <c r="AG68" s="142">
        <f>IF($C68="","",IF(PULL_FUND="N","",IFERROR(BDP($C68,PAYOUT_FIELD,YR_OVERRIDE,TEXT(YEAR_Y-3,"0"))/100,"")))</f>
        <v/>
      </c>
      <c r="AH68" s="142">
        <f>IF($C68="","",IF(PULL_FUND="N","",IFERROR(BDP($C68,PAYOUT_FIELD,YR_OVERRIDE,TEXT(YEAR_Y-2,"0"))/100,"")))</f>
        <v/>
      </c>
      <c r="AI68" s="142">
        <f>IF($C68="","",IF(PULL_FUND="N","",IFERROR(BDP($C68,PAYOUT_FIELD,YR_OVERRIDE,TEXT(YEAR_Y-1,"0"))/100,"")))</f>
        <v/>
      </c>
      <c r="AJ68" s="143">
        <f>IF($C68="","",IFERROR(AVERAGE(AE68:AI68),""))</f>
        <v/>
      </c>
      <c r="AK68" s="144">
        <f>IF($C68="","",IF(ISNUMBER($AD68)*ISNUMBER($N68)*($AD68&lt;&gt;0)=0,"",$N68/$AD68))</f>
        <v/>
      </c>
      <c r="AL68" s="143">
        <f>IF($C68="","",IF(ISNUMBER($AD68)*($AD68&lt;&gt;0)=0,"",$M68/$AD68))</f>
        <v/>
      </c>
      <c r="AM68" s="37">
        <f>IF($C68="","",IF(ISNUMBER($AE68)*ISNUMBER($AI68)=0,"",IF($AI68&gt;$AE68+0.05,"rising",IF($AI68&lt;$AE68-0.05,"falling","stable"))))</f>
        <v/>
      </c>
      <c r="AN68" s="145">
        <f>IF($C68="","",IF(PULL_FUND="N","",IF(COUNTIFS('Fund History'!$G$344:$G$348,"&gt;="&amp;DATE(YEAR_Y-4,1,1),'Fund History'!$G$344:$G$348,"&lt;="&amp;DATE(YEAR_Y-4,12,31))=0,"",SUMIFS('Fund History'!$H$344:$H$348,'Fund History'!$G$344:$G$348,"&gt;="&amp;DATE(YEAR_Y-4,1,1),'Fund History'!$G$344:$G$348,"&lt;="&amp;DATE(YEAR_Y-4,12,31))/100)))</f>
        <v/>
      </c>
      <c r="AO68" s="146">
        <f>IF($C68="","",IF(PULL_FUND="N","",IF(COUNTIFS('Fund History'!$G$344:$G$348,"&gt;="&amp;DATE(YEAR_Y-3,1,1),'Fund History'!$G$344:$G$348,"&lt;="&amp;DATE(YEAR_Y-3,12,31))=0,"",SUMIFS('Fund History'!$H$344:$H$348,'Fund History'!$G$344:$G$348,"&gt;="&amp;DATE(YEAR_Y-3,1,1),'Fund History'!$G$344:$G$348,"&lt;="&amp;DATE(YEAR_Y-3,12,31))/100)))</f>
        <v/>
      </c>
      <c r="AP68" s="146">
        <f>IF($C68="","",IF(PULL_FUND="N","",IF(COUNTIFS('Fund History'!$G$344:$G$348,"&gt;="&amp;DATE(YEAR_Y-2,1,1),'Fund History'!$G$344:$G$348,"&lt;="&amp;DATE(YEAR_Y-2,12,31))=0,"",SUMIFS('Fund History'!$H$344:$H$348,'Fund History'!$G$344:$G$348,"&gt;="&amp;DATE(YEAR_Y-2,1,1),'Fund History'!$G$344:$G$348,"&lt;="&amp;DATE(YEAR_Y-2,12,31))/100)))</f>
        <v/>
      </c>
      <c r="AQ68" s="146">
        <f>IF($C68="","",IF(PULL_FUND="N","",IF(COUNTIFS('Fund History'!$G$344:$G$348,"&gt;="&amp;DATE(YEAR_Y-1,1,1),'Fund History'!$G$344:$G$348,"&lt;="&amp;DATE(YEAR_Y-1,12,31))=0,"",SUMIFS('Fund History'!$H$344:$H$348,'Fund History'!$G$344:$G$348,"&gt;="&amp;DATE(YEAR_Y-1,1,1),'Fund History'!$G$344:$G$348,"&lt;="&amp;DATE(YEAR_Y-1,12,31))/100)))</f>
        <v/>
      </c>
      <c r="AR68" s="147">
        <f>IF($C68="","",IF(N($AQ68)+N(HSI!$I$63)=0,"",N($AQ68)+N(HSI!$I$63)/100))</f>
        <v/>
      </c>
      <c r="AS68" s="139">
        <f>IF($C68="","",IF(PULL_FUND="N","",IF(COUNTIFS('Fund History'!$D$344:$D$348,"&gt;="&amp;DATE(YEAR_Y-2,1,1),'Fund History'!$D$344:$D$348,"&lt;="&amp;DATE(YEAR_Y-2,12,31))=0,"",SUMIFS('Fund History'!$E$344:$E$348,'Fund History'!$D$344:$D$348,"&gt;="&amp;DATE(YEAR_Y-2,1,1),'Fund History'!$D$344:$D$348,"&lt;="&amp;DATE(YEAR_Y-2,12,31)))))</f>
        <v/>
      </c>
      <c r="AT68" s="140">
        <f>IF($C68="","",IF(PULL_FUND="N","",IF(COUNTIFS('Fund History'!$D$344:$D$348,"&gt;="&amp;DATE(YEAR_Y-1,1,1),'Fund History'!$D$344:$D$348,"&lt;="&amp;DATE(YEAR_Y-1,12,31))=0,"",SUMIFS('Fund History'!$E$344:$E$348,'Fund History'!$D$344:$D$348,"&gt;="&amp;DATE(YEAR_Y-1,1,1),'Fund History'!$D$344:$D$348,"&lt;="&amp;DATE(YEAR_Y-1,12,31)))))</f>
        <v/>
      </c>
      <c r="AU68" s="140">
        <f>IF($C68="","",IF(PULL_FUND="N","",IFERROR(BDP($C68,NDEBITDA_FIELD),"")))</f>
        <v/>
      </c>
      <c r="AV68" s="148">
        <f>IF($C68="","",IF(PULL_FUND="N","",IFERROR(BDP($C68,EBINT_FIELD),"")))</f>
        <v/>
      </c>
      <c r="AW68" s="146">
        <f>IF($C68="","",IF(PULL_FUND="N","",IFERROR(BDP($C68,FCF_FIELD)/100,"")))</f>
        <v/>
      </c>
      <c r="AX68" s="126">
        <f>IF($C68="","",IF(N($U68)=0,"",IFERROR($AW68/$U68,"")))</f>
        <v/>
      </c>
      <c r="AY68" s="85">
        <f>IF($C68="","",TRIM(IF(ISNUMBER($AJ68)*(N($AJ68)&gt;$D$4)&gt;0,"payout high  ","")&amp;IF(ISNUMBER($AX68)*(N($AX68)&lt;$F$4)&gt;0,"FCF below dvd  ","")&amp;IF(ISNUMBER($AU68)*(N($AU68)&gt;$H$4)&gt;0,"leverage high","")))</f>
        <v/>
      </c>
      <c r="AZ68" s="86">
        <f>IF($C68="","",IF(HSI!$F$63="HKD","",HSI!$F$63))</f>
        <v/>
      </c>
    </row>
    <row r="69">
      <c r="B69" s="66" t="inlineStr">
        <is>
          <t>HSI</t>
        </is>
      </c>
      <c r="C69" s="8">
        <f>IF(HSI!$C$64="","",HSI!$C$64)</f>
        <v/>
      </c>
      <c r="D69" s="8">
        <f>IF($C69="","",HSI!$D$64)</f>
        <v/>
      </c>
      <c r="E69" s="8">
        <f>IF($C69="","",HSI!$E$64)</f>
        <v/>
      </c>
      <c r="F69" s="131">
        <f>IF($C69="","",SUMPRODUCT(('Dvd Calendar'!$E$638:$AR$638&gt;=DATE(YEAR_Y-5,1,1))*('Dvd Calendar'!$E$638:$AR$638&lt;=DATE(YEAR_Y-5,12,31))*'Dvd Calendar'!$E$641:$AR$641*(('Dvd Calendar'!$E$643:$AR$643=TYPE1)*(TYPE1&lt;&gt;"")+('Dvd Calendar'!$E$643:$AR$643=TYPE2)*(TYPE2&lt;&gt;"")+('Dvd Calendar'!$E$643:$AR$643=TYPE3)*(TYPE3&lt;&gt;"")+('Dvd Calendar'!$E$643:$AR$643=TYPE4)*(TYPE4&lt;&gt;"")+('Dvd Calendar'!$E$643:$AR$643=SPECIAL_LBL)*(INC_SPECIALS="Y"))))</f>
        <v/>
      </c>
      <c r="G69" s="132">
        <f>IF($C69="","",SUMPRODUCT(('Dvd Calendar'!$E$638:$AR$638&gt;=DATE(YEAR_Y-4,1,1))*('Dvd Calendar'!$E$638:$AR$638&lt;=DATE(YEAR_Y-4,12,31))*'Dvd Calendar'!$E$641:$AR$641*(('Dvd Calendar'!$E$643:$AR$643=TYPE1)*(TYPE1&lt;&gt;"")+('Dvd Calendar'!$E$643:$AR$643=TYPE2)*(TYPE2&lt;&gt;"")+('Dvd Calendar'!$E$643:$AR$643=TYPE3)*(TYPE3&lt;&gt;"")+('Dvd Calendar'!$E$643:$AR$643=TYPE4)*(TYPE4&lt;&gt;"")+('Dvd Calendar'!$E$643:$AR$643=SPECIAL_LBL)*(INC_SPECIALS="Y"))))</f>
        <v/>
      </c>
      <c r="H69" s="132">
        <f>IF($C69="","",SUMPRODUCT(('Dvd Calendar'!$E$638:$AR$638&gt;=DATE(YEAR_Y-3,1,1))*('Dvd Calendar'!$E$638:$AR$638&lt;=DATE(YEAR_Y-3,12,31))*'Dvd Calendar'!$E$641:$AR$641*(('Dvd Calendar'!$E$643:$AR$643=TYPE1)*(TYPE1&lt;&gt;"")+('Dvd Calendar'!$E$643:$AR$643=TYPE2)*(TYPE2&lt;&gt;"")+('Dvd Calendar'!$E$643:$AR$643=TYPE3)*(TYPE3&lt;&gt;"")+('Dvd Calendar'!$E$643:$AR$643=TYPE4)*(TYPE4&lt;&gt;"")+('Dvd Calendar'!$E$643:$AR$643=SPECIAL_LBL)*(INC_SPECIALS="Y"))))</f>
        <v/>
      </c>
      <c r="I69" s="132">
        <f>IF($C69="","",SUMPRODUCT(('Dvd Calendar'!$E$638:$AR$638&gt;=DATE(YEAR_Y-2,1,1))*('Dvd Calendar'!$E$638:$AR$638&lt;=DATE(YEAR_Y-2,12,31))*'Dvd Calendar'!$E$641:$AR$641*(('Dvd Calendar'!$E$643:$AR$643=TYPE1)*(TYPE1&lt;&gt;"")+('Dvd Calendar'!$E$643:$AR$643=TYPE2)*(TYPE2&lt;&gt;"")+('Dvd Calendar'!$E$643:$AR$643=TYPE3)*(TYPE3&lt;&gt;"")+('Dvd Calendar'!$E$643:$AR$643=TYPE4)*(TYPE4&lt;&gt;"")+('Dvd Calendar'!$E$643:$AR$643=SPECIAL_LBL)*(INC_SPECIALS="Y"))))</f>
        <v/>
      </c>
      <c r="J69" s="132">
        <f>IF($C69="","",SUMPRODUCT(('Dvd Calendar'!$E$638:$AR$638&gt;=DATE(YEAR_Y-1,1,1))*('Dvd Calendar'!$E$638:$AR$638&lt;=DATE(YEAR_Y-1,12,31))*'Dvd Calendar'!$E$641:$AR$641*(('Dvd Calendar'!$E$643:$AR$643=TYPE1)*(TYPE1&lt;&gt;"")+('Dvd Calendar'!$E$643:$AR$643=TYPE2)*(TYPE2&lt;&gt;"")+('Dvd Calendar'!$E$643:$AR$643=TYPE3)*(TYPE3&lt;&gt;"")+('Dvd Calendar'!$E$643:$AR$643=TYPE4)*(TYPE4&lt;&gt;"")+('Dvd Calendar'!$E$643:$AR$643=SPECIAL_LBL)*(INC_SPECIALS="Y"))))</f>
        <v/>
      </c>
      <c r="K69" s="133">
        <f>IF($C69="","",HSI!$J$64)</f>
        <v/>
      </c>
      <c r="L69" s="133">
        <f>IF($C69="","",HSI!$K$64)</f>
        <v/>
      </c>
      <c r="M69" s="124">
        <f>IF($C69="","",HSI!$J$64+HSI!$L$64)</f>
        <v/>
      </c>
      <c r="N69" s="134">
        <f>IF($C69="","",IF(PULL_FUND="N","",IFERROR(BDP($C69,BESTDPS_FIELD,FWD_OVERRIDE,TEXT(MOD(YEAR_Y,100),"00")&amp;"Y"),"")))</f>
        <v/>
      </c>
      <c r="O69" s="133">
        <f>IF($C69="","",AVERAGE(F69:J69))</f>
        <v/>
      </c>
      <c r="P69" s="135">
        <f>IF($C69="","",IF(PULL_FUND="N","",IF(COUNTIFS('Fund History'!$J$350:$J$354,"&gt;="&amp;DATE(YEAR_Y-5,1,1),'Fund History'!$J$350:$J$354,"&lt;="&amp;DATE(YEAR_Y-5,12,31))=0,"",IFERROR($F69*HSI!$G$64/SUMIFS('Fund History'!$K$350:$K$354,'Fund History'!$J$350:$J$354,"&gt;="&amp;DATE(YEAR_Y-5,1,1),'Fund History'!$J$350:$J$354,"&lt;="&amp;DATE(YEAR_Y-5,12,31)),""))))</f>
        <v/>
      </c>
      <c r="Q69" s="136">
        <f>IF($C69="","",IF(PULL_FUND="N","",IF(COUNTIFS('Fund History'!$J$350:$J$354,"&gt;="&amp;DATE(YEAR_Y-4,1,1),'Fund History'!$J$350:$J$354,"&lt;="&amp;DATE(YEAR_Y-4,12,31))=0,"",IFERROR($G69*HSI!$G$64/SUMIFS('Fund History'!$K$350:$K$354,'Fund History'!$J$350:$J$354,"&gt;="&amp;DATE(YEAR_Y-4,1,1),'Fund History'!$J$350:$J$354,"&lt;="&amp;DATE(YEAR_Y-4,12,31)),""))))</f>
        <v/>
      </c>
      <c r="R69" s="136">
        <f>IF($C69="","",IF(PULL_FUND="N","",IF(COUNTIFS('Fund History'!$J$350:$J$354,"&gt;="&amp;DATE(YEAR_Y-3,1,1),'Fund History'!$J$350:$J$354,"&lt;="&amp;DATE(YEAR_Y-3,12,31))=0,"",IFERROR($H69*HSI!$G$64/SUMIFS('Fund History'!$K$350:$K$354,'Fund History'!$J$350:$J$354,"&gt;="&amp;DATE(YEAR_Y-3,1,1),'Fund History'!$J$350:$J$354,"&lt;="&amp;DATE(YEAR_Y-3,12,31)),""))))</f>
        <v/>
      </c>
      <c r="S69" s="136">
        <f>IF($C69="","",IF(PULL_FUND="N","",IF(COUNTIFS('Fund History'!$J$350:$J$354,"&gt;="&amp;DATE(YEAR_Y-2,1,1),'Fund History'!$J$350:$J$354,"&lt;="&amp;DATE(YEAR_Y-2,12,31))=0,"",IFERROR($I69*HSI!$G$64/SUMIFS('Fund History'!$K$350:$K$354,'Fund History'!$J$350:$J$354,"&gt;="&amp;DATE(YEAR_Y-2,1,1),'Fund History'!$J$350:$J$354,"&lt;="&amp;DATE(YEAR_Y-2,12,31)),""))))</f>
        <v/>
      </c>
      <c r="T69" s="136">
        <f>IF($C69="","",IF(PULL_FUND="N","",IF(COUNTIFS('Fund History'!$J$350:$J$354,"&gt;="&amp;DATE(YEAR_Y-1,1,1),'Fund History'!$J$350:$J$354,"&lt;="&amp;DATE(YEAR_Y-1,12,31))=0,"",IFERROR($J69*HSI!$G$64/SUMIFS('Fund History'!$K$350:$K$354,'Fund History'!$J$350:$J$354,"&gt;="&amp;DATE(YEAR_Y-1,1,1),'Fund History'!$J$350:$J$354,"&lt;="&amp;DATE(YEAR_Y-1,12,31)),""))))</f>
        <v/>
      </c>
      <c r="U69" s="137">
        <f>IF($C69="","",IF(ISNUMBER(HSI!$I$64),HSI!$I$64/100,""))</f>
        <v/>
      </c>
      <c r="V69" s="138">
        <f>IF($C69="","",IF(ISNUMBER(HSI!$X$64),IFERROR($M69*HSI!$G$64/HSI!$X$64,""),""))</f>
        <v/>
      </c>
      <c r="W69" s="137">
        <f>IF($C69="","",IF(ISNUMBER($N69),IFERROR($N69*HSI!$G$64/HSI!$X$64,""),""))</f>
        <v/>
      </c>
      <c r="X69" s="139">
        <f>IF($C69="","",IF(PULL_FUND="N","",IFERROR(BDP($C69,EPS_FIELD,YR_OVERRIDE,TEXT(YEAR_Y-5,"0")),"")))</f>
        <v/>
      </c>
      <c r="Y69" s="140">
        <f>IF($C69="","",IF(PULL_FUND="N","",IFERROR(BDP($C69,EPS_FIELD,YR_OVERRIDE,TEXT(YEAR_Y-4,"0")),"")))</f>
        <v/>
      </c>
      <c r="Z69" s="140">
        <f>IF($C69="","",IF(PULL_FUND="N","",IFERROR(BDP($C69,EPS_FIELD,YR_OVERRIDE,TEXT(YEAR_Y-3,"0")),"")))</f>
        <v/>
      </c>
      <c r="AA69" s="140">
        <f>IF($C69="","",IF(PULL_FUND="N","",IFERROR(BDP($C69,EPS_FIELD,YR_OVERRIDE,TEXT(YEAR_Y-2,"0")),"")))</f>
        <v/>
      </c>
      <c r="AB69" s="140">
        <f>IF($C69="","",IF(PULL_FUND="N","",IFERROR(BDP($C69,EPS_FIELD,YR_OVERRIDE,TEXT(YEAR_Y-1,"0")),"")))</f>
        <v/>
      </c>
      <c r="AC69" s="126">
        <f>IF($C69="","",IFERROR(AVERAGE(X69:AB69),""))</f>
        <v/>
      </c>
      <c r="AD69" s="140">
        <f>IF($C69="","",IF(PULL_FUND="N","",IFERROR(BDP($C69,BESTEPS_FIELD,FWD_OVERRIDE,TEXT(MOD(YEAR_Y,100),"00")&amp;"Y"),"")))</f>
        <v/>
      </c>
      <c r="AE69" s="141">
        <f>IF($C69="","",IF(PULL_FUND="N","",IFERROR(BDP($C69,PAYOUT_FIELD,YR_OVERRIDE,TEXT(YEAR_Y-5,"0"))/100,"")))</f>
        <v/>
      </c>
      <c r="AF69" s="142">
        <f>IF($C69="","",IF(PULL_FUND="N","",IFERROR(BDP($C69,PAYOUT_FIELD,YR_OVERRIDE,TEXT(YEAR_Y-4,"0"))/100,"")))</f>
        <v/>
      </c>
      <c r="AG69" s="142">
        <f>IF($C69="","",IF(PULL_FUND="N","",IFERROR(BDP($C69,PAYOUT_FIELD,YR_OVERRIDE,TEXT(YEAR_Y-3,"0"))/100,"")))</f>
        <v/>
      </c>
      <c r="AH69" s="142">
        <f>IF($C69="","",IF(PULL_FUND="N","",IFERROR(BDP($C69,PAYOUT_FIELD,YR_OVERRIDE,TEXT(YEAR_Y-2,"0"))/100,"")))</f>
        <v/>
      </c>
      <c r="AI69" s="142">
        <f>IF($C69="","",IF(PULL_FUND="N","",IFERROR(BDP($C69,PAYOUT_FIELD,YR_OVERRIDE,TEXT(YEAR_Y-1,"0"))/100,"")))</f>
        <v/>
      </c>
      <c r="AJ69" s="143">
        <f>IF($C69="","",IFERROR(AVERAGE(AE69:AI69),""))</f>
        <v/>
      </c>
      <c r="AK69" s="144">
        <f>IF($C69="","",IF(ISNUMBER($AD69)*ISNUMBER($N69)*($AD69&lt;&gt;0)=0,"",$N69/$AD69))</f>
        <v/>
      </c>
      <c r="AL69" s="143">
        <f>IF($C69="","",IF(ISNUMBER($AD69)*($AD69&lt;&gt;0)=0,"",$M69/$AD69))</f>
        <v/>
      </c>
      <c r="AM69" s="37">
        <f>IF($C69="","",IF(ISNUMBER($AE69)*ISNUMBER($AI69)=0,"",IF($AI69&gt;$AE69+0.05,"rising",IF($AI69&lt;$AE69-0.05,"falling","stable"))))</f>
        <v/>
      </c>
      <c r="AN69" s="145">
        <f>IF($C69="","",IF(PULL_FUND="N","",IF(COUNTIFS('Fund History'!$G$350:$G$354,"&gt;="&amp;DATE(YEAR_Y-4,1,1),'Fund History'!$G$350:$G$354,"&lt;="&amp;DATE(YEAR_Y-4,12,31))=0,"",SUMIFS('Fund History'!$H$350:$H$354,'Fund History'!$G$350:$G$354,"&gt;="&amp;DATE(YEAR_Y-4,1,1),'Fund History'!$G$350:$G$354,"&lt;="&amp;DATE(YEAR_Y-4,12,31))/100)))</f>
        <v/>
      </c>
      <c r="AO69" s="146">
        <f>IF($C69="","",IF(PULL_FUND="N","",IF(COUNTIFS('Fund History'!$G$350:$G$354,"&gt;="&amp;DATE(YEAR_Y-3,1,1),'Fund History'!$G$350:$G$354,"&lt;="&amp;DATE(YEAR_Y-3,12,31))=0,"",SUMIFS('Fund History'!$H$350:$H$354,'Fund History'!$G$350:$G$354,"&gt;="&amp;DATE(YEAR_Y-3,1,1),'Fund History'!$G$350:$G$354,"&lt;="&amp;DATE(YEAR_Y-3,12,31))/100)))</f>
        <v/>
      </c>
      <c r="AP69" s="146">
        <f>IF($C69="","",IF(PULL_FUND="N","",IF(COUNTIFS('Fund History'!$G$350:$G$354,"&gt;="&amp;DATE(YEAR_Y-2,1,1),'Fund History'!$G$350:$G$354,"&lt;="&amp;DATE(YEAR_Y-2,12,31))=0,"",SUMIFS('Fund History'!$H$350:$H$354,'Fund History'!$G$350:$G$354,"&gt;="&amp;DATE(YEAR_Y-2,1,1),'Fund History'!$G$350:$G$354,"&lt;="&amp;DATE(YEAR_Y-2,12,31))/100)))</f>
        <v/>
      </c>
      <c r="AQ69" s="146">
        <f>IF($C69="","",IF(PULL_FUND="N","",IF(COUNTIFS('Fund History'!$G$350:$G$354,"&gt;="&amp;DATE(YEAR_Y-1,1,1),'Fund History'!$G$350:$G$354,"&lt;="&amp;DATE(YEAR_Y-1,12,31))=0,"",SUMIFS('Fund History'!$H$350:$H$354,'Fund History'!$G$350:$G$354,"&gt;="&amp;DATE(YEAR_Y-1,1,1),'Fund History'!$G$350:$G$354,"&lt;="&amp;DATE(YEAR_Y-1,12,31))/100)))</f>
        <v/>
      </c>
      <c r="AR69" s="147">
        <f>IF($C69="","",IF(N($AQ69)+N(HSI!$I$64)=0,"",N($AQ69)+N(HSI!$I$64)/100))</f>
        <v/>
      </c>
      <c r="AS69" s="139">
        <f>IF($C69="","",IF(PULL_FUND="N","",IF(COUNTIFS('Fund History'!$D$350:$D$354,"&gt;="&amp;DATE(YEAR_Y-2,1,1),'Fund History'!$D$350:$D$354,"&lt;="&amp;DATE(YEAR_Y-2,12,31))=0,"",SUMIFS('Fund History'!$E$350:$E$354,'Fund History'!$D$350:$D$354,"&gt;="&amp;DATE(YEAR_Y-2,1,1),'Fund History'!$D$350:$D$354,"&lt;="&amp;DATE(YEAR_Y-2,12,31)))))</f>
        <v/>
      </c>
      <c r="AT69" s="140">
        <f>IF($C69="","",IF(PULL_FUND="N","",IF(COUNTIFS('Fund History'!$D$350:$D$354,"&gt;="&amp;DATE(YEAR_Y-1,1,1),'Fund History'!$D$350:$D$354,"&lt;="&amp;DATE(YEAR_Y-1,12,31))=0,"",SUMIFS('Fund History'!$E$350:$E$354,'Fund History'!$D$350:$D$354,"&gt;="&amp;DATE(YEAR_Y-1,1,1),'Fund History'!$D$350:$D$354,"&lt;="&amp;DATE(YEAR_Y-1,12,31)))))</f>
        <v/>
      </c>
      <c r="AU69" s="140">
        <f>IF($C69="","",IF(PULL_FUND="N","",IFERROR(BDP($C69,NDEBITDA_FIELD),"")))</f>
        <v/>
      </c>
      <c r="AV69" s="148">
        <f>IF($C69="","",IF(PULL_FUND="N","",IFERROR(BDP($C69,EBINT_FIELD),"")))</f>
        <v/>
      </c>
      <c r="AW69" s="146">
        <f>IF($C69="","",IF(PULL_FUND="N","",IFERROR(BDP($C69,FCF_FIELD)/100,"")))</f>
        <v/>
      </c>
      <c r="AX69" s="126">
        <f>IF($C69="","",IF(N($U69)=0,"",IFERROR($AW69/$U69,"")))</f>
        <v/>
      </c>
      <c r="AY69" s="85">
        <f>IF($C69="","",TRIM(IF(ISNUMBER($AJ69)*(N($AJ69)&gt;$D$4)&gt;0,"payout high  ","")&amp;IF(ISNUMBER($AX69)*(N($AX69)&lt;$F$4)&gt;0,"FCF below dvd  ","")&amp;IF(ISNUMBER($AU69)*(N($AU69)&gt;$H$4)&gt;0,"leverage high","")))</f>
        <v/>
      </c>
      <c r="AZ69" s="86">
        <f>IF($C69="","",IF(HSI!$F$64="HKD","",HSI!$F$64))</f>
        <v/>
      </c>
    </row>
    <row r="70">
      <c r="B70" s="66" t="inlineStr">
        <is>
          <t>HSI</t>
        </is>
      </c>
      <c r="C70" s="8">
        <f>IF(HSI!$C$65="","",HSI!$C$65)</f>
        <v/>
      </c>
      <c r="D70" s="8">
        <f>IF($C70="","",HSI!$D$65)</f>
        <v/>
      </c>
      <c r="E70" s="8">
        <f>IF($C70="","",HSI!$E$65)</f>
        <v/>
      </c>
      <c r="F70" s="131">
        <f>IF($C70="","",SUMPRODUCT(('Dvd Calendar'!$E$649:$AR$649&gt;=DATE(YEAR_Y-5,1,1))*('Dvd Calendar'!$E$649:$AR$649&lt;=DATE(YEAR_Y-5,12,31))*'Dvd Calendar'!$E$652:$AR$652*(('Dvd Calendar'!$E$654:$AR$654=TYPE1)*(TYPE1&lt;&gt;"")+('Dvd Calendar'!$E$654:$AR$654=TYPE2)*(TYPE2&lt;&gt;"")+('Dvd Calendar'!$E$654:$AR$654=TYPE3)*(TYPE3&lt;&gt;"")+('Dvd Calendar'!$E$654:$AR$654=TYPE4)*(TYPE4&lt;&gt;"")+('Dvd Calendar'!$E$654:$AR$654=SPECIAL_LBL)*(INC_SPECIALS="Y"))))</f>
        <v/>
      </c>
      <c r="G70" s="132">
        <f>IF($C70="","",SUMPRODUCT(('Dvd Calendar'!$E$649:$AR$649&gt;=DATE(YEAR_Y-4,1,1))*('Dvd Calendar'!$E$649:$AR$649&lt;=DATE(YEAR_Y-4,12,31))*'Dvd Calendar'!$E$652:$AR$652*(('Dvd Calendar'!$E$654:$AR$654=TYPE1)*(TYPE1&lt;&gt;"")+('Dvd Calendar'!$E$654:$AR$654=TYPE2)*(TYPE2&lt;&gt;"")+('Dvd Calendar'!$E$654:$AR$654=TYPE3)*(TYPE3&lt;&gt;"")+('Dvd Calendar'!$E$654:$AR$654=TYPE4)*(TYPE4&lt;&gt;"")+('Dvd Calendar'!$E$654:$AR$654=SPECIAL_LBL)*(INC_SPECIALS="Y"))))</f>
        <v/>
      </c>
      <c r="H70" s="132">
        <f>IF($C70="","",SUMPRODUCT(('Dvd Calendar'!$E$649:$AR$649&gt;=DATE(YEAR_Y-3,1,1))*('Dvd Calendar'!$E$649:$AR$649&lt;=DATE(YEAR_Y-3,12,31))*'Dvd Calendar'!$E$652:$AR$652*(('Dvd Calendar'!$E$654:$AR$654=TYPE1)*(TYPE1&lt;&gt;"")+('Dvd Calendar'!$E$654:$AR$654=TYPE2)*(TYPE2&lt;&gt;"")+('Dvd Calendar'!$E$654:$AR$654=TYPE3)*(TYPE3&lt;&gt;"")+('Dvd Calendar'!$E$654:$AR$654=TYPE4)*(TYPE4&lt;&gt;"")+('Dvd Calendar'!$E$654:$AR$654=SPECIAL_LBL)*(INC_SPECIALS="Y"))))</f>
        <v/>
      </c>
      <c r="I70" s="132">
        <f>IF($C70="","",SUMPRODUCT(('Dvd Calendar'!$E$649:$AR$649&gt;=DATE(YEAR_Y-2,1,1))*('Dvd Calendar'!$E$649:$AR$649&lt;=DATE(YEAR_Y-2,12,31))*'Dvd Calendar'!$E$652:$AR$652*(('Dvd Calendar'!$E$654:$AR$654=TYPE1)*(TYPE1&lt;&gt;"")+('Dvd Calendar'!$E$654:$AR$654=TYPE2)*(TYPE2&lt;&gt;"")+('Dvd Calendar'!$E$654:$AR$654=TYPE3)*(TYPE3&lt;&gt;"")+('Dvd Calendar'!$E$654:$AR$654=TYPE4)*(TYPE4&lt;&gt;"")+('Dvd Calendar'!$E$654:$AR$654=SPECIAL_LBL)*(INC_SPECIALS="Y"))))</f>
        <v/>
      </c>
      <c r="J70" s="132">
        <f>IF($C70="","",SUMPRODUCT(('Dvd Calendar'!$E$649:$AR$649&gt;=DATE(YEAR_Y-1,1,1))*('Dvd Calendar'!$E$649:$AR$649&lt;=DATE(YEAR_Y-1,12,31))*'Dvd Calendar'!$E$652:$AR$652*(('Dvd Calendar'!$E$654:$AR$654=TYPE1)*(TYPE1&lt;&gt;"")+('Dvd Calendar'!$E$654:$AR$654=TYPE2)*(TYPE2&lt;&gt;"")+('Dvd Calendar'!$E$654:$AR$654=TYPE3)*(TYPE3&lt;&gt;"")+('Dvd Calendar'!$E$654:$AR$654=TYPE4)*(TYPE4&lt;&gt;"")+('Dvd Calendar'!$E$654:$AR$654=SPECIAL_LBL)*(INC_SPECIALS="Y"))))</f>
        <v/>
      </c>
      <c r="K70" s="133">
        <f>IF($C70="","",HSI!$J$65)</f>
        <v/>
      </c>
      <c r="L70" s="133">
        <f>IF($C70="","",HSI!$K$65)</f>
        <v/>
      </c>
      <c r="M70" s="124">
        <f>IF($C70="","",HSI!$J$65+HSI!$L$65)</f>
        <v/>
      </c>
      <c r="N70" s="134">
        <f>IF($C70="","",IF(PULL_FUND="N","",IFERROR(BDP($C70,BESTDPS_FIELD,FWD_OVERRIDE,TEXT(MOD(YEAR_Y,100),"00")&amp;"Y"),"")))</f>
        <v/>
      </c>
      <c r="O70" s="133">
        <f>IF($C70="","",AVERAGE(F70:J70))</f>
        <v/>
      </c>
      <c r="P70" s="135">
        <f>IF($C70="","",IF(PULL_FUND="N","",IF(COUNTIFS('Fund History'!$J$356:$J$360,"&gt;="&amp;DATE(YEAR_Y-5,1,1),'Fund History'!$J$356:$J$360,"&lt;="&amp;DATE(YEAR_Y-5,12,31))=0,"",IFERROR($F70*HSI!$G$65/SUMIFS('Fund History'!$K$356:$K$360,'Fund History'!$J$356:$J$360,"&gt;="&amp;DATE(YEAR_Y-5,1,1),'Fund History'!$J$356:$J$360,"&lt;="&amp;DATE(YEAR_Y-5,12,31)),""))))</f>
        <v/>
      </c>
      <c r="Q70" s="136">
        <f>IF($C70="","",IF(PULL_FUND="N","",IF(COUNTIFS('Fund History'!$J$356:$J$360,"&gt;="&amp;DATE(YEAR_Y-4,1,1),'Fund History'!$J$356:$J$360,"&lt;="&amp;DATE(YEAR_Y-4,12,31))=0,"",IFERROR($G70*HSI!$G$65/SUMIFS('Fund History'!$K$356:$K$360,'Fund History'!$J$356:$J$360,"&gt;="&amp;DATE(YEAR_Y-4,1,1),'Fund History'!$J$356:$J$360,"&lt;="&amp;DATE(YEAR_Y-4,12,31)),""))))</f>
        <v/>
      </c>
      <c r="R70" s="136">
        <f>IF($C70="","",IF(PULL_FUND="N","",IF(COUNTIFS('Fund History'!$J$356:$J$360,"&gt;="&amp;DATE(YEAR_Y-3,1,1),'Fund History'!$J$356:$J$360,"&lt;="&amp;DATE(YEAR_Y-3,12,31))=0,"",IFERROR($H70*HSI!$G$65/SUMIFS('Fund History'!$K$356:$K$360,'Fund History'!$J$356:$J$360,"&gt;="&amp;DATE(YEAR_Y-3,1,1),'Fund History'!$J$356:$J$360,"&lt;="&amp;DATE(YEAR_Y-3,12,31)),""))))</f>
        <v/>
      </c>
      <c r="S70" s="136">
        <f>IF($C70="","",IF(PULL_FUND="N","",IF(COUNTIFS('Fund History'!$J$356:$J$360,"&gt;="&amp;DATE(YEAR_Y-2,1,1),'Fund History'!$J$356:$J$360,"&lt;="&amp;DATE(YEAR_Y-2,12,31))=0,"",IFERROR($I70*HSI!$G$65/SUMIFS('Fund History'!$K$356:$K$360,'Fund History'!$J$356:$J$360,"&gt;="&amp;DATE(YEAR_Y-2,1,1),'Fund History'!$J$356:$J$360,"&lt;="&amp;DATE(YEAR_Y-2,12,31)),""))))</f>
        <v/>
      </c>
      <c r="T70" s="136">
        <f>IF($C70="","",IF(PULL_FUND="N","",IF(COUNTIFS('Fund History'!$J$356:$J$360,"&gt;="&amp;DATE(YEAR_Y-1,1,1),'Fund History'!$J$356:$J$360,"&lt;="&amp;DATE(YEAR_Y-1,12,31))=0,"",IFERROR($J70*HSI!$G$65/SUMIFS('Fund History'!$K$356:$K$360,'Fund History'!$J$356:$J$360,"&gt;="&amp;DATE(YEAR_Y-1,1,1),'Fund History'!$J$356:$J$360,"&lt;="&amp;DATE(YEAR_Y-1,12,31)),""))))</f>
        <v/>
      </c>
      <c r="U70" s="137">
        <f>IF($C70="","",IF(ISNUMBER(HSI!$I$65),HSI!$I$65/100,""))</f>
        <v/>
      </c>
      <c r="V70" s="138">
        <f>IF($C70="","",IF(ISNUMBER(HSI!$X$65),IFERROR($M70*HSI!$G$65/HSI!$X$65,""),""))</f>
        <v/>
      </c>
      <c r="W70" s="137">
        <f>IF($C70="","",IF(ISNUMBER($N70),IFERROR($N70*HSI!$G$65/HSI!$X$65,""),""))</f>
        <v/>
      </c>
      <c r="X70" s="139">
        <f>IF($C70="","",IF(PULL_FUND="N","",IFERROR(BDP($C70,EPS_FIELD,YR_OVERRIDE,TEXT(YEAR_Y-5,"0")),"")))</f>
        <v/>
      </c>
      <c r="Y70" s="140">
        <f>IF($C70="","",IF(PULL_FUND="N","",IFERROR(BDP($C70,EPS_FIELD,YR_OVERRIDE,TEXT(YEAR_Y-4,"0")),"")))</f>
        <v/>
      </c>
      <c r="Z70" s="140">
        <f>IF($C70="","",IF(PULL_FUND="N","",IFERROR(BDP($C70,EPS_FIELD,YR_OVERRIDE,TEXT(YEAR_Y-3,"0")),"")))</f>
        <v/>
      </c>
      <c r="AA70" s="140">
        <f>IF($C70="","",IF(PULL_FUND="N","",IFERROR(BDP($C70,EPS_FIELD,YR_OVERRIDE,TEXT(YEAR_Y-2,"0")),"")))</f>
        <v/>
      </c>
      <c r="AB70" s="140">
        <f>IF($C70="","",IF(PULL_FUND="N","",IFERROR(BDP($C70,EPS_FIELD,YR_OVERRIDE,TEXT(YEAR_Y-1,"0")),"")))</f>
        <v/>
      </c>
      <c r="AC70" s="126">
        <f>IF($C70="","",IFERROR(AVERAGE(X70:AB70),""))</f>
        <v/>
      </c>
      <c r="AD70" s="140">
        <f>IF($C70="","",IF(PULL_FUND="N","",IFERROR(BDP($C70,BESTEPS_FIELD,FWD_OVERRIDE,TEXT(MOD(YEAR_Y,100),"00")&amp;"Y"),"")))</f>
        <v/>
      </c>
      <c r="AE70" s="141">
        <f>IF($C70="","",IF(PULL_FUND="N","",IFERROR(BDP($C70,PAYOUT_FIELD,YR_OVERRIDE,TEXT(YEAR_Y-5,"0"))/100,"")))</f>
        <v/>
      </c>
      <c r="AF70" s="142">
        <f>IF($C70="","",IF(PULL_FUND="N","",IFERROR(BDP($C70,PAYOUT_FIELD,YR_OVERRIDE,TEXT(YEAR_Y-4,"0"))/100,"")))</f>
        <v/>
      </c>
      <c r="AG70" s="142">
        <f>IF($C70="","",IF(PULL_FUND="N","",IFERROR(BDP($C70,PAYOUT_FIELD,YR_OVERRIDE,TEXT(YEAR_Y-3,"0"))/100,"")))</f>
        <v/>
      </c>
      <c r="AH70" s="142">
        <f>IF($C70="","",IF(PULL_FUND="N","",IFERROR(BDP($C70,PAYOUT_FIELD,YR_OVERRIDE,TEXT(YEAR_Y-2,"0"))/100,"")))</f>
        <v/>
      </c>
      <c r="AI70" s="142">
        <f>IF($C70="","",IF(PULL_FUND="N","",IFERROR(BDP($C70,PAYOUT_FIELD,YR_OVERRIDE,TEXT(YEAR_Y-1,"0"))/100,"")))</f>
        <v/>
      </c>
      <c r="AJ70" s="143">
        <f>IF($C70="","",IFERROR(AVERAGE(AE70:AI70),""))</f>
        <v/>
      </c>
      <c r="AK70" s="144">
        <f>IF($C70="","",IF(ISNUMBER($AD70)*ISNUMBER($N70)*($AD70&lt;&gt;0)=0,"",$N70/$AD70))</f>
        <v/>
      </c>
      <c r="AL70" s="143">
        <f>IF($C70="","",IF(ISNUMBER($AD70)*($AD70&lt;&gt;0)=0,"",$M70/$AD70))</f>
        <v/>
      </c>
      <c r="AM70" s="37">
        <f>IF($C70="","",IF(ISNUMBER($AE70)*ISNUMBER($AI70)=0,"",IF($AI70&gt;$AE70+0.05,"rising",IF($AI70&lt;$AE70-0.05,"falling","stable"))))</f>
        <v/>
      </c>
      <c r="AN70" s="145">
        <f>IF($C70="","",IF(PULL_FUND="N","",IF(COUNTIFS('Fund History'!$G$356:$G$360,"&gt;="&amp;DATE(YEAR_Y-4,1,1),'Fund History'!$G$356:$G$360,"&lt;="&amp;DATE(YEAR_Y-4,12,31))=0,"",SUMIFS('Fund History'!$H$356:$H$360,'Fund History'!$G$356:$G$360,"&gt;="&amp;DATE(YEAR_Y-4,1,1),'Fund History'!$G$356:$G$360,"&lt;="&amp;DATE(YEAR_Y-4,12,31))/100)))</f>
        <v/>
      </c>
      <c r="AO70" s="146">
        <f>IF($C70="","",IF(PULL_FUND="N","",IF(COUNTIFS('Fund History'!$G$356:$G$360,"&gt;="&amp;DATE(YEAR_Y-3,1,1),'Fund History'!$G$356:$G$360,"&lt;="&amp;DATE(YEAR_Y-3,12,31))=0,"",SUMIFS('Fund History'!$H$356:$H$360,'Fund History'!$G$356:$G$360,"&gt;="&amp;DATE(YEAR_Y-3,1,1),'Fund History'!$G$356:$G$360,"&lt;="&amp;DATE(YEAR_Y-3,12,31))/100)))</f>
        <v/>
      </c>
      <c r="AP70" s="146">
        <f>IF($C70="","",IF(PULL_FUND="N","",IF(COUNTIFS('Fund History'!$G$356:$G$360,"&gt;="&amp;DATE(YEAR_Y-2,1,1),'Fund History'!$G$356:$G$360,"&lt;="&amp;DATE(YEAR_Y-2,12,31))=0,"",SUMIFS('Fund History'!$H$356:$H$360,'Fund History'!$G$356:$G$360,"&gt;="&amp;DATE(YEAR_Y-2,1,1),'Fund History'!$G$356:$G$360,"&lt;="&amp;DATE(YEAR_Y-2,12,31))/100)))</f>
        <v/>
      </c>
      <c r="AQ70" s="146">
        <f>IF($C70="","",IF(PULL_FUND="N","",IF(COUNTIFS('Fund History'!$G$356:$G$360,"&gt;="&amp;DATE(YEAR_Y-1,1,1),'Fund History'!$G$356:$G$360,"&lt;="&amp;DATE(YEAR_Y-1,12,31))=0,"",SUMIFS('Fund History'!$H$356:$H$360,'Fund History'!$G$356:$G$360,"&gt;="&amp;DATE(YEAR_Y-1,1,1),'Fund History'!$G$356:$G$360,"&lt;="&amp;DATE(YEAR_Y-1,12,31))/100)))</f>
        <v/>
      </c>
      <c r="AR70" s="147">
        <f>IF($C70="","",IF(N($AQ70)+N(HSI!$I$65)=0,"",N($AQ70)+N(HSI!$I$65)/100))</f>
        <v/>
      </c>
      <c r="AS70" s="139">
        <f>IF($C70="","",IF(PULL_FUND="N","",IF(COUNTIFS('Fund History'!$D$356:$D$360,"&gt;="&amp;DATE(YEAR_Y-2,1,1),'Fund History'!$D$356:$D$360,"&lt;="&amp;DATE(YEAR_Y-2,12,31))=0,"",SUMIFS('Fund History'!$E$356:$E$360,'Fund History'!$D$356:$D$360,"&gt;="&amp;DATE(YEAR_Y-2,1,1),'Fund History'!$D$356:$D$360,"&lt;="&amp;DATE(YEAR_Y-2,12,31)))))</f>
        <v/>
      </c>
      <c r="AT70" s="140">
        <f>IF($C70="","",IF(PULL_FUND="N","",IF(COUNTIFS('Fund History'!$D$356:$D$360,"&gt;="&amp;DATE(YEAR_Y-1,1,1),'Fund History'!$D$356:$D$360,"&lt;="&amp;DATE(YEAR_Y-1,12,31))=0,"",SUMIFS('Fund History'!$E$356:$E$360,'Fund History'!$D$356:$D$360,"&gt;="&amp;DATE(YEAR_Y-1,1,1),'Fund History'!$D$356:$D$360,"&lt;="&amp;DATE(YEAR_Y-1,12,31)))))</f>
        <v/>
      </c>
      <c r="AU70" s="140">
        <f>IF($C70="","",IF(PULL_FUND="N","",IFERROR(BDP($C70,NDEBITDA_FIELD),"")))</f>
        <v/>
      </c>
      <c r="AV70" s="148">
        <f>IF($C70="","",IF(PULL_FUND="N","",IFERROR(BDP($C70,EBINT_FIELD),"")))</f>
        <v/>
      </c>
      <c r="AW70" s="146">
        <f>IF($C70="","",IF(PULL_FUND="N","",IFERROR(BDP($C70,FCF_FIELD)/100,"")))</f>
        <v/>
      </c>
      <c r="AX70" s="126">
        <f>IF($C70="","",IF(N($U70)=0,"",IFERROR($AW70/$U70,"")))</f>
        <v/>
      </c>
      <c r="AY70" s="85">
        <f>IF($C70="","",TRIM(IF(ISNUMBER($AJ70)*(N($AJ70)&gt;$D$4)&gt;0,"payout high  ","")&amp;IF(ISNUMBER($AX70)*(N($AX70)&lt;$F$4)&gt;0,"FCF below dvd  ","")&amp;IF(ISNUMBER($AU70)*(N($AU70)&gt;$H$4)&gt;0,"leverage high","")))</f>
        <v/>
      </c>
      <c r="AZ70" s="86">
        <f>IF($C70="","",IF(HSI!$F$65="HKD","",HSI!$F$65))</f>
        <v/>
      </c>
    </row>
    <row r="71">
      <c r="B71" s="66" t="inlineStr">
        <is>
          <t>HSI</t>
        </is>
      </c>
      <c r="C71" s="8">
        <f>IF(HSI!$C$66="","",HSI!$C$66)</f>
        <v/>
      </c>
      <c r="D71" s="8">
        <f>IF($C71="","",HSI!$D$66)</f>
        <v/>
      </c>
      <c r="E71" s="8">
        <f>IF($C71="","",HSI!$E$66)</f>
        <v/>
      </c>
      <c r="F71" s="131">
        <f>IF($C71="","",SUMPRODUCT(('Dvd Calendar'!$E$660:$AR$660&gt;=DATE(YEAR_Y-5,1,1))*('Dvd Calendar'!$E$660:$AR$660&lt;=DATE(YEAR_Y-5,12,31))*'Dvd Calendar'!$E$663:$AR$663*(('Dvd Calendar'!$E$665:$AR$665=TYPE1)*(TYPE1&lt;&gt;"")+('Dvd Calendar'!$E$665:$AR$665=TYPE2)*(TYPE2&lt;&gt;"")+('Dvd Calendar'!$E$665:$AR$665=TYPE3)*(TYPE3&lt;&gt;"")+('Dvd Calendar'!$E$665:$AR$665=TYPE4)*(TYPE4&lt;&gt;"")+('Dvd Calendar'!$E$665:$AR$665=SPECIAL_LBL)*(INC_SPECIALS="Y"))))</f>
        <v/>
      </c>
      <c r="G71" s="132">
        <f>IF($C71="","",SUMPRODUCT(('Dvd Calendar'!$E$660:$AR$660&gt;=DATE(YEAR_Y-4,1,1))*('Dvd Calendar'!$E$660:$AR$660&lt;=DATE(YEAR_Y-4,12,31))*'Dvd Calendar'!$E$663:$AR$663*(('Dvd Calendar'!$E$665:$AR$665=TYPE1)*(TYPE1&lt;&gt;"")+('Dvd Calendar'!$E$665:$AR$665=TYPE2)*(TYPE2&lt;&gt;"")+('Dvd Calendar'!$E$665:$AR$665=TYPE3)*(TYPE3&lt;&gt;"")+('Dvd Calendar'!$E$665:$AR$665=TYPE4)*(TYPE4&lt;&gt;"")+('Dvd Calendar'!$E$665:$AR$665=SPECIAL_LBL)*(INC_SPECIALS="Y"))))</f>
        <v/>
      </c>
      <c r="H71" s="132">
        <f>IF($C71="","",SUMPRODUCT(('Dvd Calendar'!$E$660:$AR$660&gt;=DATE(YEAR_Y-3,1,1))*('Dvd Calendar'!$E$660:$AR$660&lt;=DATE(YEAR_Y-3,12,31))*'Dvd Calendar'!$E$663:$AR$663*(('Dvd Calendar'!$E$665:$AR$665=TYPE1)*(TYPE1&lt;&gt;"")+('Dvd Calendar'!$E$665:$AR$665=TYPE2)*(TYPE2&lt;&gt;"")+('Dvd Calendar'!$E$665:$AR$665=TYPE3)*(TYPE3&lt;&gt;"")+('Dvd Calendar'!$E$665:$AR$665=TYPE4)*(TYPE4&lt;&gt;"")+('Dvd Calendar'!$E$665:$AR$665=SPECIAL_LBL)*(INC_SPECIALS="Y"))))</f>
        <v/>
      </c>
      <c r="I71" s="132">
        <f>IF($C71="","",SUMPRODUCT(('Dvd Calendar'!$E$660:$AR$660&gt;=DATE(YEAR_Y-2,1,1))*('Dvd Calendar'!$E$660:$AR$660&lt;=DATE(YEAR_Y-2,12,31))*'Dvd Calendar'!$E$663:$AR$663*(('Dvd Calendar'!$E$665:$AR$665=TYPE1)*(TYPE1&lt;&gt;"")+('Dvd Calendar'!$E$665:$AR$665=TYPE2)*(TYPE2&lt;&gt;"")+('Dvd Calendar'!$E$665:$AR$665=TYPE3)*(TYPE3&lt;&gt;"")+('Dvd Calendar'!$E$665:$AR$665=TYPE4)*(TYPE4&lt;&gt;"")+('Dvd Calendar'!$E$665:$AR$665=SPECIAL_LBL)*(INC_SPECIALS="Y"))))</f>
        <v/>
      </c>
      <c r="J71" s="132">
        <f>IF($C71="","",SUMPRODUCT(('Dvd Calendar'!$E$660:$AR$660&gt;=DATE(YEAR_Y-1,1,1))*('Dvd Calendar'!$E$660:$AR$660&lt;=DATE(YEAR_Y-1,12,31))*'Dvd Calendar'!$E$663:$AR$663*(('Dvd Calendar'!$E$665:$AR$665=TYPE1)*(TYPE1&lt;&gt;"")+('Dvd Calendar'!$E$665:$AR$665=TYPE2)*(TYPE2&lt;&gt;"")+('Dvd Calendar'!$E$665:$AR$665=TYPE3)*(TYPE3&lt;&gt;"")+('Dvd Calendar'!$E$665:$AR$665=TYPE4)*(TYPE4&lt;&gt;"")+('Dvd Calendar'!$E$665:$AR$665=SPECIAL_LBL)*(INC_SPECIALS="Y"))))</f>
        <v/>
      </c>
      <c r="K71" s="133">
        <f>IF($C71="","",HSI!$J$66)</f>
        <v/>
      </c>
      <c r="L71" s="133">
        <f>IF($C71="","",HSI!$K$66)</f>
        <v/>
      </c>
      <c r="M71" s="124">
        <f>IF($C71="","",HSI!$J$66+HSI!$L$66)</f>
        <v/>
      </c>
      <c r="N71" s="134">
        <f>IF($C71="","",IF(PULL_FUND="N","",IFERROR(BDP($C71,BESTDPS_FIELD,FWD_OVERRIDE,TEXT(MOD(YEAR_Y,100),"00")&amp;"Y"),"")))</f>
        <v/>
      </c>
      <c r="O71" s="133">
        <f>IF($C71="","",AVERAGE(F71:J71))</f>
        <v/>
      </c>
      <c r="P71" s="135">
        <f>IF($C71="","",IF(PULL_FUND="N","",IF(COUNTIFS('Fund History'!$J$362:$J$366,"&gt;="&amp;DATE(YEAR_Y-5,1,1),'Fund History'!$J$362:$J$366,"&lt;="&amp;DATE(YEAR_Y-5,12,31))=0,"",IFERROR($F71*HSI!$G$66/SUMIFS('Fund History'!$K$362:$K$366,'Fund History'!$J$362:$J$366,"&gt;="&amp;DATE(YEAR_Y-5,1,1),'Fund History'!$J$362:$J$366,"&lt;="&amp;DATE(YEAR_Y-5,12,31)),""))))</f>
        <v/>
      </c>
      <c r="Q71" s="136">
        <f>IF($C71="","",IF(PULL_FUND="N","",IF(COUNTIFS('Fund History'!$J$362:$J$366,"&gt;="&amp;DATE(YEAR_Y-4,1,1),'Fund History'!$J$362:$J$366,"&lt;="&amp;DATE(YEAR_Y-4,12,31))=0,"",IFERROR($G71*HSI!$G$66/SUMIFS('Fund History'!$K$362:$K$366,'Fund History'!$J$362:$J$366,"&gt;="&amp;DATE(YEAR_Y-4,1,1),'Fund History'!$J$362:$J$366,"&lt;="&amp;DATE(YEAR_Y-4,12,31)),""))))</f>
        <v/>
      </c>
      <c r="R71" s="136">
        <f>IF($C71="","",IF(PULL_FUND="N","",IF(COUNTIFS('Fund History'!$J$362:$J$366,"&gt;="&amp;DATE(YEAR_Y-3,1,1),'Fund History'!$J$362:$J$366,"&lt;="&amp;DATE(YEAR_Y-3,12,31))=0,"",IFERROR($H71*HSI!$G$66/SUMIFS('Fund History'!$K$362:$K$366,'Fund History'!$J$362:$J$366,"&gt;="&amp;DATE(YEAR_Y-3,1,1),'Fund History'!$J$362:$J$366,"&lt;="&amp;DATE(YEAR_Y-3,12,31)),""))))</f>
        <v/>
      </c>
      <c r="S71" s="136">
        <f>IF($C71="","",IF(PULL_FUND="N","",IF(COUNTIFS('Fund History'!$J$362:$J$366,"&gt;="&amp;DATE(YEAR_Y-2,1,1),'Fund History'!$J$362:$J$366,"&lt;="&amp;DATE(YEAR_Y-2,12,31))=0,"",IFERROR($I71*HSI!$G$66/SUMIFS('Fund History'!$K$362:$K$366,'Fund History'!$J$362:$J$366,"&gt;="&amp;DATE(YEAR_Y-2,1,1),'Fund History'!$J$362:$J$366,"&lt;="&amp;DATE(YEAR_Y-2,12,31)),""))))</f>
        <v/>
      </c>
      <c r="T71" s="136">
        <f>IF($C71="","",IF(PULL_FUND="N","",IF(COUNTIFS('Fund History'!$J$362:$J$366,"&gt;="&amp;DATE(YEAR_Y-1,1,1),'Fund History'!$J$362:$J$366,"&lt;="&amp;DATE(YEAR_Y-1,12,31))=0,"",IFERROR($J71*HSI!$G$66/SUMIFS('Fund History'!$K$362:$K$366,'Fund History'!$J$362:$J$366,"&gt;="&amp;DATE(YEAR_Y-1,1,1),'Fund History'!$J$362:$J$366,"&lt;="&amp;DATE(YEAR_Y-1,12,31)),""))))</f>
        <v/>
      </c>
      <c r="U71" s="137">
        <f>IF($C71="","",IF(ISNUMBER(HSI!$I$66),HSI!$I$66/100,""))</f>
        <v/>
      </c>
      <c r="V71" s="138">
        <f>IF($C71="","",IF(ISNUMBER(HSI!$X$66),IFERROR($M71*HSI!$G$66/HSI!$X$66,""),""))</f>
        <v/>
      </c>
      <c r="W71" s="137">
        <f>IF($C71="","",IF(ISNUMBER($N71),IFERROR($N71*HSI!$G$66/HSI!$X$66,""),""))</f>
        <v/>
      </c>
      <c r="X71" s="139">
        <f>IF($C71="","",IF(PULL_FUND="N","",IFERROR(BDP($C71,EPS_FIELD,YR_OVERRIDE,TEXT(YEAR_Y-5,"0")),"")))</f>
        <v/>
      </c>
      <c r="Y71" s="140">
        <f>IF($C71="","",IF(PULL_FUND="N","",IFERROR(BDP($C71,EPS_FIELD,YR_OVERRIDE,TEXT(YEAR_Y-4,"0")),"")))</f>
        <v/>
      </c>
      <c r="Z71" s="140">
        <f>IF($C71="","",IF(PULL_FUND="N","",IFERROR(BDP($C71,EPS_FIELD,YR_OVERRIDE,TEXT(YEAR_Y-3,"0")),"")))</f>
        <v/>
      </c>
      <c r="AA71" s="140">
        <f>IF($C71="","",IF(PULL_FUND="N","",IFERROR(BDP($C71,EPS_FIELD,YR_OVERRIDE,TEXT(YEAR_Y-2,"0")),"")))</f>
        <v/>
      </c>
      <c r="AB71" s="140">
        <f>IF($C71="","",IF(PULL_FUND="N","",IFERROR(BDP($C71,EPS_FIELD,YR_OVERRIDE,TEXT(YEAR_Y-1,"0")),"")))</f>
        <v/>
      </c>
      <c r="AC71" s="126">
        <f>IF($C71="","",IFERROR(AVERAGE(X71:AB71),""))</f>
        <v/>
      </c>
      <c r="AD71" s="140">
        <f>IF($C71="","",IF(PULL_FUND="N","",IFERROR(BDP($C71,BESTEPS_FIELD,FWD_OVERRIDE,TEXT(MOD(YEAR_Y,100),"00")&amp;"Y"),"")))</f>
        <v/>
      </c>
      <c r="AE71" s="141">
        <f>IF($C71="","",IF(PULL_FUND="N","",IFERROR(BDP($C71,PAYOUT_FIELD,YR_OVERRIDE,TEXT(YEAR_Y-5,"0"))/100,"")))</f>
        <v/>
      </c>
      <c r="AF71" s="142">
        <f>IF($C71="","",IF(PULL_FUND="N","",IFERROR(BDP($C71,PAYOUT_FIELD,YR_OVERRIDE,TEXT(YEAR_Y-4,"0"))/100,"")))</f>
        <v/>
      </c>
      <c r="AG71" s="142">
        <f>IF($C71="","",IF(PULL_FUND="N","",IFERROR(BDP($C71,PAYOUT_FIELD,YR_OVERRIDE,TEXT(YEAR_Y-3,"0"))/100,"")))</f>
        <v/>
      </c>
      <c r="AH71" s="142">
        <f>IF($C71="","",IF(PULL_FUND="N","",IFERROR(BDP($C71,PAYOUT_FIELD,YR_OVERRIDE,TEXT(YEAR_Y-2,"0"))/100,"")))</f>
        <v/>
      </c>
      <c r="AI71" s="142">
        <f>IF($C71="","",IF(PULL_FUND="N","",IFERROR(BDP($C71,PAYOUT_FIELD,YR_OVERRIDE,TEXT(YEAR_Y-1,"0"))/100,"")))</f>
        <v/>
      </c>
      <c r="AJ71" s="143">
        <f>IF($C71="","",IFERROR(AVERAGE(AE71:AI71),""))</f>
        <v/>
      </c>
      <c r="AK71" s="144">
        <f>IF($C71="","",IF(ISNUMBER($AD71)*ISNUMBER($N71)*($AD71&lt;&gt;0)=0,"",$N71/$AD71))</f>
        <v/>
      </c>
      <c r="AL71" s="143">
        <f>IF($C71="","",IF(ISNUMBER($AD71)*($AD71&lt;&gt;0)=0,"",$M71/$AD71))</f>
        <v/>
      </c>
      <c r="AM71" s="37">
        <f>IF($C71="","",IF(ISNUMBER($AE71)*ISNUMBER($AI71)=0,"",IF($AI71&gt;$AE71+0.05,"rising",IF($AI71&lt;$AE71-0.05,"falling","stable"))))</f>
        <v/>
      </c>
      <c r="AN71" s="145">
        <f>IF($C71="","",IF(PULL_FUND="N","",IF(COUNTIFS('Fund History'!$G$362:$G$366,"&gt;="&amp;DATE(YEAR_Y-4,1,1),'Fund History'!$G$362:$G$366,"&lt;="&amp;DATE(YEAR_Y-4,12,31))=0,"",SUMIFS('Fund History'!$H$362:$H$366,'Fund History'!$G$362:$G$366,"&gt;="&amp;DATE(YEAR_Y-4,1,1),'Fund History'!$G$362:$G$366,"&lt;="&amp;DATE(YEAR_Y-4,12,31))/100)))</f>
        <v/>
      </c>
      <c r="AO71" s="146">
        <f>IF($C71="","",IF(PULL_FUND="N","",IF(COUNTIFS('Fund History'!$G$362:$G$366,"&gt;="&amp;DATE(YEAR_Y-3,1,1),'Fund History'!$G$362:$G$366,"&lt;="&amp;DATE(YEAR_Y-3,12,31))=0,"",SUMIFS('Fund History'!$H$362:$H$366,'Fund History'!$G$362:$G$366,"&gt;="&amp;DATE(YEAR_Y-3,1,1),'Fund History'!$G$362:$G$366,"&lt;="&amp;DATE(YEAR_Y-3,12,31))/100)))</f>
        <v/>
      </c>
      <c r="AP71" s="146">
        <f>IF($C71="","",IF(PULL_FUND="N","",IF(COUNTIFS('Fund History'!$G$362:$G$366,"&gt;="&amp;DATE(YEAR_Y-2,1,1),'Fund History'!$G$362:$G$366,"&lt;="&amp;DATE(YEAR_Y-2,12,31))=0,"",SUMIFS('Fund History'!$H$362:$H$366,'Fund History'!$G$362:$G$366,"&gt;="&amp;DATE(YEAR_Y-2,1,1),'Fund History'!$G$362:$G$366,"&lt;="&amp;DATE(YEAR_Y-2,12,31))/100)))</f>
        <v/>
      </c>
      <c r="AQ71" s="146">
        <f>IF($C71="","",IF(PULL_FUND="N","",IF(COUNTIFS('Fund History'!$G$362:$G$366,"&gt;="&amp;DATE(YEAR_Y-1,1,1),'Fund History'!$G$362:$G$366,"&lt;="&amp;DATE(YEAR_Y-1,12,31))=0,"",SUMIFS('Fund History'!$H$362:$H$366,'Fund History'!$G$362:$G$366,"&gt;="&amp;DATE(YEAR_Y-1,1,1),'Fund History'!$G$362:$G$366,"&lt;="&amp;DATE(YEAR_Y-1,12,31))/100)))</f>
        <v/>
      </c>
      <c r="AR71" s="147">
        <f>IF($C71="","",IF(N($AQ71)+N(HSI!$I$66)=0,"",N($AQ71)+N(HSI!$I$66)/100))</f>
        <v/>
      </c>
      <c r="AS71" s="139">
        <f>IF($C71="","",IF(PULL_FUND="N","",IF(COUNTIFS('Fund History'!$D$362:$D$366,"&gt;="&amp;DATE(YEAR_Y-2,1,1),'Fund History'!$D$362:$D$366,"&lt;="&amp;DATE(YEAR_Y-2,12,31))=0,"",SUMIFS('Fund History'!$E$362:$E$366,'Fund History'!$D$362:$D$366,"&gt;="&amp;DATE(YEAR_Y-2,1,1),'Fund History'!$D$362:$D$366,"&lt;="&amp;DATE(YEAR_Y-2,12,31)))))</f>
        <v/>
      </c>
      <c r="AT71" s="140">
        <f>IF($C71="","",IF(PULL_FUND="N","",IF(COUNTIFS('Fund History'!$D$362:$D$366,"&gt;="&amp;DATE(YEAR_Y-1,1,1),'Fund History'!$D$362:$D$366,"&lt;="&amp;DATE(YEAR_Y-1,12,31))=0,"",SUMIFS('Fund History'!$E$362:$E$366,'Fund History'!$D$362:$D$366,"&gt;="&amp;DATE(YEAR_Y-1,1,1),'Fund History'!$D$362:$D$366,"&lt;="&amp;DATE(YEAR_Y-1,12,31)))))</f>
        <v/>
      </c>
      <c r="AU71" s="140">
        <f>IF($C71="","",IF(PULL_FUND="N","",IFERROR(BDP($C71,NDEBITDA_FIELD),"")))</f>
        <v/>
      </c>
      <c r="AV71" s="148">
        <f>IF($C71="","",IF(PULL_FUND="N","",IFERROR(BDP($C71,EBINT_FIELD),"")))</f>
        <v/>
      </c>
      <c r="AW71" s="146">
        <f>IF($C71="","",IF(PULL_FUND="N","",IFERROR(BDP($C71,FCF_FIELD)/100,"")))</f>
        <v/>
      </c>
      <c r="AX71" s="126">
        <f>IF($C71="","",IF(N($U71)=0,"",IFERROR($AW71/$U71,"")))</f>
        <v/>
      </c>
      <c r="AY71" s="85">
        <f>IF($C71="","",TRIM(IF(ISNUMBER($AJ71)*(N($AJ71)&gt;$D$4)&gt;0,"payout high  ","")&amp;IF(ISNUMBER($AX71)*(N($AX71)&lt;$F$4)&gt;0,"FCF below dvd  ","")&amp;IF(ISNUMBER($AU71)*(N($AU71)&gt;$H$4)&gt;0,"leverage high","")))</f>
        <v/>
      </c>
      <c r="AZ71" s="86">
        <f>IF($C71="","",IF(HSI!$F$66="HKD","",HSI!$F$66))</f>
        <v/>
      </c>
    </row>
    <row r="72">
      <c r="B72" s="66" t="inlineStr">
        <is>
          <t>HSI</t>
        </is>
      </c>
      <c r="C72" s="8">
        <f>IF(HSI!$C$67="","",HSI!$C$67)</f>
        <v/>
      </c>
      <c r="D72" s="8">
        <f>IF($C72="","",HSI!$D$67)</f>
        <v/>
      </c>
      <c r="E72" s="8">
        <f>IF($C72="","",HSI!$E$67)</f>
        <v/>
      </c>
      <c r="F72" s="131">
        <f>IF($C72="","",SUMPRODUCT(('Dvd Calendar'!$E$671:$AR$671&gt;=DATE(YEAR_Y-5,1,1))*('Dvd Calendar'!$E$671:$AR$671&lt;=DATE(YEAR_Y-5,12,31))*'Dvd Calendar'!$E$674:$AR$674*(('Dvd Calendar'!$E$676:$AR$676=TYPE1)*(TYPE1&lt;&gt;"")+('Dvd Calendar'!$E$676:$AR$676=TYPE2)*(TYPE2&lt;&gt;"")+('Dvd Calendar'!$E$676:$AR$676=TYPE3)*(TYPE3&lt;&gt;"")+('Dvd Calendar'!$E$676:$AR$676=TYPE4)*(TYPE4&lt;&gt;"")+('Dvd Calendar'!$E$676:$AR$676=SPECIAL_LBL)*(INC_SPECIALS="Y"))))</f>
        <v/>
      </c>
      <c r="G72" s="132">
        <f>IF($C72="","",SUMPRODUCT(('Dvd Calendar'!$E$671:$AR$671&gt;=DATE(YEAR_Y-4,1,1))*('Dvd Calendar'!$E$671:$AR$671&lt;=DATE(YEAR_Y-4,12,31))*'Dvd Calendar'!$E$674:$AR$674*(('Dvd Calendar'!$E$676:$AR$676=TYPE1)*(TYPE1&lt;&gt;"")+('Dvd Calendar'!$E$676:$AR$676=TYPE2)*(TYPE2&lt;&gt;"")+('Dvd Calendar'!$E$676:$AR$676=TYPE3)*(TYPE3&lt;&gt;"")+('Dvd Calendar'!$E$676:$AR$676=TYPE4)*(TYPE4&lt;&gt;"")+('Dvd Calendar'!$E$676:$AR$676=SPECIAL_LBL)*(INC_SPECIALS="Y"))))</f>
        <v/>
      </c>
      <c r="H72" s="132">
        <f>IF($C72="","",SUMPRODUCT(('Dvd Calendar'!$E$671:$AR$671&gt;=DATE(YEAR_Y-3,1,1))*('Dvd Calendar'!$E$671:$AR$671&lt;=DATE(YEAR_Y-3,12,31))*'Dvd Calendar'!$E$674:$AR$674*(('Dvd Calendar'!$E$676:$AR$676=TYPE1)*(TYPE1&lt;&gt;"")+('Dvd Calendar'!$E$676:$AR$676=TYPE2)*(TYPE2&lt;&gt;"")+('Dvd Calendar'!$E$676:$AR$676=TYPE3)*(TYPE3&lt;&gt;"")+('Dvd Calendar'!$E$676:$AR$676=TYPE4)*(TYPE4&lt;&gt;"")+('Dvd Calendar'!$E$676:$AR$676=SPECIAL_LBL)*(INC_SPECIALS="Y"))))</f>
        <v/>
      </c>
      <c r="I72" s="132">
        <f>IF($C72="","",SUMPRODUCT(('Dvd Calendar'!$E$671:$AR$671&gt;=DATE(YEAR_Y-2,1,1))*('Dvd Calendar'!$E$671:$AR$671&lt;=DATE(YEAR_Y-2,12,31))*'Dvd Calendar'!$E$674:$AR$674*(('Dvd Calendar'!$E$676:$AR$676=TYPE1)*(TYPE1&lt;&gt;"")+('Dvd Calendar'!$E$676:$AR$676=TYPE2)*(TYPE2&lt;&gt;"")+('Dvd Calendar'!$E$676:$AR$676=TYPE3)*(TYPE3&lt;&gt;"")+('Dvd Calendar'!$E$676:$AR$676=TYPE4)*(TYPE4&lt;&gt;"")+('Dvd Calendar'!$E$676:$AR$676=SPECIAL_LBL)*(INC_SPECIALS="Y"))))</f>
        <v/>
      </c>
      <c r="J72" s="132">
        <f>IF($C72="","",SUMPRODUCT(('Dvd Calendar'!$E$671:$AR$671&gt;=DATE(YEAR_Y-1,1,1))*('Dvd Calendar'!$E$671:$AR$671&lt;=DATE(YEAR_Y-1,12,31))*'Dvd Calendar'!$E$674:$AR$674*(('Dvd Calendar'!$E$676:$AR$676=TYPE1)*(TYPE1&lt;&gt;"")+('Dvd Calendar'!$E$676:$AR$676=TYPE2)*(TYPE2&lt;&gt;"")+('Dvd Calendar'!$E$676:$AR$676=TYPE3)*(TYPE3&lt;&gt;"")+('Dvd Calendar'!$E$676:$AR$676=TYPE4)*(TYPE4&lt;&gt;"")+('Dvd Calendar'!$E$676:$AR$676=SPECIAL_LBL)*(INC_SPECIALS="Y"))))</f>
        <v/>
      </c>
      <c r="K72" s="133">
        <f>IF($C72="","",HSI!$J$67)</f>
        <v/>
      </c>
      <c r="L72" s="133">
        <f>IF($C72="","",HSI!$K$67)</f>
        <v/>
      </c>
      <c r="M72" s="124">
        <f>IF($C72="","",HSI!$J$67+HSI!$L$67)</f>
        <v/>
      </c>
      <c r="N72" s="134">
        <f>IF($C72="","",IF(PULL_FUND="N","",IFERROR(BDP($C72,BESTDPS_FIELD,FWD_OVERRIDE,TEXT(MOD(YEAR_Y,100),"00")&amp;"Y"),"")))</f>
        <v/>
      </c>
      <c r="O72" s="133">
        <f>IF($C72="","",AVERAGE(F72:J72))</f>
        <v/>
      </c>
      <c r="P72" s="135">
        <f>IF($C72="","",IF(PULL_FUND="N","",IF(COUNTIFS('Fund History'!$J$368:$J$372,"&gt;="&amp;DATE(YEAR_Y-5,1,1),'Fund History'!$J$368:$J$372,"&lt;="&amp;DATE(YEAR_Y-5,12,31))=0,"",IFERROR($F72*HSI!$G$67/SUMIFS('Fund History'!$K$368:$K$372,'Fund History'!$J$368:$J$372,"&gt;="&amp;DATE(YEAR_Y-5,1,1),'Fund History'!$J$368:$J$372,"&lt;="&amp;DATE(YEAR_Y-5,12,31)),""))))</f>
        <v/>
      </c>
      <c r="Q72" s="136">
        <f>IF($C72="","",IF(PULL_FUND="N","",IF(COUNTIFS('Fund History'!$J$368:$J$372,"&gt;="&amp;DATE(YEAR_Y-4,1,1),'Fund History'!$J$368:$J$372,"&lt;="&amp;DATE(YEAR_Y-4,12,31))=0,"",IFERROR($G72*HSI!$G$67/SUMIFS('Fund History'!$K$368:$K$372,'Fund History'!$J$368:$J$372,"&gt;="&amp;DATE(YEAR_Y-4,1,1),'Fund History'!$J$368:$J$372,"&lt;="&amp;DATE(YEAR_Y-4,12,31)),""))))</f>
        <v/>
      </c>
      <c r="R72" s="136">
        <f>IF($C72="","",IF(PULL_FUND="N","",IF(COUNTIFS('Fund History'!$J$368:$J$372,"&gt;="&amp;DATE(YEAR_Y-3,1,1),'Fund History'!$J$368:$J$372,"&lt;="&amp;DATE(YEAR_Y-3,12,31))=0,"",IFERROR($H72*HSI!$G$67/SUMIFS('Fund History'!$K$368:$K$372,'Fund History'!$J$368:$J$372,"&gt;="&amp;DATE(YEAR_Y-3,1,1),'Fund History'!$J$368:$J$372,"&lt;="&amp;DATE(YEAR_Y-3,12,31)),""))))</f>
        <v/>
      </c>
      <c r="S72" s="136">
        <f>IF($C72="","",IF(PULL_FUND="N","",IF(COUNTIFS('Fund History'!$J$368:$J$372,"&gt;="&amp;DATE(YEAR_Y-2,1,1),'Fund History'!$J$368:$J$372,"&lt;="&amp;DATE(YEAR_Y-2,12,31))=0,"",IFERROR($I72*HSI!$G$67/SUMIFS('Fund History'!$K$368:$K$372,'Fund History'!$J$368:$J$372,"&gt;="&amp;DATE(YEAR_Y-2,1,1),'Fund History'!$J$368:$J$372,"&lt;="&amp;DATE(YEAR_Y-2,12,31)),""))))</f>
        <v/>
      </c>
      <c r="T72" s="136">
        <f>IF($C72="","",IF(PULL_FUND="N","",IF(COUNTIFS('Fund History'!$J$368:$J$372,"&gt;="&amp;DATE(YEAR_Y-1,1,1),'Fund History'!$J$368:$J$372,"&lt;="&amp;DATE(YEAR_Y-1,12,31))=0,"",IFERROR($J72*HSI!$G$67/SUMIFS('Fund History'!$K$368:$K$372,'Fund History'!$J$368:$J$372,"&gt;="&amp;DATE(YEAR_Y-1,1,1),'Fund History'!$J$368:$J$372,"&lt;="&amp;DATE(YEAR_Y-1,12,31)),""))))</f>
        <v/>
      </c>
      <c r="U72" s="137">
        <f>IF($C72="","",IF(ISNUMBER(HSI!$I$67),HSI!$I$67/100,""))</f>
        <v/>
      </c>
      <c r="V72" s="138">
        <f>IF($C72="","",IF(ISNUMBER(HSI!$X$67),IFERROR($M72*HSI!$G$67/HSI!$X$67,""),""))</f>
        <v/>
      </c>
      <c r="W72" s="137">
        <f>IF($C72="","",IF(ISNUMBER($N72),IFERROR($N72*HSI!$G$67/HSI!$X$67,""),""))</f>
        <v/>
      </c>
      <c r="X72" s="139">
        <f>IF($C72="","",IF(PULL_FUND="N","",IFERROR(BDP($C72,EPS_FIELD,YR_OVERRIDE,TEXT(YEAR_Y-5,"0")),"")))</f>
        <v/>
      </c>
      <c r="Y72" s="140">
        <f>IF($C72="","",IF(PULL_FUND="N","",IFERROR(BDP($C72,EPS_FIELD,YR_OVERRIDE,TEXT(YEAR_Y-4,"0")),"")))</f>
        <v/>
      </c>
      <c r="Z72" s="140">
        <f>IF($C72="","",IF(PULL_FUND="N","",IFERROR(BDP($C72,EPS_FIELD,YR_OVERRIDE,TEXT(YEAR_Y-3,"0")),"")))</f>
        <v/>
      </c>
      <c r="AA72" s="140">
        <f>IF($C72="","",IF(PULL_FUND="N","",IFERROR(BDP($C72,EPS_FIELD,YR_OVERRIDE,TEXT(YEAR_Y-2,"0")),"")))</f>
        <v/>
      </c>
      <c r="AB72" s="140">
        <f>IF($C72="","",IF(PULL_FUND="N","",IFERROR(BDP($C72,EPS_FIELD,YR_OVERRIDE,TEXT(YEAR_Y-1,"0")),"")))</f>
        <v/>
      </c>
      <c r="AC72" s="126">
        <f>IF($C72="","",IFERROR(AVERAGE(X72:AB72),""))</f>
        <v/>
      </c>
      <c r="AD72" s="140">
        <f>IF($C72="","",IF(PULL_FUND="N","",IFERROR(BDP($C72,BESTEPS_FIELD,FWD_OVERRIDE,TEXT(MOD(YEAR_Y,100),"00")&amp;"Y"),"")))</f>
        <v/>
      </c>
      <c r="AE72" s="141">
        <f>IF($C72="","",IF(PULL_FUND="N","",IFERROR(BDP($C72,PAYOUT_FIELD,YR_OVERRIDE,TEXT(YEAR_Y-5,"0"))/100,"")))</f>
        <v/>
      </c>
      <c r="AF72" s="142">
        <f>IF($C72="","",IF(PULL_FUND="N","",IFERROR(BDP($C72,PAYOUT_FIELD,YR_OVERRIDE,TEXT(YEAR_Y-4,"0"))/100,"")))</f>
        <v/>
      </c>
      <c r="AG72" s="142">
        <f>IF($C72="","",IF(PULL_FUND="N","",IFERROR(BDP($C72,PAYOUT_FIELD,YR_OVERRIDE,TEXT(YEAR_Y-3,"0"))/100,"")))</f>
        <v/>
      </c>
      <c r="AH72" s="142">
        <f>IF($C72="","",IF(PULL_FUND="N","",IFERROR(BDP($C72,PAYOUT_FIELD,YR_OVERRIDE,TEXT(YEAR_Y-2,"0"))/100,"")))</f>
        <v/>
      </c>
      <c r="AI72" s="142">
        <f>IF($C72="","",IF(PULL_FUND="N","",IFERROR(BDP($C72,PAYOUT_FIELD,YR_OVERRIDE,TEXT(YEAR_Y-1,"0"))/100,"")))</f>
        <v/>
      </c>
      <c r="AJ72" s="143">
        <f>IF($C72="","",IFERROR(AVERAGE(AE72:AI72),""))</f>
        <v/>
      </c>
      <c r="AK72" s="144">
        <f>IF($C72="","",IF(ISNUMBER($AD72)*ISNUMBER($N72)*($AD72&lt;&gt;0)=0,"",$N72/$AD72))</f>
        <v/>
      </c>
      <c r="AL72" s="143">
        <f>IF($C72="","",IF(ISNUMBER($AD72)*($AD72&lt;&gt;0)=0,"",$M72/$AD72))</f>
        <v/>
      </c>
      <c r="AM72" s="37">
        <f>IF($C72="","",IF(ISNUMBER($AE72)*ISNUMBER($AI72)=0,"",IF($AI72&gt;$AE72+0.05,"rising",IF($AI72&lt;$AE72-0.05,"falling","stable"))))</f>
        <v/>
      </c>
      <c r="AN72" s="145">
        <f>IF($C72="","",IF(PULL_FUND="N","",IF(COUNTIFS('Fund History'!$G$368:$G$372,"&gt;="&amp;DATE(YEAR_Y-4,1,1),'Fund History'!$G$368:$G$372,"&lt;="&amp;DATE(YEAR_Y-4,12,31))=0,"",SUMIFS('Fund History'!$H$368:$H$372,'Fund History'!$G$368:$G$372,"&gt;="&amp;DATE(YEAR_Y-4,1,1),'Fund History'!$G$368:$G$372,"&lt;="&amp;DATE(YEAR_Y-4,12,31))/100)))</f>
        <v/>
      </c>
      <c r="AO72" s="146">
        <f>IF($C72="","",IF(PULL_FUND="N","",IF(COUNTIFS('Fund History'!$G$368:$G$372,"&gt;="&amp;DATE(YEAR_Y-3,1,1),'Fund History'!$G$368:$G$372,"&lt;="&amp;DATE(YEAR_Y-3,12,31))=0,"",SUMIFS('Fund History'!$H$368:$H$372,'Fund History'!$G$368:$G$372,"&gt;="&amp;DATE(YEAR_Y-3,1,1),'Fund History'!$G$368:$G$372,"&lt;="&amp;DATE(YEAR_Y-3,12,31))/100)))</f>
        <v/>
      </c>
      <c r="AP72" s="146">
        <f>IF($C72="","",IF(PULL_FUND="N","",IF(COUNTIFS('Fund History'!$G$368:$G$372,"&gt;="&amp;DATE(YEAR_Y-2,1,1),'Fund History'!$G$368:$G$372,"&lt;="&amp;DATE(YEAR_Y-2,12,31))=0,"",SUMIFS('Fund History'!$H$368:$H$372,'Fund History'!$G$368:$G$372,"&gt;="&amp;DATE(YEAR_Y-2,1,1),'Fund History'!$G$368:$G$372,"&lt;="&amp;DATE(YEAR_Y-2,12,31))/100)))</f>
        <v/>
      </c>
      <c r="AQ72" s="146">
        <f>IF($C72="","",IF(PULL_FUND="N","",IF(COUNTIFS('Fund History'!$G$368:$G$372,"&gt;="&amp;DATE(YEAR_Y-1,1,1),'Fund History'!$G$368:$G$372,"&lt;="&amp;DATE(YEAR_Y-1,12,31))=0,"",SUMIFS('Fund History'!$H$368:$H$372,'Fund History'!$G$368:$G$372,"&gt;="&amp;DATE(YEAR_Y-1,1,1),'Fund History'!$G$368:$G$372,"&lt;="&amp;DATE(YEAR_Y-1,12,31))/100)))</f>
        <v/>
      </c>
      <c r="AR72" s="147">
        <f>IF($C72="","",IF(N($AQ72)+N(HSI!$I$67)=0,"",N($AQ72)+N(HSI!$I$67)/100))</f>
        <v/>
      </c>
      <c r="AS72" s="139">
        <f>IF($C72="","",IF(PULL_FUND="N","",IF(COUNTIFS('Fund History'!$D$368:$D$372,"&gt;="&amp;DATE(YEAR_Y-2,1,1),'Fund History'!$D$368:$D$372,"&lt;="&amp;DATE(YEAR_Y-2,12,31))=0,"",SUMIFS('Fund History'!$E$368:$E$372,'Fund History'!$D$368:$D$372,"&gt;="&amp;DATE(YEAR_Y-2,1,1),'Fund History'!$D$368:$D$372,"&lt;="&amp;DATE(YEAR_Y-2,12,31)))))</f>
        <v/>
      </c>
      <c r="AT72" s="140">
        <f>IF($C72="","",IF(PULL_FUND="N","",IF(COUNTIFS('Fund History'!$D$368:$D$372,"&gt;="&amp;DATE(YEAR_Y-1,1,1),'Fund History'!$D$368:$D$372,"&lt;="&amp;DATE(YEAR_Y-1,12,31))=0,"",SUMIFS('Fund History'!$E$368:$E$372,'Fund History'!$D$368:$D$372,"&gt;="&amp;DATE(YEAR_Y-1,1,1),'Fund History'!$D$368:$D$372,"&lt;="&amp;DATE(YEAR_Y-1,12,31)))))</f>
        <v/>
      </c>
      <c r="AU72" s="140">
        <f>IF($C72="","",IF(PULL_FUND="N","",IFERROR(BDP($C72,NDEBITDA_FIELD),"")))</f>
        <v/>
      </c>
      <c r="AV72" s="148">
        <f>IF($C72="","",IF(PULL_FUND="N","",IFERROR(BDP($C72,EBINT_FIELD),"")))</f>
        <v/>
      </c>
      <c r="AW72" s="146">
        <f>IF($C72="","",IF(PULL_FUND="N","",IFERROR(BDP($C72,FCF_FIELD)/100,"")))</f>
        <v/>
      </c>
      <c r="AX72" s="126">
        <f>IF($C72="","",IF(N($U72)=0,"",IFERROR($AW72/$U72,"")))</f>
        <v/>
      </c>
      <c r="AY72" s="85">
        <f>IF($C72="","",TRIM(IF(ISNUMBER($AJ72)*(N($AJ72)&gt;$D$4)&gt;0,"payout high  ","")&amp;IF(ISNUMBER($AX72)*(N($AX72)&lt;$F$4)&gt;0,"FCF below dvd  ","")&amp;IF(ISNUMBER($AU72)*(N($AU72)&gt;$H$4)&gt;0,"leverage high","")))</f>
        <v/>
      </c>
      <c r="AZ72" s="86">
        <f>IF($C72="","",IF(HSI!$F$67="HKD","",HSI!$F$67))</f>
        <v/>
      </c>
    </row>
    <row r="73">
      <c r="B73" s="66" t="inlineStr">
        <is>
          <t>HSI</t>
        </is>
      </c>
      <c r="C73" s="8">
        <f>IF(HSI!$C$68="","",HSI!$C$68)</f>
        <v/>
      </c>
      <c r="D73" s="8">
        <f>IF($C73="","",HSI!$D$68)</f>
        <v/>
      </c>
      <c r="E73" s="8">
        <f>IF($C73="","",HSI!$E$68)</f>
        <v/>
      </c>
      <c r="F73" s="131">
        <f>IF($C73="","",SUMPRODUCT(('Dvd Calendar'!$E$682:$AR$682&gt;=DATE(YEAR_Y-5,1,1))*('Dvd Calendar'!$E$682:$AR$682&lt;=DATE(YEAR_Y-5,12,31))*'Dvd Calendar'!$E$685:$AR$685*(('Dvd Calendar'!$E$687:$AR$687=TYPE1)*(TYPE1&lt;&gt;"")+('Dvd Calendar'!$E$687:$AR$687=TYPE2)*(TYPE2&lt;&gt;"")+('Dvd Calendar'!$E$687:$AR$687=TYPE3)*(TYPE3&lt;&gt;"")+('Dvd Calendar'!$E$687:$AR$687=TYPE4)*(TYPE4&lt;&gt;"")+('Dvd Calendar'!$E$687:$AR$687=SPECIAL_LBL)*(INC_SPECIALS="Y"))))</f>
        <v/>
      </c>
      <c r="G73" s="132">
        <f>IF($C73="","",SUMPRODUCT(('Dvd Calendar'!$E$682:$AR$682&gt;=DATE(YEAR_Y-4,1,1))*('Dvd Calendar'!$E$682:$AR$682&lt;=DATE(YEAR_Y-4,12,31))*'Dvd Calendar'!$E$685:$AR$685*(('Dvd Calendar'!$E$687:$AR$687=TYPE1)*(TYPE1&lt;&gt;"")+('Dvd Calendar'!$E$687:$AR$687=TYPE2)*(TYPE2&lt;&gt;"")+('Dvd Calendar'!$E$687:$AR$687=TYPE3)*(TYPE3&lt;&gt;"")+('Dvd Calendar'!$E$687:$AR$687=TYPE4)*(TYPE4&lt;&gt;"")+('Dvd Calendar'!$E$687:$AR$687=SPECIAL_LBL)*(INC_SPECIALS="Y"))))</f>
        <v/>
      </c>
      <c r="H73" s="132">
        <f>IF($C73="","",SUMPRODUCT(('Dvd Calendar'!$E$682:$AR$682&gt;=DATE(YEAR_Y-3,1,1))*('Dvd Calendar'!$E$682:$AR$682&lt;=DATE(YEAR_Y-3,12,31))*'Dvd Calendar'!$E$685:$AR$685*(('Dvd Calendar'!$E$687:$AR$687=TYPE1)*(TYPE1&lt;&gt;"")+('Dvd Calendar'!$E$687:$AR$687=TYPE2)*(TYPE2&lt;&gt;"")+('Dvd Calendar'!$E$687:$AR$687=TYPE3)*(TYPE3&lt;&gt;"")+('Dvd Calendar'!$E$687:$AR$687=TYPE4)*(TYPE4&lt;&gt;"")+('Dvd Calendar'!$E$687:$AR$687=SPECIAL_LBL)*(INC_SPECIALS="Y"))))</f>
        <v/>
      </c>
      <c r="I73" s="132">
        <f>IF($C73="","",SUMPRODUCT(('Dvd Calendar'!$E$682:$AR$682&gt;=DATE(YEAR_Y-2,1,1))*('Dvd Calendar'!$E$682:$AR$682&lt;=DATE(YEAR_Y-2,12,31))*'Dvd Calendar'!$E$685:$AR$685*(('Dvd Calendar'!$E$687:$AR$687=TYPE1)*(TYPE1&lt;&gt;"")+('Dvd Calendar'!$E$687:$AR$687=TYPE2)*(TYPE2&lt;&gt;"")+('Dvd Calendar'!$E$687:$AR$687=TYPE3)*(TYPE3&lt;&gt;"")+('Dvd Calendar'!$E$687:$AR$687=TYPE4)*(TYPE4&lt;&gt;"")+('Dvd Calendar'!$E$687:$AR$687=SPECIAL_LBL)*(INC_SPECIALS="Y"))))</f>
        <v/>
      </c>
      <c r="J73" s="132">
        <f>IF($C73="","",SUMPRODUCT(('Dvd Calendar'!$E$682:$AR$682&gt;=DATE(YEAR_Y-1,1,1))*('Dvd Calendar'!$E$682:$AR$682&lt;=DATE(YEAR_Y-1,12,31))*'Dvd Calendar'!$E$685:$AR$685*(('Dvd Calendar'!$E$687:$AR$687=TYPE1)*(TYPE1&lt;&gt;"")+('Dvd Calendar'!$E$687:$AR$687=TYPE2)*(TYPE2&lt;&gt;"")+('Dvd Calendar'!$E$687:$AR$687=TYPE3)*(TYPE3&lt;&gt;"")+('Dvd Calendar'!$E$687:$AR$687=TYPE4)*(TYPE4&lt;&gt;"")+('Dvd Calendar'!$E$687:$AR$687=SPECIAL_LBL)*(INC_SPECIALS="Y"))))</f>
        <v/>
      </c>
      <c r="K73" s="133">
        <f>IF($C73="","",HSI!$J$68)</f>
        <v/>
      </c>
      <c r="L73" s="133">
        <f>IF($C73="","",HSI!$K$68)</f>
        <v/>
      </c>
      <c r="M73" s="124">
        <f>IF($C73="","",HSI!$J$68+HSI!$L$68)</f>
        <v/>
      </c>
      <c r="N73" s="134">
        <f>IF($C73="","",IF(PULL_FUND="N","",IFERROR(BDP($C73,BESTDPS_FIELD,FWD_OVERRIDE,TEXT(MOD(YEAR_Y,100),"00")&amp;"Y"),"")))</f>
        <v/>
      </c>
      <c r="O73" s="133">
        <f>IF($C73="","",AVERAGE(F73:J73))</f>
        <v/>
      </c>
      <c r="P73" s="135">
        <f>IF($C73="","",IF(PULL_FUND="N","",IF(COUNTIFS('Fund History'!$J$374:$J$378,"&gt;="&amp;DATE(YEAR_Y-5,1,1),'Fund History'!$J$374:$J$378,"&lt;="&amp;DATE(YEAR_Y-5,12,31))=0,"",IFERROR($F73*HSI!$G$68/SUMIFS('Fund History'!$K$374:$K$378,'Fund History'!$J$374:$J$378,"&gt;="&amp;DATE(YEAR_Y-5,1,1),'Fund History'!$J$374:$J$378,"&lt;="&amp;DATE(YEAR_Y-5,12,31)),""))))</f>
        <v/>
      </c>
      <c r="Q73" s="136">
        <f>IF($C73="","",IF(PULL_FUND="N","",IF(COUNTIFS('Fund History'!$J$374:$J$378,"&gt;="&amp;DATE(YEAR_Y-4,1,1),'Fund History'!$J$374:$J$378,"&lt;="&amp;DATE(YEAR_Y-4,12,31))=0,"",IFERROR($G73*HSI!$G$68/SUMIFS('Fund History'!$K$374:$K$378,'Fund History'!$J$374:$J$378,"&gt;="&amp;DATE(YEAR_Y-4,1,1),'Fund History'!$J$374:$J$378,"&lt;="&amp;DATE(YEAR_Y-4,12,31)),""))))</f>
        <v/>
      </c>
      <c r="R73" s="136">
        <f>IF($C73="","",IF(PULL_FUND="N","",IF(COUNTIFS('Fund History'!$J$374:$J$378,"&gt;="&amp;DATE(YEAR_Y-3,1,1),'Fund History'!$J$374:$J$378,"&lt;="&amp;DATE(YEAR_Y-3,12,31))=0,"",IFERROR($H73*HSI!$G$68/SUMIFS('Fund History'!$K$374:$K$378,'Fund History'!$J$374:$J$378,"&gt;="&amp;DATE(YEAR_Y-3,1,1),'Fund History'!$J$374:$J$378,"&lt;="&amp;DATE(YEAR_Y-3,12,31)),""))))</f>
        <v/>
      </c>
      <c r="S73" s="136">
        <f>IF($C73="","",IF(PULL_FUND="N","",IF(COUNTIFS('Fund History'!$J$374:$J$378,"&gt;="&amp;DATE(YEAR_Y-2,1,1),'Fund History'!$J$374:$J$378,"&lt;="&amp;DATE(YEAR_Y-2,12,31))=0,"",IFERROR($I73*HSI!$G$68/SUMIFS('Fund History'!$K$374:$K$378,'Fund History'!$J$374:$J$378,"&gt;="&amp;DATE(YEAR_Y-2,1,1),'Fund History'!$J$374:$J$378,"&lt;="&amp;DATE(YEAR_Y-2,12,31)),""))))</f>
        <v/>
      </c>
      <c r="T73" s="136">
        <f>IF($C73="","",IF(PULL_FUND="N","",IF(COUNTIFS('Fund History'!$J$374:$J$378,"&gt;="&amp;DATE(YEAR_Y-1,1,1),'Fund History'!$J$374:$J$378,"&lt;="&amp;DATE(YEAR_Y-1,12,31))=0,"",IFERROR($J73*HSI!$G$68/SUMIFS('Fund History'!$K$374:$K$378,'Fund History'!$J$374:$J$378,"&gt;="&amp;DATE(YEAR_Y-1,1,1),'Fund History'!$J$374:$J$378,"&lt;="&amp;DATE(YEAR_Y-1,12,31)),""))))</f>
        <v/>
      </c>
      <c r="U73" s="137">
        <f>IF($C73="","",IF(ISNUMBER(HSI!$I$68),HSI!$I$68/100,""))</f>
        <v/>
      </c>
      <c r="V73" s="138">
        <f>IF($C73="","",IF(ISNUMBER(HSI!$X$68),IFERROR($M73*HSI!$G$68/HSI!$X$68,""),""))</f>
        <v/>
      </c>
      <c r="W73" s="137">
        <f>IF($C73="","",IF(ISNUMBER($N73),IFERROR($N73*HSI!$G$68/HSI!$X$68,""),""))</f>
        <v/>
      </c>
      <c r="X73" s="139">
        <f>IF($C73="","",IF(PULL_FUND="N","",IFERROR(BDP($C73,EPS_FIELD,YR_OVERRIDE,TEXT(YEAR_Y-5,"0")),"")))</f>
        <v/>
      </c>
      <c r="Y73" s="140">
        <f>IF($C73="","",IF(PULL_FUND="N","",IFERROR(BDP($C73,EPS_FIELD,YR_OVERRIDE,TEXT(YEAR_Y-4,"0")),"")))</f>
        <v/>
      </c>
      <c r="Z73" s="140">
        <f>IF($C73="","",IF(PULL_FUND="N","",IFERROR(BDP($C73,EPS_FIELD,YR_OVERRIDE,TEXT(YEAR_Y-3,"0")),"")))</f>
        <v/>
      </c>
      <c r="AA73" s="140">
        <f>IF($C73="","",IF(PULL_FUND="N","",IFERROR(BDP($C73,EPS_FIELD,YR_OVERRIDE,TEXT(YEAR_Y-2,"0")),"")))</f>
        <v/>
      </c>
      <c r="AB73" s="140">
        <f>IF($C73="","",IF(PULL_FUND="N","",IFERROR(BDP($C73,EPS_FIELD,YR_OVERRIDE,TEXT(YEAR_Y-1,"0")),"")))</f>
        <v/>
      </c>
      <c r="AC73" s="126">
        <f>IF($C73="","",IFERROR(AVERAGE(X73:AB73),""))</f>
        <v/>
      </c>
      <c r="AD73" s="140">
        <f>IF($C73="","",IF(PULL_FUND="N","",IFERROR(BDP($C73,BESTEPS_FIELD,FWD_OVERRIDE,TEXT(MOD(YEAR_Y,100),"00")&amp;"Y"),"")))</f>
        <v/>
      </c>
      <c r="AE73" s="141">
        <f>IF($C73="","",IF(PULL_FUND="N","",IFERROR(BDP($C73,PAYOUT_FIELD,YR_OVERRIDE,TEXT(YEAR_Y-5,"0"))/100,"")))</f>
        <v/>
      </c>
      <c r="AF73" s="142">
        <f>IF($C73="","",IF(PULL_FUND="N","",IFERROR(BDP($C73,PAYOUT_FIELD,YR_OVERRIDE,TEXT(YEAR_Y-4,"0"))/100,"")))</f>
        <v/>
      </c>
      <c r="AG73" s="142">
        <f>IF($C73="","",IF(PULL_FUND="N","",IFERROR(BDP($C73,PAYOUT_FIELD,YR_OVERRIDE,TEXT(YEAR_Y-3,"0"))/100,"")))</f>
        <v/>
      </c>
      <c r="AH73" s="142">
        <f>IF($C73="","",IF(PULL_FUND="N","",IFERROR(BDP($C73,PAYOUT_FIELD,YR_OVERRIDE,TEXT(YEAR_Y-2,"0"))/100,"")))</f>
        <v/>
      </c>
      <c r="AI73" s="142">
        <f>IF($C73="","",IF(PULL_FUND="N","",IFERROR(BDP($C73,PAYOUT_FIELD,YR_OVERRIDE,TEXT(YEAR_Y-1,"0"))/100,"")))</f>
        <v/>
      </c>
      <c r="AJ73" s="143">
        <f>IF($C73="","",IFERROR(AVERAGE(AE73:AI73),""))</f>
        <v/>
      </c>
      <c r="AK73" s="144">
        <f>IF($C73="","",IF(ISNUMBER($AD73)*ISNUMBER($N73)*($AD73&lt;&gt;0)=0,"",$N73/$AD73))</f>
        <v/>
      </c>
      <c r="AL73" s="143">
        <f>IF($C73="","",IF(ISNUMBER($AD73)*($AD73&lt;&gt;0)=0,"",$M73/$AD73))</f>
        <v/>
      </c>
      <c r="AM73" s="37">
        <f>IF($C73="","",IF(ISNUMBER($AE73)*ISNUMBER($AI73)=0,"",IF($AI73&gt;$AE73+0.05,"rising",IF($AI73&lt;$AE73-0.05,"falling","stable"))))</f>
        <v/>
      </c>
      <c r="AN73" s="145">
        <f>IF($C73="","",IF(PULL_FUND="N","",IF(COUNTIFS('Fund History'!$G$374:$G$378,"&gt;="&amp;DATE(YEAR_Y-4,1,1),'Fund History'!$G$374:$G$378,"&lt;="&amp;DATE(YEAR_Y-4,12,31))=0,"",SUMIFS('Fund History'!$H$374:$H$378,'Fund History'!$G$374:$G$378,"&gt;="&amp;DATE(YEAR_Y-4,1,1),'Fund History'!$G$374:$G$378,"&lt;="&amp;DATE(YEAR_Y-4,12,31))/100)))</f>
        <v/>
      </c>
      <c r="AO73" s="146">
        <f>IF($C73="","",IF(PULL_FUND="N","",IF(COUNTIFS('Fund History'!$G$374:$G$378,"&gt;="&amp;DATE(YEAR_Y-3,1,1),'Fund History'!$G$374:$G$378,"&lt;="&amp;DATE(YEAR_Y-3,12,31))=0,"",SUMIFS('Fund History'!$H$374:$H$378,'Fund History'!$G$374:$G$378,"&gt;="&amp;DATE(YEAR_Y-3,1,1),'Fund History'!$G$374:$G$378,"&lt;="&amp;DATE(YEAR_Y-3,12,31))/100)))</f>
        <v/>
      </c>
      <c r="AP73" s="146">
        <f>IF($C73="","",IF(PULL_FUND="N","",IF(COUNTIFS('Fund History'!$G$374:$G$378,"&gt;="&amp;DATE(YEAR_Y-2,1,1),'Fund History'!$G$374:$G$378,"&lt;="&amp;DATE(YEAR_Y-2,12,31))=0,"",SUMIFS('Fund History'!$H$374:$H$378,'Fund History'!$G$374:$G$378,"&gt;="&amp;DATE(YEAR_Y-2,1,1),'Fund History'!$G$374:$G$378,"&lt;="&amp;DATE(YEAR_Y-2,12,31))/100)))</f>
        <v/>
      </c>
      <c r="AQ73" s="146">
        <f>IF($C73="","",IF(PULL_FUND="N","",IF(COUNTIFS('Fund History'!$G$374:$G$378,"&gt;="&amp;DATE(YEAR_Y-1,1,1),'Fund History'!$G$374:$G$378,"&lt;="&amp;DATE(YEAR_Y-1,12,31))=0,"",SUMIFS('Fund History'!$H$374:$H$378,'Fund History'!$G$374:$G$378,"&gt;="&amp;DATE(YEAR_Y-1,1,1),'Fund History'!$G$374:$G$378,"&lt;="&amp;DATE(YEAR_Y-1,12,31))/100)))</f>
        <v/>
      </c>
      <c r="AR73" s="147">
        <f>IF($C73="","",IF(N($AQ73)+N(HSI!$I$68)=0,"",N($AQ73)+N(HSI!$I$68)/100))</f>
        <v/>
      </c>
      <c r="AS73" s="139">
        <f>IF($C73="","",IF(PULL_FUND="N","",IF(COUNTIFS('Fund History'!$D$374:$D$378,"&gt;="&amp;DATE(YEAR_Y-2,1,1),'Fund History'!$D$374:$D$378,"&lt;="&amp;DATE(YEAR_Y-2,12,31))=0,"",SUMIFS('Fund History'!$E$374:$E$378,'Fund History'!$D$374:$D$378,"&gt;="&amp;DATE(YEAR_Y-2,1,1),'Fund History'!$D$374:$D$378,"&lt;="&amp;DATE(YEAR_Y-2,12,31)))))</f>
        <v/>
      </c>
      <c r="AT73" s="140">
        <f>IF($C73="","",IF(PULL_FUND="N","",IF(COUNTIFS('Fund History'!$D$374:$D$378,"&gt;="&amp;DATE(YEAR_Y-1,1,1),'Fund History'!$D$374:$D$378,"&lt;="&amp;DATE(YEAR_Y-1,12,31))=0,"",SUMIFS('Fund History'!$E$374:$E$378,'Fund History'!$D$374:$D$378,"&gt;="&amp;DATE(YEAR_Y-1,1,1),'Fund History'!$D$374:$D$378,"&lt;="&amp;DATE(YEAR_Y-1,12,31)))))</f>
        <v/>
      </c>
      <c r="AU73" s="140">
        <f>IF($C73="","",IF(PULL_FUND="N","",IFERROR(BDP($C73,NDEBITDA_FIELD),"")))</f>
        <v/>
      </c>
      <c r="AV73" s="148">
        <f>IF($C73="","",IF(PULL_FUND="N","",IFERROR(BDP($C73,EBINT_FIELD),"")))</f>
        <v/>
      </c>
      <c r="AW73" s="146">
        <f>IF($C73="","",IF(PULL_FUND="N","",IFERROR(BDP($C73,FCF_FIELD)/100,"")))</f>
        <v/>
      </c>
      <c r="AX73" s="126">
        <f>IF($C73="","",IF(N($U73)=0,"",IFERROR($AW73/$U73,"")))</f>
        <v/>
      </c>
      <c r="AY73" s="85">
        <f>IF($C73="","",TRIM(IF(ISNUMBER($AJ73)*(N($AJ73)&gt;$D$4)&gt;0,"payout high  ","")&amp;IF(ISNUMBER($AX73)*(N($AX73)&lt;$F$4)&gt;0,"FCF below dvd  ","")&amp;IF(ISNUMBER($AU73)*(N($AU73)&gt;$H$4)&gt;0,"leverage high","")))</f>
        <v/>
      </c>
      <c r="AZ73" s="86">
        <f>IF($C73="","",IF(HSI!$F$68="HKD","",HSI!$F$68))</f>
        <v/>
      </c>
    </row>
    <row r="74">
      <c r="B74" s="66" t="inlineStr">
        <is>
          <t>HSI</t>
        </is>
      </c>
      <c r="C74" s="8">
        <f>IF(HSI!$C$69="","",HSI!$C$69)</f>
        <v/>
      </c>
      <c r="D74" s="8">
        <f>IF($C74="","",HSI!$D$69)</f>
        <v/>
      </c>
      <c r="E74" s="8">
        <f>IF($C74="","",HSI!$E$69)</f>
        <v/>
      </c>
      <c r="F74" s="131">
        <f>IF($C74="","",SUMPRODUCT(('Dvd Calendar'!$E$693:$AR$693&gt;=DATE(YEAR_Y-5,1,1))*('Dvd Calendar'!$E$693:$AR$693&lt;=DATE(YEAR_Y-5,12,31))*'Dvd Calendar'!$E$696:$AR$696*(('Dvd Calendar'!$E$698:$AR$698=TYPE1)*(TYPE1&lt;&gt;"")+('Dvd Calendar'!$E$698:$AR$698=TYPE2)*(TYPE2&lt;&gt;"")+('Dvd Calendar'!$E$698:$AR$698=TYPE3)*(TYPE3&lt;&gt;"")+('Dvd Calendar'!$E$698:$AR$698=TYPE4)*(TYPE4&lt;&gt;"")+('Dvd Calendar'!$E$698:$AR$698=SPECIAL_LBL)*(INC_SPECIALS="Y"))))</f>
        <v/>
      </c>
      <c r="G74" s="132">
        <f>IF($C74="","",SUMPRODUCT(('Dvd Calendar'!$E$693:$AR$693&gt;=DATE(YEAR_Y-4,1,1))*('Dvd Calendar'!$E$693:$AR$693&lt;=DATE(YEAR_Y-4,12,31))*'Dvd Calendar'!$E$696:$AR$696*(('Dvd Calendar'!$E$698:$AR$698=TYPE1)*(TYPE1&lt;&gt;"")+('Dvd Calendar'!$E$698:$AR$698=TYPE2)*(TYPE2&lt;&gt;"")+('Dvd Calendar'!$E$698:$AR$698=TYPE3)*(TYPE3&lt;&gt;"")+('Dvd Calendar'!$E$698:$AR$698=TYPE4)*(TYPE4&lt;&gt;"")+('Dvd Calendar'!$E$698:$AR$698=SPECIAL_LBL)*(INC_SPECIALS="Y"))))</f>
        <v/>
      </c>
      <c r="H74" s="132">
        <f>IF($C74="","",SUMPRODUCT(('Dvd Calendar'!$E$693:$AR$693&gt;=DATE(YEAR_Y-3,1,1))*('Dvd Calendar'!$E$693:$AR$693&lt;=DATE(YEAR_Y-3,12,31))*'Dvd Calendar'!$E$696:$AR$696*(('Dvd Calendar'!$E$698:$AR$698=TYPE1)*(TYPE1&lt;&gt;"")+('Dvd Calendar'!$E$698:$AR$698=TYPE2)*(TYPE2&lt;&gt;"")+('Dvd Calendar'!$E$698:$AR$698=TYPE3)*(TYPE3&lt;&gt;"")+('Dvd Calendar'!$E$698:$AR$698=TYPE4)*(TYPE4&lt;&gt;"")+('Dvd Calendar'!$E$698:$AR$698=SPECIAL_LBL)*(INC_SPECIALS="Y"))))</f>
        <v/>
      </c>
      <c r="I74" s="132">
        <f>IF($C74="","",SUMPRODUCT(('Dvd Calendar'!$E$693:$AR$693&gt;=DATE(YEAR_Y-2,1,1))*('Dvd Calendar'!$E$693:$AR$693&lt;=DATE(YEAR_Y-2,12,31))*'Dvd Calendar'!$E$696:$AR$696*(('Dvd Calendar'!$E$698:$AR$698=TYPE1)*(TYPE1&lt;&gt;"")+('Dvd Calendar'!$E$698:$AR$698=TYPE2)*(TYPE2&lt;&gt;"")+('Dvd Calendar'!$E$698:$AR$698=TYPE3)*(TYPE3&lt;&gt;"")+('Dvd Calendar'!$E$698:$AR$698=TYPE4)*(TYPE4&lt;&gt;"")+('Dvd Calendar'!$E$698:$AR$698=SPECIAL_LBL)*(INC_SPECIALS="Y"))))</f>
        <v/>
      </c>
      <c r="J74" s="132">
        <f>IF($C74="","",SUMPRODUCT(('Dvd Calendar'!$E$693:$AR$693&gt;=DATE(YEAR_Y-1,1,1))*('Dvd Calendar'!$E$693:$AR$693&lt;=DATE(YEAR_Y-1,12,31))*'Dvd Calendar'!$E$696:$AR$696*(('Dvd Calendar'!$E$698:$AR$698=TYPE1)*(TYPE1&lt;&gt;"")+('Dvd Calendar'!$E$698:$AR$698=TYPE2)*(TYPE2&lt;&gt;"")+('Dvd Calendar'!$E$698:$AR$698=TYPE3)*(TYPE3&lt;&gt;"")+('Dvd Calendar'!$E$698:$AR$698=TYPE4)*(TYPE4&lt;&gt;"")+('Dvd Calendar'!$E$698:$AR$698=SPECIAL_LBL)*(INC_SPECIALS="Y"))))</f>
        <v/>
      </c>
      <c r="K74" s="133">
        <f>IF($C74="","",HSI!$J$69)</f>
        <v/>
      </c>
      <c r="L74" s="133">
        <f>IF($C74="","",HSI!$K$69)</f>
        <v/>
      </c>
      <c r="M74" s="124">
        <f>IF($C74="","",HSI!$J$69+HSI!$L$69)</f>
        <v/>
      </c>
      <c r="N74" s="134">
        <f>IF($C74="","",IF(PULL_FUND="N","",IFERROR(BDP($C74,BESTDPS_FIELD,FWD_OVERRIDE,TEXT(MOD(YEAR_Y,100),"00")&amp;"Y"),"")))</f>
        <v/>
      </c>
      <c r="O74" s="133">
        <f>IF($C74="","",AVERAGE(F74:J74))</f>
        <v/>
      </c>
      <c r="P74" s="135">
        <f>IF($C74="","",IF(PULL_FUND="N","",IF(COUNTIFS('Fund History'!$J$380:$J$384,"&gt;="&amp;DATE(YEAR_Y-5,1,1),'Fund History'!$J$380:$J$384,"&lt;="&amp;DATE(YEAR_Y-5,12,31))=0,"",IFERROR($F74*HSI!$G$69/SUMIFS('Fund History'!$K$380:$K$384,'Fund History'!$J$380:$J$384,"&gt;="&amp;DATE(YEAR_Y-5,1,1),'Fund History'!$J$380:$J$384,"&lt;="&amp;DATE(YEAR_Y-5,12,31)),""))))</f>
        <v/>
      </c>
      <c r="Q74" s="136">
        <f>IF($C74="","",IF(PULL_FUND="N","",IF(COUNTIFS('Fund History'!$J$380:$J$384,"&gt;="&amp;DATE(YEAR_Y-4,1,1),'Fund History'!$J$380:$J$384,"&lt;="&amp;DATE(YEAR_Y-4,12,31))=0,"",IFERROR($G74*HSI!$G$69/SUMIFS('Fund History'!$K$380:$K$384,'Fund History'!$J$380:$J$384,"&gt;="&amp;DATE(YEAR_Y-4,1,1),'Fund History'!$J$380:$J$384,"&lt;="&amp;DATE(YEAR_Y-4,12,31)),""))))</f>
        <v/>
      </c>
      <c r="R74" s="136">
        <f>IF($C74="","",IF(PULL_FUND="N","",IF(COUNTIFS('Fund History'!$J$380:$J$384,"&gt;="&amp;DATE(YEAR_Y-3,1,1),'Fund History'!$J$380:$J$384,"&lt;="&amp;DATE(YEAR_Y-3,12,31))=0,"",IFERROR($H74*HSI!$G$69/SUMIFS('Fund History'!$K$380:$K$384,'Fund History'!$J$380:$J$384,"&gt;="&amp;DATE(YEAR_Y-3,1,1),'Fund History'!$J$380:$J$384,"&lt;="&amp;DATE(YEAR_Y-3,12,31)),""))))</f>
        <v/>
      </c>
      <c r="S74" s="136">
        <f>IF($C74="","",IF(PULL_FUND="N","",IF(COUNTIFS('Fund History'!$J$380:$J$384,"&gt;="&amp;DATE(YEAR_Y-2,1,1),'Fund History'!$J$380:$J$384,"&lt;="&amp;DATE(YEAR_Y-2,12,31))=0,"",IFERROR($I74*HSI!$G$69/SUMIFS('Fund History'!$K$380:$K$384,'Fund History'!$J$380:$J$384,"&gt;="&amp;DATE(YEAR_Y-2,1,1),'Fund History'!$J$380:$J$384,"&lt;="&amp;DATE(YEAR_Y-2,12,31)),""))))</f>
        <v/>
      </c>
      <c r="T74" s="136">
        <f>IF($C74="","",IF(PULL_FUND="N","",IF(COUNTIFS('Fund History'!$J$380:$J$384,"&gt;="&amp;DATE(YEAR_Y-1,1,1),'Fund History'!$J$380:$J$384,"&lt;="&amp;DATE(YEAR_Y-1,12,31))=0,"",IFERROR($J74*HSI!$G$69/SUMIFS('Fund History'!$K$380:$K$384,'Fund History'!$J$380:$J$384,"&gt;="&amp;DATE(YEAR_Y-1,1,1),'Fund History'!$J$380:$J$384,"&lt;="&amp;DATE(YEAR_Y-1,12,31)),""))))</f>
        <v/>
      </c>
      <c r="U74" s="137">
        <f>IF($C74="","",IF(ISNUMBER(HSI!$I$69),HSI!$I$69/100,""))</f>
        <v/>
      </c>
      <c r="V74" s="138">
        <f>IF($C74="","",IF(ISNUMBER(HSI!$X$69),IFERROR($M74*HSI!$G$69/HSI!$X$69,""),""))</f>
        <v/>
      </c>
      <c r="W74" s="137">
        <f>IF($C74="","",IF(ISNUMBER($N74),IFERROR($N74*HSI!$G$69/HSI!$X$69,""),""))</f>
        <v/>
      </c>
      <c r="X74" s="139">
        <f>IF($C74="","",IF(PULL_FUND="N","",IFERROR(BDP($C74,EPS_FIELD,YR_OVERRIDE,TEXT(YEAR_Y-5,"0")),"")))</f>
        <v/>
      </c>
      <c r="Y74" s="140">
        <f>IF($C74="","",IF(PULL_FUND="N","",IFERROR(BDP($C74,EPS_FIELD,YR_OVERRIDE,TEXT(YEAR_Y-4,"0")),"")))</f>
        <v/>
      </c>
      <c r="Z74" s="140">
        <f>IF($C74="","",IF(PULL_FUND="N","",IFERROR(BDP($C74,EPS_FIELD,YR_OVERRIDE,TEXT(YEAR_Y-3,"0")),"")))</f>
        <v/>
      </c>
      <c r="AA74" s="140">
        <f>IF($C74="","",IF(PULL_FUND="N","",IFERROR(BDP($C74,EPS_FIELD,YR_OVERRIDE,TEXT(YEAR_Y-2,"0")),"")))</f>
        <v/>
      </c>
      <c r="AB74" s="140">
        <f>IF($C74="","",IF(PULL_FUND="N","",IFERROR(BDP($C74,EPS_FIELD,YR_OVERRIDE,TEXT(YEAR_Y-1,"0")),"")))</f>
        <v/>
      </c>
      <c r="AC74" s="126">
        <f>IF($C74="","",IFERROR(AVERAGE(X74:AB74),""))</f>
        <v/>
      </c>
      <c r="AD74" s="140">
        <f>IF($C74="","",IF(PULL_FUND="N","",IFERROR(BDP($C74,BESTEPS_FIELD,FWD_OVERRIDE,TEXT(MOD(YEAR_Y,100),"00")&amp;"Y"),"")))</f>
        <v/>
      </c>
      <c r="AE74" s="141">
        <f>IF($C74="","",IF(PULL_FUND="N","",IFERROR(BDP($C74,PAYOUT_FIELD,YR_OVERRIDE,TEXT(YEAR_Y-5,"0"))/100,"")))</f>
        <v/>
      </c>
      <c r="AF74" s="142">
        <f>IF($C74="","",IF(PULL_FUND="N","",IFERROR(BDP($C74,PAYOUT_FIELD,YR_OVERRIDE,TEXT(YEAR_Y-4,"0"))/100,"")))</f>
        <v/>
      </c>
      <c r="AG74" s="142">
        <f>IF($C74="","",IF(PULL_FUND="N","",IFERROR(BDP($C74,PAYOUT_FIELD,YR_OVERRIDE,TEXT(YEAR_Y-3,"0"))/100,"")))</f>
        <v/>
      </c>
      <c r="AH74" s="142">
        <f>IF($C74="","",IF(PULL_FUND="N","",IFERROR(BDP($C74,PAYOUT_FIELD,YR_OVERRIDE,TEXT(YEAR_Y-2,"0"))/100,"")))</f>
        <v/>
      </c>
      <c r="AI74" s="142">
        <f>IF($C74="","",IF(PULL_FUND="N","",IFERROR(BDP($C74,PAYOUT_FIELD,YR_OVERRIDE,TEXT(YEAR_Y-1,"0"))/100,"")))</f>
        <v/>
      </c>
      <c r="AJ74" s="143">
        <f>IF($C74="","",IFERROR(AVERAGE(AE74:AI74),""))</f>
        <v/>
      </c>
      <c r="AK74" s="144">
        <f>IF($C74="","",IF(ISNUMBER($AD74)*ISNUMBER($N74)*($AD74&lt;&gt;0)=0,"",$N74/$AD74))</f>
        <v/>
      </c>
      <c r="AL74" s="143">
        <f>IF($C74="","",IF(ISNUMBER($AD74)*($AD74&lt;&gt;0)=0,"",$M74/$AD74))</f>
        <v/>
      </c>
      <c r="AM74" s="37">
        <f>IF($C74="","",IF(ISNUMBER($AE74)*ISNUMBER($AI74)=0,"",IF($AI74&gt;$AE74+0.05,"rising",IF($AI74&lt;$AE74-0.05,"falling","stable"))))</f>
        <v/>
      </c>
      <c r="AN74" s="145">
        <f>IF($C74="","",IF(PULL_FUND="N","",IF(COUNTIFS('Fund History'!$G$380:$G$384,"&gt;="&amp;DATE(YEAR_Y-4,1,1),'Fund History'!$G$380:$G$384,"&lt;="&amp;DATE(YEAR_Y-4,12,31))=0,"",SUMIFS('Fund History'!$H$380:$H$384,'Fund History'!$G$380:$G$384,"&gt;="&amp;DATE(YEAR_Y-4,1,1),'Fund History'!$G$380:$G$384,"&lt;="&amp;DATE(YEAR_Y-4,12,31))/100)))</f>
        <v/>
      </c>
      <c r="AO74" s="146">
        <f>IF($C74="","",IF(PULL_FUND="N","",IF(COUNTIFS('Fund History'!$G$380:$G$384,"&gt;="&amp;DATE(YEAR_Y-3,1,1),'Fund History'!$G$380:$G$384,"&lt;="&amp;DATE(YEAR_Y-3,12,31))=0,"",SUMIFS('Fund History'!$H$380:$H$384,'Fund History'!$G$380:$G$384,"&gt;="&amp;DATE(YEAR_Y-3,1,1),'Fund History'!$G$380:$G$384,"&lt;="&amp;DATE(YEAR_Y-3,12,31))/100)))</f>
        <v/>
      </c>
      <c r="AP74" s="146">
        <f>IF($C74="","",IF(PULL_FUND="N","",IF(COUNTIFS('Fund History'!$G$380:$G$384,"&gt;="&amp;DATE(YEAR_Y-2,1,1),'Fund History'!$G$380:$G$384,"&lt;="&amp;DATE(YEAR_Y-2,12,31))=0,"",SUMIFS('Fund History'!$H$380:$H$384,'Fund History'!$G$380:$G$384,"&gt;="&amp;DATE(YEAR_Y-2,1,1),'Fund History'!$G$380:$G$384,"&lt;="&amp;DATE(YEAR_Y-2,12,31))/100)))</f>
        <v/>
      </c>
      <c r="AQ74" s="146">
        <f>IF($C74="","",IF(PULL_FUND="N","",IF(COUNTIFS('Fund History'!$G$380:$G$384,"&gt;="&amp;DATE(YEAR_Y-1,1,1),'Fund History'!$G$380:$G$384,"&lt;="&amp;DATE(YEAR_Y-1,12,31))=0,"",SUMIFS('Fund History'!$H$380:$H$384,'Fund History'!$G$380:$G$384,"&gt;="&amp;DATE(YEAR_Y-1,1,1),'Fund History'!$G$380:$G$384,"&lt;="&amp;DATE(YEAR_Y-1,12,31))/100)))</f>
        <v/>
      </c>
      <c r="AR74" s="147">
        <f>IF($C74="","",IF(N($AQ74)+N(HSI!$I$69)=0,"",N($AQ74)+N(HSI!$I$69)/100))</f>
        <v/>
      </c>
      <c r="AS74" s="139">
        <f>IF($C74="","",IF(PULL_FUND="N","",IF(COUNTIFS('Fund History'!$D$380:$D$384,"&gt;="&amp;DATE(YEAR_Y-2,1,1),'Fund History'!$D$380:$D$384,"&lt;="&amp;DATE(YEAR_Y-2,12,31))=0,"",SUMIFS('Fund History'!$E$380:$E$384,'Fund History'!$D$380:$D$384,"&gt;="&amp;DATE(YEAR_Y-2,1,1),'Fund History'!$D$380:$D$384,"&lt;="&amp;DATE(YEAR_Y-2,12,31)))))</f>
        <v/>
      </c>
      <c r="AT74" s="140">
        <f>IF($C74="","",IF(PULL_FUND="N","",IF(COUNTIFS('Fund History'!$D$380:$D$384,"&gt;="&amp;DATE(YEAR_Y-1,1,1),'Fund History'!$D$380:$D$384,"&lt;="&amp;DATE(YEAR_Y-1,12,31))=0,"",SUMIFS('Fund History'!$E$380:$E$384,'Fund History'!$D$380:$D$384,"&gt;="&amp;DATE(YEAR_Y-1,1,1),'Fund History'!$D$380:$D$384,"&lt;="&amp;DATE(YEAR_Y-1,12,31)))))</f>
        <v/>
      </c>
      <c r="AU74" s="140">
        <f>IF($C74="","",IF(PULL_FUND="N","",IFERROR(BDP($C74,NDEBITDA_FIELD),"")))</f>
        <v/>
      </c>
      <c r="AV74" s="148">
        <f>IF($C74="","",IF(PULL_FUND="N","",IFERROR(BDP($C74,EBINT_FIELD),"")))</f>
        <v/>
      </c>
      <c r="AW74" s="146">
        <f>IF($C74="","",IF(PULL_FUND="N","",IFERROR(BDP($C74,FCF_FIELD)/100,"")))</f>
        <v/>
      </c>
      <c r="AX74" s="126">
        <f>IF($C74="","",IF(N($U74)=0,"",IFERROR($AW74/$U74,"")))</f>
        <v/>
      </c>
      <c r="AY74" s="85">
        <f>IF($C74="","",TRIM(IF(ISNUMBER($AJ74)*(N($AJ74)&gt;$D$4)&gt;0,"payout high  ","")&amp;IF(ISNUMBER($AX74)*(N($AX74)&lt;$F$4)&gt;0,"FCF below dvd  ","")&amp;IF(ISNUMBER($AU74)*(N($AU74)&gt;$H$4)&gt;0,"leverage high","")))</f>
        <v/>
      </c>
      <c r="AZ74" s="86">
        <f>IF($C74="","",IF(HSI!$F$69="HKD","",HSI!$F$69))</f>
        <v/>
      </c>
    </row>
    <row r="75">
      <c r="B75" s="66" t="inlineStr">
        <is>
          <t>HSI</t>
        </is>
      </c>
      <c r="C75" s="8">
        <f>IF(HSI!$C$70="","",HSI!$C$70)</f>
        <v/>
      </c>
      <c r="D75" s="8">
        <f>IF($C75="","",HSI!$D$70)</f>
        <v/>
      </c>
      <c r="E75" s="8">
        <f>IF($C75="","",HSI!$E$70)</f>
        <v/>
      </c>
      <c r="F75" s="131">
        <f>IF($C75="","",SUMPRODUCT(('Dvd Calendar'!$E$704:$AR$704&gt;=DATE(YEAR_Y-5,1,1))*('Dvd Calendar'!$E$704:$AR$704&lt;=DATE(YEAR_Y-5,12,31))*'Dvd Calendar'!$E$707:$AR$707*(('Dvd Calendar'!$E$709:$AR$709=TYPE1)*(TYPE1&lt;&gt;"")+('Dvd Calendar'!$E$709:$AR$709=TYPE2)*(TYPE2&lt;&gt;"")+('Dvd Calendar'!$E$709:$AR$709=TYPE3)*(TYPE3&lt;&gt;"")+('Dvd Calendar'!$E$709:$AR$709=TYPE4)*(TYPE4&lt;&gt;"")+('Dvd Calendar'!$E$709:$AR$709=SPECIAL_LBL)*(INC_SPECIALS="Y"))))</f>
        <v/>
      </c>
      <c r="G75" s="132">
        <f>IF($C75="","",SUMPRODUCT(('Dvd Calendar'!$E$704:$AR$704&gt;=DATE(YEAR_Y-4,1,1))*('Dvd Calendar'!$E$704:$AR$704&lt;=DATE(YEAR_Y-4,12,31))*'Dvd Calendar'!$E$707:$AR$707*(('Dvd Calendar'!$E$709:$AR$709=TYPE1)*(TYPE1&lt;&gt;"")+('Dvd Calendar'!$E$709:$AR$709=TYPE2)*(TYPE2&lt;&gt;"")+('Dvd Calendar'!$E$709:$AR$709=TYPE3)*(TYPE3&lt;&gt;"")+('Dvd Calendar'!$E$709:$AR$709=TYPE4)*(TYPE4&lt;&gt;"")+('Dvd Calendar'!$E$709:$AR$709=SPECIAL_LBL)*(INC_SPECIALS="Y"))))</f>
        <v/>
      </c>
      <c r="H75" s="132">
        <f>IF($C75="","",SUMPRODUCT(('Dvd Calendar'!$E$704:$AR$704&gt;=DATE(YEAR_Y-3,1,1))*('Dvd Calendar'!$E$704:$AR$704&lt;=DATE(YEAR_Y-3,12,31))*'Dvd Calendar'!$E$707:$AR$707*(('Dvd Calendar'!$E$709:$AR$709=TYPE1)*(TYPE1&lt;&gt;"")+('Dvd Calendar'!$E$709:$AR$709=TYPE2)*(TYPE2&lt;&gt;"")+('Dvd Calendar'!$E$709:$AR$709=TYPE3)*(TYPE3&lt;&gt;"")+('Dvd Calendar'!$E$709:$AR$709=TYPE4)*(TYPE4&lt;&gt;"")+('Dvd Calendar'!$E$709:$AR$709=SPECIAL_LBL)*(INC_SPECIALS="Y"))))</f>
        <v/>
      </c>
      <c r="I75" s="132">
        <f>IF($C75="","",SUMPRODUCT(('Dvd Calendar'!$E$704:$AR$704&gt;=DATE(YEAR_Y-2,1,1))*('Dvd Calendar'!$E$704:$AR$704&lt;=DATE(YEAR_Y-2,12,31))*'Dvd Calendar'!$E$707:$AR$707*(('Dvd Calendar'!$E$709:$AR$709=TYPE1)*(TYPE1&lt;&gt;"")+('Dvd Calendar'!$E$709:$AR$709=TYPE2)*(TYPE2&lt;&gt;"")+('Dvd Calendar'!$E$709:$AR$709=TYPE3)*(TYPE3&lt;&gt;"")+('Dvd Calendar'!$E$709:$AR$709=TYPE4)*(TYPE4&lt;&gt;"")+('Dvd Calendar'!$E$709:$AR$709=SPECIAL_LBL)*(INC_SPECIALS="Y"))))</f>
        <v/>
      </c>
      <c r="J75" s="132">
        <f>IF($C75="","",SUMPRODUCT(('Dvd Calendar'!$E$704:$AR$704&gt;=DATE(YEAR_Y-1,1,1))*('Dvd Calendar'!$E$704:$AR$704&lt;=DATE(YEAR_Y-1,12,31))*'Dvd Calendar'!$E$707:$AR$707*(('Dvd Calendar'!$E$709:$AR$709=TYPE1)*(TYPE1&lt;&gt;"")+('Dvd Calendar'!$E$709:$AR$709=TYPE2)*(TYPE2&lt;&gt;"")+('Dvd Calendar'!$E$709:$AR$709=TYPE3)*(TYPE3&lt;&gt;"")+('Dvd Calendar'!$E$709:$AR$709=TYPE4)*(TYPE4&lt;&gt;"")+('Dvd Calendar'!$E$709:$AR$709=SPECIAL_LBL)*(INC_SPECIALS="Y"))))</f>
        <v/>
      </c>
      <c r="K75" s="133">
        <f>IF($C75="","",HSI!$J$70)</f>
        <v/>
      </c>
      <c r="L75" s="133">
        <f>IF($C75="","",HSI!$K$70)</f>
        <v/>
      </c>
      <c r="M75" s="124">
        <f>IF($C75="","",HSI!$J$70+HSI!$L$70)</f>
        <v/>
      </c>
      <c r="N75" s="134">
        <f>IF($C75="","",IF(PULL_FUND="N","",IFERROR(BDP($C75,BESTDPS_FIELD,FWD_OVERRIDE,TEXT(MOD(YEAR_Y,100),"00")&amp;"Y"),"")))</f>
        <v/>
      </c>
      <c r="O75" s="133">
        <f>IF($C75="","",AVERAGE(F75:J75))</f>
        <v/>
      </c>
      <c r="P75" s="135">
        <f>IF($C75="","",IF(PULL_FUND="N","",IF(COUNTIFS('Fund History'!$J$386:$J$390,"&gt;="&amp;DATE(YEAR_Y-5,1,1),'Fund History'!$J$386:$J$390,"&lt;="&amp;DATE(YEAR_Y-5,12,31))=0,"",IFERROR($F75*HSI!$G$70/SUMIFS('Fund History'!$K$386:$K$390,'Fund History'!$J$386:$J$390,"&gt;="&amp;DATE(YEAR_Y-5,1,1),'Fund History'!$J$386:$J$390,"&lt;="&amp;DATE(YEAR_Y-5,12,31)),""))))</f>
        <v/>
      </c>
      <c r="Q75" s="136">
        <f>IF($C75="","",IF(PULL_FUND="N","",IF(COUNTIFS('Fund History'!$J$386:$J$390,"&gt;="&amp;DATE(YEAR_Y-4,1,1),'Fund History'!$J$386:$J$390,"&lt;="&amp;DATE(YEAR_Y-4,12,31))=0,"",IFERROR($G75*HSI!$G$70/SUMIFS('Fund History'!$K$386:$K$390,'Fund History'!$J$386:$J$390,"&gt;="&amp;DATE(YEAR_Y-4,1,1),'Fund History'!$J$386:$J$390,"&lt;="&amp;DATE(YEAR_Y-4,12,31)),""))))</f>
        <v/>
      </c>
      <c r="R75" s="136">
        <f>IF($C75="","",IF(PULL_FUND="N","",IF(COUNTIFS('Fund History'!$J$386:$J$390,"&gt;="&amp;DATE(YEAR_Y-3,1,1),'Fund History'!$J$386:$J$390,"&lt;="&amp;DATE(YEAR_Y-3,12,31))=0,"",IFERROR($H75*HSI!$G$70/SUMIFS('Fund History'!$K$386:$K$390,'Fund History'!$J$386:$J$390,"&gt;="&amp;DATE(YEAR_Y-3,1,1),'Fund History'!$J$386:$J$390,"&lt;="&amp;DATE(YEAR_Y-3,12,31)),""))))</f>
        <v/>
      </c>
      <c r="S75" s="136">
        <f>IF($C75="","",IF(PULL_FUND="N","",IF(COUNTIFS('Fund History'!$J$386:$J$390,"&gt;="&amp;DATE(YEAR_Y-2,1,1),'Fund History'!$J$386:$J$390,"&lt;="&amp;DATE(YEAR_Y-2,12,31))=0,"",IFERROR($I75*HSI!$G$70/SUMIFS('Fund History'!$K$386:$K$390,'Fund History'!$J$386:$J$390,"&gt;="&amp;DATE(YEAR_Y-2,1,1),'Fund History'!$J$386:$J$390,"&lt;="&amp;DATE(YEAR_Y-2,12,31)),""))))</f>
        <v/>
      </c>
      <c r="T75" s="136">
        <f>IF($C75="","",IF(PULL_FUND="N","",IF(COUNTIFS('Fund History'!$J$386:$J$390,"&gt;="&amp;DATE(YEAR_Y-1,1,1),'Fund History'!$J$386:$J$390,"&lt;="&amp;DATE(YEAR_Y-1,12,31))=0,"",IFERROR($J75*HSI!$G$70/SUMIFS('Fund History'!$K$386:$K$390,'Fund History'!$J$386:$J$390,"&gt;="&amp;DATE(YEAR_Y-1,1,1),'Fund History'!$J$386:$J$390,"&lt;="&amp;DATE(YEAR_Y-1,12,31)),""))))</f>
        <v/>
      </c>
      <c r="U75" s="137">
        <f>IF($C75="","",IF(ISNUMBER(HSI!$I$70),HSI!$I$70/100,""))</f>
        <v/>
      </c>
      <c r="V75" s="138">
        <f>IF($C75="","",IF(ISNUMBER(HSI!$X$70),IFERROR($M75*HSI!$G$70/HSI!$X$70,""),""))</f>
        <v/>
      </c>
      <c r="W75" s="137">
        <f>IF($C75="","",IF(ISNUMBER($N75),IFERROR($N75*HSI!$G$70/HSI!$X$70,""),""))</f>
        <v/>
      </c>
      <c r="X75" s="139">
        <f>IF($C75="","",IF(PULL_FUND="N","",IFERROR(BDP($C75,EPS_FIELD,YR_OVERRIDE,TEXT(YEAR_Y-5,"0")),"")))</f>
        <v/>
      </c>
      <c r="Y75" s="140">
        <f>IF($C75="","",IF(PULL_FUND="N","",IFERROR(BDP($C75,EPS_FIELD,YR_OVERRIDE,TEXT(YEAR_Y-4,"0")),"")))</f>
        <v/>
      </c>
      <c r="Z75" s="140">
        <f>IF($C75="","",IF(PULL_FUND="N","",IFERROR(BDP($C75,EPS_FIELD,YR_OVERRIDE,TEXT(YEAR_Y-3,"0")),"")))</f>
        <v/>
      </c>
      <c r="AA75" s="140">
        <f>IF($C75="","",IF(PULL_FUND="N","",IFERROR(BDP($C75,EPS_FIELD,YR_OVERRIDE,TEXT(YEAR_Y-2,"0")),"")))</f>
        <v/>
      </c>
      <c r="AB75" s="140">
        <f>IF($C75="","",IF(PULL_FUND="N","",IFERROR(BDP($C75,EPS_FIELD,YR_OVERRIDE,TEXT(YEAR_Y-1,"0")),"")))</f>
        <v/>
      </c>
      <c r="AC75" s="126">
        <f>IF($C75="","",IFERROR(AVERAGE(X75:AB75),""))</f>
        <v/>
      </c>
      <c r="AD75" s="140">
        <f>IF($C75="","",IF(PULL_FUND="N","",IFERROR(BDP($C75,BESTEPS_FIELD,FWD_OVERRIDE,TEXT(MOD(YEAR_Y,100),"00")&amp;"Y"),"")))</f>
        <v/>
      </c>
      <c r="AE75" s="141">
        <f>IF($C75="","",IF(PULL_FUND="N","",IFERROR(BDP($C75,PAYOUT_FIELD,YR_OVERRIDE,TEXT(YEAR_Y-5,"0"))/100,"")))</f>
        <v/>
      </c>
      <c r="AF75" s="142">
        <f>IF($C75="","",IF(PULL_FUND="N","",IFERROR(BDP($C75,PAYOUT_FIELD,YR_OVERRIDE,TEXT(YEAR_Y-4,"0"))/100,"")))</f>
        <v/>
      </c>
      <c r="AG75" s="142">
        <f>IF($C75="","",IF(PULL_FUND="N","",IFERROR(BDP($C75,PAYOUT_FIELD,YR_OVERRIDE,TEXT(YEAR_Y-3,"0"))/100,"")))</f>
        <v/>
      </c>
      <c r="AH75" s="142">
        <f>IF($C75="","",IF(PULL_FUND="N","",IFERROR(BDP($C75,PAYOUT_FIELD,YR_OVERRIDE,TEXT(YEAR_Y-2,"0"))/100,"")))</f>
        <v/>
      </c>
      <c r="AI75" s="142">
        <f>IF($C75="","",IF(PULL_FUND="N","",IFERROR(BDP($C75,PAYOUT_FIELD,YR_OVERRIDE,TEXT(YEAR_Y-1,"0"))/100,"")))</f>
        <v/>
      </c>
      <c r="AJ75" s="143">
        <f>IF($C75="","",IFERROR(AVERAGE(AE75:AI75),""))</f>
        <v/>
      </c>
      <c r="AK75" s="144">
        <f>IF($C75="","",IF(ISNUMBER($AD75)*ISNUMBER($N75)*($AD75&lt;&gt;0)=0,"",$N75/$AD75))</f>
        <v/>
      </c>
      <c r="AL75" s="143">
        <f>IF($C75="","",IF(ISNUMBER($AD75)*($AD75&lt;&gt;0)=0,"",$M75/$AD75))</f>
        <v/>
      </c>
      <c r="AM75" s="37">
        <f>IF($C75="","",IF(ISNUMBER($AE75)*ISNUMBER($AI75)=0,"",IF($AI75&gt;$AE75+0.05,"rising",IF($AI75&lt;$AE75-0.05,"falling","stable"))))</f>
        <v/>
      </c>
      <c r="AN75" s="145">
        <f>IF($C75="","",IF(PULL_FUND="N","",IF(COUNTIFS('Fund History'!$G$386:$G$390,"&gt;="&amp;DATE(YEAR_Y-4,1,1),'Fund History'!$G$386:$G$390,"&lt;="&amp;DATE(YEAR_Y-4,12,31))=0,"",SUMIFS('Fund History'!$H$386:$H$390,'Fund History'!$G$386:$G$390,"&gt;="&amp;DATE(YEAR_Y-4,1,1),'Fund History'!$G$386:$G$390,"&lt;="&amp;DATE(YEAR_Y-4,12,31))/100)))</f>
        <v/>
      </c>
      <c r="AO75" s="146">
        <f>IF($C75="","",IF(PULL_FUND="N","",IF(COUNTIFS('Fund History'!$G$386:$G$390,"&gt;="&amp;DATE(YEAR_Y-3,1,1),'Fund History'!$G$386:$G$390,"&lt;="&amp;DATE(YEAR_Y-3,12,31))=0,"",SUMIFS('Fund History'!$H$386:$H$390,'Fund History'!$G$386:$G$390,"&gt;="&amp;DATE(YEAR_Y-3,1,1),'Fund History'!$G$386:$G$390,"&lt;="&amp;DATE(YEAR_Y-3,12,31))/100)))</f>
        <v/>
      </c>
      <c r="AP75" s="146">
        <f>IF($C75="","",IF(PULL_FUND="N","",IF(COUNTIFS('Fund History'!$G$386:$G$390,"&gt;="&amp;DATE(YEAR_Y-2,1,1),'Fund History'!$G$386:$G$390,"&lt;="&amp;DATE(YEAR_Y-2,12,31))=0,"",SUMIFS('Fund History'!$H$386:$H$390,'Fund History'!$G$386:$G$390,"&gt;="&amp;DATE(YEAR_Y-2,1,1),'Fund History'!$G$386:$G$390,"&lt;="&amp;DATE(YEAR_Y-2,12,31))/100)))</f>
        <v/>
      </c>
      <c r="AQ75" s="146">
        <f>IF($C75="","",IF(PULL_FUND="N","",IF(COUNTIFS('Fund History'!$G$386:$G$390,"&gt;="&amp;DATE(YEAR_Y-1,1,1),'Fund History'!$G$386:$G$390,"&lt;="&amp;DATE(YEAR_Y-1,12,31))=0,"",SUMIFS('Fund History'!$H$386:$H$390,'Fund History'!$G$386:$G$390,"&gt;="&amp;DATE(YEAR_Y-1,1,1),'Fund History'!$G$386:$G$390,"&lt;="&amp;DATE(YEAR_Y-1,12,31))/100)))</f>
        <v/>
      </c>
      <c r="AR75" s="147">
        <f>IF($C75="","",IF(N($AQ75)+N(HSI!$I$70)=0,"",N($AQ75)+N(HSI!$I$70)/100))</f>
        <v/>
      </c>
      <c r="AS75" s="139">
        <f>IF($C75="","",IF(PULL_FUND="N","",IF(COUNTIFS('Fund History'!$D$386:$D$390,"&gt;="&amp;DATE(YEAR_Y-2,1,1),'Fund History'!$D$386:$D$390,"&lt;="&amp;DATE(YEAR_Y-2,12,31))=0,"",SUMIFS('Fund History'!$E$386:$E$390,'Fund History'!$D$386:$D$390,"&gt;="&amp;DATE(YEAR_Y-2,1,1),'Fund History'!$D$386:$D$390,"&lt;="&amp;DATE(YEAR_Y-2,12,31)))))</f>
        <v/>
      </c>
      <c r="AT75" s="140">
        <f>IF($C75="","",IF(PULL_FUND="N","",IF(COUNTIFS('Fund History'!$D$386:$D$390,"&gt;="&amp;DATE(YEAR_Y-1,1,1),'Fund History'!$D$386:$D$390,"&lt;="&amp;DATE(YEAR_Y-1,12,31))=0,"",SUMIFS('Fund History'!$E$386:$E$390,'Fund History'!$D$386:$D$390,"&gt;="&amp;DATE(YEAR_Y-1,1,1),'Fund History'!$D$386:$D$390,"&lt;="&amp;DATE(YEAR_Y-1,12,31)))))</f>
        <v/>
      </c>
      <c r="AU75" s="140">
        <f>IF($C75="","",IF(PULL_FUND="N","",IFERROR(BDP($C75,NDEBITDA_FIELD),"")))</f>
        <v/>
      </c>
      <c r="AV75" s="148">
        <f>IF($C75="","",IF(PULL_FUND="N","",IFERROR(BDP($C75,EBINT_FIELD),"")))</f>
        <v/>
      </c>
      <c r="AW75" s="146">
        <f>IF($C75="","",IF(PULL_FUND="N","",IFERROR(BDP($C75,FCF_FIELD)/100,"")))</f>
        <v/>
      </c>
      <c r="AX75" s="126">
        <f>IF($C75="","",IF(N($U75)=0,"",IFERROR($AW75/$U75,"")))</f>
        <v/>
      </c>
      <c r="AY75" s="85">
        <f>IF($C75="","",TRIM(IF(ISNUMBER($AJ75)*(N($AJ75)&gt;$D$4)&gt;0,"payout high  ","")&amp;IF(ISNUMBER($AX75)*(N($AX75)&lt;$F$4)&gt;0,"FCF below dvd  ","")&amp;IF(ISNUMBER($AU75)*(N($AU75)&gt;$H$4)&gt;0,"leverage high","")))</f>
        <v/>
      </c>
      <c r="AZ75" s="86">
        <f>IF($C75="","",IF(HSI!$F$70="HKD","",HSI!$F$70))</f>
        <v/>
      </c>
    </row>
    <row r="76">
      <c r="B76" s="66" t="inlineStr">
        <is>
          <t>HSI</t>
        </is>
      </c>
      <c r="C76" s="8">
        <f>IF(HSI!$C$71="","",HSI!$C$71)</f>
        <v/>
      </c>
      <c r="D76" s="8">
        <f>IF($C76="","",HSI!$D$71)</f>
        <v/>
      </c>
      <c r="E76" s="8">
        <f>IF($C76="","",HSI!$E$71)</f>
        <v/>
      </c>
      <c r="F76" s="131">
        <f>IF($C76="","",SUMPRODUCT(('Dvd Calendar'!$E$715:$AR$715&gt;=DATE(YEAR_Y-5,1,1))*('Dvd Calendar'!$E$715:$AR$715&lt;=DATE(YEAR_Y-5,12,31))*'Dvd Calendar'!$E$718:$AR$718*(('Dvd Calendar'!$E$720:$AR$720=TYPE1)*(TYPE1&lt;&gt;"")+('Dvd Calendar'!$E$720:$AR$720=TYPE2)*(TYPE2&lt;&gt;"")+('Dvd Calendar'!$E$720:$AR$720=TYPE3)*(TYPE3&lt;&gt;"")+('Dvd Calendar'!$E$720:$AR$720=TYPE4)*(TYPE4&lt;&gt;"")+('Dvd Calendar'!$E$720:$AR$720=SPECIAL_LBL)*(INC_SPECIALS="Y"))))</f>
        <v/>
      </c>
      <c r="G76" s="132">
        <f>IF($C76="","",SUMPRODUCT(('Dvd Calendar'!$E$715:$AR$715&gt;=DATE(YEAR_Y-4,1,1))*('Dvd Calendar'!$E$715:$AR$715&lt;=DATE(YEAR_Y-4,12,31))*'Dvd Calendar'!$E$718:$AR$718*(('Dvd Calendar'!$E$720:$AR$720=TYPE1)*(TYPE1&lt;&gt;"")+('Dvd Calendar'!$E$720:$AR$720=TYPE2)*(TYPE2&lt;&gt;"")+('Dvd Calendar'!$E$720:$AR$720=TYPE3)*(TYPE3&lt;&gt;"")+('Dvd Calendar'!$E$720:$AR$720=TYPE4)*(TYPE4&lt;&gt;"")+('Dvd Calendar'!$E$720:$AR$720=SPECIAL_LBL)*(INC_SPECIALS="Y"))))</f>
        <v/>
      </c>
      <c r="H76" s="132">
        <f>IF($C76="","",SUMPRODUCT(('Dvd Calendar'!$E$715:$AR$715&gt;=DATE(YEAR_Y-3,1,1))*('Dvd Calendar'!$E$715:$AR$715&lt;=DATE(YEAR_Y-3,12,31))*'Dvd Calendar'!$E$718:$AR$718*(('Dvd Calendar'!$E$720:$AR$720=TYPE1)*(TYPE1&lt;&gt;"")+('Dvd Calendar'!$E$720:$AR$720=TYPE2)*(TYPE2&lt;&gt;"")+('Dvd Calendar'!$E$720:$AR$720=TYPE3)*(TYPE3&lt;&gt;"")+('Dvd Calendar'!$E$720:$AR$720=TYPE4)*(TYPE4&lt;&gt;"")+('Dvd Calendar'!$E$720:$AR$720=SPECIAL_LBL)*(INC_SPECIALS="Y"))))</f>
        <v/>
      </c>
      <c r="I76" s="132">
        <f>IF($C76="","",SUMPRODUCT(('Dvd Calendar'!$E$715:$AR$715&gt;=DATE(YEAR_Y-2,1,1))*('Dvd Calendar'!$E$715:$AR$715&lt;=DATE(YEAR_Y-2,12,31))*'Dvd Calendar'!$E$718:$AR$718*(('Dvd Calendar'!$E$720:$AR$720=TYPE1)*(TYPE1&lt;&gt;"")+('Dvd Calendar'!$E$720:$AR$720=TYPE2)*(TYPE2&lt;&gt;"")+('Dvd Calendar'!$E$720:$AR$720=TYPE3)*(TYPE3&lt;&gt;"")+('Dvd Calendar'!$E$720:$AR$720=TYPE4)*(TYPE4&lt;&gt;"")+('Dvd Calendar'!$E$720:$AR$720=SPECIAL_LBL)*(INC_SPECIALS="Y"))))</f>
        <v/>
      </c>
      <c r="J76" s="132">
        <f>IF($C76="","",SUMPRODUCT(('Dvd Calendar'!$E$715:$AR$715&gt;=DATE(YEAR_Y-1,1,1))*('Dvd Calendar'!$E$715:$AR$715&lt;=DATE(YEAR_Y-1,12,31))*'Dvd Calendar'!$E$718:$AR$718*(('Dvd Calendar'!$E$720:$AR$720=TYPE1)*(TYPE1&lt;&gt;"")+('Dvd Calendar'!$E$720:$AR$720=TYPE2)*(TYPE2&lt;&gt;"")+('Dvd Calendar'!$E$720:$AR$720=TYPE3)*(TYPE3&lt;&gt;"")+('Dvd Calendar'!$E$720:$AR$720=TYPE4)*(TYPE4&lt;&gt;"")+('Dvd Calendar'!$E$720:$AR$720=SPECIAL_LBL)*(INC_SPECIALS="Y"))))</f>
        <v/>
      </c>
      <c r="K76" s="133">
        <f>IF($C76="","",HSI!$J$71)</f>
        <v/>
      </c>
      <c r="L76" s="133">
        <f>IF($C76="","",HSI!$K$71)</f>
        <v/>
      </c>
      <c r="M76" s="124">
        <f>IF($C76="","",HSI!$J$71+HSI!$L$71)</f>
        <v/>
      </c>
      <c r="N76" s="134">
        <f>IF($C76="","",IF(PULL_FUND="N","",IFERROR(BDP($C76,BESTDPS_FIELD,FWD_OVERRIDE,TEXT(MOD(YEAR_Y,100),"00")&amp;"Y"),"")))</f>
        <v/>
      </c>
      <c r="O76" s="133">
        <f>IF($C76="","",AVERAGE(F76:J76))</f>
        <v/>
      </c>
      <c r="P76" s="135">
        <f>IF($C76="","",IF(PULL_FUND="N","",IF(COUNTIFS('Fund History'!$J$392:$J$396,"&gt;="&amp;DATE(YEAR_Y-5,1,1),'Fund History'!$J$392:$J$396,"&lt;="&amp;DATE(YEAR_Y-5,12,31))=0,"",IFERROR($F76*HSI!$G$71/SUMIFS('Fund History'!$K$392:$K$396,'Fund History'!$J$392:$J$396,"&gt;="&amp;DATE(YEAR_Y-5,1,1),'Fund History'!$J$392:$J$396,"&lt;="&amp;DATE(YEAR_Y-5,12,31)),""))))</f>
        <v/>
      </c>
      <c r="Q76" s="136">
        <f>IF($C76="","",IF(PULL_FUND="N","",IF(COUNTIFS('Fund History'!$J$392:$J$396,"&gt;="&amp;DATE(YEAR_Y-4,1,1),'Fund History'!$J$392:$J$396,"&lt;="&amp;DATE(YEAR_Y-4,12,31))=0,"",IFERROR($G76*HSI!$G$71/SUMIFS('Fund History'!$K$392:$K$396,'Fund History'!$J$392:$J$396,"&gt;="&amp;DATE(YEAR_Y-4,1,1),'Fund History'!$J$392:$J$396,"&lt;="&amp;DATE(YEAR_Y-4,12,31)),""))))</f>
        <v/>
      </c>
      <c r="R76" s="136">
        <f>IF($C76="","",IF(PULL_FUND="N","",IF(COUNTIFS('Fund History'!$J$392:$J$396,"&gt;="&amp;DATE(YEAR_Y-3,1,1),'Fund History'!$J$392:$J$396,"&lt;="&amp;DATE(YEAR_Y-3,12,31))=0,"",IFERROR($H76*HSI!$G$71/SUMIFS('Fund History'!$K$392:$K$396,'Fund History'!$J$392:$J$396,"&gt;="&amp;DATE(YEAR_Y-3,1,1),'Fund History'!$J$392:$J$396,"&lt;="&amp;DATE(YEAR_Y-3,12,31)),""))))</f>
        <v/>
      </c>
      <c r="S76" s="136">
        <f>IF($C76="","",IF(PULL_FUND="N","",IF(COUNTIFS('Fund History'!$J$392:$J$396,"&gt;="&amp;DATE(YEAR_Y-2,1,1),'Fund History'!$J$392:$J$396,"&lt;="&amp;DATE(YEAR_Y-2,12,31))=0,"",IFERROR($I76*HSI!$G$71/SUMIFS('Fund History'!$K$392:$K$396,'Fund History'!$J$392:$J$396,"&gt;="&amp;DATE(YEAR_Y-2,1,1),'Fund History'!$J$392:$J$396,"&lt;="&amp;DATE(YEAR_Y-2,12,31)),""))))</f>
        <v/>
      </c>
      <c r="T76" s="136">
        <f>IF($C76="","",IF(PULL_FUND="N","",IF(COUNTIFS('Fund History'!$J$392:$J$396,"&gt;="&amp;DATE(YEAR_Y-1,1,1),'Fund History'!$J$392:$J$396,"&lt;="&amp;DATE(YEAR_Y-1,12,31))=0,"",IFERROR($J76*HSI!$G$71/SUMIFS('Fund History'!$K$392:$K$396,'Fund History'!$J$392:$J$396,"&gt;="&amp;DATE(YEAR_Y-1,1,1),'Fund History'!$J$392:$J$396,"&lt;="&amp;DATE(YEAR_Y-1,12,31)),""))))</f>
        <v/>
      </c>
      <c r="U76" s="137">
        <f>IF($C76="","",IF(ISNUMBER(HSI!$I$71),HSI!$I$71/100,""))</f>
        <v/>
      </c>
      <c r="V76" s="138">
        <f>IF($C76="","",IF(ISNUMBER(HSI!$X$71),IFERROR($M76*HSI!$G$71/HSI!$X$71,""),""))</f>
        <v/>
      </c>
      <c r="W76" s="137">
        <f>IF($C76="","",IF(ISNUMBER($N76),IFERROR($N76*HSI!$G$71/HSI!$X$71,""),""))</f>
        <v/>
      </c>
      <c r="X76" s="139">
        <f>IF($C76="","",IF(PULL_FUND="N","",IFERROR(BDP($C76,EPS_FIELD,YR_OVERRIDE,TEXT(YEAR_Y-5,"0")),"")))</f>
        <v/>
      </c>
      <c r="Y76" s="140">
        <f>IF($C76="","",IF(PULL_FUND="N","",IFERROR(BDP($C76,EPS_FIELD,YR_OVERRIDE,TEXT(YEAR_Y-4,"0")),"")))</f>
        <v/>
      </c>
      <c r="Z76" s="140">
        <f>IF($C76="","",IF(PULL_FUND="N","",IFERROR(BDP($C76,EPS_FIELD,YR_OVERRIDE,TEXT(YEAR_Y-3,"0")),"")))</f>
        <v/>
      </c>
      <c r="AA76" s="140">
        <f>IF($C76="","",IF(PULL_FUND="N","",IFERROR(BDP($C76,EPS_FIELD,YR_OVERRIDE,TEXT(YEAR_Y-2,"0")),"")))</f>
        <v/>
      </c>
      <c r="AB76" s="140">
        <f>IF($C76="","",IF(PULL_FUND="N","",IFERROR(BDP($C76,EPS_FIELD,YR_OVERRIDE,TEXT(YEAR_Y-1,"0")),"")))</f>
        <v/>
      </c>
      <c r="AC76" s="126">
        <f>IF($C76="","",IFERROR(AVERAGE(X76:AB76),""))</f>
        <v/>
      </c>
      <c r="AD76" s="140">
        <f>IF($C76="","",IF(PULL_FUND="N","",IFERROR(BDP($C76,BESTEPS_FIELD,FWD_OVERRIDE,TEXT(MOD(YEAR_Y,100),"00")&amp;"Y"),"")))</f>
        <v/>
      </c>
      <c r="AE76" s="141">
        <f>IF($C76="","",IF(PULL_FUND="N","",IFERROR(BDP($C76,PAYOUT_FIELD,YR_OVERRIDE,TEXT(YEAR_Y-5,"0"))/100,"")))</f>
        <v/>
      </c>
      <c r="AF76" s="142">
        <f>IF($C76="","",IF(PULL_FUND="N","",IFERROR(BDP($C76,PAYOUT_FIELD,YR_OVERRIDE,TEXT(YEAR_Y-4,"0"))/100,"")))</f>
        <v/>
      </c>
      <c r="AG76" s="142">
        <f>IF($C76="","",IF(PULL_FUND="N","",IFERROR(BDP($C76,PAYOUT_FIELD,YR_OVERRIDE,TEXT(YEAR_Y-3,"0"))/100,"")))</f>
        <v/>
      </c>
      <c r="AH76" s="142">
        <f>IF($C76="","",IF(PULL_FUND="N","",IFERROR(BDP($C76,PAYOUT_FIELD,YR_OVERRIDE,TEXT(YEAR_Y-2,"0"))/100,"")))</f>
        <v/>
      </c>
      <c r="AI76" s="142">
        <f>IF($C76="","",IF(PULL_FUND="N","",IFERROR(BDP($C76,PAYOUT_FIELD,YR_OVERRIDE,TEXT(YEAR_Y-1,"0"))/100,"")))</f>
        <v/>
      </c>
      <c r="AJ76" s="143">
        <f>IF($C76="","",IFERROR(AVERAGE(AE76:AI76),""))</f>
        <v/>
      </c>
      <c r="AK76" s="144">
        <f>IF($C76="","",IF(ISNUMBER($AD76)*ISNUMBER($N76)*($AD76&lt;&gt;0)=0,"",$N76/$AD76))</f>
        <v/>
      </c>
      <c r="AL76" s="143">
        <f>IF($C76="","",IF(ISNUMBER($AD76)*($AD76&lt;&gt;0)=0,"",$M76/$AD76))</f>
        <v/>
      </c>
      <c r="AM76" s="37">
        <f>IF($C76="","",IF(ISNUMBER($AE76)*ISNUMBER($AI76)=0,"",IF($AI76&gt;$AE76+0.05,"rising",IF($AI76&lt;$AE76-0.05,"falling","stable"))))</f>
        <v/>
      </c>
      <c r="AN76" s="145">
        <f>IF($C76="","",IF(PULL_FUND="N","",IF(COUNTIFS('Fund History'!$G$392:$G$396,"&gt;="&amp;DATE(YEAR_Y-4,1,1),'Fund History'!$G$392:$G$396,"&lt;="&amp;DATE(YEAR_Y-4,12,31))=0,"",SUMIFS('Fund History'!$H$392:$H$396,'Fund History'!$G$392:$G$396,"&gt;="&amp;DATE(YEAR_Y-4,1,1),'Fund History'!$G$392:$G$396,"&lt;="&amp;DATE(YEAR_Y-4,12,31))/100)))</f>
        <v/>
      </c>
      <c r="AO76" s="146">
        <f>IF($C76="","",IF(PULL_FUND="N","",IF(COUNTIFS('Fund History'!$G$392:$G$396,"&gt;="&amp;DATE(YEAR_Y-3,1,1),'Fund History'!$G$392:$G$396,"&lt;="&amp;DATE(YEAR_Y-3,12,31))=0,"",SUMIFS('Fund History'!$H$392:$H$396,'Fund History'!$G$392:$G$396,"&gt;="&amp;DATE(YEAR_Y-3,1,1),'Fund History'!$G$392:$G$396,"&lt;="&amp;DATE(YEAR_Y-3,12,31))/100)))</f>
        <v/>
      </c>
      <c r="AP76" s="146">
        <f>IF($C76="","",IF(PULL_FUND="N","",IF(COUNTIFS('Fund History'!$G$392:$G$396,"&gt;="&amp;DATE(YEAR_Y-2,1,1),'Fund History'!$G$392:$G$396,"&lt;="&amp;DATE(YEAR_Y-2,12,31))=0,"",SUMIFS('Fund History'!$H$392:$H$396,'Fund History'!$G$392:$G$396,"&gt;="&amp;DATE(YEAR_Y-2,1,1),'Fund History'!$G$392:$G$396,"&lt;="&amp;DATE(YEAR_Y-2,12,31))/100)))</f>
        <v/>
      </c>
      <c r="AQ76" s="146">
        <f>IF($C76="","",IF(PULL_FUND="N","",IF(COUNTIFS('Fund History'!$G$392:$G$396,"&gt;="&amp;DATE(YEAR_Y-1,1,1),'Fund History'!$G$392:$G$396,"&lt;="&amp;DATE(YEAR_Y-1,12,31))=0,"",SUMIFS('Fund History'!$H$392:$H$396,'Fund History'!$G$392:$G$396,"&gt;="&amp;DATE(YEAR_Y-1,1,1),'Fund History'!$G$392:$G$396,"&lt;="&amp;DATE(YEAR_Y-1,12,31))/100)))</f>
        <v/>
      </c>
      <c r="AR76" s="147">
        <f>IF($C76="","",IF(N($AQ76)+N(HSI!$I$71)=0,"",N($AQ76)+N(HSI!$I$71)/100))</f>
        <v/>
      </c>
      <c r="AS76" s="139">
        <f>IF($C76="","",IF(PULL_FUND="N","",IF(COUNTIFS('Fund History'!$D$392:$D$396,"&gt;="&amp;DATE(YEAR_Y-2,1,1),'Fund History'!$D$392:$D$396,"&lt;="&amp;DATE(YEAR_Y-2,12,31))=0,"",SUMIFS('Fund History'!$E$392:$E$396,'Fund History'!$D$392:$D$396,"&gt;="&amp;DATE(YEAR_Y-2,1,1),'Fund History'!$D$392:$D$396,"&lt;="&amp;DATE(YEAR_Y-2,12,31)))))</f>
        <v/>
      </c>
      <c r="AT76" s="140">
        <f>IF($C76="","",IF(PULL_FUND="N","",IF(COUNTIFS('Fund History'!$D$392:$D$396,"&gt;="&amp;DATE(YEAR_Y-1,1,1),'Fund History'!$D$392:$D$396,"&lt;="&amp;DATE(YEAR_Y-1,12,31))=0,"",SUMIFS('Fund History'!$E$392:$E$396,'Fund History'!$D$392:$D$396,"&gt;="&amp;DATE(YEAR_Y-1,1,1),'Fund History'!$D$392:$D$396,"&lt;="&amp;DATE(YEAR_Y-1,12,31)))))</f>
        <v/>
      </c>
      <c r="AU76" s="140">
        <f>IF($C76="","",IF(PULL_FUND="N","",IFERROR(BDP($C76,NDEBITDA_FIELD),"")))</f>
        <v/>
      </c>
      <c r="AV76" s="148">
        <f>IF($C76="","",IF(PULL_FUND="N","",IFERROR(BDP($C76,EBINT_FIELD),"")))</f>
        <v/>
      </c>
      <c r="AW76" s="146">
        <f>IF($C76="","",IF(PULL_FUND="N","",IFERROR(BDP($C76,FCF_FIELD)/100,"")))</f>
        <v/>
      </c>
      <c r="AX76" s="126">
        <f>IF($C76="","",IF(N($U76)=0,"",IFERROR($AW76/$U76,"")))</f>
        <v/>
      </c>
      <c r="AY76" s="85">
        <f>IF($C76="","",TRIM(IF(ISNUMBER($AJ76)*(N($AJ76)&gt;$D$4)&gt;0,"payout high  ","")&amp;IF(ISNUMBER($AX76)*(N($AX76)&lt;$F$4)&gt;0,"FCF below dvd  ","")&amp;IF(ISNUMBER($AU76)*(N($AU76)&gt;$H$4)&gt;0,"leverage high","")))</f>
        <v/>
      </c>
      <c r="AZ76" s="86">
        <f>IF($C76="","",IF(HSI!$F$71="HKD","",HSI!$F$71))</f>
        <v/>
      </c>
    </row>
    <row r="77">
      <c r="B77" s="66" t="inlineStr">
        <is>
          <t>HSI</t>
        </is>
      </c>
      <c r="C77" s="8">
        <f>IF(HSI!$C$72="","",HSI!$C$72)</f>
        <v/>
      </c>
      <c r="D77" s="8">
        <f>IF($C77="","",HSI!$D$72)</f>
        <v/>
      </c>
      <c r="E77" s="8">
        <f>IF($C77="","",HSI!$E$72)</f>
        <v/>
      </c>
      <c r="F77" s="131">
        <f>IF($C77="","",SUMPRODUCT(('Dvd Calendar'!$E$726:$AR$726&gt;=DATE(YEAR_Y-5,1,1))*('Dvd Calendar'!$E$726:$AR$726&lt;=DATE(YEAR_Y-5,12,31))*'Dvd Calendar'!$E$729:$AR$729*(('Dvd Calendar'!$E$731:$AR$731=TYPE1)*(TYPE1&lt;&gt;"")+('Dvd Calendar'!$E$731:$AR$731=TYPE2)*(TYPE2&lt;&gt;"")+('Dvd Calendar'!$E$731:$AR$731=TYPE3)*(TYPE3&lt;&gt;"")+('Dvd Calendar'!$E$731:$AR$731=TYPE4)*(TYPE4&lt;&gt;"")+('Dvd Calendar'!$E$731:$AR$731=SPECIAL_LBL)*(INC_SPECIALS="Y"))))</f>
        <v/>
      </c>
      <c r="G77" s="132">
        <f>IF($C77="","",SUMPRODUCT(('Dvd Calendar'!$E$726:$AR$726&gt;=DATE(YEAR_Y-4,1,1))*('Dvd Calendar'!$E$726:$AR$726&lt;=DATE(YEAR_Y-4,12,31))*'Dvd Calendar'!$E$729:$AR$729*(('Dvd Calendar'!$E$731:$AR$731=TYPE1)*(TYPE1&lt;&gt;"")+('Dvd Calendar'!$E$731:$AR$731=TYPE2)*(TYPE2&lt;&gt;"")+('Dvd Calendar'!$E$731:$AR$731=TYPE3)*(TYPE3&lt;&gt;"")+('Dvd Calendar'!$E$731:$AR$731=TYPE4)*(TYPE4&lt;&gt;"")+('Dvd Calendar'!$E$731:$AR$731=SPECIAL_LBL)*(INC_SPECIALS="Y"))))</f>
        <v/>
      </c>
      <c r="H77" s="132">
        <f>IF($C77="","",SUMPRODUCT(('Dvd Calendar'!$E$726:$AR$726&gt;=DATE(YEAR_Y-3,1,1))*('Dvd Calendar'!$E$726:$AR$726&lt;=DATE(YEAR_Y-3,12,31))*'Dvd Calendar'!$E$729:$AR$729*(('Dvd Calendar'!$E$731:$AR$731=TYPE1)*(TYPE1&lt;&gt;"")+('Dvd Calendar'!$E$731:$AR$731=TYPE2)*(TYPE2&lt;&gt;"")+('Dvd Calendar'!$E$731:$AR$731=TYPE3)*(TYPE3&lt;&gt;"")+('Dvd Calendar'!$E$731:$AR$731=TYPE4)*(TYPE4&lt;&gt;"")+('Dvd Calendar'!$E$731:$AR$731=SPECIAL_LBL)*(INC_SPECIALS="Y"))))</f>
        <v/>
      </c>
      <c r="I77" s="132">
        <f>IF($C77="","",SUMPRODUCT(('Dvd Calendar'!$E$726:$AR$726&gt;=DATE(YEAR_Y-2,1,1))*('Dvd Calendar'!$E$726:$AR$726&lt;=DATE(YEAR_Y-2,12,31))*'Dvd Calendar'!$E$729:$AR$729*(('Dvd Calendar'!$E$731:$AR$731=TYPE1)*(TYPE1&lt;&gt;"")+('Dvd Calendar'!$E$731:$AR$731=TYPE2)*(TYPE2&lt;&gt;"")+('Dvd Calendar'!$E$731:$AR$731=TYPE3)*(TYPE3&lt;&gt;"")+('Dvd Calendar'!$E$731:$AR$731=TYPE4)*(TYPE4&lt;&gt;"")+('Dvd Calendar'!$E$731:$AR$731=SPECIAL_LBL)*(INC_SPECIALS="Y"))))</f>
        <v/>
      </c>
      <c r="J77" s="132">
        <f>IF($C77="","",SUMPRODUCT(('Dvd Calendar'!$E$726:$AR$726&gt;=DATE(YEAR_Y-1,1,1))*('Dvd Calendar'!$E$726:$AR$726&lt;=DATE(YEAR_Y-1,12,31))*'Dvd Calendar'!$E$729:$AR$729*(('Dvd Calendar'!$E$731:$AR$731=TYPE1)*(TYPE1&lt;&gt;"")+('Dvd Calendar'!$E$731:$AR$731=TYPE2)*(TYPE2&lt;&gt;"")+('Dvd Calendar'!$E$731:$AR$731=TYPE3)*(TYPE3&lt;&gt;"")+('Dvd Calendar'!$E$731:$AR$731=TYPE4)*(TYPE4&lt;&gt;"")+('Dvd Calendar'!$E$731:$AR$731=SPECIAL_LBL)*(INC_SPECIALS="Y"))))</f>
        <v/>
      </c>
      <c r="K77" s="133">
        <f>IF($C77="","",HSI!$J$72)</f>
        <v/>
      </c>
      <c r="L77" s="133">
        <f>IF($C77="","",HSI!$K$72)</f>
        <v/>
      </c>
      <c r="M77" s="124">
        <f>IF($C77="","",HSI!$J$72+HSI!$L$72)</f>
        <v/>
      </c>
      <c r="N77" s="134">
        <f>IF($C77="","",IF(PULL_FUND="N","",IFERROR(BDP($C77,BESTDPS_FIELD,FWD_OVERRIDE,TEXT(MOD(YEAR_Y,100),"00")&amp;"Y"),"")))</f>
        <v/>
      </c>
      <c r="O77" s="133">
        <f>IF($C77="","",AVERAGE(F77:J77))</f>
        <v/>
      </c>
      <c r="P77" s="135">
        <f>IF($C77="","",IF(PULL_FUND="N","",IF(COUNTIFS('Fund History'!$J$398:$J$402,"&gt;="&amp;DATE(YEAR_Y-5,1,1),'Fund History'!$J$398:$J$402,"&lt;="&amp;DATE(YEAR_Y-5,12,31))=0,"",IFERROR($F77*HSI!$G$72/SUMIFS('Fund History'!$K$398:$K$402,'Fund History'!$J$398:$J$402,"&gt;="&amp;DATE(YEAR_Y-5,1,1),'Fund History'!$J$398:$J$402,"&lt;="&amp;DATE(YEAR_Y-5,12,31)),""))))</f>
        <v/>
      </c>
      <c r="Q77" s="136">
        <f>IF($C77="","",IF(PULL_FUND="N","",IF(COUNTIFS('Fund History'!$J$398:$J$402,"&gt;="&amp;DATE(YEAR_Y-4,1,1),'Fund History'!$J$398:$J$402,"&lt;="&amp;DATE(YEAR_Y-4,12,31))=0,"",IFERROR($G77*HSI!$G$72/SUMIFS('Fund History'!$K$398:$K$402,'Fund History'!$J$398:$J$402,"&gt;="&amp;DATE(YEAR_Y-4,1,1),'Fund History'!$J$398:$J$402,"&lt;="&amp;DATE(YEAR_Y-4,12,31)),""))))</f>
        <v/>
      </c>
      <c r="R77" s="136">
        <f>IF($C77="","",IF(PULL_FUND="N","",IF(COUNTIFS('Fund History'!$J$398:$J$402,"&gt;="&amp;DATE(YEAR_Y-3,1,1),'Fund History'!$J$398:$J$402,"&lt;="&amp;DATE(YEAR_Y-3,12,31))=0,"",IFERROR($H77*HSI!$G$72/SUMIFS('Fund History'!$K$398:$K$402,'Fund History'!$J$398:$J$402,"&gt;="&amp;DATE(YEAR_Y-3,1,1),'Fund History'!$J$398:$J$402,"&lt;="&amp;DATE(YEAR_Y-3,12,31)),""))))</f>
        <v/>
      </c>
      <c r="S77" s="136">
        <f>IF($C77="","",IF(PULL_FUND="N","",IF(COUNTIFS('Fund History'!$J$398:$J$402,"&gt;="&amp;DATE(YEAR_Y-2,1,1),'Fund History'!$J$398:$J$402,"&lt;="&amp;DATE(YEAR_Y-2,12,31))=0,"",IFERROR($I77*HSI!$G$72/SUMIFS('Fund History'!$K$398:$K$402,'Fund History'!$J$398:$J$402,"&gt;="&amp;DATE(YEAR_Y-2,1,1),'Fund History'!$J$398:$J$402,"&lt;="&amp;DATE(YEAR_Y-2,12,31)),""))))</f>
        <v/>
      </c>
      <c r="T77" s="136">
        <f>IF($C77="","",IF(PULL_FUND="N","",IF(COUNTIFS('Fund History'!$J$398:$J$402,"&gt;="&amp;DATE(YEAR_Y-1,1,1),'Fund History'!$J$398:$J$402,"&lt;="&amp;DATE(YEAR_Y-1,12,31))=0,"",IFERROR($J77*HSI!$G$72/SUMIFS('Fund History'!$K$398:$K$402,'Fund History'!$J$398:$J$402,"&gt;="&amp;DATE(YEAR_Y-1,1,1),'Fund History'!$J$398:$J$402,"&lt;="&amp;DATE(YEAR_Y-1,12,31)),""))))</f>
        <v/>
      </c>
      <c r="U77" s="137">
        <f>IF($C77="","",IF(ISNUMBER(HSI!$I$72),HSI!$I$72/100,""))</f>
        <v/>
      </c>
      <c r="V77" s="138">
        <f>IF($C77="","",IF(ISNUMBER(HSI!$X$72),IFERROR($M77*HSI!$G$72/HSI!$X$72,""),""))</f>
        <v/>
      </c>
      <c r="W77" s="137">
        <f>IF($C77="","",IF(ISNUMBER($N77),IFERROR($N77*HSI!$G$72/HSI!$X$72,""),""))</f>
        <v/>
      </c>
      <c r="X77" s="139">
        <f>IF($C77="","",IF(PULL_FUND="N","",IFERROR(BDP($C77,EPS_FIELD,YR_OVERRIDE,TEXT(YEAR_Y-5,"0")),"")))</f>
        <v/>
      </c>
      <c r="Y77" s="140">
        <f>IF($C77="","",IF(PULL_FUND="N","",IFERROR(BDP($C77,EPS_FIELD,YR_OVERRIDE,TEXT(YEAR_Y-4,"0")),"")))</f>
        <v/>
      </c>
      <c r="Z77" s="140">
        <f>IF($C77="","",IF(PULL_FUND="N","",IFERROR(BDP($C77,EPS_FIELD,YR_OVERRIDE,TEXT(YEAR_Y-3,"0")),"")))</f>
        <v/>
      </c>
      <c r="AA77" s="140">
        <f>IF($C77="","",IF(PULL_FUND="N","",IFERROR(BDP($C77,EPS_FIELD,YR_OVERRIDE,TEXT(YEAR_Y-2,"0")),"")))</f>
        <v/>
      </c>
      <c r="AB77" s="140">
        <f>IF($C77="","",IF(PULL_FUND="N","",IFERROR(BDP($C77,EPS_FIELD,YR_OVERRIDE,TEXT(YEAR_Y-1,"0")),"")))</f>
        <v/>
      </c>
      <c r="AC77" s="126">
        <f>IF($C77="","",IFERROR(AVERAGE(X77:AB77),""))</f>
        <v/>
      </c>
      <c r="AD77" s="140">
        <f>IF($C77="","",IF(PULL_FUND="N","",IFERROR(BDP($C77,BESTEPS_FIELD,FWD_OVERRIDE,TEXT(MOD(YEAR_Y,100),"00")&amp;"Y"),"")))</f>
        <v/>
      </c>
      <c r="AE77" s="141">
        <f>IF($C77="","",IF(PULL_FUND="N","",IFERROR(BDP($C77,PAYOUT_FIELD,YR_OVERRIDE,TEXT(YEAR_Y-5,"0"))/100,"")))</f>
        <v/>
      </c>
      <c r="AF77" s="142">
        <f>IF($C77="","",IF(PULL_FUND="N","",IFERROR(BDP($C77,PAYOUT_FIELD,YR_OVERRIDE,TEXT(YEAR_Y-4,"0"))/100,"")))</f>
        <v/>
      </c>
      <c r="AG77" s="142">
        <f>IF($C77="","",IF(PULL_FUND="N","",IFERROR(BDP($C77,PAYOUT_FIELD,YR_OVERRIDE,TEXT(YEAR_Y-3,"0"))/100,"")))</f>
        <v/>
      </c>
      <c r="AH77" s="142">
        <f>IF($C77="","",IF(PULL_FUND="N","",IFERROR(BDP($C77,PAYOUT_FIELD,YR_OVERRIDE,TEXT(YEAR_Y-2,"0"))/100,"")))</f>
        <v/>
      </c>
      <c r="AI77" s="142">
        <f>IF($C77="","",IF(PULL_FUND="N","",IFERROR(BDP($C77,PAYOUT_FIELD,YR_OVERRIDE,TEXT(YEAR_Y-1,"0"))/100,"")))</f>
        <v/>
      </c>
      <c r="AJ77" s="143">
        <f>IF($C77="","",IFERROR(AVERAGE(AE77:AI77),""))</f>
        <v/>
      </c>
      <c r="AK77" s="144">
        <f>IF($C77="","",IF(ISNUMBER($AD77)*ISNUMBER($N77)*($AD77&lt;&gt;0)=0,"",$N77/$AD77))</f>
        <v/>
      </c>
      <c r="AL77" s="143">
        <f>IF($C77="","",IF(ISNUMBER($AD77)*($AD77&lt;&gt;0)=0,"",$M77/$AD77))</f>
        <v/>
      </c>
      <c r="AM77" s="37">
        <f>IF($C77="","",IF(ISNUMBER($AE77)*ISNUMBER($AI77)=0,"",IF($AI77&gt;$AE77+0.05,"rising",IF($AI77&lt;$AE77-0.05,"falling","stable"))))</f>
        <v/>
      </c>
      <c r="AN77" s="145">
        <f>IF($C77="","",IF(PULL_FUND="N","",IF(COUNTIFS('Fund History'!$G$398:$G$402,"&gt;="&amp;DATE(YEAR_Y-4,1,1),'Fund History'!$G$398:$G$402,"&lt;="&amp;DATE(YEAR_Y-4,12,31))=0,"",SUMIFS('Fund History'!$H$398:$H$402,'Fund History'!$G$398:$G$402,"&gt;="&amp;DATE(YEAR_Y-4,1,1),'Fund History'!$G$398:$G$402,"&lt;="&amp;DATE(YEAR_Y-4,12,31))/100)))</f>
        <v/>
      </c>
      <c r="AO77" s="146">
        <f>IF($C77="","",IF(PULL_FUND="N","",IF(COUNTIFS('Fund History'!$G$398:$G$402,"&gt;="&amp;DATE(YEAR_Y-3,1,1),'Fund History'!$G$398:$G$402,"&lt;="&amp;DATE(YEAR_Y-3,12,31))=0,"",SUMIFS('Fund History'!$H$398:$H$402,'Fund History'!$G$398:$G$402,"&gt;="&amp;DATE(YEAR_Y-3,1,1),'Fund History'!$G$398:$G$402,"&lt;="&amp;DATE(YEAR_Y-3,12,31))/100)))</f>
        <v/>
      </c>
      <c r="AP77" s="146">
        <f>IF($C77="","",IF(PULL_FUND="N","",IF(COUNTIFS('Fund History'!$G$398:$G$402,"&gt;="&amp;DATE(YEAR_Y-2,1,1),'Fund History'!$G$398:$G$402,"&lt;="&amp;DATE(YEAR_Y-2,12,31))=0,"",SUMIFS('Fund History'!$H$398:$H$402,'Fund History'!$G$398:$G$402,"&gt;="&amp;DATE(YEAR_Y-2,1,1),'Fund History'!$G$398:$G$402,"&lt;="&amp;DATE(YEAR_Y-2,12,31))/100)))</f>
        <v/>
      </c>
      <c r="AQ77" s="146">
        <f>IF($C77="","",IF(PULL_FUND="N","",IF(COUNTIFS('Fund History'!$G$398:$G$402,"&gt;="&amp;DATE(YEAR_Y-1,1,1),'Fund History'!$G$398:$G$402,"&lt;="&amp;DATE(YEAR_Y-1,12,31))=0,"",SUMIFS('Fund History'!$H$398:$H$402,'Fund History'!$G$398:$G$402,"&gt;="&amp;DATE(YEAR_Y-1,1,1),'Fund History'!$G$398:$G$402,"&lt;="&amp;DATE(YEAR_Y-1,12,31))/100)))</f>
        <v/>
      </c>
      <c r="AR77" s="147">
        <f>IF($C77="","",IF(N($AQ77)+N(HSI!$I$72)=0,"",N($AQ77)+N(HSI!$I$72)/100))</f>
        <v/>
      </c>
      <c r="AS77" s="139">
        <f>IF($C77="","",IF(PULL_FUND="N","",IF(COUNTIFS('Fund History'!$D$398:$D$402,"&gt;="&amp;DATE(YEAR_Y-2,1,1),'Fund History'!$D$398:$D$402,"&lt;="&amp;DATE(YEAR_Y-2,12,31))=0,"",SUMIFS('Fund History'!$E$398:$E$402,'Fund History'!$D$398:$D$402,"&gt;="&amp;DATE(YEAR_Y-2,1,1),'Fund History'!$D$398:$D$402,"&lt;="&amp;DATE(YEAR_Y-2,12,31)))))</f>
        <v/>
      </c>
      <c r="AT77" s="140">
        <f>IF($C77="","",IF(PULL_FUND="N","",IF(COUNTIFS('Fund History'!$D$398:$D$402,"&gt;="&amp;DATE(YEAR_Y-1,1,1),'Fund History'!$D$398:$D$402,"&lt;="&amp;DATE(YEAR_Y-1,12,31))=0,"",SUMIFS('Fund History'!$E$398:$E$402,'Fund History'!$D$398:$D$402,"&gt;="&amp;DATE(YEAR_Y-1,1,1),'Fund History'!$D$398:$D$402,"&lt;="&amp;DATE(YEAR_Y-1,12,31)))))</f>
        <v/>
      </c>
      <c r="AU77" s="140">
        <f>IF($C77="","",IF(PULL_FUND="N","",IFERROR(BDP($C77,NDEBITDA_FIELD),"")))</f>
        <v/>
      </c>
      <c r="AV77" s="148">
        <f>IF($C77="","",IF(PULL_FUND="N","",IFERROR(BDP($C77,EBINT_FIELD),"")))</f>
        <v/>
      </c>
      <c r="AW77" s="146">
        <f>IF($C77="","",IF(PULL_FUND="N","",IFERROR(BDP($C77,FCF_FIELD)/100,"")))</f>
        <v/>
      </c>
      <c r="AX77" s="126">
        <f>IF($C77="","",IF(N($U77)=0,"",IFERROR($AW77/$U77,"")))</f>
        <v/>
      </c>
      <c r="AY77" s="85">
        <f>IF($C77="","",TRIM(IF(ISNUMBER($AJ77)*(N($AJ77)&gt;$D$4)&gt;0,"payout high  ","")&amp;IF(ISNUMBER($AX77)*(N($AX77)&lt;$F$4)&gt;0,"FCF below dvd  ","")&amp;IF(ISNUMBER($AU77)*(N($AU77)&gt;$H$4)&gt;0,"leverage high","")))</f>
        <v/>
      </c>
      <c r="AZ77" s="86">
        <f>IF($C77="","",IF(HSI!$F$72="HKD","",HSI!$F$72))</f>
        <v/>
      </c>
    </row>
    <row r="78">
      <c r="B78" s="66" t="inlineStr">
        <is>
          <t>HSI</t>
        </is>
      </c>
      <c r="C78" s="8">
        <f>IF(HSI!$C$73="","",HSI!$C$73)</f>
        <v/>
      </c>
      <c r="D78" s="8">
        <f>IF($C78="","",HSI!$D$73)</f>
        <v/>
      </c>
      <c r="E78" s="8">
        <f>IF($C78="","",HSI!$E$73)</f>
        <v/>
      </c>
      <c r="F78" s="131">
        <f>IF($C78="","",SUMPRODUCT(('Dvd Calendar'!$E$737:$AR$737&gt;=DATE(YEAR_Y-5,1,1))*('Dvd Calendar'!$E$737:$AR$737&lt;=DATE(YEAR_Y-5,12,31))*'Dvd Calendar'!$E$740:$AR$740*(('Dvd Calendar'!$E$742:$AR$742=TYPE1)*(TYPE1&lt;&gt;"")+('Dvd Calendar'!$E$742:$AR$742=TYPE2)*(TYPE2&lt;&gt;"")+('Dvd Calendar'!$E$742:$AR$742=TYPE3)*(TYPE3&lt;&gt;"")+('Dvd Calendar'!$E$742:$AR$742=TYPE4)*(TYPE4&lt;&gt;"")+('Dvd Calendar'!$E$742:$AR$742=SPECIAL_LBL)*(INC_SPECIALS="Y"))))</f>
        <v/>
      </c>
      <c r="G78" s="132">
        <f>IF($C78="","",SUMPRODUCT(('Dvd Calendar'!$E$737:$AR$737&gt;=DATE(YEAR_Y-4,1,1))*('Dvd Calendar'!$E$737:$AR$737&lt;=DATE(YEAR_Y-4,12,31))*'Dvd Calendar'!$E$740:$AR$740*(('Dvd Calendar'!$E$742:$AR$742=TYPE1)*(TYPE1&lt;&gt;"")+('Dvd Calendar'!$E$742:$AR$742=TYPE2)*(TYPE2&lt;&gt;"")+('Dvd Calendar'!$E$742:$AR$742=TYPE3)*(TYPE3&lt;&gt;"")+('Dvd Calendar'!$E$742:$AR$742=TYPE4)*(TYPE4&lt;&gt;"")+('Dvd Calendar'!$E$742:$AR$742=SPECIAL_LBL)*(INC_SPECIALS="Y"))))</f>
        <v/>
      </c>
      <c r="H78" s="132">
        <f>IF($C78="","",SUMPRODUCT(('Dvd Calendar'!$E$737:$AR$737&gt;=DATE(YEAR_Y-3,1,1))*('Dvd Calendar'!$E$737:$AR$737&lt;=DATE(YEAR_Y-3,12,31))*'Dvd Calendar'!$E$740:$AR$740*(('Dvd Calendar'!$E$742:$AR$742=TYPE1)*(TYPE1&lt;&gt;"")+('Dvd Calendar'!$E$742:$AR$742=TYPE2)*(TYPE2&lt;&gt;"")+('Dvd Calendar'!$E$742:$AR$742=TYPE3)*(TYPE3&lt;&gt;"")+('Dvd Calendar'!$E$742:$AR$742=TYPE4)*(TYPE4&lt;&gt;"")+('Dvd Calendar'!$E$742:$AR$742=SPECIAL_LBL)*(INC_SPECIALS="Y"))))</f>
        <v/>
      </c>
      <c r="I78" s="132">
        <f>IF($C78="","",SUMPRODUCT(('Dvd Calendar'!$E$737:$AR$737&gt;=DATE(YEAR_Y-2,1,1))*('Dvd Calendar'!$E$737:$AR$737&lt;=DATE(YEAR_Y-2,12,31))*'Dvd Calendar'!$E$740:$AR$740*(('Dvd Calendar'!$E$742:$AR$742=TYPE1)*(TYPE1&lt;&gt;"")+('Dvd Calendar'!$E$742:$AR$742=TYPE2)*(TYPE2&lt;&gt;"")+('Dvd Calendar'!$E$742:$AR$742=TYPE3)*(TYPE3&lt;&gt;"")+('Dvd Calendar'!$E$742:$AR$742=TYPE4)*(TYPE4&lt;&gt;"")+('Dvd Calendar'!$E$742:$AR$742=SPECIAL_LBL)*(INC_SPECIALS="Y"))))</f>
        <v/>
      </c>
      <c r="J78" s="132">
        <f>IF($C78="","",SUMPRODUCT(('Dvd Calendar'!$E$737:$AR$737&gt;=DATE(YEAR_Y-1,1,1))*('Dvd Calendar'!$E$737:$AR$737&lt;=DATE(YEAR_Y-1,12,31))*'Dvd Calendar'!$E$740:$AR$740*(('Dvd Calendar'!$E$742:$AR$742=TYPE1)*(TYPE1&lt;&gt;"")+('Dvd Calendar'!$E$742:$AR$742=TYPE2)*(TYPE2&lt;&gt;"")+('Dvd Calendar'!$E$742:$AR$742=TYPE3)*(TYPE3&lt;&gt;"")+('Dvd Calendar'!$E$742:$AR$742=TYPE4)*(TYPE4&lt;&gt;"")+('Dvd Calendar'!$E$742:$AR$742=SPECIAL_LBL)*(INC_SPECIALS="Y"))))</f>
        <v/>
      </c>
      <c r="K78" s="133">
        <f>IF($C78="","",HSI!$J$73)</f>
        <v/>
      </c>
      <c r="L78" s="133">
        <f>IF($C78="","",HSI!$K$73)</f>
        <v/>
      </c>
      <c r="M78" s="124">
        <f>IF($C78="","",HSI!$J$73+HSI!$L$73)</f>
        <v/>
      </c>
      <c r="N78" s="134">
        <f>IF($C78="","",IF(PULL_FUND="N","",IFERROR(BDP($C78,BESTDPS_FIELD,FWD_OVERRIDE,TEXT(MOD(YEAR_Y,100),"00")&amp;"Y"),"")))</f>
        <v/>
      </c>
      <c r="O78" s="133">
        <f>IF($C78="","",AVERAGE(F78:J78))</f>
        <v/>
      </c>
      <c r="P78" s="135">
        <f>IF($C78="","",IF(PULL_FUND="N","",IF(COUNTIFS('Fund History'!$J$404:$J$408,"&gt;="&amp;DATE(YEAR_Y-5,1,1),'Fund History'!$J$404:$J$408,"&lt;="&amp;DATE(YEAR_Y-5,12,31))=0,"",IFERROR($F78*HSI!$G$73/SUMIFS('Fund History'!$K$404:$K$408,'Fund History'!$J$404:$J$408,"&gt;="&amp;DATE(YEAR_Y-5,1,1),'Fund History'!$J$404:$J$408,"&lt;="&amp;DATE(YEAR_Y-5,12,31)),""))))</f>
        <v/>
      </c>
      <c r="Q78" s="136">
        <f>IF($C78="","",IF(PULL_FUND="N","",IF(COUNTIFS('Fund History'!$J$404:$J$408,"&gt;="&amp;DATE(YEAR_Y-4,1,1),'Fund History'!$J$404:$J$408,"&lt;="&amp;DATE(YEAR_Y-4,12,31))=0,"",IFERROR($G78*HSI!$G$73/SUMIFS('Fund History'!$K$404:$K$408,'Fund History'!$J$404:$J$408,"&gt;="&amp;DATE(YEAR_Y-4,1,1),'Fund History'!$J$404:$J$408,"&lt;="&amp;DATE(YEAR_Y-4,12,31)),""))))</f>
        <v/>
      </c>
      <c r="R78" s="136">
        <f>IF($C78="","",IF(PULL_FUND="N","",IF(COUNTIFS('Fund History'!$J$404:$J$408,"&gt;="&amp;DATE(YEAR_Y-3,1,1),'Fund History'!$J$404:$J$408,"&lt;="&amp;DATE(YEAR_Y-3,12,31))=0,"",IFERROR($H78*HSI!$G$73/SUMIFS('Fund History'!$K$404:$K$408,'Fund History'!$J$404:$J$408,"&gt;="&amp;DATE(YEAR_Y-3,1,1),'Fund History'!$J$404:$J$408,"&lt;="&amp;DATE(YEAR_Y-3,12,31)),""))))</f>
        <v/>
      </c>
      <c r="S78" s="136">
        <f>IF($C78="","",IF(PULL_FUND="N","",IF(COUNTIFS('Fund History'!$J$404:$J$408,"&gt;="&amp;DATE(YEAR_Y-2,1,1),'Fund History'!$J$404:$J$408,"&lt;="&amp;DATE(YEAR_Y-2,12,31))=0,"",IFERROR($I78*HSI!$G$73/SUMIFS('Fund History'!$K$404:$K$408,'Fund History'!$J$404:$J$408,"&gt;="&amp;DATE(YEAR_Y-2,1,1),'Fund History'!$J$404:$J$408,"&lt;="&amp;DATE(YEAR_Y-2,12,31)),""))))</f>
        <v/>
      </c>
      <c r="T78" s="136">
        <f>IF($C78="","",IF(PULL_FUND="N","",IF(COUNTIFS('Fund History'!$J$404:$J$408,"&gt;="&amp;DATE(YEAR_Y-1,1,1),'Fund History'!$J$404:$J$408,"&lt;="&amp;DATE(YEAR_Y-1,12,31))=0,"",IFERROR($J78*HSI!$G$73/SUMIFS('Fund History'!$K$404:$K$408,'Fund History'!$J$404:$J$408,"&gt;="&amp;DATE(YEAR_Y-1,1,1),'Fund History'!$J$404:$J$408,"&lt;="&amp;DATE(YEAR_Y-1,12,31)),""))))</f>
        <v/>
      </c>
      <c r="U78" s="137">
        <f>IF($C78="","",IF(ISNUMBER(HSI!$I$73),HSI!$I$73/100,""))</f>
        <v/>
      </c>
      <c r="V78" s="138">
        <f>IF($C78="","",IF(ISNUMBER(HSI!$X$73),IFERROR($M78*HSI!$G$73/HSI!$X$73,""),""))</f>
        <v/>
      </c>
      <c r="W78" s="137">
        <f>IF($C78="","",IF(ISNUMBER($N78),IFERROR($N78*HSI!$G$73/HSI!$X$73,""),""))</f>
        <v/>
      </c>
      <c r="X78" s="139">
        <f>IF($C78="","",IF(PULL_FUND="N","",IFERROR(BDP($C78,EPS_FIELD,YR_OVERRIDE,TEXT(YEAR_Y-5,"0")),"")))</f>
        <v/>
      </c>
      <c r="Y78" s="140">
        <f>IF($C78="","",IF(PULL_FUND="N","",IFERROR(BDP($C78,EPS_FIELD,YR_OVERRIDE,TEXT(YEAR_Y-4,"0")),"")))</f>
        <v/>
      </c>
      <c r="Z78" s="140">
        <f>IF($C78="","",IF(PULL_FUND="N","",IFERROR(BDP($C78,EPS_FIELD,YR_OVERRIDE,TEXT(YEAR_Y-3,"0")),"")))</f>
        <v/>
      </c>
      <c r="AA78" s="140">
        <f>IF($C78="","",IF(PULL_FUND="N","",IFERROR(BDP($C78,EPS_FIELD,YR_OVERRIDE,TEXT(YEAR_Y-2,"0")),"")))</f>
        <v/>
      </c>
      <c r="AB78" s="140">
        <f>IF($C78="","",IF(PULL_FUND="N","",IFERROR(BDP($C78,EPS_FIELD,YR_OVERRIDE,TEXT(YEAR_Y-1,"0")),"")))</f>
        <v/>
      </c>
      <c r="AC78" s="126">
        <f>IF($C78="","",IFERROR(AVERAGE(X78:AB78),""))</f>
        <v/>
      </c>
      <c r="AD78" s="140">
        <f>IF($C78="","",IF(PULL_FUND="N","",IFERROR(BDP($C78,BESTEPS_FIELD,FWD_OVERRIDE,TEXT(MOD(YEAR_Y,100),"00")&amp;"Y"),"")))</f>
        <v/>
      </c>
      <c r="AE78" s="141">
        <f>IF($C78="","",IF(PULL_FUND="N","",IFERROR(BDP($C78,PAYOUT_FIELD,YR_OVERRIDE,TEXT(YEAR_Y-5,"0"))/100,"")))</f>
        <v/>
      </c>
      <c r="AF78" s="142">
        <f>IF($C78="","",IF(PULL_FUND="N","",IFERROR(BDP($C78,PAYOUT_FIELD,YR_OVERRIDE,TEXT(YEAR_Y-4,"0"))/100,"")))</f>
        <v/>
      </c>
      <c r="AG78" s="142">
        <f>IF($C78="","",IF(PULL_FUND="N","",IFERROR(BDP($C78,PAYOUT_FIELD,YR_OVERRIDE,TEXT(YEAR_Y-3,"0"))/100,"")))</f>
        <v/>
      </c>
      <c r="AH78" s="142">
        <f>IF($C78="","",IF(PULL_FUND="N","",IFERROR(BDP($C78,PAYOUT_FIELD,YR_OVERRIDE,TEXT(YEAR_Y-2,"0"))/100,"")))</f>
        <v/>
      </c>
      <c r="AI78" s="142">
        <f>IF($C78="","",IF(PULL_FUND="N","",IFERROR(BDP($C78,PAYOUT_FIELD,YR_OVERRIDE,TEXT(YEAR_Y-1,"0"))/100,"")))</f>
        <v/>
      </c>
      <c r="AJ78" s="143">
        <f>IF($C78="","",IFERROR(AVERAGE(AE78:AI78),""))</f>
        <v/>
      </c>
      <c r="AK78" s="144">
        <f>IF($C78="","",IF(ISNUMBER($AD78)*ISNUMBER($N78)*($AD78&lt;&gt;0)=0,"",$N78/$AD78))</f>
        <v/>
      </c>
      <c r="AL78" s="143">
        <f>IF($C78="","",IF(ISNUMBER($AD78)*($AD78&lt;&gt;0)=0,"",$M78/$AD78))</f>
        <v/>
      </c>
      <c r="AM78" s="37">
        <f>IF($C78="","",IF(ISNUMBER($AE78)*ISNUMBER($AI78)=0,"",IF($AI78&gt;$AE78+0.05,"rising",IF($AI78&lt;$AE78-0.05,"falling","stable"))))</f>
        <v/>
      </c>
      <c r="AN78" s="145">
        <f>IF($C78="","",IF(PULL_FUND="N","",IF(COUNTIFS('Fund History'!$G$404:$G$408,"&gt;="&amp;DATE(YEAR_Y-4,1,1),'Fund History'!$G$404:$G$408,"&lt;="&amp;DATE(YEAR_Y-4,12,31))=0,"",SUMIFS('Fund History'!$H$404:$H$408,'Fund History'!$G$404:$G$408,"&gt;="&amp;DATE(YEAR_Y-4,1,1),'Fund History'!$G$404:$G$408,"&lt;="&amp;DATE(YEAR_Y-4,12,31))/100)))</f>
        <v/>
      </c>
      <c r="AO78" s="146">
        <f>IF($C78="","",IF(PULL_FUND="N","",IF(COUNTIFS('Fund History'!$G$404:$G$408,"&gt;="&amp;DATE(YEAR_Y-3,1,1),'Fund History'!$G$404:$G$408,"&lt;="&amp;DATE(YEAR_Y-3,12,31))=0,"",SUMIFS('Fund History'!$H$404:$H$408,'Fund History'!$G$404:$G$408,"&gt;="&amp;DATE(YEAR_Y-3,1,1),'Fund History'!$G$404:$G$408,"&lt;="&amp;DATE(YEAR_Y-3,12,31))/100)))</f>
        <v/>
      </c>
      <c r="AP78" s="146">
        <f>IF($C78="","",IF(PULL_FUND="N","",IF(COUNTIFS('Fund History'!$G$404:$G$408,"&gt;="&amp;DATE(YEAR_Y-2,1,1),'Fund History'!$G$404:$G$408,"&lt;="&amp;DATE(YEAR_Y-2,12,31))=0,"",SUMIFS('Fund History'!$H$404:$H$408,'Fund History'!$G$404:$G$408,"&gt;="&amp;DATE(YEAR_Y-2,1,1),'Fund History'!$G$404:$G$408,"&lt;="&amp;DATE(YEAR_Y-2,12,31))/100)))</f>
        <v/>
      </c>
      <c r="AQ78" s="146">
        <f>IF($C78="","",IF(PULL_FUND="N","",IF(COUNTIFS('Fund History'!$G$404:$G$408,"&gt;="&amp;DATE(YEAR_Y-1,1,1),'Fund History'!$G$404:$G$408,"&lt;="&amp;DATE(YEAR_Y-1,12,31))=0,"",SUMIFS('Fund History'!$H$404:$H$408,'Fund History'!$G$404:$G$408,"&gt;="&amp;DATE(YEAR_Y-1,1,1),'Fund History'!$G$404:$G$408,"&lt;="&amp;DATE(YEAR_Y-1,12,31))/100)))</f>
        <v/>
      </c>
      <c r="AR78" s="147">
        <f>IF($C78="","",IF(N($AQ78)+N(HSI!$I$73)=0,"",N($AQ78)+N(HSI!$I$73)/100))</f>
        <v/>
      </c>
      <c r="AS78" s="139">
        <f>IF($C78="","",IF(PULL_FUND="N","",IF(COUNTIFS('Fund History'!$D$404:$D$408,"&gt;="&amp;DATE(YEAR_Y-2,1,1),'Fund History'!$D$404:$D$408,"&lt;="&amp;DATE(YEAR_Y-2,12,31))=0,"",SUMIFS('Fund History'!$E$404:$E$408,'Fund History'!$D$404:$D$408,"&gt;="&amp;DATE(YEAR_Y-2,1,1),'Fund History'!$D$404:$D$408,"&lt;="&amp;DATE(YEAR_Y-2,12,31)))))</f>
        <v/>
      </c>
      <c r="AT78" s="140">
        <f>IF($C78="","",IF(PULL_FUND="N","",IF(COUNTIFS('Fund History'!$D$404:$D$408,"&gt;="&amp;DATE(YEAR_Y-1,1,1),'Fund History'!$D$404:$D$408,"&lt;="&amp;DATE(YEAR_Y-1,12,31))=0,"",SUMIFS('Fund History'!$E$404:$E$408,'Fund History'!$D$404:$D$408,"&gt;="&amp;DATE(YEAR_Y-1,1,1),'Fund History'!$D$404:$D$408,"&lt;="&amp;DATE(YEAR_Y-1,12,31)))))</f>
        <v/>
      </c>
      <c r="AU78" s="140">
        <f>IF($C78="","",IF(PULL_FUND="N","",IFERROR(BDP($C78,NDEBITDA_FIELD),"")))</f>
        <v/>
      </c>
      <c r="AV78" s="148">
        <f>IF($C78="","",IF(PULL_FUND="N","",IFERROR(BDP($C78,EBINT_FIELD),"")))</f>
        <v/>
      </c>
      <c r="AW78" s="146">
        <f>IF($C78="","",IF(PULL_FUND="N","",IFERROR(BDP($C78,FCF_FIELD)/100,"")))</f>
        <v/>
      </c>
      <c r="AX78" s="126">
        <f>IF($C78="","",IF(N($U78)=0,"",IFERROR($AW78/$U78,"")))</f>
        <v/>
      </c>
      <c r="AY78" s="85">
        <f>IF($C78="","",TRIM(IF(ISNUMBER($AJ78)*(N($AJ78)&gt;$D$4)&gt;0,"payout high  ","")&amp;IF(ISNUMBER($AX78)*(N($AX78)&lt;$F$4)&gt;0,"FCF below dvd  ","")&amp;IF(ISNUMBER($AU78)*(N($AU78)&gt;$H$4)&gt;0,"leverage high","")))</f>
        <v/>
      </c>
      <c r="AZ78" s="86">
        <f>IF($C78="","",IF(HSI!$F$73="HKD","",HSI!$F$73))</f>
        <v/>
      </c>
    </row>
    <row r="79">
      <c r="B79" s="66" t="inlineStr">
        <is>
          <t>HSI</t>
        </is>
      </c>
      <c r="C79" s="8">
        <f>IF(HSI!$C$74="","",HSI!$C$74)</f>
        <v/>
      </c>
      <c r="D79" s="8">
        <f>IF($C79="","",HSI!$D$74)</f>
        <v/>
      </c>
      <c r="E79" s="8">
        <f>IF($C79="","",HSI!$E$74)</f>
        <v/>
      </c>
      <c r="F79" s="131">
        <f>IF($C79="","",SUMPRODUCT(('Dvd Calendar'!$E$748:$AR$748&gt;=DATE(YEAR_Y-5,1,1))*('Dvd Calendar'!$E$748:$AR$748&lt;=DATE(YEAR_Y-5,12,31))*'Dvd Calendar'!$E$751:$AR$751*(('Dvd Calendar'!$E$753:$AR$753=TYPE1)*(TYPE1&lt;&gt;"")+('Dvd Calendar'!$E$753:$AR$753=TYPE2)*(TYPE2&lt;&gt;"")+('Dvd Calendar'!$E$753:$AR$753=TYPE3)*(TYPE3&lt;&gt;"")+('Dvd Calendar'!$E$753:$AR$753=TYPE4)*(TYPE4&lt;&gt;"")+('Dvd Calendar'!$E$753:$AR$753=SPECIAL_LBL)*(INC_SPECIALS="Y"))))</f>
        <v/>
      </c>
      <c r="G79" s="132">
        <f>IF($C79="","",SUMPRODUCT(('Dvd Calendar'!$E$748:$AR$748&gt;=DATE(YEAR_Y-4,1,1))*('Dvd Calendar'!$E$748:$AR$748&lt;=DATE(YEAR_Y-4,12,31))*'Dvd Calendar'!$E$751:$AR$751*(('Dvd Calendar'!$E$753:$AR$753=TYPE1)*(TYPE1&lt;&gt;"")+('Dvd Calendar'!$E$753:$AR$753=TYPE2)*(TYPE2&lt;&gt;"")+('Dvd Calendar'!$E$753:$AR$753=TYPE3)*(TYPE3&lt;&gt;"")+('Dvd Calendar'!$E$753:$AR$753=TYPE4)*(TYPE4&lt;&gt;"")+('Dvd Calendar'!$E$753:$AR$753=SPECIAL_LBL)*(INC_SPECIALS="Y"))))</f>
        <v/>
      </c>
      <c r="H79" s="132">
        <f>IF($C79="","",SUMPRODUCT(('Dvd Calendar'!$E$748:$AR$748&gt;=DATE(YEAR_Y-3,1,1))*('Dvd Calendar'!$E$748:$AR$748&lt;=DATE(YEAR_Y-3,12,31))*'Dvd Calendar'!$E$751:$AR$751*(('Dvd Calendar'!$E$753:$AR$753=TYPE1)*(TYPE1&lt;&gt;"")+('Dvd Calendar'!$E$753:$AR$753=TYPE2)*(TYPE2&lt;&gt;"")+('Dvd Calendar'!$E$753:$AR$753=TYPE3)*(TYPE3&lt;&gt;"")+('Dvd Calendar'!$E$753:$AR$753=TYPE4)*(TYPE4&lt;&gt;"")+('Dvd Calendar'!$E$753:$AR$753=SPECIAL_LBL)*(INC_SPECIALS="Y"))))</f>
        <v/>
      </c>
      <c r="I79" s="132">
        <f>IF($C79="","",SUMPRODUCT(('Dvd Calendar'!$E$748:$AR$748&gt;=DATE(YEAR_Y-2,1,1))*('Dvd Calendar'!$E$748:$AR$748&lt;=DATE(YEAR_Y-2,12,31))*'Dvd Calendar'!$E$751:$AR$751*(('Dvd Calendar'!$E$753:$AR$753=TYPE1)*(TYPE1&lt;&gt;"")+('Dvd Calendar'!$E$753:$AR$753=TYPE2)*(TYPE2&lt;&gt;"")+('Dvd Calendar'!$E$753:$AR$753=TYPE3)*(TYPE3&lt;&gt;"")+('Dvd Calendar'!$E$753:$AR$753=TYPE4)*(TYPE4&lt;&gt;"")+('Dvd Calendar'!$E$753:$AR$753=SPECIAL_LBL)*(INC_SPECIALS="Y"))))</f>
        <v/>
      </c>
      <c r="J79" s="132">
        <f>IF($C79="","",SUMPRODUCT(('Dvd Calendar'!$E$748:$AR$748&gt;=DATE(YEAR_Y-1,1,1))*('Dvd Calendar'!$E$748:$AR$748&lt;=DATE(YEAR_Y-1,12,31))*'Dvd Calendar'!$E$751:$AR$751*(('Dvd Calendar'!$E$753:$AR$753=TYPE1)*(TYPE1&lt;&gt;"")+('Dvd Calendar'!$E$753:$AR$753=TYPE2)*(TYPE2&lt;&gt;"")+('Dvd Calendar'!$E$753:$AR$753=TYPE3)*(TYPE3&lt;&gt;"")+('Dvd Calendar'!$E$753:$AR$753=TYPE4)*(TYPE4&lt;&gt;"")+('Dvd Calendar'!$E$753:$AR$753=SPECIAL_LBL)*(INC_SPECIALS="Y"))))</f>
        <v/>
      </c>
      <c r="K79" s="133">
        <f>IF($C79="","",HSI!$J$74)</f>
        <v/>
      </c>
      <c r="L79" s="133">
        <f>IF($C79="","",HSI!$K$74)</f>
        <v/>
      </c>
      <c r="M79" s="124">
        <f>IF($C79="","",HSI!$J$74+HSI!$L$74)</f>
        <v/>
      </c>
      <c r="N79" s="134">
        <f>IF($C79="","",IF(PULL_FUND="N","",IFERROR(BDP($C79,BESTDPS_FIELD,FWD_OVERRIDE,TEXT(MOD(YEAR_Y,100),"00")&amp;"Y"),"")))</f>
        <v/>
      </c>
      <c r="O79" s="133">
        <f>IF($C79="","",AVERAGE(F79:J79))</f>
        <v/>
      </c>
      <c r="P79" s="135">
        <f>IF($C79="","",IF(PULL_FUND="N","",IF(COUNTIFS('Fund History'!$J$410:$J$414,"&gt;="&amp;DATE(YEAR_Y-5,1,1),'Fund History'!$J$410:$J$414,"&lt;="&amp;DATE(YEAR_Y-5,12,31))=0,"",IFERROR($F79*HSI!$G$74/SUMIFS('Fund History'!$K$410:$K$414,'Fund History'!$J$410:$J$414,"&gt;="&amp;DATE(YEAR_Y-5,1,1),'Fund History'!$J$410:$J$414,"&lt;="&amp;DATE(YEAR_Y-5,12,31)),""))))</f>
        <v/>
      </c>
      <c r="Q79" s="136">
        <f>IF($C79="","",IF(PULL_FUND="N","",IF(COUNTIFS('Fund History'!$J$410:$J$414,"&gt;="&amp;DATE(YEAR_Y-4,1,1),'Fund History'!$J$410:$J$414,"&lt;="&amp;DATE(YEAR_Y-4,12,31))=0,"",IFERROR($G79*HSI!$G$74/SUMIFS('Fund History'!$K$410:$K$414,'Fund History'!$J$410:$J$414,"&gt;="&amp;DATE(YEAR_Y-4,1,1),'Fund History'!$J$410:$J$414,"&lt;="&amp;DATE(YEAR_Y-4,12,31)),""))))</f>
        <v/>
      </c>
      <c r="R79" s="136">
        <f>IF($C79="","",IF(PULL_FUND="N","",IF(COUNTIFS('Fund History'!$J$410:$J$414,"&gt;="&amp;DATE(YEAR_Y-3,1,1),'Fund History'!$J$410:$J$414,"&lt;="&amp;DATE(YEAR_Y-3,12,31))=0,"",IFERROR($H79*HSI!$G$74/SUMIFS('Fund History'!$K$410:$K$414,'Fund History'!$J$410:$J$414,"&gt;="&amp;DATE(YEAR_Y-3,1,1),'Fund History'!$J$410:$J$414,"&lt;="&amp;DATE(YEAR_Y-3,12,31)),""))))</f>
        <v/>
      </c>
      <c r="S79" s="136">
        <f>IF($C79="","",IF(PULL_FUND="N","",IF(COUNTIFS('Fund History'!$J$410:$J$414,"&gt;="&amp;DATE(YEAR_Y-2,1,1),'Fund History'!$J$410:$J$414,"&lt;="&amp;DATE(YEAR_Y-2,12,31))=0,"",IFERROR($I79*HSI!$G$74/SUMIFS('Fund History'!$K$410:$K$414,'Fund History'!$J$410:$J$414,"&gt;="&amp;DATE(YEAR_Y-2,1,1),'Fund History'!$J$410:$J$414,"&lt;="&amp;DATE(YEAR_Y-2,12,31)),""))))</f>
        <v/>
      </c>
      <c r="T79" s="136">
        <f>IF($C79="","",IF(PULL_FUND="N","",IF(COUNTIFS('Fund History'!$J$410:$J$414,"&gt;="&amp;DATE(YEAR_Y-1,1,1),'Fund History'!$J$410:$J$414,"&lt;="&amp;DATE(YEAR_Y-1,12,31))=0,"",IFERROR($J79*HSI!$G$74/SUMIFS('Fund History'!$K$410:$K$414,'Fund History'!$J$410:$J$414,"&gt;="&amp;DATE(YEAR_Y-1,1,1),'Fund History'!$J$410:$J$414,"&lt;="&amp;DATE(YEAR_Y-1,12,31)),""))))</f>
        <v/>
      </c>
      <c r="U79" s="137">
        <f>IF($C79="","",IF(ISNUMBER(HSI!$I$74),HSI!$I$74/100,""))</f>
        <v/>
      </c>
      <c r="V79" s="138">
        <f>IF($C79="","",IF(ISNUMBER(HSI!$X$74),IFERROR($M79*HSI!$G$74/HSI!$X$74,""),""))</f>
        <v/>
      </c>
      <c r="W79" s="137">
        <f>IF($C79="","",IF(ISNUMBER($N79),IFERROR($N79*HSI!$G$74/HSI!$X$74,""),""))</f>
        <v/>
      </c>
      <c r="X79" s="139">
        <f>IF($C79="","",IF(PULL_FUND="N","",IFERROR(BDP($C79,EPS_FIELD,YR_OVERRIDE,TEXT(YEAR_Y-5,"0")),"")))</f>
        <v/>
      </c>
      <c r="Y79" s="140">
        <f>IF($C79="","",IF(PULL_FUND="N","",IFERROR(BDP($C79,EPS_FIELD,YR_OVERRIDE,TEXT(YEAR_Y-4,"0")),"")))</f>
        <v/>
      </c>
      <c r="Z79" s="140">
        <f>IF($C79="","",IF(PULL_FUND="N","",IFERROR(BDP($C79,EPS_FIELD,YR_OVERRIDE,TEXT(YEAR_Y-3,"0")),"")))</f>
        <v/>
      </c>
      <c r="AA79" s="140">
        <f>IF($C79="","",IF(PULL_FUND="N","",IFERROR(BDP($C79,EPS_FIELD,YR_OVERRIDE,TEXT(YEAR_Y-2,"0")),"")))</f>
        <v/>
      </c>
      <c r="AB79" s="140">
        <f>IF($C79="","",IF(PULL_FUND="N","",IFERROR(BDP($C79,EPS_FIELD,YR_OVERRIDE,TEXT(YEAR_Y-1,"0")),"")))</f>
        <v/>
      </c>
      <c r="AC79" s="126">
        <f>IF($C79="","",IFERROR(AVERAGE(X79:AB79),""))</f>
        <v/>
      </c>
      <c r="AD79" s="140">
        <f>IF($C79="","",IF(PULL_FUND="N","",IFERROR(BDP($C79,BESTEPS_FIELD,FWD_OVERRIDE,TEXT(MOD(YEAR_Y,100),"00")&amp;"Y"),"")))</f>
        <v/>
      </c>
      <c r="AE79" s="141">
        <f>IF($C79="","",IF(PULL_FUND="N","",IFERROR(BDP($C79,PAYOUT_FIELD,YR_OVERRIDE,TEXT(YEAR_Y-5,"0"))/100,"")))</f>
        <v/>
      </c>
      <c r="AF79" s="142">
        <f>IF($C79="","",IF(PULL_FUND="N","",IFERROR(BDP($C79,PAYOUT_FIELD,YR_OVERRIDE,TEXT(YEAR_Y-4,"0"))/100,"")))</f>
        <v/>
      </c>
      <c r="AG79" s="142">
        <f>IF($C79="","",IF(PULL_FUND="N","",IFERROR(BDP($C79,PAYOUT_FIELD,YR_OVERRIDE,TEXT(YEAR_Y-3,"0"))/100,"")))</f>
        <v/>
      </c>
      <c r="AH79" s="142">
        <f>IF($C79="","",IF(PULL_FUND="N","",IFERROR(BDP($C79,PAYOUT_FIELD,YR_OVERRIDE,TEXT(YEAR_Y-2,"0"))/100,"")))</f>
        <v/>
      </c>
      <c r="AI79" s="142">
        <f>IF($C79="","",IF(PULL_FUND="N","",IFERROR(BDP($C79,PAYOUT_FIELD,YR_OVERRIDE,TEXT(YEAR_Y-1,"0"))/100,"")))</f>
        <v/>
      </c>
      <c r="AJ79" s="143">
        <f>IF($C79="","",IFERROR(AVERAGE(AE79:AI79),""))</f>
        <v/>
      </c>
      <c r="AK79" s="144">
        <f>IF($C79="","",IF(ISNUMBER($AD79)*ISNUMBER($N79)*($AD79&lt;&gt;0)=0,"",$N79/$AD79))</f>
        <v/>
      </c>
      <c r="AL79" s="143">
        <f>IF($C79="","",IF(ISNUMBER($AD79)*($AD79&lt;&gt;0)=0,"",$M79/$AD79))</f>
        <v/>
      </c>
      <c r="AM79" s="37">
        <f>IF($C79="","",IF(ISNUMBER($AE79)*ISNUMBER($AI79)=0,"",IF($AI79&gt;$AE79+0.05,"rising",IF($AI79&lt;$AE79-0.05,"falling","stable"))))</f>
        <v/>
      </c>
      <c r="AN79" s="145">
        <f>IF($C79="","",IF(PULL_FUND="N","",IF(COUNTIFS('Fund History'!$G$410:$G$414,"&gt;="&amp;DATE(YEAR_Y-4,1,1),'Fund History'!$G$410:$G$414,"&lt;="&amp;DATE(YEAR_Y-4,12,31))=0,"",SUMIFS('Fund History'!$H$410:$H$414,'Fund History'!$G$410:$G$414,"&gt;="&amp;DATE(YEAR_Y-4,1,1),'Fund History'!$G$410:$G$414,"&lt;="&amp;DATE(YEAR_Y-4,12,31))/100)))</f>
        <v/>
      </c>
      <c r="AO79" s="146">
        <f>IF($C79="","",IF(PULL_FUND="N","",IF(COUNTIFS('Fund History'!$G$410:$G$414,"&gt;="&amp;DATE(YEAR_Y-3,1,1),'Fund History'!$G$410:$G$414,"&lt;="&amp;DATE(YEAR_Y-3,12,31))=0,"",SUMIFS('Fund History'!$H$410:$H$414,'Fund History'!$G$410:$G$414,"&gt;="&amp;DATE(YEAR_Y-3,1,1),'Fund History'!$G$410:$G$414,"&lt;="&amp;DATE(YEAR_Y-3,12,31))/100)))</f>
        <v/>
      </c>
      <c r="AP79" s="146">
        <f>IF($C79="","",IF(PULL_FUND="N","",IF(COUNTIFS('Fund History'!$G$410:$G$414,"&gt;="&amp;DATE(YEAR_Y-2,1,1),'Fund History'!$G$410:$G$414,"&lt;="&amp;DATE(YEAR_Y-2,12,31))=0,"",SUMIFS('Fund History'!$H$410:$H$414,'Fund History'!$G$410:$G$414,"&gt;="&amp;DATE(YEAR_Y-2,1,1),'Fund History'!$G$410:$G$414,"&lt;="&amp;DATE(YEAR_Y-2,12,31))/100)))</f>
        <v/>
      </c>
      <c r="AQ79" s="146">
        <f>IF($C79="","",IF(PULL_FUND="N","",IF(COUNTIFS('Fund History'!$G$410:$G$414,"&gt;="&amp;DATE(YEAR_Y-1,1,1),'Fund History'!$G$410:$G$414,"&lt;="&amp;DATE(YEAR_Y-1,12,31))=0,"",SUMIFS('Fund History'!$H$410:$H$414,'Fund History'!$G$410:$G$414,"&gt;="&amp;DATE(YEAR_Y-1,1,1),'Fund History'!$G$410:$G$414,"&lt;="&amp;DATE(YEAR_Y-1,12,31))/100)))</f>
        <v/>
      </c>
      <c r="AR79" s="147">
        <f>IF($C79="","",IF(N($AQ79)+N(HSI!$I$74)=0,"",N($AQ79)+N(HSI!$I$74)/100))</f>
        <v/>
      </c>
      <c r="AS79" s="139">
        <f>IF($C79="","",IF(PULL_FUND="N","",IF(COUNTIFS('Fund History'!$D$410:$D$414,"&gt;="&amp;DATE(YEAR_Y-2,1,1),'Fund History'!$D$410:$D$414,"&lt;="&amp;DATE(YEAR_Y-2,12,31))=0,"",SUMIFS('Fund History'!$E$410:$E$414,'Fund History'!$D$410:$D$414,"&gt;="&amp;DATE(YEAR_Y-2,1,1),'Fund History'!$D$410:$D$414,"&lt;="&amp;DATE(YEAR_Y-2,12,31)))))</f>
        <v/>
      </c>
      <c r="AT79" s="140">
        <f>IF($C79="","",IF(PULL_FUND="N","",IF(COUNTIFS('Fund History'!$D$410:$D$414,"&gt;="&amp;DATE(YEAR_Y-1,1,1),'Fund History'!$D$410:$D$414,"&lt;="&amp;DATE(YEAR_Y-1,12,31))=0,"",SUMIFS('Fund History'!$E$410:$E$414,'Fund History'!$D$410:$D$414,"&gt;="&amp;DATE(YEAR_Y-1,1,1),'Fund History'!$D$410:$D$414,"&lt;="&amp;DATE(YEAR_Y-1,12,31)))))</f>
        <v/>
      </c>
      <c r="AU79" s="140">
        <f>IF($C79="","",IF(PULL_FUND="N","",IFERROR(BDP($C79,NDEBITDA_FIELD),"")))</f>
        <v/>
      </c>
      <c r="AV79" s="148">
        <f>IF($C79="","",IF(PULL_FUND="N","",IFERROR(BDP($C79,EBINT_FIELD),"")))</f>
        <v/>
      </c>
      <c r="AW79" s="146">
        <f>IF($C79="","",IF(PULL_FUND="N","",IFERROR(BDP($C79,FCF_FIELD)/100,"")))</f>
        <v/>
      </c>
      <c r="AX79" s="126">
        <f>IF($C79="","",IF(N($U79)=0,"",IFERROR($AW79/$U79,"")))</f>
        <v/>
      </c>
      <c r="AY79" s="85">
        <f>IF($C79="","",TRIM(IF(ISNUMBER($AJ79)*(N($AJ79)&gt;$D$4)&gt;0,"payout high  ","")&amp;IF(ISNUMBER($AX79)*(N($AX79)&lt;$F$4)&gt;0,"FCF below dvd  ","")&amp;IF(ISNUMBER($AU79)*(N($AU79)&gt;$H$4)&gt;0,"leverage high","")))</f>
        <v/>
      </c>
      <c r="AZ79" s="86">
        <f>IF($C79="","",IF(HSI!$F$74="HKD","",HSI!$F$74))</f>
        <v/>
      </c>
    </row>
    <row r="80">
      <c r="B80" s="66" t="inlineStr">
        <is>
          <t>HSI</t>
        </is>
      </c>
      <c r="C80" s="8">
        <f>IF(HSI!$C$75="","",HSI!$C$75)</f>
        <v/>
      </c>
      <c r="D80" s="8">
        <f>IF($C80="","",HSI!$D$75)</f>
        <v/>
      </c>
      <c r="E80" s="8">
        <f>IF($C80="","",HSI!$E$75)</f>
        <v/>
      </c>
      <c r="F80" s="131">
        <f>IF($C80="","",SUMPRODUCT(('Dvd Calendar'!$E$759:$AR$759&gt;=DATE(YEAR_Y-5,1,1))*('Dvd Calendar'!$E$759:$AR$759&lt;=DATE(YEAR_Y-5,12,31))*'Dvd Calendar'!$E$762:$AR$762*(('Dvd Calendar'!$E$764:$AR$764=TYPE1)*(TYPE1&lt;&gt;"")+('Dvd Calendar'!$E$764:$AR$764=TYPE2)*(TYPE2&lt;&gt;"")+('Dvd Calendar'!$E$764:$AR$764=TYPE3)*(TYPE3&lt;&gt;"")+('Dvd Calendar'!$E$764:$AR$764=TYPE4)*(TYPE4&lt;&gt;"")+('Dvd Calendar'!$E$764:$AR$764=SPECIAL_LBL)*(INC_SPECIALS="Y"))))</f>
        <v/>
      </c>
      <c r="G80" s="132">
        <f>IF($C80="","",SUMPRODUCT(('Dvd Calendar'!$E$759:$AR$759&gt;=DATE(YEAR_Y-4,1,1))*('Dvd Calendar'!$E$759:$AR$759&lt;=DATE(YEAR_Y-4,12,31))*'Dvd Calendar'!$E$762:$AR$762*(('Dvd Calendar'!$E$764:$AR$764=TYPE1)*(TYPE1&lt;&gt;"")+('Dvd Calendar'!$E$764:$AR$764=TYPE2)*(TYPE2&lt;&gt;"")+('Dvd Calendar'!$E$764:$AR$764=TYPE3)*(TYPE3&lt;&gt;"")+('Dvd Calendar'!$E$764:$AR$764=TYPE4)*(TYPE4&lt;&gt;"")+('Dvd Calendar'!$E$764:$AR$764=SPECIAL_LBL)*(INC_SPECIALS="Y"))))</f>
        <v/>
      </c>
      <c r="H80" s="132">
        <f>IF($C80="","",SUMPRODUCT(('Dvd Calendar'!$E$759:$AR$759&gt;=DATE(YEAR_Y-3,1,1))*('Dvd Calendar'!$E$759:$AR$759&lt;=DATE(YEAR_Y-3,12,31))*'Dvd Calendar'!$E$762:$AR$762*(('Dvd Calendar'!$E$764:$AR$764=TYPE1)*(TYPE1&lt;&gt;"")+('Dvd Calendar'!$E$764:$AR$764=TYPE2)*(TYPE2&lt;&gt;"")+('Dvd Calendar'!$E$764:$AR$764=TYPE3)*(TYPE3&lt;&gt;"")+('Dvd Calendar'!$E$764:$AR$764=TYPE4)*(TYPE4&lt;&gt;"")+('Dvd Calendar'!$E$764:$AR$764=SPECIAL_LBL)*(INC_SPECIALS="Y"))))</f>
        <v/>
      </c>
      <c r="I80" s="132">
        <f>IF($C80="","",SUMPRODUCT(('Dvd Calendar'!$E$759:$AR$759&gt;=DATE(YEAR_Y-2,1,1))*('Dvd Calendar'!$E$759:$AR$759&lt;=DATE(YEAR_Y-2,12,31))*'Dvd Calendar'!$E$762:$AR$762*(('Dvd Calendar'!$E$764:$AR$764=TYPE1)*(TYPE1&lt;&gt;"")+('Dvd Calendar'!$E$764:$AR$764=TYPE2)*(TYPE2&lt;&gt;"")+('Dvd Calendar'!$E$764:$AR$764=TYPE3)*(TYPE3&lt;&gt;"")+('Dvd Calendar'!$E$764:$AR$764=TYPE4)*(TYPE4&lt;&gt;"")+('Dvd Calendar'!$E$764:$AR$764=SPECIAL_LBL)*(INC_SPECIALS="Y"))))</f>
        <v/>
      </c>
      <c r="J80" s="132">
        <f>IF($C80="","",SUMPRODUCT(('Dvd Calendar'!$E$759:$AR$759&gt;=DATE(YEAR_Y-1,1,1))*('Dvd Calendar'!$E$759:$AR$759&lt;=DATE(YEAR_Y-1,12,31))*'Dvd Calendar'!$E$762:$AR$762*(('Dvd Calendar'!$E$764:$AR$764=TYPE1)*(TYPE1&lt;&gt;"")+('Dvd Calendar'!$E$764:$AR$764=TYPE2)*(TYPE2&lt;&gt;"")+('Dvd Calendar'!$E$764:$AR$764=TYPE3)*(TYPE3&lt;&gt;"")+('Dvd Calendar'!$E$764:$AR$764=TYPE4)*(TYPE4&lt;&gt;"")+('Dvd Calendar'!$E$764:$AR$764=SPECIAL_LBL)*(INC_SPECIALS="Y"))))</f>
        <v/>
      </c>
      <c r="K80" s="133">
        <f>IF($C80="","",HSI!$J$75)</f>
        <v/>
      </c>
      <c r="L80" s="133">
        <f>IF($C80="","",HSI!$K$75)</f>
        <v/>
      </c>
      <c r="M80" s="124">
        <f>IF($C80="","",HSI!$J$75+HSI!$L$75)</f>
        <v/>
      </c>
      <c r="N80" s="134">
        <f>IF($C80="","",IF(PULL_FUND="N","",IFERROR(BDP($C80,BESTDPS_FIELD,FWD_OVERRIDE,TEXT(MOD(YEAR_Y,100),"00")&amp;"Y"),"")))</f>
        <v/>
      </c>
      <c r="O80" s="133">
        <f>IF($C80="","",AVERAGE(F80:J80))</f>
        <v/>
      </c>
      <c r="P80" s="135">
        <f>IF($C80="","",IF(PULL_FUND="N","",IF(COUNTIFS('Fund History'!$J$416:$J$420,"&gt;="&amp;DATE(YEAR_Y-5,1,1),'Fund History'!$J$416:$J$420,"&lt;="&amp;DATE(YEAR_Y-5,12,31))=0,"",IFERROR($F80*HSI!$G$75/SUMIFS('Fund History'!$K$416:$K$420,'Fund History'!$J$416:$J$420,"&gt;="&amp;DATE(YEAR_Y-5,1,1),'Fund History'!$J$416:$J$420,"&lt;="&amp;DATE(YEAR_Y-5,12,31)),""))))</f>
        <v/>
      </c>
      <c r="Q80" s="136">
        <f>IF($C80="","",IF(PULL_FUND="N","",IF(COUNTIFS('Fund History'!$J$416:$J$420,"&gt;="&amp;DATE(YEAR_Y-4,1,1),'Fund History'!$J$416:$J$420,"&lt;="&amp;DATE(YEAR_Y-4,12,31))=0,"",IFERROR($G80*HSI!$G$75/SUMIFS('Fund History'!$K$416:$K$420,'Fund History'!$J$416:$J$420,"&gt;="&amp;DATE(YEAR_Y-4,1,1),'Fund History'!$J$416:$J$420,"&lt;="&amp;DATE(YEAR_Y-4,12,31)),""))))</f>
        <v/>
      </c>
      <c r="R80" s="136">
        <f>IF($C80="","",IF(PULL_FUND="N","",IF(COUNTIFS('Fund History'!$J$416:$J$420,"&gt;="&amp;DATE(YEAR_Y-3,1,1),'Fund History'!$J$416:$J$420,"&lt;="&amp;DATE(YEAR_Y-3,12,31))=0,"",IFERROR($H80*HSI!$G$75/SUMIFS('Fund History'!$K$416:$K$420,'Fund History'!$J$416:$J$420,"&gt;="&amp;DATE(YEAR_Y-3,1,1),'Fund History'!$J$416:$J$420,"&lt;="&amp;DATE(YEAR_Y-3,12,31)),""))))</f>
        <v/>
      </c>
      <c r="S80" s="136">
        <f>IF($C80="","",IF(PULL_FUND="N","",IF(COUNTIFS('Fund History'!$J$416:$J$420,"&gt;="&amp;DATE(YEAR_Y-2,1,1),'Fund History'!$J$416:$J$420,"&lt;="&amp;DATE(YEAR_Y-2,12,31))=0,"",IFERROR($I80*HSI!$G$75/SUMIFS('Fund History'!$K$416:$K$420,'Fund History'!$J$416:$J$420,"&gt;="&amp;DATE(YEAR_Y-2,1,1),'Fund History'!$J$416:$J$420,"&lt;="&amp;DATE(YEAR_Y-2,12,31)),""))))</f>
        <v/>
      </c>
      <c r="T80" s="136">
        <f>IF($C80="","",IF(PULL_FUND="N","",IF(COUNTIFS('Fund History'!$J$416:$J$420,"&gt;="&amp;DATE(YEAR_Y-1,1,1),'Fund History'!$J$416:$J$420,"&lt;="&amp;DATE(YEAR_Y-1,12,31))=0,"",IFERROR($J80*HSI!$G$75/SUMIFS('Fund History'!$K$416:$K$420,'Fund History'!$J$416:$J$420,"&gt;="&amp;DATE(YEAR_Y-1,1,1),'Fund History'!$J$416:$J$420,"&lt;="&amp;DATE(YEAR_Y-1,12,31)),""))))</f>
        <v/>
      </c>
      <c r="U80" s="137">
        <f>IF($C80="","",IF(ISNUMBER(HSI!$I$75),HSI!$I$75/100,""))</f>
        <v/>
      </c>
      <c r="V80" s="138">
        <f>IF($C80="","",IF(ISNUMBER(HSI!$X$75),IFERROR($M80*HSI!$G$75/HSI!$X$75,""),""))</f>
        <v/>
      </c>
      <c r="W80" s="137">
        <f>IF($C80="","",IF(ISNUMBER($N80),IFERROR($N80*HSI!$G$75/HSI!$X$75,""),""))</f>
        <v/>
      </c>
      <c r="X80" s="139">
        <f>IF($C80="","",IF(PULL_FUND="N","",IFERROR(BDP($C80,EPS_FIELD,YR_OVERRIDE,TEXT(YEAR_Y-5,"0")),"")))</f>
        <v/>
      </c>
      <c r="Y80" s="140">
        <f>IF($C80="","",IF(PULL_FUND="N","",IFERROR(BDP($C80,EPS_FIELD,YR_OVERRIDE,TEXT(YEAR_Y-4,"0")),"")))</f>
        <v/>
      </c>
      <c r="Z80" s="140">
        <f>IF($C80="","",IF(PULL_FUND="N","",IFERROR(BDP($C80,EPS_FIELD,YR_OVERRIDE,TEXT(YEAR_Y-3,"0")),"")))</f>
        <v/>
      </c>
      <c r="AA80" s="140">
        <f>IF($C80="","",IF(PULL_FUND="N","",IFERROR(BDP($C80,EPS_FIELD,YR_OVERRIDE,TEXT(YEAR_Y-2,"0")),"")))</f>
        <v/>
      </c>
      <c r="AB80" s="140">
        <f>IF($C80="","",IF(PULL_FUND="N","",IFERROR(BDP($C80,EPS_FIELD,YR_OVERRIDE,TEXT(YEAR_Y-1,"0")),"")))</f>
        <v/>
      </c>
      <c r="AC80" s="126">
        <f>IF($C80="","",IFERROR(AVERAGE(X80:AB80),""))</f>
        <v/>
      </c>
      <c r="AD80" s="140">
        <f>IF($C80="","",IF(PULL_FUND="N","",IFERROR(BDP($C80,BESTEPS_FIELD,FWD_OVERRIDE,TEXT(MOD(YEAR_Y,100),"00")&amp;"Y"),"")))</f>
        <v/>
      </c>
      <c r="AE80" s="141">
        <f>IF($C80="","",IF(PULL_FUND="N","",IFERROR(BDP($C80,PAYOUT_FIELD,YR_OVERRIDE,TEXT(YEAR_Y-5,"0"))/100,"")))</f>
        <v/>
      </c>
      <c r="AF80" s="142">
        <f>IF($C80="","",IF(PULL_FUND="N","",IFERROR(BDP($C80,PAYOUT_FIELD,YR_OVERRIDE,TEXT(YEAR_Y-4,"0"))/100,"")))</f>
        <v/>
      </c>
      <c r="AG80" s="142">
        <f>IF($C80="","",IF(PULL_FUND="N","",IFERROR(BDP($C80,PAYOUT_FIELD,YR_OVERRIDE,TEXT(YEAR_Y-3,"0"))/100,"")))</f>
        <v/>
      </c>
      <c r="AH80" s="142">
        <f>IF($C80="","",IF(PULL_FUND="N","",IFERROR(BDP($C80,PAYOUT_FIELD,YR_OVERRIDE,TEXT(YEAR_Y-2,"0"))/100,"")))</f>
        <v/>
      </c>
      <c r="AI80" s="142">
        <f>IF($C80="","",IF(PULL_FUND="N","",IFERROR(BDP($C80,PAYOUT_FIELD,YR_OVERRIDE,TEXT(YEAR_Y-1,"0"))/100,"")))</f>
        <v/>
      </c>
      <c r="AJ80" s="143">
        <f>IF($C80="","",IFERROR(AVERAGE(AE80:AI80),""))</f>
        <v/>
      </c>
      <c r="AK80" s="144">
        <f>IF($C80="","",IF(ISNUMBER($AD80)*ISNUMBER($N80)*($AD80&lt;&gt;0)=0,"",$N80/$AD80))</f>
        <v/>
      </c>
      <c r="AL80" s="143">
        <f>IF($C80="","",IF(ISNUMBER($AD80)*($AD80&lt;&gt;0)=0,"",$M80/$AD80))</f>
        <v/>
      </c>
      <c r="AM80" s="37">
        <f>IF($C80="","",IF(ISNUMBER($AE80)*ISNUMBER($AI80)=0,"",IF($AI80&gt;$AE80+0.05,"rising",IF($AI80&lt;$AE80-0.05,"falling","stable"))))</f>
        <v/>
      </c>
      <c r="AN80" s="145">
        <f>IF($C80="","",IF(PULL_FUND="N","",IF(COUNTIFS('Fund History'!$G$416:$G$420,"&gt;="&amp;DATE(YEAR_Y-4,1,1),'Fund History'!$G$416:$G$420,"&lt;="&amp;DATE(YEAR_Y-4,12,31))=0,"",SUMIFS('Fund History'!$H$416:$H$420,'Fund History'!$G$416:$G$420,"&gt;="&amp;DATE(YEAR_Y-4,1,1),'Fund History'!$G$416:$G$420,"&lt;="&amp;DATE(YEAR_Y-4,12,31))/100)))</f>
        <v/>
      </c>
      <c r="AO80" s="146">
        <f>IF($C80="","",IF(PULL_FUND="N","",IF(COUNTIFS('Fund History'!$G$416:$G$420,"&gt;="&amp;DATE(YEAR_Y-3,1,1),'Fund History'!$G$416:$G$420,"&lt;="&amp;DATE(YEAR_Y-3,12,31))=0,"",SUMIFS('Fund History'!$H$416:$H$420,'Fund History'!$G$416:$G$420,"&gt;="&amp;DATE(YEAR_Y-3,1,1),'Fund History'!$G$416:$G$420,"&lt;="&amp;DATE(YEAR_Y-3,12,31))/100)))</f>
        <v/>
      </c>
      <c r="AP80" s="146">
        <f>IF($C80="","",IF(PULL_FUND="N","",IF(COUNTIFS('Fund History'!$G$416:$G$420,"&gt;="&amp;DATE(YEAR_Y-2,1,1),'Fund History'!$G$416:$G$420,"&lt;="&amp;DATE(YEAR_Y-2,12,31))=0,"",SUMIFS('Fund History'!$H$416:$H$420,'Fund History'!$G$416:$G$420,"&gt;="&amp;DATE(YEAR_Y-2,1,1),'Fund History'!$G$416:$G$420,"&lt;="&amp;DATE(YEAR_Y-2,12,31))/100)))</f>
        <v/>
      </c>
      <c r="AQ80" s="146">
        <f>IF($C80="","",IF(PULL_FUND="N","",IF(COUNTIFS('Fund History'!$G$416:$G$420,"&gt;="&amp;DATE(YEAR_Y-1,1,1),'Fund History'!$G$416:$G$420,"&lt;="&amp;DATE(YEAR_Y-1,12,31))=0,"",SUMIFS('Fund History'!$H$416:$H$420,'Fund History'!$G$416:$G$420,"&gt;="&amp;DATE(YEAR_Y-1,1,1),'Fund History'!$G$416:$G$420,"&lt;="&amp;DATE(YEAR_Y-1,12,31))/100)))</f>
        <v/>
      </c>
      <c r="AR80" s="147">
        <f>IF($C80="","",IF(N($AQ80)+N(HSI!$I$75)=0,"",N($AQ80)+N(HSI!$I$75)/100))</f>
        <v/>
      </c>
      <c r="AS80" s="139">
        <f>IF($C80="","",IF(PULL_FUND="N","",IF(COUNTIFS('Fund History'!$D$416:$D$420,"&gt;="&amp;DATE(YEAR_Y-2,1,1),'Fund History'!$D$416:$D$420,"&lt;="&amp;DATE(YEAR_Y-2,12,31))=0,"",SUMIFS('Fund History'!$E$416:$E$420,'Fund History'!$D$416:$D$420,"&gt;="&amp;DATE(YEAR_Y-2,1,1),'Fund History'!$D$416:$D$420,"&lt;="&amp;DATE(YEAR_Y-2,12,31)))))</f>
        <v/>
      </c>
      <c r="AT80" s="140">
        <f>IF($C80="","",IF(PULL_FUND="N","",IF(COUNTIFS('Fund History'!$D$416:$D$420,"&gt;="&amp;DATE(YEAR_Y-1,1,1),'Fund History'!$D$416:$D$420,"&lt;="&amp;DATE(YEAR_Y-1,12,31))=0,"",SUMIFS('Fund History'!$E$416:$E$420,'Fund History'!$D$416:$D$420,"&gt;="&amp;DATE(YEAR_Y-1,1,1),'Fund History'!$D$416:$D$420,"&lt;="&amp;DATE(YEAR_Y-1,12,31)))))</f>
        <v/>
      </c>
      <c r="AU80" s="140">
        <f>IF($C80="","",IF(PULL_FUND="N","",IFERROR(BDP($C80,NDEBITDA_FIELD),"")))</f>
        <v/>
      </c>
      <c r="AV80" s="148">
        <f>IF($C80="","",IF(PULL_FUND="N","",IFERROR(BDP($C80,EBINT_FIELD),"")))</f>
        <v/>
      </c>
      <c r="AW80" s="146">
        <f>IF($C80="","",IF(PULL_FUND="N","",IFERROR(BDP($C80,FCF_FIELD)/100,"")))</f>
        <v/>
      </c>
      <c r="AX80" s="126">
        <f>IF($C80="","",IF(N($U80)=0,"",IFERROR($AW80/$U80,"")))</f>
        <v/>
      </c>
      <c r="AY80" s="85">
        <f>IF($C80="","",TRIM(IF(ISNUMBER($AJ80)*(N($AJ80)&gt;$D$4)&gt;0,"payout high  ","")&amp;IF(ISNUMBER($AX80)*(N($AX80)&lt;$F$4)&gt;0,"FCF below dvd  ","")&amp;IF(ISNUMBER($AU80)*(N($AU80)&gt;$H$4)&gt;0,"leverage high","")))</f>
        <v/>
      </c>
      <c r="AZ80" s="86">
        <f>IF($C80="","",IF(HSI!$F$75="HKD","",HSI!$F$75))</f>
        <v/>
      </c>
    </row>
    <row r="81">
      <c r="B81" s="66" t="inlineStr">
        <is>
          <t>HSI</t>
        </is>
      </c>
      <c r="C81" s="8">
        <f>IF(HSI!$C$76="","",HSI!$C$76)</f>
        <v/>
      </c>
      <c r="D81" s="8">
        <f>IF($C81="","",HSI!$D$76)</f>
        <v/>
      </c>
      <c r="E81" s="8">
        <f>IF($C81="","",HSI!$E$76)</f>
        <v/>
      </c>
      <c r="F81" s="131">
        <f>IF($C81="","",SUMPRODUCT(('Dvd Calendar'!$E$770:$AR$770&gt;=DATE(YEAR_Y-5,1,1))*('Dvd Calendar'!$E$770:$AR$770&lt;=DATE(YEAR_Y-5,12,31))*'Dvd Calendar'!$E$773:$AR$773*(('Dvd Calendar'!$E$775:$AR$775=TYPE1)*(TYPE1&lt;&gt;"")+('Dvd Calendar'!$E$775:$AR$775=TYPE2)*(TYPE2&lt;&gt;"")+('Dvd Calendar'!$E$775:$AR$775=TYPE3)*(TYPE3&lt;&gt;"")+('Dvd Calendar'!$E$775:$AR$775=TYPE4)*(TYPE4&lt;&gt;"")+('Dvd Calendar'!$E$775:$AR$775=SPECIAL_LBL)*(INC_SPECIALS="Y"))))</f>
        <v/>
      </c>
      <c r="G81" s="132">
        <f>IF($C81="","",SUMPRODUCT(('Dvd Calendar'!$E$770:$AR$770&gt;=DATE(YEAR_Y-4,1,1))*('Dvd Calendar'!$E$770:$AR$770&lt;=DATE(YEAR_Y-4,12,31))*'Dvd Calendar'!$E$773:$AR$773*(('Dvd Calendar'!$E$775:$AR$775=TYPE1)*(TYPE1&lt;&gt;"")+('Dvd Calendar'!$E$775:$AR$775=TYPE2)*(TYPE2&lt;&gt;"")+('Dvd Calendar'!$E$775:$AR$775=TYPE3)*(TYPE3&lt;&gt;"")+('Dvd Calendar'!$E$775:$AR$775=TYPE4)*(TYPE4&lt;&gt;"")+('Dvd Calendar'!$E$775:$AR$775=SPECIAL_LBL)*(INC_SPECIALS="Y"))))</f>
        <v/>
      </c>
      <c r="H81" s="132">
        <f>IF($C81="","",SUMPRODUCT(('Dvd Calendar'!$E$770:$AR$770&gt;=DATE(YEAR_Y-3,1,1))*('Dvd Calendar'!$E$770:$AR$770&lt;=DATE(YEAR_Y-3,12,31))*'Dvd Calendar'!$E$773:$AR$773*(('Dvd Calendar'!$E$775:$AR$775=TYPE1)*(TYPE1&lt;&gt;"")+('Dvd Calendar'!$E$775:$AR$775=TYPE2)*(TYPE2&lt;&gt;"")+('Dvd Calendar'!$E$775:$AR$775=TYPE3)*(TYPE3&lt;&gt;"")+('Dvd Calendar'!$E$775:$AR$775=TYPE4)*(TYPE4&lt;&gt;"")+('Dvd Calendar'!$E$775:$AR$775=SPECIAL_LBL)*(INC_SPECIALS="Y"))))</f>
        <v/>
      </c>
      <c r="I81" s="132">
        <f>IF($C81="","",SUMPRODUCT(('Dvd Calendar'!$E$770:$AR$770&gt;=DATE(YEAR_Y-2,1,1))*('Dvd Calendar'!$E$770:$AR$770&lt;=DATE(YEAR_Y-2,12,31))*'Dvd Calendar'!$E$773:$AR$773*(('Dvd Calendar'!$E$775:$AR$775=TYPE1)*(TYPE1&lt;&gt;"")+('Dvd Calendar'!$E$775:$AR$775=TYPE2)*(TYPE2&lt;&gt;"")+('Dvd Calendar'!$E$775:$AR$775=TYPE3)*(TYPE3&lt;&gt;"")+('Dvd Calendar'!$E$775:$AR$775=TYPE4)*(TYPE4&lt;&gt;"")+('Dvd Calendar'!$E$775:$AR$775=SPECIAL_LBL)*(INC_SPECIALS="Y"))))</f>
        <v/>
      </c>
      <c r="J81" s="132">
        <f>IF($C81="","",SUMPRODUCT(('Dvd Calendar'!$E$770:$AR$770&gt;=DATE(YEAR_Y-1,1,1))*('Dvd Calendar'!$E$770:$AR$770&lt;=DATE(YEAR_Y-1,12,31))*'Dvd Calendar'!$E$773:$AR$773*(('Dvd Calendar'!$E$775:$AR$775=TYPE1)*(TYPE1&lt;&gt;"")+('Dvd Calendar'!$E$775:$AR$775=TYPE2)*(TYPE2&lt;&gt;"")+('Dvd Calendar'!$E$775:$AR$775=TYPE3)*(TYPE3&lt;&gt;"")+('Dvd Calendar'!$E$775:$AR$775=TYPE4)*(TYPE4&lt;&gt;"")+('Dvd Calendar'!$E$775:$AR$775=SPECIAL_LBL)*(INC_SPECIALS="Y"))))</f>
        <v/>
      </c>
      <c r="K81" s="133">
        <f>IF($C81="","",HSI!$J$76)</f>
        <v/>
      </c>
      <c r="L81" s="133">
        <f>IF($C81="","",HSI!$K$76)</f>
        <v/>
      </c>
      <c r="M81" s="124">
        <f>IF($C81="","",HSI!$J$76+HSI!$L$76)</f>
        <v/>
      </c>
      <c r="N81" s="134">
        <f>IF($C81="","",IF(PULL_FUND="N","",IFERROR(BDP($C81,BESTDPS_FIELD,FWD_OVERRIDE,TEXT(MOD(YEAR_Y,100),"00")&amp;"Y"),"")))</f>
        <v/>
      </c>
      <c r="O81" s="133">
        <f>IF($C81="","",AVERAGE(F81:J81))</f>
        <v/>
      </c>
      <c r="P81" s="135">
        <f>IF($C81="","",IF(PULL_FUND="N","",IF(COUNTIFS('Fund History'!$J$422:$J$426,"&gt;="&amp;DATE(YEAR_Y-5,1,1),'Fund History'!$J$422:$J$426,"&lt;="&amp;DATE(YEAR_Y-5,12,31))=0,"",IFERROR($F81*HSI!$G$76/SUMIFS('Fund History'!$K$422:$K$426,'Fund History'!$J$422:$J$426,"&gt;="&amp;DATE(YEAR_Y-5,1,1),'Fund History'!$J$422:$J$426,"&lt;="&amp;DATE(YEAR_Y-5,12,31)),""))))</f>
        <v/>
      </c>
      <c r="Q81" s="136">
        <f>IF($C81="","",IF(PULL_FUND="N","",IF(COUNTIFS('Fund History'!$J$422:$J$426,"&gt;="&amp;DATE(YEAR_Y-4,1,1),'Fund History'!$J$422:$J$426,"&lt;="&amp;DATE(YEAR_Y-4,12,31))=0,"",IFERROR($G81*HSI!$G$76/SUMIFS('Fund History'!$K$422:$K$426,'Fund History'!$J$422:$J$426,"&gt;="&amp;DATE(YEAR_Y-4,1,1),'Fund History'!$J$422:$J$426,"&lt;="&amp;DATE(YEAR_Y-4,12,31)),""))))</f>
        <v/>
      </c>
      <c r="R81" s="136">
        <f>IF($C81="","",IF(PULL_FUND="N","",IF(COUNTIFS('Fund History'!$J$422:$J$426,"&gt;="&amp;DATE(YEAR_Y-3,1,1),'Fund History'!$J$422:$J$426,"&lt;="&amp;DATE(YEAR_Y-3,12,31))=0,"",IFERROR($H81*HSI!$G$76/SUMIFS('Fund History'!$K$422:$K$426,'Fund History'!$J$422:$J$426,"&gt;="&amp;DATE(YEAR_Y-3,1,1),'Fund History'!$J$422:$J$426,"&lt;="&amp;DATE(YEAR_Y-3,12,31)),""))))</f>
        <v/>
      </c>
      <c r="S81" s="136">
        <f>IF($C81="","",IF(PULL_FUND="N","",IF(COUNTIFS('Fund History'!$J$422:$J$426,"&gt;="&amp;DATE(YEAR_Y-2,1,1),'Fund History'!$J$422:$J$426,"&lt;="&amp;DATE(YEAR_Y-2,12,31))=0,"",IFERROR($I81*HSI!$G$76/SUMIFS('Fund History'!$K$422:$K$426,'Fund History'!$J$422:$J$426,"&gt;="&amp;DATE(YEAR_Y-2,1,1),'Fund History'!$J$422:$J$426,"&lt;="&amp;DATE(YEAR_Y-2,12,31)),""))))</f>
        <v/>
      </c>
      <c r="T81" s="136">
        <f>IF($C81="","",IF(PULL_FUND="N","",IF(COUNTIFS('Fund History'!$J$422:$J$426,"&gt;="&amp;DATE(YEAR_Y-1,1,1),'Fund History'!$J$422:$J$426,"&lt;="&amp;DATE(YEAR_Y-1,12,31))=0,"",IFERROR($J81*HSI!$G$76/SUMIFS('Fund History'!$K$422:$K$426,'Fund History'!$J$422:$J$426,"&gt;="&amp;DATE(YEAR_Y-1,1,1),'Fund History'!$J$422:$J$426,"&lt;="&amp;DATE(YEAR_Y-1,12,31)),""))))</f>
        <v/>
      </c>
      <c r="U81" s="137">
        <f>IF($C81="","",IF(ISNUMBER(HSI!$I$76),HSI!$I$76/100,""))</f>
        <v/>
      </c>
      <c r="V81" s="138">
        <f>IF($C81="","",IF(ISNUMBER(HSI!$X$76),IFERROR($M81*HSI!$G$76/HSI!$X$76,""),""))</f>
        <v/>
      </c>
      <c r="W81" s="137">
        <f>IF($C81="","",IF(ISNUMBER($N81),IFERROR($N81*HSI!$G$76/HSI!$X$76,""),""))</f>
        <v/>
      </c>
      <c r="X81" s="139">
        <f>IF($C81="","",IF(PULL_FUND="N","",IFERROR(BDP($C81,EPS_FIELD,YR_OVERRIDE,TEXT(YEAR_Y-5,"0")),"")))</f>
        <v/>
      </c>
      <c r="Y81" s="140">
        <f>IF($C81="","",IF(PULL_FUND="N","",IFERROR(BDP($C81,EPS_FIELD,YR_OVERRIDE,TEXT(YEAR_Y-4,"0")),"")))</f>
        <v/>
      </c>
      <c r="Z81" s="140">
        <f>IF($C81="","",IF(PULL_FUND="N","",IFERROR(BDP($C81,EPS_FIELD,YR_OVERRIDE,TEXT(YEAR_Y-3,"0")),"")))</f>
        <v/>
      </c>
      <c r="AA81" s="140">
        <f>IF($C81="","",IF(PULL_FUND="N","",IFERROR(BDP($C81,EPS_FIELD,YR_OVERRIDE,TEXT(YEAR_Y-2,"0")),"")))</f>
        <v/>
      </c>
      <c r="AB81" s="140">
        <f>IF($C81="","",IF(PULL_FUND="N","",IFERROR(BDP($C81,EPS_FIELD,YR_OVERRIDE,TEXT(YEAR_Y-1,"0")),"")))</f>
        <v/>
      </c>
      <c r="AC81" s="126">
        <f>IF($C81="","",IFERROR(AVERAGE(X81:AB81),""))</f>
        <v/>
      </c>
      <c r="AD81" s="140">
        <f>IF($C81="","",IF(PULL_FUND="N","",IFERROR(BDP($C81,BESTEPS_FIELD,FWD_OVERRIDE,TEXT(MOD(YEAR_Y,100),"00")&amp;"Y"),"")))</f>
        <v/>
      </c>
      <c r="AE81" s="141">
        <f>IF($C81="","",IF(PULL_FUND="N","",IFERROR(BDP($C81,PAYOUT_FIELD,YR_OVERRIDE,TEXT(YEAR_Y-5,"0"))/100,"")))</f>
        <v/>
      </c>
      <c r="AF81" s="142">
        <f>IF($C81="","",IF(PULL_FUND="N","",IFERROR(BDP($C81,PAYOUT_FIELD,YR_OVERRIDE,TEXT(YEAR_Y-4,"0"))/100,"")))</f>
        <v/>
      </c>
      <c r="AG81" s="142">
        <f>IF($C81="","",IF(PULL_FUND="N","",IFERROR(BDP($C81,PAYOUT_FIELD,YR_OVERRIDE,TEXT(YEAR_Y-3,"0"))/100,"")))</f>
        <v/>
      </c>
      <c r="AH81" s="142">
        <f>IF($C81="","",IF(PULL_FUND="N","",IFERROR(BDP($C81,PAYOUT_FIELD,YR_OVERRIDE,TEXT(YEAR_Y-2,"0"))/100,"")))</f>
        <v/>
      </c>
      <c r="AI81" s="142">
        <f>IF($C81="","",IF(PULL_FUND="N","",IFERROR(BDP($C81,PAYOUT_FIELD,YR_OVERRIDE,TEXT(YEAR_Y-1,"0"))/100,"")))</f>
        <v/>
      </c>
      <c r="AJ81" s="143">
        <f>IF($C81="","",IFERROR(AVERAGE(AE81:AI81),""))</f>
        <v/>
      </c>
      <c r="AK81" s="144">
        <f>IF($C81="","",IF(ISNUMBER($AD81)*ISNUMBER($N81)*($AD81&lt;&gt;0)=0,"",$N81/$AD81))</f>
        <v/>
      </c>
      <c r="AL81" s="143">
        <f>IF($C81="","",IF(ISNUMBER($AD81)*($AD81&lt;&gt;0)=0,"",$M81/$AD81))</f>
        <v/>
      </c>
      <c r="AM81" s="37">
        <f>IF($C81="","",IF(ISNUMBER($AE81)*ISNUMBER($AI81)=0,"",IF($AI81&gt;$AE81+0.05,"rising",IF($AI81&lt;$AE81-0.05,"falling","stable"))))</f>
        <v/>
      </c>
      <c r="AN81" s="145">
        <f>IF($C81="","",IF(PULL_FUND="N","",IF(COUNTIFS('Fund History'!$G$422:$G$426,"&gt;="&amp;DATE(YEAR_Y-4,1,1),'Fund History'!$G$422:$G$426,"&lt;="&amp;DATE(YEAR_Y-4,12,31))=0,"",SUMIFS('Fund History'!$H$422:$H$426,'Fund History'!$G$422:$G$426,"&gt;="&amp;DATE(YEAR_Y-4,1,1),'Fund History'!$G$422:$G$426,"&lt;="&amp;DATE(YEAR_Y-4,12,31))/100)))</f>
        <v/>
      </c>
      <c r="AO81" s="146">
        <f>IF($C81="","",IF(PULL_FUND="N","",IF(COUNTIFS('Fund History'!$G$422:$G$426,"&gt;="&amp;DATE(YEAR_Y-3,1,1),'Fund History'!$G$422:$G$426,"&lt;="&amp;DATE(YEAR_Y-3,12,31))=0,"",SUMIFS('Fund History'!$H$422:$H$426,'Fund History'!$G$422:$G$426,"&gt;="&amp;DATE(YEAR_Y-3,1,1),'Fund History'!$G$422:$G$426,"&lt;="&amp;DATE(YEAR_Y-3,12,31))/100)))</f>
        <v/>
      </c>
      <c r="AP81" s="146">
        <f>IF($C81="","",IF(PULL_FUND="N","",IF(COUNTIFS('Fund History'!$G$422:$G$426,"&gt;="&amp;DATE(YEAR_Y-2,1,1),'Fund History'!$G$422:$G$426,"&lt;="&amp;DATE(YEAR_Y-2,12,31))=0,"",SUMIFS('Fund History'!$H$422:$H$426,'Fund History'!$G$422:$G$426,"&gt;="&amp;DATE(YEAR_Y-2,1,1),'Fund History'!$G$422:$G$426,"&lt;="&amp;DATE(YEAR_Y-2,12,31))/100)))</f>
        <v/>
      </c>
      <c r="AQ81" s="146">
        <f>IF($C81="","",IF(PULL_FUND="N","",IF(COUNTIFS('Fund History'!$G$422:$G$426,"&gt;="&amp;DATE(YEAR_Y-1,1,1),'Fund History'!$G$422:$G$426,"&lt;="&amp;DATE(YEAR_Y-1,12,31))=0,"",SUMIFS('Fund History'!$H$422:$H$426,'Fund History'!$G$422:$G$426,"&gt;="&amp;DATE(YEAR_Y-1,1,1),'Fund History'!$G$422:$G$426,"&lt;="&amp;DATE(YEAR_Y-1,12,31))/100)))</f>
        <v/>
      </c>
      <c r="AR81" s="147">
        <f>IF($C81="","",IF(N($AQ81)+N(HSI!$I$76)=0,"",N($AQ81)+N(HSI!$I$76)/100))</f>
        <v/>
      </c>
      <c r="AS81" s="139">
        <f>IF($C81="","",IF(PULL_FUND="N","",IF(COUNTIFS('Fund History'!$D$422:$D$426,"&gt;="&amp;DATE(YEAR_Y-2,1,1),'Fund History'!$D$422:$D$426,"&lt;="&amp;DATE(YEAR_Y-2,12,31))=0,"",SUMIFS('Fund History'!$E$422:$E$426,'Fund History'!$D$422:$D$426,"&gt;="&amp;DATE(YEAR_Y-2,1,1),'Fund History'!$D$422:$D$426,"&lt;="&amp;DATE(YEAR_Y-2,12,31)))))</f>
        <v/>
      </c>
      <c r="AT81" s="140">
        <f>IF($C81="","",IF(PULL_FUND="N","",IF(COUNTIFS('Fund History'!$D$422:$D$426,"&gt;="&amp;DATE(YEAR_Y-1,1,1),'Fund History'!$D$422:$D$426,"&lt;="&amp;DATE(YEAR_Y-1,12,31))=0,"",SUMIFS('Fund History'!$E$422:$E$426,'Fund History'!$D$422:$D$426,"&gt;="&amp;DATE(YEAR_Y-1,1,1),'Fund History'!$D$422:$D$426,"&lt;="&amp;DATE(YEAR_Y-1,12,31)))))</f>
        <v/>
      </c>
      <c r="AU81" s="140">
        <f>IF($C81="","",IF(PULL_FUND="N","",IFERROR(BDP($C81,NDEBITDA_FIELD),"")))</f>
        <v/>
      </c>
      <c r="AV81" s="148">
        <f>IF($C81="","",IF(PULL_FUND="N","",IFERROR(BDP($C81,EBINT_FIELD),"")))</f>
        <v/>
      </c>
      <c r="AW81" s="146">
        <f>IF($C81="","",IF(PULL_FUND="N","",IFERROR(BDP($C81,FCF_FIELD)/100,"")))</f>
        <v/>
      </c>
      <c r="AX81" s="126">
        <f>IF($C81="","",IF(N($U81)=0,"",IFERROR($AW81/$U81,"")))</f>
        <v/>
      </c>
      <c r="AY81" s="85">
        <f>IF($C81="","",TRIM(IF(ISNUMBER($AJ81)*(N($AJ81)&gt;$D$4)&gt;0,"payout high  ","")&amp;IF(ISNUMBER($AX81)*(N($AX81)&lt;$F$4)&gt;0,"FCF below dvd  ","")&amp;IF(ISNUMBER($AU81)*(N($AU81)&gt;$H$4)&gt;0,"leverage high","")))</f>
        <v/>
      </c>
      <c r="AZ81" s="86">
        <f>IF($C81="","",IF(HSI!$F$76="HKD","",HSI!$F$76))</f>
        <v/>
      </c>
    </row>
    <row r="82">
      <c r="B82" s="66" t="inlineStr">
        <is>
          <t>HSI</t>
        </is>
      </c>
      <c r="C82" s="8">
        <f>IF(HSI!$C$77="","",HSI!$C$77)</f>
        <v/>
      </c>
      <c r="D82" s="8">
        <f>IF($C82="","",HSI!$D$77)</f>
        <v/>
      </c>
      <c r="E82" s="8">
        <f>IF($C82="","",HSI!$E$77)</f>
        <v/>
      </c>
      <c r="F82" s="131">
        <f>IF($C82="","",SUMPRODUCT(('Dvd Calendar'!$E$781:$AR$781&gt;=DATE(YEAR_Y-5,1,1))*('Dvd Calendar'!$E$781:$AR$781&lt;=DATE(YEAR_Y-5,12,31))*'Dvd Calendar'!$E$784:$AR$784*(('Dvd Calendar'!$E$786:$AR$786=TYPE1)*(TYPE1&lt;&gt;"")+('Dvd Calendar'!$E$786:$AR$786=TYPE2)*(TYPE2&lt;&gt;"")+('Dvd Calendar'!$E$786:$AR$786=TYPE3)*(TYPE3&lt;&gt;"")+('Dvd Calendar'!$E$786:$AR$786=TYPE4)*(TYPE4&lt;&gt;"")+('Dvd Calendar'!$E$786:$AR$786=SPECIAL_LBL)*(INC_SPECIALS="Y"))))</f>
        <v/>
      </c>
      <c r="G82" s="132">
        <f>IF($C82="","",SUMPRODUCT(('Dvd Calendar'!$E$781:$AR$781&gt;=DATE(YEAR_Y-4,1,1))*('Dvd Calendar'!$E$781:$AR$781&lt;=DATE(YEAR_Y-4,12,31))*'Dvd Calendar'!$E$784:$AR$784*(('Dvd Calendar'!$E$786:$AR$786=TYPE1)*(TYPE1&lt;&gt;"")+('Dvd Calendar'!$E$786:$AR$786=TYPE2)*(TYPE2&lt;&gt;"")+('Dvd Calendar'!$E$786:$AR$786=TYPE3)*(TYPE3&lt;&gt;"")+('Dvd Calendar'!$E$786:$AR$786=TYPE4)*(TYPE4&lt;&gt;"")+('Dvd Calendar'!$E$786:$AR$786=SPECIAL_LBL)*(INC_SPECIALS="Y"))))</f>
        <v/>
      </c>
      <c r="H82" s="132">
        <f>IF($C82="","",SUMPRODUCT(('Dvd Calendar'!$E$781:$AR$781&gt;=DATE(YEAR_Y-3,1,1))*('Dvd Calendar'!$E$781:$AR$781&lt;=DATE(YEAR_Y-3,12,31))*'Dvd Calendar'!$E$784:$AR$784*(('Dvd Calendar'!$E$786:$AR$786=TYPE1)*(TYPE1&lt;&gt;"")+('Dvd Calendar'!$E$786:$AR$786=TYPE2)*(TYPE2&lt;&gt;"")+('Dvd Calendar'!$E$786:$AR$786=TYPE3)*(TYPE3&lt;&gt;"")+('Dvd Calendar'!$E$786:$AR$786=TYPE4)*(TYPE4&lt;&gt;"")+('Dvd Calendar'!$E$786:$AR$786=SPECIAL_LBL)*(INC_SPECIALS="Y"))))</f>
        <v/>
      </c>
      <c r="I82" s="132">
        <f>IF($C82="","",SUMPRODUCT(('Dvd Calendar'!$E$781:$AR$781&gt;=DATE(YEAR_Y-2,1,1))*('Dvd Calendar'!$E$781:$AR$781&lt;=DATE(YEAR_Y-2,12,31))*'Dvd Calendar'!$E$784:$AR$784*(('Dvd Calendar'!$E$786:$AR$786=TYPE1)*(TYPE1&lt;&gt;"")+('Dvd Calendar'!$E$786:$AR$786=TYPE2)*(TYPE2&lt;&gt;"")+('Dvd Calendar'!$E$786:$AR$786=TYPE3)*(TYPE3&lt;&gt;"")+('Dvd Calendar'!$E$786:$AR$786=TYPE4)*(TYPE4&lt;&gt;"")+('Dvd Calendar'!$E$786:$AR$786=SPECIAL_LBL)*(INC_SPECIALS="Y"))))</f>
        <v/>
      </c>
      <c r="J82" s="132">
        <f>IF($C82="","",SUMPRODUCT(('Dvd Calendar'!$E$781:$AR$781&gt;=DATE(YEAR_Y-1,1,1))*('Dvd Calendar'!$E$781:$AR$781&lt;=DATE(YEAR_Y-1,12,31))*'Dvd Calendar'!$E$784:$AR$784*(('Dvd Calendar'!$E$786:$AR$786=TYPE1)*(TYPE1&lt;&gt;"")+('Dvd Calendar'!$E$786:$AR$786=TYPE2)*(TYPE2&lt;&gt;"")+('Dvd Calendar'!$E$786:$AR$786=TYPE3)*(TYPE3&lt;&gt;"")+('Dvd Calendar'!$E$786:$AR$786=TYPE4)*(TYPE4&lt;&gt;"")+('Dvd Calendar'!$E$786:$AR$786=SPECIAL_LBL)*(INC_SPECIALS="Y"))))</f>
        <v/>
      </c>
      <c r="K82" s="133">
        <f>IF($C82="","",HSI!$J$77)</f>
        <v/>
      </c>
      <c r="L82" s="133">
        <f>IF($C82="","",HSI!$K$77)</f>
        <v/>
      </c>
      <c r="M82" s="124">
        <f>IF($C82="","",HSI!$J$77+HSI!$L$77)</f>
        <v/>
      </c>
      <c r="N82" s="134">
        <f>IF($C82="","",IF(PULL_FUND="N","",IFERROR(BDP($C82,BESTDPS_FIELD,FWD_OVERRIDE,TEXT(MOD(YEAR_Y,100),"00")&amp;"Y"),"")))</f>
        <v/>
      </c>
      <c r="O82" s="133">
        <f>IF($C82="","",AVERAGE(F82:J82))</f>
        <v/>
      </c>
      <c r="P82" s="135">
        <f>IF($C82="","",IF(PULL_FUND="N","",IF(COUNTIFS('Fund History'!$J$428:$J$432,"&gt;="&amp;DATE(YEAR_Y-5,1,1),'Fund History'!$J$428:$J$432,"&lt;="&amp;DATE(YEAR_Y-5,12,31))=0,"",IFERROR($F82*HSI!$G$77/SUMIFS('Fund History'!$K$428:$K$432,'Fund History'!$J$428:$J$432,"&gt;="&amp;DATE(YEAR_Y-5,1,1),'Fund History'!$J$428:$J$432,"&lt;="&amp;DATE(YEAR_Y-5,12,31)),""))))</f>
        <v/>
      </c>
      <c r="Q82" s="136">
        <f>IF($C82="","",IF(PULL_FUND="N","",IF(COUNTIFS('Fund History'!$J$428:$J$432,"&gt;="&amp;DATE(YEAR_Y-4,1,1),'Fund History'!$J$428:$J$432,"&lt;="&amp;DATE(YEAR_Y-4,12,31))=0,"",IFERROR($G82*HSI!$G$77/SUMIFS('Fund History'!$K$428:$K$432,'Fund History'!$J$428:$J$432,"&gt;="&amp;DATE(YEAR_Y-4,1,1),'Fund History'!$J$428:$J$432,"&lt;="&amp;DATE(YEAR_Y-4,12,31)),""))))</f>
        <v/>
      </c>
      <c r="R82" s="136">
        <f>IF($C82="","",IF(PULL_FUND="N","",IF(COUNTIFS('Fund History'!$J$428:$J$432,"&gt;="&amp;DATE(YEAR_Y-3,1,1),'Fund History'!$J$428:$J$432,"&lt;="&amp;DATE(YEAR_Y-3,12,31))=0,"",IFERROR($H82*HSI!$G$77/SUMIFS('Fund History'!$K$428:$K$432,'Fund History'!$J$428:$J$432,"&gt;="&amp;DATE(YEAR_Y-3,1,1),'Fund History'!$J$428:$J$432,"&lt;="&amp;DATE(YEAR_Y-3,12,31)),""))))</f>
        <v/>
      </c>
      <c r="S82" s="136">
        <f>IF($C82="","",IF(PULL_FUND="N","",IF(COUNTIFS('Fund History'!$J$428:$J$432,"&gt;="&amp;DATE(YEAR_Y-2,1,1),'Fund History'!$J$428:$J$432,"&lt;="&amp;DATE(YEAR_Y-2,12,31))=0,"",IFERROR($I82*HSI!$G$77/SUMIFS('Fund History'!$K$428:$K$432,'Fund History'!$J$428:$J$432,"&gt;="&amp;DATE(YEAR_Y-2,1,1),'Fund History'!$J$428:$J$432,"&lt;="&amp;DATE(YEAR_Y-2,12,31)),""))))</f>
        <v/>
      </c>
      <c r="T82" s="136">
        <f>IF($C82="","",IF(PULL_FUND="N","",IF(COUNTIFS('Fund History'!$J$428:$J$432,"&gt;="&amp;DATE(YEAR_Y-1,1,1),'Fund History'!$J$428:$J$432,"&lt;="&amp;DATE(YEAR_Y-1,12,31))=0,"",IFERROR($J82*HSI!$G$77/SUMIFS('Fund History'!$K$428:$K$432,'Fund History'!$J$428:$J$432,"&gt;="&amp;DATE(YEAR_Y-1,1,1),'Fund History'!$J$428:$J$432,"&lt;="&amp;DATE(YEAR_Y-1,12,31)),""))))</f>
        <v/>
      </c>
      <c r="U82" s="137">
        <f>IF($C82="","",IF(ISNUMBER(HSI!$I$77),HSI!$I$77/100,""))</f>
        <v/>
      </c>
      <c r="V82" s="138">
        <f>IF($C82="","",IF(ISNUMBER(HSI!$X$77),IFERROR($M82*HSI!$G$77/HSI!$X$77,""),""))</f>
        <v/>
      </c>
      <c r="W82" s="137">
        <f>IF($C82="","",IF(ISNUMBER($N82),IFERROR($N82*HSI!$G$77/HSI!$X$77,""),""))</f>
        <v/>
      </c>
      <c r="X82" s="139">
        <f>IF($C82="","",IF(PULL_FUND="N","",IFERROR(BDP($C82,EPS_FIELD,YR_OVERRIDE,TEXT(YEAR_Y-5,"0")),"")))</f>
        <v/>
      </c>
      <c r="Y82" s="140">
        <f>IF($C82="","",IF(PULL_FUND="N","",IFERROR(BDP($C82,EPS_FIELD,YR_OVERRIDE,TEXT(YEAR_Y-4,"0")),"")))</f>
        <v/>
      </c>
      <c r="Z82" s="140">
        <f>IF($C82="","",IF(PULL_FUND="N","",IFERROR(BDP($C82,EPS_FIELD,YR_OVERRIDE,TEXT(YEAR_Y-3,"0")),"")))</f>
        <v/>
      </c>
      <c r="AA82" s="140">
        <f>IF($C82="","",IF(PULL_FUND="N","",IFERROR(BDP($C82,EPS_FIELD,YR_OVERRIDE,TEXT(YEAR_Y-2,"0")),"")))</f>
        <v/>
      </c>
      <c r="AB82" s="140">
        <f>IF($C82="","",IF(PULL_FUND="N","",IFERROR(BDP($C82,EPS_FIELD,YR_OVERRIDE,TEXT(YEAR_Y-1,"0")),"")))</f>
        <v/>
      </c>
      <c r="AC82" s="126">
        <f>IF($C82="","",IFERROR(AVERAGE(X82:AB82),""))</f>
        <v/>
      </c>
      <c r="AD82" s="140">
        <f>IF($C82="","",IF(PULL_FUND="N","",IFERROR(BDP($C82,BESTEPS_FIELD,FWD_OVERRIDE,TEXT(MOD(YEAR_Y,100),"00")&amp;"Y"),"")))</f>
        <v/>
      </c>
      <c r="AE82" s="141">
        <f>IF($C82="","",IF(PULL_FUND="N","",IFERROR(BDP($C82,PAYOUT_FIELD,YR_OVERRIDE,TEXT(YEAR_Y-5,"0"))/100,"")))</f>
        <v/>
      </c>
      <c r="AF82" s="142">
        <f>IF($C82="","",IF(PULL_FUND="N","",IFERROR(BDP($C82,PAYOUT_FIELD,YR_OVERRIDE,TEXT(YEAR_Y-4,"0"))/100,"")))</f>
        <v/>
      </c>
      <c r="AG82" s="142">
        <f>IF($C82="","",IF(PULL_FUND="N","",IFERROR(BDP($C82,PAYOUT_FIELD,YR_OVERRIDE,TEXT(YEAR_Y-3,"0"))/100,"")))</f>
        <v/>
      </c>
      <c r="AH82" s="142">
        <f>IF($C82="","",IF(PULL_FUND="N","",IFERROR(BDP($C82,PAYOUT_FIELD,YR_OVERRIDE,TEXT(YEAR_Y-2,"0"))/100,"")))</f>
        <v/>
      </c>
      <c r="AI82" s="142">
        <f>IF($C82="","",IF(PULL_FUND="N","",IFERROR(BDP($C82,PAYOUT_FIELD,YR_OVERRIDE,TEXT(YEAR_Y-1,"0"))/100,"")))</f>
        <v/>
      </c>
      <c r="AJ82" s="143">
        <f>IF($C82="","",IFERROR(AVERAGE(AE82:AI82),""))</f>
        <v/>
      </c>
      <c r="AK82" s="144">
        <f>IF($C82="","",IF(ISNUMBER($AD82)*ISNUMBER($N82)*($AD82&lt;&gt;0)=0,"",$N82/$AD82))</f>
        <v/>
      </c>
      <c r="AL82" s="143">
        <f>IF($C82="","",IF(ISNUMBER($AD82)*($AD82&lt;&gt;0)=0,"",$M82/$AD82))</f>
        <v/>
      </c>
      <c r="AM82" s="37">
        <f>IF($C82="","",IF(ISNUMBER($AE82)*ISNUMBER($AI82)=0,"",IF($AI82&gt;$AE82+0.05,"rising",IF($AI82&lt;$AE82-0.05,"falling","stable"))))</f>
        <v/>
      </c>
      <c r="AN82" s="145">
        <f>IF($C82="","",IF(PULL_FUND="N","",IF(COUNTIFS('Fund History'!$G$428:$G$432,"&gt;="&amp;DATE(YEAR_Y-4,1,1),'Fund History'!$G$428:$G$432,"&lt;="&amp;DATE(YEAR_Y-4,12,31))=0,"",SUMIFS('Fund History'!$H$428:$H$432,'Fund History'!$G$428:$G$432,"&gt;="&amp;DATE(YEAR_Y-4,1,1),'Fund History'!$G$428:$G$432,"&lt;="&amp;DATE(YEAR_Y-4,12,31))/100)))</f>
        <v/>
      </c>
      <c r="AO82" s="146">
        <f>IF($C82="","",IF(PULL_FUND="N","",IF(COUNTIFS('Fund History'!$G$428:$G$432,"&gt;="&amp;DATE(YEAR_Y-3,1,1),'Fund History'!$G$428:$G$432,"&lt;="&amp;DATE(YEAR_Y-3,12,31))=0,"",SUMIFS('Fund History'!$H$428:$H$432,'Fund History'!$G$428:$G$432,"&gt;="&amp;DATE(YEAR_Y-3,1,1),'Fund History'!$G$428:$G$432,"&lt;="&amp;DATE(YEAR_Y-3,12,31))/100)))</f>
        <v/>
      </c>
      <c r="AP82" s="146">
        <f>IF($C82="","",IF(PULL_FUND="N","",IF(COUNTIFS('Fund History'!$G$428:$G$432,"&gt;="&amp;DATE(YEAR_Y-2,1,1),'Fund History'!$G$428:$G$432,"&lt;="&amp;DATE(YEAR_Y-2,12,31))=0,"",SUMIFS('Fund History'!$H$428:$H$432,'Fund History'!$G$428:$G$432,"&gt;="&amp;DATE(YEAR_Y-2,1,1),'Fund History'!$G$428:$G$432,"&lt;="&amp;DATE(YEAR_Y-2,12,31))/100)))</f>
        <v/>
      </c>
      <c r="AQ82" s="146">
        <f>IF($C82="","",IF(PULL_FUND="N","",IF(COUNTIFS('Fund History'!$G$428:$G$432,"&gt;="&amp;DATE(YEAR_Y-1,1,1),'Fund History'!$G$428:$G$432,"&lt;="&amp;DATE(YEAR_Y-1,12,31))=0,"",SUMIFS('Fund History'!$H$428:$H$432,'Fund History'!$G$428:$G$432,"&gt;="&amp;DATE(YEAR_Y-1,1,1),'Fund History'!$G$428:$G$432,"&lt;="&amp;DATE(YEAR_Y-1,12,31))/100)))</f>
        <v/>
      </c>
      <c r="AR82" s="147">
        <f>IF($C82="","",IF(N($AQ82)+N(HSI!$I$77)=0,"",N($AQ82)+N(HSI!$I$77)/100))</f>
        <v/>
      </c>
      <c r="AS82" s="139">
        <f>IF($C82="","",IF(PULL_FUND="N","",IF(COUNTIFS('Fund History'!$D$428:$D$432,"&gt;="&amp;DATE(YEAR_Y-2,1,1),'Fund History'!$D$428:$D$432,"&lt;="&amp;DATE(YEAR_Y-2,12,31))=0,"",SUMIFS('Fund History'!$E$428:$E$432,'Fund History'!$D$428:$D$432,"&gt;="&amp;DATE(YEAR_Y-2,1,1),'Fund History'!$D$428:$D$432,"&lt;="&amp;DATE(YEAR_Y-2,12,31)))))</f>
        <v/>
      </c>
      <c r="AT82" s="140">
        <f>IF($C82="","",IF(PULL_FUND="N","",IF(COUNTIFS('Fund History'!$D$428:$D$432,"&gt;="&amp;DATE(YEAR_Y-1,1,1),'Fund History'!$D$428:$D$432,"&lt;="&amp;DATE(YEAR_Y-1,12,31))=0,"",SUMIFS('Fund History'!$E$428:$E$432,'Fund History'!$D$428:$D$432,"&gt;="&amp;DATE(YEAR_Y-1,1,1),'Fund History'!$D$428:$D$432,"&lt;="&amp;DATE(YEAR_Y-1,12,31)))))</f>
        <v/>
      </c>
      <c r="AU82" s="140">
        <f>IF($C82="","",IF(PULL_FUND="N","",IFERROR(BDP($C82,NDEBITDA_FIELD),"")))</f>
        <v/>
      </c>
      <c r="AV82" s="148">
        <f>IF($C82="","",IF(PULL_FUND="N","",IFERROR(BDP($C82,EBINT_FIELD),"")))</f>
        <v/>
      </c>
      <c r="AW82" s="146">
        <f>IF($C82="","",IF(PULL_FUND="N","",IFERROR(BDP($C82,FCF_FIELD)/100,"")))</f>
        <v/>
      </c>
      <c r="AX82" s="126">
        <f>IF($C82="","",IF(N($U82)=0,"",IFERROR($AW82/$U82,"")))</f>
        <v/>
      </c>
      <c r="AY82" s="85">
        <f>IF($C82="","",TRIM(IF(ISNUMBER($AJ82)*(N($AJ82)&gt;$D$4)&gt;0,"payout high  ","")&amp;IF(ISNUMBER($AX82)*(N($AX82)&lt;$F$4)&gt;0,"FCF below dvd  ","")&amp;IF(ISNUMBER($AU82)*(N($AU82)&gt;$H$4)&gt;0,"leverage high","")))</f>
        <v/>
      </c>
      <c r="AZ82" s="86">
        <f>IF($C82="","",IF(HSI!$F$77="HKD","",HSI!$F$77))</f>
        <v/>
      </c>
    </row>
    <row r="83">
      <c r="B83" s="66" t="inlineStr">
        <is>
          <t>HSI</t>
        </is>
      </c>
      <c r="C83" s="8">
        <f>IF(HSI!$C$78="","",HSI!$C$78)</f>
        <v/>
      </c>
      <c r="D83" s="8">
        <f>IF($C83="","",HSI!$D$78)</f>
        <v/>
      </c>
      <c r="E83" s="8">
        <f>IF($C83="","",HSI!$E$78)</f>
        <v/>
      </c>
      <c r="F83" s="131">
        <f>IF($C83="","",SUMPRODUCT(('Dvd Calendar'!$E$792:$AR$792&gt;=DATE(YEAR_Y-5,1,1))*('Dvd Calendar'!$E$792:$AR$792&lt;=DATE(YEAR_Y-5,12,31))*'Dvd Calendar'!$E$795:$AR$795*(('Dvd Calendar'!$E$797:$AR$797=TYPE1)*(TYPE1&lt;&gt;"")+('Dvd Calendar'!$E$797:$AR$797=TYPE2)*(TYPE2&lt;&gt;"")+('Dvd Calendar'!$E$797:$AR$797=TYPE3)*(TYPE3&lt;&gt;"")+('Dvd Calendar'!$E$797:$AR$797=TYPE4)*(TYPE4&lt;&gt;"")+('Dvd Calendar'!$E$797:$AR$797=SPECIAL_LBL)*(INC_SPECIALS="Y"))))</f>
        <v/>
      </c>
      <c r="G83" s="132">
        <f>IF($C83="","",SUMPRODUCT(('Dvd Calendar'!$E$792:$AR$792&gt;=DATE(YEAR_Y-4,1,1))*('Dvd Calendar'!$E$792:$AR$792&lt;=DATE(YEAR_Y-4,12,31))*'Dvd Calendar'!$E$795:$AR$795*(('Dvd Calendar'!$E$797:$AR$797=TYPE1)*(TYPE1&lt;&gt;"")+('Dvd Calendar'!$E$797:$AR$797=TYPE2)*(TYPE2&lt;&gt;"")+('Dvd Calendar'!$E$797:$AR$797=TYPE3)*(TYPE3&lt;&gt;"")+('Dvd Calendar'!$E$797:$AR$797=TYPE4)*(TYPE4&lt;&gt;"")+('Dvd Calendar'!$E$797:$AR$797=SPECIAL_LBL)*(INC_SPECIALS="Y"))))</f>
        <v/>
      </c>
      <c r="H83" s="132">
        <f>IF($C83="","",SUMPRODUCT(('Dvd Calendar'!$E$792:$AR$792&gt;=DATE(YEAR_Y-3,1,1))*('Dvd Calendar'!$E$792:$AR$792&lt;=DATE(YEAR_Y-3,12,31))*'Dvd Calendar'!$E$795:$AR$795*(('Dvd Calendar'!$E$797:$AR$797=TYPE1)*(TYPE1&lt;&gt;"")+('Dvd Calendar'!$E$797:$AR$797=TYPE2)*(TYPE2&lt;&gt;"")+('Dvd Calendar'!$E$797:$AR$797=TYPE3)*(TYPE3&lt;&gt;"")+('Dvd Calendar'!$E$797:$AR$797=TYPE4)*(TYPE4&lt;&gt;"")+('Dvd Calendar'!$E$797:$AR$797=SPECIAL_LBL)*(INC_SPECIALS="Y"))))</f>
        <v/>
      </c>
      <c r="I83" s="132">
        <f>IF($C83="","",SUMPRODUCT(('Dvd Calendar'!$E$792:$AR$792&gt;=DATE(YEAR_Y-2,1,1))*('Dvd Calendar'!$E$792:$AR$792&lt;=DATE(YEAR_Y-2,12,31))*'Dvd Calendar'!$E$795:$AR$795*(('Dvd Calendar'!$E$797:$AR$797=TYPE1)*(TYPE1&lt;&gt;"")+('Dvd Calendar'!$E$797:$AR$797=TYPE2)*(TYPE2&lt;&gt;"")+('Dvd Calendar'!$E$797:$AR$797=TYPE3)*(TYPE3&lt;&gt;"")+('Dvd Calendar'!$E$797:$AR$797=TYPE4)*(TYPE4&lt;&gt;"")+('Dvd Calendar'!$E$797:$AR$797=SPECIAL_LBL)*(INC_SPECIALS="Y"))))</f>
        <v/>
      </c>
      <c r="J83" s="132">
        <f>IF($C83="","",SUMPRODUCT(('Dvd Calendar'!$E$792:$AR$792&gt;=DATE(YEAR_Y-1,1,1))*('Dvd Calendar'!$E$792:$AR$792&lt;=DATE(YEAR_Y-1,12,31))*'Dvd Calendar'!$E$795:$AR$795*(('Dvd Calendar'!$E$797:$AR$797=TYPE1)*(TYPE1&lt;&gt;"")+('Dvd Calendar'!$E$797:$AR$797=TYPE2)*(TYPE2&lt;&gt;"")+('Dvd Calendar'!$E$797:$AR$797=TYPE3)*(TYPE3&lt;&gt;"")+('Dvd Calendar'!$E$797:$AR$797=TYPE4)*(TYPE4&lt;&gt;"")+('Dvd Calendar'!$E$797:$AR$797=SPECIAL_LBL)*(INC_SPECIALS="Y"))))</f>
        <v/>
      </c>
      <c r="K83" s="133">
        <f>IF($C83="","",HSI!$J$78)</f>
        <v/>
      </c>
      <c r="L83" s="133">
        <f>IF($C83="","",HSI!$K$78)</f>
        <v/>
      </c>
      <c r="M83" s="124">
        <f>IF($C83="","",HSI!$J$78+HSI!$L$78)</f>
        <v/>
      </c>
      <c r="N83" s="134">
        <f>IF($C83="","",IF(PULL_FUND="N","",IFERROR(BDP($C83,BESTDPS_FIELD,FWD_OVERRIDE,TEXT(MOD(YEAR_Y,100),"00")&amp;"Y"),"")))</f>
        <v/>
      </c>
      <c r="O83" s="133">
        <f>IF($C83="","",AVERAGE(F83:J83))</f>
        <v/>
      </c>
      <c r="P83" s="135">
        <f>IF($C83="","",IF(PULL_FUND="N","",IF(COUNTIFS('Fund History'!$J$434:$J$438,"&gt;="&amp;DATE(YEAR_Y-5,1,1),'Fund History'!$J$434:$J$438,"&lt;="&amp;DATE(YEAR_Y-5,12,31))=0,"",IFERROR($F83*HSI!$G$78/SUMIFS('Fund History'!$K$434:$K$438,'Fund History'!$J$434:$J$438,"&gt;="&amp;DATE(YEAR_Y-5,1,1),'Fund History'!$J$434:$J$438,"&lt;="&amp;DATE(YEAR_Y-5,12,31)),""))))</f>
        <v/>
      </c>
      <c r="Q83" s="136">
        <f>IF($C83="","",IF(PULL_FUND="N","",IF(COUNTIFS('Fund History'!$J$434:$J$438,"&gt;="&amp;DATE(YEAR_Y-4,1,1),'Fund History'!$J$434:$J$438,"&lt;="&amp;DATE(YEAR_Y-4,12,31))=0,"",IFERROR($G83*HSI!$G$78/SUMIFS('Fund History'!$K$434:$K$438,'Fund History'!$J$434:$J$438,"&gt;="&amp;DATE(YEAR_Y-4,1,1),'Fund History'!$J$434:$J$438,"&lt;="&amp;DATE(YEAR_Y-4,12,31)),""))))</f>
        <v/>
      </c>
      <c r="R83" s="136">
        <f>IF($C83="","",IF(PULL_FUND="N","",IF(COUNTIFS('Fund History'!$J$434:$J$438,"&gt;="&amp;DATE(YEAR_Y-3,1,1),'Fund History'!$J$434:$J$438,"&lt;="&amp;DATE(YEAR_Y-3,12,31))=0,"",IFERROR($H83*HSI!$G$78/SUMIFS('Fund History'!$K$434:$K$438,'Fund History'!$J$434:$J$438,"&gt;="&amp;DATE(YEAR_Y-3,1,1),'Fund History'!$J$434:$J$438,"&lt;="&amp;DATE(YEAR_Y-3,12,31)),""))))</f>
        <v/>
      </c>
      <c r="S83" s="136">
        <f>IF($C83="","",IF(PULL_FUND="N","",IF(COUNTIFS('Fund History'!$J$434:$J$438,"&gt;="&amp;DATE(YEAR_Y-2,1,1),'Fund History'!$J$434:$J$438,"&lt;="&amp;DATE(YEAR_Y-2,12,31))=0,"",IFERROR($I83*HSI!$G$78/SUMIFS('Fund History'!$K$434:$K$438,'Fund History'!$J$434:$J$438,"&gt;="&amp;DATE(YEAR_Y-2,1,1),'Fund History'!$J$434:$J$438,"&lt;="&amp;DATE(YEAR_Y-2,12,31)),""))))</f>
        <v/>
      </c>
      <c r="T83" s="136">
        <f>IF($C83="","",IF(PULL_FUND="N","",IF(COUNTIFS('Fund History'!$J$434:$J$438,"&gt;="&amp;DATE(YEAR_Y-1,1,1),'Fund History'!$J$434:$J$438,"&lt;="&amp;DATE(YEAR_Y-1,12,31))=0,"",IFERROR($J83*HSI!$G$78/SUMIFS('Fund History'!$K$434:$K$438,'Fund History'!$J$434:$J$438,"&gt;="&amp;DATE(YEAR_Y-1,1,1),'Fund History'!$J$434:$J$438,"&lt;="&amp;DATE(YEAR_Y-1,12,31)),""))))</f>
        <v/>
      </c>
      <c r="U83" s="137">
        <f>IF($C83="","",IF(ISNUMBER(HSI!$I$78),HSI!$I$78/100,""))</f>
        <v/>
      </c>
      <c r="V83" s="138">
        <f>IF($C83="","",IF(ISNUMBER(HSI!$X$78),IFERROR($M83*HSI!$G$78/HSI!$X$78,""),""))</f>
        <v/>
      </c>
      <c r="W83" s="137">
        <f>IF($C83="","",IF(ISNUMBER($N83),IFERROR($N83*HSI!$G$78/HSI!$X$78,""),""))</f>
        <v/>
      </c>
      <c r="X83" s="139">
        <f>IF($C83="","",IF(PULL_FUND="N","",IFERROR(BDP($C83,EPS_FIELD,YR_OVERRIDE,TEXT(YEAR_Y-5,"0")),"")))</f>
        <v/>
      </c>
      <c r="Y83" s="140">
        <f>IF($C83="","",IF(PULL_FUND="N","",IFERROR(BDP($C83,EPS_FIELD,YR_OVERRIDE,TEXT(YEAR_Y-4,"0")),"")))</f>
        <v/>
      </c>
      <c r="Z83" s="140">
        <f>IF($C83="","",IF(PULL_FUND="N","",IFERROR(BDP($C83,EPS_FIELD,YR_OVERRIDE,TEXT(YEAR_Y-3,"0")),"")))</f>
        <v/>
      </c>
      <c r="AA83" s="140">
        <f>IF($C83="","",IF(PULL_FUND="N","",IFERROR(BDP($C83,EPS_FIELD,YR_OVERRIDE,TEXT(YEAR_Y-2,"0")),"")))</f>
        <v/>
      </c>
      <c r="AB83" s="140">
        <f>IF($C83="","",IF(PULL_FUND="N","",IFERROR(BDP($C83,EPS_FIELD,YR_OVERRIDE,TEXT(YEAR_Y-1,"0")),"")))</f>
        <v/>
      </c>
      <c r="AC83" s="126">
        <f>IF($C83="","",IFERROR(AVERAGE(X83:AB83),""))</f>
        <v/>
      </c>
      <c r="AD83" s="140">
        <f>IF($C83="","",IF(PULL_FUND="N","",IFERROR(BDP($C83,BESTEPS_FIELD,FWD_OVERRIDE,TEXT(MOD(YEAR_Y,100),"00")&amp;"Y"),"")))</f>
        <v/>
      </c>
      <c r="AE83" s="141">
        <f>IF($C83="","",IF(PULL_FUND="N","",IFERROR(BDP($C83,PAYOUT_FIELD,YR_OVERRIDE,TEXT(YEAR_Y-5,"0"))/100,"")))</f>
        <v/>
      </c>
      <c r="AF83" s="142">
        <f>IF($C83="","",IF(PULL_FUND="N","",IFERROR(BDP($C83,PAYOUT_FIELD,YR_OVERRIDE,TEXT(YEAR_Y-4,"0"))/100,"")))</f>
        <v/>
      </c>
      <c r="AG83" s="142">
        <f>IF($C83="","",IF(PULL_FUND="N","",IFERROR(BDP($C83,PAYOUT_FIELD,YR_OVERRIDE,TEXT(YEAR_Y-3,"0"))/100,"")))</f>
        <v/>
      </c>
      <c r="AH83" s="142">
        <f>IF($C83="","",IF(PULL_FUND="N","",IFERROR(BDP($C83,PAYOUT_FIELD,YR_OVERRIDE,TEXT(YEAR_Y-2,"0"))/100,"")))</f>
        <v/>
      </c>
      <c r="AI83" s="142">
        <f>IF($C83="","",IF(PULL_FUND="N","",IFERROR(BDP($C83,PAYOUT_FIELD,YR_OVERRIDE,TEXT(YEAR_Y-1,"0"))/100,"")))</f>
        <v/>
      </c>
      <c r="AJ83" s="143">
        <f>IF($C83="","",IFERROR(AVERAGE(AE83:AI83),""))</f>
        <v/>
      </c>
      <c r="AK83" s="144">
        <f>IF($C83="","",IF(ISNUMBER($AD83)*ISNUMBER($N83)*($AD83&lt;&gt;0)=0,"",$N83/$AD83))</f>
        <v/>
      </c>
      <c r="AL83" s="143">
        <f>IF($C83="","",IF(ISNUMBER($AD83)*($AD83&lt;&gt;0)=0,"",$M83/$AD83))</f>
        <v/>
      </c>
      <c r="AM83" s="37">
        <f>IF($C83="","",IF(ISNUMBER($AE83)*ISNUMBER($AI83)=0,"",IF($AI83&gt;$AE83+0.05,"rising",IF($AI83&lt;$AE83-0.05,"falling","stable"))))</f>
        <v/>
      </c>
      <c r="AN83" s="145">
        <f>IF($C83="","",IF(PULL_FUND="N","",IF(COUNTIFS('Fund History'!$G$434:$G$438,"&gt;="&amp;DATE(YEAR_Y-4,1,1),'Fund History'!$G$434:$G$438,"&lt;="&amp;DATE(YEAR_Y-4,12,31))=0,"",SUMIFS('Fund History'!$H$434:$H$438,'Fund History'!$G$434:$G$438,"&gt;="&amp;DATE(YEAR_Y-4,1,1),'Fund History'!$G$434:$G$438,"&lt;="&amp;DATE(YEAR_Y-4,12,31))/100)))</f>
        <v/>
      </c>
      <c r="AO83" s="146">
        <f>IF($C83="","",IF(PULL_FUND="N","",IF(COUNTIFS('Fund History'!$G$434:$G$438,"&gt;="&amp;DATE(YEAR_Y-3,1,1),'Fund History'!$G$434:$G$438,"&lt;="&amp;DATE(YEAR_Y-3,12,31))=0,"",SUMIFS('Fund History'!$H$434:$H$438,'Fund History'!$G$434:$G$438,"&gt;="&amp;DATE(YEAR_Y-3,1,1),'Fund History'!$G$434:$G$438,"&lt;="&amp;DATE(YEAR_Y-3,12,31))/100)))</f>
        <v/>
      </c>
      <c r="AP83" s="146">
        <f>IF($C83="","",IF(PULL_FUND="N","",IF(COUNTIFS('Fund History'!$G$434:$G$438,"&gt;="&amp;DATE(YEAR_Y-2,1,1),'Fund History'!$G$434:$G$438,"&lt;="&amp;DATE(YEAR_Y-2,12,31))=0,"",SUMIFS('Fund History'!$H$434:$H$438,'Fund History'!$G$434:$G$438,"&gt;="&amp;DATE(YEAR_Y-2,1,1),'Fund History'!$G$434:$G$438,"&lt;="&amp;DATE(YEAR_Y-2,12,31))/100)))</f>
        <v/>
      </c>
      <c r="AQ83" s="146">
        <f>IF($C83="","",IF(PULL_FUND="N","",IF(COUNTIFS('Fund History'!$G$434:$G$438,"&gt;="&amp;DATE(YEAR_Y-1,1,1),'Fund History'!$G$434:$G$438,"&lt;="&amp;DATE(YEAR_Y-1,12,31))=0,"",SUMIFS('Fund History'!$H$434:$H$438,'Fund History'!$G$434:$G$438,"&gt;="&amp;DATE(YEAR_Y-1,1,1),'Fund History'!$G$434:$G$438,"&lt;="&amp;DATE(YEAR_Y-1,12,31))/100)))</f>
        <v/>
      </c>
      <c r="AR83" s="147">
        <f>IF($C83="","",IF(N($AQ83)+N(HSI!$I$78)=0,"",N($AQ83)+N(HSI!$I$78)/100))</f>
        <v/>
      </c>
      <c r="AS83" s="139">
        <f>IF($C83="","",IF(PULL_FUND="N","",IF(COUNTIFS('Fund History'!$D$434:$D$438,"&gt;="&amp;DATE(YEAR_Y-2,1,1),'Fund History'!$D$434:$D$438,"&lt;="&amp;DATE(YEAR_Y-2,12,31))=0,"",SUMIFS('Fund History'!$E$434:$E$438,'Fund History'!$D$434:$D$438,"&gt;="&amp;DATE(YEAR_Y-2,1,1),'Fund History'!$D$434:$D$438,"&lt;="&amp;DATE(YEAR_Y-2,12,31)))))</f>
        <v/>
      </c>
      <c r="AT83" s="140">
        <f>IF($C83="","",IF(PULL_FUND="N","",IF(COUNTIFS('Fund History'!$D$434:$D$438,"&gt;="&amp;DATE(YEAR_Y-1,1,1),'Fund History'!$D$434:$D$438,"&lt;="&amp;DATE(YEAR_Y-1,12,31))=0,"",SUMIFS('Fund History'!$E$434:$E$438,'Fund History'!$D$434:$D$438,"&gt;="&amp;DATE(YEAR_Y-1,1,1),'Fund History'!$D$434:$D$438,"&lt;="&amp;DATE(YEAR_Y-1,12,31)))))</f>
        <v/>
      </c>
      <c r="AU83" s="140">
        <f>IF($C83="","",IF(PULL_FUND="N","",IFERROR(BDP($C83,NDEBITDA_FIELD),"")))</f>
        <v/>
      </c>
      <c r="AV83" s="148">
        <f>IF($C83="","",IF(PULL_FUND="N","",IFERROR(BDP($C83,EBINT_FIELD),"")))</f>
        <v/>
      </c>
      <c r="AW83" s="146">
        <f>IF($C83="","",IF(PULL_FUND="N","",IFERROR(BDP($C83,FCF_FIELD)/100,"")))</f>
        <v/>
      </c>
      <c r="AX83" s="126">
        <f>IF($C83="","",IF(N($U83)=0,"",IFERROR($AW83/$U83,"")))</f>
        <v/>
      </c>
      <c r="AY83" s="85">
        <f>IF($C83="","",TRIM(IF(ISNUMBER($AJ83)*(N($AJ83)&gt;$D$4)&gt;0,"payout high  ","")&amp;IF(ISNUMBER($AX83)*(N($AX83)&lt;$F$4)&gt;0,"FCF below dvd  ","")&amp;IF(ISNUMBER($AU83)*(N($AU83)&gt;$H$4)&gt;0,"leverage high","")))</f>
        <v/>
      </c>
      <c r="AZ83" s="86">
        <f>IF($C83="","",IF(HSI!$F$78="HKD","",HSI!$F$78))</f>
        <v/>
      </c>
    </row>
    <row r="84">
      <c r="B84" s="66" t="inlineStr">
        <is>
          <t>HSI</t>
        </is>
      </c>
      <c r="C84" s="8">
        <f>IF(HSI!$C$79="","",HSI!$C$79)</f>
        <v/>
      </c>
      <c r="D84" s="8">
        <f>IF($C84="","",HSI!$D$79)</f>
        <v/>
      </c>
      <c r="E84" s="8">
        <f>IF($C84="","",HSI!$E$79)</f>
        <v/>
      </c>
      <c r="F84" s="131">
        <f>IF($C84="","",SUMPRODUCT(('Dvd Calendar'!$E$803:$AR$803&gt;=DATE(YEAR_Y-5,1,1))*('Dvd Calendar'!$E$803:$AR$803&lt;=DATE(YEAR_Y-5,12,31))*'Dvd Calendar'!$E$806:$AR$806*(('Dvd Calendar'!$E$808:$AR$808=TYPE1)*(TYPE1&lt;&gt;"")+('Dvd Calendar'!$E$808:$AR$808=TYPE2)*(TYPE2&lt;&gt;"")+('Dvd Calendar'!$E$808:$AR$808=TYPE3)*(TYPE3&lt;&gt;"")+('Dvd Calendar'!$E$808:$AR$808=TYPE4)*(TYPE4&lt;&gt;"")+('Dvd Calendar'!$E$808:$AR$808=SPECIAL_LBL)*(INC_SPECIALS="Y"))))</f>
        <v/>
      </c>
      <c r="G84" s="132">
        <f>IF($C84="","",SUMPRODUCT(('Dvd Calendar'!$E$803:$AR$803&gt;=DATE(YEAR_Y-4,1,1))*('Dvd Calendar'!$E$803:$AR$803&lt;=DATE(YEAR_Y-4,12,31))*'Dvd Calendar'!$E$806:$AR$806*(('Dvd Calendar'!$E$808:$AR$808=TYPE1)*(TYPE1&lt;&gt;"")+('Dvd Calendar'!$E$808:$AR$808=TYPE2)*(TYPE2&lt;&gt;"")+('Dvd Calendar'!$E$808:$AR$808=TYPE3)*(TYPE3&lt;&gt;"")+('Dvd Calendar'!$E$808:$AR$808=TYPE4)*(TYPE4&lt;&gt;"")+('Dvd Calendar'!$E$808:$AR$808=SPECIAL_LBL)*(INC_SPECIALS="Y"))))</f>
        <v/>
      </c>
      <c r="H84" s="132">
        <f>IF($C84="","",SUMPRODUCT(('Dvd Calendar'!$E$803:$AR$803&gt;=DATE(YEAR_Y-3,1,1))*('Dvd Calendar'!$E$803:$AR$803&lt;=DATE(YEAR_Y-3,12,31))*'Dvd Calendar'!$E$806:$AR$806*(('Dvd Calendar'!$E$808:$AR$808=TYPE1)*(TYPE1&lt;&gt;"")+('Dvd Calendar'!$E$808:$AR$808=TYPE2)*(TYPE2&lt;&gt;"")+('Dvd Calendar'!$E$808:$AR$808=TYPE3)*(TYPE3&lt;&gt;"")+('Dvd Calendar'!$E$808:$AR$808=TYPE4)*(TYPE4&lt;&gt;"")+('Dvd Calendar'!$E$808:$AR$808=SPECIAL_LBL)*(INC_SPECIALS="Y"))))</f>
        <v/>
      </c>
      <c r="I84" s="132">
        <f>IF($C84="","",SUMPRODUCT(('Dvd Calendar'!$E$803:$AR$803&gt;=DATE(YEAR_Y-2,1,1))*('Dvd Calendar'!$E$803:$AR$803&lt;=DATE(YEAR_Y-2,12,31))*'Dvd Calendar'!$E$806:$AR$806*(('Dvd Calendar'!$E$808:$AR$808=TYPE1)*(TYPE1&lt;&gt;"")+('Dvd Calendar'!$E$808:$AR$808=TYPE2)*(TYPE2&lt;&gt;"")+('Dvd Calendar'!$E$808:$AR$808=TYPE3)*(TYPE3&lt;&gt;"")+('Dvd Calendar'!$E$808:$AR$808=TYPE4)*(TYPE4&lt;&gt;"")+('Dvd Calendar'!$E$808:$AR$808=SPECIAL_LBL)*(INC_SPECIALS="Y"))))</f>
        <v/>
      </c>
      <c r="J84" s="132">
        <f>IF($C84="","",SUMPRODUCT(('Dvd Calendar'!$E$803:$AR$803&gt;=DATE(YEAR_Y-1,1,1))*('Dvd Calendar'!$E$803:$AR$803&lt;=DATE(YEAR_Y-1,12,31))*'Dvd Calendar'!$E$806:$AR$806*(('Dvd Calendar'!$E$808:$AR$808=TYPE1)*(TYPE1&lt;&gt;"")+('Dvd Calendar'!$E$808:$AR$808=TYPE2)*(TYPE2&lt;&gt;"")+('Dvd Calendar'!$E$808:$AR$808=TYPE3)*(TYPE3&lt;&gt;"")+('Dvd Calendar'!$E$808:$AR$808=TYPE4)*(TYPE4&lt;&gt;"")+('Dvd Calendar'!$E$808:$AR$808=SPECIAL_LBL)*(INC_SPECIALS="Y"))))</f>
        <v/>
      </c>
      <c r="K84" s="133">
        <f>IF($C84="","",HSI!$J$79)</f>
        <v/>
      </c>
      <c r="L84" s="133">
        <f>IF($C84="","",HSI!$K$79)</f>
        <v/>
      </c>
      <c r="M84" s="124">
        <f>IF($C84="","",HSI!$J$79+HSI!$L$79)</f>
        <v/>
      </c>
      <c r="N84" s="134">
        <f>IF($C84="","",IF(PULL_FUND="N","",IFERROR(BDP($C84,BESTDPS_FIELD,FWD_OVERRIDE,TEXT(MOD(YEAR_Y,100),"00")&amp;"Y"),"")))</f>
        <v/>
      </c>
      <c r="O84" s="133">
        <f>IF($C84="","",AVERAGE(F84:J84))</f>
        <v/>
      </c>
      <c r="P84" s="135">
        <f>IF($C84="","",IF(PULL_FUND="N","",IF(COUNTIFS('Fund History'!$J$440:$J$444,"&gt;="&amp;DATE(YEAR_Y-5,1,1),'Fund History'!$J$440:$J$444,"&lt;="&amp;DATE(YEAR_Y-5,12,31))=0,"",IFERROR($F84*HSI!$G$79/SUMIFS('Fund History'!$K$440:$K$444,'Fund History'!$J$440:$J$444,"&gt;="&amp;DATE(YEAR_Y-5,1,1),'Fund History'!$J$440:$J$444,"&lt;="&amp;DATE(YEAR_Y-5,12,31)),""))))</f>
        <v/>
      </c>
      <c r="Q84" s="136">
        <f>IF($C84="","",IF(PULL_FUND="N","",IF(COUNTIFS('Fund History'!$J$440:$J$444,"&gt;="&amp;DATE(YEAR_Y-4,1,1),'Fund History'!$J$440:$J$444,"&lt;="&amp;DATE(YEAR_Y-4,12,31))=0,"",IFERROR($G84*HSI!$G$79/SUMIFS('Fund History'!$K$440:$K$444,'Fund History'!$J$440:$J$444,"&gt;="&amp;DATE(YEAR_Y-4,1,1),'Fund History'!$J$440:$J$444,"&lt;="&amp;DATE(YEAR_Y-4,12,31)),""))))</f>
        <v/>
      </c>
      <c r="R84" s="136">
        <f>IF($C84="","",IF(PULL_FUND="N","",IF(COUNTIFS('Fund History'!$J$440:$J$444,"&gt;="&amp;DATE(YEAR_Y-3,1,1),'Fund History'!$J$440:$J$444,"&lt;="&amp;DATE(YEAR_Y-3,12,31))=0,"",IFERROR($H84*HSI!$G$79/SUMIFS('Fund History'!$K$440:$K$444,'Fund History'!$J$440:$J$444,"&gt;="&amp;DATE(YEAR_Y-3,1,1),'Fund History'!$J$440:$J$444,"&lt;="&amp;DATE(YEAR_Y-3,12,31)),""))))</f>
        <v/>
      </c>
      <c r="S84" s="136">
        <f>IF($C84="","",IF(PULL_FUND="N","",IF(COUNTIFS('Fund History'!$J$440:$J$444,"&gt;="&amp;DATE(YEAR_Y-2,1,1),'Fund History'!$J$440:$J$444,"&lt;="&amp;DATE(YEAR_Y-2,12,31))=0,"",IFERROR($I84*HSI!$G$79/SUMIFS('Fund History'!$K$440:$K$444,'Fund History'!$J$440:$J$444,"&gt;="&amp;DATE(YEAR_Y-2,1,1),'Fund History'!$J$440:$J$444,"&lt;="&amp;DATE(YEAR_Y-2,12,31)),""))))</f>
        <v/>
      </c>
      <c r="T84" s="136">
        <f>IF($C84="","",IF(PULL_FUND="N","",IF(COUNTIFS('Fund History'!$J$440:$J$444,"&gt;="&amp;DATE(YEAR_Y-1,1,1),'Fund History'!$J$440:$J$444,"&lt;="&amp;DATE(YEAR_Y-1,12,31))=0,"",IFERROR($J84*HSI!$G$79/SUMIFS('Fund History'!$K$440:$K$444,'Fund History'!$J$440:$J$444,"&gt;="&amp;DATE(YEAR_Y-1,1,1),'Fund History'!$J$440:$J$444,"&lt;="&amp;DATE(YEAR_Y-1,12,31)),""))))</f>
        <v/>
      </c>
      <c r="U84" s="137">
        <f>IF($C84="","",IF(ISNUMBER(HSI!$I$79),HSI!$I$79/100,""))</f>
        <v/>
      </c>
      <c r="V84" s="138">
        <f>IF($C84="","",IF(ISNUMBER(HSI!$X$79),IFERROR($M84*HSI!$G$79/HSI!$X$79,""),""))</f>
        <v/>
      </c>
      <c r="W84" s="137">
        <f>IF($C84="","",IF(ISNUMBER($N84),IFERROR($N84*HSI!$G$79/HSI!$X$79,""),""))</f>
        <v/>
      </c>
      <c r="X84" s="139">
        <f>IF($C84="","",IF(PULL_FUND="N","",IFERROR(BDP($C84,EPS_FIELD,YR_OVERRIDE,TEXT(YEAR_Y-5,"0")),"")))</f>
        <v/>
      </c>
      <c r="Y84" s="140">
        <f>IF($C84="","",IF(PULL_FUND="N","",IFERROR(BDP($C84,EPS_FIELD,YR_OVERRIDE,TEXT(YEAR_Y-4,"0")),"")))</f>
        <v/>
      </c>
      <c r="Z84" s="140">
        <f>IF($C84="","",IF(PULL_FUND="N","",IFERROR(BDP($C84,EPS_FIELD,YR_OVERRIDE,TEXT(YEAR_Y-3,"0")),"")))</f>
        <v/>
      </c>
      <c r="AA84" s="140">
        <f>IF($C84="","",IF(PULL_FUND="N","",IFERROR(BDP($C84,EPS_FIELD,YR_OVERRIDE,TEXT(YEAR_Y-2,"0")),"")))</f>
        <v/>
      </c>
      <c r="AB84" s="140">
        <f>IF($C84="","",IF(PULL_FUND="N","",IFERROR(BDP($C84,EPS_FIELD,YR_OVERRIDE,TEXT(YEAR_Y-1,"0")),"")))</f>
        <v/>
      </c>
      <c r="AC84" s="126">
        <f>IF($C84="","",IFERROR(AVERAGE(X84:AB84),""))</f>
        <v/>
      </c>
      <c r="AD84" s="140">
        <f>IF($C84="","",IF(PULL_FUND="N","",IFERROR(BDP($C84,BESTEPS_FIELD,FWD_OVERRIDE,TEXT(MOD(YEAR_Y,100),"00")&amp;"Y"),"")))</f>
        <v/>
      </c>
      <c r="AE84" s="141">
        <f>IF($C84="","",IF(PULL_FUND="N","",IFERROR(BDP($C84,PAYOUT_FIELD,YR_OVERRIDE,TEXT(YEAR_Y-5,"0"))/100,"")))</f>
        <v/>
      </c>
      <c r="AF84" s="142">
        <f>IF($C84="","",IF(PULL_FUND="N","",IFERROR(BDP($C84,PAYOUT_FIELD,YR_OVERRIDE,TEXT(YEAR_Y-4,"0"))/100,"")))</f>
        <v/>
      </c>
      <c r="AG84" s="142">
        <f>IF($C84="","",IF(PULL_FUND="N","",IFERROR(BDP($C84,PAYOUT_FIELD,YR_OVERRIDE,TEXT(YEAR_Y-3,"0"))/100,"")))</f>
        <v/>
      </c>
      <c r="AH84" s="142">
        <f>IF($C84="","",IF(PULL_FUND="N","",IFERROR(BDP($C84,PAYOUT_FIELD,YR_OVERRIDE,TEXT(YEAR_Y-2,"0"))/100,"")))</f>
        <v/>
      </c>
      <c r="AI84" s="142">
        <f>IF($C84="","",IF(PULL_FUND="N","",IFERROR(BDP($C84,PAYOUT_FIELD,YR_OVERRIDE,TEXT(YEAR_Y-1,"0"))/100,"")))</f>
        <v/>
      </c>
      <c r="AJ84" s="143">
        <f>IF($C84="","",IFERROR(AVERAGE(AE84:AI84),""))</f>
        <v/>
      </c>
      <c r="AK84" s="144">
        <f>IF($C84="","",IF(ISNUMBER($AD84)*ISNUMBER($N84)*($AD84&lt;&gt;0)=0,"",$N84/$AD84))</f>
        <v/>
      </c>
      <c r="AL84" s="143">
        <f>IF($C84="","",IF(ISNUMBER($AD84)*($AD84&lt;&gt;0)=0,"",$M84/$AD84))</f>
        <v/>
      </c>
      <c r="AM84" s="37">
        <f>IF($C84="","",IF(ISNUMBER($AE84)*ISNUMBER($AI84)=0,"",IF($AI84&gt;$AE84+0.05,"rising",IF($AI84&lt;$AE84-0.05,"falling","stable"))))</f>
        <v/>
      </c>
      <c r="AN84" s="145">
        <f>IF($C84="","",IF(PULL_FUND="N","",IF(COUNTIFS('Fund History'!$G$440:$G$444,"&gt;="&amp;DATE(YEAR_Y-4,1,1),'Fund History'!$G$440:$G$444,"&lt;="&amp;DATE(YEAR_Y-4,12,31))=0,"",SUMIFS('Fund History'!$H$440:$H$444,'Fund History'!$G$440:$G$444,"&gt;="&amp;DATE(YEAR_Y-4,1,1),'Fund History'!$G$440:$G$444,"&lt;="&amp;DATE(YEAR_Y-4,12,31))/100)))</f>
        <v/>
      </c>
      <c r="AO84" s="146">
        <f>IF($C84="","",IF(PULL_FUND="N","",IF(COUNTIFS('Fund History'!$G$440:$G$444,"&gt;="&amp;DATE(YEAR_Y-3,1,1),'Fund History'!$G$440:$G$444,"&lt;="&amp;DATE(YEAR_Y-3,12,31))=0,"",SUMIFS('Fund History'!$H$440:$H$444,'Fund History'!$G$440:$G$444,"&gt;="&amp;DATE(YEAR_Y-3,1,1),'Fund History'!$G$440:$G$444,"&lt;="&amp;DATE(YEAR_Y-3,12,31))/100)))</f>
        <v/>
      </c>
      <c r="AP84" s="146">
        <f>IF($C84="","",IF(PULL_FUND="N","",IF(COUNTIFS('Fund History'!$G$440:$G$444,"&gt;="&amp;DATE(YEAR_Y-2,1,1),'Fund History'!$G$440:$G$444,"&lt;="&amp;DATE(YEAR_Y-2,12,31))=0,"",SUMIFS('Fund History'!$H$440:$H$444,'Fund History'!$G$440:$G$444,"&gt;="&amp;DATE(YEAR_Y-2,1,1),'Fund History'!$G$440:$G$444,"&lt;="&amp;DATE(YEAR_Y-2,12,31))/100)))</f>
        <v/>
      </c>
      <c r="AQ84" s="146">
        <f>IF($C84="","",IF(PULL_FUND="N","",IF(COUNTIFS('Fund History'!$G$440:$G$444,"&gt;="&amp;DATE(YEAR_Y-1,1,1),'Fund History'!$G$440:$G$444,"&lt;="&amp;DATE(YEAR_Y-1,12,31))=0,"",SUMIFS('Fund History'!$H$440:$H$444,'Fund History'!$G$440:$G$444,"&gt;="&amp;DATE(YEAR_Y-1,1,1),'Fund History'!$G$440:$G$444,"&lt;="&amp;DATE(YEAR_Y-1,12,31))/100)))</f>
        <v/>
      </c>
      <c r="AR84" s="147">
        <f>IF($C84="","",IF(N($AQ84)+N(HSI!$I$79)=0,"",N($AQ84)+N(HSI!$I$79)/100))</f>
        <v/>
      </c>
      <c r="AS84" s="139">
        <f>IF($C84="","",IF(PULL_FUND="N","",IF(COUNTIFS('Fund History'!$D$440:$D$444,"&gt;="&amp;DATE(YEAR_Y-2,1,1),'Fund History'!$D$440:$D$444,"&lt;="&amp;DATE(YEAR_Y-2,12,31))=0,"",SUMIFS('Fund History'!$E$440:$E$444,'Fund History'!$D$440:$D$444,"&gt;="&amp;DATE(YEAR_Y-2,1,1),'Fund History'!$D$440:$D$444,"&lt;="&amp;DATE(YEAR_Y-2,12,31)))))</f>
        <v/>
      </c>
      <c r="AT84" s="140">
        <f>IF($C84="","",IF(PULL_FUND="N","",IF(COUNTIFS('Fund History'!$D$440:$D$444,"&gt;="&amp;DATE(YEAR_Y-1,1,1),'Fund History'!$D$440:$D$444,"&lt;="&amp;DATE(YEAR_Y-1,12,31))=0,"",SUMIFS('Fund History'!$E$440:$E$444,'Fund History'!$D$440:$D$444,"&gt;="&amp;DATE(YEAR_Y-1,1,1),'Fund History'!$D$440:$D$444,"&lt;="&amp;DATE(YEAR_Y-1,12,31)))))</f>
        <v/>
      </c>
      <c r="AU84" s="140">
        <f>IF($C84="","",IF(PULL_FUND="N","",IFERROR(BDP($C84,NDEBITDA_FIELD),"")))</f>
        <v/>
      </c>
      <c r="AV84" s="148">
        <f>IF($C84="","",IF(PULL_FUND="N","",IFERROR(BDP($C84,EBINT_FIELD),"")))</f>
        <v/>
      </c>
      <c r="AW84" s="146">
        <f>IF($C84="","",IF(PULL_FUND="N","",IFERROR(BDP($C84,FCF_FIELD)/100,"")))</f>
        <v/>
      </c>
      <c r="AX84" s="126">
        <f>IF($C84="","",IF(N($U84)=0,"",IFERROR($AW84/$U84,"")))</f>
        <v/>
      </c>
      <c r="AY84" s="85">
        <f>IF($C84="","",TRIM(IF(ISNUMBER($AJ84)*(N($AJ84)&gt;$D$4)&gt;0,"payout high  ","")&amp;IF(ISNUMBER($AX84)*(N($AX84)&lt;$F$4)&gt;0,"FCF below dvd  ","")&amp;IF(ISNUMBER($AU84)*(N($AU84)&gt;$H$4)&gt;0,"leverage high","")))</f>
        <v/>
      </c>
      <c r="AZ84" s="86">
        <f>IF($C84="","",IF(HSI!$F$79="HKD","",HSI!$F$79))</f>
        <v/>
      </c>
    </row>
    <row r="85">
      <c r="B85" s="66" t="inlineStr">
        <is>
          <t>HSI</t>
        </is>
      </c>
      <c r="C85" s="8">
        <f>IF(HSI!$C$80="","",HSI!$C$80)</f>
        <v/>
      </c>
      <c r="D85" s="8">
        <f>IF($C85="","",HSI!$D$80)</f>
        <v/>
      </c>
      <c r="E85" s="8">
        <f>IF($C85="","",HSI!$E$80)</f>
        <v/>
      </c>
      <c r="F85" s="131">
        <f>IF($C85="","",SUMPRODUCT(('Dvd Calendar'!$E$814:$AR$814&gt;=DATE(YEAR_Y-5,1,1))*('Dvd Calendar'!$E$814:$AR$814&lt;=DATE(YEAR_Y-5,12,31))*'Dvd Calendar'!$E$817:$AR$817*(('Dvd Calendar'!$E$819:$AR$819=TYPE1)*(TYPE1&lt;&gt;"")+('Dvd Calendar'!$E$819:$AR$819=TYPE2)*(TYPE2&lt;&gt;"")+('Dvd Calendar'!$E$819:$AR$819=TYPE3)*(TYPE3&lt;&gt;"")+('Dvd Calendar'!$E$819:$AR$819=TYPE4)*(TYPE4&lt;&gt;"")+('Dvd Calendar'!$E$819:$AR$819=SPECIAL_LBL)*(INC_SPECIALS="Y"))))</f>
        <v/>
      </c>
      <c r="G85" s="132">
        <f>IF($C85="","",SUMPRODUCT(('Dvd Calendar'!$E$814:$AR$814&gt;=DATE(YEAR_Y-4,1,1))*('Dvd Calendar'!$E$814:$AR$814&lt;=DATE(YEAR_Y-4,12,31))*'Dvd Calendar'!$E$817:$AR$817*(('Dvd Calendar'!$E$819:$AR$819=TYPE1)*(TYPE1&lt;&gt;"")+('Dvd Calendar'!$E$819:$AR$819=TYPE2)*(TYPE2&lt;&gt;"")+('Dvd Calendar'!$E$819:$AR$819=TYPE3)*(TYPE3&lt;&gt;"")+('Dvd Calendar'!$E$819:$AR$819=TYPE4)*(TYPE4&lt;&gt;"")+('Dvd Calendar'!$E$819:$AR$819=SPECIAL_LBL)*(INC_SPECIALS="Y"))))</f>
        <v/>
      </c>
      <c r="H85" s="132">
        <f>IF($C85="","",SUMPRODUCT(('Dvd Calendar'!$E$814:$AR$814&gt;=DATE(YEAR_Y-3,1,1))*('Dvd Calendar'!$E$814:$AR$814&lt;=DATE(YEAR_Y-3,12,31))*'Dvd Calendar'!$E$817:$AR$817*(('Dvd Calendar'!$E$819:$AR$819=TYPE1)*(TYPE1&lt;&gt;"")+('Dvd Calendar'!$E$819:$AR$819=TYPE2)*(TYPE2&lt;&gt;"")+('Dvd Calendar'!$E$819:$AR$819=TYPE3)*(TYPE3&lt;&gt;"")+('Dvd Calendar'!$E$819:$AR$819=TYPE4)*(TYPE4&lt;&gt;"")+('Dvd Calendar'!$E$819:$AR$819=SPECIAL_LBL)*(INC_SPECIALS="Y"))))</f>
        <v/>
      </c>
      <c r="I85" s="132">
        <f>IF($C85="","",SUMPRODUCT(('Dvd Calendar'!$E$814:$AR$814&gt;=DATE(YEAR_Y-2,1,1))*('Dvd Calendar'!$E$814:$AR$814&lt;=DATE(YEAR_Y-2,12,31))*'Dvd Calendar'!$E$817:$AR$817*(('Dvd Calendar'!$E$819:$AR$819=TYPE1)*(TYPE1&lt;&gt;"")+('Dvd Calendar'!$E$819:$AR$819=TYPE2)*(TYPE2&lt;&gt;"")+('Dvd Calendar'!$E$819:$AR$819=TYPE3)*(TYPE3&lt;&gt;"")+('Dvd Calendar'!$E$819:$AR$819=TYPE4)*(TYPE4&lt;&gt;"")+('Dvd Calendar'!$E$819:$AR$819=SPECIAL_LBL)*(INC_SPECIALS="Y"))))</f>
        <v/>
      </c>
      <c r="J85" s="132">
        <f>IF($C85="","",SUMPRODUCT(('Dvd Calendar'!$E$814:$AR$814&gt;=DATE(YEAR_Y-1,1,1))*('Dvd Calendar'!$E$814:$AR$814&lt;=DATE(YEAR_Y-1,12,31))*'Dvd Calendar'!$E$817:$AR$817*(('Dvd Calendar'!$E$819:$AR$819=TYPE1)*(TYPE1&lt;&gt;"")+('Dvd Calendar'!$E$819:$AR$819=TYPE2)*(TYPE2&lt;&gt;"")+('Dvd Calendar'!$E$819:$AR$819=TYPE3)*(TYPE3&lt;&gt;"")+('Dvd Calendar'!$E$819:$AR$819=TYPE4)*(TYPE4&lt;&gt;"")+('Dvd Calendar'!$E$819:$AR$819=SPECIAL_LBL)*(INC_SPECIALS="Y"))))</f>
        <v/>
      </c>
      <c r="K85" s="133">
        <f>IF($C85="","",HSI!$J$80)</f>
        <v/>
      </c>
      <c r="L85" s="133">
        <f>IF($C85="","",HSI!$K$80)</f>
        <v/>
      </c>
      <c r="M85" s="124">
        <f>IF($C85="","",HSI!$J$80+HSI!$L$80)</f>
        <v/>
      </c>
      <c r="N85" s="134">
        <f>IF($C85="","",IF(PULL_FUND="N","",IFERROR(BDP($C85,BESTDPS_FIELD,FWD_OVERRIDE,TEXT(MOD(YEAR_Y,100),"00")&amp;"Y"),"")))</f>
        <v/>
      </c>
      <c r="O85" s="133">
        <f>IF($C85="","",AVERAGE(F85:J85))</f>
        <v/>
      </c>
      <c r="P85" s="135">
        <f>IF($C85="","",IF(PULL_FUND="N","",IF(COUNTIFS('Fund History'!$J$446:$J$450,"&gt;="&amp;DATE(YEAR_Y-5,1,1),'Fund History'!$J$446:$J$450,"&lt;="&amp;DATE(YEAR_Y-5,12,31))=0,"",IFERROR($F85*HSI!$G$80/SUMIFS('Fund History'!$K$446:$K$450,'Fund History'!$J$446:$J$450,"&gt;="&amp;DATE(YEAR_Y-5,1,1),'Fund History'!$J$446:$J$450,"&lt;="&amp;DATE(YEAR_Y-5,12,31)),""))))</f>
        <v/>
      </c>
      <c r="Q85" s="136">
        <f>IF($C85="","",IF(PULL_FUND="N","",IF(COUNTIFS('Fund History'!$J$446:$J$450,"&gt;="&amp;DATE(YEAR_Y-4,1,1),'Fund History'!$J$446:$J$450,"&lt;="&amp;DATE(YEAR_Y-4,12,31))=0,"",IFERROR($G85*HSI!$G$80/SUMIFS('Fund History'!$K$446:$K$450,'Fund History'!$J$446:$J$450,"&gt;="&amp;DATE(YEAR_Y-4,1,1),'Fund History'!$J$446:$J$450,"&lt;="&amp;DATE(YEAR_Y-4,12,31)),""))))</f>
        <v/>
      </c>
      <c r="R85" s="136">
        <f>IF($C85="","",IF(PULL_FUND="N","",IF(COUNTIFS('Fund History'!$J$446:$J$450,"&gt;="&amp;DATE(YEAR_Y-3,1,1),'Fund History'!$J$446:$J$450,"&lt;="&amp;DATE(YEAR_Y-3,12,31))=0,"",IFERROR($H85*HSI!$G$80/SUMIFS('Fund History'!$K$446:$K$450,'Fund History'!$J$446:$J$450,"&gt;="&amp;DATE(YEAR_Y-3,1,1),'Fund History'!$J$446:$J$450,"&lt;="&amp;DATE(YEAR_Y-3,12,31)),""))))</f>
        <v/>
      </c>
      <c r="S85" s="136">
        <f>IF($C85="","",IF(PULL_FUND="N","",IF(COUNTIFS('Fund History'!$J$446:$J$450,"&gt;="&amp;DATE(YEAR_Y-2,1,1),'Fund History'!$J$446:$J$450,"&lt;="&amp;DATE(YEAR_Y-2,12,31))=0,"",IFERROR($I85*HSI!$G$80/SUMIFS('Fund History'!$K$446:$K$450,'Fund History'!$J$446:$J$450,"&gt;="&amp;DATE(YEAR_Y-2,1,1),'Fund History'!$J$446:$J$450,"&lt;="&amp;DATE(YEAR_Y-2,12,31)),""))))</f>
        <v/>
      </c>
      <c r="T85" s="136">
        <f>IF($C85="","",IF(PULL_FUND="N","",IF(COUNTIFS('Fund History'!$J$446:$J$450,"&gt;="&amp;DATE(YEAR_Y-1,1,1),'Fund History'!$J$446:$J$450,"&lt;="&amp;DATE(YEAR_Y-1,12,31))=0,"",IFERROR($J85*HSI!$G$80/SUMIFS('Fund History'!$K$446:$K$450,'Fund History'!$J$446:$J$450,"&gt;="&amp;DATE(YEAR_Y-1,1,1),'Fund History'!$J$446:$J$450,"&lt;="&amp;DATE(YEAR_Y-1,12,31)),""))))</f>
        <v/>
      </c>
      <c r="U85" s="137">
        <f>IF($C85="","",IF(ISNUMBER(HSI!$I$80),HSI!$I$80/100,""))</f>
        <v/>
      </c>
      <c r="V85" s="138">
        <f>IF($C85="","",IF(ISNUMBER(HSI!$X$80),IFERROR($M85*HSI!$G$80/HSI!$X$80,""),""))</f>
        <v/>
      </c>
      <c r="W85" s="137">
        <f>IF($C85="","",IF(ISNUMBER($N85),IFERROR($N85*HSI!$G$80/HSI!$X$80,""),""))</f>
        <v/>
      </c>
      <c r="X85" s="139">
        <f>IF($C85="","",IF(PULL_FUND="N","",IFERROR(BDP($C85,EPS_FIELD,YR_OVERRIDE,TEXT(YEAR_Y-5,"0")),"")))</f>
        <v/>
      </c>
      <c r="Y85" s="140">
        <f>IF($C85="","",IF(PULL_FUND="N","",IFERROR(BDP($C85,EPS_FIELD,YR_OVERRIDE,TEXT(YEAR_Y-4,"0")),"")))</f>
        <v/>
      </c>
      <c r="Z85" s="140">
        <f>IF($C85="","",IF(PULL_FUND="N","",IFERROR(BDP($C85,EPS_FIELD,YR_OVERRIDE,TEXT(YEAR_Y-3,"0")),"")))</f>
        <v/>
      </c>
      <c r="AA85" s="140">
        <f>IF($C85="","",IF(PULL_FUND="N","",IFERROR(BDP($C85,EPS_FIELD,YR_OVERRIDE,TEXT(YEAR_Y-2,"0")),"")))</f>
        <v/>
      </c>
      <c r="AB85" s="140">
        <f>IF($C85="","",IF(PULL_FUND="N","",IFERROR(BDP($C85,EPS_FIELD,YR_OVERRIDE,TEXT(YEAR_Y-1,"0")),"")))</f>
        <v/>
      </c>
      <c r="AC85" s="126">
        <f>IF($C85="","",IFERROR(AVERAGE(X85:AB85),""))</f>
        <v/>
      </c>
      <c r="AD85" s="140">
        <f>IF($C85="","",IF(PULL_FUND="N","",IFERROR(BDP($C85,BESTEPS_FIELD,FWD_OVERRIDE,TEXT(MOD(YEAR_Y,100),"00")&amp;"Y"),"")))</f>
        <v/>
      </c>
      <c r="AE85" s="141">
        <f>IF($C85="","",IF(PULL_FUND="N","",IFERROR(BDP($C85,PAYOUT_FIELD,YR_OVERRIDE,TEXT(YEAR_Y-5,"0"))/100,"")))</f>
        <v/>
      </c>
      <c r="AF85" s="142">
        <f>IF($C85="","",IF(PULL_FUND="N","",IFERROR(BDP($C85,PAYOUT_FIELD,YR_OVERRIDE,TEXT(YEAR_Y-4,"0"))/100,"")))</f>
        <v/>
      </c>
      <c r="AG85" s="142">
        <f>IF($C85="","",IF(PULL_FUND="N","",IFERROR(BDP($C85,PAYOUT_FIELD,YR_OVERRIDE,TEXT(YEAR_Y-3,"0"))/100,"")))</f>
        <v/>
      </c>
      <c r="AH85" s="142">
        <f>IF($C85="","",IF(PULL_FUND="N","",IFERROR(BDP($C85,PAYOUT_FIELD,YR_OVERRIDE,TEXT(YEAR_Y-2,"0"))/100,"")))</f>
        <v/>
      </c>
      <c r="AI85" s="142">
        <f>IF($C85="","",IF(PULL_FUND="N","",IFERROR(BDP($C85,PAYOUT_FIELD,YR_OVERRIDE,TEXT(YEAR_Y-1,"0"))/100,"")))</f>
        <v/>
      </c>
      <c r="AJ85" s="143">
        <f>IF($C85="","",IFERROR(AVERAGE(AE85:AI85),""))</f>
        <v/>
      </c>
      <c r="AK85" s="144">
        <f>IF($C85="","",IF(ISNUMBER($AD85)*ISNUMBER($N85)*($AD85&lt;&gt;0)=0,"",$N85/$AD85))</f>
        <v/>
      </c>
      <c r="AL85" s="143">
        <f>IF($C85="","",IF(ISNUMBER($AD85)*($AD85&lt;&gt;0)=0,"",$M85/$AD85))</f>
        <v/>
      </c>
      <c r="AM85" s="37">
        <f>IF($C85="","",IF(ISNUMBER($AE85)*ISNUMBER($AI85)=0,"",IF($AI85&gt;$AE85+0.05,"rising",IF($AI85&lt;$AE85-0.05,"falling","stable"))))</f>
        <v/>
      </c>
      <c r="AN85" s="145">
        <f>IF($C85="","",IF(PULL_FUND="N","",IF(COUNTIFS('Fund History'!$G$446:$G$450,"&gt;="&amp;DATE(YEAR_Y-4,1,1),'Fund History'!$G$446:$G$450,"&lt;="&amp;DATE(YEAR_Y-4,12,31))=0,"",SUMIFS('Fund History'!$H$446:$H$450,'Fund History'!$G$446:$G$450,"&gt;="&amp;DATE(YEAR_Y-4,1,1),'Fund History'!$G$446:$G$450,"&lt;="&amp;DATE(YEAR_Y-4,12,31))/100)))</f>
        <v/>
      </c>
      <c r="AO85" s="146">
        <f>IF($C85="","",IF(PULL_FUND="N","",IF(COUNTIFS('Fund History'!$G$446:$G$450,"&gt;="&amp;DATE(YEAR_Y-3,1,1),'Fund History'!$G$446:$G$450,"&lt;="&amp;DATE(YEAR_Y-3,12,31))=0,"",SUMIFS('Fund History'!$H$446:$H$450,'Fund History'!$G$446:$G$450,"&gt;="&amp;DATE(YEAR_Y-3,1,1),'Fund History'!$G$446:$G$450,"&lt;="&amp;DATE(YEAR_Y-3,12,31))/100)))</f>
        <v/>
      </c>
      <c r="AP85" s="146">
        <f>IF($C85="","",IF(PULL_FUND="N","",IF(COUNTIFS('Fund History'!$G$446:$G$450,"&gt;="&amp;DATE(YEAR_Y-2,1,1),'Fund History'!$G$446:$G$450,"&lt;="&amp;DATE(YEAR_Y-2,12,31))=0,"",SUMIFS('Fund History'!$H$446:$H$450,'Fund History'!$G$446:$G$450,"&gt;="&amp;DATE(YEAR_Y-2,1,1),'Fund History'!$G$446:$G$450,"&lt;="&amp;DATE(YEAR_Y-2,12,31))/100)))</f>
        <v/>
      </c>
      <c r="AQ85" s="146">
        <f>IF($C85="","",IF(PULL_FUND="N","",IF(COUNTIFS('Fund History'!$G$446:$G$450,"&gt;="&amp;DATE(YEAR_Y-1,1,1),'Fund History'!$G$446:$G$450,"&lt;="&amp;DATE(YEAR_Y-1,12,31))=0,"",SUMIFS('Fund History'!$H$446:$H$450,'Fund History'!$G$446:$G$450,"&gt;="&amp;DATE(YEAR_Y-1,1,1),'Fund History'!$G$446:$G$450,"&lt;="&amp;DATE(YEAR_Y-1,12,31))/100)))</f>
        <v/>
      </c>
      <c r="AR85" s="147">
        <f>IF($C85="","",IF(N($AQ85)+N(HSI!$I$80)=0,"",N($AQ85)+N(HSI!$I$80)/100))</f>
        <v/>
      </c>
      <c r="AS85" s="139">
        <f>IF($C85="","",IF(PULL_FUND="N","",IF(COUNTIFS('Fund History'!$D$446:$D$450,"&gt;="&amp;DATE(YEAR_Y-2,1,1),'Fund History'!$D$446:$D$450,"&lt;="&amp;DATE(YEAR_Y-2,12,31))=0,"",SUMIFS('Fund History'!$E$446:$E$450,'Fund History'!$D$446:$D$450,"&gt;="&amp;DATE(YEAR_Y-2,1,1),'Fund History'!$D$446:$D$450,"&lt;="&amp;DATE(YEAR_Y-2,12,31)))))</f>
        <v/>
      </c>
      <c r="AT85" s="140">
        <f>IF($C85="","",IF(PULL_FUND="N","",IF(COUNTIFS('Fund History'!$D$446:$D$450,"&gt;="&amp;DATE(YEAR_Y-1,1,1),'Fund History'!$D$446:$D$450,"&lt;="&amp;DATE(YEAR_Y-1,12,31))=0,"",SUMIFS('Fund History'!$E$446:$E$450,'Fund History'!$D$446:$D$450,"&gt;="&amp;DATE(YEAR_Y-1,1,1),'Fund History'!$D$446:$D$450,"&lt;="&amp;DATE(YEAR_Y-1,12,31)))))</f>
        <v/>
      </c>
      <c r="AU85" s="140">
        <f>IF($C85="","",IF(PULL_FUND="N","",IFERROR(BDP($C85,NDEBITDA_FIELD),"")))</f>
        <v/>
      </c>
      <c r="AV85" s="148">
        <f>IF($C85="","",IF(PULL_FUND="N","",IFERROR(BDP($C85,EBINT_FIELD),"")))</f>
        <v/>
      </c>
      <c r="AW85" s="146">
        <f>IF($C85="","",IF(PULL_FUND="N","",IFERROR(BDP($C85,FCF_FIELD)/100,"")))</f>
        <v/>
      </c>
      <c r="AX85" s="126">
        <f>IF($C85="","",IF(N($U85)=0,"",IFERROR($AW85/$U85,"")))</f>
        <v/>
      </c>
      <c r="AY85" s="85">
        <f>IF($C85="","",TRIM(IF(ISNUMBER($AJ85)*(N($AJ85)&gt;$D$4)&gt;0,"payout high  ","")&amp;IF(ISNUMBER($AX85)*(N($AX85)&lt;$F$4)&gt;0,"FCF below dvd  ","")&amp;IF(ISNUMBER($AU85)*(N($AU85)&gt;$H$4)&gt;0,"leverage high","")))</f>
        <v/>
      </c>
      <c r="AZ85" s="86">
        <f>IF($C85="","",IF(HSI!$F$80="HKD","",HSI!$F$80))</f>
        <v/>
      </c>
    </row>
    <row r="86">
      <c r="B86" s="66" t="inlineStr">
        <is>
          <t>HSI</t>
        </is>
      </c>
      <c r="C86" s="8">
        <f>IF(HSI!$C$81="","",HSI!$C$81)</f>
        <v/>
      </c>
      <c r="D86" s="8">
        <f>IF($C86="","",HSI!$D$81)</f>
        <v/>
      </c>
      <c r="E86" s="8">
        <f>IF($C86="","",HSI!$E$81)</f>
        <v/>
      </c>
      <c r="F86" s="131">
        <f>IF($C86="","",SUMPRODUCT(('Dvd Calendar'!$E$825:$AR$825&gt;=DATE(YEAR_Y-5,1,1))*('Dvd Calendar'!$E$825:$AR$825&lt;=DATE(YEAR_Y-5,12,31))*'Dvd Calendar'!$E$828:$AR$828*(('Dvd Calendar'!$E$830:$AR$830=TYPE1)*(TYPE1&lt;&gt;"")+('Dvd Calendar'!$E$830:$AR$830=TYPE2)*(TYPE2&lt;&gt;"")+('Dvd Calendar'!$E$830:$AR$830=TYPE3)*(TYPE3&lt;&gt;"")+('Dvd Calendar'!$E$830:$AR$830=TYPE4)*(TYPE4&lt;&gt;"")+('Dvd Calendar'!$E$830:$AR$830=SPECIAL_LBL)*(INC_SPECIALS="Y"))))</f>
        <v/>
      </c>
      <c r="G86" s="132">
        <f>IF($C86="","",SUMPRODUCT(('Dvd Calendar'!$E$825:$AR$825&gt;=DATE(YEAR_Y-4,1,1))*('Dvd Calendar'!$E$825:$AR$825&lt;=DATE(YEAR_Y-4,12,31))*'Dvd Calendar'!$E$828:$AR$828*(('Dvd Calendar'!$E$830:$AR$830=TYPE1)*(TYPE1&lt;&gt;"")+('Dvd Calendar'!$E$830:$AR$830=TYPE2)*(TYPE2&lt;&gt;"")+('Dvd Calendar'!$E$830:$AR$830=TYPE3)*(TYPE3&lt;&gt;"")+('Dvd Calendar'!$E$830:$AR$830=TYPE4)*(TYPE4&lt;&gt;"")+('Dvd Calendar'!$E$830:$AR$830=SPECIAL_LBL)*(INC_SPECIALS="Y"))))</f>
        <v/>
      </c>
      <c r="H86" s="132">
        <f>IF($C86="","",SUMPRODUCT(('Dvd Calendar'!$E$825:$AR$825&gt;=DATE(YEAR_Y-3,1,1))*('Dvd Calendar'!$E$825:$AR$825&lt;=DATE(YEAR_Y-3,12,31))*'Dvd Calendar'!$E$828:$AR$828*(('Dvd Calendar'!$E$830:$AR$830=TYPE1)*(TYPE1&lt;&gt;"")+('Dvd Calendar'!$E$830:$AR$830=TYPE2)*(TYPE2&lt;&gt;"")+('Dvd Calendar'!$E$830:$AR$830=TYPE3)*(TYPE3&lt;&gt;"")+('Dvd Calendar'!$E$830:$AR$830=TYPE4)*(TYPE4&lt;&gt;"")+('Dvd Calendar'!$E$830:$AR$830=SPECIAL_LBL)*(INC_SPECIALS="Y"))))</f>
        <v/>
      </c>
      <c r="I86" s="132">
        <f>IF($C86="","",SUMPRODUCT(('Dvd Calendar'!$E$825:$AR$825&gt;=DATE(YEAR_Y-2,1,1))*('Dvd Calendar'!$E$825:$AR$825&lt;=DATE(YEAR_Y-2,12,31))*'Dvd Calendar'!$E$828:$AR$828*(('Dvd Calendar'!$E$830:$AR$830=TYPE1)*(TYPE1&lt;&gt;"")+('Dvd Calendar'!$E$830:$AR$830=TYPE2)*(TYPE2&lt;&gt;"")+('Dvd Calendar'!$E$830:$AR$830=TYPE3)*(TYPE3&lt;&gt;"")+('Dvd Calendar'!$E$830:$AR$830=TYPE4)*(TYPE4&lt;&gt;"")+('Dvd Calendar'!$E$830:$AR$830=SPECIAL_LBL)*(INC_SPECIALS="Y"))))</f>
        <v/>
      </c>
      <c r="J86" s="132">
        <f>IF($C86="","",SUMPRODUCT(('Dvd Calendar'!$E$825:$AR$825&gt;=DATE(YEAR_Y-1,1,1))*('Dvd Calendar'!$E$825:$AR$825&lt;=DATE(YEAR_Y-1,12,31))*'Dvd Calendar'!$E$828:$AR$828*(('Dvd Calendar'!$E$830:$AR$830=TYPE1)*(TYPE1&lt;&gt;"")+('Dvd Calendar'!$E$830:$AR$830=TYPE2)*(TYPE2&lt;&gt;"")+('Dvd Calendar'!$E$830:$AR$830=TYPE3)*(TYPE3&lt;&gt;"")+('Dvd Calendar'!$E$830:$AR$830=TYPE4)*(TYPE4&lt;&gt;"")+('Dvd Calendar'!$E$830:$AR$830=SPECIAL_LBL)*(INC_SPECIALS="Y"))))</f>
        <v/>
      </c>
      <c r="K86" s="133">
        <f>IF($C86="","",HSI!$J$81)</f>
        <v/>
      </c>
      <c r="L86" s="133">
        <f>IF($C86="","",HSI!$K$81)</f>
        <v/>
      </c>
      <c r="M86" s="124">
        <f>IF($C86="","",HSI!$J$81+HSI!$L$81)</f>
        <v/>
      </c>
      <c r="N86" s="134">
        <f>IF($C86="","",IF(PULL_FUND="N","",IFERROR(BDP($C86,BESTDPS_FIELD,FWD_OVERRIDE,TEXT(MOD(YEAR_Y,100),"00")&amp;"Y"),"")))</f>
        <v/>
      </c>
      <c r="O86" s="133">
        <f>IF($C86="","",AVERAGE(F86:J86))</f>
        <v/>
      </c>
      <c r="P86" s="135">
        <f>IF($C86="","",IF(PULL_FUND="N","",IF(COUNTIFS('Fund History'!$J$452:$J$456,"&gt;="&amp;DATE(YEAR_Y-5,1,1),'Fund History'!$J$452:$J$456,"&lt;="&amp;DATE(YEAR_Y-5,12,31))=0,"",IFERROR($F86*HSI!$G$81/SUMIFS('Fund History'!$K$452:$K$456,'Fund History'!$J$452:$J$456,"&gt;="&amp;DATE(YEAR_Y-5,1,1),'Fund History'!$J$452:$J$456,"&lt;="&amp;DATE(YEAR_Y-5,12,31)),""))))</f>
        <v/>
      </c>
      <c r="Q86" s="136">
        <f>IF($C86="","",IF(PULL_FUND="N","",IF(COUNTIFS('Fund History'!$J$452:$J$456,"&gt;="&amp;DATE(YEAR_Y-4,1,1),'Fund History'!$J$452:$J$456,"&lt;="&amp;DATE(YEAR_Y-4,12,31))=0,"",IFERROR($G86*HSI!$G$81/SUMIFS('Fund History'!$K$452:$K$456,'Fund History'!$J$452:$J$456,"&gt;="&amp;DATE(YEAR_Y-4,1,1),'Fund History'!$J$452:$J$456,"&lt;="&amp;DATE(YEAR_Y-4,12,31)),""))))</f>
        <v/>
      </c>
      <c r="R86" s="136">
        <f>IF($C86="","",IF(PULL_FUND="N","",IF(COUNTIFS('Fund History'!$J$452:$J$456,"&gt;="&amp;DATE(YEAR_Y-3,1,1),'Fund History'!$J$452:$J$456,"&lt;="&amp;DATE(YEAR_Y-3,12,31))=0,"",IFERROR($H86*HSI!$G$81/SUMIFS('Fund History'!$K$452:$K$456,'Fund History'!$J$452:$J$456,"&gt;="&amp;DATE(YEAR_Y-3,1,1),'Fund History'!$J$452:$J$456,"&lt;="&amp;DATE(YEAR_Y-3,12,31)),""))))</f>
        <v/>
      </c>
      <c r="S86" s="136">
        <f>IF($C86="","",IF(PULL_FUND="N","",IF(COUNTIFS('Fund History'!$J$452:$J$456,"&gt;="&amp;DATE(YEAR_Y-2,1,1),'Fund History'!$J$452:$J$456,"&lt;="&amp;DATE(YEAR_Y-2,12,31))=0,"",IFERROR($I86*HSI!$G$81/SUMIFS('Fund History'!$K$452:$K$456,'Fund History'!$J$452:$J$456,"&gt;="&amp;DATE(YEAR_Y-2,1,1),'Fund History'!$J$452:$J$456,"&lt;="&amp;DATE(YEAR_Y-2,12,31)),""))))</f>
        <v/>
      </c>
      <c r="T86" s="136">
        <f>IF($C86="","",IF(PULL_FUND="N","",IF(COUNTIFS('Fund History'!$J$452:$J$456,"&gt;="&amp;DATE(YEAR_Y-1,1,1),'Fund History'!$J$452:$J$456,"&lt;="&amp;DATE(YEAR_Y-1,12,31))=0,"",IFERROR($J86*HSI!$G$81/SUMIFS('Fund History'!$K$452:$K$456,'Fund History'!$J$452:$J$456,"&gt;="&amp;DATE(YEAR_Y-1,1,1),'Fund History'!$J$452:$J$456,"&lt;="&amp;DATE(YEAR_Y-1,12,31)),""))))</f>
        <v/>
      </c>
      <c r="U86" s="137">
        <f>IF($C86="","",IF(ISNUMBER(HSI!$I$81),HSI!$I$81/100,""))</f>
        <v/>
      </c>
      <c r="V86" s="138">
        <f>IF($C86="","",IF(ISNUMBER(HSI!$X$81),IFERROR($M86*HSI!$G$81/HSI!$X$81,""),""))</f>
        <v/>
      </c>
      <c r="W86" s="137">
        <f>IF($C86="","",IF(ISNUMBER($N86),IFERROR($N86*HSI!$G$81/HSI!$X$81,""),""))</f>
        <v/>
      </c>
      <c r="X86" s="139">
        <f>IF($C86="","",IF(PULL_FUND="N","",IFERROR(BDP($C86,EPS_FIELD,YR_OVERRIDE,TEXT(YEAR_Y-5,"0")),"")))</f>
        <v/>
      </c>
      <c r="Y86" s="140">
        <f>IF($C86="","",IF(PULL_FUND="N","",IFERROR(BDP($C86,EPS_FIELD,YR_OVERRIDE,TEXT(YEAR_Y-4,"0")),"")))</f>
        <v/>
      </c>
      <c r="Z86" s="140">
        <f>IF($C86="","",IF(PULL_FUND="N","",IFERROR(BDP($C86,EPS_FIELD,YR_OVERRIDE,TEXT(YEAR_Y-3,"0")),"")))</f>
        <v/>
      </c>
      <c r="AA86" s="140">
        <f>IF($C86="","",IF(PULL_FUND="N","",IFERROR(BDP($C86,EPS_FIELD,YR_OVERRIDE,TEXT(YEAR_Y-2,"0")),"")))</f>
        <v/>
      </c>
      <c r="AB86" s="140">
        <f>IF($C86="","",IF(PULL_FUND="N","",IFERROR(BDP($C86,EPS_FIELD,YR_OVERRIDE,TEXT(YEAR_Y-1,"0")),"")))</f>
        <v/>
      </c>
      <c r="AC86" s="126">
        <f>IF($C86="","",IFERROR(AVERAGE(X86:AB86),""))</f>
        <v/>
      </c>
      <c r="AD86" s="140">
        <f>IF($C86="","",IF(PULL_FUND="N","",IFERROR(BDP($C86,BESTEPS_FIELD,FWD_OVERRIDE,TEXT(MOD(YEAR_Y,100),"00")&amp;"Y"),"")))</f>
        <v/>
      </c>
      <c r="AE86" s="141">
        <f>IF($C86="","",IF(PULL_FUND="N","",IFERROR(BDP($C86,PAYOUT_FIELD,YR_OVERRIDE,TEXT(YEAR_Y-5,"0"))/100,"")))</f>
        <v/>
      </c>
      <c r="AF86" s="142">
        <f>IF($C86="","",IF(PULL_FUND="N","",IFERROR(BDP($C86,PAYOUT_FIELD,YR_OVERRIDE,TEXT(YEAR_Y-4,"0"))/100,"")))</f>
        <v/>
      </c>
      <c r="AG86" s="142">
        <f>IF($C86="","",IF(PULL_FUND="N","",IFERROR(BDP($C86,PAYOUT_FIELD,YR_OVERRIDE,TEXT(YEAR_Y-3,"0"))/100,"")))</f>
        <v/>
      </c>
      <c r="AH86" s="142">
        <f>IF($C86="","",IF(PULL_FUND="N","",IFERROR(BDP($C86,PAYOUT_FIELD,YR_OVERRIDE,TEXT(YEAR_Y-2,"0"))/100,"")))</f>
        <v/>
      </c>
      <c r="AI86" s="142">
        <f>IF($C86="","",IF(PULL_FUND="N","",IFERROR(BDP($C86,PAYOUT_FIELD,YR_OVERRIDE,TEXT(YEAR_Y-1,"0"))/100,"")))</f>
        <v/>
      </c>
      <c r="AJ86" s="143">
        <f>IF($C86="","",IFERROR(AVERAGE(AE86:AI86),""))</f>
        <v/>
      </c>
      <c r="AK86" s="144">
        <f>IF($C86="","",IF(ISNUMBER($AD86)*ISNUMBER($N86)*($AD86&lt;&gt;0)=0,"",$N86/$AD86))</f>
        <v/>
      </c>
      <c r="AL86" s="143">
        <f>IF($C86="","",IF(ISNUMBER($AD86)*($AD86&lt;&gt;0)=0,"",$M86/$AD86))</f>
        <v/>
      </c>
      <c r="AM86" s="37">
        <f>IF($C86="","",IF(ISNUMBER($AE86)*ISNUMBER($AI86)=0,"",IF($AI86&gt;$AE86+0.05,"rising",IF($AI86&lt;$AE86-0.05,"falling","stable"))))</f>
        <v/>
      </c>
      <c r="AN86" s="145">
        <f>IF($C86="","",IF(PULL_FUND="N","",IF(COUNTIFS('Fund History'!$G$452:$G$456,"&gt;="&amp;DATE(YEAR_Y-4,1,1),'Fund History'!$G$452:$G$456,"&lt;="&amp;DATE(YEAR_Y-4,12,31))=0,"",SUMIFS('Fund History'!$H$452:$H$456,'Fund History'!$G$452:$G$456,"&gt;="&amp;DATE(YEAR_Y-4,1,1),'Fund History'!$G$452:$G$456,"&lt;="&amp;DATE(YEAR_Y-4,12,31))/100)))</f>
        <v/>
      </c>
      <c r="AO86" s="146">
        <f>IF($C86="","",IF(PULL_FUND="N","",IF(COUNTIFS('Fund History'!$G$452:$G$456,"&gt;="&amp;DATE(YEAR_Y-3,1,1),'Fund History'!$G$452:$G$456,"&lt;="&amp;DATE(YEAR_Y-3,12,31))=0,"",SUMIFS('Fund History'!$H$452:$H$456,'Fund History'!$G$452:$G$456,"&gt;="&amp;DATE(YEAR_Y-3,1,1),'Fund History'!$G$452:$G$456,"&lt;="&amp;DATE(YEAR_Y-3,12,31))/100)))</f>
        <v/>
      </c>
      <c r="AP86" s="146">
        <f>IF($C86="","",IF(PULL_FUND="N","",IF(COUNTIFS('Fund History'!$G$452:$G$456,"&gt;="&amp;DATE(YEAR_Y-2,1,1),'Fund History'!$G$452:$G$456,"&lt;="&amp;DATE(YEAR_Y-2,12,31))=0,"",SUMIFS('Fund History'!$H$452:$H$456,'Fund History'!$G$452:$G$456,"&gt;="&amp;DATE(YEAR_Y-2,1,1),'Fund History'!$G$452:$G$456,"&lt;="&amp;DATE(YEAR_Y-2,12,31))/100)))</f>
        <v/>
      </c>
      <c r="AQ86" s="146">
        <f>IF($C86="","",IF(PULL_FUND="N","",IF(COUNTIFS('Fund History'!$G$452:$G$456,"&gt;="&amp;DATE(YEAR_Y-1,1,1),'Fund History'!$G$452:$G$456,"&lt;="&amp;DATE(YEAR_Y-1,12,31))=0,"",SUMIFS('Fund History'!$H$452:$H$456,'Fund History'!$G$452:$G$456,"&gt;="&amp;DATE(YEAR_Y-1,1,1),'Fund History'!$G$452:$G$456,"&lt;="&amp;DATE(YEAR_Y-1,12,31))/100)))</f>
        <v/>
      </c>
      <c r="AR86" s="147">
        <f>IF($C86="","",IF(N($AQ86)+N(HSI!$I$81)=0,"",N($AQ86)+N(HSI!$I$81)/100))</f>
        <v/>
      </c>
      <c r="AS86" s="139">
        <f>IF($C86="","",IF(PULL_FUND="N","",IF(COUNTIFS('Fund History'!$D$452:$D$456,"&gt;="&amp;DATE(YEAR_Y-2,1,1),'Fund History'!$D$452:$D$456,"&lt;="&amp;DATE(YEAR_Y-2,12,31))=0,"",SUMIFS('Fund History'!$E$452:$E$456,'Fund History'!$D$452:$D$456,"&gt;="&amp;DATE(YEAR_Y-2,1,1),'Fund History'!$D$452:$D$456,"&lt;="&amp;DATE(YEAR_Y-2,12,31)))))</f>
        <v/>
      </c>
      <c r="AT86" s="140">
        <f>IF($C86="","",IF(PULL_FUND="N","",IF(COUNTIFS('Fund History'!$D$452:$D$456,"&gt;="&amp;DATE(YEAR_Y-1,1,1),'Fund History'!$D$452:$D$456,"&lt;="&amp;DATE(YEAR_Y-1,12,31))=0,"",SUMIFS('Fund History'!$E$452:$E$456,'Fund History'!$D$452:$D$456,"&gt;="&amp;DATE(YEAR_Y-1,1,1),'Fund History'!$D$452:$D$456,"&lt;="&amp;DATE(YEAR_Y-1,12,31)))))</f>
        <v/>
      </c>
      <c r="AU86" s="140">
        <f>IF($C86="","",IF(PULL_FUND="N","",IFERROR(BDP($C86,NDEBITDA_FIELD),"")))</f>
        <v/>
      </c>
      <c r="AV86" s="148">
        <f>IF($C86="","",IF(PULL_FUND="N","",IFERROR(BDP($C86,EBINT_FIELD),"")))</f>
        <v/>
      </c>
      <c r="AW86" s="146">
        <f>IF($C86="","",IF(PULL_FUND="N","",IFERROR(BDP($C86,FCF_FIELD)/100,"")))</f>
        <v/>
      </c>
      <c r="AX86" s="126">
        <f>IF($C86="","",IF(N($U86)=0,"",IFERROR($AW86/$U86,"")))</f>
        <v/>
      </c>
      <c r="AY86" s="85">
        <f>IF($C86="","",TRIM(IF(ISNUMBER($AJ86)*(N($AJ86)&gt;$D$4)&gt;0,"payout high  ","")&amp;IF(ISNUMBER($AX86)*(N($AX86)&lt;$F$4)&gt;0,"FCF below dvd  ","")&amp;IF(ISNUMBER($AU86)*(N($AU86)&gt;$H$4)&gt;0,"leverage high","")))</f>
        <v/>
      </c>
      <c r="AZ86" s="86">
        <f>IF($C86="","",IF(HSI!$F$81="HKD","",HSI!$F$81))</f>
        <v/>
      </c>
    </row>
    <row r="87">
      <c r="B87" s="66" t="inlineStr">
        <is>
          <t>HSI</t>
        </is>
      </c>
      <c r="C87" s="8">
        <f>IF(HSI!$C$82="","",HSI!$C$82)</f>
        <v/>
      </c>
      <c r="D87" s="8">
        <f>IF($C87="","",HSI!$D$82)</f>
        <v/>
      </c>
      <c r="E87" s="8">
        <f>IF($C87="","",HSI!$E$82)</f>
        <v/>
      </c>
      <c r="F87" s="131">
        <f>IF($C87="","",SUMPRODUCT(('Dvd Calendar'!$E$836:$AR$836&gt;=DATE(YEAR_Y-5,1,1))*('Dvd Calendar'!$E$836:$AR$836&lt;=DATE(YEAR_Y-5,12,31))*'Dvd Calendar'!$E$839:$AR$839*(('Dvd Calendar'!$E$841:$AR$841=TYPE1)*(TYPE1&lt;&gt;"")+('Dvd Calendar'!$E$841:$AR$841=TYPE2)*(TYPE2&lt;&gt;"")+('Dvd Calendar'!$E$841:$AR$841=TYPE3)*(TYPE3&lt;&gt;"")+('Dvd Calendar'!$E$841:$AR$841=TYPE4)*(TYPE4&lt;&gt;"")+('Dvd Calendar'!$E$841:$AR$841=SPECIAL_LBL)*(INC_SPECIALS="Y"))))</f>
        <v/>
      </c>
      <c r="G87" s="132">
        <f>IF($C87="","",SUMPRODUCT(('Dvd Calendar'!$E$836:$AR$836&gt;=DATE(YEAR_Y-4,1,1))*('Dvd Calendar'!$E$836:$AR$836&lt;=DATE(YEAR_Y-4,12,31))*'Dvd Calendar'!$E$839:$AR$839*(('Dvd Calendar'!$E$841:$AR$841=TYPE1)*(TYPE1&lt;&gt;"")+('Dvd Calendar'!$E$841:$AR$841=TYPE2)*(TYPE2&lt;&gt;"")+('Dvd Calendar'!$E$841:$AR$841=TYPE3)*(TYPE3&lt;&gt;"")+('Dvd Calendar'!$E$841:$AR$841=TYPE4)*(TYPE4&lt;&gt;"")+('Dvd Calendar'!$E$841:$AR$841=SPECIAL_LBL)*(INC_SPECIALS="Y"))))</f>
        <v/>
      </c>
      <c r="H87" s="132">
        <f>IF($C87="","",SUMPRODUCT(('Dvd Calendar'!$E$836:$AR$836&gt;=DATE(YEAR_Y-3,1,1))*('Dvd Calendar'!$E$836:$AR$836&lt;=DATE(YEAR_Y-3,12,31))*'Dvd Calendar'!$E$839:$AR$839*(('Dvd Calendar'!$E$841:$AR$841=TYPE1)*(TYPE1&lt;&gt;"")+('Dvd Calendar'!$E$841:$AR$841=TYPE2)*(TYPE2&lt;&gt;"")+('Dvd Calendar'!$E$841:$AR$841=TYPE3)*(TYPE3&lt;&gt;"")+('Dvd Calendar'!$E$841:$AR$841=TYPE4)*(TYPE4&lt;&gt;"")+('Dvd Calendar'!$E$841:$AR$841=SPECIAL_LBL)*(INC_SPECIALS="Y"))))</f>
        <v/>
      </c>
      <c r="I87" s="132">
        <f>IF($C87="","",SUMPRODUCT(('Dvd Calendar'!$E$836:$AR$836&gt;=DATE(YEAR_Y-2,1,1))*('Dvd Calendar'!$E$836:$AR$836&lt;=DATE(YEAR_Y-2,12,31))*'Dvd Calendar'!$E$839:$AR$839*(('Dvd Calendar'!$E$841:$AR$841=TYPE1)*(TYPE1&lt;&gt;"")+('Dvd Calendar'!$E$841:$AR$841=TYPE2)*(TYPE2&lt;&gt;"")+('Dvd Calendar'!$E$841:$AR$841=TYPE3)*(TYPE3&lt;&gt;"")+('Dvd Calendar'!$E$841:$AR$841=TYPE4)*(TYPE4&lt;&gt;"")+('Dvd Calendar'!$E$841:$AR$841=SPECIAL_LBL)*(INC_SPECIALS="Y"))))</f>
        <v/>
      </c>
      <c r="J87" s="132">
        <f>IF($C87="","",SUMPRODUCT(('Dvd Calendar'!$E$836:$AR$836&gt;=DATE(YEAR_Y-1,1,1))*('Dvd Calendar'!$E$836:$AR$836&lt;=DATE(YEAR_Y-1,12,31))*'Dvd Calendar'!$E$839:$AR$839*(('Dvd Calendar'!$E$841:$AR$841=TYPE1)*(TYPE1&lt;&gt;"")+('Dvd Calendar'!$E$841:$AR$841=TYPE2)*(TYPE2&lt;&gt;"")+('Dvd Calendar'!$E$841:$AR$841=TYPE3)*(TYPE3&lt;&gt;"")+('Dvd Calendar'!$E$841:$AR$841=TYPE4)*(TYPE4&lt;&gt;"")+('Dvd Calendar'!$E$841:$AR$841=SPECIAL_LBL)*(INC_SPECIALS="Y"))))</f>
        <v/>
      </c>
      <c r="K87" s="133">
        <f>IF($C87="","",HSI!$J$82)</f>
        <v/>
      </c>
      <c r="L87" s="133">
        <f>IF($C87="","",HSI!$K$82)</f>
        <v/>
      </c>
      <c r="M87" s="124">
        <f>IF($C87="","",HSI!$J$82+HSI!$L$82)</f>
        <v/>
      </c>
      <c r="N87" s="134">
        <f>IF($C87="","",IF(PULL_FUND="N","",IFERROR(BDP($C87,BESTDPS_FIELD,FWD_OVERRIDE,TEXT(MOD(YEAR_Y,100),"00")&amp;"Y"),"")))</f>
        <v/>
      </c>
      <c r="O87" s="133">
        <f>IF($C87="","",AVERAGE(F87:J87))</f>
        <v/>
      </c>
      <c r="P87" s="135">
        <f>IF($C87="","",IF(PULL_FUND="N","",IF(COUNTIFS('Fund History'!$J$458:$J$462,"&gt;="&amp;DATE(YEAR_Y-5,1,1),'Fund History'!$J$458:$J$462,"&lt;="&amp;DATE(YEAR_Y-5,12,31))=0,"",IFERROR($F87*HSI!$G$82/SUMIFS('Fund History'!$K$458:$K$462,'Fund History'!$J$458:$J$462,"&gt;="&amp;DATE(YEAR_Y-5,1,1),'Fund History'!$J$458:$J$462,"&lt;="&amp;DATE(YEAR_Y-5,12,31)),""))))</f>
        <v/>
      </c>
      <c r="Q87" s="136">
        <f>IF($C87="","",IF(PULL_FUND="N","",IF(COUNTIFS('Fund History'!$J$458:$J$462,"&gt;="&amp;DATE(YEAR_Y-4,1,1),'Fund History'!$J$458:$J$462,"&lt;="&amp;DATE(YEAR_Y-4,12,31))=0,"",IFERROR($G87*HSI!$G$82/SUMIFS('Fund History'!$K$458:$K$462,'Fund History'!$J$458:$J$462,"&gt;="&amp;DATE(YEAR_Y-4,1,1),'Fund History'!$J$458:$J$462,"&lt;="&amp;DATE(YEAR_Y-4,12,31)),""))))</f>
        <v/>
      </c>
      <c r="R87" s="136">
        <f>IF($C87="","",IF(PULL_FUND="N","",IF(COUNTIFS('Fund History'!$J$458:$J$462,"&gt;="&amp;DATE(YEAR_Y-3,1,1),'Fund History'!$J$458:$J$462,"&lt;="&amp;DATE(YEAR_Y-3,12,31))=0,"",IFERROR($H87*HSI!$G$82/SUMIFS('Fund History'!$K$458:$K$462,'Fund History'!$J$458:$J$462,"&gt;="&amp;DATE(YEAR_Y-3,1,1),'Fund History'!$J$458:$J$462,"&lt;="&amp;DATE(YEAR_Y-3,12,31)),""))))</f>
        <v/>
      </c>
      <c r="S87" s="136">
        <f>IF($C87="","",IF(PULL_FUND="N","",IF(COUNTIFS('Fund History'!$J$458:$J$462,"&gt;="&amp;DATE(YEAR_Y-2,1,1),'Fund History'!$J$458:$J$462,"&lt;="&amp;DATE(YEAR_Y-2,12,31))=0,"",IFERROR($I87*HSI!$G$82/SUMIFS('Fund History'!$K$458:$K$462,'Fund History'!$J$458:$J$462,"&gt;="&amp;DATE(YEAR_Y-2,1,1),'Fund History'!$J$458:$J$462,"&lt;="&amp;DATE(YEAR_Y-2,12,31)),""))))</f>
        <v/>
      </c>
      <c r="T87" s="136">
        <f>IF($C87="","",IF(PULL_FUND="N","",IF(COUNTIFS('Fund History'!$J$458:$J$462,"&gt;="&amp;DATE(YEAR_Y-1,1,1),'Fund History'!$J$458:$J$462,"&lt;="&amp;DATE(YEAR_Y-1,12,31))=0,"",IFERROR($J87*HSI!$G$82/SUMIFS('Fund History'!$K$458:$K$462,'Fund History'!$J$458:$J$462,"&gt;="&amp;DATE(YEAR_Y-1,1,1),'Fund History'!$J$458:$J$462,"&lt;="&amp;DATE(YEAR_Y-1,12,31)),""))))</f>
        <v/>
      </c>
      <c r="U87" s="137">
        <f>IF($C87="","",IF(ISNUMBER(HSI!$I$82),HSI!$I$82/100,""))</f>
        <v/>
      </c>
      <c r="V87" s="138">
        <f>IF($C87="","",IF(ISNUMBER(HSI!$X$82),IFERROR($M87*HSI!$G$82/HSI!$X$82,""),""))</f>
        <v/>
      </c>
      <c r="W87" s="137">
        <f>IF($C87="","",IF(ISNUMBER($N87),IFERROR($N87*HSI!$G$82/HSI!$X$82,""),""))</f>
        <v/>
      </c>
      <c r="X87" s="139">
        <f>IF($C87="","",IF(PULL_FUND="N","",IFERROR(BDP($C87,EPS_FIELD,YR_OVERRIDE,TEXT(YEAR_Y-5,"0")),"")))</f>
        <v/>
      </c>
      <c r="Y87" s="140">
        <f>IF($C87="","",IF(PULL_FUND="N","",IFERROR(BDP($C87,EPS_FIELD,YR_OVERRIDE,TEXT(YEAR_Y-4,"0")),"")))</f>
        <v/>
      </c>
      <c r="Z87" s="140">
        <f>IF($C87="","",IF(PULL_FUND="N","",IFERROR(BDP($C87,EPS_FIELD,YR_OVERRIDE,TEXT(YEAR_Y-3,"0")),"")))</f>
        <v/>
      </c>
      <c r="AA87" s="140">
        <f>IF($C87="","",IF(PULL_FUND="N","",IFERROR(BDP($C87,EPS_FIELD,YR_OVERRIDE,TEXT(YEAR_Y-2,"0")),"")))</f>
        <v/>
      </c>
      <c r="AB87" s="140">
        <f>IF($C87="","",IF(PULL_FUND="N","",IFERROR(BDP($C87,EPS_FIELD,YR_OVERRIDE,TEXT(YEAR_Y-1,"0")),"")))</f>
        <v/>
      </c>
      <c r="AC87" s="126">
        <f>IF($C87="","",IFERROR(AVERAGE(X87:AB87),""))</f>
        <v/>
      </c>
      <c r="AD87" s="140">
        <f>IF($C87="","",IF(PULL_FUND="N","",IFERROR(BDP($C87,BESTEPS_FIELD,FWD_OVERRIDE,TEXT(MOD(YEAR_Y,100),"00")&amp;"Y"),"")))</f>
        <v/>
      </c>
      <c r="AE87" s="141">
        <f>IF($C87="","",IF(PULL_FUND="N","",IFERROR(BDP($C87,PAYOUT_FIELD,YR_OVERRIDE,TEXT(YEAR_Y-5,"0"))/100,"")))</f>
        <v/>
      </c>
      <c r="AF87" s="142">
        <f>IF($C87="","",IF(PULL_FUND="N","",IFERROR(BDP($C87,PAYOUT_FIELD,YR_OVERRIDE,TEXT(YEAR_Y-4,"0"))/100,"")))</f>
        <v/>
      </c>
      <c r="AG87" s="142">
        <f>IF($C87="","",IF(PULL_FUND="N","",IFERROR(BDP($C87,PAYOUT_FIELD,YR_OVERRIDE,TEXT(YEAR_Y-3,"0"))/100,"")))</f>
        <v/>
      </c>
      <c r="AH87" s="142">
        <f>IF($C87="","",IF(PULL_FUND="N","",IFERROR(BDP($C87,PAYOUT_FIELD,YR_OVERRIDE,TEXT(YEAR_Y-2,"0"))/100,"")))</f>
        <v/>
      </c>
      <c r="AI87" s="142">
        <f>IF($C87="","",IF(PULL_FUND="N","",IFERROR(BDP($C87,PAYOUT_FIELD,YR_OVERRIDE,TEXT(YEAR_Y-1,"0"))/100,"")))</f>
        <v/>
      </c>
      <c r="AJ87" s="143">
        <f>IF($C87="","",IFERROR(AVERAGE(AE87:AI87),""))</f>
        <v/>
      </c>
      <c r="AK87" s="144">
        <f>IF($C87="","",IF(ISNUMBER($AD87)*ISNUMBER($N87)*($AD87&lt;&gt;0)=0,"",$N87/$AD87))</f>
        <v/>
      </c>
      <c r="AL87" s="143">
        <f>IF($C87="","",IF(ISNUMBER($AD87)*($AD87&lt;&gt;0)=0,"",$M87/$AD87))</f>
        <v/>
      </c>
      <c r="AM87" s="37">
        <f>IF($C87="","",IF(ISNUMBER($AE87)*ISNUMBER($AI87)=0,"",IF($AI87&gt;$AE87+0.05,"rising",IF($AI87&lt;$AE87-0.05,"falling","stable"))))</f>
        <v/>
      </c>
      <c r="AN87" s="145">
        <f>IF($C87="","",IF(PULL_FUND="N","",IF(COUNTIFS('Fund History'!$G$458:$G$462,"&gt;="&amp;DATE(YEAR_Y-4,1,1),'Fund History'!$G$458:$G$462,"&lt;="&amp;DATE(YEAR_Y-4,12,31))=0,"",SUMIFS('Fund History'!$H$458:$H$462,'Fund History'!$G$458:$G$462,"&gt;="&amp;DATE(YEAR_Y-4,1,1),'Fund History'!$G$458:$G$462,"&lt;="&amp;DATE(YEAR_Y-4,12,31))/100)))</f>
        <v/>
      </c>
      <c r="AO87" s="146">
        <f>IF($C87="","",IF(PULL_FUND="N","",IF(COUNTIFS('Fund History'!$G$458:$G$462,"&gt;="&amp;DATE(YEAR_Y-3,1,1),'Fund History'!$G$458:$G$462,"&lt;="&amp;DATE(YEAR_Y-3,12,31))=0,"",SUMIFS('Fund History'!$H$458:$H$462,'Fund History'!$G$458:$G$462,"&gt;="&amp;DATE(YEAR_Y-3,1,1),'Fund History'!$G$458:$G$462,"&lt;="&amp;DATE(YEAR_Y-3,12,31))/100)))</f>
        <v/>
      </c>
      <c r="AP87" s="146">
        <f>IF($C87="","",IF(PULL_FUND="N","",IF(COUNTIFS('Fund History'!$G$458:$G$462,"&gt;="&amp;DATE(YEAR_Y-2,1,1),'Fund History'!$G$458:$G$462,"&lt;="&amp;DATE(YEAR_Y-2,12,31))=0,"",SUMIFS('Fund History'!$H$458:$H$462,'Fund History'!$G$458:$G$462,"&gt;="&amp;DATE(YEAR_Y-2,1,1),'Fund History'!$G$458:$G$462,"&lt;="&amp;DATE(YEAR_Y-2,12,31))/100)))</f>
        <v/>
      </c>
      <c r="AQ87" s="146">
        <f>IF($C87="","",IF(PULL_FUND="N","",IF(COUNTIFS('Fund History'!$G$458:$G$462,"&gt;="&amp;DATE(YEAR_Y-1,1,1),'Fund History'!$G$458:$G$462,"&lt;="&amp;DATE(YEAR_Y-1,12,31))=0,"",SUMIFS('Fund History'!$H$458:$H$462,'Fund History'!$G$458:$G$462,"&gt;="&amp;DATE(YEAR_Y-1,1,1),'Fund History'!$G$458:$G$462,"&lt;="&amp;DATE(YEAR_Y-1,12,31))/100)))</f>
        <v/>
      </c>
      <c r="AR87" s="147">
        <f>IF($C87="","",IF(N($AQ87)+N(HSI!$I$82)=0,"",N($AQ87)+N(HSI!$I$82)/100))</f>
        <v/>
      </c>
      <c r="AS87" s="139">
        <f>IF($C87="","",IF(PULL_FUND="N","",IF(COUNTIFS('Fund History'!$D$458:$D$462,"&gt;="&amp;DATE(YEAR_Y-2,1,1),'Fund History'!$D$458:$D$462,"&lt;="&amp;DATE(YEAR_Y-2,12,31))=0,"",SUMIFS('Fund History'!$E$458:$E$462,'Fund History'!$D$458:$D$462,"&gt;="&amp;DATE(YEAR_Y-2,1,1),'Fund History'!$D$458:$D$462,"&lt;="&amp;DATE(YEAR_Y-2,12,31)))))</f>
        <v/>
      </c>
      <c r="AT87" s="140">
        <f>IF($C87="","",IF(PULL_FUND="N","",IF(COUNTIFS('Fund History'!$D$458:$D$462,"&gt;="&amp;DATE(YEAR_Y-1,1,1),'Fund History'!$D$458:$D$462,"&lt;="&amp;DATE(YEAR_Y-1,12,31))=0,"",SUMIFS('Fund History'!$E$458:$E$462,'Fund History'!$D$458:$D$462,"&gt;="&amp;DATE(YEAR_Y-1,1,1),'Fund History'!$D$458:$D$462,"&lt;="&amp;DATE(YEAR_Y-1,12,31)))))</f>
        <v/>
      </c>
      <c r="AU87" s="140">
        <f>IF($C87="","",IF(PULL_FUND="N","",IFERROR(BDP($C87,NDEBITDA_FIELD),"")))</f>
        <v/>
      </c>
      <c r="AV87" s="148">
        <f>IF($C87="","",IF(PULL_FUND="N","",IFERROR(BDP($C87,EBINT_FIELD),"")))</f>
        <v/>
      </c>
      <c r="AW87" s="146">
        <f>IF($C87="","",IF(PULL_FUND="N","",IFERROR(BDP($C87,FCF_FIELD)/100,"")))</f>
        <v/>
      </c>
      <c r="AX87" s="126">
        <f>IF($C87="","",IF(N($U87)=0,"",IFERROR($AW87/$U87,"")))</f>
        <v/>
      </c>
      <c r="AY87" s="85">
        <f>IF($C87="","",TRIM(IF(ISNUMBER($AJ87)*(N($AJ87)&gt;$D$4)&gt;0,"payout high  ","")&amp;IF(ISNUMBER($AX87)*(N($AX87)&lt;$F$4)&gt;0,"FCF below dvd  ","")&amp;IF(ISNUMBER($AU87)*(N($AU87)&gt;$H$4)&gt;0,"leverage high","")))</f>
        <v/>
      </c>
      <c r="AZ87" s="86">
        <f>IF($C87="","",IF(HSI!$F$82="HKD","",HSI!$F$82))</f>
        <v/>
      </c>
    </row>
    <row r="88">
      <c r="B88" s="66" t="inlineStr">
        <is>
          <t>HSI</t>
        </is>
      </c>
      <c r="C88" s="8">
        <f>IF(HSI!$C$83="","",HSI!$C$83)</f>
        <v/>
      </c>
      <c r="D88" s="8">
        <f>IF($C88="","",HSI!$D$83)</f>
        <v/>
      </c>
      <c r="E88" s="8">
        <f>IF($C88="","",HSI!$E$83)</f>
        <v/>
      </c>
      <c r="F88" s="131">
        <f>IF($C88="","",SUMPRODUCT(('Dvd Calendar'!$E$847:$AR$847&gt;=DATE(YEAR_Y-5,1,1))*('Dvd Calendar'!$E$847:$AR$847&lt;=DATE(YEAR_Y-5,12,31))*'Dvd Calendar'!$E$850:$AR$850*(('Dvd Calendar'!$E$852:$AR$852=TYPE1)*(TYPE1&lt;&gt;"")+('Dvd Calendar'!$E$852:$AR$852=TYPE2)*(TYPE2&lt;&gt;"")+('Dvd Calendar'!$E$852:$AR$852=TYPE3)*(TYPE3&lt;&gt;"")+('Dvd Calendar'!$E$852:$AR$852=TYPE4)*(TYPE4&lt;&gt;"")+('Dvd Calendar'!$E$852:$AR$852=SPECIAL_LBL)*(INC_SPECIALS="Y"))))</f>
        <v/>
      </c>
      <c r="G88" s="132">
        <f>IF($C88="","",SUMPRODUCT(('Dvd Calendar'!$E$847:$AR$847&gt;=DATE(YEAR_Y-4,1,1))*('Dvd Calendar'!$E$847:$AR$847&lt;=DATE(YEAR_Y-4,12,31))*'Dvd Calendar'!$E$850:$AR$850*(('Dvd Calendar'!$E$852:$AR$852=TYPE1)*(TYPE1&lt;&gt;"")+('Dvd Calendar'!$E$852:$AR$852=TYPE2)*(TYPE2&lt;&gt;"")+('Dvd Calendar'!$E$852:$AR$852=TYPE3)*(TYPE3&lt;&gt;"")+('Dvd Calendar'!$E$852:$AR$852=TYPE4)*(TYPE4&lt;&gt;"")+('Dvd Calendar'!$E$852:$AR$852=SPECIAL_LBL)*(INC_SPECIALS="Y"))))</f>
        <v/>
      </c>
      <c r="H88" s="132">
        <f>IF($C88="","",SUMPRODUCT(('Dvd Calendar'!$E$847:$AR$847&gt;=DATE(YEAR_Y-3,1,1))*('Dvd Calendar'!$E$847:$AR$847&lt;=DATE(YEAR_Y-3,12,31))*'Dvd Calendar'!$E$850:$AR$850*(('Dvd Calendar'!$E$852:$AR$852=TYPE1)*(TYPE1&lt;&gt;"")+('Dvd Calendar'!$E$852:$AR$852=TYPE2)*(TYPE2&lt;&gt;"")+('Dvd Calendar'!$E$852:$AR$852=TYPE3)*(TYPE3&lt;&gt;"")+('Dvd Calendar'!$E$852:$AR$852=TYPE4)*(TYPE4&lt;&gt;"")+('Dvd Calendar'!$E$852:$AR$852=SPECIAL_LBL)*(INC_SPECIALS="Y"))))</f>
        <v/>
      </c>
      <c r="I88" s="132">
        <f>IF($C88="","",SUMPRODUCT(('Dvd Calendar'!$E$847:$AR$847&gt;=DATE(YEAR_Y-2,1,1))*('Dvd Calendar'!$E$847:$AR$847&lt;=DATE(YEAR_Y-2,12,31))*'Dvd Calendar'!$E$850:$AR$850*(('Dvd Calendar'!$E$852:$AR$852=TYPE1)*(TYPE1&lt;&gt;"")+('Dvd Calendar'!$E$852:$AR$852=TYPE2)*(TYPE2&lt;&gt;"")+('Dvd Calendar'!$E$852:$AR$852=TYPE3)*(TYPE3&lt;&gt;"")+('Dvd Calendar'!$E$852:$AR$852=TYPE4)*(TYPE4&lt;&gt;"")+('Dvd Calendar'!$E$852:$AR$852=SPECIAL_LBL)*(INC_SPECIALS="Y"))))</f>
        <v/>
      </c>
      <c r="J88" s="132">
        <f>IF($C88="","",SUMPRODUCT(('Dvd Calendar'!$E$847:$AR$847&gt;=DATE(YEAR_Y-1,1,1))*('Dvd Calendar'!$E$847:$AR$847&lt;=DATE(YEAR_Y-1,12,31))*'Dvd Calendar'!$E$850:$AR$850*(('Dvd Calendar'!$E$852:$AR$852=TYPE1)*(TYPE1&lt;&gt;"")+('Dvd Calendar'!$E$852:$AR$852=TYPE2)*(TYPE2&lt;&gt;"")+('Dvd Calendar'!$E$852:$AR$852=TYPE3)*(TYPE3&lt;&gt;"")+('Dvd Calendar'!$E$852:$AR$852=TYPE4)*(TYPE4&lt;&gt;"")+('Dvd Calendar'!$E$852:$AR$852=SPECIAL_LBL)*(INC_SPECIALS="Y"))))</f>
        <v/>
      </c>
      <c r="K88" s="133">
        <f>IF($C88="","",HSI!$J$83)</f>
        <v/>
      </c>
      <c r="L88" s="133">
        <f>IF($C88="","",HSI!$K$83)</f>
        <v/>
      </c>
      <c r="M88" s="124">
        <f>IF($C88="","",HSI!$J$83+HSI!$L$83)</f>
        <v/>
      </c>
      <c r="N88" s="134">
        <f>IF($C88="","",IF(PULL_FUND="N","",IFERROR(BDP($C88,BESTDPS_FIELD,FWD_OVERRIDE,TEXT(MOD(YEAR_Y,100),"00")&amp;"Y"),"")))</f>
        <v/>
      </c>
      <c r="O88" s="133">
        <f>IF($C88="","",AVERAGE(F88:J88))</f>
        <v/>
      </c>
      <c r="P88" s="135">
        <f>IF($C88="","",IF(PULL_FUND="N","",IF(COUNTIFS('Fund History'!$J$464:$J$468,"&gt;="&amp;DATE(YEAR_Y-5,1,1),'Fund History'!$J$464:$J$468,"&lt;="&amp;DATE(YEAR_Y-5,12,31))=0,"",IFERROR($F88*HSI!$G$83/SUMIFS('Fund History'!$K$464:$K$468,'Fund History'!$J$464:$J$468,"&gt;="&amp;DATE(YEAR_Y-5,1,1),'Fund History'!$J$464:$J$468,"&lt;="&amp;DATE(YEAR_Y-5,12,31)),""))))</f>
        <v/>
      </c>
      <c r="Q88" s="136">
        <f>IF($C88="","",IF(PULL_FUND="N","",IF(COUNTIFS('Fund History'!$J$464:$J$468,"&gt;="&amp;DATE(YEAR_Y-4,1,1),'Fund History'!$J$464:$J$468,"&lt;="&amp;DATE(YEAR_Y-4,12,31))=0,"",IFERROR($G88*HSI!$G$83/SUMIFS('Fund History'!$K$464:$K$468,'Fund History'!$J$464:$J$468,"&gt;="&amp;DATE(YEAR_Y-4,1,1),'Fund History'!$J$464:$J$468,"&lt;="&amp;DATE(YEAR_Y-4,12,31)),""))))</f>
        <v/>
      </c>
      <c r="R88" s="136">
        <f>IF($C88="","",IF(PULL_FUND="N","",IF(COUNTIFS('Fund History'!$J$464:$J$468,"&gt;="&amp;DATE(YEAR_Y-3,1,1),'Fund History'!$J$464:$J$468,"&lt;="&amp;DATE(YEAR_Y-3,12,31))=0,"",IFERROR($H88*HSI!$G$83/SUMIFS('Fund History'!$K$464:$K$468,'Fund History'!$J$464:$J$468,"&gt;="&amp;DATE(YEAR_Y-3,1,1),'Fund History'!$J$464:$J$468,"&lt;="&amp;DATE(YEAR_Y-3,12,31)),""))))</f>
        <v/>
      </c>
      <c r="S88" s="136">
        <f>IF($C88="","",IF(PULL_FUND="N","",IF(COUNTIFS('Fund History'!$J$464:$J$468,"&gt;="&amp;DATE(YEAR_Y-2,1,1),'Fund History'!$J$464:$J$468,"&lt;="&amp;DATE(YEAR_Y-2,12,31))=0,"",IFERROR($I88*HSI!$G$83/SUMIFS('Fund History'!$K$464:$K$468,'Fund History'!$J$464:$J$468,"&gt;="&amp;DATE(YEAR_Y-2,1,1),'Fund History'!$J$464:$J$468,"&lt;="&amp;DATE(YEAR_Y-2,12,31)),""))))</f>
        <v/>
      </c>
      <c r="T88" s="136">
        <f>IF($C88="","",IF(PULL_FUND="N","",IF(COUNTIFS('Fund History'!$J$464:$J$468,"&gt;="&amp;DATE(YEAR_Y-1,1,1),'Fund History'!$J$464:$J$468,"&lt;="&amp;DATE(YEAR_Y-1,12,31))=0,"",IFERROR($J88*HSI!$G$83/SUMIFS('Fund History'!$K$464:$K$468,'Fund History'!$J$464:$J$468,"&gt;="&amp;DATE(YEAR_Y-1,1,1),'Fund History'!$J$464:$J$468,"&lt;="&amp;DATE(YEAR_Y-1,12,31)),""))))</f>
        <v/>
      </c>
      <c r="U88" s="137">
        <f>IF($C88="","",IF(ISNUMBER(HSI!$I$83),HSI!$I$83/100,""))</f>
        <v/>
      </c>
      <c r="V88" s="138">
        <f>IF($C88="","",IF(ISNUMBER(HSI!$X$83),IFERROR($M88*HSI!$G$83/HSI!$X$83,""),""))</f>
        <v/>
      </c>
      <c r="W88" s="137">
        <f>IF($C88="","",IF(ISNUMBER($N88),IFERROR($N88*HSI!$G$83/HSI!$X$83,""),""))</f>
        <v/>
      </c>
      <c r="X88" s="139">
        <f>IF($C88="","",IF(PULL_FUND="N","",IFERROR(BDP($C88,EPS_FIELD,YR_OVERRIDE,TEXT(YEAR_Y-5,"0")),"")))</f>
        <v/>
      </c>
      <c r="Y88" s="140">
        <f>IF($C88="","",IF(PULL_FUND="N","",IFERROR(BDP($C88,EPS_FIELD,YR_OVERRIDE,TEXT(YEAR_Y-4,"0")),"")))</f>
        <v/>
      </c>
      <c r="Z88" s="140">
        <f>IF($C88="","",IF(PULL_FUND="N","",IFERROR(BDP($C88,EPS_FIELD,YR_OVERRIDE,TEXT(YEAR_Y-3,"0")),"")))</f>
        <v/>
      </c>
      <c r="AA88" s="140">
        <f>IF($C88="","",IF(PULL_FUND="N","",IFERROR(BDP($C88,EPS_FIELD,YR_OVERRIDE,TEXT(YEAR_Y-2,"0")),"")))</f>
        <v/>
      </c>
      <c r="AB88" s="140">
        <f>IF($C88="","",IF(PULL_FUND="N","",IFERROR(BDP($C88,EPS_FIELD,YR_OVERRIDE,TEXT(YEAR_Y-1,"0")),"")))</f>
        <v/>
      </c>
      <c r="AC88" s="126">
        <f>IF($C88="","",IFERROR(AVERAGE(X88:AB88),""))</f>
        <v/>
      </c>
      <c r="AD88" s="140">
        <f>IF($C88="","",IF(PULL_FUND="N","",IFERROR(BDP($C88,BESTEPS_FIELD,FWD_OVERRIDE,TEXT(MOD(YEAR_Y,100),"00")&amp;"Y"),"")))</f>
        <v/>
      </c>
      <c r="AE88" s="141">
        <f>IF($C88="","",IF(PULL_FUND="N","",IFERROR(BDP($C88,PAYOUT_FIELD,YR_OVERRIDE,TEXT(YEAR_Y-5,"0"))/100,"")))</f>
        <v/>
      </c>
      <c r="AF88" s="142">
        <f>IF($C88="","",IF(PULL_FUND="N","",IFERROR(BDP($C88,PAYOUT_FIELD,YR_OVERRIDE,TEXT(YEAR_Y-4,"0"))/100,"")))</f>
        <v/>
      </c>
      <c r="AG88" s="142">
        <f>IF($C88="","",IF(PULL_FUND="N","",IFERROR(BDP($C88,PAYOUT_FIELD,YR_OVERRIDE,TEXT(YEAR_Y-3,"0"))/100,"")))</f>
        <v/>
      </c>
      <c r="AH88" s="142">
        <f>IF($C88="","",IF(PULL_FUND="N","",IFERROR(BDP($C88,PAYOUT_FIELD,YR_OVERRIDE,TEXT(YEAR_Y-2,"0"))/100,"")))</f>
        <v/>
      </c>
      <c r="AI88" s="142">
        <f>IF($C88="","",IF(PULL_FUND="N","",IFERROR(BDP($C88,PAYOUT_FIELD,YR_OVERRIDE,TEXT(YEAR_Y-1,"0"))/100,"")))</f>
        <v/>
      </c>
      <c r="AJ88" s="143">
        <f>IF($C88="","",IFERROR(AVERAGE(AE88:AI88),""))</f>
        <v/>
      </c>
      <c r="AK88" s="144">
        <f>IF($C88="","",IF(ISNUMBER($AD88)*ISNUMBER($N88)*($AD88&lt;&gt;0)=0,"",$N88/$AD88))</f>
        <v/>
      </c>
      <c r="AL88" s="143">
        <f>IF($C88="","",IF(ISNUMBER($AD88)*($AD88&lt;&gt;0)=0,"",$M88/$AD88))</f>
        <v/>
      </c>
      <c r="AM88" s="37">
        <f>IF($C88="","",IF(ISNUMBER($AE88)*ISNUMBER($AI88)=0,"",IF($AI88&gt;$AE88+0.05,"rising",IF($AI88&lt;$AE88-0.05,"falling","stable"))))</f>
        <v/>
      </c>
      <c r="AN88" s="145">
        <f>IF($C88="","",IF(PULL_FUND="N","",IF(COUNTIFS('Fund History'!$G$464:$G$468,"&gt;="&amp;DATE(YEAR_Y-4,1,1),'Fund History'!$G$464:$G$468,"&lt;="&amp;DATE(YEAR_Y-4,12,31))=0,"",SUMIFS('Fund History'!$H$464:$H$468,'Fund History'!$G$464:$G$468,"&gt;="&amp;DATE(YEAR_Y-4,1,1),'Fund History'!$G$464:$G$468,"&lt;="&amp;DATE(YEAR_Y-4,12,31))/100)))</f>
        <v/>
      </c>
      <c r="AO88" s="146">
        <f>IF($C88="","",IF(PULL_FUND="N","",IF(COUNTIFS('Fund History'!$G$464:$G$468,"&gt;="&amp;DATE(YEAR_Y-3,1,1),'Fund History'!$G$464:$G$468,"&lt;="&amp;DATE(YEAR_Y-3,12,31))=0,"",SUMIFS('Fund History'!$H$464:$H$468,'Fund History'!$G$464:$G$468,"&gt;="&amp;DATE(YEAR_Y-3,1,1),'Fund History'!$G$464:$G$468,"&lt;="&amp;DATE(YEAR_Y-3,12,31))/100)))</f>
        <v/>
      </c>
      <c r="AP88" s="146">
        <f>IF($C88="","",IF(PULL_FUND="N","",IF(COUNTIFS('Fund History'!$G$464:$G$468,"&gt;="&amp;DATE(YEAR_Y-2,1,1),'Fund History'!$G$464:$G$468,"&lt;="&amp;DATE(YEAR_Y-2,12,31))=0,"",SUMIFS('Fund History'!$H$464:$H$468,'Fund History'!$G$464:$G$468,"&gt;="&amp;DATE(YEAR_Y-2,1,1),'Fund History'!$G$464:$G$468,"&lt;="&amp;DATE(YEAR_Y-2,12,31))/100)))</f>
        <v/>
      </c>
      <c r="AQ88" s="146">
        <f>IF($C88="","",IF(PULL_FUND="N","",IF(COUNTIFS('Fund History'!$G$464:$G$468,"&gt;="&amp;DATE(YEAR_Y-1,1,1),'Fund History'!$G$464:$G$468,"&lt;="&amp;DATE(YEAR_Y-1,12,31))=0,"",SUMIFS('Fund History'!$H$464:$H$468,'Fund History'!$G$464:$G$468,"&gt;="&amp;DATE(YEAR_Y-1,1,1),'Fund History'!$G$464:$G$468,"&lt;="&amp;DATE(YEAR_Y-1,12,31))/100)))</f>
        <v/>
      </c>
      <c r="AR88" s="147">
        <f>IF($C88="","",IF(N($AQ88)+N(HSI!$I$83)=0,"",N($AQ88)+N(HSI!$I$83)/100))</f>
        <v/>
      </c>
      <c r="AS88" s="139">
        <f>IF($C88="","",IF(PULL_FUND="N","",IF(COUNTIFS('Fund History'!$D$464:$D$468,"&gt;="&amp;DATE(YEAR_Y-2,1,1),'Fund History'!$D$464:$D$468,"&lt;="&amp;DATE(YEAR_Y-2,12,31))=0,"",SUMIFS('Fund History'!$E$464:$E$468,'Fund History'!$D$464:$D$468,"&gt;="&amp;DATE(YEAR_Y-2,1,1),'Fund History'!$D$464:$D$468,"&lt;="&amp;DATE(YEAR_Y-2,12,31)))))</f>
        <v/>
      </c>
      <c r="AT88" s="140">
        <f>IF($C88="","",IF(PULL_FUND="N","",IF(COUNTIFS('Fund History'!$D$464:$D$468,"&gt;="&amp;DATE(YEAR_Y-1,1,1),'Fund History'!$D$464:$D$468,"&lt;="&amp;DATE(YEAR_Y-1,12,31))=0,"",SUMIFS('Fund History'!$E$464:$E$468,'Fund History'!$D$464:$D$468,"&gt;="&amp;DATE(YEAR_Y-1,1,1),'Fund History'!$D$464:$D$468,"&lt;="&amp;DATE(YEAR_Y-1,12,31)))))</f>
        <v/>
      </c>
      <c r="AU88" s="140">
        <f>IF($C88="","",IF(PULL_FUND="N","",IFERROR(BDP($C88,NDEBITDA_FIELD),"")))</f>
        <v/>
      </c>
      <c r="AV88" s="148">
        <f>IF($C88="","",IF(PULL_FUND="N","",IFERROR(BDP($C88,EBINT_FIELD),"")))</f>
        <v/>
      </c>
      <c r="AW88" s="146">
        <f>IF($C88="","",IF(PULL_FUND="N","",IFERROR(BDP($C88,FCF_FIELD)/100,"")))</f>
        <v/>
      </c>
      <c r="AX88" s="126">
        <f>IF($C88="","",IF(N($U88)=0,"",IFERROR($AW88/$U88,"")))</f>
        <v/>
      </c>
      <c r="AY88" s="85">
        <f>IF($C88="","",TRIM(IF(ISNUMBER($AJ88)*(N($AJ88)&gt;$D$4)&gt;0,"payout high  ","")&amp;IF(ISNUMBER($AX88)*(N($AX88)&lt;$F$4)&gt;0,"FCF below dvd  ","")&amp;IF(ISNUMBER($AU88)*(N($AU88)&gt;$H$4)&gt;0,"leverage high","")))</f>
        <v/>
      </c>
      <c r="AZ88" s="86">
        <f>IF($C88="","",IF(HSI!$F$83="HKD","",HSI!$F$83))</f>
        <v/>
      </c>
    </row>
    <row r="89">
      <c r="B89" s="66" t="inlineStr">
        <is>
          <t>HSI</t>
        </is>
      </c>
      <c r="C89" s="8">
        <f>IF(HSI!$C$84="","",HSI!$C$84)</f>
        <v/>
      </c>
      <c r="D89" s="8">
        <f>IF($C89="","",HSI!$D$84)</f>
        <v/>
      </c>
      <c r="E89" s="8">
        <f>IF($C89="","",HSI!$E$84)</f>
        <v/>
      </c>
      <c r="F89" s="131">
        <f>IF($C89="","",SUMPRODUCT(('Dvd Calendar'!$E$858:$AR$858&gt;=DATE(YEAR_Y-5,1,1))*('Dvd Calendar'!$E$858:$AR$858&lt;=DATE(YEAR_Y-5,12,31))*'Dvd Calendar'!$E$861:$AR$861*(('Dvd Calendar'!$E$863:$AR$863=TYPE1)*(TYPE1&lt;&gt;"")+('Dvd Calendar'!$E$863:$AR$863=TYPE2)*(TYPE2&lt;&gt;"")+('Dvd Calendar'!$E$863:$AR$863=TYPE3)*(TYPE3&lt;&gt;"")+('Dvd Calendar'!$E$863:$AR$863=TYPE4)*(TYPE4&lt;&gt;"")+('Dvd Calendar'!$E$863:$AR$863=SPECIAL_LBL)*(INC_SPECIALS="Y"))))</f>
        <v/>
      </c>
      <c r="G89" s="132">
        <f>IF($C89="","",SUMPRODUCT(('Dvd Calendar'!$E$858:$AR$858&gt;=DATE(YEAR_Y-4,1,1))*('Dvd Calendar'!$E$858:$AR$858&lt;=DATE(YEAR_Y-4,12,31))*'Dvd Calendar'!$E$861:$AR$861*(('Dvd Calendar'!$E$863:$AR$863=TYPE1)*(TYPE1&lt;&gt;"")+('Dvd Calendar'!$E$863:$AR$863=TYPE2)*(TYPE2&lt;&gt;"")+('Dvd Calendar'!$E$863:$AR$863=TYPE3)*(TYPE3&lt;&gt;"")+('Dvd Calendar'!$E$863:$AR$863=TYPE4)*(TYPE4&lt;&gt;"")+('Dvd Calendar'!$E$863:$AR$863=SPECIAL_LBL)*(INC_SPECIALS="Y"))))</f>
        <v/>
      </c>
      <c r="H89" s="132">
        <f>IF($C89="","",SUMPRODUCT(('Dvd Calendar'!$E$858:$AR$858&gt;=DATE(YEAR_Y-3,1,1))*('Dvd Calendar'!$E$858:$AR$858&lt;=DATE(YEAR_Y-3,12,31))*'Dvd Calendar'!$E$861:$AR$861*(('Dvd Calendar'!$E$863:$AR$863=TYPE1)*(TYPE1&lt;&gt;"")+('Dvd Calendar'!$E$863:$AR$863=TYPE2)*(TYPE2&lt;&gt;"")+('Dvd Calendar'!$E$863:$AR$863=TYPE3)*(TYPE3&lt;&gt;"")+('Dvd Calendar'!$E$863:$AR$863=TYPE4)*(TYPE4&lt;&gt;"")+('Dvd Calendar'!$E$863:$AR$863=SPECIAL_LBL)*(INC_SPECIALS="Y"))))</f>
        <v/>
      </c>
      <c r="I89" s="132">
        <f>IF($C89="","",SUMPRODUCT(('Dvd Calendar'!$E$858:$AR$858&gt;=DATE(YEAR_Y-2,1,1))*('Dvd Calendar'!$E$858:$AR$858&lt;=DATE(YEAR_Y-2,12,31))*'Dvd Calendar'!$E$861:$AR$861*(('Dvd Calendar'!$E$863:$AR$863=TYPE1)*(TYPE1&lt;&gt;"")+('Dvd Calendar'!$E$863:$AR$863=TYPE2)*(TYPE2&lt;&gt;"")+('Dvd Calendar'!$E$863:$AR$863=TYPE3)*(TYPE3&lt;&gt;"")+('Dvd Calendar'!$E$863:$AR$863=TYPE4)*(TYPE4&lt;&gt;"")+('Dvd Calendar'!$E$863:$AR$863=SPECIAL_LBL)*(INC_SPECIALS="Y"))))</f>
        <v/>
      </c>
      <c r="J89" s="132">
        <f>IF($C89="","",SUMPRODUCT(('Dvd Calendar'!$E$858:$AR$858&gt;=DATE(YEAR_Y-1,1,1))*('Dvd Calendar'!$E$858:$AR$858&lt;=DATE(YEAR_Y-1,12,31))*'Dvd Calendar'!$E$861:$AR$861*(('Dvd Calendar'!$E$863:$AR$863=TYPE1)*(TYPE1&lt;&gt;"")+('Dvd Calendar'!$E$863:$AR$863=TYPE2)*(TYPE2&lt;&gt;"")+('Dvd Calendar'!$E$863:$AR$863=TYPE3)*(TYPE3&lt;&gt;"")+('Dvd Calendar'!$E$863:$AR$863=TYPE4)*(TYPE4&lt;&gt;"")+('Dvd Calendar'!$E$863:$AR$863=SPECIAL_LBL)*(INC_SPECIALS="Y"))))</f>
        <v/>
      </c>
      <c r="K89" s="133">
        <f>IF($C89="","",HSI!$J$84)</f>
        <v/>
      </c>
      <c r="L89" s="133">
        <f>IF($C89="","",HSI!$K$84)</f>
        <v/>
      </c>
      <c r="M89" s="124">
        <f>IF($C89="","",HSI!$J$84+HSI!$L$84)</f>
        <v/>
      </c>
      <c r="N89" s="134">
        <f>IF($C89="","",IF(PULL_FUND="N","",IFERROR(BDP($C89,BESTDPS_FIELD,FWD_OVERRIDE,TEXT(MOD(YEAR_Y,100),"00")&amp;"Y"),"")))</f>
        <v/>
      </c>
      <c r="O89" s="133">
        <f>IF($C89="","",AVERAGE(F89:J89))</f>
        <v/>
      </c>
      <c r="P89" s="135">
        <f>IF($C89="","",IF(PULL_FUND="N","",IF(COUNTIFS('Fund History'!$J$470:$J$474,"&gt;="&amp;DATE(YEAR_Y-5,1,1),'Fund History'!$J$470:$J$474,"&lt;="&amp;DATE(YEAR_Y-5,12,31))=0,"",IFERROR($F89*HSI!$G$84/SUMIFS('Fund History'!$K$470:$K$474,'Fund History'!$J$470:$J$474,"&gt;="&amp;DATE(YEAR_Y-5,1,1),'Fund History'!$J$470:$J$474,"&lt;="&amp;DATE(YEAR_Y-5,12,31)),""))))</f>
        <v/>
      </c>
      <c r="Q89" s="136">
        <f>IF($C89="","",IF(PULL_FUND="N","",IF(COUNTIFS('Fund History'!$J$470:$J$474,"&gt;="&amp;DATE(YEAR_Y-4,1,1),'Fund History'!$J$470:$J$474,"&lt;="&amp;DATE(YEAR_Y-4,12,31))=0,"",IFERROR($G89*HSI!$G$84/SUMIFS('Fund History'!$K$470:$K$474,'Fund History'!$J$470:$J$474,"&gt;="&amp;DATE(YEAR_Y-4,1,1),'Fund History'!$J$470:$J$474,"&lt;="&amp;DATE(YEAR_Y-4,12,31)),""))))</f>
        <v/>
      </c>
      <c r="R89" s="136">
        <f>IF($C89="","",IF(PULL_FUND="N","",IF(COUNTIFS('Fund History'!$J$470:$J$474,"&gt;="&amp;DATE(YEAR_Y-3,1,1),'Fund History'!$J$470:$J$474,"&lt;="&amp;DATE(YEAR_Y-3,12,31))=0,"",IFERROR($H89*HSI!$G$84/SUMIFS('Fund History'!$K$470:$K$474,'Fund History'!$J$470:$J$474,"&gt;="&amp;DATE(YEAR_Y-3,1,1),'Fund History'!$J$470:$J$474,"&lt;="&amp;DATE(YEAR_Y-3,12,31)),""))))</f>
        <v/>
      </c>
      <c r="S89" s="136">
        <f>IF($C89="","",IF(PULL_FUND="N","",IF(COUNTIFS('Fund History'!$J$470:$J$474,"&gt;="&amp;DATE(YEAR_Y-2,1,1),'Fund History'!$J$470:$J$474,"&lt;="&amp;DATE(YEAR_Y-2,12,31))=0,"",IFERROR($I89*HSI!$G$84/SUMIFS('Fund History'!$K$470:$K$474,'Fund History'!$J$470:$J$474,"&gt;="&amp;DATE(YEAR_Y-2,1,1),'Fund History'!$J$470:$J$474,"&lt;="&amp;DATE(YEAR_Y-2,12,31)),""))))</f>
        <v/>
      </c>
      <c r="T89" s="136">
        <f>IF($C89="","",IF(PULL_FUND="N","",IF(COUNTIFS('Fund History'!$J$470:$J$474,"&gt;="&amp;DATE(YEAR_Y-1,1,1),'Fund History'!$J$470:$J$474,"&lt;="&amp;DATE(YEAR_Y-1,12,31))=0,"",IFERROR($J89*HSI!$G$84/SUMIFS('Fund History'!$K$470:$K$474,'Fund History'!$J$470:$J$474,"&gt;="&amp;DATE(YEAR_Y-1,1,1),'Fund History'!$J$470:$J$474,"&lt;="&amp;DATE(YEAR_Y-1,12,31)),""))))</f>
        <v/>
      </c>
      <c r="U89" s="137">
        <f>IF($C89="","",IF(ISNUMBER(HSI!$I$84),HSI!$I$84/100,""))</f>
        <v/>
      </c>
      <c r="V89" s="138">
        <f>IF($C89="","",IF(ISNUMBER(HSI!$X$84),IFERROR($M89*HSI!$G$84/HSI!$X$84,""),""))</f>
        <v/>
      </c>
      <c r="W89" s="137">
        <f>IF($C89="","",IF(ISNUMBER($N89),IFERROR($N89*HSI!$G$84/HSI!$X$84,""),""))</f>
        <v/>
      </c>
      <c r="X89" s="139">
        <f>IF($C89="","",IF(PULL_FUND="N","",IFERROR(BDP($C89,EPS_FIELD,YR_OVERRIDE,TEXT(YEAR_Y-5,"0")),"")))</f>
        <v/>
      </c>
      <c r="Y89" s="140">
        <f>IF($C89="","",IF(PULL_FUND="N","",IFERROR(BDP($C89,EPS_FIELD,YR_OVERRIDE,TEXT(YEAR_Y-4,"0")),"")))</f>
        <v/>
      </c>
      <c r="Z89" s="140">
        <f>IF($C89="","",IF(PULL_FUND="N","",IFERROR(BDP($C89,EPS_FIELD,YR_OVERRIDE,TEXT(YEAR_Y-3,"0")),"")))</f>
        <v/>
      </c>
      <c r="AA89" s="140">
        <f>IF($C89="","",IF(PULL_FUND="N","",IFERROR(BDP($C89,EPS_FIELD,YR_OVERRIDE,TEXT(YEAR_Y-2,"0")),"")))</f>
        <v/>
      </c>
      <c r="AB89" s="140">
        <f>IF($C89="","",IF(PULL_FUND="N","",IFERROR(BDP($C89,EPS_FIELD,YR_OVERRIDE,TEXT(YEAR_Y-1,"0")),"")))</f>
        <v/>
      </c>
      <c r="AC89" s="126">
        <f>IF($C89="","",IFERROR(AVERAGE(X89:AB89),""))</f>
        <v/>
      </c>
      <c r="AD89" s="140">
        <f>IF($C89="","",IF(PULL_FUND="N","",IFERROR(BDP($C89,BESTEPS_FIELD,FWD_OVERRIDE,TEXT(MOD(YEAR_Y,100),"00")&amp;"Y"),"")))</f>
        <v/>
      </c>
      <c r="AE89" s="141">
        <f>IF($C89="","",IF(PULL_FUND="N","",IFERROR(BDP($C89,PAYOUT_FIELD,YR_OVERRIDE,TEXT(YEAR_Y-5,"0"))/100,"")))</f>
        <v/>
      </c>
      <c r="AF89" s="142">
        <f>IF($C89="","",IF(PULL_FUND="N","",IFERROR(BDP($C89,PAYOUT_FIELD,YR_OVERRIDE,TEXT(YEAR_Y-4,"0"))/100,"")))</f>
        <v/>
      </c>
      <c r="AG89" s="142">
        <f>IF($C89="","",IF(PULL_FUND="N","",IFERROR(BDP($C89,PAYOUT_FIELD,YR_OVERRIDE,TEXT(YEAR_Y-3,"0"))/100,"")))</f>
        <v/>
      </c>
      <c r="AH89" s="142">
        <f>IF($C89="","",IF(PULL_FUND="N","",IFERROR(BDP($C89,PAYOUT_FIELD,YR_OVERRIDE,TEXT(YEAR_Y-2,"0"))/100,"")))</f>
        <v/>
      </c>
      <c r="AI89" s="142">
        <f>IF($C89="","",IF(PULL_FUND="N","",IFERROR(BDP($C89,PAYOUT_FIELD,YR_OVERRIDE,TEXT(YEAR_Y-1,"0"))/100,"")))</f>
        <v/>
      </c>
      <c r="AJ89" s="143">
        <f>IF($C89="","",IFERROR(AVERAGE(AE89:AI89),""))</f>
        <v/>
      </c>
      <c r="AK89" s="144">
        <f>IF($C89="","",IF(ISNUMBER($AD89)*ISNUMBER($N89)*($AD89&lt;&gt;0)=0,"",$N89/$AD89))</f>
        <v/>
      </c>
      <c r="AL89" s="143">
        <f>IF($C89="","",IF(ISNUMBER($AD89)*($AD89&lt;&gt;0)=0,"",$M89/$AD89))</f>
        <v/>
      </c>
      <c r="AM89" s="37">
        <f>IF($C89="","",IF(ISNUMBER($AE89)*ISNUMBER($AI89)=0,"",IF($AI89&gt;$AE89+0.05,"rising",IF($AI89&lt;$AE89-0.05,"falling","stable"))))</f>
        <v/>
      </c>
      <c r="AN89" s="145">
        <f>IF($C89="","",IF(PULL_FUND="N","",IF(COUNTIFS('Fund History'!$G$470:$G$474,"&gt;="&amp;DATE(YEAR_Y-4,1,1),'Fund History'!$G$470:$G$474,"&lt;="&amp;DATE(YEAR_Y-4,12,31))=0,"",SUMIFS('Fund History'!$H$470:$H$474,'Fund History'!$G$470:$G$474,"&gt;="&amp;DATE(YEAR_Y-4,1,1),'Fund History'!$G$470:$G$474,"&lt;="&amp;DATE(YEAR_Y-4,12,31))/100)))</f>
        <v/>
      </c>
      <c r="AO89" s="146">
        <f>IF($C89="","",IF(PULL_FUND="N","",IF(COUNTIFS('Fund History'!$G$470:$G$474,"&gt;="&amp;DATE(YEAR_Y-3,1,1),'Fund History'!$G$470:$G$474,"&lt;="&amp;DATE(YEAR_Y-3,12,31))=0,"",SUMIFS('Fund History'!$H$470:$H$474,'Fund History'!$G$470:$G$474,"&gt;="&amp;DATE(YEAR_Y-3,1,1),'Fund History'!$G$470:$G$474,"&lt;="&amp;DATE(YEAR_Y-3,12,31))/100)))</f>
        <v/>
      </c>
      <c r="AP89" s="146">
        <f>IF($C89="","",IF(PULL_FUND="N","",IF(COUNTIFS('Fund History'!$G$470:$G$474,"&gt;="&amp;DATE(YEAR_Y-2,1,1),'Fund History'!$G$470:$G$474,"&lt;="&amp;DATE(YEAR_Y-2,12,31))=0,"",SUMIFS('Fund History'!$H$470:$H$474,'Fund History'!$G$470:$G$474,"&gt;="&amp;DATE(YEAR_Y-2,1,1),'Fund History'!$G$470:$G$474,"&lt;="&amp;DATE(YEAR_Y-2,12,31))/100)))</f>
        <v/>
      </c>
      <c r="AQ89" s="146">
        <f>IF($C89="","",IF(PULL_FUND="N","",IF(COUNTIFS('Fund History'!$G$470:$G$474,"&gt;="&amp;DATE(YEAR_Y-1,1,1),'Fund History'!$G$470:$G$474,"&lt;="&amp;DATE(YEAR_Y-1,12,31))=0,"",SUMIFS('Fund History'!$H$470:$H$474,'Fund History'!$G$470:$G$474,"&gt;="&amp;DATE(YEAR_Y-1,1,1),'Fund History'!$G$470:$G$474,"&lt;="&amp;DATE(YEAR_Y-1,12,31))/100)))</f>
        <v/>
      </c>
      <c r="AR89" s="147">
        <f>IF($C89="","",IF(N($AQ89)+N(HSI!$I$84)=0,"",N($AQ89)+N(HSI!$I$84)/100))</f>
        <v/>
      </c>
      <c r="AS89" s="139">
        <f>IF($C89="","",IF(PULL_FUND="N","",IF(COUNTIFS('Fund History'!$D$470:$D$474,"&gt;="&amp;DATE(YEAR_Y-2,1,1),'Fund History'!$D$470:$D$474,"&lt;="&amp;DATE(YEAR_Y-2,12,31))=0,"",SUMIFS('Fund History'!$E$470:$E$474,'Fund History'!$D$470:$D$474,"&gt;="&amp;DATE(YEAR_Y-2,1,1),'Fund History'!$D$470:$D$474,"&lt;="&amp;DATE(YEAR_Y-2,12,31)))))</f>
        <v/>
      </c>
      <c r="AT89" s="140">
        <f>IF($C89="","",IF(PULL_FUND="N","",IF(COUNTIFS('Fund History'!$D$470:$D$474,"&gt;="&amp;DATE(YEAR_Y-1,1,1),'Fund History'!$D$470:$D$474,"&lt;="&amp;DATE(YEAR_Y-1,12,31))=0,"",SUMIFS('Fund History'!$E$470:$E$474,'Fund History'!$D$470:$D$474,"&gt;="&amp;DATE(YEAR_Y-1,1,1),'Fund History'!$D$470:$D$474,"&lt;="&amp;DATE(YEAR_Y-1,12,31)))))</f>
        <v/>
      </c>
      <c r="AU89" s="140">
        <f>IF($C89="","",IF(PULL_FUND="N","",IFERROR(BDP($C89,NDEBITDA_FIELD),"")))</f>
        <v/>
      </c>
      <c r="AV89" s="148">
        <f>IF($C89="","",IF(PULL_FUND="N","",IFERROR(BDP($C89,EBINT_FIELD),"")))</f>
        <v/>
      </c>
      <c r="AW89" s="146">
        <f>IF($C89="","",IF(PULL_FUND="N","",IFERROR(BDP($C89,FCF_FIELD)/100,"")))</f>
        <v/>
      </c>
      <c r="AX89" s="126">
        <f>IF($C89="","",IF(N($U89)=0,"",IFERROR($AW89/$U89,"")))</f>
        <v/>
      </c>
      <c r="AY89" s="85">
        <f>IF($C89="","",TRIM(IF(ISNUMBER($AJ89)*(N($AJ89)&gt;$D$4)&gt;0,"payout high  ","")&amp;IF(ISNUMBER($AX89)*(N($AX89)&lt;$F$4)&gt;0,"FCF below dvd  ","")&amp;IF(ISNUMBER($AU89)*(N($AU89)&gt;$H$4)&gt;0,"leverage high","")))</f>
        <v/>
      </c>
      <c r="AZ89" s="86">
        <f>IF($C89="","",IF(HSI!$F$84="HKD","",HSI!$F$84))</f>
        <v/>
      </c>
    </row>
    <row r="90">
      <c r="B90" s="66" t="inlineStr">
        <is>
          <t>HSI</t>
        </is>
      </c>
      <c r="C90" s="8">
        <f>IF(HSI!$C$85="","",HSI!$C$85)</f>
        <v/>
      </c>
      <c r="D90" s="8">
        <f>IF($C90="","",HSI!$D$85)</f>
        <v/>
      </c>
      <c r="E90" s="8">
        <f>IF($C90="","",HSI!$E$85)</f>
        <v/>
      </c>
      <c r="F90" s="131">
        <f>IF($C90="","",SUMPRODUCT(('Dvd Calendar'!$E$869:$AR$869&gt;=DATE(YEAR_Y-5,1,1))*('Dvd Calendar'!$E$869:$AR$869&lt;=DATE(YEAR_Y-5,12,31))*'Dvd Calendar'!$E$872:$AR$872*(('Dvd Calendar'!$E$874:$AR$874=TYPE1)*(TYPE1&lt;&gt;"")+('Dvd Calendar'!$E$874:$AR$874=TYPE2)*(TYPE2&lt;&gt;"")+('Dvd Calendar'!$E$874:$AR$874=TYPE3)*(TYPE3&lt;&gt;"")+('Dvd Calendar'!$E$874:$AR$874=TYPE4)*(TYPE4&lt;&gt;"")+('Dvd Calendar'!$E$874:$AR$874=SPECIAL_LBL)*(INC_SPECIALS="Y"))))</f>
        <v/>
      </c>
      <c r="G90" s="132">
        <f>IF($C90="","",SUMPRODUCT(('Dvd Calendar'!$E$869:$AR$869&gt;=DATE(YEAR_Y-4,1,1))*('Dvd Calendar'!$E$869:$AR$869&lt;=DATE(YEAR_Y-4,12,31))*'Dvd Calendar'!$E$872:$AR$872*(('Dvd Calendar'!$E$874:$AR$874=TYPE1)*(TYPE1&lt;&gt;"")+('Dvd Calendar'!$E$874:$AR$874=TYPE2)*(TYPE2&lt;&gt;"")+('Dvd Calendar'!$E$874:$AR$874=TYPE3)*(TYPE3&lt;&gt;"")+('Dvd Calendar'!$E$874:$AR$874=TYPE4)*(TYPE4&lt;&gt;"")+('Dvd Calendar'!$E$874:$AR$874=SPECIAL_LBL)*(INC_SPECIALS="Y"))))</f>
        <v/>
      </c>
      <c r="H90" s="132">
        <f>IF($C90="","",SUMPRODUCT(('Dvd Calendar'!$E$869:$AR$869&gt;=DATE(YEAR_Y-3,1,1))*('Dvd Calendar'!$E$869:$AR$869&lt;=DATE(YEAR_Y-3,12,31))*'Dvd Calendar'!$E$872:$AR$872*(('Dvd Calendar'!$E$874:$AR$874=TYPE1)*(TYPE1&lt;&gt;"")+('Dvd Calendar'!$E$874:$AR$874=TYPE2)*(TYPE2&lt;&gt;"")+('Dvd Calendar'!$E$874:$AR$874=TYPE3)*(TYPE3&lt;&gt;"")+('Dvd Calendar'!$E$874:$AR$874=TYPE4)*(TYPE4&lt;&gt;"")+('Dvd Calendar'!$E$874:$AR$874=SPECIAL_LBL)*(INC_SPECIALS="Y"))))</f>
        <v/>
      </c>
      <c r="I90" s="132">
        <f>IF($C90="","",SUMPRODUCT(('Dvd Calendar'!$E$869:$AR$869&gt;=DATE(YEAR_Y-2,1,1))*('Dvd Calendar'!$E$869:$AR$869&lt;=DATE(YEAR_Y-2,12,31))*'Dvd Calendar'!$E$872:$AR$872*(('Dvd Calendar'!$E$874:$AR$874=TYPE1)*(TYPE1&lt;&gt;"")+('Dvd Calendar'!$E$874:$AR$874=TYPE2)*(TYPE2&lt;&gt;"")+('Dvd Calendar'!$E$874:$AR$874=TYPE3)*(TYPE3&lt;&gt;"")+('Dvd Calendar'!$E$874:$AR$874=TYPE4)*(TYPE4&lt;&gt;"")+('Dvd Calendar'!$E$874:$AR$874=SPECIAL_LBL)*(INC_SPECIALS="Y"))))</f>
        <v/>
      </c>
      <c r="J90" s="132">
        <f>IF($C90="","",SUMPRODUCT(('Dvd Calendar'!$E$869:$AR$869&gt;=DATE(YEAR_Y-1,1,1))*('Dvd Calendar'!$E$869:$AR$869&lt;=DATE(YEAR_Y-1,12,31))*'Dvd Calendar'!$E$872:$AR$872*(('Dvd Calendar'!$E$874:$AR$874=TYPE1)*(TYPE1&lt;&gt;"")+('Dvd Calendar'!$E$874:$AR$874=TYPE2)*(TYPE2&lt;&gt;"")+('Dvd Calendar'!$E$874:$AR$874=TYPE3)*(TYPE3&lt;&gt;"")+('Dvd Calendar'!$E$874:$AR$874=TYPE4)*(TYPE4&lt;&gt;"")+('Dvd Calendar'!$E$874:$AR$874=SPECIAL_LBL)*(INC_SPECIALS="Y"))))</f>
        <v/>
      </c>
      <c r="K90" s="133">
        <f>IF($C90="","",HSI!$J$85)</f>
        <v/>
      </c>
      <c r="L90" s="133">
        <f>IF($C90="","",HSI!$K$85)</f>
        <v/>
      </c>
      <c r="M90" s="124">
        <f>IF($C90="","",HSI!$J$85+HSI!$L$85)</f>
        <v/>
      </c>
      <c r="N90" s="134">
        <f>IF($C90="","",IF(PULL_FUND="N","",IFERROR(BDP($C90,BESTDPS_FIELD,FWD_OVERRIDE,TEXT(MOD(YEAR_Y,100),"00")&amp;"Y"),"")))</f>
        <v/>
      </c>
      <c r="O90" s="133">
        <f>IF($C90="","",AVERAGE(F90:J90))</f>
        <v/>
      </c>
      <c r="P90" s="135">
        <f>IF($C90="","",IF(PULL_FUND="N","",IF(COUNTIFS('Fund History'!$J$476:$J$480,"&gt;="&amp;DATE(YEAR_Y-5,1,1),'Fund History'!$J$476:$J$480,"&lt;="&amp;DATE(YEAR_Y-5,12,31))=0,"",IFERROR($F90*HSI!$G$85/SUMIFS('Fund History'!$K$476:$K$480,'Fund History'!$J$476:$J$480,"&gt;="&amp;DATE(YEAR_Y-5,1,1),'Fund History'!$J$476:$J$480,"&lt;="&amp;DATE(YEAR_Y-5,12,31)),""))))</f>
        <v/>
      </c>
      <c r="Q90" s="136">
        <f>IF($C90="","",IF(PULL_FUND="N","",IF(COUNTIFS('Fund History'!$J$476:$J$480,"&gt;="&amp;DATE(YEAR_Y-4,1,1),'Fund History'!$J$476:$J$480,"&lt;="&amp;DATE(YEAR_Y-4,12,31))=0,"",IFERROR($G90*HSI!$G$85/SUMIFS('Fund History'!$K$476:$K$480,'Fund History'!$J$476:$J$480,"&gt;="&amp;DATE(YEAR_Y-4,1,1),'Fund History'!$J$476:$J$480,"&lt;="&amp;DATE(YEAR_Y-4,12,31)),""))))</f>
        <v/>
      </c>
      <c r="R90" s="136">
        <f>IF($C90="","",IF(PULL_FUND="N","",IF(COUNTIFS('Fund History'!$J$476:$J$480,"&gt;="&amp;DATE(YEAR_Y-3,1,1),'Fund History'!$J$476:$J$480,"&lt;="&amp;DATE(YEAR_Y-3,12,31))=0,"",IFERROR($H90*HSI!$G$85/SUMIFS('Fund History'!$K$476:$K$480,'Fund History'!$J$476:$J$480,"&gt;="&amp;DATE(YEAR_Y-3,1,1),'Fund History'!$J$476:$J$480,"&lt;="&amp;DATE(YEAR_Y-3,12,31)),""))))</f>
        <v/>
      </c>
      <c r="S90" s="136">
        <f>IF($C90="","",IF(PULL_FUND="N","",IF(COUNTIFS('Fund History'!$J$476:$J$480,"&gt;="&amp;DATE(YEAR_Y-2,1,1),'Fund History'!$J$476:$J$480,"&lt;="&amp;DATE(YEAR_Y-2,12,31))=0,"",IFERROR($I90*HSI!$G$85/SUMIFS('Fund History'!$K$476:$K$480,'Fund History'!$J$476:$J$480,"&gt;="&amp;DATE(YEAR_Y-2,1,1),'Fund History'!$J$476:$J$480,"&lt;="&amp;DATE(YEAR_Y-2,12,31)),""))))</f>
        <v/>
      </c>
      <c r="T90" s="136">
        <f>IF($C90="","",IF(PULL_FUND="N","",IF(COUNTIFS('Fund History'!$J$476:$J$480,"&gt;="&amp;DATE(YEAR_Y-1,1,1),'Fund History'!$J$476:$J$480,"&lt;="&amp;DATE(YEAR_Y-1,12,31))=0,"",IFERROR($J90*HSI!$G$85/SUMIFS('Fund History'!$K$476:$K$480,'Fund History'!$J$476:$J$480,"&gt;="&amp;DATE(YEAR_Y-1,1,1),'Fund History'!$J$476:$J$480,"&lt;="&amp;DATE(YEAR_Y-1,12,31)),""))))</f>
        <v/>
      </c>
      <c r="U90" s="137">
        <f>IF($C90="","",IF(ISNUMBER(HSI!$I$85),HSI!$I$85/100,""))</f>
        <v/>
      </c>
      <c r="V90" s="138">
        <f>IF($C90="","",IF(ISNUMBER(HSI!$X$85),IFERROR($M90*HSI!$G$85/HSI!$X$85,""),""))</f>
        <v/>
      </c>
      <c r="W90" s="137">
        <f>IF($C90="","",IF(ISNUMBER($N90),IFERROR($N90*HSI!$G$85/HSI!$X$85,""),""))</f>
        <v/>
      </c>
      <c r="X90" s="139">
        <f>IF($C90="","",IF(PULL_FUND="N","",IFERROR(BDP($C90,EPS_FIELD,YR_OVERRIDE,TEXT(YEAR_Y-5,"0")),"")))</f>
        <v/>
      </c>
      <c r="Y90" s="140">
        <f>IF($C90="","",IF(PULL_FUND="N","",IFERROR(BDP($C90,EPS_FIELD,YR_OVERRIDE,TEXT(YEAR_Y-4,"0")),"")))</f>
        <v/>
      </c>
      <c r="Z90" s="140">
        <f>IF($C90="","",IF(PULL_FUND="N","",IFERROR(BDP($C90,EPS_FIELD,YR_OVERRIDE,TEXT(YEAR_Y-3,"0")),"")))</f>
        <v/>
      </c>
      <c r="AA90" s="140">
        <f>IF($C90="","",IF(PULL_FUND="N","",IFERROR(BDP($C90,EPS_FIELD,YR_OVERRIDE,TEXT(YEAR_Y-2,"0")),"")))</f>
        <v/>
      </c>
      <c r="AB90" s="140">
        <f>IF($C90="","",IF(PULL_FUND="N","",IFERROR(BDP($C90,EPS_FIELD,YR_OVERRIDE,TEXT(YEAR_Y-1,"0")),"")))</f>
        <v/>
      </c>
      <c r="AC90" s="126">
        <f>IF($C90="","",IFERROR(AVERAGE(X90:AB90),""))</f>
        <v/>
      </c>
      <c r="AD90" s="140">
        <f>IF($C90="","",IF(PULL_FUND="N","",IFERROR(BDP($C90,BESTEPS_FIELD,FWD_OVERRIDE,TEXT(MOD(YEAR_Y,100),"00")&amp;"Y"),"")))</f>
        <v/>
      </c>
      <c r="AE90" s="141">
        <f>IF($C90="","",IF(PULL_FUND="N","",IFERROR(BDP($C90,PAYOUT_FIELD,YR_OVERRIDE,TEXT(YEAR_Y-5,"0"))/100,"")))</f>
        <v/>
      </c>
      <c r="AF90" s="142">
        <f>IF($C90="","",IF(PULL_FUND="N","",IFERROR(BDP($C90,PAYOUT_FIELD,YR_OVERRIDE,TEXT(YEAR_Y-4,"0"))/100,"")))</f>
        <v/>
      </c>
      <c r="AG90" s="142">
        <f>IF($C90="","",IF(PULL_FUND="N","",IFERROR(BDP($C90,PAYOUT_FIELD,YR_OVERRIDE,TEXT(YEAR_Y-3,"0"))/100,"")))</f>
        <v/>
      </c>
      <c r="AH90" s="142">
        <f>IF($C90="","",IF(PULL_FUND="N","",IFERROR(BDP($C90,PAYOUT_FIELD,YR_OVERRIDE,TEXT(YEAR_Y-2,"0"))/100,"")))</f>
        <v/>
      </c>
      <c r="AI90" s="142">
        <f>IF($C90="","",IF(PULL_FUND="N","",IFERROR(BDP($C90,PAYOUT_FIELD,YR_OVERRIDE,TEXT(YEAR_Y-1,"0"))/100,"")))</f>
        <v/>
      </c>
      <c r="AJ90" s="143">
        <f>IF($C90="","",IFERROR(AVERAGE(AE90:AI90),""))</f>
        <v/>
      </c>
      <c r="AK90" s="144">
        <f>IF($C90="","",IF(ISNUMBER($AD90)*ISNUMBER($N90)*($AD90&lt;&gt;0)=0,"",$N90/$AD90))</f>
        <v/>
      </c>
      <c r="AL90" s="143">
        <f>IF($C90="","",IF(ISNUMBER($AD90)*($AD90&lt;&gt;0)=0,"",$M90/$AD90))</f>
        <v/>
      </c>
      <c r="AM90" s="37">
        <f>IF($C90="","",IF(ISNUMBER($AE90)*ISNUMBER($AI90)=0,"",IF($AI90&gt;$AE90+0.05,"rising",IF($AI90&lt;$AE90-0.05,"falling","stable"))))</f>
        <v/>
      </c>
      <c r="AN90" s="145">
        <f>IF($C90="","",IF(PULL_FUND="N","",IF(COUNTIFS('Fund History'!$G$476:$G$480,"&gt;="&amp;DATE(YEAR_Y-4,1,1),'Fund History'!$G$476:$G$480,"&lt;="&amp;DATE(YEAR_Y-4,12,31))=0,"",SUMIFS('Fund History'!$H$476:$H$480,'Fund History'!$G$476:$G$480,"&gt;="&amp;DATE(YEAR_Y-4,1,1),'Fund History'!$G$476:$G$480,"&lt;="&amp;DATE(YEAR_Y-4,12,31))/100)))</f>
        <v/>
      </c>
      <c r="AO90" s="146">
        <f>IF($C90="","",IF(PULL_FUND="N","",IF(COUNTIFS('Fund History'!$G$476:$G$480,"&gt;="&amp;DATE(YEAR_Y-3,1,1),'Fund History'!$G$476:$G$480,"&lt;="&amp;DATE(YEAR_Y-3,12,31))=0,"",SUMIFS('Fund History'!$H$476:$H$480,'Fund History'!$G$476:$G$480,"&gt;="&amp;DATE(YEAR_Y-3,1,1),'Fund History'!$G$476:$G$480,"&lt;="&amp;DATE(YEAR_Y-3,12,31))/100)))</f>
        <v/>
      </c>
      <c r="AP90" s="146">
        <f>IF($C90="","",IF(PULL_FUND="N","",IF(COUNTIFS('Fund History'!$G$476:$G$480,"&gt;="&amp;DATE(YEAR_Y-2,1,1),'Fund History'!$G$476:$G$480,"&lt;="&amp;DATE(YEAR_Y-2,12,31))=0,"",SUMIFS('Fund History'!$H$476:$H$480,'Fund History'!$G$476:$G$480,"&gt;="&amp;DATE(YEAR_Y-2,1,1),'Fund History'!$G$476:$G$480,"&lt;="&amp;DATE(YEAR_Y-2,12,31))/100)))</f>
        <v/>
      </c>
      <c r="AQ90" s="146">
        <f>IF($C90="","",IF(PULL_FUND="N","",IF(COUNTIFS('Fund History'!$G$476:$G$480,"&gt;="&amp;DATE(YEAR_Y-1,1,1),'Fund History'!$G$476:$G$480,"&lt;="&amp;DATE(YEAR_Y-1,12,31))=0,"",SUMIFS('Fund History'!$H$476:$H$480,'Fund History'!$G$476:$G$480,"&gt;="&amp;DATE(YEAR_Y-1,1,1),'Fund History'!$G$476:$G$480,"&lt;="&amp;DATE(YEAR_Y-1,12,31))/100)))</f>
        <v/>
      </c>
      <c r="AR90" s="147">
        <f>IF($C90="","",IF(N($AQ90)+N(HSI!$I$85)=0,"",N($AQ90)+N(HSI!$I$85)/100))</f>
        <v/>
      </c>
      <c r="AS90" s="139">
        <f>IF($C90="","",IF(PULL_FUND="N","",IF(COUNTIFS('Fund History'!$D$476:$D$480,"&gt;="&amp;DATE(YEAR_Y-2,1,1),'Fund History'!$D$476:$D$480,"&lt;="&amp;DATE(YEAR_Y-2,12,31))=0,"",SUMIFS('Fund History'!$E$476:$E$480,'Fund History'!$D$476:$D$480,"&gt;="&amp;DATE(YEAR_Y-2,1,1),'Fund History'!$D$476:$D$480,"&lt;="&amp;DATE(YEAR_Y-2,12,31)))))</f>
        <v/>
      </c>
      <c r="AT90" s="140">
        <f>IF($C90="","",IF(PULL_FUND="N","",IF(COUNTIFS('Fund History'!$D$476:$D$480,"&gt;="&amp;DATE(YEAR_Y-1,1,1),'Fund History'!$D$476:$D$480,"&lt;="&amp;DATE(YEAR_Y-1,12,31))=0,"",SUMIFS('Fund History'!$E$476:$E$480,'Fund History'!$D$476:$D$480,"&gt;="&amp;DATE(YEAR_Y-1,1,1),'Fund History'!$D$476:$D$480,"&lt;="&amp;DATE(YEAR_Y-1,12,31)))))</f>
        <v/>
      </c>
      <c r="AU90" s="140">
        <f>IF($C90="","",IF(PULL_FUND="N","",IFERROR(BDP($C90,NDEBITDA_FIELD),"")))</f>
        <v/>
      </c>
      <c r="AV90" s="148">
        <f>IF($C90="","",IF(PULL_FUND="N","",IFERROR(BDP($C90,EBINT_FIELD),"")))</f>
        <v/>
      </c>
      <c r="AW90" s="146">
        <f>IF($C90="","",IF(PULL_FUND="N","",IFERROR(BDP($C90,FCF_FIELD)/100,"")))</f>
        <v/>
      </c>
      <c r="AX90" s="126">
        <f>IF($C90="","",IF(N($U90)=0,"",IFERROR($AW90/$U90,"")))</f>
        <v/>
      </c>
      <c r="AY90" s="85">
        <f>IF($C90="","",TRIM(IF(ISNUMBER($AJ90)*(N($AJ90)&gt;$D$4)&gt;0,"payout high  ","")&amp;IF(ISNUMBER($AX90)*(N($AX90)&lt;$F$4)&gt;0,"FCF below dvd  ","")&amp;IF(ISNUMBER($AU90)*(N($AU90)&gt;$H$4)&gt;0,"leverage high","")))</f>
        <v/>
      </c>
      <c r="AZ90" s="86">
        <f>IF($C90="","",IF(HSI!$F$85="HKD","",HSI!$F$85))</f>
        <v/>
      </c>
    </row>
    <row r="91">
      <c r="B91" s="66" t="inlineStr">
        <is>
          <t>HSI</t>
        </is>
      </c>
      <c r="C91" s="8">
        <f>IF(HSI!$C$86="","",HSI!$C$86)</f>
        <v/>
      </c>
      <c r="D91" s="8">
        <f>IF($C91="","",HSI!$D$86)</f>
        <v/>
      </c>
      <c r="E91" s="8">
        <f>IF($C91="","",HSI!$E$86)</f>
        <v/>
      </c>
      <c r="F91" s="131">
        <f>IF($C91="","",SUMPRODUCT(('Dvd Calendar'!$E$880:$AR$880&gt;=DATE(YEAR_Y-5,1,1))*('Dvd Calendar'!$E$880:$AR$880&lt;=DATE(YEAR_Y-5,12,31))*'Dvd Calendar'!$E$883:$AR$883*(('Dvd Calendar'!$E$885:$AR$885=TYPE1)*(TYPE1&lt;&gt;"")+('Dvd Calendar'!$E$885:$AR$885=TYPE2)*(TYPE2&lt;&gt;"")+('Dvd Calendar'!$E$885:$AR$885=TYPE3)*(TYPE3&lt;&gt;"")+('Dvd Calendar'!$E$885:$AR$885=TYPE4)*(TYPE4&lt;&gt;"")+('Dvd Calendar'!$E$885:$AR$885=SPECIAL_LBL)*(INC_SPECIALS="Y"))))</f>
        <v/>
      </c>
      <c r="G91" s="132">
        <f>IF($C91="","",SUMPRODUCT(('Dvd Calendar'!$E$880:$AR$880&gt;=DATE(YEAR_Y-4,1,1))*('Dvd Calendar'!$E$880:$AR$880&lt;=DATE(YEAR_Y-4,12,31))*'Dvd Calendar'!$E$883:$AR$883*(('Dvd Calendar'!$E$885:$AR$885=TYPE1)*(TYPE1&lt;&gt;"")+('Dvd Calendar'!$E$885:$AR$885=TYPE2)*(TYPE2&lt;&gt;"")+('Dvd Calendar'!$E$885:$AR$885=TYPE3)*(TYPE3&lt;&gt;"")+('Dvd Calendar'!$E$885:$AR$885=TYPE4)*(TYPE4&lt;&gt;"")+('Dvd Calendar'!$E$885:$AR$885=SPECIAL_LBL)*(INC_SPECIALS="Y"))))</f>
        <v/>
      </c>
      <c r="H91" s="132">
        <f>IF($C91="","",SUMPRODUCT(('Dvd Calendar'!$E$880:$AR$880&gt;=DATE(YEAR_Y-3,1,1))*('Dvd Calendar'!$E$880:$AR$880&lt;=DATE(YEAR_Y-3,12,31))*'Dvd Calendar'!$E$883:$AR$883*(('Dvd Calendar'!$E$885:$AR$885=TYPE1)*(TYPE1&lt;&gt;"")+('Dvd Calendar'!$E$885:$AR$885=TYPE2)*(TYPE2&lt;&gt;"")+('Dvd Calendar'!$E$885:$AR$885=TYPE3)*(TYPE3&lt;&gt;"")+('Dvd Calendar'!$E$885:$AR$885=TYPE4)*(TYPE4&lt;&gt;"")+('Dvd Calendar'!$E$885:$AR$885=SPECIAL_LBL)*(INC_SPECIALS="Y"))))</f>
        <v/>
      </c>
      <c r="I91" s="132">
        <f>IF($C91="","",SUMPRODUCT(('Dvd Calendar'!$E$880:$AR$880&gt;=DATE(YEAR_Y-2,1,1))*('Dvd Calendar'!$E$880:$AR$880&lt;=DATE(YEAR_Y-2,12,31))*'Dvd Calendar'!$E$883:$AR$883*(('Dvd Calendar'!$E$885:$AR$885=TYPE1)*(TYPE1&lt;&gt;"")+('Dvd Calendar'!$E$885:$AR$885=TYPE2)*(TYPE2&lt;&gt;"")+('Dvd Calendar'!$E$885:$AR$885=TYPE3)*(TYPE3&lt;&gt;"")+('Dvd Calendar'!$E$885:$AR$885=TYPE4)*(TYPE4&lt;&gt;"")+('Dvd Calendar'!$E$885:$AR$885=SPECIAL_LBL)*(INC_SPECIALS="Y"))))</f>
        <v/>
      </c>
      <c r="J91" s="132">
        <f>IF($C91="","",SUMPRODUCT(('Dvd Calendar'!$E$880:$AR$880&gt;=DATE(YEAR_Y-1,1,1))*('Dvd Calendar'!$E$880:$AR$880&lt;=DATE(YEAR_Y-1,12,31))*'Dvd Calendar'!$E$883:$AR$883*(('Dvd Calendar'!$E$885:$AR$885=TYPE1)*(TYPE1&lt;&gt;"")+('Dvd Calendar'!$E$885:$AR$885=TYPE2)*(TYPE2&lt;&gt;"")+('Dvd Calendar'!$E$885:$AR$885=TYPE3)*(TYPE3&lt;&gt;"")+('Dvd Calendar'!$E$885:$AR$885=TYPE4)*(TYPE4&lt;&gt;"")+('Dvd Calendar'!$E$885:$AR$885=SPECIAL_LBL)*(INC_SPECIALS="Y"))))</f>
        <v/>
      </c>
      <c r="K91" s="133">
        <f>IF($C91="","",HSI!$J$86)</f>
        <v/>
      </c>
      <c r="L91" s="133">
        <f>IF($C91="","",HSI!$K$86)</f>
        <v/>
      </c>
      <c r="M91" s="124">
        <f>IF($C91="","",HSI!$J$86+HSI!$L$86)</f>
        <v/>
      </c>
      <c r="N91" s="134">
        <f>IF($C91="","",IF(PULL_FUND="N","",IFERROR(BDP($C91,BESTDPS_FIELD,FWD_OVERRIDE,TEXT(MOD(YEAR_Y,100),"00")&amp;"Y"),"")))</f>
        <v/>
      </c>
      <c r="O91" s="133">
        <f>IF($C91="","",AVERAGE(F91:J91))</f>
        <v/>
      </c>
      <c r="P91" s="135">
        <f>IF($C91="","",IF(PULL_FUND="N","",IF(COUNTIFS('Fund History'!$J$482:$J$486,"&gt;="&amp;DATE(YEAR_Y-5,1,1),'Fund History'!$J$482:$J$486,"&lt;="&amp;DATE(YEAR_Y-5,12,31))=0,"",IFERROR($F91*HSI!$G$86/SUMIFS('Fund History'!$K$482:$K$486,'Fund History'!$J$482:$J$486,"&gt;="&amp;DATE(YEAR_Y-5,1,1),'Fund History'!$J$482:$J$486,"&lt;="&amp;DATE(YEAR_Y-5,12,31)),""))))</f>
        <v/>
      </c>
      <c r="Q91" s="136">
        <f>IF($C91="","",IF(PULL_FUND="N","",IF(COUNTIFS('Fund History'!$J$482:$J$486,"&gt;="&amp;DATE(YEAR_Y-4,1,1),'Fund History'!$J$482:$J$486,"&lt;="&amp;DATE(YEAR_Y-4,12,31))=0,"",IFERROR($G91*HSI!$G$86/SUMIFS('Fund History'!$K$482:$K$486,'Fund History'!$J$482:$J$486,"&gt;="&amp;DATE(YEAR_Y-4,1,1),'Fund History'!$J$482:$J$486,"&lt;="&amp;DATE(YEAR_Y-4,12,31)),""))))</f>
        <v/>
      </c>
      <c r="R91" s="136">
        <f>IF($C91="","",IF(PULL_FUND="N","",IF(COUNTIFS('Fund History'!$J$482:$J$486,"&gt;="&amp;DATE(YEAR_Y-3,1,1),'Fund History'!$J$482:$J$486,"&lt;="&amp;DATE(YEAR_Y-3,12,31))=0,"",IFERROR($H91*HSI!$G$86/SUMIFS('Fund History'!$K$482:$K$486,'Fund History'!$J$482:$J$486,"&gt;="&amp;DATE(YEAR_Y-3,1,1),'Fund History'!$J$482:$J$486,"&lt;="&amp;DATE(YEAR_Y-3,12,31)),""))))</f>
        <v/>
      </c>
      <c r="S91" s="136">
        <f>IF($C91="","",IF(PULL_FUND="N","",IF(COUNTIFS('Fund History'!$J$482:$J$486,"&gt;="&amp;DATE(YEAR_Y-2,1,1),'Fund History'!$J$482:$J$486,"&lt;="&amp;DATE(YEAR_Y-2,12,31))=0,"",IFERROR($I91*HSI!$G$86/SUMIFS('Fund History'!$K$482:$K$486,'Fund History'!$J$482:$J$486,"&gt;="&amp;DATE(YEAR_Y-2,1,1),'Fund History'!$J$482:$J$486,"&lt;="&amp;DATE(YEAR_Y-2,12,31)),""))))</f>
        <v/>
      </c>
      <c r="T91" s="136">
        <f>IF($C91="","",IF(PULL_FUND="N","",IF(COUNTIFS('Fund History'!$J$482:$J$486,"&gt;="&amp;DATE(YEAR_Y-1,1,1),'Fund History'!$J$482:$J$486,"&lt;="&amp;DATE(YEAR_Y-1,12,31))=0,"",IFERROR($J91*HSI!$G$86/SUMIFS('Fund History'!$K$482:$K$486,'Fund History'!$J$482:$J$486,"&gt;="&amp;DATE(YEAR_Y-1,1,1),'Fund History'!$J$482:$J$486,"&lt;="&amp;DATE(YEAR_Y-1,12,31)),""))))</f>
        <v/>
      </c>
      <c r="U91" s="137">
        <f>IF($C91="","",IF(ISNUMBER(HSI!$I$86),HSI!$I$86/100,""))</f>
        <v/>
      </c>
      <c r="V91" s="138">
        <f>IF($C91="","",IF(ISNUMBER(HSI!$X$86),IFERROR($M91*HSI!$G$86/HSI!$X$86,""),""))</f>
        <v/>
      </c>
      <c r="W91" s="137">
        <f>IF($C91="","",IF(ISNUMBER($N91),IFERROR($N91*HSI!$G$86/HSI!$X$86,""),""))</f>
        <v/>
      </c>
      <c r="X91" s="139">
        <f>IF($C91="","",IF(PULL_FUND="N","",IFERROR(BDP($C91,EPS_FIELD,YR_OVERRIDE,TEXT(YEAR_Y-5,"0")),"")))</f>
        <v/>
      </c>
      <c r="Y91" s="140">
        <f>IF($C91="","",IF(PULL_FUND="N","",IFERROR(BDP($C91,EPS_FIELD,YR_OVERRIDE,TEXT(YEAR_Y-4,"0")),"")))</f>
        <v/>
      </c>
      <c r="Z91" s="140">
        <f>IF($C91="","",IF(PULL_FUND="N","",IFERROR(BDP($C91,EPS_FIELD,YR_OVERRIDE,TEXT(YEAR_Y-3,"0")),"")))</f>
        <v/>
      </c>
      <c r="AA91" s="140">
        <f>IF($C91="","",IF(PULL_FUND="N","",IFERROR(BDP($C91,EPS_FIELD,YR_OVERRIDE,TEXT(YEAR_Y-2,"0")),"")))</f>
        <v/>
      </c>
      <c r="AB91" s="140">
        <f>IF($C91="","",IF(PULL_FUND="N","",IFERROR(BDP($C91,EPS_FIELD,YR_OVERRIDE,TEXT(YEAR_Y-1,"0")),"")))</f>
        <v/>
      </c>
      <c r="AC91" s="126">
        <f>IF($C91="","",IFERROR(AVERAGE(X91:AB91),""))</f>
        <v/>
      </c>
      <c r="AD91" s="140">
        <f>IF($C91="","",IF(PULL_FUND="N","",IFERROR(BDP($C91,BESTEPS_FIELD,FWD_OVERRIDE,TEXT(MOD(YEAR_Y,100),"00")&amp;"Y"),"")))</f>
        <v/>
      </c>
      <c r="AE91" s="141">
        <f>IF($C91="","",IF(PULL_FUND="N","",IFERROR(BDP($C91,PAYOUT_FIELD,YR_OVERRIDE,TEXT(YEAR_Y-5,"0"))/100,"")))</f>
        <v/>
      </c>
      <c r="AF91" s="142">
        <f>IF($C91="","",IF(PULL_FUND="N","",IFERROR(BDP($C91,PAYOUT_FIELD,YR_OVERRIDE,TEXT(YEAR_Y-4,"0"))/100,"")))</f>
        <v/>
      </c>
      <c r="AG91" s="142">
        <f>IF($C91="","",IF(PULL_FUND="N","",IFERROR(BDP($C91,PAYOUT_FIELD,YR_OVERRIDE,TEXT(YEAR_Y-3,"0"))/100,"")))</f>
        <v/>
      </c>
      <c r="AH91" s="142">
        <f>IF($C91="","",IF(PULL_FUND="N","",IFERROR(BDP($C91,PAYOUT_FIELD,YR_OVERRIDE,TEXT(YEAR_Y-2,"0"))/100,"")))</f>
        <v/>
      </c>
      <c r="AI91" s="142">
        <f>IF($C91="","",IF(PULL_FUND="N","",IFERROR(BDP($C91,PAYOUT_FIELD,YR_OVERRIDE,TEXT(YEAR_Y-1,"0"))/100,"")))</f>
        <v/>
      </c>
      <c r="AJ91" s="143">
        <f>IF($C91="","",IFERROR(AVERAGE(AE91:AI91),""))</f>
        <v/>
      </c>
      <c r="AK91" s="144">
        <f>IF($C91="","",IF(ISNUMBER($AD91)*ISNUMBER($N91)*($AD91&lt;&gt;0)=0,"",$N91/$AD91))</f>
        <v/>
      </c>
      <c r="AL91" s="143">
        <f>IF($C91="","",IF(ISNUMBER($AD91)*($AD91&lt;&gt;0)=0,"",$M91/$AD91))</f>
        <v/>
      </c>
      <c r="AM91" s="37">
        <f>IF($C91="","",IF(ISNUMBER($AE91)*ISNUMBER($AI91)=0,"",IF($AI91&gt;$AE91+0.05,"rising",IF($AI91&lt;$AE91-0.05,"falling","stable"))))</f>
        <v/>
      </c>
      <c r="AN91" s="145">
        <f>IF($C91="","",IF(PULL_FUND="N","",IF(COUNTIFS('Fund History'!$G$482:$G$486,"&gt;="&amp;DATE(YEAR_Y-4,1,1),'Fund History'!$G$482:$G$486,"&lt;="&amp;DATE(YEAR_Y-4,12,31))=0,"",SUMIFS('Fund History'!$H$482:$H$486,'Fund History'!$G$482:$G$486,"&gt;="&amp;DATE(YEAR_Y-4,1,1),'Fund History'!$G$482:$G$486,"&lt;="&amp;DATE(YEAR_Y-4,12,31))/100)))</f>
        <v/>
      </c>
      <c r="AO91" s="146">
        <f>IF($C91="","",IF(PULL_FUND="N","",IF(COUNTIFS('Fund History'!$G$482:$G$486,"&gt;="&amp;DATE(YEAR_Y-3,1,1),'Fund History'!$G$482:$G$486,"&lt;="&amp;DATE(YEAR_Y-3,12,31))=0,"",SUMIFS('Fund History'!$H$482:$H$486,'Fund History'!$G$482:$G$486,"&gt;="&amp;DATE(YEAR_Y-3,1,1),'Fund History'!$G$482:$G$486,"&lt;="&amp;DATE(YEAR_Y-3,12,31))/100)))</f>
        <v/>
      </c>
      <c r="AP91" s="146">
        <f>IF($C91="","",IF(PULL_FUND="N","",IF(COUNTIFS('Fund History'!$G$482:$G$486,"&gt;="&amp;DATE(YEAR_Y-2,1,1),'Fund History'!$G$482:$G$486,"&lt;="&amp;DATE(YEAR_Y-2,12,31))=0,"",SUMIFS('Fund History'!$H$482:$H$486,'Fund History'!$G$482:$G$486,"&gt;="&amp;DATE(YEAR_Y-2,1,1),'Fund History'!$G$482:$G$486,"&lt;="&amp;DATE(YEAR_Y-2,12,31))/100)))</f>
        <v/>
      </c>
      <c r="AQ91" s="146">
        <f>IF($C91="","",IF(PULL_FUND="N","",IF(COUNTIFS('Fund History'!$G$482:$G$486,"&gt;="&amp;DATE(YEAR_Y-1,1,1),'Fund History'!$G$482:$G$486,"&lt;="&amp;DATE(YEAR_Y-1,12,31))=0,"",SUMIFS('Fund History'!$H$482:$H$486,'Fund History'!$G$482:$G$486,"&gt;="&amp;DATE(YEAR_Y-1,1,1),'Fund History'!$G$482:$G$486,"&lt;="&amp;DATE(YEAR_Y-1,12,31))/100)))</f>
        <v/>
      </c>
      <c r="AR91" s="147">
        <f>IF($C91="","",IF(N($AQ91)+N(HSI!$I$86)=0,"",N($AQ91)+N(HSI!$I$86)/100))</f>
        <v/>
      </c>
      <c r="AS91" s="139">
        <f>IF($C91="","",IF(PULL_FUND="N","",IF(COUNTIFS('Fund History'!$D$482:$D$486,"&gt;="&amp;DATE(YEAR_Y-2,1,1),'Fund History'!$D$482:$D$486,"&lt;="&amp;DATE(YEAR_Y-2,12,31))=0,"",SUMIFS('Fund History'!$E$482:$E$486,'Fund History'!$D$482:$D$486,"&gt;="&amp;DATE(YEAR_Y-2,1,1),'Fund History'!$D$482:$D$486,"&lt;="&amp;DATE(YEAR_Y-2,12,31)))))</f>
        <v/>
      </c>
      <c r="AT91" s="140">
        <f>IF($C91="","",IF(PULL_FUND="N","",IF(COUNTIFS('Fund History'!$D$482:$D$486,"&gt;="&amp;DATE(YEAR_Y-1,1,1),'Fund History'!$D$482:$D$486,"&lt;="&amp;DATE(YEAR_Y-1,12,31))=0,"",SUMIFS('Fund History'!$E$482:$E$486,'Fund History'!$D$482:$D$486,"&gt;="&amp;DATE(YEAR_Y-1,1,1),'Fund History'!$D$482:$D$486,"&lt;="&amp;DATE(YEAR_Y-1,12,31)))))</f>
        <v/>
      </c>
      <c r="AU91" s="140">
        <f>IF($C91="","",IF(PULL_FUND="N","",IFERROR(BDP($C91,NDEBITDA_FIELD),"")))</f>
        <v/>
      </c>
      <c r="AV91" s="148">
        <f>IF($C91="","",IF(PULL_FUND="N","",IFERROR(BDP($C91,EBINT_FIELD),"")))</f>
        <v/>
      </c>
      <c r="AW91" s="146">
        <f>IF($C91="","",IF(PULL_FUND="N","",IFERROR(BDP($C91,FCF_FIELD)/100,"")))</f>
        <v/>
      </c>
      <c r="AX91" s="126">
        <f>IF($C91="","",IF(N($U91)=0,"",IFERROR($AW91/$U91,"")))</f>
        <v/>
      </c>
      <c r="AY91" s="85">
        <f>IF($C91="","",TRIM(IF(ISNUMBER($AJ91)*(N($AJ91)&gt;$D$4)&gt;0,"payout high  ","")&amp;IF(ISNUMBER($AX91)*(N($AX91)&lt;$F$4)&gt;0,"FCF below dvd  ","")&amp;IF(ISNUMBER($AU91)*(N($AU91)&gt;$H$4)&gt;0,"leverage high","")))</f>
        <v/>
      </c>
      <c r="AZ91" s="86">
        <f>IF($C91="","",IF(HSI!$F$86="HKD","",HSI!$F$86))</f>
        <v/>
      </c>
    </row>
    <row r="92">
      <c r="B92" s="66" t="inlineStr">
        <is>
          <t>HSI</t>
        </is>
      </c>
      <c r="C92" s="8">
        <f>IF(HSI!$C$87="","",HSI!$C$87)</f>
        <v/>
      </c>
      <c r="D92" s="8">
        <f>IF($C92="","",HSI!$D$87)</f>
        <v/>
      </c>
      <c r="E92" s="8">
        <f>IF($C92="","",HSI!$E$87)</f>
        <v/>
      </c>
      <c r="F92" s="131">
        <f>IF($C92="","",SUMPRODUCT(('Dvd Calendar'!$E$891:$AR$891&gt;=DATE(YEAR_Y-5,1,1))*('Dvd Calendar'!$E$891:$AR$891&lt;=DATE(YEAR_Y-5,12,31))*'Dvd Calendar'!$E$894:$AR$894*(('Dvd Calendar'!$E$896:$AR$896=TYPE1)*(TYPE1&lt;&gt;"")+('Dvd Calendar'!$E$896:$AR$896=TYPE2)*(TYPE2&lt;&gt;"")+('Dvd Calendar'!$E$896:$AR$896=TYPE3)*(TYPE3&lt;&gt;"")+('Dvd Calendar'!$E$896:$AR$896=TYPE4)*(TYPE4&lt;&gt;"")+('Dvd Calendar'!$E$896:$AR$896=SPECIAL_LBL)*(INC_SPECIALS="Y"))))</f>
        <v/>
      </c>
      <c r="G92" s="132">
        <f>IF($C92="","",SUMPRODUCT(('Dvd Calendar'!$E$891:$AR$891&gt;=DATE(YEAR_Y-4,1,1))*('Dvd Calendar'!$E$891:$AR$891&lt;=DATE(YEAR_Y-4,12,31))*'Dvd Calendar'!$E$894:$AR$894*(('Dvd Calendar'!$E$896:$AR$896=TYPE1)*(TYPE1&lt;&gt;"")+('Dvd Calendar'!$E$896:$AR$896=TYPE2)*(TYPE2&lt;&gt;"")+('Dvd Calendar'!$E$896:$AR$896=TYPE3)*(TYPE3&lt;&gt;"")+('Dvd Calendar'!$E$896:$AR$896=TYPE4)*(TYPE4&lt;&gt;"")+('Dvd Calendar'!$E$896:$AR$896=SPECIAL_LBL)*(INC_SPECIALS="Y"))))</f>
        <v/>
      </c>
      <c r="H92" s="132">
        <f>IF($C92="","",SUMPRODUCT(('Dvd Calendar'!$E$891:$AR$891&gt;=DATE(YEAR_Y-3,1,1))*('Dvd Calendar'!$E$891:$AR$891&lt;=DATE(YEAR_Y-3,12,31))*'Dvd Calendar'!$E$894:$AR$894*(('Dvd Calendar'!$E$896:$AR$896=TYPE1)*(TYPE1&lt;&gt;"")+('Dvd Calendar'!$E$896:$AR$896=TYPE2)*(TYPE2&lt;&gt;"")+('Dvd Calendar'!$E$896:$AR$896=TYPE3)*(TYPE3&lt;&gt;"")+('Dvd Calendar'!$E$896:$AR$896=TYPE4)*(TYPE4&lt;&gt;"")+('Dvd Calendar'!$E$896:$AR$896=SPECIAL_LBL)*(INC_SPECIALS="Y"))))</f>
        <v/>
      </c>
      <c r="I92" s="132">
        <f>IF($C92="","",SUMPRODUCT(('Dvd Calendar'!$E$891:$AR$891&gt;=DATE(YEAR_Y-2,1,1))*('Dvd Calendar'!$E$891:$AR$891&lt;=DATE(YEAR_Y-2,12,31))*'Dvd Calendar'!$E$894:$AR$894*(('Dvd Calendar'!$E$896:$AR$896=TYPE1)*(TYPE1&lt;&gt;"")+('Dvd Calendar'!$E$896:$AR$896=TYPE2)*(TYPE2&lt;&gt;"")+('Dvd Calendar'!$E$896:$AR$896=TYPE3)*(TYPE3&lt;&gt;"")+('Dvd Calendar'!$E$896:$AR$896=TYPE4)*(TYPE4&lt;&gt;"")+('Dvd Calendar'!$E$896:$AR$896=SPECIAL_LBL)*(INC_SPECIALS="Y"))))</f>
        <v/>
      </c>
      <c r="J92" s="132">
        <f>IF($C92="","",SUMPRODUCT(('Dvd Calendar'!$E$891:$AR$891&gt;=DATE(YEAR_Y-1,1,1))*('Dvd Calendar'!$E$891:$AR$891&lt;=DATE(YEAR_Y-1,12,31))*'Dvd Calendar'!$E$894:$AR$894*(('Dvd Calendar'!$E$896:$AR$896=TYPE1)*(TYPE1&lt;&gt;"")+('Dvd Calendar'!$E$896:$AR$896=TYPE2)*(TYPE2&lt;&gt;"")+('Dvd Calendar'!$E$896:$AR$896=TYPE3)*(TYPE3&lt;&gt;"")+('Dvd Calendar'!$E$896:$AR$896=TYPE4)*(TYPE4&lt;&gt;"")+('Dvd Calendar'!$E$896:$AR$896=SPECIAL_LBL)*(INC_SPECIALS="Y"))))</f>
        <v/>
      </c>
      <c r="K92" s="133">
        <f>IF($C92="","",HSI!$J$87)</f>
        <v/>
      </c>
      <c r="L92" s="133">
        <f>IF($C92="","",HSI!$K$87)</f>
        <v/>
      </c>
      <c r="M92" s="124">
        <f>IF($C92="","",HSI!$J$87+HSI!$L$87)</f>
        <v/>
      </c>
      <c r="N92" s="134">
        <f>IF($C92="","",IF(PULL_FUND="N","",IFERROR(BDP($C92,BESTDPS_FIELD,FWD_OVERRIDE,TEXT(MOD(YEAR_Y,100),"00")&amp;"Y"),"")))</f>
        <v/>
      </c>
      <c r="O92" s="133">
        <f>IF($C92="","",AVERAGE(F92:J92))</f>
        <v/>
      </c>
      <c r="P92" s="135">
        <f>IF($C92="","",IF(PULL_FUND="N","",IF(COUNTIFS('Fund History'!$J$488:$J$492,"&gt;="&amp;DATE(YEAR_Y-5,1,1),'Fund History'!$J$488:$J$492,"&lt;="&amp;DATE(YEAR_Y-5,12,31))=0,"",IFERROR($F92*HSI!$G$87/SUMIFS('Fund History'!$K$488:$K$492,'Fund History'!$J$488:$J$492,"&gt;="&amp;DATE(YEAR_Y-5,1,1),'Fund History'!$J$488:$J$492,"&lt;="&amp;DATE(YEAR_Y-5,12,31)),""))))</f>
        <v/>
      </c>
      <c r="Q92" s="136">
        <f>IF($C92="","",IF(PULL_FUND="N","",IF(COUNTIFS('Fund History'!$J$488:$J$492,"&gt;="&amp;DATE(YEAR_Y-4,1,1),'Fund History'!$J$488:$J$492,"&lt;="&amp;DATE(YEAR_Y-4,12,31))=0,"",IFERROR($G92*HSI!$G$87/SUMIFS('Fund History'!$K$488:$K$492,'Fund History'!$J$488:$J$492,"&gt;="&amp;DATE(YEAR_Y-4,1,1),'Fund History'!$J$488:$J$492,"&lt;="&amp;DATE(YEAR_Y-4,12,31)),""))))</f>
        <v/>
      </c>
      <c r="R92" s="136">
        <f>IF($C92="","",IF(PULL_FUND="N","",IF(COUNTIFS('Fund History'!$J$488:$J$492,"&gt;="&amp;DATE(YEAR_Y-3,1,1),'Fund History'!$J$488:$J$492,"&lt;="&amp;DATE(YEAR_Y-3,12,31))=0,"",IFERROR($H92*HSI!$G$87/SUMIFS('Fund History'!$K$488:$K$492,'Fund History'!$J$488:$J$492,"&gt;="&amp;DATE(YEAR_Y-3,1,1),'Fund History'!$J$488:$J$492,"&lt;="&amp;DATE(YEAR_Y-3,12,31)),""))))</f>
        <v/>
      </c>
      <c r="S92" s="136">
        <f>IF($C92="","",IF(PULL_FUND="N","",IF(COUNTIFS('Fund History'!$J$488:$J$492,"&gt;="&amp;DATE(YEAR_Y-2,1,1),'Fund History'!$J$488:$J$492,"&lt;="&amp;DATE(YEAR_Y-2,12,31))=0,"",IFERROR($I92*HSI!$G$87/SUMIFS('Fund History'!$K$488:$K$492,'Fund History'!$J$488:$J$492,"&gt;="&amp;DATE(YEAR_Y-2,1,1),'Fund History'!$J$488:$J$492,"&lt;="&amp;DATE(YEAR_Y-2,12,31)),""))))</f>
        <v/>
      </c>
      <c r="T92" s="136">
        <f>IF($C92="","",IF(PULL_FUND="N","",IF(COUNTIFS('Fund History'!$J$488:$J$492,"&gt;="&amp;DATE(YEAR_Y-1,1,1),'Fund History'!$J$488:$J$492,"&lt;="&amp;DATE(YEAR_Y-1,12,31))=0,"",IFERROR($J92*HSI!$G$87/SUMIFS('Fund History'!$K$488:$K$492,'Fund History'!$J$488:$J$492,"&gt;="&amp;DATE(YEAR_Y-1,1,1),'Fund History'!$J$488:$J$492,"&lt;="&amp;DATE(YEAR_Y-1,12,31)),""))))</f>
        <v/>
      </c>
      <c r="U92" s="137">
        <f>IF($C92="","",IF(ISNUMBER(HSI!$I$87),HSI!$I$87/100,""))</f>
        <v/>
      </c>
      <c r="V92" s="138">
        <f>IF($C92="","",IF(ISNUMBER(HSI!$X$87),IFERROR($M92*HSI!$G$87/HSI!$X$87,""),""))</f>
        <v/>
      </c>
      <c r="W92" s="137">
        <f>IF($C92="","",IF(ISNUMBER($N92),IFERROR($N92*HSI!$G$87/HSI!$X$87,""),""))</f>
        <v/>
      </c>
      <c r="X92" s="139">
        <f>IF($C92="","",IF(PULL_FUND="N","",IFERROR(BDP($C92,EPS_FIELD,YR_OVERRIDE,TEXT(YEAR_Y-5,"0")),"")))</f>
        <v/>
      </c>
      <c r="Y92" s="140">
        <f>IF($C92="","",IF(PULL_FUND="N","",IFERROR(BDP($C92,EPS_FIELD,YR_OVERRIDE,TEXT(YEAR_Y-4,"0")),"")))</f>
        <v/>
      </c>
      <c r="Z92" s="140">
        <f>IF($C92="","",IF(PULL_FUND="N","",IFERROR(BDP($C92,EPS_FIELD,YR_OVERRIDE,TEXT(YEAR_Y-3,"0")),"")))</f>
        <v/>
      </c>
      <c r="AA92" s="140">
        <f>IF($C92="","",IF(PULL_FUND="N","",IFERROR(BDP($C92,EPS_FIELD,YR_OVERRIDE,TEXT(YEAR_Y-2,"0")),"")))</f>
        <v/>
      </c>
      <c r="AB92" s="140">
        <f>IF($C92="","",IF(PULL_FUND="N","",IFERROR(BDP($C92,EPS_FIELD,YR_OVERRIDE,TEXT(YEAR_Y-1,"0")),"")))</f>
        <v/>
      </c>
      <c r="AC92" s="126">
        <f>IF($C92="","",IFERROR(AVERAGE(X92:AB92),""))</f>
        <v/>
      </c>
      <c r="AD92" s="140">
        <f>IF($C92="","",IF(PULL_FUND="N","",IFERROR(BDP($C92,BESTEPS_FIELD,FWD_OVERRIDE,TEXT(MOD(YEAR_Y,100),"00")&amp;"Y"),"")))</f>
        <v/>
      </c>
      <c r="AE92" s="141">
        <f>IF($C92="","",IF(PULL_FUND="N","",IFERROR(BDP($C92,PAYOUT_FIELD,YR_OVERRIDE,TEXT(YEAR_Y-5,"0"))/100,"")))</f>
        <v/>
      </c>
      <c r="AF92" s="142">
        <f>IF($C92="","",IF(PULL_FUND="N","",IFERROR(BDP($C92,PAYOUT_FIELD,YR_OVERRIDE,TEXT(YEAR_Y-4,"0"))/100,"")))</f>
        <v/>
      </c>
      <c r="AG92" s="142">
        <f>IF($C92="","",IF(PULL_FUND="N","",IFERROR(BDP($C92,PAYOUT_FIELD,YR_OVERRIDE,TEXT(YEAR_Y-3,"0"))/100,"")))</f>
        <v/>
      </c>
      <c r="AH92" s="142">
        <f>IF($C92="","",IF(PULL_FUND="N","",IFERROR(BDP($C92,PAYOUT_FIELD,YR_OVERRIDE,TEXT(YEAR_Y-2,"0"))/100,"")))</f>
        <v/>
      </c>
      <c r="AI92" s="142">
        <f>IF($C92="","",IF(PULL_FUND="N","",IFERROR(BDP($C92,PAYOUT_FIELD,YR_OVERRIDE,TEXT(YEAR_Y-1,"0"))/100,"")))</f>
        <v/>
      </c>
      <c r="AJ92" s="143">
        <f>IF($C92="","",IFERROR(AVERAGE(AE92:AI92),""))</f>
        <v/>
      </c>
      <c r="AK92" s="144">
        <f>IF($C92="","",IF(ISNUMBER($AD92)*ISNUMBER($N92)*($AD92&lt;&gt;0)=0,"",$N92/$AD92))</f>
        <v/>
      </c>
      <c r="AL92" s="143">
        <f>IF($C92="","",IF(ISNUMBER($AD92)*($AD92&lt;&gt;0)=0,"",$M92/$AD92))</f>
        <v/>
      </c>
      <c r="AM92" s="37">
        <f>IF($C92="","",IF(ISNUMBER($AE92)*ISNUMBER($AI92)=0,"",IF($AI92&gt;$AE92+0.05,"rising",IF($AI92&lt;$AE92-0.05,"falling","stable"))))</f>
        <v/>
      </c>
      <c r="AN92" s="145">
        <f>IF($C92="","",IF(PULL_FUND="N","",IF(COUNTIFS('Fund History'!$G$488:$G$492,"&gt;="&amp;DATE(YEAR_Y-4,1,1),'Fund History'!$G$488:$G$492,"&lt;="&amp;DATE(YEAR_Y-4,12,31))=0,"",SUMIFS('Fund History'!$H$488:$H$492,'Fund History'!$G$488:$G$492,"&gt;="&amp;DATE(YEAR_Y-4,1,1),'Fund History'!$G$488:$G$492,"&lt;="&amp;DATE(YEAR_Y-4,12,31))/100)))</f>
        <v/>
      </c>
      <c r="AO92" s="146">
        <f>IF($C92="","",IF(PULL_FUND="N","",IF(COUNTIFS('Fund History'!$G$488:$G$492,"&gt;="&amp;DATE(YEAR_Y-3,1,1),'Fund History'!$G$488:$G$492,"&lt;="&amp;DATE(YEAR_Y-3,12,31))=0,"",SUMIFS('Fund History'!$H$488:$H$492,'Fund History'!$G$488:$G$492,"&gt;="&amp;DATE(YEAR_Y-3,1,1),'Fund History'!$G$488:$G$492,"&lt;="&amp;DATE(YEAR_Y-3,12,31))/100)))</f>
        <v/>
      </c>
      <c r="AP92" s="146">
        <f>IF($C92="","",IF(PULL_FUND="N","",IF(COUNTIFS('Fund History'!$G$488:$G$492,"&gt;="&amp;DATE(YEAR_Y-2,1,1),'Fund History'!$G$488:$G$492,"&lt;="&amp;DATE(YEAR_Y-2,12,31))=0,"",SUMIFS('Fund History'!$H$488:$H$492,'Fund History'!$G$488:$G$492,"&gt;="&amp;DATE(YEAR_Y-2,1,1),'Fund History'!$G$488:$G$492,"&lt;="&amp;DATE(YEAR_Y-2,12,31))/100)))</f>
        <v/>
      </c>
      <c r="AQ92" s="146">
        <f>IF($C92="","",IF(PULL_FUND="N","",IF(COUNTIFS('Fund History'!$G$488:$G$492,"&gt;="&amp;DATE(YEAR_Y-1,1,1),'Fund History'!$G$488:$G$492,"&lt;="&amp;DATE(YEAR_Y-1,12,31))=0,"",SUMIFS('Fund History'!$H$488:$H$492,'Fund History'!$G$488:$G$492,"&gt;="&amp;DATE(YEAR_Y-1,1,1),'Fund History'!$G$488:$G$492,"&lt;="&amp;DATE(YEAR_Y-1,12,31))/100)))</f>
        <v/>
      </c>
      <c r="AR92" s="147">
        <f>IF($C92="","",IF(N($AQ92)+N(HSI!$I$87)=0,"",N($AQ92)+N(HSI!$I$87)/100))</f>
        <v/>
      </c>
      <c r="AS92" s="139">
        <f>IF($C92="","",IF(PULL_FUND="N","",IF(COUNTIFS('Fund History'!$D$488:$D$492,"&gt;="&amp;DATE(YEAR_Y-2,1,1),'Fund History'!$D$488:$D$492,"&lt;="&amp;DATE(YEAR_Y-2,12,31))=0,"",SUMIFS('Fund History'!$E$488:$E$492,'Fund History'!$D$488:$D$492,"&gt;="&amp;DATE(YEAR_Y-2,1,1),'Fund History'!$D$488:$D$492,"&lt;="&amp;DATE(YEAR_Y-2,12,31)))))</f>
        <v/>
      </c>
      <c r="AT92" s="140">
        <f>IF($C92="","",IF(PULL_FUND="N","",IF(COUNTIFS('Fund History'!$D$488:$D$492,"&gt;="&amp;DATE(YEAR_Y-1,1,1),'Fund History'!$D$488:$D$492,"&lt;="&amp;DATE(YEAR_Y-1,12,31))=0,"",SUMIFS('Fund History'!$E$488:$E$492,'Fund History'!$D$488:$D$492,"&gt;="&amp;DATE(YEAR_Y-1,1,1),'Fund History'!$D$488:$D$492,"&lt;="&amp;DATE(YEAR_Y-1,12,31)))))</f>
        <v/>
      </c>
      <c r="AU92" s="140">
        <f>IF($C92="","",IF(PULL_FUND="N","",IFERROR(BDP($C92,NDEBITDA_FIELD),"")))</f>
        <v/>
      </c>
      <c r="AV92" s="148">
        <f>IF($C92="","",IF(PULL_FUND="N","",IFERROR(BDP($C92,EBINT_FIELD),"")))</f>
        <v/>
      </c>
      <c r="AW92" s="146">
        <f>IF($C92="","",IF(PULL_FUND="N","",IFERROR(BDP($C92,FCF_FIELD)/100,"")))</f>
        <v/>
      </c>
      <c r="AX92" s="126">
        <f>IF($C92="","",IF(N($U92)=0,"",IFERROR($AW92/$U92,"")))</f>
        <v/>
      </c>
      <c r="AY92" s="85">
        <f>IF($C92="","",TRIM(IF(ISNUMBER($AJ92)*(N($AJ92)&gt;$D$4)&gt;0,"payout high  ","")&amp;IF(ISNUMBER($AX92)*(N($AX92)&lt;$F$4)&gt;0,"FCF below dvd  ","")&amp;IF(ISNUMBER($AU92)*(N($AU92)&gt;$H$4)&gt;0,"leverage high","")))</f>
        <v/>
      </c>
      <c r="AZ92" s="86">
        <f>IF($C92="","",IF(HSI!$F$87="HKD","",HSI!$F$87))</f>
        <v/>
      </c>
    </row>
    <row r="93">
      <c r="B93" s="66" t="inlineStr">
        <is>
          <t>HSI</t>
        </is>
      </c>
      <c r="C93" s="8">
        <f>IF(HSI!$C$88="","",HSI!$C$88)</f>
        <v/>
      </c>
      <c r="D93" s="8">
        <f>IF($C93="","",HSI!$D$88)</f>
        <v/>
      </c>
      <c r="E93" s="8">
        <f>IF($C93="","",HSI!$E$88)</f>
        <v/>
      </c>
      <c r="F93" s="131">
        <f>IF($C93="","",SUMPRODUCT(('Dvd Calendar'!$E$902:$AR$902&gt;=DATE(YEAR_Y-5,1,1))*('Dvd Calendar'!$E$902:$AR$902&lt;=DATE(YEAR_Y-5,12,31))*'Dvd Calendar'!$E$905:$AR$905*(('Dvd Calendar'!$E$907:$AR$907=TYPE1)*(TYPE1&lt;&gt;"")+('Dvd Calendar'!$E$907:$AR$907=TYPE2)*(TYPE2&lt;&gt;"")+('Dvd Calendar'!$E$907:$AR$907=TYPE3)*(TYPE3&lt;&gt;"")+('Dvd Calendar'!$E$907:$AR$907=TYPE4)*(TYPE4&lt;&gt;"")+('Dvd Calendar'!$E$907:$AR$907=SPECIAL_LBL)*(INC_SPECIALS="Y"))))</f>
        <v/>
      </c>
      <c r="G93" s="132">
        <f>IF($C93="","",SUMPRODUCT(('Dvd Calendar'!$E$902:$AR$902&gt;=DATE(YEAR_Y-4,1,1))*('Dvd Calendar'!$E$902:$AR$902&lt;=DATE(YEAR_Y-4,12,31))*'Dvd Calendar'!$E$905:$AR$905*(('Dvd Calendar'!$E$907:$AR$907=TYPE1)*(TYPE1&lt;&gt;"")+('Dvd Calendar'!$E$907:$AR$907=TYPE2)*(TYPE2&lt;&gt;"")+('Dvd Calendar'!$E$907:$AR$907=TYPE3)*(TYPE3&lt;&gt;"")+('Dvd Calendar'!$E$907:$AR$907=TYPE4)*(TYPE4&lt;&gt;"")+('Dvd Calendar'!$E$907:$AR$907=SPECIAL_LBL)*(INC_SPECIALS="Y"))))</f>
        <v/>
      </c>
      <c r="H93" s="132">
        <f>IF($C93="","",SUMPRODUCT(('Dvd Calendar'!$E$902:$AR$902&gt;=DATE(YEAR_Y-3,1,1))*('Dvd Calendar'!$E$902:$AR$902&lt;=DATE(YEAR_Y-3,12,31))*'Dvd Calendar'!$E$905:$AR$905*(('Dvd Calendar'!$E$907:$AR$907=TYPE1)*(TYPE1&lt;&gt;"")+('Dvd Calendar'!$E$907:$AR$907=TYPE2)*(TYPE2&lt;&gt;"")+('Dvd Calendar'!$E$907:$AR$907=TYPE3)*(TYPE3&lt;&gt;"")+('Dvd Calendar'!$E$907:$AR$907=TYPE4)*(TYPE4&lt;&gt;"")+('Dvd Calendar'!$E$907:$AR$907=SPECIAL_LBL)*(INC_SPECIALS="Y"))))</f>
        <v/>
      </c>
      <c r="I93" s="132">
        <f>IF($C93="","",SUMPRODUCT(('Dvd Calendar'!$E$902:$AR$902&gt;=DATE(YEAR_Y-2,1,1))*('Dvd Calendar'!$E$902:$AR$902&lt;=DATE(YEAR_Y-2,12,31))*'Dvd Calendar'!$E$905:$AR$905*(('Dvd Calendar'!$E$907:$AR$907=TYPE1)*(TYPE1&lt;&gt;"")+('Dvd Calendar'!$E$907:$AR$907=TYPE2)*(TYPE2&lt;&gt;"")+('Dvd Calendar'!$E$907:$AR$907=TYPE3)*(TYPE3&lt;&gt;"")+('Dvd Calendar'!$E$907:$AR$907=TYPE4)*(TYPE4&lt;&gt;"")+('Dvd Calendar'!$E$907:$AR$907=SPECIAL_LBL)*(INC_SPECIALS="Y"))))</f>
        <v/>
      </c>
      <c r="J93" s="132">
        <f>IF($C93="","",SUMPRODUCT(('Dvd Calendar'!$E$902:$AR$902&gt;=DATE(YEAR_Y-1,1,1))*('Dvd Calendar'!$E$902:$AR$902&lt;=DATE(YEAR_Y-1,12,31))*'Dvd Calendar'!$E$905:$AR$905*(('Dvd Calendar'!$E$907:$AR$907=TYPE1)*(TYPE1&lt;&gt;"")+('Dvd Calendar'!$E$907:$AR$907=TYPE2)*(TYPE2&lt;&gt;"")+('Dvd Calendar'!$E$907:$AR$907=TYPE3)*(TYPE3&lt;&gt;"")+('Dvd Calendar'!$E$907:$AR$907=TYPE4)*(TYPE4&lt;&gt;"")+('Dvd Calendar'!$E$907:$AR$907=SPECIAL_LBL)*(INC_SPECIALS="Y"))))</f>
        <v/>
      </c>
      <c r="K93" s="133">
        <f>IF($C93="","",HSI!$J$88)</f>
        <v/>
      </c>
      <c r="L93" s="133">
        <f>IF($C93="","",HSI!$K$88)</f>
        <v/>
      </c>
      <c r="M93" s="124">
        <f>IF($C93="","",HSI!$J$88+HSI!$L$88)</f>
        <v/>
      </c>
      <c r="N93" s="134">
        <f>IF($C93="","",IF(PULL_FUND="N","",IFERROR(BDP($C93,BESTDPS_FIELD,FWD_OVERRIDE,TEXT(MOD(YEAR_Y,100),"00")&amp;"Y"),"")))</f>
        <v/>
      </c>
      <c r="O93" s="133">
        <f>IF($C93="","",AVERAGE(F93:J93))</f>
        <v/>
      </c>
      <c r="P93" s="135">
        <f>IF($C93="","",IF(PULL_FUND="N","",IF(COUNTIFS('Fund History'!$J$494:$J$498,"&gt;="&amp;DATE(YEAR_Y-5,1,1),'Fund History'!$J$494:$J$498,"&lt;="&amp;DATE(YEAR_Y-5,12,31))=0,"",IFERROR($F93*HSI!$G$88/SUMIFS('Fund History'!$K$494:$K$498,'Fund History'!$J$494:$J$498,"&gt;="&amp;DATE(YEAR_Y-5,1,1),'Fund History'!$J$494:$J$498,"&lt;="&amp;DATE(YEAR_Y-5,12,31)),""))))</f>
        <v/>
      </c>
      <c r="Q93" s="136">
        <f>IF($C93="","",IF(PULL_FUND="N","",IF(COUNTIFS('Fund History'!$J$494:$J$498,"&gt;="&amp;DATE(YEAR_Y-4,1,1),'Fund History'!$J$494:$J$498,"&lt;="&amp;DATE(YEAR_Y-4,12,31))=0,"",IFERROR($G93*HSI!$G$88/SUMIFS('Fund History'!$K$494:$K$498,'Fund History'!$J$494:$J$498,"&gt;="&amp;DATE(YEAR_Y-4,1,1),'Fund History'!$J$494:$J$498,"&lt;="&amp;DATE(YEAR_Y-4,12,31)),""))))</f>
        <v/>
      </c>
      <c r="R93" s="136">
        <f>IF($C93="","",IF(PULL_FUND="N","",IF(COUNTIFS('Fund History'!$J$494:$J$498,"&gt;="&amp;DATE(YEAR_Y-3,1,1),'Fund History'!$J$494:$J$498,"&lt;="&amp;DATE(YEAR_Y-3,12,31))=0,"",IFERROR($H93*HSI!$G$88/SUMIFS('Fund History'!$K$494:$K$498,'Fund History'!$J$494:$J$498,"&gt;="&amp;DATE(YEAR_Y-3,1,1),'Fund History'!$J$494:$J$498,"&lt;="&amp;DATE(YEAR_Y-3,12,31)),""))))</f>
        <v/>
      </c>
      <c r="S93" s="136">
        <f>IF($C93="","",IF(PULL_FUND="N","",IF(COUNTIFS('Fund History'!$J$494:$J$498,"&gt;="&amp;DATE(YEAR_Y-2,1,1),'Fund History'!$J$494:$J$498,"&lt;="&amp;DATE(YEAR_Y-2,12,31))=0,"",IFERROR($I93*HSI!$G$88/SUMIFS('Fund History'!$K$494:$K$498,'Fund History'!$J$494:$J$498,"&gt;="&amp;DATE(YEAR_Y-2,1,1),'Fund History'!$J$494:$J$498,"&lt;="&amp;DATE(YEAR_Y-2,12,31)),""))))</f>
        <v/>
      </c>
      <c r="T93" s="136">
        <f>IF($C93="","",IF(PULL_FUND="N","",IF(COUNTIFS('Fund History'!$J$494:$J$498,"&gt;="&amp;DATE(YEAR_Y-1,1,1),'Fund History'!$J$494:$J$498,"&lt;="&amp;DATE(YEAR_Y-1,12,31))=0,"",IFERROR($J93*HSI!$G$88/SUMIFS('Fund History'!$K$494:$K$498,'Fund History'!$J$494:$J$498,"&gt;="&amp;DATE(YEAR_Y-1,1,1),'Fund History'!$J$494:$J$498,"&lt;="&amp;DATE(YEAR_Y-1,12,31)),""))))</f>
        <v/>
      </c>
      <c r="U93" s="137">
        <f>IF($C93="","",IF(ISNUMBER(HSI!$I$88),HSI!$I$88/100,""))</f>
        <v/>
      </c>
      <c r="V93" s="138">
        <f>IF($C93="","",IF(ISNUMBER(HSI!$X$88),IFERROR($M93*HSI!$G$88/HSI!$X$88,""),""))</f>
        <v/>
      </c>
      <c r="W93" s="137">
        <f>IF($C93="","",IF(ISNUMBER($N93),IFERROR($N93*HSI!$G$88/HSI!$X$88,""),""))</f>
        <v/>
      </c>
      <c r="X93" s="139">
        <f>IF($C93="","",IF(PULL_FUND="N","",IFERROR(BDP($C93,EPS_FIELD,YR_OVERRIDE,TEXT(YEAR_Y-5,"0")),"")))</f>
        <v/>
      </c>
      <c r="Y93" s="140">
        <f>IF($C93="","",IF(PULL_FUND="N","",IFERROR(BDP($C93,EPS_FIELD,YR_OVERRIDE,TEXT(YEAR_Y-4,"0")),"")))</f>
        <v/>
      </c>
      <c r="Z93" s="140">
        <f>IF($C93="","",IF(PULL_FUND="N","",IFERROR(BDP($C93,EPS_FIELD,YR_OVERRIDE,TEXT(YEAR_Y-3,"0")),"")))</f>
        <v/>
      </c>
      <c r="AA93" s="140">
        <f>IF($C93="","",IF(PULL_FUND="N","",IFERROR(BDP($C93,EPS_FIELD,YR_OVERRIDE,TEXT(YEAR_Y-2,"0")),"")))</f>
        <v/>
      </c>
      <c r="AB93" s="140">
        <f>IF($C93="","",IF(PULL_FUND="N","",IFERROR(BDP($C93,EPS_FIELD,YR_OVERRIDE,TEXT(YEAR_Y-1,"0")),"")))</f>
        <v/>
      </c>
      <c r="AC93" s="126">
        <f>IF($C93="","",IFERROR(AVERAGE(X93:AB93),""))</f>
        <v/>
      </c>
      <c r="AD93" s="140">
        <f>IF($C93="","",IF(PULL_FUND="N","",IFERROR(BDP($C93,BESTEPS_FIELD,FWD_OVERRIDE,TEXT(MOD(YEAR_Y,100),"00")&amp;"Y"),"")))</f>
        <v/>
      </c>
      <c r="AE93" s="141">
        <f>IF($C93="","",IF(PULL_FUND="N","",IFERROR(BDP($C93,PAYOUT_FIELD,YR_OVERRIDE,TEXT(YEAR_Y-5,"0"))/100,"")))</f>
        <v/>
      </c>
      <c r="AF93" s="142">
        <f>IF($C93="","",IF(PULL_FUND="N","",IFERROR(BDP($C93,PAYOUT_FIELD,YR_OVERRIDE,TEXT(YEAR_Y-4,"0"))/100,"")))</f>
        <v/>
      </c>
      <c r="AG93" s="142">
        <f>IF($C93="","",IF(PULL_FUND="N","",IFERROR(BDP($C93,PAYOUT_FIELD,YR_OVERRIDE,TEXT(YEAR_Y-3,"0"))/100,"")))</f>
        <v/>
      </c>
      <c r="AH93" s="142">
        <f>IF($C93="","",IF(PULL_FUND="N","",IFERROR(BDP($C93,PAYOUT_FIELD,YR_OVERRIDE,TEXT(YEAR_Y-2,"0"))/100,"")))</f>
        <v/>
      </c>
      <c r="AI93" s="142">
        <f>IF($C93="","",IF(PULL_FUND="N","",IFERROR(BDP($C93,PAYOUT_FIELD,YR_OVERRIDE,TEXT(YEAR_Y-1,"0"))/100,"")))</f>
        <v/>
      </c>
      <c r="AJ93" s="143">
        <f>IF($C93="","",IFERROR(AVERAGE(AE93:AI93),""))</f>
        <v/>
      </c>
      <c r="AK93" s="144">
        <f>IF($C93="","",IF(ISNUMBER($AD93)*ISNUMBER($N93)*($AD93&lt;&gt;0)=0,"",$N93/$AD93))</f>
        <v/>
      </c>
      <c r="AL93" s="143">
        <f>IF($C93="","",IF(ISNUMBER($AD93)*($AD93&lt;&gt;0)=0,"",$M93/$AD93))</f>
        <v/>
      </c>
      <c r="AM93" s="37">
        <f>IF($C93="","",IF(ISNUMBER($AE93)*ISNUMBER($AI93)=0,"",IF($AI93&gt;$AE93+0.05,"rising",IF($AI93&lt;$AE93-0.05,"falling","stable"))))</f>
        <v/>
      </c>
      <c r="AN93" s="145">
        <f>IF($C93="","",IF(PULL_FUND="N","",IF(COUNTIFS('Fund History'!$G$494:$G$498,"&gt;="&amp;DATE(YEAR_Y-4,1,1),'Fund History'!$G$494:$G$498,"&lt;="&amp;DATE(YEAR_Y-4,12,31))=0,"",SUMIFS('Fund History'!$H$494:$H$498,'Fund History'!$G$494:$G$498,"&gt;="&amp;DATE(YEAR_Y-4,1,1),'Fund History'!$G$494:$G$498,"&lt;="&amp;DATE(YEAR_Y-4,12,31))/100)))</f>
        <v/>
      </c>
      <c r="AO93" s="146">
        <f>IF($C93="","",IF(PULL_FUND="N","",IF(COUNTIFS('Fund History'!$G$494:$G$498,"&gt;="&amp;DATE(YEAR_Y-3,1,1),'Fund History'!$G$494:$G$498,"&lt;="&amp;DATE(YEAR_Y-3,12,31))=0,"",SUMIFS('Fund History'!$H$494:$H$498,'Fund History'!$G$494:$G$498,"&gt;="&amp;DATE(YEAR_Y-3,1,1),'Fund History'!$G$494:$G$498,"&lt;="&amp;DATE(YEAR_Y-3,12,31))/100)))</f>
        <v/>
      </c>
      <c r="AP93" s="146">
        <f>IF($C93="","",IF(PULL_FUND="N","",IF(COUNTIFS('Fund History'!$G$494:$G$498,"&gt;="&amp;DATE(YEAR_Y-2,1,1),'Fund History'!$G$494:$G$498,"&lt;="&amp;DATE(YEAR_Y-2,12,31))=0,"",SUMIFS('Fund History'!$H$494:$H$498,'Fund History'!$G$494:$G$498,"&gt;="&amp;DATE(YEAR_Y-2,1,1),'Fund History'!$G$494:$G$498,"&lt;="&amp;DATE(YEAR_Y-2,12,31))/100)))</f>
        <v/>
      </c>
      <c r="AQ93" s="146">
        <f>IF($C93="","",IF(PULL_FUND="N","",IF(COUNTIFS('Fund History'!$G$494:$G$498,"&gt;="&amp;DATE(YEAR_Y-1,1,1),'Fund History'!$G$494:$G$498,"&lt;="&amp;DATE(YEAR_Y-1,12,31))=0,"",SUMIFS('Fund History'!$H$494:$H$498,'Fund History'!$G$494:$G$498,"&gt;="&amp;DATE(YEAR_Y-1,1,1),'Fund History'!$G$494:$G$498,"&lt;="&amp;DATE(YEAR_Y-1,12,31))/100)))</f>
        <v/>
      </c>
      <c r="AR93" s="147">
        <f>IF($C93="","",IF(N($AQ93)+N(HSI!$I$88)=0,"",N($AQ93)+N(HSI!$I$88)/100))</f>
        <v/>
      </c>
      <c r="AS93" s="139">
        <f>IF($C93="","",IF(PULL_FUND="N","",IF(COUNTIFS('Fund History'!$D$494:$D$498,"&gt;="&amp;DATE(YEAR_Y-2,1,1),'Fund History'!$D$494:$D$498,"&lt;="&amp;DATE(YEAR_Y-2,12,31))=0,"",SUMIFS('Fund History'!$E$494:$E$498,'Fund History'!$D$494:$D$498,"&gt;="&amp;DATE(YEAR_Y-2,1,1),'Fund History'!$D$494:$D$498,"&lt;="&amp;DATE(YEAR_Y-2,12,31)))))</f>
        <v/>
      </c>
      <c r="AT93" s="140">
        <f>IF($C93="","",IF(PULL_FUND="N","",IF(COUNTIFS('Fund History'!$D$494:$D$498,"&gt;="&amp;DATE(YEAR_Y-1,1,1),'Fund History'!$D$494:$D$498,"&lt;="&amp;DATE(YEAR_Y-1,12,31))=0,"",SUMIFS('Fund History'!$E$494:$E$498,'Fund History'!$D$494:$D$498,"&gt;="&amp;DATE(YEAR_Y-1,1,1),'Fund History'!$D$494:$D$498,"&lt;="&amp;DATE(YEAR_Y-1,12,31)))))</f>
        <v/>
      </c>
      <c r="AU93" s="140">
        <f>IF($C93="","",IF(PULL_FUND="N","",IFERROR(BDP($C93,NDEBITDA_FIELD),"")))</f>
        <v/>
      </c>
      <c r="AV93" s="148">
        <f>IF($C93="","",IF(PULL_FUND="N","",IFERROR(BDP($C93,EBINT_FIELD),"")))</f>
        <v/>
      </c>
      <c r="AW93" s="146">
        <f>IF($C93="","",IF(PULL_FUND="N","",IFERROR(BDP($C93,FCF_FIELD)/100,"")))</f>
        <v/>
      </c>
      <c r="AX93" s="126">
        <f>IF($C93="","",IF(N($U93)=0,"",IFERROR($AW93/$U93,"")))</f>
        <v/>
      </c>
      <c r="AY93" s="85">
        <f>IF($C93="","",TRIM(IF(ISNUMBER($AJ93)*(N($AJ93)&gt;$D$4)&gt;0,"payout high  ","")&amp;IF(ISNUMBER($AX93)*(N($AX93)&lt;$F$4)&gt;0,"FCF below dvd  ","")&amp;IF(ISNUMBER($AU93)*(N($AU93)&gt;$H$4)&gt;0,"leverage high","")))</f>
        <v/>
      </c>
      <c r="AZ93" s="86">
        <f>IF($C93="","",IF(HSI!$F$88="HKD","",HSI!$F$88))</f>
        <v/>
      </c>
    </row>
    <row r="94">
      <c r="B94" s="66" t="inlineStr">
        <is>
          <t>HSI</t>
        </is>
      </c>
      <c r="C94" s="8">
        <f>IF(HSI!$C$89="","",HSI!$C$89)</f>
        <v/>
      </c>
      <c r="D94" s="8">
        <f>IF($C94="","",HSI!$D$89)</f>
        <v/>
      </c>
      <c r="E94" s="8">
        <f>IF($C94="","",HSI!$E$89)</f>
        <v/>
      </c>
      <c r="F94" s="131">
        <f>IF($C94="","",SUMPRODUCT(('Dvd Calendar'!$E$913:$AR$913&gt;=DATE(YEAR_Y-5,1,1))*('Dvd Calendar'!$E$913:$AR$913&lt;=DATE(YEAR_Y-5,12,31))*'Dvd Calendar'!$E$916:$AR$916*(('Dvd Calendar'!$E$918:$AR$918=TYPE1)*(TYPE1&lt;&gt;"")+('Dvd Calendar'!$E$918:$AR$918=TYPE2)*(TYPE2&lt;&gt;"")+('Dvd Calendar'!$E$918:$AR$918=TYPE3)*(TYPE3&lt;&gt;"")+('Dvd Calendar'!$E$918:$AR$918=TYPE4)*(TYPE4&lt;&gt;"")+('Dvd Calendar'!$E$918:$AR$918=SPECIAL_LBL)*(INC_SPECIALS="Y"))))</f>
        <v/>
      </c>
      <c r="G94" s="132">
        <f>IF($C94="","",SUMPRODUCT(('Dvd Calendar'!$E$913:$AR$913&gt;=DATE(YEAR_Y-4,1,1))*('Dvd Calendar'!$E$913:$AR$913&lt;=DATE(YEAR_Y-4,12,31))*'Dvd Calendar'!$E$916:$AR$916*(('Dvd Calendar'!$E$918:$AR$918=TYPE1)*(TYPE1&lt;&gt;"")+('Dvd Calendar'!$E$918:$AR$918=TYPE2)*(TYPE2&lt;&gt;"")+('Dvd Calendar'!$E$918:$AR$918=TYPE3)*(TYPE3&lt;&gt;"")+('Dvd Calendar'!$E$918:$AR$918=TYPE4)*(TYPE4&lt;&gt;"")+('Dvd Calendar'!$E$918:$AR$918=SPECIAL_LBL)*(INC_SPECIALS="Y"))))</f>
        <v/>
      </c>
      <c r="H94" s="132">
        <f>IF($C94="","",SUMPRODUCT(('Dvd Calendar'!$E$913:$AR$913&gt;=DATE(YEAR_Y-3,1,1))*('Dvd Calendar'!$E$913:$AR$913&lt;=DATE(YEAR_Y-3,12,31))*'Dvd Calendar'!$E$916:$AR$916*(('Dvd Calendar'!$E$918:$AR$918=TYPE1)*(TYPE1&lt;&gt;"")+('Dvd Calendar'!$E$918:$AR$918=TYPE2)*(TYPE2&lt;&gt;"")+('Dvd Calendar'!$E$918:$AR$918=TYPE3)*(TYPE3&lt;&gt;"")+('Dvd Calendar'!$E$918:$AR$918=TYPE4)*(TYPE4&lt;&gt;"")+('Dvd Calendar'!$E$918:$AR$918=SPECIAL_LBL)*(INC_SPECIALS="Y"))))</f>
        <v/>
      </c>
      <c r="I94" s="132">
        <f>IF($C94="","",SUMPRODUCT(('Dvd Calendar'!$E$913:$AR$913&gt;=DATE(YEAR_Y-2,1,1))*('Dvd Calendar'!$E$913:$AR$913&lt;=DATE(YEAR_Y-2,12,31))*'Dvd Calendar'!$E$916:$AR$916*(('Dvd Calendar'!$E$918:$AR$918=TYPE1)*(TYPE1&lt;&gt;"")+('Dvd Calendar'!$E$918:$AR$918=TYPE2)*(TYPE2&lt;&gt;"")+('Dvd Calendar'!$E$918:$AR$918=TYPE3)*(TYPE3&lt;&gt;"")+('Dvd Calendar'!$E$918:$AR$918=TYPE4)*(TYPE4&lt;&gt;"")+('Dvd Calendar'!$E$918:$AR$918=SPECIAL_LBL)*(INC_SPECIALS="Y"))))</f>
        <v/>
      </c>
      <c r="J94" s="132">
        <f>IF($C94="","",SUMPRODUCT(('Dvd Calendar'!$E$913:$AR$913&gt;=DATE(YEAR_Y-1,1,1))*('Dvd Calendar'!$E$913:$AR$913&lt;=DATE(YEAR_Y-1,12,31))*'Dvd Calendar'!$E$916:$AR$916*(('Dvd Calendar'!$E$918:$AR$918=TYPE1)*(TYPE1&lt;&gt;"")+('Dvd Calendar'!$E$918:$AR$918=TYPE2)*(TYPE2&lt;&gt;"")+('Dvd Calendar'!$E$918:$AR$918=TYPE3)*(TYPE3&lt;&gt;"")+('Dvd Calendar'!$E$918:$AR$918=TYPE4)*(TYPE4&lt;&gt;"")+('Dvd Calendar'!$E$918:$AR$918=SPECIAL_LBL)*(INC_SPECIALS="Y"))))</f>
        <v/>
      </c>
      <c r="K94" s="133">
        <f>IF($C94="","",HSI!$J$89)</f>
        <v/>
      </c>
      <c r="L94" s="133">
        <f>IF($C94="","",HSI!$K$89)</f>
        <v/>
      </c>
      <c r="M94" s="124">
        <f>IF($C94="","",HSI!$J$89+HSI!$L$89)</f>
        <v/>
      </c>
      <c r="N94" s="134">
        <f>IF($C94="","",IF(PULL_FUND="N","",IFERROR(BDP($C94,BESTDPS_FIELD,FWD_OVERRIDE,TEXT(MOD(YEAR_Y,100),"00")&amp;"Y"),"")))</f>
        <v/>
      </c>
      <c r="O94" s="133">
        <f>IF($C94="","",AVERAGE(F94:J94))</f>
        <v/>
      </c>
      <c r="P94" s="135">
        <f>IF($C94="","",IF(PULL_FUND="N","",IF(COUNTIFS('Fund History'!$J$500:$J$504,"&gt;="&amp;DATE(YEAR_Y-5,1,1),'Fund History'!$J$500:$J$504,"&lt;="&amp;DATE(YEAR_Y-5,12,31))=0,"",IFERROR($F94*HSI!$G$89/SUMIFS('Fund History'!$K$500:$K$504,'Fund History'!$J$500:$J$504,"&gt;="&amp;DATE(YEAR_Y-5,1,1),'Fund History'!$J$500:$J$504,"&lt;="&amp;DATE(YEAR_Y-5,12,31)),""))))</f>
        <v/>
      </c>
      <c r="Q94" s="136">
        <f>IF($C94="","",IF(PULL_FUND="N","",IF(COUNTIFS('Fund History'!$J$500:$J$504,"&gt;="&amp;DATE(YEAR_Y-4,1,1),'Fund History'!$J$500:$J$504,"&lt;="&amp;DATE(YEAR_Y-4,12,31))=0,"",IFERROR($G94*HSI!$G$89/SUMIFS('Fund History'!$K$500:$K$504,'Fund History'!$J$500:$J$504,"&gt;="&amp;DATE(YEAR_Y-4,1,1),'Fund History'!$J$500:$J$504,"&lt;="&amp;DATE(YEAR_Y-4,12,31)),""))))</f>
        <v/>
      </c>
      <c r="R94" s="136">
        <f>IF($C94="","",IF(PULL_FUND="N","",IF(COUNTIFS('Fund History'!$J$500:$J$504,"&gt;="&amp;DATE(YEAR_Y-3,1,1),'Fund History'!$J$500:$J$504,"&lt;="&amp;DATE(YEAR_Y-3,12,31))=0,"",IFERROR($H94*HSI!$G$89/SUMIFS('Fund History'!$K$500:$K$504,'Fund History'!$J$500:$J$504,"&gt;="&amp;DATE(YEAR_Y-3,1,1),'Fund History'!$J$500:$J$504,"&lt;="&amp;DATE(YEAR_Y-3,12,31)),""))))</f>
        <v/>
      </c>
      <c r="S94" s="136">
        <f>IF($C94="","",IF(PULL_FUND="N","",IF(COUNTIFS('Fund History'!$J$500:$J$504,"&gt;="&amp;DATE(YEAR_Y-2,1,1),'Fund History'!$J$500:$J$504,"&lt;="&amp;DATE(YEAR_Y-2,12,31))=0,"",IFERROR($I94*HSI!$G$89/SUMIFS('Fund History'!$K$500:$K$504,'Fund History'!$J$500:$J$504,"&gt;="&amp;DATE(YEAR_Y-2,1,1),'Fund History'!$J$500:$J$504,"&lt;="&amp;DATE(YEAR_Y-2,12,31)),""))))</f>
        <v/>
      </c>
      <c r="T94" s="136">
        <f>IF($C94="","",IF(PULL_FUND="N","",IF(COUNTIFS('Fund History'!$J$500:$J$504,"&gt;="&amp;DATE(YEAR_Y-1,1,1),'Fund History'!$J$500:$J$504,"&lt;="&amp;DATE(YEAR_Y-1,12,31))=0,"",IFERROR($J94*HSI!$G$89/SUMIFS('Fund History'!$K$500:$K$504,'Fund History'!$J$500:$J$504,"&gt;="&amp;DATE(YEAR_Y-1,1,1),'Fund History'!$J$500:$J$504,"&lt;="&amp;DATE(YEAR_Y-1,12,31)),""))))</f>
        <v/>
      </c>
      <c r="U94" s="137">
        <f>IF($C94="","",IF(ISNUMBER(HSI!$I$89),HSI!$I$89/100,""))</f>
        <v/>
      </c>
      <c r="V94" s="138">
        <f>IF($C94="","",IF(ISNUMBER(HSI!$X$89),IFERROR($M94*HSI!$G$89/HSI!$X$89,""),""))</f>
        <v/>
      </c>
      <c r="W94" s="137">
        <f>IF($C94="","",IF(ISNUMBER($N94),IFERROR($N94*HSI!$G$89/HSI!$X$89,""),""))</f>
        <v/>
      </c>
      <c r="X94" s="139">
        <f>IF($C94="","",IF(PULL_FUND="N","",IFERROR(BDP($C94,EPS_FIELD,YR_OVERRIDE,TEXT(YEAR_Y-5,"0")),"")))</f>
        <v/>
      </c>
      <c r="Y94" s="140">
        <f>IF($C94="","",IF(PULL_FUND="N","",IFERROR(BDP($C94,EPS_FIELD,YR_OVERRIDE,TEXT(YEAR_Y-4,"0")),"")))</f>
        <v/>
      </c>
      <c r="Z94" s="140">
        <f>IF($C94="","",IF(PULL_FUND="N","",IFERROR(BDP($C94,EPS_FIELD,YR_OVERRIDE,TEXT(YEAR_Y-3,"0")),"")))</f>
        <v/>
      </c>
      <c r="AA94" s="140">
        <f>IF($C94="","",IF(PULL_FUND="N","",IFERROR(BDP($C94,EPS_FIELD,YR_OVERRIDE,TEXT(YEAR_Y-2,"0")),"")))</f>
        <v/>
      </c>
      <c r="AB94" s="140">
        <f>IF($C94="","",IF(PULL_FUND="N","",IFERROR(BDP($C94,EPS_FIELD,YR_OVERRIDE,TEXT(YEAR_Y-1,"0")),"")))</f>
        <v/>
      </c>
      <c r="AC94" s="126">
        <f>IF($C94="","",IFERROR(AVERAGE(X94:AB94),""))</f>
        <v/>
      </c>
      <c r="AD94" s="140">
        <f>IF($C94="","",IF(PULL_FUND="N","",IFERROR(BDP($C94,BESTEPS_FIELD,FWD_OVERRIDE,TEXT(MOD(YEAR_Y,100),"00")&amp;"Y"),"")))</f>
        <v/>
      </c>
      <c r="AE94" s="141">
        <f>IF($C94="","",IF(PULL_FUND="N","",IFERROR(BDP($C94,PAYOUT_FIELD,YR_OVERRIDE,TEXT(YEAR_Y-5,"0"))/100,"")))</f>
        <v/>
      </c>
      <c r="AF94" s="142">
        <f>IF($C94="","",IF(PULL_FUND="N","",IFERROR(BDP($C94,PAYOUT_FIELD,YR_OVERRIDE,TEXT(YEAR_Y-4,"0"))/100,"")))</f>
        <v/>
      </c>
      <c r="AG94" s="142">
        <f>IF($C94="","",IF(PULL_FUND="N","",IFERROR(BDP($C94,PAYOUT_FIELD,YR_OVERRIDE,TEXT(YEAR_Y-3,"0"))/100,"")))</f>
        <v/>
      </c>
      <c r="AH94" s="142">
        <f>IF($C94="","",IF(PULL_FUND="N","",IFERROR(BDP($C94,PAYOUT_FIELD,YR_OVERRIDE,TEXT(YEAR_Y-2,"0"))/100,"")))</f>
        <v/>
      </c>
      <c r="AI94" s="142">
        <f>IF($C94="","",IF(PULL_FUND="N","",IFERROR(BDP($C94,PAYOUT_FIELD,YR_OVERRIDE,TEXT(YEAR_Y-1,"0"))/100,"")))</f>
        <v/>
      </c>
      <c r="AJ94" s="143">
        <f>IF($C94="","",IFERROR(AVERAGE(AE94:AI94),""))</f>
        <v/>
      </c>
      <c r="AK94" s="144">
        <f>IF($C94="","",IF(ISNUMBER($AD94)*ISNUMBER($N94)*($AD94&lt;&gt;0)=0,"",$N94/$AD94))</f>
        <v/>
      </c>
      <c r="AL94" s="143">
        <f>IF($C94="","",IF(ISNUMBER($AD94)*($AD94&lt;&gt;0)=0,"",$M94/$AD94))</f>
        <v/>
      </c>
      <c r="AM94" s="37">
        <f>IF($C94="","",IF(ISNUMBER($AE94)*ISNUMBER($AI94)=0,"",IF($AI94&gt;$AE94+0.05,"rising",IF($AI94&lt;$AE94-0.05,"falling","stable"))))</f>
        <v/>
      </c>
      <c r="AN94" s="145">
        <f>IF($C94="","",IF(PULL_FUND="N","",IF(COUNTIFS('Fund History'!$G$500:$G$504,"&gt;="&amp;DATE(YEAR_Y-4,1,1),'Fund History'!$G$500:$G$504,"&lt;="&amp;DATE(YEAR_Y-4,12,31))=0,"",SUMIFS('Fund History'!$H$500:$H$504,'Fund History'!$G$500:$G$504,"&gt;="&amp;DATE(YEAR_Y-4,1,1),'Fund History'!$G$500:$G$504,"&lt;="&amp;DATE(YEAR_Y-4,12,31))/100)))</f>
        <v/>
      </c>
      <c r="AO94" s="146">
        <f>IF($C94="","",IF(PULL_FUND="N","",IF(COUNTIFS('Fund History'!$G$500:$G$504,"&gt;="&amp;DATE(YEAR_Y-3,1,1),'Fund History'!$G$500:$G$504,"&lt;="&amp;DATE(YEAR_Y-3,12,31))=0,"",SUMIFS('Fund History'!$H$500:$H$504,'Fund History'!$G$500:$G$504,"&gt;="&amp;DATE(YEAR_Y-3,1,1),'Fund History'!$G$500:$G$504,"&lt;="&amp;DATE(YEAR_Y-3,12,31))/100)))</f>
        <v/>
      </c>
      <c r="AP94" s="146">
        <f>IF($C94="","",IF(PULL_FUND="N","",IF(COUNTIFS('Fund History'!$G$500:$G$504,"&gt;="&amp;DATE(YEAR_Y-2,1,1),'Fund History'!$G$500:$G$504,"&lt;="&amp;DATE(YEAR_Y-2,12,31))=0,"",SUMIFS('Fund History'!$H$500:$H$504,'Fund History'!$G$500:$G$504,"&gt;="&amp;DATE(YEAR_Y-2,1,1),'Fund History'!$G$500:$G$504,"&lt;="&amp;DATE(YEAR_Y-2,12,31))/100)))</f>
        <v/>
      </c>
      <c r="AQ94" s="146">
        <f>IF($C94="","",IF(PULL_FUND="N","",IF(COUNTIFS('Fund History'!$G$500:$G$504,"&gt;="&amp;DATE(YEAR_Y-1,1,1),'Fund History'!$G$500:$G$504,"&lt;="&amp;DATE(YEAR_Y-1,12,31))=0,"",SUMIFS('Fund History'!$H$500:$H$504,'Fund History'!$G$500:$G$504,"&gt;="&amp;DATE(YEAR_Y-1,1,1),'Fund History'!$G$500:$G$504,"&lt;="&amp;DATE(YEAR_Y-1,12,31))/100)))</f>
        <v/>
      </c>
      <c r="AR94" s="147">
        <f>IF($C94="","",IF(N($AQ94)+N(HSI!$I$89)=0,"",N($AQ94)+N(HSI!$I$89)/100))</f>
        <v/>
      </c>
      <c r="AS94" s="139">
        <f>IF($C94="","",IF(PULL_FUND="N","",IF(COUNTIFS('Fund History'!$D$500:$D$504,"&gt;="&amp;DATE(YEAR_Y-2,1,1),'Fund History'!$D$500:$D$504,"&lt;="&amp;DATE(YEAR_Y-2,12,31))=0,"",SUMIFS('Fund History'!$E$500:$E$504,'Fund History'!$D$500:$D$504,"&gt;="&amp;DATE(YEAR_Y-2,1,1),'Fund History'!$D$500:$D$504,"&lt;="&amp;DATE(YEAR_Y-2,12,31)))))</f>
        <v/>
      </c>
      <c r="AT94" s="140">
        <f>IF($C94="","",IF(PULL_FUND="N","",IF(COUNTIFS('Fund History'!$D$500:$D$504,"&gt;="&amp;DATE(YEAR_Y-1,1,1),'Fund History'!$D$500:$D$504,"&lt;="&amp;DATE(YEAR_Y-1,12,31))=0,"",SUMIFS('Fund History'!$E$500:$E$504,'Fund History'!$D$500:$D$504,"&gt;="&amp;DATE(YEAR_Y-1,1,1),'Fund History'!$D$500:$D$504,"&lt;="&amp;DATE(YEAR_Y-1,12,31)))))</f>
        <v/>
      </c>
      <c r="AU94" s="140">
        <f>IF($C94="","",IF(PULL_FUND="N","",IFERROR(BDP($C94,NDEBITDA_FIELD),"")))</f>
        <v/>
      </c>
      <c r="AV94" s="148">
        <f>IF($C94="","",IF(PULL_FUND="N","",IFERROR(BDP($C94,EBINT_FIELD),"")))</f>
        <v/>
      </c>
      <c r="AW94" s="146">
        <f>IF($C94="","",IF(PULL_FUND="N","",IFERROR(BDP($C94,FCF_FIELD)/100,"")))</f>
        <v/>
      </c>
      <c r="AX94" s="126">
        <f>IF($C94="","",IF(N($U94)=0,"",IFERROR($AW94/$U94,"")))</f>
        <v/>
      </c>
      <c r="AY94" s="85">
        <f>IF($C94="","",TRIM(IF(ISNUMBER($AJ94)*(N($AJ94)&gt;$D$4)&gt;0,"payout high  ","")&amp;IF(ISNUMBER($AX94)*(N($AX94)&lt;$F$4)&gt;0,"FCF below dvd  ","")&amp;IF(ISNUMBER($AU94)*(N($AU94)&gt;$H$4)&gt;0,"leverage high","")))</f>
        <v/>
      </c>
      <c r="AZ94" s="86">
        <f>IF($C94="","",IF(HSI!$F$89="HKD","",HSI!$F$89))</f>
        <v/>
      </c>
    </row>
    <row r="95">
      <c r="B95" s="66" t="inlineStr">
        <is>
          <t>HSI</t>
        </is>
      </c>
      <c r="C95" s="8">
        <f>IF(HSI!$C$90="","",HSI!$C$90)</f>
        <v/>
      </c>
      <c r="D95" s="8">
        <f>IF($C95="","",HSI!$D$90)</f>
        <v/>
      </c>
      <c r="E95" s="8">
        <f>IF($C95="","",HSI!$E$90)</f>
        <v/>
      </c>
      <c r="F95" s="131">
        <f>IF($C95="","",SUMPRODUCT(('Dvd Calendar'!$E$924:$AR$924&gt;=DATE(YEAR_Y-5,1,1))*('Dvd Calendar'!$E$924:$AR$924&lt;=DATE(YEAR_Y-5,12,31))*'Dvd Calendar'!$E$927:$AR$927*(('Dvd Calendar'!$E$929:$AR$929=TYPE1)*(TYPE1&lt;&gt;"")+('Dvd Calendar'!$E$929:$AR$929=TYPE2)*(TYPE2&lt;&gt;"")+('Dvd Calendar'!$E$929:$AR$929=TYPE3)*(TYPE3&lt;&gt;"")+('Dvd Calendar'!$E$929:$AR$929=TYPE4)*(TYPE4&lt;&gt;"")+('Dvd Calendar'!$E$929:$AR$929=SPECIAL_LBL)*(INC_SPECIALS="Y"))))</f>
        <v/>
      </c>
      <c r="G95" s="132">
        <f>IF($C95="","",SUMPRODUCT(('Dvd Calendar'!$E$924:$AR$924&gt;=DATE(YEAR_Y-4,1,1))*('Dvd Calendar'!$E$924:$AR$924&lt;=DATE(YEAR_Y-4,12,31))*'Dvd Calendar'!$E$927:$AR$927*(('Dvd Calendar'!$E$929:$AR$929=TYPE1)*(TYPE1&lt;&gt;"")+('Dvd Calendar'!$E$929:$AR$929=TYPE2)*(TYPE2&lt;&gt;"")+('Dvd Calendar'!$E$929:$AR$929=TYPE3)*(TYPE3&lt;&gt;"")+('Dvd Calendar'!$E$929:$AR$929=TYPE4)*(TYPE4&lt;&gt;"")+('Dvd Calendar'!$E$929:$AR$929=SPECIAL_LBL)*(INC_SPECIALS="Y"))))</f>
        <v/>
      </c>
      <c r="H95" s="132">
        <f>IF($C95="","",SUMPRODUCT(('Dvd Calendar'!$E$924:$AR$924&gt;=DATE(YEAR_Y-3,1,1))*('Dvd Calendar'!$E$924:$AR$924&lt;=DATE(YEAR_Y-3,12,31))*'Dvd Calendar'!$E$927:$AR$927*(('Dvd Calendar'!$E$929:$AR$929=TYPE1)*(TYPE1&lt;&gt;"")+('Dvd Calendar'!$E$929:$AR$929=TYPE2)*(TYPE2&lt;&gt;"")+('Dvd Calendar'!$E$929:$AR$929=TYPE3)*(TYPE3&lt;&gt;"")+('Dvd Calendar'!$E$929:$AR$929=TYPE4)*(TYPE4&lt;&gt;"")+('Dvd Calendar'!$E$929:$AR$929=SPECIAL_LBL)*(INC_SPECIALS="Y"))))</f>
        <v/>
      </c>
      <c r="I95" s="132">
        <f>IF($C95="","",SUMPRODUCT(('Dvd Calendar'!$E$924:$AR$924&gt;=DATE(YEAR_Y-2,1,1))*('Dvd Calendar'!$E$924:$AR$924&lt;=DATE(YEAR_Y-2,12,31))*'Dvd Calendar'!$E$927:$AR$927*(('Dvd Calendar'!$E$929:$AR$929=TYPE1)*(TYPE1&lt;&gt;"")+('Dvd Calendar'!$E$929:$AR$929=TYPE2)*(TYPE2&lt;&gt;"")+('Dvd Calendar'!$E$929:$AR$929=TYPE3)*(TYPE3&lt;&gt;"")+('Dvd Calendar'!$E$929:$AR$929=TYPE4)*(TYPE4&lt;&gt;"")+('Dvd Calendar'!$E$929:$AR$929=SPECIAL_LBL)*(INC_SPECIALS="Y"))))</f>
        <v/>
      </c>
      <c r="J95" s="132">
        <f>IF($C95="","",SUMPRODUCT(('Dvd Calendar'!$E$924:$AR$924&gt;=DATE(YEAR_Y-1,1,1))*('Dvd Calendar'!$E$924:$AR$924&lt;=DATE(YEAR_Y-1,12,31))*'Dvd Calendar'!$E$927:$AR$927*(('Dvd Calendar'!$E$929:$AR$929=TYPE1)*(TYPE1&lt;&gt;"")+('Dvd Calendar'!$E$929:$AR$929=TYPE2)*(TYPE2&lt;&gt;"")+('Dvd Calendar'!$E$929:$AR$929=TYPE3)*(TYPE3&lt;&gt;"")+('Dvd Calendar'!$E$929:$AR$929=TYPE4)*(TYPE4&lt;&gt;"")+('Dvd Calendar'!$E$929:$AR$929=SPECIAL_LBL)*(INC_SPECIALS="Y"))))</f>
        <v/>
      </c>
      <c r="K95" s="133">
        <f>IF($C95="","",HSI!$J$90)</f>
        <v/>
      </c>
      <c r="L95" s="133">
        <f>IF($C95="","",HSI!$K$90)</f>
        <v/>
      </c>
      <c r="M95" s="124">
        <f>IF($C95="","",HSI!$J$90+HSI!$L$90)</f>
        <v/>
      </c>
      <c r="N95" s="134">
        <f>IF($C95="","",IF(PULL_FUND="N","",IFERROR(BDP($C95,BESTDPS_FIELD,FWD_OVERRIDE,TEXT(MOD(YEAR_Y,100),"00")&amp;"Y"),"")))</f>
        <v/>
      </c>
      <c r="O95" s="133">
        <f>IF($C95="","",AVERAGE(F95:J95))</f>
        <v/>
      </c>
      <c r="P95" s="135">
        <f>IF($C95="","",IF(PULL_FUND="N","",IF(COUNTIFS('Fund History'!$J$506:$J$510,"&gt;="&amp;DATE(YEAR_Y-5,1,1),'Fund History'!$J$506:$J$510,"&lt;="&amp;DATE(YEAR_Y-5,12,31))=0,"",IFERROR($F95*HSI!$G$90/SUMIFS('Fund History'!$K$506:$K$510,'Fund History'!$J$506:$J$510,"&gt;="&amp;DATE(YEAR_Y-5,1,1),'Fund History'!$J$506:$J$510,"&lt;="&amp;DATE(YEAR_Y-5,12,31)),""))))</f>
        <v/>
      </c>
      <c r="Q95" s="136">
        <f>IF($C95="","",IF(PULL_FUND="N","",IF(COUNTIFS('Fund History'!$J$506:$J$510,"&gt;="&amp;DATE(YEAR_Y-4,1,1),'Fund History'!$J$506:$J$510,"&lt;="&amp;DATE(YEAR_Y-4,12,31))=0,"",IFERROR($G95*HSI!$G$90/SUMIFS('Fund History'!$K$506:$K$510,'Fund History'!$J$506:$J$510,"&gt;="&amp;DATE(YEAR_Y-4,1,1),'Fund History'!$J$506:$J$510,"&lt;="&amp;DATE(YEAR_Y-4,12,31)),""))))</f>
        <v/>
      </c>
      <c r="R95" s="136">
        <f>IF($C95="","",IF(PULL_FUND="N","",IF(COUNTIFS('Fund History'!$J$506:$J$510,"&gt;="&amp;DATE(YEAR_Y-3,1,1),'Fund History'!$J$506:$J$510,"&lt;="&amp;DATE(YEAR_Y-3,12,31))=0,"",IFERROR($H95*HSI!$G$90/SUMIFS('Fund History'!$K$506:$K$510,'Fund History'!$J$506:$J$510,"&gt;="&amp;DATE(YEAR_Y-3,1,1),'Fund History'!$J$506:$J$510,"&lt;="&amp;DATE(YEAR_Y-3,12,31)),""))))</f>
        <v/>
      </c>
      <c r="S95" s="136">
        <f>IF($C95="","",IF(PULL_FUND="N","",IF(COUNTIFS('Fund History'!$J$506:$J$510,"&gt;="&amp;DATE(YEAR_Y-2,1,1),'Fund History'!$J$506:$J$510,"&lt;="&amp;DATE(YEAR_Y-2,12,31))=0,"",IFERROR($I95*HSI!$G$90/SUMIFS('Fund History'!$K$506:$K$510,'Fund History'!$J$506:$J$510,"&gt;="&amp;DATE(YEAR_Y-2,1,1),'Fund History'!$J$506:$J$510,"&lt;="&amp;DATE(YEAR_Y-2,12,31)),""))))</f>
        <v/>
      </c>
      <c r="T95" s="136">
        <f>IF($C95="","",IF(PULL_FUND="N","",IF(COUNTIFS('Fund History'!$J$506:$J$510,"&gt;="&amp;DATE(YEAR_Y-1,1,1),'Fund History'!$J$506:$J$510,"&lt;="&amp;DATE(YEAR_Y-1,12,31))=0,"",IFERROR($J95*HSI!$G$90/SUMIFS('Fund History'!$K$506:$K$510,'Fund History'!$J$506:$J$510,"&gt;="&amp;DATE(YEAR_Y-1,1,1),'Fund History'!$J$506:$J$510,"&lt;="&amp;DATE(YEAR_Y-1,12,31)),""))))</f>
        <v/>
      </c>
      <c r="U95" s="137">
        <f>IF($C95="","",IF(ISNUMBER(HSI!$I$90),HSI!$I$90/100,""))</f>
        <v/>
      </c>
      <c r="V95" s="138">
        <f>IF($C95="","",IF(ISNUMBER(HSI!$X$90),IFERROR($M95*HSI!$G$90/HSI!$X$90,""),""))</f>
        <v/>
      </c>
      <c r="W95" s="137">
        <f>IF($C95="","",IF(ISNUMBER($N95),IFERROR($N95*HSI!$G$90/HSI!$X$90,""),""))</f>
        <v/>
      </c>
      <c r="X95" s="139">
        <f>IF($C95="","",IF(PULL_FUND="N","",IFERROR(BDP($C95,EPS_FIELD,YR_OVERRIDE,TEXT(YEAR_Y-5,"0")),"")))</f>
        <v/>
      </c>
      <c r="Y95" s="140">
        <f>IF($C95="","",IF(PULL_FUND="N","",IFERROR(BDP($C95,EPS_FIELD,YR_OVERRIDE,TEXT(YEAR_Y-4,"0")),"")))</f>
        <v/>
      </c>
      <c r="Z95" s="140">
        <f>IF($C95="","",IF(PULL_FUND="N","",IFERROR(BDP($C95,EPS_FIELD,YR_OVERRIDE,TEXT(YEAR_Y-3,"0")),"")))</f>
        <v/>
      </c>
      <c r="AA95" s="140">
        <f>IF($C95="","",IF(PULL_FUND="N","",IFERROR(BDP($C95,EPS_FIELD,YR_OVERRIDE,TEXT(YEAR_Y-2,"0")),"")))</f>
        <v/>
      </c>
      <c r="AB95" s="140">
        <f>IF($C95="","",IF(PULL_FUND="N","",IFERROR(BDP($C95,EPS_FIELD,YR_OVERRIDE,TEXT(YEAR_Y-1,"0")),"")))</f>
        <v/>
      </c>
      <c r="AC95" s="126">
        <f>IF($C95="","",IFERROR(AVERAGE(X95:AB95),""))</f>
        <v/>
      </c>
      <c r="AD95" s="140">
        <f>IF($C95="","",IF(PULL_FUND="N","",IFERROR(BDP($C95,BESTEPS_FIELD,FWD_OVERRIDE,TEXT(MOD(YEAR_Y,100),"00")&amp;"Y"),"")))</f>
        <v/>
      </c>
      <c r="AE95" s="141">
        <f>IF($C95="","",IF(PULL_FUND="N","",IFERROR(BDP($C95,PAYOUT_FIELD,YR_OVERRIDE,TEXT(YEAR_Y-5,"0"))/100,"")))</f>
        <v/>
      </c>
      <c r="AF95" s="142">
        <f>IF($C95="","",IF(PULL_FUND="N","",IFERROR(BDP($C95,PAYOUT_FIELD,YR_OVERRIDE,TEXT(YEAR_Y-4,"0"))/100,"")))</f>
        <v/>
      </c>
      <c r="AG95" s="142">
        <f>IF($C95="","",IF(PULL_FUND="N","",IFERROR(BDP($C95,PAYOUT_FIELD,YR_OVERRIDE,TEXT(YEAR_Y-3,"0"))/100,"")))</f>
        <v/>
      </c>
      <c r="AH95" s="142">
        <f>IF($C95="","",IF(PULL_FUND="N","",IFERROR(BDP($C95,PAYOUT_FIELD,YR_OVERRIDE,TEXT(YEAR_Y-2,"0"))/100,"")))</f>
        <v/>
      </c>
      <c r="AI95" s="142">
        <f>IF($C95="","",IF(PULL_FUND="N","",IFERROR(BDP($C95,PAYOUT_FIELD,YR_OVERRIDE,TEXT(YEAR_Y-1,"0"))/100,"")))</f>
        <v/>
      </c>
      <c r="AJ95" s="143">
        <f>IF($C95="","",IFERROR(AVERAGE(AE95:AI95),""))</f>
        <v/>
      </c>
      <c r="AK95" s="144">
        <f>IF($C95="","",IF(ISNUMBER($AD95)*ISNUMBER($N95)*($AD95&lt;&gt;0)=0,"",$N95/$AD95))</f>
        <v/>
      </c>
      <c r="AL95" s="143">
        <f>IF($C95="","",IF(ISNUMBER($AD95)*($AD95&lt;&gt;0)=0,"",$M95/$AD95))</f>
        <v/>
      </c>
      <c r="AM95" s="37">
        <f>IF($C95="","",IF(ISNUMBER($AE95)*ISNUMBER($AI95)=0,"",IF($AI95&gt;$AE95+0.05,"rising",IF($AI95&lt;$AE95-0.05,"falling","stable"))))</f>
        <v/>
      </c>
      <c r="AN95" s="145">
        <f>IF($C95="","",IF(PULL_FUND="N","",IF(COUNTIFS('Fund History'!$G$506:$G$510,"&gt;="&amp;DATE(YEAR_Y-4,1,1),'Fund History'!$G$506:$G$510,"&lt;="&amp;DATE(YEAR_Y-4,12,31))=0,"",SUMIFS('Fund History'!$H$506:$H$510,'Fund History'!$G$506:$G$510,"&gt;="&amp;DATE(YEAR_Y-4,1,1),'Fund History'!$G$506:$G$510,"&lt;="&amp;DATE(YEAR_Y-4,12,31))/100)))</f>
        <v/>
      </c>
      <c r="AO95" s="146">
        <f>IF($C95="","",IF(PULL_FUND="N","",IF(COUNTIFS('Fund History'!$G$506:$G$510,"&gt;="&amp;DATE(YEAR_Y-3,1,1),'Fund History'!$G$506:$G$510,"&lt;="&amp;DATE(YEAR_Y-3,12,31))=0,"",SUMIFS('Fund History'!$H$506:$H$510,'Fund History'!$G$506:$G$510,"&gt;="&amp;DATE(YEAR_Y-3,1,1),'Fund History'!$G$506:$G$510,"&lt;="&amp;DATE(YEAR_Y-3,12,31))/100)))</f>
        <v/>
      </c>
      <c r="AP95" s="146">
        <f>IF($C95="","",IF(PULL_FUND="N","",IF(COUNTIFS('Fund History'!$G$506:$G$510,"&gt;="&amp;DATE(YEAR_Y-2,1,1),'Fund History'!$G$506:$G$510,"&lt;="&amp;DATE(YEAR_Y-2,12,31))=0,"",SUMIFS('Fund History'!$H$506:$H$510,'Fund History'!$G$506:$G$510,"&gt;="&amp;DATE(YEAR_Y-2,1,1),'Fund History'!$G$506:$G$510,"&lt;="&amp;DATE(YEAR_Y-2,12,31))/100)))</f>
        <v/>
      </c>
      <c r="AQ95" s="146">
        <f>IF($C95="","",IF(PULL_FUND="N","",IF(COUNTIFS('Fund History'!$G$506:$G$510,"&gt;="&amp;DATE(YEAR_Y-1,1,1),'Fund History'!$G$506:$G$510,"&lt;="&amp;DATE(YEAR_Y-1,12,31))=0,"",SUMIFS('Fund History'!$H$506:$H$510,'Fund History'!$G$506:$G$510,"&gt;="&amp;DATE(YEAR_Y-1,1,1),'Fund History'!$G$506:$G$510,"&lt;="&amp;DATE(YEAR_Y-1,12,31))/100)))</f>
        <v/>
      </c>
      <c r="AR95" s="147">
        <f>IF($C95="","",IF(N($AQ95)+N(HSI!$I$90)=0,"",N($AQ95)+N(HSI!$I$90)/100))</f>
        <v/>
      </c>
      <c r="AS95" s="139">
        <f>IF($C95="","",IF(PULL_FUND="N","",IF(COUNTIFS('Fund History'!$D$506:$D$510,"&gt;="&amp;DATE(YEAR_Y-2,1,1),'Fund History'!$D$506:$D$510,"&lt;="&amp;DATE(YEAR_Y-2,12,31))=0,"",SUMIFS('Fund History'!$E$506:$E$510,'Fund History'!$D$506:$D$510,"&gt;="&amp;DATE(YEAR_Y-2,1,1),'Fund History'!$D$506:$D$510,"&lt;="&amp;DATE(YEAR_Y-2,12,31)))))</f>
        <v/>
      </c>
      <c r="AT95" s="140">
        <f>IF($C95="","",IF(PULL_FUND="N","",IF(COUNTIFS('Fund History'!$D$506:$D$510,"&gt;="&amp;DATE(YEAR_Y-1,1,1),'Fund History'!$D$506:$D$510,"&lt;="&amp;DATE(YEAR_Y-1,12,31))=0,"",SUMIFS('Fund History'!$E$506:$E$510,'Fund History'!$D$506:$D$510,"&gt;="&amp;DATE(YEAR_Y-1,1,1),'Fund History'!$D$506:$D$510,"&lt;="&amp;DATE(YEAR_Y-1,12,31)))))</f>
        <v/>
      </c>
      <c r="AU95" s="140">
        <f>IF($C95="","",IF(PULL_FUND="N","",IFERROR(BDP($C95,NDEBITDA_FIELD),"")))</f>
        <v/>
      </c>
      <c r="AV95" s="148">
        <f>IF($C95="","",IF(PULL_FUND="N","",IFERROR(BDP($C95,EBINT_FIELD),"")))</f>
        <v/>
      </c>
      <c r="AW95" s="146">
        <f>IF($C95="","",IF(PULL_FUND="N","",IFERROR(BDP($C95,FCF_FIELD)/100,"")))</f>
        <v/>
      </c>
      <c r="AX95" s="126">
        <f>IF($C95="","",IF(N($U95)=0,"",IFERROR($AW95/$U95,"")))</f>
        <v/>
      </c>
      <c r="AY95" s="85">
        <f>IF($C95="","",TRIM(IF(ISNUMBER($AJ95)*(N($AJ95)&gt;$D$4)&gt;0,"payout high  ","")&amp;IF(ISNUMBER($AX95)*(N($AX95)&lt;$F$4)&gt;0,"FCF below dvd  ","")&amp;IF(ISNUMBER($AU95)*(N($AU95)&gt;$H$4)&gt;0,"leverage high","")))</f>
        <v/>
      </c>
      <c r="AZ95" s="86">
        <f>IF($C95="","",IF(HSI!$F$90="HKD","",HSI!$F$90))</f>
        <v/>
      </c>
    </row>
    <row r="96">
      <c r="B96" s="66" t="inlineStr">
        <is>
          <t>HSI</t>
        </is>
      </c>
      <c r="C96" s="8">
        <f>IF(HSI!$C$91="","",HSI!$C$91)</f>
        <v/>
      </c>
      <c r="D96" s="8">
        <f>IF($C96="","",HSI!$D$91)</f>
        <v/>
      </c>
      <c r="E96" s="8">
        <f>IF($C96="","",HSI!$E$91)</f>
        <v/>
      </c>
      <c r="F96" s="131">
        <f>IF($C96="","",SUMPRODUCT(('Dvd Calendar'!$E$935:$AR$935&gt;=DATE(YEAR_Y-5,1,1))*('Dvd Calendar'!$E$935:$AR$935&lt;=DATE(YEAR_Y-5,12,31))*'Dvd Calendar'!$E$938:$AR$938*(('Dvd Calendar'!$E$940:$AR$940=TYPE1)*(TYPE1&lt;&gt;"")+('Dvd Calendar'!$E$940:$AR$940=TYPE2)*(TYPE2&lt;&gt;"")+('Dvd Calendar'!$E$940:$AR$940=TYPE3)*(TYPE3&lt;&gt;"")+('Dvd Calendar'!$E$940:$AR$940=TYPE4)*(TYPE4&lt;&gt;"")+('Dvd Calendar'!$E$940:$AR$940=SPECIAL_LBL)*(INC_SPECIALS="Y"))))</f>
        <v/>
      </c>
      <c r="G96" s="132">
        <f>IF($C96="","",SUMPRODUCT(('Dvd Calendar'!$E$935:$AR$935&gt;=DATE(YEAR_Y-4,1,1))*('Dvd Calendar'!$E$935:$AR$935&lt;=DATE(YEAR_Y-4,12,31))*'Dvd Calendar'!$E$938:$AR$938*(('Dvd Calendar'!$E$940:$AR$940=TYPE1)*(TYPE1&lt;&gt;"")+('Dvd Calendar'!$E$940:$AR$940=TYPE2)*(TYPE2&lt;&gt;"")+('Dvd Calendar'!$E$940:$AR$940=TYPE3)*(TYPE3&lt;&gt;"")+('Dvd Calendar'!$E$940:$AR$940=TYPE4)*(TYPE4&lt;&gt;"")+('Dvd Calendar'!$E$940:$AR$940=SPECIAL_LBL)*(INC_SPECIALS="Y"))))</f>
        <v/>
      </c>
      <c r="H96" s="132">
        <f>IF($C96="","",SUMPRODUCT(('Dvd Calendar'!$E$935:$AR$935&gt;=DATE(YEAR_Y-3,1,1))*('Dvd Calendar'!$E$935:$AR$935&lt;=DATE(YEAR_Y-3,12,31))*'Dvd Calendar'!$E$938:$AR$938*(('Dvd Calendar'!$E$940:$AR$940=TYPE1)*(TYPE1&lt;&gt;"")+('Dvd Calendar'!$E$940:$AR$940=TYPE2)*(TYPE2&lt;&gt;"")+('Dvd Calendar'!$E$940:$AR$940=TYPE3)*(TYPE3&lt;&gt;"")+('Dvd Calendar'!$E$940:$AR$940=TYPE4)*(TYPE4&lt;&gt;"")+('Dvd Calendar'!$E$940:$AR$940=SPECIAL_LBL)*(INC_SPECIALS="Y"))))</f>
        <v/>
      </c>
      <c r="I96" s="132">
        <f>IF($C96="","",SUMPRODUCT(('Dvd Calendar'!$E$935:$AR$935&gt;=DATE(YEAR_Y-2,1,1))*('Dvd Calendar'!$E$935:$AR$935&lt;=DATE(YEAR_Y-2,12,31))*'Dvd Calendar'!$E$938:$AR$938*(('Dvd Calendar'!$E$940:$AR$940=TYPE1)*(TYPE1&lt;&gt;"")+('Dvd Calendar'!$E$940:$AR$940=TYPE2)*(TYPE2&lt;&gt;"")+('Dvd Calendar'!$E$940:$AR$940=TYPE3)*(TYPE3&lt;&gt;"")+('Dvd Calendar'!$E$940:$AR$940=TYPE4)*(TYPE4&lt;&gt;"")+('Dvd Calendar'!$E$940:$AR$940=SPECIAL_LBL)*(INC_SPECIALS="Y"))))</f>
        <v/>
      </c>
      <c r="J96" s="132">
        <f>IF($C96="","",SUMPRODUCT(('Dvd Calendar'!$E$935:$AR$935&gt;=DATE(YEAR_Y-1,1,1))*('Dvd Calendar'!$E$935:$AR$935&lt;=DATE(YEAR_Y-1,12,31))*'Dvd Calendar'!$E$938:$AR$938*(('Dvd Calendar'!$E$940:$AR$940=TYPE1)*(TYPE1&lt;&gt;"")+('Dvd Calendar'!$E$940:$AR$940=TYPE2)*(TYPE2&lt;&gt;"")+('Dvd Calendar'!$E$940:$AR$940=TYPE3)*(TYPE3&lt;&gt;"")+('Dvd Calendar'!$E$940:$AR$940=TYPE4)*(TYPE4&lt;&gt;"")+('Dvd Calendar'!$E$940:$AR$940=SPECIAL_LBL)*(INC_SPECIALS="Y"))))</f>
        <v/>
      </c>
      <c r="K96" s="133">
        <f>IF($C96="","",HSI!$J$91)</f>
        <v/>
      </c>
      <c r="L96" s="133">
        <f>IF($C96="","",HSI!$K$91)</f>
        <v/>
      </c>
      <c r="M96" s="124">
        <f>IF($C96="","",HSI!$J$91+HSI!$L$91)</f>
        <v/>
      </c>
      <c r="N96" s="134">
        <f>IF($C96="","",IF(PULL_FUND="N","",IFERROR(BDP($C96,BESTDPS_FIELD,FWD_OVERRIDE,TEXT(MOD(YEAR_Y,100),"00")&amp;"Y"),"")))</f>
        <v/>
      </c>
      <c r="O96" s="133">
        <f>IF($C96="","",AVERAGE(F96:J96))</f>
        <v/>
      </c>
      <c r="P96" s="135">
        <f>IF($C96="","",IF(PULL_FUND="N","",IF(COUNTIFS('Fund History'!$J$512:$J$516,"&gt;="&amp;DATE(YEAR_Y-5,1,1),'Fund History'!$J$512:$J$516,"&lt;="&amp;DATE(YEAR_Y-5,12,31))=0,"",IFERROR($F96*HSI!$G$91/SUMIFS('Fund History'!$K$512:$K$516,'Fund History'!$J$512:$J$516,"&gt;="&amp;DATE(YEAR_Y-5,1,1),'Fund History'!$J$512:$J$516,"&lt;="&amp;DATE(YEAR_Y-5,12,31)),""))))</f>
        <v/>
      </c>
      <c r="Q96" s="136">
        <f>IF($C96="","",IF(PULL_FUND="N","",IF(COUNTIFS('Fund History'!$J$512:$J$516,"&gt;="&amp;DATE(YEAR_Y-4,1,1),'Fund History'!$J$512:$J$516,"&lt;="&amp;DATE(YEAR_Y-4,12,31))=0,"",IFERROR($G96*HSI!$G$91/SUMIFS('Fund History'!$K$512:$K$516,'Fund History'!$J$512:$J$516,"&gt;="&amp;DATE(YEAR_Y-4,1,1),'Fund History'!$J$512:$J$516,"&lt;="&amp;DATE(YEAR_Y-4,12,31)),""))))</f>
        <v/>
      </c>
      <c r="R96" s="136">
        <f>IF($C96="","",IF(PULL_FUND="N","",IF(COUNTIFS('Fund History'!$J$512:$J$516,"&gt;="&amp;DATE(YEAR_Y-3,1,1),'Fund History'!$J$512:$J$516,"&lt;="&amp;DATE(YEAR_Y-3,12,31))=0,"",IFERROR($H96*HSI!$G$91/SUMIFS('Fund History'!$K$512:$K$516,'Fund History'!$J$512:$J$516,"&gt;="&amp;DATE(YEAR_Y-3,1,1),'Fund History'!$J$512:$J$516,"&lt;="&amp;DATE(YEAR_Y-3,12,31)),""))))</f>
        <v/>
      </c>
      <c r="S96" s="136">
        <f>IF($C96="","",IF(PULL_FUND="N","",IF(COUNTIFS('Fund History'!$J$512:$J$516,"&gt;="&amp;DATE(YEAR_Y-2,1,1),'Fund History'!$J$512:$J$516,"&lt;="&amp;DATE(YEAR_Y-2,12,31))=0,"",IFERROR($I96*HSI!$G$91/SUMIFS('Fund History'!$K$512:$K$516,'Fund History'!$J$512:$J$516,"&gt;="&amp;DATE(YEAR_Y-2,1,1),'Fund History'!$J$512:$J$516,"&lt;="&amp;DATE(YEAR_Y-2,12,31)),""))))</f>
        <v/>
      </c>
      <c r="T96" s="136">
        <f>IF($C96="","",IF(PULL_FUND="N","",IF(COUNTIFS('Fund History'!$J$512:$J$516,"&gt;="&amp;DATE(YEAR_Y-1,1,1),'Fund History'!$J$512:$J$516,"&lt;="&amp;DATE(YEAR_Y-1,12,31))=0,"",IFERROR($J96*HSI!$G$91/SUMIFS('Fund History'!$K$512:$K$516,'Fund History'!$J$512:$J$516,"&gt;="&amp;DATE(YEAR_Y-1,1,1),'Fund History'!$J$512:$J$516,"&lt;="&amp;DATE(YEAR_Y-1,12,31)),""))))</f>
        <v/>
      </c>
      <c r="U96" s="137">
        <f>IF($C96="","",IF(ISNUMBER(HSI!$I$91),HSI!$I$91/100,""))</f>
        <v/>
      </c>
      <c r="V96" s="138">
        <f>IF($C96="","",IF(ISNUMBER(HSI!$X$91),IFERROR($M96*HSI!$G$91/HSI!$X$91,""),""))</f>
        <v/>
      </c>
      <c r="W96" s="137">
        <f>IF($C96="","",IF(ISNUMBER($N96),IFERROR($N96*HSI!$G$91/HSI!$X$91,""),""))</f>
        <v/>
      </c>
      <c r="X96" s="139">
        <f>IF($C96="","",IF(PULL_FUND="N","",IFERROR(BDP($C96,EPS_FIELD,YR_OVERRIDE,TEXT(YEAR_Y-5,"0")),"")))</f>
        <v/>
      </c>
      <c r="Y96" s="140">
        <f>IF($C96="","",IF(PULL_FUND="N","",IFERROR(BDP($C96,EPS_FIELD,YR_OVERRIDE,TEXT(YEAR_Y-4,"0")),"")))</f>
        <v/>
      </c>
      <c r="Z96" s="140">
        <f>IF($C96="","",IF(PULL_FUND="N","",IFERROR(BDP($C96,EPS_FIELD,YR_OVERRIDE,TEXT(YEAR_Y-3,"0")),"")))</f>
        <v/>
      </c>
      <c r="AA96" s="140">
        <f>IF($C96="","",IF(PULL_FUND="N","",IFERROR(BDP($C96,EPS_FIELD,YR_OVERRIDE,TEXT(YEAR_Y-2,"0")),"")))</f>
        <v/>
      </c>
      <c r="AB96" s="140">
        <f>IF($C96="","",IF(PULL_FUND="N","",IFERROR(BDP($C96,EPS_FIELD,YR_OVERRIDE,TEXT(YEAR_Y-1,"0")),"")))</f>
        <v/>
      </c>
      <c r="AC96" s="126">
        <f>IF($C96="","",IFERROR(AVERAGE(X96:AB96),""))</f>
        <v/>
      </c>
      <c r="AD96" s="140">
        <f>IF($C96="","",IF(PULL_FUND="N","",IFERROR(BDP($C96,BESTEPS_FIELD,FWD_OVERRIDE,TEXT(MOD(YEAR_Y,100),"00")&amp;"Y"),"")))</f>
        <v/>
      </c>
      <c r="AE96" s="141">
        <f>IF($C96="","",IF(PULL_FUND="N","",IFERROR(BDP($C96,PAYOUT_FIELD,YR_OVERRIDE,TEXT(YEAR_Y-5,"0"))/100,"")))</f>
        <v/>
      </c>
      <c r="AF96" s="142">
        <f>IF($C96="","",IF(PULL_FUND="N","",IFERROR(BDP($C96,PAYOUT_FIELD,YR_OVERRIDE,TEXT(YEAR_Y-4,"0"))/100,"")))</f>
        <v/>
      </c>
      <c r="AG96" s="142">
        <f>IF($C96="","",IF(PULL_FUND="N","",IFERROR(BDP($C96,PAYOUT_FIELD,YR_OVERRIDE,TEXT(YEAR_Y-3,"0"))/100,"")))</f>
        <v/>
      </c>
      <c r="AH96" s="142">
        <f>IF($C96="","",IF(PULL_FUND="N","",IFERROR(BDP($C96,PAYOUT_FIELD,YR_OVERRIDE,TEXT(YEAR_Y-2,"0"))/100,"")))</f>
        <v/>
      </c>
      <c r="AI96" s="142">
        <f>IF($C96="","",IF(PULL_FUND="N","",IFERROR(BDP($C96,PAYOUT_FIELD,YR_OVERRIDE,TEXT(YEAR_Y-1,"0"))/100,"")))</f>
        <v/>
      </c>
      <c r="AJ96" s="143">
        <f>IF($C96="","",IFERROR(AVERAGE(AE96:AI96),""))</f>
        <v/>
      </c>
      <c r="AK96" s="144">
        <f>IF($C96="","",IF(ISNUMBER($AD96)*ISNUMBER($N96)*($AD96&lt;&gt;0)=0,"",$N96/$AD96))</f>
        <v/>
      </c>
      <c r="AL96" s="143">
        <f>IF($C96="","",IF(ISNUMBER($AD96)*($AD96&lt;&gt;0)=0,"",$M96/$AD96))</f>
        <v/>
      </c>
      <c r="AM96" s="37">
        <f>IF($C96="","",IF(ISNUMBER($AE96)*ISNUMBER($AI96)=0,"",IF($AI96&gt;$AE96+0.05,"rising",IF($AI96&lt;$AE96-0.05,"falling","stable"))))</f>
        <v/>
      </c>
      <c r="AN96" s="145">
        <f>IF($C96="","",IF(PULL_FUND="N","",IF(COUNTIFS('Fund History'!$G$512:$G$516,"&gt;="&amp;DATE(YEAR_Y-4,1,1),'Fund History'!$G$512:$G$516,"&lt;="&amp;DATE(YEAR_Y-4,12,31))=0,"",SUMIFS('Fund History'!$H$512:$H$516,'Fund History'!$G$512:$G$516,"&gt;="&amp;DATE(YEAR_Y-4,1,1),'Fund History'!$G$512:$G$516,"&lt;="&amp;DATE(YEAR_Y-4,12,31))/100)))</f>
        <v/>
      </c>
      <c r="AO96" s="146">
        <f>IF($C96="","",IF(PULL_FUND="N","",IF(COUNTIFS('Fund History'!$G$512:$G$516,"&gt;="&amp;DATE(YEAR_Y-3,1,1),'Fund History'!$G$512:$G$516,"&lt;="&amp;DATE(YEAR_Y-3,12,31))=0,"",SUMIFS('Fund History'!$H$512:$H$516,'Fund History'!$G$512:$G$516,"&gt;="&amp;DATE(YEAR_Y-3,1,1),'Fund History'!$G$512:$G$516,"&lt;="&amp;DATE(YEAR_Y-3,12,31))/100)))</f>
        <v/>
      </c>
      <c r="AP96" s="146">
        <f>IF($C96="","",IF(PULL_FUND="N","",IF(COUNTIFS('Fund History'!$G$512:$G$516,"&gt;="&amp;DATE(YEAR_Y-2,1,1),'Fund History'!$G$512:$G$516,"&lt;="&amp;DATE(YEAR_Y-2,12,31))=0,"",SUMIFS('Fund History'!$H$512:$H$516,'Fund History'!$G$512:$G$516,"&gt;="&amp;DATE(YEAR_Y-2,1,1),'Fund History'!$G$512:$G$516,"&lt;="&amp;DATE(YEAR_Y-2,12,31))/100)))</f>
        <v/>
      </c>
      <c r="AQ96" s="146">
        <f>IF($C96="","",IF(PULL_FUND="N","",IF(COUNTIFS('Fund History'!$G$512:$G$516,"&gt;="&amp;DATE(YEAR_Y-1,1,1),'Fund History'!$G$512:$G$516,"&lt;="&amp;DATE(YEAR_Y-1,12,31))=0,"",SUMIFS('Fund History'!$H$512:$H$516,'Fund History'!$G$512:$G$516,"&gt;="&amp;DATE(YEAR_Y-1,1,1),'Fund History'!$G$512:$G$516,"&lt;="&amp;DATE(YEAR_Y-1,12,31))/100)))</f>
        <v/>
      </c>
      <c r="AR96" s="147">
        <f>IF($C96="","",IF(N($AQ96)+N(HSI!$I$91)=0,"",N($AQ96)+N(HSI!$I$91)/100))</f>
        <v/>
      </c>
      <c r="AS96" s="139">
        <f>IF($C96="","",IF(PULL_FUND="N","",IF(COUNTIFS('Fund History'!$D$512:$D$516,"&gt;="&amp;DATE(YEAR_Y-2,1,1),'Fund History'!$D$512:$D$516,"&lt;="&amp;DATE(YEAR_Y-2,12,31))=0,"",SUMIFS('Fund History'!$E$512:$E$516,'Fund History'!$D$512:$D$516,"&gt;="&amp;DATE(YEAR_Y-2,1,1),'Fund History'!$D$512:$D$516,"&lt;="&amp;DATE(YEAR_Y-2,12,31)))))</f>
        <v/>
      </c>
      <c r="AT96" s="140">
        <f>IF($C96="","",IF(PULL_FUND="N","",IF(COUNTIFS('Fund History'!$D$512:$D$516,"&gt;="&amp;DATE(YEAR_Y-1,1,1),'Fund History'!$D$512:$D$516,"&lt;="&amp;DATE(YEAR_Y-1,12,31))=0,"",SUMIFS('Fund History'!$E$512:$E$516,'Fund History'!$D$512:$D$516,"&gt;="&amp;DATE(YEAR_Y-1,1,1),'Fund History'!$D$512:$D$516,"&lt;="&amp;DATE(YEAR_Y-1,12,31)))))</f>
        <v/>
      </c>
      <c r="AU96" s="140">
        <f>IF($C96="","",IF(PULL_FUND="N","",IFERROR(BDP($C96,NDEBITDA_FIELD),"")))</f>
        <v/>
      </c>
      <c r="AV96" s="148">
        <f>IF($C96="","",IF(PULL_FUND="N","",IFERROR(BDP($C96,EBINT_FIELD),"")))</f>
        <v/>
      </c>
      <c r="AW96" s="146">
        <f>IF($C96="","",IF(PULL_FUND="N","",IFERROR(BDP($C96,FCF_FIELD)/100,"")))</f>
        <v/>
      </c>
      <c r="AX96" s="126">
        <f>IF($C96="","",IF(N($U96)=0,"",IFERROR($AW96/$U96,"")))</f>
        <v/>
      </c>
      <c r="AY96" s="85">
        <f>IF($C96="","",TRIM(IF(ISNUMBER($AJ96)*(N($AJ96)&gt;$D$4)&gt;0,"payout high  ","")&amp;IF(ISNUMBER($AX96)*(N($AX96)&lt;$F$4)&gt;0,"FCF below dvd  ","")&amp;IF(ISNUMBER($AU96)*(N($AU96)&gt;$H$4)&gt;0,"leverage high","")))</f>
        <v/>
      </c>
      <c r="AZ96" s="86">
        <f>IF($C96="","",IF(HSI!$F$91="HKD","",HSI!$F$91))</f>
        <v/>
      </c>
    </row>
    <row r="97">
      <c r="B97" s="66" t="inlineStr">
        <is>
          <t>HSI</t>
        </is>
      </c>
      <c r="C97" s="8">
        <f>IF(HSI!$C$92="","",HSI!$C$92)</f>
        <v/>
      </c>
      <c r="D97" s="8">
        <f>IF($C97="","",HSI!$D$92)</f>
        <v/>
      </c>
      <c r="E97" s="8">
        <f>IF($C97="","",HSI!$E$92)</f>
        <v/>
      </c>
      <c r="F97" s="131">
        <f>IF($C97="","",SUMPRODUCT(('Dvd Calendar'!$E$946:$AR$946&gt;=DATE(YEAR_Y-5,1,1))*('Dvd Calendar'!$E$946:$AR$946&lt;=DATE(YEAR_Y-5,12,31))*'Dvd Calendar'!$E$949:$AR$949*(('Dvd Calendar'!$E$951:$AR$951=TYPE1)*(TYPE1&lt;&gt;"")+('Dvd Calendar'!$E$951:$AR$951=TYPE2)*(TYPE2&lt;&gt;"")+('Dvd Calendar'!$E$951:$AR$951=TYPE3)*(TYPE3&lt;&gt;"")+('Dvd Calendar'!$E$951:$AR$951=TYPE4)*(TYPE4&lt;&gt;"")+('Dvd Calendar'!$E$951:$AR$951=SPECIAL_LBL)*(INC_SPECIALS="Y"))))</f>
        <v/>
      </c>
      <c r="G97" s="132">
        <f>IF($C97="","",SUMPRODUCT(('Dvd Calendar'!$E$946:$AR$946&gt;=DATE(YEAR_Y-4,1,1))*('Dvd Calendar'!$E$946:$AR$946&lt;=DATE(YEAR_Y-4,12,31))*'Dvd Calendar'!$E$949:$AR$949*(('Dvd Calendar'!$E$951:$AR$951=TYPE1)*(TYPE1&lt;&gt;"")+('Dvd Calendar'!$E$951:$AR$951=TYPE2)*(TYPE2&lt;&gt;"")+('Dvd Calendar'!$E$951:$AR$951=TYPE3)*(TYPE3&lt;&gt;"")+('Dvd Calendar'!$E$951:$AR$951=TYPE4)*(TYPE4&lt;&gt;"")+('Dvd Calendar'!$E$951:$AR$951=SPECIAL_LBL)*(INC_SPECIALS="Y"))))</f>
        <v/>
      </c>
      <c r="H97" s="132">
        <f>IF($C97="","",SUMPRODUCT(('Dvd Calendar'!$E$946:$AR$946&gt;=DATE(YEAR_Y-3,1,1))*('Dvd Calendar'!$E$946:$AR$946&lt;=DATE(YEAR_Y-3,12,31))*'Dvd Calendar'!$E$949:$AR$949*(('Dvd Calendar'!$E$951:$AR$951=TYPE1)*(TYPE1&lt;&gt;"")+('Dvd Calendar'!$E$951:$AR$951=TYPE2)*(TYPE2&lt;&gt;"")+('Dvd Calendar'!$E$951:$AR$951=TYPE3)*(TYPE3&lt;&gt;"")+('Dvd Calendar'!$E$951:$AR$951=TYPE4)*(TYPE4&lt;&gt;"")+('Dvd Calendar'!$E$951:$AR$951=SPECIAL_LBL)*(INC_SPECIALS="Y"))))</f>
        <v/>
      </c>
      <c r="I97" s="132">
        <f>IF($C97="","",SUMPRODUCT(('Dvd Calendar'!$E$946:$AR$946&gt;=DATE(YEAR_Y-2,1,1))*('Dvd Calendar'!$E$946:$AR$946&lt;=DATE(YEAR_Y-2,12,31))*'Dvd Calendar'!$E$949:$AR$949*(('Dvd Calendar'!$E$951:$AR$951=TYPE1)*(TYPE1&lt;&gt;"")+('Dvd Calendar'!$E$951:$AR$951=TYPE2)*(TYPE2&lt;&gt;"")+('Dvd Calendar'!$E$951:$AR$951=TYPE3)*(TYPE3&lt;&gt;"")+('Dvd Calendar'!$E$951:$AR$951=TYPE4)*(TYPE4&lt;&gt;"")+('Dvd Calendar'!$E$951:$AR$951=SPECIAL_LBL)*(INC_SPECIALS="Y"))))</f>
        <v/>
      </c>
      <c r="J97" s="132">
        <f>IF($C97="","",SUMPRODUCT(('Dvd Calendar'!$E$946:$AR$946&gt;=DATE(YEAR_Y-1,1,1))*('Dvd Calendar'!$E$946:$AR$946&lt;=DATE(YEAR_Y-1,12,31))*'Dvd Calendar'!$E$949:$AR$949*(('Dvd Calendar'!$E$951:$AR$951=TYPE1)*(TYPE1&lt;&gt;"")+('Dvd Calendar'!$E$951:$AR$951=TYPE2)*(TYPE2&lt;&gt;"")+('Dvd Calendar'!$E$951:$AR$951=TYPE3)*(TYPE3&lt;&gt;"")+('Dvd Calendar'!$E$951:$AR$951=TYPE4)*(TYPE4&lt;&gt;"")+('Dvd Calendar'!$E$951:$AR$951=SPECIAL_LBL)*(INC_SPECIALS="Y"))))</f>
        <v/>
      </c>
      <c r="K97" s="133">
        <f>IF($C97="","",HSI!$J$92)</f>
        <v/>
      </c>
      <c r="L97" s="133">
        <f>IF($C97="","",HSI!$K$92)</f>
        <v/>
      </c>
      <c r="M97" s="124">
        <f>IF($C97="","",HSI!$J$92+HSI!$L$92)</f>
        <v/>
      </c>
      <c r="N97" s="134">
        <f>IF($C97="","",IF(PULL_FUND="N","",IFERROR(BDP($C97,BESTDPS_FIELD,FWD_OVERRIDE,TEXT(MOD(YEAR_Y,100),"00")&amp;"Y"),"")))</f>
        <v/>
      </c>
      <c r="O97" s="133">
        <f>IF($C97="","",AVERAGE(F97:J97))</f>
        <v/>
      </c>
      <c r="P97" s="135">
        <f>IF($C97="","",IF(PULL_FUND="N","",IF(COUNTIFS('Fund History'!$J$518:$J$522,"&gt;="&amp;DATE(YEAR_Y-5,1,1),'Fund History'!$J$518:$J$522,"&lt;="&amp;DATE(YEAR_Y-5,12,31))=0,"",IFERROR($F97*HSI!$G$92/SUMIFS('Fund History'!$K$518:$K$522,'Fund History'!$J$518:$J$522,"&gt;="&amp;DATE(YEAR_Y-5,1,1),'Fund History'!$J$518:$J$522,"&lt;="&amp;DATE(YEAR_Y-5,12,31)),""))))</f>
        <v/>
      </c>
      <c r="Q97" s="136">
        <f>IF($C97="","",IF(PULL_FUND="N","",IF(COUNTIFS('Fund History'!$J$518:$J$522,"&gt;="&amp;DATE(YEAR_Y-4,1,1),'Fund History'!$J$518:$J$522,"&lt;="&amp;DATE(YEAR_Y-4,12,31))=0,"",IFERROR($G97*HSI!$G$92/SUMIFS('Fund History'!$K$518:$K$522,'Fund History'!$J$518:$J$522,"&gt;="&amp;DATE(YEAR_Y-4,1,1),'Fund History'!$J$518:$J$522,"&lt;="&amp;DATE(YEAR_Y-4,12,31)),""))))</f>
        <v/>
      </c>
      <c r="R97" s="136">
        <f>IF($C97="","",IF(PULL_FUND="N","",IF(COUNTIFS('Fund History'!$J$518:$J$522,"&gt;="&amp;DATE(YEAR_Y-3,1,1),'Fund History'!$J$518:$J$522,"&lt;="&amp;DATE(YEAR_Y-3,12,31))=0,"",IFERROR($H97*HSI!$G$92/SUMIFS('Fund History'!$K$518:$K$522,'Fund History'!$J$518:$J$522,"&gt;="&amp;DATE(YEAR_Y-3,1,1),'Fund History'!$J$518:$J$522,"&lt;="&amp;DATE(YEAR_Y-3,12,31)),""))))</f>
        <v/>
      </c>
      <c r="S97" s="136">
        <f>IF($C97="","",IF(PULL_FUND="N","",IF(COUNTIFS('Fund History'!$J$518:$J$522,"&gt;="&amp;DATE(YEAR_Y-2,1,1),'Fund History'!$J$518:$J$522,"&lt;="&amp;DATE(YEAR_Y-2,12,31))=0,"",IFERROR($I97*HSI!$G$92/SUMIFS('Fund History'!$K$518:$K$522,'Fund History'!$J$518:$J$522,"&gt;="&amp;DATE(YEAR_Y-2,1,1),'Fund History'!$J$518:$J$522,"&lt;="&amp;DATE(YEAR_Y-2,12,31)),""))))</f>
        <v/>
      </c>
      <c r="T97" s="136">
        <f>IF($C97="","",IF(PULL_FUND="N","",IF(COUNTIFS('Fund History'!$J$518:$J$522,"&gt;="&amp;DATE(YEAR_Y-1,1,1),'Fund History'!$J$518:$J$522,"&lt;="&amp;DATE(YEAR_Y-1,12,31))=0,"",IFERROR($J97*HSI!$G$92/SUMIFS('Fund History'!$K$518:$K$522,'Fund History'!$J$518:$J$522,"&gt;="&amp;DATE(YEAR_Y-1,1,1),'Fund History'!$J$518:$J$522,"&lt;="&amp;DATE(YEAR_Y-1,12,31)),""))))</f>
        <v/>
      </c>
      <c r="U97" s="137">
        <f>IF($C97="","",IF(ISNUMBER(HSI!$I$92),HSI!$I$92/100,""))</f>
        <v/>
      </c>
      <c r="V97" s="138">
        <f>IF($C97="","",IF(ISNUMBER(HSI!$X$92),IFERROR($M97*HSI!$G$92/HSI!$X$92,""),""))</f>
        <v/>
      </c>
      <c r="W97" s="137">
        <f>IF($C97="","",IF(ISNUMBER($N97),IFERROR($N97*HSI!$G$92/HSI!$X$92,""),""))</f>
        <v/>
      </c>
      <c r="X97" s="139">
        <f>IF($C97="","",IF(PULL_FUND="N","",IFERROR(BDP($C97,EPS_FIELD,YR_OVERRIDE,TEXT(YEAR_Y-5,"0")),"")))</f>
        <v/>
      </c>
      <c r="Y97" s="140">
        <f>IF($C97="","",IF(PULL_FUND="N","",IFERROR(BDP($C97,EPS_FIELD,YR_OVERRIDE,TEXT(YEAR_Y-4,"0")),"")))</f>
        <v/>
      </c>
      <c r="Z97" s="140">
        <f>IF($C97="","",IF(PULL_FUND="N","",IFERROR(BDP($C97,EPS_FIELD,YR_OVERRIDE,TEXT(YEAR_Y-3,"0")),"")))</f>
        <v/>
      </c>
      <c r="AA97" s="140">
        <f>IF($C97="","",IF(PULL_FUND="N","",IFERROR(BDP($C97,EPS_FIELD,YR_OVERRIDE,TEXT(YEAR_Y-2,"0")),"")))</f>
        <v/>
      </c>
      <c r="AB97" s="140">
        <f>IF($C97="","",IF(PULL_FUND="N","",IFERROR(BDP($C97,EPS_FIELD,YR_OVERRIDE,TEXT(YEAR_Y-1,"0")),"")))</f>
        <v/>
      </c>
      <c r="AC97" s="126">
        <f>IF($C97="","",IFERROR(AVERAGE(X97:AB97),""))</f>
        <v/>
      </c>
      <c r="AD97" s="140">
        <f>IF($C97="","",IF(PULL_FUND="N","",IFERROR(BDP($C97,BESTEPS_FIELD,FWD_OVERRIDE,TEXT(MOD(YEAR_Y,100),"00")&amp;"Y"),"")))</f>
        <v/>
      </c>
      <c r="AE97" s="141">
        <f>IF($C97="","",IF(PULL_FUND="N","",IFERROR(BDP($C97,PAYOUT_FIELD,YR_OVERRIDE,TEXT(YEAR_Y-5,"0"))/100,"")))</f>
        <v/>
      </c>
      <c r="AF97" s="142">
        <f>IF($C97="","",IF(PULL_FUND="N","",IFERROR(BDP($C97,PAYOUT_FIELD,YR_OVERRIDE,TEXT(YEAR_Y-4,"0"))/100,"")))</f>
        <v/>
      </c>
      <c r="AG97" s="142">
        <f>IF($C97="","",IF(PULL_FUND="N","",IFERROR(BDP($C97,PAYOUT_FIELD,YR_OVERRIDE,TEXT(YEAR_Y-3,"0"))/100,"")))</f>
        <v/>
      </c>
      <c r="AH97" s="142">
        <f>IF($C97="","",IF(PULL_FUND="N","",IFERROR(BDP($C97,PAYOUT_FIELD,YR_OVERRIDE,TEXT(YEAR_Y-2,"0"))/100,"")))</f>
        <v/>
      </c>
      <c r="AI97" s="142">
        <f>IF($C97="","",IF(PULL_FUND="N","",IFERROR(BDP($C97,PAYOUT_FIELD,YR_OVERRIDE,TEXT(YEAR_Y-1,"0"))/100,"")))</f>
        <v/>
      </c>
      <c r="AJ97" s="143">
        <f>IF($C97="","",IFERROR(AVERAGE(AE97:AI97),""))</f>
        <v/>
      </c>
      <c r="AK97" s="144">
        <f>IF($C97="","",IF(ISNUMBER($AD97)*ISNUMBER($N97)*($AD97&lt;&gt;0)=0,"",$N97/$AD97))</f>
        <v/>
      </c>
      <c r="AL97" s="143">
        <f>IF($C97="","",IF(ISNUMBER($AD97)*($AD97&lt;&gt;0)=0,"",$M97/$AD97))</f>
        <v/>
      </c>
      <c r="AM97" s="37">
        <f>IF($C97="","",IF(ISNUMBER($AE97)*ISNUMBER($AI97)=0,"",IF($AI97&gt;$AE97+0.05,"rising",IF($AI97&lt;$AE97-0.05,"falling","stable"))))</f>
        <v/>
      </c>
      <c r="AN97" s="145">
        <f>IF($C97="","",IF(PULL_FUND="N","",IF(COUNTIFS('Fund History'!$G$518:$G$522,"&gt;="&amp;DATE(YEAR_Y-4,1,1),'Fund History'!$G$518:$G$522,"&lt;="&amp;DATE(YEAR_Y-4,12,31))=0,"",SUMIFS('Fund History'!$H$518:$H$522,'Fund History'!$G$518:$G$522,"&gt;="&amp;DATE(YEAR_Y-4,1,1),'Fund History'!$G$518:$G$522,"&lt;="&amp;DATE(YEAR_Y-4,12,31))/100)))</f>
        <v/>
      </c>
      <c r="AO97" s="146">
        <f>IF($C97="","",IF(PULL_FUND="N","",IF(COUNTIFS('Fund History'!$G$518:$G$522,"&gt;="&amp;DATE(YEAR_Y-3,1,1),'Fund History'!$G$518:$G$522,"&lt;="&amp;DATE(YEAR_Y-3,12,31))=0,"",SUMIFS('Fund History'!$H$518:$H$522,'Fund History'!$G$518:$G$522,"&gt;="&amp;DATE(YEAR_Y-3,1,1),'Fund History'!$G$518:$G$522,"&lt;="&amp;DATE(YEAR_Y-3,12,31))/100)))</f>
        <v/>
      </c>
      <c r="AP97" s="146">
        <f>IF($C97="","",IF(PULL_FUND="N","",IF(COUNTIFS('Fund History'!$G$518:$G$522,"&gt;="&amp;DATE(YEAR_Y-2,1,1),'Fund History'!$G$518:$G$522,"&lt;="&amp;DATE(YEAR_Y-2,12,31))=0,"",SUMIFS('Fund History'!$H$518:$H$522,'Fund History'!$G$518:$G$522,"&gt;="&amp;DATE(YEAR_Y-2,1,1),'Fund History'!$G$518:$G$522,"&lt;="&amp;DATE(YEAR_Y-2,12,31))/100)))</f>
        <v/>
      </c>
      <c r="AQ97" s="146">
        <f>IF($C97="","",IF(PULL_FUND="N","",IF(COUNTIFS('Fund History'!$G$518:$G$522,"&gt;="&amp;DATE(YEAR_Y-1,1,1),'Fund History'!$G$518:$G$522,"&lt;="&amp;DATE(YEAR_Y-1,12,31))=0,"",SUMIFS('Fund History'!$H$518:$H$522,'Fund History'!$G$518:$G$522,"&gt;="&amp;DATE(YEAR_Y-1,1,1),'Fund History'!$G$518:$G$522,"&lt;="&amp;DATE(YEAR_Y-1,12,31))/100)))</f>
        <v/>
      </c>
      <c r="AR97" s="147">
        <f>IF($C97="","",IF(N($AQ97)+N(HSI!$I$92)=0,"",N($AQ97)+N(HSI!$I$92)/100))</f>
        <v/>
      </c>
      <c r="AS97" s="139">
        <f>IF($C97="","",IF(PULL_FUND="N","",IF(COUNTIFS('Fund History'!$D$518:$D$522,"&gt;="&amp;DATE(YEAR_Y-2,1,1),'Fund History'!$D$518:$D$522,"&lt;="&amp;DATE(YEAR_Y-2,12,31))=0,"",SUMIFS('Fund History'!$E$518:$E$522,'Fund History'!$D$518:$D$522,"&gt;="&amp;DATE(YEAR_Y-2,1,1),'Fund History'!$D$518:$D$522,"&lt;="&amp;DATE(YEAR_Y-2,12,31)))))</f>
        <v/>
      </c>
      <c r="AT97" s="140">
        <f>IF($C97="","",IF(PULL_FUND="N","",IF(COUNTIFS('Fund History'!$D$518:$D$522,"&gt;="&amp;DATE(YEAR_Y-1,1,1),'Fund History'!$D$518:$D$522,"&lt;="&amp;DATE(YEAR_Y-1,12,31))=0,"",SUMIFS('Fund History'!$E$518:$E$522,'Fund History'!$D$518:$D$522,"&gt;="&amp;DATE(YEAR_Y-1,1,1),'Fund History'!$D$518:$D$522,"&lt;="&amp;DATE(YEAR_Y-1,12,31)))))</f>
        <v/>
      </c>
      <c r="AU97" s="140">
        <f>IF($C97="","",IF(PULL_FUND="N","",IFERROR(BDP($C97,NDEBITDA_FIELD),"")))</f>
        <v/>
      </c>
      <c r="AV97" s="148">
        <f>IF($C97="","",IF(PULL_FUND="N","",IFERROR(BDP($C97,EBINT_FIELD),"")))</f>
        <v/>
      </c>
      <c r="AW97" s="146">
        <f>IF($C97="","",IF(PULL_FUND="N","",IFERROR(BDP($C97,FCF_FIELD)/100,"")))</f>
        <v/>
      </c>
      <c r="AX97" s="126">
        <f>IF($C97="","",IF(N($U97)=0,"",IFERROR($AW97/$U97,"")))</f>
        <v/>
      </c>
      <c r="AY97" s="85">
        <f>IF($C97="","",TRIM(IF(ISNUMBER($AJ97)*(N($AJ97)&gt;$D$4)&gt;0,"payout high  ","")&amp;IF(ISNUMBER($AX97)*(N($AX97)&lt;$F$4)&gt;0,"FCF below dvd  ","")&amp;IF(ISNUMBER($AU97)*(N($AU97)&gt;$H$4)&gt;0,"leverage high","")))</f>
        <v/>
      </c>
      <c r="AZ97" s="86">
        <f>IF($C97="","",IF(HSI!$F$92="HKD","",HSI!$F$92))</f>
        <v/>
      </c>
    </row>
    <row r="98">
      <c r="B98" s="66" t="inlineStr">
        <is>
          <t>HSI</t>
        </is>
      </c>
      <c r="C98" s="8">
        <f>IF(HSI!$C$93="","",HSI!$C$93)</f>
        <v/>
      </c>
      <c r="D98" s="8">
        <f>IF($C98="","",HSI!$D$93)</f>
        <v/>
      </c>
      <c r="E98" s="8">
        <f>IF($C98="","",HSI!$E$93)</f>
        <v/>
      </c>
      <c r="F98" s="131">
        <f>IF($C98="","",SUMPRODUCT(('Dvd Calendar'!$E$957:$AR$957&gt;=DATE(YEAR_Y-5,1,1))*('Dvd Calendar'!$E$957:$AR$957&lt;=DATE(YEAR_Y-5,12,31))*'Dvd Calendar'!$E$960:$AR$960*(('Dvd Calendar'!$E$962:$AR$962=TYPE1)*(TYPE1&lt;&gt;"")+('Dvd Calendar'!$E$962:$AR$962=TYPE2)*(TYPE2&lt;&gt;"")+('Dvd Calendar'!$E$962:$AR$962=TYPE3)*(TYPE3&lt;&gt;"")+('Dvd Calendar'!$E$962:$AR$962=TYPE4)*(TYPE4&lt;&gt;"")+('Dvd Calendar'!$E$962:$AR$962=SPECIAL_LBL)*(INC_SPECIALS="Y"))))</f>
        <v/>
      </c>
      <c r="G98" s="132">
        <f>IF($C98="","",SUMPRODUCT(('Dvd Calendar'!$E$957:$AR$957&gt;=DATE(YEAR_Y-4,1,1))*('Dvd Calendar'!$E$957:$AR$957&lt;=DATE(YEAR_Y-4,12,31))*'Dvd Calendar'!$E$960:$AR$960*(('Dvd Calendar'!$E$962:$AR$962=TYPE1)*(TYPE1&lt;&gt;"")+('Dvd Calendar'!$E$962:$AR$962=TYPE2)*(TYPE2&lt;&gt;"")+('Dvd Calendar'!$E$962:$AR$962=TYPE3)*(TYPE3&lt;&gt;"")+('Dvd Calendar'!$E$962:$AR$962=TYPE4)*(TYPE4&lt;&gt;"")+('Dvd Calendar'!$E$962:$AR$962=SPECIAL_LBL)*(INC_SPECIALS="Y"))))</f>
        <v/>
      </c>
      <c r="H98" s="132">
        <f>IF($C98="","",SUMPRODUCT(('Dvd Calendar'!$E$957:$AR$957&gt;=DATE(YEAR_Y-3,1,1))*('Dvd Calendar'!$E$957:$AR$957&lt;=DATE(YEAR_Y-3,12,31))*'Dvd Calendar'!$E$960:$AR$960*(('Dvd Calendar'!$E$962:$AR$962=TYPE1)*(TYPE1&lt;&gt;"")+('Dvd Calendar'!$E$962:$AR$962=TYPE2)*(TYPE2&lt;&gt;"")+('Dvd Calendar'!$E$962:$AR$962=TYPE3)*(TYPE3&lt;&gt;"")+('Dvd Calendar'!$E$962:$AR$962=TYPE4)*(TYPE4&lt;&gt;"")+('Dvd Calendar'!$E$962:$AR$962=SPECIAL_LBL)*(INC_SPECIALS="Y"))))</f>
        <v/>
      </c>
      <c r="I98" s="132">
        <f>IF($C98="","",SUMPRODUCT(('Dvd Calendar'!$E$957:$AR$957&gt;=DATE(YEAR_Y-2,1,1))*('Dvd Calendar'!$E$957:$AR$957&lt;=DATE(YEAR_Y-2,12,31))*'Dvd Calendar'!$E$960:$AR$960*(('Dvd Calendar'!$E$962:$AR$962=TYPE1)*(TYPE1&lt;&gt;"")+('Dvd Calendar'!$E$962:$AR$962=TYPE2)*(TYPE2&lt;&gt;"")+('Dvd Calendar'!$E$962:$AR$962=TYPE3)*(TYPE3&lt;&gt;"")+('Dvd Calendar'!$E$962:$AR$962=TYPE4)*(TYPE4&lt;&gt;"")+('Dvd Calendar'!$E$962:$AR$962=SPECIAL_LBL)*(INC_SPECIALS="Y"))))</f>
        <v/>
      </c>
      <c r="J98" s="132">
        <f>IF($C98="","",SUMPRODUCT(('Dvd Calendar'!$E$957:$AR$957&gt;=DATE(YEAR_Y-1,1,1))*('Dvd Calendar'!$E$957:$AR$957&lt;=DATE(YEAR_Y-1,12,31))*'Dvd Calendar'!$E$960:$AR$960*(('Dvd Calendar'!$E$962:$AR$962=TYPE1)*(TYPE1&lt;&gt;"")+('Dvd Calendar'!$E$962:$AR$962=TYPE2)*(TYPE2&lt;&gt;"")+('Dvd Calendar'!$E$962:$AR$962=TYPE3)*(TYPE3&lt;&gt;"")+('Dvd Calendar'!$E$962:$AR$962=TYPE4)*(TYPE4&lt;&gt;"")+('Dvd Calendar'!$E$962:$AR$962=SPECIAL_LBL)*(INC_SPECIALS="Y"))))</f>
        <v/>
      </c>
      <c r="K98" s="133">
        <f>IF($C98="","",HSI!$J$93)</f>
        <v/>
      </c>
      <c r="L98" s="133">
        <f>IF($C98="","",HSI!$K$93)</f>
        <v/>
      </c>
      <c r="M98" s="124">
        <f>IF($C98="","",HSI!$J$93+HSI!$L$93)</f>
        <v/>
      </c>
      <c r="N98" s="134">
        <f>IF($C98="","",IF(PULL_FUND="N","",IFERROR(BDP($C98,BESTDPS_FIELD,FWD_OVERRIDE,TEXT(MOD(YEAR_Y,100),"00")&amp;"Y"),"")))</f>
        <v/>
      </c>
      <c r="O98" s="133">
        <f>IF($C98="","",AVERAGE(F98:J98))</f>
        <v/>
      </c>
      <c r="P98" s="135">
        <f>IF($C98="","",IF(PULL_FUND="N","",IF(COUNTIFS('Fund History'!$J$524:$J$528,"&gt;="&amp;DATE(YEAR_Y-5,1,1),'Fund History'!$J$524:$J$528,"&lt;="&amp;DATE(YEAR_Y-5,12,31))=0,"",IFERROR($F98*HSI!$G$93/SUMIFS('Fund History'!$K$524:$K$528,'Fund History'!$J$524:$J$528,"&gt;="&amp;DATE(YEAR_Y-5,1,1),'Fund History'!$J$524:$J$528,"&lt;="&amp;DATE(YEAR_Y-5,12,31)),""))))</f>
        <v/>
      </c>
      <c r="Q98" s="136">
        <f>IF($C98="","",IF(PULL_FUND="N","",IF(COUNTIFS('Fund History'!$J$524:$J$528,"&gt;="&amp;DATE(YEAR_Y-4,1,1),'Fund History'!$J$524:$J$528,"&lt;="&amp;DATE(YEAR_Y-4,12,31))=0,"",IFERROR($G98*HSI!$G$93/SUMIFS('Fund History'!$K$524:$K$528,'Fund History'!$J$524:$J$528,"&gt;="&amp;DATE(YEAR_Y-4,1,1),'Fund History'!$J$524:$J$528,"&lt;="&amp;DATE(YEAR_Y-4,12,31)),""))))</f>
        <v/>
      </c>
      <c r="R98" s="136">
        <f>IF($C98="","",IF(PULL_FUND="N","",IF(COUNTIFS('Fund History'!$J$524:$J$528,"&gt;="&amp;DATE(YEAR_Y-3,1,1),'Fund History'!$J$524:$J$528,"&lt;="&amp;DATE(YEAR_Y-3,12,31))=0,"",IFERROR($H98*HSI!$G$93/SUMIFS('Fund History'!$K$524:$K$528,'Fund History'!$J$524:$J$528,"&gt;="&amp;DATE(YEAR_Y-3,1,1),'Fund History'!$J$524:$J$528,"&lt;="&amp;DATE(YEAR_Y-3,12,31)),""))))</f>
        <v/>
      </c>
      <c r="S98" s="136">
        <f>IF($C98="","",IF(PULL_FUND="N","",IF(COUNTIFS('Fund History'!$J$524:$J$528,"&gt;="&amp;DATE(YEAR_Y-2,1,1),'Fund History'!$J$524:$J$528,"&lt;="&amp;DATE(YEAR_Y-2,12,31))=0,"",IFERROR($I98*HSI!$G$93/SUMIFS('Fund History'!$K$524:$K$528,'Fund History'!$J$524:$J$528,"&gt;="&amp;DATE(YEAR_Y-2,1,1),'Fund History'!$J$524:$J$528,"&lt;="&amp;DATE(YEAR_Y-2,12,31)),""))))</f>
        <v/>
      </c>
      <c r="T98" s="136">
        <f>IF($C98="","",IF(PULL_FUND="N","",IF(COUNTIFS('Fund History'!$J$524:$J$528,"&gt;="&amp;DATE(YEAR_Y-1,1,1),'Fund History'!$J$524:$J$528,"&lt;="&amp;DATE(YEAR_Y-1,12,31))=0,"",IFERROR($J98*HSI!$G$93/SUMIFS('Fund History'!$K$524:$K$528,'Fund History'!$J$524:$J$528,"&gt;="&amp;DATE(YEAR_Y-1,1,1),'Fund History'!$J$524:$J$528,"&lt;="&amp;DATE(YEAR_Y-1,12,31)),""))))</f>
        <v/>
      </c>
      <c r="U98" s="137">
        <f>IF($C98="","",IF(ISNUMBER(HSI!$I$93),HSI!$I$93/100,""))</f>
        <v/>
      </c>
      <c r="V98" s="138">
        <f>IF($C98="","",IF(ISNUMBER(HSI!$X$93),IFERROR($M98*HSI!$G$93/HSI!$X$93,""),""))</f>
        <v/>
      </c>
      <c r="W98" s="137">
        <f>IF($C98="","",IF(ISNUMBER($N98),IFERROR($N98*HSI!$G$93/HSI!$X$93,""),""))</f>
        <v/>
      </c>
      <c r="X98" s="139">
        <f>IF($C98="","",IF(PULL_FUND="N","",IFERROR(BDP($C98,EPS_FIELD,YR_OVERRIDE,TEXT(YEAR_Y-5,"0")),"")))</f>
        <v/>
      </c>
      <c r="Y98" s="140">
        <f>IF($C98="","",IF(PULL_FUND="N","",IFERROR(BDP($C98,EPS_FIELD,YR_OVERRIDE,TEXT(YEAR_Y-4,"0")),"")))</f>
        <v/>
      </c>
      <c r="Z98" s="140">
        <f>IF($C98="","",IF(PULL_FUND="N","",IFERROR(BDP($C98,EPS_FIELD,YR_OVERRIDE,TEXT(YEAR_Y-3,"0")),"")))</f>
        <v/>
      </c>
      <c r="AA98" s="140">
        <f>IF($C98="","",IF(PULL_FUND="N","",IFERROR(BDP($C98,EPS_FIELD,YR_OVERRIDE,TEXT(YEAR_Y-2,"0")),"")))</f>
        <v/>
      </c>
      <c r="AB98" s="140">
        <f>IF($C98="","",IF(PULL_FUND="N","",IFERROR(BDP($C98,EPS_FIELD,YR_OVERRIDE,TEXT(YEAR_Y-1,"0")),"")))</f>
        <v/>
      </c>
      <c r="AC98" s="126">
        <f>IF($C98="","",IFERROR(AVERAGE(X98:AB98),""))</f>
        <v/>
      </c>
      <c r="AD98" s="140">
        <f>IF($C98="","",IF(PULL_FUND="N","",IFERROR(BDP($C98,BESTEPS_FIELD,FWD_OVERRIDE,TEXT(MOD(YEAR_Y,100),"00")&amp;"Y"),"")))</f>
        <v/>
      </c>
      <c r="AE98" s="141">
        <f>IF($C98="","",IF(PULL_FUND="N","",IFERROR(BDP($C98,PAYOUT_FIELD,YR_OVERRIDE,TEXT(YEAR_Y-5,"0"))/100,"")))</f>
        <v/>
      </c>
      <c r="AF98" s="142">
        <f>IF($C98="","",IF(PULL_FUND="N","",IFERROR(BDP($C98,PAYOUT_FIELD,YR_OVERRIDE,TEXT(YEAR_Y-4,"0"))/100,"")))</f>
        <v/>
      </c>
      <c r="AG98" s="142">
        <f>IF($C98="","",IF(PULL_FUND="N","",IFERROR(BDP($C98,PAYOUT_FIELD,YR_OVERRIDE,TEXT(YEAR_Y-3,"0"))/100,"")))</f>
        <v/>
      </c>
      <c r="AH98" s="142">
        <f>IF($C98="","",IF(PULL_FUND="N","",IFERROR(BDP($C98,PAYOUT_FIELD,YR_OVERRIDE,TEXT(YEAR_Y-2,"0"))/100,"")))</f>
        <v/>
      </c>
      <c r="AI98" s="142">
        <f>IF($C98="","",IF(PULL_FUND="N","",IFERROR(BDP($C98,PAYOUT_FIELD,YR_OVERRIDE,TEXT(YEAR_Y-1,"0"))/100,"")))</f>
        <v/>
      </c>
      <c r="AJ98" s="143">
        <f>IF($C98="","",IFERROR(AVERAGE(AE98:AI98),""))</f>
        <v/>
      </c>
      <c r="AK98" s="144">
        <f>IF($C98="","",IF(ISNUMBER($AD98)*ISNUMBER($N98)*($AD98&lt;&gt;0)=0,"",$N98/$AD98))</f>
        <v/>
      </c>
      <c r="AL98" s="143">
        <f>IF($C98="","",IF(ISNUMBER($AD98)*($AD98&lt;&gt;0)=0,"",$M98/$AD98))</f>
        <v/>
      </c>
      <c r="AM98" s="37">
        <f>IF($C98="","",IF(ISNUMBER($AE98)*ISNUMBER($AI98)=0,"",IF($AI98&gt;$AE98+0.05,"rising",IF($AI98&lt;$AE98-0.05,"falling","stable"))))</f>
        <v/>
      </c>
      <c r="AN98" s="145">
        <f>IF($C98="","",IF(PULL_FUND="N","",IF(COUNTIFS('Fund History'!$G$524:$G$528,"&gt;="&amp;DATE(YEAR_Y-4,1,1),'Fund History'!$G$524:$G$528,"&lt;="&amp;DATE(YEAR_Y-4,12,31))=0,"",SUMIFS('Fund History'!$H$524:$H$528,'Fund History'!$G$524:$G$528,"&gt;="&amp;DATE(YEAR_Y-4,1,1),'Fund History'!$G$524:$G$528,"&lt;="&amp;DATE(YEAR_Y-4,12,31))/100)))</f>
        <v/>
      </c>
      <c r="AO98" s="146">
        <f>IF($C98="","",IF(PULL_FUND="N","",IF(COUNTIFS('Fund History'!$G$524:$G$528,"&gt;="&amp;DATE(YEAR_Y-3,1,1),'Fund History'!$G$524:$G$528,"&lt;="&amp;DATE(YEAR_Y-3,12,31))=0,"",SUMIFS('Fund History'!$H$524:$H$528,'Fund History'!$G$524:$G$528,"&gt;="&amp;DATE(YEAR_Y-3,1,1),'Fund History'!$G$524:$G$528,"&lt;="&amp;DATE(YEAR_Y-3,12,31))/100)))</f>
        <v/>
      </c>
      <c r="AP98" s="146">
        <f>IF($C98="","",IF(PULL_FUND="N","",IF(COUNTIFS('Fund History'!$G$524:$G$528,"&gt;="&amp;DATE(YEAR_Y-2,1,1),'Fund History'!$G$524:$G$528,"&lt;="&amp;DATE(YEAR_Y-2,12,31))=0,"",SUMIFS('Fund History'!$H$524:$H$528,'Fund History'!$G$524:$G$528,"&gt;="&amp;DATE(YEAR_Y-2,1,1),'Fund History'!$G$524:$G$528,"&lt;="&amp;DATE(YEAR_Y-2,12,31))/100)))</f>
        <v/>
      </c>
      <c r="AQ98" s="146">
        <f>IF($C98="","",IF(PULL_FUND="N","",IF(COUNTIFS('Fund History'!$G$524:$G$528,"&gt;="&amp;DATE(YEAR_Y-1,1,1),'Fund History'!$G$524:$G$528,"&lt;="&amp;DATE(YEAR_Y-1,12,31))=0,"",SUMIFS('Fund History'!$H$524:$H$528,'Fund History'!$G$524:$G$528,"&gt;="&amp;DATE(YEAR_Y-1,1,1),'Fund History'!$G$524:$G$528,"&lt;="&amp;DATE(YEAR_Y-1,12,31))/100)))</f>
        <v/>
      </c>
      <c r="AR98" s="147">
        <f>IF($C98="","",IF(N($AQ98)+N(HSI!$I$93)=0,"",N($AQ98)+N(HSI!$I$93)/100))</f>
        <v/>
      </c>
      <c r="AS98" s="139">
        <f>IF($C98="","",IF(PULL_FUND="N","",IF(COUNTIFS('Fund History'!$D$524:$D$528,"&gt;="&amp;DATE(YEAR_Y-2,1,1),'Fund History'!$D$524:$D$528,"&lt;="&amp;DATE(YEAR_Y-2,12,31))=0,"",SUMIFS('Fund History'!$E$524:$E$528,'Fund History'!$D$524:$D$528,"&gt;="&amp;DATE(YEAR_Y-2,1,1),'Fund History'!$D$524:$D$528,"&lt;="&amp;DATE(YEAR_Y-2,12,31)))))</f>
        <v/>
      </c>
      <c r="AT98" s="140">
        <f>IF($C98="","",IF(PULL_FUND="N","",IF(COUNTIFS('Fund History'!$D$524:$D$528,"&gt;="&amp;DATE(YEAR_Y-1,1,1),'Fund History'!$D$524:$D$528,"&lt;="&amp;DATE(YEAR_Y-1,12,31))=0,"",SUMIFS('Fund History'!$E$524:$E$528,'Fund History'!$D$524:$D$528,"&gt;="&amp;DATE(YEAR_Y-1,1,1),'Fund History'!$D$524:$D$528,"&lt;="&amp;DATE(YEAR_Y-1,12,31)))))</f>
        <v/>
      </c>
      <c r="AU98" s="140">
        <f>IF($C98="","",IF(PULL_FUND="N","",IFERROR(BDP($C98,NDEBITDA_FIELD),"")))</f>
        <v/>
      </c>
      <c r="AV98" s="148">
        <f>IF($C98="","",IF(PULL_FUND="N","",IFERROR(BDP($C98,EBINT_FIELD),"")))</f>
        <v/>
      </c>
      <c r="AW98" s="146">
        <f>IF($C98="","",IF(PULL_FUND="N","",IFERROR(BDP($C98,FCF_FIELD)/100,"")))</f>
        <v/>
      </c>
      <c r="AX98" s="126">
        <f>IF($C98="","",IF(N($U98)=0,"",IFERROR($AW98/$U98,"")))</f>
        <v/>
      </c>
      <c r="AY98" s="85">
        <f>IF($C98="","",TRIM(IF(ISNUMBER($AJ98)*(N($AJ98)&gt;$D$4)&gt;0,"payout high  ","")&amp;IF(ISNUMBER($AX98)*(N($AX98)&lt;$F$4)&gt;0,"FCF below dvd  ","")&amp;IF(ISNUMBER($AU98)*(N($AU98)&gt;$H$4)&gt;0,"leverage high","")))</f>
        <v/>
      </c>
      <c r="AZ98" s="86">
        <f>IF($C98="","",IF(HSI!$F$93="HKD","",HSI!$F$93))</f>
        <v/>
      </c>
    </row>
    <row r="99">
      <c r="B99" s="66" t="inlineStr">
        <is>
          <t>HSI</t>
        </is>
      </c>
      <c r="C99" s="8">
        <f>IF(HSI!$C$94="","",HSI!$C$94)</f>
        <v/>
      </c>
      <c r="D99" s="8">
        <f>IF($C99="","",HSI!$D$94)</f>
        <v/>
      </c>
      <c r="E99" s="8">
        <f>IF($C99="","",HSI!$E$94)</f>
        <v/>
      </c>
      <c r="F99" s="131">
        <f>IF($C99="","",SUMPRODUCT(('Dvd Calendar'!$E$968:$AR$968&gt;=DATE(YEAR_Y-5,1,1))*('Dvd Calendar'!$E$968:$AR$968&lt;=DATE(YEAR_Y-5,12,31))*'Dvd Calendar'!$E$971:$AR$971*(('Dvd Calendar'!$E$973:$AR$973=TYPE1)*(TYPE1&lt;&gt;"")+('Dvd Calendar'!$E$973:$AR$973=TYPE2)*(TYPE2&lt;&gt;"")+('Dvd Calendar'!$E$973:$AR$973=TYPE3)*(TYPE3&lt;&gt;"")+('Dvd Calendar'!$E$973:$AR$973=TYPE4)*(TYPE4&lt;&gt;"")+('Dvd Calendar'!$E$973:$AR$973=SPECIAL_LBL)*(INC_SPECIALS="Y"))))</f>
        <v/>
      </c>
      <c r="G99" s="132">
        <f>IF($C99="","",SUMPRODUCT(('Dvd Calendar'!$E$968:$AR$968&gt;=DATE(YEAR_Y-4,1,1))*('Dvd Calendar'!$E$968:$AR$968&lt;=DATE(YEAR_Y-4,12,31))*'Dvd Calendar'!$E$971:$AR$971*(('Dvd Calendar'!$E$973:$AR$973=TYPE1)*(TYPE1&lt;&gt;"")+('Dvd Calendar'!$E$973:$AR$973=TYPE2)*(TYPE2&lt;&gt;"")+('Dvd Calendar'!$E$973:$AR$973=TYPE3)*(TYPE3&lt;&gt;"")+('Dvd Calendar'!$E$973:$AR$973=TYPE4)*(TYPE4&lt;&gt;"")+('Dvd Calendar'!$E$973:$AR$973=SPECIAL_LBL)*(INC_SPECIALS="Y"))))</f>
        <v/>
      </c>
      <c r="H99" s="132">
        <f>IF($C99="","",SUMPRODUCT(('Dvd Calendar'!$E$968:$AR$968&gt;=DATE(YEAR_Y-3,1,1))*('Dvd Calendar'!$E$968:$AR$968&lt;=DATE(YEAR_Y-3,12,31))*'Dvd Calendar'!$E$971:$AR$971*(('Dvd Calendar'!$E$973:$AR$973=TYPE1)*(TYPE1&lt;&gt;"")+('Dvd Calendar'!$E$973:$AR$973=TYPE2)*(TYPE2&lt;&gt;"")+('Dvd Calendar'!$E$973:$AR$973=TYPE3)*(TYPE3&lt;&gt;"")+('Dvd Calendar'!$E$973:$AR$973=TYPE4)*(TYPE4&lt;&gt;"")+('Dvd Calendar'!$E$973:$AR$973=SPECIAL_LBL)*(INC_SPECIALS="Y"))))</f>
        <v/>
      </c>
      <c r="I99" s="132">
        <f>IF($C99="","",SUMPRODUCT(('Dvd Calendar'!$E$968:$AR$968&gt;=DATE(YEAR_Y-2,1,1))*('Dvd Calendar'!$E$968:$AR$968&lt;=DATE(YEAR_Y-2,12,31))*'Dvd Calendar'!$E$971:$AR$971*(('Dvd Calendar'!$E$973:$AR$973=TYPE1)*(TYPE1&lt;&gt;"")+('Dvd Calendar'!$E$973:$AR$973=TYPE2)*(TYPE2&lt;&gt;"")+('Dvd Calendar'!$E$973:$AR$973=TYPE3)*(TYPE3&lt;&gt;"")+('Dvd Calendar'!$E$973:$AR$973=TYPE4)*(TYPE4&lt;&gt;"")+('Dvd Calendar'!$E$973:$AR$973=SPECIAL_LBL)*(INC_SPECIALS="Y"))))</f>
        <v/>
      </c>
      <c r="J99" s="132">
        <f>IF($C99="","",SUMPRODUCT(('Dvd Calendar'!$E$968:$AR$968&gt;=DATE(YEAR_Y-1,1,1))*('Dvd Calendar'!$E$968:$AR$968&lt;=DATE(YEAR_Y-1,12,31))*'Dvd Calendar'!$E$971:$AR$971*(('Dvd Calendar'!$E$973:$AR$973=TYPE1)*(TYPE1&lt;&gt;"")+('Dvd Calendar'!$E$973:$AR$973=TYPE2)*(TYPE2&lt;&gt;"")+('Dvd Calendar'!$E$973:$AR$973=TYPE3)*(TYPE3&lt;&gt;"")+('Dvd Calendar'!$E$973:$AR$973=TYPE4)*(TYPE4&lt;&gt;"")+('Dvd Calendar'!$E$973:$AR$973=SPECIAL_LBL)*(INC_SPECIALS="Y"))))</f>
        <v/>
      </c>
      <c r="K99" s="133">
        <f>IF($C99="","",HSI!$J$94)</f>
        <v/>
      </c>
      <c r="L99" s="133">
        <f>IF($C99="","",HSI!$K$94)</f>
        <v/>
      </c>
      <c r="M99" s="124">
        <f>IF($C99="","",HSI!$J$94+HSI!$L$94)</f>
        <v/>
      </c>
      <c r="N99" s="134">
        <f>IF($C99="","",IF(PULL_FUND="N","",IFERROR(BDP($C99,BESTDPS_FIELD,FWD_OVERRIDE,TEXT(MOD(YEAR_Y,100),"00")&amp;"Y"),"")))</f>
        <v/>
      </c>
      <c r="O99" s="133">
        <f>IF($C99="","",AVERAGE(F99:J99))</f>
        <v/>
      </c>
      <c r="P99" s="135">
        <f>IF($C99="","",IF(PULL_FUND="N","",IF(COUNTIFS('Fund History'!$J$530:$J$534,"&gt;="&amp;DATE(YEAR_Y-5,1,1),'Fund History'!$J$530:$J$534,"&lt;="&amp;DATE(YEAR_Y-5,12,31))=0,"",IFERROR($F99*HSI!$G$94/SUMIFS('Fund History'!$K$530:$K$534,'Fund History'!$J$530:$J$534,"&gt;="&amp;DATE(YEAR_Y-5,1,1),'Fund History'!$J$530:$J$534,"&lt;="&amp;DATE(YEAR_Y-5,12,31)),""))))</f>
        <v/>
      </c>
      <c r="Q99" s="136">
        <f>IF($C99="","",IF(PULL_FUND="N","",IF(COUNTIFS('Fund History'!$J$530:$J$534,"&gt;="&amp;DATE(YEAR_Y-4,1,1),'Fund History'!$J$530:$J$534,"&lt;="&amp;DATE(YEAR_Y-4,12,31))=0,"",IFERROR($G99*HSI!$G$94/SUMIFS('Fund History'!$K$530:$K$534,'Fund History'!$J$530:$J$534,"&gt;="&amp;DATE(YEAR_Y-4,1,1),'Fund History'!$J$530:$J$534,"&lt;="&amp;DATE(YEAR_Y-4,12,31)),""))))</f>
        <v/>
      </c>
      <c r="R99" s="136">
        <f>IF($C99="","",IF(PULL_FUND="N","",IF(COUNTIFS('Fund History'!$J$530:$J$534,"&gt;="&amp;DATE(YEAR_Y-3,1,1),'Fund History'!$J$530:$J$534,"&lt;="&amp;DATE(YEAR_Y-3,12,31))=0,"",IFERROR($H99*HSI!$G$94/SUMIFS('Fund History'!$K$530:$K$534,'Fund History'!$J$530:$J$534,"&gt;="&amp;DATE(YEAR_Y-3,1,1),'Fund History'!$J$530:$J$534,"&lt;="&amp;DATE(YEAR_Y-3,12,31)),""))))</f>
        <v/>
      </c>
      <c r="S99" s="136">
        <f>IF($C99="","",IF(PULL_FUND="N","",IF(COUNTIFS('Fund History'!$J$530:$J$534,"&gt;="&amp;DATE(YEAR_Y-2,1,1),'Fund History'!$J$530:$J$534,"&lt;="&amp;DATE(YEAR_Y-2,12,31))=0,"",IFERROR($I99*HSI!$G$94/SUMIFS('Fund History'!$K$530:$K$534,'Fund History'!$J$530:$J$534,"&gt;="&amp;DATE(YEAR_Y-2,1,1),'Fund History'!$J$530:$J$534,"&lt;="&amp;DATE(YEAR_Y-2,12,31)),""))))</f>
        <v/>
      </c>
      <c r="T99" s="136">
        <f>IF($C99="","",IF(PULL_FUND="N","",IF(COUNTIFS('Fund History'!$J$530:$J$534,"&gt;="&amp;DATE(YEAR_Y-1,1,1),'Fund History'!$J$530:$J$534,"&lt;="&amp;DATE(YEAR_Y-1,12,31))=0,"",IFERROR($J99*HSI!$G$94/SUMIFS('Fund History'!$K$530:$K$534,'Fund History'!$J$530:$J$534,"&gt;="&amp;DATE(YEAR_Y-1,1,1),'Fund History'!$J$530:$J$534,"&lt;="&amp;DATE(YEAR_Y-1,12,31)),""))))</f>
        <v/>
      </c>
      <c r="U99" s="137">
        <f>IF($C99="","",IF(ISNUMBER(HSI!$I$94),HSI!$I$94/100,""))</f>
        <v/>
      </c>
      <c r="V99" s="138">
        <f>IF($C99="","",IF(ISNUMBER(HSI!$X$94),IFERROR($M99*HSI!$G$94/HSI!$X$94,""),""))</f>
        <v/>
      </c>
      <c r="W99" s="137">
        <f>IF($C99="","",IF(ISNUMBER($N99),IFERROR($N99*HSI!$G$94/HSI!$X$94,""),""))</f>
        <v/>
      </c>
      <c r="X99" s="139">
        <f>IF($C99="","",IF(PULL_FUND="N","",IFERROR(BDP($C99,EPS_FIELD,YR_OVERRIDE,TEXT(YEAR_Y-5,"0")),"")))</f>
        <v/>
      </c>
      <c r="Y99" s="140">
        <f>IF($C99="","",IF(PULL_FUND="N","",IFERROR(BDP($C99,EPS_FIELD,YR_OVERRIDE,TEXT(YEAR_Y-4,"0")),"")))</f>
        <v/>
      </c>
      <c r="Z99" s="140">
        <f>IF($C99="","",IF(PULL_FUND="N","",IFERROR(BDP($C99,EPS_FIELD,YR_OVERRIDE,TEXT(YEAR_Y-3,"0")),"")))</f>
        <v/>
      </c>
      <c r="AA99" s="140">
        <f>IF($C99="","",IF(PULL_FUND="N","",IFERROR(BDP($C99,EPS_FIELD,YR_OVERRIDE,TEXT(YEAR_Y-2,"0")),"")))</f>
        <v/>
      </c>
      <c r="AB99" s="140">
        <f>IF($C99="","",IF(PULL_FUND="N","",IFERROR(BDP($C99,EPS_FIELD,YR_OVERRIDE,TEXT(YEAR_Y-1,"0")),"")))</f>
        <v/>
      </c>
      <c r="AC99" s="126">
        <f>IF($C99="","",IFERROR(AVERAGE(X99:AB99),""))</f>
        <v/>
      </c>
      <c r="AD99" s="140">
        <f>IF($C99="","",IF(PULL_FUND="N","",IFERROR(BDP($C99,BESTEPS_FIELD,FWD_OVERRIDE,TEXT(MOD(YEAR_Y,100),"00")&amp;"Y"),"")))</f>
        <v/>
      </c>
      <c r="AE99" s="141">
        <f>IF($C99="","",IF(PULL_FUND="N","",IFERROR(BDP($C99,PAYOUT_FIELD,YR_OVERRIDE,TEXT(YEAR_Y-5,"0"))/100,"")))</f>
        <v/>
      </c>
      <c r="AF99" s="142">
        <f>IF($C99="","",IF(PULL_FUND="N","",IFERROR(BDP($C99,PAYOUT_FIELD,YR_OVERRIDE,TEXT(YEAR_Y-4,"0"))/100,"")))</f>
        <v/>
      </c>
      <c r="AG99" s="142">
        <f>IF($C99="","",IF(PULL_FUND="N","",IFERROR(BDP($C99,PAYOUT_FIELD,YR_OVERRIDE,TEXT(YEAR_Y-3,"0"))/100,"")))</f>
        <v/>
      </c>
      <c r="AH99" s="142">
        <f>IF($C99="","",IF(PULL_FUND="N","",IFERROR(BDP($C99,PAYOUT_FIELD,YR_OVERRIDE,TEXT(YEAR_Y-2,"0"))/100,"")))</f>
        <v/>
      </c>
      <c r="AI99" s="142">
        <f>IF($C99="","",IF(PULL_FUND="N","",IFERROR(BDP($C99,PAYOUT_FIELD,YR_OVERRIDE,TEXT(YEAR_Y-1,"0"))/100,"")))</f>
        <v/>
      </c>
      <c r="AJ99" s="143">
        <f>IF($C99="","",IFERROR(AVERAGE(AE99:AI99),""))</f>
        <v/>
      </c>
      <c r="AK99" s="144">
        <f>IF($C99="","",IF(ISNUMBER($AD99)*ISNUMBER($N99)*($AD99&lt;&gt;0)=0,"",$N99/$AD99))</f>
        <v/>
      </c>
      <c r="AL99" s="143">
        <f>IF($C99="","",IF(ISNUMBER($AD99)*($AD99&lt;&gt;0)=0,"",$M99/$AD99))</f>
        <v/>
      </c>
      <c r="AM99" s="37">
        <f>IF($C99="","",IF(ISNUMBER($AE99)*ISNUMBER($AI99)=0,"",IF($AI99&gt;$AE99+0.05,"rising",IF($AI99&lt;$AE99-0.05,"falling","stable"))))</f>
        <v/>
      </c>
      <c r="AN99" s="145">
        <f>IF($C99="","",IF(PULL_FUND="N","",IF(COUNTIFS('Fund History'!$G$530:$G$534,"&gt;="&amp;DATE(YEAR_Y-4,1,1),'Fund History'!$G$530:$G$534,"&lt;="&amp;DATE(YEAR_Y-4,12,31))=0,"",SUMIFS('Fund History'!$H$530:$H$534,'Fund History'!$G$530:$G$534,"&gt;="&amp;DATE(YEAR_Y-4,1,1),'Fund History'!$G$530:$G$534,"&lt;="&amp;DATE(YEAR_Y-4,12,31))/100)))</f>
        <v/>
      </c>
      <c r="AO99" s="146">
        <f>IF($C99="","",IF(PULL_FUND="N","",IF(COUNTIFS('Fund History'!$G$530:$G$534,"&gt;="&amp;DATE(YEAR_Y-3,1,1),'Fund History'!$G$530:$G$534,"&lt;="&amp;DATE(YEAR_Y-3,12,31))=0,"",SUMIFS('Fund History'!$H$530:$H$534,'Fund History'!$G$530:$G$534,"&gt;="&amp;DATE(YEAR_Y-3,1,1),'Fund History'!$G$530:$G$534,"&lt;="&amp;DATE(YEAR_Y-3,12,31))/100)))</f>
        <v/>
      </c>
      <c r="AP99" s="146">
        <f>IF($C99="","",IF(PULL_FUND="N","",IF(COUNTIFS('Fund History'!$G$530:$G$534,"&gt;="&amp;DATE(YEAR_Y-2,1,1),'Fund History'!$G$530:$G$534,"&lt;="&amp;DATE(YEAR_Y-2,12,31))=0,"",SUMIFS('Fund History'!$H$530:$H$534,'Fund History'!$G$530:$G$534,"&gt;="&amp;DATE(YEAR_Y-2,1,1),'Fund History'!$G$530:$G$534,"&lt;="&amp;DATE(YEAR_Y-2,12,31))/100)))</f>
        <v/>
      </c>
      <c r="AQ99" s="146">
        <f>IF($C99="","",IF(PULL_FUND="N","",IF(COUNTIFS('Fund History'!$G$530:$G$534,"&gt;="&amp;DATE(YEAR_Y-1,1,1),'Fund History'!$G$530:$G$534,"&lt;="&amp;DATE(YEAR_Y-1,12,31))=0,"",SUMIFS('Fund History'!$H$530:$H$534,'Fund History'!$G$530:$G$534,"&gt;="&amp;DATE(YEAR_Y-1,1,1),'Fund History'!$G$530:$G$534,"&lt;="&amp;DATE(YEAR_Y-1,12,31))/100)))</f>
        <v/>
      </c>
      <c r="AR99" s="147">
        <f>IF($C99="","",IF(N($AQ99)+N(HSI!$I$94)=0,"",N($AQ99)+N(HSI!$I$94)/100))</f>
        <v/>
      </c>
      <c r="AS99" s="139">
        <f>IF($C99="","",IF(PULL_FUND="N","",IF(COUNTIFS('Fund History'!$D$530:$D$534,"&gt;="&amp;DATE(YEAR_Y-2,1,1),'Fund History'!$D$530:$D$534,"&lt;="&amp;DATE(YEAR_Y-2,12,31))=0,"",SUMIFS('Fund History'!$E$530:$E$534,'Fund History'!$D$530:$D$534,"&gt;="&amp;DATE(YEAR_Y-2,1,1),'Fund History'!$D$530:$D$534,"&lt;="&amp;DATE(YEAR_Y-2,12,31)))))</f>
        <v/>
      </c>
      <c r="AT99" s="140">
        <f>IF($C99="","",IF(PULL_FUND="N","",IF(COUNTIFS('Fund History'!$D$530:$D$534,"&gt;="&amp;DATE(YEAR_Y-1,1,1),'Fund History'!$D$530:$D$534,"&lt;="&amp;DATE(YEAR_Y-1,12,31))=0,"",SUMIFS('Fund History'!$E$530:$E$534,'Fund History'!$D$530:$D$534,"&gt;="&amp;DATE(YEAR_Y-1,1,1),'Fund History'!$D$530:$D$534,"&lt;="&amp;DATE(YEAR_Y-1,12,31)))))</f>
        <v/>
      </c>
      <c r="AU99" s="140">
        <f>IF($C99="","",IF(PULL_FUND="N","",IFERROR(BDP($C99,NDEBITDA_FIELD),"")))</f>
        <v/>
      </c>
      <c r="AV99" s="148">
        <f>IF($C99="","",IF(PULL_FUND="N","",IFERROR(BDP($C99,EBINT_FIELD),"")))</f>
        <v/>
      </c>
      <c r="AW99" s="146">
        <f>IF($C99="","",IF(PULL_FUND="N","",IFERROR(BDP($C99,FCF_FIELD)/100,"")))</f>
        <v/>
      </c>
      <c r="AX99" s="126">
        <f>IF($C99="","",IF(N($U99)=0,"",IFERROR($AW99/$U99,"")))</f>
        <v/>
      </c>
      <c r="AY99" s="85">
        <f>IF($C99="","",TRIM(IF(ISNUMBER($AJ99)*(N($AJ99)&gt;$D$4)&gt;0,"payout high  ","")&amp;IF(ISNUMBER($AX99)*(N($AX99)&lt;$F$4)&gt;0,"FCF below dvd  ","")&amp;IF(ISNUMBER($AU99)*(N($AU99)&gt;$H$4)&gt;0,"leverage high","")))</f>
        <v/>
      </c>
      <c r="AZ99" s="86">
        <f>IF($C99="","",IF(HSI!$F$94="HKD","",HSI!$F$94))</f>
        <v/>
      </c>
    </row>
    <row r="100">
      <c r="B100" s="66" t="inlineStr">
        <is>
          <t>HSI</t>
        </is>
      </c>
      <c r="C100" s="8">
        <f>IF(HSI!$C$95="","",HSI!$C$95)</f>
        <v/>
      </c>
      <c r="D100" s="8">
        <f>IF($C100="","",HSI!$D$95)</f>
        <v/>
      </c>
      <c r="E100" s="8">
        <f>IF($C100="","",HSI!$E$95)</f>
        <v/>
      </c>
      <c r="F100" s="131">
        <f>IF($C100="","",SUMPRODUCT(('Dvd Calendar'!$E$979:$AR$979&gt;=DATE(YEAR_Y-5,1,1))*('Dvd Calendar'!$E$979:$AR$979&lt;=DATE(YEAR_Y-5,12,31))*'Dvd Calendar'!$E$982:$AR$982*(('Dvd Calendar'!$E$984:$AR$984=TYPE1)*(TYPE1&lt;&gt;"")+('Dvd Calendar'!$E$984:$AR$984=TYPE2)*(TYPE2&lt;&gt;"")+('Dvd Calendar'!$E$984:$AR$984=TYPE3)*(TYPE3&lt;&gt;"")+('Dvd Calendar'!$E$984:$AR$984=TYPE4)*(TYPE4&lt;&gt;"")+('Dvd Calendar'!$E$984:$AR$984=SPECIAL_LBL)*(INC_SPECIALS="Y"))))</f>
        <v/>
      </c>
      <c r="G100" s="132">
        <f>IF($C100="","",SUMPRODUCT(('Dvd Calendar'!$E$979:$AR$979&gt;=DATE(YEAR_Y-4,1,1))*('Dvd Calendar'!$E$979:$AR$979&lt;=DATE(YEAR_Y-4,12,31))*'Dvd Calendar'!$E$982:$AR$982*(('Dvd Calendar'!$E$984:$AR$984=TYPE1)*(TYPE1&lt;&gt;"")+('Dvd Calendar'!$E$984:$AR$984=TYPE2)*(TYPE2&lt;&gt;"")+('Dvd Calendar'!$E$984:$AR$984=TYPE3)*(TYPE3&lt;&gt;"")+('Dvd Calendar'!$E$984:$AR$984=TYPE4)*(TYPE4&lt;&gt;"")+('Dvd Calendar'!$E$984:$AR$984=SPECIAL_LBL)*(INC_SPECIALS="Y"))))</f>
        <v/>
      </c>
      <c r="H100" s="132">
        <f>IF($C100="","",SUMPRODUCT(('Dvd Calendar'!$E$979:$AR$979&gt;=DATE(YEAR_Y-3,1,1))*('Dvd Calendar'!$E$979:$AR$979&lt;=DATE(YEAR_Y-3,12,31))*'Dvd Calendar'!$E$982:$AR$982*(('Dvd Calendar'!$E$984:$AR$984=TYPE1)*(TYPE1&lt;&gt;"")+('Dvd Calendar'!$E$984:$AR$984=TYPE2)*(TYPE2&lt;&gt;"")+('Dvd Calendar'!$E$984:$AR$984=TYPE3)*(TYPE3&lt;&gt;"")+('Dvd Calendar'!$E$984:$AR$984=TYPE4)*(TYPE4&lt;&gt;"")+('Dvd Calendar'!$E$984:$AR$984=SPECIAL_LBL)*(INC_SPECIALS="Y"))))</f>
        <v/>
      </c>
      <c r="I100" s="132">
        <f>IF($C100="","",SUMPRODUCT(('Dvd Calendar'!$E$979:$AR$979&gt;=DATE(YEAR_Y-2,1,1))*('Dvd Calendar'!$E$979:$AR$979&lt;=DATE(YEAR_Y-2,12,31))*'Dvd Calendar'!$E$982:$AR$982*(('Dvd Calendar'!$E$984:$AR$984=TYPE1)*(TYPE1&lt;&gt;"")+('Dvd Calendar'!$E$984:$AR$984=TYPE2)*(TYPE2&lt;&gt;"")+('Dvd Calendar'!$E$984:$AR$984=TYPE3)*(TYPE3&lt;&gt;"")+('Dvd Calendar'!$E$984:$AR$984=TYPE4)*(TYPE4&lt;&gt;"")+('Dvd Calendar'!$E$984:$AR$984=SPECIAL_LBL)*(INC_SPECIALS="Y"))))</f>
        <v/>
      </c>
      <c r="J100" s="132">
        <f>IF($C100="","",SUMPRODUCT(('Dvd Calendar'!$E$979:$AR$979&gt;=DATE(YEAR_Y-1,1,1))*('Dvd Calendar'!$E$979:$AR$979&lt;=DATE(YEAR_Y-1,12,31))*'Dvd Calendar'!$E$982:$AR$982*(('Dvd Calendar'!$E$984:$AR$984=TYPE1)*(TYPE1&lt;&gt;"")+('Dvd Calendar'!$E$984:$AR$984=TYPE2)*(TYPE2&lt;&gt;"")+('Dvd Calendar'!$E$984:$AR$984=TYPE3)*(TYPE3&lt;&gt;"")+('Dvd Calendar'!$E$984:$AR$984=TYPE4)*(TYPE4&lt;&gt;"")+('Dvd Calendar'!$E$984:$AR$984=SPECIAL_LBL)*(INC_SPECIALS="Y"))))</f>
        <v/>
      </c>
      <c r="K100" s="133">
        <f>IF($C100="","",HSI!$J$95)</f>
        <v/>
      </c>
      <c r="L100" s="133">
        <f>IF($C100="","",HSI!$K$95)</f>
        <v/>
      </c>
      <c r="M100" s="124">
        <f>IF($C100="","",HSI!$J$95+HSI!$L$95)</f>
        <v/>
      </c>
      <c r="N100" s="134">
        <f>IF($C100="","",IF(PULL_FUND="N","",IFERROR(BDP($C100,BESTDPS_FIELD,FWD_OVERRIDE,TEXT(MOD(YEAR_Y,100),"00")&amp;"Y"),"")))</f>
        <v/>
      </c>
      <c r="O100" s="133">
        <f>IF($C100="","",AVERAGE(F100:J100))</f>
        <v/>
      </c>
      <c r="P100" s="135">
        <f>IF($C100="","",IF(PULL_FUND="N","",IF(COUNTIFS('Fund History'!$J$536:$J$540,"&gt;="&amp;DATE(YEAR_Y-5,1,1),'Fund History'!$J$536:$J$540,"&lt;="&amp;DATE(YEAR_Y-5,12,31))=0,"",IFERROR($F100*HSI!$G$95/SUMIFS('Fund History'!$K$536:$K$540,'Fund History'!$J$536:$J$540,"&gt;="&amp;DATE(YEAR_Y-5,1,1),'Fund History'!$J$536:$J$540,"&lt;="&amp;DATE(YEAR_Y-5,12,31)),""))))</f>
        <v/>
      </c>
      <c r="Q100" s="136">
        <f>IF($C100="","",IF(PULL_FUND="N","",IF(COUNTIFS('Fund History'!$J$536:$J$540,"&gt;="&amp;DATE(YEAR_Y-4,1,1),'Fund History'!$J$536:$J$540,"&lt;="&amp;DATE(YEAR_Y-4,12,31))=0,"",IFERROR($G100*HSI!$G$95/SUMIFS('Fund History'!$K$536:$K$540,'Fund History'!$J$536:$J$540,"&gt;="&amp;DATE(YEAR_Y-4,1,1),'Fund History'!$J$536:$J$540,"&lt;="&amp;DATE(YEAR_Y-4,12,31)),""))))</f>
        <v/>
      </c>
      <c r="R100" s="136">
        <f>IF($C100="","",IF(PULL_FUND="N","",IF(COUNTIFS('Fund History'!$J$536:$J$540,"&gt;="&amp;DATE(YEAR_Y-3,1,1),'Fund History'!$J$536:$J$540,"&lt;="&amp;DATE(YEAR_Y-3,12,31))=0,"",IFERROR($H100*HSI!$G$95/SUMIFS('Fund History'!$K$536:$K$540,'Fund History'!$J$536:$J$540,"&gt;="&amp;DATE(YEAR_Y-3,1,1),'Fund History'!$J$536:$J$540,"&lt;="&amp;DATE(YEAR_Y-3,12,31)),""))))</f>
        <v/>
      </c>
      <c r="S100" s="136">
        <f>IF($C100="","",IF(PULL_FUND="N","",IF(COUNTIFS('Fund History'!$J$536:$J$540,"&gt;="&amp;DATE(YEAR_Y-2,1,1),'Fund History'!$J$536:$J$540,"&lt;="&amp;DATE(YEAR_Y-2,12,31))=0,"",IFERROR($I100*HSI!$G$95/SUMIFS('Fund History'!$K$536:$K$540,'Fund History'!$J$536:$J$540,"&gt;="&amp;DATE(YEAR_Y-2,1,1),'Fund History'!$J$536:$J$540,"&lt;="&amp;DATE(YEAR_Y-2,12,31)),""))))</f>
        <v/>
      </c>
      <c r="T100" s="136">
        <f>IF($C100="","",IF(PULL_FUND="N","",IF(COUNTIFS('Fund History'!$J$536:$J$540,"&gt;="&amp;DATE(YEAR_Y-1,1,1),'Fund History'!$J$536:$J$540,"&lt;="&amp;DATE(YEAR_Y-1,12,31))=0,"",IFERROR($J100*HSI!$G$95/SUMIFS('Fund History'!$K$536:$K$540,'Fund History'!$J$536:$J$540,"&gt;="&amp;DATE(YEAR_Y-1,1,1),'Fund History'!$J$536:$J$540,"&lt;="&amp;DATE(YEAR_Y-1,12,31)),""))))</f>
        <v/>
      </c>
      <c r="U100" s="137">
        <f>IF($C100="","",IF(ISNUMBER(HSI!$I$95),HSI!$I$95/100,""))</f>
        <v/>
      </c>
      <c r="V100" s="138">
        <f>IF($C100="","",IF(ISNUMBER(HSI!$X$95),IFERROR($M100*HSI!$G$95/HSI!$X$95,""),""))</f>
        <v/>
      </c>
      <c r="W100" s="137">
        <f>IF($C100="","",IF(ISNUMBER($N100),IFERROR($N100*HSI!$G$95/HSI!$X$95,""),""))</f>
        <v/>
      </c>
      <c r="X100" s="139">
        <f>IF($C100="","",IF(PULL_FUND="N","",IFERROR(BDP($C100,EPS_FIELD,YR_OVERRIDE,TEXT(YEAR_Y-5,"0")),"")))</f>
        <v/>
      </c>
      <c r="Y100" s="140">
        <f>IF($C100="","",IF(PULL_FUND="N","",IFERROR(BDP($C100,EPS_FIELD,YR_OVERRIDE,TEXT(YEAR_Y-4,"0")),"")))</f>
        <v/>
      </c>
      <c r="Z100" s="140">
        <f>IF($C100="","",IF(PULL_FUND="N","",IFERROR(BDP($C100,EPS_FIELD,YR_OVERRIDE,TEXT(YEAR_Y-3,"0")),"")))</f>
        <v/>
      </c>
      <c r="AA100" s="140">
        <f>IF($C100="","",IF(PULL_FUND="N","",IFERROR(BDP($C100,EPS_FIELD,YR_OVERRIDE,TEXT(YEAR_Y-2,"0")),"")))</f>
        <v/>
      </c>
      <c r="AB100" s="140">
        <f>IF($C100="","",IF(PULL_FUND="N","",IFERROR(BDP($C100,EPS_FIELD,YR_OVERRIDE,TEXT(YEAR_Y-1,"0")),"")))</f>
        <v/>
      </c>
      <c r="AC100" s="126">
        <f>IF($C100="","",IFERROR(AVERAGE(X100:AB100),""))</f>
        <v/>
      </c>
      <c r="AD100" s="140">
        <f>IF($C100="","",IF(PULL_FUND="N","",IFERROR(BDP($C100,BESTEPS_FIELD,FWD_OVERRIDE,TEXT(MOD(YEAR_Y,100),"00")&amp;"Y"),"")))</f>
        <v/>
      </c>
      <c r="AE100" s="141">
        <f>IF($C100="","",IF(PULL_FUND="N","",IFERROR(BDP($C100,PAYOUT_FIELD,YR_OVERRIDE,TEXT(YEAR_Y-5,"0"))/100,"")))</f>
        <v/>
      </c>
      <c r="AF100" s="142">
        <f>IF($C100="","",IF(PULL_FUND="N","",IFERROR(BDP($C100,PAYOUT_FIELD,YR_OVERRIDE,TEXT(YEAR_Y-4,"0"))/100,"")))</f>
        <v/>
      </c>
      <c r="AG100" s="142">
        <f>IF($C100="","",IF(PULL_FUND="N","",IFERROR(BDP($C100,PAYOUT_FIELD,YR_OVERRIDE,TEXT(YEAR_Y-3,"0"))/100,"")))</f>
        <v/>
      </c>
      <c r="AH100" s="142">
        <f>IF($C100="","",IF(PULL_FUND="N","",IFERROR(BDP($C100,PAYOUT_FIELD,YR_OVERRIDE,TEXT(YEAR_Y-2,"0"))/100,"")))</f>
        <v/>
      </c>
      <c r="AI100" s="142">
        <f>IF($C100="","",IF(PULL_FUND="N","",IFERROR(BDP($C100,PAYOUT_FIELD,YR_OVERRIDE,TEXT(YEAR_Y-1,"0"))/100,"")))</f>
        <v/>
      </c>
      <c r="AJ100" s="143">
        <f>IF($C100="","",IFERROR(AVERAGE(AE100:AI100),""))</f>
        <v/>
      </c>
      <c r="AK100" s="144">
        <f>IF($C100="","",IF(ISNUMBER($AD100)*ISNUMBER($N100)*($AD100&lt;&gt;0)=0,"",$N100/$AD100))</f>
        <v/>
      </c>
      <c r="AL100" s="143">
        <f>IF($C100="","",IF(ISNUMBER($AD100)*($AD100&lt;&gt;0)=0,"",$M100/$AD100))</f>
        <v/>
      </c>
      <c r="AM100" s="37">
        <f>IF($C100="","",IF(ISNUMBER($AE100)*ISNUMBER($AI100)=0,"",IF($AI100&gt;$AE100+0.05,"rising",IF($AI100&lt;$AE100-0.05,"falling","stable"))))</f>
        <v/>
      </c>
      <c r="AN100" s="145">
        <f>IF($C100="","",IF(PULL_FUND="N","",IF(COUNTIFS('Fund History'!$G$536:$G$540,"&gt;="&amp;DATE(YEAR_Y-4,1,1),'Fund History'!$G$536:$G$540,"&lt;="&amp;DATE(YEAR_Y-4,12,31))=0,"",SUMIFS('Fund History'!$H$536:$H$540,'Fund History'!$G$536:$G$540,"&gt;="&amp;DATE(YEAR_Y-4,1,1),'Fund History'!$G$536:$G$540,"&lt;="&amp;DATE(YEAR_Y-4,12,31))/100)))</f>
        <v/>
      </c>
      <c r="AO100" s="146">
        <f>IF($C100="","",IF(PULL_FUND="N","",IF(COUNTIFS('Fund History'!$G$536:$G$540,"&gt;="&amp;DATE(YEAR_Y-3,1,1),'Fund History'!$G$536:$G$540,"&lt;="&amp;DATE(YEAR_Y-3,12,31))=0,"",SUMIFS('Fund History'!$H$536:$H$540,'Fund History'!$G$536:$G$540,"&gt;="&amp;DATE(YEAR_Y-3,1,1),'Fund History'!$G$536:$G$540,"&lt;="&amp;DATE(YEAR_Y-3,12,31))/100)))</f>
        <v/>
      </c>
      <c r="AP100" s="146">
        <f>IF($C100="","",IF(PULL_FUND="N","",IF(COUNTIFS('Fund History'!$G$536:$G$540,"&gt;="&amp;DATE(YEAR_Y-2,1,1),'Fund History'!$G$536:$G$540,"&lt;="&amp;DATE(YEAR_Y-2,12,31))=0,"",SUMIFS('Fund History'!$H$536:$H$540,'Fund History'!$G$536:$G$540,"&gt;="&amp;DATE(YEAR_Y-2,1,1),'Fund History'!$G$536:$G$540,"&lt;="&amp;DATE(YEAR_Y-2,12,31))/100)))</f>
        <v/>
      </c>
      <c r="AQ100" s="146">
        <f>IF($C100="","",IF(PULL_FUND="N","",IF(COUNTIFS('Fund History'!$G$536:$G$540,"&gt;="&amp;DATE(YEAR_Y-1,1,1),'Fund History'!$G$536:$G$540,"&lt;="&amp;DATE(YEAR_Y-1,12,31))=0,"",SUMIFS('Fund History'!$H$536:$H$540,'Fund History'!$G$536:$G$540,"&gt;="&amp;DATE(YEAR_Y-1,1,1),'Fund History'!$G$536:$G$540,"&lt;="&amp;DATE(YEAR_Y-1,12,31))/100)))</f>
        <v/>
      </c>
      <c r="AR100" s="147">
        <f>IF($C100="","",IF(N($AQ100)+N(HSI!$I$95)=0,"",N($AQ100)+N(HSI!$I$95)/100))</f>
        <v/>
      </c>
      <c r="AS100" s="139">
        <f>IF($C100="","",IF(PULL_FUND="N","",IF(COUNTIFS('Fund History'!$D$536:$D$540,"&gt;="&amp;DATE(YEAR_Y-2,1,1),'Fund History'!$D$536:$D$540,"&lt;="&amp;DATE(YEAR_Y-2,12,31))=0,"",SUMIFS('Fund History'!$E$536:$E$540,'Fund History'!$D$536:$D$540,"&gt;="&amp;DATE(YEAR_Y-2,1,1),'Fund History'!$D$536:$D$540,"&lt;="&amp;DATE(YEAR_Y-2,12,31)))))</f>
        <v/>
      </c>
      <c r="AT100" s="140">
        <f>IF($C100="","",IF(PULL_FUND="N","",IF(COUNTIFS('Fund History'!$D$536:$D$540,"&gt;="&amp;DATE(YEAR_Y-1,1,1),'Fund History'!$D$536:$D$540,"&lt;="&amp;DATE(YEAR_Y-1,12,31))=0,"",SUMIFS('Fund History'!$E$536:$E$540,'Fund History'!$D$536:$D$540,"&gt;="&amp;DATE(YEAR_Y-1,1,1),'Fund History'!$D$536:$D$540,"&lt;="&amp;DATE(YEAR_Y-1,12,31)))))</f>
        <v/>
      </c>
      <c r="AU100" s="140">
        <f>IF($C100="","",IF(PULL_FUND="N","",IFERROR(BDP($C100,NDEBITDA_FIELD),"")))</f>
        <v/>
      </c>
      <c r="AV100" s="148">
        <f>IF($C100="","",IF(PULL_FUND="N","",IFERROR(BDP($C100,EBINT_FIELD),"")))</f>
        <v/>
      </c>
      <c r="AW100" s="146">
        <f>IF($C100="","",IF(PULL_FUND="N","",IFERROR(BDP($C100,FCF_FIELD)/100,"")))</f>
        <v/>
      </c>
      <c r="AX100" s="126">
        <f>IF($C100="","",IF(N($U100)=0,"",IFERROR($AW100/$U100,"")))</f>
        <v/>
      </c>
      <c r="AY100" s="85">
        <f>IF($C100="","",TRIM(IF(ISNUMBER($AJ100)*(N($AJ100)&gt;$D$4)&gt;0,"payout high  ","")&amp;IF(ISNUMBER($AX100)*(N($AX100)&lt;$F$4)&gt;0,"FCF below dvd  ","")&amp;IF(ISNUMBER($AU100)*(N($AU100)&gt;$H$4)&gt;0,"leverage high","")))</f>
        <v/>
      </c>
      <c r="AZ100" s="86">
        <f>IF($C100="","",IF(HSI!$F$95="HKD","",HSI!$F$95))</f>
        <v/>
      </c>
    </row>
    <row r="101">
      <c r="B101" s="66" t="inlineStr">
        <is>
          <t>HSI</t>
        </is>
      </c>
      <c r="C101" s="8">
        <f>IF(HSI!$C$96="","",HSI!$C$96)</f>
        <v/>
      </c>
      <c r="D101" s="8">
        <f>IF($C101="","",HSI!$D$96)</f>
        <v/>
      </c>
      <c r="E101" s="8">
        <f>IF($C101="","",HSI!$E$96)</f>
        <v/>
      </c>
      <c r="F101" s="131">
        <f>IF($C101="","",SUMPRODUCT(('Dvd Calendar'!$E$990:$AR$990&gt;=DATE(YEAR_Y-5,1,1))*('Dvd Calendar'!$E$990:$AR$990&lt;=DATE(YEAR_Y-5,12,31))*'Dvd Calendar'!$E$993:$AR$993*(('Dvd Calendar'!$E$995:$AR$995=TYPE1)*(TYPE1&lt;&gt;"")+('Dvd Calendar'!$E$995:$AR$995=TYPE2)*(TYPE2&lt;&gt;"")+('Dvd Calendar'!$E$995:$AR$995=TYPE3)*(TYPE3&lt;&gt;"")+('Dvd Calendar'!$E$995:$AR$995=TYPE4)*(TYPE4&lt;&gt;"")+('Dvd Calendar'!$E$995:$AR$995=SPECIAL_LBL)*(INC_SPECIALS="Y"))))</f>
        <v/>
      </c>
      <c r="G101" s="132">
        <f>IF($C101="","",SUMPRODUCT(('Dvd Calendar'!$E$990:$AR$990&gt;=DATE(YEAR_Y-4,1,1))*('Dvd Calendar'!$E$990:$AR$990&lt;=DATE(YEAR_Y-4,12,31))*'Dvd Calendar'!$E$993:$AR$993*(('Dvd Calendar'!$E$995:$AR$995=TYPE1)*(TYPE1&lt;&gt;"")+('Dvd Calendar'!$E$995:$AR$995=TYPE2)*(TYPE2&lt;&gt;"")+('Dvd Calendar'!$E$995:$AR$995=TYPE3)*(TYPE3&lt;&gt;"")+('Dvd Calendar'!$E$995:$AR$995=TYPE4)*(TYPE4&lt;&gt;"")+('Dvd Calendar'!$E$995:$AR$995=SPECIAL_LBL)*(INC_SPECIALS="Y"))))</f>
        <v/>
      </c>
      <c r="H101" s="132">
        <f>IF($C101="","",SUMPRODUCT(('Dvd Calendar'!$E$990:$AR$990&gt;=DATE(YEAR_Y-3,1,1))*('Dvd Calendar'!$E$990:$AR$990&lt;=DATE(YEAR_Y-3,12,31))*'Dvd Calendar'!$E$993:$AR$993*(('Dvd Calendar'!$E$995:$AR$995=TYPE1)*(TYPE1&lt;&gt;"")+('Dvd Calendar'!$E$995:$AR$995=TYPE2)*(TYPE2&lt;&gt;"")+('Dvd Calendar'!$E$995:$AR$995=TYPE3)*(TYPE3&lt;&gt;"")+('Dvd Calendar'!$E$995:$AR$995=TYPE4)*(TYPE4&lt;&gt;"")+('Dvd Calendar'!$E$995:$AR$995=SPECIAL_LBL)*(INC_SPECIALS="Y"))))</f>
        <v/>
      </c>
      <c r="I101" s="132">
        <f>IF($C101="","",SUMPRODUCT(('Dvd Calendar'!$E$990:$AR$990&gt;=DATE(YEAR_Y-2,1,1))*('Dvd Calendar'!$E$990:$AR$990&lt;=DATE(YEAR_Y-2,12,31))*'Dvd Calendar'!$E$993:$AR$993*(('Dvd Calendar'!$E$995:$AR$995=TYPE1)*(TYPE1&lt;&gt;"")+('Dvd Calendar'!$E$995:$AR$995=TYPE2)*(TYPE2&lt;&gt;"")+('Dvd Calendar'!$E$995:$AR$995=TYPE3)*(TYPE3&lt;&gt;"")+('Dvd Calendar'!$E$995:$AR$995=TYPE4)*(TYPE4&lt;&gt;"")+('Dvd Calendar'!$E$995:$AR$995=SPECIAL_LBL)*(INC_SPECIALS="Y"))))</f>
        <v/>
      </c>
      <c r="J101" s="132">
        <f>IF($C101="","",SUMPRODUCT(('Dvd Calendar'!$E$990:$AR$990&gt;=DATE(YEAR_Y-1,1,1))*('Dvd Calendar'!$E$990:$AR$990&lt;=DATE(YEAR_Y-1,12,31))*'Dvd Calendar'!$E$993:$AR$993*(('Dvd Calendar'!$E$995:$AR$995=TYPE1)*(TYPE1&lt;&gt;"")+('Dvd Calendar'!$E$995:$AR$995=TYPE2)*(TYPE2&lt;&gt;"")+('Dvd Calendar'!$E$995:$AR$995=TYPE3)*(TYPE3&lt;&gt;"")+('Dvd Calendar'!$E$995:$AR$995=TYPE4)*(TYPE4&lt;&gt;"")+('Dvd Calendar'!$E$995:$AR$995=SPECIAL_LBL)*(INC_SPECIALS="Y"))))</f>
        <v/>
      </c>
      <c r="K101" s="133">
        <f>IF($C101="","",HSI!$J$96)</f>
        <v/>
      </c>
      <c r="L101" s="133">
        <f>IF($C101="","",HSI!$K$96)</f>
        <v/>
      </c>
      <c r="M101" s="124">
        <f>IF($C101="","",HSI!$J$96+HSI!$L$96)</f>
        <v/>
      </c>
      <c r="N101" s="134">
        <f>IF($C101="","",IF(PULL_FUND="N","",IFERROR(BDP($C101,BESTDPS_FIELD,FWD_OVERRIDE,TEXT(MOD(YEAR_Y,100),"00")&amp;"Y"),"")))</f>
        <v/>
      </c>
      <c r="O101" s="133">
        <f>IF($C101="","",AVERAGE(F101:J101))</f>
        <v/>
      </c>
      <c r="P101" s="135">
        <f>IF($C101="","",IF(PULL_FUND="N","",IF(COUNTIFS('Fund History'!$J$542:$J$546,"&gt;="&amp;DATE(YEAR_Y-5,1,1),'Fund History'!$J$542:$J$546,"&lt;="&amp;DATE(YEAR_Y-5,12,31))=0,"",IFERROR($F101*HSI!$G$96/SUMIFS('Fund History'!$K$542:$K$546,'Fund History'!$J$542:$J$546,"&gt;="&amp;DATE(YEAR_Y-5,1,1),'Fund History'!$J$542:$J$546,"&lt;="&amp;DATE(YEAR_Y-5,12,31)),""))))</f>
        <v/>
      </c>
      <c r="Q101" s="136">
        <f>IF($C101="","",IF(PULL_FUND="N","",IF(COUNTIFS('Fund History'!$J$542:$J$546,"&gt;="&amp;DATE(YEAR_Y-4,1,1),'Fund History'!$J$542:$J$546,"&lt;="&amp;DATE(YEAR_Y-4,12,31))=0,"",IFERROR($G101*HSI!$G$96/SUMIFS('Fund History'!$K$542:$K$546,'Fund History'!$J$542:$J$546,"&gt;="&amp;DATE(YEAR_Y-4,1,1),'Fund History'!$J$542:$J$546,"&lt;="&amp;DATE(YEAR_Y-4,12,31)),""))))</f>
        <v/>
      </c>
      <c r="R101" s="136">
        <f>IF($C101="","",IF(PULL_FUND="N","",IF(COUNTIFS('Fund History'!$J$542:$J$546,"&gt;="&amp;DATE(YEAR_Y-3,1,1),'Fund History'!$J$542:$J$546,"&lt;="&amp;DATE(YEAR_Y-3,12,31))=0,"",IFERROR($H101*HSI!$G$96/SUMIFS('Fund History'!$K$542:$K$546,'Fund History'!$J$542:$J$546,"&gt;="&amp;DATE(YEAR_Y-3,1,1),'Fund History'!$J$542:$J$546,"&lt;="&amp;DATE(YEAR_Y-3,12,31)),""))))</f>
        <v/>
      </c>
      <c r="S101" s="136">
        <f>IF($C101="","",IF(PULL_FUND="N","",IF(COUNTIFS('Fund History'!$J$542:$J$546,"&gt;="&amp;DATE(YEAR_Y-2,1,1),'Fund History'!$J$542:$J$546,"&lt;="&amp;DATE(YEAR_Y-2,12,31))=0,"",IFERROR($I101*HSI!$G$96/SUMIFS('Fund History'!$K$542:$K$546,'Fund History'!$J$542:$J$546,"&gt;="&amp;DATE(YEAR_Y-2,1,1),'Fund History'!$J$542:$J$546,"&lt;="&amp;DATE(YEAR_Y-2,12,31)),""))))</f>
        <v/>
      </c>
      <c r="T101" s="136">
        <f>IF($C101="","",IF(PULL_FUND="N","",IF(COUNTIFS('Fund History'!$J$542:$J$546,"&gt;="&amp;DATE(YEAR_Y-1,1,1),'Fund History'!$J$542:$J$546,"&lt;="&amp;DATE(YEAR_Y-1,12,31))=0,"",IFERROR($J101*HSI!$G$96/SUMIFS('Fund History'!$K$542:$K$546,'Fund History'!$J$542:$J$546,"&gt;="&amp;DATE(YEAR_Y-1,1,1),'Fund History'!$J$542:$J$546,"&lt;="&amp;DATE(YEAR_Y-1,12,31)),""))))</f>
        <v/>
      </c>
      <c r="U101" s="137">
        <f>IF($C101="","",IF(ISNUMBER(HSI!$I$96),HSI!$I$96/100,""))</f>
        <v/>
      </c>
      <c r="V101" s="138">
        <f>IF($C101="","",IF(ISNUMBER(HSI!$X$96),IFERROR($M101*HSI!$G$96/HSI!$X$96,""),""))</f>
        <v/>
      </c>
      <c r="W101" s="137">
        <f>IF($C101="","",IF(ISNUMBER($N101),IFERROR($N101*HSI!$G$96/HSI!$X$96,""),""))</f>
        <v/>
      </c>
      <c r="X101" s="139">
        <f>IF($C101="","",IF(PULL_FUND="N","",IFERROR(BDP($C101,EPS_FIELD,YR_OVERRIDE,TEXT(YEAR_Y-5,"0")),"")))</f>
        <v/>
      </c>
      <c r="Y101" s="140">
        <f>IF($C101="","",IF(PULL_FUND="N","",IFERROR(BDP($C101,EPS_FIELD,YR_OVERRIDE,TEXT(YEAR_Y-4,"0")),"")))</f>
        <v/>
      </c>
      <c r="Z101" s="140">
        <f>IF($C101="","",IF(PULL_FUND="N","",IFERROR(BDP($C101,EPS_FIELD,YR_OVERRIDE,TEXT(YEAR_Y-3,"0")),"")))</f>
        <v/>
      </c>
      <c r="AA101" s="140">
        <f>IF($C101="","",IF(PULL_FUND="N","",IFERROR(BDP($C101,EPS_FIELD,YR_OVERRIDE,TEXT(YEAR_Y-2,"0")),"")))</f>
        <v/>
      </c>
      <c r="AB101" s="140">
        <f>IF($C101="","",IF(PULL_FUND="N","",IFERROR(BDP($C101,EPS_FIELD,YR_OVERRIDE,TEXT(YEAR_Y-1,"0")),"")))</f>
        <v/>
      </c>
      <c r="AC101" s="126">
        <f>IF($C101="","",IFERROR(AVERAGE(X101:AB101),""))</f>
        <v/>
      </c>
      <c r="AD101" s="140">
        <f>IF($C101="","",IF(PULL_FUND="N","",IFERROR(BDP($C101,BESTEPS_FIELD,FWD_OVERRIDE,TEXT(MOD(YEAR_Y,100),"00")&amp;"Y"),"")))</f>
        <v/>
      </c>
      <c r="AE101" s="141">
        <f>IF($C101="","",IF(PULL_FUND="N","",IFERROR(BDP($C101,PAYOUT_FIELD,YR_OVERRIDE,TEXT(YEAR_Y-5,"0"))/100,"")))</f>
        <v/>
      </c>
      <c r="AF101" s="142">
        <f>IF($C101="","",IF(PULL_FUND="N","",IFERROR(BDP($C101,PAYOUT_FIELD,YR_OVERRIDE,TEXT(YEAR_Y-4,"0"))/100,"")))</f>
        <v/>
      </c>
      <c r="AG101" s="142">
        <f>IF($C101="","",IF(PULL_FUND="N","",IFERROR(BDP($C101,PAYOUT_FIELD,YR_OVERRIDE,TEXT(YEAR_Y-3,"0"))/100,"")))</f>
        <v/>
      </c>
      <c r="AH101" s="142">
        <f>IF($C101="","",IF(PULL_FUND="N","",IFERROR(BDP($C101,PAYOUT_FIELD,YR_OVERRIDE,TEXT(YEAR_Y-2,"0"))/100,"")))</f>
        <v/>
      </c>
      <c r="AI101" s="142">
        <f>IF($C101="","",IF(PULL_FUND="N","",IFERROR(BDP($C101,PAYOUT_FIELD,YR_OVERRIDE,TEXT(YEAR_Y-1,"0"))/100,"")))</f>
        <v/>
      </c>
      <c r="AJ101" s="143">
        <f>IF($C101="","",IFERROR(AVERAGE(AE101:AI101),""))</f>
        <v/>
      </c>
      <c r="AK101" s="144">
        <f>IF($C101="","",IF(ISNUMBER($AD101)*ISNUMBER($N101)*($AD101&lt;&gt;0)=0,"",$N101/$AD101))</f>
        <v/>
      </c>
      <c r="AL101" s="143">
        <f>IF($C101="","",IF(ISNUMBER($AD101)*($AD101&lt;&gt;0)=0,"",$M101/$AD101))</f>
        <v/>
      </c>
      <c r="AM101" s="37">
        <f>IF($C101="","",IF(ISNUMBER($AE101)*ISNUMBER($AI101)=0,"",IF($AI101&gt;$AE101+0.05,"rising",IF($AI101&lt;$AE101-0.05,"falling","stable"))))</f>
        <v/>
      </c>
      <c r="AN101" s="145">
        <f>IF($C101="","",IF(PULL_FUND="N","",IF(COUNTIFS('Fund History'!$G$542:$G$546,"&gt;="&amp;DATE(YEAR_Y-4,1,1),'Fund History'!$G$542:$G$546,"&lt;="&amp;DATE(YEAR_Y-4,12,31))=0,"",SUMIFS('Fund History'!$H$542:$H$546,'Fund History'!$G$542:$G$546,"&gt;="&amp;DATE(YEAR_Y-4,1,1),'Fund History'!$G$542:$G$546,"&lt;="&amp;DATE(YEAR_Y-4,12,31))/100)))</f>
        <v/>
      </c>
      <c r="AO101" s="146">
        <f>IF($C101="","",IF(PULL_FUND="N","",IF(COUNTIFS('Fund History'!$G$542:$G$546,"&gt;="&amp;DATE(YEAR_Y-3,1,1),'Fund History'!$G$542:$G$546,"&lt;="&amp;DATE(YEAR_Y-3,12,31))=0,"",SUMIFS('Fund History'!$H$542:$H$546,'Fund History'!$G$542:$G$546,"&gt;="&amp;DATE(YEAR_Y-3,1,1),'Fund History'!$G$542:$G$546,"&lt;="&amp;DATE(YEAR_Y-3,12,31))/100)))</f>
        <v/>
      </c>
      <c r="AP101" s="146">
        <f>IF($C101="","",IF(PULL_FUND="N","",IF(COUNTIFS('Fund History'!$G$542:$G$546,"&gt;="&amp;DATE(YEAR_Y-2,1,1),'Fund History'!$G$542:$G$546,"&lt;="&amp;DATE(YEAR_Y-2,12,31))=0,"",SUMIFS('Fund History'!$H$542:$H$546,'Fund History'!$G$542:$G$546,"&gt;="&amp;DATE(YEAR_Y-2,1,1),'Fund History'!$G$542:$G$546,"&lt;="&amp;DATE(YEAR_Y-2,12,31))/100)))</f>
        <v/>
      </c>
      <c r="AQ101" s="146">
        <f>IF($C101="","",IF(PULL_FUND="N","",IF(COUNTIFS('Fund History'!$G$542:$G$546,"&gt;="&amp;DATE(YEAR_Y-1,1,1),'Fund History'!$G$542:$G$546,"&lt;="&amp;DATE(YEAR_Y-1,12,31))=0,"",SUMIFS('Fund History'!$H$542:$H$546,'Fund History'!$G$542:$G$546,"&gt;="&amp;DATE(YEAR_Y-1,1,1),'Fund History'!$G$542:$G$546,"&lt;="&amp;DATE(YEAR_Y-1,12,31))/100)))</f>
        <v/>
      </c>
      <c r="AR101" s="147">
        <f>IF($C101="","",IF(N($AQ101)+N(HSI!$I$96)=0,"",N($AQ101)+N(HSI!$I$96)/100))</f>
        <v/>
      </c>
      <c r="AS101" s="139">
        <f>IF($C101="","",IF(PULL_FUND="N","",IF(COUNTIFS('Fund History'!$D$542:$D$546,"&gt;="&amp;DATE(YEAR_Y-2,1,1),'Fund History'!$D$542:$D$546,"&lt;="&amp;DATE(YEAR_Y-2,12,31))=0,"",SUMIFS('Fund History'!$E$542:$E$546,'Fund History'!$D$542:$D$546,"&gt;="&amp;DATE(YEAR_Y-2,1,1),'Fund History'!$D$542:$D$546,"&lt;="&amp;DATE(YEAR_Y-2,12,31)))))</f>
        <v/>
      </c>
      <c r="AT101" s="140">
        <f>IF($C101="","",IF(PULL_FUND="N","",IF(COUNTIFS('Fund History'!$D$542:$D$546,"&gt;="&amp;DATE(YEAR_Y-1,1,1),'Fund History'!$D$542:$D$546,"&lt;="&amp;DATE(YEAR_Y-1,12,31))=0,"",SUMIFS('Fund History'!$E$542:$E$546,'Fund History'!$D$542:$D$546,"&gt;="&amp;DATE(YEAR_Y-1,1,1),'Fund History'!$D$542:$D$546,"&lt;="&amp;DATE(YEAR_Y-1,12,31)))))</f>
        <v/>
      </c>
      <c r="AU101" s="140">
        <f>IF($C101="","",IF(PULL_FUND="N","",IFERROR(BDP($C101,NDEBITDA_FIELD),"")))</f>
        <v/>
      </c>
      <c r="AV101" s="148">
        <f>IF($C101="","",IF(PULL_FUND="N","",IFERROR(BDP($C101,EBINT_FIELD),"")))</f>
        <v/>
      </c>
      <c r="AW101" s="146">
        <f>IF($C101="","",IF(PULL_FUND="N","",IFERROR(BDP($C101,FCF_FIELD)/100,"")))</f>
        <v/>
      </c>
      <c r="AX101" s="126">
        <f>IF($C101="","",IF(N($U101)=0,"",IFERROR($AW101/$U101,"")))</f>
        <v/>
      </c>
      <c r="AY101" s="85">
        <f>IF($C101="","",TRIM(IF(ISNUMBER($AJ101)*(N($AJ101)&gt;$D$4)&gt;0,"payout high  ","")&amp;IF(ISNUMBER($AX101)*(N($AX101)&lt;$F$4)&gt;0,"FCF below dvd  ","")&amp;IF(ISNUMBER($AU101)*(N($AU101)&gt;$H$4)&gt;0,"leverage high","")))</f>
        <v/>
      </c>
      <c r="AZ101" s="86">
        <f>IF($C101="","",IF(HSI!$F$96="HKD","",HSI!$F$96))</f>
        <v/>
      </c>
    </row>
    <row r="102">
      <c r="B102" s="66" t="inlineStr">
        <is>
          <t>HSI</t>
        </is>
      </c>
      <c r="C102" s="8">
        <f>IF(HSI!$C$97="","",HSI!$C$97)</f>
        <v/>
      </c>
      <c r="D102" s="8">
        <f>IF($C102="","",HSI!$D$97)</f>
        <v/>
      </c>
      <c r="E102" s="8">
        <f>IF($C102="","",HSI!$E$97)</f>
        <v/>
      </c>
      <c r="F102" s="131">
        <f>IF($C102="","",SUMPRODUCT(('Dvd Calendar'!$E$1001:$AR$1001&gt;=DATE(YEAR_Y-5,1,1))*('Dvd Calendar'!$E$1001:$AR$1001&lt;=DATE(YEAR_Y-5,12,31))*'Dvd Calendar'!$E$1004:$AR$1004*(('Dvd Calendar'!$E$1006:$AR$1006=TYPE1)*(TYPE1&lt;&gt;"")+('Dvd Calendar'!$E$1006:$AR$1006=TYPE2)*(TYPE2&lt;&gt;"")+('Dvd Calendar'!$E$1006:$AR$1006=TYPE3)*(TYPE3&lt;&gt;"")+('Dvd Calendar'!$E$1006:$AR$1006=TYPE4)*(TYPE4&lt;&gt;"")+('Dvd Calendar'!$E$1006:$AR$1006=SPECIAL_LBL)*(INC_SPECIALS="Y"))))</f>
        <v/>
      </c>
      <c r="G102" s="132">
        <f>IF($C102="","",SUMPRODUCT(('Dvd Calendar'!$E$1001:$AR$1001&gt;=DATE(YEAR_Y-4,1,1))*('Dvd Calendar'!$E$1001:$AR$1001&lt;=DATE(YEAR_Y-4,12,31))*'Dvd Calendar'!$E$1004:$AR$1004*(('Dvd Calendar'!$E$1006:$AR$1006=TYPE1)*(TYPE1&lt;&gt;"")+('Dvd Calendar'!$E$1006:$AR$1006=TYPE2)*(TYPE2&lt;&gt;"")+('Dvd Calendar'!$E$1006:$AR$1006=TYPE3)*(TYPE3&lt;&gt;"")+('Dvd Calendar'!$E$1006:$AR$1006=TYPE4)*(TYPE4&lt;&gt;"")+('Dvd Calendar'!$E$1006:$AR$1006=SPECIAL_LBL)*(INC_SPECIALS="Y"))))</f>
        <v/>
      </c>
      <c r="H102" s="132">
        <f>IF($C102="","",SUMPRODUCT(('Dvd Calendar'!$E$1001:$AR$1001&gt;=DATE(YEAR_Y-3,1,1))*('Dvd Calendar'!$E$1001:$AR$1001&lt;=DATE(YEAR_Y-3,12,31))*'Dvd Calendar'!$E$1004:$AR$1004*(('Dvd Calendar'!$E$1006:$AR$1006=TYPE1)*(TYPE1&lt;&gt;"")+('Dvd Calendar'!$E$1006:$AR$1006=TYPE2)*(TYPE2&lt;&gt;"")+('Dvd Calendar'!$E$1006:$AR$1006=TYPE3)*(TYPE3&lt;&gt;"")+('Dvd Calendar'!$E$1006:$AR$1006=TYPE4)*(TYPE4&lt;&gt;"")+('Dvd Calendar'!$E$1006:$AR$1006=SPECIAL_LBL)*(INC_SPECIALS="Y"))))</f>
        <v/>
      </c>
      <c r="I102" s="132">
        <f>IF($C102="","",SUMPRODUCT(('Dvd Calendar'!$E$1001:$AR$1001&gt;=DATE(YEAR_Y-2,1,1))*('Dvd Calendar'!$E$1001:$AR$1001&lt;=DATE(YEAR_Y-2,12,31))*'Dvd Calendar'!$E$1004:$AR$1004*(('Dvd Calendar'!$E$1006:$AR$1006=TYPE1)*(TYPE1&lt;&gt;"")+('Dvd Calendar'!$E$1006:$AR$1006=TYPE2)*(TYPE2&lt;&gt;"")+('Dvd Calendar'!$E$1006:$AR$1006=TYPE3)*(TYPE3&lt;&gt;"")+('Dvd Calendar'!$E$1006:$AR$1006=TYPE4)*(TYPE4&lt;&gt;"")+('Dvd Calendar'!$E$1006:$AR$1006=SPECIAL_LBL)*(INC_SPECIALS="Y"))))</f>
        <v/>
      </c>
      <c r="J102" s="132">
        <f>IF($C102="","",SUMPRODUCT(('Dvd Calendar'!$E$1001:$AR$1001&gt;=DATE(YEAR_Y-1,1,1))*('Dvd Calendar'!$E$1001:$AR$1001&lt;=DATE(YEAR_Y-1,12,31))*'Dvd Calendar'!$E$1004:$AR$1004*(('Dvd Calendar'!$E$1006:$AR$1006=TYPE1)*(TYPE1&lt;&gt;"")+('Dvd Calendar'!$E$1006:$AR$1006=TYPE2)*(TYPE2&lt;&gt;"")+('Dvd Calendar'!$E$1006:$AR$1006=TYPE3)*(TYPE3&lt;&gt;"")+('Dvd Calendar'!$E$1006:$AR$1006=TYPE4)*(TYPE4&lt;&gt;"")+('Dvd Calendar'!$E$1006:$AR$1006=SPECIAL_LBL)*(INC_SPECIALS="Y"))))</f>
        <v/>
      </c>
      <c r="K102" s="133">
        <f>IF($C102="","",HSI!$J$97)</f>
        <v/>
      </c>
      <c r="L102" s="133">
        <f>IF($C102="","",HSI!$K$97)</f>
        <v/>
      </c>
      <c r="M102" s="124">
        <f>IF($C102="","",HSI!$J$97+HSI!$L$97)</f>
        <v/>
      </c>
      <c r="N102" s="134">
        <f>IF($C102="","",IF(PULL_FUND="N","",IFERROR(BDP($C102,BESTDPS_FIELD,FWD_OVERRIDE,TEXT(MOD(YEAR_Y,100),"00")&amp;"Y"),"")))</f>
        <v/>
      </c>
      <c r="O102" s="133">
        <f>IF($C102="","",AVERAGE(F102:J102))</f>
        <v/>
      </c>
      <c r="P102" s="135">
        <f>IF($C102="","",IF(PULL_FUND="N","",IF(COUNTIFS('Fund History'!$J$548:$J$552,"&gt;="&amp;DATE(YEAR_Y-5,1,1),'Fund History'!$J$548:$J$552,"&lt;="&amp;DATE(YEAR_Y-5,12,31))=0,"",IFERROR($F102*HSI!$G$97/SUMIFS('Fund History'!$K$548:$K$552,'Fund History'!$J$548:$J$552,"&gt;="&amp;DATE(YEAR_Y-5,1,1),'Fund History'!$J$548:$J$552,"&lt;="&amp;DATE(YEAR_Y-5,12,31)),""))))</f>
        <v/>
      </c>
      <c r="Q102" s="136">
        <f>IF($C102="","",IF(PULL_FUND="N","",IF(COUNTIFS('Fund History'!$J$548:$J$552,"&gt;="&amp;DATE(YEAR_Y-4,1,1),'Fund History'!$J$548:$J$552,"&lt;="&amp;DATE(YEAR_Y-4,12,31))=0,"",IFERROR($G102*HSI!$G$97/SUMIFS('Fund History'!$K$548:$K$552,'Fund History'!$J$548:$J$552,"&gt;="&amp;DATE(YEAR_Y-4,1,1),'Fund History'!$J$548:$J$552,"&lt;="&amp;DATE(YEAR_Y-4,12,31)),""))))</f>
        <v/>
      </c>
      <c r="R102" s="136">
        <f>IF($C102="","",IF(PULL_FUND="N","",IF(COUNTIFS('Fund History'!$J$548:$J$552,"&gt;="&amp;DATE(YEAR_Y-3,1,1),'Fund History'!$J$548:$J$552,"&lt;="&amp;DATE(YEAR_Y-3,12,31))=0,"",IFERROR($H102*HSI!$G$97/SUMIFS('Fund History'!$K$548:$K$552,'Fund History'!$J$548:$J$552,"&gt;="&amp;DATE(YEAR_Y-3,1,1),'Fund History'!$J$548:$J$552,"&lt;="&amp;DATE(YEAR_Y-3,12,31)),""))))</f>
        <v/>
      </c>
      <c r="S102" s="136">
        <f>IF($C102="","",IF(PULL_FUND="N","",IF(COUNTIFS('Fund History'!$J$548:$J$552,"&gt;="&amp;DATE(YEAR_Y-2,1,1),'Fund History'!$J$548:$J$552,"&lt;="&amp;DATE(YEAR_Y-2,12,31))=0,"",IFERROR($I102*HSI!$G$97/SUMIFS('Fund History'!$K$548:$K$552,'Fund History'!$J$548:$J$552,"&gt;="&amp;DATE(YEAR_Y-2,1,1),'Fund History'!$J$548:$J$552,"&lt;="&amp;DATE(YEAR_Y-2,12,31)),""))))</f>
        <v/>
      </c>
      <c r="T102" s="136">
        <f>IF($C102="","",IF(PULL_FUND="N","",IF(COUNTIFS('Fund History'!$J$548:$J$552,"&gt;="&amp;DATE(YEAR_Y-1,1,1),'Fund History'!$J$548:$J$552,"&lt;="&amp;DATE(YEAR_Y-1,12,31))=0,"",IFERROR($J102*HSI!$G$97/SUMIFS('Fund History'!$K$548:$K$552,'Fund History'!$J$548:$J$552,"&gt;="&amp;DATE(YEAR_Y-1,1,1),'Fund History'!$J$548:$J$552,"&lt;="&amp;DATE(YEAR_Y-1,12,31)),""))))</f>
        <v/>
      </c>
      <c r="U102" s="137">
        <f>IF($C102="","",IF(ISNUMBER(HSI!$I$97),HSI!$I$97/100,""))</f>
        <v/>
      </c>
      <c r="V102" s="138">
        <f>IF($C102="","",IF(ISNUMBER(HSI!$X$97),IFERROR($M102*HSI!$G$97/HSI!$X$97,""),""))</f>
        <v/>
      </c>
      <c r="W102" s="137">
        <f>IF($C102="","",IF(ISNUMBER($N102),IFERROR($N102*HSI!$G$97/HSI!$X$97,""),""))</f>
        <v/>
      </c>
      <c r="X102" s="139">
        <f>IF($C102="","",IF(PULL_FUND="N","",IFERROR(BDP($C102,EPS_FIELD,YR_OVERRIDE,TEXT(YEAR_Y-5,"0")),"")))</f>
        <v/>
      </c>
      <c r="Y102" s="140">
        <f>IF($C102="","",IF(PULL_FUND="N","",IFERROR(BDP($C102,EPS_FIELD,YR_OVERRIDE,TEXT(YEAR_Y-4,"0")),"")))</f>
        <v/>
      </c>
      <c r="Z102" s="140">
        <f>IF($C102="","",IF(PULL_FUND="N","",IFERROR(BDP($C102,EPS_FIELD,YR_OVERRIDE,TEXT(YEAR_Y-3,"0")),"")))</f>
        <v/>
      </c>
      <c r="AA102" s="140">
        <f>IF($C102="","",IF(PULL_FUND="N","",IFERROR(BDP($C102,EPS_FIELD,YR_OVERRIDE,TEXT(YEAR_Y-2,"0")),"")))</f>
        <v/>
      </c>
      <c r="AB102" s="140">
        <f>IF($C102="","",IF(PULL_FUND="N","",IFERROR(BDP($C102,EPS_FIELD,YR_OVERRIDE,TEXT(YEAR_Y-1,"0")),"")))</f>
        <v/>
      </c>
      <c r="AC102" s="126">
        <f>IF($C102="","",IFERROR(AVERAGE(X102:AB102),""))</f>
        <v/>
      </c>
      <c r="AD102" s="140">
        <f>IF($C102="","",IF(PULL_FUND="N","",IFERROR(BDP($C102,BESTEPS_FIELD,FWD_OVERRIDE,TEXT(MOD(YEAR_Y,100),"00")&amp;"Y"),"")))</f>
        <v/>
      </c>
      <c r="AE102" s="141">
        <f>IF($C102="","",IF(PULL_FUND="N","",IFERROR(BDP($C102,PAYOUT_FIELD,YR_OVERRIDE,TEXT(YEAR_Y-5,"0"))/100,"")))</f>
        <v/>
      </c>
      <c r="AF102" s="142">
        <f>IF($C102="","",IF(PULL_FUND="N","",IFERROR(BDP($C102,PAYOUT_FIELD,YR_OVERRIDE,TEXT(YEAR_Y-4,"0"))/100,"")))</f>
        <v/>
      </c>
      <c r="AG102" s="142">
        <f>IF($C102="","",IF(PULL_FUND="N","",IFERROR(BDP($C102,PAYOUT_FIELD,YR_OVERRIDE,TEXT(YEAR_Y-3,"0"))/100,"")))</f>
        <v/>
      </c>
      <c r="AH102" s="142">
        <f>IF($C102="","",IF(PULL_FUND="N","",IFERROR(BDP($C102,PAYOUT_FIELD,YR_OVERRIDE,TEXT(YEAR_Y-2,"0"))/100,"")))</f>
        <v/>
      </c>
      <c r="AI102" s="142">
        <f>IF($C102="","",IF(PULL_FUND="N","",IFERROR(BDP($C102,PAYOUT_FIELD,YR_OVERRIDE,TEXT(YEAR_Y-1,"0"))/100,"")))</f>
        <v/>
      </c>
      <c r="AJ102" s="143">
        <f>IF($C102="","",IFERROR(AVERAGE(AE102:AI102),""))</f>
        <v/>
      </c>
      <c r="AK102" s="144">
        <f>IF($C102="","",IF(ISNUMBER($AD102)*ISNUMBER($N102)*($AD102&lt;&gt;0)=0,"",$N102/$AD102))</f>
        <v/>
      </c>
      <c r="AL102" s="143">
        <f>IF($C102="","",IF(ISNUMBER($AD102)*($AD102&lt;&gt;0)=0,"",$M102/$AD102))</f>
        <v/>
      </c>
      <c r="AM102" s="37">
        <f>IF($C102="","",IF(ISNUMBER($AE102)*ISNUMBER($AI102)=0,"",IF($AI102&gt;$AE102+0.05,"rising",IF($AI102&lt;$AE102-0.05,"falling","stable"))))</f>
        <v/>
      </c>
      <c r="AN102" s="145">
        <f>IF($C102="","",IF(PULL_FUND="N","",IF(COUNTIFS('Fund History'!$G$548:$G$552,"&gt;="&amp;DATE(YEAR_Y-4,1,1),'Fund History'!$G$548:$G$552,"&lt;="&amp;DATE(YEAR_Y-4,12,31))=0,"",SUMIFS('Fund History'!$H$548:$H$552,'Fund History'!$G$548:$G$552,"&gt;="&amp;DATE(YEAR_Y-4,1,1),'Fund History'!$G$548:$G$552,"&lt;="&amp;DATE(YEAR_Y-4,12,31))/100)))</f>
        <v/>
      </c>
      <c r="AO102" s="146">
        <f>IF($C102="","",IF(PULL_FUND="N","",IF(COUNTIFS('Fund History'!$G$548:$G$552,"&gt;="&amp;DATE(YEAR_Y-3,1,1),'Fund History'!$G$548:$G$552,"&lt;="&amp;DATE(YEAR_Y-3,12,31))=0,"",SUMIFS('Fund History'!$H$548:$H$552,'Fund History'!$G$548:$G$552,"&gt;="&amp;DATE(YEAR_Y-3,1,1),'Fund History'!$G$548:$G$552,"&lt;="&amp;DATE(YEAR_Y-3,12,31))/100)))</f>
        <v/>
      </c>
      <c r="AP102" s="146">
        <f>IF($C102="","",IF(PULL_FUND="N","",IF(COUNTIFS('Fund History'!$G$548:$G$552,"&gt;="&amp;DATE(YEAR_Y-2,1,1),'Fund History'!$G$548:$G$552,"&lt;="&amp;DATE(YEAR_Y-2,12,31))=0,"",SUMIFS('Fund History'!$H$548:$H$552,'Fund History'!$G$548:$G$552,"&gt;="&amp;DATE(YEAR_Y-2,1,1),'Fund History'!$G$548:$G$552,"&lt;="&amp;DATE(YEAR_Y-2,12,31))/100)))</f>
        <v/>
      </c>
      <c r="AQ102" s="146">
        <f>IF($C102="","",IF(PULL_FUND="N","",IF(COUNTIFS('Fund History'!$G$548:$G$552,"&gt;="&amp;DATE(YEAR_Y-1,1,1),'Fund History'!$G$548:$G$552,"&lt;="&amp;DATE(YEAR_Y-1,12,31))=0,"",SUMIFS('Fund History'!$H$548:$H$552,'Fund History'!$G$548:$G$552,"&gt;="&amp;DATE(YEAR_Y-1,1,1),'Fund History'!$G$548:$G$552,"&lt;="&amp;DATE(YEAR_Y-1,12,31))/100)))</f>
        <v/>
      </c>
      <c r="AR102" s="147">
        <f>IF($C102="","",IF(N($AQ102)+N(HSI!$I$97)=0,"",N($AQ102)+N(HSI!$I$97)/100))</f>
        <v/>
      </c>
      <c r="AS102" s="139">
        <f>IF($C102="","",IF(PULL_FUND="N","",IF(COUNTIFS('Fund History'!$D$548:$D$552,"&gt;="&amp;DATE(YEAR_Y-2,1,1),'Fund History'!$D$548:$D$552,"&lt;="&amp;DATE(YEAR_Y-2,12,31))=0,"",SUMIFS('Fund History'!$E$548:$E$552,'Fund History'!$D$548:$D$552,"&gt;="&amp;DATE(YEAR_Y-2,1,1),'Fund History'!$D$548:$D$552,"&lt;="&amp;DATE(YEAR_Y-2,12,31)))))</f>
        <v/>
      </c>
      <c r="AT102" s="140">
        <f>IF($C102="","",IF(PULL_FUND="N","",IF(COUNTIFS('Fund History'!$D$548:$D$552,"&gt;="&amp;DATE(YEAR_Y-1,1,1),'Fund History'!$D$548:$D$552,"&lt;="&amp;DATE(YEAR_Y-1,12,31))=0,"",SUMIFS('Fund History'!$E$548:$E$552,'Fund History'!$D$548:$D$552,"&gt;="&amp;DATE(YEAR_Y-1,1,1),'Fund History'!$D$548:$D$552,"&lt;="&amp;DATE(YEAR_Y-1,12,31)))))</f>
        <v/>
      </c>
      <c r="AU102" s="140">
        <f>IF($C102="","",IF(PULL_FUND="N","",IFERROR(BDP($C102,NDEBITDA_FIELD),"")))</f>
        <v/>
      </c>
      <c r="AV102" s="148">
        <f>IF($C102="","",IF(PULL_FUND="N","",IFERROR(BDP($C102,EBINT_FIELD),"")))</f>
        <v/>
      </c>
      <c r="AW102" s="146">
        <f>IF($C102="","",IF(PULL_FUND="N","",IFERROR(BDP($C102,FCF_FIELD)/100,"")))</f>
        <v/>
      </c>
      <c r="AX102" s="126">
        <f>IF($C102="","",IF(N($U102)=0,"",IFERROR($AW102/$U102,"")))</f>
        <v/>
      </c>
      <c r="AY102" s="85">
        <f>IF($C102="","",TRIM(IF(ISNUMBER($AJ102)*(N($AJ102)&gt;$D$4)&gt;0,"payout high  ","")&amp;IF(ISNUMBER($AX102)*(N($AX102)&lt;$F$4)&gt;0,"FCF below dvd  ","")&amp;IF(ISNUMBER($AU102)*(N($AU102)&gt;$H$4)&gt;0,"leverage high","")))</f>
        <v/>
      </c>
      <c r="AZ102" s="86">
        <f>IF($C102="","",IF(HSI!$F$97="HKD","",HSI!$F$97))</f>
        <v/>
      </c>
    </row>
    <row r="103">
      <c r="B103" s="66" t="inlineStr">
        <is>
          <t>HSI</t>
        </is>
      </c>
      <c r="C103" s="8">
        <f>IF(HSI!$C$98="","",HSI!$C$98)</f>
        <v/>
      </c>
      <c r="D103" s="8">
        <f>IF($C103="","",HSI!$D$98)</f>
        <v/>
      </c>
      <c r="E103" s="8">
        <f>IF($C103="","",HSI!$E$98)</f>
        <v/>
      </c>
      <c r="F103" s="131">
        <f>IF($C103="","",SUMPRODUCT(('Dvd Calendar'!$E$1012:$AR$1012&gt;=DATE(YEAR_Y-5,1,1))*('Dvd Calendar'!$E$1012:$AR$1012&lt;=DATE(YEAR_Y-5,12,31))*'Dvd Calendar'!$E$1015:$AR$1015*(('Dvd Calendar'!$E$1017:$AR$1017=TYPE1)*(TYPE1&lt;&gt;"")+('Dvd Calendar'!$E$1017:$AR$1017=TYPE2)*(TYPE2&lt;&gt;"")+('Dvd Calendar'!$E$1017:$AR$1017=TYPE3)*(TYPE3&lt;&gt;"")+('Dvd Calendar'!$E$1017:$AR$1017=TYPE4)*(TYPE4&lt;&gt;"")+('Dvd Calendar'!$E$1017:$AR$1017=SPECIAL_LBL)*(INC_SPECIALS="Y"))))</f>
        <v/>
      </c>
      <c r="G103" s="132">
        <f>IF($C103="","",SUMPRODUCT(('Dvd Calendar'!$E$1012:$AR$1012&gt;=DATE(YEAR_Y-4,1,1))*('Dvd Calendar'!$E$1012:$AR$1012&lt;=DATE(YEAR_Y-4,12,31))*'Dvd Calendar'!$E$1015:$AR$1015*(('Dvd Calendar'!$E$1017:$AR$1017=TYPE1)*(TYPE1&lt;&gt;"")+('Dvd Calendar'!$E$1017:$AR$1017=TYPE2)*(TYPE2&lt;&gt;"")+('Dvd Calendar'!$E$1017:$AR$1017=TYPE3)*(TYPE3&lt;&gt;"")+('Dvd Calendar'!$E$1017:$AR$1017=TYPE4)*(TYPE4&lt;&gt;"")+('Dvd Calendar'!$E$1017:$AR$1017=SPECIAL_LBL)*(INC_SPECIALS="Y"))))</f>
        <v/>
      </c>
      <c r="H103" s="132">
        <f>IF($C103="","",SUMPRODUCT(('Dvd Calendar'!$E$1012:$AR$1012&gt;=DATE(YEAR_Y-3,1,1))*('Dvd Calendar'!$E$1012:$AR$1012&lt;=DATE(YEAR_Y-3,12,31))*'Dvd Calendar'!$E$1015:$AR$1015*(('Dvd Calendar'!$E$1017:$AR$1017=TYPE1)*(TYPE1&lt;&gt;"")+('Dvd Calendar'!$E$1017:$AR$1017=TYPE2)*(TYPE2&lt;&gt;"")+('Dvd Calendar'!$E$1017:$AR$1017=TYPE3)*(TYPE3&lt;&gt;"")+('Dvd Calendar'!$E$1017:$AR$1017=TYPE4)*(TYPE4&lt;&gt;"")+('Dvd Calendar'!$E$1017:$AR$1017=SPECIAL_LBL)*(INC_SPECIALS="Y"))))</f>
        <v/>
      </c>
      <c r="I103" s="132">
        <f>IF($C103="","",SUMPRODUCT(('Dvd Calendar'!$E$1012:$AR$1012&gt;=DATE(YEAR_Y-2,1,1))*('Dvd Calendar'!$E$1012:$AR$1012&lt;=DATE(YEAR_Y-2,12,31))*'Dvd Calendar'!$E$1015:$AR$1015*(('Dvd Calendar'!$E$1017:$AR$1017=TYPE1)*(TYPE1&lt;&gt;"")+('Dvd Calendar'!$E$1017:$AR$1017=TYPE2)*(TYPE2&lt;&gt;"")+('Dvd Calendar'!$E$1017:$AR$1017=TYPE3)*(TYPE3&lt;&gt;"")+('Dvd Calendar'!$E$1017:$AR$1017=TYPE4)*(TYPE4&lt;&gt;"")+('Dvd Calendar'!$E$1017:$AR$1017=SPECIAL_LBL)*(INC_SPECIALS="Y"))))</f>
        <v/>
      </c>
      <c r="J103" s="132">
        <f>IF($C103="","",SUMPRODUCT(('Dvd Calendar'!$E$1012:$AR$1012&gt;=DATE(YEAR_Y-1,1,1))*('Dvd Calendar'!$E$1012:$AR$1012&lt;=DATE(YEAR_Y-1,12,31))*'Dvd Calendar'!$E$1015:$AR$1015*(('Dvd Calendar'!$E$1017:$AR$1017=TYPE1)*(TYPE1&lt;&gt;"")+('Dvd Calendar'!$E$1017:$AR$1017=TYPE2)*(TYPE2&lt;&gt;"")+('Dvd Calendar'!$E$1017:$AR$1017=TYPE3)*(TYPE3&lt;&gt;"")+('Dvd Calendar'!$E$1017:$AR$1017=TYPE4)*(TYPE4&lt;&gt;"")+('Dvd Calendar'!$E$1017:$AR$1017=SPECIAL_LBL)*(INC_SPECIALS="Y"))))</f>
        <v/>
      </c>
      <c r="K103" s="133">
        <f>IF($C103="","",HSI!$J$98)</f>
        <v/>
      </c>
      <c r="L103" s="133">
        <f>IF($C103="","",HSI!$K$98)</f>
        <v/>
      </c>
      <c r="M103" s="124">
        <f>IF($C103="","",HSI!$J$98+HSI!$L$98)</f>
        <v/>
      </c>
      <c r="N103" s="134">
        <f>IF($C103="","",IF(PULL_FUND="N","",IFERROR(BDP($C103,BESTDPS_FIELD,FWD_OVERRIDE,TEXT(MOD(YEAR_Y,100),"00")&amp;"Y"),"")))</f>
        <v/>
      </c>
      <c r="O103" s="133">
        <f>IF($C103="","",AVERAGE(F103:J103))</f>
        <v/>
      </c>
      <c r="P103" s="135">
        <f>IF($C103="","",IF(PULL_FUND="N","",IF(COUNTIFS('Fund History'!$J$554:$J$558,"&gt;="&amp;DATE(YEAR_Y-5,1,1),'Fund History'!$J$554:$J$558,"&lt;="&amp;DATE(YEAR_Y-5,12,31))=0,"",IFERROR($F103*HSI!$G$98/SUMIFS('Fund History'!$K$554:$K$558,'Fund History'!$J$554:$J$558,"&gt;="&amp;DATE(YEAR_Y-5,1,1),'Fund History'!$J$554:$J$558,"&lt;="&amp;DATE(YEAR_Y-5,12,31)),""))))</f>
        <v/>
      </c>
      <c r="Q103" s="136">
        <f>IF($C103="","",IF(PULL_FUND="N","",IF(COUNTIFS('Fund History'!$J$554:$J$558,"&gt;="&amp;DATE(YEAR_Y-4,1,1),'Fund History'!$J$554:$J$558,"&lt;="&amp;DATE(YEAR_Y-4,12,31))=0,"",IFERROR($G103*HSI!$G$98/SUMIFS('Fund History'!$K$554:$K$558,'Fund History'!$J$554:$J$558,"&gt;="&amp;DATE(YEAR_Y-4,1,1),'Fund History'!$J$554:$J$558,"&lt;="&amp;DATE(YEAR_Y-4,12,31)),""))))</f>
        <v/>
      </c>
      <c r="R103" s="136">
        <f>IF($C103="","",IF(PULL_FUND="N","",IF(COUNTIFS('Fund History'!$J$554:$J$558,"&gt;="&amp;DATE(YEAR_Y-3,1,1),'Fund History'!$J$554:$J$558,"&lt;="&amp;DATE(YEAR_Y-3,12,31))=0,"",IFERROR($H103*HSI!$G$98/SUMIFS('Fund History'!$K$554:$K$558,'Fund History'!$J$554:$J$558,"&gt;="&amp;DATE(YEAR_Y-3,1,1),'Fund History'!$J$554:$J$558,"&lt;="&amp;DATE(YEAR_Y-3,12,31)),""))))</f>
        <v/>
      </c>
      <c r="S103" s="136">
        <f>IF($C103="","",IF(PULL_FUND="N","",IF(COUNTIFS('Fund History'!$J$554:$J$558,"&gt;="&amp;DATE(YEAR_Y-2,1,1),'Fund History'!$J$554:$J$558,"&lt;="&amp;DATE(YEAR_Y-2,12,31))=0,"",IFERROR($I103*HSI!$G$98/SUMIFS('Fund History'!$K$554:$K$558,'Fund History'!$J$554:$J$558,"&gt;="&amp;DATE(YEAR_Y-2,1,1),'Fund History'!$J$554:$J$558,"&lt;="&amp;DATE(YEAR_Y-2,12,31)),""))))</f>
        <v/>
      </c>
      <c r="T103" s="136">
        <f>IF($C103="","",IF(PULL_FUND="N","",IF(COUNTIFS('Fund History'!$J$554:$J$558,"&gt;="&amp;DATE(YEAR_Y-1,1,1),'Fund History'!$J$554:$J$558,"&lt;="&amp;DATE(YEAR_Y-1,12,31))=0,"",IFERROR($J103*HSI!$G$98/SUMIFS('Fund History'!$K$554:$K$558,'Fund History'!$J$554:$J$558,"&gt;="&amp;DATE(YEAR_Y-1,1,1),'Fund History'!$J$554:$J$558,"&lt;="&amp;DATE(YEAR_Y-1,12,31)),""))))</f>
        <v/>
      </c>
      <c r="U103" s="137">
        <f>IF($C103="","",IF(ISNUMBER(HSI!$I$98),HSI!$I$98/100,""))</f>
        <v/>
      </c>
      <c r="V103" s="138">
        <f>IF($C103="","",IF(ISNUMBER(HSI!$X$98),IFERROR($M103*HSI!$G$98/HSI!$X$98,""),""))</f>
        <v/>
      </c>
      <c r="W103" s="137">
        <f>IF($C103="","",IF(ISNUMBER($N103),IFERROR($N103*HSI!$G$98/HSI!$X$98,""),""))</f>
        <v/>
      </c>
      <c r="X103" s="139">
        <f>IF($C103="","",IF(PULL_FUND="N","",IFERROR(BDP($C103,EPS_FIELD,YR_OVERRIDE,TEXT(YEAR_Y-5,"0")),"")))</f>
        <v/>
      </c>
      <c r="Y103" s="140">
        <f>IF($C103="","",IF(PULL_FUND="N","",IFERROR(BDP($C103,EPS_FIELD,YR_OVERRIDE,TEXT(YEAR_Y-4,"0")),"")))</f>
        <v/>
      </c>
      <c r="Z103" s="140">
        <f>IF($C103="","",IF(PULL_FUND="N","",IFERROR(BDP($C103,EPS_FIELD,YR_OVERRIDE,TEXT(YEAR_Y-3,"0")),"")))</f>
        <v/>
      </c>
      <c r="AA103" s="140">
        <f>IF($C103="","",IF(PULL_FUND="N","",IFERROR(BDP($C103,EPS_FIELD,YR_OVERRIDE,TEXT(YEAR_Y-2,"0")),"")))</f>
        <v/>
      </c>
      <c r="AB103" s="140">
        <f>IF($C103="","",IF(PULL_FUND="N","",IFERROR(BDP($C103,EPS_FIELD,YR_OVERRIDE,TEXT(YEAR_Y-1,"0")),"")))</f>
        <v/>
      </c>
      <c r="AC103" s="126">
        <f>IF($C103="","",IFERROR(AVERAGE(X103:AB103),""))</f>
        <v/>
      </c>
      <c r="AD103" s="140">
        <f>IF($C103="","",IF(PULL_FUND="N","",IFERROR(BDP($C103,BESTEPS_FIELD,FWD_OVERRIDE,TEXT(MOD(YEAR_Y,100),"00")&amp;"Y"),"")))</f>
        <v/>
      </c>
      <c r="AE103" s="141">
        <f>IF($C103="","",IF(PULL_FUND="N","",IFERROR(BDP($C103,PAYOUT_FIELD,YR_OVERRIDE,TEXT(YEAR_Y-5,"0"))/100,"")))</f>
        <v/>
      </c>
      <c r="AF103" s="142">
        <f>IF($C103="","",IF(PULL_FUND="N","",IFERROR(BDP($C103,PAYOUT_FIELD,YR_OVERRIDE,TEXT(YEAR_Y-4,"0"))/100,"")))</f>
        <v/>
      </c>
      <c r="AG103" s="142">
        <f>IF($C103="","",IF(PULL_FUND="N","",IFERROR(BDP($C103,PAYOUT_FIELD,YR_OVERRIDE,TEXT(YEAR_Y-3,"0"))/100,"")))</f>
        <v/>
      </c>
      <c r="AH103" s="142">
        <f>IF($C103="","",IF(PULL_FUND="N","",IFERROR(BDP($C103,PAYOUT_FIELD,YR_OVERRIDE,TEXT(YEAR_Y-2,"0"))/100,"")))</f>
        <v/>
      </c>
      <c r="AI103" s="142">
        <f>IF($C103="","",IF(PULL_FUND="N","",IFERROR(BDP($C103,PAYOUT_FIELD,YR_OVERRIDE,TEXT(YEAR_Y-1,"0"))/100,"")))</f>
        <v/>
      </c>
      <c r="AJ103" s="143">
        <f>IF($C103="","",IFERROR(AVERAGE(AE103:AI103),""))</f>
        <v/>
      </c>
      <c r="AK103" s="144">
        <f>IF($C103="","",IF(ISNUMBER($AD103)*ISNUMBER($N103)*($AD103&lt;&gt;0)=0,"",$N103/$AD103))</f>
        <v/>
      </c>
      <c r="AL103" s="143">
        <f>IF($C103="","",IF(ISNUMBER($AD103)*($AD103&lt;&gt;0)=0,"",$M103/$AD103))</f>
        <v/>
      </c>
      <c r="AM103" s="37">
        <f>IF($C103="","",IF(ISNUMBER($AE103)*ISNUMBER($AI103)=0,"",IF($AI103&gt;$AE103+0.05,"rising",IF($AI103&lt;$AE103-0.05,"falling","stable"))))</f>
        <v/>
      </c>
      <c r="AN103" s="145">
        <f>IF($C103="","",IF(PULL_FUND="N","",IF(COUNTIFS('Fund History'!$G$554:$G$558,"&gt;="&amp;DATE(YEAR_Y-4,1,1),'Fund History'!$G$554:$G$558,"&lt;="&amp;DATE(YEAR_Y-4,12,31))=0,"",SUMIFS('Fund History'!$H$554:$H$558,'Fund History'!$G$554:$G$558,"&gt;="&amp;DATE(YEAR_Y-4,1,1),'Fund History'!$G$554:$G$558,"&lt;="&amp;DATE(YEAR_Y-4,12,31))/100)))</f>
        <v/>
      </c>
      <c r="AO103" s="146">
        <f>IF($C103="","",IF(PULL_FUND="N","",IF(COUNTIFS('Fund History'!$G$554:$G$558,"&gt;="&amp;DATE(YEAR_Y-3,1,1),'Fund History'!$G$554:$G$558,"&lt;="&amp;DATE(YEAR_Y-3,12,31))=0,"",SUMIFS('Fund History'!$H$554:$H$558,'Fund History'!$G$554:$G$558,"&gt;="&amp;DATE(YEAR_Y-3,1,1),'Fund History'!$G$554:$G$558,"&lt;="&amp;DATE(YEAR_Y-3,12,31))/100)))</f>
        <v/>
      </c>
      <c r="AP103" s="146">
        <f>IF($C103="","",IF(PULL_FUND="N","",IF(COUNTIFS('Fund History'!$G$554:$G$558,"&gt;="&amp;DATE(YEAR_Y-2,1,1),'Fund History'!$G$554:$G$558,"&lt;="&amp;DATE(YEAR_Y-2,12,31))=0,"",SUMIFS('Fund History'!$H$554:$H$558,'Fund History'!$G$554:$G$558,"&gt;="&amp;DATE(YEAR_Y-2,1,1),'Fund History'!$G$554:$G$558,"&lt;="&amp;DATE(YEAR_Y-2,12,31))/100)))</f>
        <v/>
      </c>
      <c r="AQ103" s="146">
        <f>IF($C103="","",IF(PULL_FUND="N","",IF(COUNTIFS('Fund History'!$G$554:$G$558,"&gt;="&amp;DATE(YEAR_Y-1,1,1),'Fund History'!$G$554:$G$558,"&lt;="&amp;DATE(YEAR_Y-1,12,31))=0,"",SUMIFS('Fund History'!$H$554:$H$558,'Fund History'!$G$554:$G$558,"&gt;="&amp;DATE(YEAR_Y-1,1,1),'Fund History'!$G$554:$G$558,"&lt;="&amp;DATE(YEAR_Y-1,12,31))/100)))</f>
        <v/>
      </c>
      <c r="AR103" s="147">
        <f>IF($C103="","",IF(N($AQ103)+N(HSI!$I$98)=0,"",N($AQ103)+N(HSI!$I$98)/100))</f>
        <v/>
      </c>
      <c r="AS103" s="139">
        <f>IF($C103="","",IF(PULL_FUND="N","",IF(COUNTIFS('Fund History'!$D$554:$D$558,"&gt;="&amp;DATE(YEAR_Y-2,1,1),'Fund History'!$D$554:$D$558,"&lt;="&amp;DATE(YEAR_Y-2,12,31))=0,"",SUMIFS('Fund History'!$E$554:$E$558,'Fund History'!$D$554:$D$558,"&gt;="&amp;DATE(YEAR_Y-2,1,1),'Fund History'!$D$554:$D$558,"&lt;="&amp;DATE(YEAR_Y-2,12,31)))))</f>
        <v/>
      </c>
      <c r="AT103" s="140">
        <f>IF($C103="","",IF(PULL_FUND="N","",IF(COUNTIFS('Fund History'!$D$554:$D$558,"&gt;="&amp;DATE(YEAR_Y-1,1,1),'Fund History'!$D$554:$D$558,"&lt;="&amp;DATE(YEAR_Y-1,12,31))=0,"",SUMIFS('Fund History'!$E$554:$E$558,'Fund History'!$D$554:$D$558,"&gt;="&amp;DATE(YEAR_Y-1,1,1),'Fund History'!$D$554:$D$558,"&lt;="&amp;DATE(YEAR_Y-1,12,31)))))</f>
        <v/>
      </c>
      <c r="AU103" s="140">
        <f>IF($C103="","",IF(PULL_FUND="N","",IFERROR(BDP($C103,NDEBITDA_FIELD),"")))</f>
        <v/>
      </c>
      <c r="AV103" s="148">
        <f>IF($C103="","",IF(PULL_FUND="N","",IFERROR(BDP($C103,EBINT_FIELD),"")))</f>
        <v/>
      </c>
      <c r="AW103" s="146">
        <f>IF($C103="","",IF(PULL_FUND="N","",IFERROR(BDP($C103,FCF_FIELD)/100,"")))</f>
        <v/>
      </c>
      <c r="AX103" s="126">
        <f>IF($C103="","",IF(N($U103)=0,"",IFERROR($AW103/$U103,"")))</f>
        <v/>
      </c>
      <c r="AY103" s="85">
        <f>IF($C103="","",TRIM(IF(ISNUMBER($AJ103)*(N($AJ103)&gt;$D$4)&gt;0,"payout high  ","")&amp;IF(ISNUMBER($AX103)*(N($AX103)&lt;$F$4)&gt;0,"FCF below dvd  ","")&amp;IF(ISNUMBER($AU103)*(N($AU103)&gt;$H$4)&gt;0,"leverage high","")))</f>
        <v/>
      </c>
      <c r="AZ103" s="86">
        <f>IF($C103="","",IF(HSI!$F$98="HKD","",HSI!$F$98))</f>
        <v/>
      </c>
    </row>
    <row r="104">
      <c r="B104" s="66" t="inlineStr">
        <is>
          <t>HSI</t>
        </is>
      </c>
      <c r="C104" s="8">
        <f>IF(HSI!$C$99="","",HSI!$C$99)</f>
        <v/>
      </c>
      <c r="D104" s="8">
        <f>IF($C104="","",HSI!$D$99)</f>
        <v/>
      </c>
      <c r="E104" s="8">
        <f>IF($C104="","",HSI!$E$99)</f>
        <v/>
      </c>
      <c r="F104" s="131">
        <f>IF($C104="","",SUMPRODUCT(('Dvd Calendar'!$E$1023:$AR$1023&gt;=DATE(YEAR_Y-5,1,1))*('Dvd Calendar'!$E$1023:$AR$1023&lt;=DATE(YEAR_Y-5,12,31))*'Dvd Calendar'!$E$1026:$AR$1026*(('Dvd Calendar'!$E$1028:$AR$1028=TYPE1)*(TYPE1&lt;&gt;"")+('Dvd Calendar'!$E$1028:$AR$1028=TYPE2)*(TYPE2&lt;&gt;"")+('Dvd Calendar'!$E$1028:$AR$1028=TYPE3)*(TYPE3&lt;&gt;"")+('Dvd Calendar'!$E$1028:$AR$1028=TYPE4)*(TYPE4&lt;&gt;"")+('Dvd Calendar'!$E$1028:$AR$1028=SPECIAL_LBL)*(INC_SPECIALS="Y"))))</f>
        <v/>
      </c>
      <c r="G104" s="132">
        <f>IF($C104="","",SUMPRODUCT(('Dvd Calendar'!$E$1023:$AR$1023&gt;=DATE(YEAR_Y-4,1,1))*('Dvd Calendar'!$E$1023:$AR$1023&lt;=DATE(YEAR_Y-4,12,31))*'Dvd Calendar'!$E$1026:$AR$1026*(('Dvd Calendar'!$E$1028:$AR$1028=TYPE1)*(TYPE1&lt;&gt;"")+('Dvd Calendar'!$E$1028:$AR$1028=TYPE2)*(TYPE2&lt;&gt;"")+('Dvd Calendar'!$E$1028:$AR$1028=TYPE3)*(TYPE3&lt;&gt;"")+('Dvd Calendar'!$E$1028:$AR$1028=TYPE4)*(TYPE4&lt;&gt;"")+('Dvd Calendar'!$E$1028:$AR$1028=SPECIAL_LBL)*(INC_SPECIALS="Y"))))</f>
        <v/>
      </c>
      <c r="H104" s="132">
        <f>IF($C104="","",SUMPRODUCT(('Dvd Calendar'!$E$1023:$AR$1023&gt;=DATE(YEAR_Y-3,1,1))*('Dvd Calendar'!$E$1023:$AR$1023&lt;=DATE(YEAR_Y-3,12,31))*'Dvd Calendar'!$E$1026:$AR$1026*(('Dvd Calendar'!$E$1028:$AR$1028=TYPE1)*(TYPE1&lt;&gt;"")+('Dvd Calendar'!$E$1028:$AR$1028=TYPE2)*(TYPE2&lt;&gt;"")+('Dvd Calendar'!$E$1028:$AR$1028=TYPE3)*(TYPE3&lt;&gt;"")+('Dvd Calendar'!$E$1028:$AR$1028=TYPE4)*(TYPE4&lt;&gt;"")+('Dvd Calendar'!$E$1028:$AR$1028=SPECIAL_LBL)*(INC_SPECIALS="Y"))))</f>
        <v/>
      </c>
      <c r="I104" s="132">
        <f>IF($C104="","",SUMPRODUCT(('Dvd Calendar'!$E$1023:$AR$1023&gt;=DATE(YEAR_Y-2,1,1))*('Dvd Calendar'!$E$1023:$AR$1023&lt;=DATE(YEAR_Y-2,12,31))*'Dvd Calendar'!$E$1026:$AR$1026*(('Dvd Calendar'!$E$1028:$AR$1028=TYPE1)*(TYPE1&lt;&gt;"")+('Dvd Calendar'!$E$1028:$AR$1028=TYPE2)*(TYPE2&lt;&gt;"")+('Dvd Calendar'!$E$1028:$AR$1028=TYPE3)*(TYPE3&lt;&gt;"")+('Dvd Calendar'!$E$1028:$AR$1028=TYPE4)*(TYPE4&lt;&gt;"")+('Dvd Calendar'!$E$1028:$AR$1028=SPECIAL_LBL)*(INC_SPECIALS="Y"))))</f>
        <v/>
      </c>
      <c r="J104" s="132">
        <f>IF($C104="","",SUMPRODUCT(('Dvd Calendar'!$E$1023:$AR$1023&gt;=DATE(YEAR_Y-1,1,1))*('Dvd Calendar'!$E$1023:$AR$1023&lt;=DATE(YEAR_Y-1,12,31))*'Dvd Calendar'!$E$1026:$AR$1026*(('Dvd Calendar'!$E$1028:$AR$1028=TYPE1)*(TYPE1&lt;&gt;"")+('Dvd Calendar'!$E$1028:$AR$1028=TYPE2)*(TYPE2&lt;&gt;"")+('Dvd Calendar'!$E$1028:$AR$1028=TYPE3)*(TYPE3&lt;&gt;"")+('Dvd Calendar'!$E$1028:$AR$1028=TYPE4)*(TYPE4&lt;&gt;"")+('Dvd Calendar'!$E$1028:$AR$1028=SPECIAL_LBL)*(INC_SPECIALS="Y"))))</f>
        <v/>
      </c>
      <c r="K104" s="133">
        <f>IF($C104="","",HSI!$J$99)</f>
        <v/>
      </c>
      <c r="L104" s="133">
        <f>IF($C104="","",HSI!$K$99)</f>
        <v/>
      </c>
      <c r="M104" s="124">
        <f>IF($C104="","",HSI!$J$99+HSI!$L$99)</f>
        <v/>
      </c>
      <c r="N104" s="134">
        <f>IF($C104="","",IF(PULL_FUND="N","",IFERROR(BDP($C104,BESTDPS_FIELD,FWD_OVERRIDE,TEXT(MOD(YEAR_Y,100),"00")&amp;"Y"),"")))</f>
        <v/>
      </c>
      <c r="O104" s="133">
        <f>IF($C104="","",AVERAGE(F104:J104))</f>
        <v/>
      </c>
      <c r="P104" s="135">
        <f>IF($C104="","",IF(PULL_FUND="N","",IF(COUNTIFS('Fund History'!$J$560:$J$564,"&gt;="&amp;DATE(YEAR_Y-5,1,1),'Fund History'!$J$560:$J$564,"&lt;="&amp;DATE(YEAR_Y-5,12,31))=0,"",IFERROR($F104*HSI!$G$99/SUMIFS('Fund History'!$K$560:$K$564,'Fund History'!$J$560:$J$564,"&gt;="&amp;DATE(YEAR_Y-5,1,1),'Fund History'!$J$560:$J$564,"&lt;="&amp;DATE(YEAR_Y-5,12,31)),""))))</f>
        <v/>
      </c>
      <c r="Q104" s="136">
        <f>IF($C104="","",IF(PULL_FUND="N","",IF(COUNTIFS('Fund History'!$J$560:$J$564,"&gt;="&amp;DATE(YEAR_Y-4,1,1),'Fund History'!$J$560:$J$564,"&lt;="&amp;DATE(YEAR_Y-4,12,31))=0,"",IFERROR($G104*HSI!$G$99/SUMIFS('Fund History'!$K$560:$K$564,'Fund History'!$J$560:$J$564,"&gt;="&amp;DATE(YEAR_Y-4,1,1),'Fund History'!$J$560:$J$564,"&lt;="&amp;DATE(YEAR_Y-4,12,31)),""))))</f>
        <v/>
      </c>
      <c r="R104" s="136">
        <f>IF($C104="","",IF(PULL_FUND="N","",IF(COUNTIFS('Fund History'!$J$560:$J$564,"&gt;="&amp;DATE(YEAR_Y-3,1,1),'Fund History'!$J$560:$J$564,"&lt;="&amp;DATE(YEAR_Y-3,12,31))=0,"",IFERROR($H104*HSI!$G$99/SUMIFS('Fund History'!$K$560:$K$564,'Fund History'!$J$560:$J$564,"&gt;="&amp;DATE(YEAR_Y-3,1,1),'Fund History'!$J$560:$J$564,"&lt;="&amp;DATE(YEAR_Y-3,12,31)),""))))</f>
        <v/>
      </c>
      <c r="S104" s="136">
        <f>IF($C104="","",IF(PULL_FUND="N","",IF(COUNTIFS('Fund History'!$J$560:$J$564,"&gt;="&amp;DATE(YEAR_Y-2,1,1),'Fund History'!$J$560:$J$564,"&lt;="&amp;DATE(YEAR_Y-2,12,31))=0,"",IFERROR($I104*HSI!$G$99/SUMIFS('Fund History'!$K$560:$K$564,'Fund History'!$J$560:$J$564,"&gt;="&amp;DATE(YEAR_Y-2,1,1),'Fund History'!$J$560:$J$564,"&lt;="&amp;DATE(YEAR_Y-2,12,31)),""))))</f>
        <v/>
      </c>
      <c r="T104" s="136">
        <f>IF($C104="","",IF(PULL_FUND="N","",IF(COUNTIFS('Fund History'!$J$560:$J$564,"&gt;="&amp;DATE(YEAR_Y-1,1,1),'Fund History'!$J$560:$J$564,"&lt;="&amp;DATE(YEAR_Y-1,12,31))=0,"",IFERROR($J104*HSI!$G$99/SUMIFS('Fund History'!$K$560:$K$564,'Fund History'!$J$560:$J$564,"&gt;="&amp;DATE(YEAR_Y-1,1,1),'Fund History'!$J$560:$J$564,"&lt;="&amp;DATE(YEAR_Y-1,12,31)),""))))</f>
        <v/>
      </c>
      <c r="U104" s="137">
        <f>IF($C104="","",IF(ISNUMBER(HSI!$I$99),HSI!$I$99/100,""))</f>
        <v/>
      </c>
      <c r="V104" s="138">
        <f>IF($C104="","",IF(ISNUMBER(HSI!$X$99),IFERROR($M104*HSI!$G$99/HSI!$X$99,""),""))</f>
        <v/>
      </c>
      <c r="W104" s="137">
        <f>IF($C104="","",IF(ISNUMBER($N104),IFERROR($N104*HSI!$G$99/HSI!$X$99,""),""))</f>
        <v/>
      </c>
      <c r="X104" s="139">
        <f>IF($C104="","",IF(PULL_FUND="N","",IFERROR(BDP($C104,EPS_FIELD,YR_OVERRIDE,TEXT(YEAR_Y-5,"0")),"")))</f>
        <v/>
      </c>
      <c r="Y104" s="140">
        <f>IF($C104="","",IF(PULL_FUND="N","",IFERROR(BDP($C104,EPS_FIELD,YR_OVERRIDE,TEXT(YEAR_Y-4,"0")),"")))</f>
        <v/>
      </c>
      <c r="Z104" s="140">
        <f>IF($C104="","",IF(PULL_FUND="N","",IFERROR(BDP($C104,EPS_FIELD,YR_OVERRIDE,TEXT(YEAR_Y-3,"0")),"")))</f>
        <v/>
      </c>
      <c r="AA104" s="140">
        <f>IF($C104="","",IF(PULL_FUND="N","",IFERROR(BDP($C104,EPS_FIELD,YR_OVERRIDE,TEXT(YEAR_Y-2,"0")),"")))</f>
        <v/>
      </c>
      <c r="AB104" s="140">
        <f>IF($C104="","",IF(PULL_FUND="N","",IFERROR(BDP($C104,EPS_FIELD,YR_OVERRIDE,TEXT(YEAR_Y-1,"0")),"")))</f>
        <v/>
      </c>
      <c r="AC104" s="126">
        <f>IF($C104="","",IFERROR(AVERAGE(X104:AB104),""))</f>
        <v/>
      </c>
      <c r="AD104" s="140">
        <f>IF($C104="","",IF(PULL_FUND="N","",IFERROR(BDP($C104,BESTEPS_FIELD,FWD_OVERRIDE,TEXT(MOD(YEAR_Y,100),"00")&amp;"Y"),"")))</f>
        <v/>
      </c>
      <c r="AE104" s="141">
        <f>IF($C104="","",IF(PULL_FUND="N","",IFERROR(BDP($C104,PAYOUT_FIELD,YR_OVERRIDE,TEXT(YEAR_Y-5,"0"))/100,"")))</f>
        <v/>
      </c>
      <c r="AF104" s="142">
        <f>IF($C104="","",IF(PULL_FUND="N","",IFERROR(BDP($C104,PAYOUT_FIELD,YR_OVERRIDE,TEXT(YEAR_Y-4,"0"))/100,"")))</f>
        <v/>
      </c>
      <c r="AG104" s="142">
        <f>IF($C104="","",IF(PULL_FUND="N","",IFERROR(BDP($C104,PAYOUT_FIELD,YR_OVERRIDE,TEXT(YEAR_Y-3,"0"))/100,"")))</f>
        <v/>
      </c>
      <c r="AH104" s="142">
        <f>IF($C104="","",IF(PULL_FUND="N","",IFERROR(BDP($C104,PAYOUT_FIELD,YR_OVERRIDE,TEXT(YEAR_Y-2,"0"))/100,"")))</f>
        <v/>
      </c>
      <c r="AI104" s="142">
        <f>IF($C104="","",IF(PULL_FUND="N","",IFERROR(BDP($C104,PAYOUT_FIELD,YR_OVERRIDE,TEXT(YEAR_Y-1,"0"))/100,"")))</f>
        <v/>
      </c>
      <c r="AJ104" s="143">
        <f>IF($C104="","",IFERROR(AVERAGE(AE104:AI104),""))</f>
        <v/>
      </c>
      <c r="AK104" s="144">
        <f>IF($C104="","",IF(ISNUMBER($AD104)*ISNUMBER($N104)*($AD104&lt;&gt;0)=0,"",$N104/$AD104))</f>
        <v/>
      </c>
      <c r="AL104" s="143">
        <f>IF($C104="","",IF(ISNUMBER($AD104)*($AD104&lt;&gt;0)=0,"",$M104/$AD104))</f>
        <v/>
      </c>
      <c r="AM104" s="37">
        <f>IF($C104="","",IF(ISNUMBER($AE104)*ISNUMBER($AI104)=0,"",IF($AI104&gt;$AE104+0.05,"rising",IF($AI104&lt;$AE104-0.05,"falling","stable"))))</f>
        <v/>
      </c>
      <c r="AN104" s="145">
        <f>IF($C104="","",IF(PULL_FUND="N","",IF(COUNTIFS('Fund History'!$G$560:$G$564,"&gt;="&amp;DATE(YEAR_Y-4,1,1),'Fund History'!$G$560:$G$564,"&lt;="&amp;DATE(YEAR_Y-4,12,31))=0,"",SUMIFS('Fund History'!$H$560:$H$564,'Fund History'!$G$560:$G$564,"&gt;="&amp;DATE(YEAR_Y-4,1,1),'Fund History'!$G$560:$G$564,"&lt;="&amp;DATE(YEAR_Y-4,12,31))/100)))</f>
        <v/>
      </c>
      <c r="AO104" s="146">
        <f>IF($C104="","",IF(PULL_FUND="N","",IF(COUNTIFS('Fund History'!$G$560:$G$564,"&gt;="&amp;DATE(YEAR_Y-3,1,1),'Fund History'!$G$560:$G$564,"&lt;="&amp;DATE(YEAR_Y-3,12,31))=0,"",SUMIFS('Fund History'!$H$560:$H$564,'Fund History'!$G$560:$G$564,"&gt;="&amp;DATE(YEAR_Y-3,1,1),'Fund History'!$G$560:$G$564,"&lt;="&amp;DATE(YEAR_Y-3,12,31))/100)))</f>
        <v/>
      </c>
      <c r="AP104" s="146">
        <f>IF($C104="","",IF(PULL_FUND="N","",IF(COUNTIFS('Fund History'!$G$560:$G$564,"&gt;="&amp;DATE(YEAR_Y-2,1,1),'Fund History'!$G$560:$G$564,"&lt;="&amp;DATE(YEAR_Y-2,12,31))=0,"",SUMIFS('Fund History'!$H$560:$H$564,'Fund History'!$G$560:$G$564,"&gt;="&amp;DATE(YEAR_Y-2,1,1),'Fund History'!$G$560:$G$564,"&lt;="&amp;DATE(YEAR_Y-2,12,31))/100)))</f>
        <v/>
      </c>
      <c r="AQ104" s="146">
        <f>IF($C104="","",IF(PULL_FUND="N","",IF(COUNTIFS('Fund History'!$G$560:$G$564,"&gt;="&amp;DATE(YEAR_Y-1,1,1),'Fund History'!$G$560:$G$564,"&lt;="&amp;DATE(YEAR_Y-1,12,31))=0,"",SUMIFS('Fund History'!$H$560:$H$564,'Fund History'!$G$560:$G$564,"&gt;="&amp;DATE(YEAR_Y-1,1,1),'Fund History'!$G$560:$G$564,"&lt;="&amp;DATE(YEAR_Y-1,12,31))/100)))</f>
        <v/>
      </c>
      <c r="AR104" s="147">
        <f>IF($C104="","",IF(N($AQ104)+N(HSI!$I$99)=0,"",N($AQ104)+N(HSI!$I$99)/100))</f>
        <v/>
      </c>
      <c r="AS104" s="139">
        <f>IF($C104="","",IF(PULL_FUND="N","",IF(COUNTIFS('Fund History'!$D$560:$D$564,"&gt;="&amp;DATE(YEAR_Y-2,1,1),'Fund History'!$D$560:$D$564,"&lt;="&amp;DATE(YEAR_Y-2,12,31))=0,"",SUMIFS('Fund History'!$E$560:$E$564,'Fund History'!$D$560:$D$564,"&gt;="&amp;DATE(YEAR_Y-2,1,1),'Fund History'!$D$560:$D$564,"&lt;="&amp;DATE(YEAR_Y-2,12,31)))))</f>
        <v/>
      </c>
      <c r="AT104" s="140">
        <f>IF($C104="","",IF(PULL_FUND="N","",IF(COUNTIFS('Fund History'!$D$560:$D$564,"&gt;="&amp;DATE(YEAR_Y-1,1,1),'Fund History'!$D$560:$D$564,"&lt;="&amp;DATE(YEAR_Y-1,12,31))=0,"",SUMIFS('Fund History'!$E$560:$E$564,'Fund History'!$D$560:$D$564,"&gt;="&amp;DATE(YEAR_Y-1,1,1),'Fund History'!$D$560:$D$564,"&lt;="&amp;DATE(YEAR_Y-1,12,31)))))</f>
        <v/>
      </c>
      <c r="AU104" s="140">
        <f>IF($C104="","",IF(PULL_FUND="N","",IFERROR(BDP($C104,NDEBITDA_FIELD),"")))</f>
        <v/>
      </c>
      <c r="AV104" s="148">
        <f>IF($C104="","",IF(PULL_FUND="N","",IFERROR(BDP($C104,EBINT_FIELD),"")))</f>
        <v/>
      </c>
      <c r="AW104" s="146">
        <f>IF($C104="","",IF(PULL_FUND="N","",IFERROR(BDP($C104,FCF_FIELD)/100,"")))</f>
        <v/>
      </c>
      <c r="AX104" s="126">
        <f>IF($C104="","",IF(N($U104)=0,"",IFERROR($AW104/$U104,"")))</f>
        <v/>
      </c>
      <c r="AY104" s="85">
        <f>IF($C104="","",TRIM(IF(ISNUMBER($AJ104)*(N($AJ104)&gt;$D$4)&gt;0,"payout high  ","")&amp;IF(ISNUMBER($AX104)*(N($AX104)&lt;$F$4)&gt;0,"FCF below dvd  ","")&amp;IF(ISNUMBER($AU104)*(N($AU104)&gt;$H$4)&gt;0,"leverage high","")))</f>
        <v/>
      </c>
      <c r="AZ104" s="86">
        <f>IF($C104="","",IF(HSI!$F$99="HKD","",HSI!$F$99))</f>
        <v/>
      </c>
    </row>
    <row r="105">
      <c r="B105" s="66" t="inlineStr">
        <is>
          <t>HSI</t>
        </is>
      </c>
      <c r="C105" s="8">
        <f>IF(HSI!$C$100="","",HSI!$C$100)</f>
        <v/>
      </c>
      <c r="D105" s="8">
        <f>IF($C105="","",HSI!$D$100)</f>
        <v/>
      </c>
      <c r="E105" s="8">
        <f>IF($C105="","",HSI!$E$100)</f>
        <v/>
      </c>
      <c r="F105" s="131">
        <f>IF($C105="","",SUMPRODUCT(('Dvd Calendar'!$E$1034:$AR$1034&gt;=DATE(YEAR_Y-5,1,1))*('Dvd Calendar'!$E$1034:$AR$1034&lt;=DATE(YEAR_Y-5,12,31))*'Dvd Calendar'!$E$1037:$AR$1037*(('Dvd Calendar'!$E$1039:$AR$1039=TYPE1)*(TYPE1&lt;&gt;"")+('Dvd Calendar'!$E$1039:$AR$1039=TYPE2)*(TYPE2&lt;&gt;"")+('Dvd Calendar'!$E$1039:$AR$1039=TYPE3)*(TYPE3&lt;&gt;"")+('Dvd Calendar'!$E$1039:$AR$1039=TYPE4)*(TYPE4&lt;&gt;"")+('Dvd Calendar'!$E$1039:$AR$1039=SPECIAL_LBL)*(INC_SPECIALS="Y"))))</f>
        <v/>
      </c>
      <c r="G105" s="132">
        <f>IF($C105="","",SUMPRODUCT(('Dvd Calendar'!$E$1034:$AR$1034&gt;=DATE(YEAR_Y-4,1,1))*('Dvd Calendar'!$E$1034:$AR$1034&lt;=DATE(YEAR_Y-4,12,31))*'Dvd Calendar'!$E$1037:$AR$1037*(('Dvd Calendar'!$E$1039:$AR$1039=TYPE1)*(TYPE1&lt;&gt;"")+('Dvd Calendar'!$E$1039:$AR$1039=TYPE2)*(TYPE2&lt;&gt;"")+('Dvd Calendar'!$E$1039:$AR$1039=TYPE3)*(TYPE3&lt;&gt;"")+('Dvd Calendar'!$E$1039:$AR$1039=TYPE4)*(TYPE4&lt;&gt;"")+('Dvd Calendar'!$E$1039:$AR$1039=SPECIAL_LBL)*(INC_SPECIALS="Y"))))</f>
        <v/>
      </c>
      <c r="H105" s="132">
        <f>IF($C105="","",SUMPRODUCT(('Dvd Calendar'!$E$1034:$AR$1034&gt;=DATE(YEAR_Y-3,1,1))*('Dvd Calendar'!$E$1034:$AR$1034&lt;=DATE(YEAR_Y-3,12,31))*'Dvd Calendar'!$E$1037:$AR$1037*(('Dvd Calendar'!$E$1039:$AR$1039=TYPE1)*(TYPE1&lt;&gt;"")+('Dvd Calendar'!$E$1039:$AR$1039=TYPE2)*(TYPE2&lt;&gt;"")+('Dvd Calendar'!$E$1039:$AR$1039=TYPE3)*(TYPE3&lt;&gt;"")+('Dvd Calendar'!$E$1039:$AR$1039=TYPE4)*(TYPE4&lt;&gt;"")+('Dvd Calendar'!$E$1039:$AR$1039=SPECIAL_LBL)*(INC_SPECIALS="Y"))))</f>
        <v/>
      </c>
      <c r="I105" s="132">
        <f>IF($C105="","",SUMPRODUCT(('Dvd Calendar'!$E$1034:$AR$1034&gt;=DATE(YEAR_Y-2,1,1))*('Dvd Calendar'!$E$1034:$AR$1034&lt;=DATE(YEAR_Y-2,12,31))*'Dvd Calendar'!$E$1037:$AR$1037*(('Dvd Calendar'!$E$1039:$AR$1039=TYPE1)*(TYPE1&lt;&gt;"")+('Dvd Calendar'!$E$1039:$AR$1039=TYPE2)*(TYPE2&lt;&gt;"")+('Dvd Calendar'!$E$1039:$AR$1039=TYPE3)*(TYPE3&lt;&gt;"")+('Dvd Calendar'!$E$1039:$AR$1039=TYPE4)*(TYPE4&lt;&gt;"")+('Dvd Calendar'!$E$1039:$AR$1039=SPECIAL_LBL)*(INC_SPECIALS="Y"))))</f>
        <v/>
      </c>
      <c r="J105" s="132">
        <f>IF($C105="","",SUMPRODUCT(('Dvd Calendar'!$E$1034:$AR$1034&gt;=DATE(YEAR_Y-1,1,1))*('Dvd Calendar'!$E$1034:$AR$1034&lt;=DATE(YEAR_Y-1,12,31))*'Dvd Calendar'!$E$1037:$AR$1037*(('Dvd Calendar'!$E$1039:$AR$1039=TYPE1)*(TYPE1&lt;&gt;"")+('Dvd Calendar'!$E$1039:$AR$1039=TYPE2)*(TYPE2&lt;&gt;"")+('Dvd Calendar'!$E$1039:$AR$1039=TYPE3)*(TYPE3&lt;&gt;"")+('Dvd Calendar'!$E$1039:$AR$1039=TYPE4)*(TYPE4&lt;&gt;"")+('Dvd Calendar'!$E$1039:$AR$1039=SPECIAL_LBL)*(INC_SPECIALS="Y"))))</f>
        <v/>
      </c>
      <c r="K105" s="133">
        <f>IF($C105="","",HSI!$J$100)</f>
        <v/>
      </c>
      <c r="L105" s="133">
        <f>IF($C105="","",HSI!$K$100)</f>
        <v/>
      </c>
      <c r="M105" s="124">
        <f>IF($C105="","",HSI!$J$100+HSI!$L$100)</f>
        <v/>
      </c>
      <c r="N105" s="134">
        <f>IF($C105="","",IF(PULL_FUND="N","",IFERROR(BDP($C105,BESTDPS_FIELD,FWD_OVERRIDE,TEXT(MOD(YEAR_Y,100),"00")&amp;"Y"),"")))</f>
        <v/>
      </c>
      <c r="O105" s="133">
        <f>IF($C105="","",AVERAGE(F105:J105))</f>
        <v/>
      </c>
      <c r="P105" s="135">
        <f>IF($C105="","",IF(PULL_FUND="N","",IF(COUNTIFS('Fund History'!$J$566:$J$570,"&gt;="&amp;DATE(YEAR_Y-5,1,1),'Fund History'!$J$566:$J$570,"&lt;="&amp;DATE(YEAR_Y-5,12,31))=0,"",IFERROR($F105*HSI!$G$100/SUMIFS('Fund History'!$K$566:$K$570,'Fund History'!$J$566:$J$570,"&gt;="&amp;DATE(YEAR_Y-5,1,1),'Fund History'!$J$566:$J$570,"&lt;="&amp;DATE(YEAR_Y-5,12,31)),""))))</f>
        <v/>
      </c>
      <c r="Q105" s="136">
        <f>IF($C105="","",IF(PULL_FUND="N","",IF(COUNTIFS('Fund History'!$J$566:$J$570,"&gt;="&amp;DATE(YEAR_Y-4,1,1),'Fund History'!$J$566:$J$570,"&lt;="&amp;DATE(YEAR_Y-4,12,31))=0,"",IFERROR($G105*HSI!$G$100/SUMIFS('Fund History'!$K$566:$K$570,'Fund History'!$J$566:$J$570,"&gt;="&amp;DATE(YEAR_Y-4,1,1),'Fund History'!$J$566:$J$570,"&lt;="&amp;DATE(YEAR_Y-4,12,31)),""))))</f>
        <v/>
      </c>
      <c r="R105" s="136">
        <f>IF($C105="","",IF(PULL_FUND="N","",IF(COUNTIFS('Fund History'!$J$566:$J$570,"&gt;="&amp;DATE(YEAR_Y-3,1,1),'Fund History'!$J$566:$J$570,"&lt;="&amp;DATE(YEAR_Y-3,12,31))=0,"",IFERROR($H105*HSI!$G$100/SUMIFS('Fund History'!$K$566:$K$570,'Fund History'!$J$566:$J$570,"&gt;="&amp;DATE(YEAR_Y-3,1,1),'Fund History'!$J$566:$J$570,"&lt;="&amp;DATE(YEAR_Y-3,12,31)),""))))</f>
        <v/>
      </c>
      <c r="S105" s="136">
        <f>IF($C105="","",IF(PULL_FUND="N","",IF(COUNTIFS('Fund History'!$J$566:$J$570,"&gt;="&amp;DATE(YEAR_Y-2,1,1),'Fund History'!$J$566:$J$570,"&lt;="&amp;DATE(YEAR_Y-2,12,31))=0,"",IFERROR($I105*HSI!$G$100/SUMIFS('Fund History'!$K$566:$K$570,'Fund History'!$J$566:$J$570,"&gt;="&amp;DATE(YEAR_Y-2,1,1),'Fund History'!$J$566:$J$570,"&lt;="&amp;DATE(YEAR_Y-2,12,31)),""))))</f>
        <v/>
      </c>
      <c r="T105" s="136">
        <f>IF($C105="","",IF(PULL_FUND="N","",IF(COUNTIFS('Fund History'!$J$566:$J$570,"&gt;="&amp;DATE(YEAR_Y-1,1,1),'Fund History'!$J$566:$J$570,"&lt;="&amp;DATE(YEAR_Y-1,12,31))=0,"",IFERROR($J105*HSI!$G$100/SUMIFS('Fund History'!$K$566:$K$570,'Fund History'!$J$566:$J$570,"&gt;="&amp;DATE(YEAR_Y-1,1,1),'Fund History'!$J$566:$J$570,"&lt;="&amp;DATE(YEAR_Y-1,12,31)),""))))</f>
        <v/>
      </c>
      <c r="U105" s="137">
        <f>IF($C105="","",IF(ISNUMBER(HSI!$I$100),HSI!$I$100/100,""))</f>
        <v/>
      </c>
      <c r="V105" s="138">
        <f>IF($C105="","",IF(ISNUMBER(HSI!$X$100),IFERROR($M105*HSI!$G$100/HSI!$X$100,""),""))</f>
        <v/>
      </c>
      <c r="W105" s="137">
        <f>IF($C105="","",IF(ISNUMBER($N105),IFERROR($N105*HSI!$G$100/HSI!$X$100,""),""))</f>
        <v/>
      </c>
      <c r="X105" s="139">
        <f>IF($C105="","",IF(PULL_FUND="N","",IFERROR(BDP($C105,EPS_FIELD,YR_OVERRIDE,TEXT(YEAR_Y-5,"0")),"")))</f>
        <v/>
      </c>
      <c r="Y105" s="140">
        <f>IF($C105="","",IF(PULL_FUND="N","",IFERROR(BDP($C105,EPS_FIELD,YR_OVERRIDE,TEXT(YEAR_Y-4,"0")),"")))</f>
        <v/>
      </c>
      <c r="Z105" s="140">
        <f>IF($C105="","",IF(PULL_FUND="N","",IFERROR(BDP($C105,EPS_FIELD,YR_OVERRIDE,TEXT(YEAR_Y-3,"0")),"")))</f>
        <v/>
      </c>
      <c r="AA105" s="140">
        <f>IF($C105="","",IF(PULL_FUND="N","",IFERROR(BDP($C105,EPS_FIELD,YR_OVERRIDE,TEXT(YEAR_Y-2,"0")),"")))</f>
        <v/>
      </c>
      <c r="AB105" s="140">
        <f>IF($C105="","",IF(PULL_FUND="N","",IFERROR(BDP($C105,EPS_FIELD,YR_OVERRIDE,TEXT(YEAR_Y-1,"0")),"")))</f>
        <v/>
      </c>
      <c r="AC105" s="126">
        <f>IF($C105="","",IFERROR(AVERAGE(X105:AB105),""))</f>
        <v/>
      </c>
      <c r="AD105" s="140">
        <f>IF($C105="","",IF(PULL_FUND="N","",IFERROR(BDP($C105,BESTEPS_FIELD,FWD_OVERRIDE,TEXT(MOD(YEAR_Y,100),"00")&amp;"Y"),"")))</f>
        <v/>
      </c>
      <c r="AE105" s="141">
        <f>IF($C105="","",IF(PULL_FUND="N","",IFERROR(BDP($C105,PAYOUT_FIELD,YR_OVERRIDE,TEXT(YEAR_Y-5,"0"))/100,"")))</f>
        <v/>
      </c>
      <c r="AF105" s="142">
        <f>IF($C105="","",IF(PULL_FUND="N","",IFERROR(BDP($C105,PAYOUT_FIELD,YR_OVERRIDE,TEXT(YEAR_Y-4,"0"))/100,"")))</f>
        <v/>
      </c>
      <c r="AG105" s="142">
        <f>IF($C105="","",IF(PULL_FUND="N","",IFERROR(BDP($C105,PAYOUT_FIELD,YR_OVERRIDE,TEXT(YEAR_Y-3,"0"))/100,"")))</f>
        <v/>
      </c>
      <c r="AH105" s="142">
        <f>IF($C105="","",IF(PULL_FUND="N","",IFERROR(BDP($C105,PAYOUT_FIELD,YR_OVERRIDE,TEXT(YEAR_Y-2,"0"))/100,"")))</f>
        <v/>
      </c>
      <c r="AI105" s="142">
        <f>IF($C105="","",IF(PULL_FUND="N","",IFERROR(BDP($C105,PAYOUT_FIELD,YR_OVERRIDE,TEXT(YEAR_Y-1,"0"))/100,"")))</f>
        <v/>
      </c>
      <c r="AJ105" s="143">
        <f>IF($C105="","",IFERROR(AVERAGE(AE105:AI105),""))</f>
        <v/>
      </c>
      <c r="AK105" s="144">
        <f>IF($C105="","",IF(ISNUMBER($AD105)*ISNUMBER($N105)*($AD105&lt;&gt;0)=0,"",$N105/$AD105))</f>
        <v/>
      </c>
      <c r="AL105" s="143">
        <f>IF($C105="","",IF(ISNUMBER($AD105)*($AD105&lt;&gt;0)=0,"",$M105/$AD105))</f>
        <v/>
      </c>
      <c r="AM105" s="37">
        <f>IF($C105="","",IF(ISNUMBER($AE105)*ISNUMBER($AI105)=0,"",IF($AI105&gt;$AE105+0.05,"rising",IF($AI105&lt;$AE105-0.05,"falling","stable"))))</f>
        <v/>
      </c>
      <c r="AN105" s="145">
        <f>IF($C105="","",IF(PULL_FUND="N","",IF(COUNTIFS('Fund History'!$G$566:$G$570,"&gt;="&amp;DATE(YEAR_Y-4,1,1),'Fund History'!$G$566:$G$570,"&lt;="&amp;DATE(YEAR_Y-4,12,31))=0,"",SUMIFS('Fund History'!$H$566:$H$570,'Fund History'!$G$566:$G$570,"&gt;="&amp;DATE(YEAR_Y-4,1,1),'Fund History'!$G$566:$G$570,"&lt;="&amp;DATE(YEAR_Y-4,12,31))/100)))</f>
        <v/>
      </c>
      <c r="AO105" s="146">
        <f>IF($C105="","",IF(PULL_FUND="N","",IF(COUNTIFS('Fund History'!$G$566:$G$570,"&gt;="&amp;DATE(YEAR_Y-3,1,1),'Fund History'!$G$566:$G$570,"&lt;="&amp;DATE(YEAR_Y-3,12,31))=0,"",SUMIFS('Fund History'!$H$566:$H$570,'Fund History'!$G$566:$G$570,"&gt;="&amp;DATE(YEAR_Y-3,1,1),'Fund History'!$G$566:$G$570,"&lt;="&amp;DATE(YEAR_Y-3,12,31))/100)))</f>
        <v/>
      </c>
      <c r="AP105" s="146">
        <f>IF($C105="","",IF(PULL_FUND="N","",IF(COUNTIFS('Fund History'!$G$566:$G$570,"&gt;="&amp;DATE(YEAR_Y-2,1,1),'Fund History'!$G$566:$G$570,"&lt;="&amp;DATE(YEAR_Y-2,12,31))=0,"",SUMIFS('Fund History'!$H$566:$H$570,'Fund History'!$G$566:$G$570,"&gt;="&amp;DATE(YEAR_Y-2,1,1),'Fund History'!$G$566:$G$570,"&lt;="&amp;DATE(YEAR_Y-2,12,31))/100)))</f>
        <v/>
      </c>
      <c r="AQ105" s="146">
        <f>IF($C105="","",IF(PULL_FUND="N","",IF(COUNTIFS('Fund History'!$G$566:$G$570,"&gt;="&amp;DATE(YEAR_Y-1,1,1),'Fund History'!$G$566:$G$570,"&lt;="&amp;DATE(YEAR_Y-1,12,31))=0,"",SUMIFS('Fund History'!$H$566:$H$570,'Fund History'!$G$566:$G$570,"&gt;="&amp;DATE(YEAR_Y-1,1,1),'Fund History'!$G$566:$G$570,"&lt;="&amp;DATE(YEAR_Y-1,12,31))/100)))</f>
        <v/>
      </c>
      <c r="AR105" s="147">
        <f>IF($C105="","",IF(N($AQ105)+N(HSI!$I$100)=0,"",N($AQ105)+N(HSI!$I$100)/100))</f>
        <v/>
      </c>
      <c r="AS105" s="139">
        <f>IF($C105="","",IF(PULL_FUND="N","",IF(COUNTIFS('Fund History'!$D$566:$D$570,"&gt;="&amp;DATE(YEAR_Y-2,1,1),'Fund History'!$D$566:$D$570,"&lt;="&amp;DATE(YEAR_Y-2,12,31))=0,"",SUMIFS('Fund History'!$E$566:$E$570,'Fund History'!$D$566:$D$570,"&gt;="&amp;DATE(YEAR_Y-2,1,1),'Fund History'!$D$566:$D$570,"&lt;="&amp;DATE(YEAR_Y-2,12,31)))))</f>
        <v/>
      </c>
      <c r="AT105" s="140">
        <f>IF($C105="","",IF(PULL_FUND="N","",IF(COUNTIFS('Fund History'!$D$566:$D$570,"&gt;="&amp;DATE(YEAR_Y-1,1,1),'Fund History'!$D$566:$D$570,"&lt;="&amp;DATE(YEAR_Y-1,12,31))=0,"",SUMIFS('Fund History'!$E$566:$E$570,'Fund History'!$D$566:$D$570,"&gt;="&amp;DATE(YEAR_Y-1,1,1),'Fund History'!$D$566:$D$570,"&lt;="&amp;DATE(YEAR_Y-1,12,31)))))</f>
        <v/>
      </c>
      <c r="AU105" s="140">
        <f>IF($C105="","",IF(PULL_FUND="N","",IFERROR(BDP($C105,NDEBITDA_FIELD),"")))</f>
        <v/>
      </c>
      <c r="AV105" s="148">
        <f>IF($C105="","",IF(PULL_FUND="N","",IFERROR(BDP($C105,EBINT_FIELD),"")))</f>
        <v/>
      </c>
      <c r="AW105" s="146">
        <f>IF($C105="","",IF(PULL_FUND="N","",IFERROR(BDP($C105,FCF_FIELD)/100,"")))</f>
        <v/>
      </c>
      <c r="AX105" s="126">
        <f>IF($C105="","",IF(N($U105)=0,"",IFERROR($AW105/$U105,"")))</f>
        <v/>
      </c>
      <c r="AY105" s="85">
        <f>IF($C105="","",TRIM(IF(ISNUMBER($AJ105)*(N($AJ105)&gt;$D$4)&gt;0,"payout high  ","")&amp;IF(ISNUMBER($AX105)*(N($AX105)&lt;$F$4)&gt;0,"FCF below dvd  ","")&amp;IF(ISNUMBER($AU105)*(N($AU105)&gt;$H$4)&gt;0,"leverage high","")))</f>
        <v/>
      </c>
      <c r="AZ105" s="86">
        <f>IF($C105="","",IF(HSI!$F$100="HKD","",HSI!$F$100))</f>
        <v/>
      </c>
    </row>
    <row r="106">
      <c r="B106" s="66" t="inlineStr">
        <is>
          <t>HSI</t>
        </is>
      </c>
      <c r="C106" s="8">
        <f>IF(HSI!$C$101="","",HSI!$C$101)</f>
        <v/>
      </c>
      <c r="D106" s="8">
        <f>IF($C106="","",HSI!$D$101)</f>
        <v/>
      </c>
      <c r="E106" s="8">
        <f>IF($C106="","",HSI!$E$101)</f>
        <v/>
      </c>
      <c r="F106" s="131">
        <f>IF($C106="","",SUMPRODUCT(('Dvd Calendar'!$E$1045:$AR$1045&gt;=DATE(YEAR_Y-5,1,1))*('Dvd Calendar'!$E$1045:$AR$1045&lt;=DATE(YEAR_Y-5,12,31))*'Dvd Calendar'!$E$1048:$AR$1048*(('Dvd Calendar'!$E$1050:$AR$1050=TYPE1)*(TYPE1&lt;&gt;"")+('Dvd Calendar'!$E$1050:$AR$1050=TYPE2)*(TYPE2&lt;&gt;"")+('Dvd Calendar'!$E$1050:$AR$1050=TYPE3)*(TYPE3&lt;&gt;"")+('Dvd Calendar'!$E$1050:$AR$1050=TYPE4)*(TYPE4&lt;&gt;"")+('Dvd Calendar'!$E$1050:$AR$1050=SPECIAL_LBL)*(INC_SPECIALS="Y"))))</f>
        <v/>
      </c>
      <c r="G106" s="132">
        <f>IF($C106="","",SUMPRODUCT(('Dvd Calendar'!$E$1045:$AR$1045&gt;=DATE(YEAR_Y-4,1,1))*('Dvd Calendar'!$E$1045:$AR$1045&lt;=DATE(YEAR_Y-4,12,31))*'Dvd Calendar'!$E$1048:$AR$1048*(('Dvd Calendar'!$E$1050:$AR$1050=TYPE1)*(TYPE1&lt;&gt;"")+('Dvd Calendar'!$E$1050:$AR$1050=TYPE2)*(TYPE2&lt;&gt;"")+('Dvd Calendar'!$E$1050:$AR$1050=TYPE3)*(TYPE3&lt;&gt;"")+('Dvd Calendar'!$E$1050:$AR$1050=TYPE4)*(TYPE4&lt;&gt;"")+('Dvd Calendar'!$E$1050:$AR$1050=SPECIAL_LBL)*(INC_SPECIALS="Y"))))</f>
        <v/>
      </c>
      <c r="H106" s="132">
        <f>IF($C106="","",SUMPRODUCT(('Dvd Calendar'!$E$1045:$AR$1045&gt;=DATE(YEAR_Y-3,1,1))*('Dvd Calendar'!$E$1045:$AR$1045&lt;=DATE(YEAR_Y-3,12,31))*'Dvd Calendar'!$E$1048:$AR$1048*(('Dvd Calendar'!$E$1050:$AR$1050=TYPE1)*(TYPE1&lt;&gt;"")+('Dvd Calendar'!$E$1050:$AR$1050=TYPE2)*(TYPE2&lt;&gt;"")+('Dvd Calendar'!$E$1050:$AR$1050=TYPE3)*(TYPE3&lt;&gt;"")+('Dvd Calendar'!$E$1050:$AR$1050=TYPE4)*(TYPE4&lt;&gt;"")+('Dvd Calendar'!$E$1050:$AR$1050=SPECIAL_LBL)*(INC_SPECIALS="Y"))))</f>
        <v/>
      </c>
      <c r="I106" s="132">
        <f>IF($C106="","",SUMPRODUCT(('Dvd Calendar'!$E$1045:$AR$1045&gt;=DATE(YEAR_Y-2,1,1))*('Dvd Calendar'!$E$1045:$AR$1045&lt;=DATE(YEAR_Y-2,12,31))*'Dvd Calendar'!$E$1048:$AR$1048*(('Dvd Calendar'!$E$1050:$AR$1050=TYPE1)*(TYPE1&lt;&gt;"")+('Dvd Calendar'!$E$1050:$AR$1050=TYPE2)*(TYPE2&lt;&gt;"")+('Dvd Calendar'!$E$1050:$AR$1050=TYPE3)*(TYPE3&lt;&gt;"")+('Dvd Calendar'!$E$1050:$AR$1050=TYPE4)*(TYPE4&lt;&gt;"")+('Dvd Calendar'!$E$1050:$AR$1050=SPECIAL_LBL)*(INC_SPECIALS="Y"))))</f>
        <v/>
      </c>
      <c r="J106" s="132">
        <f>IF($C106="","",SUMPRODUCT(('Dvd Calendar'!$E$1045:$AR$1045&gt;=DATE(YEAR_Y-1,1,1))*('Dvd Calendar'!$E$1045:$AR$1045&lt;=DATE(YEAR_Y-1,12,31))*'Dvd Calendar'!$E$1048:$AR$1048*(('Dvd Calendar'!$E$1050:$AR$1050=TYPE1)*(TYPE1&lt;&gt;"")+('Dvd Calendar'!$E$1050:$AR$1050=TYPE2)*(TYPE2&lt;&gt;"")+('Dvd Calendar'!$E$1050:$AR$1050=TYPE3)*(TYPE3&lt;&gt;"")+('Dvd Calendar'!$E$1050:$AR$1050=TYPE4)*(TYPE4&lt;&gt;"")+('Dvd Calendar'!$E$1050:$AR$1050=SPECIAL_LBL)*(INC_SPECIALS="Y"))))</f>
        <v/>
      </c>
      <c r="K106" s="133">
        <f>IF($C106="","",HSI!$J$101)</f>
        <v/>
      </c>
      <c r="L106" s="133">
        <f>IF($C106="","",HSI!$K$101)</f>
        <v/>
      </c>
      <c r="M106" s="124">
        <f>IF($C106="","",HSI!$J$101+HSI!$L$101)</f>
        <v/>
      </c>
      <c r="N106" s="134">
        <f>IF($C106="","",IF(PULL_FUND="N","",IFERROR(BDP($C106,BESTDPS_FIELD,FWD_OVERRIDE,TEXT(MOD(YEAR_Y,100),"00")&amp;"Y"),"")))</f>
        <v/>
      </c>
      <c r="O106" s="133">
        <f>IF($C106="","",AVERAGE(F106:J106))</f>
        <v/>
      </c>
      <c r="P106" s="135">
        <f>IF($C106="","",IF(PULL_FUND="N","",IF(COUNTIFS('Fund History'!$J$572:$J$576,"&gt;="&amp;DATE(YEAR_Y-5,1,1),'Fund History'!$J$572:$J$576,"&lt;="&amp;DATE(YEAR_Y-5,12,31))=0,"",IFERROR($F106*HSI!$G$101/SUMIFS('Fund History'!$K$572:$K$576,'Fund History'!$J$572:$J$576,"&gt;="&amp;DATE(YEAR_Y-5,1,1),'Fund History'!$J$572:$J$576,"&lt;="&amp;DATE(YEAR_Y-5,12,31)),""))))</f>
        <v/>
      </c>
      <c r="Q106" s="136">
        <f>IF($C106="","",IF(PULL_FUND="N","",IF(COUNTIFS('Fund History'!$J$572:$J$576,"&gt;="&amp;DATE(YEAR_Y-4,1,1),'Fund History'!$J$572:$J$576,"&lt;="&amp;DATE(YEAR_Y-4,12,31))=0,"",IFERROR($G106*HSI!$G$101/SUMIFS('Fund History'!$K$572:$K$576,'Fund History'!$J$572:$J$576,"&gt;="&amp;DATE(YEAR_Y-4,1,1),'Fund History'!$J$572:$J$576,"&lt;="&amp;DATE(YEAR_Y-4,12,31)),""))))</f>
        <v/>
      </c>
      <c r="R106" s="136">
        <f>IF($C106="","",IF(PULL_FUND="N","",IF(COUNTIFS('Fund History'!$J$572:$J$576,"&gt;="&amp;DATE(YEAR_Y-3,1,1),'Fund History'!$J$572:$J$576,"&lt;="&amp;DATE(YEAR_Y-3,12,31))=0,"",IFERROR($H106*HSI!$G$101/SUMIFS('Fund History'!$K$572:$K$576,'Fund History'!$J$572:$J$576,"&gt;="&amp;DATE(YEAR_Y-3,1,1),'Fund History'!$J$572:$J$576,"&lt;="&amp;DATE(YEAR_Y-3,12,31)),""))))</f>
        <v/>
      </c>
      <c r="S106" s="136">
        <f>IF($C106="","",IF(PULL_FUND="N","",IF(COUNTIFS('Fund History'!$J$572:$J$576,"&gt;="&amp;DATE(YEAR_Y-2,1,1),'Fund History'!$J$572:$J$576,"&lt;="&amp;DATE(YEAR_Y-2,12,31))=0,"",IFERROR($I106*HSI!$G$101/SUMIFS('Fund History'!$K$572:$K$576,'Fund History'!$J$572:$J$576,"&gt;="&amp;DATE(YEAR_Y-2,1,1),'Fund History'!$J$572:$J$576,"&lt;="&amp;DATE(YEAR_Y-2,12,31)),""))))</f>
        <v/>
      </c>
      <c r="T106" s="136">
        <f>IF($C106="","",IF(PULL_FUND="N","",IF(COUNTIFS('Fund History'!$J$572:$J$576,"&gt;="&amp;DATE(YEAR_Y-1,1,1),'Fund History'!$J$572:$J$576,"&lt;="&amp;DATE(YEAR_Y-1,12,31))=0,"",IFERROR($J106*HSI!$G$101/SUMIFS('Fund History'!$K$572:$K$576,'Fund History'!$J$572:$J$576,"&gt;="&amp;DATE(YEAR_Y-1,1,1),'Fund History'!$J$572:$J$576,"&lt;="&amp;DATE(YEAR_Y-1,12,31)),""))))</f>
        <v/>
      </c>
      <c r="U106" s="137">
        <f>IF($C106="","",IF(ISNUMBER(HSI!$I$101),HSI!$I$101/100,""))</f>
        <v/>
      </c>
      <c r="V106" s="138">
        <f>IF($C106="","",IF(ISNUMBER(HSI!$X$101),IFERROR($M106*HSI!$G$101/HSI!$X$101,""),""))</f>
        <v/>
      </c>
      <c r="W106" s="137">
        <f>IF($C106="","",IF(ISNUMBER($N106),IFERROR($N106*HSI!$G$101/HSI!$X$101,""),""))</f>
        <v/>
      </c>
      <c r="X106" s="139">
        <f>IF($C106="","",IF(PULL_FUND="N","",IFERROR(BDP($C106,EPS_FIELD,YR_OVERRIDE,TEXT(YEAR_Y-5,"0")),"")))</f>
        <v/>
      </c>
      <c r="Y106" s="140">
        <f>IF($C106="","",IF(PULL_FUND="N","",IFERROR(BDP($C106,EPS_FIELD,YR_OVERRIDE,TEXT(YEAR_Y-4,"0")),"")))</f>
        <v/>
      </c>
      <c r="Z106" s="140">
        <f>IF($C106="","",IF(PULL_FUND="N","",IFERROR(BDP($C106,EPS_FIELD,YR_OVERRIDE,TEXT(YEAR_Y-3,"0")),"")))</f>
        <v/>
      </c>
      <c r="AA106" s="140">
        <f>IF($C106="","",IF(PULL_FUND="N","",IFERROR(BDP($C106,EPS_FIELD,YR_OVERRIDE,TEXT(YEAR_Y-2,"0")),"")))</f>
        <v/>
      </c>
      <c r="AB106" s="140">
        <f>IF($C106="","",IF(PULL_FUND="N","",IFERROR(BDP($C106,EPS_FIELD,YR_OVERRIDE,TEXT(YEAR_Y-1,"0")),"")))</f>
        <v/>
      </c>
      <c r="AC106" s="126">
        <f>IF($C106="","",IFERROR(AVERAGE(X106:AB106),""))</f>
        <v/>
      </c>
      <c r="AD106" s="140">
        <f>IF($C106="","",IF(PULL_FUND="N","",IFERROR(BDP($C106,BESTEPS_FIELD,FWD_OVERRIDE,TEXT(MOD(YEAR_Y,100),"00")&amp;"Y"),"")))</f>
        <v/>
      </c>
      <c r="AE106" s="141">
        <f>IF($C106="","",IF(PULL_FUND="N","",IFERROR(BDP($C106,PAYOUT_FIELD,YR_OVERRIDE,TEXT(YEAR_Y-5,"0"))/100,"")))</f>
        <v/>
      </c>
      <c r="AF106" s="142">
        <f>IF($C106="","",IF(PULL_FUND="N","",IFERROR(BDP($C106,PAYOUT_FIELD,YR_OVERRIDE,TEXT(YEAR_Y-4,"0"))/100,"")))</f>
        <v/>
      </c>
      <c r="AG106" s="142">
        <f>IF($C106="","",IF(PULL_FUND="N","",IFERROR(BDP($C106,PAYOUT_FIELD,YR_OVERRIDE,TEXT(YEAR_Y-3,"0"))/100,"")))</f>
        <v/>
      </c>
      <c r="AH106" s="142">
        <f>IF($C106="","",IF(PULL_FUND="N","",IFERROR(BDP($C106,PAYOUT_FIELD,YR_OVERRIDE,TEXT(YEAR_Y-2,"0"))/100,"")))</f>
        <v/>
      </c>
      <c r="AI106" s="142">
        <f>IF($C106="","",IF(PULL_FUND="N","",IFERROR(BDP($C106,PAYOUT_FIELD,YR_OVERRIDE,TEXT(YEAR_Y-1,"0"))/100,"")))</f>
        <v/>
      </c>
      <c r="AJ106" s="143">
        <f>IF($C106="","",IFERROR(AVERAGE(AE106:AI106),""))</f>
        <v/>
      </c>
      <c r="AK106" s="144">
        <f>IF($C106="","",IF(ISNUMBER($AD106)*ISNUMBER($N106)*($AD106&lt;&gt;0)=0,"",$N106/$AD106))</f>
        <v/>
      </c>
      <c r="AL106" s="143">
        <f>IF($C106="","",IF(ISNUMBER($AD106)*($AD106&lt;&gt;0)=0,"",$M106/$AD106))</f>
        <v/>
      </c>
      <c r="AM106" s="37">
        <f>IF($C106="","",IF(ISNUMBER($AE106)*ISNUMBER($AI106)=0,"",IF($AI106&gt;$AE106+0.05,"rising",IF($AI106&lt;$AE106-0.05,"falling","stable"))))</f>
        <v/>
      </c>
      <c r="AN106" s="145">
        <f>IF($C106="","",IF(PULL_FUND="N","",IF(COUNTIFS('Fund History'!$G$572:$G$576,"&gt;="&amp;DATE(YEAR_Y-4,1,1),'Fund History'!$G$572:$G$576,"&lt;="&amp;DATE(YEAR_Y-4,12,31))=0,"",SUMIFS('Fund History'!$H$572:$H$576,'Fund History'!$G$572:$G$576,"&gt;="&amp;DATE(YEAR_Y-4,1,1),'Fund History'!$G$572:$G$576,"&lt;="&amp;DATE(YEAR_Y-4,12,31))/100)))</f>
        <v/>
      </c>
      <c r="AO106" s="146">
        <f>IF($C106="","",IF(PULL_FUND="N","",IF(COUNTIFS('Fund History'!$G$572:$G$576,"&gt;="&amp;DATE(YEAR_Y-3,1,1),'Fund History'!$G$572:$G$576,"&lt;="&amp;DATE(YEAR_Y-3,12,31))=0,"",SUMIFS('Fund History'!$H$572:$H$576,'Fund History'!$G$572:$G$576,"&gt;="&amp;DATE(YEAR_Y-3,1,1),'Fund History'!$G$572:$G$576,"&lt;="&amp;DATE(YEAR_Y-3,12,31))/100)))</f>
        <v/>
      </c>
      <c r="AP106" s="146">
        <f>IF($C106="","",IF(PULL_FUND="N","",IF(COUNTIFS('Fund History'!$G$572:$G$576,"&gt;="&amp;DATE(YEAR_Y-2,1,1),'Fund History'!$G$572:$G$576,"&lt;="&amp;DATE(YEAR_Y-2,12,31))=0,"",SUMIFS('Fund History'!$H$572:$H$576,'Fund History'!$G$572:$G$576,"&gt;="&amp;DATE(YEAR_Y-2,1,1),'Fund History'!$G$572:$G$576,"&lt;="&amp;DATE(YEAR_Y-2,12,31))/100)))</f>
        <v/>
      </c>
      <c r="AQ106" s="146">
        <f>IF($C106="","",IF(PULL_FUND="N","",IF(COUNTIFS('Fund History'!$G$572:$G$576,"&gt;="&amp;DATE(YEAR_Y-1,1,1),'Fund History'!$G$572:$G$576,"&lt;="&amp;DATE(YEAR_Y-1,12,31))=0,"",SUMIFS('Fund History'!$H$572:$H$576,'Fund History'!$G$572:$G$576,"&gt;="&amp;DATE(YEAR_Y-1,1,1),'Fund History'!$G$572:$G$576,"&lt;="&amp;DATE(YEAR_Y-1,12,31))/100)))</f>
        <v/>
      </c>
      <c r="AR106" s="147">
        <f>IF($C106="","",IF(N($AQ106)+N(HSI!$I$101)=0,"",N($AQ106)+N(HSI!$I$101)/100))</f>
        <v/>
      </c>
      <c r="AS106" s="139">
        <f>IF($C106="","",IF(PULL_FUND="N","",IF(COUNTIFS('Fund History'!$D$572:$D$576,"&gt;="&amp;DATE(YEAR_Y-2,1,1),'Fund History'!$D$572:$D$576,"&lt;="&amp;DATE(YEAR_Y-2,12,31))=0,"",SUMIFS('Fund History'!$E$572:$E$576,'Fund History'!$D$572:$D$576,"&gt;="&amp;DATE(YEAR_Y-2,1,1),'Fund History'!$D$572:$D$576,"&lt;="&amp;DATE(YEAR_Y-2,12,31)))))</f>
        <v/>
      </c>
      <c r="AT106" s="140">
        <f>IF($C106="","",IF(PULL_FUND="N","",IF(COUNTIFS('Fund History'!$D$572:$D$576,"&gt;="&amp;DATE(YEAR_Y-1,1,1),'Fund History'!$D$572:$D$576,"&lt;="&amp;DATE(YEAR_Y-1,12,31))=0,"",SUMIFS('Fund History'!$E$572:$E$576,'Fund History'!$D$572:$D$576,"&gt;="&amp;DATE(YEAR_Y-1,1,1),'Fund History'!$D$572:$D$576,"&lt;="&amp;DATE(YEAR_Y-1,12,31)))))</f>
        <v/>
      </c>
      <c r="AU106" s="140">
        <f>IF($C106="","",IF(PULL_FUND="N","",IFERROR(BDP($C106,NDEBITDA_FIELD),"")))</f>
        <v/>
      </c>
      <c r="AV106" s="148">
        <f>IF($C106="","",IF(PULL_FUND="N","",IFERROR(BDP($C106,EBINT_FIELD),"")))</f>
        <v/>
      </c>
      <c r="AW106" s="146">
        <f>IF($C106="","",IF(PULL_FUND="N","",IFERROR(BDP($C106,FCF_FIELD)/100,"")))</f>
        <v/>
      </c>
      <c r="AX106" s="126">
        <f>IF($C106="","",IF(N($U106)=0,"",IFERROR($AW106/$U106,"")))</f>
        <v/>
      </c>
      <c r="AY106" s="85">
        <f>IF($C106="","",TRIM(IF(ISNUMBER($AJ106)*(N($AJ106)&gt;$D$4)&gt;0,"payout high  ","")&amp;IF(ISNUMBER($AX106)*(N($AX106)&lt;$F$4)&gt;0,"FCF below dvd  ","")&amp;IF(ISNUMBER($AU106)*(N($AU106)&gt;$H$4)&gt;0,"leverage high","")))</f>
        <v/>
      </c>
      <c r="AZ106" s="86">
        <f>IF($C106="","",IF(HSI!$F$101="HKD","",HSI!$F$101))</f>
        <v/>
      </c>
    </row>
    <row r="107">
      <c r="B107" s="66" t="inlineStr">
        <is>
          <t>HSI</t>
        </is>
      </c>
      <c r="C107" s="8">
        <f>IF(HSI!$C$102="","",HSI!$C$102)</f>
        <v/>
      </c>
      <c r="D107" s="8">
        <f>IF($C107="","",HSI!$D$102)</f>
        <v/>
      </c>
      <c r="E107" s="8">
        <f>IF($C107="","",HSI!$E$102)</f>
        <v/>
      </c>
      <c r="F107" s="131">
        <f>IF($C107="","",SUMPRODUCT(('Dvd Calendar'!$E$1056:$AR$1056&gt;=DATE(YEAR_Y-5,1,1))*('Dvd Calendar'!$E$1056:$AR$1056&lt;=DATE(YEAR_Y-5,12,31))*'Dvd Calendar'!$E$1059:$AR$1059*(('Dvd Calendar'!$E$1061:$AR$1061=TYPE1)*(TYPE1&lt;&gt;"")+('Dvd Calendar'!$E$1061:$AR$1061=TYPE2)*(TYPE2&lt;&gt;"")+('Dvd Calendar'!$E$1061:$AR$1061=TYPE3)*(TYPE3&lt;&gt;"")+('Dvd Calendar'!$E$1061:$AR$1061=TYPE4)*(TYPE4&lt;&gt;"")+('Dvd Calendar'!$E$1061:$AR$1061=SPECIAL_LBL)*(INC_SPECIALS="Y"))))</f>
        <v/>
      </c>
      <c r="G107" s="132">
        <f>IF($C107="","",SUMPRODUCT(('Dvd Calendar'!$E$1056:$AR$1056&gt;=DATE(YEAR_Y-4,1,1))*('Dvd Calendar'!$E$1056:$AR$1056&lt;=DATE(YEAR_Y-4,12,31))*'Dvd Calendar'!$E$1059:$AR$1059*(('Dvd Calendar'!$E$1061:$AR$1061=TYPE1)*(TYPE1&lt;&gt;"")+('Dvd Calendar'!$E$1061:$AR$1061=TYPE2)*(TYPE2&lt;&gt;"")+('Dvd Calendar'!$E$1061:$AR$1061=TYPE3)*(TYPE3&lt;&gt;"")+('Dvd Calendar'!$E$1061:$AR$1061=TYPE4)*(TYPE4&lt;&gt;"")+('Dvd Calendar'!$E$1061:$AR$1061=SPECIAL_LBL)*(INC_SPECIALS="Y"))))</f>
        <v/>
      </c>
      <c r="H107" s="132">
        <f>IF($C107="","",SUMPRODUCT(('Dvd Calendar'!$E$1056:$AR$1056&gt;=DATE(YEAR_Y-3,1,1))*('Dvd Calendar'!$E$1056:$AR$1056&lt;=DATE(YEAR_Y-3,12,31))*'Dvd Calendar'!$E$1059:$AR$1059*(('Dvd Calendar'!$E$1061:$AR$1061=TYPE1)*(TYPE1&lt;&gt;"")+('Dvd Calendar'!$E$1061:$AR$1061=TYPE2)*(TYPE2&lt;&gt;"")+('Dvd Calendar'!$E$1061:$AR$1061=TYPE3)*(TYPE3&lt;&gt;"")+('Dvd Calendar'!$E$1061:$AR$1061=TYPE4)*(TYPE4&lt;&gt;"")+('Dvd Calendar'!$E$1061:$AR$1061=SPECIAL_LBL)*(INC_SPECIALS="Y"))))</f>
        <v/>
      </c>
      <c r="I107" s="132">
        <f>IF($C107="","",SUMPRODUCT(('Dvd Calendar'!$E$1056:$AR$1056&gt;=DATE(YEAR_Y-2,1,1))*('Dvd Calendar'!$E$1056:$AR$1056&lt;=DATE(YEAR_Y-2,12,31))*'Dvd Calendar'!$E$1059:$AR$1059*(('Dvd Calendar'!$E$1061:$AR$1061=TYPE1)*(TYPE1&lt;&gt;"")+('Dvd Calendar'!$E$1061:$AR$1061=TYPE2)*(TYPE2&lt;&gt;"")+('Dvd Calendar'!$E$1061:$AR$1061=TYPE3)*(TYPE3&lt;&gt;"")+('Dvd Calendar'!$E$1061:$AR$1061=TYPE4)*(TYPE4&lt;&gt;"")+('Dvd Calendar'!$E$1061:$AR$1061=SPECIAL_LBL)*(INC_SPECIALS="Y"))))</f>
        <v/>
      </c>
      <c r="J107" s="132">
        <f>IF($C107="","",SUMPRODUCT(('Dvd Calendar'!$E$1056:$AR$1056&gt;=DATE(YEAR_Y-1,1,1))*('Dvd Calendar'!$E$1056:$AR$1056&lt;=DATE(YEAR_Y-1,12,31))*'Dvd Calendar'!$E$1059:$AR$1059*(('Dvd Calendar'!$E$1061:$AR$1061=TYPE1)*(TYPE1&lt;&gt;"")+('Dvd Calendar'!$E$1061:$AR$1061=TYPE2)*(TYPE2&lt;&gt;"")+('Dvd Calendar'!$E$1061:$AR$1061=TYPE3)*(TYPE3&lt;&gt;"")+('Dvd Calendar'!$E$1061:$AR$1061=TYPE4)*(TYPE4&lt;&gt;"")+('Dvd Calendar'!$E$1061:$AR$1061=SPECIAL_LBL)*(INC_SPECIALS="Y"))))</f>
        <v/>
      </c>
      <c r="K107" s="133">
        <f>IF($C107="","",HSI!$J$102)</f>
        <v/>
      </c>
      <c r="L107" s="133">
        <f>IF($C107="","",HSI!$K$102)</f>
        <v/>
      </c>
      <c r="M107" s="124">
        <f>IF($C107="","",HSI!$J$102+HSI!$L$102)</f>
        <v/>
      </c>
      <c r="N107" s="134">
        <f>IF($C107="","",IF(PULL_FUND="N","",IFERROR(BDP($C107,BESTDPS_FIELD,FWD_OVERRIDE,TEXT(MOD(YEAR_Y,100),"00")&amp;"Y"),"")))</f>
        <v/>
      </c>
      <c r="O107" s="133">
        <f>IF($C107="","",AVERAGE(F107:J107))</f>
        <v/>
      </c>
      <c r="P107" s="135">
        <f>IF($C107="","",IF(PULL_FUND="N","",IF(COUNTIFS('Fund History'!$J$578:$J$582,"&gt;="&amp;DATE(YEAR_Y-5,1,1),'Fund History'!$J$578:$J$582,"&lt;="&amp;DATE(YEAR_Y-5,12,31))=0,"",IFERROR($F107*HSI!$G$102/SUMIFS('Fund History'!$K$578:$K$582,'Fund History'!$J$578:$J$582,"&gt;="&amp;DATE(YEAR_Y-5,1,1),'Fund History'!$J$578:$J$582,"&lt;="&amp;DATE(YEAR_Y-5,12,31)),""))))</f>
        <v/>
      </c>
      <c r="Q107" s="136">
        <f>IF($C107="","",IF(PULL_FUND="N","",IF(COUNTIFS('Fund History'!$J$578:$J$582,"&gt;="&amp;DATE(YEAR_Y-4,1,1),'Fund History'!$J$578:$J$582,"&lt;="&amp;DATE(YEAR_Y-4,12,31))=0,"",IFERROR($G107*HSI!$G$102/SUMIFS('Fund History'!$K$578:$K$582,'Fund History'!$J$578:$J$582,"&gt;="&amp;DATE(YEAR_Y-4,1,1),'Fund History'!$J$578:$J$582,"&lt;="&amp;DATE(YEAR_Y-4,12,31)),""))))</f>
        <v/>
      </c>
      <c r="R107" s="136">
        <f>IF($C107="","",IF(PULL_FUND="N","",IF(COUNTIFS('Fund History'!$J$578:$J$582,"&gt;="&amp;DATE(YEAR_Y-3,1,1),'Fund History'!$J$578:$J$582,"&lt;="&amp;DATE(YEAR_Y-3,12,31))=0,"",IFERROR($H107*HSI!$G$102/SUMIFS('Fund History'!$K$578:$K$582,'Fund History'!$J$578:$J$582,"&gt;="&amp;DATE(YEAR_Y-3,1,1),'Fund History'!$J$578:$J$582,"&lt;="&amp;DATE(YEAR_Y-3,12,31)),""))))</f>
        <v/>
      </c>
      <c r="S107" s="136">
        <f>IF($C107="","",IF(PULL_FUND="N","",IF(COUNTIFS('Fund History'!$J$578:$J$582,"&gt;="&amp;DATE(YEAR_Y-2,1,1),'Fund History'!$J$578:$J$582,"&lt;="&amp;DATE(YEAR_Y-2,12,31))=0,"",IFERROR($I107*HSI!$G$102/SUMIFS('Fund History'!$K$578:$K$582,'Fund History'!$J$578:$J$582,"&gt;="&amp;DATE(YEAR_Y-2,1,1),'Fund History'!$J$578:$J$582,"&lt;="&amp;DATE(YEAR_Y-2,12,31)),""))))</f>
        <v/>
      </c>
      <c r="T107" s="136">
        <f>IF($C107="","",IF(PULL_FUND="N","",IF(COUNTIFS('Fund History'!$J$578:$J$582,"&gt;="&amp;DATE(YEAR_Y-1,1,1),'Fund History'!$J$578:$J$582,"&lt;="&amp;DATE(YEAR_Y-1,12,31))=0,"",IFERROR($J107*HSI!$G$102/SUMIFS('Fund History'!$K$578:$K$582,'Fund History'!$J$578:$J$582,"&gt;="&amp;DATE(YEAR_Y-1,1,1),'Fund History'!$J$578:$J$582,"&lt;="&amp;DATE(YEAR_Y-1,12,31)),""))))</f>
        <v/>
      </c>
      <c r="U107" s="137">
        <f>IF($C107="","",IF(ISNUMBER(HSI!$I$102),HSI!$I$102/100,""))</f>
        <v/>
      </c>
      <c r="V107" s="138">
        <f>IF($C107="","",IF(ISNUMBER(HSI!$X$102),IFERROR($M107*HSI!$G$102/HSI!$X$102,""),""))</f>
        <v/>
      </c>
      <c r="W107" s="137">
        <f>IF($C107="","",IF(ISNUMBER($N107),IFERROR($N107*HSI!$G$102/HSI!$X$102,""),""))</f>
        <v/>
      </c>
      <c r="X107" s="139">
        <f>IF($C107="","",IF(PULL_FUND="N","",IFERROR(BDP($C107,EPS_FIELD,YR_OVERRIDE,TEXT(YEAR_Y-5,"0")),"")))</f>
        <v/>
      </c>
      <c r="Y107" s="140">
        <f>IF($C107="","",IF(PULL_FUND="N","",IFERROR(BDP($C107,EPS_FIELD,YR_OVERRIDE,TEXT(YEAR_Y-4,"0")),"")))</f>
        <v/>
      </c>
      <c r="Z107" s="140">
        <f>IF($C107="","",IF(PULL_FUND="N","",IFERROR(BDP($C107,EPS_FIELD,YR_OVERRIDE,TEXT(YEAR_Y-3,"0")),"")))</f>
        <v/>
      </c>
      <c r="AA107" s="140">
        <f>IF($C107="","",IF(PULL_FUND="N","",IFERROR(BDP($C107,EPS_FIELD,YR_OVERRIDE,TEXT(YEAR_Y-2,"0")),"")))</f>
        <v/>
      </c>
      <c r="AB107" s="140">
        <f>IF($C107="","",IF(PULL_FUND="N","",IFERROR(BDP($C107,EPS_FIELD,YR_OVERRIDE,TEXT(YEAR_Y-1,"0")),"")))</f>
        <v/>
      </c>
      <c r="AC107" s="126">
        <f>IF($C107="","",IFERROR(AVERAGE(X107:AB107),""))</f>
        <v/>
      </c>
      <c r="AD107" s="140">
        <f>IF($C107="","",IF(PULL_FUND="N","",IFERROR(BDP($C107,BESTEPS_FIELD,FWD_OVERRIDE,TEXT(MOD(YEAR_Y,100),"00")&amp;"Y"),"")))</f>
        <v/>
      </c>
      <c r="AE107" s="141">
        <f>IF($C107="","",IF(PULL_FUND="N","",IFERROR(BDP($C107,PAYOUT_FIELD,YR_OVERRIDE,TEXT(YEAR_Y-5,"0"))/100,"")))</f>
        <v/>
      </c>
      <c r="AF107" s="142">
        <f>IF($C107="","",IF(PULL_FUND="N","",IFERROR(BDP($C107,PAYOUT_FIELD,YR_OVERRIDE,TEXT(YEAR_Y-4,"0"))/100,"")))</f>
        <v/>
      </c>
      <c r="AG107" s="142">
        <f>IF($C107="","",IF(PULL_FUND="N","",IFERROR(BDP($C107,PAYOUT_FIELD,YR_OVERRIDE,TEXT(YEAR_Y-3,"0"))/100,"")))</f>
        <v/>
      </c>
      <c r="AH107" s="142">
        <f>IF($C107="","",IF(PULL_FUND="N","",IFERROR(BDP($C107,PAYOUT_FIELD,YR_OVERRIDE,TEXT(YEAR_Y-2,"0"))/100,"")))</f>
        <v/>
      </c>
      <c r="AI107" s="142">
        <f>IF($C107="","",IF(PULL_FUND="N","",IFERROR(BDP($C107,PAYOUT_FIELD,YR_OVERRIDE,TEXT(YEAR_Y-1,"0"))/100,"")))</f>
        <v/>
      </c>
      <c r="AJ107" s="143">
        <f>IF($C107="","",IFERROR(AVERAGE(AE107:AI107),""))</f>
        <v/>
      </c>
      <c r="AK107" s="144">
        <f>IF($C107="","",IF(ISNUMBER($AD107)*ISNUMBER($N107)*($AD107&lt;&gt;0)=0,"",$N107/$AD107))</f>
        <v/>
      </c>
      <c r="AL107" s="143">
        <f>IF($C107="","",IF(ISNUMBER($AD107)*($AD107&lt;&gt;0)=0,"",$M107/$AD107))</f>
        <v/>
      </c>
      <c r="AM107" s="37">
        <f>IF($C107="","",IF(ISNUMBER($AE107)*ISNUMBER($AI107)=0,"",IF($AI107&gt;$AE107+0.05,"rising",IF($AI107&lt;$AE107-0.05,"falling","stable"))))</f>
        <v/>
      </c>
      <c r="AN107" s="145">
        <f>IF($C107="","",IF(PULL_FUND="N","",IF(COUNTIFS('Fund History'!$G$578:$G$582,"&gt;="&amp;DATE(YEAR_Y-4,1,1),'Fund History'!$G$578:$G$582,"&lt;="&amp;DATE(YEAR_Y-4,12,31))=0,"",SUMIFS('Fund History'!$H$578:$H$582,'Fund History'!$G$578:$G$582,"&gt;="&amp;DATE(YEAR_Y-4,1,1),'Fund History'!$G$578:$G$582,"&lt;="&amp;DATE(YEAR_Y-4,12,31))/100)))</f>
        <v/>
      </c>
      <c r="AO107" s="146">
        <f>IF($C107="","",IF(PULL_FUND="N","",IF(COUNTIFS('Fund History'!$G$578:$G$582,"&gt;="&amp;DATE(YEAR_Y-3,1,1),'Fund History'!$G$578:$G$582,"&lt;="&amp;DATE(YEAR_Y-3,12,31))=0,"",SUMIFS('Fund History'!$H$578:$H$582,'Fund History'!$G$578:$G$582,"&gt;="&amp;DATE(YEAR_Y-3,1,1),'Fund History'!$G$578:$G$582,"&lt;="&amp;DATE(YEAR_Y-3,12,31))/100)))</f>
        <v/>
      </c>
      <c r="AP107" s="146">
        <f>IF($C107="","",IF(PULL_FUND="N","",IF(COUNTIFS('Fund History'!$G$578:$G$582,"&gt;="&amp;DATE(YEAR_Y-2,1,1),'Fund History'!$G$578:$G$582,"&lt;="&amp;DATE(YEAR_Y-2,12,31))=0,"",SUMIFS('Fund History'!$H$578:$H$582,'Fund History'!$G$578:$G$582,"&gt;="&amp;DATE(YEAR_Y-2,1,1),'Fund History'!$G$578:$G$582,"&lt;="&amp;DATE(YEAR_Y-2,12,31))/100)))</f>
        <v/>
      </c>
      <c r="AQ107" s="146">
        <f>IF($C107="","",IF(PULL_FUND="N","",IF(COUNTIFS('Fund History'!$G$578:$G$582,"&gt;="&amp;DATE(YEAR_Y-1,1,1),'Fund History'!$G$578:$G$582,"&lt;="&amp;DATE(YEAR_Y-1,12,31))=0,"",SUMIFS('Fund History'!$H$578:$H$582,'Fund History'!$G$578:$G$582,"&gt;="&amp;DATE(YEAR_Y-1,1,1),'Fund History'!$G$578:$G$582,"&lt;="&amp;DATE(YEAR_Y-1,12,31))/100)))</f>
        <v/>
      </c>
      <c r="AR107" s="147">
        <f>IF($C107="","",IF(N($AQ107)+N(HSI!$I$102)=0,"",N($AQ107)+N(HSI!$I$102)/100))</f>
        <v/>
      </c>
      <c r="AS107" s="139">
        <f>IF($C107="","",IF(PULL_FUND="N","",IF(COUNTIFS('Fund History'!$D$578:$D$582,"&gt;="&amp;DATE(YEAR_Y-2,1,1),'Fund History'!$D$578:$D$582,"&lt;="&amp;DATE(YEAR_Y-2,12,31))=0,"",SUMIFS('Fund History'!$E$578:$E$582,'Fund History'!$D$578:$D$582,"&gt;="&amp;DATE(YEAR_Y-2,1,1),'Fund History'!$D$578:$D$582,"&lt;="&amp;DATE(YEAR_Y-2,12,31)))))</f>
        <v/>
      </c>
      <c r="AT107" s="140">
        <f>IF($C107="","",IF(PULL_FUND="N","",IF(COUNTIFS('Fund History'!$D$578:$D$582,"&gt;="&amp;DATE(YEAR_Y-1,1,1),'Fund History'!$D$578:$D$582,"&lt;="&amp;DATE(YEAR_Y-1,12,31))=0,"",SUMIFS('Fund History'!$E$578:$E$582,'Fund History'!$D$578:$D$582,"&gt;="&amp;DATE(YEAR_Y-1,1,1),'Fund History'!$D$578:$D$582,"&lt;="&amp;DATE(YEAR_Y-1,12,31)))))</f>
        <v/>
      </c>
      <c r="AU107" s="140">
        <f>IF($C107="","",IF(PULL_FUND="N","",IFERROR(BDP($C107,NDEBITDA_FIELD),"")))</f>
        <v/>
      </c>
      <c r="AV107" s="148">
        <f>IF($C107="","",IF(PULL_FUND="N","",IFERROR(BDP($C107,EBINT_FIELD),"")))</f>
        <v/>
      </c>
      <c r="AW107" s="146">
        <f>IF($C107="","",IF(PULL_FUND="N","",IFERROR(BDP($C107,FCF_FIELD)/100,"")))</f>
        <v/>
      </c>
      <c r="AX107" s="126">
        <f>IF($C107="","",IF(N($U107)=0,"",IFERROR($AW107/$U107,"")))</f>
        <v/>
      </c>
      <c r="AY107" s="85">
        <f>IF($C107="","",TRIM(IF(ISNUMBER($AJ107)*(N($AJ107)&gt;$D$4)&gt;0,"payout high  ","")&amp;IF(ISNUMBER($AX107)*(N($AX107)&lt;$F$4)&gt;0,"FCF below dvd  ","")&amp;IF(ISNUMBER($AU107)*(N($AU107)&gt;$H$4)&gt;0,"leverage high","")))</f>
        <v/>
      </c>
      <c r="AZ107" s="86">
        <f>IF($C107="","",IF(HSI!$F$102="HKD","",HSI!$F$102))</f>
        <v/>
      </c>
    </row>
    <row r="108">
      <c r="B108" s="66" t="inlineStr">
        <is>
          <t>HSI</t>
        </is>
      </c>
      <c r="C108" s="8">
        <f>IF(HSI!$C$103="","",HSI!$C$103)</f>
        <v/>
      </c>
      <c r="D108" s="8">
        <f>IF($C108="","",HSI!$D$103)</f>
        <v/>
      </c>
      <c r="E108" s="8">
        <f>IF($C108="","",HSI!$E$103)</f>
        <v/>
      </c>
      <c r="F108" s="131">
        <f>IF($C108="","",SUMPRODUCT(('Dvd Calendar'!$E$1067:$AR$1067&gt;=DATE(YEAR_Y-5,1,1))*('Dvd Calendar'!$E$1067:$AR$1067&lt;=DATE(YEAR_Y-5,12,31))*'Dvd Calendar'!$E$1070:$AR$1070*(('Dvd Calendar'!$E$1072:$AR$1072=TYPE1)*(TYPE1&lt;&gt;"")+('Dvd Calendar'!$E$1072:$AR$1072=TYPE2)*(TYPE2&lt;&gt;"")+('Dvd Calendar'!$E$1072:$AR$1072=TYPE3)*(TYPE3&lt;&gt;"")+('Dvd Calendar'!$E$1072:$AR$1072=TYPE4)*(TYPE4&lt;&gt;"")+('Dvd Calendar'!$E$1072:$AR$1072=SPECIAL_LBL)*(INC_SPECIALS="Y"))))</f>
        <v/>
      </c>
      <c r="G108" s="132">
        <f>IF($C108="","",SUMPRODUCT(('Dvd Calendar'!$E$1067:$AR$1067&gt;=DATE(YEAR_Y-4,1,1))*('Dvd Calendar'!$E$1067:$AR$1067&lt;=DATE(YEAR_Y-4,12,31))*'Dvd Calendar'!$E$1070:$AR$1070*(('Dvd Calendar'!$E$1072:$AR$1072=TYPE1)*(TYPE1&lt;&gt;"")+('Dvd Calendar'!$E$1072:$AR$1072=TYPE2)*(TYPE2&lt;&gt;"")+('Dvd Calendar'!$E$1072:$AR$1072=TYPE3)*(TYPE3&lt;&gt;"")+('Dvd Calendar'!$E$1072:$AR$1072=TYPE4)*(TYPE4&lt;&gt;"")+('Dvd Calendar'!$E$1072:$AR$1072=SPECIAL_LBL)*(INC_SPECIALS="Y"))))</f>
        <v/>
      </c>
      <c r="H108" s="132">
        <f>IF($C108="","",SUMPRODUCT(('Dvd Calendar'!$E$1067:$AR$1067&gt;=DATE(YEAR_Y-3,1,1))*('Dvd Calendar'!$E$1067:$AR$1067&lt;=DATE(YEAR_Y-3,12,31))*'Dvd Calendar'!$E$1070:$AR$1070*(('Dvd Calendar'!$E$1072:$AR$1072=TYPE1)*(TYPE1&lt;&gt;"")+('Dvd Calendar'!$E$1072:$AR$1072=TYPE2)*(TYPE2&lt;&gt;"")+('Dvd Calendar'!$E$1072:$AR$1072=TYPE3)*(TYPE3&lt;&gt;"")+('Dvd Calendar'!$E$1072:$AR$1072=TYPE4)*(TYPE4&lt;&gt;"")+('Dvd Calendar'!$E$1072:$AR$1072=SPECIAL_LBL)*(INC_SPECIALS="Y"))))</f>
        <v/>
      </c>
      <c r="I108" s="132">
        <f>IF($C108="","",SUMPRODUCT(('Dvd Calendar'!$E$1067:$AR$1067&gt;=DATE(YEAR_Y-2,1,1))*('Dvd Calendar'!$E$1067:$AR$1067&lt;=DATE(YEAR_Y-2,12,31))*'Dvd Calendar'!$E$1070:$AR$1070*(('Dvd Calendar'!$E$1072:$AR$1072=TYPE1)*(TYPE1&lt;&gt;"")+('Dvd Calendar'!$E$1072:$AR$1072=TYPE2)*(TYPE2&lt;&gt;"")+('Dvd Calendar'!$E$1072:$AR$1072=TYPE3)*(TYPE3&lt;&gt;"")+('Dvd Calendar'!$E$1072:$AR$1072=TYPE4)*(TYPE4&lt;&gt;"")+('Dvd Calendar'!$E$1072:$AR$1072=SPECIAL_LBL)*(INC_SPECIALS="Y"))))</f>
        <v/>
      </c>
      <c r="J108" s="132">
        <f>IF($C108="","",SUMPRODUCT(('Dvd Calendar'!$E$1067:$AR$1067&gt;=DATE(YEAR_Y-1,1,1))*('Dvd Calendar'!$E$1067:$AR$1067&lt;=DATE(YEAR_Y-1,12,31))*'Dvd Calendar'!$E$1070:$AR$1070*(('Dvd Calendar'!$E$1072:$AR$1072=TYPE1)*(TYPE1&lt;&gt;"")+('Dvd Calendar'!$E$1072:$AR$1072=TYPE2)*(TYPE2&lt;&gt;"")+('Dvd Calendar'!$E$1072:$AR$1072=TYPE3)*(TYPE3&lt;&gt;"")+('Dvd Calendar'!$E$1072:$AR$1072=TYPE4)*(TYPE4&lt;&gt;"")+('Dvd Calendar'!$E$1072:$AR$1072=SPECIAL_LBL)*(INC_SPECIALS="Y"))))</f>
        <v/>
      </c>
      <c r="K108" s="133">
        <f>IF($C108="","",HSI!$J$103)</f>
        <v/>
      </c>
      <c r="L108" s="133">
        <f>IF($C108="","",HSI!$K$103)</f>
        <v/>
      </c>
      <c r="M108" s="124">
        <f>IF($C108="","",HSI!$J$103+HSI!$L$103)</f>
        <v/>
      </c>
      <c r="N108" s="134">
        <f>IF($C108="","",IF(PULL_FUND="N","",IFERROR(BDP($C108,BESTDPS_FIELD,FWD_OVERRIDE,TEXT(MOD(YEAR_Y,100),"00")&amp;"Y"),"")))</f>
        <v/>
      </c>
      <c r="O108" s="133">
        <f>IF($C108="","",AVERAGE(F108:J108))</f>
        <v/>
      </c>
      <c r="P108" s="135">
        <f>IF($C108="","",IF(PULL_FUND="N","",IF(COUNTIFS('Fund History'!$J$584:$J$588,"&gt;="&amp;DATE(YEAR_Y-5,1,1),'Fund History'!$J$584:$J$588,"&lt;="&amp;DATE(YEAR_Y-5,12,31))=0,"",IFERROR($F108*HSI!$G$103/SUMIFS('Fund History'!$K$584:$K$588,'Fund History'!$J$584:$J$588,"&gt;="&amp;DATE(YEAR_Y-5,1,1),'Fund History'!$J$584:$J$588,"&lt;="&amp;DATE(YEAR_Y-5,12,31)),""))))</f>
        <v/>
      </c>
      <c r="Q108" s="136">
        <f>IF($C108="","",IF(PULL_FUND="N","",IF(COUNTIFS('Fund History'!$J$584:$J$588,"&gt;="&amp;DATE(YEAR_Y-4,1,1),'Fund History'!$J$584:$J$588,"&lt;="&amp;DATE(YEAR_Y-4,12,31))=0,"",IFERROR($G108*HSI!$G$103/SUMIFS('Fund History'!$K$584:$K$588,'Fund History'!$J$584:$J$588,"&gt;="&amp;DATE(YEAR_Y-4,1,1),'Fund History'!$J$584:$J$588,"&lt;="&amp;DATE(YEAR_Y-4,12,31)),""))))</f>
        <v/>
      </c>
      <c r="R108" s="136">
        <f>IF($C108="","",IF(PULL_FUND="N","",IF(COUNTIFS('Fund History'!$J$584:$J$588,"&gt;="&amp;DATE(YEAR_Y-3,1,1),'Fund History'!$J$584:$J$588,"&lt;="&amp;DATE(YEAR_Y-3,12,31))=0,"",IFERROR($H108*HSI!$G$103/SUMIFS('Fund History'!$K$584:$K$588,'Fund History'!$J$584:$J$588,"&gt;="&amp;DATE(YEAR_Y-3,1,1),'Fund History'!$J$584:$J$588,"&lt;="&amp;DATE(YEAR_Y-3,12,31)),""))))</f>
        <v/>
      </c>
      <c r="S108" s="136">
        <f>IF($C108="","",IF(PULL_FUND="N","",IF(COUNTIFS('Fund History'!$J$584:$J$588,"&gt;="&amp;DATE(YEAR_Y-2,1,1),'Fund History'!$J$584:$J$588,"&lt;="&amp;DATE(YEAR_Y-2,12,31))=0,"",IFERROR($I108*HSI!$G$103/SUMIFS('Fund History'!$K$584:$K$588,'Fund History'!$J$584:$J$588,"&gt;="&amp;DATE(YEAR_Y-2,1,1),'Fund History'!$J$584:$J$588,"&lt;="&amp;DATE(YEAR_Y-2,12,31)),""))))</f>
        <v/>
      </c>
      <c r="T108" s="136">
        <f>IF($C108="","",IF(PULL_FUND="N","",IF(COUNTIFS('Fund History'!$J$584:$J$588,"&gt;="&amp;DATE(YEAR_Y-1,1,1),'Fund History'!$J$584:$J$588,"&lt;="&amp;DATE(YEAR_Y-1,12,31))=0,"",IFERROR($J108*HSI!$G$103/SUMIFS('Fund History'!$K$584:$K$588,'Fund History'!$J$584:$J$588,"&gt;="&amp;DATE(YEAR_Y-1,1,1),'Fund History'!$J$584:$J$588,"&lt;="&amp;DATE(YEAR_Y-1,12,31)),""))))</f>
        <v/>
      </c>
      <c r="U108" s="137">
        <f>IF($C108="","",IF(ISNUMBER(HSI!$I$103),HSI!$I$103/100,""))</f>
        <v/>
      </c>
      <c r="V108" s="138">
        <f>IF($C108="","",IF(ISNUMBER(HSI!$X$103),IFERROR($M108*HSI!$G$103/HSI!$X$103,""),""))</f>
        <v/>
      </c>
      <c r="W108" s="137">
        <f>IF($C108="","",IF(ISNUMBER($N108),IFERROR($N108*HSI!$G$103/HSI!$X$103,""),""))</f>
        <v/>
      </c>
      <c r="X108" s="139">
        <f>IF($C108="","",IF(PULL_FUND="N","",IFERROR(BDP($C108,EPS_FIELD,YR_OVERRIDE,TEXT(YEAR_Y-5,"0")),"")))</f>
        <v/>
      </c>
      <c r="Y108" s="140">
        <f>IF($C108="","",IF(PULL_FUND="N","",IFERROR(BDP($C108,EPS_FIELD,YR_OVERRIDE,TEXT(YEAR_Y-4,"0")),"")))</f>
        <v/>
      </c>
      <c r="Z108" s="140">
        <f>IF($C108="","",IF(PULL_FUND="N","",IFERROR(BDP($C108,EPS_FIELD,YR_OVERRIDE,TEXT(YEAR_Y-3,"0")),"")))</f>
        <v/>
      </c>
      <c r="AA108" s="140">
        <f>IF($C108="","",IF(PULL_FUND="N","",IFERROR(BDP($C108,EPS_FIELD,YR_OVERRIDE,TEXT(YEAR_Y-2,"0")),"")))</f>
        <v/>
      </c>
      <c r="AB108" s="140">
        <f>IF($C108="","",IF(PULL_FUND="N","",IFERROR(BDP($C108,EPS_FIELD,YR_OVERRIDE,TEXT(YEAR_Y-1,"0")),"")))</f>
        <v/>
      </c>
      <c r="AC108" s="126">
        <f>IF($C108="","",IFERROR(AVERAGE(X108:AB108),""))</f>
        <v/>
      </c>
      <c r="AD108" s="140">
        <f>IF($C108="","",IF(PULL_FUND="N","",IFERROR(BDP($C108,BESTEPS_FIELD,FWD_OVERRIDE,TEXT(MOD(YEAR_Y,100),"00")&amp;"Y"),"")))</f>
        <v/>
      </c>
      <c r="AE108" s="141">
        <f>IF($C108="","",IF(PULL_FUND="N","",IFERROR(BDP($C108,PAYOUT_FIELD,YR_OVERRIDE,TEXT(YEAR_Y-5,"0"))/100,"")))</f>
        <v/>
      </c>
      <c r="AF108" s="142">
        <f>IF($C108="","",IF(PULL_FUND="N","",IFERROR(BDP($C108,PAYOUT_FIELD,YR_OVERRIDE,TEXT(YEAR_Y-4,"0"))/100,"")))</f>
        <v/>
      </c>
      <c r="AG108" s="142">
        <f>IF($C108="","",IF(PULL_FUND="N","",IFERROR(BDP($C108,PAYOUT_FIELD,YR_OVERRIDE,TEXT(YEAR_Y-3,"0"))/100,"")))</f>
        <v/>
      </c>
      <c r="AH108" s="142">
        <f>IF($C108="","",IF(PULL_FUND="N","",IFERROR(BDP($C108,PAYOUT_FIELD,YR_OVERRIDE,TEXT(YEAR_Y-2,"0"))/100,"")))</f>
        <v/>
      </c>
      <c r="AI108" s="142">
        <f>IF($C108="","",IF(PULL_FUND="N","",IFERROR(BDP($C108,PAYOUT_FIELD,YR_OVERRIDE,TEXT(YEAR_Y-1,"0"))/100,"")))</f>
        <v/>
      </c>
      <c r="AJ108" s="143">
        <f>IF($C108="","",IFERROR(AVERAGE(AE108:AI108),""))</f>
        <v/>
      </c>
      <c r="AK108" s="144">
        <f>IF($C108="","",IF(ISNUMBER($AD108)*ISNUMBER($N108)*($AD108&lt;&gt;0)=0,"",$N108/$AD108))</f>
        <v/>
      </c>
      <c r="AL108" s="143">
        <f>IF($C108="","",IF(ISNUMBER($AD108)*($AD108&lt;&gt;0)=0,"",$M108/$AD108))</f>
        <v/>
      </c>
      <c r="AM108" s="37">
        <f>IF($C108="","",IF(ISNUMBER($AE108)*ISNUMBER($AI108)=0,"",IF($AI108&gt;$AE108+0.05,"rising",IF($AI108&lt;$AE108-0.05,"falling","stable"))))</f>
        <v/>
      </c>
      <c r="AN108" s="145">
        <f>IF($C108="","",IF(PULL_FUND="N","",IF(COUNTIFS('Fund History'!$G$584:$G$588,"&gt;="&amp;DATE(YEAR_Y-4,1,1),'Fund History'!$G$584:$G$588,"&lt;="&amp;DATE(YEAR_Y-4,12,31))=0,"",SUMIFS('Fund History'!$H$584:$H$588,'Fund History'!$G$584:$G$588,"&gt;="&amp;DATE(YEAR_Y-4,1,1),'Fund History'!$G$584:$G$588,"&lt;="&amp;DATE(YEAR_Y-4,12,31))/100)))</f>
        <v/>
      </c>
      <c r="AO108" s="146">
        <f>IF($C108="","",IF(PULL_FUND="N","",IF(COUNTIFS('Fund History'!$G$584:$G$588,"&gt;="&amp;DATE(YEAR_Y-3,1,1),'Fund History'!$G$584:$G$588,"&lt;="&amp;DATE(YEAR_Y-3,12,31))=0,"",SUMIFS('Fund History'!$H$584:$H$588,'Fund History'!$G$584:$G$588,"&gt;="&amp;DATE(YEAR_Y-3,1,1),'Fund History'!$G$584:$G$588,"&lt;="&amp;DATE(YEAR_Y-3,12,31))/100)))</f>
        <v/>
      </c>
      <c r="AP108" s="146">
        <f>IF($C108="","",IF(PULL_FUND="N","",IF(COUNTIFS('Fund History'!$G$584:$G$588,"&gt;="&amp;DATE(YEAR_Y-2,1,1),'Fund History'!$G$584:$G$588,"&lt;="&amp;DATE(YEAR_Y-2,12,31))=0,"",SUMIFS('Fund History'!$H$584:$H$588,'Fund History'!$G$584:$G$588,"&gt;="&amp;DATE(YEAR_Y-2,1,1),'Fund History'!$G$584:$G$588,"&lt;="&amp;DATE(YEAR_Y-2,12,31))/100)))</f>
        <v/>
      </c>
      <c r="AQ108" s="146">
        <f>IF($C108="","",IF(PULL_FUND="N","",IF(COUNTIFS('Fund History'!$G$584:$G$588,"&gt;="&amp;DATE(YEAR_Y-1,1,1),'Fund History'!$G$584:$G$588,"&lt;="&amp;DATE(YEAR_Y-1,12,31))=0,"",SUMIFS('Fund History'!$H$584:$H$588,'Fund History'!$G$584:$G$588,"&gt;="&amp;DATE(YEAR_Y-1,1,1),'Fund History'!$G$584:$G$588,"&lt;="&amp;DATE(YEAR_Y-1,12,31))/100)))</f>
        <v/>
      </c>
      <c r="AR108" s="147">
        <f>IF($C108="","",IF(N($AQ108)+N(HSI!$I$103)=0,"",N($AQ108)+N(HSI!$I$103)/100))</f>
        <v/>
      </c>
      <c r="AS108" s="139">
        <f>IF($C108="","",IF(PULL_FUND="N","",IF(COUNTIFS('Fund History'!$D$584:$D$588,"&gt;="&amp;DATE(YEAR_Y-2,1,1),'Fund History'!$D$584:$D$588,"&lt;="&amp;DATE(YEAR_Y-2,12,31))=0,"",SUMIFS('Fund History'!$E$584:$E$588,'Fund History'!$D$584:$D$588,"&gt;="&amp;DATE(YEAR_Y-2,1,1),'Fund History'!$D$584:$D$588,"&lt;="&amp;DATE(YEAR_Y-2,12,31)))))</f>
        <v/>
      </c>
      <c r="AT108" s="140">
        <f>IF($C108="","",IF(PULL_FUND="N","",IF(COUNTIFS('Fund History'!$D$584:$D$588,"&gt;="&amp;DATE(YEAR_Y-1,1,1),'Fund History'!$D$584:$D$588,"&lt;="&amp;DATE(YEAR_Y-1,12,31))=0,"",SUMIFS('Fund History'!$E$584:$E$588,'Fund History'!$D$584:$D$588,"&gt;="&amp;DATE(YEAR_Y-1,1,1),'Fund History'!$D$584:$D$588,"&lt;="&amp;DATE(YEAR_Y-1,12,31)))))</f>
        <v/>
      </c>
      <c r="AU108" s="140">
        <f>IF($C108="","",IF(PULL_FUND="N","",IFERROR(BDP($C108,NDEBITDA_FIELD),"")))</f>
        <v/>
      </c>
      <c r="AV108" s="148">
        <f>IF($C108="","",IF(PULL_FUND="N","",IFERROR(BDP($C108,EBINT_FIELD),"")))</f>
        <v/>
      </c>
      <c r="AW108" s="146">
        <f>IF($C108="","",IF(PULL_FUND="N","",IFERROR(BDP($C108,FCF_FIELD)/100,"")))</f>
        <v/>
      </c>
      <c r="AX108" s="126">
        <f>IF($C108="","",IF(N($U108)=0,"",IFERROR($AW108/$U108,"")))</f>
        <v/>
      </c>
      <c r="AY108" s="85">
        <f>IF($C108="","",TRIM(IF(ISNUMBER($AJ108)*(N($AJ108)&gt;$D$4)&gt;0,"payout high  ","")&amp;IF(ISNUMBER($AX108)*(N($AX108)&lt;$F$4)&gt;0,"FCF below dvd  ","")&amp;IF(ISNUMBER($AU108)*(N($AU108)&gt;$H$4)&gt;0,"leverage high","")))</f>
        <v/>
      </c>
      <c r="AZ108" s="86">
        <f>IF($C108="","",IF(HSI!$F$103="HKD","",HSI!$F$103))</f>
        <v/>
      </c>
    </row>
    <row r="109">
      <c r="B109" s="66" t="inlineStr">
        <is>
          <t>HSI</t>
        </is>
      </c>
      <c r="C109" s="8">
        <f>IF(HSI!$C$104="","",HSI!$C$104)</f>
        <v/>
      </c>
      <c r="D109" s="8">
        <f>IF($C109="","",HSI!$D$104)</f>
        <v/>
      </c>
      <c r="E109" s="8">
        <f>IF($C109="","",HSI!$E$104)</f>
        <v/>
      </c>
      <c r="F109" s="131">
        <f>IF($C109="","",SUMPRODUCT(('Dvd Calendar'!$E$1078:$AR$1078&gt;=DATE(YEAR_Y-5,1,1))*('Dvd Calendar'!$E$1078:$AR$1078&lt;=DATE(YEAR_Y-5,12,31))*'Dvd Calendar'!$E$1081:$AR$1081*(('Dvd Calendar'!$E$1083:$AR$1083=TYPE1)*(TYPE1&lt;&gt;"")+('Dvd Calendar'!$E$1083:$AR$1083=TYPE2)*(TYPE2&lt;&gt;"")+('Dvd Calendar'!$E$1083:$AR$1083=TYPE3)*(TYPE3&lt;&gt;"")+('Dvd Calendar'!$E$1083:$AR$1083=TYPE4)*(TYPE4&lt;&gt;"")+('Dvd Calendar'!$E$1083:$AR$1083=SPECIAL_LBL)*(INC_SPECIALS="Y"))))</f>
        <v/>
      </c>
      <c r="G109" s="132">
        <f>IF($C109="","",SUMPRODUCT(('Dvd Calendar'!$E$1078:$AR$1078&gt;=DATE(YEAR_Y-4,1,1))*('Dvd Calendar'!$E$1078:$AR$1078&lt;=DATE(YEAR_Y-4,12,31))*'Dvd Calendar'!$E$1081:$AR$1081*(('Dvd Calendar'!$E$1083:$AR$1083=TYPE1)*(TYPE1&lt;&gt;"")+('Dvd Calendar'!$E$1083:$AR$1083=TYPE2)*(TYPE2&lt;&gt;"")+('Dvd Calendar'!$E$1083:$AR$1083=TYPE3)*(TYPE3&lt;&gt;"")+('Dvd Calendar'!$E$1083:$AR$1083=TYPE4)*(TYPE4&lt;&gt;"")+('Dvd Calendar'!$E$1083:$AR$1083=SPECIAL_LBL)*(INC_SPECIALS="Y"))))</f>
        <v/>
      </c>
      <c r="H109" s="132">
        <f>IF($C109="","",SUMPRODUCT(('Dvd Calendar'!$E$1078:$AR$1078&gt;=DATE(YEAR_Y-3,1,1))*('Dvd Calendar'!$E$1078:$AR$1078&lt;=DATE(YEAR_Y-3,12,31))*'Dvd Calendar'!$E$1081:$AR$1081*(('Dvd Calendar'!$E$1083:$AR$1083=TYPE1)*(TYPE1&lt;&gt;"")+('Dvd Calendar'!$E$1083:$AR$1083=TYPE2)*(TYPE2&lt;&gt;"")+('Dvd Calendar'!$E$1083:$AR$1083=TYPE3)*(TYPE3&lt;&gt;"")+('Dvd Calendar'!$E$1083:$AR$1083=TYPE4)*(TYPE4&lt;&gt;"")+('Dvd Calendar'!$E$1083:$AR$1083=SPECIAL_LBL)*(INC_SPECIALS="Y"))))</f>
        <v/>
      </c>
      <c r="I109" s="132">
        <f>IF($C109="","",SUMPRODUCT(('Dvd Calendar'!$E$1078:$AR$1078&gt;=DATE(YEAR_Y-2,1,1))*('Dvd Calendar'!$E$1078:$AR$1078&lt;=DATE(YEAR_Y-2,12,31))*'Dvd Calendar'!$E$1081:$AR$1081*(('Dvd Calendar'!$E$1083:$AR$1083=TYPE1)*(TYPE1&lt;&gt;"")+('Dvd Calendar'!$E$1083:$AR$1083=TYPE2)*(TYPE2&lt;&gt;"")+('Dvd Calendar'!$E$1083:$AR$1083=TYPE3)*(TYPE3&lt;&gt;"")+('Dvd Calendar'!$E$1083:$AR$1083=TYPE4)*(TYPE4&lt;&gt;"")+('Dvd Calendar'!$E$1083:$AR$1083=SPECIAL_LBL)*(INC_SPECIALS="Y"))))</f>
        <v/>
      </c>
      <c r="J109" s="132">
        <f>IF($C109="","",SUMPRODUCT(('Dvd Calendar'!$E$1078:$AR$1078&gt;=DATE(YEAR_Y-1,1,1))*('Dvd Calendar'!$E$1078:$AR$1078&lt;=DATE(YEAR_Y-1,12,31))*'Dvd Calendar'!$E$1081:$AR$1081*(('Dvd Calendar'!$E$1083:$AR$1083=TYPE1)*(TYPE1&lt;&gt;"")+('Dvd Calendar'!$E$1083:$AR$1083=TYPE2)*(TYPE2&lt;&gt;"")+('Dvd Calendar'!$E$1083:$AR$1083=TYPE3)*(TYPE3&lt;&gt;"")+('Dvd Calendar'!$E$1083:$AR$1083=TYPE4)*(TYPE4&lt;&gt;"")+('Dvd Calendar'!$E$1083:$AR$1083=SPECIAL_LBL)*(INC_SPECIALS="Y"))))</f>
        <v/>
      </c>
      <c r="K109" s="133">
        <f>IF($C109="","",HSI!$J$104)</f>
        <v/>
      </c>
      <c r="L109" s="133">
        <f>IF($C109="","",HSI!$K$104)</f>
        <v/>
      </c>
      <c r="M109" s="124">
        <f>IF($C109="","",HSI!$J$104+HSI!$L$104)</f>
        <v/>
      </c>
      <c r="N109" s="134">
        <f>IF($C109="","",IF(PULL_FUND="N","",IFERROR(BDP($C109,BESTDPS_FIELD,FWD_OVERRIDE,TEXT(MOD(YEAR_Y,100),"00")&amp;"Y"),"")))</f>
        <v/>
      </c>
      <c r="O109" s="133">
        <f>IF($C109="","",AVERAGE(F109:J109))</f>
        <v/>
      </c>
      <c r="P109" s="135">
        <f>IF($C109="","",IF(PULL_FUND="N","",IF(COUNTIFS('Fund History'!$J$590:$J$594,"&gt;="&amp;DATE(YEAR_Y-5,1,1),'Fund History'!$J$590:$J$594,"&lt;="&amp;DATE(YEAR_Y-5,12,31))=0,"",IFERROR($F109*HSI!$G$104/SUMIFS('Fund History'!$K$590:$K$594,'Fund History'!$J$590:$J$594,"&gt;="&amp;DATE(YEAR_Y-5,1,1),'Fund History'!$J$590:$J$594,"&lt;="&amp;DATE(YEAR_Y-5,12,31)),""))))</f>
        <v/>
      </c>
      <c r="Q109" s="136">
        <f>IF($C109="","",IF(PULL_FUND="N","",IF(COUNTIFS('Fund History'!$J$590:$J$594,"&gt;="&amp;DATE(YEAR_Y-4,1,1),'Fund History'!$J$590:$J$594,"&lt;="&amp;DATE(YEAR_Y-4,12,31))=0,"",IFERROR($G109*HSI!$G$104/SUMIFS('Fund History'!$K$590:$K$594,'Fund History'!$J$590:$J$594,"&gt;="&amp;DATE(YEAR_Y-4,1,1),'Fund History'!$J$590:$J$594,"&lt;="&amp;DATE(YEAR_Y-4,12,31)),""))))</f>
        <v/>
      </c>
      <c r="R109" s="136">
        <f>IF($C109="","",IF(PULL_FUND="N","",IF(COUNTIFS('Fund History'!$J$590:$J$594,"&gt;="&amp;DATE(YEAR_Y-3,1,1),'Fund History'!$J$590:$J$594,"&lt;="&amp;DATE(YEAR_Y-3,12,31))=0,"",IFERROR($H109*HSI!$G$104/SUMIFS('Fund History'!$K$590:$K$594,'Fund History'!$J$590:$J$594,"&gt;="&amp;DATE(YEAR_Y-3,1,1),'Fund History'!$J$590:$J$594,"&lt;="&amp;DATE(YEAR_Y-3,12,31)),""))))</f>
        <v/>
      </c>
      <c r="S109" s="136">
        <f>IF($C109="","",IF(PULL_FUND="N","",IF(COUNTIFS('Fund History'!$J$590:$J$594,"&gt;="&amp;DATE(YEAR_Y-2,1,1),'Fund History'!$J$590:$J$594,"&lt;="&amp;DATE(YEAR_Y-2,12,31))=0,"",IFERROR($I109*HSI!$G$104/SUMIFS('Fund History'!$K$590:$K$594,'Fund History'!$J$590:$J$594,"&gt;="&amp;DATE(YEAR_Y-2,1,1),'Fund History'!$J$590:$J$594,"&lt;="&amp;DATE(YEAR_Y-2,12,31)),""))))</f>
        <v/>
      </c>
      <c r="T109" s="136">
        <f>IF($C109="","",IF(PULL_FUND="N","",IF(COUNTIFS('Fund History'!$J$590:$J$594,"&gt;="&amp;DATE(YEAR_Y-1,1,1),'Fund History'!$J$590:$J$594,"&lt;="&amp;DATE(YEAR_Y-1,12,31))=0,"",IFERROR($J109*HSI!$G$104/SUMIFS('Fund History'!$K$590:$K$594,'Fund History'!$J$590:$J$594,"&gt;="&amp;DATE(YEAR_Y-1,1,1),'Fund History'!$J$590:$J$594,"&lt;="&amp;DATE(YEAR_Y-1,12,31)),""))))</f>
        <v/>
      </c>
      <c r="U109" s="137">
        <f>IF($C109="","",IF(ISNUMBER(HSI!$I$104),HSI!$I$104/100,""))</f>
        <v/>
      </c>
      <c r="V109" s="138">
        <f>IF($C109="","",IF(ISNUMBER(HSI!$X$104),IFERROR($M109*HSI!$G$104/HSI!$X$104,""),""))</f>
        <v/>
      </c>
      <c r="W109" s="137">
        <f>IF($C109="","",IF(ISNUMBER($N109),IFERROR($N109*HSI!$G$104/HSI!$X$104,""),""))</f>
        <v/>
      </c>
      <c r="X109" s="139">
        <f>IF($C109="","",IF(PULL_FUND="N","",IFERROR(BDP($C109,EPS_FIELD,YR_OVERRIDE,TEXT(YEAR_Y-5,"0")),"")))</f>
        <v/>
      </c>
      <c r="Y109" s="140">
        <f>IF($C109="","",IF(PULL_FUND="N","",IFERROR(BDP($C109,EPS_FIELD,YR_OVERRIDE,TEXT(YEAR_Y-4,"0")),"")))</f>
        <v/>
      </c>
      <c r="Z109" s="140">
        <f>IF($C109="","",IF(PULL_FUND="N","",IFERROR(BDP($C109,EPS_FIELD,YR_OVERRIDE,TEXT(YEAR_Y-3,"0")),"")))</f>
        <v/>
      </c>
      <c r="AA109" s="140">
        <f>IF($C109="","",IF(PULL_FUND="N","",IFERROR(BDP($C109,EPS_FIELD,YR_OVERRIDE,TEXT(YEAR_Y-2,"0")),"")))</f>
        <v/>
      </c>
      <c r="AB109" s="140">
        <f>IF($C109="","",IF(PULL_FUND="N","",IFERROR(BDP($C109,EPS_FIELD,YR_OVERRIDE,TEXT(YEAR_Y-1,"0")),"")))</f>
        <v/>
      </c>
      <c r="AC109" s="126">
        <f>IF($C109="","",IFERROR(AVERAGE(X109:AB109),""))</f>
        <v/>
      </c>
      <c r="AD109" s="140">
        <f>IF($C109="","",IF(PULL_FUND="N","",IFERROR(BDP($C109,BESTEPS_FIELD,FWD_OVERRIDE,TEXT(MOD(YEAR_Y,100),"00")&amp;"Y"),"")))</f>
        <v/>
      </c>
      <c r="AE109" s="141">
        <f>IF($C109="","",IF(PULL_FUND="N","",IFERROR(BDP($C109,PAYOUT_FIELD,YR_OVERRIDE,TEXT(YEAR_Y-5,"0"))/100,"")))</f>
        <v/>
      </c>
      <c r="AF109" s="142">
        <f>IF($C109="","",IF(PULL_FUND="N","",IFERROR(BDP($C109,PAYOUT_FIELD,YR_OVERRIDE,TEXT(YEAR_Y-4,"0"))/100,"")))</f>
        <v/>
      </c>
      <c r="AG109" s="142">
        <f>IF($C109="","",IF(PULL_FUND="N","",IFERROR(BDP($C109,PAYOUT_FIELD,YR_OVERRIDE,TEXT(YEAR_Y-3,"0"))/100,"")))</f>
        <v/>
      </c>
      <c r="AH109" s="142">
        <f>IF($C109="","",IF(PULL_FUND="N","",IFERROR(BDP($C109,PAYOUT_FIELD,YR_OVERRIDE,TEXT(YEAR_Y-2,"0"))/100,"")))</f>
        <v/>
      </c>
      <c r="AI109" s="142">
        <f>IF($C109="","",IF(PULL_FUND="N","",IFERROR(BDP($C109,PAYOUT_FIELD,YR_OVERRIDE,TEXT(YEAR_Y-1,"0"))/100,"")))</f>
        <v/>
      </c>
      <c r="AJ109" s="143">
        <f>IF($C109="","",IFERROR(AVERAGE(AE109:AI109),""))</f>
        <v/>
      </c>
      <c r="AK109" s="144">
        <f>IF($C109="","",IF(ISNUMBER($AD109)*ISNUMBER($N109)*($AD109&lt;&gt;0)=0,"",$N109/$AD109))</f>
        <v/>
      </c>
      <c r="AL109" s="143">
        <f>IF($C109="","",IF(ISNUMBER($AD109)*($AD109&lt;&gt;0)=0,"",$M109/$AD109))</f>
        <v/>
      </c>
      <c r="AM109" s="37">
        <f>IF($C109="","",IF(ISNUMBER($AE109)*ISNUMBER($AI109)=0,"",IF($AI109&gt;$AE109+0.05,"rising",IF($AI109&lt;$AE109-0.05,"falling","stable"))))</f>
        <v/>
      </c>
      <c r="AN109" s="145">
        <f>IF($C109="","",IF(PULL_FUND="N","",IF(COUNTIFS('Fund History'!$G$590:$G$594,"&gt;="&amp;DATE(YEAR_Y-4,1,1),'Fund History'!$G$590:$G$594,"&lt;="&amp;DATE(YEAR_Y-4,12,31))=0,"",SUMIFS('Fund History'!$H$590:$H$594,'Fund History'!$G$590:$G$594,"&gt;="&amp;DATE(YEAR_Y-4,1,1),'Fund History'!$G$590:$G$594,"&lt;="&amp;DATE(YEAR_Y-4,12,31))/100)))</f>
        <v/>
      </c>
      <c r="AO109" s="146">
        <f>IF($C109="","",IF(PULL_FUND="N","",IF(COUNTIFS('Fund History'!$G$590:$G$594,"&gt;="&amp;DATE(YEAR_Y-3,1,1),'Fund History'!$G$590:$G$594,"&lt;="&amp;DATE(YEAR_Y-3,12,31))=0,"",SUMIFS('Fund History'!$H$590:$H$594,'Fund History'!$G$590:$G$594,"&gt;="&amp;DATE(YEAR_Y-3,1,1),'Fund History'!$G$590:$G$594,"&lt;="&amp;DATE(YEAR_Y-3,12,31))/100)))</f>
        <v/>
      </c>
      <c r="AP109" s="146">
        <f>IF($C109="","",IF(PULL_FUND="N","",IF(COUNTIFS('Fund History'!$G$590:$G$594,"&gt;="&amp;DATE(YEAR_Y-2,1,1),'Fund History'!$G$590:$G$594,"&lt;="&amp;DATE(YEAR_Y-2,12,31))=0,"",SUMIFS('Fund History'!$H$590:$H$594,'Fund History'!$G$590:$G$594,"&gt;="&amp;DATE(YEAR_Y-2,1,1),'Fund History'!$G$590:$G$594,"&lt;="&amp;DATE(YEAR_Y-2,12,31))/100)))</f>
        <v/>
      </c>
      <c r="AQ109" s="146">
        <f>IF($C109="","",IF(PULL_FUND="N","",IF(COUNTIFS('Fund History'!$G$590:$G$594,"&gt;="&amp;DATE(YEAR_Y-1,1,1),'Fund History'!$G$590:$G$594,"&lt;="&amp;DATE(YEAR_Y-1,12,31))=0,"",SUMIFS('Fund History'!$H$590:$H$594,'Fund History'!$G$590:$G$594,"&gt;="&amp;DATE(YEAR_Y-1,1,1),'Fund History'!$G$590:$G$594,"&lt;="&amp;DATE(YEAR_Y-1,12,31))/100)))</f>
        <v/>
      </c>
      <c r="AR109" s="147">
        <f>IF($C109="","",IF(N($AQ109)+N(HSI!$I$104)=0,"",N($AQ109)+N(HSI!$I$104)/100))</f>
        <v/>
      </c>
      <c r="AS109" s="139">
        <f>IF($C109="","",IF(PULL_FUND="N","",IF(COUNTIFS('Fund History'!$D$590:$D$594,"&gt;="&amp;DATE(YEAR_Y-2,1,1),'Fund History'!$D$590:$D$594,"&lt;="&amp;DATE(YEAR_Y-2,12,31))=0,"",SUMIFS('Fund History'!$E$590:$E$594,'Fund History'!$D$590:$D$594,"&gt;="&amp;DATE(YEAR_Y-2,1,1),'Fund History'!$D$590:$D$594,"&lt;="&amp;DATE(YEAR_Y-2,12,31)))))</f>
        <v/>
      </c>
      <c r="AT109" s="140">
        <f>IF($C109="","",IF(PULL_FUND="N","",IF(COUNTIFS('Fund History'!$D$590:$D$594,"&gt;="&amp;DATE(YEAR_Y-1,1,1),'Fund History'!$D$590:$D$594,"&lt;="&amp;DATE(YEAR_Y-1,12,31))=0,"",SUMIFS('Fund History'!$E$590:$E$594,'Fund History'!$D$590:$D$594,"&gt;="&amp;DATE(YEAR_Y-1,1,1),'Fund History'!$D$590:$D$594,"&lt;="&amp;DATE(YEAR_Y-1,12,31)))))</f>
        <v/>
      </c>
      <c r="AU109" s="140">
        <f>IF($C109="","",IF(PULL_FUND="N","",IFERROR(BDP($C109,NDEBITDA_FIELD),"")))</f>
        <v/>
      </c>
      <c r="AV109" s="148">
        <f>IF($C109="","",IF(PULL_FUND="N","",IFERROR(BDP($C109,EBINT_FIELD),"")))</f>
        <v/>
      </c>
      <c r="AW109" s="146">
        <f>IF($C109="","",IF(PULL_FUND="N","",IFERROR(BDP($C109,FCF_FIELD)/100,"")))</f>
        <v/>
      </c>
      <c r="AX109" s="126">
        <f>IF($C109="","",IF(N($U109)=0,"",IFERROR($AW109/$U109,"")))</f>
        <v/>
      </c>
      <c r="AY109" s="85">
        <f>IF($C109="","",TRIM(IF(ISNUMBER($AJ109)*(N($AJ109)&gt;$D$4)&gt;0,"payout high  ","")&amp;IF(ISNUMBER($AX109)*(N($AX109)&lt;$F$4)&gt;0,"FCF below dvd  ","")&amp;IF(ISNUMBER($AU109)*(N($AU109)&gt;$H$4)&gt;0,"leverage high","")))</f>
        <v/>
      </c>
      <c r="AZ109" s="86">
        <f>IF($C109="","",IF(HSI!$F$104="HKD","",HSI!$F$104))</f>
        <v/>
      </c>
    </row>
    <row r="110">
      <c r="B110" s="66" t="inlineStr">
        <is>
          <t>HSI</t>
        </is>
      </c>
      <c r="C110" s="8">
        <f>IF(HSI!$C$105="","",HSI!$C$105)</f>
        <v/>
      </c>
      <c r="D110" s="8">
        <f>IF($C110="","",HSI!$D$105)</f>
        <v/>
      </c>
      <c r="E110" s="8">
        <f>IF($C110="","",HSI!$E$105)</f>
        <v/>
      </c>
      <c r="F110" s="131">
        <f>IF($C110="","",SUMPRODUCT(('Dvd Calendar'!$E$1089:$AR$1089&gt;=DATE(YEAR_Y-5,1,1))*('Dvd Calendar'!$E$1089:$AR$1089&lt;=DATE(YEAR_Y-5,12,31))*'Dvd Calendar'!$E$1092:$AR$1092*(('Dvd Calendar'!$E$1094:$AR$1094=TYPE1)*(TYPE1&lt;&gt;"")+('Dvd Calendar'!$E$1094:$AR$1094=TYPE2)*(TYPE2&lt;&gt;"")+('Dvd Calendar'!$E$1094:$AR$1094=TYPE3)*(TYPE3&lt;&gt;"")+('Dvd Calendar'!$E$1094:$AR$1094=TYPE4)*(TYPE4&lt;&gt;"")+('Dvd Calendar'!$E$1094:$AR$1094=SPECIAL_LBL)*(INC_SPECIALS="Y"))))</f>
        <v/>
      </c>
      <c r="G110" s="132">
        <f>IF($C110="","",SUMPRODUCT(('Dvd Calendar'!$E$1089:$AR$1089&gt;=DATE(YEAR_Y-4,1,1))*('Dvd Calendar'!$E$1089:$AR$1089&lt;=DATE(YEAR_Y-4,12,31))*'Dvd Calendar'!$E$1092:$AR$1092*(('Dvd Calendar'!$E$1094:$AR$1094=TYPE1)*(TYPE1&lt;&gt;"")+('Dvd Calendar'!$E$1094:$AR$1094=TYPE2)*(TYPE2&lt;&gt;"")+('Dvd Calendar'!$E$1094:$AR$1094=TYPE3)*(TYPE3&lt;&gt;"")+('Dvd Calendar'!$E$1094:$AR$1094=TYPE4)*(TYPE4&lt;&gt;"")+('Dvd Calendar'!$E$1094:$AR$1094=SPECIAL_LBL)*(INC_SPECIALS="Y"))))</f>
        <v/>
      </c>
      <c r="H110" s="132">
        <f>IF($C110="","",SUMPRODUCT(('Dvd Calendar'!$E$1089:$AR$1089&gt;=DATE(YEAR_Y-3,1,1))*('Dvd Calendar'!$E$1089:$AR$1089&lt;=DATE(YEAR_Y-3,12,31))*'Dvd Calendar'!$E$1092:$AR$1092*(('Dvd Calendar'!$E$1094:$AR$1094=TYPE1)*(TYPE1&lt;&gt;"")+('Dvd Calendar'!$E$1094:$AR$1094=TYPE2)*(TYPE2&lt;&gt;"")+('Dvd Calendar'!$E$1094:$AR$1094=TYPE3)*(TYPE3&lt;&gt;"")+('Dvd Calendar'!$E$1094:$AR$1094=TYPE4)*(TYPE4&lt;&gt;"")+('Dvd Calendar'!$E$1094:$AR$1094=SPECIAL_LBL)*(INC_SPECIALS="Y"))))</f>
        <v/>
      </c>
      <c r="I110" s="132">
        <f>IF($C110="","",SUMPRODUCT(('Dvd Calendar'!$E$1089:$AR$1089&gt;=DATE(YEAR_Y-2,1,1))*('Dvd Calendar'!$E$1089:$AR$1089&lt;=DATE(YEAR_Y-2,12,31))*'Dvd Calendar'!$E$1092:$AR$1092*(('Dvd Calendar'!$E$1094:$AR$1094=TYPE1)*(TYPE1&lt;&gt;"")+('Dvd Calendar'!$E$1094:$AR$1094=TYPE2)*(TYPE2&lt;&gt;"")+('Dvd Calendar'!$E$1094:$AR$1094=TYPE3)*(TYPE3&lt;&gt;"")+('Dvd Calendar'!$E$1094:$AR$1094=TYPE4)*(TYPE4&lt;&gt;"")+('Dvd Calendar'!$E$1094:$AR$1094=SPECIAL_LBL)*(INC_SPECIALS="Y"))))</f>
        <v/>
      </c>
      <c r="J110" s="132">
        <f>IF($C110="","",SUMPRODUCT(('Dvd Calendar'!$E$1089:$AR$1089&gt;=DATE(YEAR_Y-1,1,1))*('Dvd Calendar'!$E$1089:$AR$1089&lt;=DATE(YEAR_Y-1,12,31))*'Dvd Calendar'!$E$1092:$AR$1092*(('Dvd Calendar'!$E$1094:$AR$1094=TYPE1)*(TYPE1&lt;&gt;"")+('Dvd Calendar'!$E$1094:$AR$1094=TYPE2)*(TYPE2&lt;&gt;"")+('Dvd Calendar'!$E$1094:$AR$1094=TYPE3)*(TYPE3&lt;&gt;"")+('Dvd Calendar'!$E$1094:$AR$1094=TYPE4)*(TYPE4&lt;&gt;"")+('Dvd Calendar'!$E$1094:$AR$1094=SPECIAL_LBL)*(INC_SPECIALS="Y"))))</f>
        <v/>
      </c>
      <c r="K110" s="133">
        <f>IF($C110="","",HSI!$J$105)</f>
        <v/>
      </c>
      <c r="L110" s="133">
        <f>IF($C110="","",HSI!$K$105)</f>
        <v/>
      </c>
      <c r="M110" s="124">
        <f>IF($C110="","",HSI!$J$105+HSI!$L$105)</f>
        <v/>
      </c>
      <c r="N110" s="134">
        <f>IF($C110="","",IF(PULL_FUND="N","",IFERROR(BDP($C110,BESTDPS_FIELD,FWD_OVERRIDE,TEXT(MOD(YEAR_Y,100),"00")&amp;"Y"),"")))</f>
        <v/>
      </c>
      <c r="O110" s="133">
        <f>IF($C110="","",AVERAGE(F110:J110))</f>
        <v/>
      </c>
      <c r="P110" s="135">
        <f>IF($C110="","",IF(PULL_FUND="N","",IF(COUNTIFS('Fund History'!$J$596:$J$600,"&gt;="&amp;DATE(YEAR_Y-5,1,1),'Fund History'!$J$596:$J$600,"&lt;="&amp;DATE(YEAR_Y-5,12,31))=0,"",IFERROR($F110*HSI!$G$105/SUMIFS('Fund History'!$K$596:$K$600,'Fund History'!$J$596:$J$600,"&gt;="&amp;DATE(YEAR_Y-5,1,1),'Fund History'!$J$596:$J$600,"&lt;="&amp;DATE(YEAR_Y-5,12,31)),""))))</f>
        <v/>
      </c>
      <c r="Q110" s="136">
        <f>IF($C110="","",IF(PULL_FUND="N","",IF(COUNTIFS('Fund History'!$J$596:$J$600,"&gt;="&amp;DATE(YEAR_Y-4,1,1),'Fund History'!$J$596:$J$600,"&lt;="&amp;DATE(YEAR_Y-4,12,31))=0,"",IFERROR($G110*HSI!$G$105/SUMIFS('Fund History'!$K$596:$K$600,'Fund History'!$J$596:$J$600,"&gt;="&amp;DATE(YEAR_Y-4,1,1),'Fund History'!$J$596:$J$600,"&lt;="&amp;DATE(YEAR_Y-4,12,31)),""))))</f>
        <v/>
      </c>
      <c r="R110" s="136">
        <f>IF($C110="","",IF(PULL_FUND="N","",IF(COUNTIFS('Fund History'!$J$596:$J$600,"&gt;="&amp;DATE(YEAR_Y-3,1,1),'Fund History'!$J$596:$J$600,"&lt;="&amp;DATE(YEAR_Y-3,12,31))=0,"",IFERROR($H110*HSI!$G$105/SUMIFS('Fund History'!$K$596:$K$600,'Fund History'!$J$596:$J$600,"&gt;="&amp;DATE(YEAR_Y-3,1,1),'Fund History'!$J$596:$J$600,"&lt;="&amp;DATE(YEAR_Y-3,12,31)),""))))</f>
        <v/>
      </c>
      <c r="S110" s="136">
        <f>IF($C110="","",IF(PULL_FUND="N","",IF(COUNTIFS('Fund History'!$J$596:$J$600,"&gt;="&amp;DATE(YEAR_Y-2,1,1),'Fund History'!$J$596:$J$600,"&lt;="&amp;DATE(YEAR_Y-2,12,31))=0,"",IFERROR($I110*HSI!$G$105/SUMIFS('Fund History'!$K$596:$K$600,'Fund History'!$J$596:$J$600,"&gt;="&amp;DATE(YEAR_Y-2,1,1),'Fund History'!$J$596:$J$600,"&lt;="&amp;DATE(YEAR_Y-2,12,31)),""))))</f>
        <v/>
      </c>
      <c r="T110" s="136">
        <f>IF($C110="","",IF(PULL_FUND="N","",IF(COUNTIFS('Fund History'!$J$596:$J$600,"&gt;="&amp;DATE(YEAR_Y-1,1,1),'Fund History'!$J$596:$J$600,"&lt;="&amp;DATE(YEAR_Y-1,12,31))=0,"",IFERROR($J110*HSI!$G$105/SUMIFS('Fund History'!$K$596:$K$600,'Fund History'!$J$596:$J$600,"&gt;="&amp;DATE(YEAR_Y-1,1,1),'Fund History'!$J$596:$J$600,"&lt;="&amp;DATE(YEAR_Y-1,12,31)),""))))</f>
        <v/>
      </c>
      <c r="U110" s="137">
        <f>IF($C110="","",IF(ISNUMBER(HSI!$I$105),HSI!$I$105/100,""))</f>
        <v/>
      </c>
      <c r="V110" s="138">
        <f>IF($C110="","",IF(ISNUMBER(HSI!$X$105),IFERROR($M110*HSI!$G$105/HSI!$X$105,""),""))</f>
        <v/>
      </c>
      <c r="W110" s="137">
        <f>IF($C110="","",IF(ISNUMBER($N110),IFERROR($N110*HSI!$G$105/HSI!$X$105,""),""))</f>
        <v/>
      </c>
      <c r="X110" s="139">
        <f>IF($C110="","",IF(PULL_FUND="N","",IFERROR(BDP($C110,EPS_FIELD,YR_OVERRIDE,TEXT(YEAR_Y-5,"0")),"")))</f>
        <v/>
      </c>
      <c r="Y110" s="140">
        <f>IF($C110="","",IF(PULL_FUND="N","",IFERROR(BDP($C110,EPS_FIELD,YR_OVERRIDE,TEXT(YEAR_Y-4,"0")),"")))</f>
        <v/>
      </c>
      <c r="Z110" s="140">
        <f>IF($C110="","",IF(PULL_FUND="N","",IFERROR(BDP($C110,EPS_FIELD,YR_OVERRIDE,TEXT(YEAR_Y-3,"0")),"")))</f>
        <v/>
      </c>
      <c r="AA110" s="140">
        <f>IF($C110="","",IF(PULL_FUND="N","",IFERROR(BDP($C110,EPS_FIELD,YR_OVERRIDE,TEXT(YEAR_Y-2,"0")),"")))</f>
        <v/>
      </c>
      <c r="AB110" s="140">
        <f>IF($C110="","",IF(PULL_FUND="N","",IFERROR(BDP($C110,EPS_FIELD,YR_OVERRIDE,TEXT(YEAR_Y-1,"0")),"")))</f>
        <v/>
      </c>
      <c r="AC110" s="126">
        <f>IF($C110="","",IFERROR(AVERAGE(X110:AB110),""))</f>
        <v/>
      </c>
      <c r="AD110" s="140">
        <f>IF($C110="","",IF(PULL_FUND="N","",IFERROR(BDP($C110,BESTEPS_FIELD,FWD_OVERRIDE,TEXT(MOD(YEAR_Y,100),"00")&amp;"Y"),"")))</f>
        <v/>
      </c>
      <c r="AE110" s="141">
        <f>IF($C110="","",IF(PULL_FUND="N","",IFERROR(BDP($C110,PAYOUT_FIELD,YR_OVERRIDE,TEXT(YEAR_Y-5,"0"))/100,"")))</f>
        <v/>
      </c>
      <c r="AF110" s="142">
        <f>IF($C110="","",IF(PULL_FUND="N","",IFERROR(BDP($C110,PAYOUT_FIELD,YR_OVERRIDE,TEXT(YEAR_Y-4,"0"))/100,"")))</f>
        <v/>
      </c>
      <c r="AG110" s="142">
        <f>IF($C110="","",IF(PULL_FUND="N","",IFERROR(BDP($C110,PAYOUT_FIELD,YR_OVERRIDE,TEXT(YEAR_Y-3,"0"))/100,"")))</f>
        <v/>
      </c>
      <c r="AH110" s="142">
        <f>IF($C110="","",IF(PULL_FUND="N","",IFERROR(BDP($C110,PAYOUT_FIELD,YR_OVERRIDE,TEXT(YEAR_Y-2,"0"))/100,"")))</f>
        <v/>
      </c>
      <c r="AI110" s="142">
        <f>IF($C110="","",IF(PULL_FUND="N","",IFERROR(BDP($C110,PAYOUT_FIELD,YR_OVERRIDE,TEXT(YEAR_Y-1,"0"))/100,"")))</f>
        <v/>
      </c>
      <c r="AJ110" s="143">
        <f>IF($C110="","",IFERROR(AVERAGE(AE110:AI110),""))</f>
        <v/>
      </c>
      <c r="AK110" s="144">
        <f>IF($C110="","",IF(ISNUMBER($AD110)*ISNUMBER($N110)*($AD110&lt;&gt;0)=0,"",$N110/$AD110))</f>
        <v/>
      </c>
      <c r="AL110" s="143">
        <f>IF($C110="","",IF(ISNUMBER($AD110)*($AD110&lt;&gt;0)=0,"",$M110/$AD110))</f>
        <v/>
      </c>
      <c r="AM110" s="37">
        <f>IF($C110="","",IF(ISNUMBER($AE110)*ISNUMBER($AI110)=0,"",IF($AI110&gt;$AE110+0.05,"rising",IF($AI110&lt;$AE110-0.05,"falling","stable"))))</f>
        <v/>
      </c>
      <c r="AN110" s="145">
        <f>IF($C110="","",IF(PULL_FUND="N","",IF(COUNTIFS('Fund History'!$G$596:$G$600,"&gt;="&amp;DATE(YEAR_Y-4,1,1),'Fund History'!$G$596:$G$600,"&lt;="&amp;DATE(YEAR_Y-4,12,31))=0,"",SUMIFS('Fund History'!$H$596:$H$600,'Fund History'!$G$596:$G$600,"&gt;="&amp;DATE(YEAR_Y-4,1,1),'Fund History'!$G$596:$G$600,"&lt;="&amp;DATE(YEAR_Y-4,12,31))/100)))</f>
        <v/>
      </c>
      <c r="AO110" s="146">
        <f>IF($C110="","",IF(PULL_FUND="N","",IF(COUNTIFS('Fund History'!$G$596:$G$600,"&gt;="&amp;DATE(YEAR_Y-3,1,1),'Fund History'!$G$596:$G$600,"&lt;="&amp;DATE(YEAR_Y-3,12,31))=0,"",SUMIFS('Fund History'!$H$596:$H$600,'Fund History'!$G$596:$G$600,"&gt;="&amp;DATE(YEAR_Y-3,1,1),'Fund History'!$G$596:$G$600,"&lt;="&amp;DATE(YEAR_Y-3,12,31))/100)))</f>
        <v/>
      </c>
      <c r="AP110" s="146">
        <f>IF($C110="","",IF(PULL_FUND="N","",IF(COUNTIFS('Fund History'!$G$596:$G$600,"&gt;="&amp;DATE(YEAR_Y-2,1,1),'Fund History'!$G$596:$G$600,"&lt;="&amp;DATE(YEAR_Y-2,12,31))=0,"",SUMIFS('Fund History'!$H$596:$H$600,'Fund History'!$G$596:$G$600,"&gt;="&amp;DATE(YEAR_Y-2,1,1),'Fund History'!$G$596:$G$600,"&lt;="&amp;DATE(YEAR_Y-2,12,31))/100)))</f>
        <v/>
      </c>
      <c r="AQ110" s="146">
        <f>IF($C110="","",IF(PULL_FUND="N","",IF(COUNTIFS('Fund History'!$G$596:$G$600,"&gt;="&amp;DATE(YEAR_Y-1,1,1),'Fund History'!$G$596:$G$600,"&lt;="&amp;DATE(YEAR_Y-1,12,31))=0,"",SUMIFS('Fund History'!$H$596:$H$600,'Fund History'!$G$596:$G$600,"&gt;="&amp;DATE(YEAR_Y-1,1,1),'Fund History'!$G$596:$G$600,"&lt;="&amp;DATE(YEAR_Y-1,12,31))/100)))</f>
        <v/>
      </c>
      <c r="AR110" s="147">
        <f>IF($C110="","",IF(N($AQ110)+N(HSI!$I$105)=0,"",N($AQ110)+N(HSI!$I$105)/100))</f>
        <v/>
      </c>
      <c r="AS110" s="139">
        <f>IF($C110="","",IF(PULL_FUND="N","",IF(COUNTIFS('Fund History'!$D$596:$D$600,"&gt;="&amp;DATE(YEAR_Y-2,1,1),'Fund History'!$D$596:$D$600,"&lt;="&amp;DATE(YEAR_Y-2,12,31))=0,"",SUMIFS('Fund History'!$E$596:$E$600,'Fund History'!$D$596:$D$600,"&gt;="&amp;DATE(YEAR_Y-2,1,1),'Fund History'!$D$596:$D$600,"&lt;="&amp;DATE(YEAR_Y-2,12,31)))))</f>
        <v/>
      </c>
      <c r="AT110" s="140">
        <f>IF($C110="","",IF(PULL_FUND="N","",IF(COUNTIFS('Fund History'!$D$596:$D$600,"&gt;="&amp;DATE(YEAR_Y-1,1,1),'Fund History'!$D$596:$D$600,"&lt;="&amp;DATE(YEAR_Y-1,12,31))=0,"",SUMIFS('Fund History'!$E$596:$E$600,'Fund History'!$D$596:$D$600,"&gt;="&amp;DATE(YEAR_Y-1,1,1),'Fund History'!$D$596:$D$600,"&lt;="&amp;DATE(YEAR_Y-1,12,31)))))</f>
        <v/>
      </c>
      <c r="AU110" s="140">
        <f>IF($C110="","",IF(PULL_FUND="N","",IFERROR(BDP($C110,NDEBITDA_FIELD),"")))</f>
        <v/>
      </c>
      <c r="AV110" s="148">
        <f>IF($C110="","",IF(PULL_FUND="N","",IFERROR(BDP($C110,EBINT_FIELD),"")))</f>
        <v/>
      </c>
      <c r="AW110" s="146">
        <f>IF($C110="","",IF(PULL_FUND="N","",IFERROR(BDP($C110,FCF_FIELD)/100,"")))</f>
        <v/>
      </c>
      <c r="AX110" s="126">
        <f>IF($C110="","",IF(N($U110)=0,"",IFERROR($AW110/$U110,"")))</f>
        <v/>
      </c>
      <c r="AY110" s="85">
        <f>IF($C110="","",TRIM(IF(ISNUMBER($AJ110)*(N($AJ110)&gt;$D$4)&gt;0,"payout high  ","")&amp;IF(ISNUMBER($AX110)*(N($AX110)&lt;$F$4)&gt;0,"FCF below dvd  ","")&amp;IF(ISNUMBER($AU110)*(N($AU110)&gt;$H$4)&gt;0,"leverage high","")))</f>
        <v/>
      </c>
      <c r="AZ110" s="86">
        <f>IF($C110="","",IF(HSI!$F$105="HKD","",HSI!$F$105))</f>
        <v/>
      </c>
    </row>
    <row r="111">
      <c r="B111" s="66" t="inlineStr">
        <is>
          <t>HSI</t>
        </is>
      </c>
      <c r="C111" s="8">
        <f>IF(HSI!$C$106="","",HSI!$C$106)</f>
        <v/>
      </c>
      <c r="D111" s="8">
        <f>IF($C111="","",HSI!$D$106)</f>
        <v/>
      </c>
      <c r="E111" s="8">
        <f>IF($C111="","",HSI!$E$106)</f>
        <v/>
      </c>
      <c r="F111" s="131">
        <f>IF($C111="","",SUMPRODUCT(('Dvd Calendar'!$E$1100:$AR$1100&gt;=DATE(YEAR_Y-5,1,1))*('Dvd Calendar'!$E$1100:$AR$1100&lt;=DATE(YEAR_Y-5,12,31))*'Dvd Calendar'!$E$1103:$AR$1103*(('Dvd Calendar'!$E$1105:$AR$1105=TYPE1)*(TYPE1&lt;&gt;"")+('Dvd Calendar'!$E$1105:$AR$1105=TYPE2)*(TYPE2&lt;&gt;"")+('Dvd Calendar'!$E$1105:$AR$1105=TYPE3)*(TYPE3&lt;&gt;"")+('Dvd Calendar'!$E$1105:$AR$1105=TYPE4)*(TYPE4&lt;&gt;"")+('Dvd Calendar'!$E$1105:$AR$1105=SPECIAL_LBL)*(INC_SPECIALS="Y"))))</f>
        <v/>
      </c>
      <c r="G111" s="132">
        <f>IF($C111="","",SUMPRODUCT(('Dvd Calendar'!$E$1100:$AR$1100&gt;=DATE(YEAR_Y-4,1,1))*('Dvd Calendar'!$E$1100:$AR$1100&lt;=DATE(YEAR_Y-4,12,31))*'Dvd Calendar'!$E$1103:$AR$1103*(('Dvd Calendar'!$E$1105:$AR$1105=TYPE1)*(TYPE1&lt;&gt;"")+('Dvd Calendar'!$E$1105:$AR$1105=TYPE2)*(TYPE2&lt;&gt;"")+('Dvd Calendar'!$E$1105:$AR$1105=TYPE3)*(TYPE3&lt;&gt;"")+('Dvd Calendar'!$E$1105:$AR$1105=TYPE4)*(TYPE4&lt;&gt;"")+('Dvd Calendar'!$E$1105:$AR$1105=SPECIAL_LBL)*(INC_SPECIALS="Y"))))</f>
        <v/>
      </c>
      <c r="H111" s="132">
        <f>IF($C111="","",SUMPRODUCT(('Dvd Calendar'!$E$1100:$AR$1100&gt;=DATE(YEAR_Y-3,1,1))*('Dvd Calendar'!$E$1100:$AR$1100&lt;=DATE(YEAR_Y-3,12,31))*'Dvd Calendar'!$E$1103:$AR$1103*(('Dvd Calendar'!$E$1105:$AR$1105=TYPE1)*(TYPE1&lt;&gt;"")+('Dvd Calendar'!$E$1105:$AR$1105=TYPE2)*(TYPE2&lt;&gt;"")+('Dvd Calendar'!$E$1105:$AR$1105=TYPE3)*(TYPE3&lt;&gt;"")+('Dvd Calendar'!$E$1105:$AR$1105=TYPE4)*(TYPE4&lt;&gt;"")+('Dvd Calendar'!$E$1105:$AR$1105=SPECIAL_LBL)*(INC_SPECIALS="Y"))))</f>
        <v/>
      </c>
      <c r="I111" s="132">
        <f>IF($C111="","",SUMPRODUCT(('Dvd Calendar'!$E$1100:$AR$1100&gt;=DATE(YEAR_Y-2,1,1))*('Dvd Calendar'!$E$1100:$AR$1100&lt;=DATE(YEAR_Y-2,12,31))*'Dvd Calendar'!$E$1103:$AR$1103*(('Dvd Calendar'!$E$1105:$AR$1105=TYPE1)*(TYPE1&lt;&gt;"")+('Dvd Calendar'!$E$1105:$AR$1105=TYPE2)*(TYPE2&lt;&gt;"")+('Dvd Calendar'!$E$1105:$AR$1105=TYPE3)*(TYPE3&lt;&gt;"")+('Dvd Calendar'!$E$1105:$AR$1105=TYPE4)*(TYPE4&lt;&gt;"")+('Dvd Calendar'!$E$1105:$AR$1105=SPECIAL_LBL)*(INC_SPECIALS="Y"))))</f>
        <v/>
      </c>
      <c r="J111" s="132">
        <f>IF($C111="","",SUMPRODUCT(('Dvd Calendar'!$E$1100:$AR$1100&gt;=DATE(YEAR_Y-1,1,1))*('Dvd Calendar'!$E$1100:$AR$1100&lt;=DATE(YEAR_Y-1,12,31))*'Dvd Calendar'!$E$1103:$AR$1103*(('Dvd Calendar'!$E$1105:$AR$1105=TYPE1)*(TYPE1&lt;&gt;"")+('Dvd Calendar'!$E$1105:$AR$1105=TYPE2)*(TYPE2&lt;&gt;"")+('Dvd Calendar'!$E$1105:$AR$1105=TYPE3)*(TYPE3&lt;&gt;"")+('Dvd Calendar'!$E$1105:$AR$1105=TYPE4)*(TYPE4&lt;&gt;"")+('Dvd Calendar'!$E$1105:$AR$1105=SPECIAL_LBL)*(INC_SPECIALS="Y"))))</f>
        <v/>
      </c>
      <c r="K111" s="133">
        <f>IF($C111="","",HSI!$J$106)</f>
        <v/>
      </c>
      <c r="L111" s="133">
        <f>IF($C111="","",HSI!$K$106)</f>
        <v/>
      </c>
      <c r="M111" s="124">
        <f>IF($C111="","",HSI!$J$106+HSI!$L$106)</f>
        <v/>
      </c>
      <c r="N111" s="134">
        <f>IF($C111="","",IF(PULL_FUND="N","",IFERROR(BDP($C111,BESTDPS_FIELD,FWD_OVERRIDE,TEXT(MOD(YEAR_Y,100),"00")&amp;"Y"),"")))</f>
        <v/>
      </c>
      <c r="O111" s="133">
        <f>IF($C111="","",AVERAGE(F111:J111))</f>
        <v/>
      </c>
      <c r="P111" s="135">
        <f>IF($C111="","",IF(PULL_FUND="N","",IF(COUNTIFS('Fund History'!$J$602:$J$606,"&gt;="&amp;DATE(YEAR_Y-5,1,1),'Fund History'!$J$602:$J$606,"&lt;="&amp;DATE(YEAR_Y-5,12,31))=0,"",IFERROR($F111*HSI!$G$106/SUMIFS('Fund History'!$K$602:$K$606,'Fund History'!$J$602:$J$606,"&gt;="&amp;DATE(YEAR_Y-5,1,1),'Fund History'!$J$602:$J$606,"&lt;="&amp;DATE(YEAR_Y-5,12,31)),""))))</f>
        <v/>
      </c>
      <c r="Q111" s="136">
        <f>IF($C111="","",IF(PULL_FUND="N","",IF(COUNTIFS('Fund History'!$J$602:$J$606,"&gt;="&amp;DATE(YEAR_Y-4,1,1),'Fund History'!$J$602:$J$606,"&lt;="&amp;DATE(YEAR_Y-4,12,31))=0,"",IFERROR($G111*HSI!$G$106/SUMIFS('Fund History'!$K$602:$K$606,'Fund History'!$J$602:$J$606,"&gt;="&amp;DATE(YEAR_Y-4,1,1),'Fund History'!$J$602:$J$606,"&lt;="&amp;DATE(YEAR_Y-4,12,31)),""))))</f>
        <v/>
      </c>
      <c r="R111" s="136">
        <f>IF($C111="","",IF(PULL_FUND="N","",IF(COUNTIFS('Fund History'!$J$602:$J$606,"&gt;="&amp;DATE(YEAR_Y-3,1,1),'Fund History'!$J$602:$J$606,"&lt;="&amp;DATE(YEAR_Y-3,12,31))=0,"",IFERROR($H111*HSI!$G$106/SUMIFS('Fund History'!$K$602:$K$606,'Fund History'!$J$602:$J$606,"&gt;="&amp;DATE(YEAR_Y-3,1,1),'Fund History'!$J$602:$J$606,"&lt;="&amp;DATE(YEAR_Y-3,12,31)),""))))</f>
        <v/>
      </c>
      <c r="S111" s="136">
        <f>IF($C111="","",IF(PULL_FUND="N","",IF(COUNTIFS('Fund History'!$J$602:$J$606,"&gt;="&amp;DATE(YEAR_Y-2,1,1),'Fund History'!$J$602:$J$606,"&lt;="&amp;DATE(YEAR_Y-2,12,31))=0,"",IFERROR($I111*HSI!$G$106/SUMIFS('Fund History'!$K$602:$K$606,'Fund History'!$J$602:$J$606,"&gt;="&amp;DATE(YEAR_Y-2,1,1),'Fund History'!$J$602:$J$606,"&lt;="&amp;DATE(YEAR_Y-2,12,31)),""))))</f>
        <v/>
      </c>
      <c r="T111" s="136">
        <f>IF($C111="","",IF(PULL_FUND="N","",IF(COUNTIFS('Fund History'!$J$602:$J$606,"&gt;="&amp;DATE(YEAR_Y-1,1,1),'Fund History'!$J$602:$J$606,"&lt;="&amp;DATE(YEAR_Y-1,12,31))=0,"",IFERROR($J111*HSI!$G$106/SUMIFS('Fund History'!$K$602:$K$606,'Fund History'!$J$602:$J$606,"&gt;="&amp;DATE(YEAR_Y-1,1,1),'Fund History'!$J$602:$J$606,"&lt;="&amp;DATE(YEAR_Y-1,12,31)),""))))</f>
        <v/>
      </c>
      <c r="U111" s="137">
        <f>IF($C111="","",IF(ISNUMBER(HSI!$I$106),HSI!$I$106/100,""))</f>
        <v/>
      </c>
      <c r="V111" s="138">
        <f>IF($C111="","",IF(ISNUMBER(HSI!$X$106),IFERROR($M111*HSI!$G$106/HSI!$X$106,""),""))</f>
        <v/>
      </c>
      <c r="W111" s="137">
        <f>IF($C111="","",IF(ISNUMBER($N111),IFERROR($N111*HSI!$G$106/HSI!$X$106,""),""))</f>
        <v/>
      </c>
      <c r="X111" s="139">
        <f>IF($C111="","",IF(PULL_FUND="N","",IFERROR(BDP($C111,EPS_FIELD,YR_OVERRIDE,TEXT(YEAR_Y-5,"0")),"")))</f>
        <v/>
      </c>
      <c r="Y111" s="140">
        <f>IF($C111="","",IF(PULL_FUND="N","",IFERROR(BDP($C111,EPS_FIELD,YR_OVERRIDE,TEXT(YEAR_Y-4,"0")),"")))</f>
        <v/>
      </c>
      <c r="Z111" s="140">
        <f>IF($C111="","",IF(PULL_FUND="N","",IFERROR(BDP($C111,EPS_FIELD,YR_OVERRIDE,TEXT(YEAR_Y-3,"0")),"")))</f>
        <v/>
      </c>
      <c r="AA111" s="140">
        <f>IF($C111="","",IF(PULL_FUND="N","",IFERROR(BDP($C111,EPS_FIELD,YR_OVERRIDE,TEXT(YEAR_Y-2,"0")),"")))</f>
        <v/>
      </c>
      <c r="AB111" s="140">
        <f>IF($C111="","",IF(PULL_FUND="N","",IFERROR(BDP($C111,EPS_FIELD,YR_OVERRIDE,TEXT(YEAR_Y-1,"0")),"")))</f>
        <v/>
      </c>
      <c r="AC111" s="126">
        <f>IF($C111="","",IFERROR(AVERAGE(X111:AB111),""))</f>
        <v/>
      </c>
      <c r="AD111" s="140">
        <f>IF($C111="","",IF(PULL_FUND="N","",IFERROR(BDP($C111,BESTEPS_FIELD,FWD_OVERRIDE,TEXT(MOD(YEAR_Y,100),"00")&amp;"Y"),"")))</f>
        <v/>
      </c>
      <c r="AE111" s="141">
        <f>IF($C111="","",IF(PULL_FUND="N","",IFERROR(BDP($C111,PAYOUT_FIELD,YR_OVERRIDE,TEXT(YEAR_Y-5,"0"))/100,"")))</f>
        <v/>
      </c>
      <c r="AF111" s="142">
        <f>IF($C111="","",IF(PULL_FUND="N","",IFERROR(BDP($C111,PAYOUT_FIELD,YR_OVERRIDE,TEXT(YEAR_Y-4,"0"))/100,"")))</f>
        <v/>
      </c>
      <c r="AG111" s="142">
        <f>IF($C111="","",IF(PULL_FUND="N","",IFERROR(BDP($C111,PAYOUT_FIELD,YR_OVERRIDE,TEXT(YEAR_Y-3,"0"))/100,"")))</f>
        <v/>
      </c>
      <c r="AH111" s="142">
        <f>IF($C111="","",IF(PULL_FUND="N","",IFERROR(BDP($C111,PAYOUT_FIELD,YR_OVERRIDE,TEXT(YEAR_Y-2,"0"))/100,"")))</f>
        <v/>
      </c>
      <c r="AI111" s="142">
        <f>IF($C111="","",IF(PULL_FUND="N","",IFERROR(BDP($C111,PAYOUT_FIELD,YR_OVERRIDE,TEXT(YEAR_Y-1,"0"))/100,"")))</f>
        <v/>
      </c>
      <c r="AJ111" s="143">
        <f>IF($C111="","",IFERROR(AVERAGE(AE111:AI111),""))</f>
        <v/>
      </c>
      <c r="AK111" s="144">
        <f>IF($C111="","",IF(ISNUMBER($AD111)*ISNUMBER($N111)*($AD111&lt;&gt;0)=0,"",$N111/$AD111))</f>
        <v/>
      </c>
      <c r="AL111" s="143">
        <f>IF($C111="","",IF(ISNUMBER($AD111)*($AD111&lt;&gt;0)=0,"",$M111/$AD111))</f>
        <v/>
      </c>
      <c r="AM111" s="37">
        <f>IF($C111="","",IF(ISNUMBER($AE111)*ISNUMBER($AI111)=0,"",IF($AI111&gt;$AE111+0.05,"rising",IF($AI111&lt;$AE111-0.05,"falling","stable"))))</f>
        <v/>
      </c>
      <c r="AN111" s="145">
        <f>IF($C111="","",IF(PULL_FUND="N","",IF(COUNTIFS('Fund History'!$G$602:$G$606,"&gt;="&amp;DATE(YEAR_Y-4,1,1),'Fund History'!$G$602:$G$606,"&lt;="&amp;DATE(YEAR_Y-4,12,31))=0,"",SUMIFS('Fund History'!$H$602:$H$606,'Fund History'!$G$602:$G$606,"&gt;="&amp;DATE(YEAR_Y-4,1,1),'Fund History'!$G$602:$G$606,"&lt;="&amp;DATE(YEAR_Y-4,12,31))/100)))</f>
        <v/>
      </c>
      <c r="AO111" s="146">
        <f>IF($C111="","",IF(PULL_FUND="N","",IF(COUNTIFS('Fund History'!$G$602:$G$606,"&gt;="&amp;DATE(YEAR_Y-3,1,1),'Fund History'!$G$602:$G$606,"&lt;="&amp;DATE(YEAR_Y-3,12,31))=0,"",SUMIFS('Fund History'!$H$602:$H$606,'Fund History'!$G$602:$G$606,"&gt;="&amp;DATE(YEAR_Y-3,1,1),'Fund History'!$G$602:$G$606,"&lt;="&amp;DATE(YEAR_Y-3,12,31))/100)))</f>
        <v/>
      </c>
      <c r="AP111" s="146">
        <f>IF($C111="","",IF(PULL_FUND="N","",IF(COUNTIFS('Fund History'!$G$602:$G$606,"&gt;="&amp;DATE(YEAR_Y-2,1,1),'Fund History'!$G$602:$G$606,"&lt;="&amp;DATE(YEAR_Y-2,12,31))=0,"",SUMIFS('Fund History'!$H$602:$H$606,'Fund History'!$G$602:$G$606,"&gt;="&amp;DATE(YEAR_Y-2,1,1),'Fund History'!$G$602:$G$606,"&lt;="&amp;DATE(YEAR_Y-2,12,31))/100)))</f>
        <v/>
      </c>
      <c r="AQ111" s="146">
        <f>IF($C111="","",IF(PULL_FUND="N","",IF(COUNTIFS('Fund History'!$G$602:$G$606,"&gt;="&amp;DATE(YEAR_Y-1,1,1),'Fund History'!$G$602:$G$606,"&lt;="&amp;DATE(YEAR_Y-1,12,31))=0,"",SUMIFS('Fund History'!$H$602:$H$606,'Fund History'!$G$602:$G$606,"&gt;="&amp;DATE(YEAR_Y-1,1,1),'Fund History'!$G$602:$G$606,"&lt;="&amp;DATE(YEAR_Y-1,12,31))/100)))</f>
        <v/>
      </c>
      <c r="AR111" s="147">
        <f>IF($C111="","",IF(N($AQ111)+N(HSI!$I$106)=0,"",N($AQ111)+N(HSI!$I$106)/100))</f>
        <v/>
      </c>
      <c r="AS111" s="139">
        <f>IF($C111="","",IF(PULL_FUND="N","",IF(COUNTIFS('Fund History'!$D$602:$D$606,"&gt;="&amp;DATE(YEAR_Y-2,1,1),'Fund History'!$D$602:$D$606,"&lt;="&amp;DATE(YEAR_Y-2,12,31))=0,"",SUMIFS('Fund History'!$E$602:$E$606,'Fund History'!$D$602:$D$606,"&gt;="&amp;DATE(YEAR_Y-2,1,1),'Fund History'!$D$602:$D$606,"&lt;="&amp;DATE(YEAR_Y-2,12,31)))))</f>
        <v/>
      </c>
      <c r="AT111" s="140">
        <f>IF($C111="","",IF(PULL_FUND="N","",IF(COUNTIFS('Fund History'!$D$602:$D$606,"&gt;="&amp;DATE(YEAR_Y-1,1,1),'Fund History'!$D$602:$D$606,"&lt;="&amp;DATE(YEAR_Y-1,12,31))=0,"",SUMIFS('Fund History'!$E$602:$E$606,'Fund History'!$D$602:$D$606,"&gt;="&amp;DATE(YEAR_Y-1,1,1),'Fund History'!$D$602:$D$606,"&lt;="&amp;DATE(YEAR_Y-1,12,31)))))</f>
        <v/>
      </c>
      <c r="AU111" s="140">
        <f>IF($C111="","",IF(PULL_FUND="N","",IFERROR(BDP($C111,NDEBITDA_FIELD),"")))</f>
        <v/>
      </c>
      <c r="AV111" s="148">
        <f>IF($C111="","",IF(PULL_FUND="N","",IFERROR(BDP($C111,EBINT_FIELD),"")))</f>
        <v/>
      </c>
      <c r="AW111" s="146">
        <f>IF($C111="","",IF(PULL_FUND="N","",IFERROR(BDP($C111,FCF_FIELD)/100,"")))</f>
        <v/>
      </c>
      <c r="AX111" s="126">
        <f>IF($C111="","",IF(N($U111)=0,"",IFERROR($AW111/$U111,"")))</f>
        <v/>
      </c>
      <c r="AY111" s="85">
        <f>IF($C111="","",TRIM(IF(ISNUMBER($AJ111)*(N($AJ111)&gt;$D$4)&gt;0,"payout high  ","")&amp;IF(ISNUMBER($AX111)*(N($AX111)&lt;$F$4)&gt;0,"FCF below dvd  ","")&amp;IF(ISNUMBER($AU111)*(N($AU111)&gt;$H$4)&gt;0,"leverage high","")))</f>
        <v/>
      </c>
      <c r="AZ111" s="86">
        <f>IF($C111="","",IF(HSI!$F$106="HKD","",HSI!$F$106))</f>
        <v/>
      </c>
    </row>
    <row r="112">
      <c r="B112" s="66" t="inlineStr">
        <is>
          <t>HSTECH</t>
        </is>
      </c>
      <c r="C112" s="8">
        <f>IF(HSTECH!$C$7="","",HSTECH!$C$7)</f>
        <v/>
      </c>
      <c r="D112" s="8">
        <f>IF($C112="","",HSTECH!$D$7)</f>
        <v/>
      </c>
      <c r="E112" s="8">
        <f>IF($C112="","",HSTECH!$E$7)</f>
        <v/>
      </c>
      <c r="F112" s="131">
        <f>IF($C112="","",SUMPRODUCT(('Dvd Calendar'!$E$1116:$AR$1116&gt;=DATE(YEAR_Y-5,1,1))*('Dvd Calendar'!$E$1116:$AR$1116&lt;=DATE(YEAR_Y-5,12,31))*'Dvd Calendar'!$E$1119:$AR$1119*(('Dvd Calendar'!$E$1121:$AR$1121=TYPE1)*(TYPE1&lt;&gt;"")+('Dvd Calendar'!$E$1121:$AR$1121=TYPE2)*(TYPE2&lt;&gt;"")+('Dvd Calendar'!$E$1121:$AR$1121=TYPE3)*(TYPE3&lt;&gt;"")+('Dvd Calendar'!$E$1121:$AR$1121=TYPE4)*(TYPE4&lt;&gt;"")+('Dvd Calendar'!$E$1121:$AR$1121=SPECIAL_LBL)*(INC_SPECIALS="Y"))))</f>
        <v/>
      </c>
      <c r="G112" s="132">
        <f>IF($C112="","",SUMPRODUCT(('Dvd Calendar'!$E$1116:$AR$1116&gt;=DATE(YEAR_Y-4,1,1))*('Dvd Calendar'!$E$1116:$AR$1116&lt;=DATE(YEAR_Y-4,12,31))*'Dvd Calendar'!$E$1119:$AR$1119*(('Dvd Calendar'!$E$1121:$AR$1121=TYPE1)*(TYPE1&lt;&gt;"")+('Dvd Calendar'!$E$1121:$AR$1121=TYPE2)*(TYPE2&lt;&gt;"")+('Dvd Calendar'!$E$1121:$AR$1121=TYPE3)*(TYPE3&lt;&gt;"")+('Dvd Calendar'!$E$1121:$AR$1121=TYPE4)*(TYPE4&lt;&gt;"")+('Dvd Calendar'!$E$1121:$AR$1121=SPECIAL_LBL)*(INC_SPECIALS="Y"))))</f>
        <v/>
      </c>
      <c r="H112" s="132">
        <f>IF($C112="","",SUMPRODUCT(('Dvd Calendar'!$E$1116:$AR$1116&gt;=DATE(YEAR_Y-3,1,1))*('Dvd Calendar'!$E$1116:$AR$1116&lt;=DATE(YEAR_Y-3,12,31))*'Dvd Calendar'!$E$1119:$AR$1119*(('Dvd Calendar'!$E$1121:$AR$1121=TYPE1)*(TYPE1&lt;&gt;"")+('Dvd Calendar'!$E$1121:$AR$1121=TYPE2)*(TYPE2&lt;&gt;"")+('Dvd Calendar'!$E$1121:$AR$1121=TYPE3)*(TYPE3&lt;&gt;"")+('Dvd Calendar'!$E$1121:$AR$1121=TYPE4)*(TYPE4&lt;&gt;"")+('Dvd Calendar'!$E$1121:$AR$1121=SPECIAL_LBL)*(INC_SPECIALS="Y"))))</f>
        <v/>
      </c>
      <c r="I112" s="132">
        <f>IF($C112="","",SUMPRODUCT(('Dvd Calendar'!$E$1116:$AR$1116&gt;=DATE(YEAR_Y-2,1,1))*('Dvd Calendar'!$E$1116:$AR$1116&lt;=DATE(YEAR_Y-2,12,31))*'Dvd Calendar'!$E$1119:$AR$1119*(('Dvd Calendar'!$E$1121:$AR$1121=TYPE1)*(TYPE1&lt;&gt;"")+('Dvd Calendar'!$E$1121:$AR$1121=TYPE2)*(TYPE2&lt;&gt;"")+('Dvd Calendar'!$E$1121:$AR$1121=TYPE3)*(TYPE3&lt;&gt;"")+('Dvd Calendar'!$E$1121:$AR$1121=TYPE4)*(TYPE4&lt;&gt;"")+('Dvd Calendar'!$E$1121:$AR$1121=SPECIAL_LBL)*(INC_SPECIALS="Y"))))</f>
        <v/>
      </c>
      <c r="J112" s="132">
        <f>IF($C112="","",SUMPRODUCT(('Dvd Calendar'!$E$1116:$AR$1116&gt;=DATE(YEAR_Y-1,1,1))*('Dvd Calendar'!$E$1116:$AR$1116&lt;=DATE(YEAR_Y-1,12,31))*'Dvd Calendar'!$E$1119:$AR$1119*(('Dvd Calendar'!$E$1121:$AR$1121=TYPE1)*(TYPE1&lt;&gt;"")+('Dvd Calendar'!$E$1121:$AR$1121=TYPE2)*(TYPE2&lt;&gt;"")+('Dvd Calendar'!$E$1121:$AR$1121=TYPE3)*(TYPE3&lt;&gt;"")+('Dvd Calendar'!$E$1121:$AR$1121=TYPE4)*(TYPE4&lt;&gt;"")+('Dvd Calendar'!$E$1121:$AR$1121=SPECIAL_LBL)*(INC_SPECIALS="Y"))))</f>
        <v/>
      </c>
      <c r="K112" s="133">
        <f>IF($C112="","",HSTECH!$J$7)</f>
        <v/>
      </c>
      <c r="L112" s="133">
        <f>IF($C112="","",HSTECH!$K$7)</f>
        <v/>
      </c>
      <c r="M112" s="124">
        <f>IF($C112="","",HSTECH!$J$7+HSTECH!$L$7)</f>
        <v/>
      </c>
      <c r="N112" s="134">
        <f>IF($C112="","",IF(PULL_FUND="N","",IFERROR(BDP($C112,BESTDPS_FIELD,FWD_OVERRIDE,TEXT(MOD(YEAR_Y,100),"00")&amp;"Y"),"")))</f>
        <v/>
      </c>
      <c r="O112" s="133">
        <f>IF($C112="","",AVERAGE(F112:J112))</f>
        <v/>
      </c>
      <c r="P112" s="135">
        <f>IF($C112="","",IF(PULL_FUND="N","",IF(COUNTIFS('Fund History'!$J$612:$J$616,"&gt;="&amp;DATE(YEAR_Y-5,1,1),'Fund History'!$J$612:$J$616,"&lt;="&amp;DATE(YEAR_Y-5,12,31))=0,"",IFERROR($F112*HSTECH!$G$7/SUMIFS('Fund History'!$K$612:$K$616,'Fund History'!$J$612:$J$616,"&gt;="&amp;DATE(YEAR_Y-5,1,1),'Fund History'!$J$612:$J$616,"&lt;="&amp;DATE(YEAR_Y-5,12,31)),""))))</f>
        <v/>
      </c>
      <c r="Q112" s="136">
        <f>IF($C112="","",IF(PULL_FUND="N","",IF(COUNTIFS('Fund History'!$J$612:$J$616,"&gt;="&amp;DATE(YEAR_Y-4,1,1),'Fund History'!$J$612:$J$616,"&lt;="&amp;DATE(YEAR_Y-4,12,31))=0,"",IFERROR($G112*HSTECH!$G$7/SUMIFS('Fund History'!$K$612:$K$616,'Fund History'!$J$612:$J$616,"&gt;="&amp;DATE(YEAR_Y-4,1,1),'Fund History'!$J$612:$J$616,"&lt;="&amp;DATE(YEAR_Y-4,12,31)),""))))</f>
        <v/>
      </c>
      <c r="R112" s="136">
        <f>IF($C112="","",IF(PULL_FUND="N","",IF(COUNTIFS('Fund History'!$J$612:$J$616,"&gt;="&amp;DATE(YEAR_Y-3,1,1),'Fund History'!$J$612:$J$616,"&lt;="&amp;DATE(YEAR_Y-3,12,31))=0,"",IFERROR($H112*HSTECH!$G$7/SUMIFS('Fund History'!$K$612:$K$616,'Fund History'!$J$612:$J$616,"&gt;="&amp;DATE(YEAR_Y-3,1,1),'Fund History'!$J$612:$J$616,"&lt;="&amp;DATE(YEAR_Y-3,12,31)),""))))</f>
        <v/>
      </c>
      <c r="S112" s="136">
        <f>IF($C112="","",IF(PULL_FUND="N","",IF(COUNTIFS('Fund History'!$J$612:$J$616,"&gt;="&amp;DATE(YEAR_Y-2,1,1),'Fund History'!$J$612:$J$616,"&lt;="&amp;DATE(YEAR_Y-2,12,31))=0,"",IFERROR($I112*HSTECH!$G$7/SUMIFS('Fund History'!$K$612:$K$616,'Fund History'!$J$612:$J$616,"&gt;="&amp;DATE(YEAR_Y-2,1,1),'Fund History'!$J$612:$J$616,"&lt;="&amp;DATE(YEAR_Y-2,12,31)),""))))</f>
        <v/>
      </c>
      <c r="T112" s="136">
        <f>IF($C112="","",IF(PULL_FUND="N","",IF(COUNTIFS('Fund History'!$J$612:$J$616,"&gt;="&amp;DATE(YEAR_Y-1,1,1),'Fund History'!$J$612:$J$616,"&lt;="&amp;DATE(YEAR_Y-1,12,31))=0,"",IFERROR($J112*HSTECH!$G$7/SUMIFS('Fund History'!$K$612:$K$616,'Fund History'!$J$612:$J$616,"&gt;="&amp;DATE(YEAR_Y-1,1,1),'Fund History'!$J$612:$J$616,"&lt;="&amp;DATE(YEAR_Y-1,12,31)),""))))</f>
        <v/>
      </c>
      <c r="U112" s="137">
        <f>IF($C112="","",IF(ISNUMBER(HSTECH!$I$7),HSTECH!$I$7/100,""))</f>
        <v/>
      </c>
      <c r="V112" s="138">
        <f>IF($C112="","",IF(ISNUMBER(HSTECH!$X$7),IFERROR($M112*HSTECH!$G$7/HSTECH!$X$7,""),""))</f>
        <v/>
      </c>
      <c r="W112" s="137">
        <f>IF($C112="","",IF(ISNUMBER($N112),IFERROR($N112*HSTECH!$G$7/HSTECH!$X$7,""),""))</f>
        <v/>
      </c>
      <c r="X112" s="139">
        <f>IF($C112="","",IF(PULL_FUND="N","",IFERROR(BDP($C112,EPS_FIELD,YR_OVERRIDE,TEXT(YEAR_Y-5,"0")),"")))</f>
        <v/>
      </c>
      <c r="Y112" s="140">
        <f>IF($C112="","",IF(PULL_FUND="N","",IFERROR(BDP($C112,EPS_FIELD,YR_OVERRIDE,TEXT(YEAR_Y-4,"0")),"")))</f>
        <v/>
      </c>
      <c r="Z112" s="140">
        <f>IF($C112="","",IF(PULL_FUND="N","",IFERROR(BDP($C112,EPS_FIELD,YR_OVERRIDE,TEXT(YEAR_Y-3,"0")),"")))</f>
        <v/>
      </c>
      <c r="AA112" s="140">
        <f>IF($C112="","",IF(PULL_FUND="N","",IFERROR(BDP($C112,EPS_FIELD,YR_OVERRIDE,TEXT(YEAR_Y-2,"0")),"")))</f>
        <v/>
      </c>
      <c r="AB112" s="140">
        <f>IF($C112="","",IF(PULL_FUND="N","",IFERROR(BDP($C112,EPS_FIELD,YR_OVERRIDE,TEXT(YEAR_Y-1,"0")),"")))</f>
        <v/>
      </c>
      <c r="AC112" s="126">
        <f>IF($C112="","",IFERROR(AVERAGE(X112:AB112),""))</f>
        <v/>
      </c>
      <c r="AD112" s="140">
        <f>IF($C112="","",IF(PULL_FUND="N","",IFERROR(BDP($C112,BESTEPS_FIELD,FWD_OVERRIDE,TEXT(MOD(YEAR_Y,100),"00")&amp;"Y"),"")))</f>
        <v/>
      </c>
      <c r="AE112" s="141">
        <f>IF($C112="","",IF(PULL_FUND="N","",IFERROR(BDP($C112,PAYOUT_FIELD,YR_OVERRIDE,TEXT(YEAR_Y-5,"0"))/100,"")))</f>
        <v/>
      </c>
      <c r="AF112" s="142">
        <f>IF($C112="","",IF(PULL_FUND="N","",IFERROR(BDP($C112,PAYOUT_FIELD,YR_OVERRIDE,TEXT(YEAR_Y-4,"0"))/100,"")))</f>
        <v/>
      </c>
      <c r="AG112" s="142">
        <f>IF($C112="","",IF(PULL_FUND="N","",IFERROR(BDP($C112,PAYOUT_FIELD,YR_OVERRIDE,TEXT(YEAR_Y-3,"0"))/100,"")))</f>
        <v/>
      </c>
      <c r="AH112" s="142">
        <f>IF($C112="","",IF(PULL_FUND="N","",IFERROR(BDP($C112,PAYOUT_FIELD,YR_OVERRIDE,TEXT(YEAR_Y-2,"0"))/100,"")))</f>
        <v/>
      </c>
      <c r="AI112" s="142">
        <f>IF($C112="","",IF(PULL_FUND="N","",IFERROR(BDP($C112,PAYOUT_FIELD,YR_OVERRIDE,TEXT(YEAR_Y-1,"0"))/100,"")))</f>
        <v/>
      </c>
      <c r="AJ112" s="143">
        <f>IF($C112="","",IFERROR(AVERAGE(AE112:AI112),""))</f>
        <v/>
      </c>
      <c r="AK112" s="144">
        <f>IF($C112="","",IF(ISNUMBER($AD112)*ISNUMBER($N112)*($AD112&lt;&gt;0)=0,"",$N112/$AD112))</f>
        <v/>
      </c>
      <c r="AL112" s="143">
        <f>IF($C112="","",IF(ISNUMBER($AD112)*($AD112&lt;&gt;0)=0,"",$M112/$AD112))</f>
        <v/>
      </c>
      <c r="AM112" s="37">
        <f>IF($C112="","",IF(ISNUMBER($AE112)*ISNUMBER($AI112)=0,"",IF($AI112&gt;$AE112+0.05,"rising",IF($AI112&lt;$AE112-0.05,"falling","stable"))))</f>
        <v/>
      </c>
      <c r="AN112" s="145">
        <f>IF($C112="","",IF(PULL_FUND="N","",IF(COUNTIFS('Fund History'!$G$612:$G$616,"&gt;="&amp;DATE(YEAR_Y-4,1,1),'Fund History'!$G$612:$G$616,"&lt;="&amp;DATE(YEAR_Y-4,12,31))=0,"",SUMIFS('Fund History'!$H$612:$H$616,'Fund History'!$G$612:$G$616,"&gt;="&amp;DATE(YEAR_Y-4,1,1),'Fund History'!$G$612:$G$616,"&lt;="&amp;DATE(YEAR_Y-4,12,31))/100)))</f>
        <v/>
      </c>
      <c r="AO112" s="146">
        <f>IF($C112="","",IF(PULL_FUND="N","",IF(COUNTIFS('Fund History'!$G$612:$G$616,"&gt;="&amp;DATE(YEAR_Y-3,1,1),'Fund History'!$G$612:$G$616,"&lt;="&amp;DATE(YEAR_Y-3,12,31))=0,"",SUMIFS('Fund History'!$H$612:$H$616,'Fund History'!$G$612:$G$616,"&gt;="&amp;DATE(YEAR_Y-3,1,1),'Fund History'!$G$612:$G$616,"&lt;="&amp;DATE(YEAR_Y-3,12,31))/100)))</f>
        <v/>
      </c>
      <c r="AP112" s="146">
        <f>IF($C112="","",IF(PULL_FUND="N","",IF(COUNTIFS('Fund History'!$G$612:$G$616,"&gt;="&amp;DATE(YEAR_Y-2,1,1),'Fund History'!$G$612:$G$616,"&lt;="&amp;DATE(YEAR_Y-2,12,31))=0,"",SUMIFS('Fund History'!$H$612:$H$616,'Fund History'!$G$612:$G$616,"&gt;="&amp;DATE(YEAR_Y-2,1,1),'Fund History'!$G$612:$G$616,"&lt;="&amp;DATE(YEAR_Y-2,12,31))/100)))</f>
        <v/>
      </c>
      <c r="AQ112" s="146">
        <f>IF($C112="","",IF(PULL_FUND="N","",IF(COUNTIFS('Fund History'!$G$612:$G$616,"&gt;="&amp;DATE(YEAR_Y-1,1,1),'Fund History'!$G$612:$G$616,"&lt;="&amp;DATE(YEAR_Y-1,12,31))=0,"",SUMIFS('Fund History'!$H$612:$H$616,'Fund History'!$G$612:$G$616,"&gt;="&amp;DATE(YEAR_Y-1,1,1),'Fund History'!$G$612:$G$616,"&lt;="&amp;DATE(YEAR_Y-1,12,31))/100)))</f>
        <v/>
      </c>
      <c r="AR112" s="147">
        <f>IF($C112="","",IF(N($AQ112)+N(HSTECH!$I$7)=0,"",N($AQ112)+N(HSTECH!$I$7)/100))</f>
        <v/>
      </c>
      <c r="AS112" s="139">
        <f>IF($C112="","",IF(PULL_FUND="N","",IF(COUNTIFS('Fund History'!$D$612:$D$616,"&gt;="&amp;DATE(YEAR_Y-2,1,1),'Fund History'!$D$612:$D$616,"&lt;="&amp;DATE(YEAR_Y-2,12,31))=0,"",SUMIFS('Fund History'!$E$612:$E$616,'Fund History'!$D$612:$D$616,"&gt;="&amp;DATE(YEAR_Y-2,1,1),'Fund History'!$D$612:$D$616,"&lt;="&amp;DATE(YEAR_Y-2,12,31)))))</f>
        <v/>
      </c>
      <c r="AT112" s="140">
        <f>IF($C112="","",IF(PULL_FUND="N","",IF(COUNTIFS('Fund History'!$D$612:$D$616,"&gt;="&amp;DATE(YEAR_Y-1,1,1),'Fund History'!$D$612:$D$616,"&lt;="&amp;DATE(YEAR_Y-1,12,31))=0,"",SUMIFS('Fund History'!$E$612:$E$616,'Fund History'!$D$612:$D$616,"&gt;="&amp;DATE(YEAR_Y-1,1,1),'Fund History'!$D$612:$D$616,"&lt;="&amp;DATE(YEAR_Y-1,12,31)))))</f>
        <v/>
      </c>
      <c r="AU112" s="140">
        <f>IF($C112="","",IF(PULL_FUND="N","",IFERROR(BDP($C112,NDEBITDA_FIELD),"")))</f>
        <v/>
      </c>
      <c r="AV112" s="148">
        <f>IF($C112="","",IF(PULL_FUND="N","",IFERROR(BDP($C112,EBINT_FIELD),"")))</f>
        <v/>
      </c>
      <c r="AW112" s="146">
        <f>IF($C112="","",IF(PULL_FUND="N","",IFERROR(BDP($C112,FCF_FIELD)/100,"")))</f>
        <v/>
      </c>
      <c r="AX112" s="126">
        <f>IF($C112="","",IF(N($U112)=0,"",IFERROR($AW112/$U112,"")))</f>
        <v/>
      </c>
      <c r="AY112" s="85">
        <f>IF($C112="","",TRIM(IF(ISNUMBER($AJ112)*(N($AJ112)&gt;$D$4)&gt;0,"payout high  ","")&amp;IF(ISNUMBER($AX112)*(N($AX112)&lt;$F$4)&gt;0,"FCF below dvd  ","")&amp;IF(ISNUMBER($AU112)*(N($AU112)&gt;$H$4)&gt;0,"leverage high","")))</f>
        <v/>
      </c>
      <c r="AZ112" s="86">
        <f>IF($C112="","",IF(HSTECH!$F$7="HKD","",HSTECH!$F$7))</f>
        <v/>
      </c>
    </row>
    <row r="113">
      <c r="B113" s="66" t="inlineStr">
        <is>
          <t>HSTECH</t>
        </is>
      </c>
      <c r="C113" s="8">
        <f>IF(HSTECH!$C$8="","",HSTECH!$C$8)</f>
        <v/>
      </c>
      <c r="D113" s="8">
        <f>IF($C113="","",HSTECH!$D$8)</f>
        <v/>
      </c>
      <c r="E113" s="8">
        <f>IF($C113="","",HSTECH!$E$8)</f>
        <v/>
      </c>
      <c r="F113" s="131">
        <f>IF($C113="","",SUMPRODUCT(('Dvd Calendar'!$E$1127:$AR$1127&gt;=DATE(YEAR_Y-5,1,1))*('Dvd Calendar'!$E$1127:$AR$1127&lt;=DATE(YEAR_Y-5,12,31))*'Dvd Calendar'!$E$1130:$AR$1130*(('Dvd Calendar'!$E$1132:$AR$1132=TYPE1)*(TYPE1&lt;&gt;"")+('Dvd Calendar'!$E$1132:$AR$1132=TYPE2)*(TYPE2&lt;&gt;"")+('Dvd Calendar'!$E$1132:$AR$1132=TYPE3)*(TYPE3&lt;&gt;"")+('Dvd Calendar'!$E$1132:$AR$1132=TYPE4)*(TYPE4&lt;&gt;"")+('Dvd Calendar'!$E$1132:$AR$1132=SPECIAL_LBL)*(INC_SPECIALS="Y"))))</f>
        <v/>
      </c>
      <c r="G113" s="132">
        <f>IF($C113="","",SUMPRODUCT(('Dvd Calendar'!$E$1127:$AR$1127&gt;=DATE(YEAR_Y-4,1,1))*('Dvd Calendar'!$E$1127:$AR$1127&lt;=DATE(YEAR_Y-4,12,31))*'Dvd Calendar'!$E$1130:$AR$1130*(('Dvd Calendar'!$E$1132:$AR$1132=TYPE1)*(TYPE1&lt;&gt;"")+('Dvd Calendar'!$E$1132:$AR$1132=TYPE2)*(TYPE2&lt;&gt;"")+('Dvd Calendar'!$E$1132:$AR$1132=TYPE3)*(TYPE3&lt;&gt;"")+('Dvd Calendar'!$E$1132:$AR$1132=TYPE4)*(TYPE4&lt;&gt;"")+('Dvd Calendar'!$E$1132:$AR$1132=SPECIAL_LBL)*(INC_SPECIALS="Y"))))</f>
        <v/>
      </c>
      <c r="H113" s="132">
        <f>IF($C113="","",SUMPRODUCT(('Dvd Calendar'!$E$1127:$AR$1127&gt;=DATE(YEAR_Y-3,1,1))*('Dvd Calendar'!$E$1127:$AR$1127&lt;=DATE(YEAR_Y-3,12,31))*'Dvd Calendar'!$E$1130:$AR$1130*(('Dvd Calendar'!$E$1132:$AR$1132=TYPE1)*(TYPE1&lt;&gt;"")+('Dvd Calendar'!$E$1132:$AR$1132=TYPE2)*(TYPE2&lt;&gt;"")+('Dvd Calendar'!$E$1132:$AR$1132=TYPE3)*(TYPE3&lt;&gt;"")+('Dvd Calendar'!$E$1132:$AR$1132=TYPE4)*(TYPE4&lt;&gt;"")+('Dvd Calendar'!$E$1132:$AR$1132=SPECIAL_LBL)*(INC_SPECIALS="Y"))))</f>
        <v/>
      </c>
      <c r="I113" s="132">
        <f>IF($C113="","",SUMPRODUCT(('Dvd Calendar'!$E$1127:$AR$1127&gt;=DATE(YEAR_Y-2,1,1))*('Dvd Calendar'!$E$1127:$AR$1127&lt;=DATE(YEAR_Y-2,12,31))*'Dvd Calendar'!$E$1130:$AR$1130*(('Dvd Calendar'!$E$1132:$AR$1132=TYPE1)*(TYPE1&lt;&gt;"")+('Dvd Calendar'!$E$1132:$AR$1132=TYPE2)*(TYPE2&lt;&gt;"")+('Dvd Calendar'!$E$1132:$AR$1132=TYPE3)*(TYPE3&lt;&gt;"")+('Dvd Calendar'!$E$1132:$AR$1132=TYPE4)*(TYPE4&lt;&gt;"")+('Dvd Calendar'!$E$1132:$AR$1132=SPECIAL_LBL)*(INC_SPECIALS="Y"))))</f>
        <v/>
      </c>
      <c r="J113" s="132">
        <f>IF($C113="","",SUMPRODUCT(('Dvd Calendar'!$E$1127:$AR$1127&gt;=DATE(YEAR_Y-1,1,1))*('Dvd Calendar'!$E$1127:$AR$1127&lt;=DATE(YEAR_Y-1,12,31))*'Dvd Calendar'!$E$1130:$AR$1130*(('Dvd Calendar'!$E$1132:$AR$1132=TYPE1)*(TYPE1&lt;&gt;"")+('Dvd Calendar'!$E$1132:$AR$1132=TYPE2)*(TYPE2&lt;&gt;"")+('Dvd Calendar'!$E$1132:$AR$1132=TYPE3)*(TYPE3&lt;&gt;"")+('Dvd Calendar'!$E$1132:$AR$1132=TYPE4)*(TYPE4&lt;&gt;"")+('Dvd Calendar'!$E$1132:$AR$1132=SPECIAL_LBL)*(INC_SPECIALS="Y"))))</f>
        <v/>
      </c>
      <c r="K113" s="133">
        <f>IF($C113="","",HSTECH!$J$8)</f>
        <v/>
      </c>
      <c r="L113" s="133">
        <f>IF($C113="","",HSTECH!$K$8)</f>
        <v/>
      </c>
      <c r="M113" s="124">
        <f>IF($C113="","",HSTECH!$J$8+HSTECH!$L$8)</f>
        <v/>
      </c>
      <c r="N113" s="134">
        <f>IF($C113="","",IF(PULL_FUND="N","",IFERROR(BDP($C113,BESTDPS_FIELD,FWD_OVERRIDE,TEXT(MOD(YEAR_Y,100),"00")&amp;"Y"),"")))</f>
        <v/>
      </c>
      <c r="O113" s="133">
        <f>IF($C113="","",AVERAGE(F113:J113))</f>
        <v/>
      </c>
      <c r="P113" s="135">
        <f>IF($C113="","",IF(PULL_FUND="N","",IF(COUNTIFS('Fund History'!$J$618:$J$622,"&gt;="&amp;DATE(YEAR_Y-5,1,1),'Fund History'!$J$618:$J$622,"&lt;="&amp;DATE(YEAR_Y-5,12,31))=0,"",IFERROR($F113*HSTECH!$G$8/SUMIFS('Fund History'!$K$618:$K$622,'Fund History'!$J$618:$J$622,"&gt;="&amp;DATE(YEAR_Y-5,1,1),'Fund History'!$J$618:$J$622,"&lt;="&amp;DATE(YEAR_Y-5,12,31)),""))))</f>
        <v/>
      </c>
      <c r="Q113" s="136">
        <f>IF($C113="","",IF(PULL_FUND="N","",IF(COUNTIFS('Fund History'!$J$618:$J$622,"&gt;="&amp;DATE(YEAR_Y-4,1,1),'Fund History'!$J$618:$J$622,"&lt;="&amp;DATE(YEAR_Y-4,12,31))=0,"",IFERROR($G113*HSTECH!$G$8/SUMIFS('Fund History'!$K$618:$K$622,'Fund History'!$J$618:$J$622,"&gt;="&amp;DATE(YEAR_Y-4,1,1),'Fund History'!$J$618:$J$622,"&lt;="&amp;DATE(YEAR_Y-4,12,31)),""))))</f>
        <v/>
      </c>
      <c r="R113" s="136">
        <f>IF($C113="","",IF(PULL_FUND="N","",IF(COUNTIFS('Fund History'!$J$618:$J$622,"&gt;="&amp;DATE(YEAR_Y-3,1,1),'Fund History'!$J$618:$J$622,"&lt;="&amp;DATE(YEAR_Y-3,12,31))=0,"",IFERROR($H113*HSTECH!$G$8/SUMIFS('Fund History'!$K$618:$K$622,'Fund History'!$J$618:$J$622,"&gt;="&amp;DATE(YEAR_Y-3,1,1),'Fund History'!$J$618:$J$622,"&lt;="&amp;DATE(YEAR_Y-3,12,31)),""))))</f>
        <v/>
      </c>
      <c r="S113" s="136">
        <f>IF($C113="","",IF(PULL_FUND="N","",IF(COUNTIFS('Fund History'!$J$618:$J$622,"&gt;="&amp;DATE(YEAR_Y-2,1,1),'Fund History'!$J$618:$J$622,"&lt;="&amp;DATE(YEAR_Y-2,12,31))=0,"",IFERROR($I113*HSTECH!$G$8/SUMIFS('Fund History'!$K$618:$K$622,'Fund History'!$J$618:$J$622,"&gt;="&amp;DATE(YEAR_Y-2,1,1),'Fund History'!$J$618:$J$622,"&lt;="&amp;DATE(YEAR_Y-2,12,31)),""))))</f>
        <v/>
      </c>
      <c r="T113" s="136">
        <f>IF($C113="","",IF(PULL_FUND="N","",IF(COUNTIFS('Fund History'!$J$618:$J$622,"&gt;="&amp;DATE(YEAR_Y-1,1,1),'Fund History'!$J$618:$J$622,"&lt;="&amp;DATE(YEAR_Y-1,12,31))=0,"",IFERROR($J113*HSTECH!$G$8/SUMIFS('Fund History'!$K$618:$K$622,'Fund History'!$J$618:$J$622,"&gt;="&amp;DATE(YEAR_Y-1,1,1),'Fund History'!$J$618:$J$622,"&lt;="&amp;DATE(YEAR_Y-1,12,31)),""))))</f>
        <v/>
      </c>
      <c r="U113" s="137">
        <f>IF($C113="","",IF(ISNUMBER(HSTECH!$I$8),HSTECH!$I$8/100,""))</f>
        <v/>
      </c>
      <c r="V113" s="138">
        <f>IF($C113="","",IF(ISNUMBER(HSTECH!$X$8),IFERROR($M113*HSTECH!$G$8/HSTECH!$X$8,""),""))</f>
        <v/>
      </c>
      <c r="W113" s="137">
        <f>IF($C113="","",IF(ISNUMBER($N113),IFERROR($N113*HSTECH!$G$8/HSTECH!$X$8,""),""))</f>
        <v/>
      </c>
      <c r="X113" s="139">
        <f>IF($C113="","",IF(PULL_FUND="N","",IFERROR(BDP($C113,EPS_FIELD,YR_OVERRIDE,TEXT(YEAR_Y-5,"0")),"")))</f>
        <v/>
      </c>
      <c r="Y113" s="140">
        <f>IF($C113="","",IF(PULL_FUND="N","",IFERROR(BDP($C113,EPS_FIELD,YR_OVERRIDE,TEXT(YEAR_Y-4,"0")),"")))</f>
        <v/>
      </c>
      <c r="Z113" s="140">
        <f>IF($C113="","",IF(PULL_FUND="N","",IFERROR(BDP($C113,EPS_FIELD,YR_OVERRIDE,TEXT(YEAR_Y-3,"0")),"")))</f>
        <v/>
      </c>
      <c r="AA113" s="140">
        <f>IF($C113="","",IF(PULL_FUND="N","",IFERROR(BDP($C113,EPS_FIELD,YR_OVERRIDE,TEXT(YEAR_Y-2,"0")),"")))</f>
        <v/>
      </c>
      <c r="AB113" s="140">
        <f>IF($C113="","",IF(PULL_FUND="N","",IFERROR(BDP($C113,EPS_FIELD,YR_OVERRIDE,TEXT(YEAR_Y-1,"0")),"")))</f>
        <v/>
      </c>
      <c r="AC113" s="126">
        <f>IF($C113="","",IFERROR(AVERAGE(X113:AB113),""))</f>
        <v/>
      </c>
      <c r="AD113" s="140">
        <f>IF($C113="","",IF(PULL_FUND="N","",IFERROR(BDP($C113,BESTEPS_FIELD,FWD_OVERRIDE,TEXT(MOD(YEAR_Y,100),"00")&amp;"Y"),"")))</f>
        <v/>
      </c>
      <c r="AE113" s="141">
        <f>IF($C113="","",IF(PULL_FUND="N","",IFERROR(BDP($C113,PAYOUT_FIELD,YR_OVERRIDE,TEXT(YEAR_Y-5,"0"))/100,"")))</f>
        <v/>
      </c>
      <c r="AF113" s="142">
        <f>IF($C113="","",IF(PULL_FUND="N","",IFERROR(BDP($C113,PAYOUT_FIELD,YR_OVERRIDE,TEXT(YEAR_Y-4,"0"))/100,"")))</f>
        <v/>
      </c>
      <c r="AG113" s="142">
        <f>IF($C113="","",IF(PULL_FUND="N","",IFERROR(BDP($C113,PAYOUT_FIELD,YR_OVERRIDE,TEXT(YEAR_Y-3,"0"))/100,"")))</f>
        <v/>
      </c>
      <c r="AH113" s="142">
        <f>IF($C113="","",IF(PULL_FUND="N","",IFERROR(BDP($C113,PAYOUT_FIELD,YR_OVERRIDE,TEXT(YEAR_Y-2,"0"))/100,"")))</f>
        <v/>
      </c>
      <c r="AI113" s="142">
        <f>IF($C113="","",IF(PULL_FUND="N","",IFERROR(BDP($C113,PAYOUT_FIELD,YR_OVERRIDE,TEXT(YEAR_Y-1,"0"))/100,"")))</f>
        <v/>
      </c>
      <c r="AJ113" s="143">
        <f>IF($C113="","",IFERROR(AVERAGE(AE113:AI113),""))</f>
        <v/>
      </c>
      <c r="AK113" s="144">
        <f>IF($C113="","",IF(ISNUMBER($AD113)*ISNUMBER($N113)*($AD113&lt;&gt;0)=0,"",$N113/$AD113))</f>
        <v/>
      </c>
      <c r="AL113" s="143">
        <f>IF($C113="","",IF(ISNUMBER($AD113)*($AD113&lt;&gt;0)=0,"",$M113/$AD113))</f>
        <v/>
      </c>
      <c r="AM113" s="37">
        <f>IF($C113="","",IF(ISNUMBER($AE113)*ISNUMBER($AI113)=0,"",IF($AI113&gt;$AE113+0.05,"rising",IF($AI113&lt;$AE113-0.05,"falling","stable"))))</f>
        <v/>
      </c>
      <c r="AN113" s="145">
        <f>IF($C113="","",IF(PULL_FUND="N","",IF(COUNTIFS('Fund History'!$G$618:$G$622,"&gt;="&amp;DATE(YEAR_Y-4,1,1),'Fund History'!$G$618:$G$622,"&lt;="&amp;DATE(YEAR_Y-4,12,31))=0,"",SUMIFS('Fund History'!$H$618:$H$622,'Fund History'!$G$618:$G$622,"&gt;="&amp;DATE(YEAR_Y-4,1,1),'Fund History'!$G$618:$G$622,"&lt;="&amp;DATE(YEAR_Y-4,12,31))/100)))</f>
        <v/>
      </c>
      <c r="AO113" s="146">
        <f>IF($C113="","",IF(PULL_FUND="N","",IF(COUNTIFS('Fund History'!$G$618:$G$622,"&gt;="&amp;DATE(YEAR_Y-3,1,1),'Fund History'!$G$618:$G$622,"&lt;="&amp;DATE(YEAR_Y-3,12,31))=0,"",SUMIFS('Fund History'!$H$618:$H$622,'Fund History'!$G$618:$G$622,"&gt;="&amp;DATE(YEAR_Y-3,1,1),'Fund History'!$G$618:$G$622,"&lt;="&amp;DATE(YEAR_Y-3,12,31))/100)))</f>
        <v/>
      </c>
      <c r="AP113" s="146">
        <f>IF($C113="","",IF(PULL_FUND="N","",IF(COUNTIFS('Fund History'!$G$618:$G$622,"&gt;="&amp;DATE(YEAR_Y-2,1,1),'Fund History'!$G$618:$G$622,"&lt;="&amp;DATE(YEAR_Y-2,12,31))=0,"",SUMIFS('Fund History'!$H$618:$H$622,'Fund History'!$G$618:$G$622,"&gt;="&amp;DATE(YEAR_Y-2,1,1),'Fund History'!$G$618:$G$622,"&lt;="&amp;DATE(YEAR_Y-2,12,31))/100)))</f>
        <v/>
      </c>
      <c r="AQ113" s="146">
        <f>IF($C113="","",IF(PULL_FUND="N","",IF(COUNTIFS('Fund History'!$G$618:$G$622,"&gt;="&amp;DATE(YEAR_Y-1,1,1),'Fund History'!$G$618:$G$622,"&lt;="&amp;DATE(YEAR_Y-1,12,31))=0,"",SUMIFS('Fund History'!$H$618:$H$622,'Fund History'!$G$618:$G$622,"&gt;="&amp;DATE(YEAR_Y-1,1,1),'Fund History'!$G$618:$G$622,"&lt;="&amp;DATE(YEAR_Y-1,12,31))/100)))</f>
        <v/>
      </c>
      <c r="AR113" s="147">
        <f>IF($C113="","",IF(N($AQ113)+N(HSTECH!$I$8)=0,"",N($AQ113)+N(HSTECH!$I$8)/100))</f>
        <v/>
      </c>
      <c r="AS113" s="139">
        <f>IF($C113="","",IF(PULL_FUND="N","",IF(COUNTIFS('Fund History'!$D$618:$D$622,"&gt;="&amp;DATE(YEAR_Y-2,1,1),'Fund History'!$D$618:$D$622,"&lt;="&amp;DATE(YEAR_Y-2,12,31))=0,"",SUMIFS('Fund History'!$E$618:$E$622,'Fund History'!$D$618:$D$622,"&gt;="&amp;DATE(YEAR_Y-2,1,1),'Fund History'!$D$618:$D$622,"&lt;="&amp;DATE(YEAR_Y-2,12,31)))))</f>
        <v/>
      </c>
      <c r="AT113" s="140">
        <f>IF($C113="","",IF(PULL_FUND="N","",IF(COUNTIFS('Fund History'!$D$618:$D$622,"&gt;="&amp;DATE(YEAR_Y-1,1,1),'Fund History'!$D$618:$D$622,"&lt;="&amp;DATE(YEAR_Y-1,12,31))=0,"",SUMIFS('Fund History'!$E$618:$E$622,'Fund History'!$D$618:$D$622,"&gt;="&amp;DATE(YEAR_Y-1,1,1),'Fund History'!$D$618:$D$622,"&lt;="&amp;DATE(YEAR_Y-1,12,31)))))</f>
        <v/>
      </c>
      <c r="AU113" s="140">
        <f>IF($C113="","",IF(PULL_FUND="N","",IFERROR(BDP($C113,NDEBITDA_FIELD),"")))</f>
        <v/>
      </c>
      <c r="AV113" s="148">
        <f>IF($C113="","",IF(PULL_FUND="N","",IFERROR(BDP($C113,EBINT_FIELD),"")))</f>
        <v/>
      </c>
      <c r="AW113" s="146">
        <f>IF($C113="","",IF(PULL_FUND="N","",IFERROR(BDP($C113,FCF_FIELD)/100,"")))</f>
        <v/>
      </c>
      <c r="AX113" s="126">
        <f>IF($C113="","",IF(N($U113)=0,"",IFERROR($AW113/$U113,"")))</f>
        <v/>
      </c>
      <c r="AY113" s="85">
        <f>IF($C113="","",TRIM(IF(ISNUMBER($AJ113)*(N($AJ113)&gt;$D$4)&gt;0,"payout high  ","")&amp;IF(ISNUMBER($AX113)*(N($AX113)&lt;$F$4)&gt;0,"FCF below dvd  ","")&amp;IF(ISNUMBER($AU113)*(N($AU113)&gt;$H$4)&gt;0,"leverage high","")))</f>
        <v/>
      </c>
      <c r="AZ113" s="86">
        <f>IF($C113="","",IF(HSTECH!$F$8="HKD","",HSTECH!$F$8))</f>
        <v/>
      </c>
    </row>
    <row r="114">
      <c r="B114" s="66" t="inlineStr">
        <is>
          <t>HSTECH</t>
        </is>
      </c>
      <c r="C114" s="8">
        <f>IF(HSTECH!$C$9="","",HSTECH!$C$9)</f>
        <v/>
      </c>
      <c r="D114" s="8">
        <f>IF($C114="","",HSTECH!$D$9)</f>
        <v/>
      </c>
      <c r="E114" s="8">
        <f>IF($C114="","",HSTECH!$E$9)</f>
        <v/>
      </c>
      <c r="F114" s="131">
        <f>IF($C114="","",SUMPRODUCT(('Dvd Calendar'!$E$1138:$AR$1138&gt;=DATE(YEAR_Y-5,1,1))*('Dvd Calendar'!$E$1138:$AR$1138&lt;=DATE(YEAR_Y-5,12,31))*'Dvd Calendar'!$E$1141:$AR$1141*(('Dvd Calendar'!$E$1143:$AR$1143=TYPE1)*(TYPE1&lt;&gt;"")+('Dvd Calendar'!$E$1143:$AR$1143=TYPE2)*(TYPE2&lt;&gt;"")+('Dvd Calendar'!$E$1143:$AR$1143=TYPE3)*(TYPE3&lt;&gt;"")+('Dvd Calendar'!$E$1143:$AR$1143=TYPE4)*(TYPE4&lt;&gt;"")+('Dvd Calendar'!$E$1143:$AR$1143=SPECIAL_LBL)*(INC_SPECIALS="Y"))))</f>
        <v/>
      </c>
      <c r="G114" s="132">
        <f>IF($C114="","",SUMPRODUCT(('Dvd Calendar'!$E$1138:$AR$1138&gt;=DATE(YEAR_Y-4,1,1))*('Dvd Calendar'!$E$1138:$AR$1138&lt;=DATE(YEAR_Y-4,12,31))*'Dvd Calendar'!$E$1141:$AR$1141*(('Dvd Calendar'!$E$1143:$AR$1143=TYPE1)*(TYPE1&lt;&gt;"")+('Dvd Calendar'!$E$1143:$AR$1143=TYPE2)*(TYPE2&lt;&gt;"")+('Dvd Calendar'!$E$1143:$AR$1143=TYPE3)*(TYPE3&lt;&gt;"")+('Dvd Calendar'!$E$1143:$AR$1143=TYPE4)*(TYPE4&lt;&gt;"")+('Dvd Calendar'!$E$1143:$AR$1143=SPECIAL_LBL)*(INC_SPECIALS="Y"))))</f>
        <v/>
      </c>
      <c r="H114" s="132">
        <f>IF($C114="","",SUMPRODUCT(('Dvd Calendar'!$E$1138:$AR$1138&gt;=DATE(YEAR_Y-3,1,1))*('Dvd Calendar'!$E$1138:$AR$1138&lt;=DATE(YEAR_Y-3,12,31))*'Dvd Calendar'!$E$1141:$AR$1141*(('Dvd Calendar'!$E$1143:$AR$1143=TYPE1)*(TYPE1&lt;&gt;"")+('Dvd Calendar'!$E$1143:$AR$1143=TYPE2)*(TYPE2&lt;&gt;"")+('Dvd Calendar'!$E$1143:$AR$1143=TYPE3)*(TYPE3&lt;&gt;"")+('Dvd Calendar'!$E$1143:$AR$1143=TYPE4)*(TYPE4&lt;&gt;"")+('Dvd Calendar'!$E$1143:$AR$1143=SPECIAL_LBL)*(INC_SPECIALS="Y"))))</f>
        <v/>
      </c>
      <c r="I114" s="132">
        <f>IF($C114="","",SUMPRODUCT(('Dvd Calendar'!$E$1138:$AR$1138&gt;=DATE(YEAR_Y-2,1,1))*('Dvd Calendar'!$E$1138:$AR$1138&lt;=DATE(YEAR_Y-2,12,31))*'Dvd Calendar'!$E$1141:$AR$1141*(('Dvd Calendar'!$E$1143:$AR$1143=TYPE1)*(TYPE1&lt;&gt;"")+('Dvd Calendar'!$E$1143:$AR$1143=TYPE2)*(TYPE2&lt;&gt;"")+('Dvd Calendar'!$E$1143:$AR$1143=TYPE3)*(TYPE3&lt;&gt;"")+('Dvd Calendar'!$E$1143:$AR$1143=TYPE4)*(TYPE4&lt;&gt;"")+('Dvd Calendar'!$E$1143:$AR$1143=SPECIAL_LBL)*(INC_SPECIALS="Y"))))</f>
        <v/>
      </c>
      <c r="J114" s="132">
        <f>IF($C114="","",SUMPRODUCT(('Dvd Calendar'!$E$1138:$AR$1138&gt;=DATE(YEAR_Y-1,1,1))*('Dvd Calendar'!$E$1138:$AR$1138&lt;=DATE(YEAR_Y-1,12,31))*'Dvd Calendar'!$E$1141:$AR$1141*(('Dvd Calendar'!$E$1143:$AR$1143=TYPE1)*(TYPE1&lt;&gt;"")+('Dvd Calendar'!$E$1143:$AR$1143=TYPE2)*(TYPE2&lt;&gt;"")+('Dvd Calendar'!$E$1143:$AR$1143=TYPE3)*(TYPE3&lt;&gt;"")+('Dvd Calendar'!$E$1143:$AR$1143=TYPE4)*(TYPE4&lt;&gt;"")+('Dvd Calendar'!$E$1143:$AR$1143=SPECIAL_LBL)*(INC_SPECIALS="Y"))))</f>
        <v/>
      </c>
      <c r="K114" s="133">
        <f>IF($C114="","",HSTECH!$J$9)</f>
        <v/>
      </c>
      <c r="L114" s="133">
        <f>IF($C114="","",HSTECH!$K$9)</f>
        <v/>
      </c>
      <c r="M114" s="124">
        <f>IF($C114="","",HSTECH!$J$9+HSTECH!$L$9)</f>
        <v/>
      </c>
      <c r="N114" s="134">
        <f>IF($C114="","",IF(PULL_FUND="N","",IFERROR(BDP($C114,BESTDPS_FIELD,FWD_OVERRIDE,TEXT(MOD(YEAR_Y,100),"00")&amp;"Y"),"")))</f>
        <v/>
      </c>
      <c r="O114" s="133">
        <f>IF($C114="","",AVERAGE(F114:J114))</f>
        <v/>
      </c>
      <c r="P114" s="135">
        <f>IF($C114="","",IF(PULL_FUND="N","",IF(COUNTIFS('Fund History'!$J$624:$J$628,"&gt;="&amp;DATE(YEAR_Y-5,1,1),'Fund History'!$J$624:$J$628,"&lt;="&amp;DATE(YEAR_Y-5,12,31))=0,"",IFERROR($F114*HSTECH!$G$9/SUMIFS('Fund History'!$K$624:$K$628,'Fund History'!$J$624:$J$628,"&gt;="&amp;DATE(YEAR_Y-5,1,1),'Fund History'!$J$624:$J$628,"&lt;="&amp;DATE(YEAR_Y-5,12,31)),""))))</f>
        <v/>
      </c>
      <c r="Q114" s="136">
        <f>IF($C114="","",IF(PULL_FUND="N","",IF(COUNTIFS('Fund History'!$J$624:$J$628,"&gt;="&amp;DATE(YEAR_Y-4,1,1),'Fund History'!$J$624:$J$628,"&lt;="&amp;DATE(YEAR_Y-4,12,31))=0,"",IFERROR($G114*HSTECH!$G$9/SUMIFS('Fund History'!$K$624:$K$628,'Fund History'!$J$624:$J$628,"&gt;="&amp;DATE(YEAR_Y-4,1,1),'Fund History'!$J$624:$J$628,"&lt;="&amp;DATE(YEAR_Y-4,12,31)),""))))</f>
        <v/>
      </c>
      <c r="R114" s="136">
        <f>IF($C114="","",IF(PULL_FUND="N","",IF(COUNTIFS('Fund History'!$J$624:$J$628,"&gt;="&amp;DATE(YEAR_Y-3,1,1),'Fund History'!$J$624:$J$628,"&lt;="&amp;DATE(YEAR_Y-3,12,31))=0,"",IFERROR($H114*HSTECH!$G$9/SUMIFS('Fund History'!$K$624:$K$628,'Fund History'!$J$624:$J$628,"&gt;="&amp;DATE(YEAR_Y-3,1,1),'Fund History'!$J$624:$J$628,"&lt;="&amp;DATE(YEAR_Y-3,12,31)),""))))</f>
        <v/>
      </c>
      <c r="S114" s="136">
        <f>IF($C114="","",IF(PULL_FUND="N","",IF(COUNTIFS('Fund History'!$J$624:$J$628,"&gt;="&amp;DATE(YEAR_Y-2,1,1),'Fund History'!$J$624:$J$628,"&lt;="&amp;DATE(YEAR_Y-2,12,31))=0,"",IFERROR($I114*HSTECH!$G$9/SUMIFS('Fund History'!$K$624:$K$628,'Fund History'!$J$624:$J$628,"&gt;="&amp;DATE(YEAR_Y-2,1,1),'Fund History'!$J$624:$J$628,"&lt;="&amp;DATE(YEAR_Y-2,12,31)),""))))</f>
        <v/>
      </c>
      <c r="T114" s="136">
        <f>IF($C114="","",IF(PULL_FUND="N","",IF(COUNTIFS('Fund History'!$J$624:$J$628,"&gt;="&amp;DATE(YEAR_Y-1,1,1),'Fund History'!$J$624:$J$628,"&lt;="&amp;DATE(YEAR_Y-1,12,31))=0,"",IFERROR($J114*HSTECH!$G$9/SUMIFS('Fund History'!$K$624:$K$628,'Fund History'!$J$624:$J$628,"&gt;="&amp;DATE(YEAR_Y-1,1,1),'Fund History'!$J$624:$J$628,"&lt;="&amp;DATE(YEAR_Y-1,12,31)),""))))</f>
        <v/>
      </c>
      <c r="U114" s="137">
        <f>IF($C114="","",IF(ISNUMBER(HSTECH!$I$9),HSTECH!$I$9/100,""))</f>
        <v/>
      </c>
      <c r="V114" s="138">
        <f>IF($C114="","",IF(ISNUMBER(HSTECH!$X$9),IFERROR($M114*HSTECH!$G$9/HSTECH!$X$9,""),""))</f>
        <v/>
      </c>
      <c r="W114" s="137">
        <f>IF($C114="","",IF(ISNUMBER($N114),IFERROR($N114*HSTECH!$G$9/HSTECH!$X$9,""),""))</f>
        <v/>
      </c>
      <c r="X114" s="139">
        <f>IF($C114="","",IF(PULL_FUND="N","",IFERROR(BDP($C114,EPS_FIELD,YR_OVERRIDE,TEXT(YEAR_Y-5,"0")),"")))</f>
        <v/>
      </c>
      <c r="Y114" s="140">
        <f>IF($C114="","",IF(PULL_FUND="N","",IFERROR(BDP($C114,EPS_FIELD,YR_OVERRIDE,TEXT(YEAR_Y-4,"0")),"")))</f>
        <v/>
      </c>
      <c r="Z114" s="140">
        <f>IF($C114="","",IF(PULL_FUND="N","",IFERROR(BDP($C114,EPS_FIELD,YR_OVERRIDE,TEXT(YEAR_Y-3,"0")),"")))</f>
        <v/>
      </c>
      <c r="AA114" s="140">
        <f>IF($C114="","",IF(PULL_FUND="N","",IFERROR(BDP($C114,EPS_FIELD,YR_OVERRIDE,TEXT(YEAR_Y-2,"0")),"")))</f>
        <v/>
      </c>
      <c r="AB114" s="140">
        <f>IF($C114="","",IF(PULL_FUND="N","",IFERROR(BDP($C114,EPS_FIELD,YR_OVERRIDE,TEXT(YEAR_Y-1,"0")),"")))</f>
        <v/>
      </c>
      <c r="AC114" s="126">
        <f>IF($C114="","",IFERROR(AVERAGE(X114:AB114),""))</f>
        <v/>
      </c>
      <c r="AD114" s="140">
        <f>IF($C114="","",IF(PULL_FUND="N","",IFERROR(BDP($C114,BESTEPS_FIELD,FWD_OVERRIDE,TEXT(MOD(YEAR_Y,100),"00")&amp;"Y"),"")))</f>
        <v/>
      </c>
      <c r="AE114" s="141">
        <f>IF($C114="","",IF(PULL_FUND="N","",IFERROR(BDP($C114,PAYOUT_FIELD,YR_OVERRIDE,TEXT(YEAR_Y-5,"0"))/100,"")))</f>
        <v/>
      </c>
      <c r="AF114" s="142">
        <f>IF($C114="","",IF(PULL_FUND="N","",IFERROR(BDP($C114,PAYOUT_FIELD,YR_OVERRIDE,TEXT(YEAR_Y-4,"0"))/100,"")))</f>
        <v/>
      </c>
      <c r="AG114" s="142">
        <f>IF($C114="","",IF(PULL_FUND="N","",IFERROR(BDP($C114,PAYOUT_FIELD,YR_OVERRIDE,TEXT(YEAR_Y-3,"0"))/100,"")))</f>
        <v/>
      </c>
      <c r="AH114" s="142">
        <f>IF($C114="","",IF(PULL_FUND="N","",IFERROR(BDP($C114,PAYOUT_FIELD,YR_OVERRIDE,TEXT(YEAR_Y-2,"0"))/100,"")))</f>
        <v/>
      </c>
      <c r="AI114" s="142">
        <f>IF($C114="","",IF(PULL_FUND="N","",IFERROR(BDP($C114,PAYOUT_FIELD,YR_OVERRIDE,TEXT(YEAR_Y-1,"0"))/100,"")))</f>
        <v/>
      </c>
      <c r="AJ114" s="143">
        <f>IF($C114="","",IFERROR(AVERAGE(AE114:AI114),""))</f>
        <v/>
      </c>
      <c r="AK114" s="144">
        <f>IF($C114="","",IF(ISNUMBER($AD114)*ISNUMBER($N114)*($AD114&lt;&gt;0)=0,"",$N114/$AD114))</f>
        <v/>
      </c>
      <c r="AL114" s="143">
        <f>IF($C114="","",IF(ISNUMBER($AD114)*($AD114&lt;&gt;0)=0,"",$M114/$AD114))</f>
        <v/>
      </c>
      <c r="AM114" s="37">
        <f>IF($C114="","",IF(ISNUMBER($AE114)*ISNUMBER($AI114)=0,"",IF($AI114&gt;$AE114+0.05,"rising",IF($AI114&lt;$AE114-0.05,"falling","stable"))))</f>
        <v/>
      </c>
      <c r="AN114" s="145">
        <f>IF($C114="","",IF(PULL_FUND="N","",IF(COUNTIFS('Fund History'!$G$624:$G$628,"&gt;="&amp;DATE(YEAR_Y-4,1,1),'Fund History'!$G$624:$G$628,"&lt;="&amp;DATE(YEAR_Y-4,12,31))=0,"",SUMIFS('Fund History'!$H$624:$H$628,'Fund History'!$G$624:$G$628,"&gt;="&amp;DATE(YEAR_Y-4,1,1),'Fund History'!$G$624:$G$628,"&lt;="&amp;DATE(YEAR_Y-4,12,31))/100)))</f>
        <v/>
      </c>
      <c r="AO114" s="146">
        <f>IF($C114="","",IF(PULL_FUND="N","",IF(COUNTIFS('Fund History'!$G$624:$G$628,"&gt;="&amp;DATE(YEAR_Y-3,1,1),'Fund History'!$G$624:$G$628,"&lt;="&amp;DATE(YEAR_Y-3,12,31))=0,"",SUMIFS('Fund History'!$H$624:$H$628,'Fund History'!$G$624:$G$628,"&gt;="&amp;DATE(YEAR_Y-3,1,1),'Fund History'!$G$624:$G$628,"&lt;="&amp;DATE(YEAR_Y-3,12,31))/100)))</f>
        <v/>
      </c>
      <c r="AP114" s="146">
        <f>IF($C114="","",IF(PULL_FUND="N","",IF(COUNTIFS('Fund History'!$G$624:$G$628,"&gt;="&amp;DATE(YEAR_Y-2,1,1),'Fund History'!$G$624:$G$628,"&lt;="&amp;DATE(YEAR_Y-2,12,31))=0,"",SUMIFS('Fund History'!$H$624:$H$628,'Fund History'!$G$624:$G$628,"&gt;="&amp;DATE(YEAR_Y-2,1,1),'Fund History'!$G$624:$G$628,"&lt;="&amp;DATE(YEAR_Y-2,12,31))/100)))</f>
        <v/>
      </c>
      <c r="AQ114" s="146">
        <f>IF($C114="","",IF(PULL_FUND="N","",IF(COUNTIFS('Fund History'!$G$624:$G$628,"&gt;="&amp;DATE(YEAR_Y-1,1,1),'Fund History'!$G$624:$G$628,"&lt;="&amp;DATE(YEAR_Y-1,12,31))=0,"",SUMIFS('Fund History'!$H$624:$H$628,'Fund History'!$G$624:$G$628,"&gt;="&amp;DATE(YEAR_Y-1,1,1),'Fund History'!$G$624:$G$628,"&lt;="&amp;DATE(YEAR_Y-1,12,31))/100)))</f>
        <v/>
      </c>
      <c r="AR114" s="147">
        <f>IF($C114="","",IF(N($AQ114)+N(HSTECH!$I$9)=0,"",N($AQ114)+N(HSTECH!$I$9)/100))</f>
        <v/>
      </c>
      <c r="AS114" s="139">
        <f>IF($C114="","",IF(PULL_FUND="N","",IF(COUNTIFS('Fund History'!$D$624:$D$628,"&gt;="&amp;DATE(YEAR_Y-2,1,1),'Fund History'!$D$624:$D$628,"&lt;="&amp;DATE(YEAR_Y-2,12,31))=0,"",SUMIFS('Fund History'!$E$624:$E$628,'Fund History'!$D$624:$D$628,"&gt;="&amp;DATE(YEAR_Y-2,1,1),'Fund History'!$D$624:$D$628,"&lt;="&amp;DATE(YEAR_Y-2,12,31)))))</f>
        <v/>
      </c>
      <c r="AT114" s="140">
        <f>IF($C114="","",IF(PULL_FUND="N","",IF(COUNTIFS('Fund History'!$D$624:$D$628,"&gt;="&amp;DATE(YEAR_Y-1,1,1),'Fund History'!$D$624:$D$628,"&lt;="&amp;DATE(YEAR_Y-1,12,31))=0,"",SUMIFS('Fund History'!$E$624:$E$628,'Fund History'!$D$624:$D$628,"&gt;="&amp;DATE(YEAR_Y-1,1,1),'Fund History'!$D$624:$D$628,"&lt;="&amp;DATE(YEAR_Y-1,12,31)))))</f>
        <v/>
      </c>
      <c r="AU114" s="140">
        <f>IF($C114="","",IF(PULL_FUND="N","",IFERROR(BDP($C114,NDEBITDA_FIELD),"")))</f>
        <v/>
      </c>
      <c r="AV114" s="148">
        <f>IF($C114="","",IF(PULL_FUND="N","",IFERROR(BDP($C114,EBINT_FIELD),"")))</f>
        <v/>
      </c>
      <c r="AW114" s="146">
        <f>IF($C114="","",IF(PULL_FUND="N","",IFERROR(BDP($C114,FCF_FIELD)/100,"")))</f>
        <v/>
      </c>
      <c r="AX114" s="126">
        <f>IF($C114="","",IF(N($U114)=0,"",IFERROR($AW114/$U114,"")))</f>
        <v/>
      </c>
      <c r="AY114" s="85">
        <f>IF($C114="","",TRIM(IF(ISNUMBER($AJ114)*(N($AJ114)&gt;$D$4)&gt;0,"payout high  ","")&amp;IF(ISNUMBER($AX114)*(N($AX114)&lt;$F$4)&gt;0,"FCF below dvd  ","")&amp;IF(ISNUMBER($AU114)*(N($AU114)&gt;$H$4)&gt;0,"leverage high","")))</f>
        <v/>
      </c>
      <c r="AZ114" s="86">
        <f>IF($C114="","",IF(HSTECH!$F$9="HKD","",HSTECH!$F$9))</f>
        <v/>
      </c>
    </row>
    <row r="115">
      <c r="B115" s="66" t="inlineStr">
        <is>
          <t>HSTECH</t>
        </is>
      </c>
      <c r="C115" s="8">
        <f>IF(HSTECH!$C$10="","",HSTECH!$C$10)</f>
        <v/>
      </c>
      <c r="D115" s="8">
        <f>IF($C115="","",HSTECH!$D$10)</f>
        <v/>
      </c>
      <c r="E115" s="8">
        <f>IF($C115="","",HSTECH!$E$10)</f>
        <v/>
      </c>
      <c r="F115" s="131">
        <f>IF($C115="","",SUMPRODUCT(('Dvd Calendar'!$E$1149:$AR$1149&gt;=DATE(YEAR_Y-5,1,1))*('Dvd Calendar'!$E$1149:$AR$1149&lt;=DATE(YEAR_Y-5,12,31))*'Dvd Calendar'!$E$1152:$AR$1152*(('Dvd Calendar'!$E$1154:$AR$1154=TYPE1)*(TYPE1&lt;&gt;"")+('Dvd Calendar'!$E$1154:$AR$1154=TYPE2)*(TYPE2&lt;&gt;"")+('Dvd Calendar'!$E$1154:$AR$1154=TYPE3)*(TYPE3&lt;&gt;"")+('Dvd Calendar'!$E$1154:$AR$1154=TYPE4)*(TYPE4&lt;&gt;"")+('Dvd Calendar'!$E$1154:$AR$1154=SPECIAL_LBL)*(INC_SPECIALS="Y"))))</f>
        <v/>
      </c>
      <c r="G115" s="132">
        <f>IF($C115="","",SUMPRODUCT(('Dvd Calendar'!$E$1149:$AR$1149&gt;=DATE(YEAR_Y-4,1,1))*('Dvd Calendar'!$E$1149:$AR$1149&lt;=DATE(YEAR_Y-4,12,31))*'Dvd Calendar'!$E$1152:$AR$1152*(('Dvd Calendar'!$E$1154:$AR$1154=TYPE1)*(TYPE1&lt;&gt;"")+('Dvd Calendar'!$E$1154:$AR$1154=TYPE2)*(TYPE2&lt;&gt;"")+('Dvd Calendar'!$E$1154:$AR$1154=TYPE3)*(TYPE3&lt;&gt;"")+('Dvd Calendar'!$E$1154:$AR$1154=TYPE4)*(TYPE4&lt;&gt;"")+('Dvd Calendar'!$E$1154:$AR$1154=SPECIAL_LBL)*(INC_SPECIALS="Y"))))</f>
        <v/>
      </c>
      <c r="H115" s="132">
        <f>IF($C115="","",SUMPRODUCT(('Dvd Calendar'!$E$1149:$AR$1149&gt;=DATE(YEAR_Y-3,1,1))*('Dvd Calendar'!$E$1149:$AR$1149&lt;=DATE(YEAR_Y-3,12,31))*'Dvd Calendar'!$E$1152:$AR$1152*(('Dvd Calendar'!$E$1154:$AR$1154=TYPE1)*(TYPE1&lt;&gt;"")+('Dvd Calendar'!$E$1154:$AR$1154=TYPE2)*(TYPE2&lt;&gt;"")+('Dvd Calendar'!$E$1154:$AR$1154=TYPE3)*(TYPE3&lt;&gt;"")+('Dvd Calendar'!$E$1154:$AR$1154=TYPE4)*(TYPE4&lt;&gt;"")+('Dvd Calendar'!$E$1154:$AR$1154=SPECIAL_LBL)*(INC_SPECIALS="Y"))))</f>
        <v/>
      </c>
      <c r="I115" s="132">
        <f>IF($C115="","",SUMPRODUCT(('Dvd Calendar'!$E$1149:$AR$1149&gt;=DATE(YEAR_Y-2,1,1))*('Dvd Calendar'!$E$1149:$AR$1149&lt;=DATE(YEAR_Y-2,12,31))*'Dvd Calendar'!$E$1152:$AR$1152*(('Dvd Calendar'!$E$1154:$AR$1154=TYPE1)*(TYPE1&lt;&gt;"")+('Dvd Calendar'!$E$1154:$AR$1154=TYPE2)*(TYPE2&lt;&gt;"")+('Dvd Calendar'!$E$1154:$AR$1154=TYPE3)*(TYPE3&lt;&gt;"")+('Dvd Calendar'!$E$1154:$AR$1154=TYPE4)*(TYPE4&lt;&gt;"")+('Dvd Calendar'!$E$1154:$AR$1154=SPECIAL_LBL)*(INC_SPECIALS="Y"))))</f>
        <v/>
      </c>
      <c r="J115" s="132">
        <f>IF($C115="","",SUMPRODUCT(('Dvd Calendar'!$E$1149:$AR$1149&gt;=DATE(YEAR_Y-1,1,1))*('Dvd Calendar'!$E$1149:$AR$1149&lt;=DATE(YEAR_Y-1,12,31))*'Dvd Calendar'!$E$1152:$AR$1152*(('Dvd Calendar'!$E$1154:$AR$1154=TYPE1)*(TYPE1&lt;&gt;"")+('Dvd Calendar'!$E$1154:$AR$1154=TYPE2)*(TYPE2&lt;&gt;"")+('Dvd Calendar'!$E$1154:$AR$1154=TYPE3)*(TYPE3&lt;&gt;"")+('Dvd Calendar'!$E$1154:$AR$1154=TYPE4)*(TYPE4&lt;&gt;"")+('Dvd Calendar'!$E$1154:$AR$1154=SPECIAL_LBL)*(INC_SPECIALS="Y"))))</f>
        <v/>
      </c>
      <c r="K115" s="133">
        <f>IF($C115="","",HSTECH!$J$10)</f>
        <v/>
      </c>
      <c r="L115" s="133">
        <f>IF($C115="","",HSTECH!$K$10)</f>
        <v/>
      </c>
      <c r="M115" s="124">
        <f>IF($C115="","",HSTECH!$J$10+HSTECH!$L$10)</f>
        <v/>
      </c>
      <c r="N115" s="134">
        <f>IF($C115="","",IF(PULL_FUND="N","",IFERROR(BDP($C115,BESTDPS_FIELD,FWD_OVERRIDE,TEXT(MOD(YEAR_Y,100),"00")&amp;"Y"),"")))</f>
        <v/>
      </c>
      <c r="O115" s="133">
        <f>IF($C115="","",AVERAGE(F115:J115))</f>
        <v/>
      </c>
      <c r="P115" s="135">
        <f>IF($C115="","",IF(PULL_FUND="N","",IF(COUNTIFS('Fund History'!$J$630:$J$634,"&gt;="&amp;DATE(YEAR_Y-5,1,1),'Fund History'!$J$630:$J$634,"&lt;="&amp;DATE(YEAR_Y-5,12,31))=0,"",IFERROR($F115*HSTECH!$G$10/SUMIFS('Fund History'!$K$630:$K$634,'Fund History'!$J$630:$J$634,"&gt;="&amp;DATE(YEAR_Y-5,1,1),'Fund History'!$J$630:$J$634,"&lt;="&amp;DATE(YEAR_Y-5,12,31)),""))))</f>
        <v/>
      </c>
      <c r="Q115" s="136">
        <f>IF($C115="","",IF(PULL_FUND="N","",IF(COUNTIFS('Fund History'!$J$630:$J$634,"&gt;="&amp;DATE(YEAR_Y-4,1,1),'Fund History'!$J$630:$J$634,"&lt;="&amp;DATE(YEAR_Y-4,12,31))=0,"",IFERROR($G115*HSTECH!$G$10/SUMIFS('Fund History'!$K$630:$K$634,'Fund History'!$J$630:$J$634,"&gt;="&amp;DATE(YEAR_Y-4,1,1),'Fund History'!$J$630:$J$634,"&lt;="&amp;DATE(YEAR_Y-4,12,31)),""))))</f>
        <v/>
      </c>
      <c r="R115" s="136">
        <f>IF($C115="","",IF(PULL_FUND="N","",IF(COUNTIFS('Fund History'!$J$630:$J$634,"&gt;="&amp;DATE(YEAR_Y-3,1,1),'Fund History'!$J$630:$J$634,"&lt;="&amp;DATE(YEAR_Y-3,12,31))=0,"",IFERROR($H115*HSTECH!$G$10/SUMIFS('Fund History'!$K$630:$K$634,'Fund History'!$J$630:$J$634,"&gt;="&amp;DATE(YEAR_Y-3,1,1),'Fund History'!$J$630:$J$634,"&lt;="&amp;DATE(YEAR_Y-3,12,31)),""))))</f>
        <v/>
      </c>
      <c r="S115" s="136">
        <f>IF($C115="","",IF(PULL_FUND="N","",IF(COUNTIFS('Fund History'!$J$630:$J$634,"&gt;="&amp;DATE(YEAR_Y-2,1,1),'Fund History'!$J$630:$J$634,"&lt;="&amp;DATE(YEAR_Y-2,12,31))=0,"",IFERROR($I115*HSTECH!$G$10/SUMIFS('Fund History'!$K$630:$K$634,'Fund History'!$J$630:$J$634,"&gt;="&amp;DATE(YEAR_Y-2,1,1),'Fund History'!$J$630:$J$634,"&lt;="&amp;DATE(YEAR_Y-2,12,31)),""))))</f>
        <v/>
      </c>
      <c r="T115" s="136">
        <f>IF($C115="","",IF(PULL_FUND="N","",IF(COUNTIFS('Fund History'!$J$630:$J$634,"&gt;="&amp;DATE(YEAR_Y-1,1,1),'Fund History'!$J$630:$J$634,"&lt;="&amp;DATE(YEAR_Y-1,12,31))=0,"",IFERROR($J115*HSTECH!$G$10/SUMIFS('Fund History'!$K$630:$K$634,'Fund History'!$J$630:$J$634,"&gt;="&amp;DATE(YEAR_Y-1,1,1),'Fund History'!$J$630:$J$634,"&lt;="&amp;DATE(YEAR_Y-1,12,31)),""))))</f>
        <v/>
      </c>
      <c r="U115" s="137">
        <f>IF($C115="","",IF(ISNUMBER(HSTECH!$I$10),HSTECH!$I$10/100,""))</f>
        <v/>
      </c>
      <c r="V115" s="138">
        <f>IF($C115="","",IF(ISNUMBER(HSTECH!$X$10),IFERROR($M115*HSTECH!$G$10/HSTECH!$X$10,""),""))</f>
        <v/>
      </c>
      <c r="W115" s="137">
        <f>IF($C115="","",IF(ISNUMBER($N115),IFERROR($N115*HSTECH!$G$10/HSTECH!$X$10,""),""))</f>
        <v/>
      </c>
      <c r="X115" s="139">
        <f>IF($C115="","",IF(PULL_FUND="N","",IFERROR(BDP($C115,EPS_FIELD,YR_OVERRIDE,TEXT(YEAR_Y-5,"0")),"")))</f>
        <v/>
      </c>
      <c r="Y115" s="140">
        <f>IF($C115="","",IF(PULL_FUND="N","",IFERROR(BDP($C115,EPS_FIELD,YR_OVERRIDE,TEXT(YEAR_Y-4,"0")),"")))</f>
        <v/>
      </c>
      <c r="Z115" s="140">
        <f>IF($C115="","",IF(PULL_FUND="N","",IFERROR(BDP($C115,EPS_FIELD,YR_OVERRIDE,TEXT(YEAR_Y-3,"0")),"")))</f>
        <v/>
      </c>
      <c r="AA115" s="140">
        <f>IF($C115="","",IF(PULL_FUND="N","",IFERROR(BDP($C115,EPS_FIELD,YR_OVERRIDE,TEXT(YEAR_Y-2,"0")),"")))</f>
        <v/>
      </c>
      <c r="AB115" s="140">
        <f>IF($C115="","",IF(PULL_FUND="N","",IFERROR(BDP($C115,EPS_FIELD,YR_OVERRIDE,TEXT(YEAR_Y-1,"0")),"")))</f>
        <v/>
      </c>
      <c r="AC115" s="126">
        <f>IF($C115="","",IFERROR(AVERAGE(X115:AB115),""))</f>
        <v/>
      </c>
      <c r="AD115" s="140">
        <f>IF($C115="","",IF(PULL_FUND="N","",IFERROR(BDP($C115,BESTEPS_FIELD,FWD_OVERRIDE,TEXT(MOD(YEAR_Y,100),"00")&amp;"Y"),"")))</f>
        <v/>
      </c>
      <c r="AE115" s="141">
        <f>IF($C115="","",IF(PULL_FUND="N","",IFERROR(BDP($C115,PAYOUT_FIELD,YR_OVERRIDE,TEXT(YEAR_Y-5,"0"))/100,"")))</f>
        <v/>
      </c>
      <c r="AF115" s="142">
        <f>IF($C115="","",IF(PULL_FUND="N","",IFERROR(BDP($C115,PAYOUT_FIELD,YR_OVERRIDE,TEXT(YEAR_Y-4,"0"))/100,"")))</f>
        <v/>
      </c>
      <c r="AG115" s="142">
        <f>IF($C115="","",IF(PULL_FUND="N","",IFERROR(BDP($C115,PAYOUT_FIELD,YR_OVERRIDE,TEXT(YEAR_Y-3,"0"))/100,"")))</f>
        <v/>
      </c>
      <c r="AH115" s="142">
        <f>IF($C115="","",IF(PULL_FUND="N","",IFERROR(BDP($C115,PAYOUT_FIELD,YR_OVERRIDE,TEXT(YEAR_Y-2,"0"))/100,"")))</f>
        <v/>
      </c>
      <c r="AI115" s="142">
        <f>IF($C115="","",IF(PULL_FUND="N","",IFERROR(BDP($C115,PAYOUT_FIELD,YR_OVERRIDE,TEXT(YEAR_Y-1,"0"))/100,"")))</f>
        <v/>
      </c>
      <c r="AJ115" s="143">
        <f>IF($C115="","",IFERROR(AVERAGE(AE115:AI115),""))</f>
        <v/>
      </c>
      <c r="AK115" s="144">
        <f>IF($C115="","",IF(ISNUMBER($AD115)*ISNUMBER($N115)*($AD115&lt;&gt;0)=0,"",$N115/$AD115))</f>
        <v/>
      </c>
      <c r="AL115" s="143">
        <f>IF($C115="","",IF(ISNUMBER($AD115)*($AD115&lt;&gt;0)=0,"",$M115/$AD115))</f>
        <v/>
      </c>
      <c r="AM115" s="37">
        <f>IF($C115="","",IF(ISNUMBER($AE115)*ISNUMBER($AI115)=0,"",IF($AI115&gt;$AE115+0.05,"rising",IF($AI115&lt;$AE115-0.05,"falling","stable"))))</f>
        <v/>
      </c>
      <c r="AN115" s="145">
        <f>IF($C115="","",IF(PULL_FUND="N","",IF(COUNTIFS('Fund History'!$G$630:$G$634,"&gt;="&amp;DATE(YEAR_Y-4,1,1),'Fund History'!$G$630:$G$634,"&lt;="&amp;DATE(YEAR_Y-4,12,31))=0,"",SUMIFS('Fund History'!$H$630:$H$634,'Fund History'!$G$630:$G$634,"&gt;="&amp;DATE(YEAR_Y-4,1,1),'Fund History'!$G$630:$G$634,"&lt;="&amp;DATE(YEAR_Y-4,12,31))/100)))</f>
        <v/>
      </c>
      <c r="AO115" s="146">
        <f>IF($C115="","",IF(PULL_FUND="N","",IF(COUNTIFS('Fund History'!$G$630:$G$634,"&gt;="&amp;DATE(YEAR_Y-3,1,1),'Fund History'!$G$630:$G$634,"&lt;="&amp;DATE(YEAR_Y-3,12,31))=0,"",SUMIFS('Fund History'!$H$630:$H$634,'Fund History'!$G$630:$G$634,"&gt;="&amp;DATE(YEAR_Y-3,1,1),'Fund History'!$G$630:$G$634,"&lt;="&amp;DATE(YEAR_Y-3,12,31))/100)))</f>
        <v/>
      </c>
      <c r="AP115" s="146">
        <f>IF($C115="","",IF(PULL_FUND="N","",IF(COUNTIFS('Fund History'!$G$630:$G$634,"&gt;="&amp;DATE(YEAR_Y-2,1,1),'Fund History'!$G$630:$G$634,"&lt;="&amp;DATE(YEAR_Y-2,12,31))=0,"",SUMIFS('Fund History'!$H$630:$H$634,'Fund History'!$G$630:$G$634,"&gt;="&amp;DATE(YEAR_Y-2,1,1),'Fund History'!$G$630:$G$634,"&lt;="&amp;DATE(YEAR_Y-2,12,31))/100)))</f>
        <v/>
      </c>
      <c r="AQ115" s="146">
        <f>IF($C115="","",IF(PULL_FUND="N","",IF(COUNTIFS('Fund History'!$G$630:$G$634,"&gt;="&amp;DATE(YEAR_Y-1,1,1),'Fund History'!$G$630:$G$634,"&lt;="&amp;DATE(YEAR_Y-1,12,31))=0,"",SUMIFS('Fund History'!$H$630:$H$634,'Fund History'!$G$630:$G$634,"&gt;="&amp;DATE(YEAR_Y-1,1,1),'Fund History'!$G$630:$G$634,"&lt;="&amp;DATE(YEAR_Y-1,12,31))/100)))</f>
        <v/>
      </c>
      <c r="AR115" s="147">
        <f>IF($C115="","",IF(N($AQ115)+N(HSTECH!$I$10)=0,"",N($AQ115)+N(HSTECH!$I$10)/100))</f>
        <v/>
      </c>
      <c r="AS115" s="139">
        <f>IF($C115="","",IF(PULL_FUND="N","",IF(COUNTIFS('Fund History'!$D$630:$D$634,"&gt;="&amp;DATE(YEAR_Y-2,1,1),'Fund History'!$D$630:$D$634,"&lt;="&amp;DATE(YEAR_Y-2,12,31))=0,"",SUMIFS('Fund History'!$E$630:$E$634,'Fund History'!$D$630:$D$634,"&gt;="&amp;DATE(YEAR_Y-2,1,1),'Fund History'!$D$630:$D$634,"&lt;="&amp;DATE(YEAR_Y-2,12,31)))))</f>
        <v/>
      </c>
      <c r="AT115" s="140">
        <f>IF($C115="","",IF(PULL_FUND="N","",IF(COUNTIFS('Fund History'!$D$630:$D$634,"&gt;="&amp;DATE(YEAR_Y-1,1,1),'Fund History'!$D$630:$D$634,"&lt;="&amp;DATE(YEAR_Y-1,12,31))=0,"",SUMIFS('Fund History'!$E$630:$E$634,'Fund History'!$D$630:$D$634,"&gt;="&amp;DATE(YEAR_Y-1,1,1),'Fund History'!$D$630:$D$634,"&lt;="&amp;DATE(YEAR_Y-1,12,31)))))</f>
        <v/>
      </c>
      <c r="AU115" s="140">
        <f>IF($C115="","",IF(PULL_FUND="N","",IFERROR(BDP($C115,NDEBITDA_FIELD),"")))</f>
        <v/>
      </c>
      <c r="AV115" s="148">
        <f>IF($C115="","",IF(PULL_FUND="N","",IFERROR(BDP($C115,EBINT_FIELD),"")))</f>
        <v/>
      </c>
      <c r="AW115" s="146">
        <f>IF($C115="","",IF(PULL_FUND="N","",IFERROR(BDP($C115,FCF_FIELD)/100,"")))</f>
        <v/>
      </c>
      <c r="AX115" s="126">
        <f>IF($C115="","",IF(N($U115)=0,"",IFERROR($AW115/$U115,"")))</f>
        <v/>
      </c>
      <c r="AY115" s="85">
        <f>IF($C115="","",TRIM(IF(ISNUMBER($AJ115)*(N($AJ115)&gt;$D$4)&gt;0,"payout high  ","")&amp;IF(ISNUMBER($AX115)*(N($AX115)&lt;$F$4)&gt;0,"FCF below dvd  ","")&amp;IF(ISNUMBER($AU115)*(N($AU115)&gt;$H$4)&gt;0,"leverage high","")))</f>
        <v/>
      </c>
      <c r="AZ115" s="86">
        <f>IF($C115="","",IF(HSTECH!$F$10="HKD","",HSTECH!$F$10))</f>
        <v/>
      </c>
    </row>
    <row r="116">
      <c r="B116" s="66" t="inlineStr">
        <is>
          <t>HSTECH</t>
        </is>
      </c>
      <c r="C116" s="8">
        <f>IF(HSTECH!$C$11="","",HSTECH!$C$11)</f>
        <v/>
      </c>
      <c r="D116" s="8">
        <f>IF($C116="","",HSTECH!$D$11)</f>
        <v/>
      </c>
      <c r="E116" s="8">
        <f>IF($C116="","",HSTECH!$E$11)</f>
        <v/>
      </c>
      <c r="F116" s="131">
        <f>IF($C116="","",SUMPRODUCT(('Dvd Calendar'!$E$1160:$AR$1160&gt;=DATE(YEAR_Y-5,1,1))*('Dvd Calendar'!$E$1160:$AR$1160&lt;=DATE(YEAR_Y-5,12,31))*'Dvd Calendar'!$E$1163:$AR$1163*(('Dvd Calendar'!$E$1165:$AR$1165=TYPE1)*(TYPE1&lt;&gt;"")+('Dvd Calendar'!$E$1165:$AR$1165=TYPE2)*(TYPE2&lt;&gt;"")+('Dvd Calendar'!$E$1165:$AR$1165=TYPE3)*(TYPE3&lt;&gt;"")+('Dvd Calendar'!$E$1165:$AR$1165=TYPE4)*(TYPE4&lt;&gt;"")+('Dvd Calendar'!$E$1165:$AR$1165=SPECIAL_LBL)*(INC_SPECIALS="Y"))))</f>
        <v/>
      </c>
      <c r="G116" s="132">
        <f>IF($C116="","",SUMPRODUCT(('Dvd Calendar'!$E$1160:$AR$1160&gt;=DATE(YEAR_Y-4,1,1))*('Dvd Calendar'!$E$1160:$AR$1160&lt;=DATE(YEAR_Y-4,12,31))*'Dvd Calendar'!$E$1163:$AR$1163*(('Dvd Calendar'!$E$1165:$AR$1165=TYPE1)*(TYPE1&lt;&gt;"")+('Dvd Calendar'!$E$1165:$AR$1165=TYPE2)*(TYPE2&lt;&gt;"")+('Dvd Calendar'!$E$1165:$AR$1165=TYPE3)*(TYPE3&lt;&gt;"")+('Dvd Calendar'!$E$1165:$AR$1165=TYPE4)*(TYPE4&lt;&gt;"")+('Dvd Calendar'!$E$1165:$AR$1165=SPECIAL_LBL)*(INC_SPECIALS="Y"))))</f>
        <v/>
      </c>
      <c r="H116" s="132">
        <f>IF($C116="","",SUMPRODUCT(('Dvd Calendar'!$E$1160:$AR$1160&gt;=DATE(YEAR_Y-3,1,1))*('Dvd Calendar'!$E$1160:$AR$1160&lt;=DATE(YEAR_Y-3,12,31))*'Dvd Calendar'!$E$1163:$AR$1163*(('Dvd Calendar'!$E$1165:$AR$1165=TYPE1)*(TYPE1&lt;&gt;"")+('Dvd Calendar'!$E$1165:$AR$1165=TYPE2)*(TYPE2&lt;&gt;"")+('Dvd Calendar'!$E$1165:$AR$1165=TYPE3)*(TYPE3&lt;&gt;"")+('Dvd Calendar'!$E$1165:$AR$1165=TYPE4)*(TYPE4&lt;&gt;"")+('Dvd Calendar'!$E$1165:$AR$1165=SPECIAL_LBL)*(INC_SPECIALS="Y"))))</f>
        <v/>
      </c>
      <c r="I116" s="132">
        <f>IF($C116="","",SUMPRODUCT(('Dvd Calendar'!$E$1160:$AR$1160&gt;=DATE(YEAR_Y-2,1,1))*('Dvd Calendar'!$E$1160:$AR$1160&lt;=DATE(YEAR_Y-2,12,31))*'Dvd Calendar'!$E$1163:$AR$1163*(('Dvd Calendar'!$E$1165:$AR$1165=TYPE1)*(TYPE1&lt;&gt;"")+('Dvd Calendar'!$E$1165:$AR$1165=TYPE2)*(TYPE2&lt;&gt;"")+('Dvd Calendar'!$E$1165:$AR$1165=TYPE3)*(TYPE3&lt;&gt;"")+('Dvd Calendar'!$E$1165:$AR$1165=TYPE4)*(TYPE4&lt;&gt;"")+('Dvd Calendar'!$E$1165:$AR$1165=SPECIAL_LBL)*(INC_SPECIALS="Y"))))</f>
        <v/>
      </c>
      <c r="J116" s="132">
        <f>IF($C116="","",SUMPRODUCT(('Dvd Calendar'!$E$1160:$AR$1160&gt;=DATE(YEAR_Y-1,1,1))*('Dvd Calendar'!$E$1160:$AR$1160&lt;=DATE(YEAR_Y-1,12,31))*'Dvd Calendar'!$E$1163:$AR$1163*(('Dvd Calendar'!$E$1165:$AR$1165=TYPE1)*(TYPE1&lt;&gt;"")+('Dvd Calendar'!$E$1165:$AR$1165=TYPE2)*(TYPE2&lt;&gt;"")+('Dvd Calendar'!$E$1165:$AR$1165=TYPE3)*(TYPE3&lt;&gt;"")+('Dvd Calendar'!$E$1165:$AR$1165=TYPE4)*(TYPE4&lt;&gt;"")+('Dvd Calendar'!$E$1165:$AR$1165=SPECIAL_LBL)*(INC_SPECIALS="Y"))))</f>
        <v/>
      </c>
      <c r="K116" s="133">
        <f>IF($C116="","",HSTECH!$J$11)</f>
        <v/>
      </c>
      <c r="L116" s="133">
        <f>IF($C116="","",HSTECH!$K$11)</f>
        <v/>
      </c>
      <c r="M116" s="124">
        <f>IF($C116="","",HSTECH!$J$11+HSTECH!$L$11)</f>
        <v/>
      </c>
      <c r="N116" s="134">
        <f>IF($C116="","",IF(PULL_FUND="N","",IFERROR(BDP($C116,BESTDPS_FIELD,FWD_OVERRIDE,TEXT(MOD(YEAR_Y,100),"00")&amp;"Y"),"")))</f>
        <v/>
      </c>
      <c r="O116" s="133">
        <f>IF($C116="","",AVERAGE(F116:J116))</f>
        <v/>
      </c>
      <c r="P116" s="135">
        <f>IF($C116="","",IF(PULL_FUND="N","",IF(COUNTIFS('Fund History'!$J$636:$J$640,"&gt;="&amp;DATE(YEAR_Y-5,1,1),'Fund History'!$J$636:$J$640,"&lt;="&amp;DATE(YEAR_Y-5,12,31))=0,"",IFERROR($F116*HSTECH!$G$11/SUMIFS('Fund History'!$K$636:$K$640,'Fund History'!$J$636:$J$640,"&gt;="&amp;DATE(YEAR_Y-5,1,1),'Fund History'!$J$636:$J$640,"&lt;="&amp;DATE(YEAR_Y-5,12,31)),""))))</f>
        <v/>
      </c>
      <c r="Q116" s="136">
        <f>IF($C116="","",IF(PULL_FUND="N","",IF(COUNTIFS('Fund History'!$J$636:$J$640,"&gt;="&amp;DATE(YEAR_Y-4,1,1),'Fund History'!$J$636:$J$640,"&lt;="&amp;DATE(YEAR_Y-4,12,31))=0,"",IFERROR($G116*HSTECH!$G$11/SUMIFS('Fund History'!$K$636:$K$640,'Fund History'!$J$636:$J$640,"&gt;="&amp;DATE(YEAR_Y-4,1,1),'Fund History'!$J$636:$J$640,"&lt;="&amp;DATE(YEAR_Y-4,12,31)),""))))</f>
        <v/>
      </c>
      <c r="R116" s="136">
        <f>IF($C116="","",IF(PULL_FUND="N","",IF(COUNTIFS('Fund History'!$J$636:$J$640,"&gt;="&amp;DATE(YEAR_Y-3,1,1),'Fund History'!$J$636:$J$640,"&lt;="&amp;DATE(YEAR_Y-3,12,31))=0,"",IFERROR($H116*HSTECH!$G$11/SUMIFS('Fund History'!$K$636:$K$640,'Fund History'!$J$636:$J$640,"&gt;="&amp;DATE(YEAR_Y-3,1,1),'Fund History'!$J$636:$J$640,"&lt;="&amp;DATE(YEAR_Y-3,12,31)),""))))</f>
        <v/>
      </c>
      <c r="S116" s="136">
        <f>IF($C116="","",IF(PULL_FUND="N","",IF(COUNTIFS('Fund History'!$J$636:$J$640,"&gt;="&amp;DATE(YEAR_Y-2,1,1),'Fund History'!$J$636:$J$640,"&lt;="&amp;DATE(YEAR_Y-2,12,31))=0,"",IFERROR($I116*HSTECH!$G$11/SUMIFS('Fund History'!$K$636:$K$640,'Fund History'!$J$636:$J$640,"&gt;="&amp;DATE(YEAR_Y-2,1,1),'Fund History'!$J$636:$J$640,"&lt;="&amp;DATE(YEAR_Y-2,12,31)),""))))</f>
        <v/>
      </c>
      <c r="T116" s="136">
        <f>IF($C116="","",IF(PULL_FUND="N","",IF(COUNTIFS('Fund History'!$J$636:$J$640,"&gt;="&amp;DATE(YEAR_Y-1,1,1),'Fund History'!$J$636:$J$640,"&lt;="&amp;DATE(YEAR_Y-1,12,31))=0,"",IFERROR($J116*HSTECH!$G$11/SUMIFS('Fund History'!$K$636:$K$640,'Fund History'!$J$636:$J$640,"&gt;="&amp;DATE(YEAR_Y-1,1,1),'Fund History'!$J$636:$J$640,"&lt;="&amp;DATE(YEAR_Y-1,12,31)),""))))</f>
        <v/>
      </c>
      <c r="U116" s="137">
        <f>IF($C116="","",IF(ISNUMBER(HSTECH!$I$11),HSTECH!$I$11/100,""))</f>
        <v/>
      </c>
      <c r="V116" s="138">
        <f>IF($C116="","",IF(ISNUMBER(HSTECH!$X$11),IFERROR($M116*HSTECH!$G$11/HSTECH!$X$11,""),""))</f>
        <v/>
      </c>
      <c r="W116" s="137">
        <f>IF($C116="","",IF(ISNUMBER($N116),IFERROR($N116*HSTECH!$G$11/HSTECH!$X$11,""),""))</f>
        <v/>
      </c>
      <c r="X116" s="139">
        <f>IF($C116="","",IF(PULL_FUND="N","",IFERROR(BDP($C116,EPS_FIELD,YR_OVERRIDE,TEXT(YEAR_Y-5,"0")),"")))</f>
        <v/>
      </c>
      <c r="Y116" s="140">
        <f>IF($C116="","",IF(PULL_FUND="N","",IFERROR(BDP($C116,EPS_FIELD,YR_OVERRIDE,TEXT(YEAR_Y-4,"0")),"")))</f>
        <v/>
      </c>
      <c r="Z116" s="140">
        <f>IF($C116="","",IF(PULL_FUND="N","",IFERROR(BDP($C116,EPS_FIELD,YR_OVERRIDE,TEXT(YEAR_Y-3,"0")),"")))</f>
        <v/>
      </c>
      <c r="AA116" s="140">
        <f>IF($C116="","",IF(PULL_FUND="N","",IFERROR(BDP($C116,EPS_FIELD,YR_OVERRIDE,TEXT(YEAR_Y-2,"0")),"")))</f>
        <v/>
      </c>
      <c r="AB116" s="140">
        <f>IF($C116="","",IF(PULL_FUND="N","",IFERROR(BDP($C116,EPS_FIELD,YR_OVERRIDE,TEXT(YEAR_Y-1,"0")),"")))</f>
        <v/>
      </c>
      <c r="AC116" s="126">
        <f>IF($C116="","",IFERROR(AVERAGE(X116:AB116),""))</f>
        <v/>
      </c>
      <c r="AD116" s="140">
        <f>IF($C116="","",IF(PULL_FUND="N","",IFERROR(BDP($C116,BESTEPS_FIELD,FWD_OVERRIDE,TEXT(MOD(YEAR_Y,100),"00")&amp;"Y"),"")))</f>
        <v/>
      </c>
      <c r="AE116" s="141">
        <f>IF($C116="","",IF(PULL_FUND="N","",IFERROR(BDP($C116,PAYOUT_FIELD,YR_OVERRIDE,TEXT(YEAR_Y-5,"0"))/100,"")))</f>
        <v/>
      </c>
      <c r="AF116" s="142">
        <f>IF($C116="","",IF(PULL_FUND="N","",IFERROR(BDP($C116,PAYOUT_FIELD,YR_OVERRIDE,TEXT(YEAR_Y-4,"0"))/100,"")))</f>
        <v/>
      </c>
      <c r="AG116" s="142">
        <f>IF($C116="","",IF(PULL_FUND="N","",IFERROR(BDP($C116,PAYOUT_FIELD,YR_OVERRIDE,TEXT(YEAR_Y-3,"0"))/100,"")))</f>
        <v/>
      </c>
      <c r="AH116" s="142">
        <f>IF($C116="","",IF(PULL_FUND="N","",IFERROR(BDP($C116,PAYOUT_FIELD,YR_OVERRIDE,TEXT(YEAR_Y-2,"0"))/100,"")))</f>
        <v/>
      </c>
      <c r="AI116" s="142">
        <f>IF($C116="","",IF(PULL_FUND="N","",IFERROR(BDP($C116,PAYOUT_FIELD,YR_OVERRIDE,TEXT(YEAR_Y-1,"0"))/100,"")))</f>
        <v/>
      </c>
      <c r="AJ116" s="143">
        <f>IF($C116="","",IFERROR(AVERAGE(AE116:AI116),""))</f>
        <v/>
      </c>
      <c r="AK116" s="144">
        <f>IF($C116="","",IF(ISNUMBER($AD116)*ISNUMBER($N116)*($AD116&lt;&gt;0)=0,"",$N116/$AD116))</f>
        <v/>
      </c>
      <c r="AL116" s="143">
        <f>IF($C116="","",IF(ISNUMBER($AD116)*($AD116&lt;&gt;0)=0,"",$M116/$AD116))</f>
        <v/>
      </c>
      <c r="AM116" s="37">
        <f>IF($C116="","",IF(ISNUMBER($AE116)*ISNUMBER($AI116)=0,"",IF($AI116&gt;$AE116+0.05,"rising",IF($AI116&lt;$AE116-0.05,"falling","stable"))))</f>
        <v/>
      </c>
      <c r="AN116" s="145">
        <f>IF($C116="","",IF(PULL_FUND="N","",IF(COUNTIFS('Fund History'!$G$636:$G$640,"&gt;="&amp;DATE(YEAR_Y-4,1,1),'Fund History'!$G$636:$G$640,"&lt;="&amp;DATE(YEAR_Y-4,12,31))=0,"",SUMIFS('Fund History'!$H$636:$H$640,'Fund History'!$G$636:$G$640,"&gt;="&amp;DATE(YEAR_Y-4,1,1),'Fund History'!$G$636:$G$640,"&lt;="&amp;DATE(YEAR_Y-4,12,31))/100)))</f>
        <v/>
      </c>
      <c r="AO116" s="146">
        <f>IF($C116="","",IF(PULL_FUND="N","",IF(COUNTIFS('Fund History'!$G$636:$G$640,"&gt;="&amp;DATE(YEAR_Y-3,1,1),'Fund History'!$G$636:$G$640,"&lt;="&amp;DATE(YEAR_Y-3,12,31))=0,"",SUMIFS('Fund History'!$H$636:$H$640,'Fund History'!$G$636:$G$640,"&gt;="&amp;DATE(YEAR_Y-3,1,1),'Fund History'!$G$636:$G$640,"&lt;="&amp;DATE(YEAR_Y-3,12,31))/100)))</f>
        <v/>
      </c>
      <c r="AP116" s="146">
        <f>IF($C116="","",IF(PULL_FUND="N","",IF(COUNTIFS('Fund History'!$G$636:$G$640,"&gt;="&amp;DATE(YEAR_Y-2,1,1),'Fund History'!$G$636:$G$640,"&lt;="&amp;DATE(YEAR_Y-2,12,31))=0,"",SUMIFS('Fund History'!$H$636:$H$640,'Fund History'!$G$636:$G$640,"&gt;="&amp;DATE(YEAR_Y-2,1,1),'Fund History'!$G$636:$G$640,"&lt;="&amp;DATE(YEAR_Y-2,12,31))/100)))</f>
        <v/>
      </c>
      <c r="AQ116" s="146">
        <f>IF($C116="","",IF(PULL_FUND="N","",IF(COUNTIFS('Fund History'!$G$636:$G$640,"&gt;="&amp;DATE(YEAR_Y-1,1,1),'Fund History'!$G$636:$G$640,"&lt;="&amp;DATE(YEAR_Y-1,12,31))=0,"",SUMIFS('Fund History'!$H$636:$H$640,'Fund History'!$G$636:$G$640,"&gt;="&amp;DATE(YEAR_Y-1,1,1),'Fund History'!$G$636:$G$640,"&lt;="&amp;DATE(YEAR_Y-1,12,31))/100)))</f>
        <v/>
      </c>
      <c r="AR116" s="147">
        <f>IF($C116="","",IF(N($AQ116)+N(HSTECH!$I$11)=0,"",N($AQ116)+N(HSTECH!$I$11)/100))</f>
        <v/>
      </c>
      <c r="AS116" s="139">
        <f>IF($C116="","",IF(PULL_FUND="N","",IF(COUNTIFS('Fund History'!$D$636:$D$640,"&gt;="&amp;DATE(YEAR_Y-2,1,1),'Fund History'!$D$636:$D$640,"&lt;="&amp;DATE(YEAR_Y-2,12,31))=0,"",SUMIFS('Fund History'!$E$636:$E$640,'Fund History'!$D$636:$D$640,"&gt;="&amp;DATE(YEAR_Y-2,1,1),'Fund History'!$D$636:$D$640,"&lt;="&amp;DATE(YEAR_Y-2,12,31)))))</f>
        <v/>
      </c>
      <c r="AT116" s="140">
        <f>IF($C116="","",IF(PULL_FUND="N","",IF(COUNTIFS('Fund History'!$D$636:$D$640,"&gt;="&amp;DATE(YEAR_Y-1,1,1),'Fund History'!$D$636:$D$640,"&lt;="&amp;DATE(YEAR_Y-1,12,31))=0,"",SUMIFS('Fund History'!$E$636:$E$640,'Fund History'!$D$636:$D$640,"&gt;="&amp;DATE(YEAR_Y-1,1,1),'Fund History'!$D$636:$D$640,"&lt;="&amp;DATE(YEAR_Y-1,12,31)))))</f>
        <v/>
      </c>
      <c r="AU116" s="140">
        <f>IF($C116="","",IF(PULL_FUND="N","",IFERROR(BDP($C116,NDEBITDA_FIELD),"")))</f>
        <v/>
      </c>
      <c r="AV116" s="148">
        <f>IF($C116="","",IF(PULL_FUND="N","",IFERROR(BDP($C116,EBINT_FIELD),"")))</f>
        <v/>
      </c>
      <c r="AW116" s="146">
        <f>IF($C116="","",IF(PULL_FUND="N","",IFERROR(BDP($C116,FCF_FIELD)/100,"")))</f>
        <v/>
      </c>
      <c r="AX116" s="126">
        <f>IF($C116="","",IF(N($U116)=0,"",IFERROR($AW116/$U116,"")))</f>
        <v/>
      </c>
      <c r="AY116" s="85">
        <f>IF($C116="","",TRIM(IF(ISNUMBER($AJ116)*(N($AJ116)&gt;$D$4)&gt;0,"payout high  ","")&amp;IF(ISNUMBER($AX116)*(N($AX116)&lt;$F$4)&gt;0,"FCF below dvd  ","")&amp;IF(ISNUMBER($AU116)*(N($AU116)&gt;$H$4)&gt;0,"leverage high","")))</f>
        <v/>
      </c>
      <c r="AZ116" s="86">
        <f>IF($C116="","",IF(HSTECH!$F$11="HKD","",HSTECH!$F$11))</f>
        <v/>
      </c>
    </row>
    <row r="117">
      <c r="B117" s="66" t="inlineStr">
        <is>
          <t>HSTECH</t>
        </is>
      </c>
      <c r="C117" s="8">
        <f>IF(HSTECH!$C$12="","",HSTECH!$C$12)</f>
        <v/>
      </c>
      <c r="D117" s="8">
        <f>IF($C117="","",HSTECH!$D$12)</f>
        <v/>
      </c>
      <c r="E117" s="8">
        <f>IF($C117="","",HSTECH!$E$12)</f>
        <v/>
      </c>
      <c r="F117" s="131">
        <f>IF($C117="","",SUMPRODUCT(('Dvd Calendar'!$E$1171:$AR$1171&gt;=DATE(YEAR_Y-5,1,1))*('Dvd Calendar'!$E$1171:$AR$1171&lt;=DATE(YEAR_Y-5,12,31))*'Dvd Calendar'!$E$1174:$AR$1174*(('Dvd Calendar'!$E$1176:$AR$1176=TYPE1)*(TYPE1&lt;&gt;"")+('Dvd Calendar'!$E$1176:$AR$1176=TYPE2)*(TYPE2&lt;&gt;"")+('Dvd Calendar'!$E$1176:$AR$1176=TYPE3)*(TYPE3&lt;&gt;"")+('Dvd Calendar'!$E$1176:$AR$1176=TYPE4)*(TYPE4&lt;&gt;"")+('Dvd Calendar'!$E$1176:$AR$1176=SPECIAL_LBL)*(INC_SPECIALS="Y"))))</f>
        <v/>
      </c>
      <c r="G117" s="132">
        <f>IF($C117="","",SUMPRODUCT(('Dvd Calendar'!$E$1171:$AR$1171&gt;=DATE(YEAR_Y-4,1,1))*('Dvd Calendar'!$E$1171:$AR$1171&lt;=DATE(YEAR_Y-4,12,31))*'Dvd Calendar'!$E$1174:$AR$1174*(('Dvd Calendar'!$E$1176:$AR$1176=TYPE1)*(TYPE1&lt;&gt;"")+('Dvd Calendar'!$E$1176:$AR$1176=TYPE2)*(TYPE2&lt;&gt;"")+('Dvd Calendar'!$E$1176:$AR$1176=TYPE3)*(TYPE3&lt;&gt;"")+('Dvd Calendar'!$E$1176:$AR$1176=TYPE4)*(TYPE4&lt;&gt;"")+('Dvd Calendar'!$E$1176:$AR$1176=SPECIAL_LBL)*(INC_SPECIALS="Y"))))</f>
        <v/>
      </c>
      <c r="H117" s="132">
        <f>IF($C117="","",SUMPRODUCT(('Dvd Calendar'!$E$1171:$AR$1171&gt;=DATE(YEAR_Y-3,1,1))*('Dvd Calendar'!$E$1171:$AR$1171&lt;=DATE(YEAR_Y-3,12,31))*'Dvd Calendar'!$E$1174:$AR$1174*(('Dvd Calendar'!$E$1176:$AR$1176=TYPE1)*(TYPE1&lt;&gt;"")+('Dvd Calendar'!$E$1176:$AR$1176=TYPE2)*(TYPE2&lt;&gt;"")+('Dvd Calendar'!$E$1176:$AR$1176=TYPE3)*(TYPE3&lt;&gt;"")+('Dvd Calendar'!$E$1176:$AR$1176=TYPE4)*(TYPE4&lt;&gt;"")+('Dvd Calendar'!$E$1176:$AR$1176=SPECIAL_LBL)*(INC_SPECIALS="Y"))))</f>
        <v/>
      </c>
      <c r="I117" s="132">
        <f>IF($C117="","",SUMPRODUCT(('Dvd Calendar'!$E$1171:$AR$1171&gt;=DATE(YEAR_Y-2,1,1))*('Dvd Calendar'!$E$1171:$AR$1171&lt;=DATE(YEAR_Y-2,12,31))*'Dvd Calendar'!$E$1174:$AR$1174*(('Dvd Calendar'!$E$1176:$AR$1176=TYPE1)*(TYPE1&lt;&gt;"")+('Dvd Calendar'!$E$1176:$AR$1176=TYPE2)*(TYPE2&lt;&gt;"")+('Dvd Calendar'!$E$1176:$AR$1176=TYPE3)*(TYPE3&lt;&gt;"")+('Dvd Calendar'!$E$1176:$AR$1176=TYPE4)*(TYPE4&lt;&gt;"")+('Dvd Calendar'!$E$1176:$AR$1176=SPECIAL_LBL)*(INC_SPECIALS="Y"))))</f>
        <v/>
      </c>
      <c r="J117" s="132">
        <f>IF($C117="","",SUMPRODUCT(('Dvd Calendar'!$E$1171:$AR$1171&gt;=DATE(YEAR_Y-1,1,1))*('Dvd Calendar'!$E$1171:$AR$1171&lt;=DATE(YEAR_Y-1,12,31))*'Dvd Calendar'!$E$1174:$AR$1174*(('Dvd Calendar'!$E$1176:$AR$1176=TYPE1)*(TYPE1&lt;&gt;"")+('Dvd Calendar'!$E$1176:$AR$1176=TYPE2)*(TYPE2&lt;&gt;"")+('Dvd Calendar'!$E$1176:$AR$1176=TYPE3)*(TYPE3&lt;&gt;"")+('Dvd Calendar'!$E$1176:$AR$1176=TYPE4)*(TYPE4&lt;&gt;"")+('Dvd Calendar'!$E$1176:$AR$1176=SPECIAL_LBL)*(INC_SPECIALS="Y"))))</f>
        <v/>
      </c>
      <c r="K117" s="133">
        <f>IF($C117="","",HSTECH!$J$12)</f>
        <v/>
      </c>
      <c r="L117" s="133">
        <f>IF($C117="","",HSTECH!$K$12)</f>
        <v/>
      </c>
      <c r="M117" s="124">
        <f>IF($C117="","",HSTECH!$J$12+HSTECH!$L$12)</f>
        <v/>
      </c>
      <c r="N117" s="134">
        <f>IF($C117="","",IF(PULL_FUND="N","",IFERROR(BDP($C117,BESTDPS_FIELD,FWD_OVERRIDE,TEXT(MOD(YEAR_Y,100),"00")&amp;"Y"),"")))</f>
        <v/>
      </c>
      <c r="O117" s="133">
        <f>IF($C117="","",AVERAGE(F117:J117))</f>
        <v/>
      </c>
      <c r="P117" s="135">
        <f>IF($C117="","",IF(PULL_FUND="N","",IF(COUNTIFS('Fund History'!$J$642:$J$646,"&gt;="&amp;DATE(YEAR_Y-5,1,1),'Fund History'!$J$642:$J$646,"&lt;="&amp;DATE(YEAR_Y-5,12,31))=0,"",IFERROR($F117*HSTECH!$G$12/SUMIFS('Fund History'!$K$642:$K$646,'Fund History'!$J$642:$J$646,"&gt;="&amp;DATE(YEAR_Y-5,1,1),'Fund History'!$J$642:$J$646,"&lt;="&amp;DATE(YEAR_Y-5,12,31)),""))))</f>
        <v/>
      </c>
      <c r="Q117" s="136">
        <f>IF($C117="","",IF(PULL_FUND="N","",IF(COUNTIFS('Fund History'!$J$642:$J$646,"&gt;="&amp;DATE(YEAR_Y-4,1,1),'Fund History'!$J$642:$J$646,"&lt;="&amp;DATE(YEAR_Y-4,12,31))=0,"",IFERROR($G117*HSTECH!$G$12/SUMIFS('Fund History'!$K$642:$K$646,'Fund History'!$J$642:$J$646,"&gt;="&amp;DATE(YEAR_Y-4,1,1),'Fund History'!$J$642:$J$646,"&lt;="&amp;DATE(YEAR_Y-4,12,31)),""))))</f>
        <v/>
      </c>
      <c r="R117" s="136">
        <f>IF($C117="","",IF(PULL_FUND="N","",IF(COUNTIFS('Fund History'!$J$642:$J$646,"&gt;="&amp;DATE(YEAR_Y-3,1,1),'Fund History'!$J$642:$J$646,"&lt;="&amp;DATE(YEAR_Y-3,12,31))=0,"",IFERROR($H117*HSTECH!$G$12/SUMIFS('Fund History'!$K$642:$K$646,'Fund History'!$J$642:$J$646,"&gt;="&amp;DATE(YEAR_Y-3,1,1),'Fund History'!$J$642:$J$646,"&lt;="&amp;DATE(YEAR_Y-3,12,31)),""))))</f>
        <v/>
      </c>
      <c r="S117" s="136">
        <f>IF($C117="","",IF(PULL_FUND="N","",IF(COUNTIFS('Fund History'!$J$642:$J$646,"&gt;="&amp;DATE(YEAR_Y-2,1,1),'Fund History'!$J$642:$J$646,"&lt;="&amp;DATE(YEAR_Y-2,12,31))=0,"",IFERROR($I117*HSTECH!$G$12/SUMIFS('Fund History'!$K$642:$K$646,'Fund History'!$J$642:$J$646,"&gt;="&amp;DATE(YEAR_Y-2,1,1),'Fund History'!$J$642:$J$646,"&lt;="&amp;DATE(YEAR_Y-2,12,31)),""))))</f>
        <v/>
      </c>
      <c r="T117" s="136">
        <f>IF($C117="","",IF(PULL_FUND="N","",IF(COUNTIFS('Fund History'!$J$642:$J$646,"&gt;="&amp;DATE(YEAR_Y-1,1,1),'Fund History'!$J$642:$J$646,"&lt;="&amp;DATE(YEAR_Y-1,12,31))=0,"",IFERROR($J117*HSTECH!$G$12/SUMIFS('Fund History'!$K$642:$K$646,'Fund History'!$J$642:$J$646,"&gt;="&amp;DATE(YEAR_Y-1,1,1),'Fund History'!$J$642:$J$646,"&lt;="&amp;DATE(YEAR_Y-1,12,31)),""))))</f>
        <v/>
      </c>
      <c r="U117" s="137">
        <f>IF($C117="","",IF(ISNUMBER(HSTECH!$I$12),HSTECH!$I$12/100,""))</f>
        <v/>
      </c>
      <c r="V117" s="138">
        <f>IF($C117="","",IF(ISNUMBER(HSTECH!$X$12),IFERROR($M117*HSTECH!$G$12/HSTECH!$X$12,""),""))</f>
        <v/>
      </c>
      <c r="W117" s="137">
        <f>IF($C117="","",IF(ISNUMBER($N117),IFERROR($N117*HSTECH!$G$12/HSTECH!$X$12,""),""))</f>
        <v/>
      </c>
      <c r="X117" s="139">
        <f>IF($C117="","",IF(PULL_FUND="N","",IFERROR(BDP($C117,EPS_FIELD,YR_OVERRIDE,TEXT(YEAR_Y-5,"0")),"")))</f>
        <v/>
      </c>
      <c r="Y117" s="140">
        <f>IF($C117="","",IF(PULL_FUND="N","",IFERROR(BDP($C117,EPS_FIELD,YR_OVERRIDE,TEXT(YEAR_Y-4,"0")),"")))</f>
        <v/>
      </c>
      <c r="Z117" s="140">
        <f>IF($C117="","",IF(PULL_FUND="N","",IFERROR(BDP($C117,EPS_FIELD,YR_OVERRIDE,TEXT(YEAR_Y-3,"0")),"")))</f>
        <v/>
      </c>
      <c r="AA117" s="140">
        <f>IF($C117="","",IF(PULL_FUND="N","",IFERROR(BDP($C117,EPS_FIELD,YR_OVERRIDE,TEXT(YEAR_Y-2,"0")),"")))</f>
        <v/>
      </c>
      <c r="AB117" s="140">
        <f>IF($C117="","",IF(PULL_FUND="N","",IFERROR(BDP($C117,EPS_FIELD,YR_OVERRIDE,TEXT(YEAR_Y-1,"0")),"")))</f>
        <v/>
      </c>
      <c r="AC117" s="126">
        <f>IF($C117="","",IFERROR(AVERAGE(X117:AB117),""))</f>
        <v/>
      </c>
      <c r="AD117" s="140">
        <f>IF($C117="","",IF(PULL_FUND="N","",IFERROR(BDP($C117,BESTEPS_FIELD,FWD_OVERRIDE,TEXT(MOD(YEAR_Y,100),"00")&amp;"Y"),"")))</f>
        <v/>
      </c>
      <c r="AE117" s="141">
        <f>IF($C117="","",IF(PULL_FUND="N","",IFERROR(BDP($C117,PAYOUT_FIELD,YR_OVERRIDE,TEXT(YEAR_Y-5,"0"))/100,"")))</f>
        <v/>
      </c>
      <c r="AF117" s="142">
        <f>IF($C117="","",IF(PULL_FUND="N","",IFERROR(BDP($C117,PAYOUT_FIELD,YR_OVERRIDE,TEXT(YEAR_Y-4,"0"))/100,"")))</f>
        <v/>
      </c>
      <c r="AG117" s="142">
        <f>IF($C117="","",IF(PULL_FUND="N","",IFERROR(BDP($C117,PAYOUT_FIELD,YR_OVERRIDE,TEXT(YEAR_Y-3,"0"))/100,"")))</f>
        <v/>
      </c>
      <c r="AH117" s="142">
        <f>IF($C117="","",IF(PULL_FUND="N","",IFERROR(BDP($C117,PAYOUT_FIELD,YR_OVERRIDE,TEXT(YEAR_Y-2,"0"))/100,"")))</f>
        <v/>
      </c>
      <c r="AI117" s="142">
        <f>IF($C117="","",IF(PULL_FUND="N","",IFERROR(BDP($C117,PAYOUT_FIELD,YR_OVERRIDE,TEXT(YEAR_Y-1,"0"))/100,"")))</f>
        <v/>
      </c>
      <c r="AJ117" s="143">
        <f>IF($C117="","",IFERROR(AVERAGE(AE117:AI117),""))</f>
        <v/>
      </c>
      <c r="AK117" s="144">
        <f>IF($C117="","",IF(ISNUMBER($AD117)*ISNUMBER($N117)*($AD117&lt;&gt;0)=0,"",$N117/$AD117))</f>
        <v/>
      </c>
      <c r="AL117" s="143">
        <f>IF($C117="","",IF(ISNUMBER($AD117)*($AD117&lt;&gt;0)=0,"",$M117/$AD117))</f>
        <v/>
      </c>
      <c r="AM117" s="37">
        <f>IF($C117="","",IF(ISNUMBER($AE117)*ISNUMBER($AI117)=0,"",IF($AI117&gt;$AE117+0.05,"rising",IF($AI117&lt;$AE117-0.05,"falling","stable"))))</f>
        <v/>
      </c>
      <c r="AN117" s="145">
        <f>IF($C117="","",IF(PULL_FUND="N","",IF(COUNTIFS('Fund History'!$G$642:$G$646,"&gt;="&amp;DATE(YEAR_Y-4,1,1),'Fund History'!$G$642:$G$646,"&lt;="&amp;DATE(YEAR_Y-4,12,31))=0,"",SUMIFS('Fund History'!$H$642:$H$646,'Fund History'!$G$642:$G$646,"&gt;="&amp;DATE(YEAR_Y-4,1,1),'Fund History'!$G$642:$G$646,"&lt;="&amp;DATE(YEAR_Y-4,12,31))/100)))</f>
        <v/>
      </c>
      <c r="AO117" s="146">
        <f>IF($C117="","",IF(PULL_FUND="N","",IF(COUNTIFS('Fund History'!$G$642:$G$646,"&gt;="&amp;DATE(YEAR_Y-3,1,1),'Fund History'!$G$642:$G$646,"&lt;="&amp;DATE(YEAR_Y-3,12,31))=0,"",SUMIFS('Fund History'!$H$642:$H$646,'Fund History'!$G$642:$G$646,"&gt;="&amp;DATE(YEAR_Y-3,1,1),'Fund History'!$G$642:$G$646,"&lt;="&amp;DATE(YEAR_Y-3,12,31))/100)))</f>
        <v/>
      </c>
      <c r="AP117" s="146">
        <f>IF($C117="","",IF(PULL_FUND="N","",IF(COUNTIFS('Fund History'!$G$642:$G$646,"&gt;="&amp;DATE(YEAR_Y-2,1,1),'Fund History'!$G$642:$G$646,"&lt;="&amp;DATE(YEAR_Y-2,12,31))=0,"",SUMIFS('Fund History'!$H$642:$H$646,'Fund History'!$G$642:$G$646,"&gt;="&amp;DATE(YEAR_Y-2,1,1),'Fund History'!$G$642:$G$646,"&lt;="&amp;DATE(YEAR_Y-2,12,31))/100)))</f>
        <v/>
      </c>
      <c r="AQ117" s="146">
        <f>IF($C117="","",IF(PULL_FUND="N","",IF(COUNTIFS('Fund History'!$G$642:$G$646,"&gt;="&amp;DATE(YEAR_Y-1,1,1),'Fund History'!$G$642:$G$646,"&lt;="&amp;DATE(YEAR_Y-1,12,31))=0,"",SUMIFS('Fund History'!$H$642:$H$646,'Fund History'!$G$642:$G$646,"&gt;="&amp;DATE(YEAR_Y-1,1,1),'Fund History'!$G$642:$G$646,"&lt;="&amp;DATE(YEAR_Y-1,12,31))/100)))</f>
        <v/>
      </c>
      <c r="AR117" s="147">
        <f>IF($C117="","",IF(N($AQ117)+N(HSTECH!$I$12)=0,"",N($AQ117)+N(HSTECH!$I$12)/100))</f>
        <v/>
      </c>
      <c r="AS117" s="139">
        <f>IF($C117="","",IF(PULL_FUND="N","",IF(COUNTIFS('Fund History'!$D$642:$D$646,"&gt;="&amp;DATE(YEAR_Y-2,1,1),'Fund History'!$D$642:$D$646,"&lt;="&amp;DATE(YEAR_Y-2,12,31))=0,"",SUMIFS('Fund History'!$E$642:$E$646,'Fund History'!$D$642:$D$646,"&gt;="&amp;DATE(YEAR_Y-2,1,1),'Fund History'!$D$642:$D$646,"&lt;="&amp;DATE(YEAR_Y-2,12,31)))))</f>
        <v/>
      </c>
      <c r="AT117" s="140">
        <f>IF($C117="","",IF(PULL_FUND="N","",IF(COUNTIFS('Fund History'!$D$642:$D$646,"&gt;="&amp;DATE(YEAR_Y-1,1,1),'Fund History'!$D$642:$D$646,"&lt;="&amp;DATE(YEAR_Y-1,12,31))=0,"",SUMIFS('Fund History'!$E$642:$E$646,'Fund History'!$D$642:$D$646,"&gt;="&amp;DATE(YEAR_Y-1,1,1),'Fund History'!$D$642:$D$646,"&lt;="&amp;DATE(YEAR_Y-1,12,31)))))</f>
        <v/>
      </c>
      <c r="AU117" s="140">
        <f>IF($C117="","",IF(PULL_FUND="N","",IFERROR(BDP($C117,NDEBITDA_FIELD),"")))</f>
        <v/>
      </c>
      <c r="AV117" s="148">
        <f>IF($C117="","",IF(PULL_FUND="N","",IFERROR(BDP($C117,EBINT_FIELD),"")))</f>
        <v/>
      </c>
      <c r="AW117" s="146">
        <f>IF($C117="","",IF(PULL_FUND="N","",IFERROR(BDP($C117,FCF_FIELD)/100,"")))</f>
        <v/>
      </c>
      <c r="AX117" s="126">
        <f>IF($C117="","",IF(N($U117)=0,"",IFERROR($AW117/$U117,"")))</f>
        <v/>
      </c>
      <c r="AY117" s="85">
        <f>IF($C117="","",TRIM(IF(ISNUMBER($AJ117)*(N($AJ117)&gt;$D$4)&gt;0,"payout high  ","")&amp;IF(ISNUMBER($AX117)*(N($AX117)&lt;$F$4)&gt;0,"FCF below dvd  ","")&amp;IF(ISNUMBER($AU117)*(N($AU117)&gt;$H$4)&gt;0,"leverage high","")))</f>
        <v/>
      </c>
      <c r="AZ117" s="86">
        <f>IF($C117="","",IF(HSTECH!$F$12="HKD","",HSTECH!$F$12))</f>
        <v/>
      </c>
    </row>
    <row r="118">
      <c r="B118" s="66" t="inlineStr">
        <is>
          <t>HSTECH</t>
        </is>
      </c>
      <c r="C118" s="8">
        <f>IF(HSTECH!$C$13="","",HSTECH!$C$13)</f>
        <v/>
      </c>
      <c r="D118" s="8">
        <f>IF($C118="","",HSTECH!$D$13)</f>
        <v/>
      </c>
      <c r="E118" s="8">
        <f>IF($C118="","",HSTECH!$E$13)</f>
        <v/>
      </c>
      <c r="F118" s="131">
        <f>IF($C118="","",SUMPRODUCT(('Dvd Calendar'!$E$1182:$AR$1182&gt;=DATE(YEAR_Y-5,1,1))*('Dvd Calendar'!$E$1182:$AR$1182&lt;=DATE(YEAR_Y-5,12,31))*'Dvd Calendar'!$E$1185:$AR$1185*(('Dvd Calendar'!$E$1187:$AR$1187=TYPE1)*(TYPE1&lt;&gt;"")+('Dvd Calendar'!$E$1187:$AR$1187=TYPE2)*(TYPE2&lt;&gt;"")+('Dvd Calendar'!$E$1187:$AR$1187=TYPE3)*(TYPE3&lt;&gt;"")+('Dvd Calendar'!$E$1187:$AR$1187=TYPE4)*(TYPE4&lt;&gt;"")+('Dvd Calendar'!$E$1187:$AR$1187=SPECIAL_LBL)*(INC_SPECIALS="Y"))))</f>
        <v/>
      </c>
      <c r="G118" s="132">
        <f>IF($C118="","",SUMPRODUCT(('Dvd Calendar'!$E$1182:$AR$1182&gt;=DATE(YEAR_Y-4,1,1))*('Dvd Calendar'!$E$1182:$AR$1182&lt;=DATE(YEAR_Y-4,12,31))*'Dvd Calendar'!$E$1185:$AR$1185*(('Dvd Calendar'!$E$1187:$AR$1187=TYPE1)*(TYPE1&lt;&gt;"")+('Dvd Calendar'!$E$1187:$AR$1187=TYPE2)*(TYPE2&lt;&gt;"")+('Dvd Calendar'!$E$1187:$AR$1187=TYPE3)*(TYPE3&lt;&gt;"")+('Dvd Calendar'!$E$1187:$AR$1187=TYPE4)*(TYPE4&lt;&gt;"")+('Dvd Calendar'!$E$1187:$AR$1187=SPECIAL_LBL)*(INC_SPECIALS="Y"))))</f>
        <v/>
      </c>
      <c r="H118" s="132">
        <f>IF($C118="","",SUMPRODUCT(('Dvd Calendar'!$E$1182:$AR$1182&gt;=DATE(YEAR_Y-3,1,1))*('Dvd Calendar'!$E$1182:$AR$1182&lt;=DATE(YEAR_Y-3,12,31))*'Dvd Calendar'!$E$1185:$AR$1185*(('Dvd Calendar'!$E$1187:$AR$1187=TYPE1)*(TYPE1&lt;&gt;"")+('Dvd Calendar'!$E$1187:$AR$1187=TYPE2)*(TYPE2&lt;&gt;"")+('Dvd Calendar'!$E$1187:$AR$1187=TYPE3)*(TYPE3&lt;&gt;"")+('Dvd Calendar'!$E$1187:$AR$1187=TYPE4)*(TYPE4&lt;&gt;"")+('Dvd Calendar'!$E$1187:$AR$1187=SPECIAL_LBL)*(INC_SPECIALS="Y"))))</f>
        <v/>
      </c>
      <c r="I118" s="132">
        <f>IF($C118="","",SUMPRODUCT(('Dvd Calendar'!$E$1182:$AR$1182&gt;=DATE(YEAR_Y-2,1,1))*('Dvd Calendar'!$E$1182:$AR$1182&lt;=DATE(YEAR_Y-2,12,31))*'Dvd Calendar'!$E$1185:$AR$1185*(('Dvd Calendar'!$E$1187:$AR$1187=TYPE1)*(TYPE1&lt;&gt;"")+('Dvd Calendar'!$E$1187:$AR$1187=TYPE2)*(TYPE2&lt;&gt;"")+('Dvd Calendar'!$E$1187:$AR$1187=TYPE3)*(TYPE3&lt;&gt;"")+('Dvd Calendar'!$E$1187:$AR$1187=TYPE4)*(TYPE4&lt;&gt;"")+('Dvd Calendar'!$E$1187:$AR$1187=SPECIAL_LBL)*(INC_SPECIALS="Y"))))</f>
        <v/>
      </c>
      <c r="J118" s="132">
        <f>IF($C118="","",SUMPRODUCT(('Dvd Calendar'!$E$1182:$AR$1182&gt;=DATE(YEAR_Y-1,1,1))*('Dvd Calendar'!$E$1182:$AR$1182&lt;=DATE(YEAR_Y-1,12,31))*'Dvd Calendar'!$E$1185:$AR$1185*(('Dvd Calendar'!$E$1187:$AR$1187=TYPE1)*(TYPE1&lt;&gt;"")+('Dvd Calendar'!$E$1187:$AR$1187=TYPE2)*(TYPE2&lt;&gt;"")+('Dvd Calendar'!$E$1187:$AR$1187=TYPE3)*(TYPE3&lt;&gt;"")+('Dvd Calendar'!$E$1187:$AR$1187=TYPE4)*(TYPE4&lt;&gt;"")+('Dvd Calendar'!$E$1187:$AR$1187=SPECIAL_LBL)*(INC_SPECIALS="Y"))))</f>
        <v/>
      </c>
      <c r="K118" s="133">
        <f>IF($C118="","",HSTECH!$J$13)</f>
        <v/>
      </c>
      <c r="L118" s="133">
        <f>IF($C118="","",HSTECH!$K$13)</f>
        <v/>
      </c>
      <c r="M118" s="124">
        <f>IF($C118="","",HSTECH!$J$13+HSTECH!$L$13)</f>
        <v/>
      </c>
      <c r="N118" s="134">
        <f>IF($C118="","",IF(PULL_FUND="N","",IFERROR(BDP($C118,BESTDPS_FIELD,FWD_OVERRIDE,TEXT(MOD(YEAR_Y,100),"00")&amp;"Y"),"")))</f>
        <v/>
      </c>
      <c r="O118" s="133">
        <f>IF($C118="","",AVERAGE(F118:J118))</f>
        <v/>
      </c>
      <c r="P118" s="135">
        <f>IF($C118="","",IF(PULL_FUND="N","",IF(COUNTIFS('Fund History'!$J$648:$J$652,"&gt;="&amp;DATE(YEAR_Y-5,1,1),'Fund History'!$J$648:$J$652,"&lt;="&amp;DATE(YEAR_Y-5,12,31))=0,"",IFERROR($F118*HSTECH!$G$13/SUMIFS('Fund History'!$K$648:$K$652,'Fund History'!$J$648:$J$652,"&gt;="&amp;DATE(YEAR_Y-5,1,1),'Fund History'!$J$648:$J$652,"&lt;="&amp;DATE(YEAR_Y-5,12,31)),""))))</f>
        <v/>
      </c>
      <c r="Q118" s="136">
        <f>IF($C118="","",IF(PULL_FUND="N","",IF(COUNTIFS('Fund History'!$J$648:$J$652,"&gt;="&amp;DATE(YEAR_Y-4,1,1),'Fund History'!$J$648:$J$652,"&lt;="&amp;DATE(YEAR_Y-4,12,31))=0,"",IFERROR($G118*HSTECH!$G$13/SUMIFS('Fund History'!$K$648:$K$652,'Fund History'!$J$648:$J$652,"&gt;="&amp;DATE(YEAR_Y-4,1,1),'Fund History'!$J$648:$J$652,"&lt;="&amp;DATE(YEAR_Y-4,12,31)),""))))</f>
        <v/>
      </c>
      <c r="R118" s="136">
        <f>IF($C118="","",IF(PULL_FUND="N","",IF(COUNTIFS('Fund History'!$J$648:$J$652,"&gt;="&amp;DATE(YEAR_Y-3,1,1),'Fund History'!$J$648:$J$652,"&lt;="&amp;DATE(YEAR_Y-3,12,31))=0,"",IFERROR($H118*HSTECH!$G$13/SUMIFS('Fund History'!$K$648:$K$652,'Fund History'!$J$648:$J$652,"&gt;="&amp;DATE(YEAR_Y-3,1,1),'Fund History'!$J$648:$J$652,"&lt;="&amp;DATE(YEAR_Y-3,12,31)),""))))</f>
        <v/>
      </c>
      <c r="S118" s="136">
        <f>IF($C118="","",IF(PULL_FUND="N","",IF(COUNTIFS('Fund History'!$J$648:$J$652,"&gt;="&amp;DATE(YEAR_Y-2,1,1),'Fund History'!$J$648:$J$652,"&lt;="&amp;DATE(YEAR_Y-2,12,31))=0,"",IFERROR($I118*HSTECH!$G$13/SUMIFS('Fund History'!$K$648:$K$652,'Fund History'!$J$648:$J$652,"&gt;="&amp;DATE(YEAR_Y-2,1,1),'Fund History'!$J$648:$J$652,"&lt;="&amp;DATE(YEAR_Y-2,12,31)),""))))</f>
        <v/>
      </c>
      <c r="T118" s="136">
        <f>IF($C118="","",IF(PULL_FUND="N","",IF(COUNTIFS('Fund History'!$J$648:$J$652,"&gt;="&amp;DATE(YEAR_Y-1,1,1),'Fund History'!$J$648:$J$652,"&lt;="&amp;DATE(YEAR_Y-1,12,31))=0,"",IFERROR($J118*HSTECH!$G$13/SUMIFS('Fund History'!$K$648:$K$652,'Fund History'!$J$648:$J$652,"&gt;="&amp;DATE(YEAR_Y-1,1,1),'Fund History'!$J$648:$J$652,"&lt;="&amp;DATE(YEAR_Y-1,12,31)),""))))</f>
        <v/>
      </c>
      <c r="U118" s="137">
        <f>IF($C118="","",IF(ISNUMBER(HSTECH!$I$13),HSTECH!$I$13/100,""))</f>
        <v/>
      </c>
      <c r="V118" s="138">
        <f>IF($C118="","",IF(ISNUMBER(HSTECH!$X$13),IFERROR($M118*HSTECH!$G$13/HSTECH!$X$13,""),""))</f>
        <v/>
      </c>
      <c r="W118" s="137">
        <f>IF($C118="","",IF(ISNUMBER($N118),IFERROR($N118*HSTECH!$G$13/HSTECH!$X$13,""),""))</f>
        <v/>
      </c>
      <c r="X118" s="139">
        <f>IF($C118="","",IF(PULL_FUND="N","",IFERROR(BDP($C118,EPS_FIELD,YR_OVERRIDE,TEXT(YEAR_Y-5,"0")),"")))</f>
        <v/>
      </c>
      <c r="Y118" s="140">
        <f>IF($C118="","",IF(PULL_FUND="N","",IFERROR(BDP($C118,EPS_FIELD,YR_OVERRIDE,TEXT(YEAR_Y-4,"0")),"")))</f>
        <v/>
      </c>
      <c r="Z118" s="140">
        <f>IF($C118="","",IF(PULL_FUND="N","",IFERROR(BDP($C118,EPS_FIELD,YR_OVERRIDE,TEXT(YEAR_Y-3,"0")),"")))</f>
        <v/>
      </c>
      <c r="AA118" s="140">
        <f>IF($C118="","",IF(PULL_FUND="N","",IFERROR(BDP($C118,EPS_FIELD,YR_OVERRIDE,TEXT(YEAR_Y-2,"0")),"")))</f>
        <v/>
      </c>
      <c r="AB118" s="140">
        <f>IF($C118="","",IF(PULL_FUND="N","",IFERROR(BDP($C118,EPS_FIELD,YR_OVERRIDE,TEXT(YEAR_Y-1,"0")),"")))</f>
        <v/>
      </c>
      <c r="AC118" s="126">
        <f>IF($C118="","",IFERROR(AVERAGE(X118:AB118),""))</f>
        <v/>
      </c>
      <c r="AD118" s="140">
        <f>IF($C118="","",IF(PULL_FUND="N","",IFERROR(BDP($C118,BESTEPS_FIELD,FWD_OVERRIDE,TEXT(MOD(YEAR_Y,100),"00")&amp;"Y"),"")))</f>
        <v/>
      </c>
      <c r="AE118" s="141">
        <f>IF($C118="","",IF(PULL_FUND="N","",IFERROR(BDP($C118,PAYOUT_FIELD,YR_OVERRIDE,TEXT(YEAR_Y-5,"0"))/100,"")))</f>
        <v/>
      </c>
      <c r="AF118" s="142">
        <f>IF($C118="","",IF(PULL_FUND="N","",IFERROR(BDP($C118,PAYOUT_FIELD,YR_OVERRIDE,TEXT(YEAR_Y-4,"0"))/100,"")))</f>
        <v/>
      </c>
      <c r="AG118" s="142">
        <f>IF($C118="","",IF(PULL_FUND="N","",IFERROR(BDP($C118,PAYOUT_FIELD,YR_OVERRIDE,TEXT(YEAR_Y-3,"0"))/100,"")))</f>
        <v/>
      </c>
      <c r="AH118" s="142">
        <f>IF($C118="","",IF(PULL_FUND="N","",IFERROR(BDP($C118,PAYOUT_FIELD,YR_OVERRIDE,TEXT(YEAR_Y-2,"0"))/100,"")))</f>
        <v/>
      </c>
      <c r="AI118" s="142">
        <f>IF($C118="","",IF(PULL_FUND="N","",IFERROR(BDP($C118,PAYOUT_FIELD,YR_OVERRIDE,TEXT(YEAR_Y-1,"0"))/100,"")))</f>
        <v/>
      </c>
      <c r="AJ118" s="143">
        <f>IF($C118="","",IFERROR(AVERAGE(AE118:AI118),""))</f>
        <v/>
      </c>
      <c r="AK118" s="144">
        <f>IF($C118="","",IF(ISNUMBER($AD118)*ISNUMBER($N118)*($AD118&lt;&gt;0)=0,"",$N118/$AD118))</f>
        <v/>
      </c>
      <c r="AL118" s="143">
        <f>IF($C118="","",IF(ISNUMBER($AD118)*($AD118&lt;&gt;0)=0,"",$M118/$AD118))</f>
        <v/>
      </c>
      <c r="AM118" s="37">
        <f>IF($C118="","",IF(ISNUMBER($AE118)*ISNUMBER($AI118)=0,"",IF($AI118&gt;$AE118+0.05,"rising",IF($AI118&lt;$AE118-0.05,"falling","stable"))))</f>
        <v/>
      </c>
      <c r="AN118" s="145">
        <f>IF($C118="","",IF(PULL_FUND="N","",IF(COUNTIFS('Fund History'!$G$648:$G$652,"&gt;="&amp;DATE(YEAR_Y-4,1,1),'Fund History'!$G$648:$G$652,"&lt;="&amp;DATE(YEAR_Y-4,12,31))=0,"",SUMIFS('Fund History'!$H$648:$H$652,'Fund History'!$G$648:$G$652,"&gt;="&amp;DATE(YEAR_Y-4,1,1),'Fund History'!$G$648:$G$652,"&lt;="&amp;DATE(YEAR_Y-4,12,31))/100)))</f>
        <v/>
      </c>
      <c r="AO118" s="146">
        <f>IF($C118="","",IF(PULL_FUND="N","",IF(COUNTIFS('Fund History'!$G$648:$G$652,"&gt;="&amp;DATE(YEAR_Y-3,1,1),'Fund History'!$G$648:$G$652,"&lt;="&amp;DATE(YEAR_Y-3,12,31))=0,"",SUMIFS('Fund History'!$H$648:$H$652,'Fund History'!$G$648:$G$652,"&gt;="&amp;DATE(YEAR_Y-3,1,1),'Fund History'!$G$648:$G$652,"&lt;="&amp;DATE(YEAR_Y-3,12,31))/100)))</f>
        <v/>
      </c>
      <c r="AP118" s="146">
        <f>IF($C118="","",IF(PULL_FUND="N","",IF(COUNTIFS('Fund History'!$G$648:$G$652,"&gt;="&amp;DATE(YEAR_Y-2,1,1),'Fund History'!$G$648:$G$652,"&lt;="&amp;DATE(YEAR_Y-2,12,31))=0,"",SUMIFS('Fund History'!$H$648:$H$652,'Fund History'!$G$648:$G$652,"&gt;="&amp;DATE(YEAR_Y-2,1,1),'Fund History'!$G$648:$G$652,"&lt;="&amp;DATE(YEAR_Y-2,12,31))/100)))</f>
        <v/>
      </c>
      <c r="AQ118" s="146">
        <f>IF($C118="","",IF(PULL_FUND="N","",IF(COUNTIFS('Fund History'!$G$648:$G$652,"&gt;="&amp;DATE(YEAR_Y-1,1,1),'Fund History'!$G$648:$G$652,"&lt;="&amp;DATE(YEAR_Y-1,12,31))=0,"",SUMIFS('Fund History'!$H$648:$H$652,'Fund History'!$G$648:$G$652,"&gt;="&amp;DATE(YEAR_Y-1,1,1),'Fund History'!$G$648:$G$652,"&lt;="&amp;DATE(YEAR_Y-1,12,31))/100)))</f>
        <v/>
      </c>
      <c r="AR118" s="147">
        <f>IF($C118="","",IF(N($AQ118)+N(HSTECH!$I$13)=0,"",N($AQ118)+N(HSTECH!$I$13)/100))</f>
        <v/>
      </c>
      <c r="AS118" s="139">
        <f>IF($C118="","",IF(PULL_FUND="N","",IF(COUNTIFS('Fund History'!$D$648:$D$652,"&gt;="&amp;DATE(YEAR_Y-2,1,1),'Fund History'!$D$648:$D$652,"&lt;="&amp;DATE(YEAR_Y-2,12,31))=0,"",SUMIFS('Fund History'!$E$648:$E$652,'Fund History'!$D$648:$D$652,"&gt;="&amp;DATE(YEAR_Y-2,1,1),'Fund History'!$D$648:$D$652,"&lt;="&amp;DATE(YEAR_Y-2,12,31)))))</f>
        <v/>
      </c>
      <c r="AT118" s="140">
        <f>IF($C118="","",IF(PULL_FUND="N","",IF(COUNTIFS('Fund History'!$D$648:$D$652,"&gt;="&amp;DATE(YEAR_Y-1,1,1),'Fund History'!$D$648:$D$652,"&lt;="&amp;DATE(YEAR_Y-1,12,31))=0,"",SUMIFS('Fund History'!$E$648:$E$652,'Fund History'!$D$648:$D$652,"&gt;="&amp;DATE(YEAR_Y-1,1,1),'Fund History'!$D$648:$D$652,"&lt;="&amp;DATE(YEAR_Y-1,12,31)))))</f>
        <v/>
      </c>
      <c r="AU118" s="140">
        <f>IF($C118="","",IF(PULL_FUND="N","",IFERROR(BDP($C118,NDEBITDA_FIELD),"")))</f>
        <v/>
      </c>
      <c r="AV118" s="148">
        <f>IF($C118="","",IF(PULL_FUND="N","",IFERROR(BDP($C118,EBINT_FIELD),"")))</f>
        <v/>
      </c>
      <c r="AW118" s="146">
        <f>IF($C118="","",IF(PULL_FUND="N","",IFERROR(BDP($C118,FCF_FIELD)/100,"")))</f>
        <v/>
      </c>
      <c r="AX118" s="126">
        <f>IF($C118="","",IF(N($U118)=0,"",IFERROR($AW118/$U118,"")))</f>
        <v/>
      </c>
      <c r="AY118" s="85">
        <f>IF($C118="","",TRIM(IF(ISNUMBER($AJ118)*(N($AJ118)&gt;$D$4)&gt;0,"payout high  ","")&amp;IF(ISNUMBER($AX118)*(N($AX118)&lt;$F$4)&gt;0,"FCF below dvd  ","")&amp;IF(ISNUMBER($AU118)*(N($AU118)&gt;$H$4)&gt;0,"leverage high","")))</f>
        <v/>
      </c>
      <c r="AZ118" s="86">
        <f>IF($C118="","",IF(HSTECH!$F$13="HKD","",HSTECH!$F$13))</f>
        <v/>
      </c>
    </row>
    <row r="119">
      <c r="B119" s="66" t="inlineStr">
        <is>
          <t>HSTECH</t>
        </is>
      </c>
      <c r="C119" s="8">
        <f>IF(HSTECH!$C$14="","",HSTECH!$C$14)</f>
        <v/>
      </c>
      <c r="D119" s="8">
        <f>IF($C119="","",HSTECH!$D$14)</f>
        <v/>
      </c>
      <c r="E119" s="8">
        <f>IF($C119="","",HSTECH!$E$14)</f>
        <v/>
      </c>
      <c r="F119" s="131">
        <f>IF($C119="","",SUMPRODUCT(('Dvd Calendar'!$E$1193:$AR$1193&gt;=DATE(YEAR_Y-5,1,1))*('Dvd Calendar'!$E$1193:$AR$1193&lt;=DATE(YEAR_Y-5,12,31))*'Dvd Calendar'!$E$1196:$AR$1196*(('Dvd Calendar'!$E$1198:$AR$1198=TYPE1)*(TYPE1&lt;&gt;"")+('Dvd Calendar'!$E$1198:$AR$1198=TYPE2)*(TYPE2&lt;&gt;"")+('Dvd Calendar'!$E$1198:$AR$1198=TYPE3)*(TYPE3&lt;&gt;"")+('Dvd Calendar'!$E$1198:$AR$1198=TYPE4)*(TYPE4&lt;&gt;"")+('Dvd Calendar'!$E$1198:$AR$1198=SPECIAL_LBL)*(INC_SPECIALS="Y"))))</f>
        <v/>
      </c>
      <c r="G119" s="132">
        <f>IF($C119="","",SUMPRODUCT(('Dvd Calendar'!$E$1193:$AR$1193&gt;=DATE(YEAR_Y-4,1,1))*('Dvd Calendar'!$E$1193:$AR$1193&lt;=DATE(YEAR_Y-4,12,31))*'Dvd Calendar'!$E$1196:$AR$1196*(('Dvd Calendar'!$E$1198:$AR$1198=TYPE1)*(TYPE1&lt;&gt;"")+('Dvd Calendar'!$E$1198:$AR$1198=TYPE2)*(TYPE2&lt;&gt;"")+('Dvd Calendar'!$E$1198:$AR$1198=TYPE3)*(TYPE3&lt;&gt;"")+('Dvd Calendar'!$E$1198:$AR$1198=TYPE4)*(TYPE4&lt;&gt;"")+('Dvd Calendar'!$E$1198:$AR$1198=SPECIAL_LBL)*(INC_SPECIALS="Y"))))</f>
        <v/>
      </c>
      <c r="H119" s="132">
        <f>IF($C119="","",SUMPRODUCT(('Dvd Calendar'!$E$1193:$AR$1193&gt;=DATE(YEAR_Y-3,1,1))*('Dvd Calendar'!$E$1193:$AR$1193&lt;=DATE(YEAR_Y-3,12,31))*'Dvd Calendar'!$E$1196:$AR$1196*(('Dvd Calendar'!$E$1198:$AR$1198=TYPE1)*(TYPE1&lt;&gt;"")+('Dvd Calendar'!$E$1198:$AR$1198=TYPE2)*(TYPE2&lt;&gt;"")+('Dvd Calendar'!$E$1198:$AR$1198=TYPE3)*(TYPE3&lt;&gt;"")+('Dvd Calendar'!$E$1198:$AR$1198=TYPE4)*(TYPE4&lt;&gt;"")+('Dvd Calendar'!$E$1198:$AR$1198=SPECIAL_LBL)*(INC_SPECIALS="Y"))))</f>
        <v/>
      </c>
      <c r="I119" s="132">
        <f>IF($C119="","",SUMPRODUCT(('Dvd Calendar'!$E$1193:$AR$1193&gt;=DATE(YEAR_Y-2,1,1))*('Dvd Calendar'!$E$1193:$AR$1193&lt;=DATE(YEAR_Y-2,12,31))*'Dvd Calendar'!$E$1196:$AR$1196*(('Dvd Calendar'!$E$1198:$AR$1198=TYPE1)*(TYPE1&lt;&gt;"")+('Dvd Calendar'!$E$1198:$AR$1198=TYPE2)*(TYPE2&lt;&gt;"")+('Dvd Calendar'!$E$1198:$AR$1198=TYPE3)*(TYPE3&lt;&gt;"")+('Dvd Calendar'!$E$1198:$AR$1198=TYPE4)*(TYPE4&lt;&gt;"")+('Dvd Calendar'!$E$1198:$AR$1198=SPECIAL_LBL)*(INC_SPECIALS="Y"))))</f>
        <v/>
      </c>
      <c r="J119" s="132">
        <f>IF($C119="","",SUMPRODUCT(('Dvd Calendar'!$E$1193:$AR$1193&gt;=DATE(YEAR_Y-1,1,1))*('Dvd Calendar'!$E$1193:$AR$1193&lt;=DATE(YEAR_Y-1,12,31))*'Dvd Calendar'!$E$1196:$AR$1196*(('Dvd Calendar'!$E$1198:$AR$1198=TYPE1)*(TYPE1&lt;&gt;"")+('Dvd Calendar'!$E$1198:$AR$1198=TYPE2)*(TYPE2&lt;&gt;"")+('Dvd Calendar'!$E$1198:$AR$1198=TYPE3)*(TYPE3&lt;&gt;"")+('Dvd Calendar'!$E$1198:$AR$1198=TYPE4)*(TYPE4&lt;&gt;"")+('Dvd Calendar'!$E$1198:$AR$1198=SPECIAL_LBL)*(INC_SPECIALS="Y"))))</f>
        <v/>
      </c>
      <c r="K119" s="133">
        <f>IF($C119="","",HSTECH!$J$14)</f>
        <v/>
      </c>
      <c r="L119" s="133">
        <f>IF($C119="","",HSTECH!$K$14)</f>
        <v/>
      </c>
      <c r="M119" s="124">
        <f>IF($C119="","",HSTECH!$J$14+HSTECH!$L$14)</f>
        <v/>
      </c>
      <c r="N119" s="134">
        <f>IF($C119="","",IF(PULL_FUND="N","",IFERROR(BDP($C119,BESTDPS_FIELD,FWD_OVERRIDE,TEXT(MOD(YEAR_Y,100),"00")&amp;"Y"),"")))</f>
        <v/>
      </c>
      <c r="O119" s="133">
        <f>IF($C119="","",AVERAGE(F119:J119))</f>
        <v/>
      </c>
      <c r="P119" s="135">
        <f>IF($C119="","",IF(PULL_FUND="N","",IF(COUNTIFS('Fund History'!$J$654:$J$658,"&gt;="&amp;DATE(YEAR_Y-5,1,1),'Fund History'!$J$654:$J$658,"&lt;="&amp;DATE(YEAR_Y-5,12,31))=0,"",IFERROR($F119*HSTECH!$G$14/SUMIFS('Fund History'!$K$654:$K$658,'Fund History'!$J$654:$J$658,"&gt;="&amp;DATE(YEAR_Y-5,1,1),'Fund History'!$J$654:$J$658,"&lt;="&amp;DATE(YEAR_Y-5,12,31)),""))))</f>
        <v/>
      </c>
      <c r="Q119" s="136">
        <f>IF($C119="","",IF(PULL_FUND="N","",IF(COUNTIFS('Fund History'!$J$654:$J$658,"&gt;="&amp;DATE(YEAR_Y-4,1,1),'Fund History'!$J$654:$J$658,"&lt;="&amp;DATE(YEAR_Y-4,12,31))=0,"",IFERROR($G119*HSTECH!$G$14/SUMIFS('Fund History'!$K$654:$K$658,'Fund History'!$J$654:$J$658,"&gt;="&amp;DATE(YEAR_Y-4,1,1),'Fund History'!$J$654:$J$658,"&lt;="&amp;DATE(YEAR_Y-4,12,31)),""))))</f>
        <v/>
      </c>
      <c r="R119" s="136">
        <f>IF($C119="","",IF(PULL_FUND="N","",IF(COUNTIFS('Fund History'!$J$654:$J$658,"&gt;="&amp;DATE(YEAR_Y-3,1,1),'Fund History'!$J$654:$J$658,"&lt;="&amp;DATE(YEAR_Y-3,12,31))=0,"",IFERROR($H119*HSTECH!$G$14/SUMIFS('Fund History'!$K$654:$K$658,'Fund History'!$J$654:$J$658,"&gt;="&amp;DATE(YEAR_Y-3,1,1),'Fund History'!$J$654:$J$658,"&lt;="&amp;DATE(YEAR_Y-3,12,31)),""))))</f>
        <v/>
      </c>
      <c r="S119" s="136">
        <f>IF($C119="","",IF(PULL_FUND="N","",IF(COUNTIFS('Fund History'!$J$654:$J$658,"&gt;="&amp;DATE(YEAR_Y-2,1,1),'Fund History'!$J$654:$J$658,"&lt;="&amp;DATE(YEAR_Y-2,12,31))=0,"",IFERROR($I119*HSTECH!$G$14/SUMIFS('Fund History'!$K$654:$K$658,'Fund History'!$J$654:$J$658,"&gt;="&amp;DATE(YEAR_Y-2,1,1),'Fund History'!$J$654:$J$658,"&lt;="&amp;DATE(YEAR_Y-2,12,31)),""))))</f>
        <v/>
      </c>
      <c r="T119" s="136">
        <f>IF($C119="","",IF(PULL_FUND="N","",IF(COUNTIFS('Fund History'!$J$654:$J$658,"&gt;="&amp;DATE(YEAR_Y-1,1,1),'Fund History'!$J$654:$J$658,"&lt;="&amp;DATE(YEAR_Y-1,12,31))=0,"",IFERROR($J119*HSTECH!$G$14/SUMIFS('Fund History'!$K$654:$K$658,'Fund History'!$J$654:$J$658,"&gt;="&amp;DATE(YEAR_Y-1,1,1),'Fund History'!$J$654:$J$658,"&lt;="&amp;DATE(YEAR_Y-1,12,31)),""))))</f>
        <v/>
      </c>
      <c r="U119" s="137">
        <f>IF($C119="","",IF(ISNUMBER(HSTECH!$I$14),HSTECH!$I$14/100,""))</f>
        <v/>
      </c>
      <c r="V119" s="138">
        <f>IF($C119="","",IF(ISNUMBER(HSTECH!$X$14),IFERROR($M119*HSTECH!$G$14/HSTECH!$X$14,""),""))</f>
        <v/>
      </c>
      <c r="W119" s="137">
        <f>IF($C119="","",IF(ISNUMBER($N119),IFERROR($N119*HSTECH!$G$14/HSTECH!$X$14,""),""))</f>
        <v/>
      </c>
      <c r="X119" s="139">
        <f>IF($C119="","",IF(PULL_FUND="N","",IFERROR(BDP($C119,EPS_FIELD,YR_OVERRIDE,TEXT(YEAR_Y-5,"0")),"")))</f>
        <v/>
      </c>
      <c r="Y119" s="140">
        <f>IF($C119="","",IF(PULL_FUND="N","",IFERROR(BDP($C119,EPS_FIELD,YR_OVERRIDE,TEXT(YEAR_Y-4,"0")),"")))</f>
        <v/>
      </c>
      <c r="Z119" s="140">
        <f>IF($C119="","",IF(PULL_FUND="N","",IFERROR(BDP($C119,EPS_FIELD,YR_OVERRIDE,TEXT(YEAR_Y-3,"0")),"")))</f>
        <v/>
      </c>
      <c r="AA119" s="140">
        <f>IF($C119="","",IF(PULL_FUND="N","",IFERROR(BDP($C119,EPS_FIELD,YR_OVERRIDE,TEXT(YEAR_Y-2,"0")),"")))</f>
        <v/>
      </c>
      <c r="AB119" s="140">
        <f>IF($C119="","",IF(PULL_FUND="N","",IFERROR(BDP($C119,EPS_FIELD,YR_OVERRIDE,TEXT(YEAR_Y-1,"0")),"")))</f>
        <v/>
      </c>
      <c r="AC119" s="126">
        <f>IF($C119="","",IFERROR(AVERAGE(X119:AB119),""))</f>
        <v/>
      </c>
      <c r="AD119" s="140">
        <f>IF($C119="","",IF(PULL_FUND="N","",IFERROR(BDP($C119,BESTEPS_FIELD,FWD_OVERRIDE,TEXT(MOD(YEAR_Y,100),"00")&amp;"Y"),"")))</f>
        <v/>
      </c>
      <c r="AE119" s="141">
        <f>IF($C119="","",IF(PULL_FUND="N","",IFERROR(BDP($C119,PAYOUT_FIELD,YR_OVERRIDE,TEXT(YEAR_Y-5,"0"))/100,"")))</f>
        <v/>
      </c>
      <c r="AF119" s="142">
        <f>IF($C119="","",IF(PULL_FUND="N","",IFERROR(BDP($C119,PAYOUT_FIELD,YR_OVERRIDE,TEXT(YEAR_Y-4,"0"))/100,"")))</f>
        <v/>
      </c>
      <c r="AG119" s="142">
        <f>IF($C119="","",IF(PULL_FUND="N","",IFERROR(BDP($C119,PAYOUT_FIELD,YR_OVERRIDE,TEXT(YEAR_Y-3,"0"))/100,"")))</f>
        <v/>
      </c>
      <c r="AH119" s="142">
        <f>IF($C119="","",IF(PULL_FUND="N","",IFERROR(BDP($C119,PAYOUT_FIELD,YR_OVERRIDE,TEXT(YEAR_Y-2,"0"))/100,"")))</f>
        <v/>
      </c>
      <c r="AI119" s="142">
        <f>IF($C119="","",IF(PULL_FUND="N","",IFERROR(BDP($C119,PAYOUT_FIELD,YR_OVERRIDE,TEXT(YEAR_Y-1,"0"))/100,"")))</f>
        <v/>
      </c>
      <c r="AJ119" s="143">
        <f>IF($C119="","",IFERROR(AVERAGE(AE119:AI119),""))</f>
        <v/>
      </c>
      <c r="AK119" s="144">
        <f>IF($C119="","",IF(ISNUMBER($AD119)*ISNUMBER($N119)*($AD119&lt;&gt;0)=0,"",$N119/$AD119))</f>
        <v/>
      </c>
      <c r="AL119" s="143">
        <f>IF($C119="","",IF(ISNUMBER($AD119)*($AD119&lt;&gt;0)=0,"",$M119/$AD119))</f>
        <v/>
      </c>
      <c r="AM119" s="37">
        <f>IF($C119="","",IF(ISNUMBER($AE119)*ISNUMBER($AI119)=0,"",IF($AI119&gt;$AE119+0.05,"rising",IF($AI119&lt;$AE119-0.05,"falling","stable"))))</f>
        <v/>
      </c>
      <c r="AN119" s="145">
        <f>IF($C119="","",IF(PULL_FUND="N","",IF(COUNTIFS('Fund History'!$G$654:$G$658,"&gt;="&amp;DATE(YEAR_Y-4,1,1),'Fund History'!$G$654:$G$658,"&lt;="&amp;DATE(YEAR_Y-4,12,31))=0,"",SUMIFS('Fund History'!$H$654:$H$658,'Fund History'!$G$654:$G$658,"&gt;="&amp;DATE(YEAR_Y-4,1,1),'Fund History'!$G$654:$G$658,"&lt;="&amp;DATE(YEAR_Y-4,12,31))/100)))</f>
        <v/>
      </c>
      <c r="AO119" s="146">
        <f>IF($C119="","",IF(PULL_FUND="N","",IF(COUNTIFS('Fund History'!$G$654:$G$658,"&gt;="&amp;DATE(YEAR_Y-3,1,1),'Fund History'!$G$654:$G$658,"&lt;="&amp;DATE(YEAR_Y-3,12,31))=0,"",SUMIFS('Fund History'!$H$654:$H$658,'Fund History'!$G$654:$G$658,"&gt;="&amp;DATE(YEAR_Y-3,1,1),'Fund History'!$G$654:$G$658,"&lt;="&amp;DATE(YEAR_Y-3,12,31))/100)))</f>
        <v/>
      </c>
      <c r="AP119" s="146">
        <f>IF($C119="","",IF(PULL_FUND="N","",IF(COUNTIFS('Fund History'!$G$654:$G$658,"&gt;="&amp;DATE(YEAR_Y-2,1,1),'Fund History'!$G$654:$G$658,"&lt;="&amp;DATE(YEAR_Y-2,12,31))=0,"",SUMIFS('Fund History'!$H$654:$H$658,'Fund History'!$G$654:$G$658,"&gt;="&amp;DATE(YEAR_Y-2,1,1),'Fund History'!$G$654:$G$658,"&lt;="&amp;DATE(YEAR_Y-2,12,31))/100)))</f>
        <v/>
      </c>
      <c r="AQ119" s="146">
        <f>IF($C119="","",IF(PULL_FUND="N","",IF(COUNTIFS('Fund History'!$G$654:$G$658,"&gt;="&amp;DATE(YEAR_Y-1,1,1),'Fund History'!$G$654:$G$658,"&lt;="&amp;DATE(YEAR_Y-1,12,31))=0,"",SUMIFS('Fund History'!$H$654:$H$658,'Fund History'!$G$654:$G$658,"&gt;="&amp;DATE(YEAR_Y-1,1,1),'Fund History'!$G$654:$G$658,"&lt;="&amp;DATE(YEAR_Y-1,12,31))/100)))</f>
        <v/>
      </c>
      <c r="AR119" s="147">
        <f>IF($C119="","",IF(N($AQ119)+N(HSTECH!$I$14)=0,"",N($AQ119)+N(HSTECH!$I$14)/100))</f>
        <v/>
      </c>
      <c r="AS119" s="139">
        <f>IF($C119="","",IF(PULL_FUND="N","",IF(COUNTIFS('Fund History'!$D$654:$D$658,"&gt;="&amp;DATE(YEAR_Y-2,1,1),'Fund History'!$D$654:$D$658,"&lt;="&amp;DATE(YEAR_Y-2,12,31))=0,"",SUMIFS('Fund History'!$E$654:$E$658,'Fund History'!$D$654:$D$658,"&gt;="&amp;DATE(YEAR_Y-2,1,1),'Fund History'!$D$654:$D$658,"&lt;="&amp;DATE(YEAR_Y-2,12,31)))))</f>
        <v/>
      </c>
      <c r="AT119" s="140">
        <f>IF($C119="","",IF(PULL_FUND="N","",IF(COUNTIFS('Fund History'!$D$654:$D$658,"&gt;="&amp;DATE(YEAR_Y-1,1,1),'Fund History'!$D$654:$D$658,"&lt;="&amp;DATE(YEAR_Y-1,12,31))=0,"",SUMIFS('Fund History'!$E$654:$E$658,'Fund History'!$D$654:$D$658,"&gt;="&amp;DATE(YEAR_Y-1,1,1),'Fund History'!$D$654:$D$658,"&lt;="&amp;DATE(YEAR_Y-1,12,31)))))</f>
        <v/>
      </c>
      <c r="AU119" s="140">
        <f>IF($C119="","",IF(PULL_FUND="N","",IFERROR(BDP($C119,NDEBITDA_FIELD),"")))</f>
        <v/>
      </c>
      <c r="AV119" s="148">
        <f>IF($C119="","",IF(PULL_FUND="N","",IFERROR(BDP($C119,EBINT_FIELD),"")))</f>
        <v/>
      </c>
      <c r="AW119" s="146">
        <f>IF($C119="","",IF(PULL_FUND="N","",IFERROR(BDP($C119,FCF_FIELD)/100,"")))</f>
        <v/>
      </c>
      <c r="AX119" s="126">
        <f>IF($C119="","",IF(N($U119)=0,"",IFERROR($AW119/$U119,"")))</f>
        <v/>
      </c>
      <c r="AY119" s="85">
        <f>IF($C119="","",TRIM(IF(ISNUMBER($AJ119)*(N($AJ119)&gt;$D$4)&gt;0,"payout high  ","")&amp;IF(ISNUMBER($AX119)*(N($AX119)&lt;$F$4)&gt;0,"FCF below dvd  ","")&amp;IF(ISNUMBER($AU119)*(N($AU119)&gt;$H$4)&gt;0,"leverage high","")))</f>
        <v/>
      </c>
      <c r="AZ119" s="86">
        <f>IF($C119="","",IF(HSTECH!$F$14="HKD","",HSTECH!$F$14))</f>
        <v/>
      </c>
    </row>
    <row r="120">
      <c r="B120" s="66" t="inlineStr">
        <is>
          <t>HSTECH</t>
        </is>
      </c>
      <c r="C120" s="8">
        <f>IF(HSTECH!$C$15="","",HSTECH!$C$15)</f>
        <v/>
      </c>
      <c r="D120" s="8">
        <f>IF($C120="","",HSTECH!$D$15)</f>
        <v/>
      </c>
      <c r="E120" s="8">
        <f>IF($C120="","",HSTECH!$E$15)</f>
        <v/>
      </c>
      <c r="F120" s="131">
        <f>IF($C120="","",SUMPRODUCT(('Dvd Calendar'!$E$1204:$AR$1204&gt;=DATE(YEAR_Y-5,1,1))*('Dvd Calendar'!$E$1204:$AR$1204&lt;=DATE(YEAR_Y-5,12,31))*'Dvd Calendar'!$E$1207:$AR$1207*(('Dvd Calendar'!$E$1209:$AR$1209=TYPE1)*(TYPE1&lt;&gt;"")+('Dvd Calendar'!$E$1209:$AR$1209=TYPE2)*(TYPE2&lt;&gt;"")+('Dvd Calendar'!$E$1209:$AR$1209=TYPE3)*(TYPE3&lt;&gt;"")+('Dvd Calendar'!$E$1209:$AR$1209=TYPE4)*(TYPE4&lt;&gt;"")+('Dvd Calendar'!$E$1209:$AR$1209=SPECIAL_LBL)*(INC_SPECIALS="Y"))))</f>
        <v/>
      </c>
      <c r="G120" s="132">
        <f>IF($C120="","",SUMPRODUCT(('Dvd Calendar'!$E$1204:$AR$1204&gt;=DATE(YEAR_Y-4,1,1))*('Dvd Calendar'!$E$1204:$AR$1204&lt;=DATE(YEAR_Y-4,12,31))*'Dvd Calendar'!$E$1207:$AR$1207*(('Dvd Calendar'!$E$1209:$AR$1209=TYPE1)*(TYPE1&lt;&gt;"")+('Dvd Calendar'!$E$1209:$AR$1209=TYPE2)*(TYPE2&lt;&gt;"")+('Dvd Calendar'!$E$1209:$AR$1209=TYPE3)*(TYPE3&lt;&gt;"")+('Dvd Calendar'!$E$1209:$AR$1209=TYPE4)*(TYPE4&lt;&gt;"")+('Dvd Calendar'!$E$1209:$AR$1209=SPECIAL_LBL)*(INC_SPECIALS="Y"))))</f>
        <v/>
      </c>
      <c r="H120" s="132">
        <f>IF($C120="","",SUMPRODUCT(('Dvd Calendar'!$E$1204:$AR$1204&gt;=DATE(YEAR_Y-3,1,1))*('Dvd Calendar'!$E$1204:$AR$1204&lt;=DATE(YEAR_Y-3,12,31))*'Dvd Calendar'!$E$1207:$AR$1207*(('Dvd Calendar'!$E$1209:$AR$1209=TYPE1)*(TYPE1&lt;&gt;"")+('Dvd Calendar'!$E$1209:$AR$1209=TYPE2)*(TYPE2&lt;&gt;"")+('Dvd Calendar'!$E$1209:$AR$1209=TYPE3)*(TYPE3&lt;&gt;"")+('Dvd Calendar'!$E$1209:$AR$1209=TYPE4)*(TYPE4&lt;&gt;"")+('Dvd Calendar'!$E$1209:$AR$1209=SPECIAL_LBL)*(INC_SPECIALS="Y"))))</f>
        <v/>
      </c>
      <c r="I120" s="132">
        <f>IF($C120="","",SUMPRODUCT(('Dvd Calendar'!$E$1204:$AR$1204&gt;=DATE(YEAR_Y-2,1,1))*('Dvd Calendar'!$E$1204:$AR$1204&lt;=DATE(YEAR_Y-2,12,31))*'Dvd Calendar'!$E$1207:$AR$1207*(('Dvd Calendar'!$E$1209:$AR$1209=TYPE1)*(TYPE1&lt;&gt;"")+('Dvd Calendar'!$E$1209:$AR$1209=TYPE2)*(TYPE2&lt;&gt;"")+('Dvd Calendar'!$E$1209:$AR$1209=TYPE3)*(TYPE3&lt;&gt;"")+('Dvd Calendar'!$E$1209:$AR$1209=TYPE4)*(TYPE4&lt;&gt;"")+('Dvd Calendar'!$E$1209:$AR$1209=SPECIAL_LBL)*(INC_SPECIALS="Y"))))</f>
        <v/>
      </c>
      <c r="J120" s="132">
        <f>IF($C120="","",SUMPRODUCT(('Dvd Calendar'!$E$1204:$AR$1204&gt;=DATE(YEAR_Y-1,1,1))*('Dvd Calendar'!$E$1204:$AR$1204&lt;=DATE(YEAR_Y-1,12,31))*'Dvd Calendar'!$E$1207:$AR$1207*(('Dvd Calendar'!$E$1209:$AR$1209=TYPE1)*(TYPE1&lt;&gt;"")+('Dvd Calendar'!$E$1209:$AR$1209=TYPE2)*(TYPE2&lt;&gt;"")+('Dvd Calendar'!$E$1209:$AR$1209=TYPE3)*(TYPE3&lt;&gt;"")+('Dvd Calendar'!$E$1209:$AR$1209=TYPE4)*(TYPE4&lt;&gt;"")+('Dvd Calendar'!$E$1209:$AR$1209=SPECIAL_LBL)*(INC_SPECIALS="Y"))))</f>
        <v/>
      </c>
      <c r="K120" s="133">
        <f>IF($C120="","",HSTECH!$J$15)</f>
        <v/>
      </c>
      <c r="L120" s="133">
        <f>IF($C120="","",HSTECH!$K$15)</f>
        <v/>
      </c>
      <c r="M120" s="124">
        <f>IF($C120="","",HSTECH!$J$15+HSTECH!$L$15)</f>
        <v/>
      </c>
      <c r="N120" s="134">
        <f>IF($C120="","",IF(PULL_FUND="N","",IFERROR(BDP($C120,BESTDPS_FIELD,FWD_OVERRIDE,TEXT(MOD(YEAR_Y,100),"00")&amp;"Y"),"")))</f>
        <v/>
      </c>
      <c r="O120" s="133">
        <f>IF($C120="","",AVERAGE(F120:J120))</f>
        <v/>
      </c>
      <c r="P120" s="135">
        <f>IF($C120="","",IF(PULL_FUND="N","",IF(COUNTIFS('Fund History'!$J$660:$J$664,"&gt;="&amp;DATE(YEAR_Y-5,1,1),'Fund History'!$J$660:$J$664,"&lt;="&amp;DATE(YEAR_Y-5,12,31))=0,"",IFERROR($F120*HSTECH!$G$15/SUMIFS('Fund History'!$K$660:$K$664,'Fund History'!$J$660:$J$664,"&gt;="&amp;DATE(YEAR_Y-5,1,1),'Fund History'!$J$660:$J$664,"&lt;="&amp;DATE(YEAR_Y-5,12,31)),""))))</f>
        <v/>
      </c>
      <c r="Q120" s="136">
        <f>IF($C120="","",IF(PULL_FUND="N","",IF(COUNTIFS('Fund History'!$J$660:$J$664,"&gt;="&amp;DATE(YEAR_Y-4,1,1),'Fund History'!$J$660:$J$664,"&lt;="&amp;DATE(YEAR_Y-4,12,31))=0,"",IFERROR($G120*HSTECH!$G$15/SUMIFS('Fund History'!$K$660:$K$664,'Fund History'!$J$660:$J$664,"&gt;="&amp;DATE(YEAR_Y-4,1,1),'Fund History'!$J$660:$J$664,"&lt;="&amp;DATE(YEAR_Y-4,12,31)),""))))</f>
        <v/>
      </c>
      <c r="R120" s="136">
        <f>IF($C120="","",IF(PULL_FUND="N","",IF(COUNTIFS('Fund History'!$J$660:$J$664,"&gt;="&amp;DATE(YEAR_Y-3,1,1),'Fund History'!$J$660:$J$664,"&lt;="&amp;DATE(YEAR_Y-3,12,31))=0,"",IFERROR($H120*HSTECH!$G$15/SUMIFS('Fund History'!$K$660:$K$664,'Fund History'!$J$660:$J$664,"&gt;="&amp;DATE(YEAR_Y-3,1,1),'Fund History'!$J$660:$J$664,"&lt;="&amp;DATE(YEAR_Y-3,12,31)),""))))</f>
        <v/>
      </c>
      <c r="S120" s="136">
        <f>IF($C120="","",IF(PULL_FUND="N","",IF(COUNTIFS('Fund History'!$J$660:$J$664,"&gt;="&amp;DATE(YEAR_Y-2,1,1),'Fund History'!$J$660:$J$664,"&lt;="&amp;DATE(YEAR_Y-2,12,31))=0,"",IFERROR($I120*HSTECH!$G$15/SUMIFS('Fund History'!$K$660:$K$664,'Fund History'!$J$660:$J$664,"&gt;="&amp;DATE(YEAR_Y-2,1,1),'Fund History'!$J$660:$J$664,"&lt;="&amp;DATE(YEAR_Y-2,12,31)),""))))</f>
        <v/>
      </c>
      <c r="T120" s="136">
        <f>IF($C120="","",IF(PULL_FUND="N","",IF(COUNTIFS('Fund History'!$J$660:$J$664,"&gt;="&amp;DATE(YEAR_Y-1,1,1),'Fund History'!$J$660:$J$664,"&lt;="&amp;DATE(YEAR_Y-1,12,31))=0,"",IFERROR($J120*HSTECH!$G$15/SUMIFS('Fund History'!$K$660:$K$664,'Fund History'!$J$660:$J$664,"&gt;="&amp;DATE(YEAR_Y-1,1,1),'Fund History'!$J$660:$J$664,"&lt;="&amp;DATE(YEAR_Y-1,12,31)),""))))</f>
        <v/>
      </c>
      <c r="U120" s="137">
        <f>IF($C120="","",IF(ISNUMBER(HSTECH!$I$15),HSTECH!$I$15/100,""))</f>
        <v/>
      </c>
      <c r="V120" s="138">
        <f>IF($C120="","",IF(ISNUMBER(HSTECH!$X$15),IFERROR($M120*HSTECH!$G$15/HSTECH!$X$15,""),""))</f>
        <v/>
      </c>
      <c r="W120" s="137">
        <f>IF($C120="","",IF(ISNUMBER($N120),IFERROR($N120*HSTECH!$G$15/HSTECH!$X$15,""),""))</f>
        <v/>
      </c>
      <c r="X120" s="139">
        <f>IF($C120="","",IF(PULL_FUND="N","",IFERROR(BDP($C120,EPS_FIELD,YR_OVERRIDE,TEXT(YEAR_Y-5,"0")),"")))</f>
        <v/>
      </c>
      <c r="Y120" s="140">
        <f>IF($C120="","",IF(PULL_FUND="N","",IFERROR(BDP($C120,EPS_FIELD,YR_OVERRIDE,TEXT(YEAR_Y-4,"0")),"")))</f>
        <v/>
      </c>
      <c r="Z120" s="140">
        <f>IF($C120="","",IF(PULL_FUND="N","",IFERROR(BDP($C120,EPS_FIELD,YR_OVERRIDE,TEXT(YEAR_Y-3,"0")),"")))</f>
        <v/>
      </c>
      <c r="AA120" s="140">
        <f>IF($C120="","",IF(PULL_FUND="N","",IFERROR(BDP($C120,EPS_FIELD,YR_OVERRIDE,TEXT(YEAR_Y-2,"0")),"")))</f>
        <v/>
      </c>
      <c r="AB120" s="140">
        <f>IF($C120="","",IF(PULL_FUND="N","",IFERROR(BDP($C120,EPS_FIELD,YR_OVERRIDE,TEXT(YEAR_Y-1,"0")),"")))</f>
        <v/>
      </c>
      <c r="AC120" s="126">
        <f>IF($C120="","",IFERROR(AVERAGE(X120:AB120),""))</f>
        <v/>
      </c>
      <c r="AD120" s="140">
        <f>IF($C120="","",IF(PULL_FUND="N","",IFERROR(BDP($C120,BESTEPS_FIELD,FWD_OVERRIDE,TEXT(MOD(YEAR_Y,100),"00")&amp;"Y"),"")))</f>
        <v/>
      </c>
      <c r="AE120" s="141">
        <f>IF($C120="","",IF(PULL_FUND="N","",IFERROR(BDP($C120,PAYOUT_FIELD,YR_OVERRIDE,TEXT(YEAR_Y-5,"0"))/100,"")))</f>
        <v/>
      </c>
      <c r="AF120" s="142">
        <f>IF($C120="","",IF(PULL_FUND="N","",IFERROR(BDP($C120,PAYOUT_FIELD,YR_OVERRIDE,TEXT(YEAR_Y-4,"0"))/100,"")))</f>
        <v/>
      </c>
      <c r="AG120" s="142">
        <f>IF($C120="","",IF(PULL_FUND="N","",IFERROR(BDP($C120,PAYOUT_FIELD,YR_OVERRIDE,TEXT(YEAR_Y-3,"0"))/100,"")))</f>
        <v/>
      </c>
      <c r="AH120" s="142">
        <f>IF($C120="","",IF(PULL_FUND="N","",IFERROR(BDP($C120,PAYOUT_FIELD,YR_OVERRIDE,TEXT(YEAR_Y-2,"0"))/100,"")))</f>
        <v/>
      </c>
      <c r="AI120" s="142">
        <f>IF($C120="","",IF(PULL_FUND="N","",IFERROR(BDP($C120,PAYOUT_FIELD,YR_OVERRIDE,TEXT(YEAR_Y-1,"0"))/100,"")))</f>
        <v/>
      </c>
      <c r="AJ120" s="143">
        <f>IF($C120="","",IFERROR(AVERAGE(AE120:AI120),""))</f>
        <v/>
      </c>
      <c r="AK120" s="144">
        <f>IF($C120="","",IF(ISNUMBER($AD120)*ISNUMBER($N120)*($AD120&lt;&gt;0)=0,"",$N120/$AD120))</f>
        <v/>
      </c>
      <c r="AL120" s="143">
        <f>IF($C120="","",IF(ISNUMBER($AD120)*($AD120&lt;&gt;0)=0,"",$M120/$AD120))</f>
        <v/>
      </c>
      <c r="AM120" s="37">
        <f>IF($C120="","",IF(ISNUMBER($AE120)*ISNUMBER($AI120)=0,"",IF($AI120&gt;$AE120+0.05,"rising",IF($AI120&lt;$AE120-0.05,"falling","stable"))))</f>
        <v/>
      </c>
      <c r="AN120" s="145">
        <f>IF($C120="","",IF(PULL_FUND="N","",IF(COUNTIFS('Fund History'!$G$660:$G$664,"&gt;="&amp;DATE(YEAR_Y-4,1,1),'Fund History'!$G$660:$G$664,"&lt;="&amp;DATE(YEAR_Y-4,12,31))=0,"",SUMIFS('Fund History'!$H$660:$H$664,'Fund History'!$G$660:$G$664,"&gt;="&amp;DATE(YEAR_Y-4,1,1),'Fund History'!$G$660:$G$664,"&lt;="&amp;DATE(YEAR_Y-4,12,31))/100)))</f>
        <v/>
      </c>
      <c r="AO120" s="146">
        <f>IF($C120="","",IF(PULL_FUND="N","",IF(COUNTIFS('Fund History'!$G$660:$G$664,"&gt;="&amp;DATE(YEAR_Y-3,1,1),'Fund History'!$G$660:$G$664,"&lt;="&amp;DATE(YEAR_Y-3,12,31))=0,"",SUMIFS('Fund History'!$H$660:$H$664,'Fund History'!$G$660:$G$664,"&gt;="&amp;DATE(YEAR_Y-3,1,1),'Fund History'!$G$660:$G$664,"&lt;="&amp;DATE(YEAR_Y-3,12,31))/100)))</f>
        <v/>
      </c>
      <c r="AP120" s="146">
        <f>IF($C120="","",IF(PULL_FUND="N","",IF(COUNTIFS('Fund History'!$G$660:$G$664,"&gt;="&amp;DATE(YEAR_Y-2,1,1),'Fund History'!$G$660:$G$664,"&lt;="&amp;DATE(YEAR_Y-2,12,31))=0,"",SUMIFS('Fund History'!$H$660:$H$664,'Fund History'!$G$660:$G$664,"&gt;="&amp;DATE(YEAR_Y-2,1,1),'Fund History'!$G$660:$G$664,"&lt;="&amp;DATE(YEAR_Y-2,12,31))/100)))</f>
        <v/>
      </c>
      <c r="AQ120" s="146">
        <f>IF($C120="","",IF(PULL_FUND="N","",IF(COUNTIFS('Fund History'!$G$660:$G$664,"&gt;="&amp;DATE(YEAR_Y-1,1,1),'Fund History'!$G$660:$G$664,"&lt;="&amp;DATE(YEAR_Y-1,12,31))=0,"",SUMIFS('Fund History'!$H$660:$H$664,'Fund History'!$G$660:$G$664,"&gt;="&amp;DATE(YEAR_Y-1,1,1),'Fund History'!$G$660:$G$664,"&lt;="&amp;DATE(YEAR_Y-1,12,31))/100)))</f>
        <v/>
      </c>
      <c r="AR120" s="147">
        <f>IF($C120="","",IF(N($AQ120)+N(HSTECH!$I$15)=0,"",N($AQ120)+N(HSTECH!$I$15)/100))</f>
        <v/>
      </c>
      <c r="AS120" s="139">
        <f>IF($C120="","",IF(PULL_FUND="N","",IF(COUNTIFS('Fund History'!$D$660:$D$664,"&gt;="&amp;DATE(YEAR_Y-2,1,1),'Fund History'!$D$660:$D$664,"&lt;="&amp;DATE(YEAR_Y-2,12,31))=0,"",SUMIFS('Fund History'!$E$660:$E$664,'Fund History'!$D$660:$D$664,"&gt;="&amp;DATE(YEAR_Y-2,1,1),'Fund History'!$D$660:$D$664,"&lt;="&amp;DATE(YEAR_Y-2,12,31)))))</f>
        <v/>
      </c>
      <c r="AT120" s="140">
        <f>IF($C120="","",IF(PULL_FUND="N","",IF(COUNTIFS('Fund History'!$D$660:$D$664,"&gt;="&amp;DATE(YEAR_Y-1,1,1),'Fund History'!$D$660:$D$664,"&lt;="&amp;DATE(YEAR_Y-1,12,31))=0,"",SUMIFS('Fund History'!$E$660:$E$664,'Fund History'!$D$660:$D$664,"&gt;="&amp;DATE(YEAR_Y-1,1,1),'Fund History'!$D$660:$D$664,"&lt;="&amp;DATE(YEAR_Y-1,12,31)))))</f>
        <v/>
      </c>
      <c r="AU120" s="140">
        <f>IF($C120="","",IF(PULL_FUND="N","",IFERROR(BDP($C120,NDEBITDA_FIELD),"")))</f>
        <v/>
      </c>
      <c r="AV120" s="148">
        <f>IF($C120="","",IF(PULL_FUND="N","",IFERROR(BDP($C120,EBINT_FIELD),"")))</f>
        <v/>
      </c>
      <c r="AW120" s="146">
        <f>IF($C120="","",IF(PULL_FUND="N","",IFERROR(BDP($C120,FCF_FIELD)/100,"")))</f>
        <v/>
      </c>
      <c r="AX120" s="126">
        <f>IF($C120="","",IF(N($U120)=0,"",IFERROR($AW120/$U120,"")))</f>
        <v/>
      </c>
      <c r="AY120" s="85">
        <f>IF($C120="","",TRIM(IF(ISNUMBER($AJ120)*(N($AJ120)&gt;$D$4)&gt;0,"payout high  ","")&amp;IF(ISNUMBER($AX120)*(N($AX120)&lt;$F$4)&gt;0,"FCF below dvd  ","")&amp;IF(ISNUMBER($AU120)*(N($AU120)&gt;$H$4)&gt;0,"leverage high","")))</f>
        <v/>
      </c>
      <c r="AZ120" s="86">
        <f>IF($C120="","",IF(HSTECH!$F$15="HKD","",HSTECH!$F$15))</f>
        <v/>
      </c>
    </row>
    <row r="121">
      <c r="B121" s="66" t="inlineStr">
        <is>
          <t>HSTECH</t>
        </is>
      </c>
      <c r="C121" s="8">
        <f>IF(HSTECH!$C$16="","",HSTECH!$C$16)</f>
        <v/>
      </c>
      <c r="D121" s="8">
        <f>IF($C121="","",HSTECH!$D$16)</f>
        <v/>
      </c>
      <c r="E121" s="8">
        <f>IF($C121="","",HSTECH!$E$16)</f>
        <v/>
      </c>
      <c r="F121" s="131">
        <f>IF($C121="","",SUMPRODUCT(('Dvd Calendar'!$E$1215:$AR$1215&gt;=DATE(YEAR_Y-5,1,1))*('Dvd Calendar'!$E$1215:$AR$1215&lt;=DATE(YEAR_Y-5,12,31))*'Dvd Calendar'!$E$1218:$AR$1218*(('Dvd Calendar'!$E$1220:$AR$1220=TYPE1)*(TYPE1&lt;&gt;"")+('Dvd Calendar'!$E$1220:$AR$1220=TYPE2)*(TYPE2&lt;&gt;"")+('Dvd Calendar'!$E$1220:$AR$1220=TYPE3)*(TYPE3&lt;&gt;"")+('Dvd Calendar'!$E$1220:$AR$1220=TYPE4)*(TYPE4&lt;&gt;"")+('Dvd Calendar'!$E$1220:$AR$1220=SPECIAL_LBL)*(INC_SPECIALS="Y"))))</f>
        <v/>
      </c>
      <c r="G121" s="132">
        <f>IF($C121="","",SUMPRODUCT(('Dvd Calendar'!$E$1215:$AR$1215&gt;=DATE(YEAR_Y-4,1,1))*('Dvd Calendar'!$E$1215:$AR$1215&lt;=DATE(YEAR_Y-4,12,31))*'Dvd Calendar'!$E$1218:$AR$1218*(('Dvd Calendar'!$E$1220:$AR$1220=TYPE1)*(TYPE1&lt;&gt;"")+('Dvd Calendar'!$E$1220:$AR$1220=TYPE2)*(TYPE2&lt;&gt;"")+('Dvd Calendar'!$E$1220:$AR$1220=TYPE3)*(TYPE3&lt;&gt;"")+('Dvd Calendar'!$E$1220:$AR$1220=TYPE4)*(TYPE4&lt;&gt;"")+('Dvd Calendar'!$E$1220:$AR$1220=SPECIAL_LBL)*(INC_SPECIALS="Y"))))</f>
        <v/>
      </c>
      <c r="H121" s="132">
        <f>IF($C121="","",SUMPRODUCT(('Dvd Calendar'!$E$1215:$AR$1215&gt;=DATE(YEAR_Y-3,1,1))*('Dvd Calendar'!$E$1215:$AR$1215&lt;=DATE(YEAR_Y-3,12,31))*'Dvd Calendar'!$E$1218:$AR$1218*(('Dvd Calendar'!$E$1220:$AR$1220=TYPE1)*(TYPE1&lt;&gt;"")+('Dvd Calendar'!$E$1220:$AR$1220=TYPE2)*(TYPE2&lt;&gt;"")+('Dvd Calendar'!$E$1220:$AR$1220=TYPE3)*(TYPE3&lt;&gt;"")+('Dvd Calendar'!$E$1220:$AR$1220=TYPE4)*(TYPE4&lt;&gt;"")+('Dvd Calendar'!$E$1220:$AR$1220=SPECIAL_LBL)*(INC_SPECIALS="Y"))))</f>
        <v/>
      </c>
      <c r="I121" s="132">
        <f>IF($C121="","",SUMPRODUCT(('Dvd Calendar'!$E$1215:$AR$1215&gt;=DATE(YEAR_Y-2,1,1))*('Dvd Calendar'!$E$1215:$AR$1215&lt;=DATE(YEAR_Y-2,12,31))*'Dvd Calendar'!$E$1218:$AR$1218*(('Dvd Calendar'!$E$1220:$AR$1220=TYPE1)*(TYPE1&lt;&gt;"")+('Dvd Calendar'!$E$1220:$AR$1220=TYPE2)*(TYPE2&lt;&gt;"")+('Dvd Calendar'!$E$1220:$AR$1220=TYPE3)*(TYPE3&lt;&gt;"")+('Dvd Calendar'!$E$1220:$AR$1220=TYPE4)*(TYPE4&lt;&gt;"")+('Dvd Calendar'!$E$1220:$AR$1220=SPECIAL_LBL)*(INC_SPECIALS="Y"))))</f>
        <v/>
      </c>
      <c r="J121" s="132">
        <f>IF($C121="","",SUMPRODUCT(('Dvd Calendar'!$E$1215:$AR$1215&gt;=DATE(YEAR_Y-1,1,1))*('Dvd Calendar'!$E$1215:$AR$1215&lt;=DATE(YEAR_Y-1,12,31))*'Dvd Calendar'!$E$1218:$AR$1218*(('Dvd Calendar'!$E$1220:$AR$1220=TYPE1)*(TYPE1&lt;&gt;"")+('Dvd Calendar'!$E$1220:$AR$1220=TYPE2)*(TYPE2&lt;&gt;"")+('Dvd Calendar'!$E$1220:$AR$1220=TYPE3)*(TYPE3&lt;&gt;"")+('Dvd Calendar'!$E$1220:$AR$1220=TYPE4)*(TYPE4&lt;&gt;"")+('Dvd Calendar'!$E$1220:$AR$1220=SPECIAL_LBL)*(INC_SPECIALS="Y"))))</f>
        <v/>
      </c>
      <c r="K121" s="133">
        <f>IF($C121="","",HSTECH!$J$16)</f>
        <v/>
      </c>
      <c r="L121" s="133">
        <f>IF($C121="","",HSTECH!$K$16)</f>
        <v/>
      </c>
      <c r="M121" s="124">
        <f>IF($C121="","",HSTECH!$J$16+HSTECH!$L$16)</f>
        <v/>
      </c>
      <c r="N121" s="134">
        <f>IF($C121="","",IF(PULL_FUND="N","",IFERROR(BDP($C121,BESTDPS_FIELD,FWD_OVERRIDE,TEXT(MOD(YEAR_Y,100),"00")&amp;"Y"),"")))</f>
        <v/>
      </c>
      <c r="O121" s="133">
        <f>IF($C121="","",AVERAGE(F121:J121))</f>
        <v/>
      </c>
      <c r="P121" s="135">
        <f>IF($C121="","",IF(PULL_FUND="N","",IF(COUNTIFS('Fund History'!$J$666:$J$670,"&gt;="&amp;DATE(YEAR_Y-5,1,1),'Fund History'!$J$666:$J$670,"&lt;="&amp;DATE(YEAR_Y-5,12,31))=0,"",IFERROR($F121*HSTECH!$G$16/SUMIFS('Fund History'!$K$666:$K$670,'Fund History'!$J$666:$J$670,"&gt;="&amp;DATE(YEAR_Y-5,1,1),'Fund History'!$J$666:$J$670,"&lt;="&amp;DATE(YEAR_Y-5,12,31)),""))))</f>
        <v/>
      </c>
      <c r="Q121" s="136">
        <f>IF($C121="","",IF(PULL_FUND="N","",IF(COUNTIFS('Fund History'!$J$666:$J$670,"&gt;="&amp;DATE(YEAR_Y-4,1,1),'Fund History'!$J$666:$J$670,"&lt;="&amp;DATE(YEAR_Y-4,12,31))=0,"",IFERROR($G121*HSTECH!$G$16/SUMIFS('Fund History'!$K$666:$K$670,'Fund History'!$J$666:$J$670,"&gt;="&amp;DATE(YEAR_Y-4,1,1),'Fund History'!$J$666:$J$670,"&lt;="&amp;DATE(YEAR_Y-4,12,31)),""))))</f>
        <v/>
      </c>
      <c r="R121" s="136">
        <f>IF($C121="","",IF(PULL_FUND="N","",IF(COUNTIFS('Fund History'!$J$666:$J$670,"&gt;="&amp;DATE(YEAR_Y-3,1,1),'Fund History'!$J$666:$J$670,"&lt;="&amp;DATE(YEAR_Y-3,12,31))=0,"",IFERROR($H121*HSTECH!$G$16/SUMIFS('Fund History'!$K$666:$K$670,'Fund History'!$J$666:$J$670,"&gt;="&amp;DATE(YEAR_Y-3,1,1),'Fund History'!$J$666:$J$670,"&lt;="&amp;DATE(YEAR_Y-3,12,31)),""))))</f>
        <v/>
      </c>
      <c r="S121" s="136">
        <f>IF($C121="","",IF(PULL_FUND="N","",IF(COUNTIFS('Fund History'!$J$666:$J$670,"&gt;="&amp;DATE(YEAR_Y-2,1,1),'Fund History'!$J$666:$J$670,"&lt;="&amp;DATE(YEAR_Y-2,12,31))=0,"",IFERROR($I121*HSTECH!$G$16/SUMIFS('Fund History'!$K$666:$K$670,'Fund History'!$J$666:$J$670,"&gt;="&amp;DATE(YEAR_Y-2,1,1),'Fund History'!$J$666:$J$670,"&lt;="&amp;DATE(YEAR_Y-2,12,31)),""))))</f>
        <v/>
      </c>
      <c r="T121" s="136">
        <f>IF($C121="","",IF(PULL_FUND="N","",IF(COUNTIFS('Fund History'!$J$666:$J$670,"&gt;="&amp;DATE(YEAR_Y-1,1,1),'Fund History'!$J$666:$J$670,"&lt;="&amp;DATE(YEAR_Y-1,12,31))=0,"",IFERROR($J121*HSTECH!$G$16/SUMIFS('Fund History'!$K$666:$K$670,'Fund History'!$J$666:$J$670,"&gt;="&amp;DATE(YEAR_Y-1,1,1),'Fund History'!$J$666:$J$670,"&lt;="&amp;DATE(YEAR_Y-1,12,31)),""))))</f>
        <v/>
      </c>
      <c r="U121" s="137">
        <f>IF($C121="","",IF(ISNUMBER(HSTECH!$I$16),HSTECH!$I$16/100,""))</f>
        <v/>
      </c>
      <c r="V121" s="138">
        <f>IF($C121="","",IF(ISNUMBER(HSTECH!$X$16),IFERROR($M121*HSTECH!$G$16/HSTECH!$X$16,""),""))</f>
        <v/>
      </c>
      <c r="W121" s="137">
        <f>IF($C121="","",IF(ISNUMBER($N121),IFERROR($N121*HSTECH!$G$16/HSTECH!$X$16,""),""))</f>
        <v/>
      </c>
      <c r="X121" s="139">
        <f>IF($C121="","",IF(PULL_FUND="N","",IFERROR(BDP($C121,EPS_FIELD,YR_OVERRIDE,TEXT(YEAR_Y-5,"0")),"")))</f>
        <v/>
      </c>
      <c r="Y121" s="140">
        <f>IF($C121="","",IF(PULL_FUND="N","",IFERROR(BDP($C121,EPS_FIELD,YR_OVERRIDE,TEXT(YEAR_Y-4,"0")),"")))</f>
        <v/>
      </c>
      <c r="Z121" s="140">
        <f>IF($C121="","",IF(PULL_FUND="N","",IFERROR(BDP($C121,EPS_FIELD,YR_OVERRIDE,TEXT(YEAR_Y-3,"0")),"")))</f>
        <v/>
      </c>
      <c r="AA121" s="140">
        <f>IF($C121="","",IF(PULL_FUND="N","",IFERROR(BDP($C121,EPS_FIELD,YR_OVERRIDE,TEXT(YEAR_Y-2,"0")),"")))</f>
        <v/>
      </c>
      <c r="AB121" s="140">
        <f>IF($C121="","",IF(PULL_FUND="N","",IFERROR(BDP($C121,EPS_FIELD,YR_OVERRIDE,TEXT(YEAR_Y-1,"0")),"")))</f>
        <v/>
      </c>
      <c r="AC121" s="126">
        <f>IF($C121="","",IFERROR(AVERAGE(X121:AB121),""))</f>
        <v/>
      </c>
      <c r="AD121" s="140">
        <f>IF($C121="","",IF(PULL_FUND="N","",IFERROR(BDP($C121,BESTEPS_FIELD,FWD_OVERRIDE,TEXT(MOD(YEAR_Y,100),"00")&amp;"Y"),"")))</f>
        <v/>
      </c>
      <c r="AE121" s="141">
        <f>IF($C121="","",IF(PULL_FUND="N","",IFERROR(BDP($C121,PAYOUT_FIELD,YR_OVERRIDE,TEXT(YEAR_Y-5,"0"))/100,"")))</f>
        <v/>
      </c>
      <c r="AF121" s="142">
        <f>IF($C121="","",IF(PULL_FUND="N","",IFERROR(BDP($C121,PAYOUT_FIELD,YR_OVERRIDE,TEXT(YEAR_Y-4,"0"))/100,"")))</f>
        <v/>
      </c>
      <c r="AG121" s="142">
        <f>IF($C121="","",IF(PULL_FUND="N","",IFERROR(BDP($C121,PAYOUT_FIELD,YR_OVERRIDE,TEXT(YEAR_Y-3,"0"))/100,"")))</f>
        <v/>
      </c>
      <c r="AH121" s="142">
        <f>IF($C121="","",IF(PULL_FUND="N","",IFERROR(BDP($C121,PAYOUT_FIELD,YR_OVERRIDE,TEXT(YEAR_Y-2,"0"))/100,"")))</f>
        <v/>
      </c>
      <c r="AI121" s="142">
        <f>IF($C121="","",IF(PULL_FUND="N","",IFERROR(BDP($C121,PAYOUT_FIELD,YR_OVERRIDE,TEXT(YEAR_Y-1,"0"))/100,"")))</f>
        <v/>
      </c>
      <c r="AJ121" s="143">
        <f>IF($C121="","",IFERROR(AVERAGE(AE121:AI121),""))</f>
        <v/>
      </c>
      <c r="AK121" s="144">
        <f>IF($C121="","",IF(ISNUMBER($AD121)*ISNUMBER($N121)*($AD121&lt;&gt;0)=0,"",$N121/$AD121))</f>
        <v/>
      </c>
      <c r="AL121" s="143">
        <f>IF($C121="","",IF(ISNUMBER($AD121)*($AD121&lt;&gt;0)=0,"",$M121/$AD121))</f>
        <v/>
      </c>
      <c r="AM121" s="37">
        <f>IF($C121="","",IF(ISNUMBER($AE121)*ISNUMBER($AI121)=0,"",IF($AI121&gt;$AE121+0.05,"rising",IF($AI121&lt;$AE121-0.05,"falling","stable"))))</f>
        <v/>
      </c>
      <c r="AN121" s="145">
        <f>IF($C121="","",IF(PULL_FUND="N","",IF(COUNTIFS('Fund History'!$G$666:$G$670,"&gt;="&amp;DATE(YEAR_Y-4,1,1),'Fund History'!$G$666:$G$670,"&lt;="&amp;DATE(YEAR_Y-4,12,31))=0,"",SUMIFS('Fund History'!$H$666:$H$670,'Fund History'!$G$666:$G$670,"&gt;="&amp;DATE(YEAR_Y-4,1,1),'Fund History'!$G$666:$G$670,"&lt;="&amp;DATE(YEAR_Y-4,12,31))/100)))</f>
        <v/>
      </c>
      <c r="AO121" s="146">
        <f>IF($C121="","",IF(PULL_FUND="N","",IF(COUNTIFS('Fund History'!$G$666:$G$670,"&gt;="&amp;DATE(YEAR_Y-3,1,1),'Fund History'!$G$666:$G$670,"&lt;="&amp;DATE(YEAR_Y-3,12,31))=0,"",SUMIFS('Fund History'!$H$666:$H$670,'Fund History'!$G$666:$G$670,"&gt;="&amp;DATE(YEAR_Y-3,1,1),'Fund History'!$G$666:$G$670,"&lt;="&amp;DATE(YEAR_Y-3,12,31))/100)))</f>
        <v/>
      </c>
      <c r="AP121" s="146">
        <f>IF($C121="","",IF(PULL_FUND="N","",IF(COUNTIFS('Fund History'!$G$666:$G$670,"&gt;="&amp;DATE(YEAR_Y-2,1,1),'Fund History'!$G$666:$G$670,"&lt;="&amp;DATE(YEAR_Y-2,12,31))=0,"",SUMIFS('Fund History'!$H$666:$H$670,'Fund History'!$G$666:$G$670,"&gt;="&amp;DATE(YEAR_Y-2,1,1),'Fund History'!$G$666:$G$670,"&lt;="&amp;DATE(YEAR_Y-2,12,31))/100)))</f>
        <v/>
      </c>
      <c r="AQ121" s="146">
        <f>IF($C121="","",IF(PULL_FUND="N","",IF(COUNTIFS('Fund History'!$G$666:$G$670,"&gt;="&amp;DATE(YEAR_Y-1,1,1),'Fund History'!$G$666:$G$670,"&lt;="&amp;DATE(YEAR_Y-1,12,31))=0,"",SUMIFS('Fund History'!$H$666:$H$670,'Fund History'!$G$666:$G$670,"&gt;="&amp;DATE(YEAR_Y-1,1,1),'Fund History'!$G$666:$G$670,"&lt;="&amp;DATE(YEAR_Y-1,12,31))/100)))</f>
        <v/>
      </c>
      <c r="AR121" s="147">
        <f>IF($C121="","",IF(N($AQ121)+N(HSTECH!$I$16)=0,"",N($AQ121)+N(HSTECH!$I$16)/100))</f>
        <v/>
      </c>
      <c r="AS121" s="139">
        <f>IF($C121="","",IF(PULL_FUND="N","",IF(COUNTIFS('Fund History'!$D$666:$D$670,"&gt;="&amp;DATE(YEAR_Y-2,1,1),'Fund History'!$D$666:$D$670,"&lt;="&amp;DATE(YEAR_Y-2,12,31))=0,"",SUMIFS('Fund History'!$E$666:$E$670,'Fund History'!$D$666:$D$670,"&gt;="&amp;DATE(YEAR_Y-2,1,1),'Fund History'!$D$666:$D$670,"&lt;="&amp;DATE(YEAR_Y-2,12,31)))))</f>
        <v/>
      </c>
      <c r="AT121" s="140">
        <f>IF($C121="","",IF(PULL_FUND="N","",IF(COUNTIFS('Fund History'!$D$666:$D$670,"&gt;="&amp;DATE(YEAR_Y-1,1,1),'Fund History'!$D$666:$D$670,"&lt;="&amp;DATE(YEAR_Y-1,12,31))=0,"",SUMIFS('Fund History'!$E$666:$E$670,'Fund History'!$D$666:$D$670,"&gt;="&amp;DATE(YEAR_Y-1,1,1),'Fund History'!$D$666:$D$670,"&lt;="&amp;DATE(YEAR_Y-1,12,31)))))</f>
        <v/>
      </c>
      <c r="AU121" s="140">
        <f>IF($C121="","",IF(PULL_FUND="N","",IFERROR(BDP($C121,NDEBITDA_FIELD),"")))</f>
        <v/>
      </c>
      <c r="AV121" s="148">
        <f>IF($C121="","",IF(PULL_FUND="N","",IFERROR(BDP($C121,EBINT_FIELD),"")))</f>
        <v/>
      </c>
      <c r="AW121" s="146">
        <f>IF($C121="","",IF(PULL_FUND="N","",IFERROR(BDP($C121,FCF_FIELD)/100,"")))</f>
        <v/>
      </c>
      <c r="AX121" s="126">
        <f>IF($C121="","",IF(N($U121)=0,"",IFERROR($AW121/$U121,"")))</f>
        <v/>
      </c>
      <c r="AY121" s="85">
        <f>IF($C121="","",TRIM(IF(ISNUMBER($AJ121)*(N($AJ121)&gt;$D$4)&gt;0,"payout high  ","")&amp;IF(ISNUMBER($AX121)*(N($AX121)&lt;$F$4)&gt;0,"FCF below dvd  ","")&amp;IF(ISNUMBER($AU121)*(N($AU121)&gt;$H$4)&gt;0,"leverage high","")))</f>
        <v/>
      </c>
      <c r="AZ121" s="86">
        <f>IF($C121="","",IF(HSTECH!$F$16="HKD","",HSTECH!$F$16))</f>
        <v/>
      </c>
    </row>
    <row r="122">
      <c r="B122" s="66" t="inlineStr">
        <is>
          <t>HSTECH</t>
        </is>
      </c>
      <c r="C122" s="8">
        <f>IF(HSTECH!$C$17="","",HSTECH!$C$17)</f>
        <v/>
      </c>
      <c r="D122" s="8">
        <f>IF($C122="","",HSTECH!$D$17)</f>
        <v/>
      </c>
      <c r="E122" s="8">
        <f>IF($C122="","",HSTECH!$E$17)</f>
        <v/>
      </c>
      <c r="F122" s="131">
        <f>IF($C122="","",SUMPRODUCT(('Dvd Calendar'!$E$1226:$AR$1226&gt;=DATE(YEAR_Y-5,1,1))*('Dvd Calendar'!$E$1226:$AR$1226&lt;=DATE(YEAR_Y-5,12,31))*'Dvd Calendar'!$E$1229:$AR$1229*(('Dvd Calendar'!$E$1231:$AR$1231=TYPE1)*(TYPE1&lt;&gt;"")+('Dvd Calendar'!$E$1231:$AR$1231=TYPE2)*(TYPE2&lt;&gt;"")+('Dvd Calendar'!$E$1231:$AR$1231=TYPE3)*(TYPE3&lt;&gt;"")+('Dvd Calendar'!$E$1231:$AR$1231=TYPE4)*(TYPE4&lt;&gt;"")+('Dvd Calendar'!$E$1231:$AR$1231=SPECIAL_LBL)*(INC_SPECIALS="Y"))))</f>
        <v/>
      </c>
      <c r="G122" s="132">
        <f>IF($C122="","",SUMPRODUCT(('Dvd Calendar'!$E$1226:$AR$1226&gt;=DATE(YEAR_Y-4,1,1))*('Dvd Calendar'!$E$1226:$AR$1226&lt;=DATE(YEAR_Y-4,12,31))*'Dvd Calendar'!$E$1229:$AR$1229*(('Dvd Calendar'!$E$1231:$AR$1231=TYPE1)*(TYPE1&lt;&gt;"")+('Dvd Calendar'!$E$1231:$AR$1231=TYPE2)*(TYPE2&lt;&gt;"")+('Dvd Calendar'!$E$1231:$AR$1231=TYPE3)*(TYPE3&lt;&gt;"")+('Dvd Calendar'!$E$1231:$AR$1231=TYPE4)*(TYPE4&lt;&gt;"")+('Dvd Calendar'!$E$1231:$AR$1231=SPECIAL_LBL)*(INC_SPECIALS="Y"))))</f>
        <v/>
      </c>
      <c r="H122" s="132">
        <f>IF($C122="","",SUMPRODUCT(('Dvd Calendar'!$E$1226:$AR$1226&gt;=DATE(YEAR_Y-3,1,1))*('Dvd Calendar'!$E$1226:$AR$1226&lt;=DATE(YEAR_Y-3,12,31))*'Dvd Calendar'!$E$1229:$AR$1229*(('Dvd Calendar'!$E$1231:$AR$1231=TYPE1)*(TYPE1&lt;&gt;"")+('Dvd Calendar'!$E$1231:$AR$1231=TYPE2)*(TYPE2&lt;&gt;"")+('Dvd Calendar'!$E$1231:$AR$1231=TYPE3)*(TYPE3&lt;&gt;"")+('Dvd Calendar'!$E$1231:$AR$1231=TYPE4)*(TYPE4&lt;&gt;"")+('Dvd Calendar'!$E$1231:$AR$1231=SPECIAL_LBL)*(INC_SPECIALS="Y"))))</f>
        <v/>
      </c>
      <c r="I122" s="132">
        <f>IF($C122="","",SUMPRODUCT(('Dvd Calendar'!$E$1226:$AR$1226&gt;=DATE(YEAR_Y-2,1,1))*('Dvd Calendar'!$E$1226:$AR$1226&lt;=DATE(YEAR_Y-2,12,31))*'Dvd Calendar'!$E$1229:$AR$1229*(('Dvd Calendar'!$E$1231:$AR$1231=TYPE1)*(TYPE1&lt;&gt;"")+('Dvd Calendar'!$E$1231:$AR$1231=TYPE2)*(TYPE2&lt;&gt;"")+('Dvd Calendar'!$E$1231:$AR$1231=TYPE3)*(TYPE3&lt;&gt;"")+('Dvd Calendar'!$E$1231:$AR$1231=TYPE4)*(TYPE4&lt;&gt;"")+('Dvd Calendar'!$E$1231:$AR$1231=SPECIAL_LBL)*(INC_SPECIALS="Y"))))</f>
        <v/>
      </c>
      <c r="J122" s="132">
        <f>IF($C122="","",SUMPRODUCT(('Dvd Calendar'!$E$1226:$AR$1226&gt;=DATE(YEAR_Y-1,1,1))*('Dvd Calendar'!$E$1226:$AR$1226&lt;=DATE(YEAR_Y-1,12,31))*'Dvd Calendar'!$E$1229:$AR$1229*(('Dvd Calendar'!$E$1231:$AR$1231=TYPE1)*(TYPE1&lt;&gt;"")+('Dvd Calendar'!$E$1231:$AR$1231=TYPE2)*(TYPE2&lt;&gt;"")+('Dvd Calendar'!$E$1231:$AR$1231=TYPE3)*(TYPE3&lt;&gt;"")+('Dvd Calendar'!$E$1231:$AR$1231=TYPE4)*(TYPE4&lt;&gt;"")+('Dvd Calendar'!$E$1231:$AR$1231=SPECIAL_LBL)*(INC_SPECIALS="Y"))))</f>
        <v/>
      </c>
      <c r="K122" s="133">
        <f>IF($C122="","",HSTECH!$J$17)</f>
        <v/>
      </c>
      <c r="L122" s="133">
        <f>IF($C122="","",HSTECH!$K$17)</f>
        <v/>
      </c>
      <c r="M122" s="124">
        <f>IF($C122="","",HSTECH!$J$17+HSTECH!$L$17)</f>
        <v/>
      </c>
      <c r="N122" s="134">
        <f>IF($C122="","",IF(PULL_FUND="N","",IFERROR(BDP($C122,BESTDPS_FIELD,FWD_OVERRIDE,TEXT(MOD(YEAR_Y,100),"00")&amp;"Y"),"")))</f>
        <v/>
      </c>
      <c r="O122" s="133">
        <f>IF($C122="","",AVERAGE(F122:J122))</f>
        <v/>
      </c>
      <c r="P122" s="135">
        <f>IF($C122="","",IF(PULL_FUND="N","",IF(COUNTIFS('Fund History'!$J$672:$J$676,"&gt;="&amp;DATE(YEAR_Y-5,1,1),'Fund History'!$J$672:$J$676,"&lt;="&amp;DATE(YEAR_Y-5,12,31))=0,"",IFERROR($F122*HSTECH!$G$17/SUMIFS('Fund History'!$K$672:$K$676,'Fund History'!$J$672:$J$676,"&gt;="&amp;DATE(YEAR_Y-5,1,1),'Fund History'!$J$672:$J$676,"&lt;="&amp;DATE(YEAR_Y-5,12,31)),""))))</f>
        <v/>
      </c>
      <c r="Q122" s="136">
        <f>IF($C122="","",IF(PULL_FUND="N","",IF(COUNTIFS('Fund History'!$J$672:$J$676,"&gt;="&amp;DATE(YEAR_Y-4,1,1),'Fund History'!$J$672:$J$676,"&lt;="&amp;DATE(YEAR_Y-4,12,31))=0,"",IFERROR($G122*HSTECH!$G$17/SUMIFS('Fund History'!$K$672:$K$676,'Fund History'!$J$672:$J$676,"&gt;="&amp;DATE(YEAR_Y-4,1,1),'Fund History'!$J$672:$J$676,"&lt;="&amp;DATE(YEAR_Y-4,12,31)),""))))</f>
        <v/>
      </c>
      <c r="R122" s="136">
        <f>IF($C122="","",IF(PULL_FUND="N","",IF(COUNTIFS('Fund History'!$J$672:$J$676,"&gt;="&amp;DATE(YEAR_Y-3,1,1),'Fund History'!$J$672:$J$676,"&lt;="&amp;DATE(YEAR_Y-3,12,31))=0,"",IFERROR($H122*HSTECH!$G$17/SUMIFS('Fund History'!$K$672:$K$676,'Fund History'!$J$672:$J$676,"&gt;="&amp;DATE(YEAR_Y-3,1,1),'Fund History'!$J$672:$J$676,"&lt;="&amp;DATE(YEAR_Y-3,12,31)),""))))</f>
        <v/>
      </c>
      <c r="S122" s="136">
        <f>IF($C122="","",IF(PULL_FUND="N","",IF(COUNTIFS('Fund History'!$J$672:$J$676,"&gt;="&amp;DATE(YEAR_Y-2,1,1),'Fund History'!$J$672:$J$676,"&lt;="&amp;DATE(YEAR_Y-2,12,31))=0,"",IFERROR($I122*HSTECH!$G$17/SUMIFS('Fund History'!$K$672:$K$676,'Fund History'!$J$672:$J$676,"&gt;="&amp;DATE(YEAR_Y-2,1,1),'Fund History'!$J$672:$J$676,"&lt;="&amp;DATE(YEAR_Y-2,12,31)),""))))</f>
        <v/>
      </c>
      <c r="T122" s="136">
        <f>IF($C122="","",IF(PULL_FUND="N","",IF(COUNTIFS('Fund History'!$J$672:$J$676,"&gt;="&amp;DATE(YEAR_Y-1,1,1),'Fund History'!$J$672:$J$676,"&lt;="&amp;DATE(YEAR_Y-1,12,31))=0,"",IFERROR($J122*HSTECH!$G$17/SUMIFS('Fund History'!$K$672:$K$676,'Fund History'!$J$672:$J$676,"&gt;="&amp;DATE(YEAR_Y-1,1,1),'Fund History'!$J$672:$J$676,"&lt;="&amp;DATE(YEAR_Y-1,12,31)),""))))</f>
        <v/>
      </c>
      <c r="U122" s="137">
        <f>IF($C122="","",IF(ISNUMBER(HSTECH!$I$17),HSTECH!$I$17/100,""))</f>
        <v/>
      </c>
      <c r="V122" s="138">
        <f>IF($C122="","",IF(ISNUMBER(HSTECH!$X$17),IFERROR($M122*HSTECH!$G$17/HSTECH!$X$17,""),""))</f>
        <v/>
      </c>
      <c r="W122" s="137">
        <f>IF($C122="","",IF(ISNUMBER($N122),IFERROR($N122*HSTECH!$G$17/HSTECH!$X$17,""),""))</f>
        <v/>
      </c>
      <c r="X122" s="139">
        <f>IF($C122="","",IF(PULL_FUND="N","",IFERROR(BDP($C122,EPS_FIELD,YR_OVERRIDE,TEXT(YEAR_Y-5,"0")),"")))</f>
        <v/>
      </c>
      <c r="Y122" s="140">
        <f>IF($C122="","",IF(PULL_FUND="N","",IFERROR(BDP($C122,EPS_FIELD,YR_OVERRIDE,TEXT(YEAR_Y-4,"0")),"")))</f>
        <v/>
      </c>
      <c r="Z122" s="140">
        <f>IF($C122="","",IF(PULL_FUND="N","",IFERROR(BDP($C122,EPS_FIELD,YR_OVERRIDE,TEXT(YEAR_Y-3,"0")),"")))</f>
        <v/>
      </c>
      <c r="AA122" s="140">
        <f>IF($C122="","",IF(PULL_FUND="N","",IFERROR(BDP($C122,EPS_FIELD,YR_OVERRIDE,TEXT(YEAR_Y-2,"0")),"")))</f>
        <v/>
      </c>
      <c r="AB122" s="140">
        <f>IF($C122="","",IF(PULL_FUND="N","",IFERROR(BDP($C122,EPS_FIELD,YR_OVERRIDE,TEXT(YEAR_Y-1,"0")),"")))</f>
        <v/>
      </c>
      <c r="AC122" s="126">
        <f>IF($C122="","",IFERROR(AVERAGE(X122:AB122),""))</f>
        <v/>
      </c>
      <c r="AD122" s="140">
        <f>IF($C122="","",IF(PULL_FUND="N","",IFERROR(BDP($C122,BESTEPS_FIELD,FWD_OVERRIDE,TEXT(MOD(YEAR_Y,100),"00")&amp;"Y"),"")))</f>
        <v/>
      </c>
      <c r="AE122" s="141">
        <f>IF($C122="","",IF(PULL_FUND="N","",IFERROR(BDP($C122,PAYOUT_FIELD,YR_OVERRIDE,TEXT(YEAR_Y-5,"0"))/100,"")))</f>
        <v/>
      </c>
      <c r="AF122" s="142">
        <f>IF($C122="","",IF(PULL_FUND="N","",IFERROR(BDP($C122,PAYOUT_FIELD,YR_OVERRIDE,TEXT(YEAR_Y-4,"0"))/100,"")))</f>
        <v/>
      </c>
      <c r="AG122" s="142">
        <f>IF($C122="","",IF(PULL_FUND="N","",IFERROR(BDP($C122,PAYOUT_FIELD,YR_OVERRIDE,TEXT(YEAR_Y-3,"0"))/100,"")))</f>
        <v/>
      </c>
      <c r="AH122" s="142">
        <f>IF($C122="","",IF(PULL_FUND="N","",IFERROR(BDP($C122,PAYOUT_FIELD,YR_OVERRIDE,TEXT(YEAR_Y-2,"0"))/100,"")))</f>
        <v/>
      </c>
      <c r="AI122" s="142">
        <f>IF($C122="","",IF(PULL_FUND="N","",IFERROR(BDP($C122,PAYOUT_FIELD,YR_OVERRIDE,TEXT(YEAR_Y-1,"0"))/100,"")))</f>
        <v/>
      </c>
      <c r="AJ122" s="143">
        <f>IF($C122="","",IFERROR(AVERAGE(AE122:AI122),""))</f>
        <v/>
      </c>
      <c r="AK122" s="144">
        <f>IF($C122="","",IF(ISNUMBER($AD122)*ISNUMBER($N122)*($AD122&lt;&gt;0)=0,"",$N122/$AD122))</f>
        <v/>
      </c>
      <c r="AL122" s="143">
        <f>IF($C122="","",IF(ISNUMBER($AD122)*($AD122&lt;&gt;0)=0,"",$M122/$AD122))</f>
        <v/>
      </c>
      <c r="AM122" s="37">
        <f>IF($C122="","",IF(ISNUMBER($AE122)*ISNUMBER($AI122)=0,"",IF($AI122&gt;$AE122+0.05,"rising",IF($AI122&lt;$AE122-0.05,"falling","stable"))))</f>
        <v/>
      </c>
      <c r="AN122" s="145">
        <f>IF($C122="","",IF(PULL_FUND="N","",IF(COUNTIFS('Fund History'!$G$672:$G$676,"&gt;="&amp;DATE(YEAR_Y-4,1,1),'Fund History'!$G$672:$G$676,"&lt;="&amp;DATE(YEAR_Y-4,12,31))=0,"",SUMIFS('Fund History'!$H$672:$H$676,'Fund History'!$G$672:$G$676,"&gt;="&amp;DATE(YEAR_Y-4,1,1),'Fund History'!$G$672:$G$676,"&lt;="&amp;DATE(YEAR_Y-4,12,31))/100)))</f>
        <v/>
      </c>
      <c r="AO122" s="146">
        <f>IF($C122="","",IF(PULL_FUND="N","",IF(COUNTIFS('Fund History'!$G$672:$G$676,"&gt;="&amp;DATE(YEAR_Y-3,1,1),'Fund History'!$G$672:$G$676,"&lt;="&amp;DATE(YEAR_Y-3,12,31))=0,"",SUMIFS('Fund History'!$H$672:$H$676,'Fund History'!$G$672:$G$676,"&gt;="&amp;DATE(YEAR_Y-3,1,1),'Fund History'!$G$672:$G$676,"&lt;="&amp;DATE(YEAR_Y-3,12,31))/100)))</f>
        <v/>
      </c>
      <c r="AP122" s="146">
        <f>IF($C122="","",IF(PULL_FUND="N","",IF(COUNTIFS('Fund History'!$G$672:$G$676,"&gt;="&amp;DATE(YEAR_Y-2,1,1),'Fund History'!$G$672:$G$676,"&lt;="&amp;DATE(YEAR_Y-2,12,31))=0,"",SUMIFS('Fund History'!$H$672:$H$676,'Fund History'!$G$672:$G$676,"&gt;="&amp;DATE(YEAR_Y-2,1,1),'Fund History'!$G$672:$G$676,"&lt;="&amp;DATE(YEAR_Y-2,12,31))/100)))</f>
        <v/>
      </c>
      <c r="AQ122" s="146">
        <f>IF($C122="","",IF(PULL_FUND="N","",IF(COUNTIFS('Fund History'!$G$672:$G$676,"&gt;="&amp;DATE(YEAR_Y-1,1,1),'Fund History'!$G$672:$G$676,"&lt;="&amp;DATE(YEAR_Y-1,12,31))=0,"",SUMIFS('Fund History'!$H$672:$H$676,'Fund History'!$G$672:$G$676,"&gt;="&amp;DATE(YEAR_Y-1,1,1),'Fund History'!$G$672:$G$676,"&lt;="&amp;DATE(YEAR_Y-1,12,31))/100)))</f>
        <v/>
      </c>
      <c r="AR122" s="147">
        <f>IF($C122="","",IF(N($AQ122)+N(HSTECH!$I$17)=0,"",N($AQ122)+N(HSTECH!$I$17)/100))</f>
        <v/>
      </c>
      <c r="AS122" s="139">
        <f>IF($C122="","",IF(PULL_FUND="N","",IF(COUNTIFS('Fund History'!$D$672:$D$676,"&gt;="&amp;DATE(YEAR_Y-2,1,1),'Fund History'!$D$672:$D$676,"&lt;="&amp;DATE(YEAR_Y-2,12,31))=0,"",SUMIFS('Fund History'!$E$672:$E$676,'Fund History'!$D$672:$D$676,"&gt;="&amp;DATE(YEAR_Y-2,1,1),'Fund History'!$D$672:$D$676,"&lt;="&amp;DATE(YEAR_Y-2,12,31)))))</f>
        <v/>
      </c>
      <c r="AT122" s="140">
        <f>IF($C122="","",IF(PULL_FUND="N","",IF(COUNTIFS('Fund History'!$D$672:$D$676,"&gt;="&amp;DATE(YEAR_Y-1,1,1),'Fund History'!$D$672:$D$676,"&lt;="&amp;DATE(YEAR_Y-1,12,31))=0,"",SUMIFS('Fund History'!$E$672:$E$676,'Fund History'!$D$672:$D$676,"&gt;="&amp;DATE(YEAR_Y-1,1,1),'Fund History'!$D$672:$D$676,"&lt;="&amp;DATE(YEAR_Y-1,12,31)))))</f>
        <v/>
      </c>
      <c r="AU122" s="140">
        <f>IF($C122="","",IF(PULL_FUND="N","",IFERROR(BDP($C122,NDEBITDA_FIELD),"")))</f>
        <v/>
      </c>
      <c r="AV122" s="148">
        <f>IF($C122="","",IF(PULL_FUND="N","",IFERROR(BDP($C122,EBINT_FIELD),"")))</f>
        <v/>
      </c>
      <c r="AW122" s="146">
        <f>IF($C122="","",IF(PULL_FUND="N","",IFERROR(BDP($C122,FCF_FIELD)/100,"")))</f>
        <v/>
      </c>
      <c r="AX122" s="126">
        <f>IF($C122="","",IF(N($U122)=0,"",IFERROR($AW122/$U122,"")))</f>
        <v/>
      </c>
      <c r="AY122" s="85">
        <f>IF($C122="","",TRIM(IF(ISNUMBER($AJ122)*(N($AJ122)&gt;$D$4)&gt;0,"payout high  ","")&amp;IF(ISNUMBER($AX122)*(N($AX122)&lt;$F$4)&gt;0,"FCF below dvd  ","")&amp;IF(ISNUMBER($AU122)*(N($AU122)&gt;$H$4)&gt;0,"leverage high","")))</f>
        <v/>
      </c>
      <c r="AZ122" s="86">
        <f>IF($C122="","",IF(HSTECH!$F$17="HKD","",HSTECH!$F$17))</f>
        <v/>
      </c>
    </row>
    <row r="123">
      <c r="B123" s="66" t="inlineStr">
        <is>
          <t>HSTECH</t>
        </is>
      </c>
      <c r="C123" s="8">
        <f>IF(HSTECH!$C$18="","",HSTECH!$C$18)</f>
        <v/>
      </c>
      <c r="D123" s="8">
        <f>IF($C123="","",HSTECH!$D$18)</f>
        <v/>
      </c>
      <c r="E123" s="8">
        <f>IF($C123="","",HSTECH!$E$18)</f>
        <v/>
      </c>
      <c r="F123" s="131">
        <f>IF($C123="","",SUMPRODUCT(('Dvd Calendar'!$E$1237:$AR$1237&gt;=DATE(YEAR_Y-5,1,1))*('Dvd Calendar'!$E$1237:$AR$1237&lt;=DATE(YEAR_Y-5,12,31))*'Dvd Calendar'!$E$1240:$AR$1240*(('Dvd Calendar'!$E$1242:$AR$1242=TYPE1)*(TYPE1&lt;&gt;"")+('Dvd Calendar'!$E$1242:$AR$1242=TYPE2)*(TYPE2&lt;&gt;"")+('Dvd Calendar'!$E$1242:$AR$1242=TYPE3)*(TYPE3&lt;&gt;"")+('Dvd Calendar'!$E$1242:$AR$1242=TYPE4)*(TYPE4&lt;&gt;"")+('Dvd Calendar'!$E$1242:$AR$1242=SPECIAL_LBL)*(INC_SPECIALS="Y"))))</f>
        <v/>
      </c>
      <c r="G123" s="132">
        <f>IF($C123="","",SUMPRODUCT(('Dvd Calendar'!$E$1237:$AR$1237&gt;=DATE(YEAR_Y-4,1,1))*('Dvd Calendar'!$E$1237:$AR$1237&lt;=DATE(YEAR_Y-4,12,31))*'Dvd Calendar'!$E$1240:$AR$1240*(('Dvd Calendar'!$E$1242:$AR$1242=TYPE1)*(TYPE1&lt;&gt;"")+('Dvd Calendar'!$E$1242:$AR$1242=TYPE2)*(TYPE2&lt;&gt;"")+('Dvd Calendar'!$E$1242:$AR$1242=TYPE3)*(TYPE3&lt;&gt;"")+('Dvd Calendar'!$E$1242:$AR$1242=TYPE4)*(TYPE4&lt;&gt;"")+('Dvd Calendar'!$E$1242:$AR$1242=SPECIAL_LBL)*(INC_SPECIALS="Y"))))</f>
        <v/>
      </c>
      <c r="H123" s="132">
        <f>IF($C123="","",SUMPRODUCT(('Dvd Calendar'!$E$1237:$AR$1237&gt;=DATE(YEAR_Y-3,1,1))*('Dvd Calendar'!$E$1237:$AR$1237&lt;=DATE(YEAR_Y-3,12,31))*'Dvd Calendar'!$E$1240:$AR$1240*(('Dvd Calendar'!$E$1242:$AR$1242=TYPE1)*(TYPE1&lt;&gt;"")+('Dvd Calendar'!$E$1242:$AR$1242=TYPE2)*(TYPE2&lt;&gt;"")+('Dvd Calendar'!$E$1242:$AR$1242=TYPE3)*(TYPE3&lt;&gt;"")+('Dvd Calendar'!$E$1242:$AR$1242=TYPE4)*(TYPE4&lt;&gt;"")+('Dvd Calendar'!$E$1242:$AR$1242=SPECIAL_LBL)*(INC_SPECIALS="Y"))))</f>
        <v/>
      </c>
      <c r="I123" s="132">
        <f>IF($C123="","",SUMPRODUCT(('Dvd Calendar'!$E$1237:$AR$1237&gt;=DATE(YEAR_Y-2,1,1))*('Dvd Calendar'!$E$1237:$AR$1237&lt;=DATE(YEAR_Y-2,12,31))*'Dvd Calendar'!$E$1240:$AR$1240*(('Dvd Calendar'!$E$1242:$AR$1242=TYPE1)*(TYPE1&lt;&gt;"")+('Dvd Calendar'!$E$1242:$AR$1242=TYPE2)*(TYPE2&lt;&gt;"")+('Dvd Calendar'!$E$1242:$AR$1242=TYPE3)*(TYPE3&lt;&gt;"")+('Dvd Calendar'!$E$1242:$AR$1242=TYPE4)*(TYPE4&lt;&gt;"")+('Dvd Calendar'!$E$1242:$AR$1242=SPECIAL_LBL)*(INC_SPECIALS="Y"))))</f>
        <v/>
      </c>
      <c r="J123" s="132">
        <f>IF($C123="","",SUMPRODUCT(('Dvd Calendar'!$E$1237:$AR$1237&gt;=DATE(YEAR_Y-1,1,1))*('Dvd Calendar'!$E$1237:$AR$1237&lt;=DATE(YEAR_Y-1,12,31))*'Dvd Calendar'!$E$1240:$AR$1240*(('Dvd Calendar'!$E$1242:$AR$1242=TYPE1)*(TYPE1&lt;&gt;"")+('Dvd Calendar'!$E$1242:$AR$1242=TYPE2)*(TYPE2&lt;&gt;"")+('Dvd Calendar'!$E$1242:$AR$1242=TYPE3)*(TYPE3&lt;&gt;"")+('Dvd Calendar'!$E$1242:$AR$1242=TYPE4)*(TYPE4&lt;&gt;"")+('Dvd Calendar'!$E$1242:$AR$1242=SPECIAL_LBL)*(INC_SPECIALS="Y"))))</f>
        <v/>
      </c>
      <c r="K123" s="133">
        <f>IF($C123="","",HSTECH!$J$18)</f>
        <v/>
      </c>
      <c r="L123" s="133">
        <f>IF($C123="","",HSTECH!$K$18)</f>
        <v/>
      </c>
      <c r="M123" s="124">
        <f>IF($C123="","",HSTECH!$J$18+HSTECH!$L$18)</f>
        <v/>
      </c>
      <c r="N123" s="134">
        <f>IF($C123="","",IF(PULL_FUND="N","",IFERROR(BDP($C123,BESTDPS_FIELD,FWD_OVERRIDE,TEXT(MOD(YEAR_Y,100),"00")&amp;"Y"),"")))</f>
        <v/>
      </c>
      <c r="O123" s="133">
        <f>IF($C123="","",AVERAGE(F123:J123))</f>
        <v/>
      </c>
      <c r="P123" s="135">
        <f>IF($C123="","",IF(PULL_FUND="N","",IF(COUNTIFS('Fund History'!$J$678:$J$682,"&gt;="&amp;DATE(YEAR_Y-5,1,1),'Fund History'!$J$678:$J$682,"&lt;="&amp;DATE(YEAR_Y-5,12,31))=0,"",IFERROR($F123*HSTECH!$G$18/SUMIFS('Fund History'!$K$678:$K$682,'Fund History'!$J$678:$J$682,"&gt;="&amp;DATE(YEAR_Y-5,1,1),'Fund History'!$J$678:$J$682,"&lt;="&amp;DATE(YEAR_Y-5,12,31)),""))))</f>
        <v/>
      </c>
      <c r="Q123" s="136">
        <f>IF($C123="","",IF(PULL_FUND="N","",IF(COUNTIFS('Fund History'!$J$678:$J$682,"&gt;="&amp;DATE(YEAR_Y-4,1,1),'Fund History'!$J$678:$J$682,"&lt;="&amp;DATE(YEAR_Y-4,12,31))=0,"",IFERROR($G123*HSTECH!$G$18/SUMIFS('Fund History'!$K$678:$K$682,'Fund History'!$J$678:$J$682,"&gt;="&amp;DATE(YEAR_Y-4,1,1),'Fund History'!$J$678:$J$682,"&lt;="&amp;DATE(YEAR_Y-4,12,31)),""))))</f>
        <v/>
      </c>
      <c r="R123" s="136">
        <f>IF($C123="","",IF(PULL_FUND="N","",IF(COUNTIFS('Fund History'!$J$678:$J$682,"&gt;="&amp;DATE(YEAR_Y-3,1,1),'Fund History'!$J$678:$J$682,"&lt;="&amp;DATE(YEAR_Y-3,12,31))=0,"",IFERROR($H123*HSTECH!$G$18/SUMIFS('Fund History'!$K$678:$K$682,'Fund History'!$J$678:$J$682,"&gt;="&amp;DATE(YEAR_Y-3,1,1),'Fund History'!$J$678:$J$682,"&lt;="&amp;DATE(YEAR_Y-3,12,31)),""))))</f>
        <v/>
      </c>
      <c r="S123" s="136">
        <f>IF($C123="","",IF(PULL_FUND="N","",IF(COUNTIFS('Fund History'!$J$678:$J$682,"&gt;="&amp;DATE(YEAR_Y-2,1,1),'Fund History'!$J$678:$J$682,"&lt;="&amp;DATE(YEAR_Y-2,12,31))=0,"",IFERROR($I123*HSTECH!$G$18/SUMIFS('Fund History'!$K$678:$K$682,'Fund History'!$J$678:$J$682,"&gt;="&amp;DATE(YEAR_Y-2,1,1),'Fund History'!$J$678:$J$682,"&lt;="&amp;DATE(YEAR_Y-2,12,31)),""))))</f>
        <v/>
      </c>
      <c r="T123" s="136">
        <f>IF($C123="","",IF(PULL_FUND="N","",IF(COUNTIFS('Fund History'!$J$678:$J$682,"&gt;="&amp;DATE(YEAR_Y-1,1,1),'Fund History'!$J$678:$J$682,"&lt;="&amp;DATE(YEAR_Y-1,12,31))=0,"",IFERROR($J123*HSTECH!$G$18/SUMIFS('Fund History'!$K$678:$K$682,'Fund History'!$J$678:$J$682,"&gt;="&amp;DATE(YEAR_Y-1,1,1),'Fund History'!$J$678:$J$682,"&lt;="&amp;DATE(YEAR_Y-1,12,31)),""))))</f>
        <v/>
      </c>
      <c r="U123" s="137">
        <f>IF($C123="","",IF(ISNUMBER(HSTECH!$I$18),HSTECH!$I$18/100,""))</f>
        <v/>
      </c>
      <c r="V123" s="138">
        <f>IF($C123="","",IF(ISNUMBER(HSTECH!$X$18),IFERROR($M123*HSTECH!$G$18/HSTECH!$X$18,""),""))</f>
        <v/>
      </c>
      <c r="W123" s="137">
        <f>IF($C123="","",IF(ISNUMBER($N123),IFERROR($N123*HSTECH!$G$18/HSTECH!$X$18,""),""))</f>
        <v/>
      </c>
      <c r="X123" s="139">
        <f>IF($C123="","",IF(PULL_FUND="N","",IFERROR(BDP($C123,EPS_FIELD,YR_OVERRIDE,TEXT(YEAR_Y-5,"0")),"")))</f>
        <v/>
      </c>
      <c r="Y123" s="140">
        <f>IF($C123="","",IF(PULL_FUND="N","",IFERROR(BDP($C123,EPS_FIELD,YR_OVERRIDE,TEXT(YEAR_Y-4,"0")),"")))</f>
        <v/>
      </c>
      <c r="Z123" s="140">
        <f>IF($C123="","",IF(PULL_FUND="N","",IFERROR(BDP($C123,EPS_FIELD,YR_OVERRIDE,TEXT(YEAR_Y-3,"0")),"")))</f>
        <v/>
      </c>
      <c r="AA123" s="140">
        <f>IF($C123="","",IF(PULL_FUND="N","",IFERROR(BDP($C123,EPS_FIELD,YR_OVERRIDE,TEXT(YEAR_Y-2,"0")),"")))</f>
        <v/>
      </c>
      <c r="AB123" s="140">
        <f>IF($C123="","",IF(PULL_FUND="N","",IFERROR(BDP($C123,EPS_FIELD,YR_OVERRIDE,TEXT(YEAR_Y-1,"0")),"")))</f>
        <v/>
      </c>
      <c r="AC123" s="126">
        <f>IF($C123="","",IFERROR(AVERAGE(X123:AB123),""))</f>
        <v/>
      </c>
      <c r="AD123" s="140">
        <f>IF($C123="","",IF(PULL_FUND="N","",IFERROR(BDP($C123,BESTEPS_FIELD,FWD_OVERRIDE,TEXT(MOD(YEAR_Y,100),"00")&amp;"Y"),"")))</f>
        <v/>
      </c>
      <c r="AE123" s="141">
        <f>IF($C123="","",IF(PULL_FUND="N","",IFERROR(BDP($C123,PAYOUT_FIELD,YR_OVERRIDE,TEXT(YEAR_Y-5,"0"))/100,"")))</f>
        <v/>
      </c>
      <c r="AF123" s="142">
        <f>IF($C123="","",IF(PULL_FUND="N","",IFERROR(BDP($C123,PAYOUT_FIELD,YR_OVERRIDE,TEXT(YEAR_Y-4,"0"))/100,"")))</f>
        <v/>
      </c>
      <c r="AG123" s="142">
        <f>IF($C123="","",IF(PULL_FUND="N","",IFERROR(BDP($C123,PAYOUT_FIELD,YR_OVERRIDE,TEXT(YEAR_Y-3,"0"))/100,"")))</f>
        <v/>
      </c>
      <c r="AH123" s="142">
        <f>IF($C123="","",IF(PULL_FUND="N","",IFERROR(BDP($C123,PAYOUT_FIELD,YR_OVERRIDE,TEXT(YEAR_Y-2,"0"))/100,"")))</f>
        <v/>
      </c>
      <c r="AI123" s="142">
        <f>IF($C123="","",IF(PULL_FUND="N","",IFERROR(BDP($C123,PAYOUT_FIELD,YR_OVERRIDE,TEXT(YEAR_Y-1,"0"))/100,"")))</f>
        <v/>
      </c>
      <c r="AJ123" s="143">
        <f>IF($C123="","",IFERROR(AVERAGE(AE123:AI123),""))</f>
        <v/>
      </c>
      <c r="AK123" s="144">
        <f>IF($C123="","",IF(ISNUMBER($AD123)*ISNUMBER($N123)*($AD123&lt;&gt;0)=0,"",$N123/$AD123))</f>
        <v/>
      </c>
      <c r="AL123" s="143">
        <f>IF($C123="","",IF(ISNUMBER($AD123)*($AD123&lt;&gt;0)=0,"",$M123/$AD123))</f>
        <v/>
      </c>
      <c r="AM123" s="37">
        <f>IF($C123="","",IF(ISNUMBER($AE123)*ISNUMBER($AI123)=0,"",IF($AI123&gt;$AE123+0.05,"rising",IF($AI123&lt;$AE123-0.05,"falling","stable"))))</f>
        <v/>
      </c>
      <c r="AN123" s="145">
        <f>IF($C123="","",IF(PULL_FUND="N","",IF(COUNTIFS('Fund History'!$G$678:$G$682,"&gt;="&amp;DATE(YEAR_Y-4,1,1),'Fund History'!$G$678:$G$682,"&lt;="&amp;DATE(YEAR_Y-4,12,31))=0,"",SUMIFS('Fund History'!$H$678:$H$682,'Fund History'!$G$678:$G$682,"&gt;="&amp;DATE(YEAR_Y-4,1,1),'Fund History'!$G$678:$G$682,"&lt;="&amp;DATE(YEAR_Y-4,12,31))/100)))</f>
        <v/>
      </c>
      <c r="AO123" s="146">
        <f>IF($C123="","",IF(PULL_FUND="N","",IF(COUNTIFS('Fund History'!$G$678:$G$682,"&gt;="&amp;DATE(YEAR_Y-3,1,1),'Fund History'!$G$678:$G$682,"&lt;="&amp;DATE(YEAR_Y-3,12,31))=0,"",SUMIFS('Fund History'!$H$678:$H$682,'Fund History'!$G$678:$G$682,"&gt;="&amp;DATE(YEAR_Y-3,1,1),'Fund History'!$G$678:$G$682,"&lt;="&amp;DATE(YEAR_Y-3,12,31))/100)))</f>
        <v/>
      </c>
      <c r="AP123" s="146">
        <f>IF($C123="","",IF(PULL_FUND="N","",IF(COUNTIFS('Fund History'!$G$678:$G$682,"&gt;="&amp;DATE(YEAR_Y-2,1,1),'Fund History'!$G$678:$G$682,"&lt;="&amp;DATE(YEAR_Y-2,12,31))=0,"",SUMIFS('Fund History'!$H$678:$H$682,'Fund History'!$G$678:$G$682,"&gt;="&amp;DATE(YEAR_Y-2,1,1),'Fund History'!$G$678:$G$682,"&lt;="&amp;DATE(YEAR_Y-2,12,31))/100)))</f>
        <v/>
      </c>
      <c r="AQ123" s="146">
        <f>IF($C123="","",IF(PULL_FUND="N","",IF(COUNTIFS('Fund History'!$G$678:$G$682,"&gt;="&amp;DATE(YEAR_Y-1,1,1),'Fund History'!$G$678:$G$682,"&lt;="&amp;DATE(YEAR_Y-1,12,31))=0,"",SUMIFS('Fund History'!$H$678:$H$682,'Fund History'!$G$678:$G$682,"&gt;="&amp;DATE(YEAR_Y-1,1,1),'Fund History'!$G$678:$G$682,"&lt;="&amp;DATE(YEAR_Y-1,12,31))/100)))</f>
        <v/>
      </c>
      <c r="AR123" s="147">
        <f>IF($C123="","",IF(N($AQ123)+N(HSTECH!$I$18)=0,"",N($AQ123)+N(HSTECH!$I$18)/100))</f>
        <v/>
      </c>
      <c r="AS123" s="139">
        <f>IF($C123="","",IF(PULL_FUND="N","",IF(COUNTIFS('Fund History'!$D$678:$D$682,"&gt;="&amp;DATE(YEAR_Y-2,1,1),'Fund History'!$D$678:$D$682,"&lt;="&amp;DATE(YEAR_Y-2,12,31))=0,"",SUMIFS('Fund History'!$E$678:$E$682,'Fund History'!$D$678:$D$682,"&gt;="&amp;DATE(YEAR_Y-2,1,1),'Fund History'!$D$678:$D$682,"&lt;="&amp;DATE(YEAR_Y-2,12,31)))))</f>
        <v/>
      </c>
      <c r="AT123" s="140">
        <f>IF($C123="","",IF(PULL_FUND="N","",IF(COUNTIFS('Fund History'!$D$678:$D$682,"&gt;="&amp;DATE(YEAR_Y-1,1,1),'Fund History'!$D$678:$D$682,"&lt;="&amp;DATE(YEAR_Y-1,12,31))=0,"",SUMIFS('Fund History'!$E$678:$E$682,'Fund History'!$D$678:$D$682,"&gt;="&amp;DATE(YEAR_Y-1,1,1),'Fund History'!$D$678:$D$682,"&lt;="&amp;DATE(YEAR_Y-1,12,31)))))</f>
        <v/>
      </c>
      <c r="AU123" s="140">
        <f>IF($C123="","",IF(PULL_FUND="N","",IFERROR(BDP($C123,NDEBITDA_FIELD),"")))</f>
        <v/>
      </c>
      <c r="AV123" s="148">
        <f>IF($C123="","",IF(PULL_FUND="N","",IFERROR(BDP($C123,EBINT_FIELD),"")))</f>
        <v/>
      </c>
      <c r="AW123" s="146">
        <f>IF($C123="","",IF(PULL_FUND="N","",IFERROR(BDP($C123,FCF_FIELD)/100,"")))</f>
        <v/>
      </c>
      <c r="AX123" s="126">
        <f>IF($C123="","",IF(N($U123)=0,"",IFERROR($AW123/$U123,"")))</f>
        <v/>
      </c>
      <c r="AY123" s="85">
        <f>IF($C123="","",TRIM(IF(ISNUMBER($AJ123)*(N($AJ123)&gt;$D$4)&gt;0,"payout high  ","")&amp;IF(ISNUMBER($AX123)*(N($AX123)&lt;$F$4)&gt;0,"FCF below dvd  ","")&amp;IF(ISNUMBER($AU123)*(N($AU123)&gt;$H$4)&gt;0,"leverage high","")))</f>
        <v/>
      </c>
      <c r="AZ123" s="86">
        <f>IF($C123="","",IF(HSTECH!$F$18="HKD","",HSTECH!$F$18))</f>
        <v/>
      </c>
    </row>
    <row r="124">
      <c r="B124" s="66" t="inlineStr">
        <is>
          <t>HSTECH</t>
        </is>
      </c>
      <c r="C124" s="8">
        <f>IF(HSTECH!$C$19="","",HSTECH!$C$19)</f>
        <v/>
      </c>
      <c r="D124" s="8">
        <f>IF($C124="","",HSTECH!$D$19)</f>
        <v/>
      </c>
      <c r="E124" s="8">
        <f>IF($C124="","",HSTECH!$E$19)</f>
        <v/>
      </c>
      <c r="F124" s="131">
        <f>IF($C124="","",SUMPRODUCT(('Dvd Calendar'!$E$1248:$AR$1248&gt;=DATE(YEAR_Y-5,1,1))*('Dvd Calendar'!$E$1248:$AR$1248&lt;=DATE(YEAR_Y-5,12,31))*'Dvd Calendar'!$E$1251:$AR$1251*(('Dvd Calendar'!$E$1253:$AR$1253=TYPE1)*(TYPE1&lt;&gt;"")+('Dvd Calendar'!$E$1253:$AR$1253=TYPE2)*(TYPE2&lt;&gt;"")+('Dvd Calendar'!$E$1253:$AR$1253=TYPE3)*(TYPE3&lt;&gt;"")+('Dvd Calendar'!$E$1253:$AR$1253=TYPE4)*(TYPE4&lt;&gt;"")+('Dvd Calendar'!$E$1253:$AR$1253=SPECIAL_LBL)*(INC_SPECIALS="Y"))))</f>
        <v/>
      </c>
      <c r="G124" s="132">
        <f>IF($C124="","",SUMPRODUCT(('Dvd Calendar'!$E$1248:$AR$1248&gt;=DATE(YEAR_Y-4,1,1))*('Dvd Calendar'!$E$1248:$AR$1248&lt;=DATE(YEAR_Y-4,12,31))*'Dvd Calendar'!$E$1251:$AR$1251*(('Dvd Calendar'!$E$1253:$AR$1253=TYPE1)*(TYPE1&lt;&gt;"")+('Dvd Calendar'!$E$1253:$AR$1253=TYPE2)*(TYPE2&lt;&gt;"")+('Dvd Calendar'!$E$1253:$AR$1253=TYPE3)*(TYPE3&lt;&gt;"")+('Dvd Calendar'!$E$1253:$AR$1253=TYPE4)*(TYPE4&lt;&gt;"")+('Dvd Calendar'!$E$1253:$AR$1253=SPECIAL_LBL)*(INC_SPECIALS="Y"))))</f>
        <v/>
      </c>
      <c r="H124" s="132">
        <f>IF($C124="","",SUMPRODUCT(('Dvd Calendar'!$E$1248:$AR$1248&gt;=DATE(YEAR_Y-3,1,1))*('Dvd Calendar'!$E$1248:$AR$1248&lt;=DATE(YEAR_Y-3,12,31))*'Dvd Calendar'!$E$1251:$AR$1251*(('Dvd Calendar'!$E$1253:$AR$1253=TYPE1)*(TYPE1&lt;&gt;"")+('Dvd Calendar'!$E$1253:$AR$1253=TYPE2)*(TYPE2&lt;&gt;"")+('Dvd Calendar'!$E$1253:$AR$1253=TYPE3)*(TYPE3&lt;&gt;"")+('Dvd Calendar'!$E$1253:$AR$1253=TYPE4)*(TYPE4&lt;&gt;"")+('Dvd Calendar'!$E$1253:$AR$1253=SPECIAL_LBL)*(INC_SPECIALS="Y"))))</f>
        <v/>
      </c>
      <c r="I124" s="132">
        <f>IF($C124="","",SUMPRODUCT(('Dvd Calendar'!$E$1248:$AR$1248&gt;=DATE(YEAR_Y-2,1,1))*('Dvd Calendar'!$E$1248:$AR$1248&lt;=DATE(YEAR_Y-2,12,31))*'Dvd Calendar'!$E$1251:$AR$1251*(('Dvd Calendar'!$E$1253:$AR$1253=TYPE1)*(TYPE1&lt;&gt;"")+('Dvd Calendar'!$E$1253:$AR$1253=TYPE2)*(TYPE2&lt;&gt;"")+('Dvd Calendar'!$E$1253:$AR$1253=TYPE3)*(TYPE3&lt;&gt;"")+('Dvd Calendar'!$E$1253:$AR$1253=TYPE4)*(TYPE4&lt;&gt;"")+('Dvd Calendar'!$E$1253:$AR$1253=SPECIAL_LBL)*(INC_SPECIALS="Y"))))</f>
        <v/>
      </c>
      <c r="J124" s="132">
        <f>IF($C124="","",SUMPRODUCT(('Dvd Calendar'!$E$1248:$AR$1248&gt;=DATE(YEAR_Y-1,1,1))*('Dvd Calendar'!$E$1248:$AR$1248&lt;=DATE(YEAR_Y-1,12,31))*'Dvd Calendar'!$E$1251:$AR$1251*(('Dvd Calendar'!$E$1253:$AR$1253=TYPE1)*(TYPE1&lt;&gt;"")+('Dvd Calendar'!$E$1253:$AR$1253=TYPE2)*(TYPE2&lt;&gt;"")+('Dvd Calendar'!$E$1253:$AR$1253=TYPE3)*(TYPE3&lt;&gt;"")+('Dvd Calendar'!$E$1253:$AR$1253=TYPE4)*(TYPE4&lt;&gt;"")+('Dvd Calendar'!$E$1253:$AR$1253=SPECIAL_LBL)*(INC_SPECIALS="Y"))))</f>
        <v/>
      </c>
      <c r="K124" s="133">
        <f>IF($C124="","",HSTECH!$J$19)</f>
        <v/>
      </c>
      <c r="L124" s="133">
        <f>IF($C124="","",HSTECH!$K$19)</f>
        <v/>
      </c>
      <c r="M124" s="124">
        <f>IF($C124="","",HSTECH!$J$19+HSTECH!$L$19)</f>
        <v/>
      </c>
      <c r="N124" s="134">
        <f>IF($C124="","",IF(PULL_FUND="N","",IFERROR(BDP($C124,BESTDPS_FIELD,FWD_OVERRIDE,TEXT(MOD(YEAR_Y,100),"00")&amp;"Y"),"")))</f>
        <v/>
      </c>
      <c r="O124" s="133">
        <f>IF($C124="","",AVERAGE(F124:J124))</f>
        <v/>
      </c>
      <c r="P124" s="135">
        <f>IF($C124="","",IF(PULL_FUND="N","",IF(COUNTIFS('Fund History'!$J$684:$J$688,"&gt;="&amp;DATE(YEAR_Y-5,1,1),'Fund History'!$J$684:$J$688,"&lt;="&amp;DATE(YEAR_Y-5,12,31))=0,"",IFERROR($F124*HSTECH!$G$19/SUMIFS('Fund History'!$K$684:$K$688,'Fund History'!$J$684:$J$688,"&gt;="&amp;DATE(YEAR_Y-5,1,1),'Fund History'!$J$684:$J$688,"&lt;="&amp;DATE(YEAR_Y-5,12,31)),""))))</f>
        <v/>
      </c>
      <c r="Q124" s="136">
        <f>IF($C124="","",IF(PULL_FUND="N","",IF(COUNTIFS('Fund History'!$J$684:$J$688,"&gt;="&amp;DATE(YEAR_Y-4,1,1),'Fund History'!$J$684:$J$688,"&lt;="&amp;DATE(YEAR_Y-4,12,31))=0,"",IFERROR($G124*HSTECH!$G$19/SUMIFS('Fund History'!$K$684:$K$688,'Fund History'!$J$684:$J$688,"&gt;="&amp;DATE(YEAR_Y-4,1,1),'Fund History'!$J$684:$J$688,"&lt;="&amp;DATE(YEAR_Y-4,12,31)),""))))</f>
        <v/>
      </c>
      <c r="R124" s="136">
        <f>IF($C124="","",IF(PULL_FUND="N","",IF(COUNTIFS('Fund History'!$J$684:$J$688,"&gt;="&amp;DATE(YEAR_Y-3,1,1),'Fund History'!$J$684:$J$688,"&lt;="&amp;DATE(YEAR_Y-3,12,31))=0,"",IFERROR($H124*HSTECH!$G$19/SUMIFS('Fund History'!$K$684:$K$688,'Fund History'!$J$684:$J$688,"&gt;="&amp;DATE(YEAR_Y-3,1,1),'Fund History'!$J$684:$J$688,"&lt;="&amp;DATE(YEAR_Y-3,12,31)),""))))</f>
        <v/>
      </c>
      <c r="S124" s="136">
        <f>IF($C124="","",IF(PULL_FUND="N","",IF(COUNTIFS('Fund History'!$J$684:$J$688,"&gt;="&amp;DATE(YEAR_Y-2,1,1),'Fund History'!$J$684:$J$688,"&lt;="&amp;DATE(YEAR_Y-2,12,31))=0,"",IFERROR($I124*HSTECH!$G$19/SUMIFS('Fund History'!$K$684:$K$688,'Fund History'!$J$684:$J$688,"&gt;="&amp;DATE(YEAR_Y-2,1,1),'Fund History'!$J$684:$J$688,"&lt;="&amp;DATE(YEAR_Y-2,12,31)),""))))</f>
        <v/>
      </c>
      <c r="T124" s="136">
        <f>IF($C124="","",IF(PULL_FUND="N","",IF(COUNTIFS('Fund History'!$J$684:$J$688,"&gt;="&amp;DATE(YEAR_Y-1,1,1),'Fund History'!$J$684:$J$688,"&lt;="&amp;DATE(YEAR_Y-1,12,31))=0,"",IFERROR($J124*HSTECH!$G$19/SUMIFS('Fund History'!$K$684:$K$688,'Fund History'!$J$684:$J$688,"&gt;="&amp;DATE(YEAR_Y-1,1,1),'Fund History'!$J$684:$J$688,"&lt;="&amp;DATE(YEAR_Y-1,12,31)),""))))</f>
        <v/>
      </c>
      <c r="U124" s="137">
        <f>IF($C124="","",IF(ISNUMBER(HSTECH!$I$19),HSTECH!$I$19/100,""))</f>
        <v/>
      </c>
      <c r="V124" s="138">
        <f>IF($C124="","",IF(ISNUMBER(HSTECH!$X$19),IFERROR($M124*HSTECH!$G$19/HSTECH!$X$19,""),""))</f>
        <v/>
      </c>
      <c r="W124" s="137">
        <f>IF($C124="","",IF(ISNUMBER($N124),IFERROR($N124*HSTECH!$G$19/HSTECH!$X$19,""),""))</f>
        <v/>
      </c>
      <c r="X124" s="139">
        <f>IF($C124="","",IF(PULL_FUND="N","",IFERROR(BDP($C124,EPS_FIELD,YR_OVERRIDE,TEXT(YEAR_Y-5,"0")),"")))</f>
        <v/>
      </c>
      <c r="Y124" s="140">
        <f>IF($C124="","",IF(PULL_FUND="N","",IFERROR(BDP($C124,EPS_FIELD,YR_OVERRIDE,TEXT(YEAR_Y-4,"0")),"")))</f>
        <v/>
      </c>
      <c r="Z124" s="140">
        <f>IF($C124="","",IF(PULL_FUND="N","",IFERROR(BDP($C124,EPS_FIELD,YR_OVERRIDE,TEXT(YEAR_Y-3,"0")),"")))</f>
        <v/>
      </c>
      <c r="AA124" s="140">
        <f>IF($C124="","",IF(PULL_FUND="N","",IFERROR(BDP($C124,EPS_FIELD,YR_OVERRIDE,TEXT(YEAR_Y-2,"0")),"")))</f>
        <v/>
      </c>
      <c r="AB124" s="140">
        <f>IF($C124="","",IF(PULL_FUND="N","",IFERROR(BDP($C124,EPS_FIELD,YR_OVERRIDE,TEXT(YEAR_Y-1,"0")),"")))</f>
        <v/>
      </c>
      <c r="AC124" s="126">
        <f>IF($C124="","",IFERROR(AVERAGE(X124:AB124),""))</f>
        <v/>
      </c>
      <c r="AD124" s="140">
        <f>IF($C124="","",IF(PULL_FUND="N","",IFERROR(BDP($C124,BESTEPS_FIELD,FWD_OVERRIDE,TEXT(MOD(YEAR_Y,100),"00")&amp;"Y"),"")))</f>
        <v/>
      </c>
      <c r="AE124" s="141">
        <f>IF($C124="","",IF(PULL_FUND="N","",IFERROR(BDP($C124,PAYOUT_FIELD,YR_OVERRIDE,TEXT(YEAR_Y-5,"0"))/100,"")))</f>
        <v/>
      </c>
      <c r="AF124" s="142">
        <f>IF($C124="","",IF(PULL_FUND="N","",IFERROR(BDP($C124,PAYOUT_FIELD,YR_OVERRIDE,TEXT(YEAR_Y-4,"0"))/100,"")))</f>
        <v/>
      </c>
      <c r="AG124" s="142">
        <f>IF($C124="","",IF(PULL_FUND="N","",IFERROR(BDP($C124,PAYOUT_FIELD,YR_OVERRIDE,TEXT(YEAR_Y-3,"0"))/100,"")))</f>
        <v/>
      </c>
      <c r="AH124" s="142">
        <f>IF($C124="","",IF(PULL_FUND="N","",IFERROR(BDP($C124,PAYOUT_FIELD,YR_OVERRIDE,TEXT(YEAR_Y-2,"0"))/100,"")))</f>
        <v/>
      </c>
      <c r="AI124" s="142">
        <f>IF($C124="","",IF(PULL_FUND="N","",IFERROR(BDP($C124,PAYOUT_FIELD,YR_OVERRIDE,TEXT(YEAR_Y-1,"0"))/100,"")))</f>
        <v/>
      </c>
      <c r="AJ124" s="143">
        <f>IF($C124="","",IFERROR(AVERAGE(AE124:AI124),""))</f>
        <v/>
      </c>
      <c r="AK124" s="144">
        <f>IF($C124="","",IF(ISNUMBER($AD124)*ISNUMBER($N124)*($AD124&lt;&gt;0)=0,"",$N124/$AD124))</f>
        <v/>
      </c>
      <c r="AL124" s="143">
        <f>IF($C124="","",IF(ISNUMBER($AD124)*($AD124&lt;&gt;0)=0,"",$M124/$AD124))</f>
        <v/>
      </c>
      <c r="AM124" s="37">
        <f>IF($C124="","",IF(ISNUMBER($AE124)*ISNUMBER($AI124)=0,"",IF($AI124&gt;$AE124+0.05,"rising",IF($AI124&lt;$AE124-0.05,"falling","stable"))))</f>
        <v/>
      </c>
      <c r="AN124" s="145">
        <f>IF($C124="","",IF(PULL_FUND="N","",IF(COUNTIFS('Fund History'!$G$684:$G$688,"&gt;="&amp;DATE(YEAR_Y-4,1,1),'Fund History'!$G$684:$G$688,"&lt;="&amp;DATE(YEAR_Y-4,12,31))=0,"",SUMIFS('Fund History'!$H$684:$H$688,'Fund History'!$G$684:$G$688,"&gt;="&amp;DATE(YEAR_Y-4,1,1),'Fund History'!$G$684:$G$688,"&lt;="&amp;DATE(YEAR_Y-4,12,31))/100)))</f>
        <v/>
      </c>
      <c r="AO124" s="146">
        <f>IF($C124="","",IF(PULL_FUND="N","",IF(COUNTIFS('Fund History'!$G$684:$G$688,"&gt;="&amp;DATE(YEAR_Y-3,1,1),'Fund History'!$G$684:$G$688,"&lt;="&amp;DATE(YEAR_Y-3,12,31))=0,"",SUMIFS('Fund History'!$H$684:$H$688,'Fund History'!$G$684:$G$688,"&gt;="&amp;DATE(YEAR_Y-3,1,1),'Fund History'!$G$684:$G$688,"&lt;="&amp;DATE(YEAR_Y-3,12,31))/100)))</f>
        <v/>
      </c>
      <c r="AP124" s="146">
        <f>IF($C124="","",IF(PULL_FUND="N","",IF(COUNTIFS('Fund History'!$G$684:$G$688,"&gt;="&amp;DATE(YEAR_Y-2,1,1),'Fund History'!$G$684:$G$688,"&lt;="&amp;DATE(YEAR_Y-2,12,31))=0,"",SUMIFS('Fund History'!$H$684:$H$688,'Fund History'!$G$684:$G$688,"&gt;="&amp;DATE(YEAR_Y-2,1,1),'Fund History'!$G$684:$G$688,"&lt;="&amp;DATE(YEAR_Y-2,12,31))/100)))</f>
        <v/>
      </c>
      <c r="AQ124" s="146">
        <f>IF($C124="","",IF(PULL_FUND="N","",IF(COUNTIFS('Fund History'!$G$684:$G$688,"&gt;="&amp;DATE(YEAR_Y-1,1,1),'Fund History'!$G$684:$G$688,"&lt;="&amp;DATE(YEAR_Y-1,12,31))=0,"",SUMIFS('Fund History'!$H$684:$H$688,'Fund History'!$G$684:$G$688,"&gt;="&amp;DATE(YEAR_Y-1,1,1),'Fund History'!$G$684:$G$688,"&lt;="&amp;DATE(YEAR_Y-1,12,31))/100)))</f>
        <v/>
      </c>
      <c r="AR124" s="147">
        <f>IF($C124="","",IF(N($AQ124)+N(HSTECH!$I$19)=0,"",N($AQ124)+N(HSTECH!$I$19)/100))</f>
        <v/>
      </c>
      <c r="AS124" s="139">
        <f>IF($C124="","",IF(PULL_FUND="N","",IF(COUNTIFS('Fund History'!$D$684:$D$688,"&gt;="&amp;DATE(YEAR_Y-2,1,1),'Fund History'!$D$684:$D$688,"&lt;="&amp;DATE(YEAR_Y-2,12,31))=0,"",SUMIFS('Fund History'!$E$684:$E$688,'Fund History'!$D$684:$D$688,"&gt;="&amp;DATE(YEAR_Y-2,1,1),'Fund History'!$D$684:$D$688,"&lt;="&amp;DATE(YEAR_Y-2,12,31)))))</f>
        <v/>
      </c>
      <c r="AT124" s="140">
        <f>IF($C124="","",IF(PULL_FUND="N","",IF(COUNTIFS('Fund History'!$D$684:$D$688,"&gt;="&amp;DATE(YEAR_Y-1,1,1),'Fund History'!$D$684:$D$688,"&lt;="&amp;DATE(YEAR_Y-1,12,31))=0,"",SUMIFS('Fund History'!$E$684:$E$688,'Fund History'!$D$684:$D$688,"&gt;="&amp;DATE(YEAR_Y-1,1,1),'Fund History'!$D$684:$D$688,"&lt;="&amp;DATE(YEAR_Y-1,12,31)))))</f>
        <v/>
      </c>
      <c r="AU124" s="140">
        <f>IF($C124="","",IF(PULL_FUND="N","",IFERROR(BDP($C124,NDEBITDA_FIELD),"")))</f>
        <v/>
      </c>
      <c r="AV124" s="148">
        <f>IF($C124="","",IF(PULL_FUND="N","",IFERROR(BDP($C124,EBINT_FIELD),"")))</f>
        <v/>
      </c>
      <c r="AW124" s="146">
        <f>IF($C124="","",IF(PULL_FUND="N","",IFERROR(BDP($C124,FCF_FIELD)/100,"")))</f>
        <v/>
      </c>
      <c r="AX124" s="126">
        <f>IF($C124="","",IF(N($U124)=0,"",IFERROR($AW124/$U124,"")))</f>
        <v/>
      </c>
      <c r="AY124" s="85">
        <f>IF($C124="","",TRIM(IF(ISNUMBER($AJ124)*(N($AJ124)&gt;$D$4)&gt;0,"payout high  ","")&amp;IF(ISNUMBER($AX124)*(N($AX124)&lt;$F$4)&gt;0,"FCF below dvd  ","")&amp;IF(ISNUMBER($AU124)*(N($AU124)&gt;$H$4)&gt;0,"leverage high","")))</f>
        <v/>
      </c>
      <c r="AZ124" s="86">
        <f>IF($C124="","",IF(HSTECH!$F$19="HKD","",HSTECH!$F$19))</f>
        <v/>
      </c>
    </row>
    <row r="125">
      <c r="B125" s="66" t="inlineStr">
        <is>
          <t>HSTECH</t>
        </is>
      </c>
      <c r="C125" s="8">
        <f>IF(HSTECH!$C$20="","",HSTECH!$C$20)</f>
        <v/>
      </c>
      <c r="D125" s="8">
        <f>IF($C125="","",HSTECH!$D$20)</f>
        <v/>
      </c>
      <c r="E125" s="8">
        <f>IF($C125="","",HSTECH!$E$20)</f>
        <v/>
      </c>
      <c r="F125" s="131">
        <f>IF($C125="","",SUMPRODUCT(('Dvd Calendar'!$E$1259:$AR$1259&gt;=DATE(YEAR_Y-5,1,1))*('Dvd Calendar'!$E$1259:$AR$1259&lt;=DATE(YEAR_Y-5,12,31))*'Dvd Calendar'!$E$1262:$AR$1262*(('Dvd Calendar'!$E$1264:$AR$1264=TYPE1)*(TYPE1&lt;&gt;"")+('Dvd Calendar'!$E$1264:$AR$1264=TYPE2)*(TYPE2&lt;&gt;"")+('Dvd Calendar'!$E$1264:$AR$1264=TYPE3)*(TYPE3&lt;&gt;"")+('Dvd Calendar'!$E$1264:$AR$1264=TYPE4)*(TYPE4&lt;&gt;"")+('Dvd Calendar'!$E$1264:$AR$1264=SPECIAL_LBL)*(INC_SPECIALS="Y"))))</f>
        <v/>
      </c>
      <c r="G125" s="132">
        <f>IF($C125="","",SUMPRODUCT(('Dvd Calendar'!$E$1259:$AR$1259&gt;=DATE(YEAR_Y-4,1,1))*('Dvd Calendar'!$E$1259:$AR$1259&lt;=DATE(YEAR_Y-4,12,31))*'Dvd Calendar'!$E$1262:$AR$1262*(('Dvd Calendar'!$E$1264:$AR$1264=TYPE1)*(TYPE1&lt;&gt;"")+('Dvd Calendar'!$E$1264:$AR$1264=TYPE2)*(TYPE2&lt;&gt;"")+('Dvd Calendar'!$E$1264:$AR$1264=TYPE3)*(TYPE3&lt;&gt;"")+('Dvd Calendar'!$E$1264:$AR$1264=TYPE4)*(TYPE4&lt;&gt;"")+('Dvd Calendar'!$E$1264:$AR$1264=SPECIAL_LBL)*(INC_SPECIALS="Y"))))</f>
        <v/>
      </c>
      <c r="H125" s="132">
        <f>IF($C125="","",SUMPRODUCT(('Dvd Calendar'!$E$1259:$AR$1259&gt;=DATE(YEAR_Y-3,1,1))*('Dvd Calendar'!$E$1259:$AR$1259&lt;=DATE(YEAR_Y-3,12,31))*'Dvd Calendar'!$E$1262:$AR$1262*(('Dvd Calendar'!$E$1264:$AR$1264=TYPE1)*(TYPE1&lt;&gt;"")+('Dvd Calendar'!$E$1264:$AR$1264=TYPE2)*(TYPE2&lt;&gt;"")+('Dvd Calendar'!$E$1264:$AR$1264=TYPE3)*(TYPE3&lt;&gt;"")+('Dvd Calendar'!$E$1264:$AR$1264=TYPE4)*(TYPE4&lt;&gt;"")+('Dvd Calendar'!$E$1264:$AR$1264=SPECIAL_LBL)*(INC_SPECIALS="Y"))))</f>
        <v/>
      </c>
      <c r="I125" s="132">
        <f>IF($C125="","",SUMPRODUCT(('Dvd Calendar'!$E$1259:$AR$1259&gt;=DATE(YEAR_Y-2,1,1))*('Dvd Calendar'!$E$1259:$AR$1259&lt;=DATE(YEAR_Y-2,12,31))*'Dvd Calendar'!$E$1262:$AR$1262*(('Dvd Calendar'!$E$1264:$AR$1264=TYPE1)*(TYPE1&lt;&gt;"")+('Dvd Calendar'!$E$1264:$AR$1264=TYPE2)*(TYPE2&lt;&gt;"")+('Dvd Calendar'!$E$1264:$AR$1264=TYPE3)*(TYPE3&lt;&gt;"")+('Dvd Calendar'!$E$1264:$AR$1264=TYPE4)*(TYPE4&lt;&gt;"")+('Dvd Calendar'!$E$1264:$AR$1264=SPECIAL_LBL)*(INC_SPECIALS="Y"))))</f>
        <v/>
      </c>
      <c r="J125" s="132">
        <f>IF($C125="","",SUMPRODUCT(('Dvd Calendar'!$E$1259:$AR$1259&gt;=DATE(YEAR_Y-1,1,1))*('Dvd Calendar'!$E$1259:$AR$1259&lt;=DATE(YEAR_Y-1,12,31))*'Dvd Calendar'!$E$1262:$AR$1262*(('Dvd Calendar'!$E$1264:$AR$1264=TYPE1)*(TYPE1&lt;&gt;"")+('Dvd Calendar'!$E$1264:$AR$1264=TYPE2)*(TYPE2&lt;&gt;"")+('Dvd Calendar'!$E$1264:$AR$1264=TYPE3)*(TYPE3&lt;&gt;"")+('Dvd Calendar'!$E$1264:$AR$1264=TYPE4)*(TYPE4&lt;&gt;"")+('Dvd Calendar'!$E$1264:$AR$1264=SPECIAL_LBL)*(INC_SPECIALS="Y"))))</f>
        <v/>
      </c>
      <c r="K125" s="133">
        <f>IF($C125="","",HSTECH!$J$20)</f>
        <v/>
      </c>
      <c r="L125" s="133">
        <f>IF($C125="","",HSTECH!$K$20)</f>
        <v/>
      </c>
      <c r="M125" s="124">
        <f>IF($C125="","",HSTECH!$J$20+HSTECH!$L$20)</f>
        <v/>
      </c>
      <c r="N125" s="134">
        <f>IF($C125="","",IF(PULL_FUND="N","",IFERROR(BDP($C125,BESTDPS_FIELD,FWD_OVERRIDE,TEXT(MOD(YEAR_Y,100),"00")&amp;"Y"),"")))</f>
        <v/>
      </c>
      <c r="O125" s="133">
        <f>IF($C125="","",AVERAGE(F125:J125))</f>
        <v/>
      </c>
      <c r="P125" s="135">
        <f>IF($C125="","",IF(PULL_FUND="N","",IF(COUNTIFS('Fund History'!$J$690:$J$694,"&gt;="&amp;DATE(YEAR_Y-5,1,1),'Fund History'!$J$690:$J$694,"&lt;="&amp;DATE(YEAR_Y-5,12,31))=0,"",IFERROR($F125*HSTECH!$G$20/SUMIFS('Fund History'!$K$690:$K$694,'Fund History'!$J$690:$J$694,"&gt;="&amp;DATE(YEAR_Y-5,1,1),'Fund History'!$J$690:$J$694,"&lt;="&amp;DATE(YEAR_Y-5,12,31)),""))))</f>
        <v/>
      </c>
      <c r="Q125" s="136">
        <f>IF($C125="","",IF(PULL_FUND="N","",IF(COUNTIFS('Fund History'!$J$690:$J$694,"&gt;="&amp;DATE(YEAR_Y-4,1,1),'Fund History'!$J$690:$J$694,"&lt;="&amp;DATE(YEAR_Y-4,12,31))=0,"",IFERROR($G125*HSTECH!$G$20/SUMIFS('Fund History'!$K$690:$K$694,'Fund History'!$J$690:$J$694,"&gt;="&amp;DATE(YEAR_Y-4,1,1),'Fund History'!$J$690:$J$694,"&lt;="&amp;DATE(YEAR_Y-4,12,31)),""))))</f>
        <v/>
      </c>
      <c r="R125" s="136">
        <f>IF($C125="","",IF(PULL_FUND="N","",IF(COUNTIFS('Fund History'!$J$690:$J$694,"&gt;="&amp;DATE(YEAR_Y-3,1,1),'Fund History'!$J$690:$J$694,"&lt;="&amp;DATE(YEAR_Y-3,12,31))=0,"",IFERROR($H125*HSTECH!$G$20/SUMIFS('Fund History'!$K$690:$K$694,'Fund History'!$J$690:$J$694,"&gt;="&amp;DATE(YEAR_Y-3,1,1),'Fund History'!$J$690:$J$694,"&lt;="&amp;DATE(YEAR_Y-3,12,31)),""))))</f>
        <v/>
      </c>
      <c r="S125" s="136">
        <f>IF($C125="","",IF(PULL_FUND="N","",IF(COUNTIFS('Fund History'!$J$690:$J$694,"&gt;="&amp;DATE(YEAR_Y-2,1,1),'Fund History'!$J$690:$J$694,"&lt;="&amp;DATE(YEAR_Y-2,12,31))=0,"",IFERROR($I125*HSTECH!$G$20/SUMIFS('Fund History'!$K$690:$K$694,'Fund History'!$J$690:$J$694,"&gt;="&amp;DATE(YEAR_Y-2,1,1),'Fund History'!$J$690:$J$694,"&lt;="&amp;DATE(YEAR_Y-2,12,31)),""))))</f>
        <v/>
      </c>
      <c r="T125" s="136">
        <f>IF($C125="","",IF(PULL_FUND="N","",IF(COUNTIFS('Fund History'!$J$690:$J$694,"&gt;="&amp;DATE(YEAR_Y-1,1,1),'Fund History'!$J$690:$J$694,"&lt;="&amp;DATE(YEAR_Y-1,12,31))=0,"",IFERROR($J125*HSTECH!$G$20/SUMIFS('Fund History'!$K$690:$K$694,'Fund History'!$J$690:$J$694,"&gt;="&amp;DATE(YEAR_Y-1,1,1),'Fund History'!$J$690:$J$694,"&lt;="&amp;DATE(YEAR_Y-1,12,31)),""))))</f>
        <v/>
      </c>
      <c r="U125" s="137">
        <f>IF($C125="","",IF(ISNUMBER(HSTECH!$I$20),HSTECH!$I$20/100,""))</f>
        <v/>
      </c>
      <c r="V125" s="138">
        <f>IF($C125="","",IF(ISNUMBER(HSTECH!$X$20),IFERROR($M125*HSTECH!$G$20/HSTECH!$X$20,""),""))</f>
        <v/>
      </c>
      <c r="W125" s="137">
        <f>IF($C125="","",IF(ISNUMBER($N125),IFERROR($N125*HSTECH!$G$20/HSTECH!$X$20,""),""))</f>
        <v/>
      </c>
      <c r="X125" s="139">
        <f>IF($C125="","",IF(PULL_FUND="N","",IFERROR(BDP($C125,EPS_FIELD,YR_OVERRIDE,TEXT(YEAR_Y-5,"0")),"")))</f>
        <v/>
      </c>
      <c r="Y125" s="140">
        <f>IF($C125="","",IF(PULL_FUND="N","",IFERROR(BDP($C125,EPS_FIELD,YR_OVERRIDE,TEXT(YEAR_Y-4,"0")),"")))</f>
        <v/>
      </c>
      <c r="Z125" s="140">
        <f>IF($C125="","",IF(PULL_FUND="N","",IFERROR(BDP($C125,EPS_FIELD,YR_OVERRIDE,TEXT(YEAR_Y-3,"0")),"")))</f>
        <v/>
      </c>
      <c r="AA125" s="140">
        <f>IF($C125="","",IF(PULL_FUND="N","",IFERROR(BDP($C125,EPS_FIELD,YR_OVERRIDE,TEXT(YEAR_Y-2,"0")),"")))</f>
        <v/>
      </c>
      <c r="AB125" s="140">
        <f>IF($C125="","",IF(PULL_FUND="N","",IFERROR(BDP($C125,EPS_FIELD,YR_OVERRIDE,TEXT(YEAR_Y-1,"0")),"")))</f>
        <v/>
      </c>
      <c r="AC125" s="126">
        <f>IF($C125="","",IFERROR(AVERAGE(X125:AB125),""))</f>
        <v/>
      </c>
      <c r="AD125" s="140">
        <f>IF($C125="","",IF(PULL_FUND="N","",IFERROR(BDP($C125,BESTEPS_FIELD,FWD_OVERRIDE,TEXT(MOD(YEAR_Y,100),"00")&amp;"Y"),"")))</f>
        <v/>
      </c>
      <c r="AE125" s="141">
        <f>IF($C125="","",IF(PULL_FUND="N","",IFERROR(BDP($C125,PAYOUT_FIELD,YR_OVERRIDE,TEXT(YEAR_Y-5,"0"))/100,"")))</f>
        <v/>
      </c>
      <c r="AF125" s="142">
        <f>IF($C125="","",IF(PULL_FUND="N","",IFERROR(BDP($C125,PAYOUT_FIELD,YR_OVERRIDE,TEXT(YEAR_Y-4,"0"))/100,"")))</f>
        <v/>
      </c>
      <c r="AG125" s="142">
        <f>IF($C125="","",IF(PULL_FUND="N","",IFERROR(BDP($C125,PAYOUT_FIELD,YR_OVERRIDE,TEXT(YEAR_Y-3,"0"))/100,"")))</f>
        <v/>
      </c>
      <c r="AH125" s="142">
        <f>IF($C125="","",IF(PULL_FUND="N","",IFERROR(BDP($C125,PAYOUT_FIELD,YR_OVERRIDE,TEXT(YEAR_Y-2,"0"))/100,"")))</f>
        <v/>
      </c>
      <c r="AI125" s="142">
        <f>IF($C125="","",IF(PULL_FUND="N","",IFERROR(BDP($C125,PAYOUT_FIELD,YR_OVERRIDE,TEXT(YEAR_Y-1,"0"))/100,"")))</f>
        <v/>
      </c>
      <c r="AJ125" s="143">
        <f>IF($C125="","",IFERROR(AVERAGE(AE125:AI125),""))</f>
        <v/>
      </c>
      <c r="AK125" s="144">
        <f>IF($C125="","",IF(ISNUMBER($AD125)*ISNUMBER($N125)*($AD125&lt;&gt;0)=0,"",$N125/$AD125))</f>
        <v/>
      </c>
      <c r="AL125" s="143">
        <f>IF($C125="","",IF(ISNUMBER($AD125)*($AD125&lt;&gt;0)=0,"",$M125/$AD125))</f>
        <v/>
      </c>
      <c r="AM125" s="37">
        <f>IF($C125="","",IF(ISNUMBER($AE125)*ISNUMBER($AI125)=0,"",IF($AI125&gt;$AE125+0.05,"rising",IF($AI125&lt;$AE125-0.05,"falling","stable"))))</f>
        <v/>
      </c>
      <c r="AN125" s="145">
        <f>IF($C125="","",IF(PULL_FUND="N","",IF(COUNTIFS('Fund History'!$G$690:$G$694,"&gt;="&amp;DATE(YEAR_Y-4,1,1),'Fund History'!$G$690:$G$694,"&lt;="&amp;DATE(YEAR_Y-4,12,31))=0,"",SUMIFS('Fund History'!$H$690:$H$694,'Fund History'!$G$690:$G$694,"&gt;="&amp;DATE(YEAR_Y-4,1,1),'Fund History'!$G$690:$G$694,"&lt;="&amp;DATE(YEAR_Y-4,12,31))/100)))</f>
        <v/>
      </c>
      <c r="AO125" s="146">
        <f>IF($C125="","",IF(PULL_FUND="N","",IF(COUNTIFS('Fund History'!$G$690:$G$694,"&gt;="&amp;DATE(YEAR_Y-3,1,1),'Fund History'!$G$690:$G$694,"&lt;="&amp;DATE(YEAR_Y-3,12,31))=0,"",SUMIFS('Fund History'!$H$690:$H$694,'Fund History'!$G$690:$G$694,"&gt;="&amp;DATE(YEAR_Y-3,1,1),'Fund History'!$G$690:$G$694,"&lt;="&amp;DATE(YEAR_Y-3,12,31))/100)))</f>
        <v/>
      </c>
      <c r="AP125" s="146">
        <f>IF($C125="","",IF(PULL_FUND="N","",IF(COUNTIFS('Fund History'!$G$690:$G$694,"&gt;="&amp;DATE(YEAR_Y-2,1,1),'Fund History'!$G$690:$G$694,"&lt;="&amp;DATE(YEAR_Y-2,12,31))=0,"",SUMIFS('Fund History'!$H$690:$H$694,'Fund History'!$G$690:$G$694,"&gt;="&amp;DATE(YEAR_Y-2,1,1),'Fund History'!$G$690:$G$694,"&lt;="&amp;DATE(YEAR_Y-2,12,31))/100)))</f>
        <v/>
      </c>
      <c r="AQ125" s="146">
        <f>IF($C125="","",IF(PULL_FUND="N","",IF(COUNTIFS('Fund History'!$G$690:$G$694,"&gt;="&amp;DATE(YEAR_Y-1,1,1),'Fund History'!$G$690:$G$694,"&lt;="&amp;DATE(YEAR_Y-1,12,31))=0,"",SUMIFS('Fund History'!$H$690:$H$694,'Fund History'!$G$690:$G$694,"&gt;="&amp;DATE(YEAR_Y-1,1,1),'Fund History'!$G$690:$G$694,"&lt;="&amp;DATE(YEAR_Y-1,12,31))/100)))</f>
        <v/>
      </c>
      <c r="AR125" s="147">
        <f>IF($C125="","",IF(N($AQ125)+N(HSTECH!$I$20)=0,"",N($AQ125)+N(HSTECH!$I$20)/100))</f>
        <v/>
      </c>
      <c r="AS125" s="139">
        <f>IF($C125="","",IF(PULL_FUND="N","",IF(COUNTIFS('Fund History'!$D$690:$D$694,"&gt;="&amp;DATE(YEAR_Y-2,1,1),'Fund History'!$D$690:$D$694,"&lt;="&amp;DATE(YEAR_Y-2,12,31))=0,"",SUMIFS('Fund History'!$E$690:$E$694,'Fund History'!$D$690:$D$694,"&gt;="&amp;DATE(YEAR_Y-2,1,1),'Fund History'!$D$690:$D$694,"&lt;="&amp;DATE(YEAR_Y-2,12,31)))))</f>
        <v/>
      </c>
      <c r="AT125" s="140">
        <f>IF($C125="","",IF(PULL_FUND="N","",IF(COUNTIFS('Fund History'!$D$690:$D$694,"&gt;="&amp;DATE(YEAR_Y-1,1,1),'Fund History'!$D$690:$D$694,"&lt;="&amp;DATE(YEAR_Y-1,12,31))=0,"",SUMIFS('Fund History'!$E$690:$E$694,'Fund History'!$D$690:$D$694,"&gt;="&amp;DATE(YEAR_Y-1,1,1),'Fund History'!$D$690:$D$694,"&lt;="&amp;DATE(YEAR_Y-1,12,31)))))</f>
        <v/>
      </c>
      <c r="AU125" s="140">
        <f>IF($C125="","",IF(PULL_FUND="N","",IFERROR(BDP($C125,NDEBITDA_FIELD),"")))</f>
        <v/>
      </c>
      <c r="AV125" s="148">
        <f>IF($C125="","",IF(PULL_FUND="N","",IFERROR(BDP($C125,EBINT_FIELD),"")))</f>
        <v/>
      </c>
      <c r="AW125" s="146">
        <f>IF($C125="","",IF(PULL_FUND="N","",IFERROR(BDP($C125,FCF_FIELD)/100,"")))</f>
        <v/>
      </c>
      <c r="AX125" s="126">
        <f>IF($C125="","",IF(N($U125)=0,"",IFERROR($AW125/$U125,"")))</f>
        <v/>
      </c>
      <c r="AY125" s="85">
        <f>IF($C125="","",TRIM(IF(ISNUMBER($AJ125)*(N($AJ125)&gt;$D$4)&gt;0,"payout high  ","")&amp;IF(ISNUMBER($AX125)*(N($AX125)&lt;$F$4)&gt;0,"FCF below dvd  ","")&amp;IF(ISNUMBER($AU125)*(N($AU125)&gt;$H$4)&gt;0,"leverage high","")))</f>
        <v/>
      </c>
      <c r="AZ125" s="86">
        <f>IF($C125="","",IF(HSTECH!$F$20="HKD","",HSTECH!$F$20))</f>
        <v/>
      </c>
    </row>
    <row r="126">
      <c r="B126" s="66" t="inlineStr">
        <is>
          <t>HSTECH</t>
        </is>
      </c>
      <c r="C126" s="8">
        <f>IF(HSTECH!$C$21="","",HSTECH!$C$21)</f>
        <v/>
      </c>
      <c r="D126" s="8">
        <f>IF($C126="","",HSTECH!$D$21)</f>
        <v/>
      </c>
      <c r="E126" s="8">
        <f>IF($C126="","",HSTECH!$E$21)</f>
        <v/>
      </c>
      <c r="F126" s="131">
        <f>IF($C126="","",SUMPRODUCT(('Dvd Calendar'!$E$1270:$AR$1270&gt;=DATE(YEAR_Y-5,1,1))*('Dvd Calendar'!$E$1270:$AR$1270&lt;=DATE(YEAR_Y-5,12,31))*'Dvd Calendar'!$E$1273:$AR$1273*(('Dvd Calendar'!$E$1275:$AR$1275=TYPE1)*(TYPE1&lt;&gt;"")+('Dvd Calendar'!$E$1275:$AR$1275=TYPE2)*(TYPE2&lt;&gt;"")+('Dvd Calendar'!$E$1275:$AR$1275=TYPE3)*(TYPE3&lt;&gt;"")+('Dvd Calendar'!$E$1275:$AR$1275=TYPE4)*(TYPE4&lt;&gt;"")+('Dvd Calendar'!$E$1275:$AR$1275=SPECIAL_LBL)*(INC_SPECIALS="Y"))))</f>
        <v/>
      </c>
      <c r="G126" s="132">
        <f>IF($C126="","",SUMPRODUCT(('Dvd Calendar'!$E$1270:$AR$1270&gt;=DATE(YEAR_Y-4,1,1))*('Dvd Calendar'!$E$1270:$AR$1270&lt;=DATE(YEAR_Y-4,12,31))*'Dvd Calendar'!$E$1273:$AR$1273*(('Dvd Calendar'!$E$1275:$AR$1275=TYPE1)*(TYPE1&lt;&gt;"")+('Dvd Calendar'!$E$1275:$AR$1275=TYPE2)*(TYPE2&lt;&gt;"")+('Dvd Calendar'!$E$1275:$AR$1275=TYPE3)*(TYPE3&lt;&gt;"")+('Dvd Calendar'!$E$1275:$AR$1275=TYPE4)*(TYPE4&lt;&gt;"")+('Dvd Calendar'!$E$1275:$AR$1275=SPECIAL_LBL)*(INC_SPECIALS="Y"))))</f>
        <v/>
      </c>
      <c r="H126" s="132">
        <f>IF($C126="","",SUMPRODUCT(('Dvd Calendar'!$E$1270:$AR$1270&gt;=DATE(YEAR_Y-3,1,1))*('Dvd Calendar'!$E$1270:$AR$1270&lt;=DATE(YEAR_Y-3,12,31))*'Dvd Calendar'!$E$1273:$AR$1273*(('Dvd Calendar'!$E$1275:$AR$1275=TYPE1)*(TYPE1&lt;&gt;"")+('Dvd Calendar'!$E$1275:$AR$1275=TYPE2)*(TYPE2&lt;&gt;"")+('Dvd Calendar'!$E$1275:$AR$1275=TYPE3)*(TYPE3&lt;&gt;"")+('Dvd Calendar'!$E$1275:$AR$1275=TYPE4)*(TYPE4&lt;&gt;"")+('Dvd Calendar'!$E$1275:$AR$1275=SPECIAL_LBL)*(INC_SPECIALS="Y"))))</f>
        <v/>
      </c>
      <c r="I126" s="132">
        <f>IF($C126="","",SUMPRODUCT(('Dvd Calendar'!$E$1270:$AR$1270&gt;=DATE(YEAR_Y-2,1,1))*('Dvd Calendar'!$E$1270:$AR$1270&lt;=DATE(YEAR_Y-2,12,31))*'Dvd Calendar'!$E$1273:$AR$1273*(('Dvd Calendar'!$E$1275:$AR$1275=TYPE1)*(TYPE1&lt;&gt;"")+('Dvd Calendar'!$E$1275:$AR$1275=TYPE2)*(TYPE2&lt;&gt;"")+('Dvd Calendar'!$E$1275:$AR$1275=TYPE3)*(TYPE3&lt;&gt;"")+('Dvd Calendar'!$E$1275:$AR$1275=TYPE4)*(TYPE4&lt;&gt;"")+('Dvd Calendar'!$E$1275:$AR$1275=SPECIAL_LBL)*(INC_SPECIALS="Y"))))</f>
        <v/>
      </c>
      <c r="J126" s="132">
        <f>IF($C126="","",SUMPRODUCT(('Dvd Calendar'!$E$1270:$AR$1270&gt;=DATE(YEAR_Y-1,1,1))*('Dvd Calendar'!$E$1270:$AR$1270&lt;=DATE(YEAR_Y-1,12,31))*'Dvd Calendar'!$E$1273:$AR$1273*(('Dvd Calendar'!$E$1275:$AR$1275=TYPE1)*(TYPE1&lt;&gt;"")+('Dvd Calendar'!$E$1275:$AR$1275=TYPE2)*(TYPE2&lt;&gt;"")+('Dvd Calendar'!$E$1275:$AR$1275=TYPE3)*(TYPE3&lt;&gt;"")+('Dvd Calendar'!$E$1275:$AR$1275=TYPE4)*(TYPE4&lt;&gt;"")+('Dvd Calendar'!$E$1275:$AR$1275=SPECIAL_LBL)*(INC_SPECIALS="Y"))))</f>
        <v/>
      </c>
      <c r="K126" s="133">
        <f>IF($C126="","",HSTECH!$J$21)</f>
        <v/>
      </c>
      <c r="L126" s="133">
        <f>IF($C126="","",HSTECH!$K$21)</f>
        <v/>
      </c>
      <c r="M126" s="124">
        <f>IF($C126="","",HSTECH!$J$21+HSTECH!$L$21)</f>
        <v/>
      </c>
      <c r="N126" s="134">
        <f>IF($C126="","",IF(PULL_FUND="N","",IFERROR(BDP($C126,BESTDPS_FIELD,FWD_OVERRIDE,TEXT(MOD(YEAR_Y,100),"00")&amp;"Y"),"")))</f>
        <v/>
      </c>
      <c r="O126" s="133">
        <f>IF($C126="","",AVERAGE(F126:J126))</f>
        <v/>
      </c>
      <c r="P126" s="135">
        <f>IF($C126="","",IF(PULL_FUND="N","",IF(COUNTIFS('Fund History'!$J$696:$J$700,"&gt;="&amp;DATE(YEAR_Y-5,1,1),'Fund History'!$J$696:$J$700,"&lt;="&amp;DATE(YEAR_Y-5,12,31))=0,"",IFERROR($F126*HSTECH!$G$21/SUMIFS('Fund History'!$K$696:$K$700,'Fund History'!$J$696:$J$700,"&gt;="&amp;DATE(YEAR_Y-5,1,1),'Fund History'!$J$696:$J$700,"&lt;="&amp;DATE(YEAR_Y-5,12,31)),""))))</f>
        <v/>
      </c>
      <c r="Q126" s="136">
        <f>IF($C126="","",IF(PULL_FUND="N","",IF(COUNTIFS('Fund History'!$J$696:$J$700,"&gt;="&amp;DATE(YEAR_Y-4,1,1),'Fund History'!$J$696:$J$700,"&lt;="&amp;DATE(YEAR_Y-4,12,31))=0,"",IFERROR($G126*HSTECH!$G$21/SUMIFS('Fund History'!$K$696:$K$700,'Fund History'!$J$696:$J$700,"&gt;="&amp;DATE(YEAR_Y-4,1,1),'Fund History'!$J$696:$J$700,"&lt;="&amp;DATE(YEAR_Y-4,12,31)),""))))</f>
        <v/>
      </c>
      <c r="R126" s="136">
        <f>IF($C126="","",IF(PULL_FUND="N","",IF(COUNTIFS('Fund History'!$J$696:$J$700,"&gt;="&amp;DATE(YEAR_Y-3,1,1),'Fund History'!$J$696:$J$700,"&lt;="&amp;DATE(YEAR_Y-3,12,31))=0,"",IFERROR($H126*HSTECH!$G$21/SUMIFS('Fund History'!$K$696:$K$700,'Fund History'!$J$696:$J$700,"&gt;="&amp;DATE(YEAR_Y-3,1,1),'Fund History'!$J$696:$J$700,"&lt;="&amp;DATE(YEAR_Y-3,12,31)),""))))</f>
        <v/>
      </c>
      <c r="S126" s="136">
        <f>IF($C126="","",IF(PULL_FUND="N","",IF(COUNTIFS('Fund History'!$J$696:$J$700,"&gt;="&amp;DATE(YEAR_Y-2,1,1),'Fund History'!$J$696:$J$700,"&lt;="&amp;DATE(YEAR_Y-2,12,31))=0,"",IFERROR($I126*HSTECH!$G$21/SUMIFS('Fund History'!$K$696:$K$700,'Fund History'!$J$696:$J$700,"&gt;="&amp;DATE(YEAR_Y-2,1,1),'Fund History'!$J$696:$J$700,"&lt;="&amp;DATE(YEAR_Y-2,12,31)),""))))</f>
        <v/>
      </c>
      <c r="T126" s="136">
        <f>IF($C126="","",IF(PULL_FUND="N","",IF(COUNTIFS('Fund History'!$J$696:$J$700,"&gt;="&amp;DATE(YEAR_Y-1,1,1),'Fund History'!$J$696:$J$700,"&lt;="&amp;DATE(YEAR_Y-1,12,31))=0,"",IFERROR($J126*HSTECH!$G$21/SUMIFS('Fund History'!$K$696:$K$700,'Fund History'!$J$696:$J$700,"&gt;="&amp;DATE(YEAR_Y-1,1,1),'Fund History'!$J$696:$J$700,"&lt;="&amp;DATE(YEAR_Y-1,12,31)),""))))</f>
        <v/>
      </c>
      <c r="U126" s="137">
        <f>IF($C126="","",IF(ISNUMBER(HSTECH!$I$21),HSTECH!$I$21/100,""))</f>
        <v/>
      </c>
      <c r="V126" s="138">
        <f>IF($C126="","",IF(ISNUMBER(HSTECH!$X$21),IFERROR($M126*HSTECH!$G$21/HSTECH!$X$21,""),""))</f>
        <v/>
      </c>
      <c r="W126" s="137">
        <f>IF($C126="","",IF(ISNUMBER($N126),IFERROR($N126*HSTECH!$G$21/HSTECH!$X$21,""),""))</f>
        <v/>
      </c>
      <c r="X126" s="139">
        <f>IF($C126="","",IF(PULL_FUND="N","",IFERROR(BDP($C126,EPS_FIELD,YR_OVERRIDE,TEXT(YEAR_Y-5,"0")),"")))</f>
        <v/>
      </c>
      <c r="Y126" s="140">
        <f>IF($C126="","",IF(PULL_FUND="N","",IFERROR(BDP($C126,EPS_FIELD,YR_OVERRIDE,TEXT(YEAR_Y-4,"0")),"")))</f>
        <v/>
      </c>
      <c r="Z126" s="140">
        <f>IF($C126="","",IF(PULL_FUND="N","",IFERROR(BDP($C126,EPS_FIELD,YR_OVERRIDE,TEXT(YEAR_Y-3,"0")),"")))</f>
        <v/>
      </c>
      <c r="AA126" s="140">
        <f>IF($C126="","",IF(PULL_FUND="N","",IFERROR(BDP($C126,EPS_FIELD,YR_OVERRIDE,TEXT(YEAR_Y-2,"0")),"")))</f>
        <v/>
      </c>
      <c r="AB126" s="140">
        <f>IF($C126="","",IF(PULL_FUND="N","",IFERROR(BDP($C126,EPS_FIELD,YR_OVERRIDE,TEXT(YEAR_Y-1,"0")),"")))</f>
        <v/>
      </c>
      <c r="AC126" s="126">
        <f>IF($C126="","",IFERROR(AVERAGE(X126:AB126),""))</f>
        <v/>
      </c>
      <c r="AD126" s="140">
        <f>IF($C126="","",IF(PULL_FUND="N","",IFERROR(BDP($C126,BESTEPS_FIELD,FWD_OVERRIDE,TEXT(MOD(YEAR_Y,100),"00")&amp;"Y"),"")))</f>
        <v/>
      </c>
      <c r="AE126" s="141">
        <f>IF($C126="","",IF(PULL_FUND="N","",IFERROR(BDP($C126,PAYOUT_FIELD,YR_OVERRIDE,TEXT(YEAR_Y-5,"0"))/100,"")))</f>
        <v/>
      </c>
      <c r="AF126" s="142">
        <f>IF($C126="","",IF(PULL_FUND="N","",IFERROR(BDP($C126,PAYOUT_FIELD,YR_OVERRIDE,TEXT(YEAR_Y-4,"0"))/100,"")))</f>
        <v/>
      </c>
      <c r="AG126" s="142">
        <f>IF($C126="","",IF(PULL_FUND="N","",IFERROR(BDP($C126,PAYOUT_FIELD,YR_OVERRIDE,TEXT(YEAR_Y-3,"0"))/100,"")))</f>
        <v/>
      </c>
      <c r="AH126" s="142">
        <f>IF($C126="","",IF(PULL_FUND="N","",IFERROR(BDP($C126,PAYOUT_FIELD,YR_OVERRIDE,TEXT(YEAR_Y-2,"0"))/100,"")))</f>
        <v/>
      </c>
      <c r="AI126" s="142">
        <f>IF($C126="","",IF(PULL_FUND="N","",IFERROR(BDP($C126,PAYOUT_FIELD,YR_OVERRIDE,TEXT(YEAR_Y-1,"0"))/100,"")))</f>
        <v/>
      </c>
      <c r="AJ126" s="143">
        <f>IF($C126="","",IFERROR(AVERAGE(AE126:AI126),""))</f>
        <v/>
      </c>
      <c r="AK126" s="144">
        <f>IF($C126="","",IF(ISNUMBER($AD126)*ISNUMBER($N126)*($AD126&lt;&gt;0)=0,"",$N126/$AD126))</f>
        <v/>
      </c>
      <c r="AL126" s="143">
        <f>IF($C126="","",IF(ISNUMBER($AD126)*($AD126&lt;&gt;0)=0,"",$M126/$AD126))</f>
        <v/>
      </c>
      <c r="AM126" s="37">
        <f>IF($C126="","",IF(ISNUMBER($AE126)*ISNUMBER($AI126)=0,"",IF($AI126&gt;$AE126+0.05,"rising",IF($AI126&lt;$AE126-0.05,"falling","stable"))))</f>
        <v/>
      </c>
      <c r="AN126" s="145">
        <f>IF($C126="","",IF(PULL_FUND="N","",IF(COUNTIFS('Fund History'!$G$696:$G$700,"&gt;="&amp;DATE(YEAR_Y-4,1,1),'Fund History'!$G$696:$G$700,"&lt;="&amp;DATE(YEAR_Y-4,12,31))=0,"",SUMIFS('Fund History'!$H$696:$H$700,'Fund History'!$G$696:$G$700,"&gt;="&amp;DATE(YEAR_Y-4,1,1),'Fund History'!$G$696:$G$700,"&lt;="&amp;DATE(YEAR_Y-4,12,31))/100)))</f>
        <v/>
      </c>
      <c r="AO126" s="146">
        <f>IF($C126="","",IF(PULL_FUND="N","",IF(COUNTIFS('Fund History'!$G$696:$G$700,"&gt;="&amp;DATE(YEAR_Y-3,1,1),'Fund History'!$G$696:$G$700,"&lt;="&amp;DATE(YEAR_Y-3,12,31))=0,"",SUMIFS('Fund History'!$H$696:$H$700,'Fund History'!$G$696:$G$700,"&gt;="&amp;DATE(YEAR_Y-3,1,1),'Fund History'!$G$696:$G$700,"&lt;="&amp;DATE(YEAR_Y-3,12,31))/100)))</f>
        <v/>
      </c>
      <c r="AP126" s="146">
        <f>IF($C126="","",IF(PULL_FUND="N","",IF(COUNTIFS('Fund History'!$G$696:$G$700,"&gt;="&amp;DATE(YEAR_Y-2,1,1),'Fund History'!$G$696:$G$700,"&lt;="&amp;DATE(YEAR_Y-2,12,31))=0,"",SUMIFS('Fund History'!$H$696:$H$700,'Fund History'!$G$696:$G$700,"&gt;="&amp;DATE(YEAR_Y-2,1,1),'Fund History'!$G$696:$G$700,"&lt;="&amp;DATE(YEAR_Y-2,12,31))/100)))</f>
        <v/>
      </c>
      <c r="AQ126" s="146">
        <f>IF($C126="","",IF(PULL_FUND="N","",IF(COUNTIFS('Fund History'!$G$696:$G$700,"&gt;="&amp;DATE(YEAR_Y-1,1,1),'Fund History'!$G$696:$G$700,"&lt;="&amp;DATE(YEAR_Y-1,12,31))=0,"",SUMIFS('Fund History'!$H$696:$H$700,'Fund History'!$G$696:$G$700,"&gt;="&amp;DATE(YEAR_Y-1,1,1),'Fund History'!$G$696:$G$700,"&lt;="&amp;DATE(YEAR_Y-1,12,31))/100)))</f>
        <v/>
      </c>
      <c r="AR126" s="147">
        <f>IF($C126="","",IF(N($AQ126)+N(HSTECH!$I$21)=0,"",N($AQ126)+N(HSTECH!$I$21)/100))</f>
        <v/>
      </c>
      <c r="AS126" s="139">
        <f>IF($C126="","",IF(PULL_FUND="N","",IF(COUNTIFS('Fund History'!$D$696:$D$700,"&gt;="&amp;DATE(YEAR_Y-2,1,1),'Fund History'!$D$696:$D$700,"&lt;="&amp;DATE(YEAR_Y-2,12,31))=0,"",SUMIFS('Fund History'!$E$696:$E$700,'Fund History'!$D$696:$D$700,"&gt;="&amp;DATE(YEAR_Y-2,1,1),'Fund History'!$D$696:$D$700,"&lt;="&amp;DATE(YEAR_Y-2,12,31)))))</f>
        <v/>
      </c>
      <c r="AT126" s="140">
        <f>IF($C126="","",IF(PULL_FUND="N","",IF(COUNTIFS('Fund History'!$D$696:$D$700,"&gt;="&amp;DATE(YEAR_Y-1,1,1),'Fund History'!$D$696:$D$700,"&lt;="&amp;DATE(YEAR_Y-1,12,31))=0,"",SUMIFS('Fund History'!$E$696:$E$700,'Fund History'!$D$696:$D$700,"&gt;="&amp;DATE(YEAR_Y-1,1,1),'Fund History'!$D$696:$D$700,"&lt;="&amp;DATE(YEAR_Y-1,12,31)))))</f>
        <v/>
      </c>
      <c r="AU126" s="140">
        <f>IF($C126="","",IF(PULL_FUND="N","",IFERROR(BDP($C126,NDEBITDA_FIELD),"")))</f>
        <v/>
      </c>
      <c r="AV126" s="148">
        <f>IF($C126="","",IF(PULL_FUND="N","",IFERROR(BDP($C126,EBINT_FIELD),"")))</f>
        <v/>
      </c>
      <c r="AW126" s="146">
        <f>IF($C126="","",IF(PULL_FUND="N","",IFERROR(BDP($C126,FCF_FIELD)/100,"")))</f>
        <v/>
      </c>
      <c r="AX126" s="126">
        <f>IF($C126="","",IF(N($U126)=0,"",IFERROR($AW126/$U126,"")))</f>
        <v/>
      </c>
      <c r="AY126" s="85">
        <f>IF($C126="","",TRIM(IF(ISNUMBER($AJ126)*(N($AJ126)&gt;$D$4)&gt;0,"payout high  ","")&amp;IF(ISNUMBER($AX126)*(N($AX126)&lt;$F$4)&gt;0,"FCF below dvd  ","")&amp;IF(ISNUMBER($AU126)*(N($AU126)&gt;$H$4)&gt;0,"leverage high","")))</f>
        <v/>
      </c>
      <c r="AZ126" s="86">
        <f>IF($C126="","",IF(HSTECH!$F$21="HKD","",HSTECH!$F$21))</f>
        <v/>
      </c>
    </row>
    <row r="127">
      <c r="B127" s="66" t="inlineStr">
        <is>
          <t>HSTECH</t>
        </is>
      </c>
      <c r="C127" s="8">
        <f>IF(HSTECH!$C$22="","",HSTECH!$C$22)</f>
        <v/>
      </c>
      <c r="D127" s="8">
        <f>IF($C127="","",HSTECH!$D$22)</f>
        <v/>
      </c>
      <c r="E127" s="8">
        <f>IF($C127="","",HSTECH!$E$22)</f>
        <v/>
      </c>
      <c r="F127" s="131">
        <f>IF($C127="","",SUMPRODUCT(('Dvd Calendar'!$E$1281:$AR$1281&gt;=DATE(YEAR_Y-5,1,1))*('Dvd Calendar'!$E$1281:$AR$1281&lt;=DATE(YEAR_Y-5,12,31))*'Dvd Calendar'!$E$1284:$AR$1284*(('Dvd Calendar'!$E$1286:$AR$1286=TYPE1)*(TYPE1&lt;&gt;"")+('Dvd Calendar'!$E$1286:$AR$1286=TYPE2)*(TYPE2&lt;&gt;"")+('Dvd Calendar'!$E$1286:$AR$1286=TYPE3)*(TYPE3&lt;&gt;"")+('Dvd Calendar'!$E$1286:$AR$1286=TYPE4)*(TYPE4&lt;&gt;"")+('Dvd Calendar'!$E$1286:$AR$1286=SPECIAL_LBL)*(INC_SPECIALS="Y"))))</f>
        <v/>
      </c>
      <c r="G127" s="132">
        <f>IF($C127="","",SUMPRODUCT(('Dvd Calendar'!$E$1281:$AR$1281&gt;=DATE(YEAR_Y-4,1,1))*('Dvd Calendar'!$E$1281:$AR$1281&lt;=DATE(YEAR_Y-4,12,31))*'Dvd Calendar'!$E$1284:$AR$1284*(('Dvd Calendar'!$E$1286:$AR$1286=TYPE1)*(TYPE1&lt;&gt;"")+('Dvd Calendar'!$E$1286:$AR$1286=TYPE2)*(TYPE2&lt;&gt;"")+('Dvd Calendar'!$E$1286:$AR$1286=TYPE3)*(TYPE3&lt;&gt;"")+('Dvd Calendar'!$E$1286:$AR$1286=TYPE4)*(TYPE4&lt;&gt;"")+('Dvd Calendar'!$E$1286:$AR$1286=SPECIAL_LBL)*(INC_SPECIALS="Y"))))</f>
        <v/>
      </c>
      <c r="H127" s="132">
        <f>IF($C127="","",SUMPRODUCT(('Dvd Calendar'!$E$1281:$AR$1281&gt;=DATE(YEAR_Y-3,1,1))*('Dvd Calendar'!$E$1281:$AR$1281&lt;=DATE(YEAR_Y-3,12,31))*'Dvd Calendar'!$E$1284:$AR$1284*(('Dvd Calendar'!$E$1286:$AR$1286=TYPE1)*(TYPE1&lt;&gt;"")+('Dvd Calendar'!$E$1286:$AR$1286=TYPE2)*(TYPE2&lt;&gt;"")+('Dvd Calendar'!$E$1286:$AR$1286=TYPE3)*(TYPE3&lt;&gt;"")+('Dvd Calendar'!$E$1286:$AR$1286=TYPE4)*(TYPE4&lt;&gt;"")+('Dvd Calendar'!$E$1286:$AR$1286=SPECIAL_LBL)*(INC_SPECIALS="Y"))))</f>
        <v/>
      </c>
      <c r="I127" s="132">
        <f>IF($C127="","",SUMPRODUCT(('Dvd Calendar'!$E$1281:$AR$1281&gt;=DATE(YEAR_Y-2,1,1))*('Dvd Calendar'!$E$1281:$AR$1281&lt;=DATE(YEAR_Y-2,12,31))*'Dvd Calendar'!$E$1284:$AR$1284*(('Dvd Calendar'!$E$1286:$AR$1286=TYPE1)*(TYPE1&lt;&gt;"")+('Dvd Calendar'!$E$1286:$AR$1286=TYPE2)*(TYPE2&lt;&gt;"")+('Dvd Calendar'!$E$1286:$AR$1286=TYPE3)*(TYPE3&lt;&gt;"")+('Dvd Calendar'!$E$1286:$AR$1286=TYPE4)*(TYPE4&lt;&gt;"")+('Dvd Calendar'!$E$1286:$AR$1286=SPECIAL_LBL)*(INC_SPECIALS="Y"))))</f>
        <v/>
      </c>
      <c r="J127" s="132">
        <f>IF($C127="","",SUMPRODUCT(('Dvd Calendar'!$E$1281:$AR$1281&gt;=DATE(YEAR_Y-1,1,1))*('Dvd Calendar'!$E$1281:$AR$1281&lt;=DATE(YEAR_Y-1,12,31))*'Dvd Calendar'!$E$1284:$AR$1284*(('Dvd Calendar'!$E$1286:$AR$1286=TYPE1)*(TYPE1&lt;&gt;"")+('Dvd Calendar'!$E$1286:$AR$1286=TYPE2)*(TYPE2&lt;&gt;"")+('Dvd Calendar'!$E$1286:$AR$1286=TYPE3)*(TYPE3&lt;&gt;"")+('Dvd Calendar'!$E$1286:$AR$1286=TYPE4)*(TYPE4&lt;&gt;"")+('Dvd Calendar'!$E$1286:$AR$1286=SPECIAL_LBL)*(INC_SPECIALS="Y"))))</f>
        <v/>
      </c>
      <c r="K127" s="133">
        <f>IF($C127="","",HSTECH!$J$22)</f>
        <v/>
      </c>
      <c r="L127" s="133">
        <f>IF($C127="","",HSTECH!$K$22)</f>
        <v/>
      </c>
      <c r="M127" s="124">
        <f>IF($C127="","",HSTECH!$J$22+HSTECH!$L$22)</f>
        <v/>
      </c>
      <c r="N127" s="134">
        <f>IF($C127="","",IF(PULL_FUND="N","",IFERROR(BDP($C127,BESTDPS_FIELD,FWD_OVERRIDE,TEXT(MOD(YEAR_Y,100),"00")&amp;"Y"),"")))</f>
        <v/>
      </c>
      <c r="O127" s="133">
        <f>IF($C127="","",AVERAGE(F127:J127))</f>
        <v/>
      </c>
      <c r="P127" s="135">
        <f>IF($C127="","",IF(PULL_FUND="N","",IF(COUNTIFS('Fund History'!$J$702:$J$706,"&gt;="&amp;DATE(YEAR_Y-5,1,1),'Fund History'!$J$702:$J$706,"&lt;="&amp;DATE(YEAR_Y-5,12,31))=0,"",IFERROR($F127*HSTECH!$G$22/SUMIFS('Fund History'!$K$702:$K$706,'Fund History'!$J$702:$J$706,"&gt;="&amp;DATE(YEAR_Y-5,1,1),'Fund History'!$J$702:$J$706,"&lt;="&amp;DATE(YEAR_Y-5,12,31)),""))))</f>
        <v/>
      </c>
      <c r="Q127" s="136">
        <f>IF($C127="","",IF(PULL_FUND="N","",IF(COUNTIFS('Fund History'!$J$702:$J$706,"&gt;="&amp;DATE(YEAR_Y-4,1,1),'Fund History'!$J$702:$J$706,"&lt;="&amp;DATE(YEAR_Y-4,12,31))=0,"",IFERROR($G127*HSTECH!$G$22/SUMIFS('Fund History'!$K$702:$K$706,'Fund History'!$J$702:$J$706,"&gt;="&amp;DATE(YEAR_Y-4,1,1),'Fund History'!$J$702:$J$706,"&lt;="&amp;DATE(YEAR_Y-4,12,31)),""))))</f>
        <v/>
      </c>
      <c r="R127" s="136">
        <f>IF($C127="","",IF(PULL_FUND="N","",IF(COUNTIFS('Fund History'!$J$702:$J$706,"&gt;="&amp;DATE(YEAR_Y-3,1,1),'Fund History'!$J$702:$J$706,"&lt;="&amp;DATE(YEAR_Y-3,12,31))=0,"",IFERROR($H127*HSTECH!$G$22/SUMIFS('Fund History'!$K$702:$K$706,'Fund History'!$J$702:$J$706,"&gt;="&amp;DATE(YEAR_Y-3,1,1),'Fund History'!$J$702:$J$706,"&lt;="&amp;DATE(YEAR_Y-3,12,31)),""))))</f>
        <v/>
      </c>
      <c r="S127" s="136">
        <f>IF($C127="","",IF(PULL_FUND="N","",IF(COUNTIFS('Fund History'!$J$702:$J$706,"&gt;="&amp;DATE(YEAR_Y-2,1,1),'Fund History'!$J$702:$J$706,"&lt;="&amp;DATE(YEAR_Y-2,12,31))=0,"",IFERROR($I127*HSTECH!$G$22/SUMIFS('Fund History'!$K$702:$K$706,'Fund History'!$J$702:$J$706,"&gt;="&amp;DATE(YEAR_Y-2,1,1),'Fund History'!$J$702:$J$706,"&lt;="&amp;DATE(YEAR_Y-2,12,31)),""))))</f>
        <v/>
      </c>
      <c r="T127" s="136">
        <f>IF($C127="","",IF(PULL_FUND="N","",IF(COUNTIFS('Fund History'!$J$702:$J$706,"&gt;="&amp;DATE(YEAR_Y-1,1,1),'Fund History'!$J$702:$J$706,"&lt;="&amp;DATE(YEAR_Y-1,12,31))=0,"",IFERROR($J127*HSTECH!$G$22/SUMIFS('Fund History'!$K$702:$K$706,'Fund History'!$J$702:$J$706,"&gt;="&amp;DATE(YEAR_Y-1,1,1),'Fund History'!$J$702:$J$706,"&lt;="&amp;DATE(YEAR_Y-1,12,31)),""))))</f>
        <v/>
      </c>
      <c r="U127" s="137">
        <f>IF($C127="","",IF(ISNUMBER(HSTECH!$I$22),HSTECH!$I$22/100,""))</f>
        <v/>
      </c>
      <c r="V127" s="138">
        <f>IF($C127="","",IF(ISNUMBER(HSTECH!$X$22),IFERROR($M127*HSTECH!$G$22/HSTECH!$X$22,""),""))</f>
        <v/>
      </c>
      <c r="W127" s="137">
        <f>IF($C127="","",IF(ISNUMBER($N127),IFERROR($N127*HSTECH!$G$22/HSTECH!$X$22,""),""))</f>
        <v/>
      </c>
      <c r="X127" s="139">
        <f>IF($C127="","",IF(PULL_FUND="N","",IFERROR(BDP($C127,EPS_FIELD,YR_OVERRIDE,TEXT(YEAR_Y-5,"0")),"")))</f>
        <v/>
      </c>
      <c r="Y127" s="140">
        <f>IF($C127="","",IF(PULL_FUND="N","",IFERROR(BDP($C127,EPS_FIELD,YR_OVERRIDE,TEXT(YEAR_Y-4,"0")),"")))</f>
        <v/>
      </c>
      <c r="Z127" s="140">
        <f>IF($C127="","",IF(PULL_FUND="N","",IFERROR(BDP($C127,EPS_FIELD,YR_OVERRIDE,TEXT(YEAR_Y-3,"0")),"")))</f>
        <v/>
      </c>
      <c r="AA127" s="140">
        <f>IF($C127="","",IF(PULL_FUND="N","",IFERROR(BDP($C127,EPS_FIELD,YR_OVERRIDE,TEXT(YEAR_Y-2,"0")),"")))</f>
        <v/>
      </c>
      <c r="AB127" s="140">
        <f>IF($C127="","",IF(PULL_FUND="N","",IFERROR(BDP($C127,EPS_FIELD,YR_OVERRIDE,TEXT(YEAR_Y-1,"0")),"")))</f>
        <v/>
      </c>
      <c r="AC127" s="126">
        <f>IF($C127="","",IFERROR(AVERAGE(X127:AB127),""))</f>
        <v/>
      </c>
      <c r="AD127" s="140">
        <f>IF($C127="","",IF(PULL_FUND="N","",IFERROR(BDP($C127,BESTEPS_FIELD,FWD_OVERRIDE,TEXT(MOD(YEAR_Y,100),"00")&amp;"Y"),"")))</f>
        <v/>
      </c>
      <c r="AE127" s="141">
        <f>IF($C127="","",IF(PULL_FUND="N","",IFERROR(BDP($C127,PAYOUT_FIELD,YR_OVERRIDE,TEXT(YEAR_Y-5,"0"))/100,"")))</f>
        <v/>
      </c>
      <c r="AF127" s="142">
        <f>IF($C127="","",IF(PULL_FUND="N","",IFERROR(BDP($C127,PAYOUT_FIELD,YR_OVERRIDE,TEXT(YEAR_Y-4,"0"))/100,"")))</f>
        <v/>
      </c>
      <c r="AG127" s="142">
        <f>IF($C127="","",IF(PULL_FUND="N","",IFERROR(BDP($C127,PAYOUT_FIELD,YR_OVERRIDE,TEXT(YEAR_Y-3,"0"))/100,"")))</f>
        <v/>
      </c>
      <c r="AH127" s="142">
        <f>IF($C127="","",IF(PULL_FUND="N","",IFERROR(BDP($C127,PAYOUT_FIELD,YR_OVERRIDE,TEXT(YEAR_Y-2,"0"))/100,"")))</f>
        <v/>
      </c>
      <c r="AI127" s="142">
        <f>IF($C127="","",IF(PULL_FUND="N","",IFERROR(BDP($C127,PAYOUT_FIELD,YR_OVERRIDE,TEXT(YEAR_Y-1,"0"))/100,"")))</f>
        <v/>
      </c>
      <c r="AJ127" s="143">
        <f>IF($C127="","",IFERROR(AVERAGE(AE127:AI127),""))</f>
        <v/>
      </c>
      <c r="AK127" s="144">
        <f>IF($C127="","",IF(ISNUMBER($AD127)*ISNUMBER($N127)*($AD127&lt;&gt;0)=0,"",$N127/$AD127))</f>
        <v/>
      </c>
      <c r="AL127" s="143">
        <f>IF($C127="","",IF(ISNUMBER($AD127)*($AD127&lt;&gt;0)=0,"",$M127/$AD127))</f>
        <v/>
      </c>
      <c r="AM127" s="37">
        <f>IF($C127="","",IF(ISNUMBER($AE127)*ISNUMBER($AI127)=0,"",IF($AI127&gt;$AE127+0.05,"rising",IF($AI127&lt;$AE127-0.05,"falling","stable"))))</f>
        <v/>
      </c>
      <c r="AN127" s="145">
        <f>IF($C127="","",IF(PULL_FUND="N","",IF(COUNTIFS('Fund History'!$G$702:$G$706,"&gt;="&amp;DATE(YEAR_Y-4,1,1),'Fund History'!$G$702:$G$706,"&lt;="&amp;DATE(YEAR_Y-4,12,31))=0,"",SUMIFS('Fund History'!$H$702:$H$706,'Fund History'!$G$702:$G$706,"&gt;="&amp;DATE(YEAR_Y-4,1,1),'Fund History'!$G$702:$G$706,"&lt;="&amp;DATE(YEAR_Y-4,12,31))/100)))</f>
        <v/>
      </c>
      <c r="AO127" s="146">
        <f>IF($C127="","",IF(PULL_FUND="N","",IF(COUNTIFS('Fund History'!$G$702:$G$706,"&gt;="&amp;DATE(YEAR_Y-3,1,1),'Fund History'!$G$702:$G$706,"&lt;="&amp;DATE(YEAR_Y-3,12,31))=0,"",SUMIFS('Fund History'!$H$702:$H$706,'Fund History'!$G$702:$G$706,"&gt;="&amp;DATE(YEAR_Y-3,1,1),'Fund History'!$G$702:$G$706,"&lt;="&amp;DATE(YEAR_Y-3,12,31))/100)))</f>
        <v/>
      </c>
      <c r="AP127" s="146">
        <f>IF($C127="","",IF(PULL_FUND="N","",IF(COUNTIFS('Fund History'!$G$702:$G$706,"&gt;="&amp;DATE(YEAR_Y-2,1,1),'Fund History'!$G$702:$G$706,"&lt;="&amp;DATE(YEAR_Y-2,12,31))=0,"",SUMIFS('Fund History'!$H$702:$H$706,'Fund History'!$G$702:$G$706,"&gt;="&amp;DATE(YEAR_Y-2,1,1),'Fund History'!$G$702:$G$706,"&lt;="&amp;DATE(YEAR_Y-2,12,31))/100)))</f>
        <v/>
      </c>
      <c r="AQ127" s="146">
        <f>IF($C127="","",IF(PULL_FUND="N","",IF(COUNTIFS('Fund History'!$G$702:$G$706,"&gt;="&amp;DATE(YEAR_Y-1,1,1),'Fund History'!$G$702:$G$706,"&lt;="&amp;DATE(YEAR_Y-1,12,31))=0,"",SUMIFS('Fund History'!$H$702:$H$706,'Fund History'!$G$702:$G$706,"&gt;="&amp;DATE(YEAR_Y-1,1,1),'Fund History'!$G$702:$G$706,"&lt;="&amp;DATE(YEAR_Y-1,12,31))/100)))</f>
        <v/>
      </c>
      <c r="AR127" s="147">
        <f>IF($C127="","",IF(N($AQ127)+N(HSTECH!$I$22)=0,"",N($AQ127)+N(HSTECH!$I$22)/100))</f>
        <v/>
      </c>
      <c r="AS127" s="139">
        <f>IF($C127="","",IF(PULL_FUND="N","",IF(COUNTIFS('Fund History'!$D$702:$D$706,"&gt;="&amp;DATE(YEAR_Y-2,1,1),'Fund History'!$D$702:$D$706,"&lt;="&amp;DATE(YEAR_Y-2,12,31))=0,"",SUMIFS('Fund History'!$E$702:$E$706,'Fund History'!$D$702:$D$706,"&gt;="&amp;DATE(YEAR_Y-2,1,1),'Fund History'!$D$702:$D$706,"&lt;="&amp;DATE(YEAR_Y-2,12,31)))))</f>
        <v/>
      </c>
      <c r="AT127" s="140">
        <f>IF($C127="","",IF(PULL_FUND="N","",IF(COUNTIFS('Fund History'!$D$702:$D$706,"&gt;="&amp;DATE(YEAR_Y-1,1,1),'Fund History'!$D$702:$D$706,"&lt;="&amp;DATE(YEAR_Y-1,12,31))=0,"",SUMIFS('Fund History'!$E$702:$E$706,'Fund History'!$D$702:$D$706,"&gt;="&amp;DATE(YEAR_Y-1,1,1),'Fund History'!$D$702:$D$706,"&lt;="&amp;DATE(YEAR_Y-1,12,31)))))</f>
        <v/>
      </c>
      <c r="AU127" s="140">
        <f>IF($C127="","",IF(PULL_FUND="N","",IFERROR(BDP($C127,NDEBITDA_FIELD),"")))</f>
        <v/>
      </c>
      <c r="AV127" s="148">
        <f>IF($C127="","",IF(PULL_FUND="N","",IFERROR(BDP($C127,EBINT_FIELD),"")))</f>
        <v/>
      </c>
      <c r="AW127" s="146">
        <f>IF($C127="","",IF(PULL_FUND="N","",IFERROR(BDP($C127,FCF_FIELD)/100,"")))</f>
        <v/>
      </c>
      <c r="AX127" s="126">
        <f>IF($C127="","",IF(N($U127)=0,"",IFERROR($AW127/$U127,"")))</f>
        <v/>
      </c>
      <c r="AY127" s="85">
        <f>IF($C127="","",TRIM(IF(ISNUMBER($AJ127)*(N($AJ127)&gt;$D$4)&gt;0,"payout high  ","")&amp;IF(ISNUMBER($AX127)*(N($AX127)&lt;$F$4)&gt;0,"FCF below dvd  ","")&amp;IF(ISNUMBER($AU127)*(N($AU127)&gt;$H$4)&gt;0,"leverage high","")))</f>
        <v/>
      </c>
      <c r="AZ127" s="86">
        <f>IF($C127="","",IF(HSTECH!$F$22="HKD","",HSTECH!$F$22))</f>
        <v/>
      </c>
    </row>
    <row r="128">
      <c r="B128" s="66" t="inlineStr">
        <is>
          <t>HSTECH</t>
        </is>
      </c>
      <c r="C128" s="8">
        <f>IF(HSTECH!$C$23="","",HSTECH!$C$23)</f>
        <v/>
      </c>
      <c r="D128" s="8">
        <f>IF($C128="","",HSTECH!$D$23)</f>
        <v/>
      </c>
      <c r="E128" s="8">
        <f>IF($C128="","",HSTECH!$E$23)</f>
        <v/>
      </c>
      <c r="F128" s="131">
        <f>IF($C128="","",SUMPRODUCT(('Dvd Calendar'!$E$1292:$AR$1292&gt;=DATE(YEAR_Y-5,1,1))*('Dvd Calendar'!$E$1292:$AR$1292&lt;=DATE(YEAR_Y-5,12,31))*'Dvd Calendar'!$E$1295:$AR$1295*(('Dvd Calendar'!$E$1297:$AR$1297=TYPE1)*(TYPE1&lt;&gt;"")+('Dvd Calendar'!$E$1297:$AR$1297=TYPE2)*(TYPE2&lt;&gt;"")+('Dvd Calendar'!$E$1297:$AR$1297=TYPE3)*(TYPE3&lt;&gt;"")+('Dvd Calendar'!$E$1297:$AR$1297=TYPE4)*(TYPE4&lt;&gt;"")+('Dvd Calendar'!$E$1297:$AR$1297=SPECIAL_LBL)*(INC_SPECIALS="Y"))))</f>
        <v/>
      </c>
      <c r="G128" s="132">
        <f>IF($C128="","",SUMPRODUCT(('Dvd Calendar'!$E$1292:$AR$1292&gt;=DATE(YEAR_Y-4,1,1))*('Dvd Calendar'!$E$1292:$AR$1292&lt;=DATE(YEAR_Y-4,12,31))*'Dvd Calendar'!$E$1295:$AR$1295*(('Dvd Calendar'!$E$1297:$AR$1297=TYPE1)*(TYPE1&lt;&gt;"")+('Dvd Calendar'!$E$1297:$AR$1297=TYPE2)*(TYPE2&lt;&gt;"")+('Dvd Calendar'!$E$1297:$AR$1297=TYPE3)*(TYPE3&lt;&gt;"")+('Dvd Calendar'!$E$1297:$AR$1297=TYPE4)*(TYPE4&lt;&gt;"")+('Dvd Calendar'!$E$1297:$AR$1297=SPECIAL_LBL)*(INC_SPECIALS="Y"))))</f>
        <v/>
      </c>
      <c r="H128" s="132">
        <f>IF($C128="","",SUMPRODUCT(('Dvd Calendar'!$E$1292:$AR$1292&gt;=DATE(YEAR_Y-3,1,1))*('Dvd Calendar'!$E$1292:$AR$1292&lt;=DATE(YEAR_Y-3,12,31))*'Dvd Calendar'!$E$1295:$AR$1295*(('Dvd Calendar'!$E$1297:$AR$1297=TYPE1)*(TYPE1&lt;&gt;"")+('Dvd Calendar'!$E$1297:$AR$1297=TYPE2)*(TYPE2&lt;&gt;"")+('Dvd Calendar'!$E$1297:$AR$1297=TYPE3)*(TYPE3&lt;&gt;"")+('Dvd Calendar'!$E$1297:$AR$1297=TYPE4)*(TYPE4&lt;&gt;"")+('Dvd Calendar'!$E$1297:$AR$1297=SPECIAL_LBL)*(INC_SPECIALS="Y"))))</f>
        <v/>
      </c>
      <c r="I128" s="132">
        <f>IF($C128="","",SUMPRODUCT(('Dvd Calendar'!$E$1292:$AR$1292&gt;=DATE(YEAR_Y-2,1,1))*('Dvd Calendar'!$E$1292:$AR$1292&lt;=DATE(YEAR_Y-2,12,31))*'Dvd Calendar'!$E$1295:$AR$1295*(('Dvd Calendar'!$E$1297:$AR$1297=TYPE1)*(TYPE1&lt;&gt;"")+('Dvd Calendar'!$E$1297:$AR$1297=TYPE2)*(TYPE2&lt;&gt;"")+('Dvd Calendar'!$E$1297:$AR$1297=TYPE3)*(TYPE3&lt;&gt;"")+('Dvd Calendar'!$E$1297:$AR$1297=TYPE4)*(TYPE4&lt;&gt;"")+('Dvd Calendar'!$E$1297:$AR$1297=SPECIAL_LBL)*(INC_SPECIALS="Y"))))</f>
        <v/>
      </c>
      <c r="J128" s="132">
        <f>IF($C128="","",SUMPRODUCT(('Dvd Calendar'!$E$1292:$AR$1292&gt;=DATE(YEAR_Y-1,1,1))*('Dvd Calendar'!$E$1292:$AR$1292&lt;=DATE(YEAR_Y-1,12,31))*'Dvd Calendar'!$E$1295:$AR$1295*(('Dvd Calendar'!$E$1297:$AR$1297=TYPE1)*(TYPE1&lt;&gt;"")+('Dvd Calendar'!$E$1297:$AR$1297=TYPE2)*(TYPE2&lt;&gt;"")+('Dvd Calendar'!$E$1297:$AR$1297=TYPE3)*(TYPE3&lt;&gt;"")+('Dvd Calendar'!$E$1297:$AR$1297=TYPE4)*(TYPE4&lt;&gt;"")+('Dvd Calendar'!$E$1297:$AR$1297=SPECIAL_LBL)*(INC_SPECIALS="Y"))))</f>
        <v/>
      </c>
      <c r="K128" s="133">
        <f>IF($C128="","",HSTECH!$J$23)</f>
        <v/>
      </c>
      <c r="L128" s="133">
        <f>IF($C128="","",HSTECH!$K$23)</f>
        <v/>
      </c>
      <c r="M128" s="124">
        <f>IF($C128="","",HSTECH!$J$23+HSTECH!$L$23)</f>
        <v/>
      </c>
      <c r="N128" s="134">
        <f>IF($C128="","",IF(PULL_FUND="N","",IFERROR(BDP($C128,BESTDPS_FIELD,FWD_OVERRIDE,TEXT(MOD(YEAR_Y,100),"00")&amp;"Y"),"")))</f>
        <v/>
      </c>
      <c r="O128" s="133">
        <f>IF($C128="","",AVERAGE(F128:J128))</f>
        <v/>
      </c>
      <c r="P128" s="135">
        <f>IF($C128="","",IF(PULL_FUND="N","",IF(COUNTIFS('Fund History'!$J$708:$J$712,"&gt;="&amp;DATE(YEAR_Y-5,1,1),'Fund History'!$J$708:$J$712,"&lt;="&amp;DATE(YEAR_Y-5,12,31))=0,"",IFERROR($F128*HSTECH!$G$23/SUMIFS('Fund History'!$K$708:$K$712,'Fund History'!$J$708:$J$712,"&gt;="&amp;DATE(YEAR_Y-5,1,1),'Fund History'!$J$708:$J$712,"&lt;="&amp;DATE(YEAR_Y-5,12,31)),""))))</f>
        <v/>
      </c>
      <c r="Q128" s="136">
        <f>IF($C128="","",IF(PULL_FUND="N","",IF(COUNTIFS('Fund History'!$J$708:$J$712,"&gt;="&amp;DATE(YEAR_Y-4,1,1),'Fund History'!$J$708:$J$712,"&lt;="&amp;DATE(YEAR_Y-4,12,31))=0,"",IFERROR($G128*HSTECH!$G$23/SUMIFS('Fund History'!$K$708:$K$712,'Fund History'!$J$708:$J$712,"&gt;="&amp;DATE(YEAR_Y-4,1,1),'Fund History'!$J$708:$J$712,"&lt;="&amp;DATE(YEAR_Y-4,12,31)),""))))</f>
        <v/>
      </c>
      <c r="R128" s="136">
        <f>IF($C128="","",IF(PULL_FUND="N","",IF(COUNTIFS('Fund History'!$J$708:$J$712,"&gt;="&amp;DATE(YEAR_Y-3,1,1),'Fund History'!$J$708:$J$712,"&lt;="&amp;DATE(YEAR_Y-3,12,31))=0,"",IFERROR($H128*HSTECH!$G$23/SUMIFS('Fund History'!$K$708:$K$712,'Fund History'!$J$708:$J$712,"&gt;="&amp;DATE(YEAR_Y-3,1,1),'Fund History'!$J$708:$J$712,"&lt;="&amp;DATE(YEAR_Y-3,12,31)),""))))</f>
        <v/>
      </c>
      <c r="S128" s="136">
        <f>IF($C128="","",IF(PULL_FUND="N","",IF(COUNTIFS('Fund History'!$J$708:$J$712,"&gt;="&amp;DATE(YEAR_Y-2,1,1),'Fund History'!$J$708:$J$712,"&lt;="&amp;DATE(YEAR_Y-2,12,31))=0,"",IFERROR($I128*HSTECH!$G$23/SUMIFS('Fund History'!$K$708:$K$712,'Fund History'!$J$708:$J$712,"&gt;="&amp;DATE(YEAR_Y-2,1,1),'Fund History'!$J$708:$J$712,"&lt;="&amp;DATE(YEAR_Y-2,12,31)),""))))</f>
        <v/>
      </c>
      <c r="T128" s="136">
        <f>IF($C128="","",IF(PULL_FUND="N","",IF(COUNTIFS('Fund History'!$J$708:$J$712,"&gt;="&amp;DATE(YEAR_Y-1,1,1),'Fund History'!$J$708:$J$712,"&lt;="&amp;DATE(YEAR_Y-1,12,31))=0,"",IFERROR($J128*HSTECH!$G$23/SUMIFS('Fund History'!$K$708:$K$712,'Fund History'!$J$708:$J$712,"&gt;="&amp;DATE(YEAR_Y-1,1,1),'Fund History'!$J$708:$J$712,"&lt;="&amp;DATE(YEAR_Y-1,12,31)),""))))</f>
        <v/>
      </c>
      <c r="U128" s="137">
        <f>IF($C128="","",IF(ISNUMBER(HSTECH!$I$23),HSTECH!$I$23/100,""))</f>
        <v/>
      </c>
      <c r="V128" s="138">
        <f>IF($C128="","",IF(ISNUMBER(HSTECH!$X$23),IFERROR($M128*HSTECH!$G$23/HSTECH!$X$23,""),""))</f>
        <v/>
      </c>
      <c r="W128" s="137">
        <f>IF($C128="","",IF(ISNUMBER($N128),IFERROR($N128*HSTECH!$G$23/HSTECH!$X$23,""),""))</f>
        <v/>
      </c>
      <c r="X128" s="139">
        <f>IF($C128="","",IF(PULL_FUND="N","",IFERROR(BDP($C128,EPS_FIELD,YR_OVERRIDE,TEXT(YEAR_Y-5,"0")),"")))</f>
        <v/>
      </c>
      <c r="Y128" s="140">
        <f>IF($C128="","",IF(PULL_FUND="N","",IFERROR(BDP($C128,EPS_FIELD,YR_OVERRIDE,TEXT(YEAR_Y-4,"0")),"")))</f>
        <v/>
      </c>
      <c r="Z128" s="140">
        <f>IF($C128="","",IF(PULL_FUND="N","",IFERROR(BDP($C128,EPS_FIELD,YR_OVERRIDE,TEXT(YEAR_Y-3,"0")),"")))</f>
        <v/>
      </c>
      <c r="AA128" s="140">
        <f>IF($C128="","",IF(PULL_FUND="N","",IFERROR(BDP($C128,EPS_FIELD,YR_OVERRIDE,TEXT(YEAR_Y-2,"0")),"")))</f>
        <v/>
      </c>
      <c r="AB128" s="140">
        <f>IF($C128="","",IF(PULL_FUND="N","",IFERROR(BDP($C128,EPS_FIELD,YR_OVERRIDE,TEXT(YEAR_Y-1,"0")),"")))</f>
        <v/>
      </c>
      <c r="AC128" s="126">
        <f>IF($C128="","",IFERROR(AVERAGE(X128:AB128),""))</f>
        <v/>
      </c>
      <c r="AD128" s="140">
        <f>IF($C128="","",IF(PULL_FUND="N","",IFERROR(BDP($C128,BESTEPS_FIELD,FWD_OVERRIDE,TEXT(MOD(YEAR_Y,100),"00")&amp;"Y"),"")))</f>
        <v/>
      </c>
      <c r="AE128" s="141">
        <f>IF($C128="","",IF(PULL_FUND="N","",IFERROR(BDP($C128,PAYOUT_FIELD,YR_OVERRIDE,TEXT(YEAR_Y-5,"0"))/100,"")))</f>
        <v/>
      </c>
      <c r="AF128" s="142">
        <f>IF($C128="","",IF(PULL_FUND="N","",IFERROR(BDP($C128,PAYOUT_FIELD,YR_OVERRIDE,TEXT(YEAR_Y-4,"0"))/100,"")))</f>
        <v/>
      </c>
      <c r="AG128" s="142">
        <f>IF($C128="","",IF(PULL_FUND="N","",IFERROR(BDP($C128,PAYOUT_FIELD,YR_OVERRIDE,TEXT(YEAR_Y-3,"0"))/100,"")))</f>
        <v/>
      </c>
      <c r="AH128" s="142">
        <f>IF($C128="","",IF(PULL_FUND="N","",IFERROR(BDP($C128,PAYOUT_FIELD,YR_OVERRIDE,TEXT(YEAR_Y-2,"0"))/100,"")))</f>
        <v/>
      </c>
      <c r="AI128" s="142">
        <f>IF($C128="","",IF(PULL_FUND="N","",IFERROR(BDP($C128,PAYOUT_FIELD,YR_OVERRIDE,TEXT(YEAR_Y-1,"0"))/100,"")))</f>
        <v/>
      </c>
      <c r="AJ128" s="143">
        <f>IF($C128="","",IFERROR(AVERAGE(AE128:AI128),""))</f>
        <v/>
      </c>
      <c r="AK128" s="144">
        <f>IF($C128="","",IF(ISNUMBER($AD128)*ISNUMBER($N128)*($AD128&lt;&gt;0)=0,"",$N128/$AD128))</f>
        <v/>
      </c>
      <c r="AL128" s="143">
        <f>IF($C128="","",IF(ISNUMBER($AD128)*($AD128&lt;&gt;0)=0,"",$M128/$AD128))</f>
        <v/>
      </c>
      <c r="AM128" s="37">
        <f>IF($C128="","",IF(ISNUMBER($AE128)*ISNUMBER($AI128)=0,"",IF($AI128&gt;$AE128+0.05,"rising",IF($AI128&lt;$AE128-0.05,"falling","stable"))))</f>
        <v/>
      </c>
      <c r="AN128" s="145">
        <f>IF($C128="","",IF(PULL_FUND="N","",IF(COUNTIFS('Fund History'!$G$708:$G$712,"&gt;="&amp;DATE(YEAR_Y-4,1,1),'Fund History'!$G$708:$G$712,"&lt;="&amp;DATE(YEAR_Y-4,12,31))=0,"",SUMIFS('Fund History'!$H$708:$H$712,'Fund History'!$G$708:$G$712,"&gt;="&amp;DATE(YEAR_Y-4,1,1),'Fund History'!$G$708:$G$712,"&lt;="&amp;DATE(YEAR_Y-4,12,31))/100)))</f>
        <v/>
      </c>
      <c r="AO128" s="146">
        <f>IF($C128="","",IF(PULL_FUND="N","",IF(COUNTIFS('Fund History'!$G$708:$G$712,"&gt;="&amp;DATE(YEAR_Y-3,1,1),'Fund History'!$G$708:$G$712,"&lt;="&amp;DATE(YEAR_Y-3,12,31))=0,"",SUMIFS('Fund History'!$H$708:$H$712,'Fund History'!$G$708:$G$712,"&gt;="&amp;DATE(YEAR_Y-3,1,1),'Fund History'!$G$708:$G$712,"&lt;="&amp;DATE(YEAR_Y-3,12,31))/100)))</f>
        <v/>
      </c>
      <c r="AP128" s="146">
        <f>IF($C128="","",IF(PULL_FUND="N","",IF(COUNTIFS('Fund History'!$G$708:$G$712,"&gt;="&amp;DATE(YEAR_Y-2,1,1),'Fund History'!$G$708:$G$712,"&lt;="&amp;DATE(YEAR_Y-2,12,31))=0,"",SUMIFS('Fund History'!$H$708:$H$712,'Fund History'!$G$708:$G$712,"&gt;="&amp;DATE(YEAR_Y-2,1,1),'Fund History'!$G$708:$G$712,"&lt;="&amp;DATE(YEAR_Y-2,12,31))/100)))</f>
        <v/>
      </c>
      <c r="AQ128" s="146">
        <f>IF($C128="","",IF(PULL_FUND="N","",IF(COUNTIFS('Fund History'!$G$708:$G$712,"&gt;="&amp;DATE(YEAR_Y-1,1,1),'Fund History'!$G$708:$G$712,"&lt;="&amp;DATE(YEAR_Y-1,12,31))=0,"",SUMIFS('Fund History'!$H$708:$H$712,'Fund History'!$G$708:$G$712,"&gt;="&amp;DATE(YEAR_Y-1,1,1),'Fund History'!$G$708:$G$712,"&lt;="&amp;DATE(YEAR_Y-1,12,31))/100)))</f>
        <v/>
      </c>
      <c r="AR128" s="147">
        <f>IF($C128="","",IF(N($AQ128)+N(HSTECH!$I$23)=0,"",N($AQ128)+N(HSTECH!$I$23)/100))</f>
        <v/>
      </c>
      <c r="AS128" s="139">
        <f>IF($C128="","",IF(PULL_FUND="N","",IF(COUNTIFS('Fund History'!$D$708:$D$712,"&gt;="&amp;DATE(YEAR_Y-2,1,1),'Fund History'!$D$708:$D$712,"&lt;="&amp;DATE(YEAR_Y-2,12,31))=0,"",SUMIFS('Fund History'!$E$708:$E$712,'Fund History'!$D$708:$D$712,"&gt;="&amp;DATE(YEAR_Y-2,1,1),'Fund History'!$D$708:$D$712,"&lt;="&amp;DATE(YEAR_Y-2,12,31)))))</f>
        <v/>
      </c>
      <c r="AT128" s="140">
        <f>IF($C128="","",IF(PULL_FUND="N","",IF(COUNTIFS('Fund History'!$D$708:$D$712,"&gt;="&amp;DATE(YEAR_Y-1,1,1),'Fund History'!$D$708:$D$712,"&lt;="&amp;DATE(YEAR_Y-1,12,31))=0,"",SUMIFS('Fund History'!$E$708:$E$712,'Fund History'!$D$708:$D$712,"&gt;="&amp;DATE(YEAR_Y-1,1,1),'Fund History'!$D$708:$D$712,"&lt;="&amp;DATE(YEAR_Y-1,12,31)))))</f>
        <v/>
      </c>
      <c r="AU128" s="140">
        <f>IF($C128="","",IF(PULL_FUND="N","",IFERROR(BDP($C128,NDEBITDA_FIELD),"")))</f>
        <v/>
      </c>
      <c r="AV128" s="148">
        <f>IF($C128="","",IF(PULL_FUND="N","",IFERROR(BDP($C128,EBINT_FIELD),"")))</f>
        <v/>
      </c>
      <c r="AW128" s="146">
        <f>IF($C128="","",IF(PULL_FUND="N","",IFERROR(BDP($C128,FCF_FIELD)/100,"")))</f>
        <v/>
      </c>
      <c r="AX128" s="126">
        <f>IF($C128="","",IF(N($U128)=0,"",IFERROR($AW128/$U128,"")))</f>
        <v/>
      </c>
      <c r="AY128" s="85">
        <f>IF($C128="","",TRIM(IF(ISNUMBER($AJ128)*(N($AJ128)&gt;$D$4)&gt;0,"payout high  ","")&amp;IF(ISNUMBER($AX128)*(N($AX128)&lt;$F$4)&gt;0,"FCF below dvd  ","")&amp;IF(ISNUMBER($AU128)*(N($AU128)&gt;$H$4)&gt;0,"leverage high","")))</f>
        <v/>
      </c>
      <c r="AZ128" s="86">
        <f>IF($C128="","",IF(HSTECH!$F$23="HKD","",HSTECH!$F$23))</f>
        <v/>
      </c>
    </row>
    <row r="129">
      <c r="B129" s="66" t="inlineStr">
        <is>
          <t>HSTECH</t>
        </is>
      </c>
      <c r="C129" s="8">
        <f>IF(HSTECH!$C$24="","",HSTECH!$C$24)</f>
        <v/>
      </c>
      <c r="D129" s="8">
        <f>IF($C129="","",HSTECH!$D$24)</f>
        <v/>
      </c>
      <c r="E129" s="8">
        <f>IF($C129="","",HSTECH!$E$24)</f>
        <v/>
      </c>
      <c r="F129" s="131">
        <f>IF($C129="","",SUMPRODUCT(('Dvd Calendar'!$E$1303:$AR$1303&gt;=DATE(YEAR_Y-5,1,1))*('Dvd Calendar'!$E$1303:$AR$1303&lt;=DATE(YEAR_Y-5,12,31))*'Dvd Calendar'!$E$1306:$AR$1306*(('Dvd Calendar'!$E$1308:$AR$1308=TYPE1)*(TYPE1&lt;&gt;"")+('Dvd Calendar'!$E$1308:$AR$1308=TYPE2)*(TYPE2&lt;&gt;"")+('Dvd Calendar'!$E$1308:$AR$1308=TYPE3)*(TYPE3&lt;&gt;"")+('Dvd Calendar'!$E$1308:$AR$1308=TYPE4)*(TYPE4&lt;&gt;"")+('Dvd Calendar'!$E$1308:$AR$1308=SPECIAL_LBL)*(INC_SPECIALS="Y"))))</f>
        <v/>
      </c>
      <c r="G129" s="132">
        <f>IF($C129="","",SUMPRODUCT(('Dvd Calendar'!$E$1303:$AR$1303&gt;=DATE(YEAR_Y-4,1,1))*('Dvd Calendar'!$E$1303:$AR$1303&lt;=DATE(YEAR_Y-4,12,31))*'Dvd Calendar'!$E$1306:$AR$1306*(('Dvd Calendar'!$E$1308:$AR$1308=TYPE1)*(TYPE1&lt;&gt;"")+('Dvd Calendar'!$E$1308:$AR$1308=TYPE2)*(TYPE2&lt;&gt;"")+('Dvd Calendar'!$E$1308:$AR$1308=TYPE3)*(TYPE3&lt;&gt;"")+('Dvd Calendar'!$E$1308:$AR$1308=TYPE4)*(TYPE4&lt;&gt;"")+('Dvd Calendar'!$E$1308:$AR$1308=SPECIAL_LBL)*(INC_SPECIALS="Y"))))</f>
        <v/>
      </c>
      <c r="H129" s="132">
        <f>IF($C129="","",SUMPRODUCT(('Dvd Calendar'!$E$1303:$AR$1303&gt;=DATE(YEAR_Y-3,1,1))*('Dvd Calendar'!$E$1303:$AR$1303&lt;=DATE(YEAR_Y-3,12,31))*'Dvd Calendar'!$E$1306:$AR$1306*(('Dvd Calendar'!$E$1308:$AR$1308=TYPE1)*(TYPE1&lt;&gt;"")+('Dvd Calendar'!$E$1308:$AR$1308=TYPE2)*(TYPE2&lt;&gt;"")+('Dvd Calendar'!$E$1308:$AR$1308=TYPE3)*(TYPE3&lt;&gt;"")+('Dvd Calendar'!$E$1308:$AR$1308=TYPE4)*(TYPE4&lt;&gt;"")+('Dvd Calendar'!$E$1308:$AR$1308=SPECIAL_LBL)*(INC_SPECIALS="Y"))))</f>
        <v/>
      </c>
      <c r="I129" s="132">
        <f>IF($C129="","",SUMPRODUCT(('Dvd Calendar'!$E$1303:$AR$1303&gt;=DATE(YEAR_Y-2,1,1))*('Dvd Calendar'!$E$1303:$AR$1303&lt;=DATE(YEAR_Y-2,12,31))*'Dvd Calendar'!$E$1306:$AR$1306*(('Dvd Calendar'!$E$1308:$AR$1308=TYPE1)*(TYPE1&lt;&gt;"")+('Dvd Calendar'!$E$1308:$AR$1308=TYPE2)*(TYPE2&lt;&gt;"")+('Dvd Calendar'!$E$1308:$AR$1308=TYPE3)*(TYPE3&lt;&gt;"")+('Dvd Calendar'!$E$1308:$AR$1308=TYPE4)*(TYPE4&lt;&gt;"")+('Dvd Calendar'!$E$1308:$AR$1308=SPECIAL_LBL)*(INC_SPECIALS="Y"))))</f>
        <v/>
      </c>
      <c r="J129" s="132">
        <f>IF($C129="","",SUMPRODUCT(('Dvd Calendar'!$E$1303:$AR$1303&gt;=DATE(YEAR_Y-1,1,1))*('Dvd Calendar'!$E$1303:$AR$1303&lt;=DATE(YEAR_Y-1,12,31))*'Dvd Calendar'!$E$1306:$AR$1306*(('Dvd Calendar'!$E$1308:$AR$1308=TYPE1)*(TYPE1&lt;&gt;"")+('Dvd Calendar'!$E$1308:$AR$1308=TYPE2)*(TYPE2&lt;&gt;"")+('Dvd Calendar'!$E$1308:$AR$1308=TYPE3)*(TYPE3&lt;&gt;"")+('Dvd Calendar'!$E$1308:$AR$1308=TYPE4)*(TYPE4&lt;&gt;"")+('Dvd Calendar'!$E$1308:$AR$1308=SPECIAL_LBL)*(INC_SPECIALS="Y"))))</f>
        <v/>
      </c>
      <c r="K129" s="133">
        <f>IF($C129="","",HSTECH!$J$24)</f>
        <v/>
      </c>
      <c r="L129" s="133">
        <f>IF($C129="","",HSTECH!$K$24)</f>
        <v/>
      </c>
      <c r="M129" s="124">
        <f>IF($C129="","",HSTECH!$J$24+HSTECH!$L$24)</f>
        <v/>
      </c>
      <c r="N129" s="134">
        <f>IF($C129="","",IF(PULL_FUND="N","",IFERROR(BDP($C129,BESTDPS_FIELD,FWD_OVERRIDE,TEXT(MOD(YEAR_Y,100),"00")&amp;"Y"),"")))</f>
        <v/>
      </c>
      <c r="O129" s="133">
        <f>IF($C129="","",AVERAGE(F129:J129))</f>
        <v/>
      </c>
      <c r="P129" s="135">
        <f>IF($C129="","",IF(PULL_FUND="N","",IF(COUNTIFS('Fund History'!$J$714:$J$718,"&gt;="&amp;DATE(YEAR_Y-5,1,1),'Fund History'!$J$714:$J$718,"&lt;="&amp;DATE(YEAR_Y-5,12,31))=0,"",IFERROR($F129*HSTECH!$G$24/SUMIFS('Fund History'!$K$714:$K$718,'Fund History'!$J$714:$J$718,"&gt;="&amp;DATE(YEAR_Y-5,1,1),'Fund History'!$J$714:$J$718,"&lt;="&amp;DATE(YEAR_Y-5,12,31)),""))))</f>
        <v/>
      </c>
      <c r="Q129" s="136">
        <f>IF($C129="","",IF(PULL_FUND="N","",IF(COUNTIFS('Fund History'!$J$714:$J$718,"&gt;="&amp;DATE(YEAR_Y-4,1,1),'Fund History'!$J$714:$J$718,"&lt;="&amp;DATE(YEAR_Y-4,12,31))=0,"",IFERROR($G129*HSTECH!$G$24/SUMIFS('Fund History'!$K$714:$K$718,'Fund History'!$J$714:$J$718,"&gt;="&amp;DATE(YEAR_Y-4,1,1),'Fund History'!$J$714:$J$718,"&lt;="&amp;DATE(YEAR_Y-4,12,31)),""))))</f>
        <v/>
      </c>
      <c r="R129" s="136">
        <f>IF($C129="","",IF(PULL_FUND="N","",IF(COUNTIFS('Fund History'!$J$714:$J$718,"&gt;="&amp;DATE(YEAR_Y-3,1,1),'Fund History'!$J$714:$J$718,"&lt;="&amp;DATE(YEAR_Y-3,12,31))=0,"",IFERROR($H129*HSTECH!$G$24/SUMIFS('Fund History'!$K$714:$K$718,'Fund History'!$J$714:$J$718,"&gt;="&amp;DATE(YEAR_Y-3,1,1),'Fund History'!$J$714:$J$718,"&lt;="&amp;DATE(YEAR_Y-3,12,31)),""))))</f>
        <v/>
      </c>
      <c r="S129" s="136">
        <f>IF($C129="","",IF(PULL_FUND="N","",IF(COUNTIFS('Fund History'!$J$714:$J$718,"&gt;="&amp;DATE(YEAR_Y-2,1,1),'Fund History'!$J$714:$J$718,"&lt;="&amp;DATE(YEAR_Y-2,12,31))=0,"",IFERROR($I129*HSTECH!$G$24/SUMIFS('Fund History'!$K$714:$K$718,'Fund History'!$J$714:$J$718,"&gt;="&amp;DATE(YEAR_Y-2,1,1),'Fund History'!$J$714:$J$718,"&lt;="&amp;DATE(YEAR_Y-2,12,31)),""))))</f>
        <v/>
      </c>
      <c r="T129" s="136">
        <f>IF($C129="","",IF(PULL_FUND="N","",IF(COUNTIFS('Fund History'!$J$714:$J$718,"&gt;="&amp;DATE(YEAR_Y-1,1,1),'Fund History'!$J$714:$J$718,"&lt;="&amp;DATE(YEAR_Y-1,12,31))=0,"",IFERROR($J129*HSTECH!$G$24/SUMIFS('Fund History'!$K$714:$K$718,'Fund History'!$J$714:$J$718,"&gt;="&amp;DATE(YEAR_Y-1,1,1),'Fund History'!$J$714:$J$718,"&lt;="&amp;DATE(YEAR_Y-1,12,31)),""))))</f>
        <v/>
      </c>
      <c r="U129" s="137">
        <f>IF($C129="","",IF(ISNUMBER(HSTECH!$I$24),HSTECH!$I$24/100,""))</f>
        <v/>
      </c>
      <c r="V129" s="138">
        <f>IF($C129="","",IF(ISNUMBER(HSTECH!$X$24),IFERROR($M129*HSTECH!$G$24/HSTECH!$X$24,""),""))</f>
        <v/>
      </c>
      <c r="W129" s="137">
        <f>IF($C129="","",IF(ISNUMBER($N129),IFERROR($N129*HSTECH!$G$24/HSTECH!$X$24,""),""))</f>
        <v/>
      </c>
      <c r="X129" s="139">
        <f>IF($C129="","",IF(PULL_FUND="N","",IFERROR(BDP($C129,EPS_FIELD,YR_OVERRIDE,TEXT(YEAR_Y-5,"0")),"")))</f>
        <v/>
      </c>
      <c r="Y129" s="140">
        <f>IF($C129="","",IF(PULL_FUND="N","",IFERROR(BDP($C129,EPS_FIELD,YR_OVERRIDE,TEXT(YEAR_Y-4,"0")),"")))</f>
        <v/>
      </c>
      <c r="Z129" s="140">
        <f>IF($C129="","",IF(PULL_FUND="N","",IFERROR(BDP($C129,EPS_FIELD,YR_OVERRIDE,TEXT(YEAR_Y-3,"0")),"")))</f>
        <v/>
      </c>
      <c r="AA129" s="140">
        <f>IF($C129="","",IF(PULL_FUND="N","",IFERROR(BDP($C129,EPS_FIELD,YR_OVERRIDE,TEXT(YEAR_Y-2,"0")),"")))</f>
        <v/>
      </c>
      <c r="AB129" s="140">
        <f>IF($C129="","",IF(PULL_FUND="N","",IFERROR(BDP($C129,EPS_FIELD,YR_OVERRIDE,TEXT(YEAR_Y-1,"0")),"")))</f>
        <v/>
      </c>
      <c r="AC129" s="126">
        <f>IF($C129="","",IFERROR(AVERAGE(X129:AB129),""))</f>
        <v/>
      </c>
      <c r="AD129" s="140">
        <f>IF($C129="","",IF(PULL_FUND="N","",IFERROR(BDP($C129,BESTEPS_FIELD,FWD_OVERRIDE,TEXT(MOD(YEAR_Y,100),"00")&amp;"Y"),"")))</f>
        <v/>
      </c>
      <c r="AE129" s="141">
        <f>IF($C129="","",IF(PULL_FUND="N","",IFERROR(BDP($C129,PAYOUT_FIELD,YR_OVERRIDE,TEXT(YEAR_Y-5,"0"))/100,"")))</f>
        <v/>
      </c>
      <c r="AF129" s="142">
        <f>IF($C129="","",IF(PULL_FUND="N","",IFERROR(BDP($C129,PAYOUT_FIELD,YR_OVERRIDE,TEXT(YEAR_Y-4,"0"))/100,"")))</f>
        <v/>
      </c>
      <c r="AG129" s="142">
        <f>IF($C129="","",IF(PULL_FUND="N","",IFERROR(BDP($C129,PAYOUT_FIELD,YR_OVERRIDE,TEXT(YEAR_Y-3,"0"))/100,"")))</f>
        <v/>
      </c>
      <c r="AH129" s="142">
        <f>IF($C129="","",IF(PULL_FUND="N","",IFERROR(BDP($C129,PAYOUT_FIELD,YR_OVERRIDE,TEXT(YEAR_Y-2,"0"))/100,"")))</f>
        <v/>
      </c>
      <c r="AI129" s="142">
        <f>IF($C129="","",IF(PULL_FUND="N","",IFERROR(BDP($C129,PAYOUT_FIELD,YR_OVERRIDE,TEXT(YEAR_Y-1,"0"))/100,"")))</f>
        <v/>
      </c>
      <c r="AJ129" s="143">
        <f>IF($C129="","",IFERROR(AVERAGE(AE129:AI129),""))</f>
        <v/>
      </c>
      <c r="AK129" s="144">
        <f>IF($C129="","",IF(ISNUMBER($AD129)*ISNUMBER($N129)*($AD129&lt;&gt;0)=0,"",$N129/$AD129))</f>
        <v/>
      </c>
      <c r="AL129" s="143">
        <f>IF($C129="","",IF(ISNUMBER($AD129)*($AD129&lt;&gt;0)=0,"",$M129/$AD129))</f>
        <v/>
      </c>
      <c r="AM129" s="37">
        <f>IF($C129="","",IF(ISNUMBER($AE129)*ISNUMBER($AI129)=0,"",IF($AI129&gt;$AE129+0.05,"rising",IF($AI129&lt;$AE129-0.05,"falling","stable"))))</f>
        <v/>
      </c>
      <c r="AN129" s="145">
        <f>IF($C129="","",IF(PULL_FUND="N","",IF(COUNTIFS('Fund History'!$G$714:$G$718,"&gt;="&amp;DATE(YEAR_Y-4,1,1),'Fund History'!$G$714:$G$718,"&lt;="&amp;DATE(YEAR_Y-4,12,31))=0,"",SUMIFS('Fund History'!$H$714:$H$718,'Fund History'!$G$714:$G$718,"&gt;="&amp;DATE(YEAR_Y-4,1,1),'Fund History'!$G$714:$G$718,"&lt;="&amp;DATE(YEAR_Y-4,12,31))/100)))</f>
        <v/>
      </c>
      <c r="AO129" s="146">
        <f>IF($C129="","",IF(PULL_FUND="N","",IF(COUNTIFS('Fund History'!$G$714:$G$718,"&gt;="&amp;DATE(YEAR_Y-3,1,1),'Fund History'!$G$714:$G$718,"&lt;="&amp;DATE(YEAR_Y-3,12,31))=0,"",SUMIFS('Fund History'!$H$714:$H$718,'Fund History'!$G$714:$G$718,"&gt;="&amp;DATE(YEAR_Y-3,1,1),'Fund History'!$G$714:$G$718,"&lt;="&amp;DATE(YEAR_Y-3,12,31))/100)))</f>
        <v/>
      </c>
      <c r="AP129" s="146">
        <f>IF($C129="","",IF(PULL_FUND="N","",IF(COUNTIFS('Fund History'!$G$714:$G$718,"&gt;="&amp;DATE(YEAR_Y-2,1,1),'Fund History'!$G$714:$G$718,"&lt;="&amp;DATE(YEAR_Y-2,12,31))=0,"",SUMIFS('Fund History'!$H$714:$H$718,'Fund History'!$G$714:$G$718,"&gt;="&amp;DATE(YEAR_Y-2,1,1),'Fund History'!$G$714:$G$718,"&lt;="&amp;DATE(YEAR_Y-2,12,31))/100)))</f>
        <v/>
      </c>
      <c r="AQ129" s="146">
        <f>IF($C129="","",IF(PULL_FUND="N","",IF(COUNTIFS('Fund History'!$G$714:$G$718,"&gt;="&amp;DATE(YEAR_Y-1,1,1),'Fund History'!$G$714:$G$718,"&lt;="&amp;DATE(YEAR_Y-1,12,31))=0,"",SUMIFS('Fund History'!$H$714:$H$718,'Fund History'!$G$714:$G$718,"&gt;="&amp;DATE(YEAR_Y-1,1,1),'Fund History'!$G$714:$G$718,"&lt;="&amp;DATE(YEAR_Y-1,12,31))/100)))</f>
        <v/>
      </c>
      <c r="AR129" s="147">
        <f>IF($C129="","",IF(N($AQ129)+N(HSTECH!$I$24)=0,"",N($AQ129)+N(HSTECH!$I$24)/100))</f>
        <v/>
      </c>
      <c r="AS129" s="139">
        <f>IF($C129="","",IF(PULL_FUND="N","",IF(COUNTIFS('Fund History'!$D$714:$D$718,"&gt;="&amp;DATE(YEAR_Y-2,1,1),'Fund History'!$D$714:$D$718,"&lt;="&amp;DATE(YEAR_Y-2,12,31))=0,"",SUMIFS('Fund History'!$E$714:$E$718,'Fund History'!$D$714:$D$718,"&gt;="&amp;DATE(YEAR_Y-2,1,1),'Fund History'!$D$714:$D$718,"&lt;="&amp;DATE(YEAR_Y-2,12,31)))))</f>
        <v/>
      </c>
      <c r="AT129" s="140">
        <f>IF($C129="","",IF(PULL_FUND="N","",IF(COUNTIFS('Fund History'!$D$714:$D$718,"&gt;="&amp;DATE(YEAR_Y-1,1,1),'Fund History'!$D$714:$D$718,"&lt;="&amp;DATE(YEAR_Y-1,12,31))=0,"",SUMIFS('Fund History'!$E$714:$E$718,'Fund History'!$D$714:$D$718,"&gt;="&amp;DATE(YEAR_Y-1,1,1),'Fund History'!$D$714:$D$718,"&lt;="&amp;DATE(YEAR_Y-1,12,31)))))</f>
        <v/>
      </c>
      <c r="AU129" s="140">
        <f>IF($C129="","",IF(PULL_FUND="N","",IFERROR(BDP($C129,NDEBITDA_FIELD),"")))</f>
        <v/>
      </c>
      <c r="AV129" s="148">
        <f>IF($C129="","",IF(PULL_FUND="N","",IFERROR(BDP($C129,EBINT_FIELD),"")))</f>
        <v/>
      </c>
      <c r="AW129" s="146">
        <f>IF($C129="","",IF(PULL_FUND="N","",IFERROR(BDP($C129,FCF_FIELD)/100,"")))</f>
        <v/>
      </c>
      <c r="AX129" s="126">
        <f>IF($C129="","",IF(N($U129)=0,"",IFERROR($AW129/$U129,"")))</f>
        <v/>
      </c>
      <c r="AY129" s="85">
        <f>IF($C129="","",TRIM(IF(ISNUMBER($AJ129)*(N($AJ129)&gt;$D$4)&gt;0,"payout high  ","")&amp;IF(ISNUMBER($AX129)*(N($AX129)&lt;$F$4)&gt;0,"FCF below dvd  ","")&amp;IF(ISNUMBER($AU129)*(N($AU129)&gt;$H$4)&gt;0,"leverage high","")))</f>
        <v/>
      </c>
      <c r="AZ129" s="86">
        <f>IF($C129="","",IF(HSTECH!$F$24="HKD","",HSTECH!$F$24))</f>
        <v/>
      </c>
    </row>
    <row r="130">
      <c r="B130" s="66" t="inlineStr">
        <is>
          <t>HSTECH</t>
        </is>
      </c>
      <c r="C130" s="8">
        <f>IF(HSTECH!$C$25="","",HSTECH!$C$25)</f>
        <v/>
      </c>
      <c r="D130" s="8">
        <f>IF($C130="","",HSTECH!$D$25)</f>
        <v/>
      </c>
      <c r="E130" s="8">
        <f>IF($C130="","",HSTECH!$E$25)</f>
        <v/>
      </c>
      <c r="F130" s="131">
        <f>IF($C130="","",SUMPRODUCT(('Dvd Calendar'!$E$1314:$AR$1314&gt;=DATE(YEAR_Y-5,1,1))*('Dvd Calendar'!$E$1314:$AR$1314&lt;=DATE(YEAR_Y-5,12,31))*'Dvd Calendar'!$E$1317:$AR$1317*(('Dvd Calendar'!$E$1319:$AR$1319=TYPE1)*(TYPE1&lt;&gt;"")+('Dvd Calendar'!$E$1319:$AR$1319=TYPE2)*(TYPE2&lt;&gt;"")+('Dvd Calendar'!$E$1319:$AR$1319=TYPE3)*(TYPE3&lt;&gt;"")+('Dvd Calendar'!$E$1319:$AR$1319=TYPE4)*(TYPE4&lt;&gt;"")+('Dvd Calendar'!$E$1319:$AR$1319=SPECIAL_LBL)*(INC_SPECIALS="Y"))))</f>
        <v/>
      </c>
      <c r="G130" s="132">
        <f>IF($C130="","",SUMPRODUCT(('Dvd Calendar'!$E$1314:$AR$1314&gt;=DATE(YEAR_Y-4,1,1))*('Dvd Calendar'!$E$1314:$AR$1314&lt;=DATE(YEAR_Y-4,12,31))*'Dvd Calendar'!$E$1317:$AR$1317*(('Dvd Calendar'!$E$1319:$AR$1319=TYPE1)*(TYPE1&lt;&gt;"")+('Dvd Calendar'!$E$1319:$AR$1319=TYPE2)*(TYPE2&lt;&gt;"")+('Dvd Calendar'!$E$1319:$AR$1319=TYPE3)*(TYPE3&lt;&gt;"")+('Dvd Calendar'!$E$1319:$AR$1319=TYPE4)*(TYPE4&lt;&gt;"")+('Dvd Calendar'!$E$1319:$AR$1319=SPECIAL_LBL)*(INC_SPECIALS="Y"))))</f>
        <v/>
      </c>
      <c r="H130" s="132">
        <f>IF($C130="","",SUMPRODUCT(('Dvd Calendar'!$E$1314:$AR$1314&gt;=DATE(YEAR_Y-3,1,1))*('Dvd Calendar'!$E$1314:$AR$1314&lt;=DATE(YEAR_Y-3,12,31))*'Dvd Calendar'!$E$1317:$AR$1317*(('Dvd Calendar'!$E$1319:$AR$1319=TYPE1)*(TYPE1&lt;&gt;"")+('Dvd Calendar'!$E$1319:$AR$1319=TYPE2)*(TYPE2&lt;&gt;"")+('Dvd Calendar'!$E$1319:$AR$1319=TYPE3)*(TYPE3&lt;&gt;"")+('Dvd Calendar'!$E$1319:$AR$1319=TYPE4)*(TYPE4&lt;&gt;"")+('Dvd Calendar'!$E$1319:$AR$1319=SPECIAL_LBL)*(INC_SPECIALS="Y"))))</f>
        <v/>
      </c>
      <c r="I130" s="132">
        <f>IF($C130="","",SUMPRODUCT(('Dvd Calendar'!$E$1314:$AR$1314&gt;=DATE(YEAR_Y-2,1,1))*('Dvd Calendar'!$E$1314:$AR$1314&lt;=DATE(YEAR_Y-2,12,31))*'Dvd Calendar'!$E$1317:$AR$1317*(('Dvd Calendar'!$E$1319:$AR$1319=TYPE1)*(TYPE1&lt;&gt;"")+('Dvd Calendar'!$E$1319:$AR$1319=TYPE2)*(TYPE2&lt;&gt;"")+('Dvd Calendar'!$E$1319:$AR$1319=TYPE3)*(TYPE3&lt;&gt;"")+('Dvd Calendar'!$E$1319:$AR$1319=TYPE4)*(TYPE4&lt;&gt;"")+('Dvd Calendar'!$E$1319:$AR$1319=SPECIAL_LBL)*(INC_SPECIALS="Y"))))</f>
        <v/>
      </c>
      <c r="J130" s="132">
        <f>IF($C130="","",SUMPRODUCT(('Dvd Calendar'!$E$1314:$AR$1314&gt;=DATE(YEAR_Y-1,1,1))*('Dvd Calendar'!$E$1314:$AR$1314&lt;=DATE(YEAR_Y-1,12,31))*'Dvd Calendar'!$E$1317:$AR$1317*(('Dvd Calendar'!$E$1319:$AR$1319=TYPE1)*(TYPE1&lt;&gt;"")+('Dvd Calendar'!$E$1319:$AR$1319=TYPE2)*(TYPE2&lt;&gt;"")+('Dvd Calendar'!$E$1319:$AR$1319=TYPE3)*(TYPE3&lt;&gt;"")+('Dvd Calendar'!$E$1319:$AR$1319=TYPE4)*(TYPE4&lt;&gt;"")+('Dvd Calendar'!$E$1319:$AR$1319=SPECIAL_LBL)*(INC_SPECIALS="Y"))))</f>
        <v/>
      </c>
      <c r="K130" s="133">
        <f>IF($C130="","",HSTECH!$J$25)</f>
        <v/>
      </c>
      <c r="L130" s="133">
        <f>IF($C130="","",HSTECH!$K$25)</f>
        <v/>
      </c>
      <c r="M130" s="124">
        <f>IF($C130="","",HSTECH!$J$25+HSTECH!$L$25)</f>
        <v/>
      </c>
      <c r="N130" s="134">
        <f>IF($C130="","",IF(PULL_FUND="N","",IFERROR(BDP($C130,BESTDPS_FIELD,FWD_OVERRIDE,TEXT(MOD(YEAR_Y,100),"00")&amp;"Y"),"")))</f>
        <v/>
      </c>
      <c r="O130" s="133">
        <f>IF($C130="","",AVERAGE(F130:J130))</f>
        <v/>
      </c>
      <c r="P130" s="135">
        <f>IF($C130="","",IF(PULL_FUND="N","",IF(COUNTIFS('Fund History'!$J$720:$J$724,"&gt;="&amp;DATE(YEAR_Y-5,1,1),'Fund History'!$J$720:$J$724,"&lt;="&amp;DATE(YEAR_Y-5,12,31))=0,"",IFERROR($F130*HSTECH!$G$25/SUMIFS('Fund History'!$K$720:$K$724,'Fund History'!$J$720:$J$724,"&gt;="&amp;DATE(YEAR_Y-5,1,1),'Fund History'!$J$720:$J$724,"&lt;="&amp;DATE(YEAR_Y-5,12,31)),""))))</f>
        <v/>
      </c>
      <c r="Q130" s="136">
        <f>IF($C130="","",IF(PULL_FUND="N","",IF(COUNTIFS('Fund History'!$J$720:$J$724,"&gt;="&amp;DATE(YEAR_Y-4,1,1),'Fund History'!$J$720:$J$724,"&lt;="&amp;DATE(YEAR_Y-4,12,31))=0,"",IFERROR($G130*HSTECH!$G$25/SUMIFS('Fund History'!$K$720:$K$724,'Fund History'!$J$720:$J$724,"&gt;="&amp;DATE(YEAR_Y-4,1,1),'Fund History'!$J$720:$J$724,"&lt;="&amp;DATE(YEAR_Y-4,12,31)),""))))</f>
        <v/>
      </c>
      <c r="R130" s="136">
        <f>IF($C130="","",IF(PULL_FUND="N","",IF(COUNTIFS('Fund History'!$J$720:$J$724,"&gt;="&amp;DATE(YEAR_Y-3,1,1),'Fund History'!$J$720:$J$724,"&lt;="&amp;DATE(YEAR_Y-3,12,31))=0,"",IFERROR($H130*HSTECH!$G$25/SUMIFS('Fund History'!$K$720:$K$724,'Fund History'!$J$720:$J$724,"&gt;="&amp;DATE(YEAR_Y-3,1,1),'Fund History'!$J$720:$J$724,"&lt;="&amp;DATE(YEAR_Y-3,12,31)),""))))</f>
        <v/>
      </c>
      <c r="S130" s="136">
        <f>IF($C130="","",IF(PULL_FUND="N","",IF(COUNTIFS('Fund History'!$J$720:$J$724,"&gt;="&amp;DATE(YEAR_Y-2,1,1),'Fund History'!$J$720:$J$724,"&lt;="&amp;DATE(YEAR_Y-2,12,31))=0,"",IFERROR($I130*HSTECH!$G$25/SUMIFS('Fund History'!$K$720:$K$724,'Fund History'!$J$720:$J$724,"&gt;="&amp;DATE(YEAR_Y-2,1,1),'Fund History'!$J$720:$J$724,"&lt;="&amp;DATE(YEAR_Y-2,12,31)),""))))</f>
        <v/>
      </c>
      <c r="T130" s="136">
        <f>IF($C130="","",IF(PULL_FUND="N","",IF(COUNTIFS('Fund History'!$J$720:$J$724,"&gt;="&amp;DATE(YEAR_Y-1,1,1),'Fund History'!$J$720:$J$724,"&lt;="&amp;DATE(YEAR_Y-1,12,31))=0,"",IFERROR($J130*HSTECH!$G$25/SUMIFS('Fund History'!$K$720:$K$724,'Fund History'!$J$720:$J$724,"&gt;="&amp;DATE(YEAR_Y-1,1,1),'Fund History'!$J$720:$J$724,"&lt;="&amp;DATE(YEAR_Y-1,12,31)),""))))</f>
        <v/>
      </c>
      <c r="U130" s="137">
        <f>IF($C130="","",IF(ISNUMBER(HSTECH!$I$25),HSTECH!$I$25/100,""))</f>
        <v/>
      </c>
      <c r="V130" s="138">
        <f>IF($C130="","",IF(ISNUMBER(HSTECH!$X$25),IFERROR($M130*HSTECH!$G$25/HSTECH!$X$25,""),""))</f>
        <v/>
      </c>
      <c r="W130" s="137">
        <f>IF($C130="","",IF(ISNUMBER($N130),IFERROR($N130*HSTECH!$G$25/HSTECH!$X$25,""),""))</f>
        <v/>
      </c>
      <c r="X130" s="139">
        <f>IF($C130="","",IF(PULL_FUND="N","",IFERROR(BDP($C130,EPS_FIELD,YR_OVERRIDE,TEXT(YEAR_Y-5,"0")),"")))</f>
        <v/>
      </c>
      <c r="Y130" s="140">
        <f>IF($C130="","",IF(PULL_FUND="N","",IFERROR(BDP($C130,EPS_FIELD,YR_OVERRIDE,TEXT(YEAR_Y-4,"0")),"")))</f>
        <v/>
      </c>
      <c r="Z130" s="140">
        <f>IF($C130="","",IF(PULL_FUND="N","",IFERROR(BDP($C130,EPS_FIELD,YR_OVERRIDE,TEXT(YEAR_Y-3,"0")),"")))</f>
        <v/>
      </c>
      <c r="AA130" s="140">
        <f>IF($C130="","",IF(PULL_FUND="N","",IFERROR(BDP($C130,EPS_FIELD,YR_OVERRIDE,TEXT(YEAR_Y-2,"0")),"")))</f>
        <v/>
      </c>
      <c r="AB130" s="140">
        <f>IF($C130="","",IF(PULL_FUND="N","",IFERROR(BDP($C130,EPS_FIELD,YR_OVERRIDE,TEXT(YEAR_Y-1,"0")),"")))</f>
        <v/>
      </c>
      <c r="AC130" s="126">
        <f>IF($C130="","",IFERROR(AVERAGE(X130:AB130),""))</f>
        <v/>
      </c>
      <c r="AD130" s="140">
        <f>IF($C130="","",IF(PULL_FUND="N","",IFERROR(BDP($C130,BESTEPS_FIELD,FWD_OVERRIDE,TEXT(MOD(YEAR_Y,100),"00")&amp;"Y"),"")))</f>
        <v/>
      </c>
      <c r="AE130" s="141">
        <f>IF($C130="","",IF(PULL_FUND="N","",IFERROR(BDP($C130,PAYOUT_FIELD,YR_OVERRIDE,TEXT(YEAR_Y-5,"0"))/100,"")))</f>
        <v/>
      </c>
      <c r="AF130" s="142">
        <f>IF($C130="","",IF(PULL_FUND="N","",IFERROR(BDP($C130,PAYOUT_FIELD,YR_OVERRIDE,TEXT(YEAR_Y-4,"0"))/100,"")))</f>
        <v/>
      </c>
      <c r="AG130" s="142">
        <f>IF($C130="","",IF(PULL_FUND="N","",IFERROR(BDP($C130,PAYOUT_FIELD,YR_OVERRIDE,TEXT(YEAR_Y-3,"0"))/100,"")))</f>
        <v/>
      </c>
      <c r="AH130" s="142">
        <f>IF($C130="","",IF(PULL_FUND="N","",IFERROR(BDP($C130,PAYOUT_FIELD,YR_OVERRIDE,TEXT(YEAR_Y-2,"0"))/100,"")))</f>
        <v/>
      </c>
      <c r="AI130" s="142">
        <f>IF($C130="","",IF(PULL_FUND="N","",IFERROR(BDP($C130,PAYOUT_FIELD,YR_OVERRIDE,TEXT(YEAR_Y-1,"0"))/100,"")))</f>
        <v/>
      </c>
      <c r="AJ130" s="143">
        <f>IF($C130="","",IFERROR(AVERAGE(AE130:AI130),""))</f>
        <v/>
      </c>
      <c r="AK130" s="144">
        <f>IF($C130="","",IF(ISNUMBER($AD130)*ISNUMBER($N130)*($AD130&lt;&gt;0)=0,"",$N130/$AD130))</f>
        <v/>
      </c>
      <c r="AL130" s="143">
        <f>IF($C130="","",IF(ISNUMBER($AD130)*($AD130&lt;&gt;0)=0,"",$M130/$AD130))</f>
        <v/>
      </c>
      <c r="AM130" s="37">
        <f>IF($C130="","",IF(ISNUMBER($AE130)*ISNUMBER($AI130)=0,"",IF($AI130&gt;$AE130+0.05,"rising",IF($AI130&lt;$AE130-0.05,"falling","stable"))))</f>
        <v/>
      </c>
      <c r="AN130" s="145">
        <f>IF($C130="","",IF(PULL_FUND="N","",IF(COUNTIFS('Fund History'!$G$720:$G$724,"&gt;="&amp;DATE(YEAR_Y-4,1,1),'Fund History'!$G$720:$G$724,"&lt;="&amp;DATE(YEAR_Y-4,12,31))=0,"",SUMIFS('Fund History'!$H$720:$H$724,'Fund History'!$G$720:$G$724,"&gt;="&amp;DATE(YEAR_Y-4,1,1),'Fund History'!$G$720:$G$724,"&lt;="&amp;DATE(YEAR_Y-4,12,31))/100)))</f>
        <v/>
      </c>
      <c r="AO130" s="146">
        <f>IF($C130="","",IF(PULL_FUND="N","",IF(COUNTIFS('Fund History'!$G$720:$G$724,"&gt;="&amp;DATE(YEAR_Y-3,1,1),'Fund History'!$G$720:$G$724,"&lt;="&amp;DATE(YEAR_Y-3,12,31))=0,"",SUMIFS('Fund History'!$H$720:$H$724,'Fund History'!$G$720:$G$724,"&gt;="&amp;DATE(YEAR_Y-3,1,1),'Fund History'!$G$720:$G$724,"&lt;="&amp;DATE(YEAR_Y-3,12,31))/100)))</f>
        <v/>
      </c>
      <c r="AP130" s="146">
        <f>IF($C130="","",IF(PULL_FUND="N","",IF(COUNTIFS('Fund History'!$G$720:$G$724,"&gt;="&amp;DATE(YEAR_Y-2,1,1),'Fund History'!$G$720:$G$724,"&lt;="&amp;DATE(YEAR_Y-2,12,31))=0,"",SUMIFS('Fund History'!$H$720:$H$724,'Fund History'!$G$720:$G$724,"&gt;="&amp;DATE(YEAR_Y-2,1,1),'Fund History'!$G$720:$G$724,"&lt;="&amp;DATE(YEAR_Y-2,12,31))/100)))</f>
        <v/>
      </c>
      <c r="AQ130" s="146">
        <f>IF($C130="","",IF(PULL_FUND="N","",IF(COUNTIFS('Fund History'!$G$720:$G$724,"&gt;="&amp;DATE(YEAR_Y-1,1,1),'Fund History'!$G$720:$G$724,"&lt;="&amp;DATE(YEAR_Y-1,12,31))=0,"",SUMIFS('Fund History'!$H$720:$H$724,'Fund History'!$G$720:$G$724,"&gt;="&amp;DATE(YEAR_Y-1,1,1),'Fund History'!$G$720:$G$724,"&lt;="&amp;DATE(YEAR_Y-1,12,31))/100)))</f>
        <v/>
      </c>
      <c r="AR130" s="147">
        <f>IF($C130="","",IF(N($AQ130)+N(HSTECH!$I$25)=0,"",N($AQ130)+N(HSTECH!$I$25)/100))</f>
        <v/>
      </c>
      <c r="AS130" s="139">
        <f>IF($C130="","",IF(PULL_FUND="N","",IF(COUNTIFS('Fund History'!$D$720:$D$724,"&gt;="&amp;DATE(YEAR_Y-2,1,1),'Fund History'!$D$720:$D$724,"&lt;="&amp;DATE(YEAR_Y-2,12,31))=0,"",SUMIFS('Fund History'!$E$720:$E$724,'Fund History'!$D$720:$D$724,"&gt;="&amp;DATE(YEAR_Y-2,1,1),'Fund History'!$D$720:$D$724,"&lt;="&amp;DATE(YEAR_Y-2,12,31)))))</f>
        <v/>
      </c>
      <c r="AT130" s="140">
        <f>IF($C130="","",IF(PULL_FUND="N","",IF(COUNTIFS('Fund History'!$D$720:$D$724,"&gt;="&amp;DATE(YEAR_Y-1,1,1),'Fund History'!$D$720:$D$724,"&lt;="&amp;DATE(YEAR_Y-1,12,31))=0,"",SUMIFS('Fund History'!$E$720:$E$724,'Fund History'!$D$720:$D$724,"&gt;="&amp;DATE(YEAR_Y-1,1,1),'Fund History'!$D$720:$D$724,"&lt;="&amp;DATE(YEAR_Y-1,12,31)))))</f>
        <v/>
      </c>
      <c r="AU130" s="140">
        <f>IF($C130="","",IF(PULL_FUND="N","",IFERROR(BDP($C130,NDEBITDA_FIELD),"")))</f>
        <v/>
      </c>
      <c r="AV130" s="148">
        <f>IF($C130="","",IF(PULL_FUND="N","",IFERROR(BDP($C130,EBINT_FIELD),"")))</f>
        <v/>
      </c>
      <c r="AW130" s="146">
        <f>IF($C130="","",IF(PULL_FUND="N","",IFERROR(BDP($C130,FCF_FIELD)/100,"")))</f>
        <v/>
      </c>
      <c r="AX130" s="126">
        <f>IF($C130="","",IF(N($U130)=0,"",IFERROR($AW130/$U130,"")))</f>
        <v/>
      </c>
      <c r="AY130" s="85">
        <f>IF($C130="","",TRIM(IF(ISNUMBER($AJ130)*(N($AJ130)&gt;$D$4)&gt;0,"payout high  ","")&amp;IF(ISNUMBER($AX130)*(N($AX130)&lt;$F$4)&gt;0,"FCF below dvd  ","")&amp;IF(ISNUMBER($AU130)*(N($AU130)&gt;$H$4)&gt;0,"leverage high","")))</f>
        <v/>
      </c>
      <c r="AZ130" s="86">
        <f>IF($C130="","",IF(HSTECH!$F$25="HKD","",HSTECH!$F$25))</f>
        <v/>
      </c>
    </row>
    <row r="131">
      <c r="B131" s="66" t="inlineStr">
        <is>
          <t>HSTECH</t>
        </is>
      </c>
      <c r="C131" s="8">
        <f>IF(HSTECH!$C$26="","",HSTECH!$C$26)</f>
        <v/>
      </c>
      <c r="D131" s="8">
        <f>IF($C131="","",HSTECH!$D$26)</f>
        <v/>
      </c>
      <c r="E131" s="8">
        <f>IF($C131="","",HSTECH!$E$26)</f>
        <v/>
      </c>
      <c r="F131" s="131">
        <f>IF($C131="","",SUMPRODUCT(('Dvd Calendar'!$E$1325:$AR$1325&gt;=DATE(YEAR_Y-5,1,1))*('Dvd Calendar'!$E$1325:$AR$1325&lt;=DATE(YEAR_Y-5,12,31))*'Dvd Calendar'!$E$1328:$AR$1328*(('Dvd Calendar'!$E$1330:$AR$1330=TYPE1)*(TYPE1&lt;&gt;"")+('Dvd Calendar'!$E$1330:$AR$1330=TYPE2)*(TYPE2&lt;&gt;"")+('Dvd Calendar'!$E$1330:$AR$1330=TYPE3)*(TYPE3&lt;&gt;"")+('Dvd Calendar'!$E$1330:$AR$1330=TYPE4)*(TYPE4&lt;&gt;"")+('Dvd Calendar'!$E$1330:$AR$1330=SPECIAL_LBL)*(INC_SPECIALS="Y"))))</f>
        <v/>
      </c>
      <c r="G131" s="132">
        <f>IF($C131="","",SUMPRODUCT(('Dvd Calendar'!$E$1325:$AR$1325&gt;=DATE(YEAR_Y-4,1,1))*('Dvd Calendar'!$E$1325:$AR$1325&lt;=DATE(YEAR_Y-4,12,31))*'Dvd Calendar'!$E$1328:$AR$1328*(('Dvd Calendar'!$E$1330:$AR$1330=TYPE1)*(TYPE1&lt;&gt;"")+('Dvd Calendar'!$E$1330:$AR$1330=TYPE2)*(TYPE2&lt;&gt;"")+('Dvd Calendar'!$E$1330:$AR$1330=TYPE3)*(TYPE3&lt;&gt;"")+('Dvd Calendar'!$E$1330:$AR$1330=TYPE4)*(TYPE4&lt;&gt;"")+('Dvd Calendar'!$E$1330:$AR$1330=SPECIAL_LBL)*(INC_SPECIALS="Y"))))</f>
        <v/>
      </c>
      <c r="H131" s="132">
        <f>IF($C131="","",SUMPRODUCT(('Dvd Calendar'!$E$1325:$AR$1325&gt;=DATE(YEAR_Y-3,1,1))*('Dvd Calendar'!$E$1325:$AR$1325&lt;=DATE(YEAR_Y-3,12,31))*'Dvd Calendar'!$E$1328:$AR$1328*(('Dvd Calendar'!$E$1330:$AR$1330=TYPE1)*(TYPE1&lt;&gt;"")+('Dvd Calendar'!$E$1330:$AR$1330=TYPE2)*(TYPE2&lt;&gt;"")+('Dvd Calendar'!$E$1330:$AR$1330=TYPE3)*(TYPE3&lt;&gt;"")+('Dvd Calendar'!$E$1330:$AR$1330=TYPE4)*(TYPE4&lt;&gt;"")+('Dvd Calendar'!$E$1330:$AR$1330=SPECIAL_LBL)*(INC_SPECIALS="Y"))))</f>
        <v/>
      </c>
      <c r="I131" s="132">
        <f>IF($C131="","",SUMPRODUCT(('Dvd Calendar'!$E$1325:$AR$1325&gt;=DATE(YEAR_Y-2,1,1))*('Dvd Calendar'!$E$1325:$AR$1325&lt;=DATE(YEAR_Y-2,12,31))*'Dvd Calendar'!$E$1328:$AR$1328*(('Dvd Calendar'!$E$1330:$AR$1330=TYPE1)*(TYPE1&lt;&gt;"")+('Dvd Calendar'!$E$1330:$AR$1330=TYPE2)*(TYPE2&lt;&gt;"")+('Dvd Calendar'!$E$1330:$AR$1330=TYPE3)*(TYPE3&lt;&gt;"")+('Dvd Calendar'!$E$1330:$AR$1330=TYPE4)*(TYPE4&lt;&gt;"")+('Dvd Calendar'!$E$1330:$AR$1330=SPECIAL_LBL)*(INC_SPECIALS="Y"))))</f>
        <v/>
      </c>
      <c r="J131" s="132">
        <f>IF($C131="","",SUMPRODUCT(('Dvd Calendar'!$E$1325:$AR$1325&gt;=DATE(YEAR_Y-1,1,1))*('Dvd Calendar'!$E$1325:$AR$1325&lt;=DATE(YEAR_Y-1,12,31))*'Dvd Calendar'!$E$1328:$AR$1328*(('Dvd Calendar'!$E$1330:$AR$1330=TYPE1)*(TYPE1&lt;&gt;"")+('Dvd Calendar'!$E$1330:$AR$1330=TYPE2)*(TYPE2&lt;&gt;"")+('Dvd Calendar'!$E$1330:$AR$1330=TYPE3)*(TYPE3&lt;&gt;"")+('Dvd Calendar'!$E$1330:$AR$1330=TYPE4)*(TYPE4&lt;&gt;"")+('Dvd Calendar'!$E$1330:$AR$1330=SPECIAL_LBL)*(INC_SPECIALS="Y"))))</f>
        <v/>
      </c>
      <c r="K131" s="133">
        <f>IF($C131="","",HSTECH!$J$26)</f>
        <v/>
      </c>
      <c r="L131" s="133">
        <f>IF($C131="","",HSTECH!$K$26)</f>
        <v/>
      </c>
      <c r="M131" s="124">
        <f>IF($C131="","",HSTECH!$J$26+HSTECH!$L$26)</f>
        <v/>
      </c>
      <c r="N131" s="134">
        <f>IF($C131="","",IF(PULL_FUND="N","",IFERROR(BDP($C131,BESTDPS_FIELD,FWD_OVERRIDE,TEXT(MOD(YEAR_Y,100),"00")&amp;"Y"),"")))</f>
        <v/>
      </c>
      <c r="O131" s="133">
        <f>IF($C131="","",AVERAGE(F131:J131))</f>
        <v/>
      </c>
      <c r="P131" s="135">
        <f>IF($C131="","",IF(PULL_FUND="N","",IF(COUNTIFS('Fund History'!$J$726:$J$730,"&gt;="&amp;DATE(YEAR_Y-5,1,1),'Fund History'!$J$726:$J$730,"&lt;="&amp;DATE(YEAR_Y-5,12,31))=0,"",IFERROR($F131*HSTECH!$G$26/SUMIFS('Fund History'!$K$726:$K$730,'Fund History'!$J$726:$J$730,"&gt;="&amp;DATE(YEAR_Y-5,1,1),'Fund History'!$J$726:$J$730,"&lt;="&amp;DATE(YEAR_Y-5,12,31)),""))))</f>
        <v/>
      </c>
      <c r="Q131" s="136">
        <f>IF($C131="","",IF(PULL_FUND="N","",IF(COUNTIFS('Fund History'!$J$726:$J$730,"&gt;="&amp;DATE(YEAR_Y-4,1,1),'Fund History'!$J$726:$J$730,"&lt;="&amp;DATE(YEAR_Y-4,12,31))=0,"",IFERROR($G131*HSTECH!$G$26/SUMIFS('Fund History'!$K$726:$K$730,'Fund History'!$J$726:$J$730,"&gt;="&amp;DATE(YEAR_Y-4,1,1),'Fund History'!$J$726:$J$730,"&lt;="&amp;DATE(YEAR_Y-4,12,31)),""))))</f>
        <v/>
      </c>
      <c r="R131" s="136">
        <f>IF($C131="","",IF(PULL_FUND="N","",IF(COUNTIFS('Fund History'!$J$726:$J$730,"&gt;="&amp;DATE(YEAR_Y-3,1,1),'Fund History'!$J$726:$J$730,"&lt;="&amp;DATE(YEAR_Y-3,12,31))=0,"",IFERROR($H131*HSTECH!$G$26/SUMIFS('Fund History'!$K$726:$K$730,'Fund History'!$J$726:$J$730,"&gt;="&amp;DATE(YEAR_Y-3,1,1),'Fund History'!$J$726:$J$730,"&lt;="&amp;DATE(YEAR_Y-3,12,31)),""))))</f>
        <v/>
      </c>
      <c r="S131" s="136">
        <f>IF($C131="","",IF(PULL_FUND="N","",IF(COUNTIFS('Fund History'!$J$726:$J$730,"&gt;="&amp;DATE(YEAR_Y-2,1,1),'Fund History'!$J$726:$J$730,"&lt;="&amp;DATE(YEAR_Y-2,12,31))=0,"",IFERROR($I131*HSTECH!$G$26/SUMIFS('Fund History'!$K$726:$K$730,'Fund History'!$J$726:$J$730,"&gt;="&amp;DATE(YEAR_Y-2,1,1),'Fund History'!$J$726:$J$730,"&lt;="&amp;DATE(YEAR_Y-2,12,31)),""))))</f>
        <v/>
      </c>
      <c r="T131" s="136">
        <f>IF($C131="","",IF(PULL_FUND="N","",IF(COUNTIFS('Fund History'!$J$726:$J$730,"&gt;="&amp;DATE(YEAR_Y-1,1,1),'Fund History'!$J$726:$J$730,"&lt;="&amp;DATE(YEAR_Y-1,12,31))=0,"",IFERROR($J131*HSTECH!$G$26/SUMIFS('Fund History'!$K$726:$K$730,'Fund History'!$J$726:$J$730,"&gt;="&amp;DATE(YEAR_Y-1,1,1),'Fund History'!$J$726:$J$730,"&lt;="&amp;DATE(YEAR_Y-1,12,31)),""))))</f>
        <v/>
      </c>
      <c r="U131" s="137">
        <f>IF($C131="","",IF(ISNUMBER(HSTECH!$I$26),HSTECH!$I$26/100,""))</f>
        <v/>
      </c>
      <c r="V131" s="138">
        <f>IF($C131="","",IF(ISNUMBER(HSTECH!$X$26),IFERROR($M131*HSTECH!$G$26/HSTECH!$X$26,""),""))</f>
        <v/>
      </c>
      <c r="W131" s="137">
        <f>IF($C131="","",IF(ISNUMBER($N131),IFERROR($N131*HSTECH!$G$26/HSTECH!$X$26,""),""))</f>
        <v/>
      </c>
      <c r="X131" s="139">
        <f>IF($C131="","",IF(PULL_FUND="N","",IFERROR(BDP($C131,EPS_FIELD,YR_OVERRIDE,TEXT(YEAR_Y-5,"0")),"")))</f>
        <v/>
      </c>
      <c r="Y131" s="140">
        <f>IF($C131="","",IF(PULL_FUND="N","",IFERROR(BDP($C131,EPS_FIELD,YR_OVERRIDE,TEXT(YEAR_Y-4,"0")),"")))</f>
        <v/>
      </c>
      <c r="Z131" s="140">
        <f>IF($C131="","",IF(PULL_FUND="N","",IFERROR(BDP($C131,EPS_FIELD,YR_OVERRIDE,TEXT(YEAR_Y-3,"0")),"")))</f>
        <v/>
      </c>
      <c r="AA131" s="140">
        <f>IF($C131="","",IF(PULL_FUND="N","",IFERROR(BDP($C131,EPS_FIELD,YR_OVERRIDE,TEXT(YEAR_Y-2,"0")),"")))</f>
        <v/>
      </c>
      <c r="AB131" s="140">
        <f>IF($C131="","",IF(PULL_FUND="N","",IFERROR(BDP($C131,EPS_FIELD,YR_OVERRIDE,TEXT(YEAR_Y-1,"0")),"")))</f>
        <v/>
      </c>
      <c r="AC131" s="126">
        <f>IF($C131="","",IFERROR(AVERAGE(X131:AB131),""))</f>
        <v/>
      </c>
      <c r="AD131" s="140">
        <f>IF($C131="","",IF(PULL_FUND="N","",IFERROR(BDP($C131,BESTEPS_FIELD,FWD_OVERRIDE,TEXT(MOD(YEAR_Y,100),"00")&amp;"Y"),"")))</f>
        <v/>
      </c>
      <c r="AE131" s="141">
        <f>IF($C131="","",IF(PULL_FUND="N","",IFERROR(BDP($C131,PAYOUT_FIELD,YR_OVERRIDE,TEXT(YEAR_Y-5,"0"))/100,"")))</f>
        <v/>
      </c>
      <c r="AF131" s="142">
        <f>IF($C131="","",IF(PULL_FUND="N","",IFERROR(BDP($C131,PAYOUT_FIELD,YR_OVERRIDE,TEXT(YEAR_Y-4,"0"))/100,"")))</f>
        <v/>
      </c>
      <c r="AG131" s="142">
        <f>IF($C131="","",IF(PULL_FUND="N","",IFERROR(BDP($C131,PAYOUT_FIELD,YR_OVERRIDE,TEXT(YEAR_Y-3,"0"))/100,"")))</f>
        <v/>
      </c>
      <c r="AH131" s="142">
        <f>IF($C131="","",IF(PULL_FUND="N","",IFERROR(BDP($C131,PAYOUT_FIELD,YR_OVERRIDE,TEXT(YEAR_Y-2,"0"))/100,"")))</f>
        <v/>
      </c>
      <c r="AI131" s="142">
        <f>IF($C131="","",IF(PULL_FUND="N","",IFERROR(BDP($C131,PAYOUT_FIELD,YR_OVERRIDE,TEXT(YEAR_Y-1,"0"))/100,"")))</f>
        <v/>
      </c>
      <c r="AJ131" s="143">
        <f>IF($C131="","",IFERROR(AVERAGE(AE131:AI131),""))</f>
        <v/>
      </c>
      <c r="AK131" s="144">
        <f>IF($C131="","",IF(ISNUMBER($AD131)*ISNUMBER($N131)*($AD131&lt;&gt;0)=0,"",$N131/$AD131))</f>
        <v/>
      </c>
      <c r="AL131" s="143">
        <f>IF($C131="","",IF(ISNUMBER($AD131)*($AD131&lt;&gt;0)=0,"",$M131/$AD131))</f>
        <v/>
      </c>
      <c r="AM131" s="37">
        <f>IF($C131="","",IF(ISNUMBER($AE131)*ISNUMBER($AI131)=0,"",IF($AI131&gt;$AE131+0.05,"rising",IF($AI131&lt;$AE131-0.05,"falling","stable"))))</f>
        <v/>
      </c>
      <c r="AN131" s="145">
        <f>IF($C131="","",IF(PULL_FUND="N","",IF(COUNTIFS('Fund History'!$G$726:$G$730,"&gt;="&amp;DATE(YEAR_Y-4,1,1),'Fund History'!$G$726:$G$730,"&lt;="&amp;DATE(YEAR_Y-4,12,31))=0,"",SUMIFS('Fund History'!$H$726:$H$730,'Fund History'!$G$726:$G$730,"&gt;="&amp;DATE(YEAR_Y-4,1,1),'Fund History'!$G$726:$G$730,"&lt;="&amp;DATE(YEAR_Y-4,12,31))/100)))</f>
        <v/>
      </c>
      <c r="AO131" s="146">
        <f>IF($C131="","",IF(PULL_FUND="N","",IF(COUNTIFS('Fund History'!$G$726:$G$730,"&gt;="&amp;DATE(YEAR_Y-3,1,1),'Fund History'!$G$726:$G$730,"&lt;="&amp;DATE(YEAR_Y-3,12,31))=0,"",SUMIFS('Fund History'!$H$726:$H$730,'Fund History'!$G$726:$G$730,"&gt;="&amp;DATE(YEAR_Y-3,1,1),'Fund History'!$G$726:$G$730,"&lt;="&amp;DATE(YEAR_Y-3,12,31))/100)))</f>
        <v/>
      </c>
      <c r="AP131" s="146">
        <f>IF($C131="","",IF(PULL_FUND="N","",IF(COUNTIFS('Fund History'!$G$726:$G$730,"&gt;="&amp;DATE(YEAR_Y-2,1,1),'Fund History'!$G$726:$G$730,"&lt;="&amp;DATE(YEAR_Y-2,12,31))=0,"",SUMIFS('Fund History'!$H$726:$H$730,'Fund History'!$G$726:$G$730,"&gt;="&amp;DATE(YEAR_Y-2,1,1),'Fund History'!$G$726:$G$730,"&lt;="&amp;DATE(YEAR_Y-2,12,31))/100)))</f>
        <v/>
      </c>
      <c r="AQ131" s="146">
        <f>IF($C131="","",IF(PULL_FUND="N","",IF(COUNTIFS('Fund History'!$G$726:$G$730,"&gt;="&amp;DATE(YEAR_Y-1,1,1),'Fund History'!$G$726:$G$730,"&lt;="&amp;DATE(YEAR_Y-1,12,31))=0,"",SUMIFS('Fund History'!$H$726:$H$730,'Fund History'!$G$726:$G$730,"&gt;="&amp;DATE(YEAR_Y-1,1,1),'Fund History'!$G$726:$G$730,"&lt;="&amp;DATE(YEAR_Y-1,12,31))/100)))</f>
        <v/>
      </c>
      <c r="AR131" s="147">
        <f>IF($C131="","",IF(N($AQ131)+N(HSTECH!$I$26)=0,"",N($AQ131)+N(HSTECH!$I$26)/100))</f>
        <v/>
      </c>
      <c r="AS131" s="139">
        <f>IF($C131="","",IF(PULL_FUND="N","",IF(COUNTIFS('Fund History'!$D$726:$D$730,"&gt;="&amp;DATE(YEAR_Y-2,1,1),'Fund History'!$D$726:$D$730,"&lt;="&amp;DATE(YEAR_Y-2,12,31))=0,"",SUMIFS('Fund History'!$E$726:$E$730,'Fund History'!$D$726:$D$730,"&gt;="&amp;DATE(YEAR_Y-2,1,1),'Fund History'!$D$726:$D$730,"&lt;="&amp;DATE(YEAR_Y-2,12,31)))))</f>
        <v/>
      </c>
      <c r="AT131" s="140">
        <f>IF($C131="","",IF(PULL_FUND="N","",IF(COUNTIFS('Fund History'!$D$726:$D$730,"&gt;="&amp;DATE(YEAR_Y-1,1,1),'Fund History'!$D$726:$D$730,"&lt;="&amp;DATE(YEAR_Y-1,12,31))=0,"",SUMIFS('Fund History'!$E$726:$E$730,'Fund History'!$D$726:$D$730,"&gt;="&amp;DATE(YEAR_Y-1,1,1),'Fund History'!$D$726:$D$730,"&lt;="&amp;DATE(YEAR_Y-1,12,31)))))</f>
        <v/>
      </c>
      <c r="AU131" s="140">
        <f>IF($C131="","",IF(PULL_FUND="N","",IFERROR(BDP($C131,NDEBITDA_FIELD),"")))</f>
        <v/>
      </c>
      <c r="AV131" s="148">
        <f>IF($C131="","",IF(PULL_FUND="N","",IFERROR(BDP($C131,EBINT_FIELD),"")))</f>
        <v/>
      </c>
      <c r="AW131" s="146">
        <f>IF($C131="","",IF(PULL_FUND="N","",IFERROR(BDP($C131,FCF_FIELD)/100,"")))</f>
        <v/>
      </c>
      <c r="AX131" s="126">
        <f>IF($C131="","",IF(N($U131)=0,"",IFERROR($AW131/$U131,"")))</f>
        <v/>
      </c>
      <c r="AY131" s="85">
        <f>IF($C131="","",TRIM(IF(ISNUMBER($AJ131)*(N($AJ131)&gt;$D$4)&gt;0,"payout high  ","")&amp;IF(ISNUMBER($AX131)*(N($AX131)&lt;$F$4)&gt;0,"FCF below dvd  ","")&amp;IF(ISNUMBER($AU131)*(N($AU131)&gt;$H$4)&gt;0,"leverage high","")))</f>
        <v/>
      </c>
      <c r="AZ131" s="86">
        <f>IF($C131="","",IF(HSTECH!$F$26="HKD","",HSTECH!$F$26))</f>
        <v/>
      </c>
    </row>
    <row r="132">
      <c r="B132" s="66" t="inlineStr">
        <is>
          <t>HSTECH</t>
        </is>
      </c>
      <c r="C132" s="8">
        <f>IF(HSTECH!$C$27="","",HSTECH!$C$27)</f>
        <v/>
      </c>
      <c r="D132" s="8">
        <f>IF($C132="","",HSTECH!$D$27)</f>
        <v/>
      </c>
      <c r="E132" s="8">
        <f>IF($C132="","",HSTECH!$E$27)</f>
        <v/>
      </c>
      <c r="F132" s="131">
        <f>IF($C132="","",SUMPRODUCT(('Dvd Calendar'!$E$1336:$AR$1336&gt;=DATE(YEAR_Y-5,1,1))*('Dvd Calendar'!$E$1336:$AR$1336&lt;=DATE(YEAR_Y-5,12,31))*'Dvd Calendar'!$E$1339:$AR$1339*(('Dvd Calendar'!$E$1341:$AR$1341=TYPE1)*(TYPE1&lt;&gt;"")+('Dvd Calendar'!$E$1341:$AR$1341=TYPE2)*(TYPE2&lt;&gt;"")+('Dvd Calendar'!$E$1341:$AR$1341=TYPE3)*(TYPE3&lt;&gt;"")+('Dvd Calendar'!$E$1341:$AR$1341=TYPE4)*(TYPE4&lt;&gt;"")+('Dvd Calendar'!$E$1341:$AR$1341=SPECIAL_LBL)*(INC_SPECIALS="Y"))))</f>
        <v/>
      </c>
      <c r="G132" s="132">
        <f>IF($C132="","",SUMPRODUCT(('Dvd Calendar'!$E$1336:$AR$1336&gt;=DATE(YEAR_Y-4,1,1))*('Dvd Calendar'!$E$1336:$AR$1336&lt;=DATE(YEAR_Y-4,12,31))*'Dvd Calendar'!$E$1339:$AR$1339*(('Dvd Calendar'!$E$1341:$AR$1341=TYPE1)*(TYPE1&lt;&gt;"")+('Dvd Calendar'!$E$1341:$AR$1341=TYPE2)*(TYPE2&lt;&gt;"")+('Dvd Calendar'!$E$1341:$AR$1341=TYPE3)*(TYPE3&lt;&gt;"")+('Dvd Calendar'!$E$1341:$AR$1341=TYPE4)*(TYPE4&lt;&gt;"")+('Dvd Calendar'!$E$1341:$AR$1341=SPECIAL_LBL)*(INC_SPECIALS="Y"))))</f>
        <v/>
      </c>
      <c r="H132" s="132">
        <f>IF($C132="","",SUMPRODUCT(('Dvd Calendar'!$E$1336:$AR$1336&gt;=DATE(YEAR_Y-3,1,1))*('Dvd Calendar'!$E$1336:$AR$1336&lt;=DATE(YEAR_Y-3,12,31))*'Dvd Calendar'!$E$1339:$AR$1339*(('Dvd Calendar'!$E$1341:$AR$1341=TYPE1)*(TYPE1&lt;&gt;"")+('Dvd Calendar'!$E$1341:$AR$1341=TYPE2)*(TYPE2&lt;&gt;"")+('Dvd Calendar'!$E$1341:$AR$1341=TYPE3)*(TYPE3&lt;&gt;"")+('Dvd Calendar'!$E$1341:$AR$1341=TYPE4)*(TYPE4&lt;&gt;"")+('Dvd Calendar'!$E$1341:$AR$1341=SPECIAL_LBL)*(INC_SPECIALS="Y"))))</f>
        <v/>
      </c>
      <c r="I132" s="132">
        <f>IF($C132="","",SUMPRODUCT(('Dvd Calendar'!$E$1336:$AR$1336&gt;=DATE(YEAR_Y-2,1,1))*('Dvd Calendar'!$E$1336:$AR$1336&lt;=DATE(YEAR_Y-2,12,31))*'Dvd Calendar'!$E$1339:$AR$1339*(('Dvd Calendar'!$E$1341:$AR$1341=TYPE1)*(TYPE1&lt;&gt;"")+('Dvd Calendar'!$E$1341:$AR$1341=TYPE2)*(TYPE2&lt;&gt;"")+('Dvd Calendar'!$E$1341:$AR$1341=TYPE3)*(TYPE3&lt;&gt;"")+('Dvd Calendar'!$E$1341:$AR$1341=TYPE4)*(TYPE4&lt;&gt;"")+('Dvd Calendar'!$E$1341:$AR$1341=SPECIAL_LBL)*(INC_SPECIALS="Y"))))</f>
        <v/>
      </c>
      <c r="J132" s="132">
        <f>IF($C132="","",SUMPRODUCT(('Dvd Calendar'!$E$1336:$AR$1336&gt;=DATE(YEAR_Y-1,1,1))*('Dvd Calendar'!$E$1336:$AR$1336&lt;=DATE(YEAR_Y-1,12,31))*'Dvd Calendar'!$E$1339:$AR$1339*(('Dvd Calendar'!$E$1341:$AR$1341=TYPE1)*(TYPE1&lt;&gt;"")+('Dvd Calendar'!$E$1341:$AR$1341=TYPE2)*(TYPE2&lt;&gt;"")+('Dvd Calendar'!$E$1341:$AR$1341=TYPE3)*(TYPE3&lt;&gt;"")+('Dvd Calendar'!$E$1341:$AR$1341=TYPE4)*(TYPE4&lt;&gt;"")+('Dvd Calendar'!$E$1341:$AR$1341=SPECIAL_LBL)*(INC_SPECIALS="Y"))))</f>
        <v/>
      </c>
      <c r="K132" s="133">
        <f>IF($C132="","",HSTECH!$J$27)</f>
        <v/>
      </c>
      <c r="L132" s="133">
        <f>IF($C132="","",HSTECH!$K$27)</f>
        <v/>
      </c>
      <c r="M132" s="124">
        <f>IF($C132="","",HSTECH!$J$27+HSTECH!$L$27)</f>
        <v/>
      </c>
      <c r="N132" s="134">
        <f>IF($C132="","",IF(PULL_FUND="N","",IFERROR(BDP($C132,BESTDPS_FIELD,FWD_OVERRIDE,TEXT(MOD(YEAR_Y,100),"00")&amp;"Y"),"")))</f>
        <v/>
      </c>
      <c r="O132" s="133">
        <f>IF($C132="","",AVERAGE(F132:J132))</f>
        <v/>
      </c>
      <c r="P132" s="135">
        <f>IF($C132="","",IF(PULL_FUND="N","",IF(COUNTIFS('Fund History'!$J$732:$J$736,"&gt;="&amp;DATE(YEAR_Y-5,1,1),'Fund History'!$J$732:$J$736,"&lt;="&amp;DATE(YEAR_Y-5,12,31))=0,"",IFERROR($F132*HSTECH!$G$27/SUMIFS('Fund History'!$K$732:$K$736,'Fund History'!$J$732:$J$736,"&gt;="&amp;DATE(YEAR_Y-5,1,1),'Fund History'!$J$732:$J$736,"&lt;="&amp;DATE(YEAR_Y-5,12,31)),""))))</f>
        <v/>
      </c>
      <c r="Q132" s="136">
        <f>IF($C132="","",IF(PULL_FUND="N","",IF(COUNTIFS('Fund History'!$J$732:$J$736,"&gt;="&amp;DATE(YEAR_Y-4,1,1),'Fund History'!$J$732:$J$736,"&lt;="&amp;DATE(YEAR_Y-4,12,31))=0,"",IFERROR($G132*HSTECH!$G$27/SUMIFS('Fund History'!$K$732:$K$736,'Fund History'!$J$732:$J$736,"&gt;="&amp;DATE(YEAR_Y-4,1,1),'Fund History'!$J$732:$J$736,"&lt;="&amp;DATE(YEAR_Y-4,12,31)),""))))</f>
        <v/>
      </c>
      <c r="R132" s="136">
        <f>IF($C132="","",IF(PULL_FUND="N","",IF(COUNTIFS('Fund History'!$J$732:$J$736,"&gt;="&amp;DATE(YEAR_Y-3,1,1),'Fund History'!$J$732:$J$736,"&lt;="&amp;DATE(YEAR_Y-3,12,31))=0,"",IFERROR($H132*HSTECH!$G$27/SUMIFS('Fund History'!$K$732:$K$736,'Fund History'!$J$732:$J$736,"&gt;="&amp;DATE(YEAR_Y-3,1,1),'Fund History'!$J$732:$J$736,"&lt;="&amp;DATE(YEAR_Y-3,12,31)),""))))</f>
        <v/>
      </c>
      <c r="S132" s="136">
        <f>IF($C132="","",IF(PULL_FUND="N","",IF(COUNTIFS('Fund History'!$J$732:$J$736,"&gt;="&amp;DATE(YEAR_Y-2,1,1),'Fund History'!$J$732:$J$736,"&lt;="&amp;DATE(YEAR_Y-2,12,31))=0,"",IFERROR($I132*HSTECH!$G$27/SUMIFS('Fund History'!$K$732:$K$736,'Fund History'!$J$732:$J$736,"&gt;="&amp;DATE(YEAR_Y-2,1,1),'Fund History'!$J$732:$J$736,"&lt;="&amp;DATE(YEAR_Y-2,12,31)),""))))</f>
        <v/>
      </c>
      <c r="T132" s="136">
        <f>IF($C132="","",IF(PULL_FUND="N","",IF(COUNTIFS('Fund History'!$J$732:$J$736,"&gt;="&amp;DATE(YEAR_Y-1,1,1),'Fund History'!$J$732:$J$736,"&lt;="&amp;DATE(YEAR_Y-1,12,31))=0,"",IFERROR($J132*HSTECH!$G$27/SUMIFS('Fund History'!$K$732:$K$736,'Fund History'!$J$732:$J$736,"&gt;="&amp;DATE(YEAR_Y-1,1,1),'Fund History'!$J$732:$J$736,"&lt;="&amp;DATE(YEAR_Y-1,12,31)),""))))</f>
        <v/>
      </c>
      <c r="U132" s="137">
        <f>IF($C132="","",IF(ISNUMBER(HSTECH!$I$27),HSTECH!$I$27/100,""))</f>
        <v/>
      </c>
      <c r="V132" s="138">
        <f>IF($C132="","",IF(ISNUMBER(HSTECH!$X$27),IFERROR($M132*HSTECH!$G$27/HSTECH!$X$27,""),""))</f>
        <v/>
      </c>
      <c r="W132" s="137">
        <f>IF($C132="","",IF(ISNUMBER($N132),IFERROR($N132*HSTECH!$G$27/HSTECH!$X$27,""),""))</f>
        <v/>
      </c>
      <c r="X132" s="139">
        <f>IF($C132="","",IF(PULL_FUND="N","",IFERROR(BDP($C132,EPS_FIELD,YR_OVERRIDE,TEXT(YEAR_Y-5,"0")),"")))</f>
        <v/>
      </c>
      <c r="Y132" s="140">
        <f>IF($C132="","",IF(PULL_FUND="N","",IFERROR(BDP($C132,EPS_FIELD,YR_OVERRIDE,TEXT(YEAR_Y-4,"0")),"")))</f>
        <v/>
      </c>
      <c r="Z132" s="140">
        <f>IF($C132="","",IF(PULL_FUND="N","",IFERROR(BDP($C132,EPS_FIELD,YR_OVERRIDE,TEXT(YEAR_Y-3,"0")),"")))</f>
        <v/>
      </c>
      <c r="AA132" s="140">
        <f>IF($C132="","",IF(PULL_FUND="N","",IFERROR(BDP($C132,EPS_FIELD,YR_OVERRIDE,TEXT(YEAR_Y-2,"0")),"")))</f>
        <v/>
      </c>
      <c r="AB132" s="140">
        <f>IF($C132="","",IF(PULL_FUND="N","",IFERROR(BDP($C132,EPS_FIELD,YR_OVERRIDE,TEXT(YEAR_Y-1,"0")),"")))</f>
        <v/>
      </c>
      <c r="AC132" s="126">
        <f>IF($C132="","",IFERROR(AVERAGE(X132:AB132),""))</f>
        <v/>
      </c>
      <c r="AD132" s="140">
        <f>IF($C132="","",IF(PULL_FUND="N","",IFERROR(BDP($C132,BESTEPS_FIELD,FWD_OVERRIDE,TEXT(MOD(YEAR_Y,100),"00")&amp;"Y"),"")))</f>
        <v/>
      </c>
      <c r="AE132" s="141">
        <f>IF($C132="","",IF(PULL_FUND="N","",IFERROR(BDP($C132,PAYOUT_FIELD,YR_OVERRIDE,TEXT(YEAR_Y-5,"0"))/100,"")))</f>
        <v/>
      </c>
      <c r="AF132" s="142">
        <f>IF($C132="","",IF(PULL_FUND="N","",IFERROR(BDP($C132,PAYOUT_FIELD,YR_OVERRIDE,TEXT(YEAR_Y-4,"0"))/100,"")))</f>
        <v/>
      </c>
      <c r="AG132" s="142">
        <f>IF($C132="","",IF(PULL_FUND="N","",IFERROR(BDP($C132,PAYOUT_FIELD,YR_OVERRIDE,TEXT(YEAR_Y-3,"0"))/100,"")))</f>
        <v/>
      </c>
      <c r="AH132" s="142">
        <f>IF($C132="","",IF(PULL_FUND="N","",IFERROR(BDP($C132,PAYOUT_FIELD,YR_OVERRIDE,TEXT(YEAR_Y-2,"0"))/100,"")))</f>
        <v/>
      </c>
      <c r="AI132" s="142">
        <f>IF($C132="","",IF(PULL_FUND="N","",IFERROR(BDP($C132,PAYOUT_FIELD,YR_OVERRIDE,TEXT(YEAR_Y-1,"0"))/100,"")))</f>
        <v/>
      </c>
      <c r="AJ132" s="143">
        <f>IF($C132="","",IFERROR(AVERAGE(AE132:AI132),""))</f>
        <v/>
      </c>
      <c r="AK132" s="144">
        <f>IF($C132="","",IF(ISNUMBER($AD132)*ISNUMBER($N132)*($AD132&lt;&gt;0)=0,"",$N132/$AD132))</f>
        <v/>
      </c>
      <c r="AL132" s="143">
        <f>IF($C132="","",IF(ISNUMBER($AD132)*($AD132&lt;&gt;0)=0,"",$M132/$AD132))</f>
        <v/>
      </c>
      <c r="AM132" s="37">
        <f>IF($C132="","",IF(ISNUMBER($AE132)*ISNUMBER($AI132)=0,"",IF($AI132&gt;$AE132+0.05,"rising",IF($AI132&lt;$AE132-0.05,"falling","stable"))))</f>
        <v/>
      </c>
      <c r="AN132" s="145">
        <f>IF($C132="","",IF(PULL_FUND="N","",IF(COUNTIFS('Fund History'!$G$732:$G$736,"&gt;="&amp;DATE(YEAR_Y-4,1,1),'Fund History'!$G$732:$G$736,"&lt;="&amp;DATE(YEAR_Y-4,12,31))=0,"",SUMIFS('Fund History'!$H$732:$H$736,'Fund History'!$G$732:$G$736,"&gt;="&amp;DATE(YEAR_Y-4,1,1),'Fund History'!$G$732:$G$736,"&lt;="&amp;DATE(YEAR_Y-4,12,31))/100)))</f>
        <v/>
      </c>
      <c r="AO132" s="146">
        <f>IF($C132="","",IF(PULL_FUND="N","",IF(COUNTIFS('Fund History'!$G$732:$G$736,"&gt;="&amp;DATE(YEAR_Y-3,1,1),'Fund History'!$G$732:$G$736,"&lt;="&amp;DATE(YEAR_Y-3,12,31))=0,"",SUMIFS('Fund History'!$H$732:$H$736,'Fund History'!$G$732:$G$736,"&gt;="&amp;DATE(YEAR_Y-3,1,1),'Fund History'!$G$732:$G$736,"&lt;="&amp;DATE(YEAR_Y-3,12,31))/100)))</f>
        <v/>
      </c>
      <c r="AP132" s="146">
        <f>IF($C132="","",IF(PULL_FUND="N","",IF(COUNTIFS('Fund History'!$G$732:$G$736,"&gt;="&amp;DATE(YEAR_Y-2,1,1),'Fund History'!$G$732:$G$736,"&lt;="&amp;DATE(YEAR_Y-2,12,31))=0,"",SUMIFS('Fund History'!$H$732:$H$736,'Fund History'!$G$732:$G$736,"&gt;="&amp;DATE(YEAR_Y-2,1,1),'Fund History'!$G$732:$G$736,"&lt;="&amp;DATE(YEAR_Y-2,12,31))/100)))</f>
        <v/>
      </c>
      <c r="AQ132" s="146">
        <f>IF($C132="","",IF(PULL_FUND="N","",IF(COUNTIFS('Fund History'!$G$732:$G$736,"&gt;="&amp;DATE(YEAR_Y-1,1,1),'Fund History'!$G$732:$G$736,"&lt;="&amp;DATE(YEAR_Y-1,12,31))=0,"",SUMIFS('Fund History'!$H$732:$H$736,'Fund History'!$G$732:$G$736,"&gt;="&amp;DATE(YEAR_Y-1,1,1),'Fund History'!$G$732:$G$736,"&lt;="&amp;DATE(YEAR_Y-1,12,31))/100)))</f>
        <v/>
      </c>
      <c r="AR132" s="147">
        <f>IF($C132="","",IF(N($AQ132)+N(HSTECH!$I$27)=0,"",N($AQ132)+N(HSTECH!$I$27)/100))</f>
        <v/>
      </c>
      <c r="AS132" s="139">
        <f>IF($C132="","",IF(PULL_FUND="N","",IF(COUNTIFS('Fund History'!$D$732:$D$736,"&gt;="&amp;DATE(YEAR_Y-2,1,1),'Fund History'!$D$732:$D$736,"&lt;="&amp;DATE(YEAR_Y-2,12,31))=0,"",SUMIFS('Fund History'!$E$732:$E$736,'Fund History'!$D$732:$D$736,"&gt;="&amp;DATE(YEAR_Y-2,1,1),'Fund History'!$D$732:$D$736,"&lt;="&amp;DATE(YEAR_Y-2,12,31)))))</f>
        <v/>
      </c>
      <c r="AT132" s="140">
        <f>IF($C132="","",IF(PULL_FUND="N","",IF(COUNTIFS('Fund History'!$D$732:$D$736,"&gt;="&amp;DATE(YEAR_Y-1,1,1),'Fund History'!$D$732:$D$736,"&lt;="&amp;DATE(YEAR_Y-1,12,31))=0,"",SUMIFS('Fund History'!$E$732:$E$736,'Fund History'!$D$732:$D$736,"&gt;="&amp;DATE(YEAR_Y-1,1,1),'Fund History'!$D$732:$D$736,"&lt;="&amp;DATE(YEAR_Y-1,12,31)))))</f>
        <v/>
      </c>
      <c r="AU132" s="140">
        <f>IF($C132="","",IF(PULL_FUND="N","",IFERROR(BDP($C132,NDEBITDA_FIELD),"")))</f>
        <v/>
      </c>
      <c r="AV132" s="148">
        <f>IF($C132="","",IF(PULL_FUND="N","",IFERROR(BDP($C132,EBINT_FIELD),"")))</f>
        <v/>
      </c>
      <c r="AW132" s="146">
        <f>IF($C132="","",IF(PULL_FUND="N","",IFERROR(BDP($C132,FCF_FIELD)/100,"")))</f>
        <v/>
      </c>
      <c r="AX132" s="126">
        <f>IF($C132="","",IF(N($U132)=0,"",IFERROR($AW132/$U132,"")))</f>
        <v/>
      </c>
      <c r="AY132" s="85">
        <f>IF($C132="","",TRIM(IF(ISNUMBER($AJ132)*(N($AJ132)&gt;$D$4)&gt;0,"payout high  ","")&amp;IF(ISNUMBER($AX132)*(N($AX132)&lt;$F$4)&gt;0,"FCF below dvd  ","")&amp;IF(ISNUMBER($AU132)*(N($AU132)&gt;$H$4)&gt;0,"leverage high","")))</f>
        <v/>
      </c>
      <c r="AZ132" s="86">
        <f>IF($C132="","",IF(HSTECH!$F$27="HKD","",HSTECH!$F$27))</f>
        <v/>
      </c>
    </row>
    <row r="133">
      <c r="B133" s="66" t="inlineStr">
        <is>
          <t>HSTECH</t>
        </is>
      </c>
      <c r="C133" s="8">
        <f>IF(HSTECH!$C$28="","",HSTECH!$C$28)</f>
        <v/>
      </c>
      <c r="D133" s="8">
        <f>IF($C133="","",HSTECH!$D$28)</f>
        <v/>
      </c>
      <c r="E133" s="8">
        <f>IF($C133="","",HSTECH!$E$28)</f>
        <v/>
      </c>
      <c r="F133" s="131">
        <f>IF($C133="","",SUMPRODUCT(('Dvd Calendar'!$E$1347:$AR$1347&gt;=DATE(YEAR_Y-5,1,1))*('Dvd Calendar'!$E$1347:$AR$1347&lt;=DATE(YEAR_Y-5,12,31))*'Dvd Calendar'!$E$1350:$AR$1350*(('Dvd Calendar'!$E$1352:$AR$1352=TYPE1)*(TYPE1&lt;&gt;"")+('Dvd Calendar'!$E$1352:$AR$1352=TYPE2)*(TYPE2&lt;&gt;"")+('Dvd Calendar'!$E$1352:$AR$1352=TYPE3)*(TYPE3&lt;&gt;"")+('Dvd Calendar'!$E$1352:$AR$1352=TYPE4)*(TYPE4&lt;&gt;"")+('Dvd Calendar'!$E$1352:$AR$1352=SPECIAL_LBL)*(INC_SPECIALS="Y"))))</f>
        <v/>
      </c>
      <c r="G133" s="132">
        <f>IF($C133="","",SUMPRODUCT(('Dvd Calendar'!$E$1347:$AR$1347&gt;=DATE(YEAR_Y-4,1,1))*('Dvd Calendar'!$E$1347:$AR$1347&lt;=DATE(YEAR_Y-4,12,31))*'Dvd Calendar'!$E$1350:$AR$1350*(('Dvd Calendar'!$E$1352:$AR$1352=TYPE1)*(TYPE1&lt;&gt;"")+('Dvd Calendar'!$E$1352:$AR$1352=TYPE2)*(TYPE2&lt;&gt;"")+('Dvd Calendar'!$E$1352:$AR$1352=TYPE3)*(TYPE3&lt;&gt;"")+('Dvd Calendar'!$E$1352:$AR$1352=TYPE4)*(TYPE4&lt;&gt;"")+('Dvd Calendar'!$E$1352:$AR$1352=SPECIAL_LBL)*(INC_SPECIALS="Y"))))</f>
        <v/>
      </c>
      <c r="H133" s="132">
        <f>IF($C133="","",SUMPRODUCT(('Dvd Calendar'!$E$1347:$AR$1347&gt;=DATE(YEAR_Y-3,1,1))*('Dvd Calendar'!$E$1347:$AR$1347&lt;=DATE(YEAR_Y-3,12,31))*'Dvd Calendar'!$E$1350:$AR$1350*(('Dvd Calendar'!$E$1352:$AR$1352=TYPE1)*(TYPE1&lt;&gt;"")+('Dvd Calendar'!$E$1352:$AR$1352=TYPE2)*(TYPE2&lt;&gt;"")+('Dvd Calendar'!$E$1352:$AR$1352=TYPE3)*(TYPE3&lt;&gt;"")+('Dvd Calendar'!$E$1352:$AR$1352=TYPE4)*(TYPE4&lt;&gt;"")+('Dvd Calendar'!$E$1352:$AR$1352=SPECIAL_LBL)*(INC_SPECIALS="Y"))))</f>
        <v/>
      </c>
      <c r="I133" s="132">
        <f>IF($C133="","",SUMPRODUCT(('Dvd Calendar'!$E$1347:$AR$1347&gt;=DATE(YEAR_Y-2,1,1))*('Dvd Calendar'!$E$1347:$AR$1347&lt;=DATE(YEAR_Y-2,12,31))*'Dvd Calendar'!$E$1350:$AR$1350*(('Dvd Calendar'!$E$1352:$AR$1352=TYPE1)*(TYPE1&lt;&gt;"")+('Dvd Calendar'!$E$1352:$AR$1352=TYPE2)*(TYPE2&lt;&gt;"")+('Dvd Calendar'!$E$1352:$AR$1352=TYPE3)*(TYPE3&lt;&gt;"")+('Dvd Calendar'!$E$1352:$AR$1352=TYPE4)*(TYPE4&lt;&gt;"")+('Dvd Calendar'!$E$1352:$AR$1352=SPECIAL_LBL)*(INC_SPECIALS="Y"))))</f>
        <v/>
      </c>
      <c r="J133" s="132">
        <f>IF($C133="","",SUMPRODUCT(('Dvd Calendar'!$E$1347:$AR$1347&gt;=DATE(YEAR_Y-1,1,1))*('Dvd Calendar'!$E$1347:$AR$1347&lt;=DATE(YEAR_Y-1,12,31))*'Dvd Calendar'!$E$1350:$AR$1350*(('Dvd Calendar'!$E$1352:$AR$1352=TYPE1)*(TYPE1&lt;&gt;"")+('Dvd Calendar'!$E$1352:$AR$1352=TYPE2)*(TYPE2&lt;&gt;"")+('Dvd Calendar'!$E$1352:$AR$1352=TYPE3)*(TYPE3&lt;&gt;"")+('Dvd Calendar'!$E$1352:$AR$1352=TYPE4)*(TYPE4&lt;&gt;"")+('Dvd Calendar'!$E$1352:$AR$1352=SPECIAL_LBL)*(INC_SPECIALS="Y"))))</f>
        <v/>
      </c>
      <c r="K133" s="133">
        <f>IF($C133="","",HSTECH!$J$28)</f>
        <v/>
      </c>
      <c r="L133" s="133">
        <f>IF($C133="","",HSTECH!$K$28)</f>
        <v/>
      </c>
      <c r="M133" s="124">
        <f>IF($C133="","",HSTECH!$J$28+HSTECH!$L$28)</f>
        <v/>
      </c>
      <c r="N133" s="134">
        <f>IF($C133="","",IF(PULL_FUND="N","",IFERROR(BDP($C133,BESTDPS_FIELD,FWD_OVERRIDE,TEXT(MOD(YEAR_Y,100),"00")&amp;"Y"),"")))</f>
        <v/>
      </c>
      <c r="O133" s="133">
        <f>IF($C133="","",AVERAGE(F133:J133))</f>
        <v/>
      </c>
      <c r="P133" s="135">
        <f>IF($C133="","",IF(PULL_FUND="N","",IF(COUNTIFS('Fund History'!$J$738:$J$742,"&gt;="&amp;DATE(YEAR_Y-5,1,1),'Fund History'!$J$738:$J$742,"&lt;="&amp;DATE(YEAR_Y-5,12,31))=0,"",IFERROR($F133*HSTECH!$G$28/SUMIFS('Fund History'!$K$738:$K$742,'Fund History'!$J$738:$J$742,"&gt;="&amp;DATE(YEAR_Y-5,1,1),'Fund History'!$J$738:$J$742,"&lt;="&amp;DATE(YEAR_Y-5,12,31)),""))))</f>
        <v/>
      </c>
      <c r="Q133" s="136">
        <f>IF($C133="","",IF(PULL_FUND="N","",IF(COUNTIFS('Fund History'!$J$738:$J$742,"&gt;="&amp;DATE(YEAR_Y-4,1,1),'Fund History'!$J$738:$J$742,"&lt;="&amp;DATE(YEAR_Y-4,12,31))=0,"",IFERROR($G133*HSTECH!$G$28/SUMIFS('Fund History'!$K$738:$K$742,'Fund History'!$J$738:$J$742,"&gt;="&amp;DATE(YEAR_Y-4,1,1),'Fund History'!$J$738:$J$742,"&lt;="&amp;DATE(YEAR_Y-4,12,31)),""))))</f>
        <v/>
      </c>
      <c r="R133" s="136">
        <f>IF($C133="","",IF(PULL_FUND="N","",IF(COUNTIFS('Fund History'!$J$738:$J$742,"&gt;="&amp;DATE(YEAR_Y-3,1,1),'Fund History'!$J$738:$J$742,"&lt;="&amp;DATE(YEAR_Y-3,12,31))=0,"",IFERROR($H133*HSTECH!$G$28/SUMIFS('Fund History'!$K$738:$K$742,'Fund History'!$J$738:$J$742,"&gt;="&amp;DATE(YEAR_Y-3,1,1),'Fund History'!$J$738:$J$742,"&lt;="&amp;DATE(YEAR_Y-3,12,31)),""))))</f>
        <v/>
      </c>
      <c r="S133" s="136">
        <f>IF($C133="","",IF(PULL_FUND="N","",IF(COUNTIFS('Fund History'!$J$738:$J$742,"&gt;="&amp;DATE(YEAR_Y-2,1,1),'Fund History'!$J$738:$J$742,"&lt;="&amp;DATE(YEAR_Y-2,12,31))=0,"",IFERROR($I133*HSTECH!$G$28/SUMIFS('Fund History'!$K$738:$K$742,'Fund History'!$J$738:$J$742,"&gt;="&amp;DATE(YEAR_Y-2,1,1),'Fund History'!$J$738:$J$742,"&lt;="&amp;DATE(YEAR_Y-2,12,31)),""))))</f>
        <v/>
      </c>
      <c r="T133" s="136">
        <f>IF($C133="","",IF(PULL_FUND="N","",IF(COUNTIFS('Fund History'!$J$738:$J$742,"&gt;="&amp;DATE(YEAR_Y-1,1,1),'Fund History'!$J$738:$J$742,"&lt;="&amp;DATE(YEAR_Y-1,12,31))=0,"",IFERROR($J133*HSTECH!$G$28/SUMIFS('Fund History'!$K$738:$K$742,'Fund History'!$J$738:$J$742,"&gt;="&amp;DATE(YEAR_Y-1,1,1),'Fund History'!$J$738:$J$742,"&lt;="&amp;DATE(YEAR_Y-1,12,31)),""))))</f>
        <v/>
      </c>
      <c r="U133" s="137">
        <f>IF($C133="","",IF(ISNUMBER(HSTECH!$I$28),HSTECH!$I$28/100,""))</f>
        <v/>
      </c>
      <c r="V133" s="138">
        <f>IF($C133="","",IF(ISNUMBER(HSTECH!$X$28),IFERROR($M133*HSTECH!$G$28/HSTECH!$X$28,""),""))</f>
        <v/>
      </c>
      <c r="W133" s="137">
        <f>IF($C133="","",IF(ISNUMBER($N133),IFERROR($N133*HSTECH!$G$28/HSTECH!$X$28,""),""))</f>
        <v/>
      </c>
      <c r="X133" s="139">
        <f>IF($C133="","",IF(PULL_FUND="N","",IFERROR(BDP($C133,EPS_FIELD,YR_OVERRIDE,TEXT(YEAR_Y-5,"0")),"")))</f>
        <v/>
      </c>
      <c r="Y133" s="140">
        <f>IF($C133="","",IF(PULL_FUND="N","",IFERROR(BDP($C133,EPS_FIELD,YR_OVERRIDE,TEXT(YEAR_Y-4,"0")),"")))</f>
        <v/>
      </c>
      <c r="Z133" s="140">
        <f>IF($C133="","",IF(PULL_FUND="N","",IFERROR(BDP($C133,EPS_FIELD,YR_OVERRIDE,TEXT(YEAR_Y-3,"0")),"")))</f>
        <v/>
      </c>
      <c r="AA133" s="140">
        <f>IF($C133="","",IF(PULL_FUND="N","",IFERROR(BDP($C133,EPS_FIELD,YR_OVERRIDE,TEXT(YEAR_Y-2,"0")),"")))</f>
        <v/>
      </c>
      <c r="AB133" s="140">
        <f>IF($C133="","",IF(PULL_FUND="N","",IFERROR(BDP($C133,EPS_FIELD,YR_OVERRIDE,TEXT(YEAR_Y-1,"0")),"")))</f>
        <v/>
      </c>
      <c r="AC133" s="126">
        <f>IF($C133="","",IFERROR(AVERAGE(X133:AB133),""))</f>
        <v/>
      </c>
      <c r="AD133" s="140">
        <f>IF($C133="","",IF(PULL_FUND="N","",IFERROR(BDP($C133,BESTEPS_FIELD,FWD_OVERRIDE,TEXT(MOD(YEAR_Y,100),"00")&amp;"Y"),"")))</f>
        <v/>
      </c>
      <c r="AE133" s="141">
        <f>IF($C133="","",IF(PULL_FUND="N","",IFERROR(BDP($C133,PAYOUT_FIELD,YR_OVERRIDE,TEXT(YEAR_Y-5,"0"))/100,"")))</f>
        <v/>
      </c>
      <c r="AF133" s="142">
        <f>IF($C133="","",IF(PULL_FUND="N","",IFERROR(BDP($C133,PAYOUT_FIELD,YR_OVERRIDE,TEXT(YEAR_Y-4,"0"))/100,"")))</f>
        <v/>
      </c>
      <c r="AG133" s="142">
        <f>IF($C133="","",IF(PULL_FUND="N","",IFERROR(BDP($C133,PAYOUT_FIELD,YR_OVERRIDE,TEXT(YEAR_Y-3,"0"))/100,"")))</f>
        <v/>
      </c>
      <c r="AH133" s="142">
        <f>IF($C133="","",IF(PULL_FUND="N","",IFERROR(BDP($C133,PAYOUT_FIELD,YR_OVERRIDE,TEXT(YEAR_Y-2,"0"))/100,"")))</f>
        <v/>
      </c>
      <c r="AI133" s="142">
        <f>IF($C133="","",IF(PULL_FUND="N","",IFERROR(BDP($C133,PAYOUT_FIELD,YR_OVERRIDE,TEXT(YEAR_Y-1,"0"))/100,"")))</f>
        <v/>
      </c>
      <c r="AJ133" s="143">
        <f>IF($C133="","",IFERROR(AVERAGE(AE133:AI133),""))</f>
        <v/>
      </c>
      <c r="AK133" s="144">
        <f>IF($C133="","",IF(ISNUMBER($AD133)*ISNUMBER($N133)*($AD133&lt;&gt;0)=0,"",$N133/$AD133))</f>
        <v/>
      </c>
      <c r="AL133" s="143">
        <f>IF($C133="","",IF(ISNUMBER($AD133)*($AD133&lt;&gt;0)=0,"",$M133/$AD133))</f>
        <v/>
      </c>
      <c r="AM133" s="37">
        <f>IF($C133="","",IF(ISNUMBER($AE133)*ISNUMBER($AI133)=0,"",IF($AI133&gt;$AE133+0.05,"rising",IF($AI133&lt;$AE133-0.05,"falling","stable"))))</f>
        <v/>
      </c>
      <c r="AN133" s="145">
        <f>IF($C133="","",IF(PULL_FUND="N","",IF(COUNTIFS('Fund History'!$G$738:$G$742,"&gt;="&amp;DATE(YEAR_Y-4,1,1),'Fund History'!$G$738:$G$742,"&lt;="&amp;DATE(YEAR_Y-4,12,31))=0,"",SUMIFS('Fund History'!$H$738:$H$742,'Fund History'!$G$738:$G$742,"&gt;="&amp;DATE(YEAR_Y-4,1,1),'Fund History'!$G$738:$G$742,"&lt;="&amp;DATE(YEAR_Y-4,12,31))/100)))</f>
        <v/>
      </c>
      <c r="AO133" s="146">
        <f>IF($C133="","",IF(PULL_FUND="N","",IF(COUNTIFS('Fund History'!$G$738:$G$742,"&gt;="&amp;DATE(YEAR_Y-3,1,1),'Fund History'!$G$738:$G$742,"&lt;="&amp;DATE(YEAR_Y-3,12,31))=0,"",SUMIFS('Fund History'!$H$738:$H$742,'Fund History'!$G$738:$G$742,"&gt;="&amp;DATE(YEAR_Y-3,1,1),'Fund History'!$G$738:$G$742,"&lt;="&amp;DATE(YEAR_Y-3,12,31))/100)))</f>
        <v/>
      </c>
      <c r="AP133" s="146">
        <f>IF($C133="","",IF(PULL_FUND="N","",IF(COUNTIFS('Fund History'!$G$738:$G$742,"&gt;="&amp;DATE(YEAR_Y-2,1,1),'Fund History'!$G$738:$G$742,"&lt;="&amp;DATE(YEAR_Y-2,12,31))=0,"",SUMIFS('Fund History'!$H$738:$H$742,'Fund History'!$G$738:$G$742,"&gt;="&amp;DATE(YEAR_Y-2,1,1),'Fund History'!$G$738:$G$742,"&lt;="&amp;DATE(YEAR_Y-2,12,31))/100)))</f>
        <v/>
      </c>
      <c r="AQ133" s="146">
        <f>IF($C133="","",IF(PULL_FUND="N","",IF(COUNTIFS('Fund History'!$G$738:$G$742,"&gt;="&amp;DATE(YEAR_Y-1,1,1),'Fund History'!$G$738:$G$742,"&lt;="&amp;DATE(YEAR_Y-1,12,31))=0,"",SUMIFS('Fund History'!$H$738:$H$742,'Fund History'!$G$738:$G$742,"&gt;="&amp;DATE(YEAR_Y-1,1,1),'Fund History'!$G$738:$G$742,"&lt;="&amp;DATE(YEAR_Y-1,12,31))/100)))</f>
        <v/>
      </c>
      <c r="AR133" s="147">
        <f>IF($C133="","",IF(N($AQ133)+N(HSTECH!$I$28)=0,"",N($AQ133)+N(HSTECH!$I$28)/100))</f>
        <v/>
      </c>
      <c r="AS133" s="139">
        <f>IF($C133="","",IF(PULL_FUND="N","",IF(COUNTIFS('Fund History'!$D$738:$D$742,"&gt;="&amp;DATE(YEAR_Y-2,1,1),'Fund History'!$D$738:$D$742,"&lt;="&amp;DATE(YEAR_Y-2,12,31))=0,"",SUMIFS('Fund History'!$E$738:$E$742,'Fund History'!$D$738:$D$742,"&gt;="&amp;DATE(YEAR_Y-2,1,1),'Fund History'!$D$738:$D$742,"&lt;="&amp;DATE(YEAR_Y-2,12,31)))))</f>
        <v/>
      </c>
      <c r="AT133" s="140">
        <f>IF($C133="","",IF(PULL_FUND="N","",IF(COUNTIFS('Fund History'!$D$738:$D$742,"&gt;="&amp;DATE(YEAR_Y-1,1,1),'Fund History'!$D$738:$D$742,"&lt;="&amp;DATE(YEAR_Y-1,12,31))=0,"",SUMIFS('Fund History'!$E$738:$E$742,'Fund History'!$D$738:$D$742,"&gt;="&amp;DATE(YEAR_Y-1,1,1),'Fund History'!$D$738:$D$742,"&lt;="&amp;DATE(YEAR_Y-1,12,31)))))</f>
        <v/>
      </c>
      <c r="AU133" s="140">
        <f>IF($C133="","",IF(PULL_FUND="N","",IFERROR(BDP($C133,NDEBITDA_FIELD),"")))</f>
        <v/>
      </c>
      <c r="AV133" s="148">
        <f>IF($C133="","",IF(PULL_FUND="N","",IFERROR(BDP($C133,EBINT_FIELD),"")))</f>
        <v/>
      </c>
      <c r="AW133" s="146">
        <f>IF($C133="","",IF(PULL_FUND="N","",IFERROR(BDP($C133,FCF_FIELD)/100,"")))</f>
        <v/>
      </c>
      <c r="AX133" s="126">
        <f>IF($C133="","",IF(N($U133)=0,"",IFERROR($AW133/$U133,"")))</f>
        <v/>
      </c>
      <c r="AY133" s="85">
        <f>IF($C133="","",TRIM(IF(ISNUMBER($AJ133)*(N($AJ133)&gt;$D$4)&gt;0,"payout high  ","")&amp;IF(ISNUMBER($AX133)*(N($AX133)&lt;$F$4)&gt;0,"FCF below dvd  ","")&amp;IF(ISNUMBER($AU133)*(N($AU133)&gt;$H$4)&gt;0,"leverage high","")))</f>
        <v/>
      </c>
      <c r="AZ133" s="86">
        <f>IF($C133="","",IF(HSTECH!$F$28="HKD","",HSTECH!$F$28))</f>
        <v/>
      </c>
    </row>
    <row r="134">
      <c r="B134" s="66" t="inlineStr">
        <is>
          <t>HSTECH</t>
        </is>
      </c>
      <c r="C134" s="8">
        <f>IF(HSTECH!$C$29="","",HSTECH!$C$29)</f>
        <v/>
      </c>
      <c r="D134" s="8">
        <f>IF($C134="","",HSTECH!$D$29)</f>
        <v/>
      </c>
      <c r="E134" s="8">
        <f>IF($C134="","",HSTECH!$E$29)</f>
        <v/>
      </c>
      <c r="F134" s="131">
        <f>IF($C134="","",SUMPRODUCT(('Dvd Calendar'!$E$1358:$AR$1358&gt;=DATE(YEAR_Y-5,1,1))*('Dvd Calendar'!$E$1358:$AR$1358&lt;=DATE(YEAR_Y-5,12,31))*'Dvd Calendar'!$E$1361:$AR$1361*(('Dvd Calendar'!$E$1363:$AR$1363=TYPE1)*(TYPE1&lt;&gt;"")+('Dvd Calendar'!$E$1363:$AR$1363=TYPE2)*(TYPE2&lt;&gt;"")+('Dvd Calendar'!$E$1363:$AR$1363=TYPE3)*(TYPE3&lt;&gt;"")+('Dvd Calendar'!$E$1363:$AR$1363=TYPE4)*(TYPE4&lt;&gt;"")+('Dvd Calendar'!$E$1363:$AR$1363=SPECIAL_LBL)*(INC_SPECIALS="Y"))))</f>
        <v/>
      </c>
      <c r="G134" s="132">
        <f>IF($C134="","",SUMPRODUCT(('Dvd Calendar'!$E$1358:$AR$1358&gt;=DATE(YEAR_Y-4,1,1))*('Dvd Calendar'!$E$1358:$AR$1358&lt;=DATE(YEAR_Y-4,12,31))*'Dvd Calendar'!$E$1361:$AR$1361*(('Dvd Calendar'!$E$1363:$AR$1363=TYPE1)*(TYPE1&lt;&gt;"")+('Dvd Calendar'!$E$1363:$AR$1363=TYPE2)*(TYPE2&lt;&gt;"")+('Dvd Calendar'!$E$1363:$AR$1363=TYPE3)*(TYPE3&lt;&gt;"")+('Dvd Calendar'!$E$1363:$AR$1363=TYPE4)*(TYPE4&lt;&gt;"")+('Dvd Calendar'!$E$1363:$AR$1363=SPECIAL_LBL)*(INC_SPECIALS="Y"))))</f>
        <v/>
      </c>
      <c r="H134" s="132">
        <f>IF($C134="","",SUMPRODUCT(('Dvd Calendar'!$E$1358:$AR$1358&gt;=DATE(YEAR_Y-3,1,1))*('Dvd Calendar'!$E$1358:$AR$1358&lt;=DATE(YEAR_Y-3,12,31))*'Dvd Calendar'!$E$1361:$AR$1361*(('Dvd Calendar'!$E$1363:$AR$1363=TYPE1)*(TYPE1&lt;&gt;"")+('Dvd Calendar'!$E$1363:$AR$1363=TYPE2)*(TYPE2&lt;&gt;"")+('Dvd Calendar'!$E$1363:$AR$1363=TYPE3)*(TYPE3&lt;&gt;"")+('Dvd Calendar'!$E$1363:$AR$1363=TYPE4)*(TYPE4&lt;&gt;"")+('Dvd Calendar'!$E$1363:$AR$1363=SPECIAL_LBL)*(INC_SPECIALS="Y"))))</f>
        <v/>
      </c>
      <c r="I134" s="132">
        <f>IF($C134="","",SUMPRODUCT(('Dvd Calendar'!$E$1358:$AR$1358&gt;=DATE(YEAR_Y-2,1,1))*('Dvd Calendar'!$E$1358:$AR$1358&lt;=DATE(YEAR_Y-2,12,31))*'Dvd Calendar'!$E$1361:$AR$1361*(('Dvd Calendar'!$E$1363:$AR$1363=TYPE1)*(TYPE1&lt;&gt;"")+('Dvd Calendar'!$E$1363:$AR$1363=TYPE2)*(TYPE2&lt;&gt;"")+('Dvd Calendar'!$E$1363:$AR$1363=TYPE3)*(TYPE3&lt;&gt;"")+('Dvd Calendar'!$E$1363:$AR$1363=TYPE4)*(TYPE4&lt;&gt;"")+('Dvd Calendar'!$E$1363:$AR$1363=SPECIAL_LBL)*(INC_SPECIALS="Y"))))</f>
        <v/>
      </c>
      <c r="J134" s="132">
        <f>IF($C134="","",SUMPRODUCT(('Dvd Calendar'!$E$1358:$AR$1358&gt;=DATE(YEAR_Y-1,1,1))*('Dvd Calendar'!$E$1358:$AR$1358&lt;=DATE(YEAR_Y-1,12,31))*'Dvd Calendar'!$E$1361:$AR$1361*(('Dvd Calendar'!$E$1363:$AR$1363=TYPE1)*(TYPE1&lt;&gt;"")+('Dvd Calendar'!$E$1363:$AR$1363=TYPE2)*(TYPE2&lt;&gt;"")+('Dvd Calendar'!$E$1363:$AR$1363=TYPE3)*(TYPE3&lt;&gt;"")+('Dvd Calendar'!$E$1363:$AR$1363=TYPE4)*(TYPE4&lt;&gt;"")+('Dvd Calendar'!$E$1363:$AR$1363=SPECIAL_LBL)*(INC_SPECIALS="Y"))))</f>
        <v/>
      </c>
      <c r="K134" s="133">
        <f>IF($C134="","",HSTECH!$J$29)</f>
        <v/>
      </c>
      <c r="L134" s="133">
        <f>IF($C134="","",HSTECH!$K$29)</f>
        <v/>
      </c>
      <c r="M134" s="124">
        <f>IF($C134="","",HSTECH!$J$29+HSTECH!$L$29)</f>
        <v/>
      </c>
      <c r="N134" s="134">
        <f>IF($C134="","",IF(PULL_FUND="N","",IFERROR(BDP($C134,BESTDPS_FIELD,FWD_OVERRIDE,TEXT(MOD(YEAR_Y,100),"00")&amp;"Y"),"")))</f>
        <v/>
      </c>
      <c r="O134" s="133">
        <f>IF($C134="","",AVERAGE(F134:J134))</f>
        <v/>
      </c>
      <c r="P134" s="135">
        <f>IF($C134="","",IF(PULL_FUND="N","",IF(COUNTIFS('Fund History'!$J$744:$J$748,"&gt;="&amp;DATE(YEAR_Y-5,1,1),'Fund History'!$J$744:$J$748,"&lt;="&amp;DATE(YEAR_Y-5,12,31))=0,"",IFERROR($F134*HSTECH!$G$29/SUMIFS('Fund History'!$K$744:$K$748,'Fund History'!$J$744:$J$748,"&gt;="&amp;DATE(YEAR_Y-5,1,1),'Fund History'!$J$744:$J$748,"&lt;="&amp;DATE(YEAR_Y-5,12,31)),""))))</f>
        <v/>
      </c>
      <c r="Q134" s="136">
        <f>IF($C134="","",IF(PULL_FUND="N","",IF(COUNTIFS('Fund History'!$J$744:$J$748,"&gt;="&amp;DATE(YEAR_Y-4,1,1),'Fund History'!$J$744:$J$748,"&lt;="&amp;DATE(YEAR_Y-4,12,31))=0,"",IFERROR($G134*HSTECH!$G$29/SUMIFS('Fund History'!$K$744:$K$748,'Fund History'!$J$744:$J$748,"&gt;="&amp;DATE(YEAR_Y-4,1,1),'Fund History'!$J$744:$J$748,"&lt;="&amp;DATE(YEAR_Y-4,12,31)),""))))</f>
        <v/>
      </c>
      <c r="R134" s="136">
        <f>IF($C134="","",IF(PULL_FUND="N","",IF(COUNTIFS('Fund History'!$J$744:$J$748,"&gt;="&amp;DATE(YEAR_Y-3,1,1),'Fund History'!$J$744:$J$748,"&lt;="&amp;DATE(YEAR_Y-3,12,31))=0,"",IFERROR($H134*HSTECH!$G$29/SUMIFS('Fund History'!$K$744:$K$748,'Fund History'!$J$744:$J$748,"&gt;="&amp;DATE(YEAR_Y-3,1,1),'Fund History'!$J$744:$J$748,"&lt;="&amp;DATE(YEAR_Y-3,12,31)),""))))</f>
        <v/>
      </c>
      <c r="S134" s="136">
        <f>IF($C134="","",IF(PULL_FUND="N","",IF(COUNTIFS('Fund History'!$J$744:$J$748,"&gt;="&amp;DATE(YEAR_Y-2,1,1),'Fund History'!$J$744:$J$748,"&lt;="&amp;DATE(YEAR_Y-2,12,31))=0,"",IFERROR($I134*HSTECH!$G$29/SUMIFS('Fund History'!$K$744:$K$748,'Fund History'!$J$744:$J$748,"&gt;="&amp;DATE(YEAR_Y-2,1,1),'Fund History'!$J$744:$J$748,"&lt;="&amp;DATE(YEAR_Y-2,12,31)),""))))</f>
        <v/>
      </c>
      <c r="T134" s="136">
        <f>IF($C134="","",IF(PULL_FUND="N","",IF(COUNTIFS('Fund History'!$J$744:$J$748,"&gt;="&amp;DATE(YEAR_Y-1,1,1),'Fund History'!$J$744:$J$748,"&lt;="&amp;DATE(YEAR_Y-1,12,31))=0,"",IFERROR($J134*HSTECH!$G$29/SUMIFS('Fund History'!$K$744:$K$748,'Fund History'!$J$744:$J$748,"&gt;="&amp;DATE(YEAR_Y-1,1,1),'Fund History'!$J$744:$J$748,"&lt;="&amp;DATE(YEAR_Y-1,12,31)),""))))</f>
        <v/>
      </c>
      <c r="U134" s="137">
        <f>IF($C134="","",IF(ISNUMBER(HSTECH!$I$29),HSTECH!$I$29/100,""))</f>
        <v/>
      </c>
      <c r="V134" s="138">
        <f>IF($C134="","",IF(ISNUMBER(HSTECH!$X$29),IFERROR($M134*HSTECH!$G$29/HSTECH!$X$29,""),""))</f>
        <v/>
      </c>
      <c r="W134" s="137">
        <f>IF($C134="","",IF(ISNUMBER($N134),IFERROR($N134*HSTECH!$G$29/HSTECH!$X$29,""),""))</f>
        <v/>
      </c>
      <c r="X134" s="139">
        <f>IF($C134="","",IF(PULL_FUND="N","",IFERROR(BDP($C134,EPS_FIELD,YR_OVERRIDE,TEXT(YEAR_Y-5,"0")),"")))</f>
        <v/>
      </c>
      <c r="Y134" s="140">
        <f>IF($C134="","",IF(PULL_FUND="N","",IFERROR(BDP($C134,EPS_FIELD,YR_OVERRIDE,TEXT(YEAR_Y-4,"0")),"")))</f>
        <v/>
      </c>
      <c r="Z134" s="140">
        <f>IF($C134="","",IF(PULL_FUND="N","",IFERROR(BDP($C134,EPS_FIELD,YR_OVERRIDE,TEXT(YEAR_Y-3,"0")),"")))</f>
        <v/>
      </c>
      <c r="AA134" s="140">
        <f>IF($C134="","",IF(PULL_FUND="N","",IFERROR(BDP($C134,EPS_FIELD,YR_OVERRIDE,TEXT(YEAR_Y-2,"0")),"")))</f>
        <v/>
      </c>
      <c r="AB134" s="140">
        <f>IF($C134="","",IF(PULL_FUND="N","",IFERROR(BDP($C134,EPS_FIELD,YR_OVERRIDE,TEXT(YEAR_Y-1,"0")),"")))</f>
        <v/>
      </c>
      <c r="AC134" s="126">
        <f>IF($C134="","",IFERROR(AVERAGE(X134:AB134),""))</f>
        <v/>
      </c>
      <c r="AD134" s="140">
        <f>IF($C134="","",IF(PULL_FUND="N","",IFERROR(BDP($C134,BESTEPS_FIELD,FWD_OVERRIDE,TEXT(MOD(YEAR_Y,100),"00")&amp;"Y"),"")))</f>
        <v/>
      </c>
      <c r="AE134" s="141">
        <f>IF($C134="","",IF(PULL_FUND="N","",IFERROR(BDP($C134,PAYOUT_FIELD,YR_OVERRIDE,TEXT(YEAR_Y-5,"0"))/100,"")))</f>
        <v/>
      </c>
      <c r="AF134" s="142">
        <f>IF($C134="","",IF(PULL_FUND="N","",IFERROR(BDP($C134,PAYOUT_FIELD,YR_OVERRIDE,TEXT(YEAR_Y-4,"0"))/100,"")))</f>
        <v/>
      </c>
      <c r="AG134" s="142">
        <f>IF($C134="","",IF(PULL_FUND="N","",IFERROR(BDP($C134,PAYOUT_FIELD,YR_OVERRIDE,TEXT(YEAR_Y-3,"0"))/100,"")))</f>
        <v/>
      </c>
      <c r="AH134" s="142">
        <f>IF($C134="","",IF(PULL_FUND="N","",IFERROR(BDP($C134,PAYOUT_FIELD,YR_OVERRIDE,TEXT(YEAR_Y-2,"0"))/100,"")))</f>
        <v/>
      </c>
      <c r="AI134" s="142">
        <f>IF($C134="","",IF(PULL_FUND="N","",IFERROR(BDP($C134,PAYOUT_FIELD,YR_OVERRIDE,TEXT(YEAR_Y-1,"0"))/100,"")))</f>
        <v/>
      </c>
      <c r="AJ134" s="143">
        <f>IF($C134="","",IFERROR(AVERAGE(AE134:AI134),""))</f>
        <v/>
      </c>
      <c r="AK134" s="144">
        <f>IF($C134="","",IF(ISNUMBER($AD134)*ISNUMBER($N134)*($AD134&lt;&gt;0)=0,"",$N134/$AD134))</f>
        <v/>
      </c>
      <c r="AL134" s="143">
        <f>IF($C134="","",IF(ISNUMBER($AD134)*($AD134&lt;&gt;0)=0,"",$M134/$AD134))</f>
        <v/>
      </c>
      <c r="AM134" s="37">
        <f>IF($C134="","",IF(ISNUMBER($AE134)*ISNUMBER($AI134)=0,"",IF($AI134&gt;$AE134+0.05,"rising",IF($AI134&lt;$AE134-0.05,"falling","stable"))))</f>
        <v/>
      </c>
      <c r="AN134" s="145">
        <f>IF($C134="","",IF(PULL_FUND="N","",IF(COUNTIFS('Fund History'!$G$744:$G$748,"&gt;="&amp;DATE(YEAR_Y-4,1,1),'Fund History'!$G$744:$G$748,"&lt;="&amp;DATE(YEAR_Y-4,12,31))=0,"",SUMIFS('Fund History'!$H$744:$H$748,'Fund History'!$G$744:$G$748,"&gt;="&amp;DATE(YEAR_Y-4,1,1),'Fund History'!$G$744:$G$748,"&lt;="&amp;DATE(YEAR_Y-4,12,31))/100)))</f>
        <v/>
      </c>
      <c r="AO134" s="146">
        <f>IF($C134="","",IF(PULL_FUND="N","",IF(COUNTIFS('Fund History'!$G$744:$G$748,"&gt;="&amp;DATE(YEAR_Y-3,1,1),'Fund History'!$G$744:$G$748,"&lt;="&amp;DATE(YEAR_Y-3,12,31))=0,"",SUMIFS('Fund History'!$H$744:$H$748,'Fund History'!$G$744:$G$748,"&gt;="&amp;DATE(YEAR_Y-3,1,1),'Fund History'!$G$744:$G$748,"&lt;="&amp;DATE(YEAR_Y-3,12,31))/100)))</f>
        <v/>
      </c>
      <c r="AP134" s="146">
        <f>IF($C134="","",IF(PULL_FUND="N","",IF(COUNTIFS('Fund History'!$G$744:$G$748,"&gt;="&amp;DATE(YEAR_Y-2,1,1),'Fund History'!$G$744:$G$748,"&lt;="&amp;DATE(YEAR_Y-2,12,31))=0,"",SUMIFS('Fund History'!$H$744:$H$748,'Fund History'!$G$744:$G$748,"&gt;="&amp;DATE(YEAR_Y-2,1,1),'Fund History'!$G$744:$G$748,"&lt;="&amp;DATE(YEAR_Y-2,12,31))/100)))</f>
        <v/>
      </c>
      <c r="AQ134" s="146">
        <f>IF($C134="","",IF(PULL_FUND="N","",IF(COUNTIFS('Fund History'!$G$744:$G$748,"&gt;="&amp;DATE(YEAR_Y-1,1,1),'Fund History'!$G$744:$G$748,"&lt;="&amp;DATE(YEAR_Y-1,12,31))=0,"",SUMIFS('Fund History'!$H$744:$H$748,'Fund History'!$G$744:$G$748,"&gt;="&amp;DATE(YEAR_Y-1,1,1),'Fund History'!$G$744:$G$748,"&lt;="&amp;DATE(YEAR_Y-1,12,31))/100)))</f>
        <v/>
      </c>
      <c r="AR134" s="147">
        <f>IF($C134="","",IF(N($AQ134)+N(HSTECH!$I$29)=0,"",N($AQ134)+N(HSTECH!$I$29)/100))</f>
        <v/>
      </c>
      <c r="AS134" s="139">
        <f>IF($C134="","",IF(PULL_FUND="N","",IF(COUNTIFS('Fund History'!$D$744:$D$748,"&gt;="&amp;DATE(YEAR_Y-2,1,1),'Fund History'!$D$744:$D$748,"&lt;="&amp;DATE(YEAR_Y-2,12,31))=0,"",SUMIFS('Fund History'!$E$744:$E$748,'Fund History'!$D$744:$D$748,"&gt;="&amp;DATE(YEAR_Y-2,1,1),'Fund History'!$D$744:$D$748,"&lt;="&amp;DATE(YEAR_Y-2,12,31)))))</f>
        <v/>
      </c>
      <c r="AT134" s="140">
        <f>IF($C134="","",IF(PULL_FUND="N","",IF(COUNTIFS('Fund History'!$D$744:$D$748,"&gt;="&amp;DATE(YEAR_Y-1,1,1),'Fund History'!$D$744:$D$748,"&lt;="&amp;DATE(YEAR_Y-1,12,31))=0,"",SUMIFS('Fund History'!$E$744:$E$748,'Fund History'!$D$744:$D$748,"&gt;="&amp;DATE(YEAR_Y-1,1,1),'Fund History'!$D$744:$D$748,"&lt;="&amp;DATE(YEAR_Y-1,12,31)))))</f>
        <v/>
      </c>
      <c r="AU134" s="140">
        <f>IF($C134="","",IF(PULL_FUND="N","",IFERROR(BDP($C134,NDEBITDA_FIELD),"")))</f>
        <v/>
      </c>
      <c r="AV134" s="148">
        <f>IF($C134="","",IF(PULL_FUND="N","",IFERROR(BDP($C134,EBINT_FIELD),"")))</f>
        <v/>
      </c>
      <c r="AW134" s="146">
        <f>IF($C134="","",IF(PULL_FUND="N","",IFERROR(BDP($C134,FCF_FIELD)/100,"")))</f>
        <v/>
      </c>
      <c r="AX134" s="126">
        <f>IF($C134="","",IF(N($U134)=0,"",IFERROR($AW134/$U134,"")))</f>
        <v/>
      </c>
      <c r="AY134" s="85">
        <f>IF($C134="","",TRIM(IF(ISNUMBER($AJ134)*(N($AJ134)&gt;$D$4)&gt;0,"payout high  ","")&amp;IF(ISNUMBER($AX134)*(N($AX134)&lt;$F$4)&gt;0,"FCF below dvd  ","")&amp;IF(ISNUMBER($AU134)*(N($AU134)&gt;$H$4)&gt;0,"leverage high","")))</f>
        <v/>
      </c>
      <c r="AZ134" s="86">
        <f>IF($C134="","",IF(HSTECH!$F$29="HKD","",HSTECH!$F$29))</f>
        <v/>
      </c>
    </row>
    <row r="135">
      <c r="B135" s="66" t="inlineStr">
        <is>
          <t>HSTECH</t>
        </is>
      </c>
      <c r="C135" s="8">
        <f>IF(HSTECH!$C$30="","",HSTECH!$C$30)</f>
        <v/>
      </c>
      <c r="D135" s="8">
        <f>IF($C135="","",HSTECH!$D$30)</f>
        <v/>
      </c>
      <c r="E135" s="8">
        <f>IF($C135="","",HSTECH!$E$30)</f>
        <v/>
      </c>
      <c r="F135" s="131">
        <f>IF($C135="","",SUMPRODUCT(('Dvd Calendar'!$E$1369:$AR$1369&gt;=DATE(YEAR_Y-5,1,1))*('Dvd Calendar'!$E$1369:$AR$1369&lt;=DATE(YEAR_Y-5,12,31))*'Dvd Calendar'!$E$1372:$AR$1372*(('Dvd Calendar'!$E$1374:$AR$1374=TYPE1)*(TYPE1&lt;&gt;"")+('Dvd Calendar'!$E$1374:$AR$1374=TYPE2)*(TYPE2&lt;&gt;"")+('Dvd Calendar'!$E$1374:$AR$1374=TYPE3)*(TYPE3&lt;&gt;"")+('Dvd Calendar'!$E$1374:$AR$1374=TYPE4)*(TYPE4&lt;&gt;"")+('Dvd Calendar'!$E$1374:$AR$1374=SPECIAL_LBL)*(INC_SPECIALS="Y"))))</f>
        <v/>
      </c>
      <c r="G135" s="132">
        <f>IF($C135="","",SUMPRODUCT(('Dvd Calendar'!$E$1369:$AR$1369&gt;=DATE(YEAR_Y-4,1,1))*('Dvd Calendar'!$E$1369:$AR$1369&lt;=DATE(YEAR_Y-4,12,31))*'Dvd Calendar'!$E$1372:$AR$1372*(('Dvd Calendar'!$E$1374:$AR$1374=TYPE1)*(TYPE1&lt;&gt;"")+('Dvd Calendar'!$E$1374:$AR$1374=TYPE2)*(TYPE2&lt;&gt;"")+('Dvd Calendar'!$E$1374:$AR$1374=TYPE3)*(TYPE3&lt;&gt;"")+('Dvd Calendar'!$E$1374:$AR$1374=TYPE4)*(TYPE4&lt;&gt;"")+('Dvd Calendar'!$E$1374:$AR$1374=SPECIAL_LBL)*(INC_SPECIALS="Y"))))</f>
        <v/>
      </c>
      <c r="H135" s="132">
        <f>IF($C135="","",SUMPRODUCT(('Dvd Calendar'!$E$1369:$AR$1369&gt;=DATE(YEAR_Y-3,1,1))*('Dvd Calendar'!$E$1369:$AR$1369&lt;=DATE(YEAR_Y-3,12,31))*'Dvd Calendar'!$E$1372:$AR$1372*(('Dvd Calendar'!$E$1374:$AR$1374=TYPE1)*(TYPE1&lt;&gt;"")+('Dvd Calendar'!$E$1374:$AR$1374=TYPE2)*(TYPE2&lt;&gt;"")+('Dvd Calendar'!$E$1374:$AR$1374=TYPE3)*(TYPE3&lt;&gt;"")+('Dvd Calendar'!$E$1374:$AR$1374=TYPE4)*(TYPE4&lt;&gt;"")+('Dvd Calendar'!$E$1374:$AR$1374=SPECIAL_LBL)*(INC_SPECIALS="Y"))))</f>
        <v/>
      </c>
      <c r="I135" s="132">
        <f>IF($C135="","",SUMPRODUCT(('Dvd Calendar'!$E$1369:$AR$1369&gt;=DATE(YEAR_Y-2,1,1))*('Dvd Calendar'!$E$1369:$AR$1369&lt;=DATE(YEAR_Y-2,12,31))*'Dvd Calendar'!$E$1372:$AR$1372*(('Dvd Calendar'!$E$1374:$AR$1374=TYPE1)*(TYPE1&lt;&gt;"")+('Dvd Calendar'!$E$1374:$AR$1374=TYPE2)*(TYPE2&lt;&gt;"")+('Dvd Calendar'!$E$1374:$AR$1374=TYPE3)*(TYPE3&lt;&gt;"")+('Dvd Calendar'!$E$1374:$AR$1374=TYPE4)*(TYPE4&lt;&gt;"")+('Dvd Calendar'!$E$1374:$AR$1374=SPECIAL_LBL)*(INC_SPECIALS="Y"))))</f>
        <v/>
      </c>
      <c r="J135" s="132">
        <f>IF($C135="","",SUMPRODUCT(('Dvd Calendar'!$E$1369:$AR$1369&gt;=DATE(YEAR_Y-1,1,1))*('Dvd Calendar'!$E$1369:$AR$1369&lt;=DATE(YEAR_Y-1,12,31))*'Dvd Calendar'!$E$1372:$AR$1372*(('Dvd Calendar'!$E$1374:$AR$1374=TYPE1)*(TYPE1&lt;&gt;"")+('Dvd Calendar'!$E$1374:$AR$1374=TYPE2)*(TYPE2&lt;&gt;"")+('Dvd Calendar'!$E$1374:$AR$1374=TYPE3)*(TYPE3&lt;&gt;"")+('Dvd Calendar'!$E$1374:$AR$1374=TYPE4)*(TYPE4&lt;&gt;"")+('Dvd Calendar'!$E$1374:$AR$1374=SPECIAL_LBL)*(INC_SPECIALS="Y"))))</f>
        <v/>
      </c>
      <c r="K135" s="133">
        <f>IF($C135="","",HSTECH!$J$30)</f>
        <v/>
      </c>
      <c r="L135" s="133">
        <f>IF($C135="","",HSTECH!$K$30)</f>
        <v/>
      </c>
      <c r="M135" s="124">
        <f>IF($C135="","",HSTECH!$J$30+HSTECH!$L$30)</f>
        <v/>
      </c>
      <c r="N135" s="134">
        <f>IF($C135="","",IF(PULL_FUND="N","",IFERROR(BDP($C135,BESTDPS_FIELD,FWD_OVERRIDE,TEXT(MOD(YEAR_Y,100),"00")&amp;"Y"),"")))</f>
        <v/>
      </c>
      <c r="O135" s="133">
        <f>IF($C135="","",AVERAGE(F135:J135))</f>
        <v/>
      </c>
      <c r="P135" s="135">
        <f>IF($C135="","",IF(PULL_FUND="N","",IF(COUNTIFS('Fund History'!$J$750:$J$754,"&gt;="&amp;DATE(YEAR_Y-5,1,1),'Fund History'!$J$750:$J$754,"&lt;="&amp;DATE(YEAR_Y-5,12,31))=0,"",IFERROR($F135*HSTECH!$G$30/SUMIFS('Fund History'!$K$750:$K$754,'Fund History'!$J$750:$J$754,"&gt;="&amp;DATE(YEAR_Y-5,1,1),'Fund History'!$J$750:$J$754,"&lt;="&amp;DATE(YEAR_Y-5,12,31)),""))))</f>
        <v/>
      </c>
      <c r="Q135" s="136">
        <f>IF($C135="","",IF(PULL_FUND="N","",IF(COUNTIFS('Fund History'!$J$750:$J$754,"&gt;="&amp;DATE(YEAR_Y-4,1,1),'Fund History'!$J$750:$J$754,"&lt;="&amp;DATE(YEAR_Y-4,12,31))=0,"",IFERROR($G135*HSTECH!$G$30/SUMIFS('Fund History'!$K$750:$K$754,'Fund History'!$J$750:$J$754,"&gt;="&amp;DATE(YEAR_Y-4,1,1),'Fund History'!$J$750:$J$754,"&lt;="&amp;DATE(YEAR_Y-4,12,31)),""))))</f>
        <v/>
      </c>
      <c r="R135" s="136">
        <f>IF($C135="","",IF(PULL_FUND="N","",IF(COUNTIFS('Fund History'!$J$750:$J$754,"&gt;="&amp;DATE(YEAR_Y-3,1,1),'Fund History'!$J$750:$J$754,"&lt;="&amp;DATE(YEAR_Y-3,12,31))=0,"",IFERROR($H135*HSTECH!$G$30/SUMIFS('Fund History'!$K$750:$K$754,'Fund History'!$J$750:$J$754,"&gt;="&amp;DATE(YEAR_Y-3,1,1),'Fund History'!$J$750:$J$754,"&lt;="&amp;DATE(YEAR_Y-3,12,31)),""))))</f>
        <v/>
      </c>
      <c r="S135" s="136">
        <f>IF($C135="","",IF(PULL_FUND="N","",IF(COUNTIFS('Fund History'!$J$750:$J$754,"&gt;="&amp;DATE(YEAR_Y-2,1,1),'Fund History'!$J$750:$J$754,"&lt;="&amp;DATE(YEAR_Y-2,12,31))=0,"",IFERROR($I135*HSTECH!$G$30/SUMIFS('Fund History'!$K$750:$K$754,'Fund History'!$J$750:$J$754,"&gt;="&amp;DATE(YEAR_Y-2,1,1),'Fund History'!$J$750:$J$754,"&lt;="&amp;DATE(YEAR_Y-2,12,31)),""))))</f>
        <v/>
      </c>
      <c r="T135" s="136">
        <f>IF($C135="","",IF(PULL_FUND="N","",IF(COUNTIFS('Fund History'!$J$750:$J$754,"&gt;="&amp;DATE(YEAR_Y-1,1,1),'Fund History'!$J$750:$J$754,"&lt;="&amp;DATE(YEAR_Y-1,12,31))=0,"",IFERROR($J135*HSTECH!$G$30/SUMIFS('Fund History'!$K$750:$K$754,'Fund History'!$J$750:$J$754,"&gt;="&amp;DATE(YEAR_Y-1,1,1),'Fund History'!$J$750:$J$754,"&lt;="&amp;DATE(YEAR_Y-1,12,31)),""))))</f>
        <v/>
      </c>
      <c r="U135" s="137">
        <f>IF($C135="","",IF(ISNUMBER(HSTECH!$I$30),HSTECH!$I$30/100,""))</f>
        <v/>
      </c>
      <c r="V135" s="138">
        <f>IF($C135="","",IF(ISNUMBER(HSTECH!$X$30),IFERROR($M135*HSTECH!$G$30/HSTECH!$X$30,""),""))</f>
        <v/>
      </c>
      <c r="W135" s="137">
        <f>IF($C135="","",IF(ISNUMBER($N135),IFERROR($N135*HSTECH!$G$30/HSTECH!$X$30,""),""))</f>
        <v/>
      </c>
      <c r="X135" s="139">
        <f>IF($C135="","",IF(PULL_FUND="N","",IFERROR(BDP($C135,EPS_FIELD,YR_OVERRIDE,TEXT(YEAR_Y-5,"0")),"")))</f>
        <v/>
      </c>
      <c r="Y135" s="140">
        <f>IF($C135="","",IF(PULL_FUND="N","",IFERROR(BDP($C135,EPS_FIELD,YR_OVERRIDE,TEXT(YEAR_Y-4,"0")),"")))</f>
        <v/>
      </c>
      <c r="Z135" s="140">
        <f>IF($C135="","",IF(PULL_FUND="N","",IFERROR(BDP($C135,EPS_FIELD,YR_OVERRIDE,TEXT(YEAR_Y-3,"0")),"")))</f>
        <v/>
      </c>
      <c r="AA135" s="140">
        <f>IF($C135="","",IF(PULL_FUND="N","",IFERROR(BDP($C135,EPS_FIELD,YR_OVERRIDE,TEXT(YEAR_Y-2,"0")),"")))</f>
        <v/>
      </c>
      <c r="AB135" s="140">
        <f>IF($C135="","",IF(PULL_FUND="N","",IFERROR(BDP($C135,EPS_FIELD,YR_OVERRIDE,TEXT(YEAR_Y-1,"0")),"")))</f>
        <v/>
      </c>
      <c r="AC135" s="126">
        <f>IF($C135="","",IFERROR(AVERAGE(X135:AB135),""))</f>
        <v/>
      </c>
      <c r="AD135" s="140">
        <f>IF($C135="","",IF(PULL_FUND="N","",IFERROR(BDP($C135,BESTEPS_FIELD,FWD_OVERRIDE,TEXT(MOD(YEAR_Y,100),"00")&amp;"Y"),"")))</f>
        <v/>
      </c>
      <c r="AE135" s="141">
        <f>IF($C135="","",IF(PULL_FUND="N","",IFERROR(BDP($C135,PAYOUT_FIELD,YR_OVERRIDE,TEXT(YEAR_Y-5,"0"))/100,"")))</f>
        <v/>
      </c>
      <c r="AF135" s="142">
        <f>IF($C135="","",IF(PULL_FUND="N","",IFERROR(BDP($C135,PAYOUT_FIELD,YR_OVERRIDE,TEXT(YEAR_Y-4,"0"))/100,"")))</f>
        <v/>
      </c>
      <c r="AG135" s="142">
        <f>IF($C135="","",IF(PULL_FUND="N","",IFERROR(BDP($C135,PAYOUT_FIELD,YR_OVERRIDE,TEXT(YEAR_Y-3,"0"))/100,"")))</f>
        <v/>
      </c>
      <c r="AH135" s="142">
        <f>IF($C135="","",IF(PULL_FUND="N","",IFERROR(BDP($C135,PAYOUT_FIELD,YR_OVERRIDE,TEXT(YEAR_Y-2,"0"))/100,"")))</f>
        <v/>
      </c>
      <c r="AI135" s="142">
        <f>IF($C135="","",IF(PULL_FUND="N","",IFERROR(BDP($C135,PAYOUT_FIELD,YR_OVERRIDE,TEXT(YEAR_Y-1,"0"))/100,"")))</f>
        <v/>
      </c>
      <c r="AJ135" s="143">
        <f>IF($C135="","",IFERROR(AVERAGE(AE135:AI135),""))</f>
        <v/>
      </c>
      <c r="AK135" s="144">
        <f>IF($C135="","",IF(ISNUMBER($AD135)*ISNUMBER($N135)*($AD135&lt;&gt;0)=0,"",$N135/$AD135))</f>
        <v/>
      </c>
      <c r="AL135" s="143">
        <f>IF($C135="","",IF(ISNUMBER($AD135)*($AD135&lt;&gt;0)=0,"",$M135/$AD135))</f>
        <v/>
      </c>
      <c r="AM135" s="37">
        <f>IF($C135="","",IF(ISNUMBER($AE135)*ISNUMBER($AI135)=0,"",IF($AI135&gt;$AE135+0.05,"rising",IF($AI135&lt;$AE135-0.05,"falling","stable"))))</f>
        <v/>
      </c>
      <c r="AN135" s="145">
        <f>IF($C135="","",IF(PULL_FUND="N","",IF(COUNTIFS('Fund History'!$G$750:$G$754,"&gt;="&amp;DATE(YEAR_Y-4,1,1),'Fund History'!$G$750:$G$754,"&lt;="&amp;DATE(YEAR_Y-4,12,31))=0,"",SUMIFS('Fund History'!$H$750:$H$754,'Fund History'!$G$750:$G$754,"&gt;="&amp;DATE(YEAR_Y-4,1,1),'Fund History'!$G$750:$G$754,"&lt;="&amp;DATE(YEAR_Y-4,12,31))/100)))</f>
        <v/>
      </c>
      <c r="AO135" s="146">
        <f>IF($C135="","",IF(PULL_FUND="N","",IF(COUNTIFS('Fund History'!$G$750:$G$754,"&gt;="&amp;DATE(YEAR_Y-3,1,1),'Fund History'!$G$750:$G$754,"&lt;="&amp;DATE(YEAR_Y-3,12,31))=0,"",SUMIFS('Fund History'!$H$750:$H$754,'Fund History'!$G$750:$G$754,"&gt;="&amp;DATE(YEAR_Y-3,1,1),'Fund History'!$G$750:$G$754,"&lt;="&amp;DATE(YEAR_Y-3,12,31))/100)))</f>
        <v/>
      </c>
      <c r="AP135" s="146">
        <f>IF($C135="","",IF(PULL_FUND="N","",IF(COUNTIFS('Fund History'!$G$750:$G$754,"&gt;="&amp;DATE(YEAR_Y-2,1,1),'Fund History'!$G$750:$G$754,"&lt;="&amp;DATE(YEAR_Y-2,12,31))=0,"",SUMIFS('Fund History'!$H$750:$H$754,'Fund History'!$G$750:$G$754,"&gt;="&amp;DATE(YEAR_Y-2,1,1),'Fund History'!$G$750:$G$754,"&lt;="&amp;DATE(YEAR_Y-2,12,31))/100)))</f>
        <v/>
      </c>
      <c r="AQ135" s="146">
        <f>IF($C135="","",IF(PULL_FUND="N","",IF(COUNTIFS('Fund History'!$G$750:$G$754,"&gt;="&amp;DATE(YEAR_Y-1,1,1),'Fund History'!$G$750:$G$754,"&lt;="&amp;DATE(YEAR_Y-1,12,31))=0,"",SUMIFS('Fund History'!$H$750:$H$754,'Fund History'!$G$750:$G$754,"&gt;="&amp;DATE(YEAR_Y-1,1,1),'Fund History'!$G$750:$G$754,"&lt;="&amp;DATE(YEAR_Y-1,12,31))/100)))</f>
        <v/>
      </c>
      <c r="AR135" s="147">
        <f>IF($C135="","",IF(N($AQ135)+N(HSTECH!$I$30)=0,"",N($AQ135)+N(HSTECH!$I$30)/100))</f>
        <v/>
      </c>
      <c r="AS135" s="139">
        <f>IF($C135="","",IF(PULL_FUND="N","",IF(COUNTIFS('Fund History'!$D$750:$D$754,"&gt;="&amp;DATE(YEAR_Y-2,1,1),'Fund History'!$D$750:$D$754,"&lt;="&amp;DATE(YEAR_Y-2,12,31))=0,"",SUMIFS('Fund History'!$E$750:$E$754,'Fund History'!$D$750:$D$754,"&gt;="&amp;DATE(YEAR_Y-2,1,1),'Fund History'!$D$750:$D$754,"&lt;="&amp;DATE(YEAR_Y-2,12,31)))))</f>
        <v/>
      </c>
      <c r="AT135" s="140">
        <f>IF($C135="","",IF(PULL_FUND="N","",IF(COUNTIFS('Fund History'!$D$750:$D$754,"&gt;="&amp;DATE(YEAR_Y-1,1,1),'Fund History'!$D$750:$D$754,"&lt;="&amp;DATE(YEAR_Y-1,12,31))=0,"",SUMIFS('Fund History'!$E$750:$E$754,'Fund History'!$D$750:$D$754,"&gt;="&amp;DATE(YEAR_Y-1,1,1),'Fund History'!$D$750:$D$754,"&lt;="&amp;DATE(YEAR_Y-1,12,31)))))</f>
        <v/>
      </c>
      <c r="AU135" s="140">
        <f>IF($C135="","",IF(PULL_FUND="N","",IFERROR(BDP($C135,NDEBITDA_FIELD),"")))</f>
        <v/>
      </c>
      <c r="AV135" s="148">
        <f>IF($C135="","",IF(PULL_FUND="N","",IFERROR(BDP($C135,EBINT_FIELD),"")))</f>
        <v/>
      </c>
      <c r="AW135" s="146">
        <f>IF($C135="","",IF(PULL_FUND="N","",IFERROR(BDP($C135,FCF_FIELD)/100,"")))</f>
        <v/>
      </c>
      <c r="AX135" s="126">
        <f>IF($C135="","",IF(N($U135)=0,"",IFERROR($AW135/$U135,"")))</f>
        <v/>
      </c>
      <c r="AY135" s="85">
        <f>IF($C135="","",TRIM(IF(ISNUMBER($AJ135)*(N($AJ135)&gt;$D$4)&gt;0,"payout high  ","")&amp;IF(ISNUMBER($AX135)*(N($AX135)&lt;$F$4)&gt;0,"FCF below dvd  ","")&amp;IF(ISNUMBER($AU135)*(N($AU135)&gt;$H$4)&gt;0,"leverage high","")))</f>
        <v/>
      </c>
      <c r="AZ135" s="86">
        <f>IF($C135="","",IF(HSTECH!$F$30="HKD","",HSTECH!$F$30))</f>
        <v/>
      </c>
    </row>
    <row r="136">
      <c r="B136" s="66" t="inlineStr">
        <is>
          <t>HSTECH</t>
        </is>
      </c>
      <c r="C136" s="8">
        <f>IF(HSTECH!$C$31="","",HSTECH!$C$31)</f>
        <v/>
      </c>
      <c r="D136" s="8">
        <f>IF($C136="","",HSTECH!$D$31)</f>
        <v/>
      </c>
      <c r="E136" s="8">
        <f>IF($C136="","",HSTECH!$E$31)</f>
        <v/>
      </c>
      <c r="F136" s="131">
        <f>IF($C136="","",SUMPRODUCT(('Dvd Calendar'!$E$1380:$AR$1380&gt;=DATE(YEAR_Y-5,1,1))*('Dvd Calendar'!$E$1380:$AR$1380&lt;=DATE(YEAR_Y-5,12,31))*'Dvd Calendar'!$E$1383:$AR$1383*(('Dvd Calendar'!$E$1385:$AR$1385=TYPE1)*(TYPE1&lt;&gt;"")+('Dvd Calendar'!$E$1385:$AR$1385=TYPE2)*(TYPE2&lt;&gt;"")+('Dvd Calendar'!$E$1385:$AR$1385=TYPE3)*(TYPE3&lt;&gt;"")+('Dvd Calendar'!$E$1385:$AR$1385=TYPE4)*(TYPE4&lt;&gt;"")+('Dvd Calendar'!$E$1385:$AR$1385=SPECIAL_LBL)*(INC_SPECIALS="Y"))))</f>
        <v/>
      </c>
      <c r="G136" s="132">
        <f>IF($C136="","",SUMPRODUCT(('Dvd Calendar'!$E$1380:$AR$1380&gt;=DATE(YEAR_Y-4,1,1))*('Dvd Calendar'!$E$1380:$AR$1380&lt;=DATE(YEAR_Y-4,12,31))*'Dvd Calendar'!$E$1383:$AR$1383*(('Dvd Calendar'!$E$1385:$AR$1385=TYPE1)*(TYPE1&lt;&gt;"")+('Dvd Calendar'!$E$1385:$AR$1385=TYPE2)*(TYPE2&lt;&gt;"")+('Dvd Calendar'!$E$1385:$AR$1385=TYPE3)*(TYPE3&lt;&gt;"")+('Dvd Calendar'!$E$1385:$AR$1385=TYPE4)*(TYPE4&lt;&gt;"")+('Dvd Calendar'!$E$1385:$AR$1385=SPECIAL_LBL)*(INC_SPECIALS="Y"))))</f>
        <v/>
      </c>
      <c r="H136" s="132">
        <f>IF($C136="","",SUMPRODUCT(('Dvd Calendar'!$E$1380:$AR$1380&gt;=DATE(YEAR_Y-3,1,1))*('Dvd Calendar'!$E$1380:$AR$1380&lt;=DATE(YEAR_Y-3,12,31))*'Dvd Calendar'!$E$1383:$AR$1383*(('Dvd Calendar'!$E$1385:$AR$1385=TYPE1)*(TYPE1&lt;&gt;"")+('Dvd Calendar'!$E$1385:$AR$1385=TYPE2)*(TYPE2&lt;&gt;"")+('Dvd Calendar'!$E$1385:$AR$1385=TYPE3)*(TYPE3&lt;&gt;"")+('Dvd Calendar'!$E$1385:$AR$1385=TYPE4)*(TYPE4&lt;&gt;"")+('Dvd Calendar'!$E$1385:$AR$1385=SPECIAL_LBL)*(INC_SPECIALS="Y"))))</f>
        <v/>
      </c>
      <c r="I136" s="132">
        <f>IF($C136="","",SUMPRODUCT(('Dvd Calendar'!$E$1380:$AR$1380&gt;=DATE(YEAR_Y-2,1,1))*('Dvd Calendar'!$E$1380:$AR$1380&lt;=DATE(YEAR_Y-2,12,31))*'Dvd Calendar'!$E$1383:$AR$1383*(('Dvd Calendar'!$E$1385:$AR$1385=TYPE1)*(TYPE1&lt;&gt;"")+('Dvd Calendar'!$E$1385:$AR$1385=TYPE2)*(TYPE2&lt;&gt;"")+('Dvd Calendar'!$E$1385:$AR$1385=TYPE3)*(TYPE3&lt;&gt;"")+('Dvd Calendar'!$E$1385:$AR$1385=TYPE4)*(TYPE4&lt;&gt;"")+('Dvd Calendar'!$E$1385:$AR$1385=SPECIAL_LBL)*(INC_SPECIALS="Y"))))</f>
        <v/>
      </c>
      <c r="J136" s="132">
        <f>IF($C136="","",SUMPRODUCT(('Dvd Calendar'!$E$1380:$AR$1380&gt;=DATE(YEAR_Y-1,1,1))*('Dvd Calendar'!$E$1380:$AR$1380&lt;=DATE(YEAR_Y-1,12,31))*'Dvd Calendar'!$E$1383:$AR$1383*(('Dvd Calendar'!$E$1385:$AR$1385=TYPE1)*(TYPE1&lt;&gt;"")+('Dvd Calendar'!$E$1385:$AR$1385=TYPE2)*(TYPE2&lt;&gt;"")+('Dvd Calendar'!$E$1385:$AR$1385=TYPE3)*(TYPE3&lt;&gt;"")+('Dvd Calendar'!$E$1385:$AR$1385=TYPE4)*(TYPE4&lt;&gt;"")+('Dvd Calendar'!$E$1385:$AR$1385=SPECIAL_LBL)*(INC_SPECIALS="Y"))))</f>
        <v/>
      </c>
      <c r="K136" s="133">
        <f>IF($C136="","",HSTECH!$J$31)</f>
        <v/>
      </c>
      <c r="L136" s="133">
        <f>IF($C136="","",HSTECH!$K$31)</f>
        <v/>
      </c>
      <c r="M136" s="124">
        <f>IF($C136="","",HSTECH!$J$31+HSTECH!$L$31)</f>
        <v/>
      </c>
      <c r="N136" s="134">
        <f>IF($C136="","",IF(PULL_FUND="N","",IFERROR(BDP($C136,BESTDPS_FIELD,FWD_OVERRIDE,TEXT(MOD(YEAR_Y,100),"00")&amp;"Y"),"")))</f>
        <v/>
      </c>
      <c r="O136" s="133">
        <f>IF($C136="","",AVERAGE(F136:J136))</f>
        <v/>
      </c>
      <c r="P136" s="135">
        <f>IF($C136="","",IF(PULL_FUND="N","",IF(COUNTIFS('Fund History'!$J$756:$J$760,"&gt;="&amp;DATE(YEAR_Y-5,1,1),'Fund History'!$J$756:$J$760,"&lt;="&amp;DATE(YEAR_Y-5,12,31))=0,"",IFERROR($F136*HSTECH!$G$31/SUMIFS('Fund History'!$K$756:$K$760,'Fund History'!$J$756:$J$760,"&gt;="&amp;DATE(YEAR_Y-5,1,1),'Fund History'!$J$756:$J$760,"&lt;="&amp;DATE(YEAR_Y-5,12,31)),""))))</f>
        <v/>
      </c>
      <c r="Q136" s="136">
        <f>IF($C136="","",IF(PULL_FUND="N","",IF(COUNTIFS('Fund History'!$J$756:$J$760,"&gt;="&amp;DATE(YEAR_Y-4,1,1),'Fund History'!$J$756:$J$760,"&lt;="&amp;DATE(YEAR_Y-4,12,31))=0,"",IFERROR($G136*HSTECH!$G$31/SUMIFS('Fund History'!$K$756:$K$760,'Fund History'!$J$756:$J$760,"&gt;="&amp;DATE(YEAR_Y-4,1,1),'Fund History'!$J$756:$J$760,"&lt;="&amp;DATE(YEAR_Y-4,12,31)),""))))</f>
        <v/>
      </c>
      <c r="R136" s="136">
        <f>IF($C136="","",IF(PULL_FUND="N","",IF(COUNTIFS('Fund History'!$J$756:$J$760,"&gt;="&amp;DATE(YEAR_Y-3,1,1),'Fund History'!$J$756:$J$760,"&lt;="&amp;DATE(YEAR_Y-3,12,31))=0,"",IFERROR($H136*HSTECH!$G$31/SUMIFS('Fund History'!$K$756:$K$760,'Fund History'!$J$756:$J$760,"&gt;="&amp;DATE(YEAR_Y-3,1,1),'Fund History'!$J$756:$J$760,"&lt;="&amp;DATE(YEAR_Y-3,12,31)),""))))</f>
        <v/>
      </c>
      <c r="S136" s="136">
        <f>IF($C136="","",IF(PULL_FUND="N","",IF(COUNTIFS('Fund History'!$J$756:$J$760,"&gt;="&amp;DATE(YEAR_Y-2,1,1),'Fund History'!$J$756:$J$760,"&lt;="&amp;DATE(YEAR_Y-2,12,31))=0,"",IFERROR($I136*HSTECH!$G$31/SUMIFS('Fund History'!$K$756:$K$760,'Fund History'!$J$756:$J$760,"&gt;="&amp;DATE(YEAR_Y-2,1,1),'Fund History'!$J$756:$J$760,"&lt;="&amp;DATE(YEAR_Y-2,12,31)),""))))</f>
        <v/>
      </c>
      <c r="T136" s="136">
        <f>IF($C136="","",IF(PULL_FUND="N","",IF(COUNTIFS('Fund History'!$J$756:$J$760,"&gt;="&amp;DATE(YEAR_Y-1,1,1),'Fund History'!$J$756:$J$760,"&lt;="&amp;DATE(YEAR_Y-1,12,31))=0,"",IFERROR($J136*HSTECH!$G$31/SUMIFS('Fund History'!$K$756:$K$760,'Fund History'!$J$756:$J$760,"&gt;="&amp;DATE(YEAR_Y-1,1,1),'Fund History'!$J$756:$J$760,"&lt;="&amp;DATE(YEAR_Y-1,12,31)),""))))</f>
        <v/>
      </c>
      <c r="U136" s="137">
        <f>IF($C136="","",IF(ISNUMBER(HSTECH!$I$31),HSTECH!$I$31/100,""))</f>
        <v/>
      </c>
      <c r="V136" s="138">
        <f>IF($C136="","",IF(ISNUMBER(HSTECH!$X$31),IFERROR($M136*HSTECH!$G$31/HSTECH!$X$31,""),""))</f>
        <v/>
      </c>
      <c r="W136" s="137">
        <f>IF($C136="","",IF(ISNUMBER($N136),IFERROR($N136*HSTECH!$G$31/HSTECH!$X$31,""),""))</f>
        <v/>
      </c>
      <c r="X136" s="139">
        <f>IF($C136="","",IF(PULL_FUND="N","",IFERROR(BDP($C136,EPS_FIELD,YR_OVERRIDE,TEXT(YEAR_Y-5,"0")),"")))</f>
        <v/>
      </c>
      <c r="Y136" s="140">
        <f>IF($C136="","",IF(PULL_FUND="N","",IFERROR(BDP($C136,EPS_FIELD,YR_OVERRIDE,TEXT(YEAR_Y-4,"0")),"")))</f>
        <v/>
      </c>
      <c r="Z136" s="140">
        <f>IF($C136="","",IF(PULL_FUND="N","",IFERROR(BDP($C136,EPS_FIELD,YR_OVERRIDE,TEXT(YEAR_Y-3,"0")),"")))</f>
        <v/>
      </c>
      <c r="AA136" s="140">
        <f>IF($C136="","",IF(PULL_FUND="N","",IFERROR(BDP($C136,EPS_FIELD,YR_OVERRIDE,TEXT(YEAR_Y-2,"0")),"")))</f>
        <v/>
      </c>
      <c r="AB136" s="140">
        <f>IF($C136="","",IF(PULL_FUND="N","",IFERROR(BDP($C136,EPS_FIELD,YR_OVERRIDE,TEXT(YEAR_Y-1,"0")),"")))</f>
        <v/>
      </c>
      <c r="AC136" s="126">
        <f>IF($C136="","",IFERROR(AVERAGE(X136:AB136),""))</f>
        <v/>
      </c>
      <c r="AD136" s="140">
        <f>IF($C136="","",IF(PULL_FUND="N","",IFERROR(BDP($C136,BESTEPS_FIELD,FWD_OVERRIDE,TEXT(MOD(YEAR_Y,100),"00")&amp;"Y"),"")))</f>
        <v/>
      </c>
      <c r="AE136" s="141">
        <f>IF($C136="","",IF(PULL_FUND="N","",IFERROR(BDP($C136,PAYOUT_FIELD,YR_OVERRIDE,TEXT(YEAR_Y-5,"0"))/100,"")))</f>
        <v/>
      </c>
      <c r="AF136" s="142">
        <f>IF($C136="","",IF(PULL_FUND="N","",IFERROR(BDP($C136,PAYOUT_FIELD,YR_OVERRIDE,TEXT(YEAR_Y-4,"0"))/100,"")))</f>
        <v/>
      </c>
      <c r="AG136" s="142">
        <f>IF($C136="","",IF(PULL_FUND="N","",IFERROR(BDP($C136,PAYOUT_FIELD,YR_OVERRIDE,TEXT(YEAR_Y-3,"0"))/100,"")))</f>
        <v/>
      </c>
      <c r="AH136" s="142">
        <f>IF($C136="","",IF(PULL_FUND="N","",IFERROR(BDP($C136,PAYOUT_FIELD,YR_OVERRIDE,TEXT(YEAR_Y-2,"0"))/100,"")))</f>
        <v/>
      </c>
      <c r="AI136" s="142">
        <f>IF($C136="","",IF(PULL_FUND="N","",IFERROR(BDP($C136,PAYOUT_FIELD,YR_OVERRIDE,TEXT(YEAR_Y-1,"0"))/100,"")))</f>
        <v/>
      </c>
      <c r="AJ136" s="143">
        <f>IF($C136="","",IFERROR(AVERAGE(AE136:AI136),""))</f>
        <v/>
      </c>
      <c r="AK136" s="144">
        <f>IF($C136="","",IF(ISNUMBER($AD136)*ISNUMBER($N136)*($AD136&lt;&gt;0)=0,"",$N136/$AD136))</f>
        <v/>
      </c>
      <c r="AL136" s="143">
        <f>IF($C136="","",IF(ISNUMBER($AD136)*($AD136&lt;&gt;0)=0,"",$M136/$AD136))</f>
        <v/>
      </c>
      <c r="AM136" s="37">
        <f>IF($C136="","",IF(ISNUMBER($AE136)*ISNUMBER($AI136)=0,"",IF($AI136&gt;$AE136+0.05,"rising",IF($AI136&lt;$AE136-0.05,"falling","stable"))))</f>
        <v/>
      </c>
      <c r="AN136" s="145">
        <f>IF($C136="","",IF(PULL_FUND="N","",IF(COUNTIFS('Fund History'!$G$756:$G$760,"&gt;="&amp;DATE(YEAR_Y-4,1,1),'Fund History'!$G$756:$G$760,"&lt;="&amp;DATE(YEAR_Y-4,12,31))=0,"",SUMIFS('Fund History'!$H$756:$H$760,'Fund History'!$G$756:$G$760,"&gt;="&amp;DATE(YEAR_Y-4,1,1),'Fund History'!$G$756:$G$760,"&lt;="&amp;DATE(YEAR_Y-4,12,31))/100)))</f>
        <v/>
      </c>
      <c r="AO136" s="146">
        <f>IF($C136="","",IF(PULL_FUND="N","",IF(COUNTIFS('Fund History'!$G$756:$G$760,"&gt;="&amp;DATE(YEAR_Y-3,1,1),'Fund History'!$G$756:$G$760,"&lt;="&amp;DATE(YEAR_Y-3,12,31))=0,"",SUMIFS('Fund History'!$H$756:$H$760,'Fund History'!$G$756:$G$760,"&gt;="&amp;DATE(YEAR_Y-3,1,1),'Fund History'!$G$756:$G$760,"&lt;="&amp;DATE(YEAR_Y-3,12,31))/100)))</f>
        <v/>
      </c>
      <c r="AP136" s="146">
        <f>IF($C136="","",IF(PULL_FUND="N","",IF(COUNTIFS('Fund History'!$G$756:$G$760,"&gt;="&amp;DATE(YEAR_Y-2,1,1),'Fund History'!$G$756:$G$760,"&lt;="&amp;DATE(YEAR_Y-2,12,31))=0,"",SUMIFS('Fund History'!$H$756:$H$760,'Fund History'!$G$756:$G$760,"&gt;="&amp;DATE(YEAR_Y-2,1,1),'Fund History'!$G$756:$G$760,"&lt;="&amp;DATE(YEAR_Y-2,12,31))/100)))</f>
        <v/>
      </c>
      <c r="AQ136" s="146">
        <f>IF($C136="","",IF(PULL_FUND="N","",IF(COUNTIFS('Fund History'!$G$756:$G$760,"&gt;="&amp;DATE(YEAR_Y-1,1,1),'Fund History'!$G$756:$G$760,"&lt;="&amp;DATE(YEAR_Y-1,12,31))=0,"",SUMIFS('Fund History'!$H$756:$H$760,'Fund History'!$G$756:$G$760,"&gt;="&amp;DATE(YEAR_Y-1,1,1),'Fund History'!$G$756:$G$760,"&lt;="&amp;DATE(YEAR_Y-1,12,31))/100)))</f>
        <v/>
      </c>
      <c r="AR136" s="147">
        <f>IF($C136="","",IF(N($AQ136)+N(HSTECH!$I$31)=0,"",N($AQ136)+N(HSTECH!$I$31)/100))</f>
        <v/>
      </c>
      <c r="AS136" s="139">
        <f>IF($C136="","",IF(PULL_FUND="N","",IF(COUNTIFS('Fund History'!$D$756:$D$760,"&gt;="&amp;DATE(YEAR_Y-2,1,1),'Fund History'!$D$756:$D$760,"&lt;="&amp;DATE(YEAR_Y-2,12,31))=0,"",SUMIFS('Fund History'!$E$756:$E$760,'Fund History'!$D$756:$D$760,"&gt;="&amp;DATE(YEAR_Y-2,1,1),'Fund History'!$D$756:$D$760,"&lt;="&amp;DATE(YEAR_Y-2,12,31)))))</f>
        <v/>
      </c>
      <c r="AT136" s="140">
        <f>IF($C136="","",IF(PULL_FUND="N","",IF(COUNTIFS('Fund History'!$D$756:$D$760,"&gt;="&amp;DATE(YEAR_Y-1,1,1),'Fund History'!$D$756:$D$760,"&lt;="&amp;DATE(YEAR_Y-1,12,31))=0,"",SUMIFS('Fund History'!$E$756:$E$760,'Fund History'!$D$756:$D$760,"&gt;="&amp;DATE(YEAR_Y-1,1,1),'Fund History'!$D$756:$D$760,"&lt;="&amp;DATE(YEAR_Y-1,12,31)))))</f>
        <v/>
      </c>
      <c r="AU136" s="140">
        <f>IF($C136="","",IF(PULL_FUND="N","",IFERROR(BDP($C136,NDEBITDA_FIELD),"")))</f>
        <v/>
      </c>
      <c r="AV136" s="148">
        <f>IF($C136="","",IF(PULL_FUND="N","",IFERROR(BDP($C136,EBINT_FIELD),"")))</f>
        <v/>
      </c>
      <c r="AW136" s="146">
        <f>IF($C136="","",IF(PULL_FUND="N","",IFERROR(BDP($C136,FCF_FIELD)/100,"")))</f>
        <v/>
      </c>
      <c r="AX136" s="126">
        <f>IF($C136="","",IF(N($U136)=0,"",IFERROR($AW136/$U136,"")))</f>
        <v/>
      </c>
      <c r="AY136" s="85">
        <f>IF($C136="","",TRIM(IF(ISNUMBER($AJ136)*(N($AJ136)&gt;$D$4)&gt;0,"payout high  ","")&amp;IF(ISNUMBER($AX136)*(N($AX136)&lt;$F$4)&gt;0,"FCF below dvd  ","")&amp;IF(ISNUMBER($AU136)*(N($AU136)&gt;$H$4)&gt;0,"leverage high","")))</f>
        <v/>
      </c>
      <c r="AZ136" s="86">
        <f>IF($C136="","",IF(HSTECH!$F$31="HKD","",HSTECH!$F$31))</f>
        <v/>
      </c>
    </row>
    <row r="137">
      <c r="B137" s="66" t="inlineStr">
        <is>
          <t>HSTECH</t>
        </is>
      </c>
      <c r="C137" s="8">
        <f>IF(HSTECH!$C$32="","",HSTECH!$C$32)</f>
        <v/>
      </c>
      <c r="D137" s="8">
        <f>IF($C137="","",HSTECH!$D$32)</f>
        <v/>
      </c>
      <c r="E137" s="8">
        <f>IF($C137="","",HSTECH!$E$32)</f>
        <v/>
      </c>
      <c r="F137" s="131">
        <f>IF($C137="","",SUMPRODUCT(('Dvd Calendar'!$E$1391:$AR$1391&gt;=DATE(YEAR_Y-5,1,1))*('Dvd Calendar'!$E$1391:$AR$1391&lt;=DATE(YEAR_Y-5,12,31))*'Dvd Calendar'!$E$1394:$AR$1394*(('Dvd Calendar'!$E$1396:$AR$1396=TYPE1)*(TYPE1&lt;&gt;"")+('Dvd Calendar'!$E$1396:$AR$1396=TYPE2)*(TYPE2&lt;&gt;"")+('Dvd Calendar'!$E$1396:$AR$1396=TYPE3)*(TYPE3&lt;&gt;"")+('Dvd Calendar'!$E$1396:$AR$1396=TYPE4)*(TYPE4&lt;&gt;"")+('Dvd Calendar'!$E$1396:$AR$1396=SPECIAL_LBL)*(INC_SPECIALS="Y"))))</f>
        <v/>
      </c>
      <c r="G137" s="132">
        <f>IF($C137="","",SUMPRODUCT(('Dvd Calendar'!$E$1391:$AR$1391&gt;=DATE(YEAR_Y-4,1,1))*('Dvd Calendar'!$E$1391:$AR$1391&lt;=DATE(YEAR_Y-4,12,31))*'Dvd Calendar'!$E$1394:$AR$1394*(('Dvd Calendar'!$E$1396:$AR$1396=TYPE1)*(TYPE1&lt;&gt;"")+('Dvd Calendar'!$E$1396:$AR$1396=TYPE2)*(TYPE2&lt;&gt;"")+('Dvd Calendar'!$E$1396:$AR$1396=TYPE3)*(TYPE3&lt;&gt;"")+('Dvd Calendar'!$E$1396:$AR$1396=TYPE4)*(TYPE4&lt;&gt;"")+('Dvd Calendar'!$E$1396:$AR$1396=SPECIAL_LBL)*(INC_SPECIALS="Y"))))</f>
        <v/>
      </c>
      <c r="H137" s="132">
        <f>IF($C137="","",SUMPRODUCT(('Dvd Calendar'!$E$1391:$AR$1391&gt;=DATE(YEAR_Y-3,1,1))*('Dvd Calendar'!$E$1391:$AR$1391&lt;=DATE(YEAR_Y-3,12,31))*'Dvd Calendar'!$E$1394:$AR$1394*(('Dvd Calendar'!$E$1396:$AR$1396=TYPE1)*(TYPE1&lt;&gt;"")+('Dvd Calendar'!$E$1396:$AR$1396=TYPE2)*(TYPE2&lt;&gt;"")+('Dvd Calendar'!$E$1396:$AR$1396=TYPE3)*(TYPE3&lt;&gt;"")+('Dvd Calendar'!$E$1396:$AR$1396=TYPE4)*(TYPE4&lt;&gt;"")+('Dvd Calendar'!$E$1396:$AR$1396=SPECIAL_LBL)*(INC_SPECIALS="Y"))))</f>
        <v/>
      </c>
      <c r="I137" s="132">
        <f>IF($C137="","",SUMPRODUCT(('Dvd Calendar'!$E$1391:$AR$1391&gt;=DATE(YEAR_Y-2,1,1))*('Dvd Calendar'!$E$1391:$AR$1391&lt;=DATE(YEAR_Y-2,12,31))*'Dvd Calendar'!$E$1394:$AR$1394*(('Dvd Calendar'!$E$1396:$AR$1396=TYPE1)*(TYPE1&lt;&gt;"")+('Dvd Calendar'!$E$1396:$AR$1396=TYPE2)*(TYPE2&lt;&gt;"")+('Dvd Calendar'!$E$1396:$AR$1396=TYPE3)*(TYPE3&lt;&gt;"")+('Dvd Calendar'!$E$1396:$AR$1396=TYPE4)*(TYPE4&lt;&gt;"")+('Dvd Calendar'!$E$1396:$AR$1396=SPECIAL_LBL)*(INC_SPECIALS="Y"))))</f>
        <v/>
      </c>
      <c r="J137" s="132">
        <f>IF($C137="","",SUMPRODUCT(('Dvd Calendar'!$E$1391:$AR$1391&gt;=DATE(YEAR_Y-1,1,1))*('Dvd Calendar'!$E$1391:$AR$1391&lt;=DATE(YEAR_Y-1,12,31))*'Dvd Calendar'!$E$1394:$AR$1394*(('Dvd Calendar'!$E$1396:$AR$1396=TYPE1)*(TYPE1&lt;&gt;"")+('Dvd Calendar'!$E$1396:$AR$1396=TYPE2)*(TYPE2&lt;&gt;"")+('Dvd Calendar'!$E$1396:$AR$1396=TYPE3)*(TYPE3&lt;&gt;"")+('Dvd Calendar'!$E$1396:$AR$1396=TYPE4)*(TYPE4&lt;&gt;"")+('Dvd Calendar'!$E$1396:$AR$1396=SPECIAL_LBL)*(INC_SPECIALS="Y"))))</f>
        <v/>
      </c>
      <c r="K137" s="133">
        <f>IF($C137="","",HSTECH!$J$32)</f>
        <v/>
      </c>
      <c r="L137" s="133">
        <f>IF($C137="","",HSTECH!$K$32)</f>
        <v/>
      </c>
      <c r="M137" s="124">
        <f>IF($C137="","",HSTECH!$J$32+HSTECH!$L$32)</f>
        <v/>
      </c>
      <c r="N137" s="134">
        <f>IF($C137="","",IF(PULL_FUND="N","",IFERROR(BDP($C137,BESTDPS_FIELD,FWD_OVERRIDE,TEXT(MOD(YEAR_Y,100),"00")&amp;"Y"),"")))</f>
        <v/>
      </c>
      <c r="O137" s="133">
        <f>IF($C137="","",AVERAGE(F137:J137))</f>
        <v/>
      </c>
      <c r="P137" s="135">
        <f>IF($C137="","",IF(PULL_FUND="N","",IF(COUNTIFS('Fund History'!$J$762:$J$766,"&gt;="&amp;DATE(YEAR_Y-5,1,1),'Fund History'!$J$762:$J$766,"&lt;="&amp;DATE(YEAR_Y-5,12,31))=0,"",IFERROR($F137*HSTECH!$G$32/SUMIFS('Fund History'!$K$762:$K$766,'Fund History'!$J$762:$J$766,"&gt;="&amp;DATE(YEAR_Y-5,1,1),'Fund History'!$J$762:$J$766,"&lt;="&amp;DATE(YEAR_Y-5,12,31)),""))))</f>
        <v/>
      </c>
      <c r="Q137" s="136">
        <f>IF($C137="","",IF(PULL_FUND="N","",IF(COUNTIFS('Fund History'!$J$762:$J$766,"&gt;="&amp;DATE(YEAR_Y-4,1,1),'Fund History'!$J$762:$J$766,"&lt;="&amp;DATE(YEAR_Y-4,12,31))=0,"",IFERROR($G137*HSTECH!$G$32/SUMIFS('Fund History'!$K$762:$K$766,'Fund History'!$J$762:$J$766,"&gt;="&amp;DATE(YEAR_Y-4,1,1),'Fund History'!$J$762:$J$766,"&lt;="&amp;DATE(YEAR_Y-4,12,31)),""))))</f>
        <v/>
      </c>
      <c r="R137" s="136">
        <f>IF($C137="","",IF(PULL_FUND="N","",IF(COUNTIFS('Fund History'!$J$762:$J$766,"&gt;="&amp;DATE(YEAR_Y-3,1,1),'Fund History'!$J$762:$J$766,"&lt;="&amp;DATE(YEAR_Y-3,12,31))=0,"",IFERROR($H137*HSTECH!$G$32/SUMIFS('Fund History'!$K$762:$K$766,'Fund History'!$J$762:$J$766,"&gt;="&amp;DATE(YEAR_Y-3,1,1),'Fund History'!$J$762:$J$766,"&lt;="&amp;DATE(YEAR_Y-3,12,31)),""))))</f>
        <v/>
      </c>
      <c r="S137" s="136">
        <f>IF($C137="","",IF(PULL_FUND="N","",IF(COUNTIFS('Fund History'!$J$762:$J$766,"&gt;="&amp;DATE(YEAR_Y-2,1,1),'Fund History'!$J$762:$J$766,"&lt;="&amp;DATE(YEAR_Y-2,12,31))=0,"",IFERROR($I137*HSTECH!$G$32/SUMIFS('Fund History'!$K$762:$K$766,'Fund History'!$J$762:$J$766,"&gt;="&amp;DATE(YEAR_Y-2,1,1),'Fund History'!$J$762:$J$766,"&lt;="&amp;DATE(YEAR_Y-2,12,31)),""))))</f>
        <v/>
      </c>
      <c r="T137" s="136">
        <f>IF($C137="","",IF(PULL_FUND="N","",IF(COUNTIFS('Fund History'!$J$762:$J$766,"&gt;="&amp;DATE(YEAR_Y-1,1,1),'Fund History'!$J$762:$J$766,"&lt;="&amp;DATE(YEAR_Y-1,12,31))=0,"",IFERROR($J137*HSTECH!$G$32/SUMIFS('Fund History'!$K$762:$K$766,'Fund History'!$J$762:$J$766,"&gt;="&amp;DATE(YEAR_Y-1,1,1),'Fund History'!$J$762:$J$766,"&lt;="&amp;DATE(YEAR_Y-1,12,31)),""))))</f>
        <v/>
      </c>
      <c r="U137" s="137">
        <f>IF($C137="","",IF(ISNUMBER(HSTECH!$I$32),HSTECH!$I$32/100,""))</f>
        <v/>
      </c>
      <c r="V137" s="138">
        <f>IF($C137="","",IF(ISNUMBER(HSTECH!$X$32),IFERROR($M137*HSTECH!$G$32/HSTECH!$X$32,""),""))</f>
        <v/>
      </c>
      <c r="W137" s="137">
        <f>IF($C137="","",IF(ISNUMBER($N137),IFERROR($N137*HSTECH!$G$32/HSTECH!$X$32,""),""))</f>
        <v/>
      </c>
      <c r="X137" s="139">
        <f>IF($C137="","",IF(PULL_FUND="N","",IFERROR(BDP($C137,EPS_FIELD,YR_OVERRIDE,TEXT(YEAR_Y-5,"0")),"")))</f>
        <v/>
      </c>
      <c r="Y137" s="140">
        <f>IF($C137="","",IF(PULL_FUND="N","",IFERROR(BDP($C137,EPS_FIELD,YR_OVERRIDE,TEXT(YEAR_Y-4,"0")),"")))</f>
        <v/>
      </c>
      <c r="Z137" s="140">
        <f>IF($C137="","",IF(PULL_FUND="N","",IFERROR(BDP($C137,EPS_FIELD,YR_OVERRIDE,TEXT(YEAR_Y-3,"0")),"")))</f>
        <v/>
      </c>
      <c r="AA137" s="140">
        <f>IF($C137="","",IF(PULL_FUND="N","",IFERROR(BDP($C137,EPS_FIELD,YR_OVERRIDE,TEXT(YEAR_Y-2,"0")),"")))</f>
        <v/>
      </c>
      <c r="AB137" s="140">
        <f>IF($C137="","",IF(PULL_FUND="N","",IFERROR(BDP($C137,EPS_FIELD,YR_OVERRIDE,TEXT(YEAR_Y-1,"0")),"")))</f>
        <v/>
      </c>
      <c r="AC137" s="126">
        <f>IF($C137="","",IFERROR(AVERAGE(X137:AB137),""))</f>
        <v/>
      </c>
      <c r="AD137" s="140">
        <f>IF($C137="","",IF(PULL_FUND="N","",IFERROR(BDP($C137,BESTEPS_FIELD,FWD_OVERRIDE,TEXT(MOD(YEAR_Y,100),"00")&amp;"Y"),"")))</f>
        <v/>
      </c>
      <c r="AE137" s="141">
        <f>IF($C137="","",IF(PULL_FUND="N","",IFERROR(BDP($C137,PAYOUT_FIELD,YR_OVERRIDE,TEXT(YEAR_Y-5,"0"))/100,"")))</f>
        <v/>
      </c>
      <c r="AF137" s="142">
        <f>IF($C137="","",IF(PULL_FUND="N","",IFERROR(BDP($C137,PAYOUT_FIELD,YR_OVERRIDE,TEXT(YEAR_Y-4,"0"))/100,"")))</f>
        <v/>
      </c>
      <c r="AG137" s="142">
        <f>IF($C137="","",IF(PULL_FUND="N","",IFERROR(BDP($C137,PAYOUT_FIELD,YR_OVERRIDE,TEXT(YEAR_Y-3,"0"))/100,"")))</f>
        <v/>
      </c>
      <c r="AH137" s="142">
        <f>IF($C137="","",IF(PULL_FUND="N","",IFERROR(BDP($C137,PAYOUT_FIELD,YR_OVERRIDE,TEXT(YEAR_Y-2,"0"))/100,"")))</f>
        <v/>
      </c>
      <c r="AI137" s="142">
        <f>IF($C137="","",IF(PULL_FUND="N","",IFERROR(BDP($C137,PAYOUT_FIELD,YR_OVERRIDE,TEXT(YEAR_Y-1,"0"))/100,"")))</f>
        <v/>
      </c>
      <c r="AJ137" s="143">
        <f>IF($C137="","",IFERROR(AVERAGE(AE137:AI137),""))</f>
        <v/>
      </c>
      <c r="AK137" s="144">
        <f>IF($C137="","",IF(ISNUMBER($AD137)*ISNUMBER($N137)*($AD137&lt;&gt;0)=0,"",$N137/$AD137))</f>
        <v/>
      </c>
      <c r="AL137" s="143">
        <f>IF($C137="","",IF(ISNUMBER($AD137)*($AD137&lt;&gt;0)=0,"",$M137/$AD137))</f>
        <v/>
      </c>
      <c r="AM137" s="37">
        <f>IF($C137="","",IF(ISNUMBER($AE137)*ISNUMBER($AI137)=0,"",IF($AI137&gt;$AE137+0.05,"rising",IF($AI137&lt;$AE137-0.05,"falling","stable"))))</f>
        <v/>
      </c>
      <c r="AN137" s="145">
        <f>IF($C137="","",IF(PULL_FUND="N","",IF(COUNTIFS('Fund History'!$G$762:$G$766,"&gt;="&amp;DATE(YEAR_Y-4,1,1),'Fund History'!$G$762:$G$766,"&lt;="&amp;DATE(YEAR_Y-4,12,31))=0,"",SUMIFS('Fund History'!$H$762:$H$766,'Fund History'!$G$762:$G$766,"&gt;="&amp;DATE(YEAR_Y-4,1,1),'Fund History'!$G$762:$G$766,"&lt;="&amp;DATE(YEAR_Y-4,12,31))/100)))</f>
        <v/>
      </c>
      <c r="AO137" s="146">
        <f>IF($C137="","",IF(PULL_FUND="N","",IF(COUNTIFS('Fund History'!$G$762:$G$766,"&gt;="&amp;DATE(YEAR_Y-3,1,1),'Fund History'!$G$762:$G$766,"&lt;="&amp;DATE(YEAR_Y-3,12,31))=0,"",SUMIFS('Fund History'!$H$762:$H$766,'Fund History'!$G$762:$G$766,"&gt;="&amp;DATE(YEAR_Y-3,1,1),'Fund History'!$G$762:$G$766,"&lt;="&amp;DATE(YEAR_Y-3,12,31))/100)))</f>
        <v/>
      </c>
      <c r="AP137" s="146">
        <f>IF($C137="","",IF(PULL_FUND="N","",IF(COUNTIFS('Fund History'!$G$762:$G$766,"&gt;="&amp;DATE(YEAR_Y-2,1,1),'Fund History'!$G$762:$G$766,"&lt;="&amp;DATE(YEAR_Y-2,12,31))=0,"",SUMIFS('Fund History'!$H$762:$H$766,'Fund History'!$G$762:$G$766,"&gt;="&amp;DATE(YEAR_Y-2,1,1),'Fund History'!$G$762:$G$766,"&lt;="&amp;DATE(YEAR_Y-2,12,31))/100)))</f>
        <v/>
      </c>
      <c r="AQ137" s="146">
        <f>IF($C137="","",IF(PULL_FUND="N","",IF(COUNTIFS('Fund History'!$G$762:$G$766,"&gt;="&amp;DATE(YEAR_Y-1,1,1),'Fund History'!$G$762:$G$766,"&lt;="&amp;DATE(YEAR_Y-1,12,31))=0,"",SUMIFS('Fund History'!$H$762:$H$766,'Fund History'!$G$762:$G$766,"&gt;="&amp;DATE(YEAR_Y-1,1,1),'Fund History'!$G$762:$G$766,"&lt;="&amp;DATE(YEAR_Y-1,12,31))/100)))</f>
        <v/>
      </c>
      <c r="AR137" s="147">
        <f>IF($C137="","",IF(N($AQ137)+N(HSTECH!$I$32)=0,"",N($AQ137)+N(HSTECH!$I$32)/100))</f>
        <v/>
      </c>
      <c r="AS137" s="139">
        <f>IF($C137="","",IF(PULL_FUND="N","",IF(COUNTIFS('Fund History'!$D$762:$D$766,"&gt;="&amp;DATE(YEAR_Y-2,1,1),'Fund History'!$D$762:$D$766,"&lt;="&amp;DATE(YEAR_Y-2,12,31))=0,"",SUMIFS('Fund History'!$E$762:$E$766,'Fund History'!$D$762:$D$766,"&gt;="&amp;DATE(YEAR_Y-2,1,1),'Fund History'!$D$762:$D$766,"&lt;="&amp;DATE(YEAR_Y-2,12,31)))))</f>
        <v/>
      </c>
      <c r="AT137" s="140">
        <f>IF($C137="","",IF(PULL_FUND="N","",IF(COUNTIFS('Fund History'!$D$762:$D$766,"&gt;="&amp;DATE(YEAR_Y-1,1,1),'Fund History'!$D$762:$D$766,"&lt;="&amp;DATE(YEAR_Y-1,12,31))=0,"",SUMIFS('Fund History'!$E$762:$E$766,'Fund History'!$D$762:$D$766,"&gt;="&amp;DATE(YEAR_Y-1,1,1),'Fund History'!$D$762:$D$766,"&lt;="&amp;DATE(YEAR_Y-1,12,31)))))</f>
        <v/>
      </c>
      <c r="AU137" s="140">
        <f>IF($C137="","",IF(PULL_FUND="N","",IFERROR(BDP($C137,NDEBITDA_FIELD),"")))</f>
        <v/>
      </c>
      <c r="AV137" s="148">
        <f>IF($C137="","",IF(PULL_FUND="N","",IFERROR(BDP($C137,EBINT_FIELD),"")))</f>
        <v/>
      </c>
      <c r="AW137" s="146">
        <f>IF($C137="","",IF(PULL_FUND="N","",IFERROR(BDP($C137,FCF_FIELD)/100,"")))</f>
        <v/>
      </c>
      <c r="AX137" s="126">
        <f>IF($C137="","",IF(N($U137)=0,"",IFERROR($AW137/$U137,"")))</f>
        <v/>
      </c>
      <c r="AY137" s="85">
        <f>IF($C137="","",TRIM(IF(ISNUMBER($AJ137)*(N($AJ137)&gt;$D$4)&gt;0,"payout high  ","")&amp;IF(ISNUMBER($AX137)*(N($AX137)&lt;$F$4)&gt;0,"FCF below dvd  ","")&amp;IF(ISNUMBER($AU137)*(N($AU137)&gt;$H$4)&gt;0,"leverage high","")))</f>
        <v/>
      </c>
      <c r="AZ137" s="86">
        <f>IF($C137="","",IF(HSTECH!$F$32="HKD","",HSTECH!$F$32))</f>
        <v/>
      </c>
    </row>
    <row r="138">
      <c r="B138" s="66" t="inlineStr">
        <is>
          <t>HSTECH</t>
        </is>
      </c>
      <c r="C138" s="8">
        <f>IF(HSTECH!$C$33="","",HSTECH!$C$33)</f>
        <v/>
      </c>
      <c r="D138" s="8">
        <f>IF($C138="","",HSTECH!$D$33)</f>
        <v/>
      </c>
      <c r="E138" s="8">
        <f>IF($C138="","",HSTECH!$E$33)</f>
        <v/>
      </c>
      <c r="F138" s="131">
        <f>IF($C138="","",SUMPRODUCT(('Dvd Calendar'!$E$1402:$AR$1402&gt;=DATE(YEAR_Y-5,1,1))*('Dvd Calendar'!$E$1402:$AR$1402&lt;=DATE(YEAR_Y-5,12,31))*'Dvd Calendar'!$E$1405:$AR$1405*(('Dvd Calendar'!$E$1407:$AR$1407=TYPE1)*(TYPE1&lt;&gt;"")+('Dvd Calendar'!$E$1407:$AR$1407=TYPE2)*(TYPE2&lt;&gt;"")+('Dvd Calendar'!$E$1407:$AR$1407=TYPE3)*(TYPE3&lt;&gt;"")+('Dvd Calendar'!$E$1407:$AR$1407=TYPE4)*(TYPE4&lt;&gt;"")+('Dvd Calendar'!$E$1407:$AR$1407=SPECIAL_LBL)*(INC_SPECIALS="Y"))))</f>
        <v/>
      </c>
      <c r="G138" s="132">
        <f>IF($C138="","",SUMPRODUCT(('Dvd Calendar'!$E$1402:$AR$1402&gt;=DATE(YEAR_Y-4,1,1))*('Dvd Calendar'!$E$1402:$AR$1402&lt;=DATE(YEAR_Y-4,12,31))*'Dvd Calendar'!$E$1405:$AR$1405*(('Dvd Calendar'!$E$1407:$AR$1407=TYPE1)*(TYPE1&lt;&gt;"")+('Dvd Calendar'!$E$1407:$AR$1407=TYPE2)*(TYPE2&lt;&gt;"")+('Dvd Calendar'!$E$1407:$AR$1407=TYPE3)*(TYPE3&lt;&gt;"")+('Dvd Calendar'!$E$1407:$AR$1407=TYPE4)*(TYPE4&lt;&gt;"")+('Dvd Calendar'!$E$1407:$AR$1407=SPECIAL_LBL)*(INC_SPECIALS="Y"))))</f>
        <v/>
      </c>
      <c r="H138" s="132">
        <f>IF($C138="","",SUMPRODUCT(('Dvd Calendar'!$E$1402:$AR$1402&gt;=DATE(YEAR_Y-3,1,1))*('Dvd Calendar'!$E$1402:$AR$1402&lt;=DATE(YEAR_Y-3,12,31))*'Dvd Calendar'!$E$1405:$AR$1405*(('Dvd Calendar'!$E$1407:$AR$1407=TYPE1)*(TYPE1&lt;&gt;"")+('Dvd Calendar'!$E$1407:$AR$1407=TYPE2)*(TYPE2&lt;&gt;"")+('Dvd Calendar'!$E$1407:$AR$1407=TYPE3)*(TYPE3&lt;&gt;"")+('Dvd Calendar'!$E$1407:$AR$1407=TYPE4)*(TYPE4&lt;&gt;"")+('Dvd Calendar'!$E$1407:$AR$1407=SPECIAL_LBL)*(INC_SPECIALS="Y"))))</f>
        <v/>
      </c>
      <c r="I138" s="132">
        <f>IF($C138="","",SUMPRODUCT(('Dvd Calendar'!$E$1402:$AR$1402&gt;=DATE(YEAR_Y-2,1,1))*('Dvd Calendar'!$E$1402:$AR$1402&lt;=DATE(YEAR_Y-2,12,31))*'Dvd Calendar'!$E$1405:$AR$1405*(('Dvd Calendar'!$E$1407:$AR$1407=TYPE1)*(TYPE1&lt;&gt;"")+('Dvd Calendar'!$E$1407:$AR$1407=TYPE2)*(TYPE2&lt;&gt;"")+('Dvd Calendar'!$E$1407:$AR$1407=TYPE3)*(TYPE3&lt;&gt;"")+('Dvd Calendar'!$E$1407:$AR$1407=TYPE4)*(TYPE4&lt;&gt;"")+('Dvd Calendar'!$E$1407:$AR$1407=SPECIAL_LBL)*(INC_SPECIALS="Y"))))</f>
        <v/>
      </c>
      <c r="J138" s="132">
        <f>IF($C138="","",SUMPRODUCT(('Dvd Calendar'!$E$1402:$AR$1402&gt;=DATE(YEAR_Y-1,1,1))*('Dvd Calendar'!$E$1402:$AR$1402&lt;=DATE(YEAR_Y-1,12,31))*'Dvd Calendar'!$E$1405:$AR$1405*(('Dvd Calendar'!$E$1407:$AR$1407=TYPE1)*(TYPE1&lt;&gt;"")+('Dvd Calendar'!$E$1407:$AR$1407=TYPE2)*(TYPE2&lt;&gt;"")+('Dvd Calendar'!$E$1407:$AR$1407=TYPE3)*(TYPE3&lt;&gt;"")+('Dvd Calendar'!$E$1407:$AR$1407=TYPE4)*(TYPE4&lt;&gt;"")+('Dvd Calendar'!$E$1407:$AR$1407=SPECIAL_LBL)*(INC_SPECIALS="Y"))))</f>
        <v/>
      </c>
      <c r="K138" s="133">
        <f>IF($C138="","",HSTECH!$J$33)</f>
        <v/>
      </c>
      <c r="L138" s="133">
        <f>IF($C138="","",HSTECH!$K$33)</f>
        <v/>
      </c>
      <c r="M138" s="124">
        <f>IF($C138="","",HSTECH!$J$33+HSTECH!$L$33)</f>
        <v/>
      </c>
      <c r="N138" s="134">
        <f>IF($C138="","",IF(PULL_FUND="N","",IFERROR(BDP($C138,BESTDPS_FIELD,FWD_OVERRIDE,TEXT(MOD(YEAR_Y,100),"00")&amp;"Y"),"")))</f>
        <v/>
      </c>
      <c r="O138" s="133">
        <f>IF($C138="","",AVERAGE(F138:J138))</f>
        <v/>
      </c>
      <c r="P138" s="135">
        <f>IF($C138="","",IF(PULL_FUND="N","",IF(COUNTIFS('Fund History'!$J$768:$J$772,"&gt;="&amp;DATE(YEAR_Y-5,1,1),'Fund History'!$J$768:$J$772,"&lt;="&amp;DATE(YEAR_Y-5,12,31))=0,"",IFERROR($F138*HSTECH!$G$33/SUMIFS('Fund History'!$K$768:$K$772,'Fund History'!$J$768:$J$772,"&gt;="&amp;DATE(YEAR_Y-5,1,1),'Fund History'!$J$768:$J$772,"&lt;="&amp;DATE(YEAR_Y-5,12,31)),""))))</f>
        <v/>
      </c>
      <c r="Q138" s="136">
        <f>IF($C138="","",IF(PULL_FUND="N","",IF(COUNTIFS('Fund History'!$J$768:$J$772,"&gt;="&amp;DATE(YEAR_Y-4,1,1),'Fund History'!$J$768:$J$772,"&lt;="&amp;DATE(YEAR_Y-4,12,31))=0,"",IFERROR($G138*HSTECH!$G$33/SUMIFS('Fund History'!$K$768:$K$772,'Fund History'!$J$768:$J$772,"&gt;="&amp;DATE(YEAR_Y-4,1,1),'Fund History'!$J$768:$J$772,"&lt;="&amp;DATE(YEAR_Y-4,12,31)),""))))</f>
        <v/>
      </c>
      <c r="R138" s="136">
        <f>IF($C138="","",IF(PULL_FUND="N","",IF(COUNTIFS('Fund History'!$J$768:$J$772,"&gt;="&amp;DATE(YEAR_Y-3,1,1),'Fund History'!$J$768:$J$772,"&lt;="&amp;DATE(YEAR_Y-3,12,31))=0,"",IFERROR($H138*HSTECH!$G$33/SUMIFS('Fund History'!$K$768:$K$772,'Fund History'!$J$768:$J$772,"&gt;="&amp;DATE(YEAR_Y-3,1,1),'Fund History'!$J$768:$J$772,"&lt;="&amp;DATE(YEAR_Y-3,12,31)),""))))</f>
        <v/>
      </c>
      <c r="S138" s="136">
        <f>IF($C138="","",IF(PULL_FUND="N","",IF(COUNTIFS('Fund History'!$J$768:$J$772,"&gt;="&amp;DATE(YEAR_Y-2,1,1),'Fund History'!$J$768:$J$772,"&lt;="&amp;DATE(YEAR_Y-2,12,31))=0,"",IFERROR($I138*HSTECH!$G$33/SUMIFS('Fund History'!$K$768:$K$772,'Fund History'!$J$768:$J$772,"&gt;="&amp;DATE(YEAR_Y-2,1,1),'Fund History'!$J$768:$J$772,"&lt;="&amp;DATE(YEAR_Y-2,12,31)),""))))</f>
        <v/>
      </c>
      <c r="T138" s="136">
        <f>IF($C138="","",IF(PULL_FUND="N","",IF(COUNTIFS('Fund History'!$J$768:$J$772,"&gt;="&amp;DATE(YEAR_Y-1,1,1),'Fund History'!$J$768:$J$772,"&lt;="&amp;DATE(YEAR_Y-1,12,31))=0,"",IFERROR($J138*HSTECH!$G$33/SUMIFS('Fund History'!$K$768:$K$772,'Fund History'!$J$768:$J$772,"&gt;="&amp;DATE(YEAR_Y-1,1,1),'Fund History'!$J$768:$J$772,"&lt;="&amp;DATE(YEAR_Y-1,12,31)),""))))</f>
        <v/>
      </c>
      <c r="U138" s="137">
        <f>IF($C138="","",IF(ISNUMBER(HSTECH!$I$33),HSTECH!$I$33/100,""))</f>
        <v/>
      </c>
      <c r="V138" s="138">
        <f>IF($C138="","",IF(ISNUMBER(HSTECH!$X$33),IFERROR($M138*HSTECH!$G$33/HSTECH!$X$33,""),""))</f>
        <v/>
      </c>
      <c r="W138" s="137">
        <f>IF($C138="","",IF(ISNUMBER($N138),IFERROR($N138*HSTECH!$G$33/HSTECH!$X$33,""),""))</f>
        <v/>
      </c>
      <c r="X138" s="139">
        <f>IF($C138="","",IF(PULL_FUND="N","",IFERROR(BDP($C138,EPS_FIELD,YR_OVERRIDE,TEXT(YEAR_Y-5,"0")),"")))</f>
        <v/>
      </c>
      <c r="Y138" s="140">
        <f>IF($C138="","",IF(PULL_FUND="N","",IFERROR(BDP($C138,EPS_FIELD,YR_OVERRIDE,TEXT(YEAR_Y-4,"0")),"")))</f>
        <v/>
      </c>
      <c r="Z138" s="140">
        <f>IF($C138="","",IF(PULL_FUND="N","",IFERROR(BDP($C138,EPS_FIELD,YR_OVERRIDE,TEXT(YEAR_Y-3,"0")),"")))</f>
        <v/>
      </c>
      <c r="AA138" s="140">
        <f>IF($C138="","",IF(PULL_FUND="N","",IFERROR(BDP($C138,EPS_FIELD,YR_OVERRIDE,TEXT(YEAR_Y-2,"0")),"")))</f>
        <v/>
      </c>
      <c r="AB138" s="140">
        <f>IF($C138="","",IF(PULL_FUND="N","",IFERROR(BDP($C138,EPS_FIELD,YR_OVERRIDE,TEXT(YEAR_Y-1,"0")),"")))</f>
        <v/>
      </c>
      <c r="AC138" s="126">
        <f>IF($C138="","",IFERROR(AVERAGE(X138:AB138),""))</f>
        <v/>
      </c>
      <c r="AD138" s="140">
        <f>IF($C138="","",IF(PULL_FUND="N","",IFERROR(BDP($C138,BESTEPS_FIELD,FWD_OVERRIDE,TEXT(MOD(YEAR_Y,100),"00")&amp;"Y"),"")))</f>
        <v/>
      </c>
      <c r="AE138" s="141">
        <f>IF($C138="","",IF(PULL_FUND="N","",IFERROR(BDP($C138,PAYOUT_FIELD,YR_OVERRIDE,TEXT(YEAR_Y-5,"0"))/100,"")))</f>
        <v/>
      </c>
      <c r="AF138" s="142">
        <f>IF($C138="","",IF(PULL_FUND="N","",IFERROR(BDP($C138,PAYOUT_FIELD,YR_OVERRIDE,TEXT(YEAR_Y-4,"0"))/100,"")))</f>
        <v/>
      </c>
      <c r="AG138" s="142">
        <f>IF($C138="","",IF(PULL_FUND="N","",IFERROR(BDP($C138,PAYOUT_FIELD,YR_OVERRIDE,TEXT(YEAR_Y-3,"0"))/100,"")))</f>
        <v/>
      </c>
      <c r="AH138" s="142">
        <f>IF($C138="","",IF(PULL_FUND="N","",IFERROR(BDP($C138,PAYOUT_FIELD,YR_OVERRIDE,TEXT(YEAR_Y-2,"0"))/100,"")))</f>
        <v/>
      </c>
      <c r="AI138" s="142">
        <f>IF($C138="","",IF(PULL_FUND="N","",IFERROR(BDP($C138,PAYOUT_FIELD,YR_OVERRIDE,TEXT(YEAR_Y-1,"0"))/100,"")))</f>
        <v/>
      </c>
      <c r="AJ138" s="143">
        <f>IF($C138="","",IFERROR(AVERAGE(AE138:AI138),""))</f>
        <v/>
      </c>
      <c r="AK138" s="144">
        <f>IF($C138="","",IF(ISNUMBER($AD138)*ISNUMBER($N138)*($AD138&lt;&gt;0)=0,"",$N138/$AD138))</f>
        <v/>
      </c>
      <c r="AL138" s="143">
        <f>IF($C138="","",IF(ISNUMBER($AD138)*($AD138&lt;&gt;0)=0,"",$M138/$AD138))</f>
        <v/>
      </c>
      <c r="AM138" s="37">
        <f>IF($C138="","",IF(ISNUMBER($AE138)*ISNUMBER($AI138)=0,"",IF($AI138&gt;$AE138+0.05,"rising",IF($AI138&lt;$AE138-0.05,"falling","stable"))))</f>
        <v/>
      </c>
      <c r="AN138" s="145">
        <f>IF($C138="","",IF(PULL_FUND="N","",IF(COUNTIFS('Fund History'!$G$768:$G$772,"&gt;="&amp;DATE(YEAR_Y-4,1,1),'Fund History'!$G$768:$G$772,"&lt;="&amp;DATE(YEAR_Y-4,12,31))=0,"",SUMIFS('Fund History'!$H$768:$H$772,'Fund History'!$G$768:$G$772,"&gt;="&amp;DATE(YEAR_Y-4,1,1),'Fund History'!$G$768:$G$772,"&lt;="&amp;DATE(YEAR_Y-4,12,31))/100)))</f>
        <v/>
      </c>
      <c r="AO138" s="146">
        <f>IF($C138="","",IF(PULL_FUND="N","",IF(COUNTIFS('Fund History'!$G$768:$G$772,"&gt;="&amp;DATE(YEAR_Y-3,1,1),'Fund History'!$G$768:$G$772,"&lt;="&amp;DATE(YEAR_Y-3,12,31))=0,"",SUMIFS('Fund History'!$H$768:$H$772,'Fund History'!$G$768:$G$772,"&gt;="&amp;DATE(YEAR_Y-3,1,1),'Fund History'!$G$768:$G$772,"&lt;="&amp;DATE(YEAR_Y-3,12,31))/100)))</f>
        <v/>
      </c>
      <c r="AP138" s="146">
        <f>IF($C138="","",IF(PULL_FUND="N","",IF(COUNTIFS('Fund History'!$G$768:$G$772,"&gt;="&amp;DATE(YEAR_Y-2,1,1),'Fund History'!$G$768:$G$772,"&lt;="&amp;DATE(YEAR_Y-2,12,31))=0,"",SUMIFS('Fund History'!$H$768:$H$772,'Fund History'!$G$768:$G$772,"&gt;="&amp;DATE(YEAR_Y-2,1,1),'Fund History'!$G$768:$G$772,"&lt;="&amp;DATE(YEAR_Y-2,12,31))/100)))</f>
        <v/>
      </c>
      <c r="AQ138" s="146">
        <f>IF($C138="","",IF(PULL_FUND="N","",IF(COUNTIFS('Fund History'!$G$768:$G$772,"&gt;="&amp;DATE(YEAR_Y-1,1,1),'Fund History'!$G$768:$G$772,"&lt;="&amp;DATE(YEAR_Y-1,12,31))=0,"",SUMIFS('Fund History'!$H$768:$H$772,'Fund History'!$G$768:$G$772,"&gt;="&amp;DATE(YEAR_Y-1,1,1),'Fund History'!$G$768:$G$772,"&lt;="&amp;DATE(YEAR_Y-1,12,31))/100)))</f>
        <v/>
      </c>
      <c r="AR138" s="147">
        <f>IF($C138="","",IF(N($AQ138)+N(HSTECH!$I$33)=0,"",N($AQ138)+N(HSTECH!$I$33)/100))</f>
        <v/>
      </c>
      <c r="AS138" s="139">
        <f>IF($C138="","",IF(PULL_FUND="N","",IF(COUNTIFS('Fund History'!$D$768:$D$772,"&gt;="&amp;DATE(YEAR_Y-2,1,1),'Fund History'!$D$768:$D$772,"&lt;="&amp;DATE(YEAR_Y-2,12,31))=0,"",SUMIFS('Fund History'!$E$768:$E$772,'Fund History'!$D$768:$D$772,"&gt;="&amp;DATE(YEAR_Y-2,1,1),'Fund History'!$D$768:$D$772,"&lt;="&amp;DATE(YEAR_Y-2,12,31)))))</f>
        <v/>
      </c>
      <c r="AT138" s="140">
        <f>IF($C138="","",IF(PULL_FUND="N","",IF(COUNTIFS('Fund History'!$D$768:$D$772,"&gt;="&amp;DATE(YEAR_Y-1,1,1),'Fund History'!$D$768:$D$772,"&lt;="&amp;DATE(YEAR_Y-1,12,31))=0,"",SUMIFS('Fund History'!$E$768:$E$772,'Fund History'!$D$768:$D$772,"&gt;="&amp;DATE(YEAR_Y-1,1,1),'Fund History'!$D$768:$D$772,"&lt;="&amp;DATE(YEAR_Y-1,12,31)))))</f>
        <v/>
      </c>
      <c r="AU138" s="140">
        <f>IF($C138="","",IF(PULL_FUND="N","",IFERROR(BDP($C138,NDEBITDA_FIELD),"")))</f>
        <v/>
      </c>
      <c r="AV138" s="148">
        <f>IF($C138="","",IF(PULL_FUND="N","",IFERROR(BDP($C138,EBINT_FIELD),"")))</f>
        <v/>
      </c>
      <c r="AW138" s="146">
        <f>IF($C138="","",IF(PULL_FUND="N","",IFERROR(BDP($C138,FCF_FIELD)/100,"")))</f>
        <v/>
      </c>
      <c r="AX138" s="126">
        <f>IF($C138="","",IF(N($U138)=0,"",IFERROR($AW138/$U138,"")))</f>
        <v/>
      </c>
      <c r="AY138" s="85">
        <f>IF($C138="","",TRIM(IF(ISNUMBER($AJ138)*(N($AJ138)&gt;$D$4)&gt;0,"payout high  ","")&amp;IF(ISNUMBER($AX138)*(N($AX138)&lt;$F$4)&gt;0,"FCF below dvd  ","")&amp;IF(ISNUMBER($AU138)*(N($AU138)&gt;$H$4)&gt;0,"leverage high","")))</f>
        <v/>
      </c>
      <c r="AZ138" s="86">
        <f>IF($C138="","",IF(HSTECH!$F$33="HKD","",HSTECH!$F$33))</f>
        <v/>
      </c>
    </row>
    <row r="139">
      <c r="B139" s="66" t="inlineStr">
        <is>
          <t>HSTECH</t>
        </is>
      </c>
      <c r="C139" s="8">
        <f>IF(HSTECH!$C$34="","",HSTECH!$C$34)</f>
        <v/>
      </c>
      <c r="D139" s="8">
        <f>IF($C139="","",HSTECH!$D$34)</f>
        <v/>
      </c>
      <c r="E139" s="8">
        <f>IF($C139="","",HSTECH!$E$34)</f>
        <v/>
      </c>
      <c r="F139" s="131">
        <f>IF($C139="","",SUMPRODUCT(('Dvd Calendar'!$E$1413:$AR$1413&gt;=DATE(YEAR_Y-5,1,1))*('Dvd Calendar'!$E$1413:$AR$1413&lt;=DATE(YEAR_Y-5,12,31))*'Dvd Calendar'!$E$1416:$AR$1416*(('Dvd Calendar'!$E$1418:$AR$1418=TYPE1)*(TYPE1&lt;&gt;"")+('Dvd Calendar'!$E$1418:$AR$1418=TYPE2)*(TYPE2&lt;&gt;"")+('Dvd Calendar'!$E$1418:$AR$1418=TYPE3)*(TYPE3&lt;&gt;"")+('Dvd Calendar'!$E$1418:$AR$1418=TYPE4)*(TYPE4&lt;&gt;"")+('Dvd Calendar'!$E$1418:$AR$1418=SPECIAL_LBL)*(INC_SPECIALS="Y"))))</f>
        <v/>
      </c>
      <c r="G139" s="132">
        <f>IF($C139="","",SUMPRODUCT(('Dvd Calendar'!$E$1413:$AR$1413&gt;=DATE(YEAR_Y-4,1,1))*('Dvd Calendar'!$E$1413:$AR$1413&lt;=DATE(YEAR_Y-4,12,31))*'Dvd Calendar'!$E$1416:$AR$1416*(('Dvd Calendar'!$E$1418:$AR$1418=TYPE1)*(TYPE1&lt;&gt;"")+('Dvd Calendar'!$E$1418:$AR$1418=TYPE2)*(TYPE2&lt;&gt;"")+('Dvd Calendar'!$E$1418:$AR$1418=TYPE3)*(TYPE3&lt;&gt;"")+('Dvd Calendar'!$E$1418:$AR$1418=TYPE4)*(TYPE4&lt;&gt;"")+('Dvd Calendar'!$E$1418:$AR$1418=SPECIAL_LBL)*(INC_SPECIALS="Y"))))</f>
        <v/>
      </c>
      <c r="H139" s="132">
        <f>IF($C139="","",SUMPRODUCT(('Dvd Calendar'!$E$1413:$AR$1413&gt;=DATE(YEAR_Y-3,1,1))*('Dvd Calendar'!$E$1413:$AR$1413&lt;=DATE(YEAR_Y-3,12,31))*'Dvd Calendar'!$E$1416:$AR$1416*(('Dvd Calendar'!$E$1418:$AR$1418=TYPE1)*(TYPE1&lt;&gt;"")+('Dvd Calendar'!$E$1418:$AR$1418=TYPE2)*(TYPE2&lt;&gt;"")+('Dvd Calendar'!$E$1418:$AR$1418=TYPE3)*(TYPE3&lt;&gt;"")+('Dvd Calendar'!$E$1418:$AR$1418=TYPE4)*(TYPE4&lt;&gt;"")+('Dvd Calendar'!$E$1418:$AR$1418=SPECIAL_LBL)*(INC_SPECIALS="Y"))))</f>
        <v/>
      </c>
      <c r="I139" s="132">
        <f>IF($C139="","",SUMPRODUCT(('Dvd Calendar'!$E$1413:$AR$1413&gt;=DATE(YEAR_Y-2,1,1))*('Dvd Calendar'!$E$1413:$AR$1413&lt;=DATE(YEAR_Y-2,12,31))*'Dvd Calendar'!$E$1416:$AR$1416*(('Dvd Calendar'!$E$1418:$AR$1418=TYPE1)*(TYPE1&lt;&gt;"")+('Dvd Calendar'!$E$1418:$AR$1418=TYPE2)*(TYPE2&lt;&gt;"")+('Dvd Calendar'!$E$1418:$AR$1418=TYPE3)*(TYPE3&lt;&gt;"")+('Dvd Calendar'!$E$1418:$AR$1418=TYPE4)*(TYPE4&lt;&gt;"")+('Dvd Calendar'!$E$1418:$AR$1418=SPECIAL_LBL)*(INC_SPECIALS="Y"))))</f>
        <v/>
      </c>
      <c r="J139" s="132">
        <f>IF($C139="","",SUMPRODUCT(('Dvd Calendar'!$E$1413:$AR$1413&gt;=DATE(YEAR_Y-1,1,1))*('Dvd Calendar'!$E$1413:$AR$1413&lt;=DATE(YEAR_Y-1,12,31))*'Dvd Calendar'!$E$1416:$AR$1416*(('Dvd Calendar'!$E$1418:$AR$1418=TYPE1)*(TYPE1&lt;&gt;"")+('Dvd Calendar'!$E$1418:$AR$1418=TYPE2)*(TYPE2&lt;&gt;"")+('Dvd Calendar'!$E$1418:$AR$1418=TYPE3)*(TYPE3&lt;&gt;"")+('Dvd Calendar'!$E$1418:$AR$1418=TYPE4)*(TYPE4&lt;&gt;"")+('Dvd Calendar'!$E$1418:$AR$1418=SPECIAL_LBL)*(INC_SPECIALS="Y"))))</f>
        <v/>
      </c>
      <c r="K139" s="133">
        <f>IF($C139="","",HSTECH!$J$34)</f>
        <v/>
      </c>
      <c r="L139" s="133">
        <f>IF($C139="","",HSTECH!$K$34)</f>
        <v/>
      </c>
      <c r="M139" s="124">
        <f>IF($C139="","",HSTECH!$J$34+HSTECH!$L$34)</f>
        <v/>
      </c>
      <c r="N139" s="134">
        <f>IF($C139="","",IF(PULL_FUND="N","",IFERROR(BDP($C139,BESTDPS_FIELD,FWD_OVERRIDE,TEXT(MOD(YEAR_Y,100),"00")&amp;"Y"),"")))</f>
        <v/>
      </c>
      <c r="O139" s="133">
        <f>IF($C139="","",AVERAGE(F139:J139))</f>
        <v/>
      </c>
      <c r="P139" s="135">
        <f>IF($C139="","",IF(PULL_FUND="N","",IF(COUNTIFS('Fund History'!$J$774:$J$778,"&gt;="&amp;DATE(YEAR_Y-5,1,1),'Fund History'!$J$774:$J$778,"&lt;="&amp;DATE(YEAR_Y-5,12,31))=0,"",IFERROR($F139*HSTECH!$G$34/SUMIFS('Fund History'!$K$774:$K$778,'Fund History'!$J$774:$J$778,"&gt;="&amp;DATE(YEAR_Y-5,1,1),'Fund History'!$J$774:$J$778,"&lt;="&amp;DATE(YEAR_Y-5,12,31)),""))))</f>
        <v/>
      </c>
      <c r="Q139" s="136">
        <f>IF($C139="","",IF(PULL_FUND="N","",IF(COUNTIFS('Fund History'!$J$774:$J$778,"&gt;="&amp;DATE(YEAR_Y-4,1,1),'Fund History'!$J$774:$J$778,"&lt;="&amp;DATE(YEAR_Y-4,12,31))=0,"",IFERROR($G139*HSTECH!$G$34/SUMIFS('Fund History'!$K$774:$K$778,'Fund History'!$J$774:$J$778,"&gt;="&amp;DATE(YEAR_Y-4,1,1),'Fund History'!$J$774:$J$778,"&lt;="&amp;DATE(YEAR_Y-4,12,31)),""))))</f>
        <v/>
      </c>
      <c r="R139" s="136">
        <f>IF($C139="","",IF(PULL_FUND="N","",IF(COUNTIFS('Fund History'!$J$774:$J$778,"&gt;="&amp;DATE(YEAR_Y-3,1,1),'Fund History'!$J$774:$J$778,"&lt;="&amp;DATE(YEAR_Y-3,12,31))=0,"",IFERROR($H139*HSTECH!$G$34/SUMIFS('Fund History'!$K$774:$K$778,'Fund History'!$J$774:$J$778,"&gt;="&amp;DATE(YEAR_Y-3,1,1),'Fund History'!$J$774:$J$778,"&lt;="&amp;DATE(YEAR_Y-3,12,31)),""))))</f>
        <v/>
      </c>
      <c r="S139" s="136">
        <f>IF($C139="","",IF(PULL_FUND="N","",IF(COUNTIFS('Fund History'!$J$774:$J$778,"&gt;="&amp;DATE(YEAR_Y-2,1,1),'Fund History'!$J$774:$J$778,"&lt;="&amp;DATE(YEAR_Y-2,12,31))=0,"",IFERROR($I139*HSTECH!$G$34/SUMIFS('Fund History'!$K$774:$K$778,'Fund History'!$J$774:$J$778,"&gt;="&amp;DATE(YEAR_Y-2,1,1),'Fund History'!$J$774:$J$778,"&lt;="&amp;DATE(YEAR_Y-2,12,31)),""))))</f>
        <v/>
      </c>
      <c r="T139" s="136">
        <f>IF($C139="","",IF(PULL_FUND="N","",IF(COUNTIFS('Fund History'!$J$774:$J$778,"&gt;="&amp;DATE(YEAR_Y-1,1,1),'Fund History'!$J$774:$J$778,"&lt;="&amp;DATE(YEAR_Y-1,12,31))=0,"",IFERROR($J139*HSTECH!$G$34/SUMIFS('Fund History'!$K$774:$K$778,'Fund History'!$J$774:$J$778,"&gt;="&amp;DATE(YEAR_Y-1,1,1),'Fund History'!$J$774:$J$778,"&lt;="&amp;DATE(YEAR_Y-1,12,31)),""))))</f>
        <v/>
      </c>
      <c r="U139" s="137">
        <f>IF($C139="","",IF(ISNUMBER(HSTECH!$I$34),HSTECH!$I$34/100,""))</f>
        <v/>
      </c>
      <c r="V139" s="138">
        <f>IF($C139="","",IF(ISNUMBER(HSTECH!$X$34),IFERROR($M139*HSTECH!$G$34/HSTECH!$X$34,""),""))</f>
        <v/>
      </c>
      <c r="W139" s="137">
        <f>IF($C139="","",IF(ISNUMBER($N139),IFERROR($N139*HSTECH!$G$34/HSTECH!$X$34,""),""))</f>
        <v/>
      </c>
      <c r="X139" s="139">
        <f>IF($C139="","",IF(PULL_FUND="N","",IFERROR(BDP($C139,EPS_FIELD,YR_OVERRIDE,TEXT(YEAR_Y-5,"0")),"")))</f>
        <v/>
      </c>
      <c r="Y139" s="140">
        <f>IF($C139="","",IF(PULL_FUND="N","",IFERROR(BDP($C139,EPS_FIELD,YR_OVERRIDE,TEXT(YEAR_Y-4,"0")),"")))</f>
        <v/>
      </c>
      <c r="Z139" s="140">
        <f>IF($C139="","",IF(PULL_FUND="N","",IFERROR(BDP($C139,EPS_FIELD,YR_OVERRIDE,TEXT(YEAR_Y-3,"0")),"")))</f>
        <v/>
      </c>
      <c r="AA139" s="140">
        <f>IF($C139="","",IF(PULL_FUND="N","",IFERROR(BDP($C139,EPS_FIELD,YR_OVERRIDE,TEXT(YEAR_Y-2,"0")),"")))</f>
        <v/>
      </c>
      <c r="AB139" s="140">
        <f>IF($C139="","",IF(PULL_FUND="N","",IFERROR(BDP($C139,EPS_FIELD,YR_OVERRIDE,TEXT(YEAR_Y-1,"0")),"")))</f>
        <v/>
      </c>
      <c r="AC139" s="126">
        <f>IF($C139="","",IFERROR(AVERAGE(X139:AB139),""))</f>
        <v/>
      </c>
      <c r="AD139" s="140">
        <f>IF($C139="","",IF(PULL_FUND="N","",IFERROR(BDP($C139,BESTEPS_FIELD,FWD_OVERRIDE,TEXT(MOD(YEAR_Y,100),"00")&amp;"Y"),"")))</f>
        <v/>
      </c>
      <c r="AE139" s="141">
        <f>IF($C139="","",IF(PULL_FUND="N","",IFERROR(BDP($C139,PAYOUT_FIELD,YR_OVERRIDE,TEXT(YEAR_Y-5,"0"))/100,"")))</f>
        <v/>
      </c>
      <c r="AF139" s="142">
        <f>IF($C139="","",IF(PULL_FUND="N","",IFERROR(BDP($C139,PAYOUT_FIELD,YR_OVERRIDE,TEXT(YEAR_Y-4,"0"))/100,"")))</f>
        <v/>
      </c>
      <c r="AG139" s="142">
        <f>IF($C139="","",IF(PULL_FUND="N","",IFERROR(BDP($C139,PAYOUT_FIELD,YR_OVERRIDE,TEXT(YEAR_Y-3,"0"))/100,"")))</f>
        <v/>
      </c>
      <c r="AH139" s="142">
        <f>IF($C139="","",IF(PULL_FUND="N","",IFERROR(BDP($C139,PAYOUT_FIELD,YR_OVERRIDE,TEXT(YEAR_Y-2,"0"))/100,"")))</f>
        <v/>
      </c>
      <c r="AI139" s="142">
        <f>IF($C139="","",IF(PULL_FUND="N","",IFERROR(BDP($C139,PAYOUT_FIELD,YR_OVERRIDE,TEXT(YEAR_Y-1,"0"))/100,"")))</f>
        <v/>
      </c>
      <c r="AJ139" s="143">
        <f>IF($C139="","",IFERROR(AVERAGE(AE139:AI139),""))</f>
        <v/>
      </c>
      <c r="AK139" s="144">
        <f>IF($C139="","",IF(ISNUMBER($AD139)*ISNUMBER($N139)*($AD139&lt;&gt;0)=0,"",$N139/$AD139))</f>
        <v/>
      </c>
      <c r="AL139" s="143">
        <f>IF($C139="","",IF(ISNUMBER($AD139)*($AD139&lt;&gt;0)=0,"",$M139/$AD139))</f>
        <v/>
      </c>
      <c r="AM139" s="37">
        <f>IF($C139="","",IF(ISNUMBER($AE139)*ISNUMBER($AI139)=0,"",IF($AI139&gt;$AE139+0.05,"rising",IF($AI139&lt;$AE139-0.05,"falling","stable"))))</f>
        <v/>
      </c>
      <c r="AN139" s="145">
        <f>IF($C139="","",IF(PULL_FUND="N","",IF(COUNTIFS('Fund History'!$G$774:$G$778,"&gt;="&amp;DATE(YEAR_Y-4,1,1),'Fund History'!$G$774:$G$778,"&lt;="&amp;DATE(YEAR_Y-4,12,31))=0,"",SUMIFS('Fund History'!$H$774:$H$778,'Fund History'!$G$774:$G$778,"&gt;="&amp;DATE(YEAR_Y-4,1,1),'Fund History'!$G$774:$G$778,"&lt;="&amp;DATE(YEAR_Y-4,12,31))/100)))</f>
        <v/>
      </c>
      <c r="AO139" s="146">
        <f>IF($C139="","",IF(PULL_FUND="N","",IF(COUNTIFS('Fund History'!$G$774:$G$778,"&gt;="&amp;DATE(YEAR_Y-3,1,1),'Fund History'!$G$774:$G$778,"&lt;="&amp;DATE(YEAR_Y-3,12,31))=0,"",SUMIFS('Fund History'!$H$774:$H$778,'Fund History'!$G$774:$G$778,"&gt;="&amp;DATE(YEAR_Y-3,1,1),'Fund History'!$G$774:$G$778,"&lt;="&amp;DATE(YEAR_Y-3,12,31))/100)))</f>
        <v/>
      </c>
      <c r="AP139" s="146">
        <f>IF($C139="","",IF(PULL_FUND="N","",IF(COUNTIFS('Fund History'!$G$774:$G$778,"&gt;="&amp;DATE(YEAR_Y-2,1,1),'Fund History'!$G$774:$G$778,"&lt;="&amp;DATE(YEAR_Y-2,12,31))=0,"",SUMIFS('Fund History'!$H$774:$H$778,'Fund History'!$G$774:$G$778,"&gt;="&amp;DATE(YEAR_Y-2,1,1),'Fund History'!$G$774:$G$778,"&lt;="&amp;DATE(YEAR_Y-2,12,31))/100)))</f>
        <v/>
      </c>
      <c r="AQ139" s="146">
        <f>IF($C139="","",IF(PULL_FUND="N","",IF(COUNTIFS('Fund History'!$G$774:$G$778,"&gt;="&amp;DATE(YEAR_Y-1,1,1),'Fund History'!$G$774:$G$778,"&lt;="&amp;DATE(YEAR_Y-1,12,31))=0,"",SUMIFS('Fund History'!$H$774:$H$778,'Fund History'!$G$774:$G$778,"&gt;="&amp;DATE(YEAR_Y-1,1,1),'Fund History'!$G$774:$G$778,"&lt;="&amp;DATE(YEAR_Y-1,12,31))/100)))</f>
        <v/>
      </c>
      <c r="AR139" s="147">
        <f>IF($C139="","",IF(N($AQ139)+N(HSTECH!$I$34)=0,"",N($AQ139)+N(HSTECH!$I$34)/100))</f>
        <v/>
      </c>
      <c r="AS139" s="139">
        <f>IF($C139="","",IF(PULL_FUND="N","",IF(COUNTIFS('Fund History'!$D$774:$D$778,"&gt;="&amp;DATE(YEAR_Y-2,1,1),'Fund History'!$D$774:$D$778,"&lt;="&amp;DATE(YEAR_Y-2,12,31))=0,"",SUMIFS('Fund History'!$E$774:$E$778,'Fund History'!$D$774:$D$778,"&gt;="&amp;DATE(YEAR_Y-2,1,1),'Fund History'!$D$774:$D$778,"&lt;="&amp;DATE(YEAR_Y-2,12,31)))))</f>
        <v/>
      </c>
      <c r="AT139" s="140">
        <f>IF($C139="","",IF(PULL_FUND="N","",IF(COUNTIFS('Fund History'!$D$774:$D$778,"&gt;="&amp;DATE(YEAR_Y-1,1,1),'Fund History'!$D$774:$D$778,"&lt;="&amp;DATE(YEAR_Y-1,12,31))=0,"",SUMIFS('Fund History'!$E$774:$E$778,'Fund History'!$D$774:$D$778,"&gt;="&amp;DATE(YEAR_Y-1,1,1),'Fund History'!$D$774:$D$778,"&lt;="&amp;DATE(YEAR_Y-1,12,31)))))</f>
        <v/>
      </c>
      <c r="AU139" s="140">
        <f>IF($C139="","",IF(PULL_FUND="N","",IFERROR(BDP($C139,NDEBITDA_FIELD),"")))</f>
        <v/>
      </c>
      <c r="AV139" s="148">
        <f>IF($C139="","",IF(PULL_FUND="N","",IFERROR(BDP($C139,EBINT_FIELD),"")))</f>
        <v/>
      </c>
      <c r="AW139" s="146">
        <f>IF($C139="","",IF(PULL_FUND="N","",IFERROR(BDP($C139,FCF_FIELD)/100,"")))</f>
        <v/>
      </c>
      <c r="AX139" s="126">
        <f>IF($C139="","",IF(N($U139)=0,"",IFERROR($AW139/$U139,"")))</f>
        <v/>
      </c>
      <c r="AY139" s="85">
        <f>IF($C139="","",TRIM(IF(ISNUMBER($AJ139)*(N($AJ139)&gt;$D$4)&gt;0,"payout high  ","")&amp;IF(ISNUMBER($AX139)*(N($AX139)&lt;$F$4)&gt;0,"FCF below dvd  ","")&amp;IF(ISNUMBER($AU139)*(N($AU139)&gt;$H$4)&gt;0,"leverage high","")))</f>
        <v/>
      </c>
      <c r="AZ139" s="86">
        <f>IF($C139="","",IF(HSTECH!$F$34="HKD","",HSTECH!$F$34))</f>
        <v/>
      </c>
    </row>
    <row r="140">
      <c r="B140" s="66" t="inlineStr">
        <is>
          <t>HSTECH</t>
        </is>
      </c>
      <c r="C140" s="8">
        <f>IF(HSTECH!$C$35="","",HSTECH!$C$35)</f>
        <v/>
      </c>
      <c r="D140" s="8">
        <f>IF($C140="","",HSTECH!$D$35)</f>
        <v/>
      </c>
      <c r="E140" s="8">
        <f>IF($C140="","",HSTECH!$E$35)</f>
        <v/>
      </c>
      <c r="F140" s="131">
        <f>IF($C140="","",SUMPRODUCT(('Dvd Calendar'!$E$1424:$AR$1424&gt;=DATE(YEAR_Y-5,1,1))*('Dvd Calendar'!$E$1424:$AR$1424&lt;=DATE(YEAR_Y-5,12,31))*'Dvd Calendar'!$E$1427:$AR$1427*(('Dvd Calendar'!$E$1429:$AR$1429=TYPE1)*(TYPE1&lt;&gt;"")+('Dvd Calendar'!$E$1429:$AR$1429=TYPE2)*(TYPE2&lt;&gt;"")+('Dvd Calendar'!$E$1429:$AR$1429=TYPE3)*(TYPE3&lt;&gt;"")+('Dvd Calendar'!$E$1429:$AR$1429=TYPE4)*(TYPE4&lt;&gt;"")+('Dvd Calendar'!$E$1429:$AR$1429=SPECIAL_LBL)*(INC_SPECIALS="Y"))))</f>
        <v/>
      </c>
      <c r="G140" s="132">
        <f>IF($C140="","",SUMPRODUCT(('Dvd Calendar'!$E$1424:$AR$1424&gt;=DATE(YEAR_Y-4,1,1))*('Dvd Calendar'!$E$1424:$AR$1424&lt;=DATE(YEAR_Y-4,12,31))*'Dvd Calendar'!$E$1427:$AR$1427*(('Dvd Calendar'!$E$1429:$AR$1429=TYPE1)*(TYPE1&lt;&gt;"")+('Dvd Calendar'!$E$1429:$AR$1429=TYPE2)*(TYPE2&lt;&gt;"")+('Dvd Calendar'!$E$1429:$AR$1429=TYPE3)*(TYPE3&lt;&gt;"")+('Dvd Calendar'!$E$1429:$AR$1429=TYPE4)*(TYPE4&lt;&gt;"")+('Dvd Calendar'!$E$1429:$AR$1429=SPECIAL_LBL)*(INC_SPECIALS="Y"))))</f>
        <v/>
      </c>
      <c r="H140" s="132">
        <f>IF($C140="","",SUMPRODUCT(('Dvd Calendar'!$E$1424:$AR$1424&gt;=DATE(YEAR_Y-3,1,1))*('Dvd Calendar'!$E$1424:$AR$1424&lt;=DATE(YEAR_Y-3,12,31))*'Dvd Calendar'!$E$1427:$AR$1427*(('Dvd Calendar'!$E$1429:$AR$1429=TYPE1)*(TYPE1&lt;&gt;"")+('Dvd Calendar'!$E$1429:$AR$1429=TYPE2)*(TYPE2&lt;&gt;"")+('Dvd Calendar'!$E$1429:$AR$1429=TYPE3)*(TYPE3&lt;&gt;"")+('Dvd Calendar'!$E$1429:$AR$1429=TYPE4)*(TYPE4&lt;&gt;"")+('Dvd Calendar'!$E$1429:$AR$1429=SPECIAL_LBL)*(INC_SPECIALS="Y"))))</f>
        <v/>
      </c>
      <c r="I140" s="132">
        <f>IF($C140="","",SUMPRODUCT(('Dvd Calendar'!$E$1424:$AR$1424&gt;=DATE(YEAR_Y-2,1,1))*('Dvd Calendar'!$E$1424:$AR$1424&lt;=DATE(YEAR_Y-2,12,31))*'Dvd Calendar'!$E$1427:$AR$1427*(('Dvd Calendar'!$E$1429:$AR$1429=TYPE1)*(TYPE1&lt;&gt;"")+('Dvd Calendar'!$E$1429:$AR$1429=TYPE2)*(TYPE2&lt;&gt;"")+('Dvd Calendar'!$E$1429:$AR$1429=TYPE3)*(TYPE3&lt;&gt;"")+('Dvd Calendar'!$E$1429:$AR$1429=TYPE4)*(TYPE4&lt;&gt;"")+('Dvd Calendar'!$E$1429:$AR$1429=SPECIAL_LBL)*(INC_SPECIALS="Y"))))</f>
        <v/>
      </c>
      <c r="J140" s="132">
        <f>IF($C140="","",SUMPRODUCT(('Dvd Calendar'!$E$1424:$AR$1424&gt;=DATE(YEAR_Y-1,1,1))*('Dvd Calendar'!$E$1424:$AR$1424&lt;=DATE(YEAR_Y-1,12,31))*'Dvd Calendar'!$E$1427:$AR$1427*(('Dvd Calendar'!$E$1429:$AR$1429=TYPE1)*(TYPE1&lt;&gt;"")+('Dvd Calendar'!$E$1429:$AR$1429=TYPE2)*(TYPE2&lt;&gt;"")+('Dvd Calendar'!$E$1429:$AR$1429=TYPE3)*(TYPE3&lt;&gt;"")+('Dvd Calendar'!$E$1429:$AR$1429=TYPE4)*(TYPE4&lt;&gt;"")+('Dvd Calendar'!$E$1429:$AR$1429=SPECIAL_LBL)*(INC_SPECIALS="Y"))))</f>
        <v/>
      </c>
      <c r="K140" s="133">
        <f>IF($C140="","",HSTECH!$J$35)</f>
        <v/>
      </c>
      <c r="L140" s="133">
        <f>IF($C140="","",HSTECH!$K$35)</f>
        <v/>
      </c>
      <c r="M140" s="124">
        <f>IF($C140="","",HSTECH!$J$35+HSTECH!$L$35)</f>
        <v/>
      </c>
      <c r="N140" s="134">
        <f>IF($C140="","",IF(PULL_FUND="N","",IFERROR(BDP($C140,BESTDPS_FIELD,FWD_OVERRIDE,TEXT(MOD(YEAR_Y,100),"00")&amp;"Y"),"")))</f>
        <v/>
      </c>
      <c r="O140" s="133">
        <f>IF($C140="","",AVERAGE(F140:J140))</f>
        <v/>
      </c>
      <c r="P140" s="135">
        <f>IF($C140="","",IF(PULL_FUND="N","",IF(COUNTIFS('Fund History'!$J$780:$J$784,"&gt;="&amp;DATE(YEAR_Y-5,1,1),'Fund History'!$J$780:$J$784,"&lt;="&amp;DATE(YEAR_Y-5,12,31))=0,"",IFERROR($F140*HSTECH!$G$35/SUMIFS('Fund History'!$K$780:$K$784,'Fund History'!$J$780:$J$784,"&gt;="&amp;DATE(YEAR_Y-5,1,1),'Fund History'!$J$780:$J$784,"&lt;="&amp;DATE(YEAR_Y-5,12,31)),""))))</f>
        <v/>
      </c>
      <c r="Q140" s="136">
        <f>IF($C140="","",IF(PULL_FUND="N","",IF(COUNTIFS('Fund History'!$J$780:$J$784,"&gt;="&amp;DATE(YEAR_Y-4,1,1),'Fund History'!$J$780:$J$784,"&lt;="&amp;DATE(YEAR_Y-4,12,31))=0,"",IFERROR($G140*HSTECH!$G$35/SUMIFS('Fund History'!$K$780:$K$784,'Fund History'!$J$780:$J$784,"&gt;="&amp;DATE(YEAR_Y-4,1,1),'Fund History'!$J$780:$J$784,"&lt;="&amp;DATE(YEAR_Y-4,12,31)),""))))</f>
        <v/>
      </c>
      <c r="R140" s="136">
        <f>IF($C140="","",IF(PULL_FUND="N","",IF(COUNTIFS('Fund History'!$J$780:$J$784,"&gt;="&amp;DATE(YEAR_Y-3,1,1),'Fund History'!$J$780:$J$784,"&lt;="&amp;DATE(YEAR_Y-3,12,31))=0,"",IFERROR($H140*HSTECH!$G$35/SUMIFS('Fund History'!$K$780:$K$784,'Fund History'!$J$780:$J$784,"&gt;="&amp;DATE(YEAR_Y-3,1,1),'Fund History'!$J$780:$J$784,"&lt;="&amp;DATE(YEAR_Y-3,12,31)),""))))</f>
        <v/>
      </c>
      <c r="S140" s="136">
        <f>IF($C140="","",IF(PULL_FUND="N","",IF(COUNTIFS('Fund History'!$J$780:$J$784,"&gt;="&amp;DATE(YEAR_Y-2,1,1),'Fund History'!$J$780:$J$784,"&lt;="&amp;DATE(YEAR_Y-2,12,31))=0,"",IFERROR($I140*HSTECH!$G$35/SUMIFS('Fund History'!$K$780:$K$784,'Fund History'!$J$780:$J$784,"&gt;="&amp;DATE(YEAR_Y-2,1,1),'Fund History'!$J$780:$J$784,"&lt;="&amp;DATE(YEAR_Y-2,12,31)),""))))</f>
        <v/>
      </c>
      <c r="T140" s="136">
        <f>IF($C140="","",IF(PULL_FUND="N","",IF(COUNTIFS('Fund History'!$J$780:$J$784,"&gt;="&amp;DATE(YEAR_Y-1,1,1),'Fund History'!$J$780:$J$784,"&lt;="&amp;DATE(YEAR_Y-1,12,31))=0,"",IFERROR($J140*HSTECH!$G$35/SUMIFS('Fund History'!$K$780:$K$784,'Fund History'!$J$780:$J$784,"&gt;="&amp;DATE(YEAR_Y-1,1,1),'Fund History'!$J$780:$J$784,"&lt;="&amp;DATE(YEAR_Y-1,12,31)),""))))</f>
        <v/>
      </c>
      <c r="U140" s="137">
        <f>IF($C140="","",IF(ISNUMBER(HSTECH!$I$35),HSTECH!$I$35/100,""))</f>
        <v/>
      </c>
      <c r="V140" s="138">
        <f>IF($C140="","",IF(ISNUMBER(HSTECH!$X$35),IFERROR($M140*HSTECH!$G$35/HSTECH!$X$35,""),""))</f>
        <v/>
      </c>
      <c r="W140" s="137">
        <f>IF($C140="","",IF(ISNUMBER($N140),IFERROR($N140*HSTECH!$G$35/HSTECH!$X$35,""),""))</f>
        <v/>
      </c>
      <c r="X140" s="139">
        <f>IF($C140="","",IF(PULL_FUND="N","",IFERROR(BDP($C140,EPS_FIELD,YR_OVERRIDE,TEXT(YEAR_Y-5,"0")),"")))</f>
        <v/>
      </c>
      <c r="Y140" s="140">
        <f>IF($C140="","",IF(PULL_FUND="N","",IFERROR(BDP($C140,EPS_FIELD,YR_OVERRIDE,TEXT(YEAR_Y-4,"0")),"")))</f>
        <v/>
      </c>
      <c r="Z140" s="140">
        <f>IF($C140="","",IF(PULL_FUND="N","",IFERROR(BDP($C140,EPS_FIELD,YR_OVERRIDE,TEXT(YEAR_Y-3,"0")),"")))</f>
        <v/>
      </c>
      <c r="AA140" s="140">
        <f>IF($C140="","",IF(PULL_FUND="N","",IFERROR(BDP($C140,EPS_FIELD,YR_OVERRIDE,TEXT(YEAR_Y-2,"0")),"")))</f>
        <v/>
      </c>
      <c r="AB140" s="140">
        <f>IF($C140="","",IF(PULL_FUND="N","",IFERROR(BDP($C140,EPS_FIELD,YR_OVERRIDE,TEXT(YEAR_Y-1,"0")),"")))</f>
        <v/>
      </c>
      <c r="AC140" s="126">
        <f>IF($C140="","",IFERROR(AVERAGE(X140:AB140),""))</f>
        <v/>
      </c>
      <c r="AD140" s="140">
        <f>IF($C140="","",IF(PULL_FUND="N","",IFERROR(BDP($C140,BESTEPS_FIELD,FWD_OVERRIDE,TEXT(MOD(YEAR_Y,100),"00")&amp;"Y"),"")))</f>
        <v/>
      </c>
      <c r="AE140" s="141">
        <f>IF($C140="","",IF(PULL_FUND="N","",IFERROR(BDP($C140,PAYOUT_FIELD,YR_OVERRIDE,TEXT(YEAR_Y-5,"0"))/100,"")))</f>
        <v/>
      </c>
      <c r="AF140" s="142">
        <f>IF($C140="","",IF(PULL_FUND="N","",IFERROR(BDP($C140,PAYOUT_FIELD,YR_OVERRIDE,TEXT(YEAR_Y-4,"0"))/100,"")))</f>
        <v/>
      </c>
      <c r="AG140" s="142">
        <f>IF($C140="","",IF(PULL_FUND="N","",IFERROR(BDP($C140,PAYOUT_FIELD,YR_OVERRIDE,TEXT(YEAR_Y-3,"0"))/100,"")))</f>
        <v/>
      </c>
      <c r="AH140" s="142">
        <f>IF($C140="","",IF(PULL_FUND="N","",IFERROR(BDP($C140,PAYOUT_FIELD,YR_OVERRIDE,TEXT(YEAR_Y-2,"0"))/100,"")))</f>
        <v/>
      </c>
      <c r="AI140" s="142">
        <f>IF($C140="","",IF(PULL_FUND="N","",IFERROR(BDP($C140,PAYOUT_FIELD,YR_OVERRIDE,TEXT(YEAR_Y-1,"0"))/100,"")))</f>
        <v/>
      </c>
      <c r="AJ140" s="143">
        <f>IF($C140="","",IFERROR(AVERAGE(AE140:AI140),""))</f>
        <v/>
      </c>
      <c r="AK140" s="144">
        <f>IF($C140="","",IF(ISNUMBER($AD140)*ISNUMBER($N140)*($AD140&lt;&gt;0)=0,"",$N140/$AD140))</f>
        <v/>
      </c>
      <c r="AL140" s="143">
        <f>IF($C140="","",IF(ISNUMBER($AD140)*($AD140&lt;&gt;0)=0,"",$M140/$AD140))</f>
        <v/>
      </c>
      <c r="AM140" s="37">
        <f>IF($C140="","",IF(ISNUMBER($AE140)*ISNUMBER($AI140)=0,"",IF($AI140&gt;$AE140+0.05,"rising",IF($AI140&lt;$AE140-0.05,"falling","stable"))))</f>
        <v/>
      </c>
      <c r="AN140" s="145">
        <f>IF($C140="","",IF(PULL_FUND="N","",IF(COUNTIFS('Fund History'!$G$780:$G$784,"&gt;="&amp;DATE(YEAR_Y-4,1,1),'Fund History'!$G$780:$G$784,"&lt;="&amp;DATE(YEAR_Y-4,12,31))=0,"",SUMIFS('Fund History'!$H$780:$H$784,'Fund History'!$G$780:$G$784,"&gt;="&amp;DATE(YEAR_Y-4,1,1),'Fund History'!$G$780:$G$784,"&lt;="&amp;DATE(YEAR_Y-4,12,31))/100)))</f>
        <v/>
      </c>
      <c r="AO140" s="146">
        <f>IF($C140="","",IF(PULL_FUND="N","",IF(COUNTIFS('Fund History'!$G$780:$G$784,"&gt;="&amp;DATE(YEAR_Y-3,1,1),'Fund History'!$G$780:$G$784,"&lt;="&amp;DATE(YEAR_Y-3,12,31))=0,"",SUMIFS('Fund History'!$H$780:$H$784,'Fund History'!$G$780:$G$784,"&gt;="&amp;DATE(YEAR_Y-3,1,1),'Fund History'!$G$780:$G$784,"&lt;="&amp;DATE(YEAR_Y-3,12,31))/100)))</f>
        <v/>
      </c>
      <c r="AP140" s="146">
        <f>IF($C140="","",IF(PULL_FUND="N","",IF(COUNTIFS('Fund History'!$G$780:$G$784,"&gt;="&amp;DATE(YEAR_Y-2,1,1),'Fund History'!$G$780:$G$784,"&lt;="&amp;DATE(YEAR_Y-2,12,31))=0,"",SUMIFS('Fund History'!$H$780:$H$784,'Fund History'!$G$780:$G$784,"&gt;="&amp;DATE(YEAR_Y-2,1,1),'Fund History'!$G$780:$G$784,"&lt;="&amp;DATE(YEAR_Y-2,12,31))/100)))</f>
        <v/>
      </c>
      <c r="AQ140" s="146">
        <f>IF($C140="","",IF(PULL_FUND="N","",IF(COUNTIFS('Fund History'!$G$780:$G$784,"&gt;="&amp;DATE(YEAR_Y-1,1,1),'Fund History'!$G$780:$G$784,"&lt;="&amp;DATE(YEAR_Y-1,12,31))=0,"",SUMIFS('Fund History'!$H$780:$H$784,'Fund History'!$G$780:$G$784,"&gt;="&amp;DATE(YEAR_Y-1,1,1),'Fund History'!$G$780:$G$784,"&lt;="&amp;DATE(YEAR_Y-1,12,31))/100)))</f>
        <v/>
      </c>
      <c r="AR140" s="147">
        <f>IF($C140="","",IF(N($AQ140)+N(HSTECH!$I$35)=0,"",N($AQ140)+N(HSTECH!$I$35)/100))</f>
        <v/>
      </c>
      <c r="AS140" s="139">
        <f>IF($C140="","",IF(PULL_FUND="N","",IF(COUNTIFS('Fund History'!$D$780:$D$784,"&gt;="&amp;DATE(YEAR_Y-2,1,1),'Fund History'!$D$780:$D$784,"&lt;="&amp;DATE(YEAR_Y-2,12,31))=0,"",SUMIFS('Fund History'!$E$780:$E$784,'Fund History'!$D$780:$D$784,"&gt;="&amp;DATE(YEAR_Y-2,1,1),'Fund History'!$D$780:$D$784,"&lt;="&amp;DATE(YEAR_Y-2,12,31)))))</f>
        <v/>
      </c>
      <c r="AT140" s="140">
        <f>IF($C140="","",IF(PULL_FUND="N","",IF(COUNTIFS('Fund History'!$D$780:$D$784,"&gt;="&amp;DATE(YEAR_Y-1,1,1),'Fund History'!$D$780:$D$784,"&lt;="&amp;DATE(YEAR_Y-1,12,31))=0,"",SUMIFS('Fund History'!$E$780:$E$784,'Fund History'!$D$780:$D$784,"&gt;="&amp;DATE(YEAR_Y-1,1,1),'Fund History'!$D$780:$D$784,"&lt;="&amp;DATE(YEAR_Y-1,12,31)))))</f>
        <v/>
      </c>
      <c r="AU140" s="140">
        <f>IF($C140="","",IF(PULL_FUND="N","",IFERROR(BDP($C140,NDEBITDA_FIELD),"")))</f>
        <v/>
      </c>
      <c r="AV140" s="148">
        <f>IF($C140="","",IF(PULL_FUND="N","",IFERROR(BDP($C140,EBINT_FIELD),"")))</f>
        <v/>
      </c>
      <c r="AW140" s="146">
        <f>IF($C140="","",IF(PULL_FUND="N","",IFERROR(BDP($C140,FCF_FIELD)/100,"")))</f>
        <v/>
      </c>
      <c r="AX140" s="126">
        <f>IF($C140="","",IF(N($U140)=0,"",IFERROR($AW140/$U140,"")))</f>
        <v/>
      </c>
      <c r="AY140" s="85">
        <f>IF($C140="","",TRIM(IF(ISNUMBER($AJ140)*(N($AJ140)&gt;$D$4)&gt;0,"payout high  ","")&amp;IF(ISNUMBER($AX140)*(N($AX140)&lt;$F$4)&gt;0,"FCF below dvd  ","")&amp;IF(ISNUMBER($AU140)*(N($AU140)&gt;$H$4)&gt;0,"leverage high","")))</f>
        <v/>
      </c>
      <c r="AZ140" s="86">
        <f>IF($C140="","",IF(HSTECH!$F$35="HKD","",HSTECH!$F$35))</f>
        <v/>
      </c>
    </row>
    <row r="141">
      <c r="B141" s="66" t="inlineStr">
        <is>
          <t>HSTECH</t>
        </is>
      </c>
      <c r="C141" s="8">
        <f>IF(HSTECH!$C$36="","",HSTECH!$C$36)</f>
        <v/>
      </c>
      <c r="D141" s="8">
        <f>IF($C141="","",HSTECH!$D$36)</f>
        <v/>
      </c>
      <c r="E141" s="8">
        <f>IF($C141="","",HSTECH!$E$36)</f>
        <v/>
      </c>
      <c r="F141" s="131">
        <f>IF($C141="","",SUMPRODUCT(('Dvd Calendar'!$E$1435:$AR$1435&gt;=DATE(YEAR_Y-5,1,1))*('Dvd Calendar'!$E$1435:$AR$1435&lt;=DATE(YEAR_Y-5,12,31))*'Dvd Calendar'!$E$1438:$AR$1438*(('Dvd Calendar'!$E$1440:$AR$1440=TYPE1)*(TYPE1&lt;&gt;"")+('Dvd Calendar'!$E$1440:$AR$1440=TYPE2)*(TYPE2&lt;&gt;"")+('Dvd Calendar'!$E$1440:$AR$1440=TYPE3)*(TYPE3&lt;&gt;"")+('Dvd Calendar'!$E$1440:$AR$1440=TYPE4)*(TYPE4&lt;&gt;"")+('Dvd Calendar'!$E$1440:$AR$1440=SPECIAL_LBL)*(INC_SPECIALS="Y"))))</f>
        <v/>
      </c>
      <c r="G141" s="132">
        <f>IF($C141="","",SUMPRODUCT(('Dvd Calendar'!$E$1435:$AR$1435&gt;=DATE(YEAR_Y-4,1,1))*('Dvd Calendar'!$E$1435:$AR$1435&lt;=DATE(YEAR_Y-4,12,31))*'Dvd Calendar'!$E$1438:$AR$1438*(('Dvd Calendar'!$E$1440:$AR$1440=TYPE1)*(TYPE1&lt;&gt;"")+('Dvd Calendar'!$E$1440:$AR$1440=TYPE2)*(TYPE2&lt;&gt;"")+('Dvd Calendar'!$E$1440:$AR$1440=TYPE3)*(TYPE3&lt;&gt;"")+('Dvd Calendar'!$E$1440:$AR$1440=TYPE4)*(TYPE4&lt;&gt;"")+('Dvd Calendar'!$E$1440:$AR$1440=SPECIAL_LBL)*(INC_SPECIALS="Y"))))</f>
        <v/>
      </c>
      <c r="H141" s="132">
        <f>IF($C141="","",SUMPRODUCT(('Dvd Calendar'!$E$1435:$AR$1435&gt;=DATE(YEAR_Y-3,1,1))*('Dvd Calendar'!$E$1435:$AR$1435&lt;=DATE(YEAR_Y-3,12,31))*'Dvd Calendar'!$E$1438:$AR$1438*(('Dvd Calendar'!$E$1440:$AR$1440=TYPE1)*(TYPE1&lt;&gt;"")+('Dvd Calendar'!$E$1440:$AR$1440=TYPE2)*(TYPE2&lt;&gt;"")+('Dvd Calendar'!$E$1440:$AR$1440=TYPE3)*(TYPE3&lt;&gt;"")+('Dvd Calendar'!$E$1440:$AR$1440=TYPE4)*(TYPE4&lt;&gt;"")+('Dvd Calendar'!$E$1440:$AR$1440=SPECIAL_LBL)*(INC_SPECIALS="Y"))))</f>
        <v/>
      </c>
      <c r="I141" s="132">
        <f>IF($C141="","",SUMPRODUCT(('Dvd Calendar'!$E$1435:$AR$1435&gt;=DATE(YEAR_Y-2,1,1))*('Dvd Calendar'!$E$1435:$AR$1435&lt;=DATE(YEAR_Y-2,12,31))*'Dvd Calendar'!$E$1438:$AR$1438*(('Dvd Calendar'!$E$1440:$AR$1440=TYPE1)*(TYPE1&lt;&gt;"")+('Dvd Calendar'!$E$1440:$AR$1440=TYPE2)*(TYPE2&lt;&gt;"")+('Dvd Calendar'!$E$1440:$AR$1440=TYPE3)*(TYPE3&lt;&gt;"")+('Dvd Calendar'!$E$1440:$AR$1440=TYPE4)*(TYPE4&lt;&gt;"")+('Dvd Calendar'!$E$1440:$AR$1440=SPECIAL_LBL)*(INC_SPECIALS="Y"))))</f>
        <v/>
      </c>
      <c r="J141" s="132">
        <f>IF($C141="","",SUMPRODUCT(('Dvd Calendar'!$E$1435:$AR$1435&gt;=DATE(YEAR_Y-1,1,1))*('Dvd Calendar'!$E$1435:$AR$1435&lt;=DATE(YEAR_Y-1,12,31))*'Dvd Calendar'!$E$1438:$AR$1438*(('Dvd Calendar'!$E$1440:$AR$1440=TYPE1)*(TYPE1&lt;&gt;"")+('Dvd Calendar'!$E$1440:$AR$1440=TYPE2)*(TYPE2&lt;&gt;"")+('Dvd Calendar'!$E$1440:$AR$1440=TYPE3)*(TYPE3&lt;&gt;"")+('Dvd Calendar'!$E$1440:$AR$1440=TYPE4)*(TYPE4&lt;&gt;"")+('Dvd Calendar'!$E$1440:$AR$1440=SPECIAL_LBL)*(INC_SPECIALS="Y"))))</f>
        <v/>
      </c>
      <c r="K141" s="133">
        <f>IF($C141="","",HSTECH!$J$36)</f>
        <v/>
      </c>
      <c r="L141" s="133">
        <f>IF($C141="","",HSTECH!$K$36)</f>
        <v/>
      </c>
      <c r="M141" s="124">
        <f>IF($C141="","",HSTECH!$J$36+HSTECH!$L$36)</f>
        <v/>
      </c>
      <c r="N141" s="134">
        <f>IF($C141="","",IF(PULL_FUND="N","",IFERROR(BDP($C141,BESTDPS_FIELD,FWD_OVERRIDE,TEXT(MOD(YEAR_Y,100),"00")&amp;"Y"),"")))</f>
        <v/>
      </c>
      <c r="O141" s="133">
        <f>IF($C141="","",AVERAGE(F141:J141))</f>
        <v/>
      </c>
      <c r="P141" s="135">
        <f>IF($C141="","",IF(PULL_FUND="N","",IF(COUNTIFS('Fund History'!$J$786:$J$790,"&gt;="&amp;DATE(YEAR_Y-5,1,1),'Fund History'!$J$786:$J$790,"&lt;="&amp;DATE(YEAR_Y-5,12,31))=0,"",IFERROR($F141*HSTECH!$G$36/SUMIFS('Fund History'!$K$786:$K$790,'Fund History'!$J$786:$J$790,"&gt;="&amp;DATE(YEAR_Y-5,1,1),'Fund History'!$J$786:$J$790,"&lt;="&amp;DATE(YEAR_Y-5,12,31)),""))))</f>
        <v/>
      </c>
      <c r="Q141" s="136">
        <f>IF($C141="","",IF(PULL_FUND="N","",IF(COUNTIFS('Fund History'!$J$786:$J$790,"&gt;="&amp;DATE(YEAR_Y-4,1,1),'Fund History'!$J$786:$J$790,"&lt;="&amp;DATE(YEAR_Y-4,12,31))=0,"",IFERROR($G141*HSTECH!$G$36/SUMIFS('Fund History'!$K$786:$K$790,'Fund History'!$J$786:$J$790,"&gt;="&amp;DATE(YEAR_Y-4,1,1),'Fund History'!$J$786:$J$790,"&lt;="&amp;DATE(YEAR_Y-4,12,31)),""))))</f>
        <v/>
      </c>
      <c r="R141" s="136">
        <f>IF($C141="","",IF(PULL_FUND="N","",IF(COUNTIFS('Fund History'!$J$786:$J$790,"&gt;="&amp;DATE(YEAR_Y-3,1,1),'Fund History'!$J$786:$J$790,"&lt;="&amp;DATE(YEAR_Y-3,12,31))=0,"",IFERROR($H141*HSTECH!$G$36/SUMIFS('Fund History'!$K$786:$K$790,'Fund History'!$J$786:$J$790,"&gt;="&amp;DATE(YEAR_Y-3,1,1),'Fund History'!$J$786:$J$790,"&lt;="&amp;DATE(YEAR_Y-3,12,31)),""))))</f>
        <v/>
      </c>
      <c r="S141" s="136">
        <f>IF($C141="","",IF(PULL_FUND="N","",IF(COUNTIFS('Fund History'!$J$786:$J$790,"&gt;="&amp;DATE(YEAR_Y-2,1,1),'Fund History'!$J$786:$J$790,"&lt;="&amp;DATE(YEAR_Y-2,12,31))=0,"",IFERROR($I141*HSTECH!$G$36/SUMIFS('Fund History'!$K$786:$K$790,'Fund History'!$J$786:$J$790,"&gt;="&amp;DATE(YEAR_Y-2,1,1),'Fund History'!$J$786:$J$790,"&lt;="&amp;DATE(YEAR_Y-2,12,31)),""))))</f>
        <v/>
      </c>
      <c r="T141" s="136">
        <f>IF($C141="","",IF(PULL_FUND="N","",IF(COUNTIFS('Fund History'!$J$786:$J$790,"&gt;="&amp;DATE(YEAR_Y-1,1,1),'Fund History'!$J$786:$J$790,"&lt;="&amp;DATE(YEAR_Y-1,12,31))=0,"",IFERROR($J141*HSTECH!$G$36/SUMIFS('Fund History'!$K$786:$K$790,'Fund History'!$J$786:$J$790,"&gt;="&amp;DATE(YEAR_Y-1,1,1),'Fund History'!$J$786:$J$790,"&lt;="&amp;DATE(YEAR_Y-1,12,31)),""))))</f>
        <v/>
      </c>
      <c r="U141" s="137">
        <f>IF($C141="","",IF(ISNUMBER(HSTECH!$I$36),HSTECH!$I$36/100,""))</f>
        <v/>
      </c>
      <c r="V141" s="138">
        <f>IF($C141="","",IF(ISNUMBER(HSTECH!$X$36),IFERROR($M141*HSTECH!$G$36/HSTECH!$X$36,""),""))</f>
        <v/>
      </c>
      <c r="W141" s="137">
        <f>IF($C141="","",IF(ISNUMBER($N141),IFERROR($N141*HSTECH!$G$36/HSTECH!$X$36,""),""))</f>
        <v/>
      </c>
      <c r="X141" s="139">
        <f>IF($C141="","",IF(PULL_FUND="N","",IFERROR(BDP($C141,EPS_FIELD,YR_OVERRIDE,TEXT(YEAR_Y-5,"0")),"")))</f>
        <v/>
      </c>
      <c r="Y141" s="140">
        <f>IF($C141="","",IF(PULL_FUND="N","",IFERROR(BDP($C141,EPS_FIELD,YR_OVERRIDE,TEXT(YEAR_Y-4,"0")),"")))</f>
        <v/>
      </c>
      <c r="Z141" s="140">
        <f>IF($C141="","",IF(PULL_FUND="N","",IFERROR(BDP($C141,EPS_FIELD,YR_OVERRIDE,TEXT(YEAR_Y-3,"0")),"")))</f>
        <v/>
      </c>
      <c r="AA141" s="140">
        <f>IF($C141="","",IF(PULL_FUND="N","",IFERROR(BDP($C141,EPS_FIELD,YR_OVERRIDE,TEXT(YEAR_Y-2,"0")),"")))</f>
        <v/>
      </c>
      <c r="AB141" s="140">
        <f>IF($C141="","",IF(PULL_FUND="N","",IFERROR(BDP($C141,EPS_FIELD,YR_OVERRIDE,TEXT(YEAR_Y-1,"0")),"")))</f>
        <v/>
      </c>
      <c r="AC141" s="126">
        <f>IF($C141="","",IFERROR(AVERAGE(X141:AB141),""))</f>
        <v/>
      </c>
      <c r="AD141" s="140">
        <f>IF($C141="","",IF(PULL_FUND="N","",IFERROR(BDP($C141,BESTEPS_FIELD,FWD_OVERRIDE,TEXT(MOD(YEAR_Y,100),"00")&amp;"Y"),"")))</f>
        <v/>
      </c>
      <c r="AE141" s="141">
        <f>IF($C141="","",IF(PULL_FUND="N","",IFERROR(BDP($C141,PAYOUT_FIELD,YR_OVERRIDE,TEXT(YEAR_Y-5,"0"))/100,"")))</f>
        <v/>
      </c>
      <c r="AF141" s="142">
        <f>IF($C141="","",IF(PULL_FUND="N","",IFERROR(BDP($C141,PAYOUT_FIELD,YR_OVERRIDE,TEXT(YEAR_Y-4,"0"))/100,"")))</f>
        <v/>
      </c>
      <c r="AG141" s="142">
        <f>IF($C141="","",IF(PULL_FUND="N","",IFERROR(BDP($C141,PAYOUT_FIELD,YR_OVERRIDE,TEXT(YEAR_Y-3,"0"))/100,"")))</f>
        <v/>
      </c>
      <c r="AH141" s="142">
        <f>IF($C141="","",IF(PULL_FUND="N","",IFERROR(BDP($C141,PAYOUT_FIELD,YR_OVERRIDE,TEXT(YEAR_Y-2,"0"))/100,"")))</f>
        <v/>
      </c>
      <c r="AI141" s="142">
        <f>IF($C141="","",IF(PULL_FUND="N","",IFERROR(BDP($C141,PAYOUT_FIELD,YR_OVERRIDE,TEXT(YEAR_Y-1,"0"))/100,"")))</f>
        <v/>
      </c>
      <c r="AJ141" s="143">
        <f>IF($C141="","",IFERROR(AVERAGE(AE141:AI141),""))</f>
        <v/>
      </c>
      <c r="AK141" s="144">
        <f>IF($C141="","",IF(ISNUMBER($AD141)*ISNUMBER($N141)*($AD141&lt;&gt;0)=0,"",$N141/$AD141))</f>
        <v/>
      </c>
      <c r="AL141" s="143">
        <f>IF($C141="","",IF(ISNUMBER($AD141)*($AD141&lt;&gt;0)=0,"",$M141/$AD141))</f>
        <v/>
      </c>
      <c r="AM141" s="37">
        <f>IF($C141="","",IF(ISNUMBER($AE141)*ISNUMBER($AI141)=0,"",IF($AI141&gt;$AE141+0.05,"rising",IF($AI141&lt;$AE141-0.05,"falling","stable"))))</f>
        <v/>
      </c>
      <c r="AN141" s="145">
        <f>IF($C141="","",IF(PULL_FUND="N","",IF(COUNTIFS('Fund History'!$G$786:$G$790,"&gt;="&amp;DATE(YEAR_Y-4,1,1),'Fund History'!$G$786:$G$790,"&lt;="&amp;DATE(YEAR_Y-4,12,31))=0,"",SUMIFS('Fund History'!$H$786:$H$790,'Fund History'!$G$786:$G$790,"&gt;="&amp;DATE(YEAR_Y-4,1,1),'Fund History'!$G$786:$G$790,"&lt;="&amp;DATE(YEAR_Y-4,12,31))/100)))</f>
        <v/>
      </c>
      <c r="AO141" s="146">
        <f>IF($C141="","",IF(PULL_FUND="N","",IF(COUNTIFS('Fund History'!$G$786:$G$790,"&gt;="&amp;DATE(YEAR_Y-3,1,1),'Fund History'!$G$786:$G$790,"&lt;="&amp;DATE(YEAR_Y-3,12,31))=0,"",SUMIFS('Fund History'!$H$786:$H$790,'Fund History'!$G$786:$G$790,"&gt;="&amp;DATE(YEAR_Y-3,1,1),'Fund History'!$G$786:$G$790,"&lt;="&amp;DATE(YEAR_Y-3,12,31))/100)))</f>
        <v/>
      </c>
      <c r="AP141" s="146">
        <f>IF($C141="","",IF(PULL_FUND="N","",IF(COUNTIFS('Fund History'!$G$786:$G$790,"&gt;="&amp;DATE(YEAR_Y-2,1,1),'Fund History'!$G$786:$G$790,"&lt;="&amp;DATE(YEAR_Y-2,12,31))=0,"",SUMIFS('Fund History'!$H$786:$H$790,'Fund History'!$G$786:$G$790,"&gt;="&amp;DATE(YEAR_Y-2,1,1),'Fund History'!$G$786:$G$790,"&lt;="&amp;DATE(YEAR_Y-2,12,31))/100)))</f>
        <v/>
      </c>
      <c r="AQ141" s="146">
        <f>IF($C141="","",IF(PULL_FUND="N","",IF(COUNTIFS('Fund History'!$G$786:$G$790,"&gt;="&amp;DATE(YEAR_Y-1,1,1),'Fund History'!$G$786:$G$790,"&lt;="&amp;DATE(YEAR_Y-1,12,31))=0,"",SUMIFS('Fund History'!$H$786:$H$790,'Fund History'!$G$786:$G$790,"&gt;="&amp;DATE(YEAR_Y-1,1,1),'Fund History'!$G$786:$G$790,"&lt;="&amp;DATE(YEAR_Y-1,12,31))/100)))</f>
        <v/>
      </c>
      <c r="AR141" s="147">
        <f>IF($C141="","",IF(N($AQ141)+N(HSTECH!$I$36)=0,"",N($AQ141)+N(HSTECH!$I$36)/100))</f>
        <v/>
      </c>
      <c r="AS141" s="139">
        <f>IF($C141="","",IF(PULL_FUND="N","",IF(COUNTIFS('Fund History'!$D$786:$D$790,"&gt;="&amp;DATE(YEAR_Y-2,1,1),'Fund History'!$D$786:$D$790,"&lt;="&amp;DATE(YEAR_Y-2,12,31))=0,"",SUMIFS('Fund History'!$E$786:$E$790,'Fund History'!$D$786:$D$790,"&gt;="&amp;DATE(YEAR_Y-2,1,1),'Fund History'!$D$786:$D$790,"&lt;="&amp;DATE(YEAR_Y-2,12,31)))))</f>
        <v/>
      </c>
      <c r="AT141" s="140">
        <f>IF($C141="","",IF(PULL_FUND="N","",IF(COUNTIFS('Fund History'!$D$786:$D$790,"&gt;="&amp;DATE(YEAR_Y-1,1,1),'Fund History'!$D$786:$D$790,"&lt;="&amp;DATE(YEAR_Y-1,12,31))=0,"",SUMIFS('Fund History'!$E$786:$E$790,'Fund History'!$D$786:$D$790,"&gt;="&amp;DATE(YEAR_Y-1,1,1),'Fund History'!$D$786:$D$790,"&lt;="&amp;DATE(YEAR_Y-1,12,31)))))</f>
        <v/>
      </c>
      <c r="AU141" s="140">
        <f>IF($C141="","",IF(PULL_FUND="N","",IFERROR(BDP($C141,NDEBITDA_FIELD),"")))</f>
        <v/>
      </c>
      <c r="AV141" s="148">
        <f>IF($C141="","",IF(PULL_FUND="N","",IFERROR(BDP($C141,EBINT_FIELD),"")))</f>
        <v/>
      </c>
      <c r="AW141" s="146">
        <f>IF($C141="","",IF(PULL_FUND="N","",IFERROR(BDP($C141,FCF_FIELD)/100,"")))</f>
        <v/>
      </c>
      <c r="AX141" s="126">
        <f>IF($C141="","",IF(N($U141)=0,"",IFERROR($AW141/$U141,"")))</f>
        <v/>
      </c>
      <c r="AY141" s="85">
        <f>IF($C141="","",TRIM(IF(ISNUMBER($AJ141)*(N($AJ141)&gt;$D$4)&gt;0,"payout high  ","")&amp;IF(ISNUMBER($AX141)*(N($AX141)&lt;$F$4)&gt;0,"FCF below dvd  ","")&amp;IF(ISNUMBER($AU141)*(N($AU141)&gt;$H$4)&gt;0,"leverage high","")))</f>
        <v/>
      </c>
      <c r="AZ141" s="86">
        <f>IF($C141="","",IF(HSTECH!$F$36="HKD","",HSTECH!$F$36))</f>
        <v/>
      </c>
    </row>
    <row r="142">
      <c r="B142" s="66" t="inlineStr">
        <is>
          <t>HSTECH</t>
        </is>
      </c>
      <c r="C142" s="8">
        <f>IF(HSTECH!$C$37="","",HSTECH!$C$37)</f>
        <v/>
      </c>
      <c r="D142" s="8">
        <f>IF($C142="","",HSTECH!$D$37)</f>
        <v/>
      </c>
      <c r="E142" s="8">
        <f>IF($C142="","",HSTECH!$E$37)</f>
        <v/>
      </c>
      <c r="F142" s="131">
        <f>IF($C142="","",SUMPRODUCT(('Dvd Calendar'!$E$1446:$AR$1446&gt;=DATE(YEAR_Y-5,1,1))*('Dvd Calendar'!$E$1446:$AR$1446&lt;=DATE(YEAR_Y-5,12,31))*'Dvd Calendar'!$E$1449:$AR$1449*(('Dvd Calendar'!$E$1451:$AR$1451=TYPE1)*(TYPE1&lt;&gt;"")+('Dvd Calendar'!$E$1451:$AR$1451=TYPE2)*(TYPE2&lt;&gt;"")+('Dvd Calendar'!$E$1451:$AR$1451=TYPE3)*(TYPE3&lt;&gt;"")+('Dvd Calendar'!$E$1451:$AR$1451=TYPE4)*(TYPE4&lt;&gt;"")+('Dvd Calendar'!$E$1451:$AR$1451=SPECIAL_LBL)*(INC_SPECIALS="Y"))))</f>
        <v/>
      </c>
      <c r="G142" s="132">
        <f>IF($C142="","",SUMPRODUCT(('Dvd Calendar'!$E$1446:$AR$1446&gt;=DATE(YEAR_Y-4,1,1))*('Dvd Calendar'!$E$1446:$AR$1446&lt;=DATE(YEAR_Y-4,12,31))*'Dvd Calendar'!$E$1449:$AR$1449*(('Dvd Calendar'!$E$1451:$AR$1451=TYPE1)*(TYPE1&lt;&gt;"")+('Dvd Calendar'!$E$1451:$AR$1451=TYPE2)*(TYPE2&lt;&gt;"")+('Dvd Calendar'!$E$1451:$AR$1451=TYPE3)*(TYPE3&lt;&gt;"")+('Dvd Calendar'!$E$1451:$AR$1451=TYPE4)*(TYPE4&lt;&gt;"")+('Dvd Calendar'!$E$1451:$AR$1451=SPECIAL_LBL)*(INC_SPECIALS="Y"))))</f>
        <v/>
      </c>
      <c r="H142" s="132">
        <f>IF($C142="","",SUMPRODUCT(('Dvd Calendar'!$E$1446:$AR$1446&gt;=DATE(YEAR_Y-3,1,1))*('Dvd Calendar'!$E$1446:$AR$1446&lt;=DATE(YEAR_Y-3,12,31))*'Dvd Calendar'!$E$1449:$AR$1449*(('Dvd Calendar'!$E$1451:$AR$1451=TYPE1)*(TYPE1&lt;&gt;"")+('Dvd Calendar'!$E$1451:$AR$1451=TYPE2)*(TYPE2&lt;&gt;"")+('Dvd Calendar'!$E$1451:$AR$1451=TYPE3)*(TYPE3&lt;&gt;"")+('Dvd Calendar'!$E$1451:$AR$1451=TYPE4)*(TYPE4&lt;&gt;"")+('Dvd Calendar'!$E$1451:$AR$1451=SPECIAL_LBL)*(INC_SPECIALS="Y"))))</f>
        <v/>
      </c>
      <c r="I142" s="132">
        <f>IF($C142="","",SUMPRODUCT(('Dvd Calendar'!$E$1446:$AR$1446&gt;=DATE(YEAR_Y-2,1,1))*('Dvd Calendar'!$E$1446:$AR$1446&lt;=DATE(YEAR_Y-2,12,31))*'Dvd Calendar'!$E$1449:$AR$1449*(('Dvd Calendar'!$E$1451:$AR$1451=TYPE1)*(TYPE1&lt;&gt;"")+('Dvd Calendar'!$E$1451:$AR$1451=TYPE2)*(TYPE2&lt;&gt;"")+('Dvd Calendar'!$E$1451:$AR$1451=TYPE3)*(TYPE3&lt;&gt;"")+('Dvd Calendar'!$E$1451:$AR$1451=TYPE4)*(TYPE4&lt;&gt;"")+('Dvd Calendar'!$E$1451:$AR$1451=SPECIAL_LBL)*(INC_SPECIALS="Y"))))</f>
        <v/>
      </c>
      <c r="J142" s="132">
        <f>IF($C142="","",SUMPRODUCT(('Dvd Calendar'!$E$1446:$AR$1446&gt;=DATE(YEAR_Y-1,1,1))*('Dvd Calendar'!$E$1446:$AR$1446&lt;=DATE(YEAR_Y-1,12,31))*'Dvd Calendar'!$E$1449:$AR$1449*(('Dvd Calendar'!$E$1451:$AR$1451=TYPE1)*(TYPE1&lt;&gt;"")+('Dvd Calendar'!$E$1451:$AR$1451=TYPE2)*(TYPE2&lt;&gt;"")+('Dvd Calendar'!$E$1451:$AR$1451=TYPE3)*(TYPE3&lt;&gt;"")+('Dvd Calendar'!$E$1451:$AR$1451=TYPE4)*(TYPE4&lt;&gt;"")+('Dvd Calendar'!$E$1451:$AR$1451=SPECIAL_LBL)*(INC_SPECIALS="Y"))))</f>
        <v/>
      </c>
      <c r="K142" s="133">
        <f>IF($C142="","",HSTECH!$J$37)</f>
        <v/>
      </c>
      <c r="L142" s="133">
        <f>IF($C142="","",HSTECH!$K$37)</f>
        <v/>
      </c>
      <c r="M142" s="124">
        <f>IF($C142="","",HSTECH!$J$37+HSTECH!$L$37)</f>
        <v/>
      </c>
      <c r="N142" s="134">
        <f>IF($C142="","",IF(PULL_FUND="N","",IFERROR(BDP($C142,BESTDPS_FIELD,FWD_OVERRIDE,TEXT(MOD(YEAR_Y,100),"00")&amp;"Y"),"")))</f>
        <v/>
      </c>
      <c r="O142" s="133">
        <f>IF($C142="","",AVERAGE(F142:J142))</f>
        <v/>
      </c>
      <c r="P142" s="135">
        <f>IF($C142="","",IF(PULL_FUND="N","",IF(COUNTIFS('Fund History'!$J$792:$J$796,"&gt;="&amp;DATE(YEAR_Y-5,1,1),'Fund History'!$J$792:$J$796,"&lt;="&amp;DATE(YEAR_Y-5,12,31))=0,"",IFERROR($F142*HSTECH!$G$37/SUMIFS('Fund History'!$K$792:$K$796,'Fund History'!$J$792:$J$796,"&gt;="&amp;DATE(YEAR_Y-5,1,1),'Fund History'!$J$792:$J$796,"&lt;="&amp;DATE(YEAR_Y-5,12,31)),""))))</f>
        <v/>
      </c>
      <c r="Q142" s="136">
        <f>IF($C142="","",IF(PULL_FUND="N","",IF(COUNTIFS('Fund History'!$J$792:$J$796,"&gt;="&amp;DATE(YEAR_Y-4,1,1),'Fund History'!$J$792:$J$796,"&lt;="&amp;DATE(YEAR_Y-4,12,31))=0,"",IFERROR($G142*HSTECH!$G$37/SUMIFS('Fund History'!$K$792:$K$796,'Fund History'!$J$792:$J$796,"&gt;="&amp;DATE(YEAR_Y-4,1,1),'Fund History'!$J$792:$J$796,"&lt;="&amp;DATE(YEAR_Y-4,12,31)),""))))</f>
        <v/>
      </c>
      <c r="R142" s="136">
        <f>IF($C142="","",IF(PULL_FUND="N","",IF(COUNTIFS('Fund History'!$J$792:$J$796,"&gt;="&amp;DATE(YEAR_Y-3,1,1),'Fund History'!$J$792:$J$796,"&lt;="&amp;DATE(YEAR_Y-3,12,31))=0,"",IFERROR($H142*HSTECH!$G$37/SUMIFS('Fund History'!$K$792:$K$796,'Fund History'!$J$792:$J$796,"&gt;="&amp;DATE(YEAR_Y-3,1,1),'Fund History'!$J$792:$J$796,"&lt;="&amp;DATE(YEAR_Y-3,12,31)),""))))</f>
        <v/>
      </c>
      <c r="S142" s="136">
        <f>IF($C142="","",IF(PULL_FUND="N","",IF(COUNTIFS('Fund History'!$J$792:$J$796,"&gt;="&amp;DATE(YEAR_Y-2,1,1),'Fund History'!$J$792:$J$796,"&lt;="&amp;DATE(YEAR_Y-2,12,31))=0,"",IFERROR($I142*HSTECH!$G$37/SUMIFS('Fund History'!$K$792:$K$796,'Fund History'!$J$792:$J$796,"&gt;="&amp;DATE(YEAR_Y-2,1,1),'Fund History'!$J$792:$J$796,"&lt;="&amp;DATE(YEAR_Y-2,12,31)),""))))</f>
        <v/>
      </c>
      <c r="T142" s="136">
        <f>IF($C142="","",IF(PULL_FUND="N","",IF(COUNTIFS('Fund History'!$J$792:$J$796,"&gt;="&amp;DATE(YEAR_Y-1,1,1),'Fund History'!$J$792:$J$796,"&lt;="&amp;DATE(YEAR_Y-1,12,31))=0,"",IFERROR($J142*HSTECH!$G$37/SUMIFS('Fund History'!$K$792:$K$796,'Fund History'!$J$792:$J$796,"&gt;="&amp;DATE(YEAR_Y-1,1,1),'Fund History'!$J$792:$J$796,"&lt;="&amp;DATE(YEAR_Y-1,12,31)),""))))</f>
        <v/>
      </c>
      <c r="U142" s="137">
        <f>IF($C142="","",IF(ISNUMBER(HSTECH!$I$37),HSTECH!$I$37/100,""))</f>
        <v/>
      </c>
      <c r="V142" s="138">
        <f>IF($C142="","",IF(ISNUMBER(HSTECH!$X$37),IFERROR($M142*HSTECH!$G$37/HSTECH!$X$37,""),""))</f>
        <v/>
      </c>
      <c r="W142" s="137">
        <f>IF($C142="","",IF(ISNUMBER($N142),IFERROR($N142*HSTECH!$G$37/HSTECH!$X$37,""),""))</f>
        <v/>
      </c>
      <c r="X142" s="139">
        <f>IF($C142="","",IF(PULL_FUND="N","",IFERROR(BDP($C142,EPS_FIELD,YR_OVERRIDE,TEXT(YEAR_Y-5,"0")),"")))</f>
        <v/>
      </c>
      <c r="Y142" s="140">
        <f>IF($C142="","",IF(PULL_FUND="N","",IFERROR(BDP($C142,EPS_FIELD,YR_OVERRIDE,TEXT(YEAR_Y-4,"0")),"")))</f>
        <v/>
      </c>
      <c r="Z142" s="140">
        <f>IF($C142="","",IF(PULL_FUND="N","",IFERROR(BDP($C142,EPS_FIELD,YR_OVERRIDE,TEXT(YEAR_Y-3,"0")),"")))</f>
        <v/>
      </c>
      <c r="AA142" s="140">
        <f>IF($C142="","",IF(PULL_FUND="N","",IFERROR(BDP($C142,EPS_FIELD,YR_OVERRIDE,TEXT(YEAR_Y-2,"0")),"")))</f>
        <v/>
      </c>
      <c r="AB142" s="140">
        <f>IF($C142="","",IF(PULL_FUND="N","",IFERROR(BDP($C142,EPS_FIELD,YR_OVERRIDE,TEXT(YEAR_Y-1,"0")),"")))</f>
        <v/>
      </c>
      <c r="AC142" s="126">
        <f>IF($C142="","",IFERROR(AVERAGE(X142:AB142),""))</f>
        <v/>
      </c>
      <c r="AD142" s="140">
        <f>IF($C142="","",IF(PULL_FUND="N","",IFERROR(BDP($C142,BESTEPS_FIELD,FWD_OVERRIDE,TEXT(MOD(YEAR_Y,100),"00")&amp;"Y"),"")))</f>
        <v/>
      </c>
      <c r="AE142" s="141">
        <f>IF($C142="","",IF(PULL_FUND="N","",IFERROR(BDP($C142,PAYOUT_FIELD,YR_OVERRIDE,TEXT(YEAR_Y-5,"0"))/100,"")))</f>
        <v/>
      </c>
      <c r="AF142" s="142">
        <f>IF($C142="","",IF(PULL_FUND="N","",IFERROR(BDP($C142,PAYOUT_FIELD,YR_OVERRIDE,TEXT(YEAR_Y-4,"0"))/100,"")))</f>
        <v/>
      </c>
      <c r="AG142" s="142">
        <f>IF($C142="","",IF(PULL_FUND="N","",IFERROR(BDP($C142,PAYOUT_FIELD,YR_OVERRIDE,TEXT(YEAR_Y-3,"0"))/100,"")))</f>
        <v/>
      </c>
      <c r="AH142" s="142">
        <f>IF($C142="","",IF(PULL_FUND="N","",IFERROR(BDP($C142,PAYOUT_FIELD,YR_OVERRIDE,TEXT(YEAR_Y-2,"0"))/100,"")))</f>
        <v/>
      </c>
      <c r="AI142" s="142">
        <f>IF($C142="","",IF(PULL_FUND="N","",IFERROR(BDP($C142,PAYOUT_FIELD,YR_OVERRIDE,TEXT(YEAR_Y-1,"0"))/100,"")))</f>
        <v/>
      </c>
      <c r="AJ142" s="143">
        <f>IF($C142="","",IFERROR(AVERAGE(AE142:AI142),""))</f>
        <v/>
      </c>
      <c r="AK142" s="144">
        <f>IF($C142="","",IF(ISNUMBER($AD142)*ISNUMBER($N142)*($AD142&lt;&gt;0)=0,"",$N142/$AD142))</f>
        <v/>
      </c>
      <c r="AL142" s="143">
        <f>IF($C142="","",IF(ISNUMBER($AD142)*($AD142&lt;&gt;0)=0,"",$M142/$AD142))</f>
        <v/>
      </c>
      <c r="AM142" s="37">
        <f>IF($C142="","",IF(ISNUMBER($AE142)*ISNUMBER($AI142)=0,"",IF($AI142&gt;$AE142+0.05,"rising",IF($AI142&lt;$AE142-0.05,"falling","stable"))))</f>
        <v/>
      </c>
      <c r="AN142" s="145">
        <f>IF($C142="","",IF(PULL_FUND="N","",IF(COUNTIFS('Fund History'!$G$792:$G$796,"&gt;="&amp;DATE(YEAR_Y-4,1,1),'Fund History'!$G$792:$G$796,"&lt;="&amp;DATE(YEAR_Y-4,12,31))=0,"",SUMIFS('Fund History'!$H$792:$H$796,'Fund History'!$G$792:$G$796,"&gt;="&amp;DATE(YEAR_Y-4,1,1),'Fund History'!$G$792:$G$796,"&lt;="&amp;DATE(YEAR_Y-4,12,31))/100)))</f>
        <v/>
      </c>
      <c r="AO142" s="146">
        <f>IF($C142="","",IF(PULL_FUND="N","",IF(COUNTIFS('Fund History'!$G$792:$G$796,"&gt;="&amp;DATE(YEAR_Y-3,1,1),'Fund History'!$G$792:$G$796,"&lt;="&amp;DATE(YEAR_Y-3,12,31))=0,"",SUMIFS('Fund History'!$H$792:$H$796,'Fund History'!$G$792:$G$796,"&gt;="&amp;DATE(YEAR_Y-3,1,1),'Fund History'!$G$792:$G$796,"&lt;="&amp;DATE(YEAR_Y-3,12,31))/100)))</f>
        <v/>
      </c>
      <c r="AP142" s="146">
        <f>IF($C142="","",IF(PULL_FUND="N","",IF(COUNTIFS('Fund History'!$G$792:$G$796,"&gt;="&amp;DATE(YEAR_Y-2,1,1),'Fund History'!$G$792:$G$796,"&lt;="&amp;DATE(YEAR_Y-2,12,31))=0,"",SUMIFS('Fund History'!$H$792:$H$796,'Fund History'!$G$792:$G$796,"&gt;="&amp;DATE(YEAR_Y-2,1,1),'Fund History'!$G$792:$G$796,"&lt;="&amp;DATE(YEAR_Y-2,12,31))/100)))</f>
        <v/>
      </c>
      <c r="AQ142" s="146">
        <f>IF($C142="","",IF(PULL_FUND="N","",IF(COUNTIFS('Fund History'!$G$792:$G$796,"&gt;="&amp;DATE(YEAR_Y-1,1,1),'Fund History'!$G$792:$G$796,"&lt;="&amp;DATE(YEAR_Y-1,12,31))=0,"",SUMIFS('Fund History'!$H$792:$H$796,'Fund History'!$G$792:$G$796,"&gt;="&amp;DATE(YEAR_Y-1,1,1),'Fund History'!$G$792:$G$796,"&lt;="&amp;DATE(YEAR_Y-1,12,31))/100)))</f>
        <v/>
      </c>
      <c r="AR142" s="147">
        <f>IF($C142="","",IF(N($AQ142)+N(HSTECH!$I$37)=0,"",N($AQ142)+N(HSTECH!$I$37)/100))</f>
        <v/>
      </c>
      <c r="AS142" s="139">
        <f>IF($C142="","",IF(PULL_FUND="N","",IF(COUNTIFS('Fund History'!$D$792:$D$796,"&gt;="&amp;DATE(YEAR_Y-2,1,1),'Fund History'!$D$792:$D$796,"&lt;="&amp;DATE(YEAR_Y-2,12,31))=0,"",SUMIFS('Fund History'!$E$792:$E$796,'Fund History'!$D$792:$D$796,"&gt;="&amp;DATE(YEAR_Y-2,1,1),'Fund History'!$D$792:$D$796,"&lt;="&amp;DATE(YEAR_Y-2,12,31)))))</f>
        <v/>
      </c>
      <c r="AT142" s="140">
        <f>IF($C142="","",IF(PULL_FUND="N","",IF(COUNTIFS('Fund History'!$D$792:$D$796,"&gt;="&amp;DATE(YEAR_Y-1,1,1),'Fund History'!$D$792:$D$796,"&lt;="&amp;DATE(YEAR_Y-1,12,31))=0,"",SUMIFS('Fund History'!$E$792:$E$796,'Fund History'!$D$792:$D$796,"&gt;="&amp;DATE(YEAR_Y-1,1,1),'Fund History'!$D$792:$D$796,"&lt;="&amp;DATE(YEAR_Y-1,12,31)))))</f>
        <v/>
      </c>
      <c r="AU142" s="140">
        <f>IF($C142="","",IF(PULL_FUND="N","",IFERROR(BDP($C142,NDEBITDA_FIELD),"")))</f>
        <v/>
      </c>
      <c r="AV142" s="148">
        <f>IF($C142="","",IF(PULL_FUND="N","",IFERROR(BDP($C142,EBINT_FIELD),"")))</f>
        <v/>
      </c>
      <c r="AW142" s="146">
        <f>IF($C142="","",IF(PULL_FUND="N","",IFERROR(BDP($C142,FCF_FIELD)/100,"")))</f>
        <v/>
      </c>
      <c r="AX142" s="126">
        <f>IF($C142="","",IF(N($U142)=0,"",IFERROR($AW142/$U142,"")))</f>
        <v/>
      </c>
      <c r="AY142" s="85">
        <f>IF($C142="","",TRIM(IF(ISNUMBER($AJ142)*(N($AJ142)&gt;$D$4)&gt;0,"payout high  ","")&amp;IF(ISNUMBER($AX142)*(N($AX142)&lt;$F$4)&gt;0,"FCF below dvd  ","")&amp;IF(ISNUMBER($AU142)*(N($AU142)&gt;$H$4)&gt;0,"leverage high","")))</f>
        <v/>
      </c>
      <c r="AZ142" s="86">
        <f>IF($C142="","",IF(HSTECH!$F$37="HKD","",HSTECH!$F$37))</f>
        <v/>
      </c>
    </row>
    <row r="143">
      <c r="B143" s="66" t="inlineStr">
        <is>
          <t>HSTECH</t>
        </is>
      </c>
      <c r="C143" s="8">
        <f>IF(HSTECH!$C$38="","",HSTECH!$C$38)</f>
        <v/>
      </c>
      <c r="D143" s="8">
        <f>IF($C143="","",HSTECH!$D$38)</f>
        <v/>
      </c>
      <c r="E143" s="8">
        <f>IF($C143="","",HSTECH!$E$38)</f>
        <v/>
      </c>
      <c r="F143" s="131">
        <f>IF($C143="","",SUMPRODUCT(('Dvd Calendar'!$E$1457:$AR$1457&gt;=DATE(YEAR_Y-5,1,1))*('Dvd Calendar'!$E$1457:$AR$1457&lt;=DATE(YEAR_Y-5,12,31))*'Dvd Calendar'!$E$1460:$AR$1460*(('Dvd Calendar'!$E$1462:$AR$1462=TYPE1)*(TYPE1&lt;&gt;"")+('Dvd Calendar'!$E$1462:$AR$1462=TYPE2)*(TYPE2&lt;&gt;"")+('Dvd Calendar'!$E$1462:$AR$1462=TYPE3)*(TYPE3&lt;&gt;"")+('Dvd Calendar'!$E$1462:$AR$1462=TYPE4)*(TYPE4&lt;&gt;"")+('Dvd Calendar'!$E$1462:$AR$1462=SPECIAL_LBL)*(INC_SPECIALS="Y"))))</f>
        <v/>
      </c>
      <c r="G143" s="132">
        <f>IF($C143="","",SUMPRODUCT(('Dvd Calendar'!$E$1457:$AR$1457&gt;=DATE(YEAR_Y-4,1,1))*('Dvd Calendar'!$E$1457:$AR$1457&lt;=DATE(YEAR_Y-4,12,31))*'Dvd Calendar'!$E$1460:$AR$1460*(('Dvd Calendar'!$E$1462:$AR$1462=TYPE1)*(TYPE1&lt;&gt;"")+('Dvd Calendar'!$E$1462:$AR$1462=TYPE2)*(TYPE2&lt;&gt;"")+('Dvd Calendar'!$E$1462:$AR$1462=TYPE3)*(TYPE3&lt;&gt;"")+('Dvd Calendar'!$E$1462:$AR$1462=TYPE4)*(TYPE4&lt;&gt;"")+('Dvd Calendar'!$E$1462:$AR$1462=SPECIAL_LBL)*(INC_SPECIALS="Y"))))</f>
        <v/>
      </c>
      <c r="H143" s="132">
        <f>IF($C143="","",SUMPRODUCT(('Dvd Calendar'!$E$1457:$AR$1457&gt;=DATE(YEAR_Y-3,1,1))*('Dvd Calendar'!$E$1457:$AR$1457&lt;=DATE(YEAR_Y-3,12,31))*'Dvd Calendar'!$E$1460:$AR$1460*(('Dvd Calendar'!$E$1462:$AR$1462=TYPE1)*(TYPE1&lt;&gt;"")+('Dvd Calendar'!$E$1462:$AR$1462=TYPE2)*(TYPE2&lt;&gt;"")+('Dvd Calendar'!$E$1462:$AR$1462=TYPE3)*(TYPE3&lt;&gt;"")+('Dvd Calendar'!$E$1462:$AR$1462=TYPE4)*(TYPE4&lt;&gt;"")+('Dvd Calendar'!$E$1462:$AR$1462=SPECIAL_LBL)*(INC_SPECIALS="Y"))))</f>
        <v/>
      </c>
      <c r="I143" s="132">
        <f>IF($C143="","",SUMPRODUCT(('Dvd Calendar'!$E$1457:$AR$1457&gt;=DATE(YEAR_Y-2,1,1))*('Dvd Calendar'!$E$1457:$AR$1457&lt;=DATE(YEAR_Y-2,12,31))*'Dvd Calendar'!$E$1460:$AR$1460*(('Dvd Calendar'!$E$1462:$AR$1462=TYPE1)*(TYPE1&lt;&gt;"")+('Dvd Calendar'!$E$1462:$AR$1462=TYPE2)*(TYPE2&lt;&gt;"")+('Dvd Calendar'!$E$1462:$AR$1462=TYPE3)*(TYPE3&lt;&gt;"")+('Dvd Calendar'!$E$1462:$AR$1462=TYPE4)*(TYPE4&lt;&gt;"")+('Dvd Calendar'!$E$1462:$AR$1462=SPECIAL_LBL)*(INC_SPECIALS="Y"))))</f>
        <v/>
      </c>
      <c r="J143" s="132">
        <f>IF($C143="","",SUMPRODUCT(('Dvd Calendar'!$E$1457:$AR$1457&gt;=DATE(YEAR_Y-1,1,1))*('Dvd Calendar'!$E$1457:$AR$1457&lt;=DATE(YEAR_Y-1,12,31))*'Dvd Calendar'!$E$1460:$AR$1460*(('Dvd Calendar'!$E$1462:$AR$1462=TYPE1)*(TYPE1&lt;&gt;"")+('Dvd Calendar'!$E$1462:$AR$1462=TYPE2)*(TYPE2&lt;&gt;"")+('Dvd Calendar'!$E$1462:$AR$1462=TYPE3)*(TYPE3&lt;&gt;"")+('Dvd Calendar'!$E$1462:$AR$1462=TYPE4)*(TYPE4&lt;&gt;"")+('Dvd Calendar'!$E$1462:$AR$1462=SPECIAL_LBL)*(INC_SPECIALS="Y"))))</f>
        <v/>
      </c>
      <c r="K143" s="133">
        <f>IF($C143="","",HSTECH!$J$38)</f>
        <v/>
      </c>
      <c r="L143" s="133">
        <f>IF($C143="","",HSTECH!$K$38)</f>
        <v/>
      </c>
      <c r="M143" s="124">
        <f>IF($C143="","",HSTECH!$J$38+HSTECH!$L$38)</f>
        <v/>
      </c>
      <c r="N143" s="134">
        <f>IF($C143="","",IF(PULL_FUND="N","",IFERROR(BDP($C143,BESTDPS_FIELD,FWD_OVERRIDE,TEXT(MOD(YEAR_Y,100),"00")&amp;"Y"),"")))</f>
        <v/>
      </c>
      <c r="O143" s="133">
        <f>IF($C143="","",AVERAGE(F143:J143))</f>
        <v/>
      </c>
      <c r="P143" s="135">
        <f>IF($C143="","",IF(PULL_FUND="N","",IF(COUNTIFS('Fund History'!$J$798:$J$802,"&gt;="&amp;DATE(YEAR_Y-5,1,1),'Fund History'!$J$798:$J$802,"&lt;="&amp;DATE(YEAR_Y-5,12,31))=0,"",IFERROR($F143*HSTECH!$G$38/SUMIFS('Fund History'!$K$798:$K$802,'Fund History'!$J$798:$J$802,"&gt;="&amp;DATE(YEAR_Y-5,1,1),'Fund History'!$J$798:$J$802,"&lt;="&amp;DATE(YEAR_Y-5,12,31)),""))))</f>
        <v/>
      </c>
      <c r="Q143" s="136">
        <f>IF($C143="","",IF(PULL_FUND="N","",IF(COUNTIFS('Fund History'!$J$798:$J$802,"&gt;="&amp;DATE(YEAR_Y-4,1,1),'Fund History'!$J$798:$J$802,"&lt;="&amp;DATE(YEAR_Y-4,12,31))=0,"",IFERROR($G143*HSTECH!$G$38/SUMIFS('Fund History'!$K$798:$K$802,'Fund History'!$J$798:$J$802,"&gt;="&amp;DATE(YEAR_Y-4,1,1),'Fund History'!$J$798:$J$802,"&lt;="&amp;DATE(YEAR_Y-4,12,31)),""))))</f>
        <v/>
      </c>
      <c r="R143" s="136">
        <f>IF($C143="","",IF(PULL_FUND="N","",IF(COUNTIFS('Fund History'!$J$798:$J$802,"&gt;="&amp;DATE(YEAR_Y-3,1,1),'Fund History'!$J$798:$J$802,"&lt;="&amp;DATE(YEAR_Y-3,12,31))=0,"",IFERROR($H143*HSTECH!$G$38/SUMIFS('Fund History'!$K$798:$K$802,'Fund History'!$J$798:$J$802,"&gt;="&amp;DATE(YEAR_Y-3,1,1),'Fund History'!$J$798:$J$802,"&lt;="&amp;DATE(YEAR_Y-3,12,31)),""))))</f>
        <v/>
      </c>
      <c r="S143" s="136">
        <f>IF($C143="","",IF(PULL_FUND="N","",IF(COUNTIFS('Fund History'!$J$798:$J$802,"&gt;="&amp;DATE(YEAR_Y-2,1,1),'Fund History'!$J$798:$J$802,"&lt;="&amp;DATE(YEAR_Y-2,12,31))=0,"",IFERROR($I143*HSTECH!$G$38/SUMIFS('Fund History'!$K$798:$K$802,'Fund History'!$J$798:$J$802,"&gt;="&amp;DATE(YEAR_Y-2,1,1),'Fund History'!$J$798:$J$802,"&lt;="&amp;DATE(YEAR_Y-2,12,31)),""))))</f>
        <v/>
      </c>
      <c r="T143" s="136">
        <f>IF($C143="","",IF(PULL_FUND="N","",IF(COUNTIFS('Fund History'!$J$798:$J$802,"&gt;="&amp;DATE(YEAR_Y-1,1,1),'Fund History'!$J$798:$J$802,"&lt;="&amp;DATE(YEAR_Y-1,12,31))=0,"",IFERROR($J143*HSTECH!$G$38/SUMIFS('Fund History'!$K$798:$K$802,'Fund History'!$J$798:$J$802,"&gt;="&amp;DATE(YEAR_Y-1,1,1),'Fund History'!$J$798:$J$802,"&lt;="&amp;DATE(YEAR_Y-1,12,31)),""))))</f>
        <v/>
      </c>
      <c r="U143" s="137">
        <f>IF($C143="","",IF(ISNUMBER(HSTECH!$I$38),HSTECH!$I$38/100,""))</f>
        <v/>
      </c>
      <c r="V143" s="138">
        <f>IF($C143="","",IF(ISNUMBER(HSTECH!$X$38),IFERROR($M143*HSTECH!$G$38/HSTECH!$X$38,""),""))</f>
        <v/>
      </c>
      <c r="W143" s="137">
        <f>IF($C143="","",IF(ISNUMBER($N143),IFERROR($N143*HSTECH!$G$38/HSTECH!$X$38,""),""))</f>
        <v/>
      </c>
      <c r="X143" s="139">
        <f>IF($C143="","",IF(PULL_FUND="N","",IFERROR(BDP($C143,EPS_FIELD,YR_OVERRIDE,TEXT(YEAR_Y-5,"0")),"")))</f>
        <v/>
      </c>
      <c r="Y143" s="140">
        <f>IF($C143="","",IF(PULL_FUND="N","",IFERROR(BDP($C143,EPS_FIELD,YR_OVERRIDE,TEXT(YEAR_Y-4,"0")),"")))</f>
        <v/>
      </c>
      <c r="Z143" s="140">
        <f>IF($C143="","",IF(PULL_FUND="N","",IFERROR(BDP($C143,EPS_FIELD,YR_OVERRIDE,TEXT(YEAR_Y-3,"0")),"")))</f>
        <v/>
      </c>
      <c r="AA143" s="140">
        <f>IF($C143="","",IF(PULL_FUND="N","",IFERROR(BDP($C143,EPS_FIELD,YR_OVERRIDE,TEXT(YEAR_Y-2,"0")),"")))</f>
        <v/>
      </c>
      <c r="AB143" s="140">
        <f>IF($C143="","",IF(PULL_FUND="N","",IFERROR(BDP($C143,EPS_FIELD,YR_OVERRIDE,TEXT(YEAR_Y-1,"0")),"")))</f>
        <v/>
      </c>
      <c r="AC143" s="126">
        <f>IF($C143="","",IFERROR(AVERAGE(X143:AB143),""))</f>
        <v/>
      </c>
      <c r="AD143" s="140">
        <f>IF($C143="","",IF(PULL_FUND="N","",IFERROR(BDP($C143,BESTEPS_FIELD,FWD_OVERRIDE,TEXT(MOD(YEAR_Y,100),"00")&amp;"Y"),"")))</f>
        <v/>
      </c>
      <c r="AE143" s="141">
        <f>IF($C143="","",IF(PULL_FUND="N","",IFERROR(BDP($C143,PAYOUT_FIELD,YR_OVERRIDE,TEXT(YEAR_Y-5,"0"))/100,"")))</f>
        <v/>
      </c>
      <c r="AF143" s="142">
        <f>IF($C143="","",IF(PULL_FUND="N","",IFERROR(BDP($C143,PAYOUT_FIELD,YR_OVERRIDE,TEXT(YEAR_Y-4,"0"))/100,"")))</f>
        <v/>
      </c>
      <c r="AG143" s="142">
        <f>IF($C143="","",IF(PULL_FUND="N","",IFERROR(BDP($C143,PAYOUT_FIELD,YR_OVERRIDE,TEXT(YEAR_Y-3,"0"))/100,"")))</f>
        <v/>
      </c>
      <c r="AH143" s="142">
        <f>IF($C143="","",IF(PULL_FUND="N","",IFERROR(BDP($C143,PAYOUT_FIELD,YR_OVERRIDE,TEXT(YEAR_Y-2,"0"))/100,"")))</f>
        <v/>
      </c>
      <c r="AI143" s="142">
        <f>IF($C143="","",IF(PULL_FUND="N","",IFERROR(BDP($C143,PAYOUT_FIELD,YR_OVERRIDE,TEXT(YEAR_Y-1,"0"))/100,"")))</f>
        <v/>
      </c>
      <c r="AJ143" s="143">
        <f>IF($C143="","",IFERROR(AVERAGE(AE143:AI143),""))</f>
        <v/>
      </c>
      <c r="AK143" s="144">
        <f>IF($C143="","",IF(ISNUMBER($AD143)*ISNUMBER($N143)*($AD143&lt;&gt;0)=0,"",$N143/$AD143))</f>
        <v/>
      </c>
      <c r="AL143" s="143">
        <f>IF($C143="","",IF(ISNUMBER($AD143)*($AD143&lt;&gt;0)=0,"",$M143/$AD143))</f>
        <v/>
      </c>
      <c r="AM143" s="37">
        <f>IF($C143="","",IF(ISNUMBER($AE143)*ISNUMBER($AI143)=0,"",IF($AI143&gt;$AE143+0.05,"rising",IF($AI143&lt;$AE143-0.05,"falling","stable"))))</f>
        <v/>
      </c>
      <c r="AN143" s="145">
        <f>IF($C143="","",IF(PULL_FUND="N","",IF(COUNTIFS('Fund History'!$G$798:$G$802,"&gt;="&amp;DATE(YEAR_Y-4,1,1),'Fund History'!$G$798:$G$802,"&lt;="&amp;DATE(YEAR_Y-4,12,31))=0,"",SUMIFS('Fund History'!$H$798:$H$802,'Fund History'!$G$798:$G$802,"&gt;="&amp;DATE(YEAR_Y-4,1,1),'Fund History'!$G$798:$G$802,"&lt;="&amp;DATE(YEAR_Y-4,12,31))/100)))</f>
        <v/>
      </c>
      <c r="AO143" s="146">
        <f>IF($C143="","",IF(PULL_FUND="N","",IF(COUNTIFS('Fund History'!$G$798:$G$802,"&gt;="&amp;DATE(YEAR_Y-3,1,1),'Fund History'!$G$798:$G$802,"&lt;="&amp;DATE(YEAR_Y-3,12,31))=0,"",SUMIFS('Fund History'!$H$798:$H$802,'Fund History'!$G$798:$G$802,"&gt;="&amp;DATE(YEAR_Y-3,1,1),'Fund History'!$G$798:$G$802,"&lt;="&amp;DATE(YEAR_Y-3,12,31))/100)))</f>
        <v/>
      </c>
      <c r="AP143" s="146">
        <f>IF($C143="","",IF(PULL_FUND="N","",IF(COUNTIFS('Fund History'!$G$798:$G$802,"&gt;="&amp;DATE(YEAR_Y-2,1,1),'Fund History'!$G$798:$G$802,"&lt;="&amp;DATE(YEAR_Y-2,12,31))=0,"",SUMIFS('Fund History'!$H$798:$H$802,'Fund History'!$G$798:$G$802,"&gt;="&amp;DATE(YEAR_Y-2,1,1),'Fund History'!$G$798:$G$802,"&lt;="&amp;DATE(YEAR_Y-2,12,31))/100)))</f>
        <v/>
      </c>
      <c r="AQ143" s="146">
        <f>IF($C143="","",IF(PULL_FUND="N","",IF(COUNTIFS('Fund History'!$G$798:$G$802,"&gt;="&amp;DATE(YEAR_Y-1,1,1),'Fund History'!$G$798:$G$802,"&lt;="&amp;DATE(YEAR_Y-1,12,31))=0,"",SUMIFS('Fund History'!$H$798:$H$802,'Fund History'!$G$798:$G$802,"&gt;="&amp;DATE(YEAR_Y-1,1,1),'Fund History'!$G$798:$G$802,"&lt;="&amp;DATE(YEAR_Y-1,12,31))/100)))</f>
        <v/>
      </c>
      <c r="AR143" s="147">
        <f>IF($C143="","",IF(N($AQ143)+N(HSTECH!$I$38)=0,"",N($AQ143)+N(HSTECH!$I$38)/100))</f>
        <v/>
      </c>
      <c r="AS143" s="139">
        <f>IF($C143="","",IF(PULL_FUND="N","",IF(COUNTIFS('Fund History'!$D$798:$D$802,"&gt;="&amp;DATE(YEAR_Y-2,1,1),'Fund History'!$D$798:$D$802,"&lt;="&amp;DATE(YEAR_Y-2,12,31))=0,"",SUMIFS('Fund History'!$E$798:$E$802,'Fund History'!$D$798:$D$802,"&gt;="&amp;DATE(YEAR_Y-2,1,1),'Fund History'!$D$798:$D$802,"&lt;="&amp;DATE(YEAR_Y-2,12,31)))))</f>
        <v/>
      </c>
      <c r="AT143" s="140">
        <f>IF($C143="","",IF(PULL_FUND="N","",IF(COUNTIFS('Fund History'!$D$798:$D$802,"&gt;="&amp;DATE(YEAR_Y-1,1,1),'Fund History'!$D$798:$D$802,"&lt;="&amp;DATE(YEAR_Y-1,12,31))=0,"",SUMIFS('Fund History'!$E$798:$E$802,'Fund History'!$D$798:$D$802,"&gt;="&amp;DATE(YEAR_Y-1,1,1),'Fund History'!$D$798:$D$802,"&lt;="&amp;DATE(YEAR_Y-1,12,31)))))</f>
        <v/>
      </c>
      <c r="AU143" s="140">
        <f>IF($C143="","",IF(PULL_FUND="N","",IFERROR(BDP($C143,NDEBITDA_FIELD),"")))</f>
        <v/>
      </c>
      <c r="AV143" s="148">
        <f>IF($C143="","",IF(PULL_FUND="N","",IFERROR(BDP($C143,EBINT_FIELD),"")))</f>
        <v/>
      </c>
      <c r="AW143" s="146">
        <f>IF($C143="","",IF(PULL_FUND="N","",IFERROR(BDP($C143,FCF_FIELD)/100,"")))</f>
        <v/>
      </c>
      <c r="AX143" s="126">
        <f>IF($C143="","",IF(N($U143)=0,"",IFERROR($AW143/$U143,"")))</f>
        <v/>
      </c>
      <c r="AY143" s="85">
        <f>IF($C143="","",TRIM(IF(ISNUMBER($AJ143)*(N($AJ143)&gt;$D$4)&gt;0,"payout high  ","")&amp;IF(ISNUMBER($AX143)*(N($AX143)&lt;$F$4)&gt;0,"FCF below dvd  ","")&amp;IF(ISNUMBER($AU143)*(N($AU143)&gt;$H$4)&gt;0,"leverage high","")))</f>
        <v/>
      </c>
      <c r="AZ143" s="86">
        <f>IF($C143="","",IF(HSTECH!$F$38="HKD","",HSTECH!$F$38))</f>
        <v/>
      </c>
    </row>
    <row r="144">
      <c r="B144" s="66" t="inlineStr">
        <is>
          <t>HSTECH</t>
        </is>
      </c>
      <c r="C144" s="8">
        <f>IF(HSTECH!$C$39="","",HSTECH!$C$39)</f>
        <v/>
      </c>
      <c r="D144" s="8">
        <f>IF($C144="","",HSTECH!$D$39)</f>
        <v/>
      </c>
      <c r="E144" s="8">
        <f>IF($C144="","",HSTECH!$E$39)</f>
        <v/>
      </c>
      <c r="F144" s="131">
        <f>IF($C144="","",SUMPRODUCT(('Dvd Calendar'!$E$1468:$AR$1468&gt;=DATE(YEAR_Y-5,1,1))*('Dvd Calendar'!$E$1468:$AR$1468&lt;=DATE(YEAR_Y-5,12,31))*'Dvd Calendar'!$E$1471:$AR$1471*(('Dvd Calendar'!$E$1473:$AR$1473=TYPE1)*(TYPE1&lt;&gt;"")+('Dvd Calendar'!$E$1473:$AR$1473=TYPE2)*(TYPE2&lt;&gt;"")+('Dvd Calendar'!$E$1473:$AR$1473=TYPE3)*(TYPE3&lt;&gt;"")+('Dvd Calendar'!$E$1473:$AR$1473=TYPE4)*(TYPE4&lt;&gt;"")+('Dvd Calendar'!$E$1473:$AR$1473=SPECIAL_LBL)*(INC_SPECIALS="Y"))))</f>
        <v/>
      </c>
      <c r="G144" s="132">
        <f>IF($C144="","",SUMPRODUCT(('Dvd Calendar'!$E$1468:$AR$1468&gt;=DATE(YEAR_Y-4,1,1))*('Dvd Calendar'!$E$1468:$AR$1468&lt;=DATE(YEAR_Y-4,12,31))*'Dvd Calendar'!$E$1471:$AR$1471*(('Dvd Calendar'!$E$1473:$AR$1473=TYPE1)*(TYPE1&lt;&gt;"")+('Dvd Calendar'!$E$1473:$AR$1473=TYPE2)*(TYPE2&lt;&gt;"")+('Dvd Calendar'!$E$1473:$AR$1473=TYPE3)*(TYPE3&lt;&gt;"")+('Dvd Calendar'!$E$1473:$AR$1473=TYPE4)*(TYPE4&lt;&gt;"")+('Dvd Calendar'!$E$1473:$AR$1473=SPECIAL_LBL)*(INC_SPECIALS="Y"))))</f>
        <v/>
      </c>
      <c r="H144" s="132">
        <f>IF($C144="","",SUMPRODUCT(('Dvd Calendar'!$E$1468:$AR$1468&gt;=DATE(YEAR_Y-3,1,1))*('Dvd Calendar'!$E$1468:$AR$1468&lt;=DATE(YEAR_Y-3,12,31))*'Dvd Calendar'!$E$1471:$AR$1471*(('Dvd Calendar'!$E$1473:$AR$1473=TYPE1)*(TYPE1&lt;&gt;"")+('Dvd Calendar'!$E$1473:$AR$1473=TYPE2)*(TYPE2&lt;&gt;"")+('Dvd Calendar'!$E$1473:$AR$1473=TYPE3)*(TYPE3&lt;&gt;"")+('Dvd Calendar'!$E$1473:$AR$1473=TYPE4)*(TYPE4&lt;&gt;"")+('Dvd Calendar'!$E$1473:$AR$1473=SPECIAL_LBL)*(INC_SPECIALS="Y"))))</f>
        <v/>
      </c>
      <c r="I144" s="132">
        <f>IF($C144="","",SUMPRODUCT(('Dvd Calendar'!$E$1468:$AR$1468&gt;=DATE(YEAR_Y-2,1,1))*('Dvd Calendar'!$E$1468:$AR$1468&lt;=DATE(YEAR_Y-2,12,31))*'Dvd Calendar'!$E$1471:$AR$1471*(('Dvd Calendar'!$E$1473:$AR$1473=TYPE1)*(TYPE1&lt;&gt;"")+('Dvd Calendar'!$E$1473:$AR$1473=TYPE2)*(TYPE2&lt;&gt;"")+('Dvd Calendar'!$E$1473:$AR$1473=TYPE3)*(TYPE3&lt;&gt;"")+('Dvd Calendar'!$E$1473:$AR$1473=TYPE4)*(TYPE4&lt;&gt;"")+('Dvd Calendar'!$E$1473:$AR$1473=SPECIAL_LBL)*(INC_SPECIALS="Y"))))</f>
        <v/>
      </c>
      <c r="J144" s="132">
        <f>IF($C144="","",SUMPRODUCT(('Dvd Calendar'!$E$1468:$AR$1468&gt;=DATE(YEAR_Y-1,1,1))*('Dvd Calendar'!$E$1468:$AR$1468&lt;=DATE(YEAR_Y-1,12,31))*'Dvd Calendar'!$E$1471:$AR$1471*(('Dvd Calendar'!$E$1473:$AR$1473=TYPE1)*(TYPE1&lt;&gt;"")+('Dvd Calendar'!$E$1473:$AR$1473=TYPE2)*(TYPE2&lt;&gt;"")+('Dvd Calendar'!$E$1473:$AR$1473=TYPE3)*(TYPE3&lt;&gt;"")+('Dvd Calendar'!$E$1473:$AR$1473=TYPE4)*(TYPE4&lt;&gt;"")+('Dvd Calendar'!$E$1473:$AR$1473=SPECIAL_LBL)*(INC_SPECIALS="Y"))))</f>
        <v/>
      </c>
      <c r="K144" s="133">
        <f>IF($C144="","",HSTECH!$J$39)</f>
        <v/>
      </c>
      <c r="L144" s="133">
        <f>IF($C144="","",HSTECH!$K$39)</f>
        <v/>
      </c>
      <c r="M144" s="124">
        <f>IF($C144="","",HSTECH!$J$39+HSTECH!$L$39)</f>
        <v/>
      </c>
      <c r="N144" s="134">
        <f>IF($C144="","",IF(PULL_FUND="N","",IFERROR(BDP($C144,BESTDPS_FIELD,FWD_OVERRIDE,TEXT(MOD(YEAR_Y,100),"00")&amp;"Y"),"")))</f>
        <v/>
      </c>
      <c r="O144" s="133">
        <f>IF($C144="","",AVERAGE(F144:J144))</f>
        <v/>
      </c>
      <c r="P144" s="135">
        <f>IF($C144="","",IF(PULL_FUND="N","",IF(COUNTIFS('Fund History'!$J$804:$J$808,"&gt;="&amp;DATE(YEAR_Y-5,1,1),'Fund History'!$J$804:$J$808,"&lt;="&amp;DATE(YEAR_Y-5,12,31))=0,"",IFERROR($F144*HSTECH!$G$39/SUMIFS('Fund History'!$K$804:$K$808,'Fund History'!$J$804:$J$808,"&gt;="&amp;DATE(YEAR_Y-5,1,1),'Fund History'!$J$804:$J$808,"&lt;="&amp;DATE(YEAR_Y-5,12,31)),""))))</f>
        <v/>
      </c>
      <c r="Q144" s="136">
        <f>IF($C144="","",IF(PULL_FUND="N","",IF(COUNTIFS('Fund History'!$J$804:$J$808,"&gt;="&amp;DATE(YEAR_Y-4,1,1),'Fund History'!$J$804:$J$808,"&lt;="&amp;DATE(YEAR_Y-4,12,31))=0,"",IFERROR($G144*HSTECH!$G$39/SUMIFS('Fund History'!$K$804:$K$808,'Fund History'!$J$804:$J$808,"&gt;="&amp;DATE(YEAR_Y-4,1,1),'Fund History'!$J$804:$J$808,"&lt;="&amp;DATE(YEAR_Y-4,12,31)),""))))</f>
        <v/>
      </c>
      <c r="R144" s="136">
        <f>IF($C144="","",IF(PULL_FUND="N","",IF(COUNTIFS('Fund History'!$J$804:$J$808,"&gt;="&amp;DATE(YEAR_Y-3,1,1),'Fund History'!$J$804:$J$808,"&lt;="&amp;DATE(YEAR_Y-3,12,31))=0,"",IFERROR($H144*HSTECH!$G$39/SUMIFS('Fund History'!$K$804:$K$808,'Fund History'!$J$804:$J$808,"&gt;="&amp;DATE(YEAR_Y-3,1,1),'Fund History'!$J$804:$J$808,"&lt;="&amp;DATE(YEAR_Y-3,12,31)),""))))</f>
        <v/>
      </c>
      <c r="S144" s="136">
        <f>IF($C144="","",IF(PULL_FUND="N","",IF(COUNTIFS('Fund History'!$J$804:$J$808,"&gt;="&amp;DATE(YEAR_Y-2,1,1),'Fund History'!$J$804:$J$808,"&lt;="&amp;DATE(YEAR_Y-2,12,31))=0,"",IFERROR($I144*HSTECH!$G$39/SUMIFS('Fund History'!$K$804:$K$808,'Fund History'!$J$804:$J$808,"&gt;="&amp;DATE(YEAR_Y-2,1,1),'Fund History'!$J$804:$J$808,"&lt;="&amp;DATE(YEAR_Y-2,12,31)),""))))</f>
        <v/>
      </c>
      <c r="T144" s="136">
        <f>IF($C144="","",IF(PULL_FUND="N","",IF(COUNTIFS('Fund History'!$J$804:$J$808,"&gt;="&amp;DATE(YEAR_Y-1,1,1),'Fund History'!$J$804:$J$808,"&lt;="&amp;DATE(YEAR_Y-1,12,31))=0,"",IFERROR($J144*HSTECH!$G$39/SUMIFS('Fund History'!$K$804:$K$808,'Fund History'!$J$804:$J$808,"&gt;="&amp;DATE(YEAR_Y-1,1,1),'Fund History'!$J$804:$J$808,"&lt;="&amp;DATE(YEAR_Y-1,12,31)),""))))</f>
        <v/>
      </c>
      <c r="U144" s="137">
        <f>IF($C144="","",IF(ISNUMBER(HSTECH!$I$39),HSTECH!$I$39/100,""))</f>
        <v/>
      </c>
      <c r="V144" s="138">
        <f>IF($C144="","",IF(ISNUMBER(HSTECH!$X$39),IFERROR($M144*HSTECH!$G$39/HSTECH!$X$39,""),""))</f>
        <v/>
      </c>
      <c r="W144" s="137">
        <f>IF($C144="","",IF(ISNUMBER($N144),IFERROR($N144*HSTECH!$G$39/HSTECH!$X$39,""),""))</f>
        <v/>
      </c>
      <c r="X144" s="139">
        <f>IF($C144="","",IF(PULL_FUND="N","",IFERROR(BDP($C144,EPS_FIELD,YR_OVERRIDE,TEXT(YEAR_Y-5,"0")),"")))</f>
        <v/>
      </c>
      <c r="Y144" s="140">
        <f>IF($C144="","",IF(PULL_FUND="N","",IFERROR(BDP($C144,EPS_FIELD,YR_OVERRIDE,TEXT(YEAR_Y-4,"0")),"")))</f>
        <v/>
      </c>
      <c r="Z144" s="140">
        <f>IF($C144="","",IF(PULL_FUND="N","",IFERROR(BDP($C144,EPS_FIELD,YR_OVERRIDE,TEXT(YEAR_Y-3,"0")),"")))</f>
        <v/>
      </c>
      <c r="AA144" s="140">
        <f>IF($C144="","",IF(PULL_FUND="N","",IFERROR(BDP($C144,EPS_FIELD,YR_OVERRIDE,TEXT(YEAR_Y-2,"0")),"")))</f>
        <v/>
      </c>
      <c r="AB144" s="140">
        <f>IF($C144="","",IF(PULL_FUND="N","",IFERROR(BDP($C144,EPS_FIELD,YR_OVERRIDE,TEXT(YEAR_Y-1,"0")),"")))</f>
        <v/>
      </c>
      <c r="AC144" s="126">
        <f>IF($C144="","",IFERROR(AVERAGE(X144:AB144),""))</f>
        <v/>
      </c>
      <c r="AD144" s="140">
        <f>IF($C144="","",IF(PULL_FUND="N","",IFERROR(BDP($C144,BESTEPS_FIELD,FWD_OVERRIDE,TEXT(MOD(YEAR_Y,100),"00")&amp;"Y"),"")))</f>
        <v/>
      </c>
      <c r="AE144" s="141">
        <f>IF($C144="","",IF(PULL_FUND="N","",IFERROR(BDP($C144,PAYOUT_FIELD,YR_OVERRIDE,TEXT(YEAR_Y-5,"0"))/100,"")))</f>
        <v/>
      </c>
      <c r="AF144" s="142">
        <f>IF($C144="","",IF(PULL_FUND="N","",IFERROR(BDP($C144,PAYOUT_FIELD,YR_OVERRIDE,TEXT(YEAR_Y-4,"0"))/100,"")))</f>
        <v/>
      </c>
      <c r="AG144" s="142">
        <f>IF($C144="","",IF(PULL_FUND="N","",IFERROR(BDP($C144,PAYOUT_FIELD,YR_OVERRIDE,TEXT(YEAR_Y-3,"0"))/100,"")))</f>
        <v/>
      </c>
      <c r="AH144" s="142">
        <f>IF($C144="","",IF(PULL_FUND="N","",IFERROR(BDP($C144,PAYOUT_FIELD,YR_OVERRIDE,TEXT(YEAR_Y-2,"0"))/100,"")))</f>
        <v/>
      </c>
      <c r="AI144" s="142">
        <f>IF($C144="","",IF(PULL_FUND="N","",IFERROR(BDP($C144,PAYOUT_FIELD,YR_OVERRIDE,TEXT(YEAR_Y-1,"0"))/100,"")))</f>
        <v/>
      </c>
      <c r="AJ144" s="143">
        <f>IF($C144="","",IFERROR(AVERAGE(AE144:AI144),""))</f>
        <v/>
      </c>
      <c r="AK144" s="144">
        <f>IF($C144="","",IF(ISNUMBER($AD144)*ISNUMBER($N144)*($AD144&lt;&gt;0)=0,"",$N144/$AD144))</f>
        <v/>
      </c>
      <c r="AL144" s="143">
        <f>IF($C144="","",IF(ISNUMBER($AD144)*($AD144&lt;&gt;0)=0,"",$M144/$AD144))</f>
        <v/>
      </c>
      <c r="AM144" s="37">
        <f>IF($C144="","",IF(ISNUMBER($AE144)*ISNUMBER($AI144)=0,"",IF($AI144&gt;$AE144+0.05,"rising",IF($AI144&lt;$AE144-0.05,"falling","stable"))))</f>
        <v/>
      </c>
      <c r="AN144" s="145">
        <f>IF($C144="","",IF(PULL_FUND="N","",IF(COUNTIFS('Fund History'!$G$804:$G$808,"&gt;="&amp;DATE(YEAR_Y-4,1,1),'Fund History'!$G$804:$G$808,"&lt;="&amp;DATE(YEAR_Y-4,12,31))=0,"",SUMIFS('Fund History'!$H$804:$H$808,'Fund History'!$G$804:$G$808,"&gt;="&amp;DATE(YEAR_Y-4,1,1),'Fund History'!$G$804:$G$808,"&lt;="&amp;DATE(YEAR_Y-4,12,31))/100)))</f>
        <v/>
      </c>
      <c r="AO144" s="146">
        <f>IF($C144="","",IF(PULL_FUND="N","",IF(COUNTIFS('Fund History'!$G$804:$G$808,"&gt;="&amp;DATE(YEAR_Y-3,1,1),'Fund History'!$G$804:$G$808,"&lt;="&amp;DATE(YEAR_Y-3,12,31))=0,"",SUMIFS('Fund History'!$H$804:$H$808,'Fund History'!$G$804:$G$808,"&gt;="&amp;DATE(YEAR_Y-3,1,1),'Fund History'!$G$804:$G$808,"&lt;="&amp;DATE(YEAR_Y-3,12,31))/100)))</f>
        <v/>
      </c>
      <c r="AP144" s="146">
        <f>IF($C144="","",IF(PULL_FUND="N","",IF(COUNTIFS('Fund History'!$G$804:$G$808,"&gt;="&amp;DATE(YEAR_Y-2,1,1),'Fund History'!$G$804:$G$808,"&lt;="&amp;DATE(YEAR_Y-2,12,31))=0,"",SUMIFS('Fund History'!$H$804:$H$808,'Fund History'!$G$804:$G$808,"&gt;="&amp;DATE(YEAR_Y-2,1,1),'Fund History'!$G$804:$G$808,"&lt;="&amp;DATE(YEAR_Y-2,12,31))/100)))</f>
        <v/>
      </c>
      <c r="AQ144" s="146">
        <f>IF($C144="","",IF(PULL_FUND="N","",IF(COUNTIFS('Fund History'!$G$804:$G$808,"&gt;="&amp;DATE(YEAR_Y-1,1,1),'Fund History'!$G$804:$G$808,"&lt;="&amp;DATE(YEAR_Y-1,12,31))=0,"",SUMIFS('Fund History'!$H$804:$H$808,'Fund History'!$G$804:$G$808,"&gt;="&amp;DATE(YEAR_Y-1,1,1),'Fund History'!$G$804:$G$808,"&lt;="&amp;DATE(YEAR_Y-1,12,31))/100)))</f>
        <v/>
      </c>
      <c r="AR144" s="147">
        <f>IF($C144="","",IF(N($AQ144)+N(HSTECH!$I$39)=0,"",N($AQ144)+N(HSTECH!$I$39)/100))</f>
        <v/>
      </c>
      <c r="AS144" s="139">
        <f>IF($C144="","",IF(PULL_FUND="N","",IF(COUNTIFS('Fund History'!$D$804:$D$808,"&gt;="&amp;DATE(YEAR_Y-2,1,1),'Fund History'!$D$804:$D$808,"&lt;="&amp;DATE(YEAR_Y-2,12,31))=0,"",SUMIFS('Fund History'!$E$804:$E$808,'Fund History'!$D$804:$D$808,"&gt;="&amp;DATE(YEAR_Y-2,1,1),'Fund History'!$D$804:$D$808,"&lt;="&amp;DATE(YEAR_Y-2,12,31)))))</f>
        <v/>
      </c>
      <c r="AT144" s="140">
        <f>IF($C144="","",IF(PULL_FUND="N","",IF(COUNTIFS('Fund History'!$D$804:$D$808,"&gt;="&amp;DATE(YEAR_Y-1,1,1),'Fund History'!$D$804:$D$808,"&lt;="&amp;DATE(YEAR_Y-1,12,31))=0,"",SUMIFS('Fund History'!$E$804:$E$808,'Fund History'!$D$804:$D$808,"&gt;="&amp;DATE(YEAR_Y-1,1,1),'Fund History'!$D$804:$D$808,"&lt;="&amp;DATE(YEAR_Y-1,12,31)))))</f>
        <v/>
      </c>
      <c r="AU144" s="140">
        <f>IF($C144="","",IF(PULL_FUND="N","",IFERROR(BDP($C144,NDEBITDA_FIELD),"")))</f>
        <v/>
      </c>
      <c r="AV144" s="148">
        <f>IF($C144="","",IF(PULL_FUND="N","",IFERROR(BDP($C144,EBINT_FIELD),"")))</f>
        <v/>
      </c>
      <c r="AW144" s="146">
        <f>IF($C144="","",IF(PULL_FUND="N","",IFERROR(BDP($C144,FCF_FIELD)/100,"")))</f>
        <v/>
      </c>
      <c r="AX144" s="126">
        <f>IF($C144="","",IF(N($U144)=0,"",IFERROR($AW144/$U144,"")))</f>
        <v/>
      </c>
      <c r="AY144" s="85">
        <f>IF($C144="","",TRIM(IF(ISNUMBER($AJ144)*(N($AJ144)&gt;$D$4)&gt;0,"payout high  ","")&amp;IF(ISNUMBER($AX144)*(N($AX144)&lt;$F$4)&gt;0,"FCF below dvd  ","")&amp;IF(ISNUMBER($AU144)*(N($AU144)&gt;$H$4)&gt;0,"leverage high","")))</f>
        <v/>
      </c>
      <c r="AZ144" s="86">
        <f>IF($C144="","",IF(HSTECH!$F$39="HKD","",HSTECH!$F$39))</f>
        <v/>
      </c>
    </row>
    <row r="145">
      <c r="B145" s="66" t="inlineStr">
        <is>
          <t>HSTECH</t>
        </is>
      </c>
      <c r="C145" s="8">
        <f>IF(HSTECH!$C$40="","",HSTECH!$C$40)</f>
        <v/>
      </c>
      <c r="D145" s="8">
        <f>IF($C145="","",HSTECH!$D$40)</f>
        <v/>
      </c>
      <c r="E145" s="8">
        <f>IF($C145="","",HSTECH!$E$40)</f>
        <v/>
      </c>
      <c r="F145" s="131">
        <f>IF($C145="","",SUMPRODUCT(('Dvd Calendar'!$E$1479:$AR$1479&gt;=DATE(YEAR_Y-5,1,1))*('Dvd Calendar'!$E$1479:$AR$1479&lt;=DATE(YEAR_Y-5,12,31))*'Dvd Calendar'!$E$1482:$AR$1482*(('Dvd Calendar'!$E$1484:$AR$1484=TYPE1)*(TYPE1&lt;&gt;"")+('Dvd Calendar'!$E$1484:$AR$1484=TYPE2)*(TYPE2&lt;&gt;"")+('Dvd Calendar'!$E$1484:$AR$1484=TYPE3)*(TYPE3&lt;&gt;"")+('Dvd Calendar'!$E$1484:$AR$1484=TYPE4)*(TYPE4&lt;&gt;"")+('Dvd Calendar'!$E$1484:$AR$1484=SPECIAL_LBL)*(INC_SPECIALS="Y"))))</f>
        <v/>
      </c>
      <c r="G145" s="132">
        <f>IF($C145="","",SUMPRODUCT(('Dvd Calendar'!$E$1479:$AR$1479&gt;=DATE(YEAR_Y-4,1,1))*('Dvd Calendar'!$E$1479:$AR$1479&lt;=DATE(YEAR_Y-4,12,31))*'Dvd Calendar'!$E$1482:$AR$1482*(('Dvd Calendar'!$E$1484:$AR$1484=TYPE1)*(TYPE1&lt;&gt;"")+('Dvd Calendar'!$E$1484:$AR$1484=TYPE2)*(TYPE2&lt;&gt;"")+('Dvd Calendar'!$E$1484:$AR$1484=TYPE3)*(TYPE3&lt;&gt;"")+('Dvd Calendar'!$E$1484:$AR$1484=TYPE4)*(TYPE4&lt;&gt;"")+('Dvd Calendar'!$E$1484:$AR$1484=SPECIAL_LBL)*(INC_SPECIALS="Y"))))</f>
        <v/>
      </c>
      <c r="H145" s="132">
        <f>IF($C145="","",SUMPRODUCT(('Dvd Calendar'!$E$1479:$AR$1479&gt;=DATE(YEAR_Y-3,1,1))*('Dvd Calendar'!$E$1479:$AR$1479&lt;=DATE(YEAR_Y-3,12,31))*'Dvd Calendar'!$E$1482:$AR$1482*(('Dvd Calendar'!$E$1484:$AR$1484=TYPE1)*(TYPE1&lt;&gt;"")+('Dvd Calendar'!$E$1484:$AR$1484=TYPE2)*(TYPE2&lt;&gt;"")+('Dvd Calendar'!$E$1484:$AR$1484=TYPE3)*(TYPE3&lt;&gt;"")+('Dvd Calendar'!$E$1484:$AR$1484=TYPE4)*(TYPE4&lt;&gt;"")+('Dvd Calendar'!$E$1484:$AR$1484=SPECIAL_LBL)*(INC_SPECIALS="Y"))))</f>
        <v/>
      </c>
      <c r="I145" s="132">
        <f>IF($C145="","",SUMPRODUCT(('Dvd Calendar'!$E$1479:$AR$1479&gt;=DATE(YEAR_Y-2,1,1))*('Dvd Calendar'!$E$1479:$AR$1479&lt;=DATE(YEAR_Y-2,12,31))*'Dvd Calendar'!$E$1482:$AR$1482*(('Dvd Calendar'!$E$1484:$AR$1484=TYPE1)*(TYPE1&lt;&gt;"")+('Dvd Calendar'!$E$1484:$AR$1484=TYPE2)*(TYPE2&lt;&gt;"")+('Dvd Calendar'!$E$1484:$AR$1484=TYPE3)*(TYPE3&lt;&gt;"")+('Dvd Calendar'!$E$1484:$AR$1484=TYPE4)*(TYPE4&lt;&gt;"")+('Dvd Calendar'!$E$1484:$AR$1484=SPECIAL_LBL)*(INC_SPECIALS="Y"))))</f>
        <v/>
      </c>
      <c r="J145" s="132">
        <f>IF($C145="","",SUMPRODUCT(('Dvd Calendar'!$E$1479:$AR$1479&gt;=DATE(YEAR_Y-1,1,1))*('Dvd Calendar'!$E$1479:$AR$1479&lt;=DATE(YEAR_Y-1,12,31))*'Dvd Calendar'!$E$1482:$AR$1482*(('Dvd Calendar'!$E$1484:$AR$1484=TYPE1)*(TYPE1&lt;&gt;"")+('Dvd Calendar'!$E$1484:$AR$1484=TYPE2)*(TYPE2&lt;&gt;"")+('Dvd Calendar'!$E$1484:$AR$1484=TYPE3)*(TYPE3&lt;&gt;"")+('Dvd Calendar'!$E$1484:$AR$1484=TYPE4)*(TYPE4&lt;&gt;"")+('Dvd Calendar'!$E$1484:$AR$1484=SPECIAL_LBL)*(INC_SPECIALS="Y"))))</f>
        <v/>
      </c>
      <c r="K145" s="133">
        <f>IF($C145="","",HSTECH!$J$40)</f>
        <v/>
      </c>
      <c r="L145" s="133">
        <f>IF($C145="","",HSTECH!$K$40)</f>
        <v/>
      </c>
      <c r="M145" s="124">
        <f>IF($C145="","",HSTECH!$J$40+HSTECH!$L$40)</f>
        <v/>
      </c>
      <c r="N145" s="134">
        <f>IF($C145="","",IF(PULL_FUND="N","",IFERROR(BDP($C145,BESTDPS_FIELD,FWD_OVERRIDE,TEXT(MOD(YEAR_Y,100),"00")&amp;"Y"),"")))</f>
        <v/>
      </c>
      <c r="O145" s="133">
        <f>IF($C145="","",AVERAGE(F145:J145))</f>
        <v/>
      </c>
      <c r="P145" s="135">
        <f>IF($C145="","",IF(PULL_FUND="N","",IF(COUNTIFS('Fund History'!$J$810:$J$814,"&gt;="&amp;DATE(YEAR_Y-5,1,1),'Fund History'!$J$810:$J$814,"&lt;="&amp;DATE(YEAR_Y-5,12,31))=0,"",IFERROR($F145*HSTECH!$G$40/SUMIFS('Fund History'!$K$810:$K$814,'Fund History'!$J$810:$J$814,"&gt;="&amp;DATE(YEAR_Y-5,1,1),'Fund History'!$J$810:$J$814,"&lt;="&amp;DATE(YEAR_Y-5,12,31)),""))))</f>
        <v/>
      </c>
      <c r="Q145" s="136">
        <f>IF($C145="","",IF(PULL_FUND="N","",IF(COUNTIFS('Fund History'!$J$810:$J$814,"&gt;="&amp;DATE(YEAR_Y-4,1,1),'Fund History'!$J$810:$J$814,"&lt;="&amp;DATE(YEAR_Y-4,12,31))=0,"",IFERROR($G145*HSTECH!$G$40/SUMIFS('Fund History'!$K$810:$K$814,'Fund History'!$J$810:$J$814,"&gt;="&amp;DATE(YEAR_Y-4,1,1),'Fund History'!$J$810:$J$814,"&lt;="&amp;DATE(YEAR_Y-4,12,31)),""))))</f>
        <v/>
      </c>
      <c r="R145" s="136">
        <f>IF($C145="","",IF(PULL_FUND="N","",IF(COUNTIFS('Fund History'!$J$810:$J$814,"&gt;="&amp;DATE(YEAR_Y-3,1,1),'Fund History'!$J$810:$J$814,"&lt;="&amp;DATE(YEAR_Y-3,12,31))=0,"",IFERROR($H145*HSTECH!$G$40/SUMIFS('Fund History'!$K$810:$K$814,'Fund History'!$J$810:$J$814,"&gt;="&amp;DATE(YEAR_Y-3,1,1),'Fund History'!$J$810:$J$814,"&lt;="&amp;DATE(YEAR_Y-3,12,31)),""))))</f>
        <v/>
      </c>
      <c r="S145" s="136">
        <f>IF($C145="","",IF(PULL_FUND="N","",IF(COUNTIFS('Fund History'!$J$810:$J$814,"&gt;="&amp;DATE(YEAR_Y-2,1,1),'Fund History'!$J$810:$J$814,"&lt;="&amp;DATE(YEAR_Y-2,12,31))=0,"",IFERROR($I145*HSTECH!$G$40/SUMIFS('Fund History'!$K$810:$K$814,'Fund History'!$J$810:$J$814,"&gt;="&amp;DATE(YEAR_Y-2,1,1),'Fund History'!$J$810:$J$814,"&lt;="&amp;DATE(YEAR_Y-2,12,31)),""))))</f>
        <v/>
      </c>
      <c r="T145" s="136">
        <f>IF($C145="","",IF(PULL_FUND="N","",IF(COUNTIFS('Fund History'!$J$810:$J$814,"&gt;="&amp;DATE(YEAR_Y-1,1,1),'Fund History'!$J$810:$J$814,"&lt;="&amp;DATE(YEAR_Y-1,12,31))=0,"",IFERROR($J145*HSTECH!$G$40/SUMIFS('Fund History'!$K$810:$K$814,'Fund History'!$J$810:$J$814,"&gt;="&amp;DATE(YEAR_Y-1,1,1),'Fund History'!$J$810:$J$814,"&lt;="&amp;DATE(YEAR_Y-1,12,31)),""))))</f>
        <v/>
      </c>
      <c r="U145" s="137">
        <f>IF($C145="","",IF(ISNUMBER(HSTECH!$I$40),HSTECH!$I$40/100,""))</f>
        <v/>
      </c>
      <c r="V145" s="138">
        <f>IF($C145="","",IF(ISNUMBER(HSTECH!$X$40),IFERROR($M145*HSTECH!$G$40/HSTECH!$X$40,""),""))</f>
        <v/>
      </c>
      <c r="W145" s="137">
        <f>IF($C145="","",IF(ISNUMBER($N145),IFERROR($N145*HSTECH!$G$40/HSTECH!$X$40,""),""))</f>
        <v/>
      </c>
      <c r="X145" s="139">
        <f>IF($C145="","",IF(PULL_FUND="N","",IFERROR(BDP($C145,EPS_FIELD,YR_OVERRIDE,TEXT(YEAR_Y-5,"0")),"")))</f>
        <v/>
      </c>
      <c r="Y145" s="140">
        <f>IF($C145="","",IF(PULL_FUND="N","",IFERROR(BDP($C145,EPS_FIELD,YR_OVERRIDE,TEXT(YEAR_Y-4,"0")),"")))</f>
        <v/>
      </c>
      <c r="Z145" s="140">
        <f>IF($C145="","",IF(PULL_FUND="N","",IFERROR(BDP($C145,EPS_FIELD,YR_OVERRIDE,TEXT(YEAR_Y-3,"0")),"")))</f>
        <v/>
      </c>
      <c r="AA145" s="140">
        <f>IF($C145="","",IF(PULL_FUND="N","",IFERROR(BDP($C145,EPS_FIELD,YR_OVERRIDE,TEXT(YEAR_Y-2,"0")),"")))</f>
        <v/>
      </c>
      <c r="AB145" s="140">
        <f>IF($C145="","",IF(PULL_FUND="N","",IFERROR(BDP($C145,EPS_FIELD,YR_OVERRIDE,TEXT(YEAR_Y-1,"0")),"")))</f>
        <v/>
      </c>
      <c r="AC145" s="126">
        <f>IF($C145="","",IFERROR(AVERAGE(X145:AB145),""))</f>
        <v/>
      </c>
      <c r="AD145" s="140">
        <f>IF($C145="","",IF(PULL_FUND="N","",IFERROR(BDP($C145,BESTEPS_FIELD,FWD_OVERRIDE,TEXT(MOD(YEAR_Y,100),"00")&amp;"Y"),"")))</f>
        <v/>
      </c>
      <c r="AE145" s="141">
        <f>IF($C145="","",IF(PULL_FUND="N","",IFERROR(BDP($C145,PAYOUT_FIELD,YR_OVERRIDE,TEXT(YEAR_Y-5,"0"))/100,"")))</f>
        <v/>
      </c>
      <c r="AF145" s="142">
        <f>IF($C145="","",IF(PULL_FUND="N","",IFERROR(BDP($C145,PAYOUT_FIELD,YR_OVERRIDE,TEXT(YEAR_Y-4,"0"))/100,"")))</f>
        <v/>
      </c>
      <c r="AG145" s="142">
        <f>IF($C145="","",IF(PULL_FUND="N","",IFERROR(BDP($C145,PAYOUT_FIELD,YR_OVERRIDE,TEXT(YEAR_Y-3,"0"))/100,"")))</f>
        <v/>
      </c>
      <c r="AH145" s="142">
        <f>IF($C145="","",IF(PULL_FUND="N","",IFERROR(BDP($C145,PAYOUT_FIELD,YR_OVERRIDE,TEXT(YEAR_Y-2,"0"))/100,"")))</f>
        <v/>
      </c>
      <c r="AI145" s="142">
        <f>IF($C145="","",IF(PULL_FUND="N","",IFERROR(BDP($C145,PAYOUT_FIELD,YR_OVERRIDE,TEXT(YEAR_Y-1,"0"))/100,"")))</f>
        <v/>
      </c>
      <c r="AJ145" s="143">
        <f>IF($C145="","",IFERROR(AVERAGE(AE145:AI145),""))</f>
        <v/>
      </c>
      <c r="AK145" s="144">
        <f>IF($C145="","",IF(ISNUMBER($AD145)*ISNUMBER($N145)*($AD145&lt;&gt;0)=0,"",$N145/$AD145))</f>
        <v/>
      </c>
      <c r="AL145" s="143">
        <f>IF($C145="","",IF(ISNUMBER($AD145)*($AD145&lt;&gt;0)=0,"",$M145/$AD145))</f>
        <v/>
      </c>
      <c r="AM145" s="37">
        <f>IF($C145="","",IF(ISNUMBER($AE145)*ISNUMBER($AI145)=0,"",IF($AI145&gt;$AE145+0.05,"rising",IF($AI145&lt;$AE145-0.05,"falling","stable"))))</f>
        <v/>
      </c>
      <c r="AN145" s="145">
        <f>IF($C145="","",IF(PULL_FUND="N","",IF(COUNTIFS('Fund History'!$G$810:$G$814,"&gt;="&amp;DATE(YEAR_Y-4,1,1),'Fund History'!$G$810:$G$814,"&lt;="&amp;DATE(YEAR_Y-4,12,31))=0,"",SUMIFS('Fund History'!$H$810:$H$814,'Fund History'!$G$810:$G$814,"&gt;="&amp;DATE(YEAR_Y-4,1,1),'Fund History'!$G$810:$G$814,"&lt;="&amp;DATE(YEAR_Y-4,12,31))/100)))</f>
        <v/>
      </c>
      <c r="AO145" s="146">
        <f>IF($C145="","",IF(PULL_FUND="N","",IF(COUNTIFS('Fund History'!$G$810:$G$814,"&gt;="&amp;DATE(YEAR_Y-3,1,1),'Fund History'!$G$810:$G$814,"&lt;="&amp;DATE(YEAR_Y-3,12,31))=0,"",SUMIFS('Fund History'!$H$810:$H$814,'Fund History'!$G$810:$G$814,"&gt;="&amp;DATE(YEAR_Y-3,1,1),'Fund History'!$G$810:$G$814,"&lt;="&amp;DATE(YEAR_Y-3,12,31))/100)))</f>
        <v/>
      </c>
      <c r="AP145" s="146">
        <f>IF($C145="","",IF(PULL_FUND="N","",IF(COUNTIFS('Fund History'!$G$810:$G$814,"&gt;="&amp;DATE(YEAR_Y-2,1,1),'Fund History'!$G$810:$G$814,"&lt;="&amp;DATE(YEAR_Y-2,12,31))=0,"",SUMIFS('Fund History'!$H$810:$H$814,'Fund History'!$G$810:$G$814,"&gt;="&amp;DATE(YEAR_Y-2,1,1),'Fund History'!$G$810:$G$814,"&lt;="&amp;DATE(YEAR_Y-2,12,31))/100)))</f>
        <v/>
      </c>
      <c r="AQ145" s="146">
        <f>IF($C145="","",IF(PULL_FUND="N","",IF(COUNTIFS('Fund History'!$G$810:$G$814,"&gt;="&amp;DATE(YEAR_Y-1,1,1),'Fund History'!$G$810:$G$814,"&lt;="&amp;DATE(YEAR_Y-1,12,31))=0,"",SUMIFS('Fund History'!$H$810:$H$814,'Fund History'!$G$810:$G$814,"&gt;="&amp;DATE(YEAR_Y-1,1,1),'Fund History'!$G$810:$G$814,"&lt;="&amp;DATE(YEAR_Y-1,12,31))/100)))</f>
        <v/>
      </c>
      <c r="AR145" s="147">
        <f>IF($C145="","",IF(N($AQ145)+N(HSTECH!$I$40)=0,"",N($AQ145)+N(HSTECH!$I$40)/100))</f>
        <v/>
      </c>
      <c r="AS145" s="139">
        <f>IF($C145="","",IF(PULL_FUND="N","",IF(COUNTIFS('Fund History'!$D$810:$D$814,"&gt;="&amp;DATE(YEAR_Y-2,1,1),'Fund History'!$D$810:$D$814,"&lt;="&amp;DATE(YEAR_Y-2,12,31))=0,"",SUMIFS('Fund History'!$E$810:$E$814,'Fund History'!$D$810:$D$814,"&gt;="&amp;DATE(YEAR_Y-2,1,1),'Fund History'!$D$810:$D$814,"&lt;="&amp;DATE(YEAR_Y-2,12,31)))))</f>
        <v/>
      </c>
      <c r="AT145" s="140">
        <f>IF($C145="","",IF(PULL_FUND="N","",IF(COUNTIFS('Fund History'!$D$810:$D$814,"&gt;="&amp;DATE(YEAR_Y-1,1,1),'Fund History'!$D$810:$D$814,"&lt;="&amp;DATE(YEAR_Y-1,12,31))=0,"",SUMIFS('Fund History'!$E$810:$E$814,'Fund History'!$D$810:$D$814,"&gt;="&amp;DATE(YEAR_Y-1,1,1),'Fund History'!$D$810:$D$814,"&lt;="&amp;DATE(YEAR_Y-1,12,31)))))</f>
        <v/>
      </c>
      <c r="AU145" s="140">
        <f>IF($C145="","",IF(PULL_FUND="N","",IFERROR(BDP($C145,NDEBITDA_FIELD),"")))</f>
        <v/>
      </c>
      <c r="AV145" s="148">
        <f>IF($C145="","",IF(PULL_FUND="N","",IFERROR(BDP($C145,EBINT_FIELD),"")))</f>
        <v/>
      </c>
      <c r="AW145" s="146">
        <f>IF($C145="","",IF(PULL_FUND="N","",IFERROR(BDP($C145,FCF_FIELD)/100,"")))</f>
        <v/>
      </c>
      <c r="AX145" s="126">
        <f>IF($C145="","",IF(N($U145)=0,"",IFERROR($AW145/$U145,"")))</f>
        <v/>
      </c>
      <c r="AY145" s="85">
        <f>IF($C145="","",TRIM(IF(ISNUMBER($AJ145)*(N($AJ145)&gt;$D$4)&gt;0,"payout high  ","")&amp;IF(ISNUMBER($AX145)*(N($AX145)&lt;$F$4)&gt;0,"FCF below dvd  ","")&amp;IF(ISNUMBER($AU145)*(N($AU145)&gt;$H$4)&gt;0,"leverage high","")))</f>
        <v/>
      </c>
      <c r="AZ145" s="86">
        <f>IF($C145="","",IF(HSTECH!$F$40="HKD","",HSTECH!$F$40))</f>
        <v/>
      </c>
    </row>
    <row r="146">
      <c r="B146" s="66" t="inlineStr">
        <is>
          <t>HSTECH</t>
        </is>
      </c>
      <c r="C146" s="8">
        <f>IF(HSTECH!$C$41="","",HSTECH!$C$41)</f>
        <v/>
      </c>
      <c r="D146" s="8">
        <f>IF($C146="","",HSTECH!$D$41)</f>
        <v/>
      </c>
      <c r="E146" s="8">
        <f>IF($C146="","",HSTECH!$E$41)</f>
        <v/>
      </c>
      <c r="F146" s="131">
        <f>IF($C146="","",SUMPRODUCT(('Dvd Calendar'!$E$1490:$AR$1490&gt;=DATE(YEAR_Y-5,1,1))*('Dvd Calendar'!$E$1490:$AR$1490&lt;=DATE(YEAR_Y-5,12,31))*'Dvd Calendar'!$E$1493:$AR$1493*(('Dvd Calendar'!$E$1495:$AR$1495=TYPE1)*(TYPE1&lt;&gt;"")+('Dvd Calendar'!$E$1495:$AR$1495=TYPE2)*(TYPE2&lt;&gt;"")+('Dvd Calendar'!$E$1495:$AR$1495=TYPE3)*(TYPE3&lt;&gt;"")+('Dvd Calendar'!$E$1495:$AR$1495=TYPE4)*(TYPE4&lt;&gt;"")+('Dvd Calendar'!$E$1495:$AR$1495=SPECIAL_LBL)*(INC_SPECIALS="Y"))))</f>
        <v/>
      </c>
      <c r="G146" s="132">
        <f>IF($C146="","",SUMPRODUCT(('Dvd Calendar'!$E$1490:$AR$1490&gt;=DATE(YEAR_Y-4,1,1))*('Dvd Calendar'!$E$1490:$AR$1490&lt;=DATE(YEAR_Y-4,12,31))*'Dvd Calendar'!$E$1493:$AR$1493*(('Dvd Calendar'!$E$1495:$AR$1495=TYPE1)*(TYPE1&lt;&gt;"")+('Dvd Calendar'!$E$1495:$AR$1495=TYPE2)*(TYPE2&lt;&gt;"")+('Dvd Calendar'!$E$1495:$AR$1495=TYPE3)*(TYPE3&lt;&gt;"")+('Dvd Calendar'!$E$1495:$AR$1495=TYPE4)*(TYPE4&lt;&gt;"")+('Dvd Calendar'!$E$1495:$AR$1495=SPECIAL_LBL)*(INC_SPECIALS="Y"))))</f>
        <v/>
      </c>
      <c r="H146" s="132">
        <f>IF($C146="","",SUMPRODUCT(('Dvd Calendar'!$E$1490:$AR$1490&gt;=DATE(YEAR_Y-3,1,1))*('Dvd Calendar'!$E$1490:$AR$1490&lt;=DATE(YEAR_Y-3,12,31))*'Dvd Calendar'!$E$1493:$AR$1493*(('Dvd Calendar'!$E$1495:$AR$1495=TYPE1)*(TYPE1&lt;&gt;"")+('Dvd Calendar'!$E$1495:$AR$1495=TYPE2)*(TYPE2&lt;&gt;"")+('Dvd Calendar'!$E$1495:$AR$1495=TYPE3)*(TYPE3&lt;&gt;"")+('Dvd Calendar'!$E$1495:$AR$1495=TYPE4)*(TYPE4&lt;&gt;"")+('Dvd Calendar'!$E$1495:$AR$1495=SPECIAL_LBL)*(INC_SPECIALS="Y"))))</f>
        <v/>
      </c>
      <c r="I146" s="132">
        <f>IF($C146="","",SUMPRODUCT(('Dvd Calendar'!$E$1490:$AR$1490&gt;=DATE(YEAR_Y-2,1,1))*('Dvd Calendar'!$E$1490:$AR$1490&lt;=DATE(YEAR_Y-2,12,31))*'Dvd Calendar'!$E$1493:$AR$1493*(('Dvd Calendar'!$E$1495:$AR$1495=TYPE1)*(TYPE1&lt;&gt;"")+('Dvd Calendar'!$E$1495:$AR$1495=TYPE2)*(TYPE2&lt;&gt;"")+('Dvd Calendar'!$E$1495:$AR$1495=TYPE3)*(TYPE3&lt;&gt;"")+('Dvd Calendar'!$E$1495:$AR$1495=TYPE4)*(TYPE4&lt;&gt;"")+('Dvd Calendar'!$E$1495:$AR$1495=SPECIAL_LBL)*(INC_SPECIALS="Y"))))</f>
        <v/>
      </c>
      <c r="J146" s="132">
        <f>IF($C146="","",SUMPRODUCT(('Dvd Calendar'!$E$1490:$AR$1490&gt;=DATE(YEAR_Y-1,1,1))*('Dvd Calendar'!$E$1490:$AR$1490&lt;=DATE(YEAR_Y-1,12,31))*'Dvd Calendar'!$E$1493:$AR$1493*(('Dvd Calendar'!$E$1495:$AR$1495=TYPE1)*(TYPE1&lt;&gt;"")+('Dvd Calendar'!$E$1495:$AR$1495=TYPE2)*(TYPE2&lt;&gt;"")+('Dvd Calendar'!$E$1495:$AR$1495=TYPE3)*(TYPE3&lt;&gt;"")+('Dvd Calendar'!$E$1495:$AR$1495=TYPE4)*(TYPE4&lt;&gt;"")+('Dvd Calendar'!$E$1495:$AR$1495=SPECIAL_LBL)*(INC_SPECIALS="Y"))))</f>
        <v/>
      </c>
      <c r="K146" s="133">
        <f>IF($C146="","",HSTECH!$J$41)</f>
        <v/>
      </c>
      <c r="L146" s="133">
        <f>IF($C146="","",HSTECH!$K$41)</f>
        <v/>
      </c>
      <c r="M146" s="124">
        <f>IF($C146="","",HSTECH!$J$41+HSTECH!$L$41)</f>
        <v/>
      </c>
      <c r="N146" s="134">
        <f>IF($C146="","",IF(PULL_FUND="N","",IFERROR(BDP($C146,BESTDPS_FIELD,FWD_OVERRIDE,TEXT(MOD(YEAR_Y,100),"00")&amp;"Y"),"")))</f>
        <v/>
      </c>
      <c r="O146" s="133">
        <f>IF($C146="","",AVERAGE(F146:J146))</f>
        <v/>
      </c>
      <c r="P146" s="135">
        <f>IF($C146="","",IF(PULL_FUND="N","",IF(COUNTIFS('Fund History'!$J$816:$J$820,"&gt;="&amp;DATE(YEAR_Y-5,1,1),'Fund History'!$J$816:$J$820,"&lt;="&amp;DATE(YEAR_Y-5,12,31))=0,"",IFERROR($F146*HSTECH!$G$41/SUMIFS('Fund History'!$K$816:$K$820,'Fund History'!$J$816:$J$820,"&gt;="&amp;DATE(YEAR_Y-5,1,1),'Fund History'!$J$816:$J$820,"&lt;="&amp;DATE(YEAR_Y-5,12,31)),""))))</f>
        <v/>
      </c>
      <c r="Q146" s="136">
        <f>IF($C146="","",IF(PULL_FUND="N","",IF(COUNTIFS('Fund History'!$J$816:$J$820,"&gt;="&amp;DATE(YEAR_Y-4,1,1),'Fund History'!$J$816:$J$820,"&lt;="&amp;DATE(YEAR_Y-4,12,31))=0,"",IFERROR($G146*HSTECH!$G$41/SUMIFS('Fund History'!$K$816:$K$820,'Fund History'!$J$816:$J$820,"&gt;="&amp;DATE(YEAR_Y-4,1,1),'Fund History'!$J$816:$J$820,"&lt;="&amp;DATE(YEAR_Y-4,12,31)),""))))</f>
        <v/>
      </c>
      <c r="R146" s="136">
        <f>IF($C146="","",IF(PULL_FUND="N","",IF(COUNTIFS('Fund History'!$J$816:$J$820,"&gt;="&amp;DATE(YEAR_Y-3,1,1),'Fund History'!$J$816:$J$820,"&lt;="&amp;DATE(YEAR_Y-3,12,31))=0,"",IFERROR($H146*HSTECH!$G$41/SUMIFS('Fund History'!$K$816:$K$820,'Fund History'!$J$816:$J$820,"&gt;="&amp;DATE(YEAR_Y-3,1,1),'Fund History'!$J$816:$J$820,"&lt;="&amp;DATE(YEAR_Y-3,12,31)),""))))</f>
        <v/>
      </c>
      <c r="S146" s="136">
        <f>IF($C146="","",IF(PULL_FUND="N","",IF(COUNTIFS('Fund History'!$J$816:$J$820,"&gt;="&amp;DATE(YEAR_Y-2,1,1),'Fund History'!$J$816:$J$820,"&lt;="&amp;DATE(YEAR_Y-2,12,31))=0,"",IFERROR($I146*HSTECH!$G$41/SUMIFS('Fund History'!$K$816:$K$820,'Fund History'!$J$816:$J$820,"&gt;="&amp;DATE(YEAR_Y-2,1,1),'Fund History'!$J$816:$J$820,"&lt;="&amp;DATE(YEAR_Y-2,12,31)),""))))</f>
        <v/>
      </c>
      <c r="T146" s="136">
        <f>IF($C146="","",IF(PULL_FUND="N","",IF(COUNTIFS('Fund History'!$J$816:$J$820,"&gt;="&amp;DATE(YEAR_Y-1,1,1),'Fund History'!$J$816:$J$820,"&lt;="&amp;DATE(YEAR_Y-1,12,31))=0,"",IFERROR($J146*HSTECH!$G$41/SUMIFS('Fund History'!$K$816:$K$820,'Fund History'!$J$816:$J$820,"&gt;="&amp;DATE(YEAR_Y-1,1,1),'Fund History'!$J$816:$J$820,"&lt;="&amp;DATE(YEAR_Y-1,12,31)),""))))</f>
        <v/>
      </c>
      <c r="U146" s="137">
        <f>IF($C146="","",IF(ISNUMBER(HSTECH!$I$41),HSTECH!$I$41/100,""))</f>
        <v/>
      </c>
      <c r="V146" s="138">
        <f>IF($C146="","",IF(ISNUMBER(HSTECH!$X$41),IFERROR($M146*HSTECH!$G$41/HSTECH!$X$41,""),""))</f>
        <v/>
      </c>
      <c r="W146" s="137">
        <f>IF($C146="","",IF(ISNUMBER($N146),IFERROR($N146*HSTECH!$G$41/HSTECH!$X$41,""),""))</f>
        <v/>
      </c>
      <c r="X146" s="139">
        <f>IF($C146="","",IF(PULL_FUND="N","",IFERROR(BDP($C146,EPS_FIELD,YR_OVERRIDE,TEXT(YEAR_Y-5,"0")),"")))</f>
        <v/>
      </c>
      <c r="Y146" s="140">
        <f>IF($C146="","",IF(PULL_FUND="N","",IFERROR(BDP($C146,EPS_FIELD,YR_OVERRIDE,TEXT(YEAR_Y-4,"0")),"")))</f>
        <v/>
      </c>
      <c r="Z146" s="140">
        <f>IF($C146="","",IF(PULL_FUND="N","",IFERROR(BDP($C146,EPS_FIELD,YR_OVERRIDE,TEXT(YEAR_Y-3,"0")),"")))</f>
        <v/>
      </c>
      <c r="AA146" s="140">
        <f>IF($C146="","",IF(PULL_FUND="N","",IFERROR(BDP($C146,EPS_FIELD,YR_OVERRIDE,TEXT(YEAR_Y-2,"0")),"")))</f>
        <v/>
      </c>
      <c r="AB146" s="140">
        <f>IF($C146="","",IF(PULL_FUND="N","",IFERROR(BDP($C146,EPS_FIELD,YR_OVERRIDE,TEXT(YEAR_Y-1,"0")),"")))</f>
        <v/>
      </c>
      <c r="AC146" s="126">
        <f>IF($C146="","",IFERROR(AVERAGE(X146:AB146),""))</f>
        <v/>
      </c>
      <c r="AD146" s="140">
        <f>IF($C146="","",IF(PULL_FUND="N","",IFERROR(BDP($C146,BESTEPS_FIELD,FWD_OVERRIDE,TEXT(MOD(YEAR_Y,100),"00")&amp;"Y"),"")))</f>
        <v/>
      </c>
      <c r="AE146" s="141">
        <f>IF($C146="","",IF(PULL_FUND="N","",IFERROR(BDP($C146,PAYOUT_FIELD,YR_OVERRIDE,TEXT(YEAR_Y-5,"0"))/100,"")))</f>
        <v/>
      </c>
      <c r="AF146" s="142">
        <f>IF($C146="","",IF(PULL_FUND="N","",IFERROR(BDP($C146,PAYOUT_FIELD,YR_OVERRIDE,TEXT(YEAR_Y-4,"0"))/100,"")))</f>
        <v/>
      </c>
      <c r="AG146" s="142">
        <f>IF($C146="","",IF(PULL_FUND="N","",IFERROR(BDP($C146,PAYOUT_FIELD,YR_OVERRIDE,TEXT(YEAR_Y-3,"0"))/100,"")))</f>
        <v/>
      </c>
      <c r="AH146" s="142">
        <f>IF($C146="","",IF(PULL_FUND="N","",IFERROR(BDP($C146,PAYOUT_FIELD,YR_OVERRIDE,TEXT(YEAR_Y-2,"0"))/100,"")))</f>
        <v/>
      </c>
      <c r="AI146" s="142">
        <f>IF($C146="","",IF(PULL_FUND="N","",IFERROR(BDP($C146,PAYOUT_FIELD,YR_OVERRIDE,TEXT(YEAR_Y-1,"0"))/100,"")))</f>
        <v/>
      </c>
      <c r="AJ146" s="143">
        <f>IF($C146="","",IFERROR(AVERAGE(AE146:AI146),""))</f>
        <v/>
      </c>
      <c r="AK146" s="144">
        <f>IF($C146="","",IF(ISNUMBER($AD146)*ISNUMBER($N146)*($AD146&lt;&gt;0)=0,"",$N146/$AD146))</f>
        <v/>
      </c>
      <c r="AL146" s="143">
        <f>IF($C146="","",IF(ISNUMBER($AD146)*($AD146&lt;&gt;0)=0,"",$M146/$AD146))</f>
        <v/>
      </c>
      <c r="AM146" s="37">
        <f>IF($C146="","",IF(ISNUMBER($AE146)*ISNUMBER($AI146)=0,"",IF($AI146&gt;$AE146+0.05,"rising",IF($AI146&lt;$AE146-0.05,"falling","stable"))))</f>
        <v/>
      </c>
      <c r="AN146" s="145">
        <f>IF($C146="","",IF(PULL_FUND="N","",IF(COUNTIFS('Fund History'!$G$816:$G$820,"&gt;="&amp;DATE(YEAR_Y-4,1,1),'Fund History'!$G$816:$G$820,"&lt;="&amp;DATE(YEAR_Y-4,12,31))=0,"",SUMIFS('Fund History'!$H$816:$H$820,'Fund History'!$G$816:$G$820,"&gt;="&amp;DATE(YEAR_Y-4,1,1),'Fund History'!$G$816:$G$820,"&lt;="&amp;DATE(YEAR_Y-4,12,31))/100)))</f>
        <v/>
      </c>
      <c r="AO146" s="146">
        <f>IF($C146="","",IF(PULL_FUND="N","",IF(COUNTIFS('Fund History'!$G$816:$G$820,"&gt;="&amp;DATE(YEAR_Y-3,1,1),'Fund History'!$G$816:$G$820,"&lt;="&amp;DATE(YEAR_Y-3,12,31))=0,"",SUMIFS('Fund History'!$H$816:$H$820,'Fund History'!$G$816:$G$820,"&gt;="&amp;DATE(YEAR_Y-3,1,1),'Fund History'!$G$816:$G$820,"&lt;="&amp;DATE(YEAR_Y-3,12,31))/100)))</f>
        <v/>
      </c>
      <c r="AP146" s="146">
        <f>IF($C146="","",IF(PULL_FUND="N","",IF(COUNTIFS('Fund History'!$G$816:$G$820,"&gt;="&amp;DATE(YEAR_Y-2,1,1),'Fund History'!$G$816:$G$820,"&lt;="&amp;DATE(YEAR_Y-2,12,31))=0,"",SUMIFS('Fund History'!$H$816:$H$820,'Fund History'!$G$816:$G$820,"&gt;="&amp;DATE(YEAR_Y-2,1,1),'Fund History'!$G$816:$G$820,"&lt;="&amp;DATE(YEAR_Y-2,12,31))/100)))</f>
        <v/>
      </c>
      <c r="AQ146" s="146">
        <f>IF($C146="","",IF(PULL_FUND="N","",IF(COUNTIFS('Fund History'!$G$816:$G$820,"&gt;="&amp;DATE(YEAR_Y-1,1,1),'Fund History'!$G$816:$G$820,"&lt;="&amp;DATE(YEAR_Y-1,12,31))=0,"",SUMIFS('Fund History'!$H$816:$H$820,'Fund History'!$G$816:$G$820,"&gt;="&amp;DATE(YEAR_Y-1,1,1),'Fund History'!$G$816:$G$820,"&lt;="&amp;DATE(YEAR_Y-1,12,31))/100)))</f>
        <v/>
      </c>
      <c r="AR146" s="147">
        <f>IF($C146="","",IF(N($AQ146)+N(HSTECH!$I$41)=0,"",N($AQ146)+N(HSTECH!$I$41)/100))</f>
        <v/>
      </c>
      <c r="AS146" s="139">
        <f>IF($C146="","",IF(PULL_FUND="N","",IF(COUNTIFS('Fund History'!$D$816:$D$820,"&gt;="&amp;DATE(YEAR_Y-2,1,1),'Fund History'!$D$816:$D$820,"&lt;="&amp;DATE(YEAR_Y-2,12,31))=0,"",SUMIFS('Fund History'!$E$816:$E$820,'Fund History'!$D$816:$D$820,"&gt;="&amp;DATE(YEAR_Y-2,1,1),'Fund History'!$D$816:$D$820,"&lt;="&amp;DATE(YEAR_Y-2,12,31)))))</f>
        <v/>
      </c>
      <c r="AT146" s="140">
        <f>IF($C146="","",IF(PULL_FUND="N","",IF(COUNTIFS('Fund History'!$D$816:$D$820,"&gt;="&amp;DATE(YEAR_Y-1,1,1),'Fund History'!$D$816:$D$820,"&lt;="&amp;DATE(YEAR_Y-1,12,31))=0,"",SUMIFS('Fund History'!$E$816:$E$820,'Fund History'!$D$816:$D$820,"&gt;="&amp;DATE(YEAR_Y-1,1,1),'Fund History'!$D$816:$D$820,"&lt;="&amp;DATE(YEAR_Y-1,12,31)))))</f>
        <v/>
      </c>
      <c r="AU146" s="140">
        <f>IF($C146="","",IF(PULL_FUND="N","",IFERROR(BDP($C146,NDEBITDA_FIELD),"")))</f>
        <v/>
      </c>
      <c r="AV146" s="148">
        <f>IF($C146="","",IF(PULL_FUND="N","",IFERROR(BDP($C146,EBINT_FIELD),"")))</f>
        <v/>
      </c>
      <c r="AW146" s="146">
        <f>IF($C146="","",IF(PULL_FUND="N","",IFERROR(BDP($C146,FCF_FIELD)/100,"")))</f>
        <v/>
      </c>
      <c r="AX146" s="126">
        <f>IF($C146="","",IF(N($U146)=0,"",IFERROR($AW146/$U146,"")))</f>
        <v/>
      </c>
      <c r="AY146" s="85">
        <f>IF($C146="","",TRIM(IF(ISNUMBER($AJ146)*(N($AJ146)&gt;$D$4)&gt;0,"payout high  ","")&amp;IF(ISNUMBER($AX146)*(N($AX146)&lt;$F$4)&gt;0,"FCF below dvd  ","")&amp;IF(ISNUMBER($AU146)*(N($AU146)&gt;$H$4)&gt;0,"leverage high","")))</f>
        <v/>
      </c>
      <c r="AZ146" s="86">
        <f>IF($C146="","",IF(HSTECH!$F$41="HKD","",HSTECH!$F$41))</f>
        <v/>
      </c>
    </row>
    <row r="147">
      <c r="B147" s="66" t="inlineStr">
        <is>
          <t>HSTECH</t>
        </is>
      </c>
      <c r="C147" s="8">
        <f>IF(HSTECH!$C$42="","",HSTECH!$C$42)</f>
        <v/>
      </c>
      <c r="D147" s="8">
        <f>IF($C147="","",HSTECH!$D$42)</f>
        <v/>
      </c>
      <c r="E147" s="8">
        <f>IF($C147="","",HSTECH!$E$42)</f>
        <v/>
      </c>
      <c r="F147" s="131">
        <f>IF($C147="","",SUMPRODUCT(('Dvd Calendar'!$E$1501:$AR$1501&gt;=DATE(YEAR_Y-5,1,1))*('Dvd Calendar'!$E$1501:$AR$1501&lt;=DATE(YEAR_Y-5,12,31))*'Dvd Calendar'!$E$1504:$AR$1504*(('Dvd Calendar'!$E$1506:$AR$1506=TYPE1)*(TYPE1&lt;&gt;"")+('Dvd Calendar'!$E$1506:$AR$1506=TYPE2)*(TYPE2&lt;&gt;"")+('Dvd Calendar'!$E$1506:$AR$1506=TYPE3)*(TYPE3&lt;&gt;"")+('Dvd Calendar'!$E$1506:$AR$1506=TYPE4)*(TYPE4&lt;&gt;"")+('Dvd Calendar'!$E$1506:$AR$1506=SPECIAL_LBL)*(INC_SPECIALS="Y"))))</f>
        <v/>
      </c>
      <c r="G147" s="132">
        <f>IF($C147="","",SUMPRODUCT(('Dvd Calendar'!$E$1501:$AR$1501&gt;=DATE(YEAR_Y-4,1,1))*('Dvd Calendar'!$E$1501:$AR$1501&lt;=DATE(YEAR_Y-4,12,31))*'Dvd Calendar'!$E$1504:$AR$1504*(('Dvd Calendar'!$E$1506:$AR$1506=TYPE1)*(TYPE1&lt;&gt;"")+('Dvd Calendar'!$E$1506:$AR$1506=TYPE2)*(TYPE2&lt;&gt;"")+('Dvd Calendar'!$E$1506:$AR$1506=TYPE3)*(TYPE3&lt;&gt;"")+('Dvd Calendar'!$E$1506:$AR$1506=TYPE4)*(TYPE4&lt;&gt;"")+('Dvd Calendar'!$E$1506:$AR$1506=SPECIAL_LBL)*(INC_SPECIALS="Y"))))</f>
        <v/>
      </c>
      <c r="H147" s="132">
        <f>IF($C147="","",SUMPRODUCT(('Dvd Calendar'!$E$1501:$AR$1501&gt;=DATE(YEAR_Y-3,1,1))*('Dvd Calendar'!$E$1501:$AR$1501&lt;=DATE(YEAR_Y-3,12,31))*'Dvd Calendar'!$E$1504:$AR$1504*(('Dvd Calendar'!$E$1506:$AR$1506=TYPE1)*(TYPE1&lt;&gt;"")+('Dvd Calendar'!$E$1506:$AR$1506=TYPE2)*(TYPE2&lt;&gt;"")+('Dvd Calendar'!$E$1506:$AR$1506=TYPE3)*(TYPE3&lt;&gt;"")+('Dvd Calendar'!$E$1506:$AR$1506=TYPE4)*(TYPE4&lt;&gt;"")+('Dvd Calendar'!$E$1506:$AR$1506=SPECIAL_LBL)*(INC_SPECIALS="Y"))))</f>
        <v/>
      </c>
      <c r="I147" s="132">
        <f>IF($C147="","",SUMPRODUCT(('Dvd Calendar'!$E$1501:$AR$1501&gt;=DATE(YEAR_Y-2,1,1))*('Dvd Calendar'!$E$1501:$AR$1501&lt;=DATE(YEAR_Y-2,12,31))*'Dvd Calendar'!$E$1504:$AR$1504*(('Dvd Calendar'!$E$1506:$AR$1506=TYPE1)*(TYPE1&lt;&gt;"")+('Dvd Calendar'!$E$1506:$AR$1506=TYPE2)*(TYPE2&lt;&gt;"")+('Dvd Calendar'!$E$1506:$AR$1506=TYPE3)*(TYPE3&lt;&gt;"")+('Dvd Calendar'!$E$1506:$AR$1506=TYPE4)*(TYPE4&lt;&gt;"")+('Dvd Calendar'!$E$1506:$AR$1506=SPECIAL_LBL)*(INC_SPECIALS="Y"))))</f>
        <v/>
      </c>
      <c r="J147" s="132">
        <f>IF($C147="","",SUMPRODUCT(('Dvd Calendar'!$E$1501:$AR$1501&gt;=DATE(YEAR_Y-1,1,1))*('Dvd Calendar'!$E$1501:$AR$1501&lt;=DATE(YEAR_Y-1,12,31))*'Dvd Calendar'!$E$1504:$AR$1504*(('Dvd Calendar'!$E$1506:$AR$1506=TYPE1)*(TYPE1&lt;&gt;"")+('Dvd Calendar'!$E$1506:$AR$1506=TYPE2)*(TYPE2&lt;&gt;"")+('Dvd Calendar'!$E$1506:$AR$1506=TYPE3)*(TYPE3&lt;&gt;"")+('Dvd Calendar'!$E$1506:$AR$1506=TYPE4)*(TYPE4&lt;&gt;"")+('Dvd Calendar'!$E$1506:$AR$1506=SPECIAL_LBL)*(INC_SPECIALS="Y"))))</f>
        <v/>
      </c>
      <c r="K147" s="133">
        <f>IF($C147="","",HSTECH!$J$42)</f>
        <v/>
      </c>
      <c r="L147" s="133">
        <f>IF($C147="","",HSTECH!$K$42)</f>
        <v/>
      </c>
      <c r="M147" s="124">
        <f>IF($C147="","",HSTECH!$J$42+HSTECH!$L$42)</f>
        <v/>
      </c>
      <c r="N147" s="134">
        <f>IF($C147="","",IF(PULL_FUND="N","",IFERROR(BDP($C147,BESTDPS_FIELD,FWD_OVERRIDE,TEXT(MOD(YEAR_Y,100),"00")&amp;"Y"),"")))</f>
        <v/>
      </c>
      <c r="O147" s="133">
        <f>IF($C147="","",AVERAGE(F147:J147))</f>
        <v/>
      </c>
      <c r="P147" s="135">
        <f>IF($C147="","",IF(PULL_FUND="N","",IF(COUNTIFS('Fund History'!$J$822:$J$826,"&gt;="&amp;DATE(YEAR_Y-5,1,1),'Fund History'!$J$822:$J$826,"&lt;="&amp;DATE(YEAR_Y-5,12,31))=0,"",IFERROR($F147*HSTECH!$G$42/SUMIFS('Fund History'!$K$822:$K$826,'Fund History'!$J$822:$J$826,"&gt;="&amp;DATE(YEAR_Y-5,1,1),'Fund History'!$J$822:$J$826,"&lt;="&amp;DATE(YEAR_Y-5,12,31)),""))))</f>
        <v/>
      </c>
      <c r="Q147" s="136">
        <f>IF($C147="","",IF(PULL_FUND="N","",IF(COUNTIFS('Fund History'!$J$822:$J$826,"&gt;="&amp;DATE(YEAR_Y-4,1,1),'Fund History'!$J$822:$J$826,"&lt;="&amp;DATE(YEAR_Y-4,12,31))=0,"",IFERROR($G147*HSTECH!$G$42/SUMIFS('Fund History'!$K$822:$K$826,'Fund History'!$J$822:$J$826,"&gt;="&amp;DATE(YEAR_Y-4,1,1),'Fund History'!$J$822:$J$826,"&lt;="&amp;DATE(YEAR_Y-4,12,31)),""))))</f>
        <v/>
      </c>
      <c r="R147" s="136">
        <f>IF($C147="","",IF(PULL_FUND="N","",IF(COUNTIFS('Fund History'!$J$822:$J$826,"&gt;="&amp;DATE(YEAR_Y-3,1,1),'Fund History'!$J$822:$J$826,"&lt;="&amp;DATE(YEAR_Y-3,12,31))=0,"",IFERROR($H147*HSTECH!$G$42/SUMIFS('Fund History'!$K$822:$K$826,'Fund History'!$J$822:$J$826,"&gt;="&amp;DATE(YEAR_Y-3,1,1),'Fund History'!$J$822:$J$826,"&lt;="&amp;DATE(YEAR_Y-3,12,31)),""))))</f>
        <v/>
      </c>
      <c r="S147" s="136">
        <f>IF($C147="","",IF(PULL_FUND="N","",IF(COUNTIFS('Fund History'!$J$822:$J$826,"&gt;="&amp;DATE(YEAR_Y-2,1,1),'Fund History'!$J$822:$J$826,"&lt;="&amp;DATE(YEAR_Y-2,12,31))=0,"",IFERROR($I147*HSTECH!$G$42/SUMIFS('Fund History'!$K$822:$K$826,'Fund History'!$J$822:$J$826,"&gt;="&amp;DATE(YEAR_Y-2,1,1),'Fund History'!$J$822:$J$826,"&lt;="&amp;DATE(YEAR_Y-2,12,31)),""))))</f>
        <v/>
      </c>
      <c r="T147" s="136">
        <f>IF($C147="","",IF(PULL_FUND="N","",IF(COUNTIFS('Fund History'!$J$822:$J$826,"&gt;="&amp;DATE(YEAR_Y-1,1,1),'Fund History'!$J$822:$J$826,"&lt;="&amp;DATE(YEAR_Y-1,12,31))=0,"",IFERROR($J147*HSTECH!$G$42/SUMIFS('Fund History'!$K$822:$K$826,'Fund History'!$J$822:$J$826,"&gt;="&amp;DATE(YEAR_Y-1,1,1),'Fund History'!$J$822:$J$826,"&lt;="&amp;DATE(YEAR_Y-1,12,31)),""))))</f>
        <v/>
      </c>
      <c r="U147" s="137">
        <f>IF($C147="","",IF(ISNUMBER(HSTECH!$I$42),HSTECH!$I$42/100,""))</f>
        <v/>
      </c>
      <c r="V147" s="138">
        <f>IF($C147="","",IF(ISNUMBER(HSTECH!$X$42),IFERROR($M147*HSTECH!$G$42/HSTECH!$X$42,""),""))</f>
        <v/>
      </c>
      <c r="W147" s="137">
        <f>IF($C147="","",IF(ISNUMBER($N147),IFERROR($N147*HSTECH!$G$42/HSTECH!$X$42,""),""))</f>
        <v/>
      </c>
      <c r="X147" s="139">
        <f>IF($C147="","",IF(PULL_FUND="N","",IFERROR(BDP($C147,EPS_FIELD,YR_OVERRIDE,TEXT(YEAR_Y-5,"0")),"")))</f>
        <v/>
      </c>
      <c r="Y147" s="140">
        <f>IF($C147="","",IF(PULL_FUND="N","",IFERROR(BDP($C147,EPS_FIELD,YR_OVERRIDE,TEXT(YEAR_Y-4,"0")),"")))</f>
        <v/>
      </c>
      <c r="Z147" s="140">
        <f>IF($C147="","",IF(PULL_FUND="N","",IFERROR(BDP($C147,EPS_FIELD,YR_OVERRIDE,TEXT(YEAR_Y-3,"0")),"")))</f>
        <v/>
      </c>
      <c r="AA147" s="140">
        <f>IF($C147="","",IF(PULL_FUND="N","",IFERROR(BDP($C147,EPS_FIELD,YR_OVERRIDE,TEXT(YEAR_Y-2,"0")),"")))</f>
        <v/>
      </c>
      <c r="AB147" s="140">
        <f>IF($C147="","",IF(PULL_FUND="N","",IFERROR(BDP($C147,EPS_FIELD,YR_OVERRIDE,TEXT(YEAR_Y-1,"0")),"")))</f>
        <v/>
      </c>
      <c r="AC147" s="126">
        <f>IF($C147="","",IFERROR(AVERAGE(X147:AB147),""))</f>
        <v/>
      </c>
      <c r="AD147" s="140">
        <f>IF($C147="","",IF(PULL_FUND="N","",IFERROR(BDP($C147,BESTEPS_FIELD,FWD_OVERRIDE,TEXT(MOD(YEAR_Y,100),"00")&amp;"Y"),"")))</f>
        <v/>
      </c>
      <c r="AE147" s="141">
        <f>IF($C147="","",IF(PULL_FUND="N","",IFERROR(BDP($C147,PAYOUT_FIELD,YR_OVERRIDE,TEXT(YEAR_Y-5,"0"))/100,"")))</f>
        <v/>
      </c>
      <c r="AF147" s="142">
        <f>IF($C147="","",IF(PULL_FUND="N","",IFERROR(BDP($C147,PAYOUT_FIELD,YR_OVERRIDE,TEXT(YEAR_Y-4,"0"))/100,"")))</f>
        <v/>
      </c>
      <c r="AG147" s="142">
        <f>IF($C147="","",IF(PULL_FUND="N","",IFERROR(BDP($C147,PAYOUT_FIELD,YR_OVERRIDE,TEXT(YEAR_Y-3,"0"))/100,"")))</f>
        <v/>
      </c>
      <c r="AH147" s="142">
        <f>IF($C147="","",IF(PULL_FUND="N","",IFERROR(BDP($C147,PAYOUT_FIELD,YR_OVERRIDE,TEXT(YEAR_Y-2,"0"))/100,"")))</f>
        <v/>
      </c>
      <c r="AI147" s="142">
        <f>IF($C147="","",IF(PULL_FUND="N","",IFERROR(BDP($C147,PAYOUT_FIELD,YR_OVERRIDE,TEXT(YEAR_Y-1,"0"))/100,"")))</f>
        <v/>
      </c>
      <c r="AJ147" s="143">
        <f>IF($C147="","",IFERROR(AVERAGE(AE147:AI147),""))</f>
        <v/>
      </c>
      <c r="AK147" s="144">
        <f>IF($C147="","",IF(ISNUMBER($AD147)*ISNUMBER($N147)*($AD147&lt;&gt;0)=0,"",$N147/$AD147))</f>
        <v/>
      </c>
      <c r="AL147" s="143">
        <f>IF($C147="","",IF(ISNUMBER($AD147)*($AD147&lt;&gt;0)=0,"",$M147/$AD147))</f>
        <v/>
      </c>
      <c r="AM147" s="37">
        <f>IF($C147="","",IF(ISNUMBER($AE147)*ISNUMBER($AI147)=0,"",IF($AI147&gt;$AE147+0.05,"rising",IF($AI147&lt;$AE147-0.05,"falling","stable"))))</f>
        <v/>
      </c>
      <c r="AN147" s="145">
        <f>IF($C147="","",IF(PULL_FUND="N","",IF(COUNTIFS('Fund History'!$G$822:$G$826,"&gt;="&amp;DATE(YEAR_Y-4,1,1),'Fund History'!$G$822:$G$826,"&lt;="&amp;DATE(YEAR_Y-4,12,31))=0,"",SUMIFS('Fund History'!$H$822:$H$826,'Fund History'!$G$822:$G$826,"&gt;="&amp;DATE(YEAR_Y-4,1,1),'Fund History'!$G$822:$G$826,"&lt;="&amp;DATE(YEAR_Y-4,12,31))/100)))</f>
        <v/>
      </c>
      <c r="AO147" s="146">
        <f>IF($C147="","",IF(PULL_FUND="N","",IF(COUNTIFS('Fund History'!$G$822:$G$826,"&gt;="&amp;DATE(YEAR_Y-3,1,1),'Fund History'!$G$822:$G$826,"&lt;="&amp;DATE(YEAR_Y-3,12,31))=0,"",SUMIFS('Fund History'!$H$822:$H$826,'Fund History'!$G$822:$G$826,"&gt;="&amp;DATE(YEAR_Y-3,1,1),'Fund History'!$G$822:$G$826,"&lt;="&amp;DATE(YEAR_Y-3,12,31))/100)))</f>
        <v/>
      </c>
      <c r="AP147" s="146">
        <f>IF($C147="","",IF(PULL_FUND="N","",IF(COUNTIFS('Fund History'!$G$822:$G$826,"&gt;="&amp;DATE(YEAR_Y-2,1,1),'Fund History'!$G$822:$G$826,"&lt;="&amp;DATE(YEAR_Y-2,12,31))=0,"",SUMIFS('Fund History'!$H$822:$H$826,'Fund History'!$G$822:$G$826,"&gt;="&amp;DATE(YEAR_Y-2,1,1),'Fund History'!$G$822:$G$826,"&lt;="&amp;DATE(YEAR_Y-2,12,31))/100)))</f>
        <v/>
      </c>
      <c r="AQ147" s="146">
        <f>IF($C147="","",IF(PULL_FUND="N","",IF(COUNTIFS('Fund History'!$G$822:$G$826,"&gt;="&amp;DATE(YEAR_Y-1,1,1),'Fund History'!$G$822:$G$826,"&lt;="&amp;DATE(YEAR_Y-1,12,31))=0,"",SUMIFS('Fund History'!$H$822:$H$826,'Fund History'!$G$822:$G$826,"&gt;="&amp;DATE(YEAR_Y-1,1,1),'Fund History'!$G$822:$G$826,"&lt;="&amp;DATE(YEAR_Y-1,12,31))/100)))</f>
        <v/>
      </c>
      <c r="AR147" s="147">
        <f>IF($C147="","",IF(N($AQ147)+N(HSTECH!$I$42)=0,"",N($AQ147)+N(HSTECH!$I$42)/100))</f>
        <v/>
      </c>
      <c r="AS147" s="139">
        <f>IF($C147="","",IF(PULL_FUND="N","",IF(COUNTIFS('Fund History'!$D$822:$D$826,"&gt;="&amp;DATE(YEAR_Y-2,1,1),'Fund History'!$D$822:$D$826,"&lt;="&amp;DATE(YEAR_Y-2,12,31))=0,"",SUMIFS('Fund History'!$E$822:$E$826,'Fund History'!$D$822:$D$826,"&gt;="&amp;DATE(YEAR_Y-2,1,1),'Fund History'!$D$822:$D$826,"&lt;="&amp;DATE(YEAR_Y-2,12,31)))))</f>
        <v/>
      </c>
      <c r="AT147" s="140">
        <f>IF($C147="","",IF(PULL_FUND="N","",IF(COUNTIFS('Fund History'!$D$822:$D$826,"&gt;="&amp;DATE(YEAR_Y-1,1,1),'Fund History'!$D$822:$D$826,"&lt;="&amp;DATE(YEAR_Y-1,12,31))=0,"",SUMIFS('Fund History'!$E$822:$E$826,'Fund History'!$D$822:$D$826,"&gt;="&amp;DATE(YEAR_Y-1,1,1),'Fund History'!$D$822:$D$826,"&lt;="&amp;DATE(YEAR_Y-1,12,31)))))</f>
        <v/>
      </c>
      <c r="AU147" s="140">
        <f>IF($C147="","",IF(PULL_FUND="N","",IFERROR(BDP($C147,NDEBITDA_FIELD),"")))</f>
        <v/>
      </c>
      <c r="AV147" s="148">
        <f>IF($C147="","",IF(PULL_FUND="N","",IFERROR(BDP($C147,EBINT_FIELD),"")))</f>
        <v/>
      </c>
      <c r="AW147" s="146">
        <f>IF($C147="","",IF(PULL_FUND="N","",IFERROR(BDP($C147,FCF_FIELD)/100,"")))</f>
        <v/>
      </c>
      <c r="AX147" s="126">
        <f>IF($C147="","",IF(N($U147)=0,"",IFERROR($AW147/$U147,"")))</f>
        <v/>
      </c>
      <c r="AY147" s="85">
        <f>IF($C147="","",TRIM(IF(ISNUMBER($AJ147)*(N($AJ147)&gt;$D$4)&gt;0,"payout high  ","")&amp;IF(ISNUMBER($AX147)*(N($AX147)&lt;$F$4)&gt;0,"FCF below dvd  ","")&amp;IF(ISNUMBER($AU147)*(N($AU147)&gt;$H$4)&gt;0,"leverage high","")))</f>
        <v/>
      </c>
      <c r="AZ147" s="86">
        <f>IF($C147="","",IF(HSTECH!$F$42="HKD","",HSTECH!$F$42))</f>
        <v/>
      </c>
    </row>
    <row r="148">
      <c r="B148" s="66" t="inlineStr">
        <is>
          <t>HSTECH</t>
        </is>
      </c>
      <c r="C148" s="8">
        <f>IF(HSTECH!$C$43="","",HSTECH!$C$43)</f>
        <v/>
      </c>
      <c r="D148" s="8">
        <f>IF($C148="","",HSTECH!$D$43)</f>
        <v/>
      </c>
      <c r="E148" s="8">
        <f>IF($C148="","",HSTECH!$E$43)</f>
        <v/>
      </c>
      <c r="F148" s="131">
        <f>IF($C148="","",SUMPRODUCT(('Dvd Calendar'!$E$1512:$AR$1512&gt;=DATE(YEAR_Y-5,1,1))*('Dvd Calendar'!$E$1512:$AR$1512&lt;=DATE(YEAR_Y-5,12,31))*'Dvd Calendar'!$E$1515:$AR$1515*(('Dvd Calendar'!$E$1517:$AR$1517=TYPE1)*(TYPE1&lt;&gt;"")+('Dvd Calendar'!$E$1517:$AR$1517=TYPE2)*(TYPE2&lt;&gt;"")+('Dvd Calendar'!$E$1517:$AR$1517=TYPE3)*(TYPE3&lt;&gt;"")+('Dvd Calendar'!$E$1517:$AR$1517=TYPE4)*(TYPE4&lt;&gt;"")+('Dvd Calendar'!$E$1517:$AR$1517=SPECIAL_LBL)*(INC_SPECIALS="Y"))))</f>
        <v/>
      </c>
      <c r="G148" s="132">
        <f>IF($C148="","",SUMPRODUCT(('Dvd Calendar'!$E$1512:$AR$1512&gt;=DATE(YEAR_Y-4,1,1))*('Dvd Calendar'!$E$1512:$AR$1512&lt;=DATE(YEAR_Y-4,12,31))*'Dvd Calendar'!$E$1515:$AR$1515*(('Dvd Calendar'!$E$1517:$AR$1517=TYPE1)*(TYPE1&lt;&gt;"")+('Dvd Calendar'!$E$1517:$AR$1517=TYPE2)*(TYPE2&lt;&gt;"")+('Dvd Calendar'!$E$1517:$AR$1517=TYPE3)*(TYPE3&lt;&gt;"")+('Dvd Calendar'!$E$1517:$AR$1517=TYPE4)*(TYPE4&lt;&gt;"")+('Dvd Calendar'!$E$1517:$AR$1517=SPECIAL_LBL)*(INC_SPECIALS="Y"))))</f>
        <v/>
      </c>
      <c r="H148" s="132">
        <f>IF($C148="","",SUMPRODUCT(('Dvd Calendar'!$E$1512:$AR$1512&gt;=DATE(YEAR_Y-3,1,1))*('Dvd Calendar'!$E$1512:$AR$1512&lt;=DATE(YEAR_Y-3,12,31))*'Dvd Calendar'!$E$1515:$AR$1515*(('Dvd Calendar'!$E$1517:$AR$1517=TYPE1)*(TYPE1&lt;&gt;"")+('Dvd Calendar'!$E$1517:$AR$1517=TYPE2)*(TYPE2&lt;&gt;"")+('Dvd Calendar'!$E$1517:$AR$1517=TYPE3)*(TYPE3&lt;&gt;"")+('Dvd Calendar'!$E$1517:$AR$1517=TYPE4)*(TYPE4&lt;&gt;"")+('Dvd Calendar'!$E$1517:$AR$1517=SPECIAL_LBL)*(INC_SPECIALS="Y"))))</f>
        <v/>
      </c>
      <c r="I148" s="132">
        <f>IF($C148="","",SUMPRODUCT(('Dvd Calendar'!$E$1512:$AR$1512&gt;=DATE(YEAR_Y-2,1,1))*('Dvd Calendar'!$E$1512:$AR$1512&lt;=DATE(YEAR_Y-2,12,31))*'Dvd Calendar'!$E$1515:$AR$1515*(('Dvd Calendar'!$E$1517:$AR$1517=TYPE1)*(TYPE1&lt;&gt;"")+('Dvd Calendar'!$E$1517:$AR$1517=TYPE2)*(TYPE2&lt;&gt;"")+('Dvd Calendar'!$E$1517:$AR$1517=TYPE3)*(TYPE3&lt;&gt;"")+('Dvd Calendar'!$E$1517:$AR$1517=TYPE4)*(TYPE4&lt;&gt;"")+('Dvd Calendar'!$E$1517:$AR$1517=SPECIAL_LBL)*(INC_SPECIALS="Y"))))</f>
        <v/>
      </c>
      <c r="J148" s="132">
        <f>IF($C148="","",SUMPRODUCT(('Dvd Calendar'!$E$1512:$AR$1512&gt;=DATE(YEAR_Y-1,1,1))*('Dvd Calendar'!$E$1512:$AR$1512&lt;=DATE(YEAR_Y-1,12,31))*'Dvd Calendar'!$E$1515:$AR$1515*(('Dvd Calendar'!$E$1517:$AR$1517=TYPE1)*(TYPE1&lt;&gt;"")+('Dvd Calendar'!$E$1517:$AR$1517=TYPE2)*(TYPE2&lt;&gt;"")+('Dvd Calendar'!$E$1517:$AR$1517=TYPE3)*(TYPE3&lt;&gt;"")+('Dvd Calendar'!$E$1517:$AR$1517=TYPE4)*(TYPE4&lt;&gt;"")+('Dvd Calendar'!$E$1517:$AR$1517=SPECIAL_LBL)*(INC_SPECIALS="Y"))))</f>
        <v/>
      </c>
      <c r="K148" s="133">
        <f>IF($C148="","",HSTECH!$J$43)</f>
        <v/>
      </c>
      <c r="L148" s="133">
        <f>IF($C148="","",HSTECH!$K$43)</f>
        <v/>
      </c>
      <c r="M148" s="124">
        <f>IF($C148="","",HSTECH!$J$43+HSTECH!$L$43)</f>
        <v/>
      </c>
      <c r="N148" s="134">
        <f>IF($C148="","",IF(PULL_FUND="N","",IFERROR(BDP($C148,BESTDPS_FIELD,FWD_OVERRIDE,TEXT(MOD(YEAR_Y,100),"00")&amp;"Y"),"")))</f>
        <v/>
      </c>
      <c r="O148" s="133">
        <f>IF($C148="","",AVERAGE(F148:J148))</f>
        <v/>
      </c>
      <c r="P148" s="135">
        <f>IF($C148="","",IF(PULL_FUND="N","",IF(COUNTIFS('Fund History'!$J$828:$J$832,"&gt;="&amp;DATE(YEAR_Y-5,1,1),'Fund History'!$J$828:$J$832,"&lt;="&amp;DATE(YEAR_Y-5,12,31))=0,"",IFERROR($F148*HSTECH!$G$43/SUMIFS('Fund History'!$K$828:$K$832,'Fund History'!$J$828:$J$832,"&gt;="&amp;DATE(YEAR_Y-5,1,1),'Fund History'!$J$828:$J$832,"&lt;="&amp;DATE(YEAR_Y-5,12,31)),""))))</f>
        <v/>
      </c>
      <c r="Q148" s="136">
        <f>IF($C148="","",IF(PULL_FUND="N","",IF(COUNTIFS('Fund History'!$J$828:$J$832,"&gt;="&amp;DATE(YEAR_Y-4,1,1),'Fund History'!$J$828:$J$832,"&lt;="&amp;DATE(YEAR_Y-4,12,31))=0,"",IFERROR($G148*HSTECH!$G$43/SUMIFS('Fund History'!$K$828:$K$832,'Fund History'!$J$828:$J$832,"&gt;="&amp;DATE(YEAR_Y-4,1,1),'Fund History'!$J$828:$J$832,"&lt;="&amp;DATE(YEAR_Y-4,12,31)),""))))</f>
        <v/>
      </c>
      <c r="R148" s="136">
        <f>IF($C148="","",IF(PULL_FUND="N","",IF(COUNTIFS('Fund History'!$J$828:$J$832,"&gt;="&amp;DATE(YEAR_Y-3,1,1),'Fund History'!$J$828:$J$832,"&lt;="&amp;DATE(YEAR_Y-3,12,31))=0,"",IFERROR($H148*HSTECH!$G$43/SUMIFS('Fund History'!$K$828:$K$832,'Fund History'!$J$828:$J$832,"&gt;="&amp;DATE(YEAR_Y-3,1,1),'Fund History'!$J$828:$J$832,"&lt;="&amp;DATE(YEAR_Y-3,12,31)),""))))</f>
        <v/>
      </c>
      <c r="S148" s="136">
        <f>IF($C148="","",IF(PULL_FUND="N","",IF(COUNTIFS('Fund History'!$J$828:$J$832,"&gt;="&amp;DATE(YEAR_Y-2,1,1),'Fund History'!$J$828:$J$832,"&lt;="&amp;DATE(YEAR_Y-2,12,31))=0,"",IFERROR($I148*HSTECH!$G$43/SUMIFS('Fund History'!$K$828:$K$832,'Fund History'!$J$828:$J$832,"&gt;="&amp;DATE(YEAR_Y-2,1,1),'Fund History'!$J$828:$J$832,"&lt;="&amp;DATE(YEAR_Y-2,12,31)),""))))</f>
        <v/>
      </c>
      <c r="T148" s="136">
        <f>IF($C148="","",IF(PULL_FUND="N","",IF(COUNTIFS('Fund History'!$J$828:$J$832,"&gt;="&amp;DATE(YEAR_Y-1,1,1),'Fund History'!$J$828:$J$832,"&lt;="&amp;DATE(YEAR_Y-1,12,31))=0,"",IFERROR($J148*HSTECH!$G$43/SUMIFS('Fund History'!$K$828:$K$832,'Fund History'!$J$828:$J$832,"&gt;="&amp;DATE(YEAR_Y-1,1,1),'Fund History'!$J$828:$J$832,"&lt;="&amp;DATE(YEAR_Y-1,12,31)),""))))</f>
        <v/>
      </c>
      <c r="U148" s="137">
        <f>IF($C148="","",IF(ISNUMBER(HSTECH!$I$43),HSTECH!$I$43/100,""))</f>
        <v/>
      </c>
      <c r="V148" s="138">
        <f>IF($C148="","",IF(ISNUMBER(HSTECH!$X$43),IFERROR($M148*HSTECH!$G$43/HSTECH!$X$43,""),""))</f>
        <v/>
      </c>
      <c r="W148" s="137">
        <f>IF($C148="","",IF(ISNUMBER($N148),IFERROR($N148*HSTECH!$G$43/HSTECH!$X$43,""),""))</f>
        <v/>
      </c>
      <c r="X148" s="139">
        <f>IF($C148="","",IF(PULL_FUND="N","",IFERROR(BDP($C148,EPS_FIELD,YR_OVERRIDE,TEXT(YEAR_Y-5,"0")),"")))</f>
        <v/>
      </c>
      <c r="Y148" s="140">
        <f>IF($C148="","",IF(PULL_FUND="N","",IFERROR(BDP($C148,EPS_FIELD,YR_OVERRIDE,TEXT(YEAR_Y-4,"0")),"")))</f>
        <v/>
      </c>
      <c r="Z148" s="140">
        <f>IF($C148="","",IF(PULL_FUND="N","",IFERROR(BDP($C148,EPS_FIELD,YR_OVERRIDE,TEXT(YEAR_Y-3,"0")),"")))</f>
        <v/>
      </c>
      <c r="AA148" s="140">
        <f>IF($C148="","",IF(PULL_FUND="N","",IFERROR(BDP($C148,EPS_FIELD,YR_OVERRIDE,TEXT(YEAR_Y-2,"0")),"")))</f>
        <v/>
      </c>
      <c r="AB148" s="140">
        <f>IF($C148="","",IF(PULL_FUND="N","",IFERROR(BDP($C148,EPS_FIELD,YR_OVERRIDE,TEXT(YEAR_Y-1,"0")),"")))</f>
        <v/>
      </c>
      <c r="AC148" s="126">
        <f>IF($C148="","",IFERROR(AVERAGE(X148:AB148),""))</f>
        <v/>
      </c>
      <c r="AD148" s="140">
        <f>IF($C148="","",IF(PULL_FUND="N","",IFERROR(BDP($C148,BESTEPS_FIELD,FWD_OVERRIDE,TEXT(MOD(YEAR_Y,100),"00")&amp;"Y"),"")))</f>
        <v/>
      </c>
      <c r="AE148" s="141">
        <f>IF($C148="","",IF(PULL_FUND="N","",IFERROR(BDP($C148,PAYOUT_FIELD,YR_OVERRIDE,TEXT(YEAR_Y-5,"0"))/100,"")))</f>
        <v/>
      </c>
      <c r="AF148" s="142">
        <f>IF($C148="","",IF(PULL_FUND="N","",IFERROR(BDP($C148,PAYOUT_FIELD,YR_OVERRIDE,TEXT(YEAR_Y-4,"0"))/100,"")))</f>
        <v/>
      </c>
      <c r="AG148" s="142">
        <f>IF($C148="","",IF(PULL_FUND="N","",IFERROR(BDP($C148,PAYOUT_FIELD,YR_OVERRIDE,TEXT(YEAR_Y-3,"0"))/100,"")))</f>
        <v/>
      </c>
      <c r="AH148" s="142">
        <f>IF($C148="","",IF(PULL_FUND="N","",IFERROR(BDP($C148,PAYOUT_FIELD,YR_OVERRIDE,TEXT(YEAR_Y-2,"0"))/100,"")))</f>
        <v/>
      </c>
      <c r="AI148" s="142">
        <f>IF($C148="","",IF(PULL_FUND="N","",IFERROR(BDP($C148,PAYOUT_FIELD,YR_OVERRIDE,TEXT(YEAR_Y-1,"0"))/100,"")))</f>
        <v/>
      </c>
      <c r="AJ148" s="143">
        <f>IF($C148="","",IFERROR(AVERAGE(AE148:AI148),""))</f>
        <v/>
      </c>
      <c r="AK148" s="144">
        <f>IF($C148="","",IF(ISNUMBER($AD148)*ISNUMBER($N148)*($AD148&lt;&gt;0)=0,"",$N148/$AD148))</f>
        <v/>
      </c>
      <c r="AL148" s="143">
        <f>IF($C148="","",IF(ISNUMBER($AD148)*($AD148&lt;&gt;0)=0,"",$M148/$AD148))</f>
        <v/>
      </c>
      <c r="AM148" s="37">
        <f>IF($C148="","",IF(ISNUMBER($AE148)*ISNUMBER($AI148)=0,"",IF($AI148&gt;$AE148+0.05,"rising",IF($AI148&lt;$AE148-0.05,"falling","stable"))))</f>
        <v/>
      </c>
      <c r="AN148" s="145">
        <f>IF($C148="","",IF(PULL_FUND="N","",IF(COUNTIFS('Fund History'!$G$828:$G$832,"&gt;="&amp;DATE(YEAR_Y-4,1,1),'Fund History'!$G$828:$G$832,"&lt;="&amp;DATE(YEAR_Y-4,12,31))=0,"",SUMIFS('Fund History'!$H$828:$H$832,'Fund History'!$G$828:$G$832,"&gt;="&amp;DATE(YEAR_Y-4,1,1),'Fund History'!$G$828:$G$832,"&lt;="&amp;DATE(YEAR_Y-4,12,31))/100)))</f>
        <v/>
      </c>
      <c r="AO148" s="146">
        <f>IF($C148="","",IF(PULL_FUND="N","",IF(COUNTIFS('Fund History'!$G$828:$G$832,"&gt;="&amp;DATE(YEAR_Y-3,1,1),'Fund History'!$G$828:$G$832,"&lt;="&amp;DATE(YEAR_Y-3,12,31))=0,"",SUMIFS('Fund History'!$H$828:$H$832,'Fund History'!$G$828:$G$832,"&gt;="&amp;DATE(YEAR_Y-3,1,1),'Fund History'!$G$828:$G$832,"&lt;="&amp;DATE(YEAR_Y-3,12,31))/100)))</f>
        <v/>
      </c>
      <c r="AP148" s="146">
        <f>IF($C148="","",IF(PULL_FUND="N","",IF(COUNTIFS('Fund History'!$G$828:$G$832,"&gt;="&amp;DATE(YEAR_Y-2,1,1),'Fund History'!$G$828:$G$832,"&lt;="&amp;DATE(YEAR_Y-2,12,31))=0,"",SUMIFS('Fund History'!$H$828:$H$832,'Fund History'!$G$828:$G$832,"&gt;="&amp;DATE(YEAR_Y-2,1,1),'Fund History'!$G$828:$G$832,"&lt;="&amp;DATE(YEAR_Y-2,12,31))/100)))</f>
        <v/>
      </c>
      <c r="AQ148" s="146">
        <f>IF($C148="","",IF(PULL_FUND="N","",IF(COUNTIFS('Fund History'!$G$828:$G$832,"&gt;="&amp;DATE(YEAR_Y-1,1,1),'Fund History'!$G$828:$G$832,"&lt;="&amp;DATE(YEAR_Y-1,12,31))=0,"",SUMIFS('Fund History'!$H$828:$H$832,'Fund History'!$G$828:$G$832,"&gt;="&amp;DATE(YEAR_Y-1,1,1),'Fund History'!$G$828:$G$832,"&lt;="&amp;DATE(YEAR_Y-1,12,31))/100)))</f>
        <v/>
      </c>
      <c r="AR148" s="147">
        <f>IF($C148="","",IF(N($AQ148)+N(HSTECH!$I$43)=0,"",N($AQ148)+N(HSTECH!$I$43)/100))</f>
        <v/>
      </c>
      <c r="AS148" s="139">
        <f>IF($C148="","",IF(PULL_FUND="N","",IF(COUNTIFS('Fund History'!$D$828:$D$832,"&gt;="&amp;DATE(YEAR_Y-2,1,1),'Fund History'!$D$828:$D$832,"&lt;="&amp;DATE(YEAR_Y-2,12,31))=0,"",SUMIFS('Fund History'!$E$828:$E$832,'Fund History'!$D$828:$D$832,"&gt;="&amp;DATE(YEAR_Y-2,1,1),'Fund History'!$D$828:$D$832,"&lt;="&amp;DATE(YEAR_Y-2,12,31)))))</f>
        <v/>
      </c>
      <c r="AT148" s="140">
        <f>IF($C148="","",IF(PULL_FUND="N","",IF(COUNTIFS('Fund History'!$D$828:$D$832,"&gt;="&amp;DATE(YEAR_Y-1,1,1),'Fund History'!$D$828:$D$832,"&lt;="&amp;DATE(YEAR_Y-1,12,31))=0,"",SUMIFS('Fund History'!$E$828:$E$832,'Fund History'!$D$828:$D$832,"&gt;="&amp;DATE(YEAR_Y-1,1,1),'Fund History'!$D$828:$D$832,"&lt;="&amp;DATE(YEAR_Y-1,12,31)))))</f>
        <v/>
      </c>
      <c r="AU148" s="140">
        <f>IF($C148="","",IF(PULL_FUND="N","",IFERROR(BDP($C148,NDEBITDA_FIELD),"")))</f>
        <v/>
      </c>
      <c r="AV148" s="148">
        <f>IF($C148="","",IF(PULL_FUND="N","",IFERROR(BDP($C148,EBINT_FIELD),"")))</f>
        <v/>
      </c>
      <c r="AW148" s="146">
        <f>IF($C148="","",IF(PULL_FUND="N","",IFERROR(BDP($C148,FCF_FIELD)/100,"")))</f>
        <v/>
      </c>
      <c r="AX148" s="126">
        <f>IF($C148="","",IF(N($U148)=0,"",IFERROR($AW148/$U148,"")))</f>
        <v/>
      </c>
      <c r="AY148" s="85">
        <f>IF($C148="","",TRIM(IF(ISNUMBER($AJ148)*(N($AJ148)&gt;$D$4)&gt;0,"payout high  ","")&amp;IF(ISNUMBER($AX148)*(N($AX148)&lt;$F$4)&gt;0,"FCF below dvd  ","")&amp;IF(ISNUMBER($AU148)*(N($AU148)&gt;$H$4)&gt;0,"leverage high","")))</f>
        <v/>
      </c>
      <c r="AZ148" s="86">
        <f>IF($C148="","",IF(HSTECH!$F$43="HKD","",HSTECH!$F$43))</f>
        <v/>
      </c>
    </row>
    <row r="149">
      <c r="B149" s="66" t="inlineStr">
        <is>
          <t>HSTECH</t>
        </is>
      </c>
      <c r="C149" s="8">
        <f>IF(HSTECH!$C$44="","",HSTECH!$C$44)</f>
        <v/>
      </c>
      <c r="D149" s="8">
        <f>IF($C149="","",HSTECH!$D$44)</f>
        <v/>
      </c>
      <c r="E149" s="8">
        <f>IF($C149="","",HSTECH!$E$44)</f>
        <v/>
      </c>
      <c r="F149" s="131">
        <f>IF($C149="","",SUMPRODUCT(('Dvd Calendar'!$E$1523:$AR$1523&gt;=DATE(YEAR_Y-5,1,1))*('Dvd Calendar'!$E$1523:$AR$1523&lt;=DATE(YEAR_Y-5,12,31))*'Dvd Calendar'!$E$1526:$AR$1526*(('Dvd Calendar'!$E$1528:$AR$1528=TYPE1)*(TYPE1&lt;&gt;"")+('Dvd Calendar'!$E$1528:$AR$1528=TYPE2)*(TYPE2&lt;&gt;"")+('Dvd Calendar'!$E$1528:$AR$1528=TYPE3)*(TYPE3&lt;&gt;"")+('Dvd Calendar'!$E$1528:$AR$1528=TYPE4)*(TYPE4&lt;&gt;"")+('Dvd Calendar'!$E$1528:$AR$1528=SPECIAL_LBL)*(INC_SPECIALS="Y"))))</f>
        <v/>
      </c>
      <c r="G149" s="132">
        <f>IF($C149="","",SUMPRODUCT(('Dvd Calendar'!$E$1523:$AR$1523&gt;=DATE(YEAR_Y-4,1,1))*('Dvd Calendar'!$E$1523:$AR$1523&lt;=DATE(YEAR_Y-4,12,31))*'Dvd Calendar'!$E$1526:$AR$1526*(('Dvd Calendar'!$E$1528:$AR$1528=TYPE1)*(TYPE1&lt;&gt;"")+('Dvd Calendar'!$E$1528:$AR$1528=TYPE2)*(TYPE2&lt;&gt;"")+('Dvd Calendar'!$E$1528:$AR$1528=TYPE3)*(TYPE3&lt;&gt;"")+('Dvd Calendar'!$E$1528:$AR$1528=TYPE4)*(TYPE4&lt;&gt;"")+('Dvd Calendar'!$E$1528:$AR$1528=SPECIAL_LBL)*(INC_SPECIALS="Y"))))</f>
        <v/>
      </c>
      <c r="H149" s="132">
        <f>IF($C149="","",SUMPRODUCT(('Dvd Calendar'!$E$1523:$AR$1523&gt;=DATE(YEAR_Y-3,1,1))*('Dvd Calendar'!$E$1523:$AR$1523&lt;=DATE(YEAR_Y-3,12,31))*'Dvd Calendar'!$E$1526:$AR$1526*(('Dvd Calendar'!$E$1528:$AR$1528=TYPE1)*(TYPE1&lt;&gt;"")+('Dvd Calendar'!$E$1528:$AR$1528=TYPE2)*(TYPE2&lt;&gt;"")+('Dvd Calendar'!$E$1528:$AR$1528=TYPE3)*(TYPE3&lt;&gt;"")+('Dvd Calendar'!$E$1528:$AR$1528=TYPE4)*(TYPE4&lt;&gt;"")+('Dvd Calendar'!$E$1528:$AR$1528=SPECIAL_LBL)*(INC_SPECIALS="Y"))))</f>
        <v/>
      </c>
      <c r="I149" s="132">
        <f>IF($C149="","",SUMPRODUCT(('Dvd Calendar'!$E$1523:$AR$1523&gt;=DATE(YEAR_Y-2,1,1))*('Dvd Calendar'!$E$1523:$AR$1523&lt;=DATE(YEAR_Y-2,12,31))*'Dvd Calendar'!$E$1526:$AR$1526*(('Dvd Calendar'!$E$1528:$AR$1528=TYPE1)*(TYPE1&lt;&gt;"")+('Dvd Calendar'!$E$1528:$AR$1528=TYPE2)*(TYPE2&lt;&gt;"")+('Dvd Calendar'!$E$1528:$AR$1528=TYPE3)*(TYPE3&lt;&gt;"")+('Dvd Calendar'!$E$1528:$AR$1528=TYPE4)*(TYPE4&lt;&gt;"")+('Dvd Calendar'!$E$1528:$AR$1528=SPECIAL_LBL)*(INC_SPECIALS="Y"))))</f>
        <v/>
      </c>
      <c r="J149" s="132">
        <f>IF($C149="","",SUMPRODUCT(('Dvd Calendar'!$E$1523:$AR$1523&gt;=DATE(YEAR_Y-1,1,1))*('Dvd Calendar'!$E$1523:$AR$1523&lt;=DATE(YEAR_Y-1,12,31))*'Dvd Calendar'!$E$1526:$AR$1526*(('Dvd Calendar'!$E$1528:$AR$1528=TYPE1)*(TYPE1&lt;&gt;"")+('Dvd Calendar'!$E$1528:$AR$1528=TYPE2)*(TYPE2&lt;&gt;"")+('Dvd Calendar'!$E$1528:$AR$1528=TYPE3)*(TYPE3&lt;&gt;"")+('Dvd Calendar'!$E$1528:$AR$1528=TYPE4)*(TYPE4&lt;&gt;"")+('Dvd Calendar'!$E$1528:$AR$1528=SPECIAL_LBL)*(INC_SPECIALS="Y"))))</f>
        <v/>
      </c>
      <c r="K149" s="133">
        <f>IF($C149="","",HSTECH!$J$44)</f>
        <v/>
      </c>
      <c r="L149" s="133">
        <f>IF($C149="","",HSTECH!$K$44)</f>
        <v/>
      </c>
      <c r="M149" s="124">
        <f>IF($C149="","",HSTECH!$J$44+HSTECH!$L$44)</f>
        <v/>
      </c>
      <c r="N149" s="134">
        <f>IF($C149="","",IF(PULL_FUND="N","",IFERROR(BDP($C149,BESTDPS_FIELD,FWD_OVERRIDE,TEXT(MOD(YEAR_Y,100),"00")&amp;"Y"),"")))</f>
        <v/>
      </c>
      <c r="O149" s="133">
        <f>IF($C149="","",AVERAGE(F149:J149))</f>
        <v/>
      </c>
      <c r="P149" s="135">
        <f>IF($C149="","",IF(PULL_FUND="N","",IF(COUNTIFS('Fund History'!$J$834:$J$838,"&gt;="&amp;DATE(YEAR_Y-5,1,1),'Fund History'!$J$834:$J$838,"&lt;="&amp;DATE(YEAR_Y-5,12,31))=0,"",IFERROR($F149*HSTECH!$G$44/SUMIFS('Fund History'!$K$834:$K$838,'Fund History'!$J$834:$J$838,"&gt;="&amp;DATE(YEAR_Y-5,1,1),'Fund History'!$J$834:$J$838,"&lt;="&amp;DATE(YEAR_Y-5,12,31)),""))))</f>
        <v/>
      </c>
      <c r="Q149" s="136">
        <f>IF($C149="","",IF(PULL_FUND="N","",IF(COUNTIFS('Fund History'!$J$834:$J$838,"&gt;="&amp;DATE(YEAR_Y-4,1,1),'Fund History'!$J$834:$J$838,"&lt;="&amp;DATE(YEAR_Y-4,12,31))=0,"",IFERROR($G149*HSTECH!$G$44/SUMIFS('Fund History'!$K$834:$K$838,'Fund History'!$J$834:$J$838,"&gt;="&amp;DATE(YEAR_Y-4,1,1),'Fund History'!$J$834:$J$838,"&lt;="&amp;DATE(YEAR_Y-4,12,31)),""))))</f>
        <v/>
      </c>
      <c r="R149" s="136">
        <f>IF($C149="","",IF(PULL_FUND="N","",IF(COUNTIFS('Fund History'!$J$834:$J$838,"&gt;="&amp;DATE(YEAR_Y-3,1,1),'Fund History'!$J$834:$J$838,"&lt;="&amp;DATE(YEAR_Y-3,12,31))=0,"",IFERROR($H149*HSTECH!$G$44/SUMIFS('Fund History'!$K$834:$K$838,'Fund History'!$J$834:$J$838,"&gt;="&amp;DATE(YEAR_Y-3,1,1),'Fund History'!$J$834:$J$838,"&lt;="&amp;DATE(YEAR_Y-3,12,31)),""))))</f>
        <v/>
      </c>
      <c r="S149" s="136">
        <f>IF($C149="","",IF(PULL_FUND="N","",IF(COUNTIFS('Fund History'!$J$834:$J$838,"&gt;="&amp;DATE(YEAR_Y-2,1,1),'Fund History'!$J$834:$J$838,"&lt;="&amp;DATE(YEAR_Y-2,12,31))=0,"",IFERROR($I149*HSTECH!$G$44/SUMIFS('Fund History'!$K$834:$K$838,'Fund History'!$J$834:$J$838,"&gt;="&amp;DATE(YEAR_Y-2,1,1),'Fund History'!$J$834:$J$838,"&lt;="&amp;DATE(YEAR_Y-2,12,31)),""))))</f>
        <v/>
      </c>
      <c r="T149" s="136">
        <f>IF($C149="","",IF(PULL_FUND="N","",IF(COUNTIFS('Fund History'!$J$834:$J$838,"&gt;="&amp;DATE(YEAR_Y-1,1,1),'Fund History'!$J$834:$J$838,"&lt;="&amp;DATE(YEAR_Y-1,12,31))=0,"",IFERROR($J149*HSTECH!$G$44/SUMIFS('Fund History'!$K$834:$K$838,'Fund History'!$J$834:$J$838,"&gt;="&amp;DATE(YEAR_Y-1,1,1),'Fund History'!$J$834:$J$838,"&lt;="&amp;DATE(YEAR_Y-1,12,31)),""))))</f>
        <v/>
      </c>
      <c r="U149" s="137">
        <f>IF($C149="","",IF(ISNUMBER(HSTECH!$I$44),HSTECH!$I$44/100,""))</f>
        <v/>
      </c>
      <c r="V149" s="138">
        <f>IF($C149="","",IF(ISNUMBER(HSTECH!$X$44),IFERROR($M149*HSTECH!$G$44/HSTECH!$X$44,""),""))</f>
        <v/>
      </c>
      <c r="W149" s="137">
        <f>IF($C149="","",IF(ISNUMBER($N149),IFERROR($N149*HSTECH!$G$44/HSTECH!$X$44,""),""))</f>
        <v/>
      </c>
      <c r="X149" s="139">
        <f>IF($C149="","",IF(PULL_FUND="N","",IFERROR(BDP($C149,EPS_FIELD,YR_OVERRIDE,TEXT(YEAR_Y-5,"0")),"")))</f>
        <v/>
      </c>
      <c r="Y149" s="140">
        <f>IF($C149="","",IF(PULL_FUND="N","",IFERROR(BDP($C149,EPS_FIELD,YR_OVERRIDE,TEXT(YEAR_Y-4,"0")),"")))</f>
        <v/>
      </c>
      <c r="Z149" s="140">
        <f>IF($C149="","",IF(PULL_FUND="N","",IFERROR(BDP($C149,EPS_FIELD,YR_OVERRIDE,TEXT(YEAR_Y-3,"0")),"")))</f>
        <v/>
      </c>
      <c r="AA149" s="140">
        <f>IF($C149="","",IF(PULL_FUND="N","",IFERROR(BDP($C149,EPS_FIELD,YR_OVERRIDE,TEXT(YEAR_Y-2,"0")),"")))</f>
        <v/>
      </c>
      <c r="AB149" s="140">
        <f>IF($C149="","",IF(PULL_FUND="N","",IFERROR(BDP($C149,EPS_FIELD,YR_OVERRIDE,TEXT(YEAR_Y-1,"0")),"")))</f>
        <v/>
      </c>
      <c r="AC149" s="126">
        <f>IF($C149="","",IFERROR(AVERAGE(X149:AB149),""))</f>
        <v/>
      </c>
      <c r="AD149" s="140">
        <f>IF($C149="","",IF(PULL_FUND="N","",IFERROR(BDP($C149,BESTEPS_FIELD,FWD_OVERRIDE,TEXT(MOD(YEAR_Y,100),"00")&amp;"Y"),"")))</f>
        <v/>
      </c>
      <c r="AE149" s="141">
        <f>IF($C149="","",IF(PULL_FUND="N","",IFERROR(BDP($C149,PAYOUT_FIELD,YR_OVERRIDE,TEXT(YEAR_Y-5,"0"))/100,"")))</f>
        <v/>
      </c>
      <c r="AF149" s="142">
        <f>IF($C149="","",IF(PULL_FUND="N","",IFERROR(BDP($C149,PAYOUT_FIELD,YR_OVERRIDE,TEXT(YEAR_Y-4,"0"))/100,"")))</f>
        <v/>
      </c>
      <c r="AG149" s="142">
        <f>IF($C149="","",IF(PULL_FUND="N","",IFERROR(BDP($C149,PAYOUT_FIELD,YR_OVERRIDE,TEXT(YEAR_Y-3,"0"))/100,"")))</f>
        <v/>
      </c>
      <c r="AH149" s="142">
        <f>IF($C149="","",IF(PULL_FUND="N","",IFERROR(BDP($C149,PAYOUT_FIELD,YR_OVERRIDE,TEXT(YEAR_Y-2,"0"))/100,"")))</f>
        <v/>
      </c>
      <c r="AI149" s="142">
        <f>IF($C149="","",IF(PULL_FUND="N","",IFERROR(BDP($C149,PAYOUT_FIELD,YR_OVERRIDE,TEXT(YEAR_Y-1,"0"))/100,"")))</f>
        <v/>
      </c>
      <c r="AJ149" s="143">
        <f>IF($C149="","",IFERROR(AVERAGE(AE149:AI149),""))</f>
        <v/>
      </c>
      <c r="AK149" s="144">
        <f>IF($C149="","",IF(ISNUMBER($AD149)*ISNUMBER($N149)*($AD149&lt;&gt;0)=0,"",$N149/$AD149))</f>
        <v/>
      </c>
      <c r="AL149" s="143">
        <f>IF($C149="","",IF(ISNUMBER($AD149)*($AD149&lt;&gt;0)=0,"",$M149/$AD149))</f>
        <v/>
      </c>
      <c r="AM149" s="37">
        <f>IF($C149="","",IF(ISNUMBER($AE149)*ISNUMBER($AI149)=0,"",IF($AI149&gt;$AE149+0.05,"rising",IF($AI149&lt;$AE149-0.05,"falling","stable"))))</f>
        <v/>
      </c>
      <c r="AN149" s="145">
        <f>IF($C149="","",IF(PULL_FUND="N","",IF(COUNTIFS('Fund History'!$G$834:$G$838,"&gt;="&amp;DATE(YEAR_Y-4,1,1),'Fund History'!$G$834:$G$838,"&lt;="&amp;DATE(YEAR_Y-4,12,31))=0,"",SUMIFS('Fund History'!$H$834:$H$838,'Fund History'!$G$834:$G$838,"&gt;="&amp;DATE(YEAR_Y-4,1,1),'Fund History'!$G$834:$G$838,"&lt;="&amp;DATE(YEAR_Y-4,12,31))/100)))</f>
        <v/>
      </c>
      <c r="AO149" s="146">
        <f>IF($C149="","",IF(PULL_FUND="N","",IF(COUNTIFS('Fund History'!$G$834:$G$838,"&gt;="&amp;DATE(YEAR_Y-3,1,1),'Fund History'!$G$834:$G$838,"&lt;="&amp;DATE(YEAR_Y-3,12,31))=0,"",SUMIFS('Fund History'!$H$834:$H$838,'Fund History'!$G$834:$G$838,"&gt;="&amp;DATE(YEAR_Y-3,1,1),'Fund History'!$G$834:$G$838,"&lt;="&amp;DATE(YEAR_Y-3,12,31))/100)))</f>
        <v/>
      </c>
      <c r="AP149" s="146">
        <f>IF($C149="","",IF(PULL_FUND="N","",IF(COUNTIFS('Fund History'!$G$834:$G$838,"&gt;="&amp;DATE(YEAR_Y-2,1,1),'Fund History'!$G$834:$G$838,"&lt;="&amp;DATE(YEAR_Y-2,12,31))=0,"",SUMIFS('Fund History'!$H$834:$H$838,'Fund History'!$G$834:$G$838,"&gt;="&amp;DATE(YEAR_Y-2,1,1),'Fund History'!$G$834:$G$838,"&lt;="&amp;DATE(YEAR_Y-2,12,31))/100)))</f>
        <v/>
      </c>
      <c r="AQ149" s="146">
        <f>IF($C149="","",IF(PULL_FUND="N","",IF(COUNTIFS('Fund History'!$G$834:$G$838,"&gt;="&amp;DATE(YEAR_Y-1,1,1),'Fund History'!$G$834:$G$838,"&lt;="&amp;DATE(YEAR_Y-1,12,31))=0,"",SUMIFS('Fund History'!$H$834:$H$838,'Fund History'!$G$834:$G$838,"&gt;="&amp;DATE(YEAR_Y-1,1,1),'Fund History'!$G$834:$G$838,"&lt;="&amp;DATE(YEAR_Y-1,12,31))/100)))</f>
        <v/>
      </c>
      <c r="AR149" s="147">
        <f>IF($C149="","",IF(N($AQ149)+N(HSTECH!$I$44)=0,"",N($AQ149)+N(HSTECH!$I$44)/100))</f>
        <v/>
      </c>
      <c r="AS149" s="139">
        <f>IF($C149="","",IF(PULL_FUND="N","",IF(COUNTIFS('Fund History'!$D$834:$D$838,"&gt;="&amp;DATE(YEAR_Y-2,1,1),'Fund History'!$D$834:$D$838,"&lt;="&amp;DATE(YEAR_Y-2,12,31))=0,"",SUMIFS('Fund History'!$E$834:$E$838,'Fund History'!$D$834:$D$838,"&gt;="&amp;DATE(YEAR_Y-2,1,1),'Fund History'!$D$834:$D$838,"&lt;="&amp;DATE(YEAR_Y-2,12,31)))))</f>
        <v/>
      </c>
      <c r="AT149" s="140">
        <f>IF($C149="","",IF(PULL_FUND="N","",IF(COUNTIFS('Fund History'!$D$834:$D$838,"&gt;="&amp;DATE(YEAR_Y-1,1,1),'Fund History'!$D$834:$D$838,"&lt;="&amp;DATE(YEAR_Y-1,12,31))=0,"",SUMIFS('Fund History'!$E$834:$E$838,'Fund History'!$D$834:$D$838,"&gt;="&amp;DATE(YEAR_Y-1,1,1),'Fund History'!$D$834:$D$838,"&lt;="&amp;DATE(YEAR_Y-1,12,31)))))</f>
        <v/>
      </c>
      <c r="AU149" s="140">
        <f>IF($C149="","",IF(PULL_FUND="N","",IFERROR(BDP($C149,NDEBITDA_FIELD),"")))</f>
        <v/>
      </c>
      <c r="AV149" s="148">
        <f>IF($C149="","",IF(PULL_FUND="N","",IFERROR(BDP($C149,EBINT_FIELD),"")))</f>
        <v/>
      </c>
      <c r="AW149" s="146">
        <f>IF($C149="","",IF(PULL_FUND="N","",IFERROR(BDP($C149,FCF_FIELD)/100,"")))</f>
        <v/>
      </c>
      <c r="AX149" s="126">
        <f>IF($C149="","",IF(N($U149)=0,"",IFERROR($AW149/$U149,"")))</f>
        <v/>
      </c>
      <c r="AY149" s="85">
        <f>IF($C149="","",TRIM(IF(ISNUMBER($AJ149)*(N($AJ149)&gt;$D$4)&gt;0,"payout high  ","")&amp;IF(ISNUMBER($AX149)*(N($AX149)&lt;$F$4)&gt;0,"FCF below dvd  ","")&amp;IF(ISNUMBER($AU149)*(N($AU149)&gt;$H$4)&gt;0,"leverage high","")))</f>
        <v/>
      </c>
      <c r="AZ149" s="86">
        <f>IF($C149="","",IF(HSTECH!$F$44="HKD","",HSTECH!$F$44))</f>
        <v/>
      </c>
    </row>
    <row r="150">
      <c r="B150" s="66" t="inlineStr">
        <is>
          <t>HSTECH</t>
        </is>
      </c>
      <c r="C150" s="8">
        <f>IF(HSTECH!$C$45="","",HSTECH!$C$45)</f>
        <v/>
      </c>
      <c r="D150" s="8">
        <f>IF($C150="","",HSTECH!$D$45)</f>
        <v/>
      </c>
      <c r="E150" s="8">
        <f>IF($C150="","",HSTECH!$E$45)</f>
        <v/>
      </c>
      <c r="F150" s="131">
        <f>IF($C150="","",SUMPRODUCT(('Dvd Calendar'!$E$1534:$AR$1534&gt;=DATE(YEAR_Y-5,1,1))*('Dvd Calendar'!$E$1534:$AR$1534&lt;=DATE(YEAR_Y-5,12,31))*'Dvd Calendar'!$E$1537:$AR$1537*(('Dvd Calendar'!$E$1539:$AR$1539=TYPE1)*(TYPE1&lt;&gt;"")+('Dvd Calendar'!$E$1539:$AR$1539=TYPE2)*(TYPE2&lt;&gt;"")+('Dvd Calendar'!$E$1539:$AR$1539=TYPE3)*(TYPE3&lt;&gt;"")+('Dvd Calendar'!$E$1539:$AR$1539=TYPE4)*(TYPE4&lt;&gt;"")+('Dvd Calendar'!$E$1539:$AR$1539=SPECIAL_LBL)*(INC_SPECIALS="Y"))))</f>
        <v/>
      </c>
      <c r="G150" s="132">
        <f>IF($C150="","",SUMPRODUCT(('Dvd Calendar'!$E$1534:$AR$1534&gt;=DATE(YEAR_Y-4,1,1))*('Dvd Calendar'!$E$1534:$AR$1534&lt;=DATE(YEAR_Y-4,12,31))*'Dvd Calendar'!$E$1537:$AR$1537*(('Dvd Calendar'!$E$1539:$AR$1539=TYPE1)*(TYPE1&lt;&gt;"")+('Dvd Calendar'!$E$1539:$AR$1539=TYPE2)*(TYPE2&lt;&gt;"")+('Dvd Calendar'!$E$1539:$AR$1539=TYPE3)*(TYPE3&lt;&gt;"")+('Dvd Calendar'!$E$1539:$AR$1539=TYPE4)*(TYPE4&lt;&gt;"")+('Dvd Calendar'!$E$1539:$AR$1539=SPECIAL_LBL)*(INC_SPECIALS="Y"))))</f>
        <v/>
      </c>
      <c r="H150" s="132">
        <f>IF($C150="","",SUMPRODUCT(('Dvd Calendar'!$E$1534:$AR$1534&gt;=DATE(YEAR_Y-3,1,1))*('Dvd Calendar'!$E$1534:$AR$1534&lt;=DATE(YEAR_Y-3,12,31))*'Dvd Calendar'!$E$1537:$AR$1537*(('Dvd Calendar'!$E$1539:$AR$1539=TYPE1)*(TYPE1&lt;&gt;"")+('Dvd Calendar'!$E$1539:$AR$1539=TYPE2)*(TYPE2&lt;&gt;"")+('Dvd Calendar'!$E$1539:$AR$1539=TYPE3)*(TYPE3&lt;&gt;"")+('Dvd Calendar'!$E$1539:$AR$1539=TYPE4)*(TYPE4&lt;&gt;"")+('Dvd Calendar'!$E$1539:$AR$1539=SPECIAL_LBL)*(INC_SPECIALS="Y"))))</f>
        <v/>
      </c>
      <c r="I150" s="132">
        <f>IF($C150="","",SUMPRODUCT(('Dvd Calendar'!$E$1534:$AR$1534&gt;=DATE(YEAR_Y-2,1,1))*('Dvd Calendar'!$E$1534:$AR$1534&lt;=DATE(YEAR_Y-2,12,31))*'Dvd Calendar'!$E$1537:$AR$1537*(('Dvd Calendar'!$E$1539:$AR$1539=TYPE1)*(TYPE1&lt;&gt;"")+('Dvd Calendar'!$E$1539:$AR$1539=TYPE2)*(TYPE2&lt;&gt;"")+('Dvd Calendar'!$E$1539:$AR$1539=TYPE3)*(TYPE3&lt;&gt;"")+('Dvd Calendar'!$E$1539:$AR$1539=TYPE4)*(TYPE4&lt;&gt;"")+('Dvd Calendar'!$E$1539:$AR$1539=SPECIAL_LBL)*(INC_SPECIALS="Y"))))</f>
        <v/>
      </c>
      <c r="J150" s="132">
        <f>IF($C150="","",SUMPRODUCT(('Dvd Calendar'!$E$1534:$AR$1534&gt;=DATE(YEAR_Y-1,1,1))*('Dvd Calendar'!$E$1534:$AR$1534&lt;=DATE(YEAR_Y-1,12,31))*'Dvd Calendar'!$E$1537:$AR$1537*(('Dvd Calendar'!$E$1539:$AR$1539=TYPE1)*(TYPE1&lt;&gt;"")+('Dvd Calendar'!$E$1539:$AR$1539=TYPE2)*(TYPE2&lt;&gt;"")+('Dvd Calendar'!$E$1539:$AR$1539=TYPE3)*(TYPE3&lt;&gt;"")+('Dvd Calendar'!$E$1539:$AR$1539=TYPE4)*(TYPE4&lt;&gt;"")+('Dvd Calendar'!$E$1539:$AR$1539=SPECIAL_LBL)*(INC_SPECIALS="Y"))))</f>
        <v/>
      </c>
      <c r="K150" s="133">
        <f>IF($C150="","",HSTECH!$J$45)</f>
        <v/>
      </c>
      <c r="L150" s="133">
        <f>IF($C150="","",HSTECH!$K$45)</f>
        <v/>
      </c>
      <c r="M150" s="124">
        <f>IF($C150="","",HSTECH!$J$45+HSTECH!$L$45)</f>
        <v/>
      </c>
      <c r="N150" s="134">
        <f>IF($C150="","",IF(PULL_FUND="N","",IFERROR(BDP($C150,BESTDPS_FIELD,FWD_OVERRIDE,TEXT(MOD(YEAR_Y,100),"00")&amp;"Y"),"")))</f>
        <v/>
      </c>
      <c r="O150" s="133">
        <f>IF($C150="","",AVERAGE(F150:J150))</f>
        <v/>
      </c>
      <c r="P150" s="135">
        <f>IF($C150="","",IF(PULL_FUND="N","",IF(COUNTIFS('Fund History'!$J$840:$J$844,"&gt;="&amp;DATE(YEAR_Y-5,1,1),'Fund History'!$J$840:$J$844,"&lt;="&amp;DATE(YEAR_Y-5,12,31))=0,"",IFERROR($F150*HSTECH!$G$45/SUMIFS('Fund History'!$K$840:$K$844,'Fund History'!$J$840:$J$844,"&gt;="&amp;DATE(YEAR_Y-5,1,1),'Fund History'!$J$840:$J$844,"&lt;="&amp;DATE(YEAR_Y-5,12,31)),""))))</f>
        <v/>
      </c>
      <c r="Q150" s="136">
        <f>IF($C150="","",IF(PULL_FUND="N","",IF(COUNTIFS('Fund History'!$J$840:$J$844,"&gt;="&amp;DATE(YEAR_Y-4,1,1),'Fund History'!$J$840:$J$844,"&lt;="&amp;DATE(YEAR_Y-4,12,31))=0,"",IFERROR($G150*HSTECH!$G$45/SUMIFS('Fund History'!$K$840:$K$844,'Fund History'!$J$840:$J$844,"&gt;="&amp;DATE(YEAR_Y-4,1,1),'Fund History'!$J$840:$J$844,"&lt;="&amp;DATE(YEAR_Y-4,12,31)),""))))</f>
        <v/>
      </c>
      <c r="R150" s="136">
        <f>IF($C150="","",IF(PULL_FUND="N","",IF(COUNTIFS('Fund History'!$J$840:$J$844,"&gt;="&amp;DATE(YEAR_Y-3,1,1),'Fund History'!$J$840:$J$844,"&lt;="&amp;DATE(YEAR_Y-3,12,31))=0,"",IFERROR($H150*HSTECH!$G$45/SUMIFS('Fund History'!$K$840:$K$844,'Fund History'!$J$840:$J$844,"&gt;="&amp;DATE(YEAR_Y-3,1,1),'Fund History'!$J$840:$J$844,"&lt;="&amp;DATE(YEAR_Y-3,12,31)),""))))</f>
        <v/>
      </c>
      <c r="S150" s="136">
        <f>IF($C150="","",IF(PULL_FUND="N","",IF(COUNTIFS('Fund History'!$J$840:$J$844,"&gt;="&amp;DATE(YEAR_Y-2,1,1),'Fund History'!$J$840:$J$844,"&lt;="&amp;DATE(YEAR_Y-2,12,31))=0,"",IFERROR($I150*HSTECH!$G$45/SUMIFS('Fund History'!$K$840:$K$844,'Fund History'!$J$840:$J$844,"&gt;="&amp;DATE(YEAR_Y-2,1,1),'Fund History'!$J$840:$J$844,"&lt;="&amp;DATE(YEAR_Y-2,12,31)),""))))</f>
        <v/>
      </c>
      <c r="T150" s="136">
        <f>IF($C150="","",IF(PULL_FUND="N","",IF(COUNTIFS('Fund History'!$J$840:$J$844,"&gt;="&amp;DATE(YEAR_Y-1,1,1),'Fund History'!$J$840:$J$844,"&lt;="&amp;DATE(YEAR_Y-1,12,31))=0,"",IFERROR($J150*HSTECH!$G$45/SUMIFS('Fund History'!$K$840:$K$844,'Fund History'!$J$840:$J$844,"&gt;="&amp;DATE(YEAR_Y-1,1,1),'Fund History'!$J$840:$J$844,"&lt;="&amp;DATE(YEAR_Y-1,12,31)),""))))</f>
        <v/>
      </c>
      <c r="U150" s="137">
        <f>IF($C150="","",IF(ISNUMBER(HSTECH!$I$45),HSTECH!$I$45/100,""))</f>
        <v/>
      </c>
      <c r="V150" s="138">
        <f>IF($C150="","",IF(ISNUMBER(HSTECH!$X$45),IFERROR($M150*HSTECH!$G$45/HSTECH!$X$45,""),""))</f>
        <v/>
      </c>
      <c r="W150" s="137">
        <f>IF($C150="","",IF(ISNUMBER($N150),IFERROR($N150*HSTECH!$G$45/HSTECH!$X$45,""),""))</f>
        <v/>
      </c>
      <c r="X150" s="139">
        <f>IF($C150="","",IF(PULL_FUND="N","",IFERROR(BDP($C150,EPS_FIELD,YR_OVERRIDE,TEXT(YEAR_Y-5,"0")),"")))</f>
        <v/>
      </c>
      <c r="Y150" s="140">
        <f>IF($C150="","",IF(PULL_FUND="N","",IFERROR(BDP($C150,EPS_FIELD,YR_OVERRIDE,TEXT(YEAR_Y-4,"0")),"")))</f>
        <v/>
      </c>
      <c r="Z150" s="140">
        <f>IF($C150="","",IF(PULL_FUND="N","",IFERROR(BDP($C150,EPS_FIELD,YR_OVERRIDE,TEXT(YEAR_Y-3,"0")),"")))</f>
        <v/>
      </c>
      <c r="AA150" s="140">
        <f>IF($C150="","",IF(PULL_FUND="N","",IFERROR(BDP($C150,EPS_FIELD,YR_OVERRIDE,TEXT(YEAR_Y-2,"0")),"")))</f>
        <v/>
      </c>
      <c r="AB150" s="140">
        <f>IF($C150="","",IF(PULL_FUND="N","",IFERROR(BDP($C150,EPS_FIELD,YR_OVERRIDE,TEXT(YEAR_Y-1,"0")),"")))</f>
        <v/>
      </c>
      <c r="AC150" s="126">
        <f>IF($C150="","",IFERROR(AVERAGE(X150:AB150),""))</f>
        <v/>
      </c>
      <c r="AD150" s="140">
        <f>IF($C150="","",IF(PULL_FUND="N","",IFERROR(BDP($C150,BESTEPS_FIELD,FWD_OVERRIDE,TEXT(MOD(YEAR_Y,100),"00")&amp;"Y"),"")))</f>
        <v/>
      </c>
      <c r="AE150" s="141">
        <f>IF($C150="","",IF(PULL_FUND="N","",IFERROR(BDP($C150,PAYOUT_FIELD,YR_OVERRIDE,TEXT(YEAR_Y-5,"0"))/100,"")))</f>
        <v/>
      </c>
      <c r="AF150" s="142">
        <f>IF($C150="","",IF(PULL_FUND="N","",IFERROR(BDP($C150,PAYOUT_FIELD,YR_OVERRIDE,TEXT(YEAR_Y-4,"0"))/100,"")))</f>
        <v/>
      </c>
      <c r="AG150" s="142">
        <f>IF($C150="","",IF(PULL_FUND="N","",IFERROR(BDP($C150,PAYOUT_FIELD,YR_OVERRIDE,TEXT(YEAR_Y-3,"0"))/100,"")))</f>
        <v/>
      </c>
      <c r="AH150" s="142">
        <f>IF($C150="","",IF(PULL_FUND="N","",IFERROR(BDP($C150,PAYOUT_FIELD,YR_OVERRIDE,TEXT(YEAR_Y-2,"0"))/100,"")))</f>
        <v/>
      </c>
      <c r="AI150" s="142">
        <f>IF($C150="","",IF(PULL_FUND="N","",IFERROR(BDP($C150,PAYOUT_FIELD,YR_OVERRIDE,TEXT(YEAR_Y-1,"0"))/100,"")))</f>
        <v/>
      </c>
      <c r="AJ150" s="143">
        <f>IF($C150="","",IFERROR(AVERAGE(AE150:AI150),""))</f>
        <v/>
      </c>
      <c r="AK150" s="144">
        <f>IF($C150="","",IF(ISNUMBER($AD150)*ISNUMBER($N150)*($AD150&lt;&gt;0)=0,"",$N150/$AD150))</f>
        <v/>
      </c>
      <c r="AL150" s="143">
        <f>IF($C150="","",IF(ISNUMBER($AD150)*($AD150&lt;&gt;0)=0,"",$M150/$AD150))</f>
        <v/>
      </c>
      <c r="AM150" s="37">
        <f>IF($C150="","",IF(ISNUMBER($AE150)*ISNUMBER($AI150)=0,"",IF($AI150&gt;$AE150+0.05,"rising",IF($AI150&lt;$AE150-0.05,"falling","stable"))))</f>
        <v/>
      </c>
      <c r="AN150" s="145">
        <f>IF($C150="","",IF(PULL_FUND="N","",IF(COUNTIFS('Fund History'!$G$840:$G$844,"&gt;="&amp;DATE(YEAR_Y-4,1,1),'Fund History'!$G$840:$G$844,"&lt;="&amp;DATE(YEAR_Y-4,12,31))=0,"",SUMIFS('Fund History'!$H$840:$H$844,'Fund History'!$G$840:$G$844,"&gt;="&amp;DATE(YEAR_Y-4,1,1),'Fund History'!$G$840:$G$844,"&lt;="&amp;DATE(YEAR_Y-4,12,31))/100)))</f>
        <v/>
      </c>
      <c r="AO150" s="146">
        <f>IF($C150="","",IF(PULL_FUND="N","",IF(COUNTIFS('Fund History'!$G$840:$G$844,"&gt;="&amp;DATE(YEAR_Y-3,1,1),'Fund History'!$G$840:$G$844,"&lt;="&amp;DATE(YEAR_Y-3,12,31))=0,"",SUMIFS('Fund History'!$H$840:$H$844,'Fund History'!$G$840:$G$844,"&gt;="&amp;DATE(YEAR_Y-3,1,1),'Fund History'!$G$840:$G$844,"&lt;="&amp;DATE(YEAR_Y-3,12,31))/100)))</f>
        <v/>
      </c>
      <c r="AP150" s="146">
        <f>IF($C150="","",IF(PULL_FUND="N","",IF(COUNTIFS('Fund History'!$G$840:$G$844,"&gt;="&amp;DATE(YEAR_Y-2,1,1),'Fund History'!$G$840:$G$844,"&lt;="&amp;DATE(YEAR_Y-2,12,31))=0,"",SUMIFS('Fund History'!$H$840:$H$844,'Fund History'!$G$840:$G$844,"&gt;="&amp;DATE(YEAR_Y-2,1,1),'Fund History'!$G$840:$G$844,"&lt;="&amp;DATE(YEAR_Y-2,12,31))/100)))</f>
        <v/>
      </c>
      <c r="AQ150" s="146">
        <f>IF($C150="","",IF(PULL_FUND="N","",IF(COUNTIFS('Fund History'!$G$840:$G$844,"&gt;="&amp;DATE(YEAR_Y-1,1,1),'Fund History'!$G$840:$G$844,"&lt;="&amp;DATE(YEAR_Y-1,12,31))=0,"",SUMIFS('Fund History'!$H$840:$H$844,'Fund History'!$G$840:$G$844,"&gt;="&amp;DATE(YEAR_Y-1,1,1),'Fund History'!$G$840:$G$844,"&lt;="&amp;DATE(YEAR_Y-1,12,31))/100)))</f>
        <v/>
      </c>
      <c r="AR150" s="147">
        <f>IF($C150="","",IF(N($AQ150)+N(HSTECH!$I$45)=0,"",N($AQ150)+N(HSTECH!$I$45)/100))</f>
        <v/>
      </c>
      <c r="AS150" s="139">
        <f>IF($C150="","",IF(PULL_FUND="N","",IF(COUNTIFS('Fund History'!$D$840:$D$844,"&gt;="&amp;DATE(YEAR_Y-2,1,1),'Fund History'!$D$840:$D$844,"&lt;="&amp;DATE(YEAR_Y-2,12,31))=0,"",SUMIFS('Fund History'!$E$840:$E$844,'Fund History'!$D$840:$D$844,"&gt;="&amp;DATE(YEAR_Y-2,1,1),'Fund History'!$D$840:$D$844,"&lt;="&amp;DATE(YEAR_Y-2,12,31)))))</f>
        <v/>
      </c>
      <c r="AT150" s="140">
        <f>IF($C150="","",IF(PULL_FUND="N","",IF(COUNTIFS('Fund History'!$D$840:$D$844,"&gt;="&amp;DATE(YEAR_Y-1,1,1),'Fund History'!$D$840:$D$844,"&lt;="&amp;DATE(YEAR_Y-1,12,31))=0,"",SUMIFS('Fund History'!$E$840:$E$844,'Fund History'!$D$840:$D$844,"&gt;="&amp;DATE(YEAR_Y-1,1,1),'Fund History'!$D$840:$D$844,"&lt;="&amp;DATE(YEAR_Y-1,12,31)))))</f>
        <v/>
      </c>
      <c r="AU150" s="140">
        <f>IF($C150="","",IF(PULL_FUND="N","",IFERROR(BDP($C150,NDEBITDA_FIELD),"")))</f>
        <v/>
      </c>
      <c r="AV150" s="148">
        <f>IF($C150="","",IF(PULL_FUND="N","",IFERROR(BDP($C150,EBINT_FIELD),"")))</f>
        <v/>
      </c>
      <c r="AW150" s="146">
        <f>IF($C150="","",IF(PULL_FUND="N","",IFERROR(BDP($C150,FCF_FIELD)/100,"")))</f>
        <v/>
      </c>
      <c r="AX150" s="126">
        <f>IF($C150="","",IF(N($U150)=0,"",IFERROR($AW150/$U150,"")))</f>
        <v/>
      </c>
      <c r="AY150" s="85">
        <f>IF($C150="","",TRIM(IF(ISNUMBER($AJ150)*(N($AJ150)&gt;$D$4)&gt;0,"payout high  ","")&amp;IF(ISNUMBER($AX150)*(N($AX150)&lt;$F$4)&gt;0,"FCF below dvd  ","")&amp;IF(ISNUMBER($AU150)*(N($AU150)&gt;$H$4)&gt;0,"leverage high","")))</f>
        <v/>
      </c>
      <c r="AZ150" s="86">
        <f>IF($C150="","",IF(HSTECH!$F$45="HKD","",HSTECH!$F$45))</f>
        <v/>
      </c>
    </row>
    <row r="151">
      <c r="B151" s="66" t="inlineStr">
        <is>
          <t>HSTECH</t>
        </is>
      </c>
      <c r="C151" s="8">
        <f>IF(HSTECH!$C$46="","",HSTECH!$C$46)</f>
        <v/>
      </c>
      <c r="D151" s="8">
        <f>IF($C151="","",HSTECH!$D$46)</f>
        <v/>
      </c>
      <c r="E151" s="8">
        <f>IF($C151="","",HSTECH!$E$46)</f>
        <v/>
      </c>
      <c r="F151" s="131">
        <f>IF($C151="","",SUMPRODUCT(('Dvd Calendar'!$E$1545:$AR$1545&gt;=DATE(YEAR_Y-5,1,1))*('Dvd Calendar'!$E$1545:$AR$1545&lt;=DATE(YEAR_Y-5,12,31))*'Dvd Calendar'!$E$1548:$AR$1548*(('Dvd Calendar'!$E$1550:$AR$1550=TYPE1)*(TYPE1&lt;&gt;"")+('Dvd Calendar'!$E$1550:$AR$1550=TYPE2)*(TYPE2&lt;&gt;"")+('Dvd Calendar'!$E$1550:$AR$1550=TYPE3)*(TYPE3&lt;&gt;"")+('Dvd Calendar'!$E$1550:$AR$1550=TYPE4)*(TYPE4&lt;&gt;"")+('Dvd Calendar'!$E$1550:$AR$1550=SPECIAL_LBL)*(INC_SPECIALS="Y"))))</f>
        <v/>
      </c>
      <c r="G151" s="132">
        <f>IF($C151="","",SUMPRODUCT(('Dvd Calendar'!$E$1545:$AR$1545&gt;=DATE(YEAR_Y-4,1,1))*('Dvd Calendar'!$E$1545:$AR$1545&lt;=DATE(YEAR_Y-4,12,31))*'Dvd Calendar'!$E$1548:$AR$1548*(('Dvd Calendar'!$E$1550:$AR$1550=TYPE1)*(TYPE1&lt;&gt;"")+('Dvd Calendar'!$E$1550:$AR$1550=TYPE2)*(TYPE2&lt;&gt;"")+('Dvd Calendar'!$E$1550:$AR$1550=TYPE3)*(TYPE3&lt;&gt;"")+('Dvd Calendar'!$E$1550:$AR$1550=TYPE4)*(TYPE4&lt;&gt;"")+('Dvd Calendar'!$E$1550:$AR$1550=SPECIAL_LBL)*(INC_SPECIALS="Y"))))</f>
        <v/>
      </c>
      <c r="H151" s="132">
        <f>IF($C151="","",SUMPRODUCT(('Dvd Calendar'!$E$1545:$AR$1545&gt;=DATE(YEAR_Y-3,1,1))*('Dvd Calendar'!$E$1545:$AR$1545&lt;=DATE(YEAR_Y-3,12,31))*'Dvd Calendar'!$E$1548:$AR$1548*(('Dvd Calendar'!$E$1550:$AR$1550=TYPE1)*(TYPE1&lt;&gt;"")+('Dvd Calendar'!$E$1550:$AR$1550=TYPE2)*(TYPE2&lt;&gt;"")+('Dvd Calendar'!$E$1550:$AR$1550=TYPE3)*(TYPE3&lt;&gt;"")+('Dvd Calendar'!$E$1550:$AR$1550=TYPE4)*(TYPE4&lt;&gt;"")+('Dvd Calendar'!$E$1550:$AR$1550=SPECIAL_LBL)*(INC_SPECIALS="Y"))))</f>
        <v/>
      </c>
      <c r="I151" s="132">
        <f>IF($C151="","",SUMPRODUCT(('Dvd Calendar'!$E$1545:$AR$1545&gt;=DATE(YEAR_Y-2,1,1))*('Dvd Calendar'!$E$1545:$AR$1545&lt;=DATE(YEAR_Y-2,12,31))*'Dvd Calendar'!$E$1548:$AR$1548*(('Dvd Calendar'!$E$1550:$AR$1550=TYPE1)*(TYPE1&lt;&gt;"")+('Dvd Calendar'!$E$1550:$AR$1550=TYPE2)*(TYPE2&lt;&gt;"")+('Dvd Calendar'!$E$1550:$AR$1550=TYPE3)*(TYPE3&lt;&gt;"")+('Dvd Calendar'!$E$1550:$AR$1550=TYPE4)*(TYPE4&lt;&gt;"")+('Dvd Calendar'!$E$1550:$AR$1550=SPECIAL_LBL)*(INC_SPECIALS="Y"))))</f>
        <v/>
      </c>
      <c r="J151" s="132">
        <f>IF($C151="","",SUMPRODUCT(('Dvd Calendar'!$E$1545:$AR$1545&gt;=DATE(YEAR_Y-1,1,1))*('Dvd Calendar'!$E$1545:$AR$1545&lt;=DATE(YEAR_Y-1,12,31))*'Dvd Calendar'!$E$1548:$AR$1548*(('Dvd Calendar'!$E$1550:$AR$1550=TYPE1)*(TYPE1&lt;&gt;"")+('Dvd Calendar'!$E$1550:$AR$1550=TYPE2)*(TYPE2&lt;&gt;"")+('Dvd Calendar'!$E$1550:$AR$1550=TYPE3)*(TYPE3&lt;&gt;"")+('Dvd Calendar'!$E$1550:$AR$1550=TYPE4)*(TYPE4&lt;&gt;"")+('Dvd Calendar'!$E$1550:$AR$1550=SPECIAL_LBL)*(INC_SPECIALS="Y"))))</f>
        <v/>
      </c>
      <c r="K151" s="133">
        <f>IF($C151="","",HSTECH!$J$46)</f>
        <v/>
      </c>
      <c r="L151" s="133">
        <f>IF($C151="","",HSTECH!$K$46)</f>
        <v/>
      </c>
      <c r="M151" s="124">
        <f>IF($C151="","",HSTECH!$J$46+HSTECH!$L$46)</f>
        <v/>
      </c>
      <c r="N151" s="134">
        <f>IF($C151="","",IF(PULL_FUND="N","",IFERROR(BDP($C151,BESTDPS_FIELD,FWD_OVERRIDE,TEXT(MOD(YEAR_Y,100),"00")&amp;"Y"),"")))</f>
        <v/>
      </c>
      <c r="O151" s="133">
        <f>IF($C151="","",AVERAGE(F151:J151))</f>
        <v/>
      </c>
      <c r="P151" s="135">
        <f>IF($C151="","",IF(PULL_FUND="N","",IF(COUNTIFS('Fund History'!$J$846:$J$850,"&gt;="&amp;DATE(YEAR_Y-5,1,1),'Fund History'!$J$846:$J$850,"&lt;="&amp;DATE(YEAR_Y-5,12,31))=0,"",IFERROR($F151*HSTECH!$G$46/SUMIFS('Fund History'!$K$846:$K$850,'Fund History'!$J$846:$J$850,"&gt;="&amp;DATE(YEAR_Y-5,1,1),'Fund History'!$J$846:$J$850,"&lt;="&amp;DATE(YEAR_Y-5,12,31)),""))))</f>
        <v/>
      </c>
      <c r="Q151" s="136">
        <f>IF($C151="","",IF(PULL_FUND="N","",IF(COUNTIFS('Fund History'!$J$846:$J$850,"&gt;="&amp;DATE(YEAR_Y-4,1,1),'Fund History'!$J$846:$J$850,"&lt;="&amp;DATE(YEAR_Y-4,12,31))=0,"",IFERROR($G151*HSTECH!$G$46/SUMIFS('Fund History'!$K$846:$K$850,'Fund History'!$J$846:$J$850,"&gt;="&amp;DATE(YEAR_Y-4,1,1),'Fund History'!$J$846:$J$850,"&lt;="&amp;DATE(YEAR_Y-4,12,31)),""))))</f>
        <v/>
      </c>
      <c r="R151" s="136">
        <f>IF($C151="","",IF(PULL_FUND="N","",IF(COUNTIFS('Fund History'!$J$846:$J$850,"&gt;="&amp;DATE(YEAR_Y-3,1,1),'Fund History'!$J$846:$J$850,"&lt;="&amp;DATE(YEAR_Y-3,12,31))=0,"",IFERROR($H151*HSTECH!$G$46/SUMIFS('Fund History'!$K$846:$K$850,'Fund History'!$J$846:$J$850,"&gt;="&amp;DATE(YEAR_Y-3,1,1),'Fund History'!$J$846:$J$850,"&lt;="&amp;DATE(YEAR_Y-3,12,31)),""))))</f>
        <v/>
      </c>
      <c r="S151" s="136">
        <f>IF($C151="","",IF(PULL_FUND="N","",IF(COUNTIFS('Fund History'!$J$846:$J$850,"&gt;="&amp;DATE(YEAR_Y-2,1,1),'Fund History'!$J$846:$J$850,"&lt;="&amp;DATE(YEAR_Y-2,12,31))=0,"",IFERROR($I151*HSTECH!$G$46/SUMIFS('Fund History'!$K$846:$K$850,'Fund History'!$J$846:$J$850,"&gt;="&amp;DATE(YEAR_Y-2,1,1),'Fund History'!$J$846:$J$850,"&lt;="&amp;DATE(YEAR_Y-2,12,31)),""))))</f>
        <v/>
      </c>
      <c r="T151" s="136">
        <f>IF($C151="","",IF(PULL_FUND="N","",IF(COUNTIFS('Fund History'!$J$846:$J$850,"&gt;="&amp;DATE(YEAR_Y-1,1,1),'Fund History'!$J$846:$J$850,"&lt;="&amp;DATE(YEAR_Y-1,12,31))=0,"",IFERROR($J151*HSTECH!$G$46/SUMIFS('Fund History'!$K$846:$K$850,'Fund History'!$J$846:$J$850,"&gt;="&amp;DATE(YEAR_Y-1,1,1),'Fund History'!$J$846:$J$850,"&lt;="&amp;DATE(YEAR_Y-1,12,31)),""))))</f>
        <v/>
      </c>
      <c r="U151" s="137">
        <f>IF($C151="","",IF(ISNUMBER(HSTECH!$I$46),HSTECH!$I$46/100,""))</f>
        <v/>
      </c>
      <c r="V151" s="138">
        <f>IF($C151="","",IF(ISNUMBER(HSTECH!$X$46),IFERROR($M151*HSTECH!$G$46/HSTECH!$X$46,""),""))</f>
        <v/>
      </c>
      <c r="W151" s="137">
        <f>IF($C151="","",IF(ISNUMBER($N151),IFERROR($N151*HSTECH!$G$46/HSTECH!$X$46,""),""))</f>
        <v/>
      </c>
      <c r="X151" s="139">
        <f>IF($C151="","",IF(PULL_FUND="N","",IFERROR(BDP($C151,EPS_FIELD,YR_OVERRIDE,TEXT(YEAR_Y-5,"0")),"")))</f>
        <v/>
      </c>
      <c r="Y151" s="140">
        <f>IF($C151="","",IF(PULL_FUND="N","",IFERROR(BDP($C151,EPS_FIELD,YR_OVERRIDE,TEXT(YEAR_Y-4,"0")),"")))</f>
        <v/>
      </c>
      <c r="Z151" s="140">
        <f>IF($C151="","",IF(PULL_FUND="N","",IFERROR(BDP($C151,EPS_FIELD,YR_OVERRIDE,TEXT(YEAR_Y-3,"0")),"")))</f>
        <v/>
      </c>
      <c r="AA151" s="140">
        <f>IF($C151="","",IF(PULL_FUND="N","",IFERROR(BDP($C151,EPS_FIELD,YR_OVERRIDE,TEXT(YEAR_Y-2,"0")),"")))</f>
        <v/>
      </c>
      <c r="AB151" s="140">
        <f>IF($C151="","",IF(PULL_FUND="N","",IFERROR(BDP($C151,EPS_FIELD,YR_OVERRIDE,TEXT(YEAR_Y-1,"0")),"")))</f>
        <v/>
      </c>
      <c r="AC151" s="126">
        <f>IF($C151="","",IFERROR(AVERAGE(X151:AB151),""))</f>
        <v/>
      </c>
      <c r="AD151" s="140">
        <f>IF($C151="","",IF(PULL_FUND="N","",IFERROR(BDP($C151,BESTEPS_FIELD,FWD_OVERRIDE,TEXT(MOD(YEAR_Y,100),"00")&amp;"Y"),"")))</f>
        <v/>
      </c>
      <c r="AE151" s="141">
        <f>IF($C151="","",IF(PULL_FUND="N","",IFERROR(BDP($C151,PAYOUT_FIELD,YR_OVERRIDE,TEXT(YEAR_Y-5,"0"))/100,"")))</f>
        <v/>
      </c>
      <c r="AF151" s="142">
        <f>IF($C151="","",IF(PULL_FUND="N","",IFERROR(BDP($C151,PAYOUT_FIELD,YR_OVERRIDE,TEXT(YEAR_Y-4,"0"))/100,"")))</f>
        <v/>
      </c>
      <c r="AG151" s="142">
        <f>IF($C151="","",IF(PULL_FUND="N","",IFERROR(BDP($C151,PAYOUT_FIELD,YR_OVERRIDE,TEXT(YEAR_Y-3,"0"))/100,"")))</f>
        <v/>
      </c>
      <c r="AH151" s="142">
        <f>IF($C151="","",IF(PULL_FUND="N","",IFERROR(BDP($C151,PAYOUT_FIELD,YR_OVERRIDE,TEXT(YEAR_Y-2,"0"))/100,"")))</f>
        <v/>
      </c>
      <c r="AI151" s="142">
        <f>IF($C151="","",IF(PULL_FUND="N","",IFERROR(BDP($C151,PAYOUT_FIELD,YR_OVERRIDE,TEXT(YEAR_Y-1,"0"))/100,"")))</f>
        <v/>
      </c>
      <c r="AJ151" s="143">
        <f>IF($C151="","",IFERROR(AVERAGE(AE151:AI151),""))</f>
        <v/>
      </c>
      <c r="AK151" s="144">
        <f>IF($C151="","",IF(ISNUMBER($AD151)*ISNUMBER($N151)*($AD151&lt;&gt;0)=0,"",$N151/$AD151))</f>
        <v/>
      </c>
      <c r="AL151" s="143">
        <f>IF($C151="","",IF(ISNUMBER($AD151)*($AD151&lt;&gt;0)=0,"",$M151/$AD151))</f>
        <v/>
      </c>
      <c r="AM151" s="37">
        <f>IF($C151="","",IF(ISNUMBER($AE151)*ISNUMBER($AI151)=0,"",IF($AI151&gt;$AE151+0.05,"rising",IF($AI151&lt;$AE151-0.05,"falling","stable"))))</f>
        <v/>
      </c>
      <c r="AN151" s="145">
        <f>IF($C151="","",IF(PULL_FUND="N","",IF(COUNTIFS('Fund History'!$G$846:$G$850,"&gt;="&amp;DATE(YEAR_Y-4,1,1),'Fund History'!$G$846:$G$850,"&lt;="&amp;DATE(YEAR_Y-4,12,31))=0,"",SUMIFS('Fund History'!$H$846:$H$850,'Fund History'!$G$846:$G$850,"&gt;="&amp;DATE(YEAR_Y-4,1,1),'Fund History'!$G$846:$G$850,"&lt;="&amp;DATE(YEAR_Y-4,12,31))/100)))</f>
        <v/>
      </c>
      <c r="AO151" s="146">
        <f>IF($C151="","",IF(PULL_FUND="N","",IF(COUNTIFS('Fund History'!$G$846:$G$850,"&gt;="&amp;DATE(YEAR_Y-3,1,1),'Fund History'!$G$846:$G$850,"&lt;="&amp;DATE(YEAR_Y-3,12,31))=0,"",SUMIFS('Fund History'!$H$846:$H$850,'Fund History'!$G$846:$G$850,"&gt;="&amp;DATE(YEAR_Y-3,1,1),'Fund History'!$G$846:$G$850,"&lt;="&amp;DATE(YEAR_Y-3,12,31))/100)))</f>
        <v/>
      </c>
      <c r="AP151" s="146">
        <f>IF($C151="","",IF(PULL_FUND="N","",IF(COUNTIFS('Fund History'!$G$846:$G$850,"&gt;="&amp;DATE(YEAR_Y-2,1,1),'Fund History'!$G$846:$G$850,"&lt;="&amp;DATE(YEAR_Y-2,12,31))=0,"",SUMIFS('Fund History'!$H$846:$H$850,'Fund History'!$G$846:$G$850,"&gt;="&amp;DATE(YEAR_Y-2,1,1),'Fund History'!$G$846:$G$850,"&lt;="&amp;DATE(YEAR_Y-2,12,31))/100)))</f>
        <v/>
      </c>
      <c r="AQ151" s="146">
        <f>IF($C151="","",IF(PULL_FUND="N","",IF(COUNTIFS('Fund History'!$G$846:$G$850,"&gt;="&amp;DATE(YEAR_Y-1,1,1),'Fund History'!$G$846:$G$850,"&lt;="&amp;DATE(YEAR_Y-1,12,31))=0,"",SUMIFS('Fund History'!$H$846:$H$850,'Fund History'!$G$846:$G$850,"&gt;="&amp;DATE(YEAR_Y-1,1,1),'Fund History'!$G$846:$G$850,"&lt;="&amp;DATE(YEAR_Y-1,12,31))/100)))</f>
        <v/>
      </c>
      <c r="AR151" s="147">
        <f>IF($C151="","",IF(N($AQ151)+N(HSTECH!$I$46)=0,"",N($AQ151)+N(HSTECH!$I$46)/100))</f>
        <v/>
      </c>
      <c r="AS151" s="139">
        <f>IF($C151="","",IF(PULL_FUND="N","",IF(COUNTIFS('Fund History'!$D$846:$D$850,"&gt;="&amp;DATE(YEAR_Y-2,1,1),'Fund History'!$D$846:$D$850,"&lt;="&amp;DATE(YEAR_Y-2,12,31))=0,"",SUMIFS('Fund History'!$E$846:$E$850,'Fund History'!$D$846:$D$850,"&gt;="&amp;DATE(YEAR_Y-2,1,1),'Fund History'!$D$846:$D$850,"&lt;="&amp;DATE(YEAR_Y-2,12,31)))))</f>
        <v/>
      </c>
      <c r="AT151" s="140">
        <f>IF($C151="","",IF(PULL_FUND="N","",IF(COUNTIFS('Fund History'!$D$846:$D$850,"&gt;="&amp;DATE(YEAR_Y-1,1,1),'Fund History'!$D$846:$D$850,"&lt;="&amp;DATE(YEAR_Y-1,12,31))=0,"",SUMIFS('Fund History'!$E$846:$E$850,'Fund History'!$D$846:$D$850,"&gt;="&amp;DATE(YEAR_Y-1,1,1),'Fund History'!$D$846:$D$850,"&lt;="&amp;DATE(YEAR_Y-1,12,31)))))</f>
        <v/>
      </c>
      <c r="AU151" s="140">
        <f>IF($C151="","",IF(PULL_FUND="N","",IFERROR(BDP($C151,NDEBITDA_FIELD),"")))</f>
        <v/>
      </c>
      <c r="AV151" s="148">
        <f>IF($C151="","",IF(PULL_FUND="N","",IFERROR(BDP($C151,EBINT_FIELD),"")))</f>
        <v/>
      </c>
      <c r="AW151" s="146">
        <f>IF($C151="","",IF(PULL_FUND="N","",IFERROR(BDP($C151,FCF_FIELD)/100,"")))</f>
        <v/>
      </c>
      <c r="AX151" s="126">
        <f>IF($C151="","",IF(N($U151)=0,"",IFERROR($AW151/$U151,"")))</f>
        <v/>
      </c>
      <c r="AY151" s="85">
        <f>IF($C151="","",TRIM(IF(ISNUMBER($AJ151)*(N($AJ151)&gt;$D$4)&gt;0,"payout high  ","")&amp;IF(ISNUMBER($AX151)*(N($AX151)&lt;$F$4)&gt;0,"FCF below dvd  ","")&amp;IF(ISNUMBER($AU151)*(N($AU151)&gt;$H$4)&gt;0,"leverage high","")))</f>
        <v/>
      </c>
      <c r="AZ151" s="86">
        <f>IF($C151="","",IF(HSTECH!$F$46="HKD","",HSTECH!$F$46))</f>
        <v/>
      </c>
    </row>
    <row r="152">
      <c r="B152" s="66" t="inlineStr">
        <is>
          <t>HSCEI</t>
        </is>
      </c>
      <c r="C152" s="8">
        <f>IF(HSCEI!$C$7="","",HSCEI!$C$7)</f>
        <v/>
      </c>
      <c r="D152" s="8">
        <f>IF($C152="","",HSCEI!$D$7)</f>
        <v/>
      </c>
      <c r="E152" s="8">
        <f>IF($C152="","",HSCEI!$E$7)</f>
        <v/>
      </c>
      <c r="F152" s="131">
        <f>IF($C152="","",SUMPRODUCT(('Dvd Calendar'!$E$1561:$AR$1561&gt;=DATE(YEAR_Y-5,1,1))*('Dvd Calendar'!$E$1561:$AR$1561&lt;=DATE(YEAR_Y-5,12,31))*'Dvd Calendar'!$E$1564:$AR$1564*(('Dvd Calendar'!$E$1566:$AR$1566=TYPE1)*(TYPE1&lt;&gt;"")+('Dvd Calendar'!$E$1566:$AR$1566=TYPE2)*(TYPE2&lt;&gt;"")+('Dvd Calendar'!$E$1566:$AR$1566=TYPE3)*(TYPE3&lt;&gt;"")+('Dvd Calendar'!$E$1566:$AR$1566=TYPE4)*(TYPE4&lt;&gt;"")+('Dvd Calendar'!$E$1566:$AR$1566=SPECIAL_LBL)*(INC_SPECIALS="Y"))))</f>
        <v/>
      </c>
      <c r="G152" s="132">
        <f>IF($C152="","",SUMPRODUCT(('Dvd Calendar'!$E$1561:$AR$1561&gt;=DATE(YEAR_Y-4,1,1))*('Dvd Calendar'!$E$1561:$AR$1561&lt;=DATE(YEAR_Y-4,12,31))*'Dvd Calendar'!$E$1564:$AR$1564*(('Dvd Calendar'!$E$1566:$AR$1566=TYPE1)*(TYPE1&lt;&gt;"")+('Dvd Calendar'!$E$1566:$AR$1566=TYPE2)*(TYPE2&lt;&gt;"")+('Dvd Calendar'!$E$1566:$AR$1566=TYPE3)*(TYPE3&lt;&gt;"")+('Dvd Calendar'!$E$1566:$AR$1566=TYPE4)*(TYPE4&lt;&gt;"")+('Dvd Calendar'!$E$1566:$AR$1566=SPECIAL_LBL)*(INC_SPECIALS="Y"))))</f>
        <v/>
      </c>
      <c r="H152" s="132">
        <f>IF($C152="","",SUMPRODUCT(('Dvd Calendar'!$E$1561:$AR$1561&gt;=DATE(YEAR_Y-3,1,1))*('Dvd Calendar'!$E$1561:$AR$1561&lt;=DATE(YEAR_Y-3,12,31))*'Dvd Calendar'!$E$1564:$AR$1564*(('Dvd Calendar'!$E$1566:$AR$1566=TYPE1)*(TYPE1&lt;&gt;"")+('Dvd Calendar'!$E$1566:$AR$1566=TYPE2)*(TYPE2&lt;&gt;"")+('Dvd Calendar'!$E$1566:$AR$1566=TYPE3)*(TYPE3&lt;&gt;"")+('Dvd Calendar'!$E$1566:$AR$1566=TYPE4)*(TYPE4&lt;&gt;"")+('Dvd Calendar'!$E$1566:$AR$1566=SPECIAL_LBL)*(INC_SPECIALS="Y"))))</f>
        <v/>
      </c>
      <c r="I152" s="132">
        <f>IF($C152="","",SUMPRODUCT(('Dvd Calendar'!$E$1561:$AR$1561&gt;=DATE(YEAR_Y-2,1,1))*('Dvd Calendar'!$E$1561:$AR$1561&lt;=DATE(YEAR_Y-2,12,31))*'Dvd Calendar'!$E$1564:$AR$1564*(('Dvd Calendar'!$E$1566:$AR$1566=TYPE1)*(TYPE1&lt;&gt;"")+('Dvd Calendar'!$E$1566:$AR$1566=TYPE2)*(TYPE2&lt;&gt;"")+('Dvd Calendar'!$E$1566:$AR$1566=TYPE3)*(TYPE3&lt;&gt;"")+('Dvd Calendar'!$E$1566:$AR$1566=TYPE4)*(TYPE4&lt;&gt;"")+('Dvd Calendar'!$E$1566:$AR$1566=SPECIAL_LBL)*(INC_SPECIALS="Y"))))</f>
        <v/>
      </c>
      <c r="J152" s="132">
        <f>IF($C152="","",SUMPRODUCT(('Dvd Calendar'!$E$1561:$AR$1561&gt;=DATE(YEAR_Y-1,1,1))*('Dvd Calendar'!$E$1561:$AR$1561&lt;=DATE(YEAR_Y-1,12,31))*'Dvd Calendar'!$E$1564:$AR$1564*(('Dvd Calendar'!$E$1566:$AR$1566=TYPE1)*(TYPE1&lt;&gt;"")+('Dvd Calendar'!$E$1566:$AR$1566=TYPE2)*(TYPE2&lt;&gt;"")+('Dvd Calendar'!$E$1566:$AR$1566=TYPE3)*(TYPE3&lt;&gt;"")+('Dvd Calendar'!$E$1566:$AR$1566=TYPE4)*(TYPE4&lt;&gt;"")+('Dvd Calendar'!$E$1566:$AR$1566=SPECIAL_LBL)*(INC_SPECIALS="Y"))))</f>
        <v/>
      </c>
      <c r="K152" s="133">
        <f>IF($C152="","",HSCEI!$J$7)</f>
        <v/>
      </c>
      <c r="L152" s="133">
        <f>IF($C152="","",HSCEI!$K$7)</f>
        <v/>
      </c>
      <c r="M152" s="124">
        <f>IF($C152="","",HSCEI!$J$7+HSCEI!$L$7)</f>
        <v/>
      </c>
      <c r="N152" s="134">
        <f>IF($C152="","",IF(PULL_FUND="N","",IFERROR(BDP($C152,BESTDPS_FIELD,FWD_OVERRIDE,TEXT(MOD(YEAR_Y,100),"00")&amp;"Y"),"")))</f>
        <v/>
      </c>
      <c r="O152" s="133">
        <f>IF($C152="","",AVERAGE(F152:J152))</f>
        <v/>
      </c>
      <c r="P152" s="135">
        <f>IF($C152="","",IF(PULL_FUND="N","",IF(COUNTIFS('Fund History'!$J$856:$J$860,"&gt;="&amp;DATE(YEAR_Y-5,1,1),'Fund History'!$J$856:$J$860,"&lt;="&amp;DATE(YEAR_Y-5,12,31))=0,"",IFERROR($F152*HSCEI!$G$7/SUMIFS('Fund History'!$K$856:$K$860,'Fund History'!$J$856:$J$860,"&gt;="&amp;DATE(YEAR_Y-5,1,1),'Fund History'!$J$856:$J$860,"&lt;="&amp;DATE(YEAR_Y-5,12,31)),""))))</f>
        <v/>
      </c>
      <c r="Q152" s="136">
        <f>IF($C152="","",IF(PULL_FUND="N","",IF(COUNTIFS('Fund History'!$J$856:$J$860,"&gt;="&amp;DATE(YEAR_Y-4,1,1),'Fund History'!$J$856:$J$860,"&lt;="&amp;DATE(YEAR_Y-4,12,31))=0,"",IFERROR($G152*HSCEI!$G$7/SUMIFS('Fund History'!$K$856:$K$860,'Fund History'!$J$856:$J$860,"&gt;="&amp;DATE(YEAR_Y-4,1,1),'Fund History'!$J$856:$J$860,"&lt;="&amp;DATE(YEAR_Y-4,12,31)),""))))</f>
        <v/>
      </c>
      <c r="R152" s="136">
        <f>IF($C152="","",IF(PULL_FUND="N","",IF(COUNTIFS('Fund History'!$J$856:$J$860,"&gt;="&amp;DATE(YEAR_Y-3,1,1),'Fund History'!$J$856:$J$860,"&lt;="&amp;DATE(YEAR_Y-3,12,31))=0,"",IFERROR($H152*HSCEI!$G$7/SUMIFS('Fund History'!$K$856:$K$860,'Fund History'!$J$856:$J$860,"&gt;="&amp;DATE(YEAR_Y-3,1,1),'Fund History'!$J$856:$J$860,"&lt;="&amp;DATE(YEAR_Y-3,12,31)),""))))</f>
        <v/>
      </c>
      <c r="S152" s="136">
        <f>IF($C152="","",IF(PULL_FUND="N","",IF(COUNTIFS('Fund History'!$J$856:$J$860,"&gt;="&amp;DATE(YEAR_Y-2,1,1),'Fund History'!$J$856:$J$860,"&lt;="&amp;DATE(YEAR_Y-2,12,31))=0,"",IFERROR($I152*HSCEI!$G$7/SUMIFS('Fund History'!$K$856:$K$860,'Fund History'!$J$856:$J$860,"&gt;="&amp;DATE(YEAR_Y-2,1,1),'Fund History'!$J$856:$J$860,"&lt;="&amp;DATE(YEAR_Y-2,12,31)),""))))</f>
        <v/>
      </c>
      <c r="T152" s="136">
        <f>IF($C152="","",IF(PULL_FUND="N","",IF(COUNTIFS('Fund History'!$J$856:$J$860,"&gt;="&amp;DATE(YEAR_Y-1,1,1),'Fund History'!$J$856:$J$860,"&lt;="&amp;DATE(YEAR_Y-1,12,31))=0,"",IFERROR($J152*HSCEI!$G$7/SUMIFS('Fund History'!$K$856:$K$860,'Fund History'!$J$856:$J$860,"&gt;="&amp;DATE(YEAR_Y-1,1,1),'Fund History'!$J$856:$J$860,"&lt;="&amp;DATE(YEAR_Y-1,12,31)),""))))</f>
        <v/>
      </c>
      <c r="U152" s="137">
        <f>IF($C152="","",IF(ISNUMBER(HSCEI!$I$7),HSCEI!$I$7/100,""))</f>
        <v/>
      </c>
      <c r="V152" s="138">
        <f>IF($C152="","",IF(ISNUMBER(HSCEI!$X$7),IFERROR($M152*HSCEI!$G$7/HSCEI!$X$7,""),""))</f>
        <v/>
      </c>
      <c r="W152" s="137">
        <f>IF($C152="","",IF(ISNUMBER($N152),IFERROR($N152*HSCEI!$G$7/HSCEI!$X$7,""),""))</f>
        <v/>
      </c>
      <c r="X152" s="139">
        <f>IF($C152="","",IF(PULL_FUND="N","",IFERROR(BDP($C152,EPS_FIELD,YR_OVERRIDE,TEXT(YEAR_Y-5,"0")),"")))</f>
        <v/>
      </c>
      <c r="Y152" s="140">
        <f>IF($C152="","",IF(PULL_FUND="N","",IFERROR(BDP($C152,EPS_FIELD,YR_OVERRIDE,TEXT(YEAR_Y-4,"0")),"")))</f>
        <v/>
      </c>
      <c r="Z152" s="140">
        <f>IF($C152="","",IF(PULL_FUND="N","",IFERROR(BDP($C152,EPS_FIELD,YR_OVERRIDE,TEXT(YEAR_Y-3,"0")),"")))</f>
        <v/>
      </c>
      <c r="AA152" s="140">
        <f>IF($C152="","",IF(PULL_FUND="N","",IFERROR(BDP($C152,EPS_FIELD,YR_OVERRIDE,TEXT(YEAR_Y-2,"0")),"")))</f>
        <v/>
      </c>
      <c r="AB152" s="140">
        <f>IF($C152="","",IF(PULL_FUND="N","",IFERROR(BDP($C152,EPS_FIELD,YR_OVERRIDE,TEXT(YEAR_Y-1,"0")),"")))</f>
        <v/>
      </c>
      <c r="AC152" s="126">
        <f>IF($C152="","",IFERROR(AVERAGE(X152:AB152),""))</f>
        <v/>
      </c>
      <c r="AD152" s="140">
        <f>IF($C152="","",IF(PULL_FUND="N","",IFERROR(BDP($C152,BESTEPS_FIELD,FWD_OVERRIDE,TEXT(MOD(YEAR_Y,100),"00")&amp;"Y"),"")))</f>
        <v/>
      </c>
      <c r="AE152" s="141">
        <f>IF($C152="","",IF(PULL_FUND="N","",IFERROR(BDP($C152,PAYOUT_FIELD,YR_OVERRIDE,TEXT(YEAR_Y-5,"0"))/100,"")))</f>
        <v/>
      </c>
      <c r="AF152" s="142">
        <f>IF($C152="","",IF(PULL_FUND="N","",IFERROR(BDP($C152,PAYOUT_FIELD,YR_OVERRIDE,TEXT(YEAR_Y-4,"0"))/100,"")))</f>
        <v/>
      </c>
      <c r="AG152" s="142">
        <f>IF($C152="","",IF(PULL_FUND="N","",IFERROR(BDP($C152,PAYOUT_FIELD,YR_OVERRIDE,TEXT(YEAR_Y-3,"0"))/100,"")))</f>
        <v/>
      </c>
      <c r="AH152" s="142">
        <f>IF($C152="","",IF(PULL_FUND="N","",IFERROR(BDP($C152,PAYOUT_FIELD,YR_OVERRIDE,TEXT(YEAR_Y-2,"0"))/100,"")))</f>
        <v/>
      </c>
      <c r="AI152" s="142">
        <f>IF($C152="","",IF(PULL_FUND="N","",IFERROR(BDP($C152,PAYOUT_FIELD,YR_OVERRIDE,TEXT(YEAR_Y-1,"0"))/100,"")))</f>
        <v/>
      </c>
      <c r="AJ152" s="143">
        <f>IF($C152="","",IFERROR(AVERAGE(AE152:AI152),""))</f>
        <v/>
      </c>
      <c r="AK152" s="144">
        <f>IF($C152="","",IF(ISNUMBER($AD152)*ISNUMBER($N152)*($AD152&lt;&gt;0)=0,"",$N152/$AD152))</f>
        <v/>
      </c>
      <c r="AL152" s="143">
        <f>IF($C152="","",IF(ISNUMBER($AD152)*($AD152&lt;&gt;0)=0,"",$M152/$AD152))</f>
        <v/>
      </c>
      <c r="AM152" s="37">
        <f>IF($C152="","",IF(ISNUMBER($AE152)*ISNUMBER($AI152)=0,"",IF($AI152&gt;$AE152+0.05,"rising",IF($AI152&lt;$AE152-0.05,"falling","stable"))))</f>
        <v/>
      </c>
      <c r="AN152" s="145">
        <f>IF($C152="","",IF(PULL_FUND="N","",IF(COUNTIFS('Fund History'!$G$856:$G$860,"&gt;="&amp;DATE(YEAR_Y-4,1,1),'Fund History'!$G$856:$G$860,"&lt;="&amp;DATE(YEAR_Y-4,12,31))=0,"",SUMIFS('Fund History'!$H$856:$H$860,'Fund History'!$G$856:$G$860,"&gt;="&amp;DATE(YEAR_Y-4,1,1),'Fund History'!$G$856:$G$860,"&lt;="&amp;DATE(YEAR_Y-4,12,31))/100)))</f>
        <v/>
      </c>
      <c r="AO152" s="146">
        <f>IF($C152="","",IF(PULL_FUND="N","",IF(COUNTIFS('Fund History'!$G$856:$G$860,"&gt;="&amp;DATE(YEAR_Y-3,1,1),'Fund History'!$G$856:$G$860,"&lt;="&amp;DATE(YEAR_Y-3,12,31))=0,"",SUMIFS('Fund History'!$H$856:$H$860,'Fund History'!$G$856:$G$860,"&gt;="&amp;DATE(YEAR_Y-3,1,1),'Fund History'!$G$856:$G$860,"&lt;="&amp;DATE(YEAR_Y-3,12,31))/100)))</f>
        <v/>
      </c>
      <c r="AP152" s="146">
        <f>IF($C152="","",IF(PULL_FUND="N","",IF(COUNTIFS('Fund History'!$G$856:$G$860,"&gt;="&amp;DATE(YEAR_Y-2,1,1),'Fund History'!$G$856:$G$860,"&lt;="&amp;DATE(YEAR_Y-2,12,31))=0,"",SUMIFS('Fund History'!$H$856:$H$860,'Fund History'!$G$856:$G$860,"&gt;="&amp;DATE(YEAR_Y-2,1,1),'Fund History'!$G$856:$G$860,"&lt;="&amp;DATE(YEAR_Y-2,12,31))/100)))</f>
        <v/>
      </c>
      <c r="AQ152" s="146">
        <f>IF($C152="","",IF(PULL_FUND="N","",IF(COUNTIFS('Fund History'!$G$856:$G$860,"&gt;="&amp;DATE(YEAR_Y-1,1,1),'Fund History'!$G$856:$G$860,"&lt;="&amp;DATE(YEAR_Y-1,12,31))=0,"",SUMIFS('Fund History'!$H$856:$H$860,'Fund History'!$G$856:$G$860,"&gt;="&amp;DATE(YEAR_Y-1,1,1),'Fund History'!$G$856:$G$860,"&lt;="&amp;DATE(YEAR_Y-1,12,31))/100)))</f>
        <v/>
      </c>
      <c r="AR152" s="147">
        <f>IF($C152="","",IF(N($AQ152)+N(HSCEI!$I$7)=0,"",N($AQ152)+N(HSCEI!$I$7)/100))</f>
        <v/>
      </c>
      <c r="AS152" s="139">
        <f>IF($C152="","",IF(PULL_FUND="N","",IF(COUNTIFS('Fund History'!$D$856:$D$860,"&gt;="&amp;DATE(YEAR_Y-2,1,1),'Fund History'!$D$856:$D$860,"&lt;="&amp;DATE(YEAR_Y-2,12,31))=0,"",SUMIFS('Fund History'!$E$856:$E$860,'Fund History'!$D$856:$D$860,"&gt;="&amp;DATE(YEAR_Y-2,1,1),'Fund History'!$D$856:$D$860,"&lt;="&amp;DATE(YEAR_Y-2,12,31)))))</f>
        <v/>
      </c>
      <c r="AT152" s="140">
        <f>IF($C152="","",IF(PULL_FUND="N","",IF(COUNTIFS('Fund History'!$D$856:$D$860,"&gt;="&amp;DATE(YEAR_Y-1,1,1),'Fund History'!$D$856:$D$860,"&lt;="&amp;DATE(YEAR_Y-1,12,31))=0,"",SUMIFS('Fund History'!$E$856:$E$860,'Fund History'!$D$856:$D$860,"&gt;="&amp;DATE(YEAR_Y-1,1,1),'Fund History'!$D$856:$D$860,"&lt;="&amp;DATE(YEAR_Y-1,12,31)))))</f>
        <v/>
      </c>
      <c r="AU152" s="140">
        <f>IF($C152="","",IF(PULL_FUND="N","",IFERROR(BDP($C152,NDEBITDA_FIELD),"")))</f>
        <v/>
      </c>
      <c r="AV152" s="148">
        <f>IF($C152="","",IF(PULL_FUND="N","",IFERROR(BDP($C152,EBINT_FIELD),"")))</f>
        <v/>
      </c>
      <c r="AW152" s="146">
        <f>IF($C152="","",IF(PULL_FUND="N","",IFERROR(BDP($C152,FCF_FIELD)/100,"")))</f>
        <v/>
      </c>
      <c r="AX152" s="126">
        <f>IF($C152="","",IF(N($U152)=0,"",IFERROR($AW152/$U152,"")))</f>
        <v/>
      </c>
      <c r="AY152" s="85">
        <f>IF($C152="","",TRIM(IF(ISNUMBER($AJ152)*(N($AJ152)&gt;$D$4)&gt;0,"payout high  ","")&amp;IF(ISNUMBER($AX152)*(N($AX152)&lt;$F$4)&gt;0,"FCF below dvd  ","")&amp;IF(ISNUMBER($AU152)*(N($AU152)&gt;$H$4)&gt;0,"leverage high","")))</f>
        <v/>
      </c>
      <c r="AZ152" s="86">
        <f>IF($C152="","",IF(HSCEI!$F$7="HKD","",HSCEI!$F$7))</f>
        <v/>
      </c>
    </row>
    <row r="153">
      <c r="B153" s="66" t="inlineStr">
        <is>
          <t>HSCEI</t>
        </is>
      </c>
      <c r="C153" s="8">
        <f>IF(HSCEI!$C$8="","",HSCEI!$C$8)</f>
        <v/>
      </c>
      <c r="D153" s="8">
        <f>IF($C153="","",HSCEI!$D$8)</f>
        <v/>
      </c>
      <c r="E153" s="8">
        <f>IF($C153="","",HSCEI!$E$8)</f>
        <v/>
      </c>
      <c r="F153" s="131">
        <f>IF($C153="","",SUMPRODUCT(('Dvd Calendar'!$E$1572:$AR$1572&gt;=DATE(YEAR_Y-5,1,1))*('Dvd Calendar'!$E$1572:$AR$1572&lt;=DATE(YEAR_Y-5,12,31))*'Dvd Calendar'!$E$1575:$AR$1575*(('Dvd Calendar'!$E$1577:$AR$1577=TYPE1)*(TYPE1&lt;&gt;"")+('Dvd Calendar'!$E$1577:$AR$1577=TYPE2)*(TYPE2&lt;&gt;"")+('Dvd Calendar'!$E$1577:$AR$1577=TYPE3)*(TYPE3&lt;&gt;"")+('Dvd Calendar'!$E$1577:$AR$1577=TYPE4)*(TYPE4&lt;&gt;"")+('Dvd Calendar'!$E$1577:$AR$1577=SPECIAL_LBL)*(INC_SPECIALS="Y"))))</f>
        <v/>
      </c>
      <c r="G153" s="132">
        <f>IF($C153="","",SUMPRODUCT(('Dvd Calendar'!$E$1572:$AR$1572&gt;=DATE(YEAR_Y-4,1,1))*('Dvd Calendar'!$E$1572:$AR$1572&lt;=DATE(YEAR_Y-4,12,31))*'Dvd Calendar'!$E$1575:$AR$1575*(('Dvd Calendar'!$E$1577:$AR$1577=TYPE1)*(TYPE1&lt;&gt;"")+('Dvd Calendar'!$E$1577:$AR$1577=TYPE2)*(TYPE2&lt;&gt;"")+('Dvd Calendar'!$E$1577:$AR$1577=TYPE3)*(TYPE3&lt;&gt;"")+('Dvd Calendar'!$E$1577:$AR$1577=TYPE4)*(TYPE4&lt;&gt;"")+('Dvd Calendar'!$E$1577:$AR$1577=SPECIAL_LBL)*(INC_SPECIALS="Y"))))</f>
        <v/>
      </c>
      <c r="H153" s="132">
        <f>IF($C153="","",SUMPRODUCT(('Dvd Calendar'!$E$1572:$AR$1572&gt;=DATE(YEAR_Y-3,1,1))*('Dvd Calendar'!$E$1572:$AR$1572&lt;=DATE(YEAR_Y-3,12,31))*'Dvd Calendar'!$E$1575:$AR$1575*(('Dvd Calendar'!$E$1577:$AR$1577=TYPE1)*(TYPE1&lt;&gt;"")+('Dvd Calendar'!$E$1577:$AR$1577=TYPE2)*(TYPE2&lt;&gt;"")+('Dvd Calendar'!$E$1577:$AR$1577=TYPE3)*(TYPE3&lt;&gt;"")+('Dvd Calendar'!$E$1577:$AR$1577=TYPE4)*(TYPE4&lt;&gt;"")+('Dvd Calendar'!$E$1577:$AR$1577=SPECIAL_LBL)*(INC_SPECIALS="Y"))))</f>
        <v/>
      </c>
      <c r="I153" s="132">
        <f>IF($C153="","",SUMPRODUCT(('Dvd Calendar'!$E$1572:$AR$1572&gt;=DATE(YEAR_Y-2,1,1))*('Dvd Calendar'!$E$1572:$AR$1572&lt;=DATE(YEAR_Y-2,12,31))*'Dvd Calendar'!$E$1575:$AR$1575*(('Dvd Calendar'!$E$1577:$AR$1577=TYPE1)*(TYPE1&lt;&gt;"")+('Dvd Calendar'!$E$1577:$AR$1577=TYPE2)*(TYPE2&lt;&gt;"")+('Dvd Calendar'!$E$1577:$AR$1577=TYPE3)*(TYPE3&lt;&gt;"")+('Dvd Calendar'!$E$1577:$AR$1577=TYPE4)*(TYPE4&lt;&gt;"")+('Dvd Calendar'!$E$1577:$AR$1577=SPECIAL_LBL)*(INC_SPECIALS="Y"))))</f>
        <v/>
      </c>
      <c r="J153" s="132">
        <f>IF($C153="","",SUMPRODUCT(('Dvd Calendar'!$E$1572:$AR$1572&gt;=DATE(YEAR_Y-1,1,1))*('Dvd Calendar'!$E$1572:$AR$1572&lt;=DATE(YEAR_Y-1,12,31))*'Dvd Calendar'!$E$1575:$AR$1575*(('Dvd Calendar'!$E$1577:$AR$1577=TYPE1)*(TYPE1&lt;&gt;"")+('Dvd Calendar'!$E$1577:$AR$1577=TYPE2)*(TYPE2&lt;&gt;"")+('Dvd Calendar'!$E$1577:$AR$1577=TYPE3)*(TYPE3&lt;&gt;"")+('Dvd Calendar'!$E$1577:$AR$1577=TYPE4)*(TYPE4&lt;&gt;"")+('Dvd Calendar'!$E$1577:$AR$1577=SPECIAL_LBL)*(INC_SPECIALS="Y"))))</f>
        <v/>
      </c>
      <c r="K153" s="133">
        <f>IF($C153="","",HSCEI!$J$8)</f>
        <v/>
      </c>
      <c r="L153" s="133">
        <f>IF($C153="","",HSCEI!$K$8)</f>
        <v/>
      </c>
      <c r="M153" s="124">
        <f>IF($C153="","",HSCEI!$J$8+HSCEI!$L$8)</f>
        <v/>
      </c>
      <c r="N153" s="134">
        <f>IF($C153="","",IF(PULL_FUND="N","",IFERROR(BDP($C153,BESTDPS_FIELD,FWD_OVERRIDE,TEXT(MOD(YEAR_Y,100),"00")&amp;"Y"),"")))</f>
        <v/>
      </c>
      <c r="O153" s="133">
        <f>IF($C153="","",AVERAGE(F153:J153))</f>
        <v/>
      </c>
      <c r="P153" s="135">
        <f>IF($C153="","",IF(PULL_FUND="N","",IF(COUNTIFS('Fund History'!$J$862:$J$866,"&gt;="&amp;DATE(YEAR_Y-5,1,1),'Fund History'!$J$862:$J$866,"&lt;="&amp;DATE(YEAR_Y-5,12,31))=0,"",IFERROR($F153*HSCEI!$G$8/SUMIFS('Fund History'!$K$862:$K$866,'Fund History'!$J$862:$J$866,"&gt;="&amp;DATE(YEAR_Y-5,1,1),'Fund History'!$J$862:$J$866,"&lt;="&amp;DATE(YEAR_Y-5,12,31)),""))))</f>
        <v/>
      </c>
      <c r="Q153" s="136">
        <f>IF($C153="","",IF(PULL_FUND="N","",IF(COUNTIFS('Fund History'!$J$862:$J$866,"&gt;="&amp;DATE(YEAR_Y-4,1,1),'Fund History'!$J$862:$J$866,"&lt;="&amp;DATE(YEAR_Y-4,12,31))=0,"",IFERROR($G153*HSCEI!$G$8/SUMIFS('Fund History'!$K$862:$K$866,'Fund History'!$J$862:$J$866,"&gt;="&amp;DATE(YEAR_Y-4,1,1),'Fund History'!$J$862:$J$866,"&lt;="&amp;DATE(YEAR_Y-4,12,31)),""))))</f>
        <v/>
      </c>
      <c r="R153" s="136">
        <f>IF($C153="","",IF(PULL_FUND="N","",IF(COUNTIFS('Fund History'!$J$862:$J$866,"&gt;="&amp;DATE(YEAR_Y-3,1,1),'Fund History'!$J$862:$J$866,"&lt;="&amp;DATE(YEAR_Y-3,12,31))=0,"",IFERROR($H153*HSCEI!$G$8/SUMIFS('Fund History'!$K$862:$K$866,'Fund History'!$J$862:$J$866,"&gt;="&amp;DATE(YEAR_Y-3,1,1),'Fund History'!$J$862:$J$866,"&lt;="&amp;DATE(YEAR_Y-3,12,31)),""))))</f>
        <v/>
      </c>
      <c r="S153" s="136">
        <f>IF($C153="","",IF(PULL_FUND="N","",IF(COUNTIFS('Fund History'!$J$862:$J$866,"&gt;="&amp;DATE(YEAR_Y-2,1,1),'Fund History'!$J$862:$J$866,"&lt;="&amp;DATE(YEAR_Y-2,12,31))=0,"",IFERROR($I153*HSCEI!$G$8/SUMIFS('Fund History'!$K$862:$K$866,'Fund History'!$J$862:$J$866,"&gt;="&amp;DATE(YEAR_Y-2,1,1),'Fund History'!$J$862:$J$866,"&lt;="&amp;DATE(YEAR_Y-2,12,31)),""))))</f>
        <v/>
      </c>
      <c r="T153" s="136">
        <f>IF($C153="","",IF(PULL_FUND="N","",IF(COUNTIFS('Fund History'!$J$862:$J$866,"&gt;="&amp;DATE(YEAR_Y-1,1,1),'Fund History'!$J$862:$J$866,"&lt;="&amp;DATE(YEAR_Y-1,12,31))=0,"",IFERROR($J153*HSCEI!$G$8/SUMIFS('Fund History'!$K$862:$K$866,'Fund History'!$J$862:$J$866,"&gt;="&amp;DATE(YEAR_Y-1,1,1),'Fund History'!$J$862:$J$866,"&lt;="&amp;DATE(YEAR_Y-1,12,31)),""))))</f>
        <v/>
      </c>
      <c r="U153" s="137">
        <f>IF($C153="","",IF(ISNUMBER(HSCEI!$I$8),HSCEI!$I$8/100,""))</f>
        <v/>
      </c>
      <c r="V153" s="138">
        <f>IF($C153="","",IF(ISNUMBER(HSCEI!$X$8),IFERROR($M153*HSCEI!$G$8/HSCEI!$X$8,""),""))</f>
        <v/>
      </c>
      <c r="W153" s="137">
        <f>IF($C153="","",IF(ISNUMBER($N153),IFERROR($N153*HSCEI!$G$8/HSCEI!$X$8,""),""))</f>
        <v/>
      </c>
      <c r="X153" s="139">
        <f>IF($C153="","",IF(PULL_FUND="N","",IFERROR(BDP($C153,EPS_FIELD,YR_OVERRIDE,TEXT(YEAR_Y-5,"0")),"")))</f>
        <v/>
      </c>
      <c r="Y153" s="140">
        <f>IF($C153="","",IF(PULL_FUND="N","",IFERROR(BDP($C153,EPS_FIELD,YR_OVERRIDE,TEXT(YEAR_Y-4,"0")),"")))</f>
        <v/>
      </c>
      <c r="Z153" s="140">
        <f>IF($C153="","",IF(PULL_FUND="N","",IFERROR(BDP($C153,EPS_FIELD,YR_OVERRIDE,TEXT(YEAR_Y-3,"0")),"")))</f>
        <v/>
      </c>
      <c r="AA153" s="140">
        <f>IF($C153="","",IF(PULL_FUND="N","",IFERROR(BDP($C153,EPS_FIELD,YR_OVERRIDE,TEXT(YEAR_Y-2,"0")),"")))</f>
        <v/>
      </c>
      <c r="AB153" s="140">
        <f>IF($C153="","",IF(PULL_FUND="N","",IFERROR(BDP($C153,EPS_FIELD,YR_OVERRIDE,TEXT(YEAR_Y-1,"0")),"")))</f>
        <v/>
      </c>
      <c r="AC153" s="126">
        <f>IF($C153="","",IFERROR(AVERAGE(X153:AB153),""))</f>
        <v/>
      </c>
      <c r="AD153" s="140">
        <f>IF($C153="","",IF(PULL_FUND="N","",IFERROR(BDP($C153,BESTEPS_FIELD,FWD_OVERRIDE,TEXT(MOD(YEAR_Y,100),"00")&amp;"Y"),"")))</f>
        <v/>
      </c>
      <c r="AE153" s="141">
        <f>IF($C153="","",IF(PULL_FUND="N","",IFERROR(BDP($C153,PAYOUT_FIELD,YR_OVERRIDE,TEXT(YEAR_Y-5,"0"))/100,"")))</f>
        <v/>
      </c>
      <c r="AF153" s="142">
        <f>IF($C153="","",IF(PULL_FUND="N","",IFERROR(BDP($C153,PAYOUT_FIELD,YR_OVERRIDE,TEXT(YEAR_Y-4,"0"))/100,"")))</f>
        <v/>
      </c>
      <c r="AG153" s="142">
        <f>IF($C153="","",IF(PULL_FUND="N","",IFERROR(BDP($C153,PAYOUT_FIELD,YR_OVERRIDE,TEXT(YEAR_Y-3,"0"))/100,"")))</f>
        <v/>
      </c>
      <c r="AH153" s="142">
        <f>IF($C153="","",IF(PULL_FUND="N","",IFERROR(BDP($C153,PAYOUT_FIELD,YR_OVERRIDE,TEXT(YEAR_Y-2,"0"))/100,"")))</f>
        <v/>
      </c>
      <c r="AI153" s="142">
        <f>IF($C153="","",IF(PULL_FUND="N","",IFERROR(BDP($C153,PAYOUT_FIELD,YR_OVERRIDE,TEXT(YEAR_Y-1,"0"))/100,"")))</f>
        <v/>
      </c>
      <c r="AJ153" s="143">
        <f>IF($C153="","",IFERROR(AVERAGE(AE153:AI153),""))</f>
        <v/>
      </c>
      <c r="AK153" s="144">
        <f>IF($C153="","",IF(ISNUMBER($AD153)*ISNUMBER($N153)*($AD153&lt;&gt;0)=0,"",$N153/$AD153))</f>
        <v/>
      </c>
      <c r="AL153" s="143">
        <f>IF($C153="","",IF(ISNUMBER($AD153)*($AD153&lt;&gt;0)=0,"",$M153/$AD153))</f>
        <v/>
      </c>
      <c r="AM153" s="37">
        <f>IF($C153="","",IF(ISNUMBER($AE153)*ISNUMBER($AI153)=0,"",IF($AI153&gt;$AE153+0.05,"rising",IF($AI153&lt;$AE153-0.05,"falling","stable"))))</f>
        <v/>
      </c>
      <c r="AN153" s="145">
        <f>IF($C153="","",IF(PULL_FUND="N","",IF(COUNTIFS('Fund History'!$G$862:$G$866,"&gt;="&amp;DATE(YEAR_Y-4,1,1),'Fund History'!$G$862:$G$866,"&lt;="&amp;DATE(YEAR_Y-4,12,31))=0,"",SUMIFS('Fund History'!$H$862:$H$866,'Fund History'!$G$862:$G$866,"&gt;="&amp;DATE(YEAR_Y-4,1,1),'Fund History'!$G$862:$G$866,"&lt;="&amp;DATE(YEAR_Y-4,12,31))/100)))</f>
        <v/>
      </c>
      <c r="AO153" s="146">
        <f>IF($C153="","",IF(PULL_FUND="N","",IF(COUNTIFS('Fund History'!$G$862:$G$866,"&gt;="&amp;DATE(YEAR_Y-3,1,1),'Fund History'!$G$862:$G$866,"&lt;="&amp;DATE(YEAR_Y-3,12,31))=0,"",SUMIFS('Fund History'!$H$862:$H$866,'Fund History'!$G$862:$G$866,"&gt;="&amp;DATE(YEAR_Y-3,1,1),'Fund History'!$G$862:$G$866,"&lt;="&amp;DATE(YEAR_Y-3,12,31))/100)))</f>
        <v/>
      </c>
      <c r="AP153" s="146">
        <f>IF($C153="","",IF(PULL_FUND="N","",IF(COUNTIFS('Fund History'!$G$862:$G$866,"&gt;="&amp;DATE(YEAR_Y-2,1,1),'Fund History'!$G$862:$G$866,"&lt;="&amp;DATE(YEAR_Y-2,12,31))=0,"",SUMIFS('Fund History'!$H$862:$H$866,'Fund History'!$G$862:$G$866,"&gt;="&amp;DATE(YEAR_Y-2,1,1),'Fund History'!$G$862:$G$866,"&lt;="&amp;DATE(YEAR_Y-2,12,31))/100)))</f>
        <v/>
      </c>
      <c r="AQ153" s="146">
        <f>IF($C153="","",IF(PULL_FUND="N","",IF(COUNTIFS('Fund History'!$G$862:$G$866,"&gt;="&amp;DATE(YEAR_Y-1,1,1),'Fund History'!$G$862:$G$866,"&lt;="&amp;DATE(YEAR_Y-1,12,31))=0,"",SUMIFS('Fund History'!$H$862:$H$866,'Fund History'!$G$862:$G$866,"&gt;="&amp;DATE(YEAR_Y-1,1,1),'Fund History'!$G$862:$G$866,"&lt;="&amp;DATE(YEAR_Y-1,12,31))/100)))</f>
        <v/>
      </c>
      <c r="AR153" s="147">
        <f>IF($C153="","",IF(N($AQ153)+N(HSCEI!$I$8)=0,"",N($AQ153)+N(HSCEI!$I$8)/100))</f>
        <v/>
      </c>
      <c r="AS153" s="139">
        <f>IF($C153="","",IF(PULL_FUND="N","",IF(COUNTIFS('Fund History'!$D$862:$D$866,"&gt;="&amp;DATE(YEAR_Y-2,1,1),'Fund History'!$D$862:$D$866,"&lt;="&amp;DATE(YEAR_Y-2,12,31))=0,"",SUMIFS('Fund History'!$E$862:$E$866,'Fund History'!$D$862:$D$866,"&gt;="&amp;DATE(YEAR_Y-2,1,1),'Fund History'!$D$862:$D$866,"&lt;="&amp;DATE(YEAR_Y-2,12,31)))))</f>
        <v/>
      </c>
      <c r="AT153" s="140">
        <f>IF($C153="","",IF(PULL_FUND="N","",IF(COUNTIFS('Fund History'!$D$862:$D$866,"&gt;="&amp;DATE(YEAR_Y-1,1,1),'Fund History'!$D$862:$D$866,"&lt;="&amp;DATE(YEAR_Y-1,12,31))=0,"",SUMIFS('Fund History'!$E$862:$E$866,'Fund History'!$D$862:$D$866,"&gt;="&amp;DATE(YEAR_Y-1,1,1),'Fund History'!$D$862:$D$866,"&lt;="&amp;DATE(YEAR_Y-1,12,31)))))</f>
        <v/>
      </c>
      <c r="AU153" s="140">
        <f>IF($C153="","",IF(PULL_FUND="N","",IFERROR(BDP($C153,NDEBITDA_FIELD),"")))</f>
        <v/>
      </c>
      <c r="AV153" s="148">
        <f>IF($C153="","",IF(PULL_FUND="N","",IFERROR(BDP($C153,EBINT_FIELD),"")))</f>
        <v/>
      </c>
      <c r="AW153" s="146">
        <f>IF($C153="","",IF(PULL_FUND="N","",IFERROR(BDP($C153,FCF_FIELD)/100,"")))</f>
        <v/>
      </c>
      <c r="AX153" s="126">
        <f>IF($C153="","",IF(N($U153)=0,"",IFERROR($AW153/$U153,"")))</f>
        <v/>
      </c>
      <c r="AY153" s="85">
        <f>IF($C153="","",TRIM(IF(ISNUMBER($AJ153)*(N($AJ153)&gt;$D$4)&gt;0,"payout high  ","")&amp;IF(ISNUMBER($AX153)*(N($AX153)&lt;$F$4)&gt;0,"FCF below dvd  ","")&amp;IF(ISNUMBER($AU153)*(N($AU153)&gt;$H$4)&gt;0,"leverage high","")))</f>
        <v/>
      </c>
      <c r="AZ153" s="86">
        <f>IF($C153="","",IF(HSCEI!$F$8="HKD","",HSCEI!$F$8))</f>
        <v/>
      </c>
    </row>
    <row r="154">
      <c r="B154" s="66" t="inlineStr">
        <is>
          <t>HSCEI</t>
        </is>
      </c>
      <c r="C154" s="8">
        <f>IF(HSCEI!$C$9="","",HSCEI!$C$9)</f>
        <v/>
      </c>
      <c r="D154" s="8">
        <f>IF($C154="","",HSCEI!$D$9)</f>
        <v/>
      </c>
      <c r="E154" s="8">
        <f>IF($C154="","",HSCEI!$E$9)</f>
        <v/>
      </c>
      <c r="F154" s="131">
        <f>IF($C154="","",SUMPRODUCT(('Dvd Calendar'!$E$1583:$AR$1583&gt;=DATE(YEAR_Y-5,1,1))*('Dvd Calendar'!$E$1583:$AR$1583&lt;=DATE(YEAR_Y-5,12,31))*'Dvd Calendar'!$E$1586:$AR$1586*(('Dvd Calendar'!$E$1588:$AR$1588=TYPE1)*(TYPE1&lt;&gt;"")+('Dvd Calendar'!$E$1588:$AR$1588=TYPE2)*(TYPE2&lt;&gt;"")+('Dvd Calendar'!$E$1588:$AR$1588=TYPE3)*(TYPE3&lt;&gt;"")+('Dvd Calendar'!$E$1588:$AR$1588=TYPE4)*(TYPE4&lt;&gt;"")+('Dvd Calendar'!$E$1588:$AR$1588=SPECIAL_LBL)*(INC_SPECIALS="Y"))))</f>
        <v/>
      </c>
      <c r="G154" s="132">
        <f>IF($C154="","",SUMPRODUCT(('Dvd Calendar'!$E$1583:$AR$1583&gt;=DATE(YEAR_Y-4,1,1))*('Dvd Calendar'!$E$1583:$AR$1583&lt;=DATE(YEAR_Y-4,12,31))*'Dvd Calendar'!$E$1586:$AR$1586*(('Dvd Calendar'!$E$1588:$AR$1588=TYPE1)*(TYPE1&lt;&gt;"")+('Dvd Calendar'!$E$1588:$AR$1588=TYPE2)*(TYPE2&lt;&gt;"")+('Dvd Calendar'!$E$1588:$AR$1588=TYPE3)*(TYPE3&lt;&gt;"")+('Dvd Calendar'!$E$1588:$AR$1588=TYPE4)*(TYPE4&lt;&gt;"")+('Dvd Calendar'!$E$1588:$AR$1588=SPECIAL_LBL)*(INC_SPECIALS="Y"))))</f>
        <v/>
      </c>
      <c r="H154" s="132">
        <f>IF($C154="","",SUMPRODUCT(('Dvd Calendar'!$E$1583:$AR$1583&gt;=DATE(YEAR_Y-3,1,1))*('Dvd Calendar'!$E$1583:$AR$1583&lt;=DATE(YEAR_Y-3,12,31))*'Dvd Calendar'!$E$1586:$AR$1586*(('Dvd Calendar'!$E$1588:$AR$1588=TYPE1)*(TYPE1&lt;&gt;"")+('Dvd Calendar'!$E$1588:$AR$1588=TYPE2)*(TYPE2&lt;&gt;"")+('Dvd Calendar'!$E$1588:$AR$1588=TYPE3)*(TYPE3&lt;&gt;"")+('Dvd Calendar'!$E$1588:$AR$1588=TYPE4)*(TYPE4&lt;&gt;"")+('Dvd Calendar'!$E$1588:$AR$1588=SPECIAL_LBL)*(INC_SPECIALS="Y"))))</f>
        <v/>
      </c>
      <c r="I154" s="132">
        <f>IF($C154="","",SUMPRODUCT(('Dvd Calendar'!$E$1583:$AR$1583&gt;=DATE(YEAR_Y-2,1,1))*('Dvd Calendar'!$E$1583:$AR$1583&lt;=DATE(YEAR_Y-2,12,31))*'Dvd Calendar'!$E$1586:$AR$1586*(('Dvd Calendar'!$E$1588:$AR$1588=TYPE1)*(TYPE1&lt;&gt;"")+('Dvd Calendar'!$E$1588:$AR$1588=TYPE2)*(TYPE2&lt;&gt;"")+('Dvd Calendar'!$E$1588:$AR$1588=TYPE3)*(TYPE3&lt;&gt;"")+('Dvd Calendar'!$E$1588:$AR$1588=TYPE4)*(TYPE4&lt;&gt;"")+('Dvd Calendar'!$E$1588:$AR$1588=SPECIAL_LBL)*(INC_SPECIALS="Y"))))</f>
        <v/>
      </c>
      <c r="J154" s="132">
        <f>IF($C154="","",SUMPRODUCT(('Dvd Calendar'!$E$1583:$AR$1583&gt;=DATE(YEAR_Y-1,1,1))*('Dvd Calendar'!$E$1583:$AR$1583&lt;=DATE(YEAR_Y-1,12,31))*'Dvd Calendar'!$E$1586:$AR$1586*(('Dvd Calendar'!$E$1588:$AR$1588=TYPE1)*(TYPE1&lt;&gt;"")+('Dvd Calendar'!$E$1588:$AR$1588=TYPE2)*(TYPE2&lt;&gt;"")+('Dvd Calendar'!$E$1588:$AR$1588=TYPE3)*(TYPE3&lt;&gt;"")+('Dvd Calendar'!$E$1588:$AR$1588=TYPE4)*(TYPE4&lt;&gt;"")+('Dvd Calendar'!$E$1588:$AR$1588=SPECIAL_LBL)*(INC_SPECIALS="Y"))))</f>
        <v/>
      </c>
      <c r="K154" s="133">
        <f>IF($C154="","",HSCEI!$J$9)</f>
        <v/>
      </c>
      <c r="L154" s="133">
        <f>IF($C154="","",HSCEI!$K$9)</f>
        <v/>
      </c>
      <c r="M154" s="124">
        <f>IF($C154="","",HSCEI!$J$9+HSCEI!$L$9)</f>
        <v/>
      </c>
      <c r="N154" s="134">
        <f>IF($C154="","",IF(PULL_FUND="N","",IFERROR(BDP($C154,BESTDPS_FIELD,FWD_OVERRIDE,TEXT(MOD(YEAR_Y,100),"00")&amp;"Y"),"")))</f>
        <v/>
      </c>
      <c r="O154" s="133">
        <f>IF($C154="","",AVERAGE(F154:J154))</f>
        <v/>
      </c>
      <c r="P154" s="135">
        <f>IF($C154="","",IF(PULL_FUND="N","",IF(COUNTIFS('Fund History'!$J$868:$J$872,"&gt;="&amp;DATE(YEAR_Y-5,1,1),'Fund History'!$J$868:$J$872,"&lt;="&amp;DATE(YEAR_Y-5,12,31))=0,"",IFERROR($F154*HSCEI!$G$9/SUMIFS('Fund History'!$K$868:$K$872,'Fund History'!$J$868:$J$872,"&gt;="&amp;DATE(YEAR_Y-5,1,1),'Fund History'!$J$868:$J$872,"&lt;="&amp;DATE(YEAR_Y-5,12,31)),""))))</f>
        <v/>
      </c>
      <c r="Q154" s="136">
        <f>IF($C154="","",IF(PULL_FUND="N","",IF(COUNTIFS('Fund History'!$J$868:$J$872,"&gt;="&amp;DATE(YEAR_Y-4,1,1),'Fund History'!$J$868:$J$872,"&lt;="&amp;DATE(YEAR_Y-4,12,31))=0,"",IFERROR($G154*HSCEI!$G$9/SUMIFS('Fund History'!$K$868:$K$872,'Fund History'!$J$868:$J$872,"&gt;="&amp;DATE(YEAR_Y-4,1,1),'Fund History'!$J$868:$J$872,"&lt;="&amp;DATE(YEAR_Y-4,12,31)),""))))</f>
        <v/>
      </c>
      <c r="R154" s="136">
        <f>IF($C154="","",IF(PULL_FUND="N","",IF(COUNTIFS('Fund History'!$J$868:$J$872,"&gt;="&amp;DATE(YEAR_Y-3,1,1),'Fund History'!$J$868:$J$872,"&lt;="&amp;DATE(YEAR_Y-3,12,31))=0,"",IFERROR($H154*HSCEI!$G$9/SUMIFS('Fund History'!$K$868:$K$872,'Fund History'!$J$868:$J$872,"&gt;="&amp;DATE(YEAR_Y-3,1,1),'Fund History'!$J$868:$J$872,"&lt;="&amp;DATE(YEAR_Y-3,12,31)),""))))</f>
        <v/>
      </c>
      <c r="S154" s="136">
        <f>IF($C154="","",IF(PULL_FUND="N","",IF(COUNTIFS('Fund History'!$J$868:$J$872,"&gt;="&amp;DATE(YEAR_Y-2,1,1),'Fund History'!$J$868:$J$872,"&lt;="&amp;DATE(YEAR_Y-2,12,31))=0,"",IFERROR($I154*HSCEI!$G$9/SUMIFS('Fund History'!$K$868:$K$872,'Fund History'!$J$868:$J$872,"&gt;="&amp;DATE(YEAR_Y-2,1,1),'Fund History'!$J$868:$J$872,"&lt;="&amp;DATE(YEAR_Y-2,12,31)),""))))</f>
        <v/>
      </c>
      <c r="T154" s="136">
        <f>IF($C154="","",IF(PULL_FUND="N","",IF(COUNTIFS('Fund History'!$J$868:$J$872,"&gt;="&amp;DATE(YEAR_Y-1,1,1),'Fund History'!$J$868:$J$872,"&lt;="&amp;DATE(YEAR_Y-1,12,31))=0,"",IFERROR($J154*HSCEI!$G$9/SUMIFS('Fund History'!$K$868:$K$872,'Fund History'!$J$868:$J$872,"&gt;="&amp;DATE(YEAR_Y-1,1,1),'Fund History'!$J$868:$J$872,"&lt;="&amp;DATE(YEAR_Y-1,12,31)),""))))</f>
        <v/>
      </c>
      <c r="U154" s="137">
        <f>IF($C154="","",IF(ISNUMBER(HSCEI!$I$9),HSCEI!$I$9/100,""))</f>
        <v/>
      </c>
      <c r="V154" s="138">
        <f>IF($C154="","",IF(ISNUMBER(HSCEI!$X$9),IFERROR($M154*HSCEI!$G$9/HSCEI!$X$9,""),""))</f>
        <v/>
      </c>
      <c r="W154" s="137">
        <f>IF($C154="","",IF(ISNUMBER($N154),IFERROR($N154*HSCEI!$G$9/HSCEI!$X$9,""),""))</f>
        <v/>
      </c>
      <c r="X154" s="139">
        <f>IF($C154="","",IF(PULL_FUND="N","",IFERROR(BDP($C154,EPS_FIELD,YR_OVERRIDE,TEXT(YEAR_Y-5,"0")),"")))</f>
        <v/>
      </c>
      <c r="Y154" s="140">
        <f>IF($C154="","",IF(PULL_FUND="N","",IFERROR(BDP($C154,EPS_FIELD,YR_OVERRIDE,TEXT(YEAR_Y-4,"0")),"")))</f>
        <v/>
      </c>
      <c r="Z154" s="140">
        <f>IF($C154="","",IF(PULL_FUND="N","",IFERROR(BDP($C154,EPS_FIELD,YR_OVERRIDE,TEXT(YEAR_Y-3,"0")),"")))</f>
        <v/>
      </c>
      <c r="AA154" s="140">
        <f>IF($C154="","",IF(PULL_FUND="N","",IFERROR(BDP($C154,EPS_FIELD,YR_OVERRIDE,TEXT(YEAR_Y-2,"0")),"")))</f>
        <v/>
      </c>
      <c r="AB154" s="140">
        <f>IF($C154="","",IF(PULL_FUND="N","",IFERROR(BDP($C154,EPS_FIELD,YR_OVERRIDE,TEXT(YEAR_Y-1,"0")),"")))</f>
        <v/>
      </c>
      <c r="AC154" s="126">
        <f>IF($C154="","",IFERROR(AVERAGE(X154:AB154),""))</f>
        <v/>
      </c>
      <c r="AD154" s="140">
        <f>IF($C154="","",IF(PULL_FUND="N","",IFERROR(BDP($C154,BESTEPS_FIELD,FWD_OVERRIDE,TEXT(MOD(YEAR_Y,100),"00")&amp;"Y"),"")))</f>
        <v/>
      </c>
      <c r="AE154" s="141">
        <f>IF($C154="","",IF(PULL_FUND="N","",IFERROR(BDP($C154,PAYOUT_FIELD,YR_OVERRIDE,TEXT(YEAR_Y-5,"0"))/100,"")))</f>
        <v/>
      </c>
      <c r="AF154" s="142">
        <f>IF($C154="","",IF(PULL_FUND="N","",IFERROR(BDP($C154,PAYOUT_FIELD,YR_OVERRIDE,TEXT(YEAR_Y-4,"0"))/100,"")))</f>
        <v/>
      </c>
      <c r="AG154" s="142">
        <f>IF($C154="","",IF(PULL_FUND="N","",IFERROR(BDP($C154,PAYOUT_FIELD,YR_OVERRIDE,TEXT(YEAR_Y-3,"0"))/100,"")))</f>
        <v/>
      </c>
      <c r="AH154" s="142">
        <f>IF($C154="","",IF(PULL_FUND="N","",IFERROR(BDP($C154,PAYOUT_FIELD,YR_OVERRIDE,TEXT(YEAR_Y-2,"0"))/100,"")))</f>
        <v/>
      </c>
      <c r="AI154" s="142">
        <f>IF($C154="","",IF(PULL_FUND="N","",IFERROR(BDP($C154,PAYOUT_FIELD,YR_OVERRIDE,TEXT(YEAR_Y-1,"0"))/100,"")))</f>
        <v/>
      </c>
      <c r="AJ154" s="143">
        <f>IF($C154="","",IFERROR(AVERAGE(AE154:AI154),""))</f>
        <v/>
      </c>
      <c r="AK154" s="144">
        <f>IF($C154="","",IF(ISNUMBER($AD154)*ISNUMBER($N154)*($AD154&lt;&gt;0)=0,"",$N154/$AD154))</f>
        <v/>
      </c>
      <c r="AL154" s="143">
        <f>IF($C154="","",IF(ISNUMBER($AD154)*($AD154&lt;&gt;0)=0,"",$M154/$AD154))</f>
        <v/>
      </c>
      <c r="AM154" s="37">
        <f>IF($C154="","",IF(ISNUMBER($AE154)*ISNUMBER($AI154)=0,"",IF($AI154&gt;$AE154+0.05,"rising",IF($AI154&lt;$AE154-0.05,"falling","stable"))))</f>
        <v/>
      </c>
      <c r="AN154" s="145">
        <f>IF($C154="","",IF(PULL_FUND="N","",IF(COUNTIFS('Fund History'!$G$868:$G$872,"&gt;="&amp;DATE(YEAR_Y-4,1,1),'Fund History'!$G$868:$G$872,"&lt;="&amp;DATE(YEAR_Y-4,12,31))=0,"",SUMIFS('Fund History'!$H$868:$H$872,'Fund History'!$G$868:$G$872,"&gt;="&amp;DATE(YEAR_Y-4,1,1),'Fund History'!$G$868:$G$872,"&lt;="&amp;DATE(YEAR_Y-4,12,31))/100)))</f>
        <v/>
      </c>
      <c r="AO154" s="146">
        <f>IF($C154="","",IF(PULL_FUND="N","",IF(COUNTIFS('Fund History'!$G$868:$G$872,"&gt;="&amp;DATE(YEAR_Y-3,1,1),'Fund History'!$G$868:$G$872,"&lt;="&amp;DATE(YEAR_Y-3,12,31))=0,"",SUMIFS('Fund History'!$H$868:$H$872,'Fund History'!$G$868:$G$872,"&gt;="&amp;DATE(YEAR_Y-3,1,1),'Fund History'!$G$868:$G$872,"&lt;="&amp;DATE(YEAR_Y-3,12,31))/100)))</f>
        <v/>
      </c>
      <c r="AP154" s="146">
        <f>IF($C154="","",IF(PULL_FUND="N","",IF(COUNTIFS('Fund History'!$G$868:$G$872,"&gt;="&amp;DATE(YEAR_Y-2,1,1),'Fund History'!$G$868:$G$872,"&lt;="&amp;DATE(YEAR_Y-2,12,31))=0,"",SUMIFS('Fund History'!$H$868:$H$872,'Fund History'!$G$868:$G$872,"&gt;="&amp;DATE(YEAR_Y-2,1,1),'Fund History'!$G$868:$G$872,"&lt;="&amp;DATE(YEAR_Y-2,12,31))/100)))</f>
        <v/>
      </c>
      <c r="AQ154" s="146">
        <f>IF($C154="","",IF(PULL_FUND="N","",IF(COUNTIFS('Fund History'!$G$868:$G$872,"&gt;="&amp;DATE(YEAR_Y-1,1,1),'Fund History'!$G$868:$G$872,"&lt;="&amp;DATE(YEAR_Y-1,12,31))=0,"",SUMIFS('Fund History'!$H$868:$H$872,'Fund History'!$G$868:$G$872,"&gt;="&amp;DATE(YEAR_Y-1,1,1),'Fund History'!$G$868:$G$872,"&lt;="&amp;DATE(YEAR_Y-1,12,31))/100)))</f>
        <v/>
      </c>
      <c r="AR154" s="147">
        <f>IF($C154="","",IF(N($AQ154)+N(HSCEI!$I$9)=0,"",N($AQ154)+N(HSCEI!$I$9)/100))</f>
        <v/>
      </c>
      <c r="AS154" s="139">
        <f>IF($C154="","",IF(PULL_FUND="N","",IF(COUNTIFS('Fund History'!$D$868:$D$872,"&gt;="&amp;DATE(YEAR_Y-2,1,1),'Fund History'!$D$868:$D$872,"&lt;="&amp;DATE(YEAR_Y-2,12,31))=0,"",SUMIFS('Fund History'!$E$868:$E$872,'Fund History'!$D$868:$D$872,"&gt;="&amp;DATE(YEAR_Y-2,1,1),'Fund History'!$D$868:$D$872,"&lt;="&amp;DATE(YEAR_Y-2,12,31)))))</f>
        <v/>
      </c>
      <c r="AT154" s="140">
        <f>IF($C154="","",IF(PULL_FUND="N","",IF(COUNTIFS('Fund History'!$D$868:$D$872,"&gt;="&amp;DATE(YEAR_Y-1,1,1),'Fund History'!$D$868:$D$872,"&lt;="&amp;DATE(YEAR_Y-1,12,31))=0,"",SUMIFS('Fund History'!$E$868:$E$872,'Fund History'!$D$868:$D$872,"&gt;="&amp;DATE(YEAR_Y-1,1,1),'Fund History'!$D$868:$D$872,"&lt;="&amp;DATE(YEAR_Y-1,12,31)))))</f>
        <v/>
      </c>
      <c r="AU154" s="140">
        <f>IF($C154="","",IF(PULL_FUND="N","",IFERROR(BDP($C154,NDEBITDA_FIELD),"")))</f>
        <v/>
      </c>
      <c r="AV154" s="148">
        <f>IF($C154="","",IF(PULL_FUND="N","",IFERROR(BDP($C154,EBINT_FIELD),"")))</f>
        <v/>
      </c>
      <c r="AW154" s="146">
        <f>IF($C154="","",IF(PULL_FUND="N","",IFERROR(BDP($C154,FCF_FIELD)/100,"")))</f>
        <v/>
      </c>
      <c r="AX154" s="126">
        <f>IF($C154="","",IF(N($U154)=0,"",IFERROR($AW154/$U154,"")))</f>
        <v/>
      </c>
      <c r="AY154" s="85">
        <f>IF($C154="","",TRIM(IF(ISNUMBER($AJ154)*(N($AJ154)&gt;$D$4)&gt;0,"payout high  ","")&amp;IF(ISNUMBER($AX154)*(N($AX154)&lt;$F$4)&gt;0,"FCF below dvd  ","")&amp;IF(ISNUMBER($AU154)*(N($AU154)&gt;$H$4)&gt;0,"leverage high","")))</f>
        <v/>
      </c>
      <c r="AZ154" s="86">
        <f>IF($C154="","",IF(HSCEI!$F$9="HKD","",HSCEI!$F$9))</f>
        <v/>
      </c>
    </row>
    <row r="155">
      <c r="B155" s="66" t="inlineStr">
        <is>
          <t>HSCEI</t>
        </is>
      </c>
      <c r="C155" s="8">
        <f>IF(HSCEI!$C$10="","",HSCEI!$C$10)</f>
        <v/>
      </c>
      <c r="D155" s="8">
        <f>IF($C155="","",HSCEI!$D$10)</f>
        <v/>
      </c>
      <c r="E155" s="8">
        <f>IF($C155="","",HSCEI!$E$10)</f>
        <v/>
      </c>
      <c r="F155" s="131">
        <f>IF($C155="","",SUMPRODUCT(('Dvd Calendar'!$E$1594:$AR$1594&gt;=DATE(YEAR_Y-5,1,1))*('Dvd Calendar'!$E$1594:$AR$1594&lt;=DATE(YEAR_Y-5,12,31))*'Dvd Calendar'!$E$1597:$AR$1597*(('Dvd Calendar'!$E$1599:$AR$1599=TYPE1)*(TYPE1&lt;&gt;"")+('Dvd Calendar'!$E$1599:$AR$1599=TYPE2)*(TYPE2&lt;&gt;"")+('Dvd Calendar'!$E$1599:$AR$1599=TYPE3)*(TYPE3&lt;&gt;"")+('Dvd Calendar'!$E$1599:$AR$1599=TYPE4)*(TYPE4&lt;&gt;"")+('Dvd Calendar'!$E$1599:$AR$1599=SPECIAL_LBL)*(INC_SPECIALS="Y"))))</f>
        <v/>
      </c>
      <c r="G155" s="132">
        <f>IF($C155="","",SUMPRODUCT(('Dvd Calendar'!$E$1594:$AR$1594&gt;=DATE(YEAR_Y-4,1,1))*('Dvd Calendar'!$E$1594:$AR$1594&lt;=DATE(YEAR_Y-4,12,31))*'Dvd Calendar'!$E$1597:$AR$1597*(('Dvd Calendar'!$E$1599:$AR$1599=TYPE1)*(TYPE1&lt;&gt;"")+('Dvd Calendar'!$E$1599:$AR$1599=TYPE2)*(TYPE2&lt;&gt;"")+('Dvd Calendar'!$E$1599:$AR$1599=TYPE3)*(TYPE3&lt;&gt;"")+('Dvd Calendar'!$E$1599:$AR$1599=TYPE4)*(TYPE4&lt;&gt;"")+('Dvd Calendar'!$E$1599:$AR$1599=SPECIAL_LBL)*(INC_SPECIALS="Y"))))</f>
        <v/>
      </c>
      <c r="H155" s="132">
        <f>IF($C155="","",SUMPRODUCT(('Dvd Calendar'!$E$1594:$AR$1594&gt;=DATE(YEAR_Y-3,1,1))*('Dvd Calendar'!$E$1594:$AR$1594&lt;=DATE(YEAR_Y-3,12,31))*'Dvd Calendar'!$E$1597:$AR$1597*(('Dvd Calendar'!$E$1599:$AR$1599=TYPE1)*(TYPE1&lt;&gt;"")+('Dvd Calendar'!$E$1599:$AR$1599=TYPE2)*(TYPE2&lt;&gt;"")+('Dvd Calendar'!$E$1599:$AR$1599=TYPE3)*(TYPE3&lt;&gt;"")+('Dvd Calendar'!$E$1599:$AR$1599=TYPE4)*(TYPE4&lt;&gt;"")+('Dvd Calendar'!$E$1599:$AR$1599=SPECIAL_LBL)*(INC_SPECIALS="Y"))))</f>
        <v/>
      </c>
      <c r="I155" s="132">
        <f>IF($C155="","",SUMPRODUCT(('Dvd Calendar'!$E$1594:$AR$1594&gt;=DATE(YEAR_Y-2,1,1))*('Dvd Calendar'!$E$1594:$AR$1594&lt;=DATE(YEAR_Y-2,12,31))*'Dvd Calendar'!$E$1597:$AR$1597*(('Dvd Calendar'!$E$1599:$AR$1599=TYPE1)*(TYPE1&lt;&gt;"")+('Dvd Calendar'!$E$1599:$AR$1599=TYPE2)*(TYPE2&lt;&gt;"")+('Dvd Calendar'!$E$1599:$AR$1599=TYPE3)*(TYPE3&lt;&gt;"")+('Dvd Calendar'!$E$1599:$AR$1599=TYPE4)*(TYPE4&lt;&gt;"")+('Dvd Calendar'!$E$1599:$AR$1599=SPECIAL_LBL)*(INC_SPECIALS="Y"))))</f>
        <v/>
      </c>
      <c r="J155" s="132">
        <f>IF($C155="","",SUMPRODUCT(('Dvd Calendar'!$E$1594:$AR$1594&gt;=DATE(YEAR_Y-1,1,1))*('Dvd Calendar'!$E$1594:$AR$1594&lt;=DATE(YEAR_Y-1,12,31))*'Dvd Calendar'!$E$1597:$AR$1597*(('Dvd Calendar'!$E$1599:$AR$1599=TYPE1)*(TYPE1&lt;&gt;"")+('Dvd Calendar'!$E$1599:$AR$1599=TYPE2)*(TYPE2&lt;&gt;"")+('Dvd Calendar'!$E$1599:$AR$1599=TYPE3)*(TYPE3&lt;&gt;"")+('Dvd Calendar'!$E$1599:$AR$1599=TYPE4)*(TYPE4&lt;&gt;"")+('Dvd Calendar'!$E$1599:$AR$1599=SPECIAL_LBL)*(INC_SPECIALS="Y"))))</f>
        <v/>
      </c>
      <c r="K155" s="133">
        <f>IF($C155="","",HSCEI!$J$10)</f>
        <v/>
      </c>
      <c r="L155" s="133">
        <f>IF($C155="","",HSCEI!$K$10)</f>
        <v/>
      </c>
      <c r="M155" s="124">
        <f>IF($C155="","",HSCEI!$J$10+HSCEI!$L$10)</f>
        <v/>
      </c>
      <c r="N155" s="134">
        <f>IF($C155="","",IF(PULL_FUND="N","",IFERROR(BDP($C155,BESTDPS_FIELD,FWD_OVERRIDE,TEXT(MOD(YEAR_Y,100),"00")&amp;"Y"),"")))</f>
        <v/>
      </c>
      <c r="O155" s="133">
        <f>IF($C155="","",AVERAGE(F155:J155))</f>
        <v/>
      </c>
      <c r="P155" s="135">
        <f>IF($C155="","",IF(PULL_FUND="N","",IF(COUNTIFS('Fund History'!$J$874:$J$878,"&gt;="&amp;DATE(YEAR_Y-5,1,1),'Fund History'!$J$874:$J$878,"&lt;="&amp;DATE(YEAR_Y-5,12,31))=0,"",IFERROR($F155*HSCEI!$G$10/SUMIFS('Fund History'!$K$874:$K$878,'Fund History'!$J$874:$J$878,"&gt;="&amp;DATE(YEAR_Y-5,1,1),'Fund History'!$J$874:$J$878,"&lt;="&amp;DATE(YEAR_Y-5,12,31)),""))))</f>
        <v/>
      </c>
      <c r="Q155" s="136">
        <f>IF($C155="","",IF(PULL_FUND="N","",IF(COUNTIFS('Fund History'!$J$874:$J$878,"&gt;="&amp;DATE(YEAR_Y-4,1,1),'Fund History'!$J$874:$J$878,"&lt;="&amp;DATE(YEAR_Y-4,12,31))=0,"",IFERROR($G155*HSCEI!$G$10/SUMIFS('Fund History'!$K$874:$K$878,'Fund History'!$J$874:$J$878,"&gt;="&amp;DATE(YEAR_Y-4,1,1),'Fund History'!$J$874:$J$878,"&lt;="&amp;DATE(YEAR_Y-4,12,31)),""))))</f>
        <v/>
      </c>
      <c r="R155" s="136">
        <f>IF($C155="","",IF(PULL_FUND="N","",IF(COUNTIFS('Fund History'!$J$874:$J$878,"&gt;="&amp;DATE(YEAR_Y-3,1,1),'Fund History'!$J$874:$J$878,"&lt;="&amp;DATE(YEAR_Y-3,12,31))=0,"",IFERROR($H155*HSCEI!$G$10/SUMIFS('Fund History'!$K$874:$K$878,'Fund History'!$J$874:$J$878,"&gt;="&amp;DATE(YEAR_Y-3,1,1),'Fund History'!$J$874:$J$878,"&lt;="&amp;DATE(YEAR_Y-3,12,31)),""))))</f>
        <v/>
      </c>
      <c r="S155" s="136">
        <f>IF($C155="","",IF(PULL_FUND="N","",IF(COUNTIFS('Fund History'!$J$874:$J$878,"&gt;="&amp;DATE(YEAR_Y-2,1,1),'Fund History'!$J$874:$J$878,"&lt;="&amp;DATE(YEAR_Y-2,12,31))=0,"",IFERROR($I155*HSCEI!$G$10/SUMIFS('Fund History'!$K$874:$K$878,'Fund History'!$J$874:$J$878,"&gt;="&amp;DATE(YEAR_Y-2,1,1),'Fund History'!$J$874:$J$878,"&lt;="&amp;DATE(YEAR_Y-2,12,31)),""))))</f>
        <v/>
      </c>
      <c r="T155" s="136">
        <f>IF($C155="","",IF(PULL_FUND="N","",IF(COUNTIFS('Fund History'!$J$874:$J$878,"&gt;="&amp;DATE(YEAR_Y-1,1,1),'Fund History'!$J$874:$J$878,"&lt;="&amp;DATE(YEAR_Y-1,12,31))=0,"",IFERROR($J155*HSCEI!$G$10/SUMIFS('Fund History'!$K$874:$K$878,'Fund History'!$J$874:$J$878,"&gt;="&amp;DATE(YEAR_Y-1,1,1),'Fund History'!$J$874:$J$878,"&lt;="&amp;DATE(YEAR_Y-1,12,31)),""))))</f>
        <v/>
      </c>
      <c r="U155" s="137">
        <f>IF($C155="","",IF(ISNUMBER(HSCEI!$I$10),HSCEI!$I$10/100,""))</f>
        <v/>
      </c>
      <c r="V155" s="138">
        <f>IF($C155="","",IF(ISNUMBER(HSCEI!$X$10),IFERROR($M155*HSCEI!$G$10/HSCEI!$X$10,""),""))</f>
        <v/>
      </c>
      <c r="W155" s="137">
        <f>IF($C155="","",IF(ISNUMBER($N155),IFERROR($N155*HSCEI!$G$10/HSCEI!$X$10,""),""))</f>
        <v/>
      </c>
      <c r="X155" s="139">
        <f>IF($C155="","",IF(PULL_FUND="N","",IFERROR(BDP($C155,EPS_FIELD,YR_OVERRIDE,TEXT(YEAR_Y-5,"0")),"")))</f>
        <v/>
      </c>
      <c r="Y155" s="140">
        <f>IF($C155="","",IF(PULL_FUND="N","",IFERROR(BDP($C155,EPS_FIELD,YR_OVERRIDE,TEXT(YEAR_Y-4,"0")),"")))</f>
        <v/>
      </c>
      <c r="Z155" s="140">
        <f>IF($C155="","",IF(PULL_FUND="N","",IFERROR(BDP($C155,EPS_FIELD,YR_OVERRIDE,TEXT(YEAR_Y-3,"0")),"")))</f>
        <v/>
      </c>
      <c r="AA155" s="140">
        <f>IF($C155="","",IF(PULL_FUND="N","",IFERROR(BDP($C155,EPS_FIELD,YR_OVERRIDE,TEXT(YEAR_Y-2,"0")),"")))</f>
        <v/>
      </c>
      <c r="AB155" s="140">
        <f>IF($C155="","",IF(PULL_FUND="N","",IFERROR(BDP($C155,EPS_FIELD,YR_OVERRIDE,TEXT(YEAR_Y-1,"0")),"")))</f>
        <v/>
      </c>
      <c r="AC155" s="126">
        <f>IF($C155="","",IFERROR(AVERAGE(X155:AB155),""))</f>
        <v/>
      </c>
      <c r="AD155" s="140">
        <f>IF($C155="","",IF(PULL_FUND="N","",IFERROR(BDP($C155,BESTEPS_FIELD,FWD_OVERRIDE,TEXT(MOD(YEAR_Y,100),"00")&amp;"Y"),"")))</f>
        <v/>
      </c>
      <c r="AE155" s="141">
        <f>IF($C155="","",IF(PULL_FUND="N","",IFERROR(BDP($C155,PAYOUT_FIELD,YR_OVERRIDE,TEXT(YEAR_Y-5,"0"))/100,"")))</f>
        <v/>
      </c>
      <c r="AF155" s="142">
        <f>IF($C155="","",IF(PULL_FUND="N","",IFERROR(BDP($C155,PAYOUT_FIELD,YR_OVERRIDE,TEXT(YEAR_Y-4,"0"))/100,"")))</f>
        <v/>
      </c>
      <c r="AG155" s="142">
        <f>IF($C155="","",IF(PULL_FUND="N","",IFERROR(BDP($C155,PAYOUT_FIELD,YR_OVERRIDE,TEXT(YEAR_Y-3,"0"))/100,"")))</f>
        <v/>
      </c>
      <c r="AH155" s="142">
        <f>IF($C155="","",IF(PULL_FUND="N","",IFERROR(BDP($C155,PAYOUT_FIELD,YR_OVERRIDE,TEXT(YEAR_Y-2,"0"))/100,"")))</f>
        <v/>
      </c>
      <c r="AI155" s="142">
        <f>IF($C155="","",IF(PULL_FUND="N","",IFERROR(BDP($C155,PAYOUT_FIELD,YR_OVERRIDE,TEXT(YEAR_Y-1,"0"))/100,"")))</f>
        <v/>
      </c>
      <c r="AJ155" s="143">
        <f>IF($C155="","",IFERROR(AVERAGE(AE155:AI155),""))</f>
        <v/>
      </c>
      <c r="AK155" s="144">
        <f>IF($C155="","",IF(ISNUMBER($AD155)*ISNUMBER($N155)*($AD155&lt;&gt;0)=0,"",$N155/$AD155))</f>
        <v/>
      </c>
      <c r="AL155" s="143">
        <f>IF($C155="","",IF(ISNUMBER($AD155)*($AD155&lt;&gt;0)=0,"",$M155/$AD155))</f>
        <v/>
      </c>
      <c r="AM155" s="37">
        <f>IF($C155="","",IF(ISNUMBER($AE155)*ISNUMBER($AI155)=0,"",IF($AI155&gt;$AE155+0.05,"rising",IF($AI155&lt;$AE155-0.05,"falling","stable"))))</f>
        <v/>
      </c>
      <c r="AN155" s="145">
        <f>IF($C155="","",IF(PULL_FUND="N","",IF(COUNTIFS('Fund History'!$G$874:$G$878,"&gt;="&amp;DATE(YEAR_Y-4,1,1),'Fund History'!$G$874:$G$878,"&lt;="&amp;DATE(YEAR_Y-4,12,31))=0,"",SUMIFS('Fund History'!$H$874:$H$878,'Fund History'!$G$874:$G$878,"&gt;="&amp;DATE(YEAR_Y-4,1,1),'Fund History'!$G$874:$G$878,"&lt;="&amp;DATE(YEAR_Y-4,12,31))/100)))</f>
        <v/>
      </c>
      <c r="AO155" s="146">
        <f>IF($C155="","",IF(PULL_FUND="N","",IF(COUNTIFS('Fund History'!$G$874:$G$878,"&gt;="&amp;DATE(YEAR_Y-3,1,1),'Fund History'!$G$874:$G$878,"&lt;="&amp;DATE(YEAR_Y-3,12,31))=0,"",SUMIFS('Fund History'!$H$874:$H$878,'Fund History'!$G$874:$G$878,"&gt;="&amp;DATE(YEAR_Y-3,1,1),'Fund History'!$G$874:$G$878,"&lt;="&amp;DATE(YEAR_Y-3,12,31))/100)))</f>
        <v/>
      </c>
      <c r="AP155" s="146">
        <f>IF($C155="","",IF(PULL_FUND="N","",IF(COUNTIFS('Fund History'!$G$874:$G$878,"&gt;="&amp;DATE(YEAR_Y-2,1,1),'Fund History'!$G$874:$G$878,"&lt;="&amp;DATE(YEAR_Y-2,12,31))=0,"",SUMIFS('Fund History'!$H$874:$H$878,'Fund History'!$G$874:$G$878,"&gt;="&amp;DATE(YEAR_Y-2,1,1),'Fund History'!$G$874:$G$878,"&lt;="&amp;DATE(YEAR_Y-2,12,31))/100)))</f>
        <v/>
      </c>
      <c r="AQ155" s="146">
        <f>IF($C155="","",IF(PULL_FUND="N","",IF(COUNTIFS('Fund History'!$G$874:$G$878,"&gt;="&amp;DATE(YEAR_Y-1,1,1),'Fund History'!$G$874:$G$878,"&lt;="&amp;DATE(YEAR_Y-1,12,31))=0,"",SUMIFS('Fund History'!$H$874:$H$878,'Fund History'!$G$874:$G$878,"&gt;="&amp;DATE(YEAR_Y-1,1,1),'Fund History'!$G$874:$G$878,"&lt;="&amp;DATE(YEAR_Y-1,12,31))/100)))</f>
        <v/>
      </c>
      <c r="AR155" s="147">
        <f>IF($C155="","",IF(N($AQ155)+N(HSCEI!$I$10)=0,"",N($AQ155)+N(HSCEI!$I$10)/100))</f>
        <v/>
      </c>
      <c r="AS155" s="139">
        <f>IF($C155="","",IF(PULL_FUND="N","",IF(COUNTIFS('Fund History'!$D$874:$D$878,"&gt;="&amp;DATE(YEAR_Y-2,1,1),'Fund History'!$D$874:$D$878,"&lt;="&amp;DATE(YEAR_Y-2,12,31))=0,"",SUMIFS('Fund History'!$E$874:$E$878,'Fund History'!$D$874:$D$878,"&gt;="&amp;DATE(YEAR_Y-2,1,1),'Fund History'!$D$874:$D$878,"&lt;="&amp;DATE(YEAR_Y-2,12,31)))))</f>
        <v/>
      </c>
      <c r="AT155" s="140">
        <f>IF($C155="","",IF(PULL_FUND="N","",IF(COUNTIFS('Fund History'!$D$874:$D$878,"&gt;="&amp;DATE(YEAR_Y-1,1,1),'Fund History'!$D$874:$D$878,"&lt;="&amp;DATE(YEAR_Y-1,12,31))=0,"",SUMIFS('Fund History'!$E$874:$E$878,'Fund History'!$D$874:$D$878,"&gt;="&amp;DATE(YEAR_Y-1,1,1),'Fund History'!$D$874:$D$878,"&lt;="&amp;DATE(YEAR_Y-1,12,31)))))</f>
        <v/>
      </c>
      <c r="AU155" s="140">
        <f>IF($C155="","",IF(PULL_FUND="N","",IFERROR(BDP($C155,NDEBITDA_FIELD),"")))</f>
        <v/>
      </c>
      <c r="AV155" s="148">
        <f>IF($C155="","",IF(PULL_FUND="N","",IFERROR(BDP($C155,EBINT_FIELD),"")))</f>
        <v/>
      </c>
      <c r="AW155" s="146">
        <f>IF($C155="","",IF(PULL_FUND="N","",IFERROR(BDP($C155,FCF_FIELD)/100,"")))</f>
        <v/>
      </c>
      <c r="AX155" s="126">
        <f>IF($C155="","",IF(N($U155)=0,"",IFERROR($AW155/$U155,"")))</f>
        <v/>
      </c>
      <c r="AY155" s="85">
        <f>IF($C155="","",TRIM(IF(ISNUMBER($AJ155)*(N($AJ155)&gt;$D$4)&gt;0,"payout high  ","")&amp;IF(ISNUMBER($AX155)*(N($AX155)&lt;$F$4)&gt;0,"FCF below dvd  ","")&amp;IF(ISNUMBER($AU155)*(N($AU155)&gt;$H$4)&gt;0,"leverage high","")))</f>
        <v/>
      </c>
      <c r="AZ155" s="86">
        <f>IF($C155="","",IF(HSCEI!$F$10="HKD","",HSCEI!$F$10))</f>
        <v/>
      </c>
    </row>
    <row r="156">
      <c r="B156" s="66" t="inlineStr">
        <is>
          <t>HSCEI</t>
        </is>
      </c>
      <c r="C156" s="8">
        <f>IF(HSCEI!$C$11="","",HSCEI!$C$11)</f>
        <v/>
      </c>
      <c r="D156" s="8">
        <f>IF($C156="","",HSCEI!$D$11)</f>
        <v/>
      </c>
      <c r="E156" s="8">
        <f>IF($C156="","",HSCEI!$E$11)</f>
        <v/>
      </c>
      <c r="F156" s="131">
        <f>IF($C156="","",SUMPRODUCT(('Dvd Calendar'!$E$1605:$AR$1605&gt;=DATE(YEAR_Y-5,1,1))*('Dvd Calendar'!$E$1605:$AR$1605&lt;=DATE(YEAR_Y-5,12,31))*'Dvd Calendar'!$E$1608:$AR$1608*(('Dvd Calendar'!$E$1610:$AR$1610=TYPE1)*(TYPE1&lt;&gt;"")+('Dvd Calendar'!$E$1610:$AR$1610=TYPE2)*(TYPE2&lt;&gt;"")+('Dvd Calendar'!$E$1610:$AR$1610=TYPE3)*(TYPE3&lt;&gt;"")+('Dvd Calendar'!$E$1610:$AR$1610=TYPE4)*(TYPE4&lt;&gt;"")+('Dvd Calendar'!$E$1610:$AR$1610=SPECIAL_LBL)*(INC_SPECIALS="Y"))))</f>
        <v/>
      </c>
      <c r="G156" s="132">
        <f>IF($C156="","",SUMPRODUCT(('Dvd Calendar'!$E$1605:$AR$1605&gt;=DATE(YEAR_Y-4,1,1))*('Dvd Calendar'!$E$1605:$AR$1605&lt;=DATE(YEAR_Y-4,12,31))*'Dvd Calendar'!$E$1608:$AR$1608*(('Dvd Calendar'!$E$1610:$AR$1610=TYPE1)*(TYPE1&lt;&gt;"")+('Dvd Calendar'!$E$1610:$AR$1610=TYPE2)*(TYPE2&lt;&gt;"")+('Dvd Calendar'!$E$1610:$AR$1610=TYPE3)*(TYPE3&lt;&gt;"")+('Dvd Calendar'!$E$1610:$AR$1610=TYPE4)*(TYPE4&lt;&gt;"")+('Dvd Calendar'!$E$1610:$AR$1610=SPECIAL_LBL)*(INC_SPECIALS="Y"))))</f>
        <v/>
      </c>
      <c r="H156" s="132">
        <f>IF($C156="","",SUMPRODUCT(('Dvd Calendar'!$E$1605:$AR$1605&gt;=DATE(YEAR_Y-3,1,1))*('Dvd Calendar'!$E$1605:$AR$1605&lt;=DATE(YEAR_Y-3,12,31))*'Dvd Calendar'!$E$1608:$AR$1608*(('Dvd Calendar'!$E$1610:$AR$1610=TYPE1)*(TYPE1&lt;&gt;"")+('Dvd Calendar'!$E$1610:$AR$1610=TYPE2)*(TYPE2&lt;&gt;"")+('Dvd Calendar'!$E$1610:$AR$1610=TYPE3)*(TYPE3&lt;&gt;"")+('Dvd Calendar'!$E$1610:$AR$1610=TYPE4)*(TYPE4&lt;&gt;"")+('Dvd Calendar'!$E$1610:$AR$1610=SPECIAL_LBL)*(INC_SPECIALS="Y"))))</f>
        <v/>
      </c>
      <c r="I156" s="132">
        <f>IF($C156="","",SUMPRODUCT(('Dvd Calendar'!$E$1605:$AR$1605&gt;=DATE(YEAR_Y-2,1,1))*('Dvd Calendar'!$E$1605:$AR$1605&lt;=DATE(YEAR_Y-2,12,31))*'Dvd Calendar'!$E$1608:$AR$1608*(('Dvd Calendar'!$E$1610:$AR$1610=TYPE1)*(TYPE1&lt;&gt;"")+('Dvd Calendar'!$E$1610:$AR$1610=TYPE2)*(TYPE2&lt;&gt;"")+('Dvd Calendar'!$E$1610:$AR$1610=TYPE3)*(TYPE3&lt;&gt;"")+('Dvd Calendar'!$E$1610:$AR$1610=TYPE4)*(TYPE4&lt;&gt;"")+('Dvd Calendar'!$E$1610:$AR$1610=SPECIAL_LBL)*(INC_SPECIALS="Y"))))</f>
        <v/>
      </c>
      <c r="J156" s="132">
        <f>IF($C156="","",SUMPRODUCT(('Dvd Calendar'!$E$1605:$AR$1605&gt;=DATE(YEAR_Y-1,1,1))*('Dvd Calendar'!$E$1605:$AR$1605&lt;=DATE(YEAR_Y-1,12,31))*'Dvd Calendar'!$E$1608:$AR$1608*(('Dvd Calendar'!$E$1610:$AR$1610=TYPE1)*(TYPE1&lt;&gt;"")+('Dvd Calendar'!$E$1610:$AR$1610=TYPE2)*(TYPE2&lt;&gt;"")+('Dvd Calendar'!$E$1610:$AR$1610=TYPE3)*(TYPE3&lt;&gt;"")+('Dvd Calendar'!$E$1610:$AR$1610=TYPE4)*(TYPE4&lt;&gt;"")+('Dvd Calendar'!$E$1610:$AR$1610=SPECIAL_LBL)*(INC_SPECIALS="Y"))))</f>
        <v/>
      </c>
      <c r="K156" s="133">
        <f>IF($C156="","",HSCEI!$J$11)</f>
        <v/>
      </c>
      <c r="L156" s="133">
        <f>IF($C156="","",HSCEI!$K$11)</f>
        <v/>
      </c>
      <c r="M156" s="124">
        <f>IF($C156="","",HSCEI!$J$11+HSCEI!$L$11)</f>
        <v/>
      </c>
      <c r="N156" s="134">
        <f>IF($C156="","",IF(PULL_FUND="N","",IFERROR(BDP($C156,BESTDPS_FIELD,FWD_OVERRIDE,TEXT(MOD(YEAR_Y,100),"00")&amp;"Y"),"")))</f>
        <v/>
      </c>
      <c r="O156" s="133">
        <f>IF($C156="","",AVERAGE(F156:J156))</f>
        <v/>
      </c>
      <c r="P156" s="135">
        <f>IF($C156="","",IF(PULL_FUND="N","",IF(COUNTIFS('Fund History'!$J$880:$J$884,"&gt;="&amp;DATE(YEAR_Y-5,1,1),'Fund History'!$J$880:$J$884,"&lt;="&amp;DATE(YEAR_Y-5,12,31))=0,"",IFERROR($F156*HSCEI!$G$11/SUMIFS('Fund History'!$K$880:$K$884,'Fund History'!$J$880:$J$884,"&gt;="&amp;DATE(YEAR_Y-5,1,1),'Fund History'!$J$880:$J$884,"&lt;="&amp;DATE(YEAR_Y-5,12,31)),""))))</f>
        <v/>
      </c>
      <c r="Q156" s="136">
        <f>IF($C156="","",IF(PULL_FUND="N","",IF(COUNTIFS('Fund History'!$J$880:$J$884,"&gt;="&amp;DATE(YEAR_Y-4,1,1),'Fund History'!$J$880:$J$884,"&lt;="&amp;DATE(YEAR_Y-4,12,31))=0,"",IFERROR($G156*HSCEI!$G$11/SUMIFS('Fund History'!$K$880:$K$884,'Fund History'!$J$880:$J$884,"&gt;="&amp;DATE(YEAR_Y-4,1,1),'Fund History'!$J$880:$J$884,"&lt;="&amp;DATE(YEAR_Y-4,12,31)),""))))</f>
        <v/>
      </c>
      <c r="R156" s="136">
        <f>IF($C156="","",IF(PULL_FUND="N","",IF(COUNTIFS('Fund History'!$J$880:$J$884,"&gt;="&amp;DATE(YEAR_Y-3,1,1),'Fund History'!$J$880:$J$884,"&lt;="&amp;DATE(YEAR_Y-3,12,31))=0,"",IFERROR($H156*HSCEI!$G$11/SUMIFS('Fund History'!$K$880:$K$884,'Fund History'!$J$880:$J$884,"&gt;="&amp;DATE(YEAR_Y-3,1,1),'Fund History'!$J$880:$J$884,"&lt;="&amp;DATE(YEAR_Y-3,12,31)),""))))</f>
        <v/>
      </c>
      <c r="S156" s="136">
        <f>IF($C156="","",IF(PULL_FUND="N","",IF(COUNTIFS('Fund History'!$J$880:$J$884,"&gt;="&amp;DATE(YEAR_Y-2,1,1),'Fund History'!$J$880:$J$884,"&lt;="&amp;DATE(YEAR_Y-2,12,31))=0,"",IFERROR($I156*HSCEI!$G$11/SUMIFS('Fund History'!$K$880:$K$884,'Fund History'!$J$880:$J$884,"&gt;="&amp;DATE(YEAR_Y-2,1,1),'Fund History'!$J$880:$J$884,"&lt;="&amp;DATE(YEAR_Y-2,12,31)),""))))</f>
        <v/>
      </c>
      <c r="T156" s="136">
        <f>IF($C156="","",IF(PULL_FUND="N","",IF(COUNTIFS('Fund History'!$J$880:$J$884,"&gt;="&amp;DATE(YEAR_Y-1,1,1),'Fund History'!$J$880:$J$884,"&lt;="&amp;DATE(YEAR_Y-1,12,31))=0,"",IFERROR($J156*HSCEI!$G$11/SUMIFS('Fund History'!$K$880:$K$884,'Fund History'!$J$880:$J$884,"&gt;="&amp;DATE(YEAR_Y-1,1,1),'Fund History'!$J$880:$J$884,"&lt;="&amp;DATE(YEAR_Y-1,12,31)),""))))</f>
        <v/>
      </c>
      <c r="U156" s="137">
        <f>IF($C156="","",IF(ISNUMBER(HSCEI!$I$11),HSCEI!$I$11/100,""))</f>
        <v/>
      </c>
      <c r="V156" s="138">
        <f>IF($C156="","",IF(ISNUMBER(HSCEI!$X$11),IFERROR($M156*HSCEI!$G$11/HSCEI!$X$11,""),""))</f>
        <v/>
      </c>
      <c r="W156" s="137">
        <f>IF($C156="","",IF(ISNUMBER($N156),IFERROR($N156*HSCEI!$G$11/HSCEI!$X$11,""),""))</f>
        <v/>
      </c>
      <c r="X156" s="139">
        <f>IF($C156="","",IF(PULL_FUND="N","",IFERROR(BDP($C156,EPS_FIELD,YR_OVERRIDE,TEXT(YEAR_Y-5,"0")),"")))</f>
        <v/>
      </c>
      <c r="Y156" s="140">
        <f>IF($C156="","",IF(PULL_FUND="N","",IFERROR(BDP($C156,EPS_FIELD,YR_OVERRIDE,TEXT(YEAR_Y-4,"0")),"")))</f>
        <v/>
      </c>
      <c r="Z156" s="140">
        <f>IF($C156="","",IF(PULL_FUND="N","",IFERROR(BDP($C156,EPS_FIELD,YR_OVERRIDE,TEXT(YEAR_Y-3,"0")),"")))</f>
        <v/>
      </c>
      <c r="AA156" s="140">
        <f>IF($C156="","",IF(PULL_FUND="N","",IFERROR(BDP($C156,EPS_FIELD,YR_OVERRIDE,TEXT(YEAR_Y-2,"0")),"")))</f>
        <v/>
      </c>
      <c r="AB156" s="140">
        <f>IF($C156="","",IF(PULL_FUND="N","",IFERROR(BDP($C156,EPS_FIELD,YR_OVERRIDE,TEXT(YEAR_Y-1,"0")),"")))</f>
        <v/>
      </c>
      <c r="AC156" s="126">
        <f>IF($C156="","",IFERROR(AVERAGE(X156:AB156),""))</f>
        <v/>
      </c>
      <c r="AD156" s="140">
        <f>IF($C156="","",IF(PULL_FUND="N","",IFERROR(BDP($C156,BESTEPS_FIELD,FWD_OVERRIDE,TEXT(MOD(YEAR_Y,100),"00")&amp;"Y"),"")))</f>
        <v/>
      </c>
      <c r="AE156" s="141">
        <f>IF($C156="","",IF(PULL_FUND="N","",IFERROR(BDP($C156,PAYOUT_FIELD,YR_OVERRIDE,TEXT(YEAR_Y-5,"0"))/100,"")))</f>
        <v/>
      </c>
      <c r="AF156" s="142">
        <f>IF($C156="","",IF(PULL_FUND="N","",IFERROR(BDP($C156,PAYOUT_FIELD,YR_OVERRIDE,TEXT(YEAR_Y-4,"0"))/100,"")))</f>
        <v/>
      </c>
      <c r="AG156" s="142">
        <f>IF($C156="","",IF(PULL_FUND="N","",IFERROR(BDP($C156,PAYOUT_FIELD,YR_OVERRIDE,TEXT(YEAR_Y-3,"0"))/100,"")))</f>
        <v/>
      </c>
      <c r="AH156" s="142">
        <f>IF($C156="","",IF(PULL_FUND="N","",IFERROR(BDP($C156,PAYOUT_FIELD,YR_OVERRIDE,TEXT(YEAR_Y-2,"0"))/100,"")))</f>
        <v/>
      </c>
      <c r="AI156" s="142">
        <f>IF($C156="","",IF(PULL_FUND="N","",IFERROR(BDP($C156,PAYOUT_FIELD,YR_OVERRIDE,TEXT(YEAR_Y-1,"0"))/100,"")))</f>
        <v/>
      </c>
      <c r="AJ156" s="143">
        <f>IF($C156="","",IFERROR(AVERAGE(AE156:AI156),""))</f>
        <v/>
      </c>
      <c r="AK156" s="144">
        <f>IF($C156="","",IF(ISNUMBER($AD156)*ISNUMBER($N156)*($AD156&lt;&gt;0)=0,"",$N156/$AD156))</f>
        <v/>
      </c>
      <c r="AL156" s="143">
        <f>IF($C156="","",IF(ISNUMBER($AD156)*($AD156&lt;&gt;0)=0,"",$M156/$AD156))</f>
        <v/>
      </c>
      <c r="AM156" s="37">
        <f>IF($C156="","",IF(ISNUMBER($AE156)*ISNUMBER($AI156)=0,"",IF($AI156&gt;$AE156+0.05,"rising",IF($AI156&lt;$AE156-0.05,"falling","stable"))))</f>
        <v/>
      </c>
      <c r="AN156" s="145">
        <f>IF($C156="","",IF(PULL_FUND="N","",IF(COUNTIFS('Fund History'!$G$880:$G$884,"&gt;="&amp;DATE(YEAR_Y-4,1,1),'Fund History'!$G$880:$G$884,"&lt;="&amp;DATE(YEAR_Y-4,12,31))=0,"",SUMIFS('Fund History'!$H$880:$H$884,'Fund History'!$G$880:$G$884,"&gt;="&amp;DATE(YEAR_Y-4,1,1),'Fund History'!$G$880:$G$884,"&lt;="&amp;DATE(YEAR_Y-4,12,31))/100)))</f>
        <v/>
      </c>
      <c r="AO156" s="146">
        <f>IF($C156="","",IF(PULL_FUND="N","",IF(COUNTIFS('Fund History'!$G$880:$G$884,"&gt;="&amp;DATE(YEAR_Y-3,1,1),'Fund History'!$G$880:$G$884,"&lt;="&amp;DATE(YEAR_Y-3,12,31))=0,"",SUMIFS('Fund History'!$H$880:$H$884,'Fund History'!$G$880:$G$884,"&gt;="&amp;DATE(YEAR_Y-3,1,1),'Fund History'!$G$880:$G$884,"&lt;="&amp;DATE(YEAR_Y-3,12,31))/100)))</f>
        <v/>
      </c>
      <c r="AP156" s="146">
        <f>IF($C156="","",IF(PULL_FUND="N","",IF(COUNTIFS('Fund History'!$G$880:$G$884,"&gt;="&amp;DATE(YEAR_Y-2,1,1),'Fund History'!$G$880:$G$884,"&lt;="&amp;DATE(YEAR_Y-2,12,31))=0,"",SUMIFS('Fund History'!$H$880:$H$884,'Fund History'!$G$880:$G$884,"&gt;="&amp;DATE(YEAR_Y-2,1,1),'Fund History'!$G$880:$G$884,"&lt;="&amp;DATE(YEAR_Y-2,12,31))/100)))</f>
        <v/>
      </c>
      <c r="AQ156" s="146">
        <f>IF($C156="","",IF(PULL_FUND="N","",IF(COUNTIFS('Fund History'!$G$880:$G$884,"&gt;="&amp;DATE(YEAR_Y-1,1,1),'Fund History'!$G$880:$G$884,"&lt;="&amp;DATE(YEAR_Y-1,12,31))=0,"",SUMIFS('Fund History'!$H$880:$H$884,'Fund History'!$G$880:$G$884,"&gt;="&amp;DATE(YEAR_Y-1,1,1),'Fund History'!$G$880:$G$884,"&lt;="&amp;DATE(YEAR_Y-1,12,31))/100)))</f>
        <v/>
      </c>
      <c r="AR156" s="147">
        <f>IF($C156="","",IF(N($AQ156)+N(HSCEI!$I$11)=0,"",N($AQ156)+N(HSCEI!$I$11)/100))</f>
        <v/>
      </c>
      <c r="AS156" s="139">
        <f>IF($C156="","",IF(PULL_FUND="N","",IF(COUNTIFS('Fund History'!$D$880:$D$884,"&gt;="&amp;DATE(YEAR_Y-2,1,1),'Fund History'!$D$880:$D$884,"&lt;="&amp;DATE(YEAR_Y-2,12,31))=0,"",SUMIFS('Fund History'!$E$880:$E$884,'Fund History'!$D$880:$D$884,"&gt;="&amp;DATE(YEAR_Y-2,1,1),'Fund History'!$D$880:$D$884,"&lt;="&amp;DATE(YEAR_Y-2,12,31)))))</f>
        <v/>
      </c>
      <c r="AT156" s="140">
        <f>IF($C156="","",IF(PULL_FUND="N","",IF(COUNTIFS('Fund History'!$D$880:$D$884,"&gt;="&amp;DATE(YEAR_Y-1,1,1),'Fund History'!$D$880:$D$884,"&lt;="&amp;DATE(YEAR_Y-1,12,31))=0,"",SUMIFS('Fund History'!$E$880:$E$884,'Fund History'!$D$880:$D$884,"&gt;="&amp;DATE(YEAR_Y-1,1,1),'Fund History'!$D$880:$D$884,"&lt;="&amp;DATE(YEAR_Y-1,12,31)))))</f>
        <v/>
      </c>
      <c r="AU156" s="140">
        <f>IF($C156="","",IF(PULL_FUND="N","",IFERROR(BDP($C156,NDEBITDA_FIELD),"")))</f>
        <v/>
      </c>
      <c r="AV156" s="148">
        <f>IF($C156="","",IF(PULL_FUND="N","",IFERROR(BDP($C156,EBINT_FIELD),"")))</f>
        <v/>
      </c>
      <c r="AW156" s="146">
        <f>IF($C156="","",IF(PULL_FUND="N","",IFERROR(BDP($C156,FCF_FIELD)/100,"")))</f>
        <v/>
      </c>
      <c r="AX156" s="126">
        <f>IF($C156="","",IF(N($U156)=0,"",IFERROR($AW156/$U156,"")))</f>
        <v/>
      </c>
      <c r="AY156" s="85">
        <f>IF($C156="","",TRIM(IF(ISNUMBER($AJ156)*(N($AJ156)&gt;$D$4)&gt;0,"payout high  ","")&amp;IF(ISNUMBER($AX156)*(N($AX156)&lt;$F$4)&gt;0,"FCF below dvd  ","")&amp;IF(ISNUMBER($AU156)*(N($AU156)&gt;$H$4)&gt;0,"leverage high","")))</f>
        <v/>
      </c>
      <c r="AZ156" s="86">
        <f>IF($C156="","",IF(HSCEI!$F$11="HKD","",HSCEI!$F$11))</f>
        <v/>
      </c>
    </row>
    <row r="157">
      <c r="B157" s="66" t="inlineStr">
        <is>
          <t>HSCEI</t>
        </is>
      </c>
      <c r="C157" s="8">
        <f>IF(HSCEI!$C$12="","",HSCEI!$C$12)</f>
        <v/>
      </c>
      <c r="D157" s="8">
        <f>IF($C157="","",HSCEI!$D$12)</f>
        <v/>
      </c>
      <c r="E157" s="8">
        <f>IF($C157="","",HSCEI!$E$12)</f>
        <v/>
      </c>
      <c r="F157" s="131">
        <f>IF($C157="","",SUMPRODUCT(('Dvd Calendar'!$E$1616:$AR$1616&gt;=DATE(YEAR_Y-5,1,1))*('Dvd Calendar'!$E$1616:$AR$1616&lt;=DATE(YEAR_Y-5,12,31))*'Dvd Calendar'!$E$1619:$AR$1619*(('Dvd Calendar'!$E$1621:$AR$1621=TYPE1)*(TYPE1&lt;&gt;"")+('Dvd Calendar'!$E$1621:$AR$1621=TYPE2)*(TYPE2&lt;&gt;"")+('Dvd Calendar'!$E$1621:$AR$1621=TYPE3)*(TYPE3&lt;&gt;"")+('Dvd Calendar'!$E$1621:$AR$1621=TYPE4)*(TYPE4&lt;&gt;"")+('Dvd Calendar'!$E$1621:$AR$1621=SPECIAL_LBL)*(INC_SPECIALS="Y"))))</f>
        <v/>
      </c>
      <c r="G157" s="132">
        <f>IF($C157="","",SUMPRODUCT(('Dvd Calendar'!$E$1616:$AR$1616&gt;=DATE(YEAR_Y-4,1,1))*('Dvd Calendar'!$E$1616:$AR$1616&lt;=DATE(YEAR_Y-4,12,31))*'Dvd Calendar'!$E$1619:$AR$1619*(('Dvd Calendar'!$E$1621:$AR$1621=TYPE1)*(TYPE1&lt;&gt;"")+('Dvd Calendar'!$E$1621:$AR$1621=TYPE2)*(TYPE2&lt;&gt;"")+('Dvd Calendar'!$E$1621:$AR$1621=TYPE3)*(TYPE3&lt;&gt;"")+('Dvd Calendar'!$E$1621:$AR$1621=TYPE4)*(TYPE4&lt;&gt;"")+('Dvd Calendar'!$E$1621:$AR$1621=SPECIAL_LBL)*(INC_SPECIALS="Y"))))</f>
        <v/>
      </c>
      <c r="H157" s="132">
        <f>IF($C157="","",SUMPRODUCT(('Dvd Calendar'!$E$1616:$AR$1616&gt;=DATE(YEAR_Y-3,1,1))*('Dvd Calendar'!$E$1616:$AR$1616&lt;=DATE(YEAR_Y-3,12,31))*'Dvd Calendar'!$E$1619:$AR$1619*(('Dvd Calendar'!$E$1621:$AR$1621=TYPE1)*(TYPE1&lt;&gt;"")+('Dvd Calendar'!$E$1621:$AR$1621=TYPE2)*(TYPE2&lt;&gt;"")+('Dvd Calendar'!$E$1621:$AR$1621=TYPE3)*(TYPE3&lt;&gt;"")+('Dvd Calendar'!$E$1621:$AR$1621=TYPE4)*(TYPE4&lt;&gt;"")+('Dvd Calendar'!$E$1621:$AR$1621=SPECIAL_LBL)*(INC_SPECIALS="Y"))))</f>
        <v/>
      </c>
      <c r="I157" s="132">
        <f>IF($C157="","",SUMPRODUCT(('Dvd Calendar'!$E$1616:$AR$1616&gt;=DATE(YEAR_Y-2,1,1))*('Dvd Calendar'!$E$1616:$AR$1616&lt;=DATE(YEAR_Y-2,12,31))*'Dvd Calendar'!$E$1619:$AR$1619*(('Dvd Calendar'!$E$1621:$AR$1621=TYPE1)*(TYPE1&lt;&gt;"")+('Dvd Calendar'!$E$1621:$AR$1621=TYPE2)*(TYPE2&lt;&gt;"")+('Dvd Calendar'!$E$1621:$AR$1621=TYPE3)*(TYPE3&lt;&gt;"")+('Dvd Calendar'!$E$1621:$AR$1621=TYPE4)*(TYPE4&lt;&gt;"")+('Dvd Calendar'!$E$1621:$AR$1621=SPECIAL_LBL)*(INC_SPECIALS="Y"))))</f>
        <v/>
      </c>
      <c r="J157" s="132">
        <f>IF($C157="","",SUMPRODUCT(('Dvd Calendar'!$E$1616:$AR$1616&gt;=DATE(YEAR_Y-1,1,1))*('Dvd Calendar'!$E$1616:$AR$1616&lt;=DATE(YEAR_Y-1,12,31))*'Dvd Calendar'!$E$1619:$AR$1619*(('Dvd Calendar'!$E$1621:$AR$1621=TYPE1)*(TYPE1&lt;&gt;"")+('Dvd Calendar'!$E$1621:$AR$1621=TYPE2)*(TYPE2&lt;&gt;"")+('Dvd Calendar'!$E$1621:$AR$1621=TYPE3)*(TYPE3&lt;&gt;"")+('Dvd Calendar'!$E$1621:$AR$1621=TYPE4)*(TYPE4&lt;&gt;"")+('Dvd Calendar'!$E$1621:$AR$1621=SPECIAL_LBL)*(INC_SPECIALS="Y"))))</f>
        <v/>
      </c>
      <c r="K157" s="133">
        <f>IF($C157="","",HSCEI!$J$12)</f>
        <v/>
      </c>
      <c r="L157" s="133">
        <f>IF($C157="","",HSCEI!$K$12)</f>
        <v/>
      </c>
      <c r="M157" s="124">
        <f>IF($C157="","",HSCEI!$J$12+HSCEI!$L$12)</f>
        <v/>
      </c>
      <c r="N157" s="134">
        <f>IF($C157="","",IF(PULL_FUND="N","",IFERROR(BDP($C157,BESTDPS_FIELD,FWD_OVERRIDE,TEXT(MOD(YEAR_Y,100),"00")&amp;"Y"),"")))</f>
        <v/>
      </c>
      <c r="O157" s="133">
        <f>IF($C157="","",AVERAGE(F157:J157))</f>
        <v/>
      </c>
      <c r="P157" s="135">
        <f>IF($C157="","",IF(PULL_FUND="N","",IF(COUNTIFS('Fund History'!$J$886:$J$890,"&gt;="&amp;DATE(YEAR_Y-5,1,1),'Fund History'!$J$886:$J$890,"&lt;="&amp;DATE(YEAR_Y-5,12,31))=0,"",IFERROR($F157*HSCEI!$G$12/SUMIFS('Fund History'!$K$886:$K$890,'Fund History'!$J$886:$J$890,"&gt;="&amp;DATE(YEAR_Y-5,1,1),'Fund History'!$J$886:$J$890,"&lt;="&amp;DATE(YEAR_Y-5,12,31)),""))))</f>
        <v/>
      </c>
      <c r="Q157" s="136">
        <f>IF($C157="","",IF(PULL_FUND="N","",IF(COUNTIFS('Fund History'!$J$886:$J$890,"&gt;="&amp;DATE(YEAR_Y-4,1,1),'Fund History'!$J$886:$J$890,"&lt;="&amp;DATE(YEAR_Y-4,12,31))=0,"",IFERROR($G157*HSCEI!$G$12/SUMIFS('Fund History'!$K$886:$K$890,'Fund History'!$J$886:$J$890,"&gt;="&amp;DATE(YEAR_Y-4,1,1),'Fund History'!$J$886:$J$890,"&lt;="&amp;DATE(YEAR_Y-4,12,31)),""))))</f>
        <v/>
      </c>
      <c r="R157" s="136">
        <f>IF($C157="","",IF(PULL_FUND="N","",IF(COUNTIFS('Fund History'!$J$886:$J$890,"&gt;="&amp;DATE(YEAR_Y-3,1,1),'Fund History'!$J$886:$J$890,"&lt;="&amp;DATE(YEAR_Y-3,12,31))=0,"",IFERROR($H157*HSCEI!$G$12/SUMIFS('Fund History'!$K$886:$K$890,'Fund History'!$J$886:$J$890,"&gt;="&amp;DATE(YEAR_Y-3,1,1),'Fund History'!$J$886:$J$890,"&lt;="&amp;DATE(YEAR_Y-3,12,31)),""))))</f>
        <v/>
      </c>
      <c r="S157" s="136">
        <f>IF($C157="","",IF(PULL_FUND="N","",IF(COUNTIFS('Fund History'!$J$886:$J$890,"&gt;="&amp;DATE(YEAR_Y-2,1,1),'Fund History'!$J$886:$J$890,"&lt;="&amp;DATE(YEAR_Y-2,12,31))=0,"",IFERROR($I157*HSCEI!$G$12/SUMIFS('Fund History'!$K$886:$K$890,'Fund History'!$J$886:$J$890,"&gt;="&amp;DATE(YEAR_Y-2,1,1),'Fund History'!$J$886:$J$890,"&lt;="&amp;DATE(YEAR_Y-2,12,31)),""))))</f>
        <v/>
      </c>
      <c r="T157" s="136">
        <f>IF($C157="","",IF(PULL_FUND="N","",IF(COUNTIFS('Fund History'!$J$886:$J$890,"&gt;="&amp;DATE(YEAR_Y-1,1,1),'Fund History'!$J$886:$J$890,"&lt;="&amp;DATE(YEAR_Y-1,12,31))=0,"",IFERROR($J157*HSCEI!$G$12/SUMIFS('Fund History'!$K$886:$K$890,'Fund History'!$J$886:$J$890,"&gt;="&amp;DATE(YEAR_Y-1,1,1),'Fund History'!$J$886:$J$890,"&lt;="&amp;DATE(YEAR_Y-1,12,31)),""))))</f>
        <v/>
      </c>
      <c r="U157" s="137">
        <f>IF($C157="","",IF(ISNUMBER(HSCEI!$I$12),HSCEI!$I$12/100,""))</f>
        <v/>
      </c>
      <c r="V157" s="138">
        <f>IF($C157="","",IF(ISNUMBER(HSCEI!$X$12),IFERROR($M157*HSCEI!$G$12/HSCEI!$X$12,""),""))</f>
        <v/>
      </c>
      <c r="W157" s="137">
        <f>IF($C157="","",IF(ISNUMBER($N157),IFERROR($N157*HSCEI!$G$12/HSCEI!$X$12,""),""))</f>
        <v/>
      </c>
      <c r="X157" s="139">
        <f>IF($C157="","",IF(PULL_FUND="N","",IFERROR(BDP($C157,EPS_FIELD,YR_OVERRIDE,TEXT(YEAR_Y-5,"0")),"")))</f>
        <v/>
      </c>
      <c r="Y157" s="140">
        <f>IF($C157="","",IF(PULL_FUND="N","",IFERROR(BDP($C157,EPS_FIELD,YR_OVERRIDE,TEXT(YEAR_Y-4,"0")),"")))</f>
        <v/>
      </c>
      <c r="Z157" s="140">
        <f>IF($C157="","",IF(PULL_FUND="N","",IFERROR(BDP($C157,EPS_FIELD,YR_OVERRIDE,TEXT(YEAR_Y-3,"0")),"")))</f>
        <v/>
      </c>
      <c r="AA157" s="140">
        <f>IF($C157="","",IF(PULL_FUND="N","",IFERROR(BDP($C157,EPS_FIELD,YR_OVERRIDE,TEXT(YEAR_Y-2,"0")),"")))</f>
        <v/>
      </c>
      <c r="AB157" s="140">
        <f>IF($C157="","",IF(PULL_FUND="N","",IFERROR(BDP($C157,EPS_FIELD,YR_OVERRIDE,TEXT(YEAR_Y-1,"0")),"")))</f>
        <v/>
      </c>
      <c r="AC157" s="126">
        <f>IF($C157="","",IFERROR(AVERAGE(X157:AB157),""))</f>
        <v/>
      </c>
      <c r="AD157" s="140">
        <f>IF($C157="","",IF(PULL_FUND="N","",IFERROR(BDP($C157,BESTEPS_FIELD,FWD_OVERRIDE,TEXT(MOD(YEAR_Y,100),"00")&amp;"Y"),"")))</f>
        <v/>
      </c>
      <c r="AE157" s="141">
        <f>IF($C157="","",IF(PULL_FUND="N","",IFERROR(BDP($C157,PAYOUT_FIELD,YR_OVERRIDE,TEXT(YEAR_Y-5,"0"))/100,"")))</f>
        <v/>
      </c>
      <c r="AF157" s="142">
        <f>IF($C157="","",IF(PULL_FUND="N","",IFERROR(BDP($C157,PAYOUT_FIELD,YR_OVERRIDE,TEXT(YEAR_Y-4,"0"))/100,"")))</f>
        <v/>
      </c>
      <c r="AG157" s="142">
        <f>IF($C157="","",IF(PULL_FUND="N","",IFERROR(BDP($C157,PAYOUT_FIELD,YR_OVERRIDE,TEXT(YEAR_Y-3,"0"))/100,"")))</f>
        <v/>
      </c>
      <c r="AH157" s="142">
        <f>IF($C157="","",IF(PULL_FUND="N","",IFERROR(BDP($C157,PAYOUT_FIELD,YR_OVERRIDE,TEXT(YEAR_Y-2,"0"))/100,"")))</f>
        <v/>
      </c>
      <c r="AI157" s="142">
        <f>IF($C157="","",IF(PULL_FUND="N","",IFERROR(BDP($C157,PAYOUT_FIELD,YR_OVERRIDE,TEXT(YEAR_Y-1,"0"))/100,"")))</f>
        <v/>
      </c>
      <c r="AJ157" s="143">
        <f>IF($C157="","",IFERROR(AVERAGE(AE157:AI157),""))</f>
        <v/>
      </c>
      <c r="AK157" s="144">
        <f>IF($C157="","",IF(ISNUMBER($AD157)*ISNUMBER($N157)*($AD157&lt;&gt;0)=0,"",$N157/$AD157))</f>
        <v/>
      </c>
      <c r="AL157" s="143">
        <f>IF($C157="","",IF(ISNUMBER($AD157)*($AD157&lt;&gt;0)=0,"",$M157/$AD157))</f>
        <v/>
      </c>
      <c r="AM157" s="37">
        <f>IF($C157="","",IF(ISNUMBER($AE157)*ISNUMBER($AI157)=0,"",IF($AI157&gt;$AE157+0.05,"rising",IF($AI157&lt;$AE157-0.05,"falling","stable"))))</f>
        <v/>
      </c>
      <c r="AN157" s="145">
        <f>IF($C157="","",IF(PULL_FUND="N","",IF(COUNTIFS('Fund History'!$G$886:$G$890,"&gt;="&amp;DATE(YEAR_Y-4,1,1),'Fund History'!$G$886:$G$890,"&lt;="&amp;DATE(YEAR_Y-4,12,31))=0,"",SUMIFS('Fund History'!$H$886:$H$890,'Fund History'!$G$886:$G$890,"&gt;="&amp;DATE(YEAR_Y-4,1,1),'Fund History'!$G$886:$G$890,"&lt;="&amp;DATE(YEAR_Y-4,12,31))/100)))</f>
        <v/>
      </c>
      <c r="AO157" s="146">
        <f>IF($C157="","",IF(PULL_FUND="N","",IF(COUNTIFS('Fund History'!$G$886:$G$890,"&gt;="&amp;DATE(YEAR_Y-3,1,1),'Fund History'!$G$886:$G$890,"&lt;="&amp;DATE(YEAR_Y-3,12,31))=0,"",SUMIFS('Fund History'!$H$886:$H$890,'Fund History'!$G$886:$G$890,"&gt;="&amp;DATE(YEAR_Y-3,1,1),'Fund History'!$G$886:$G$890,"&lt;="&amp;DATE(YEAR_Y-3,12,31))/100)))</f>
        <v/>
      </c>
      <c r="AP157" s="146">
        <f>IF($C157="","",IF(PULL_FUND="N","",IF(COUNTIFS('Fund History'!$G$886:$G$890,"&gt;="&amp;DATE(YEAR_Y-2,1,1),'Fund History'!$G$886:$G$890,"&lt;="&amp;DATE(YEAR_Y-2,12,31))=0,"",SUMIFS('Fund History'!$H$886:$H$890,'Fund History'!$G$886:$G$890,"&gt;="&amp;DATE(YEAR_Y-2,1,1),'Fund History'!$G$886:$G$890,"&lt;="&amp;DATE(YEAR_Y-2,12,31))/100)))</f>
        <v/>
      </c>
      <c r="AQ157" s="146">
        <f>IF($C157="","",IF(PULL_FUND="N","",IF(COUNTIFS('Fund History'!$G$886:$G$890,"&gt;="&amp;DATE(YEAR_Y-1,1,1),'Fund History'!$G$886:$G$890,"&lt;="&amp;DATE(YEAR_Y-1,12,31))=0,"",SUMIFS('Fund History'!$H$886:$H$890,'Fund History'!$G$886:$G$890,"&gt;="&amp;DATE(YEAR_Y-1,1,1),'Fund History'!$G$886:$G$890,"&lt;="&amp;DATE(YEAR_Y-1,12,31))/100)))</f>
        <v/>
      </c>
      <c r="AR157" s="147">
        <f>IF($C157="","",IF(N($AQ157)+N(HSCEI!$I$12)=0,"",N($AQ157)+N(HSCEI!$I$12)/100))</f>
        <v/>
      </c>
      <c r="AS157" s="139">
        <f>IF($C157="","",IF(PULL_FUND="N","",IF(COUNTIFS('Fund History'!$D$886:$D$890,"&gt;="&amp;DATE(YEAR_Y-2,1,1),'Fund History'!$D$886:$D$890,"&lt;="&amp;DATE(YEAR_Y-2,12,31))=0,"",SUMIFS('Fund History'!$E$886:$E$890,'Fund History'!$D$886:$D$890,"&gt;="&amp;DATE(YEAR_Y-2,1,1),'Fund History'!$D$886:$D$890,"&lt;="&amp;DATE(YEAR_Y-2,12,31)))))</f>
        <v/>
      </c>
      <c r="AT157" s="140">
        <f>IF($C157="","",IF(PULL_FUND="N","",IF(COUNTIFS('Fund History'!$D$886:$D$890,"&gt;="&amp;DATE(YEAR_Y-1,1,1),'Fund History'!$D$886:$D$890,"&lt;="&amp;DATE(YEAR_Y-1,12,31))=0,"",SUMIFS('Fund History'!$E$886:$E$890,'Fund History'!$D$886:$D$890,"&gt;="&amp;DATE(YEAR_Y-1,1,1),'Fund History'!$D$886:$D$890,"&lt;="&amp;DATE(YEAR_Y-1,12,31)))))</f>
        <v/>
      </c>
      <c r="AU157" s="140">
        <f>IF($C157="","",IF(PULL_FUND="N","",IFERROR(BDP($C157,NDEBITDA_FIELD),"")))</f>
        <v/>
      </c>
      <c r="AV157" s="148">
        <f>IF($C157="","",IF(PULL_FUND="N","",IFERROR(BDP($C157,EBINT_FIELD),"")))</f>
        <v/>
      </c>
      <c r="AW157" s="146">
        <f>IF($C157="","",IF(PULL_FUND="N","",IFERROR(BDP($C157,FCF_FIELD)/100,"")))</f>
        <v/>
      </c>
      <c r="AX157" s="126">
        <f>IF($C157="","",IF(N($U157)=0,"",IFERROR($AW157/$U157,"")))</f>
        <v/>
      </c>
      <c r="AY157" s="85">
        <f>IF($C157="","",TRIM(IF(ISNUMBER($AJ157)*(N($AJ157)&gt;$D$4)&gt;0,"payout high  ","")&amp;IF(ISNUMBER($AX157)*(N($AX157)&lt;$F$4)&gt;0,"FCF below dvd  ","")&amp;IF(ISNUMBER($AU157)*(N($AU157)&gt;$H$4)&gt;0,"leverage high","")))</f>
        <v/>
      </c>
      <c r="AZ157" s="86">
        <f>IF($C157="","",IF(HSCEI!$F$12="HKD","",HSCEI!$F$12))</f>
        <v/>
      </c>
    </row>
    <row r="158">
      <c r="B158" s="66" t="inlineStr">
        <is>
          <t>HSCEI</t>
        </is>
      </c>
      <c r="C158" s="8">
        <f>IF(HSCEI!$C$13="","",HSCEI!$C$13)</f>
        <v/>
      </c>
      <c r="D158" s="8">
        <f>IF($C158="","",HSCEI!$D$13)</f>
        <v/>
      </c>
      <c r="E158" s="8">
        <f>IF($C158="","",HSCEI!$E$13)</f>
        <v/>
      </c>
      <c r="F158" s="131">
        <f>IF($C158="","",SUMPRODUCT(('Dvd Calendar'!$E$1627:$AR$1627&gt;=DATE(YEAR_Y-5,1,1))*('Dvd Calendar'!$E$1627:$AR$1627&lt;=DATE(YEAR_Y-5,12,31))*'Dvd Calendar'!$E$1630:$AR$1630*(('Dvd Calendar'!$E$1632:$AR$1632=TYPE1)*(TYPE1&lt;&gt;"")+('Dvd Calendar'!$E$1632:$AR$1632=TYPE2)*(TYPE2&lt;&gt;"")+('Dvd Calendar'!$E$1632:$AR$1632=TYPE3)*(TYPE3&lt;&gt;"")+('Dvd Calendar'!$E$1632:$AR$1632=TYPE4)*(TYPE4&lt;&gt;"")+('Dvd Calendar'!$E$1632:$AR$1632=SPECIAL_LBL)*(INC_SPECIALS="Y"))))</f>
        <v/>
      </c>
      <c r="G158" s="132">
        <f>IF($C158="","",SUMPRODUCT(('Dvd Calendar'!$E$1627:$AR$1627&gt;=DATE(YEAR_Y-4,1,1))*('Dvd Calendar'!$E$1627:$AR$1627&lt;=DATE(YEAR_Y-4,12,31))*'Dvd Calendar'!$E$1630:$AR$1630*(('Dvd Calendar'!$E$1632:$AR$1632=TYPE1)*(TYPE1&lt;&gt;"")+('Dvd Calendar'!$E$1632:$AR$1632=TYPE2)*(TYPE2&lt;&gt;"")+('Dvd Calendar'!$E$1632:$AR$1632=TYPE3)*(TYPE3&lt;&gt;"")+('Dvd Calendar'!$E$1632:$AR$1632=TYPE4)*(TYPE4&lt;&gt;"")+('Dvd Calendar'!$E$1632:$AR$1632=SPECIAL_LBL)*(INC_SPECIALS="Y"))))</f>
        <v/>
      </c>
      <c r="H158" s="132">
        <f>IF($C158="","",SUMPRODUCT(('Dvd Calendar'!$E$1627:$AR$1627&gt;=DATE(YEAR_Y-3,1,1))*('Dvd Calendar'!$E$1627:$AR$1627&lt;=DATE(YEAR_Y-3,12,31))*'Dvd Calendar'!$E$1630:$AR$1630*(('Dvd Calendar'!$E$1632:$AR$1632=TYPE1)*(TYPE1&lt;&gt;"")+('Dvd Calendar'!$E$1632:$AR$1632=TYPE2)*(TYPE2&lt;&gt;"")+('Dvd Calendar'!$E$1632:$AR$1632=TYPE3)*(TYPE3&lt;&gt;"")+('Dvd Calendar'!$E$1632:$AR$1632=TYPE4)*(TYPE4&lt;&gt;"")+('Dvd Calendar'!$E$1632:$AR$1632=SPECIAL_LBL)*(INC_SPECIALS="Y"))))</f>
        <v/>
      </c>
      <c r="I158" s="132">
        <f>IF($C158="","",SUMPRODUCT(('Dvd Calendar'!$E$1627:$AR$1627&gt;=DATE(YEAR_Y-2,1,1))*('Dvd Calendar'!$E$1627:$AR$1627&lt;=DATE(YEAR_Y-2,12,31))*'Dvd Calendar'!$E$1630:$AR$1630*(('Dvd Calendar'!$E$1632:$AR$1632=TYPE1)*(TYPE1&lt;&gt;"")+('Dvd Calendar'!$E$1632:$AR$1632=TYPE2)*(TYPE2&lt;&gt;"")+('Dvd Calendar'!$E$1632:$AR$1632=TYPE3)*(TYPE3&lt;&gt;"")+('Dvd Calendar'!$E$1632:$AR$1632=TYPE4)*(TYPE4&lt;&gt;"")+('Dvd Calendar'!$E$1632:$AR$1632=SPECIAL_LBL)*(INC_SPECIALS="Y"))))</f>
        <v/>
      </c>
      <c r="J158" s="132">
        <f>IF($C158="","",SUMPRODUCT(('Dvd Calendar'!$E$1627:$AR$1627&gt;=DATE(YEAR_Y-1,1,1))*('Dvd Calendar'!$E$1627:$AR$1627&lt;=DATE(YEAR_Y-1,12,31))*'Dvd Calendar'!$E$1630:$AR$1630*(('Dvd Calendar'!$E$1632:$AR$1632=TYPE1)*(TYPE1&lt;&gt;"")+('Dvd Calendar'!$E$1632:$AR$1632=TYPE2)*(TYPE2&lt;&gt;"")+('Dvd Calendar'!$E$1632:$AR$1632=TYPE3)*(TYPE3&lt;&gt;"")+('Dvd Calendar'!$E$1632:$AR$1632=TYPE4)*(TYPE4&lt;&gt;"")+('Dvd Calendar'!$E$1632:$AR$1632=SPECIAL_LBL)*(INC_SPECIALS="Y"))))</f>
        <v/>
      </c>
      <c r="K158" s="133">
        <f>IF($C158="","",HSCEI!$J$13)</f>
        <v/>
      </c>
      <c r="L158" s="133">
        <f>IF($C158="","",HSCEI!$K$13)</f>
        <v/>
      </c>
      <c r="M158" s="124">
        <f>IF($C158="","",HSCEI!$J$13+HSCEI!$L$13)</f>
        <v/>
      </c>
      <c r="N158" s="134">
        <f>IF($C158="","",IF(PULL_FUND="N","",IFERROR(BDP($C158,BESTDPS_FIELD,FWD_OVERRIDE,TEXT(MOD(YEAR_Y,100),"00")&amp;"Y"),"")))</f>
        <v/>
      </c>
      <c r="O158" s="133">
        <f>IF($C158="","",AVERAGE(F158:J158))</f>
        <v/>
      </c>
      <c r="P158" s="135">
        <f>IF($C158="","",IF(PULL_FUND="N","",IF(COUNTIFS('Fund History'!$J$892:$J$896,"&gt;="&amp;DATE(YEAR_Y-5,1,1),'Fund History'!$J$892:$J$896,"&lt;="&amp;DATE(YEAR_Y-5,12,31))=0,"",IFERROR($F158*HSCEI!$G$13/SUMIFS('Fund History'!$K$892:$K$896,'Fund History'!$J$892:$J$896,"&gt;="&amp;DATE(YEAR_Y-5,1,1),'Fund History'!$J$892:$J$896,"&lt;="&amp;DATE(YEAR_Y-5,12,31)),""))))</f>
        <v/>
      </c>
      <c r="Q158" s="136">
        <f>IF($C158="","",IF(PULL_FUND="N","",IF(COUNTIFS('Fund History'!$J$892:$J$896,"&gt;="&amp;DATE(YEAR_Y-4,1,1),'Fund History'!$J$892:$J$896,"&lt;="&amp;DATE(YEAR_Y-4,12,31))=0,"",IFERROR($G158*HSCEI!$G$13/SUMIFS('Fund History'!$K$892:$K$896,'Fund History'!$J$892:$J$896,"&gt;="&amp;DATE(YEAR_Y-4,1,1),'Fund History'!$J$892:$J$896,"&lt;="&amp;DATE(YEAR_Y-4,12,31)),""))))</f>
        <v/>
      </c>
      <c r="R158" s="136">
        <f>IF($C158="","",IF(PULL_FUND="N","",IF(COUNTIFS('Fund History'!$J$892:$J$896,"&gt;="&amp;DATE(YEAR_Y-3,1,1),'Fund History'!$J$892:$J$896,"&lt;="&amp;DATE(YEAR_Y-3,12,31))=0,"",IFERROR($H158*HSCEI!$G$13/SUMIFS('Fund History'!$K$892:$K$896,'Fund History'!$J$892:$J$896,"&gt;="&amp;DATE(YEAR_Y-3,1,1),'Fund History'!$J$892:$J$896,"&lt;="&amp;DATE(YEAR_Y-3,12,31)),""))))</f>
        <v/>
      </c>
      <c r="S158" s="136">
        <f>IF($C158="","",IF(PULL_FUND="N","",IF(COUNTIFS('Fund History'!$J$892:$J$896,"&gt;="&amp;DATE(YEAR_Y-2,1,1),'Fund History'!$J$892:$J$896,"&lt;="&amp;DATE(YEAR_Y-2,12,31))=0,"",IFERROR($I158*HSCEI!$G$13/SUMIFS('Fund History'!$K$892:$K$896,'Fund History'!$J$892:$J$896,"&gt;="&amp;DATE(YEAR_Y-2,1,1),'Fund History'!$J$892:$J$896,"&lt;="&amp;DATE(YEAR_Y-2,12,31)),""))))</f>
        <v/>
      </c>
      <c r="T158" s="136">
        <f>IF($C158="","",IF(PULL_FUND="N","",IF(COUNTIFS('Fund History'!$J$892:$J$896,"&gt;="&amp;DATE(YEAR_Y-1,1,1),'Fund History'!$J$892:$J$896,"&lt;="&amp;DATE(YEAR_Y-1,12,31))=0,"",IFERROR($J158*HSCEI!$G$13/SUMIFS('Fund History'!$K$892:$K$896,'Fund History'!$J$892:$J$896,"&gt;="&amp;DATE(YEAR_Y-1,1,1),'Fund History'!$J$892:$J$896,"&lt;="&amp;DATE(YEAR_Y-1,12,31)),""))))</f>
        <v/>
      </c>
      <c r="U158" s="137">
        <f>IF($C158="","",IF(ISNUMBER(HSCEI!$I$13),HSCEI!$I$13/100,""))</f>
        <v/>
      </c>
      <c r="V158" s="138">
        <f>IF($C158="","",IF(ISNUMBER(HSCEI!$X$13),IFERROR($M158*HSCEI!$G$13/HSCEI!$X$13,""),""))</f>
        <v/>
      </c>
      <c r="W158" s="137">
        <f>IF($C158="","",IF(ISNUMBER($N158),IFERROR($N158*HSCEI!$G$13/HSCEI!$X$13,""),""))</f>
        <v/>
      </c>
      <c r="X158" s="139">
        <f>IF($C158="","",IF(PULL_FUND="N","",IFERROR(BDP($C158,EPS_FIELD,YR_OVERRIDE,TEXT(YEAR_Y-5,"0")),"")))</f>
        <v/>
      </c>
      <c r="Y158" s="140">
        <f>IF($C158="","",IF(PULL_FUND="N","",IFERROR(BDP($C158,EPS_FIELD,YR_OVERRIDE,TEXT(YEAR_Y-4,"0")),"")))</f>
        <v/>
      </c>
      <c r="Z158" s="140">
        <f>IF($C158="","",IF(PULL_FUND="N","",IFERROR(BDP($C158,EPS_FIELD,YR_OVERRIDE,TEXT(YEAR_Y-3,"0")),"")))</f>
        <v/>
      </c>
      <c r="AA158" s="140">
        <f>IF($C158="","",IF(PULL_FUND="N","",IFERROR(BDP($C158,EPS_FIELD,YR_OVERRIDE,TEXT(YEAR_Y-2,"0")),"")))</f>
        <v/>
      </c>
      <c r="AB158" s="140">
        <f>IF($C158="","",IF(PULL_FUND="N","",IFERROR(BDP($C158,EPS_FIELD,YR_OVERRIDE,TEXT(YEAR_Y-1,"0")),"")))</f>
        <v/>
      </c>
      <c r="AC158" s="126">
        <f>IF($C158="","",IFERROR(AVERAGE(X158:AB158),""))</f>
        <v/>
      </c>
      <c r="AD158" s="140">
        <f>IF($C158="","",IF(PULL_FUND="N","",IFERROR(BDP($C158,BESTEPS_FIELD,FWD_OVERRIDE,TEXT(MOD(YEAR_Y,100),"00")&amp;"Y"),"")))</f>
        <v/>
      </c>
      <c r="AE158" s="141">
        <f>IF($C158="","",IF(PULL_FUND="N","",IFERROR(BDP($C158,PAYOUT_FIELD,YR_OVERRIDE,TEXT(YEAR_Y-5,"0"))/100,"")))</f>
        <v/>
      </c>
      <c r="AF158" s="142">
        <f>IF($C158="","",IF(PULL_FUND="N","",IFERROR(BDP($C158,PAYOUT_FIELD,YR_OVERRIDE,TEXT(YEAR_Y-4,"0"))/100,"")))</f>
        <v/>
      </c>
      <c r="AG158" s="142">
        <f>IF($C158="","",IF(PULL_FUND="N","",IFERROR(BDP($C158,PAYOUT_FIELD,YR_OVERRIDE,TEXT(YEAR_Y-3,"0"))/100,"")))</f>
        <v/>
      </c>
      <c r="AH158" s="142">
        <f>IF($C158="","",IF(PULL_FUND="N","",IFERROR(BDP($C158,PAYOUT_FIELD,YR_OVERRIDE,TEXT(YEAR_Y-2,"0"))/100,"")))</f>
        <v/>
      </c>
      <c r="AI158" s="142">
        <f>IF($C158="","",IF(PULL_FUND="N","",IFERROR(BDP($C158,PAYOUT_FIELD,YR_OVERRIDE,TEXT(YEAR_Y-1,"0"))/100,"")))</f>
        <v/>
      </c>
      <c r="AJ158" s="143">
        <f>IF($C158="","",IFERROR(AVERAGE(AE158:AI158),""))</f>
        <v/>
      </c>
      <c r="AK158" s="144">
        <f>IF($C158="","",IF(ISNUMBER($AD158)*ISNUMBER($N158)*($AD158&lt;&gt;0)=0,"",$N158/$AD158))</f>
        <v/>
      </c>
      <c r="AL158" s="143">
        <f>IF($C158="","",IF(ISNUMBER($AD158)*($AD158&lt;&gt;0)=0,"",$M158/$AD158))</f>
        <v/>
      </c>
      <c r="AM158" s="37">
        <f>IF($C158="","",IF(ISNUMBER($AE158)*ISNUMBER($AI158)=0,"",IF($AI158&gt;$AE158+0.05,"rising",IF($AI158&lt;$AE158-0.05,"falling","stable"))))</f>
        <v/>
      </c>
      <c r="AN158" s="145">
        <f>IF($C158="","",IF(PULL_FUND="N","",IF(COUNTIFS('Fund History'!$G$892:$G$896,"&gt;="&amp;DATE(YEAR_Y-4,1,1),'Fund History'!$G$892:$G$896,"&lt;="&amp;DATE(YEAR_Y-4,12,31))=0,"",SUMIFS('Fund History'!$H$892:$H$896,'Fund History'!$G$892:$G$896,"&gt;="&amp;DATE(YEAR_Y-4,1,1),'Fund History'!$G$892:$G$896,"&lt;="&amp;DATE(YEAR_Y-4,12,31))/100)))</f>
        <v/>
      </c>
      <c r="AO158" s="146">
        <f>IF($C158="","",IF(PULL_FUND="N","",IF(COUNTIFS('Fund History'!$G$892:$G$896,"&gt;="&amp;DATE(YEAR_Y-3,1,1),'Fund History'!$G$892:$G$896,"&lt;="&amp;DATE(YEAR_Y-3,12,31))=0,"",SUMIFS('Fund History'!$H$892:$H$896,'Fund History'!$G$892:$G$896,"&gt;="&amp;DATE(YEAR_Y-3,1,1),'Fund History'!$G$892:$G$896,"&lt;="&amp;DATE(YEAR_Y-3,12,31))/100)))</f>
        <v/>
      </c>
      <c r="AP158" s="146">
        <f>IF($C158="","",IF(PULL_FUND="N","",IF(COUNTIFS('Fund History'!$G$892:$G$896,"&gt;="&amp;DATE(YEAR_Y-2,1,1),'Fund History'!$G$892:$G$896,"&lt;="&amp;DATE(YEAR_Y-2,12,31))=0,"",SUMIFS('Fund History'!$H$892:$H$896,'Fund History'!$G$892:$G$896,"&gt;="&amp;DATE(YEAR_Y-2,1,1),'Fund History'!$G$892:$G$896,"&lt;="&amp;DATE(YEAR_Y-2,12,31))/100)))</f>
        <v/>
      </c>
      <c r="AQ158" s="146">
        <f>IF($C158="","",IF(PULL_FUND="N","",IF(COUNTIFS('Fund History'!$G$892:$G$896,"&gt;="&amp;DATE(YEAR_Y-1,1,1),'Fund History'!$G$892:$G$896,"&lt;="&amp;DATE(YEAR_Y-1,12,31))=0,"",SUMIFS('Fund History'!$H$892:$H$896,'Fund History'!$G$892:$G$896,"&gt;="&amp;DATE(YEAR_Y-1,1,1),'Fund History'!$G$892:$G$896,"&lt;="&amp;DATE(YEAR_Y-1,12,31))/100)))</f>
        <v/>
      </c>
      <c r="AR158" s="147">
        <f>IF($C158="","",IF(N($AQ158)+N(HSCEI!$I$13)=0,"",N($AQ158)+N(HSCEI!$I$13)/100))</f>
        <v/>
      </c>
      <c r="AS158" s="139">
        <f>IF($C158="","",IF(PULL_FUND="N","",IF(COUNTIFS('Fund History'!$D$892:$D$896,"&gt;="&amp;DATE(YEAR_Y-2,1,1),'Fund History'!$D$892:$D$896,"&lt;="&amp;DATE(YEAR_Y-2,12,31))=0,"",SUMIFS('Fund History'!$E$892:$E$896,'Fund History'!$D$892:$D$896,"&gt;="&amp;DATE(YEAR_Y-2,1,1),'Fund History'!$D$892:$D$896,"&lt;="&amp;DATE(YEAR_Y-2,12,31)))))</f>
        <v/>
      </c>
      <c r="AT158" s="140">
        <f>IF($C158="","",IF(PULL_FUND="N","",IF(COUNTIFS('Fund History'!$D$892:$D$896,"&gt;="&amp;DATE(YEAR_Y-1,1,1),'Fund History'!$D$892:$D$896,"&lt;="&amp;DATE(YEAR_Y-1,12,31))=0,"",SUMIFS('Fund History'!$E$892:$E$896,'Fund History'!$D$892:$D$896,"&gt;="&amp;DATE(YEAR_Y-1,1,1),'Fund History'!$D$892:$D$896,"&lt;="&amp;DATE(YEAR_Y-1,12,31)))))</f>
        <v/>
      </c>
      <c r="AU158" s="140">
        <f>IF($C158="","",IF(PULL_FUND="N","",IFERROR(BDP($C158,NDEBITDA_FIELD),"")))</f>
        <v/>
      </c>
      <c r="AV158" s="148">
        <f>IF($C158="","",IF(PULL_FUND="N","",IFERROR(BDP($C158,EBINT_FIELD),"")))</f>
        <v/>
      </c>
      <c r="AW158" s="146">
        <f>IF($C158="","",IF(PULL_FUND="N","",IFERROR(BDP($C158,FCF_FIELD)/100,"")))</f>
        <v/>
      </c>
      <c r="AX158" s="126">
        <f>IF($C158="","",IF(N($U158)=0,"",IFERROR($AW158/$U158,"")))</f>
        <v/>
      </c>
      <c r="AY158" s="85">
        <f>IF($C158="","",TRIM(IF(ISNUMBER($AJ158)*(N($AJ158)&gt;$D$4)&gt;0,"payout high  ","")&amp;IF(ISNUMBER($AX158)*(N($AX158)&lt;$F$4)&gt;0,"FCF below dvd  ","")&amp;IF(ISNUMBER($AU158)*(N($AU158)&gt;$H$4)&gt;0,"leverage high","")))</f>
        <v/>
      </c>
      <c r="AZ158" s="86">
        <f>IF($C158="","",IF(HSCEI!$F$13="HKD","",HSCEI!$F$13))</f>
        <v/>
      </c>
    </row>
    <row r="159">
      <c r="B159" s="66" t="inlineStr">
        <is>
          <t>HSCEI</t>
        </is>
      </c>
      <c r="C159" s="8">
        <f>IF(HSCEI!$C$14="","",HSCEI!$C$14)</f>
        <v/>
      </c>
      <c r="D159" s="8">
        <f>IF($C159="","",HSCEI!$D$14)</f>
        <v/>
      </c>
      <c r="E159" s="8">
        <f>IF($C159="","",HSCEI!$E$14)</f>
        <v/>
      </c>
      <c r="F159" s="131">
        <f>IF($C159="","",SUMPRODUCT(('Dvd Calendar'!$E$1638:$AR$1638&gt;=DATE(YEAR_Y-5,1,1))*('Dvd Calendar'!$E$1638:$AR$1638&lt;=DATE(YEAR_Y-5,12,31))*'Dvd Calendar'!$E$1641:$AR$1641*(('Dvd Calendar'!$E$1643:$AR$1643=TYPE1)*(TYPE1&lt;&gt;"")+('Dvd Calendar'!$E$1643:$AR$1643=TYPE2)*(TYPE2&lt;&gt;"")+('Dvd Calendar'!$E$1643:$AR$1643=TYPE3)*(TYPE3&lt;&gt;"")+('Dvd Calendar'!$E$1643:$AR$1643=TYPE4)*(TYPE4&lt;&gt;"")+('Dvd Calendar'!$E$1643:$AR$1643=SPECIAL_LBL)*(INC_SPECIALS="Y"))))</f>
        <v/>
      </c>
      <c r="G159" s="132">
        <f>IF($C159="","",SUMPRODUCT(('Dvd Calendar'!$E$1638:$AR$1638&gt;=DATE(YEAR_Y-4,1,1))*('Dvd Calendar'!$E$1638:$AR$1638&lt;=DATE(YEAR_Y-4,12,31))*'Dvd Calendar'!$E$1641:$AR$1641*(('Dvd Calendar'!$E$1643:$AR$1643=TYPE1)*(TYPE1&lt;&gt;"")+('Dvd Calendar'!$E$1643:$AR$1643=TYPE2)*(TYPE2&lt;&gt;"")+('Dvd Calendar'!$E$1643:$AR$1643=TYPE3)*(TYPE3&lt;&gt;"")+('Dvd Calendar'!$E$1643:$AR$1643=TYPE4)*(TYPE4&lt;&gt;"")+('Dvd Calendar'!$E$1643:$AR$1643=SPECIAL_LBL)*(INC_SPECIALS="Y"))))</f>
        <v/>
      </c>
      <c r="H159" s="132">
        <f>IF($C159="","",SUMPRODUCT(('Dvd Calendar'!$E$1638:$AR$1638&gt;=DATE(YEAR_Y-3,1,1))*('Dvd Calendar'!$E$1638:$AR$1638&lt;=DATE(YEAR_Y-3,12,31))*'Dvd Calendar'!$E$1641:$AR$1641*(('Dvd Calendar'!$E$1643:$AR$1643=TYPE1)*(TYPE1&lt;&gt;"")+('Dvd Calendar'!$E$1643:$AR$1643=TYPE2)*(TYPE2&lt;&gt;"")+('Dvd Calendar'!$E$1643:$AR$1643=TYPE3)*(TYPE3&lt;&gt;"")+('Dvd Calendar'!$E$1643:$AR$1643=TYPE4)*(TYPE4&lt;&gt;"")+('Dvd Calendar'!$E$1643:$AR$1643=SPECIAL_LBL)*(INC_SPECIALS="Y"))))</f>
        <v/>
      </c>
      <c r="I159" s="132">
        <f>IF($C159="","",SUMPRODUCT(('Dvd Calendar'!$E$1638:$AR$1638&gt;=DATE(YEAR_Y-2,1,1))*('Dvd Calendar'!$E$1638:$AR$1638&lt;=DATE(YEAR_Y-2,12,31))*'Dvd Calendar'!$E$1641:$AR$1641*(('Dvd Calendar'!$E$1643:$AR$1643=TYPE1)*(TYPE1&lt;&gt;"")+('Dvd Calendar'!$E$1643:$AR$1643=TYPE2)*(TYPE2&lt;&gt;"")+('Dvd Calendar'!$E$1643:$AR$1643=TYPE3)*(TYPE3&lt;&gt;"")+('Dvd Calendar'!$E$1643:$AR$1643=TYPE4)*(TYPE4&lt;&gt;"")+('Dvd Calendar'!$E$1643:$AR$1643=SPECIAL_LBL)*(INC_SPECIALS="Y"))))</f>
        <v/>
      </c>
      <c r="J159" s="132">
        <f>IF($C159="","",SUMPRODUCT(('Dvd Calendar'!$E$1638:$AR$1638&gt;=DATE(YEAR_Y-1,1,1))*('Dvd Calendar'!$E$1638:$AR$1638&lt;=DATE(YEAR_Y-1,12,31))*'Dvd Calendar'!$E$1641:$AR$1641*(('Dvd Calendar'!$E$1643:$AR$1643=TYPE1)*(TYPE1&lt;&gt;"")+('Dvd Calendar'!$E$1643:$AR$1643=TYPE2)*(TYPE2&lt;&gt;"")+('Dvd Calendar'!$E$1643:$AR$1643=TYPE3)*(TYPE3&lt;&gt;"")+('Dvd Calendar'!$E$1643:$AR$1643=TYPE4)*(TYPE4&lt;&gt;"")+('Dvd Calendar'!$E$1643:$AR$1643=SPECIAL_LBL)*(INC_SPECIALS="Y"))))</f>
        <v/>
      </c>
      <c r="K159" s="133">
        <f>IF($C159="","",HSCEI!$J$14)</f>
        <v/>
      </c>
      <c r="L159" s="133">
        <f>IF($C159="","",HSCEI!$K$14)</f>
        <v/>
      </c>
      <c r="M159" s="124">
        <f>IF($C159="","",HSCEI!$J$14+HSCEI!$L$14)</f>
        <v/>
      </c>
      <c r="N159" s="134">
        <f>IF($C159="","",IF(PULL_FUND="N","",IFERROR(BDP($C159,BESTDPS_FIELD,FWD_OVERRIDE,TEXT(MOD(YEAR_Y,100),"00")&amp;"Y"),"")))</f>
        <v/>
      </c>
      <c r="O159" s="133">
        <f>IF($C159="","",AVERAGE(F159:J159))</f>
        <v/>
      </c>
      <c r="P159" s="135">
        <f>IF($C159="","",IF(PULL_FUND="N","",IF(COUNTIFS('Fund History'!$J$898:$J$902,"&gt;="&amp;DATE(YEAR_Y-5,1,1),'Fund History'!$J$898:$J$902,"&lt;="&amp;DATE(YEAR_Y-5,12,31))=0,"",IFERROR($F159*HSCEI!$G$14/SUMIFS('Fund History'!$K$898:$K$902,'Fund History'!$J$898:$J$902,"&gt;="&amp;DATE(YEAR_Y-5,1,1),'Fund History'!$J$898:$J$902,"&lt;="&amp;DATE(YEAR_Y-5,12,31)),""))))</f>
        <v/>
      </c>
      <c r="Q159" s="136">
        <f>IF($C159="","",IF(PULL_FUND="N","",IF(COUNTIFS('Fund History'!$J$898:$J$902,"&gt;="&amp;DATE(YEAR_Y-4,1,1),'Fund History'!$J$898:$J$902,"&lt;="&amp;DATE(YEAR_Y-4,12,31))=0,"",IFERROR($G159*HSCEI!$G$14/SUMIFS('Fund History'!$K$898:$K$902,'Fund History'!$J$898:$J$902,"&gt;="&amp;DATE(YEAR_Y-4,1,1),'Fund History'!$J$898:$J$902,"&lt;="&amp;DATE(YEAR_Y-4,12,31)),""))))</f>
        <v/>
      </c>
      <c r="R159" s="136">
        <f>IF($C159="","",IF(PULL_FUND="N","",IF(COUNTIFS('Fund History'!$J$898:$J$902,"&gt;="&amp;DATE(YEAR_Y-3,1,1),'Fund History'!$J$898:$J$902,"&lt;="&amp;DATE(YEAR_Y-3,12,31))=0,"",IFERROR($H159*HSCEI!$G$14/SUMIFS('Fund History'!$K$898:$K$902,'Fund History'!$J$898:$J$902,"&gt;="&amp;DATE(YEAR_Y-3,1,1),'Fund History'!$J$898:$J$902,"&lt;="&amp;DATE(YEAR_Y-3,12,31)),""))))</f>
        <v/>
      </c>
      <c r="S159" s="136">
        <f>IF($C159="","",IF(PULL_FUND="N","",IF(COUNTIFS('Fund History'!$J$898:$J$902,"&gt;="&amp;DATE(YEAR_Y-2,1,1),'Fund History'!$J$898:$J$902,"&lt;="&amp;DATE(YEAR_Y-2,12,31))=0,"",IFERROR($I159*HSCEI!$G$14/SUMIFS('Fund History'!$K$898:$K$902,'Fund History'!$J$898:$J$902,"&gt;="&amp;DATE(YEAR_Y-2,1,1),'Fund History'!$J$898:$J$902,"&lt;="&amp;DATE(YEAR_Y-2,12,31)),""))))</f>
        <v/>
      </c>
      <c r="T159" s="136">
        <f>IF($C159="","",IF(PULL_FUND="N","",IF(COUNTIFS('Fund History'!$J$898:$J$902,"&gt;="&amp;DATE(YEAR_Y-1,1,1),'Fund History'!$J$898:$J$902,"&lt;="&amp;DATE(YEAR_Y-1,12,31))=0,"",IFERROR($J159*HSCEI!$G$14/SUMIFS('Fund History'!$K$898:$K$902,'Fund History'!$J$898:$J$902,"&gt;="&amp;DATE(YEAR_Y-1,1,1),'Fund History'!$J$898:$J$902,"&lt;="&amp;DATE(YEAR_Y-1,12,31)),""))))</f>
        <v/>
      </c>
      <c r="U159" s="137">
        <f>IF($C159="","",IF(ISNUMBER(HSCEI!$I$14),HSCEI!$I$14/100,""))</f>
        <v/>
      </c>
      <c r="V159" s="138">
        <f>IF($C159="","",IF(ISNUMBER(HSCEI!$X$14),IFERROR($M159*HSCEI!$G$14/HSCEI!$X$14,""),""))</f>
        <v/>
      </c>
      <c r="W159" s="137">
        <f>IF($C159="","",IF(ISNUMBER($N159),IFERROR($N159*HSCEI!$G$14/HSCEI!$X$14,""),""))</f>
        <v/>
      </c>
      <c r="X159" s="139">
        <f>IF($C159="","",IF(PULL_FUND="N","",IFERROR(BDP($C159,EPS_FIELD,YR_OVERRIDE,TEXT(YEAR_Y-5,"0")),"")))</f>
        <v/>
      </c>
      <c r="Y159" s="140">
        <f>IF($C159="","",IF(PULL_FUND="N","",IFERROR(BDP($C159,EPS_FIELD,YR_OVERRIDE,TEXT(YEAR_Y-4,"0")),"")))</f>
        <v/>
      </c>
      <c r="Z159" s="140">
        <f>IF($C159="","",IF(PULL_FUND="N","",IFERROR(BDP($C159,EPS_FIELD,YR_OVERRIDE,TEXT(YEAR_Y-3,"0")),"")))</f>
        <v/>
      </c>
      <c r="AA159" s="140">
        <f>IF($C159="","",IF(PULL_FUND="N","",IFERROR(BDP($C159,EPS_FIELD,YR_OVERRIDE,TEXT(YEAR_Y-2,"0")),"")))</f>
        <v/>
      </c>
      <c r="AB159" s="140">
        <f>IF($C159="","",IF(PULL_FUND="N","",IFERROR(BDP($C159,EPS_FIELD,YR_OVERRIDE,TEXT(YEAR_Y-1,"0")),"")))</f>
        <v/>
      </c>
      <c r="AC159" s="126">
        <f>IF($C159="","",IFERROR(AVERAGE(X159:AB159),""))</f>
        <v/>
      </c>
      <c r="AD159" s="140">
        <f>IF($C159="","",IF(PULL_FUND="N","",IFERROR(BDP($C159,BESTEPS_FIELD,FWD_OVERRIDE,TEXT(MOD(YEAR_Y,100),"00")&amp;"Y"),"")))</f>
        <v/>
      </c>
      <c r="AE159" s="141">
        <f>IF($C159="","",IF(PULL_FUND="N","",IFERROR(BDP($C159,PAYOUT_FIELD,YR_OVERRIDE,TEXT(YEAR_Y-5,"0"))/100,"")))</f>
        <v/>
      </c>
      <c r="AF159" s="142">
        <f>IF($C159="","",IF(PULL_FUND="N","",IFERROR(BDP($C159,PAYOUT_FIELD,YR_OVERRIDE,TEXT(YEAR_Y-4,"0"))/100,"")))</f>
        <v/>
      </c>
      <c r="AG159" s="142">
        <f>IF($C159="","",IF(PULL_FUND="N","",IFERROR(BDP($C159,PAYOUT_FIELD,YR_OVERRIDE,TEXT(YEAR_Y-3,"0"))/100,"")))</f>
        <v/>
      </c>
      <c r="AH159" s="142">
        <f>IF($C159="","",IF(PULL_FUND="N","",IFERROR(BDP($C159,PAYOUT_FIELD,YR_OVERRIDE,TEXT(YEAR_Y-2,"0"))/100,"")))</f>
        <v/>
      </c>
      <c r="AI159" s="142">
        <f>IF($C159="","",IF(PULL_FUND="N","",IFERROR(BDP($C159,PAYOUT_FIELD,YR_OVERRIDE,TEXT(YEAR_Y-1,"0"))/100,"")))</f>
        <v/>
      </c>
      <c r="AJ159" s="143">
        <f>IF($C159="","",IFERROR(AVERAGE(AE159:AI159),""))</f>
        <v/>
      </c>
      <c r="AK159" s="144">
        <f>IF($C159="","",IF(ISNUMBER($AD159)*ISNUMBER($N159)*($AD159&lt;&gt;0)=0,"",$N159/$AD159))</f>
        <v/>
      </c>
      <c r="AL159" s="143">
        <f>IF($C159="","",IF(ISNUMBER($AD159)*($AD159&lt;&gt;0)=0,"",$M159/$AD159))</f>
        <v/>
      </c>
      <c r="AM159" s="37">
        <f>IF($C159="","",IF(ISNUMBER($AE159)*ISNUMBER($AI159)=0,"",IF($AI159&gt;$AE159+0.05,"rising",IF($AI159&lt;$AE159-0.05,"falling","stable"))))</f>
        <v/>
      </c>
      <c r="AN159" s="145">
        <f>IF($C159="","",IF(PULL_FUND="N","",IF(COUNTIFS('Fund History'!$G$898:$G$902,"&gt;="&amp;DATE(YEAR_Y-4,1,1),'Fund History'!$G$898:$G$902,"&lt;="&amp;DATE(YEAR_Y-4,12,31))=0,"",SUMIFS('Fund History'!$H$898:$H$902,'Fund History'!$G$898:$G$902,"&gt;="&amp;DATE(YEAR_Y-4,1,1),'Fund History'!$G$898:$G$902,"&lt;="&amp;DATE(YEAR_Y-4,12,31))/100)))</f>
        <v/>
      </c>
      <c r="AO159" s="146">
        <f>IF($C159="","",IF(PULL_FUND="N","",IF(COUNTIFS('Fund History'!$G$898:$G$902,"&gt;="&amp;DATE(YEAR_Y-3,1,1),'Fund History'!$G$898:$G$902,"&lt;="&amp;DATE(YEAR_Y-3,12,31))=0,"",SUMIFS('Fund History'!$H$898:$H$902,'Fund History'!$G$898:$G$902,"&gt;="&amp;DATE(YEAR_Y-3,1,1),'Fund History'!$G$898:$G$902,"&lt;="&amp;DATE(YEAR_Y-3,12,31))/100)))</f>
        <v/>
      </c>
      <c r="AP159" s="146">
        <f>IF($C159="","",IF(PULL_FUND="N","",IF(COUNTIFS('Fund History'!$G$898:$G$902,"&gt;="&amp;DATE(YEAR_Y-2,1,1),'Fund History'!$G$898:$G$902,"&lt;="&amp;DATE(YEAR_Y-2,12,31))=0,"",SUMIFS('Fund History'!$H$898:$H$902,'Fund History'!$G$898:$G$902,"&gt;="&amp;DATE(YEAR_Y-2,1,1),'Fund History'!$G$898:$G$902,"&lt;="&amp;DATE(YEAR_Y-2,12,31))/100)))</f>
        <v/>
      </c>
      <c r="AQ159" s="146">
        <f>IF($C159="","",IF(PULL_FUND="N","",IF(COUNTIFS('Fund History'!$G$898:$G$902,"&gt;="&amp;DATE(YEAR_Y-1,1,1),'Fund History'!$G$898:$G$902,"&lt;="&amp;DATE(YEAR_Y-1,12,31))=0,"",SUMIFS('Fund History'!$H$898:$H$902,'Fund History'!$G$898:$G$902,"&gt;="&amp;DATE(YEAR_Y-1,1,1),'Fund History'!$G$898:$G$902,"&lt;="&amp;DATE(YEAR_Y-1,12,31))/100)))</f>
        <v/>
      </c>
      <c r="AR159" s="147">
        <f>IF($C159="","",IF(N($AQ159)+N(HSCEI!$I$14)=0,"",N($AQ159)+N(HSCEI!$I$14)/100))</f>
        <v/>
      </c>
      <c r="AS159" s="139">
        <f>IF($C159="","",IF(PULL_FUND="N","",IF(COUNTIFS('Fund History'!$D$898:$D$902,"&gt;="&amp;DATE(YEAR_Y-2,1,1),'Fund History'!$D$898:$D$902,"&lt;="&amp;DATE(YEAR_Y-2,12,31))=0,"",SUMIFS('Fund History'!$E$898:$E$902,'Fund History'!$D$898:$D$902,"&gt;="&amp;DATE(YEAR_Y-2,1,1),'Fund History'!$D$898:$D$902,"&lt;="&amp;DATE(YEAR_Y-2,12,31)))))</f>
        <v/>
      </c>
      <c r="AT159" s="140">
        <f>IF($C159="","",IF(PULL_FUND="N","",IF(COUNTIFS('Fund History'!$D$898:$D$902,"&gt;="&amp;DATE(YEAR_Y-1,1,1),'Fund History'!$D$898:$D$902,"&lt;="&amp;DATE(YEAR_Y-1,12,31))=0,"",SUMIFS('Fund History'!$E$898:$E$902,'Fund History'!$D$898:$D$902,"&gt;="&amp;DATE(YEAR_Y-1,1,1),'Fund History'!$D$898:$D$902,"&lt;="&amp;DATE(YEAR_Y-1,12,31)))))</f>
        <v/>
      </c>
      <c r="AU159" s="140">
        <f>IF($C159="","",IF(PULL_FUND="N","",IFERROR(BDP($C159,NDEBITDA_FIELD),"")))</f>
        <v/>
      </c>
      <c r="AV159" s="148">
        <f>IF($C159="","",IF(PULL_FUND="N","",IFERROR(BDP($C159,EBINT_FIELD),"")))</f>
        <v/>
      </c>
      <c r="AW159" s="146">
        <f>IF($C159="","",IF(PULL_FUND="N","",IFERROR(BDP($C159,FCF_FIELD)/100,"")))</f>
        <v/>
      </c>
      <c r="AX159" s="126">
        <f>IF($C159="","",IF(N($U159)=0,"",IFERROR($AW159/$U159,"")))</f>
        <v/>
      </c>
      <c r="AY159" s="85">
        <f>IF($C159="","",TRIM(IF(ISNUMBER($AJ159)*(N($AJ159)&gt;$D$4)&gt;0,"payout high  ","")&amp;IF(ISNUMBER($AX159)*(N($AX159)&lt;$F$4)&gt;0,"FCF below dvd  ","")&amp;IF(ISNUMBER($AU159)*(N($AU159)&gt;$H$4)&gt;0,"leverage high","")))</f>
        <v/>
      </c>
      <c r="AZ159" s="86">
        <f>IF($C159="","",IF(HSCEI!$F$14="HKD","",HSCEI!$F$14))</f>
        <v/>
      </c>
    </row>
    <row r="160">
      <c r="B160" s="66" t="inlineStr">
        <is>
          <t>HSCEI</t>
        </is>
      </c>
      <c r="C160" s="8">
        <f>IF(HSCEI!$C$15="","",HSCEI!$C$15)</f>
        <v/>
      </c>
      <c r="D160" s="8">
        <f>IF($C160="","",HSCEI!$D$15)</f>
        <v/>
      </c>
      <c r="E160" s="8">
        <f>IF($C160="","",HSCEI!$E$15)</f>
        <v/>
      </c>
      <c r="F160" s="131">
        <f>IF($C160="","",SUMPRODUCT(('Dvd Calendar'!$E$1649:$AR$1649&gt;=DATE(YEAR_Y-5,1,1))*('Dvd Calendar'!$E$1649:$AR$1649&lt;=DATE(YEAR_Y-5,12,31))*'Dvd Calendar'!$E$1652:$AR$1652*(('Dvd Calendar'!$E$1654:$AR$1654=TYPE1)*(TYPE1&lt;&gt;"")+('Dvd Calendar'!$E$1654:$AR$1654=TYPE2)*(TYPE2&lt;&gt;"")+('Dvd Calendar'!$E$1654:$AR$1654=TYPE3)*(TYPE3&lt;&gt;"")+('Dvd Calendar'!$E$1654:$AR$1654=TYPE4)*(TYPE4&lt;&gt;"")+('Dvd Calendar'!$E$1654:$AR$1654=SPECIAL_LBL)*(INC_SPECIALS="Y"))))</f>
        <v/>
      </c>
      <c r="G160" s="132">
        <f>IF($C160="","",SUMPRODUCT(('Dvd Calendar'!$E$1649:$AR$1649&gt;=DATE(YEAR_Y-4,1,1))*('Dvd Calendar'!$E$1649:$AR$1649&lt;=DATE(YEAR_Y-4,12,31))*'Dvd Calendar'!$E$1652:$AR$1652*(('Dvd Calendar'!$E$1654:$AR$1654=TYPE1)*(TYPE1&lt;&gt;"")+('Dvd Calendar'!$E$1654:$AR$1654=TYPE2)*(TYPE2&lt;&gt;"")+('Dvd Calendar'!$E$1654:$AR$1654=TYPE3)*(TYPE3&lt;&gt;"")+('Dvd Calendar'!$E$1654:$AR$1654=TYPE4)*(TYPE4&lt;&gt;"")+('Dvd Calendar'!$E$1654:$AR$1654=SPECIAL_LBL)*(INC_SPECIALS="Y"))))</f>
        <v/>
      </c>
      <c r="H160" s="132">
        <f>IF($C160="","",SUMPRODUCT(('Dvd Calendar'!$E$1649:$AR$1649&gt;=DATE(YEAR_Y-3,1,1))*('Dvd Calendar'!$E$1649:$AR$1649&lt;=DATE(YEAR_Y-3,12,31))*'Dvd Calendar'!$E$1652:$AR$1652*(('Dvd Calendar'!$E$1654:$AR$1654=TYPE1)*(TYPE1&lt;&gt;"")+('Dvd Calendar'!$E$1654:$AR$1654=TYPE2)*(TYPE2&lt;&gt;"")+('Dvd Calendar'!$E$1654:$AR$1654=TYPE3)*(TYPE3&lt;&gt;"")+('Dvd Calendar'!$E$1654:$AR$1654=TYPE4)*(TYPE4&lt;&gt;"")+('Dvd Calendar'!$E$1654:$AR$1654=SPECIAL_LBL)*(INC_SPECIALS="Y"))))</f>
        <v/>
      </c>
      <c r="I160" s="132">
        <f>IF($C160="","",SUMPRODUCT(('Dvd Calendar'!$E$1649:$AR$1649&gt;=DATE(YEAR_Y-2,1,1))*('Dvd Calendar'!$E$1649:$AR$1649&lt;=DATE(YEAR_Y-2,12,31))*'Dvd Calendar'!$E$1652:$AR$1652*(('Dvd Calendar'!$E$1654:$AR$1654=TYPE1)*(TYPE1&lt;&gt;"")+('Dvd Calendar'!$E$1654:$AR$1654=TYPE2)*(TYPE2&lt;&gt;"")+('Dvd Calendar'!$E$1654:$AR$1654=TYPE3)*(TYPE3&lt;&gt;"")+('Dvd Calendar'!$E$1654:$AR$1654=TYPE4)*(TYPE4&lt;&gt;"")+('Dvd Calendar'!$E$1654:$AR$1654=SPECIAL_LBL)*(INC_SPECIALS="Y"))))</f>
        <v/>
      </c>
      <c r="J160" s="132">
        <f>IF($C160="","",SUMPRODUCT(('Dvd Calendar'!$E$1649:$AR$1649&gt;=DATE(YEAR_Y-1,1,1))*('Dvd Calendar'!$E$1649:$AR$1649&lt;=DATE(YEAR_Y-1,12,31))*'Dvd Calendar'!$E$1652:$AR$1652*(('Dvd Calendar'!$E$1654:$AR$1654=TYPE1)*(TYPE1&lt;&gt;"")+('Dvd Calendar'!$E$1654:$AR$1654=TYPE2)*(TYPE2&lt;&gt;"")+('Dvd Calendar'!$E$1654:$AR$1654=TYPE3)*(TYPE3&lt;&gt;"")+('Dvd Calendar'!$E$1654:$AR$1654=TYPE4)*(TYPE4&lt;&gt;"")+('Dvd Calendar'!$E$1654:$AR$1654=SPECIAL_LBL)*(INC_SPECIALS="Y"))))</f>
        <v/>
      </c>
      <c r="K160" s="133">
        <f>IF($C160="","",HSCEI!$J$15)</f>
        <v/>
      </c>
      <c r="L160" s="133">
        <f>IF($C160="","",HSCEI!$K$15)</f>
        <v/>
      </c>
      <c r="M160" s="124">
        <f>IF($C160="","",HSCEI!$J$15+HSCEI!$L$15)</f>
        <v/>
      </c>
      <c r="N160" s="134">
        <f>IF($C160="","",IF(PULL_FUND="N","",IFERROR(BDP($C160,BESTDPS_FIELD,FWD_OVERRIDE,TEXT(MOD(YEAR_Y,100),"00")&amp;"Y"),"")))</f>
        <v/>
      </c>
      <c r="O160" s="133">
        <f>IF($C160="","",AVERAGE(F160:J160))</f>
        <v/>
      </c>
      <c r="P160" s="135">
        <f>IF($C160="","",IF(PULL_FUND="N","",IF(COUNTIFS('Fund History'!$J$904:$J$908,"&gt;="&amp;DATE(YEAR_Y-5,1,1),'Fund History'!$J$904:$J$908,"&lt;="&amp;DATE(YEAR_Y-5,12,31))=0,"",IFERROR($F160*HSCEI!$G$15/SUMIFS('Fund History'!$K$904:$K$908,'Fund History'!$J$904:$J$908,"&gt;="&amp;DATE(YEAR_Y-5,1,1),'Fund History'!$J$904:$J$908,"&lt;="&amp;DATE(YEAR_Y-5,12,31)),""))))</f>
        <v/>
      </c>
      <c r="Q160" s="136">
        <f>IF($C160="","",IF(PULL_FUND="N","",IF(COUNTIFS('Fund History'!$J$904:$J$908,"&gt;="&amp;DATE(YEAR_Y-4,1,1),'Fund History'!$J$904:$J$908,"&lt;="&amp;DATE(YEAR_Y-4,12,31))=0,"",IFERROR($G160*HSCEI!$G$15/SUMIFS('Fund History'!$K$904:$K$908,'Fund History'!$J$904:$J$908,"&gt;="&amp;DATE(YEAR_Y-4,1,1),'Fund History'!$J$904:$J$908,"&lt;="&amp;DATE(YEAR_Y-4,12,31)),""))))</f>
        <v/>
      </c>
      <c r="R160" s="136">
        <f>IF($C160="","",IF(PULL_FUND="N","",IF(COUNTIFS('Fund History'!$J$904:$J$908,"&gt;="&amp;DATE(YEAR_Y-3,1,1),'Fund History'!$J$904:$J$908,"&lt;="&amp;DATE(YEAR_Y-3,12,31))=0,"",IFERROR($H160*HSCEI!$G$15/SUMIFS('Fund History'!$K$904:$K$908,'Fund History'!$J$904:$J$908,"&gt;="&amp;DATE(YEAR_Y-3,1,1),'Fund History'!$J$904:$J$908,"&lt;="&amp;DATE(YEAR_Y-3,12,31)),""))))</f>
        <v/>
      </c>
      <c r="S160" s="136">
        <f>IF($C160="","",IF(PULL_FUND="N","",IF(COUNTIFS('Fund History'!$J$904:$J$908,"&gt;="&amp;DATE(YEAR_Y-2,1,1),'Fund History'!$J$904:$J$908,"&lt;="&amp;DATE(YEAR_Y-2,12,31))=0,"",IFERROR($I160*HSCEI!$G$15/SUMIFS('Fund History'!$K$904:$K$908,'Fund History'!$J$904:$J$908,"&gt;="&amp;DATE(YEAR_Y-2,1,1),'Fund History'!$J$904:$J$908,"&lt;="&amp;DATE(YEAR_Y-2,12,31)),""))))</f>
        <v/>
      </c>
      <c r="T160" s="136">
        <f>IF($C160="","",IF(PULL_FUND="N","",IF(COUNTIFS('Fund History'!$J$904:$J$908,"&gt;="&amp;DATE(YEAR_Y-1,1,1),'Fund History'!$J$904:$J$908,"&lt;="&amp;DATE(YEAR_Y-1,12,31))=0,"",IFERROR($J160*HSCEI!$G$15/SUMIFS('Fund History'!$K$904:$K$908,'Fund History'!$J$904:$J$908,"&gt;="&amp;DATE(YEAR_Y-1,1,1),'Fund History'!$J$904:$J$908,"&lt;="&amp;DATE(YEAR_Y-1,12,31)),""))))</f>
        <v/>
      </c>
      <c r="U160" s="137">
        <f>IF($C160="","",IF(ISNUMBER(HSCEI!$I$15),HSCEI!$I$15/100,""))</f>
        <v/>
      </c>
      <c r="V160" s="138">
        <f>IF($C160="","",IF(ISNUMBER(HSCEI!$X$15),IFERROR($M160*HSCEI!$G$15/HSCEI!$X$15,""),""))</f>
        <v/>
      </c>
      <c r="W160" s="137">
        <f>IF($C160="","",IF(ISNUMBER($N160),IFERROR($N160*HSCEI!$G$15/HSCEI!$X$15,""),""))</f>
        <v/>
      </c>
      <c r="X160" s="139">
        <f>IF($C160="","",IF(PULL_FUND="N","",IFERROR(BDP($C160,EPS_FIELD,YR_OVERRIDE,TEXT(YEAR_Y-5,"0")),"")))</f>
        <v/>
      </c>
      <c r="Y160" s="140">
        <f>IF($C160="","",IF(PULL_FUND="N","",IFERROR(BDP($C160,EPS_FIELD,YR_OVERRIDE,TEXT(YEAR_Y-4,"0")),"")))</f>
        <v/>
      </c>
      <c r="Z160" s="140">
        <f>IF($C160="","",IF(PULL_FUND="N","",IFERROR(BDP($C160,EPS_FIELD,YR_OVERRIDE,TEXT(YEAR_Y-3,"0")),"")))</f>
        <v/>
      </c>
      <c r="AA160" s="140">
        <f>IF($C160="","",IF(PULL_FUND="N","",IFERROR(BDP($C160,EPS_FIELD,YR_OVERRIDE,TEXT(YEAR_Y-2,"0")),"")))</f>
        <v/>
      </c>
      <c r="AB160" s="140">
        <f>IF($C160="","",IF(PULL_FUND="N","",IFERROR(BDP($C160,EPS_FIELD,YR_OVERRIDE,TEXT(YEAR_Y-1,"0")),"")))</f>
        <v/>
      </c>
      <c r="AC160" s="126">
        <f>IF($C160="","",IFERROR(AVERAGE(X160:AB160),""))</f>
        <v/>
      </c>
      <c r="AD160" s="140">
        <f>IF($C160="","",IF(PULL_FUND="N","",IFERROR(BDP($C160,BESTEPS_FIELD,FWD_OVERRIDE,TEXT(MOD(YEAR_Y,100),"00")&amp;"Y"),"")))</f>
        <v/>
      </c>
      <c r="AE160" s="141">
        <f>IF($C160="","",IF(PULL_FUND="N","",IFERROR(BDP($C160,PAYOUT_FIELD,YR_OVERRIDE,TEXT(YEAR_Y-5,"0"))/100,"")))</f>
        <v/>
      </c>
      <c r="AF160" s="142">
        <f>IF($C160="","",IF(PULL_FUND="N","",IFERROR(BDP($C160,PAYOUT_FIELD,YR_OVERRIDE,TEXT(YEAR_Y-4,"0"))/100,"")))</f>
        <v/>
      </c>
      <c r="AG160" s="142">
        <f>IF($C160="","",IF(PULL_FUND="N","",IFERROR(BDP($C160,PAYOUT_FIELD,YR_OVERRIDE,TEXT(YEAR_Y-3,"0"))/100,"")))</f>
        <v/>
      </c>
      <c r="AH160" s="142">
        <f>IF($C160="","",IF(PULL_FUND="N","",IFERROR(BDP($C160,PAYOUT_FIELD,YR_OVERRIDE,TEXT(YEAR_Y-2,"0"))/100,"")))</f>
        <v/>
      </c>
      <c r="AI160" s="142">
        <f>IF($C160="","",IF(PULL_FUND="N","",IFERROR(BDP($C160,PAYOUT_FIELD,YR_OVERRIDE,TEXT(YEAR_Y-1,"0"))/100,"")))</f>
        <v/>
      </c>
      <c r="AJ160" s="143">
        <f>IF($C160="","",IFERROR(AVERAGE(AE160:AI160),""))</f>
        <v/>
      </c>
      <c r="AK160" s="144">
        <f>IF($C160="","",IF(ISNUMBER($AD160)*ISNUMBER($N160)*($AD160&lt;&gt;0)=0,"",$N160/$AD160))</f>
        <v/>
      </c>
      <c r="AL160" s="143">
        <f>IF($C160="","",IF(ISNUMBER($AD160)*($AD160&lt;&gt;0)=0,"",$M160/$AD160))</f>
        <v/>
      </c>
      <c r="AM160" s="37">
        <f>IF($C160="","",IF(ISNUMBER($AE160)*ISNUMBER($AI160)=0,"",IF($AI160&gt;$AE160+0.05,"rising",IF($AI160&lt;$AE160-0.05,"falling","stable"))))</f>
        <v/>
      </c>
      <c r="AN160" s="145">
        <f>IF($C160="","",IF(PULL_FUND="N","",IF(COUNTIFS('Fund History'!$G$904:$G$908,"&gt;="&amp;DATE(YEAR_Y-4,1,1),'Fund History'!$G$904:$G$908,"&lt;="&amp;DATE(YEAR_Y-4,12,31))=0,"",SUMIFS('Fund History'!$H$904:$H$908,'Fund History'!$G$904:$G$908,"&gt;="&amp;DATE(YEAR_Y-4,1,1),'Fund History'!$G$904:$G$908,"&lt;="&amp;DATE(YEAR_Y-4,12,31))/100)))</f>
        <v/>
      </c>
      <c r="AO160" s="146">
        <f>IF($C160="","",IF(PULL_FUND="N","",IF(COUNTIFS('Fund History'!$G$904:$G$908,"&gt;="&amp;DATE(YEAR_Y-3,1,1),'Fund History'!$G$904:$G$908,"&lt;="&amp;DATE(YEAR_Y-3,12,31))=0,"",SUMIFS('Fund History'!$H$904:$H$908,'Fund History'!$G$904:$G$908,"&gt;="&amp;DATE(YEAR_Y-3,1,1),'Fund History'!$G$904:$G$908,"&lt;="&amp;DATE(YEAR_Y-3,12,31))/100)))</f>
        <v/>
      </c>
      <c r="AP160" s="146">
        <f>IF($C160="","",IF(PULL_FUND="N","",IF(COUNTIFS('Fund History'!$G$904:$G$908,"&gt;="&amp;DATE(YEAR_Y-2,1,1),'Fund History'!$G$904:$G$908,"&lt;="&amp;DATE(YEAR_Y-2,12,31))=0,"",SUMIFS('Fund History'!$H$904:$H$908,'Fund History'!$G$904:$G$908,"&gt;="&amp;DATE(YEAR_Y-2,1,1),'Fund History'!$G$904:$G$908,"&lt;="&amp;DATE(YEAR_Y-2,12,31))/100)))</f>
        <v/>
      </c>
      <c r="AQ160" s="146">
        <f>IF($C160="","",IF(PULL_FUND="N","",IF(COUNTIFS('Fund History'!$G$904:$G$908,"&gt;="&amp;DATE(YEAR_Y-1,1,1),'Fund History'!$G$904:$G$908,"&lt;="&amp;DATE(YEAR_Y-1,12,31))=0,"",SUMIFS('Fund History'!$H$904:$H$908,'Fund History'!$G$904:$G$908,"&gt;="&amp;DATE(YEAR_Y-1,1,1),'Fund History'!$G$904:$G$908,"&lt;="&amp;DATE(YEAR_Y-1,12,31))/100)))</f>
        <v/>
      </c>
      <c r="AR160" s="147">
        <f>IF($C160="","",IF(N($AQ160)+N(HSCEI!$I$15)=0,"",N($AQ160)+N(HSCEI!$I$15)/100))</f>
        <v/>
      </c>
      <c r="AS160" s="139">
        <f>IF($C160="","",IF(PULL_FUND="N","",IF(COUNTIFS('Fund History'!$D$904:$D$908,"&gt;="&amp;DATE(YEAR_Y-2,1,1),'Fund History'!$D$904:$D$908,"&lt;="&amp;DATE(YEAR_Y-2,12,31))=0,"",SUMIFS('Fund History'!$E$904:$E$908,'Fund History'!$D$904:$D$908,"&gt;="&amp;DATE(YEAR_Y-2,1,1),'Fund History'!$D$904:$D$908,"&lt;="&amp;DATE(YEAR_Y-2,12,31)))))</f>
        <v/>
      </c>
      <c r="AT160" s="140">
        <f>IF($C160="","",IF(PULL_FUND="N","",IF(COUNTIFS('Fund History'!$D$904:$D$908,"&gt;="&amp;DATE(YEAR_Y-1,1,1),'Fund History'!$D$904:$D$908,"&lt;="&amp;DATE(YEAR_Y-1,12,31))=0,"",SUMIFS('Fund History'!$E$904:$E$908,'Fund History'!$D$904:$D$908,"&gt;="&amp;DATE(YEAR_Y-1,1,1),'Fund History'!$D$904:$D$908,"&lt;="&amp;DATE(YEAR_Y-1,12,31)))))</f>
        <v/>
      </c>
      <c r="AU160" s="140">
        <f>IF($C160="","",IF(PULL_FUND="N","",IFERROR(BDP($C160,NDEBITDA_FIELD),"")))</f>
        <v/>
      </c>
      <c r="AV160" s="148">
        <f>IF($C160="","",IF(PULL_FUND="N","",IFERROR(BDP($C160,EBINT_FIELD),"")))</f>
        <v/>
      </c>
      <c r="AW160" s="146">
        <f>IF($C160="","",IF(PULL_FUND="N","",IFERROR(BDP($C160,FCF_FIELD)/100,"")))</f>
        <v/>
      </c>
      <c r="AX160" s="126">
        <f>IF($C160="","",IF(N($U160)=0,"",IFERROR($AW160/$U160,"")))</f>
        <v/>
      </c>
      <c r="AY160" s="85">
        <f>IF($C160="","",TRIM(IF(ISNUMBER($AJ160)*(N($AJ160)&gt;$D$4)&gt;0,"payout high  ","")&amp;IF(ISNUMBER($AX160)*(N($AX160)&lt;$F$4)&gt;0,"FCF below dvd  ","")&amp;IF(ISNUMBER($AU160)*(N($AU160)&gt;$H$4)&gt;0,"leverage high","")))</f>
        <v/>
      </c>
      <c r="AZ160" s="86">
        <f>IF($C160="","",IF(HSCEI!$F$15="HKD","",HSCEI!$F$15))</f>
        <v/>
      </c>
    </row>
    <row r="161">
      <c r="B161" s="66" t="inlineStr">
        <is>
          <t>HSCEI</t>
        </is>
      </c>
      <c r="C161" s="8">
        <f>IF(HSCEI!$C$16="","",HSCEI!$C$16)</f>
        <v/>
      </c>
      <c r="D161" s="8">
        <f>IF($C161="","",HSCEI!$D$16)</f>
        <v/>
      </c>
      <c r="E161" s="8">
        <f>IF($C161="","",HSCEI!$E$16)</f>
        <v/>
      </c>
      <c r="F161" s="131">
        <f>IF($C161="","",SUMPRODUCT(('Dvd Calendar'!$E$1660:$AR$1660&gt;=DATE(YEAR_Y-5,1,1))*('Dvd Calendar'!$E$1660:$AR$1660&lt;=DATE(YEAR_Y-5,12,31))*'Dvd Calendar'!$E$1663:$AR$1663*(('Dvd Calendar'!$E$1665:$AR$1665=TYPE1)*(TYPE1&lt;&gt;"")+('Dvd Calendar'!$E$1665:$AR$1665=TYPE2)*(TYPE2&lt;&gt;"")+('Dvd Calendar'!$E$1665:$AR$1665=TYPE3)*(TYPE3&lt;&gt;"")+('Dvd Calendar'!$E$1665:$AR$1665=TYPE4)*(TYPE4&lt;&gt;"")+('Dvd Calendar'!$E$1665:$AR$1665=SPECIAL_LBL)*(INC_SPECIALS="Y"))))</f>
        <v/>
      </c>
      <c r="G161" s="132">
        <f>IF($C161="","",SUMPRODUCT(('Dvd Calendar'!$E$1660:$AR$1660&gt;=DATE(YEAR_Y-4,1,1))*('Dvd Calendar'!$E$1660:$AR$1660&lt;=DATE(YEAR_Y-4,12,31))*'Dvd Calendar'!$E$1663:$AR$1663*(('Dvd Calendar'!$E$1665:$AR$1665=TYPE1)*(TYPE1&lt;&gt;"")+('Dvd Calendar'!$E$1665:$AR$1665=TYPE2)*(TYPE2&lt;&gt;"")+('Dvd Calendar'!$E$1665:$AR$1665=TYPE3)*(TYPE3&lt;&gt;"")+('Dvd Calendar'!$E$1665:$AR$1665=TYPE4)*(TYPE4&lt;&gt;"")+('Dvd Calendar'!$E$1665:$AR$1665=SPECIAL_LBL)*(INC_SPECIALS="Y"))))</f>
        <v/>
      </c>
      <c r="H161" s="132">
        <f>IF($C161="","",SUMPRODUCT(('Dvd Calendar'!$E$1660:$AR$1660&gt;=DATE(YEAR_Y-3,1,1))*('Dvd Calendar'!$E$1660:$AR$1660&lt;=DATE(YEAR_Y-3,12,31))*'Dvd Calendar'!$E$1663:$AR$1663*(('Dvd Calendar'!$E$1665:$AR$1665=TYPE1)*(TYPE1&lt;&gt;"")+('Dvd Calendar'!$E$1665:$AR$1665=TYPE2)*(TYPE2&lt;&gt;"")+('Dvd Calendar'!$E$1665:$AR$1665=TYPE3)*(TYPE3&lt;&gt;"")+('Dvd Calendar'!$E$1665:$AR$1665=TYPE4)*(TYPE4&lt;&gt;"")+('Dvd Calendar'!$E$1665:$AR$1665=SPECIAL_LBL)*(INC_SPECIALS="Y"))))</f>
        <v/>
      </c>
      <c r="I161" s="132">
        <f>IF($C161="","",SUMPRODUCT(('Dvd Calendar'!$E$1660:$AR$1660&gt;=DATE(YEAR_Y-2,1,1))*('Dvd Calendar'!$E$1660:$AR$1660&lt;=DATE(YEAR_Y-2,12,31))*'Dvd Calendar'!$E$1663:$AR$1663*(('Dvd Calendar'!$E$1665:$AR$1665=TYPE1)*(TYPE1&lt;&gt;"")+('Dvd Calendar'!$E$1665:$AR$1665=TYPE2)*(TYPE2&lt;&gt;"")+('Dvd Calendar'!$E$1665:$AR$1665=TYPE3)*(TYPE3&lt;&gt;"")+('Dvd Calendar'!$E$1665:$AR$1665=TYPE4)*(TYPE4&lt;&gt;"")+('Dvd Calendar'!$E$1665:$AR$1665=SPECIAL_LBL)*(INC_SPECIALS="Y"))))</f>
        <v/>
      </c>
      <c r="J161" s="132">
        <f>IF($C161="","",SUMPRODUCT(('Dvd Calendar'!$E$1660:$AR$1660&gt;=DATE(YEAR_Y-1,1,1))*('Dvd Calendar'!$E$1660:$AR$1660&lt;=DATE(YEAR_Y-1,12,31))*'Dvd Calendar'!$E$1663:$AR$1663*(('Dvd Calendar'!$E$1665:$AR$1665=TYPE1)*(TYPE1&lt;&gt;"")+('Dvd Calendar'!$E$1665:$AR$1665=TYPE2)*(TYPE2&lt;&gt;"")+('Dvd Calendar'!$E$1665:$AR$1665=TYPE3)*(TYPE3&lt;&gt;"")+('Dvd Calendar'!$E$1665:$AR$1665=TYPE4)*(TYPE4&lt;&gt;"")+('Dvd Calendar'!$E$1665:$AR$1665=SPECIAL_LBL)*(INC_SPECIALS="Y"))))</f>
        <v/>
      </c>
      <c r="K161" s="133">
        <f>IF($C161="","",HSCEI!$J$16)</f>
        <v/>
      </c>
      <c r="L161" s="133">
        <f>IF($C161="","",HSCEI!$K$16)</f>
        <v/>
      </c>
      <c r="M161" s="124">
        <f>IF($C161="","",HSCEI!$J$16+HSCEI!$L$16)</f>
        <v/>
      </c>
      <c r="N161" s="134">
        <f>IF($C161="","",IF(PULL_FUND="N","",IFERROR(BDP($C161,BESTDPS_FIELD,FWD_OVERRIDE,TEXT(MOD(YEAR_Y,100),"00")&amp;"Y"),"")))</f>
        <v/>
      </c>
      <c r="O161" s="133">
        <f>IF($C161="","",AVERAGE(F161:J161))</f>
        <v/>
      </c>
      <c r="P161" s="135">
        <f>IF($C161="","",IF(PULL_FUND="N","",IF(COUNTIFS('Fund History'!$J$910:$J$914,"&gt;="&amp;DATE(YEAR_Y-5,1,1),'Fund History'!$J$910:$J$914,"&lt;="&amp;DATE(YEAR_Y-5,12,31))=0,"",IFERROR($F161*HSCEI!$G$16/SUMIFS('Fund History'!$K$910:$K$914,'Fund History'!$J$910:$J$914,"&gt;="&amp;DATE(YEAR_Y-5,1,1),'Fund History'!$J$910:$J$914,"&lt;="&amp;DATE(YEAR_Y-5,12,31)),""))))</f>
        <v/>
      </c>
      <c r="Q161" s="136">
        <f>IF($C161="","",IF(PULL_FUND="N","",IF(COUNTIFS('Fund History'!$J$910:$J$914,"&gt;="&amp;DATE(YEAR_Y-4,1,1),'Fund History'!$J$910:$J$914,"&lt;="&amp;DATE(YEAR_Y-4,12,31))=0,"",IFERROR($G161*HSCEI!$G$16/SUMIFS('Fund History'!$K$910:$K$914,'Fund History'!$J$910:$J$914,"&gt;="&amp;DATE(YEAR_Y-4,1,1),'Fund History'!$J$910:$J$914,"&lt;="&amp;DATE(YEAR_Y-4,12,31)),""))))</f>
        <v/>
      </c>
      <c r="R161" s="136">
        <f>IF($C161="","",IF(PULL_FUND="N","",IF(COUNTIFS('Fund History'!$J$910:$J$914,"&gt;="&amp;DATE(YEAR_Y-3,1,1),'Fund History'!$J$910:$J$914,"&lt;="&amp;DATE(YEAR_Y-3,12,31))=0,"",IFERROR($H161*HSCEI!$G$16/SUMIFS('Fund History'!$K$910:$K$914,'Fund History'!$J$910:$J$914,"&gt;="&amp;DATE(YEAR_Y-3,1,1),'Fund History'!$J$910:$J$914,"&lt;="&amp;DATE(YEAR_Y-3,12,31)),""))))</f>
        <v/>
      </c>
      <c r="S161" s="136">
        <f>IF($C161="","",IF(PULL_FUND="N","",IF(COUNTIFS('Fund History'!$J$910:$J$914,"&gt;="&amp;DATE(YEAR_Y-2,1,1),'Fund History'!$J$910:$J$914,"&lt;="&amp;DATE(YEAR_Y-2,12,31))=0,"",IFERROR($I161*HSCEI!$G$16/SUMIFS('Fund History'!$K$910:$K$914,'Fund History'!$J$910:$J$914,"&gt;="&amp;DATE(YEAR_Y-2,1,1),'Fund History'!$J$910:$J$914,"&lt;="&amp;DATE(YEAR_Y-2,12,31)),""))))</f>
        <v/>
      </c>
      <c r="T161" s="136">
        <f>IF($C161="","",IF(PULL_FUND="N","",IF(COUNTIFS('Fund History'!$J$910:$J$914,"&gt;="&amp;DATE(YEAR_Y-1,1,1),'Fund History'!$J$910:$J$914,"&lt;="&amp;DATE(YEAR_Y-1,12,31))=0,"",IFERROR($J161*HSCEI!$G$16/SUMIFS('Fund History'!$K$910:$K$914,'Fund History'!$J$910:$J$914,"&gt;="&amp;DATE(YEAR_Y-1,1,1),'Fund History'!$J$910:$J$914,"&lt;="&amp;DATE(YEAR_Y-1,12,31)),""))))</f>
        <v/>
      </c>
      <c r="U161" s="137">
        <f>IF($C161="","",IF(ISNUMBER(HSCEI!$I$16),HSCEI!$I$16/100,""))</f>
        <v/>
      </c>
      <c r="V161" s="138">
        <f>IF($C161="","",IF(ISNUMBER(HSCEI!$X$16),IFERROR($M161*HSCEI!$G$16/HSCEI!$X$16,""),""))</f>
        <v/>
      </c>
      <c r="W161" s="137">
        <f>IF($C161="","",IF(ISNUMBER($N161),IFERROR($N161*HSCEI!$G$16/HSCEI!$X$16,""),""))</f>
        <v/>
      </c>
      <c r="X161" s="139">
        <f>IF($C161="","",IF(PULL_FUND="N","",IFERROR(BDP($C161,EPS_FIELD,YR_OVERRIDE,TEXT(YEAR_Y-5,"0")),"")))</f>
        <v/>
      </c>
      <c r="Y161" s="140">
        <f>IF($C161="","",IF(PULL_FUND="N","",IFERROR(BDP($C161,EPS_FIELD,YR_OVERRIDE,TEXT(YEAR_Y-4,"0")),"")))</f>
        <v/>
      </c>
      <c r="Z161" s="140">
        <f>IF($C161="","",IF(PULL_FUND="N","",IFERROR(BDP($C161,EPS_FIELD,YR_OVERRIDE,TEXT(YEAR_Y-3,"0")),"")))</f>
        <v/>
      </c>
      <c r="AA161" s="140">
        <f>IF($C161="","",IF(PULL_FUND="N","",IFERROR(BDP($C161,EPS_FIELD,YR_OVERRIDE,TEXT(YEAR_Y-2,"0")),"")))</f>
        <v/>
      </c>
      <c r="AB161" s="140">
        <f>IF($C161="","",IF(PULL_FUND="N","",IFERROR(BDP($C161,EPS_FIELD,YR_OVERRIDE,TEXT(YEAR_Y-1,"0")),"")))</f>
        <v/>
      </c>
      <c r="AC161" s="126">
        <f>IF($C161="","",IFERROR(AVERAGE(X161:AB161),""))</f>
        <v/>
      </c>
      <c r="AD161" s="140">
        <f>IF($C161="","",IF(PULL_FUND="N","",IFERROR(BDP($C161,BESTEPS_FIELD,FWD_OVERRIDE,TEXT(MOD(YEAR_Y,100),"00")&amp;"Y"),"")))</f>
        <v/>
      </c>
      <c r="AE161" s="141">
        <f>IF($C161="","",IF(PULL_FUND="N","",IFERROR(BDP($C161,PAYOUT_FIELD,YR_OVERRIDE,TEXT(YEAR_Y-5,"0"))/100,"")))</f>
        <v/>
      </c>
      <c r="AF161" s="142">
        <f>IF($C161="","",IF(PULL_FUND="N","",IFERROR(BDP($C161,PAYOUT_FIELD,YR_OVERRIDE,TEXT(YEAR_Y-4,"0"))/100,"")))</f>
        <v/>
      </c>
      <c r="AG161" s="142">
        <f>IF($C161="","",IF(PULL_FUND="N","",IFERROR(BDP($C161,PAYOUT_FIELD,YR_OVERRIDE,TEXT(YEAR_Y-3,"0"))/100,"")))</f>
        <v/>
      </c>
      <c r="AH161" s="142">
        <f>IF($C161="","",IF(PULL_FUND="N","",IFERROR(BDP($C161,PAYOUT_FIELD,YR_OVERRIDE,TEXT(YEAR_Y-2,"0"))/100,"")))</f>
        <v/>
      </c>
      <c r="AI161" s="142">
        <f>IF($C161="","",IF(PULL_FUND="N","",IFERROR(BDP($C161,PAYOUT_FIELD,YR_OVERRIDE,TEXT(YEAR_Y-1,"0"))/100,"")))</f>
        <v/>
      </c>
      <c r="AJ161" s="143">
        <f>IF($C161="","",IFERROR(AVERAGE(AE161:AI161),""))</f>
        <v/>
      </c>
      <c r="AK161" s="144">
        <f>IF($C161="","",IF(ISNUMBER($AD161)*ISNUMBER($N161)*($AD161&lt;&gt;0)=0,"",$N161/$AD161))</f>
        <v/>
      </c>
      <c r="AL161" s="143">
        <f>IF($C161="","",IF(ISNUMBER($AD161)*($AD161&lt;&gt;0)=0,"",$M161/$AD161))</f>
        <v/>
      </c>
      <c r="AM161" s="37">
        <f>IF($C161="","",IF(ISNUMBER($AE161)*ISNUMBER($AI161)=0,"",IF($AI161&gt;$AE161+0.05,"rising",IF($AI161&lt;$AE161-0.05,"falling","stable"))))</f>
        <v/>
      </c>
      <c r="AN161" s="145">
        <f>IF($C161="","",IF(PULL_FUND="N","",IF(COUNTIFS('Fund History'!$G$910:$G$914,"&gt;="&amp;DATE(YEAR_Y-4,1,1),'Fund History'!$G$910:$G$914,"&lt;="&amp;DATE(YEAR_Y-4,12,31))=0,"",SUMIFS('Fund History'!$H$910:$H$914,'Fund History'!$G$910:$G$914,"&gt;="&amp;DATE(YEAR_Y-4,1,1),'Fund History'!$G$910:$G$914,"&lt;="&amp;DATE(YEAR_Y-4,12,31))/100)))</f>
        <v/>
      </c>
      <c r="AO161" s="146">
        <f>IF($C161="","",IF(PULL_FUND="N","",IF(COUNTIFS('Fund History'!$G$910:$G$914,"&gt;="&amp;DATE(YEAR_Y-3,1,1),'Fund History'!$G$910:$G$914,"&lt;="&amp;DATE(YEAR_Y-3,12,31))=0,"",SUMIFS('Fund History'!$H$910:$H$914,'Fund History'!$G$910:$G$914,"&gt;="&amp;DATE(YEAR_Y-3,1,1),'Fund History'!$G$910:$G$914,"&lt;="&amp;DATE(YEAR_Y-3,12,31))/100)))</f>
        <v/>
      </c>
      <c r="AP161" s="146">
        <f>IF($C161="","",IF(PULL_FUND="N","",IF(COUNTIFS('Fund History'!$G$910:$G$914,"&gt;="&amp;DATE(YEAR_Y-2,1,1),'Fund History'!$G$910:$G$914,"&lt;="&amp;DATE(YEAR_Y-2,12,31))=0,"",SUMIFS('Fund History'!$H$910:$H$914,'Fund History'!$G$910:$G$914,"&gt;="&amp;DATE(YEAR_Y-2,1,1),'Fund History'!$G$910:$G$914,"&lt;="&amp;DATE(YEAR_Y-2,12,31))/100)))</f>
        <v/>
      </c>
      <c r="AQ161" s="146">
        <f>IF($C161="","",IF(PULL_FUND="N","",IF(COUNTIFS('Fund History'!$G$910:$G$914,"&gt;="&amp;DATE(YEAR_Y-1,1,1),'Fund History'!$G$910:$G$914,"&lt;="&amp;DATE(YEAR_Y-1,12,31))=0,"",SUMIFS('Fund History'!$H$910:$H$914,'Fund History'!$G$910:$G$914,"&gt;="&amp;DATE(YEAR_Y-1,1,1),'Fund History'!$G$910:$G$914,"&lt;="&amp;DATE(YEAR_Y-1,12,31))/100)))</f>
        <v/>
      </c>
      <c r="AR161" s="147">
        <f>IF($C161="","",IF(N($AQ161)+N(HSCEI!$I$16)=0,"",N($AQ161)+N(HSCEI!$I$16)/100))</f>
        <v/>
      </c>
      <c r="AS161" s="139">
        <f>IF($C161="","",IF(PULL_FUND="N","",IF(COUNTIFS('Fund History'!$D$910:$D$914,"&gt;="&amp;DATE(YEAR_Y-2,1,1),'Fund History'!$D$910:$D$914,"&lt;="&amp;DATE(YEAR_Y-2,12,31))=0,"",SUMIFS('Fund History'!$E$910:$E$914,'Fund History'!$D$910:$D$914,"&gt;="&amp;DATE(YEAR_Y-2,1,1),'Fund History'!$D$910:$D$914,"&lt;="&amp;DATE(YEAR_Y-2,12,31)))))</f>
        <v/>
      </c>
      <c r="AT161" s="140">
        <f>IF($C161="","",IF(PULL_FUND="N","",IF(COUNTIFS('Fund History'!$D$910:$D$914,"&gt;="&amp;DATE(YEAR_Y-1,1,1),'Fund History'!$D$910:$D$914,"&lt;="&amp;DATE(YEAR_Y-1,12,31))=0,"",SUMIFS('Fund History'!$E$910:$E$914,'Fund History'!$D$910:$D$914,"&gt;="&amp;DATE(YEAR_Y-1,1,1),'Fund History'!$D$910:$D$914,"&lt;="&amp;DATE(YEAR_Y-1,12,31)))))</f>
        <v/>
      </c>
      <c r="AU161" s="140">
        <f>IF($C161="","",IF(PULL_FUND="N","",IFERROR(BDP($C161,NDEBITDA_FIELD),"")))</f>
        <v/>
      </c>
      <c r="AV161" s="148">
        <f>IF($C161="","",IF(PULL_FUND="N","",IFERROR(BDP($C161,EBINT_FIELD),"")))</f>
        <v/>
      </c>
      <c r="AW161" s="146">
        <f>IF($C161="","",IF(PULL_FUND="N","",IFERROR(BDP($C161,FCF_FIELD)/100,"")))</f>
        <v/>
      </c>
      <c r="AX161" s="126">
        <f>IF($C161="","",IF(N($U161)=0,"",IFERROR($AW161/$U161,"")))</f>
        <v/>
      </c>
      <c r="AY161" s="85">
        <f>IF($C161="","",TRIM(IF(ISNUMBER($AJ161)*(N($AJ161)&gt;$D$4)&gt;0,"payout high  ","")&amp;IF(ISNUMBER($AX161)*(N($AX161)&lt;$F$4)&gt;0,"FCF below dvd  ","")&amp;IF(ISNUMBER($AU161)*(N($AU161)&gt;$H$4)&gt;0,"leverage high","")))</f>
        <v/>
      </c>
      <c r="AZ161" s="86">
        <f>IF($C161="","",IF(HSCEI!$F$16="HKD","",HSCEI!$F$16))</f>
        <v/>
      </c>
    </row>
    <row r="162">
      <c r="B162" s="66" t="inlineStr">
        <is>
          <t>HSCEI</t>
        </is>
      </c>
      <c r="C162" s="8">
        <f>IF(HSCEI!$C$17="","",HSCEI!$C$17)</f>
        <v/>
      </c>
      <c r="D162" s="8">
        <f>IF($C162="","",HSCEI!$D$17)</f>
        <v/>
      </c>
      <c r="E162" s="8">
        <f>IF($C162="","",HSCEI!$E$17)</f>
        <v/>
      </c>
      <c r="F162" s="131">
        <f>IF($C162="","",SUMPRODUCT(('Dvd Calendar'!$E$1671:$AR$1671&gt;=DATE(YEAR_Y-5,1,1))*('Dvd Calendar'!$E$1671:$AR$1671&lt;=DATE(YEAR_Y-5,12,31))*'Dvd Calendar'!$E$1674:$AR$1674*(('Dvd Calendar'!$E$1676:$AR$1676=TYPE1)*(TYPE1&lt;&gt;"")+('Dvd Calendar'!$E$1676:$AR$1676=TYPE2)*(TYPE2&lt;&gt;"")+('Dvd Calendar'!$E$1676:$AR$1676=TYPE3)*(TYPE3&lt;&gt;"")+('Dvd Calendar'!$E$1676:$AR$1676=TYPE4)*(TYPE4&lt;&gt;"")+('Dvd Calendar'!$E$1676:$AR$1676=SPECIAL_LBL)*(INC_SPECIALS="Y"))))</f>
        <v/>
      </c>
      <c r="G162" s="132">
        <f>IF($C162="","",SUMPRODUCT(('Dvd Calendar'!$E$1671:$AR$1671&gt;=DATE(YEAR_Y-4,1,1))*('Dvd Calendar'!$E$1671:$AR$1671&lt;=DATE(YEAR_Y-4,12,31))*'Dvd Calendar'!$E$1674:$AR$1674*(('Dvd Calendar'!$E$1676:$AR$1676=TYPE1)*(TYPE1&lt;&gt;"")+('Dvd Calendar'!$E$1676:$AR$1676=TYPE2)*(TYPE2&lt;&gt;"")+('Dvd Calendar'!$E$1676:$AR$1676=TYPE3)*(TYPE3&lt;&gt;"")+('Dvd Calendar'!$E$1676:$AR$1676=TYPE4)*(TYPE4&lt;&gt;"")+('Dvd Calendar'!$E$1676:$AR$1676=SPECIAL_LBL)*(INC_SPECIALS="Y"))))</f>
        <v/>
      </c>
      <c r="H162" s="132">
        <f>IF($C162="","",SUMPRODUCT(('Dvd Calendar'!$E$1671:$AR$1671&gt;=DATE(YEAR_Y-3,1,1))*('Dvd Calendar'!$E$1671:$AR$1671&lt;=DATE(YEAR_Y-3,12,31))*'Dvd Calendar'!$E$1674:$AR$1674*(('Dvd Calendar'!$E$1676:$AR$1676=TYPE1)*(TYPE1&lt;&gt;"")+('Dvd Calendar'!$E$1676:$AR$1676=TYPE2)*(TYPE2&lt;&gt;"")+('Dvd Calendar'!$E$1676:$AR$1676=TYPE3)*(TYPE3&lt;&gt;"")+('Dvd Calendar'!$E$1676:$AR$1676=TYPE4)*(TYPE4&lt;&gt;"")+('Dvd Calendar'!$E$1676:$AR$1676=SPECIAL_LBL)*(INC_SPECIALS="Y"))))</f>
        <v/>
      </c>
      <c r="I162" s="132">
        <f>IF($C162="","",SUMPRODUCT(('Dvd Calendar'!$E$1671:$AR$1671&gt;=DATE(YEAR_Y-2,1,1))*('Dvd Calendar'!$E$1671:$AR$1671&lt;=DATE(YEAR_Y-2,12,31))*'Dvd Calendar'!$E$1674:$AR$1674*(('Dvd Calendar'!$E$1676:$AR$1676=TYPE1)*(TYPE1&lt;&gt;"")+('Dvd Calendar'!$E$1676:$AR$1676=TYPE2)*(TYPE2&lt;&gt;"")+('Dvd Calendar'!$E$1676:$AR$1676=TYPE3)*(TYPE3&lt;&gt;"")+('Dvd Calendar'!$E$1676:$AR$1676=TYPE4)*(TYPE4&lt;&gt;"")+('Dvd Calendar'!$E$1676:$AR$1676=SPECIAL_LBL)*(INC_SPECIALS="Y"))))</f>
        <v/>
      </c>
      <c r="J162" s="132">
        <f>IF($C162="","",SUMPRODUCT(('Dvd Calendar'!$E$1671:$AR$1671&gt;=DATE(YEAR_Y-1,1,1))*('Dvd Calendar'!$E$1671:$AR$1671&lt;=DATE(YEAR_Y-1,12,31))*'Dvd Calendar'!$E$1674:$AR$1674*(('Dvd Calendar'!$E$1676:$AR$1676=TYPE1)*(TYPE1&lt;&gt;"")+('Dvd Calendar'!$E$1676:$AR$1676=TYPE2)*(TYPE2&lt;&gt;"")+('Dvd Calendar'!$E$1676:$AR$1676=TYPE3)*(TYPE3&lt;&gt;"")+('Dvd Calendar'!$E$1676:$AR$1676=TYPE4)*(TYPE4&lt;&gt;"")+('Dvd Calendar'!$E$1676:$AR$1676=SPECIAL_LBL)*(INC_SPECIALS="Y"))))</f>
        <v/>
      </c>
      <c r="K162" s="133">
        <f>IF($C162="","",HSCEI!$J$17)</f>
        <v/>
      </c>
      <c r="L162" s="133">
        <f>IF($C162="","",HSCEI!$K$17)</f>
        <v/>
      </c>
      <c r="M162" s="124">
        <f>IF($C162="","",HSCEI!$J$17+HSCEI!$L$17)</f>
        <v/>
      </c>
      <c r="N162" s="134">
        <f>IF($C162="","",IF(PULL_FUND="N","",IFERROR(BDP($C162,BESTDPS_FIELD,FWD_OVERRIDE,TEXT(MOD(YEAR_Y,100),"00")&amp;"Y"),"")))</f>
        <v/>
      </c>
      <c r="O162" s="133">
        <f>IF($C162="","",AVERAGE(F162:J162))</f>
        <v/>
      </c>
      <c r="P162" s="135">
        <f>IF($C162="","",IF(PULL_FUND="N","",IF(COUNTIFS('Fund History'!$J$916:$J$920,"&gt;="&amp;DATE(YEAR_Y-5,1,1),'Fund History'!$J$916:$J$920,"&lt;="&amp;DATE(YEAR_Y-5,12,31))=0,"",IFERROR($F162*HSCEI!$G$17/SUMIFS('Fund History'!$K$916:$K$920,'Fund History'!$J$916:$J$920,"&gt;="&amp;DATE(YEAR_Y-5,1,1),'Fund History'!$J$916:$J$920,"&lt;="&amp;DATE(YEAR_Y-5,12,31)),""))))</f>
        <v/>
      </c>
      <c r="Q162" s="136">
        <f>IF($C162="","",IF(PULL_FUND="N","",IF(COUNTIFS('Fund History'!$J$916:$J$920,"&gt;="&amp;DATE(YEAR_Y-4,1,1),'Fund History'!$J$916:$J$920,"&lt;="&amp;DATE(YEAR_Y-4,12,31))=0,"",IFERROR($G162*HSCEI!$G$17/SUMIFS('Fund History'!$K$916:$K$920,'Fund History'!$J$916:$J$920,"&gt;="&amp;DATE(YEAR_Y-4,1,1),'Fund History'!$J$916:$J$920,"&lt;="&amp;DATE(YEAR_Y-4,12,31)),""))))</f>
        <v/>
      </c>
      <c r="R162" s="136">
        <f>IF($C162="","",IF(PULL_FUND="N","",IF(COUNTIFS('Fund History'!$J$916:$J$920,"&gt;="&amp;DATE(YEAR_Y-3,1,1),'Fund History'!$J$916:$J$920,"&lt;="&amp;DATE(YEAR_Y-3,12,31))=0,"",IFERROR($H162*HSCEI!$G$17/SUMIFS('Fund History'!$K$916:$K$920,'Fund History'!$J$916:$J$920,"&gt;="&amp;DATE(YEAR_Y-3,1,1),'Fund History'!$J$916:$J$920,"&lt;="&amp;DATE(YEAR_Y-3,12,31)),""))))</f>
        <v/>
      </c>
      <c r="S162" s="136">
        <f>IF($C162="","",IF(PULL_FUND="N","",IF(COUNTIFS('Fund History'!$J$916:$J$920,"&gt;="&amp;DATE(YEAR_Y-2,1,1),'Fund History'!$J$916:$J$920,"&lt;="&amp;DATE(YEAR_Y-2,12,31))=0,"",IFERROR($I162*HSCEI!$G$17/SUMIFS('Fund History'!$K$916:$K$920,'Fund History'!$J$916:$J$920,"&gt;="&amp;DATE(YEAR_Y-2,1,1),'Fund History'!$J$916:$J$920,"&lt;="&amp;DATE(YEAR_Y-2,12,31)),""))))</f>
        <v/>
      </c>
      <c r="T162" s="136">
        <f>IF($C162="","",IF(PULL_FUND="N","",IF(COUNTIFS('Fund History'!$J$916:$J$920,"&gt;="&amp;DATE(YEAR_Y-1,1,1),'Fund History'!$J$916:$J$920,"&lt;="&amp;DATE(YEAR_Y-1,12,31))=0,"",IFERROR($J162*HSCEI!$G$17/SUMIFS('Fund History'!$K$916:$K$920,'Fund History'!$J$916:$J$920,"&gt;="&amp;DATE(YEAR_Y-1,1,1),'Fund History'!$J$916:$J$920,"&lt;="&amp;DATE(YEAR_Y-1,12,31)),""))))</f>
        <v/>
      </c>
      <c r="U162" s="137">
        <f>IF($C162="","",IF(ISNUMBER(HSCEI!$I$17),HSCEI!$I$17/100,""))</f>
        <v/>
      </c>
      <c r="V162" s="138">
        <f>IF($C162="","",IF(ISNUMBER(HSCEI!$X$17),IFERROR($M162*HSCEI!$G$17/HSCEI!$X$17,""),""))</f>
        <v/>
      </c>
      <c r="W162" s="137">
        <f>IF($C162="","",IF(ISNUMBER($N162),IFERROR($N162*HSCEI!$G$17/HSCEI!$X$17,""),""))</f>
        <v/>
      </c>
      <c r="X162" s="139">
        <f>IF($C162="","",IF(PULL_FUND="N","",IFERROR(BDP($C162,EPS_FIELD,YR_OVERRIDE,TEXT(YEAR_Y-5,"0")),"")))</f>
        <v/>
      </c>
      <c r="Y162" s="140">
        <f>IF($C162="","",IF(PULL_FUND="N","",IFERROR(BDP($C162,EPS_FIELD,YR_OVERRIDE,TEXT(YEAR_Y-4,"0")),"")))</f>
        <v/>
      </c>
      <c r="Z162" s="140">
        <f>IF($C162="","",IF(PULL_FUND="N","",IFERROR(BDP($C162,EPS_FIELD,YR_OVERRIDE,TEXT(YEAR_Y-3,"0")),"")))</f>
        <v/>
      </c>
      <c r="AA162" s="140">
        <f>IF($C162="","",IF(PULL_FUND="N","",IFERROR(BDP($C162,EPS_FIELD,YR_OVERRIDE,TEXT(YEAR_Y-2,"0")),"")))</f>
        <v/>
      </c>
      <c r="AB162" s="140">
        <f>IF($C162="","",IF(PULL_FUND="N","",IFERROR(BDP($C162,EPS_FIELD,YR_OVERRIDE,TEXT(YEAR_Y-1,"0")),"")))</f>
        <v/>
      </c>
      <c r="AC162" s="126">
        <f>IF($C162="","",IFERROR(AVERAGE(X162:AB162),""))</f>
        <v/>
      </c>
      <c r="AD162" s="140">
        <f>IF($C162="","",IF(PULL_FUND="N","",IFERROR(BDP($C162,BESTEPS_FIELD,FWD_OVERRIDE,TEXT(MOD(YEAR_Y,100),"00")&amp;"Y"),"")))</f>
        <v/>
      </c>
      <c r="AE162" s="141">
        <f>IF($C162="","",IF(PULL_FUND="N","",IFERROR(BDP($C162,PAYOUT_FIELD,YR_OVERRIDE,TEXT(YEAR_Y-5,"0"))/100,"")))</f>
        <v/>
      </c>
      <c r="AF162" s="142">
        <f>IF($C162="","",IF(PULL_FUND="N","",IFERROR(BDP($C162,PAYOUT_FIELD,YR_OVERRIDE,TEXT(YEAR_Y-4,"0"))/100,"")))</f>
        <v/>
      </c>
      <c r="AG162" s="142">
        <f>IF($C162="","",IF(PULL_FUND="N","",IFERROR(BDP($C162,PAYOUT_FIELD,YR_OVERRIDE,TEXT(YEAR_Y-3,"0"))/100,"")))</f>
        <v/>
      </c>
      <c r="AH162" s="142">
        <f>IF($C162="","",IF(PULL_FUND="N","",IFERROR(BDP($C162,PAYOUT_FIELD,YR_OVERRIDE,TEXT(YEAR_Y-2,"0"))/100,"")))</f>
        <v/>
      </c>
      <c r="AI162" s="142">
        <f>IF($C162="","",IF(PULL_FUND="N","",IFERROR(BDP($C162,PAYOUT_FIELD,YR_OVERRIDE,TEXT(YEAR_Y-1,"0"))/100,"")))</f>
        <v/>
      </c>
      <c r="AJ162" s="143">
        <f>IF($C162="","",IFERROR(AVERAGE(AE162:AI162),""))</f>
        <v/>
      </c>
      <c r="AK162" s="144">
        <f>IF($C162="","",IF(ISNUMBER($AD162)*ISNUMBER($N162)*($AD162&lt;&gt;0)=0,"",$N162/$AD162))</f>
        <v/>
      </c>
      <c r="AL162" s="143">
        <f>IF($C162="","",IF(ISNUMBER($AD162)*($AD162&lt;&gt;0)=0,"",$M162/$AD162))</f>
        <v/>
      </c>
      <c r="AM162" s="37">
        <f>IF($C162="","",IF(ISNUMBER($AE162)*ISNUMBER($AI162)=0,"",IF($AI162&gt;$AE162+0.05,"rising",IF($AI162&lt;$AE162-0.05,"falling","stable"))))</f>
        <v/>
      </c>
      <c r="AN162" s="145">
        <f>IF($C162="","",IF(PULL_FUND="N","",IF(COUNTIFS('Fund History'!$G$916:$G$920,"&gt;="&amp;DATE(YEAR_Y-4,1,1),'Fund History'!$G$916:$G$920,"&lt;="&amp;DATE(YEAR_Y-4,12,31))=0,"",SUMIFS('Fund History'!$H$916:$H$920,'Fund History'!$G$916:$G$920,"&gt;="&amp;DATE(YEAR_Y-4,1,1),'Fund History'!$G$916:$G$920,"&lt;="&amp;DATE(YEAR_Y-4,12,31))/100)))</f>
        <v/>
      </c>
      <c r="AO162" s="146">
        <f>IF($C162="","",IF(PULL_FUND="N","",IF(COUNTIFS('Fund History'!$G$916:$G$920,"&gt;="&amp;DATE(YEAR_Y-3,1,1),'Fund History'!$G$916:$G$920,"&lt;="&amp;DATE(YEAR_Y-3,12,31))=0,"",SUMIFS('Fund History'!$H$916:$H$920,'Fund History'!$G$916:$G$920,"&gt;="&amp;DATE(YEAR_Y-3,1,1),'Fund History'!$G$916:$G$920,"&lt;="&amp;DATE(YEAR_Y-3,12,31))/100)))</f>
        <v/>
      </c>
      <c r="AP162" s="146">
        <f>IF($C162="","",IF(PULL_FUND="N","",IF(COUNTIFS('Fund History'!$G$916:$G$920,"&gt;="&amp;DATE(YEAR_Y-2,1,1),'Fund History'!$G$916:$G$920,"&lt;="&amp;DATE(YEAR_Y-2,12,31))=0,"",SUMIFS('Fund History'!$H$916:$H$920,'Fund History'!$G$916:$G$920,"&gt;="&amp;DATE(YEAR_Y-2,1,1),'Fund History'!$G$916:$G$920,"&lt;="&amp;DATE(YEAR_Y-2,12,31))/100)))</f>
        <v/>
      </c>
      <c r="AQ162" s="146">
        <f>IF($C162="","",IF(PULL_FUND="N","",IF(COUNTIFS('Fund History'!$G$916:$G$920,"&gt;="&amp;DATE(YEAR_Y-1,1,1),'Fund History'!$G$916:$G$920,"&lt;="&amp;DATE(YEAR_Y-1,12,31))=0,"",SUMIFS('Fund History'!$H$916:$H$920,'Fund History'!$G$916:$G$920,"&gt;="&amp;DATE(YEAR_Y-1,1,1),'Fund History'!$G$916:$G$920,"&lt;="&amp;DATE(YEAR_Y-1,12,31))/100)))</f>
        <v/>
      </c>
      <c r="AR162" s="147">
        <f>IF($C162="","",IF(N($AQ162)+N(HSCEI!$I$17)=0,"",N($AQ162)+N(HSCEI!$I$17)/100))</f>
        <v/>
      </c>
      <c r="AS162" s="139">
        <f>IF($C162="","",IF(PULL_FUND="N","",IF(COUNTIFS('Fund History'!$D$916:$D$920,"&gt;="&amp;DATE(YEAR_Y-2,1,1),'Fund History'!$D$916:$D$920,"&lt;="&amp;DATE(YEAR_Y-2,12,31))=0,"",SUMIFS('Fund History'!$E$916:$E$920,'Fund History'!$D$916:$D$920,"&gt;="&amp;DATE(YEAR_Y-2,1,1),'Fund History'!$D$916:$D$920,"&lt;="&amp;DATE(YEAR_Y-2,12,31)))))</f>
        <v/>
      </c>
      <c r="AT162" s="140">
        <f>IF($C162="","",IF(PULL_FUND="N","",IF(COUNTIFS('Fund History'!$D$916:$D$920,"&gt;="&amp;DATE(YEAR_Y-1,1,1),'Fund History'!$D$916:$D$920,"&lt;="&amp;DATE(YEAR_Y-1,12,31))=0,"",SUMIFS('Fund History'!$E$916:$E$920,'Fund History'!$D$916:$D$920,"&gt;="&amp;DATE(YEAR_Y-1,1,1),'Fund History'!$D$916:$D$920,"&lt;="&amp;DATE(YEAR_Y-1,12,31)))))</f>
        <v/>
      </c>
      <c r="AU162" s="140">
        <f>IF($C162="","",IF(PULL_FUND="N","",IFERROR(BDP($C162,NDEBITDA_FIELD),"")))</f>
        <v/>
      </c>
      <c r="AV162" s="148">
        <f>IF($C162="","",IF(PULL_FUND="N","",IFERROR(BDP($C162,EBINT_FIELD),"")))</f>
        <v/>
      </c>
      <c r="AW162" s="146">
        <f>IF($C162="","",IF(PULL_FUND="N","",IFERROR(BDP($C162,FCF_FIELD)/100,"")))</f>
        <v/>
      </c>
      <c r="AX162" s="126">
        <f>IF($C162="","",IF(N($U162)=0,"",IFERROR($AW162/$U162,"")))</f>
        <v/>
      </c>
      <c r="AY162" s="85">
        <f>IF($C162="","",TRIM(IF(ISNUMBER($AJ162)*(N($AJ162)&gt;$D$4)&gt;0,"payout high  ","")&amp;IF(ISNUMBER($AX162)*(N($AX162)&lt;$F$4)&gt;0,"FCF below dvd  ","")&amp;IF(ISNUMBER($AU162)*(N($AU162)&gt;$H$4)&gt;0,"leverage high","")))</f>
        <v/>
      </c>
      <c r="AZ162" s="86">
        <f>IF($C162="","",IF(HSCEI!$F$17="HKD","",HSCEI!$F$17))</f>
        <v/>
      </c>
    </row>
    <row r="163">
      <c r="B163" s="66" t="inlineStr">
        <is>
          <t>HSCEI</t>
        </is>
      </c>
      <c r="C163" s="8">
        <f>IF(HSCEI!$C$18="","",HSCEI!$C$18)</f>
        <v/>
      </c>
      <c r="D163" s="8">
        <f>IF($C163="","",HSCEI!$D$18)</f>
        <v/>
      </c>
      <c r="E163" s="8">
        <f>IF($C163="","",HSCEI!$E$18)</f>
        <v/>
      </c>
      <c r="F163" s="131">
        <f>IF($C163="","",SUMPRODUCT(('Dvd Calendar'!$E$1682:$AR$1682&gt;=DATE(YEAR_Y-5,1,1))*('Dvd Calendar'!$E$1682:$AR$1682&lt;=DATE(YEAR_Y-5,12,31))*'Dvd Calendar'!$E$1685:$AR$1685*(('Dvd Calendar'!$E$1687:$AR$1687=TYPE1)*(TYPE1&lt;&gt;"")+('Dvd Calendar'!$E$1687:$AR$1687=TYPE2)*(TYPE2&lt;&gt;"")+('Dvd Calendar'!$E$1687:$AR$1687=TYPE3)*(TYPE3&lt;&gt;"")+('Dvd Calendar'!$E$1687:$AR$1687=TYPE4)*(TYPE4&lt;&gt;"")+('Dvd Calendar'!$E$1687:$AR$1687=SPECIAL_LBL)*(INC_SPECIALS="Y"))))</f>
        <v/>
      </c>
      <c r="G163" s="132">
        <f>IF($C163="","",SUMPRODUCT(('Dvd Calendar'!$E$1682:$AR$1682&gt;=DATE(YEAR_Y-4,1,1))*('Dvd Calendar'!$E$1682:$AR$1682&lt;=DATE(YEAR_Y-4,12,31))*'Dvd Calendar'!$E$1685:$AR$1685*(('Dvd Calendar'!$E$1687:$AR$1687=TYPE1)*(TYPE1&lt;&gt;"")+('Dvd Calendar'!$E$1687:$AR$1687=TYPE2)*(TYPE2&lt;&gt;"")+('Dvd Calendar'!$E$1687:$AR$1687=TYPE3)*(TYPE3&lt;&gt;"")+('Dvd Calendar'!$E$1687:$AR$1687=TYPE4)*(TYPE4&lt;&gt;"")+('Dvd Calendar'!$E$1687:$AR$1687=SPECIAL_LBL)*(INC_SPECIALS="Y"))))</f>
        <v/>
      </c>
      <c r="H163" s="132">
        <f>IF($C163="","",SUMPRODUCT(('Dvd Calendar'!$E$1682:$AR$1682&gt;=DATE(YEAR_Y-3,1,1))*('Dvd Calendar'!$E$1682:$AR$1682&lt;=DATE(YEAR_Y-3,12,31))*'Dvd Calendar'!$E$1685:$AR$1685*(('Dvd Calendar'!$E$1687:$AR$1687=TYPE1)*(TYPE1&lt;&gt;"")+('Dvd Calendar'!$E$1687:$AR$1687=TYPE2)*(TYPE2&lt;&gt;"")+('Dvd Calendar'!$E$1687:$AR$1687=TYPE3)*(TYPE3&lt;&gt;"")+('Dvd Calendar'!$E$1687:$AR$1687=TYPE4)*(TYPE4&lt;&gt;"")+('Dvd Calendar'!$E$1687:$AR$1687=SPECIAL_LBL)*(INC_SPECIALS="Y"))))</f>
        <v/>
      </c>
      <c r="I163" s="132">
        <f>IF($C163="","",SUMPRODUCT(('Dvd Calendar'!$E$1682:$AR$1682&gt;=DATE(YEAR_Y-2,1,1))*('Dvd Calendar'!$E$1682:$AR$1682&lt;=DATE(YEAR_Y-2,12,31))*'Dvd Calendar'!$E$1685:$AR$1685*(('Dvd Calendar'!$E$1687:$AR$1687=TYPE1)*(TYPE1&lt;&gt;"")+('Dvd Calendar'!$E$1687:$AR$1687=TYPE2)*(TYPE2&lt;&gt;"")+('Dvd Calendar'!$E$1687:$AR$1687=TYPE3)*(TYPE3&lt;&gt;"")+('Dvd Calendar'!$E$1687:$AR$1687=TYPE4)*(TYPE4&lt;&gt;"")+('Dvd Calendar'!$E$1687:$AR$1687=SPECIAL_LBL)*(INC_SPECIALS="Y"))))</f>
        <v/>
      </c>
      <c r="J163" s="132">
        <f>IF($C163="","",SUMPRODUCT(('Dvd Calendar'!$E$1682:$AR$1682&gt;=DATE(YEAR_Y-1,1,1))*('Dvd Calendar'!$E$1682:$AR$1682&lt;=DATE(YEAR_Y-1,12,31))*'Dvd Calendar'!$E$1685:$AR$1685*(('Dvd Calendar'!$E$1687:$AR$1687=TYPE1)*(TYPE1&lt;&gt;"")+('Dvd Calendar'!$E$1687:$AR$1687=TYPE2)*(TYPE2&lt;&gt;"")+('Dvd Calendar'!$E$1687:$AR$1687=TYPE3)*(TYPE3&lt;&gt;"")+('Dvd Calendar'!$E$1687:$AR$1687=TYPE4)*(TYPE4&lt;&gt;"")+('Dvd Calendar'!$E$1687:$AR$1687=SPECIAL_LBL)*(INC_SPECIALS="Y"))))</f>
        <v/>
      </c>
      <c r="K163" s="133">
        <f>IF($C163="","",HSCEI!$J$18)</f>
        <v/>
      </c>
      <c r="L163" s="133">
        <f>IF($C163="","",HSCEI!$K$18)</f>
        <v/>
      </c>
      <c r="M163" s="124">
        <f>IF($C163="","",HSCEI!$J$18+HSCEI!$L$18)</f>
        <v/>
      </c>
      <c r="N163" s="134">
        <f>IF($C163="","",IF(PULL_FUND="N","",IFERROR(BDP($C163,BESTDPS_FIELD,FWD_OVERRIDE,TEXT(MOD(YEAR_Y,100),"00")&amp;"Y"),"")))</f>
        <v/>
      </c>
      <c r="O163" s="133">
        <f>IF($C163="","",AVERAGE(F163:J163))</f>
        <v/>
      </c>
      <c r="P163" s="135">
        <f>IF($C163="","",IF(PULL_FUND="N","",IF(COUNTIFS('Fund History'!$J$922:$J$926,"&gt;="&amp;DATE(YEAR_Y-5,1,1),'Fund History'!$J$922:$J$926,"&lt;="&amp;DATE(YEAR_Y-5,12,31))=0,"",IFERROR($F163*HSCEI!$G$18/SUMIFS('Fund History'!$K$922:$K$926,'Fund History'!$J$922:$J$926,"&gt;="&amp;DATE(YEAR_Y-5,1,1),'Fund History'!$J$922:$J$926,"&lt;="&amp;DATE(YEAR_Y-5,12,31)),""))))</f>
        <v/>
      </c>
      <c r="Q163" s="136">
        <f>IF($C163="","",IF(PULL_FUND="N","",IF(COUNTIFS('Fund History'!$J$922:$J$926,"&gt;="&amp;DATE(YEAR_Y-4,1,1),'Fund History'!$J$922:$J$926,"&lt;="&amp;DATE(YEAR_Y-4,12,31))=0,"",IFERROR($G163*HSCEI!$G$18/SUMIFS('Fund History'!$K$922:$K$926,'Fund History'!$J$922:$J$926,"&gt;="&amp;DATE(YEAR_Y-4,1,1),'Fund History'!$J$922:$J$926,"&lt;="&amp;DATE(YEAR_Y-4,12,31)),""))))</f>
        <v/>
      </c>
      <c r="R163" s="136">
        <f>IF($C163="","",IF(PULL_FUND="N","",IF(COUNTIFS('Fund History'!$J$922:$J$926,"&gt;="&amp;DATE(YEAR_Y-3,1,1),'Fund History'!$J$922:$J$926,"&lt;="&amp;DATE(YEAR_Y-3,12,31))=0,"",IFERROR($H163*HSCEI!$G$18/SUMIFS('Fund History'!$K$922:$K$926,'Fund History'!$J$922:$J$926,"&gt;="&amp;DATE(YEAR_Y-3,1,1),'Fund History'!$J$922:$J$926,"&lt;="&amp;DATE(YEAR_Y-3,12,31)),""))))</f>
        <v/>
      </c>
      <c r="S163" s="136">
        <f>IF($C163="","",IF(PULL_FUND="N","",IF(COUNTIFS('Fund History'!$J$922:$J$926,"&gt;="&amp;DATE(YEAR_Y-2,1,1),'Fund History'!$J$922:$J$926,"&lt;="&amp;DATE(YEAR_Y-2,12,31))=0,"",IFERROR($I163*HSCEI!$G$18/SUMIFS('Fund History'!$K$922:$K$926,'Fund History'!$J$922:$J$926,"&gt;="&amp;DATE(YEAR_Y-2,1,1),'Fund History'!$J$922:$J$926,"&lt;="&amp;DATE(YEAR_Y-2,12,31)),""))))</f>
        <v/>
      </c>
      <c r="T163" s="136">
        <f>IF($C163="","",IF(PULL_FUND="N","",IF(COUNTIFS('Fund History'!$J$922:$J$926,"&gt;="&amp;DATE(YEAR_Y-1,1,1),'Fund History'!$J$922:$J$926,"&lt;="&amp;DATE(YEAR_Y-1,12,31))=0,"",IFERROR($J163*HSCEI!$G$18/SUMIFS('Fund History'!$K$922:$K$926,'Fund History'!$J$922:$J$926,"&gt;="&amp;DATE(YEAR_Y-1,1,1),'Fund History'!$J$922:$J$926,"&lt;="&amp;DATE(YEAR_Y-1,12,31)),""))))</f>
        <v/>
      </c>
      <c r="U163" s="137">
        <f>IF($C163="","",IF(ISNUMBER(HSCEI!$I$18),HSCEI!$I$18/100,""))</f>
        <v/>
      </c>
      <c r="V163" s="138">
        <f>IF($C163="","",IF(ISNUMBER(HSCEI!$X$18),IFERROR($M163*HSCEI!$G$18/HSCEI!$X$18,""),""))</f>
        <v/>
      </c>
      <c r="W163" s="137">
        <f>IF($C163="","",IF(ISNUMBER($N163),IFERROR($N163*HSCEI!$G$18/HSCEI!$X$18,""),""))</f>
        <v/>
      </c>
      <c r="X163" s="139">
        <f>IF($C163="","",IF(PULL_FUND="N","",IFERROR(BDP($C163,EPS_FIELD,YR_OVERRIDE,TEXT(YEAR_Y-5,"0")),"")))</f>
        <v/>
      </c>
      <c r="Y163" s="140">
        <f>IF($C163="","",IF(PULL_FUND="N","",IFERROR(BDP($C163,EPS_FIELD,YR_OVERRIDE,TEXT(YEAR_Y-4,"0")),"")))</f>
        <v/>
      </c>
      <c r="Z163" s="140">
        <f>IF($C163="","",IF(PULL_FUND="N","",IFERROR(BDP($C163,EPS_FIELD,YR_OVERRIDE,TEXT(YEAR_Y-3,"0")),"")))</f>
        <v/>
      </c>
      <c r="AA163" s="140">
        <f>IF($C163="","",IF(PULL_FUND="N","",IFERROR(BDP($C163,EPS_FIELD,YR_OVERRIDE,TEXT(YEAR_Y-2,"0")),"")))</f>
        <v/>
      </c>
      <c r="AB163" s="140">
        <f>IF($C163="","",IF(PULL_FUND="N","",IFERROR(BDP($C163,EPS_FIELD,YR_OVERRIDE,TEXT(YEAR_Y-1,"0")),"")))</f>
        <v/>
      </c>
      <c r="AC163" s="126">
        <f>IF($C163="","",IFERROR(AVERAGE(X163:AB163),""))</f>
        <v/>
      </c>
      <c r="AD163" s="140">
        <f>IF($C163="","",IF(PULL_FUND="N","",IFERROR(BDP($C163,BESTEPS_FIELD,FWD_OVERRIDE,TEXT(MOD(YEAR_Y,100),"00")&amp;"Y"),"")))</f>
        <v/>
      </c>
      <c r="AE163" s="141">
        <f>IF($C163="","",IF(PULL_FUND="N","",IFERROR(BDP($C163,PAYOUT_FIELD,YR_OVERRIDE,TEXT(YEAR_Y-5,"0"))/100,"")))</f>
        <v/>
      </c>
      <c r="AF163" s="142">
        <f>IF($C163="","",IF(PULL_FUND="N","",IFERROR(BDP($C163,PAYOUT_FIELD,YR_OVERRIDE,TEXT(YEAR_Y-4,"0"))/100,"")))</f>
        <v/>
      </c>
      <c r="AG163" s="142">
        <f>IF($C163="","",IF(PULL_FUND="N","",IFERROR(BDP($C163,PAYOUT_FIELD,YR_OVERRIDE,TEXT(YEAR_Y-3,"0"))/100,"")))</f>
        <v/>
      </c>
      <c r="AH163" s="142">
        <f>IF($C163="","",IF(PULL_FUND="N","",IFERROR(BDP($C163,PAYOUT_FIELD,YR_OVERRIDE,TEXT(YEAR_Y-2,"0"))/100,"")))</f>
        <v/>
      </c>
      <c r="AI163" s="142">
        <f>IF($C163="","",IF(PULL_FUND="N","",IFERROR(BDP($C163,PAYOUT_FIELD,YR_OVERRIDE,TEXT(YEAR_Y-1,"0"))/100,"")))</f>
        <v/>
      </c>
      <c r="AJ163" s="143">
        <f>IF($C163="","",IFERROR(AVERAGE(AE163:AI163),""))</f>
        <v/>
      </c>
      <c r="AK163" s="144">
        <f>IF($C163="","",IF(ISNUMBER($AD163)*ISNUMBER($N163)*($AD163&lt;&gt;0)=0,"",$N163/$AD163))</f>
        <v/>
      </c>
      <c r="AL163" s="143">
        <f>IF($C163="","",IF(ISNUMBER($AD163)*($AD163&lt;&gt;0)=0,"",$M163/$AD163))</f>
        <v/>
      </c>
      <c r="AM163" s="37">
        <f>IF($C163="","",IF(ISNUMBER($AE163)*ISNUMBER($AI163)=0,"",IF($AI163&gt;$AE163+0.05,"rising",IF($AI163&lt;$AE163-0.05,"falling","stable"))))</f>
        <v/>
      </c>
      <c r="AN163" s="145">
        <f>IF($C163="","",IF(PULL_FUND="N","",IF(COUNTIFS('Fund History'!$G$922:$G$926,"&gt;="&amp;DATE(YEAR_Y-4,1,1),'Fund History'!$G$922:$G$926,"&lt;="&amp;DATE(YEAR_Y-4,12,31))=0,"",SUMIFS('Fund History'!$H$922:$H$926,'Fund History'!$G$922:$G$926,"&gt;="&amp;DATE(YEAR_Y-4,1,1),'Fund History'!$G$922:$G$926,"&lt;="&amp;DATE(YEAR_Y-4,12,31))/100)))</f>
        <v/>
      </c>
      <c r="AO163" s="146">
        <f>IF($C163="","",IF(PULL_FUND="N","",IF(COUNTIFS('Fund History'!$G$922:$G$926,"&gt;="&amp;DATE(YEAR_Y-3,1,1),'Fund History'!$G$922:$G$926,"&lt;="&amp;DATE(YEAR_Y-3,12,31))=0,"",SUMIFS('Fund History'!$H$922:$H$926,'Fund History'!$G$922:$G$926,"&gt;="&amp;DATE(YEAR_Y-3,1,1),'Fund History'!$G$922:$G$926,"&lt;="&amp;DATE(YEAR_Y-3,12,31))/100)))</f>
        <v/>
      </c>
      <c r="AP163" s="146">
        <f>IF($C163="","",IF(PULL_FUND="N","",IF(COUNTIFS('Fund History'!$G$922:$G$926,"&gt;="&amp;DATE(YEAR_Y-2,1,1),'Fund History'!$G$922:$G$926,"&lt;="&amp;DATE(YEAR_Y-2,12,31))=0,"",SUMIFS('Fund History'!$H$922:$H$926,'Fund History'!$G$922:$G$926,"&gt;="&amp;DATE(YEAR_Y-2,1,1),'Fund History'!$G$922:$G$926,"&lt;="&amp;DATE(YEAR_Y-2,12,31))/100)))</f>
        <v/>
      </c>
      <c r="AQ163" s="146">
        <f>IF($C163="","",IF(PULL_FUND="N","",IF(COUNTIFS('Fund History'!$G$922:$G$926,"&gt;="&amp;DATE(YEAR_Y-1,1,1),'Fund History'!$G$922:$G$926,"&lt;="&amp;DATE(YEAR_Y-1,12,31))=0,"",SUMIFS('Fund History'!$H$922:$H$926,'Fund History'!$G$922:$G$926,"&gt;="&amp;DATE(YEAR_Y-1,1,1),'Fund History'!$G$922:$G$926,"&lt;="&amp;DATE(YEAR_Y-1,12,31))/100)))</f>
        <v/>
      </c>
      <c r="AR163" s="147">
        <f>IF($C163="","",IF(N($AQ163)+N(HSCEI!$I$18)=0,"",N($AQ163)+N(HSCEI!$I$18)/100))</f>
        <v/>
      </c>
      <c r="AS163" s="139">
        <f>IF($C163="","",IF(PULL_FUND="N","",IF(COUNTIFS('Fund History'!$D$922:$D$926,"&gt;="&amp;DATE(YEAR_Y-2,1,1),'Fund History'!$D$922:$D$926,"&lt;="&amp;DATE(YEAR_Y-2,12,31))=0,"",SUMIFS('Fund History'!$E$922:$E$926,'Fund History'!$D$922:$D$926,"&gt;="&amp;DATE(YEAR_Y-2,1,1),'Fund History'!$D$922:$D$926,"&lt;="&amp;DATE(YEAR_Y-2,12,31)))))</f>
        <v/>
      </c>
      <c r="AT163" s="140">
        <f>IF($C163="","",IF(PULL_FUND="N","",IF(COUNTIFS('Fund History'!$D$922:$D$926,"&gt;="&amp;DATE(YEAR_Y-1,1,1),'Fund History'!$D$922:$D$926,"&lt;="&amp;DATE(YEAR_Y-1,12,31))=0,"",SUMIFS('Fund History'!$E$922:$E$926,'Fund History'!$D$922:$D$926,"&gt;="&amp;DATE(YEAR_Y-1,1,1),'Fund History'!$D$922:$D$926,"&lt;="&amp;DATE(YEAR_Y-1,12,31)))))</f>
        <v/>
      </c>
      <c r="AU163" s="140">
        <f>IF($C163="","",IF(PULL_FUND="N","",IFERROR(BDP($C163,NDEBITDA_FIELD),"")))</f>
        <v/>
      </c>
      <c r="AV163" s="148">
        <f>IF($C163="","",IF(PULL_FUND="N","",IFERROR(BDP($C163,EBINT_FIELD),"")))</f>
        <v/>
      </c>
      <c r="AW163" s="146">
        <f>IF($C163="","",IF(PULL_FUND="N","",IFERROR(BDP($C163,FCF_FIELD)/100,"")))</f>
        <v/>
      </c>
      <c r="AX163" s="126">
        <f>IF($C163="","",IF(N($U163)=0,"",IFERROR($AW163/$U163,"")))</f>
        <v/>
      </c>
      <c r="AY163" s="85">
        <f>IF($C163="","",TRIM(IF(ISNUMBER($AJ163)*(N($AJ163)&gt;$D$4)&gt;0,"payout high  ","")&amp;IF(ISNUMBER($AX163)*(N($AX163)&lt;$F$4)&gt;0,"FCF below dvd  ","")&amp;IF(ISNUMBER($AU163)*(N($AU163)&gt;$H$4)&gt;0,"leverage high","")))</f>
        <v/>
      </c>
      <c r="AZ163" s="86">
        <f>IF($C163="","",IF(HSCEI!$F$18="HKD","",HSCEI!$F$18))</f>
        <v/>
      </c>
    </row>
    <row r="164">
      <c r="B164" s="66" t="inlineStr">
        <is>
          <t>HSCEI</t>
        </is>
      </c>
      <c r="C164" s="8">
        <f>IF(HSCEI!$C$19="","",HSCEI!$C$19)</f>
        <v/>
      </c>
      <c r="D164" s="8">
        <f>IF($C164="","",HSCEI!$D$19)</f>
        <v/>
      </c>
      <c r="E164" s="8">
        <f>IF($C164="","",HSCEI!$E$19)</f>
        <v/>
      </c>
      <c r="F164" s="131">
        <f>IF($C164="","",SUMPRODUCT(('Dvd Calendar'!$E$1693:$AR$1693&gt;=DATE(YEAR_Y-5,1,1))*('Dvd Calendar'!$E$1693:$AR$1693&lt;=DATE(YEAR_Y-5,12,31))*'Dvd Calendar'!$E$1696:$AR$1696*(('Dvd Calendar'!$E$1698:$AR$1698=TYPE1)*(TYPE1&lt;&gt;"")+('Dvd Calendar'!$E$1698:$AR$1698=TYPE2)*(TYPE2&lt;&gt;"")+('Dvd Calendar'!$E$1698:$AR$1698=TYPE3)*(TYPE3&lt;&gt;"")+('Dvd Calendar'!$E$1698:$AR$1698=TYPE4)*(TYPE4&lt;&gt;"")+('Dvd Calendar'!$E$1698:$AR$1698=SPECIAL_LBL)*(INC_SPECIALS="Y"))))</f>
        <v/>
      </c>
      <c r="G164" s="132">
        <f>IF($C164="","",SUMPRODUCT(('Dvd Calendar'!$E$1693:$AR$1693&gt;=DATE(YEAR_Y-4,1,1))*('Dvd Calendar'!$E$1693:$AR$1693&lt;=DATE(YEAR_Y-4,12,31))*'Dvd Calendar'!$E$1696:$AR$1696*(('Dvd Calendar'!$E$1698:$AR$1698=TYPE1)*(TYPE1&lt;&gt;"")+('Dvd Calendar'!$E$1698:$AR$1698=TYPE2)*(TYPE2&lt;&gt;"")+('Dvd Calendar'!$E$1698:$AR$1698=TYPE3)*(TYPE3&lt;&gt;"")+('Dvd Calendar'!$E$1698:$AR$1698=TYPE4)*(TYPE4&lt;&gt;"")+('Dvd Calendar'!$E$1698:$AR$1698=SPECIAL_LBL)*(INC_SPECIALS="Y"))))</f>
        <v/>
      </c>
      <c r="H164" s="132">
        <f>IF($C164="","",SUMPRODUCT(('Dvd Calendar'!$E$1693:$AR$1693&gt;=DATE(YEAR_Y-3,1,1))*('Dvd Calendar'!$E$1693:$AR$1693&lt;=DATE(YEAR_Y-3,12,31))*'Dvd Calendar'!$E$1696:$AR$1696*(('Dvd Calendar'!$E$1698:$AR$1698=TYPE1)*(TYPE1&lt;&gt;"")+('Dvd Calendar'!$E$1698:$AR$1698=TYPE2)*(TYPE2&lt;&gt;"")+('Dvd Calendar'!$E$1698:$AR$1698=TYPE3)*(TYPE3&lt;&gt;"")+('Dvd Calendar'!$E$1698:$AR$1698=TYPE4)*(TYPE4&lt;&gt;"")+('Dvd Calendar'!$E$1698:$AR$1698=SPECIAL_LBL)*(INC_SPECIALS="Y"))))</f>
        <v/>
      </c>
      <c r="I164" s="132">
        <f>IF($C164="","",SUMPRODUCT(('Dvd Calendar'!$E$1693:$AR$1693&gt;=DATE(YEAR_Y-2,1,1))*('Dvd Calendar'!$E$1693:$AR$1693&lt;=DATE(YEAR_Y-2,12,31))*'Dvd Calendar'!$E$1696:$AR$1696*(('Dvd Calendar'!$E$1698:$AR$1698=TYPE1)*(TYPE1&lt;&gt;"")+('Dvd Calendar'!$E$1698:$AR$1698=TYPE2)*(TYPE2&lt;&gt;"")+('Dvd Calendar'!$E$1698:$AR$1698=TYPE3)*(TYPE3&lt;&gt;"")+('Dvd Calendar'!$E$1698:$AR$1698=TYPE4)*(TYPE4&lt;&gt;"")+('Dvd Calendar'!$E$1698:$AR$1698=SPECIAL_LBL)*(INC_SPECIALS="Y"))))</f>
        <v/>
      </c>
      <c r="J164" s="132">
        <f>IF($C164="","",SUMPRODUCT(('Dvd Calendar'!$E$1693:$AR$1693&gt;=DATE(YEAR_Y-1,1,1))*('Dvd Calendar'!$E$1693:$AR$1693&lt;=DATE(YEAR_Y-1,12,31))*'Dvd Calendar'!$E$1696:$AR$1696*(('Dvd Calendar'!$E$1698:$AR$1698=TYPE1)*(TYPE1&lt;&gt;"")+('Dvd Calendar'!$E$1698:$AR$1698=TYPE2)*(TYPE2&lt;&gt;"")+('Dvd Calendar'!$E$1698:$AR$1698=TYPE3)*(TYPE3&lt;&gt;"")+('Dvd Calendar'!$E$1698:$AR$1698=TYPE4)*(TYPE4&lt;&gt;"")+('Dvd Calendar'!$E$1698:$AR$1698=SPECIAL_LBL)*(INC_SPECIALS="Y"))))</f>
        <v/>
      </c>
      <c r="K164" s="133">
        <f>IF($C164="","",HSCEI!$J$19)</f>
        <v/>
      </c>
      <c r="L164" s="133">
        <f>IF($C164="","",HSCEI!$K$19)</f>
        <v/>
      </c>
      <c r="M164" s="124">
        <f>IF($C164="","",HSCEI!$J$19+HSCEI!$L$19)</f>
        <v/>
      </c>
      <c r="N164" s="134">
        <f>IF($C164="","",IF(PULL_FUND="N","",IFERROR(BDP($C164,BESTDPS_FIELD,FWD_OVERRIDE,TEXT(MOD(YEAR_Y,100),"00")&amp;"Y"),"")))</f>
        <v/>
      </c>
      <c r="O164" s="133">
        <f>IF($C164="","",AVERAGE(F164:J164))</f>
        <v/>
      </c>
      <c r="P164" s="135">
        <f>IF($C164="","",IF(PULL_FUND="N","",IF(COUNTIFS('Fund History'!$J$928:$J$932,"&gt;="&amp;DATE(YEAR_Y-5,1,1),'Fund History'!$J$928:$J$932,"&lt;="&amp;DATE(YEAR_Y-5,12,31))=0,"",IFERROR($F164*HSCEI!$G$19/SUMIFS('Fund History'!$K$928:$K$932,'Fund History'!$J$928:$J$932,"&gt;="&amp;DATE(YEAR_Y-5,1,1),'Fund History'!$J$928:$J$932,"&lt;="&amp;DATE(YEAR_Y-5,12,31)),""))))</f>
        <v/>
      </c>
      <c r="Q164" s="136">
        <f>IF($C164="","",IF(PULL_FUND="N","",IF(COUNTIFS('Fund History'!$J$928:$J$932,"&gt;="&amp;DATE(YEAR_Y-4,1,1),'Fund History'!$J$928:$J$932,"&lt;="&amp;DATE(YEAR_Y-4,12,31))=0,"",IFERROR($G164*HSCEI!$G$19/SUMIFS('Fund History'!$K$928:$K$932,'Fund History'!$J$928:$J$932,"&gt;="&amp;DATE(YEAR_Y-4,1,1),'Fund History'!$J$928:$J$932,"&lt;="&amp;DATE(YEAR_Y-4,12,31)),""))))</f>
        <v/>
      </c>
      <c r="R164" s="136">
        <f>IF($C164="","",IF(PULL_FUND="N","",IF(COUNTIFS('Fund History'!$J$928:$J$932,"&gt;="&amp;DATE(YEAR_Y-3,1,1),'Fund History'!$J$928:$J$932,"&lt;="&amp;DATE(YEAR_Y-3,12,31))=0,"",IFERROR($H164*HSCEI!$G$19/SUMIFS('Fund History'!$K$928:$K$932,'Fund History'!$J$928:$J$932,"&gt;="&amp;DATE(YEAR_Y-3,1,1),'Fund History'!$J$928:$J$932,"&lt;="&amp;DATE(YEAR_Y-3,12,31)),""))))</f>
        <v/>
      </c>
      <c r="S164" s="136">
        <f>IF($C164="","",IF(PULL_FUND="N","",IF(COUNTIFS('Fund History'!$J$928:$J$932,"&gt;="&amp;DATE(YEAR_Y-2,1,1),'Fund History'!$J$928:$J$932,"&lt;="&amp;DATE(YEAR_Y-2,12,31))=0,"",IFERROR($I164*HSCEI!$G$19/SUMIFS('Fund History'!$K$928:$K$932,'Fund History'!$J$928:$J$932,"&gt;="&amp;DATE(YEAR_Y-2,1,1),'Fund History'!$J$928:$J$932,"&lt;="&amp;DATE(YEAR_Y-2,12,31)),""))))</f>
        <v/>
      </c>
      <c r="T164" s="136">
        <f>IF($C164="","",IF(PULL_FUND="N","",IF(COUNTIFS('Fund History'!$J$928:$J$932,"&gt;="&amp;DATE(YEAR_Y-1,1,1),'Fund History'!$J$928:$J$932,"&lt;="&amp;DATE(YEAR_Y-1,12,31))=0,"",IFERROR($J164*HSCEI!$G$19/SUMIFS('Fund History'!$K$928:$K$932,'Fund History'!$J$928:$J$932,"&gt;="&amp;DATE(YEAR_Y-1,1,1),'Fund History'!$J$928:$J$932,"&lt;="&amp;DATE(YEAR_Y-1,12,31)),""))))</f>
        <v/>
      </c>
      <c r="U164" s="137">
        <f>IF($C164="","",IF(ISNUMBER(HSCEI!$I$19),HSCEI!$I$19/100,""))</f>
        <v/>
      </c>
      <c r="V164" s="138">
        <f>IF($C164="","",IF(ISNUMBER(HSCEI!$X$19),IFERROR($M164*HSCEI!$G$19/HSCEI!$X$19,""),""))</f>
        <v/>
      </c>
      <c r="W164" s="137">
        <f>IF($C164="","",IF(ISNUMBER($N164),IFERROR($N164*HSCEI!$G$19/HSCEI!$X$19,""),""))</f>
        <v/>
      </c>
      <c r="X164" s="139">
        <f>IF($C164="","",IF(PULL_FUND="N","",IFERROR(BDP($C164,EPS_FIELD,YR_OVERRIDE,TEXT(YEAR_Y-5,"0")),"")))</f>
        <v/>
      </c>
      <c r="Y164" s="140">
        <f>IF($C164="","",IF(PULL_FUND="N","",IFERROR(BDP($C164,EPS_FIELD,YR_OVERRIDE,TEXT(YEAR_Y-4,"0")),"")))</f>
        <v/>
      </c>
      <c r="Z164" s="140">
        <f>IF($C164="","",IF(PULL_FUND="N","",IFERROR(BDP($C164,EPS_FIELD,YR_OVERRIDE,TEXT(YEAR_Y-3,"0")),"")))</f>
        <v/>
      </c>
      <c r="AA164" s="140">
        <f>IF($C164="","",IF(PULL_FUND="N","",IFERROR(BDP($C164,EPS_FIELD,YR_OVERRIDE,TEXT(YEAR_Y-2,"0")),"")))</f>
        <v/>
      </c>
      <c r="AB164" s="140">
        <f>IF($C164="","",IF(PULL_FUND="N","",IFERROR(BDP($C164,EPS_FIELD,YR_OVERRIDE,TEXT(YEAR_Y-1,"0")),"")))</f>
        <v/>
      </c>
      <c r="AC164" s="126">
        <f>IF($C164="","",IFERROR(AVERAGE(X164:AB164),""))</f>
        <v/>
      </c>
      <c r="AD164" s="140">
        <f>IF($C164="","",IF(PULL_FUND="N","",IFERROR(BDP($C164,BESTEPS_FIELD,FWD_OVERRIDE,TEXT(MOD(YEAR_Y,100),"00")&amp;"Y"),"")))</f>
        <v/>
      </c>
      <c r="AE164" s="141">
        <f>IF($C164="","",IF(PULL_FUND="N","",IFERROR(BDP($C164,PAYOUT_FIELD,YR_OVERRIDE,TEXT(YEAR_Y-5,"0"))/100,"")))</f>
        <v/>
      </c>
      <c r="AF164" s="142">
        <f>IF($C164="","",IF(PULL_FUND="N","",IFERROR(BDP($C164,PAYOUT_FIELD,YR_OVERRIDE,TEXT(YEAR_Y-4,"0"))/100,"")))</f>
        <v/>
      </c>
      <c r="AG164" s="142">
        <f>IF($C164="","",IF(PULL_FUND="N","",IFERROR(BDP($C164,PAYOUT_FIELD,YR_OVERRIDE,TEXT(YEAR_Y-3,"0"))/100,"")))</f>
        <v/>
      </c>
      <c r="AH164" s="142">
        <f>IF($C164="","",IF(PULL_FUND="N","",IFERROR(BDP($C164,PAYOUT_FIELD,YR_OVERRIDE,TEXT(YEAR_Y-2,"0"))/100,"")))</f>
        <v/>
      </c>
      <c r="AI164" s="142">
        <f>IF($C164="","",IF(PULL_FUND="N","",IFERROR(BDP($C164,PAYOUT_FIELD,YR_OVERRIDE,TEXT(YEAR_Y-1,"0"))/100,"")))</f>
        <v/>
      </c>
      <c r="AJ164" s="143">
        <f>IF($C164="","",IFERROR(AVERAGE(AE164:AI164),""))</f>
        <v/>
      </c>
      <c r="AK164" s="144">
        <f>IF($C164="","",IF(ISNUMBER($AD164)*ISNUMBER($N164)*($AD164&lt;&gt;0)=0,"",$N164/$AD164))</f>
        <v/>
      </c>
      <c r="AL164" s="143">
        <f>IF($C164="","",IF(ISNUMBER($AD164)*($AD164&lt;&gt;0)=0,"",$M164/$AD164))</f>
        <v/>
      </c>
      <c r="AM164" s="37">
        <f>IF($C164="","",IF(ISNUMBER($AE164)*ISNUMBER($AI164)=0,"",IF($AI164&gt;$AE164+0.05,"rising",IF($AI164&lt;$AE164-0.05,"falling","stable"))))</f>
        <v/>
      </c>
      <c r="AN164" s="145">
        <f>IF($C164="","",IF(PULL_FUND="N","",IF(COUNTIFS('Fund History'!$G$928:$G$932,"&gt;="&amp;DATE(YEAR_Y-4,1,1),'Fund History'!$G$928:$G$932,"&lt;="&amp;DATE(YEAR_Y-4,12,31))=0,"",SUMIFS('Fund History'!$H$928:$H$932,'Fund History'!$G$928:$G$932,"&gt;="&amp;DATE(YEAR_Y-4,1,1),'Fund History'!$G$928:$G$932,"&lt;="&amp;DATE(YEAR_Y-4,12,31))/100)))</f>
        <v/>
      </c>
      <c r="AO164" s="146">
        <f>IF($C164="","",IF(PULL_FUND="N","",IF(COUNTIFS('Fund History'!$G$928:$G$932,"&gt;="&amp;DATE(YEAR_Y-3,1,1),'Fund History'!$G$928:$G$932,"&lt;="&amp;DATE(YEAR_Y-3,12,31))=0,"",SUMIFS('Fund History'!$H$928:$H$932,'Fund History'!$G$928:$G$932,"&gt;="&amp;DATE(YEAR_Y-3,1,1),'Fund History'!$G$928:$G$932,"&lt;="&amp;DATE(YEAR_Y-3,12,31))/100)))</f>
        <v/>
      </c>
      <c r="AP164" s="146">
        <f>IF($C164="","",IF(PULL_FUND="N","",IF(COUNTIFS('Fund History'!$G$928:$G$932,"&gt;="&amp;DATE(YEAR_Y-2,1,1),'Fund History'!$G$928:$G$932,"&lt;="&amp;DATE(YEAR_Y-2,12,31))=0,"",SUMIFS('Fund History'!$H$928:$H$932,'Fund History'!$G$928:$G$932,"&gt;="&amp;DATE(YEAR_Y-2,1,1),'Fund History'!$G$928:$G$932,"&lt;="&amp;DATE(YEAR_Y-2,12,31))/100)))</f>
        <v/>
      </c>
      <c r="AQ164" s="146">
        <f>IF($C164="","",IF(PULL_FUND="N","",IF(COUNTIFS('Fund History'!$G$928:$G$932,"&gt;="&amp;DATE(YEAR_Y-1,1,1),'Fund History'!$G$928:$G$932,"&lt;="&amp;DATE(YEAR_Y-1,12,31))=0,"",SUMIFS('Fund History'!$H$928:$H$932,'Fund History'!$G$928:$G$932,"&gt;="&amp;DATE(YEAR_Y-1,1,1),'Fund History'!$G$928:$G$932,"&lt;="&amp;DATE(YEAR_Y-1,12,31))/100)))</f>
        <v/>
      </c>
      <c r="AR164" s="147">
        <f>IF($C164="","",IF(N($AQ164)+N(HSCEI!$I$19)=0,"",N($AQ164)+N(HSCEI!$I$19)/100))</f>
        <v/>
      </c>
      <c r="AS164" s="139">
        <f>IF($C164="","",IF(PULL_FUND="N","",IF(COUNTIFS('Fund History'!$D$928:$D$932,"&gt;="&amp;DATE(YEAR_Y-2,1,1),'Fund History'!$D$928:$D$932,"&lt;="&amp;DATE(YEAR_Y-2,12,31))=0,"",SUMIFS('Fund History'!$E$928:$E$932,'Fund History'!$D$928:$D$932,"&gt;="&amp;DATE(YEAR_Y-2,1,1),'Fund History'!$D$928:$D$932,"&lt;="&amp;DATE(YEAR_Y-2,12,31)))))</f>
        <v/>
      </c>
      <c r="AT164" s="140">
        <f>IF($C164="","",IF(PULL_FUND="N","",IF(COUNTIFS('Fund History'!$D$928:$D$932,"&gt;="&amp;DATE(YEAR_Y-1,1,1),'Fund History'!$D$928:$D$932,"&lt;="&amp;DATE(YEAR_Y-1,12,31))=0,"",SUMIFS('Fund History'!$E$928:$E$932,'Fund History'!$D$928:$D$932,"&gt;="&amp;DATE(YEAR_Y-1,1,1),'Fund History'!$D$928:$D$932,"&lt;="&amp;DATE(YEAR_Y-1,12,31)))))</f>
        <v/>
      </c>
      <c r="AU164" s="140">
        <f>IF($C164="","",IF(PULL_FUND="N","",IFERROR(BDP($C164,NDEBITDA_FIELD),"")))</f>
        <v/>
      </c>
      <c r="AV164" s="148">
        <f>IF($C164="","",IF(PULL_FUND="N","",IFERROR(BDP($C164,EBINT_FIELD),"")))</f>
        <v/>
      </c>
      <c r="AW164" s="146">
        <f>IF($C164="","",IF(PULL_FUND="N","",IFERROR(BDP($C164,FCF_FIELD)/100,"")))</f>
        <v/>
      </c>
      <c r="AX164" s="126">
        <f>IF($C164="","",IF(N($U164)=0,"",IFERROR($AW164/$U164,"")))</f>
        <v/>
      </c>
      <c r="AY164" s="85">
        <f>IF($C164="","",TRIM(IF(ISNUMBER($AJ164)*(N($AJ164)&gt;$D$4)&gt;0,"payout high  ","")&amp;IF(ISNUMBER($AX164)*(N($AX164)&lt;$F$4)&gt;0,"FCF below dvd  ","")&amp;IF(ISNUMBER($AU164)*(N($AU164)&gt;$H$4)&gt;0,"leverage high","")))</f>
        <v/>
      </c>
      <c r="AZ164" s="86">
        <f>IF($C164="","",IF(HSCEI!$F$19="HKD","",HSCEI!$F$19))</f>
        <v/>
      </c>
    </row>
    <row r="165">
      <c r="B165" s="66" t="inlineStr">
        <is>
          <t>HSCEI</t>
        </is>
      </c>
      <c r="C165" s="8">
        <f>IF(HSCEI!$C$20="","",HSCEI!$C$20)</f>
        <v/>
      </c>
      <c r="D165" s="8">
        <f>IF($C165="","",HSCEI!$D$20)</f>
        <v/>
      </c>
      <c r="E165" s="8">
        <f>IF($C165="","",HSCEI!$E$20)</f>
        <v/>
      </c>
      <c r="F165" s="131">
        <f>IF($C165="","",SUMPRODUCT(('Dvd Calendar'!$E$1704:$AR$1704&gt;=DATE(YEAR_Y-5,1,1))*('Dvd Calendar'!$E$1704:$AR$1704&lt;=DATE(YEAR_Y-5,12,31))*'Dvd Calendar'!$E$1707:$AR$1707*(('Dvd Calendar'!$E$1709:$AR$1709=TYPE1)*(TYPE1&lt;&gt;"")+('Dvd Calendar'!$E$1709:$AR$1709=TYPE2)*(TYPE2&lt;&gt;"")+('Dvd Calendar'!$E$1709:$AR$1709=TYPE3)*(TYPE3&lt;&gt;"")+('Dvd Calendar'!$E$1709:$AR$1709=TYPE4)*(TYPE4&lt;&gt;"")+('Dvd Calendar'!$E$1709:$AR$1709=SPECIAL_LBL)*(INC_SPECIALS="Y"))))</f>
        <v/>
      </c>
      <c r="G165" s="132">
        <f>IF($C165="","",SUMPRODUCT(('Dvd Calendar'!$E$1704:$AR$1704&gt;=DATE(YEAR_Y-4,1,1))*('Dvd Calendar'!$E$1704:$AR$1704&lt;=DATE(YEAR_Y-4,12,31))*'Dvd Calendar'!$E$1707:$AR$1707*(('Dvd Calendar'!$E$1709:$AR$1709=TYPE1)*(TYPE1&lt;&gt;"")+('Dvd Calendar'!$E$1709:$AR$1709=TYPE2)*(TYPE2&lt;&gt;"")+('Dvd Calendar'!$E$1709:$AR$1709=TYPE3)*(TYPE3&lt;&gt;"")+('Dvd Calendar'!$E$1709:$AR$1709=TYPE4)*(TYPE4&lt;&gt;"")+('Dvd Calendar'!$E$1709:$AR$1709=SPECIAL_LBL)*(INC_SPECIALS="Y"))))</f>
        <v/>
      </c>
      <c r="H165" s="132">
        <f>IF($C165="","",SUMPRODUCT(('Dvd Calendar'!$E$1704:$AR$1704&gt;=DATE(YEAR_Y-3,1,1))*('Dvd Calendar'!$E$1704:$AR$1704&lt;=DATE(YEAR_Y-3,12,31))*'Dvd Calendar'!$E$1707:$AR$1707*(('Dvd Calendar'!$E$1709:$AR$1709=TYPE1)*(TYPE1&lt;&gt;"")+('Dvd Calendar'!$E$1709:$AR$1709=TYPE2)*(TYPE2&lt;&gt;"")+('Dvd Calendar'!$E$1709:$AR$1709=TYPE3)*(TYPE3&lt;&gt;"")+('Dvd Calendar'!$E$1709:$AR$1709=TYPE4)*(TYPE4&lt;&gt;"")+('Dvd Calendar'!$E$1709:$AR$1709=SPECIAL_LBL)*(INC_SPECIALS="Y"))))</f>
        <v/>
      </c>
      <c r="I165" s="132">
        <f>IF($C165="","",SUMPRODUCT(('Dvd Calendar'!$E$1704:$AR$1704&gt;=DATE(YEAR_Y-2,1,1))*('Dvd Calendar'!$E$1704:$AR$1704&lt;=DATE(YEAR_Y-2,12,31))*'Dvd Calendar'!$E$1707:$AR$1707*(('Dvd Calendar'!$E$1709:$AR$1709=TYPE1)*(TYPE1&lt;&gt;"")+('Dvd Calendar'!$E$1709:$AR$1709=TYPE2)*(TYPE2&lt;&gt;"")+('Dvd Calendar'!$E$1709:$AR$1709=TYPE3)*(TYPE3&lt;&gt;"")+('Dvd Calendar'!$E$1709:$AR$1709=TYPE4)*(TYPE4&lt;&gt;"")+('Dvd Calendar'!$E$1709:$AR$1709=SPECIAL_LBL)*(INC_SPECIALS="Y"))))</f>
        <v/>
      </c>
      <c r="J165" s="132">
        <f>IF($C165="","",SUMPRODUCT(('Dvd Calendar'!$E$1704:$AR$1704&gt;=DATE(YEAR_Y-1,1,1))*('Dvd Calendar'!$E$1704:$AR$1704&lt;=DATE(YEAR_Y-1,12,31))*'Dvd Calendar'!$E$1707:$AR$1707*(('Dvd Calendar'!$E$1709:$AR$1709=TYPE1)*(TYPE1&lt;&gt;"")+('Dvd Calendar'!$E$1709:$AR$1709=TYPE2)*(TYPE2&lt;&gt;"")+('Dvd Calendar'!$E$1709:$AR$1709=TYPE3)*(TYPE3&lt;&gt;"")+('Dvd Calendar'!$E$1709:$AR$1709=TYPE4)*(TYPE4&lt;&gt;"")+('Dvd Calendar'!$E$1709:$AR$1709=SPECIAL_LBL)*(INC_SPECIALS="Y"))))</f>
        <v/>
      </c>
      <c r="K165" s="133">
        <f>IF($C165="","",HSCEI!$J$20)</f>
        <v/>
      </c>
      <c r="L165" s="133">
        <f>IF($C165="","",HSCEI!$K$20)</f>
        <v/>
      </c>
      <c r="M165" s="124">
        <f>IF($C165="","",HSCEI!$J$20+HSCEI!$L$20)</f>
        <v/>
      </c>
      <c r="N165" s="134">
        <f>IF($C165="","",IF(PULL_FUND="N","",IFERROR(BDP($C165,BESTDPS_FIELD,FWD_OVERRIDE,TEXT(MOD(YEAR_Y,100),"00")&amp;"Y"),"")))</f>
        <v/>
      </c>
      <c r="O165" s="133">
        <f>IF($C165="","",AVERAGE(F165:J165))</f>
        <v/>
      </c>
      <c r="P165" s="135">
        <f>IF($C165="","",IF(PULL_FUND="N","",IF(COUNTIFS('Fund History'!$J$934:$J$938,"&gt;="&amp;DATE(YEAR_Y-5,1,1),'Fund History'!$J$934:$J$938,"&lt;="&amp;DATE(YEAR_Y-5,12,31))=0,"",IFERROR($F165*HSCEI!$G$20/SUMIFS('Fund History'!$K$934:$K$938,'Fund History'!$J$934:$J$938,"&gt;="&amp;DATE(YEAR_Y-5,1,1),'Fund History'!$J$934:$J$938,"&lt;="&amp;DATE(YEAR_Y-5,12,31)),""))))</f>
        <v/>
      </c>
      <c r="Q165" s="136">
        <f>IF($C165="","",IF(PULL_FUND="N","",IF(COUNTIFS('Fund History'!$J$934:$J$938,"&gt;="&amp;DATE(YEAR_Y-4,1,1),'Fund History'!$J$934:$J$938,"&lt;="&amp;DATE(YEAR_Y-4,12,31))=0,"",IFERROR($G165*HSCEI!$G$20/SUMIFS('Fund History'!$K$934:$K$938,'Fund History'!$J$934:$J$938,"&gt;="&amp;DATE(YEAR_Y-4,1,1),'Fund History'!$J$934:$J$938,"&lt;="&amp;DATE(YEAR_Y-4,12,31)),""))))</f>
        <v/>
      </c>
      <c r="R165" s="136">
        <f>IF($C165="","",IF(PULL_FUND="N","",IF(COUNTIFS('Fund History'!$J$934:$J$938,"&gt;="&amp;DATE(YEAR_Y-3,1,1),'Fund History'!$J$934:$J$938,"&lt;="&amp;DATE(YEAR_Y-3,12,31))=0,"",IFERROR($H165*HSCEI!$G$20/SUMIFS('Fund History'!$K$934:$K$938,'Fund History'!$J$934:$J$938,"&gt;="&amp;DATE(YEAR_Y-3,1,1),'Fund History'!$J$934:$J$938,"&lt;="&amp;DATE(YEAR_Y-3,12,31)),""))))</f>
        <v/>
      </c>
      <c r="S165" s="136">
        <f>IF($C165="","",IF(PULL_FUND="N","",IF(COUNTIFS('Fund History'!$J$934:$J$938,"&gt;="&amp;DATE(YEAR_Y-2,1,1),'Fund History'!$J$934:$J$938,"&lt;="&amp;DATE(YEAR_Y-2,12,31))=0,"",IFERROR($I165*HSCEI!$G$20/SUMIFS('Fund History'!$K$934:$K$938,'Fund History'!$J$934:$J$938,"&gt;="&amp;DATE(YEAR_Y-2,1,1),'Fund History'!$J$934:$J$938,"&lt;="&amp;DATE(YEAR_Y-2,12,31)),""))))</f>
        <v/>
      </c>
      <c r="T165" s="136">
        <f>IF($C165="","",IF(PULL_FUND="N","",IF(COUNTIFS('Fund History'!$J$934:$J$938,"&gt;="&amp;DATE(YEAR_Y-1,1,1),'Fund History'!$J$934:$J$938,"&lt;="&amp;DATE(YEAR_Y-1,12,31))=0,"",IFERROR($J165*HSCEI!$G$20/SUMIFS('Fund History'!$K$934:$K$938,'Fund History'!$J$934:$J$938,"&gt;="&amp;DATE(YEAR_Y-1,1,1),'Fund History'!$J$934:$J$938,"&lt;="&amp;DATE(YEAR_Y-1,12,31)),""))))</f>
        <v/>
      </c>
      <c r="U165" s="137">
        <f>IF($C165="","",IF(ISNUMBER(HSCEI!$I$20),HSCEI!$I$20/100,""))</f>
        <v/>
      </c>
      <c r="V165" s="138">
        <f>IF($C165="","",IF(ISNUMBER(HSCEI!$X$20),IFERROR($M165*HSCEI!$G$20/HSCEI!$X$20,""),""))</f>
        <v/>
      </c>
      <c r="W165" s="137">
        <f>IF($C165="","",IF(ISNUMBER($N165),IFERROR($N165*HSCEI!$G$20/HSCEI!$X$20,""),""))</f>
        <v/>
      </c>
      <c r="X165" s="139">
        <f>IF($C165="","",IF(PULL_FUND="N","",IFERROR(BDP($C165,EPS_FIELD,YR_OVERRIDE,TEXT(YEAR_Y-5,"0")),"")))</f>
        <v/>
      </c>
      <c r="Y165" s="140">
        <f>IF($C165="","",IF(PULL_FUND="N","",IFERROR(BDP($C165,EPS_FIELD,YR_OVERRIDE,TEXT(YEAR_Y-4,"0")),"")))</f>
        <v/>
      </c>
      <c r="Z165" s="140">
        <f>IF($C165="","",IF(PULL_FUND="N","",IFERROR(BDP($C165,EPS_FIELD,YR_OVERRIDE,TEXT(YEAR_Y-3,"0")),"")))</f>
        <v/>
      </c>
      <c r="AA165" s="140">
        <f>IF($C165="","",IF(PULL_FUND="N","",IFERROR(BDP($C165,EPS_FIELD,YR_OVERRIDE,TEXT(YEAR_Y-2,"0")),"")))</f>
        <v/>
      </c>
      <c r="AB165" s="140">
        <f>IF($C165="","",IF(PULL_FUND="N","",IFERROR(BDP($C165,EPS_FIELD,YR_OVERRIDE,TEXT(YEAR_Y-1,"0")),"")))</f>
        <v/>
      </c>
      <c r="AC165" s="126">
        <f>IF($C165="","",IFERROR(AVERAGE(X165:AB165),""))</f>
        <v/>
      </c>
      <c r="AD165" s="140">
        <f>IF($C165="","",IF(PULL_FUND="N","",IFERROR(BDP($C165,BESTEPS_FIELD,FWD_OVERRIDE,TEXT(MOD(YEAR_Y,100),"00")&amp;"Y"),"")))</f>
        <v/>
      </c>
      <c r="AE165" s="141">
        <f>IF($C165="","",IF(PULL_FUND="N","",IFERROR(BDP($C165,PAYOUT_FIELD,YR_OVERRIDE,TEXT(YEAR_Y-5,"0"))/100,"")))</f>
        <v/>
      </c>
      <c r="AF165" s="142">
        <f>IF($C165="","",IF(PULL_FUND="N","",IFERROR(BDP($C165,PAYOUT_FIELD,YR_OVERRIDE,TEXT(YEAR_Y-4,"0"))/100,"")))</f>
        <v/>
      </c>
      <c r="AG165" s="142">
        <f>IF($C165="","",IF(PULL_FUND="N","",IFERROR(BDP($C165,PAYOUT_FIELD,YR_OVERRIDE,TEXT(YEAR_Y-3,"0"))/100,"")))</f>
        <v/>
      </c>
      <c r="AH165" s="142">
        <f>IF($C165="","",IF(PULL_FUND="N","",IFERROR(BDP($C165,PAYOUT_FIELD,YR_OVERRIDE,TEXT(YEAR_Y-2,"0"))/100,"")))</f>
        <v/>
      </c>
      <c r="AI165" s="142">
        <f>IF($C165="","",IF(PULL_FUND="N","",IFERROR(BDP($C165,PAYOUT_FIELD,YR_OVERRIDE,TEXT(YEAR_Y-1,"0"))/100,"")))</f>
        <v/>
      </c>
      <c r="AJ165" s="143">
        <f>IF($C165="","",IFERROR(AVERAGE(AE165:AI165),""))</f>
        <v/>
      </c>
      <c r="AK165" s="144">
        <f>IF($C165="","",IF(ISNUMBER($AD165)*ISNUMBER($N165)*($AD165&lt;&gt;0)=0,"",$N165/$AD165))</f>
        <v/>
      </c>
      <c r="AL165" s="143">
        <f>IF($C165="","",IF(ISNUMBER($AD165)*($AD165&lt;&gt;0)=0,"",$M165/$AD165))</f>
        <v/>
      </c>
      <c r="AM165" s="37">
        <f>IF($C165="","",IF(ISNUMBER($AE165)*ISNUMBER($AI165)=0,"",IF($AI165&gt;$AE165+0.05,"rising",IF($AI165&lt;$AE165-0.05,"falling","stable"))))</f>
        <v/>
      </c>
      <c r="AN165" s="145">
        <f>IF($C165="","",IF(PULL_FUND="N","",IF(COUNTIFS('Fund History'!$G$934:$G$938,"&gt;="&amp;DATE(YEAR_Y-4,1,1),'Fund History'!$G$934:$G$938,"&lt;="&amp;DATE(YEAR_Y-4,12,31))=0,"",SUMIFS('Fund History'!$H$934:$H$938,'Fund History'!$G$934:$G$938,"&gt;="&amp;DATE(YEAR_Y-4,1,1),'Fund History'!$G$934:$G$938,"&lt;="&amp;DATE(YEAR_Y-4,12,31))/100)))</f>
        <v/>
      </c>
      <c r="AO165" s="146">
        <f>IF($C165="","",IF(PULL_FUND="N","",IF(COUNTIFS('Fund History'!$G$934:$G$938,"&gt;="&amp;DATE(YEAR_Y-3,1,1),'Fund History'!$G$934:$G$938,"&lt;="&amp;DATE(YEAR_Y-3,12,31))=0,"",SUMIFS('Fund History'!$H$934:$H$938,'Fund History'!$G$934:$G$938,"&gt;="&amp;DATE(YEAR_Y-3,1,1),'Fund History'!$G$934:$G$938,"&lt;="&amp;DATE(YEAR_Y-3,12,31))/100)))</f>
        <v/>
      </c>
      <c r="AP165" s="146">
        <f>IF($C165="","",IF(PULL_FUND="N","",IF(COUNTIFS('Fund History'!$G$934:$G$938,"&gt;="&amp;DATE(YEAR_Y-2,1,1),'Fund History'!$G$934:$G$938,"&lt;="&amp;DATE(YEAR_Y-2,12,31))=0,"",SUMIFS('Fund History'!$H$934:$H$938,'Fund History'!$G$934:$G$938,"&gt;="&amp;DATE(YEAR_Y-2,1,1),'Fund History'!$G$934:$G$938,"&lt;="&amp;DATE(YEAR_Y-2,12,31))/100)))</f>
        <v/>
      </c>
      <c r="AQ165" s="146">
        <f>IF($C165="","",IF(PULL_FUND="N","",IF(COUNTIFS('Fund History'!$G$934:$G$938,"&gt;="&amp;DATE(YEAR_Y-1,1,1),'Fund History'!$G$934:$G$938,"&lt;="&amp;DATE(YEAR_Y-1,12,31))=0,"",SUMIFS('Fund History'!$H$934:$H$938,'Fund History'!$G$934:$G$938,"&gt;="&amp;DATE(YEAR_Y-1,1,1),'Fund History'!$G$934:$G$938,"&lt;="&amp;DATE(YEAR_Y-1,12,31))/100)))</f>
        <v/>
      </c>
      <c r="AR165" s="147">
        <f>IF($C165="","",IF(N($AQ165)+N(HSCEI!$I$20)=0,"",N($AQ165)+N(HSCEI!$I$20)/100))</f>
        <v/>
      </c>
      <c r="AS165" s="139">
        <f>IF($C165="","",IF(PULL_FUND="N","",IF(COUNTIFS('Fund History'!$D$934:$D$938,"&gt;="&amp;DATE(YEAR_Y-2,1,1),'Fund History'!$D$934:$D$938,"&lt;="&amp;DATE(YEAR_Y-2,12,31))=0,"",SUMIFS('Fund History'!$E$934:$E$938,'Fund History'!$D$934:$D$938,"&gt;="&amp;DATE(YEAR_Y-2,1,1),'Fund History'!$D$934:$D$938,"&lt;="&amp;DATE(YEAR_Y-2,12,31)))))</f>
        <v/>
      </c>
      <c r="AT165" s="140">
        <f>IF($C165="","",IF(PULL_FUND="N","",IF(COUNTIFS('Fund History'!$D$934:$D$938,"&gt;="&amp;DATE(YEAR_Y-1,1,1),'Fund History'!$D$934:$D$938,"&lt;="&amp;DATE(YEAR_Y-1,12,31))=0,"",SUMIFS('Fund History'!$E$934:$E$938,'Fund History'!$D$934:$D$938,"&gt;="&amp;DATE(YEAR_Y-1,1,1),'Fund History'!$D$934:$D$938,"&lt;="&amp;DATE(YEAR_Y-1,12,31)))))</f>
        <v/>
      </c>
      <c r="AU165" s="140">
        <f>IF($C165="","",IF(PULL_FUND="N","",IFERROR(BDP($C165,NDEBITDA_FIELD),"")))</f>
        <v/>
      </c>
      <c r="AV165" s="148">
        <f>IF($C165="","",IF(PULL_FUND="N","",IFERROR(BDP($C165,EBINT_FIELD),"")))</f>
        <v/>
      </c>
      <c r="AW165" s="146">
        <f>IF($C165="","",IF(PULL_FUND="N","",IFERROR(BDP($C165,FCF_FIELD)/100,"")))</f>
        <v/>
      </c>
      <c r="AX165" s="126">
        <f>IF($C165="","",IF(N($U165)=0,"",IFERROR($AW165/$U165,"")))</f>
        <v/>
      </c>
      <c r="AY165" s="85">
        <f>IF($C165="","",TRIM(IF(ISNUMBER($AJ165)*(N($AJ165)&gt;$D$4)&gt;0,"payout high  ","")&amp;IF(ISNUMBER($AX165)*(N($AX165)&lt;$F$4)&gt;0,"FCF below dvd  ","")&amp;IF(ISNUMBER($AU165)*(N($AU165)&gt;$H$4)&gt;0,"leverage high","")))</f>
        <v/>
      </c>
      <c r="AZ165" s="86">
        <f>IF($C165="","",IF(HSCEI!$F$20="HKD","",HSCEI!$F$20))</f>
        <v/>
      </c>
    </row>
    <row r="166">
      <c r="B166" s="66" t="inlineStr">
        <is>
          <t>HSCEI</t>
        </is>
      </c>
      <c r="C166" s="8">
        <f>IF(HSCEI!$C$21="","",HSCEI!$C$21)</f>
        <v/>
      </c>
      <c r="D166" s="8">
        <f>IF($C166="","",HSCEI!$D$21)</f>
        <v/>
      </c>
      <c r="E166" s="8">
        <f>IF($C166="","",HSCEI!$E$21)</f>
        <v/>
      </c>
      <c r="F166" s="131">
        <f>IF($C166="","",SUMPRODUCT(('Dvd Calendar'!$E$1715:$AR$1715&gt;=DATE(YEAR_Y-5,1,1))*('Dvd Calendar'!$E$1715:$AR$1715&lt;=DATE(YEAR_Y-5,12,31))*'Dvd Calendar'!$E$1718:$AR$1718*(('Dvd Calendar'!$E$1720:$AR$1720=TYPE1)*(TYPE1&lt;&gt;"")+('Dvd Calendar'!$E$1720:$AR$1720=TYPE2)*(TYPE2&lt;&gt;"")+('Dvd Calendar'!$E$1720:$AR$1720=TYPE3)*(TYPE3&lt;&gt;"")+('Dvd Calendar'!$E$1720:$AR$1720=TYPE4)*(TYPE4&lt;&gt;"")+('Dvd Calendar'!$E$1720:$AR$1720=SPECIAL_LBL)*(INC_SPECIALS="Y"))))</f>
        <v/>
      </c>
      <c r="G166" s="132">
        <f>IF($C166="","",SUMPRODUCT(('Dvd Calendar'!$E$1715:$AR$1715&gt;=DATE(YEAR_Y-4,1,1))*('Dvd Calendar'!$E$1715:$AR$1715&lt;=DATE(YEAR_Y-4,12,31))*'Dvd Calendar'!$E$1718:$AR$1718*(('Dvd Calendar'!$E$1720:$AR$1720=TYPE1)*(TYPE1&lt;&gt;"")+('Dvd Calendar'!$E$1720:$AR$1720=TYPE2)*(TYPE2&lt;&gt;"")+('Dvd Calendar'!$E$1720:$AR$1720=TYPE3)*(TYPE3&lt;&gt;"")+('Dvd Calendar'!$E$1720:$AR$1720=TYPE4)*(TYPE4&lt;&gt;"")+('Dvd Calendar'!$E$1720:$AR$1720=SPECIAL_LBL)*(INC_SPECIALS="Y"))))</f>
        <v/>
      </c>
      <c r="H166" s="132">
        <f>IF($C166="","",SUMPRODUCT(('Dvd Calendar'!$E$1715:$AR$1715&gt;=DATE(YEAR_Y-3,1,1))*('Dvd Calendar'!$E$1715:$AR$1715&lt;=DATE(YEAR_Y-3,12,31))*'Dvd Calendar'!$E$1718:$AR$1718*(('Dvd Calendar'!$E$1720:$AR$1720=TYPE1)*(TYPE1&lt;&gt;"")+('Dvd Calendar'!$E$1720:$AR$1720=TYPE2)*(TYPE2&lt;&gt;"")+('Dvd Calendar'!$E$1720:$AR$1720=TYPE3)*(TYPE3&lt;&gt;"")+('Dvd Calendar'!$E$1720:$AR$1720=TYPE4)*(TYPE4&lt;&gt;"")+('Dvd Calendar'!$E$1720:$AR$1720=SPECIAL_LBL)*(INC_SPECIALS="Y"))))</f>
        <v/>
      </c>
      <c r="I166" s="132">
        <f>IF($C166="","",SUMPRODUCT(('Dvd Calendar'!$E$1715:$AR$1715&gt;=DATE(YEAR_Y-2,1,1))*('Dvd Calendar'!$E$1715:$AR$1715&lt;=DATE(YEAR_Y-2,12,31))*'Dvd Calendar'!$E$1718:$AR$1718*(('Dvd Calendar'!$E$1720:$AR$1720=TYPE1)*(TYPE1&lt;&gt;"")+('Dvd Calendar'!$E$1720:$AR$1720=TYPE2)*(TYPE2&lt;&gt;"")+('Dvd Calendar'!$E$1720:$AR$1720=TYPE3)*(TYPE3&lt;&gt;"")+('Dvd Calendar'!$E$1720:$AR$1720=TYPE4)*(TYPE4&lt;&gt;"")+('Dvd Calendar'!$E$1720:$AR$1720=SPECIAL_LBL)*(INC_SPECIALS="Y"))))</f>
        <v/>
      </c>
      <c r="J166" s="132">
        <f>IF($C166="","",SUMPRODUCT(('Dvd Calendar'!$E$1715:$AR$1715&gt;=DATE(YEAR_Y-1,1,1))*('Dvd Calendar'!$E$1715:$AR$1715&lt;=DATE(YEAR_Y-1,12,31))*'Dvd Calendar'!$E$1718:$AR$1718*(('Dvd Calendar'!$E$1720:$AR$1720=TYPE1)*(TYPE1&lt;&gt;"")+('Dvd Calendar'!$E$1720:$AR$1720=TYPE2)*(TYPE2&lt;&gt;"")+('Dvd Calendar'!$E$1720:$AR$1720=TYPE3)*(TYPE3&lt;&gt;"")+('Dvd Calendar'!$E$1720:$AR$1720=TYPE4)*(TYPE4&lt;&gt;"")+('Dvd Calendar'!$E$1720:$AR$1720=SPECIAL_LBL)*(INC_SPECIALS="Y"))))</f>
        <v/>
      </c>
      <c r="K166" s="133">
        <f>IF($C166="","",HSCEI!$J$21)</f>
        <v/>
      </c>
      <c r="L166" s="133">
        <f>IF($C166="","",HSCEI!$K$21)</f>
        <v/>
      </c>
      <c r="M166" s="124">
        <f>IF($C166="","",HSCEI!$J$21+HSCEI!$L$21)</f>
        <v/>
      </c>
      <c r="N166" s="134">
        <f>IF($C166="","",IF(PULL_FUND="N","",IFERROR(BDP($C166,BESTDPS_FIELD,FWD_OVERRIDE,TEXT(MOD(YEAR_Y,100),"00")&amp;"Y"),"")))</f>
        <v/>
      </c>
      <c r="O166" s="133">
        <f>IF($C166="","",AVERAGE(F166:J166))</f>
        <v/>
      </c>
      <c r="P166" s="135">
        <f>IF($C166="","",IF(PULL_FUND="N","",IF(COUNTIFS('Fund History'!$J$940:$J$944,"&gt;="&amp;DATE(YEAR_Y-5,1,1),'Fund History'!$J$940:$J$944,"&lt;="&amp;DATE(YEAR_Y-5,12,31))=0,"",IFERROR($F166*HSCEI!$G$21/SUMIFS('Fund History'!$K$940:$K$944,'Fund History'!$J$940:$J$944,"&gt;="&amp;DATE(YEAR_Y-5,1,1),'Fund History'!$J$940:$J$944,"&lt;="&amp;DATE(YEAR_Y-5,12,31)),""))))</f>
        <v/>
      </c>
      <c r="Q166" s="136">
        <f>IF($C166="","",IF(PULL_FUND="N","",IF(COUNTIFS('Fund History'!$J$940:$J$944,"&gt;="&amp;DATE(YEAR_Y-4,1,1),'Fund History'!$J$940:$J$944,"&lt;="&amp;DATE(YEAR_Y-4,12,31))=0,"",IFERROR($G166*HSCEI!$G$21/SUMIFS('Fund History'!$K$940:$K$944,'Fund History'!$J$940:$J$944,"&gt;="&amp;DATE(YEAR_Y-4,1,1),'Fund History'!$J$940:$J$944,"&lt;="&amp;DATE(YEAR_Y-4,12,31)),""))))</f>
        <v/>
      </c>
      <c r="R166" s="136">
        <f>IF($C166="","",IF(PULL_FUND="N","",IF(COUNTIFS('Fund History'!$J$940:$J$944,"&gt;="&amp;DATE(YEAR_Y-3,1,1),'Fund History'!$J$940:$J$944,"&lt;="&amp;DATE(YEAR_Y-3,12,31))=0,"",IFERROR($H166*HSCEI!$G$21/SUMIFS('Fund History'!$K$940:$K$944,'Fund History'!$J$940:$J$944,"&gt;="&amp;DATE(YEAR_Y-3,1,1),'Fund History'!$J$940:$J$944,"&lt;="&amp;DATE(YEAR_Y-3,12,31)),""))))</f>
        <v/>
      </c>
      <c r="S166" s="136">
        <f>IF($C166="","",IF(PULL_FUND="N","",IF(COUNTIFS('Fund History'!$J$940:$J$944,"&gt;="&amp;DATE(YEAR_Y-2,1,1),'Fund History'!$J$940:$J$944,"&lt;="&amp;DATE(YEAR_Y-2,12,31))=0,"",IFERROR($I166*HSCEI!$G$21/SUMIFS('Fund History'!$K$940:$K$944,'Fund History'!$J$940:$J$944,"&gt;="&amp;DATE(YEAR_Y-2,1,1),'Fund History'!$J$940:$J$944,"&lt;="&amp;DATE(YEAR_Y-2,12,31)),""))))</f>
        <v/>
      </c>
      <c r="T166" s="136">
        <f>IF($C166="","",IF(PULL_FUND="N","",IF(COUNTIFS('Fund History'!$J$940:$J$944,"&gt;="&amp;DATE(YEAR_Y-1,1,1),'Fund History'!$J$940:$J$944,"&lt;="&amp;DATE(YEAR_Y-1,12,31))=0,"",IFERROR($J166*HSCEI!$G$21/SUMIFS('Fund History'!$K$940:$K$944,'Fund History'!$J$940:$J$944,"&gt;="&amp;DATE(YEAR_Y-1,1,1),'Fund History'!$J$940:$J$944,"&lt;="&amp;DATE(YEAR_Y-1,12,31)),""))))</f>
        <v/>
      </c>
      <c r="U166" s="137">
        <f>IF($C166="","",IF(ISNUMBER(HSCEI!$I$21),HSCEI!$I$21/100,""))</f>
        <v/>
      </c>
      <c r="V166" s="138">
        <f>IF($C166="","",IF(ISNUMBER(HSCEI!$X$21),IFERROR($M166*HSCEI!$G$21/HSCEI!$X$21,""),""))</f>
        <v/>
      </c>
      <c r="W166" s="137">
        <f>IF($C166="","",IF(ISNUMBER($N166),IFERROR($N166*HSCEI!$G$21/HSCEI!$X$21,""),""))</f>
        <v/>
      </c>
      <c r="X166" s="139">
        <f>IF($C166="","",IF(PULL_FUND="N","",IFERROR(BDP($C166,EPS_FIELD,YR_OVERRIDE,TEXT(YEAR_Y-5,"0")),"")))</f>
        <v/>
      </c>
      <c r="Y166" s="140">
        <f>IF($C166="","",IF(PULL_FUND="N","",IFERROR(BDP($C166,EPS_FIELD,YR_OVERRIDE,TEXT(YEAR_Y-4,"0")),"")))</f>
        <v/>
      </c>
      <c r="Z166" s="140">
        <f>IF($C166="","",IF(PULL_FUND="N","",IFERROR(BDP($C166,EPS_FIELD,YR_OVERRIDE,TEXT(YEAR_Y-3,"0")),"")))</f>
        <v/>
      </c>
      <c r="AA166" s="140">
        <f>IF($C166="","",IF(PULL_FUND="N","",IFERROR(BDP($C166,EPS_FIELD,YR_OVERRIDE,TEXT(YEAR_Y-2,"0")),"")))</f>
        <v/>
      </c>
      <c r="AB166" s="140">
        <f>IF($C166="","",IF(PULL_FUND="N","",IFERROR(BDP($C166,EPS_FIELD,YR_OVERRIDE,TEXT(YEAR_Y-1,"0")),"")))</f>
        <v/>
      </c>
      <c r="AC166" s="126">
        <f>IF($C166="","",IFERROR(AVERAGE(X166:AB166),""))</f>
        <v/>
      </c>
      <c r="AD166" s="140">
        <f>IF($C166="","",IF(PULL_FUND="N","",IFERROR(BDP($C166,BESTEPS_FIELD,FWD_OVERRIDE,TEXT(MOD(YEAR_Y,100),"00")&amp;"Y"),"")))</f>
        <v/>
      </c>
      <c r="AE166" s="141">
        <f>IF($C166="","",IF(PULL_FUND="N","",IFERROR(BDP($C166,PAYOUT_FIELD,YR_OVERRIDE,TEXT(YEAR_Y-5,"0"))/100,"")))</f>
        <v/>
      </c>
      <c r="AF166" s="142">
        <f>IF($C166="","",IF(PULL_FUND="N","",IFERROR(BDP($C166,PAYOUT_FIELD,YR_OVERRIDE,TEXT(YEAR_Y-4,"0"))/100,"")))</f>
        <v/>
      </c>
      <c r="AG166" s="142">
        <f>IF($C166="","",IF(PULL_FUND="N","",IFERROR(BDP($C166,PAYOUT_FIELD,YR_OVERRIDE,TEXT(YEAR_Y-3,"0"))/100,"")))</f>
        <v/>
      </c>
      <c r="AH166" s="142">
        <f>IF($C166="","",IF(PULL_FUND="N","",IFERROR(BDP($C166,PAYOUT_FIELD,YR_OVERRIDE,TEXT(YEAR_Y-2,"0"))/100,"")))</f>
        <v/>
      </c>
      <c r="AI166" s="142">
        <f>IF($C166="","",IF(PULL_FUND="N","",IFERROR(BDP($C166,PAYOUT_FIELD,YR_OVERRIDE,TEXT(YEAR_Y-1,"0"))/100,"")))</f>
        <v/>
      </c>
      <c r="AJ166" s="143">
        <f>IF($C166="","",IFERROR(AVERAGE(AE166:AI166),""))</f>
        <v/>
      </c>
      <c r="AK166" s="144">
        <f>IF($C166="","",IF(ISNUMBER($AD166)*ISNUMBER($N166)*($AD166&lt;&gt;0)=0,"",$N166/$AD166))</f>
        <v/>
      </c>
      <c r="AL166" s="143">
        <f>IF($C166="","",IF(ISNUMBER($AD166)*($AD166&lt;&gt;0)=0,"",$M166/$AD166))</f>
        <v/>
      </c>
      <c r="AM166" s="37">
        <f>IF($C166="","",IF(ISNUMBER($AE166)*ISNUMBER($AI166)=0,"",IF($AI166&gt;$AE166+0.05,"rising",IF($AI166&lt;$AE166-0.05,"falling","stable"))))</f>
        <v/>
      </c>
      <c r="AN166" s="145">
        <f>IF($C166="","",IF(PULL_FUND="N","",IF(COUNTIFS('Fund History'!$G$940:$G$944,"&gt;="&amp;DATE(YEAR_Y-4,1,1),'Fund History'!$G$940:$G$944,"&lt;="&amp;DATE(YEAR_Y-4,12,31))=0,"",SUMIFS('Fund History'!$H$940:$H$944,'Fund History'!$G$940:$G$944,"&gt;="&amp;DATE(YEAR_Y-4,1,1),'Fund History'!$G$940:$G$944,"&lt;="&amp;DATE(YEAR_Y-4,12,31))/100)))</f>
        <v/>
      </c>
      <c r="AO166" s="146">
        <f>IF($C166="","",IF(PULL_FUND="N","",IF(COUNTIFS('Fund History'!$G$940:$G$944,"&gt;="&amp;DATE(YEAR_Y-3,1,1),'Fund History'!$G$940:$G$944,"&lt;="&amp;DATE(YEAR_Y-3,12,31))=0,"",SUMIFS('Fund History'!$H$940:$H$944,'Fund History'!$G$940:$G$944,"&gt;="&amp;DATE(YEAR_Y-3,1,1),'Fund History'!$G$940:$G$944,"&lt;="&amp;DATE(YEAR_Y-3,12,31))/100)))</f>
        <v/>
      </c>
      <c r="AP166" s="146">
        <f>IF($C166="","",IF(PULL_FUND="N","",IF(COUNTIFS('Fund History'!$G$940:$G$944,"&gt;="&amp;DATE(YEAR_Y-2,1,1),'Fund History'!$G$940:$G$944,"&lt;="&amp;DATE(YEAR_Y-2,12,31))=0,"",SUMIFS('Fund History'!$H$940:$H$944,'Fund History'!$G$940:$G$944,"&gt;="&amp;DATE(YEAR_Y-2,1,1),'Fund History'!$G$940:$G$944,"&lt;="&amp;DATE(YEAR_Y-2,12,31))/100)))</f>
        <v/>
      </c>
      <c r="AQ166" s="146">
        <f>IF($C166="","",IF(PULL_FUND="N","",IF(COUNTIFS('Fund History'!$G$940:$G$944,"&gt;="&amp;DATE(YEAR_Y-1,1,1),'Fund History'!$G$940:$G$944,"&lt;="&amp;DATE(YEAR_Y-1,12,31))=0,"",SUMIFS('Fund History'!$H$940:$H$944,'Fund History'!$G$940:$G$944,"&gt;="&amp;DATE(YEAR_Y-1,1,1),'Fund History'!$G$940:$G$944,"&lt;="&amp;DATE(YEAR_Y-1,12,31))/100)))</f>
        <v/>
      </c>
      <c r="AR166" s="147">
        <f>IF($C166="","",IF(N($AQ166)+N(HSCEI!$I$21)=0,"",N($AQ166)+N(HSCEI!$I$21)/100))</f>
        <v/>
      </c>
      <c r="AS166" s="139">
        <f>IF($C166="","",IF(PULL_FUND="N","",IF(COUNTIFS('Fund History'!$D$940:$D$944,"&gt;="&amp;DATE(YEAR_Y-2,1,1),'Fund History'!$D$940:$D$944,"&lt;="&amp;DATE(YEAR_Y-2,12,31))=0,"",SUMIFS('Fund History'!$E$940:$E$944,'Fund History'!$D$940:$D$944,"&gt;="&amp;DATE(YEAR_Y-2,1,1),'Fund History'!$D$940:$D$944,"&lt;="&amp;DATE(YEAR_Y-2,12,31)))))</f>
        <v/>
      </c>
      <c r="AT166" s="140">
        <f>IF($C166="","",IF(PULL_FUND="N","",IF(COUNTIFS('Fund History'!$D$940:$D$944,"&gt;="&amp;DATE(YEAR_Y-1,1,1),'Fund History'!$D$940:$D$944,"&lt;="&amp;DATE(YEAR_Y-1,12,31))=0,"",SUMIFS('Fund History'!$E$940:$E$944,'Fund History'!$D$940:$D$944,"&gt;="&amp;DATE(YEAR_Y-1,1,1),'Fund History'!$D$940:$D$944,"&lt;="&amp;DATE(YEAR_Y-1,12,31)))))</f>
        <v/>
      </c>
      <c r="AU166" s="140">
        <f>IF($C166="","",IF(PULL_FUND="N","",IFERROR(BDP($C166,NDEBITDA_FIELD),"")))</f>
        <v/>
      </c>
      <c r="AV166" s="148">
        <f>IF($C166="","",IF(PULL_FUND="N","",IFERROR(BDP($C166,EBINT_FIELD),"")))</f>
        <v/>
      </c>
      <c r="AW166" s="146">
        <f>IF($C166="","",IF(PULL_FUND="N","",IFERROR(BDP($C166,FCF_FIELD)/100,"")))</f>
        <v/>
      </c>
      <c r="AX166" s="126">
        <f>IF($C166="","",IF(N($U166)=0,"",IFERROR($AW166/$U166,"")))</f>
        <v/>
      </c>
      <c r="AY166" s="85">
        <f>IF($C166="","",TRIM(IF(ISNUMBER($AJ166)*(N($AJ166)&gt;$D$4)&gt;0,"payout high  ","")&amp;IF(ISNUMBER($AX166)*(N($AX166)&lt;$F$4)&gt;0,"FCF below dvd  ","")&amp;IF(ISNUMBER($AU166)*(N($AU166)&gt;$H$4)&gt;0,"leverage high","")))</f>
        <v/>
      </c>
      <c r="AZ166" s="86">
        <f>IF($C166="","",IF(HSCEI!$F$21="HKD","",HSCEI!$F$21))</f>
        <v/>
      </c>
    </row>
    <row r="167">
      <c r="B167" s="66" t="inlineStr">
        <is>
          <t>HSCEI</t>
        </is>
      </c>
      <c r="C167" s="8">
        <f>IF(HSCEI!$C$22="","",HSCEI!$C$22)</f>
        <v/>
      </c>
      <c r="D167" s="8">
        <f>IF($C167="","",HSCEI!$D$22)</f>
        <v/>
      </c>
      <c r="E167" s="8">
        <f>IF($C167="","",HSCEI!$E$22)</f>
        <v/>
      </c>
      <c r="F167" s="131">
        <f>IF($C167="","",SUMPRODUCT(('Dvd Calendar'!$E$1726:$AR$1726&gt;=DATE(YEAR_Y-5,1,1))*('Dvd Calendar'!$E$1726:$AR$1726&lt;=DATE(YEAR_Y-5,12,31))*'Dvd Calendar'!$E$1729:$AR$1729*(('Dvd Calendar'!$E$1731:$AR$1731=TYPE1)*(TYPE1&lt;&gt;"")+('Dvd Calendar'!$E$1731:$AR$1731=TYPE2)*(TYPE2&lt;&gt;"")+('Dvd Calendar'!$E$1731:$AR$1731=TYPE3)*(TYPE3&lt;&gt;"")+('Dvd Calendar'!$E$1731:$AR$1731=TYPE4)*(TYPE4&lt;&gt;"")+('Dvd Calendar'!$E$1731:$AR$1731=SPECIAL_LBL)*(INC_SPECIALS="Y"))))</f>
        <v/>
      </c>
      <c r="G167" s="132">
        <f>IF($C167="","",SUMPRODUCT(('Dvd Calendar'!$E$1726:$AR$1726&gt;=DATE(YEAR_Y-4,1,1))*('Dvd Calendar'!$E$1726:$AR$1726&lt;=DATE(YEAR_Y-4,12,31))*'Dvd Calendar'!$E$1729:$AR$1729*(('Dvd Calendar'!$E$1731:$AR$1731=TYPE1)*(TYPE1&lt;&gt;"")+('Dvd Calendar'!$E$1731:$AR$1731=TYPE2)*(TYPE2&lt;&gt;"")+('Dvd Calendar'!$E$1731:$AR$1731=TYPE3)*(TYPE3&lt;&gt;"")+('Dvd Calendar'!$E$1731:$AR$1731=TYPE4)*(TYPE4&lt;&gt;"")+('Dvd Calendar'!$E$1731:$AR$1731=SPECIAL_LBL)*(INC_SPECIALS="Y"))))</f>
        <v/>
      </c>
      <c r="H167" s="132">
        <f>IF($C167="","",SUMPRODUCT(('Dvd Calendar'!$E$1726:$AR$1726&gt;=DATE(YEAR_Y-3,1,1))*('Dvd Calendar'!$E$1726:$AR$1726&lt;=DATE(YEAR_Y-3,12,31))*'Dvd Calendar'!$E$1729:$AR$1729*(('Dvd Calendar'!$E$1731:$AR$1731=TYPE1)*(TYPE1&lt;&gt;"")+('Dvd Calendar'!$E$1731:$AR$1731=TYPE2)*(TYPE2&lt;&gt;"")+('Dvd Calendar'!$E$1731:$AR$1731=TYPE3)*(TYPE3&lt;&gt;"")+('Dvd Calendar'!$E$1731:$AR$1731=TYPE4)*(TYPE4&lt;&gt;"")+('Dvd Calendar'!$E$1731:$AR$1731=SPECIAL_LBL)*(INC_SPECIALS="Y"))))</f>
        <v/>
      </c>
      <c r="I167" s="132">
        <f>IF($C167="","",SUMPRODUCT(('Dvd Calendar'!$E$1726:$AR$1726&gt;=DATE(YEAR_Y-2,1,1))*('Dvd Calendar'!$E$1726:$AR$1726&lt;=DATE(YEAR_Y-2,12,31))*'Dvd Calendar'!$E$1729:$AR$1729*(('Dvd Calendar'!$E$1731:$AR$1731=TYPE1)*(TYPE1&lt;&gt;"")+('Dvd Calendar'!$E$1731:$AR$1731=TYPE2)*(TYPE2&lt;&gt;"")+('Dvd Calendar'!$E$1731:$AR$1731=TYPE3)*(TYPE3&lt;&gt;"")+('Dvd Calendar'!$E$1731:$AR$1731=TYPE4)*(TYPE4&lt;&gt;"")+('Dvd Calendar'!$E$1731:$AR$1731=SPECIAL_LBL)*(INC_SPECIALS="Y"))))</f>
        <v/>
      </c>
      <c r="J167" s="132">
        <f>IF($C167="","",SUMPRODUCT(('Dvd Calendar'!$E$1726:$AR$1726&gt;=DATE(YEAR_Y-1,1,1))*('Dvd Calendar'!$E$1726:$AR$1726&lt;=DATE(YEAR_Y-1,12,31))*'Dvd Calendar'!$E$1729:$AR$1729*(('Dvd Calendar'!$E$1731:$AR$1731=TYPE1)*(TYPE1&lt;&gt;"")+('Dvd Calendar'!$E$1731:$AR$1731=TYPE2)*(TYPE2&lt;&gt;"")+('Dvd Calendar'!$E$1731:$AR$1731=TYPE3)*(TYPE3&lt;&gt;"")+('Dvd Calendar'!$E$1731:$AR$1731=TYPE4)*(TYPE4&lt;&gt;"")+('Dvd Calendar'!$E$1731:$AR$1731=SPECIAL_LBL)*(INC_SPECIALS="Y"))))</f>
        <v/>
      </c>
      <c r="K167" s="133">
        <f>IF($C167="","",HSCEI!$J$22)</f>
        <v/>
      </c>
      <c r="L167" s="133">
        <f>IF($C167="","",HSCEI!$K$22)</f>
        <v/>
      </c>
      <c r="M167" s="124">
        <f>IF($C167="","",HSCEI!$J$22+HSCEI!$L$22)</f>
        <v/>
      </c>
      <c r="N167" s="134">
        <f>IF($C167="","",IF(PULL_FUND="N","",IFERROR(BDP($C167,BESTDPS_FIELD,FWD_OVERRIDE,TEXT(MOD(YEAR_Y,100),"00")&amp;"Y"),"")))</f>
        <v/>
      </c>
      <c r="O167" s="133">
        <f>IF($C167="","",AVERAGE(F167:J167))</f>
        <v/>
      </c>
      <c r="P167" s="135">
        <f>IF($C167="","",IF(PULL_FUND="N","",IF(COUNTIFS('Fund History'!$J$946:$J$950,"&gt;="&amp;DATE(YEAR_Y-5,1,1),'Fund History'!$J$946:$J$950,"&lt;="&amp;DATE(YEAR_Y-5,12,31))=0,"",IFERROR($F167*HSCEI!$G$22/SUMIFS('Fund History'!$K$946:$K$950,'Fund History'!$J$946:$J$950,"&gt;="&amp;DATE(YEAR_Y-5,1,1),'Fund History'!$J$946:$J$950,"&lt;="&amp;DATE(YEAR_Y-5,12,31)),""))))</f>
        <v/>
      </c>
      <c r="Q167" s="136">
        <f>IF($C167="","",IF(PULL_FUND="N","",IF(COUNTIFS('Fund History'!$J$946:$J$950,"&gt;="&amp;DATE(YEAR_Y-4,1,1),'Fund History'!$J$946:$J$950,"&lt;="&amp;DATE(YEAR_Y-4,12,31))=0,"",IFERROR($G167*HSCEI!$G$22/SUMIFS('Fund History'!$K$946:$K$950,'Fund History'!$J$946:$J$950,"&gt;="&amp;DATE(YEAR_Y-4,1,1),'Fund History'!$J$946:$J$950,"&lt;="&amp;DATE(YEAR_Y-4,12,31)),""))))</f>
        <v/>
      </c>
      <c r="R167" s="136">
        <f>IF($C167="","",IF(PULL_FUND="N","",IF(COUNTIFS('Fund History'!$J$946:$J$950,"&gt;="&amp;DATE(YEAR_Y-3,1,1),'Fund History'!$J$946:$J$950,"&lt;="&amp;DATE(YEAR_Y-3,12,31))=0,"",IFERROR($H167*HSCEI!$G$22/SUMIFS('Fund History'!$K$946:$K$950,'Fund History'!$J$946:$J$950,"&gt;="&amp;DATE(YEAR_Y-3,1,1),'Fund History'!$J$946:$J$950,"&lt;="&amp;DATE(YEAR_Y-3,12,31)),""))))</f>
        <v/>
      </c>
      <c r="S167" s="136">
        <f>IF($C167="","",IF(PULL_FUND="N","",IF(COUNTIFS('Fund History'!$J$946:$J$950,"&gt;="&amp;DATE(YEAR_Y-2,1,1),'Fund History'!$J$946:$J$950,"&lt;="&amp;DATE(YEAR_Y-2,12,31))=0,"",IFERROR($I167*HSCEI!$G$22/SUMIFS('Fund History'!$K$946:$K$950,'Fund History'!$J$946:$J$950,"&gt;="&amp;DATE(YEAR_Y-2,1,1),'Fund History'!$J$946:$J$950,"&lt;="&amp;DATE(YEAR_Y-2,12,31)),""))))</f>
        <v/>
      </c>
      <c r="T167" s="136">
        <f>IF($C167="","",IF(PULL_FUND="N","",IF(COUNTIFS('Fund History'!$J$946:$J$950,"&gt;="&amp;DATE(YEAR_Y-1,1,1),'Fund History'!$J$946:$J$950,"&lt;="&amp;DATE(YEAR_Y-1,12,31))=0,"",IFERROR($J167*HSCEI!$G$22/SUMIFS('Fund History'!$K$946:$K$950,'Fund History'!$J$946:$J$950,"&gt;="&amp;DATE(YEAR_Y-1,1,1),'Fund History'!$J$946:$J$950,"&lt;="&amp;DATE(YEAR_Y-1,12,31)),""))))</f>
        <v/>
      </c>
      <c r="U167" s="137">
        <f>IF($C167="","",IF(ISNUMBER(HSCEI!$I$22),HSCEI!$I$22/100,""))</f>
        <v/>
      </c>
      <c r="V167" s="138">
        <f>IF($C167="","",IF(ISNUMBER(HSCEI!$X$22),IFERROR($M167*HSCEI!$G$22/HSCEI!$X$22,""),""))</f>
        <v/>
      </c>
      <c r="W167" s="137">
        <f>IF($C167="","",IF(ISNUMBER($N167),IFERROR($N167*HSCEI!$G$22/HSCEI!$X$22,""),""))</f>
        <v/>
      </c>
      <c r="X167" s="139">
        <f>IF($C167="","",IF(PULL_FUND="N","",IFERROR(BDP($C167,EPS_FIELD,YR_OVERRIDE,TEXT(YEAR_Y-5,"0")),"")))</f>
        <v/>
      </c>
      <c r="Y167" s="140">
        <f>IF($C167="","",IF(PULL_FUND="N","",IFERROR(BDP($C167,EPS_FIELD,YR_OVERRIDE,TEXT(YEAR_Y-4,"0")),"")))</f>
        <v/>
      </c>
      <c r="Z167" s="140">
        <f>IF($C167="","",IF(PULL_FUND="N","",IFERROR(BDP($C167,EPS_FIELD,YR_OVERRIDE,TEXT(YEAR_Y-3,"0")),"")))</f>
        <v/>
      </c>
      <c r="AA167" s="140">
        <f>IF($C167="","",IF(PULL_FUND="N","",IFERROR(BDP($C167,EPS_FIELD,YR_OVERRIDE,TEXT(YEAR_Y-2,"0")),"")))</f>
        <v/>
      </c>
      <c r="AB167" s="140">
        <f>IF($C167="","",IF(PULL_FUND="N","",IFERROR(BDP($C167,EPS_FIELD,YR_OVERRIDE,TEXT(YEAR_Y-1,"0")),"")))</f>
        <v/>
      </c>
      <c r="AC167" s="126">
        <f>IF($C167="","",IFERROR(AVERAGE(X167:AB167),""))</f>
        <v/>
      </c>
      <c r="AD167" s="140">
        <f>IF($C167="","",IF(PULL_FUND="N","",IFERROR(BDP($C167,BESTEPS_FIELD,FWD_OVERRIDE,TEXT(MOD(YEAR_Y,100),"00")&amp;"Y"),"")))</f>
        <v/>
      </c>
      <c r="AE167" s="141">
        <f>IF($C167="","",IF(PULL_FUND="N","",IFERROR(BDP($C167,PAYOUT_FIELD,YR_OVERRIDE,TEXT(YEAR_Y-5,"0"))/100,"")))</f>
        <v/>
      </c>
      <c r="AF167" s="142">
        <f>IF($C167="","",IF(PULL_FUND="N","",IFERROR(BDP($C167,PAYOUT_FIELD,YR_OVERRIDE,TEXT(YEAR_Y-4,"0"))/100,"")))</f>
        <v/>
      </c>
      <c r="AG167" s="142">
        <f>IF($C167="","",IF(PULL_FUND="N","",IFERROR(BDP($C167,PAYOUT_FIELD,YR_OVERRIDE,TEXT(YEAR_Y-3,"0"))/100,"")))</f>
        <v/>
      </c>
      <c r="AH167" s="142">
        <f>IF($C167="","",IF(PULL_FUND="N","",IFERROR(BDP($C167,PAYOUT_FIELD,YR_OVERRIDE,TEXT(YEAR_Y-2,"0"))/100,"")))</f>
        <v/>
      </c>
      <c r="AI167" s="142">
        <f>IF($C167="","",IF(PULL_FUND="N","",IFERROR(BDP($C167,PAYOUT_FIELD,YR_OVERRIDE,TEXT(YEAR_Y-1,"0"))/100,"")))</f>
        <v/>
      </c>
      <c r="AJ167" s="143">
        <f>IF($C167="","",IFERROR(AVERAGE(AE167:AI167),""))</f>
        <v/>
      </c>
      <c r="AK167" s="144">
        <f>IF($C167="","",IF(ISNUMBER($AD167)*ISNUMBER($N167)*($AD167&lt;&gt;0)=0,"",$N167/$AD167))</f>
        <v/>
      </c>
      <c r="AL167" s="143">
        <f>IF($C167="","",IF(ISNUMBER($AD167)*($AD167&lt;&gt;0)=0,"",$M167/$AD167))</f>
        <v/>
      </c>
      <c r="AM167" s="37">
        <f>IF($C167="","",IF(ISNUMBER($AE167)*ISNUMBER($AI167)=0,"",IF($AI167&gt;$AE167+0.05,"rising",IF($AI167&lt;$AE167-0.05,"falling","stable"))))</f>
        <v/>
      </c>
      <c r="AN167" s="145">
        <f>IF($C167="","",IF(PULL_FUND="N","",IF(COUNTIFS('Fund History'!$G$946:$G$950,"&gt;="&amp;DATE(YEAR_Y-4,1,1),'Fund History'!$G$946:$G$950,"&lt;="&amp;DATE(YEAR_Y-4,12,31))=0,"",SUMIFS('Fund History'!$H$946:$H$950,'Fund History'!$G$946:$G$950,"&gt;="&amp;DATE(YEAR_Y-4,1,1),'Fund History'!$G$946:$G$950,"&lt;="&amp;DATE(YEAR_Y-4,12,31))/100)))</f>
        <v/>
      </c>
      <c r="AO167" s="146">
        <f>IF($C167="","",IF(PULL_FUND="N","",IF(COUNTIFS('Fund History'!$G$946:$G$950,"&gt;="&amp;DATE(YEAR_Y-3,1,1),'Fund History'!$G$946:$G$950,"&lt;="&amp;DATE(YEAR_Y-3,12,31))=0,"",SUMIFS('Fund History'!$H$946:$H$950,'Fund History'!$G$946:$G$950,"&gt;="&amp;DATE(YEAR_Y-3,1,1),'Fund History'!$G$946:$G$950,"&lt;="&amp;DATE(YEAR_Y-3,12,31))/100)))</f>
        <v/>
      </c>
      <c r="AP167" s="146">
        <f>IF($C167="","",IF(PULL_FUND="N","",IF(COUNTIFS('Fund History'!$G$946:$G$950,"&gt;="&amp;DATE(YEAR_Y-2,1,1),'Fund History'!$G$946:$G$950,"&lt;="&amp;DATE(YEAR_Y-2,12,31))=0,"",SUMIFS('Fund History'!$H$946:$H$950,'Fund History'!$G$946:$G$950,"&gt;="&amp;DATE(YEAR_Y-2,1,1),'Fund History'!$G$946:$G$950,"&lt;="&amp;DATE(YEAR_Y-2,12,31))/100)))</f>
        <v/>
      </c>
      <c r="AQ167" s="146">
        <f>IF($C167="","",IF(PULL_FUND="N","",IF(COUNTIFS('Fund History'!$G$946:$G$950,"&gt;="&amp;DATE(YEAR_Y-1,1,1),'Fund History'!$G$946:$G$950,"&lt;="&amp;DATE(YEAR_Y-1,12,31))=0,"",SUMIFS('Fund History'!$H$946:$H$950,'Fund History'!$G$946:$G$950,"&gt;="&amp;DATE(YEAR_Y-1,1,1),'Fund History'!$G$946:$G$950,"&lt;="&amp;DATE(YEAR_Y-1,12,31))/100)))</f>
        <v/>
      </c>
      <c r="AR167" s="147">
        <f>IF($C167="","",IF(N($AQ167)+N(HSCEI!$I$22)=0,"",N($AQ167)+N(HSCEI!$I$22)/100))</f>
        <v/>
      </c>
      <c r="AS167" s="139">
        <f>IF($C167="","",IF(PULL_FUND="N","",IF(COUNTIFS('Fund History'!$D$946:$D$950,"&gt;="&amp;DATE(YEAR_Y-2,1,1),'Fund History'!$D$946:$D$950,"&lt;="&amp;DATE(YEAR_Y-2,12,31))=0,"",SUMIFS('Fund History'!$E$946:$E$950,'Fund History'!$D$946:$D$950,"&gt;="&amp;DATE(YEAR_Y-2,1,1),'Fund History'!$D$946:$D$950,"&lt;="&amp;DATE(YEAR_Y-2,12,31)))))</f>
        <v/>
      </c>
      <c r="AT167" s="140">
        <f>IF($C167="","",IF(PULL_FUND="N","",IF(COUNTIFS('Fund History'!$D$946:$D$950,"&gt;="&amp;DATE(YEAR_Y-1,1,1),'Fund History'!$D$946:$D$950,"&lt;="&amp;DATE(YEAR_Y-1,12,31))=0,"",SUMIFS('Fund History'!$E$946:$E$950,'Fund History'!$D$946:$D$950,"&gt;="&amp;DATE(YEAR_Y-1,1,1),'Fund History'!$D$946:$D$950,"&lt;="&amp;DATE(YEAR_Y-1,12,31)))))</f>
        <v/>
      </c>
      <c r="AU167" s="140">
        <f>IF($C167="","",IF(PULL_FUND="N","",IFERROR(BDP($C167,NDEBITDA_FIELD),"")))</f>
        <v/>
      </c>
      <c r="AV167" s="148">
        <f>IF($C167="","",IF(PULL_FUND="N","",IFERROR(BDP($C167,EBINT_FIELD),"")))</f>
        <v/>
      </c>
      <c r="AW167" s="146">
        <f>IF($C167="","",IF(PULL_FUND="N","",IFERROR(BDP($C167,FCF_FIELD)/100,"")))</f>
        <v/>
      </c>
      <c r="AX167" s="126">
        <f>IF($C167="","",IF(N($U167)=0,"",IFERROR($AW167/$U167,"")))</f>
        <v/>
      </c>
      <c r="AY167" s="85">
        <f>IF($C167="","",TRIM(IF(ISNUMBER($AJ167)*(N($AJ167)&gt;$D$4)&gt;0,"payout high  ","")&amp;IF(ISNUMBER($AX167)*(N($AX167)&lt;$F$4)&gt;0,"FCF below dvd  ","")&amp;IF(ISNUMBER($AU167)*(N($AU167)&gt;$H$4)&gt;0,"leverage high","")))</f>
        <v/>
      </c>
      <c r="AZ167" s="86">
        <f>IF($C167="","",IF(HSCEI!$F$22="HKD","",HSCEI!$F$22))</f>
        <v/>
      </c>
    </row>
    <row r="168">
      <c r="B168" s="66" t="inlineStr">
        <is>
          <t>HSCEI</t>
        </is>
      </c>
      <c r="C168" s="8">
        <f>IF(HSCEI!$C$23="","",HSCEI!$C$23)</f>
        <v/>
      </c>
      <c r="D168" s="8">
        <f>IF($C168="","",HSCEI!$D$23)</f>
        <v/>
      </c>
      <c r="E168" s="8">
        <f>IF($C168="","",HSCEI!$E$23)</f>
        <v/>
      </c>
      <c r="F168" s="131">
        <f>IF($C168="","",SUMPRODUCT(('Dvd Calendar'!$E$1737:$AR$1737&gt;=DATE(YEAR_Y-5,1,1))*('Dvd Calendar'!$E$1737:$AR$1737&lt;=DATE(YEAR_Y-5,12,31))*'Dvd Calendar'!$E$1740:$AR$1740*(('Dvd Calendar'!$E$1742:$AR$1742=TYPE1)*(TYPE1&lt;&gt;"")+('Dvd Calendar'!$E$1742:$AR$1742=TYPE2)*(TYPE2&lt;&gt;"")+('Dvd Calendar'!$E$1742:$AR$1742=TYPE3)*(TYPE3&lt;&gt;"")+('Dvd Calendar'!$E$1742:$AR$1742=TYPE4)*(TYPE4&lt;&gt;"")+('Dvd Calendar'!$E$1742:$AR$1742=SPECIAL_LBL)*(INC_SPECIALS="Y"))))</f>
        <v/>
      </c>
      <c r="G168" s="132">
        <f>IF($C168="","",SUMPRODUCT(('Dvd Calendar'!$E$1737:$AR$1737&gt;=DATE(YEAR_Y-4,1,1))*('Dvd Calendar'!$E$1737:$AR$1737&lt;=DATE(YEAR_Y-4,12,31))*'Dvd Calendar'!$E$1740:$AR$1740*(('Dvd Calendar'!$E$1742:$AR$1742=TYPE1)*(TYPE1&lt;&gt;"")+('Dvd Calendar'!$E$1742:$AR$1742=TYPE2)*(TYPE2&lt;&gt;"")+('Dvd Calendar'!$E$1742:$AR$1742=TYPE3)*(TYPE3&lt;&gt;"")+('Dvd Calendar'!$E$1742:$AR$1742=TYPE4)*(TYPE4&lt;&gt;"")+('Dvd Calendar'!$E$1742:$AR$1742=SPECIAL_LBL)*(INC_SPECIALS="Y"))))</f>
        <v/>
      </c>
      <c r="H168" s="132">
        <f>IF($C168="","",SUMPRODUCT(('Dvd Calendar'!$E$1737:$AR$1737&gt;=DATE(YEAR_Y-3,1,1))*('Dvd Calendar'!$E$1737:$AR$1737&lt;=DATE(YEAR_Y-3,12,31))*'Dvd Calendar'!$E$1740:$AR$1740*(('Dvd Calendar'!$E$1742:$AR$1742=TYPE1)*(TYPE1&lt;&gt;"")+('Dvd Calendar'!$E$1742:$AR$1742=TYPE2)*(TYPE2&lt;&gt;"")+('Dvd Calendar'!$E$1742:$AR$1742=TYPE3)*(TYPE3&lt;&gt;"")+('Dvd Calendar'!$E$1742:$AR$1742=TYPE4)*(TYPE4&lt;&gt;"")+('Dvd Calendar'!$E$1742:$AR$1742=SPECIAL_LBL)*(INC_SPECIALS="Y"))))</f>
        <v/>
      </c>
      <c r="I168" s="132">
        <f>IF($C168="","",SUMPRODUCT(('Dvd Calendar'!$E$1737:$AR$1737&gt;=DATE(YEAR_Y-2,1,1))*('Dvd Calendar'!$E$1737:$AR$1737&lt;=DATE(YEAR_Y-2,12,31))*'Dvd Calendar'!$E$1740:$AR$1740*(('Dvd Calendar'!$E$1742:$AR$1742=TYPE1)*(TYPE1&lt;&gt;"")+('Dvd Calendar'!$E$1742:$AR$1742=TYPE2)*(TYPE2&lt;&gt;"")+('Dvd Calendar'!$E$1742:$AR$1742=TYPE3)*(TYPE3&lt;&gt;"")+('Dvd Calendar'!$E$1742:$AR$1742=TYPE4)*(TYPE4&lt;&gt;"")+('Dvd Calendar'!$E$1742:$AR$1742=SPECIAL_LBL)*(INC_SPECIALS="Y"))))</f>
        <v/>
      </c>
      <c r="J168" s="132">
        <f>IF($C168="","",SUMPRODUCT(('Dvd Calendar'!$E$1737:$AR$1737&gt;=DATE(YEAR_Y-1,1,1))*('Dvd Calendar'!$E$1737:$AR$1737&lt;=DATE(YEAR_Y-1,12,31))*'Dvd Calendar'!$E$1740:$AR$1740*(('Dvd Calendar'!$E$1742:$AR$1742=TYPE1)*(TYPE1&lt;&gt;"")+('Dvd Calendar'!$E$1742:$AR$1742=TYPE2)*(TYPE2&lt;&gt;"")+('Dvd Calendar'!$E$1742:$AR$1742=TYPE3)*(TYPE3&lt;&gt;"")+('Dvd Calendar'!$E$1742:$AR$1742=TYPE4)*(TYPE4&lt;&gt;"")+('Dvd Calendar'!$E$1742:$AR$1742=SPECIAL_LBL)*(INC_SPECIALS="Y"))))</f>
        <v/>
      </c>
      <c r="K168" s="133">
        <f>IF($C168="","",HSCEI!$J$23)</f>
        <v/>
      </c>
      <c r="L168" s="133">
        <f>IF($C168="","",HSCEI!$K$23)</f>
        <v/>
      </c>
      <c r="M168" s="124">
        <f>IF($C168="","",HSCEI!$J$23+HSCEI!$L$23)</f>
        <v/>
      </c>
      <c r="N168" s="134">
        <f>IF($C168="","",IF(PULL_FUND="N","",IFERROR(BDP($C168,BESTDPS_FIELD,FWD_OVERRIDE,TEXT(MOD(YEAR_Y,100),"00")&amp;"Y"),"")))</f>
        <v/>
      </c>
      <c r="O168" s="133">
        <f>IF($C168="","",AVERAGE(F168:J168))</f>
        <v/>
      </c>
      <c r="P168" s="135">
        <f>IF($C168="","",IF(PULL_FUND="N","",IF(COUNTIFS('Fund History'!$J$952:$J$956,"&gt;="&amp;DATE(YEAR_Y-5,1,1),'Fund History'!$J$952:$J$956,"&lt;="&amp;DATE(YEAR_Y-5,12,31))=0,"",IFERROR($F168*HSCEI!$G$23/SUMIFS('Fund History'!$K$952:$K$956,'Fund History'!$J$952:$J$956,"&gt;="&amp;DATE(YEAR_Y-5,1,1),'Fund History'!$J$952:$J$956,"&lt;="&amp;DATE(YEAR_Y-5,12,31)),""))))</f>
        <v/>
      </c>
      <c r="Q168" s="136">
        <f>IF($C168="","",IF(PULL_FUND="N","",IF(COUNTIFS('Fund History'!$J$952:$J$956,"&gt;="&amp;DATE(YEAR_Y-4,1,1),'Fund History'!$J$952:$J$956,"&lt;="&amp;DATE(YEAR_Y-4,12,31))=0,"",IFERROR($G168*HSCEI!$G$23/SUMIFS('Fund History'!$K$952:$K$956,'Fund History'!$J$952:$J$956,"&gt;="&amp;DATE(YEAR_Y-4,1,1),'Fund History'!$J$952:$J$956,"&lt;="&amp;DATE(YEAR_Y-4,12,31)),""))))</f>
        <v/>
      </c>
      <c r="R168" s="136">
        <f>IF($C168="","",IF(PULL_FUND="N","",IF(COUNTIFS('Fund History'!$J$952:$J$956,"&gt;="&amp;DATE(YEAR_Y-3,1,1),'Fund History'!$J$952:$J$956,"&lt;="&amp;DATE(YEAR_Y-3,12,31))=0,"",IFERROR($H168*HSCEI!$G$23/SUMIFS('Fund History'!$K$952:$K$956,'Fund History'!$J$952:$J$956,"&gt;="&amp;DATE(YEAR_Y-3,1,1),'Fund History'!$J$952:$J$956,"&lt;="&amp;DATE(YEAR_Y-3,12,31)),""))))</f>
        <v/>
      </c>
      <c r="S168" s="136">
        <f>IF($C168="","",IF(PULL_FUND="N","",IF(COUNTIFS('Fund History'!$J$952:$J$956,"&gt;="&amp;DATE(YEAR_Y-2,1,1),'Fund History'!$J$952:$J$956,"&lt;="&amp;DATE(YEAR_Y-2,12,31))=0,"",IFERROR($I168*HSCEI!$G$23/SUMIFS('Fund History'!$K$952:$K$956,'Fund History'!$J$952:$J$956,"&gt;="&amp;DATE(YEAR_Y-2,1,1),'Fund History'!$J$952:$J$956,"&lt;="&amp;DATE(YEAR_Y-2,12,31)),""))))</f>
        <v/>
      </c>
      <c r="T168" s="136">
        <f>IF($C168="","",IF(PULL_FUND="N","",IF(COUNTIFS('Fund History'!$J$952:$J$956,"&gt;="&amp;DATE(YEAR_Y-1,1,1),'Fund History'!$J$952:$J$956,"&lt;="&amp;DATE(YEAR_Y-1,12,31))=0,"",IFERROR($J168*HSCEI!$G$23/SUMIFS('Fund History'!$K$952:$K$956,'Fund History'!$J$952:$J$956,"&gt;="&amp;DATE(YEAR_Y-1,1,1),'Fund History'!$J$952:$J$956,"&lt;="&amp;DATE(YEAR_Y-1,12,31)),""))))</f>
        <v/>
      </c>
      <c r="U168" s="137">
        <f>IF($C168="","",IF(ISNUMBER(HSCEI!$I$23),HSCEI!$I$23/100,""))</f>
        <v/>
      </c>
      <c r="V168" s="138">
        <f>IF($C168="","",IF(ISNUMBER(HSCEI!$X$23),IFERROR($M168*HSCEI!$G$23/HSCEI!$X$23,""),""))</f>
        <v/>
      </c>
      <c r="W168" s="137">
        <f>IF($C168="","",IF(ISNUMBER($N168),IFERROR($N168*HSCEI!$G$23/HSCEI!$X$23,""),""))</f>
        <v/>
      </c>
      <c r="X168" s="139">
        <f>IF($C168="","",IF(PULL_FUND="N","",IFERROR(BDP($C168,EPS_FIELD,YR_OVERRIDE,TEXT(YEAR_Y-5,"0")),"")))</f>
        <v/>
      </c>
      <c r="Y168" s="140">
        <f>IF($C168="","",IF(PULL_FUND="N","",IFERROR(BDP($C168,EPS_FIELD,YR_OVERRIDE,TEXT(YEAR_Y-4,"0")),"")))</f>
        <v/>
      </c>
      <c r="Z168" s="140">
        <f>IF($C168="","",IF(PULL_FUND="N","",IFERROR(BDP($C168,EPS_FIELD,YR_OVERRIDE,TEXT(YEAR_Y-3,"0")),"")))</f>
        <v/>
      </c>
      <c r="AA168" s="140">
        <f>IF($C168="","",IF(PULL_FUND="N","",IFERROR(BDP($C168,EPS_FIELD,YR_OVERRIDE,TEXT(YEAR_Y-2,"0")),"")))</f>
        <v/>
      </c>
      <c r="AB168" s="140">
        <f>IF($C168="","",IF(PULL_FUND="N","",IFERROR(BDP($C168,EPS_FIELD,YR_OVERRIDE,TEXT(YEAR_Y-1,"0")),"")))</f>
        <v/>
      </c>
      <c r="AC168" s="126">
        <f>IF($C168="","",IFERROR(AVERAGE(X168:AB168),""))</f>
        <v/>
      </c>
      <c r="AD168" s="140">
        <f>IF($C168="","",IF(PULL_FUND="N","",IFERROR(BDP($C168,BESTEPS_FIELD,FWD_OVERRIDE,TEXT(MOD(YEAR_Y,100),"00")&amp;"Y"),"")))</f>
        <v/>
      </c>
      <c r="AE168" s="141">
        <f>IF($C168="","",IF(PULL_FUND="N","",IFERROR(BDP($C168,PAYOUT_FIELD,YR_OVERRIDE,TEXT(YEAR_Y-5,"0"))/100,"")))</f>
        <v/>
      </c>
      <c r="AF168" s="142">
        <f>IF($C168="","",IF(PULL_FUND="N","",IFERROR(BDP($C168,PAYOUT_FIELD,YR_OVERRIDE,TEXT(YEAR_Y-4,"0"))/100,"")))</f>
        <v/>
      </c>
      <c r="AG168" s="142">
        <f>IF($C168="","",IF(PULL_FUND="N","",IFERROR(BDP($C168,PAYOUT_FIELD,YR_OVERRIDE,TEXT(YEAR_Y-3,"0"))/100,"")))</f>
        <v/>
      </c>
      <c r="AH168" s="142">
        <f>IF($C168="","",IF(PULL_FUND="N","",IFERROR(BDP($C168,PAYOUT_FIELD,YR_OVERRIDE,TEXT(YEAR_Y-2,"0"))/100,"")))</f>
        <v/>
      </c>
      <c r="AI168" s="142">
        <f>IF($C168="","",IF(PULL_FUND="N","",IFERROR(BDP($C168,PAYOUT_FIELD,YR_OVERRIDE,TEXT(YEAR_Y-1,"0"))/100,"")))</f>
        <v/>
      </c>
      <c r="AJ168" s="143">
        <f>IF($C168="","",IFERROR(AVERAGE(AE168:AI168),""))</f>
        <v/>
      </c>
      <c r="AK168" s="144">
        <f>IF($C168="","",IF(ISNUMBER($AD168)*ISNUMBER($N168)*($AD168&lt;&gt;0)=0,"",$N168/$AD168))</f>
        <v/>
      </c>
      <c r="AL168" s="143">
        <f>IF($C168="","",IF(ISNUMBER($AD168)*($AD168&lt;&gt;0)=0,"",$M168/$AD168))</f>
        <v/>
      </c>
      <c r="AM168" s="37">
        <f>IF($C168="","",IF(ISNUMBER($AE168)*ISNUMBER($AI168)=0,"",IF($AI168&gt;$AE168+0.05,"rising",IF($AI168&lt;$AE168-0.05,"falling","stable"))))</f>
        <v/>
      </c>
      <c r="AN168" s="145">
        <f>IF($C168="","",IF(PULL_FUND="N","",IF(COUNTIFS('Fund History'!$G$952:$G$956,"&gt;="&amp;DATE(YEAR_Y-4,1,1),'Fund History'!$G$952:$G$956,"&lt;="&amp;DATE(YEAR_Y-4,12,31))=0,"",SUMIFS('Fund History'!$H$952:$H$956,'Fund History'!$G$952:$G$956,"&gt;="&amp;DATE(YEAR_Y-4,1,1),'Fund History'!$G$952:$G$956,"&lt;="&amp;DATE(YEAR_Y-4,12,31))/100)))</f>
        <v/>
      </c>
      <c r="AO168" s="146">
        <f>IF($C168="","",IF(PULL_FUND="N","",IF(COUNTIFS('Fund History'!$G$952:$G$956,"&gt;="&amp;DATE(YEAR_Y-3,1,1),'Fund History'!$G$952:$G$956,"&lt;="&amp;DATE(YEAR_Y-3,12,31))=0,"",SUMIFS('Fund History'!$H$952:$H$956,'Fund History'!$G$952:$G$956,"&gt;="&amp;DATE(YEAR_Y-3,1,1),'Fund History'!$G$952:$G$956,"&lt;="&amp;DATE(YEAR_Y-3,12,31))/100)))</f>
        <v/>
      </c>
      <c r="AP168" s="146">
        <f>IF($C168="","",IF(PULL_FUND="N","",IF(COUNTIFS('Fund History'!$G$952:$G$956,"&gt;="&amp;DATE(YEAR_Y-2,1,1),'Fund History'!$G$952:$G$956,"&lt;="&amp;DATE(YEAR_Y-2,12,31))=0,"",SUMIFS('Fund History'!$H$952:$H$956,'Fund History'!$G$952:$G$956,"&gt;="&amp;DATE(YEAR_Y-2,1,1),'Fund History'!$G$952:$G$956,"&lt;="&amp;DATE(YEAR_Y-2,12,31))/100)))</f>
        <v/>
      </c>
      <c r="AQ168" s="146">
        <f>IF($C168="","",IF(PULL_FUND="N","",IF(COUNTIFS('Fund History'!$G$952:$G$956,"&gt;="&amp;DATE(YEAR_Y-1,1,1),'Fund History'!$G$952:$G$956,"&lt;="&amp;DATE(YEAR_Y-1,12,31))=0,"",SUMIFS('Fund History'!$H$952:$H$956,'Fund History'!$G$952:$G$956,"&gt;="&amp;DATE(YEAR_Y-1,1,1),'Fund History'!$G$952:$G$956,"&lt;="&amp;DATE(YEAR_Y-1,12,31))/100)))</f>
        <v/>
      </c>
      <c r="AR168" s="147">
        <f>IF($C168="","",IF(N($AQ168)+N(HSCEI!$I$23)=0,"",N($AQ168)+N(HSCEI!$I$23)/100))</f>
        <v/>
      </c>
      <c r="AS168" s="139">
        <f>IF($C168="","",IF(PULL_FUND="N","",IF(COUNTIFS('Fund History'!$D$952:$D$956,"&gt;="&amp;DATE(YEAR_Y-2,1,1),'Fund History'!$D$952:$D$956,"&lt;="&amp;DATE(YEAR_Y-2,12,31))=0,"",SUMIFS('Fund History'!$E$952:$E$956,'Fund History'!$D$952:$D$956,"&gt;="&amp;DATE(YEAR_Y-2,1,1),'Fund History'!$D$952:$D$956,"&lt;="&amp;DATE(YEAR_Y-2,12,31)))))</f>
        <v/>
      </c>
      <c r="AT168" s="140">
        <f>IF($C168="","",IF(PULL_FUND="N","",IF(COUNTIFS('Fund History'!$D$952:$D$956,"&gt;="&amp;DATE(YEAR_Y-1,1,1),'Fund History'!$D$952:$D$956,"&lt;="&amp;DATE(YEAR_Y-1,12,31))=0,"",SUMIFS('Fund History'!$E$952:$E$956,'Fund History'!$D$952:$D$956,"&gt;="&amp;DATE(YEAR_Y-1,1,1),'Fund History'!$D$952:$D$956,"&lt;="&amp;DATE(YEAR_Y-1,12,31)))))</f>
        <v/>
      </c>
      <c r="AU168" s="140">
        <f>IF($C168="","",IF(PULL_FUND="N","",IFERROR(BDP($C168,NDEBITDA_FIELD),"")))</f>
        <v/>
      </c>
      <c r="AV168" s="148">
        <f>IF($C168="","",IF(PULL_FUND="N","",IFERROR(BDP($C168,EBINT_FIELD),"")))</f>
        <v/>
      </c>
      <c r="AW168" s="146">
        <f>IF($C168="","",IF(PULL_FUND="N","",IFERROR(BDP($C168,FCF_FIELD)/100,"")))</f>
        <v/>
      </c>
      <c r="AX168" s="126">
        <f>IF($C168="","",IF(N($U168)=0,"",IFERROR($AW168/$U168,"")))</f>
        <v/>
      </c>
      <c r="AY168" s="85">
        <f>IF($C168="","",TRIM(IF(ISNUMBER($AJ168)*(N($AJ168)&gt;$D$4)&gt;0,"payout high  ","")&amp;IF(ISNUMBER($AX168)*(N($AX168)&lt;$F$4)&gt;0,"FCF below dvd  ","")&amp;IF(ISNUMBER($AU168)*(N($AU168)&gt;$H$4)&gt;0,"leverage high","")))</f>
        <v/>
      </c>
      <c r="AZ168" s="86">
        <f>IF($C168="","",IF(HSCEI!$F$23="HKD","",HSCEI!$F$23))</f>
        <v/>
      </c>
    </row>
    <row r="169">
      <c r="B169" s="66" t="inlineStr">
        <is>
          <t>HSCEI</t>
        </is>
      </c>
      <c r="C169" s="8">
        <f>IF(HSCEI!$C$24="","",HSCEI!$C$24)</f>
        <v/>
      </c>
      <c r="D169" s="8">
        <f>IF($C169="","",HSCEI!$D$24)</f>
        <v/>
      </c>
      <c r="E169" s="8">
        <f>IF($C169="","",HSCEI!$E$24)</f>
        <v/>
      </c>
      <c r="F169" s="131">
        <f>IF($C169="","",SUMPRODUCT(('Dvd Calendar'!$E$1748:$AR$1748&gt;=DATE(YEAR_Y-5,1,1))*('Dvd Calendar'!$E$1748:$AR$1748&lt;=DATE(YEAR_Y-5,12,31))*'Dvd Calendar'!$E$1751:$AR$1751*(('Dvd Calendar'!$E$1753:$AR$1753=TYPE1)*(TYPE1&lt;&gt;"")+('Dvd Calendar'!$E$1753:$AR$1753=TYPE2)*(TYPE2&lt;&gt;"")+('Dvd Calendar'!$E$1753:$AR$1753=TYPE3)*(TYPE3&lt;&gt;"")+('Dvd Calendar'!$E$1753:$AR$1753=TYPE4)*(TYPE4&lt;&gt;"")+('Dvd Calendar'!$E$1753:$AR$1753=SPECIAL_LBL)*(INC_SPECIALS="Y"))))</f>
        <v/>
      </c>
      <c r="G169" s="132">
        <f>IF($C169="","",SUMPRODUCT(('Dvd Calendar'!$E$1748:$AR$1748&gt;=DATE(YEAR_Y-4,1,1))*('Dvd Calendar'!$E$1748:$AR$1748&lt;=DATE(YEAR_Y-4,12,31))*'Dvd Calendar'!$E$1751:$AR$1751*(('Dvd Calendar'!$E$1753:$AR$1753=TYPE1)*(TYPE1&lt;&gt;"")+('Dvd Calendar'!$E$1753:$AR$1753=TYPE2)*(TYPE2&lt;&gt;"")+('Dvd Calendar'!$E$1753:$AR$1753=TYPE3)*(TYPE3&lt;&gt;"")+('Dvd Calendar'!$E$1753:$AR$1753=TYPE4)*(TYPE4&lt;&gt;"")+('Dvd Calendar'!$E$1753:$AR$1753=SPECIAL_LBL)*(INC_SPECIALS="Y"))))</f>
        <v/>
      </c>
      <c r="H169" s="132">
        <f>IF($C169="","",SUMPRODUCT(('Dvd Calendar'!$E$1748:$AR$1748&gt;=DATE(YEAR_Y-3,1,1))*('Dvd Calendar'!$E$1748:$AR$1748&lt;=DATE(YEAR_Y-3,12,31))*'Dvd Calendar'!$E$1751:$AR$1751*(('Dvd Calendar'!$E$1753:$AR$1753=TYPE1)*(TYPE1&lt;&gt;"")+('Dvd Calendar'!$E$1753:$AR$1753=TYPE2)*(TYPE2&lt;&gt;"")+('Dvd Calendar'!$E$1753:$AR$1753=TYPE3)*(TYPE3&lt;&gt;"")+('Dvd Calendar'!$E$1753:$AR$1753=TYPE4)*(TYPE4&lt;&gt;"")+('Dvd Calendar'!$E$1753:$AR$1753=SPECIAL_LBL)*(INC_SPECIALS="Y"))))</f>
        <v/>
      </c>
      <c r="I169" s="132">
        <f>IF($C169="","",SUMPRODUCT(('Dvd Calendar'!$E$1748:$AR$1748&gt;=DATE(YEAR_Y-2,1,1))*('Dvd Calendar'!$E$1748:$AR$1748&lt;=DATE(YEAR_Y-2,12,31))*'Dvd Calendar'!$E$1751:$AR$1751*(('Dvd Calendar'!$E$1753:$AR$1753=TYPE1)*(TYPE1&lt;&gt;"")+('Dvd Calendar'!$E$1753:$AR$1753=TYPE2)*(TYPE2&lt;&gt;"")+('Dvd Calendar'!$E$1753:$AR$1753=TYPE3)*(TYPE3&lt;&gt;"")+('Dvd Calendar'!$E$1753:$AR$1753=TYPE4)*(TYPE4&lt;&gt;"")+('Dvd Calendar'!$E$1753:$AR$1753=SPECIAL_LBL)*(INC_SPECIALS="Y"))))</f>
        <v/>
      </c>
      <c r="J169" s="132">
        <f>IF($C169="","",SUMPRODUCT(('Dvd Calendar'!$E$1748:$AR$1748&gt;=DATE(YEAR_Y-1,1,1))*('Dvd Calendar'!$E$1748:$AR$1748&lt;=DATE(YEAR_Y-1,12,31))*'Dvd Calendar'!$E$1751:$AR$1751*(('Dvd Calendar'!$E$1753:$AR$1753=TYPE1)*(TYPE1&lt;&gt;"")+('Dvd Calendar'!$E$1753:$AR$1753=TYPE2)*(TYPE2&lt;&gt;"")+('Dvd Calendar'!$E$1753:$AR$1753=TYPE3)*(TYPE3&lt;&gt;"")+('Dvd Calendar'!$E$1753:$AR$1753=TYPE4)*(TYPE4&lt;&gt;"")+('Dvd Calendar'!$E$1753:$AR$1753=SPECIAL_LBL)*(INC_SPECIALS="Y"))))</f>
        <v/>
      </c>
      <c r="K169" s="133">
        <f>IF($C169="","",HSCEI!$J$24)</f>
        <v/>
      </c>
      <c r="L169" s="133">
        <f>IF($C169="","",HSCEI!$K$24)</f>
        <v/>
      </c>
      <c r="M169" s="124">
        <f>IF($C169="","",HSCEI!$J$24+HSCEI!$L$24)</f>
        <v/>
      </c>
      <c r="N169" s="134">
        <f>IF($C169="","",IF(PULL_FUND="N","",IFERROR(BDP($C169,BESTDPS_FIELD,FWD_OVERRIDE,TEXT(MOD(YEAR_Y,100),"00")&amp;"Y"),"")))</f>
        <v/>
      </c>
      <c r="O169" s="133">
        <f>IF($C169="","",AVERAGE(F169:J169))</f>
        <v/>
      </c>
      <c r="P169" s="135">
        <f>IF($C169="","",IF(PULL_FUND="N","",IF(COUNTIFS('Fund History'!$J$958:$J$962,"&gt;="&amp;DATE(YEAR_Y-5,1,1),'Fund History'!$J$958:$J$962,"&lt;="&amp;DATE(YEAR_Y-5,12,31))=0,"",IFERROR($F169*HSCEI!$G$24/SUMIFS('Fund History'!$K$958:$K$962,'Fund History'!$J$958:$J$962,"&gt;="&amp;DATE(YEAR_Y-5,1,1),'Fund History'!$J$958:$J$962,"&lt;="&amp;DATE(YEAR_Y-5,12,31)),""))))</f>
        <v/>
      </c>
      <c r="Q169" s="136">
        <f>IF($C169="","",IF(PULL_FUND="N","",IF(COUNTIFS('Fund History'!$J$958:$J$962,"&gt;="&amp;DATE(YEAR_Y-4,1,1),'Fund History'!$J$958:$J$962,"&lt;="&amp;DATE(YEAR_Y-4,12,31))=0,"",IFERROR($G169*HSCEI!$G$24/SUMIFS('Fund History'!$K$958:$K$962,'Fund History'!$J$958:$J$962,"&gt;="&amp;DATE(YEAR_Y-4,1,1),'Fund History'!$J$958:$J$962,"&lt;="&amp;DATE(YEAR_Y-4,12,31)),""))))</f>
        <v/>
      </c>
      <c r="R169" s="136">
        <f>IF($C169="","",IF(PULL_FUND="N","",IF(COUNTIFS('Fund History'!$J$958:$J$962,"&gt;="&amp;DATE(YEAR_Y-3,1,1),'Fund History'!$J$958:$J$962,"&lt;="&amp;DATE(YEAR_Y-3,12,31))=0,"",IFERROR($H169*HSCEI!$G$24/SUMIFS('Fund History'!$K$958:$K$962,'Fund History'!$J$958:$J$962,"&gt;="&amp;DATE(YEAR_Y-3,1,1),'Fund History'!$J$958:$J$962,"&lt;="&amp;DATE(YEAR_Y-3,12,31)),""))))</f>
        <v/>
      </c>
      <c r="S169" s="136">
        <f>IF($C169="","",IF(PULL_FUND="N","",IF(COUNTIFS('Fund History'!$J$958:$J$962,"&gt;="&amp;DATE(YEAR_Y-2,1,1),'Fund History'!$J$958:$J$962,"&lt;="&amp;DATE(YEAR_Y-2,12,31))=0,"",IFERROR($I169*HSCEI!$G$24/SUMIFS('Fund History'!$K$958:$K$962,'Fund History'!$J$958:$J$962,"&gt;="&amp;DATE(YEAR_Y-2,1,1),'Fund History'!$J$958:$J$962,"&lt;="&amp;DATE(YEAR_Y-2,12,31)),""))))</f>
        <v/>
      </c>
      <c r="T169" s="136">
        <f>IF($C169="","",IF(PULL_FUND="N","",IF(COUNTIFS('Fund History'!$J$958:$J$962,"&gt;="&amp;DATE(YEAR_Y-1,1,1),'Fund History'!$J$958:$J$962,"&lt;="&amp;DATE(YEAR_Y-1,12,31))=0,"",IFERROR($J169*HSCEI!$G$24/SUMIFS('Fund History'!$K$958:$K$962,'Fund History'!$J$958:$J$962,"&gt;="&amp;DATE(YEAR_Y-1,1,1),'Fund History'!$J$958:$J$962,"&lt;="&amp;DATE(YEAR_Y-1,12,31)),""))))</f>
        <v/>
      </c>
      <c r="U169" s="137">
        <f>IF($C169="","",IF(ISNUMBER(HSCEI!$I$24),HSCEI!$I$24/100,""))</f>
        <v/>
      </c>
      <c r="V169" s="138">
        <f>IF($C169="","",IF(ISNUMBER(HSCEI!$X$24),IFERROR($M169*HSCEI!$G$24/HSCEI!$X$24,""),""))</f>
        <v/>
      </c>
      <c r="W169" s="137">
        <f>IF($C169="","",IF(ISNUMBER($N169),IFERROR($N169*HSCEI!$G$24/HSCEI!$X$24,""),""))</f>
        <v/>
      </c>
      <c r="X169" s="139">
        <f>IF($C169="","",IF(PULL_FUND="N","",IFERROR(BDP($C169,EPS_FIELD,YR_OVERRIDE,TEXT(YEAR_Y-5,"0")),"")))</f>
        <v/>
      </c>
      <c r="Y169" s="140">
        <f>IF($C169="","",IF(PULL_FUND="N","",IFERROR(BDP($C169,EPS_FIELD,YR_OVERRIDE,TEXT(YEAR_Y-4,"0")),"")))</f>
        <v/>
      </c>
      <c r="Z169" s="140">
        <f>IF($C169="","",IF(PULL_FUND="N","",IFERROR(BDP($C169,EPS_FIELD,YR_OVERRIDE,TEXT(YEAR_Y-3,"0")),"")))</f>
        <v/>
      </c>
      <c r="AA169" s="140">
        <f>IF($C169="","",IF(PULL_FUND="N","",IFERROR(BDP($C169,EPS_FIELD,YR_OVERRIDE,TEXT(YEAR_Y-2,"0")),"")))</f>
        <v/>
      </c>
      <c r="AB169" s="140">
        <f>IF($C169="","",IF(PULL_FUND="N","",IFERROR(BDP($C169,EPS_FIELD,YR_OVERRIDE,TEXT(YEAR_Y-1,"0")),"")))</f>
        <v/>
      </c>
      <c r="AC169" s="126">
        <f>IF($C169="","",IFERROR(AVERAGE(X169:AB169),""))</f>
        <v/>
      </c>
      <c r="AD169" s="140">
        <f>IF($C169="","",IF(PULL_FUND="N","",IFERROR(BDP($C169,BESTEPS_FIELD,FWD_OVERRIDE,TEXT(MOD(YEAR_Y,100),"00")&amp;"Y"),"")))</f>
        <v/>
      </c>
      <c r="AE169" s="141">
        <f>IF($C169="","",IF(PULL_FUND="N","",IFERROR(BDP($C169,PAYOUT_FIELD,YR_OVERRIDE,TEXT(YEAR_Y-5,"0"))/100,"")))</f>
        <v/>
      </c>
      <c r="AF169" s="142">
        <f>IF($C169="","",IF(PULL_FUND="N","",IFERROR(BDP($C169,PAYOUT_FIELD,YR_OVERRIDE,TEXT(YEAR_Y-4,"0"))/100,"")))</f>
        <v/>
      </c>
      <c r="AG169" s="142">
        <f>IF($C169="","",IF(PULL_FUND="N","",IFERROR(BDP($C169,PAYOUT_FIELD,YR_OVERRIDE,TEXT(YEAR_Y-3,"0"))/100,"")))</f>
        <v/>
      </c>
      <c r="AH169" s="142">
        <f>IF($C169="","",IF(PULL_FUND="N","",IFERROR(BDP($C169,PAYOUT_FIELD,YR_OVERRIDE,TEXT(YEAR_Y-2,"0"))/100,"")))</f>
        <v/>
      </c>
      <c r="AI169" s="142">
        <f>IF($C169="","",IF(PULL_FUND="N","",IFERROR(BDP($C169,PAYOUT_FIELD,YR_OVERRIDE,TEXT(YEAR_Y-1,"0"))/100,"")))</f>
        <v/>
      </c>
      <c r="AJ169" s="143">
        <f>IF($C169="","",IFERROR(AVERAGE(AE169:AI169),""))</f>
        <v/>
      </c>
      <c r="AK169" s="144">
        <f>IF($C169="","",IF(ISNUMBER($AD169)*ISNUMBER($N169)*($AD169&lt;&gt;0)=0,"",$N169/$AD169))</f>
        <v/>
      </c>
      <c r="AL169" s="143">
        <f>IF($C169="","",IF(ISNUMBER($AD169)*($AD169&lt;&gt;0)=0,"",$M169/$AD169))</f>
        <v/>
      </c>
      <c r="AM169" s="37">
        <f>IF($C169="","",IF(ISNUMBER($AE169)*ISNUMBER($AI169)=0,"",IF($AI169&gt;$AE169+0.05,"rising",IF($AI169&lt;$AE169-0.05,"falling","stable"))))</f>
        <v/>
      </c>
      <c r="AN169" s="145">
        <f>IF($C169="","",IF(PULL_FUND="N","",IF(COUNTIFS('Fund History'!$G$958:$G$962,"&gt;="&amp;DATE(YEAR_Y-4,1,1),'Fund History'!$G$958:$G$962,"&lt;="&amp;DATE(YEAR_Y-4,12,31))=0,"",SUMIFS('Fund History'!$H$958:$H$962,'Fund History'!$G$958:$G$962,"&gt;="&amp;DATE(YEAR_Y-4,1,1),'Fund History'!$G$958:$G$962,"&lt;="&amp;DATE(YEAR_Y-4,12,31))/100)))</f>
        <v/>
      </c>
      <c r="AO169" s="146">
        <f>IF($C169="","",IF(PULL_FUND="N","",IF(COUNTIFS('Fund History'!$G$958:$G$962,"&gt;="&amp;DATE(YEAR_Y-3,1,1),'Fund History'!$G$958:$G$962,"&lt;="&amp;DATE(YEAR_Y-3,12,31))=0,"",SUMIFS('Fund History'!$H$958:$H$962,'Fund History'!$G$958:$G$962,"&gt;="&amp;DATE(YEAR_Y-3,1,1),'Fund History'!$G$958:$G$962,"&lt;="&amp;DATE(YEAR_Y-3,12,31))/100)))</f>
        <v/>
      </c>
      <c r="AP169" s="146">
        <f>IF($C169="","",IF(PULL_FUND="N","",IF(COUNTIFS('Fund History'!$G$958:$G$962,"&gt;="&amp;DATE(YEAR_Y-2,1,1),'Fund History'!$G$958:$G$962,"&lt;="&amp;DATE(YEAR_Y-2,12,31))=0,"",SUMIFS('Fund History'!$H$958:$H$962,'Fund History'!$G$958:$G$962,"&gt;="&amp;DATE(YEAR_Y-2,1,1),'Fund History'!$G$958:$G$962,"&lt;="&amp;DATE(YEAR_Y-2,12,31))/100)))</f>
        <v/>
      </c>
      <c r="AQ169" s="146">
        <f>IF($C169="","",IF(PULL_FUND="N","",IF(COUNTIFS('Fund History'!$G$958:$G$962,"&gt;="&amp;DATE(YEAR_Y-1,1,1),'Fund History'!$G$958:$G$962,"&lt;="&amp;DATE(YEAR_Y-1,12,31))=0,"",SUMIFS('Fund History'!$H$958:$H$962,'Fund History'!$G$958:$G$962,"&gt;="&amp;DATE(YEAR_Y-1,1,1),'Fund History'!$G$958:$G$962,"&lt;="&amp;DATE(YEAR_Y-1,12,31))/100)))</f>
        <v/>
      </c>
      <c r="AR169" s="147">
        <f>IF($C169="","",IF(N($AQ169)+N(HSCEI!$I$24)=0,"",N($AQ169)+N(HSCEI!$I$24)/100))</f>
        <v/>
      </c>
      <c r="AS169" s="139">
        <f>IF($C169="","",IF(PULL_FUND="N","",IF(COUNTIFS('Fund History'!$D$958:$D$962,"&gt;="&amp;DATE(YEAR_Y-2,1,1),'Fund History'!$D$958:$D$962,"&lt;="&amp;DATE(YEAR_Y-2,12,31))=0,"",SUMIFS('Fund History'!$E$958:$E$962,'Fund History'!$D$958:$D$962,"&gt;="&amp;DATE(YEAR_Y-2,1,1),'Fund History'!$D$958:$D$962,"&lt;="&amp;DATE(YEAR_Y-2,12,31)))))</f>
        <v/>
      </c>
      <c r="AT169" s="140">
        <f>IF($C169="","",IF(PULL_FUND="N","",IF(COUNTIFS('Fund History'!$D$958:$D$962,"&gt;="&amp;DATE(YEAR_Y-1,1,1),'Fund History'!$D$958:$D$962,"&lt;="&amp;DATE(YEAR_Y-1,12,31))=0,"",SUMIFS('Fund History'!$E$958:$E$962,'Fund History'!$D$958:$D$962,"&gt;="&amp;DATE(YEAR_Y-1,1,1),'Fund History'!$D$958:$D$962,"&lt;="&amp;DATE(YEAR_Y-1,12,31)))))</f>
        <v/>
      </c>
      <c r="AU169" s="140">
        <f>IF($C169="","",IF(PULL_FUND="N","",IFERROR(BDP($C169,NDEBITDA_FIELD),"")))</f>
        <v/>
      </c>
      <c r="AV169" s="148">
        <f>IF($C169="","",IF(PULL_FUND="N","",IFERROR(BDP($C169,EBINT_FIELD),"")))</f>
        <v/>
      </c>
      <c r="AW169" s="146">
        <f>IF($C169="","",IF(PULL_FUND="N","",IFERROR(BDP($C169,FCF_FIELD)/100,"")))</f>
        <v/>
      </c>
      <c r="AX169" s="126">
        <f>IF($C169="","",IF(N($U169)=0,"",IFERROR($AW169/$U169,"")))</f>
        <v/>
      </c>
      <c r="AY169" s="85">
        <f>IF($C169="","",TRIM(IF(ISNUMBER($AJ169)*(N($AJ169)&gt;$D$4)&gt;0,"payout high  ","")&amp;IF(ISNUMBER($AX169)*(N($AX169)&lt;$F$4)&gt;0,"FCF below dvd  ","")&amp;IF(ISNUMBER($AU169)*(N($AU169)&gt;$H$4)&gt;0,"leverage high","")))</f>
        <v/>
      </c>
      <c r="AZ169" s="86">
        <f>IF($C169="","",IF(HSCEI!$F$24="HKD","",HSCEI!$F$24))</f>
        <v/>
      </c>
    </row>
    <row r="170">
      <c r="B170" s="66" t="inlineStr">
        <is>
          <t>HSCEI</t>
        </is>
      </c>
      <c r="C170" s="8">
        <f>IF(HSCEI!$C$25="","",HSCEI!$C$25)</f>
        <v/>
      </c>
      <c r="D170" s="8">
        <f>IF($C170="","",HSCEI!$D$25)</f>
        <v/>
      </c>
      <c r="E170" s="8">
        <f>IF($C170="","",HSCEI!$E$25)</f>
        <v/>
      </c>
      <c r="F170" s="131">
        <f>IF($C170="","",SUMPRODUCT(('Dvd Calendar'!$E$1759:$AR$1759&gt;=DATE(YEAR_Y-5,1,1))*('Dvd Calendar'!$E$1759:$AR$1759&lt;=DATE(YEAR_Y-5,12,31))*'Dvd Calendar'!$E$1762:$AR$1762*(('Dvd Calendar'!$E$1764:$AR$1764=TYPE1)*(TYPE1&lt;&gt;"")+('Dvd Calendar'!$E$1764:$AR$1764=TYPE2)*(TYPE2&lt;&gt;"")+('Dvd Calendar'!$E$1764:$AR$1764=TYPE3)*(TYPE3&lt;&gt;"")+('Dvd Calendar'!$E$1764:$AR$1764=TYPE4)*(TYPE4&lt;&gt;"")+('Dvd Calendar'!$E$1764:$AR$1764=SPECIAL_LBL)*(INC_SPECIALS="Y"))))</f>
        <v/>
      </c>
      <c r="G170" s="132">
        <f>IF($C170="","",SUMPRODUCT(('Dvd Calendar'!$E$1759:$AR$1759&gt;=DATE(YEAR_Y-4,1,1))*('Dvd Calendar'!$E$1759:$AR$1759&lt;=DATE(YEAR_Y-4,12,31))*'Dvd Calendar'!$E$1762:$AR$1762*(('Dvd Calendar'!$E$1764:$AR$1764=TYPE1)*(TYPE1&lt;&gt;"")+('Dvd Calendar'!$E$1764:$AR$1764=TYPE2)*(TYPE2&lt;&gt;"")+('Dvd Calendar'!$E$1764:$AR$1764=TYPE3)*(TYPE3&lt;&gt;"")+('Dvd Calendar'!$E$1764:$AR$1764=TYPE4)*(TYPE4&lt;&gt;"")+('Dvd Calendar'!$E$1764:$AR$1764=SPECIAL_LBL)*(INC_SPECIALS="Y"))))</f>
        <v/>
      </c>
      <c r="H170" s="132">
        <f>IF($C170="","",SUMPRODUCT(('Dvd Calendar'!$E$1759:$AR$1759&gt;=DATE(YEAR_Y-3,1,1))*('Dvd Calendar'!$E$1759:$AR$1759&lt;=DATE(YEAR_Y-3,12,31))*'Dvd Calendar'!$E$1762:$AR$1762*(('Dvd Calendar'!$E$1764:$AR$1764=TYPE1)*(TYPE1&lt;&gt;"")+('Dvd Calendar'!$E$1764:$AR$1764=TYPE2)*(TYPE2&lt;&gt;"")+('Dvd Calendar'!$E$1764:$AR$1764=TYPE3)*(TYPE3&lt;&gt;"")+('Dvd Calendar'!$E$1764:$AR$1764=TYPE4)*(TYPE4&lt;&gt;"")+('Dvd Calendar'!$E$1764:$AR$1764=SPECIAL_LBL)*(INC_SPECIALS="Y"))))</f>
        <v/>
      </c>
      <c r="I170" s="132">
        <f>IF($C170="","",SUMPRODUCT(('Dvd Calendar'!$E$1759:$AR$1759&gt;=DATE(YEAR_Y-2,1,1))*('Dvd Calendar'!$E$1759:$AR$1759&lt;=DATE(YEAR_Y-2,12,31))*'Dvd Calendar'!$E$1762:$AR$1762*(('Dvd Calendar'!$E$1764:$AR$1764=TYPE1)*(TYPE1&lt;&gt;"")+('Dvd Calendar'!$E$1764:$AR$1764=TYPE2)*(TYPE2&lt;&gt;"")+('Dvd Calendar'!$E$1764:$AR$1764=TYPE3)*(TYPE3&lt;&gt;"")+('Dvd Calendar'!$E$1764:$AR$1764=TYPE4)*(TYPE4&lt;&gt;"")+('Dvd Calendar'!$E$1764:$AR$1764=SPECIAL_LBL)*(INC_SPECIALS="Y"))))</f>
        <v/>
      </c>
      <c r="J170" s="132">
        <f>IF($C170="","",SUMPRODUCT(('Dvd Calendar'!$E$1759:$AR$1759&gt;=DATE(YEAR_Y-1,1,1))*('Dvd Calendar'!$E$1759:$AR$1759&lt;=DATE(YEAR_Y-1,12,31))*'Dvd Calendar'!$E$1762:$AR$1762*(('Dvd Calendar'!$E$1764:$AR$1764=TYPE1)*(TYPE1&lt;&gt;"")+('Dvd Calendar'!$E$1764:$AR$1764=TYPE2)*(TYPE2&lt;&gt;"")+('Dvd Calendar'!$E$1764:$AR$1764=TYPE3)*(TYPE3&lt;&gt;"")+('Dvd Calendar'!$E$1764:$AR$1764=TYPE4)*(TYPE4&lt;&gt;"")+('Dvd Calendar'!$E$1764:$AR$1764=SPECIAL_LBL)*(INC_SPECIALS="Y"))))</f>
        <v/>
      </c>
      <c r="K170" s="133">
        <f>IF($C170="","",HSCEI!$J$25)</f>
        <v/>
      </c>
      <c r="L170" s="133">
        <f>IF($C170="","",HSCEI!$K$25)</f>
        <v/>
      </c>
      <c r="M170" s="124">
        <f>IF($C170="","",HSCEI!$J$25+HSCEI!$L$25)</f>
        <v/>
      </c>
      <c r="N170" s="134">
        <f>IF($C170="","",IF(PULL_FUND="N","",IFERROR(BDP($C170,BESTDPS_FIELD,FWD_OVERRIDE,TEXT(MOD(YEAR_Y,100),"00")&amp;"Y"),"")))</f>
        <v/>
      </c>
      <c r="O170" s="133">
        <f>IF($C170="","",AVERAGE(F170:J170))</f>
        <v/>
      </c>
      <c r="P170" s="135">
        <f>IF($C170="","",IF(PULL_FUND="N","",IF(COUNTIFS('Fund History'!$J$964:$J$968,"&gt;="&amp;DATE(YEAR_Y-5,1,1),'Fund History'!$J$964:$J$968,"&lt;="&amp;DATE(YEAR_Y-5,12,31))=0,"",IFERROR($F170*HSCEI!$G$25/SUMIFS('Fund History'!$K$964:$K$968,'Fund History'!$J$964:$J$968,"&gt;="&amp;DATE(YEAR_Y-5,1,1),'Fund History'!$J$964:$J$968,"&lt;="&amp;DATE(YEAR_Y-5,12,31)),""))))</f>
        <v/>
      </c>
      <c r="Q170" s="136">
        <f>IF($C170="","",IF(PULL_FUND="N","",IF(COUNTIFS('Fund History'!$J$964:$J$968,"&gt;="&amp;DATE(YEAR_Y-4,1,1),'Fund History'!$J$964:$J$968,"&lt;="&amp;DATE(YEAR_Y-4,12,31))=0,"",IFERROR($G170*HSCEI!$G$25/SUMIFS('Fund History'!$K$964:$K$968,'Fund History'!$J$964:$J$968,"&gt;="&amp;DATE(YEAR_Y-4,1,1),'Fund History'!$J$964:$J$968,"&lt;="&amp;DATE(YEAR_Y-4,12,31)),""))))</f>
        <v/>
      </c>
      <c r="R170" s="136">
        <f>IF($C170="","",IF(PULL_FUND="N","",IF(COUNTIFS('Fund History'!$J$964:$J$968,"&gt;="&amp;DATE(YEAR_Y-3,1,1),'Fund History'!$J$964:$J$968,"&lt;="&amp;DATE(YEAR_Y-3,12,31))=0,"",IFERROR($H170*HSCEI!$G$25/SUMIFS('Fund History'!$K$964:$K$968,'Fund History'!$J$964:$J$968,"&gt;="&amp;DATE(YEAR_Y-3,1,1),'Fund History'!$J$964:$J$968,"&lt;="&amp;DATE(YEAR_Y-3,12,31)),""))))</f>
        <v/>
      </c>
      <c r="S170" s="136">
        <f>IF($C170="","",IF(PULL_FUND="N","",IF(COUNTIFS('Fund History'!$J$964:$J$968,"&gt;="&amp;DATE(YEAR_Y-2,1,1),'Fund History'!$J$964:$J$968,"&lt;="&amp;DATE(YEAR_Y-2,12,31))=0,"",IFERROR($I170*HSCEI!$G$25/SUMIFS('Fund History'!$K$964:$K$968,'Fund History'!$J$964:$J$968,"&gt;="&amp;DATE(YEAR_Y-2,1,1),'Fund History'!$J$964:$J$968,"&lt;="&amp;DATE(YEAR_Y-2,12,31)),""))))</f>
        <v/>
      </c>
      <c r="T170" s="136">
        <f>IF($C170="","",IF(PULL_FUND="N","",IF(COUNTIFS('Fund History'!$J$964:$J$968,"&gt;="&amp;DATE(YEAR_Y-1,1,1),'Fund History'!$J$964:$J$968,"&lt;="&amp;DATE(YEAR_Y-1,12,31))=0,"",IFERROR($J170*HSCEI!$G$25/SUMIFS('Fund History'!$K$964:$K$968,'Fund History'!$J$964:$J$968,"&gt;="&amp;DATE(YEAR_Y-1,1,1),'Fund History'!$J$964:$J$968,"&lt;="&amp;DATE(YEAR_Y-1,12,31)),""))))</f>
        <v/>
      </c>
      <c r="U170" s="137">
        <f>IF($C170="","",IF(ISNUMBER(HSCEI!$I$25),HSCEI!$I$25/100,""))</f>
        <v/>
      </c>
      <c r="V170" s="138">
        <f>IF($C170="","",IF(ISNUMBER(HSCEI!$X$25),IFERROR($M170*HSCEI!$G$25/HSCEI!$X$25,""),""))</f>
        <v/>
      </c>
      <c r="W170" s="137">
        <f>IF($C170="","",IF(ISNUMBER($N170),IFERROR($N170*HSCEI!$G$25/HSCEI!$X$25,""),""))</f>
        <v/>
      </c>
      <c r="X170" s="139">
        <f>IF($C170="","",IF(PULL_FUND="N","",IFERROR(BDP($C170,EPS_FIELD,YR_OVERRIDE,TEXT(YEAR_Y-5,"0")),"")))</f>
        <v/>
      </c>
      <c r="Y170" s="140">
        <f>IF($C170="","",IF(PULL_FUND="N","",IFERROR(BDP($C170,EPS_FIELD,YR_OVERRIDE,TEXT(YEAR_Y-4,"0")),"")))</f>
        <v/>
      </c>
      <c r="Z170" s="140">
        <f>IF($C170="","",IF(PULL_FUND="N","",IFERROR(BDP($C170,EPS_FIELD,YR_OVERRIDE,TEXT(YEAR_Y-3,"0")),"")))</f>
        <v/>
      </c>
      <c r="AA170" s="140">
        <f>IF($C170="","",IF(PULL_FUND="N","",IFERROR(BDP($C170,EPS_FIELD,YR_OVERRIDE,TEXT(YEAR_Y-2,"0")),"")))</f>
        <v/>
      </c>
      <c r="AB170" s="140">
        <f>IF($C170="","",IF(PULL_FUND="N","",IFERROR(BDP($C170,EPS_FIELD,YR_OVERRIDE,TEXT(YEAR_Y-1,"0")),"")))</f>
        <v/>
      </c>
      <c r="AC170" s="126">
        <f>IF($C170="","",IFERROR(AVERAGE(X170:AB170),""))</f>
        <v/>
      </c>
      <c r="AD170" s="140">
        <f>IF($C170="","",IF(PULL_FUND="N","",IFERROR(BDP($C170,BESTEPS_FIELD,FWD_OVERRIDE,TEXT(MOD(YEAR_Y,100),"00")&amp;"Y"),"")))</f>
        <v/>
      </c>
      <c r="AE170" s="141">
        <f>IF($C170="","",IF(PULL_FUND="N","",IFERROR(BDP($C170,PAYOUT_FIELD,YR_OVERRIDE,TEXT(YEAR_Y-5,"0"))/100,"")))</f>
        <v/>
      </c>
      <c r="AF170" s="142">
        <f>IF($C170="","",IF(PULL_FUND="N","",IFERROR(BDP($C170,PAYOUT_FIELD,YR_OVERRIDE,TEXT(YEAR_Y-4,"0"))/100,"")))</f>
        <v/>
      </c>
      <c r="AG170" s="142">
        <f>IF($C170="","",IF(PULL_FUND="N","",IFERROR(BDP($C170,PAYOUT_FIELD,YR_OVERRIDE,TEXT(YEAR_Y-3,"0"))/100,"")))</f>
        <v/>
      </c>
      <c r="AH170" s="142">
        <f>IF($C170="","",IF(PULL_FUND="N","",IFERROR(BDP($C170,PAYOUT_FIELD,YR_OVERRIDE,TEXT(YEAR_Y-2,"0"))/100,"")))</f>
        <v/>
      </c>
      <c r="AI170" s="142">
        <f>IF($C170="","",IF(PULL_FUND="N","",IFERROR(BDP($C170,PAYOUT_FIELD,YR_OVERRIDE,TEXT(YEAR_Y-1,"0"))/100,"")))</f>
        <v/>
      </c>
      <c r="AJ170" s="143">
        <f>IF($C170="","",IFERROR(AVERAGE(AE170:AI170),""))</f>
        <v/>
      </c>
      <c r="AK170" s="144">
        <f>IF($C170="","",IF(ISNUMBER($AD170)*ISNUMBER($N170)*($AD170&lt;&gt;0)=0,"",$N170/$AD170))</f>
        <v/>
      </c>
      <c r="AL170" s="143">
        <f>IF($C170="","",IF(ISNUMBER($AD170)*($AD170&lt;&gt;0)=0,"",$M170/$AD170))</f>
        <v/>
      </c>
      <c r="AM170" s="37">
        <f>IF($C170="","",IF(ISNUMBER($AE170)*ISNUMBER($AI170)=0,"",IF($AI170&gt;$AE170+0.05,"rising",IF($AI170&lt;$AE170-0.05,"falling","stable"))))</f>
        <v/>
      </c>
      <c r="AN170" s="145">
        <f>IF($C170="","",IF(PULL_FUND="N","",IF(COUNTIFS('Fund History'!$G$964:$G$968,"&gt;="&amp;DATE(YEAR_Y-4,1,1),'Fund History'!$G$964:$G$968,"&lt;="&amp;DATE(YEAR_Y-4,12,31))=0,"",SUMIFS('Fund History'!$H$964:$H$968,'Fund History'!$G$964:$G$968,"&gt;="&amp;DATE(YEAR_Y-4,1,1),'Fund History'!$G$964:$G$968,"&lt;="&amp;DATE(YEAR_Y-4,12,31))/100)))</f>
        <v/>
      </c>
      <c r="AO170" s="146">
        <f>IF($C170="","",IF(PULL_FUND="N","",IF(COUNTIFS('Fund History'!$G$964:$G$968,"&gt;="&amp;DATE(YEAR_Y-3,1,1),'Fund History'!$G$964:$G$968,"&lt;="&amp;DATE(YEAR_Y-3,12,31))=0,"",SUMIFS('Fund History'!$H$964:$H$968,'Fund History'!$G$964:$G$968,"&gt;="&amp;DATE(YEAR_Y-3,1,1),'Fund History'!$G$964:$G$968,"&lt;="&amp;DATE(YEAR_Y-3,12,31))/100)))</f>
        <v/>
      </c>
      <c r="AP170" s="146">
        <f>IF($C170="","",IF(PULL_FUND="N","",IF(COUNTIFS('Fund History'!$G$964:$G$968,"&gt;="&amp;DATE(YEAR_Y-2,1,1),'Fund History'!$G$964:$G$968,"&lt;="&amp;DATE(YEAR_Y-2,12,31))=0,"",SUMIFS('Fund History'!$H$964:$H$968,'Fund History'!$G$964:$G$968,"&gt;="&amp;DATE(YEAR_Y-2,1,1),'Fund History'!$G$964:$G$968,"&lt;="&amp;DATE(YEAR_Y-2,12,31))/100)))</f>
        <v/>
      </c>
      <c r="AQ170" s="146">
        <f>IF($C170="","",IF(PULL_FUND="N","",IF(COUNTIFS('Fund History'!$G$964:$G$968,"&gt;="&amp;DATE(YEAR_Y-1,1,1),'Fund History'!$G$964:$G$968,"&lt;="&amp;DATE(YEAR_Y-1,12,31))=0,"",SUMIFS('Fund History'!$H$964:$H$968,'Fund History'!$G$964:$G$968,"&gt;="&amp;DATE(YEAR_Y-1,1,1),'Fund History'!$G$964:$G$968,"&lt;="&amp;DATE(YEAR_Y-1,12,31))/100)))</f>
        <v/>
      </c>
      <c r="AR170" s="147">
        <f>IF($C170="","",IF(N($AQ170)+N(HSCEI!$I$25)=0,"",N($AQ170)+N(HSCEI!$I$25)/100))</f>
        <v/>
      </c>
      <c r="AS170" s="139">
        <f>IF($C170="","",IF(PULL_FUND="N","",IF(COUNTIFS('Fund History'!$D$964:$D$968,"&gt;="&amp;DATE(YEAR_Y-2,1,1),'Fund History'!$D$964:$D$968,"&lt;="&amp;DATE(YEAR_Y-2,12,31))=0,"",SUMIFS('Fund History'!$E$964:$E$968,'Fund History'!$D$964:$D$968,"&gt;="&amp;DATE(YEAR_Y-2,1,1),'Fund History'!$D$964:$D$968,"&lt;="&amp;DATE(YEAR_Y-2,12,31)))))</f>
        <v/>
      </c>
      <c r="AT170" s="140">
        <f>IF($C170="","",IF(PULL_FUND="N","",IF(COUNTIFS('Fund History'!$D$964:$D$968,"&gt;="&amp;DATE(YEAR_Y-1,1,1),'Fund History'!$D$964:$D$968,"&lt;="&amp;DATE(YEAR_Y-1,12,31))=0,"",SUMIFS('Fund History'!$E$964:$E$968,'Fund History'!$D$964:$D$968,"&gt;="&amp;DATE(YEAR_Y-1,1,1),'Fund History'!$D$964:$D$968,"&lt;="&amp;DATE(YEAR_Y-1,12,31)))))</f>
        <v/>
      </c>
      <c r="AU170" s="140">
        <f>IF($C170="","",IF(PULL_FUND="N","",IFERROR(BDP($C170,NDEBITDA_FIELD),"")))</f>
        <v/>
      </c>
      <c r="AV170" s="148">
        <f>IF($C170="","",IF(PULL_FUND="N","",IFERROR(BDP($C170,EBINT_FIELD),"")))</f>
        <v/>
      </c>
      <c r="AW170" s="146">
        <f>IF($C170="","",IF(PULL_FUND="N","",IFERROR(BDP($C170,FCF_FIELD)/100,"")))</f>
        <v/>
      </c>
      <c r="AX170" s="126">
        <f>IF($C170="","",IF(N($U170)=0,"",IFERROR($AW170/$U170,"")))</f>
        <v/>
      </c>
      <c r="AY170" s="85">
        <f>IF($C170="","",TRIM(IF(ISNUMBER($AJ170)*(N($AJ170)&gt;$D$4)&gt;0,"payout high  ","")&amp;IF(ISNUMBER($AX170)*(N($AX170)&lt;$F$4)&gt;0,"FCF below dvd  ","")&amp;IF(ISNUMBER($AU170)*(N($AU170)&gt;$H$4)&gt;0,"leverage high","")))</f>
        <v/>
      </c>
      <c r="AZ170" s="86">
        <f>IF($C170="","",IF(HSCEI!$F$25="HKD","",HSCEI!$F$25))</f>
        <v/>
      </c>
    </row>
    <row r="171">
      <c r="B171" s="66" t="inlineStr">
        <is>
          <t>HSCEI</t>
        </is>
      </c>
      <c r="C171" s="8">
        <f>IF(HSCEI!$C$26="","",HSCEI!$C$26)</f>
        <v/>
      </c>
      <c r="D171" s="8">
        <f>IF($C171="","",HSCEI!$D$26)</f>
        <v/>
      </c>
      <c r="E171" s="8">
        <f>IF($C171="","",HSCEI!$E$26)</f>
        <v/>
      </c>
      <c r="F171" s="131">
        <f>IF($C171="","",SUMPRODUCT(('Dvd Calendar'!$E$1770:$AR$1770&gt;=DATE(YEAR_Y-5,1,1))*('Dvd Calendar'!$E$1770:$AR$1770&lt;=DATE(YEAR_Y-5,12,31))*'Dvd Calendar'!$E$1773:$AR$1773*(('Dvd Calendar'!$E$1775:$AR$1775=TYPE1)*(TYPE1&lt;&gt;"")+('Dvd Calendar'!$E$1775:$AR$1775=TYPE2)*(TYPE2&lt;&gt;"")+('Dvd Calendar'!$E$1775:$AR$1775=TYPE3)*(TYPE3&lt;&gt;"")+('Dvd Calendar'!$E$1775:$AR$1775=TYPE4)*(TYPE4&lt;&gt;"")+('Dvd Calendar'!$E$1775:$AR$1775=SPECIAL_LBL)*(INC_SPECIALS="Y"))))</f>
        <v/>
      </c>
      <c r="G171" s="132">
        <f>IF($C171="","",SUMPRODUCT(('Dvd Calendar'!$E$1770:$AR$1770&gt;=DATE(YEAR_Y-4,1,1))*('Dvd Calendar'!$E$1770:$AR$1770&lt;=DATE(YEAR_Y-4,12,31))*'Dvd Calendar'!$E$1773:$AR$1773*(('Dvd Calendar'!$E$1775:$AR$1775=TYPE1)*(TYPE1&lt;&gt;"")+('Dvd Calendar'!$E$1775:$AR$1775=TYPE2)*(TYPE2&lt;&gt;"")+('Dvd Calendar'!$E$1775:$AR$1775=TYPE3)*(TYPE3&lt;&gt;"")+('Dvd Calendar'!$E$1775:$AR$1775=TYPE4)*(TYPE4&lt;&gt;"")+('Dvd Calendar'!$E$1775:$AR$1775=SPECIAL_LBL)*(INC_SPECIALS="Y"))))</f>
        <v/>
      </c>
      <c r="H171" s="132">
        <f>IF($C171="","",SUMPRODUCT(('Dvd Calendar'!$E$1770:$AR$1770&gt;=DATE(YEAR_Y-3,1,1))*('Dvd Calendar'!$E$1770:$AR$1770&lt;=DATE(YEAR_Y-3,12,31))*'Dvd Calendar'!$E$1773:$AR$1773*(('Dvd Calendar'!$E$1775:$AR$1775=TYPE1)*(TYPE1&lt;&gt;"")+('Dvd Calendar'!$E$1775:$AR$1775=TYPE2)*(TYPE2&lt;&gt;"")+('Dvd Calendar'!$E$1775:$AR$1775=TYPE3)*(TYPE3&lt;&gt;"")+('Dvd Calendar'!$E$1775:$AR$1775=TYPE4)*(TYPE4&lt;&gt;"")+('Dvd Calendar'!$E$1775:$AR$1775=SPECIAL_LBL)*(INC_SPECIALS="Y"))))</f>
        <v/>
      </c>
      <c r="I171" s="132">
        <f>IF($C171="","",SUMPRODUCT(('Dvd Calendar'!$E$1770:$AR$1770&gt;=DATE(YEAR_Y-2,1,1))*('Dvd Calendar'!$E$1770:$AR$1770&lt;=DATE(YEAR_Y-2,12,31))*'Dvd Calendar'!$E$1773:$AR$1773*(('Dvd Calendar'!$E$1775:$AR$1775=TYPE1)*(TYPE1&lt;&gt;"")+('Dvd Calendar'!$E$1775:$AR$1775=TYPE2)*(TYPE2&lt;&gt;"")+('Dvd Calendar'!$E$1775:$AR$1775=TYPE3)*(TYPE3&lt;&gt;"")+('Dvd Calendar'!$E$1775:$AR$1775=TYPE4)*(TYPE4&lt;&gt;"")+('Dvd Calendar'!$E$1775:$AR$1775=SPECIAL_LBL)*(INC_SPECIALS="Y"))))</f>
        <v/>
      </c>
      <c r="J171" s="132">
        <f>IF($C171="","",SUMPRODUCT(('Dvd Calendar'!$E$1770:$AR$1770&gt;=DATE(YEAR_Y-1,1,1))*('Dvd Calendar'!$E$1770:$AR$1770&lt;=DATE(YEAR_Y-1,12,31))*'Dvd Calendar'!$E$1773:$AR$1773*(('Dvd Calendar'!$E$1775:$AR$1775=TYPE1)*(TYPE1&lt;&gt;"")+('Dvd Calendar'!$E$1775:$AR$1775=TYPE2)*(TYPE2&lt;&gt;"")+('Dvd Calendar'!$E$1775:$AR$1775=TYPE3)*(TYPE3&lt;&gt;"")+('Dvd Calendar'!$E$1775:$AR$1775=TYPE4)*(TYPE4&lt;&gt;"")+('Dvd Calendar'!$E$1775:$AR$1775=SPECIAL_LBL)*(INC_SPECIALS="Y"))))</f>
        <v/>
      </c>
      <c r="K171" s="133">
        <f>IF($C171="","",HSCEI!$J$26)</f>
        <v/>
      </c>
      <c r="L171" s="133">
        <f>IF($C171="","",HSCEI!$K$26)</f>
        <v/>
      </c>
      <c r="M171" s="124">
        <f>IF($C171="","",HSCEI!$J$26+HSCEI!$L$26)</f>
        <v/>
      </c>
      <c r="N171" s="134">
        <f>IF($C171="","",IF(PULL_FUND="N","",IFERROR(BDP($C171,BESTDPS_FIELD,FWD_OVERRIDE,TEXT(MOD(YEAR_Y,100),"00")&amp;"Y"),"")))</f>
        <v/>
      </c>
      <c r="O171" s="133">
        <f>IF($C171="","",AVERAGE(F171:J171))</f>
        <v/>
      </c>
      <c r="P171" s="135">
        <f>IF($C171="","",IF(PULL_FUND="N","",IF(COUNTIFS('Fund History'!$J$970:$J$974,"&gt;="&amp;DATE(YEAR_Y-5,1,1),'Fund History'!$J$970:$J$974,"&lt;="&amp;DATE(YEAR_Y-5,12,31))=0,"",IFERROR($F171*HSCEI!$G$26/SUMIFS('Fund History'!$K$970:$K$974,'Fund History'!$J$970:$J$974,"&gt;="&amp;DATE(YEAR_Y-5,1,1),'Fund History'!$J$970:$J$974,"&lt;="&amp;DATE(YEAR_Y-5,12,31)),""))))</f>
        <v/>
      </c>
      <c r="Q171" s="136">
        <f>IF($C171="","",IF(PULL_FUND="N","",IF(COUNTIFS('Fund History'!$J$970:$J$974,"&gt;="&amp;DATE(YEAR_Y-4,1,1),'Fund History'!$J$970:$J$974,"&lt;="&amp;DATE(YEAR_Y-4,12,31))=0,"",IFERROR($G171*HSCEI!$G$26/SUMIFS('Fund History'!$K$970:$K$974,'Fund History'!$J$970:$J$974,"&gt;="&amp;DATE(YEAR_Y-4,1,1),'Fund History'!$J$970:$J$974,"&lt;="&amp;DATE(YEAR_Y-4,12,31)),""))))</f>
        <v/>
      </c>
      <c r="R171" s="136">
        <f>IF($C171="","",IF(PULL_FUND="N","",IF(COUNTIFS('Fund History'!$J$970:$J$974,"&gt;="&amp;DATE(YEAR_Y-3,1,1),'Fund History'!$J$970:$J$974,"&lt;="&amp;DATE(YEAR_Y-3,12,31))=0,"",IFERROR($H171*HSCEI!$G$26/SUMIFS('Fund History'!$K$970:$K$974,'Fund History'!$J$970:$J$974,"&gt;="&amp;DATE(YEAR_Y-3,1,1),'Fund History'!$J$970:$J$974,"&lt;="&amp;DATE(YEAR_Y-3,12,31)),""))))</f>
        <v/>
      </c>
      <c r="S171" s="136">
        <f>IF($C171="","",IF(PULL_FUND="N","",IF(COUNTIFS('Fund History'!$J$970:$J$974,"&gt;="&amp;DATE(YEAR_Y-2,1,1),'Fund History'!$J$970:$J$974,"&lt;="&amp;DATE(YEAR_Y-2,12,31))=0,"",IFERROR($I171*HSCEI!$G$26/SUMIFS('Fund History'!$K$970:$K$974,'Fund History'!$J$970:$J$974,"&gt;="&amp;DATE(YEAR_Y-2,1,1),'Fund History'!$J$970:$J$974,"&lt;="&amp;DATE(YEAR_Y-2,12,31)),""))))</f>
        <v/>
      </c>
      <c r="T171" s="136">
        <f>IF($C171="","",IF(PULL_FUND="N","",IF(COUNTIFS('Fund History'!$J$970:$J$974,"&gt;="&amp;DATE(YEAR_Y-1,1,1),'Fund History'!$J$970:$J$974,"&lt;="&amp;DATE(YEAR_Y-1,12,31))=0,"",IFERROR($J171*HSCEI!$G$26/SUMIFS('Fund History'!$K$970:$K$974,'Fund History'!$J$970:$J$974,"&gt;="&amp;DATE(YEAR_Y-1,1,1),'Fund History'!$J$970:$J$974,"&lt;="&amp;DATE(YEAR_Y-1,12,31)),""))))</f>
        <v/>
      </c>
      <c r="U171" s="137">
        <f>IF($C171="","",IF(ISNUMBER(HSCEI!$I$26),HSCEI!$I$26/100,""))</f>
        <v/>
      </c>
      <c r="V171" s="138">
        <f>IF($C171="","",IF(ISNUMBER(HSCEI!$X$26),IFERROR($M171*HSCEI!$G$26/HSCEI!$X$26,""),""))</f>
        <v/>
      </c>
      <c r="W171" s="137">
        <f>IF($C171="","",IF(ISNUMBER($N171),IFERROR($N171*HSCEI!$G$26/HSCEI!$X$26,""),""))</f>
        <v/>
      </c>
      <c r="X171" s="139">
        <f>IF($C171="","",IF(PULL_FUND="N","",IFERROR(BDP($C171,EPS_FIELD,YR_OVERRIDE,TEXT(YEAR_Y-5,"0")),"")))</f>
        <v/>
      </c>
      <c r="Y171" s="140">
        <f>IF($C171="","",IF(PULL_FUND="N","",IFERROR(BDP($C171,EPS_FIELD,YR_OVERRIDE,TEXT(YEAR_Y-4,"0")),"")))</f>
        <v/>
      </c>
      <c r="Z171" s="140">
        <f>IF($C171="","",IF(PULL_FUND="N","",IFERROR(BDP($C171,EPS_FIELD,YR_OVERRIDE,TEXT(YEAR_Y-3,"0")),"")))</f>
        <v/>
      </c>
      <c r="AA171" s="140">
        <f>IF($C171="","",IF(PULL_FUND="N","",IFERROR(BDP($C171,EPS_FIELD,YR_OVERRIDE,TEXT(YEAR_Y-2,"0")),"")))</f>
        <v/>
      </c>
      <c r="AB171" s="140">
        <f>IF($C171="","",IF(PULL_FUND="N","",IFERROR(BDP($C171,EPS_FIELD,YR_OVERRIDE,TEXT(YEAR_Y-1,"0")),"")))</f>
        <v/>
      </c>
      <c r="AC171" s="126">
        <f>IF($C171="","",IFERROR(AVERAGE(X171:AB171),""))</f>
        <v/>
      </c>
      <c r="AD171" s="140">
        <f>IF($C171="","",IF(PULL_FUND="N","",IFERROR(BDP($C171,BESTEPS_FIELD,FWD_OVERRIDE,TEXT(MOD(YEAR_Y,100),"00")&amp;"Y"),"")))</f>
        <v/>
      </c>
      <c r="AE171" s="141">
        <f>IF($C171="","",IF(PULL_FUND="N","",IFERROR(BDP($C171,PAYOUT_FIELD,YR_OVERRIDE,TEXT(YEAR_Y-5,"0"))/100,"")))</f>
        <v/>
      </c>
      <c r="AF171" s="142">
        <f>IF($C171="","",IF(PULL_FUND="N","",IFERROR(BDP($C171,PAYOUT_FIELD,YR_OVERRIDE,TEXT(YEAR_Y-4,"0"))/100,"")))</f>
        <v/>
      </c>
      <c r="AG171" s="142">
        <f>IF($C171="","",IF(PULL_FUND="N","",IFERROR(BDP($C171,PAYOUT_FIELD,YR_OVERRIDE,TEXT(YEAR_Y-3,"0"))/100,"")))</f>
        <v/>
      </c>
      <c r="AH171" s="142">
        <f>IF($C171="","",IF(PULL_FUND="N","",IFERROR(BDP($C171,PAYOUT_FIELD,YR_OVERRIDE,TEXT(YEAR_Y-2,"0"))/100,"")))</f>
        <v/>
      </c>
      <c r="AI171" s="142">
        <f>IF($C171="","",IF(PULL_FUND="N","",IFERROR(BDP($C171,PAYOUT_FIELD,YR_OVERRIDE,TEXT(YEAR_Y-1,"0"))/100,"")))</f>
        <v/>
      </c>
      <c r="AJ171" s="143">
        <f>IF($C171="","",IFERROR(AVERAGE(AE171:AI171),""))</f>
        <v/>
      </c>
      <c r="AK171" s="144">
        <f>IF($C171="","",IF(ISNUMBER($AD171)*ISNUMBER($N171)*($AD171&lt;&gt;0)=0,"",$N171/$AD171))</f>
        <v/>
      </c>
      <c r="AL171" s="143">
        <f>IF($C171="","",IF(ISNUMBER($AD171)*($AD171&lt;&gt;0)=0,"",$M171/$AD171))</f>
        <v/>
      </c>
      <c r="AM171" s="37">
        <f>IF($C171="","",IF(ISNUMBER($AE171)*ISNUMBER($AI171)=0,"",IF($AI171&gt;$AE171+0.05,"rising",IF($AI171&lt;$AE171-0.05,"falling","stable"))))</f>
        <v/>
      </c>
      <c r="AN171" s="145">
        <f>IF($C171="","",IF(PULL_FUND="N","",IF(COUNTIFS('Fund History'!$G$970:$G$974,"&gt;="&amp;DATE(YEAR_Y-4,1,1),'Fund History'!$G$970:$G$974,"&lt;="&amp;DATE(YEAR_Y-4,12,31))=0,"",SUMIFS('Fund History'!$H$970:$H$974,'Fund History'!$G$970:$G$974,"&gt;="&amp;DATE(YEAR_Y-4,1,1),'Fund History'!$G$970:$G$974,"&lt;="&amp;DATE(YEAR_Y-4,12,31))/100)))</f>
        <v/>
      </c>
      <c r="AO171" s="146">
        <f>IF($C171="","",IF(PULL_FUND="N","",IF(COUNTIFS('Fund History'!$G$970:$G$974,"&gt;="&amp;DATE(YEAR_Y-3,1,1),'Fund History'!$G$970:$G$974,"&lt;="&amp;DATE(YEAR_Y-3,12,31))=0,"",SUMIFS('Fund History'!$H$970:$H$974,'Fund History'!$G$970:$G$974,"&gt;="&amp;DATE(YEAR_Y-3,1,1),'Fund History'!$G$970:$G$974,"&lt;="&amp;DATE(YEAR_Y-3,12,31))/100)))</f>
        <v/>
      </c>
      <c r="AP171" s="146">
        <f>IF($C171="","",IF(PULL_FUND="N","",IF(COUNTIFS('Fund History'!$G$970:$G$974,"&gt;="&amp;DATE(YEAR_Y-2,1,1),'Fund History'!$G$970:$G$974,"&lt;="&amp;DATE(YEAR_Y-2,12,31))=0,"",SUMIFS('Fund History'!$H$970:$H$974,'Fund History'!$G$970:$G$974,"&gt;="&amp;DATE(YEAR_Y-2,1,1),'Fund History'!$G$970:$G$974,"&lt;="&amp;DATE(YEAR_Y-2,12,31))/100)))</f>
        <v/>
      </c>
      <c r="AQ171" s="146">
        <f>IF($C171="","",IF(PULL_FUND="N","",IF(COUNTIFS('Fund History'!$G$970:$G$974,"&gt;="&amp;DATE(YEAR_Y-1,1,1),'Fund History'!$G$970:$G$974,"&lt;="&amp;DATE(YEAR_Y-1,12,31))=0,"",SUMIFS('Fund History'!$H$970:$H$974,'Fund History'!$G$970:$G$974,"&gt;="&amp;DATE(YEAR_Y-1,1,1),'Fund History'!$G$970:$G$974,"&lt;="&amp;DATE(YEAR_Y-1,12,31))/100)))</f>
        <v/>
      </c>
      <c r="AR171" s="147">
        <f>IF($C171="","",IF(N($AQ171)+N(HSCEI!$I$26)=0,"",N($AQ171)+N(HSCEI!$I$26)/100))</f>
        <v/>
      </c>
      <c r="AS171" s="139">
        <f>IF($C171="","",IF(PULL_FUND="N","",IF(COUNTIFS('Fund History'!$D$970:$D$974,"&gt;="&amp;DATE(YEAR_Y-2,1,1),'Fund History'!$D$970:$D$974,"&lt;="&amp;DATE(YEAR_Y-2,12,31))=0,"",SUMIFS('Fund History'!$E$970:$E$974,'Fund History'!$D$970:$D$974,"&gt;="&amp;DATE(YEAR_Y-2,1,1),'Fund History'!$D$970:$D$974,"&lt;="&amp;DATE(YEAR_Y-2,12,31)))))</f>
        <v/>
      </c>
      <c r="AT171" s="140">
        <f>IF($C171="","",IF(PULL_FUND="N","",IF(COUNTIFS('Fund History'!$D$970:$D$974,"&gt;="&amp;DATE(YEAR_Y-1,1,1),'Fund History'!$D$970:$D$974,"&lt;="&amp;DATE(YEAR_Y-1,12,31))=0,"",SUMIFS('Fund History'!$E$970:$E$974,'Fund History'!$D$970:$D$974,"&gt;="&amp;DATE(YEAR_Y-1,1,1),'Fund History'!$D$970:$D$974,"&lt;="&amp;DATE(YEAR_Y-1,12,31)))))</f>
        <v/>
      </c>
      <c r="AU171" s="140">
        <f>IF($C171="","",IF(PULL_FUND="N","",IFERROR(BDP($C171,NDEBITDA_FIELD),"")))</f>
        <v/>
      </c>
      <c r="AV171" s="148">
        <f>IF($C171="","",IF(PULL_FUND="N","",IFERROR(BDP($C171,EBINT_FIELD),"")))</f>
        <v/>
      </c>
      <c r="AW171" s="146">
        <f>IF($C171="","",IF(PULL_FUND="N","",IFERROR(BDP($C171,FCF_FIELD)/100,"")))</f>
        <v/>
      </c>
      <c r="AX171" s="126">
        <f>IF($C171="","",IF(N($U171)=0,"",IFERROR($AW171/$U171,"")))</f>
        <v/>
      </c>
      <c r="AY171" s="85">
        <f>IF($C171="","",TRIM(IF(ISNUMBER($AJ171)*(N($AJ171)&gt;$D$4)&gt;0,"payout high  ","")&amp;IF(ISNUMBER($AX171)*(N($AX171)&lt;$F$4)&gt;0,"FCF below dvd  ","")&amp;IF(ISNUMBER($AU171)*(N($AU171)&gt;$H$4)&gt;0,"leverage high","")))</f>
        <v/>
      </c>
      <c r="AZ171" s="86">
        <f>IF($C171="","",IF(HSCEI!$F$26="HKD","",HSCEI!$F$26))</f>
        <v/>
      </c>
    </row>
    <row r="172">
      <c r="B172" s="66" t="inlineStr">
        <is>
          <t>HSCEI</t>
        </is>
      </c>
      <c r="C172" s="8">
        <f>IF(HSCEI!$C$27="","",HSCEI!$C$27)</f>
        <v/>
      </c>
      <c r="D172" s="8">
        <f>IF($C172="","",HSCEI!$D$27)</f>
        <v/>
      </c>
      <c r="E172" s="8">
        <f>IF($C172="","",HSCEI!$E$27)</f>
        <v/>
      </c>
      <c r="F172" s="131">
        <f>IF($C172="","",SUMPRODUCT(('Dvd Calendar'!$E$1781:$AR$1781&gt;=DATE(YEAR_Y-5,1,1))*('Dvd Calendar'!$E$1781:$AR$1781&lt;=DATE(YEAR_Y-5,12,31))*'Dvd Calendar'!$E$1784:$AR$1784*(('Dvd Calendar'!$E$1786:$AR$1786=TYPE1)*(TYPE1&lt;&gt;"")+('Dvd Calendar'!$E$1786:$AR$1786=TYPE2)*(TYPE2&lt;&gt;"")+('Dvd Calendar'!$E$1786:$AR$1786=TYPE3)*(TYPE3&lt;&gt;"")+('Dvd Calendar'!$E$1786:$AR$1786=TYPE4)*(TYPE4&lt;&gt;"")+('Dvd Calendar'!$E$1786:$AR$1786=SPECIAL_LBL)*(INC_SPECIALS="Y"))))</f>
        <v/>
      </c>
      <c r="G172" s="132">
        <f>IF($C172="","",SUMPRODUCT(('Dvd Calendar'!$E$1781:$AR$1781&gt;=DATE(YEAR_Y-4,1,1))*('Dvd Calendar'!$E$1781:$AR$1781&lt;=DATE(YEAR_Y-4,12,31))*'Dvd Calendar'!$E$1784:$AR$1784*(('Dvd Calendar'!$E$1786:$AR$1786=TYPE1)*(TYPE1&lt;&gt;"")+('Dvd Calendar'!$E$1786:$AR$1786=TYPE2)*(TYPE2&lt;&gt;"")+('Dvd Calendar'!$E$1786:$AR$1786=TYPE3)*(TYPE3&lt;&gt;"")+('Dvd Calendar'!$E$1786:$AR$1786=TYPE4)*(TYPE4&lt;&gt;"")+('Dvd Calendar'!$E$1786:$AR$1786=SPECIAL_LBL)*(INC_SPECIALS="Y"))))</f>
        <v/>
      </c>
      <c r="H172" s="132">
        <f>IF($C172="","",SUMPRODUCT(('Dvd Calendar'!$E$1781:$AR$1781&gt;=DATE(YEAR_Y-3,1,1))*('Dvd Calendar'!$E$1781:$AR$1781&lt;=DATE(YEAR_Y-3,12,31))*'Dvd Calendar'!$E$1784:$AR$1784*(('Dvd Calendar'!$E$1786:$AR$1786=TYPE1)*(TYPE1&lt;&gt;"")+('Dvd Calendar'!$E$1786:$AR$1786=TYPE2)*(TYPE2&lt;&gt;"")+('Dvd Calendar'!$E$1786:$AR$1786=TYPE3)*(TYPE3&lt;&gt;"")+('Dvd Calendar'!$E$1786:$AR$1786=TYPE4)*(TYPE4&lt;&gt;"")+('Dvd Calendar'!$E$1786:$AR$1786=SPECIAL_LBL)*(INC_SPECIALS="Y"))))</f>
        <v/>
      </c>
      <c r="I172" s="132">
        <f>IF($C172="","",SUMPRODUCT(('Dvd Calendar'!$E$1781:$AR$1781&gt;=DATE(YEAR_Y-2,1,1))*('Dvd Calendar'!$E$1781:$AR$1781&lt;=DATE(YEAR_Y-2,12,31))*'Dvd Calendar'!$E$1784:$AR$1784*(('Dvd Calendar'!$E$1786:$AR$1786=TYPE1)*(TYPE1&lt;&gt;"")+('Dvd Calendar'!$E$1786:$AR$1786=TYPE2)*(TYPE2&lt;&gt;"")+('Dvd Calendar'!$E$1786:$AR$1786=TYPE3)*(TYPE3&lt;&gt;"")+('Dvd Calendar'!$E$1786:$AR$1786=TYPE4)*(TYPE4&lt;&gt;"")+('Dvd Calendar'!$E$1786:$AR$1786=SPECIAL_LBL)*(INC_SPECIALS="Y"))))</f>
        <v/>
      </c>
      <c r="J172" s="132">
        <f>IF($C172="","",SUMPRODUCT(('Dvd Calendar'!$E$1781:$AR$1781&gt;=DATE(YEAR_Y-1,1,1))*('Dvd Calendar'!$E$1781:$AR$1781&lt;=DATE(YEAR_Y-1,12,31))*'Dvd Calendar'!$E$1784:$AR$1784*(('Dvd Calendar'!$E$1786:$AR$1786=TYPE1)*(TYPE1&lt;&gt;"")+('Dvd Calendar'!$E$1786:$AR$1786=TYPE2)*(TYPE2&lt;&gt;"")+('Dvd Calendar'!$E$1786:$AR$1786=TYPE3)*(TYPE3&lt;&gt;"")+('Dvd Calendar'!$E$1786:$AR$1786=TYPE4)*(TYPE4&lt;&gt;"")+('Dvd Calendar'!$E$1786:$AR$1786=SPECIAL_LBL)*(INC_SPECIALS="Y"))))</f>
        <v/>
      </c>
      <c r="K172" s="133">
        <f>IF($C172="","",HSCEI!$J$27)</f>
        <v/>
      </c>
      <c r="L172" s="133">
        <f>IF($C172="","",HSCEI!$K$27)</f>
        <v/>
      </c>
      <c r="M172" s="124">
        <f>IF($C172="","",HSCEI!$J$27+HSCEI!$L$27)</f>
        <v/>
      </c>
      <c r="N172" s="134">
        <f>IF($C172="","",IF(PULL_FUND="N","",IFERROR(BDP($C172,BESTDPS_FIELD,FWD_OVERRIDE,TEXT(MOD(YEAR_Y,100),"00")&amp;"Y"),"")))</f>
        <v/>
      </c>
      <c r="O172" s="133">
        <f>IF($C172="","",AVERAGE(F172:J172))</f>
        <v/>
      </c>
      <c r="P172" s="135">
        <f>IF($C172="","",IF(PULL_FUND="N","",IF(COUNTIFS('Fund History'!$J$976:$J$980,"&gt;="&amp;DATE(YEAR_Y-5,1,1),'Fund History'!$J$976:$J$980,"&lt;="&amp;DATE(YEAR_Y-5,12,31))=0,"",IFERROR($F172*HSCEI!$G$27/SUMIFS('Fund History'!$K$976:$K$980,'Fund History'!$J$976:$J$980,"&gt;="&amp;DATE(YEAR_Y-5,1,1),'Fund History'!$J$976:$J$980,"&lt;="&amp;DATE(YEAR_Y-5,12,31)),""))))</f>
        <v/>
      </c>
      <c r="Q172" s="136">
        <f>IF($C172="","",IF(PULL_FUND="N","",IF(COUNTIFS('Fund History'!$J$976:$J$980,"&gt;="&amp;DATE(YEAR_Y-4,1,1),'Fund History'!$J$976:$J$980,"&lt;="&amp;DATE(YEAR_Y-4,12,31))=0,"",IFERROR($G172*HSCEI!$G$27/SUMIFS('Fund History'!$K$976:$K$980,'Fund History'!$J$976:$J$980,"&gt;="&amp;DATE(YEAR_Y-4,1,1),'Fund History'!$J$976:$J$980,"&lt;="&amp;DATE(YEAR_Y-4,12,31)),""))))</f>
        <v/>
      </c>
      <c r="R172" s="136">
        <f>IF($C172="","",IF(PULL_FUND="N","",IF(COUNTIFS('Fund History'!$J$976:$J$980,"&gt;="&amp;DATE(YEAR_Y-3,1,1),'Fund History'!$J$976:$J$980,"&lt;="&amp;DATE(YEAR_Y-3,12,31))=0,"",IFERROR($H172*HSCEI!$G$27/SUMIFS('Fund History'!$K$976:$K$980,'Fund History'!$J$976:$J$980,"&gt;="&amp;DATE(YEAR_Y-3,1,1),'Fund History'!$J$976:$J$980,"&lt;="&amp;DATE(YEAR_Y-3,12,31)),""))))</f>
        <v/>
      </c>
      <c r="S172" s="136">
        <f>IF($C172="","",IF(PULL_FUND="N","",IF(COUNTIFS('Fund History'!$J$976:$J$980,"&gt;="&amp;DATE(YEAR_Y-2,1,1),'Fund History'!$J$976:$J$980,"&lt;="&amp;DATE(YEAR_Y-2,12,31))=0,"",IFERROR($I172*HSCEI!$G$27/SUMIFS('Fund History'!$K$976:$K$980,'Fund History'!$J$976:$J$980,"&gt;="&amp;DATE(YEAR_Y-2,1,1),'Fund History'!$J$976:$J$980,"&lt;="&amp;DATE(YEAR_Y-2,12,31)),""))))</f>
        <v/>
      </c>
      <c r="T172" s="136">
        <f>IF($C172="","",IF(PULL_FUND="N","",IF(COUNTIFS('Fund History'!$J$976:$J$980,"&gt;="&amp;DATE(YEAR_Y-1,1,1),'Fund History'!$J$976:$J$980,"&lt;="&amp;DATE(YEAR_Y-1,12,31))=0,"",IFERROR($J172*HSCEI!$G$27/SUMIFS('Fund History'!$K$976:$K$980,'Fund History'!$J$976:$J$980,"&gt;="&amp;DATE(YEAR_Y-1,1,1),'Fund History'!$J$976:$J$980,"&lt;="&amp;DATE(YEAR_Y-1,12,31)),""))))</f>
        <v/>
      </c>
      <c r="U172" s="137">
        <f>IF($C172="","",IF(ISNUMBER(HSCEI!$I$27),HSCEI!$I$27/100,""))</f>
        <v/>
      </c>
      <c r="V172" s="138">
        <f>IF($C172="","",IF(ISNUMBER(HSCEI!$X$27),IFERROR($M172*HSCEI!$G$27/HSCEI!$X$27,""),""))</f>
        <v/>
      </c>
      <c r="W172" s="137">
        <f>IF($C172="","",IF(ISNUMBER($N172),IFERROR($N172*HSCEI!$G$27/HSCEI!$X$27,""),""))</f>
        <v/>
      </c>
      <c r="X172" s="139">
        <f>IF($C172="","",IF(PULL_FUND="N","",IFERROR(BDP($C172,EPS_FIELD,YR_OVERRIDE,TEXT(YEAR_Y-5,"0")),"")))</f>
        <v/>
      </c>
      <c r="Y172" s="140">
        <f>IF($C172="","",IF(PULL_FUND="N","",IFERROR(BDP($C172,EPS_FIELD,YR_OVERRIDE,TEXT(YEAR_Y-4,"0")),"")))</f>
        <v/>
      </c>
      <c r="Z172" s="140">
        <f>IF($C172="","",IF(PULL_FUND="N","",IFERROR(BDP($C172,EPS_FIELD,YR_OVERRIDE,TEXT(YEAR_Y-3,"0")),"")))</f>
        <v/>
      </c>
      <c r="AA172" s="140">
        <f>IF($C172="","",IF(PULL_FUND="N","",IFERROR(BDP($C172,EPS_FIELD,YR_OVERRIDE,TEXT(YEAR_Y-2,"0")),"")))</f>
        <v/>
      </c>
      <c r="AB172" s="140">
        <f>IF($C172="","",IF(PULL_FUND="N","",IFERROR(BDP($C172,EPS_FIELD,YR_OVERRIDE,TEXT(YEAR_Y-1,"0")),"")))</f>
        <v/>
      </c>
      <c r="AC172" s="126">
        <f>IF($C172="","",IFERROR(AVERAGE(X172:AB172),""))</f>
        <v/>
      </c>
      <c r="AD172" s="140">
        <f>IF($C172="","",IF(PULL_FUND="N","",IFERROR(BDP($C172,BESTEPS_FIELD,FWD_OVERRIDE,TEXT(MOD(YEAR_Y,100),"00")&amp;"Y"),"")))</f>
        <v/>
      </c>
      <c r="AE172" s="141">
        <f>IF($C172="","",IF(PULL_FUND="N","",IFERROR(BDP($C172,PAYOUT_FIELD,YR_OVERRIDE,TEXT(YEAR_Y-5,"0"))/100,"")))</f>
        <v/>
      </c>
      <c r="AF172" s="142">
        <f>IF($C172="","",IF(PULL_FUND="N","",IFERROR(BDP($C172,PAYOUT_FIELD,YR_OVERRIDE,TEXT(YEAR_Y-4,"0"))/100,"")))</f>
        <v/>
      </c>
      <c r="AG172" s="142">
        <f>IF($C172="","",IF(PULL_FUND="N","",IFERROR(BDP($C172,PAYOUT_FIELD,YR_OVERRIDE,TEXT(YEAR_Y-3,"0"))/100,"")))</f>
        <v/>
      </c>
      <c r="AH172" s="142">
        <f>IF($C172="","",IF(PULL_FUND="N","",IFERROR(BDP($C172,PAYOUT_FIELD,YR_OVERRIDE,TEXT(YEAR_Y-2,"0"))/100,"")))</f>
        <v/>
      </c>
      <c r="AI172" s="142">
        <f>IF($C172="","",IF(PULL_FUND="N","",IFERROR(BDP($C172,PAYOUT_FIELD,YR_OVERRIDE,TEXT(YEAR_Y-1,"0"))/100,"")))</f>
        <v/>
      </c>
      <c r="AJ172" s="143">
        <f>IF($C172="","",IFERROR(AVERAGE(AE172:AI172),""))</f>
        <v/>
      </c>
      <c r="AK172" s="144">
        <f>IF($C172="","",IF(ISNUMBER($AD172)*ISNUMBER($N172)*($AD172&lt;&gt;0)=0,"",$N172/$AD172))</f>
        <v/>
      </c>
      <c r="AL172" s="143">
        <f>IF($C172="","",IF(ISNUMBER($AD172)*($AD172&lt;&gt;0)=0,"",$M172/$AD172))</f>
        <v/>
      </c>
      <c r="AM172" s="37">
        <f>IF($C172="","",IF(ISNUMBER($AE172)*ISNUMBER($AI172)=0,"",IF($AI172&gt;$AE172+0.05,"rising",IF($AI172&lt;$AE172-0.05,"falling","stable"))))</f>
        <v/>
      </c>
      <c r="AN172" s="145">
        <f>IF($C172="","",IF(PULL_FUND="N","",IF(COUNTIFS('Fund History'!$G$976:$G$980,"&gt;="&amp;DATE(YEAR_Y-4,1,1),'Fund History'!$G$976:$G$980,"&lt;="&amp;DATE(YEAR_Y-4,12,31))=0,"",SUMIFS('Fund History'!$H$976:$H$980,'Fund History'!$G$976:$G$980,"&gt;="&amp;DATE(YEAR_Y-4,1,1),'Fund History'!$G$976:$G$980,"&lt;="&amp;DATE(YEAR_Y-4,12,31))/100)))</f>
        <v/>
      </c>
      <c r="AO172" s="146">
        <f>IF($C172="","",IF(PULL_FUND="N","",IF(COUNTIFS('Fund History'!$G$976:$G$980,"&gt;="&amp;DATE(YEAR_Y-3,1,1),'Fund History'!$G$976:$G$980,"&lt;="&amp;DATE(YEAR_Y-3,12,31))=0,"",SUMIFS('Fund History'!$H$976:$H$980,'Fund History'!$G$976:$G$980,"&gt;="&amp;DATE(YEAR_Y-3,1,1),'Fund History'!$G$976:$G$980,"&lt;="&amp;DATE(YEAR_Y-3,12,31))/100)))</f>
        <v/>
      </c>
      <c r="AP172" s="146">
        <f>IF($C172="","",IF(PULL_FUND="N","",IF(COUNTIFS('Fund History'!$G$976:$G$980,"&gt;="&amp;DATE(YEAR_Y-2,1,1),'Fund History'!$G$976:$G$980,"&lt;="&amp;DATE(YEAR_Y-2,12,31))=0,"",SUMIFS('Fund History'!$H$976:$H$980,'Fund History'!$G$976:$G$980,"&gt;="&amp;DATE(YEAR_Y-2,1,1),'Fund History'!$G$976:$G$980,"&lt;="&amp;DATE(YEAR_Y-2,12,31))/100)))</f>
        <v/>
      </c>
      <c r="AQ172" s="146">
        <f>IF($C172="","",IF(PULL_FUND="N","",IF(COUNTIFS('Fund History'!$G$976:$G$980,"&gt;="&amp;DATE(YEAR_Y-1,1,1),'Fund History'!$G$976:$G$980,"&lt;="&amp;DATE(YEAR_Y-1,12,31))=0,"",SUMIFS('Fund History'!$H$976:$H$980,'Fund History'!$G$976:$G$980,"&gt;="&amp;DATE(YEAR_Y-1,1,1),'Fund History'!$G$976:$G$980,"&lt;="&amp;DATE(YEAR_Y-1,12,31))/100)))</f>
        <v/>
      </c>
      <c r="AR172" s="147">
        <f>IF($C172="","",IF(N($AQ172)+N(HSCEI!$I$27)=0,"",N($AQ172)+N(HSCEI!$I$27)/100))</f>
        <v/>
      </c>
      <c r="AS172" s="139">
        <f>IF($C172="","",IF(PULL_FUND="N","",IF(COUNTIFS('Fund History'!$D$976:$D$980,"&gt;="&amp;DATE(YEAR_Y-2,1,1),'Fund History'!$D$976:$D$980,"&lt;="&amp;DATE(YEAR_Y-2,12,31))=0,"",SUMIFS('Fund History'!$E$976:$E$980,'Fund History'!$D$976:$D$980,"&gt;="&amp;DATE(YEAR_Y-2,1,1),'Fund History'!$D$976:$D$980,"&lt;="&amp;DATE(YEAR_Y-2,12,31)))))</f>
        <v/>
      </c>
      <c r="AT172" s="140">
        <f>IF($C172="","",IF(PULL_FUND="N","",IF(COUNTIFS('Fund History'!$D$976:$D$980,"&gt;="&amp;DATE(YEAR_Y-1,1,1),'Fund History'!$D$976:$D$980,"&lt;="&amp;DATE(YEAR_Y-1,12,31))=0,"",SUMIFS('Fund History'!$E$976:$E$980,'Fund History'!$D$976:$D$980,"&gt;="&amp;DATE(YEAR_Y-1,1,1),'Fund History'!$D$976:$D$980,"&lt;="&amp;DATE(YEAR_Y-1,12,31)))))</f>
        <v/>
      </c>
      <c r="AU172" s="140">
        <f>IF($C172="","",IF(PULL_FUND="N","",IFERROR(BDP($C172,NDEBITDA_FIELD),"")))</f>
        <v/>
      </c>
      <c r="AV172" s="148">
        <f>IF($C172="","",IF(PULL_FUND="N","",IFERROR(BDP($C172,EBINT_FIELD),"")))</f>
        <v/>
      </c>
      <c r="AW172" s="146">
        <f>IF($C172="","",IF(PULL_FUND="N","",IFERROR(BDP($C172,FCF_FIELD)/100,"")))</f>
        <v/>
      </c>
      <c r="AX172" s="126">
        <f>IF($C172="","",IF(N($U172)=0,"",IFERROR($AW172/$U172,"")))</f>
        <v/>
      </c>
      <c r="AY172" s="85">
        <f>IF($C172="","",TRIM(IF(ISNUMBER($AJ172)*(N($AJ172)&gt;$D$4)&gt;0,"payout high  ","")&amp;IF(ISNUMBER($AX172)*(N($AX172)&lt;$F$4)&gt;0,"FCF below dvd  ","")&amp;IF(ISNUMBER($AU172)*(N($AU172)&gt;$H$4)&gt;0,"leverage high","")))</f>
        <v/>
      </c>
      <c r="AZ172" s="86">
        <f>IF($C172="","",IF(HSCEI!$F$27="HKD","",HSCEI!$F$27))</f>
        <v/>
      </c>
    </row>
    <row r="173">
      <c r="B173" s="66" t="inlineStr">
        <is>
          <t>HSCEI</t>
        </is>
      </c>
      <c r="C173" s="8">
        <f>IF(HSCEI!$C$28="","",HSCEI!$C$28)</f>
        <v/>
      </c>
      <c r="D173" s="8">
        <f>IF($C173="","",HSCEI!$D$28)</f>
        <v/>
      </c>
      <c r="E173" s="8">
        <f>IF($C173="","",HSCEI!$E$28)</f>
        <v/>
      </c>
      <c r="F173" s="131">
        <f>IF($C173="","",SUMPRODUCT(('Dvd Calendar'!$E$1792:$AR$1792&gt;=DATE(YEAR_Y-5,1,1))*('Dvd Calendar'!$E$1792:$AR$1792&lt;=DATE(YEAR_Y-5,12,31))*'Dvd Calendar'!$E$1795:$AR$1795*(('Dvd Calendar'!$E$1797:$AR$1797=TYPE1)*(TYPE1&lt;&gt;"")+('Dvd Calendar'!$E$1797:$AR$1797=TYPE2)*(TYPE2&lt;&gt;"")+('Dvd Calendar'!$E$1797:$AR$1797=TYPE3)*(TYPE3&lt;&gt;"")+('Dvd Calendar'!$E$1797:$AR$1797=TYPE4)*(TYPE4&lt;&gt;"")+('Dvd Calendar'!$E$1797:$AR$1797=SPECIAL_LBL)*(INC_SPECIALS="Y"))))</f>
        <v/>
      </c>
      <c r="G173" s="132">
        <f>IF($C173="","",SUMPRODUCT(('Dvd Calendar'!$E$1792:$AR$1792&gt;=DATE(YEAR_Y-4,1,1))*('Dvd Calendar'!$E$1792:$AR$1792&lt;=DATE(YEAR_Y-4,12,31))*'Dvd Calendar'!$E$1795:$AR$1795*(('Dvd Calendar'!$E$1797:$AR$1797=TYPE1)*(TYPE1&lt;&gt;"")+('Dvd Calendar'!$E$1797:$AR$1797=TYPE2)*(TYPE2&lt;&gt;"")+('Dvd Calendar'!$E$1797:$AR$1797=TYPE3)*(TYPE3&lt;&gt;"")+('Dvd Calendar'!$E$1797:$AR$1797=TYPE4)*(TYPE4&lt;&gt;"")+('Dvd Calendar'!$E$1797:$AR$1797=SPECIAL_LBL)*(INC_SPECIALS="Y"))))</f>
        <v/>
      </c>
      <c r="H173" s="132">
        <f>IF($C173="","",SUMPRODUCT(('Dvd Calendar'!$E$1792:$AR$1792&gt;=DATE(YEAR_Y-3,1,1))*('Dvd Calendar'!$E$1792:$AR$1792&lt;=DATE(YEAR_Y-3,12,31))*'Dvd Calendar'!$E$1795:$AR$1795*(('Dvd Calendar'!$E$1797:$AR$1797=TYPE1)*(TYPE1&lt;&gt;"")+('Dvd Calendar'!$E$1797:$AR$1797=TYPE2)*(TYPE2&lt;&gt;"")+('Dvd Calendar'!$E$1797:$AR$1797=TYPE3)*(TYPE3&lt;&gt;"")+('Dvd Calendar'!$E$1797:$AR$1797=TYPE4)*(TYPE4&lt;&gt;"")+('Dvd Calendar'!$E$1797:$AR$1797=SPECIAL_LBL)*(INC_SPECIALS="Y"))))</f>
        <v/>
      </c>
      <c r="I173" s="132">
        <f>IF($C173="","",SUMPRODUCT(('Dvd Calendar'!$E$1792:$AR$1792&gt;=DATE(YEAR_Y-2,1,1))*('Dvd Calendar'!$E$1792:$AR$1792&lt;=DATE(YEAR_Y-2,12,31))*'Dvd Calendar'!$E$1795:$AR$1795*(('Dvd Calendar'!$E$1797:$AR$1797=TYPE1)*(TYPE1&lt;&gt;"")+('Dvd Calendar'!$E$1797:$AR$1797=TYPE2)*(TYPE2&lt;&gt;"")+('Dvd Calendar'!$E$1797:$AR$1797=TYPE3)*(TYPE3&lt;&gt;"")+('Dvd Calendar'!$E$1797:$AR$1797=TYPE4)*(TYPE4&lt;&gt;"")+('Dvd Calendar'!$E$1797:$AR$1797=SPECIAL_LBL)*(INC_SPECIALS="Y"))))</f>
        <v/>
      </c>
      <c r="J173" s="132">
        <f>IF($C173="","",SUMPRODUCT(('Dvd Calendar'!$E$1792:$AR$1792&gt;=DATE(YEAR_Y-1,1,1))*('Dvd Calendar'!$E$1792:$AR$1792&lt;=DATE(YEAR_Y-1,12,31))*'Dvd Calendar'!$E$1795:$AR$1795*(('Dvd Calendar'!$E$1797:$AR$1797=TYPE1)*(TYPE1&lt;&gt;"")+('Dvd Calendar'!$E$1797:$AR$1797=TYPE2)*(TYPE2&lt;&gt;"")+('Dvd Calendar'!$E$1797:$AR$1797=TYPE3)*(TYPE3&lt;&gt;"")+('Dvd Calendar'!$E$1797:$AR$1797=TYPE4)*(TYPE4&lt;&gt;"")+('Dvd Calendar'!$E$1797:$AR$1797=SPECIAL_LBL)*(INC_SPECIALS="Y"))))</f>
        <v/>
      </c>
      <c r="K173" s="133">
        <f>IF($C173="","",HSCEI!$J$28)</f>
        <v/>
      </c>
      <c r="L173" s="133">
        <f>IF($C173="","",HSCEI!$K$28)</f>
        <v/>
      </c>
      <c r="M173" s="124">
        <f>IF($C173="","",HSCEI!$J$28+HSCEI!$L$28)</f>
        <v/>
      </c>
      <c r="N173" s="134">
        <f>IF($C173="","",IF(PULL_FUND="N","",IFERROR(BDP($C173,BESTDPS_FIELD,FWD_OVERRIDE,TEXT(MOD(YEAR_Y,100),"00")&amp;"Y"),"")))</f>
        <v/>
      </c>
      <c r="O173" s="133">
        <f>IF($C173="","",AVERAGE(F173:J173))</f>
        <v/>
      </c>
      <c r="P173" s="135">
        <f>IF($C173="","",IF(PULL_FUND="N","",IF(COUNTIFS('Fund History'!$J$982:$J$986,"&gt;="&amp;DATE(YEAR_Y-5,1,1),'Fund History'!$J$982:$J$986,"&lt;="&amp;DATE(YEAR_Y-5,12,31))=0,"",IFERROR($F173*HSCEI!$G$28/SUMIFS('Fund History'!$K$982:$K$986,'Fund History'!$J$982:$J$986,"&gt;="&amp;DATE(YEAR_Y-5,1,1),'Fund History'!$J$982:$J$986,"&lt;="&amp;DATE(YEAR_Y-5,12,31)),""))))</f>
        <v/>
      </c>
      <c r="Q173" s="136">
        <f>IF($C173="","",IF(PULL_FUND="N","",IF(COUNTIFS('Fund History'!$J$982:$J$986,"&gt;="&amp;DATE(YEAR_Y-4,1,1),'Fund History'!$J$982:$J$986,"&lt;="&amp;DATE(YEAR_Y-4,12,31))=0,"",IFERROR($G173*HSCEI!$G$28/SUMIFS('Fund History'!$K$982:$K$986,'Fund History'!$J$982:$J$986,"&gt;="&amp;DATE(YEAR_Y-4,1,1),'Fund History'!$J$982:$J$986,"&lt;="&amp;DATE(YEAR_Y-4,12,31)),""))))</f>
        <v/>
      </c>
      <c r="R173" s="136">
        <f>IF($C173="","",IF(PULL_FUND="N","",IF(COUNTIFS('Fund History'!$J$982:$J$986,"&gt;="&amp;DATE(YEAR_Y-3,1,1),'Fund History'!$J$982:$J$986,"&lt;="&amp;DATE(YEAR_Y-3,12,31))=0,"",IFERROR($H173*HSCEI!$G$28/SUMIFS('Fund History'!$K$982:$K$986,'Fund History'!$J$982:$J$986,"&gt;="&amp;DATE(YEAR_Y-3,1,1),'Fund History'!$J$982:$J$986,"&lt;="&amp;DATE(YEAR_Y-3,12,31)),""))))</f>
        <v/>
      </c>
      <c r="S173" s="136">
        <f>IF($C173="","",IF(PULL_FUND="N","",IF(COUNTIFS('Fund History'!$J$982:$J$986,"&gt;="&amp;DATE(YEAR_Y-2,1,1),'Fund History'!$J$982:$J$986,"&lt;="&amp;DATE(YEAR_Y-2,12,31))=0,"",IFERROR($I173*HSCEI!$G$28/SUMIFS('Fund History'!$K$982:$K$986,'Fund History'!$J$982:$J$986,"&gt;="&amp;DATE(YEAR_Y-2,1,1),'Fund History'!$J$982:$J$986,"&lt;="&amp;DATE(YEAR_Y-2,12,31)),""))))</f>
        <v/>
      </c>
      <c r="T173" s="136">
        <f>IF($C173="","",IF(PULL_FUND="N","",IF(COUNTIFS('Fund History'!$J$982:$J$986,"&gt;="&amp;DATE(YEAR_Y-1,1,1),'Fund History'!$J$982:$J$986,"&lt;="&amp;DATE(YEAR_Y-1,12,31))=0,"",IFERROR($J173*HSCEI!$G$28/SUMIFS('Fund History'!$K$982:$K$986,'Fund History'!$J$982:$J$986,"&gt;="&amp;DATE(YEAR_Y-1,1,1),'Fund History'!$J$982:$J$986,"&lt;="&amp;DATE(YEAR_Y-1,12,31)),""))))</f>
        <v/>
      </c>
      <c r="U173" s="137">
        <f>IF($C173="","",IF(ISNUMBER(HSCEI!$I$28),HSCEI!$I$28/100,""))</f>
        <v/>
      </c>
      <c r="V173" s="138">
        <f>IF($C173="","",IF(ISNUMBER(HSCEI!$X$28),IFERROR($M173*HSCEI!$G$28/HSCEI!$X$28,""),""))</f>
        <v/>
      </c>
      <c r="W173" s="137">
        <f>IF($C173="","",IF(ISNUMBER($N173),IFERROR($N173*HSCEI!$G$28/HSCEI!$X$28,""),""))</f>
        <v/>
      </c>
      <c r="X173" s="139">
        <f>IF($C173="","",IF(PULL_FUND="N","",IFERROR(BDP($C173,EPS_FIELD,YR_OVERRIDE,TEXT(YEAR_Y-5,"0")),"")))</f>
        <v/>
      </c>
      <c r="Y173" s="140">
        <f>IF($C173="","",IF(PULL_FUND="N","",IFERROR(BDP($C173,EPS_FIELD,YR_OVERRIDE,TEXT(YEAR_Y-4,"0")),"")))</f>
        <v/>
      </c>
      <c r="Z173" s="140">
        <f>IF($C173="","",IF(PULL_FUND="N","",IFERROR(BDP($C173,EPS_FIELD,YR_OVERRIDE,TEXT(YEAR_Y-3,"0")),"")))</f>
        <v/>
      </c>
      <c r="AA173" s="140">
        <f>IF($C173="","",IF(PULL_FUND="N","",IFERROR(BDP($C173,EPS_FIELD,YR_OVERRIDE,TEXT(YEAR_Y-2,"0")),"")))</f>
        <v/>
      </c>
      <c r="AB173" s="140">
        <f>IF($C173="","",IF(PULL_FUND="N","",IFERROR(BDP($C173,EPS_FIELD,YR_OVERRIDE,TEXT(YEAR_Y-1,"0")),"")))</f>
        <v/>
      </c>
      <c r="AC173" s="126">
        <f>IF($C173="","",IFERROR(AVERAGE(X173:AB173),""))</f>
        <v/>
      </c>
      <c r="AD173" s="140">
        <f>IF($C173="","",IF(PULL_FUND="N","",IFERROR(BDP($C173,BESTEPS_FIELD,FWD_OVERRIDE,TEXT(MOD(YEAR_Y,100),"00")&amp;"Y"),"")))</f>
        <v/>
      </c>
      <c r="AE173" s="141">
        <f>IF($C173="","",IF(PULL_FUND="N","",IFERROR(BDP($C173,PAYOUT_FIELD,YR_OVERRIDE,TEXT(YEAR_Y-5,"0"))/100,"")))</f>
        <v/>
      </c>
      <c r="AF173" s="142">
        <f>IF($C173="","",IF(PULL_FUND="N","",IFERROR(BDP($C173,PAYOUT_FIELD,YR_OVERRIDE,TEXT(YEAR_Y-4,"0"))/100,"")))</f>
        <v/>
      </c>
      <c r="AG173" s="142">
        <f>IF($C173="","",IF(PULL_FUND="N","",IFERROR(BDP($C173,PAYOUT_FIELD,YR_OVERRIDE,TEXT(YEAR_Y-3,"0"))/100,"")))</f>
        <v/>
      </c>
      <c r="AH173" s="142">
        <f>IF($C173="","",IF(PULL_FUND="N","",IFERROR(BDP($C173,PAYOUT_FIELD,YR_OVERRIDE,TEXT(YEAR_Y-2,"0"))/100,"")))</f>
        <v/>
      </c>
      <c r="AI173" s="142">
        <f>IF($C173="","",IF(PULL_FUND="N","",IFERROR(BDP($C173,PAYOUT_FIELD,YR_OVERRIDE,TEXT(YEAR_Y-1,"0"))/100,"")))</f>
        <v/>
      </c>
      <c r="AJ173" s="143">
        <f>IF($C173="","",IFERROR(AVERAGE(AE173:AI173),""))</f>
        <v/>
      </c>
      <c r="AK173" s="144">
        <f>IF($C173="","",IF(ISNUMBER($AD173)*ISNUMBER($N173)*($AD173&lt;&gt;0)=0,"",$N173/$AD173))</f>
        <v/>
      </c>
      <c r="AL173" s="143">
        <f>IF($C173="","",IF(ISNUMBER($AD173)*($AD173&lt;&gt;0)=0,"",$M173/$AD173))</f>
        <v/>
      </c>
      <c r="AM173" s="37">
        <f>IF($C173="","",IF(ISNUMBER($AE173)*ISNUMBER($AI173)=0,"",IF($AI173&gt;$AE173+0.05,"rising",IF($AI173&lt;$AE173-0.05,"falling","stable"))))</f>
        <v/>
      </c>
      <c r="AN173" s="145">
        <f>IF($C173="","",IF(PULL_FUND="N","",IF(COUNTIFS('Fund History'!$G$982:$G$986,"&gt;="&amp;DATE(YEAR_Y-4,1,1),'Fund History'!$G$982:$G$986,"&lt;="&amp;DATE(YEAR_Y-4,12,31))=0,"",SUMIFS('Fund History'!$H$982:$H$986,'Fund History'!$G$982:$G$986,"&gt;="&amp;DATE(YEAR_Y-4,1,1),'Fund History'!$G$982:$G$986,"&lt;="&amp;DATE(YEAR_Y-4,12,31))/100)))</f>
        <v/>
      </c>
      <c r="AO173" s="146">
        <f>IF($C173="","",IF(PULL_FUND="N","",IF(COUNTIFS('Fund History'!$G$982:$G$986,"&gt;="&amp;DATE(YEAR_Y-3,1,1),'Fund History'!$G$982:$G$986,"&lt;="&amp;DATE(YEAR_Y-3,12,31))=0,"",SUMIFS('Fund History'!$H$982:$H$986,'Fund History'!$G$982:$G$986,"&gt;="&amp;DATE(YEAR_Y-3,1,1),'Fund History'!$G$982:$G$986,"&lt;="&amp;DATE(YEAR_Y-3,12,31))/100)))</f>
        <v/>
      </c>
      <c r="AP173" s="146">
        <f>IF($C173="","",IF(PULL_FUND="N","",IF(COUNTIFS('Fund History'!$G$982:$G$986,"&gt;="&amp;DATE(YEAR_Y-2,1,1),'Fund History'!$G$982:$G$986,"&lt;="&amp;DATE(YEAR_Y-2,12,31))=0,"",SUMIFS('Fund History'!$H$982:$H$986,'Fund History'!$G$982:$G$986,"&gt;="&amp;DATE(YEAR_Y-2,1,1),'Fund History'!$G$982:$G$986,"&lt;="&amp;DATE(YEAR_Y-2,12,31))/100)))</f>
        <v/>
      </c>
      <c r="AQ173" s="146">
        <f>IF($C173="","",IF(PULL_FUND="N","",IF(COUNTIFS('Fund History'!$G$982:$G$986,"&gt;="&amp;DATE(YEAR_Y-1,1,1),'Fund History'!$G$982:$G$986,"&lt;="&amp;DATE(YEAR_Y-1,12,31))=0,"",SUMIFS('Fund History'!$H$982:$H$986,'Fund History'!$G$982:$G$986,"&gt;="&amp;DATE(YEAR_Y-1,1,1),'Fund History'!$G$982:$G$986,"&lt;="&amp;DATE(YEAR_Y-1,12,31))/100)))</f>
        <v/>
      </c>
      <c r="AR173" s="147">
        <f>IF($C173="","",IF(N($AQ173)+N(HSCEI!$I$28)=0,"",N($AQ173)+N(HSCEI!$I$28)/100))</f>
        <v/>
      </c>
      <c r="AS173" s="139">
        <f>IF($C173="","",IF(PULL_FUND="N","",IF(COUNTIFS('Fund History'!$D$982:$D$986,"&gt;="&amp;DATE(YEAR_Y-2,1,1),'Fund History'!$D$982:$D$986,"&lt;="&amp;DATE(YEAR_Y-2,12,31))=0,"",SUMIFS('Fund History'!$E$982:$E$986,'Fund History'!$D$982:$D$986,"&gt;="&amp;DATE(YEAR_Y-2,1,1),'Fund History'!$D$982:$D$986,"&lt;="&amp;DATE(YEAR_Y-2,12,31)))))</f>
        <v/>
      </c>
      <c r="AT173" s="140">
        <f>IF($C173="","",IF(PULL_FUND="N","",IF(COUNTIFS('Fund History'!$D$982:$D$986,"&gt;="&amp;DATE(YEAR_Y-1,1,1),'Fund History'!$D$982:$D$986,"&lt;="&amp;DATE(YEAR_Y-1,12,31))=0,"",SUMIFS('Fund History'!$E$982:$E$986,'Fund History'!$D$982:$D$986,"&gt;="&amp;DATE(YEAR_Y-1,1,1),'Fund History'!$D$982:$D$986,"&lt;="&amp;DATE(YEAR_Y-1,12,31)))))</f>
        <v/>
      </c>
      <c r="AU173" s="140">
        <f>IF($C173="","",IF(PULL_FUND="N","",IFERROR(BDP($C173,NDEBITDA_FIELD),"")))</f>
        <v/>
      </c>
      <c r="AV173" s="148">
        <f>IF($C173="","",IF(PULL_FUND="N","",IFERROR(BDP($C173,EBINT_FIELD),"")))</f>
        <v/>
      </c>
      <c r="AW173" s="146">
        <f>IF($C173="","",IF(PULL_FUND="N","",IFERROR(BDP($C173,FCF_FIELD)/100,"")))</f>
        <v/>
      </c>
      <c r="AX173" s="126">
        <f>IF($C173="","",IF(N($U173)=0,"",IFERROR($AW173/$U173,"")))</f>
        <v/>
      </c>
      <c r="AY173" s="85">
        <f>IF($C173="","",TRIM(IF(ISNUMBER($AJ173)*(N($AJ173)&gt;$D$4)&gt;0,"payout high  ","")&amp;IF(ISNUMBER($AX173)*(N($AX173)&lt;$F$4)&gt;0,"FCF below dvd  ","")&amp;IF(ISNUMBER($AU173)*(N($AU173)&gt;$H$4)&gt;0,"leverage high","")))</f>
        <v/>
      </c>
      <c r="AZ173" s="86">
        <f>IF($C173="","",IF(HSCEI!$F$28="HKD","",HSCEI!$F$28))</f>
        <v/>
      </c>
    </row>
    <row r="174">
      <c r="B174" s="66" t="inlineStr">
        <is>
          <t>HSCEI</t>
        </is>
      </c>
      <c r="C174" s="8">
        <f>IF(HSCEI!$C$29="","",HSCEI!$C$29)</f>
        <v/>
      </c>
      <c r="D174" s="8">
        <f>IF($C174="","",HSCEI!$D$29)</f>
        <v/>
      </c>
      <c r="E174" s="8">
        <f>IF($C174="","",HSCEI!$E$29)</f>
        <v/>
      </c>
      <c r="F174" s="131">
        <f>IF($C174="","",SUMPRODUCT(('Dvd Calendar'!$E$1803:$AR$1803&gt;=DATE(YEAR_Y-5,1,1))*('Dvd Calendar'!$E$1803:$AR$1803&lt;=DATE(YEAR_Y-5,12,31))*'Dvd Calendar'!$E$1806:$AR$1806*(('Dvd Calendar'!$E$1808:$AR$1808=TYPE1)*(TYPE1&lt;&gt;"")+('Dvd Calendar'!$E$1808:$AR$1808=TYPE2)*(TYPE2&lt;&gt;"")+('Dvd Calendar'!$E$1808:$AR$1808=TYPE3)*(TYPE3&lt;&gt;"")+('Dvd Calendar'!$E$1808:$AR$1808=TYPE4)*(TYPE4&lt;&gt;"")+('Dvd Calendar'!$E$1808:$AR$1808=SPECIAL_LBL)*(INC_SPECIALS="Y"))))</f>
        <v/>
      </c>
      <c r="G174" s="132">
        <f>IF($C174="","",SUMPRODUCT(('Dvd Calendar'!$E$1803:$AR$1803&gt;=DATE(YEAR_Y-4,1,1))*('Dvd Calendar'!$E$1803:$AR$1803&lt;=DATE(YEAR_Y-4,12,31))*'Dvd Calendar'!$E$1806:$AR$1806*(('Dvd Calendar'!$E$1808:$AR$1808=TYPE1)*(TYPE1&lt;&gt;"")+('Dvd Calendar'!$E$1808:$AR$1808=TYPE2)*(TYPE2&lt;&gt;"")+('Dvd Calendar'!$E$1808:$AR$1808=TYPE3)*(TYPE3&lt;&gt;"")+('Dvd Calendar'!$E$1808:$AR$1808=TYPE4)*(TYPE4&lt;&gt;"")+('Dvd Calendar'!$E$1808:$AR$1808=SPECIAL_LBL)*(INC_SPECIALS="Y"))))</f>
        <v/>
      </c>
      <c r="H174" s="132">
        <f>IF($C174="","",SUMPRODUCT(('Dvd Calendar'!$E$1803:$AR$1803&gt;=DATE(YEAR_Y-3,1,1))*('Dvd Calendar'!$E$1803:$AR$1803&lt;=DATE(YEAR_Y-3,12,31))*'Dvd Calendar'!$E$1806:$AR$1806*(('Dvd Calendar'!$E$1808:$AR$1808=TYPE1)*(TYPE1&lt;&gt;"")+('Dvd Calendar'!$E$1808:$AR$1808=TYPE2)*(TYPE2&lt;&gt;"")+('Dvd Calendar'!$E$1808:$AR$1808=TYPE3)*(TYPE3&lt;&gt;"")+('Dvd Calendar'!$E$1808:$AR$1808=TYPE4)*(TYPE4&lt;&gt;"")+('Dvd Calendar'!$E$1808:$AR$1808=SPECIAL_LBL)*(INC_SPECIALS="Y"))))</f>
        <v/>
      </c>
      <c r="I174" s="132">
        <f>IF($C174="","",SUMPRODUCT(('Dvd Calendar'!$E$1803:$AR$1803&gt;=DATE(YEAR_Y-2,1,1))*('Dvd Calendar'!$E$1803:$AR$1803&lt;=DATE(YEAR_Y-2,12,31))*'Dvd Calendar'!$E$1806:$AR$1806*(('Dvd Calendar'!$E$1808:$AR$1808=TYPE1)*(TYPE1&lt;&gt;"")+('Dvd Calendar'!$E$1808:$AR$1808=TYPE2)*(TYPE2&lt;&gt;"")+('Dvd Calendar'!$E$1808:$AR$1808=TYPE3)*(TYPE3&lt;&gt;"")+('Dvd Calendar'!$E$1808:$AR$1808=TYPE4)*(TYPE4&lt;&gt;"")+('Dvd Calendar'!$E$1808:$AR$1808=SPECIAL_LBL)*(INC_SPECIALS="Y"))))</f>
        <v/>
      </c>
      <c r="J174" s="132">
        <f>IF($C174="","",SUMPRODUCT(('Dvd Calendar'!$E$1803:$AR$1803&gt;=DATE(YEAR_Y-1,1,1))*('Dvd Calendar'!$E$1803:$AR$1803&lt;=DATE(YEAR_Y-1,12,31))*'Dvd Calendar'!$E$1806:$AR$1806*(('Dvd Calendar'!$E$1808:$AR$1808=TYPE1)*(TYPE1&lt;&gt;"")+('Dvd Calendar'!$E$1808:$AR$1808=TYPE2)*(TYPE2&lt;&gt;"")+('Dvd Calendar'!$E$1808:$AR$1808=TYPE3)*(TYPE3&lt;&gt;"")+('Dvd Calendar'!$E$1808:$AR$1808=TYPE4)*(TYPE4&lt;&gt;"")+('Dvd Calendar'!$E$1808:$AR$1808=SPECIAL_LBL)*(INC_SPECIALS="Y"))))</f>
        <v/>
      </c>
      <c r="K174" s="133">
        <f>IF($C174="","",HSCEI!$J$29)</f>
        <v/>
      </c>
      <c r="L174" s="133">
        <f>IF($C174="","",HSCEI!$K$29)</f>
        <v/>
      </c>
      <c r="M174" s="124">
        <f>IF($C174="","",HSCEI!$J$29+HSCEI!$L$29)</f>
        <v/>
      </c>
      <c r="N174" s="134">
        <f>IF($C174="","",IF(PULL_FUND="N","",IFERROR(BDP($C174,BESTDPS_FIELD,FWD_OVERRIDE,TEXT(MOD(YEAR_Y,100),"00")&amp;"Y"),"")))</f>
        <v/>
      </c>
      <c r="O174" s="133">
        <f>IF($C174="","",AVERAGE(F174:J174))</f>
        <v/>
      </c>
      <c r="P174" s="135">
        <f>IF($C174="","",IF(PULL_FUND="N","",IF(COUNTIFS('Fund History'!$J$988:$J$992,"&gt;="&amp;DATE(YEAR_Y-5,1,1),'Fund History'!$J$988:$J$992,"&lt;="&amp;DATE(YEAR_Y-5,12,31))=0,"",IFERROR($F174*HSCEI!$G$29/SUMIFS('Fund History'!$K$988:$K$992,'Fund History'!$J$988:$J$992,"&gt;="&amp;DATE(YEAR_Y-5,1,1),'Fund History'!$J$988:$J$992,"&lt;="&amp;DATE(YEAR_Y-5,12,31)),""))))</f>
        <v/>
      </c>
      <c r="Q174" s="136">
        <f>IF($C174="","",IF(PULL_FUND="N","",IF(COUNTIFS('Fund History'!$J$988:$J$992,"&gt;="&amp;DATE(YEAR_Y-4,1,1),'Fund History'!$J$988:$J$992,"&lt;="&amp;DATE(YEAR_Y-4,12,31))=0,"",IFERROR($G174*HSCEI!$G$29/SUMIFS('Fund History'!$K$988:$K$992,'Fund History'!$J$988:$J$992,"&gt;="&amp;DATE(YEAR_Y-4,1,1),'Fund History'!$J$988:$J$992,"&lt;="&amp;DATE(YEAR_Y-4,12,31)),""))))</f>
        <v/>
      </c>
      <c r="R174" s="136">
        <f>IF($C174="","",IF(PULL_FUND="N","",IF(COUNTIFS('Fund History'!$J$988:$J$992,"&gt;="&amp;DATE(YEAR_Y-3,1,1),'Fund History'!$J$988:$J$992,"&lt;="&amp;DATE(YEAR_Y-3,12,31))=0,"",IFERROR($H174*HSCEI!$G$29/SUMIFS('Fund History'!$K$988:$K$992,'Fund History'!$J$988:$J$992,"&gt;="&amp;DATE(YEAR_Y-3,1,1),'Fund History'!$J$988:$J$992,"&lt;="&amp;DATE(YEAR_Y-3,12,31)),""))))</f>
        <v/>
      </c>
      <c r="S174" s="136">
        <f>IF($C174="","",IF(PULL_FUND="N","",IF(COUNTIFS('Fund History'!$J$988:$J$992,"&gt;="&amp;DATE(YEAR_Y-2,1,1),'Fund History'!$J$988:$J$992,"&lt;="&amp;DATE(YEAR_Y-2,12,31))=0,"",IFERROR($I174*HSCEI!$G$29/SUMIFS('Fund History'!$K$988:$K$992,'Fund History'!$J$988:$J$992,"&gt;="&amp;DATE(YEAR_Y-2,1,1),'Fund History'!$J$988:$J$992,"&lt;="&amp;DATE(YEAR_Y-2,12,31)),""))))</f>
        <v/>
      </c>
      <c r="T174" s="136">
        <f>IF($C174="","",IF(PULL_FUND="N","",IF(COUNTIFS('Fund History'!$J$988:$J$992,"&gt;="&amp;DATE(YEAR_Y-1,1,1),'Fund History'!$J$988:$J$992,"&lt;="&amp;DATE(YEAR_Y-1,12,31))=0,"",IFERROR($J174*HSCEI!$G$29/SUMIFS('Fund History'!$K$988:$K$992,'Fund History'!$J$988:$J$992,"&gt;="&amp;DATE(YEAR_Y-1,1,1),'Fund History'!$J$988:$J$992,"&lt;="&amp;DATE(YEAR_Y-1,12,31)),""))))</f>
        <v/>
      </c>
      <c r="U174" s="137">
        <f>IF($C174="","",IF(ISNUMBER(HSCEI!$I$29),HSCEI!$I$29/100,""))</f>
        <v/>
      </c>
      <c r="V174" s="138">
        <f>IF($C174="","",IF(ISNUMBER(HSCEI!$X$29),IFERROR($M174*HSCEI!$G$29/HSCEI!$X$29,""),""))</f>
        <v/>
      </c>
      <c r="W174" s="137">
        <f>IF($C174="","",IF(ISNUMBER($N174),IFERROR($N174*HSCEI!$G$29/HSCEI!$X$29,""),""))</f>
        <v/>
      </c>
      <c r="X174" s="139">
        <f>IF($C174="","",IF(PULL_FUND="N","",IFERROR(BDP($C174,EPS_FIELD,YR_OVERRIDE,TEXT(YEAR_Y-5,"0")),"")))</f>
        <v/>
      </c>
      <c r="Y174" s="140">
        <f>IF($C174="","",IF(PULL_FUND="N","",IFERROR(BDP($C174,EPS_FIELD,YR_OVERRIDE,TEXT(YEAR_Y-4,"0")),"")))</f>
        <v/>
      </c>
      <c r="Z174" s="140">
        <f>IF($C174="","",IF(PULL_FUND="N","",IFERROR(BDP($C174,EPS_FIELD,YR_OVERRIDE,TEXT(YEAR_Y-3,"0")),"")))</f>
        <v/>
      </c>
      <c r="AA174" s="140">
        <f>IF($C174="","",IF(PULL_FUND="N","",IFERROR(BDP($C174,EPS_FIELD,YR_OVERRIDE,TEXT(YEAR_Y-2,"0")),"")))</f>
        <v/>
      </c>
      <c r="AB174" s="140">
        <f>IF($C174="","",IF(PULL_FUND="N","",IFERROR(BDP($C174,EPS_FIELD,YR_OVERRIDE,TEXT(YEAR_Y-1,"0")),"")))</f>
        <v/>
      </c>
      <c r="AC174" s="126">
        <f>IF($C174="","",IFERROR(AVERAGE(X174:AB174),""))</f>
        <v/>
      </c>
      <c r="AD174" s="140">
        <f>IF($C174="","",IF(PULL_FUND="N","",IFERROR(BDP($C174,BESTEPS_FIELD,FWD_OVERRIDE,TEXT(MOD(YEAR_Y,100),"00")&amp;"Y"),"")))</f>
        <v/>
      </c>
      <c r="AE174" s="141">
        <f>IF($C174="","",IF(PULL_FUND="N","",IFERROR(BDP($C174,PAYOUT_FIELD,YR_OVERRIDE,TEXT(YEAR_Y-5,"0"))/100,"")))</f>
        <v/>
      </c>
      <c r="AF174" s="142">
        <f>IF($C174="","",IF(PULL_FUND="N","",IFERROR(BDP($C174,PAYOUT_FIELD,YR_OVERRIDE,TEXT(YEAR_Y-4,"0"))/100,"")))</f>
        <v/>
      </c>
      <c r="AG174" s="142">
        <f>IF($C174="","",IF(PULL_FUND="N","",IFERROR(BDP($C174,PAYOUT_FIELD,YR_OVERRIDE,TEXT(YEAR_Y-3,"0"))/100,"")))</f>
        <v/>
      </c>
      <c r="AH174" s="142">
        <f>IF($C174="","",IF(PULL_FUND="N","",IFERROR(BDP($C174,PAYOUT_FIELD,YR_OVERRIDE,TEXT(YEAR_Y-2,"0"))/100,"")))</f>
        <v/>
      </c>
      <c r="AI174" s="142">
        <f>IF($C174="","",IF(PULL_FUND="N","",IFERROR(BDP($C174,PAYOUT_FIELD,YR_OVERRIDE,TEXT(YEAR_Y-1,"0"))/100,"")))</f>
        <v/>
      </c>
      <c r="AJ174" s="143">
        <f>IF($C174="","",IFERROR(AVERAGE(AE174:AI174),""))</f>
        <v/>
      </c>
      <c r="AK174" s="144">
        <f>IF($C174="","",IF(ISNUMBER($AD174)*ISNUMBER($N174)*($AD174&lt;&gt;0)=0,"",$N174/$AD174))</f>
        <v/>
      </c>
      <c r="AL174" s="143">
        <f>IF($C174="","",IF(ISNUMBER($AD174)*($AD174&lt;&gt;0)=0,"",$M174/$AD174))</f>
        <v/>
      </c>
      <c r="AM174" s="37">
        <f>IF($C174="","",IF(ISNUMBER($AE174)*ISNUMBER($AI174)=0,"",IF($AI174&gt;$AE174+0.05,"rising",IF($AI174&lt;$AE174-0.05,"falling","stable"))))</f>
        <v/>
      </c>
      <c r="AN174" s="145">
        <f>IF($C174="","",IF(PULL_FUND="N","",IF(COUNTIFS('Fund History'!$G$988:$G$992,"&gt;="&amp;DATE(YEAR_Y-4,1,1),'Fund History'!$G$988:$G$992,"&lt;="&amp;DATE(YEAR_Y-4,12,31))=0,"",SUMIFS('Fund History'!$H$988:$H$992,'Fund History'!$G$988:$G$992,"&gt;="&amp;DATE(YEAR_Y-4,1,1),'Fund History'!$G$988:$G$992,"&lt;="&amp;DATE(YEAR_Y-4,12,31))/100)))</f>
        <v/>
      </c>
      <c r="AO174" s="146">
        <f>IF($C174="","",IF(PULL_FUND="N","",IF(COUNTIFS('Fund History'!$G$988:$G$992,"&gt;="&amp;DATE(YEAR_Y-3,1,1),'Fund History'!$G$988:$G$992,"&lt;="&amp;DATE(YEAR_Y-3,12,31))=0,"",SUMIFS('Fund History'!$H$988:$H$992,'Fund History'!$G$988:$G$992,"&gt;="&amp;DATE(YEAR_Y-3,1,1),'Fund History'!$G$988:$G$992,"&lt;="&amp;DATE(YEAR_Y-3,12,31))/100)))</f>
        <v/>
      </c>
      <c r="AP174" s="146">
        <f>IF($C174="","",IF(PULL_FUND="N","",IF(COUNTIFS('Fund History'!$G$988:$G$992,"&gt;="&amp;DATE(YEAR_Y-2,1,1),'Fund History'!$G$988:$G$992,"&lt;="&amp;DATE(YEAR_Y-2,12,31))=0,"",SUMIFS('Fund History'!$H$988:$H$992,'Fund History'!$G$988:$G$992,"&gt;="&amp;DATE(YEAR_Y-2,1,1),'Fund History'!$G$988:$G$992,"&lt;="&amp;DATE(YEAR_Y-2,12,31))/100)))</f>
        <v/>
      </c>
      <c r="AQ174" s="146">
        <f>IF($C174="","",IF(PULL_FUND="N","",IF(COUNTIFS('Fund History'!$G$988:$G$992,"&gt;="&amp;DATE(YEAR_Y-1,1,1),'Fund History'!$G$988:$G$992,"&lt;="&amp;DATE(YEAR_Y-1,12,31))=0,"",SUMIFS('Fund History'!$H$988:$H$992,'Fund History'!$G$988:$G$992,"&gt;="&amp;DATE(YEAR_Y-1,1,1),'Fund History'!$G$988:$G$992,"&lt;="&amp;DATE(YEAR_Y-1,12,31))/100)))</f>
        <v/>
      </c>
      <c r="AR174" s="147">
        <f>IF($C174="","",IF(N($AQ174)+N(HSCEI!$I$29)=0,"",N($AQ174)+N(HSCEI!$I$29)/100))</f>
        <v/>
      </c>
      <c r="AS174" s="139">
        <f>IF($C174="","",IF(PULL_FUND="N","",IF(COUNTIFS('Fund History'!$D$988:$D$992,"&gt;="&amp;DATE(YEAR_Y-2,1,1),'Fund History'!$D$988:$D$992,"&lt;="&amp;DATE(YEAR_Y-2,12,31))=0,"",SUMIFS('Fund History'!$E$988:$E$992,'Fund History'!$D$988:$D$992,"&gt;="&amp;DATE(YEAR_Y-2,1,1),'Fund History'!$D$988:$D$992,"&lt;="&amp;DATE(YEAR_Y-2,12,31)))))</f>
        <v/>
      </c>
      <c r="AT174" s="140">
        <f>IF($C174="","",IF(PULL_FUND="N","",IF(COUNTIFS('Fund History'!$D$988:$D$992,"&gt;="&amp;DATE(YEAR_Y-1,1,1),'Fund History'!$D$988:$D$992,"&lt;="&amp;DATE(YEAR_Y-1,12,31))=0,"",SUMIFS('Fund History'!$E$988:$E$992,'Fund History'!$D$988:$D$992,"&gt;="&amp;DATE(YEAR_Y-1,1,1),'Fund History'!$D$988:$D$992,"&lt;="&amp;DATE(YEAR_Y-1,12,31)))))</f>
        <v/>
      </c>
      <c r="AU174" s="140">
        <f>IF($C174="","",IF(PULL_FUND="N","",IFERROR(BDP($C174,NDEBITDA_FIELD),"")))</f>
        <v/>
      </c>
      <c r="AV174" s="148">
        <f>IF($C174="","",IF(PULL_FUND="N","",IFERROR(BDP($C174,EBINT_FIELD),"")))</f>
        <v/>
      </c>
      <c r="AW174" s="146">
        <f>IF($C174="","",IF(PULL_FUND="N","",IFERROR(BDP($C174,FCF_FIELD)/100,"")))</f>
        <v/>
      </c>
      <c r="AX174" s="126">
        <f>IF($C174="","",IF(N($U174)=0,"",IFERROR($AW174/$U174,"")))</f>
        <v/>
      </c>
      <c r="AY174" s="85">
        <f>IF($C174="","",TRIM(IF(ISNUMBER($AJ174)*(N($AJ174)&gt;$D$4)&gt;0,"payout high  ","")&amp;IF(ISNUMBER($AX174)*(N($AX174)&lt;$F$4)&gt;0,"FCF below dvd  ","")&amp;IF(ISNUMBER($AU174)*(N($AU174)&gt;$H$4)&gt;0,"leverage high","")))</f>
        <v/>
      </c>
      <c r="AZ174" s="86">
        <f>IF($C174="","",IF(HSCEI!$F$29="HKD","",HSCEI!$F$29))</f>
        <v/>
      </c>
    </row>
    <row r="175">
      <c r="B175" s="66" t="inlineStr">
        <is>
          <t>HSCEI</t>
        </is>
      </c>
      <c r="C175" s="8">
        <f>IF(HSCEI!$C$30="","",HSCEI!$C$30)</f>
        <v/>
      </c>
      <c r="D175" s="8">
        <f>IF($C175="","",HSCEI!$D$30)</f>
        <v/>
      </c>
      <c r="E175" s="8">
        <f>IF($C175="","",HSCEI!$E$30)</f>
        <v/>
      </c>
      <c r="F175" s="131">
        <f>IF($C175="","",SUMPRODUCT(('Dvd Calendar'!$E$1814:$AR$1814&gt;=DATE(YEAR_Y-5,1,1))*('Dvd Calendar'!$E$1814:$AR$1814&lt;=DATE(YEAR_Y-5,12,31))*'Dvd Calendar'!$E$1817:$AR$1817*(('Dvd Calendar'!$E$1819:$AR$1819=TYPE1)*(TYPE1&lt;&gt;"")+('Dvd Calendar'!$E$1819:$AR$1819=TYPE2)*(TYPE2&lt;&gt;"")+('Dvd Calendar'!$E$1819:$AR$1819=TYPE3)*(TYPE3&lt;&gt;"")+('Dvd Calendar'!$E$1819:$AR$1819=TYPE4)*(TYPE4&lt;&gt;"")+('Dvd Calendar'!$E$1819:$AR$1819=SPECIAL_LBL)*(INC_SPECIALS="Y"))))</f>
        <v/>
      </c>
      <c r="G175" s="132">
        <f>IF($C175="","",SUMPRODUCT(('Dvd Calendar'!$E$1814:$AR$1814&gt;=DATE(YEAR_Y-4,1,1))*('Dvd Calendar'!$E$1814:$AR$1814&lt;=DATE(YEAR_Y-4,12,31))*'Dvd Calendar'!$E$1817:$AR$1817*(('Dvd Calendar'!$E$1819:$AR$1819=TYPE1)*(TYPE1&lt;&gt;"")+('Dvd Calendar'!$E$1819:$AR$1819=TYPE2)*(TYPE2&lt;&gt;"")+('Dvd Calendar'!$E$1819:$AR$1819=TYPE3)*(TYPE3&lt;&gt;"")+('Dvd Calendar'!$E$1819:$AR$1819=TYPE4)*(TYPE4&lt;&gt;"")+('Dvd Calendar'!$E$1819:$AR$1819=SPECIAL_LBL)*(INC_SPECIALS="Y"))))</f>
        <v/>
      </c>
      <c r="H175" s="132">
        <f>IF($C175="","",SUMPRODUCT(('Dvd Calendar'!$E$1814:$AR$1814&gt;=DATE(YEAR_Y-3,1,1))*('Dvd Calendar'!$E$1814:$AR$1814&lt;=DATE(YEAR_Y-3,12,31))*'Dvd Calendar'!$E$1817:$AR$1817*(('Dvd Calendar'!$E$1819:$AR$1819=TYPE1)*(TYPE1&lt;&gt;"")+('Dvd Calendar'!$E$1819:$AR$1819=TYPE2)*(TYPE2&lt;&gt;"")+('Dvd Calendar'!$E$1819:$AR$1819=TYPE3)*(TYPE3&lt;&gt;"")+('Dvd Calendar'!$E$1819:$AR$1819=TYPE4)*(TYPE4&lt;&gt;"")+('Dvd Calendar'!$E$1819:$AR$1819=SPECIAL_LBL)*(INC_SPECIALS="Y"))))</f>
        <v/>
      </c>
      <c r="I175" s="132">
        <f>IF($C175="","",SUMPRODUCT(('Dvd Calendar'!$E$1814:$AR$1814&gt;=DATE(YEAR_Y-2,1,1))*('Dvd Calendar'!$E$1814:$AR$1814&lt;=DATE(YEAR_Y-2,12,31))*'Dvd Calendar'!$E$1817:$AR$1817*(('Dvd Calendar'!$E$1819:$AR$1819=TYPE1)*(TYPE1&lt;&gt;"")+('Dvd Calendar'!$E$1819:$AR$1819=TYPE2)*(TYPE2&lt;&gt;"")+('Dvd Calendar'!$E$1819:$AR$1819=TYPE3)*(TYPE3&lt;&gt;"")+('Dvd Calendar'!$E$1819:$AR$1819=TYPE4)*(TYPE4&lt;&gt;"")+('Dvd Calendar'!$E$1819:$AR$1819=SPECIAL_LBL)*(INC_SPECIALS="Y"))))</f>
        <v/>
      </c>
      <c r="J175" s="132">
        <f>IF($C175="","",SUMPRODUCT(('Dvd Calendar'!$E$1814:$AR$1814&gt;=DATE(YEAR_Y-1,1,1))*('Dvd Calendar'!$E$1814:$AR$1814&lt;=DATE(YEAR_Y-1,12,31))*'Dvd Calendar'!$E$1817:$AR$1817*(('Dvd Calendar'!$E$1819:$AR$1819=TYPE1)*(TYPE1&lt;&gt;"")+('Dvd Calendar'!$E$1819:$AR$1819=TYPE2)*(TYPE2&lt;&gt;"")+('Dvd Calendar'!$E$1819:$AR$1819=TYPE3)*(TYPE3&lt;&gt;"")+('Dvd Calendar'!$E$1819:$AR$1819=TYPE4)*(TYPE4&lt;&gt;"")+('Dvd Calendar'!$E$1819:$AR$1819=SPECIAL_LBL)*(INC_SPECIALS="Y"))))</f>
        <v/>
      </c>
      <c r="K175" s="133">
        <f>IF($C175="","",HSCEI!$J$30)</f>
        <v/>
      </c>
      <c r="L175" s="133">
        <f>IF($C175="","",HSCEI!$K$30)</f>
        <v/>
      </c>
      <c r="M175" s="124">
        <f>IF($C175="","",HSCEI!$J$30+HSCEI!$L$30)</f>
        <v/>
      </c>
      <c r="N175" s="134">
        <f>IF($C175="","",IF(PULL_FUND="N","",IFERROR(BDP($C175,BESTDPS_FIELD,FWD_OVERRIDE,TEXT(MOD(YEAR_Y,100),"00")&amp;"Y"),"")))</f>
        <v/>
      </c>
      <c r="O175" s="133">
        <f>IF($C175="","",AVERAGE(F175:J175))</f>
        <v/>
      </c>
      <c r="P175" s="135">
        <f>IF($C175="","",IF(PULL_FUND="N","",IF(COUNTIFS('Fund History'!$J$994:$J$998,"&gt;="&amp;DATE(YEAR_Y-5,1,1),'Fund History'!$J$994:$J$998,"&lt;="&amp;DATE(YEAR_Y-5,12,31))=0,"",IFERROR($F175*HSCEI!$G$30/SUMIFS('Fund History'!$K$994:$K$998,'Fund History'!$J$994:$J$998,"&gt;="&amp;DATE(YEAR_Y-5,1,1),'Fund History'!$J$994:$J$998,"&lt;="&amp;DATE(YEAR_Y-5,12,31)),""))))</f>
        <v/>
      </c>
      <c r="Q175" s="136">
        <f>IF($C175="","",IF(PULL_FUND="N","",IF(COUNTIFS('Fund History'!$J$994:$J$998,"&gt;="&amp;DATE(YEAR_Y-4,1,1),'Fund History'!$J$994:$J$998,"&lt;="&amp;DATE(YEAR_Y-4,12,31))=0,"",IFERROR($G175*HSCEI!$G$30/SUMIFS('Fund History'!$K$994:$K$998,'Fund History'!$J$994:$J$998,"&gt;="&amp;DATE(YEAR_Y-4,1,1),'Fund History'!$J$994:$J$998,"&lt;="&amp;DATE(YEAR_Y-4,12,31)),""))))</f>
        <v/>
      </c>
      <c r="R175" s="136">
        <f>IF($C175="","",IF(PULL_FUND="N","",IF(COUNTIFS('Fund History'!$J$994:$J$998,"&gt;="&amp;DATE(YEAR_Y-3,1,1),'Fund History'!$J$994:$J$998,"&lt;="&amp;DATE(YEAR_Y-3,12,31))=0,"",IFERROR($H175*HSCEI!$G$30/SUMIFS('Fund History'!$K$994:$K$998,'Fund History'!$J$994:$J$998,"&gt;="&amp;DATE(YEAR_Y-3,1,1),'Fund History'!$J$994:$J$998,"&lt;="&amp;DATE(YEAR_Y-3,12,31)),""))))</f>
        <v/>
      </c>
      <c r="S175" s="136">
        <f>IF($C175="","",IF(PULL_FUND="N","",IF(COUNTIFS('Fund History'!$J$994:$J$998,"&gt;="&amp;DATE(YEAR_Y-2,1,1),'Fund History'!$J$994:$J$998,"&lt;="&amp;DATE(YEAR_Y-2,12,31))=0,"",IFERROR($I175*HSCEI!$G$30/SUMIFS('Fund History'!$K$994:$K$998,'Fund History'!$J$994:$J$998,"&gt;="&amp;DATE(YEAR_Y-2,1,1),'Fund History'!$J$994:$J$998,"&lt;="&amp;DATE(YEAR_Y-2,12,31)),""))))</f>
        <v/>
      </c>
      <c r="T175" s="136">
        <f>IF($C175="","",IF(PULL_FUND="N","",IF(COUNTIFS('Fund History'!$J$994:$J$998,"&gt;="&amp;DATE(YEAR_Y-1,1,1),'Fund History'!$J$994:$J$998,"&lt;="&amp;DATE(YEAR_Y-1,12,31))=0,"",IFERROR($J175*HSCEI!$G$30/SUMIFS('Fund History'!$K$994:$K$998,'Fund History'!$J$994:$J$998,"&gt;="&amp;DATE(YEAR_Y-1,1,1),'Fund History'!$J$994:$J$998,"&lt;="&amp;DATE(YEAR_Y-1,12,31)),""))))</f>
        <v/>
      </c>
      <c r="U175" s="137">
        <f>IF($C175="","",IF(ISNUMBER(HSCEI!$I$30),HSCEI!$I$30/100,""))</f>
        <v/>
      </c>
      <c r="V175" s="138">
        <f>IF($C175="","",IF(ISNUMBER(HSCEI!$X$30),IFERROR($M175*HSCEI!$G$30/HSCEI!$X$30,""),""))</f>
        <v/>
      </c>
      <c r="W175" s="137">
        <f>IF($C175="","",IF(ISNUMBER($N175),IFERROR($N175*HSCEI!$G$30/HSCEI!$X$30,""),""))</f>
        <v/>
      </c>
      <c r="X175" s="139">
        <f>IF($C175="","",IF(PULL_FUND="N","",IFERROR(BDP($C175,EPS_FIELD,YR_OVERRIDE,TEXT(YEAR_Y-5,"0")),"")))</f>
        <v/>
      </c>
      <c r="Y175" s="140">
        <f>IF($C175="","",IF(PULL_FUND="N","",IFERROR(BDP($C175,EPS_FIELD,YR_OVERRIDE,TEXT(YEAR_Y-4,"0")),"")))</f>
        <v/>
      </c>
      <c r="Z175" s="140">
        <f>IF($C175="","",IF(PULL_FUND="N","",IFERROR(BDP($C175,EPS_FIELD,YR_OVERRIDE,TEXT(YEAR_Y-3,"0")),"")))</f>
        <v/>
      </c>
      <c r="AA175" s="140">
        <f>IF($C175="","",IF(PULL_FUND="N","",IFERROR(BDP($C175,EPS_FIELD,YR_OVERRIDE,TEXT(YEAR_Y-2,"0")),"")))</f>
        <v/>
      </c>
      <c r="AB175" s="140">
        <f>IF($C175="","",IF(PULL_FUND="N","",IFERROR(BDP($C175,EPS_FIELD,YR_OVERRIDE,TEXT(YEAR_Y-1,"0")),"")))</f>
        <v/>
      </c>
      <c r="AC175" s="126">
        <f>IF($C175="","",IFERROR(AVERAGE(X175:AB175),""))</f>
        <v/>
      </c>
      <c r="AD175" s="140">
        <f>IF($C175="","",IF(PULL_FUND="N","",IFERROR(BDP($C175,BESTEPS_FIELD,FWD_OVERRIDE,TEXT(MOD(YEAR_Y,100),"00")&amp;"Y"),"")))</f>
        <v/>
      </c>
      <c r="AE175" s="141">
        <f>IF($C175="","",IF(PULL_FUND="N","",IFERROR(BDP($C175,PAYOUT_FIELD,YR_OVERRIDE,TEXT(YEAR_Y-5,"0"))/100,"")))</f>
        <v/>
      </c>
      <c r="AF175" s="142">
        <f>IF($C175="","",IF(PULL_FUND="N","",IFERROR(BDP($C175,PAYOUT_FIELD,YR_OVERRIDE,TEXT(YEAR_Y-4,"0"))/100,"")))</f>
        <v/>
      </c>
      <c r="AG175" s="142">
        <f>IF($C175="","",IF(PULL_FUND="N","",IFERROR(BDP($C175,PAYOUT_FIELD,YR_OVERRIDE,TEXT(YEAR_Y-3,"0"))/100,"")))</f>
        <v/>
      </c>
      <c r="AH175" s="142">
        <f>IF($C175="","",IF(PULL_FUND="N","",IFERROR(BDP($C175,PAYOUT_FIELD,YR_OVERRIDE,TEXT(YEAR_Y-2,"0"))/100,"")))</f>
        <v/>
      </c>
      <c r="AI175" s="142">
        <f>IF($C175="","",IF(PULL_FUND="N","",IFERROR(BDP($C175,PAYOUT_FIELD,YR_OVERRIDE,TEXT(YEAR_Y-1,"0"))/100,"")))</f>
        <v/>
      </c>
      <c r="AJ175" s="143">
        <f>IF($C175="","",IFERROR(AVERAGE(AE175:AI175),""))</f>
        <v/>
      </c>
      <c r="AK175" s="144">
        <f>IF($C175="","",IF(ISNUMBER($AD175)*ISNUMBER($N175)*($AD175&lt;&gt;0)=0,"",$N175/$AD175))</f>
        <v/>
      </c>
      <c r="AL175" s="143">
        <f>IF($C175="","",IF(ISNUMBER($AD175)*($AD175&lt;&gt;0)=0,"",$M175/$AD175))</f>
        <v/>
      </c>
      <c r="AM175" s="37">
        <f>IF($C175="","",IF(ISNUMBER($AE175)*ISNUMBER($AI175)=0,"",IF($AI175&gt;$AE175+0.05,"rising",IF($AI175&lt;$AE175-0.05,"falling","stable"))))</f>
        <v/>
      </c>
      <c r="AN175" s="145">
        <f>IF($C175="","",IF(PULL_FUND="N","",IF(COUNTIFS('Fund History'!$G$994:$G$998,"&gt;="&amp;DATE(YEAR_Y-4,1,1),'Fund History'!$G$994:$G$998,"&lt;="&amp;DATE(YEAR_Y-4,12,31))=0,"",SUMIFS('Fund History'!$H$994:$H$998,'Fund History'!$G$994:$G$998,"&gt;="&amp;DATE(YEAR_Y-4,1,1),'Fund History'!$G$994:$G$998,"&lt;="&amp;DATE(YEAR_Y-4,12,31))/100)))</f>
        <v/>
      </c>
      <c r="AO175" s="146">
        <f>IF($C175="","",IF(PULL_FUND="N","",IF(COUNTIFS('Fund History'!$G$994:$G$998,"&gt;="&amp;DATE(YEAR_Y-3,1,1),'Fund History'!$G$994:$G$998,"&lt;="&amp;DATE(YEAR_Y-3,12,31))=0,"",SUMIFS('Fund History'!$H$994:$H$998,'Fund History'!$G$994:$G$998,"&gt;="&amp;DATE(YEAR_Y-3,1,1),'Fund History'!$G$994:$G$998,"&lt;="&amp;DATE(YEAR_Y-3,12,31))/100)))</f>
        <v/>
      </c>
      <c r="AP175" s="146">
        <f>IF($C175="","",IF(PULL_FUND="N","",IF(COUNTIFS('Fund History'!$G$994:$G$998,"&gt;="&amp;DATE(YEAR_Y-2,1,1),'Fund History'!$G$994:$G$998,"&lt;="&amp;DATE(YEAR_Y-2,12,31))=0,"",SUMIFS('Fund History'!$H$994:$H$998,'Fund History'!$G$994:$G$998,"&gt;="&amp;DATE(YEAR_Y-2,1,1),'Fund History'!$G$994:$G$998,"&lt;="&amp;DATE(YEAR_Y-2,12,31))/100)))</f>
        <v/>
      </c>
      <c r="AQ175" s="146">
        <f>IF($C175="","",IF(PULL_FUND="N","",IF(COUNTIFS('Fund History'!$G$994:$G$998,"&gt;="&amp;DATE(YEAR_Y-1,1,1),'Fund History'!$G$994:$G$998,"&lt;="&amp;DATE(YEAR_Y-1,12,31))=0,"",SUMIFS('Fund History'!$H$994:$H$998,'Fund History'!$G$994:$G$998,"&gt;="&amp;DATE(YEAR_Y-1,1,1),'Fund History'!$G$994:$G$998,"&lt;="&amp;DATE(YEAR_Y-1,12,31))/100)))</f>
        <v/>
      </c>
      <c r="AR175" s="147">
        <f>IF($C175="","",IF(N($AQ175)+N(HSCEI!$I$30)=0,"",N($AQ175)+N(HSCEI!$I$30)/100))</f>
        <v/>
      </c>
      <c r="AS175" s="139">
        <f>IF($C175="","",IF(PULL_FUND="N","",IF(COUNTIFS('Fund History'!$D$994:$D$998,"&gt;="&amp;DATE(YEAR_Y-2,1,1),'Fund History'!$D$994:$D$998,"&lt;="&amp;DATE(YEAR_Y-2,12,31))=0,"",SUMIFS('Fund History'!$E$994:$E$998,'Fund History'!$D$994:$D$998,"&gt;="&amp;DATE(YEAR_Y-2,1,1),'Fund History'!$D$994:$D$998,"&lt;="&amp;DATE(YEAR_Y-2,12,31)))))</f>
        <v/>
      </c>
      <c r="AT175" s="140">
        <f>IF($C175="","",IF(PULL_FUND="N","",IF(COUNTIFS('Fund History'!$D$994:$D$998,"&gt;="&amp;DATE(YEAR_Y-1,1,1),'Fund History'!$D$994:$D$998,"&lt;="&amp;DATE(YEAR_Y-1,12,31))=0,"",SUMIFS('Fund History'!$E$994:$E$998,'Fund History'!$D$994:$D$998,"&gt;="&amp;DATE(YEAR_Y-1,1,1),'Fund History'!$D$994:$D$998,"&lt;="&amp;DATE(YEAR_Y-1,12,31)))))</f>
        <v/>
      </c>
      <c r="AU175" s="140">
        <f>IF($C175="","",IF(PULL_FUND="N","",IFERROR(BDP($C175,NDEBITDA_FIELD),"")))</f>
        <v/>
      </c>
      <c r="AV175" s="148">
        <f>IF($C175="","",IF(PULL_FUND="N","",IFERROR(BDP($C175,EBINT_FIELD),"")))</f>
        <v/>
      </c>
      <c r="AW175" s="146">
        <f>IF($C175="","",IF(PULL_FUND="N","",IFERROR(BDP($C175,FCF_FIELD)/100,"")))</f>
        <v/>
      </c>
      <c r="AX175" s="126">
        <f>IF($C175="","",IF(N($U175)=0,"",IFERROR($AW175/$U175,"")))</f>
        <v/>
      </c>
      <c r="AY175" s="85">
        <f>IF($C175="","",TRIM(IF(ISNUMBER($AJ175)*(N($AJ175)&gt;$D$4)&gt;0,"payout high  ","")&amp;IF(ISNUMBER($AX175)*(N($AX175)&lt;$F$4)&gt;0,"FCF below dvd  ","")&amp;IF(ISNUMBER($AU175)*(N($AU175)&gt;$H$4)&gt;0,"leverage high","")))</f>
        <v/>
      </c>
      <c r="AZ175" s="86">
        <f>IF($C175="","",IF(HSCEI!$F$30="HKD","",HSCEI!$F$30))</f>
        <v/>
      </c>
    </row>
    <row r="176">
      <c r="B176" s="66" t="inlineStr">
        <is>
          <t>HSCEI</t>
        </is>
      </c>
      <c r="C176" s="8">
        <f>IF(HSCEI!$C$31="","",HSCEI!$C$31)</f>
        <v/>
      </c>
      <c r="D176" s="8">
        <f>IF($C176="","",HSCEI!$D$31)</f>
        <v/>
      </c>
      <c r="E176" s="8">
        <f>IF($C176="","",HSCEI!$E$31)</f>
        <v/>
      </c>
      <c r="F176" s="131">
        <f>IF($C176="","",SUMPRODUCT(('Dvd Calendar'!$E$1825:$AR$1825&gt;=DATE(YEAR_Y-5,1,1))*('Dvd Calendar'!$E$1825:$AR$1825&lt;=DATE(YEAR_Y-5,12,31))*'Dvd Calendar'!$E$1828:$AR$1828*(('Dvd Calendar'!$E$1830:$AR$1830=TYPE1)*(TYPE1&lt;&gt;"")+('Dvd Calendar'!$E$1830:$AR$1830=TYPE2)*(TYPE2&lt;&gt;"")+('Dvd Calendar'!$E$1830:$AR$1830=TYPE3)*(TYPE3&lt;&gt;"")+('Dvd Calendar'!$E$1830:$AR$1830=TYPE4)*(TYPE4&lt;&gt;"")+('Dvd Calendar'!$E$1830:$AR$1830=SPECIAL_LBL)*(INC_SPECIALS="Y"))))</f>
        <v/>
      </c>
      <c r="G176" s="132">
        <f>IF($C176="","",SUMPRODUCT(('Dvd Calendar'!$E$1825:$AR$1825&gt;=DATE(YEAR_Y-4,1,1))*('Dvd Calendar'!$E$1825:$AR$1825&lt;=DATE(YEAR_Y-4,12,31))*'Dvd Calendar'!$E$1828:$AR$1828*(('Dvd Calendar'!$E$1830:$AR$1830=TYPE1)*(TYPE1&lt;&gt;"")+('Dvd Calendar'!$E$1830:$AR$1830=TYPE2)*(TYPE2&lt;&gt;"")+('Dvd Calendar'!$E$1830:$AR$1830=TYPE3)*(TYPE3&lt;&gt;"")+('Dvd Calendar'!$E$1830:$AR$1830=TYPE4)*(TYPE4&lt;&gt;"")+('Dvd Calendar'!$E$1830:$AR$1830=SPECIAL_LBL)*(INC_SPECIALS="Y"))))</f>
        <v/>
      </c>
      <c r="H176" s="132">
        <f>IF($C176="","",SUMPRODUCT(('Dvd Calendar'!$E$1825:$AR$1825&gt;=DATE(YEAR_Y-3,1,1))*('Dvd Calendar'!$E$1825:$AR$1825&lt;=DATE(YEAR_Y-3,12,31))*'Dvd Calendar'!$E$1828:$AR$1828*(('Dvd Calendar'!$E$1830:$AR$1830=TYPE1)*(TYPE1&lt;&gt;"")+('Dvd Calendar'!$E$1830:$AR$1830=TYPE2)*(TYPE2&lt;&gt;"")+('Dvd Calendar'!$E$1830:$AR$1830=TYPE3)*(TYPE3&lt;&gt;"")+('Dvd Calendar'!$E$1830:$AR$1830=TYPE4)*(TYPE4&lt;&gt;"")+('Dvd Calendar'!$E$1830:$AR$1830=SPECIAL_LBL)*(INC_SPECIALS="Y"))))</f>
        <v/>
      </c>
      <c r="I176" s="132">
        <f>IF($C176="","",SUMPRODUCT(('Dvd Calendar'!$E$1825:$AR$1825&gt;=DATE(YEAR_Y-2,1,1))*('Dvd Calendar'!$E$1825:$AR$1825&lt;=DATE(YEAR_Y-2,12,31))*'Dvd Calendar'!$E$1828:$AR$1828*(('Dvd Calendar'!$E$1830:$AR$1830=TYPE1)*(TYPE1&lt;&gt;"")+('Dvd Calendar'!$E$1830:$AR$1830=TYPE2)*(TYPE2&lt;&gt;"")+('Dvd Calendar'!$E$1830:$AR$1830=TYPE3)*(TYPE3&lt;&gt;"")+('Dvd Calendar'!$E$1830:$AR$1830=TYPE4)*(TYPE4&lt;&gt;"")+('Dvd Calendar'!$E$1830:$AR$1830=SPECIAL_LBL)*(INC_SPECIALS="Y"))))</f>
        <v/>
      </c>
      <c r="J176" s="132">
        <f>IF($C176="","",SUMPRODUCT(('Dvd Calendar'!$E$1825:$AR$1825&gt;=DATE(YEAR_Y-1,1,1))*('Dvd Calendar'!$E$1825:$AR$1825&lt;=DATE(YEAR_Y-1,12,31))*'Dvd Calendar'!$E$1828:$AR$1828*(('Dvd Calendar'!$E$1830:$AR$1830=TYPE1)*(TYPE1&lt;&gt;"")+('Dvd Calendar'!$E$1830:$AR$1830=TYPE2)*(TYPE2&lt;&gt;"")+('Dvd Calendar'!$E$1830:$AR$1830=TYPE3)*(TYPE3&lt;&gt;"")+('Dvd Calendar'!$E$1830:$AR$1830=TYPE4)*(TYPE4&lt;&gt;"")+('Dvd Calendar'!$E$1830:$AR$1830=SPECIAL_LBL)*(INC_SPECIALS="Y"))))</f>
        <v/>
      </c>
      <c r="K176" s="133">
        <f>IF($C176="","",HSCEI!$J$31)</f>
        <v/>
      </c>
      <c r="L176" s="133">
        <f>IF($C176="","",HSCEI!$K$31)</f>
        <v/>
      </c>
      <c r="M176" s="124">
        <f>IF($C176="","",HSCEI!$J$31+HSCEI!$L$31)</f>
        <v/>
      </c>
      <c r="N176" s="134">
        <f>IF($C176="","",IF(PULL_FUND="N","",IFERROR(BDP($C176,BESTDPS_FIELD,FWD_OVERRIDE,TEXT(MOD(YEAR_Y,100),"00")&amp;"Y"),"")))</f>
        <v/>
      </c>
      <c r="O176" s="133">
        <f>IF($C176="","",AVERAGE(F176:J176))</f>
        <v/>
      </c>
      <c r="P176" s="135">
        <f>IF($C176="","",IF(PULL_FUND="N","",IF(COUNTIFS('Fund History'!$J$1000:$J$1004,"&gt;="&amp;DATE(YEAR_Y-5,1,1),'Fund History'!$J$1000:$J$1004,"&lt;="&amp;DATE(YEAR_Y-5,12,31))=0,"",IFERROR($F176*HSCEI!$G$31/SUMIFS('Fund History'!$K$1000:$K$1004,'Fund History'!$J$1000:$J$1004,"&gt;="&amp;DATE(YEAR_Y-5,1,1),'Fund History'!$J$1000:$J$1004,"&lt;="&amp;DATE(YEAR_Y-5,12,31)),""))))</f>
        <v/>
      </c>
      <c r="Q176" s="136">
        <f>IF($C176="","",IF(PULL_FUND="N","",IF(COUNTIFS('Fund History'!$J$1000:$J$1004,"&gt;="&amp;DATE(YEAR_Y-4,1,1),'Fund History'!$J$1000:$J$1004,"&lt;="&amp;DATE(YEAR_Y-4,12,31))=0,"",IFERROR($G176*HSCEI!$G$31/SUMIFS('Fund History'!$K$1000:$K$1004,'Fund History'!$J$1000:$J$1004,"&gt;="&amp;DATE(YEAR_Y-4,1,1),'Fund History'!$J$1000:$J$1004,"&lt;="&amp;DATE(YEAR_Y-4,12,31)),""))))</f>
        <v/>
      </c>
      <c r="R176" s="136">
        <f>IF($C176="","",IF(PULL_FUND="N","",IF(COUNTIFS('Fund History'!$J$1000:$J$1004,"&gt;="&amp;DATE(YEAR_Y-3,1,1),'Fund History'!$J$1000:$J$1004,"&lt;="&amp;DATE(YEAR_Y-3,12,31))=0,"",IFERROR($H176*HSCEI!$G$31/SUMIFS('Fund History'!$K$1000:$K$1004,'Fund History'!$J$1000:$J$1004,"&gt;="&amp;DATE(YEAR_Y-3,1,1),'Fund History'!$J$1000:$J$1004,"&lt;="&amp;DATE(YEAR_Y-3,12,31)),""))))</f>
        <v/>
      </c>
      <c r="S176" s="136">
        <f>IF($C176="","",IF(PULL_FUND="N","",IF(COUNTIFS('Fund History'!$J$1000:$J$1004,"&gt;="&amp;DATE(YEAR_Y-2,1,1),'Fund History'!$J$1000:$J$1004,"&lt;="&amp;DATE(YEAR_Y-2,12,31))=0,"",IFERROR($I176*HSCEI!$G$31/SUMIFS('Fund History'!$K$1000:$K$1004,'Fund History'!$J$1000:$J$1004,"&gt;="&amp;DATE(YEAR_Y-2,1,1),'Fund History'!$J$1000:$J$1004,"&lt;="&amp;DATE(YEAR_Y-2,12,31)),""))))</f>
        <v/>
      </c>
      <c r="T176" s="136">
        <f>IF($C176="","",IF(PULL_FUND="N","",IF(COUNTIFS('Fund History'!$J$1000:$J$1004,"&gt;="&amp;DATE(YEAR_Y-1,1,1),'Fund History'!$J$1000:$J$1004,"&lt;="&amp;DATE(YEAR_Y-1,12,31))=0,"",IFERROR($J176*HSCEI!$G$31/SUMIFS('Fund History'!$K$1000:$K$1004,'Fund History'!$J$1000:$J$1004,"&gt;="&amp;DATE(YEAR_Y-1,1,1),'Fund History'!$J$1000:$J$1004,"&lt;="&amp;DATE(YEAR_Y-1,12,31)),""))))</f>
        <v/>
      </c>
      <c r="U176" s="137">
        <f>IF($C176="","",IF(ISNUMBER(HSCEI!$I$31),HSCEI!$I$31/100,""))</f>
        <v/>
      </c>
      <c r="V176" s="138">
        <f>IF($C176="","",IF(ISNUMBER(HSCEI!$X$31),IFERROR($M176*HSCEI!$G$31/HSCEI!$X$31,""),""))</f>
        <v/>
      </c>
      <c r="W176" s="137">
        <f>IF($C176="","",IF(ISNUMBER($N176),IFERROR($N176*HSCEI!$G$31/HSCEI!$X$31,""),""))</f>
        <v/>
      </c>
      <c r="X176" s="139">
        <f>IF($C176="","",IF(PULL_FUND="N","",IFERROR(BDP($C176,EPS_FIELD,YR_OVERRIDE,TEXT(YEAR_Y-5,"0")),"")))</f>
        <v/>
      </c>
      <c r="Y176" s="140">
        <f>IF($C176="","",IF(PULL_FUND="N","",IFERROR(BDP($C176,EPS_FIELD,YR_OVERRIDE,TEXT(YEAR_Y-4,"0")),"")))</f>
        <v/>
      </c>
      <c r="Z176" s="140">
        <f>IF($C176="","",IF(PULL_FUND="N","",IFERROR(BDP($C176,EPS_FIELD,YR_OVERRIDE,TEXT(YEAR_Y-3,"0")),"")))</f>
        <v/>
      </c>
      <c r="AA176" s="140">
        <f>IF($C176="","",IF(PULL_FUND="N","",IFERROR(BDP($C176,EPS_FIELD,YR_OVERRIDE,TEXT(YEAR_Y-2,"0")),"")))</f>
        <v/>
      </c>
      <c r="AB176" s="140">
        <f>IF($C176="","",IF(PULL_FUND="N","",IFERROR(BDP($C176,EPS_FIELD,YR_OVERRIDE,TEXT(YEAR_Y-1,"0")),"")))</f>
        <v/>
      </c>
      <c r="AC176" s="126">
        <f>IF($C176="","",IFERROR(AVERAGE(X176:AB176),""))</f>
        <v/>
      </c>
      <c r="AD176" s="140">
        <f>IF($C176="","",IF(PULL_FUND="N","",IFERROR(BDP($C176,BESTEPS_FIELD,FWD_OVERRIDE,TEXT(MOD(YEAR_Y,100),"00")&amp;"Y"),"")))</f>
        <v/>
      </c>
      <c r="AE176" s="141">
        <f>IF($C176="","",IF(PULL_FUND="N","",IFERROR(BDP($C176,PAYOUT_FIELD,YR_OVERRIDE,TEXT(YEAR_Y-5,"0"))/100,"")))</f>
        <v/>
      </c>
      <c r="AF176" s="142">
        <f>IF($C176="","",IF(PULL_FUND="N","",IFERROR(BDP($C176,PAYOUT_FIELD,YR_OVERRIDE,TEXT(YEAR_Y-4,"0"))/100,"")))</f>
        <v/>
      </c>
      <c r="AG176" s="142">
        <f>IF($C176="","",IF(PULL_FUND="N","",IFERROR(BDP($C176,PAYOUT_FIELD,YR_OVERRIDE,TEXT(YEAR_Y-3,"0"))/100,"")))</f>
        <v/>
      </c>
      <c r="AH176" s="142">
        <f>IF($C176="","",IF(PULL_FUND="N","",IFERROR(BDP($C176,PAYOUT_FIELD,YR_OVERRIDE,TEXT(YEAR_Y-2,"0"))/100,"")))</f>
        <v/>
      </c>
      <c r="AI176" s="142">
        <f>IF($C176="","",IF(PULL_FUND="N","",IFERROR(BDP($C176,PAYOUT_FIELD,YR_OVERRIDE,TEXT(YEAR_Y-1,"0"))/100,"")))</f>
        <v/>
      </c>
      <c r="AJ176" s="143">
        <f>IF($C176="","",IFERROR(AVERAGE(AE176:AI176),""))</f>
        <v/>
      </c>
      <c r="AK176" s="144">
        <f>IF($C176="","",IF(ISNUMBER($AD176)*ISNUMBER($N176)*($AD176&lt;&gt;0)=0,"",$N176/$AD176))</f>
        <v/>
      </c>
      <c r="AL176" s="143">
        <f>IF($C176="","",IF(ISNUMBER($AD176)*($AD176&lt;&gt;0)=0,"",$M176/$AD176))</f>
        <v/>
      </c>
      <c r="AM176" s="37">
        <f>IF($C176="","",IF(ISNUMBER($AE176)*ISNUMBER($AI176)=0,"",IF($AI176&gt;$AE176+0.05,"rising",IF($AI176&lt;$AE176-0.05,"falling","stable"))))</f>
        <v/>
      </c>
      <c r="AN176" s="145">
        <f>IF($C176="","",IF(PULL_FUND="N","",IF(COUNTIFS('Fund History'!$G$1000:$G$1004,"&gt;="&amp;DATE(YEAR_Y-4,1,1),'Fund History'!$G$1000:$G$1004,"&lt;="&amp;DATE(YEAR_Y-4,12,31))=0,"",SUMIFS('Fund History'!$H$1000:$H$1004,'Fund History'!$G$1000:$G$1004,"&gt;="&amp;DATE(YEAR_Y-4,1,1),'Fund History'!$G$1000:$G$1004,"&lt;="&amp;DATE(YEAR_Y-4,12,31))/100)))</f>
        <v/>
      </c>
      <c r="AO176" s="146">
        <f>IF($C176="","",IF(PULL_FUND="N","",IF(COUNTIFS('Fund History'!$G$1000:$G$1004,"&gt;="&amp;DATE(YEAR_Y-3,1,1),'Fund History'!$G$1000:$G$1004,"&lt;="&amp;DATE(YEAR_Y-3,12,31))=0,"",SUMIFS('Fund History'!$H$1000:$H$1004,'Fund History'!$G$1000:$G$1004,"&gt;="&amp;DATE(YEAR_Y-3,1,1),'Fund History'!$G$1000:$G$1004,"&lt;="&amp;DATE(YEAR_Y-3,12,31))/100)))</f>
        <v/>
      </c>
      <c r="AP176" s="146">
        <f>IF($C176="","",IF(PULL_FUND="N","",IF(COUNTIFS('Fund History'!$G$1000:$G$1004,"&gt;="&amp;DATE(YEAR_Y-2,1,1),'Fund History'!$G$1000:$G$1004,"&lt;="&amp;DATE(YEAR_Y-2,12,31))=0,"",SUMIFS('Fund History'!$H$1000:$H$1004,'Fund History'!$G$1000:$G$1004,"&gt;="&amp;DATE(YEAR_Y-2,1,1),'Fund History'!$G$1000:$G$1004,"&lt;="&amp;DATE(YEAR_Y-2,12,31))/100)))</f>
        <v/>
      </c>
      <c r="AQ176" s="146">
        <f>IF($C176="","",IF(PULL_FUND="N","",IF(COUNTIFS('Fund History'!$G$1000:$G$1004,"&gt;="&amp;DATE(YEAR_Y-1,1,1),'Fund History'!$G$1000:$G$1004,"&lt;="&amp;DATE(YEAR_Y-1,12,31))=0,"",SUMIFS('Fund History'!$H$1000:$H$1004,'Fund History'!$G$1000:$G$1004,"&gt;="&amp;DATE(YEAR_Y-1,1,1),'Fund History'!$G$1000:$G$1004,"&lt;="&amp;DATE(YEAR_Y-1,12,31))/100)))</f>
        <v/>
      </c>
      <c r="AR176" s="147">
        <f>IF($C176="","",IF(N($AQ176)+N(HSCEI!$I$31)=0,"",N($AQ176)+N(HSCEI!$I$31)/100))</f>
        <v/>
      </c>
      <c r="AS176" s="139">
        <f>IF($C176="","",IF(PULL_FUND="N","",IF(COUNTIFS('Fund History'!$D$1000:$D$1004,"&gt;="&amp;DATE(YEAR_Y-2,1,1),'Fund History'!$D$1000:$D$1004,"&lt;="&amp;DATE(YEAR_Y-2,12,31))=0,"",SUMIFS('Fund History'!$E$1000:$E$1004,'Fund History'!$D$1000:$D$1004,"&gt;="&amp;DATE(YEAR_Y-2,1,1),'Fund History'!$D$1000:$D$1004,"&lt;="&amp;DATE(YEAR_Y-2,12,31)))))</f>
        <v/>
      </c>
      <c r="AT176" s="140">
        <f>IF($C176="","",IF(PULL_FUND="N","",IF(COUNTIFS('Fund History'!$D$1000:$D$1004,"&gt;="&amp;DATE(YEAR_Y-1,1,1),'Fund History'!$D$1000:$D$1004,"&lt;="&amp;DATE(YEAR_Y-1,12,31))=0,"",SUMIFS('Fund History'!$E$1000:$E$1004,'Fund History'!$D$1000:$D$1004,"&gt;="&amp;DATE(YEAR_Y-1,1,1),'Fund History'!$D$1000:$D$1004,"&lt;="&amp;DATE(YEAR_Y-1,12,31)))))</f>
        <v/>
      </c>
      <c r="AU176" s="140">
        <f>IF($C176="","",IF(PULL_FUND="N","",IFERROR(BDP($C176,NDEBITDA_FIELD),"")))</f>
        <v/>
      </c>
      <c r="AV176" s="148">
        <f>IF($C176="","",IF(PULL_FUND="N","",IFERROR(BDP($C176,EBINT_FIELD),"")))</f>
        <v/>
      </c>
      <c r="AW176" s="146">
        <f>IF($C176="","",IF(PULL_FUND="N","",IFERROR(BDP($C176,FCF_FIELD)/100,"")))</f>
        <v/>
      </c>
      <c r="AX176" s="126">
        <f>IF($C176="","",IF(N($U176)=0,"",IFERROR($AW176/$U176,"")))</f>
        <v/>
      </c>
      <c r="AY176" s="85">
        <f>IF($C176="","",TRIM(IF(ISNUMBER($AJ176)*(N($AJ176)&gt;$D$4)&gt;0,"payout high  ","")&amp;IF(ISNUMBER($AX176)*(N($AX176)&lt;$F$4)&gt;0,"FCF below dvd  ","")&amp;IF(ISNUMBER($AU176)*(N($AU176)&gt;$H$4)&gt;0,"leverage high","")))</f>
        <v/>
      </c>
      <c r="AZ176" s="86">
        <f>IF($C176="","",IF(HSCEI!$F$31="HKD","",HSCEI!$F$31))</f>
        <v/>
      </c>
    </row>
    <row r="177">
      <c r="B177" s="66" t="inlineStr">
        <is>
          <t>HSCEI</t>
        </is>
      </c>
      <c r="C177" s="8">
        <f>IF(HSCEI!$C$32="","",HSCEI!$C$32)</f>
        <v/>
      </c>
      <c r="D177" s="8">
        <f>IF($C177="","",HSCEI!$D$32)</f>
        <v/>
      </c>
      <c r="E177" s="8">
        <f>IF($C177="","",HSCEI!$E$32)</f>
        <v/>
      </c>
      <c r="F177" s="131">
        <f>IF($C177="","",SUMPRODUCT(('Dvd Calendar'!$E$1836:$AR$1836&gt;=DATE(YEAR_Y-5,1,1))*('Dvd Calendar'!$E$1836:$AR$1836&lt;=DATE(YEAR_Y-5,12,31))*'Dvd Calendar'!$E$1839:$AR$1839*(('Dvd Calendar'!$E$1841:$AR$1841=TYPE1)*(TYPE1&lt;&gt;"")+('Dvd Calendar'!$E$1841:$AR$1841=TYPE2)*(TYPE2&lt;&gt;"")+('Dvd Calendar'!$E$1841:$AR$1841=TYPE3)*(TYPE3&lt;&gt;"")+('Dvd Calendar'!$E$1841:$AR$1841=TYPE4)*(TYPE4&lt;&gt;"")+('Dvd Calendar'!$E$1841:$AR$1841=SPECIAL_LBL)*(INC_SPECIALS="Y"))))</f>
        <v/>
      </c>
      <c r="G177" s="132">
        <f>IF($C177="","",SUMPRODUCT(('Dvd Calendar'!$E$1836:$AR$1836&gt;=DATE(YEAR_Y-4,1,1))*('Dvd Calendar'!$E$1836:$AR$1836&lt;=DATE(YEAR_Y-4,12,31))*'Dvd Calendar'!$E$1839:$AR$1839*(('Dvd Calendar'!$E$1841:$AR$1841=TYPE1)*(TYPE1&lt;&gt;"")+('Dvd Calendar'!$E$1841:$AR$1841=TYPE2)*(TYPE2&lt;&gt;"")+('Dvd Calendar'!$E$1841:$AR$1841=TYPE3)*(TYPE3&lt;&gt;"")+('Dvd Calendar'!$E$1841:$AR$1841=TYPE4)*(TYPE4&lt;&gt;"")+('Dvd Calendar'!$E$1841:$AR$1841=SPECIAL_LBL)*(INC_SPECIALS="Y"))))</f>
        <v/>
      </c>
      <c r="H177" s="132">
        <f>IF($C177="","",SUMPRODUCT(('Dvd Calendar'!$E$1836:$AR$1836&gt;=DATE(YEAR_Y-3,1,1))*('Dvd Calendar'!$E$1836:$AR$1836&lt;=DATE(YEAR_Y-3,12,31))*'Dvd Calendar'!$E$1839:$AR$1839*(('Dvd Calendar'!$E$1841:$AR$1841=TYPE1)*(TYPE1&lt;&gt;"")+('Dvd Calendar'!$E$1841:$AR$1841=TYPE2)*(TYPE2&lt;&gt;"")+('Dvd Calendar'!$E$1841:$AR$1841=TYPE3)*(TYPE3&lt;&gt;"")+('Dvd Calendar'!$E$1841:$AR$1841=TYPE4)*(TYPE4&lt;&gt;"")+('Dvd Calendar'!$E$1841:$AR$1841=SPECIAL_LBL)*(INC_SPECIALS="Y"))))</f>
        <v/>
      </c>
      <c r="I177" s="132">
        <f>IF($C177="","",SUMPRODUCT(('Dvd Calendar'!$E$1836:$AR$1836&gt;=DATE(YEAR_Y-2,1,1))*('Dvd Calendar'!$E$1836:$AR$1836&lt;=DATE(YEAR_Y-2,12,31))*'Dvd Calendar'!$E$1839:$AR$1839*(('Dvd Calendar'!$E$1841:$AR$1841=TYPE1)*(TYPE1&lt;&gt;"")+('Dvd Calendar'!$E$1841:$AR$1841=TYPE2)*(TYPE2&lt;&gt;"")+('Dvd Calendar'!$E$1841:$AR$1841=TYPE3)*(TYPE3&lt;&gt;"")+('Dvd Calendar'!$E$1841:$AR$1841=TYPE4)*(TYPE4&lt;&gt;"")+('Dvd Calendar'!$E$1841:$AR$1841=SPECIAL_LBL)*(INC_SPECIALS="Y"))))</f>
        <v/>
      </c>
      <c r="J177" s="132">
        <f>IF($C177="","",SUMPRODUCT(('Dvd Calendar'!$E$1836:$AR$1836&gt;=DATE(YEAR_Y-1,1,1))*('Dvd Calendar'!$E$1836:$AR$1836&lt;=DATE(YEAR_Y-1,12,31))*'Dvd Calendar'!$E$1839:$AR$1839*(('Dvd Calendar'!$E$1841:$AR$1841=TYPE1)*(TYPE1&lt;&gt;"")+('Dvd Calendar'!$E$1841:$AR$1841=TYPE2)*(TYPE2&lt;&gt;"")+('Dvd Calendar'!$E$1841:$AR$1841=TYPE3)*(TYPE3&lt;&gt;"")+('Dvd Calendar'!$E$1841:$AR$1841=TYPE4)*(TYPE4&lt;&gt;"")+('Dvd Calendar'!$E$1841:$AR$1841=SPECIAL_LBL)*(INC_SPECIALS="Y"))))</f>
        <v/>
      </c>
      <c r="K177" s="133">
        <f>IF($C177="","",HSCEI!$J$32)</f>
        <v/>
      </c>
      <c r="L177" s="133">
        <f>IF($C177="","",HSCEI!$K$32)</f>
        <v/>
      </c>
      <c r="M177" s="124">
        <f>IF($C177="","",HSCEI!$J$32+HSCEI!$L$32)</f>
        <v/>
      </c>
      <c r="N177" s="134">
        <f>IF($C177="","",IF(PULL_FUND="N","",IFERROR(BDP($C177,BESTDPS_FIELD,FWD_OVERRIDE,TEXT(MOD(YEAR_Y,100),"00")&amp;"Y"),"")))</f>
        <v/>
      </c>
      <c r="O177" s="133">
        <f>IF($C177="","",AVERAGE(F177:J177))</f>
        <v/>
      </c>
      <c r="P177" s="135">
        <f>IF($C177="","",IF(PULL_FUND="N","",IF(COUNTIFS('Fund History'!$J$1006:$J$1010,"&gt;="&amp;DATE(YEAR_Y-5,1,1),'Fund History'!$J$1006:$J$1010,"&lt;="&amp;DATE(YEAR_Y-5,12,31))=0,"",IFERROR($F177*HSCEI!$G$32/SUMIFS('Fund History'!$K$1006:$K$1010,'Fund History'!$J$1006:$J$1010,"&gt;="&amp;DATE(YEAR_Y-5,1,1),'Fund History'!$J$1006:$J$1010,"&lt;="&amp;DATE(YEAR_Y-5,12,31)),""))))</f>
        <v/>
      </c>
      <c r="Q177" s="136">
        <f>IF($C177="","",IF(PULL_FUND="N","",IF(COUNTIFS('Fund History'!$J$1006:$J$1010,"&gt;="&amp;DATE(YEAR_Y-4,1,1),'Fund History'!$J$1006:$J$1010,"&lt;="&amp;DATE(YEAR_Y-4,12,31))=0,"",IFERROR($G177*HSCEI!$G$32/SUMIFS('Fund History'!$K$1006:$K$1010,'Fund History'!$J$1006:$J$1010,"&gt;="&amp;DATE(YEAR_Y-4,1,1),'Fund History'!$J$1006:$J$1010,"&lt;="&amp;DATE(YEAR_Y-4,12,31)),""))))</f>
        <v/>
      </c>
      <c r="R177" s="136">
        <f>IF($C177="","",IF(PULL_FUND="N","",IF(COUNTIFS('Fund History'!$J$1006:$J$1010,"&gt;="&amp;DATE(YEAR_Y-3,1,1),'Fund History'!$J$1006:$J$1010,"&lt;="&amp;DATE(YEAR_Y-3,12,31))=0,"",IFERROR($H177*HSCEI!$G$32/SUMIFS('Fund History'!$K$1006:$K$1010,'Fund History'!$J$1006:$J$1010,"&gt;="&amp;DATE(YEAR_Y-3,1,1),'Fund History'!$J$1006:$J$1010,"&lt;="&amp;DATE(YEAR_Y-3,12,31)),""))))</f>
        <v/>
      </c>
      <c r="S177" s="136">
        <f>IF($C177="","",IF(PULL_FUND="N","",IF(COUNTIFS('Fund History'!$J$1006:$J$1010,"&gt;="&amp;DATE(YEAR_Y-2,1,1),'Fund History'!$J$1006:$J$1010,"&lt;="&amp;DATE(YEAR_Y-2,12,31))=0,"",IFERROR($I177*HSCEI!$G$32/SUMIFS('Fund History'!$K$1006:$K$1010,'Fund History'!$J$1006:$J$1010,"&gt;="&amp;DATE(YEAR_Y-2,1,1),'Fund History'!$J$1006:$J$1010,"&lt;="&amp;DATE(YEAR_Y-2,12,31)),""))))</f>
        <v/>
      </c>
      <c r="T177" s="136">
        <f>IF($C177="","",IF(PULL_FUND="N","",IF(COUNTIFS('Fund History'!$J$1006:$J$1010,"&gt;="&amp;DATE(YEAR_Y-1,1,1),'Fund History'!$J$1006:$J$1010,"&lt;="&amp;DATE(YEAR_Y-1,12,31))=0,"",IFERROR($J177*HSCEI!$G$32/SUMIFS('Fund History'!$K$1006:$K$1010,'Fund History'!$J$1006:$J$1010,"&gt;="&amp;DATE(YEAR_Y-1,1,1),'Fund History'!$J$1006:$J$1010,"&lt;="&amp;DATE(YEAR_Y-1,12,31)),""))))</f>
        <v/>
      </c>
      <c r="U177" s="137">
        <f>IF($C177="","",IF(ISNUMBER(HSCEI!$I$32),HSCEI!$I$32/100,""))</f>
        <v/>
      </c>
      <c r="V177" s="138">
        <f>IF($C177="","",IF(ISNUMBER(HSCEI!$X$32),IFERROR($M177*HSCEI!$G$32/HSCEI!$X$32,""),""))</f>
        <v/>
      </c>
      <c r="W177" s="137">
        <f>IF($C177="","",IF(ISNUMBER($N177),IFERROR($N177*HSCEI!$G$32/HSCEI!$X$32,""),""))</f>
        <v/>
      </c>
      <c r="X177" s="139">
        <f>IF($C177="","",IF(PULL_FUND="N","",IFERROR(BDP($C177,EPS_FIELD,YR_OVERRIDE,TEXT(YEAR_Y-5,"0")),"")))</f>
        <v/>
      </c>
      <c r="Y177" s="140">
        <f>IF($C177="","",IF(PULL_FUND="N","",IFERROR(BDP($C177,EPS_FIELD,YR_OVERRIDE,TEXT(YEAR_Y-4,"0")),"")))</f>
        <v/>
      </c>
      <c r="Z177" s="140">
        <f>IF($C177="","",IF(PULL_FUND="N","",IFERROR(BDP($C177,EPS_FIELD,YR_OVERRIDE,TEXT(YEAR_Y-3,"0")),"")))</f>
        <v/>
      </c>
      <c r="AA177" s="140">
        <f>IF($C177="","",IF(PULL_FUND="N","",IFERROR(BDP($C177,EPS_FIELD,YR_OVERRIDE,TEXT(YEAR_Y-2,"0")),"")))</f>
        <v/>
      </c>
      <c r="AB177" s="140">
        <f>IF($C177="","",IF(PULL_FUND="N","",IFERROR(BDP($C177,EPS_FIELD,YR_OVERRIDE,TEXT(YEAR_Y-1,"0")),"")))</f>
        <v/>
      </c>
      <c r="AC177" s="126">
        <f>IF($C177="","",IFERROR(AVERAGE(X177:AB177),""))</f>
        <v/>
      </c>
      <c r="AD177" s="140">
        <f>IF($C177="","",IF(PULL_FUND="N","",IFERROR(BDP($C177,BESTEPS_FIELD,FWD_OVERRIDE,TEXT(MOD(YEAR_Y,100),"00")&amp;"Y"),"")))</f>
        <v/>
      </c>
      <c r="AE177" s="141">
        <f>IF($C177="","",IF(PULL_FUND="N","",IFERROR(BDP($C177,PAYOUT_FIELD,YR_OVERRIDE,TEXT(YEAR_Y-5,"0"))/100,"")))</f>
        <v/>
      </c>
      <c r="AF177" s="142">
        <f>IF($C177="","",IF(PULL_FUND="N","",IFERROR(BDP($C177,PAYOUT_FIELD,YR_OVERRIDE,TEXT(YEAR_Y-4,"0"))/100,"")))</f>
        <v/>
      </c>
      <c r="AG177" s="142">
        <f>IF($C177="","",IF(PULL_FUND="N","",IFERROR(BDP($C177,PAYOUT_FIELD,YR_OVERRIDE,TEXT(YEAR_Y-3,"0"))/100,"")))</f>
        <v/>
      </c>
      <c r="AH177" s="142">
        <f>IF($C177="","",IF(PULL_FUND="N","",IFERROR(BDP($C177,PAYOUT_FIELD,YR_OVERRIDE,TEXT(YEAR_Y-2,"0"))/100,"")))</f>
        <v/>
      </c>
      <c r="AI177" s="142">
        <f>IF($C177="","",IF(PULL_FUND="N","",IFERROR(BDP($C177,PAYOUT_FIELD,YR_OVERRIDE,TEXT(YEAR_Y-1,"0"))/100,"")))</f>
        <v/>
      </c>
      <c r="AJ177" s="143">
        <f>IF($C177="","",IFERROR(AVERAGE(AE177:AI177),""))</f>
        <v/>
      </c>
      <c r="AK177" s="144">
        <f>IF($C177="","",IF(ISNUMBER($AD177)*ISNUMBER($N177)*($AD177&lt;&gt;0)=0,"",$N177/$AD177))</f>
        <v/>
      </c>
      <c r="AL177" s="143">
        <f>IF($C177="","",IF(ISNUMBER($AD177)*($AD177&lt;&gt;0)=0,"",$M177/$AD177))</f>
        <v/>
      </c>
      <c r="AM177" s="37">
        <f>IF($C177="","",IF(ISNUMBER($AE177)*ISNUMBER($AI177)=0,"",IF($AI177&gt;$AE177+0.05,"rising",IF($AI177&lt;$AE177-0.05,"falling","stable"))))</f>
        <v/>
      </c>
      <c r="AN177" s="145">
        <f>IF($C177="","",IF(PULL_FUND="N","",IF(COUNTIFS('Fund History'!$G$1006:$G$1010,"&gt;="&amp;DATE(YEAR_Y-4,1,1),'Fund History'!$G$1006:$G$1010,"&lt;="&amp;DATE(YEAR_Y-4,12,31))=0,"",SUMIFS('Fund History'!$H$1006:$H$1010,'Fund History'!$G$1006:$G$1010,"&gt;="&amp;DATE(YEAR_Y-4,1,1),'Fund History'!$G$1006:$G$1010,"&lt;="&amp;DATE(YEAR_Y-4,12,31))/100)))</f>
        <v/>
      </c>
      <c r="AO177" s="146">
        <f>IF($C177="","",IF(PULL_FUND="N","",IF(COUNTIFS('Fund History'!$G$1006:$G$1010,"&gt;="&amp;DATE(YEAR_Y-3,1,1),'Fund History'!$G$1006:$G$1010,"&lt;="&amp;DATE(YEAR_Y-3,12,31))=0,"",SUMIFS('Fund History'!$H$1006:$H$1010,'Fund History'!$G$1006:$G$1010,"&gt;="&amp;DATE(YEAR_Y-3,1,1),'Fund History'!$G$1006:$G$1010,"&lt;="&amp;DATE(YEAR_Y-3,12,31))/100)))</f>
        <v/>
      </c>
      <c r="AP177" s="146">
        <f>IF($C177="","",IF(PULL_FUND="N","",IF(COUNTIFS('Fund History'!$G$1006:$G$1010,"&gt;="&amp;DATE(YEAR_Y-2,1,1),'Fund History'!$G$1006:$G$1010,"&lt;="&amp;DATE(YEAR_Y-2,12,31))=0,"",SUMIFS('Fund History'!$H$1006:$H$1010,'Fund History'!$G$1006:$G$1010,"&gt;="&amp;DATE(YEAR_Y-2,1,1),'Fund History'!$G$1006:$G$1010,"&lt;="&amp;DATE(YEAR_Y-2,12,31))/100)))</f>
        <v/>
      </c>
      <c r="AQ177" s="146">
        <f>IF($C177="","",IF(PULL_FUND="N","",IF(COUNTIFS('Fund History'!$G$1006:$G$1010,"&gt;="&amp;DATE(YEAR_Y-1,1,1),'Fund History'!$G$1006:$G$1010,"&lt;="&amp;DATE(YEAR_Y-1,12,31))=0,"",SUMIFS('Fund History'!$H$1006:$H$1010,'Fund History'!$G$1006:$G$1010,"&gt;="&amp;DATE(YEAR_Y-1,1,1),'Fund History'!$G$1006:$G$1010,"&lt;="&amp;DATE(YEAR_Y-1,12,31))/100)))</f>
        <v/>
      </c>
      <c r="AR177" s="147">
        <f>IF($C177="","",IF(N($AQ177)+N(HSCEI!$I$32)=0,"",N($AQ177)+N(HSCEI!$I$32)/100))</f>
        <v/>
      </c>
      <c r="AS177" s="139">
        <f>IF($C177="","",IF(PULL_FUND="N","",IF(COUNTIFS('Fund History'!$D$1006:$D$1010,"&gt;="&amp;DATE(YEAR_Y-2,1,1),'Fund History'!$D$1006:$D$1010,"&lt;="&amp;DATE(YEAR_Y-2,12,31))=0,"",SUMIFS('Fund History'!$E$1006:$E$1010,'Fund History'!$D$1006:$D$1010,"&gt;="&amp;DATE(YEAR_Y-2,1,1),'Fund History'!$D$1006:$D$1010,"&lt;="&amp;DATE(YEAR_Y-2,12,31)))))</f>
        <v/>
      </c>
      <c r="AT177" s="140">
        <f>IF($C177="","",IF(PULL_FUND="N","",IF(COUNTIFS('Fund History'!$D$1006:$D$1010,"&gt;="&amp;DATE(YEAR_Y-1,1,1),'Fund History'!$D$1006:$D$1010,"&lt;="&amp;DATE(YEAR_Y-1,12,31))=0,"",SUMIFS('Fund History'!$E$1006:$E$1010,'Fund History'!$D$1006:$D$1010,"&gt;="&amp;DATE(YEAR_Y-1,1,1),'Fund History'!$D$1006:$D$1010,"&lt;="&amp;DATE(YEAR_Y-1,12,31)))))</f>
        <v/>
      </c>
      <c r="AU177" s="140">
        <f>IF($C177="","",IF(PULL_FUND="N","",IFERROR(BDP($C177,NDEBITDA_FIELD),"")))</f>
        <v/>
      </c>
      <c r="AV177" s="148">
        <f>IF($C177="","",IF(PULL_FUND="N","",IFERROR(BDP($C177,EBINT_FIELD),"")))</f>
        <v/>
      </c>
      <c r="AW177" s="146">
        <f>IF($C177="","",IF(PULL_FUND="N","",IFERROR(BDP($C177,FCF_FIELD)/100,"")))</f>
        <v/>
      </c>
      <c r="AX177" s="126">
        <f>IF($C177="","",IF(N($U177)=0,"",IFERROR($AW177/$U177,"")))</f>
        <v/>
      </c>
      <c r="AY177" s="85">
        <f>IF($C177="","",TRIM(IF(ISNUMBER($AJ177)*(N($AJ177)&gt;$D$4)&gt;0,"payout high  ","")&amp;IF(ISNUMBER($AX177)*(N($AX177)&lt;$F$4)&gt;0,"FCF below dvd  ","")&amp;IF(ISNUMBER($AU177)*(N($AU177)&gt;$H$4)&gt;0,"leverage high","")))</f>
        <v/>
      </c>
      <c r="AZ177" s="86">
        <f>IF($C177="","",IF(HSCEI!$F$32="HKD","",HSCEI!$F$32))</f>
        <v/>
      </c>
    </row>
    <row r="178">
      <c r="B178" s="66" t="inlineStr">
        <is>
          <t>HSCEI</t>
        </is>
      </c>
      <c r="C178" s="8">
        <f>IF(HSCEI!$C$33="","",HSCEI!$C$33)</f>
        <v/>
      </c>
      <c r="D178" s="8">
        <f>IF($C178="","",HSCEI!$D$33)</f>
        <v/>
      </c>
      <c r="E178" s="8">
        <f>IF($C178="","",HSCEI!$E$33)</f>
        <v/>
      </c>
      <c r="F178" s="131">
        <f>IF($C178="","",SUMPRODUCT(('Dvd Calendar'!$E$1847:$AR$1847&gt;=DATE(YEAR_Y-5,1,1))*('Dvd Calendar'!$E$1847:$AR$1847&lt;=DATE(YEAR_Y-5,12,31))*'Dvd Calendar'!$E$1850:$AR$1850*(('Dvd Calendar'!$E$1852:$AR$1852=TYPE1)*(TYPE1&lt;&gt;"")+('Dvd Calendar'!$E$1852:$AR$1852=TYPE2)*(TYPE2&lt;&gt;"")+('Dvd Calendar'!$E$1852:$AR$1852=TYPE3)*(TYPE3&lt;&gt;"")+('Dvd Calendar'!$E$1852:$AR$1852=TYPE4)*(TYPE4&lt;&gt;"")+('Dvd Calendar'!$E$1852:$AR$1852=SPECIAL_LBL)*(INC_SPECIALS="Y"))))</f>
        <v/>
      </c>
      <c r="G178" s="132">
        <f>IF($C178="","",SUMPRODUCT(('Dvd Calendar'!$E$1847:$AR$1847&gt;=DATE(YEAR_Y-4,1,1))*('Dvd Calendar'!$E$1847:$AR$1847&lt;=DATE(YEAR_Y-4,12,31))*'Dvd Calendar'!$E$1850:$AR$1850*(('Dvd Calendar'!$E$1852:$AR$1852=TYPE1)*(TYPE1&lt;&gt;"")+('Dvd Calendar'!$E$1852:$AR$1852=TYPE2)*(TYPE2&lt;&gt;"")+('Dvd Calendar'!$E$1852:$AR$1852=TYPE3)*(TYPE3&lt;&gt;"")+('Dvd Calendar'!$E$1852:$AR$1852=TYPE4)*(TYPE4&lt;&gt;"")+('Dvd Calendar'!$E$1852:$AR$1852=SPECIAL_LBL)*(INC_SPECIALS="Y"))))</f>
        <v/>
      </c>
      <c r="H178" s="132">
        <f>IF($C178="","",SUMPRODUCT(('Dvd Calendar'!$E$1847:$AR$1847&gt;=DATE(YEAR_Y-3,1,1))*('Dvd Calendar'!$E$1847:$AR$1847&lt;=DATE(YEAR_Y-3,12,31))*'Dvd Calendar'!$E$1850:$AR$1850*(('Dvd Calendar'!$E$1852:$AR$1852=TYPE1)*(TYPE1&lt;&gt;"")+('Dvd Calendar'!$E$1852:$AR$1852=TYPE2)*(TYPE2&lt;&gt;"")+('Dvd Calendar'!$E$1852:$AR$1852=TYPE3)*(TYPE3&lt;&gt;"")+('Dvd Calendar'!$E$1852:$AR$1852=TYPE4)*(TYPE4&lt;&gt;"")+('Dvd Calendar'!$E$1852:$AR$1852=SPECIAL_LBL)*(INC_SPECIALS="Y"))))</f>
        <v/>
      </c>
      <c r="I178" s="132">
        <f>IF($C178="","",SUMPRODUCT(('Dvd Calendar'!$E$1847:$AR$1847&gt;=DATE(YEAR_Y-2,1,1))*('Dvd Calendar'!$E$1847:$AR$1847&lt;=DATE(YEAR_Y-2,12,31))*'Dvd Calendar'!$E$1850:$AR$1850*(('Dvd Calendar'!$E$1852:$AR$1852=TYPE1)*(TYPE1&lt;&gt;"")+('Dvd Calendar'!$E$1852:$AR$1852=TYPE2)*(TYPE2&lt;&gt;"")+('Dvd Calendar'!$E$1852:$AR$1852=TYPE3)*(TYPE3&lt;&gt;"")+('Dvd Calendar'!$E$1852:$AR$1852=TYPE4)*(TYPE4&lt;&gt;"")+('Dvd Calendar'!$E$1852:$AR$1852=SPECIAL_LBL)*(INC_SPECIALS="Y"))))</f>
        <v/>
      </c>
      <c r="J178" s="132">
        <f>IF($C178="","",SUMPRODUCT(('Dvd Calendar'!$E$1847:$AR$1847&gt;=DATE(YEAR_Y-1,1,1))*('Dvd Calendar'!$E$1847:$AR$1847&lt;=DATE(YEAR_Y-1,12,31))*'Dvd Calendar'!$E$1850:$AR$1850*(('Dvd Calendar'!$E$1852:$AR$1852=TYPE1)*(TYPE1&lt;&gt;"")+('Dvd Calendar'!$E$1852:$AR$1852=TYPE2)*(TYPE2&lt;&gt;"")+('Dvd Calendar'!$E$1852:$AR$1852=TYPE3)*(TYPE3&lt;&gt;"")+('Dvd Calendar'!$E$1852:$AR$1852=TYPE4)*(TYPE4&lt;&gt;"")+('Dvd Calendar'!$E$1852:$AR$1852=SPECIAL_LBL)*(INC_SPECIALS="Y"))))</f>
        <v/>
      </c>
      <c r="K178" s="133">
        <f>IF($C178="","",HSCEI!$J$33)</f>
        <v/>
      </c>
      <c r="L178" s="133">
        <f>IF($C178="","",HSCEI!$K$33)</f>
        <v/>
      </c>
      <c r="M178" s="124">
        <f>IF($C178="","",HSCEI!$J$33+HSCEI!$L$33)</f>
        <v/>
      </c>
      <c r="N178" s="134">
        <f>IF($C178="","",IF(PULL_FUND="N","",IFERROR(BDP($C178,BESTDPS_FIELD,FWD_OVERRIDE,TEXT(MOD(YEAR_Y,100),"00")&amp;"Y"),"")))</f>
        <v/>
      </c>
      <c r="O178" s="133">
        <f>IF($C178="","",AVERAGE(F178:J178))</f>
        <v/>
      </c>
      <c r="P178" s="135">
        <f>IF($C178="","",IF(PULL_FUND="N","",IF(COUNTIFS('Fund History'!$J$1012:$J$1016,"&gt;="&amp;DATE(YEAR_Y-5,1,1),'Fund History'!$J$1012:$J$1016,"&lt;="&amp;DATE(YEAR_Y-5,12,31))=0,"",IFERROR($F178*HSCEI!$G$33/SUMIFS('Fund History'!$K$1012:$K$1016,'Fund History'!$J$1012:$J$1016,"&gt;="&amp;DATE(YEAR_Y-5,1,1),'Fund History'!$J$1012:$J$1016,"&lt;="&amp;DATE(YEAR_Y-5,12,31)),""))))</f>
        <v/>
      </c>
      <c r="Q178" s="136">
        <f>IF($C178="","",IF(PULL_FUND="N","",IF(COUNTIFS('Fund History'!$J$1012:$J$1016,"&gt;="&amp;DATE(YEAR_Y-4,1,1),'Fund History'!$J$1012:$J$1016,"&lt;="&amp;DATE(YEAR_Y-4,12,31))=0,"",IFERROR($G178*HSCEI!$G$33/SUMIFS('Fund History'!$K$1012:$K$1016,'Fund History'!$J$1012:$J$1016,"&gt;="&amp;DATE(YEAR_Y-4,1,1),'Fund History'!$J$1012:$J$1016,"&lt;="&amp;DATE(YEAR_Y-4,12,31)),""))))</f>
        <v/>
      </c>
      <c r="R178" s="136">
        <f>IF($C178="","",IF(PULL_FUND="N","",IF(COUNTIFS('Fund History'!$J$1012:$J$1016,"&gt;="&amp;DATE(YEAR_Y-3,1,1),'Fund History'!$J$1012:$J$1016,"&lt;="&amp;DATE(YEAR_Y-3,12,31))=0,"",IFERROR($H178*HSCEI!$G$33/SUMIFS('Fund History'!$K$1012:$K$1016,'Fund History'!$J$1012:$J$1016,"&gt;="&amp;DATE(YEAR_Y-3,1,1),'Fund History'!$J$1012:$J$1016,"&lt;="&amp;DATE(YEAR_Y-3,12,31)),""))))</f>
        <v/>
      </c>
      <c r="S178" s="136">
        <f>IF($C178="","",IF(PULL_FUND="N","",IF(COUNTIFS('Fund History'!$J$1012:$J$1016,"&gt;="&amp;DATE(YEAR_Y-2,1,1),'Fund History'!$J$1012:$J$1016,"&lt;="&amp;DATE(YEAR_Y-2,12,31))=0,"",IFERROR($I178*HSCEI!$G$33/SUMIFS('Fund History'!$K$1012:$K$1016,'Fund History'!$J$1012:$J$1016,"&gt;="&amp;DATE(YEAR_Y-2,1,1),'Fund History'!$J$1012:$J$1016,"&lt;="&amp;DATE(YEAR_Y-2,12,31)),""))))</f>
        <v/>
      </c>
      <c r="T178" s="136">
        <f>IF($C178="","",IF(PULL_FUND="N","",IF(COUNTIFS('Fund History'!$J$1012:$J$1016,"&gt;="&amp;DATE(YEAR_Y-1,1,1),'Fund History'!$J$1012:$J$1016,"&lt;="&amp;DATE(YEAR_Y-1,12,31))=0,"",IFERROR($J178*HSCEI!$G$33/SUMIFS('Fund History'!$K$1012:$K$1016,'Fund History'!$J$1012:$J$1016,"&gt;="&amp;DATE(YEAR_Y-1,1,1),'Fund History'!$J$1012:$J$1016,"&lt;="&amp;DATE(YEAR_Y-1,12,31)),""))))</f>
        <v/>
      </c>
      <c r="U178" s="137">
        <f>IF($C178="","",IF(ISNUMBER(HSCEI!$I$33),HSCEI!$I$33/100,""))</f>
        <v/>
      </c>
      <c r="V178" s="138">
        <f>IF($C178="","",IF(ISNUMBER(HSCEI!$X$33),IFERROR($M178*HSCEI!$G$33/HSCEI!$X$33,""),""))</f>
        <v/>
      </c>
      <c r="W178" s="137">
        <f>IF($C178="","",IF(ISNUMBER($N178),IFERROR($N178*HSCEI!$G$33/HSCEI!$X$33,""),""))</f>
        <v/>
      </c>
      <c r="X178" s="139">
        <f>IF($C178="","",IF(PULL_FUND="N","",IFERROR(BDP($C178,EPS_FIELD,YR_OVERRIDE,TEXT(YEAR_Y-5,"0")),"")))</f>
        <v/>
      </c>
      <c r="Y178" s="140">
        <f>IF($C178="","",IF(PULL_FUND="N","",IFERROR(BDP($C178,EPS_FIELD,YR_OVERRIDE,TEXT(YEAR_Y-4,"0")),"")))</f>
        <v/>
      </c>
      <c r="Z178" s="140">
        <f>IF($C178="","",IF(PULL_FUND="N","",IFERROR(BDP($C178,EPS_FIELD,YR_OVERRIDE,TEXT(YEAR_Y-3,"0")),"")))</f>
        <v/>
      </c>
      <c r="AA178" s="140">
        <f>IF($C178="","",IF(PULL_FUND="N","",IFERROR(BDP($C178,EPS_FIELD,YR_OVERRIDE,TEXT(YEAR_Y-2,"0")),"")))</f>
        <v/>
      </c>
      <c r="AB178" s="140">
        <f>IF($C178="","",IF(PULL_FUND="N","",IFERROR(BDP($C178,EPS_FIELD,YR_OVERRIDE,TEXT(YEAR_Y-1,"0")),"")))</f>
        <v/>
      </c>
      <c r="AC178" s="126">
        <f>IF($C178="","",IFERROR(AVERAGE(X178:AB178),""))</f>
        <v/>
      </c>
      <c r="AD178" s="140">
        <f>IF($C178="","",IF(PULL_FUND="N","",IFERROR(BDP($C178,BESTEPS_FIELD,FWD_OVERRIDE,TEXT(MOD(YEAR_Y,100),"00")&amp;"Y"),"")))</f>
        <v/>
      </c>
      <c r="AE178" s="141">
        <f>IF($C178="","",IF(PULL_FUND="N","",IFERROR(BDP($C178,PAYOUT_FIELD,YR_OVERRIDE,TEXT(YEAR_Y-5,"0"))/100,"")))</f>
        <v/>
      </c>
      <c r="AF178" s="142">
        <f>IF($C178="","",IF(PULL_FUND="N","",IFERROR(BDP($C178,PAYOUT_FIELD,YR_OVERRIDE,TEXT(YEAR_Y-4,"0"))/100,"")))</f>
        <v/>
      </c>
      <c r="AG178" s="142">
        <f>IF($C178="","",IF(PULL_FUND="N","",IFERROR(BDP($C178,PAYOUT_FIELD,YR_OVERRIDE,TEXT(YEAR_Y-3,"0"))/100,"")))</f>
        <v/>
      </c>
      <c r="AH178" s="142">
        <f>IF($C178="","",IF(PULL_FUND="N","",IFERROR(BDP($C178,PAYOUT_FIELD,YR_OVERRIDE,TEXT(YEAR_Y-2,"0"))/100,"")))</f>
        <v/>
      </c>
      <c r="AI178" s="142">
        <f>IF($C178="","",IF(PULL_FUND="N","",IFERROR(BDP($C178,PAYOUT_FIELD,YR_OVERRIDE,TEXT(YEAR_Y-1,"0"))/100,"")))</f>
        <v/>
      </c>
      <c r="AJ178" s="143">
        <f>IF($C178="","",IFERROR(AVERAGE(AE178:AI178),""))</f>
        <v/>
      </c>
      <c r="AK178" s="144">
        <f>IF($C178="","",IF(ISNUMBER($AD178)*ISNUMBER($N178)*($AD178&lt;&gt;0)=0,"",$N178/$AD178))</f>
        <v/>
      </c>
      <c r="AL178" s="143">
        <f>IF($C178="","",IF(ISNUMBER($AD178)*($AD178&lt;&gt;0)=0,"",$M178/$AD178))</f>
        <v/>
      </c>
      <c r="AM178" s="37">
        <f>IF($C178="","",IF(ISNUMBER($AE178)*ISNUMBER($AI178)=0,"",IF($AI178&gt;$AE178+0.05,"rising",IF($AI178&lt;$AE178-0.05,"falling","stable"))))</f>
        <v/>
      </c>
      <c r="AN178" s="145">
        <f>IF($C178="","",IF(PULL_FUND="N","",IF(COUNTIFS('Fund History'!$G$1012:$G$1016,"&gt;="&amp;DATE(YEAR_Y-4,1,1),'Fund History'!$G$1012:$G$1016,"&lt;="&amp;DATE(YEAR_Y-4,12,31))=0,"",SUMIFS('Fund History'!$H$1012:$H$1016,'Fund History'!$G$1012:$G$1016,"&gt;="&amp;DATE(YEAR_Y-4,1,1),'Fund History'!$G$1012:$G$1016,"&lt;="&amp;DATE(YEAR_Y-4,12,31))/100)))</f>
        <v/>
      </c>
      <c r="AO178" s="146">
        <f>IF($C178="","",IF(PULL_FUND="N","",IF(COUNTIFS('Fund History'!$G$1012:$G$1016,"&gt;="&amp;DATE(YEAR_Y-3,1,1),'Fund History'!$G$1012:$G$1016,"&lt;="&amp;DATE(YEAR_Y-3,12,31))=0,"",SUMIFS('Fund History'!$H$1012:$H$1016,'Fund History'!$G$1012:$G$1016,"&gt;="&amp;DATE(YEAR_Y-3,1,1),'Fund History'!$G$1012:$G$1016,"&lt;="&amp;DATE(YEAR_Y-3,12,31))/100)))</f>
        <v/>
      </c>
      <c r="AP178" s="146">
        <f>IF($C178="","",IF(PULL_FUND="N","",IF(COUNTIFS('Fund History'!$G$1012:$G$1016,"&gt;="&amp;DATE(YEAR_Y-2,1,1),'Fund History'!$G$1012:$G$1016,"&lt;="&amp;DATE(YEAR_Y-2,12,31))=0,"",SUMIFS('Fund History'!$H$1012:$H$1016,'Fund History'!$G$1012:$G$1016,"&gt;="&amp;DATE(YEAR_Y-2,1,1),'Fund History'!$G$1012:$G$1016,"&lt;="&amp;DATE(YEAR_Y-2,12,31))/100)))</f>
        <v/>
      </c>
      <c r="AQ178" s="146">
        <f>IF($C178="","",IF(PULL_FUND="N","",IF(COUNTIFS('Fund History'!$G$1012:$G$1016,"&gt;="&amp;DATE(YEAR_Y-1,1,1),'Fund History'!$G$1012:$G$1016,"&lt;="&amp;DATE(YEAR_Y-1,12,31))=0,"",SUMIFS('Fund History'!$H$1012:$H$1016,'Fund History'!$G$1012:$G$1016,"&gt;="&amp;DATE(YEAR_Y-1,1,1),'Fund History'!$G$1012:$G$1016,"&lt;="&amp;DATE(YEAR_Y-1,12,31))/100)))</f>
        <v/>
      </c>
      <c r="AR178" s="147">
        <f>IF($C178="","",IF(N($AQ178)+N(HSCEI!$I$33)=0,"",N($AQ178)+N(HSCEI!$I$33)/100))</f>
        <v/>
      </c>
      <c r="AS178" s="139">
        <f>IF($C178="","",IF(PULL_FUND="N","",IF(COUNTIFS('Fund History'!$D$1012:$D$1016,"&gt;="&amp;DATE(YEAR_Y-2,1,1),'Fund History'!$D$1012:$D$1016,"&lt;="&amp;DATE(YEAR_Y-2,12,31))=0,"",SUMIFS('Fund History'!$E$1012:$E$1016,'Fund History'!$D$1012:$D$1016,"&gt;="&amp;DATE(YEAR_Y-2,1,1),'Fund History'!$D$1012:$D$1016,"&lt;="&amp;DATE(YEAR_Y-2,12,31)))))</f>
        <v/>
      </c>
      <c r="AT178" s="140">
        <f>IF($C178="","",IF(PULL_FUND="N","",IF(COUNTIFS('Fund History'!$D$1012:$D$1016,"&gt;="&amp;DATE(YEAR_Y-1,1,1),'Fund History'!$D$1012:$D$1016,"&lt;="&amp;DATE(YEAR_Y-1,12,31))=0,"",SUMIFS('Fund History'!$E$1012:$E$1016,'Fund History'!$D$1012:$D$1016,"&gt;="&amp;DATE(YEAR_Y-1,1,1),'Fund History'!$D$1012:$D$1016,"&lt;="&amp;DATE(YEAR_Y-1,12,31)))))</f>
        <v/>
      </c>
      <c r="AU178" s="140">
        <f>IF($C178="","",IF(PULL_FUND="N","",IFERROR(BDP($C178,NDEBITDA_FIELD),"")))</f>
        <v/>
      </c>
      <c r="AV178" s="148">
        <f>IF($C178="","",IF(PULL_FUND="N","",IFERROR(BDP($C178,EBINT_FIELD),"")))</f>
        <v/>
      </c>
      <c r="AW178" s="146">
        <f>IF($C178="","",IF(PULL_FUND="N","",IFERROR(BDP($C178,FCF_FIELD)/100,"")))</f>
        <v/>
      </c>
      <c r="AX178" s="126">
        <f>IF($C178="","",IF(N($U178)=0,"",IFERROR($AW178/$U178,"")))</f>
        <v/>
      </c>
      <c r="AY178" s="85">
        <f>IF($C178="","",TRIM(IF(ISNUMBER($AJ178)*(N($AJ178)&gt;$D$4)&gt;0,"payout high  ","")&amp;IF(ISNUMBER($AX178)*(N($AX178)&lt;$F$4)&gt;0,"FCF below dvd  ","")&amp;IF(ISNUMBER($AU178)*(N($AU178)&gt;$H$4)&gt;0,"leverage high","")))</f>
        <v/>
      </c>
      <c r="AZ178" s="86">
        <f>IF($C178="","",IF(HSCEI!$F$33="HKD","",HSCEI!$F$33))</f>
        <v/>
      </c>
    </row>
    <row r="179">
      <c r="B179" s="66" t="inlineStr">
        <is>
          <t>HSCEI</t>
        </is>
      </c>
      <c r="C179" s="8">
        <f>IF(HSCEI!$C$34="","",HSCEI!$C$34)</f>
        <v/>
      </c>
      <c r="D179" s="8">
        <f>IF($C179="","",HSCEI!$D$34)</f>
        <v/>
      </c>
      <c r="E179" s="8">
        <f>IF($C179="","",HSCEI!$E$34)</f>
        <v/>
      </c>
      <c r="F179" s="131">
        <f>IF($C179="","",SUMPRODUCT(('Dvd Calendar'!$E$1858:$AR$1858&gt;=DATE(YEAR_Y-5,1,1))*('Dvd Calendar'!$E$1858:$AR$1858&lt;=DATE(YEAR_Y-5,12,31))*'Dvd Calendar'!$E$1861:$AR$1861*(('Dvd Calendar'!$E$1863:$AR$1863=TYPE1)*(TYPE1&lt;&gt;"")+('Dvd Calendar'!$E$1863:$AR$1863=TYPE2)*(TYPE2&lt;&gt;"")+('Dvd Calendar'!$E$1863:$AR$1863=TYPE3)*(TYPE3&lt;&gt;"")+('Dvd Calendar'!$E$1863:$AR$1863=TYPE4)*(TYPE4&lt;&gt;"")+('Dvd Calendar'!$E$1863:$AR$1863=SPECIAL_LBL)*(INC_SPECIALS="Y"))))</f>
        <v/>
      </c>
      <c r="G179" s="132">
        <f>IF($C179="","",SUMPRODUCT(('Dvd Calendar'!$E$1858:$AR$1858&gt;=DATE(YEAR_Y-4,1,1))*('Dvd Calendar'!$E$1858:$AR$1858&lt;=DATE(YEAR_Y-4,12,31))*'Dvd Calendar'!$E$1861:$AR$1861*(('Dvd Calendar'!$E$1863:$AR$1863=TYPE1)*(TYPE1&lt;&gt;"")+('Dvd Calendar'!$E$1863:$AR$1863=TYPE2)*(TYPE2&lt;&gt;"")+('Dvd Calendar'!$E$1863:$AR$1863=TYPE3)*(TYPE3&lt;&gt;"")+('Dvd Calendar'!$E$1863:$AR$1863=TYPE4)*(TYPE4&lt;&gt;"")+('Dvd Calendar'!$E$1863:$AR$1863=SPECIAL_LBL)*(INC_SPECIALS="Y"))))</f>
        <v/>
      </c>
      <c r="H179" s="132">
        <f>IF($C179="","",SUMPRODUCT(('Dvd Calendar'!$E$1858:$AR$1858&gt;=DATE(YEAR_Y-3,1,1))*('Dvd Calendar'!$E$1858:$AR$1858&lt;=DATE(YEAR_Y-3,12,31))*'Dvd Calendar'!$E$1861:$AR$1861*(('Dvd Calendar'!$E$1863:$AR$1863=TYPE1)*(TYPE1&lt;&gt;"")+('Dvd Calendar'!$E$1863:$AR$1863=TYPE2)*(TYPE2&lt;&gt;"")+('Dvd Calendar'!$E$1863:$AR$1863=TYPE3)*(TYPE3&lt;&gt;"")+('Dvd Calendar'!$E$1863:$AR$1863=TYPE4)*(TYPE4&lt;&gt;"")+('Dvd Calendar'!$E$1863:$AR$1863=SPECIAL_LBL)*(INC_SPECIALS="Y"))))</f>
        <v/>
      </c>
      <c r="I179" s="132">
        <f>IF($C179="","",SUMPRODUCT(('Dvd Calendar'!$E$1858:$AR$1858&gt;=DATE(YEAR_Y-2,1,1))*('Dvd Calendar'!$E$1858:$AR$1858&lt;=DATE(YEAR_Y-2,12,31))*'Dvd Calendar'!$E$1861:$AR$1861*(('Dvd Calendar'!$E$1863:$AR$1863=TYPE1)*(TYPE1&lt;&gt;"")+('Dvd Calendar'!$E$1863:$AR$1863=TYPE2)*(TYPE2&lt;&gt;"")+('Dvd Calendar'!$E$1863:$AR$1863=TYPE3)*(TYPE3&lt;&gt;"")+('Dvd Calendar'!$E$1863:$AR$1863=TYPE4)*(TYPE4&lt;&gt;"")+('Dvd Calendar'!$E$1863:$AR$1863=SPECIAL_LBL)*(INC_SPECIALS="Y"))))</f>
        <v/>
      </c>
      <c r="J179" s="132">
        <f>IF($C179="","",SUMPRODUCT(('Dvd Calendar'!$E$1858:$AR$1858&gt;=DATE(YEAR_Y-1,1,1))*('Dvd Calendar'!$E$1858:$AR$1858&lt;=DATE(YEAR_Y-1,12,31))*'Dvd Calendar'!$E$1861:$AR$1861*(('Dvd Calendar'!$E$1863:$AR$1863=TYPE1)*(TYPE1&lt;&gt;"")+('Dvd Calendar'!$E$1863:$AR$1863=TYPE2)*(TYPE2&lt;&gt;"")+('Dvd Calendar'!$E$1863:$AR$1863=TYPE3)*(TYPE3&lt;&gt;"")+('Dvd Calendar'!$E$1863:$AR$1863=TYPE4)*(TYPE4&lt;&gt;"")+('Dvd Calendar'!$E$1863:$AR$1863=SPECIAL_LBL)*(INC_SPECIALS="Y"))))</f>
        <v/>
      </c>
      <c r="K179" s="133">
        <f>IF($C179="","",HSCEI!$J$34)</f>
        <v/>
      </c>
      <c r="L179" s="133">
        <f>IF($C179="","",HSCEI!$K$34)</f>
        <v/>
      </c>
      <c r="M179" s="124">
        <f>IF($C179="","",HSCEI!$J$34+HSCEI!$L$34)</f>
        <v/>
      </c>
      <c r="N179" s="134">
        <f>IF($C179="","",IF(PULL_FUND="N","",IFERROR(BDP($C179,BESTDPS_FIELD,FWD_OVERRIDE,TEXT(MOD(YEAR_Y,100),"00")&amp;"Y"),"")))</f>
        <v/>
      </c>
      <c r="O179" s="133">
        <f>IF($C179="","",AVERAGE(F179:J179))</f>
        <v/>
      </c>
      <c r="P179" s="135">
        <f>IF($C179="","",IF(PULL_FUND="N","",IF(COUNTIFS('Fund History'!$J$1018:$J$1022,"&gt;="&amp;DATE(YEAR_Y-5,1,1),'Fund History'!$J$1018:$J$1022,"&lt;="&amp;DATE(YEAR_Y-5,12,31))=0,"",IFERROR($F179*HSCEI!$G$34/SUMIFS('Fund History'!$K$1018:$K$1022,'Fund History'!$J$1018:$J$1022,"&gt;="&amp;DATE(YEAR_Y-5,1,1),'Fund History'!$J$1018:$J$1022,"&lt;="&amp;DATE(YEAR_Y-5,12,31)),""))))</f>
        <v/>
      </c>
      <c r="Q179" s="136">
        <f>IF($C179="","",IF(PULL_FUND="N","",IF(COUNTIFS('Fund History'!$J$1018:$J$1022,"&gt;="&amp;DATE(YEAR_Y-4,1,1),'Fund History'!$J$1018:$J$1022,"&lt;="&amp;DATE(YEAR_Y-4,12,31))=0,"",IFERROR($G179*HSCEI!$G$34/SUMIFS('Fund History'!$K$1018:$K$1022,'Fund History'!$J$1018:$J$1022,"&gt;="&amp;DATE(YEAR_Y-4,1,1),'Fund History'!$J$1018:$J$1022,"&lt;="&amp;DATE(YEAR_Y-4,12,31)),""))))</f>
        <v/>
      </c>
      <c r="R179" s="136">
        <f>IF($C179="","",IF(PULL_FUND="N","",IF(COUNTIFS('Fund History'!$J$1018:$J$1022,"&gt;="&amp;DATE(YEAR_Y-3,1,1),'Fund History'!$J$1018:$J$1022,"&lt;="&amp;DATE(YEAR_Y-3,12,31))=0,"",IFERROR($H179*HSCEI!$G$34/SUMIFS('Fund History'!$K$1018:$K$1022,'Fund History'!$J$1018:$J$1022,"&gt;="&amp;DATE(YEAR_Y-3,1,1),'Fund History'!$J$1018:$J$1022,"&lt;="&amp;DATE(YEAR_Y-3,12,31)),""))))</f>
        <v/>
      </c>
      <c r="S179" s="136">
        <f>IF($C179="","",IF(PULL_FUND="N","",IF(COUNTIFS('Fund History'!$J$1018:$J$1022,"&gt;="&amp;DATE(YEAR_Y-2,1,1),'Fund History'!$J$1018:$J$1022,"&lt;="&amp;DATE(YEAR_Y-2,12,31))=0,"",IFERROR($I179*HSCEI!$G$34/SUMIFS('Fund History'!$K$1018:$K$1022,'Fund History'!$J$1018:$J$1022,"&gt;="&amp;DATE(YEAR_Y-2,1,1),'Fund History'!$J$1018:$J$1022,"&lt;="&amp;DATE(YEAR_Y-2,12,31)),""))))</f>
        <v/>
      </c>
      <c r="T179" s="136">
        <f>IF($C179="","",IF(PULL_FUND="N","",IF(COUNTIFS('Fund History'!$J$1018:$J$1022,"&gt;="&amp;DATE(YEAR_Y-1,1,1),'Fund History'!$J$1018:$J$1022,"&lt;="&amp;DATE(YEAR_Y-1,12,31))=0,"",IFERROR($J179*HSCEI!$G$34/SUMIFS('Fund History'!$K$1018:$K$1022,'Fund History'!$J$1018:$J$1022,"&gt;="&amp;DATE(YEAR_Y-1,1,1),'Fund History'!$J$1018:$J$1022,"&lt;="&amp;DATE(YEAR_Y-1,12,31)),""))))</f>
        <v/>
      </c>
      <c r="U179" s="137">
        <f>IF($C179="","",IF(ISNUMBER(HSCEI!$I$34),HSCEI!$I$34/100,""))</f>
        <v/>
      </c>
      <c r="V179" s="138">
        <f>IF($C179="","",IF(ISNUMBER(HSCEI!$X$34),IFERROR($M179*HSCEI!$G$34/HSCEI!$X$34,""),""))</f>
        <v/>
      </c>
      <c r="W179" s="137">
        <f>IF($C179="","",IF(ISNUMBER($N179),IFERROR($N179*HSCEI!$G$34/HSCEI!$X$34,""),""))</f>
        <v/>
      </c>
      <c r="X179" s="139">
        <f>IF($C179="","",IF(PULL_FUND="N","",IFERROR(BDP($C179,EPS_FIELD,YR_OVERRIDE,TEXT(YEAR_Y-5,"0")),"")))</f>
        <v/>
      </c>
      <c r="Y179" s="140">
        <f>IF($C179="","",IF(PULL_FUND="N","",IFERROR(BDP($C179,EPS_FIELD,YR_OVERRIDE,TEXT(YEAR_Y-4,"0")),"")))</f>
        <v/>
      </c>
      <c r="Z179" s="140">
        <f>IF($C179="","",IF(PULL_FUND="N","",IFERROR(BDP($C179,EPS_FIELD,YR_OVERRIDE,TEXT(YEAR_Y-3,"0")),"")))</f>
        <v/>
      </c>
      <c r="AA179" s="140">
        <f>IF($C179="","",IF(PULL_FUND="N","",IFERROR(BDP($C179,EPS_FIELD,YR_OVERRIDE,TEXT(YEAR_Y-2,"0")),"")))</f>
        <v/>
      </c>
      <c r="AB179" s="140">
        <f>IF($C179="","",IF(PULL_FUND="N","",IFERROR(BDP($C179,EPS_FIELD,YR_OVERRIDE,TEXT(YEAR_Y-1,"0")),"")))</f>
        <v/>
      </c>
      <c r="AC179" s="126">
        <f>IF($C179="","",IFERROR(AVERAGE(X179:AB179),""))</f>
        <v/>
      </c>
      <c r="AD179" s="140">
        <f>IF($C179="","",IF(PULL_FUND="N","",IFERROR(BDP($C179,BESTEPS_FIELD,FWD_OVERRIDE,TEXT(MOD(YEAR_Y,100),"00")&amp;"Y"),"")))</f>
        <v/>
      </c>
      <c r="AE179" s="141">
        <f>IF($C179="","",IF(PULL_FUND="N","",IFERROR(BDP($C179,PAYOUT_FIELD,YR_OVERRIDE,TEXT(YEAR_Y-5,"0"))/100,"")))</f>
        <v/>
      </c>
      <c r="AF179" s="142">
        <f>IF($C179="","",IF(PULL_FUND="N","",IFERROR(BDP($C179,PAYOUT_FIELD,YR_OVERRIDE,TEXT(YEAR_Y-4,"0"))/100,"")))</f>
        <v/>
      </c>
      <c r="AG179" s="142">
        <f>IF($C179="","",IF(PULL_FUND="N","",IFERROR(BDP($C179,PAYOUT_FIELD,YR_OVERRIDE,TEXT(YEAR_Y-3,"0"))/100,"")))</f>
        <v/>
      </c>
      <c r="AH179" s="142">
        <f>IF($C179="","",IF(PULL_FUND="N","",IFERROR(BDP($C179,PAYOUT_FIELD,YR_OVERRIDE,TEXT(YEAR_Y-2,"0"))/100,"")))</f>
        <v/>
      </c>
      <c r="AI179" s="142">
        <f>IF($C179="","",IF(PULL_FUND="N","",IFERROR(BDP($C179,PAYOUT_FIELD,YR_OVERRIDE,TEXT(YEAR_Y-1,"0"))/100,"")))</f>
        <v/>
      </c>
      <c r="AJ179" s="143">
        <f>IF($C179="","",IFERROR(AVERAGE(AE179:AI179),""))</f>
        <v/>
      </c>
      <c r="AK179" s="144">
        <f>IF($C179="","",IF(ISNUMBER($AD179)*ISNUMBER($N179)*($AD179&lt;&gt;0)=0,"",$N179/$AD179))</f>
        <v/>
      </c>
      <c r="AL179" s="143">
        <f>IF($C179="","",IF(ISNUMBER($AD179)*($AD179&lt;&gt;0)=0,"",$M179/$AD179))</f>
        <v/>
      </c>
      <c r="AM179" s="37">
        <f>IF($C179="","",IF(ISNUMBER($AE179)*ISNUMBER($AI179)=0,"",IF($AI179&gt;$AE179+0.05,"rising",IF($AI179&lt;$AE179-0.05,"falling","stable"))))</f>
        <v/>
      </c>
      <c r="AN179" s="145">
        <f>IF($C179="","",IF(PULL_FUND="N","",IF(COUNTIFS('Fund History'!$G$1018:$G$1022,"&gt;="&amp;DATE(YEAR_Y-4,1,1),'Fund History'!$G$1018:$G$1022,"&lt;="&amp;DATE(YEAR_Y-4,12,31))=0,"",SUMIFS('Fund History'!$H$1018:$H$1022,'Fund History'!$G$1018:$G$1022,"&gt;="&amp;DATE(YEAR_Y-4,1,1),'Fund History'!$G$1018:$G$1022,"&lt;="&amp;DATE(YEAR_Y-4,12,31))/100)))</f>
        <v/>
      </c>
      <c r="AO179" s="146">
        <f>IF($C179="","",IF(PULL_FUND="N","",IF(COUNTIFS('Fund History'!$G$1018:$G$1022,"&gt;="&amp;DATE(YEAR_Y-3,1,1),'Fund History'!$G$1018:$G$1022,"&lt;="&amp;DATE(YEAR_Y-3,12,31))=0,"",SUMIFS('Fund History'!$H$1018:$H$1022,'Fund History'!$G$1018:$G$1022,"&gt;="&amp;DATE(YEAR_Y-3,1,1),'Fund History'!$G$1018:$G$1022,"&lt;="&amp;DATE(YEAR_Y-3,12,31))/100)))</f>
        <v/>
      </c>
      <c r="AP179" s="146">
        <f>IF($C179="","",IF(PULL_FUND="N","",IF(COUNTIFS('Fund History'!$G$1018:$G$1022,"&gt;="&amp;DATE(YEAR_Y-2,1,1),'Fund History'!$G$1018:$G$1022,"&lt;="&amp;DATE(YEAR_Y-2,12,31))=0,"",SUMIFS('Fund History'!$H$1018:$H$1022,'Fund History'!$G$1018:$G$1022,"&gt;="&amp;DATE(YEAR_Y-2,1,1),'Fund History'!$G$1018:$G$1022,"&lt;="&amp;DATE(YEAR_Y-2,12,31))/100)))</f>
        <v/>
      </c>
      <c r="AQ179" s="146">
        <f>IF($C179="","",IF(PULL_FUND="N","",IF(COUNTIFS('Fund History'!$G$1018:$G$1022,"&gt;="&amp;DATE(YEAR_Y-1,1,1),'Fund History'!$G$1018:$G$1022,"&lt;="&amp;DATE(YEAR_Y-1,12,31))=0,"",SUMIFS('Fund History'!$H$1018:$H$1022,'Fund History'!$G$1018:$G$1022,"&gt;="&amp;DATE(YEAR_Y-1,1,1),'Fund History'!$G$1018:$G$1022,"&lt;="&amp;DATE(YEAR_Y-1,12,31))/100)))</f>
        <v/>
      </c>
      <c r="AR179" s="147">
        <f>IF($C179="","",IF(N($AQ179)+N(HSCEI!$I$34)=0,"",N($AQ179)+N(HSCEI!$I$34)/100))</f>
        <v/>
      </c>
      <c r="AS179" s="139">
        <f>IF($C179="","",IF(PULL_FUND="N","",IF(COUNTIFS('Fund History'!$D$1018:$D$1022,"&gt;="&amp;DATE(YEAR_Y-2,1,1),'Fund History'!$D$1018:$D$1022,"&lt;="&amp;DATE(YEAR_Y-2,12,31))=0,"",SUMIFS('Fund History'!$E$1018:$E$1022,'Fund History'!$D$1018:$D$1022,"&gt;="&amp;DATE(YEAR_Y-2,1,1),'Fund History'!$D$1018:$D$1022,"&lt;="&amp;DATE(YEAR_Y-2,12,31)))))</f>
        <v/>
      </c>
      <c r="AT179" s="140">
        <f>IF($C179="","",IF(PULL_FUND="N","",IF(COUNTIFS('Fund History'!$D$1018:$D$1022,"&gt;="&amp;DATE(YEAR_Y-1,1,1),'Fund History'!$D$1018:$D$1022,"&lt;="&amp;DATE(YEAR_Y-1,12,31))=0,"",SUMIFS('Fund History'!$E$1018:$E$1022,'Fund History'!$D$1018:$D$1022,"&gt;="&amp;DATE(YEAR_Y-1,1,1),'Fund History'!$D$1018:$D$1022,"&lt;="&amp;DATE(YEAR_Y-1,12,31)))))</f>
        <v/>
      </c>
      <c r="AU179" s="140">
        <f>IF($C179="","",IF(PULL_FUND="N","",IFERROR(BDP($C179,NDEBITDA_FIELD),"")))</f>
        <v/>
      </c>
      <c r="AV179" s="148">
        <f>IF($C179="","",IF(PULL_FUND="N","",IFERROR(BDP($C179,EBINT_FIELD),"")))</f>
        <v/>
      </c>
      <c r="AW179" s="146">
        <f>IF($C179="","",IF(PULL_FUND="N","",IFERROR(BDP($C179,FCF_FIELD)/100,"")))</f>
        <v/>
      </c>
      <c r="AX179" s="126">
        <f>IF($C179="","",IF(N($U179)=0,"",IFERROR($AW179/$U179,"")))</f>
        <v/>
      </c>
      <c r="AY179" s="85">
        <f>IF($C179="","",TRIM(IF(ISNUMBER($AJ179)*(N($AJ179)&gt;$D$4)&gt;0,"payout high  ","")&amp;IF(ISNUMBER($AX179)*(N($AX179)&lt;$F$4)&gt;0,"FCF below dvd  ","")&amp;IF(ISNUMBER($AU179)*(N($AU179)&gt;$H$4)&gt;0,"leverage high","")))</f>
        <v/>
      </c>
      <c r="AZ179" s="86">
        <f>IF($C179="","",IF(HSCEI!$F$34="HKD","",HSCEI!$F$34))</f>
        <v/>
      </c>
    </row>
    <row r="180">
      <c r="B180" s="66" t="inlineStr">
        <is>
          <t>HSCEI</t>
        </is>
      </c>
      <c r="C180" s="8">
        <f>IF(HSCEI!$C$35="","",HSCEI!$C$35)</f>
        <v/>
      </c>
      <c r="D180" s="8">
        <f>IF($C180="","",HSCEI!$D$35)</f>
        <v/>
      </c>
      <c r="E180" s="8">
        <f>IF($C180="","",HSCEI!$E$35)</f>
        <v/>
      </c>
      <c r="F180" s="131">
        <f>IF($C180="","",SUMPRODUCT(('Dvd Calendar'!$E$1869:$AR$1869&gt;=DATE(YEAR_Y-5,1,1))*('Dvd Calendar'!$E$1869:$AR$1869&lt;=DATE(YEAR_Y-5,12,31))*'Dvd Calendar'!$E$1872:$AR$1872*(('Dvd Calendar'!$E$1874:$AR$1874=TYPE1)*(TYPE1&lt;&gt;"")+('Dvd Calendar'!$E$1874:$AR$1874=TYPE2)*(TYPE2&lt;&gt;"")+('Dvd Calendar'!$E$1874:$AR$1874=TYPE3)*(TYPE3&lt;&gt;"")+('Dvd Calendar'!$E$1874:$AR$1874=TYPE4)*(TYPE4&lt;&gt;"")+('Dvd Calendar'!$E$1874:$AR$1874=SPECIAL_LBL)*(INC_SPECIALS="Y"))))</f>
        <v/>
      </c>
      <c r="G180" s="132">
        <f>IF($C180="","",SUMPRODUCT(('Dvd Calendar'!$E$1869:$AR$1869&gt;=DATE(YEAR_Y-4,1,1))*('Dvd Calendar'!$E$1869:$AR$1869&lt;=DATE(YEAR_Y-4,12,31))*'Dvd Calendar'!$E$1872:$AR$1872*(('Dvd Calendar'!$E$1874:$AR$1874=TYPE1)*(TYPE1&lt;&gt;"")+('Dvd Calendar'!$E$1874:$AR$1874=TYPE2)*(TYPE2&lt;&gt;"")+('Dvd Calendar'!$E$1874:$AR$1874=TYPE3)*(TYPE3&lt;&gt;"")+('Dvd Calendar'!$E$1874:$AR$1874=TYPE4)*(TYPE4&lt;&gt;"")+('Dvd Calendar'!$E$1874:$AR$1874=SPECIAL_LBL)*(INC_SPECIALS="Y"))))</f>
        <v/>
      </c>
      <c r="H180" s="132">
        <f>IF($C180="","",SUMPRODUCT(('Dvd Calendar'!$E$1869:$AR$1869&gt;=DATE(YEAR_Y-3,1,1))*('Dvd Calendar'!$E$1869:$AR$1869&lt;=DATE(YEAR_Y-3,12,31))*'Dvd Calendar'!$E$1872:$AR$1872*(('Dvd Calendar'!$E$1874:$AR$1874=TYPE1)*(TYPE1&lt;&gt;"")+('Dvd Calendar'!$E$1874:$AR$1874=TYPE2)*(TYPE2&lt;&gt;"")+('Dvd Calendar'!$E$1874:$AR$1874=TYPE3)*(TYPE3&lt;&gt;"")+('Dvd Calendar'!$E$1874:$AR$1874=TYPE4)*(TYPE4&lt;&gt;"")+('Dvd Calendar'!$E$1874:$AR$1874=SPECIAL_LBL)*(INC_SPECIALS="Y"))))</f>
        <v/>
      </c>
      <c r="I180" s="132">
        <f>IF($C180="","",SUMPRODUCT(('Dvd Calendar'!$E$1869:$AR$1869&gt;=DATE(YEAR_Y-2,1,1))*('Dvd Calendar'!$E$1869:$AR$1869&lt;=DATE(YEAR_Y-2,12,31))*'Dvd Calendar'!$E$1872:$AR$1872*(('Dvd Calendar'!$E$1874:$AR$1874=TYPE1)*(TYPE1&lt;&gt;"")+('Dvd Calendar'!$E$1874:$AR$1874=TYPE2)*(TYPE2&lt;&gt;"")+('Dvd Calendar'!$E$1874:$AR$1874=TYPE3)*(TYPE3&lt;&gt;"")+('Dvd Calendar'!$E$1874:$AR$1874=TYPE4)*(TYPE4&lt;&gt;"")+('Dvd Calendar'!$E$1874:$AR$1874=SPECIAL_LBL)*(INC_SPECIALS="Y"))))</f>
        <v/>
      </c>
      <c r="J180" s="132">
        <f>IF($C180="","",SUMPRODUCT(('Dvd Calendar'!$E$1869:$AR$1869&gt;=DATE(YEAR_Y-1,1,1))*('Dvd Calendar'!$E$1869:$AR$1869&lt;=DATE(YEAR_Y-1,12,31))*'Dvd Calendar'!$E$1872:$AR$1872*(('Dvd Calendar'!$E$1874:$AR$1874=TYPE1)*(TYPE1&lt;&gt;"")+('Dvd Calendar'!$E$1874:$AR$1874=TYPE2)*(TYPE2&lt;&gt;"")+('Dvd Calendar'!$E$1874:$AR$1874=TYPE3)*(TYPE3&lt;&gt;"")+('Dvd Calendar'!$E$1874:$AR$1874=TYPE4)*(TYPE4&lt;&gt;"")+('Dvd Calendar'!$E$1874:$AR$1874=SPECIAL_LBL)*(INC_SPECIALS="Y"))))</f>
        <v/>
      </c>
      <c r="K180" s="133">
        <f>IF($C180="","",HSCEI!$J$35)</f>
        <v/>
      </c>
      <c r="L180" s="133">
        <f>IF($C180="","",HSCEI!$K$35)</f>
        <v/>
      </c>
      <c r="M180" s="124">
        <f>IF($C180="","",HSCEI!$J$35+HSCEI!$L$35)</f>
        <v/>
      </c>
      <c r="N180" s="134">
        <f>IF($C180="","",IF(PULL_FUND="N","",IFERROR(BDP($C180,BESTDPS_FIELD,FWD_OVERRIDE,TEXT(MOD(YEAR_Y,100),"00")&amp;"Y"),"")))</f>
        <v/>
      </c>
      <c r="O180" s="133">
        <f>IF($C180="","",AVERAGE(F180:J180))</f>
        <v/>
      </c>
      <c r="P180" s="135">
        <f>IF($C180="","",IF(PULL_FUND="N","",IF(COUNTIFS('Fund History'!$J$1024:$J$1028,"&gt;="&amp;DATE(YEAR_Y-5,1,1),'Fund History'!$J$1024:$J$1028,"&lt;="&amp;DATE(YEAR_Y-5,12,31))=0,"",IFERROR($F180*HSCEI!$G$35/SUMIFS('Fund History'!$K$1024:$K$1028,'Fund History'!$J$1024:$J$1028,"&gt;="&amp;DATE(YEAR_Y-5,1,1),'Fund History'!$J$1024:$J$1028,"&lt;="&amp;DATE(YEAR_Y-5,12,31)),""))))</f>
        <v/>
      </c>
      <c r="Q180" s="136">
        <f>IF($C180="","",IF(PULL_FUND="N","",IF(COUNTIFS('Fund History'!$J$1024:$J$1028,"&gt;="&amp;DATE(YEAR_Y-4,1,1),'Fund History'!$J$1024:$J$1028,"&lt;="&amp;DATE(YEAR_Y-4,12,31))=0,"",IFERROR($G180*HSCEI!$G$35/SUMIFS('Fund History'!$K$1024:$K$1028,'Fund History'!$J$1024:$J$1028,"&gt;="&amp;DATE(YEAR_Y-4,1,1),'Fund History'!$J$1024:$J$1028,"&lt;="&amp;DATE(YEAR_Y-4,12,31)),""))))</f>
        <v/>
      </c>
      <c r="R180" s="136">
        <f>IF($C180="","",IF(PULL_FUND="N","",IF(COUNTIFS('Fund History'!$J$1024:$J$1028,"&gt;="&amp;DATE(YEAR_Y-3,1,1),'Fund History'!$J$1024:$J$1028,"&lt;="&amp;DATE(YEAR_Y-3,12,31))=0,"",IFERROR($H180*HSCEI!$G$35/SUMIFS('Fund History'!$K$1024:$K$1028,'Fund History'!$J$1024:$J$1028,"&gt;="&amp;DATE(YEAR_Y-3,1,1),'Fund History'!$J$1024:$J$1028,"&lt;="&amp;DATE(YEAR_Y-3,12,31)),""))))</f>
        <v/>
      </c>
      <c r="S180" s="136">
        <f>IF($C180="","",IF(PULL_FUND="N","",IF(COUNTIFS('Fund History'!$J$1024:$J$1028,"&gt;="&amp;DATE(YEAR_Y-2,1,1),'Fund History'!$J$1024:$J$1028,"&lt;="&amp;DATE(YEAR_Y-2,12,31))=0,"",IFERROR($I180*HSCEI!$G$35/SUMIFS('Fund History'!$K$1024:$K$1028,'Fund History'!$J$1024:$J$1028,"&gt;="&amp;DATE(YEAR_Y-2,1,1),'Fund History'!$J$1024:$J$1028,"&lt;="&amp;DATE(YEAR_Y-2,12,31)),""))))</f>
        <v/>
      </c>
      <c r="T180" s="136">
        <f>IF($C180="","",IF(PULL_FUND="N","",IF(COUNTIFS('Fund History'!$J$1024:$J$1028,"&gt;="&amp;DATE(YEAR_Y-1,1,1),'Fund History'!$J$1024:$J$1028,"&lt;="&amp;DATE(YEAR_Y-1,12,31))=0,"",IFERROR($J180*HSCEI!$G$35/SUMIFS('Fund History'!$K$1024:$K$1028,'Fund History'!$J$1024:$J$1028,"&gt;="&amp;DATE(YEAR_Y-1,1,1),'Fund History'!$J$1024:$J$1028,"&lt;="&amp;DATE(YEAR_Y-1,12,31)),""))))</f>
        <v/>
      </c>
      <c r="U180" s="137">
        <f>IF($C180="","",IF(ISNUMBER(HSCEI!$I$35),HSCEI!$I$35/100,""))</f>
        <v/>
      </c>
      <c r="V180" s="138">
        <f>IF($C180="","",IF(ISNUMBER(HSCEI!$X$35),IFERROR($M180*HSCEI!$G$35/HSCEI!$X$35,""),""))</f>
        <v/>
      </c>
      <c r="W180" s="137">
        <f>IF($C180="","",IF(ISNUMBER($N180),IFERROR($N180*HSCEI!$G$35/HSCEI!$X$35,""),""))</f>
        <v/>
      </c>
      <c r="X180" s="139">
        <f>IF($C180="","",IF(PULL_FUND="N","",IFERROR(BDP($C180,EPS_FIELD,YR_OVERRIDE,TEXT(YEAR_Y-5,"0")),"")))</f>
        <v/>
      </c>
      <c r="Y180" s="140">
        <f>IF($C180="","",IF(PULL_FUND="N","",IFERROR(BDP($C180,EPS_FIELD,YR_OVERRIDE,TEXT(YEAR_Y-4,"0")),"")))</f>
        <v/>
      </c>
      <c r="Z180" s="140">
        <f>IF($C180="","",IF(PULL_FUND="N","",IFERROR(BDP($C180,EPS_FIELD,YR_OVERRIDE,TEXT(YEAR_Y-3,"0")),"")))</f>
        <v/>
      </c>
      <c r="AA180" s="140">
        <f>IF($C180="","",IF(PULL_FUND="N","",IFERROR(BDP($C180,EPS_FIELD,YR_OVERRIDE,TEXT(YEAR_Y-2,"0")),"")))</f>
        <v/>
      </c>
      <c r="AB180" s="140">
        <f>IF($C180="","",IF(PULL_FUND="N","",IFERROR(BDP($C180,EPS_FIELD,YR_OVERRIDE,TEXT(YEAR_Y-1,"0")),"")))</f>
        <v/>
      </c>
      <c r="AC180" s="126">
        <f>IF($C180="","",IFERROR(AVERAGE(X180:AB180),""))</f>
        <v/>
      </c>
      <c r="AD180" s="140">
        <f>IF($C180="","",IF(PULL_FUND="N","",IFERROR(BDP($C180,BESTEPS_FIELD,FWD_OVERRIDE,TEXT(MOD(YEAR_Y,100),"00")&amp;"Y"),"")))</f>
        <v/>
      </c>
      <c r="AE180" s="141">
        <f>IF($C180="","",IF(PULL_FUND="N","",IFERROR(BDP($C180,PAYOUT_FIELD,YR_OVERRIDE,TEXT(YEAR_Y-5,"0"))/100,"")))</f>
        <v/>
      </c>
      <c r="AF180" s="142">
        <f>IF($C180="","",IF(PULL_FUND="N","",IFERROR(BDP($C180,PAYOUT_FIELD,YR_OVERRIDE,TEXT(YEAR_Y-4,"0"))/100,"")))</f>
        <v/>
      </c>
      <c r="AG180" s="142">
        <f>IF($C180="","",IF(PULL_FUND="N","",IFERROR(BDP($C180,PAYOUT_FIELD,YR_OVERRIDE,TEXT(YEAR_Y-3,"0"))/100,"")))</f>
        <v/>
      </c>
      <c r="AH180" s="142">
        <f>IF($C180="","",IF(PULL_FUND="N","",IFERROR(BDP($C180,PAYOUT_FIELD,YR_OVERRIDE,TEXT(YEAR_Y-2,"0"))/100,"")))</f>
        <v/>
      </c>
      <c r="AI180" s="142">
        <f>IF($C180="","",IF(PULL_FUND="N","",IFERROR(BDP($C180,PAYOUT_FIELD,YR_OVERRIDE,TEXT(YEAR_Y-1,"0"))/100,"")))</f>
        <v/>
      </c>
      <c r="AJ180" s="143">
        <f>IF($C180="","",IFERROR(AVERAGE(AE180:AI180),""))</f>
        <v/>
      </c>
      <c r="AK180" s="144">
        <f>IF($C180="","",IF(ISNUMBER($AD180)*ISNUMBER($N180)*($AD180&lt;&gt;0)=0,"",$N180/$AD180))</f>
        <v/>
      </c>
      <c r="AL180" s="143">
        <f>IF($C180="","",IF(ISNUMBER($AD180)*($AD180&lt;&gt;0)=0,"",$M180/$AD180))</f>
        <v/>
      </c>
      <c r="AM180" s="37">
        <f>IF($C180="","",IF(ISNUMBER($AE180)*ISNUMBER($AI180)=0,"",IF($AI180&gt;$AE180+0.05,"rising",IF($AI180&lt;$AE180-0.05,"falling","stable"))))</f>
        <v/>
      </c>
      <c r="AN180" s="145">
        <f>IF($C180="","",IF(PULL_FUND="N","",IF(COUNTIFS('Fund History'!$G$1024:$G$1028,"&gt;="&amp;DATE(YEAR_Y-4,1,1),'Fund History'!$G$1024:$G$1028,"&lt;="&amp;DATE(YEAR_Y-4,12,31))=0,"",SUMIFS('Fund History'!$H$1024:$H$1028,'Fund History'!$G$1024:$G$1028,"&gt;="&amp;DATE(YEAR_Y-4,1,1),'Fund History'!$G$1024:$G$1028,"&lt;="&amp;DATE(YEAR_Y-4,12,31))/100)))</f>
        <v/>
      </c>
      <c r="AO180" s="146">
        <f>IF($C180="","",IF(PULL_FUND="N","",IF(COUNTIFS('Fund History'!$G$1024:$G$1028,"&gt;="&amp;DATE(YEAR_Y-3,1,1),'Fund History'!$G$1024:$G$1028,"&lt;="&amp;DATE(YEAR_Y-3,12,31))=0,"",SUMIFS('Fund History'!$H$1024:$H$1028,'Fund History'!$G$1024:$G$1028,"&gt;="&amp;DATE(YEAR_Y-3,1,1),'Fund History'!$G$1024:$G$1028,"&lt;="&amp;DATE(YEAR_Y-3,12,31))/100)))</f>
        <v/>
      </c>
      <c r="AP180" s="146">
        <f>IF($C180="","",IF(PULL_FUND="N","",IF(COUNTIFS('Fund History'!$G$1024:$G$1028,"&gt;="&amp;DATE(YEAR_Y-2,1,1),'Fund History'!$G$1024:$G$1028,"&lt;="&amp;DATE(YEAR_Y-2,12,31))=0,"",SUMIFS('Fund History'!$H$1024:$H$1028,'Fund History'!$G$1024:$G$1028,"&gt;="&amp;DATE(YEAR_Y-2,1,1),'Fund History'!$G$1024:$G$1028,"&lt;="&amp;DATE(YEAR_Y-2,12,31))/100)))</f>
        <v/>
      </c>
      <c r="AQ180" s="146">
        <f>IF($C180="","",IF(PULL_FUND="N","",IF(COUNTIFS('Fund History'!$G$1024:$G$1028,"&gt;="&amp;DATE(YEAR_Y-1,1,1),'Fund History'!$G$1024:$G$1028,"&lt;="&amp;DATE(YEAR_Y-1,12,31))=0,"",SUMIFS('Fund History'!$H$1024:$H$1028,'Fund History'!$G$1024:$G$1028,"&gt;="&amp;DATE(YEAR_Y-1,1,1),'Fund History'!$G$1024:$G$1028,"&lt;="&amp;DATE(YEAR_Y-1,12,31))/100)))</f>
        <v/>
      </c>
      <c r="AR180" s="147">
        <f>IF($C180="","",IF(N($AQ180)+N(HSCEI!$I$35)=0,"",N($AQ180)+N(HSCEI!$I$35)/100))</f>
        <v/>
      </c>
      <c r="AS180" s="139">
        <f>IF($C180="","",IF(PULL_FUND="N","",IF(COUNTIFS('Fund History'!$D$1024:$D$1028,"&gt;="&amp;DATE(YEAR_Y-2,1,1),'Fund History'!$D$1024:$D$1028,"&lt;="&amp;DATE(YEAR_Y-2,12,31))=0,"",SUMIFS('Fund History'!$E$1024:$E$1028,'Fund History'!$D$1024:$D$1028,"&gt;="&amp;DATE(YEAR_Y-2,1,1),'Fund History'!$D$1024:$D$1028,"&lt;="&amp;DATE(YEAR_Y-2,12,31)))))</f>
        <v/>
      </c>
      <c r="AT180" s="140">
        <f>IF($C180="","",IF(PULL_FUND="N","",IF(COUNTIFS('Fund History'!$D$1024:$D$1028,"&gt;="&amp;DATE(YEAR_Y-1,1,1),'Fund History'!$D$1024:$D$1028,"&lt;="&amp;DATE(YEAR_Y-1,12,31))=0,"",SUMIFS('Fund History'!$E$1024:$E$1028,'Fund History'!$D$1024:$D$1028,"&gt;="&amp;DATE(YEAR_Y-1,1,1),'Fund History'!$D$1024:$D$1028,"&lt;="&amp;DATE(YEAR_Y-1,12,31)))))</f>
        <v/>
      </c>
      <c r="AU180" s="140">
        <f>IF($C180="","",IF(PULL_FUND="N","",IFERROR(BDP($C180,NDEBITDA_FIELD),"")))</f>
        <v/>
      </c>
      <c r="AV180" s="148">
        <f>IF($C180="","",IF(PULL_FUND="N","",IFERROR(BDP($C180,EBINT_FIELD),"")))</f>
        <v/>
      </c>
      <c r="AW180" s="146">
        <f>IF($C180="","",IF(PULL_FUND="N","",IFERROR(BDP($C180,FCF_FIELD)/100,"")))</f>
        <v/>
      </c>
      <c r="AX180" s="126">
        <f>IF($C180="","",IF(N($U180)=0,"",IFERROR($AW180/$U180,"")))</f>
        <v/>
      </c>
      <c r="AY180" s="85">
        <f>IF($C180="","",TRIM(IF(ISNUMBER($AJ180)*(N($AJ180)&gt;$D$4)&gt;0,"payout high  ","")&amp;IF(ISNUMBER($AX180)*(N($AX180)&lt;$F$4)&gt;0,"FCF below dvd  ","")&amp;IF(ISNUMBER($AU180)*(N($AU180)&gt;$H$4)&gt;0,"leverage high","")))</f>
        <v/>
      </c>
      <c r="AZ180" s="86">
        <f>IF($C180="","",IF(HSCEI!$F$35="HKD","",HSCEI!$F$35))</f>
        <v/>
      </c>
    </row>
    <row r="181">
      <c r="B181" s="66" t="inlineStr">
        <is>
          <t>HSCEI</t>
        </is>
      </c>
      <c r="C181" s="8">
        <f>IF(HSCEI!$C$36="","",HSCEI!$C$36)</f>
        <v/>
      </c>
      <c r="D181" s="8">
        <f>IF($C181="","",HSCEI!$D$36)</f>
        <v/>
      </c>
      <c r="E181" s="8">
        <f>IF($C181="","",HSCEI!$E$36)</f>
        <v/>
      </c>
      <c r="F181" s="131">
        <f>IF($C181="","",SUMPRODUCT(('Dvd Calendar'!$E$1880:$AR$1880&gt;=DATE(YEAR_Y-5,1,1))*('Dvd Calendar'!$E$1880:$AR$1880&lt;=DATE(YEAR_Y-5,12,31))*'Dvd Calendar'!$E$1883:$AR$1883*(('Dvd Calendar'!$E$1885:$AR$1885=TYPE1)*(TYPE1&lt;&gt;"")+('Dvd Calendar'!$E$1885:$AR$1885=TYPE2)*(TYPE2&lt;&gt;"")+('Dvd Calendar'!$E$1885:$AR$1885=TYPE3)*(TYPE3&lt;&gt;"")+('Dvd Calendar'!$E$1885:$AR$1885=TYPE4)*(TYPE4&lt;&gt;"")+('Dvd Calendar'!$E$1885:$AR$1885=SPECIAL_LBL)*(INC_SPECIALS="Y"))))</f>
        <v/>
      </c>
      <c r="G181" s="132">
        <f>IF($C181="","",SUMPRODUCT(('Dvd Calendar'!$E$1880:$AR$1880&gt;=DATE(YEAR_Y-4,1,1))*('Dvd Calendar'!$E$1880:$AR$1880&lt;=DATE(YEAR_Y-4,12,31))*'Dvd Calendar'!$E$1883:$AR$1883*(('Dvd Calendar'!$E$1885:$AR$1885=TYPE1)*(TYPE1&lt;&gt;"")+('Dvd Calendar'!$E$1885:$AR$1885=TYPE2)*(TYPE2&lt;&gt;"")+('Dvd Calendar'!$E$1885:$AR$1885=TYPE3)*(TYPE3&lt;&gt;"")+('Dvd Calendar'!$E$1885:$AR$1885=TYPE4)*(TYPE4&lt;&gt;"")+('Dvd Calendar'!$E$1885:$AR$1885=SPECIAL_LBL)*(INC_SPECIALS="Y"))))</f>
        <v/>
      </c>
      <c r="H181" s="132">
        <f>IF($C181="","",SUMPRODUCT(('Dvd Calendar'!$E$1880:$AR$1880&gt;=DATE(YEAR_Y-3,1,1))*('Dvd Calendar'!$E$1880:$AR$1880&lt;=DATE(YEAR_Y-3,12,31))*'Dvd Calendar'!$E$1883:$AR$1883*(('Dvd Calendar'!$E$1885:$AR$1885=TYPE1)*(TYPE1&lt;&gt;"")+('Dvd Calendar'!$E$1885:$AR$1885=TYPE2)*(TYPE2&lt;&gt;"")+('Dvd Calendar'!$E$1885:$AR$1885=TYPE3)*(TYPE3&lt;&gt;"")+('Dvd Calendar'!$E$1885:$AR$1885=TYPE4)*(TYPE4&lt;&gt;"")+('Dvd Calendar'!$E$1885:$AR$1885=SPECIAL_LBL)*(INC_SPECIALS="Y"))))</f>
        <v/>
      </c>
      <c r="I181" s="132">
        <f>IF($C181="","",SUMPRODUCT(('Dvd Calendar'!$E$1880:$AR$1880&gt;=DATE(YEAR_Y-2,1,1))*('Dvd Calendar'!$E$1880:$AR$1880&lt;=DATE(YEAR_Y-2,12,31))*'Dvd Calendar'!$E$1883:$AR$1883*(('Dvd Calendar'!$E$1885:$AR$1885=TYPE1)*(TYPE1&lt;&gt;"")+('Dvd Calendar'!$E$1885:$AR$1885=TYPE2)*(TYPE2&lt;&gt;"")+('Dvd Calendar'!$E$1885:$AR$1885=TYPE3)*(TYPE3&lt;&gt;"")+('Dvd Calendar'!$E$1885:$AR$1885=TYPE4)*(TYPE4&lt;&gt;"")+('Dvd Calendar'!$E$1885:$AR$1885=SPECIAL_LBL)*(INC_SPECIALS="Y"))))</f>
        <v/>
      </c>
      <c r="J181" s="132">
        <f>IF($C181="","",SUMPRODUCT(('Dvd Calendar'!$E$1880:$AR$1880&gt;=DATE(YEAR_Y-1,1,1))*('Dvd Calendar'!$E$1880:$AR$1880&lt;=DATE(YEAR_Y-1,12,31))*'Dvd Calendar'!$E$1883:$AR$1883*(('Dvd Calendar'!$E$1885:$AR$1885=TYPE1)*(TYPE1&lt;&gt;"")+('Dvd Calendar'!$E$1885:$AR$1885=TYPE2)*(TYPE2&lt;&gt;"")+('Dvd Calendar'!$E$1885:$AR$1885=TYPE3)*(TYPE3&lt;&gt;"")+('Dvd Calendar'!$E$1885:$AR$1885=TYPE4)*(TYPE4&lt;&gt;"")+('Dvd Calendar'!$E$1885:$AR$1885=SPECIAL_LBL)*(INC_SPECIALS="Y"))))</f>
        <v/>
      </c>
      <c r="K181" s="133">
        <f>IF($C181="","",HSCEI!$J$36)</f>
        <v/>
      </c>
      <c r="L181" s="133">
        <f>IF($C181="","",HSCEI!$K$36)</f>
        <v/>
      </c>
      <c r="M181" s="124">
        <f>IF($C181="","",HSCEI!$J$36+HSCEI!$L$36)</f>
        <v/>
      </c>
      <c r="N181" s="134">
        <f>IF($C181="","",IF(PULL_FUND="N","",IFERROR(BDP($C181,BESTDPS_FIELD,FWD_OVERRIDE,TEXT(MOD(YEAR_Y,100),"00")&amp;"Y"),"")))</f>
        <v/>
      </c>
      <c r="O181" s="133">
        <f>IF($C181="","",AVERAGE(F181:J181))</f>
        <v/>
      </c>
      <c r="P181" s="135">
        <f>IF($C181="","",IF(PULL_FUND="N","",IF(COUNTIFS('Fund History'!$J$1030:$J$1034,"&gt;="&amp;DATE(YEAR_Y-5,1,1),'Fund History'!$J$1030:$J$1034,"&lt;="&amp;DATE(YEAR_Y-5,12,31))=0,"",IFERROR($F181*HSCEI!$G$36/SUMIFS('Fund History'!$K$1030:$K$1034,'Fund History'!$J$1030:$J$1034,"&gt;="&amp;DATE(YEAR_Y-5,1,1),'Fund History'!$J$1030:$J$1034,"&lt;="&amp;DATE(YEAR_Y-5,12,31)),""))))</f>
        <v/>
      </c>
      <c r="Q181" s="136">
        <f>IF($C181="","",IF(PULL_FUND="N","",IF(COUNTIFS('Fund History'!$J$1030:$J$1034,"&gt;="&amp;DATE(YEAR_Y-4,1,1),'Fund History'!$J$1030:$J$1034,"&lt;="&amp;DATE(YEAR_Y-4,12,31))=0,"",IFERROR($G181*HSCEI!$G$36/SUMIFS('Fund History'!$K$1030:$K$1034,'Fund History'!$J$1030:$J$1034,"&gt;="&amp;DATE(YEAR_Y-4,1,1),'Fund History'!$J$1030:$J$1034,"&lt;="&amp;DATE(YEAR_Y-4,12,31)),""))))</f>
        <v/>
      </c>
      <c r="R181" s="136">
        <f>IF($C181="","",IF(PULL_FUND="N","",IF(COUNTIFS('Fund History'!$J$1030:$J$1034,"&gt;="&amp;DATE(YEAR_Y-3,1,1),'Fund History'!$J$1030:$J$1034,"&lt;="&amp;DATE(YEAR_Y-3,12,31))=0,"",IFERROR($H181*HSCEI!$G$36/SUMIFS('Fund History'!$K$1030:$K$1034,'Fund History'!$J$1030:$J$1034,"&gt;="&amp;DATE(YEAR_Y-3,1,1),'Fund History'!$J$1030:$J$1034,"&lt;="&amp;DATE(YEAR_Y-3,12,31)),""))))</f>
        <v/>
      </c>
      <c r="S181" s="136">
        <f>IF($C181="","",IF(PULL_FUND="N","",IF(COUNTIFS('Fund History'!$J$1030:$J$1034,"&gt;="&amp;DATE(YEAR_Y-2,1,1),'Fund History'!$J$1030:$J$1034,"&lt;="&amp;DATE(YEAR_Y-2,12,31))=0,"",IFERROR($I181*HSCEI!$G$36/SUMIFS('Fund History'!$K$1030:$K$1034,'Fund History'!$J$1030:$J$1034,"&gt;="&amp;DATE(YEAR_Y-2,1,1),'Fund History'!$J$1030:$J$1034,"&lt;="&amp;DATE(YEAR_Y-2,12,31)),""))))</f>
        <v/>
      </c>
      <c r="T181" s="136">
        <f>IF($C181="","",IF(PULL_FUND="N","",IF(COUNTIFS('Fund History'!$J$1030:$J$1034,"&gt;="&amp;DATE(YEAR_Y-1,1,1),'Fund History'!$J$1030:$J$1034,"&lt;="&amp;DATE(YEAR_Y-1,12,31))=0,"",IFERROR($J181*HSCEI!$G$36/SUMIFS('Fund History'!$K$1030:$K$1034,'Fund History'!$J$1030:$J$1034,"&gt;="&amp;DATE(YEAR_Y-1,1,1),'Fund History'!$J$1030:$J$1034,"&lt;="&amp;DATE(YEAR_Y-1,12,31)),""))))</f>
        <v/>
      </c>
      <c r="U181" s="137">
        <f>IF($C181="","",IF(ISNUMBER(HSCEI!$I$36),HSCEI!$I$36/100,""))</f>
        <v/>
      </c>
      <c r="V181" s="138">
        <f>IF($C181="","",IF(ISNUMBER(HSCEI!$X$36),IFERROR($M181*HSCEI!$G$36/HSCEI!$X$36,""),""))</f>
        <v/>
      </c>
      <c r="W181" s="137">
        <f>IF($C181="","",IF(ISNUMBER($N181),IFERROR($N181*HSCEI!$G$36/HSCEI!$X$36,""),""))</f>
        <v/>
      </c>
      <c r="X181" s="139">
        <f>IF($C181="","",IF(PULL_FUND="N","",IFERROR(BDP($C181,EPS_FIELD,YR_OVERRIDE,TEXT(YEAR_Y-5,"0")),"")))</f>
        <v/>
      </c>
      <c r="Y181" s="140">
        <f>IF($C181="","",IF(PULL_FUND="N","",IFERROR(BDP($C181,EPS_FIELD,YR_OVERRIDE,TEXT(YEAR_Y-4,"0")),"")))</f>
        <v/>
      </c>
      <c r="Z181" s="140">
        <f>IF($C181="","",IF(PULL_FUND="N","",IFERROR(BDP($C181,EPS_FIELD,YR_OVERRIDE,TEXT(YEAR_Y-3,"0")),"")))</f>
        <v/>
      </c>
      <c r="AA181" s="140">
        <f>IF($C181="","",IF(PULL_FUND="N","",IFERROR(BDP($C181,EPS_FIELD,YR_OVERRIDE,TEXT(YEAR_Y-2,"0")),"")))</f>
        <v/>
      </c>
      <c r="AB181" s="140">
        <f>IF($C181="","",IF(PULL_FUND="N","",IFERROR(BDP($C181,EPS_FIELD,YR_OVERRIDE,TEXT(YEAR_Y-1,"0")),"")))</f>
        <v/>
      </c>
      <c r="AC181" s="126">
        <f>IF($C181="","",IFERROR(AVERAGE(X181:AB181),""))</f>
        <v/>
      </c>
      <c r="AD181" s="140">
        <f>IF($C181="","",IF(PULL_FUND="N","",IFERROR(BDP($C181,BESTEPS_FIELD,FWD_OVERRIDE,TEXT(MOD(YEAR_Y,100),"00")&amp;"Y"),"")))</f>
        <v/>
      </c>
      <c r="AE181" s="141">
        <f>IF($C181="","",IF(PULL_FUND="N","",IFERROR(BDP($C181,PAYOUT_FIELD,YR_OVERRIDE,TEXT(YEAR_Y-5,"0"))/100,"")))</f>
        <v/>
      </c>
      <c r="AF181" s="142">
        <f>IF($C181="","",IF(PULL_FUND="N","",IFERROR(BDP($C181,PAYOUT_FIELD,YR_OVERRIDE,TEXT(YEAR_Y-4,"0"))/100,"")))</f>
        <v/>
      </c>
      <c r="AG181" s="142">
        <f>IF($C181="","",IF(PULL_FUND="N","",IFERROR(BDP($C181,PAYOUT_FIELD,YR_OVERRIDE,TEXT(YEAR_Y-3,"0"))/100,"")))</f>
        <v/>
      </c>
      <c r="AH181" s="142">
        <f>IF($C181="","",IF(PULL_FUND="N","",IFERROR(BDP($C181,PAYOUT_FIELD,YR_OVERRIDE,TEXT(YEAR_Y-2,"0"))/100,"")))</f>
        <v/>
      </c>
      <c r="AI181" s="142">
        <f>IF($C181="","",IF(PULL_FUND="N","",IFERROR(BDP($C181,PAYOUT_FIELD,YR_OVERRIDE,TEXT(YEAR_Y-1,"0"))/100,"")))</f>
        <v/>
      </c>
      <c r="AJ181" s="143">
        <f>IF($C181="","",IFERROR(AVERAGE(AE181:AI181),""))</f>
        <v/>
      </c>
      <c r="AK181" s="144">
        <f>IF($C181="","",IF(ISNUMBER($AD181)*ISNUMBER($N181)*($AD181&lt;&gt;0)=0,"",$N181/$AD181))</f>
        <v/>
      </c>
      <c r="AL181" s="143">
        <f>IF($C181="","",IF(ISNUMBER($AD181)*($AD181&lt;&gt;0)=0,"",$M181/$AD181))</f>
        <v/>
      </c>
      <c r="AM181" s="37">
        <f>IF($C181="","",IF(ISNUMBER($AE181)*ISNUMBER($AI181)=0,"",IF($AI181&gt;$AE181+0.05,"rising",IF($AI181&lt;$AE181-0.05,"falling","stable"))))</f>
        <v/>
      </c>
      <c r="AN181" s="145">
        <f>IF($C181="","",IF(PULL_FUND="N","",IF(COUNTIFS('Fund History'!$G$1030:$G$1034,"&gt;="&amp;DATE(YEAR_Y-4,1,1),'Fund History'!$G$1030:$G$1034,"&lt;="&amp;DATE(YEAR_Y-4,12,31))=0,"",SUMIFS('Fund History'!$H$1030:$H$1034,'Fund History'!$G$1030:$G$1034,"&gt;="&amp;DATE(YEAR_Y-4,1,1),'Fund History'!$G$1030:$G$1034,"&lt;="&amp;DATE(YEAR_Y-4,12,31))/100)))</f>
        <v/>
      </c>
      <c r="AO181" s="146">
        <f>IF($C181="","",IF(PULL_FUND="N","",IF(COUNTIFS('Fund History'!$G$1030:$G$1034,"&gt;="&amp;DATE(YEAR_Y-3,1,1),'Fund History'!$G$1030:$G$1034,"&lt;="&amp;DATE(YEAR_Y-3,12,31))=0,"",SUMIFS('Fund History'!$H$1030:$H$1034,'Fund History'!$G$1030:$G$1034,"&gt;="&amp;DATE(YEAR_Y-3,1,1),'Fund History'!$G$1030:$G$1034,"&lt;="&amp;DATE(YEAR_Y-3,12,31))/100)))</f>
        <v/>
      </c>
      <c r="AP181" s="146">
        <f>IF($C181="","",IF(PULL_FUND="N","",IF(COUNTIFS('Fund History'!$G$1030:$G$1034,"&gt;="&amp;DATE(YEAR_Y-2,1,1),'Fund History'!$G$1030:$G$1034,"&lt;="&amp;DATE(YEAR_Y-2,12,31))=0,"",SUMIFS('Fund History'!$H$1030:$H$1034,'Fund History'!$G$1030:$G$1034,"&gt;="&amp;DATE(YEAR_Y-2,1,1),'Fund History'!$G$1030:$G$1034,"&lt;="&amp;DATE(YEAR_Y-2,12,31))/100)))</f>
        <v/>
      </c>
      <c r="AQ181" s="146">
        <f>IF($C181="","",IF(PULL_FUND="N","",IF(COUNTIFS('Fund History'!$G$1030:$G$1034,"&gt;="&amp;DATE(YEAR_Y-1,1,1),'Fund History'!$G$1030:$G$1034,"&lt;="&amp;DATE(YEAR_Y-1,12,31))=0,"",SUMIFS('Fund History'!$H$1030:$H$1034,'Fund History'!$G$1030:$G$1034,"&gt;="&amp;DATE(YEAR_Y-1,1,1),'Fund History'!$G$1030:$G$1034,"&lt;="&amp;DATE(YEAR_Y-1,12,31))/100)))</f>
        <v/>
      </c>
      <c r="AR181" s="147">
        <f>IF($C181="","",IF(N($AQ181)+N(HSCEI!$I$36)=0,"",N($AQ181)+N(HSCEI!$I$36)/100))</f>
        <v/>
      </c>
      <c r="AS181" s="139">
        <f>IF($C181="","",IF(PULL_FUND="N","",IF(COUNTIFS('Fund History'!$D$1030:$D$1034,"&gt;="&amp;DATE(YEAR_Y-2,1,1),'Fund History'!$D$1030:$D$1034,"&lt;="&amp;DATE(YEAR_Y-2,12,31))=0,"",SUMIFS('Fund History'!$E$1030:$E$1034,'Fund History'!$D$1030:$D$1034,"&gt;="&amp;DATE(YEAR_Y-2,1,1),'Fund History'!$D$1030:$D$1034,"&lt;="&amp;DATE(YEAR_Y-2,12,31)))))</f>
        <v/>
      </c>
      <c r="AT181" s="140">
        <f>IF($C181="","",IF(PULL_FUND="N","",IF(COUNTIFS('Fund History'!$D$1030:$D$1034,"&gt;="&amp;DATE(YEAR_Y-1,1,1),'Fund History'!$D$1030:$D$1034,"&lt;="&amp;DATE(YEAR_Y-1,12,31))=0,"",SUMIFS('Fund History'!$E$1030:$E$1034,'Fund History'!$D$1030:$D$1034,"&gt;="&amp;DATE(YEAR_Y-1,1,1),'Fund History'!$D$1030:$D$1034,"&lt;="&amp;DATE(YEAR_Y-1,12,31)))))</f>
        <v/>
      </c>
      <c r="AU181" s="140">
        <f>IF($C181="","",IF(PULL_FUND="N","",IFERROR(BDP($C181,NDEBITDA_FIELD),"")))</f>
        <v/>
      </c>
      <c r="AV181" s="148">
        <f>IF($C181="","",IF(PULL_FUND="N","",IFERROR(BDP($C181,EBINT_FIELD),"")))</f>
        <v/>
      </c>
      <c r="AW181" s="146">
        <f>IF($C181="","",IF(PULL_FUND="N","",IFERROR(BDP($C181,FCF_FIELD)/100,"")))</f>
        <v/>
      </c>
      <c r="AX181" s="126">
        <f>IF($C181="","",IF(N($U181)=0,"",IFERROR($AW181/$U181,"")))</f>
        <v/>
      </c>
      <c r="AY181" s="85">
        <f>IF($C181="","",TRIM(IF(ISNUMBER($AJ181)*(N($AJ181)&gt;$D$4)&gt;0,"payout high  ","")&amp;IF(ISNUMBER($AX181)*(N($AX181)&lt;$F$4)&gt;0,"FCF below dvd  ","")&amp;IF(ISNUMBER($AU181)*(N($AU181)&gt;$H$4)&gt;0,"leverage high","")))</f>
        <v/>
      </c>
      <c r="AZ181" s="86">
        <f>IF($C181="","",IF(HSCEI!$F$36="HKD","",HSCEI!$F$36))</f>
        <v/>
      </c>
    </row>
    <row r="182">
      <c r="B182" s="66" t="inlineStr">
        <is>
          <t>HSCEI</t>
        </is>
      </c>
      <c r="C182" s="8">
        <f>IF(HSCEI!$C$37="","",HSCEI!$C$37)</f>
        <v/>
      </c>
      <c r="D182" s="8">
        <f>IF($C182="","",HSCEI!$D$37)</f>
        <v/>
      </c>
      <c r="E182" s="8">
        <f>IF($C182="","",HSCEI!$E$37)</f>
        <v/>
      </c>
      <c r="F182" s="131">
        <f>IF($C182="","",SUMPRODUCT(('Dvd Calendar'!$E$1891:$AR$1891&gt;=DATE(YEAR_Y-5,1,1))*('Dvd Calendar'!$E$1891:$AR$1891&lt;=DATE(YEAR_Y-5,12,31))*'Dvd Calendar'!$E$1894:$AR$1894*(('Dvd Calendar'!$E$1896:$AR$1896=TYPE1)*(TYPE1&lt;&gt;"")+('Dvd Calendar'!$E$1896:$AR$1896=TYPE2)*(TYPE2&lt;&gt;"")+('Dvd Calendar'!$E$1896:$AR$1896=TYPE3)*(TYPE3&lt;&gt;"")+('Dvd Calendar'!$E$1896:$AR$1896=TYPE4)*(TYPE4&lt;&gt;"")+('Dvd Calendar'!$E$1896:$AR$1896=SPECIAL_LBL)*(INC_SPECIALS="Y"))))</f>
        <v/>
      </c>
      <c r="G182" s="132">
        <f>IF($C182="","",SUMPRODUCT(('Dvd Calendar'!$E$1891:$AR$1891&gt;=DATE(YEAR_Y-4,1,1))*('Dvd Calendar'!$E$1891:$AR$1891&lt;=DATE(YEAR_Y-4,12,31))*'Dvd Calendar'!$E$1894:$AR$1894*(('Dvd Calendar'!$E$1896:$AR$1896=TYPE1)*(TYPE1&lt;&gt;"")+('Dvd Calendar'!$E$1896:$AR$1896=TYPE2)*(TYPE2&lt;&gt;"")+('Dvd Calendar'!$E$1896:$AR$1896=TYPE3)*(TYPE3&lt;&gt;"")+('Dvd Calendar'!$E$1896:$AR$1896=TYPE4)*(TYPE4&lt;&gt;"")+('Dvd Calendar'!$E$1896:$AR$1896=SPECIAL_LBL)*(INC_SPECIALS="Y"))))</f>
        <v/>
      </c>
      <c r="H182" s="132">
        <f>IF($C182="","",SUMPRODUCT(('Dvd Calendar'!$E$1891:$AR$1891&gt;=DATE(YEAR_Y-3,1,1))*('Dvd Calendar'!$E$1891:$AR$1891&lt;=DATE(YEAR_Y-3,12,31))*'Dvd Calendar'!$E$1894:$AR$1894*(('Dvd Calendar'!$E$1896:$AR$1896=TYPE1)*(TYPE1&lt;&gt;"")+('Dvd Calendar'!$E$1896:$AR$1896=TYPE2)*(TYPE2&lt;&gt;"")+('Dvd Calendar'!$E$1896:$AR$1896=TYPE3)*(TYPE3&lt;&gt;"")+('Dvd Calendar'!$E$1896:$AR$1896=TYPE4)*(TYPE4&lt;&gt;"")+('Dvd Calendar'!$E$1896:$AR$1896=SPECIAL_LBL)*(INC_SPECIALS="Y"))))</f>
        <v/>
      </c>
      <c r="I182" s="132">
        <f>IF($C182="","",SUMPRODUCT(('Dvd Calendar'!$E$1891:$AR$1891&gt;=DATE(YEAR_Y-2,1,1))*('Dvd Calendar'!$E$1891:$AR$1891&lt;=DATE(YEAR_Y-2,12,31))*'Dvd Calendar'!$E$1894:$AR$1894*(('Dvd Calendar'!$E$1896:$AR$1896=TYPE1)*(TYPE1&lt;&gt;"")+('Dvd Calendar'!$E$1896:$AR$1896=TYPE2)*(TYPE2&lt;&gt;"")+('Dvd Calendar'!$E$1896:$AR$1896=TYPE3)*(TYPE3&lt;&gt;"")+('Dvd Calendar'!$E$1896:$AR$1896=TYPE4)*(TYPE4&lt;&gt;"")+('Dvd Calendar'!$E$1896:$AR$1896=SPECIAL_LBL)*(INC_SPECIALS="Y"))))</f>
        <v/>
      </c>
      <c r="J182" s="132">
        <f>IF($C182="","",SUMPRODUCT(('Dvd Calendar'!$E$1891:$AR$1891&gt;=DATE(YEAR_Y-1,1,1))*('Dvd Calendar'!$E$1891:$AR$1891&lt;=DATE(YEAR_Y-1,12,31))*'Dvd Calendar'!$E$1894:$AR$1894*(('Dvd Calendar'!$E$1896:$AR$1896=TYPE1)*(TYPE1&lt;&gt;"")+('Dvd Calendar'!$E$1896:$AR$1896=TYPE2)*(TYPE2&lt;&gt;"")+('Dvd Calendar'!$E$1896:$AR$1896=TYPE3)*(TYPE3&lt;&gt;"")+('Dvd Calendar'!$E$1896:$AR$1896=TYPE4)*(TYPE4&lt;&gt;"")+('Dvd Calendar'!$E$1896:$AR$1896=SPECIAL_LBL)*(INC_SPECIALS="Y"))))</f>
        <v/>
      </c>
      <c r="K182" s="133">
        <f>IF($C182="","",HSCEI!$J$37)</f>
        <v/>
      </c>
      <c r="L182" s="133">
        <f>IF($C182="","",HSCEI!$K$37)</f>
        <v/>
      </c>
      <c r="M182" s="124">
        <f>IF($C182="","",HSCEI!$J$37+HSCEI!$L$37)</f>
        <v/>
      </c>
      <c r="N182" s="134">
        <f>IF($C182="","",IF(PULL_FUND="N","",IFERROR(BDP($C182,BESTDPS_FIELD,FWD_OVERRIDE,TEXT(MOD(YEAR_Y,100),"00")&amp;"Y"),"")))</f>
        <v/>
      </c>
      <c r="O182" s="133">
        <f>IF($C182="","",AVERAGE(F182:J182))</f>
        <v/>
      </c>
      <c r="P182" s="135">
        <f>IF($C182="","",IF(PULL_FUND="N","",IF(COUNTIFS('Fund History'!$J$1036:$J$1040,"&gt;="&amp;DATE(YEAR_Y-5,1,1),'Fund History'!$J$1036:$J$1040,"&lt;="&amp;DATE(YEAR_Y-5,12,31))=0,"",IFERROR($F182*HSCEI!$G$37/SUMIFS('Fund History'!$K$1036:$K$1040,'Fund History'!$J$1036:$J$1040,"&gt;="&amp;DATE(YEAR_Y-5,1,1),'Fund History'!$J$1036:$J$1040,"&lt;="&amp;DATE(YEAR_Y-5,12,31)),""))))</f>
        <v/>
      </c>
      <c r="Q182" s="136">
        <f>IF($C182="","",IF(PULL_FUND="N","",IF(COUNTIFS('Fund History'!$J$1036:$J$1040,"&gt;="&amp;DATE(YEAR_Y-4,1,1),'Fund History'!$J$1036:$J$1040,"&lt;="&amp;DATE(YEAR_Y-4,12,31))=0,"",IFERROR($G182*HSCEI!$G$37/SUMIFS('Fund History'!$K$1036:$K$1040,'Fund History'!$J$1036:$J$1040,"&gt;="&amp;DATE(YEAR_Y-4,1,1),'Fund History'!$J$1036:$J$1040,"&lt;="&amp;DATE(YEAR_Y-4,12,31)),""))))</f>
        <v/>
      </c>
      <c r="R182" s="136">
        <f>IF($C182="","",IF(PULL_FUND="N","",IF(COUNTIFS('Fund History'!$J$1036:$J$1040,"&gt;="&amp;DATE(YEAR_Y-3,1,1),'Fund History'!$J$1036:$J$1040,"&lt;="&amp;DATE(YEAR_Y-3,12,31))=0,"",IFERROR($H182*HSCEI!$G$37/SUMIFS('Fund History'!$K$1036:$K$1040,'Fund History'!$J$1036:$J$1040,"&gt;="&amp;DATE(YEAR_Y-3,1,1),'Fund History'!$J$1036:$J$1040,"&lt;="&amp;DATE(YEAR_Y-3,12,31)),""))))</f>
        <v/>
      </c>
      <c r="S182" s="136">
        <f>IF($C182="","",IF(PULL_FUND="N","",IF(COUNTIFS('Fund History'!$J$1036:$J$1040,"&gt;="&amp;DATE(YEAR_Y-2,1,1),'Fund History'!$J$1036:$J$1040,"&lt;="&amp;DATE(YEAR_Y-2,12,31))=0,"",IFERROR($I182*HSCEI!$G$37/SUMIFS('Fund History'!$K$1036:$K$1040,'Fund History'!$J$1036:$J$1040,"&gt;="&amp;DATE(YEAR_Y-2,1,1),'Fund History'!$J$1036:$J$1040,"&lt;="&amp;DATE(YEAR_Y-2,12,31)),""))))</f>
        <v/>
      </c>
      <c r="T182" s="136">
        <f>IF($C182="","",IF(PULL_FUND="N","",IF(COUNTIFS('Fund History'!$J$1036:$J$1040,"&gt;="&amp;DATE(YEAR_Y-1,1,1),'Fund History'!$J$1036:$J$1040,"&lt;="&amp;DATE(YEAR_Y-1,12,31))=0,"",IFERROR($J182*HSCEI!$G$37/SUMIFS('Fund History'!$K$1036:$K$1040,'Fund History'!$J$1036:$J$1040,"&gt;="&amp;DATE(YEAR_Y-1,1,1),'Fund History'!$J$1036:$J$1040,"&lt;="&amp;DATE(YEAR_Y-1,12,31)),""))))</f>
        <v/>
      </c>
      <c r="U182" s="137">
        <f>IF($C182="","",IF(ISNUMBER(HSCEI!$I$37),HSCEI!$I$37/100,""))</f>
        <v/>
      </c>
      <c r="V182" s="138">
        <f>IF($C182="","",IF(ISNUMBER(HSCEI!$X$37),IFERROR($M182*HSCEI!$G$37/HSCEI!$X$37,""),""))</f>
        <v/>
      </c>
      <c r="W182" s="137">
        <f>IF($C182="","",IF(ISNUMBER($N182),IFERROR($N182*HSCEI!$G$37/HSCEI!$X$37,""),""))</f>
        <v/>
      </c>
      <c r="X182" s="139">
        <f>IF($C182="","",IF(PULL_FUND="N","",IFERROR(BDP($C182,EPS_FIELD,YR_OVERRIDE,TEXT(YEAR_Y-5,"0")),"")))</f>
        <v/>
      </c>
      <c r="Y182" s="140">
        <f>IF($C182="","",IF(PULL_FUND="N","",IFERROR(BDP($C182,EPS_FIELD,YR_OVERRIDE,TEXT(YEAR_Y-4,"0")),"")))</f>
        <v/>
      </c>
      <c r="Z182" s="140">
        <f>IF($C182="","",IF(PULL_FUND="N","",IFERROR(BDP($C182,EPS_FIELD,YR_OVERRIDE,TEXT(YEAR_Y-3,"0")),"")))</f>
        <v/>
      </c>
      <c r="AA182" s="140">
        <f>IF($C182="","",IF(PULL_FUND="N","",IFERROR(BDP($C182,EPS_FIELD,YR_OVERRIDE,TEXT(YEAR_Y-2,"0")),"")))</f>
        <v/>
      </c>
      <c r="AB182" s="140">
        <f>IF($C182="","",IF(PULL_FUND="N","",IFERROR(BDP($C182,EPS_FIELD,YR_OVERRIDE,TEXT(YEAR_Y-1,"0")),"")))</f>
        <v/>
      </c>
      <c r="AC182" s="126">
        <f>IF($C182="","",IFERROR(AVERAGE(X182:AB182),""))</f>
        <v/>
      </c>
      <c r="AD182" s="140">
        <f>IF($C182="","",IF(PULL_FUND="N","",IFERROR(BDP($C182,BESTEPS_FIELD,FWD_OVERRIDE,TEXT(MOD(YEAR_Y,100),"00")&amp;"Y"),"")))</f>
        <v/>
      </c>
      <c r="AE182" s="141">
        <f>IF($C182="","",IF(PULL_FUND="N","",IFERROR(BDP($C182,PAYOUT_FIELD,YR_OVERRIDE,TEXT(YEAR_Y-5,"0"))/100,"")))</f>
        <v/>
      </c>
      <c r="AF182" s="142">
        <f>IF($C182="","",IF(PULL_FUND="N","",IFERROR(BDP($C182,PAYOUT_FIELD,YR_OVERRIDE,TEXT(YEAR_Y-4,"0"))/100,"")))</f>
        <v/>
      </c>
      <c r="AG182" s="142">
        <f>IF($C182="","",IF(PULL_FUND="N","",IFERROR(BDP($C182,PAYOUT_FIELD,YR_OVERRIDE,TEXT(YEAR_Y-3,"0"))/100,"")))</f>
        <v/>
      </c>
      <c r="AH182" s="142">
        <f>IF($C182="","",IF(PULL_FUND="N","",IFERROR(BDP($C182,PAYOUT_FIELD,YR_OVERRIDE,TEXT(YEAR_Y-2,"0"))/100,"")))</f>
        <v/>
      </c>
      <c r="AI182" s="142">
        <f>IF($C182="","",IF(PULL_FUND="N","",IFERROR(BDP($C182,PAYOUT_FIELD,YR_OVERRIDE,TEXT(YEAR_Y-1,"0"))/100,"")))</f>
        <v/>
      </c>
      <c r="AJ182" s="143">
        <f>IF($C182="","",IFERROR(AVERAGE(AE182:AI182),""))</f>
        <v/>
      </c>
      <c r="AK182" s="144">
        <f>IF($C182="","",IF(ISNUMBER($AD182)*ISNUMBER($N182)*($AD182&lt;&gt;0)=0,"",$N182/$AD182))</f>
        <v/>
      </c>
      <c r="AL182" s="143">
        <f>IF($C182="","",IF(ISNUMBER($AD182)*($AD182&lt;&gt;0)=0,"",$M182/$AD182))</f>
        <v/>
      </c>
      <c r="AM182" s="37">
        <f>IF($C182="","",IF(ISNUMBER($AE182)*ISNUMBER($AI182)=0,"",IF($AI182&gt;$AE182+0.05,"rising",IF($AI182&lt;$AE182-0.05,"falling","stable"))))</f>
        <v/>
      </c>
      <c r="AN182" s="145">
        <f>IF($C182="","",IF(PULL_FUND="N","",IF(COUNTIFS('Fund History'!$G$1036:$G$1040,"&gt;="&amp;DATE(YEAR_Y-4,1,1),'Fund History'!$G$1036:$G$1040,"&lt;="&amp;DATE(YEAR_Y-4,12,31))=0,"",SUMIFS('Fund History'!$H$1036:$H$1040,'Fund History'!$G$1036:$G$1040,"&gt;="&amp;DATE(YEAR_Y-4,1,1),'Fund History'!$G$1036:$G$1040,"&lt;="&amp;DATE(YEAR_Y-4,12,31))/100)))</f>
        <v/>
      </c>
      <c r="AO182" s="146">
        <f>IF($C182="","",IF(PULL_FUND="N","",IF(COUNTIFS('Fund History'!$G$1036:$G$1040,"&gt;="&amp;DATE(YEAR_Y-3,1,1),'Fund History'!$G$1036:$G$1040,"&lt;="&amp;DATE(YEAR_Y-3,12,31))=0,"",SUMIFS('Fund History'!$H$1036:$H$1040,'Fund History'!$G$1036:$G$1040,"&gt;="&amp;DATE(YEAR_Y-3,1,1),'Fund History'!$G$1036:$G$1040,"&lt;="&amp;DATE(YEAR_Y-3,12,31))/100)))</f>
        <v/>
      </c>
      <c r="AP182" s="146">
        <f>IF($C182="","",IF(PULL_FUND="N","",IF(COUNTIFS('Fund History'!$G$1036:$G$1040,"&gt;="&amp;DATE(YEAR_Y-2,1,1),'Fund History'!$G$1036:$G$1040,"&lt;="&amp;DATE(YEAR_Y-2,12,31))=0,"",SUMIFS('Fund History'!$H$1036:$H$1040,'Fund History'!$G$1036:$G$1040,"&gt;="&amp;DATE(YEAR_Y-2,1,1),'Fund History'!$G$1036:$G$1040,"&lt;="&amp;DATE(YEAR_Y-2,12,31))/100)))</f>
        <v/>
      </c>
      <c r="AQ182" s="146">
        <f>IF($C182="","",IF(PULL_FUND="N","",IF(COUNTIFS('Fund History'!$G$1036:$G$1040,"&gt;="&amp;DATE(YEAR_Y-1,1,1),'Fund History'!$G$1036:$G$1040,"&lt;="&amp;DATE(YEAR_Y-1,12,31))=0,"",SUMIFS('Fund History'!$H$1036:$H$1040,'Fund History'!$G$1036:$G$1040,"&gt;="&amp;DATE(YEAR_Y-1,1,1),'Fund History'!$G$1036:$G$1040,"&lt;="&amp;DATE(YEAR_Y-1,12,31))/100)))</f>
        <v/>
      </c>
      <c r="AR182" s="147">
        <f>IF($C182="","",IF(N($AQ182)+N(HSCEI!$I$37)=0,"",N($AQ182)+N(HSCEI!$I$37)/100))</f>
        <v/>
      </c>
      <c r="AS182" s="139">
        <f>IF($C182="","",IF(PULL_FUND="N","",IF(COUNTIFS('Fund History'!$D$1036:$D$1040,"&gt;="&amp;DATE(YEAR_Y-2,1,1),'Fund History'!$D$1036:$D$1040,"&lt;="&amp;DATE(YEAR_Y-2,12,31))=0,"",SUMIFS('Fund History'!$E$1036:$E$1040,'Fund History'!$D$1036:$D$1040,"&gt;="&amp;DATE(YEAR_Y-2,1,1),'Fund History'!$D$1036:$D$1040,"&lt;="&amp;DATE(YEAR_Y-2,12,31)))))</f>
        <v/>
      </c>
      <c r="AT182" s="140">
        <f>IF($C182="","",IF(PULL_FUND="N","",IF(COUNTIFS('Fund History'!$D$1036:$D$1040,"&gt;="&amp;DATE(YEAR_Y-1,1,1),'Fund History'!$D$1036:$D$1040,"&lt;="&amp;DATE(YEAR_Y-1,12,31))=0,"",SUMIFS('Fund History'!$E$1036:$E$1040,'Fund History'!$D$1036:$D$1040,"&gt;="&amp;DATE(YEAR_Y-1,1,1),'Fund History'!$D$1036:$D$1040,"&lt;="&amp;DATE(YEAR_Y-1,12,31)))))</f>
        <v/>
      </c>
      <c r="AU182" s="140">
        <f>IF($C182="","",IF(PULL_FUND="N","",IFERROR(BDP($C182,NDEBITDA_FIELD),"")))</f>
        <v/>
      </c>
      <c r="AV182" s="148">
        <f>IF($C182="","",IF(PULL_FUND="N","",IFERROR(BDP($C182,EBINT_FIELD),"")))</f>
        <v/>
      </c>
      <c r="AW182" s="146">
        <f>IF($C182="","",IF(PULL_FUND="N","",IFERROR(BDP($C182,FCF_FIELD)/100,"")))</f>
        <v/>
      </c>
      <c r="AX182" s="126">
        <f>IF($C182="","",IF(N($U182)=0,"",IFERROR($AW182/$U182,"")))</f>
        <v/>
      </c>
      <c r="AY182" s="85">
        <f>IF($C182="","",TRIM(IF(ISNUMBER($AJ182)*(N($AJ182)&gt;$D$4)&gt;0,"payout high  ","")&amp;IF(ISNUMBER($AX182)*(N($AX182)&lt;$F$4)&gt;0,"FCF below dvd  ","")&amp;IF(ISNUMBER($AU182)*(N($AU182)&gt;$H$4)&gt;0,"leverage high","")))</f>
        <v/>
      </c>
      <c r="AZ182" s="86">
        <f>IF($C182="","",IF(HSCEI!$F$37="HKD","",HSCEI!$F$37))</f>
        <v/>
      </c>
    </row>
    <row r="183">
      <c r="B183" s="66" t="inlineStr">
        <is>
          <t>HSCEI</t>
        </is>
      </c>
      <c r="C183" s="8">
        <f>IF(HSCEI!$C$38="","",HSCEI!$C$38)</f>
        <v/>
      </c>
      <c r="D183" s="8">
        <f>IF($C183="","",HSCEI!$D$38)</f>
        <v/>
      </c>
      <c r="E183" s="8">
        <f>IF($C183="","",HSCEI!$E$38)</f>
        <v/>
      </c>
      <c r="F183" s="131">
        <f>IF($C183="","",SUMPRODUCT(('Dvd Calendar'!$E$1902:$AR$1902&gt;=DATE(YEAR_Y-5,1,1))*('Dvd Calendar'!$E$1902:$AR$1902&lt;=DATE(YEAR_Y-5,12,31))*'Dvd Calendar'!$E$1905:$AR$1905*(('Dvd Calendar'!$E$1907:$AR$1907=TYPE1)*(TYPE1&lt;&gt;"")+('Dvd Calendar'!$E$1907:$AR$1907=TYPE2)*(TYPE2&lt;&gt;"")+('Dvd Calendar'!$E$1907:$AR$1907=TYPE3)*(TYPE3&lt;&gt;"")+('Dvd Calendar'!$E$1907:$AR$1907=TYPE4)*(TYPE4&lt;&gt;"")+('Dvd Calendar'!$E$1907:$AR$1907=SPECIAL_LBL)*(INC_SPECIALS="Y"))))</f>
        <v/>
      </c>
      <c r="G183" s="132">
        <f>IF($C183="","",SUMPRODUCT(('Dvd Calendar'!$E$1902:$AR$1902&gt;=DATE(YEAR_Y-4,1,1))*('Dvd Calendar'!$E$1902:$AR$1902&lt;=DATE(YEAR_Y-4,12,31))*'Dvd Calendar'!$E$1905:$AR$1905*(('Dvd Calendar'!$E$1907:$AR$1907=TYPE1)*(TYPE1&lt;&gt;"")+('Dvd Calendar'!$E$1907:$AR$1907=TYPE2)*(TYPE2&lt;&gt;"")+('Dvd Calendar'!$E$1907:$AR$1907=TYPE3)*(TYPE3&lt;&gt;"")+('Dvd Calendar'!$E$1907:$AR$1907=TYPE4)*(TYPE4&lt;&gt;"")+('Dvd Calendar'!$E$1907:$AR$1907=SPECIAL_LBL)*(INC_SPECIALS="Y"))))</f>
        <v/>
      </c>
      <c r="H183" s="132">
        <f>IF($C183="","",SUMPRODUCT(('Dvd Calendar'!$E$1902:$AR$1902&gt;=DATE(YEAR_Y-3,1,1))*('Dvd Calendar'!$E$1902:$AR$1902&lt;=DATE(YEAR_Y-3,12,31))*'Dvd Calendar'!$E$1905:$AR$1905*(('Dvd Calendar'!$E$1907:$AR$1907=TYPE1)*(TYPE1&lt;&gt;"")+('Dvd Calendar'!$E$1907:$AR$1907=TYPE2)*(TYPE2&lt;&gt;"")+('Dvd Calendar'!$E$1907:$AR$1907=TYPE3)*(TYPE3&lt;&gt;"")+('Dvd Calendar'!$E$1907:$AR$1907=TYPE4)*(TYPE4&lt;&gt;"")+('Dvd Calendar'!$E$1907:$AR$1907=SPECIAL_LBL)*(INC_SPECIALS="Y"))))</f>
        <v/>
      </c>
      <c r="I183" s="132">
        <f>IF($C183="","",SUMPRODUCT(('Dvd Calendar'!$E$1902:$AR$1902&gt;=DATE(YEAR_Y-2,1,1))*('Dvd Calendar'!$E$1902:$AR$1902&lt;=DATE(YEAR_Y-2,12,31))*'Dvd Calendar'!$E$1905:$AR$1905*(('Dvd Calendar'!$E$1907:$AR$1907=TYPE1)*(TYPE1&lt;&gt;"")+('Dvd Calendar'!$E$1907:$AR$1907=TYPE2)*(TYPE2&lt;&gt;"")+('Dvd Calendar'!$E$1907:$AR$1907=TYPE3)*(TYPE3&lt;&gt;"")+('Dvd Calendar'!$E$1907:$AR$1907=TYPE4)*(TYPE4&lt;&gt;"")+('Dvd Calendar'!$E$1907:$AR$1907=SPECIAL_LBL)*(INC_SPECIALS="Y"))))</f>
        <v/>
      </c>
      <c r="J183" s="132">
        <f>IF($C183="","",SUMPRODUCT(('Dvd Calendar'!$E$1902:$AR$1902&gt;=DATE(YEAR_Y-1,1,1))*('Dvd Calendar'!$E$1902:$AR$1902&lt;=DATE(YEAR_Y-1,12,31))*'Dvd Calendar'!$E$1905:$AR$1905*(('Dvd Calendar'!$E$1907:$AR$1907=TYPE1)*(TYPE1&lt;&gt;"")+('Dvd Calendar'!$E$1907:$AR$1907=TYPE2)*(TYPE2&lt;&gt;"")+('Dvd Calendar'!$E$1907:$AR$1907=TYPE3)*(TYPE3&lt;&gt;"")+('Dvd Calendar'!$E$1907:$AR$1907=TYPE4)*(TYPE4&lt;&gt;"")+('Dvd Calendar'!$E$1907:$AR$1907=SPECIAL_LBL)*(INC_SPECIALS="Y"))))</f>
        <v/>
      </c>
      <c r="K183" s="133">
        <f>IF($C183="","",HSCEI!$J$38)</f>
        <v/>
      </c>
      <c r="L183" s="133">
        <f>IF($C183="","",HSCEI!$K$38)</f>
        <v/>
      </c>
      <c r="M183" s="124">
        <f>IF($C183="","",HSCEI!$J$38+HSCEI!$L$38)</f>
        <v/>
      </c>
      <c r="N183" s="134">
        <f>IF($C183="","",IF(PULL_FUND="N","",IFERROR(BDP($C183,BESTDPS_FIELD,FWD_OVERRIDE,TEXT(MOD(YEAR_Y,100),"00")&amp;"Y"),"")))</f>
        <v/>
      </c>
      <c r="O183" s="133">
        <f>IF($C183="","",AVERAGE(F183:J183))</f>
        <v/>
      </c>
      <c r="P183" s="135">
        <f>IF($C183="","",IF(PULL_FUND="N","",IF(COUNTIFS('Fund History'!$J$1042:$J$1046,"&gt;="&amp;DATE(YEAR_Y-5,1,1),'Fund History'!$J$1042:$J$1046,"&lt;="&amp;DATE(YEAR_Y-5,12,31))=0,"",IFERROR($F183*HSCEI!$G$38/SUMIFS('Fund History'!$K$1042:$K$1046,'Fund History'!$J$1042:$J$1046,"&gt;="&amp;DATE(YEAR_Y-5,1,1),'Fund History'!$J$1042:$J$1046,"&lt;="&amp;DATE(YEAR_Y-5,12,31)),""))))</f>
        <v/>
      </c>
      <c r="Q183" s="136">
        <f>IF($C183="","",IF(PULL_FUND="N","",IF(COUNTIFS('Fund History'!$J$1042:$J$1046,"&gt;="&amp;DATE(YEAR_Y-4,1,1),'Fund History'!$J$1042:$J$1046,"&lt;="&amp;DATE(YEAR_Y-4,12,31))=0,"",IFERROR($G183*HSCEI!$G$38/SUMIFS('Fund History'!$K$1042:$K$1046,'Fund History'!$J$1042:$J$1046,"&gt;="&amp;DATE(YEAR_Y-4,1,1),'Fund History'!$J$1042:$J$1046,"&lt;="&amp;DATE(YEAR_Y-4,12,31)),""))))</f>
        <v/>
      </c>
      <c r="R183" s="136">
        <f>IF($C183="","",IF(PULL_FUND="N","",IF(COUNTIFS('Fund History'!$J$1042:$J$1046,"&gt;="&amp;DATE(YEAR_Y-3,1,1),'Fund History'!$J$1042:$J$1046,"&lt;="&amp;DATE(YEAR_Y-3,12,31))=0,"",IFERROR($H183*HSCEI!$G$38/SUMIFS('Fund History'!$K$1042:$K$1046,'Fund History'!$J$1042:$J$1046,"&gt;="&amp;DATE(YEAR_Y-3,1,1),'Fund History'!$J$1042:$J$1046,"&lt;="&amp;DATE(YEAR_Y-3,12,31)),""))))</f>
        <v/>
      </c>
      <c r="S183" s="136">
        <f>IF($C183="","",IF(PULL_FUND="N","",IF(COUNTIFS('Fund History'!$J$1042:$J$1046,"&gt;="&amp;DATE(YEAR_Y-2,1,1),'Fund History'!$J$1042:$J$1046,"&lt;="&amp;DATE(YEAR_Y-2,12,31))=0,"",IFERROR($I183*HSCEI!$G$38/SUMIFS('Fund History'!$K$1042:$K$1046,'Fund History'!$J$1042:$J$1046,"&gt;="&amp;DATE(YEAR_Y-2,1,1),'Fund History'!$J$1042:$J$1046,"&lt;="&amp;DATE(YEAR_Y-2,12,31)),""))))</f>
        <v/>
      </c>
      <c r="T183" s="136">
        <f>IF($C183="","",IF(PULL_FUND="N","",IF(COUNTIFS('Fund History'!$J$1042:$J$1046,"&gt;="&amp;DATE(YEAR_Y-1,1,1),'Fund History'!$J$1042:$J$1046,"&lt;="&amp;DATE(YEAR_Y-1,12,31))=0,"",IFERROR($J183*HSCEI!$G$38/SUMIFS('Fund History'!$K$1042:$K$1046,'Fund History'!$J$1042:$J$1046,"&gt;="&amp;DATE(YEAR_Y-1,1,1),'Fund History'!$J$1042:$J$1046,"&lt;="&amp;DATE(YEAR_Y-1,12,31)),""))))</f>
        <v/>
      </c>
      <c r="U183" s="137">
        <f>IF($C183="","",IF(ISNUMBER(HSCEI!$I$38),HSCEI!$I$38/100,""))</f>
        <v/>
      </c>
      <c r="V183" s="138">
        <f>IF($C183="","",IF(ISNUMBER(HSCEI!$X$38),IFERROR($M183*HSCEI!$G$38/HSCEI!$X$38,""),""))</f>
        <v/>
      </c>
      <c r="W183" s="137">
        <f>IF($C183="","",IF(ISNUMBER($N183),IFERROR($N183*HSCEI!$G$38/HSCEI!$X$38,""),""))</f>
        <v/>
      </c>
      <c r="X183" s="139">
        <f>IF($C183="","",IF(PULL_FUND="N","",IFERROR(BDP($C183,EPS_FIELD,YR_OVERRIDE,TEXT(YEAR_Y-5,"0")),"")))</f>
        <v/>
      </c>
      <c r="Y183" s="140">
        <f>IF($C183="","",IF(PULL_FUND="N","",IFERROR(BDP($C183,EPS_FIELD,YR_OVERRIDE,TEXT(YEAR_Y-4,"0")),"")))</f>
        <v/>
      </c>
      <c r="Z183" s="140">
        <f>IF($C183="","",IF(PULL_FUND="N","",IFERROR(BDP($C183,EPS_FIELD,YR_OVERRIDE,TEXT(YEAR_Y-3,"0")),"")))</f>
        <v/>
      </c>
      <c r="AA183" s="140">
        <f>IF($C183="","",IF(PULL_FUND="N","",IFERROR(BDP($C183,EPS_FIELD,YR_OVERRIDE,TEXT(YEAR_Y-2,"0")),"")))</f>
        <v/>
      </c>
      <c r="AB183" s="140">
        <f>IF($C183="","",IF(PULL_FUND="N","",IFERROR(BDP($C183,EPS_FIELD,YR_OVERRIDE,TEXT(YEAR_Y-1,"0")),"")))</f>
        <v/>
      </c>
      <c r="AC183" s="126">
        <f>IF($C183="","",IFERROR(AVERAGE(X183:AB183),""))</f>
        <v/>
      </c>
      <c r="AD183" s="140">
        <f>IF($C183="","",IF(PULL_FUND="N","",IFERROR(BDP($C183,BESTEPS_FIELD,FWD_OVERRIDE,TEXT(MOD(YEAR_Y,100),"00")&amp;"Y"),"")))</f>
        <v/>
      </c>
      <c r="AE183" s="141">
        <f>IF($C183="","",IF(PULL_FUND="N","",IFERROR(BDP($C183,PAYOUT_FIELD,YR_OVERRIDE,TEXT(YEAR_Y-5,"0"))/100,"")))</f>
        <v/>
      </c>
      <c r="AF183" s="142">
        <f>IF($C183="","",IF(PULL_FUND="N","",IFERROR(BDP($C183,PAYOUT_FIELD,YR_OVERRIDE,TEXT(YEAR_Y-4,"0"))/100,"")))</f>
        <v/>
      </c>
      <c r="AG183" s="142">
        <f>IF($C183="","",IF(PULL_FUND="N","",IFERROR(BDP($C183,PAYOUT_FIELD,YR_OVERRIDE,TEXT(YEAR_Y-3,"0"))/100,"")))</f>
        <v/>
      </c>
      <c r="AH183" s="142">
        <f>IF($C183="","",IF(PULL_FUND="N","",IFERROR(BDP($C183,PAYOUT_FIELD,YR_OVERRIDE,TEXT(YEAR_Y-2,"0"))/100,"")))</f>
        <v/>
      </c>
      <c r="AI183" s="142">
        <f>IF($C183="","",IF(PULL_FUND="N","",IFERROR(BDP($C183,PAYOUT_FIELD,YR_OVERRIDE,TEXT(YEAR_Y-1,"0"))/100,"")))</f>
        <v/>
      </c>
      <c r="AJ183" s="143">
        <f>IF($C183="","",IFERROR(AVERAGE(AE183:AI183),""))</f>
        <v/>
      </c>
      <c r="AK183" s="144">
        <f>IF($C183="","",IF(ISNUMBER($AD183)*ISNUMBER($N183)*($AD183&lt;&gt;0)=0,"",$N183/$AD183))</f>
        <v/>
      </c>
      <c r="AL183" s="143">
        <f>IF($C183="","",IF(ISNUMBER($AD183)*($AD183&lt;&gt;0)=0,"",$M183/$AD183))</f>
        <v/>
      </c>
      <c r="AM183" s="37">
        <f>IF($C183="","",IF(ISNUMBER($AE183)*ISNUMBER($AI183)=0,"",IF($AI183&gt;$AE183+0.05,"rising",IF($AI183&lt;$AE183-0.05,"falling","stable"))))</f>
        <v/>
      </c>
      <c r="AN183" s="145">
        <f>IF($C183="","",IF(PULL_FUND="N","",IF(COUNTIFS('Fund History'!$G$1042:$G$1046,"&gt;="&amp;DATE(YEAR_Y-4,1,1),'Fund History'!$G$1042:$G$1046,"&lt;="&amp;DATE(YEAR_Y-4,12,31))=0,"",SUMIFS('Fund History'!$H$1042:$H$1046,'Fund History'!$G$1042:$G$1046,"&gt;="&amp;DATE(YEAR_Y-4,1,1),'Fund History'!$G$1042:$G$1046,"&lt;="&amp;DATE(YEAR_Y-4,12,31))/100)))</f>
        <v/>
      </c>
      <c r="AO183" s="146">
        <f>IF($C183="","",IF(PULL_FUND="N","",IF(COUNTIFS('Fund History'!$G$1042:$G$1046,"&gt;="&amp;DATE(YEAR_Y-3,1,1),'Fund History'!$G$1042:$G$1046,"&lt;="&amp;DATE(YEAR_Y-3,12,31))=0,"",SUMIFS('Fund History'!$H$1042:$H$1046,'Fund History'!$G$1042:$G$1046,"&gt;="&amp;DATE(YEAR_Y-3,1,1),'Fund History'!$G$1042:$G$1046,"&lt;="&amp;DATE(YEAR_Y-3,12,31))/100)))</f>
        <v/>
      </c>
      <c r="AP183" s="146">
        <f>IF($C183="","",IF(PULL_FUND="N","",IF(COUNTIFS('Fund History'!$G$1042:$G$1046,"&gt;="&amp;DATE(YEAR_Y-2,1,1),'Fund History'!$G$1042:$G$1046,"&lt;="&amp;DATE(YEAR_Y-2,12,31))=0,"",SUMIFS('Fund History'!$H$1042:$H$1046,'Fund History'!$G$1042:$G$1046,"&gt;="&amp;DATE(YEAR_Y-2,1,1),'Fund History'!$G$1042:$G$1046,"&lt;="&amp;DATE(YEAR_Y-2,12,31))/100)))</f>
        <v/>
      </c>
      <c r="AQ183" s="146">
        <f>IF($C183="","",IF(PULL_FUND="N","",IF(COUNTIFS('Fund History'!$G$1042:$G$1046,"&gt;="&amp;DATE(YEAR_Y-1,1,1),'Fund History'!$G$1042:$G$1046,"&lt;="&amp;DATE(YEAR_Y-1,12,31))=0,"",SUMIFS('Fund History'!$H$1042:$H$1046,'Fund History'!$G$1042:$G$1046,"&gt;="&amp;DATE(YEAR_Y-1,1,1),'Fund History'!$G$1042:$G$1046,"&lt;="&amp;DATE(YEAR_Y-1,12,31))/100)))</f>
        <v/>
      </c>
      <c r="AR183" s="147">
        <f>IF($C183="","",IF(N($AQ183)+N(HSCEI!$I$38)=0,"",N($AQ183)+N(HSCEI!$I$38)/100))</f>
        <v/>
      </c>
      <c r="AS183" s="139">
        <f>IF($C183="","",IF(PULL_FUND="N","",IF(COUNTIFS('Fund History'!$D$1042:$D$1046,"&gt;="&amp;DATE(YEAR_Y-2,1,1),'Fund History'!$D$1042:$D$1046,"&lt;="&amp;DATE(YEAR_Y-2,12,31))=0,"",SUMIFS('Fund History'!$E$1042:$E$1046,'Fund History'!$D$1042:$D$1046,"&gt;="&amp;DATE(YEAR_Y-2,1,1),'Fund History'!$D$1042:$D$1046,"&lt;="&amp;DATE(YEAR_Y-2,12,31)))))</f>
        <v/>
      </c>
      <c r="AT183" s="140">
        <f>IF($C183="","",IF(PULL_FUND="N","",IF(COUNTIFS('Fund History'!$D$1042:$D$1046,"&gt;="&amp;DATE(YEAR_Y-1,1,1),'Fund History'!$D$1042:$D$1046,"&lt;="&amp;DATE(YEAR_Y-1,12,31))=0,"",SUMIFS('Fund History'!$E$1042:$E$1046,'Fund History'!$D$1042:$D$1046,"&gt;="&amp;DATE(YEAR_Y-1,1,1),'Fund History'!$D$1042:$D$1046,"&lt;="&amp;DATE(YEAR_Y-1,12,31)))))</f>
        <v/>
      </c>
      <c r="AU183" s="140">
        <f>IF($C183="","",IF(PULL_FUND="N","",IFERROR(BDP($C183,NDEBITDA_FIELD),"")))</f>
        <v/>
      </c>
      <c r="AV183" s="148">
        <f>IF($C183="","",IF(PULL_FUND="N","",IFERROR(BDP($C183,EBINT_FIELD),"")))</f>
        <v/>
      </c>
      <c r="AW183" s="146">
        <f>IF($C183="","",IF(PULL_FUND="N","",IFERROR(BDP($C183,FCF_FIELD)/100,"")))</f>
        <v/>
      </c>
      <c r="AX183" s="126">
        <f>IF($C183="","",IF(N($U183)=0,"",IFERROR($AW183/$U183,"")))</f>
        <v/>
      </c>
      <c r="AY183" s="85">
        <f>IF($C183="","",TRIM(IF(ISNUMBER($AJ183)*(N($AJ183)&gt;$D$4)&gt;0,"payout high  ","")&amp;IF(ISNUMBER($AX183)*(N($AX183)&lt;$F$4)&gt;0,"FCF below dvd  ","")&amp;IF(ISNUMBER($AU183)*(N($AU183)&gt;$H$4)&gt;0,"leverage high","")))</f>
        <v/>
      </c>
      <c r="AZ183" s="86">
        <f>IF($C183="","",IF(HSCEI!$F$38="HKD","",HSCEI!$F$38))</f>
        <v/>
      </c>
    </row>
    <row r="184">
      <c r="B184" s="66" t="inlineStr">
        <is>
          <t>HSCEI</t>
        </is>
      </c>
      <c r="C184" s="8">
        <f>IF(HSCEI!$C$39="","",HSCEI!$C$39)</f>
        <v/>
      </c>
      <c r="D184" s="8">
        <f>IF($C184="","",HSCEI!$D$39)</f>
        <v/>
      </c>
      <c r="E184" s="8">
        <f>IF($C184="","",HSCEI!$E$39)</f>
        <v/>
      </c>
      <c r="F184" s="131">
        <f>IF($C184="","",SUMPRODUCT(('Dvd Calendar'!$E$1913:$AR$1913&gt;=DATE(YEAR_Y-5,1,1))*('Dvd Calendar'!$E$1913:$AR$1913&lt;=DATE(YEAR_Y-5,12,31))*'Dvd Calendar'!$E$1916:$AR$1916*(('Dvd Calendar'!$E$1918:$AR$1918=TYPE1)*(TYPE1&lt;&gt;"")+('Dvd Calendar'!$E$1918:$AR$1918=TYPE2)*(TYPE2&lt;&gt;"")+('Dvd Calendar'!$E$1918:$AR$1918=TYPE3)*(TYPE3&lt;&gt;"")+('Dvd Calendar'!$E$1918:$AR$1918=TYPE4)*(TYPE4&lt;&gt;"")+('Dvd Calendar'!$E$1918:$AR$1918=SPECIAL_LBL)*(INC_SPECIALS="Y"))))</f>
        <v/>
      </c>
      <c r="G184" s="132">
        <f>IF($C184="","",SUMPRODUCT(('Dvd Calendar'!$E$1913:$AR$1913&gt;=DATE(YEAR_Y-4,1,1))*('Dvd Calendar'!$E$1913:$AR$1913&lt;=DATE(YEAR_Y-4,12,31))*'Dvd Calendar'!$E$1916:$AR$1916*(('Dvd Calendar'!$E$1918:$AR$1918=TYPE1)*(TYPE1&lt;&gt;"")+('Dvd Calendar'!$E$1918:$AR$1918=TYPE2)*(TYPE2&lt;&gt;"")+('Dvd Calendar'!$E$1918:$AR$1918=TYPE3)*(TYPE3&lt;&gt;"")+('Dvd Calendar'!$E$1918:$AR$1918=TYPE4)*(TYPE4&lt;&gt;"")+('Dvd Calendar'!$E$1918:$AR$1918=SPECIAL_LBL)*(INC_SPECIALS="Y"))))</f>
        <v/>
      </c>
      <c r="H184" s="132">
        <f>IF($C184="","",SUMPRODUCT(('Dvd Calendar'!$E$1913:$AR$1913&gt;=DATE(YEAR_Y-3,1,1))*('Dvd Calendar'!$E$1913:$AR$1913&lt;=DATE(YEAR_Y-3,12,31))*'Dvd Calendar'!$E$1916:$AR$1916*(('Dvd Calendar'!$E$1918:$AR$1918=TYPE1)*(TYPE1&lt;&gt;"")+('Dvd Calendar'!$E$1918:$AR$1918=TYPE2)*(TYPE2&lt;&gt;"")+('Dvd Calendar'!$E$1918:$AR$1918=TYPE3)*(TYPE3&lt;&gt;"")+('Dvd Calendar'!$E$1918:$AR$1918=TYPE4)*(TYPE4&lt;&gt;"")+('Dvd Calendar'!$E$1918:$AR$1918=SPECIAL_LBL)*(INC_SPECIALS="Y"))))</f>
        <v/>
      </c>
      <c r="I184" s="132">
        <f>IF($C184="","",SUMPRODUCT(('Dvd Calendar'!$E$1913:$AR$1913&gt;=DATE(YEAR_Y-2,1,1))*('Dvd Calendar'!$E$1913:$AR$1913&lt;=DATE(YEAR_Y-2,12,31))*'Dvd Calendar'!$E$1916:$AR$1916*(('Dvd Calendar'!$E$1918:$AR$1918=TYPE1)*(TYPE1&lt;&gt;"")+('Dvd Calendar'!$E$1918:$AR$1918=TYPE2)*(TYPE2&lt;&gt;"")+('Dvd Calendar'!$E$1918:$AR$1918=TYPE3)*(TYPE3&lt;&gt;"")+('Dvd Calendar'!$E$1918:$AR$1918=TYPE4)*(TYPE4&lt;&gt;"")+('Dvd Calendar'!$E$1918:$AR$1918=SPECIAL_LBL)*(INC_SPECIALS="Y"))))</f>
        <v/>
      </c>
      <c r="J184" s="132">
        <f>IF($C184="","",SUMPRODUCT(('Dvd Calendar'!$E$1913:$AR$1913&gt;=DATE(YEAR_Y-1,1,1))*('Dvd Calendar'!$E$1913:$AR$1913&lt;=DATE(YEAR_Y-1,12,31))*'Dvd Calendar'!$E$1916:$AR$1916*(('Dvd Calendar'!$E$1918:$AR$1918=TYPE1)*(TYPE1&lt;&gt;"")+('Dvd Calendar'!$E$1918:$AR$1918=TYPE2)*(TYPE2&lt;&gt;"")+('Dvd Calendar'!$E$1918:$AR$1918=TYPE3)*(TYPE3&lt;&gt;"")+('Dvd Calendar'!$E$1918:$AR$1918=TYPE4)*(TYPE4&lt;&gt;"")+('Dvd Calendar'!$E$1918:$AR$1918=SPECIAL_LBL)*(INC_SPECIALS="Y"))))</f>
        <v/>
      </c>
      <c r="K184" s="133">
        <f>IF($C184="","",HSCEI!$J$39)</f>
        <v/>
      </c>
      <c r="L184" s="133">
        <f>IF($C184="","",HSCEI!$K$39)</f>
        <v/>
      </c>
      <c r="M184" s="124">
        <f>IF($C184="","",HSCEI!$J$39+HSCEI!$L$39)</f>
        <v/>
      </c>
      <c r="N184" s="134">
        <f>IF($C184="","",IF(PULL_FUND="N","",IFERROR(BDP($C184,BESTDPS_FIELD,FWD_OVERRIDE,TEXT(MOD(YEAR_Y,100),"00")&amp;"Y"),"")))</f>
        <v/>
      </c>
      <c r="O184" s="133">
        <f>IF($C184="","",AVERAGE(F184:J184))</f>
        <v/>
      </c>
      <c r="P184" s="135">
        <f>IF($C184="","",IF(PULL_FUND="N","",IF(COUNTIFS('Fund History'!$J$1048:$J$1052,"&gt;="&amp;DATE(YEAR_Y-5,1,1),'Fund History'!$J$1048:$J$1052,"&lt;="&amp;DATE(YEAR_Y-5,12,31))=0,"",IFERROR($F184*HSCEI!$G$39/SUMIFS('Fund History'!$K$1048:$K$1052,'Fund History'!$J$1048:$J$1052,"&gt;="&amp;DATE(YEAR_Y-5,1,1),'Fund History'!$J$1048:$J$1052,"&lt;="&amp;DATE(YEAR_Y-5,12,31)),""))))</f>
        <v/>
      </c>
      <c r="Q184" s="136">
        <f>IF($C184="","",IF(PULL_FUND="N","",IF(COUNTIFS('Fund History'!$J$1048:$J$1052,"&gt;="&amp;DATE(YEAR_Y-4,1,1),'Fund History'!$J$1048:$J$1052,"&lt;="&amp;DATE(YEAR_Y-4,12,31))=0,"",IFERROR($G184*HSCEI!$G$39/SUMIFS('Fund History'!$K$1048:$K$1052,'Fund History'!$J$1048:$J$1052,"&gt;="&amp;DATE(YEAR_Y-4,1,1),'Fund History'!$J$1048:$J$1052,"&lt;="&amp;DATE(YEAR_Y-4,12,31)),""))))</f>
        <v/>
      </c>
      <c r="R184" s="136">
        <f>IF($C184="","",IF(PULL_FUND="N","",IF(COUNTIFS('Fund History'!$J$1048:$J$1052,"&gt;="&amp;DATE(YEAR_Y-3,1,1),'Fund History'!$J$1048:$J$1052,"&lt;="&amp;DATE(YEAR_Y-3,12,31))=0,"",IFERROR($H184*HSCEI!$G$39/SUMIFS('Fund History'!$K$1048:$K$1052,'Fund History'!$J$1048:$J$1052,"&gt;="&amp;DATE(YEAR_Y-3,1,1),'Fund History'!$J$1048:$J$1052,"&lt;="&amp;DATE(YEAR_Y-3,12,31)),""))))</f>
        <v/>
      </c>
      <c r="S184" s="136">
        <f>IF($C184="","",IF(PULL_FUND="N","",IF(COUNTIFS('Fund History'!$J$1048:$J$1052,"&gt;="&amp;DATE(YEAR_Y-2,1,1),'Fund History'!$J$1048:$J$1052,"&lt;="&amp;DATE(YEAR_Y-2,12,31))=0,"",IFERROR($I184*HSCEI!$G$39/SUMIFS('Fund History'!$K$1048:$K$1052,'Fund History'!$J$1048:$J$1052,"&gt;="&amp;DATE(YEAR_Y-2,1,1),'Fund History'!$J$1048:$J$1052,"&lt;="&amp;DATE(YEAR_Y-2,12,31)),""))))</f>
        <v/>
      </c>
      <c r="T184" s="136">
        <f>IF($C184="","",IF(PULL_FUND="N","",IF(COUNTIFS('Fund History'!$J$1048:$J$1052,"&gt;="&amp;DATE(YEAR_Y-1,1,1),'Fund History'!$J$1048:$J$1052,"&lt;="&amp;DATE(YEAR_Y-1,12,31))=0,"",IFERROR($J184*HSCEI!$G$39/SUMIFS('Fund History'!$K$1048:$K$1052,'Fund History'!$J$1048:$J$1052,"&gt;="&amp;DATE(YEAR_Y-1,1,1),'Fund History'!$J$1048:$J$1052,"&lt;="&amp;DATE(YEAR_Y-1,12,31)),""))))</f>
        <v/>
      </c>
      <c r="U184" s="137">
        <f>IF($C184="","",IF(ISNUMBER(HSCEI!$I$39),HSCEI!$I$39/100,""))</f>
        <v/>
      </c>
      <c r="V184" s="138">
        <f>IF($C184="","",IF(ISNUMBER(HSCEI!$X$39),IFERROR($M184*HSCEI!$G$39/HSCEI!$X$39,""),""))</f>
        <v/>
      </c>
      <c r="W184" s="137">
        <f>IF($C184="","",IF(ISNUMBER($N184),IFERROR($N184*HSCEI!$G$39/HSCEI!$X$39,""),""))</f>
        <v/>
      </c>
      <c r="X184" s="139">
        <f>IF($C184="","",IF(PULL_FUND="N","",IFERROR(BDP($C184,EPS_FIELD,YR_OVERRIDE,TEXT(YEAR_Y-5,"0")),"")))</f>
        <v/>
      </c>
      <c r="Y184" s="140">
        <f>IF($C184="","",IF(PULL_FUND="N","",IFERROR(BDP($C184,EPS_FIELD,YR_OVERRIDE,TEXT(YEAR_Y-4,"0")),"")))</f>
        <v/>
      </c>
      <c r="Z184" s="140">
        <f>IF($C184="","",IF(PULL_FUND="N","",IFERROR(BDP($C184,EPS_FIELD,YR_OVERRIDE,TEXT(YEAR_Y-3,"0")),"")))</f>
        <v/>
      </c>
      <c r="AA184" s="140">
        <f>IF($C184="","",IF(PULL_FUND="N","",IFERROR(BDP($C184,EPS_FIELD,YR_OVERRIDE,TEXT(YEAR_Y-2,"0")),"")))</f>
        <v/>
      </c>
      <c r="AB184" s="140">
        <f>IF($C184="","",IF(PULL_FUND="N","",IFERROR(BDP($C184,EPS_FIELD,YR_OVERRIDE,TEXT(YEAR_Y-1,"0")),"")))</f>
        <v/>
      </c>
      <c r="AC184" s="126">
        <f>IF($C184="","",IFERROR(AVERAGE(X184:AB184),""))</f>
        <v/>
      </c>
      <c r="AD184" s="140">
        <f>IF($C184="","",IF(PULL_FUND="N","",IFERROR(BDP($C184,BESTEPS_FIELD,FWD_OVERRIDE,TEXT(MOD(YEAR_Y,100),"00")&amp;"Y"),"")))</f>
        <v/>
      </c>
      <c r="AE184" s="141">
        <f>IF($C184="","",IF(PULL_FUND="N","",IFERROR(BDP($C184,PAYOUT_FIELD,YR_OVERRIDE,TEXT(YEAR_Y-5,"0"))/100,"")))</f>
        <v/>
      </c>
      <c r="AF184" s="142">
        <f>IF($C184="","",IF(PULL_FUND="N","",IFERROR(BDP($C184,PAYOUT_FIELD,YR_OVERRIDE,TEXT(YEAR_Y-4,"0"))/100,"")))</f>
        <v/>
      </c>
      <c r="AG184" s="142">
        <f>IF($C184="","",IF(PULL_FUND="N","",IFERROR(BDP($C184,PAYOUT_FIELD,YR_OVERRIDE,TEXT(YEAR_Y-3,"0"))/100,"")))</f>
        <v/>
      </c>
      <c r="AH184" s="142">
        <f>IF($C184="","",IF(PULL_FUND="N","",IFERROR(BDP($C184,PAYOUT_FIELD,YR_OVERRIDE,TEXT(YEAR_Y-2,"0"))/100,"")))</f>
        <v/>
      </c>
      <c r="AI184" s="142">
        <f>IF($C184="","",IF(PULL_FUND="N","",IFERROR(BDP($C184,PAYOUT_FIELD,YR_OVERRIDE,TEXT(YEAR_Y-1,"0"))/100,"")))</f>
        <v/>
      </c>
      <c r="AJ184" s="143">
        <f>IF($C184="","",IFERROR(AVERAGE(AE184:AI184),""))</f>
        <v/>
      </c>
      <c r="AK184" s="144">
        <f>IF($C184="","",IF(ISNUMBER($AD184)*ISNUMBER($N184)*($AD184&lt;&gt;0)=0,"",$N184/$AD184))</f>
        <v/>
      </c>
      <c r="AL184" s="143">
        <f>IF($C184="","",IF(ISNUMBER($AD184)*($AD184&lt;&gt;0)=0,"",$M184/$AD184))</f>
        <v/>
      </c>
      <c r="AM184" s="37">
        <f>IF($C184="","",IF(ISNUMBER($AE184)*ISNUMBER($AI184)=0,"",IF($AI184&gt;$AE184+0.05,"rising",IF($AI184&lt;$AE184-0.05,"falling","stable"))))</f>
        <v/>
      </c>
      <c r="AN184" s="145">
        <f>IF($C184="","",IF(PULL_FUND="N","",IF(COUNTIFS('Fund History'!$G$1048:$G$1052,"&gt;="&amp;DATE(YEAR_Y-4,1,1),'Fund History'!$G$1048:$G$1052,"&lt;="&amp;DATE(YEAR_Y-4,12,31))=0,"",SUMIFS('Fund History'!$H$1048:$H$1052,'Fund History'!$G$1048:$G$1052,"&gt;="&amp;DATE(YEAR_Y-4,1,1),'Fund History'!$G$1048:$G$1052,"&lt;="&amp;DATE(YEAR_Y-4,12,31))/100)))</f>
        <v/>
      </c>
      <c r="AO184" s="146">
        <f>IF($C184="","",IF(PULL_FUND="N","",IF(COUNTIFS('Fund History'!$G$1048:$G$1052,"&gt;="&amp;DATE(YEAR_Y-3,1,1),'Fund History'!$G$1048:$G$1052,"&lt;="&amp;DATE(YEAR_Y-3,12,31))=0,"",SUMIFS('Fund History'!$H$1048:$H$1052,'Fund History'!$G$1048:$G$1052,"&gt;="&amp;DATE(YEAR_Y-3,1,1),'Fund History'!$G$1048:$G$1052,"&lt;="&amp;DATE(YEAR_Y-3,12,31))/100)))</f>
        <v/>
      </c>
      <c r="AP184" s="146">
        <f>IF($C184="","",IF(PULL_FUND="N","",IF(COUNTIFS('Fund History'!$G$1048:$G$1052,"&gt;="&amp;DATE(YEAR_Y-2,1,1),'Fund History'!$G$1048:$G$1052,"&lt;="&amp;DATE(YEAR_Y-2,12,31))=0,"",SUMIFS('Fund History'!$H$1048:$H$1052,'Fund History'!$G$1048:$G$1052,"&gt;="&amp;DATE(YEAR_Y-2,1,1),'Fund History'!$G$1048:$G$1052,"&lt;="&amp;DATE(YEAR_Y-2,12,31))/100)))</f>
        <v/>
      </c>
      <c r="AQ184" s="146">
        <f>IF($C184="","",IF(PULL_FUND="N","",IF(COUNTIFS('Fund History'!$G$1048:$G$1052,"&gt;="&amp;DATE(YEAR_Y-1,1,1),'Fund History'!$G$1048:$G$1052,"&lt;="&amp;DATE(YEAR_Y-1,12,31))=0,"",SUMIFS('Fund History'!$H$1048:$H$1052,'Fund History'!$G$1048:$G$1052,"&gt;="&amp;DATE(YEAR_Y-1,1,1),'Fund History'!$G$1048:$G$1052,"&lt;="&amp;DATE(YEAR_Y-1,12,31))/100)))</f>
        <v/>
      </c>
      <c r="AR184" s="147">
        <f>IF($C184="","",IF(N($AQ184)+N(HSCEI!$I$39)=0,"",N($AQ184)+N(HSCEI!$I$39)/100))</f>
        <v/>
      </c>
      <c r="AS184" s="139">
        <f>IF($C184="","",IF(PULL_FUND="N","",IF(COUNTIFS('Fund History'!$D$1048:$D$1052,"&gt;="&amp;DATE(YEAR_Y-2,1,1),'Fund History'!$D$1048:$D$1052,"&lt;="&amp;DATE(YEAR_Y-2,12,31))=0,"",SUMIFS('Fund History'!$E$1048:$E$1052,'Fund History'!$D$1048:$D$1052,"&gt;="&amp;DATE(YEAR_Y-2,1,1),'Fund History'!$D$1048:$D$1052,"&lt;="&amp;DATE(YEAR_Y-2,12,31)))))</f>
        <v/>
      </c>
      <c r="AT184" s="140">
        <f>IF($C184="","",IF(PULL_FUND="N","",IF(COUNTIFS('Fund History'!$D$1048:$D$1052,"&gt;="&amp;DATE(YEAR_Y-1,1,1),'Fund History'!$D$1048:$D$1052,"&lt;="&amp;DATE(YEAR_Y-1,12,31))=0,"",SUMIFS('Fund History'!$E$1048:$E$1052,'Fund History'!$D$1048:$D$1052,"&gt;="&amp;DATE(YEAR_Y-1,1,1),'Fund History'!$D$1048:$D$1052,"&lt;="&amp;DATE(YEAR_Y-1,12,31)))))</f>
        <v/>
      </c>
      <c r="AU184" s="140">
        <f>IF($C184="","",IF(PULL_FUND="N","",IFERROR(BDP($C184,NDEBITDA_FIELD),"")))</f>
        <v/>
      </c>
      <c r="AV184" s="148">
        <f>IF($C184="","",IF(PULL_FUND="N","",IFERROR(BDP($C184,EBINT_FIELD),"")))</f>
        <v/>
      </c>
      <c r="AW184" s="146">
        <f>IF($C184="","",IF(PULL_FUND="N","",IFERROR(BDP($C184,FCF_FIELD)/100,"")))</f>
        <v/>
      </c>
      <c r="AX184" s="126">
        <f>IF($C184="","",IF(N($U184)=0,"",IFERROR($AW184/$U184,"")))</f>
        <v/>
      </c>
      <c r="AY184" s="85">
        <f>IF($C184="","",TRIM(IF(ISNUMBER($AJ184)*(N($AJ184)&gt;$D$4)&gt;0,"payout high  ","")&amp;IF(ISNUMBER($AX184)*(N($AX184)&lt;$F$4)&gt;0,"FCF below dvd  ","")&amp;IF(ISNUMBER($AU184)*(N($AU184)&gt;$H$4)&gt;0,"leverage high","")))</f>
        <v/>
      </c>
      <c r="AZ184" s="86">
        <f>IF($C184="","",IF(HSCEI!$F$39="HKD","",HSCEI!$F$39))</f>
        <v/>
      </c>
    </row>
    <row r="185">
      <c r="B185" s="66" t="inlineStr">
        <is>
          <t>HSCEI</t>
        </is>
      </c>
      <c r="C185" s="8">
        <f>IF(HSCEI!$C$40="","",HSCEI!$C$40)</f>
        <v/>
      </c>
      <c r="D185" s="8">
        <f>IF($C185="","",HSCEI!$D$40)</f>
        <v/>
      </c>
      <c r="E185" s="8">
        <f>IF($C185="","",HSCEI!$E$40)</f>
        <v/>
      </c>
      <c r="F185" s="131">
        <f>IF($C185="","",SUMPRODUCT(('Dvd Calendar'!$E$1924:$AR$1924&gt;=DATE(YEAR_Y-5,1,1))*('Dvd Calendar'!$E$1924:$AR$1924&lt;=DATE(YEAR_Y-5,12,31))*'Dvd Calendar'!$E$1927:$AR$1927*(('Dvd Calendar'!$E$1929:$AR$1929=TYPE1)*(TYPE1&lt;&gt;"")+('Dvd Calendar'!$E$1929:$AR$1929=TYPE2)*(TYPE2&lt;&gt;"")+('Dvd Calendar'!$E$1929:$AR$1929=TYPE3)*(TYPE3&lt;&gt;"")+('Dvd Calendar'!$E$1929:$AR$1929=TYPE4)*(TYPE4&lt;&gt;"")+('Dvd Calendar'!$E$1929:$AR$1929=SPECIAL_LBL)*(INC_SPECIALS="Y"))))</f>
        <v/>
      </c>
      <c r="G185" s="132">
        <f>IF($C185="","",SUMPRODUCT(('Dvd Calendar'!$E$1924:$AR$1924&gt;=DATE(YEAR_Y-4,1,1))*('Dvd Calendar'!$E$1924:$AR$1924&lt;=DATE(YEAR_Y-4,12,31))*'Dvd Calendar'!$E$1927:$AR$1927*(('Dvd Calendar'!$E$1929:$AR$1929=TYPE1)*(TYPE1&lt;&gt;"")+('Dvd Calendar'!$E$1929:$AR$1929=TYPE2)*(TYPE2&lt;&gt;"")+('Dvd Calendar'!$E$1929:$AR$1929=TYPE3)*(TYPE3&lt;&gt;"")+('Dvd Calendar'!$E$1929:$AR$1929=TYPE4)*(TYPE4&lt;&gt;"")+('Dvd Calendar'!$E$1929:$AR$1929=SPECIAL_LBL)*(INC_SPECIALS="Y"))))</f>
        <v/>
      </c>
      <c r="H185" s="132">
        <f>IF($C185="","",SUMPRODUCT(('Dvd Calendar'!$E$1924:$AR$1924&gt;=DATE(YEAR_Y-3,1,1))*('Dvd Calendar'!$E$1924:$AR$1924&lt;=DATE(YEAR_Y-3,12,31))*'Dvd Calendar'!$E$1927:$AR$1927*(('Dvd Calendar'!$E$1929:$AR$1929=TYPE1)*(TYPE1&lt;&gt;"")+('Dvd Calendar'!$E$1929:$AR$1929=TYPE2)*(TYPE2&lt;&gt;"")+('Dvd Calendar'!$E$1929:$AR$1929=TYPE3)*(TYPE3&lt;&gt;"")+('Dvd Calendar'!$E$1929:$AR$1929=TYPE4)*(TYPE4&lt;&gt;"")+('Dvd Calendar'!$E$1929:$AR$1929=SPECIAL_LBL)*(INC_SPECIALS="Y"))))</f>
        <v/>
      </c>
      <c r="I185" s="132">
        <f>IF($C185="","",SUMPRODUCT(('Dvd Calendar'!$E$1924:$AR$1924&gt;=DATE(YEAR_Y-2,1,1))*('Dvd Calendar'!$E$1924:$AR$1924&lt;=DATE(YEAR_Y-2,12,31))*'Dvd Calendar'!$E$1927:$AR$1927*(('Dvd Calendar'!$E$1929:$AR$1929=TYPE1)*(TYPE1&lt;&gt;"")+('Dvd Calendar'!$E$1929:$AR$1929=TYPE2)*(TYPE2&lt;&gt;"")+('Dvd Calendar'!$E$1929:$AR$1929=TYPE3)*(TYPE3&lt;&gt;"")+('Dvd Calendar'!$E$1929:$AR$1929=TYPE4)*(TYPE4&lt;&gt;"")+('Dvd Calendar'!$E$1929:$AR$1929=SPECIAL_LBL)*(INC_SPECIALS="Y"))))</f>
        <v/>
      </c>
      <c r="J185" s="132">
        <f>IF($C185="","",SUMPRODUCT(('Dvd Calendar'!$E$1924:$AR$1924&gt;=DATE(YEAR_Y-1,1,1))*('Dvd Calendar'!$E$1924:$AR$1924&lt;=DATE(YEAR_Y-1,12,31))*'Dvd Calendar'!$E$1927:$AR$1927*(('Dvd Calendar'!$E$1929:$AR$1929=TYPE1)*(TYPE1&lt;&gt;"")+('Dvd Calendar'!$E$1929:$AR$1929=TYPE2)*(TYPE2&lt;&gt;"")+('Dvd Calendar'!$E$1929:$AR$1929=TYPE3)*(TYPE3&lt;&gt;"")+('Dvd Calendar'!$E$1929:$AR$1929=TYPE4)*(TYPE4&lt;&gt;"")+('Dvd Calendar'!$E$1929:$AR$1929=SPECIAL_LBL)*(INC_SPECIALS="Y"))))</f>
        <v/>
      </c>
      <c r="K185" s="133">
        <f>IF($C185="","",HSCEI!$J$40)</f>
        <v/>
      </c>
      <c r="L185" s="133">
        <f>IF($C185="","",HSCEI!$K$40)</f>
        <v/>
      </c>
      <c r="M185" s="124">
        <f>IF($C185="","",HSCEI!$J$40+HSCEI!$L$40)</f>
        <v/>
      </c>
      <c r="N185" s="134">
        <f>IF($C185="","",IF(PULL_FUND="N","",IFERROR(BDP($C185,BESTDPS_FIELD,FWD_OVERRIDE,TEXT(MOD(YEAR_Y,100),"00")&amp;"Y"),"")))</f>
        <v/>
      </c>
      <c r="O185" s="133">
        <f>IF($C185="","",AVERAGE(F185:J185))</f>
        <v/>
      </c>
      <c r="P185" s="135">
        <f>IF($C185="","",IF(PULL_FUND="N","",IF(COUNTIFS('Fund History'!$J$1054:$J$1058,"&gt;="&amp;DATE(YEAR_Y-5,1,1),'Fund History'!$J$1054:$J$1058,"&lt;="&amp;DATE(YEAR_Y-5,12,31))=0,"",IFERROR($F185*HSCEI!$G$40/SUMIFS('Fund History'!$K$1054:$K$1058,'Fund History'!$J$1054:$J$1058,"&gt;="&amp;DATE(YEAR_Y-5,1,1),'Fund History'!$J$1054:$J$1058,"&lt;="&amp;DATE(YEAR_Y-5,12,31)),""))))</f>
        <v/>
      </c>
      <c r="Q185" s="136">
        <f>IF($C185="","",IF(PULL_FUND="N","",IF(COUNTIFS('Fund History'!$J$1054:$J$1058,"&gt;="&amp;DATE(YEAR_Y-4,1,1),'Fund History'!$J$1054:$J$1058,"&lt;="&amp;DATE(YEAR_Y-4,12,31))=0,"",IFERROR($G185*HSCEI!$G$40/SUMIFS('Fund History'!$K$1054:$K$1058,'Fund History'!$J$1054:$J$1058,"&gt;="&amp;DATE(YEAR_Y-4,1,1),'Fund History'!$J$1054:$J$1058,"&lt;="&amp;DATE(YEAR_Y-4,12,31)),""))))</f>
        <v/>
      </c>
      <c r="R185" s="136">
        <f>IF($C185="","",IF(PULL_FUND="N","",IF(COUNTIFS('Fund History'!$J$1054:$J$1058,"&gt;="&amp;DATE(YEAR_Y-3,1,1),'Fund History'!$J$1054:$J$1058,"&lt;="&amp;DATE(YEAR_Y-3,12,31))=0,"",IFERROR($H185*HSCEI!$G$40/SUMIFS('Fund History'!$K$1054:$K$1058,'Fund History'!$J$1054:$J$1058,"&gt;="&amp;DATE(YEAR_Y-3,1,1),'Fund History'!$J$1054:$J$1058,"&lt;="&amp;DATE(YEAR_Y-3,12,31)),""))))</f>
        <v/>
      </c>
      <c r="S185" s="136">
        <f>IF($C185="","",IF(PULL_FUND="N","",IF(COUNTIFS('Fund History'!$J$1054:$J$1058,"&gt;="&amp;DATE(YEAR_Y-2,1,1),'Fund History'!$J$1054:$J$1058,"&lt;="&amp;DATE(YEAR_Y-2,12,31))=0,"",IFERROR($I185*HSCEI!$G$40/SUMIFS('Fund History'!$K$1054:$K$1058,'Fund History'!$J$1054:$J$1058,"&gt;="&amp;DATE(YEAR_Y-2,1,1),'Fund History'!$J$1054:$J$1058,"&lt;="&amp;DATE(YEAR_Y-2,12,31)),""))))</f>
        <v/>
      </c>
      <c r="T185" s="136">
        <f>IF($C185="","",IF(PULL_FUND="N","",IF(COUNTIFS('Fund History'!$J$1054:$J$1058,"&gt;="&amp;DATE(YEAR_Y-1,1,1),'Fund History'!$J$1054:$J$1058,"&lt;="&amp;DATE(YEAR_Y-1,12,31))=0,"",IFERROR($J185*HSCEI!$G$40/SUMIFS('Fund History'!$K$1054:$K$1058,'Fund History'!$J$1054:$J$1058,"&gt;="&amp;DATE(YEAR_Y-1,1,1),'Fund History'!$J$1054:$J$1058,"&lt;="&amp;DATE(YEAR_Y-1,12,31)),""))))</f>
        <v/>
      </c>
      <c r="U185" s="137">
        <f>IF($C185="","",IF(ISNUMBER(HSCEI!$I$40),HSCEI!$I$40/100,""))</f>
        <v/>
      </c>
      <c r="V185" s="138">
        <f>IF($C185="","",IF(ISNUMBER(HSCEI!$X$40),IFERROR($M185*HSCEI!$G$40/HSCEI!$X$40,""),""))</f>
        <v/>
      </c>
      <c r="W185" s="137">
        <f>IF($C185="","",IF(ISNUMBER($N185),IFERROR($N185*HSCEI!$G$40/HSCEI!$X$40,""),""))</f>
        <v/>
      </c>
      <c r="X185" s="139">
        <f>IF($C185="","",IF(PULL_FUND="N","",IFERROR(BDP($C185,EPS_FIELD,YR_OVERRIDE,TEXT(YEAR_Y-5,"0")),"")))</f>
        <v/>
      </c>
      <c r="Y185" s="140">
        <f>IF($C185="","",IF(PULL_FUND="N","",IFERROR(BDP($C185,EPS_FIELD,YR_OVERRIDE,TEXT(YEAR_Y-4,"0")),"")))</f>
        <v/>
      </c>
      <c r="Z185" s="140">
        <f>IF($C185="","",IF(PULL_FUND="N","",IFERROR(BDP($C185,EPS_FIELD,YR_OVERRIDE,TEXT(YEAR_Y-3,"0")),"")))</f>
        <v/>
      </c>
      <c r="AA185" s="140">
        <f>IF($C185="","",IF(PULL_FUND="N","",IFERROR(BDP($C185,EPS_FIELD,YR_OVERRIDE,TEXT(YEAR_Y-2,"0")),"")))</f>
        <v/>
      </c>
      <c r="AB185" s="140">
        <f>IF($C185="","",IF(PULL_FUND="N","",IFERROR(BDP($C185,EPS_FIELD,YR_OVERRIDE,TEXT(YEAR_Y-1,"0")),"")))</f>
        <v/>
      </c>
      <c r="AC185" s="126">
        <f>IF($C185="","",IFERROR(AVERAGE(X185:AB185),""))</f>
        <v/>
      </c>
      <c r="AD185" s="140">
        <f>IF($C185="","",IF(PULL_FUND="N","",IFERROR(BDP($C185,BESTEPS_FIELD,FWD_OVERRIDE,TEXT(MOD(YEAR_Y,100),"00")&amp;"Y"),"")))</f>
        <v/>
      </c>
      <c r="AE185" s="141">
        <f>IF($C185="","",IF(PULL_FUND="N","",IFERROR(BDP($C185,PAYOUT_FIELD,YR_OVERRIDE,TEXT(YEAR_Y-5,"0"))/100,"")))</f>
        <v/>
      </c>
      <c r="AF185" s="142">
        <f>IF($C185="","",IF(PULL_FUND="N","",IFERROR(BDP($C185,PAYOUT_FIELD,YR_OVERRIDE,TEXT(YEAR_Y-4,"0"))/100,"")))</f>
        <v/>
      </c>
      <c r="AG185" s="142">
        <f>IF($C185="","",IF(PULL_FUND="N","",IFERROR(BDP($C185,PAYOUT_FIELD,YR_OVERRIDE,TEXT(YEAR_Y-3,"0"))/100,"")))</f>
        <v/>
      </c>
      <c r="AH185" s="142">
        <f>IF($C185="","",IF(PULL_FUND="N","",IFERROR(BDP($C185,PAYOUT_FIELD,YR_OVERRIDE,TEXT(YEAR_Y-2,"0"))/100,"")))</f>
        <v/>
      </c>
      <c r="AI185" s="142">
        <f>IF($C185="","",IF(PULL_FUND="N","",IFERROR(BDP($C185,PAYOUT_FIELD,YR_OVERRIDE,TEXT(YEAR_Y-1,"0"))/100,"")))</f>
        <v/>
      </c>
      <c r="AJ185" s="143">
        <f>IF($C185="","",IFERROR(AVERAGE(AE185:AI185),""))</f>
        <v/>
      </c>
      <c r="AK185" s="144">
        <f>IF($C185="","",IF(ISNUMBER($AD185)*ISNUMBER($N185)*($AD185&lt;&gt;0)=0,"",$N185/$AD185))</f>
        <v/>
      </c>
      <c r="AL185" s="143">
        <f>IF($C185="","",IF(ISNUMBER($AD185)*($AD185&lt;&gt;0)=0,"",$M185/$AD185))</f>
        <v/>
      </c>
      <c r="AM185" s="37">
        <f>IF($C185="","",IF(ISNUMBER($AE185)*ISNUMBER($AI185)=0,"",IF($AI185&gt;$AE185+0.05,"rising",IF($AI185&lt;$AE185-0.05,"falling","stable"))))</f>
        <v/>
      </c>
      <c r="AN185" s="145">
        <f>IF($C185="","",IF(PULL_FUND="N","",IF(COUNTIFS('Fund History'!$G$1054:$G$1058,"&gt;="&amp;DATE(YEAR_Y-4,1,1),'Fund History'!$G$1054:$G$1058,"&lt;="&amp;DATE(YEAR_Y-4,12,31))=0,"",SUMIFS('Fund History'!$H$1054:$H$1058,'Fund History'!$G$1054:$G$1058,"&gt;="&amp;DATE(YEAR_Y-4,1,1),'Fund History'!$G$1054:$G$1058,"&lt;="&amp;DATE(YEAR_Y-4,12,31))/100)))</f>
        <v/>
      </c>
      <c r="AO185" s="146">
        <f>IF($C185="","",IF(PULL_FUND="N","",IF(COUNTIFS('Fund History'!$G$1054:$G$1058,"&gt;="&amp;DATE(YEAR_Y-3,1,1),'Fund History'!$G$1054:$G$1058,"&lt;="&amp;DATE(YEAR_Y-3,12,31))=0,"",SUMIFS('Fund History'!$H$1054:$H$1058,'Fund History'!$G$1054:$G$1058,"&gt;="&amp;DATE(YEAR_Y-3,1,1),'Fund History'!$G$1054:$G$1058,"&lt;="&amp;DATE(YEAR_Y-3,12,31))/100)))</f>
        <v/>
      </c>
      <c r="AP185" s="146">
        <f>IF($C185="","",IF(PULL_FUND="N","",IF(COUNTIFS('Fund History'!$G$1054:$G$1058,"&gt;="&amp;DATE(YEAR_Y-2,1,1),'Fund History'!$G$1054:$G$1058,"&lt;="&amp;DATE(YEAR_Y-2,12,31))=0,"",SUMIFS('Fund History'!$H$1054:$H$1058,'Fund History'!$G$1054:$G$1058,"&gt;="&amp;DATE(YEAR_Y-2,1,1),'Fund History'!$G$1054:$G$1058,"&lt;="&amp;DATE(YEAR_Y-2,12,31))/100)))</f>
        <v/>
      </c>
      <c r="AQ185" s="146">
        <f>IF($C185="","",IF(PULL_FUND="N","",IF(COUNTIFS('Fund History'!$G$1054:$G$1058,"&gt;="&amp;DATE(YEAR_Y-1,1,1),'Fund History'!$G$1054:$G$1058,"&lt;="&amp;DATE(YEAR_Y-1,12,31))=0,"",SUMIFS('Fund History'!$H$1054:$H$1058,'Fund History'!$G$1054:$G$1058,"&gt;="&amp;DATE(YEAR_Y-1,1,1),'Fund History'!$G$1054:$G$1058,"&lt;="&amp;DATE(YEAR_Y-1,12,31))/100)))</f>
        <v/>
      </c>
      <c r="AR185" s="147">
        <f>IF($C185="","",IF(N($AQ185)+N(HSCEI!$I$40)=0,"",N($AQ185)+N(HSCEI!$I$40)/100))</f>
        <v/>
      </c>
      <c r="AS185" s="139">
        <f>IF($C185="","",IF(PULL_FUND="N","",IF(COUNTIFS('Fund History'!$D$1054:$D$1058,"&gt;="&amp;DATE(YEAR_Y-2,1,1),'Fund History'!$D$1054:$D$1058,"&lt;="&amp;DATE(YEAR_Y-2,12,31))=0,"",SUMIFS('Fund History'!$E$1054:$E$1058,'Fund History'!$D$1054:$D$1058,"&gt;="&amp;DATE(YEAR_Y-2,1,1),'Fund History'!$D$1054:$D$1058,"&lt;="&amp;DATE(YEAR_Y-2,12,31)))))</f>
        <v/>
      </c>
      <c r="AT185" s="140">
        <f>IF($C185="","",IF(PULL_FUND="N","",IF(COUNTIFS('Fund History'!$D$1054:$D$1058,"&gt;="&amp;DATE(YEAR_Y-1,1,1),'Fund History'!$D$1054:$D$1058,"&lt;="&amp;DATE(YEAR_Y-1,12,31))=0,"",SUMIFS('Fund History'!$E$1054:$E$1058,'Fund History'!$D$1054:$D$1058,"&gt;="&amp;DATE(YEAR_Y-1,1,1),'Fund History'!$D$1054:$D$1058,"&lt;="&amp;DATE(YEAR_Y-1,12,31)))))</f>
        <v/>
      </c>
      <c r="AU185" s="140">
        <f>IF($C185="","",IF(PULL_FUND="N","",IFERROR(BDP($C185,NDEBITDA_FIELD),"")))</f>
        <v/>
      </c>
      <c r="AV185" s="148">
        <f>IF($C185="","",IF(PULL_FUND="N","",IFERROR(BDP($C185,EBINT_FIELD),"")))</f>
        <v/>
      </c>
      <c r="AW185" s="146">
        <f>IF($C185="","",IF(PULL_FUND="N","",IFERROR(BDP($C185,FCF_FIELD)/100,"")))</f>
        <v/>
      </c>
      <c r="AX185" s="126">
        <f>IF($C185="","",IF(N($U185)=0,"",IFERROR($AW185/$U185,"")))</f>
        <v/>
      </c>
      <c r="AY185" s="85">
        <f>IF($C185="","",TRIM(IF(ISNUMBER($AJ185)*(N($AJ185)&gt;$D$4)&gt;0,"payout high  ","")&amp;IF(ISNUMBER($AX185)*(N($AX185)&lt;$F$4)&gt;0,"FCF below dvd  ","")&amp;IF(ISNUMBER($AU185)*(N($AU185)&gt;$H$4)&gt;0,"leverage high","")))</f>
        <v/>
      </c>
      <c r="AZ185" s="86">
        <f>IF($C185="","",IF(HSCEI!$F$40="HKD","",HSCEI!$F$40))</f>
        <v/>
      </c>
    </row>
    <row r="186">
      <c r="B186" s="66" t="inlineStr">
        <is>
          <t>HSCEI</t>
        </is>
      </c>
      <c r="C186" s="8">
        <f>IF(HSCEI!$C$41="","",HSCEI!$C$41)</f>
        <v/>
      </c>
      <c r="D186" s="8">
        <f>IF($C186="","",HSCEI!$D$41)</f>
        <v/>
      </c>
      <c r="E186" s="8">
        <f>IF($C186="","",HSCEI!$E$41)</f>
        <v/>
      </c>
      <c r="F186" s="131">
        <f>IF($C186="","",SUMPRODUCT(('Dvd Calendar'!$E$1935:$AR$1935&gt;=DATE(YEAR_Y-5,1,1))*('Dvd Calendar'!$E$1935:$AR$1935&lt;=DATE(YEAR_Y-5,12,31))*'Dvd Calendar'!$E$1938:$AR$1938*(('Dvd Calendar'!$E$1940:$AR$1940=TYPE1)*(TYPE1&lt;&gt;"")+('Dvd Calendar'!$E$1940:$AR$1940=TYPE2)*(TYPE2&lt;&gt;"")+('Dvd Calendar'!$E$1940:$AR$1940=TYPE3)*(TYPE3&lt;&gt;"")+('Dvd Calendar'!$E$1940:$AR$1940=TYPE4)*(TYPE4&lt;&gt;"")+('Dvd Calendar'!$E$1940:$AR$1940=SPECIAL_LBL)*(INC_SPECIALS="Y"))))</f>
        <v/>
      </c>
      <c r="G186" s="132">
        <f>IF($C186="","",SUMPRODUCT(('Dvd Calendar'!$E$1935:$AR$1935&gt;=DATE(YEAR_Y-4,1,1))*('Dvd Calendar'!$E$1935:$AR$1935&lt;=DATE(YEAR_Y-4,12,31))*'Dvd Calendar'!$E$1938:$AR$1938*(('Dvd Calendar'!$E$1940:$AR$1940=TYPE1)*(TYPE1&lt;&gt;"")+('Dvd Calendar'!$E$1940:$AR$1940=TYPE2)*(TYPE2&lt;&gt;"")+('Dvd Calendar'!$E$1940:$AR$1940=TYPE3)*(TYPE3&lt;&gt;"")+('Dvd Calendar'!$E$1940:$AR$1940=TYPE4)*(TYPE4&lt;&gt;"")+('Dvd Calendar'!$E$1940:$AR$1940=SPECIAL_LBL)*(INC_SPECIALS="Y"))))</f>
        <v/>
      </c>
      <c r="H186" s="132">
        <f>IF($C186="","",SUMPRODUCT(('Dvd Calendar'!$E$1935:$AR$1935&gt;=DATE(YEAR_Y-3,1,1))*('Dvd Calendar'!$E$1935:$AR$1935&lt;=DATE(YEAR_Y-3,12,31))*'Dvd Calendar'!$E$1938:$AR$1938*(('Dvd Calendar'!$E$1940:$AR$1940=TYPE1)*(TYPE1&lt;&gt;"")+('Dvd Calendar'!$E$1940:$AR$1940=TYPE2)*(TYPE2&lt;&gt;"")+('Dvd Calendar'!$E$1940:$AR$1940=TYPE3)*(TYPE3&lt;&gt;"")+('Dvd Calendar'!$E$1940:$AR$1940=TYPE4)*(TYPE4&lt;&gt;"")+('Dvd Calendar'!$E$1940:$AR$1940=SPECIAL_LBL)*(INC_SPECIALS="Y"))))</f>
        <v/>
      </c>
      <c r="I186" s="132">
        <f>IF($C186="","",SUMPRODUCT(('Dvd Calendar'!$E$1935:$AR$1935&gt;=DATE(YEAR_Y-2,1,1))*('Dvd Calendar'!$E$1935:$AR$1935&lt;=DATE(YEAR_Y-2,12,31))*'Dvd Calendar'!$E$1938:$AR$1938*(('Dvd Calendar'!$E$1940:$AR$1940=TYPE1)*(TYPE1&lt;&gt;"")+('Dvd Calendar'!$E$1940:$AR$1940=TYPE2)*(TYPE2&lt;&gt;"")+('Dvd Calendar'!$E$1940:$AR$1940=TYPE3)*(TYPE3&lt;&gt;"")+('Dvd Calendar'!$E$1940:$AR$1940=TYPE4)*(TYPE4&lt;&gt;"")+('Dvd Calendar'!$E$1940:$AR$1940=SPECIAL_LBL)*(INC_SPECIALS="Y"))))</f>
        <v/>
      </c>
      <c r="J186" s="132">
        <f>IF($C186="","",SUMPRODUCT(('Dvd Calendar'!$E$1935:$AR$1935&gt;=DATE(YEAR_Y-1,1,1))*('Dvd Calendar'!$E$1935:$AR$1935&lt;=DATE(YEAR_Y-1,12,31))*'Dvd Calendar'!$E$1938:$AR$1938*(('Dvd Calendar'!$E$1940:$AR$1940=TYPE1)*(TYPE1&lt;&gt;"")+('Dvd Calendar'!$E$1940:$AR$1940=TYPE2)*(TYPE2&lt;&gt;"")+('Dvd Calendar'!$E$1940:$AR$1940=TYPE3)*(TYPE3&lt;&gt;"")+('Dvd Calendar'!$E$1940:$AR$1940=TYPE4)*(TYPE4&lt;&gt;"")+('Dvd Calendar'!$E$1940:$AR$1940=SPECIAL_LBL)*(INC_SPECIALS="Y"))))</f>
        <v/>
      </c>
      <c r="K186" s="133">
        <f>IF($C186="","",HSCEI!$J$41)</f>
        <v/>
      </c>
      <c r="L186" s="133">
        <f>IF($C186="","",HSCEI!$K$41)</f>
        <v/>
      </c>
      <c r="M186" s="124">
        <f>IF($C186="","",HSCEI!$J$41+HSCEI!$L$41)</f>
        <v/>
      </c>
      <c r="N186" s="134">
        <f>IF($C186="","",IF(PULL_FUND="N","",IFERROR(BDP($C186,BESTDPS_FIELD,FWD_OVERRIDE,TEXT(MOD(YEAR_Y,100),"00")&amp;"Y"),"")))</f>
        <v/>
      </c>
      <c r="O186" s="133">
        <f>IF($C186="","",AVERAGE(F186:J186))</f>
        <v/>
      </c>
      <c r="P186" s="135">
        <f>IF($C186="","",IF(PULL_FUND="N","",IF(COUNTIFS('Fund History'!$J$1060:$J$1064,"&gt;="&amp;DATE(YEAR_Y-5,1,1),'Fund History'!$J$1060:$J$1064,"&lt;="&amp;DATE(YEAR_Y-5,12,31))=0,"",IFERROR($F186*HSCEI!$G$41/SUMIFS('Fund History'!$K$1060:$K$1064,'Fund History'!$J$1060:$J$1064,"&gt;="&amp;DATE(YEAR_Y-5,1,1),'Fund History'!$J$1060:$J$1064,"&lt;="&amp;DATE(YEAR_Y-5,12,31)),""))))</f>
        <v/>
      </c>
      <c r="Q186" s="136">
        <f>IF($C186="","",IF(PULL_FUND="N","",IF(COUNTIFS('Fund History'!$J$1060:$J$1064,"&gt;="&amp;DATE(YEAR_Y-4,1,1),'Fund History'!$J$1060:$J$1064,"&lt;="&amp;DATE(YEAR_Y-4,12,31))=0,"",IFERROR($G186*HSCEI!$G$41/SUMIFS('Fund History'!$K$1060:$K$1064,'Fund History'!$J$1060:$J$1064,"&gt;="&amp;DATE(YEAR_Y-4,1,1),'Fund History'!$J$1060:$J$1064,"&lt;="&amp;DATE(YEAR_Y-4,12,31)),""))))</f>
        <v/>
      </c>
      <c r="R186" s="136">
        <f>IF($C186="","",IF(PULL_FUND="N","",IF(COUNTIFS('Fund History'!$J$1060:$J$1064,"&gt;="&amp;DATE(YEAR_Y-3,1,1),'Fund History'!$J$1060:$J$1064,"&lt;="&amp;DATE(YEAR_Y-3,12,31))=0,"",IFERROR($H186*HSCEI!$G$41/SUMIFS('Fund History'!$K$1060:$K$1064,'Fund History'!$J$1060:$J$1064,"&gt;="&amp;DATE(YEAR_Y-3,1,1),'Fund History'!$J$1060:$J$1064,"&lt;="&amp;DATE(YEAR_Y-3,12,31)),""))))</f>
        <v/>
      </c>
      <c r="S186" s="136">
        <f>IF($C186="","",IF(PULL_FUND="N","",IF(COUNTIFS('Fund History'!$J$1060:$J$1064,"&gt;="&amp;DATE(YEAR_Y-2,1,1),'Fund History'!$J$1060:$J$1064,"&lt;="&amp;DATE(YEAR_Y-2,12,31))=0,"",IFERROR($I186*HSCEI!$G$41/SUMIFS('Fund History'!$K$1060:$K$1064,'Fund History'!$J$1060:$J$1064,"&gt;="&amp;DATE(YEAR_Y-2,1,1),'Fund History'!$J$1060:$J$1064,"&lt;="&amp;DATE(YEAR_Y-2,12,31)),""))))</f>
        <v/>
      </c>
      <c r="T186" s="136">
        <f>IF($C186="","",IF(PULL_FUND="N","",IF(COUNTIFS('Fund History'!$J$1060:$J$1064,"&gt;="&amp;DATE(YEAR_Y-1,1,1),'Fund History'!$J$1060:$J$1064,"&lt;="&amp;DATE(YEAR_Y-1,12,31))=0,"",IFERROR($J186*HSCEI!$G$41/SUMIFS('Fund History'!$K$1060:$K$1064,'Fund History'!$J$1060:$J$1064,"&gt;="&amp;DATE(YEAR_Y-1,1,1),'Fund History'!$J$1060:$J$1064,"&lt;="&amp;DATE(YEAR_Y-1,12,31)),""))))</f>
        <v/>
      </c>
      <c r="U186" s="137">
        <f>IF($C186="","",IF(ISNUMBER(HSCEI!$I$41),HSCEI!$I$41/100,""))</f>
        <v/>
      </c>
      <c r="V186" s="138">
        <f>IF($C186="","",IF(ISNUMBER(HSCEI!$X$41),IFERROR($M186*HSCEI!$G$41/HSCEI!$X$41,""),""))</f>
        <v/>
      </c>
      <c r="W186" s="137">
        <f>IF($C186="","",IF(ISNUMBER($N186),IFERROR($N186*HSCEI!$G$41/HSCEI!$X$41,""),""))</f>
        <v/>
      </c>
      <c r="X186" s="139">
        <f>IF($C186="","",IF(PULL_FUND="N","",IFERROR(BDP($C186,EPS_FIELD,YR_OVERRIDE,TEXT(YEAR_Y-5,"0")),"")))</f>
        <v/>
      </c>
      <c r="Y186" s="140">
        <f>IF($C186="","",IF(PULL_FUND="N","",IFERROR(BDP($C186,EPS_FIELD,YR_OVERRIDE,TEXT(YEAR_Y-4,"0")),"")))</f>
        <v/>
      </c>
      <c r="Z186" s="140">
        <f>IF($C186="","",IF(PULL_FUND="N","",IFERROR(BDP($C186,EPS_FIELD,YR_OVERRIDE,TEXT(YEAR_Y-3,"0")),"")))</f>
        <v/>
      </c>
      <c r="AA186" s="140">
        <f>IF($C186="","",IF(PULL_FUND="N","",IFERROR(BDP($C186,EPS_FIELD,YR_OVERRIDE,TEXT(YEAR_Y-2,"0")),"")))</f>
        <v/>
      </c>
      <c r="AB186" s="140">
        <f>IF($C186="","",IF(PULL_FUND="N","",IFERROR(BDP($C186,EPS_FIELD,YR_OVERRIDE,TEXT(YEAR_Y-1,"0")),"")))</f>
        <v/>
      </c>
      <c r="AC186" s="126">
        <f>IF($C186="","",IFERROR(AVERAGE(X186:AB186),""))</f>
        <v/>
      </c>
      <c r="AD186" s="140">
        <f>IF($C186="","",IF(PULL_FUND="N","",IFERROR(BDP($C186,BESTEPS_FIELD,FWD_OVERRIDE,TEXT(MOD(YEAR_Y,100),"00")&amp;"Y"),"")))</f>
        <v/>
      </c>
      <c r="AE186" s="141">
        <f>IF($C186="","",IF(PULL_FUND="N","",IFERROR(BDP($C186,PAYOUT_FIELD,YR_OVERRIDE,TEXT(YEAR_Y-5,"0"))/100,"")))</f>
        <v/>
      </c>
      <c r="AF186" s="142">
        <f>IF($C186="","",IF(PULL_FUND="N","",IFERROR(BDP($C186,PAYOUT_FIELD,YR_OVERRIDE,TEXT(YEAR_Y-4,"0"))/100,"")))</f>
        <v/>
      </c>
      <c r="AG186" s="142">
        <f>IF($C186="","",IF(PULL_FUND="N","",IFERROR(BDP($C186,PAYOUT_FIELD,YR_OVERRIDE,TEXT(YEAR_Y-3,"0"))/100,"")))</f>
        <v/>
      </c>
      <c r="AH186" s="142">
        <f>IF($C186="","",IF(PULL_FUND="N","",IFERROR(BDP($C186,PAYOUT_FIELD,YR_OVERRIDE,TEXT(YEAR_Y-2,"0"))/100,"")))</f>
        <v/>
      </c>
      <c r="AI186" s="142">
        <f>IF($C186="","",IF(PULL_FUND="N","",IFERROR(BDP($C186,PAYOUT_FIELD,YR_OVERRIDE,TEXT(YEAR_Y-1,"0"))/100,"")))</f>
        <v/>
      </c>
      <c r="AJ186" s="143">
        <f>IF($C186="","",IFERROR(AVERAGE(AE186:AI186),""))</f>
        <v/>
      </c>
      <c r="AK186" s="144">
        <f>IF($C186="","",IF(ISNUMBER($AD186)*ISNUMBER($N186)*($AD186&lt;&gt;0)=0,"",$N186/$AD186))</f>
        <v/>
      </c>
      <c r="AL186" s="143">
        <f>IF($C186="","",IF(ISNUMBER($AD186)*($AD186&lt;&gt;0)=0,"",$M186/$AD186))</f>
        <v/>
      </c>
      <c r="AM186" s="37">
        <f>IF($C186="","",IF(ISNUMBER($AE186)*ISNUMBER($AI186)=0,"",IF($AI186&gt;$AE186+0.05,"rising",IF($AI186&lt;$AE186-0.05,"falling","stable"))))</f>
        <v/>
      </c>
      <c r="AN186" s="145">
        <f>IF($C186="","",IF(PULL_FUND="N","",IF(COUNTIFS('Fund History'!$G$1060:$G$1064,"&gt;="&amp;DATE(YEAR_Y-4,1,1),'Fund History'!$G$1060:$G$1064,"&lt;="&amp;DATE(YEAR_Y-4,12,31))=0,"",SUMIFS('Fund History'!$H$1060:$H$1064,'Fund History'!$G$1060:$G$1064,"&gt;="&amp;DATE(YEAR_Y-4,1,1),'Fund History'!$G$1060:$G$1064,"&lt;="&amp;DATE(YEAR_Y-4,12,31))/100)))</f>
        <v/>
      </c>
      <c r="AO186" s="146">
        <f>IF($C186="","",IF(PULL_FUND="N","",IF(COUNTIFS('Fund History'!$G$1060:$G$1064,"&gt;="&amp;DATE(YEAR_Y-3,1,1),'Fund History'!$G$1060:$G$1064,"&lt;="&amp;DATE(YEAR_Y-3,12,31))=0,"",SUMIFS('Fund History'!$H$1060:$H$1064,'Fund History'!$G$1060:$G$1064,"&gt;="&amp;DATE(YEAR_Y-3,1,1),'Fund History'!$G$1060:$G$1064,"&lt;="&amp;DATE(YEAR_Y-3,12,31))/100)))</f>
        <v/>
      </c>
      <c r="AP186" s="146">
        <f>IF($C186="","",IF(PULL_FUND="N","",IF(COUNTIFS('Fund History'!$G$1060:$G$1064,"&gt;="&amp;DATE(YEAR_Y-2,1,1),'Fund History'!$G$1060:$G$1064,"&lt;="&amp;DATE(YEAR_Y-2,12,31))=0,"",SUMIFS('Fund History'!$H$1060:$H$1064,'Fund History'!$G$1060:$G$1064,"&gt;="&amp;DATE(YEAR_Y-2,1,1),'Fund History'!$G$1060:$G$1064,"&lt;="&amp;DATE(YEAR_Y-2,12,31))/100)))</f>
        <v/>
      </c>
      <c r="AQ186" s="146">
        <f>IF($C186="","",IF(PULL_FUND="N","",IF(COUNTIFS('Fund History'!$G$1060:$G$1064,"&gt;="&amp;DATE(YEAR_Y-1,1,1),'Fund History'!$G$1060:$G$1064,"&lt;="&amp;DATE(YEAR_Y-1,12,31))=0,"",SUMIFS('Fund History'!$H$1060:$H$1064,'Fund History'!$G$1060:$G$1064,"&gt;="&amp;DATE(YEAR_Y-1,1,1),'Fund History'!$G$1060:$G$1064,"&lt;="&amp;DATE(YEAR_Y-1,12,31))/100)))</f>
        <v/>
      </c>
      <c r="AR186" s="147">
        <f>IF($C186="","",IF(N($AQ186)+N(HSCEI!$I$41)=0,"",N($AQ186)+N(HSCEI!$I$41)/100))</f>
        <v/>
      </c>
      <c r="AS186" s="139">
        <f>IF($C186="","",IF(PULL_FUND="N","",IF(COUNTIFS('Fund History'!$D$1060:$D$1064,"&gt;="&amp;DATE(YEAR_Y-2,1,1),'Fund History'!$D$1060:$D$1064,"&lt;="&amp;DATE(YEAR_Y-2,12,31))=0,"",SUMIFS('Fund History'!$E$1060:$E$1064,'Fund History'!$D$1060:$D$1064,"&gt;="&amp;DATE(YEAR_Y-2,1,1),'Fund History'!$D$1060:$D$1064,"&lt;="&amp;DATE(YEAR_Y-2,12,31)))))</f>
        <v/>
      </c>
      <c r="AT186" s="140">
        <f>IF($C186="","",IF(PULL_FUND="N","",IF(COUNTIFS('Fund History'!$D$1060:$D$1064,"&gt;="&amp;DATE(YEAR_Y-1,1,1),'Fund History'!$D$1060:$D$1064,"&lt;="&amp;DATE(YEAR_Y-1,12,31))=0,"",SUMIFS('Fund History'!$E$1060:$E$1064,'Fund History'!$D$1060:$D$1064,"&gt;="&amp;DATE(YEAR_Y-1,1,1),'Fund History'!$D$1060:$D$1064,"&lt;="&amp;DATE(YEAR_Y-1,12,31)))))</f>
        <v/>
      </c>
      <c r="AU186" s="140">
        <f>IF($C186="","",IF(PULL_FUND="N","",IFERROR(BDP($C186,NDEBITDA_FIELD),"")))</f>
        <v/>
      </c>
      <c r="AV186" s="148">
        <f>IF($C186="","",IF(PULL_FUND="N","",IFERROR(BDP($C186,EBINT_FIELD),"")))</f>
        <v/>
      </c>
      <c r="AW186" s="146">
        <f>IF($C186="","",IF(PULL_FUND="N","",IFERROR(BDP($C186,FCF_FIELD)/100,"")))</f>
        <v/>
      </c>
      <c r="AX186" s="126">
        <f>IF($C186="","",IF(N($U186)=0,"",IFERROR($AW186/$U186,"")))</f>
        <v/>
      </c>
      <c r="AY186" s="85">
        <f>IF($C186="","",TRIM(IF(ISNUMBER($AJ186)*(N($AJ186)&gt;$D$4)&gt;0,"payout high  ","")&amp;IF(ISNUMBER($AX186)*(N($AX186)&lt;$F$4)&gt;0,"FCF below dvd  ","")&amp;IF(ISNUMBER($AU186)*(N($AU186)&gt;$H$4)&gt;0,"leverage high","")))</f>
        <v/>
      </c>
      <c r="AZ186" s="86">
        <f>IF($C186="","",IF(HSCEI!$F$41="HKD","",HSCEI!$F$41))</f>
        <v/>
      </c>
    </row>
    <row r="187">
      <c r="B187" s="66" t="inlineStr">
        <is>
          <t>HSCEI</t>
        </is>
      </c>
      <c r="C187" s="8">
        <f>IF(HSCEI!$C$42="","",HSCEI!$C$42)</f>
        <v/>
      </c>
      <c r="D187" s="8">
        <f>IF($C187="","",HSCEI!$D$42)</f>
        <v/>
      </c>
      <c r="E187" s="8">
        <f>IF($C187="","",HSCEI!$E$42)</f>
        <v/>
      </c>
      <c r="F187" s="131">
        <f>IF($C187="","",SUMPRODUCT(('Dvd Calendar'!$E$1946:$AR$1946&gt;=DATE(YEAR_Y-5,1,1))*('Dvd Calendar'!$E$1946:$AR$1946&lt;=DATE(YEAR_Y-5,12,31))*'Dvd Calendar'!$E$1949:$AR$1949*(('Dvd Calendar'!$E$1951:$AR$1951=TYPE1)*(TYPE1&lt;&gt;"")+('Dvd Calendar'!$E$1951:$AR$1951=TYPE2)*(TYPE2&lt;&gt;"")+('Dvd Calendar'!$E$1951:$AR$1951=TYPE3)*(TYPE3&lt;&gt;"")+('Dvd Calendar'!$E$1951:$AR$1951=TYPE4)*(TYPE4&lt;&gt;"")+('Dvd Calendar'!$E$1951:$AR$1951=SPECIAL_LBL)*(INC_SPECIALS="Y"))))</f>
        <v/>
      </c>
      <c r="G187" s="132">
        <f>IF($C187="","",SUMPRODUCT(('Dvd Calendar'!$E$1946:$AR$1946&gt;=DATE(YEAR_Y-4,1,1))*('Dvd Calendar'!$E$1946:$AR$1946&lt;=DATE(YEAR_Y-4,12,31))*'Dvd Calendar'!$E$1949:$AR$1949*(('Dvd Calendar'!$E$1951:$AR$1951=TYPE1)*(TYPE1&lt;&gt;"")+('Dvd Calendar'!$E$1951:$AR$1951=TYPE2)*(TYPE2&lt;&gt;"")+('Dvd Calendar'!$E$1951:$AR$1951=TYPE3)*(TYPE3&lt;&gt;"")+('Dvd Calendar'!$E$1951:$AR$1951=TYPE4)*(TYPE4&lt;&gt;"")+('Dvd Calendar'!$E$1951:$AR$1951=SPECIAL_LBL)*(INC_SPECIALS="Y"))))</f>
        <v/>
      </c>
      <c r="H187" s="132">
        <f>IF($C187="","",SUMPRODUCT(('Dvd Calendar'!$E$1946:$AR$1946&gt;=DATE(YEAR_Y-3,1,1))*('Dvd Calendar'!$E$1946:$AR$1946&lt;=DATE(YEAR_Y-3,12,31))*'Dvd Calendar'!$E$1949:$AR$1949*(('Dvd Calendar'!$E$1951:$AR$1951=TYPE1)*(TYPE1&lt;&gt;"")+('Dvd Calendar'!$E$1951:$AR$1951=TYPE2)*(TYPE2&lt;&gt;"")+('Dvd Calendar'!$E$1951:$AR$1951=TYPE3)*(TYPE3&lt;&gt;"")+('Dvd Calendar'!$E$1951:$AR$1951=TYPE4)*(TYPE4&lt;&gt;"")+('Dvd Calendar'!$E$1951:$AR$1951=SPECIAL_LBL)*(INC_SPECIALS="Y"))))</f>
        <v/>
      </c>
      <c r="I187" s="132">
        <f>IF($C187="","",SUMPRODUCT(('Dvd Calendar'!$E$1946:$AR$1946&gt;=DATE(YEAR_Y-2,1,1))*('Dvd Calendar'!$E$1946:$AR$1946&lt;=DATE(YEAR_Y-2,12,31))*'Dvd Calendar'!$E$1949:$AR$1949*(('Dvd Calendar'!$E$1951:$AR$1951=TYPE1)*(TYPE1&lt;&gt;"")+('Dvd Calendar'!$E$1951:$AR$1951=TYPE2)*(TYPE2&lt;&gt;"")+('Dvd Calendar'!$E$1951:$AR$1951=TYPE3)*(TYPE3&lt;&gt;"")+('Dvd Calendar'!$E$1951:$AR$1951=TYPE4)*(TYPE4&lt;&gt;"")+('Dvd Calendar'!$E$1951:$AR$1951=SPECIAL_LBL)*(INC_SPECIALS="Y"))))</f>
        <v/>
      </c>
      <c r="J187" s="132">
        <f>IF($C187="","",SUMPRODUCT(('Dvd Calendar'!$E$1946:$AR$1946&gt;=DATE(YEAR_Y-1,1,1))*('Dvd Calendar'!$E$1946:$AR$1946&lt;=DATE(YEAR_Y-1,12,31))*'Dvd Calendar'!$E$1949:$AR$1949*(('Dvd Calendar'!$E$1951:$AR$1951=TYPE1)*(TYPE1&lt;&gt;"")+('Dvd Calendar'!$E$1951:$AR$1951=TYPE2)*(TYPE2&lt;&gt;"")+('Dvd Calendar'!$E$1951:$AR$1951=TYPE3)*(TYPE3&lt;&gt;"")+('Dvd Calendar'!$E$1951:$AR$1951=TYPE4)*(TYPE4&lt;&gt;"")+('Dvd Calendar'!$E$1951:$AR$1951=SPECIAL_LBL)*(INC_SPECIALS="Y"))))</f>
        <v/>
      </c>
      <c r="K187" s="133">
        <f>IF($C187="","",HSCEI!$J$42)</f>
        <v/>
      </c>
      <c r="L187" s="133">
        <f>IF($C187="","",HSCEI!$K$42)</f>
        <v/>
      </c>
      <c r="M187" s="124">
        <f>IF($C187="","",HSCEI!$J$42+HSCEI!$L$42)</f>
        <v/>
      </c>
      <c r="N187" s="134">
        <f>IF($C187="","",IF(PULL_FUND="N","",IFERROR(BDP($C187,BESTDPS_FIELD,FWD_OVERRIDE,TEXT(MOD(YEAR_Y,100),"00")&amp;"Y"),"")))</f>
        <v/>
      </c>
      <c r="O187" s="133">
        <f>IF($C187="","",AVERAGE(F187:J187))</f>
        <v/>
      </c>
      <c r="P187" s="135">
        <f>IF($C187="","",IF(PULL_FUND="N","",IF(COUNTIFS('Fund History'!$J$1066:$J$1070,"&gt;="&amp;DATE(YEAR_Y-5,1,1),'Fund History'!$J$1066:$J$1070,"&lt;="&amp;DATE(YEAR_Y-5,12,31))=0,"",IFERROR($F187*HSCEI!$G$42/SUMIFS('Fund History'!$K$1066:$K$1070,'Fund History'!$J$1066:$J$1070,"&gt;="&amp;DATE(YEAR_Y-5,1,1),'Fund History'!$J$1066:$J$1070,"&lt;="&amp;DATE(YEAR_Y-5,12,31)),""))))</f>
        <v/>
      </c>
      <c r="Q187" s="136">
        <f>IF($C187="","",IF(PULL_FUND="N","",IF(COUNTIFS('Fund History'!$J$1066:$J$1070,"&gt;="&amp;DATE(YEAR_Y-4,1,1),'Fund History'!$J$1066:$J$1070,"&lt;="&amp;DATE(YEAR_Y-4,12,31))=0,"",IFERROR($G187*HSCEI!$G$42/SUMIFS('Fund History'!$K$1066:$K$1070,'Fund History'!$J$1066:$J$1070,"&gt;="&amp;DATE(YEAR_Y-4,1,1),'Fund History'!$J$1066:$J$1070,"&lt;="&amp;DATE(YEAR_Y-4,12,31)),""))))</f>
        <v/>
      </c>
      <c r="R187" s="136">
        <f>IF($C187="","",IF(PULL_FUND="N","",IF(COUNTIFS('Fund History'!$J$1066:$J$1070,"&gt;="&amp;DATE(YEAR_Y-3,1,1),'Fund History'!$J$1066:$J$1070,"&lt;="&amp;DATE(YEAR_Y-3,12,31))=0,"",IFERROR($H187*HSCEI!$G$42/SUMIFS('Fund History'!$K$1066:$K$1070,'Fund History'!$J$1066:$J$1070,"&gt;="&amp;DATE(YEAR_Y-3,1,1),'Fund History'!$J$1066:$J$1070,"&lt;="&amp;DATE(YEAR_Y-3,12,31)),""))))</f>
        <v/>
      </c>
      <c r="S187" s="136">
        <f>IF($C187="","",IF(PULL_FUND="N","",IF(COUNTIFS('Fund History'!$J$1066:$J$1070,"&gt;="&amp;DATE(YEAR_Y-2,1,1),'Fund History'!$J$1066:$J$1070,"&lt;="&amp;DATE(YEAR_Y-2,12,31))=0,"",IFERROR($I187*HSCEI!$G$42/SUMIFS('Fund History'!$K$1066:$K$1070,'Fund History'!$J$1066:$J$1070,"&gt;="&amp;DATE(YEAR_Y-2,1,1),'Fund History'!$J$1066:$J$1070,"&lt;="&amp;DATE(YEAR_Y-2,12,31)),""))))</f>
        <v/>
      </c>
      <c r="T187" s="136">
        <f>IF($C187="","",IF(PULL_FUND="N","",IF(COUNTIFS('Fund History'!$J$1066:$J$1070,"&gt;="&amp;DATE(YEAR_Y-1,1,1),'Fund History'!$J$1066:$J$1070,"&lt;="&amp;DATE(YEAR_Y-1,12,31))=0,"",IFERROR($J187*HSCEI!$G$42/SUMIFS('Fund History'!$K$1066:$K$1070,'Fund History'!$J$1066:$J$1070,"&gt;="&amp;DATE(YEAR_Y-1,1,1),'Fund History'!$J$1066:$J$1070,"&lt;="&amp;DATE(YEAR_Y-1,12,31)),""))))</f>
        <v/>
      </c>
      <c r="U187" s="137">
        <f>IF($C187="","",IF(ISNUMBER(HSCEI!$I$42),HSCEI!$I$42/100,""))</f>
        <v/>
      </c>
      <c r="V187" s="138">
        <f>IF($C187="","",IF(ISNUMBER(HSCEI!$X$42),IFERROR($M187*HSCEI!$G$42/HSCEI!$X$42,""),""))</f>
        <v/>
      </c>
      <c r="W187" s="137">
        <f>IF($C187="","",IF(ISNUMBER($N187),IFERROR($N187*HSCEI!$G$42/HSCEI!$X$42,""),""))</f>
        <v/>
      </c>
      <c r="X187" s="139">
        <f>IF($C187="","",IF(PULL_FUND="N","",IFERROR(BDP($C187,EPS_FIELD,YR_OVERRIDE,TEXT(YEAR_Y-5,"0")),"")))</f>
        <v/>
      </c>
      <c r="Y187" s="140">
        <f>IF($C187="","",IF(PULL_FUND="N","",IFERROR(BDP($C187,EPS_FIELD,YR_OVERRIDE,TEXT(YEAR_Y-4,"0")),"")))</f>
        <v/>
      </c>
      <c r="Z187" s="140">
        <f>IF($C187="","",IF(PULL_FUND="N","",IFERROR(BDP($C187,EPS_FIELD,YR_OVERRIDE,TEXT(YEAR_Y-3,"0")),"")))</f>
        <v/>
      </c>
      <c r="AA187" s="140">
        <f>IF($C187="","",IF(PULL_FUND="N","",IFERROR(BDP($C187,EPS_FIELD,YR_OVERRIDE,TEXT(YEAR_Y-2,"0")),"")))</f>
        <v/>
      </c>
      <c r="AB187" s="140">
        <f>IF($C187="","",IF(PULL_FUND="N","",IFERROR(BDP($C187,EPS_FIELD,YR_OVERRIDE,TEXT(YEAR_Y-1,"0")),"")))</f>
        <v/>
      </c>
      <c r="AC187" s="126">
        <f>IF($C187="","",IFERROR(AVERAGE(X187:AB187),""))</f>
        <v/>
      </c>
      <c r="AD187" s="140">
        <f>IF($C187="","",IF(PULL_FUND="N","",IFERROR(BDP($C187,BESTEPS_FIELD,FWD_OVERRIDE,TEXT(MOD(YEAR_Y,100),"00")&amp;"Y"),"")))</f>
        <v/>
      </c>
      <c r="AE187" s="141">
        <f>IF($C187="","",IF(PULL_FUND="N","",IFERROR(BDP($C187,PAYOUT_FIELD,YR_OVERRIDE,TEXT(YEAR_Y-5,"0"))/100,"")))</f>
        <v/>
      </c>
      <c r="AF187" s="142">
        <f>IF($C187="","",IF(PULL_FUND="N","",IFERROR(BDP($C187,PAYOUT_FIELD,YR_OVERRIDE,TEXT(YEAR_Y-4,"0"))/100,"")))</f>
        <v/>
      </c>
      <c r="AG187" s="142">
        <f>IF($C187="","",IF(PULL_FUND="N","",IFERROR(BDP($C187,PAYOUT_FIELD,YR_OVERRIDE,TEXT(YEAR_Y-3,"0"))/100,"")))</f>
        <v/>
      </c>
      <c r="AH187" s="142">
        <f>IF($C187="","",IF(PULL_FUND="N","",IFERROR(BDP($C187,PAYOUT_FIELD,YR_OVERRIDE,TEXT(YEAR_Y-2,"0"))/100,"")))</f>
        <v/>
      </c>
      <c r="AI187" s="142">
        <f>IF($C187="","",IF(PULL_FUND="N","",IFERROR(BDP($C187,PAYOUT_FIELD,YR_OVERRIDE,TEXT(YEAR_Y-1,"0"))/100,"")))</f>
        <v/>
      </c>
      <c r="AJ187" s="143">
        <f>IF($C187="","",IFERROR(AVERAGE(AE187:AI187),""))</f>
        <v/>
      </c>
      <c r="AK187" s="144">
        <f>IF($C187="","",IF(ISNUMBER($AD187)*ISNUMBER($N187)*($AD187&lt;&gt;0)=0,"",$N187/$AD187))</f>
        <v/>
      </c>
      <c r="AL187" s="143">
        <f>IF($C187="","",IF(ISNUMBER($AD187)*($AD187&lt;&gt;0)=0,"",$M187/$AD187))</f>
        <v/>
      </c>
      <c r="AM187" s="37">
        <f>IF($C187="","",IF(ISNUMBER($AE187)*ISNUMBER($AI187)=0,"",IF($AI187&gt;$AE187+0.05,"rising",IF($AI187&lt;$AE187-0.05,"falling","stable"))))</f>
        <v/>
      </c>
      <c r="AN187" s="145">
        <f>IF($C187="","",IF(PULL_FUND="N","",IF(COUNTIFS('Fund History'!$G$1066:$G$1070,"&gt;="&amp;DATE(YEAR_Y-4,1,1),'Fund History'!$G$1066:$G$1070,"&lt;="&amp;DATE(YEAR_Y-4,12,31))=0,"",SUMIFS('Fund History'!$H$1066:$H$1070,'Fund History'!$G$1066:$G$1070,"&gt;="&amp;DATE(YEAR_Y-4,1,1),'Fund History'!$G$1066:$G$1070,"&lt;="&amp;DATE(YEAR_Y-4,12,31))/100)))</f>
        <v/>
      </c>
      <c r="AO187" s="146">
        <f>IF($C187="","",IF(PULL_FUND="N","",IF(COUNTIFS('Fund History'!$G$1066:$G$1070,"&gt;="&amp;DATE(YEAR_Y-3,1,1),'Fund History'!$G$1066:$G$1070,"&lt;="&amp;DATE(YEAR_Y-3,12,31))=0,"",SUMIFS('Fund History'!$H$1066:$H$1070,'Fund History'!$G$1066:$G$1070,"&gt;="&amp;DATE(YEAR_Y-3,1,1),'Fund History'!$G$1066:$G$1070,"&lt;="&amp;DATE(YEAR_Y-3,12,31))/100)))</f>
        <v/>
      </c>
      <c r="AP187" s="146">
        <f>IF($C187="","",IF(PULL_FUND="N","",IF(COUNTIFS('Fund History'!$G$1066:$G$1070,"&gt;="&amp;DATE(YEAR_Y-2,1,1),'Fund History'!$G$1066:$G$1070,"&lt;="&amp;DATE(YEAR_Y-2,12,31))=0,"",SUMIFS('Fund History'!$H$1066:$H$1070,'Fund History'!$G$1066:$G$1070,"&gt;="&amp;DATE(YEAR_Y-2,1,1),'Fund History'!$G$1066:$G$1070,"&lt;="&amp;DATE(YEAR_Y-2,12,31))/100)))</f>
        <v/>
      </c>
      <c r="AQ187" s="146">
        <f>IF($C187="","",IF(PULL_FUND="N","",IF(COUNTIFS('Fund History'!$G$1066:$G$1070,"&gt;="&amp;DATE(YEAR_Y-1,1,1),'Fund History'!$G$1066:$G$1070,"&lt;="&amp;DATE(YEAR_Y-1,12,31))=0,"",SUMIFS('Fund History'!$H$1066:$H$1070,'Fund History'!$G$1066:$G$1070,"&gt;="&amp;DATE(YEAR_Y-1,1,1),'Fund History'!$G$1066:$G$1070,"&lt;="&amp;DATE(YEAR_Y-1,12,31))/100)))</f>
        <v/>
      </c>
      <c r="AR187" s="147">
        <f>IF($C187="","",IF(N($AQ187)+N(HSCEI!$I$42)=0,"",N($AQ187)+N(HSCEI!$I$42)/100))</f>
        <v/>
      </c>
      <c r="AS187" s="139">
        <f>IF($C187="","",IF(PULL_FUND="N","",IF(COUNTIFS('Fund History'!$D$1066:$D$1070,"&gt;="&amp;DATE(YEAR_Y-2,1,1),'Fund History'!$D$1066:$D$1070,"&lt;="&amp;DATE(YEAR_Y-2,12,31))=0,"",SUMIFS('Fund History'!$E$1066:$E$1070,'Fund History'!$D$1066:$D$1070,"&gt;="&amp;DATE(YEAR_Y-2,1,1),'Fund History'!$D$1066:$D$1070,"&lt;="&amp;DATE(YEAR_Y-2,12,31)))))</f>
        <v/>
      </c>
      <c r="AT187" s="140">
        <f>IF($C187="","",IF(PULL_FUND="N","",IF(COUNTIFS('Fund History'!$D$1066:$D$1070,"&gt;="&amp;DATE(YEAR_Y-1,1,1),'Fund History'!$D$1066:$D$1070,"&lt;="&amp;DATE(YEAR_Y-1,12,31))=0,"",SUMIFS('Fund History'!$E$1066:$E$1070,'Fund History'!$D$1066:$D$1070,"&gt;="&amp;DATE(YEAR_Y-1,1,1),'Fund History'!$D$1066:$D$1070,"&lt;="&amp;DATE(YEAR_Y-1,12,31)))))</f>
        <v/>
      </c>
      <c r="AU187" s="140">
        <f>IF($C187="","",IF(PULL_FUND="N","",IFERROR(BDP($C187,NDEBITDA_FIELD),"")))</f>
        <v/>
      </c>
      <c r="AV187" s="148">
        <f>IF($C187="","",IF(PULL_FUND="N","",IFERROR(BDP($C187,EBINT_FIELD),"")))</f>
        <v/>
      </c>
      <c r="AW187" s="146">
        <f>IF($C187="","",IF(PULL_FUND="N","",IFERROR(BDP($C187,FCF_FIELD)/100,"")))</f>
        <v/>
      </c>
      <c r="AX187" s="126">
        <f>IF($C187="","",IF(N($U187)=0,"",IFERROR($AW187/$U187,"")))</f>
        <v/>
      </c>
      <c r="AY187" s="85">
        <f>IF($C187="","",TRIM(IF(ISNUMBER($AJ187)*(N($AJ187)&gt;$D$4)&gt;0,"payout high  ","")&amp;IF(ISNUMBER($AX187)*(N($AX187)&lt;$F$4)&gt;0,"FCF below dvd  ","")&amp;IF(ISNUMBER($AU187)*(N($AU187)&gt;$H$4)&gt;0,"leverage high","")))</f>
        <v/>
      </c>
      <c r="AZ187" s="86">
        <f>IF($C187="","",IF(HSCEI!$F$42="HKD","",HSCEI!$F$42))</f>
        <v/>
      </c>
    </row>
    <row r="188">
      <c r="B188" s="66" t="inlineStr">
        <is>
          <t>HSCEI</t>
        </is>
      </c>
      <c r="C188" s="8">
        <f>IF(HSCEI!$C$43="","",HSCEI!$C$43)</f>
        <v/>
      </c>
      <c r="D188" s="8">
        <f>IF($C188="","",HSCEI!$D$43)</f>
        <v/>
      </c>
      <c r="E188" s="8">
        <f>IF($C188="","",HSCEI!$E$43)</f>
        <v/>
      </c>
      <c r="F188" s="131">
        <f>IF($C188="","",SUMPRODUCT(('Dvd Calendar'!$E$1957:$AR$1957&gt;=DATE(YEAR_Y-5,1,1))*('Dvd Calendar'!$E$1957:$AR$1957&lt;=DATE(YEAR_Y-5,12,31))*'Dvd Calendar'!$E$1960:$AR$1960*(('Dvd Calendar'!$E$1962:$AR$1962=TYPE1)*(TYPE1&lt;&gt;"")+('Dvd Calendar'!$E$1962:$AR$1962=TYPE2)*(TYPE2&lt;&gt;"")+('Dvd Calendar'!$E$1962:$AR$1962=TYPE3)*(TYPE3&lt;&gt;"")+('Dvd Calendar'!$E$1962:$AR$1962=TYPE4)*(TYPE4&lt;&gt;"")+('Dvd Calendar'!$E$1962:$AR$1962=SPECIAL_LBL)*(INC_SPECIALS="Y"))))</f>
        <v/>
      </c>
      <c r="G188" s="132">
        <f>IF($C188="","",SUMPRODUCT(('Dvd Calendar'!$E$1957:$AR$1957&gt;=DATE(YEAR_Y-4,1,1))*('Dvd Calendar'!$E$1957:$AR$1957&lt;=DATE(YEAR_Y-4,12,31))*'Dvd Calendar'!$E$1960:$AR$1960*(('Dvd Calendar'!$E$1962:$AR$1962=TYPE1)*(TYPE1&lt;&gt;"")+('Dvd Calendar'!$E$1962:$AR$1962=TYPE2)*(TYPE2&lt;&gt;"")+('Dvd Calendar'!$E$1962:$AR$1962=TYPE3)*(TYPE3&lt;&gt;"")+('Dvd Calendar'!$E$1962:$AR$1962=TYPE4)*(TYPE4&lt;&gt;"")+('Dvd Calendar'!$E$1962:$AR$1962=SPECIAL_LBL)*(INC_SPECIALS="Y"))))</f>
        <v/>
      </c>
      <c r="H188" s="132">
        <f>IF($C188="","",SUMPRODUCT(('Dvd Calendar'!$E$1957:$AR$1957&gt;=DATE(YEAR_Y-3,1,1))*('Dvd Calendar'!$E$1957:$AR$1957&lt;=DATE(YEAR_Y-3,12,31))*'Dvd Calendar'!$E$1960:$AR$1960*(('Dvd Calendar'!$E$1962:$AR$1962=TYPE1)*(TYPE1&lt;&gt;"")+('Dvd Calendar'!$E$1962:$AR$1962=TYPE2)*(TYPE2&lt;&gt;"")+('Dvd Calendar'!$E$1962:$AR$1962=TYPE3)*(TYPE3&lt;&gt;"")+('Dvd Calendar'!$E$1962:$AR$1962=TYPE4)*(TYPE4&lt;&gt;"")+('Dvd Calendar'!$E$1962:$AR$1962=SPECIAL_LBL)*(INC_SPECIALS="Y"))))</f>
        <v/>
      </c>
      <c r="I188" s="132">
        <f>IF($C188="","",SUMPRODUCT(('Dvd Calendar'!$E$1957:$AR$1957&gt;=DATE(YEAR_Y-2,1,1))*('Dvd Calendar'!$E$1957:$AR$1957&lt;=DATE(YEAR_Y-2,12,31))*'Dvd Calendar'!$E$1960:$AR$1960*(('Dvd Calendar'!$E$1962:$AR$1962=TYPE1)*(TYPE1&lt;&gt;"")+('Dvd Calendar'!$E$1962:$AR$1962=TYPE2)*(TYPE2&lt;&gt;"")+('Dvd Calendar'!$E$1962:$AR$1962=TYPE3)*(TYPE3&lt;&gt;"")+('Dvd Calendar'!$E$1962:$AR$1962=TYPE4)*(TYPE4&lt;&gt;"")+('Dvd Calendar'!$E$1962:$AR$1962=SPECIAL_LBL)*(INC_SPECIALS="Y"))))</f>
        <v/>
      </c>
      <c r="J188" s="132">
        <f>IF($C188="","",SUMPRODUCT(('Dvd Calendar'!$E$1957:$AR$1957&gt;=DATE(YEAR_Y-1,1,1))*('Dvd Calendar'!$E$1957:$AR$1957&lt;=DATE(YEAR_Y-1,12,31))*'Dvd Calendar'!$E$1960:$AR$1960*(('Dvd Calendar'!$E$1962:$AR$1962=TYPE1)*(TYPE1&lt;&gt;"")+('Dvd Calendar'!$E$1962:$AR$1962=TYPE2)*(TYPE2&lt;&gt;"")+('Dvd Calendar'!$E$1962:$AR$1962=TYPE3)*(TYPE3&lt;&gt;"")+('Dvd Calendar'!$E$1962:$AR$1962=TYPE4)*(TYPE4&lt;&gt;"")+('Dvd Calendar'!$E$1962:$AR$1962=SPECIAL_LBL)*(INC_SPECIALS="Y"))))</f>
        <v/>
      </c>
      <c r="K188" s="133">
        <f>IF($C188="","",HSCEI!$J$43)</f>
        <v/>
      </c>
      <c r="L188" s="133">
        <f>IF($C188="","",HSCEI!$K$43)</f>
        <v/>
      </c>
      <c r="M188" s="124">
        <f>IF($C188="","",HSCEI!$J$43+HSCEI!$L$43)</f>
        <v/>
      </c>
      <c r="N188" s="134">
        <f>IF($C188="","",IF(PULL_FUND="N","",IFERROR(BDP($C188,BESTDPS_FIELD,FWD_OVERRIDE,TEXT(MOD(YEAR_Y,100),"00")&amp;"Y"),"")))</f>
        <v/>
      </c>
      <c r="O188" s="133">
        <f>IF($C188="","",AVERAGE(F188:J188))</f>
        <v/>
      </c>
      <c r="P188" s="135">
        <f>IF($C188="","",IF(PULL_FUND="N","",IF(COUNTIFS('Fund History'!$J$1072:$J$1076,"&gt;="&amp;DATE(YEAR_Y-5,1,1),'Fund History'!$J$1072:$J$1076,"&lt;="&amp;DATE(YEAR_Y-5,12,31))=0,"",IFERROR($F188*HSCEI!$G$43/SUMIFS('Fund History'!$K$1072:$K$1076,'Fund History'!$J$1072:$J$1076,"&gt;="&amp;DATE(YEAR_Y-5,1,1),'Fund History'!$J$1072:$J$1076,"&lt;="&amp;DATE(YEAR_Y-5,12,31)),""))))</f>
        <v/>
      </c>
      <c r="Q188" s="136">
        <f>IF($C188="","",IF(PULL_FUND="N","",IF(COUNTIFS('Fund History'!$J$1072:$J$1076,"&gt;="&amp;DATE(YEAR_Y-4,1,1),'Fund History'!$J$1072:$J$1076,"&lt;="&amp;DATE(YEAR_Y-4,12,31))=0,"",IFERROR($G188*HSCEI!$G$43/SUMIFS('Fund History'!$K$1072:$K$1076,'Fund History'!$J$1072:$J$1076,"&gt;="&amp;DATE(YEAR_Y-4,1,1),'Fund History'!$J$1072:$J$1076,"&lt;="&amp;DATE(YEAR_Y-4,12,31)),""))))</f>
        <v/>
      </c>
      <c r="R188" s="136">
        <f>IF($C188="","",IF(PULL_FUND="N","",IF(COUNTIFS('Fund History'!$J$1072:$J$1076,"&gt;="&amp;DATE(YEAR_Y-3,1,1),'Fund History'!$J$1072:$J$1076,"&lt;="&amp;DATE(YEAR_Y-3,12,31))=0,"",IFERROR($H188*HSCEI!$G$43/SUMIFS('Fund History'!$K$1072:$K$1076,'Fund History'!$J$1072:$J$1076,"&gt;="&amp;DATE(YEAR_Y-3,1,1),'Fund History'!$J$1072:$J$1076,"&lt;="&amp;DATE(YEAR_Y-3,12,31)),""))))</f>
        <v/>
      </c>
      <c r="S188" s="136">
        <f>IF($C188="","",IF(PULL_FUND="N","",IF(COUNTIFS('Fund History'!$J$1072:$J$1076,"&gt;="&amp;DATE(YEAR_Y-2,1,1),'Fund History'!$J$1072:$J$1076,"&lt;="&amp;DATE(YEAR_Y-2,12,31))=0,"",IFERROR($I188*HSCEI!$G$43/SUMIFS('Fund History'!$K$1072:$K$1076,'Fund History'!$J$1072:$J$1076,"&gt;="&amp;DATE(YEAR_Y-2,1,1),'Fund History'!$J$1072:$J$1076,"&lt;="&amp;DATE(YEAR_Y-2,12,31)),""))))</f>
        <v/>
      </c>
      <c r="T188" s="136">
        <f>IF($C188="","",IF(PULL_FUND="N","",IF(COUNTIFS('Fund History'!$J$1072:$J$1076,"&gt;="&amp;DATE(YEAR_Y-1,1,1),'Fund History'!$J$1072:$J$1076,"&lt;="&amp;DATE(YEAR_Y-1,12,31))=0,"",IFERROR($J188*HSCEI!$G$43/SUMIFS('Fund History'!$K$1072:$K$1076,'Fund History'!$J$1072:$J$1076,"&gt;="&amp;DATE(YEAR_Y-1,1,1),'Fund History'!$J$1072:$J$1076,"&lt;="&amp;DATE(YEAR_Y-1,12,31)),""))))</f>
        <v/>
      </c>
      <c r="U188" s="137">
        <f>IF($C188="","",IF(ISNUMBER(HSCEI!$I$43),HSCEI!$I$43/100,""))</f>
        <v/>
      </c>
      <c r="V188" s="138">
        <f>IF($C188="","",IF(ISNUMBER(HSCEI!$X$43),IFERROR($M188*HSCEI!$G$43/HSCEI!$X$43,""),""))</f>
        <v/>
      </c>
      <c r="W188" s="137">
        <f>IF($C188="","",IF(ISNUMBER($N188),IFERROR($N188*HSCEI!$G$43/HSCEI!$X$43,""),""))</f>
        <v/>
      </c>
      <c r="X188" s="139">
        <f>IF($C188="","",IF(PULL_FUND="N","",IFERROR(BDP($C188,EPS_FIELD,YR_OVERRIDE,TEXT(YEAR_Y-5,"0")),"")))</f>
        <v/>
      </c>
      <c r="Y188" s="140">
        <f>IF($C188="","",IF(PULL_FUND="N","",IFERROR(BDP($C188,EPS_FIELD,YR_OVERRIDE,TEXT(YEAR_Y-4,"0")),"")))</f>
        <v/>
      </c>
      <c r="Z188" s="140">
        <f>IF($C188="","",IF(PULL_FUND="N","",IFERROR(BDP($C188,EPS_FIELD,YR_OVERRIDE,TEXT(YEAR_Y-3,"0")),"")))</f>
        <v/>
      </c>
      <c r="AA188" s="140">
        <f>IF($C188="","",IF(PULL_FUND="N","",IFERROR(BDP($C188,EPS_FIELD,YR_OVERRIDE,TEXT(YEAR_Y-2,"0")),"")))</f>
        <v/>
      </c>
      <c r="AB188" s="140">
        <f>IF($C188="","",IF(PULL_FUND="N","",IFERROR(BDP($C188,EPS_FIELD,YR_OVERRIDE,TEXT(YEAR_Y-1,"0")),"")))</f>
        <v/>
      </c>
      <c r="AC188" s="126">
        <f>IF($C188="","",IFERROR(AVERAGE(X188:AB188),""))</f>
        <v/>
      </c>
      <c r="AD188" s="140">
        <f>IF($C188="","",IF(PULL_FUND="N","",IFERROR(BDP($C188,BESTEPS_FIELD,FWD_OVERRIDE,TEXT(MOD(YEAR_Y,100),"00")&amp;"Y"),"")))</f>
        <v/>
      </c>
      <c r="AE188" s="141">
        <f>IF($C188="","",IF(PULL_FUND="N","",IFERROR(BDP($C188,PAYOUT_FIELD,YR_OVERRIDE,TEXT(YEAR_Y-5,"0"))/100,"")))</f>
        <v/>
      </c>
      <c r="AF188" s="142">
        <f>IF($C188="","",IF(PULL_FUND="N","",IFERROR(BDP($C188,PAYOUT_FIELD,YR_OVERRIDE,TEXT(YEAR_Y-4,"0"))/100,"")))</f>
        <v/>
      </c>
      <c r="AG188" s="142">
        <f>IF($C188="","",IF(PULL_FUND="N","",IFERROR(BDP($C188,PAYOUT_FIELD,YR_OVERRIDE,TEXT(YEAR_Y-3,"0"))/100,"")))</f>
        <v/>
      </c>
      <c r="AH188" s="142">
        <f>IF($C188="","",IF(PULL_FUND="N","",IFERROR(BDP($C188,PAYOUT_FIELD,YR_OVERRIDE,TEXT(YEAR_Y-2,"0"))/100,"")))</f>
        <v/>
      </c>
      <c r="AI188" s="142">
        <f>IF($C188="","",IF(PULL_FUND="N","",IFERROR(BDP($C188,PAYOUT_FIELD,YR_OVERRIDE,TEXT(YEAR_Y-1,"0"))/100,"")))</f>
        <v/>
      </c>
      <c r="AJ188" s="143">
        <f>IF($C188="","",IFERROR(AVERAGE(AE188:AI188),""))</f>
        <v/>
      </c>
      <c r="AK188" s="144">
        <f>IF($C188="","",IF(ISNUMBER($AD188)*ISNUMBER($N188)*($AD188&lt;&gt;0)=0,"",$N188/$AD188))</f>
        <v/>
      </c>
      <c r="AL188" s="143">
        <f>IF($C188="","",IF(ISNUMBER($AD188)*($AD188&lt;&gt;0)=0,"",$M188/$AD188))</f>
        <v/>
      </c>
      <c r="AM188" s="37">
        <f>IF($C188="","",IF(ISNUMBER($AE188)*ISNUMBER($AI188)=0,"",IF($AI188&gt;$AE188+0.05,"rising",IF($AI188&lt;$AE188-0.05,"falling","stable"))))</f>
        <v/>
      </c>
      <c r="AN188" s="145">
        <f>IF($C188="","",IF(PULL_FUND="N","",IF(COUNTIFS('Fund History'!$G$1072:$G$1076,"&gt;="&amp;DATE(YEAR_Y-4,1,1),'Fund History'!$G$1072:$G$1076,"&lt;="&amp;DATE(YEAR_Y-4,12,31))=0,"",SUMIFS('Fund History'!$H$1072:$H$1076,'Fund History'!$G$1072:$G$1076,"&gt;="&amp;DATE(YEAR_Y-4,1,1),'Fund History'!$G$1072:$G$1076,"&lt;="&amp;DATE(YEAR_Y-4,12,31))/100)))</f>
        <v/>
      </c>
      <c r="AO188" s="146">
        <f>IF($C188="","",IF(PULL_FUND="N","",IF(COUNTIFS('Fund History'!$G$1072:$G$1076,"&gt;="&amp;DATE(YEAR_Y-3,1,1),'Fund History'!$G$1072:$G$1076,"&lt;="&amp;DATE(YEAR_Y-3,12,31))=0,"",SUMIFS('Fund History'!$H$1072:$H$1076,'Fund History'!$G$1072:$G$1076,"&gt;="&amp;DATE(YEAR_Y-3,1,1),'Fund History'!$G$1072:$G$1076,"&lt;="&amp;DATE(YEAR_Y-3,12,31))/100)))</f>
        <v/>
      </c>
      <c r="AP188" s="146">
        <f>IF($C188="","",IF(PULL_FUND="N","",IF(COUNTIFS('Fund History'!$G$1072:$G$1076,"&gt;="&amp;DATE(YEAR_Y-2,1,1),'Fund History'!$G$1072:$G$1076,"&lt;="&amp;DATE(YEAR_Y-2,12,31))=0,"",SUMIFS('Fund History'!$H$1072:$H$1076,'Fund History'!$G$1072:$G$1076,"&gt;="&amp;DATE(YEAR_Y-2,1,1),'Fund History'!$G$1072:$G$1076,"&lt;="&amp;DATE(YEAR_Y-2,12,31))/100)))</f>
        <v/>
      </c>
      <c r="AQ188" s="146">
        <f>IF($C188="","",IF(PULL_FUND="N","",IF(COUNTIFS('Fund History'!$G$1072:$G$1076,"&gt;="&amp;DATE(YEAR_Y-1,1,1),'Fund History'!$G$1072:$G$1076,"&lt;="&amp;DATE(YEAR_Y-1,12,31))=0,"",SUMIFS('Fund History'!$H$1072:$H$1076,'Fund History'!$G$1072:$G$1076,"&gt;="&amp;DATE(YEAR_Y-1,1,1),'Fund History'!$G$1072:$G$1076,"&lt;="&amp;DATE(YEAR_Y-1,12,31))/100)))</f>
        <v/>
      </c>
      <c r="AR188" s="147">
        <f>IF($C188="","",IF(N($AQ188)+N(HSCEI!$I$43)=0,"",N($AQ188)+N(HSCEI!$I$43)/100))</f>
        <v/>
      </c>
      <c r="AS188" s="139">
        <f>IF($C188="","",IF(PULL_FUND="N","",IF(COUNTIFS('Fund History'!$D$1072:$D$1076,"&gt;="&amp;DATE(YEAR_Y-2,1,1),'Fund History'!$D$1072:$D$1076,"&lt;="&amp;DATE(YEAR_Y-2,12,31))=0,"",SUMIFS('Fund History'!$E$1072:$E$1076,'Fund History'!$D$1072:$D$1076,"&gt;="&amp;DATE(YEAR_Y-2,1,1),'Fund History'!$D$1072:$D$1076,"&lt;="&amp;DATE(YEAR_Y-2,12,31)))))</f>
        <v/>
      </c>
      <c r="AT188" s="140">
        <f>IF($C188="","",IF(PULL_FUND="N","",IF(COUNTIFS('Fund History'!$D$1072:$D$1076,"&gt;="&amp;DATE(YEAR_Y-1,1,1),'Fund History'!$D$1072:$D$1076,"&lt;="&amp;DATE(YEAR_Y-1,12,31))=0,"",SUMIFS('Fund History'!$E$1072:$E$1076,'Fund History'!$D$1072:$D$1076,"&gt;="&amp;DATE(YEAR_Y-1,1,1),'Fund History'!$D$1072:$D$1076,"&lt;="&amp;DATE(YEAR_Y-1,12,31)))))</f>
        <v/>
      </c>
      <c r="AU188" s="140">
        <f>IF($C188="","",IF(PULL_FUND="N","",IFERROR(BDP($C188,NDEBITDA_FIELD),"")))</f>
        <v/>
      </c>
      <c r="AV188" s="148">
        <f>IF($C188="","",IF(PULL_FUND="N","",IFERROR(BDP($C188,EBINT_FIELD),"")))</f>
        <v/>
      </c>
      <c r="AW188" s="146">
        <f>IF($C188="","",IF(PULL_FUND="N","",IFERROR(BDP($C188,FCF_FIELD)/100,"")))</f>
        <v/>
      </c>
      <c r="AX188" s="126">
        <f>IF($C188="","",IF(N($U188)=0,"",IFERROR($AW188/$U188,"")))</f>
        <v/>
      </c>
      <c r="AY188" s="85">
        <f>IF($C188="","",TRIM(IF(ISNUMBER($AJ188)*(N($AJ188)&gt;$D$4)&gt;0,"payout high  ","")&amp;IF(ISNUMBER($AX188)*(N($AX188)&lt;$F$4)&gt;0,"FCF below dvd  ","")&amp;IF(ISNUMBER($AU188)*(N($AU188)&gt;$H$4)&gt;0,"leverage high","")))</f>
        <v/>
      </c>
      <c r="AZ188" s="86">
        <f>IF($C188="","",IF(HSCEI!$F$43="HKD","",HSCEI!$F$43))</f>
        <v/>
      </c>
    </row>
    <row r="189">
      <c r="B189" s="66" t="inlineStr">
        <is>
          <t>HSCEI</t>
        </is>
      </c>
      <c r="C189" s="8">
        <f>IF(HSCEI!$C$44="","",HSCEI!$C$44)</f>
        <v/>
      </c>
      <c r="D189" s="8">
        <f>IF($C189="","",HSCEI!$D$44)</f>
        <v/>
      </c>
      <c r="E189" s="8">
        <f>IF($C189="","",HSCEI!$E$44)</f>
        <v/>
      </c>
      <c r="F189" s="131">
        <f>IF($C189="","",SUMPRODUCT(('Dvd Calendar'!$E$1968:$AR$1968&gt;=DATE(YEAR_Y-5,1,1))*('Dvd Calendar'!$E$1968:$AR$1968&lt;=DATE(YEAR_Y-5,12,31))*'Dvd Calendar'!$E$1971:$AR$1971*(('Dvd Calendar'!$E$1973:$AR$1973=TYPE1)*(TYPE1&lt;&gt;"")+('Dvd Calendar'!$E$1973:$AR$1973=TYPE2)*(TYPE2&lt;&gt;"")+('Dvd Calendar'!$E$1973:$AR$1973=TYPE3)*(TYPE3&lt;&gt;"")+('Dvd Calendar'!$E$1973:$AR$1973=TYPE4)*(TYPE4&lt;&gt;"")+('Dvd Calendar'!$E$1973:$AR$1973=SPECIAL_LBL)*(INC_SPECIALS="Y"))))</f>
        <v/>
      </c>
      <c r="G189" s="132">
        <f>IF($C189="","",SUMPRODUCT(('Dvd Calendar'!$E$1968:$AR$1968&gt;=DATE(YEAR_Y-4,1,1))*('Dvd Calendar'!$E$1968:$AR$1968&lt;=DATE(YEAR_Y-4,12,31))*'Dvd Calendar'!$E$1971:$AR$1971*(('Dvd Calendar'!$E$1973:$AR$1973=TYPE1)*(TYPE1&lt;&gt;"")+('Dvd Calendar'!$E$1973:$AR$1973=TYPE2)*(TYPE2&lt;&gt;"")+('Dvd Calendar'!$E$1973:$AR$1973=TYPE3)*(TYPE3&lt;&gt;"")+('Dvd Calendar'!$E$1973:$AR$1973=TYPE4)*(TYPE4&lt;&gt;"")+('Dvd Calendar'!$E$1973:$AR$1973=SPECIAL_LBL)*(INC_SPECIALS="Y"))))</f>
        <v/>
      </c>
      <c r="H189" s="132">
        <f>IF($C189="","",SUMPRODUCT(('Dvd Calendar'!$E$1968:$AR$1968&gt;=DATE(YEAR_Y-3,1,1))*('Dvd Calendar'!$E$1968:$AR$1968&lt;=DATE(YEAR_Y-3,12,31))*'Dvd Calendar'!$E$1971:$AR$1971*(('Dvd Calendar'!$E$1973:$AR$1973=TYPE1)*(TYPE1&lt;&gt;"")+('Dvd Calendar'!$E$1973:$AR$1973=TYPE2)*(TYPE2&lt;&gt;"")+('Dvd Calendar'!$E$1973:$AR$1973=TYPE3)*(TYPE3&lt;&gt;"")+('Dvd Calendar'!$E$1973:$AR$1973=TYPE4)*(TYPE4&lt;&gt;"")+('Dvd Calendar'!$E$1973:$AR$1973=SPECIAL_LBL)*(INC_SPECIALS="Y"))))</f>
        <v/>
      </c>
      <c r="I189" s="132">
        <f>IF($C189="","",SUMPRODUCT(('Dvd Calendar'!$E$1968:$AR$1968&gt;=DATE(YEAR_Y-2,1,1))*('Dvd Calendar'!$E$1968:$AR$1968&lt;=DATE(YEAR_Y-2,12,31))*'Dvd Calendar'!$E$1971:$AR$1971*(('Dvd Calendar'!$E$1973:$AR$1973=TYPE1)*(TYPE1&lt;&gt;"")+('Dvd Calendar'!$E$1973:$AR$1973=TYPE2)*(TYPE2&lt;&gt;"")+('Dvd Calendar'!$E$1973:$AR$1973=TYPE3)*(TYPE3&lt;&gt;"")+('Dvd Calendar'!$E$1973:$AR$1973=TYPE4)*(TYPE4&lt;&gt;"")+('Dvd Calendar'!$E$1973:$AR$1973=SPECIAL_LBL)*(INC_SPECIALS="Y"))))</f>
        <v/>
      </c>
      <c r="J189" s="132">
        <f>IF($C189="","",SUMPRODUCT(('Dvd Calendar'!$E$1968:$AR$1968&gt;=DATE(YEAR_Y-1,1,1))*('Dvd Calendar'!$E$1968:$AR$1968&lt;=DATE(YEAR_Y-1,12,31))*'Dvd Calendar'!$E$1971:$AR$1971*(('Dvd Calendar'!$E$1973:$AR$1973=TYPE1)*(TYPE1&lt;&gt;"")+('Dvd Calendar'!$E$1973:$AR$1973=TYPE2)*(TYPE2&lt;&gt;"")+('Dvd Calendar'!$E$1973:$AR$1973=TYPE3)*(TYPE3&lt;&gt;"")+('Dvd Calendar'!$E$1973:$AR$1973=TYPE4)*(TYPE4&lt;&gt;"")+('Dvd Calendar'!$E$1973:$AR$1973=SPECIAL_LBL)*(INC_SPECIALS="Y"))))</f>
        <v/>
      </c>
      <c r="K189" s="133">
        <f>IF($C189="","",HSCEI!$J$44)</f>
        <v/>
      </c>
      <c r="L189" s="133">
        <f>IF($C189="","",HSCEI!$K$44)</f>
        <v/>
      </c>
      <c r="M189" s="124">
        <f>IF($C189="","",HSCEI!$J$44+HSCEI!$L$44)</f>
        <v/>
      </c>
      <c r="N189" s="134">
        <f>IF($C189="","",IF(PULL_FUND="N","",IFERROR(BDP($C189,BESTDPS_FIELD,FWD_OVERRIDE,TEXT(MOD(YEAR_Y,100),"00")&amp;"Y"),"")))</f>
        <v/>
      </c>
      <c r="O189" s="133">
        <f>IF($C189="","",AVERAGE(F189:J189))</f>
        <v/>
      </c>
      <c r="P189" s="135">
        <f>IF($C189="","",IF(PULL_FUND="N","",IF(COUNTIFS('Fund History'!$J$1078:$J$1082,"&gt;="&amp;DATE(YEAR_Y-5,1,1),'Fund History'!$J$1078:$J$1082,"&lt;="&amp;DATE(YEAR_Y-5,12,31))=0,"",IFERROR($F189*HSCEI!$G$44/SUMIFS('Fund History'!$K$1078:$K$1082,'Fund History'!$J$1078:$J$1082,"&gt;="&amp;DATE(YEAR_Y-5,1,1),'Fund History'!$J$1078:$J$1082,"&lt;="&amp;DATE(YEAR_Y-5,12,31)),""))))</f>
        <v/>
      </c>
      <c r="Q189" s="136">
        <f>IF($C189="","",IF(PULL_FUND="N","",IF(COUNTIFS('Fund History'!$J$1078:$J$1082,"&gt;="&amp;DATE(YEAR_Y-4,1,1),'Fund History'!$J$1078:$J$1082,"&lt;="&amp;DATE(YEAR_Y-4,12,31))=0,"",IFERROR($G189*HSCEI!$G$44/SUMIFS('Fund History'!$K$1078:$K$1082,'Fund History'!$J$1078:$J$1082,"&gt;="&amp;DATE(YEAR_Y-4,1,1),'Fund History'!$J$1078:$J$1082,"&lt;="&amp;DATE(YEAR_Y-4,12,31)),""))))</f>
        <v/>
      </c>
      <c r="R189" s="136">
        <f>IF($C189="","",IF(PULL_FUND="N","",IF(COUNTIFS('Fund History'!$J$1078:$J$1082,"&gt;="&amp;DATE(YEAR_Y-3,1,1),'Fund History'!$J$1078:$J$1082,"&lt;="&amp;DATE(YEAR_Y-3,12,31))=0,"",IFERROR($H189*HSCEI!$G$44/SUMIFS('Fund History'!$K$1078:$K$1082,'Fund History'!$J$1078:$J$1082,"&gt;="&amp;DATE(YEAR_Y-3,1,1),'Fund History'!$J$1078:$J$1082,"&lt;="&amp;DATE(YEAR_Y-3,12,31)),""))))</f>
        <v/>
      </c>
      <c r="S189" s="136">
        <f>IF($C189="","",IF(PULL_FUND="N","",IF(COUNTIFS('Fund History'!$J$1078:$J$1082,"&gt;="&amp;DATE(YEAR_Y-2,1,1),'Fund History'!$J$1078:$J$1082,"&lt;="&amp;DATE(YEAR_Y-2,12,31))=0,"",IFERROR($I189*HSCEI!$G$44/SUMIFS('Fund History'!$K$1078:$K$1082,'Fund History'!$J$1078:$J$1082,"&gt;="&amp;DATE(YEAR_Y-2,1,1),'Fund History'!$J$1078:$J$1082,"&lt;="&amp;DATE(YEAR_Y-2,12,31)),""))))</f>
        <v/>
      </c>
      <c r="T189" s="136">
        <f>IF($C189="","",IF(PULL_FUND="N","",IF(COUNTIFS('Fund History'!$J$1078:$J$1082,"&gt;="&amp;DATE(YEAR_Y-1,1,1),'Fund History'!$J$1078:$J$1082,"&lt;="&amp;DATE(YEAR_Y-1,12,31))=0,"",IFERROR($J189*HSCEI!$G$44/SUMIFS('Fund History'!$K$1078:$K$1082,'Fund History'!$J$1078:$J$1082,"&gt;="&amp;DATE(YEAR_Y-1,1,1),'Fund History'!$J$1078:$J$1082,"&lt;="&amp;DATE(YEAR_Y-1,12,31)),""))))</f>
        <v/>
      </c>
      <c r="U189" s="137">
        <f>IF($C189="","",IF(ISNUMBER(HSCEI!$I$44),HSCEI!$I$44/100,""))</f>
        <v/>
      </c>
      <c r="V189" s="138">
        <f>IF($C189="","",IF(ISNUMBER(HSCEI!$X$44),IFERROR($M189*HSCEI!$G$44/HSCEI!$X$44,""),""))</f>
        <v/>
      </c>
      <c r="W189" s="137">
        <f>IF($C189="","",IF(ISNUMBER($N189),IFERROR($N189*HSCEI!$G$44/HSCEI!$X$44,""),""))</f>
        <v/>
      </c>
      <c r="X189" s="139">
        <f>IF($C189="","",IF(PULL_FUND="N","",IFERROR(BDP($C189,EPS_FIELD,YR_OVERRIDE,TEXT(YEAR_Y-5,"0")),"")))</f>
        <v/>
      </c>
      <c r="Y189" s="140">
        <f>IF($C189="","",IF(PULL_FUND="N","",IFERROR(BDP($C189,EPS_FIELD,YR_OVERRIDE,TEXT(YEAR_Y-4,"0")),"")))</f>
        <v/>
      </c>
      <c r="Z189" s="140">
        <f>IF($C189="","",IF(PULL_FUND="N","",IFERROR(BDP($C189,EPS_FIELD,YR_OVERRIDE,TEXT(YEAR_Y-3,"0")),"")))</f>
        <v/>
      </c>
      <c r="AA189" s="140">
        <f>IF($C189="","",IF(PULL_FUND="N","",IFERROR(BDP($C189,EPS_FIELD,YR_OVERRIDE,TEXT(YEAR_Y-2,"0")),"")))</f>
        <v/>
      </c>
      <c r="AB189" s="140">
        <f>IF($C189="","",IF(PULL_FUND="N","",IFERROR(BDP($C189,EPS_FIELD,YR_OVERRIDE,TEXT(YEAR_Y-1,"0")),"")))</f>
        <v/>
      </c>
      <c r="AC189" s="126">
        <f>IF($C189="","",IFERROR(AVERAGE(X189:AB189),""))</f>
        <v/>
      </c>
      <c r="AD189" s="140">
        <f>IF($C189="","",IF(PULL_FUND="N","",IFERROR(BDP($C189,BESTEPS_FIELD,FWD_OVERRIDE,TEXT(MOD(YEAR_Y,100),"00")&amp;"Y"),"")))</f>
        <v/>
      </c>
      <c r="AE189" s="141">
        <f>IF($C189="","",IF(PULL_FUND="N","",IFERROR(BDP($C189,PAYOUT_FIELD,YR_OVERRIDE,TEXT(YEAR_Y-5,"0"))/100,"")))</f>
        <v/>
      </c>
      <c r="AF189" s="142">
        <f>IF($C189="","",IF(PULL_FUND="N","",IFERROR(BDP($C189,PAYOUT_FIELD,YR_OVERRIDE,TEXT(YEAR_Y-4,"0"))/100,"")))</f>
        <v/>
      </c>
      <c r="AG189" s="142">
        <f>IF($C189="","",IF(PULL_FUND="N","",IFERROR(BDP($C189,PAYOUT_FIELD,YR_OVERRIDE,TEXT(YEAR_Y-3,"0"))/100,"")))</f>
        <v/>
      </c>
      <c r="AH189" s="142">
        <f>IF($C189="","",IF(PULL_FUND="N","",IFERROR(BDP($C189,PAYOUT_FIELD,YR_OVERRIDE,TEXT(YEAR_Y-2,"0"))/100,"")))</f>
        <v/>
      </c>
      <c r="AI189" s="142">
        <f>IF($C189="","",IF(PULL_FUND="N","",IFERROR(BDP($C189,PAYOUT_FIELD,YR_OVERRIDE,TEXT(YEAR_Y-1,"0"))/100,"")))</f>
        <v/>
      </c>
      <c r="AJ189" s="143">
        <f>IF($C189="","",IFERROR(AVERAGE(AE189:AI189),""))</f>
        <v/>
      </c>
      <c r="AK189" s="144">
        <f>IF($C189="","",IF(ISNUMBER($AD189)*ISNUMBER($N189)*($AD189&lt;&gt;0)=0,"",$N189/$AD189))</f>
        <v/>
      </c>
      <c r="AL189" s="143">
        <f>IF($C189="","",IF(ISNUMBER($AD189)*($AD189&lt;&gt;0)=0,"",$M189/$AD189))</f>
        <v/>
      </c>
      <c r="AM189" s="37">
        <f>IF($C189="","",IF(ISNUMBER($AE189)*ISNUMBER($AI189)=0,"",IF($AI189&gt;$AE189+0.05,"rising",IF($AI189&lt;$AE189-0.05,"falling","stable"))))</f>
        <v/>
      </c>
      <c r="AN189" s="145">
        <f>IF($C189="","",IF(PULL_FUND="N","",IF(COUNTIFS('Fund History'!$G$1078:$G$1082,"&gt;="&amp;DATE(YEAR_Y-4,1,1),'Fund History'!$G$1078:$G$1082,"&lt;="&amp;DATE(YEAR_Y-4,12,31))=0,"",SUMIFS('Fund History'!$H$1078:$H$1082,'Fund History'!$G$1078:$G$1082,"&gt;="&amp;DATE(YEAR_Y-4,1,1),'Fund History'!$G$1078:$G$1082,"&lt;="&amp;DATE(YEAR_Y-4,12,31))/100)))</f>
        <v/>
      </c>
      <c r="AO189" s="146">
        <f>IF($C189="","",IF(PULL_FUND="N","",IF(COUNTIFS('Fund History'!$G$1078:$G$1082,"&gt;="&amp;DATE(YEAR_Y-3,1,1),'Fund History'!$G$1078:$G$1082,"&lt;="&amp;DATE(YEAR_Y-3,12,31))=0,"",SUMIFS('Fund History'!$H$1078:$H$1082,'Fund History'!$G$1078:$G$1082,"&gt;="&amp;DATE(YEAR_Y-3,1,1),'Fund History'!$G$1078:$G$1082,"&lt;="&amp;DATE(YEAR_Y-3,12,31))/100)))</f>
        <v/>
      </c>
      <c r="AP189" s="146">
        <f>IF($C189="","",IF(PULL_FUND="N","",IF(COUNTIFS('Fund History'!$G$1078:$G$1082,"&gt;="&amp;DATE(YEAR_Y-2,1,1),'Fund History'!$G$1078:$G$1082,"&lt;="&amp;DATE(YEAR_Y-2,12,31))=0,"",SUMIFS('Fund History'!$H$1078:$H$1082,'Fund History'!$G$1078:$G$1082,"&gt;="&amp;DATE(YEAR_Y-2,1,1),'Fund History'!$G$1078:$G$1082,"&lt;="&amp;DATE(YEAR_Y-2,12,31))/100)))</f>
        <v/>
      </c>
      <c r="AQ189" s="146">
        <f>IF($C189="","",IF(PULL_FUND="N","",IF(COUNTIFS('Fund History'!$G$1078:$G$1082,"&gt;="&amp;DATE(YEAR_Y-1,1,1),'Fund History'!$G$1078:$G$1082,"&lt;="&amp;DATE(YEAR_Y-1,12,31))=0,"",SUMIFS('Fund History'!$H$1078:$H$1082,'Fund History'!$G$1078:$G$1082,"&gt;="&amp;DATE(YEAR_Y-1,1,1),'Fund History'!$G$1078:$G$1082,"&lt;="&amp;DATE(YEAR_Y-1,12,31))/100)))</f>
        <v/>
      </c>
      <c r="AR189" s="147">
        <f>IF($C189="","",IF(N($AQ189)+N(HSCEI!$I$44)=0,"",N($AQ189)+N(HSCEI!$I$44)/100))</f>
        <v/>
      </c>
      <c r="AS189" s="139">
        <f>IF($C189="","",IF(PULL_FUND="N","",IF(COUNTIFS('Fund History'!$D$1078:$D$1082,"&gt;="&amp;DATE(YEAR_Y-2,1,1),'Fund History'!$D$1078:$D$1082,"&lt;="&amp;DATE(YEAR_Y-2,12,31))=0,"",SUMIFS('Fund History'!$E$1078:$E$1082,'Fund History'!$D$1078:$D$1082,"&gt;="&amp;DATE(YEAR_Y-2,1,1),'Fund History'!$D$1078:$D$1082,"&lt;="&amp;DATE(YEAR_Y-2,12,31)))))</f>
        <v/>
      </c>
      <c r="AT189" s="140">
        <f>IF($C189="","",IF(PULL_FUND="N","",IF(COUNTIFS('Fund History'!$D$1078:$D$1082,"&gt;="&amp;DATE(YEAR_Y-1,1,1),'Fund History'!$D$1078:$D$1082,"&lt;="&amp;DATE(YEAR_Y-1,12,31))=0,"",SUMIFS('Fund History'!$E$1078:$E$1082,'Fund History'!$D$1078:$D$1082,"&gt;="&amp;DATE(YEAR_Y-1,1,1),'Fund History'!$D$1078:$D$1082,"&lt;="&amp;DATE(YEAR_Y-1,12,31)))))</f>
        <v/>
      </c>
      <c r="AU189" s="140">
        <f>IF($C189="","",IF(PULL_FUND="N","",IFERROR(BDP($C189,NDEBITDA_FIELD),"")))</f>
        <v/>
      </c>
      <c r="AV189" s="148">
        <f>IF($C189="","",IF(PULL_FUND="N","",IFERROR(BDP($C189,EBINT_FIELD),"")))</f>
        <v/>
      </c>
      <c r="AW189" s="146">
        <f>IF($C189="","",IF(PULL_FUND="N","",IFERROR(BDP($C189,FCF_FIELD)/100,"")))</f>
        <v/>
      </c>
      <c r="AX189" s="126">
        <f>IF($C189="","",IF(N($U189)=0,"",IFERROR($AW189/$U189,"")))</f>
        <v/>
      </c>
      <c r="AY189" s="85">
        <f>IF($C189="","",TRIM(IF(ISNUMBER($AJ189)*(N($AJ189)&gt;$D$4)&gt;0,"payout high  ","")&amp;IF(ISNUMBER($AX189)*(N($AX189)&lt;$F$4)&gt;0,"FCF below dvd  ","")&amp;IF(ISNUMBER($AU189)*(N($AU189)&gt;$H$4)&gt;0,"leverage high","")))</f>
        <v/>
      </c>
      <c r="AZ189" s="86">
        <f>IF($C189="","",IF(HSCEI!$F$44="HKD","",HSCEI!$F$44))</f>
        <v/>
      </c>
    </row>
    <row r="190">
      <c r="B190" s="66" t="inlineStr">
        <is>
          <t>HSCEI</t>
        </is>
      </c>
      <c r="C190" s="8">
        <f>IF(HSCEI!$C$45="","",HSCEI!$C$45)</f>
        <v/>
      </c>
      <c r="D190" s="8">
        <f>IF($C190="","",HSCEI!$D$45)</f>
        <v/>
      </c>
      <c r="E190" s="8">
        <f>IF($C190="","",HSCEI!$E$45)</f>
        <v/>
      </c>
      <c r="F190" s="131">
        <f>IF($C190="","",SUMPRODUCT(('Dvd Calendar'!$E$1979:$AR$1979&gt;=DATE(YEAR_Y-5,1,1))*('Dvd Calendar'!$E$1979:$AR$1979&lt;=DATE(YEAR_Y-5,12,31))*'Dvd Calendar'!$E$1982:$AR$1982*(('Dvd Calendar'!$E$1984:$AR$1984=TYPE1)*(TYPE1&lt;&gt;"")+('Dvd Calendar'!$E$1984:$AR$1984=TYPE2)*(TYPE2&lt;&gt;"")+('Dvd Calendar'!$E$1984:$AR$1984=TYPE3)*(TYPE3&lt;&gt;"")+('Dvd Calendar'!$E$1984:$AR$1984=TYPE4)*(TYPE4&lt;&gt;"")+('Dvd Calendar'!$E$1984:$AR$1984=SPECIAL_LBL)*(INC_SPECIALS="Y"))))</f>
        <v/>
      </c>
      <c r="G190" s="132">
        <f>IF($C190="","",SUMPRODUCT(('Dvd Calendar'!$E$1979:$AR$1979&gt;=DATE(YEAR_Y-4,1,1))*('Dvd Calendar'!$E$1979:$AR$1979&lt;=DATE(YEAR_Y-4,12,31))*'Dvd Calendar'!$E$1982:$AR$1982*(('Dvd Calendar'!$E$1984:$AR$1984=TYPE1)*(TYPE1&lt;&gt;"")+('Dvd Calendar'!$E$1984:$AR$1984=TYPE2)*(TYPE2&lt;&gt;"")+('Dvd Calendar'!$E$1984:$AR$1984=TYPE3)*(TYPE3&lt;&gt;"")+('Dvd Calendar'!$E$1984:$AR$1984=TYPE4)*(TYPE4&lt;&gt;"")+('Dvd Calendar'!$E$1984:$AR$1984=SPECIAL_LBL)*(INC_SPECIALS="Y"))))</f>
        <v/>
      </c>
      <c r="H190" s="132">
        <f>IF($C190="","",SUMPRODUCT(('Dvd Calendar'!$E$1979:$AR$1979&gt;=DATE(YEAR_Y-3,1,1))*('Dvd Calendar'!$E$1979:$AR$1979&lt;=DATE(YEAR_Y-3,12,31))*'Dvd Calendar'!$E$1982:$AR$1982*(('Dvd Calendar'!$E$1984:$AR$1984=TYPE1)*(TYPE1&lt;&gt;"")+('Dvd Calendar'!$E$1984:$AR$1984=TYPE2)*(TYPE2&lt;&gt;"")+('Dvd Calendar'!$E$1984:$AR$1984=TYPE3)*(TYPE3&lt;&gt;"")+('Dvd Calendar'!$E$1984:$AR$1984=TYPE4)*(TYPE4&lt;&gt;"")+('Dvd Calendar'!$E$1984:$AR$1984=SPECIAL_LBL)*(INC_SPECIALS="Y"))))</f>
        <v/>
      </c>
      <c r="I190" s="132">
        <f>IF($C190="","",SUMPRODUCT(('Dvd Calendar'!$E$1979:$AR$1979&gt;=DATE(YEAR_Y-2,1,1))*('Dvd Calendar'!$E$1979:$AR$1979&lt;=DATE(YEAR_Y-2,12,31))*'Dvd Calendar'!$E$1982:$AR$1982*(('Dvd Calendar'!$E$1984:$AR$1984=TYPE1)*(TYPE1&lt;&gt;"")+('Dvd Calendar'!$E$1984:$AR$1984=TYPE2)*(TYPE2&lt;&gt;"")+('Dvd Calendar'!$E$1984:$AR$1984=TYPE3)*(TYPE3&lt;&gt;"")+('Dvd Calendar'!$E$1984:$AR$1984=TYPE4)*(TYPE4&lt;&gt;"")+('Dvd Calendar'!$E$1984:$AR$1984=SPECIAL_LBL)*(INC_SPECIALS="Y"))))</f>
        <v/>
      </c>
      <c r="J190" s="132">
        <f>IF($C190="","",SUMPRODUCT(('Dvd Calendar'!$E$1979:$AR$1979&gt;=DATE(YEAR_Y-1,1,1))*('Dvd Calendar'!$E$1979:$AR$1979&lt;=DATE(YEAR_Y-1,12,31))*'Dvd Calendar'!$E$1982:$AR$1982*(('Dvd Calendar'!$E$1984:$AR$1984=TYPE1)*(TYPE1&lt;&gt;"")+('Dvd Calendar'!$E$1984:$AR$1984=TYPE2)*(TYPE2&lt;&gt;"")+('Dvd Calendar'!$E$1984:$AR$1984=TYPE3)*(TYPE3&lt;&gt;"")+('Dvd Calendar'!$E$1984:$AR$1984=TYPE4)*(TYPE4&lt;&gt;"")+('Dvd Calendar'!$E$1984:$AR$1984=SPECIAL_LBL)*(INC_SPECIALS="Y"))))</f>
        <v/>
      </c>
      <c r="K190" s="133">
        <f>IF($C190="","",HSCEI!$J$45)</f>
        <v/>
      </c>
      <c r="L190" s="133">
        <f>IF($C190="","",HSCEI!$K$45)</f>
        <v/>
      </c>
      <c r="M190" s="124">
        <f>IF($C190="","",HSCEI!$J$45+HSCEI!$L$45)</f>
        <v/>
      </c>
      <c r="N190" s="134">
        <f>IF($C190="","",IF(PULL_FUND="N","",IFERROR(BDP($C190,BESTDPS_FIELD,FWD_OVERRIDE,TEXT(MOD(YEAR_Y,100),"00")&amp;"Y"),"")))</f>
        <v/>
      </c>
      <c r="O190" s="133">
        <f>IF($C190="","",AVERAGE(F190:J190))</f>
        <v/>
      </c>
      <c r="P190" s="135">
        <f>IF($C190="","",IF(PULL_FUND="N","",IF(COUNTIFS('Fund History'!$J$1084:$J$1088,"&gt;="&amp;DATE(YEAR_Y-5,1,1),'Fund History'!$J$1084:$J$1088,"&lt;="&amp;DATE(YEAR_Y-5,12,31))=0,"",IFERROR($F190*HSCEI!$G$45/SUMIFS('Fund History'!$K$1084:$K$1088,'Fund History'!$J$1084:$J$1088,"&gt;="&amp;DATE(YEAR_Y-5,1,1),'Fund History'!$J$1084:$J$1088,"&lt;="&amp;DATE(YEAR_Y-5,12,31)),""))))</f>
        <v/>
      </c>
      <c r="Q190" s="136">
        <f>IF($C190="","",IF(PULL_FUND="N","",IF(COUNTIFS('Fund History'!$J$1084:$J$1088,"&gt;="&amp;DATE(YEAR_Y-4,1,1),'Fund History'!$J$1084:$J$1088,"&lt;="&amp;DATE(YEAR_Y-4,12,31))=0,"",IFERROR($G190*HSCEI!$G$45/SUMIFS('Fund History'!$K$1084:$K$1088,'Fund History'!$J$1084:$J$1088,"&gt;="&amp;DATE(YEAR_Y-4,1,1),'Fund History'!$J$1084:$J$1088,"&lt;="&amp;DATE(YEAR_Y-4,12,31)),""))))</f>
        <v/>
      </c>
      <c r="R190" s="136">
        <f>IF($C190="","",IF(PULL_FUND="N","",IF(COUNTIFS('Fund History'!$J$1084:$J$1088,"&gt;="&amp;DATE(YEAR_Y-3,1,1),'Fund History'!$J$1084:$J$1088,"&lt;="&amp;DATE(YEAR_Y-3,12,31))=0,"",IFERROR($H190*HSCEI!$G$45/SUMIFS('Fund History'!$K$1084:$K$1088,'Fund History'!$J$1084:$J$1088,"&gt;="&amp;DATE(YEAR_Y-3,1,1),'Fund History'!$J$1084:$J$1088,"&lt;="&amp;DATE(YEAR_Y-3,12,31)),""))))</f>
        <v/>
      </c>
      <c r="S190" s="136">
        <f>IF($C190="","",IF(PULL_FUND="N","",IF(COUNTIFS('Fund History'!$J$1084:$J$1088,"&gt;="&amp;DATE(YEAR_Y-2,1,1),'Fund History'!$J$1084:$J$1088,"&lt;="&amp;DATE(YEAR_Y-2,12,31))=0,"",IFERROR($I190*HSCEI!$G$45/SUMIFS('Fund History'!$K$1084:$K$1088,'Fund History'!$J$1084:$J$1088,"&gt;="&amp;DATE(YEAR_Y-2,1,1),'Fund History'!$J$1084:$J$1088,"&lt;="&amp;DATE(YEAR_Y-2,12,31)),""))))</f>
        <v/>
      </c>
      <c r="T190" s="136">
        <f>IF($C190="","",IF(PULL_FUND="N","",IF(COUNTIFS('Fund History'!$J$1084:$J$1088,"&gt;="&amp;DATE(YEAR_Y-1,1,1),'Fund History'!$J$1084:$J$1088,"&lt;="&amp;DATE(YEAR_Y-1,12,31))=0,"",IFERROR($J190*HSCEI!$G$45/SUMIFS('Fund History'!$K$1084:$K$1088,'Fund History'!$J$1084:$J$1088,"&gt;="&amp;DATE(YEAR_Y-1,1,1),'Fund History'!$J$1084:$J$1088,"&lt;="&amp;DATE(YEAR_Y-1,12,31)),""))))</f>
        <v/>
      </c>
      <c r="U190" s="137">
        <f>IF($C190="","",IF(ISNUMBER(HSCEI!$I$45),HSCEI!$I$45/100,""))</f>
        <v/>
      </c>
      <c r="V190" s="138">
        <f>IF($C190="","",IF(ISNUMBER(HSCEI!$X$45),IFERROR($M190*HSCEI!$G$45/HSCEI!$X$45,""),""))</f>
        <v/>
      </c>
      <c r="W190" s="137">
        <f>IF($C190="","",IF(ISNUMBER($N190),IFERROR($N190*HSCEI!$G$45/HSCEI!$X$45,""),""))</f>
        <v/>
      </c>
      <c r="X190" s="139">
        <f>IF($C190="","",IF(PULL_FUND="N","",IFERROR(BDP($C190,EPS_FIELD,YR_OVERRIDE,TEXT(YEAR_Y-5,"0")),"")))</f>
        <v/>
      </c>
      <c r="Y190" s="140">
        <f>IF($C190="","",IF(PULL_FUND="N","",IFERROR(BDP($C190,EPS_FIELD,YR_OVERRIDE,TEXT(YEAR_Y-4,"0")),"")))</f>
        <v/>
      </c>
      <c r="Z190" s="140">
        <f>IF($C190="","",IF(PULL_FUND="N","",IFERROR(BDP($C190,EPS_FIELD,YR_OVERRIDE,TEXT(YEAR_Y-3,"0")),"")))</f>
        <v/>
      </c>
      <c r="AA190" s="140">
        <f>IF($C190="","",IF(PULL_FUND="N","",IFERROR(BDP($C190,EPS_FIELD,YR_OVERRIDE,TEXT(YEAR_Y-2,"0")),"")))</f>
        <v/>
      </c>
      <c r="AB190" s="140">
        <f>IF($C190="","",IF(PULL_FUND="N","",IFERROR(BDP($C190,EPS_FIELD,YR_OVERRIDE,TEXT(YEAR_Y-1,"0")),"")))</f>
        <v/>
      </c>
      <c r="AC190" s="126">
        <f>IF($C190="","",IFERROR(AVERAGE(X190:AB190),""))</f>
        <v/>
      </c>
      <c r="AD190" s="140">
        <f>IF($C190="","",IF(PULL_FUND="N","",IFERROR(BDP($C190,BESTEPS_FIELD,FWD_OVERRIDE,TEXT(MOD(YEAR_Y,100),"00")&amp;"Y"),"")))</f>
        <v/>
      </c>
      <c r="AE190" s="141">
        <f>IF($C190="","",IF(PULL_FUND="N","",IFERROR(BDP($C190,PAYOUT_FIELD,YR_OVERRIDE,TEXT(YEAR_Y-5,"0"))/100,"")))</f>
        <v/>
      </c>
      <c r="AF190" s="142">
        <f>IF($C190="","",IF(PULL_FUND="N","",IFERROR(BDP($C190,PAYOUT_FIELD,YR_OVERRIDE,TEXT(YEAR_Y-4,"0"))/100,"")))</f>
        <v/>
      </c>
      <c r="AG190" s="142">
        <f>IF($C190="","",IF(PULL_FUND="N","",IFERROR(BDP($C190,PAYOUT_FIELD,YR_OVERRIDE,TEXT(YEAR_Y-3,"0"))/100,"")))</f>
        <v/>
      </c>
      <c r="AH190" s="142">
        <f>IF($C190="","",IF(PULL_FUND="N","",IFERROR(BDP($C190,PAYOUT_FIELD,YR_OVERRIDE,TEXT(YEAR_Y-2,"0"))/100,"")))</f>
        <v/>
      </c>
      <c r="AI190" s="142">
        <f>IF($C190="","",IF(PULL_FUND="N","",IFERROR(BDP($C190,PAYOUT_FIELD,YR_OVERRIDE,TEXT(YEAR_Y-1,"0"))/100,"")))</f>
        <v/>
      </c>
      <c r="AJ190" s="143">
        <f>IF($C190="","",IFERROR(AVERAGE(AE190:AI190),""))</f>
        <v/>
      </c>
      <c r="AK190" s="144">
        <f>IF($C190="","",IF(ISNUMBER($AD190)*ISNUMBER($N190)*($AD190&lt;&gt;0)=0,"",$N190/$AD190))</f>
        <v/>
      </c>
      <c r="AL190" s="143">
        <f>IF($C190="","",IF(ISNUMBER($AD190)*($AD190&lt;&gt;0)=0,"",$M190/$AD190))</f>
        <v/>
      </c>
      <c r="AM190" s="37">
        <f>IF($C190="","",IF(ISNUMBER($AE190)*ISNUMBER($AI190)=0,"",IF($AI190&gt;$AE190+0.05,"rising",IF($AI190&lt;$AE190-0.05,"falling","stable"))))</f>
        <v/>
      </c>
      <c r="AN190" s="145">
        <f>IF($C190="","",IF(PULL_FUND="N","",IF(COUNTIFS('Fund History'!$G$1084:$G$1088,"&gt;="&amp;DATE(YEAR_Y-4,1,1),'Fund History'!$G$1084:$G$1088,"&lt;="&amp;DATE(YEAR_Y-4,12,31))=0,"",SUMIFS('Fund History'!$H$1084:$H$1088,'Fund History'!$G$1084:$G$1088,"&gt;="&amp;DATE(YEAR_Y-4,1,1),'Fund History'!$G$1084:$G$1088,"&lt;="&amp;DATE(YEAR_Y-4,12,31))/100)))</f>
        <v/>
      </c>
      <c r="AO190" s="146">
        <f>IF($C190="","",IF(PULL_FUND="N","",IF(COUNTIFS('Fund History'!$G$1084:$G$1088,"&gt;="&amp;DATE(YEAR_Y-3,1,1),'Fund History'!$G$1084:$G$1088,"&lt;="&amp;DATE(YEAR_Y-3,12,31))=0,"",SUMIFS('Fund History'!$H$1084:$H$1088,'Fund History'!$G$1084:$G$1088,"&gt;="&amp;DATE(YEAR_Y-3,1,1),'Fund History'!$G$1084:$G$1088,"&lt;="&amp;DATE(YEAR_Y-3,12,31))/100)))</f>
        <v/>
      </c>
      <c r="AP190" s="146">
        <f>IF($C190="","",IF(PULL_FUND="N","",IF(COUNTIFS('Fund History'!$G$1084:$G$1088,"&gt;="&amp;DATE(YEAR_Y-2,1,1),'Fund History'!$G$1084:$G$1088,"&lt;="&amp;DATE(YEAR_Y-2,12,31))=0,"",SUMIFS('Fund History'!$H$1084:$H$1088,'Fund History'!$G$1084:$G$1088,"&gt;="&amp;DATE(YEAR_Y-2,1,1),'Fund History'!$G$1084:$G$1088,"&lt;="&amp;DATE(YEAR_Y-2,12,31))/100)))</f>
        <v/>
      </c>
      <c r="AQ190" s="146">
        <f>IF($C190="","",IF(PULL_FUND="N","",IF(COUNTIFS('Fund History'!$G$1084:$G$1088,"&gt;="&amp;DATE(YEAR_Y-1,1,1),'Fund History'!$G$1084:$G$1088,"&lt;="&amp;DATE(YEAR_Y-1,12,31))=0,"",SUMIFS('Fund History'!$H$1084:$H$1088,'Fund History'!$G$1084:$G$1088,"&gt;="&amp;DATE(YEAR_Y-1,1,1),'Fund History'!$G$1084:$G$1088,"&lt;="&amp;DATE(YEAR_Y-1,12,31))/100)))</f>
        <v/>
      </c>
      <c r="AR190" s="147">
        <f>IF($C190="","",IF(N($AQ190)+N(HSCEI!$I$45)=0,"",N($AQ190)+N(HSCEI!$I$45)/100))</f>
        <v/>
      </c>
      <c r="AS190" s="139">
        <f>IF($C190="","",IF(PULL_FUND="N","",IF(COUNTIFS('Fund History'!$D$1084:$D$1088,"&gt;="&amp;DATE(YEAR_Y-2,1,1),'Fund History'!$D$1084:$D$1088,"&lt;="&amp;DATE(YEAR_Y-2,12,31))=0,"",SUMIFS('Fund History'!$E$1084:$E$1088,'Fund History'!$D$1084:$D$1088,"&gt;="&amp;DATE(YEAR_Y-2,1,1),'Fund History'!$D$1084:$D$1088,"&lt;="&amp;DATE(YEAR_Y-2,12,31)))))</f>
        <v/>
      </c>
      <c r="AT190" s="140">
        <f>IF($C190="","",IF(PULL_FUND="N","",IF(COUNTIFS('Fund History'!$D$1084:$D$1088,"&gt;="&amp;DATE(YEAR_Y-1,1,1),'Fund History'!$D$1084:$D$1088,"&lt;="&amp;DATE(YEAR_Y-1,12,31))=0,"",SUMIFS('Fund History'!$E$1084:$E$1088,'Fund History'!$D$1084:$D$1088,"&gt;="&amp;DATE(YEAR_Y-1,1,1),'Fund History'!$D$1084:$D$1088,"&lt;="&amp;DATE(YEAR_Y-1,12,31)))))</f>
        <v/>
      </c>
      <c r="AU190" s="140">
        <f>IF($C190="","",IF(PULL_FUND="N","",IFERROR(BDP($C190,NDEBITDA_FIELD),"")))</f>
        <v/>
      </c>
      <c r="AV190" s="148">
        <f>IF($C190="","",IF(PULL_FUND="N","",IFERROR(BDP($C190,EBINT_FIELD),"")))</f>
        <v/>
      </c>
      <c r="AW190" s="146">
        <f>IF($C190="","",IF(PULL_FUND="N","",IFERROR(BDP($C190,FCF_FIELD)/100,"")))</f>
        <v/>
      </c>
      <c r="AX190" s="126">
        <f>IF($C190="","",IF(N($U190)=0,"",IFERROR($AW190/$U190,"")))</f>
        <v/>
      </c>
      <c r="AY190" s="85">
        <f>IF($C190="","",TRIM(IF(ISNUMBER($AJ190)*(N($AJ190)&gt;$D$4)&gt;0,"payout high  ","")&amp;IF(ISNUMBER($AX190)*(N($AX190)&lt;$F$4)&gt;0,"FCF below dvd  ","")&amp;IF(ISNUMBER($AU190)*(N($AU190)&gt;$H$4)&gt;0,"leverage high","")))</f>
        <v/>
      </c>
      <c r="AZ190" s="86">
        <f>IF($C190="","",IF(HSCEI!$F$45="HKD","",HSCEI!$F$45))</f>
        <v/>
      </c>
    </row>
    <row r="191">
      <c r="B191" s="66" t="inlineStr">
        <is>
          <t>HSCEI</t>
        </is>
      </c>
      <c r="C191" s="8">
        <f>IF(HSCEI!$C$46="","",HSCEI!$C$46)</f>
        <v/>
      </c>
      <c r="D191" s="8">
        <f>IF($C191="","",HSCEI!$D$46)</f>
        <v/>
      </c>
      <c r="E191" s="8">
        <f>IF($C191="","",HSCEI!$E$46)</f>
        <v/>
      </c>
      <c r="F191" s="131">
        <f>IF($C191="","",SUMPRODUCT(('Dvd Calendar'!$E$1990:$AR$1990&gt;=DATE(YEAR_Y-5,1,1))*('Dvd Calendar'!$E$1990:$AR$1990&lt;=DATE(YEAR_Y-5,12,31))*'Dvd Calendar'!$E$1993:$AR$1993*(('Dvd Calendar'!$E$1995:$AR$1995=TYPE1)*(TYPE1&lt;&gt;"")+('Dvd Calendar'!$E$1995:$AR$1995=TYPE2)*(TYPE2&lt;&gt;"")+('Dvd Calendar'!$E$1995:$AR$1995=TYPE3)*(TYPE3&lt;&gt;"")+('Dvd Calendar'!$E$1995:$AR$1995=TYPE4)*(TYPE4&lt;&gt;"")+('Dvd Calendar'!$E$1995:$AR$1995=SPECIAL_LBL)*(INC_SPECIALS="Y"))))</f>
        <v/>
      </c>
      <c r="G191" s="132">
        <f>IF($C191="","",SUMPRODUCT(('Dvd Calendar'!$E$1990:$AR$1990&gt;=DATE(YEAR_Y-4,1,1))*('Dvd Calendar'!$E$1990:$AR$1990&lt;=DATE(YEAR_Y-4,12,31))*'Dvd Calendar'!$E$1993:$AR$1993*(('Dvd Calendar'!$E$1995:$AR$1995=TYPE1)*(TYPE1&lt;&gt;"")+('Dvd Calendar'!$E$1995:$AR$1995=TYPE2)*(TYPE2&lt;&gt;"")+('Dvd Calendar'!$E$1995:$AR$1995=TYPE3)*(TYPE3&lt;&gt;"")+('Dvd Calendar'!$E$1995:$AR$1995=TYPE4)*(TYPE4&lt;&gt;"")+('Dvd Calendar'!$E$1995:$AR$1995=SPECIAL_LBL)*(INC_SPECIALS="Y"))))</f>
        <v/>
      </c>
      <c r="H191" s="132">
        <f>IF($C191="","",SUMPRODUCT(('Dvd Calendar'!$E$1990:$AR$1990&gt;=DATE(YEAR_Y-3,1,1))*('Dvd Calendar'!$E$1990:$AR$1990&lt;=DATE(YEAR_Y-3,12,31))*'Dvd Calendar'!$E$1993:$AR$1993*(('Dvd Calendar'!$E$1995:$AR$1995=TYPE1)*(TYPE1&lt;&gt;"")+('Dvd Calendar'!$E$1995:$AR$1995=TYPE2)*(TYPE2&lt;&gt;"")+('Dvd Calendar'!$E$1995:$AR$1995=TYPE3)*(TYPE3&lt;&gt;"")+('Dvd Calendar'!$E$1995:$AR$1995=TYPE4)*(TYPE4&lt;&gt;"")+('Dvd Calendar'!$E$1995:$AR$1995=SPECIAL_LBL)*(INC_SPECIALS="Y"))))</f>
        <v/>
      </c>
      <c r="I191" s="132">
        <f>IF($C191="","",SUMPRODUCT(('Dvd Calendar'!$E$1990:$AR$1990&gt;=DATE(YEAR_Y-2,1,1))*('Dvd Calendar'!$E$1990:$AR$1990&lt;=DATE(YEAR_Y-2,12,31))*'Dvd Calendar'!$E$1993:$AR$1993*(('Dvd Calendar'!$E$1995:$AR$1995=TYPE1)*(TYPE1&lt;&gt;"")+('Dvd Calendar'!$E$1995:$AR$1995=TYPE2)*(TYPE2&lt;&gt;"")+('Dvd Calendar'!$E$1995:$AR$1995=TYPE3)*(TYPE3&lt;&gt;"")+('Dvd Calendar'!$E$1995:$AR$1995=TYPE4)*(TYPE4&lt;&gt;"")+('Dvd Calendar'!$E$1995:$AR$1995=SPECIAL_LBL)*(INC_SPECIALS="Y"))))</f>
        <v/>
      </c>
      <c r="J191" s="132">
        <f>IF($C191="","",SUMPRODUCT(('Dvd Calendar'!$E$1990:$AR$1990&gt;=DATE(YEAR_Y-1,1,1))*('Dvd Calendar'!$E$1990:$AR$1990&lt;=DATE(YEAR_Y-1,12,31))*'Dvd Calendar'!$E$1993:$AR$1993*(('Dvd Calendar'!$E$1995:$AR$1995=TYPE1)*(TYPE1&lt;&gt;"")+('Dvd Calendar'!$E$1995:$AR$1995=TYPE2)*(TYPE2&lt;&gt;"")+('Dvd Calendar'!$E$1995:$AR$1995=TYPE3)*(TYPE3&lt;&gt;"")+('Dvd Calendar'!$E$1995:$AR$1995=TYPE4)*(TYPE4&lt;&gt;"")+('Dvd Calendar'!$E$1995:$AR$1995=SPECIAL_LBL)*(INC_SPECIALS="Y"))))</f>
        <v/>
      </c>
      <c r="K191" s="133">
        <f>IF($C191="","",HSCEI!$J$46)</f>
        <v/>
      </c>
      <c r="L191" s="133">
        <f>IF($C191="","",HSCEI!$K$46)</f>
        <v/>
      </c>
      <c r="M191" s="124">
        <f>IF($C191="","",HSCEI!$J$46+HSCEI!$L$46)</f>
        <v/>
      </c>
      <c r="N191" s="134">
        <f>IF($C191="","",IF(PULL_FUND="N","",IFERROR(BDP($C191,BESTDPS_FIELD,FWD_OVERRIDE,TEXT(MOD(YEAR_Y,100),"00")&amp;"Y"),"")))</f>
        <v/>
      </c>
      <c r="O191" s="133">
        <f>IF($C191="","",AVERAGE(F191:J191))</f>
        <v/>
      </c>
      <c r="P191" s="135">
        <f>IF($C191="","",IF(PULL_FUND="N","",IF(COUNTIFS('Fund History'!$J$1090:$J$1094,"&gt;="&amp;DATE(YEAR_Y-5,1,1),'Fund History'!$J$1090:$J$1094,"&lt;="&amp;DATE(YEAR_Y-5,12,31))=0,"",IFERROR($F191*HSCEI!$G$46/SUMIFS('Fund History'!$K$1090:$K$1094,'Fund History'!$J$1090:$J$1094,"&gt;="&amp;DATE(YEAR_Y-5,1,1),'Fund History'!$J$1090:$J$1094,"&lt;="&amp;DATE(YEAR_Y-5,12,31)),""))))</f>
        <v/>
      </c>
      <c r="Q191" s="136">
        <f>IF($C191="","",IF(PULL_FUND="N","",IF(COUNTIFS('Fund History'!$J$1090:$J$1094,"&gt;="&amp;DATE(YEAR_Y-4,1,1),'Fund History'!$J$1090:$J$1094,"&lt;="&amp;DATE(YEAR_Y-4,12,31))=0,"",IFERROR($G191*HSCEI!$G$46/SUMIFS('Fund History'!$K$1090:$K$1094,'Fund History'!$J$1090:$J$1094,"&gt;="&amp;DATE(YEAR_Y-4,1,1),'Fund History'!$J$1090:$J$1094,"&lt;="&amp;DATE(YEAR_Y-4,12,31)),""))))</f>
        <v/>
      </c>
      <c r="R191" s="136">
        <f>IF($C191="","",IF(PULL_FUND="N","",IF(COUNTIFS('Fund History'!$J$1090:$J$1094,"&gt;="&amp;DATE(YEAR_Y-3,1,1),'Fund History'!$J$1090:$J$1094,"&lt;="&amp;DATE(YEAR_Y-3,12,31))=0,"",IFERROR($H191*HSCEI!$G$46/SUMIFS('Fund History'!$K$1090:$K$1094,'Fund History'!$J$1090:$J$1094,"&gt;="&amp;DATE(YEAR_Y-3,1,1),'Fund History'!$J$1090:$J$1094,"&lt;="&amp;DATE(YEAR_Y-3,12,31)),""))))</f>
        <v/>
      </c>
      <c r="S191" s="136">
        <f>IF($C191="","",IF(PULL_FUND="N","",IF(COUNTIFS('Fund History'!$J$1090:$J$1094,"&gt;="&amp;DATE(YEAR_Y-2,1,1),'Fund History'!$J$1090:$J$1094,"&lt;="&amp;DATE(YEAR_Y-2,12,31))=0,"",IFERROR($I191*HSCEI!$G$46/SUMIFS('Fund History'!$K$1090:$K$1094,'Fund History'!$J$1090:$J$1094,"&gt;="&amp;DATE(YEAR_Y-2,1,1),'Fund History'!$J$1090:$J$1094,"&lt;="&amp;DATE(YEAR_Y-2,12,31)),""))))</f>
        <v/>
      </c>
      <c r="T191" s="136">
        <f>IF($C191="","",IF(PULL_FUND="N","",IF(COUNTIFS('Fund History'!$J$1090:$J$1094,"&gt;="&amp;DATE(YEAR_Y-1,1,1),'Fund History'!$J$1090:$J$1094,"&lt;="&amp;DATE(YEAR_Y-1,12,31))=0,"",IFERROR($J191*HSCEI!$G$46/SUMIFS('Fund History'!$K$1090:$K$1094,'Fund History'!$J$1090:$J$1094,"&gt;="&amp;DATE(YEAR_Y-1,1,1),'Fund History'!$J$1090:$J$1094,"&lt;="&amp;DATE(YEAR_Y-1,12,31)),""))))</f>
        <v/>
      </c>
      <c r="U191" s="137">
        <f>IF($C191="","",IF(ISNUMBER(HSCEI!$I$46),HSCEI!$I$46/100,""))</f>
        <v/>
      </c>
      <c r="V191" s="138">
        <f>IF($C191="","",IF(ISNUMBER(HSCEI!$X$46),IFERROR($M191*HSCEI!$G$46/HSCEI!$X$46,""),""))</f>
        <v/>
      </c>
      <c r="W191" s="137">
        <f>IF($C191="","",IF(ISNUMBER($N191),IFERROR($N191*HSCEI!$G$46/HSCEI!$X$46,""),""))</f>
        <v/>
      </c>
      <c r="X191" s="139">
        <f>IF($C191="","",IF(PULL_FUND="N","",IFERROR(BDP($C191,EPS_FIELD,YR_OVERRIDE,TEXT(YEAR_Y-5,"0")),"")))</f>
        <v/>
      </c>
      <c r="Y191" s="140">
        <f>IF($C191="","",IF(PULL_FUND="N","",IFERROR(BDP($C191,EPS_FIELD,YR_OVERRIDE,TEXT(YEAR_Y-4,"0")),"")))</f>
        <v/>
      </c>
      <c r="Z191" s="140">
        <f>IF($C191="","",IF(PULL_FUND="N","",IFERROR(BDP($C191,EPS_FIELD,YR_OVERRIDE,TEXT(YEAR_Y-3,"0")),"")))</f>
        <v/>
      </c>
      <c r="AA191" s="140">
        <f>IF($C191="","",IF(PULL_FUND="N","",IFERROR(BDP($C191,EPS_FIELD,YR_OVERRIDE,TEXT(YEAR_Y-2,"0")),"")))</f>
        <v/>
      </c>
      <c r="AB191" s="140">
        <f>IF($C191="","",IF(PULL_FUND="N","",IFERROR(BDP($C191,EPS_FIELD,YR_OVERRIDE,TEXT(YEAR_Y-1,"0")),"")))</f>
        <v/>
      </c>
      <c r="AC191" s="126">
        <f>IF($C191="","",IFERROR(AVERAGE(X191:AB191),""))</f>
        <v/>
      </c>
      <c r="AD191" s="140">
        <f>IF($C191="","",IF(PULL_FUND="N","",IFERROR(BDP($C191,BESTEPS_FIELD,FWD_OVERRIDE,TEXT(MOD(YEAR_Y,100),"00")&amp;"Y"),"")))</f>
        <v/>
      </c>
      <c r="AE191" s="141">
        <f>IF($C191="","",IF(PULL_FUND="N","",IFERROR(BDP($C191,PAYOUT_FIELD,YR_OVERRIDE,TEXT(YEAR_Y-5,"0"))/100,"")))</f>
        <v/>
      </c>
      <c r="AF191" s="142">
        <f>IF($C191="","",IF(PULL_FUND="N","",IFERROR(BDP($C191,PAYOUT_FIELD,YR_OVERRIDE,TEXT(YEAR_Y-4,"0"))/100,"")))</f>
        <v/>
      </c>
      <c r="AG191" s="142">
        <f>IF($C191="","",IF(PULL_FUND="N","",IFERROR(BDP($C191,PAYOUT_FIELD,YR_OVERRIDE,TEXT(YEAR_Y-3,"0"))/100,"")))</f>
        <v/>
      </c>
      <c r="AH191" s="142">
        <f>IF($C191="","",IF(PULL_FUND="N","",IFERROR(BDP($C191,PAYOUT_FIELD,YR_OVERRIDE,TEXT(YEAR_Y-2,"0"))/100,"")))</f>
        <v/>
      </c>
      <c r="AI191" s="142">
        <f>IF($C191="","",IF(PULL_FUND="N","",IFERROR(BDP($C191,PAYOUT_FIELD,YR_OVERRIDE,TEXT(YEAR_Y-1,"0"))/100,"")))</f>
        <v/>
      </c>
      <c r="AJ191" s="143">
        <f>IF($C191="","",IFERROR(AVERAGE(AE191:AI191),""))</f>
        <v/>
      </c>
      <c r="AK191" s="144">
        <f>IF($C191="","",IF(ISNUMBER($AD191)*ISNUMBER($N191)*($AD191&lt;&gt;0)=0,"",$N191/$AD191))</f>
        <v/>
      </c>
      <c r="AL191" s="143">
        <f>IF($C191="","",IF(ISNUMBER($AD191)*($AD191&lt;&gt;0)=0,"",$M191/$AD191))</f>
        <v/>
      </c>
      <c r="AM191" s="37">
        <f>IF($C191="","",IF(ISNUMBER($AE191)*ISNUMBER($AI191)=0,"",IF($AI191&gt;$AE191+0.05,"rising",IF($AI191&lt;$AE191-0.05,"falling","stable"))))</f>
        <v/>
      </c>
      <c r="AN191" s="145">
        <f>IF($C191="","",IF(PULL_FUND="N","",IF(COUNTIFS('Fund History'!$G$1090:$G$1094,"&gt;="&amp;DATE(YEAR_Y-4,1,1),'Fund History'!$G$1090:$G$1094,"&lt;="&amp;DATE(YEAR_Y-4,12,31))=0,"",SUMIFS('Fund History'!$H$1090:$H$1094,'Fund History'!$G$1090:$G$1094,"&gt;="&amp;DATE(YEAR_Y-4,1,1),'Fund History'!$G$1090:$G$1094,"&lt;="&amp;DATE(YEAR_Y-4,12,31))/100)))</f>
        <v/>
      </c>
      <c r="AO191" s="146">
        <f>IF($C191="","",IF(PULL_FUND="N","",IF(COUNTIFS('Fund History'!$G$1090:$G$1094,"&gt;="&amp;DATE(YEAR_Y-3,1,1),'Fund History'!$G$1090:$G$1094,"&lt;="&amp;DATE(YEAR_Y-3,12,31))=0,"",SUMIFS('Fund History'!$H$1090:$H$1094,'Fund History'!$G$1090:$G$1094,"&gt;="&amp;DATE(YEAR_Y-3,1,1),'Fund History'!$G$1090:$G$1094,"&lt;="&amp;DATE(YEAR_Y-3,12,31))/100)))</f>
        <v/>
      </c>
      <c r="AP191" s="146">
        <f>IF($C191="","",IF(PULL_FUND="N","",IF(COUNTIFS('Fund History'!$G$1090:$G$1094,"&gt;="&amp;DATE(YEAR_Y-2,1,1),'Fund History'!$G$1090:$G$1094,"&lt;="&amp;DATE(YEAR_Y-2,12,31))=0,"",SUMIFS('Fund History'!$H$1090:$H$1094,'Fund History'!$G$1090:$G$1094,"&gt;="&amp;DATE(YEAR_Y-2,1,1),'Fund History'!$G$1090:$G$1094,"&lt;="&amp;DATE(YEAR_Y-2,12,31))/100)))</f>
        <v/>
      </c>
      <c r="AQ191" s="146">
        <f>IF($C191="","",IF(PULL_FUND="N","",IF(COUNTIFS('Fund History'!$G$1090:$G$1094,"&gt;="&amp;DATE(YEAR_Y-1,1,1),'Fund History'!$G$1090:$G$1094,"&lt;="&amp;DATE(YEAR_Y-1,12,31))=0,"",SUMIFS('Fund History'!$H$1090:$H$1094,'Fund History'!$G$1090:$G$1094,"&gt;="&amp;DATE(YEAR_Y-1,1,1),'Fund History'!$G$1090:$G$1094,"&lt;="&amp;DATE(YEAR_Y-1,12,31))/100)))</f>
        <v/>
      </c>
      <c r="AR191" s="147">
        <f>IF($C191="","",IF(N($AQ191)+N(HSCEI!$I$46)=0,"",N($AQ191)+N(HSCEI!$I$46)/100))</f>
        <v/>
      </c>
      <c r="AS191" s="139">
        <f>IF($C191="","",IF(PULL_FUND="N","",IF(COUNTIFS('Fund History'!$D$1090:$D$1094,"&gt;="&amp;DATE(YEAR_Y-2,1,1),'Fund History'!$D$1090:$D$1094,"&lt;="&amp;DATE(YEAR_Y-2,12,31))=0,"",SUMIFS('Fund History'!$E$1090:$E$1094,'Fund History'!$D$1090:$D$1094,"&gt;="&amp;DATE(YEAR_Y-2,1,1),'Fund History'!$D$1090:$D$1094,"&lt;="&amp;DATE(YEAR_Y-2,12,31)))))</f>
        <v/>
      </c>
      <c r="AT191" s="140">
        <f>IF($C191="","",IF(PULL_FUND="N","",IF(COUNTIFS('Fund History'!$D$1090:$D$1094,"&gt;="&amp;DATE(YEAR_Y-1,1,1),'Fund History'!$D$1090:$D$1094,"&lt;="&amp;DATE(YEAR_Y-1,12,31))=0,"",SUMIFS('Fund History'!$E$1090:$E$1094,'Fund History'!$D$1090:$D$1094,"&gt;="&amp;DATE(YEAR_Y-1,1,1),'Fund History'!$D$1090:$D$1094,"&lt;="&amp;DATE(YEAR_Y-1,12,31)))))</f>
        <v/>
      </c>
      <c r="AU191" s="140">
        <f>IF($C191="","",IF(PULL_FUND="N","",IFERROR(BDP($C191,NDEBITDA_FIELD),"")))</f>
        <v/>
      </c>
      <c r="AV191" s="148">
        <f>IF($C191="","",IF(PULL_FUND="N","",IFERROR(BDP($C191,EBINT_FIELD),"")))</f>
        <v/>
      </c>
      <c r="AW191" s="146">
        <f>IF($C191="","",IF(PULL_FUND="N","",IFERROR(BDP($C191,FCF_FIELD)/100,"")))</f>
        <v/>
      </c>
      <c r="AX191" s="126">
        <f>IF($C191="","",IF(N($U191)=0,"",IFERROR($AW191/$U191,"")))</f>
        <v/>
      </c>
      <c r="AY191" s="85">
        <f>IF($C191="","",TRIM(IF(ISNUMBER($AJ191)*(N($AJ191)&gt;$D$4)&gt;0,"payout high  ","")&amp;IF(ISNUMBER($AX191)*(N($AX191)&lt;$F$4)&gt;0,"FCF below dvd  ","")&amp;IF(ISNUMBER($AU191)*(N($AU191)&gt;$H$4)&gt;0,"leverage high","")))</f>
        <v/>
      </c>
      <c r="AZ191" s="86">
        <f>IF($C191="","",IF(HSCEI!$F$46="HKD","",HSCEI!$F$46))</f>
        <v/>
      </c>
    </row>
    <row r="192">
      <c r="B192" s="66" t="inlineStr">
        <is>
          <t>HSCEI</t>
        </is>
      </c>
      <c r="C192" s="8">
        <f>IF(HSCEI!$C$47="","",HSCEI!$C$47)</f>
        <v/>
      </c>
      <c r="D192" s="8">
        <f>IF($C192="","",HSCEI!$D$47)</f>
        <v/>
      </c>
      <c r="E192" s="8">
        <f>IF($C192="","",HSCEI!$E$47)</f>
        <v/>
      </c>
      <c r="F192" s="131">
        <f>IF($C192="","",SUMPRODUCT(('Dvd Calendar'!$E$2001:$AR$2001&gt;=DATE(YEAR_Y-5,1,1))*('Dvd Calendar'!$E$2001:$AR$2001&lt;=DATE(YEAR_Y-5,12,31))*'Dvd Calendar'!$E$2004:$AR$2004*(('Dvd Calendar'!$E$2006:$AR$2006=TYPE1)*(TYPE1&lt;&gt;"")+('Dvd Calendar'!$E$2006:$AR$2006=TYPE2)*(TYPE2&lt;&gt;"")+('Dvd Calendar'!$E$2006:$AR$2006=TYPE3)*(TYPE3&lt;&gt;"")+('Dvd Calendar'!$E$2006:$AR$2006=TYPE4)*(TYPE4&lt;&gt;"")+('Dvd Calendar'!$E$2006:$AR$2006=SPECIAL_LBL)*(INC_SPECIALS="Y"))))</f>
        <v/>
      </c>
      <c r="G192" s="132">
        <f>IF($C192="","",SUMPRODUCT(('Dvd Calendar'!$E$2001:$AR$2001&gt;=DATE(YEAR_Y-4,1,1))*('Dvd Calendar'!$E$2001:$AR$2001&lt;=DATE(YEAR_Y-4,12,31))*'Dvd Calendar'!$E$2004:$AR$2004*(('Dvd Calendar'!$E$2006:$AR$2006=TYPE1)*(TYPE1&lt;&gt;"")+('Dvd Calendar'!$E$2006:$AR$2006=TYPE2)*(TYPE2&lt;&gt;"")+('Dvd Calendar'!$E$2006:$AR$2006=TYPE3)*(TYPE3&lt;&gt;"")+('Dvd Calendar'!$E$2006:$AR$2006=TYPE4)*(TYPE4&lt;&gt;"")+('Dvd Calendar'!$E$2006:$AR$2006=SPECIAL_LBL)*(INC_SPECIALS="Y"))))</f>
        <v/>
      </c>
      <c r="H192" s="132">
        <f>IF($C192="","",SUMPRODUCT(('Dvd Calendar'!$E$2001:$AR$2001&gt;=DATE(YEAR_Y-3,1,1))*('Dvd Calendar'!$E$2001:$AR$2001&lt;=DATE(YEAR_Y-3,12,31))*'Dvd Calendar'!$E$2004:$AR$2004*(('Dvd Calendar'!$E$2006:$AR$2006=TYPE1)*(TYPE1&lt;&gt;"")+('Dvd Calendar'!$E$2006:$AR$2006=TYPE2)*(TYPE2&lt;&gt;"")+('Dvd Calendar'!$E$2006:$AR$2006=TYPE3)*(TYPE3&lt;&gt;"")+('Dvd Calendar'!$E$2006:$AR$2006=TYPE4)*(TYPE4&lt;&gt;"")+('Dvd Calendar'!$E$2006:$AR$2006=SPECIAL_LBL)*(INC_SPECIALS="Y"))))</f>
        <v/>
      </c>
      <c r="I192" s="132">
        <f>IF($C192="","",SUMPRODUCT(('Dvd Calendar'!$E$2001:$AR$2001&gt;=DATE(YEAR_Y-2,1,1))*('Dvd Calendar'!$E$2001:$AR$2001&lt;=DATE(YEAR_Y-2,12,31))*'Dvd Calendar'!$E$2004:$AR$2004*(('Dvd Calendar'!$E$2006:$AR$2006=TYPE1)*(TYPE1&lt;&gt;"")+('Dvd Calendar'!$E$2006:$AR$2006=TYPE2)*(TYPE2&lt;&gt;"")+('Dvd Calendar'!$E$2006:$AR$2006=TYPE3)*(TYPE3&lt;&gt;"")+('Dvd Calendar'!$E$2006:$AR$2006=TYPE4)*(TYPE4&lt;&gt;"")+('Dvd Calendar'!$E$2006:$AR$2006=SPECIAL_LBL)*(INC_SPECIALS="Y"))))</f>
        <v/>
      </c>
      <c r="J192" s="132">
        <f>IF($C192="","",SUMPRODUCT(('Dvd Calendar'!$E$2001:$AR$2001&gt;=DATE(YEAR_Y-1,1,1))*('Dvd Calendar'!$E$2001:$AR$2001&lt;=DATE(YEAR_Y-1,12,31))*'Dvd Calendar'!$E$2004:$AR$2004*(('Dvd Calendar'!$E$2006:$AR$2006=TYPE1)*(TYPE1&lt;&gt;"")+('Dvd Calendar'!$E$2006:$AR$2006=TYPE2)*(TYPE2&lt;&gt;"")+('Dvd Calendar'!$E$2006:$AR$2006=TYPE3)*(TYPE3&lt;&gt;"")+('Dvd Calendar'!$E$2006:$AR$2006=TYPE4)*(TYPE4&lt;&gt;"")+('Dvd Calendar'!$E$2006:$AR$2006=SPECIAL_LBL)*(INC_SPECIALS="Y"))))</f>
        <v/>
      </c>
      <c r="K192" s="133">
        <f>IF($C192="","",HSCEI!$J$47)</f>
        <v/>
      </c>
      <c r="L192" s="133">
        <f>IF($C192="","",HSCEI!$K$47)</f>
        <v/>
      </c>
      <c r="M192" s="124">
        <f>IF($C192="","",HSCEI!$J$47+HSCEI!$L$47)</f>
        <v/>
      </c>
      <c r="N192" s="134">
        <f>IF($C192="","",IF(PULL_FUND="N","",IFERROR(BDP($C192,BESTDPS_FIELD,FWD_OVERRIDE,TEXT(MOD(YEAR_Y,100),"00")&amp;"Y"),"")))</f>
        <v/>
      </c>
      <c r="O192" s="133">
        <f>IF($C192="","",AVERAGE(F192:J192))</f>
        <v/>
      </c>
      <c r="P192" s="135">
        <f>IF($C192="","",IF(PULL_FUND="N","",IF(COUNTIFS('Fund History'!$J$1096:$J$1100,"&gt;="&amp;DATE(YEAR_Y-5,1,1),'Fund History'!$J$1096:$J$1100,"&lt;="&amp;DATE(YEAR_Y-5,12,31))=0,"",IFERROR($F192*HSCEI!$G$47/SUMIFS('Fund History'!$K$1096:$K$1100,'Fund History'!$J$1096:$J$1100,"&gt;="&amp;DATE(YEAR_Y-5,1,1),'Fund History'!$J$1096:$J$1100,"&lt;="&amp;DATE(YEAR_Y-5,12,31)),""))))</f>
        <v/>
      </c>
      <c r="Q192" s="136">
        <f>IF($C192="","",IF(PULL_FUND="N","",IF(COUNTIFS('Fund History'!$J$1096:$J$1100,"&gt;="&amp;DATE(YEAR_Y-4,1,1),'Fund History'!$J$1096:$J$1100,"&lt;="&amp;DATE(YEAR_Y-4,12,31))=0,"",IFERROR($G192*HSCEI!$G$47/SUMIFS('Fund History'!$K$1096:$K$1100,'Fund History'!$J$1096:$J$1100,"&gt;="&amp;DATE(YEAR_Y-4,1,1),'Fund History'!$J$1096:$J$1100,"&lt;="&amp;DATE(YEAR_Y-4,12,31)),""))))</f>
        <v/>
      </c>
      <c r="R192" s="136">
        <f>IF($C192="","",IF(PULL_FUND="N","",IF(COUNTIFS('Fund History'!$J$1096:$J$1100,"&gt;="&amp;DATE(YEAR_Y-3,1,1),'Fund History'!$J$1096:$J$1100,"&lt;="&amp;DATE(YEAR_Y-3,12,31))=0,"",IFERROR($H192*HSCEI!$G$47/SUMIFS('Fund History'!$K$1096:$K$1100,'Fund History'!$J$1096:$J$1100,"&gt;="&amp;DATE(YEAR_Y-3,1,1),'Fund History'!$J$1096:$J$1100,"&lt;="&amp;DATE(YEAR_Y-3,12,31)),""))))</f>
        <v/>
      </c>
      <c r="S192" s="136">
        <f>IF($C192="","",IF(PULL_FUND="N","",IF(COUNTIFS('Fund History'!$J$1096:$J$1100,"&gt;="&amp;DATE(YEAR_Y-2,1,1),'Fund History'!$J$1096:$J$1100,"&lt;="&amp;DATE(YEAR_Y-2,12,31))=0,"",IFERROR($I192*HSCEI!$G$47/SUMIFS('Fund History'!$K$1096:$K$1100,'Fund History'!$J$1096:$J$1100,"&gt;="&amp;DATE(YEAR_Y-2,1,1),'Fund History'!$J$1096:$J$1100,"&lt;="&amp;DATE(YEAR_Y-2,12,31)),""))))</f>
        <v/>
      </c>
      <c r="T192" s="136">
        <f>IF($C192="","",IF(PULL_FUND="N","",IF(COUNTIFS('Fund History'!$J$1096:$J$1100,"&gt;="&amp;DATE(YEAR_Y-1,1,1),'Fund History'!$J$1096:$J$1100,"&lt;="&amp;DATE(YEAR_Y-1,12,31))=0,"",IFERROR($J192*HSCEI!$G$47/SUMIFS('Fund History'!$K$1096:$K$1100,'Fund History'!$J$1096:$J$1100,"&gt;="&amp;DATE(YEAR_Y-1,1,1),'Fund History'!$J$1096:$J$1100,"&lt;="&amp;DATE(YEAR_Y-1,12,31)),""))))</f>
        <v/>
      </c>
      <c r="U192" s="137">
        <f>IF($C192="","",IF(ISNUMBER(HSCEI!$I$47),HSCEI!$I$47/100,""))</f>
        <v/>
      </c>
      <c r="V192" s="138">
        <f>IF($C192="","",IF(ISNUMBER(HSCEI!$X$47),IFERROR($M192*HSCEI!$G$47/HSCEI!$X$47,""),""))</f>
        <v/>
      </c>
      <c r="W192" s="137">
        <f>IF($C192="","",IF(ISNUMBER($N192),IFERROR($N192*HSCEI!$G$47/HSCEI!$X$47,""),""))</f>
        <v/>
      </c>
      <c r="X192" s="139">
        <f>IF($C192="","",IF(PULL_FUND="N","",IFERROR(BDP($C192,EPS_FIELD,YR_OVERRIDE,TEXT(YEAR_Y-5,"0")),"")))</f>
        <v/>
      </c>
      <c r="Y192" s="140">
        <f>IF($C192="","",IF(PULL_FUND="N","",IFERROR(BDP($C192,EPS_FIELD,YR_OVERRIDE,TEXT(YEAR_Y-4,"0")),"")))</f>
        <v/>
      </c>
      <c r="Z192" s="140">
        <f>IF($C192="","",IF(PULL_FUND="N","",IFERROR(BDP($C192,EPS_FIELD,YR_OVERRIDE,TEXT(YEAR_Y-3,"0")),"")))</f>
        <v/>
      </c>
      <c r="AA192" s="140">
        <f>IF($C192="","",IF(PULL_FUND="N","",IFERROR(BDP($C192,EPS_FIELD,YR_OVERRIDE,TEXT(YEAR_Y-2,"0")),"")))</f>
        <v/>
      </c>
      <c r="AB192" s="140">
        <f>IF($C192="","",IF(PULL_FUND="N","",IFERROR(BDP($C192,EPS_FIELD,YR_OVERRIDE,TEXT(YEAR_Y-1,"0")),"")))</f>
        <v/>
      </c>
      <c r="AC192" s="126">
        <f>IF($C192="","",IFERROR(AVERAGE(X192:AB192),""))</f>
        <v/>
      </c>
      <c r="AD192" s="140">
        <f>IF($C192="","",IF(PULL_FUND="N","",IFERROR(BDP($C192,BESTEPS_FIELD,FWD_OVERRIDE,TEXT(MOD(YEAR_Y,100),"00")&amp;"Y"),"")))</f>
        <v/>
      </c>
      <c r="AE192" s="141">
        <f>IF($C192="","",IF(PULL_FUND="N","",IFERROR(BDP($C192,PAYOUT_FIELD,YR_OVERRIDE,TEXT(YEAR_Y-5,"0"))/100,"")))</f>
        <v/>
      </c>
      <c r="AF192" s="142">
        <f>IF($C192="","",IF(PULL_FUND="N","",IFERROR(BDP($C192,PAYOUT_FIELD,YR_OVERRIDE,TEXT(YEAR_Y-4,"0"))/100,"")))</f>
        <v/>
      </c>
      <c r="AG192" s="142">
        <f>IF($C192="","",IF(PULL_FUND="N","",IFERROR(BDP($C192,PAYOUT_FIELD,YR_OVERRIDE,TEXT(YEAR_Y-3,"0"))/100,"")))</f>
        <v/>
      </c>
      <c r="AH192" s="142">
        <f>IF($C192="","",IF(PULL_FUND="N","",IFERROR(BDP($C192,PAYOUT_FIELD,YR_OVERRIDE,TEXT(YEAR_Y-2,"0"))/100,"")))</f>
        <v/>
      </c>
      <c r="AI192" s="142">
        <f>IF($C192="","",IF(PULL_FUND="N","",IFERROR(BDP($C192,PAYOUT_FIELD,YR_OVERRIDE,TEXT(YEAR_Y-1,"0"))/100,"")))</f>
        <v/>
      </c>
      <c r="AJ192" s="143">
        <f>IF($C192="","",IFERROR(AVERAGE(AE192:AI192),""))</f>
        <v/>
      </c>
      <c r="AK192" s="144">
        <f>IF($C192="","",IF(ISNUMBER($AD192)*ISNUMBER($N192)*($AD192&lt;&gt;0)=0,"",$N192/$AD192))</f>
        <v/>
      </c>
      <c r="AL192" s="143">
        <f>IF($C192="","",IF(ISNUMBER($AD192)*($AD192&lt;&gt;0)=0,"",$M192/$AD192))</f>
        <v/>
      </c>
      <c r="AM192" s="37">
        <f>IF($C192="","",IF(ISNUMBER($AE192)*ISNUMBER($AI192)=0,"",IF($AI192&gt;$AE192+0.05,"rising",IF($AI192&lt;$AE192-0.05,"falling","stable"))))</f>
        <v/>
      </c>
      <c r="AN192" s="145">
        <f>IF($C192="","",IF(PULL_FUND="N","",IF(COUNTIFS('Fund History'!$G$1096:$G$1100,"&gt;="&amp;DATE(YEAR_Y-4,1,1),'Fund History'!$G$1096:$G$1100,"&lt;="&amp;DATE(YEAR_Y-4,12,31))=0,"",SUMIFS('Fund History'!$H$1096:$H$1100,'Fund History'!$G$1096:$G$1100,"&gt;="&amp;DATE(YEAR_Y-4,1,1),'Fund History'!$G$1096:$G$1100,"&lt;="&amp;DATE(YEAR_Y-4,12,31))/100)))</f>
        <v/>
      </c>
      <c r="AO192" s="146">
        <f>IF($C192="","",IF(PULL_FUND="N","",IF(COUNTIFS('Fund History'!$G$1096:$G$1100,"&gt;="&amp;DATE(YEAR_Y-3,1,1),'Fund History'!$G$1096:$G$1100,"&lt;="&amp;DATE(YEAR_Y-3,12,31))=0,"",SUMIFS('Fund History'!$H$1096:$H$1100,'Fund History'!$G$1096:$G$1100,"&gt;="&amp;DATE(YEAR_Y-3,1,1),'Fund History'!$G$1096:$G$1100,"&lt;="&amp;DATE(YEAR_Y-3,12,31))/100)))</f>
        <v/>
      </c>
      <c r="AP192" s="146">
        <f>IF($C192="","",IF(PULL_FUND="N","",IF(COUNTIFS('Fund History'!$G$1096:$G$1100,"&gt;="&amp;DATE(YEAR_Y-2,1,1),'Fund History'!$G$1096:$G$1100,"&lt;="&amp;DATE(YEAR_Y-2,12,31))=0,"",SUMIFS('Fund History'!$H$1096:$H$1100,'Fund History'!$G$1096:$G$1100,"&gt;="&amp;DATE(YEAR_Y-2,1,1),'Fund History'!$G$1096:$G$1100,"&lt;="&amp;DATE(YEAR_Y-2,12,31))/100)))</f>
        <v/>
      </c>
      <c r="AQ192" s="146">
        <f>IF($C192="","",IF(PULL_FUND="N","",IF(COUNTIFS('Fund History'!$G$1096:$G$1100,"&gt;="&amp;DATE(YEAR_Y-1,1,1),'Fund History'!$G$1096:$G$1100,"&lt;="&amp;DATE(YEAR_Y-1,12,31))=0,"",SUMIFS('Fund History'!$H$1096:$H$1100,'Fund History'!$G$1096:$G$1100,"&gt;="&amp;DATE(YEAR_Y-1,1,1),'Fund History'!$G$1096:$G$1100,"&lt;="&amp;DATE(YEAR_Y-1,12,31))/100)))</f>
        <v/>
      </c>
      <c r="AR192" s="147">
        <f>IF($C192="","",IF(N($AQ192)+N(HSCEI!$I$47)=0,"",N($AQ192)+N(HSCEI!$I$47)/100))</f>
        <v/>
      </c>
      <c r="AS192" s="139">
        <f>IF($C192="","",IF(PULL_FUND="N","",IF(COUNTIFS('Fund History'!$D$1096:$D$1100,"&gt;="&amp;DATE(YEAR_Y-2,1,1),'Fund History'!$D$1096:$D$1100,"&lt;="&amp;DATE(YEAR_Y-2,12,31))=0,"",SUMIFS('Fund History'!$E$1096:$E$1100,'Fund History'!$D$1096:$D$1100,"&gt;="&amp;DATE(YEAR_Y-2,1,1),'Fund History'!$D$1096:$D$1100,"&lt;="&amp;DATE(YEAR_Y-2,12,31)))))</f>
        <v/>
      </c>
      <c r="AT192" s="140">
        <f>IF($C192="","",IF(PULL_FUND="N","",IF(COUNTIFS('Fund History'!$D$1096:$D$1100,"&gt;="&amp;DATE(YEAR_Y-1,1,1),'Fund History'!$D$1096:$D$1100,"&lt;="&amp;DATE(YEAR_Y-1,12,31))=0,"",SUMIFS('Fund History'!$E$1096:$E$1100,'Fund History'!$D$1096:$D$1100,"&gt;="&amp;DATE(YEAR_Y-1,1,1),'Fund History'!$D$1096:$D$1100,"&lt;="&amp;DATE(YEAR_Y-1,12,31)))))</f>
        <v/>
      </c>
      <c r="AU192" s="140">
        <f>IF($C192="","",IF(PULL_FUND="N","",IFERROR(BDP($C192,NDEBITDA_FIELD),"")))</f>
        <v/>
      </c>
      <c r="AV192" s="148">
        <f>IF($C192="","",IF(PULL_FUND="N","",IFERROR(BDP($C192,EBINT_FIELD),"")))</f>
        <v/>
      </c>
      <c r="AW192" s="146">
        <f>IF($C192="","",IF(PULL_FUND="N","",IFERROR(BDP($C192,FCF_FIELD)/100,"")))</f>
        <v/>
      </c>
      <c r="AX192" s="126">
        <f>IF($C192="","",IF(N($U192)=0,"",IFERROR($AW192/$U192,"")))</f>
        <v/>
      </c>
      <c r="AY192" s="85">
        <f>IF($C192="","",TRIM(IF(ISNUMBER($AJ192)*(N($AJ192)&gt;$D$4)&gt;0,"payout high  ","")&amp;IF(ISNUMBER($AX192)*(N($AX192)&lt;$F$4)&gt;0,"FCF below dvd  ","")&amp;IF(ISNUMBER($AU192)*(N($AU192)&gt;$H$4)&gt;0,"leverage high","")))</f>
        <v/>
      </c>
      <c r="AZ192" s="86">
        <f>IF($C192="","",IF(HSCEI!$F$47="HKD","",HSCEI!$F$47))</f>
        <v/>
      </c>
    </row>
    <row r="193">
      <c r="B193" s="66" t="inlineStr">
        <is>
          <t>HSCEI</t>
        </is>
      </c>
      <c r="C193" s="8">
        <f>IF(HSCEI!$C$48="","",HSCEI!$C$48)</f>
        <v/>
      </c>
      <c r="D193" s="8">
        <f>IF($C193="","",HSCEI!$D$48)</f>
        <v/>
      </c>
      <c r="E193" s="8">
        <f>IF($C193="","",HSCEI!$E$48)</f>
        <v/>
      </c>
      <c r="F193" s="131">
        <f>IF($C193="","",SUMPRODUCT(('Dvd Calendar'!$E$2012:$AR$2012&gt;=DATE(YEAR_Y-5,1,1))*('Dvd Calendar'!$E$2012:$AR$2012&lt;=DATE(YEAR_Y-5,12,31))*'Dvd Calendar'!$E$2015:$AR$2015*(('Dvd Calendar'!$E$2017:$AR$2017=TYPE1)*(TYPE1&lt;&gt;"")+('Dvd Calendar'!$E$2017:$AR$2017=TYPE2)*(TYPE2&lt;&gt;"")+('Dvd Calendar'!$E$2017:$AR$2017=TYPE3)*(TYPE3&lt;&gt;"")+('Dvd Calendar'!$E$2017:$AR$2017=TYPE4)*(TYPE4&lt;&gt;"")+('Dvd Calendar'!$E$2017:$AR$2017=SPECIAL_LBL)*(INC_SPECIALS="Y"))))</f>
        <v/>
      </c>
      <c r="G193" s="132">
        <f>IF($C193="","",SUMPRODUCT(('Dvd Calendar'!$E$2012:$AR$2012&gt;=DATE(YEAR_Y-4,1,1))*('Dvd Calendar'!$E$2012:$AR$2012&lt;=DATE(YEAR_Y-4,12,31))*'Dvd Calendar'!$E$2015:$AR$2015*(('Dvd Calendar'!$E$2017:$AR$2017=TYPE1)*(TYPE1&lt;&gt;"")+('Dvd Calendar'!$E$2017:$AR$2017=TYPE2)*(TYPE2&lt;&gt;"")+('Dvd Calendar'!$E$2017:$AR$2017=TYPE3)*(TYPE3&lt;&gt;"")+('Dvd Calendar'!$E$2017:$AR$2017=TYPE4)*(TYPE4&lt;&gt;"")+('Dvd Calendar'!$E$2017:$AR$2017=SPECIAL_LBL)*(INC_SPECIALS="Y"))))</f>
        <v/>
      </c>
      <c r="H193" s="132">
        <f>IF($C193="","",SUMPRODUCT(('Dvd Calendar'!$E$2012:$AR$2012&gt;=DATE(YEAR_Y-3,1,1))*('Dvd Calendar'!$E$2012:$AR$2012&lt;=DATE(YEAR_Y-3,12,31))*'Dvd Calendar'!$E$2015:$AR$2015*(('Dvd Calendar'!$E$2017:$AR$2017=TYPE1)*(TYPE1&lt;&gt;"")+('Dvd Calendar'!$E$2017:$AR$2017=TYPE2)*(TYPE2&lt;&gt;"")+('Dvd Calendar'!$E$2017:$AR$2017=TYPE3)*(TYPE3&lt;&gt;"")+('Dvd Calendar'!$E$2017:$AR$2017=TYPE4)*(TYPE4&lt;&gt;"")+('Dvd Calendar'!$E$2017:$AR$2017=SPECIAL_LBL)*(INC_SPECIALS="Y"))))</f>
        <v/>
      </c>
      <c r="I193" s="132">
        <f>IF($C193="","",SUMPRODUCT(('Dvd Calendar'!$E$2012:$AR$2012&gt;=DATE(YEAR_Y-2,1,1))*('Dvd Calendar'!$E$2012:$AR$2012&lt;=DATE(YEAR_Y-2,12,31))*'Dvd Calendar'!$E$2015:$AR$2015*(('Dvd Calendar'!$E$2017:$AR$2017=TYPE1)*(TYPE1&lt;&gt;"")+('Dvd Calendar'!$E$2017:$AR$2017=TYPE2)*(TYPE2&lt;&gt;"")+('Dvd Calendar'!$E$2017:$AR$2017=TYPE3)*(TYPE3&lt;&gt;"")+('Dvd Calendar'!$E$2017:$AR$2017=TYPE4)*(TYPE4&lt;&gt;"")+('Dvd Calendar'!$E$2017:$AR$2017=SPECIAL_LBL)*(INC_SPECIALS="Y"))))</f>
        <v/>
      </c>
      <c r="J193" s="132">
        <f>IF($C193="","",SUMPRODUCT(('Dvd Calendar'!$E$2012:$AR$2012&gt;=DATE(YEAR_Y-1,1,1))*('Dvd Calendar'!$E$2012:$AR$2012&lt;=DATE(YEAR_Y-1,12,31))*'Dvd Calendar'!$E$2015:$AR$2015*(('Dvd Calendar'!$E$2017:$AR$2017=TYPE1)*(TYPE1&lt;&gt;"")+('Dvd Calendar'!$E$2017:$AR$2017=TYPE2)*(TYPE2&lt;&gt;"")+('Dvd Calendar'!$E$2017:$AR$2017=TYPE3)*(TYPE3&lt;&gt;"")+('Dvd Calendar'!$E$2017:$AR$2017=TYPE4)*(TYPE4&lt;&gt;"")+('Dvd Calendar'!$E$2017:$AR$2017=SPECIAL_LBL)*(INC_SPECIALS="Y"))))</f>
        <v/>
      </c>
      <c r="K193" s="133">
        <f>IF($C193="","",HSCEI!$J$48)</f>
        <v/>
      </c>
      <c r="L193" s="133">
        <f>IF($C193="","",HSCEI!$K$48)</f>
        <v/>
      </c>
      <c r="M193" s="124">
        <f>IF($C193="","",HSCEI!$J$48+HSCEI!$L$48)</f>
        <v/>
      </c>
      <c r="N193" s="134">
        <f>IF($C193="","",IF(PULL_FUND="N","",IFERROR(BDP($C193,BESTDPS_FIELD,FWD_OVERRIDE,TEXT(MOD(YEAR_Y,100),"00")&amp;"Y"),"")))</f>
        <v/>
      </c>
      <c r="O193" s="133">
        <f>IF($C193="","",AVERAGE(F193:J193))</f>
        <v/>
      </c>
      <c r="P193" s="135">
        <f>IF($C193="","",IF(PULL_FUND="N","",IF(COUNTIFS('Fund History'!$J$1102:$J$1106,"&gt;="&amp;DATE(YEAR_Y-5,1,1),'Fund History'!$J$1102:$J$1106,"&lt;="&amp;DATE(YEAR_Y-5,12,31))=0,"",IFERROR($F193*HSCEI!$G$48/SUMIFS('Fund History'!$K$1102:$K$1106,'Fund History'!$J$1102:$J$1106,"&gt;="&amp;DATE(YEAR_Y-5,1,1),'Fund History'!$J$1102:$J$1106,"&lt;="&amp;DATE(YEAR_Y-5,12,31)),""))))</f>
        <v/>
      </c>
      <c r="Q193" s="136">
        <f>IF($C193="","",IF(PULL_FUND="N","",IF(COUNTIFS('Fund History'!$J$1102:$J$1106,"&gt;="&amp;DATE(YEAR_Y-4,1,1),'Fund History'!$J$1102:$J$1106,"&lt;="&amp;DATE(YEAR_Y-4,12,31))=0,"",IFERROR($G193*HSCEI!$G$48/SUMIFS('Fund History'!$K$1102:$K$1106,'Fund History'!$J$1102:$J$1106,"&gt;="&amp;DATE(YEAR_Y-4,1,1),'Fund History'!$J$1102:$J$1106,"&lt;="&amp;DATE(YEAR_Y-4,12,31)),""))))</f>
        <v/>
      </c>
      <c r="R193" s="136">
        <f>IF($C193="","",IF(PULL_FUND="N","",IF(COUNTIFS('Fund History'!$J$1102:$J$1106,"&gt;="&amp;DATE(YEAR_Y-3,1,1),'Fund History'!$J$1102:$J$1106,"&lt;="&amp;DATE(YEAR_Y-3,12,31))=0,"",IFERROR($H193*HSCEI!$G$48/SUMIFS('Fund History'!$K$1102:$K$1106,'Fund History'!$J$1102:$J$1106,"&gt;="&amp;DATE(YEAR_Y-3,1,1),'Fund History'!$J$1102:$J$1106,"&lt;="&amp;DATE(YEAR_Y-3,12,31)),""))))</f>
        <v/>
      </c>
      <c r="S193" s="136">
        <f>IF($C193="","",IF(PULL_FUND="N","",IF(COUNTIFS('Fund History'!$J$1102:$J$1106,"&gt;="&amp;DATE(YEAR_Y-2,1,1),'Fund History'!$J$1102:$J$1106,"&lt;="&amp;DATE(YEAR_Y-2,12,31))=0,"",IFERROR($I193*HSCEI!$G$48/SUMIFS('Fund History'!$K$1102:$K$1106,'Fund History'!$J$1102:$J$1106,"&gt;="&amp;DATE(YEAR_Y-2,1,1),'Fund History'!$J$1102:$J$1106,"&lt;="&amp;DATE(YEAR_Y-2,12,31)),""))))</f>
        <v/>
      </c>
      <c r="T193" s="136">
        <f>IF($C193="","",IF(PULL_FUND="N","",IF(COUNTIFS('Fund History'!$J$1102:$J$1106,"&gt;="&amp;DATE(YEAR_Y-1,1,1),'Fund History'!$J$1102:$J$1106,"&lt;="&amp;DATE(YEAR_Y-1,12,31))=0,"",IFERROR($J193*HSCEI!$G$48/SUMIFS('Fund History'!$K$1102:$K$1106,'Fund History'!$J$1102:$J$1106,"&gt;="&amp;DATE(YEAR_Y-1,1,1),'Fund History'!$J$1102:$J$1106,"&lt;="&amp;DATE(YEAR_Y-1,12,31)),""))))</f>
        <v/>
      </c>
      <c r="U193" s="137">
        <f>IF($C193="","",IF(ISNUMBER(HSCEI!$I$48),HSCEI!$I$48/100,""))</f>
        <v/>
      </c>
      <c r="V193" s="138">
        <f>IF($C193="","",IF(ISNUMBER(HSCEI!$X$48),IFERROR($M193*HSCEI!$G$48/HSCEI!$X$48,""),""))</f>
        <v/>
      </c>
      <c r="W193" s="137">
        <f>IF($C193="","",IF(ISNUMBER($N193),IFERROR($N193*HSCEI!$G$48/HSCEI!$X$48,""),""))</f>
        <v/>
      </c>
      <c r="X193" s="139">
        <f>IF($C193="","",IF(PULL_FUND="N","",IFERROR(BDP($C193,EPS_FIELD,YR_OVERRIDE,TEXT(YEAR_Y-5,"0")),"")))</f>
        <v/>
      </c>
      <c r="Y193" s="140">
        <f>IF($C193="","",IF(PULL_FUND="N","",IFERROR(BDP($C193,EPS_FIELD,YR_OVERRIDE,TEXT(YEAR_Y-4,"0")),"")))</f>
        <v/>
      </c>
      <c r="Z193" s="140">
        <f>IF($C193="","",IF(PULL_FUND="N","",IFERROR(BDP($C193,EPS_FIELD,YR_OVERRIDE,TEXT(YEAR_Y-3,"0")),"")))</f>
        <v/>
      </c>
      <c r="AA193" s="140">
        <f>IF($C193="","",IF(PULL_FUND="N","",IFERROR(BDP($C193,EPS_FIELD,YR_OVERRIDE,TEXT(YEAR_Y-2,"0")),"")))</f>
        <v/>
      </c>
      <c r="AB193" s="140">
        <f>IF($C193="","",IF(PULL_FUND="N","",IFERROR(BDP($C193,EPS_FIELD,YR_OVERRIDE,TEXT(YEAR_Y-1,"0")),"")))</f>
        <v/>
      </c>
      <c r="AC193" s="126">
        <f>IF($C193="","",IFERROR(AVERAGE(X193:AB193),""))</f>
        <v/>
      </c>
      <c r="AD193" s="140">
        <f>IF($C193="","",IF(PULL_FUND="N","",IFERROR(BDP($C193,BESTEPS_FIELD,FWD_OVERRIDE,TEXT(MOD(YEAR_Y,100),"00")&amp;"Y"),"")))</f>
        <v/>
      </c>
      <c r="AE193" s="141">
        <f>IF($C193="","",IF(PULL_FUND="N","",IFERROR(BDP($C193,PAYOUT_FIELD,YR_OVERRIDE,TEXT(YEAR_Y-5,"0"))/100,"")))</f>
        <v/>
      </c>
      <c r="AF193" s="142">
        <f>IF($C193="","",IF(PULL_FUND="N","",IFERROR(BDP($C193,PAYOUT_FIELD,YR_OVERRIDE,TEXT(YEAR_Y-4,"0"))/100,"")))</f>
        <v/>
      </c>
      <c r="AG193" s="142">
        <f>IF($C193="","",IF(PULL_FUND="N","",IFERROR(BDP($C193,PAYOUT_FIELD,YR_OVERRIDE,TEXT(YEAR_Y-3,"0"))/100,"")))</f>
        <v/>
      </c>
      <c r="AH193" s="142">
        <f>IF($C193="","",IF(PULL_FUND="N","",IFERROR(BDP($C193,PAYOUT_FIELD,YR_OVERRIDE,TEXT(YEAR_Y-2,"0"))/100,"")))</f>
        <v/>
      </c>
      <c r="AI193" s="142">
        <f>IF($C193="","",IF(PULL_FUND="N","",IFERROR(BDP($C193,PAYOUT_FIELD,YR_OVERRIDE,TEXT(YEAR_Y-1,"0"))/100,"")))</f>
        <v/>
      </c>
      <c r="AJ193" s="143">
        <f>IF($C193="","",IFERROR(AVERAGE(AE193:AI193),""))</f>
        <v/>
      </c>
      <c r="AK193" s="144">
        <f>IF($C193="","",IF(ISNUMBER($AD193)*ISNUMBER($N193)*($AD193&lt;&gt;0)=0,"",$N193/$AD193))</f>
        <v/>
      </c>
      <c r="AL193" s="143">
        <f>IF($C193="","",IF(ISNUMBER($AD193)*($AD193&lt;&gt;0)=0,"",$M193/$AD193))</f>
        <v/>
      </c>
      <c r="AM193" s="37">
        <f>IF($C193="","",IF(ISNUMBER($AE193)*ISNUMBER($AI193)=0,"",IF($AI193&gt;$AE193+0.05,"rising",IF($AI193&lt;$AE193-0.05,"falling","stable"))))</f>
        <v/>
      </c>
      <c r="AN193" s="145">
        <f>IF($C193="","",IF(PULL_FUND="N","",IF(COUNTIFS('Fund History'!$G$1102:$G$1106,"&gt;="&amp;DATE(YEAR_Y-4,1,1),'Fund History'!$G$1102:$G$1106,"&lt;="&amp;DATE(YEAR_Y-4,12,31))=0,"",SUMIFS('Fund History'!$H$1102:$H$1106,'Fund History'!$G$1102:$G$1106,"&gt;="&amp;DATE(YEAR_Y-4,1,1),'Fund History'!$G$1102:$G$1106,"&lt;="&amp;DATE(YEAR_Y-4,12,31))/100)))</f>
        <v/>
      </c>
      <c r="AO193" s="146">
        <f>IF($C193="","",IF(PULL_FUND="N","",IF(COUNTIFS('Fund History'!$G$1102:$G$1106,"&gt;="&amp;DATE(YEAR_Y-3,1,1),'Fund History'!$G$1102:$G$1106,"&lt;="&amp;DATE(YEAR_Y-3,12,31))=0,"",SUMIFS('Fund History'!$H$1102:$H$1106,'Fund History'!$G$1102:$G$1106,"&gt;="&amp;DATE(YEAR_Y-3,1,1),'Fund History'!$G$1102:$G$1106,"&lt;="&amp;DATE(YEAR_Y-3,12,31))/100)))</f>
        <v/>
      </c>
      <c r="AP193" s="146">
        <f>IF($C193="","",IF(PULL_FUND="N","",IF(COUNTIFS('Fund History'!$G$1102:$G$1106,"&gt;="&amp;DATE(YEAR_Y-2,1,1),'Fund History'!$G$1102:$G$1106,"&lt;="&amp;DATE(YEAR_Y-2,12,31))=0,"",SUMIFS('Fund History'!$H$1102:$H$1106,'Fund History'!$G$1102:$G$1106,"&gt;="&amp;DATE(YEAR_Y-2,1,1),'Fund History'!$G$1102:$G$1106,"&lt;="&amp;DATE(YEAR_Y-2,12,31))/100)))</f>
        <v/>
      </c>
      <c r="AQ193" s="146">
        <f>IF($C193="","",IF(PULL_FUND="N","",IF(COUNTIFS('Fund History'!$G$1102:$G$1106,"&gt;="&amp;DATE(YEAR_Y-1,1,1),'Fund History'!$G$1102:$G$1106,"&lt;="&amp;DATE(YEAR_Y-1,12,31))=0,"",SUMIFS('Fund History'!$H$1102:$H$1106,'Fund History'!$G$1102:$G$1106,"&gt;="&amp;DATE(YEAR_Y-1,1,1),'Fund History'!$G$1102:$G$1106,"&lt;="&amp;DATE(YEAR_Y-1,12,31))/100)))</f>
        <v/>
      </c>
      <c r="AR193" s="147">
        <f>IF($C193="","",IF(N($AQ193)+N(HSCEI!$I$48)=0,"",N($AQ193)+N(HSCEI!$I$48)/100))</f>
        <v/>
      </c>
      <c r="AS193" s="139">
        <f>IF($C193="","",IF(PULL_FUND="N","",IF(COUNTIFS('Fund History'!$D$1102:$D$1106,"&gt;="&amp;DATE(YEAR_Y-2,1,1),'Fund History'!$D$1102:$D$1106,"&lt;="&amp;DATE(YEAR_Y-2,12,31))=0,"",SUMIFS('Fund History'!$E$1102:$E$1106,'Fund History'!$D$1102:$D$1106,"&gt;="&amp;DATE(YEAR_Y-2,1,1),'Fund History'!$D$1102:$D$1106,"&lt;="&amp;DATE(YEAR_Y-2,12,31)))))</f>
        <v/>
      </c>
      <c r="AT193" s="140">
        <f>IF($C193="","",IF(PULL_FUND="N","",IF(COUNTIFS('Fund History'!$D$1102:$D$1106,"&gt;="&amp;DATE(YEAR_Y-1,1,1),'Fund History'!$D$1102:$D$1106,"&lt;="&amp;DATE(YEAR_Y-1,12,31))=0,"",SUMIFS('Fund History'!$E$1102:$E$1106,'Fund History'!$D$1102:$D$1106,"&gt;="&amp;DATE(YEAR_Y-1,1,1),'Fund History'!$D$1102:$D$1106,"&lt;="&amp;DATE(YEAR_Y-1,12,31)))))</f>
        <v/>
      </c>
      <c r="AU193" s="140">
        <f>IF($C193="","",IF(PULL_FUND="N","",IFERROR(BDP($C193,NDEBITDA_FIELD),"")))</f>
        <v/>
      </c>
      <c r="AV193" s="148">
        <f>IF($C193="","",IF(PULL_FUND="N","",IFERROR(BDP($C193,EBINT_FIELD),"")))</f>
        <v/>
      </c>
      <c r="AW193" s="146">
        <f>IF($C193="","",IF(PULL_FUND="N","",IFERROR(BDP($C193,FCF_FIELD)/100,"")))</f>
        <v/>
      </c>
      <c r="AX193" s="126">
        <f>IF($C193="","",IF(N($U193)=0,"",IFERROR($AW193/$U193,"")))</f>
        <v/>
      </c>
      <c r="AY193" s="85">
        <f>IF($C193="","",TRIM(IF(ISNUMBER($AJ193)*(N($AJ193)&gt;$D$4)&gt;0,"payout high  ","")&amp;IF(ISNUMBER($AX193)*(N($AX193)&lt;$F$4)&gt;0,"FCF below dvd  ","")&amp;IF(ISNUMBER($AU193)*(N($AU193)&gt;$H$4)&gt;0,"leverage high","")))</f>
        <v/>
      </c>
      <c r="AZ193" s="86">
        <f>IF($C193="","",IF(HSCEI!$F$48="HKD","",HSCEI!$F$48))</f>
        <v/>
      </c>
    </row>
    <row r="194">
      <c r="B194" s="66" t="inlineStr">
        <is>
          <t>HSCEI</t>
        </is>
      </c>
      <c r="C194" s="8">
        <f>IF(HSCEI!$C$49="","",HSCEI!$C$49)</f>
        <v/>
      </c>
      <c r="D194" s="8">
        <f>IF($C194="","",HSCEI!$D$49)</f>
        <v/>
      </c>
      <c r="E194" s="8">
        <f>IF($C194="","",HSCEI!$E$49)</f>
        <v/>
      </c>
      <c r="F194" s="131">
        <f>IF($C194="","",SUMPRODUCT(('Dvd Calendar'!$E$2023:$AR$2023&gt;=DATE(YEAR_Y-5,1,1))*('Dvd Calendar'!$E$2023:$AR$2023&lt;=DATE(YEAR_Y-5,12,31))*'Dvd Calendar'!$E$2026:$AR$2026*(('Dvd Calendar'!$E$2028:$AR$2028=TYPE1)*(TYPE1&lt;&gt;"")+('Dvd Calendar'!$E$2028:$AR$2028=TYPE2)*(TYPE2&lt;&gt;"")+('Dvd Calendar'!$E$2028:$AR$2028=TYPE3)*(TYPE3&lt;&gt;"")+('Dvd Calendar'!$E$2028:$AR$2028=TYPE4)*(TYPE4&lt;&gt;"")+('Dvd Calendar'!$E$2028:$AR$2028=SPECIAL_LBL)*(INC_SPECIALS="Y"))))</f>
        <v/>
      </c>
      <c r="G194" s="132">
        <f>IF($C194="","",SUMPRODUCT(('Dvd Calendar'!$E$2023:$AR$2023&gt;=DATE(YEAR_Y-4,1,1))*('Dvd Calendar'!$E$2023:$AR$2023&lt;=DATE(YEAR_Y-4,12,31))*'Dvd Calendar'!$E$2026:$AR$2026*(('Dvd Calendar'!$E$2028:$AR$2028=TYPE1)*(TYPE1&lt;&gt;"")+('Dvd Calendar'!$E$2028:$AR$2028=TYPE2)*(TYPE2&lt;&gt;"")+('Dvd Calendar'!$E$2028:$AR$2028=TYPE3)*(TYPE3&lt;&gt;"")+('Dvd Calendar'!$E$2028:$AR$2028=TYPE4)*(TYPE4&lt;&gt;"")+('Dvd Calendar'!$E$2028:$AR$2028=SPECIAL_LBL)*(INC_SPECIALS="Y"))))</f>
        <v/>
      </c>
      <c r="H194" s="132">
        <f>IF($C194="","",SUMPRODUCT(('Dvd Calendar'!$E$2023:$AR$2023&gt;=DATE(YEAR_Y-3,1,1))*('Dvd Calendar'!$E$2023:$AR$2023&lt;=DATE(YEAR_Y-3,12,31))*'Dvd Calendar'!$E$2026:$AR$2026*(('Dvd Calendar'!$E$2028:$AR$2028=TYPE1)*(TYPE1&lt;&gt;"")+('Dvd Calendar'!$E$2028:$AR$2028=TYPE2)*(TYPE2&lt;&gt;"")+('Dvd Calendar'!$E$2028:$AR$2028=TYPE3)*(TYPE3&lt;&gt;"")+('Dvd Calendar'!$E$2028:$AR$2028=TYPE4)*(TYPE4&lt;&gt;"")+('Dvd Calendar'!$E$2028:$AR$2028=SPECIAL_LBL)*(INC_SPECIALS="Y"))))</f>
        <v/>
      </c>
      <c r="I194" s="132">
        <f>IF($C194="","",SUMPRODUCT(('Dvd Calendar'!$E$2023:$AR$2023&gt;=DATE(YEAR_Y-2,1,1))*('Dvd Calendar'!$E$2023:$AR$2023&lt;=DATE(YEAR_Y-2,12,31))*'Dvd Calendar'!$E$2026:$AR$2026*(('Dvd Calendar'!$E$2028:$AR$2028=TYPE1)*(TYPE1&lt;&gt;"")+('Dvd Calendar'!$E$2028:$AR$2028=TYPE2)*(TYPE2&lt;&gt;"")+('Dvd Calendar'!$E$2028:$AR$2028=TYPE3)*(TYPE3&lt;&gt;"")+('Dvd Calendar'!$E$2028:$AR$2028=TYPE4)*(TYPE4&lt;&gt;"")+('Dvd Calendar'!$E$2028:$AR$2028=SPECIAL_LBL)*(INC_SPECIALS="Y"))))</f>
        <v/>
      </c>
      <c r="J194" s="132">
        <f>IF($C194="","",SUMPRODUCT(('Dvd Calendar'!$E$2023:$AR$2023&gt;=DATE(YEAR_Y-1,1,1))*('Dvd Calendar'!$E$2023:$AR$2023&lt;=DATE(YEAR_Y-1,12,31))*'Dvd Calendar'!$E$2026:$AR$2026*(('Dvd Calendar'!$E$2028:$AR$2028=TYPE1)*(TYPE1&lt;&gt;"")+('Dvd Calendar'!$E$2028:$AR$2028=TYPE2)*(TYPE2&lt;&gt;"")+('Dvd Calendar'!$E$2028:$AR$2028=TYPE3)*(TYPE3&lt;&gt;"")+('Dvd Calendar'!$E$2028:$AR$2028=TYPE4)*(TYPE4&lt;&gt;"")+('Dvd Calendar'!$E$2028:$AR$2028=SPECIAL_LBL)*(INC_SPECIALS="Y"))))</f>
        <v/>
      </c>
      <c r="K194" s="133">
        <f>IF($C194="","",HSCEI!$J$49)</f>
        <v/>
      </c>
      <c r="L194" s="133">
        <f>IF($C194="","",HSCEI!$K$49)</f>
        <v/>
      </c>
      <c r="M194" s="124">
        <f>IF($C194="","",HSCEI!$J$49+HSCEI!$L$49)</f>
        <v/>
      </c>
      <c r="N194" s="134">
        <f>IF($C194="","",IF(PULL_FUND="N","",IFERROR(BDP($C194,BESTDPS_FIELD,FWD_OVERRIDE,TEXT(MOD(YEAR_Y,100),"00")&amp;"Y"),"")))</f>
        <v/>
      </c>
      <c r="O194" s="133">
        <f>IF($C194="","",AVERAGE(F194:J194))</f>
        <v/>
      </c>
      <c r="P194" s="135">
        <f>IF($C194="","",IF(PULL_FUND="N","",IF(COUNTIFS('Fund History'!$J$1108:$J$1112,"&gt;="&amp;DATE(YEAR_Y-5,1,1),'Fund History'!$J$1108:$J$1112,"&lt;="&amp;DATE(YEAR_Y-5,12,31))=0,"",IFERROR($F194*HSCEI!$G$49/SUMIFS('Fund History'!$K$1108:$K$1112,'Fund History'!$J$1108:$J$1112,"&gt;="&amp;DATE(YEAR_Y-5,1,1),'Fund History'!$J$1108:$J$1112,"&lt;="&amp;DATE(YEAR_Y-5,12,31)),""))))</f>
        <v/>
      </c>
      <c r="Q194" s="136">
        <f>IF($C194="","",IF(PULL_FUND="N","",IF(COUNTIFS('Fund History'!$J$1108:$J$1112,"&gt;="&amp;DATE(YEAR_Y-4,1,1),'Fund History'!$J$1108:$J$1112,"&lt;="&amp;DATE(YEAR_Y-4,12,31))=0,"",IFERROR($G194*HSCEI!$G$49/SUMIFS('Fund History'!$K$1108:$K$1112,'Fund History'!$J$1108:$J$1112,"&gt;="&amp;DATE(YEAR_Y-4,1,1),'Fund History'!$J$1108:$J$1112,"&lt;="&amp;DATE(YEAR_Y-4,12,31)),""))))</f>
        <v/>
      </c>
      <c r="R194" s="136">
        <f>IF($C194="","",IF(PULL_FUND="N","",IF(COUNTIFS('Fund History'!$J$1108:$J$1112,"&gt;="&amp;DATE(YEAR_Y-3,1,1),'Fund History'!$J$1108:$J$1112,"&lt;="&amp;DATE(YEAR_Y-3,12,31))=0,"",IFERROR($H194*HSCEI!$G$49/SUMIFS('Fund History'!$K$1108:$K$1112,'Fund History'!$J$1108:$J$1112,"&gt;="&amp;DATE(YEAR_Y-3,1,1),'Fund History'!$J$1108:$J$1112,"&lt;="&amp;DATE(YEAR_Y-3,12,31)),""))))</f>
        <v/>
      </c>
      <c r="S194" s="136">
        <f>IF($C194="","",IF(PULL_FUND="N","",IF(COUNTIFS('Fund History'!$J$1108:$J$1112,"&gt;="&amp;DATE(YEAR_Y-2,1,1),'Fund History'!$J$1108:$J$1112,"&lt;="&amp;DATE(YEAR_Y-2,12,31))=0,"",IFERROR($I194*HSCEI!$G$49/SUMIFS('Fund History'!$K$1108:$K$1112,'Fund History'!$J$1108:$J$1112,"&gt;="&amp;DATE(YEAR_Y-2,1,1),'Fund History'!$J$1108:$J$1112,"&lt;="&amp;DATE(YEAR_Y-2,12,31)),""))))</f>
        <v/>
      </c>
      <c r="T194" s="136">
        <f>IF($C194="","",IF(PULL_FUND="N","",IF(COUNTIFS('Fund History'!$J$1108:$J$1112,"&gt;="&amp;DATE(YEAR_Y-1,1,1),'Fund History'!$J$1108:$J$1112,"&lt;="&amp;DATE(YEAR_Y-1,12,31))=0,"",IFERROR($J194*HSCEI!$G$49/SUMIFS('Fund History'!$K$1108:$K$1112,'Fund History'!$J$1108:$J$1112,"&gt;="&amp;DATE(YEAR_Y-1,1,1),'Fund History'!$J$1108:$J$1112,"&lt;="&amp;DATE(YEAR_Y-1,12,31)),""))))</f>
        <v/>
      </c>
      <c r="U194" s="137">
        <f>IF($C194="","",IF(ISNUMBER(HSCEI!$I$49),HSCEI!$I$49/100,""))</f>
        <v/>
      </c>
      <c r="V194" s="138">
        <f>IF($C194="","",IF(ISNUMBER(HSCEI!$X$49),IFERROR($M194*HSCEI!$G$49/HSCEI!$X$49,""),""))</f>
        <v/>
      </c>
      <c r="W194" s="137">
        <f>IF($C194="","",IF(ISNUMBER($N194),IFERROR($N194*HSCEI!$G$49/HSCEI!$X$49,""),""))</f>
        <v/>
      </c>
      <c r="X194" s="139">
        <f>IF($C194="","",IF(PULL_FUND="N","",IFERROR(BDP($C194,EPS_FIELD,YR_OVERRIDE,TEXT(YEAR_Y-5,"0")),"")))</f>
        <v/>
      </c>
      <c r="Y194" s="140">
        <f>IF($C194="","",IF(PULL_FUND="N","",IFERROR(BDP($C194,EPS_FIELD,YR_OVERRIDE,TEXT(YEAR_Y-4,"0")),"")))</f>
        <v/>
      </c>
      <c r="Z194" s="140">
        <f>IF($C194="","",IF(PULL_FUND="N","",IFERROR(BDP($C194,EPS_FIELD,YR_OVERRIDE,TEXT(YEAR_Y-3,"0")),"")))</f>
        <v/>
      </c>
      <c r="AA194" s="140">
        <f>IF($C194="","",IF(PULL_FUND="N","",IFERROR(BDP($C194,EPS_FIELD,YR_OVERRIDE,TEXT(YEAR_Y-2,"0")),"")))</f>
        <v/>
      </c>
      <c r="AB194" s="140">
        <f>IF($C194="","",IF(PULL_FUND="N","",IFERROR(BDP($C194,EPS_FIELD,YR_OVERRIDE,TEXT(YEAR_Y-1,"0")),"")))</f>
        <v/>
      </c>
      <c r="AC194" s="126">
        <f>IF($C194="","",IFERROR(AVERAGE(X194:AB194),""))</f>
        <v/>
      </c>
      <c r="AD194" s="140">
        <f>IF($C194="","",IF(PULL_FUND="N","",IFERROR(BDP($C194,BESTEPS_FIELD,FWD_OVERRIDE,TEXT(MOD(YEAR_Y,100),"00")&amp;"Y"),"")))</f>
        <v/>
      </c>
      <c r="AE194" s="141">
        <f>IF($C194="","",IF(PULL_FUND="N","",IFERROR(BDP($C194,PAYOUT_FIELD,YR_OVERRIDE,TEXT(YEAR_Y-5,"0"))/100,"")))</f>
        <v/>
      </c>
      <c r="AF194" s="142">
        <f>IF($C194="","",IF(PULL_FUND="N","",IFERROR(BDP($C194,PAYOUT_FIELD,YR_OVERRIDE,TEXT(YEAR_Y-4,"0"))/100,"")))</f>
        <v/>
      </c>
      <c r="AG194" s="142">
        <f>IF($C194="","",IF(PULL_FUND="N","",IFERROR(BDP($C194,PAYOUT_FIELD,YR_OVERRIDE,TEXT(YEAR_Y-3,"0"))/100,"")))</f>
        <v/>
      </c>
      <c r="AH194" s="142">
        <f>IF($C194="","",IF(PULL_FUND="N","",IFERROR(BDP($C194,PAYOUT_FIELD,YR_OVERRIDE,TEXT(YEAR_Y-2,"0"))/100,"")))</f>
        <v/>
      </c>
      <c r="AI194" s="142">
        <f>IF($C194="","",IF(PULL_FUND="N","",IFERROR(BDP($C194,PAYOUT_FIELD,YR_OVERRIDE,TEXT(YEAR_Y-1,"0"))/100,"")))</f>
        <v/>
      </c>
      <c r="AJ194" s="143">
        <f>IF($C194="","",IFERROR(AVERAGE(AE194:AI194),""))</f>
        <v/>
      </c>
      <c r="AK194" s="144">
        <f>IF($C194="","",IF(ISNUMBER($AD194)*ISNUMBER($N194)*($AD194&lt;&gt;0)=0,"",$N194/$AD194))</f>
        <v/>
      </c>
      <c r="AL194" s="143">
        <f>IF($C194="","",IF(ISNUMBER($AD194)*($AD194&lt;&gt;0)=0,"",$M194/$AD194))</f>
        <v/>
      </c>
      <c r="AM194" s="37">
        <f>IF($C194="","",IF(ISNUMBER($AE194)*ISNUMBER($AI194)=0,"",IF($AI194&gt;$AE194+0.05,"rising",IF($AI194&lt;$AE194-0.05,"falling","stable"))))</f>
        <v/>
      </c>
      <c r="AN194" s="145">
        <f>IF($C194="","",IF(PULL_FUND="N","",IF(COUNTIFS('Fund History'!$G$1108:$G$1112,"&gt;="&amp;DATE(YEAR_Y-4,1,1),'Fund History'!$G$1108:$G$1112,"&lt;="&amp;DATE(YEAR_Y-4,12,31))=0,"",SUMIFS('Fund History'!$H$1108:$H$1112,'Fund History'!$G$1108:$G$1112,"&gt;="&amp;DATE(YEAR_Y-4,1,1),'Fund History'!$G$1108:$G$1112,"&lt;="&amp;DATE(YEAR_Y-4,12,31))/100)))</f>
        <v/>
      </c>
      <c r="AO194" s="146">
        <f>IF($C194="","",IF(PULL_FUND="N","",IF(COUNTIFS('Fund History'!$G$1108:$G$1112,"&gt;="&amp;DATE(YEAR_Y-3,1,1),'Fund History'!$G$1108:$G$1112,"&lt;="&amp;DATE(YEAR_Y-3,12,31))=0,"",SUMIFS('Fund History'!$H$1108:$H$1112,'Fund History'!$G$1108:$G$1112,"&gt;="&amp;DATE(YEAR_Y-3,1,1),'Fund History'!$G$1108:$G$1112,"&lt;="&amp;DATE(YEAR_Y-3,12,31))/100)))</f>
        <v/>
      </c>
      <c r="AP194" s="146">
        <f>IF($C194="","",IF(PULL_FUND="N","",IF(COUNTIFS('Fund History'!$G$1108:$G$1112,"&gt;="&amp;DATE(YEAR_Y-2,1,1),'Fund History'!$G$1108:$G$1112,"&lt;="&amp;DATE(YEAR_Y-2,12,31))=0,"",SUMIFS('Fund History'!$H$1108:$H$1112,'Fund History'!$G$1108:$G$1112,"&gt;="&amp;DATE(YEAR_Y-2,1,1),'Fund History'!$G$1108:$G$1112,"&lt;="&amp;DATE(YEAR_Y-2,12,31))/100)))</f>
        <v/>
      </c>
      <c r="AQ194" s="146">
        <f>IF($C194="","",IF(PULL_FUND="N","",IF(COUNTIFS('Fund History'!$G$1108:$G$1112,"&gt;="&amp;DATE(YEAR_Y-1,1,1),'Fund History'!$G$1108:$G$1112,"&lt;="&amp;DATE(YEAR_Y-1,12,31))=0,"",SUMIFS('Fund History'!$H$1108:$H$1112,'Fund History'!$G$1108:$G$1112,"&gt;="&amp;DATE(YEAR_Y-1,1,1),'Fund History'!$G$1108:$G$1112,"&lt;="&amp;DATE(YEAR_Y-1,12,31))/100)))</f>
        <v/>
      </c>
      <c r="AR194" s="147">
        <f>IF($C194="","",IF(N($AQ194)+N(HSCEI!$I$49)=0,"",N($AQ194)+N(HSCEI!$I$49)/100))</f>
        <v/>
      </c>
      <c r="AS194" s="139">
        <f>IF($C194="","",IF(PULL_FUND="N","",IF(COUNTIFS('Fund History'!$D$1108:$D$1112,"&gt;="&amp;DATE(YEAR_Y-2,1,1),'Fund History'!$D$1108:$D$1112,"&lt;="&amp;DATE(YEAR_Y-2,12,31))=0,"",SUMIFS('Fund History'!$E$1108:$E$1112,'Fund History'!$D$1108:$D$1112,"&gt;="&amp;DATE(YEAR_Y-2,1,1),'Fund History'!$D$1108:$D$1112,"&lt;="&amp;DATE(YEAR_Y-2,12,31)))))</f>
        <v/>
      </c>
      <c r="AT194" s="140">
        <f>IF($C194="","",IF(PULL_FUND="N","",IF(COUNTIFS('Fund History'!$D$1108:$D$1112,"&gt;="&amp;DATE(YEAR_Y-1,1,1),'Fund History'!$D$1108:$D$1112,"&lt;="&amp;DATE(YEAR_Y-1,12,31))=0,"",SUMIFS('Fund History'!$E$1108:$E$1112,'Fund History'!$D$1108:$D$1112,"&gt;="&amp;DATE(YEAR_Y-1,1,1),'Fund History'!$D$1108:$D$1112,"&lt;="&amp;DATE(YEAR_Y-1,12,31)))))</f>
        <v/>
      </c>
      <c r="AU194" s="140">
        <f>IF($C194="","",IF(PULL_FUND="N","",IFERROR(BDP($C194,NDEBITDA_FIELD),"")))</f>
        <v/>
      </c>
      <c r="AV194" s="148">
        <f>IF($C194="","",IF(PULL_FUND="N","",IFERROR(BDP($C194,EBINT_FIELD),"")))</f>
        <v/>
      </c>
      <c r="AW194" s="146">
        <f>IF($C194="","",IF(PULL_FUND="N","",IFERROR(BDP($C194,FCF_FIELD)/100,"")))</f>
        <v/>
      </c>
      <c r="AX194" s="126">
        <f>IF($C194="","",IF(N($U194)=0,"",IFERROR($AW194/$U194,"")))</f>
        <v/>
      </c>
      <c r="AY194" s="85">
        <f>IF($C194="","",TRIM(IF(ISNUMBER($AJ194)*(N($AJ194)&gt;$D$4)&gt;0,"payout high  ","")&amp;IF(ISNUMBER($AX194)*(N($AX194)&lt;$F$4)&gt;0,"FCF below dvd  ","")&amp;IF(ISNUMBER($AU194)*(N($AU194)&gt;$H$4)&gt;0,"leverage high","")))</f>
        <v/>
      </c>
      <c r="AZ194" s="86">
        <f>IF($C194="","",IF(HSCEI!$F$49="HKD","",HSCEI!$F$49))</f>
        <v/>
      </c>
    </row>
    <row r="195">
      <c r="B195" s="66" t="inlineStr">
        <is>
          <t>HSCEI</t>
        </is>
      </c>
      <c r="C195" s="8">
        <f>IF(HSCEI!$C$50="","",HSCEI!$C$50)</f>
        <v/>
      </c>
      <c r="D195" s="8">
        <f>IF($C195="","",HSCEI!$D$50)</f>
        <v/>
      </c>
      <c r="E195" s="8">
        <f>IF($C195="","",HSCEI!$E$50)</f>
        <v/>
      </c>
      <c r="F195" s="131">
        <f>IF($C195="","",SUMPRODUCT(('Dvd Calendar'!$E$2034:$AR$2034&gt;=DATE(YEAR_Y-5,1,1))*('Dvd Calendar'!$E$2034:$AR$2034&lt;=DATE(YEAR_Y-5,12,31))*'Dvd Calendar'!$E$2037:$AR$2037*(('Dvd Calendar'!$E$2039:$AR$2039=TYPE1)*(TYPE1&lt;&gt;"")+('Dvd Calendar'!$E$2039:$AR$2039=TYPE2)*(TYPE2&lt;&gt;"")+('Dvd Calendar'!$E$2039:$AR$2039=TYPE3)*(TYPE3&lt;&gt;"")+('Dvd Calendar'!$E$2039:$AR$2039=TYPE4)*(TYPE4&lt;&gt;"")+('Dvd Calendar'!$E$2039:$AR$2039=SPECIAL_LBL)*(INC_SPECIALS="Y"))))</f>
        <v/>
      </c>
      <c r="G195" s="132">
        <f>IF($C195="","",SUMPRODUCT(('Dvd Calendar'!$E$2034:$AR$2034&gt;=DATE(YEAR_Y-4,1,1))*('Dvd Calendar'!$E$2034:$AR$2034&lt;=DATE(YEAR_Y-4,12,31))*'Dvd Calendar'!$E$2037:$AR$2037*(('Dvd Calendar'!$E$2039:$AR$2039=TYPE1)*(TYPE1&lt;&gt;"")+('Dvd Calendar'!$E$2039:$AR$2039=TYPE2)*(TYPE2&lt;&gt;"")+('Dvd Calendar'!$E$2039:$AR$2039=TYPE3)*(TYPE3&lt;&gt;"")+('Dvd Calendar'!$E$2039:$AR$2039=TYPE4)*(TYPE4&lt;&gt;"")+('Dvd Calendar'!$E$2039:$AR$2039=SPECIAL_LBL)*(INC_SPECIALS="Y"))))</f>
        <v/>
      </c>
      <c r="H195" s="132">
        <f>IF($C195="","",SUMPRODUCT(('Dvd Calendar'!$E$2034:$AR$2034&gt;=DATE(YEAR_Y-3,1,1))*('Dvd Calendar'!$E$2034:$AR$2034&lt;=DATE(YEAR_Y-3,12,31))*'Dvd Calendar'!$E$2037:$AR$2037*(('Dvd Calendar'!$E$2039:$AR$2039=TYPE1)*(TYPE1&lt;&gt;"")+('Dvd Calendar'!$E$2039:$AR$2039=TYPE2)*(TYPE2&lt;&gt;"")+('Dvd Calendar'!$E$2039:$AR$2039=TYPE3)*(TYPE3&lt;&gt;"")+('Dvd Calendar'!$E$2039:$AR$2039=TYPE4)*(TYPE4&lt;&gt;"")+('Dvd Calendar'!$E$2039:$AR$2039=SPECIAL_LBL)*(INC_SPECIALS="Y"))))</f>
        <v/>
      </c>
      <c r="I195" s="132">
        <f>IF($C195="","",SUMPRODUCT(('Dvd Calendar'!$E$2034:$AR$2034&gt;=DATE(YEAR_Y-2,1,1))*('Dvd Calendar'!$E$2034:$AR$2034&lt;=DATE(YEAR_Y-2,12,31))*'Dvd Calendar'!$E$2037:$AR$2037*(('Dvd Calendar'!$E$2039:$AR$2039=TYPE1)*(TYPE1&lt;&gt;"")+('Dvd Calendar'!$E$2039:$AR$2039=TYPE2)*(TYPE2&lt;&gt;"")+('Dvd Calendar'!$E$2039:$AR$2039=TYPE3)*(TYPE3&lt;&gt;"")+('Dvd Calendar'!$E$2039:$AR$2039=TYPE4)*(TYPE4&lt;&gt;"")+('Dvd Calendar'!$E$2039:$AR$2039=SPECIAL_LBL)*(INC_SPECIALS="Y"))))</f>
        <v/>
      </c>
      <c r="J195" s="132">
        <f>IF($C195="","",SUMPRODUCT(('Dvd Calendar'!$E$2034:$AR$2034&gt;=DATE(YEAR_Y-1,1,1))*('Dvd Calendar'!$E$2034:$AR$2034&lt;=DATE(YEAR_Y-1,12,31))*'Dvd Calendar'!$E$2037:$AR$2037*(('Dvd Calendar'!$E$2039:$AR$2039=TYPE1)*(TYPE1&lt;&gt;"")+('Dvd Calendar'!$E$2039:$AR$2039=TYPE2)*(TYPE2&lt;&gt;"")+('Dvd Calendar'!$E$2039:$AR$2039=TYPE3)*(TYPE3&lt;&gt;"")+('Dvd Calendar'!$E$2039:$AR$2039=TYPE4)*(TYPE4&lt;&gt;"")+('Dvd Calendar'!$E$2039:$AR$2039=SPECIAL_LBL)*(INC_SPECIALS="Y"))))</f>
        <v/>
      </c>
      <c r="K195" s="133">
        <f>IF($C195="","",HSCEI!$J$50)</f>
        <v/>
      </c>
      <c r="L195" s="133">
        <f>IF($C195="","",HSCEI!$K$50)</f>
        <v/>
      </c>
      <c r="M195" s="124">
        <f>IF($C195="","",HSCEI!$J$50+HSCEI!$L$50)</f>
        <v/>
      </c>
      <c r="N195" s="134">
        <f>IF($C195="","",IF(PULL_FUND="N","",IFERROR(BDP($C195,BESTDPS_FIELD,FWD_OVERRIDE,TEXT(MOD(YEAR_Y,100),"00")&amp;"Y"),"")))</f>
        <v/>
      </c>
      <c r="O195" s="133">
        <f>IF($C195="","",AVERAGE(F195:J195))</f>
        <v/>
      </c>
      <c r="P195" s="135">
        <f>IF($C195="","",IF(PULL_FUND="N","",IF(COUNTIFS('Fund History'!$J$1114:$J$1118,"&gt;="&amp;DATE(YEAR_Y-5,1,1),'Fund History'!$J$1114:$J$1118,"&lt;="&amp;DATE(YEAR_Y-5,12,31))=0,"",IFERROR($F195*HSCEI!$G$50/SUMIFS('Fund History'!$K$1114:$K$1118,'Fund History'!$J$1114:$J$1118,"&gt;="&amp;DATE(YEAR_Y-5,1,1),'Fund History'!$J$1114:$J$1118,"&lt;="&amp;DATE(YEAR_Y-5,12,31)),""))))</f>
        <v/>
      </c>
      <c r="Q195" s="136">
        <f>IF($C195="","",IF(PULL_FUND="N","",IF(COUNTIFS('Fund History'!$J$1114:$J$1118,"&gt;="&amp;DATE(YEAR_Y-4,1,1),'Fund History'!$J$1114:$J$1118,"&lt;="&amp;DATE(YEAR_Y-4,12,31))=0,"",IFERROR($G195*HSCEI!$G$50/SUMIFS('Fund History'!$K$1114:$K$1118,'Fund History'!$J$1114:$J$1118,"&gt;="&amp;DATE(YEAR_Y-4,1,1),'Fund History'!$J$1114:$J$1118,"&lt;="&amp;DATE(YEAR_Y-4,12,31)),""))))</f>
        <v/>
      </c>
      <c r="R195" s="136">
        <f>IF($C195="","",IF(PULL_FUND="N","",IF(COUNTIFS('Fund History'!$J$1114:$J$1118,"&gt;="&amp;DATE(YEAR_Y-3,1,1),'Fund History'!$J$1114:$J$1118,"&lt;="&amp;DATE(YEAR_Y-3,12,31))=0,"",IFERROR($H195*HSCEI!$G$50/SUMIFS('Fund History'!$K$1114:$K$1118,'Fund History'!$J$1114:$J$1118,"&gt;="&amp;DATE(YEAR_Y-3,1,1),'Fund History'!$J$1114:$J$1118,"&lt;="&amp;DATE(YEAR_Y-3,12,31)),""))))</f>
        <v/>
      </c>
      <c r="S195" s="136">
        <f>IF($C195="","",IF(PULL_FUND="N","",IF(COUNTIFS('Fund History'!$J$1114:$J$1118,"&gt;="&amp;DATE(YEAR_Y-2,1,1),'Fund History'!$J$1114:$J$1118,"&lt;="&amp;DATE(YEAR_Y-2,12,31))=0,"",IFERROR($I195*HSCEI!$G$50/SUMIFS('Fund History'!$K$1114:$K$1118,'Fund History'!$J$1114:$J$1118,"&gt;="&amp;DATE(YEAR_Y-2,1,1),'Fund History'!$J$1114:$J$1118,"&lt;="&amp;DATE(YEAR_Y-2,12,31)),""))))</f>
        <v/>
      </c>
      <c r="T195" s="136">
        <f>IF($C195="","",IF(PULL_FUND="N","",IF(COUNTIFS('Fund History'!$J$1114:$J$1118,"&gt;="&amp;DATE(YEAR_Y-1,1,1),'Fund History'!$J$1114:$J$1118,"&lt;="&amp;DATE(YEAR_Y-1,12,31))=0,"",IFERROR($J195*HSCEI!$G$50/SUMIFS('Fund History'!$K$1114:$K$1118,'Fund History'!$J$1114:$J$1118,"&gt;="&amp;DATE(YEAR_Y-1,1,1),'Fund History'!$J$1114:$J$1118,"&lt;="&amp;DATE(YEAR_Y-1,12,31)),""))))</f>
        <v/>
      </c>
      <c r="U195" s="137">
        <f>IF($C195="","",IF(ISNUMBER(HSCEI!$I$50),HSCEI!$I$50/100,""))</f>
        <v/>
      </c>
      <c r="V195" s="138">
        <f>IF($C195="","",IF(ISNUMBER(HSCEI!$X$50),IFERROR($M195*HSCEI!$G$50/HSCEI!$X$50,""),""))</f>
        <v/>
      </c>
      <c r="W195" s="137">
        <f>IF($C195="","",IF(ISNUMBER($N195),IFERROR($N195*HSCEI!$G$50/HSCEI!$X$50,""),""))</f>
        <v/>
      </c>
      <c r="X195" s="139">
        <f>IF($C195="","",IF(PULL_FUND="N","",IFERROR(BDP($C195,EPS_FIELD,YR_OVERRIDE,TEXT(YEAR_Y-5,"0")),"")))</f>
        <v/>
      </c>
      <c r="Y195" s="140">
        <f>IF($C195="","",IF(PULL_FUND="N","",IFERROR(BDP($C195,EPS_FIELD,YR_OVERRIDE,TEXT(YEAR_Y-4,"0")),"")))</f>
        <v/>
      </c>
      <c r="Z195" s="140">
        <f>IF($C195="","",IF(PULL_FUND="N","",IFERROR(BDP($C195,EPS_FIELD,YR_OVERRIDE,TEXT(YEAR_Y-3,"0")),"")))</f>
        <v/>
      </c>
      <c r="AA195" s="140">
        <f>IF($C195="","",IF(PULL_FUND="N","",IFERROR(BDP($C195,EPS_FIELD,YR_OVERRIDE,TEXT(YEAR_Y-2,"0")),"")))</f>
        <v/>
      </c>
      <c r="AB195" s="140">
        <f>IF($C195="","",IF(PULL_FUND="N","",IFERROR(BDP($C195,EPS_FIELD,YR_OVERRIDE,TEXT(YEAR_Y-1,"0")),"")))</f>
        <v/>
      </c>
      <c r="AC195" s="126">
        <f>IF($C195="","",IFERROR(AVERAGE(X195:AB195),""))</f>
        <v/>
      </c>
      <c r="AD195" s="140">
        <f>IF($C195="","",IF(PULL_FUND="N","",IFERROR(BDP($C195,BESTEPS_FIELD,FWD_OVERRIDE,TEXT(MOD(YEAR_Y,100),"00")&amp;"Y"),"")))</f>
        <v/>
      </c>
      <c r="AE195" s="141">
        <f>IF($C195="","",IF(PULL_FUND="N","",IFERROR(BDP($C195,PAYOUT_FIELD,YR_OVERRIDE,TEXT(YEAR_Y-5,"0"))/100,"")))</f>
        <v/>
      </c>
      <c r="AF195" s="142">
        <f>IF($C195="","",IF(PULL_FUND="N","",IFERROR(BDP($C195,PAYOUT_FIELD,YR_OVERRIDE,TEXT(YEAR_Y-4,"0"))/100,"")))</f>
        <v/>
      </c>
      <c r="AG195" s="142">
        <f>IF($C195="","",IF(PULL_FUND="N","",IFERROR(BDP($C195,PAYOUT_FIELD,YR_OVERRIDE,TEXT(YEAR_Y-3,"0"))/100,"")))</f>
        <v/>
      </c>
      <c r="AH195" s="142">
        <f>IF($C195="","",IF(PULL_FUND="N","",IFERROR(BDP($C195,PAYOUT_FIELD,YR_OVERRIDE,TEXT(YEAR_Y-2,"0"))/100,"")))</f>
        <v/>
      </c>
      <c r="AI195" s="142">
        <f>IF($C195="","",IF(PULL_FUND="N","",IFERROR(BDP($C195,PAYOUT_FIELD,YR_OVERRIDE,TEXT(YEAR_Y-1,"0"))/100,"")))</f>
        <v/>
      </c>
      <c r="AJ195" s="143">
        <f>IF($C195="","",IFERROR(AVERAGE(AE195:AI195),""))</f>
        <v/>
      </c>
      <c r="AK195" s="144">
        <f>IF($C195="","",IF(ISNUMBER($AD195)*ISNUMBER($N195)*($AD195&lt;&gt;0)=0,"",$N195/$AD195))</f>
        <v/>
      </c>
      <c r="AL195" s="143">
        <f>IF($C195="","",IF(ISNUMBER($AD195)*($AD195&lt;&gt;0)=0,"",$M195/$AD195))</f>
        <v/>
      </c>
      <c r="AM195" s="37">
        <f>IF($C195="","",IF(ISNUMBER($AE195)*ISNUMBER($AI195)=0,"",IF($AI195&gt;$AE195+0.05,"rising",IF($AI195&lt;$AE195-0.05,"falling","stable"))))</f>
        <v/>
      </c>
      <c r="AN195" s="145">
        <f>IF($C195="","",IF(PULL_FUND="N","",IF(COUNTIFS('Fund History'!$G$1114:$G$1118,"&gt;="&amp;DATE(YEAR_Y-4,1,1),'Fund History'!$G$1114:$G$1118,"&lt;="&amp;DATE(YEAR_Y-4,12,31))=0,"",SUMIFS('Fund History'!$H$1114:$H$1118,'Fund History'!$G$1114:$G$1118,"&gt;="&amp;DATE(YEAR_Y-4,1,1),'Fund History'!$G$1114:$G$1118,"&lt;="&amp;DATE(YEAR_Y-4,12,31))/100)))</f>
        <v/>
      </c>
      <c r="AO195" s="146">
        <f>IF($C195="","",IF(PULL_FUND="N","",IF(COUNTIFS('Fund History'!$G$1114:$G$1118,"&gt;="&amp;DATE(YEAR_Y-3,1,1),'Fund History'!$G$1114:$G$1118,"&lt;="&amp;DATE(YEAR_Y-3,12,31))=0,"",SUMIFS('Fund History'!$H$1114:$H$1118,'Fund History'!$G$1114:$G$1118,"&gt;="&amp;DATE(YEAR_Y-3,1,1),'Fund History'!$G$1114:$G$1118,"&lt;="&amp;DATE(YEAR_Y-3,12,31))/100)))</f>
        <v/>
      </c>
      <c r="AP195" s="146">
        <f>IF($C195="","",IF(PULL_FUND="N","",IF(COUNTIFS('Fund History'!$G$1114:$G$1118,"&gt;="&amp;DATE(YEAR_Y-2,1,1),'Fund History'!$G$1114:$G$1118,"&lt;="&amp;DATE(YEAR_Y-2,12,31))=0,"",SUMIFS('Fund History'!$H$1114:$H$1118,'Fund History'!$G$1114:$G$1118,"&gt;="&amp;DATE(YEAR_Y-2,1,1),'Fund History'!$G$1114:$G$1118,"&lt;="&amp;DATE(YEAR_Y-2,12,31))/100)))</f>
        <v/>
      </c>
      <c r="AQ195" s="146">
        <f>IF($C195="","",IF(PULL_FUND="N","",IF(COUNTIFS('Fund History'!$G$1114:$G$1118,"&gt;="&amp;DATE(YEAR_Y-1,1,1),'Fund History'!$G$1114:$G$1118,"&lt;="&amp;DATE(YEAR_Y-1,12,31))=0,"",SUMIFS('Fund History'!$H$1114:$H$1118,'Fund History'!$G$1114:$G$1118,"&gt;="&amp;DATE(YEAR_Y-1,1,1),'Fund History'!$G$1114:$G$1118,"&lt;="&amp;DATE(YEAR_Y-1,12,31))/100)))</f>
        <v/>
      </c>
      <c r="AR195" s="147">
        <f>IF($C195="","",IF(N($AQ195)+N(HSCEI!$I$50)=0,"",N($AQ195)+N(HSCEI!$I$50)/100))</f>
        <v/>
      </c>
      <c r="AS195" s="139">
        <f>IF($C195="","",IF(PULL_FUND="N","",IF(COUNTIFS('Fund History'!$D$1114:$D$1118,"&gt;="&amp;DATE(YEAR_Y-2,1,1),'Fund History'!$D$1114:$D$1118,"&lt;="&amp;DATE(YEAR_Y-2,12,31))=0,"",SUMIFS('Fund History'!$E$1114:$E$1118,'Fund History'!$D$1114:$D$1118,"&gt;="&amp;DATE(YEAR_Y-2,1,1),'Fund History'!$D$1114:$D$1118,"&lt;="&amp;DATE(YEAR_Y-2,12,31)))))</f>
        <v/>
      </c>
      <c r="AT195" s="140">
        <f>IF($C195="","",IF(PULL_FUND="N","",IF(COUNTIFS('Fund History'!$D$1114:$D$1118,"&gt;="&amp;DATE(YEAR_Y-1,1,1),'Fund History'!$D$1114:$D$1118,"&lt;="&amp;DATE(YEAR_Y-1,12,31))=0,"",SUMIFS('Fund History'!$E$1114:$E$1118,'Fund History'!$D$1114:$D$1118,"&gt;="&amp;DATE(YEAR_Y-1,1,1),'Fund History'!$D$1114:$D$1118,"&lt;="&amp;DATE(YEAR_Y-1,12,31)))))</f>
        <v/>
      </c>
      <c r="AU195" s="140">
        <f>IF($C195="","",IF(PULL_FUND="N","",IFERROR(BDP($C195,NDEBITDA_FIELD),"")))</f>
        <v/>
      </c>
      <c r="AV195" s="148">
        <f>IF($C195="","",IF(PULL_FUND="N","",IFERROR(BDP($C195,EBINT_FIELD),"")))</f>
        <v/>
      </c>
      <c r="AW195" s="146">
        <f>IF($C195="","",IF(PULL_FUND="N","",IFERROR(BDP($C195,FCF_FIELD)/100,"")))</f>
        <v/>
      </c>
      <c r="AX195" s="126">
        <f>IF($C195="","",IF(N($U195)=0,"",IFERROR($AW195/$U195,"")))</f>
        <v/>
      </c>
      <c r="AY195" s="85">
        <f>IF($C195="","",TRIM(IF(ISNUMBER($AJ195)*(N($AJ195)&gt;$D$4)&gt;0,"payout high  ","")&amp;IF(ISNUMBER($AX195)*(N($AX195)&lt;$F$4)&gt;0,"FCF below dvd  ","")&amp;IF(ISNUMBER($AU195)*(N($AU195)&gt;$H$4)&gt;0,"leverage high","")))</f>
        <v/>
      </c>
      <c r="AZ195" s="86">
        <f>IF($C195="","",IF(HSCEI!$F$50="HKD","",HSCEI!$F$50))</f>
        <v/>
      </c>
    </row>
    <row r="196">
      <c r="B196" s="66" t="inlineStr">
        <is>
          <t>HSCEI</t>
        </is>
      </c>
      <c r="C196" s="8">
        <f>IF(HSCEI!$C$51="","",HSCEI!$C$51)</f>
        <v/>
      </c>
      <c r="D196" s="8">
        <f>IF($C196="","",HSCEI!$D$51)</f>
        <v/>
      </c>
      <c r="E196" s="8">
        <f>IF($C196="","",HSCEI!$E$51)</f>
        <v/>
      </c>
      <c r="F196" s="131">
        <f>IF($C196="","",SUMPRODUCT(('Dvd Calendar'!$E$2045:$AR$2045&gt;=DATE(YEAR_Y-5,1,1))*('Dvd Calendar'!$E$2045:$AR$2045&lt;=DATE(YEAR_Y-5,12,31))*'Dvd Calendar'!$E$2048:$AR$2048*(('Dvd Calendar'!$E$2050:$AR$2050=TYPE1)*(TYPE1&lt;&gt;"")+('Dvd Calendar'!$E$2050:$AR$2050=TYPE2)*(TYPE2&lt;&gt;"")+('Dvd Calendar'!$E$2050:$AR$2050=TYPE3)*(TYPE3&lt;&gt;"")+('Dvd Calendar'!$E$2050:$AR$2050=TYPE4)*(TYPE4&lt;&gt;"")+('Dvd Calendar'!$E$2050:$AR$2050=SPECIAL_LBL)*(INC_SPECIALS="Y"))))</f>
        <v/>
      </c>
      <c r="G196" s="132">
        <f>IF($C196="","",SUMPRODUCT(('Dvd Calendar'!$E$2045:$AR$2045&gt;=DATE(YEAR_Y-4,1,1))*('Dvd Calendar'!$E$2045:$AR$2045&lt;=DATE(YEAR_Y-4,12,31))*'Dvd Calendar'!$E$2048:$AR$2048*(('Dvd Calendar'!$E$2050:$AR$2050=TYPE1)*(TYPE1&lt;&gt;"")+('Dvd Calendar'!$E$2050:$AR$2050=TYPE2)*(TYPE2&lt;&gt;"")+('Dvd Calendar'!$E$2050:$AR$2050=TYPE3)*(TYPE3&lt;&gt;"")+('Dvd Calendar'!$E$2050:$AR$2050=TYPE4)*(TYPE4&lt;&gt;"")+('Dvd Calendar'!$E$2050:$AR$2050=SPECIAL_LBL)*(INC_SPECIALS="Y"))))</f>
        <v/>
      </c>
      <c r="H196" s="132">
        <f>IF($C196="","",SUMPRODUCT(('Dvd Calendar'!$E$2045:$AR$2045&gt;=DATE(YEAR_Y-3,1,1))*('Dvd Calendar'!$E$2045:$AR$2045&lt;=DATE(YEAR_Y-3,12,31))*'Dvd Calendar'!$E$2048:$AR$2048*(('Dvd Calendar'!$E$2050:$AR$2050=TYPE1)*(TYPE1&lt;&gt;"")+('Dvd Calendar'!$E$2050:$AR$2050=TYPE2)*(TYPE2&lt;&gt;"")+('Dvd Calendar'!$E$2050:$AR$2050=TYPE3)*(TYPE3&lt;&gt;"")+('Dvd Calendar'!$E$2050:$AR$2050=TYPE4)*(TYPE4&lt;&gt;"")+('Dvd Calendar'!$E$2050:$AR$2050=SPECIAL_LBL)*(INC_SPECIALS="Y"))))</f>
        <v/>
      </c>
      <c r="I196" s="132">
        <f>IF($C196="","",SUMPRODUCT(('Dvd Calendar'!$E$2045:$AR$2045&gt;=DATE(YEAR_Y-2,1,1))*('Dvd Calendar'!$E$2045:$AR$2045&lt;=DATE(YEAR_Y-2,12,31))*'Dvd Calendar'!$E$2048:$AR$2048*(('Dvd Calendar'!$E$2050:$AR$2050=TYPE1)*(TYPE1&lt;&gt;"")+('Dvd Calendar'!$E$2050:$AR$2050=TYPE2)*(TYPE2&lt;&gt;"")+('Dvd Calendar'!$E$2050:$AR$2050=TYPE3)*(TYPE3&lt;&gt;"")+('Dvd Calendar'!$E$2050:$AR$2050=TYPE4)*(TYPE4&lt;&gt;"")+('Dvd Calendar'!$E$2050:$AR$2050=SPECIAL_LBL)*(INC_SPECIALS="Y"))))</f>
        <v/>
      </c>
      <c r="J196" s="132">
        <f>IF($C196="","",SUMPRODUCT(('Dvd Calendar'!$E$2045:$AR$2045&gt;=DATE(YEAR_Y-1,1,1))*('Dvd Calendar'!$E$2045:$AR$2045&lt;=DATE(YEAR_Y-1,12,31))*'Dvd Calendar'!$E$2048:$AR$2048*(('Dvd Calendar'!$E$2050:$AR$2050=TYPE1)*(TYPE1&lt;&gt;"")+('Dvd Calendar'!$E$2050:$AR$2050=TYPE2)*(TYPE2&lt;&gt;"")+('Dvd Calendar'!$E$2050:$AR$2050=TYPE3)*(TYPE3&lt;&gt;"")+('Dvd Calendar'!$E$2050:$AR$2050=TYPE4)*(TYPE4&lt;&gt;"")+('Dvd Calendar'!$E$2050:$AR$2050=SPECIAL_LBL)*(INC_SPECIALS="Y"))))</f>
        <v/>
      </c>
      <c r="K196" s="133">
        <f>IF($C196="","",HSCEI!$J$51)</f>
        <v/>
      </c>
      <c r="L196" s="133">
        <f>IF($C196="","",HSCEI!$K$51)</f>
        <v/>
      </c>
      <c r="M196" s="124">
        <f>IF($C196="","",HSCEI!$J$51+HSCEI!$L$51)</f>
        <v/>
      </c>
      <c r="N196" s="134">
        <f>IF($C196="","",IF(PULL_FUND="N","",IFERROR(BDP($C196,BESTDPS_FIELD,FWD_OVERRIDE,TEXT(MOD(YEAR_Y,100),"00")&amp;"Y"),"")))</f>
        <v/>
      </c>
      <c r="O196" s="133">
        <f>IF($C196="","",AVERAGE(F196:J196))</f>
        <v/>
      </c>
      <c r="P196" s="135">
        <f>IF($C196="","",IF(PULL_FUND="N","",IF(COUNTIFS('Fund History'!$J$1120:$J$1124,"&gt;="&amp;DATE(YEAR_Y-5,1,1),'Fund History'!$J$1120:$J$1124,"&lt;="&amp;DATE(YEAR_Y-5,12,31))=0,"",IFERROR($F196*HSCEI!$G$51/SUMIFS('Fund History'!$K$1120:$K$1124,'Fund History'!$J$1120:$J$1124,"&gt;="&amp;DATE(YEAR_Y-5,1,1),'Fund History'!$J$1120:$J$1124,"&lt;="&amp;DATE(YEAR_Y-5,12,31)),""))))</f>
        <v/>
      </c>
      <c r="Q196" s="136">
        <f>IF($C196="","",IF(PULL_FUND="N","",IF(COUNTIFS('Fund History'!$J$1120:$J$1124,"&gt;="&amp;DATE(YEAR_Y-4,1,1),'Fund History'!$J$1120:$J$1124,"&lt;="&amp;DATE(YEAR_Y-4,12,31))=0,"",IFERROR($G196*HSCEI!$G$51/SUMIFS('Fund History'!$K$1120:$K$1124,'Fund History'!$J$1120:$J$1124,"&gt;="&amp;DATE(YEAR_Y-4,1,1),'Fund History'!$J$1120:$J$1124,"&lt;="&amp;DATE(YEAR_Y-4,12,31)),""))))</f>
        <v/>
      </c>
      <c r="R196" s="136">
        <f>IF($C196="","",IF(PULL_FUND="N","",IF(COUNTIFS('Fund History'!$J$1120:$J$1124,"&gt;="&amp;DATE(YEAR_Y-3,1,1),'Fund History'!$J$1120:$J$1124,"&lt;="&amp;DATE(YEAR_Y-3,12,31))=0,"",IFERROR($H196*HSCEI!$G$51/SUMIFS('Fund History'!$K$1120:$K$1124,'Fund History'!$J$1120:$J$1124,"&gt;="&amp;DATE(YEAR_Y-3,1,1),'Fund History'!$J$1120:$J$1124,"&lt;="&amp;DATE(YEAR_Y-3,12,31)),""))))</f>
        <v/>
      </c>
      <c r="S196" s="136">
        <f>IF($C196="","",IF(PULL_FUND="N","",IF(COUNTIFS('Fund History'!$J$1120:$J$1124,"&gt;="&amp;DATE(YEAR_Y-2,1,1),'Fund History'!$J$1120:$J$1124,"&lt;="&amp;DATE(YEAR_Y-2,12,31))=0,"",IFERROR($I196*HSCEI!$G$51/SUMIFS('Fund History'!$K$1120:$K$1124,'Fund History'!$J$1120:$J$1124,"&gt;="&amp;DATE(YEAR_Y-2,1,1),'Fund History'!$J$1120:$J$1124,"&lt;="&amp;DATE(YEAR_Y-2,12,31)),""))))</f>
        <v/>
      </c>
      <c r="T196" s="136">
        <f>IF($C196="","",IF(PULL_FUND="N","",IF(COUNTIFS('Fund History'!$J$1120:$J$1124,"&gt;="&amp;DATE(YEAR_Y-1,1,1),'Fund History'!$J$1120:$J$1124,"&lt;="&amp;DATE(YEAR_Y-1,12,31))=0,"",IFERROR($J196*HSCEI!$G$51/SUMIFS('Fund History'!$K$1120:$K$1124,'Fund History'!$J$1120:$J$1124,"&gt;="&amp;DATE(YEAR_Y-1,1,1),'Fund History'!$J$1120:$J$1124,"&lt;="&amp;DATE(YEAR_Y-1,12,31)),""))))</f>
        <v/>
      </c>
      <c r="U196" s="137">
        <f>IF($C196="","",IF(ISNUMBER(HSCEI!$I$51),HSCEI!$I$51/100,""))</f>
        <v/>
      </c>
      <c r="V196" s="138">
        <f>IF($C196="","",IF(ISNUMBER(HSCEI!$X$51),IFERROR($M196*HSCEI!$G$51/HSCEI!$X$51,""),""))</f>
        <v/>
      </c>
      <c r="W196" s="137">
        <f>IF($C196="","",IF(ISNUMBER($N196),IFERROR($N196*HSCEI!$G$51/HSCEI!$X$51,""),""))</f>
        <v/>
      </c>
      <c r="X196" s="139">
        <f>IF($C196="","",IF(PULL_FUND="N","",IFERROR(BDP($C196,EPS_FIELD,YR_OVERRIDE,TEXT(YEAR_Y-5,"0")),"")))</f>
        <v/>
      </c>
      <c r="Y196" s="140">
        <f>IF($C196="","",IF(PULL_FUND="N","",IFERROR(BDP($C196,EPS_FIELD,YR_OVERRIDE,TEXT(YEAR_Y-4,"0")),"")))</f>
        <v/>
      </c>
      <c r="Z196" s="140">
        <f>IF($C196="","",IF(PULL_FUND="N","",IFERROR(BDP($C196,EPS_FIELD,YR_OVERRIDE,TEXT(YEAR_Y-3,"0")),"")))</f>
        <v/>
      </c>
      <c r="AA196" s="140">
        <f>IF($C196="","",IF(PULL_FUND="N","",IFERROR(BDP($C196,EPS_FIELD,YR_OVERRIDE,TEXT(YEAR_Y-2,"0")),"")))</f>
        <v/>
      </c>
      <c r="AB196" s="140">
        <f>IF($C196="","",IF(PULL_FUND="N","",IFERROR(BDP($C196,EPS_FIELD,YR_OVERRIDE,TEXT(YEAR_Y-1,"0")),"")))</f>
        <v/>
      </c>
      <c r="AC196" s="126">
        <f>IF($C196="","",IFERROR(AVERAGE(X196:AB196),""))</f>
        <v/>
      </c>
      <c r="AD196" s="140">
        <f>IF($C196="","",IF(PULL_FUND="N","",IFERROR(BDP($C196,BESTEPS_FIELD,FWD_OVERRIDE,TEXT(MOD(YEAR_Y,100),"00")&amp;"Y"),"")))</f>
        <v/>
      </c>
      <c r="AE196" s="141">
        <f>IF($C196="","",IF(PULL_FUND="N","",IFERROR(BDP($C196,PAYOUT_FIELD,YR_OVERRIDE,TEXT(YEAR_Y-5,"0"))/100,"")))</f>
        <v/>
      </c>
      <c r="AF196" s="142">
        <f>IF($C196="","",IF(PULL_FUND="N","",IFERROR(BDP($C196,PAYOUT_FIELD,YR_OVERRIDE,TEXT(YEAR_Y-4,"0"))/100,"")))</f>
        <v/>
      </c>
      <c r="AG196" s="142">
        <f>IF($C196="","",IF(PULL_FUND="N","",IFERROR(BDP($C196,PAYOUT_FIELD,YR_OVERRIDE,TEXT(YEAR_Y-3,"0"))/100,"")))</f>
        <v/>
      </c>
      <c r="AH196" s="142">
        <f>IF($C196="","",IF(PULL_FUND="N","",IFERROR(BDP($C196,PAYOUT_FIELD,YR_OVERRIDE,TEXT(YEAR_Y-2,"0"))/100,"")))</f>
        <v/>
      </c>
      <c r="AI196" s="142">
        <f>IF($C196="","",IF(PULL_FUND="N","",IFERROR(BDP($C196,PAYOUT_FIELD,YR_OVERRIDE,TEXT(YEAR_Y-1,"0"))/100,"")))</f>
        <v/>
      </c>
      <c r="AJ196" s="143">
        <f>IF($C196="","",IFERROR(AVERAGE(AE196:AI196),""))</f>
        <v/>
      </c>
      <c r="AK196" s="144">
        <f>IF($C196="","",IF(ISNUMBER($AD196)*ISNUMBER($N196)*($AD196&lt;&gt;0)=0,"",$N196/$AD196))</f>
        <v/>
      </c>
      <c r="AL196" s="143">
        <f>IF($C196="","",IF(ISNUMBER($AD196)*($AD196&lt;&gt;0)=0,"",$M196/$AD196))</f>
        <v/>
      </c>
      <c r="AM196" s="37">
        <f>IF($C196="","",IF(ISNUMBER($AE196)*ISNUMBER($AI196)=0,"",IF($AI196&gt;$AE196+0.05,"rising",IF($AI196&lt;$AE196-0.05,"falling","stable"))))</f>
        <v/>
      </c>
      <c r="AN196" s="145">
        <f>IF($C196="","",IF(PULL_FUND="N","",IF(COUNTIFS('Fund History'!$G$1120:$G$1124,"&gt;="&amp;DATE(YEAR_Y-4,1,1),'Fund History'!$G$1120:$G$1124,"&lt;="&amp;DATE(YEAR_Y-4,12,31))=0,"",SUMIFS('Fund History'!$H$1120:$H$1124,'Fund History'!$G$1120:$G$1124,"&gt;="&amp;DATE(YEAR_Y-4,1,1),'Fund History'!$G$1120:$G$1124,"&lt;="&amp;DATE(YEAR_Y-4,12,31))/100)))</f>
        <v/>
      </c>
      <c r="AO196" s="146">
        <f>IF($C196="","",IF(PULL_FUND="N","",IF(COUNTIFS('Fund History'!$G$1120:$G$1124,"&gt;="&amp;DATE(YEAR_Y-3,1,1),'Fund History'!$G$1120:$G$1124,"&lt;="&amp;DATE(YEAR_Y-3,12,31))=0,"",SUMIFS('Fund History'!$H$1120:$H$1124,'Fund History'!$G$1120:$G$1124,"&gt;="&amp;DATE(YEAR_Y-3,1,1),'Fund History'!$G$1120:$G$1124,"&lt;="&amp;DATE(YEAR_Y-3,12,31))/100)))</f>
        <v/>
      </c>
      <c r="AP196" s="146">
        <f>IF($C196="","",IF(PULL_FUND="N","",IF(COUNTIFS('Fund History'!$G$1120:$G$1124,"&gt;="&amp;DATE(YEAR_Y-2,1,1),'Fund History'!$G$1120:$G$1124,"&lt;="&amp;DATE(YEAR_Y-2,12,31))=0,"",SUMIFS('Fund History'!$H$1120:$H$1124,'Fund History'!$G$1120:$G$1124,"&gt;="&amp;DATE(YEAR_Y-2,1,1),'Fund History'!$G$1120:$G$1124,"&lt;="&amp;DATE(YEAR_Y-2,12,31))/100)))</f>
        <v/>
      </c>
      <c r="AQ196" s="146">
        <f>IF($C196="","",IF(PULL_FUND="N","",IF(COUNTIFS('Fund History'!$G$1120:$G$1124,"&gt;="&amp;DATE(YEAR_Y-1,1,1),'Fund History'!$G$1120:$G$1124,"&lt;="&amp;DATE(YEAR_Y-1,12,31))=0,"",SUMIFS('Fund History'!$H$1120:$H$1124,'Fund History'!$G$1120:$G$1124,"&gt;="&amp;DATE(YEAR_Y-1,1,1),'Fund History'!$G$1120:$G$1124,"&lt;="&amp;DATE(YEAR_Y-1,12,31))/100)))</f>
        <v/>
      </c>
      <c r="AR196" s="147">
        <f>IF($C196="","",IF(N($AQ196)+N(HSCEI!$I$51)=0,"",N($AQ196)+N(HSCEI!$I$51)/100))</f>
        <v/>
      </c>
      <c r="AS196" s="139">
        <f>IF($C196="","",IF(PULL_FUND="N","",IF(COUNTIFS('Fund History'!$D$1120:$D$1124,"&gt;="&amp;DATE(YEAR_Y-2,1,1),'Fund History'!$D$1120:$D$1124,"&lt;="&amp;DATE(YEAR_Y-2,12,31))=0,"",SUMIFS('Fund History'!$E$1120:$E$1124,'Fund History'!$D$1120:$D$1124,"&gt;="&amp;DATE(YEAR_Y-2,1,1),'Fund History'!$D$1120:$D$1124,"&lt;="&amp;DATE(YEAR_Y-2,12,31)))))</f>
        <v/>
      </c>
      <c r="AT196" s="140">
        <f>IF($C196="","",IF(PULL_FUND="N","",IF(COUNTIFS('Fund History'!$D$1120:$D$1124,"&gt;="&amp;DATE(YEAR_Y-1,1,1),'Fund History'!$D$1120:$D$1124,"&lt;="&amp;DATE(YEAR_Y-1,12,31))=0,"",SUMIFS('Fund History'!$E$1120:$E$1124,'Fund History'!$D$1120:$D$1124,"&gt;="&amp;DATE(YEAR_Y-1,1,1),'Fund History'!$D$1120:$D$1124,"&lt;="&amp;DATE(YEAR_Y-1,12,31)))))</f>
        <v/>
      </c>
      <c r="AU196" s="140">
        <f>IF($C196="","",IF(PULL_FUND="N","",IFERROR(BDP($C196,NDEBITDA_FIELD),"")))</f>
        <v/>
      </c>
      <c r="AV196" s="148">
        <f>IF($C196="","",IF(PULL_FUND="N","",IFERROR(BDP($C196,EBINT_FIELD),"")))</f>
        <v/>
      </c>
      <c r="AW196" s="146">
        <f>IF($C196="","",IF(PULL_FUND="N","",IFERROR(BDP($C196,FCF_FIELD)/100,"")))</f>
        <v/>
      </c>
      <c r="AX196" s="126">
        <f>IF($C196="","",IF(N($U196)=0,"",IFERROR($AW196/$U196,"")))</f>
        <v/>
      </c>
      <c r="AY196" s="85">
        <f>IF($C196="","",TRIM(IF(ISNUMBER($AJ196)*(N($AJ196)&gt;$D$4)&gt;0,"payout high  ","")&amp;IF(ISNUMBER($AX196)*(N($AX196)&lt;$F$4)&gt;0,"FCF below dvd  ","")&amp;IF(ISNUMBER($AU196)*(N($AU196)&gt;$H$4)&gt;0,"leverage high","")))</f>
        <v/>
      </c>
      <c r="AZ196" s="86">
        <f>IF($C196="","",IF(HSCEI!$F$51="HKD","",HSCEI!$F$51))</f>
        <v/>
      </c>
    </row>
    <row r="197">
      <c r="B197" s="66" t="inlineStr">
        <is>
          <t>HSCEI</t>
        </is>
      </c>
      <c r="C197" s="8">
        <f>IF(HSCEI!$C$52="","",HSCEI!$C$52)</f>
        <v/>
      </c>
      <c r="D197" s="8">
        <f>IF($C197="","",HSCEI!$D$52)</f>
        <v/>
      </c>
      <c r="E197" s="8">
        <f>IF($C197="","",HSCEI!$E$52)</f>
        <v/>
      </c>
      <c r="F197" s="131">
        <f>IF($C197="","",SUMPRODUCT(('Dvd Calendar'!$E$2056:$AR$2056&gt;=DATE(YEAR_Y-5,1,1))*('Dvd Calendar'!$E$2056:$AR$2056&lt;=DATE(YEAR_Y-5,12,31))*'Dvd Calendar'!$E$2059:$AR$2059*(('Dvd Calendar'!$E$2061:$AR$2061=TYPE1)*(TYPE1&lt;&gt;"")+('Dvd Calendar'!$E$2061:$AR$2061=TYPE2)*(TYPE2&lt;&gt;"")+('Dvd Calendar'!$E$2061:$AR$2061=TYPE3)*(TYPE3&lt;&gt;"")+('Dvd Calendar'!$E$2061:$AR$2061=TYPE4)*(TYPE4&lt;&gt;"")+('Dvd Calendar'!$E$2061:$AR$2061=SPECIAL_LBL)*(INC_SPECIALS="Y"))))</f>
        <v/>
      </c>
      <c r="G197" s="132">
        <f>IF($C197="","",SUMPRODUCT(('Dvd Calendar'!$E$2056:$AR$2056&gt;=DATE(YEAR_Y-4,1,1))*('Dvd Calendar'!$E$2056:$AR$2056&lt;=DATE(YEAR_Y-4,12,31))*'Dvd Calendar'!$E$2059:$AR$2059*(('Dvd Calendar'!$E$2061:$AR$2061=TYPE1)*(TYPE1&lt;&gt;"")+('Dvd Calendar'!$E$2061:$AR$2061=TYPE2)*(TYPE2&lt;&gt;"")+('Dvd Calendar'!$E$2061:$AR$2061=TYPE3)*(TYPE3&lt;&gt;"")+('Dvd Calendar'!$E$2061:$AR$2061=TYPE4)*(TYPE4&lt;&gt;"")+('Dvd Calendar'!$E$2061:$AR$2061=SPECIAL_LBL)*(INC_SPECIALS="Y"))))</f>
        <v/>
      </c>
      <c r="H197" s="132">
        <f>IF($C197="","",SUMPRODUCT(('Dvd Calendar'!$E$2056:$AR$2056&gt;=DATE(YEAR_Y-3,1,1))*('Dvd Calendar'!$E$2056:$AR$2056&lt;=DATE(YEAR_Y-3,12,31))*'Dvd Calendar'!$E$2059:$AR$2059*(('Dvd Calendar'!$E$2061:$AR$2061=TYPE1)*(TYPE1&lt;&gt;"")+('Dvd Calendar'!$E$2061:$AR$2061=TYPE2)*(TYPE2&lt;&gt;"")+('Dvd Calendar'!$E$2061:$AR$2061=TYPE3)*(TYPE3&lt;&gt;"")+('Dvd Calendar'!$E$2061:$AR$2061=TYPE4)*(TYPE4&lt;&gt;"")+('Dvd Calendar'!$E$2061:$AR$2061=SPECIAL_LBL)*(INC_SPECIALS="Y"))))</f>
        <v/>
      </c>
      <c r="I197" s="132">
        <f>IF($C197="","",SUMPRODUCT(('Dvd Calendar'!$E$2056:$AR$2056&gt;=DATE(YEAR_Y-2,1,1))*('Dvd Calendar'!$E$2056:$AR$2056&lt;=DATE(YEAR_Y-2,12,31))*'Dvd Calendar'!$E$2059:$AR$2059*(('Dvd Calendar'!$E$2061:$AR$2061=TYPE1)*(TYPE1&lt;&gt;"")+('Dvd Calendar'!$E$2061:$AR$2061=TYPE2)*(TYPE2&lt;&gt;"")+('Dvd Calendar'!$E$2061:$AR$2061=TYPE3)*(TYPE3&lt;&gt;"")+('Dvd Calendar'!$E$2061:$AR$2061=TYPE4)*(TYPE4&lt;&gt;"")+('Dvd Calendar'!$E$2061:$AR$2061=SPECIAL_LBL)*(INC_SPECIALS="Y"))))</f>
        <v/>
      </c>
      <c r="J197" s="132">
        <f>IF($C197="","",SUMPRODUCT(('Dvd Calendar'!$E$2056:$AR$2056&gt;=DATE(YEAR_Y-1,1,1))*('Dvd Calendar'!$E$2056:$AR$2056&lt;=DATE(YEAR_Y-1,12,31))*'Dvd Calendar'!$E$2059:$AR$2059*(('Dvd Calendar'!$E$2061:$AR$2061=TYPE1)*(TYPE1&lt;&gt;"")+('Dvd Calendar'!$E$2061:$AR$2061=TYPE2)*(TYPE2&lt;&gt;"")+('Dvd Calendar'!$E$2061:$AR$2061=TYPE3)*(TYPE3&lt;&gt;"")+('Dvd Calendar'!$E$2061:$AR$2061=TYPE4)*(TYPE4&lt;&gt;"")+('Dvd Calendar'!$E$2061:$AR$2061=SPECIAL_LBL)*(INC_SPECIALS="Y"))))</f>
        <v/>
      </c>
      <c r="K197" s="133">
        <f>IF($C197="","",HSCEI!$J$52)</f>
        <v/>
      </c>
      <c r="L197" s="133">
        <f>IF($C197="","",HSCEI!$K$52)</f>
        <v/>
      </c>
      <c r="M197" s="124">
        <f>IF($C197="","",HSCEI!$J$52+HSCEI!$L$52)</f>
        <v/>
      </c>
      <c r="N197" s="134">
        <f>IF($C197="","",IF(PULL_FUND="N","",IFERROR(BDP($C197,BESTDPS_FIELD,FWD_OVERRIDE,TEXT(MOD(YEAR_Y,100),"00")&amp;"Y"),"")))</f>
        <v/>
      </c>
      <c r="O197" s="133">
        <f>IF($C197="","",AVERAGE(F197:J197))</f>
        <v/>
      </c>
      <c r="P197" s="135">
        <f>IF($C197="","",IF(PULL_FUND="N","",IF(COUNTIFS('Fund History'!$J$1126:$J$1130,"&gt;="&amp;DATE(YEAR_Y-5,1,1),'Fund History'!$J$1126:$J$1130,"&lt;="&amp;DATE(YEAR_Y-5,12,31))=0,"",IFERROR($F197*HSCEI!$G$52/SUMIFS('Fund History'!$K$1126:$K$1130,'Fund History'!$J$1126:$J$1130,"&gt;="&amp;DATE(YEAR_Y-5,1,1),'Fund History'!$J$1126:$J$1130,"&lt;="&amp;DATE(YEAR_Y-5,12,31)),""))))</f>
        <v/>
      </c>
      <c r="Q197" s="136">
        <f>IF($C197="","",IF(PULL_FUND="N","",IF(COUNTIFS('Fund History'!$J$1126:$J$1130,"&gt;="&amp;DATE(YEAR_Y-4,1,1),'Fund History'!$J$1126:$J$1130,"&lt;="&amp;DATE(YEAR_Y-4,12,31))=0,"",IFERROR($G197*HSCEI!$G$52/SUMIFS('Fund History'!$K$1126:$K$1130,'Fund History'!$J$1126:$J$1130,"&gt;="&amp;DATE(YEAR_Y-4,1,1),'Fund History'!$J$1126:$J$1130,"&lt;="&amp;DATE(YEAR_Y-4,12,31)),""))))</f>
        <v/>
      </c>
      <c r="R197" s="136">
        <f>IF($C197="","",IF(PULL_FUND="N","",IF(COUNTIFS('Fund History'!$J$1126:$J$1130,"&gt;="&amp;DATE(YEAR_Y-3,1,1),'Fund History'!$J$1126:$J$1130,"&lt;="&amp;DATE(YEAR_Y-3,12,31))=0,"",IFERROR($H197*HSCEI!$G$52/SUMIFS('Fund History'!$K$1126:$K$1130,'Fund History'!$J$1126:$J$1130,"&gt;="&amp;DATE(YEAR_Y-3,1,1),'Fund History'!$J$1126:$J$1130,"&lt;="&amp;DATE(YEAR_Y-3,12,31)),""))))</f>
        <v/>
      </c>
      <c r="S197" s="136">
        <f>IF($C197="","",IF(PULL_FUND="N","",IF(COUNTIFS('Fund History'!$J$1126:$J$1130,"&gt;="&amp;DATE(YEAR_Y-2,1,1),'Fund History'!$J$1126:$J$1130,"&lt;="&amp;DATE(YEAR_Y-2,12,31))=0,"",IFERROR($I197*HSCEI!$G$52/SUMIFS('Fund History'!$K$1126:$K$1130,'Fund History'!$J$1126:$J$1130,"&gt;="&amp;DATE(YEAR_Y-2,1,1),'Fund History'!$J$1126:$J$1130,"&lt;="&amp;DATE(YEAR_Y-2,12,31)),""))))</f>
        <v/>
      </c>
      <c r="T197" s="136">
        <f>IF($C197="","",IF(PULL_FUND="N","",IF(COUNTIFS('Fund History'!$J$1126:$J$1130,"&gt;="&amp;DATE(YEAR_Y-1,1,1),'Fund History'!$J$1126:$J$1130,"&lt;="&amp;DATE(YEAR_Y-1,12,31))=0,"",IFERROR($J197*HSCEI!$G$52/SUMIFS('Fund History'!$K$1126:$K$1130,'Fund History'!$J$1126:$J$1130,"&gt;="&amp;DATE(YEAR_Y-1,1,1),'Fund History'!$J$1126:$J$1130,"&lt;="&amp;DATE(YEAR_Y-1,12,31)),""))))</f>
        <v/>
      </c>
      <c r="U197" s="137">
        <f>IF($C197="","",IF(ISNUMBER(HSCEI!$I$52),HSCEI!$I$52/100,""))</f>
        <v/>
      </c>
      <c r="V197" s="138">
        <f>IF($C197="","",IF(ISNUMBER(HSCEI!$X$52),IFERROR($M197*HSCEI!$G$52/HSCEI!$X$52,""),""))</f>
        <v/>
      </c>
      <c r="W197" s="137">
        <f>IF($C197="","",IF(ISNUMBER($N197),IFERROR($N197*HSCEI!$G$52/HSCEI!$X$52,""),""))</f>
        <v/>
      </c>
      <c r="X197" s="139">
        <f>IF($C197="","",IF(PULL_FUND="N","",IFERROR(BDP($C197,EPS_FIELD,YR_OVERRIDE,TEXT(YEAR_Y-5,"0")),"")))</f>
        <v/>
      </c>
      <c r="Y197" s="140">
        <f>IF($C197="","",IF(PULL_FUND="N","",IFERROR(BDP($C197,EPS_FIELD,YR_OVERRIDE,TEXT(YEAR_Y-4,"0")),"")))</f>
        <v/>
      </c>
      <c r="Z197" s="140">
        <f>IF($C197="","",IF(PULL_FUND="N","",IFERROR(BDP($C197,EPS_FIELD,YR_OVERRIDE,TEXT(YEAR_Y-3,"0")),"")))</f>
        <v/>
      </c>
      <c r="AA197" s="140">
        <f>IF($C197="","",IF(PULL_FUND="N","",IFERROR(BDP($C197,EPS_FIELD,YR_OVERRIDE,TEXT(YEAR_Y-2,"0")),"")))</f>
        <v/>
      </c>
      <c r="AB197" s="140">
        <f>IF($C197="","",IF(PULL_FUND="N","",IFERROR(BDP($C197,EPS_FIELD,YR_OVERRIDE,TEXT(YEAR_Y-1,"0")),"")))</f>
        <v/>
      </c>
      <c r="AC197" s="126">
        <f>IF($C197="","",IFERROR(AVERAGE(X197:AB197),""))</f>
        <v/>
      </c>
      <c r="AD197" s="140">
        <f>IF($C197="","",IF(PULL_FUND="N","",IFERROR(BDP($C197,BESTEPS_FIELD,FWD_OVERRIDE,TEXT(MOD(YEAR_Y,100),"00")&amp;"Y"),"")))</f>
        <v/>
      </c>
      <c r="AE197" s="141">
        <f>IF($C197="","",IF(PULL_FUND="N","",IFERROR(BDP($C197,PAYOUT_FIELD,YR_OVERRIDE,TEXT(YEAR_Y-5,"0"))/100,"")))</f>
        <v/>
      </c>
      <c r="AF197" s="142">
        <f>IF($C197="","",IF(PULL_FUND="N","",IFERROR(BDP($C197,PAYOUT_FIELD,YR_OVERRIDE,TEXT(YEAR_Y-4,"0"))/100,"")))</f>
        <v/>
      </c>
      <c r="AG197" s="142">
        <f>IF($C197="","",IF(PULL_FUND="N","",IFERROR(BDP($C197,PAYOUT_FIELD,YR_OVERRIDE,TEXT(YEAR_Y-3,"0"))/100,"")))</f>
        <v/>
      </c>
      <c r="AH197" s="142">
        <f>IF($C197="","",IF(PULL_FUND="N","",IFERROR(BDP($C197,PAYOUT_FIELD,YR_OVERRIDE,TEXT(YEAR_Y-2,"0"))/100,"")))</f>
        <v/>
      </c>
      <c r="AI197" s="142">
        <f>IF($C197="","",IF(PULL_FUND="N","",IFERROR(BDP($C197,PAYOUT_FIELD,YR_OVERRIDE,TEXT(YEAR_Y-1,"0"))/100,"")))</f>
        <v/>
      </c>
      <c r="AJ197" s="143">
        <f>IF($C197="","",IFERROR(AVERAGE(AE197:AI197),""))</f>
        <v/>
      </c>
      <c r="AK197" s="144">
        <f>IF($C197="","",IF(ISNUMBER($AD197)*ISNUMBER($N197)*($AD197&lt;&gt;0)=0,"",$N197/$AD197))</f>
        <v/>
      </c>
      <c r="AL197" s="143">
        <f>IF($C197="","",IF(ISNUMBER($AD197)*($AD197&lt;&gt;0)=0,"",$M197/$AD197))</f>
        <v/>
      </c>
      <c r="AM197" s="37">
        <f>IF($C197="","",IF(ISNUMBER($AE197)*ISNUMBER($AI197)=0,"",IF($AI197&gt;$AE197+0.05,"rising",IF($AI197&lt;$AE197-0.05,"falling","stable"))))</f>
        <v/>
      </c>
      <c r="AN197" s="145">
        <f>IF($C197="","",IF(PULL_FUND="N","",IF(COUNTIFS('Fund History'!$G$1126:$G$1130,"&gt;="&amp;DATE(YEAR_Y-4,1,1),'Fund History'!$G$1126:$G$1130,"&lt;="&amp;DATE(YEAR_Y-4,12,31))=0,"",SUMIFS('Fund History'!$H$1126:$H$1130,'Fund History'!$G$1126:$G$1130,"&gt;="&amp;DATE(YEAR_Y-4,1,1),'Fund History'!$G$1126:$G$1130,"&lt;="&amp;DATE(YEAR_Y-4,12,31))/100)))</f>
        <v/>
      </c>
      <c r="AO197" s="146">
        <f>IF($C197="","",IF(PULL_FUND="N","",IF(COUNTIFS('Fund History'!$G$1126:$G$1130,"&gt;="&amp;DATE(YEAR_Y-3,1,1),'Fund History'!$G$1126:$G$1130,"&lt;="&amp;DATE(YEAR_Y-3,12,31))=0,"",SUMIFS('Fund History'!$H$1126:$H$1130,'Fund History'!$G$1126:$G$1130,"&gt;="&amp;DATE(YEAR_Y-3,1,1),'Fund History'!$G$1126:$G$1130,"&lt;="&amp;DATE(YEAR_Y-3,12,31))/100)))</f>
        <v/>
      </c>
      <c r="AP197" s="146">
        <f>IF($C197="","",IF(PULL_FUND="N","",IF(COUNTIFS('Fund History'!$G$1126:$G$1130,"&gt;="&amp;DATE(YEAR_Y-2,1,1),'Fund History'!$G$1126:$G$1130,"&lt;="&amp;DATE(YEAR_Y-2,12,31))=0,"",SUMIFS('Fund History'!$H$1126:$H$1130,'Fund History'!$G$1126:$G$1130,"&gt;="&amp;DATE(YEAR_Y-2,1,1),'Fund History'!$G$1126:$G$1130,"&lt;="&amp;DATE(YEAR_Y-2,12,31))/100)))</f>
        <v/>
      </c>
      <c r="AQ197" s="146">
        <f>IF($C197="","",IF(PULL_FUND="N","",IF(COUNTIFS('Fund History'!$G$1126:$G$1130,"&gt;="&amp;DATE(YEAR_Y-1,1,1),'Fund History'!$G$1126:$G$1130,"&lt;="&amp;DATE(YEAR_Y-1,12,31))=0,"",SUMIFS('Fund History'!$H$1126:$H$1130,'Fund History'!$G$1126:$G$1130,"&gt;="&amp;DATE(YEAR_Y-1,1,1),'Fund History'!$G$1126:$G$1130,"&lt;="&amp;DATE(YEAR_Y-1,12,31))/100)))</f>
        <v/>
      </c>
      <c r="AR197" s="147">
        <f>IF($C197="","",IF(N($AQ197)+N(HSCEI!$I$52)=0,"",N($AQ197)+N(HSCEI!$I$52)/100))</f>
        <v/>
      </c>
      <c r="AS197" s="139">
        <f>IF($C197="","",IF(PULL_FUND="N","",IF(COUNTIFS('Fund History'!$D$1126:$D$1130,"&gt;="&amp;DATE(YEAR_Y-2,1,1),'Fund History'!$D$1126:$D$1130,"&lt;="&amp;DATE(YEAR_Y-2,12,31))=0,"",SUMIFS('Fund History'!$E$1126:$E$1130,'Fund History'!$D$1126:$D$1130,"&gt;="&amp;DATE(YEAR_Y-2,1,1),'Fund History'!$D$1126:$D$1130,"&lt;="&amp;DATE(YEAR_Y-2,12,31)))))</f>
        <v/>
      </c>
      <c r="AT197" s="140">
        <f>IF($C197="","",IF(PULL_FUND="N","",IF(COUNTIFS('Fund History'!$D$1126:$D$1130,"&gt;="&amp;DATE(YEAR_Y-1,1,1),'Fund History'!$D$1126:$D$1130,"&lt;="&amp;DATE(YEAR_Y-1,12,31))=0,"",SUMIFS('Fund History'!$E$1126:$E$1130,'Fund History'!$D$1126:$D$1130,"&gt;="&amp;DATE(YEAR_Y-1,1,1),'Fund History'!$D$1126:$D$1130,"&lt;="&amp;DATE(YEAR_Y-1,12,31)))))</f>
        <v/>
      </c>
      <c r="AU197" s="140">
        <f>IF($C197="","",IF(PULL_FUND="N","",IFERROR(BDP($C197,NDEBITDA_FIELD),"")))</f>
        <v/>
      </c>
      <c r="AV197" s="148">
        <f>IF($C197="","",IF(PULL_FUND="N","",IFERROR(BDP($C197,EBINT_FIELD),"")))</f>
        <v/>
      </c>
      <c r="AW197" s="146">
        <f>IF($C197="","",IF(PULL_FUND="N","",IFERROR(BDP($C197,FCF_FIELD)/100,"")))</f>
        <v/>
      </c>
      <c r="AX197" s="126">
        <f>IF($C197="","",IF(N($U197)=0,"",IFERROR($AW197/$U197,"")))</f>
        <v/>
      </c>
      <c r="AY197" s="85">
        <f>IF($C197="","",TRIM(IF(ISNUMBER($AJ197)*(N($AJ197)&gt;$D$4)&gt;0,"payout high  ","")&amp;IF(ISNUMBER($AX197)*(N($AX197)&lt;$F$4)&gt;0,"FCF below dvd  ","")&amp;IF(ISNUMBER($AU197)*(N($AU197)&gt;$H$4)&gt;0,"leverage high","")))</f>
        <v/>
      </c>
      <c r="AZ197" s="86">
        <f>IF($C197="","",IF(HSCEI!$F$52="HKD","",HSCEI!$F$52))</f>
        <v/>
      </c>
    </row>
    <row r="198">
      <c r="B198" s="66" t="inlineStr">
        <is>
          <t>HSCEI</t>
        </is>
      </c>
      <c r="C198" s="8">
        <f>IF(HSCEI!$C$53="","",HSCEI!$C$53)</f>
        <v/>
      </c>
      <c r="D198" s="8">
        <f>IF($C198="","",HSCEI!$D$53)</f>
        <v/>
      </c>
      <c r="E198" s="8">
        <f>IF($C198="","",HSCEI!$E$53)</f>
        <v/>
      </c>
      <c r="F198" s="131">
        <f>IF($C198="","",SUMPRODUCT(('Dvd Calendar'!$E$2067:$AR$2067&gt;=DATE(YEAR_Y-5,1,1))*('Dvd Calendar'!$E$2067:$AR$2067&lt;=DATE(YEAR_Y-5,12,31))*'Dvd Calendar'!$E$2070:$AR$2070*(('Dvd Calendar'!$E$2072:$AR$2072=TYPE1)*(TYPE1&lt;&gt;"")+('Dvd Calendar'!$E$2072:$AR$2072=TYPE2)*(TYPE2&lt;&gt;"")+('Dvd Calendar'!$E$2072:$AR$2072=TYPE3)*(TYPE3&lt;&gt;"")+('Dvd Calendar'!$E$2072:$AR$2072=TYPE4)*(TYPE4&lt;&gt;"")+('Dvd Calendar'!$E$2072:$AR$2072=SPECIAL_LBL)*(INC_SPECIALS="Y"))))</f>
        <v/>
      </c>
      <c r="G198" s="132">
        <f>IF($C198="","",SUMPRODUCT(('Dvd Calendar'!$E$2067:$AR$2067&gt;=DATE(YEAR_Y-4,1,1))*('Dvd Calendar'!$E$2067:$AR$2067&lt;=DATE(YEAR_Y-4,12,31))*'Dvd Calendar'!$E$2070:$AR$2070*(('Dvd Calendar'!$E$2072:$AR$2072=TYPE1)*(TYPE1&lt;&gt;"")+('Dvd Calendar'!$E$2072:$AR$2072=TYPE2)*(TYPE2&lt;&gt;"")+('Dvd Calendar'!$E$2072:$AR$2072=TYPE3)*(TYPE3&lt;&gt;"")+('Dvd Calendar'!$E$2072:$AR$2072=TYPE4)*(TYPE4&lt;&gt;"")+('Dvd Calendar'!$E$2072:$AR$2072=SPECIAL_LBL)*(INC_SPECIALS="Y"))))</f>
        <v/>
      </c>
      <c r="H198" s="132">
        <f>IF($C198="","",SUMPRODUCT(('Dvd Calendar'!$E$2067:$AR$2067&gt;=DATE(YEAR_Y-3,1,1))*('Dvd Calendar'!$E$2067:$AR$2067&lt;=DATE(YEAR_Y-3,12,31))*'Dvd Calendar'!$E$2070:$AR$2070*(('Dvd Calendar'!$E$2072:$AR$2072=TYPE1)*(TYPE1&lt;&gt;"")+('Dvd Calendar'!$E$2072:$AR$2072=TYPE2)*(TYPE2&lt;&gt;"")+('Dvd Calendar'!$E$2072:$AR$2072=TYPE3)*(TYPE3&lt;&gt;"")+('Dvd Calendar'!$E$2072:$AR$2072=TYPE4)*(TYPE4&lt;&gt;"")+('Dvd Calendar'!$E$2072:$AR$2072=SPECIAL_LBL)*(INC_SPECIALS="Y"))))</f>
        <v/>
      </c>
      <c r="I198" s="132">
        <f>IF($C198="","",SUMPRODUCT(('Dvd Calendar'!$E$2067:$AR$2067&gt;=DATE(YEAR_Y-2,1,1))*('Dvd Calendar'!$E$2067:$AR$2067&lt;=DATE(YEAR_Y-2,12,31))*'Dvd Calendar'!$E$2070:$AR$2070*(('Dvd Calendar'!$E$2072:$AR$2072=TYPE1)*(TYPE1&lt;&gt;"")+('Dvd Calendar'!$E$2072:$AR$2072=TYPE2)*(TYPE2&lt;&gt;"")+('Dvd Calendar'!$E$2072:$AR$2072=TYPE3)*(TYPE3&lt;&gt;"")+('Dvd Calendar'!$E$2072:$AR$2072=TYPE4)*(TYPE4&lt;&gt;"")+('Dvd Calendar'!$E$2072:$AR$2072=SPECIAL_LBL)*(INC_SPECIALS="Y"))))</f>
        <v/>
      </c>
      <c r="J198" s="132">
        <f>IF($C198="","",SUMPRODUCT(('Dvd Calendar'!$E$2067:$AR$2067&gt;=DATE(YEAR_Y-1,1,1))*('Dvd Calendar'!$E$2067:$AR$2067&lt;=DATE(YEAR_Y-1,12,31))*'Dvd Calendar'!$E$2070:$AR$2070*(('Dvd Calendar'!$E$2072:$AR$2072=TYPE1)*(TYPE1&lt;&gt;"")+('Dvd Calendar'!$E$2072:$AR$2072=TYPE2)*(TYPE2&lt;&gt;"")+('Dvd Calendar'!$E$2072:$AR$2072=TYPE3)*(TYPE3&lt;&gt;"")+('Dvd Calendar'!$E$2072:$AR$2072=TYPE4)*(TYPE4&lt;&gt;"")+('Dvd Calendar'!$E$2072:$AR$2072=SPECIAL_LBL)*(INC_SPECIALS="Y"))))</f>
        <v/>
      </c>
      <c r="K198" s="133">
        <f>IF($C198="","",HSCEI!$J$53)</f>
        <v/>
      </c>
      <c r="L198" s="133">
        <f>IF($C198="","",HSCEI!$K$53)</f>
        <v/>
      </c>
      <c r="M198" s="124">
        <f>IF($C198="","",HSCEI!$J$53+HSCEI!$L$53)</f>
        <v/>
      </c>
      <c r="N198" s="134">
        <f>IF($C198="","",IF(PULL_FUND="N","",IFERROR(BDP($C198,BESTDPS_FIELD,FWD_OVERRIDE,TEXT(MOD(YEAR_Y,100),"00")&amp;"Y"),"")))</f>
        <v/>
      </c>
      <c r="O198" s="133">
        <f>IF($C198="","",AVERAGE(F198:J198))</f>
        <v/>
      </c>
      <c r="P198" s="135">
        <f>IF($C198="","",IF(PULL_FUND="N","",IF(COUNTIFS('Fund History'!$J$1132:$J$1136,"&gt;="&amp;DATE(YEAR_Y-5,1,1),'Fund History'!$J$1132:$J$1136,"&lt;="&amp;DATE(YEAR_Y-5,12,31))=0,"",IFERROR($F198*HSCEI!$G$53/SUMIFS('Fund History'!$K$1132:$K$1136,'Fund History'!$J$1132:$J$1136,"&gt;="&amp;DATE(YEAR_Y-5,1,1),'Fund History'!$J$1132:$J$1136,"&lt;="&amp;DATE(YEAR_Y-5,12,31)),""))))</f>
        <v/>
      </c>
      <c r="Q198" s="136">
        <f>IF($C198="","",IF(PULL_FUND="N","",IF(COUNTIFS('Fund History'!$J$1132:$J$1136,"&gt;="&amp;DATE(YEAR_Y-4,1,1),'Fund History'!$J$1132:$J$1136,"&lt;="&amp;DATE(YEAR_Y-4,12,31))=0,"",IFERROR($G198*HSCEI!$G$53/SUMIFS('Fund History'!$K$1132:$K$1136,'Fund History'!$J$1132:$J$1136,"&gt;="&amp;DATE(YEAR_Y-4,1,1),'Fund History'!$J$1132:$J$1136,"&lt;="&amp;DATE(YEAR_Y-4,12,31)),""))))</f>
        <v/>
      </c>
      <c r="R198" s="136">
        <f>IF($C198="","",IF(PULL_FUND="N","",IF(COUNTIFS('Fund History'!$J$1132:$J$1136,"&gt;="&amp;DATE(YEAR_Y-3,1,1),'Fund History'!$J$1132:$J$1136,"&lt;="&amp;DATE(YEAR_Y-3,12,31))=0,"",IFERROR($H198*HSCEI!$G$53/SUMIFS('Fund History'!$K$1132:$K$1136,'Fund History'!$J$1132:$J$1136,"&gt;="&amp;DATE(YEAR_Y-3,1,1),'Fund History'!$J$1132:$J$1136,"&lt;="&amp;DATE(YEAR_Y-3,12,31)),""))))</f>
        <v/>
      </c>
      <c r="S198" s="136">
        <f>IF($C198="","",IF(PULL_FUND="N","",IF(COUNTIFS('Fund History'!$J$1132:$J$1136,"&gt;="&amp;DATE(YEAR_Y-2,1,1),'Fund History'!$J$1132:$J$1136,"&lt;="&amp;DATE(YEAR_Y-2,12,31))=0,"",IFERROR($I198*HSCEI!$G$53/SUMIFS('Fund History'!$K$1132:$K$1136,'Fund History'!$J$1132:$J$1136,"&gt;="&amp;DATE(YEAR_Y-2,1,1),'Fund History'!$J$1132:$J$1136,"&lt;="&amp;DATE(YEAR_Y-2,12,31)),""))))</f>
        <v/>
      </c>
      <c r="T198" s="136">
        <f>IF($C198="","",IF(PULL_FUND="N","",IF(COUNTIFS('Fund History'!$J$1132:$J$1136,"&gt;="&amp;DATE(YEAR_Y-1,1,1),'Fund History'!$J$1132:$J$1136,"&lt;="&amp;DATE(YEAR_Y-1,12,31))=0,"",IFERROR($J198*HSCEI!$G$53/SUMIFS('Fund History'!$K$1132:$K$1136,'Fund History'!$J$1132:$J$1136,"&gt;="&amp;DATE(YEAR_Y-1,1,1),'Fund History'!$J$1132:$J$1136,"&lt;="&amp;DATE(YEAR_Y-1,12,31)),""))))</f>
        <v/>
      </c>
      <c r="U198" s="137">
        <f>IF($C198="","",IF(ISNUMBER(HSCEI!$I$53),HSCEI!$I$53/100,""))</f>
        <v/>
      </c>
      <c r="V198" s="138">
        <f>IF($C198="","",IF(ISNUMBER(HSCEI!$X$53),IFERROR($M198*HSCEI!$G$53/HSCEI!$X$53,""),""))</f>
        <v/>
      </c>
      <c r="W198" s="137">
        <f>IF($C198="","",IF(ISNUMBER($N198),IFERROR($N198*HSCEI!$G$53/HSCEI!$X$53,""),""))</f>
        <v/>
      </c>
      <c r="X198" s="139">
        <f>IF($C198="","",IF(PULL_FUND="N","",IFERROR(BDP($C198,EPS_FIELD,YR_OVERRIDE,TEXT(YEAR_Y-5,"0")),"")))</f>
        <v/>
      </c>
      <c r="Y198" s="140">
        <f>IF($C198="","",IF(PULL_FUND="N","",IFERROR(BDP($C198,EPS_FIELD,YR_OVERRIDE,TEXT(YEAR_Y-4,"0")),"")))</f>
        <v/>
      </c>
      <c r="Z198" s="140">
        <f>IF($C198="","",IF(PULL_FUND="N","",IFERROR(BDP($C198,EPS_FIELD,YR_OVERRIDE,TEXT(YEAR_Y-3,"0")),"")))</f>
        <v/>
      </c>
      <c r="AA198" s="140">
        <f>IF($C198="","",IF(PULL_FUND="N","",IFERROR(BDP($C198,EPS_FIELD,YR_OVERRIDE,TEXT(YEAR_Y-2,"0")),"")))</f>
        <v/>
      </c>
      <c r="AB198" s="140">
        <f>IF($C198="","",IF(PULL_FUND="N","",IFERROR(BDP($C198,EPS_FIELD,YR_OVERRIDE,TEXT(YEAR_Y-1,"0")),"")))</f>
        <v/>
      </c>
      <c r="AC198" s="126">
        <f>IF($C198="","",IFERROR(AVERAGE(X198:AB198),""))</f>
        <v/>
      </c>
      <c r="AD198" s="140">
        <f>IF($C198="","",IF(PULL_FUND="N","",IFERROR(BDP($C198,BESTEPS_FIELD,FWD_OVERRIDE,TEXT(MOD(YEAR_Y,100),"00")&amp;"Y"),"")))</f>
        <v/>
      </c>
      <c r="AE198" s="141">
        <f>IF($C198="","",IF(PULL_FUND="N","",IFERROR(BDP($C198,PAYOUT_FIELD,YR_OVERRIDE,TEXT(YEAR_Y-5,"0"))/100,"")))</f>
        <v/>
      </c>
      <c r="AF198" s="142">
        <f>IF($C198="","",IF(PULL_FUND="N","",IFERROR(BDP($C198,PAYOUT_FIELD,YR_OVERRIDE,TEXT(YEAR_Y-4,"0"))/100,"")))</f>
        <v/>
      </c>
      <c r="AG198" s="142">
        <f>IF($C198="","",IF(PULL_FUND="N","",IFERROR(BDP($C198,PAYOUT_FIELD,YR_OVERRIDE,TEXT(YEAR_Y-3,"0"))/100,"")))</f>
        <v/>
      </c>
      <c r="AH198" s="142">
        <f>IF($C198="","",IF(PULL_FUND="N","",IFERROR(BDP($C198,PAYOUT_FIELD,YR_OVERRIDE,TEXT(YEAR_Y-2,"0"))/100,"")))</f>
        <v/>
      </c>
      <c r="AI198" s="142">
        <f>IF($C198="","",IF(PULL_FUND="N","",IFERROR(BDP($C198,PAYOUT_FIELD,YR_OVERRIDE,TEXT(YEAR_Y-1,"0"))/100,"")))</f>
        <v/>
      </c>
      <c r="AJ198" s="143">
        <f>IF($C198="","",IFERROR(AVERAGE(AE198:AI198),""))</f>
        <v/>
      </c>
      <c r="AK198" s="144">
        <f>IF($C198="","",IF(ISNUMBER($AD198)*ISNUMBER($N198)*($AD198&lt;&gt;0)=0,"",$N198/$AD198))</f>
        <v/>
      </c>
      <c r="AL198" s="143">
        <f>IF($C198="","",IF(ISNUMBER($AD198)*($AD198&lt;&gt;0)=0,"",$M198/$AD198))</f>
        <v/>
      </c>
      <c r="AM198" s="37">
        <f>IF($C198="","",IF(ISNUMBER($AE198)*ISNUMBER($AI198)=0,"",IF($AI198&gt;$AE198+0.05,"rising",IF($AI198&lt;$AE198-0.05,"falling","stable"))))</f>
        <v/>
      </c>
      <c r="AN198" s="145">
        <f>IF($C198="","",IF(PULL_FUND="N","",IF(COUNTIFS('Fund History'!$G$1132:$G$1136,"&gt;="&amp;DATE(YEAR_Y-4,1,1),'Fund History'!$G$1132:$G$1136,"&lt;="&amp;DATE(YEAR_Y-4,12,31))=0,"",SUMIFS('Fund History'!$H$1132:$H$1136,'Fund History'!$G$1132:$G$1136,"&gt;="&amp;DATE(YEAR_Y-4,1,1),'Fund History'!$G$1132:$G$1136,"&lt;="&amp;DATE(YEAR_Y-4,12,31))/100)))</f>
        <v/>
      </c>
      <c r="AO198" s="146">
        <f>IF($C198="","",IF(PULL_FUND="N","",IF(COUNTIFS('Fund History'!$G$1132:$G$1136,"&gt;="&amp;DATE(YEAR_Y-3,1,1),'Fund History'!$G$1132:$G$1136,"&lt;="&amp;DATE(YEAR_Y-3,12,31))=0,"",SUMIFS('Fund History'!$H$1132:$H$1136,'Fund History'!$G$1132:$G$1136,"&gt;="&amp;DATE(YEAR_Y-3,1,1),'Fund History'!$G$1132:$G$1136,"&lt;="&amp;DATE(YEAR_Y-3,12,31))/100)))</f>
        <v/>
      </c>
      <c r="AP198" s="146">
        <f>IF($C198="","",IF(PULL_FUND="N","",IF(COUNTIFS('Fund History'!$G$1132:$G$1136,"&gt;="&amp;DATE(YEAR_Y-2,1,1),'Fund History'!$G$1132:$G$1136,"&lt;="&amp;DATE(YEAR_Y-2,12,31))=0,"",SUMIFS('Fund History'!$H$1132:$H$1136,'Fund History'!$G$1132:$G$1136,"&gt;="&amp;DATE(YEAR_Y-2,1,1),'Fund History'!$G$1132:$G$1136,"&lt;="&amp;DATE(YEAR_Y-2,12,31))/100)))</f>
        <v/>
      </c>
      <c r="AQ198" s="146">
        <f>IF($C198="","",IF(PULL_FUND="N","",IF(COUNTIFS('Fund History'!$G$1132:$G$1136,"&gt;="&amp;DATE(YEAR_Y-1,1,1),'Fund History'!$G$1132:$G$1136,"&lt;="&amp;DATE(YEAR_Y-1,12,31))=0,"",SUMIFS('Fund History'!$H$1132:$H$1136,'Fund History'!$G$1132:$G$1136,"&gt;="&amp;DATE(YEAR_Y-1,1,1),'Fund History'!$G$1132:$G$1136,"&lt;="&amp;DATE(YEAR_Y-1,12,31))/100)))</f>
        <v/>
      </c>
      <c r="AR198" s="147">
        <f>IF($C198="","",IF(N($AQ198)+N(HSCEI!$I$53)=0,"",N($AQ198)+N(HSCEI!$I$53)/100))</f>
        <v/>
      </c>
      <c r="AS198" s="139">
        <f>IF($C198="","",IF(PULL_FUND="N","",IF(COUNTIFS('Fund History'!$D$1132:$D$1136,"&gt;="&amp;DATE(YEAR_Y-2,1,1),'Fund History'!$D$1132:$D$1136,"&lt;="&amp;DATE(YEAR_Y-2,12,31))=0,"",SUMIFS('Fund History'!$E$1132:$E$1136,'Fund History'!$D$1132:$D$1136,"&gt;="&amp;DATE(YEAR_Y-2,1,1),'Fund History'!$D$1132:$D$1136,"&lt;="&amp;DATE(YEAR_Y-2,12,31)))))</f>
        <v/>
      </c>
      <c r="AT198" s="140">
        <f>IF($C198="","",IF(PULL_FUND="N","",IF(COUNTIFS('Fund History'!$D$1132:$D$1136,"&gt;="&amp;DATE(YEAR_Y-1,1,1),'Fund History'!$D$1132:$D$1136,"&lt;="&amp;DATE(YEAR_Y-1,12,31))=0,"",SUMIFS('Fund History'!$E$1132:$E$1136,'Fund History'!$D$1132:$D$1136,"&gt;="&amp;DATE(YEAR_Y-1,1,1),'Fund History'!$D$1132:$D$1136,"&lt;="&amp;DATE(YEAR_Y-1,12,31)))))</f>
        <v/>
      </c>
      <c r="AU198" s="140">
        <f>IF($C198="","",IF(PULL_FUND="N","",IFERROR(BDP($C198,NDEBITDA_FIELD),"")))</f>
        <v/>
      </c>
      <c r="AV198" s="148">
        <f>IF($C198="","",IF(PULL_FUND="N","",IFERROR(BDP($C198,EBINT_FIELD),"")))</f>
        <v/>
      </c>
      <c r="AW198" s="146">
        <f>IF($C198="","",IF(PULL_FUND="N","",IFERROR(BDP($C198,FCF_FIELD)/100,"")))</f>
        <v/>
      </c>
      <c r="AX198" s="126">
        <f>IF($C198="","",IF(N($U198)=0,"",IFERROR($AW198/$U198,"")))</f>
        <v/>
      </c>
      <c r="AY198" s="85">
        <f>IF($C198="","",TRIM(IF(ISNUMBER($AJ198)*(N($AJ198)&gt;$D$4)&gt;0,"payout high  ","")&amp;IF(ISNUMBER($AX198)*(N($AX198)&lt;$F$4)&gt;0,"FCF below dvd  ","")&amp;IF(ISNUMBER($AU198)*(N($AU198)&gt;$H$4)&gt;0,"leverage high","")))</f>
        <v/>
      </c>
      <c r="AZ198" s="86">
        <f>IF($C198="","",IF(HSCEI!$F$53="HKD","",HSCEI!$F$53))</f>
        <v/>
      </c>
    </row>
    <row r="199">
      <c r="B199" s="66" t="inlineStr">
        <is>
          <t>HSCEI</t>
        </is>
      </c>
      <c r="C199" s="8">
        <f>IF(HSCEI!$C$54="","",HSCEI!$C$54)</f>
        <v/>
      </c>
      <c r="D199" s="8">
        <f>IF($C199="","",HSCEI!$D$54)</f>
        <v/>
      </c>
      <c r="E199" s="8">
        <f>IF($C199="","",HSCEI!$E$54)</f>
        <v/>
      </c>
      <c r="F199" s="131">
        <f>IF($C199="","",SUMPRODUCT(('Dvd Calendar'!$E$2078:$AR$2078&gt;=DATE(YEAR_Y-5,1,1))*('Dvd Calendar'!$E$2078:$AR$2078&lt;=DATE(YEAR_Y-5,12,31))*'Dvd Calendar'!$E$2081:$AR$2081*(('Dvd Calendar'!$E$2083:$AR$2083=TYPE1)*(TYPE1&lt;&gt;"")+('Dvd Calendar'!$E$2083:$AR$2083=TYPE2)*(TYPE2&lt;&gt;"")+('Dvd Calendar'!$E$2083:$AR$2083=TYPE3)*(TYPE3&lt;&gt;"")+('Dvd Calendar'!$E$2083:$AR$2083=TYPE4)*(TYPE4&lt;&gt;"")+('Dvd Calendar'!$E$2083:$AR$2083=SPECIAL_LBL)*(INC_SPECIALS="Y"))))</f>
        <v/>
      </c>
      <c r="G199" s="132">
        <f>IF($C199="","",SUMPRODUCT(('Dvd Calendar'!$E$2078:$AR$2078&gt;=DATE(YEAR_Y-4,1,1))*('Dvd Calendar'!$E$2078:$AR$2078&lt;=DATE(YEAR_Y-4,12,31))*'Dvd Calendar'!$E$2081:$AR$2081*(('Dvd Calendar'!$E$2083:$AR$2083=TYPE1)*(TYPE1&lt;&gt;"")+('Dvd Calendar'!$E$2083:$AR$2083=TYPE2)*(TYPE2&lt;&gt;"")+('Dvd Calendar'!$E$2083:$AR$2083=TYPE3)*(TYPE3&lt;&gt;"")+('Dvd Calendar'!$E$2083:$AR$2083=TYPE4)*(TYPE4&lt;&gt;"")+('Dvd Calendar'!$E$2083:$AR$2083=SPECIAL_LBL)*(INC_SPECIALS="Y"))))</f>
        <v/>
      </c>
      <c r="H199" s="132">
        <f>IF($C199="","",SUMPRODUCT(('Dvd Calendar'!$E$2078:$AR$2078&gt;=DATE(YEAR_Y-3,1,1))*('Dvd Calendar'!$E$2078:$AR$2078&lt;=DATE(YEAR_Y-3,12,31))*'Dvd Calendar'!$E$2081:$AR$2081*(('Dvd Calendar'!$E$2083:$AR$2083=TYPE1)*(TYPE1&lt;&gt;"")+('Dvd Calendar'!$E$2083:$AR$2083=TYPE2)*(TYPE2&lt;&gt;"")+('Dvd Calendar'!$E$2083:$AR$2083=TYPE3)*(TYPE3&lt;&gt;"")+('Dvd Calendar'!$E$2083:$AR$2083=TYPE4)*(TYPE4&lt;&gt;"")+('Dvd Calendar'!$E$2083:$AR$2083=SPECIAL_LBL)*(INC_SPECIALS="Y"))))</f>
        <v/>
      </c>
      <c r="I199" s="132">
        <f>IF($C199="","",SUMPRODUCT(('Dvd Calendar'!$E$2078:$AR$2078&gt;=DATE(YEAR_Y-2,1,1))*('Dvd Calendar'!$E$2078:$AR$2078&lt;=DATE(YEAR_Y-2,12,31))*'Dvd Calendar'!$E$2081:$AR$2081*(('Dvd Calendar'!$E$2083:$AR$2083=TYPE1)*(TYPE1&lt;&gt;"")+('Dvd Calendar'!$E$2083:$AR$2083=TYPE2)*(TYPE2&lt;&gt;"")+('Dvd Calendar'!$E$2083:$AR$2083=TYPE3)*(TYPE3&lt;&gt;"")+('Dvd Calendar'!$E$2083:$AR$2083=TYPE4)*(TYPE4&lt;&gt;"")+('Dvd Calendar'!$E$2083:$AR$2083=SPECIAL_LBL)*(INC_SPECIALS="Y"))))</f>
        <v/>
      </c>
      <c r="J199" s="132">
        <f>IF($C199="","",SUMPRODUCT(('Dvd Calendar'!$E$2078:$AR$2078&gt;=DATE(YEAR_Y-1,1,1))*('Dvd Calendar'!$E$2078:$AR$2078&lt;=DATE(YEAR_Y-1,12,31))*'Dvd Calendar'!$E$2081:$AR$2081*(('Dvd Calendar'!$E$2083:$AR$2083=TYPE1)*(TYPE1&lt;&gt;"")+('Dvd Calendar'!$E$2083:$AR$2083=TYPE2)*(TYPE2&lt;&gt;"")+('Dvd Calendar'!$E$2083:$AR$2083=TYPE3)*(TYPE3&lt;&gt;"")+('Dvd Calendar'!$E$2083:$AR$2083=TYPE4)*(TYPE4&lt;&gt;"")+('Dvd Calendar'!$E$2083:$AR$2083=SPECIAL_LBL)*(INC_SPECIALS="Y"))))</f>
        <v/>
      </c>
      <c r="K199" s="133">
        <f>IF($C199="","",HSCEI!$J$54)</f>
        <v/>
      </c>
      <c r="L199" s="133">
        <f>IF($C199="","",HSCEI!$K$54)</f>
        <v/>
      </c>
      <c r="M199" s="124">
        <f>IF($C199="","",HSCEI!$J$54+HSCEI!$L$54)</f>
        <v/>
      </c>
      <c r="N199" s="134">
        <f>IF($C199="","",IF(PULL_FUND="N","",IFERROR(BDP($C199,BESTDPS_FIELD,FWD_OVERRIDE,TEXT(MOD(YEAR_Y,100),"00")&amp;"Y"),"")))</f>
        <v/>
      </c>
      <c r="O199" s="133">
        <f>IF($C199="","",AVERAGE(F199:J199))</f>
        <v/>
      </c>
      <c r="P199" s="135">
        <f>IF($C199="","",IF(PULL_FUND="N","",IF(COUNTIFS('Fund History'!$J$1138:$J$1142,"&gt;="&amp;DATE(YEAR_Y-5,1,1),'Fund History'!$J$1138:$J$1142,"&lt;="&amp;DATE(YEAR_Y-5,12,31))=0,"",IFERROR($F199*HSCEI!$G$54/SUMIFS('Fund History'!$K$1138:$K$1142,'Fund History'!$J$1138:$J$1142,"&gt;="&amp;DATE(YEAR_Y-5,1,1),'Fund History'!$J$1138:$J$1142,"&lt;="&amp;DATE(YEAR_Y-5,12,31)),""))))</f>
        <v/>
      </c>
      <c r="Q199" s="136">
        <f>IF($C199="","",IF(PULL_FUND="N","",IF(COUNTIFS('Fund History'!$J$1138:$J$1142,"&gt;="&amp;DATE(YEAR_Y-4,1,1),'Fund History'!$J$1138:$J$1142,"&lt;="&amp;DATE(YEAR_Y-4,12,31))=0,"",IFERROR($G199*HSCEI!$G$54/SUMIFS('Fund History'!$K$1138:$K$1142,'Fund History'!$J$1138:$J$1142,"&gt;="&amp;DATE(YEAR_Y-4,1,1),'Fund History'!$J$1138:$J$1142,"&lt;="&amp;DATE(YEAR_Y-4,12,31)),""))))</f>
        <v/>
      </c>
      <c r="R199" s="136">
        <f>IF($C199="","",IF(PULL_FUND="N","",IF(COUNTIFS('Fund History'!$J$1138:$J$1142,"&gt;="&amp;DATE(YEAR_Y-3,1,1),'Fund History'!$J$1138:$J$1142,"&lt;="&amp;DATE(YEAR_Y-3,12,31))=0,"",IFERROR($H199*HSCEI!$G$54/SUMIFS('Fund History'!$K$1138:$K$1142,'Fund History'!$J$1138:$J$1142,"&gt;="&amp;DATE(YEAR_Y-3,1,1),'Fund History'!$J$1138:$J$1142,"&lt;="&amp;DATE(YEAR_Y-3,12,31)),""))))</f>
        <v/>
      </c>
      <c r="S199" s="136">
        <f>IF($C199="","",IF(PULL_FUND="N","",IF(COUNTIFS('Fund History'!$J$1138:$J$1142,"&gt;="&amp;DATE(YEAR_Y-2,1,1),'Fund History'!$J$1138:$J$1142,"&lt;="&amp;DATE(YEAR_Y-2,12,31))=0,"",IFERROR($I199*HSCEI!$G$54/SUMIFS('Fund History'!$K$1138:$K$1142,'Fund History'!$J$1138:$J$1142,"&gt;="&amp;DATE(YEAR_Y-2,1,1),'Fund History'!$J$1138:$J$1142,"&lt;="&amp;DATE(YEAR_Y-2,12,31)),""))))</f>
        <v/>
      </c>
      <c r="T199" s="136">
        <f>IF($C199="","",IF(PULL_FUND="N","",IF(COUNTIFS('Fund History'!$J$1138:$J$1142,"&gt;="&amp;DATE(YEAR_Y-1,1,1),'Fund History'!$J$1138:$J$1142,"&lt;="&amp;DATE(YEAR_Y-1,12,31))=0,"",IFERROR($J199*HSCEI!$G$54/SUMIFS('Fund History'!$K$1138:$K$1142,'Fund History'!$J$1138:$J$1142,"&gt;="&amp;DATE(YEAR_Y-1,1,1),'Fund History'!$J$1138:$J$1142,"&lt;="&amp;DATE(YEAR_Y-1,12,31)),""))))</f>
        <v/>
      </c>
      <c r="U199" s="137">
        <f>IF($C199="","",IF(ISNUMBER(HSCEI!$I$54),HSCEI!$I$54/100,""))</f>
        <v/>
      </c>
      <c r="V199" s="138">
        <f>IF($C199="","",IF(ISNUMBER(HSCEI!$X$54),IFERROR($M199*HSCEI!$G$54/HSCEI!$X$54,""),""))</f>
        <v/>
      </c>
      <c r="W199" s="137">
        <f>IF($C199="","",IF(ISNUMBER($N199),IFERROR($N199*HSCEI!$G$54/HSCEI!$X$54,""),""))</f>
        <v/>
      </c>
      <c r="X199" s="139">
        <f>IF($C199="","",IF(PULL_FUND="N","",IFERROR(BDP($C199,EPS_FIELD,YR_OVERRIDE,TEXT(YEAR_Y-5,"0")),"")))</f>
        <v/>
      </c>
      <c r="Y199" s="140">
        <f>IF($C199="","",IF(PULL_FUND="N","",IFERROR(BDP($C199,EPS_FIELD,YR_OVERRIDE,TEXT(YEAR_Y-4,"0")),"")))</f>
        <v/>
      </c>
      <c r="Z199" s="140">
        <f>IF($C199="","",IF(PULL_FUND="N","",IFERROR(BDP($C199,EPS_FIELD,YR_OVERRIDE,TEXT(YEAR_Y-3,"0")),"")))</f>
        <v/>
      </c>
      <c r="AA199" s="140">
        <f>IF($C199="","",IF(PULL_FUND="N","",IFERROR(BDP($C199,EPS_FIELD,YR_OVERRIDE,TEXT(YEAR_Y-2,"0")),"")))</f>
        <v/>
      </c>
      <c r="AB199" s="140">
        <f>IF($C199="","",IF(PULL_FUND="N","",IFERROR(BDP($C199,EPS_FIELD,YR_OVERRIDE,TEXT(YEAR_Y-1,"0")),"")))</f>
        <v/>
      </c>
      <c r="AC199" s="126">
        <f>IF($C199="","",IFERROR(AVERAGE(X199:AB199),""))</f>
        <v/>
      </c>
      <c r="AD199" s="140">
        <f>IF($C199="","",IF(PULL_FUND="N","",IFERROR(BDP($C199,BESTEPS_FIELD,FWD_OVERRIDE,TEXT(MOD(YEAR_Y,100),"00")&amp;"Y"),"")))</f>
        <v/>
      </c>
      <c r="AE199" s="141">
        <f>IF($C199="","",IF(PULL_FUND="N","",IFERROR(BDP($C199,PAYOUT_FIELD,YR_OVERRIDE,TEXT(YEAR_Y-5,"0"))/100,"")))</f>
        <v/>
      </c>
      <c r="AF199" s="142">
        <f>IF($C199="","",IF(PULL_FUND="N","",IFERROR(BDP($C199,PAYOUT_FIELD,YR_OVERRIDE,TEXT(YEAR_Y-4,"0"))/100,"")))</f>
        <v/>
      </c>
      <c r="AG199" s="142">
        <f>IF($C199="","",IF(PULL_FUND="N","",IFERROR(BDP($C199,PAYOUT_FIELD,YR_OVERRIDE,TEXT(YEAR_Y-3,"0"))/100,"")))</f>
        <v/>
      </c>
      <c r="AH199" s="142">
        <f>IF($C199="","",IF(PULL_FUND="N","",IFERROR(BDP($C199,PAYOUT_FIELD,YR_OVERRIDE,TEXT(YEAR_Y-2,"0"))/100,"")))</f>
        <v/>
      </c>
      <c r="AI199" s="142">
        <f>IF($C199="","",IF(PULL_FUND="N","",IFERROR(BDP($C199,PAYOUT_FIELD,YR_OVERRIDE,TEXT(YEAR_Y-1,"0"))/100,"")))</f>
        <v/>
      </c>
      <c r="AJ199" s="143">
        <f>IF($C199="","",IFERROR(AVERAGE(AE199:AI199),""))</f>
        <v/>
      </c>
      <c r="AK199" s="144">
        <f>IF($C199="","",IF(ISNUMBER($AD199)*ISNUMBER($N199)*($AD199&lt;&gt;0)=0,"",$N199/$AD199))</f>
        <v/>
      </c>
      <c r="AL199" s="143">
        <f>IF($C199="","",IF(ISNUMBER($AD199)*($AD199&lt;&gt;0)=0,"",$M199/$AD199))</f>
        <v/>
      </c>
      <c r="AM199" s="37">
        <f>IF($C199="","",IF(ISNUMBER($AE199)*ISNUMBER($AI199)=0,"",IF($AI199&gt;$AE199+0.05,"rising",IF($AI199&lt;$AE199-0.05,"falling","stable"))))</f>
        <v/>
      </c>
      <c r="AN199" s="145">
        <f>IF($C199="","",IF(PULL_FUND="N","",IF(COUNTIFS('Fund History'!$G$1138:$G$1142,"&gt;="&amp;DATE(YEAR_Y-4,1,1),'Fund History'!$G$1138:$G$1142,"&lt;="&amp;DATE(YEAR_Y-4,12,31))=0,"",SUMIFS('Fund History'!$H$1138:$H$1142,'Fund History'!$G$1138:$G$1142,"&gt;="&amp;DATE(YEAR_Y-4,1,1),'Fund History'!$G$1138:$G$1142,"&lt;="&amp;DATE(YEAR_Y-4,12,31))/100)))</f>
        <v/>
      </c>
      <c r="AO199" s="146">
        <f>IF($C199="","",IF(PULL_FUND="N","",IF(COUNTIFS('Fund History'!$G$1138:$G$1142,"&gt;="&amp;DATE(YEAR_Y-3,1,1),'Fund History'!$G$1138:$G$1142,"&lt;="&amp;DATE(YEAR_Y-3,12,31))=0,"",SUMIFS('Fund History'!$H$1138:$H$1142,'Fund History'!$G$1138:$G$1142,"&gt;="&amp;DATE(YEAR_Y-3,1,1),'Fund History'!$G$1138:$G$1142,"&lt;="&amp;DATE(YEAR_Y-3,12,31))/100)))</f>
        <v/>
      </c>
      <c r="AP199" s="146">
        <f>IF($C199="","",IF(PULL_FUND="N","",IF(COUNTIFS('Fund History'!$G$1138:$G$1142,"&gt;="&amp;DATE(YEAR_Y-2,1,1),'Fund History'!$G$1138:$G$1142,"&lt;="&amp;DATE(YEAR_Y-2,12,31))=0,"",SUMIFS('Fund History'!$H$1138:$H$1142,'Fund History'!$G$1138:$G$1142,"&gt;="&amp;DATE(YEAR_Y-2,1,1),'Fund History'!$G$1138:$G$1142,"&lt;="&amp;DATE(YEAR_Y-2,12,31))/100)))</f>
        <v/>
      </c>
      <c r="AQ199" s="146">
        <f>IF($C199="","",IF(PULL_FUND="N","",IF(COUNTIFS('Fund History'!$G$1138:$G$1142,"&gt;="&amp;DATE(YEAR_Y-1,1,1),'Fund History'!$G$1138:$G$1142,"&lt;="&amp;DATE(YEAR_Y-1,12,31))=0,"",SUMIFS('Fund History'!$H$1138:$H$1142,'Fund History'!$G$1138:$G$1142,"&gt;="&amp;DATE(YEAR_Y-1,1,1),'Fund History'!$G$1138:$G$1142,"&lt;="&amp;DATE(YEAR_Y-1,12,31))/100)))</f>
        <v/>
      </c>
      <c r="AR199" s="147">
        <f>IF($C199="","",IF(N($AQ199)+N(HSCEI!$I$54)=0,"",N($AQ199)+N(HSCEI!$I$54)/100))</f>
        <v/>
      </c>
      <c r="AS199" s="139">
        <f>IF($C199="","",IF(PULL_FUND="N","",IF(COUNTIFS('Fund History'!$D$1138:$D$1142,"&gt;="&amp;DATE(YEAR_Y-2,1,1),'Fund History'!$D$1138:$D$1142,"&lt;="&amp;DATE(YEAR_Y-2,12,31))=0,"",SUMIFS('Fund History'!$E$1138:$E$1142,'Fund History'!$D$1138:$D$1142,"&gt;="&amp;DATE(YEAR_Y-2,1,1),'Fund History'!$D$1138:$D$1142,"&lt;="&amp;DATE(YEAR_Y-2,12,31)))))</f>
        <v/>
      </c>
      <c r="AT199" s="140">
        <f>IF($C199="","",IF(PULL_FUND="N","",IF(COUNTIFS('Fund History'!$D$1138:$D$1142,"&gt;="&amp;DATE(YEAR_Y-1,1,1),'Fund History'!$D$1138:$D$1142,"&lt;="&amp;DATE(YEAR_Y-1,12,31))=0,"",SUMIFS('Fund History'!$E$1138:$E$1142,'Fund History'!$D$1138:$D$1142,"&gt;="&amp;DATE(YEAR_Y-1,1,1),'Fund History'!$D$1138:$D$1142,"&lt;="&amp;DATE(YEAR_Y-1,12,31)))))</f>
        <v/>
      </c>
      <c r="AU199" s="140">
        <f>IF($C199="","",IF(PULL_FUND="N","",IFERROR(BDP($C199,NDEBITDA_FIELD),"")))</f>
        <v/>
      </c>
      <c r="AV199" s="148">
        <f>IF($C199="","",IF(PULL_FUND="N","",IFERROR(BDP($C199,EBINT_FIELD),"")))</f>
        <v/>
      </c>
      <c r="AW199" s="146">
        <f>IF($C199="","",IF(PULL_FUND="N","",IFERROR(BDP($C199,FCF_FIELD)/100,"")))</f>
        <v/>
      </c>
      <c r="AX199" s="126">
        <f>IF($C199="","",IF(N($U199)=0,"",IFERROR($AW199/$U199,"")))</f>
        <v/>
      </c>
      <c r="AY199" s="85">
        <f>IF($C199="","",TRIM(IF(ISNUMBER($AJ199)*(N($AJ199)&gt;$D$4)&gt;0,"payout high  ","")&amp;IF(ISNUMBER($AX199)*(N($AX199)&lt;$F$4)&gt;0,"FCF below dvd  ","")&amp;IF(ISNUMBER($AU199)*(N($AU199)&gt;$H$4)&gt;0,"leverage high","")))</f>
        <v/>
      </c>
      <c r="AZ199" s="86">
        <f>IF($C199="","",IF(HSCEI!$F$54="HKD","",HSCEI!$F$54))</f>
        <v/>
      </c>
    </row>
    <row r="200">
      <c r="B200" s="66" t="inlineStr">
        <is>
          <t>HSCEI</t>
        </is>
      </c>
      <c r="C200" s="8">
        <f>IF(HSCEI!$C$55="","",HSCEI!$C$55)</f>
        <v/>
      </c>
      <c r="D200" s="8">
        <f>IF($C200="","",HSCEI!$D$55)</f>
        <v/>
      </c>
      <c r="E200" s="8">
        <f>IF($C200="","",HSCEI!$E$55)</f>
        <v/>
      </c>
      <c r="F200" s="131">
        <f>IF($C200="","",SUMPRODUCT(('Dvd Calendar'!$E$2089:$AR$2089&gt;=DATE(YEAR_Y-5,1,1))*('Dvd Calendar'!$E$2089:$AR$2089&lt;=DATE(YEAR_Y-5,12,31))*'Dvd Calendar'!$E$2092:$AR$2092*(('Dvd Calendar'!$E$2094:$AR$2094=TYPE1)*(TYPE1&lt;&gt;"")+('Dvd Calendar'!$E$2094:$AR$2094=TYPE2)*(TYPE2&lt;&gt;"")+('Dvd Calendar'!$E$2094:$AR$2094=TYPE3)*(TYPE3&lt;&gt;"")+('Dvd Calendar'!$E$2094:$AR$2094=TYPE4)*(TYPE4&lt;&gt;"")+('Dvd Calendar'!$E$2094:$AR$2094=SPECIAL_LBL)*(INC_SPECIALS="Y"))))</f>
        <v/>
      </c>
      <c r="G200" s="132">
        <f>IF($C200="","",SUMPRODUCT(('Dvd Calendar'!$E$2089:$AR$2089&gt;=DATE(YEAR_Y-4,1,1))*('Dvd Calendar'!$E$2089:$AR$2089&lt;=DATE(YEAR_Y-4,12,31))*'Dvd Calendar'!$E$2092:$AR$2092*(('Dvd Calendar'!$E$2094:$AR$2094=TYPE1)*(TYPE1&lt;&gt;"")+('Dvd Calendar'!$E$2094:$AR$2094=TYPE2)*(TYPE2&lt;&gt;"")+('Dvd Calendar'!$E$2094:$AR$2094=TYPE3)*(TYPE3&lt;&gt;"")+('Dvd Calendar'!$E$2094:$AR$2094=TYPE4)*(TYPE4&lt;&gt;"")+('Dvd Calendar'!$E$2094:$AR$2094=SPECIAL_LBL)*(INC_SPECIALS="Y"))))</f>
        <v/>
      </c>
      <c r="H200" s="132">
        <f>IF($C200="","",SUMPRODUCT(('Dvd Calendar'!$E$2089:$AR$2089&gt;=DATE(YEAR_Y-3,1,1))*('Dvd Calendar'!$E$2089:$AR$2089&lt;=DATE(YEAR_Y-3,12,31))*'Dvd Calendar'!$E$2092:$AR$2092*(('Dvd Calendar'!$E$2094:$AR$2094=TYPE1)*(TYPE1&lt;&gt;"")+('Dvd Calendar'!$E$2094:$AR$2094=TYPE2)*(TYPE2&lt;&gt;"")+('Dvd Calendar'!$E$2094:$AR$2094=TYPE3)*(TYPE3&lt;&gt;"")+('Dvd Calendar'!$E$2094:$AR$2094=TYPE4)*(TYPE4&lt;&gt;"")+('Dvd Calendar'!$E$2094:$AR$2094=SPECIAL_LBL)*(INC_SPECIALS="Y"))))</f>
        <v/>
      </c>
      <c r="I200" s="132">
        <f>IF($C200="","",SUMPRODUCT(('Dvd Calendar'!$E$2089:$AR$2089&gt;=DATE(YEAR_Y-2,1,1))*('Dvd Calendar'!$E$2089:$AR$2089&lt;=DATE(YEAR_Y-2,12,31))*'Dvd Calendar'!$E$2092:$AR$2092*(('Dvd Calendar'!$E$2094:$AR$2094=TYPE1)*(TYPE1&lt;&gt;"")+('Dvd Calendar'!$E$2094:$AR$2094=TYPE2)*(TYPE2&lt;&gt;"")+('Dvd Calendar'!$E$2094:$AR$2094=TYPE3)*(TYPE3&lt;&gt;"")+('Dvd Calendar'!$E$2094:$AR$2094=TYPE4)*(TYPE4&lt;&gt;"")+('Dvd Calendar'!$E$2094:$AR$2094=SPECIAL_LBL)*(INC_SPECIALS="Y"))))</f>
        <v/>
      </c>
      <c r="J200" s="132">
        <f>IF($C200="","",SUMPRODUCT(('Dvd Calendar'!$E$2089:$AR$2089&gt;=DATE(YEAR_Y-1,1,1))*('Dvd Calendar'!$E$2089:$AR$2089&lt;=DATE(YEAR_Y-1,12,31))*'Dvd Calendar'!$E$2092:$AR$2092*(('Dvd Calendar'!$E$2094:$AR$2094=TYPE1)*(TYPE1&lt;&gt;"")+('Dvd Calendar'!$E$2094:$AR$2094=TYPE2)*(TYPE2&lt;&gt;"")+('Dvd Calendar'!$E$2094:$AR$2094=TYPE3)*(TYPE3&lt;&gt;"")+('Dvd Calendar'!$E$2094:$AR$2094=TYPE4)*(TYPE4&lt;&gt;"")+('Dvd Calendar'!$E$2094:$AR$2094=SPECIAL_LBL)*(INC_SPECIALS="Y"))))</f>
        <v/>
      </c>
      <c r="K200" s="133">
        <f>IF($C200="","",HSCEI!$J$55)</f>
        <v/>
      </c>
      <c r="L200" s="133">
        <f>IF($C200="","",HSCEI!$K$55)</f>
        <v/>
      </c>
      <c r="M200" s="124">
        <f>IF($C200="","",HSCEI!$J$55+HSCEI!$L$55)</f>
        <v/>
      </c>
      <c r="N200" s="134">
        <f>IF($C200="","",IF(PULL_FUND="N","",IFERROR(BDP($C200,BESTDPS_FIELD,FWD_OVERRIDE,TEXT(MOD(YEAR_Y,100),"00")&amp;"Y"),"")))</f>
        <v/>
      </c>
      <c r="O200" s="133">
        <f>IF($C200="","",AVERAGE(F200:J200))</f>
        <v/>
      </c>
      <c r="P200" s="135">
        <f>IF($C200="","",IF(PULL_FUND="N","",IF(COUNTIFS('Fund History'!$J$1144:$J$1148,"&gt;="&amp;DATE(YEAR_Y-5,1,1),'Fund History'!$J$1144:$J$1148,"&lt;="&amp;DATE(YEAR_Y-5,12,31))=0,"",IFERROR($F200*HSCEI!$G$55/SUMIFS('Fund History'!$K$1144:$K$1148,'Fund History'!$J$1144:$J$1148,"&gt;="&amp;DATE(YEAR_Y-5,1,1),'Fund History'!$J$1144:$J$1148,"&lt;="&amp;DATE(YEAR_Y-5,12,31)),""))))</f>
        <v/>
      </c>
      <c r="Q200" s="136">
        <f>IF($C200="","",IF(PULL_FUND="N","",IF(COUNTIFS('Fund History'!$J$1144:$J$1148,"&gt;="&amp;DATE(YEAR_Y-4,1,1),'Fund History'!$J$1144:$J$1148,"&lt;="&amp;DATE(YEAR_Y-4,12,31))=0,"",IFERROR($G200*HSCEI!$G$55/SUMIFS('Fund History'!$K$1144:$K$1148,'Fund History'!$J$1144:$J$1148,"&gt;="&amp;DATE(YEAR_Y-4,1,1),'Fund History'!$J$1144:$J$1148,"&lt;="&amp;DATE(YEAR_Y-4,12,31)),""))))</f>
        <v/>
      </c>
      <c r="R200" s="136">
        <f>IF($C200="","",IF(PULL_FUND="N","",IF(COUNTIFS('Fund History'!$J$1144:$J$1148,"&gt;="&amp;DATE(YEAR_Y-3,1,1),'Fund History'!$J$1144:$J$1148,"&lt;="&amp;DATE(YEAR_Y-3,12,31))=0,"",IFERROR($H200*HSCEI!$G$55/SUMIFS('Fund History'!$K$1144:$K$1148,'Fund History'!$J$1144:$J$1148,"&gt;="&amp;DATE(YEAR_Y-3,1,1),'Fund History'!$J$1144:$J$1148,"&lt;="&amp;DATE(YEAR_Y-3,12,31)),""))))</f>
        <v/>
      </c>
      <c r="S200" s="136">
        <f>IF($C200="","",IF(PULL_FUND="N","",IF(COUNTIFS('Fund History'!$J$1144:$J$1148,"&gt;="&amp;DATE(YEAR_Y-2,1,1),'Fund History'!$J$1144:$J$1148,"&lt;="&amp;DATE(YEAR_Y-2,12,31))=0,"",IFERROR($I200*HSCEI!$G$55/SUMIFS('Fund History'!$K$1144:$K$1148,'Fund History'!$J$1144:$J$1148,"&gt;="&amp;DATE(YEAR_Y-2,1,1),'Fund History'!$J$1144:$J$1148,"&lt;="&amp;DATE(YEAR_Y-2,12,31)),""))))</f>
        <v/>
      </c>
      <c r="T200" s="136">
        <f>IF($C200="","",IF(PULL_FUND="N","",IF(COUNTIFS('Fund History'!$J$1144:$J$1148,"&gt;="&amp;DATE(YEAR_Y-1,1,1),'Fund History'!$J$1144:$J$1148,"&lt;="&amp;DATE(YEAR_Y-1,12,31))=0,"",IFERROR($J200*HSCEI!$G$55/SUMIFS('Fund History'!$K$1144:$K$1148,'Fund History'!$J$1144:$J$1148,"&gt;="&amp;DATE(YEAR_Y-1,1,1),'Fund History'!$J$1144:$J$1148,"&lt;="&amp;DATE(YEAR_Y-1,12,31)),""))))</f>
        <v/>
      </c>
      <c r="U200" s="137">
        <f>IF($C200="","",IF(ISNUMBER(HSCEI!$I$55),HSCEI!$I$55/100,""))</f>
        <v/>
      </c>
      <c r="V200" s="138">
        <f>IF($C200="","",IF(ISNUMBER(HSCEI!$X$55),IFERROR($M200*HSCEI!$G$55/HSCEI!$X$55,""),""))</f>
        <v/>
      </c>
      <c r="W200" s="137">
        <f>IF($C200="","",IF(ISNUMBER($N200),IFERROR($N200*HSCEI!$G$55/HSCEI!$X$55,""),""))</f>
        <v/>
      </c>
      <c r="X200" s="139">
        <f>IF($C200="","",IF(PULL_FUND="N","",IFERROR(BDP($C200,EPS_FIELD,YR_OVERRIDE,TEXT(YEAR_Y-5,"0")),"")))</f>
        <v/>
      </c>
      <c r="Y200" s="140">
        <f>IF($C200="","",IF(PULL_FUND="N","",IFERROR(BDP($C200,EPS_FIELD,YR_OVERRIDE,TEXT(YEAR_Y-4,"0")),"")))</f>
        <v/>
      </c>
      <c r="Z200" s="140">
        <f>IF($C200="","",IF(PULL_FUND="N","",IFERROR(BDP($C200,EPS_FIELD,YR_OVERRIDE,TEXT(YEAR_Y-3,"0")),"")))</f>
        <v/>
      </c>
      <c r="AA200" s="140">
        <f>IF($C200="","",IF(PULL_FUND="N","",IFERROR(BDP($C200,EPS_FIELD,YR_OVERRIDE,TEXT(YEAR_Y-2,"0")),"")))</f>
        <v/>
      </c>
      <c r="AB200" s="140">
        <f>IF($C200="","",IF(PULL_FUND="N","",IFERROR(BDP($C200,EPS_FIELD,YR_OVERRIDE,TEXT(YEAR_Y-1,"0")),"")))</f>
        <v/>
      </c>
      <c r="AC200" s="126">
        <f>IF($C200="","",IFERROR(AVERAGE(X200:AB200),""))</f>
        <v/>
      </c>
      <c r="AD200" s="140">
        <f>IF($C200="","",IF(PULL_FUND="N","",IFERROR(BDP($C200,BESTEPS_FIELD,FWD_OVERRIDE,TEXT(MOD(YEAR_Y,100),"00")&amp;"Y"),"")))</f>
        <v/>
      </c>
      <c r="AE200" s="141">
        <f>IF($C200="","",IF(PULL_FUND="N","",IFERROR(BDP($C200,PAYOUT_FIELD,YR_OVERRIDE,TEXT(YEAR_Y-5,"0"))/100,"")))</f>
        <v/>
      </c>
      <c r="AF200" s="142">
        <f>IF($C200="","",IF(PULL_FUND="N","",IFERROR(BDP($C200,PAYOUT_FIELD,YR_OVERRIDE,TEXT(YEAR_Y-4,"0"))/100,"")))</f>
        <v/>
      </c>
      <c r="AG200" s="142">
        <f>IF($C200="","",IF(PULL_FUND="N","",IFERROR(BDP($C200,PAYOUT_FIELD,YR_OVERRIDE,TEXT(YEAR_Y-3,"0"))/100,"")))</f>
        <v/>
      </c>
      <c r="AH200" s="142">
        <f>IF($C200="","",IF(PULL_FUND="N","",IFERROR(BDP($C200,PAYOUT_FIELD,YR_OVERRIDE,TEXT(YEAR_Y-2,"0"))/100,"")))</f>
        <v/>
      </c>
      <c r="AI200" s="142">
        <f>IF($C200="","",IF(PULL_FUND="N","",IFERROR(BDP($C200,PAYOUT_FIELD,YR_OVERRIDE,TEXT(YEAR_Y-1,"0"))/100,"")))</f>
        <v/>
      </c>
      <c r="AJ200" s="143">
        <f>IF($C200="","",IFERROR(AVERAGE(AE200:AI200),""))</f>
        <v/>
      </c>
      <c r="AK200" s="144">
        <f>IF($C200="","",IF(ISNUMBER($AD200)*ISNUMBER($N200)*($AD200&lt;&gt;0)=0,"",$N200/$AD200))</f>
        <v/>
      </c>
      <c r="AL200" s="143">
        <f>IF($C200="","",IF(ISNUMBER($AD200)*($AD200&lt;&gt;0)=0,"",$M200/$AD200))</f>
        <v/>
      </c>
      <c r="AM200" s="37">
        <f>IF($C200="","",IF(ISNUMBER($AE200)*ISNUMBER($AI200)=0,"",IF($AI200&gt;$AE200+0.05,"rising",IF($AI200&lt;$AE200-0.05,"falling","stable"))))</f>
        <v/>
      </c>
      <c r="AN200" s="145">
        <f>IF($C200="","",IF(PULL_FUND="N","",IF(COUNTIFS('Fund History'!$G$1144:$G$1148,"&gt;="&amp;DATE(YEAR_Y-4,1,1),'Fund History'!$G$1144:$G$1148,"&lt;="&amp;DATE(YEAR_Y-4,12,31))=0,"",SUMIFS('Fund History'!$H$1144:$H$1148,'Fund History'!$G$1144:$G$1148,"&gt;="&amp;DATE(YEAR_Y-4,1,1),'Fund History'!$G$1144:$G$1148,"&lt;="&amp;DATE(YEAR_Y-4,12,31))/100)))</f>
        <v/>
      </c>
      <c r="AO200" s="146">
        <f>IF($C200="","",IF(PULL_FUND="N","",IF(COUNTIFS('Fund History'!$G$1144:$G$1148,"&gt;="&amp;DATE(YEAR_Y-3,1,1),'Fund History'!$G$1144:$G$1148,"&lt;="&amp;DATE(YEAR_Y-3,12,31))=0,"",SUMIFS('Fund History'!$H$1144:$H$1148,'Fund History'!$G$1144:$G$1148,"&gt;="&amp;DATE(YEAR_Y-3,1,1),'Fund History'!$G$1144:$G$1148,"&lt;="&amp;DATE(YEAR_Y-3,12,31))/100)))</f>
        <v/>
      </c>
      <c r="AP200" s="146">
        <f>IF($C200="","",IF(PULL_FUND="N","",IF(COUNTIFS('Fund History'!$G$1144:$G$1148,"&gt;="&amp;DATE(YEAR_Y-2,1,1),'Fund History'!$G$1144:$G$1148,"&lt;="&amp;DATE(YEAR_Y-2,12,31))=0,"",SUMIFS('Fund History'!$H$1144:$H$1148,'Fund History'!$G$1144:$G$1148,"&gt;="&amp;DATE(YEAR_Y-2,1,1),'Fund History'!$G$1144:$G$1148,"&lt;="&amp;DATE(YEAR_Y-2,12,31))/100)))</f>
        <v/>
      </c>
      <c r="AQ200" s="146">
        <f>IF($C200="","",IF(PULL_FUND="N","",IF(COUNTIFS('Fund History'!$G$1144:$G$1148,"&gt;="&amp;DATE(YEAR_Y-1,1,1),'Fund History'!$G$1144:$G$1148,"&lt;="&amp;DATE(YEAR_Y-1,12,31))=0,"",SUMIFS('Fund History'!$H$1144:$H$1148,'Fund History'!$G$1144:$G$1148,"&gt;="&amp;DATE(YEAR_Y-1,1,1),'Fund History'!$G$1144:$G$1148,"&lt;="&amp;DATE(YEAR_Y-1,12,31))/100)))</f>
        <v/>
      </c>
      <c r="AR200" s="147">
        <f>IF($C200="","",IF(N($AQ200)+N(HSCEI!$I$55)=0,"",N($AQ200)+N(HSCEI!$I$55)/100))</f>
        <v/>
      </c>
      <c r="AS200" s="139">
        <f>IF($C200="","",IF(PULL_FUND="N","",IF(COUNTIFS('Fund History'!$D$1144:$D$1148,"&gt;="&amp;DATE(YEAR_Y-2,1,1),'Fund History'!$D$1144:$D$1148,"&lt;="&amp;DATE(YEAR_Y-2,12,31))=0,"",SUMIFS('Fund History'!$E$1144:$E$1148,'Fund History'!$D$1144:$D$1148,"&gt;="&amp;DATE(YEAR_Y-2,1,1),'Fund History'!$D$1144:$D$1148,"&lt;="&amp;DATE(YEAR_Y-2,12,31)))))</f>
        <v/>
      </c>
      <c r="AT200" s="140">
        <f>IF($C200="","",IF(PULL_FUND="N","",IF(COUNTIFS('Fund History'!$D$1144:$D$1148,"&gt;="&amp;DATE(YEAR_Y-1,1,1),'Fund History'!$D$1144:$D$1148,"&lt;="&amp;DATE(YEAR_Y-1,12,31))=0,"",SUMIFS('Fund History'!$E$1144:$E$1148,'Fund History'!$D$1144:$D$1148,"&gt;="&amp;DATE(YEAR_Y-1,1,1),'Fund History'!$D$1144:$D$1148,"&lt;="&amp;DATE(YEAR_Y-1,12,31)))))</f>
        <v/>
      </c>
      <c r="AU200" s="140">
        <f>IF($C200="","",IF(PULL_FUND="N","",IFERROR(BDP($C200,NDEBITDA_FIELD),"")))</f>
        <v/>
      </c>
      <c r="AV200" s="148">
        <f>IF($C200="","",IF(PULL_FUND="N","",IFERROR(BDP($C200,EBINT_FIELD),"")))</f>
        <v/>
      </c>
      <c r="AW200" s="146">
        <f>IF($C200="","",IF(PULL_FUND="N","",IFERROR(BDP($C200,FCF_FIELD)/100,"")))</f>
        <v/>
      </c>
      <c r="AX200" s="126">
        <f>IF($C200="","",IF(N($U200)=0,"",IFERROR($AW200/$U200,"")))</f>
        <v/>
      </c>
      <c r="AY200" s="85">
        <f>IF($C200="","",TRIM(IF(ISNUMBER($AJ200)*(N($AJ200)&gt;$D$4)&gt;0,"payout high  ","")&amp;IF(ISNUMBER($AX200)*(N($AX200)&lt;$F$4)&gt;0,"FCF below dvd  ","")&amp;IF(ISNUMBER($AU200)*(N($AU200)&gt;$H$4)&gt;0,"leverage high","")))</f>
        <v/>
      </c>
      <c r="AZ200" s="86">
        <f>IF($C200="","",IF(HSCEI!$F$55="HKD","",HSCEI!$F$55))</f>
        <v/>
      </c>
    </row>
    <row r="201">
      <c r="B201" s="66" t="inlineStr">
        <is>
          <t>HSCEI</t>
        </is>
      </c>
      <c r="C201" s="8">
        <f>IF(HSCEI!$C$56="","",HSCEI!$C$56)</f>
        <v/>
      </c>
      <c r="D201" s="8">
        <f>IF($C201="","",HSCEI!$D$56)</f>
        <v/>
      </c>
      <c r="E201" s="8">
        <f>IF($C201="","",HSCEI!$E$56)</f>
        <v/>
      </c>
      <c r="F201" s="131">
        <f>IF($C201="","",SUMPRODUCT(('Dvd Calendar'!$E$2100:$AR$2100&gt;=DATE(YEAR_Y-5,1,1))*('Dvd Calendar'!$E$2100:$AR$2100&lt;=DATE(YEAR_Y-5,12,31))*'Dvd Calendar'!$E$2103:$AR$2103*(('Dvd Calendar'!$E$2105:$AR$2105=TYPE1)*(TYPE1&lt;&gt;"")+('Dvd Calendar'!$E$2105:$AR$2105=TYPE2)*(TYPE2&lt;&gt;"")+('Dvd Calendar'!$E$2105:$AR$2105=TYPE3)*(TYPE3&lt;&gt;"")+('Dvd Calendar'!$E$2105:$AR$2105=TYPE4)*(TYPE4&lt;&gt;"")+('Dvd Calendar'!$E$2105:$AR$2105=SPECIAL_LBL)*(INC_SPECIALS="Y"))))</f>
        <v/>
      </c>
      <c r="G201" s="132">
        <f>IF($C201="","",SUMPRODUCT(('Dvd Calendar'!$E$2100:$AR$2100&gt;=DATE(YEAR_Y-4,1,1))*('Dvd Calendar'!$E$2100:$AR$2100&lt;=DATE(YEAR_Y-4,12,31))*'Dvd Calendar'!$E$2103:$AR$2103*(('Dvd Calendar'!$E$2105:$AR$2105=TYPE1)*(TYPE1&lt;&gt;"")+('Dvd Calendar'!$E$2105:$AR$2105=TYPE2)*(TYPE2&lt;&gt;"")+('Dvd Calendar'!$E$2105:$AR$2105=TYPE3)*(TYPE3&lt;&gt;"")+('Dvd Calendar'!$E$2105:$AR$2105=TYPE4)*(TYPE4&lt;&gt;"")+('Dvd Calendar'!$E$2105:$AR$2105=SPECIAL_LBL)*(INC_SPECIALS="Y"))))</f>
        <v/>
      </c>
      <c r="H201" s="132">
        <f>IF($C201="","",SUMPRODUCT(('Dvd Calendar'!$E$2100:$AR$2100&gt;=DATE(YEAR_Y-3,1,1))*('Dvd Calendar'!$E$2100:$AR$2100&lt;=DATE(YEAR_Y-3,12,31))*'Dvd Calendar'!$E$2103:$AR$2103*(('Dvd Calendar'!$E$2105:$AR$2105=TYPE1)*(TYPE1&lt;&gt;"")+('Dvd Calendar'!$E$2105:$AR$2105=TYPE2)*(TYPE2&lt;&gt;"")+('Dvd Calendar'!$E$2105:$AR$2105=TYPE3)*(TYPE3&lt;&gt;"")+('Dvd Calendar'!$E$2105:$AR$2105=TYPE4)*(TYPE4&lt;&gt;"")+('Dvd Calendar'!$E$2105:$AR$2105=SPECIAL_LBL)*(INC_SPECIALS="Y"))))</f>
        <v/>
      </c>
      <c r="I201" s="132">
        <f>IF($C201="","",SUMPRODUCT(('Dvd Calendar'!$E$2100:$AR$2100&gt;=DATE(YEAR_Y-2,1,1))*('Dvd Calendar'!$E$2100:$AR$2100&lt;=DATE(YEAR_Y-2,12,31))*'Dvd Calendar'!$E$2103:$AR$2103*(('Dvd Calendar'!$E$2105:$AR$2105=TYPE1)*(TYPE1&lt;&gt;"")+('Dvd Calendar'!$E$2105:$AR$2105=TYPE2)*(TYPE2&lt;&gt;"")+('Dvd Calendar'!$E$2105:$AR$2105=TYPE3)*(TYPE3&lt;&gt;"")+('Dvd Calendar'!$E$2105:$AR$2105=TYPE4)*(TYPE4&lt;&gt;"")+('Dvd Calendar'!$E$2105:$AR$2105=SPECIAL_LBL)*(INC_SPECIALS="Y"))))</f>
        <v/>
      </c>
      <c r="J201" s="132">
        <f>IF($C201="","",SUMPRODUCT(('Dvd Calendar'!$E$2100:$AR$2100&gt;=DATE(YEAR_Y-1,1,1))*('Dvd Calendar'!$E$2100:$AR$2100&lt;=DATE(YEAR_Y-1,12,31))*'Dvd Calendar'!$E$2103:$AR$2103*(('Dvd Calendar'!$E$2105:$AR$2105=TYPE1)*(TYPE1&lt;&gt;"")+('Dvd Calendar'!$E$2105:$AR$2105=TYPE2)*(TYPE2&lt;&gt;"")+('Dvd Calendar'!$E$2105:$AR$2105=TYPE3)*(TYPE3&lt;&gt;"")+('Dvd Calendar'!$E$2105:$AR$2105=TYPE4)*(TYPE4&lt;&gt;"")+('Dvd Calendar'!$E$2105:$AR$2105=SPECIAL_LBL)*(INC_SPECIALS="Y"))))</f>
        <v/>
      </c>
      <c r="K201" s="133">
        <f>IF($C201="","",HSCEI!$J$56)</f>
        <v/>
      </c>
      <c r="L201" s="133">
        <f>IF($C201="","",HSCEI!$K$56)</f>
        <v/>
      </c>
      <c r="M201" s="124">
        <f>IF($C201="","",HSCEI!$J$56+HSCEI!$L$56)</f>
        <v/>
      </c>
      <c r="N201" s="134">
        <f>IF($C201="","",IF(PULL_FUND="N","",IFERROR(BDP($C201,BESTDPS_FIELD,FWD_OVERRIDE,TEXT(MOD(YEAR_Y,100),"00")&amp;"Y"),"")))</f>
        <v/>
      </c>
      <c r="O201" s="133">
        <f>IF($C201="","",AVERAGE(F201:J201))</f>
        <v/>
      </c>
      <c r="P201" s="135">
        <f>IF($C201="","",IF(PULL_FUND="N","",IF(COUNTIFS('Fund History'!$J$1150:$J$1154,"&gt;="&amp;DATE(YEAR_Y-5,1,1),'Fund History'!$J$1150:$J$1154,"&lt;="&amp;DATE(YEAR_Y-5,12,31))=0,"",IFERROR($F201*HSCEI!$G$56/SUMIFS('Fund History'!$K$1150:$K$1154,'Fund History'!$J$1150:$J$1154,"&gt;="&amp;DATE(YEAR_Y-5,1,1),'Fund History'!$J$1150:$J$1154,"&lt;="&amp;DATE(YEAR_Y-5,12,31)),""))))</f>
        <v/>
      </c>
      <c r="Q201" s="136">
        <f>IF($C201="","",IF(PULL_FUND="N","",IF(COUNTIFS('Fund History'!$J$1150:$J$1154,"&gt;="&amp;DATE(YEAR_Y-4,1,1),'Fund History'!$J$1150:$J$1154,"&lt;="&amp;DATE(YEAR_Y-4,12,31))=0,"",IFERROR($G201*HSCEI!$G$56/SUMIFS('Fund History'!$K$1150:$K$1154,'Fund History'!$J$1150:$J$1154,"&gt;="&amp;DATE(YEAR_Y-4,1,1),'Fund History'!$J$1150:$J$1154,"&lt;="&amp;DATE(YEAR_Y-4,12,31)),""))))</f>
        <v/>
      </c>
      <c r="R201" s="136">
        <f>IF($C201="","",IF(PULL_FUND="N","",IF(COUNTIFS('Fund History'!$J$1150:$J$1154,"&gt;="&amp;DATE(YEAR_Y-3,1,1),'Fund History'!$J$1150:$J$1154,"&lt;="&amp;DATE(YEAR_Y-3,12,31))=0,"",IFERROR($H201*HSCEI!$G$56/SUMIFS('Fund History'!$K$1150:$K$1154,'Fund History'!$J$1150:$J$1154,"&gt;="&amp;DATE(YEAR_Y-3,1,1),'Fund History'!$J$1150:$J$1154,"&lt;="&amp;DATE(YEAR_Y-3,12,31)),""))))</f>
        <v/>
      </c>
      <c r="S201" s="136">
        <f>IF($C201="","",IF(PULL_FUND="N","",IF(COUNTIFS('Fund History'!$J$1150:$J$1154,"&gt;="&amp;DATE(YEAR_Y-2,1,1),'Fund History'!$J$1150:$J$1154,"&lt;="&amp;DATE(YEAR_Y-2,12,31))=0,"",IFERROR($I201*HSCEI!$G$56/SUMIFS('Fund History'!$K$1150:$K$1154,'Fund History'!$J$1150:$J$1154,"&gt;="&amp;DATE(YEAR_Y-2,1,1),'Fund History'!$J$1150:$J$1154,"&lt;="&amp;DATE(YEAR_Y-2,12,31)),""))))</f>
        <v/>
      </c>
      <c r="T201" s="136">
        <f>IF($C201="","",IF(PULL_FUND="N","",IF(COUNTIFS('Fund History'!$J$1150:$J$1154,"&gt;="&amp;DATE(YEAR_Y-1,1,1),'Fund History'!$J$1150:$J$1154,"&lt;="&amp;DATE(YEAR_Y-1,12,31))=0,"",IFERROR($J201*HSCEI!$G$56/SUMIFS('Fund History'!$K$1150:$K$1154,'Fund History'!$J$1150:$J$1154,"&gt;="&amp;DATE(YEAR_Y-1,1,1),'Fund History'!$J$1150:$J$1154,"&lt;="&amp;DATE(YEAR_Y-1,12,31)),""))))</f>
        <v/>
      </c>
      <c r="U201" s="137">
        <f>IF($C201="","",IF(ISNUMBER(HSCEI!$I$56),HSCEI!$I$56/100,""))</f>
        <v/>
      </c>
      <c r="V201" s="138">
        <f>IF($C201="","",IF(ISNUMBER(HSCEI!$X$56),IFERROR($M201*HSCEI!$G$56/HSCEI!$X$56,""),""))</f>
        <v/>
      </c>
      <c r="W201" s="137">
        <f>IF($C201="","",IF(ISNUMBER($N201),IFERROR($N201*HSCEI!$G$56/HSCEI!$X$56,""),""))</f>
        <v/>
      </c>
      <c r="X201" s="139">
        <f>IF($C201="","",IF(PULL_FUND="N","",IFERROR(BDP($C201,EPS_FIELD,YR_OVERRIDE,TEXT(YEAR_Y-5,"0")),"")))</f>
        <v/>
      </c>
      <c r="Y201" s="140">
        <f>IF($C201="","",IF(PULL_FUND="N","",IFERROR(BDP($C201,EPS_FIELD,YR_OVERRIDE,TEXT(YEAR_Y-4,"0")),"")))</f>
        <v/>
      </c>
      <c r="Z201" s="140">
        <f>IF($C201="","",IF(PULL_FUND="N","",IFERROR(BDP($C201,EPS_FIELD,YR_OVERRIDE,TEXT(YEAR_Y-3,"0")),"")))</f>
        <v/>
      </c>
      <c r="AA201" s="140">
        <f>IF($C201="","",IF(PULL_FUND="N","",IFERROR(BDP($C201,EPS_FIELD,YR_OVERRIDE,TEXT(YEAR_Y-2,"0")),"")))</f>
        <v/>
      </c>
      <c r="AB201" s="140">
        <f>IF($C201="","",IF(PULL_FUND="N","",IFERROR(BDP($C201,EPS_FIELD,YR_OVERRIDE,TEXT(YEAR_Y-1,"0")),"")))</f>
        <v/>
      </c>
      <c r="AC201" s="126">
        <f>IF($C201="","",IFERROR(AVERAGE(X201:AB201),""))</f>
        <v/>
      </c>
      <c r="AD201" s="140">
        <f>IF($C201="","",IF(PULL_FUND="N","",IFERROR(BDP($C201,BESTEPS_FIELD,FWD_OVERRIDE,TEXT(MOD(YEAR_Y,100),"00")&amp;"Y"),"")))</f>
        <v/>
      </c>
      <c r="AE201" s="141">
        <f>IF($C201="","",IF(PULL_FUND="N","",IFERROR(BDP($C201,PAYOUT_FIELD,YR_OVERRIDE,TEXT(YEAR_Y-5,"0"))/100,"")))</f>
        <v/>
      </c>
      <c r="AF201" s="142">
        <f>IF($C201="","",IF(PULL_FUND="N","",IFERROR(BDP($C201,PAYOUT_FIELD,YR_OVERRIDE,TEXT(YEAR_Y-4,"0"))/100,"")))</f>
        <v/>
      </c>
      <c r="AG201" s="142">
        <f>IF($C201="","",IF(PULL_FUND="N","",IFERROR(BDP($C201,PAYOUT_FIELD,YR_OVERRIDE,TEXT(YEAR_Y-3,"0"))/100,"")))</f>
        <v/>
      </c>
      <c r="AH201" s="142">
        <f>IF($C201="","",IF(PULL_FUND="N","",IFERROR(BDP($C201,PAYOUT_FIELD,YR_OVERRIDE,TEXT(YEAR_Y-2,"0"))/100,"")))</f>
        <v/>
      </c>
      <c r="AI201" s="142">
        <f>IF($C201="","",IF(PULL_FUND="N","",IFERROR(BDP($C201,PAYOUT_FIELD,YR_OVERRIDE,TEXT(YEAR_Y-1,"0"))/100,"")))</f>
        <v/>
      </c>
      <c r="AJ201" s="143">
        <f>IF($C201="","",IFERROR(AVERAGE(AE201:AI201),""))</f>
        <v/>
      </c>
      <c r="AK201" s="144">
        <f>IF($C201="","",IF(ISNUMBER($AD201)*ISNUMBER($N201)*($AD201&lt;&gt;0)=0,"",$N201/$AD201))</f>
        <v/>
      </c>
      <c r="AL201" s="143">
        <f>IF($C201="","",IF(ISNUMBER($AD201)*($AD201&lt;&gt;0)=0,"",$M201/$AD201))</f>
        <v/>
      </c>
      <c r="AM201" s="37">
        <f>IF($C201="","",IF(ISNUMBER($AE201)*ISNUMBER($AI201)=0,"",IF($AI201&gt;$AE201+0.05,"rising",IF($AI201&lt;$AE201-0.05,"falling","stable"))))</f>
        <v/>
      </c>
      <c r="AN201" s="145">
        <f>IF($C201="","",IF(PULL_FUND="N","",IF(COUNTIFS('Fund History'!$G$1150:$G$1154,"&gt;="&amp;DATE(YEAR_Y-4,1,1),'Fund History'!$G$1150:$G$1154,"&lt;="&amp;DATE(YEAR_Y-4,12,31))=0,"",SUMIFS('Fund History'!$H$1150:$H$1154,'Fund History'!$G$1150:$G$1154,"&gt;="&amp;DATE(YEAR_Y-4,1,1),'Fund History'!$G$1150:$G$1154,"&lt;="&amp;DATE(YEAR_Y-4,12,31))/100)))</f>
        <v/>
      </c>
      <c r="AO201" s="146">
        <f>IF($C201="","",IF(PULL_FUND="N","",IF(COUNTIFS('Fund History'!$G$1150:$G$1154,"&gt;="&amp;DATE(YEAR_Y-3,1,1),'Fund History'!$G$1150:$G$1154,"&lt;="&amp;DATE(YEAR_Y-3,12,31))=0,"",SUMIFS('Fund History'!$H$1150:$H$1154,'Fund History'!$G$1150:$G$1154,"&gt;="&amp;DATE(YEAR_Y-3,1,1),'Fund History'!$G$1150:$G$1154,"&lt;="&amp;DATE(YEAR_Y-3,12,31))/100)))</f>
        <v/>
      </c>
      <c r="AP201" s="146">
        <f>IF($C201="","",IF(PULL_FUND="N","",IF(COUNTIFS('Fund History'!$G$1150:$G$1154,"&gt;="&amp;DATE(YEAR_Y-2,1,1),'Fund History'!$G$1150:$G$1154,"&lt;="&amp;DATE(YEAR_Y-2,12,31))=0,"",SUMIFS('Fund History'!$H$1150:$H$1154,'Fund History'!$G$1150:$G$1154,"&gt;="&amp;DATE(YEAR_Y-2,1,1),'Fund History'!$G$1150:$G$1154,"&lt;="&amp;DATE(YEAR_Y-2,12,31))/100)))</f>
        <v/>
      </c>
      <c r="AQ201" s="146">
        <f>IF($C201="","",IF(PULL_FUND="N","",IF(COUNTIFS('Fund History'!$G$1150:$G$1154,"&gt;="&amp;DATE(YEAR_Y-1,1,1),'Fund History'!$G$1150:$G$1154,"&lt;="&amp;DATE(YEAR_Y-1,12,31))=0,"",SUMIFS('Fund History'!$H$1150:$H$1154,'Fund History'!$G$1150:$G$1154,"&gt;="&amp;DATE(YEAR_Y-1,1,1),'Fund History'!$G$1150:$G$1154,"&lt;="&amp;DATE(YEAR_Y-1,12,31))/100)))</f>
        <v/>
      </c>
      <c r="AR201" s="147">
        <f>IF($C201="","",IF(N($AQ201)+N(HSCEI!$I$56)=0,"",N($AQ201)+N(HSCEI!$I$56)/100))</f>
        <v/>
      </c>
      <c r="AS201" s="139">
        <f>IF($C201="","",IF(PULL_FUND="N","",IF(COUNTIFS('Fund History'!$D$1150:$D$1154,"&gt;="&amp;DATE(YEAR_Y-2,1,1),'Fund History'!$D$1150:$D$1154,"&lt;="&amp;DATE(YEAR_Y-2,12,31))=0,"",SUMIFS('Fund History'!$E$1150:$E$1154,'Fund History'!$D$1150:$D$1154,"&gt;="&amp;DATE(YEAR_Y-2,1,1),'Fund History'!$D$1150:$D$1154,"&lt;="&amp;DATE(YEAR_Y-2,12,31)))))</f>
        <v/>
      </c>
      <c r="AT201" s="140">
        <f>IF($C201="","",IF(PULL_FUND="N","",IF(COUNTIFS('Fund History'!$D$1150:$D$1154,"&gt;="&amp;DATE(YEAR_Y-1,1,1),'Fund History'!$D$1150:$D$1154,"&lt;="&amp;DATE(YEAR_Y-1,12,31))=0,"",SUMIFS('Fund History'!$E$1150:$E$1154,'Fund History'!$D$1150:$D$1154,"&gt;="&amp;DATE(YEAR_Y-1,1,1),'Fund History'!$D$1150:$D$1154,"&lt;="&amp;DATE(YEAR_Y-1,12,31)))))</f>
        <v/>
      </c>
      <c r="AU201" s="140">
        <f>IF($C201="","",IF(PULL_FUND="N","",IFERROR(BDP($C201,NDEBITDA_FIELD),"")))</f>
        <v/>
      </c>
      <c r="AV201" s="148">
        <f>IF($C201="","",IF(PULL_FUND="N","",IFERROR(BDP($C201,EBINT_FIELD),"")))</f>
        <v/>
      </c>
      <c r="AW201" s="146">
        <f>IF($C201="","",IF(PULL_FUND="N","",IFERROR(BDP($C201,FCF_FIELD)/100,"")))</f>
        <v/>
      </c>
      <c r="AX201" s="126">
        <f>IF($C201="","",IF(N($U201)=0,"",IFERROR($AW201/$U201,"")))</f>
        <v/>
      </c>
      <c r="AY201" s="85">
        <f>IF($C201="","",TRIM(IF(ISNUMBER($AJ201)*(N($AJ201)&gt;$D$4)&gt;0,"payout high  ","")&amp;IF(ISNUMBER($AX201)*(N($AX201)&lt;$F$4)&gt;0,"FCF below dvd  ","")&amp;IF(ISNUMBER($AU201)*(N($AU201)&gt;$H$4)&gt;0,"leverage high","")))</f>
        <v/>
      </c>
      <c r="AZ201" s="86">
        <f>IF($C201="","",IF(HSCEI!$F$56="HKD","",HSCEI!$F$56))</f>
        <v/>
      </c>
    </row>
    <row r="202">
      <c r="B202" s="66" t="inlineStr">
        <is>
          <t>HSCEI</t>
        </is>
      </c>
      <c r="C202" s="8">
        <f>IF(HSCEI!$C$57="","",HSCEI!$C$57)</f>
        <v/>
      </c>
      <c r="D202" s="8">
        <f>IF($C202="","",HSCEI!$D$57)</f>
        <v/>
      </c>
      <c r="E202" s="8">
        <f>IF($C202="","",HSCEI!$E$57)</f>
        <v/>
      </c>
      <c r="F202" s="131">
        <f>IF($C202="","",SUMPRODUCT(('Dvd Calendar'!$E$2111:$AR$2111&gt;=DATE(YEAR_Y-5,1,1))*('Dvd Calendar'!$E$2111:$AR$2111&lt;=DATE(YEAR_Y-5,12,31))*'Dvd Calendar'!$E$2114:$AR$2114*(('Dvd Calendar'!$E$2116:$AR$2116=TYPE1)*(TYPE1&lt;&gt;"")+('Dvd Calendar'!$E$2116:$AR$2116=TYPE2)*(TYPE2&lt;&gt;"")+('Dvd Calendar'!$E$2116:$AR$2116=TYPE3)*(TYPE3&lt;&gt;"")+('Dvd Calendar'!$E$2116:$AR$2116=TYPE4)*(TYPE4&lt;&gt;"")+('Dvd Calendar'!$E$2116:$AR$2116=SPECIAL_LBL)*(INC_SPECIALS="Y"))))</f>
        <v/>
      </c>
      <c r="G202" s="132">
        <f>IF($C202="","",SUMPRODUCT(('Dvd Calendar'!$E$2111:$AR$2111&gt;=DATE(YEAR_Y-4,1,1))*('Dvd Calendar'!$E$2111:$AR$2111&lt;=DATE(YEAR_Y-4,12,31))*'Dvd Calendar'!$E$2114:$AR$2114*(('Dvd Calendar'!$E$2116:$AR$2116=TYPE1)*(TYPE1&lt;&gt;"")+('Dvd Calendar'!$E$2116:$AR$2116=TYPE2)*(TYPE2&lt;&gt;"")+('Dvd Calendar'!$E$2116:$AR$2116=TYPE3)*(TYPE3&lt;&gt;"")+('Dvd Calendar'!$E$2116:$AR$2116=TYPE4)*(TYPE4&lt;&gt;"")+('Dvd Calendar'!$E$2116:$AR$2116=SPECIAL_LBL)*(INC_SPECIALS="Y"))))</f>
        <v/>
      </c>
      <c r="H202" s="132">
        <f>IF($C202="","",SUMPRODUCT(('Dvd Calendar'!$E$2111:$AR$2111&gt;=DATE(YEAR_Y-3,1,1))*('Dvd Calendar'!$E$2111:$AR$2111&lt;=DATE(YEAR_Y-3,12,31))*'Dvd Calendar'!$E$2114:$AR$2114*(('Dvd Calendar'!$E$2116:$AR$2116=TYPE1)*(TYPE1&lt;&gt;"")+('Dvd Calendar'!$E$2116:$AR$2116=TYPE2)*(TYPE2&lt;&gt;"")+('Dvd Calendar'!$E$2116:$AR$2116=TYPE3)*(TYPE3&lt;&gt;"")+('Dvd Calendar'!$E$2116:$AR$2116=TYPE4)*(TYPE4&lt;&gt;"")+('Dvd Calendar'!$E$2116:$AR$2116=SPECIAL_LBL)*(INC_SPECIALS="Y"))))</f>
        <v/>
      </c>
      <c r="I202" s="132">
        <f>IF($C202="","",SUMPRODUCT(('Dvd Calendar'!$E$2111:$AR$2111&gt;=DATE(YEAR_Y-2,1,1))*('Dvd Calendar'!$E$2111:$AR$2111&lt;=DATE(YEAR_Y-2,12,31))*'Dvd Calendar'!$E$2114:$AR$2114*(('Dvd Calendar'!$E$2116:$AR$2116=TYPE1)*(TYPE1&lt;&gt;"")+('Dvd Calendar'!$E$2116:$AR$2116=TYPE2)*(TYPE2&lt;&gt;"")+('Dvd Calendar'!$E$2116:$AR$2116=TYPE3)*(TYPE3&lt;&gt;"")+('Dvd Calendar'!$E$2116:$AR$2116=TYPE4)*(TYPE4&lt;&gt;"")+('Dvd Calendar'!$E$2116:$AR$2116=SPECIAL_LBL)*(INC_SPECIALS="Y"))))</f>
        <v/>
      </c>
      <c r="J202" s="132">
        <f>IF($C202="","",SUMPRODUCT(('Dvd Calendar'!$E$2111:$AR$2111&gt;=DATE(YEAR_Y-1,1,1))*('Dvd Calendar'!$E$2111:$AR$2111&lt;=DATE(YEAR_Y-1,12,31))*'Dvd Calendar'!$E$2114:$AR$2114*(('Dvd Calendar'!$E$2116:$AR$2116=TYPE1)*(TYPE1&lt;&gt;"")+('Dvd Calendar'!$E$2116:$AR$2116=TYPE2)*(TYPE2&lt;&gt;"")+('Dvd Calendar'!$E$2116:$AR$2116=TYPE3)*(TYPE3&lt;&gt;"")+('Dvd Calendar'!$E$2116:$AR$2116=TYPE4)*(TYPE4&lt;&gt;"")+('Dvd Calendar'!$E$2116:$AR$2116=SPECIAL_LBL)*(INC_SPECIALS="Y"))))</f>
        <v/>
      </c>
      <c r="K202" s="133">
        <f>IF($C202="","",HSCEI!$J$57)</f>
        <v/>
      </c>
      <c r="L202" s="133">
        <f>IF($C202="","",HSCEI!$K$57)</f>
        <v/>
      </c>
      <c r="M202" s="124">
        <f>IF($C202="","",HSCEI!$J$57+HSCEI!$L$57)</f>
        <v/>
      </c>
      <c r="N202" s="134">
        <f>IF($C202="","",IF(PULL_FUND="N","",IFERROR(BDP($C202,BESTDPS_FIELD,FWD_OVERRIDE,TEXT(MOD(YEAR_Y,100),"00")&amp;"Y"),"")))</f>
        <v/>
      </c>
      <c r="O202" s="133">
        <f>IF($C202="","",AVERAGE(F202:J202))</f>
        <v/>
      </c>
      <c r="P202" s="135">
        <f>IF($C202="","",IF(PULL_FUND="N","",IF(COUNTIFS('Fund History'!$J$1156:$J$1160,"&gt;="&amp;DATE(YEAR_Y-5,1,1),'Fund History'!$J$1156:$J$1160,"&lt;="&amp;DATE(YEAR_Y-5,12,31))=0,"",IFERROR($F202*HSCEI!$G$57/SUMIFS('Fund History'!$K$1156:$K$1160,'Fund History'!$J$1156:$J$1160,"&gt;="&amp;DATE(YEAR_Y-5,1,1),'Fund History'!$J$1156:$J$1160,"&lt;="&amp;DATE(YEAR_Y-5,12,31)),""))))</f>
        <v/>
      </c>
      <c r="Q202" s="136">
        <f>IF($C202="","",IF(PULL_FUND="N","",IF(COUNTIFS('Fund History'!$J$1156:$J$1160,"&gt;="&amp;DATE(YEAR_Y-4,1,1),'Fund History'!$J$1156:$J$1160,"&lt;="&amp;DATE(YEAR_Y-4,12,31))=0,"",IFERROR($G202*HSCEI!$G$57/SUMIFS('Fund History'!$K$1156:$K$1160,'Fund History'!$J$1156:$J$1160,"&gt;="&amp;DATE(YEAR_Y-4,1,1),'Fund History'!$J$1156:$J$1160,"&lt;="&amp;DATE(YEAR_Y-4,12,31)),""))))</f>
        <v/>
      </c>
      <c r="R202" s="136">
        <f>IF($C202="","",IF(PULL_FUND="N","",IF(COUNTIFS('Fund History'!$J$1156:$J$1160,"&gt;="&amp;DATE(YEAR_Y-3,1,1),'Fund History'!$J$1156:$J$1160,"&lt;="&amp;DATE(YEAR_Y-3,12,31))=0,"",IFERROR($H202*HSCEI!$G$57/SUMIFS('Fund History'!$K$1156:$K$1160,'Fund History'!$J$1156:$J$1160,"&gt;="&amp;DATE(YEAR_Y-3,1,1),'Fund History'!$J$1156:$J$1160,"&lt;="&amp;DATE(YEAR_Y-3,12,31)),""))))</f>
        <v/>
      </c>
      <c r="S202" s="136">
        <f>IF($C202="","",IF(PULL_FUND="N","",IF(COUNTIFS('Fund History'!$J$1156:$J$1160,"&gt;="&amp;DATE(YEAR_Y-2,1,1),'Fund History'!$J$1156:$J$1160,"&lt;="&amp;DATE(YEAR_Y-2,12,31))=0,"",IFERROR($I202*HSCEI!$G$57/SUMIFS('Fund History'!$K$1156:$K$1160,'Fund History'!$J$1156:$J$1160,"&gt;="&amp;DATE(YEAR_Y-2,1,1),'Fund History'!$J$1156:$J$1160,"&lt;="&amp;DATE(YEAR_Y-2,12,31)),""))))</f>
        <v/>
      </c>
      <c r="T202" s="136">
        <f>IF($C202="","",IF(PULL_FUND="N","",IF(COUNTIFS('Fund History'!$J$1156:$J$1160,"&gt;="&amp;DATE(YEAR_Y-1,1,1),'Fund History'!$J$1156:$J$1160,"&lt;="&amp;DATE(YEAR_Y-1,12,31))=0,"",IFERROR($J202*HSCEI!$G$57/SUMIFS('Fund History'!$K$1156:$K$1160,'Fund History'!$J$1156:$J$1160,"&gt;="&amp;DATE(YEAR_Y-1,1,1),'Fund History'!$J$1156:$J$1160,"&lt;="&amp;DATE(YEAR_Y-1,12,31)),""))))</f>
        <v/>
      </c>
      <c r="U202" s="137">
        <f>IF($C202="","",IF(ISNUMBER(HSCEI!$I$57),HSCEI!$I$57/100,""))</f>
        <v/>
      </c>
      <c r="V202" s="138">
        <f>IF($C202="","",IF(ISNUMBER(HSCEI!$X$57),IFERROR($M202*HSCEI!$G$57/HSCEI!$X$57,""),""))</f>
        <v/>
      </c>
      <c r="W202" s="137">
        <f>IF($C202="","",IF(ISNUMBER($N202),IFERROR($N202*HSCEI!$G$57/HSCEI!$X$57,""),""))</f>
        <v/>
      </c>
      <c r="X202" s="139">
        <f>IF($C202="","",IF(PULL_FUND="N","",IFERROR(BDP($C202,EPS_FIELD,YR_OVERRIDE,TEXT(YEAR_Y-5,"0")),"")))</f>
        <v/>
      </c>
      <c r="Y202" s="140">
        <f>IF($C202="","",IF(PULL_FUND="N","",IFERROR(BDP($C202,EPS_FIELD,YR_OVERRIDE,TEXT(YEAR_Y-4,"0")),"")))</f>
        <v/>
      </c>
      <c r="Z202" s="140">
        <f>IF($C202="","",IF(PULL_FUND="N","",IFERROR(BDP($C202,EPS_FIELD,YR_OVERRIDE,TEXT(YEAR_Y-3,"0")),"")))</f>
        <v/>
      </c>
      <c r="AA202" s="140">
        <f>IF($C202="","",IF(PULL_FUND="N","",IFERROR(BDP($C202,EPS_FIELD,YR_OVERRIDE,TEXT(YEAR_Y-2,"0")),"")))</f>
        <v/>
      </c>
      <c r="AB202" s="140">
        <f>IF($C202="","",IF(PULL_FUND="N","",IFERROR(BDP($C202,EPS_FIELD,YR_OVERRIDE,TEXT(YEAR_Y-1,"0")),"")))</f>
        <v/>
      </c>
      <c r="AC202" s="126">
        <f>IF($C202="","",IFERROR(AVERAGE(X202:AB202),""))</f>
        <v/>
      </c>
      <c r="AD202" s="140">
        <f>IF($C202="","",IF(PULL_FUND="N","",IFERROR(BDP($C202,BESTEPS_FIELD,FWD_OVERRIDE,TEXT(MOD(YEAR_Y,100),"00")&amp;"Y"),"")))</f>
        <v/>
      </c>
      <c r="AE202" s="141">
        <f>IF($C202="","",IF(PULL_FUND="N","",IFERROR(BDP($C202,PAYOUT_FIELD,YR_OVERRIDE,TEXT(YEAR_Y-5,"0"))/100,"")))</f>
        <v/>
      </c>
      <c r="AF202" s="142">
        <f>IF($C202="","",IF(PULL_FUND="N","",IFERROR(BDP($C202,PAYOUT_FIELD,YR_OVERRIDE,TEXT(YEAR_Y-4,"0"))/100,"")))</f>
        <v/>
      </c>
      <c r="AG202" s="142">
        <f>IF($C202="","",IF(PULL_FUND="N","",IFERROR(BDP($C202,PAYOUT_FIELD,YR_OVERRIDE,TEXT(YEAR_Y-3,"0"))/100,"")))</f>
        <v/>
      </c>
      <c r="AH202" s="142">
        <f>IF($C202="","",IF(PULL_FUND="N","",IFERROR(BDP($C202,PAYOUT_FIELD,YR_OVERRIDE,TEXT(YEAR_Y-2,"0"))/100,"")))</f>
        <v/>
      </c>
      <c r="AI202" s="142">
        <f>IF($C202="","",IF(PULL_FUND="N","",IFERROR(BDP($C202,PAYOUT_FIELD,YR_OVERRIDE,TEXT(YEAR_Y-1,"0"))/100,"")))</f>
        <v/>
      </c>
      <c r="AJ202" s="143">
        <f>IF($C202="","",IFERROR(AVERAGE(AE202:AI202),""))</f>
        <v/>
      </c>
      <c r="AK202" s="144">
        <f>IF($C202="","",IF(ISNUMBER($AD202)*ISNUMBER($N202)*($AD202&lt;&gt;0)=0,"",$N202/$AD202))</f>
        <v/>
      </c>
      <c r="AL202" s="143">
        <f>IF($C202="","",IF(ISNUMBER($AD202)*($AD202&lt;&gt;0)=0,"",$M202/$AD202))</f>
        <v/>
      </c>
      <c r="AM202" s="37">
        <f>IF($C202="","",IF(ISNUMBER($AE202)*ISNUMBER($AI202)=0,"",IF($AI202&gt;$AE202+0.05,"rising",IF($AI202&lt;$AE202-0.05,"falling","stable"))))</f>
        <v/>
      </c>
      <c r="AN202" s="145">
        <f>IF($C202="","",IF(PULL_FUND="N","",IF(COUNTIFS('Fund History'!$G$1156:$G$1160,"&gt;="&amp;DATE(YEAR_Y-4,1,1),'Fund History'!$G$1156:$G$1160,"&lt;="&amp;DATE(YEAR_Y-4,12,31))=0,"",SUMIFS('Fund History'!$H$1156:$H$1160,'Fund History'!$G$1156:$G$1160,"&gt;="&amp;DATE(YEAR_Y-4,1,1),'Fund History'!$G$1156:$G$1160,"&lt;="&amp;DATE(YEAR_Y-4,12,31))/100)))</f>
        <v/>
      </c>
      <c r="AO202" s="146">
        <f>IF($C202="","",IF(PULL_FUND="N","",IF(COUNTIFS('Fund History'!$G$1156:$G$1160,"&gt;="&amp;DATE(YEAR_Y-3,1,1),'Fund History'!$G$1156:$G$1160,"&lt;="&amp;DATE(YEAR_Y-3,12,31))=0,"",SUMIFS('Fund History'!$H$1156:$H$1160,'Fund History'!$G$1156:$G$1160,"&gt;="&amp;DATE(YEAR_Y-3,1,1),'Fund History'!$G$1156:$G$1160,"&lt;="&amp;DATE(YEAR_Y-3,12,31))/100)))</f>
        <v/>
      </c>
      <c r="AP202" s="146">
        <f>IF($C202="","",IF(PULL_FUND="N","",IF(COUNTIFS('Fund History'!$G$1156:$G$1160,"&gt;="&amp;DATE(YEAR_Y-2,1,1),'Fund History'!$G$1156:$G$1160,"&lt;="&amp;DATE(YEAR_Y-2,12,31))=0,"",SUMIFS('Fund History'!$H$1156:$H$1160,'Fund History'!$G$1156:$G$1160,"&gt;="&amp;DATE(YEAR_Y-2,1,1),'Fund History'!$G$1156:$G$1160,"&lt;="&amp;DATE(YEAR_Y-2,12,31))/100)))</f>
        <v/>
      </c>
      <c r="AQ202" s="146">
        <f>IF($C202="","",IF(PULL_FUND="N","",IF(COUNTIFS('Fund History'!$G$1156:$G$1160,"&gt;="&amp;DATE(YEAR_Y-1,1,1),'Fund History'!$G$1156:$G$1160,"&lt;="&amp;DATE(YEAR_Y-1,12,31))=0,"",SUMIFS('Fund History'!$H$1156:$H$1160,'Fund History'!$G$1156:$G$1160,"&gt;="&amp;DATE(YEAR_Y-1,1,1),'Fund History'!$G$1156:$G$1160,"&lt;="&amp;DATE(YEAR_Y-1,12,31))/100)))</f>
        <v/>
      </c>
      <c r="AR202" s="147">
        <f>IF($C202="","",IF(N($AQ202)+N(HSCEI!$I$57)=0,"",N($AQ202)+N(HSCEI!$I$57)/100))</f>
        <v/>
      </c>
      <c r="AS202" s="139">
        <f>IF($C202="","",IF(PULL_FUND="N","",IF(COUNTIFS('Fund History'!$D$1156:$D$1160,"&gt;="&amp;DATE(YEAR_Y-2,1,1),'Fund History'!$D$1156:$D$1160,"&lt;="&amp;DATE(YEAR_Y-2,12,31))=0,"",SUMIFS('Fund History'!$E$1156:$E$1160,'Fund History'!$D$1156:$D$1160,"&gt;="&amp;DATE(YEAR_Y-2,1,1),'Fund History'!$D$1156:$D$1160,"&lt;="&amp;DATE(YEAR_Y-2,12,31)))))</f>
        <v/>
      </c>
      <c r="AT202" s="140">
        <f>IF($C202="","",IF(PULL_FUND="N","",IF(COUNTIFS('Fund History'!$D$1156:$D$1160,"&gt;="&amp;DATE(YEAR_Y-1,1,1),'Fund History'!$D$1156:$D$1160,"&lt;="&amp;DATE(YEAR_Y-1,12,31))=0,"",SUMIFS('Fund History'!$E$1156:$E$1160,'Fund History'!$D$1156:$D$1160,"&gt;="&amp;DATE(YEAR_Y-1,1,1),'Fund History'!$D$1156:$D$1160,"&lt;="&amp;DATE(YEAR_Y-1,12,31)))))</f>
        <v/>
      </c>
      <c r="AU202" s="140">
        <f>IF($C202="","",IF(PULL_FUND="N","",IFERROR(BDP($C202,NDEBITDA_FIELD),"")))</f>
        <v/>
      </c>
      <c r="AV202" s="148">
        <f>IF($C202="","",IF(PULL_FUND="N","",IFERROR(BDP($C202,EBINT_FIELD),"")))</f>
        <v/>
      </c>
      <c r="AW202" s="146">
        <f>IF($C202="","",IF(PULL_FUND="N","",IFERROR(BDP($C202,FCF_FIELD)/100,"")))</f>
        <v/>
      </c>
      <c r="AX202" s="126">
        <f>IF($C202="","",IF(N($U202)=0,"",IFERROR($AW202/$U202,"")))</f>
        <v/>
      </c>
      <c r="AY202" s="85">
        <f>IF($C202="","",TRIM(IF(ISNUMBER($AJ202)*(N($AJ202)&gt;$D$4)&gt;0,"payout high  ","")&amp;IF(ISNUMBER($AX202)*(N($AX202)&lt;$F$4)&gt;0,"FCF below dvd  ","")&amp;IF(ISNUMBER($AU202)*(N($AU202)&gt;$H$4)&gt;0,"leverage high","")))</f>
        <v/>
      </c>
      <c r="AZ202" s="86">
        <f>IF($C202="","",IF(HSCEI!$F$57="HKD","",HSCEI!$F$57))</f>
        <v/>
      </c>
    </row>
    <row r="203">
      <c r="B203" s="66" t="inlineStr">
        <is>
          <t>HSCEI</t>
        </is>
      </c>
      <c r="C203" s="8">
        <f>IF(HSCEI!$C$58="","",HSCEI!$C$58)</f>
        <v/>
      </c>
      <c r="D203" s="8">
        <f>IF($C203="","",HSCEI!$D$58)</f>
        <v/>
      </c>
      <c r="E203" s="8">
        <f>IF($C203="","",HSCEI!$E$58)</f>
        <v/>
      </c>
      <c r="F203" s="131">
        <f>IF($C203="","",SUMPRODUCT(('Dvd Calendar'!$E$2122:$AR$2122&gt;=DATE(YEAR_Y-5,1,1))*('Dvd Calendar'!$E$2122:$AR$2122&lt;=DATE(YEAR_Y-5,12,31))*'Dvd Calendar'!$E$2125:$AR$2125*(('Dvd Calendar'!$E$2127:$AR$2127=TYPE1)*(TYPE1&lt;&gt;"")+('Dvd Calendar'!$E$2127:$AR$2127=TYPE2)*(TYPE2&lt;&gt;"")+('Dvd Calendar'!$E$2127:$AR$2127=TYPE3)*(TYPE3&lt;&gt;"")+('Dvd Calendar'!$E$2127:$AR$2127=TYPE4)*(TYPE4&lt;&gt;"")+('Dvd Calendar'!$E$2127:$AR$2127=SPECIAL_LBL)*(INC_SPECIALS="Y"))))</f>
        <v/>
      </c>
      <c r="G203" s="132">
        <f>IF($C203="","",SUMPRODUCT(('Dvd Calendar'!$E$2122:$AR$2122&gt;=DATE(YEAR_Y-4,1,1))*('Dvd Calendar'!$E$2122:$AR$2122&lt;=DATE(YEAR_Y-4,12,31))*'Dvd Calendar'!$E$2125:$AR$2125*(('Dvd Calendar'!$E$2127:$AR$2127=TYPE1)*(TYPE1&lt;&gt;"")+('Dvd Calendar'!$E$2127:$AR$2127=TYPE2)*(TYPE2&lt;&gt;"")+('Dvd Calendar'!$E$2127:$AR$2127=TYPE3)*(TYPE3&lt;&gt;"")+('Dvd Calendar'!$E$2127:$AR$2127=TYPE4)*(TYPE4&lt;&gt;"")+('Dvd Calendar'!$E$2127:$AR$2127=SPECIAL_LBL)*(INC_SPECIALS="Y"))))</f>
        <v/>
      </c>
      <c r="H203" s="132">
        <f>IF($C203="","",SUMPRODUCT(('Dvd Calendar'!$E$2122:$AR$2122&gt;=DATE(YEAR_Y-3,1,1))*('Dvd Calendar'!$E$2122:$AR$2122&lt;=DATE(YEAR_Y-3,12,31))*'Dvd Calendar'!$E$2125:$AR$2125*(('Dvd Calendar'!$E$2127:$AR$2127=TYPE1)*(TYPE1&lt;&gt;"")+('Dvd Calendar'!$E$2127:$AR$2127=TYPE2)*(TYPE2&lt;&gt;"")+('Dvd Calendar'!$E$2127:$AR$2127=TYPE3)*(TYPE3&lt;&gt;"")+('Dvd Calendar'!$E$2127:$AR$2127=TYPE4)*(TYPE4&lt;&gt;"")+('Dvd Calendar'!$E$2127:$AR$2127=SPECIAL_LBL)*(INC_SPECIALS="Y"))))</f>
        <v/>
      </c>
      <c r="I203" s="132">
        <f>IF($C203="","",SUMPRODUCT(('Dvd Calendar'!$E$2122:$AR$2122&gt;=DATE(YEAR_Y-2,1,1))*('Dvd Calendar'!$E$2122:$AR$2122&lt;=DATE(YEAR_Y-2,12,31))*'Dvd Calendar'!$E$2125:$AR$2125*(('Dvd Calendar'!$E$2127:$AR$2127=TYPE1)*(TYPE1&lt;&gt;"")+('Dvd Calendar'!$E$2127:$AR$2127=TYPE2)*(TYPE2&lt;&gt;"")+('Dvd Calendar'!$E$2127:$AR$2127=TYPE3)*(TYPE3&lt;&gt;"")+('Dvd Calendar'!$E$2127:$AR$2127=TYPE4)*(TYPE4&lt;&gt;"")+('Dvd Calendar'!$E$2127:$AR$2127=SPECIAL_LBL)*(INC_SPECIALS="Y"))))</f>
        <v/>
      </c>
      <c r="J203" s="132">
        <f>IF($C203="","",SUMPRODUCT(('Dvd Calendar'!$E$2122:$AR$2122&gt;=DATE(YEAR_Y-1,1,1))*('Dvd Calendar'!$E$2122:$AR$2122&lt;=DATE(YEAR_Y-1,12,31))*'Dvd Calendar'!$E$2125:$AR$2125*(('Dvd Calendar'!$E$2127:$AR$2127=TYPE1)*(TYPE1&lt;&gt;"")+('Dvd Calendar'!$E$2127:$AR$2127=TYPE2)*(TYPE2&lt;&gt;"")+('Dvd Calendar'!$E$2127:$AR$2127=TYPE3)*(TYPE3&lt;&gt;"")+('Dvd Calendar'!$E$2127:$AR$2127=TYPE4)*(TYPE4&lt;&gt;"")+('Dvd Calendar'!$E$2127:$AR$2127=SPECIAL_LBL)*(INC_SPECIALS="Y"))))</f>
        <v/>
      </c>
      <c r="K203" s="133">
        <f>IF($C203="","",HSCEI!$J$58)</f>
        <v/>
      </c>
      <c r="L203" s="133">
        <f>IF($C203="","",HSCEI!$K$58)</f>
        <v/>
      </c>
      <c r="M203" s="124">
        <f>IF($C203="","",HSCEI!$J$58+HSCEI!$L$58)</f>
        <v/>
      </c>
      <c r="N203" s="134">
        <f>IF($C203="","",IF(PULL_FUND="N","",IFERROR(BDP($C203,BESTDPS_FIELD,FWD_OVERRIDE,TEXT(MOD(YEAR_Y,100),"00")&amp;"Y"),"")))</f>
        <v/>
      </c>
      <c r="O203" s="133">
        <f>IF($C203="","",AVERAGE(F203:J203))</f>
        <v/>
      </c>
      <c r="P203" s="135">
        <f>IF($C203="","",IF(PULL_FUND="N","",IF(COUNTIFS('Fund History'!$J$1162:$J$1166,"&gt;="&amp;DATE(YEAR_Y-5,1,1),'Fund History'!$J$1162:$J$1166,"&lt;="&amp;DATE(YEAR_Y-5,12,31))=0,"",IFERROR($F203*HSCEI!$G$58/SUMIFS('Fund History'!$K$1162:$K$1166,'Fund History'!$J$1162:$J$1166,"&gt;="&amp;DATE(YEAR_Y-5,1,1),'Fund History'!$J$1162:$J$1166,"&lt;="&amp;DATE(YEAR_Y-5,12,31)),""))))</f>
        <v/>
      </c>
      <c r="Q203" s="136">
        <f>IF($C203="","",IF(PULL_FUND="N","",IF(COUNTIFS('Fund History'!$J$1162:$J$1166,"&gt;="&amp;DATE(YEAR_Y-4,1,1),'Fund History'!$J$1162:$J$1166,"&lt;="&amp;DATE(YEAR_Y-4,12,31))=0,"",IFERROR($G203*HSCEI!$G$58/SUMIFS('Fund History'!$K$1162:$K$1166,'Fund History'!$J$1162:$J$1166,"&gt;="&amp;DATE(YEAR_Y-4,1,1),'Fund History'!$J$1162:$J$1166,"&lt;="&amp;DATE(YEAR_Y-4,12,31)),""))))</f>
        <v/>
      </c>
      <c r="R203" s="136">
        <f>IF($C203="","",IF(PULL_FUND="N","",IF(COUNTIFS('Fund History'!$J$1162:$J$1166,"&gt;="&amp;DATE(YEAR_Y-3,1,1),'Fund History'!$J$1162:$J$1166,"&lt;="&amp;DATE(YEAR_Y-3,12,31))=0,"",IFERROR($H203*HSCEI!$G$58/SUMIFS('Fund History'!$K$1162:$K$1166,'Fund History'!$J$1162:$J$1166,"&gt;="&amp;DATE(YEAR_Y-3,1,1),'Fund History'!$J$1162:$J$1166,"&lt;="&amp;DATE(YEAR_Y-3,12,31)),""))))</f>
        <v/>
      </c>
      <c r="S203" s="136">
        <f>IF($C203="","",IF(PULL_FUND="N","",IF(COUNTIFS('Fund History'!$J$1162:$J$1166,"&gt;="&amp;DATE(YEAR_Y-2,1,1),'Fund History'!$J$1162:$J$1166,"&lt;="&amp;DATE(YEAR_Y-2,12,31))=0,"",IFERROR($I203*HSCEI!$G$58/SUMIFS('Fund History'!$K$1162:$K$1166,'Fund History'!$J$1162:$J$1166,"&gt;="&amp;DATE(YEAR_Y-2,1,1),'Fund History'!$J$1162:$J$1166,"&lt;="&amp;DATE(YEAR_Y-2,12,31)),""))))</f>
        <v/>
      </c>
      <c r="T203" s="136">
        <f>IF($C203="","",IF(PULL_FUND="N","",IF(COUNTIFS('Fund History'!$J$1162:$J$1166,"&gt;="&amp;DATE(YEAR_Y-1,1,1),'Fund History'!$J$1162:$J$1166,"&lt;="&amp;DATE(YEAR_Y-1,12,31))=0,"",IFERROR($J203*HSCEI!$G$58/SUMIFS('Fund History'!$K$1162:$K$1166,'Fund History'!$J$1162:$J$1166,"&gt;="&amp;DATE(YEAR_Y-1,1,1),'Fund History'!$J$1162:$J$1166,"&lt;="&amp;DATE(YEAR_Y-1,12,31)),""))))</f>
        <v/>
      </c>
      <c r="U203" s="137">
        <f>IF($C203="","",IF(ISNUMBER(HSCEI!$I$58),HSCEI!$I$58/100,""))</f>
        <v/>
      </c>
      <c r="V203" s="138">
        <f>IF($C203="","",IF(ISNUMBER(HSCEI!$X$58),IFERROR($M203*HSCEI!$G$58/HSCEI!$X$58,""),""))</f>
        <v/>
      </c>
      <c r="W203" s="137">
        <f>IF($C203="","",IF(ISNUMBER($N203),IFERROR($N203*HSCEI!$G$58/HSCEI!$X$58,""),""))</f>
        <v/>
      </c>
      <c r="X203" s="139">
        <f>IF($C203="","",IF(PULL_FUND="N","",IFERROR(BDP($C203,EPS_FIELD,YR_OVERRIDE,TEXT(YEAR_Y-5,"0")),"")))</f>
        <v/>
      </c>
      <c r="Y203" s="140">
        <f>IF($C203="","",IF(PULL_FUND="N","",IFERROR(BDP($C203,EPS_FIELD,YR_OVERRIDE,TEXT(YEAR_Y-4,"0")),"")))</f>
        <v/>
      </c>
      <c r="Z203" s="140">
        <f>IF($C203="","",IF(PULL_FUND="N","",IFERROR(BDP($C203,EPS_FIELD,YR_OVERRIDE,TEXT(YEAR_Y-3,"0")),"")))</f>
        <v/>
      </c>
      <c r="AA203" s="140">
        <f>IF($C203="","",IF(PULL_FUND="N","",IFERROR(BDP($C203,EPS_FIELD,YR_OVERRIDE,TEXT(YEAR_Y-2,"0")),"")))</f>
        <v/>
      </c>
      <c r="AB203" s="140">
        <f>IF($C203="","",IF(PULL_FUND="N","",IFERROR(BDP($C203,EPS_FIELD,YR_OVERRIDE,TEXT(YEAR_Y-1,"0")),"")))</f>
        <v/>
      </c>
      <c r="AC203" s="126">
        <f>IF($C203="","",IFERROR(AVERAGE(X203:AB203),""))</f>
        <v/>
      </c>
      <c r="AD203" s="140">
        <f>IF($C203="","",IF(PULL_FUND="N","",IFERROR(BDP($C203,BESTEPS_FIELD,FWD_OVERRIDE,TEXT(MOD(YEAR_Y,100),"00")&amp;"Y"),"")))</f>
        <v/>
      </c>
      <c r="AE203" s="141">
        <f>IF($C203="","",IF(PULL_FUND="N","",IFERROR(BDP($C203,PAYOUT_FIELD,YR_OVERRIDE,TEXT(YEAR_Y-5,"0"))/100,"")))</f>
        <v/>
      </c>
      <c r="AF203" s="142">
        <f>IF($C203="","",IF(PULL_FUND="N","",IFERROR(BDP($C203,PAYOUT_FIELD,YR_OVERRIDE,TEXT(YEAR_Y-4,"0"))/100,"")))</f>
        <v/>
      </c>
      <c r="AG203" s="142">
        <f>IF($C203="","",IF(PULL_FUND="N","",IFERROR(BDP($C203,PAYOUT_FIELD,YR_OVERRIDE,TEXT(YEAR_Y-3,"0"))/100,"")))</f>
        <v/>
      </c>
      <c r="AH203" s="142">
        <f>IF($C203="","",IF(PULL_FUND="N","",IFERROR(BDP($C203,PAYOUT_FIELD,YR_OVERRIDE,TEXT(YEAR_Y-2,"0"))/100,"")))</f>
        <v/>
      </c>
      <c r="AI203" s="142">
        <f>IF($C203="","",IF(PULL_FUND="N","",IFERROR(BDP($C203,PAYOUT_FIELD,YR_OVERRIDE,TEXT(YEAR_Y-1,"0"))/100,"")))</f>
        <v/>
      </c>
      <c r="AJ203" s="143">
        <f>IF($C203="","",IFERROR(AVERAGE(AE203:AI203),""))</f>
        <v/>
      </c>
      <c r="AK203" s="144">
        <f>IF($C203="","",IF(ISNUMBER($AD203)*ISNUMBER($N203)*($AD203&lt;&gt;0)=0,"",$N203/$AD203))</f>
        <v/>
      </c>
      <c r="AL203" s="143">
        <f>IF($C203="","",IF(ISNUMBER($AD203)*($AD203&lt;&gt;0)=0,"",$M203/$AD203))</f>
        <v/>
      </c>
      <c r="AM203" s="37">
        <f>IF($C203="","",IF(ISNUMBER($AE203)*ISNUMBER($AI203)=0,"",IF($AI203&gt;$AE203+0.05,"rising",IF($AI203&lt;$AE203-0.05,"falling","stable"))))</f>
        <v/>
      </c>
      <c r="AN203" s="145">
        <f>IF($C203="","",IF(PULL_FUND="N","",IF(COUNTIFS('Fund History'!$G$1162:$G$1166,"&gt;="&amp;DATE(YEAR_Y-4,1,1),'Fund History'!$G$1162:$G$1166,"&lt;="&amp;DATE(YEAR_Y-4,12,31))=0,"",SUMIFS('Fund History'!$H$1162:$H$1166,'Fund History'!$G$1162:$G$1166,"&gt;="&amp;DATE(YEAR_Y-4,1,1),'Fund History'!$G$1162:$G$1166,"&lt;="&amp;DATE(YEAR_Y-4,12,31))/100)))</f>
        <v/>
      </c>
      <c r="AO203" s="146">
        <f>IF($C203="","",IF(PULL_FUND="N","",IF(COUNTIFS('Fund History'!$G$1162:$G$1166,"&gt;="&amp;DATE(YEAR_Y-3,1,1),'Fund History'!$G$1162:$G$1166,"&lt;="&amp;DATE(YEAR_Y-3,12,31))=0,"",SUMIFS('Fund History'!$H$1162:$H$1166,'Fund History'!$G$1162:$G$1166,"&gt;="&amp;DATE(YEAR_Y-3,1,1),'Fund History'!$G$1162:$G$1166,"&lt;="&amp;DATE(YEAR_Y-3,12,31))/100)))</f>
        <v/>
      </c>
      <c r="AP203" s="146">
        <f>IF($C203="","",IF(PULL_FUND="N","",IF(COUNTIFS('Fund History'!$G$1162:$G$1166,"&gt;="&amp;DATE(YEAR_Y-2,1,1),'Fund History'!$G$1162:$G$1166,"&lt;="&amp;DATE(YEAR_Y-2,12,31))=0,"",SUMIFS('Fund History'!$H$1162:$H$1166,'Fund History'!$G$1162:$G$1166,"&gt;="&amp;DATE(YEAR_Y-2,1,1),'Fund History'!$G$1162:$G$1166,"&lt;="&amp;DATE(YEAR_Y-2,12,31))/100)))</f>
        <v/>
      </c>
      <c r="AQ203" s="146">
        <f>IF($C203="","",IF(PULL_FUND="N","",IF(COUNTIFS('Fund History'!$G$1162:$G$1166,"&gt;="&amp;DATE(YEAR_Y-1,1,1),'Fund History'!$G$1162:$G$1166,"&lt;="&amp;DATE(YEAR_Y-1,12,31))=0,"",SUMIFS('Fund History'!$H$1162:$H$1166,'Fund History'!$G$1162:$G$1166,"&gt;="&amp;DATE(YEAR_Y-1,1,1),'Fund History'!$G$1162:$G$1166,"&lt;="&amp;DATE(YEAR_Y-1,12,31))/100)))</f>
        <v/>
      </c>
      <c r="AR203" s="147">
        <f>IF($C203="","",IF(N($AQ203)+N(HSCEI!$I$58)=0,"",N($AQ203)+N(HSCEI!$I$58)/100))</f>
        <v/>
      </c>
      <c r="AS203" s="139">
        <f>IF($C203="","",IF(PULL_FUND="N","",IF(COUNTIFS('Fund History'!$D$1162:$D$1166,"&gt;="&amp;DATE(YEAR_Y-2,1,1),'Fund History'!$D$1162:$D$1166,"&lt;="&amp;DATE(YEAR_Y-2,12,31))=0,"",SUMIFS('Fund History'!$E$1162:$E$1166,'Fund History'!$D$1162:$D$1166,"&gt;="&amp;DATE(YEAR_Y-2,1,1),'Fund History'!$D$1162:$D$1166,"&lt;="&amp;DATE(YEAR_Y-2,12,31)))))</f>
        <v/>
      </c>
      <c r="AT203" s="140">
        <f>IF($C203="","",IF(PULL_FUND="N","",IF(COUNTIFS('Fund History'!$D$1162:$D$1166,"&gt;="&amp;DATE(YEAR_Y-1,1,1),'Fund History'!$D$1162:$D$1166,"&lt;="&amp;DATE(YEAR_Y-1,12,31))=0,"",SUMIFS('Fund History'!$E$1162:$E$1166,'Fund History'!$D$1162:$D$1166,"&gt;="&amp;DATE(YEAR_Y-1,1,1),'Fund History'!$D$1162:$D$1166,"&lt;="&amp;DATE(YEAR_Y-1,12,31)))))</f>
        <v/>
      </c>
      <c r="AU203" s="140">
        <f>IF($C203="","",IF(PULL_FUND="N","",IFERROR(BDP($C203,NDEBITDA_FIELD),"")))</f>
        <v/>
      </c>
      <c r="AV203" s="148">
        <f>IF($C203="","",IF(PULL_FUND="N","",IFERROR(BDP($C203,EBINT_FIELD),"")))</f>
        <v/>
      </c>
      <c r="AW203" s="146">
        <f>IF($C203="","",IF(PULL_FUND="N","",IFERROR(BDP($C203,FCF_FIELD)/100,"")))</f>
        <v/>
      </c>
      <c r="AX203" s="126">
        <f>IF($C203="","",IF(N($U203)=0,"",IFERROR($AW203/$U203,"")))</f>
        <v/>
      </c>
      <c r="AY203" s="85">
        <f>IF($C203="","",TRIM(IF(ISNUMBER($AJ203)*(N($AJ203)&gt;$D$4)&gt;0,"payout high  ","")&amp;IF(ISNUMBER($AX203)*(N($AX203)&lt;$F$4)&gt;0,"FCF below dvd  ","")&amp;IF(ISNUMBER($AU203)*(N($AU203)&gt;$H$4)&gt;0,"leverage high","")))</f>
        <v/>
      </c>
      <c r="AZ203" s="86">
        <f>IF($C203="","",IF(HSCEI!$F$58="HKD","",HSCEI!$F$58))</f>
        <v/>
      </c>
    </row>
    <row r="204">
      <c r="B204" s="66" t="inlineStr">
        <is>
          <t>HSCEI</t>
        </is>
      </c>
      <c r="C204" s="8">
        <f>IF(HSCEI!$C$59="","",HSCEI!$C$59)</f>
        <v/>
      </c>
      <c r="D204" s="8">
        <f>IF($C204="","",HSCEI!$D$59)</f>
        <v/>
      </c>
      <c r="E204" s="8">
        <f>IF($C204="","",HSCEI!$E$59)</f>
        <v/>
      </c>
      <c r="F204" s="131">
        <f>IF($C204="","",SUMPRODUCT(('Dvd Calendar'!$E$2133:$AR$2133&gt;=DATE(YEAR_Y-5,1,1))*('Dvd Calendar'!$E$2133:$AR$2133&lt;=DATE(YEAR_Y-5,12,31))*'Dvd Calendar'!$E$2136:$AR$2136*(('Dvd Calendar'!$E$2138:$AR$2138=TYPE1)*(TYPE1&lt;&gt;"")+('Dvd Calendar'!$E$2138:$AR$2138=TYPE2)*(TYPE2&lt;&gt;"")+('Dvd Calendar'!$E$2138:$AR$2138=TYPE3)*(TYPE3&lt;&gt;"")+('Dvd Calendar'!$E$2138:$AR$2138=TYPE4)*(TYPE4&lt;&gt;"")+('Dvd Calendar'!$E$2138:$AR$2138=SPECIAL_LBL)*(INC_SPECIALS="Y"))))</f>
        <v/>
      </c>
      <c r="G204" s="132">
        <f>IF($C204="","",SUMPRODUCT(('Dvd Calendar'!$E$2133:$AR$2133&gt;=DATE(YEAR_Y-4,1,1))*('Dvd Calendar'!$E$2133:$AR$2133&lt;=DATE(YEAR_Y-4,12,31))*'Dvd Calendar'!$E$2136:$AR$2136*(('Dvd Calendar'!$E$2138:$AR$2138=TYPE1)*(TYPE1&lt;&gt;"")+('Dvd Calendar'!$E$2138:$AR$2138=TYPE2)*(TYPE2&lt;&gt;"")+('Dvd Calendar'!$E$2138:$AR$2138=TYPE3)*(TYPE3&lt;&gt;"")+('Dvd Calendar'!$E$2138:$AR$2138=TYPE4)*(TYPE4&lt;&gt;"")+('Dvd Calendar'!$E$2138:$AR$2138=SPECIAL_LBL)*(INC_SPECIALS="Y"))))</f>
        <v/>
      </c>
      <c r="H204" s="132">
        <f>IF($C204="","",SUMPRODUCT(('Dvd Calendar'!$E$2133:$AR$2133&gt;=DATE(YEAR_Y-3,1,1))*('Dvd Calendar'!$E$2133:$AR$2133&lt;=DATE(YEAR_Y-3,12,31))*'Dvd Calendar'!$E$2136:$AR$2136*(('Dvd Calendar'!$E$2138:$AR$2138=TYPE1)*(TYPE1&lt;&gt;"")+('Dvd Calendar'!$E$2138:$AR$2138=TYPE2)*(TYPE2&lt;&gt;"")+('Dvd Calendar'!$E$2138:$AR$2138=TYPE3)*(TYPE3&lt;&gt;"")+('Dvd Calendar'!$E$2138:$AR$2138=TYPE4)*(TYPE4&lt;&gt;"")+('Dvd Calendar'!$E$2138:$AR$2138=SPECIAL_LBL)*(INC_SPECIALS="Y"))))</f>
        <v/>
      </c>
      <c r="I204" s="132">
        <f>IF($C204="","",SUMPRODUCT(('Dvd Calendar'!$E$2133:$AR$2133&gt;=DATE(YEAR_Y-2,1,1))*('Dvd Calendar'!$E$2133:$AR$2133&lt;=DATE(YEAR_Y-2,12,31))*'Dvd Calendar'!$E$2136:$AR$2136*(('Dvd Calendar'!$E$2138:$AR$2138=TYPE1)*(TYPE1&lt;&gt;"")+('Dvd Calendar'!$E$2138:$AR$2138=TYPE2)*(TYPE2&lt;&gt;"")+('Dvd Calendar'!$E$2138:$AR$2138=TYPE3)*(TYPE3&lt;&gt;"")+('Dvd Calendar'!$E$2138:$AR$2138=TYPE4)*(TYPE4&lt;&gt;"")+('Dvd Calendar'!$E$2138:$AR$2138=SPECIAL_LBL)*(INC_SPECIALS="Y"))))</f>
        <v/>
      </c>
      <c r="J204" s="132">
        <f>IF($C204="","",SUMPRODUCT(('Dvd Calendar'!$E$2133:$AR$2133&gt;=DATE(YEAR_Y-1,1,1))*('Dvd Calendar'!$E$2133:$AR$2133&lt;=DATE(YEAR_Y-1,12,31))*'Dvd Calendar'!$E$2136:$AR$2136*(('Dvd Calendar'!$E$2138:$AR$2138=TYPE1)*(TYPE1&lt;&gt;"")+('Dvd Calendar'!$E$2138:$AR$2138=TYPE2)*(TYPE2&lt;&gt;"")+('Dvd Calendar'!$E$2138:$AR$2138=TYPE3)*(TYPE3&lt;&gt;"")+('Dvd Calendar'!$E$2138:$AR$2138=TYPE4)*(TYPE4&lt;&gt;"")+('Dvd Calendar'!$E$2138:$AR$2138=SPECIAL_LBL)*(INC_SPECIALS="Y"))))</f>
        <v/>
      </c>
      <c r="K204" s="133">
        <f>IF($C204="","",HSCEI!$J$59)</f>
        <v/>
      </c>
      <c r="L204" s="133">
        <f>IF($C204="","",HSCEI!$K$59)</f>
        <v/>
      </c>
      <c r="M204" s="124">
        <f>IF($C204="","",HSCEI!$J$59+HSCEI!$L$59)</f>
        <v/>
      </c>
      <c r="N204" s="134">
        <f>IF($C204="","",IF(PULL_FUND="N","",IFERROR(BDP($C204,BESTDPS_FIELD,FWD_OVERRIDE,TEXT(MOD(YEAR_Y,100),"00")&amp;"Y"),"")))</f>
        <v/>
      </c>
      <c r="O204" s="133">
        <f>IF($C204="","",AVERAGE(F204:J204))</f>
        <v/>
      </c>
      <c r="P204" s="135">
        <f>IF($C204="","",IF(PULL_FUND="N","",IF(COUNTIFS('Fund History'!$J$1168:$J$1172,"&gt;="&amp;DATE(YEAR_Y-5,1,1),'Fund History'!$J$1168:$J$1172,"&lt;="&amp;DATE(YEAR_Y-5,12,31))=0,"",IFERROR($F204*HSCEI!$G$59/SUMIFS('Fund History'!$K$1168:$K$1172,'Fund History'!$J$1168:$J$1172,"&gt;="&amp;DATE(YEAR_Y-5,1,1),'Fund History'!$J$1168:$J$1172,"&lt;="&amp;DATE(YEAR_Y-5,12,31)),""))))</f>
        <v/>
      </c>
      <c r="Q204" s="136">
        <f>IF($C204="","",IF(PULL_FUND="N","",IF(COUNTIFS('Fund History'!$J$1168:$J$1172,"&gt;="&amp;DATE(YEAR_Y-4,1,1),'Fund History'!$J$1168:$J$1172,"&lt;="&amp;DATE(YEAR_Y-4,12,31))=0,"",IFERROR($G204*HSCEI!$G$59/SUMIFS('Fund History'!$K$1168:$K$1172,'Fund History'!$J$1168:$J$1172,"&gt;="&amp;DATE(YEAR_Y-4,1,1),'Fund History'!$J$1168:$J$1172,"&lt;="&amp;DATE(YEAR_Y-4,12,31)),""))))</f>
        <v/>
      </c>
      <c r="R204" s="136">
        <f>IF($C204="","",IF(PULL_FUND="N","",IF(COUNTIFS('Fund History'!$J$1168:$J$1172,"&gt;="&amp;DATE(YEAR_Y-3,1,1),'Fund History'!$J$1168:$J$1172,"&lt;="&amp;DATE(YEAR_Y-3,12,31))=0,"",IFERROR($H204*HSCEI!$G$59/SUMIFS('Fund History'!$K$1168:$K$1172,'Fund History'!$J$1168:$J$1172,"&gt;="&amp;DATE(YEAR_Y-3,1,1),'Fund History'!$J$1168:$J$1172,"&lt;="&amp;DATE(YEAR_Y-3,12,31)),""))))</f>
        <v/>
      </c>
      <c r="S204" s="136">
        <f>IF($C204="","",IF(PULL_FUND="N","",IF(COUNTIFS('Fund History'!$J$1168:$J$1172,"&gt;="&amp;DATE(YEAR_Y-2,1,1),'Fund History'!$J$1168:$J$1172,"&lt;="&amp;DATE(YEAR_Y-2,12,31))=0,"",IFERROR($I204*HSCEI!$G$59/SUMIFS('Fund History'!$K$1168:$K$1172,'Fund History'!$J$1168:$J$1172,"&gt;="&amp;DATE(YEAR_Y-2,1,1),'Fund History'!$J$1168:$J$1172,"&lt;="&amp;DATE(YEAR_Y-2,12,31)),""))))</f>
        <v/>
      </c>
      <c r="T204" s="136">
        <f>IF($C204="","",IF(PULL_FUND="N","",IF(COUNTIFS('Fund History'!$J$1168:$J$1172,"&gt;="&amp;DATE(YEAR_Y-1,1,1),'Fund History'!$J$1168:$J$1172,"&lt;="&amp;DATE(YEAR_Y-1,12,31))=0,"",IFERROR($J204*HSCEI!$G$59/SUMIFS('Fund History'!$K$1168:$K$1172,'Fund History'!$J$1168:$J$1172,"&gt;="&amp;DATE(YEAR_Y-1,1,1),'Fund History'!$J$1168:$J$1172,"&lt;="&amp;DATE(YEAR_Y-1,12,31)),""))))</f>
        <v/>
      </c>
      <c r="U204" s="137">
        <f>IF($C204="","",IF(ISNUMBER(HSCEI!$I$59),HSCEI!$I$59/100,""))</f>
        <v/>
      </c>
      <c r="V204" s="138">
        <f>IF($C204="","",IF(ISNUMBER(HSCEI!$X$59),IFERROR($M204*HSCEI!$G$59/HSCEI!$X$59,""),""))</f>
        <v/>
      </c>
      <c r="W204" s="137">
        <f>IF($C204="","",IF(ISNUMBER($N204),IFERROR($N204*HSCEI!$G$59/HSCEI!$X$59,""),""))</f>
        <v/>
      </c>
      <c r="X204" s="139">
        <f>IF($C204="","",IF(PULL_FUND="N","",IFERROR(BDP($C204,EPS_FIELD,YR_OVERRIDE,TEXT(YEAR_Y-5,"0")),"")))</f>
        <v/>
      </c>
      <c r="Y204" s="140">
        <f>IF($C204="","",IF(PULL_FUND="N","",IFERROR(BDP($C204,EPS_FIELD,YR_OVERRIDE,TEXT(YEAR_Y-4,"0")),"")))</f>
        <v/>
      </c>
      <c r="Z204" s="140">
        <f>IF($C204="","",IF(PULL_FUND="N","",IFERROR(BDP($C204,EPS_FIELD,YR_OVERRIDE,TEXT(YEAR_Y-3,"0")),"")))</f>
        <v/>
      </c>
      <c r="AA204" s="140">
        <f>IF($C204="","",IF(PULL_FUND="N","",IFERROR(BDP($C204,EPS_FIELD,YR_OVERRIDE,TEXT(YEAR_Y-2,"0")),"")))</f>
        <v/>
      </c>
      <c r="AB204" s="140">
        <f>IF($C204="","",IF(PULL_FUND="N","",IFERROR(BDP($C204,EPS_FIELD,YR_OVERRIDE,TEXT(YEAR_Y-1,"0")),"")))</f>
        <v/>
      </c>
      <c r="AC204" s="126">
        <f>IF($C204="","",IFERROR(AVERAGE(X204:AB204),""))</f>
        <v/>
      </c>
      <c r="AD204" s="140">
        <f>IF($C204="","",IF(PULL_FUND="N","",IFERROR(BDP($C204,BESTEPS_FIELD,FWD_OVERRIDE,TEXT(MOD(YEAR_Y,100),"00")&amp;"Y"),"")))</f>
        <v/>
      </c>
      <c r="AE204" s="141">
        <f>IF($C204="","",IF(PULL_FUND="N","",IFERROR(BDP($C204,PAYOUT_FIELD,YR_OVERRIDE,TEXT(YEAR_Y-5,"0"))/100,"")))</f>
        <v/>
      </c>
      <c r="AF204" s="142">
        <f>IF($C204="","",IF(PULL_FUND="N","",IFERROR(BDP($C204,PAYOUT_FIELD,YR_OVERRIDE,TEXT(YEAR_Y-4,"0"))/100,"")))</f>
        <v/>
      </c>
      <c r="AG204" s="142">
        <f>IF($C204="","",IF(PULL_FUND="N","",IFERROR(BDP($C204,PAYOUT_FIELD,YR_OVERRIDE,TEXT(YEAR_Y-3,"0"))/100,"")))</f>
        <v/>
      </c>
      <c r="AH204" s="142">
        <f>IF($C204="","",IF(PULL_FUND="N","",IFERROR(BDP($C204,PAYOUT_FIELD,YR_OVERRIDE,TEXT(YEAR_Y-2,"0"))/100,"")))</f>
        <v/>
      </c>
      <c r="AI204" s="142">
        <f>IF($C204="","",IF(PULL_FUND="N","",IFERROR(BDP($C204,PAYOUT_FIELD,YR_OVERRIDE,TEXT(YEAR_Y-1,"0"))/100,"")))</f>
        <v/>
      </c>
      <c r="AJ204" s="143">
        <f>IF($C204="","",IFERROR(AVERAGE(AE204:AI204),""))</f>
        <v/>
      </c>
      <c r="AK204" s="144">
        <f>IF($C204="","",IF(ISNUMBER($AD204)*ISNUMBER($N204)*($AD204&lt;&gt;0)=0,"",$N204/$AD204))</f>
        <v/>
      </c>
      <c r="AL204" s="143">
        <f>IF($C204="","",IF(ISNUMBER($AD204)*($AD204&lt;&gt;0)=0,"",$M204/$AD204))</f>
        <v/>
      </c>
      <c r="AM204" s="37">
        <f>IF($C204="","",IF(ISNUMBER($AE204)*ISNUMBER($AI204)=0,"",IF($AI204&gt;$AE204+0.05,"rising",IF($AI204&lt;$AE204-0.05,"falling","stable"))))</f>
        <v/>
      </c>
      <c r="AN204" s="145">
        <f>IF($C204="","",IF(PULL_FUND="N","",IF(COUNTIFS('Fund History'!$G$1168:$G$1172,"&gt;="&amp;DATE(YEAR_Y-4,1,1),'Fund History'!$G$1168:$G$1172,"&lt;="&amp;DATE(YEAR_Y-4,12,31))=0,"",SUMIFS('Fund History'!$H$1168:$H$1172,'Fund History'!$G$1168:$G$1172,"&gt;="&amp;DATE(YEAR_Y-4,1,1),'Fund History'!$G$1168:$G$1172,"&lt;="&amp;DATE(YEAR_Y-4,12,31))/100)))</f>
        <v/>
      </c>
      <c r="AO204" s="146">
        <f>IF($C204="","",IF(PULL_FUND="N","",IF(COUNTIFS('Fund History'!$G$1168:$G$1172,"&gt;="&amp;DATE(YEAR_Y-3,1,1),'Fund History'!$G$1168:$G$1172,"&lt;="&amp;DATE(YEAR_Y-3,12,31))=0,"",SUMIFS('Fund History'!$H$1168:$H$1172,'Fund History'!$G$1168:$G$1172,"&gt;="&amp;DATE(YEAR_Y-3,1,1),'Fund History'!$G$1168:$G$1172,"&lt;="&amp;DATE(YEAR_Y-3,12,31))/100)))</f>
        <v/>
      </c>
      <c r="AP204" s="146">
        <f>IF($C204="","",IF(PULL_FUND="N","",IF(COUNTIFS('Fund History'!$G$1168:$G$1172,"&gt;="&amp;DATE(YEAR_Y-2,1,1),'Fund History'!$G$1168:$G$1172,"&lt;="&amp;DATE(YEAR_Y-2,12,31))=0,"",SUMIFS('Fund History'!$H$1168:$H$1172,'Fund History'!$G$1168:$G$1172,"&gt;="&amp;DATE(YEAR_Y-2,1,1),'Fund History'!$G$1168:$G$1172,"&lt;="&amp;DATE(YEAR_Y-2,12,31))/100)))</f>
        <v/>
      </c>
      <c r="AQ204" s="146">
        <f>IF($C204="","",IF(PULL_FUND="N","",IF(COUNTIFS('Fund History'!$G$1168:$G$1172,"&gt;="&amp;DATE(YEAR_Y-1,1,1),'Fund History'!$G$1168:$G$1172,"&lt;="&amp;DATE(YEAR_Y-1,12,31))=0,"",SUMIFS('Fund History'!$H$1168:$H$1172,'Fund History'!$G$1168:$G$1172,"&gt;="&amp;DATE(YEAR_Y-1,1,1),'Fund History'!$G$1168:$G$1172,"&lt;="&amp;DATE(YEAR_Y-1,12,31))/100)))</f>
        <v/>
      </c>
      <c r="AR204" s="147">
        <f>IF($C204="","",IF(N($AQ204)+N(HSCEI!$I$59)=0,"",N($AQ204)+N(HSCEI!$I$59)/100))</f>
        <v/>
      </c>
      <c r="AS204" s="139">
        <f>IF($C204="","",IF(PULL_FUND="N","",IF(COUNTIFS('Fund History'!$D$1168:$D$1172,"&gt;="&amp;DATE(YEAR_Y-2,1,1),'Fund History'!$D$1168:$D$1172,"&lt;="&amp;DATE(YEAR_Y-2,12,31))=0,"",SUMIFS('Fund History'!$E$1168:$E$1172,'Fund History'!$D$1168:$D$1172,"&gt;="&amp;DATE(YEAR_Y-2,1,1),'Fund History'!$D$1168:$D$1172,"&lt;="&amp;DATE(YEAR_Y-2,12,31)))))</f>
        <v/>
      </c>
      <c r="AT204" s="140">
        <f>IF($C204="","",IF(PULL_FUND="N","",IF(COUNTIFS('Fund History'!$D$1168:$D$1172,"&gt;="&amp;DATE(YEAR_Y-1,1,1),'Fund History'!$D$1168:$D$1172,"&lt;="&amp;DATE(YEAR_Y-1,12,31))=0,"",SUMIFS('Fund History'!$E$1168:$E$1172,'Fund History'!$D$1168:$D$1172,"&gt;="&amp;DATE(YEAR_Y-1,1,1),'Fund History'!$D$1168:$D$1172,"&lt;="&amp;DATE(YEAR_Y-1,12,31)))))</f>
        <v/>
      </c>
      <c r="AU204" s="140">
        <f>IF($C204="","",IF(PULL_FUND="N","",IFERROR(BDP($C204,NDEBITDA_FIELD),"")))</f>
        <v/>
      </c>
      <c r="AV204" s="148">
        <f>IF($C204="","",IF(PULL_FUND="N","",IFERROR(BDP($C204,EBINT_FIELD),"")))</f>
        <v/>
      </c>
      <c r="AW204" s="146">
        <f>IF($C204="","",IF(PULL_FUND="N","",IFERROR(BDP($C204,FCF_FIELD)/100,"")))</f>
        <v/>
      </c>
      <c r="AX204" s="126">
        <f>IF($C204="","",IF(N($U204)=0,"",IFERROR($AW204/$U204,"")))</f>
        <v/>
      </c>
      <c r="AY204" s="85">
        <f>IF($C204="","",TRIM(IF(ISNUMBER($AJ204)*(N($AJ204)&gt;$D$4)&gt;0,"payout high  ","")&amp;IF(ISNUMBER($AX204)*(N($AX204)&lt;$F$4)&gt;0,"FCF below dvd  ","")&amp;IF(ISNUMBER($AU204)*(N($AU204)&gt;$H$4)&gt;0,"leverage high","")))</f>
        <v/>
      </c>
      <c r="AZ204" s="86">
        <f>IF($C204="","",IF(HSCEI!$F$59="HKD","",HSCEI!$F$59))</f>
        <v/>
      </c>
    </row>
    <row r="205">
      <c r="B205" s="66" t="inlineStr">
        <is>
          <t>HSCEI</t>
        </is>
      </c>
      <c r="C205" s="8">
        <f>IF(HSCEI!$C$60="","",HSCEI!$C$60)</f>
        <v/>
      </c>
      <c r="D205" s="8">
        <f>IF($C205="","",HSCEI!$D$60)</f>
        <v/>
      </c>
      <c r="E205" s="8">
        <f>IF($C205="","",HSCEI!$E$60)</f>
        <v/>
      </c>
      <c r="F205" s="131">
        <f>IF($C205="","",SUMPRODUCT(('Dvd Calendar'!$E$2144:$AR$2144&gt;=DATE(YEAR_Y-5,1,1))*('Dvd Calendar'!$E$2144:$AR$2144&lt;=DATE(YEAR_Y-5,12,31))*'Dvd Calendar'!$E$2147:$AR$2147*(('Dvd Calendar'!$E$2149:$AR$2149=TYPE1)*(TYPE1&lt;&gt;"")+('Dvd Calendar'!$E$2149:$AR$2149=TYPE2)*(TYPE2&lt;&gt;"")+('Dvd Calendar'!$E$2149:$AR$2149=TYPE3)*(TYPE3&lt;&gt;"")+('Dvd Calendar'!$E$2149:$AR$2149=TYPE4)*(TYPE4&lt;&gt;"")+('Dvd Calendar'!$E$2149:$AR$2149=SPECIAL_LBL)*(INC_SPECIALS="Y"))))</f>
        <v/>
      </c>
      <c r="G205" s="132">
        <f>IF($C205="","",SUMPRODUCT(('Dvd Calendar'!$E$2144:$AR$2144&gt;=DATE(YEAR_Y-4,1,1))*('Dvd Calendar'!$E$2144:$AR$2144&lt;=DATE(YEAR_Y-4,12,31))*'Dvd Calendar'!$E$2147:$AR$2147*(('Dvd Calendar'!$E$2149:$AR$2149=TYPE1)*(TYPE1&lt;&gt;"")+('Dvd Calendar'!$E$2149:$AR$2149=TYPE2)*(TYPE2&lt;&gt;"")+('Dvd Calendar'!$E$2149:$AR$2149=TYPE3)*(TYPE3&lt;&gt;"")+('Dvd Calendar'!$E$2149:$AR$2149=TYPE4)*(TYPE4&lt;&gt;"")+('Dvd Calendar'!$E$2149:$AR$2149=SPECIAL_LBL)*(INC_SPECIALS="Y"))))</f>
        <v/>
      </c>
      <c r="H205" s="132">
        <f>IF($C205="","",SUMPRODUCT(('Dvd Calendar'!$E$2144:$AR$2144&gt;=DATE(YEAR_Y-3,1,1))*('Dvd Calendar'!$E$2144:$AR$2144&lt;=DATE(YEAR_Y-3,12,31))*'Dvd Calendar'!$E$2147:$AR$2147*(('Dvd Calendar'!$E$2149:$AR$2149=TYPE1)*(TYPE1&lt;&gt;"")+('Dvd Calendar'!$E$2149:$AR$2149=TYPE2)*(TYPE2&lt;&gt;"")+('Dvd Calendar'!$E$2149:$AR$2149=TYPE3)*(TYPE3&lt;&gt;"")+('Dvd Calendar'!$E$2149:$AR$2149=TYPE4)*(TYPE4&lt;&gt;"")+('Dvd Calendar'!$E$2149:$AR$2149=SPECIAL_LBL)*(INC_SPECIALS="Y"))))</f>
        <v/>
      </c>
      <c r="I205" s="132">
        <f>IF($C205="","",SUMPRODUCT(('Dvd Calendar'!$E$2144:$AR$2144&gt;=DATE(YEAR_Y-2,1,1))*('Dvd Calendar'!$E$2144:$AR$2144&lt;=DATE(YEAR_Y-2,12,31))*'Dvd Calendar'!$E$2147:$AR$2147*(('Dvd Calendar'!$E$2149:$AR$2149=TYPE1)*(TYPE1&lt;&gt;"")+('Dvd Calendar'!$E$2149:$AR$2149=TYPE2)*(TYPE2&lt;&gt;"")+('Dvd Calendar'!$E$2149:$AR$2149=TYPE3)*(TYPE3&lt;&gt;"")+('Dvd Calendar'!$E$2149:$AR$2149=TYPE4)*(TYPE4&lt;&gt;"")+('Dvd Calendar'!$E$2149:$AR$2149=SPECIAL_LBL)*(INC_SPECIALS="Y"))))</f>
        <v/>
      </c>
      <c r="J205" s="132">
        <f>IF($C205="","",SUMPRODUCT(('Dvd Calendar'!$E$2144:$AR$2144&gt;=DATE(YEAR_Y-1,1,1))*('Dvd Calendar'!$E$2144:$AR$2144&lt;=DATE(YEAR_Y-1,12,31))*'Dvd Calendar'!$E$2147:$AR$2147*(('Dvd Calendar'!$E$2149:$AR$2149=TYPE1)*(TYPE1&lt;&gt;"")+('Dvd Calendar'!$E$2149:$AR$2149=TYPE2)*(TYPE2&lt;&gt;"")+('Dvd Calendar'!$E$2149:$AR$2149=TYPE3)*(TYPE3&lt;&gt;"")+('Dvd Calendar'!$E$2149:$AR$2149=TYPE4)*(TYPE4&lt;&gt;"")+('Dvd Calendar'!$E$2149:$AR$2149=SPECIAL_LBL)*(INC_SPECIALS="Y"))))</f>
        <v/>
      </c>
      <c r="K205" s="133">
        <f>IF($C205="","",HSCEI!$J$60)</f>
        <v/>
      </c>
      <c r="L205" s="133">
        <f>IF($C205="","",HSCEI!$K$60)</f>
        <v/>
      </c>
      <c r="M205" s="124">
        <f>IF($C205="","",HSCEI!$J$60+HSCEI!$L$60)</f>
        <v/>
      </c>
      <c r="N205" s="134">
        <f>IF($C205="","",IF(PULL_FUND="N","",IFERROR(BDP($C205,BESTDPS_FIELD,FWD_OVERRIDE,TEXT(MOD(YEAR_Y,100),"00")&amp;"Y"),"")))</f>
        <v/>
      </c>
      <c r="O205" s="133">
        <f>IF($C205="","",AVERAGE(F205:J205))</f>
        <v/>
      </c>
      <c r="P205" s="135">
        <f>IF($C205="","",IF(PULL_FUND="N","",IF(COUNTIFS('Fund History'!$J$1174:$J$1178,"&gt;="&amp;DATE(YEAR_Y-5,1,1),'Fund History'!$J$1174:$J$1178,"&lt;="&amp;DATE(YEAR_Y-5,12,31))=0,"",IFERROR($F205*HSCEI!$G$60/SUMIFS('Fund History'!$K$1174:$K$1178,'Fund History'!$J$1174:$J$1178,"&gt;="&amp;DATE(YEAR_Y-5,1,1),'Fund History'!$J$1174:$J$1178,"&lt;="&amp;DATE(YEAR_Y-5,12,31)),""))))</f>
        <v/>
      </c>
      <c r="Q205" s="136">
        <f>IF($C205="","",IF(PULL_FUND="N","",IF(COUNTIFS('Fund History'!$J$1174:$J$1178,"&gt;="&amp;DATE(YEAR_Y-4,1,1),'Fund History'!$J$1174:$J$1178,"&lt;="&amp;DATE(YEAR_Y-4,12,31))=0,"",IFERROR($G205*HSCEI!$G$60/SUMIFS('Fund History'!$K$1174:$K$1178,'Fund History'!$J$1174:$J$1178,"&gt;="&amp;DATE(YEAR_Y-4,1,1),'Fund History'!$J$1174:$J$1178,"&lt;="&amp;DATE(YEAR_Y-4,12,31)),""))))</f>
        <v/>
      </c>
      <c r="R205" s="136">
        <f>IF($C205="","",IF(PULL_FUND="N","",IF(COUNTIFS('Fund History'!$J$1174:$J$1178,"&gt;="&amp;DATE(YEAR_Y-3,1,1),'Fund History'!$J$1174:$J$1178,"&lt;="&amp;DATE(YEAR_Y-3,12,31))=0,"",IFERROR($H205*HSCEI!$G$60/SUMIFS('Fund History'!$K$1174:$K$1178,'Fund History'!$J$1174:$J$1178,"&gt;="&amp;DATE(YEAR_Y-3,1,1),'Fund History'!$J$1174:$J$1178,"&lt;="&amp;DATE(YEAR_Y-3,12,31)),""))))</f>
        <v/>
      </c>
      <c r="S205" s="136">
        <f>IF($C205="","",IF(PULL_FUND="N","",IF(COUNTIFS('Fund History'!$J$1174:$J$1178,"&gt;="&amp;DATE(YEAR_Y-2,1,1),'Fund History'!$J$1174:$J$1178,"&lt;="&amp;DATE(YEAR_Y-2,12,31))=0,"",IFERROR($I205*HSCEI!$G$60/SUMIFS('Fund History'!$K$1174:$K$1178,'Fund History'!$J$1174:$J$1178,"&gt;="&amp;DATE(YEAR_Y-2,1,1),'Fund History'!$J$1174:$J$1178,"&lt;="&amp;DATE(YEAR_Y-2,12,31)),""))))</f>
        <v/>
      </c>
      <c r="T205" s="136">
        <f>IF($C205="","",IF(PULL_FUND="N","",IF(COUNTIFS('Fund History'!$J$1174:$J$1178,"&gt;="&amp;DATE(YEAR_Y-1,1,1),'Fund History'!$J$1174:$J$1178,"&lt;="&amp;DATE(YEAR_Y-1,12,31))=0,"",IFERROR($J205*HSCEI!$G$60/SUMIFS('Fund History'!$K$1174:$K$1178,'Fund History'!$J$1174:$J$1178,"&gt;="&amp;DATE(YEAR_Y-1,1,1),'Fund History'!$J$1174:$J$1178,"&lt;="&amp;DATE(YEAR_Y-1,12,31)),""))))</f>
        <v/>
      </c>
      <c r="U205" s="137">
        <f>IF($C205="","",IF(ISNUMBER(HSCEI!$I$60),HSCEI!$I$60/100,""))</f>
        <v/>
      </c>
      <c r="V205" s="138">
        <f>IF($C205="","",IF(ISNUMBER(HSCEI!$X$60),IFERROR($M205*HSCEI!$G$60/HSCEI!$X$60,""),""))</f>
        <v/>
      </c>
      <c r="W205" s="137">
        <f>IF($C205="","",IF(ISNUMBER($N205),IFERROR($N205*HSCEI!$G$60/HSCEI!$X$60,""),""))</f>
        <v/>
      </c>
      <c r="X205" s="139">
        <f>IF($C205="","",IF(PULL_FUND="N","",IFERROR(BDP($C205,EPS_FIELD,YR_OVERRIDE,TEXT(YEAR_Y-5,"0")),"")))</f>
        <v/>
      </c>
      <c r="Y205" s="140">
        <f>IF($C205="","",IF(PULL_FUND="N","",IFERROR(BDP($C205,EPS_FIELD,YR_OVERRIDE,TEXT(YEAR_Y-4,"0")),"")))</f>
        <v/>
      </c>
      <c r="Z205" s="140">
        <f>IF($C205="","",IF(PULL_FUND="N","",IFERROR(BDP($C205,EPS_FIELD,YR_OVERRIDE,TEXT(YEAR_Y-3,"0")),"")))</f>
        <v/>
      </c>
      <c r="AA205" s="140">
        <f>IF($C205="","",IF(PULL_FUND="N","",IFERROR(BDP($C205,EPS_FIELD,YR_OVERRIDE,TEXT(YEAR_Y-2,"0")),"")))</f>
        <v/>
      </c>
      <c r="AB205" s="140">
        <f>IF($C205="","",IF(PULL_FUND="N","",IFERROR(BDP($C205,EPS_FIELD,YR_OVERRIDE,TEXT(YEAR_Y-1,"0")),"")))</f>
        <v/>
      </c>
      <c r="AC205" s="126">
        <f>IF($C205="","",IFERROR(AVERAGE(X205:AB205),""))</f>
        <v/>
      </c>
      <c r="AD205" s="140">
        <f>IF($C205="","",IF(PULL_FUND="N","",IFERROR(BDP($C205,BESTEPS_FIELD,FWD_OVERRIDE,TEXT(MOD(YEAR_Y,100),"00")&amp;"Y"),"")))</f>
        <v/>
      </c>
      <c r="AE205" s="141">
        <f>IF($C205="","",IF(PULL_FUND="N","",IFERROR(BDP($C205,PAYOUT_FIELD,YR_OVERRIDE,TEXT(YEAR_Y-5,"0"))/100,"")))</f>
        <v/>
      </c>
      <c r="AF205" s="142">
        <f>IF($C205="","",IF(PULL_FUND="N","",IFERROR(BDP($C205,PAYOUT_FIELD,YR_OVERRIDE,TEXT(YEAR_Y-4,"0"))/100,"")))</f>
        <v/>
      </c>
      <c r="AG205" s="142">
        <f>IF($C205="","",IF(PULL_FUND="N","",IFERROR(BDP($C205,PAYOUT_FIELD,YR_OVERRIDE,TEXT(YEAR_Y-3,"0"))/100,"")))</f>
        <v/>
      </c>
      <c r="AH205" s="142">
        <f>IF($C205="","",IF(PULL_FUND="N","",IFERROR(BDP($C205,PAYOUT_FIELD,YR_OVERRIDE,TEXT(YEAR_Y-2,"0"))/100,"")))</f>
        <v/>
      </c>
      <c r="AI205" s="142">
        <f>IF($C205="","",IF(PULL_FUND="N","",IFERROR(BDP($C205,PAYOUT_FIELD,YR_OVERRIDE,TEXT(YEAR_Y-1,"0"))/100,"")))</f>
        <v/>
      </c>
      <c r="AJ205" s="143">
        <f>IF($C205="","",IFERROR(AVERAGE(AE205:AI205),""))</f>
        <v/>
      </c>
      <c r="AK205" s="144">
        <f>IF($C205="","",IF(ISNUMBER($AD205)*ISNUMBER($N205)*($AD205&lt;&gt;0)=0,"",$N205/$AD205))</f>
        <v/>
      </c>
      <c r="AL205" s="143">
        <f>IF($C205="","",IF(ISNUMBER($AD205)*($AD205&lt;&gt;0)=0,"",$M205/$AD205))</f>
        <v/>
      </c>
      <c r="AM205" s="37">
        <f>IF($C205="","",IF(ISNUMBER($AE205)*ISNUMBER($AI205)=0,"",IF($AI205&gt;$AE205+0.05,"rising",IF($AI205&lt;$AE205-0.05,"falling","stable"))))</f>
        <v/>
      </c>
      <c r="AN205" s="145">
        <f>IF($C205="","",IF(PULL_FUND="N","",IF(COUNTIFS('Fund History'!$G$1174:$G$1178,"&gt;="&amp;DATE(YEAR_Y-4,1,1),'Fund History'!$G$1174:$G$1178,"&lt;="&amp;DATE(YEAR_Y-4,12,31))=0,"",SUMIFS('Fund History'!$H$1174:$H$1178,'Fund History'!$G$1174:$G$1178,"&gt;="&amp;DATE(YEAR_Y-4,1,1),'Fund History'!$G$1174:$G$1178,"&lt;="&amp;DATE(YEAR_Y-4,12,31))/100)))</f>
        <v/>
      </c>
      <c r="AO205" s="146">
        <f>IF($C205="","",IF(PULL_FUND="N","",IF(COUNTIFS('Fund History'!$G$1174:$G$1178,"&gt;="&amp;DATE(YEAR_Y-3,1,1),'Fund History'!$G$1174:$G$1178,"&lt;="&amp;DATE(YEAR_Y-3,12,31))=0,"",SUMIFS('Fund History'!$H$1174:$H$1178,'Fund History'!$G$1174:$G$1178,"&gt;="&amp;DATE(YEAR_Y-3,1,1),'Fund History'!$G$1174:$G$1178,"&lt;="&amp;DATE(YEAR_Y-3,12,31))/100)))</f>
        <v/>
      </c>
      <c r="AP205" s="146">
        <f>IF($C205="","",IF(PULL_FUND="N","",IF(COUNTIFS('Fund History'!$G$1174:$G$1178,"&gt;="&amp;DATE(YEAR_Y-2,1,1),'Fund History'!$G$1174:$G$1178,"&lt;="&amp;DATE(YEAR_Y-2,12,31))=0,"",SUMIFS('Fund History'!$H$1174:$H$1178,'Fund History'!$G$1174:$G$1178,"&gt;="&amp;DATE(YEAR_Y-2,1,1),'Fund History'!$G$1174:$G$1178,"&lt;="&amp;DATE(YEAR_Y-2,12,31))/100)))</f>
        <v/>
      </c>
      <c r="AQ205" s="146">
        <f>IF($C205="","",IF(PULL_FUND="N","",IF(COUNTIFS('Fund History'!$G$1174:$G$1178,"&gt;="&amp;DATE(YEAR_Y-1,1,1),'Fund History'!$G$1174:$G$1178,"&lt;="&amp;DATE(YEAR_Y-1,12,31))=0,"",SUMIFS('Fund History'!$H$1174:$H$1178,'Fund History'!$G$1174:$G$1178,"&gt;="&amp;DATE(YEAR_Y-1,1,1),'Fund History'!$G$1174:$G$1178,"&lt;="&amp;DATE(YEAR_Y-1,12,31))/100)))</f>
        <v/>
      </c>
      <c r="AR205" s="147">
        <f>IF($C205="","",IF(N($AQ205)+N(HSCEI!$I$60)=0,"",N($AQ205)+N(HSCEI!$I$60)/100))</f>
        <v/>
      </c>
      <c r="AS205" s="139">
        <f>IF($C205="","",IF(PULL_FUND="N","",IF(COUNTIFS('Fund History'!$D$1174:$D$1178,"&gt;="&amp;DATE(YEAR_Y-2,1,1),'Fund History'!$D$1174:$D$1178,"&lt;="&amp;DATE(YEAR_Y-2,12,31))=0,"",SUMIFS('Fund History'!$E$1174:$E$1178,'Fund History'!$D$1174:$D$1178,"&gt;="&amp;DATE(YEAR_Y-2,1,1),'Fund History'!$D$1174:$D$1178,"&lt;="&amp;DATE(YEAR_Y-2,12,31)))))</f>
        <v/>
      </c>
      <c r="AT205" s="140">
        <f>IF($C205="","",IF(PULL_FUND="N","",IF(COUNTIFS('Fund History'!$D$1174:$D$1178,"&gt;="&amp;DATE(YEAR_Y-1,1,1),'Fund History'!$D$1174:$D$1178,"&lt;="&amp;DATE(YEAR_Y-1,12,31))=0,"",SUMIFS('Fund History'!$E$1174:$E$1178,'Fund History'!$D$1174:$D$1178,"&gt;="&amp;DATE(YEAR_Y-1,1,1),'Fund History'!$D$1174:$D$1178,"&lt;="&amp;DATE(YEAR_Y-1,12,31)))))</f>
        <v/>
      </c>
      <c r="AU205" s="140">
        <f>IF($C205="","",IF(PULL_FUND="N","",IFERROR(BDP($C205,NDEBITDA_FIELD),"")))</f>
        <v/>
      </c>
      <c r="AV205" s="148">
        <f>IF($C205="","",IF(PULL_FUND="N","",IFERROR(BDP($C205,EBINT_FIELD),"")))</f>
        <v/>
      </c>
      <c r="AW205" s="146">
        <f>IF($C205="","",IF(PULL_FUND="N","",IFERROR(BDP($C205,FCF_FIELD)/100,"")))</f>
        <v/>
      </c>
      <c r="AX205" s="126">
        <f>IF($C205="","",IF(N($U205)=0,"",IFERROR($AW205/$U205,"")))</f>
        <v/>
      </c>
      <c r="AY205" s="85">
        <f>IF($C205="","",TRIM(IF(ISNUMBER($AJ205)*(N($AJ205)&gt;$D$4)&gt;0,"payout high  ","")&amp;IF(ISNUMBER($AX205)*(N($AX205)&lt;$F$4)&gt;0,"FCF below dvd  ","")&amp;IF(ISNUMBER($AU205)*(N($AU205)&gt;$H$4)&gt;0,"leverage high","")))</f>
        <v/>
      </c>
      <c r="AZ205" s="86">
        <f>IF($C205="","",IF(HSCEI!$F$60="HKD","",HSCEI!$F$60))</f>
        <v/>
      </c>
    </row>
    <row r="206">
      <c r="B206" s="66" t="inlineStr">
        <is>
          <t>HSCEI</t>
        </is>
      </c>
      <c r="C206" s="8">
        <f>IF(HSCEI!$C$61="","",HSCEI!$C$61)</f>
        <v/>
      </c>
      <c r="D206" s="8">
        <f>IF($C206="","",HSCEI!$D$61)</f>
        <v/>
      </c>
      <c r="E206" s="8">
        <f>IF($C206="","",HSCEI!$E$61)</f>
        <v/>
      </c>
      <c r="F206" s="131">
        <f>IF($C206="","",SUMPRODUCT(('Dvd Calendar'!$E$2155:$AR$2155&gt;=DATE(YEAR_Y-5,1,1))*('Dvd Calendar'!$E$2155:$AR$2155&lt;=DATE(YEAR_Y-5,12,31))*'Dvd Calendar'!$E$2158:$AR$2158*(('Dvd Calendar'!$E$2160:$AR$2160=TYPE1)*(TYPE1&lt;&gt;"")+('Dvd Calendar'!$E$2160:$AR$2160=TYPE2)*(TYPE2&lt;&gt;"")+('Dvd Calendar'!$E$2160:$AR$2160=TYPE3)*(TYPE3&lt;&gt;"")+('Dvd Calendar'!$E$2160:$AR$2160=TYPE4)*(TYPE4&lt;&gt;"")+('Dvd Calendar'!$E$2160:$AR$2160=SPECIAL_LBL)*(INC_SPECIALS="Y"))))</f>
        <v/>
      </c>
      <c r="G206" s="132">
        <f>IF($C206="","",SUMPRODUCT(('Dvd Calendar'!$E$2155:$AR$2155&gt;=DATE(YEAR_Y-4,1,1))*('Dvd Calendar'!$E$2155:$AR$2155&lt;=DATE(YEAR_Y-4,12,31))*'Dvd Calendar'!$E$2158:$AR$2158*(('Dvd Calendar'!$E$2160:$AR$2160=TYPE1)*(TYPE1&lt;&gt;"")+('Dvd Calendar'!$E$2160:$AR$2160=TYPE2)*(TYPE2&lt;&gt;"")+('Dvd Calendar'!$E$2160:$AR$2160=TYPE3)*(TYPE3&lt;&gt;"")+('Dvd Calendar'!$E$2160:$AR$2160=TYPE4)*(TYPE4&lt;&gt;"")+('Dvd Calendar'!$E$2160:$AR$2160=SPECIAL_LBL)*(INC_SPECIALS="Y"))))</f>
        <v/>
      </c>
      <c r="H206" s="132">
        <f>IF($C206="","",SUMPRODUCT(('Dvd Calendar'!$E$2155:$AR$2155&gt;=DATE(YEAR_Y-3,1,1))*('Dvd Calendar'!$E$2155:$AR$2155&lt;=DATE(YEAR_Y-3,12,31))*'Dvd Calendar'!$E$2158:$AR$2158*(('Dvd Calendar'!$E$2160:$AR$2160=TYPE1)*(TYPE1&lt;&gt;"")+('Dvd Calendar'!$E$2160:$AR$2160=TYPE2)*(TYPE2&lt;&gt;"")+('Dvd Calendar'!$E$2160:$AR$2160=TYPE3)*(TYPE3&lt;&gt;"")+('Dvd Calendar'!$E$2160:$AR$2160=TYPE4)*(TYPE4&lt;&gt;"")+('Dvd Calendar'!$E$2160:$AR$2160=SPECIAL_LBL)*(INC_SPECIALS="Y"))))</f>
        <v/>
      </c>
      <c r="I206" s="132">
        <f>IF($C206="","",SUMPRODUCT(('Dvd Calendar'!$E$2155:$AR$2155&gt;=DATE(YEAR_Y-2,1,1))*('Dvd Calendar'!$E$2155:$AR$2155&lt;=DATE(YEAR_Y-2,12,31))*'Dvd Calendar'!$E$2158:$AR$2158*(('Dvd Calendar'!$E$2160:$AR$2160=TYPE1)*(TYPE1&lt;&gt;"")+('Dvd Calendar'!$E$2160:$AR$2160=TYPE2)*(TYPE2&lt;&gt;"")+('Dvd Calendar'!$E$2160:$AR$2160=TYPE3)*(TYPE3&lt;&gt;"")+('Dvd Calendar'!$E$2160:$AR$2160=TYPE4)*(TYPE4&lt;&gt;"")+('Dvd Calendar'!$E$2160:$AR$2160=SPECIAL_LBL)*(INC_SPECIALS="Y"))))</f>
        <v/>
      </c>
      <c r="J206" s="132">
        <f>IF($C206="","",SUMPRODUCT(('Dvd Calendar'!$E$2155:$AR$2155&gt;=DATE(YEAR_Y-1,1,1))*('Dvd Calendar'!$E$2155:$AR$2155&lt;=DATE(YEAR_Y-1,12,31))*'Dvd Calendar'!$E$2158:$AR$2158*(('Dvd Calendar'!$E$2160:$AR$2160=TYPE1)*(TYPE1&lt;&gt;"")+('Dvd Calendar'!$E$2160:$AR$2160=TYPE2)*(TYPE2&lt;&gt;"")+('Dvd Calendar'!$E$2160:$AR$2160=TYPE3)*(TYPE3&lt;&gt;"")+('Dvd Calendar'!$E$2160:$AR$2160=TYPE4)*(TYPE4&lt;&gt;"")+('Dvd Calendar'!$E$2160:$AR$2160=SPECIAL_LBL)*(INC_SPECIALS="Y"))))</f>
        <v/>
      </c>
      <c r="K206" s="133">
        <f>IF($C206="","",HSCEI!$J$61)</f>
        <v/>
      </c>
      <c r="L206" s="133">
        <f>IF($C206="","",HSCEI!$K$61)</f>
        <v/>
      </c>
      <c r="M206" s="124">
        <f>IF($C206="","",HSCEI!$J$61+HSCEI!$L$61)</f>
        <v/>
      </c>
      <c r="N206" s="134">
        <f>IF($C206="","",IF(PULL_FUND="N","",IFERROR(BDP($C206,BESTDPS_FIELD,FWD_OVERRIDE,TEXT(MOD(YEAR_Y,100),"00")&amp;"Y"),"")))</f>
        <v/>
      </c>
      <c r="O206" s="133">
        <f>IF($C206="","",AVERAGE(F206:J206))</f>
        <v/>
      </c>
      <c r="P206" s="135">
        <f>IF($C206="","",IF(PULL_FUND="N","",IF(COUNTIFS('Fund History'!$J$1180:$J$1184,"&gt;="&amp;DATE(YEAR_Y-5,1,1),'Fund History'!$J$1180:$J$1184,"&lt;="&amp;DATE(YEAR_Y-5,12,31))=0,"",IFERROR($F206*HSCEI!$G$61/SUMIFS('Fund History'!$K$1180:$K$1184,'Fund History'!$J$1180:$J$1184,"&gt;="&amp;DATE(YEAR_Y-5,1,1),'Fund History'!$J$1180:$J$1184,"&lt;="&amp;DATE(YEAR_Y-5,12,31)),""))))</f>
        <v/>
      </c>
      <c r="Q206" s="136">
        <f>IF($C206="","",IF(PULL_FUND="N","",IF(COUNTIFS('Fund History'!$J$1180:$J$1184,"&gt;="&amp;DATE(YEAR_Y-4,1,1),'Fund History'!$J$1180:$J$1184,"&lt;="&amp;DATE(YEAR_Y-4,12,31))=0,"",IFERROR($G206*HSCEI!$G$61/SUMIFS('Fund History'!$K$1180:$K$1184,'Fund History'!$J$1180:$J$1184,"&gt;="&amp;DATE(YEAR_Y-4,1,1),'Fund History'!$J$1180:$J$1184,"&lt;="&amp;DATE(YEAR_Y-4,12,31)),""))))</f>
        <v/>
      </c>
      <c r="R206" s="136">
        <f>IF($C206="","",IF(PULL_FUND="N","",IF(COUNTIFS('Fund History'!$J$1180:$J$1184,"&gt;="&amp;DATE(YEAR_Y-3,1,1),'Fund History'!$J$1180:$J$1184,"&lt;="&amp;DATE(YEAR_Y-3,12,31))=0,"",IFERROR($H206*HSCEI!$G$61/SUMIFS('Fund History'!$K$1180:$K$1184,'Fund History'!$J$1180:$J$1184,"&gt;="&amp;DATE(YEAR_Y-3,1,1),'Fund History'!$J$1180:$J$1184,"&lt;="&amp;DATE(YEAR_Y-3,12,31)),""))))</f>
        <v/>
      </c>
      <c r="S206" s="136">
        <f>IF($C206="","",IF(PULL_FUND="N","",IF(COUNTIFS('Fund History'!$J$1180:$J$1184,"&gt;="&amp;DATE(YEAR_Y-2,1,1),'Fund History'!$J$1180:$J$1184,"&lt;="&amp;DATE(YEAR_Y-2,12,31))=0,"",IFERROR($I206*HSCEI!$G$61/SUMIFS('Fund History'!$K$1180:$K$1184,'Fund History'!$J$1180:$J$1184,"&gt;="&amp;DATE(YEAR_Y-2,1,1),'Fund History'!$J$1180:$J$1184,"&lt;="&amp;DATE(YEAR_Y-2,12,31)),""))))</f>
        <v/>
      </c>
      <c r="T206" s="136">
        <f>IF($C206="","",IF(PULL_FUND="N","",IF(COUNTIFS('Fund History'!$J$1180:$J$1184,"&gt;="&amp;DATE(YEAR_Y-1,1,1),'Fund History'!$J$1180:$J$1184,"&lt;="&amp;DATE(YEAR_Y-1,12,31))=0,"",IFERROR($J206*HSCEI!$G$61/SUMIFS('Fund History'!$K$1180:$K$1184,'Fund History'!$J$1180:$J$1184,"&gt;="&amp;DATE(YEAR_Y-1,1,1),'Fund History'!$J$1180:$J$1184,"&lt;="&amp;DATE(YEAR_Y-1,12,31)),""))))</f>
        <v/>
      </c>
      <c r="U206" s="137">
        <f>IF($C206="","",IF(ISNUMBER(HSCEI!$I$61),HSCEI!$I$61/100,""))</f>
        <v/>
      </c>
      <c r="V206" s="138">
        <f>IF($C206="","",IF(ISNUMBER(HSCEI!$X$61),IFERROR($M206*HSCEI!$G$61/HSCEI!$X$61,""),""))</f>
        <v/>
      </c>
      <c r="W206" s="137">
        <f>IF($C206="","",IF(ISNUMBER($N206),IFERROR($N206*HSCEI!$G$61/HSCEI!$X$61,""),""))</f>
        <v/>
      </c>
      <c r="X206" s="139">
        <f>IF($C206="","",IF(PULL_FUND="N","",IFERROR(BDP($C206,EPS_FIELD,YR_OVERRIDE,TEXT(YEAR_Y-5,"0")),"")))</f>
        <v/>
      </c>
      <c r="Y206" s="140">
        <f>IF($C206="","",IF(PULL_FUND="N","",IFERROR(BDP($C206,EPS_FIELD,YR_OVERRIDE,TEXT(YEAR_Y-4,"0")),"")))</f>
        <v/>
      </c>
      <c r="Z206" s="140">
        <f>IF($C206="","",IF(PULL_FUND="N","",IFERROR(BDP($C206,EPS_FIELD,YR_OVERRIDE,TEXT(YEAR_Y-3,"0")),"")))</f>
        <v/>
      </c>
      <c r="AA206" s="140">
        <f>IF($C206="","",IF(PULL_FUND="N","",IFERROR(BDP($C206,EPS_FIELD,YR_OVERRIDE,TEXT(YEAR_Y-2,"0")),"")))</f>
        <v/>
      </c>
      <c r="AB206" s="140">
        <f>IF($C206="","",IF(PULL_FUND="N","",IFERROR(BDP($C206,EPS_FIELD,YR_OVERRIDE,TEXT(YEAR_Y-1,"0")),"")))</f>
        <v/>
      </c>
      <c r="AC206" s="126">
        <f>IF($C206="","",IFERROR(AVERAGE(X206:AB206),""))</f>
        <v/>
      </c>
      <c r="AD206" s="140">
        <f>IF($C206="","",IF(PULL_FUND="N","",IFERROR(BDP($C206,BESTEPS_FIELD,FWD_OVERRIDE,TEXT(MOD(YEAR_Y,100),"00")&amp;"Y"),"")))</f>
        <v/>
      </c>
      <c r="AE206" s="141">
        <f>IF($C206="","",IF(PULL_FUND="N","",IFERROR(BDP($C206,PAYOUT_FIELD,YR_OVERRIDE,TEXT(YEAR_Y-5,"0"))/100,"")))</f>
        <v/>
      </c>
      <c r="AF206" s="142">
        <f>IF($C206="","",IF(PULL_FUND="N","",IFERROR(BDP($C206,PAYOUT_FIELD,YR_OVERRIDE,TEXT(YEAR_Y-4,"0"))/100,"")))</f>
        <v/>
      </c>
      <c r="AG206" s="142">
        <f>IF($C206="","",IF(PULL_FUND="N","",IFERROR(BDP($C206,PAYOUT_FIELD,YR_OVERRIDE,TEXT(YEAR_Y-3,"0"))/100,"")))</f>
        <v/>
      </c>
      <c r="AH206" s="142">
        <f>IF($C206="","",IF(PULL_FUND="N","",IFERROR(BDP($C206,PAYOUT_FIELD,YR_OVERRIDE,TEXT(YEAR_Y-2,"0"))/100,"")))</f>
        <v/>
      </c>
      <c r="AI206" s="142">
        <f>IF($C206="","",IF(PULL_FUND="N","",IFERROR(BDP($C206,PAYOUT_FIELD,YR_OVERRIDE,TEXT(YEAR_Y-1,"0"))/100,"")))</f>
        <v/>
      </c>
      <c r="AJ206" s="143">
        <f>IF($C206="","",IFERROR(AVERAGE(AE206:AI206),""))</f>
        <v/>
      </c>
      <c r="AK206" s="144">
        <f>IF($C206="","",IF(ISNUMBER($AD206)*ISNUMBER($N206)*($AD206&lt;&gt;0)=0,"",$N206/$AD206))</f>
        <v/>
      </c>
      <c r="AL206" s="143">
        <f>IF($C206="","",IF(ISNUMBER($AD206)*($AD206&lt;&gt;0)=0,"",$M206/$AD206))</f>
        <v/>
      </c>
      <c r="AM206" s="37">
        <f>IF($C206="","",IF(ISNUMBER($AE206)*ISNUMBER($AI206)=0,"",IF($AI206&gt;$AE206+0.05,"rising",IF($AI206&lt;$AE206-0.05,"falling","stable"))))</f>
        <v/>
      </c>
      <c r="AN206" s="145">
        <f>IF($C206="","",IF(PULL_FUND="N","",IF(COUNTIFS('Fund History'!$G$1180:$G$1184,"&gt;="&amp;DATE(YEAR_Y-4,1,1),'Fund History'!$G$1180:$G$1184,"&lt;="&amp;DATE(YEAR_Y-4,12,31))=0,"",SUMIFS('Fund History'!$H$1180:$H$1184,'Fund History'!$G$1180:$G$1184,"&gt;="&amp;DATE(YEAR_Y-4,1,1),'Fund History'!$G$1180:$G$1184,"&lt;="&amp;DATE(YEAR_Y-4,12,31))/100)))</f>
        <v/>
      </c>
      <c r="AO206" s="146">
        <f>IF($C206="","",IF(PULL_FUND="N","",IF(COUNTIFS('Fund History'!$G$1180:$G$1184,"&gt;="&amp;DATE(YEAR_Y-3,1,1),'Fund History'!$G$1180:$G$1184,"&lt;="&amp;DATE(YEAR_Y-3,12,31))=0,"",SUMIFS('Fund History'!$H$1180:$H$1184,'Fund History'!$G$1180:$G$1184,"&gt;="&amp;DATE(YEAR_Y-3,1,1),'Fund History'!$G$1180:$G$1184,"&lt;="&amp;DATE(YEAR_Y-3,12,31))/100)))</f>
        <v/>
      </c>
      <c r="AP206" s="146">
        <f>IF($C206="","",IF(PULL_FUND="N","",IF(COUNTIFS('Fund History'!$G$1180:$G$1184,"&gt;="&amp;DATE(YEAR_Y-2,1,1),'Fund History'!$G$1180:$G$1184,"&lt;="&amp;DATE(YEAR_Y-2,12,31))=0,"",SUMIFS('Fund History'!$H$1180:$H$1184,'Fund History'!$G$1180:$G$1184,"&gt;="&amp;DATE(YEAR_Y-2,1,1),'Fund History'!$G$1180:$G$1184,"&lt;="&amp;DATE(YEAR_Y-2,12,31))/100)))</f>
        <v/>
      </c>
      <c r="AQ206" s="146">
        <f>IF($C206="","",IF(PULL_FUND="N","",IF(COUNTIFS('Fund History'!$G$1180:$G$1184,"&gt;="&amp;DATE(YEAR_Y-1,1,1),'Fund History'!$G$1180:$G$1184,"&lt;="&amp;DATE(YEAR_Y-1,12,31))=0,"",SUMIFS('Fund History'!$H$1180:$H$1184,'Fund History'!$G$1180:$G$1184,"&gt;="&amp;DATE(YEAR_Y-1,1,1),'Fund History'!$G$1180:$G$1184,"&lt;="&amp;DATE(YEAR_Y-1,12,31))/100)))</f>
        <v/>
      </c>
      <c r="AR206" s="147">
        <f>IF($C206="","",IF(N($AQ206)+N(HSCEI!$I$61)=0,"",N($AQ206)+N(HSCEI!$I$61)/100))</f>
        <v/>
      </c>
      <c r="AS206" s="139">
        <f>IF($C206="","",IF(PULL_FUND="N","",IF(COUNTIFS('Fund History'!$D$1180:$D$1184,"&gt;="&amp;DATE(YEAR_Y-2,1,1),'Fund History'!$D$1180:$D$1184,"&lt;="&amp;DATE(YEAR_Y-2,12,31))=0,"",SUMIFS('Fund History'!$E$1180:$E$1184,'Fund History'!$D$1180:$D$1184,"&gt;="&amp;DATE(YEAR_Y-2,1,1),'Fund History'!$D$1180:$D$1184,"&lt;="&amp;DATE(YEAR_Y-2,12,31)))))</f>
        <v/>
      </c>
      <c r="AT206" s="140">
        <f>IF($C206="","",IF(PULL_FUND="N","",IF(COUNTIFS('Fund History'!$D$1180:$D$1184,"&gt;="&amp;DATE(YEAR_Y-1,1,1),'Fund History'!$D$1180:$D$1184,"&lt;="&amp;DATE(YEAR_Y-1,12,31))=0,"",SUMIFS('Fund History'!$E$1180:$E$1184,'Fund History'!$D$1180:$D$1184,"&gt;="&amp;DATE(YEAR_Y-1,1,1),'Fund History'!$D$1180:$D$1184,"&lt;="&amp;DATE(YEAR_Y-1,12,31)))))</f>
        <v/>
      </c>
      <c r="AU206" s="140">
        <f>IF($C206="","",IF(PULL_FUND="N","",IFERROR(BDP($C206,NDEBITDA_FIELD),"")))</f>
        <v/>
      </c>
      <c r="AV206" s="148">
        <f>IF($C206="","",IF(PULL_FUND="N","",IFERROR(BDP($C206,EBINT_FIELD),"")))</f>
        <v/>
      </c>
      <c r="AW206" s="146">
        <f>IF($C206="","",IF(PULL_FUND="N","",IFERROR(BDP($C206,FCF_FIELD)/100,"")))</f>
        <v/>
      </c>
      <c r="AX206" s="126">
        <f>IF($C206="","",IF(N($U206)=0,"",IFERROR($AW206/$U206,"")))</f>
        <v/>
      </c>
      <c r="AY206" s="85">
        <f>IF($C206="","",TRIM(IF(ISNUMBER($AJ206)*(N($AJ206)&gt;$D$4)&gt;0,"payout high  ","")&amp;IF(ISNUMBER($AX206)*(N($AX206)&lt;$F$4)&gt;0,"FCF below dvd  ","")&amp;IF(ISNUMBER($AU206)*(N($AU206)&gt;$H$4)&gt;0,"leverage high","")))</f>
        <v/>
      </c>
      <c r="AZ206" s="86">
        <f>IF($C206="","",IF(HSCEI!$F$61="HKD","",HSCEI!$F$61))</f>
        <v/>
      </c>
    </row>
    <row r="207">
      <c r="B207" s="66" t="inlineStr">
        <is>
          <t>HSCEI</t>
        </is>
      </c>
      <c r="C207" s="8">
        <f>IF(HSCEI!$C$62="","",HSCEI!$C$62)</f>
        <v/>
      </c>
      <c r="D207" s="8">
        <f>IF($C207="","",HSCEI!$D$62)</f>
        <v/>
      </c>
      <c r="E207" s="8">
        <f>IF($C207="","",HSCEI!$E$62)</f>
        <v/>
      </c>
      <c r="F207" s="131">
        <f>IF($C207="","",SUMPRODUCT(('Dvd Calendar'!$E$2166:$AR$2166&gt;=DATE(YEAR_Y-5,1,1))*('Dvd Calendar'!$E$2166:$AR$2166&lt;=DATE(YEAR_Y-5,12,31))*'Dvd Calendar'!$E$2169:$AR$2169*(('Dvd Calendar'!$E$2171:$AR$2171=TYPE1)*(TYPE1&lt;&gt;"")+('Dvd Calendar'!$E$2171:$AR$2171=TYPE2)*(TYPE2&lt;&gt;"")+('Dvd Calendar'!$E$2171:$AR$2171=TYPE3)*(TYPE3&lt;&gt;"")+('Dvd Calendar'!$E$2171:$AR$2171=TYPE4)*(TYPE4&lt;&gt;"")+('Dvd Calendar'!$E$2171:$AR$2171=SPECIAL_LBL)*(INC_SPECIALS="Y"))))</f>
        <v/>
      </c>
      <c r="G207" s="132">
        <f>IF($C207="","",SUMPRODUCT(('Dvd Calendar'!$E$2166:$AR$2166&gt;=DATE(YEAR_Y-4,1,1))*('Dvd Calendar'!$E$2166:$AR$2166&lt;=DATE(YEAR_Y-4,12,31))*'Dvd Calendar'!$E$2169:$AR$2169*(('Dvd Calendar'!$E$2171:$AR$2171=TYPE1)*(TYPE1&lt;&gt;"")+('Dvd Calendar'!$E$2171:$AR$2171=TYPE2)*(TYPE2&lt;&gt;"")+('Dvd Calendar'!$E$2171:$AR$2171=TYPE3)*(TYPE3&lt;&gt;"")+('Dvd Calendar'!$E$2171:$AR$2171=TYPE4)*(TYPE4&lt;&gt;"")+('Dvd Calendar'!$E$2171:$AR$2171=SPECIAL_LBL)*(INC_SPECIALS="Y"))))</f>
        <v/>
      </c>
      <c r="H207" s="132">
        <f>IF($C207="","",SUMPRODUCT(('Dvd Calendar'!$E$2166:$AR$2166&gt;=DATE(YEAR_Y-3,1,1))*('Dvd Calendar'!$E$2166:$AR$2166&lt;=DATE(YEAR_Y-3,12,31))*'Dvd Calendar'!$E$2169:$AR$2169*(('Dvd Calendar'!$E$2171:$AR$2171=TYPE1)*(TYPE1&lt;&gt;"")+('Dvd Calendar'!$E$2171:$AR$2171=TYPE2)*(TYPE2&lt;&gt;"")+('Dvd Calendar'!$E$2171:$AR$2171=TYPE3)*(TYPE3&lt;&gt;"")+('Dvd Calendar'!$E$2171:$AR$2171=TYPE4)*(TYPE4&lt;&gt;"")+('Dvd Calendar'!$E$2171:$AR$2171=SPECIAL_LBL)*(INC_SPECIALS="Y"))))</f>
        <v/>
      </c>
      <c r="I207" s="132">
        <f>IF($C207="","",SUMPRODUCT(('Dvd Calendar'!$E$2166:$AR$2166&gt;=DATE(YEAR_Y-2,1,1))*('Dvd Calendar'!$E$2166:$AR$2166&lt;=DATE(YEAR_Y-2,12,31))*'Dvd Calendar'!$E$2169:$AR$2169*(('Dvd Calendar'!$E$2171:$AR$2171=TYPE1)*(TYPE1&lt;&gt;"")+('Dvd Calendar'!$E$2171:$AR$2171=TYPE2)*(TYPE2&lt;&gt;"")+('Dvd Calendar'!$E$2171:$AR$2171=TYPE3)*(TYPE3&lt;&gt;"")+('Dvd Calendar'!$E$2171:$AR$2171=TYPE4)*(TYPE4&lt;&gt;"")+('Dvd Calendar'!$E$2171:$AR$2171=SPECIAL_LBL)*(INC_SPECIALS="Y"))))</f>
        <v/>
      </c>
      <c r="J207" s="132">
        <f>IF($C207="","",SUMPRODUCT(('Dvd Calendar'!$E$2166:$AR$2166&gt;=DATE(YEAR_Y-1,1,1))*('Dvd Calendar'!$E$2166:$AR$2166&lt;=DATE(YEAR_Y-1,12,31))*'Dvd Calendar'!$E$2169:$AR$2169*(('Dvd Calendar'!$E$2171:$AR$2171=TYPE1)*(TYPE1&lt;&gt;"")+('Dvd Calendar'!$E$2171:$AR$2171=TYPE2)*(TYPE2&lt;&gt;"")+('Dvd Calendar'!$E$2171:$AR$2171=TYPE3)*(TYPE3&lt;&gt;"")+('Dvd Calendar'!$E$2171:$AR$2171=TYPE4)*(TYPE4&lt;&gt;"")+('Dvd Calendar'!$E$2171:$AR$2171=SPECIAL_LBL)*(INC_SPECIALS="Y"))))</f>
        <v/>
      </c>
      <c r="K207" s="133">
        <f>IF($C207="","",HSCEI!$J$62)</f>
        <v/>
      </c>
      <c r="L207" s="133">
        <f>IF($C207="","",HSCEI!$K$62)</f>
        <v/>
      </c>
      <c r="M207" s="124">
        <f>IF($C207="","",HSCEI!$J$62+HSCEI!$L$62)</f>
        <v/>
      </c>
      <c r="N207" s="134">
        <f>IF($C207="","",IF(PULL_FUND="N","",IFERROR(BDP($C207,BESTDPS_FIELD,FWD_OVERRIDE,TEXT(MOD(YEAR_Y,100),"00")&amp;"Y"),"")))</f>
        <v/>
      </c>
      <c r="O207" s="133">
        <f>IF($C207="","",AVERAGE(F207:J207))</f>
        <v/>
      </c>
      <c r="P207" s="135">
        <f>IF($C207="","",IF(PULL_FUND="N","",IF(COUNTIFS('Fund History'!$J$1186:$J$1190,"&gt;="&amp;DATE(YEAR_Y-5,1,1),'Fund History'!$J$1186:$J$1190,"&lt;="&amp;DATE(YEAR_Y-5,12,31))=0,"",IFERROR($F207*HSCEI!$G$62/SUMIFS('Fund History'!$K$1186:$K$1190,'Fund History'!$J$1186:$J$1190,"&gt;="&amp;DATE(YEAR_Y-5,1,1),'Fund History'!$J$1186:$J$1190,"&lt;="&amp;DATE(YEAR_Y-5,12,31)),""))))</f>
        <v/>
      </c>
      <c r="Q207" s="136">
        <f>IF($C207="","",IF(PULL_FUND="N","",IF(COUNTIFS('Fund History'!$J$1186:$J$1190,"&gt;="&amp;DATE(YEAR_Y-4,1,1),'Fund History'!$J$1186:$J$1190,"&lt;="&amp;DATE(YEAR_Y-4,12,31))=0,"",IFERROR($G207*HSCEI!$G$62/SUMIFS('Fund History'!$K$1186:$K$1190,'Fund History'!$J$1186:$J$1190,"&gt;="&amp;DATE(YEAR_Y-4,1,1),'Fund History'!$J$1186:$J$1190,"&lt;="&amp;DATE(YEAR_Y-4,12,31)),""))))</f>
        <v/>
      </c>
      <c r="R207" s="136">
        <f>IF($C207="","",IF(PULL_FUND="N","",IF(COUNTIFS('Fund History'!$J$1186:$J$1190,"&gt;="&amp;DATE(YEAR_Y-3,1,1),'Fund History'!$J$1186:$J$1190,"&lt;="&amp;DATE(YEAR_Y-3,12,31))=0,"",IFERROR($H207*HSCEI!$G$62/SUMIFS('Fund History'!$K$1186:$K$1190,'Fund History'!$J$1186:$J$1190,"&gt;="&amp;DATE(YEAR_Y-3,1,1),'Fund History'!$J$1186:$J$1190,"&lt;="&amp;DATE(YEAR_Y-3,12,31)),""))))</f>
        <v/>
      </c>
      <c r="S207" s="136">
        <f>IF($C207="","",IF(PULL_FUND="N","",IF(COUNTIFS('Fund History'!$J$1186:$J$1190,"&gt;="&amp;DATE(YEAR_Y-2,1,1),'Fund History'!$J$1186:$J$1190,"&lt;="&amp;DATE(YEAR_Y-2,12,31))=0,"",IFERROR($I207*HSCEI!$G$62/SUMIFS('Fund History'!$K$1186:$K$1190,'Fund History'!$J$1186:$J$1190,"&gt;="&amp;DATE(YEAR_Y-2,1,1),'Fund History'!$J$1186:$J$1190,"&lt;="&amp;DATE(YEAR_Y-2,12,31)),""))))</f>
        <v/>
      </c>
      <c r="T207" s="136">
        <f>IF($C207="","",IF(PULL_FUND="N","",IF(COUNTIFS('Fund History'!$J$1186:$J$1190,"&gt;="&amp;DATE(YEAR_Y-1,1,1),'Fund History'!$J$1186:$J$1190,"&lt;="&amp;DATE(YEAR_Y-1,12,31))=0,"",IFERROR($J207*HSCEI!$G$62/SUMIFS('Fund History'!$K$1186:$K$1190,'Fund History'!$J$1186:$J$1190,"&gt;="&amp;DATE(YEAR_Y-1,1,1),'Fund History'!$J$1186:$J$1190,"&lt;="&amp;DATE(YEAR_Y-1,12,31)),""))))</f>
        <v/>
      </c>
      <c r="U207" s="137">
        <f>IF($C207="","",IF(ISNUMBER(HSCEI!$I$62),HSCEI!$I$62/100,""))</f>
        <v/>
      </c>
      <c r="V207" s="138">
        <f>IF($C207="","",IF(ISNUMBER(HSCEI!$X$62),IFERROR($M207*HSCEI!$G$62/HSCEI!$X$62,""),""))</f>
        <v/>
      </c>
      <c r="W207" s="137">
        <f>IF($C207="","",IF(ISNUMBER($N207),IFERROR($N207*HSCEI!$G$62/HSCEI!$X$62,""),""))</f>
        <v/>
      </c>
      <c r="X207" s="139">
        <f>IF($C207="","",IF(PULL_FUND="N","",IFERROR(BDP($C207,EPS_FIELD,YR_OVERRIDE,TEXT(YEAR_Y-5,"0")),"")))</f>
        <v/>
      </c>
      <c r="Y207" s="140">
        <f>IF($C207="","",IF(PULL_FUND="N","",IFERROR(BDP($C207,EPS_FIELD,YR_OVERRIDE,TEXT(YEAR_Y-4,"0")),"")))</f>
        <v/>
      </c>
      <c r="Z207" s="140">
        <f>IF($C207="","",IF(PULL_FUND="N","",IFERROR(BDP($C207,EPS_FIELD,YR_OVERRIDE,TEXT(YEAR_Y-3,"0")),"")))</f>
        <v/>
      </c>
      <c r="AA207" s="140">
        <f>IF($C207="","",IF(PULL_FUND="N","",IFERROR(BDP($C207,EPS_FIELD,YR_OVERRIDE,TEXT(YEAR_Y-2,"0")),"")))</f>
        <v/>
      </c>
      <c r="AB207" s="140">
        <f>IF($C207="","",IF(PULL_FUND="N","",IFERROR(BDP($C207,EPS_FIELD,YR_OVERRIDE,TEXT(YEAR_Y-1,"0")),"")))</f>
        <v/>
      </c>
      <c r="AC207" s="126">
        <f>IF($C207="","",IFERROR(AVERAGE(X207:AB207),""))</f>
        <v/>
      </c>
      <c r="AD207" s="140">
        <f>IF($C207="","",IF(PULL_FUND="N","",IFERROR(BDP($C207,BESTEPS_FIELD,FWD_OVERRIDE,TEXT(MOD(YEAR_Y,100),"00")&amp;"Y"),"")))</f>
        <v/>
      </c>
      <c r="AE207" s="141">
        <f>IF($C207="","",IF(PULL_FUND="N","",IFERROR(BDP($C207,PAYOUT_FIELD,YR_OVERRIDE,TEXT(YEAR_Y-5,"0"))/100,"")))</f>
        <v/>
      </c>
      <c r="AF207" s="142">
        <f>IF($C207="","",IF(PULL_FUND="N","",IFERROR(BDP($C207,PAYOUT_FIELD,YR_OVERRIDE,TEXT(YEAR_Y-4,"0"))/100,"")))</f>
        <v/>
      </c>
      <c r="AG207" s="142">
        <f>IF($C207="","",IF(PULL_FUND="N","",IFERROR(BDP($C207,PAYOUT_FIELD,YR_OVERRIDE,TEXT(YEAR_Y-3,"0"))/100,"")))</f>
        <v/>
      </c>
      <c r="AH207" s="142">
        <f>IF($C207="","",IF(PULL_FUND="N","",IFERROR(BDP($C207,PAYOUT_FIELD,YR_OVERRIDE,TEXT(YEAR_Y-2,"0"))/100,"")))</f>
        <v/>
      </c>
      <c r="AI207" s="142">
        <f>IF($C207="","",IF(PULL_FUND="N","",IFERROR(BDP($C207,PAYOUT_FIELD,YR_OVERRIDE,TEXT(YEAR_Y-1,"0"))/100,"")))</f>
        <v/>
      </c>
      <c r="AJ207" s="143">
        <f>IF($C207="","",IFERROR(AVERAGE(AE207:AI207),""))</f>
        <v/>
      </c>
      <c r="AK207" s="144">
        <f>IF($C207="","",IF(ISNUMBER($AD207)*ISNUMBER($N207)*($AD207&lt;&gt;0)=0,"",$N207/$AD207))</f>
        <v/>
      </c>
      <c r="AL207" s="143">
        <f>IF($C207="","",IF(ISNUMBER($AD207)*($AD207&lt;&gt;0)=0,"",$M207/$AD207))</f>
        <v/>
      </c>
      <c r="AM207" s="37">
        <f>IF($C207="","",IF(ISNUMBER($AE207)*ISNUMBER($AI207)=0,"",IF($AI207&gt;$AE207+0.05,"rising",IF($AI207&lt;$AE207-0.05,"falling","stable"))))</f>
        <v/>
      </c>
      <c r="AN207" s="145">
        <f>IF($C207="","",IF(PULL_FUND="N","",IF(COUNTIFS('Fund History'!$G$1186:$G$1190,"&gt;="&amp;DATE(YEAR_Y-4,1,1),'Fund History'!$G$1186:$G$1190,"&lt;="&amp;DATE(YEAR_Y-4,12,31))=0,"",SUMIFS('Fund History'!$H$1186:$H$1190,'Fund History'!$G$1186:$G$1190,"&gt;="&amp;DATE(YEAR_Y-4,1,1),'Fund History'!$G$1186:$G$1190,"&lt;="&amp;DATE(YEAR_Y-4,12,31))/100)))</f>
        <v/>
      </c>
      <c r="AO207" s="146">
        <f>IF($C207="","",IF(PULL_FUND="N","",IF(COUNTIFS('Fund History'!$G$1186:$G$1190,"&gt;="&amp;DATE(YEAR_Y-3,1,1),'Fund History'!$G$1186:$G$1190,"&lt;="&amp;DATE(YEAR_Y-3,12,31))=0,"",SUMIFS('Fund History'!$H$1186:$H$1190,'Fund History'!$G$1186:$G$1190,"&gt;="&amp;DATE(YEAR_Y-3,1,1),'Fund History'!$G$1186:$G$1190,"&lt;="&amp;DATE(YEAR_Y-3,12,31))/100)))</f>
        <v/>
      </c>
      <c r="AP207" s="146">
        <f>IF($C207="","",IF(PULL_FUND="N","",IF(COUNTIFS('Fund History'!$G$1186:$G$1190,"&gt;="&amp;DATE(YEAR_Y-2,1,1),'Fund History'!$G$1186:$G$1190,"&lt;="&amp;DATE(YEAR_Y-2,12,31))=0,"",SUMIFS('Fund History'!$H$1186:$H$1190,'Fund History'!$G$1186:$G$1190,"&gt;="&amp;DATE(YEAR_Y-2,1,1),'Fund History'!$G$1186:$G$1190,"&lt;="&amp;DATE(YEAR_Y-2,12,31))/100)))</f>
        <v/>
      </c>
      <c r="AQ207" s="146">
        <f>IF($C207="","",IF(PULL_FUND="N","",IF(COUNTIFS('Fund History'!$G$1186:$G$1190,"&gt;="&amp;DATE(YEAR_Y-1,1,1),'Fund History'!$G$1186:$G$1190,"&lt;="&amp;DATE(YEAR_Y-1,12,31))=0,"",SUMIFS('Fund History'!$H$1186:$H$1190,'Fund History'!$G$1186:$G$1190,"&gt;="&amp;DATE(YEAR_Y-1,1,1),'Fund History'!$G$1186:$G$1190,"&lt;="&amp;DATE(YEAR_Y-1,12,31))/100)))</f>
        <v/>
      </c>
      <c r="AR207" s="147">
        <f>IF($C207="","",IF(N($AQ207)+N(HSCEI!$I$62)=0,"",N($AQ207)+N(HSCEI!$I$62)/100))</f>
        <v/>
      </c>
      <c r="AS207" s="139">
        <f>IF($C207="","",IF(PULL_FUND="N","",IF(COUNTIFS('Fund History'!$D$1186:$D$1190,"&gt;="&amp;DATE(YEAR_Y-2,1,1),'Fund History'!$D$1186:$D$1190,"&lt;="&amp;DATE(YEAR_Y-2,12,31))=0,"",SUMIFS('Fund History'!$E$1186:$E$1190,'Fund History'!$D$1186:$D$1190,"&gt;="&amp;DATE(YEAR_Y-2,1,1),'Fund History'!$D$1186:$D$1190,"&lt;="&amp;DATE(YEAR_Y-2,12,31)))))</f>
        <v/>
      </c>
      <c r="AT207" s="140">
        <f>IF($C207="","",IF(PULL_FUND="N","",IF(COUNTIFS('Fund History'!$D$1186:$D$1190,"&gt;="&amp;DATE(YEAR_Y-1,1,1),'Fund History'!$D$1186:$D$1190,"&lt;="&amp;DATE(YEAR_Y-1,12,31))=0,"",SUMIFS('Fund History'!$E$1186:$E$1190,'Fund History'!$D$1186:$D$1190,"&gt;="&amp;DATE(YEAR_Y-1,1,1),'Fund History'!$D$1186:$D$1190,"&lt;="&amp;DATE(YEAR_Y-1,12,31)))))</f>
        <v/>
      </c>
      <c r="AU207" s="140">
        <f>IF($C207="","",IF(PULL_FUND="N","",IFERROR(BDP($C207,NDEBITDA_FIELD),"")))</f>
        <v/>
      </c>
      <c r="AV207" s="148">
        <f>IF($C207="","",IF(PULL_FUND="N","",IFERROR(BDP($C207,EBINT_FIELD),"")))</f>
        <v/>
      </c>
      <c r="AW207" s="146">
        <f>IF($C207="","",IF(PULL_FUND="N","",IFERROR(BDP($C207,FCF_FIELD)/100,"")))</f>
        <v/>
      </c>
      <c r="AX207" s="126">
        <f>IF($C207="","",IF(N($U207)=0,"",IFERROR($AW207/$U207,"")))</f>
        <v/>
      </c>
      <c r="AY207" s="85">
        <f>IF($C207="","",TRIM(IF(ISNUMBER($AJ207)*(N($AJ207)&gt;$D$4)&gt;0,"payout high  ","")&amp;IF(ISNUMBER($AX207)*(N($AX207)&lt;$F$4)&gt;0,"FCF below dvd  ","")&amp;IF(ISNUMBER($AU207)*(N($AU207)&gt;$H$4)&gt;0,"leverage high","")))</f>
        <v/>
      </c>
      <c r="AZ207" s="86">
        <f>IF($C207="","",IF(HSCEI!$F$62="HKD","",HSCEI!$F$62))</f>
        <v/>
      </c>
    </row>
    <row r="208">
      <c r="B208" s="66" t="inlineStr">
        <is>
          <t>HSCEI</t>
        </is>
      </c>
      <c r="C208" s="8">
        <f>IF(HSCEI!$C$63="","",HSCEI!$C$63)</f>
        <v/>
      </c>
      <c r="D208" s="8">
        <f>IF($C208="","",HSCEI!$D$63)</f>
        <v/>
      </c>
      <c r="E208" s="8">
        <f>IF($C208="","",HSCEI!$E$63)</f>
        <v/>
      </c>
      <c r="F208" s="131">
        <f>IF($C208="","",SUMPRODUCT(('Dvd Calendar'!$E$2177:$AR$2177&gt;=DATE(YEAR_Y-5,1,1))*('Dvd Calendar'!$E$2177:$AR$2177&lt;=DATE(YEAR_Y-5,12,31))*'Dvd Calendar'!$E$2180:$AR$2180*(('Dvd Calendar'!$E$2182:$AR$2182=TYPE1)*(TYPE1&lt;&gt;"")+('Dvd Calendar'!$E$2182:$AR$2182=TYPE2)*(TYPE2&lt;&gt;"")+('Dvd Calendar'!$E$2182:$AR$2182=TYPE3)*(TYPE3&lt;&gt;"")+('Dvd Calendar'!$E$2182:$AR$2182=TYPE4)*(TYPE4&lt;&gt;"")+('Dvd Calendar'!$E$2182:$AR$2182=SPECIAL_LBL)*(INC_SPECIALS="Y"))))</f>
        <v/>
      </c>
      <c r="G208" s="132">
        <f>IF($C208="","",SUMPRODUCT(('Dvd Calendar'!$E$2177:$AR$2177&gt;=DATE(YEAR_Y-4,1,1))*('Dvd Calendar'!$E$2177:$AR$2177&lt;=DATE(YEAR_Y-4,12,31))*'Dvd Calendar'!$E$2180:$AR$2180*(('Dvd Calendar'!$E$2182:$AR$2182=TYPE1)*(TYPE1&lt;&gt;"")+('Dvd Calendar'!$E$2182:$AR$2182=TYPE2)*(TYPE2&lt;&gt;"")+('Dvd Calendar'!$E$2182:$AR$2182=TYPE3)*(TYPE3&lt;&gt;"")+('Dvd Calendar'!$E$2182:$AR$2182=TYPE4)*(TYPE4&lt;&gt;"")+('Dvd Calendar'!$E$2182:$AR$2182=SPECIAL_LBL)*(INC_SPECIALS="Y"))))</f>
        <v/>
      </c>
      <c r="H208" s="132">
        <f>IF($C208="","",SUMPRODUCT(('Dvd Calendar'!$E$2177:$AR$2177&gt;=DATE(YEAR_Y-3,1,1))*('Dvd Calendar'!$E$2177:$AR$2177&lt;=DATE(YEAR_Y-3,12,31))*'Dvd Calendar'!$E$2180:$AR$2180*(('Dvd Calendar'!$E$2182:$AR$2182=TYPE1)*(TYPE1&lt;&gt;"")+('Dvd Calendar'!$E$2182:$AR$2182=TYPE2)*(TYPE2&lt;&gt;"")+('Dvd Calendar'!$E$2182:$AR$2182=TYPE3)*(TYPE3&lt;&gt;"")+('Dvd Calendar'!$E$2182:$AR$2182=TYPE4)*(TYPE4&lt;&gt;"")+('Dvd Calendar'!$E$2182:$AR$2182=SPECIAL_LBL)*(INC_SPECIALS="Y"))))</f>
        <v/>
      </c>
      <c r="I208" s="132">
        <f>IF($C208="","",SUMPRODUCT(('Dvd Calendar'!$E$2177:$AR$2177&gt;=DATE(YEAR_Y-2,1,1))*('Dvd Calendar'!$E$2177:$AR$2177&lt;=DATE(YEAR_Y-2,12,31))*'Dvd Calendar'!$E$2180:$AR$2180*(('Dvd Calendar'!$E$2182:$AR$2182=TYPE1)*(TYPE1&lt;&gt;"")+('Dvd Calendar'!$E$2182:$AR$2182=TYPE2)*(TYPE2&lt;&gt;"")+('Dvd Calendar'!$E$2182:$AR$2182=TYPE3)*(TYPE3&lt;&gt;"")+('Dvd Calendar'!$E$2182:$AR$2182=TYPE4)*(TYPE4&lt;&gt;"")+('Dvd Calendar'!$E$2182:$AR$2182=SPECIAL_LBL)*(INC_SPECIALS="Y"))))</f>
        <v/>
      </c>
      <c r="J208" s="132">
        <f>IF($C208="","",SUMPRODUCT(('Dvd Calendar'!$E$2177:$AR$2177&gt;=DATE(YEAR_Y-1,1,1))*('Dvd Calendar'!$E$2177:$AR$2177&lt;=DATE(YEAR_Y-1,12,31))*'Dvd Calendar'!$E$2180:$AR$2180*(('Dvd Calendar'!$E$2182:$AR$2182=TYPE1)*(TYPE1&lt;&gt;"")+('Dvd Calendar'!$E$2182:$AR$2182=TYPE2)*(TYPE2&lt;&gt;"")+('Dvd Calendar'!$E$2182:$AR$2182=TYPE3)*(TYPE3&lt;&gt;"")+('Dvd Calendar'!$E$2182:$AR$2182=TYPE4)*(TYPE4&lt;&gt;"")+('Dvd Calendar'!$E$2182:$AR$2182=SPECIAL_LBL)*(INC_SPECIALS="Y"))))</f>
        <v/>
      </c>
      <c r="K208" s="133">
        <f>IF($C208="","",HSCEI!$J$63)</f>
        <v/>
      </c>
      <c r="L208" s="133">
        <f>IF($C208="","",HSCEI!$K$63)</f>
        <v/>
      </c>
      <c r="M208" s="124">
        <f>IF($C208="","",HSCEI!$J$63+HSCEI!$L$63)</f>
        <v/>
      </c>
      <c r="N208" s="134">
        <f>IF($C208="","",IF(PULL_FUND="N","",IFERROR(BDP($C208,BESTDPS_FIELD,FWD_OVERRIDE,TEXT(MOD(YEAR_Y,100),"00")&amp;"Y"),"")))</f>
        <v/>
      </c>
      <c r="O208" s="133">
        <f>IF($C208="","",AVERAGE(F208:J208))</f>
        <v/>
      </c>
      <c r="P208" s="135">
        <f>IF($C208="","",IF(PULL_FUND="N","",IF(COUNTIFS('Fund History'!$J$1192:$J$1196,"&gt;="&amp;DATE(YEAR_Y-5,1,1),'Fund History'!$J$1192:$J$1196,"&lt;="&amp;DATE(YEAR_Y-5,12,31))=0,"",IFERROR($F208*HSCEI!$G$63/SUMIFS('Fund History'!$K$1192:$K$1196,'Fund History'!$J$1192:$J$1196,"&gt;="&amp;DATE(YEAR_Y-5,1,1),'Fund History'!$J$1192:$J$1196,"&lt;="&amp;DATE(YEAR_Y-5,12,31)),""))))</f>
        <v/>
      </c>
      <c r="Q208" s="136">
        <f>IF($C208="","",IF(PULL_FUND="N","",IF(COUNTIFS('Fund History'!$J$1192:$J$1196,"&gt;="&amp;DATE(YEAR_Y-4,1,1),'Fund History'!$J$1192:$J$1196,"&lt;="&amp;DATE(YEAR_Y-4,12,31))=0,"",IFERROR($G208*HSCEI!$G$63/SUMIFS('Fund History'!$K$1192:$K$1196,'Fund History'!$J$1192:$J$1196,"&gt;="&amp;DATE(YEAR_Y-4,1,1),'Fund History'!$J$1192:$J$1196,"&lt;="&amp;DATE(YEAR_Y-4,12,31)),""))))</f>
        <v/>
      </c>
      <c r="R208" s="136">
        <f>IF($C208="","",IF(PULL_FUND="N","",IF(COUNTIFS('Fund History'!$J$1192:$J$1196,"&gt;="&amp;DATE(YEAR_Y-3,1,1),'Fund History'!$J$1192:$J$1196,"&lt;="&amp;DATE(YEAR_Y-3,12,31))=0,"",IFERROR($H208*HSCEI!$G$63/SUMIFS('Fund History'!$K$1192:$K$1196,'Fund History'!$J$1192:$J$1196,"&gt;="&amp;DATE(YEAR_Y-3,1,1),'Fund History'!$J$1192:$J$1196,"&lt;="&amp;DATE(YEAR_Y-3,12,31)),""))))</f>
        <v/>
      </c>
      <c r="S208" s="136">
        <f>IF($C208="","",IF(PULL_FUND="N","",IF(COUNTIFS('Fund History'!$J$1192:$J$1196,"&gt;="&amp;DATE(YEAR_Y-2,1,1),'Fund History'!$J$1192:$J$1196,"&lt;="&amp;DATE(YEAR_Y-2,12,31))=0,"",IFERROR($I208*HSCEI!$G$63/SUMIFS('Fund History'!$K$1192:$K$1196,'Fund History'!$J$1192:$J$1196,"&gt;="&amp;DATE(YEAR_Y-2,1,1),'Fund History'!$J$1192:$J$1196,"&lt;="&amp;DATE(YEAR_Y-2,12,31)),""))))</f>
        <v/>
      </c>
      <c r="T208" s="136">
        <f>IF($C208="","",IF(PULL_FUND="N","",IF(COUNTIFS('Fund History'!$J$1192:$J$1196,"&gt;="&amp;DATE(YEAR_Y-1,1,1),'Fund History'!$J$1192:$J$1196,"&lt;="&amp;DATE(YEAR_Y-1,12,31))=0,"",IFERROR($J208*HSCEI!$G$63/SUMIFS('Fund History'!$K$1192:$K$1196,'Fund History'!$J$1192:$J$1196,"&gt;="&amp;DATE(YEAR_Y-1,1,1),'Fund History'!$J$1192:$J$1196,"&lt;="&amp;DATE(YEAR_Y-1,12,31)),""))))</f>
        <v/>
      </c>
      <c r="U208" s="137">
        <f>IF($C208="","",IF(ISNUMBER(HSCEI!$I$63),HSCEI!$I$63/100,""))</f>
        <v/>
      </c>
      <c r="V208" s="138">
        <f>IF($C208="","",IF(ISNUMBER(HSCEI!$X$63),IFERROR($M208*HSCEI!$G$63/HSCEI!$X$63,""),""))</f>
        <v/>
      </c>
      <c r="W208" s="137">
        <f>IF($C208="","",IF(ISNUMBER($N208),IFERROR($N208*HSCEI!$G$63/HSCEI!$X$63,""),""))</f>
        <v/>
      </c>
      <c r="X208" s="139">
        <f>IF($C208="","",IF(PULL_FUND="N","",IFERROR(BDP($C208,EPS_FIELD,YR_OVERRIDE,TEXT(YEAR_Y-5,"0")),"")))</f>
        <v/>
      </c>
      <c r="Y208" s="140">
        <f>IF($C208="","",IF(PULL_FUND="N","",IFERROR(BDP($C208,EPS_FIELD,YR_OVERRIDE,TEXT(YEAR_Y-4,"0")),"")))</f>
        <v/>
      </c>
      <c r="Z208" s="140">
        <f>IF($C208="","",IF(PULL_FUND="N","",IFERROR(BDP($C208,EPS_FIELD,YR_OVERRIDE,TEXT(YEAR_Y-3,"0")),"")))</f>
        <v/>
      </c>
      <c r="AA208" s="140">
        <f>IF($C208="","",IF(PULL_FUND="N","",IFERROR(BDP($C208,EPS_FIELD,YR_OVERRIDE,TEXT(YEAR_Y-2,"0")),"")))</f>
        <v/>
      </c>
      <c r="AB208" s="140">
        <f>IF($C208="","",IF(PULL_FUND="N","",IFERROR(BDP($C208,EPS_FIELD,YR_OVERRIDE,TEXT(YEAR_Y-1,"0")),"")))</f>
        <v/>
      </c>
      <c r="AC208" s="126">
        <f>IF($C208="","",IFERROR(AVERAGE(X208:AB208),""))</f>
        <v/>
      </c>
      <c r="AD208" s="140">
        <f>IF($C208="","",IF(PULL_FUND="N","",IFERROR(BDP($C208,BESTEPS_FIELD,FWD_OVERRIDE,TEXT(MOD(YEAR_Y,100),"00")&amp;"Y"),"")))</f>
        <v/>
      </c>
      <c r="AE208" s="141">
        <f>IF($C208="","",IF(PULL_FUND="N","",IFERROR(BDP($C208,PAYOUT_FIELD,YR_OVERRIDE,TEXT(YEAR_Y-5,"0"))/100,"")))</f>
        <v/>
      </c>
      <c r="AF208" s="142">
        <f>IF($C208="","",IF(PULL_FUND="N","",IFERROR(BDP($C208,PAYOUT_FIELD,YR_OVERRIDE,TEXT(YEAR_Y-4,"0"))/100,"")))</f>
        <v/>
      </c>
      <c r="AG208" s="142">
        <f>IF($C208="","",IF(PULL_FUND="N","",IFERROR(BDP($C208,PAYOUT_FIELD,YR_OVERRIDE,TEXT(YEAR_Y-3,"0"))/100,"")))</f>
        <v/>
      </c>
      <c r="AH208" s="142">
        <f>IF($C208="","",IF(PULL_FUND="N","",IFERROR(BDP($C208,PAYOUT_FIELD,YR_OVERRIDE,TEXT(YEAR_Y-2,"0"))/100,"")))</f>
        <v/>
      </c>
      <c r="AI208" s="142">
        <f>IF($C208="","",IF(PULL_FUND="N","",IFERROR(BDP($C208,PAYOUT_FIELD,YR_OVERRIDE,TEXT(YEAR_Y-1,"0"))/100,"")))</f>
        <v/>
      </c>
      <c r="AJ208" s="143">
        <f>IF($C208="","",IFERROR(AVERAGE(AE208:AI208),""))</f>
        <v/>
      </c>
      <c r="AK208" s="144">
        <f>IF($C208="","",IF(ISNUMBER($AD208)*ISNUMBER($N208)*($AD208&lt;&gt;0)=0,"",$N208/$AD208))</f>
        <v/>
      </c>
      <c r="AL208" s="143">
        <f>IF($C208="","",IF(ISNUMBER($AD208)*($AD208&lt;&gt;0)=0,"",$M208/$AD208))</f>
        <v/>
      </c>
      <c r="AM208" s="37">
        <f>IF($C208="","",IF(ISNUMBER($AE208)*ISNUMBER($AI208)=0,"",IF($AI208&gt;$AE208+0.05,"rising",IF($AI208&lt;$AE208-0.05,"falling","stable"))))</f>
        <v/>
      </c>
      <c r="AN208" s="145">
        <f>IF($C208="","",IF(PULL_FUND="N","",IF(COUNTIFS('Fund History'!$G$1192:$G$1196,"&gt;="&amp;DATE(YEAR_Y-4,1,1),'Fund History'!$G$1192:$G$1196,"&lt;="&amp;DATE(YEAR_Y-4,12,31))=0,"",SUMIFS('Fund History'!$H$1192:$H$1196,'Fund History'!$G$1192:$G$1196,"&gt;="&amp;DATE(YEAR_Y-4,1,1),'Fund History'!$G$1192:$G$1196,"&lt;="&amp;DATE(YEAR_Y-4,12,31))/100)))</f>
        <v/>
      </c>
      <c r="AO208" s="146">
        <f>IF($C208="","",IF(PULL_FUND="N","",IF(COUNTIFS('Fund History'!$G$1192:$G$1196,"&gt;="&amp;DATE(YEAR_Y-3,1,1),'Fund History'!$G$1192:$G$1196,"&lt;="&amp;DATE(YEAR_Y-3,12,31))=0,"",SUMIFS('Fund History'!$H$1192:$H$1196,'Fund History'!$G$1192:$G$1196,"&gt;="&amp;DATE(YEAR_Y-3,1,1),'Fund History'!$G$1192:$G$1196,"&lt;="&amp;DATE(YEAR_Y-3,12,31))/100)))</f>
        <v/>
      </c>
      <c r="AP208" s="146">
        <f>IF($C208="","",IF(PULL_FUND="N","",IF(COUNTIFS('Fund History'!$G$1192:$G$1196,"&gt;="&amp;DATE(YEAR_Y-2,1,1),'Fund History'!$G$1192:$G$1196,"&lt;="&amp;DATE(YEAR_Y-2,12,31))=0,"",SUMIFS('Fund History'!$H$1192:$H$1196,'Fund History'!$G$1192:$G$1196,"&gt;="&amp;DATE(YEAR_Y-2,1,1),'Fund History'!$G$1192:$G$1196,"&lt;="&amp;DATE(YEAR_Y-2,12,31))/100)))</f>
        <v/>
      </c>
      <c r="AQ208" s="146">
        <f>IF($C208="","",IF(PULL_FUND="N","",IF(COUNTIFS('Fund History'!$G$1192:$G$1196,"&gt;="&amp;DATE(YEAR_Y-1,1,1),'Fund History'!$G$1192:$G$1196,"&lt;="&amp;DATE(YEAR_Y-1,12,31))=0,"",SUMIFS('Fund History'!$H$1192:$H$1196,'Fund History'!$G$1192:$G$1196,"&gt;="&amp;DATE(YEAR_Y-1,1,1),'Fund History'!$G$1192:$G$1196,"&lt;="&amp;DATE(YEAR_Y-1,12,31))/100)))</f>
        <v/>
      </c>
      <c r="AR208" s="147">
        <f>IF($C208="","",IF(N($AQ208)+N(HSCEI!$I$63)=0,"",N($AQ208)+N(HSCEI!$I$63)/100))</f>
        <v/>
      </c>
      <c r="AS208" s="139">
        <f>IF($C208="","",IF(PULL_FUND="N","",IF(COUNTIFS('Fund History'!$D$1192:$D$1196,"&gt;="&amp;DATE(YEAR_Y-2,1,1),'Fund History'!$D$1192:$D$1196,"&lt;="&amp;DATE(YEAR_Y-2,12,31))=0,"",SUMIFS('Fund History'!$E$1192:$E$1196,'Fund History'!$D$1192:$D$1196,"&gt;="&amp;DATE(YEAR_Y-2,1,1),'Fund History'!$D$1192:$D$1196,"&lt;="&amp;DATE(YEAR_Y-2,12,31)))))</f>
        <v/>
      </c>
      <c r="AT208" s="140">
        <f>IF($C208="","",IF(PULL_FUND="N","",IF(COUNTIFS('Fund History'!$D$1192:$D$1196,"&gt;="&amp;DATE(YEAR_Y-1,1,1),'Fund History'!$D$1192:$D$1196,"&lt;="&amp;DATE(YEAR_Y-1,12,31))=0,"",SUMIFS('Fund History'!$E$1192:$E$1196,'Fund History'!$D$1192:$D$1196,"&gt;="&amp;DATE(YEAR_Y-1,1,1),'Fund History'!$D$1192:$D$1196,"&lt;="&amp;DATE(YEAR_Y-1,12,31)))))</f>
        <v/>
      </c>
      <c r="AU208" s="140">
        <f>IF($C208="","",IF(PULL_FUND="N","",IFERROR(BDP($C208,NDEBITDA_FIELD),"")))</f>
        <v/>
      </c>
      <c r="AV208" s="148">
        <f>IF($C208="","",IF(PULL_FUND="N","",IFERROR(BDP($C208,EBINT_FIELD),"")))</f>
        <v/>
      </c>
      <c r="AW208" s="146">
        <f>IF($C208="","",IF(PULL_FUND="N","",IFERROR(BDP($C208,FCF_FIELD)/100,"")))</f>
        <v/>
      </c>
      <c r="AX208" s="126">
        <f>IF($C208="","",IF(N($U208)=0,"",IFERROR($AW208/$U208,"")))</f>
        <v/>
      </c>
      <c r="AY208" s="85">
        <f>IF($C208="","",TRIM(IF(ISNUMBER($AJ208)*(N($AJ208)&gt;$D$4)&gt;0,"payout high  ","")&amp;IF(ISNUMBER($AX208)*(N($AX208)&lt;$F$4)&gt;0,"FCF below dvd  ","")&amp;IF(ISNUMBER($AU208)*(N($AU208)&gt;$H$4)&gt;0,"leverage high","")))</f>
        <v/>
      </c>
      <c r="AZ208" s="86">
        <f>IF($C208="","",IF(HSCEI!$F$63="HKD","",HSCEI!$F$63))</f>
        <v/>
      </c>
    </row>
    <row r="209">
      <c r="B209" s="66" t="inlineStr">
        <is>
          <t>HSCEI</t>
        </is>
      </c>
      <c r="C209" s="8">
        <f>IF(HSCEI!$C$64="","",HSCEI!$C$64)</f>
        <v/>
      </c>
      <c r="D209" s="8">
        <f>IF($C209="","",HSCEI!$D$64)</f>
        <v/>
      </c>
      <c r="E209" s="8">
        <f>IF($C209="","",HSCEI!$E$64)</f>
        <v/>
      </c>
      <c r="F209" s="131">
        <f>IF($C209="","",SUMPRODUCT(('Dvd Calendar'!$E$2188:$AR$2188&gt;=DATE(YEAR_Y-5,1,1))*('Dvd Calendar'!$E$2188:$AR$2188&lt;=DATE(YEAR_Y-5,12,31))*'Dvd Calendar'!$E$2191:$AR$2191*(('Dvd Calendar'!$E$2193:$AR$2193=TYPE1)*(TYPE1&lt;&gt;"")+('Dvd Calendar'!$E$2193:$AR$2193=TYPE2)*(TYPE2&lt;&gt;"")+('Dvd Calendar'!$E$2193:$AR$2193=TYPE3)*(TYPE3&lt;&gt;"")+('Dvd Calendar'!$E$2193:$AR$2193=TYPE4)*(TYPE4&lt;&gt;"")+('Dvd Calendar'!$E$2193:$AR$2193=SPECIAL_LBL)*(INC_SPECIALS="Y"))))</f>
        <v/>
      </c>
      <c r="G209" s="132">
        <f>IF($C209="","",SUMPRODUCT(('Dvd Calendar'!$E$2188:$AR$2188&gt;=DATE(YEAR_Y-4,1,1))*('Dvd Calendar'!$E$2188:$AR$2188&lt;=DATE(YEAR_Y-4,12,31))*'Dvd Calendar'!$E$2191:$AR$2191*(('Dvd Calendar'!$E$2193:$AR$2193=TYPE1)*(TYPE1&lt;&gt;"")+('Dvd Calendar'!$E$2193:$AR$2193=TYPE2)*(TYPE2&lt;&gt;"")+('Dvd Calendar'!$E$2193:$AR$2193=TYPE3)*(TYPE3&lt;&gt;"")+('Dvd Calendar'!$E$2193:$AR$2193=TYPE4)*(TYPE4&lt;&gt;"")+('Dvd Calendar'!$E$2193:$AR$2193=SPECIAL_LBL)*(INC_SPECIALS="Y"))))</f>
        <v/>
      </c>
      <c r="H209" s="132">
        <f>IF($C209="","",SUMPRODUCT(('Dvd Calendar'!$E$2188:$AR$2188&gt;=DATE(YEAR_Y-3,1,1))*('Dvd Calendar'!$E$2188:$AR$2188&lt;=DATE(YEAR_Y-3,12,31))*'Dvd Calendar'!$E$2191:$AR$2191*(('Dvd Calendar'!$E$2193:$AR$2193=TYPE1)*(TYPE1&lt;&gt;"")+('Dvd Calendar'!$E$2193:$AR$2193=TYPE2)*(TYPE2&lt;&gt;"")+('Dvd Calendar'!$E$2193:$AR$2193=TYPE3)*(TYPE3&lt;&gt;"")+('Dvd Calendar'!$E$2193:$AR$2193=TYPE4)*(TYPE4&lt;&gt;"")+('Dvd Calendar'!$E$2193:$AR$2193=SPECIAL_LBL)*(INC_SPECIALS="Y"))))</f>
        <v/>
      </c>
      <c r="I209" s="132">
        <f>IF($C209="","",SUMPRODUCT(('Dvd Calendar'!$E$2188:$AR$2188&gt;=DATE(YEAR_Y-2,1,1))*('Dvd Calendar'!$E$2188:$AR$2188&lt;=DATE(YEAR_Y-2,12,31))*'Dvd Calendar'!$E$2191:$AR$2191*(('Dvd Calendar'!$E$2193:$AR$2193=TYPE1)*(TYPE1&lt;&gt;"")+('Dvd Calendar'!$E$2193:$AR$2193=TYPE2)*(TYPE2&lt;&gt;"")+('Dvd Calendar'!$E$2193:$AR$2193=TYPE3)*(TYPE3&lt;&gt;"")+('Dvd Calendar'!$E$2193:$AR$2193=TYPE4)*(TYPE4&lt;&gt;"")+('Dvd Calendar'!$E$2193:$AR$2193=SPECIAL_LBL)*(INC_SPECIALS="Y"))))</f>
        <v/>
      </c>
      <c r="J209" s="132">
        <f>IF($C209="","",SUMPRODUCT(('Dvd Calendar'!$E$2188:$AR$2188&gt;=DATE(YEAR_Y-1,1,1))*('Dvd Calendar'!$E$2188:$AR$2188&lt;=DATE(YEAR_Y-1,12,31))*'Dvd Calendar'!$E$2191:$AR$2191*(('Dvd Calendar'!$E$2193:$AR$2193=TYPE1)*(TYPE1&lt;&gt;"")+('Dvd Calendar'!$E$2193:$AR$2193=TYPE2)*(TYPE2&lt;&gt;"")+('Dvd Calendar'!$E$2193:$AR$2193=TYPE3)*(TYPE3&lt;&gt;"")+('Dvd Calendar'!$E$2193:$AR$2193=TYPE4)*(TYPE4&lt;&gt;"")+('Dvd Calendar'!$E$2193:$AR$2193=SPECIAL_LBL)*(INC_SPECIALS="Y"))))</f>
        <v/>
      </c>
      <c r="K209" s="133">
        <f>IF($C209="","",HSCEI!$J$64)</f>
        <v/>
      </c>
      <c r="L209" s="133">
        <f>IF($C209="","",HSCEI!$K$64)</f>
        <v/>
      </c>
      <c r="M209" s="124">
        <f>IF($C209="","",HSCEI!$J$64+HSCEI!$L$64)</f>
        <v/>
      </c>
      <c r="N209" s="134">
        <f>IF($C209="","",IF(PULL_FUND="N","",IFERROR(BDP($C209,BESTDPS_FIELD,FWD_OVERRIDE,TEXT(MOD(YEAR_Y,100),"00")&amp;"Y"),"")))</f>
        <v/>
      </c>
      <c r="O209" s="133">
        <f>IF($C209="","",AVERAGE(F209:J209))</f>
        <v/>
      </c>
      <c r="P209" s="135">
        <f>IF($C209="","",IF(PULL_FUND="N","",IF(COUNTIFS('Fund History'!$J$1198:$J$1202,"&gt;="&amp;DATE(YEAR_Y-5,1,1),'Fund History'!$J$1198:$J$1202,"&lt;="&amp;DATE(YEAR_Y-5,12,31))=0,"",IFERROR($F209*HSCEI!$G$64/SUMIFS('Fund History'!$K$1198:$K$1202,'Fund History'!$J$1198:$J$1202,"&gt;="&amp;DATE(YEAR_Y-5,1,1),'Fund History'!$J$1198:$J$1202,"&lt;="&amp;DATE(YEAR_Y-5,12,31)),""))))</f>
        <v/>
      </c>
      <c r="Q209" s="136">
        <f>IF($C209="","",IF(PULL_FUND="N","",IF(COUNTIFS('Fund History'!$J$1198:$J$1202,"&gt;="&amp;DATE(YEAR_Y-4,1,1),'Fund History'!$J$1198:$J$1202,"&lt;="&amp;DATE(YEAR_Y-4,12,31))=0,"",IFERROR($G209*HSCEI!$G$64/SUMIFS('Fund History'!$K$1198:$K$1202,'Fund History'!$J$1198:$J$1202,"&gt;="&amp;DATE(YEAR_Y-4,1,1),'Fund History'!$J$1198:$J$1202,"&lt;="&amp;DATE(YEAR_Y-4,12,31)),""))))</f>
        <v/>
      </c>
      <c r="R209" s="136">
        <f>IF($C209="","",IF(PULL_FUND="N","",IF(COUNTIFS('Fund History'!$J$1198:$J$1202,"&gt;="&amp;DATE(YEAR_Y-3,1,1),'Fund History'!$J$1198:$J$1202,"&lt;="&amp;DATE(YEAR_Y-3,12,31))=0,"",IFERROR($H209*HSCEI!$G$64/SUMIFS('Fund History'!$K$1198:$K$1202,'Fund History'!$J$1198:$J$1202,"&gt;="&amp;DATE(YEAR_Y-3,1,1),'Fund History'!$J$1198:$J$1202,"&lt;="&amp;DATE(YEAR_Y-3,12,31)),""))))</f>
        <v/>
      </c>
      <c r="S209" s="136">
        <f>IF($C209="","",IF(PULL_FUND="N","",IF(COUNTIFS('Fund History'!$J$1198:$J$1202,"&gt;="&amp;DATE(YEAR_Y-2,1,1),'Fund History'!$J$1198:$J$1202,"&lt;="&amp;DATE(YEAR_Y-2,12,31))=0,"",IFERROR($I209*HSCEI!$G$64/SUMIFS('Fund History'!$K$1198:$K$1202,'Fund History'!$J$1198:$J$1202,"&gt;="&amp;DATE(YEAR_Y-2,1,1),'Fund History'!$J$1198:$J$1202,"&lt;="&amp;DATE(YEAR_Y-2,12,31)),""))))</f>
        <v/>
      </c>
      <c r="T209" s="136">
        <f>IF($C209="","",IF(PULL_FUND="N","",IF(COUNTIFS('Fund History'!$J$1198:$J$1202,"&gt;="&amp;DATE(YEAR_Y-1,1,1),'Fund History'!$J$1198:$J$1202,"&lt;="&amp;DATE(YEAR_Y-1,12,31))=0,"",IFERROR($J209*HSCEI!$G$64/SUMIFS('Fund History'!$K$1198:$K$1202,'Fund History'!$J$1198:$J$1202,"&gt;="&amp;DATE(YEAR_Y-1,1,1),'Fund History'!$J$1198:$J$1202,"&lt;="&amp;DATE(YEAR_Y-1,12,31)),""))))</f>
        <v/>
      </c>
      <c r="U209" s="137">
        <f>IF($C209="","",IF(ISNUMBER(HSCEI!$I$64),HSCEI!$I$64/100,""))</f>
        <v/>
      </c>
      <c r="V209" s="138">
        <f>IF($C209="","",IF(ISNUMBER(HSCEI!$X$64),IFERROR($M209*HSCEI!$G$64/HSCEI!$X$64,""),""))</f>
        <v/>
      </c>
      <c r="W209" s="137">
        <f>IF($C209="","",IF(ISNUMBER($N209),IFERROR($N209*HSCEI!$G$64/HSCEI!$X$64,""),""))</f>
        <v/>
      </c>
      <c r="X209" s="139">
        <f>IF($C209="","",IF(PULL_FUND="N","",IFERROR(BDP($C209,EPS_FIELD,YR_OVERRIDE,TEXT(YEAR_Y-5,"0")),"")))</f>
        <v/>
      </c>
      <c r="Y209" s="140">
        <f>IF($C209="","",IF(PULL_FUND="N","",IFERROR(BDP($C209,EPS_FIELD,YR_OVERRIDE,TEXT(YEAR_Y-4,"0")),"")))</f>
        <v/>
      </c>
      <c r="Z209" s="140">
        <f>IF($C209="","",IF(PULL_FUND="N","",IFERROR(BDP($C209,EPS_FIELD,YR_OVERRIDE,TEXT(YEAR_Y-3,"0")),"")))</f>
        <v/>
      </c>
      <c r="AA209" s="140">
        <f>IF($C209="","",IF(PULL_FUND="N","",IFERROR(BDP($C209,EPS_FIELD,YR_OVERRIDE,TEXT(YEAR_Y-2,"0")),"")))</f>
        <v/>
      </c>
      <c r="AB209" s="140">
        <f>IF($C209="","",IF(PULL_FUND="N","",IFERROR(BDP($C209,EPS_FIELD,YR_OVERRIDE,TEXT(YEAR_Y-1,"0")),"")))</f>
        <v/>
      </c>
      <c r="AC209" s="126">
        <f>IF($C209="","",IFERROR(AVERAGE(X209:AB209),""))</f>
        <v/>
      </c>
      <c r="AD209" s="140">
        <f>IF($C209="","",IF(PULL_FUND="N","",IFERROR(BDP($C209,BESTEPS_FIELD,FWD_OVERRIDE,TEXT(MOD(YEAR_Y,100),"00")&amp;"Y"),"")))</f>
        <v/>
      </c>
      <c r="AE209" s="141">
        <f>IF($C209="","",IF(PULL_FUND="N","",IFERROR(BDP($C209,PAYOUT_FIELD,YR_OVERRIDE,TEXT(YEAR_Y-5,"0"))/100,"")))</f>
        <v/>
      </c>
      <c r="AF209" s="142">
        <f>IF($C209="","",IF(PULL_FUND="N","",IFERROR(BDP($C209,PAYOUT_FIELD,YR_OVERRIDE,TEXT(YEAR_Y-4,"0"))/100,"")))</f>
        <v/>
      </c>
      <c r="AG209" s="142">
        <f>IF($C209="","",IF(PULL_FUND="N","",IFERROR(BDP($C209,PAYOUT_FIELD,YR_OVERRIDE,TEXT(YEAR_Y-3,"0"))/100,"")))</f>
        <v/>
      </c>
      <c r="AH209" s="142">
        <f>IF($C209="","",IF(PULL_FUND="N","",IFERROR(BDP($C209,PAYOUT_FIELD,YR_OVERRIDE,TEXT(YEAR_Y-2,"0"))/100,"")))</f>
        <v/>
      </c>
      <c r="AI209" s="142">
        <f>IF($C209="","",IF(PULL_FUND="N","",IFERROR(BDP($C209,PAYOUT_FIELD,YR_OVERRIDE,TEXT(YEAR_Y-1,"0"))/100,"")))</f>
        <v/>
      </c>
      <c r="AJ209" s="143">
        <f>IF($C209="","",IFERROR(AVERAGE(AE209:AI209),""))</f>
        <v/>
      </c>
      <c r="AK209" s="144">
        <f>IF($C209="","",IF(ISNUMBER($AD209)*ISNUMBER($N209)*($AD209&lt;&gt;0)=0,"",$N209/$AD209))</f>
        <v/>
      </c>
      <c r="AL209" s="143">
        <f>IF($C209="","",IF(ISNUMBER($AD209)*($AD209&lt;&gt;0)=0,"",$M209/$AD209))</f>
        <v/>
      </c>
      <c r="AM209" s="37">
        <f>IF($C209="","",IF(ISNUMBER($AE209)*ISNUMBER($AI209)=0,"",IF($AI209&gt;$AE209+0.05,"rising",IF($AI209&lt;$AE209-0.05,"falling","stable"))))</f>
        <v/>
      </c>
      <c r="AN209" s="145">
        <f>IF($C209="","",IF(PULL_FUND="N","",IF(COUNTIFS('Fund History'!$G$1198:$G$1202,"&gt;="&amp;DATE(YEAR_Y-4,1,1),'Fund History'!$G$1198:$G$1202,"&lt;="&amp;DATE(YEAR_Y-4,12,31))=0,"",SUMIFS('Fund History'!$H$1198:$H$1202,'Fund History'!$G$1198:$G$1202,"&gt;="&amp;DATE(YEAR_Y-4,1,1),'Fund History'!$G$1198:$G$1202,"&lt;="&amp;DATE(YEAR_Y-4,12,31))/100)))</f>
        <v/>
      </c>
      <c r="AO209" s="146">
        <f>IF($C209="","",IF(PULL_FUND="N","",IF(COUNTIFS('Fund History'!$G$1198:$G$1202,"&gt;="&amp;DATE(YEAR_Y-3,1,1),'Fund History'!$G$1198:$G$1202,"&lt;="&amp;DATE(YEAR_Y-3,12,31))=0,"",SUMIFS('Fund History'!$H$1198:$H$1202,'Fund History'!$G$1198:$G$1202,"&gt;="&amp;DATE(YEAR_Y-3,1,1),'Fund History'!$G$1198:$G$1202,"&lt;="&amp;DATE(YEAR_Y-3,12,31))/100)))</f>
        <v/>
      </c>
      <c r="AP209" s="146">
        <f>IF($C209="","",IF(PULL_FUND="N","",IF(COUNTIFS('Fund History'!$G$1198:$G$1202,"&gt;="&amp;DATE(YEAR_Y-2,1,1),'Fund History'!$G$1198:$G$1202,"&lt;="&amp;DATE(YEAR_Y-2,12,31))=0,"",SUMIFS('Fund History'!$H$1198:$H$1202,'Fund History'!$G$1198:$G$1202,"&gt;="&amp;DATE(YEAR_Y-2,1,1),'Fund History'!$G$1198:$G$1202,"&lt;="&amp;DATE(YEAR_Y-2,12,31))/100)))</f>
        <v/>
      </c>
      <c r="AQ209" s="146">
        <f>IF($C209="","",IF(PULL_FUND="N","",IF(COUNTIFS('Fund History'!$G$1198:$G$1202,"&gt;="&amp;DATE(YEAR_Y-1,1,1),'Fund History'!$G$1198:$G$1202,"&lt;="&amp;DATE(YEAR_Y-1,12,31))=0,"",SUMIFS('Fund History'!$H$1198:$H$1202,'Fund History'!$G$1198:$G$1202,"&gt;="&amp;DATE(YEAR_Y-1,1,1),'Fund History'!$G$1198:$G$1202,"&lt;="&amp;DATE(YEAR_Y-1,12,31))/100)))</f>
        <v/>
      </c>
      <c r="AR209" s="147">
        <f>IF($C209="","",IF(N($AQ209)+N(HSCEI!$I$64)=0,"",N($AQ209)+N(HSCEI!$I$64)/100))</f>
        <v/>
      </c>
      <c r="AS209" s="139">
        <f>IF($C209="","",IF(PULL_FUND="N","",IF(COUNTIFS('Fund History'!$D$1198:$D$1202,"&gt;="&amp;DATE(YEAR_Y-2,1,1),'Fund History'!$D$1198:$D$1202,"&lt;="&amp;DATE(YEAR_Y-2,12,31))=0,"",SUMIFS('Fund History'!$E$1198:$E$1202,'Fund History'!$D$1198:$D$1202,"&gt;="&amp;DATE(YEAR_Y-2,1,1),'Fund History'!$D$1198:$D$1202,"&lt;="&amp;DATE(YEAR_Y-2,12,31)))))</f>
        <v/>
      </c>
      <c r="AT209" s="140">
        <f>IF($C209="","",IF(PULL_FUND="N","",IF(COUNTIFS('Fund History'!$D$1198:$D$1202,"&gt;="&amp;DATE(YEAR_Y-1,1,1),'Fund History'!$D$1198:$D$1202,"&lt;="&amp;DATE(YEAR_Y-1,12,31))=0,"",SUMIFS('Fund History'!$E$1198:$E$1202,'Fund History'!$D$1198:$D$1202,"&gt;="&amp;DATE(YEAR_Y-1,1,1),'Fund History'!$D$1198:$D$1202,"&lt;="&amp;DATE(YEAR_Y-1,12,31)))))</f>
        <v/>
      </c>
      <c r="AU209" s="140">
        <f>IF($C209="","",IF(PULL_FUND="N","",IFERROR(BDP($C209,NDEBITDA_FIELD),"")))</f>
        <v/>
      </c>
      <c r="AV209" s="148">
        <f>IF($C209="","",IF(PULL_FUND="N","",IFERROR(BDP($C209,EBINT_FIELD),"")))</f>
        <v/>
      </c>
      <c r="AW209" s="146">
        <f>IF($C209="","",IF(PULL_FUND="N","",IFERROR(BDP($C209,FCF_FIELD)/100,"")))</f>
        <v/>
      </c>
      <c r="AX209" s="126">
        <f>IF($C209="","",IF(N($U209)=0,"",IFERROR($AW209/$U209,"")))</f>
        <v/>
      </c>
      <c r="AY209" s="85">
        <f>IF($C209="","",TRIM(IF(ISNUMBER($AJ209)*(N($AJ209)&gt;$D$4)&gt;0,"payout high  ","")&amp;IF(ISNUMBER($AX209)*(N($AX209)&lt;$F$4)&gt;0,"FCF below dvd  ","")&amp;IF(ISNUMBER($AU209)*(N($AU209)&gt;$H$4)&gt;0,"leverage high","")))</f>
        <v/>
      </c>
      <c r="AZ209" s="86">
        <f>IF($C209="","",IF(HSCEI!$F$64="HKD","",HSCEI!$F$64))</f>
        <v/>
      </c>
    </row>
    <row r="210">
      <c r="B210" s="66" t="inlineStr">
        <is>
          <t>HSCEI</t>
        </is>
      </c>
      <c r="C210" s="8">
        <f>IF(HSCEI!$C$65="","",HSCEI!$C$65)</f>
        <v/>
      </c>
      <c r="D210" s="8">
        <f>IF($C210="","",HSCEI!$D$65)</f>
        <v/>
      </c>
      <c r="E210" s="8">
        <f>IF($C210="","",HSCEI!$E$65)</f>
        <v/>
      </c>
      <c r="F210" s="131">
        <f>IF($C210="","",SUMPRODUCT(('Dvd Calendar'!$E$2199:$AR$2199&gt;=DATE(YEAR_Y-5,1,1))*('Dvd Calendar'!$E$2199:$AR$2199&lt;=DATE(YEAR_Y-5,12,31))*'Dvd Calendar'!$E$2202:$AR$2202*(('Dvd Calendar'!$E$2204:$AR$2204=TYPE1)*(TYPE1&lt;&gt;"")+('Dvd Calendar'!$E$2204:$AR$2204=TYPE2)*(TYPE2&lt;&gt;"")+('Dvd Calendar'!$E$2204:$AR$2204=TYPE3)*(TYPE3&lt;&gt;"")+('Dvd Calendar'!$E$2204:$AR$2204=TYPE4)*(TYPE4&lt;&gt;"")+('Dvd Calendar'!$E$2204:$AR$2204=SPECIAL_LBL)*(INC_SPECIALS="Y"))))</f>
        <v/>
      </c>
      <c r="G210" s="132">
        <f>IF($C210="","",SUMPRODUCT(('Dvd Calendar'!$E$2199:$AR$2199&gt;=DATE(YEAR_Y-4,1,1))*('Dvd Calendar'!$E$2199:$AR$2199&lt;=DATE(YEAR_Y-4,12,31))*'Dvd Calendar'!$E$2202:$AR$2202*(('Dvd Calendar'!$E$2204:$AR$2204=TYPE1)*(TYPE1&lt;&gt;"")+('Dvd Calendar'!$E$2204:$AR$2204=TYPE2)*(TYPE2&lt;&gt;"")+('Dvd Calendar'!$E$2204:$AR$2204=TYPE3)*(TYPE3&lt;&gt;"")+('Dvd Calendar'!$E$2204:$AR$2204=TYPE4)*(TYPE4&lt;&gt;"")+('Dvd Calendar'!$E$2204:$AR$2204=SPECIAL_LBL)*(INC_SPECIALS="Y"))))</f>
        <v/>
      </c>
      <c r="H210" s="132">
        <f>IF($C210="","",SUMPRODUCT(('Dvd Calendar'!$E$2199:$AR$2199&gt;=DATE(YEAR_Y-3,1,1))*('Dvd Calendar'!$E$2199:$AR$2199&lt;=DATE(YEAR_Y-3,12,31))*'Dvd Calendar'!$E$2202:$AR$2202*(('Dvd Calendar'!$E$2204:$AR$2204=TYPE1)*(TYPE1&lt;&gt;"")+('Dvd Calendar'!$E$2204:$AR$2204=TYPE2)*(TYPE2&lt;&gt;"")+('Dvd Calendar'!$E$2204:$AR$2204=TYPE3)*(TYPE3&lt;&gt;"")+('Dvd Calendar'!$E$2204:$AR$2204=TYPE4)*(TYPE4&lt;&gt;"")+('Dvd Calendar'!$E$2204:$AR$2204=SPECIAL_LBL)*(INC_SPECIALS="Y"))))</f>
        <v/>
      </c>
      <c r="I210" s="132">
        <f>IF($C210="","",SUMPRODUCT(('Dvd Calendar'!$E$2199:$AR$2199&gt;=DATE(YEAR_Y-2,1,1))*('Dvd Calendar'!$E$2199:$AR$2199&lt;=DATE(YEAR_Y-2,12,31))*'Dvd Calendar'!$E$2202:$AR$2202*(('Dvd Calendar'!$E$2204:$AR$2204=TYPE1)*(TYPE1&lt;&gt;"")+('Dvd Calendar'!$E$2204:$AR$2204=TYPE2)*(TYPE2&lt;&gt;"")+('Dvd Calendar'!$E$2204:$AR$2204=TYPE3)*(TYPE3&lt;&gt;"")+('Dvd Calendar'!$E$2204:$AR$2204=TYPE4)*(TYPE4&lt;&gt;"")+('Dvd Calendar'!$E$2204:$AR$2204=SPECIAL_LBL)*(INC_SPECIALS="Y"))))</f>
        <v/>
      </c>
      <c r="J210" s="132">
        <f>IF($C210="","",SUMPRODUCT(('Dvd Calendar'!$E$2199:$AR$2199&gt;=DATE(YEAR_Y-1,1,1))*('Dvd Calendar'!$E$2199:$AR$2199&lt;=DATE(YEAR_Y-1,12,31))*'Dvd Calendar'!$E$2202:$AR$2202*(('Dvd Calendar'!$E$2204:$AR$2204=TYPE1)*(TYPE1&lt;&gt;"")+('Dvd Calendar'!$E$2204:$AR$2204=TYPE2)*(TYPE2&lt;&gt;"")+('Dvd Calendar'!$E$2204:$AR$2204=TYPE3)*(TYPE3&lt;&gt;"")+('Dvd Calendar'!$E$2204:$AR$2204=TYPE4)*(TYPE4&lt;&gt;"")+('Dvd Calendar'!$E$2204:$AR$2204=SPECIAL_LBL)*(INC_SPECIALS="Y"))))</f>
        <v/>
      </c>
      <c r="K210" s="133">
        <f>IF($C210="","",HSCEI!$J$65)</f>
        <v/>
      </c>
      <c r="L210" s="133">
        <f>IF($C210="","",HSCEI!$K$65)</f>
        <v/>
      </c>
      <c r="M210" s="124">
        <f>IF($C210="","",HSCEI!$J$65+HSCEI!$L$65)</f>
        <v/>
      </c>
      <c r="N210" s="134">
        <f>IF($C210="","",IF(PULL_FUND="N","",IFERROR(BDP($C210,BESTDPS_FIELD,FWD_OVERRIDE,TEXT(MOD(YEAR_Y,100),"00")&amp;"Y"),"")))</f>
        <v/>
      </c>
      <c r="O210" s="133">
        <f>IF($C210="","",AVERAGE(F210:J210))</f>
        <v/>
      </c>
      <c r="P210" s="135">
        <f>IF($C210="","",IF(PULL_FUND="N","",IF(COUNTIFS('Fund History'!$J$1204:$J$1208,"&gt;="&amp;DATE(YEAR_Y-5,1,1),'Fund History'!$J$1204:$J$1208,"&lt;="&amp;DATE(YEAR_Y-5,12,31))=0,"",IFERROR($F210*HSCEI!$G$65/SUMIFS('Fund History'!$K$1204:$K$1208,'Fund History'!$J$1204:$J$1208,"&gt;="&amp;DATE(YEAR_Y-5,1,1),'Fund History'!$J$1204:$J$1208,"&lt;="&amp;DATE(YEAR_Y-5,12,31)),""))))</f>
        <v/>
      </c>
      <c r="Q210" s="136">
        <f>IF($C210="","",IF(PULL_FUND="N","",IF(COUNTIFS('Fund History'!$J$1204:$J$1208,"&gt;="&amp;DATE(YEAR_Y-4,1,1),'Fund History'!$J$1204:$J$1208,"&lt;="&amp;DATE(YEAR_Y-4,12,31))=0,"",IFERROR($G210*HSCEI!$G$65/SUMIFS('Fund History'!$K$1204:$K$1208,'Fund History'!$J$1204:$J$1208,"&gt;="&amp;DATE(YEAR_Y-4,1,1),'Fund History'!$J$1204:$J$1208,"&lt;="&amp;DATE(YEAR_Y-4,12,31)),""))))</f>
        <v/>
      </c>
      <c r="R210" s="136">
        <f>IF($C210="","",IF(PULL_FUND="N","",IF(COUNTIFS('Fund History'!$J$1204:$J$1208,"&gt;="&amp;DATE(YEAR_Y-3,1,1),'Fund History'!$J$1204:$J$1208,"&lt;="&amp;DATE(YEAR_Y-3,12,31))=0,"",IFERROR($H210*HSCEI!$G$65/SUMIFS('Fund History'!$K$1204:$K$1208,'Fund History'!$J$1204:$J$1208,"&gt;="&amp;DATE(YEAR_Y-3,1,1),'Fund History'!$J$1204:$J$1208,"&lt;="&amp;DATE(YEAR_Y-3,12,31)),""))))</f>
        <v/>
      </c>
      <c r="S210" s="136">
        <f>IF($C210="","",IF(PULL_FUND="N","",IF(COUNTIFS('Fund History'!$J$1204:$J$1208,"&gt;="&amp;DATE(YEAR_Y-2,1,1),'Fund History'!$J$1204:$J$1208,"&lt;="&amp;DATE(YEAR_Y-2,12,31))=0,"",IFERROR($I210*HSCEI!$G$65/SUMIFS('Fund History'!$K$1204:$K$1208,'Fund History'!$J$1204:$J$1208,"&gt;="&amp;DATE(YEAR_Y-2,1,1),'Fund History'!$J$1204:$J$1208,"&lt;="&amp;DATE(YEAR_Y-2,12,31)),""))))</f>
        <v/>
      </c>
      <c r="T210" s="136">
        <f>IF($C210="","",IF(PULL_FUND="N","",IF(COUNTIFS('Fund History'!$J$1204:$J$1208,"&gt;="&amp;DATE(YEAR_Y-1,1,1),'Fund History'!$J$1204:$J$1208,"&lt;="&amp;DATE(YEAR_Y-1,12,31))=0,"",IFERROR($J210*HSCEI!$G$65/SUMIFS('Fund History'!$K$1204:$K$1208,'Fund History'!$J$1204:$J$1208,"&gt;="&amp;DATE(YEAR_Y-1,1,1),'Fund History'!$J$1204:$J$1208,"&lt;="&amp;DATE(YEAR_Y-1,12,31)),""))))</f>
        <v/>
      </c>
      <c r="U210" s="137">
        <f>IF($C210="","",IF(ISNUMBER(HSCEI!$I$65),HSCEI!$I$65/100,""))</f>
        <v/>
      </c>
      <c r="V210" s="138">
        <f>IF($C210="","",IF(ISNUMBER(HSCEI!$X$65),IFERROR($M210*HSCEI!$G$65/HSCEI!$X$65,""),""))</f>
        <v/>
      </c>
      <c r="W210" s="137">
        <f>IF($C210="","",IF(ISNUMBER($N210),IFERROR($N210*HSCEI!$G$65/HSCEI!$X$65,""),""))</f>
        <v/>
      </c>
      <c r="X210" s="139">
        <f>IF($C210="","",IF(PULL_FUND="N","",IFERROR(BDP($C210,EPS_FIELD,YR_OVERRIDE,TEXT(YEAR_Y-5,"0")),"")))</f>
        <v/>
      </c>
      <c r="Y210" s="140">
        <f>IF($C210="","",IF(PULL_FUND="N","",IFERROR(BDP($C210,EPS_FIELD,YR_OVERRIDE,TEXT(YEAR_Y-4,"0")),"")))</f>
        <v/>
      </c>
      <c r="Z210" s="140">
        <f>IF($C210="","",IF(PULL_FUND="N","",IFERROR(BDP($C210,EPS_FIELD,YR_OVERRIDE,TEXT(YEAR_Y-3,"0")),"")))</f>
        <v/>
      </c>
      <c r="AA210" s="140">
        <f>IF($C210="","",IF(PULL_FUND="N","",IFERROR(BDP($C210,EPS_FIELD,YR_OVERRIDE,TEXT(YEAR_Y-2,"0")),"")))</f>
        <v/>
      </c>
      <c r="AB210" s="140">
        <f>IF($C210="","",IF(PULL_FUND="N","",IFERROR(BDP($C210,EPS_FIELD,YR_OVERRIDE,TEXT(YEAR_Y-1,"0")),"")))</f>
        <v/>
      </c>
      <c r="AC210" s="126">
        <f>IF($C210="","",IFERROR(AVERAGE(X210:AB210),""))</f>
        <v/>
      </c>
      <c r="AD210" s="140">
        <f>IF($C210="","",IF(PULL_FUND="N","",IFERROR(BDP($C210,BESTEPS_FIELD,FWD_OVERRIDE,TEXT(MOD(YEAR_Y,100),"00")&amp;"Y"),"")))</f>
        <v/>
      </c>
      <c r="AE210" s="141">
        <f>IF($C210="","",IF(PULL_FUND="N","",IFERROR(BDP($C210,PAYOUT_FIELD,YR_OVERRIDE,TEXT(YEAR_Y-5,"0"))/100,"")))</f>
        <v/>
      </c>
      <c r="AF210" s="142">
        <f>IF($C210="","",IF(PULL_FUND="N","",IFERROR(BDP($C210,PAYOUT_FIELD,YR_OVERRIDE,TEXT(YEAR_Y-4,"0"))/100,"")))</f>
        <v/>
      </c>
      <c r="AG210" s="142">
        <f>IF($C210="","",IF(PULL_FUND="N","",IFERROR(BDP($C210,PAYOUT_FIELD,YR_OVERRIDE,TEXT(YEAR_Y-3,"0"))/100,"")))</f>
        <v/>
      </c>
      <c r="AH210" s="142">
        <f>IF($C210="","",IF(PULL_FUND="N","",IFERROR(BDP($C210,PAYOUT_FIELD,YR_OVERRIDE,TEXT(YEAR_Y-2,"0"))/100,"")))</f>
        <v/>
      </c>
      <c r="AI210" s="142">
        <f>IF($C210="","",IF(PULL_FUND="N","",IFERROR(BDP($C210,PAYOUT_FIELD,YR_OVERRIDE,TEXT(YEAR_Y-1,"0"))/100,"")))</f>
        <v/>
      </c>
      <c r="AJ210" s="143">
        <f>IF($C210="","",IFERROR(AVERAGE(AE210:AI210),""))</f>
        <v/>
      </c>
      <c r="AK210" s="144">
        <f>IF($C210="","",IF(ISNUMBER($AD210)*ISNUMBER($N210)*($AD210&lt;&gt;0)=0,"",$N210/$AD210))</f>
        <v/>
      </c>
      <c r="AL210" s="143">
        <f>IF($C210="","",IF(ISNUMBER($AD210)*($AD210&lt;&gt;0)=0,"",$M210/$AD210))</f>
        <v/>
      </c>
      <c r="AM210" s="37">
        <f>IF($C210="","",IF(ISNUMBER($AE210)*ISNUMBER($AI210)=0,"",IF($AI210&gt;$AE210+0.05,"rising",IF($AI210&lt;$AE210-0.05,"falling","stable"))))</f>
        <v/>
      </c>
      <c r="AN210" s="145">
        <f>IF($C210="","",IF(PULL_FUND="N","",IF(COUNTIFS('Fund History'!$G$1204:$G$1208,"&gt;="&amp;DATE(YEAR_Y-4,1,1),'Fund History'!$G$1204:$G$1208,"&lt;="&amp;DATE(YEAR_Y-4,12,31))=0,"",SUMIFS('Fund History'!$H$1204:$H$1208,'Fund History'!$G$1204:$G$1208,"&gt;="&amp;DATE(YEAR_Y-4,1,1),'Fund History'!$G$1204:$G$1208,"&lt;="&amp;DATE(YEAR_Y-4,12,31))/100)))</f>
        <v/>
      </c>
      <c r="AO210" s="146">
        <f>IF($C210="","",IF(PULL_FUND="N","",IF(COUNTIFS('Fund History'!$G$1204:$G$1208,"&gt;="&amp;DATE(YEAR_Y-3,1,1),'Fund History'!$G$1204:$G$1208,"&lt;="&amp;DATE(YEAR_Y-3,12,31))=0,"",SUMIFS('Fund History'!$H$1204:$H$1208,'Fund History'!$G$1204:$G$1208,"&gt;="&amp;DATE(YEAR_Y-3,1,1),'Fund History'!$G$1204:$G$1208,"&lt;="&amp;DATE(YEAR_Y-3,12,31))/100)))</f>
        <v/>
      </c>
      <c r="AP210" s="146">
        <f>IF($C210="","",IF(PULL_FUND="N","",IF(COUNTIFS('Fund History'!$G$1204:$G$1208,"&gt;="&amp;DATE(YEAR_Y-2,1,1),'Fund History'!$G$1204:$G$1208,"&lt;="&amp;DATE(YEAR_Y-2,12,31))=0,"",SUMIFS('Fund History'!$H$1204:$H$1208,'Fund History'!$G$1204:$G$1208,"&gt;="&amp;DATE(YEAR_Y-2,1,1),'Fund History'!$G$1204:$G$1208,"&lt;="&amp;DATE(YEAR_Y-2,12,31))/100)))</f>
        <v/>
      </c>
      <c r="AQ210" s="146">
        <f>IF($C210="","",IF(PULL_FUND="N","",IF(COUNTIFS('Fund History'!$G$1204:$G$1208,"&gt;="&amp;DATE(YEAR_Y-1,1,1),'Fund History'!$G$1204:$G$1208,"&lt;="&amp;DATE(YEAR_Y-1,12,31))=0,"",SUMIFS('Fund History'!$H$1204:$H$1208,'Fund History'!$G$1204:$G$1208,"&gt;="&amp;DATE(YEAR_Y-1,1,1),'Fund History'!$G$1204:$G$1208,"&lt;="&amp;DATE(YEAR_Y-1,12,31))/100)))</f>
        <v/>
      </c>
      <c r="AR210" s="147">
        <f>IF($C210="","",IF(N($AQ210)+N(HSCEI!$I$65)=0,"",N($AQ210)+N(HSCEI!$I$65)/100))</f>
        <v/>
      </c>
      <c r="AS210" s="139">
        <f>IF($C210="","",IF(PULL_FUND="N","",IF(COUNTIFS('Fund History'!$D$1204:$D$1208,"&gt;="&amp;DATE(YEAR_Y-2,1,1),'Fund History'!$D$1204:$D$1208,"&lt;="&amp;DATE(YEAR_Y-2,12,31))=0,"",SUMIFS('Fund History'!$E$1204:$E$1208,'Fund History'!$D$1204:$D$1208,"&gt;="&amp;DATE(YEAR_Y-2,1,1),'Fund History'!$D$1204:$D$1208,"&lt;="&amp;DATE(YEAR_Y-2,12,31)))))</f>
        <v/>
      </c>
      <c r="AT210" s="140">
        <f>IF($C210="","",IF(PULL_FUND="N","",IF(COUNTIFS('Fund History'!$D$1204:$D$1208,"&gt;="&amp;DATE(YEAR_Y-1,1,1),'Fund History'!$D$1204:$D$1208,"&lt;="&amp;DATE(YEAR_Y-1,12,31))=0,"",SUMIFS('Fund History'!$E$1204:$E$1208,'Fund History'!$D$1204:$D$1208,"&gt;="&amp;DATE(YEAR_Y-1,1,1),'Fund History'!$D$1204:$D$1208,"&lt;="&amp;DATE(YEAR_Y-1,12,31)))))</f>
        <v/>
      </c>
      <c r="AU210" s="140">
        <f>IF($C210="","",IF(PULL_FUND="N","",IFERROR(BDP($C210,NDEBITDA_FIELD),"")))</f>
        <v/>
      </c>
      <c r="AV210" s="148">
        <f>IF($C210="","",IF(PULL_FUND="N","",IFERROR(BDP($C210,EBINT_FIELD),"")))</f>
        <v/>
      </c>
      <c r="AW210" s="146">
        <f>IF($C210="","",IF(PULL_FUND="N","",IFERROR(BDP($C210,FCF_FIELD)/100,"")))</f>
        <v/>
      </c>
      <c r="AX210" s="126">
        <f>IF($C210="","",IF(N($U210)=0,"",IFERROR($AW210/$U210,"")))</f>
        <v/>
      </c>
      <c r="AY210" s="85">
        <f>IF($C210="","",TRIM(IF(ISNUMBER($AJ210)*(N($AJ210)&gt;$D$4)&gt;0,"payout high  ","")&amp;IF(ISNUMBER($AX210)*(N($AX210)&lt;$F$4)&gt;0,"FCF below dvd  ","")&amp;IF(ISNUMBER($AU210)*(N($AU210)&gt;$H$4)&gt;0,"leverage high","")))</f>
        <v/>
      </c>
      <c r="AZ210" s="86">
        <f>IF($C210="","",IF(HSCEI!$F$65="HKD","",HSCEI!$F$65))</f>
        <v/>
      </c>
    </row>
    <row r="211">
      <c r="B211" s="66" t="inlineStr">
        <is>
          <t>HSCEI</t>
        </is>
      </c>
      <c r="C211" s="8">
        <f>IF(HSCEI!$C$66="","",HSCEI!$C$66)</f>
        <v/>
      </c>
      <c r="D211" s="8">
        <f>IF($C211="","",HSCEI!$D$66)</f>
        <v/>
      </c>
      <c r="E211" s="8">
        <f>IF($C211="","",HSCEI!$E$66)</f>
        <v/>
      </c>
      <c r="F211" s="131">
        <f>IF($C211="","",SUMPRODUCT(('Dvd Calendar'!$E$2210:$AR$2210&gt;=DATE(YEAR_Y-5,1,1))*('Dvd Calendar'!$E$2210:$AR$2210&lt;=DATE(YEAR_Y-5,12,31))*'Dvd Calendar'!$E$2213:$AR$2213*(('Dvd Calendar'!$E$2215:$AR$2215=TYPE1)*(TYPE1&lt;&gt;"")+('Dvd Calendar'!$E$2215:$AR$2215=TYPE2)*(TYPE2&lt;&gt;"")+('Dvd Calendar'!$E$2215:$AR$2215=TYPE3)*(TYPE3&lt;&gt;"")+('Dvd Calendar'!$E$2215:$AR$2215=TYPE4)*(TYPE4&lt;&gt;"")+('Dvd Calendar'!$E$2215:$AR$2215=SPECIAL_LBL)*(INC_SPECIALS="Y"))))</f>
        <v/>
      </c>
      <c r="G211" s="132">
        <f>IF($C211="","",SUMPRODUCT(('Dvd Calendar'!$E$2210:$AR$2210&gt;=DATE(YEAR_Y-4,1,1))*('Dvd Calendar'!$E$2210:$AR$2210&lt;=DATE(YEAR_Y-4,12,31))*'Dvd Calendar'!$E$2213:$AR$2213*(('Dvd Calendar'!$E$2215:$AR$2215=TYPE1)*(TYPE1&lt;&gt;"")+('Dvd Calendar'!$E$2215:$AR$2215=TYPE2)*(TYPE2&lt;&gt;"")+('Dvd Calendar'!$E$2215:$AR$2215=TYPE3)*(TYPE3&lt;&gt;"")+('Dvd Calendar'!$E$2215:$AR$2215=TYPE4)*(TYPE4&lt;&gt;"")+('Dvd Calendar'!$E$2215:$AR$2215=SPECIAL_LBL)*(INC_SPECIALS="Y"))))</f>
        <v/>
      </c>
      <c r="H211" s="132">
        <f>IF($C211="","",SUMPRODUCT(('Dvd Calendar'!$E$2210:$AR$2210&gt;=DATE(YEAR_Y-3,1,1))*('Dvd Calendar'!$E$2210:$AR$2210&lt;=DATE(YEAR_Y-3,12,31))*'Dvd Calendar'!$E$2213:$AR$2213*(('Dvd Calendar'!$E$2215:$AR$2215=TYPE1)*(TYPE1&lt;&gt;"")+('Dvd Calendar'!$E$2215:$AR$2215=TYPE2)*(TYPE2&lt;&gt;"")+('Dvd Calendar'!$E$2215:$AR$2215=TYPE3)*(TYPE3&lt;&gt;"")+('Dvd Calendar'!$E$2215:$AR$2215=TYPE4)*(TYPE4&lt;&gt;"")+('Dvd Calendar'!$E$2215:$AR$2215=SPECIAL_LBL)*(INC_SPECIALS="Y"))))</f>
        <v/>
      </c>
      <c r="I211" s="132">
        <f>IF($C211="","",SUMPRODUCT(('Dvd Calendar'!$E$2210:$AR$2210&gt;=DATE(YEAR_Y-2,1,1))*('Dvd Calendar'!$E$2210:$AR$2210&lt;=DATE(YEAR_Y-2,12,31))*'Dvd Calendar'!$E$2213:$AR$2213*(('Dvd Calendar'!$E$2215:$AR$2215=TYPE1)*(TYPE1&lt;&gt;"")+('Dvd Calendar'!$E$2215:$AR$2215=TYPE2)*(TYPE2&lt;&gt;"")+('Dvd Calendar'!$E$2215:$AR$2215=TYPE3)*(TYPE3&lt;&gt;"")+('Dvd Calendar'!$E$2215:$AR$2215=TYPE4)*(TYPE4&lt;&gt;"")+('Dvd Calendar'!$E$2215:$AR$2215=SPECIAL_LBL)*(INC_SPECIALS="Y"))))</f>
        <v/>
      </c>
      <c r="J211" s="132">
        <f>IF($C211="","",SUMPRODUCT(('Dvd Calendar'!$E$2210:$AR$2210&gt;=DATE(YEAR_Y-1,1,1))*('Dvd Calendar'!$E$2210:$AR$2210&lt;=DATE(YEAR_Y-1,12,31))*'Dvd Calendar'!$E$2213:$AR$2213*(('Dvd Calendar'!$E$2215:$AR$2215=TYPE1)*(TYPE1&lt;&gt;"")+('Dvd Calendar'!$E$2215:$AR$2215=TYPE2)*(TYPE2&lt;&gt;"")+('Dvd Calendar'!$E$2215:$AR$2215=TYPE3)*(TYPE3&lt;&gt;"")+('Dvd Calendar'!$E$2215:$AR$2215=TYPE4)*(TYPE4&lt;&gt;"")+('Dvd Calendar'!$E$2215:$AR$2215=SPECIAL_LBL)*(INC_SPECIALS="Y"))))</f>
        <v/>
      </c>
      <c r="K211" s="133">
        <f>IF($C211="","",HSCEI!$J$66)</f>
        <v/>
      </c>
      <c r="L211" s="133">
        <f>IF($C211="","",HSCEI!$K$66)</f>
        <v/>
      </c>
      <c r="M211" s="124">
        <f>IF($C211="","",HSCEI!$J$66+HSCEI!$L$66)</f>
        <v/>
      </c>
      <c r="N211" s="134">
        <f>IF($C211="","",IF(PULL_FUND="N","",IFERROR(BDP($C211,BESTDPS_FIELD,FWD_OVERRIDE,TEXT(MOD(YEAR_Y,100),"00")&amp;"Y"),"")))</f>
        <v/>
      </c>
      <c r="O211" s="133">
        <f>IF($C211="","",AVERAGE(F211:J211))</f>
        <v/>
      </c>
      <c r="P211" s="135">
        <f>IF($C211="","",IF(PULL_FUND="N","",IF(COUNTIFS('Fund History'!$J$1210:$J$1214,"&gt;="&amp;DATE(YEAR_Y-5,1,1),'Fund History'!$J$1210:$J$1214,"&lt;="&amp;DATE(YEAR_Y-5,12,31))=0,"",IFERROR($F211*HSCEI!$G$66/SUMIFS('Fund History'!$K$1210:$K$1214,'Fund History'!$J$1210:$J$1214,"&gt;="&amp;DATE(YEAR_Y-5,1,1),'Fund History'!$J$1210:$J$1214,"&lt;="&amp;DATE(YEAR_Y-5,12,31)),""))))</f>
        <v/>
      </c>
      <c r="Q211" s="136">
        <f>IF($C211="","",IF(PULL_FUND="N","",IF(COUNTIFS('Fund History'!$J$1210:$J$1214,"&gt;="&amp;DATE(YEAR_Y-4,1,1),'Fund History'!$J$1210:$J$1214,"&lt;="&amp;DATE(YEAR_Y-4,12,31))=0,"",IFERROR($G211*HSCEI!$G$66/SUMIFS('Fund History'!$K$1210:$K$1214,'Fund History'!$J$1210:$J$1214,"&gt;="&amp;DATE(YEAR_Y-4,1,1),'Fund History'!$J$1210:$J$1214,"&lt;="&amp;DATE(YEAR_Y-4,12,31)),""))))</f>
        <v/>
      </c>
      <c r="R211" s="136">
        <f>IF($C211="","",IF(PULL_FUND="N","",IF(COUNTIFS('Fund History'!$J$1210:$J$1214,"&gt;="&amp;DATE(YEAR_Y-3,1,1),'Fund History'!$J$1210:$J$1214,"&lt;="&amp;DATE(YEAR_Y-3,12,31))=0,"",IFERROR($H211*HSCEI!$G$66/SUMIFS('Fund History'!$K$1210:$K$1214,'Fund History'!$J$1210:$J$1214,"&gt;="&amp;DATE(YEAR_Y-3,1,1),'Fund History'!$J$1210:$J$1214,"&lt;="&amp;DATE(YEAR_Y-3,12,31)),""))))</f>
        <v/>
      </c>
      <c r="S211" s="136">
        <f>IF($C211="","",IF(PULL_FUND="N","",IF(COUNTIFS('Fund History'!$J$1210:$J$1214,"&gt;="&amp;DATE(YEAR_Y-2,1,1),'Fund History'!$J$1210:$J$1214,"&lt;="&amp;DATE(YEAR_Y-2,12,31))=0,"",IFERROR($I211*HSCEI!$G$66/SUMIFS('Fund History'!$K$1210:$K$1214,'Fund History'!$J$1210:$J$1214,"&gt;="&amp;DATE(YEAR_Y-2,1,1),'Fund History'!$J$1210:$J$1214,"&lt;="&amp;DATE(YEAR_Y-2,12,31)),""))))</f>
        <v/>
      </c>
      <c r="T211" s="136">
        <f>IF($C211="","",IF(PULL_FUND="N","",IF(COUNTIFS('Fund History'!$J$1210:$J$1214,"&gt;="&amp;DATE(YEAR_Y-1,1,1),'Fund History'!$J$1210:$J$1214,"&lt;="&amp;DATE(YEAR_Y-1,12,31))=0,"",IFERROR($J211*HSCEI!$G$66/SUMIFS('Fund History'!$K$1210:$K$1214,'Fund History'!$J$1210:$J$1214,"&gt;="&amp;DATE(YEAR_Y-1,1,1),'Fund History'!$J$1210:$J$1214,"&lt;="&amp;DATE(YEAR_Y-1,12,31)),""))))</f>
        <v/>
      </c>
      <c r="U211" s="137">
        <f>IF($C211="","",IF(ISNUMBER(HSCEI!$I$66),HSCEI!$I$66/100,""))</f>
        <v/>
      </c>
      <c r="V211" s="138">
        <f>IF($C211="","",IF(ISNUMBER(HSCEI!$X$66),IFERROR($M211*HSCEI!$G$66/HSCEI!$X$66,""),""))</f>
        <v/>
      </c>
      <c r="W211" s="137">
        <f>IF($C211="","",IF(ISNUMBER($N211),IFERROR($N211*HSCEI!$G$66/HSCEI!$X$66,""),""))</f>
        <v/>
      </c>
      <c r="X211" s="139">
        <f>IF($C211="","",IF(PULL_FUND="N","",IFERROR(BDP($C211,EPS_FIELD,YR_OVERRIDE,TEXT(YEAR_Y-5,"0")),"")))</f>
        <v/>
      </c>
      <c r="Y211" s="140">
        <f>IF($C211="","",IF(PULL_FUND="N","",IFERROR(BDP($C211,EPS_FIELD,YR_OVERRIDE,TEXT(YEAR_Y-4,"0")),"")))</f>
        <v/>
      </c>
      <c r="Z211" s="140">
        <f>IF($C211="","",IF(PULL_FUND="N","",IFERROR(BDP($C211,EPS_FIELD,YR_OVERRIDE,TEXT(YEAR_Y-3,"0")),"")))</f>
        <v/>
      </c>
      <c r="AA211" s="140">
        <f>IF($C211="","",IF(PULL_FUND="N","",IFERROR(BDP($C211,EPS_FIELD,YR_OVERRIDE,TEXT(YEAR_Y-2,"0")),"")))</f>
        <v/>
      </c>
      <c r="AB211" s="140">
        <f>IF($C211="","",IF(PULL_FUND="N","",IFERROR(BDP($C211,EPS_FIELD,YR_OVERRIDE,TEXT(YEAR_Y-1,"0")),"")))</f>
        <v/>
      </c>
      <c r="AC211" s="126">
        <f>IF($C211="","",IFERROR(AVERAGE(X211:AB211),""))</f>
        <v/>
      </c>
      <c r="AD211" s="140">
        <f>IF($C211="","",IF(PULL_FUND="N","",IFERROR(BDP($C211,BESTEPS_FIELD,FWD_OVERRIDE,TEXT(MOD(YEAR_Y,100),"00")&amp;"Y"),"")))</f>
        <v/>
      </c>
      <c r="AE211" s="141">
        <f>IF($C211="","",IF(PULL_FUND="N","",IFERROR(BDP($C211,PAYOUT_FIELD,YR_OVERRIDE,TEXT(YEAR_Y-5,"0"))/100,"")))</f>
        <v/>
      </c>
      <c r="AF211" s="142">
        <f>IF($C211="","",IF(PULL_FUND="N","",IFERROR(BDP($C211,PAYOUT_FIELD,YR_OVERRIDE,TEXT(YEAR_Y-4,"0"))/100,"")))</f>
        <v/>
      </c>
      <c r="AG211" s="142">
        <f>IF($C211="","",IF(PULL_FUND="N","",IFERROR(BDP($C211,PAYOUT_FIELD,YR_OVERRIDE,TEXT(YEAR_Y-3,"0"))/100,"")))</f>
        <v/>
      </c>
      <c r="AH211" s="142">
        <f>IF($C211="","",IF(PULL_FUND="N","",IFERROR(BDP($C211,PAYOUT_FIELD,YR_OVERRIDE,TEXT(YEAR_Y-2,"0"))/100,"")))</f>
        <v/>
      </c>
      <c r="AI211" s="142">
        <f>IF($C211="","",IF(PULL_FUND="N","",IFERROR(BDP($C211,PAYOUT_FIELD,YR_OVERRIDE,TEXT(YEAR_Y-1,"0"))/100,"")))</f>
        <v/>
      </c>
      <c r="AJ211" s="143">
        <f>IF($C211="","",IFERROR(AVERAGE(AE211:AI211),""))</f>
        <v/>
      </c>
      <c r="AK211" s="144">
        <f>IF($C211="","",IF(ISNUMBER($AD211)*ISNUMBER($N211)*($AD211&lt;&gt;0)=0,"",$N211/$AD211))</f>
        <v/>
      </c>
      <c r="AL211" s="143">
        <f>IF($C211="","",IF(ISNUMBER($AD211)*($AD211&lt;&gt;0)=0,"",$M211/$AD211))</f>
        <v/>
      </c>
      <c r="AM211" s="37">
        <f>IF($C211="","",IF(ISNUMBER($AE211)*ISNUMBER($AI211)=0,"",IF($AI211&gt;$AE211+0.05,"rising",IF($AI211&lt;$AE211-0.05,"falling","stable"))))</f>
        <v/>
      </c>
      <c r="AN211" s="145">
        <f>IF($C211="","",IF(PULL_FUND="N","",IF(COUNTIFS('Fund History'!$G$1210:$G$1214,"&gt;="&amp;DATE(YEAR_Y-4,1,1),'Fund History'!$G$1210:$G$1214,"&lt;="&amp;DATE(YEAR_Y-4,12,31))=0,"",SUMIFS('Fund History'!$H$1210:$H$1214,'Fund History'!$G$1210:$G$1214,"&gt;="&amp;DATE(YEAR_Y-4,1,1),'Fund History'!$G$1210:$G$1214,"&lt;="&amp;DATE(YEAR_Y-4,12,31))/100)))</f>
        <v/>
      </c>
      <c r="AO211" s="146">
        <f>IF($C211="","",IF(PULL_FUND="N","",IF(COUNTIFS('Fund History'!$G$1210:$G$1214,"&gt;="&amp;DATE(YEAR_Y-3,1,1),'Fund History'!$G$1210:$G$1214,"&lt;="&amp;DATE(YEAR_Y-3,12,31))=0,"",SUMIFS('Fund History'!$H$1210:$H$1214,'Fund History'!$G$1210:$G$1214,"&gt;="&amp;DATE(YEAR_Y-3,1,1),'Fund History'!$G$1210:$G$1214,"&lt;="&amp;DATE(YEAR_Y-3,12,31))/100)))</f>
        <v/>
      </c>
      <c r="AP211" s="146">
        <f>IF($C211="","",IF(PULL_FUND="N","",IF(COUNTIFS('Fund History'!$G$1210:$G$1214,"&gt;="&amp;DATE(YEAR_Y-2,1,1),'Fund History'!$G$1210:$G$1214,"&lt;="&amp;DATE(YEAR_Y-2,12,31))=0,"",SUMIFS('Fund History'!$H$1210:$H$1214,'Fund History'!$G$1210:$G$1214,"&gt;="&amp;DATE(YEAR_Y-2,1,1),'Fund History'!$G$1210:$G$1214,"&lt;="&amp;DATE(YEAR_Y-2,12,31))/100)))</f>
        <v/>
      </c>
      <c r="AQ211" s="146">
        <f>IF($C211="","",IF(PULL_FUND="N","",IF(COUNTIFS('Fund History'!$G$1210:$G$1214,"&gt;="&amp;DATE(YEAR_Y-1,1,1),'Fund History'!$G$1210:$G$1214,"&lt;="&amp;DATE(YEAR_Y-1,12,31))=0,"",SUMIFS('Fund History'!$H$1210:$H$1214,'Fund History'!$G$1210:$G$1214,"&gt;="&amp;DATE(YEAR_Y-1,1,1),'Fund History'!$G$1210:$G$1214,"&lt;="&amp;DATE(YEAR_Y-1,12,31))/100)))</f>
        <v/>
      </c>
      <c r="AR211" s="147">
        <f>IF($C211="","",IF(N($AQ211)+N(HSCEI!$I$66)=0,"",N($AQ211)+N(HSCEI!$I$66)/100))</f>
        <v/>
      </c>
      <c r="AS211" s="139">
        <f>IF($C211="","",IF(PULL_FUND="N","",IF(COUNTIFS('Fund History'!$D$1210:$D$1214,"&gt;="&amp;DATE(YEAR_Y-2,1,1),'Fund History'!$D$1210:$D$1214,"&lt;="&amp;DATE(YEAR_Y-2,12,31))=0,"",SUMIFS('Fund History'!$E$1210:$E$1214,'Fund History'!$D$1210:$D$1214,"&gt;="&amp;DATE(YEAR_Y-2,1,1),'Fund History'!$D$1210:$D$1214,"&lt;="&amp;DATE(YEAR_Y-2,12,31)))))</f>
        <v/>
      </c>
      <c r="AT211" s="140">
        <f>IF($C211="","",IF(PULL_FUND="N","",IF(COUNTIFS('Fund History'!$D$1210:$D$1214,"&gt;="&amp;DATE(YEAR_Y-1,1,1),'Fund History'!$D$1210:$D$1214,"&lt;="&amp;DATE(YEAR_Y-1,12,31))=0,"",SUMIFS('Fund History'!$E$1210:$E$1214,'Fund History'!$D$1210:$D$1214,"&gt;="&amp;DATE(YEAR_Y-1,1,1),'Fund History'!$D$1210:$D$1214,"&lt;="&amp;DATE(YEAR_Y-1,12,31)))))</f>
        <v/>
      </c>
      <c r="AU211" s="140">
        <f>IF($C211="","",IF(PULL_FUND="N","",IFERROR(BDP($C211,NDEBITDA_FIELD),"")))</f>
        <v/>
      </c>
      <c r="AV211" s="148">
        <f>IF($C211="","",IF(PULL_FUND="N","",IFERROR(BDP($C211,EBINT_FIELD),"")))</f>
        <v/>
      </c>
      <c r="AW211" s="146">
        <f>IF($C211="","",IF(PULL_FUND="N","",IFERROR(BDP($C211,FCF_FIELD)/100,"")))</f>
        <v/>
      </c>
      <c r="AX211" s="126">
        <f>IF($C211="","",IF(N($U211)=0,"",IFERROR($AW211/$U211,"")))</f>
        <v/>
      </c>
      <c r="AY211" s="85">
        <f>IF($C211="","",TRIM(IF(ISNUMBER($AJ211)*(N($AJ211)&gt;$D$4)&gt;0,"payout high  ","")&amp;IF(ISNUMBER($AX211)*(N($AX211)&lt;$F$4)&gt;0,"FCF below dvd  ","")&amp;IF(ISNUMBER($AU211)*(N($AU211)&gt;$H$4)&gt;0,"leverage high","")))</f>
        <v/>
      </c>
      <c r="AZ211" s="86">
        <f>IF($C211="","",IF(HSCEI!$F$66="HKD","",HSCEI!$F$66))</f>
        <v/>
      </c>
    </row>
    <row r="213">
      <c r="B213" s="5" t="inlineStr">
        <is>
          <t>Filter, do not sort - rows are live formulas tied to their position.</t>
        </is>
      </c>
    </row>
    <row r="214">
      <c r="B214" s="6" t="inlineStr">
        <is>
          <t>SECTOR AVERAGES - Hang Seng Index (HSI)</t>
        </is>
      </c>
      <c r="C214" s="7" t="n"/>
      <c r="D214" s="7" t="n"/>
      <c r="E214" s="7" t="n"/>
      <c r="F214" s="7" t="n"/>
      <c r="G214" s="7" t="n"/>
      <c r="H214" s="7" t="n"/>
      <c r="I214" s="7" t="n"/>
      <c r="J214" s="7" t="n"/>
      <c r="K214" s="7" t="n"/>
      <c r="L214" s="7" t="n"/>
      <c r="M214" s="7" t="n"/>
      <c r="N214" s="7" t="n"/>
    </row>
    <row r="215">
      <c r="B215" s="62" t="inlineStr">
        <is>
          <t>GICS Sector</t>
        </is>
      </c>
      <c r="C215" s="62" t="inlineStr">
        <is>
          <t>#</t>
        </is>
      </c>
      <c r="D215" s="62" t="inlineStr">
        <is>
          <t>Avg 5Y
DPS</t>
        </is>
      </c>
      <c r="E215" s="62" t="inlineStr">
        <is>
          <t>Avg 5Y
EPS</t>
        </is>
      </c>
      <c r="F215" s="62" t="inlineStr">
        <is>
          <t>Avg 5Y
payout</t>
        </is>
      </c>
      <c r="G215" s="62" t="inlineStr">
        <is>
          <t>Fwd
payout</t>
        </is>
      </c>
      <c r="H215" s="62" t="inlineStr">
        <is>
          <t>Dvd yld
12M</t>
        </is>
      </c>
      <c r="I215" s="62" t="inlineStr">
        <is>
          <t>Yld
Y-1</t>
        </is>
      </c>
      <c r="J215" s="62" t="inlineStr">
        <is>
          <t>Model
fwd yld</t>
        </is>
      </c>
      <c r="K215" s="62" t="inlineStr">
        <is>
          <t>Net debt
/EBITDA</t>
        </is>
      </c>
      <c r="L215" s="62" t="inlineStr">
        <is>
          <t>FCF
cover</t>
        </is>
      </c>
      <c r="M215" s="62" t="inlineStr">
        <is>
          <t>Year pts
(model)</t>
        </is>
      </c>
      <c r="N215" s="62" t="inlineStr">
        <is>
          <t>% of yr
dvds</t>
        </is>
      </c>
    </row>
    <row r="216">
      <c r="B216" s="4" t="inlineStr">
        <is>
          <t>Energy</t>
        </is>
      </c>
      <c r="C216" s="149">
        <f>COUNTIFS($B$12:$B$111,"HSI",$E$12:$E$111,$B216)</f>
        <v/>
      </c>
      <c r="D216" s="133">
        <f>IFERROR(AVERAGEIFS($O$12:$O$111,$B$12:$B$111,"HSI",$E$12:$E$111,$B216),"")</f>
        <v/>
      </c>
      <c r="E216" s="126">
        <f>IFERROR(AVERAGEIFS($AC$12:$AC$111,$B$12:$B$111,"HSI",$E$12:$E$111,$B216),"")</f>
        <v/>
      </c>
      <c r="F216" s="144">
        <f>IFERROR(AVERAGEIFS($AJ$12:$AJ$111,$B$12:$B$111,"HSI",$E$12:$E$111,$B216),"")</f>
        <v/>
      </c>
      <c r="G216" s="144">
        <f>IFERROR(AVERAGEIFS($AK$12:$AK$111,$B$12:$B$111,"HSI",$E$12:$E$111,$B216),"")</f>
        <v/>
      </c>
      <c r="H216" s="137">
        <f>IFERROR(AVERAGEIFS($U$12:$U$111,$B$12:$B$111,"HSI",$E$12:$E$111,$B216),"")</f>
        <v/>
      </c>
      <c r="I216" s="137">
        <f>IFERROR(AVERAGEIFS($T$12:$T$111,$B$12:$B$111,"HSI",$E$12:$E$111,$B216),"")</f>
        <v/>
      </c>
      <c r="J216" s="137">
        <f>IFERROR(AVERAGEIFS($V$12:$V$111,$B$12:$B$111,"HSI",$E$12:$E$111,$B216),"")</f>
        <v/>
      </c>
      <c r="K216" s="126">
        <f>IFERROR(AVERAGEIFS($AU$12:$AU$111,$B$12:$B$111,"HSI",$E$12:$E$111,$B216),"")</f>
        <v/>
      </c>
      <c r="L216" s="126">
        <f>IFERROR(AVERAGEIFS($AX$12:$AX$111,$B$12:$B$111,"HSI",$E$12:$E$111,$B216),"")</f>
        <v/>
      </c>
      <c r="M216" s="126">
        <f>IFERROR(SUMIF(HSI!$E$7:$E$106,$B216,HSI!$Q$7:$Q$106),"")</f>
        <v/>
      </c>
      <c r="N216" s="150">
        <f>IFERROR($M216/HSI!$Q$5,"")</f>
        <v/>
      </c>
    </row>
    <row r="217">
      <c r="B217" s="4" t="inlineStr">
        <is>
          <t>Materials</t>
        </is>
      </c>
      <c r="C217" s="149">
        <f>COUNTIFS($B$12:$B$111,"HSI",$E$12:$E$111,$B217)</f>
        <v/>
      </c>
      <c r="D217" s="133">
        <f>IFERROR(AVERAGEIFS($O$12:$O$111,$B$12:$B$111,"HSI",$E$12:$E$111,$B217),"")</f>
        <v/>
      </c>
      <c r="E217" s="126">
        <f>IFERROR(AVERAGEIFS($AC$12:$AC$111,$B$12:$B$111,"HSI",$E$12:$E$111,$B217),"")</f>
        <v/>
      </c>
      <c r="F217" s="144">
        <f>IFERROR(AVERAGEIFS($AJ$12:$AJ$111,$B$12:$B$111,"HSI",$E$12:$E$111,$B217),"")</f>
        <v/>
      </c>
      <c r="G217" s="144">
        <f>IFERROR(AVERAGEIFS($AK$12:$AK$111,$B$12:$B$111,"HSI",$E$12:$E$111,$B217),"")</f>
        <v/>
      </c>
      <c r="H217" s="137">
        <f>IFERROR(AVERAGEIFS($U$12:$U$111,$B$12:$B$111,"HSI",$E$12:$E$111,$B217),"")</f>
        <v/>
      </c>
      <c r="I217" s="137">
        <f>IFERROR(AVERAGEIFS($T$12:$T$111,$B$12:$B$111,"HSI",$E$12:$E$111,$B217),"")</f>
        <v/>
      </c>
      <c r="J217" s="137">
        <f>IFERROR(AVERAGEIFS($V$12:$V$111,$B$12:$B$111,"HSI",$E$12:$E$111,$B217),"")</f>
        <v/>
      </c>
      <c r="K217" s="126">
        <f>IFERROR(AVERAGEIFS($AU$12:$AU$111,$B$12:$B$111,"HSI",$E$12:$E$111,$B217),"")</f>
        <v/>
      </c>
      <c r="L217" s="126">
        <f>IFERROR(AVERAGEIFS($AX$12:$AX$111,$B$12:$B$111,"HSI",$E$12:$E$111,$B217),"")</f>
        <v/>
      </c>
      <c r="M217" s="126">
        <f>IFERROR(SUMIF(HSI!$E$7:$E$106,$B217,HSI!$Q$7:$Q$106),"")</f>
        <v/>
      </c>
      <c r="N217" s="150">
        <f>IFERROR($M217/HSI!$Q$5,"")</f>
        <v/>
      </c>
    </row>
    <row r="218">
      <c r="B218" s="4" t="inlineStr">
        <is>
          <t>Industrials</t>
        </is>
      </c>
      <c r="C218" s="149">
        <f>COUNTIFS($B$12:$B$111,"HSI",$E$12:$E$111,$B218)</f>
        <v/>
      </c>
      <c r="D218" s="133">
        <f>IFERROR(AVERAGEIFS($O$12:$O$111,$B$12:$B$111,"HSI",$E$12:$E$111,$B218),"")</f>
        <v/>
      </c>
      <c r="E218" s="126">
        <f>IFERROR(AVERAGEIFS($AC$12:$AC$111,$B$12:$B$111,"HSI",$E$12:$E$111,$B218),"")</f>
        <v/>
      </c>
      <c r="F218" s="144">
        <f>IFERROR(AVERAGEIFS($AJ$12:$AJ$111,$B$12:$B$111,"HSI",$E$12:$E$111,$B218),"")</f>
        <v/>
      </c>
      <c r="G218" s="144">
        <f>IFERROR(AVERAGEIFS($AK$12:$AK$111,$B$12:$B$111,"HSI",$E$12:$E$111,$B218),"")</f>
        <v/>
      </c>
      <c r="H218" s="137">
        <f>IFERROR(AVERAGEIFS($U$12:$U$111,$B$12:$B$111,"HSI",$E$12:$E$111,$B218),"")</f>
        <v/>
      </c>
      <c r="I218" s="137">
        <f>IFERROR(AVERAGEIFS($T$12:$T$111,$B$12:$B$111,"HSI",$E$12:$E$111,$B218),"")</f>
        <v/>
      </c>
      <c r="J218" s="137">
        <f>IFERROR(AVERAGEIFS($V$12:$V$111,$B$12:$B$111,"HSI",$E$12:$E$111,$B218),"")</f>
        <v/>
      </c>
      <c r="K218" s="126">
        <f>IFERROR(AVERAGEIFS($AU$12:$AU$111,$B$12:$B$111,"HSI",$E$12:$E$111,$B218),"")</f>
        <v/>
      </c>
      <c r="L218" s="126">
        <f>IFERROR(AVERAGEIFS($AX$12:$AX$111,$B$12:$B$111,"HSI",$E$12:$E$111,$B218),"")</f>
        <v/>
      </c>
      <c r="M218" s="126">
        <f>IFERROR(SUMIF(HSI!$E$7:$E$106,$B218,HSI!$Q$7:$Q$106),"")</f>
        <v/>
      </c>
      <c r="N218" s="150">
        <f>IFERROR($M218/HSI!$Q$5,"")</f>
        <v/>
      </c>
    </row>
    <row r="219">
      <c r="B219" s="4" t="inlineStr">
        <is>
          <t>Consumer Discretionary</t>
        </is>
      </c>
      <c r="C219" s="149">
        <f>COUNTIFS($B$12:$B$111,"HSI",$E$12:$E$111,$B219)</f>
        <v/>
      </c>
      <c r="D219" s="133">
        <f>IFERROR(AVERAGEIFS($O$12:$O$111,$B$12:$B$111,"HSI",$E$12:$E$111,$B219),"")</f>
        <v/>
      </c>
      <c r="E219" s="126">
        <f>IFERROR(AVERAGEIFS($AC$12:$AC$111,$B$12:$B$111,"HSI",$E$12:$E$111,$B219),"")</f>
        <v/>
      </c>
      <c r="F219" s="144">
        <f>IFERROR(AVERAGEIFS($AJ$12:$AJ$111,$B$12:$B$111,"HSI",$E$12:$E$111,$B219),"")</f>
        <v/>
      </c>
      <c r="G219" s="144">
        <f>IFERROR(AVERAGEIFS($AK$12:$AK$111,$B$12:$B$111,"HSI",$E$12:$E$111,$B219),"")</f>
        <v/>
      </c>
      <c r="H219" s="137">
        <f>IFERROR(AVERAGEIFS($U$12:$U$111,$B$12:$B$111,"HSI",$E$12:$E$111,$B219),"")</f>
        <v/>
      </c>
      <c r="I219" s="137">
        <f>IFERROR(AVERAGEIFS($T$12:$T$111,$B$12:$B$111,"HSI",$E$12:$E$111,$B219),"")</f>
        <v/>
      </c>
      <c r="J219" s="137">
        <f>IFERROR(AVERAGEIFS($V$12:$V$111,$B$12:$B$111,"HSI",$E$12:$E$111,$B219),"")</f>
        <v/>
      </c>
      <c r="K219" s="126">
        <f>IFERROR(AVERAGEIFS($AU$12:$AU$111,$B$12:$B$111,"HSI",$E$12:$E$111,$B219),"")</f>
        <v/>
      </c>
      <c r="L219" s="126">
        <f>IFERROR(AVERAGEIFS($AX$12:$AX$111,$B$12:$B$111,"HSI",$E$12:$E$111,$B219),"")</f>
        <v/>
      </c>
      <c r="M219" s="126">
        <f>IFERROR(SUMIF(HSI!$E$7:$E$106,$B219,HSI!$Q$7:$Q$106),"")</f>
        <v/>
      </c>
      <c r="N219" s="150">
        <f>IFERROR($M219/HSI!$Q$5,"")</f>
        <v/>
      </c>
    </row>
    <row r="220">
      <c r="B220" s="4" t="inlineStr">
        <is>
          <t>Consumer Staples</t>
        </is>
      </c>
      <c r="C220" s="149">
        <f>COUNTIFS($B$12:$B$111,"HSI",$E$12:$E$111,$B220)</f>
        <v/>
      </c>
      <c r="D220" s="133">
        <f>IFERROR(AVERAGEIFS($O$12:$O$111,$B$12:$B$111,"HSI",$E$12:$E$111,$B220),"")</f>
        <v/>
      </c>
      <c r="E220" s="126">
        <f>IFERROR(AVERAGEIFS($AC$12:$AC$111,$B$12:$B$111,"HSI",$E$12:$E$111,$B220),"")</f>
        <v/>
      </c>
      <c r="F220" s="144">
        <f>IFERROR(AVERAGEIFS($AJ$12:$AJ$111,$B$12:$B$111,"HSI",$E$12:$E$111,$B220),"")</f>
        <v/>
      </c>
      <c r="G220" s="144">
        <f>IFERROR(AVERAGEIFS($AK$12:$AK$111,$B$12:$B$111,"HSI",$E$12:$E$111,$B220),"")</f>
        <v/>
      </c>
      <c r="H220" s="137">
        <f>IFERROR(AVERAGEIFS($U$12:$U$111,$B$12:$B$111,"HSI",$E$12:$E$111,$B220),"")</f>
        <v/>
      </c>
      <c r="I220" s="137">
        <f>IFERROR(AVERAGEIFS($T$12:$T$111,$B$12:$B$111,"HSI",$E$12:$E$111,$B220),"")</f>
        <v/>
      </c>
      <c r="J220" s="137">
        <f>IFERROR(AVERAGEIFS($V$12:$V$111,$B$12:$B$111,"HSI",$E$12:$E$111,$B220),"")</f>
        <v/>
      </c>
      <c r="K220" s="126">
        <f>IFERROR(AVERAGEIFS($AU$12:$AU$111,$B$12:$B$111,"HSI",$E$12:$E$111,$B220),"")</f>
        <v/>
      </c>
      <c r="L220" s="126">
        <f>IFERROR(AVERAGEIFS($AX$12:$AX$111,$B$12:$B$111,"HSI",$E$12:$E$111,$B220),"")</f>
        <v/>
      </c>
      <c r="M220" s="126">
        <f>IFERROR(SUMIF(HSI!$E$7:$E$106,$B220,HSI!$Q$7:$Q$106),"")</f>
        <v/>
      </c>
      <c r="N220" s="150">
        <f>IFERROR($M220/HSI!$Q$5,"")</f>
        <v/>
      </c>
    </row>
    <row r="221">
      <c r="B221" s="4" t="inlineStr">
        <is>
          <t>Health Care</t>
        </is>
      </c>
      <c r="C221" s="149">
        <f>COUNTIFS($B$12:$B$111,"HSI",$E$12:$E$111,$B221)</f>
        <v/>
      </c>
      <c r="D221" s="133">
        <f>IFERROR(AVERAGEIFS($O$12:$O$111,$B$12:$B$111,"HSI",$E$12:$E$111,$B221),"")</f>
        <v/>
      </c>
      <c r="E221" s="126">
        <f>IFERROR(AVERAGEIFS($AC$12:$AC$111,$B$12:$B$111,"HSI",$E$12:$E$111,$B221),"")</f>
        <v/>
      </c>
      <c r="F221" s="144">
        <f>IFERROR(AVERAGEIFS($AJ$12:$AJ$111,$B$12:$B$111,"HSI",$E$12:$E$111,$B221),"")</f>
        <v/>
      </c>
      <c r="G221" s="144">
        <f>IFERROR(AVERAGEIFS($AK$12:$AK$111,$B$12:$B$111,"HSI",$E$12:$E$111,$B221),"")</f>
        <v/>
      </c>
      <c r="H221" s="137">
        <f>IFERROR(AVERAGEIFS($U$12:$U$111,$B$12:$B$111,"HSI",$E$12:$E$111,$B221),"")</f>
        <v/>
      </c>
      <c r="I221" s="137">
        <f>IFERROR(AVERAGEIFS($T$12:$T$111,$B$12:$B$111,"HSI",$E$12:$E$111,$B221),"")</f>
        <v/>
      </c>
      <c r="J221" s="137">
        <f>IFERROR(AVERAGEIFS($V$12:$V$111,$B$12:$B$111,"HSI",$E$12:$E$111,$B221),"")</f>
        <v/>
      </c>
      <c r="K221" s="126">
        <f>IFERROR(AVERAGEIFS($AU$12:$AU$111,$B$12:$B$111,"HSI",$E$12:$E$111,$B221),"")</f>
        <v/>
      </c>
      <c r="L221" s="126">
        <f>IFERROR(AVERAGEIFS($AX$12:$AX$111,$B$12:$B$111,"HSI",$E$12:$E$111,$B221),"")</f>
        <v/>
      </c>
      <c r="M221" s="126">
        <f>IFERROR(SUMIF(HSI!$E$7:$E$106,$B221,HSI!$Q$7:$Q$106),"")</f>
        <v/>
      </c>
      <c r="N221" s="150">
        <f>IFERROR($M221/HSI!$Q$5,"")</f>
        <v/>
      </c>
    </row>
    <row r="222">
      <c r="B222" s="4" t="inlineStr">
        <is>
          <t>Financials</t>
        </is>
      </c>
      <c r="C222" s="149">
        <f>COUNTIFS($B$12:$B$111,"HSI",$E$12:$E$111,$B222)</f>
        <v/>
      </c>
      <c r="D222" s="133">
        <f>IFERROR(AVERAGEIFS($O$12:$O$111,$B$12:$B$111,"HSI",$E$12:$E$111,$B222),"")</f>
        <v/>
      </c>
      <c r="E222" s="126">
        <f>IFERROR(AVERAGEIFS($AC$12:$AC$111,$B$12:$B$111,"HSI",$E$12:$E$111,$B222),"")</f>
        <v/>
      </c>
      <c r="F222" s="144">
        <f>IFERROR(AVERAGEIFS($AJ$12:$AJ$111,$B$12:$B$111,"HSI",$E$12:$E$111,$B222),"")</f>
        <v/>
      </c>
      <c r="G222" s="144">
        <f>IFERROR(AVERAGEIFS($AK$12:$AK$111,$B$12:$B$111,"HSI",$E$12:$E$111,$B222),"")</f>
        <v/>
      </c>
      <c r="H222" s="137">
        <f>IFERROR(AVERAGEIFS($U$12:$U$111,$B$12:$B$111,"HSI",$E$12:$E$111,$B222),"")</f>
        <v/>
      </c>
      <c r="I222" s="137">
        <f>IFERROR(AVERAGEIFS($T$12:$T$111,$B$12:$B$111,"HSI",$E$12:$E$111,$B222),"")</f>
        <v/>
      </c>
      <c r="J222" s="137">
        <f>IFERROR(AVERAGEIFS($V$12:$V$111,$B$12:$B$111,"HSI",$E$12:$E$111,$B222),"")</f>
        <v/>
      </c>
      <c r="K222" s="126">
        <f>IFERROR(AVERAGEIFS($AU$12:$AU$111,$B$12:$B$111,"HSI",$E$12:$E$111,$B222),"")</f>
        <v/>
      </c>
      <c r="L222" s="126">
        <f>IFERROR(AVERAGEIFS($AX$12:$AX$111,$B$12:$B$111,"HSI",$E$12:$E$111,$B222),"")</f>
        <v/>
      </c>
      <c r="M222" s="126">
        <f>IFERROR(SUMIF(HSI!$E$7:$E$106,$B222,HSI!$Q$7:$Q$106),"")</f>
        <v/>
      </c>
      <c r="N222" s="150">
        <f>IFERROR($M222/HSI!$Q$5,"")</f>
        <v/>
      </c>
    </row>
    <row r="223">
      <c r="B223" s="4" t="inlineStr">
        <is>
          <t>Information Technology</t>
        </is>
      </c>
      <c r="C223" s="149">
        <f>COUNTIFS($B$12:$B$111,"HSI",$E$12:$E$111,$B223)</f>
        <v/>
      </c>
      <c r="D223" s="133">
        <f>IFERROR(AVERAGEIFS($O$12:$O$111,$B$12:$B$111,"HSI",$E$12:$E$111,$B223),"")</f>
        <v/>
      </c>
      <c r="E223" s="126">
        <f>IFERROR(AVERAGEIFS($AC$12:$AC$111,$B$12:$B$111,"HSI",$E$12:$E$111,$B223),"")</f>
        <v/>
      </c>
      <c r="F223" s="144">
        <f>IFERROR(AVERAGEIFS($AJ$12:$AJ$111,$B$12:$B$111,"HSI",$E$12:$E$111,$B223),"")</f>
        <v/>
      </c>
      <c r="G223" s="144">
        <f>IFERROR(AVERAGEIFS($AK$12:$AK$111,$B$12:$B$111,"HSI",$E$12:$E$111,$B223),"")</f>
        <v/>
      </c>
      <c r="H223" s="137">
        <f>IFERROR(AVERAGEIFS($U$12:$U$111,$B$12:$B$111,"HSI",$E$12:$E$111,$B223),"")</f>
        <v/>
      </c>
      <c r="I223" s="137">
        <f>IFERROR(AVERAGEIFS($T$12:$T$111,$B$12:$B$111,"HSI",$E$12:$E$111,$B223),"")</f>
        <v/>
      </c>
      <c r="J223" s="137">
        <f>IFERROR(AVERAGEIFS($V$12:$V$111,$B$12:$B$111,"HSI",$E$12:$E$111,$B223),"")</f>
        <v/>
      </c>
      <c r="K223" s="126">
        <f>IFERROR(AVERAGEIFS($AU$12:$AU$111,$B$12:$B$111,"HSI",$E$12:$E$111,$B223),"")</f>
        <v/>
      </c>
      <c r="L223" s="126">
        <f>IFERROR(AVERAGEIFS($AX$12:$AX$111,$B$12:$B$111,"HSI",$E$12:$E$111,$B223),"")</f>
        <v/>
      </c>
      <c r="M223" s="126">
        <f>IFERROR(SUMIF(HSI!$E$7:$E$106,$B223,HSI!$Q$7:$Q$106),"")</f>
        <v/>
      </c>
      <c r="N223" s="150">
        <f>IFERROR($M223/HSI!$Q$5,"")</f>
        <v/>
      </c>
    </row>
    <row r="224">
      <c r="B224" s="4" t="inlineStr">
        <is>
          <t>Communication Services</t>
        </is>
      </c>
      <c r="C224" s="149">
        <f>COUNTIFS($B$12:$B$111,"HSI",$E$12:$E$111,$B224)</f>
        <v/>
      </c>
      <c r="D224" s="133">
        <f>IFERROR(AVERAGEIFS($O$12:$O$111,$B$12:$B$111,"HSI",$E$12:$E$111,$B224),"")</f>
        <v/>
      </c>
      <c r="E224" s="126">
        <f>IFERROR(AVERAGEIFS($AC$12:$AC$111,$B$12:$B$111,"HSI",$E$12:$E$111,$B224),"")</f>
        <v/>
      </c>
      <c r="F224" s="144">
        <f>IFERROR(AVERAGEIFS($AJ$12:$AJ$111,$B$12:$B$111,"HSI",$E$12:$E$111,$B224),"")</f>
        <v/>
      </c>
      <c r="G224" s="144">
        <f>IFERROR(AVERAGEIFS($AK$12:$AK$111,$B$12:$B$111,"HSI",$E$12:$E$111,$B224),"")</f>
        <v/>
      </c>
      <c r="H224" s="137">
        <f>IFERROR(AVERAGEIFS($U$12:$U$111,$B$12:$B$111,"HSI",$E$12:$E$111,$B224),"")</f>
        <v/>
      </c>
      <c r="I224" s="137">
        <f>IFERROR(AVERAGEIFS($T$12:$T$111,$B$12:$B$111,"HSI",$E$12:$E$111,$B224),"")</f>
        <v/>
      </c>
      <c r="J224" s="137">
        <f>IFERROR(AVERAGEIFS($V$12:$V$111,$B$12:$B$111,"HSI",$E$12:$E$111,$B224),"")</f>
        <v/>
      </c>
      <c r="K224" s="126">
        <f>IFERROR(AVERAGEIFS($AU$12:$AU$111,$B$12:$B$111,"HSI",$E$12:$E$111,$B224),"")</f>
        <v/>
      </c>
      <c r="L224" s="126">
        <f>IFERROR(AVERAGEIFS($AX$12:$AX$111,$B$12:$B$111,"HSI",$E$12:$E$111,$B224),"")</f>
        <v/>
      </c>
      <c r="M224" s="126">
        <f>IFERROR(SUMIF(HSI!$E$7:$E$106,$B224,HSI!$Q$7:$Q$106),"")</f>
        <v/>
      </c>
      <c r="N224" s="150">
        <f>IFERROR($M224/HSI!$Q$5,"")</f>
        <v/>
      </c>
    </row>
    <row r="225">
      <c r="B225" s="4" t="inlineStr">
        <is>
          <t>Utilities</t>
        </is>
      </c>
      <c r="C225" s="149">
        <f>COUNTIFS($B$12:$B$111,"HSI",$E$12:$E$111,$B225)</f>
        <v/>
      </c>
      <c r="D225" s="133">
        <f>IFERROR(AVERAGEIFS($O$12:$O$111,$B$12:$B$111,"HSI",$E$12:$E$111,$B225),"")</f>
        <v/>
      </c>
      <c r="E225" s="126">
        <f>IFERROR(AVERAGEIFS($AC$12:$AC$111,$B$12:$B$111,"HSI",$E$12:$E$111,$B225),"")</f>
        <v/>
      </c>
      <c r="F225" s="144">
        <f>IFERROR(AVERAGEIFS($AJ$12:$AJ$111,$B$12:$B$111,"HSI",$E$12:$E$111,$B225),"")</f>
        <v/>
      </c>
      <c r="G225" s="144">
        <f>IFERROR(AVERAGEIFS($AK$12:$AK$111,$B$12:$B$111,"HSI",$E$12:$E$111,$B225),"")</f>
        <v/>
      </c>
      <c r="H225" s="137">
        <f>IFERROR(AVERAGEIFS($U$12:$U$111,$B$12:$B$111,"HSI",$E$12:$E$111,$B225),"")</f>
        <v/>
      </c>
      <c r="I225" s="137">
        <f>IFERROR(AVERAGEIFS($T$12:$T$111,$B$12:$B$111,"HSI",$E$12:$E$111,$B225),"")</f>
        <v/>
      </c>
      <c r="J225" s="137">
        <f>IFERROR(AVERAGEIFS($V$12:$V$111,$B$12:$B$111,"HSI",$E$12:$E$111,$B225),"")</f>
        <v/>
      </c>
      <c r="K225" s="126">
        <f>IFERROR(AVERAGEIFS($AU$12:$AU$111,$B$12:$B$111,"HSI",$E$12:$E$111,$B225),"")</f>
        <v/>
      </c>
      <c r="L225" s="126">
        <f>IFERROR(AVERAGEIFS($AX$12:$AX$111,$B$12:$B$111,"HSI",$E$12:$E$111,$B225),"")</f>
        <v/>
      </c>
      <c r="M225" s="126">
        <f>IFERROR(SUMIF(HSI!$E$7:$E$106,$B225,HSI!$Q$7:$Q$106),"")</f>
        <v/>
      </c>
      <c r="N225" s="150">
        <f>IFERROR($M225/HSI!$Q$5,"")</f>
        <v/>
      </c>
    </row>
    <row r="226">
      <c r="B226" s="4" t="inlineStr">
        <is>
          <t>Real Estate</t>
        </is>
      </c>
      <c r="C226" s="149">
        <f>COUNTIFS($B$12:$B$111,"HSI",$E$12:$E$111,$B226)</f>
        <v/>
      </c>
      <c r="D226" s="133">
        <f>IFERROR(AVERAGEIFS($O$12:$O$111,$B$12:$B$111,"HSI",$E$12:$E$111,$B226),"")</f>
        <v/>
      </c>
      <c r="E226" s="126">
        <f>IFERROR(AVERAGEIFS($AC$12:$AC$111,$B$12:$B$111,"HSI",$E$12:$E$111,$B226),"")</f>
        <v/>
      </c>
      <c r="F226" s="144">
        <f>IFERROR(AVERAGEIFS($AJ$12:$AJ$111,$B$12:$B$111,"HSI",$E$12:$E$111,$B226),"")</f>
        <v/>
      </c>
      <c r="G226" s="144">
        <f>IFERROR(AVERAGEIFS($AK$12:$AK$111,$B$12:$B$111,"HSI",$E$12:$E$111,$B226),"")</f>
        <v/>
      </c>
      <c r="H226" s="137">
        <f>IFERROR(AVERAGEIFS($U$12:$U$111,$B$12:$B$111,"HSI",$E$12:$E$111,$B226),"")</f>
        <v/>
      </c>
      <c r="I226" s="137">
        <f>IFERROR(AVERAGEIFS($T$12:$T$111,$B$12:$B$111,"HSI",$E$12:$E$111,$B226),"")</f>
        <v/>
      </c>
      <c r="J226" s="137">
        <f>IFERROR(AVERAGEIFS($V$12:$V$111,$B$12:$B$111,"HSI",$E$12:$E$111,$B226),"")</f>
        <v/>
      </c>
      <c r="K226" s="126">
        <f>IFERROR(AVERAGEIFS($AU$12:$AU$111,$B$12:$B$111,"HSI",$E$12:$E$111,$B226),"")</f>
        <v/>
      </c>
      <c r="L226" s="126">
        <f>IFERROR(AVERAGEIFS($AX$12:$AX$111,$B$12:$B$111,"HSI",$E$12:$E$111,$B226),"")</f>
        <v/>
      </c>
      <c r="M226" s="126">
        <f>IFERROR(SUMIF(HSI!$E$7:$E$106,$B226,HSI!$Q$7:$Q$106),"")</f>
        <v/>
      </c>
      <c r="N226" s="150">
        <f>IFERROR($M226/HSI!$Q$5,"")</f>
        <v/>
      </c>
    </row>
    <row r="227">
      <c r="B227" s="3" t="inlineStr">
        <is>
          <t>TOTAL</t>
        </is>
      </c>
      <c r="C227" s="151">
        <f>SUM(C216:C226)</f>
        <v/>
      </c>
      <c r="M227" s="152">
        <f>IFERROR(SUM(M216:M226),"")</f>
        <v/>
      </c>
      <c r="N227" s="147">
        <f>IFERROR(SUM(N216:N226),"")</f>
        <v/>
      </c>
      <c r="O227" s="2">
        <f>IF(ABS(N($M227)-N(HSI!$Q$5))&lt;0.01,"sector split reconciles","CHECK - a GICS name does not match")</f>
        <v/>
      </c>
    </row>
    <row r="230">
      <c r="B230" s="6" t="inlineStr">
        <is>
          <t>SECTOR AVERAGES - Hang Seng TECH Index (HSTECH)</t>
        </is>
      </c>
      <c r="C230" s="7" t="n"/>
      <c r="D230" s="7" t="n"/>
      <c r="E230" s="7" t="n"/>
      <c r="F230" s="7" t="n"/>
      <c r="G230" s="7" t="n"/>
      <c r="H230" s="7" t="n"/>
      <c r="I230" s="7" t="n"/>
      <c r="J230" s="7" t="n"/>
      <c r="K230" s="7" t="n"/>
      <c r="L230" s="7" t="n"/>
      <c r="M230" s="7" t="n"/>
      <c r="N230" s="7" t="n"/>
    </row>
    <row r="231">
      <c r="B231" s="62" t="inlineStr">
        <is>
          <t>GICS Sector</t>
        </is>
      </c>
      <c r="C231" s="62" t="inlineStr">
        <is>
          <t>#</t>
        </is>
      </c>
      <c r="D231" s="62" t="inlineStr">
        <is>
          <t>Avg 5Y
DPS</t>
        </is>
      </c>
      <c r="E231" s="62" t="inlineStr">
        <is>
          <t>Avg 5Y
EPS</t>
        </is>
      </c>
      <c r="F231" s="62" t="inlineStr">
        <is>
          <t>Avg 5Y
payout</t>
        </is>
      </c>
      <c r="G231" s="62" t="inlineStr">
        <is>
          <t>Fwd
payout</t>
        </is>
      </c>
      <c r="H231" s="62" t="inlineStr">
        <is>
          <t>Dvd yld
12M</t>
        </is>
      </c>
      <c r="I231" s="62" t="inlineStr">
        <is>
          <t>Yld
Y-1</t>
        </is>
      </c>
      <c r="J231" s="62" t="inlineStr">
        <is>
          <t>Model
fwd yld</t>
        </is>
      </c>
      <c r="K231" s="62" t="inlineStr">
        <is>
          <t>Net debt
/EBITDA</t>
        </is>
      </c>
      <c r="L231" s="62" t="inlineStr">
        <is>
          <t>FCF
cover</t>
        </is>
      </c>
      <c r="M231" s="62" t="inlineStr">
        <is>
          <t>Year pts
(model)</t>
        </is>
      </c>
      <c r="N231" s="62" t="inlineStr">
        <is>
          <t>% of yr
dvds</t>
        </is>
      </c>
    </row>
    <row r="232">
      <c r="B232" s="4" t="inlineStr">
        <is>
          <t>Energy</t>
        </is>
      </c>
      <c r="C232" s="149">
        <f>COUNTIFS($B$112:$B$151,"HSTECH",$E$112:$E$151,$B232)</f>
        <v/>
      </c>
      <c r="D232" s="133">
        <f>IFERROR(AVERAGEIFS($O$112:$O$151,$B$112:$B$151,"HSTECH",$E$112:$E$151,$B232),"")</f>
        <v/>
      </c>
      <c r="E232" s="126">
        <f>IFERROR(AVERAGEIFS($AC$112:$AC$151,$B$112:$B$151,"HSTECH",$E$112:$E$151,$B232),"")</f>
        <v/>
      </c>
      <c r="F232" s="144">
        <f>IFERROR(AVERAGEIFS($AJ$112:$AJ$151,$B$112:$B$151,"HSTECH",$E$112:$E$151,$B232),"")</f>
        <v/>
      </c>
      <c r="G232" s="144">
        <f>IFERROR(AVERAGEIFS($AK$112:$AK$151,$B$112:$B$151,"HSTECH",$E$112:$E$151,$B232),"")</f>
        <v/>
      </c>
      <c r="H232" s="137">
        <f>IFERROR(AVERAGEIFS($U$112:$U$151,$B$112:$B$151,"HSTECH",$E$112:$E$151,$B232),"")</f>
        <v/>
      </c>
      <c r="I232" s="137">
        <f>IFERROR(AVERAGEIFS($T$112:$T$151,$B$112:$B$151,"HSTECH",$E$112:$E$151,$B232),"")</f>
        <v/>
      </c>
      <c r="J232" s="137">
        <f>IFERROR(AVERAGEIFS($V$112:$V$151,$B$112:$B$151,"HSTECH",$E$112:$E$151,$B232),"")</f>
        <v/>
      </c>
      <c r="K232" s="126">
        <f>IFERROR(AVERAGEIFS($AU$112:$AU$151,$B$112:$B$151,"HSTECH",$E$112:$E$151,$B232),"")</f>
        <v/>
      </c>
      <c r="L232" s="126">
        <f>IFERROR(AVERAGEIFS($AX$112:$AX$151,$B$112:$B$151,"HSTECH",$E$112:$E$151,$B232),"")</f>
        <v/>
      </c>
      <c r="M232" s="126">
        <f>IFERROR(SUMIF(HSTECH!$E$7:$E$46,$B232,HSTECH!$Q$7:$Q$46),"")</f>
        <v/>
      </c>
      <c r="N232" s="150">
        <f>IFERROR($M232/HSTECH!$Q$5,"")</f>
        <v/>
      </c>
    </row>
    <row r="233">
      <c r="B233" s="4" t="inlineStr">
        <is>
          <t>Materials</t>
        </is>
      </c>
      <c r="C233" s="149">
        <f>COUNTIFS($B$112:$B$151,"HSTECH",$E$112:$E$151,$B233)</f>
        <v/>
      </c>
      <c r="D233" s="133">
        <f>IFERROR(AVERAGEIFS($O$112:$O$151,$B$112:$B$151,"HSTECH",$E$112:$E$151,$B233),"")</f>
        <v/>
      </c>
      <c r="E233" s="126">
        <f>IFERROR(AVERAGEIFS($AC$112:$AC$151,$B$112:$B$151,"HSTECH",$E$112:$E$151,$B233),"")</f>
        <v/>
      </c>
      <c r="F233" s="144">
        <f>IFERROR(AVERAGEIFS($AJ$112:$AJ$151,$B$112:$B$151,"HSTECH",$E$112:$E$151,$B233),"")</f>
        <v/>
      </c>
      <c r="G233" s="144">
        <f>IFERROR(AVERAGEIFS($AK$112:$AK$151,$B$112:$B$151,"HSTECH",$E$112:$E$151,$B233),"")</f>
        <v/>
      </c>
      <c r="H233" s="137">
        <f>IFERROR(AVERAGEIFS($U$112:$U$151,$B$112:$B$151,"HSTECH",$E$112:$E$151,$B233),"")</f>
        <v/>
      </c>
      <c r="I233" s="137">
        <f>IFERROR(AVERAGEIFS($T$112:$T$151,$B$112:$B$151,"HSTECH",$E$112:$E$151,$B233),"")</f>
        <v/>
      </c>
      <c r="J233" s="137">
        <f>IFERROR(AVERAGEIFS($V$112:$V$151,$B$112:$B$151,"HSTECH",$E$112:$E$151,$B233),"")</f>
        <v/>
      </c>
      <c r="K233" s="126">
        <f>IFERROR(AVERAGEIFS($AU$112:$AU$151,$B$112:$B$151,"HSTECH",$E$112:$E$151,$B233),"")</f>
        <v/>
      </c>
      <c r="L233" s="126">
        <f>IFERROR(AVERAGEIFS($AX$112:$AX$151,$B$112:$B$151,"HSTECH",$E$112:$E$151,$B233),"")</f>
        <v/>
      </c>
      <c r="M233" s="126">
        <f>IFERROR(SUMIF(HSTECH!$E$7:$E$46,$B233,HSTECH!$Q$7:$Q$46),"")</f>
        <v/>
      </c>
      <c r="N233" s="150">
        <f>IFERROR($M233/HSTECH!$Q$5,"")</f>
        <v/>
      </c>
    </row>
    <row r="234">
      <c r="B234" s="4" t="inlineStr">
        <is>
          <t>Industrials</t>
        </is>
      </c>
      <c r="C234" s="149">
        <f>COUNTIFS($B$112:$B$151,"HSTECH",$E$112:$E$151,$B234)</f>
        <v/>
      </c>
      <c r="D234" s="133">
        <f>IFERROR(AVERAGEIFS($O$112:$O$151,$B$112:$B$151,"HSTECH",$E$112:$E$151,$B234),"")</f>
        <v/>
      </c>
      <c r="E234" s="126">
        <f>IFERROR(AVERAGEIFS($AC$112:$AC$151,$B$112:$B$151,"HSTECH",$E$112:$E$151,$B234),"")</f>
        <v/>
      </c>
      <c r="F234" s="144">
        <f>IFERROR(AVERAGEIFS($AJ$112:$AJ$151,$B$112:$B$151,"HSTECH",$E$112:$E$151,$B234),"")</f>
        <v/>
      </c>
      <c r="G234" s="144">
        <f>IFERROR(AVERAGEIFS($AK$112:$AK$151,$B$112:$B$151,"HSTECH",$E$112:$E$151,$B234),"")</f>
        <v/>
      </c>
      <c r="H234" s="137">
        <f>IFERROR(AVERAGEIFS($U$112:$U$151,$B$112:$B$151,"HSTECH",$E$112:$E$151,$B234),"")</f>
        <v/>
      </c>
      <c r="I234" s="137">
        <f>IFERROR(AVERAGEIFS($T$112:$T$151,$B$112:$B$151,"HSTECH",$E$112:$E$151,$B234),"")</f>
        <v/>
      </c>
      <c r="J234" s="137">
        <f>IFERROR(AVERAGEIFS($V$112:$V$151,$B$112:$B$151,"HSTECH",$E$112:$E$151,$B234),"")</f>
        <v/>
      </c>
      <c r="K234" s="126">
        <f>IFERROR(AVERAGEIFS($AU$112:$AU$151,$B$112:$B$151,"HSTECH",$E$112:$E$151,$B234),"")</f>
        <v/>
      </c>
      <c r="L234" s="126">
        <f>IFERROR(AVERAGEIFS($AX$112:$AX$151,$B$112:$B$151,"HSTECH",$E$112:$E$151,$B234),"")</f>
        <v/>
      </c>
      <c r="M234" s="126">
        <f>IFERROR(SUMIF(HSTECH!$E$7:$E$46,$B234,HSTECH!$Q$7:$Q$46),"")</f>
        <v/>
      </c>
      <c r="N234" s="150">
        <f>IFERROR($M234/HSTECH!$Q$5,"")</f>
        <v/>
      </c>
    </row>
    <row r="235">
      <c r="B235" s="4" t="inlineStr">
        <is>
          <t>Consumer Discretionary</t>
        </is>
      </c>
      <c r="C235" s="149">
        <f>COUNTIFS($B$112:$B$151,"HSTECH",$E$112:$E$151,$B235)</f>
        <v/>
      </c>
      <c r="D235" s="133">
        <f>IFERROR(AVERAGEIFS($O$112:$O$151,$B$112:$B$151,"HSTECH",$E$112:$E$151,$B235),"")</f>
        <v/>
      </c>
      <c r="E235" s="126">
        <f>IFERROR(AVERAGEIFS($AC$112:$AC$151,$B$112:$B$151,"HSTECH",$E$112:$E$151,$B235),"")</f>
        <v/>
      </c>
      <c r="F235" s="144">
        <f>IFERROR(AVERAGEIFS($AJ$112:$AJ$151,$B$112:$B$151,"HSTECH",$E$112:$E$151,$B235),"")</f>
        <v/>
      </c>
      <c r="G235" s="144">
        <f>IFERROR(AVERAGEIFS($AK$112:$AK$151,$B$112:$B$151,"HSTECH",$E$112:$E$151,$B235),"")</f>
        <v/>
      </c>
      <c r="H235" s="137">
        <f>IFERROR(AVERAGEIFS($U$112:$U$151,$B$112:$B$151,"HSTECH",$E$112:$E$151,$B235),"")</f>
        <v/>
      </c>
      <c r="I235" s="137">
        <f>IFERROR(AVERAGEIFS($T$112:$T$151,$B$112:$B$151,"HSTECH",$E$112:$E$151,$B235),"")</f>
        <v/>
      </c>
      <c r="J235" s="137">
        <f>IFERROR(AVERAGEIFS($V$112:$V$151,$B$112:$B$151,"HSTECH",$E$112:$E$151,$B235),"")</f>
        <v/>
      </c>
      <c r="K235" s="126">
        <f>IFERROR(AVERAGEIFS($AU$112:$AU$151,$B$112:$B$151,"HSTECH",$E$112:$E$151,$B235),"")</f>
        <v/>
      </c>
      <c r="L235" s="126">
        <f>IFERROR(AVERAGEIFS($AX$112:$AX$151,$B$112:$B$151,"HSTECH",$E$112:$E$151,$B235),"")</f>
        <v/>
      </c>
      <c r="M235" s="126">
        <f>IFERROR(SUMIF(HSTECH!$E$7:$E$46,$B235,HSTECH!$Q$7:$Q$46),"")</f>
        <v/>
      </c>
      <c r="N235" s="150">
        <f>IFERROR($M235/HSTECH!$Q$5,"")</f>
        <v/>
      </c>
    </row>
    <row r="236">
      <c r="B236" s="4" t="inlineStr">
        <is>
          <t>Consumer Staples</t>
        </is>
      </c>
      <c r="C236" s="149">
        <f>COUNTIFS($B$112:$B$151,"HSTECH",$E$112:$E$151,$B236)</f>
        <v/>
      </c>
      <c r="D236" s="133">
        <f>IFERROR(AVERAGEIFS($O$112:$O$151,$B$112:$B$151,"HSTECH",$E$112:$E$151,$B236),"")</f>
        <v/>
      </c>
      <c r="E236" s="126">
        <f>IFERROR(AVERAGEIFS($AC$112:$AC$151,$B$112:$B$151,"HSTECH",$E$112:$E$151,$B236),"")</f>
        <v/>
      </c>
      <c r="F236" s="144">
        <f>IFERROR(AVERAGEIFS($AJ$112:$AJ$151,$B$112:$B$151,"HSTECH",$E$112:$E$151,$B236),"")</f>
        <v/>
      </c>
      <c r="G236" s="144">
        <f>IFERROR(AVERAGEIFS($AK$112:$AK$151,$B$112:$B$151,"HSTECH",$E$112:$E$151,$B236),"")</f>
        <v/>
      </c>
      <c r="H236" s="137">
        <f>IFERROR(AVERAGEIFS($U$112:$U$151,$B$112:$B$151,"HSTECH",$E$112:$E$151,$B236),"")</f>
        <v/>
      </c>
      <c r="I236" s="137">
        <f>IFERROR(AVERAGEIFS($T$112:$T$151,$B$112:$B$151,"HSTECH",$E$112:$E$151,$B236),"")</f>
        <v/>
      </c>
      <c r="J236" s="137">
        <f>IFERROR(AVERAGEIFS($V$112:$V$151,$B$112:$B$151,"HSTECH",$E$112:$E$151,$B236),"")</f>
        <v/>
      </c>
      <c r="K236" s="126">
        <f>IFERROR(AVERAGEIFS($AU$112:$AU$151,$B$112:$B$151,"HSTECH",$E$112:$E$151,$B236),"")</f>
        <v/>
      </c>
      <c r="L236" s="126">
        <f>IFERROR(AVERAGEIFS($AX$112:$AX$151,$B$112:$B$151,"HSTECH",$E$112:$E$151,$B236),"")</f>
        <v/>
      </c>
      <c r="M236" s="126">
        <f>IFERROR(SUMIF(HSTECH!$E$7:$E$46,$B236,HSTECH!$Q$7:$Q$46),"")</f>
        <v/>
      </c>
      <c r="N236" s="150">
        <f>IFERROR($M236/HSTECH!$Q$5,"")</f>
        <v/>
      </c>
    </row>
    <row r="237">
      <c r="B237" s="4" t="inlineStr">
        <is>
          <t>Health Care</t>
        </is>
      </c>
      <c r="C237" s="149">
        <f>COUNTIFS($B$112:$B$151,"HSTECH",$E$112:$E$151,$B237)</f>
        <v/>
      </c>
      <c r="D237" s="133">
        <f>IFERROR(AVERAGEIFS($O$112:$O$151,$B$112:$B$151,"HSTECH",$E$112:$E$151,$B237),"")</f>
        <v/>
      </c>
      <c r="E237" s="126">
        <f>IFERROR(AVERAGEIFS($AC$112:$AC$151,$B$112:$B$151,"HSTECH",$E$112:$E$151,$B237),"")</f>
        <v/>
      </c>
      <c r="F237" s="144">
        <f>IFERROR(AVERAGEIFS($AJ$112:$AJ$151,$B$112:$B$151,"HSTECH",$E$112:$E$151,$B237),"")</f>
        <v/>
      </c>
      <c r="G237" s="144">
        <f>IFERROR(AVERAGEIFS($AK$112:$AK$151,$B$112:$B$151,"HSTECH",$E$112:$E$151,$B237),"")</f>
        <v/>
      </c>
      <c r="H237" s="137">
        <f>IFERROR(AVERAGEIFS($U$112:$U$151,$B$112:$B$151,"HSTECH",$E$112:$E$151,$B237),"")</f>
        <v/>
      </c>
      <c r="I237" s="137">
        <f>IFERROR(AVERAGEIFS($T$112:$T$151,$B$112:$B$151,"HSTECH",$E$112:$E$151,$B237),"")</f>
        <v/>
      </c>
      <c r="J237" s="137">
        <f>IFERROR(AVERAGEIFS($V$112:$V$151,$B$112:$B$151,"HSTECH",$E$112:$E$151,$B237),"")</f>
        <v/>
      </c>
      <c r="K237" s="126">
        <f>IFERROR(AVERAGEIFS($AU$112:$AU$151,$B$112:$B$151,"HSTECH",$E$112:$E$151,$B237),"")</f>
        <v/>
      </c>
      <c r="L237" s="126">
        <f>IFERROR(AVERAGEIFS($AX$112:$AX$151,$B$112:$B$151,"HSTECH",$E$112:$E$151,$B237),"")</f>
        <v/>
      </c>
      <c r="M237" s="126">
        <f>IFERROR(SUMIF(HSTECH!$E$7:$E$46,$B237,HSTECH!$Q$7:$Q$46),"")</f>
        <v/>
      </c>
      <c r="N237" s="150">
        <f>IFERROR($M237/HSTECH!$Q$5,"")</f>
        <v/>
      </c>
    </row>
    <row r="238">
      <c r="B238" s="4" t="inlineStr">
        <is>
          <t>Financials</t>
        </is>
      </c>
      <c r="C238" s="149">
        <f>COUNTIFS($B$112:$B$151,"HSTECH",$E$112:$E$151,$B238)</f>
        <v/>
      </c>
      <c r="D238" s="133">
        <f>IFERROR(AVERAGEIFS($O$112:$O$151,$B$112:$B$151,"HSTECH",$E$112:$E$151,$B238),"")</f>
        <v/>
      </c>
      <c r="E238" s="126">
        <f>IFERROR(AVERAGEIFS($AC$112:$AC$151,$B$112:$B$151,"HSTECH",$E$112:$E$151,$B238),"")</f>
        <v/>
      </c>
      <c r="F238" s="144">
        <f>IFERROR(AVERAGEIFS($AJ$112:$AJ$151,$B$112:$B$151,"HSTECH",$E$112:$E$151,$B238),"")</f>
        <v/>
      </c>
      <c r="G238" s="144">
        <f>IFERROR(AVERAGEIFS($AK$112:$AK$151,$B$112:$B$151,"HSTECH",$E$112:$E$151,$B238),"")</f>
        <v/>
      </c>
      <c r="H238" s="137">
        <f>IFERROR(AVERAGEIFS($U$112:$U$151,$B$112:$B$151,"HSTECH",$E$112:$E$151,$B238),"")</f>
        <v/>
      </c>
      <c r="I238" s="137">
        <f>IFERROR(AVERAGEIFS($T$112:$T$151,$B$112:$B$151,"HSTECH",$E$112:$E$151,$B238),"")</f>
        <v/>
      </c>
      <c r="J238" s="137">
        <f>IFERROR(AVERAGEIFS($V$112:$V$151,$B$112:$B$151,"HSTECH",$E$112:$E$151,$B238),"")</f>
        <v/>
      </c>
      <c r="K238" s="126">
        <f>IFERROR(AVERAGEIFS($AU$112:$AU$151,$B$112:$B$151,"HSTECH",$E$112:$E$151,$B238),"")</f>
        <v/>
      </c>
      <c r="L238" s="126">
        <f>IFERROR(AVERAGEIFS($AX$112:$AX$151,$B$112:$B$151,"HSTECH",$E$112:$E$151,$B238),"")</f>
        <v/>
      </c>
      <c r="M238" s="126">
        <f>IFERROR(SUMIF(HSTECH!$E$7:$E$46,$B238,HSTECH!$Q$7:$Q$46),"")</f>
        <v/>
      </c>
      <c r="N238" s="150">
        <f>IFERROR($M238/HSTECH!$Q$5,"")</f>
        <v/>
      </c>
    </row>
    <row r="239">
      <c r="B239" s="4" t="inlineStr">
        <is>
          <t>Information Technology</t>
        </is>
      </c>
      <c r="C239" s="149">
        <f>COUNTIFS($B$112:$B$151,"HSTECH",$E$112:$E$151,$B239)</f>
        <v/>
      </c>
      <c r="D239" s="133">
        <f>IFERROR(AVERAGEIFS($O$112:$O$151,$B$112:$B$151,"HSTECH",$E$112:$E$151,$B239),"")</f>
        <v/>
      </c>
      <c r="E239" s="126">
        <f>IFERROR(AVERAGEIFS($AC$112:$AC$151,$B$112:$B$151,"HSTECH",$E$112:$E$151,$B239),"")</f>
        <v/>
      </c>
      <c r="F239" s="144">
        <f>IFERROR(AVERAGEIFS($AJ$112:$AJ$151,$B$112:$B$151,"HSTECH",$E$112:$E$151,$B239),"")</f>
        <v/>
      </c>
      <c r="G239" s="144">
        <f>IFERROR(AVERAGEIFS($AK$112:$AK$151,$B$112:$B$151,"HSTECH",$E$112:$E$151,$B239),"")</f>
        <v/>
      </c>
      <c r="H239" s="137">
        <f>IFERROR(AVERAGEIFS($U$112:$U$151,$B$112:$B$151,"HSTECH",$E$112:$E$151,$B239),"")</f>
        <v/>
      </c>
      <c r="I239" s="137">
        <f>IFERROR(AVERAGEIFS($T$112:$T$151,$B$112:$B$151,"HSTECH",$E$112:$E$151,$B239),"")</f>
        <v/>
      </c>
      <c r="J239" s="137">
        <f>IFERROR(AVERAGEIFS($V$112:$V$151,$B$112:$B$151,"HSTECH",$E$112:$E$151,$B239),"")</f>
        <v/>
      </c>
      <c r="K239" s="126">
        <f>IFERROR(AVERAGEIFS($AU$112:$AU$151,$B$112:$B$151,"HSTECH",$E$112:$E$151,$B239),"")</f>
        <v/>
      </c>
      <c r="L239" s="126">
        <f>IFERROR(AVERAGEIFS($AX$112:$AX$151,$B$112:$B$151,"HSTECH",$E$112:$E$151,$B239),"")</f>
        <v/>
      </c>
      <c r="M239" s="126">
        <f>IFERROR(SUMIF(HSTECH!$E$7:$E$46,$B239,HSTECH!$Q$7:$Q$46),"")</f>
        <v/>
      </c>
      <c r="N239" s="150">
        <f>IFERROR($M239/HSTECH!$Q$5,"")</f>
        <v/>
      </c>
    </row>
    <row r="240">
      <c r="B240" s="4" t="inlineStr">
        <is>
          <t>Communication Services</t>
        </is>
      </c>
      <c r="C240" s="149">
        <f>COUNTIFS($B$112:$B$151,"HSTECH",$E$112:$E$151,$B240)</f>
        <v/>
      </c>
      <c r="D240" s="133">
        <f>IFERROR(AVERAGEIFS($O$112:$O$151,$B$112:$B$151,"HSTECH",$E$112:$E$151,$B240),"")</f>
        <v/>
      </c>
      <c r="E240" s="126">
        <f>IFERROR(AVERAGEIFS($AC$112:$AC$151,$B$112:$B$151,"HSTECH",$E$112:$E$151,$B240),"")</f>
        <v/>
      </c>
      <c r="F240" s="144">
        <f>IFERROR(AVERAGEIFS($AJ$112:$AJ$151,$B$112:$B$151,"HSTECH",$E$112:$E$151,$B240),"")</f>
        <v/>
      </c>
      <c r="G240" s="144">
        <f>IFERROR(AVERAGEIFS($AK$112:$AK$151,$B$112:$B$151,"HSTECH",$E$112:$E$151,$B240),"")</f>
        <v/>
      </c>
      <c r="H240" s="137">
        <f>IFERROR(AVERAGEIFS($U$112:$U$151,$B$112:$B$151,"HSTECH",$E$112:$E$151,$B240),"")</f>
        <v/>
      </c>
      <c r="I240" s="137">
        <f>IFERROR(AVERAGEIFS($T$112:$T$151,$B$112:$B$151,"HSTECH",$E$112:$E$151,$B240),"")</f>
        <v/>
      </c>
      <c r="J240" s="137">
        <f>IFERROR(AVERAGEIFS($V$112:$V$151,$B$112:$B$151,"HSTECH",$E$112:$E$151,$B240),"")</f>
        <v/>
      </c>
      <c r="K240" s="126">
        <f>IFERROR(AVERAGEIFS($AU$112:$AU$151,$B$112:$B$151,"HSTECH",$E$112:$E$151,$B240),"")</f>
        <v/>
      </c>
      <c r="L240" s="126">
        <f>IFERROR(AVERAGEIFS($AX$112:$AX$151,$B$112:$B$151,"HSTECH",$E$112:$E$151,$B240),"")</f>
        <v/>
      </c>
      <c r="M240" s="126">
        <f>IFERROR(SUMIF(HSTECH!$E$7:$E$46,$B240,HSTECH!$Q$7:$Q$46),"")</f>
        <v/>
      </c>
      <c r="N240" s="150">
        <f>IFERROR($M240/HSTECH!$Q$5,"")</f>
        <v/>
      </c>
    </row>
    <row r="241">
      <c r="B241" s="4" t="inlineStr">
        <is>
          <t>Utilities</t>
        </is>
      </c>
      <c r="C241" s="149">
        <f>COUNTIFS($B$112:$B$151,"HSTECH",$E$112:$E$151,$B241)</f>
        <v/>
      </c>
      <c r="D241" s="133">
        <f>IFERROR(AVERAGEIFS($O$112:$O$151,$B$112:$B$151,"HSTECH",$E$112:$E$151,$B241),"")</f>
        <v/>
      </c>
      <c r="E241" s="126">
        <f>IFERROR(AVERAGEIFS($AC$112:$AC$151,$B$112:$B$151,"HSTECH",$E$112:$E$151,$B241),"")</f>
        <v/>
      </c>
      <c r="F241" s="144">
        <f>IFERROR(AVERAGEIFS($AJ$112:$AJ$151,$B$112:$B$151,"HSTECH",$E$112:$E$151,$B241),"")</f>
        <v/>
      </c>
      <c r="G241" s="144">
        <f>IFERROR(AVERAGEIFS($AK$112:$AK$151,$B$112:$B$151,"HSTECH",$E$112:$E$151,$B241),"")</f>
        <v/>
      </c>
      <c r="H241" s="137">
        <f>IFERROR(AVERAGEIFS($U$112:$U$151,$B$112:$B$151,"HSTECH",$E$112:$E$151,$B241),"")</f>
        <v/>
      </c>
      <c r="I241" s="137">
        <f>IFERROR(AVERAGEIFS($T$112:$T$151,$B$112:$B$151,"HSTECH",$E$112:$E$151,$B241),"")</f>
        <v/>
      </c>
      <c r="J241" s="137">
        <f>IFERROR(AVERAGEIFS($V$112:$V$151,$B$112:$B$151,"HSTECH",$E$112:$E$151,$B241),"")</f>
        <v/>
      </c>
      <c r="K241" s="126">
        <f>IFERROR(AVERAGEIFS($AU$112:$AU$151,$B$112:$B$151,"HSTECH",$E$112:$E$151,$B241),"")</f>
        <v/>
      </c>
      <c r="L241" s="126">
        <f>IFERROR(AVERAGEIFS($AX$112:$AX$151,$B$112:$B$151,"HSTECH",$E$112:$E$151,$B241),"")</f>
        <v/>
      </c>
      <c r="M241" s="126">
        <f>IFERROR(SUMIF(HSTECH!$E$7:$E$46,$B241,HSTECH!$Q$7:$Q$46),"")</f>
        <v/>
      </c>
      <c r="N241" s="150">
        <f>IFERROR($M241/HSTECH!$Q$5,"")</f>
        <v/>
      </c>
    </row>
    <row r="242">
      <c r="B242" s="4" t="inlineStr">
        <is>
          <t>Real Estate</t>
        </is>
      </c>
      <c r="C242" s="149">
        <f>COUNTIFS($B$112:$B$151,"HSTECH",$E$112:$E$151,$B242)</f>
        <v/>
      </c>
      <c r="D242" s="133">
        <f>IFERROR(AVERAGEIFS($O$112:$O$151,$B$112:$B$151,"HSTECH",$E$112:$E$151,$B242),"")</f>
        <v/>
      </c>
      <c r="E242" s="126">
        <f>IFERROR(AVERAGEIFS($AC$112:$AC$151,$B$112:$B$151,"HSTECH",$E$112:$E$151,$B242),"")</f>
        <v/>
      </c>
      <c r="F242" s="144">
        <f>IFERROR(AVERAGEIFS($AJ$112:$AJ$151,$B$112:$B$151,"HSTECH",$E$112:$E$151,$B242),"")</f>
        <v/>
      </c>
      <c r="G242" s="144">
        <f>IFERROR(AVERAGEIFS($AK$112:$AK$151,$B$112:$B$151,"HSTECH",$E$112:$E$151,$B242),"")</f>
        <v/>
      </c>
      <c r="H242" s="137">
        <f>IFERROR(AVERAGEIFS($U$112:$U$151,$B$112:$B$151,"HSTECH",$E$112:$E$151,$B242),"")</f>
        <v/>
      </c>
      <c r="I242" s="137">
        <f>IFERROR(AVERAGEIFS($T$112:$T$151,$B$112:$B$151,"HSTECH",$E$112:$E$151,$B242),"")</f>
        <v/>
      </c>
      <c r="J242" s="137">
        <f>IFERROR(AVERAGEIFS($V$112:$V$151,$B$112:$B$151,"HSTECH",$E$112:$E$151,$B242),"")</f>
        <v/>
      </c>
      <c r="K242" s="126">
        <f>IFERROR(AVERAGEIFS($AU$112:$AU$151,$B$112:$B$151,"HSTECH",$E$112:$E$151,$B242),"")</f>
        <v/>
      </c>
      <c r="L242" s="126">
        <f>IFERROR(AVERAGEIFS($AX$112:$AX$151,$B$112:$B$151,"HSTECH",$E$112:$E$151,$B242),"")</f>
        <v/>
      </c>
      <c r="M242" s="126">
        <f>IFERROR(SUMIF(HSTECH!$E$7:$E$46,$B242,HSTECH!$Q$7:$Q$46),"")</f>
        <v/>
      </c>
      <c r="N242" s="150">
        <f>IFERROR($M242/HSTECH!$Q$5,"")</f>
        <v/>
      </c>
    </row>
    <row r="243">
      <c r="B243" s="3" t="inlineStr">
        <is>
          <t>TOTAL</t>
        </is>
      </c>
      <c r="C243" s="151">
        <f>SUM(C232:C242)</f>
        <v/>
      </c>
      <c r="M243" s="152">
        <f>IFERROR(SUM(M232:M242),"")</f>
        <v/>
      </c>
      <c r="N243" s="147">
        <f>IFERROR(SUM(N232:N242),"")</f>
        <v/>
      </c>
      <c r="O243" s="2">
        <f>IF(ABS(N($M243)-N(HSTECH!$Q$5))&lt;0.01,"sector split reconciles","CHECK - a GICS name does not match")</f>
        <v/>
      </c>
    </row>
    <row r="246">
      <c r="B246" s="6" t="inlineStr">
        <is>
          <t>SECTOR AVERAGES - Hang Seng China Enterprises (HSCEI)</t>
        </is>
      </c>
      <c r="C246" s="7" t="n"/>
      <c r="D246" s="7" t="n"/>
      <c r="E246" s="7" t="n"/>
      <c r="F246" s="7" t="n"/>
      <c r="G246" s="7" t="n"/>
      <c r="H246" s="7" t="n"/>
      <c r="I246" s="7" t="n"/>
      <c r="J246" s="7" t="n"/>
      <c r="K246" s="7" t="n"/>
      <c r="L246" s="7" t="n"/>
      <c r="M246" s="7" t="n"/>
      <c r="N246" s="7" t="n"/>
    </row>
    <row r="247">
      <c r="B247" s="62" t="inlineStr">
        <is>
          <t>GICS Sector</t>
        </is>
      </c>
      <c r="C247" s="62" t="inlineStr">
        <is>
          <t>#</t>
        </is>
      </c>
      <c r="D247" s="62" t="inlineStr">
        <is>
          <t>Avg 5Y
DPS</t>
        </is>
      </c>
      <c r="E247" s="62" t="inlineStr">
        <is>
          <t>Avg 5Y
EPS</t>
        </is>
      </c>
      <c r="F247" s="62" t="inlineStr">
        <is>
          <t>Avg 5Y
payout</t>
        </is>
      </c>
      <c r="G247" s="62" t="inlineStr">
        <is>
          <t>Fwd
payout</t>
        </is>
      </c>
      <c r="H247" s="62" t="inlineStr">
        <is>
          <t>Dvd yld
12M</t>
        </is>
      </c>
      <c r="I247" s="62" t="inlineStr">
        <is>
          <t>Yld
Y-1</t>
        </is>
      </c>
      <c r="J247" s="62" t="inlineStr">
        <is>
          <t>Model
fwd yld</t>
        </is>
      </c>
      <c r="K247" s="62" t="inlineStr">
        <is>
          <t>Net debt
/EBITDA</t>
        </is>
      </c>
      <c r="L247" s="62" t="inlineStr">
        <is>
          <t>FCF
cover</t>
        </is>
      </c>
      <c r="M247" s="62" t="inlineStr">
        <is>
          <t>Year pts
(model)</t>
        </is>
      </c>
      <c r="N247" s="62" t="inlineStr">
        <is>
          <t>% of yr
dvds</t>
        </is>
      </c>
    </row>
    <row r="248">
      <c r="B248" s="4" t="inlineStr">
        <is>
          <t>Energy</t>
        </is>
      </c>
      <c r="C248" s="149">
        <f>COUNTIFS($B$152:$B$211,"HSCEI",$E$152:$E$211,$B248)</f>
        <v/>
      </c>
      <c r="D248" s="133">
        <f>IFERROR(AVERAGEIFS($O$152:$O$211,$B$152:$B$211,"HSCEI",$E$152:$E$211,$B248),"")</f>
        <v/>
      </c>
      <c r="E248" s="126">
        <f>IFERROR(AVERAGEIFS($AC$152:$AC$211,$B$152:$B$211,"HSCEI",$E$152:$E$211,$B248),"")</f>
        <v/>
      </c>
      <c r="F248" s="144">
        <f>IFERROR(AVERAGEIFS($AJ$152:$AJ$211,$B$152:$B$211,"HSCEI",$E$152:$E$211,$B248),"")</f>
        <v/>
      </c>
      <c r="G248" s="144">
        <f>IFERROR(AVERAGEIFS($AK$152:$AK$211,$B$152:$B$211,"HSCEI",$E$152:$E$211,$B248),"")</f>
        <v/>
      </c>
      <c r="H248" s="137">
        <f>IFERROR(AVERAGEIFS($U$152:$U$211,$B$152:$B$211,"HSCEI",$E$152:$E$211,$B248),"")</f>
        <v/>
      </c>
      <c r="I248" s="137">
        <f>IFERROR(AVERAGEIFS($T$152:$T$211,$B$152:$B$211,"HSCEI",$E$152:$E$211,$B248),"")</f>
        <v/>
      </c>
      <c r="J248" s="137">
        <f>IFERROR(AVERAGEIFS($V$152:$V$211,$B$152:$B$211,"HSCEI",$E$152:$E$211,$B248),"")</f>
        <v/>
      </c>
      <c r="K248" s="126">
        <f>IFERROR(AVERAGEIFS($AU$152:$AU$211,$B$152:$B$211,"HSCEI",$E$152:$E$211,$B248),"")</f>
        <v/>
      </c>
      <c r="L248" s="126">
        <f>IFERROR(AVERAGEIFS($AX$152:$AX$211,$B$152:$B$211,"HSCEI",$E$152:$E$211,$B248),"")</f>
        <v/>
      </c>
      <c r="M248" s="126">
        <f>IFERROR(SUMIF(HSCEI!$E$7:$E$66,$B248,HSCEI!$Q$7:$Q$66),"")</f>
        <v/>
      </c>
      <c r="N248" s="150">
        <f>IFERROR($M248/HSCEI!$Q$5,"")</f>
        <v/>
      </c>
    </row>
    <row r="249">
      <c r="B249" s="4" t="inlineStr">
        <is>
          <t>Materials</t>
        </is>
      </c>
      <c r="C249" s="149">
        <f>COUNTIFS($B$152:$B$211,"HSCEI",$E$152:$E$211,$B249)</f>
        <v/>
      </c>
      <c r="D249" s="133">
        <f>IFERROR(AVERAGEIFS($O$152:$O$211,$B$152:$B$211,"HSCEI",$E$152:$E$211,$B249),"")</f>
        <v/>
      </c>
      <c r="E249" s="126">
        <f>IFERROR(AVERAGEIFS($AC$152:$AC$211,$B$152:$B$211,"HSCEI",$E$152:$E$211,$B249),"")</f>
        <v/>
      </c>
      <c r="F249" s="144">
        <f>IFERROR(AVERAGEIFS($AJ$152:$AJ$211,$B$152:$B$211,"HSCEI",$E$152:$E$211,$B249),"")</f>
        <v/>
      </c>
      <c r="G249" s="144">
        <f>IFERROR(AVERAGEIFS($AK$152:$AK$211,$B$152:$B$211,"HSCEI",$E$152:$E$211,$B249),"")</f>
        <v/>
      </c>
      <c r="H249" s="137">
        <f>IFERROR(AVERAGEIFS($U$152:$U$211,$B$152:$B$211,"HSCEI",$E$152:$E$211,$B249),"")</f>
        <v/>
      </c>
      <c r="I249" s="137">
        <f>IFERROR(AVERAGEIFS($T$152:$T$211,$B$152:$B$211,"HSCEI",$E$152:$E$211,$B249),"")</f>
        <v/>
      </c>
      <c r="J249" s="137">
        <f>IFERROR(AVERAGEIFS($V$152:$V$211,$B$152:$B$211,"HSCEI",$E$152:$E$211,$B249),"")</f>
        <v/>
      </c>
      <c r="K249" s="126">
        <f>IFERROR(AVERAGEIFS($AU$152:$AU$211,$B$152:$B$211,"HSCEI",$E$152:$E$211,$B249),"")</f>
        <v/>
      </c>
      <c r="L249" s="126">
        <f>IFERROR(AVERAGEIFS($AX$152:$AX$211,$B$152:$B$211,"HSCEI",$E$152:$E$211,$B249),"")</f>
        <v/>
      </c>
      <c r="M249" s="126">
        <f>IFERROR(SUMIF(HSCEI!$E$7:$E$66,$B249,HSCEI!$Q$7:$Q$66),"")</f>
        <v/>
      </c>
      <c r="N249" s="150">
        <f>IFERROR($M249/HSCEI!$Q$5,"")</f>
        <v/>
      </c>
    </row>
    <row r="250">
      <c r="B250" s="4" t="inlineStr">
        <is>
          <t>Industrials</t>
        </is>
      </c>
      <c r="C250" s="149">
        <f>COUNTIFS($B$152:$B$211,"HSCEI",$E$152:$E$211,$B250)</f>
        <v/>
      </c>
      <c r="D250" s="133">
        <f>IFERROR(AVERAGEIFS($O$152:$O$211,$B$152:$B$211,"HSCEI",$E$152:$E$211,$B250),"")</f>
        <v/>
      </c>
      <c r="E250" s="126">
        <f>IFERROR(AVERAGEIFS($AC$152:$AC$211,$B$152:$B$211,"HSCEI",$E$152:$E$211,$B250),"")</f>
        <v/>
      </c>
      <c r="F250" s="144">
        <f>IFERROR(AVERAGEIFS($AJ$152:$AJ$211,$B$152:$B$211,"HSCEI",$E$152:$E$211,$B250),"")</f>
        <v/>
      </c>
      <c r="G250" s="144">
        <f>IFERROR(AVERAGEIFS($AK$152:$AK$211,$B$152:$B$211,"HSCEI",$E$152:$E$211,$B250),"")</f>
        <v/>
      </c>
      <c r="H250" s="137">
        <f>IFERROR(AVERAGEIFS($U$152:$U$211,$B$152:$B$211,"HSCEI",$E$152:$E$211,$B250),"")</f>
        <v/>
      </c>
      <c r="I250" s="137">
        <f>IFERROR(AVERAGEIFS($T$152:$T$211,$B$152:$B$211,"HSCEI",$E$152:$E$211,$B250),"")</f>
        <v/>
      </c>
      <c r="J250" s="137">
        <f>IFERROR(AVERAGEIFS($V$152:$V$211,$B$152:$B$211,"HSCEI",$E$152:$E$211,$B250),"")</f>
        <v/>
      </c>
      <c r="K250" s="126">
        <f>IFERROR(AVERAGEIFS($AU$152:$AU$211,$B$152:$B$211,"HSCEI",$E$152:$E$211,$B250),"")</f>
        <v/>
      </c>
      <c r="L250" s="126">
        <f>IFERROR(AVERAGEIFS($AX$152:$AX$211,$B$152:$B$211,"HSCEI",$E$152:$E$211,$B250),"")</f>
        <v/>
      </c>
      <c r="M250" s="126">
        <f>IFERROR(SUMIF(HSCEI!$E$7:$E$66,$B250,HSCEI!$Q$7:$Q$66),"")</f>
        <v/>
      </c>
      <c r="N250" s="150">
        <f>IFERROR($M250/HSCEI!$Q$5,"")</f>
        <v/>
      </c>
    </row>
    <row r="251">
      <c r="B251" s="4" t="inlineStr">
        <is>
          <t>Consumer Discretionary</t>
        </is>
      </c>
      <c r="C251" s="149">
        <f>COUNTIFS($B$152:$B$211,"HSCEI",$E$152:$E$211,$B251)</f>
        <v/>
      </c>
      <c r="D251" s="133">
        <f>IFERROR(AVERAGEIFS($O$152:$O$211,$B$152:$B$211,"HSCEI",$E$152:$E$211,$B251),"")</f>
        <v/>
      </c>
      <c r="E251" s="126">
        <f>IFERROR(AVERAGEIFS($AC$152:$AC$211,$B$152:$B$211,"HSCEI",$E$152:$E$211,$B251),"")</f>
        <v/>
      </c>
      <c r="F251" s="144">
        <f>IFERROR(AVERAGEIFS($AJ$152:$AJ$211,$B$152:$B$211,"HSCEI",$E$152:$E$211,$B251),"")</f>
        <v/>
      </c>
      <c r="G251" s="144">
        <f>IFERROR(AVERAGEIFS($AK$152:$AK$211,$B$152:$B$211,"HSCEI",$E$152:$E$211,$B251),"")</f>
        <v/>
      </c>
      <c r="H251" s="137">
        <f>IFERROR(AVERAGEIFS($U$152:$U$211,$B$152:$B$211,"HSCEI",$E$152:$E$211,$B251),"")</f>
        <v/>
      </c>
      <c r="I251" s="137">
        <f>IFERROR(AVERAGEIFS($T$152:$T$211,$B$152:$B$211,"HSCEI",$E$152:$E$211,$B251),"")</f>
        <v/>
      </c>
      <c r="J251" s="137">
        <f>IFERROR(AVERAGEIFS($V$152:$V$211,$B$152:$B$211,"HSCEI",$E$152:$E$211,$B251),"")</f>
        <v/>
      </c>
      <c r="K251" s="126">
        <f>IFERROR(AVERAGEIFS($AU$152:$AU$211,$B$152:$B$211,"HSCEI",$E$152:$E$211,$B251),"")</f>
        <v/>
      </c>
      <c r="L251" s="126">
        <f>IFERROR(AVERAGEIFS($AX$152:$AX$211,$B$152:$B$211,"HSCEI",$E$152:$E$211,$B251),"")</f>
        <v/>
      </c>
      <c r="M251" s="126">
        <f>IFERROR(SUMIF(HSCEI!$E$7:$E$66,$B251,HSCEI!$Q$7:$Q$66),"")</f>
        <v/>
      </c>
      <c r="N251" s="150">
        <f>IFERROR($M251/HSCEI!$Q$5,"")</f>
        <v/>
      </c>
    </row>
    <row r="252">
      <c r="B252" s="4" t="inlineStr">
        <is>
          <t>Consumer Staples</t>
        </is>
      </c>
      <c r="C252" s="149">
        <f>COUNTIFS($B$152:$B$211,"HSCEI",$E$152:$E$211,$B252)</f>
        <v/>
      </c>
      <c r="D252" s="133">
        <f>IFERROR(AVERAGEIFS($O$152:$O$211,$B$152:$B$211,"HSCEI",$E$152:$E$211,$B252),"")</f>
        <v/>
      </c>
      <c r="E252" s="126">
        <f>IFERROR(AVERAGEIFS($AC$152:$AC$211,$B$152:$B$211,"HSCEI",$E$152:$E$211,$B252),"")</f>
        <v/>
      </c>
      <c r="F252" s="144">
        <f>IFERROR(AVERAGEIFS($AJ$152:$AJ$211,$B$152:$B$211,"HSCEI",$E$152:$E$211,$B252),"")</f>
        <v/>
      </c>
      <c r="G252" s="144">
        <f>IFERROR(AVERAGEIFS($AK$152:$AK$211,$B$152:$B$211,"HSCEI",$E$152:$E$211,$B252),"")</f>
        <v/>
      </c>
      <c r="H252" s="137">
        <f>IFERROR(AVERAGEIFS($U$152:$U$211,$B$152:$B$211,"HSCEI",$E$152:$E$211,$B252),"")</f>
        <v/>
      </c>
      <c r="I252" s="137">
        <f>IFERROR(AVERAGEIFS($T$152:$T$211,$B$152:$B$211,"HSCEI",$E$152:$E$211,$B252),"")</f>
        <v/>
      </c>
      <c r="J252" s="137">
        <f>IFERROR(AVERAGEIFS($V$152:$V$211,$B$152:$B$211,"HSCEI",$E$152:$E$211,$B252),"")</f>
        <v/>
      </c>
      <c r="K252" s="126">
        <f>IFERROR(AVERAGEIFS($AU$152:$AU$211,$B$152:$B$211,"HSCEI",$E$152:$E$211,$B252),"")</f>
        <v/>
      </c>
      <c r="L252" s="126">
        <f>IFERROR(AVERAGEIFS($AX$152:$AX$211,$B$152:$B$211,"HSCEI",$E$152:$E$211,$B252),"")</f>
        <v/>
      </c>
      <c r="M252" s="126">
        <f>IFERROR(SUMIF(HSCEI!$E$7:$E$66,$B252,HSCEI!$Q$7:$Q$66),"")</f>
        <v/>
      </c>
      <c r="N252" s="150">
        <f>IFERROR($M252/HSCEI!$Q$5,"")</f>
        <v/>
      </c>
    </row>
    <row r="253">
      <c r="B253" s="4" t="inlineStr">
        <is>
          <t>Health Care</t>
        </is>
      </c>
      <c r="C253" s="149">
        <f>COUNTIFS($B$152:$B$211,"HSCEI",$E$152:$E$211,$B253)</f>
        <v/>
      </c>
      <c r="D253" s="133">
        <f>IFERROR(AVERAGEIFS($O$152:$O$211,$B$152:$B$211,"HSCEI",$E$152:$E$211,$B253),"")</f>
        <v/>
      </c>
      <c r="E253" s="126">
        <f>IFERROR(AVERAGEIFS($AC$152:$AC$211,$B$152:$B$211,"HSCEI",$E$152:$E$211,$B253),"")</f>
        <v/>
      </c>
      <c r="F253" s="144">
        <f>IFERROR(AVERAGEIFS($AJ$152:$AJ$211,$B$152:$B$211,"HSCEI",$E$152:$E$211,$B253),"")</f>
        <v/>
      </c>
      <c r="G253" s="144">
        <f>IFERROR(AVERAGEIFS($AK$152:$AK$211,$B$152:$B$211,"HSCEI",$E$152:$E$211,$B253),"")</f>
        <v/>
      </c>
      <c r="H253" s="137">
        <f>IFERROR(AVERAGEIFS($U$152:$U$211,$B$152:$B$211,"HSCEI",$E$152:$E$211,$B253),"")</f>
        <v/>
      </c>
      <c r="I253" s="137">
        <f>IFERROR(AVERAGEIFS($T$152:$T$211,$B$152:$B$211,"HSCEI",$E$152:$E$211,$B253),"")</f>
        <v/>
      </c>
      <c r="J253" s="137">
        <f>IFERROR(AVERAGEIFS($V$152:$V$211,$B$152:$B$211,"HSCEI",$E$152:$E$211,$B253),"")</f>
        <v/>
      </c>
      <c r="K253" s="126">
        <f>IFERROR(AVERAGEIFS($AU$152:$AU$211,$B$152:$B$211,"HSCEI",$E$152:$E$211,$B253),"")</f>
        <v/>
      </c>
      <c r="L253" s="126">
        <f>IFERROR(AVERAGEIFS($AX$152:$AX$211,$B$152:$B$211,"HSCEI",$E$152:$E$211,$B253),"")</f>
        <v/>
      </c>
      <c r="M253" s="126">
        <f>IFERROR(SUMIF(HSCEI!$E$7:$E$66,$B253,HSCEI!$Q$7:$Q$66),"")</f>
        <v/>
      </c>
      <c r="N253" s="150">
        <f>IFERROR($M253/HSCEI!$Q$5,"")</f>
        <v/>
      </c>
    </row>
    <row r="254">
      <c r="B254" s="4" t="inlineStr">
        <is>
          <t>Financials</t>
        </is>
      </c>
      <c r="C254" s="149">
        <f>COUNTIFS($B$152:$B$211,"HSCEI",$E$152:$E$211,$B254)</f>
        <v/>
      </c>
      <c r="D254" s="133">
        <f>IFERROR(AVERAGEIFS($O$152:$O$211,$B$152:$B$211,"HSCEI",$E$152:$E$211,$B254),"")</f>
        <v/>
      </c>
      <c r="E254" s="126">
        <f>IFERROR(AVERAGEIFS($AC$152:$AC$211,$B$152:$B$211,"HSCEI",$E$152:$E$211,$B254),"")</f>
        <v/>
      </c>
      <c r="F254" s="144">
        <f>IFERROR(AVERAGEIFS($AJ$152:$AJ$211,$B$152:$B$211,"HSCEI",$E$152:$E$211,$B254),"")</f>
        <v/>
      </c>
      <c r="G254" s="144">
        <f>IFERROR(AVERAGEIFS($AK$152:$AK$211,$B$152:$B$211,"HSCEI",$E$152:$E$211,$B254),"")</f>
        <v/>
      </c>
      <c r="H254" s="137">
        <f>IFERROR(AVERAGEIFS($U$152:$U$211,$B$152:$B$211,"HSCEI",$E$152:$E$211,$B254),"")</f>
        <v/>
      </c>
      <c r="I254" s="137">
        <f>IFERROR(AVERAGEIFS($T$152:$T$211,$B$152:$B$211,"HSCEI",$E$152:$E$211,$B254),"")</f>
        <v/>
      </c>
      <c r="J254" s="137">
        <f>IFERROR(AVERAGEIFS($V$152:$V$211,$B$152:$B$211,"HSCEI",$E$152:$E$211,$B254),"")</f>
        <v/>
      </c>
      <c r="K254" s="126">
        <f>IFERROR(AVERAGEIFS($AU$152:$AU$211,$B$152:$B$211,"HSCEI",$E$152:$E$211,$B254),"")</f>
        <v/>
      </c>
      <c r="L254" s="126">
        <f>IFERROR(AVERAGEIFS($AX$152:$AX$211,$B$152:$B$211,"HSCEI",$E$152:$E$211,$B254),"")</f>
        <v/>
      </c>
      <c r="M254" s="126">
        <f>IFERROR(SUMIF(HSCEI!$E$7:$E$66,$B254,HSCEI!$Q$7:$Q$66),"")</f>
        <v/>
      </c>
      <c r="N254" s="150">
        <f>IFERROR($M254/HSCEI!$Q$5,"")</f>
        <v/>
      </c>
    </row>
    <row r="255">
      <c r="B255" s="4" t="inlineStr">
        <is>
          <t>Information Technology</t>
        </is>
      </c>
      <c r="C255" s="149">
        <f>COUNTIFS($B$152:$B$211,"HSCEI",$E$152:$E$211,$B255)</f>
        <v/>
      </c>
      <c r="D255" s="133">
        <f>IFERROR(AVERAGEIFS($O$152:$O$211,$B$152:$B$211,"HSCEI",$E$152:$E$211,$B255),"")</f>
        <v/>
      </c>
      <c r="E255" s="126">
        <f>IFERROR(AVERAGEIFS($AC$152:$AC$211,$B$152:$B$211,"HSCEI",$E$152:$E$211,$B255),"")</f>
        <v/>
      </c>
      <c r="F255" s="144">
        <f>IFERROR(AVERAGEIFS($AJ$152:$AJ$211,$B$152:$B$211,"HSCEI",$E$152:$E$211,$B255),"")</f>
        <v/>
      </c>
      <c r="G255" s="144">
        <f>IFERROR(AVERAGEIFS($AK$152:$AK$211,$B$152:$B$211,"HSCEI",$E$152:$E$211,$B255),"")</f>
        <v/>
      </c>
      <c r="H255" s="137">
        <f>IFERROR(AVERAGEIFS($U$152:$U$211,$B$152:$B$211,"HSCEI",$E$152:$E$211,$B255),"")</f>
        <v/>
      </c>
      <c r="I255" s="137">
        <f>IFERROR(AVERAGEIFS($T$152:$T$211,$B$152:$B$211,"HSCEI",$E$152:$E$211,$B255),"")</f>
        <v/>
      </c>
      <c r="J255" s="137">
        <f>IFERROR(AVERAGEIFS($V$152:$V$211,$B$152:$B$211,"HSCEI",$E$152:$E$211,$B255),"")</f>
        <v/>
      </c>
      <c r="K255" s="126">
        <f>IFERROR(AVERAGEIFS($AU$152:$AU$211,$B$152:$B$211,"HSCEI",$E$152:$E$211,$B255),"")</f>
        <v/>
      </c>
      <c r="L255" s="126">
        <f>IFERROR(AVERAGEIFS($AX$152:$AX$211,$B$152:$B$211,"HSCEI",$E$152:$E$211,$B255),"")</f>
        <v/>
      </c>
      <c r="M255" s="126">
        <f>IFERROR(SUMIF(HSCEI!$E$7:$E$66,$B255,HSCEI!$Q$7:$Q$66),"")</f>
        <v/>
      </c>
      <c r="N255" s="150">
        <f>IFERROR($M255/HSCEI!$Q$5,"")</f>
        <v/>
      </c>
    </row>
    <row r="256">
      <c r="B256" s="4" t="inlineStr">
        <is>
          <t>Communication Services</t>
        </is>
      </c>
      <c r="C256" s="149">
        <f>COUNTIFS($B$152:$B$211,"HSCEI",$E$152:$E$211,$B256)</f>
        <v/>
      </c>
      <c r="D256" s="133">
        <f>IFERROR(AVERAGEIFS($O$152:$O$211,$B$152:$B$211,"HSCEI",$E$152:$E$211,$B256),"")</f>
        <v/>
      </c>
      <c r="E256" s="126">
        <f>IFERROR(AVERAGEIFS($AC$152:$AC$211,$B$152:$B$211,"HSCEI",$E$152:$E$211,$B256),"")</f>
        <v/>
      </c>
      <c r="F256" s="144">
        <f>IFERROR(AVERAGEIFS($AJ$152:$AJ$211,$B$152:$B$211,"HSCEI",$E$152:$E$211,$B256),"")</f>
        <v/>
      </c>
      <c r="G256" s="144">
        <f>IFERROR(AVERAGEIFS($AK$152:$AK$211,$B$152:$B$211,"HSCEI",$E$152:$E$211,$B256),"")</f>
        <v/>
      </c>
      <c r="H256" s="137">
        <f>IFERROR(AVERAGEIFS($U$152:$U$211,$B$152:$B$211,"HSCEI",$E$152:$E$211,$B256),"")</f>
        <v/>
      </c>
      <c r="I256" s="137">
        <f>IFERROR(AVERAGEIFS($T$152:$T$211,$B$152:$B$211,"HSCEI",$E$152:$E$211,$B256),"")</f>
        <v/>
      </c>
      <c r="J256" s="137">
        <f>IFERROR(AVERAGEIFS($V$152:$V$211,$B$152:$B$211,"HSCEI",$E$152:$E$211,$B256),"")</f>
        <v/>
      </c>
      <c r="K256" s="126">
        <f>IFERROR(AVERAGEIFS($AU$152:$AU$211,$B$152:$B$211,"HSCEI",$E$152:$E$211,$B256),"")</f>
        <v/>
      </c>
      <c r="L256" s="126">
        <f>IFERROR(AVERAGEIFS($AX$152:$AX$211,$B$152:$B$211,"HSCEI",$E$152:$E$211,$B256),"")</f>
        <v/>
      </c>
      <c r="M256" s="126">
        <f>IFERROR(SUMIF(HSCEI!$E$7:$E$66,$B256,HSCEI!$Q$7:$Q$66),"")</f>
        <v/>
      </c>
      <c r="N256" s="150">
        <f>IFERROR($M256/HSCEI!$Q$5,"")</f>
        <v/>
      </c>
    </row>
    <row r="257">
      <c r="B257" s="4" t="inlineStr">
        <is>
          <t>Utilities</t>
        </is>
      </c>
      <c r="C257" s="149">
        <f>COUNTIFS($B$152:$B$211,"HSCEI",$E$152:$E$211,$B257)</f>
        <v/>
      </c>
      <c r="D257" s="133">
        <f>IFERROR(AVERAGEIFS($O$152:$O$211,$B$152:$B$211,"HSCEI",$E$152:$E$211,$B257),"")</f>
        <v/>
      </c>
      <c r="E257" s="126">
        <f>IFERROR(AVERAGEIFS($AC$152:$AC$211,$B$152:$B$211,"HSCEI",$E$152:$E$211,$B257),"")</f>
        <v/>
      </c>
      <c r="F257" s="144">
        <f>IFERROR(AVERAGEIFS($AJ$152:$AJ$211,$B$152:$B$211,"HSCEI",$E$152:$E$211,$B257),"")</f>
        <v/>
      </c>
      <c r="G257" s="144">
        <f>IFERROR(AVERAGEIFS($AK$152:$AK$211,$B$152:$B$211,"HSCEI",$E$152:$E$211,$B257),"")</f>
        <v/>
      </c>
      <c r="H257" s="137">
        <f>IFERROR(AVERAGEIFS($U$152:$U$211,$B$152:$B$211,"HSCEI",$E$152:$E$211,$B257),"")</f>
        <v/>
      </c>
      <c r="I257" s="137">
        <f>IFERROR(AVERAGEIFS($T$152:$T$211,$B$152:$B$211,"HSCEI",$E$152:$E$211,$B257),"")</f>
        <v/>
      </c>
      <c r="J257" s="137">
        <f>IFERROR(AVERAGEIFS($V$152:$V$211,$B$152:$B$211,"HSCEI",$E$152:$E$211,$B257),"")</f>
        <v/>
      </c>
      <c r="K257" s="126">
        <f>IFERROR(AVERAGEIFS($AU$152:$AU$211,$B$152:$B$211,"HSCEI",$E$152:$E$211,$B257),"")</f>
        <v/>
      </c>
      <c r="L257" s="126">
        <f>IFERROR(AVERAGEIFS($AX$152:$AX$211,$B$152:$B$211,"HSCEI",$E$152:$E$211,$B257),"")</f>
        <v/>
      </c>
      <c r="M257" s="126">
        <f>IFERROR(SUMIF(HSCEI!$E$7:$E$66,$B257,HSCEI!$Q$7:$Q$66),"")</f>
        <v/>
      </c>
      <c r="N257" s="150">
        <f>IFERROR($M257/HSCEI!$Q$5,"")</f>
        <v/>
      </c>
    </row>
    <row r="258">
      <c r="B258" s="4" t="inlineStr">
        <is>
          <t>Real Estate</t>
        </is>
      </c>
      <c r="C258" s="149">
        <f>COUNTIFS($B$152:$B$211,"HSCEI",$E$152:$E$211,$B258)</f>
        <v/>
      </c>
      <c r="D258" s="133">
        <f>IFERROR(AVERAGEIFS($O$152:$O$211,$B$152:$B$211,"HSCEI",$E$152:$E$211,$B258),"")</f>
        <v/>
      </c>
      <c r="E258" s="126">
        <f>IFERROR(AVERAGEIFS($AC$152:$AC$211,$B$152:$B$211,"HSCEI",$E$152:$E$211,$B258),"")</f>
        <v/>
      </c>
      <c r="F258" s="144">
        <f>IFERROR(AVERAGEIFS($AJ$152:$AJ$211,$B$152:$B$211,"HSCEI",$E$152:$E$211,$B258),"")</f>
        <v/>
      </c>
      <c r="G258" s="144">
        <f>IFERROR(AVERAGEIFS($AK$152:$AK$211,$B$152:$B$211,"HSCEI",$E$152:$E$211,$B258),"")</f>
        <v/>
      </c>
      <c r="H258" s="137">
        <f>IFERROR(AVERAGEIFS($U$152:$U$211,$B$152:$B$211,"HSCEI",$E$152:$E$211,$B258),"")</f>
        <v/>
      </c>
      <c r="I258" s="137">
        <f>IFERROR(AVERAGEIFS($T$152:$T$211,$B$152:$B$211,"HSCEI",$E$152:$E$211,$B258),"")</f>
        <v/>
      </c>
      <c r="J258" s="137">
        <f>IFERROR(AVERAGEIFS($V$152:$V$211,$B$152:$B$211,"HSCEI",$E$152:$E$211,$B258),"")</f>
        <v/>
      </c>
      <c r="K258" s="126">
        <f>IFERROR(AVERAGEIFS($AU$152:$AU$211,$B$152:$B$211,"HSCEI",$E$152:$E$211,$B258),"")</f>
        <v/>
      </c>
      <c r="L258" s="126">
        <f>IFERROR(AVERAGEIFS($AX$152:$AX$211,$B$152:$B$211,"HSCEI",$E$152:$E$211,$B258),"")</f>
        <v/>
      </c>
      <c r="M258" s="126">
        <f>IFERROR(SUMIF(HSCEI!$E$7:$E$66,$B258,HSCEI!$Q$7:$Q$66),"")</f>
        <v/>
      </c>
      <c r="N258" s="150">
        <f>IFERROR($M258/HSCEI!$Q$5,"")</f>
        <v/>
      </c>
    </row>
    <row r="259">
      <c r="B259" s="3" t="inlineStr">
        <is>
          <t>TOTAL</t>
        </is>
      </c>
      <c r="C259" s="151">
        <f>SUM(C248:C258)</f>
        <v/>
      </c>
      <c r="M259" s="152">
        <f>IFERROR(SUM(M248:M258),"")</f>
        <v/>
      </c>
      <c r="N259" s="147">
        <f>IFERROR(SUM(N248:N258),"")</f>
        <v/>
      </c>
      <c r="O259" s="2">
        <f>IF(ABS(N($M259)-N(HSCEI!$Q$5))&lt;0.01,"sector split reconciles","CHECK - a GICS name does not match")</f>
        <v/>
      </c>
    </row>
  </sheetData>
  <autoFilter ref="B11:AZ211"/>
  <mergeCells count="1">
    <mergeCell ref="C5:H5"/>
  </mergeCells>
  <conditionalFormatting sqref="AJ12:AJ211">
    <cfRule type="colorScale" priority="1">
      <colorScale>
        <cfvo type="min"/>
        <cfvo type="percentile" val="50"/>
        <cfvo type="max"/>
        <color rgb="FF63BE7B"/>
        <color rgb="FFFFEB84"/>
        <color rgb="FFF8696B"/>
      </colorScale>
    </cfRule>
  </conditionalFormatting>
  <conditionalFormatting sqref="AR12:AR211">
    <cfRule type="colorScale" priority="2">
      <colorScale>
        <cfvo type="min"/>
        <cfvo type="percentile" val="50"/>
        <cfvo type="max"/>
        <color rgb="FFF8696B"/>
        <color rgb="FFFFEB84"/>
        <color rgb="FF63BE7B"/>
      </colorScale>
    </cfRule>
  </conditionalFormatting>
  <conditionalFormatting sqref="AX12:AX211">
    <cfRule type="colorScale" priority="3">
      <colorScale>
        <cfvo type="min"/>
        <cfvo type="percentile" val="50"/>
        <cfvo type="max"/>
        <color rgb="FFF8696B"/>
        <color rgb="FFFFEB84"/>
        <color rgb="FF63BE7B"/>
      </colorScale>
    </cfRule>
  </conditionalFormatting>
  <hyperlinks>
    <hyperlink xmlns:r="http://schemas.openxmlformats.org/officeDocument/2006/relationships" ref="C8" r:id="rId1"/>
    <hyperlink xmlns:r="http://schemas.openxmlformats.org/officeDocument/2006/relationships" ref="D8" r:id="rId2"/>
    <hyperlink xmlns:r="http://schemas.openxmlformats.org/officeDocument/2006/relationships" ref="E8" r:id="rId3"/>
    <hyperlink xmlns:r="http://schemas.openxmlformats.org/officeDocument/2006/relationships" ref="F8" r:id="rId4"/>
    <hyperlink xmlns:r="http://schemas.openxmlformats.org/officeDocument/2006/relationships" ref="G8" r:id="rId5"/>
    <hyperlink xmlns:r="http://schemas.openxmlformats.org/officeDocument/2006/relationships" ref="H8" r:id="rId6"/>
    <hyperlink xmlns:r="http://schemas.openxmlformats.org/officeDocument/2006/relationships" ref="I8" r:id="rId7"/>
  </hyperlinks>
  <pageMargins left="0.75" right="0.75" top="1" bottom="1" header="0.5" footer="0.5"/>
</worksheet>
</file>

<file path=xl/worksheets/sheet6.xml><?xml version="1.0" encoding="utf-8"?>
<worksheet xmlns="http://schemas.openxmlformats.org/spreadsheetml/2006/main">
  <sheetPr>
    <tabColor rgb="00FFC000"/>
    <outlinePr summaryBelow="1" summaryRight="1"/>
    <pageSetUpPr/>
  </sheetPr>
  <dimension ref="B1:L283"/>
  <sheetViews>
    <sheetView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24" customWidth="1" min="3" max="3"/>
    <col width="10" customWidth="1" min="4" max="4"/>
    <col width="10" customWidth="1" min="5" max="5"/>
    <col width="10" customWidth="1" min="6" max="6"/>
    <col width="30" customWidth="1" min="7" max="7"/>
    <col width="11" customWidth="1" min="8" max="8"/>
    <col width="22" customWidth="1" min="9" max="9"/>
    <col width="3" customWidth="1" min="10" max="10"/>
    <col width="8" customWidth="1" min="11" max="11"/>
    <col width="8" customWidth="1" min="12" max="12"/>
  </cols>
  <sheetData>
    <row r="1">
      <c r="B1" s="1" t="inlineStr">
        <is>
          <t>OVERRIDE - YOUR VIEW vs BLOOMBERG'S</t>
        </is>
      </c>
    </row>
    <row r="2">
      <c r="B2" s="2" t="inlineStr">
        <is>
          <t>Type a ticker and YOUR rest-of-year DPS (base / low / high, per share, declared ccy). Realized dividends are fact and are never overridable. OFF = pure Bloomberg.</t>
        </is>
      </c>
    </row>
    <row r="4">
      <c r="B4" s="3" t="inlineStr">
        <is>
          <t>Use overrides?</t>
        </is>
      </c>
      <c r="C4" s="91" t="inlineStr">
        <is>
          <t>OFF</t>
        </is>
      </c>
      <c r="D4" s="2" t="inlineStr">
        <is>
          <t>Rows set:</t>
        </is>
      </c>
      <c r="E4" s="47">
        <f>SUMPRODUCT(($B$12:$B$71&lt;&gt;"")*ISNUMBER($D$12:$D$71))</f>
        <v/>
      </c>
      <c r="F4" s="2" t="inlineStr">
        <is>
          <t>Impact (pts):</t>
        </is>
      </c>
      <c r="G4" s="2" t="inlineStr">
        <is>
          <t>HSI</t>
        </is>
      </c>
      <c r="H4" s="153">
        <f>IF($C$4="OFF","-",HSI!$Q$5-(HSI!$O$5+HSI!$W$5))</f>
        <v/>
      </c>
      <c r="I4" s="2" t="inlineStr">
        <is>
          <t>HSTECH</t>
        </is>
      </c>
      <c r="J4" s="153">
        <f>IF($C$4="OFF","-",HSTECH!$Q$5-(HSTECH!$O$5+HSTECH!$W$5))</f>
        <v/>
      </c>
      <c r="K4" s="2" t="inlineStr">
        <is>
          <t>HSCEI</t>
        </is>
      </c>
      <c r="L4" s="153">
        <f>IF($C$4="OFF","-",HSCEI!$Q$5-(HSCEI!$O$5+HSCEI!$W$5))</f>
        <v/>
      </c>
    </row>
    <row r="10">
      <c r="B10" s="6" t="inlineStr">
        <is>
          <t>YOUR INPUT LIST  (typed, ticker-keyed - one row per stock)</t>
        </is>
      </c>
      <c r="C10" s="7" t="n"/>
      <c r="D10" s="7" t="n"/>
      <c r="E10" s="7" t="n"/>
      <c r="F10" s="7" t="n"/>
      <c r="G10" s="7" t="n"/>
      <c r="H10" s="7" t="n"/>
      <c r="I10" s="7" t="n"/>
    </row>
    <row r="11">
      <c r="B11" s="23" t="inlineStr">
        <is>
          <t>Ticker
(e.g. 700 HK Equity)</t>
        </is>
      </c>
      <c r="C11" s="23" t="inlineStr">
        <is>
          <t>Name (auto)</t>
        </is>
      </c>
      <c r="D11" s="62" t="inlineStr">
        <is>
          <t>YOUR DPS
(base)</t>
        </is>
      </c>
      <c r="E11" s="62" t="inlineStr">
        <is>
          <t>LOW</t>
        </is>
      </c>
      <c r="F11" s="62" t="inlineStr">
        <is>
          <t>HIGH</t>
        </is>
      </c>
      <c r="G11" s="62" t="inlineStr">
        <is>
          <t>Why - note to self</t>
        </is>
      </c>
      <c r="H11" s="23" t="inlineStr">
        <is>
          <t>BBG still
to come</t>
        </is>
      </c>
      <c r="I11" s="23" t="inlineStr">
        <is>
          <t>Status</t>
        </is>
      </c>
    </row>
    <row r="12">
      <c r="B12" s="4" t="n"/>
      <c r="C12" s="22">
        <f>IF($B12="","",IFERROR(INDEX(HSI!$D$7:$D$106,MATCH($B12,HSI!$C$7:$C$106,0)),IFERROR(INDEX(HSTECH!$D$7:$D$46,MATCH($B12,HSTECH!$C$7:$C$46,0)),IFERROR(INDEX(HSCEI!$D$7:$D$66,MATCH($B12,HSCEI!$C$7:$C$66,0)),"?"))))</f>
        <v/>
      </c>
      <c r="D12" s="154" t="n"/>
      <c r="E12" s="154" t="n"/>
      <c r="F12" s="154" t="n"/>
      <c r="G12" s="4" t="n"/>
      <c r="H12" s="123">
        <f>IF($B12="","",IFERROR(INDEX(HSI!$K$7:$K$106,MATCH($B12,HSI!$C$7:$C$106,0)),IFERROR(INDEX(HSTECH!$K$7:$K$46,MATCH($B12,HSTECH!$C$7:$C$46,0)),IFERROR(INDEX(HSCEI!$K$7:$K$66,MATCH($B12,HSCEI!$C$7:$C$66,0)),"?"))))</f>
        <v/>
      </c>
      <c r="I12" s="94">
        <f>IF($B12="","",IF($C12="?","ticker? not in any index",IF(COUNTIF($B$12:$B$71,$B12)&gt;1,"DUP - rows add up",IF((ISNUMBER($E12)*ISNUMBER($D12)*($E12&gt;$D12)+ISNUMBER($F12)*ISNUMBER($D12)*($F12&lt;$D12)+ISNUMBER($E12)*ISNUMBER($F12)*($E12&gt;$F12))&gt;0,"low/high crossed",""))))</f>
        <v/>
      </c>
    </row>
    <row r="13">
      <c r="B13" s="4" t="n"/>
      <c r="C13" s="22">
        <f>IF($B13="","",IFERROR(INDEX(HSI!$D$7:$D$106,MATCH($B13,HSI!$C$7:$C$106,0)),IFERROR(INDEX(HSTECH!$D$7:$D$46,MATCH($B13,HSTECH!$C$7:$C$46,0)),IFERROR(INDEX(HSCEI!$D$7:$D$66,MATCH($B13,HSCEI!$C$7:$C$66,0)),"?"))))</f>
        <v/>
      </c>
      <c r="D13" s="154" t="n"/>
      <c r="E13" s="154" t="n"/>
      <c r="F13" s="154" t="n"/>
      <c r="G13" s="4" t="n"/>
      <c r="H13" s="123">
        <f>IF($B13="","",IFERROR(INDEX(HSI!$K$7:$K$106,MATCH($B13,HSI!$C$7:$C$106,0)),IFERROR(INDEX(HSTECH!$K$7:$K$46,MATCH($B13,HSTECH!$C$7:$C$46,0)),IFERROR(INDEX(HSCEI!$K$7:$K$66,MATCH($B13,HSCEI!$C$7:$C$66,0)),"?"))))</f>
        <v/>
      </c>
      <c r="I13" s="94">
        <f>IF($B13="","",IF($C13="?","ticker? not in any index",IF(COUNTIF($B$12:$B$71,$B13)&gt;1,"DUP - rows add up",IF((ISNUMBER($E13)*ISNUMBER($D13)*($E13&gt;$D13)+ISNUMBER($F13)*ISNUMBER($D13)*($F13&lt;$D13)+ISNUMBER($E13)*ISNUMBER($F13)*($E13&gt;$F13))&gt;0,"low/high crossed",""))))</f>
        <v/>
      </c>
    </row>
    <row r="14">
      <c r="B14" s="4" t="n"/>
      <c r="C14" s="22">
        <f>IF($B14="","",IFERROR(INDEX(HSI!$D$7:$D$106,MATCH($B14,HSI!$C$7:$C$106,0)),IFERROR(INDEX(HSTECH!$D$7:$D$46,MATCH($B14,HSTECH!$C$7:$C$46,0)),IFERROR(INDEX(HSCEI!$D$7:$D$66,MATCH($B14,HSCEI!$C$7:$C$66,0)),"?"))))</f>
        <v/>
      </c>
      <c r="D14" s="154" t="n"/>
      <c r="E14" s="154" t="n"/>
      <c r="F14" s="154" t="n"/>
      <c r="G14" s="4" t="n"/>
      <c r="H14" s="123">
        <f>IF($B14="","",IFERROR(INDEX(HSI!$K$7:$K$106,MATCH($B14,HSI!$C$7:$C$106,0)),IFERROR(INDEX(HSTECH!$K$7:$K$46,MATCH($B14,HSTECH!$C$7:$C$46,0)),IFERROR(INDEX(HSCEI!$K$7:$K$66,MATCH($B14,HSCEI!$C$7:$C$66,0)),"?"))))</f>
        <v/>
      </c>
      <c r="I14" s="94">
        <f>IF($B14="","",IF($C14="?","ticker? not in any index",IF(COUNTIF($B$12:$B$71,$B14)&gt;1,"DUP - rows add up",IF((ISNUMBER($E14)*ISNUMBER($D14)*($E14&gt;$D14)+ISNUMBER($F14)*ISNUMBER($D14)*($F14&lt;$D14)+ISNUMBER($E14)*ISNUMBER($F14)*($E14&gt;$F14))&gt;0,"low/high crossed",""))))</f>
        <v/>
      </c>
    </row>
    <row r="15">
      <c r="B15" s="4" t="n"/>
      <c r="C15" s="22">
        <f>IF($B15="","",IFERROR(INDEX(HSI!$D$7:$D$106,MATCH($B15,HSI!$C$7:$C$106,0)),IFERROR(INDEX(HSTECH!$D$7:$D$46,MATCH($B15,HSTECH!$C$7:$C$46,0)),IFERROR(INDEX(HSCEI!$D$7:$D$66,MATCH($B15,HSCEI!$C$7:$C$66,0)),"?"))))</f>
        <v/>
      </c>
      <c r="D15" s="154" t="n"/>
      <c r="E15" s="154" t="n"/>
      <c r="F15" s="154" t="n"/>
      <c r="G15" s="4" t="n"/>
      <c r="H15" s="123">
        <f>IF($B15="","",IFERROR(INDEX(HSI!$K$7:$K$106,MATCH($B15,HSI!$C$7:$C$106,0)),IFERROR(INDEX(HSTECH!$K$7:$K$46,MATCH($B15,HSTECH!$C$7:$C$46,0)),IFERROR(INDEX(HSCEI!$K$7:$K$66,MATCH($B15,HSCEI!$C$7:$C$66,0)),"?"))))</f>
        <v/>
      </c>
      <c r="I15" s="94">
        <f>IF($B15="","",IF($C15="?","ticker? not in any index",IF(COUNTIF($B$12:$B$71,$B15)&gt;1,"DUP - rows add up",IF((ISNUMBER($E15)*ISNUMBER($D15)*($E15&gt;$D15)+ISNUMBER($F15)*ISNUMBER($D15)*($F15&lt;$D15)+ISNUMBER($E15)*ISNUMBER($F15)*($E15&gt;$F15))&gt;0,"low/high crossed",""))))</f>
        <v/>
      </c>
    </row>
    <row r="16">
      <c r="B16" s="4" t="n"/>
      <c r="C16" s="22">
        <f>IF($B16="","",IFERROR(INDEX(HSI!$D$7:$D$106,MATCH($B16,HSI!$C$7:$C$106,0)),IFERROR(INDEX(HSTECH!$D$7:$D$46,MATCH($B16,HSTECH!$C$7:$C$46,0)),IFERROR(INDEX(HSCEI!$D$7:$D$66,MATCH($B16,HSCEI!$C$7:$C$66,0)),"?"))))</f>
        <v/>
      </c>
      <c r="D16" s="154" t="n"/>
      <c r="E16" s="154" t="n"/>
      <c r="F16" s="154" t="n"/>
      <c r="G16" s="4" t="n"/>
      <c r="H16" s="123">
        <f>IF($B16="","",IFERROR(INDEX(HSI!$K$7:$K$106,MATCH($B16,HSI!$C$7:$C$106,0)),IFERROR(INDEX(HSTECH!$K$7:$K$46,MATCH($B16,HSTECH!$C$7:$C$46,0)),IFERROR(INDEX(HSCEI!$K$7:$K$66,MATCH($B16,HSCEI!$C$7:$C$66,0)),"?"))))</f>
        <v/>
      </c>
      <c r="I16" s="94">
        <f>IF($B16="","",IF($C16="?","ticker? not in any index",IF(COUNTIF($B$12:$B$71,$B16)&gt;1,"DUP - rows add up",IF((ISNUMBER($E16)*ISNUMBER($D16)*($E16&gt;$D16)+ISNUMBER($F16)*ISNUMBER($D16)*($F16&lt;$D16)+ISNUMBER($E16)*ISNUMBER($F16)*($E16&gt;$F16))&gt;0,"low/high crossed",""))))</f>
        <v/>
      </c>
    </row>
    <row r="17">
      <c r="B17" s="4" t="n"/>
      <c r="C17" s="22">
        <f>IF($B17="","",IFERROR(INDEX(HSI!$D$7:$D$106,MATCH($B17,HSI!$C$7:$C$106,0)),IFERROR(INDEX(HSTECH!$D$7:$D$46,MATCH($B17,HSTECH!$C$7:$C$46,0)),IFERROR(INDEX(HSCEI!$D$7:$D$66,MATCH($B17,HSCEI!$C$7:$C$66,0)),"?"))))</f>
        <v/>
      </c>
      <c r="D17" s="154" t="n"/>
      <c r="E17" s="154" t="n"/>
      <c r="F17" s="154" t="n"/>
      <c r="G17" s="4" t="n"/>
      <c r="H17" s="123">
        <f>IF($B17="","",IFERROR(INDEX(HSI!$K$7:$K$106,MATCH($B17,HSI!$C$7:$C$106,0)),IFERROR(INDEX(HSTECH!$K$7:$K$46,MATCH($B17,HSTECH!$C$7:$C$46,0)),IFERROR(INDEX(HSCEI!$K$7:$K$66,MATCH($B17,HSCEI!$C$7:$C$66,0)),"?"))))</f>
        <v/>
      </c>
      <c r="I17" s="94">
        <f>IF($B17="","",IF($C17="?","ticker? not in any index",IF(COUNTIF($B$12:$B$71,$B17)&gt;1,"DUP - rows add up",IF((ISNUMBER($E17)*ISNUMBER($D17)*($E17&gt;$D17)+ISNUMBER($F17)*ISNUMBER($D17)*($F17&lt;$D17)+ISNUMBER($E17)*ISNUMBER($F17)*($E17&gt;$F17))&gt;0,"low/high crossed",""))))</f>
        <v/>
      </c>
    </row>
    <row r="18">
      <c r="B18" s="4" t="n"/>
      <c r="C18" s="22">
        <f>IF($B18="","",IFERROR(INDEX(HSI!$D$7:$D$106,MATCH($B18,HSI!$C$7:$C$106,0)),IFERROR(INDEX(HSTECH!$D$7:$D$46,MATCH($B18,HSTECH!$C$7:$C$46,0)),IFERROR(INDEX(HSCEI!$D$7:$D$66,MATCH($B18,HSCEI!$C$7:$C$66,0)),"?"))))</f>
        <v/>
      </c>
      <c r="D18" s="154" t="n"/>
      <c r="E18" s="154" t="n"/>
      <c r="F18" s="154" t="n"/>
      <c r="G18" s="4" t="n"/>
      <c r="H18" s="123">
        <f>IF($B18="","",IFERROR(INDEX(HSI!$K$7:$K$106,MATCH($B18,HSI!$C$7:$C$106,0)),IFERROR(INDEX(HSTECH!$K$7:$K$46,MATCH($B18,HSTECH!$C$7:$C$46,0)),IFERROR(INDEX(HSCEI!$K$7:$K$66,MATCH($B18,HSCEI!$C$7:$C$66,0)),"?"))))</f>
        <v/>
      </c>
      <c r="I18" s="94">
        <f>IF($B18="","",IF($C18="?","ticker? not in any index",IF(COUNTIF($B$12:$B$71,$B18)&gt;1,"DUP - rows add up",IF((ISNUMBER($E18)*ISNUMBER($D18)*($E18&gt;$D18)+ISNUMBER($F18)*ISNUMBER($D18)*($F18&lt;$D18)+ISNUMBER($E18)*ISNUMBER($F18)*($E18&gt;$F18))&gt;0,"low/high crossed",""))))</f>
        <v/>
      </c>
    </row>
    <row r="19">
      <c r="B19" s="4" t="n"/>
      <c r="C19" s="22">
        <f>IF($B19="","",IFERROR(INDEX(HSI!$D$7:$D$106,MATCH($B19,HSI!$C$7:$C$106,0)),IFERROR(INDEX(HSTECH!$D$7:$D$46,MATCH($B19,HSTECH!$C$7:$C$46,0)),IFERROR(INDEX(HSCEI!$D$7:$D$66,MATCH($B19,HSCEI!$C$7:$C$66,0)),"?"))))</f>
        <v/>
      </c>
      <c r="D19" s="154" t="n"/>
      <c r="E19" s="154" t="n"/>
      <c r="F19" s="154" t="n"/>
      <c r="G19" s="4" t="n"/>
      <c r="H19" s="123">
        <f>IF($B19="","",IFERROR(INDEX(HSI!$K$7:$K$106,MATCH($B19,HSI!$C$7:$C$106,0)),IFERROR(INDEX(HSTECH!$K$7:$K$46,MATCH($B19,HSTECH!$C$7:$C$46,0)),IFERROR(INDEX(HSCEI!$K$7:$K$66,MATCH($B19,HSCEI!$C$7:$C$66,0)),"?"))))</f>
        <v/>
      </c>
      <c r="I19" s="94">
        <f>IF($B19="","",IF($C19="?","ticker? not in any index",IF(COUNTIF($B$12:$B$71,$B19)&gt;1,"DUP - rows add up",IF((ISNUMBER($E19)*ISNUMBER($D19)*($E19&gt;$D19)+ISNUMBER($F19)*ISNUMBER($D19)*($F19&lt;$D19)+ISNUMBER($E19)*ISNUMBER($F19)*($E19&gt;$F19))&gt;0,"low/high crossed",""))))</f>
        <v/>
      </c>
    </row>
    <row r="20">
      <c r="B20" s="4" t="n"/>
      <c r="C20" s="22">
        <f>IF($B20="","",IFERROR(INDEX(HSI!$D$7:$D$106,MATCH($B20,HSI!$C$7:$C$106,0)),IFERROR(INDEX(HSTECH!$D$7:$D$46,MATCH($B20,HSTECH!$C$7:$C$46,0)),IFERROR(INDEX(HSCEI!$D$7:$D$66,MATCH($B20,HSCEI!$C$7:$C$66,0)),"?"))))</f>
        <v/>
      </c>
      <c r="D20" s="154" t="n"/>
      <c r="E20" s="154" t="n"/>
      <c r="F20" s="154" t="n"/>
      <c r="G20" s="4" t="n"/>
      <c r="H20" s="123">
        <f>IF($B20="","",IFERROR(INDEX(HSI!$K$7:$K$106,MATCH($B20,HSI!$C$7:$C$106,0)),IFERROR(INDEX(HSTECH!$K$7:$K$46,MATCH($B20,HSTECH!$C$7:$C$46,0)),IFERROR(INDEX(HSCEI!$K$7:$K$66,MATCH($B20,HSCEI!$C$7:$C$66,0)),"?"))))</f>
        <v/>
      </c>
      <c r="I20" s="94">
        <f>IF($B20="","",IF($C20="?","ticker? not in any index",IF(COUNTIF($B$12:$B$71,$B20)&gt;1,"DUP - rows add up",IF((ISNUMBER($E20)*ISNUMBER($D20)*($E20&gt;$D20)+ISNUMBER($F20)*ISNUMBER($D20)*($F20&lt;$D20)+ISNUMBER($E20)*ISNUMBER($F20)*($E20&gt;$F20))&gt;0,"low/high crossed",""))))</f>
        <v/>
      </c>
    </row>
    <row r="21">
      <c r="B21" s="4" t="n"/>
      <c r="C21" s="22">
        <f>IF($B21="","",IFERROR(INDEX(HSI!$D$7:$D$106,MATCH($B21,HSI!$C$7:$C$106,0)),IFERROR(INDEX(HSTECH!$D$7:$D$46,MATCH($B21,HSTECH!$C$7:$C$46,0)),IFERROR(INDEX(HSCEI!$D$7:$D$66,MATCH($B21,HSCEI!$C$7:$C$66,0)),"?"))))</f>
        <v/>
      </c>
      <c r="D21" s="154" t="n"/>
      <c r="E21" s="154" t="n"/>
      <c r="F21" s="154" t="n"/>
      <c r="G21" s="4" t="n"/>
      <c r="H21" s="123">
        <f>IF($B21="","",IFERROR(INDEX(HSI!$K$7:$K$106,MATCH($B21,HSI!$C$7:$C$106,0)),IFERROR(INDEX(HSTECH!$K$7:$K$46,MATCH($B21,HSTECH!$C$7:$C$46,0)),IFERROR(INDEX(HSCEI!$K$7:$K$66,MATCH($B21,HSCEI!$C$7:$C$66,0)),"?"))))</f>
        <v/>
      </c>
      <c r="I21" s="94">
        <f>IF($B21="","",IF($C21="?","ticker? not in any index",IF(COUNTIF($B$12:$B$71,$B21)&gt;1,"DUP - rows add up",IF((ISNUMBER($E21)*ISNUMBER($D21)*($E21&gt;$D21)+ISNUMBER($F21)*ISNUMBER($D21)*($F21&lt;$D21)+ISNUMBER($E21)*ISNUMBER($F21)*($E21&gt;$F21))&gt;0,"low/high crossed",""))))</f>
        <v/>
      </c>
    </row>
    <row r="22">
      <c r="B22" s="4" t="n"/>
      <c r="C22" s="22">
        <f>IF($B22="","",IFERROR(INDEX(HSI!$D$7:$D$106,MATCH($B22,HSI!$C$7:$C$106,0)),IFERROR(INDEX(HSTECH!$D$7:$D$46,MATCH($B22,HSTECH!$C$7:$C$46,0)),IFERROR(INDEX(HSCEI!$D$7:$D$66,MATCH($B22,HSCEI!$C$7:$C$66,0)),"?"))))</f>
        <v/>
      </c>
      <c r="D22" s="154" t="n"/>
      <c r="E22" s="154" t="n"/>
      <c r="F22" s="154" t="n"/>
      <c r="G22" s="4" t="n"/>
      <c r="H22" s="123">
        <f>IF($B22="","",IFERROR(INDEX(HSI!$K$7:$K$106,MATCH($B22,HSI!$C$7:$C$106,0)),IFERROR(INDEX(HSTECH!$K$7:$K$46,MATCH($B22,HSTECH!$C$7:$C$46,0)),IFERROR(INDEX(HSCEI!$K$7:$K$66,MATCH($B22,HSCEI!$C$7:$C$66,0)),"?"))))</f>
        <v/>
      </c>
      <c r="I22" s="94">
        <f>IF($B22="","",IF($C22="?","ticker? not in any index",IF(COUNTIF($B$12:$B$71,$B22)&gt;1,"DUP - rows add up",IF((ISNUMBER($E22)*ISNUMBER($D22)*($E22&gt;$D22)+ISNUMBER($F22)*ISNUMBER($D22)*($F22&lt;$D22)+ISNUMBER($E22)*ISNUMBER($F22)*($E22&gt;$F22))&gt;0,"low/high crossed",""))))</f>
        <v/>
      </c>
    </row>
    <row r="23">
      <c r="B23" s="4" t="n"/>
      <c r="C23" s="22">
        <f>IF($B23="","",IFERROR(INDEX(HSI!$D$7:$D$106,MATCH($B23,HSI!$C$7:$C$106,0)),IFERROR(INDEX(HSTECH!$D$7:$D$46,MATCH($B23,HSTECH!$C$7:$C$46,0)),IFERROR(INDEX(HSCEI!$D$7:$D$66,MATCH($B23,HSCEI!$C$7:$C$66,0)),"?"))))</f>
        <v/>
      </c>
      <c r="D23" s="154" t="n"/>
      <c r="E23" s="154" t="n"/>
      <c r="F23" s="154" t="n"/>
      <c r="G23" s="4" t="n"/>
      <c r="H23" s="123">
        <f>IF($B23="","",IFERROR(INDEX(HSI!$K$7:$K$106,MATCH($B23,HSI!$C$7:$C$106,0)),IFERROR(INDEX(HSTECH!$K$7:$K$46,MATCH($B23,HSTECH!$C$7:$C$46,0)),IFERROR(INDEX(HSCEI!$K$7:$K$66,MATCH($B23,HSCEI!$C$7:$C$66,0)),"?"))))</f>
        <v/>
      </c>
      <c r="I23" s="94">
        <f>IF($B23="","",IF($C23="?","ticker? not in any index",IF(COUNTIF($B$12:$B$71,$B23)&gt;1,"DUP - rows add up",IF((ISNUMBER($E23)*ISNUMBER($D23)*($E23&gt;$D23)+ISNUMBER($F23)*ISNUMBER($D23)*($F23&lt;$D23)+ISNUMBER($E23)*ISNUMBER($F23)*($E23&gt;$F23))&gt;0,"low/high crossed",""))))</f>
        <v/>
      </c>
    </row>
    <row r="24">
      <c r="B24" s="4" t="n"/>
      <c r="C24" s="22">
        <f>IF($B24="","",IFERROR(INDEX(HSI!$D$7:$D$106,MATCH($B24,HSI!$C$7:$C$106,0)),IFERROR(INDEX(HSTECH!$D$7:$D$46,MATCH($B24,HSTECH!$C$7:$C$46,0)),IFERROR(INDEX(HSCEI!$D$7:$D$66,MATCH($B24,HSCEI!$C$7:$C$66,0)),"?"))))</f>
        <v/>
      </c>
      <c r="D24" s="154" t="n"/>
      <c r="E24" s="154" t="n"/>
      <c r="F24" s="154" t="n"/>
      <c r="G24" s="4" t="n"/>
      <c r="H24" s="123">
        <f>IF($B24="","",IFERROR(INDEX(HSI!$K$7:$K$106,MATCH($B24,HSI!$C$7:$C$106,0)),IFERROR(INDEX(HSTECH!$K$7:$K$46,MATCH($B24,HSTECH!$C$7:$C$46,0)),IFERROR(INDEX(HSCEI!$K$7:$K$66,MATCH($B24,HSCEI!$C$7:$C$66,0)),"?"))))</f>
        <v/>
      </c>
      <c r="I24" s="94">
        <f>IF($B24="","",IF($C24="?","ticker? not in any index",IF(COUNTIF($B$12:$B$71,$B24)&gt;1,"DUP - rows add up",IF((ISNUMBER($E24)*ISNUMBER($D24)*($E24&gt;$D24)+ISNUMBER($F24)*ISNUMBER($D24)*($F24&lt;$D24)+ISNUMBER($E24)*ISNUMBER($F24)*($E24&gt;$F24))&gt;0,"low/high crossed",""))))</f>
        <v/>
      </c>
    </row>
    <row r="25">
      <c r="B25" s="4" t="n"/>
      <c r="C25" s="22">
        <f>IF($B25="","",IFERROR(INDEX(HSI!$D$7:$D$106,MATCH($B25,HSI!$C$7:$C$106,0)),IFERROR(INDEX(HSTECH!$D$7:$D$46,MATCH($B25,HSTECH!$C$7:$C$46,0)),IFERROR(INDEX(HSCEI!$D$7:$D$66,MATCH($B25,HSCEI!$C$7:$C$66,0)),"?"))))</f>
        <v/>
      </c>
      <c r="D25" s="154" t="n"/>
      <c r="E25" s="154" t="n"/>
      <c r="F25" s="154" t="n"/>
      <c r="G25" s="4" t="n"/>
      <c r="H25" s="123">
        <f>IF($B25="","",IFERROR(INDEX(HSI!$K$7:$K$106,MATCH($B25,HSI!$C$7:$C$106,0)),IFERROR(INDEX(HSTECH!$K$7:$K$46,MATCH($B25,HSTECH!$C$7:$C$46,0)),IFERROR(INDEX(HSCEI!$K$7:$K$66,MATCH($B25,HSCEI!$C$7:$C$66,0)),"?"))))</f>
        <v/>
      </c>
      <c r="I25" s="94">
        <f>IF($B25="","",IF($C25="?","ticker? not in any index",IF(COUNTIF($B$12:$B$71,$B25)&gt;1,"DUP - rows add up",IF((ISNUMBER($E25)*ISNUMBER($D25)*($E25&gt;$D25)+ISNUMBER($F25)*ISNUMBER($D25)*($F25&lt;$D25)+ISNUMBER($E25)*ISNUMBER($F25)*($E25&gt;$F25))&gt;0,"low/high crossed",""))))</f>
        <v/>
      </c>
    </row>
    <row r="26">
      <c r="B26" s="4" t="n"/>
      <c r="C26" s="22">
        <f>IF($B26="","",IFERROR(INDEX(HSI!$D$7:$D$106,MATCH($B26,HSI!$C$7:$C$106,0)),IFERROR(INDEX(HSTECH!$D$7:$D$46,MATCH($B26,HSTECH!$C$7:$C$46,0)),IFERROR(INDEX(HSCEI!$D$7:$D$66,MATCH($B26,HSCEI!$C$7:$C$66,0)),"?"))))</f>
        <v/>
      </c>
      <c r="D26" s="154" t="n"/>
      <c r="E26" s="154" t="n"/>
      <c r="F26" s="154" t="n"/>
      <c r="G26" s="4" t="n"/>
      <c r="H26" s="123">
        <f>IF($B26="","",IFERROR(INDEX(HSI!$K$7:$K$106,MATCH($B26,HSI!$C$7:$C$106,0)),IFERROR(INDEX(HSTECH!$K$7:$K$46,MATCH($B26,HSTECH!$C$7:$C$46,0)),IFERROR(INDEX(HSCEI!$K$7:$K$66,MATCH($B26,HSCEI!$C$7:$C$66,0)),"?"))))</f>
        <v/>
      </c>
      <c r="I26" s="94">
        <f>IF($B26="","",IF($C26="?","ticker? not in any index",IF(COUNTIF($B$12:$B$71,$B26)&gt;1,"DUP - rows add up",IF((ISNUMBER($E26)*ISNUMBER($D26)*($E26&gt;$D26)+ISNUMBER($F26)*ISNUMBER($D26)*($F26&lt;$D26)+ISNUMBER($E26)*ISNUMBER($F26)*($E26&gt;$F26))&gt;0,"low/high crossed",""))))</f>
        <v/>
      </c>
    </row>
    <row r="27">
      <c r="B27" s="4" t="n"/>
      <c r="C27" s="22">
        <f>IF($B27="","",IFERROR(INDEX(HSI!$D$7:$D$106,MATCH($B27,HSI!$C$7:$C$106,0)),IFERROR(INDEX(HSTECH!$D$7:$D$46,MATCH($B27,HSTECH!$C$7:$C$46,0)),IFERROR(INDEX(HSCEI!$D$7:$D$66,MATCH($B27,HSCEI!$C$7:$C$66,0)),"?"))))</f>
        <v/>
      </c>
      <c r="D27" s="154" t="n"/>
      <c r="E27" s="154" t="n"/>
      <c r="F27" s="154" t="n"/>
      <c r="G27" s="4" t="n"/>
      <c r="H27" s="123">
        <f>IF($B27="","",IFERROR(INDEX(HSI!$K$7:$K$106,MATCH($B27,HSI!$C$7:$C$106,0)),IFERROR(INDEX(HSTECH!$K$7:$K$46,MATCH($B27,HSTECH!$C$7:$C$46,0)),IFERROR(INDEX(HSCEI!$K$7:$K$66,MATCH($B27,HSCEI!$C$7:$C$66,0)),"?"))))</f>
        <v/>
      </c>
      <c r="I27" s="94">
        <f>IF($B27="","",IF($C27="?","ticker? not in any index",IF(COUNTIF($B$12:$B$71,$B27)&gt;1,"DUP - rows add up",IF((ISNUMBER($E27)*ISNUMBER($D27)*($E27&gt;$D27)+ISNUMBER($F27)*ISNUMBER($D27)*($F27&lt;$D27)+ISNUMBER($E27)*ISNUMBER($F27)*($E27&gt;$F27))&gt;0,"low/high crossed",""))))</f>
        <v/>
      </c>
    </row>
    <row r="28">
      <c r="B28" s="4" t="n"/>
      <c r="C28" s="22">
        <f>IF($B28="","",IFERROR(INDEX(HSI!$D$7:$D$106,MATCH($B28,HSI!$C$7:$C$106,0)),IFERROR(INDEX(HSTECH!$D$7:$D$46,MATCH($B28,HSTECH!$C$7:$C$46,0)),IFERROR(INDEX(HSCEI!$D$7:$D$66,MATCH($B28,HSCEI!$C$7:$C$66,0)),"?"))))</f>
        <v/>
      </c>
      <c r="D28" s="154" t="n"/>
      <c r="E28" s="154" t="n"/>
      <c r="F28" s="154" t="n"/>
      <c r="G28" s="4" t="n"/>
      <c r="H28" s="123">
        <f>IF($B28="","",IFERROR(INDEX(HSI!$K$7:$K$106,MATCH($B28,HSI!$C$7:$C$106,0)),IFERROR(INDEX(HSTECH!$K$7:$K$46,MATCH($B28,HSTECH!$C$7:$C$46,0)),IFERROR(INDEX(HSCEI!$K$7:$K$66,MATCH($B28,HSCEI!$C$7:$C$66,0)),"?"))))</f>
        <v/>
      </c>
      <c r="I28" s="94">
        <f>IF($B28="","",IF($C28="?","ticker? not in any index",IF(COUNTIF($B$12:$B$71,$B28)&gt;1,"DUP - rows add up",IF((ISNUMBER($E28)*ISNUMBER($D28)*($E28&gt;$D28)+ISNUMBER($F28)*ISNUMBER($D28)*($F28&lt;$D28)+ISNUMBER($E28)*ISNUMBER($F28)*($E28&gt;$F28))&gt;0,"low/high crossed",""))))</f>
        <v/>
      </c>
    </row>
    <row r="29">
      <c r="B29" s="4" t="n"/>
      <c r="C29" s="22">
        <f>IF($B29="","",IFERROR(INDEX(HSI!$D$7:$D$106,MATCH($B29,HSI!$C$7:$C$106,0)),IFERROR(INDEX(HSTECH!$D$7:$D$46,MATCH($B29,HSTECH!$C$7:$C$46,0)),IFERROR(INDEX(HSCEI!$D$7:$D$66,MATCH($B29,HSCEI!$C$7:$C$66,0)),"?"))))</f>
        <v/>
      </c>
      <c r="D29" s="154" t="n"/>
      <c r="E29" s="154" t="n"/>
      <c r="F29" s="154" t="n"/>
      <c r="G29" s="4" t="n"/>
      <c r="H29" s="123">
        <f>IF($B29="","",IFERROR(INDEX(HSI!$K$7:$K$106,MATCH($B29,HSI!$C$7:$C$106,0)),IFERROR(INDEX(HSTECH!$K$7:$K$46,MATCH($B29,HSTECH!$C$7:$C$46,0)),IFERROR(INDEX(HSCEI!$K$7:$K$66,MATCH($B29,HSCEI!$C$7:$C$66,0)),"?"))))</f>
        <v/>
      </c>
      <c r="I29" s="94">
        <f>IF($B29="","",IF($C29="?","ticker? not in any index",IF(COUNTIF($B$12:$B$71,$B29)&gt;1,"DUP - rows add up",IF((ISNUMBER($E29)*ISNUMBER($D29)*($E29&gt;$D29)+ISNUMBER($F29)*ISNUMBER($D29)*($F29&lt;$D29)+ISNUMBER($E29)*ISNUMBER($F29)*($E29&gt;$F29))&gt;0,"low/high crossed",""))))</f>
        <v/>
      </c>
    </row>
    <row r="30">
      <c r="B30" s="4" t="n"/>
      <c r="C30" s="22">
        <f>IF($B30="","",IFERROR(INDEX(HSI!$D$7:$D$106,MATCH($B30,HSI!$C$7:$C$106,0)),IFERROR(INDEX(HSTECH!$D$7:$D$46,MATCH($B30,HSTECH!$C$7:$C$46,0)),IFERROR(INDEX(HSCEI!$D$7:$D$66,MATCH($B30,HSCEI!$C$7:$C$66,0)),"?"))))</f>
        <v/>
      </c>
      <c r="D30" s="154" t="n"/>
      <c r="E30" s="154" t="n"/>
      <c r="F30" s="154" t="n"/>
      <c r="G30" s="4" t="n"/>
      <c r="H30" s="123">
        <f>IF($B30="","",IFERROR(INDEX(HSI!$K$7:$K$106,MATCH($B30,HSI!$C$7:$C$106,0)),IFERROR(INDEX(HSTECH!$K$7:$K$46,MATCH($B30,HSTECH!$C$7:$C$46,0)),IFERROR(INDEX(HSCEI!$K$7:$K$66,MATCH($B30,HSCEI!$C$7:$C$66,0)),"?"))))</f>
        <v/>
      </c>
      <c r="I30" s="94">
        <f>IF($B30="","",IF($C30="?","ticker? not in any index",IF(COUNTIF($B$12:$B$71,$B30)&gt;1,"DUP - rows add up",IF((ISNUMBER($E30)*ISNUMBER($D30)*($E30&gt;$D30)+ISNUMBER($F30)*ISNUMBER($D30)*($F30&lt;$D30)+ISNUMBER($E30)*ISNUMBER($F30)*($E30&gt;$F30))&gt;0,"low/high crossed",""))))</f>
        <v/>
      </c>
    </row>
    <row r="31">
      <c r="B31" s="4" t="n"/>
      <c r="C31" s="22">
        <f>IF($B31="","",IFERROR(INDEX(HSI!$D$7:$D$106,MATCH($B31,HSI!$C$7:$C$106,0)),IFERROR(INDEX(HSTECH!$D$7:$D$46,MATCH($B31,HSTECH!$C$7:$C$46,0)),IFERROR(INDEX(HSCEI!$D$7:$D$66,MATCH($B31,HSCEI!$C$7:$C$66,0)),"?"))))</f>
        <v/>
      </c>
      <c r="D31" s="154" t="n"/>
      <c r="E31" s="154" t="n"/>
      <c r="F31" s="154" t="n"/>
      <c r="G31" s="4" t="n"/>
      <c r="H31" s="123">
        <f>IF($B31="","",IFERROR(INDEX(HSI!$K$7:$K$106,MATCH($B31,HSI!$C$7:$C$106,0)),IFERROR(INDEX(HSTECH!$K$7:$K$46,MATCH($B31,HSTECH!$C$7:$C$46,0)),IFERROR(INDEX(HSCEI!$K$7:$K$66,MATCH($B31,HSCEI!$C$7:$C$66,0)),"?"))))</f>
        <v/>
      </c>
      <c r="I31" s="94">
        <f>IF($B31="","",IF($C31="?","ticker? not in any index",IF(COUNTIF($B$12:$B$71,$B31)&gt;1,"DUP - rows add up",IF((ISNUMBER($E31)*ISNUMBER($D31)*($E31&gt;$D31)+ISNUMBER($F31)*ISNUMBER($D31)*($F31&lt;$D31)+ISNUMBER($E31)*ISNUMBER($F31)*($E31&gt;$F31))&gt;0,"low/high crossed",""))))</f>
        <v/>
      </c>
    </row>
    <row r="32">
      <c r="B32" s="4" t="n"/>
      <c r="C32" s="22">
        <f>IF($B32="","",IFERROR(INDEX(HSI!$D$7:$D$106,MATCH($B32,HSI!$C$7:$C$106,0)),IFERROR(INDEX(HSTECH!$D$7:$D$46,MATCH($B32,HSTECH!$C$7:$C$46,0)),IFERROR(INDEX(HSCEI!$D$7:$D$66,MATCH($B32,HSCEI!$C$7:$C$66,0)),"?"))))</f>
        <v/>
      </c>
      <c r="D32" s="154" t="n"/>
      <c r="E32" s="154" t="n"/>
      <c r="F32" s="154" t="n"/>
      <c r="G32" s="4" t="n"/>
      <c r="H32" s="123">
        <f>IF($B32="","",IFERROR(INDEX(HSI!$K$7:$K$106,MATCH($B32,HSI!$C$7:$C$106,0)),IFERROR(INDEX(HSTECH!$K$7:$K$46,MATCH($B32,HSTECH!$C$7:$C$46,0)),IFERROR(INDEX(HSCEI!$K$7:$K$66,MATCH($B32,HSCEI!$C$7:$C$66,0)),"?"))))</f>
        <v/>
      </c>
      <c r="I32" s="94">
        <f>IF($B32="","",IF($C32="?","ticker? not in any index",IF(COUNTIF($B$12:$B$71,$B32)&gt;1,"DUP - rows add up",IF((ISNUMBER($E32)*ISNUMBER($D32)*($E32&gt;$D32)+ISNUMBER($F32)*ISNUMBER($D32)*($F32&lt;$D32)+ISNUMBER($E32)*ISNUMBER($F32)*($E32&gt;$F32))&gt;0,"low/high crossed",""))))</f>
        <v/>
      </c>
    </row>
    <row r="33">
      <c r="B33" s="4" t="n"/>
      <c r="C33" s="22">
        <f>IF($B33="","",IFERROR(INDEX(HSI!$D$7:$D$106,MATCH($B33,HSI!$C$7:$C$106,0)),IFERROR(INDEX(HSTECH!$D$7:$D$46,MATCH($B33,HSTECH!$C$7:$C$46,0)),IFERROR(INDEX(HSCEI!$D$7:$D$66,MATCH($B33,HSCEI!$C$7:$C$66,0)),"?"))))</f>
        <v/>
      </c>
      <c r="D33" s="154" t="n"/>
      <c r="E33" s="154" t="n"/>
      <c r="F33" s="154" t="n"/>
      <c r="G33" s="4" t="n"/>
      <c r="H33" s="123">
        <f>IF($B33="","",IFERROR(INDEX(HSI!$K$7:$K$106,MATCH($B33,HSI!$C$7:$C$106,0)),IFERROR(INDEX(HSTECH!$K$7:$K$46,MATCH($B33,HSTECH!$C$7:$C$46,0)),IFERROR(INDEX(HSCEI!$K$7:$K$66,MATCH($B33,HSCEI!$C$7:$C$66,0)),"?"))))</f>
        <v/>
      </c>
      <c r="I33" s="94">
        <f>IF($B33="","",IF($C33="?","ticker? not in any index",IF(COUNTIF($B$12:$B$71,$B33)&gt;1,"DUP - rows add up",IF((ISNUMBER($E33)*ISNUMBER($D33)*($E33&gt;$D33)+ISNUMBER($F33)*ISNUMBER($D33)*($F33&lt;$D33)+ISNUMBER($E33)*ISNUMBER($F33)*($E33&gt;$F33))&gt;0,"low/high crossed",""))))</f>
        <v/>
      </c>
    </row>
    <row r="34">
      <c r="B34" s="4" t="n"/>
      <c r="C34" s="22">
        <f>IF($B34="","",IFERROR(INDEX(HSI!$D$7:$D$106,MATCH($B34,HSI!$C$7:$C$106,0)),IFERROR(INDEX(HSTECH!$D$7:$D$46,MATCH($B34,HSTECH!$C$7:$C$46,0)),IFERROR(INDEX(HSCEI!$D$7:$D$66,MATCH($B34,HSCEI!$C$7:$C$66,0)),"?"))))</f>
        <v/>
      </c>
      <c r="D34" s="154" t="n"/>
      <c r="E34" s="154" t="n"/>
      <c r="F34" s="154" t="n"/>
      <c r="G34" s="4" t="n"/>
      <c r="H34" s="123">
        <f>IF($B34="","",IFERROR(INDEX(HSI!$K$7:$K$106,MATCH($B34,HSI!$C$7:$C$106,0)),IFERROR(INDEX(HSTECH!$K$7:$K$46,MATCH($B34,HSTECH!$C$7:$C$46,0)),IFERROR(INDEX(HSCEI!$K$7:$K$66,MATCH($B34,HSCEI!$C$7:$C$66,0)),"?"))))</f>
        <v/>
      </c>
      <c r="I34" s="94">
        <f>IF($B34="","",IF($C34="?","ticker? not in any index",IF(COUNTIF($B$12:$B$71,$B34)&gt;1,"DUP - rows add up",IF((ISNUMBER($E34)*ISNUMBER($D34)*($E34&gt;$D34)+ISNUMBER($F34)*ISNUMBER($D34)*($F34&lt;$D34)+ISNUMBER($E34)*ISNUMBER($F34)*($E34&gt;$F34))&gt;0,"low/high crossed",""))))</f>
        <v/>
      </c>
    </row>
    <row r="35">
      <c r="B35" s="4" t="n"/>
      <c r="C35" s="22">
        <f>IF($B35="","",IFERROR(INDEX(HSI!$D$7:$D$106,MATCH($B35,HSI!$C$7:$C$106,0)),IFERROR(INDEX(HSTECH!$D$7:$D$46,MATCH($B35,HSTECH!$C$7:$C$46,0)),IFERROR(INDEX(HSCEI!$D$7:$D$66,MATCH($B35,HSCEI!$C$7:$C$66,0)),"?"))))</f>
        <v/>
      </c>
      <c r="D35" s="154" t="n"/>
      <c r="E35" s="154" t="n"/>
      <c r="F35" s="154" t="n"/>
      <c r="G35" s="4" t="n"/>
      <c r="H35" s="123">
        <f>IF($B35="","",IFERROR(INDEX(HSI!$K$7:$K$106,MATCH($B35,HSI!$C$7:$C$106,0)),IFERROR(INDEX(HSTECH!$K$7:$K$46,MATCH($B35,HSTECH!$C$7:$C$46,0)),IFERROR(INDEX(HSCEI!$K$7:$K$66,MATCH($B35,HSCEI!$C$7:$C$66,0)),"?"))))</f>
        <v/>
      </c>
      <c r="I35" s="94">
        <f>IF($B35="","",IF($C35="?","ticker? not in any index",IF(COUNTIF($B$12:$B$71,$B35)&gt;1,"DUP - rows add up",IF((ISNUMBER($E35)*ISNUMBER($D35)*($E35&gt;$D35)+ISNUMBER($F35)*ISNUMBER($D35)*($F35&lt;$D35)+ISNUMBER($E35)*ISNUMBER($F35)*($E35&gt;$F35))&gt;0,"low/high crossed",""))))</f>
        <v/>
      </c>
    </row>
    <row r="36">
      <c r="B36" s="4" t="n"/>
      <c r="C36" s="22">
        <f>IF($B36="","",IFERROR(INDEX(HSI!$D$7:$D$106,MATCH($B36,HSI!$C$7:$C$106,0)),IFERROR(INDEX(HSTECH!$D$7:$D$46,MATCH($B36,HSTECH!$C$7:$C$46,0)),IFERROR(INDEX(HSCEI!$D$7:$D$66,MATCH($B36,HSCEI!$C$7:$C$66,0)),"?"))))</f>
        <v/>
      </c>
      <c r="D36" s="154" t="n"/>
      <c r="E36" s="154" t="n"/>
      <c r="F36" s="154" t="n"/>
      <c r="G36" s="4" t="n"/>
      <c r="H36" s="123">
        <f>IF($B36="","",IFERROR(INDEX(HSI!$K$7:$K$106,MATCH($B36,HSI!$C$7:$C$106,0)),IFERROR(INDEX(HSTECH!$K$7:$K$46,MATCH($B36,HSTECH!$C$7:$C$46,0)),IFERROR(INDEX(HSCEI!$K$7:$K$66,MATCH($B36,HSCEI!$C$7:$C$66,0)),"?"))))</f>
        <v/>
      </c>
      <c r="I36" s="94">
        <f>IF($B36="","",IF($C36="?","ticker? not in any index",IF(COUNTIF($B$12:$B$71,$B36)&gt;1,"DUP - rows add up",IF((ISNUMBER($E36)*ISNUMBER($D36)*($E36&gt;$D36)+ISNUMBER($F36)*ISNUMBER($D36)*($F36&lt;$D36)+ISNUMBER($E36)*ISNUMBER($F36)*($E36&gt;$F36))&gt;0,"low/high crossed",""))))</f>
        <v/>
      </c>
    </row>
    <row r="37">
      <c r="B37" s="4" t="n"/>
      <c r="C37" s="22">
        <f>IF($B37="","",IFERROR(INDEX(HSI!$D$7:$D$106,MATCH($B37,HSI!$C$7:$C$106,0)),IFERROR(INDEX(HSTECH!$D$7:$D$46,MATCH($B37,HSTECH!$C$7:$C$46,0)),IFERROR(INDEX(HSCEI!$D$7:$D$66,MATCH($B37,HSCEI!$C$7:$C$66,0)),"?"))))</f>
        <v/>
      </c>
      <c r="D37" s="154" t="n"/>
      <c r="E37" s="154" t="n"/>
      <c r="F37" s="154" t="n"/>
      <c r="G37" s="4" t="n"/>
      <c r="H37" s="123">
        <f>IF($B37="","",IFERROR(INDEX(HSI!$K$7:$K$106,MATCH($B37,HSI!$C$7:$C$106,0)),IFERROR(INDEX(HSTECH!$K$7:$K$46,MATCH($B37,HSTECH!$C$7:$C$46,0)),IFERROR(INDEX(HSCEI!$K$7:$K$66,MATCH($B37,HSCEI!$C$7:$C$66,0)),"?"))))</f>
        <v/>
      </c>
      <c r="I37" s="94">
        <f>IF($B37="","",IF($C37="?","ticker? not in any index",IF(COUNTIF($B$12:$B$71,$B37)&gt;1,"DUP - rows add up",IF((ISNUMBER($E37)*ISNUMBER($D37)*($E37&gt;$D37)+ISNUMBER($F37)*ISNUMBER($D37)*($F37&lt;$D37)+ISNUMBER($E37)*ISNUMBER($F37)*($E37&gt;$F37))&gt;0,"low/high crossed",""))))</f>
        <v/>
      </c>
    </row>
    <row r="38">
      <c r="B38" s="4" t="n"/>
      <c r="C38" s="22">
        <f>IF($B38="","",IFERROR(INDEX(HSI!$D$7:$D$106,MATCH($B38,HSI!$C$7:$C$106,0)),IFERROR(INDEX(HSTECH!$D$7:$D$46,MATCH($B38,HSTECH!$C$7:$C$46,0)),IFERROR(INDEX(HSCEI!$D$7:$D$66,MATCH($B38,HSCEI!$C$7:$C$66,0)),"?"))))</f>
        <v/>
      </c>
      <c r="D38" s="154" t="n"/>
      <c r="E38" s="154" t="n"/>
      <c r="F38" s="154" t="n"/>
      <c r="G38" s="4" t="n"/>
      <c r="H38" s="123">
        <f>IF($B38="","",IFERROR(INDEX(HSI!$K$7:$K$106,MATCH($B38,HSI!$C$7:$C$106,0)),IFERROR(INDEX(HSTECH!$K$7:$K$46,MATCH($B38,HSTECH!$C$7:$C$46,0)),IFERROR(INDEX(HSCEI!$K$7:$K$66,MATCH($B38,HSCEI!$C$7:$C$66,0)),"?"))))</f>
        <v/>
      </c>
      <c r="I38" s="94">
        <f>IF($B38="","",IF($C38="?","ticker? not in any index",IF(COUNTIF($B$12:$B$71,$B38)&gt;1,"DUP - rows add up",IF((ISNUMBER($E38)*ISNUMBER($D38)*($E38&gt;$D38)+ISNUMBER($F38)*ISNUMBER($D38)*($F38&lt;$D38)+ISNUMBER($E38)*ISNUMBER($F38)*($E38&gt;$F38))&gt;0,"low/high crossed",""))))</f>
        <v/>
      </c>
    </row>
    <row r="39">
      <c r="B39" s="4" t="n"/>
      <c r="C39" s="22">
        <f>IF($B39="","",IFERROR(INDEX(HSI!$D$7:$D$106,MATCH($B39,HSI!$C$7:$C$106,0)),IFERROR(INDEX(HSTECH!$D$7:$D$46,MATCH($B39,HSTECH!$C$7:$C$46,0)),IFERROR(INDEX(HSCEI!$D$7:$D$66,MATCH($B39,HSCEI!$C$7:$C$66,0)),"?"))))</f>
        <v/>
      </c>
      <c r="D39" s="154" t="n"/>
      <c r="E39" s="154" t="n"/>
      <c r="F39" s="154" t="n"/>
      <c r="G39" s="4" t="n"/>
      <c r="H39" s="123">
        <f>IF($B39="","",IFERROR(INDEX(HSI!$K$7:$K$106,MATCH($B39,HSI!$C$7:$C$106,0)),IFERROR(INDEX(HSTECH!$K$7:$K$46,MATCH($B39,HSTECH!$C$7:$C$46,0)),IFERROR(INDEX(HSCEI!$K$7:$K$66,MATCH($B39,HSCEI!$C$7:$C$66,0)),"?"))))</f>
        <v/>
      </c>
      <c r="I39" s="94">
        <f>IF($B39="","",IF($C39="?","ticker? not in any index",IF(COUNTIF($B$12:$B$71,$B39)&gt;1,"DUP - rows add up",IF((ISNUMBER($E39)*ISNUMBER($D39)*($E39&gt;$D39)+ISNUMBER($F39)*ISNUMBER($D39)*($F39&lt;$D39)+ISNUMBER($E39)*ISNUMBER($F39)*($E39&gt;$F39))&gt;0,"low/high crossed",""))))</f>
        <v/>
      </c>
    </row>
    <row r="40">
      <c r="B40" s="4" t="n"/>
      <c r="C40" s="22">
        <f>IF($B40="","",IFERROR(INDEX(HSI!$D$7:$D$106,MATCH($B40,HSI!$C$7:$C$106,0)),IFERROR(INDEX(HSTECH!$D$7:$D$46,MATCH($B40,HSTECH!$C$7:$C$46,0)),IFERROR(INDEX(HSCEI!$D$7:$D$66,MATCH($B40,HSCEI!$C$7:$C$66,0)),"?"))))</f>
        <v/>
      </c>
      <c r="D40" s="154" t="n"/>
      <c r="E40" s="154" t="n"/>
      <c r="F40" s="154" t="n"/>
      <c r="G40" s="4" t="n"/>
      <c r="H40" s="123">
        <f>IF($B40="","",IFERROR(INDEX(HSI!$K$7:$K$106,MATCH($B40,HSI!$C$7:$C$106,0)),IFERROR(INDEX(HSTECH!$K$7:$K$46,MATCH($B40,HSTECH!$C$7:$C$46,0)),IFERROR(INDEX(HSCEI!$K$7:$K$66,MATCH($B40,HSCEI!$C$7:$C$66,0)),"?"))))</f>
        <v/>
      </c>
      <c r="I40" s="94">
        <f>IF($B40="","",IF($C40="?","ticker? not in any index",IF(COUNTIF($B$12:$B$71,$B40)&gt;1,"DUP - rows add up",IF((ISNUMBER($E40)*ISNUMBER($D40)*($E40&gt;$D40)+ISNUMBER($F40)*ISNUMBER($D40)*($F40&lt;$D40)+ISNUMBER($E40)*ISNUMBER($F40)*($E40&gt;$F40))&gt;0,"low/high crossed",""))))</f>
        <v/>
      </c>
    </row>
    <row r="41">
      <c r="B41" s="4" t="n"/>
      <c r="C41" s="22">
        <f>IF($B41="","",IFERROR(INDEX(HSI!$D$7:$D$106,MATCH($B41,HSI!$C$7:$C$106,0)),IFERROR(INDEX(HSTECH!$D$7:$D$46,MATCH($B41,HSTECH!$C$7:$C$46,0)),IFERROR(INDEX(HSCEI!$D$7:$D$66,MATCH($B41,HSCEI!$C$7:$C$66,0)),"?"))))</f>
        <v/>
      </c>
      <c r="D41" s="154" t="n"/>
      <c r="E41" s="154" t="n"/>
      <c r="F41" s="154" t="n"/>
      <c r="G41" s="4" t="n"/>
      <c r="H41" s="123">
        <f>IF($B41="","",IFERROR(INDEX(HSI!$K$7:$K$106,MATCH($B41,HSI!$C$7:$C$106,0)),IFERROR(INDEX(HSTECH!$K$7:$K$46,MATCH($B41,HSTECH!$C$7:$C$46,0)),IFERROR(INDEX(HSCEI!$K$7:$K$66,MATCH($B41,HSCEI!$C$7:$C$66,0)),"?"))))</f>
        <v/>
      </c>
      <c r="I41" s="94">
        <f>IF($B41="","",IF($C41="?","ticker? not in any index",IF(COUNTIF($B$12:$B$71,$B41)&gt;1,"DUP - rows add up",IF((ISNUMBER($E41)*ISNUMBER($D41)*($E41&gt;$D41)+ISNUMBER($F41)*ISNUMBER($D41)*($F41&lt;$D41)+ISNUMBER($E41)*ISNUMBER($F41)*($E41&gt;$F41))&gt;0,"low/high crossed",""))))</f>
        <v/>
      </c>
    </row>
    <row r="42">
      <c r="B42" s="4" t="n"/>
      <c r="C42" s="22">
        <f>IF($B42="","",IFERROR(INDEX(HSI!$D$7:$D$106,MATCH($B42,HSI!$C$7:$C$106,0)),IFERROR(INDEX(HSTECH!$D$7:$D$46,MATCH($B42,HSTECH!$C$7:$C$46,0)),IFERROR(INDEX(HSCEI!$D$7:$D$66,MATCH($B42,HSCEI!$C$7:$C$66,0)),"?"))))</f>
        <v/>
      </c>
      <c r="D42" s="154" t="n"/>
      <c r="E42" s="154" t="n"/>
      <c r="F42" s="154" t="n"/>
      <c r="G42" s="4" t="n"/>
      <c r="H42" s="123">
        <f>IF($B42="","",IFERROR(INDEX(HSI!$K$7:$K$106,MATCH($B42,HSI!$C$7:$C$106,0)),IFERROR(INDEX(HSTECH!$K$7:$K$46,MATCH($B42,HSTECH!$C$7:$C$46,0)),IFERROR(INDEX(HSCEI!$K$7:$K$66,MATCH($B42,HSCEI!$C$7:$C$66,0)),"?"))))</f>
        <v/>
      </c>
      <c r="I42" s="94">
        <f>IF($B42="","",IF($C42="?","ticker? not in any index",IF(COUNTIF($B$12:$B$71,$B42)&gt;1,"DUP - rows add up",IF((ISNUMBER($E42)*ISNUMBER($D42)*($E42&gt;$D42)+ISNUMBER($F42)*ISNUMBER($D42)*($F42&lt;$D42)+ISNUMBER($E42)*ISNUMBER($F42)*($E42&gt;$F42))&gt;0,"low/high crossed",""))))</f>
        <v/>
      </c>
    </row>
    <row r="43">
      <c r="B43" s="4" t="n"/>
      <c r="C43" s="22">
        <f>IF($B43="","",IFERROR(INDEX(HSI!$D$7:$D$106,MATCH($B43,HSI!$C$7:$C$106,0)),IFERROR(INDEX(HSTECH!$D$7:$D$46,MATCH($B43,HSTECH!$C$7:$C$46,0)),IFERROR(INDEX(HSCEI!$D$7:$D$66,MATCH($B43,HSCEI!$C$7:$C$66,0)),"?"))))</f>
        <v/>
      </c>
      <c r="D43" s="154" t="n"/>
      <c r="E43" s="154" t="n"/>
      <c r="F43" s="154" t="n"/>
      <c r="G43" s="4" t="n"/>
      <c r="H43" s="123">
        <f>IF($B43="","",IFERROR(INDEX(HSI!$K$7:$K$106,MATCH($B43,HSI!$C$7:$C$106,0)),IFERROR(INDEX(HSTECH!$K$7:$K$46,MATCH($B43,HSTECH!$C$7:$C$46,0)),IFERROR(INDEX(HSCEI!$K$7:$K$66,MATCH($B43,HSCEI!$C$7:$C$66,0)),"?"))))</f>
        <v/>
      </c>
      <c r="I43" s="94">
        <f>IF($B43="","",IF($C43="?","ticker? not in any index",IF(COUNTIF($B$12:$B$71,$B43)&gt;1,"DUP - rows add up",IF((ISNUMBER($E43)*ISNUMBER($D43)*($E43&gt;$D43)+ISNUMBER($F43)*ISNUMBER($D43)*($F43&lt;$D43)+ISNUMBER($E43)*ISNUMBER($F43)*($E43&gt;$F43))&gt;0,"low/high crossed",""))))</f>
        <v/>
      </c>
    </row>
    <row r="44">
      <c r="B44" s="4" t="n"/>
      <c r="C44" s="22">
        <f>IF($B44="","",IFERROR(INDEX(HSI!$D$7:$D$106,MATCH($B44,HSI!$C$7:$C$106,0)),IFERROR(INDEX(HSTECH!$D$7:$D$46,MATCH($B44,HSTECH!$C$7:$C$46,0)),IFERROR(INDEX(HSCEI!$D$7:$D$66,MATCH($B44,HSCEI!$C$7:$C$66,0)),"?"))))</f>
        <v/>
      </c>
      <c r="D44" s="154" t="n"/>
      <c r="E44" s="154" t="n"/>
      <c r="F44" s="154" t="n"/>
      <c r="G44" s="4" t="n"/>
      <c r="H44" s="123">
        <f>IF($B44="","",IFERROR(INDEX(HSI!$K$7:$K$106,MATCH($B44,HSI!$C$7:$C$106,0)),IFERROR(INDEX(HSTECH!$K$7:$K$46,MATCH($B44,HSTECH!$C$7:$C$46,0)),IFERROR(INDEX(HSCEI!$K$7:$K$66,MATCH($B44,HSCEI!$C$7:$C$66,0)),"?"))))</f>
        <v/>
      </c>
      <c r="I44" s="94">
        <f>IF($B44="","",IF($C44="?","ticker? not in any index",IF(COUNTIF($B$12:$B$71,$B44)&gt;1,"DUP - rows add up",IF((ISNUMBER($E44)*ISNUMBER($D44)*($E44&gt;$D44)+ISNUMBER($F44)*ISNUMBER($D44)*($F44&lt;$D44)+ISNUMBER($E44)*ISNUMBER($F44)*($E44&gt;$F44))&gt;0,"low/high crossed",""))))</f>
        <v/>
      </c>
    </row>
    <row r="45">
      <c r="B45" s="4" t="n"/>
      <c r="C45" s="22">
        <f>IF($B45="","",IFERROR(INDEX(HSI!$D$7:$D$106,MATCH($B45,HSI!$C$7:$C$106,0)),IFERROR(INDEX(HSTECH!$D$7:$D$46,MATCH($B45,HSTECH!$C$7:$C$46,0)),IFERROR(INDEX(HSCEI!$D$7:$D$66,MATCH($B45,HSCEI!$C$7:$C$66,0)),"?"))))</f>
        <v/>
      </c>
      <c r="D45" s="154" t="n"/>
      <c r="E45" s="154" t="n"/>
      <c r="F45" s="154" t="n"/>
      <c r="G45" s="4" t="n"/>
      <c r="H45" s="123">
        <f>IF($B45="","",IFERROR(INDEX(HSI!$K$7:$K$106,MATCH($B45,HSI!$C$7:$C$106,0)),IFERROR(INDEX(HSTECH!$K$7:$K$46,MATCH($B45,HSTECH!$C$7:$C$46,0)),IFERROR(INDEX(HSCEI!$K$7:$K$66,MATCH($B45,HSCEI!$C$7:$C$66,0)),"?"))))</f>
        <v/>
      </c>
      <c r="I45" s="94">
        <f>IF($B45="","",IF($C45="?","ticker? not in any index",IF(COUNTIF($B$12:$B$71,$B45)&gt;1,"DUP - rows add up",IF((ISNUMBER($E45)*ISNUMBER($D45)*($E45&gt;$D45)+ISNUMBER($F45)*ISNUMBER($D45)*($F45&lt;$D45)+ISNUMBER($E45)*ISNUMBER($F45)*($E45&gt;$F45))&gt;0,"low/high crossed",""))))</f>
        <v/>
      </c>
    </row>
    <row r="46">
      <c r="B46" s="4" t="n"/>
      <c r="C46" s="22">
        <f>IF($B46="","",IFERROR(INDEX(HSI!$D$7:$D$106,MATCH($B46,HSI!$C$7:$C$106,0)),IFERROR(INDEX(HSTECH!$D$7:$D$46,MATCH($B46,HSTECH!$C$7:$C$46,0)),IFERROR(INDEX(HSCEI!$D$7:$D$66,MATCH($B46,HSCEI!$C$7:$C$66,0)),"?"))))</f>
        <v/>
      </c>
      <c r="D46" s="154" t="n"/>
      <c r="E46" s="154" t="n"/>
      <c r="F46" s="154" t="n"/>
      <c r="G46" s="4" t="n"/>
      <c r="H46" s="123">
        <f>IF($B46="","",IFERROR(INDEX(HSI!$K$7:$K$106,MATCH($B46,HSI!$C$7:$C$106,0)),IFERROR(INDEX(HSTECH!$K$7:$K$46,MATCH($B46,HSTECH!$C$7:$C$46,0)),IFERROR(INDEX(HSCEI!$K$7:$K$66,MATCH($B46,HSCEI!$C$7:$C$66,0)),"?"))))</f>
        <v/>
      </c>
      <c r="I46" s="94">
        <f>IF($B46="","",IF($C46="?","ticker? not in any index",IF(COUNTIF($B$12:$B$71,$B46)&gt;1,"DUP - rows add up",IF((ISNUMBER($E46)*ISNUMBER($D46)*($E46&gt;$D46)+ISNUMBER($F46)*ISNUMBER($D46)*($F46&lt;$D46)+ISNUMBER($E46)*ISNUMBER($F46)*($E46&gt;$F46))&gt;0,"low/high crossed",""))))</f>
        <v/>
      </c>
    </row>
    <row r="47">
      <c r="B47" s="4" t="n"/>
      <c r="C47" s="22">
        <f>IF($B47="","",IFERROR(INDEX(HSI!$D$7:$D$106,MATCH($B47,HSI!$C$7:$C$106,0)),IFERROR(INDEX(HSTECH!$D$7:$D$46,MATCH($B47,HSTECH!$C$7:$C$46,0)),IFERROR(INDEX(HSCEI!$D$7:$D$66,MATCH($B47,HSCEI!$C$7:$C$66,0)),"?"))))</f>
        <v/>
      </c>
      <c r="D47" s="154" t="n"/>
      <c r="E47" s="154" t="n"/>
      <c r="F47" s="154" t="n"/>
      <c r="G47" s="4" t="n"/>
      <c r="H47" s="123">
        <f>IF($B47="","",IFERROR(INDEX(HSI!$K$7:$K$106,MATCH($B47,HSI!$C$7:$C$106,0)),IFERROR(INDEX(HSTECH!$K$7:$K$46,MATCH($B47,HSTECH!$C$7:$C$46,0)),IFERROR(INDEX(HSCEI!$K$7:$K$66,MATCH($B47,HSCEI!$C$7:$C$66,0)),"?"))))</f>
        <v/>
      </c>
      <c r="I47" s="94">
        <f>IF($B47="","",IF($C47="?","ticker? not in any index",IF(COUNTIF($B$12:$B$71,$B47)&gt;1,"DUP - rows add up",IF((ISNUMBER($E47)*ISNUMBER($D47)*($E47&gt;$D47)+ISNUMBER($F47)*ISNUMBER($D47)*($F47&lt;$D47)+ISNUMBER($E47)*ISNUMBER($F47)*($E47&gt;$F47))&gt;0,"low/high crossed",""))))</f>
        <v/>
      </c>
    </row>
    <row r="48">
      <c r="B48" s="4" t="n"/>
      <c r="C48" s="22">
        <f>IF($B48="","",IFERROR(INDEX(HSI!$D$7:$D$106,MATCH($B48,HSI!$C$7:$C$106,0)),IFERROR(INDEX(HSTECH!$D$7:$D$46,MATCH($B48,HSTECH!$C$7:$C$46,0)),IFERROR(INDEX(HSCEI!$D$7:$D$66,MATCH($B48,HSCEI!$C$7:$C$66,0)),"?"))))</f>
        <v/>
      </c>
      <c r="D48" s="154" t="n"/>
      <c r="E48" s="154" t="n"/>
      <c r="F48" s="154" t="n"/>
      <c r="G48" s="4" t="n"/>
      <c r="H48" s="123">
        <f>IF($B48="","",IFERROR(INDEX(HSI!$K$7:$K$106,MATCH($B48,HSI!$C$7:$C$106,0)),IFERROR(INDEX(HSTECH!$K$7:$K$46,MATCH($B48,HSTECH!$C$7:$C$46,0)),IFERROR(INDEX(HSCEI!$K$7:$K$66,MATCH($B48,HSCEI!$C$7:$C$66,0)),"?"))))</f>
        <v/>
      </c>
      <c r="I48" s="94">
        <f>IF($B48="","",IF($C48="?","ticker? not in any index",IF(COUNTIF($B$12:$B$71,$B48)&gt;1,"DUP - rows add up",IF((ISNUMBER($E48)*ISNUMBER($D48)*($E48&gt;$D48)+ISNUMBER($F48)*ISNUMBER($D48)*($F48&lt;$D48)+ISNUMBER($E48)*ISNUMBER($F48)*($E48&gt;$F48))&gt;0,"low/high crossed",""))))</f>
        <v/>
      </c>
    </row>
    <row r="49">
      <c r="B49" s="4" t="n"/>
      <c r="C49" s="22">
        <f>IF($B49="","",IFERROR(INDEX(HSI!$D$7:$D$106,MATCH($B49,HSI!$C$7:$C$106,0)),IFERROR(INDEX(HSTECH!$D$7:$D$46,MATCH($B49,HSTECH!$C$7:$C$46,0)),IFERROR(INDEX(HSCEI!$D$7:$D$66,MATCH($B49,HSCEI!$C$7:$C$66,0)),"?"))))</f>
        <v/>
      </c>
      <c r="D49" s="154" t="n"/>
      <c r="E49" s="154" t="n"/>
      <c r="F49" s="154" t="n"/>
      <c r="G49" s="4" t="n"/>
      <c r="H49" s="123">
        <f>IF($B49="","",IFERROR(INDEX(HSI!$K$7:$K$106,MATCH($B49,HSI!$C$7:$C$106,0)),IFERROR(INDEX(HSTECH!$K$7:$K$46,MATCH($B49,HSTECH!$C$7:$C$46,0)),IFERROR(INDEX(HSCEI!$K$7:$K$66,MATCH($B49,HSCEI!$C$7:$C$66,0)),"?"))))</f>
        <v/>
      </c>
      <c r="I49" s="94">
        <f>IF($B49="","",IF($C49="?","ticker? not in any index",IF(COUNTIF($B$12:$B$71,$B49)&gt;1,"DUP - rows add up",IF((ISNUMBER($E49)*ISNUMBER($D49)*($E49&gt;$D49)+ISNUMBER($F49)*ISNUMBER($D49)*($F49&lt;$D49)+ISNUMBER($E49)*ISNUMBER($F49)*($E49&gt;$F49))&gt;0,"low/high crossed",""))))</f>
        <v/>
      </c>
    </row>
    <row r="50">
      <c r="B50" s="4" t="n"/>
      <c r="C50" s="22">
        <f>IF($B50="","",IFERROR(INDEX(HSI!$D$7:$D$106,MATCH($B50,HSI!$C$7:$C$106,0)),IFERROR(INDEX(HSTECH!$D$7:$D$46,MATCH($B50,HSTECH!$C$7:$C$46,0)),IFERROR(INDEX(HSCEI!$D$7:$D$66,MATCH($B50,HSCEI!$C$7:$C$66,0)),"?"))))</f>
        <v/>
      </c>
      <c r="D50" s="154" t="n"/>
      <c r="E50" s="154" t="n"/>
      <c r="F50" s="154" t="n"/>
      <c r="G50" s="4" t="n"/>
      <c r="H50" s="123">
        <f>IF($B50="","",IFERROR(INDEX(HSI!$K$7:$K$106,MATCH($B50,HSI!$C$7:$C$106,0)),IFERROR(INDEX(HSTECH!$K$7:$K$46,MATCH($B50,HSTECH!$C$7:$C$46,0)),IFERROR(INDEX(HSCEI!$K$7:$K$66,MATCH($B50,HSCEI!$C$7:$C$66,0)),"?"))))</f>
        <v/>
      </c>
      <c r="I50" s="94">
        <f>IF($B50="","",IF($C50="?","ticker? not in any index",IF(COUNTIF($B$12:$B$71,$B50)&gt;1,"DUP - rows add up",IF((ISNUMBER($E50)*ISNUMBER($D50)*($E50&gt;$D50)+ISNUMBER($F50)*ISNUMBER($D50)*($F50&lt;$D50)+ISNUMBER($E50)*ISNUMBER($F50)*($E50&gt;$F50))&gt;0,"low/high crossed",""))))</f>
        <v/>
      </c>
    </row>
    <row r="51">
      <c r="B51" s="4" t="n"/>
      <c r="C51" s="22">
        <f>IF($B51="","",IFERROR(INDEX(HSI!$D$7:$D$106,MATCH($B51,HSI!$C$7:$C$106,0)),IFERROR(INDEX(HSTECH!$D$7:$D$46,MATCH($B51,HSTECH!$C$7:$C$46,0)),IFERROR(INDEX(HSCEI!$D$7:$D$66,MATCH($B51,HSCEI!$C$7:$C$66,0)),"?"))))</f>
        <v/>
      </c>
      <c r="D51" s="154" t="n"/>
      <c r="E51" s="154" t="n"/>
      <c r="F51" s="154" t="n"/>
      <c r="G51" s="4" t="n"/>
      <c r="H51" s="123">
        <f>IF($B51="","",IFERROR(INDEX(HSI!$K$7:$K$106,MATCH($B51,HSI!$C$7:$C$106,0)),IFERROR(INDEX(HSTECH!$K$7:$K$46,MATCH($B51,HSTECH!$C$7:$C$46,0)),IFERROR(INDEX(HSCEI!$K$7:$K$66,MATCH($B51,HSCEI!$C$7:$C$66,0)),"?"))))</f>
        <v/>
      </c>
      <c r="I51" s="94">
        <f>IF($B51="","",IF($C51="?","ticker? not in any index",IF(COUNTIF($B$12:$B$71,$B51)&gt;1,"DUP - rows add up",IF((ISNUMBER($E51)*ISNUMBER($D51)*($E51&gt;$D51)+ISNUMBER($F51)*ISNUMBER($D51)*($F51&lt;$D51)+ISNUMBER($E51)*ISNUMBER($F51)*($E51&gt;$F51))&gt;0,"low/high crossed",""))))</f>
        <v/>
      </c>
    </row>
    <row r="52">
      <c r="B52" s="4" t="n"/>
      <c r="C52" s="22">
        <f>IF($B52="","",IFERROR(INDEX(HSI!$D$7:$D$106,MATCH($B52,HSI!$C$7:$C$106,0)),IFERROR(INDEX(HSTECH!$D$7:$D$46,MATCH($B52,HSTECH!$C$7:$C$46,0)),IFERROR(INDEX(HSCEI!$D$7:$D$66,MATCH($B52,HSCEI!$C$7:$C$66,0)),"?"))))</f>
        <v/>
      </c>
      <c r="D52" s="154" t="n"/>
      <c r="E52" s="154" t="n"/>
      <c r="F52" s="154" t="n"/>
      <c r="G52" s="4" t="n"/>
      <c r="H52" s="123">
        <f>IF($B52="","",IFERROR(INDEX(HSI!$K$7:$K$106,MATCH($B52,HSI!$C$7:$C$106,0)),IFERROR(INDEX(HSTECH!$K$7:$K$46,MATCH($B52,HSTECH!$C$7:$C$46,0)),IFERROR(INDEX(HSCEI!$K$7:$K$66,MATCH($B52,HSCEI!$C$7:$C$66,0)),"?"))))</f>
        <v/>
      </c>
      <c r="I52" s="94">
        <f>IF($B52="","",IF($C52="?","ticker? not in any index",IF(COUNTIF($B$12:$B$71,$B52)&gt;1,"DUP - rows add up",IF((ISNUMBER($E52)*ISNUMBER($D52)*($E52&gt;$D52)+ISNUMBER($F52)*ISNUMBER($D52)*($F52&lt;$D52)+ISNUMBER($E52)*ISNUMBER($F52)*($E52&gt;$F52))&gt;0,"low/high crossed",""))))</f>
        <v/>
      </c>
    </row>
    <row r="53">
      <c r="B53" s="4" t="n"/>
      <c r="C53" s="22">
        <f>IF($B53="","",IFERROR(INDEX(HSI!$D$7:$D$106,MATCH($B53,HSI!$C$7:$C$106,0)),IFERROR(INDEX(HSTECH!$D$7:$D$46,MATCH($B53,HSTECH!$C$7:$C$46,0)),IFERROR(INDEX(HSCEI!$D$7:$D$66,MATCH($B53,HSCEI!$C$7:$C$66,0)),"?"))))</f>
        <v/>
      </c>
      <c r="D53" s="154" t="n"/>
      <c r="E53" s="154" t="n"/>
      <c r="F53" s="154" t="n"/>
      <c r="G53" s="4" t="n"/>
      <c r="H53" s="123">
        <f>IF($B53="","",IFERROR(INDEX(HSI!$K$7:$K$106,MATCH($B53,HSI!$C$7:$C$106,0)),IFERROR(INDEX(HSTECH!$K$7:$K$46,MATCH($B53,HSTECH!$C$7:$C$46,0)),IFERROR(INDEX(HSCEI!$K$7:$K$66,MATCH($B53,HSCEI!$C$7:$C$66,0)),"?"))))</f>
        <v/>
      </c>
      <c r="I53" s="94">
        <f>IF($B53="","",IF($C53="?","ticker? not in any index",IF(COUNTIF($B$12:$B$71,$B53)&gt;1,"DUP - rows add up",IF((ISNUMBER($E53)*ISNUMBER($D53)*($E53&gt;$D53)+ISNUMBER($F53)*ISNUMBER($D53)*($F53&lt;$D53)+ISNUMBER($E53)*ISNUMBER($F53)*($E53&gt;$F53))&gt;0,"low/high crossed",""))))</f>
        <v/>
      </c>
    </row>
    <row r="54">
      <c r="B54" s="4" t="n"/>
      <c r="C54" s="22">
        <f>IF($B54="","",IFERROR(INDEX(HSI!$D$7:$D$106,MATCH($B54,HSI!$C$7:$C$106,0)),IFERROR(INDEX(HSTECH!$D$7:$D$46,MATCH($B54,HSTECH!$C$7:$C$46,0)),IFERROR(INDEX(HSCEI!$D$7:$D$66,MATCH($B54,HSCEI!$C$7:$C$66,0)),"?"))))</f>
        <v/>
      </c>
      <c r="D54" s="154" t="n"/>
      <c r="E54" s="154" t="n"/>
      <c r="F54" s="154" t="n"/>
      <c r="G54" s="4" t="n"/>
      <c r="H54" s="123">
        <f>IF($B54="","",IFERROR(INDEX(HSI!$K$7:$K$106,MATCH($B54,HSI!$C$7:$C$106,0)),IFERROR(INDEX(HSTECH!$K$7:$K$46,MATCH($B54,HSTECH!$C$7:$C$46,0)),IFERROR(INDEX(HSCEI!$K$7:$K$66,MATCH($B54,HSCEI!$C$7:$C$66,0)),"?"))))</f>
        <v/>
      </c>
      <c r="I54" s="94">
        <f>IF($B54="","",IF($C54="?","ticker? not in any index",IF(COUNTIF($B$12:$B$71,$B54)&gt;1,"DUP - rows add up",IF((ISNUMBER($E54)*ISNUMBER($D54)*($E54&gt;$D54)+ISNUMBER($F54)*ISNUMBER($D54)*($F54&lt;$D54)+ISNUMBER($E54)*ISNUMBER($F54)*($E54&gt;$F54))&gt;0,"low/high crossed",""))))</f>
        <v/>
      </c>
    </row>
    <row r="55">
      <c r="B55" s="4" t="n"/>
      <c r="C55" s="22">
        <f>IF($B55="","",IFERROR(INDEX(HSI!$D$7:$D$106,MATCH($B55,HSI!$C$7:$C$106,0)),IFERROR(INDEX(HSTECH!$D$7:$D$46,MATCH($B55,HSTECH!$C$7:$C$46,0)),IFERROR(INDEX(HSCEI!$D$7:$D$66,MATCH($B55,HSCEI!$C$7:$C$66,0)),"?"))))</f>
        <v/>
      </c>
      <c r="D55" s="154" t="n"/>
      <c r="E55" s="154" t="n"/>
      <c r="F55" s="154" t="n"/>
      <c r="G55" s="4" t="n"/>
      <c r="H55" s="123">
        <f>IF($B55="","",IFERROR(INDEX(HSI!$K$7:$K$106,MATCH($B55,HSI!$C$7:$C$106,0)),IFERROR(INDEX(HSTECH!$K$7:$K$46,MATCH($B55,HSTECH!$C$7:$C$46,0)),IFERROR(INDEX(HSCEI!$K$7:$K$66,MATCH($B55,HSCEI!$C$7:$C$66,0)),"?"))))</f>
        <v/>
      </c>
      <c r="I55" s="94">
        <f>IF($B55="","",IF($C55="?","ticker? not in any index",IF(COUNTIF($B$12:$B$71,$B55)&gt;1,"DUP - rows add up",IF((ISNUMBER($E55)*ISNUMBER($D55)*($E55&gt;$D55)+ISNUMBER($F55)*ISNUMBER($D55)*($F55&lt;$D55)+ISNUMBER($E55)*ISNUMBER($F55)*($E55&gt;$F55))&gt;0,"low/high crossed",""))))</f>
        <v/>
      </c>
    </row>
    <row r="56">
      <c r="B56" s="4" t="n"/>
      <c r="C56" s="22">
        <f>IF($B56="","",IFERROR(INDEX(HSI!$D$7:$D$106,MATCH($B56,HSI!$C$7:$C$106,0)),IFERROR(INDEX(HSTECH!$D$7:$D$46,MATCH($B56,HSTECH!$C$7:$C$46,0)),IFERROR(INDEX(HSCEI!$D$7:$D$66,MATCH($B56,HSCEI!$C$7:$C$66,0)),"?"))))</f>
        <v/>
      </c>
      <c r="D56" s="154" t="n"/>
      <c r="E56" s="154" t="n"/>
      <c r="F56" s="154" t="n"/>
      <c r="G56" s="4" t="n"/>
      <c r="H56" s="123">
        <f>IF($B56="","",IFERROR(INDEX(HSI!$K$7:$K$106,MATCH($B56,HSI!$C$7:$C$106,0)),IFERROR(INDEX(HSTECH!$K$7:$K$46,MATCH($B56,HSTECH!$C$7:$C$46,0)),IFERROR(INDEX(HSCEI!$K$7:$K$66,MATCH($B56,HSCEI!$C$7:$C$66,0)),"?"))))</f>
        <v/>
      </c>
      <c r="I56" s="94">
        <f>IF($B56="","",IF($C56="?","ticker? not in any index",IF(COUNTIF($B$12:$B$71,$B56)&gt;1,"DUP - rows add up",IF((ISNUMBER($E56)*ISNUMBER($D56)*($E56&gt;$D56)+ISNUMBER($F56)*ISNUMBER($D56)*($F56&lt;$D56)+ISNUMBER($E56)*ISNUMBER($F56)*($E56&gt;$F56))&gt;0,"low/high crossed",""))))</f>
        <v/>
      </c>
    </row>
    <row r="57">
      <c r="B57" s="4" t="n"/>
      <c r="C57" s="22">
        <f>IF($B57="","",IFERROR(INDEX(HSI!$D$7:$D$106,MATCH($B57,HSI!$C$7:$C$106,0)),IFERROR(INDEX(HSTECH!$D$7:$D$46,MATCH($B57,HSTECH!$C$7:$C$46,0)),IFERROR(INDEX(HSCEI!$D$7:$D$66,MATCH($B57,HSCEI!$C$7:$C$66,0)),"?"))))</f>
        <v/>
      </c>
      <c r="D57" s="154" t="n"/>
      <c r="E57" s="154" t="n"/>
      <c r="F57" s="154" t="n"/>
      <c r="G57" s="4" t="n"/>
      <c r="H57" s="123">
        <f>IF($B57="","",IFERROR(INDEX(HSI!$K$7:$K$106,MATCH($B57,HSI!$C$7:$C$106,0)),IFERROR(INDEX(HSTECH!$K$7:$K$46,MATCH($B57,HSTECH!$C$7:$C$46,0)),IFERROR(INDEX(HSCEI!$K$7:$K$66,MATCH($B57,HSCEI!$C$7:$C$66,0)),"?"))))</f>
        <v/>
      </c>
      <c r="I57" s="94">
        <f>IF($B57="","",IF($C57="?","ticker? not in any index",IF(COUNTIF($B$12:$B$71,$B57)&gt;1,"DUP - rows add up",IF((ISNUMBER($E57)*ISNUMBER($D57)*($E57&gt;$D57)+ISNUMBER($F57)*ISNUMBER($D57)*($F57&lt;$D57)+ISNUMBER($E57)*ISNUMBER($F57)*($E57&gt;$F57))&gt;0,"low/high crossed",""))))</f>
        <v/>
      </c>
    </row>
    <row r="58">
      <c r="B58" s="4" t="n"/>
      <c r="C58" s="22">
        <f>IF($B58="","",IFERROR(INDEX(HSI!$D$7:$D$106,MATCH($B58,HSI!$C$7:$C$106,0)),IFERROR(INDEX(HSTECH!$D$7:$D$46,MATCH($B58,HSTECH!$C$7:$C$46,0)),IFERROR(INDEX(HSCEI!$D$7:$D$66,MATCH($B58,HSCEI!$C$7:$C$66,0)),"?"))))</f>
        <v/>
      </c>
      <c r="D58" s="154" t="n"/>
      <c r="E58" s="154" t="n"/>
      <c r="F58" s="154" t="n"/>
      <c r="G58" s="4" t="n"/>
      <c r="H58" s="123">
        <f>IF($B58="","",IFERROR(INDEX(HSI!$K$7:$K$106,MATCH($B58,HSI!$C$7:$C$106,0)),IFERROR(INDEX(HSTECH!$K$7:$K$46,MATCH($B58,HSTECH!$C$7:$C$46,0)),IFERROR(INDEX(HSCEI!$K$7:$K$66,MATCH($B58,HSCEI!$C$7:$C$66,0)),"?"))))</f>
        <v/>
      </c>
      <c r="I58" s="94">
        <f>IF($B58="","",IF($C58="?","ticker? not in any index",IF(COUNTIF($B$12:$B$71,$B58)&gt;1,"DUP - rows add up",IF((ISNUMBER($E58)*ISNUMBER($D58)*($E58&gt;$D58)+ISNUMBER($F58)*ISNUMBER($D58)*($F58&lt;$D58)+ISNUMBER($E58)*ISNUMBER($F58)*($E58&gt;$F58))&gt;0,"low/high crossed",""))))</f>
        <v/>
      </c>
    </row>
    <row r="59">
      <c r="B59" s="4" t="n"/>
      <c r="C59" s="22">
        <f>IF($B59="","",IFERROR(INDEX(HSI!$D$7:$D$106,MATCH($B59,HSI!$C$7:$C$106,0)),IFERROR(INDEX(HSTECH!$D$7:$D$46,MATCH($B59,HSTECH!$C$7:$C$46,0)),IFERROR(INDEX(HSCEI!$D$7:$D$66,MATCH($B59,HSCEI!$C$7:$C$66,0)),"?"))))</f>
        <v/>
      </c>
      <c r="D59" s="154" t="n"/>
      <c r="E59" s="154" t="n"/>
      <c r="F59" s="154" t="n"/>
      <c r="G59" s="4" t="n"/>
      <c r="H59" s="123">
        <f>IF($B59="","",IFERROR(INDEX(HSI!$K$7:$K$106,MATCH($B59,HSI!$C$7:$C$106,0)),IFERROR(INDEX(HSTECH!$K$7:$K$46,MATCH($B59,HSTECH!$C$7:$C$46,0)),IFERROR(INDEX(HSCEI!$K$7:$K$66,MATCH($B59,HSCEI!$C$7:$C$66,0)),"?"))))</f>
        <v/>
      </c>
      <c r="I59" s="94">
        <f>IF($B59="","",IF($C59="?","ticker? not in any index",IF(COUNTIF($B$12:$B$71,$B59)&gt;1,"DUP - rows add up",IF((ISNUMBER($E59)*ISNUMBER($D59)*($E59&gt;$D59)+ISNUMBER($F59)*ISNUMBER($D59)*($F59&lt;$D59)+ISNUMBER($E59)*ISNUMBER($F59)*($E59&gt;$F59))&gt;0,"low/high crossed",""))))</f>
        <v/>
      </c>
    </row>
    <row r="60">
      <c r="B60" s="4" t="n"/>
      <c r="C60" s="22">
        <f>IF($B60="","",IFERROR(INDEX(HSI!$D$7:$D$106,MATCH($B60,HSI!$C$7:$C$106,0)),IFERROR(INDEX(HSTECH!$D$7:$D$46,MATCH($B60,HSTECH!$C$7:$C$46,0)),IFERROR(INDEX(HSCEI!$D$7:$D$66,MATCH($B60,HSCEI!$C$7:$C$66,0)),"?"))))</f>
        <v/>
      </c>
      <c r="D60" s="154" t="n"/>
      <c r="E60" s="154" t="n"/>
      <c r="F60" s="154" t="n"/>
      <c r="G60" s="4" t="n"/>
      <c r="H60" s="123">
        <f>IF($B60="","",IFERROR(INDEX(HSI!$K$7:$K$106,MATCH($B60,HSI!$C$7:$C$106,0)),IFERROR(INDEX(HSTECH!$K$7:$K$46,MATCH($B60,HSTECH!$C$7:$C$46,0)),IFERROR(INDEX(HSCEI!$K$7:$K$66,MATCH($B60,HSCEI!$C$7:$C$66,0)),"?"))))</f>
        <v/>
      </c>
      <c r="I60" s="94">
        <f>IF($B60="","",IF($C60="?","ticker? not in any index",IF(COUNTIF($B$12:$B$71,$B60)&gt;1,"DUP - rows add up",IF((ISNUMBER($E60)*ISNUMBER($D60)*($E60&gt;$D60)+ISNUMBER($F60)*ISNUMBER($D60)*($F60&lt;$D60)+ISNUMBER($E60)*ISNUMBER($F60)*($E60&gt;$F60))&gt;0,"low/high crossed",""))))</f>
        <v/>
      </c>
    </row>
    <row r="61">
      <c r="B61" s="4" t="n"/>
      <c r="C61" s="22">
        <f>IF($B61="","",IFERROR(INDEX(HSI!$D$7:$D$106,MATCH($B61,HSI!$C$7:$C$106,0)),IFERROR(INDEX(HSTECH!$D$7:$D$46,MATCH($B61,HSTECH!$C$7:$C$46,0)),IFERROR(INDEX(HSCEI!$D$7:$D$66,MATCH($B61,HSCEI!$C$7:$C$66,0)),"?"))))</f>
        <v/>
      </c>
      <c r="D61" s="154" t="n"/>
      <c r="E61" s="154" t="n"/>
      <c r="F61" s="154" t="n"/>
      <c r="G61" s="4" t="n"/>
      <c r="H61" s="123">
        <f>IF($B61="","",IFERROR(INDEX(HSI!$K$7:$K$106,MATCH($B61,HSI!$C$7:$C$106,0)),IFERROR(INDEX(HSTECH!$K$7:$K$46,MATCH($B61,HSTECH!$C$7:$C$46,0)),IFERROR(INDEX(HSCEI!$K$7:$K$66,MATCH($B61,HSCEI!$C$7:$C$66,0)),"?"))))</f>
        <v/>
      </c>
      <c r="I61" s="94">
        <f>IF($B61="","",IF($C61="?","ticker? not in any index",IF(COUNTIF($B$12:$B$71,$B61)&gt;1,"DUP - rows add up",IF((ISNUMBER($E61)*ISNUMBER($D61)*($E61&gt;$D61)+ISNUMBER($F61)*ISNUMBER($D61)*($F61&lt;$D61)+ISNUMBER($E61)*ISNUMBER($F61)*($E61&gt;$F61))&gt;0,"low/high crossed",""))))</f>
        <v/>
      </c>
    </row>
    <row r="62">
      <c r="B62" s="4" t="n"/>
      <c r="C62" s="22">
        <f>IF($B62="","",IFERROR(INDEX(HSI!$D$7:$D$106,MATCH($B62,HSI!$C$7:$C$106,0)),IFERROR(INDEX(HSTECH!$D$7:$D$46,MATCH($B62,HSTECH!$C$7:$C$46,0)),IFERROR(INDEX(HSCEI!$D$7:$D$66,MATCH($B62,HSCEI!$C$7:$C$66,0)),"?"))))</f>
        <v/>
      </c>
      <c r="D62" s="154" t="n"/>
      <c r="E62" s="154" t="n"/>
      <c r="F62" s="154" t="n"/>
      <c r="G62" s="4" t="n"/>
      <c r="H62" s="123">
        <f>IF($B62="","",IFERROR(INDEX(HSI!$K$7:$K$106,MATCH($B62,HSI!$C$7:$C$106,0)),IFERROR(INDEX(HSTECH!$K$7:$K$46,MATCH($B62,HSTECH!$C$7:$C$46,0)),IFERROR(INDEX(HSCEI!$K$7:$K$66,MATCH($B62,HSCEI!$C$7:$C$66,0)),"?"))))</f>
        <v/>
      </c>
      <c r="I62" s="94">
        <f>IF($B62="","",IF($C62="?","ticker? not in any index",IF(COUNTIF($B$12:$B$71,$B62)&gt;1,"DUP - rows add up",IF((ISNUMBER($E62)*ISNUMBER($D62)*($E62&gt;$D62)+ISNUMBER($F62)*ISNUMBER($D62)*($F62&lt;$D62)+ISNUMBER($E62)*ISNUMBER($F62)*($E62&gt;$F62))&gt;0,"low/high crossed",""))))</f>
        <v/>
      </c>
    </row>
    <row r="63">
      <c r="B63" s="4" t="n"/>
      <c r="C63" s="22">
        <f>IF($B63="","",IFERROR(INDEX(HSI!$D$7:$D$106,MATCH($B63,HSI!$C$7:$C$106,0)),IFERROR(INDEX(HSTECH!$D$7:$D$46,MATCH($B63,HSTECH!$C$7:$C$46,0)),IFERROR(INDEX(HSCEI!$D$7:$D$66,MATCH($B63,HSCEI!$C$7:$C$66,0)),"?"))))</f>
        <v/>
      </c>
      <c r="D63" s="154" t="n"/>
      <c r="E63" s="154" t="n"/>
      <c r="F63" s="154" t="n"/>
      <c r="G63" s="4" t="n"/>
      <c r="H63" s="123">
        <f>IF($B63="","",IFERROR(INDEX(HSI!$K$7:$K$106,MATCH($B63,HSI!$C$7:$C$106,0)),IFERROR(INDEX(HSTECH!$K$7:$K$46,MATCH($B63,HSTECH!$C$7:$C$46,0)),IFERROR(INDEX(HSCEI!$K$7:$K$66,MATCH($B63,HSCEI!$C$7:$C$66,0)),"?"))))</f>
        <v/>
      </c>
      <c r="I63" s="94">
        <f>IF($B63="","",IF($C63="?","ticker? not in any index",IF(COUNTIF($B$12:$B$71,$B63)&gt;1,"DUP - rows add up",IF((ISNUMBER($E63)*ISNUMBER($D63)*($E63&gt;$D63)+ISNUMBER($F63)*ISNUMBER($D63)*($F63&lt;$D63)+ISNUMBER($E63)*ISNUMBER($F63)*($E63&gt;$F63))&gt;0,"low/high crossed",""))))</f>
        <v/>
      </c>
    </row>
    <row r="64">
      <c r="B64" s="4" t="n"/>
      <c r="C64" s="22">
        <f>IF($B64="","",IFERROR(INDEX(HSI!$D$7:$D$106,MATCH($B64,HSI!$C$7:$C$106,0)),IFERROR(INDEX(HSTECH!$D$7:$D$46,MATCH($B64,HSTECH!$C$7:$C$46,0)),IFERROR(INDEX(HSCEI!$D$7:$D$66,MATCH($B64,HSCEI!$C$7:$C$66,0)),"?"))))</f>
        <v/>
      </c>
      <c r="D64" s="154" t="n"/>
      <c r="E64" s="154" t="n"/>
      <c r="F64" s="154" t="n"/>
      <c r="G64" s="4" t="n"/>
      <c r="H64" s="123">
        <f>IF($B64="","",IFERROR(INDEX(HSI!$K$7:$K$106,MATCH($B64,HSI!$C$7:$C$106,0)),IFERROR(INDEX(HSTECH!$K$7:$K$46,MATCH($B64,HSTECH!$C$7:$C$46,0)),IFERROR(INDEX(HSCEI!$K$7:$K$66,MATCH($B64,HSCEI!$C$7:$C$66,0)),"?"))))</f>
        <v/>
      </c>
      <c r="I64" s="94">
        <f>IF($B64="","",IF($C64="?","ticker? not in any index",IF(COUNTIF($B$12:$B$71,$B64)&gt;1,"DUP - rows add up",IF((ISNUMBER($E64)*ISNUMBER($D64)*($E64&gt;$D64)+ISNUMBER($F64)*ISNUMBER($D64)*($F64&lt;$D64)+ISNUMBER($E64)*ISNUMBER($F64)*($E64&gt;$F64))&gt;0,"low/high crossed",""))))</f>
        <v/>
      </c>
    </row>
    <row r="65">
      <c r="B65" s="4" t="n"/>
      <c r="C65" s="22">
        <f>IF($B65="","",IFERROR(INDEX(HSI!$D$7:$D$106,MATCH($B65,HSI!$C$7:$C$106,0)),IFERROR(INDEX(HSTECH!$D$7:$D$46,MATCH($B65,HSTECH!$C$7:$C$46,0)),IFERROR(INDEX(HSCEI!$D$7:$D$66,MATCH($B65,HSCEI!$C$7:$C$66,0)),"?"))))</f>
        <v/>
      </c>
      <c r="D65" s="154" t="n"/>
      <c r="E65" s="154" t="n"/>
      <c r="F65" s="154" t="n"/>
      <c r="G65" s="4" t="n"/>
      <c r="H65" s="123">
        <f>IF($B65="","",IFERROR(INDEX(HSI!$K$7:$K$106,MATCH($B65,HSI!$C$7:$C$106,0)),IFERROR(INDEX(HSTECH!$K$7:$K$46,MATCH($B65,HSTECH!$C$7:$C$46,0)),IFERROR(INDEX(HSCEI!$K$7:$K$66,MATCH($B65,HSCEI!$C$7:$C$66,0)),"?"))))</f>
        <v/>
      </c>
      <c r="I65" s="94">
        <f>IF($B65="","",IF($C65="?","ticker? not in any index",IF(COUNTIF($B$12:$B$71,$B65)&gt;1,"DUP - rows add up",IF((ISNUMBER($E65)*ISNUMBER($D65)*($E65&gt;$D65)+ISNUMBER($F65)*ISNUMBER($D65)*($F65&lt;$D65)+ISNUMBER($E65)*ISNUMBER($F65)*($E65&gt;$F65))&gt;0,"low/high crossed",""))))</f>
        <v/>
      </c>
    </row>
    <row r="66">
      <c r="B66" s="4" t="n"/>
      <c r="C66" s="22">
        <f>IF($B66="","",IFERROR(INDEX(HSI!$D$7:$D$106,MATCH($B66,HSI!$C$7:$C$106,0)),IFERROR(INDEX(HSTECH!$D$7:$D$46,MATCH($B66,HSTECH!$C$7:$C$46,0)),IFERROR(INDEX(HSCEI!$D$7:$D$66,MATCH($B66,HSCEI!$C$7:$C$66,0)),"?"))))</f>
        <v/>
      </c>
      <c r="D66" s="154" t="n"/>
      <c r="E66" s="154" t="n"/>
      <c r="F66" s="154" t="n"/>
      <c r="G66" s="4" t="n"/>
      <c r="H66" s="123">
        <f>IF($B66="","",IFERROR(INDEX(HSI!$K$7:$K$106,MATCH($B66,HSI!$C$7:$C$106,0)),IFERROR(INDEX(HSTECH!$K$7:$K$46,MATCH($B66,HSTECH!$C$7:$C$46,0)),IFERROR(INDEX(HSCEI!$K$7:$K$66,MATCH($B66,HSCEI!$C$7:$C$66,0)),"?"))))</f>
        <v/>
      </c>
      <c r="I66" s="94">
        <f>IF($B66="","",IF($C66="?","ticker? not in any index",IF(COUNTIF($B$12:$B$71,$B66)&gt;1,"DUP - rows add up",IF((ISNUMBER($E66)*ISNUMBER($D66)*($E66&gt;$D66)+ISNUMBER($F66)*ISNUMBER($D66)*($F66&lt;$D66)+ISNUMBER($E66)*ISNUMBER($F66)*($E66&gt;$F66))&gt;0,"low/high crossed",""))))</f>
        <v/>
      </c>
    </row>
    <row r="67">
      <c r="B67" s="4" t="n"/>
      <c r="C67" s="22">
        <f>IF($B67="","",IFERROR(INDEX(HSI!$D$7:$D$106,MATCH($B67,HSI!$C$7:$C$106,0)),IFERROR(INDEX(HSTECH!$D$7:$D$46,MATCH($B67,HSTECH!$C$7:$C$46,0)),IFERROR(INDEX(HSCEI!$D$7:$D$66,MATCH($B67,HSCEI!$C$7:$C$66,0)),"?"))))</f>
        <v/>
      </c>
      <c r="D67" s="154" t="n"/>
      <c r="E67" s="154" t="n"/>
      <c r="F67" s="154" t="n"/>
      <c r="G67" s="4" t="n"/>
      <c r="H67" s="123">
        <f>IF($B67="","",IFERROR(INDEX(HSI!$K$7:$K$106,MATCH($B67,HSI!$C$7:$C$106,0)),IFERROR(INDEX(HSTECH!$K$7:$K$46,MATCH($B67,HSTECH!$C$7:$C$46,0)),IFERROR(INDEX(HSCEI!$K$7:$K$66,MATCH($B67,HSCEI!$C$7:$C$66,0)),"?"))))</f>
        <v/>
      </c>
      <c r="I67" s="94">
        <f>IF($B67="","",IF($C67="?","ticker? not in any index",IF(COUNTIF($B$12:$B$71,$B67)&gt;1,"DUP - rows add up",IF((ISNUMBER($E67)*ISNUMBER($D67)*($E67&gt;$D67)+ISNUMBER($F67)*ISNUMBER($D67)*($F67&lt;$D67)+ISNUMBER($E67)*ISNUMBER($F67)*($E67&gt;$F67))&gt;0,"low/high crossed",""))))</f>
        <v/>
      </c>
    </row>
    <row r="68">
      <c r="B68" s="4" t="n"/>
      <c r="C68" s="22">
        <f>IF($B68="","",IFERROR(INDEX(HSI!$D$7:$D$106,MATCH($B68,HSI!$C$7:$C$106,0)),IFERROR(INDEX(HSTECH!$D$7:$D$46,MATCH($B68,HSTECH!$C$7:$C$46,0)),IFERROR(INDEX(HSCEI!$D$7:$D$66,MATCH($B68,HSCEI!$C$7:$C$66,0)),"?"))))</f>
        <v/>
      </c>
      <c r="D68" s="154" t="n"/>
      <c r="E68" s="154" t="n"/>
      <c r="F68" s="154" t="n"/>
      <c r="G68" s="4" t="n"/>
      <c r="H68" s="123">
        <f>IF($B68="","",IFERROR(INDEX(HSI!$K$7:$K$106,MATCH($B68,HSI!$C$7:$C$106,0)),IFERROR(INDEX(HSTECH!$K$7:$K$46,MATCH($B68,HSTECH!$C$7:$C$46,0)),IFERROR(INDEX(HSCEI!$K$7:$K$66,MATCH($B68,HSCEI!$C$7:$C$66,0)),"?"))))</f>
        <v/>
      </c>
      <c r="I68" s="94">
        <f>IF($B68="","",IF($C68="?","ticker? not in any index",IF(COUNTIF($B$12:$B$71,$B68)&gt;1,"DUP - rows add up",IF((ISNUMBER($E68)*ISNUMBER($D68)*($E68&gt;$D68)+ISNUMBER($F68)*ISNUMBER($D68)*($F68&lt;$D68)+ISNUMBER($E68)*ISNUMBER($F68)*($E68&gt;$F68))&gt;0,"low/high crossed",""))))</f>
        <v/>
      </c>
    </row>
    <row r="69">
      <c r="B69" s="4" t="n"/>
      <c r="C69" s="22">
        <f>IF($B69="","",IFERROR(INDEX(HSI!$D$7:$D$106,MATCH($B69,HSI!$C$7:$C$106,0)),IFERROR(INDEX(HSTECH!$D$7:$D$46,MATCH($B69,HSTECH!$C$7:$C$46,0)),IFERROR(INDEX(HSCEI!$D$7:$D$66,MATCH($B69,HSCEI!$C$7:$C$66,0)),"?"))))</f>
        <v/>
      </c>
      <c r="D69" s="154" t="n"/>
      <c r="E69" s="154" t="n"/>
      <c r="F69" s="154" t="n"/>
      <c r="G69" s="4" t="n"/>
      <c r="H69" s="123">
        <f>IF($B69="","",IFERROR(INDEX(HSI!$K$7:$K$106,MATCH($B69,HSI!$C$7:$C$106,0)),IFERROR(INDEX(HSTECH!$K$7:$K$46,MATCH($B69,HSTECH!$C$7:$C$46,0)),IFERROR(INDEX(HSCEI!$K$7:$K$66,MATCH($B69,HSCEI!$C$7:$C$66,0)),"?"))))</f>
        <v/>
      </c>
      <c r="I69" s="94">
        <f>IF($B69="","",IF($C69="?","ticker? not in any index",IF(COUNTIF($B$12:$B$71,$B69)&gt;1,"DUP - rows add up",IF((ISNUMBER($E69)*ISNUMBER($D69)*($E69&gt;$D69)+ISNUMBER($F69)*ISNUMBER($D69)*($F69&lt;$D69)+ISNUMBER($E69)*ISNUMBER($F69)*($E69&gt;$F69))&gt;0,"low/high crossed",""))))</f>
        <v/>
      </c>
    </row>
    <row r="70">
      <c r="B70" s="4" t="n"/>
      <c r="C70" s="22">
        <f>IF($B70="","",IFERROR(INDEX(HSI!$D$7:$D$106,MATCH($B70,HSI!$C$7:$C$106,0)),IFERROR(INDEX(HSTECH!$D$7:$D$46,MATCH($B70,HSTECH!$C$7:$C$46,0)),IFERROR(INDEX(HSCEI!$D$7:$D$66,MATCH($B70,HSCEI!$C$7:$C$66,0)),"?"))))</f>
        <v/>
      </c>
      <c r="D70" s="154" t="n"/>
      <c r="E70" s="154" t="n"/>
      <c r="F70" s="154" t="n"/>
      <c r="G70" s="4" t="n"/>
      <c r="H70" s="123">
        <f>IF($B70="","",IFERROR(INDEX(HSI!$K$7:$K$106,MATCH($B70,HSI!$C$7:$C$106,0)),IFERROR(INDEX(HSTECH!$K$7:$K$46,MATCH($B70,HSTECH!$C$7:$C$46,0)),IFERROR(INDEX(HSCEI!$K$7:$K$66,MATCH($B70,HSCEI!$C$7:$C$66,0)),"?"))))</f>
        <v/>
      </c>
      <c r="I70" s="94">
        <f>IF($B70="","",IF($C70="?","ticker? not in any index",IF(COUNTIF($B$12:$B$71,$B70)&gt;1,"DUP - rows add up",IF((ISNUMBER($E70)*ISNUMBER($D70)*($E70&gt;$D70)+ISNUMBER($F70)*ISNUMBER($D70)*($F70&lt;$D70)+ISNUMBER($E70)*ISNUMBER($F70)*($E70&gt;$F70))&gt;0,"low/high crossed",""))))</f>
        <v/>
      </c>
    </row>
    <row r="71">
      <c r="B71" s="4" t="n"/>
      <c r="C71" s="22">
        <f>IF($B71="","",IFERROR(INDEX(HSI!$D$7:$D$106,MATCH($B71,HSI!$C$7:$C$106,0)),IFERROR(INDEX(HSTECH!$D$7:$D$46,MATCH($B71,HSTECH!$C$7:$C$46,0)),IFERROR(INDEX(HSCEI!$D$7:$D$66,MATCH($B71,HSCEI!$C$7:$C$66,0)),"?"))))</f>
        <v/>
      </c>
      <c r="D71" s="154" t="n"/>
      <c r="E71" s="154" t="n"/>
      <c r="F71" s="154" t="n"/>
      <c r="G71" s="4" t="n"/>
      <c r="H71" s="123">
        <f>IF($B71="","",IFERROR(INDEX(HSI!$K$7:$K$106,MATCH($B71,HSI!$C$7:$C$106,0)),IFERROR(INDEX(HSTECH!$K$7:$K$46,MATCH($B71,HSTECH!$C$7:$C$46,0)),IFERROR(INDEX(HSCEI!$K$7:$K$66,MATCH($B71,HSCEI!$C$7:$C$66,0)),"?"))))</f>
        <v/>
      </c>
      <c r="I71" s="94">
        <f>IF($B71="","",IF($C71="?","ticker? not in any index",IF(COUNTIF($B$12:$B$71,$B71)&gt;1,"DUP - rows add up",IF((ISNUMBER($E71)*ISNUMBER($D71)*($E71&gt;$D71)+ISNUMBER($F71)*ISNUMBER($D71)*($F71&lt;$D71)+ISNUMBER($E71)*ISNUMBER($F71)*($E71&gt;$F71))&gt;0,"low/high crossed",""))))</f>
        <v/>
      </c>
    </row>
    <row r="74">
      <c r="B74" s="6" t="inlineStr">
        <is>
          <t>BY SECTOR - Hang Seng Index (HSI)   (read-only, sorted by sector at refresh)</t>
        </is>
      </c>
      <c r="C74" s="7" t="n"/>
      <c r="D74" s="7" t="n"/>
      <c r="E74" s="7" t="n"/>
      <c r="F74" s="7" t="n"/>
      <c r="G74" s="7" t="n"/>
      <c r="H74" s="7" t="n"/>
      <c r="I74" s="7" t="n"/>
    </row>
    <row r="75">
      <c r="B75" s="23" t="inlineStr">
        <is>
          <t>GICS Sector</t>
        </is>
      </c>
      <c r="C75" s="23" t="inlineStr">
        <is>
          <t>Name</t>
        </is>
      </c>
      <c r="D75" s="23" t="inlineStr">
        <is>
          <t>Ticker</t>
        </is>
      </c>
      <c r="E75" s="23" t="inlineStr">
        <is>
          <t>BBG rest
of yr</t>
        </is>
      </c>
      <c r="F75" s="23" t="inlineStr">
        <is>
          <t>YOUR base</t>
        </is>
      </c>
      <c r="G75" s="23" t="inlineStr">
        <is>
          <t>Effective</t>
        </is>
      </c>
      <c r="H75" s="23" t="inlineStr">
        <is>
          <t>Impact
(pts)</t>
        </is>
      </c>
      <c r="I75" s="23" t="inlineStr">
        <is>
          <t>Flag</t>
        </is>
      </c>
      <c r="K75" s="2" t="inlineStr">
        <is>
          <t>engine</t>
        </is>
      </c>
    </row>
    <row r="76">
      <c r="B76" s="22">
        <f>IF($L76="","",INDEX(HSI!$E$7:$E$106,($L76-INT($L76/1000)*1000)))</f>
        <v/>
      </c>
      <c r="C76" s="22">
        <f>IF($L76="","",INDEX(HSI!$D$7:$D$106,($L76-INT($L76/1000)*1000)))</f>
        <v/>
      </c>
      <c r="D76" s="22">
        <f>IF($L76="","",INDEX(HSI!$C$7:$C$106,($L76-INT($L76/1000)*1000)))</f>
        <v/>
      </c>
      <c r="E76" s="133">
        <f>IF($L76="","",INDEX(HSI!$K$7:$K$106,($L76-INT($L76/1000)*1000)))</f>
        <v/>
      </c>
      <c r="F76" s="123">
        <f>IF($L76="","",IF(COUNTIFS(OVR_TICKERS,$D76,OVR_BASE,"&gt;=0")=0,"",SUMIFS(OVR_BASE,OVR_TICKERS,$D76)))</f>
        <v/>
      </c>
      <c r="G76" s="133">
        <f>IF($L76="","",INDEX(HSI!$L$7:$L$106,($L76-INT($L76/1000)*1000)))</f>
        <v/>
      </c>
      <c r="H76" s="155">
        <f>IF($L76="","",IF($F76="","",IFERROR(($F76-$E76)*INDEX(HSI!$B$7:$B$106,($L76-INT($L76/1000)*1000))*INDEX(HSI!$G$7:$G$106,($L76-INT($L76/1000)*1000))/HSI!$B$3,"")))</f>
        <v/>
      </c>
      <c r="I76" s="46">
        <f>IF($L76="","",INDEX(HSI!$U$7:$U$106,($L76-INT($L76/1000)*1000)))</f>
        <v/>
      </c>
      <c r="K76" s="121">
        <f>IF(HSI!$C$7="","",IFERROR(MATCH(HSI!$E$7,Fundamentals!$B$216:$B$226,0),99)*1000+1)</f>
        <v/>
      </c>
      <c r="L76" s="121">
        <f>IFERROR(SMALL($K$76:$K$175,1),"")</f>
        <v/>
      </c>
    </row>
    <row r="77">
      <c r="B77" s="22">
        <f>IF($L77="","",INDEX(HSI!$E$7:$E$106,($L77-INT($L77/1000)*1000)))</f>
        <v/>
      </c>
      <c r="C77" s="22">
        <f>IF($L77="","",INDEX(HSI!$D$7:$D$106,($L77-INT($L77/1000)*1000)))</f>
        <v/>
      </c>
      <c r="D77" s="22">
        <f>IF($L77="","",INDEX(HSI!$C$7:$C$106,($L77-INT($L77/1000)*1000)))</f>
        <v/>
      </c>
      <c r="E77" s="133">
        <f>IF($L77="","",INDEX(HSI!$K$7:$K$106,($L77-INT($L77/1000)*1000)))</f>
        <v/>
      </c>
      <c r="F77" s="123">
        <f>IF($L77="","",IF(COUNTIFS(OVR_TICKERS,$D77,OVR_BASE,"&gt;=0")=0,"",SUMIFS(OVR_BASE,OVR_TICKERS,$D77)))</f>
        <v/>
      </c>
      <c r="G77" s="133">
        <f>IF($L77="","",INDEX(HSI!$L$7:$L$106,($L77-INT($L77/1000)*1000)))</f>
        <v/>
      </c>
      <c r="H77" s="155">
        <f>IF($L77="","",IF($F77="","",IFERROR(($F77-$E77)*INDEX(HSI!$B$7:$B$106,($L77-INT($L77/1000)*1000))*INDEX(HSI!$G$7:$G$106,($L77-INT($L77/1000)*1000))/HSI!$B$3,"")))</f>
        <v/>
      </c>
      <c r="I77" s="46">
        <f>IF($L77="","",INDEX(HSI!$U$7:$U$106,($L77-INT($L77/1000)*1000)))</f>
        <v/>
      </c>
      <c r="K77" s="121">
        <f>IF(HSI!$C$8="","",IFERROR(MATCH(HSI!$E$8,Fundamentals!$B$216:$B$226,0),99)*1000+2)</f>
        <v/>
      </c>
      <c r="L77" s="121">
        <f>IFERROR(SMALL($K$76:$K$175,2),"")</f>
        <v/>
      </c>
    </row>
    <row r="78">
      <c r="B78" s="22">
        <f>IF($L78="","",INDEX(HSI!$E$7:$E$106,($L78-INT($L78/1000)*1000)))</f>
        <v/>
      </c>
      <c r="C78" s="22">
        <f>IF($L78="","",INDEX(HSI!$D$7:$D$106,($L78-INT($L78/1000)*1000)))</f>
        <v/>
      </c>
      <c r="D78" s="22">
        <f>IF($L78="","",INDEX(HSI!$C$7:$C$106,($L78-INT($L78/1000)*1000)))</f>
        <v/>
      </c>
      <c r="E78" s="133">
        <f>IF($L78="","",INDEX(HSI!$K$7:$K$106,($L78-INT($L78/1000)*1000)))</f>
        <v/>
      </c>
      <c r="F78" s="123">
        <f>IF($L78="","",IF(COUNTIFS(OVR_TICKERS,$D78,OVR_BASE,"&gt;=0")=0,"",SUMIFS(OVR_BASE,OVR_TICKERS,$D78)))</f>
        <v/>
      </c>
      <c r="G78" s="133">
        <f>IF($L78="","",INDEX(HSI!$L$7:$L$106,($L78-INT($L78/1000)*1000)))</f>
        <v/>
      </c>
      <c r="H78" s="155">
        <f>IF($L78="","",IF($F78="","",IFERROR(($F78-$E78)*INDEX(HSI!$B$7:$B$106,($L78-INT($L78/1000)*1000))*INDEX(HSI!$G$7:$G$106,($L78-INT($L78/1000)*1000))/HSI!$B$3,"")))</f>
        <v/>
      </c>
      <c r="I78" s="46">
        <f>IF($L78="","",INDEX(HSI!$U$7:$U$106,($L78-INT($L78/1000)*1000)))</f>
        <v/>
      </c>
      <c r="K78" s="121">
        <f>IF(HSI!$C$9="","",IFERROR(MATCH(HSI!$E$9,Fundamentals!$B$216:$B$226,0),99)*1000+3)</f>
        <v/>
      </c>
      <c r="L78" s="121">
        <f>IFERROR(SMALL($K$76:$K$175,3),"")</f>
        <v/>
      </c>
    </row>
    <row r="79">
      <c r="B79" s="22">
        <f>IF($L79="","",INDEX(HSI!$E$7:$E$106,($L79-INT($L79/1000)*1000)))</f>
        <v/>
      </c>
      <c r="C79" s="22">
        <f>IF($L79="","",INDEX(HSI!$D$7:$D$106,($L79-INT($L79/1000)*1000)))</f>
        <v/>
      </c>
      <c r="D79" s="22">
        <f>IF($L79="","",INDEX(HSI!$C$7:$C$106,($L79-INT($L79/1000)*1000)))</f>
        <v/>
      </c>
      <c r="E79" s="133">
        <f>IF($L79="","",INDEX(HSI!$K$7:$K$106,($L79-INT($L79/1000)*1000)))</f>
        <v/>
      </c>
      <c r="F79" s="123">
        <f>IF($L79="","",IF(COUNTIFS(OVR_TICKERS,$D79,OVR_BASE,"&gt;=0")=0,"",SUMIFS(OVR_BASE,OVR_TICKERS,$D79)))</f>
        <v/>
      </c>
      <c r="G79" s="133">
        <f>IF($L79="","",INDEX(HSI!$L$7:$L$106,($L79-INT($L79/1000)*1000)))</f>
        <v/>
      </c>
      <c r="H79" s="155">
        <f>IF($L79="","",IF($F79="","",IFERROR(($F79-$E79)*INDEX(HSI!$B$7:$B$106,($L79-INT($L79/1000)*1000))*INDEX(HSI!$G$7:$G$106,($L79-INT($L79/1000)*1000))/HSI!$B$3,"")))</f>
        <v/>
      </c>
      <c r="I79" s="46">
        <f>IF($L79="","",INDEX(HSI!$U$7:$U$106,($L79-INT($L79/1000)*1000)))</f>
        <v/>
      </c>
      <c r="K79" s="121">
        <f>IF(HSI!$C$10="","",IFERROR(MATCH(HSI!$E$10,Fundamentals!$B$216:$B$226,0),99)*1000+4)</f>
        <v/>
      </c>
      <c r="L79" s="121">
        <f>IFERROR(SMALL($K$76:$K$175,4),"")</f>
        <v/>
      </c>
    </row>
    <row r="80">
      <c r="B80" s="22">
        <f>IF($L80="","",INDEX(HSI!$E$7:$E$106,($L80-INT($L80/1000)*1000)))</f>
        <v/>
      </c>
      <c r="C80" s="22">
        <f>IF($L80="","",INDEX(HSI!$D$7:$D$106,($L80-INT($L80/1000)*1000)))</f>
        <v/>
      </c>
      <c r="D80" s="22">
        <f>IF($L80="","",INDEX(HSI!$C$7:$C$106,($L80-INT($L80/1000)*1000)))</f>
        <v/>
      </c>
      <c r="E80" s="133">
        <f>IF($L80="","",INDEX(HSI!$K$7:$K$106,($L80-INT($L80/1000)*1000)))</f>
        <v/>
      </c>
      <c r="F80" s="123">
        <f>IF($L80="","",IF(COUNTIFS(OVR_TICKERS,$D80,OVR_BASE,"&gt;=0")=0,"",SUMIFS(OVR_BASE,OVR_TICKERS,$D80)))</f>
        <v/>
      </c>
      <c r="G80" s="133">
        <f>IF($L80="","",INDEX(HSI!$L$7:$L$106,($L80-INT($L80/1000)*1000)))</f>
        <v/>
      </c>
      <c r="H80" s="155">
        <f>IF($L80="","",IF($F80="","",IFERROR(($F80-$E80)*INDEX(HSI!$B$7:$B$106,($L80-INT($L80/1000)*1000))*INDEX(HSI!$G$7:$G$106,($L80-INT($L80/1000)*1000))/HSI!$B$3,"")))</f>
        <v/>
      </c>
      <c r="I80" s="46">
        <f>IF($L80="","",INDEX(HSI!$U$7:$U$106,($L80-INT($L80/1000)*1000)))</f>
        <v/>
      </c>
      <c r="K80" s="121">
        <f>IF(HSI!$C$11="","",IFERROR(MATCH(HSI!$E$11,Fundamentals!$B$216:$B$226,0),99)*1000+5)</f>
        <v/>
      </c>
      <c r="L80" s="121">
        <f>IFERROR(SMALL($K$76:$K$175,5),"")</f>
        <v/>
      </c>
    </row>
    <row r="81">
      <c r="B81" s="22">
        <f>IF($L81="","",INDEX(HSI!$E$7:$E$106,($L81-INT($L81/1000)*1000)))</f>
        <v/>
      </c>
      <c r="C81" s="22">
        <f>IF($L81="","",INDEX(HSI!$D$7:$D$106,($L81-INT($L81/1000)*1000)))</f>
        <v/>
      </c>
      <c r="D81" s="22">
        <f>IF($L81="","",INDEX(HSI!$C$7:$C$106,($L81-INT($L81/1000)*1000)))</f>
        <v/>
      </c>
      <c r="E81" s="133">
        <f>IF($L81="","",INDEX(HSI!$K$7:$K$106,($L81-INT($L81/1000)*1000)))</f>
        <v/>
      </c>
      <c r="F81" s="123">
        <f>IF($L81="","",IF(COUNTIFS(OVR_TICKERS,$D81,OVR_BASE,"&gt;=0")=0,"",SUMIFS(OVR_BASE,OVR_TICKERS,$D81)))</f>
        <v/>
      </c>
      <c r="G81" s="133">
        <f>IF($L81="","",INDEX(HSI!$L$7:$L$106,($L81-INT($L81/1000)*1000)))</f>
        <v/>
      </c>
      <c r="H81" s="155">
        <f>IF($L81="","",IF($F81="","",IFERROR(($F81-$E81)*INDEX(HSI!$B$7:$B$106,($L81-INT($L81/1000)*1000))*INDEX(HSI!$G$7:$G$106,($L81-INT($L81/1000)*1000))/HSI!$B$3,"")))</f>
        <v/>
      </c>
      <c r="I81" s="46">
        <f>IF($L81="","",INDEX(HSI!$U$7:$U$106,($L81-INT($L81/1000)*1000)))</f>
        <v/>
      </c>
      <c r="K81" s="121">
        <f>IF(HSI!$C$12="","",IFERROR(MATCH(HSI!$E$12,Fundamentals!$B$216:$B$226,0),99)*1000+6)</f>
        <v/>
      </c>
      <c r="L81" s="121">
        <f>IFERROR(SMALL($K$76:$K$175,6),"")</f>
        <v/>
      </c>
    </row>
    <row r="82">
      <c r="B82" s="22">
        <f>IF($L82="","",INDEX(HSI!$E$7:$E$106,($L82-INT($L82/1000)*1000)))</f>
        <v/>
      </c>
      <c r="C82" s="22">
        <f>IF($L82="","",INDEX(HSI!$D$7:$D$106,($L82-INT($L82/1000)*1000)))</f>
        <v/>
      </c>
      <c r="D82" s="22">
        <f>IF($L82="","",INDEX(HSI!$C$7:$C$106,($L82-INT($L82/1000)*1000)))</f>
        <v/>
      </c>
      <c r="E82" s="133">
        <f>IF($L82="","",INDEX(HSI!$K$7:$K$106,($L82-INT($L82/1000)*1000)))</f>
        <v/>
      </c>
      <c r="F82" s="123">
        <f>IF($L82="","",IF(COUNTIFS(OVR_TICKERS,$D82,OVR_BASE,"&gt;=0")=0,"",SUMIFS(OVR_BASE,OVR_TICKERS,$D82)))</f>
        <v/>
      </c>
      <c r="G82" s="133">
        <f>IF($L82="","",INDEX(HSI!$L$7:$L$106,($L82-INT($L82/1000)*1000)))</f>
        <v/>
      </c>
      <c r="H82" s="155">
        <f>IF($L82="","",IF($F82="","",IFERROR(($F82-$E82)*INDEX(HSI!$B$7:$B$106,($L82-INT($L82/1000)*1000))*INDEX(HSI!$G$7:$G$106,($L82-INT($L82/1000)*1000))/HSI!$B$3,"")))</f>
        <v/>
      </c>
      <c r="I82" s="46">
        <f>IF($L82="","",INDEX(HSI!$U$7:$U$106,($L82-INT($L82/1000)*1000)))</f>
        <v/>
      </c>
      <c r="K82" s="121">
        <f>IF(HSI!$C$13="","",IFERROR(MATCH(HSI!$E$13,Fundamentals!$B$216:$B$226,0),99)*1000+7)</f>
        <v/>
      </c>
      <c r="L82" s="121">
        <f>IFERROR(SMALL($K$76:$K$175,7),"")</f>
        <v/>
      </c>
    </row>
    <row r="83">
      <c r="B83" s="22">
        <f>IF($L83="","",INDEX(HSI!$E$7:$E$106,($L83-INT($L83/1000)*1000)))</f>
        <v/>
      </c>
      <c r="C83" s="22">
        <f>IF($L83="","",INDEX(HSI!$D$7:$D$106,($L83-INT($L83/1000)*1000)))</f>
        <v/>
      </c>
      <c r="D83" s="22">
        <f>IF($L83="","",INDEX(HSI!$C$7:$C$106,($L83-INT($L83/1000)*1000)))</f>
        <v/>
      </c>
      <c r="E83" s="133">
        <f>IF($L83="","",INDEX(HSI!$K$7:$K$106,($L83-INT($L83/1000)*1000)))</f>
        <v/>
      </c>
      <c r="F83" s="123">
        <f>IF($L83="","",IF(COUNTIFS(OVR_TICKERS,$D83,OVR_BASE,"&gt;=0")=0,"",SUMIFS(OVR_BASE,OVR_TICKERS,$D83)))</f>
        <v/>
      </c>
      <c r="G83" s="133">
        <f>IF($L83="","",INDEX(HSI!$L$7:$L$106,($L83-INT($L83/1000)*1000)))</f>
        <v/>
      </c>
      <c r="H83" s="155">
        <f>IF($L83="","",IF($F83="","",IFERROR(($F83-$E83)*INDEX(HSI!$B$7:$B$106,($L83-INT($L83/1000)*1000))*INDEX(HSI!$G$7:$G$106,($L83-INT($L83/1000)*1000))/HSI!$B$3,"")))</f>
        <v/>
      </c>
      <c r="I83" s="46">
        <f>IF($L83="","",INDEX(HSI!$U$7:$U$106,($L83-INT($L83/1000)*1000)))</f>
        <v/>
      </c>
      <c r="K83" s="121">
        <f>IF(HSI!$C$14="","",IFERROR(MATCH(HSI!$E$14,Fundamentals!$B$216:$B$226,0),99)*1000+8)</f>
        <v/>
      </c>
      <c r="L83" s="121">
        <f>IFERROR(SMALL($K$76:$K$175,8),"")</f>
        <v/>
      </c>
    </row>
    <row r="84">
      <c r="B84" s="22">
        <f>IF($L84="","",INDEX(HSI!$E$7:$E$106,($L84-INT($L84/1000)*1000)))</f>
        <v/>
      </c>
      <c r="C84" s="22">
        <f>IF($L84="","",INDEX(HSI!$D$7:$D$106,($L84-INT($L84/1000)*1000)))</f>
        <v/>
      </c>
      <c r="D84" s="22">
        <f>IF($L84="","",INDEX(HSI!$C$7:$C$106,($L84-INT($L84/1000)*1000)))</f>
        <v/>
      </c>
      <c r="E84" s="133">
        <f>IF($L84="","",INDEX(HSI!$K$7:$K$106,($L84-INT($L84/1000)*1000)))</f>
        <v/>
      </c>
      <c r="F84" s="123">
        <f>IF($L84="","",IF(COUNTIFS(OVR_TICKERS,$D84,OVR_BASE,"&gt;=0")=0,"",SUMIFS(OVR_BASE,OVR_TICKERS,$D84)))</f>
        <v/>
      </c>
      <c r="G84" s="133">
        <f>IF($L84="","",INDEX(HSI!$L$7:$L$106,($L84-INT($L84/1000)*1000)))</f>
        <v/>
      </c>
      <c r="H84" s="155">
        <f>IF($L84="","",IF($F84="","",IFERROR(($F84-$E84)*INDEX(HSI!$B$7:$B$106,($L84-INT($L84/1000)*1000))*INDEX(HSI!$G$7:$G$106,($L84-INT($L84/1000)*1000))/HSI!$B$3,"")))</f>
        <v/>
      </c>
      <c r="I84" s="46">
        <f>IF($L84="","",INDEX(HSI!$U$7:$U$106,($L84-INT($L84/1000)*1000)))</f>
        <v/>
      </c>
      <c r="K84" s="121">
        <f>IF(HSI!$C$15="","",IFERROR(MATCH(HSI!$E$15,Fundamentals!$B$216:$B$226,0),99)*1000+9)</f>
        <v/>
      </c>
      <c r="L84" s="121">
        <f>IFERROR(SMALL($K$76:$K$175,9),"")</f>
        <v/>
      </c>
    </row>
    <row r="85">
      <c r="B85" s="22">
        <f>IF($L85="","",INDEX(HSI!$E$7:$E$106,($L85-INT($L85/1000)*1000)))</f>
        <v/>
      </c>
      <c r="C85" s="22">
        <f>IF($L85="","",INDEX(HSI!$D$7:$D$106,($L85-INT($L85/1000)*1000)))</f>
        <v/>
      </c>
      <c r="D85" s="22">
        <f>IF($L85="","",INDEX(HSI!$C$7:$C$106,($L85-INT($L85/1000)*1000)))</f>
        <v/>
      </c>
      <c r="E85" s="133">
        <f>IF($L85="","",INDEX(HSI!$K$7:$K$106,($L85-INT($L85/1000)*1000)))</f>
        <v/>
      </c>
      <c r="F85" s="123">
        <f>IF($L85="","",IF(COUNTIFS(OVR_TICKERS,$D85,OVR_BASE,"&gt;=0")=0,"",SUMIFS(OVR_BASE,OVR_TICKERS,$D85)))</f>
        <v/>
      </c>
      <c r="G85" s="133">
        <f>IF($L85="","",INDEX(HSI!$L$7:$L$106,($L85-INT($L85/1000)*1000)))</f>
        <v/>
      </c>
      <c r="H85" s="155">
        <f>IF($L85="","",IF($F85="","",IFERROR(($F85-$E85)*INDEX(HSI!$B$7:$B$106,($L85-INT($L85/1000)*1000))*INDEX(HSI!$G$7:$G$106,($L85-INT($L85/1000)*1000))/HSI!$B$3,"")))</f>
        <v/>
      </c>
      <c r="I85" s="46">
        <f>IF($L85="","",INDEX(HSI!$U$7:$U$106,($L85-INT($L85/1000)*1000)))</f>
        <v/>
      </c>
      <c r="K85" s="121">
        <f>IF(HSI!$C$16="","",IFERROR(MATCH(HSI!$E$16,Fundamentals!$B$216:$B$226,0),99)*1000+10)</f>
        <v/>
      </c>
      <c r="L85" s="121">
        <f>IFERROR(SMALL($K$76:$K$175,10),"")</f>
        <v/>
      </c>
    </row>
    <row r="86">
      <c r="B86" s="22">
        <f>IF($L86="","",INDEX(HSI!$E$7:$E$106,($L86-INT($L86/1000)*1000)))</f>
        <v/>
      </c>
      <c r="C86" s="22">
        <f>IF($L86="","",INDEX(HSI!$D$7:$D$106,($L86-INT($L86/1000)*1000)))</f>
        <v/>
      </c>
      <c r="D86" s="22">
        <f>IF($L86="","",INDEX(HSI!$C$7:$C$106,($L86-INT($L86/1000)*1000)))</f>
        <v/>
      </c>
      <c r="E86" s="133">
        <f>IF($L86="","",INDEX(HSI!$K$7:$K$106,($L86-INT($L86/1000)*1000)))</f>
        <v/>
      </c>
      <c r="F86" s="123">
        <f>IF($L86="","",IF(COUNTIFS(OVR_TICKERS,$D86,OVR_BASE,"&gt;=0")=0,"",SUMIFS(OVR_BASE,OVR_TICKERS,$D86)))</f>
        <v/>
      </c>
      <c r="G86" s="133">
        <f>IF($L86="","",INDEX(HSI!$L$7:$L$106,($L86-INT($L86/1000)*1000)))</f>
        <v/>
      </c>
      <c r="H86" s="155">
        <f>IF($L86="","",IF($F86="","",IFERROR(($F86-$E86)*INDEX(HSI!$B$7:$B$106,($L86-INT($L86/1000)*1000))*INDEX(HSI!$G$7:$G$106,($L86-INT($L86/1000)*1000))/HSI!$B$3,"")))</f>
        <v/>
      </c>
      <c r="I86" s="46">
        <f>IF($L86="","",INDEX(HSI!$U$7:$U$106,($L86-INT($L86/1000)*1000)))</f>
        <v/>
      </c>
      <c r="K86" s="121">
        <f>IF(HSI!$C$17="","",IFERROR(MATCH(HSI!$E$17,Fundamentals!$B$216:$B$226,0),99)*1000+11)</f>
        <v/>
      </c>
      <c r="L86" s="121">
        <f>IFERROR(SMALL($K$76:$K$175,11),"")</f>
        <v/>
      </c>
    </row>
    <row r="87">
      <c r="B87" s="22">
        <f>IF($L87="","",INDEX(HSI!$E$7:$E$106,($L87-INT($L87/1000)*1000)))</f>
        <v/>
      </c>
      <c r="C87" s="22">
        <f>IF($L87="","",INDEX(HSI!$D$7:$D$106,($L87-INT($L87/1000)*1000)))</f>
        <v/>
      </c>
      <c r="D87" s="22">
        <f>IF($L87="","",INDEX(HSI!$C$7:$C$106,($L87-INT($L87/1000)*1000)))</f>
        <v/>
      </c>
      <c r="E87" s="133">
        <f>IF($L87="","",INDEX(HSI!$K$7:$K$106,($L87-INT($L87/1000)*1000)))</f>
        <v/>
      </c>
      <c r="F87" s="123">
        <f>IF($L87="","",IF(COUNTIFS(OVR_TICKERS,$D87,OVR_BASE,"&gt;=0")=0,"",SUMIFS(OVR_BASE,OVR_TICKERS,$D87)))</f>
        <v/>
      </c>
      <c r="G87" s="133">
        <f>IF($L87="","",INDEX(HSI!$L$7:$L$106,($L87-INT($L87/1000)*1000)))</f>
        <v/>
      </c>
      <c r="H87" s="155">
        <f>IF($L87="","",IF($F87="","",IFERROR(($F87-$E87)*INDEX(HSI!$B$7:$B$106,($L87-INT($L87/1000)*1000))*INDEX(HSI!$G$7:$G$106,($L87-INT($L87/1000)*1000))/HSI!$B$3,"")))</f>
        <v/>
      </c>
      <c r="I87" s="46">
        <f>IF($L87="","",INDEX(HSI!$U$7:$U$106,($L87-INT($L87/1000)*1000)))</f>
        <v/>
      </c>
      <c r="K87" s="121">
        <f>IF(HSI!$C$18="","",IFERROR(MATCH(HSI!$E$18,Fundamentals!$B$216:$B$226,0),99)*1000+12)</f>
        <v/>
      </c>
      <c r="L87" s="121">
        <f>IFERROR(SMALL($K$76:$K$175,12),"")</f>
        <v/>
      </c>
    </row>
    <row r="88">
      <c r="B88" s="22">
        <f>IF($L88="","",INDEX(HSI!$E$7:$E$106,($L88-INT($L88/1000)*1000)))</f>
        <v/>
      </c>
      <c r="C88" s="22">
        <f>IF($L88="","",INDEX(HSI!$D$7:$D$106,($L88-INT($L88/1000)*1000)))</f>
        <v/>
      </c>
      <c r="D88" s="22">
        <f>IF($L88="","",INDEX(HSI!$C$7:$C$106,($L88-INT($L88/1000)*1000)))</f>
        <v/>
      </c>
      <c r="E88" s="133">
        <f>IF($L88="","",INDEX(HSI!$K$7:$K$106,($L88-INT($L88/1000)*1000)))</f>
        <v/>
      </c>
      <c r="F88" s="123">
        <f>IF($L88="","",IF(COUNTIFS(OVR_TICKERS,$D88,OVR_BASE,"&gt;=0")=0,"",SUMIFS(OVR_BASE,OVR_TICKERS,$D88)))</f>
        <v/>
      </c>
      <c r="G88" s="133">
        <f>IF($L88="","",INDEX(HSI!$L$7:$L$106,($L88-INT($L88/1000)*1000)))</f>
        <v/>
      </c>
      <c r="H88" s="155">
        <f>IF($L88="","",IF($F88="","",IFERROR(($F88-$E88)*INDEX(HSI!$B$7:$B$106,($L88-INT($L88/1000)*1000))*INDEX(HSI!$G$7:$G$106,($L88-INT($L88/1000)*1000))/HSI!$B$3,"")))</f>
        <v/>
      </c>
      <c r="I88" s="46">
        <f>IF($L88="","",INDEX(HSI!$U$7:$U$106,($L88-INT($L88/1000)*1000)))</f>
        <v/>
      </c>
      <c r="K88" s="121">
        <f>IF(HSI!$C$19="","",IFERROR(MATCH(HSI!$E$19,Fundamentals!$B$216:$B$226,0),99)*1000+13)</f>
        <v/>
      </c>
      <c r="L88" s="121">
        <f>IFERROR(SMALL($K$76:$K$175,13),"")</f>
        <v/>
      </c>
    </row>
    <row r="89">
      <c r="B89" s="22">
        <f>IF($L89="","",INDEX(HSI!$E$7:$E$106,($L89-INT($L89/1000)*1000)))</f>
        <v/>
      </c>
      <c r="C89" s="22">
        <f>IF($L89="","",INDEX(HSI!$D$7:$D$106,($L89-INT($L89/1000)*1000)))</f>
        <v/>
      </c>
      <c r="D89" s="22">
        <f>IF($L89="","",INDEX(HSI!$C$7:$C$106,($L89-INT($L89/1000)*1000)))</f>
        <v/>
      </c>
      <c r="E89" s="133">
        <f>IF($L89="","",INDEX(HSI!$K$7:$K$106,($L89-INT($L89/1000)*1000)))</f>
        <v/>
      </c>
      <c r="F89" s="123">
        <f>IF($L89="","",IF(COUNTIFS(OVR_TICKERS,$D89,OVR_BASE,"&gt;=0")=0,"",SUMIFS(OVR_BASE,OVR_TICKERS,$D89)))</f>
        <v/>
      </c>
      <c r="G89" s="133">
        <f>IF($L89="","",INDEX(HSI!$L$7:$L$106,($L89-INT($L89/1000)*1000)))</f>
        <v/>
      </c>
      <c r="H89" s="155">
        <f>IF($L89="","",IF($F89="","",IFERROR(($F89-$E89)*INDEX(HSI!$B$7:$B$106,($L89-INT($L89/1000)*1000))*INDEX(HSI!$G$7:$G$106,($L89-INT($L89/1000)*1000))/HSI!$B$3,"")))</f>
        <v/>
      </c>
      <c r="I89" s="46">
        <f>IF($L89="","",INDEX(HSI!$U$7:$U$106,($L89-INT($L89/1000)*1000)))</f>
        <v/>
      </c>
      <c r="K89" s="121">
        <f>IF(HSI!$C$20="","",IFERROR(MATCH(HSI!$E$20,Fundamentals!$B$216:$B$226,0),99)*1000+14)</f>
        <v/>
      </c>
      <c r="L89" s="121">
        <f>IFERROR(SMALL($K$76:$K$175,14),"")</f>
        <v/>
      </c>
    </row>
    <row r="90">
      <c r="B90" s="22">
        <f>IF($L90="","",INDEX(HSI!$E$7:$E$106,($L90-INT($L90/1000)*1000)))</f>
        <v/>
      </c>
      <c r="C90" s="22">
        <f>IF($L90="","",INDEX(HSI!$D$7:$D$106,($L90-INT($L90/1000)*1000)))</f>
        <v/>
      </c>
      <c r="D90" s="22">
        <f>IF($L90="","",INDEX(HSI!$C$7:$C$106,($L90-INT($L90/1000)*1000)))</f>
        <v/>
      </c>
      <c r="E90" s="133">
        <f>IF($L90="","",INDEX(HSI!$K$7:$K$106,($L90-INT($L90/1000)*1000)))</f>
        <v/>
      </c>
      <c r="F90" s="123">
        <f>IF($L90="","",IF(COUNTIFS(OVR_TICKERS,$D90,OVR_BASE,"&gt;=0")=0,"",SUMIFS(OVR_BASE,OVR_TICKERS,$D90)))</f>
        <v/>
      </c>
      <c r="G90" s="133">
        <f>IF($L90="","",INDEX(HSI!$L$7:$L$106,($L90-INT($L90/1000)*1000)))</f>
        <v/>
      </c>
      <c r="H90" s="155">
        <f>IF($L90="","",IF($F90="","",IFERROR(($F90-$E90)*INDEX(HSI!$B$7:$B$106,($L90-INT($L90/1000)*1000))*INDEX(HSI!$G$7:$G$106,($L90-INT($L90/1000)*1000))/HSI!$B$3,"")))</f>
        <v/>
      </c>
      <c r="I90" s="46">
        <f>IF($L90="","",INDEX(HSI!$U$7:$U$106,($L90-INT($L90/1000)*1000)))</f>
        <v/>
      </c>
      <c r="K90" s="121">
        <f>IF(HSI!$C$21="","",IFERROR(MATCH(HSI!$E$21,Fundamentals!$B$216:$B$226,0),99)*1000+15)</f>
        <v/>
      </c>
      <c r="L90" s="121">
        <f>IFERROR(SMALL($K$76:$K$175,15),"")</f>
        <v/>
      </c>
    </row>
    <row r="91">
      <c r="B91" s="22">
        <f>IF($L91="","",INDEX(HSI!$E$7:$E$106,($L91-INT($L91/1000)*1000)))</f>
        <v/>
      </c>
      <c r="C91" s="22">
        <f>IF($L91="","",INDEX(HSI!$D$7:$D$106,($L91-INT($L91/1000)*1000)))</f>
        <v/>
      </c>
      <c r="D91" s="22">
        <f>IF($L91="","",INDEX(HSI!$C$7:$C$106,($L91-INT($L91/1000)*1000)))</f>
        <v/>
      </c>
      <c r="E91" s="133">
        <f>IF($L91="","",INDEX(HSI!$K$7:$K$106,($L91-INT($L91/1000)*1000)))</f>
        <v/>
      </c>
      <c r="F91" s="123">
        <f>IF($L91="","",IF(COUNTIFS(OVR_TICKERS,$D91,OVR_BASE,"&gt;=0")=0,"",SUMIFS(OVR_BASE,OVR_TICKERS,$D91)))</f>
        <v/>
      </c>
      <c r="G91" s="133">
        <f>IF($L91="","",INDEX(HSI!$L$7:$L$106,($L91-INT($L91/1000)*1000)))</f>
        <v/>
      </c>
      <c r="H91" s="155">
        <f>IF($L91="","",IF($F91="","",IFERROR(($F91-$E91)*INDEX(HSI!$B$7:$B$106,($L91-INT($L91/1000)*1000))*INDEX(HSI!$G$7:$G$106,($L91-INT($L91/1000)*1000))/HSI!$B$3,"")))</f>
        <v/>
      </c>
      <c r="I91" s="46">
        <f>IF($L91="","",INDEX(HSI!$U$7:$U$106,($L91-INT($L91/1000)*1000)))</f>
        <v/>
      </c>
      <c r="K91" s="121">
        <f>IF(HSI!$C$22="","",IFERROR(MATCH(HSI!$E$22,Fundamentals!$B$216:$B$226,0),99)*1000+16)</f>
        <v/>
      </c>
      <c r="L91" s="121">
        <f>IFERROR(SMALL($K$76:$K$175,16),"")</f>
        <v/>
      </c>
    </row>
    <row r="92">
      <c r="B92" s="22">
        <f>IF($L92="","",INDEX(HSI!$E$7:$E$106,($L92-INT($L92/1000)*1000)))</f>
        <v/>
      </c>
      <c r="C92" s="22">
        <f>IF($L92="","",INDEX(HSI!$D$7:$D$106,($L92-INT($L92/1000)*1000)))</f>
        <v/>
      </c>
      <c r="D92" s="22">
        <f>IF($L92="","",INDEX(HSI!$C$7:$C$106,($L92-INT($L92/1000)*1000)))</f>
        <v/>
      </c>
      <c r="E92" s="133">
        <f>IF($L92="","",INDEX(HSI!$K$7:$K$106,($L92-INT($L92/1000)*1000)))</f>
        <v/>
      </c>
      <c r="F92" s="123">
        <f>IF($L92="","",IF(COUNTIFS(OVR_TICKERS,$D92,OVR_BASE,"&gt;=0")=0,"",SUMIFS(OVR_BASE,OVR_TICKERS,$D92)))</f>
        <v/>
      </c>
      <c r="G92" s="133">
        <f>IF($L92="","",INDEX(HSI!$L$7:$L$106,($L92-INT($L92/1000)*1000)))</f>
        <v/>
      </c>
      <c r="H92" s="155">
        <f>IF($L92="","",IF($F92="","",IFERROR(($F92-$E92)*INDEX(HSI!$B$7:$B$106,($L92-INT($L92/1000)*1000))*INDEX(HSI!$G$7:$G$106,($L92-INT($L92/1000)*1000))/HSI!$B$3,"")))</f>
        <v/>
      </c>
      <c r="I92" s="46">
        <f>IF($L92="","",INDEX(HSI!$U$7:$U$106,($L92-INT($L92/1000)*1000)))</f>
        <v/>
      </c>
      <c r="K92" s="121">
        <f>IF(HSI!$C$23="","",IFERROR(MATCH(HSI!$E$23,Fundamentals!$B$216:$B$226,0),99)*1000+17)</f>
        <v/>
      </c>
      <c r="L92" s="121">
        <f>IFERROR(SMALL($K$76:$K$175,17),"")</f>
        <v/>
      </c>
    </row>
    <row r="93">
      <c r="B93" s="22">
        <f>IF($L93="","",INDEX(HSI!$E$7:$E$106,($L93-INT($L93/1000)*1000)))</f>
        <v/>
      </c>
      <c r="C93" s="22">
        <f>IF($L93="","",INDEX(HSI!$D$7:$D$106,($L93-INT($L93/1000)*1000)))</f>
        <v/>
      </c>
      <c r="D93" s="22">
        <f>IF($L93="","",INDEX(HSI!$C$7:$C$106,($L93-INT($L93/1000)*1000)))</f>
        <v/>
      </c>
      <c r="E93" s="133">
        <f>IF($L93="","",INDEX(HSI!$K$7:$K$106,($L93-INT($L93/1000)*1000)))</f>
        <v/>
      </c>
      <c r="F93" s="123">
        <f>IF($L93="","",IF(COUNTIFS(OVR_TICKERS,$D93,OVR_BASE,"&gt;=0")=0,"",SUMIFS(OVR_BASE,OVR_TICKERS,$D93)))</f>
        <v/>
      </c>
      <c r="G93" s="133">
        <f>IF($L93="","",INDEX(HSI!$L$7:$L$106,($L93-INT($L93/1000)*1000)))</f>
        <v/>
      </c>
      <c r="H93" s="155">
        <f>IF($L93="","",IF($F93="","",IFERROR(($F93-$E93)*INDEX(HSI!$B$7:$B$106,($L93-INT($L93/1000)*1000))*INDEX(HSI!$G$7:$G$106,($L93-INT($L93/1000)*1000))/HSI!$B$3,"")))</f>
        <v/>
      </c>
      <c r="I93" s="46">
        <f>IF($L93="","",INDEX(HSI!$U$7:$U$106,($L93-INT($L93/1000)*1000)))</f>
        <v/>
      </c>
      <c r="K93" s="121">
        <f>IF(HSI!$C$24="","",IFERROR(MATCH(HSI!$E$24,Fundamentals!$B$216:$B$226,0),99)*1000+18)</f>
        <v/>
      </c>
      <c r="L93" s="121">
        <f>IFERROR(SMALL($K$76:$K$175,18),"")</f>
        <v/>
      </c>
    </row>
    <row r="94">
      <c r="B94" s="22">
        <f>IF($L94="","",INDEX(HSI!$E$7:$E$106,($L94-INT($L94/1000)*1000)))</f>
        <v/>
      </c>
      <c r="C94" s="22">
        <f>IF($L94="","",INDEX(HSI!$D$7:$D$106,($L94-INT($L94/1000)*1000)))</f>
        <v/>
      </c>
      <c r="D94" s="22">
        <f>IF($L94="","",INDEX(HSI!$C$7:$C$106,($L94-INT($L94/1000)*1000)))</f>
        <v/>
      </c>
      <c r="E94" s="133">
        <f>IF($L94="","",INDEX(HSI!$K$7:$K$106,($L94-INT($L94/1000)*1000)))</f>
        <v/>
      </c>
      <c r="F94" s="123">
        <f>IF($L94="","",IF(COUNTIFS(OVR_TICKERS,$D94,OVR_BASE,"&gt;=0")=0,"",SUMIFS(OVR_BASE,OVR_TICKERS,$D94)))</f>
        <v/>
      </c>
      <c r="G94" s="133">
        <f>IF($L94="","",INDEX(HSI!$L$7:$L$106,($L94-INT($L94/1000)*1000)))</f>
        <v/>
      </c>
      <c r="H94" s="155">
        <f>IF($L94="","",IF($F94="","",IFERROR(($F94-$E94)*INDEX(HSI!$B$7:$B$106,($L94-INT($L94/1000)*1000))*INDEX(HSI!$G$7:$G$106,($L94-INT($L94/1000)*1000))/HSI!$B$3,"")))</f>
        <v/>
      </c>
      <c r="I94" s="46">
        <f>IF($L94="","",INDEX(HSI!$U$7:$U$106,($L94-INT($L94/1000)*1000)))</f>
        <v/>
      </c>
      <c r="K94" s="121">
        <f>IF(HSI!$C$25="","",IFERROR(MATCH(HSI!$E$25,Fundamentals!$B$216:$B$226,0),99)*1000+19)</f>
        <v/>
      </c>
      <c r="L94" s="121">
        <f>IFERROR(SMALL($K$76:$K$175,19),"")</f>
        <v/>
      </c>
    </row>
    <row r="95">
      <c r="B95" s="22">
        <f>IF($L95="","",INDEX(HSI!$E$7:$E$106,($L95-INT($L95/1000)*1000)))</f>
        <v/>
      </c>
      <c r="C95" s="22">
        <f>IF($L95="","",INDEX(HSI!$D$7:$D$106,($L95-INT($L95/1000)*1000)))</f>
        <v/>
      </c>
      <c r="D95" s="22">
        <f>IF($L95="","",INDEX(HSI!$C$7:$C$106,($L95-INT($L95/1000)*1000)))</f>
        <v/>
      </c>
      <c r="E95" s="133">
        <f>IF($L95="","",INDEX(HSI!$K$7:$K$106,($L95-INT($L95/1000)*1000)))</f>
        <v/>
      </c>
      <c r="F95" s="123">
        <f>IF($L95="","",IF(COUNTIFS(OVR_TICKERS,$D95,OVR_BASE,"&gt;=0")=0,"",SUMIFS(OVR_BASE,OVR_TICKERS,$D95)))</f>
        <v/>
      </c>
      <c r="G95" s="133">
        <f>IF($L95="","",INDEX(HSI!$L$7:$L$106,($L95-INT($L95/1000)*1000)))</f>
        <v/>
      </c>
      <c r="H95" s="155">
        <f>IF($L95="","",IF($F95="","",IFERROR(($F95-$E95)*INDEX(HSI!$B$7:$B$106,($L95-INT($L95/1000)*1000))*INDEX(HSI!$G$7:$G$106,($L95-INT($L95/1000)*1000))/HSI!$B$3,"")))</f>
        <v/>
      </c>
      <c r="I95" s="46">
        <f>IF($L95="","",INDEX(HSI!$U$7:$U$106,($L95-INT($L95/1000)*1000)))</f>
        <v/>
      </c>
      <c r="K95" s="121">
        <f>IF(HSI!$C$26="","",IFERROR(MATCH(HSI!$E$26,Fundamentals!$B$216:$B$226,0),99)*1000+20)</f>
        <v/>
      </c>
      <c r="L95" s="121">
        <f>IFERROR(SMALL($K$76:$K$175,20),"")</f>
        <v/>
      </c>
    </row>
    <row r="96">
      <c r="B96" s="22">
        <f>IF($L96="","",INDEX(HSI!$E$7:$E$106,($L96-INT($L96/1000)*1000)))</f>
        <v/>
      </c>
      <c r="C96" s="22">
        <f>IF($L96="","",INDEX(HSI!$D$7:$D$106,($L96-INT($L96/1000)*1000)))</f>
        <v/>
      </c>
      <c r="D96" s="22">
        <f>IF($L96="","",INDEX(HSI!$C$7:$C$106,($L96-INT($L96/1000)*1000)))</f>
        <v/>
      </c>
      <c r="E96" s="133">
        <f>IF($L96="","",INDEX(HSI!$K$7:$K$106,($L96-INT($L96/1000)*1000)))</f>
        <v/>
      </c>
      <c r="F96" s="123">
        <f>IF($L96="","",IF(COUNTIFS(OVR_TICKERS,$D96,OVR_BASE,"&gt;=0")=0,"",SUMIFS(OVR_BASE,OVR_TICKERS,$D96)))</f>
        <v/>
      </c>
      <c r="G96" s="133">
        <f>IF($L96="","",INDEX(HSI!$L$7:$L$106,($L96-INT($L96/1000)*1000)))</f>
        <v/>
      </c>
      <c r="H96" s="155">
        <f>IF($L96="","",IF($F96="","",IFERROR(($F96-$E96)*INDEX(HSI!$B$7:$B$106,($L96-INT($L96/1000)*1000))*INDEX(HSI!$G$7:$G$106,($L96-INT($L96/1000)*1000))/HSI!$B$3,"")))</f>
        <v/>
      </c>
      <c r="I96" s="46">
        <f>IF($L96="","",INDEX(HSI!$U$7:$U$106,($L96-INT($L96/1000)*1000)))</f>
        <v/>
      </c>
      <c r="K96" s="121">
        <f>IF(HSI!$C$27="","",IFERROR(MATCH(HSI!$E$27,Fundamentals!$B$216:$B$226,0),99)*1000+21)</f>
        <v/>
      </c>
      <c r="L96" s="121">
        <f>IFERROR(SMALL($K$76:$K$175,21),"")</f>
        <v/>
      </c>
    </row>
    <row r="97">
      <c r="B97" s="22">
        <f>IF($L97="","",INDEX(HSI!$E$7:$E$106,($L97-INT($L97/1000)*1000)))</f>
        <v/>
      </c>
      <c r="C97" s="22">
        <f>IF($L97="","",INDEX(HSI!$D$7:$D$106,($L97-INT($L97/1000)*1000)))</f>
        <v/>
      </c>
      <c r="D97" s="22">
        <f>IF($L97="","",INDEX(HSI!$C$7:$C$106,($L97-INT($L97/1000)*1000)))</f>
        <v/>
      </c>
      <c r="E97" s="133">
        <f>IF($L97="","",INDEX(HSI!$K$7:$K$106,($L97-INT($L97/1000)*1000)))</f>
        <v/>
      </c>
      <c r="F97" s="123">
        <f>IF($L97="","",IF(COUNTIFS(OVR_TICKERS,$D97,OVR_BASE,"&gt;=0")=0,"",SUMIFS(OVR_BASE,OVR_TICKERS,$D97)))</f>
        <v/>
      </c>
      <c r="G97" s="133">
        <f>IF($L97="","",INDEX(HSI!$L$7:$L$106,($L97-INT($L97/1000)*1000)))</f>
        <v/>
      </c>
      <c r="H97" s="155">
        <f>IF($L97="","",IF($F97="","",IFERROR(($F97-$E97)*INDEX(HSI!$B$7:$B$106,($L97-INT($L97/1000)*1000))*INDEX(HSI!$G$7:$G$106,($L97-INT($L97/1000)*1000))/HSI!$B$3,"")))</f>
        <v/>
      </c>
      <c r="I97" s="46">
        <f>IF($L97="","",INDEX(HSI!$U$7:$U$106,($L97-INT($L97/1000)*1000)))</f>
        <v/>
      </c>
      <c r="K97" s="121">
        <f>IF(HSI!$C$28="","",IFERROR(MATCH(HSI!$E$28,Fundamentals!$B$216:$B$226,0),99)*1000+22)</f>
        <v/>
      </c>
      <c r="L97" s="121">
        <f>IFERROR(SMALL($K$76:$K$175,22),"")</f>
        <v/>
      </c>
    </row>
    <row r="98">
      <c r="B98" s="22">
        <f>IF($L98="","",INDEX(HSI!$E$7:$E$106,($L98-INT($L98/1000)*1000)))</f>
        <v/>
      </c>
      <c r="C98" s="22">
        <f>IF($L98="","",INDEX(HSI!$D$7:$D$106,($L98-INT($L98/1000)*1000)))</f>
        <v/>
      </c>
      <c r="D98" s="22">
        <f>IF($L98="","",INDEX(HSI!$C$7:$C$106,($L98-INT($L98/1000)*1000)))</f>
        <v/>
      </c>
      <c r="E98" s="133">
        <f>IF($L98="","",INDEX(HSI!$K$7:$K$106,($L98-INT($L98/1000)*1000)))</f>
        <v/>
      </c>
      <c r="F98" s="123">
        <f>IF($L98="","",IF(COUNTIFS(OVR_TICKERS,$D98,OVR_BASE,"&gt;=0")=0,"",SUMIFS(OVR_BASE,OVR_TICKERS,$D98)))</f>
        <v/>
      </c>
      <c r="G98" s="133">
        <f>IF($L98="","",INDEX(HSI!$L$7:$L$106,($L98-INT($L98/1000)*1000)))</f>
        <v/>
      </c>
      <c r="H98" s="155">
        <f>IF($L98="","",IF($F98="","",IFERROR(($F98-$E98)*INDEX(HSI!$B$7:$B$106,($L98-INT($L98/1000)*1000))*INDEX(HSI!$G$7:$G$106,($L98-INT($L98/1000)*1000))/HSI!$B$3,"")))</f>
        <v/>
      </c>
      <c r="I98" s="46">
        <f>IF($L98="","",INDEX(HSI!$U$7:$U$106,($L98-INT($L98/1000)*1000)))</f>
        <v/>
      </c>
      <c r="K98" s="121">
        <f>IF(HSI!$C$29="","",IFERROR(MATCH(HSI!$E$29,Fundamentals!$B$216:$B$226,0),99)*1000+23)</f>
        <v/>
      </c>
      <c r="L98" s="121">
        <f>IFERROR(SMALL($K$76:$K$175,23),"")</f>
        <v/>
      </c>
    </row>
    <row r="99">
      <c r="B99" s="22">
        <f>IF($L99="","",INDEX(HSI!$E$7:$E$106,($L99-INT($L99/1000)*1000)))</f>
        <v/>
      </c>
      <c r="C99" s="22">
        <f>IF($L99="","",INDEX(HSI!$D$7:$D$106,($L99-INT($L99/1000)*1000)))</f>
        <v/>
      </c>
      <c r="D99" s="22">
        <f>IF($L99="","",INDEX(HSI!$C$7:$C$106,($L99-INT($L99/1000)*1000)))</f>
        <v/>
      </c>
      <c r="E99" s="133">
        <f>IF($L99="","",INDEX(HSI!$K$7:$K$106,($L99-INT($L99/1000)*1000)))</f>
        <v/>
      </c>
      <c r="F99" s="123">
        <f>IF($L99="","",IF(COUNTIFS(OVR_TICKERS,$D99,OVR_BASE,"&gt;=0")=0,"",SUMIFS(OVR_BASE,OVR_TICKERS,$D99)))</f>
        <v/>
      </c>
      <c r="G99" s="133">
        <f>IF($L99="","",INDEX(HSI!$L$7:$L$106,($L99-INT($L99/1000)*1000)))</f>
        <v/>
      </c>
      <c r="H99" s="155">
        <f>IF($L99="","",IF($F99="","",IFERROR(($F99-$E99)*INDEX(HSI!$B$7:$B$106,($L99-INT($L99/1000)*1000))*INDEX(HSI!$G$7:$G$106,($L99-INT($L99/1000)*1000))/HSI!$B$3,"")))</f>
        <v/>
      </c>
      <c r="I99" s="46">
        <f>IF($L99="","",INDEX(HSI!$U$7:$U$106,($L99-INT($L99/1000)*1000)))</f>
        <v/>
      </c>
      <c r="K99" s="121">
        <f>IF(HSI!$C$30="","",IFERROR(MATCH(HSI!$E$30,Fundamentals!$B$216:$B$226,0),99)*1000+24)</f>
        <v/>
      </c>
      <c r="L99" s="121">
        <f>IFERROR(SMALL($K$76:$K$175,24),"")</f>
        <v/>
      </c>
    </row>
    <row r="100">
      <c r="B100" s="22">
        <f>IF($L100="","",INDEX(HSI!$E$7:$E$106,($L100-INT($L100/1000)*1000)))</f>
        <v/>
      </c>
      <c r="C100" s="22">
        <f>IF($L100="","",INDEX(HSI!$D$7:$D$106,($L100-INT($L100/1000)*1000)))</f>
        <v/>
      </c>
      <c r="D100" s="22">
        <f>IF($L100="","",INDEX(HSI!$C$7:$C$106,($L100-INT($L100/1000)*1000)))</f>
        <v/>
      </c>
      <c r="E100" s="133">
        <f>IF($L100="","",INDEX(HSI!$K$7:$K$106,($L100-INT($L100/1000)*1000)))</f>
        <v/>
      </c>
      <c r="F100" s="123">
        <f>IF($L100="","",IF(COUNTIFS(OVR_TICKERS,$D100,OVR_BASE,"&gt;=0")=0,"",SUMIFS(OVR_BASE,OVR_TICKERS,$D100)))</f>
        <v/>
      </c>
      <c r="G100" s="133">
        <f>IF($L100="","",INDEX(HSI!$L$7:$L$106,($L100-INT($L100/1000)*1000)))</f>
        <v/>
      </c>
      <c r="H100" s="155">
        <f>IF($L100="","",IF($F100="","",IFERROR(($F100-$E100)*INDEX(HSI!$B$7:$B$106,($L100-INT($L100/1000)*1000))*INDEX(HSI!$G$7:$G$106,($L100-INT($L100/1000)*1000))/HSI!$B$3,"")))</f>
        <v/>
      </c>
      <c r="I100" s="46">
        <f>IF($L100="","",INDEX(HSI!$U$7:$U$106,($L100-INT($L100/1000)*1000)))</f>
        <v/>
      </c>
      <c r="K100" s="121">
        <f>IF(HSI!$C$31="","",IFERROR(MATCH(HSI!$E$31,Fundamentals!$B$216:$B$226,0),99)*1000+25)</f>
        <v/>
      </c>
      <c r="L100" s="121">
        <f>IFERROR(SMALL($K$76:$K$175,25),"")</f>
        <v/>
      </c>
    </row>
    <row r="101">
      <c r="B101" s="22">
        <f>IF($L101="","",INDEX(HSI!$E$7:$E$106,($L101-INT($L101/1000)*1000)))</f>
        <v/>
      </c>
      <c r="C101" s="22">
        <f>IF($L101="","",INDEX(HSI!$D$7:$D$106,($L101-INT($L101/1000)*1000)))</f>
        <v/>
      </c>
      <c r="D101" s="22">
        <f>IF($L101="","",INDEX(HSI!$C$7:$C$106,($L101-INT($L101/1000)*1000)))</f>
        <v/>
      </c>
      <c r="E101" s="133">
        <f>IF($L101="","",INDEX(HSI!$K$7:$K$106,($L101-INT($L101/1000)*1000)))</f>
        <v/>
      </c>
      <c r="F101" s="123">
        <f>IF($L101="","",IF(COUNTIFS(OVR_TICKERS,$D101,OVR_BASE,"&gt;=0")=0,"",SUMIFS(OVR_BASE,OVR_TICKERS,$D101)))</f>
        <v/>
      </c>
      <c r="G101" s="133">
        <f>IF($L101="","",INDEX(HSI!$L$7:$L$106,($L101-INT($L101/1000)*1000)))</f>
        <v/>
      </c>
      <c r="H101" s="155">
        <f>IF($L101="","",IF($F101="","",IFERROR(($F101-$E101)*INDEX(HSI!$B$7:$B$106,($L101-INT($L101/1000)*1000))*INDEX(HSI!$G$7:$G$106,($L101-INT($L101/1000)*1000))/HSI!$B$3,"")))</f>
        <v/>
      </c>
      <c r="I101" s="46">
        <f>IF($L101="","",INDEX(HSI!$U$7:$U$106,($L101-INT($L101/1000)*1000)))</f>
        <v/>
      </c>
      <c r="K101" s="121">
        <f>IF(HSI!$C$32="","",IFERROR(MATCH(HSI!$E$32,Fundamentals!$B$216:$B$226,0),99)*1000+26)</f>
        <v/>
      </c>
      <c r="L101" s="121">
        <f>IFERROR(SMALL($K$76:$K$175,26),"")</f>
        <v/>
      </c>
    </row>
    <row r="102">
      <c r="B102" s="22">
        <f>IF($L102="","",INDEX(HSI!$E$7:$E$106,($L102-INT($L102/1000)*1000)))</f>
        <v/>
      </c>
      <c r="C102" s="22">
        <f>IF($L102="","",INDEX(HSI!$D$7:$D$106,($L102-INT($L102/1000)*1000)))</f>
        <v/>
      </c>
      <c r="D102" s="22">
        <f>IF($L102="","",INDEX(HSI!$C$7:$C$106,($L102-INT($L102/1000)*1000)))</f>
        <v/>
      </c>
      <c r="E102" s="133">
        <f>IF($L102="","",INDEX(HSI!$K$7:$K$106,($L102-INT($L102/1000)*1000)))</f>
        <v/>
      </c>
      <c r="F102" s="123">
        <f>IF($L102="","",IF(COUNTIFS(OVR_TICKERS,$D102,OVR_BASE,"&gt;=0")=0,"",SUMIFS(OVR_BASE,OVR_TICKERS,$D102)))</f>
        <v/>
      </c>
      <c r="G102" s="133">
        <f>IF($L102="","",INDEX(HSI!$L$7:$L$106,($L102-INT($L102/1000)*1000)))</f>
        <v/>
      </c>
      <c r="H102" s="155">
        <f>IF($L102="","",IF($F102="","",IFERROR(($F102-$E102)*INDEX(HSI!$B$7:$B$106,($L102-INT($L102/1000)*1000))*INDEX(HSI!$G$7:$G$106,($L102-INT($L102/1000)*1000))/HSI!$B$3,"")))</f>
        <v/>
      </c>
      <c r="I102" s="46">
        <f>IF($L102="","",INDEX(HSI!$U$7:$U$106,($L102-INT($L102/1000)*1000)))</f>
        <v/>
      </c>
      <c r="K102" s="121">
        <f>IF(HSI!$C$33="","",IFERROR(MATCH(HSI!$E$33,Fundamentals!$B$216:$B$226,0),99)*1000+27)</f>
        <v/>
      </c>
      <c r="L102" s="121">
        <f>IFERROR(SMALL($K$76:$K$175,27),"")</f>
        <v/>
      </c>
    </row>
    <row r="103">
      <c r="B103" s="22">
        <f>IF($L103="","",INDEX(HSI!$E$7:$E$106,($L103-INT($L103/1000)*1000)))</f>
        <v/>
      </c>
      <c r="C103" s="22">
        <f>IF($L103="","",INDEX(HSI!$D$7:$D$106,($L103-INT($L103/1000)*1000)))</f>
        <v/>
      </c>
      <c r="D103" s="22">
        <f>IF($L103="","",INDEX(HSI!$C$7:$C$106,($L103-INT($L103/1000)*1000)))</f>
        <v/>
      </c>
      <c r="E103" s="133">
        <f>IF($L103="","",INDEX(HSI!$K$7:$K$106,($L103-INT($L103/1000)*1000)))</f>
        <v/>
      </c>
      <c r="F103" s="123">
        <f>IF($L103="","",IF(COUNTIFS(OVR_TICKERS,$D103,OVR_BASE,"&gt;=0")=0,"",SUMIFS(OVR_BASE,OVR_TICKERS,$D103)))</f>
        <v/>
      </c>
      <c r="G103" s="133">
        <f>IF($L103="","",INDEX(HSI!$L$7:$L$106,($L103-INT($L103/1000)*1000)))</f>
        <v/>
      </c>
      <c r="H103" s="155">
        <f>IF($L103="","",IF($F103="","",IFERROR(($F103-$E103)*INDEX(HSI!$B$7:$B$106,($L103-INT($L103/1000)*1000))*INDEX(HSI!$G$7:$G$106,($L103-INT($L103/1000)*1000))/HSI!$B$3,"")))</f>
        <v/>
      </c>
      <c r="I103" s="46">
        <f>IF($L103="","",INDEX(HSI!$U$7:$U$106,($L103-INT($L103/1000)*1000)))</f>
        <v/>
      </c>
      <c r="K103" s="121">
        <f>IF(HSI!$C$34="","",IFERROR(MATCH(HSI!$E$34,Fundamentals!$B$216:$B$226,0),99)*1000+28)</f>
        <v/>
      </c>
      <c r="L103" s="121">
        <f>IFERROR(SMALL($K$76:$K$175,28),"")</f>
        <v/>
      </c>
    </row>
    <row r="104">
      <c r="B104" s="22">
        <f>IF($L104="","",INDEX(HSI!$E$7:$E$106,($L104-INT($L104/1000)*1000)))</f>
        <v/>
      </c>
      <c r="C104" s="22">
        <f>IF($L104="","",INDEX(HSI!$D$7:$D$106,($L104-INT($L104/1000)*1000)))</f>
        <v/>
      </c>
      <c r="D104" s="22">
        <f>IF($L104="","",INDEX(HSI!$C$7:$C$106,($L104-INT($L104/1000)*1000)))</f>
        <v/>
      </c>
      <c r="E104" s="133">
        <f>IF($L104="","",INDEX(HSI!$K$7:$K$106,($L104-INT($L104/1000)*1000)))</f>
        <v/>
      </c>
      <c r="F104" s="123">
        <f>IF($L104="","",IF(COUNTIFS(OVR_TICKERS,$D104,OVR_BASE,"&gt;=0")=0,"",SUMIFS(OVR_BASE,OVR_TICKERS,$D104)))</f>
        <v/>
      </c>
      <c r="G104" s="133">
        <f>IF($L104="","",INDEX(HSI!$L$7:$L$106,($L104-INT($L104/1000)*1000)))</f>
        <v/>
      </c>
      <c r="H104" s="155">
        <f>IF($L104="","",IF($F104="","",IFERROR(($F104-$E104)*INDEX(HSI!$B$7:$B$106,($L104-INT($L104/1000)*1000))*INDEX(HSI!$G$7:$G$106,($L104-INT($L104/1000)*1000))/HSI!$B$3,"")))</f>
        <v/>
      </c>
      <c r="I104" s="46">
        <f>IF($L104="","",INDEX(HSI!$U$7:$U$106,($L104-INT($L104/1000)*1000)))</f>
        <v/>
      </c>
      <c r="K104" s="121">
        <f>IF(HSI!$C$35="","",IFERROR(MATCH(HSI!$E$35,Fundamentals!$B$216:$B$226,0),99)*1000+29)</f>
        <v/>
      </c>
      <c r="L104" s="121">
        <f>IFERROR(SMALL($K$76:$K$175,29),"")</f>
        <v/>
      </c>
    </row>
    <row r="105">
      <c r="B105" s="22">
        <f>IF($L105="","",INDEX(HSI!$E$7:$E$106,($L105-INT($L105/1000)*1000)))</f>
        <v/>
      </c>
      <c r="C105" s="22">
        <f>IF($L105="","",INDEX(HSI!$D$7:$D$106,($L105-INT($L105/1000)*1000)))</f>
        <v/>
      </c>
      <c r="D105" s="22">
        <f>IF($L105="","",INDEX(HSI!$C$7:$C$106,($L105-INT($L105/1000)*1000)))</f>
        <v/>
      </c>
      <c r="E105" s="133">
        <f>IF($L105="","",INDEX(HSI!$K$7:$K$106,($L105-INT($L105/1000)*1000)))</f>
        <v/>
      </c>
      <c r="F105" s="123">
        <f>IF($L105="","",IF(COUNTIFS(OVR_TICKERS,$D105,OVR_BASE,"&gt;=0")=0,"",SUMIFS(OVR_BASE,OVR_TICKERS,$D105)))</f>
        <v/>
      </c>
      <c r="G105" s="133">
        <f>IF($L105="","",INDEX(HSI!$L$7:$L$106,($L105-INT($L105/1000)*1000)))</f>
        <v/>
      </c>
      <c r="H105" s="155">
        <f>IF($L105="","",IF($F105="","",IFERROR(($F105-$E105)*INDEX(HSI!$B$7:$B$106,($L105-INT($L105/1000)*1000))*INDEX(HSI!$G$7:$G$106,($L105-INT($L105/1000)*1000))/HSI!$B$3,"")))</f>
        <v/>
      </c>
      <c r="I105" s="46">
        <f>IF($L105="","",INDEX(HSI!$U$7:$U$106,($L105-INT($L105/1000)*1000)))</f>
        <v/>
      </c>
      <c r="K105" s="121">
        <f>IF(HSI!$C$36="","",IFERROR(MATCH(HSI!$E$36,Fundamentals!$B$216:$B$226,0),99)*1000+30)</f>
        <v/>
      </c>
      <c r="L105" s="121">
        <f>IFERROR(SMALL($K$76:$K$175,30),"")</f>
        <v/>
      </c>
    </row>
    <row r="106">
      <c r="B106" s="22">
        <f>IF($L106="","",INDEX(HSI!$E$7:$E$106,($L106-INT($L106/1000)*1000)))</f>
        <v/>
      </c>
      <c r="C106" s="22">
        <f>IF($L106="","",INDEX(HSI!$D$7:$D$106,($L106-INT($L106/1000)*1000)))</f>
        <v/>
      </c>
      <c r="D106" s="22">
        <f>IF($L106="","",INDEX(HSI!$C$7:$C$106,($L106-INT($L106/1000)*1000)))</f>
        <v/>
      </c>
      <c r="E106" s="133">
        <f>IF($L106="","",INDEX(HSI!$K$7:$K$106,($L106-INT($L106/1000)*1000)))</f>
        <v/>
      </c>
      <c r="F106" s="123">
        <f>IF($L106="","",IF(COUNTIFS(OVR_TICKERS,$D106,OVR_BASE,"&gt;=0")=0,"",SUMIFS(OVR_BASE,OVR_TICKERS,$D106)))</f>
        <v/>
      </c>
      <c r="G106" s="133">
        <f>IF($L106="","",INDEX(HSI!$L$7:$L$106,($L106-INT($L106/1000)*1000)))</f>
        <v/>
      </c>
      <c r="H106" s="155">
        <f>IF($L106="","",IF($F106="","",IFERROR(($F106-$E106)*INDEX(HSI!$B$7:$B$106,($L106-INT($L106/1000)*1000))*INDEX(HSI!$G$7:$G$106,($L106-INT($L106/1000)*1000))/HSI!$B$3,"")))</f>
        <v/>
      </c>
      <c r="I106" s="46">
        <f>IF($L106="","",INDEX(HSI!$U$7:$U$106,($L106-INT($L106/1000)*1000)))</f>
        <v/>
      </c>
      <c r="K106" s="121">
        <f>IF(HSI!$C$37="","",IFERROR(MATCH(HSI!$E$37,Fundamentals!$B$216:$B$226,0),99)*1000+31)</f>
        <v/>
      </c>
      <c r="L106" s="121">
        <f>IFERROR(SMALL($K$76:$K$175,31),"")</f>
        <v/>
      </c>
    </row>
    <row r="107">
      <c r="B107" s="22">
        <f>IF($L107="","",INDEX(HSI!$E$7:$E$106,($L107-INT($L107/1000)*1000)))</f>
        <v/>
      </c>
      <c r="C107" s="22">
        <f>IF($L107="","",INDEX(HSI!$D$7:$D$106,($L107-INT($L107/1000)*1000)))</f>
        <v/>
      </c>
      <c r="D107" s="22">
        <f>IF($L107="","",INDEX(HSI!$C$7:$C$106,($L107-INT($L107/1000)*1000)))</f>
        <v/>
      </c>
      <c r="E107" s="133">
        <f>IF($L107="","",INDEX(HSI!$K$7:$K$106,($L107-INT($L107/1000)*1000)))</f>
        <v/>
      </c>
      <c r="F107" s="123">
        <f>IF($L107="","",IF(COUNTIFS(OVR_TICKERS,$D107,OVR_BASE,"&gt;=0")=0,"",SUMIFS(OVR_BASE,OVR_TICKERS,$D107)))</f>
        <v/>
      </c>
      <c r="G107" s="133">
        <f>IF($L107="","",INDEX(HSI!$L$7:$L$106,($L107-INT($L107/1000)*1000)))</f>
        <v/>
      </c>
      <c r="H107" s="155">
        <f>IF($L107="","",IF($F107="","",IFERROR(($F107-$E107)*INDEX(HSI!$B$7:$B$106,($L107-INT($L107/1000)*1000))*INDEX(HSI!$G$7:$G$106,($L107-INT($L107/1000)*1000))/HSI!$B$3,"")))</f>
        <v/>
      </c>
      <c r="I107" s="46">
        <f>IF($L107="","",INDEX(HSI!$U$7:$U$106,($L107-INT($L107/1000)*1000)))</f>
        <v/>
      </c>
      <c r="K107" s="121">
        <f>IF(HSI!$C$38="","",IFERROR(MATCH(HSI!$E$38,Fundamentals!$B$216:$B$226,0),99)*1000+32)</f>
        <v/>
      </c>
      <c r="L107" s="121">
        <f>IFERROR(SMALL($K$76:$K$175,32),"")</f>
        <v/>
      </c>
    </row>
    <row r="108">
      <c r="B108" s="22">
        <f>IF($L108="","",INDEX(HSI!$E$7:$E$106,($L108-INT($L108/1000)*1000)))</f>
        <v/>
      </c>
      <c r="C108" s="22">
        <f>IF($L108="","",INDEX(HSI!$D$7:$D$106,($L108-INT($L108/1000)*1000)))</f>
        <v/>
      </c>
      <c r="D108" s="22">
        <f>IF($L108="","",INDEX(HSI!$C$7:$C$106,($L108-INT($L108/1000)*1000)))</f>
        <v/>
      </c>
      <c r="E108" s="133">
        <f>IF($L108="","",INDEX(HSI!$K$7:$K$106,($L108-INT($L108/1000)*1000)))</f>
        <v/>
      </c>
      <c r="F108" s="123">
        <f>IF($L108="","",IF(COUNTIFS(OVR_TICKERS,$D108,OVR_BASE,"&gt;=0")=0,"",SUMIFS(OVR_BASE,OVR_TICKERS,$D108)))</f>
        <v/>
      </c>
      <c r="G108" s="133">
        <f>IF($L108="","",INDEX(HSI!$L$7:$L$106,($L108-INT($L108/1000)*1000)))</f>
        <v/>
      </c>
      <c r="H108" s="155">
        <f>IF($L108="","",IF($F108="","",IFERROR(($F108-$E108)*INDEX(HSI!$B$7:$B$106,($L108-INT($L108/1000)*1000))*INDEX(HSI!$G$7:$G$106,($L108-INT($L108/1000)*1000))/HSI!$B$3,"")))</f>
        <v/>
      </c>
      <c r="I108" s="46">
        <f>IF($L108="","",INDEX(HSI!$U$7:$U$106,($L108-INT($L108/1000)*1000)))</f>
        <v/>
      </c>
      <c r="K108" s="121">
        <f>IF(HSI!$C$39="","",IFERROR(MATCH(HSI!$E$39,Fundamentals!$B$216:$B$226,0),99)*1000+33)</f>
        <v/>
      </c>
      <c r="L108" s="121">
        <f>IFERROR(SMALL($K$76:$K$175,33),"")</f>
        <v/>
      </c>
    </row>
    <row r="109">
      <c r="B109" s="22">
        <f>IF($L109="","",INDEX(HSI!$E$7:$E$106,($L109-INT($L109/1000)*1000)))</f>
        <v/>
      </c>
      <c r="C109" s="22">
        <f>IF($L109="","",INDEX(HSI!$D$7:$D$106,($L109-INT($L109/1000)*1000)))</f>
        <v/>
      </c>
      <c r="D109" s="22">
        <f>IF($L109="","",INDEX(HSI!$C$7:$C$106,($L109-INT($L109/1000)*1000)))</f>
        <v/>
      </c>
      <c r="E109" s="133">
        <f>IF($L109="","",INDEX(HSI!$K$7:$K$106,($L109-INT($L109/1000)*1000)))</f>
        <v/>
      </c>
      <c r="F109" s="123">
        <f>IF($L109="","",IF(COUNTIFS(OVR_TICKERS,$D109,OVR_BASE,"&gt;=0")=0,"",SUMIFS(OVR_BASE,OVR_TICKERS,$D109)))</f>
        <v/>
      </c>
      <c r="G109" s="133">
        <f>IF($L109="","",INDEX(HSI!$L$7:$L$106,($L109-INT($L109/1000)*1000)))</f>
        <v/>
      </c>
      <c r="H109" s="155">
        <f>IF($L109="","",IF($F109="","",IFERROR(($F109-$E109)*INDEX(HSI!$B$7:$B$106,($L109-INT($L109/1000)*1000))*INDEX(HSI!$G$7:$G$106,($L109-INT($L109/1000)*1000))/HSI!$B$3,"")))</f>
        <v/>
      </c>
      <c r="I109" s="46">
        <f>IF($L109="","",INDEX(HSI!$U$7:$U$106,($L109-INT($L109/1000)*1000)))</f>
        <v/>
      </c>
      <c r="K109" s="121">
        <f>IF(HSI!$C$40="","",IFERROR(MATCH(HSI!$E$40,Fundamentals!$B$216:$B$226,0),99)*1000+34)</f>
        <v/>
      </c>
      <c r="L109" s="121">
        <f>IFERROR(SMALL($K$76:$K$175,34),"")</f>
        <v/>
      </c>
    </row>
    <row r="110">
      <c r="B110" s="22">
        <f>IF($L110="","",INDEX(HSI!$E$7:$E$106,($L110-INT($L110/1000)*1000)))</f>
        <v/>
      </c>
      <c r="C110" s="22">
        <f>IF($L110="","",INDEX(HSI!$D$7:$D$106,($L110-INT($L110/1000)*1000)))</f>
        <v/>
      </c>
      <c r="D110" s="22">
        <f>IF($L110="","",INDEX(HSI!$C$7:$C$106,($L110-INT($L110/1000)*1000)))</f>
        <v/>
      </c>
      <c r="E110" s="133">
        <f>IF($L110="","",INDEX(HSI!$K$7:$K$106,($L110-INT($L110/1000)*1000)))</f>
        <v/>
      </c>
      <c r="F110" s="123">
        <f>IF($L110="","",IF(COUNTIFS(OVR_TICKERS,$D110,OVR_BASE,"&gt;=0")=0,"",SUMIFS(OVR_BASE,OVR_TICKERS,$D110)))</f>
        <v/>
      </c>
      <c r="G110" s="133">
        <f>IF($L110="","",INDEX(HSI!$L$7:$L$106,($L110-INT($L110/1000)*1000)))</f>
        <v/>
      </c>
      <c r="H110" s="155">
        <f>IF($L110="","",IF($F110="","",IFERROR(($F110-$E110)*INDEX(HSI!$B$7:$B$106,($L110-INT($L110/1000)*1000))*INDEX(HSI!$G$7:$G$106,($L110-INT($L110/1000)*1000))/HSI!$B$3,"")))</f>
        <v/>
      </c>
      <c r="I110" s="46">
        <f>IF($L110="","",INDEX(HSI!$U$7:$U$106,($L110-INT($L110/1000)*1000)))</f>
        <v/>
      </c>
      <c r="K110" s="121">
        <f>IF(HSI!$C$41="","",IFERROR(MATCH(HSI!$E$41,Fundamentals!$B$216:$B$226,0),99)*1000+35)</f>
        <v/>
      </c>
      <c r="L110" s="121">
        <f>IFERROR(SMALL($K$76:$K$175,35),"")</f>
        <v/>
      </c>
    </row>
    <row r="111">
      <c r="B111" s="22">
        <f>IF($L111="","",INDEX(HSI!$E$7:$E$106,($L111-INT($L111/1000)*1000)))</f>
        <v/>
      </c>
      <c r="C111" s="22">
        <f>IF($L111="","",INDEX(HSI!$D$7:$D$106,($L111-INT($L111/1000)*1000)))</f>
        <v/>
      </c>
      <c r="D111" s="22">
        <f>IF($L111="","",INDEX(HSI!$C$7:$C$106,($L111-INT($L111/1000)*1000)))</f>
        <v/>
      </c>
      <c r="E111" s="133">
        <f>IF($L111="","",INDEX(HSI!$K$7:$K$106,($L111-INT($L111/1000)*1000)))</f>
        <v/>
      </c>
      <c r="F111" s="123">
        <f>IF($L111="","",IF(COUNTIFS(OVR_TICKERS,$D111,OVR_BASE,"&gt;=0")=0,"",SUMIFS(OVR_BASE,OVR_TICKERS,$D111)))</f>
        <v/>
      </c>
      <c r="G111" s="133">
        <f>IF($L111="","",INDEX(HSI!$L$7:$L$106,($L111-INT($L111/1000)*1000)))</f>
        <v/>
      </c>
      <c r="H111" s="155">
        <f>IF($L111="","",IF($F111="","",IFERROR(($F111-$E111)*INDEX(HSI!$B$7:$B$106,($L111-INT($L111/1000)*1000))*INDEX(HSI!$G$7:$G$106,($L111-INT($L111/1000)*1000))/HSI!$B$3,"")))</f>
        <v/>
      </c>
      <c r="I111" s="46">
        <f>IF($L111="","",INDEX(HSI!$U$7:$U$106,($L111-INT($L111/1000)*1000)))</f>
        <v/>
      </c>
      <c r="K111" s="121">
        <f>IF(HSI!$C$42="","",IFERROR(MATCH(HSI!$E$42,Fundamentals!$B$216:$B$226,0),99)*1000+36)</f>
        <v/>
      </c>
      <c r="L111" s="121">
        <f>IFERROR(SMALL($K$76:$K$175,36),"")</f>
        <v/>
      </c>
    </row>
    <row r="112">
      <c r="B112" s="22">
        <f>IF($L112="","",INDEX(HSI!$E$7:$E$106,($L112-INT($L112/1000)*1000)))</f>
        <v/>
      </c>
      <c r="C112" s="22">
        <f>IF($L112="","",INDEX(HSI!$D$7:$D$106,($L112-INT($L112/1000)*1000)))</f>
        <v/>
      </c>
      <c r="D112" s="22">
        <f>IF($L112="","",INDEX(HSI!$C$7:$C$106,($L112-INT($L112/1000)*1000)))</f>
        <v/>
      </c>
      <c r="E112" s="133">
        <f>IF($L112="","",INDEX(HSI!$K$7:$K$106,($L112-INT($L112/1000)*1000)))</f>
        <v/>
      </c>
      <c r="F112" s="123">
        <f>IF($L112="","",IF(COUNTIFS(OVR_TICKERS,$D112,OVR_BASE,"&gt;=0")=0,"",SUMIFS(OVR_BASE,OVR_TICKERS,$D112)))</f>
        <v/>
      </c>
      <c r="G112" s="133">
        <f>IF($L112="","",INDEX(HSI!$L$7:$L$106,($L112-INT($L112/1000)*1000)))</f>
        <v/>
      </c>
      <c r="H112" s="155">
        <f>IF($L112="","",IF($F112="","",IFERROR(($F112-$E112)*INDEX(HSI!$B$7:$B$106,($L112-INT($L112/1000)*1000))*INDEX(HSI!$G$7:$G$106,($L112-INT($L112/1000)*1000))/HSI!$B$3,"")))</f>
        <v/>
      </c>
      <c r="I112" s="46">
        <f>IF($L112="","",INDEX(HSI!$U$7:$U$106,($L112-INT($L112/1000)*1000)))</f>
        <v/>
      </c>
      <c r="K112" s="121">
        <f>IF(HSI!$C$43="","",IFERROR(MATCH(HSI!$E$43,Fundamentals!$B$216:$B$226,0),99)*1000+37)</f>
        <v/>
      </c>
      <c r="L112" s="121">
        <f>IFERROR(SMALL($K$76:$K$175,37),"")</f>
        <v/>
      </c>
    </row>
    <row r="113">
      <c r="B113" s="22">
        <f>IF($L113="","",INDEX(HSI!$E$7:$E$106,($L113-INT($L113/1000)*1000)))</f>
        <v/>
      </c>
      <c r="C113" s="22">
        <f>IF($L113="","",INDEX(HSI!$D$7:$D$106,($L113-INT($L113/1000)*1000)))</f>
        <v/>
      </c>
      <c r="D113" s="22">
        <f>IF($L113="","",INDEX(HSI!$C$7:$C$106,($L113-INT($L113/1000)*1000)))</f>
        <v/>
      </c>
      <c r="E113" s="133">
        <f>IF($L113="","",INDEX(HSI!$K$7:$K$106,($L113-INT($L113/1000)*1000)))</f>
        <v/>
      </c>
      <c r="F113" s="123">
        <f>IF($L113="","",IF(COUNTIFS(OVR_TICKERS,$D113,OVR_BASE,"&gt;=0")=0,"",SUMIFS(OVR_BASE,OVR_TICKERS,$D113)))</f>
        <v/>
      </c>
      <c r="G113" s="133">
        <f>IF($L113="","",INDEX(HSI!$L$7:$L$106,($L113-INT($L113/1000)*1000)))</f>
        <v/>
      </c>
      <c r="H113" s="155">
        <f>IF($L113="","",IF($F113="","",IFERROR(($F113-$E113)*INDEX(HSI!$B$7:$B$106,($L113-INT($L113/1000)*1000))*INDEX(HSI!$G$7:$G$106,($L113-INT($L113/1000)*1000))/HSI!$B$3,"")))</f>
        <v/>
      </c>
      <c r="I113" s="46">
        <f>IF($L113="","",INDEX(HSI!$U$7:$U$106,($L113-INT($L113/1000)*1000)))</f>
        <v/>
      </c>
      <c r="K113" s="121">
        <f>IF(HSI!$C$44="","",IFERROR(MATCH(HSI!$E$44,Fundamentals!$B$216:$B$226,0),99)*1000+38)</f>
        <v/>
      </c>
      <c r="L113" s="121">
        <f>IFERROR(SMALL($K$76:$K$175,38),"")</f>
        <v/>
      </c>
    </row>
    <row r="114">
      <c r="B114" s="22">
        <f>IF($L114="","",INDEX(HSI!$E$7:$E$106,($L114-INT($L114/1000)*1000)))</f>
        <v/>
      </c>
      <c r="C114" s="22">
        <f>IF($L114="","",INDEX(HSI!$D$7:$D$106,($L114-INT($L114/1000)*1000)))</f>
        <v/>
      </c>
      <c r="D114" s="22">
        <f>IF($L114="","",INDEX(HSI!$C$7:$C$106,($L114-INT($L114/1000)*1000)))</f>
        <v/>
      </c>
      <c r="E114" s="133">
        <f>IF($L114="","",INDEX(HSI!$K$7:$K$106,($L114-INT($L114/1000)*1000)))</f>
        <v/>
      </c>
      <c r="F114" s="123">
        <f>IF($L114="","",IF(COUNTIFS(OVR_TICKERS,$D114,OVR_BASE,"&gt;=0")=0,"",SUMIFS(OVR_BASE,OVR_TICKERS,$D114)))</f>
        <v/>
      </c>
      <c r="G114" s="133">
        <f>IF($L114="","",INDEX(HSI!$L$7:$L$106,($L114-INT($L114/1000)*1000)))</f>
        <v/>
      </c>
      <c r="H114" s="155">
        <f>IF($L114="","",IF($F114="","",IFERROR(($F114-$E114)*INDEX(HSI!$B$7:$B$106,($L114-INT($L114/1000)*1000))*INDEX(HSI!$G$7:$G$106,($L114-INT($L114/1000)*1000))/HSI!$B$3,"")))</f>
        <v/>
      </c>
      <c r="I114" s="46">
        <f>IF($L114="","",INDEX(HSI!$U$7:$U$106,($L114-INT($L114/1000)*1000)))</f>
        <v/>
      </c>
      <c r="K114" s="121">
        <f>IF(HSI!$C$45="","",IFERROR(MATCH(HSI!$E$45,Fundamentals!$B$216:$B$226,0),99)*1000+39)</f>
        <v/>
      </c>
      <c r="L114" s="121">
        <f>IFERROR(SMALL($K$76:$K$175,39),"")</f>
        <v/>
      </c>
    </row>
    <row r="115">
      <c r="B115" s="22">
        <f>IF($L115="","",INDEX(HSI!$E$7:$E$106,($L115-INT($L115/1000)*1000)))</f>
        <v/>
      </c>
      <c r="C115" s="22">
        <f>IF($L115="","",INDEX(HSI!$D$7:$D$106,($L115-INT($L115/1000)*1000)))</f>
        <v/>
      </c>
      <c r="D115" s="22">
        <f>IF($L115="","",INDEX(HSI!$C$7:$C$106,($L115-INT($L115/1000)*1000)))</f>
        <v/>
      </c>
      <c r="E115" s="133">
        <f>IF($L115="","",INDEX(HSI!$K$7:$K$106,($L115-INT($L115/1000)*1000)))</f>
        <v/>
      </c>
      <c r="F115" s="123">
        <f>IF($L115="","",IF(COUNTIFS(OVR_TICKERS,$D115,OVR_BASE,"&gt;=0")=0,"",SUMIFS(OVR_BASE,OVR_TICKERS,$D115)))</f>
        <v/>
      </c>
      <c r="G115" s="133">
        <f>IF($L115="","",INDEX(HSI!$L$7:$L$106,($L115-INT($L115/1000)*1000)))</f>
        <v/>
      </c>
      <c r="H115" s="155">
        <f>IF($L115="","",IF($F115="","",IFERROR(($F115-$E115)*INDEX(HSI!$B$7:$B$106,($L115-INT($L115/1000)*1000))*INDEX(HSI!$G$7:$G$106,($L115-INT($L115/1000)*1000))/HSI!$B$3,"")))</f>
        <v/>
      </c>
      <c r="I115" s="46">
        <f>IF($L115="","",INDEX(HSI!$U$7:$U$106,($L115-INT($L115/1000)*1000)))</f>
        <v/>
      </c>
      <c r="K115" s="121">
        <f>IF(HSI!$C$46="","",IFERROR(MATCH(HSI!$E$46,Fundamentals!$B$216:$B$226,0),99)*1000+40)</f>
        <v/>
      </c>
      <c r="L115" s="121">
        <f>IFERROR(SMALL($K$76:$K$175,40),"")</f>
        <v/>
      </c>
    </row>
    <row r="116">
      <c r="B116" s="22">
        <f>IF($L116="","",INDEX(HSI!$E$7:$E$106,($L116-INT($L116/1000)*1000)))</f>
        <v/>
      </c>
      <c r="C116" s="22">
        <f>IF($L116="","",INDEX(HSI!$D$7:$D$106,($L116-INT($L116/1000)*1000)))</f>
        <v/>
      </c>
      <c r="D116" s="22">
        <f>IF($L116="","",INDEX(HSI!$C$7:$C$106,($L116-INT($L116/1000)*1000)))</f>
        <v/>
      </c>
      <c r="E116" s="133">
        <f>IF($L116="","",INDEX(HSI!$K$7:$K$106,($L116-INT($L116/1000)*1000)))</f>
        <v/>
      </c>
      <c r="F116" s="123">
        <f>IF($L116="","",IF(COUNTIFS(OVR_TICKERS,$D116,OVR_BASE,"&gt;=0")=0,"",SUMIFS(OVR_BASE,OVR_TICKERS,$D116)))</f>
        <v/>
      </c>
      <c r="G116" s="133">
        <f>IF($L116="","",INDEX(HSI!$L$7:$L$106,($L116-INT($L116/1000)*1000)))</f>
        <v/>
      </c>
      <c r="H116" s="155">
        <f>IF($L116="","",IF($F116="","",IFERROR(($F116-$E116)*INDEX(HSI!$B$7:$B$106,($L116-INT($L116/1000)*1000))*INDEX(HSI!$G$7:$G$106,($L116-INT($L116/1000)*1000))/HSI!$B$3,"")))</f>
        <v/>
      </c>
      <c r="I116" s="46">
        <f>IF($L116="","",INDEX(HSI!$U$7:$U$106,($L116-INT($L116/1000)*1000)))</f>
        <v/>
      </c>
      <c r="K116" s="121">
        <f>IF(HSI!$C$47="","",IFERROR(MATCH(HSI!$E$47,Fundamentals!$B$216:$B$226,0),99)*1000+41)</f>
        <v/>
      </c>
      <c r="L116" s="121">
        <f>IFERROR(SMALL($K$76:$K$175,41),"")</f>
        <v/>
      </c>
    </row>
    <row r="117">
      <c r="B117" s="22">
        <f>IF($L117="","",INDEX(HSI!$E$7:$E$106,($L117-INT($L117/1000)*1000)))</f>
        <v/>
      </c>
      <c r="C117" s="22">
        <f>IF($L117="","",INDEX(HSI!$D$7:$D$106,($L117-INT($L117/1000)*1000)))</f>
        <v/>
      </c>
      <c r="D117" s="22">
        <f>IF($L117="","",INDEX(HSI!$C$7:$C$106,($L117-INT($L117/1000)*1000)))</f>
        <v/>
      </c>
      <c r="E117" s="133">
        <f>IF($L117="","",INDEX(HSI!$K$7:$K$106,($L117-INT($L117/1000)*1000)))</f>
        <v/>
      </c>
      <c r="F117" s="123">
        <f>IF($L117="","",IF(COUNTIFS(OVR_TICKERS,$D117,OVR_BASE,"&gt;=0")=0,"",SUMIFS(OVR_BASE,OVR_TICKERS,$D117)))</f>
        <v/>
      </c>
      <c r="G117" s="133">
        <f>IF($L117="","",INDEX(HSI!$L$7:$L$106,($L117-INT($L117/1000)*1000)))</f>
        <v/>
      </c>
      <c r="H117" s="155">
        <f>IF($L117="","",IF($F117="","",IFERROR(($F117-$E117)*INDEX(HSI!$B$7:$B$106,($L117-INT($L117/1000)*1000))*INDEX(HSI!$G$7:$G$106,($L117-INT($L117/1000)*1000))/HSI!$B$3,"")))</f>
        <v/>
      </c>
      <c r="I117" s="46">
        <f>IF($L117="","",INDEX(HSI!$U$7:$U$106,($L117-INT($L117/1000)*1000)))</f>
        <v/>
      </c>
      <c r="K117" s="121">
        <f>IF(HSI!$C$48="","",IFERROR(MATCH(HSI!$E$48,Fundamentals!$B$216:$B$226,0),99)*1000+42)</f>
        <v/>
      </c>
      <c r="L117" s="121">
        <f>IFERROR(SMALL($K$76:$K$175,42),"")</f>
        <v/>
      </c>
    </row>
    <row r="118">
      <c r="B118" s="22">
        <f>IF($L118="","",INDEX(HSI!$E$7:$E$106,($L118-INT($L118/1000)*1000)))</f>
        <v/>
      </c>
      <c r="C118" s="22">
        <f>IF($L118="","",INDEX(HSI!$D$7:$D$106,($L118-INT($L118/1000)*1000)))</f>
        <v/>
      </c>
      <c r="D118" s="22">
        <f>IF($L118="","",INDEX(HSI!$C$7:$C$106,($L118-INT($L118/1000)*1000)))</f>
        <v/>
      </c>
      <c r="E118" s="133">
        <f>IF($L118="","",INDEX(HSI!$K$7:$K$106,($L118-INT($L118/1000)*1000)))</f>
        <v/>
      </c>
      <c r="F118" s="123">
        <f>IF($L118="","",IF(COUNTIFS(OVR_TICKERS,$D118,OVR_BASE,"&gt;=0")=0,"",SUMIFS(OVR_BASE,OVR_TICKERS,$D118)))</f>
        <v/>
      </c>
      <c r="G118" s="133">
        <f>IF($L118="","",INDEX(HSI!$L$7:$L$106,($L118-INT($L118/1000)*1000)))</f>
        <v/>
      </c>
      <c r="H118" s="155">
        <f>IF($L118="","",IF($F118="","",IFERROR(($F118-$E118)*INDEX(HSI!$B$7:$B$106,($L118-INT($L118/1000)*1000))*INDEX(HSI!$G$7:$G$106,($L118-INT($L118/1000)*1000))/HSI!$B$3,"")))</f>
        <v/>
      </c>
      <c r="I118" s="46">
        <f>IF($L118="","",INDEX(HSI!$U$7:$U$106,($L118-INT($L118/1000)*1000)))</f>
        <v/>
      </c>
      <c r="K118" s="121">
        <f>IF(HSI!$C$49="","",IFERROR(MATCH(HSI!$E$49,Fundamentals!$B$216:$B$226,0),99)*1000+43)</f>
        <v/>
      </c>
      <c r="L118" s="121">
        <f>IFERROR(SMALL($K$76:$K$175,43),"")</f>
        <v/>
      </c>
    </row>
    <row r="119">
      <c r="B119" s="22">
        <f>IF($L119="","",INDEX(HSI!$E$7:$E$106,($L119-INT($L119/1000)*1000)))</f>
        <v/>
      </c>
      <c r="C119" s="22">
        <f>IF($L119="","",INDEX(HSI!$D$7:$D$106,($L119-INT($L119/1000)*1000)))</f>
        <v/>
      </c>
      <c r="D119" s="22">
        <f>IF($L119="","",INDEX(HSI!$C$7:$C$106,($L119-INT($L119/1000)*1000)))</f>
        <v/>
      </c>
      <c r="E119" s="133">
        <f>IF($L119="","",INDEX(HSI!$K$7:$K$106,($L119-INT($L119/1000)*1000)))</f>
        <v/>
      </c>
      <c r="F119" s="123">
        <f>IF($L119="","",IF(COUNTIFS(OVR_TICKERS,$D119,OVR_BASE,"&gt;=0")=0,"",SUMIFS(OVR_BASE,OVR_TICKERS,$D119)))</f>
        <v/>
      </c>
      <c r="G119" s="133">
        <f>IF($L119="","",INDEX(HSI!$L$7:$L$106,($L119-INT($L119/1000)*1000)))</f>
        <v/>
      </c>
      <c r="H119" s="155">
        <f>IF($L119="","",IF($F119="","",IFERROR(($F119-$E119)*INDEX(HSI!$B$7:$B$106,($L119-INT($L119/1000)*1000))*INDEX(HSI!$G$7:$G$106,($L119-INT($L119/1000)*1000))/HSI!$B$3,"")))</f>
        <v/>
      </c>
      <c r="I119" s="46">
        <f>IF($L119="","",INDEX(HSI!$U$7:$U$106,($L119-INT($L119/1000)*1000)))</f>
        <v/>
      </c>
      <c r="K119" s="121">
        <f>IF(HSI!$C$50="","",IFERROR(MATCH(HSI!$E$50,Fundamentals!$B$216:$B$226,0),99)*1000+44)</f>
        <v/>
      </c>
      <c r="L119" s="121">
        <f>IFERROR(SMALL($K$76:$K$175,44),"")</f>
        <v/>
      </c>
    </row>
    <row r="120">
      <c r="B120" s="22">
        <f>IF($L120="","",INDEX(HSI!$E$7:$E$106,($L120-INT($L120/1000)*1000)))</f>
        <v/>
      </c>
      <c r="C120" s="22">
        <f>IF($L120="","",INDEX(HSI!$D$7:$D$106,($L120-INT($L120/1000)*1000)))</f>
        <v/>
      </c>
      <c r="D120" s="22">
        <f>IF($L120="","",INDEX(HSI!$C$7:$C$106,($L120-INT($L120/1000)*1000)))</f>
        <v/>
      </c>
      <c r="E120" s="133">
        <f>IF($L120="","",INDEX(HSI!$K$7:$K$106,($L120-INT($L120/1000)*1000)))</f>
        <v/>
      </c>
      <c r="F120" s="123">
        <f>IF($L120="","",IF(COUNTIFS(OVR_TICKERS,$D120,OVR_BASE,"&gt;=0")=0,"",SUMIFS(OVR_BASE,OVR_TICKERS,$D120)))</f>
        <v/>
      </c>
      <c r="G120" s="133">
        <f>IF($L120="","",INDEX(HSI!$L$7:$L$106,($L120-INT($L120/1000)*1000)))</f>
        <v/>
      </c>
      <c r="H120" s="155">
        <f>IF($L120="","",IF($F120="","",IFERROR(($F120-$E120)*INDEX(HSI!$B$7:$B$106,($L120-INT($L120/1000)*1000))*INDEX(HSI!$G$7:$G$106,($L120-INT($L120/1000)*1000))/HSI!$B$3,"")))</f>
        <v/>
      </c>
      <c r="I120" s="46">
        <f>IF($L120="","",INDEX(HSI!$U$7:$U$106,($L120-INT($L120/1000)*1000)))</f>
        <v/>
      </c>
      <c r="K120" s="121">
        <f>IF(HSI!$C$51="","",IFERROR(MATCH(HSI!$E$51,Fundamentals!$B$216:$B$226,0),99)*1000+45)</f>
        <v/>
      </c>
      <c r="L120" s="121">
        <f>IFERROR(SMALL($K$76:$K$175,45),"")</f>
        <v/>
      </c>
    </row>
    <row r="121">
      <c r="B121" s="22">
        <f>IF($L121="","",INDEX(HSI!$E$7:$E$106,($L121-INT($L121/1000)*1000)))</f>
        <v/>
      </c>
      <c r="C121" s="22">
        <f>IF($L121="","",INDEX(HSI!$D$7:$D$106,($L121-INT($L121/1000)*1000)))</f>
        <v/>
      </c>
      <c r="D121" s="22">
        <f>IF($L121="","",INDEX(HSI!$C$7:$C$106,($L121-INT($L121/1000)*1000)))</f>
        <v/>
      </c>
      <c r="E121" s="133">
        <f>IF($L121="","",INDEX(HSI!$K$7:$K$106,($L121-INT($L121/1000)*1000)))</f>
        <v/>
      </c>
      <c r="F121" s="123">
        <f>IF($L121="","",IF(COUNTIFS(OVR_TICKERS,$D121,OVR_BASE,"&gt;=0")=0,"",SUMIFS(OVR_BASE,OVR_TICKERS,$D121)))</f>
        <v/>
      </c>
      <c r="G121" s="133">
        <f>IF($L121="","",INDEX(HSI!$L$7:$L$106,($L121-INT($L121/1000)*1000)))</f>
        <v/>
      </c>
      <c r="H121" s="155">
        <f>IF($L121="","",IF($F121="","",IFERROR(($F121-$E121)*INDEX(HSI!$B$7:$B$106,($L121-INT($L121/1000)*1000))*INDEX(HSI!$G$7:$G$106,($L121-INT($L121/1000)*1000))/HSI!$B$3,"")))</f>
        <v/>
      </c>
      <c r="I121" s="46">
        <f>IF($L121="","",INDEX(HSI!$U$7:$U$106,($L121-INT($L121/1000)*1000)))</f>
        <v/>
      </c>
      <c r="K121" s="121">
        <f>IF(HSI!$C$52="","",IFERROR(MATCH(HSI!$E$52,Fundamentals!$B$216:$B$226,0),99)*1000+46)</f>
        <v/>
      </c>
      <c r="L121" s="121">
        <f>IFERROR(SMALL($K$76:$K$175,46),"")</f>
        <v/>
      </c>
    </row>
    <row r="122">
      <c r="B122" s="22">
        <f>IF($L122="","",INDEX(HSI!$E$7:$E$106,($L122-INT($L122/1000)*1000)))</f>
        <v/>
      </c>
      <c r="C122" s="22">
        <f>IF($L122="","",INDEX(HSI!$D$7:$D$106,($L122-INT($L122/1000)*1000)))</f>
        <v/>
      </c>
      <c r="D122" s="22">
        <f>IF($L122="","",INDEX(HSI!$C$7:$C$106,($L122-INT($L122/1000)*1000)))</f>
        <v/>
      </c>
      <c r="E122" s="133">
        <f>IF($L122="","",INDEX(HSI!$K$7:$K$106,($L122-INT($L122/1000)*1000)))</f>
        <v/>
      </c>
      <c r="F122" s="123">
        <f>IF($L122="","",IF(COUNTIFS(OVR_TICKERS,$D122,OVR_BASE,"&gt;=0")=0,"",SUMIFS(OVR_BASE,OVR_TICKERS,$D122)))</f>
        <v/>
      </c>
      <c r="G122" s="133">
        <f>IF($L122="","",INDEX(HSI!$L$7:$L$106,($L122-INT($L122/1000)*1000)))</f>
        <v/>
      </c>
      <c r="H122" s="155">
        <f>IF($L122="","",IF($F122="","",IFERROR(($F122-$E122)*INDEX(HSI!$B$7:$B$106,($L122-INT($L122/1000)*1000))*INDEX(HSI!$G$7:$G$106,($L122-INT($L122/1000)*1000))/HSI!$B$3,"")))</f>
        <v/>
      </c>
      <c r="I122" s="46">
        <f>IF($L122="","",INDEX(HSI!$U$7:$U$106,($L122-INT($L122/1000)*1000)))</f>
        <v/>
      </c>
      <c r="K122" s="121">
        <f>IF(HSI!$C$53="","",IFERROR(MATCH(HSI!$E$53,Fundamentals!$B$216:$B$226,0),99)*1000+47)</f>
        <v/>
      </c>
      <c r="L122" s="121">
        <f>IFERROR(SMALL($K$76:$K$175,47),"")</f>
        <v/>
      </c>
    </row>
    <row r="123">
      <c r="B123" s="22">
        <f>IF($L123="","",INDEX(HSI!$E$7:$E$106,($L123-INT($L123/1000)*1000)))</f>
        <v/>
      </c>
      <c r="C123" s="22">
        <f>IF($L123="","",INDEX(HSI!$D$7:$D$106,($L123-INT($L123/1000)*1000)))</f>
        <v/>
      </c>
      <c r="D123" s="22">
        <f>IF($L123="","",INDEX(HSI!$C$7:$C$106,($L123-INT($L123/1000)*1000)))</f>
        <v/>
      </c>
      <c r="E123" s="133">
        <f>IF($L123="","",INDEX(HSI!$K$7:$K$106,($L123-INT($L123/1000)*1000)))</f>
        <v/>
      </c>
      <c r="F123" s="123">
        <f>IF($L123="","",IF(COUNTIFS(OVR_TICKERS,$D123,OVR_BASE,"&gt;=0")=0,"",SUMIFS(OVR_BASE,OVR_TICKERS,$D123)))</f>
        <v/>
      </c>
      <c r="G123" s="133">
        <f>IF($L123="","",INDEX(HSI!$L$7:$L$106,($L123-INT($L123/1000)*1000)))</f>
        <v/>
      </c>
      <c r="H123" s="155">
        <f>IF($L123="","",IF($F123="","",IFERROR(($F123-$E123)*INDEX(HSI!$B$7:$B$106,($L123-INT($L123/1000)*1000))*INDEX(HSI!$G$7:$G$106,($L123-INT($L123/1000)*1000))/HSI!$B$3,"")))</f>
        <v/>
      </c>
      <c r="I123" s="46">
        <f>IF($L123="","",INDEX(HSI!$U$7:$U$106,($L123-INT($L123/1000)*1000)))</f>
        <v/>
      </c>
      <c r="K123" s="121">
        <f>IF(HSI!$C$54="","",IFERROR(MATCH(HSI!$E$54,Fundamentals!$B$216:$B$226,0),99)*1000+48)</f>
        <v/>
      </c>
      <c r="L123" s="121">
        <f>IFERROR(SMALL($K$76:$K$175,48),"")</f>
        <v/>
      </c>
    </row>
    <row r="124">
      <c r="B124" s="22">
        <f>IF($L124="","",INDEX(HSI!$E$7:$E$106,($L124-INT($L124/1000)*1000)))</f>
        <v/>
      </c>
      <c r="C124" s="22">
        <f>IF($L124="","",INDEX(HSI!$D$7:$D$106,($L124-INT($L124/1000)*1000)))</f>
        <v/>
      </c>
      <c r="D124" s="22">
        <f>IF($L124="","",INDEX(HSI!$C$7:$C$106,($L124-INT($L124/1000)*1000)))</f>
        <v/>
      </c>
      <c r="E124" s="133">
        <f>IF($L124="","",INDEX(HSI!$K$7:$K$106,($L124-INT($L124/1000)*1000)))</f>
        <v/>
      </c>
      <c r="F124" s="123">
        <f>IF($L124="","",IF(COUNTIFS(OVR_TICKERS,$D124,OVR_BASE,"&gt;=0")=0,"",SUMIFS(OVR_BASE,OVR_TICKERS,$D124)))</f>
        <v/>
      </c>
      <c r="G124" s="133">
        <f>IF($L124="","",INDEX(HSI!$L$7:$L$106,($L124-INT($L124/1000)*1000)))</f>
        <v/>
      </c>
      <c r="H124" s="155">
        <f>IF($L124="","",IF($F124="","",IFERROR(($F124-$E124)*INDEX(HSI!$B$7:$B$106,($L124-INT($L124/1000)*1000))*INDEX(HSI!$G$7:$G$106,($L124-INT($L124/1000)*1000))/HSI!$B$3,"")))</f>
        <v/>
      </c>
      <c r="I124" s="46">
        <f>IF($L124="","",INDEX(HSI!$U$7:$U$106,($L124-INT($L124/1000)*1000)))</f>
        <v/>
      </c>
      <c r="K124" s="121">
        <f>IF(HSI!$C$55="","",IFERROR(MATCH(HSI!$E$55,Fundamentals!$B$216:$B$226,0),99)*1000+49)</f>
        <v/>
      </c>
      <c r="L124" s="121">
        <f>IFERROR(SMALL($K$76:$K$175,49),"")</f>
        <v/>
      </c>
    </row>
    <row r="125">
      <c r="B125" s="22">
        <f>IF($L125="","",INDEX(HSI!$E$7:$E$106,($L125-INT($L125/1000)*1000)))</f>
        <v/>
      </c>
      <c r="C125" s="22">
        <f>IF($L125="","",INDEX(HSI!$D$7:$D$106,($L125-INT($L125/1000)*1000)))</f>
        <v/>
      </c>
      <c r="D125" s="22">
        <f>IF($L125="","",INDEX(HSI!$C$7:$C$106,($L125-INT($L125/1000)*1000)))</f>
        <v/>
      </c>
      <c r="E125" s="133">
        <f>IF($L125="","",INDEX(HSI!$K$7:$K$106,($L125-INT($L125/1000)*1000)))</f>
        <v/>
      </c>
      <c r="F125" s="123">
        <f>IF($L125="","",IF(COUNTIFS(OVR_TICKERS,$D125,OVR_BASE,"&gt;=0")=0,"",SUMIFS(OVR_BASE,OVR_TICKERS,$D125)))</f>
        <v/>
      </c>
      <c r="G125" s="133">
        <f>IF($L125="","",INDEX(HSI!$L$7:$L$106,($L125-INT($L125/1000)*1000)))</f>
        <v/>
      </c>
      <c r="H125" s="155">
        <f>IF($L125="","",IF($F125="","",IFERROR(($F125-$E125)*INDEX(HSI!$B$7:$B$106,($L125-INT($L125/1000)*1000))*INDEX(HSI!$G$7:$G$106,($L125-INT($L125/1000)*1000))/HSI!$B$3,"")))</f>
        <v/>
      </c>
      <c r="I125" s="46">
        <f>IF($L125="","",INDEX(HSI!$U$7:$U$106,($L125-INT($L125/1000)*1000)))</f>
        <v/>
      </c>
      <c r="K125" s="121">
        <f>IF(HSI!$C$56="","",IFERROR(MATCH(HSI!$E$56,Fundamentals!$B$216:$B$226,0),99)*1000+50)</f>
        <v/>
      </c>
      <c r="L125" s="121">
        <f>IFERROR(SMALL($K$76:$K$175,50),"")</f>
        <v/>
      </c>
    </row>
    <row r="126">
      <c r="B126" s="22">
        <f>IF($L126="","",INDEX(HSI!$E$7:$E$106,($L126-INT($L126/1000)*1000)))</f>
        <v/>
      </c>
      <c r="C126" s="22">
        <f>IF($L126="","",INDEX(HSI!$D$7:$D$106,($L126-INT($L126/1000)*1000)))</f>
        <v/>
      </c>
      <c r="D126" s="22">
        <f>IF($L126="","",INDEX(HSI!$C$7:$C$106,($L126-INT($L126/1000)*1000)))</f>
        <v/>
      </c>
      <c r="E126" s="133">
        <f>IF($L126="","",INDEX(HSI!$K$7:$K$106,($L126-INT($L126/1000)*1000)))</f>
        <v/>
      </c>
      <c r="F126" s="123">
        <f>IF($L126="","",IF(COUNTIFS(OVR_TICKERS,$D126,OVR_BASE,"&gt;=0")=0,"",SUMIFS(OVR_BASE,OVR_TICKERS,$D126)))</f>
        <v/>
      </c>
      <c r="G126" s="133">
        <f>IF($L126="","",INDEX(HSI!$L$7:$L$106,($L126-INT($L126/1000)*1000)))</f>
        <v/>
      </c>
      <c r="H126" s="155">
        <f>IF($L126="","",IF($F126="","",IFERROR(($F126-$E126)*INDEX(HSI!$B$7:$B$106,($L126-INT($L126/1000)*1000))*INDEX(HSI!$G$7:$G$106,($L126-INT($L126/1000)*1000))/HSI!$B$3,"")))</f>
        <v/>
      </c>
      <c r="I126" s="46">
        <f>IF($L126="","",INDEX(HSI!$U$7:$U$106,($L126-INT($L126/1000)*1000)))</f>
        <v/>
      </c>
      <c r="K126" s="121">
        <f>IF(HSI!$C$57="","",IFERROR(MATCH(HSI!$E$57,Fundamentals!$B$216:$B$226,0),99)*1000+51)</f>
        <v/>
      </c>
      <c r="L126" s="121">
        <f>IFERROR(SMALL($K$76:$K$175,51),"")</f>
        <v/>
      </c>
    </row>
    <row r="127">
      <c r="B127" s="22">
        <f>IF($L127="","",INDEX(HSI!$E$7:$E$106,($L127-INT($L127/1000)*1000)))</f>
        <v/>
      </c>
      <c r="C127" s="22">
        <f>IF($L127="","",INDEX(HSI!$D$7:$D$106,($L127-INT($L127/1000)*1000)))</f>
        <v/>
      </c>
      <c r="D127" s="22">
        <f>IF($L127="","",INDEX(HSI!$C$7:$C$106,($L127-INT($L127/1000)*1000)))</f>
        <v/>
      </c>
      <c r="E127" s="133">
        <f>IF($L127="","",INDEX(HSI!$K$7:$K$106,($L127-INT($L127/1000)*1000)))</f>
        <v/>
      </c>
      <c r="F127" s="123">
        <f>IF($L127="","",IF(COUNTIFS(OVR_TICKERS,$D127,OVR_BASE,"&gt;=0")=0,"",SUMIFS(OVR_BASE,OVR_TICKERS,$D127)))</f>
        <v/>
      </c>
      <c r="G127" s="133">
        <f>IF($L127="","",INDEX(HSI!$L$7:$L$106,($L127-INT($L127/1000)*1000)))</f>
        <v/>
      </c>
      <c r="H127" s="155">
        <f>IF($L127="","",IF($F127="","",IFERROR(($F127-$E127)*INDEX(HSI!$B$7:$B$106,($L127-INT($L127/1000)*1000))*INDEX(HSI!$G$7:$G$106,($L127-INT($L127/1000)*1000))/HSI!$B$3,"")))</f>
        <v/>
      </c>
      <c r="I127" s="46">
        <f>IF($L127="","",INDEX(HSI!$U$7:$U$106,($L127-INT($L127/1000)*1000)))</f>
        <v/>
      </c>
      <c r="K127" s="121">
        <f>IF(HSI!$C$58="","",IFERROR(MATCH(HSI!$E$58,Fundamentals!$B$216:$B$226,0),99)*1000+52)</f>
        <v/>
      </c>
      <c r="L127" s="121">
        <f>IFERROR(SMALL($K$76:$K$175,52),"")</f>
        <v/>
      </c>
    </row>
    <row r="128">
      <c r="B128" s="22">
        <f>IF($L128="","",INDEX(HSI!$E$7:$E$106,($L128-INT($L128/1000)*1000)))</f>
        <v/>
      </c>
      <c r="C128" s="22">
        <f>IF($L128="","",INDEX(HSI!$D$7:$D$106,($L128-INT($L128/1000)*1000)))</f>
        <v/>
      </c>
      <c r="D128" s="22">
        <f>IF($L128="","",INDEX(HSI!$C$7:$C$106,($L128-INT($L128/1000)*1000)))</f>
        <v/>
      </c>
      <c r="E128" s="133">
        <f>IF($L128="","",INDEX(HSI!$K$7:$K$106,($L128-INT($L128/1000)*1000)))</f>
        <v/>
      </c>
      <c r="F128" s="123">
        <f>IF($L128="","",IF(COUNTIFS(OVR_TICKERS,$D128,OVR_BASE,"&gt;=0")=0,"",SUMIFS(OVR_BASE,OVR_TICKERS,$D128)))</f>
        <v/>
      </c>
      <c r="G128" s="133">
        <f>IF($L128="","",INDEX(HSI!$L$7:$L$106,($L128-INT($L128/1000)*1000)))</f>
        <v/>
      </c>
      <c r="H128" s="155">
        <f>IF($L128="","",IF($F128="","",IFERROR(($F128-$E128)*INDEX(HSI!$B$7:$B$106,($L128-INT($L128/1000)*1000))*INDEX(HSI!$G$7:$G$106,($L128-INT($L128/1000)*1000))/HSI!$B$3,"")))</f>
        <v/>
      </c>
      <c r="I128" s="46">
        <f>IF($L128="","",INDEX(HSI!$U$7:$U$106,($L128-INT($L128/1000)*1000)))</f>
        <v/>
      </c>
      <c r="K128" s="121">
        <f>IF(HSI!$C$59="","",IFERROR(MATCH(HSI!$E$59,Fundamentals!$B$216:$B$226,0),99)*1000+53)</f>
        <v/>
      </c>
      <c r="L128" s="121">
        <f>IFERROR(SMALL($K$76:$K$175,53),"")</f>
        <v/>
      </c>
    </row>
    <row r="129">
      <c r="B129" s="22">
        <f>IF($L129="","",INDEX(HSI!$E$7:$E$106,($L129-INT($L129/1000)*1000)))</f>
        <v/>
      </c>
      <c r="C129" s="22">
        <f>IF($L129="","",INDEX(HSI!$D$7:$D$106,($L129-INT($L129/1000)*1000)))</f>
        <v/>
      </c>
      <c r="D129" s="22">
        <f>IF($L129="","",INDEX(HSI!$C$7:$C$106,($L129-INT($L129/1000)*1000)))</f>
        <v/>
      </c>
      <c r="E129" s="133">
        <f>IF($L129="","",INDEX(HSI!$K$7:$K$106,($L129-INT($L129/1000)*1000)))</f>
        <v/>
      </c>
      <c r="F129" s="123">
        <f>IF($L129="","",IF(COUNTIFS(OVR_TICKERS,$D129,OVR_BASE,"&gt;=0")=0,"",SUMIFS(OVR_BASE,OVR_TICKERS,$D129)))</f>
        <v/>
      </c>
      <c r="G129" s="133">
        <f>IF($L129="","",INDEX(HSI!$L$7:$L$106,($L129-INT($L129/1000)*1000)))</f>
        <v/>
      </c>
      <c r="H129" s="155">
        <f>IF($L129="","",IF($F129="","",IFERROR(($F129-$E129)*INDEX(HSI!$B$7:$B$106,($L129-INT($L129/1000)*1000))*INDEX(HSI!$G$7:$G$106,($L129-INT($L129/1000)*1000))/HSI!$B$3,"")))</f>
        <v/>
      </c>
      <c r="I129" s="46">
        <f>IF($L129="","",INDEX(HSI!$U$7:$U$106,($L129-INT($L129/1000)*1000)))</f>
        <v/>
      </c>
      <c r="K129" s="121">
        <f>IF(HSI!$C$60="","",IFERROR(MATCH(HSI!$E$60,Fundamentals!$B$216:$B$226,0),99)*1000+54)</f>
        <v/>
      </c>
      <c r="L129" s="121">
        <f>IFERROR(SMALL($K$76:$K$175,54),"")</f>
        <v/>
      </c>
    </row>
    <row r="130">
      <c r="B130" s="22">
        <f>IF($L130="","",INDEX(HSI!$E$7:$E$106,($L130-INT($L130/1000)*1000)))</f>
        <v/>
      </c>
      <c r="C130" s="22">
        <f>IF($L130="","",INDEX(HSI!$D$7:$D$106,($L130-INT($L130/1000)*1000)))</f>
        <v/>
      </c>
      <c r="D130" s="22">
        <f>IF($L130="","",INDEX(HSI!$C$7:$C$106,($L130-INT($L130/1000)*1000)))</f>
        <v/>
      </c>
      <c r="E130" s="133">
        <f>IF($L130="","",INDEX(HSI!$K$7:$K$106,($L130-INT($L130/1000)*1000)))</f>
        <v/>
      </c>
      <c r="F130" s="123">
        <f>IF($L130="","",IF(COUNTIFS(OVR_TICKERS,$D130,OVR_BASE,"&gt;=0")=0,"",SUMIFS(OVR_BASE,OVR_TICKERS,$D130)))</f>
        <v/>
      </c>
      <c r="G130" s="133">
        <f>IF($L130="","",INDEX(HSI!$L$7:$L$106,($L130-INT($L130/1000)*1000)))</f>
        <v/>
      </c>
      <c r="H130" s="155">
        <f>IF($L130="","",IF($F130="","",IFERROR(($F130-$E130)*INDEX(HSI!$B$7:$B$106,($L130-INT($L130/1000)*1000))*INDEX(HSI!$G$7:$G$106,($L130-INT($L130/1000)*1000))/HSI!$B$3,"")))</f>
        <v/>
      </c>
      <c r="I130" s="46">
        <f>IF($L130="","",INDEX(HSI!$U$7:$U$106,($L130-INT($L130/1000)*1000)))</f>
        <v/>
      </c>
      <c r="K130" s="121">
        <f>IF(HSI!$C$61="","",IFERROR(MATCH(HSI!$E$61,Fundamentals!$B$216:$B$226,0),99)*1000+55)</f>
        <v/>
      </c>
      <c r="L130" s="121">
        <f>IFERROR(SMALL($K$76:$K$175,55),"")</f>
        <v/>
      </c>
    </row>
    <row r="131">
      <c r="B131" s="22">
        <f>IF($L131="","",INDEX(HSI!$E$7:$E$106,($L131-INT($L131/1000)*1000)))</f>
        <v/>
      </c>
      <c r="C131" s="22">
        <f>IF($L131="","",INDEX(HSI!$D$7:$D$106,($L131-INT($L131/1000)*1000)))</f>
        <v/>
      </c>
      <c r="D131" s="22">
        <f>IF($L131="","",INDEX(HSI!$C$7:$C$106,($L131-INT($L131/1000)*1000)))</f>
        <v/>
      </c>
      <c r="E131" s="133">
        <f>IF($L131="","",INDEX(HSI!$K$7:$K$106,($L131-INT($L131/1000)*1000)))</f>
        <v/>
      </c>
      <c r="F131" s="123">
        <f>IF($L131="","",IF(COUNTIFS(OVR_TICKERS,$D131,OVR_BASE,"&gt;=0")=0,"",SUMIFS(OVR_BASE,OVR_TICKERS,$D131)))</f>
        <v/>
      </c>
      <c r="G131" s="133">
        <f>IF($L131="","",INDEX(HSI!$L$7:$L$106,($L131-INT($L131/1000)*1000)))</f>
        <v/>
      </c>
      <c r="H131" s="155">
        <f>IF($L131="","",IF($F131="","",IFERROR(($F131-$E131)*INDEX(HSI!$B$7:$B$106,($L131-INT($L131/1000)*1000))*INDEX(HSI!$G$7:$G$106,($L131-INT($L131/1000)*1000))/HSI!$B$3,"")))</f>
        <v/>
      </c>
      <c r="I131" s="46">
        <f>IF($L131="","",INDEX(HSI!$U$7:$U$106,($L131-INT($L131/1000)*1000)))</f>
        <v/>
      </c>
      <c r="K131" s="121">
        <f>IF(HSI!$C$62="","",IFERROR(MATCH(HSI!$E$62,Fundamentals!$B$216:$B$226,0),99)*1000+56)</f>
        <v/>
      </c>
      <c r="L131" s="121">
        <f>IFERROR(SMALL($K$76:$K$175,56),"")</f>
        <v/>
      </c>
    </row>
    <row r="132">
      <c r="B132" s="22">
        <f>IF($L132="","",INDEX(HSI!$E$7:$E$106,($L132-INT($L132/1000)*1000)))</f>
        <v/>
      </c>
      <c r="C132" s="22">
        <f>IF($L132="","",INDEX(HSI!$D$7:$D$106,($L132-INT($L132/1000)*1000)))</f>
        <v/>
      </c>
      <c r="D132" s="22">
        <f>IF($L132="","",INDEX(HSI!$C$7:$C$106,($L132-INT($L132/1000)*1000)))</f>
        <v/>
      </c>
      <c r="E132" s="133">
        <f>IF($L132="","",INDEX(HSI!$K$7:$K$106,($L132-INT($L132/1000)*1000)))</f>
        <v/>
      </c>
      <c r="F132" s="123">
        <f>IF($L132="","",IF(COUNTIFS(OVR_TICKERS,$D132,OVR_BASE,"&gt;=0")=0,"",SUMIFS(OVR_BASE,OVR_TICKERS,$D132)))</f>
        <v/>
      </c>
      <c r="G132" s="133">
        <f>IF($L132="","",INDEX(HSI!$L$7:$L$106,($L132-INT($L132/1000)*1000)))</f>
        <v/>
      </c>
      <c r="H132" s="155">
        <f>IF($L132="","",IF($F132="","",IFERROR(($F132-$E132)*INDEX(HSI!$B$7:$B$106,($L132-INT($L132/1000)*1000))*INDEX(HSI!$G$7:$G$106,($L132-INT($L132/1000)*1000))/HSI!$B$3,"")))</f>
        <v/>
      </c>
      <c r="I132" s="46">
        <f>IF($L132="","",INDEX(HSI!$U$7:$U$106,($L132-INT($L132/1000)*1000)))</f>
        <v/>
      </c>
      <c r="K132" s="121">
        <f>IF(HSI!$C$63="","",IFERROR(MATCH(HSI!$E$63,Fundamentals!$B$216:$B$226,0),99)*1000+57)</f>
        <v/>
      </c>
      <c r="L132" s="121">
        <f>IFERROR(SMALL($K$76:$K$175,57),"")</f>
        <v/>
      </c>
    </row>
    <row r="133">
      <c r="B133" s="22">
        <f>IF($L133="","",INDEX(HSI!$E$7:$E$106,($L133-INT($L133/1000)*1000)))</f>
        <v/>
      </c>
      <c r="C133" s="22">
        <f>IF($L133="","",INDEX(HSI!$D$7:$D$106,($L133-INT($L133/1000)*1000)))</f>
        <v/>
      </c>
      <c r="D133" s="22">
        <f>IF($L133="","",INDEX(HSI!$C$7:$C$106,($L133-INT($L133/1000)*1000)))</f>
        <v/>
      </c>
      <c r="E133" s="133">
        <f>IF($L133="","",INDEX(HSI!$K$7:$K$106,($L133-INT($L133/1000)*1000)))</f>
        <v/>
      </c>
      <c r="F133" s="123">
        <f>IF($L133="","",IF(COUNTIFS(OVR_TICKERS,$D133,OVR_BASE,"&gt;=0")=0,"",SUMIFS(OVR_BASE,OVR_TICKERS,$D133)))</f>
        <v/>
      </c>
      <c r="G133" s="133">
        <f>IF($L133="","",INDEX(HSI!$L$7:$L$106,($L133-INT($L133/1000)*1000)))</f>
        <v/>
      </c>
      <c r="H133" s="155">
        <f>IF($L133="","",IF($F133="","",IFERROR(($F133-$E133)*INDEX(HSI!$B$7:$B$106,($L133-INT($L133/1000)*1000))*INDEX(HSI!$G$7:$G$106,($L133-INT($L133/1000)*1000))/HSI!$B$3,"")))</f>
        <v/>
      </c>
      <c r="I133" s="46">
        <f>IF($L133="","",INDEX(HSI!$U$7:$U$106,($L133-INT($L133/1000)*1000)))</f>
        <v/>
      </c>
      <c r="K133" s="121">
        <f>IF(HSI!$C$64="","",IFERROR(MATCH(HSI!$E$64,Fundamentals!$B$216:$B$226,0),99)*1000+58)</f>
        <v/>
      </c>
      <c r="L133" s="121">
        <f>IFERROR(SMALL($K$76:$K$175,58),"")</f>
        <v/>
      </c>
    </row>
    <row r="134">
      <c r="B134" s="22">
        <f>IF($L134="","",INDEX(HSI!$E$7:$E$106,($L134-INT($L134/1000)*1000)))</f>
        <v/>
      </c>
      <c r="C134" s="22">
        <f>IF($L134="","",INDEX(HSI!$D$7:$D$106,($L134-INT($L134/1000)*1000)))</f>
        <v/>
      </c>
      <c r="D134" s="22">
        <f>IF($L134="","",INDEX(HSI!$C$7:$C$106,($L134-INT($L134/1000)*1000)))</f>
        <v/>
      </c>
      <c r="E134" s="133">
        <f>IF($L134="","",INDEX(HSI!$K$7:$K$106,($L134-INT($L134/1000)*1000)))</f>
        <v/>
      </c>
      <c r="F134" s="123">
        <f>IF($L134="","",IF(COUNTIFS(OVR_TICKERS,$D134,OVR_BASE,"&gt;=0")=0,"",SUMIFS(OVR_BASE,OVR_TICKERS,$D134)))</f>
        <v/>
      </c>
      <c r="G134" s="133">
        <f>IF($L134="","",INDEX(HSI!$L$7:$L$106,($L134-INT($L134/1000)*1000)))</f>
        <v/>
      </c>
      <c r="H134" s="155">
        <f>IF($L134="","",IF($F134="","",IFERROR(($F134-$E134)*INDEX(HSI!$B$7:$B$106,($L134-INT($L134/1000)*1000))*INDEX(HSI!$G$7:$G$106,($L134-INT($L134/1000)*1000))/HSI!$B$3,"")))</f>
        <v/>
      </c>
      <c r="I134" s="46">
        <f>IF($L134="","",INDEX(HSI!$U$7:$U$106,($L134-INT($L134/1000)*1000)))</f>
        <v/>
      </c>
      <c r="K134" s="121">
        <f>IF(HSI!$C$65="","",IFERROR(MATCH(HSI!$E$65,Fundamentals!$B$216:$B$226,0),99)*1000+59)</f>
        <v/>
      </c>
      <c r="L134" s="121">
        <f>IFERROR(SMALL($K$76:$K$175,59),"")</f>
        <v/>
      </c>
    </row>
    <row r="135">
      <c r="B135" s="22">
        <f>IF($L135="","",INDEX(HSI!$E$7:$E$106,($L135-INT($L135/1000)*1000)))</f>
        <v/>
      </c>
      <c r="C135" s="22">
        <f>IF($L135="","",INDEX(HSI!$D$7:$D$106,($L135-INT($L135/1000)*1000)))</f>
        <v/>
      </c>
      <c r="D135" s="22">
        <f>IF($L135="","",INDEX(HSI!$C$7:$C$106,($L135-INT($L135/1000)*1000)))</f>
        <v/>
      </c>
      <c r="E135" s="133">
        <f>IF($L135="","",INDEX(HSI!$K$7:$K$106,($L135-INT($L135/1000)*1000)))</f>
        <v/>
      </c>
      <c r="F135" s="123">
        <f>IF($L135="","",IF(COUNTIFS(OVR_TICKERS,$D135,OVR_BASE,"&gt;=0")=0,"",SUMIFS(OVR_BASE,OVR_TICKERS,$D135)))</f>
        <v/>
      </c>
      <c r="G135" s="133">
        <f>IF($L135="","",INDEX(HSI!$L$7:$L$106,($L135-INT($L135/1000)*1000)))</f>
        <v/>
      </c>
      <c r="H135" s="155">
        <f>IF($L135="","",IF($F135="","",IFERROR(($F135-$E135)*INDEX(HSI!$B$7:$B$106,($L135-INT($L135/1000)*1000))*INDEX(HSI!$G$7:$G$106,($L135-INT($L135/1000)*1000))/HSI!$B$3,"")))</f>
        <v/>
      </c>
      <c r="I135" s="46">
        <f>IF($L135="","",INDEX(HSI!$U$7:$U$106,($L135-INT($L135/1000)*1000)))</f>
        <v/>
      </c>
      <c r="K135" s="121">
        <f>IF(HSI!$C$66="","",IFERROR(MATCH(HSI!$E$66,Fundamentals!$B$216:$B$226,0),99)*1000+60)</f>
        <v/>
      </c>
      <c r="L135" s="121">
        <f>IFERROR(SMALL($K$76:$K$175,60),"")</f>
        <v/>
      </c>
    </row>
    <row r="136">
      <c r="B136" s="22">
        <f>IF($L136="","",INDEX(HSI!$E$7:$E$106,($L136-INT($L136/1000)*1000)))</f>
        <v/>
      </c>
      <c r="C136" s="22">
        <f>IF($L136="","",INDEX(HSI!$D$7:$D$106,($L136-INT($L136/1000)*1000)))</f>
        <v/>
      </c>
      <c r="D136" s="22">
        <f>IF($L136="","",INDEX(HSI!$C$7:$C$106,($L136-INT($L136/1000)*1000)))</f>
        <v/>
      </c>
      <c r="E136" s="133">
        <f>IF($L136="","",INDEX(HSI!$K$7:$K$106,($L136-INT($L136/1000)*1000)))</f>
        <v/>
      </c>
      <c r="F136" s="123">
        <f>IF($L136="","",IF(COUNTIFS(OVR_TICKERS,$D136,OVR_BASE,"&gt;=0")=0,"",SUMIFS(OVR_BASE,OVR_TICKERS,$D136)))</f>
        <v/>
      </c>
      <c r="G136" s="133">
        <f>IF($L136="","",INDEX(HSI!$L$7:$L$106,($L136-INT($L136/1000)*1000)))</f>
        <v/>
      </c>
      <c r="H136" s="155">
        <f>IF($L136="","",IF($F136="","",IFERROR(($F136-$E136)*INDEX(HSI!$B$7:$B$106,($L136-INT($L136/1000)*1000))*INDEX(HSI!$G$7:$G$106,($L136-INT($L136/1000)*1000))/HSI!$B$3,"")))</f>
        <v/>
      </c>
      <c r="I136" s="46">
        <f>IF($L136="","",INDEX(HSI!$U$7:$U$106,($L136-INT($L136/1000)*1000)))</f>
        <v/>
      </c>
      <c r="K136" s="121">
        <f>IF(HSI!$C$67="","",IFERROR(MATCH(HSI!$E$67,Fundamentals!$B$216:$B$226,0),99)*1000+61)</f>
        <v/>
      </c>
      <c r="L136" s="121">
        <f>IFERROR(SMALL($K$76:$K$175,61),"")</f>
        <v/>
      </c>
    </row>
    <row r="137">
      <c r="B137" s="22">
        <f>IF($L137="","",INDEX(HSI!$E$7:$E$106,($L137-INT($L137/1000)*1000)))</f>
        <v/>
      </c>
      <c r="C137" s="22">
        <f>IF($L137="","",INDEX(HSI!$D$7:$D$106,($L137-INT($L137/1000)*1000)))</f>
        <v/>
      </c>
      <c r="D137" s="22">
        <f>IF($L137="","",INDEX(HSI!$C$7:$C$106,($L137-INT($L137/1000)*1000)))</f>
        <v/>
      </c>
      <c r="E137" s="133">
        <f>IF($L137="","",INDEX(HSI!$K$7:$K$106,($L137-INT($L137/1000)*1000)))</f>
        <v/>
      </c>
      <c r="F137" s="123">
        <f>IF($L137="","",IF(COUNTIFS(OVR_TICKERS,$D137,OVR_BASE,"&gt;=0")=0,"",SUMIFS(OVR_BASE,OVR_TICKERS,$D137)))</f>
        <v/>
      </c>
      <c r="G137" s="133">
        <f>IF($L137="","",INDEX(HSI!$L$7:$L$106,($L137-INT($L137/1000)*1000)))</f>
        <v/>
      </c>
      <c r="H137" s="155">
        <f>IF($L137="","",IF($F137="","",IFERROR(($F137-$E137)*INDEX(HSI!$B$7:$B$106,($L137-INT($L137/1000)*1000))*INDEX(HSI!$G$7:$G$106,($L137-INT($L137/1000)*1000))/HSI!$B$3,"")))</f>
        <v/>
      </c>
      <c r="I137" s="46">
        <f>IF($L137="","",INDEX(HSI!$U$7:$U$106,($L137-INT($L137/1000)*1000)))</f>
        <v/>
      </c>
      <c r="K137" s="121">
        <f>IF(HSI!$C$68="","",IFERROR(MATCH(HSI!$E$68,Fundamentals!$B$216:$B$226,0),99)*1000+62)</f>
        <v/>
      </c>
      <c r="L137" s="121">
        <f>IFERROR(SMALL($K$76:$K$175,62),"")</f>
        <v/>
      </c>
    </row>
    <row r="138">
      <c r="B138" s="22">
        <f>IF($L138="","",INDEX(HSI!$E$7:$E$106,($L138-INT($L138/1000)*1000)))</f>
        <v/>
      </c>
      <c r="C138" s="22">
        <f>IF($L138="","",INDEX(HSI!$D$7:$D$106,($L138-INT($L138/1000)*1000)))</f>
        <v/>
      </c>
      <c r="D138" s="22">
        <f>IF($L138="","",INDEX(HSI!$C$7:$C$106,($L138-INT($L138/1000)*1000)))</f>
        <v/>
      </c>
      <c r="E138" s="133">
        <f>IF($L138="","",INDEX(HSI!$K$7:$K$106,($L138-INT($L138/1000)*1000)))</f>
        <v/>
      </c>
      <c r="F138" s="123">
        <f>IF($L138="","",IF(COUNTIFS(OVR_TICKERS,$D138,OVR_BASE,"&gt;=0")=0,"",SUMIFS(OVR_BASE,OVR_TICKERS,$D138)))</f>
        <v/>
      </c>
      <c r="G138" s="133">
        <f>IF($L138="","",INDEX(HSI!$L$7:$L$106,($L138-INT($L138/1000)*1000)))</f>
        <v/>
      </c>
      <c r="H138" s="155">
        <f>IF($L138="","",IF($F138="","",IFERROR(($F138-$E138)*INDEX(HSI!$B$7:$B$106,($L138-INT($L138/1000)*1000))*INDEX(HSI!$G$7:$G$106,($L138-INT($L138/1000)*1000))/HSI!$B$3,"")))</f>
        <v/>
      </c>
      <c r="I138" s="46">
        <f>IF($L138="","",INDEX(HSI!$U$7:$U$106,($L138-INT($L138/1000)*1000)))</f>
        <v/>
      </c>
      <c r="K138" s="121">
        <f>IF(HSI!$C$69="","",IFERROR(MATCH(HSI!$E$69,Fundamentals!$B$216:$B$226,0),99)*1000+63)</f>
        <v/>
      </c>
      <c r="L138" s="121">
        <f>IFERROR(SMALL($K$76:$K$175,63),"")</f>
        <v/>
      </c>
    </row>
    <row r="139">
      <c r="B139" s="22">
        <f>IF($L139="","",INDEX(HSI!$E$7:$E$106,($L139-INT($L139/1000)*1000)))</f>
        <v/>
      </c>
      <c r="C139" s="22">
        <f>IF($L139="","",INDEX(HSI!$D$7:$D$106,($L139-INT($L139/1000)*1000)))</f>
        <v/>
      </c>
      <c r="D139" s="22">
        <f>IF($L139="","",INDEX(HSI!$C$7:$C$106,($L139-INT($L139/1000)*1000)))</f>
        <v/>
      </c>
      <c r="E139" s="133">
        <f>IF($L139="","",INDEX(HSI!$K$7:$K$106,($L139-INT($L139/1000)*1000)))</f>
        <v/>
      </c>
      <c r="F139" s="123">
        <f>IF($L139="","",IF(COUNTIFS(OVR_TICKERS,$D139,OVR_BASE,"&gt;=0")=0,"",SUMIFS(OVR_BASE,OVR_TICKERS,$D139)))</f>
        <v/>
      </c>
      <c r="G139" s="133">
        <f>IF($L139="","",INDEX(HSI!$L$7:$L$106,($L139-INT($L139/1000)*1000)))</f>
        <v/>
      </c>
      <c r="H139" s="155">
        <f>IF($L139="","",IF($F139="","",IFERROR(($F139-$E139)*INDEX(HSI!$B$7:$B$106,($L139-INT($L139/1000)*1000))*INDEX(HSI!$G$7:$G$106,($L139-INT($L139/1000)*1000))/HSI!$B$3,"")))</f>
        <v/>
      </c>
      <c r="I139" s="46">
        <f>IF($L139="","",INDEX(HSI!$U$7:$U$106,($L139-INT($L139/1000)*1000)))</f>
        <v/>
      </c>
      <c r="K139" s="121">
        <f>IF(HSI!$C$70="","",IFERROR(MATCH(HSI!$E$70,Fundamentals!$B$216:$B$226,0),99)*1000+64)</f>
        <v/>
      </c>
      <c r="L139" s="121">
        <f>IFERROR(SMALL($K$76:$K$175,64),"")</f>
        <v/>
      </c>
    </row>
    <row r="140">
      <c r="B140" s="22">
        <f>IF($L140="","",INDEX(HSI!$E$7:$E$106,($L140-INT($L140/1000)*1000)))</f>
        <v/>
      </c>
      <c r="C140" s="22">
        <f>IF($L140="","",INDEX(HSI!$D$7:$D$106,($L140-INT($L140/1000)*1000)))</f>
        <v/>
      </c>
      <c r="D140" s="22">
        <f>IF($L140="","",INDEX(HSI!$C$7:$C$106,($L140-INT($L140/1000)*1000)))</f>
        <v/>
      </c>
      <c r="E140" s="133">
        <f>IF($L140="","",INDEX(HSI!$K$7:$K$106,($L140-INT($L140/1000)*1000)))</f>
        <v/>
      </c>
      <c r="F140" s="123">
        <f>IF($L140="","",IF(COUNTIFS(OVR_TICKERS,$D140,OVR_BASE,"&gt;=0")=0,"",SUMIFS(OVR_BASE,OVR_TICKERS,$D140)))</f>
        <v/>
      </c>
      <c r="G140" s="133">
        <f>IF($L140="","",INDEX(HSI!$L$7:$L$106,($L140-INT($L140/1000)*1000)))</f>
        <v/>
      </c>
      <c r="H140" s="155">
        <f>IF($L140="","",IF($F140="","",IFERROR(($F140-$E140)*INDEX(HSI!$B$7:$B$106,($L140-INT($L140/1000)*1000))*INDEX(HSI!$G$7:$G$106,($L140-INT($L140/1000)*1000))/HSI!$B$3,"")))</f>
        <v/>
      </c>
      <c r="I140" s="46">
        <f>IF($L140="","",INDEX(HSI!$U$7:$U$106,($L140-INT($L140/1000)*1000)))</f>
        <v/>
      </c>
      <c r="K140" s="121">
        <f>IF(HSI!$C$71="","",IFERROR(MATCH(HSI!$E$71,Fundamentals!$B$216:$B$226,0),99)*1000+65)</f>
        <v/>
      </c>
      <c r="L140" s="121">
        <f>IFERROR(SMALL($K$76:$K$175,65),"")</f>
        <v/>
      </c>
    </row>
    <row r="141">
      <c r="B141" s="22">
        <f>IF($L141="","",INDEX(HSI!$E$7:$E$106,($L141-INT($L141/1000)*1000)))</f>
        <v/>
      </c>
      <c r="C141" s="22">
        <f>IF($L141="","",INDEX(HSI!$D$7:$D$106,($L141-INT($L141/1000)*1000)))</f>
        <v/>
      </c>
      <c r="D141" s="22">
        <f>IF($L141="","",INDEX(HSI!$C$7:$C$106,($L141-INT($L141/1000)*1000)))</f>
        <v/>
      </c>
      <c r="E141" s="133">
        <f>IF($L141="","",INDEX(HSI!$K$7:$K$106,($L141-INT($L141/1000)*1000)))</f>
        <v/>
      </c>
      <c r="F141" s="123">
        <f>IF($L141="","",IF(COUNTIFS(OVR_TICKERS,$D141,OVR_BASE,"&gt;=0")=0,"",SUMIFS(OVR_BASE,OVR_TICKERS,$D141)))</f>
        <v/>
      </c>
      <c r="G141" s="133">
        <f>IF($L141="","",INDEX(HSI!$L$7:$L$106,($L141-INT($L141/1000)*1000)))</f>
        <v/>
      </c>
      <c r="H141" s="155">
        <f>IF($L141="","",IF($F141="","",IFERROR(($F141-$E141)*INDEX(HSI!$B$7:$B$106,($L141-INT($L141/1000)*1000))*INDEX(HSI!$G$7:$G$106,($L141-INT($L141/1000)*1000))/HSI!$B$3,"")))</f>
        <v/>
      </c>
      <c r="I141" s="46">
        <f>IF($L141="","",INDEX(HSI!$U$7:$U$106,($L141-INT($L141/1000)*1000)))</f>
        <v/>
      </c>
      <c r="K141" s="121">
        <f>IF(HSI!$C$72="","",IFERROR(MATCH(HSI!$E$72,Fundamentals!$B$216:$B$226,0),99)*1000+66)</f>
        <v/>
      </c>
      <c r="L141" s="121">
        <f>IFERROR(SMALL($K$76:$K$175,66),"")</f>
        <v/>
      </c>
    </row>
    <row r="142">
      <c r="B142" s="22">
        <f>IF($L142="","",INDEX(HSI!$E$7:$E$106,($L142-INT($L142/1000)*1000)))</f>
        <v/>
      </c>
      <c r="C142" s="22">
        <f>IF($L142="","",INDEX(HSI!$D$7:$D$106,($L142-INT($L142/1000)*1000)))</f>
        <v/>
      </c>
      <c r="D142" s="22">
        <f>IF($L142="","",INDEX(HSI!$C$7:$C$106,($L142-INT($L142/1000)*1000)))</f>
        <v/>
      </c>
      <c r="E142" s="133">
        <f>IF($L142="","",INDEX(HSI!$K$7:$K$106,($L142-INT($L142/1000)*1000)))</f>
        <v/>
      </c>
      <c r="F142" s="123">
        <f>IF($L142="","",IF(COUNTIFS(OVR_TICKERS,$D142,OVR_BASE,"&gt;=0")=0,"",SUMIFS(OVR_BASE,OVR_TICKERS,$D142)))</f>
        <v/>
      </c>
      <c r="G142" s="133">
        <f>IF($L142="","",INDEX(HSI!$L$7:$L$106,($L142-INT($L142/1000)*1000)))</f>
        <v/>
      </c>
      <c r="H142" s="155">
        <f>IF($L142="","",IF($F142="","",IFERROR(($F142-$E142)*INDEX(HSI!$B$7:$B$106,($L142-INT($L142/1000)*1000))*INDEX(HSI!$G$7:$G$106,($L142-INT($L142/1000)*1000))/HSI!$B$3,"")))</f>
        <v/>
      </c>
      <c r="I142" s="46">
        <f>IF($L142="","",INDEX(HSI!$U$7:$U$106,($L142-INT($L142/1000)*1000)))</f>
        <v/>
      </c>
      <c r="K142" s="121">
        <f>IF(HSI!$C$73="","",IFERROR(MATCH(HSI!$E$73,Fundamentals!$B$216:$B$226,0),99)*1000+67)</f>
        <v/>
      </c>
      <c r="L142" s="121">
        <f>IFERROR(SMALL($K$76:$K$175,67),"")</f>
        <v/>
      </c>
    </row>
    <row r="143">
      <c r="B143" s="22">
        <f>IF($L143="","",INDEX(HSI!$E$7:$E$106,($L143-INT($L143/1000)*1000)))</f>
        <v/>
      </c>
      <c r="C143" s="22">
        <f>IF($L143="","",INDEX(HSI!$D$7:$D$106,($L143-INT($L143/1000)*1000)))</f>
        <v/>
      </c>
      <c r="D143" s="22">
        <f>IF($L143="","",INDEX(HSI!$C$7:$C$106,($L143-INT($L143/1000)*1000)))</f>
        <v/>
      </c>
      <c r="E143" s="133">
        <f>IF($L143="","",INDEX(HSI!$K$7:$K$106,($L143-INT($L143/1000)*1000)))</f>
        <v/>
      </c>
      <c r="F143" s="123">
        <f>IF($L143="","",IF(COUNTIFS(OVR_TICKERS,$D143,OVR_BASE,"&gt;=0")=0,"",SUMIFS(OVR_BASE,OVR_TICKERS,$D143)))</f>
        <v/>
      </c>
      <c r="G143" s="133">
        <f>IF($L143="","",INDEX(HSI!$L$7:$L$106,($L143-INT($L143/1000)*1000)))</f>
        <v/>
      </c>
      <c r="H143" s="155">
        <f>IF($L143="","",IF($F143="","",IFERROR(($F143-$E143)*INDEX(HSI!$B$7:$B$106,($L143-INT($L143/1000)*1000))*INDEX(HSI!$G$7:$G$106,($L143-INT($L143/1000)*1000))/HSI!$B$3,"")))</f>
        <v/>
      </c>
      <c r="I143" s="46">
        <f>IF($L143="","",INDEX(HSI!$U$7:$U$106,($L143-INT($L143/1000)*1000)))</f>
        <v/>
      </c>
      <c r="K143" s="121">
        <f>IF(HSI!$C$74="","",IFERROR(MATCH(HSI!$E$74,Fundamentals!$B$216:$B$226,0),99)*1000+68)</f>
        <v/>
      </c>
      <c r="L143" s="121">
        <f>IFERROR(SMALL($K$76:$K$175,68),"")</f>
        <v/>
      </c>
    </row>
    <row r="144">
      <c r="B144" s="22">
        <f>IF($L144="","",INDEX(HSI!$E$7:$E$106,($L144-INT($L144/1000)*1000)))</f>
        <v/>
      </c>
      <c r="C144" s="22">
        <f>IF($L144="","",INDEX(HSI!$D$7:$D$106,($L144-INT($L144/1000)*1000)))</f>
        <v/>
      </c>
      <c r="D144" s="22">
        <f>IF($L144="","",INDEX(HSI!$C$7:$C$106,($L144-INT($L144/1000)*1000)))</f>
        <v/>
      </c>
      <c r="E144" s="133">
        <f>IF($L144="","",INDEX(HSI!$K$7:$K$106,($L144-INT($L144/1000)*1000)))</f>
        <v/>
      </c>
      <c r="F144" s="123">
        <f>IF($L144="","",IF(COUNTIFS(OVR_TICKERS,$D144,OVR_BASE,"&gt;=0")=0,"",SUMIFS(OVR_BASE,OVR_TICKERS,$D144)))</f>
        <v/>
      </c>
      <c r="G144" s="133">
        <f>IF($L144="","",INDEX(HSI!$L$7:$L$106,($L144-INT($L144/1000)*1000)))</f>
        <v/>
      </c>
      <c r="H144" s="155">
        <f>IF($L144="","",IF($F144="","",IFERROR(($F144-$E144)*INDEX(HSI!$B$7:$B$106,($L144-INT($L144/1000)*1000))*INDEX(HSI!$G$7:$G$106,($L144-INT($L144/1000)*1000))/HSI!$B$3,"")))</f>
        <v/>
      </c>
      <c r="I144" s="46">
        <f>IF($L144="","",INDEX(HSI!$U$7:$U$106,($L144-INT($L144/1000)*1000)))</f>
        <v/>
      </c>
      <c r="K144" s="121">
        <f>IF(HSI!$C$75="","",IFERROR(MATCH(HSI!$E$75,Fundamentals!$B$216:$B$226,0),99)*1000+69)</f>
        <v/>
      </c>
      <c r="L144" s="121">
        <f>IFERROR(SMALL($K$76:$K$175,69),"")</f>
        <v/>
      </c>
    </row>
    <row r="145">
      <c r="B145" s="22">
        <f>IF($L145="","",INDEX(HSI!$E$7:$E$106,($L145-INT($L145/1000)*1000)))</f>
        <v/>
      </c>
      <c r="C145" s="22">
        <f>IF($L145="","",INDEX(HSI!$D$7:$D$106,($L145-INT($L145/1000)*1000)))</f>
        <v/>
      </c>
      <c r="D145" s="22">
        <f>IF($L145="","",INDEX(HSI!$C$7:$C$106,($L145-INT($L145/1000)*1000)))</f>
        <v/>
      </c>
      <c r="E145" s="133">
        <f>IF($L145="","",INDEX(HSI!$K$7:$K$106,($L145-INT($L145/1000)*1000)))</f>
        <v/>
      </c>
      <c r="F145" s="123">
        <f>IF($L145="","",IF(COUNTIFS(OVR_TICKERS,$D145,OVR_BASE,"&gt;=0")=0,"",SUMIFS(OVR_BASE,OVR_TICKERS,$D145)))</f>
        <v/>
      </c>
      <c r="G145" s="133">
        <f>IF($L145="","",INDEX(HSI!$L$7:$L$106,($L145-INT($L145/1000)*1000)))</f>
        <v/>
      </c>
      <c r="H145" s="155">
        <f>IF($L145="","",IF($F145="","",IFERROR(($F145-$E145)*INDEX(HSI!$B$7:$B$106,($L145-INT($L145/1000)*1000))*INDEX(HSI!$G$7:$G$106,($L145-INT($L145/1000)*1000))/HSI!$B$3,"")))</f>
        <v/>
      </c>
      <c r="I145" s="46">
        <f>IF($L145="","",INDEX(HSI!$U$7:$U$106,($L145-INT($L145/1000)*1000)))</f>
        <v/>
      </c>
      <c r="K145" s="121">
        <f>IF(HSI!$C$76="","",IFERROR(MATCH(HSI!$E$76,Fundamentals!$B$216:$B$226,0),99)*1000+70)</f>
        <v/>
      </c>
      <c r="L145" s="121">
        <f>IFERROR(SMALL($K$76:$K$175,70),"")</f>
        <v/>
      </c>
    </row>
    <row r="146">
      <c r="B146" s="22">
        <f>IF($L146="","",INDEX(HSI!$E$7:$E$106,($L146-INT($L146/1000)*1000)))</f>
        <v/>
      </c>
      <c r="C146" s="22">
        <f>IF($L146="","",INDEX(HSI!$D$7:$D$106,($L146-INT($L146/1000)*1000)))</f>
        <v/>
      </c>
      <c r="D146" s="22">
        <f>IF($L146="","",INDEX(HSI!$C$7:$C$106,($L146-INT($L146/1000)*1000)))</f>
        <v/>
      </c>
      <c r="E146" s="133">
        <f>IF($L146="","",INDEX(HSI!$K$7:$K$106,($L146-INT($L146/1000)*1000)))</f>
        <v/>
      </c>
      <c r="F146" s="123">
        <f>IF($L146="","",IF(COUNTIFS(OVR_TICKERS,$D146,OVR_BASE,"&gt;=0")=0,"",SUMIFS(OVR_BASE,OVR_TICKERS,$D146)))</f>
        <v/>
      </c>
      <c r="G146" s="133">
        <f>IF($L146="","",INDEX(HSI!$L$7:$L$106,($L146-INT($L146/1000)*1000)))</f>
        <v/>
      </c>
      <c r="H146" s="155">
        <f>IF($L146="","",IF($F146="","",IFERROR(($F146-$E146)*INDEX(HSI!$B$7:$B$106,($L146-INT($L146/1000)*1000))*INDEX(HSI!$G$7:$G$106,($L146-INT($L146/1000)*1000))/HSI!$B$3,"")))</f>
        <v/>
      </c>
      <c r="I146" s="46">
        <f>IF($L146="","",INDEX(HSI!$U$7:$U$106,($L146-INT($L146/1000)*1000)))</f>
        <v/>
      </c>
      <c r="K146" s="121">
        <f>IF(HSI!$C$77="","",IFERROR(MATCH(HSI!$E$77,Fundamentals!$B$216:$B$226,0),99)*1000+71)</f>
        <v/>
      </c>
      <c r="L146" s="121">
        <f>IFERROR(SMALL($K$76:$K$175,71),"")</f>
        <v/>
      </c>
    </row>
    <row r="147">
      <c r="B147" s="22">
        <f>IF($L147="","",INDEX(HSI!$E$7:$E$106,($L147-INT($L147/1000)*1000)))</f>
        <v/>
      </c>
      <c r="C147" s="22">
        <f>IF($L147="","",INDEX(HSI!$D$7:$D$106,($L147-INT($L147/1000)*1000)))</f>
        <v/>
      </c>
      <c r="D147" s="22">
        <f>IF($L147="","",INDEX(HSI!$C$7:$C$106,($L147-INT($L147/1000)*1000)))</f>
        <v/>
      </c>
      <c r="E147" s="133">
        <f>IF($L147="","",INDEX(HSI!$K$7:$K$106,($L147-INT($L147/1000)*1000)))</f>
        <v/>
      </c>
      <c r="F147" s="123">
        <f>IF($L147="","",IF(COUNTIFS(OVR_TICKERS,$D147,OVR_BASE,"&gt;=0")=0,"",SUMIFS(OVR_BASE,OVR_TICKERS,$D147)))</f>
        <v/>
      </c>
      <c r="G147" s="133">
        <f>IF($L147="","",INDEX(HSI!$L$7:$L$106,($L147-INT($L147/1000)*1000)))</f>
        <v/>
      </c>
      <c r="H147" s="155">
        <f>IF($L147="","",IF($F147="","",IFERROR(($F147-$E147)*INDEX(HSI!$B$7:$B$106,($L147-INT($L147/1000)*1000))*INDEX(HSI!$G$7:$G$106,($L147-INT($L147/1000)*1000))/HSI!$B$3,"")))</f>
        <v/>
      </c>
      <c r="I147" s="46">
        <f>IF($L147="","",INDEX(HSI!$U$7:$U$106,($L147-INT($L147/1000)*1000)))</f>
        <v/>
      </c>
      <c r="K147" s="121">
        <f>IF(HSI!$C$78="","",IFERROR(MATCH(HSI!$E$78,Fundamentals!$B$216:$B$226,0),99)*1000+72)</f>
        <v/>
      </c>
      <c r="L147" s="121">
        <f>IFERROR(SMALL($K$76:$K$175,72),"")</f>
        <v/>
      </c>
    </row>
    <row r="148">
      <c r="B148" s="22">
        <f>IF($L148="","",INDEX(HSI!$E$7:$E$106,($L148-INT($L148/1000)*1000)))</f>
        <v/>
      </c>
      <c r="C148" s="22">
        <f>IF($L148="","",INDEX(HSI!$D$7:$D$106,($L148-INT($L148/1000)*1000)))</f>
        <v/>
      </c>
      <c r="D148" s="22">
        <f>IF($L148="","",INDEX(HSI!$C$7:$C$106,($L148-INT($L148/1000)*1000)))</f>
        <v/>
      </c>
      <c r="E148" s="133">
        <f>IF($L148="","",INDEX(HSI!$K$7:$K$106,($L148-INT($L148/1000)*1000)))</f>
        <v/>
      </c>
      <c r="F148" s="123">
        <f>IF($L148="","",IF(COUNTIFS(OVR_TICKERS,$D148,OVR_BASE,"&gt;=0")=0,"",SUMIFS(OVR_BASE,OVR_TICKERS,$D148)))</f>
        <v/>
      </c>
      <c r="G148" s="133">
        <f>IF($L148="","",INDEX(HSI!$L$7:$L$106,($L148-INT($L148/1000)*1000)))</f>
        <v/>
      </c>
      <c r="H148" s="155">
        <f>IF($L148="","",IF($F148="","",IFERROR(($F148-$E148)*INDEX(HSI!$B$7:$B$106,($L148-INT($L148/1000)*1000))*INDEX(HSI!$G$7:$G$106,($L148-INT($L148/1000)*1000))/HSI!$B$3,"")))</f>
        <v/>
      </c>
      <c r="I148" s="46">
        <f>IF($L148="","",INDEX(HSI!$U$7:$U$106,($L148-INT($L148/1000)*1000)))</f>
        <v/>
      </c>
      <c r="K148" s="121">
        <f>IF(HSI!$C$79="","",IFERROR(MATCH(HSI!$E$79,Fundamentals!$B$216:$B$226,0),99)*1000+73)</f>
        <v/>
      </c>
      <c r="L148" s="121">
        <f>IFERROR(SMALL($K$76:$K$175,73),"")</f>
        <v/>
      </c>
    </row>
    <row r="149">
      <c r="B149" s="22">
        <f>IF($L149="","",INDEX(HSI!$E$7:$E$106,($L149-INT($L149/1000)*1000)))</f>
        <v/>
      </c>
      <c r="C149" s="22">
        <f>IF($L149="","",INDEX(HSI!$D$7:$D$106,($L149-INT($L149/1000)*1000)))</f>
        <v/>
      </c>
      <c r="D149" s="22">
        <f>IF($L149="","",INDEX(HSI!$C$7:$C$106,($L149-INT($L149/1000)*1000)))</f>
        <v/>
      </c>
      <c r="E149" s="133">
        <f>IF($L149="","",INDEX(HSI!$K$7:$K$106,($L149-INT($L149/1000)*1000)))</f>
        <v/>
      </c>
      <c r="F149" s="123">
        <f>IF($L149="","",IF(COUNTIFS(OVR_TICKERS,$D149,OVR_BASE,"&gt;=0")=0,"",SUMIFS(OVR_BASE,OVR_TICKERS,$D149)))</f>
        <v/>
      </c>
      <c r="G149" s="133">
        <f>IF($L149="","",INDEX(HSI!$L$7:$L$106,($L149-INT($L149/1000)*1000)))</f>
        <v/>
      </c>
      <c r="H149" s="155">
        <f>IF($L149="","",IF($F149="","",IFERROR(($F149-$E149)*INDEX(HSI!$B$7:$B$106,($L149-INT($L149/1000)*1000))*INDEX(HSI!$G$7:$G$106,($L149-INT($L149/1000)*1000))/HSI!$B$3,"")))</f>
        <v/>
      </c>
      <c r="I149" s="46">
        <f>IF($L149="","",INDEX(HSI!$U$7:$U$106,($L149-INT($L149/1000)*1000)))</f>
        <v/>
      </c>
      <c r="K149" s="121">
        <f>IF(HSI!$C$80="","",IFERROR(MATCH(HSI!$E$80,Fundamentals!$B$216:$B$226,0),99)*1000+74)</f>
        <v/>
      </c>
      <c r="L149" s="121">
        <f>IFERROR(SMALL($K$76:$K$175,74),"")</f>
        <v/>
      </c>
    </row>
    <row r="150">
      <c r="B150" s="22">
        <f>IF($L150="","",INDEX(HSI!$E$7:$E$106,($L150-INT($L150/1000)*1000)))</f>
        <v/>
      </c>
      <c r="C150" s="22">
        <f>IF($L150="","",INDEX(HSI!$D$7:$D$106,($L150-INT($L150/1000)*1000)))</f>
        <v/>
      </c>
      <c r="D150" s="22">
        <f>IF($L150="","",INDEX(HSI!$C$7:$C$106,($L150-INT($L150/1000)*1000)))</f>
        <v/>
      </c>
      <c r="E150" s="133">
        <f>IF($L150="","",INDEX(HSI!$K$7:$K$106,($L150-INT($L150/1000)*1000)))</f>
        <v/>
      </c>
      <c r="F150" s="123">
        <f>IF($L150="","",IF(COUNTIFS(OVR_TICKERS,$D150,OVR_BASE,"&gt;=0")=0,"",SUMIFS(OVR_BASE,OVR_TICKERS,$D150)))</f>
        <v/>
      </c>
      <c r="G150" s="133">
        <f>IF($L150="","",INDEX(HSI!$L$7:$L$106,($L150-INT($L150/1000)*1000)))</f>
        <v/>
      </c>
      <c r="H150" s="155">
        <f>IF($L150="","",IF($F150="","",IFERROR(($F150-$E150)*INDEX(HSI!$B$7:$B$106,($L150-INT($L150/1000)*1000))*INDEX(HSI!$G$7:$G$106,($L150-INT($L150/1000)*1000))/HSI!$B$3,"")))</f>
        <v/>
      </c>
      <c r="I150" s="46">
        <f>IF($L150="","",INDEX(HSI!$U$7:$U$106,($L150-INT($L150/1000)*1000)))</f>
        <v/>
      </c>
      <c r="K150" s="121">
        <f>IF(HSI!$C$81="","",IFERROR(MATCH(HSI!$E$81,Fundamentals!$B$216:$B$226,0),99)*1000+75)</f>
        <v/>
      </c>
      <c r="L150" s="121">
        <f>IFERROR(SMALL($K$76:$K$175,75),"")</f>
        <v/>
      </c>
    </row>
    <row r="151">
      <c r="B151" s="22">
        <f>IF($L151="","",INDEX(HSI!$E$7:$E$106,($L151-INT($L151/1000)*1000)))</f>
        <v/>
      </c>
      <c r="C151" s="22">
        <f>IF($L151="","",INDEX(HSI!$D$7:$D$106,($L151-INT($L151/1000)*1000)))</f>
        <v/>
      </c>
      <c r="D151" s="22">
        <f>IF($L151="","",INDEX(HSI!$C$7:$C$106,($L151-INT($L151/1000)*1000)))</f>
        <v/>
      </c>
      <c r="E151" s="133">
        <f>IF($L151="","",INDEX(HSI!$K$7:$K$106,($L151-INT($L151/1000)*1000)))</f>
        <v/>
      </c>
      <c r="F151" s="123">
        <f>IF($L151="","",IF(COUNTIFS(OVR_TICKERS,$D151,OVR_BASE,"&gt;=0")=0,"",SUMIFS(OVR_BASE,OVR_TICKERS,$D151)))</f>
        <v/>
      </c>
      <c r="G151" s="133">
        <f>IF($L151="","",INDEX(HSI!$L$7:$L$106,($L151-INT($L151/1000)*1000)))</f>
        <v/>
      </c>
      <c r="H151" s="155">
        <f>IF($L151="","",IF($F151="","",IFERROR(($F151-$E151)*INDEX(HSI!$B$7:$B$106,($L151-INT($L151/1000)*1000))*INDEX(HSI!$G$7:$G$106,($L151-INT($L151/1000)*1000))/HSI!$B$3,"")))</f>
        <v/>
      </c>
      <c r="I151" s="46">
        <f>IF($L151="","",INDEX(HSI!$U$7:$U$106,($L151-INT($L151/1000)*1000)))</f>
        <v/>
      </c>
      <c r="K151" s="121">
        <f>IF(HSI!$C$82="","",IFERROR(MATCH(HSI!$E$82,Fundamentals!$B$216:$B$226,0),99)*1000+76)</f>
        <v/>
      </c>
      <c r="L151" s="121">
        <f>IFERROR(SMALL($K$76:$K$175,76),"")</f>
        <v/>
      </c>
    </row>
    <row r="152">
      <c r="B152" s="22">
        <f>IF($L152="","",INDEX(HSI!$E$7:$E$106,($L152-INT($L152/1000)*1000)))</f>
        <v/>
      </c>
      <c r="C152" s="22">
        <f>IF($L152="","",INDEX(HSI!$D$7:$D$106,($L152-INT($L152/1000)*1000)))</f>
        <v/>
      </c>
      <c r="D152" s="22">
        <f>IF($L152="","",INDEX(HSI!$C$7:$C$106,($L152-INT($L152/1000)*1000)))</f>
        <v/>
      </c>
      <c r="E152" s="133">
        <f>IF($L152="","",INDEX(HSI!$K$7:$K$106,($L152-INT($L152/1000)*1000)))</f>
        <v/>
      </c>
      <c r="F152" s="123">
        <f>IF($L152="","",IF(COUNTIFS(OVR_TICKERS,$D152,OVR_BASE,"&gt;=0")=0,"",SUMIFS(OVR_BASE,OVR_TICKERS,$D152)))</f>
        <v/>
      </c>
      <c r="G152" s="133">
        <f>IF($L152="","",INDEX(HSI!$L$7:$L$106,($L152-INT($L152/1000)*1000)))</f>
        <v/>
      </c>
      <c r="H152" s="155">
        <f>IF($L152="","",IF($F152="","",IFERROR(($F152-$E152)*INDEX(HSI!$B$7:$B$106,($L152-INT($L152/1000)*1000))*INDEX(HSI!$G$7:$G$106,($L152-INT($L152/1000)*1000))/HSI!$B$3,"")))</f>
        <v/>
      </c>
      <c r="I152" s="46">
        <f>IF($L152="","",INDEX(HSI!$U$7:$U$106,($L152-INT($L152/1000)*1000)))</f>
        <v/>
      </c>
      <c r="K152" s="121">
        <f>IF(HSI!$C$83="","",IFERROR(MATCH(HSI!$E$83,Fundamentals!$B$216:$B$226,0),99)*1000+77)</f>
        <v/>
      </c>
      <c r="L152" s="121">
        <f>IFERROR(SMALL($K$76:$K$175,77),"")</f>
        <v/>
      </c>
    </row>
    <row r="153">
      <c r="B153" s="22">
        <f>IF($L153="","",INDEX(HSI!$E$7:$E$106,($L153-INT($L153/1000)*1000)))</f>
        <v/>
      </c>
      <c r="C153" s="22">
        <f>IF($L153="","",INDEX(HSI!$D$7:$D$106,($L153-INT($L153/1000)*1000)))</f>
        <v/>
      </c>
      <c r="D153" s="22">
        <f>IF($L153="","",INDEX(HSI!$C$7:$C$106,($L153-INT($L153/1000)*1000)))</f>
        <v/>
      </c>
      <c r="E153" s="133">
        <f>IF($L153="","",INDEX(HSI!$K$7:$K$106,($L153-INT($L153/1000)*1000)))</f>
        <v/>
      </c>
      <c r="F153" s="123">
        <f>IF($L153="","",IF(COUNTIFS(OVR_TICKERS,$D153,OVR_BASE,"&gt;=0")=0,"",SUMIFS(OVR_BASE,OVR_TICKERS,$D153)))</f>
        <v/>
      </c>
      <c r="G153" s="133">
        <f>IF($L153="","",INDEX(HSI!$L$7:$L$106,($L153-INT($L153/1000)*1000)))</f>
        <v/>
      </c>
      <c r="H153" s="155">
        <f>IF($L153="","",IF($F153="","",IFERROR(($F153-$E153)*INDEX(HSI!$B$7:$B$106,($L153-INT($L153/1000)*1000))*INDEX(HSI!$G$7:$G$106,($L153-INT($L153/1000)*1000))/HSI!$B$3,"")))</f>
        <v/>
      </c>
      <c r="I153" s="46">
        <f>IF($L153="","",INDEX(HSI!$U$7:$U$106,($L153-INT($L153/1000)*1000)))</f>
        <v/>
      </c>
      <c r="K153" s="121">
        <f>IF(HSI!$C$84="","",IFERROR(MATCH(HSI!$E$84,Fundamentals!$B$216:$B$226,0),99)*1000+78)</f>
        <v/>
      </c>
      <c r="L153" s="121">
        <f>IFERROR(SMALL($K$76:$K$175,78),"")</f>
        <v/>
      </c>
    </row>
    <row r="154">
      <c r="B154" s="22">
        <f>IF($L154="","",INDEX(HSI!$E$7:$E$106,($L154-INT($L154/1000)*1000)))</f>
        <v/>
      </c>
      <c r="C154" s="22">
        <f>IF($L154="","",INDEX(HSI!$D$7:$D$106,($L154-INT($L154/1000)*1000)))</f>
        <v/>
      </c>
      <c r="D154" s="22">
        <f>IF($L154="","",INDEX(HSI!$C$7:$C$106,($L154-INT($L154/1000)*1000)))</f>
        <v/>
      </c>
      <c r="E154" s="133">
        <f>IF($L154="","",INDEX(HSI!$K$7:$K$106,($L154-INT($L154/1000)*1000)))</f>
        <v/>
      </c>
      <c r="F154" s="123">
        <f>IF($L154="","",IF(COUNTIFS(OVR_TICKERS,$D154,OVR_BASE,"&gt;=0")=0,"",SUMIFS(OVR_BASE,OVR_TICKERS,$D154)))</f>
        <v/>
      </c>
      <c r="G154" s="133">
        <f>IF($L154="","",INDEX(HSI!$L$7:$L$106,($L154-INT($L154/1000)*1000)))</f>
        <v/>
      </c>
      <c r="H154" s="155">
        <f>IF($L154="","",IF($F154="","",IFERROR(($F154-$E154)*INDEX(HSI!$B$7:$B$106,($L154-INT($L154/1000)*1000))*INDEX(HSI!$G$7:$G$106,($L154-INT($L154/1000)*1000))/HSI!$B$3,"")))</f>
        <v/>
      </c>
      <c r="I154" s="46">
        <f>IF($L154="","",INDEX(HSI!$U$7:$U$106,($L154-INT($L154/1000)*1000)))</f>
        <v/>
      </c>
      <c r="K154" s="121">
        <f>IF(HSI!$C$85="","",IFERROR(MATCH(HSI!$E$85,Fundamentals!$B$216:$B$226,0),99)*1000+79)</f>
        <v/>
      </c>
      <c r="L154" s="121">
        <f>IFERROR(SMALL($K$76:$K$175,79),"")</f>
        <v/>
      </c>
    </row>
    <row r="155">
      <c r="B155" s="22">
        <f>IF($L155="","",INDEX(HSI!$E$7:$E$106,($L155-INT($L155/1000)*1000)))</f>
        <v/>
      </c>
      <c r="C155" s="22">
        <f>IF($L155="","",INDEX(HSI!$D$7:$D$106,($L155-INT($L155/1000)*1000)))</f>
        <v/>
      </c>
      <c r="D155" s="22">
        <f>IF($L155="","",INDEX(HSI!$C$7:$C$106,($L155-INT($L155/1000)*1000)))</f>
        <v/>
      </c>
      <c r="E155" s="133">
        <f>IF($L155="","",INDEX(HSI!$K$7:$K$106,($L155-INT($L155/1000)*1000)))</f>
        <v/>
      </c>
      <c r="F155" s="123">
        <f>IF($L155="","",IF(COUNTIFS(OVR_TICKERS,$D155,OVR_BASE,"&gt;=0")=0,"",SUMIFS(OVR_BASE,OVR_TICKERS,$D155)))</f>
        <v/>
      </c>
      <c r="G155" s="133">
        <f>IF($L155="","",INDEX(HSI!$L$7:$L$106,($L155-INT($L155/1000)*1000)))</f>
        <v/>
      </c>
      <c r="H155" s="155">
        <f>IF($L155="","",IF($F155="","",IFERROR(($F155-$E155)*INDEX(HSI!$B$7:$B$106,($L155-INT($L155/1000)*1000))*INDEX(HSI!$G$7:$G$106,($L155-INT($L155/1000)*1000))/HSI!$B$3,"")))</f>
        <v/>
      </c>
      <c r="I155" s="46">
        <f>IF($L155="","",INDEX(HSI!$U$7:$U$106,($L155-INT($L155/1000)*1000)))</f>
        <v/>
      </c>
      <c r="K155" s="121">
        <f>IF(HSI!$C$86="","",IFERROR(MATCH(HSI!$E$86,Fundamentals!$B$216:$B$226,0),99)*1000+80)</f>
        <v/>
      </c>
      <c r="L155" s="121">
        <f>IFERROR(SMALL($K$76:$K$175,80),"")</f>
        <v/>
      </c>
    </row>
    <row r="156">
      <c r="B156" s="22">
        <f>IF($L156="","",INDEX(HSI!$E$7:$E$106,($L156-INT($L156/1000)*1000)))</f>
        <v/>
      </c>
      <c r="C156" s="22">
        <f>IF($L156="","",INDEX(HSI!$D$7:$D$106,($L156-INT($L156/1000)*1000)))</f>
        <v/>
      </c>
      <c r="D156" s="22">
        <f>IF($L156="","",INDEX(HSI!$C$7:$C$106,($L156-INT($L156/1000)*1000)))</f>
        <v/>
      </c>
      <c r="E156" s="133">
        <f>IF($L156="","",INDEX(HSI!$K$7:$K$106,($L156-INT($L156/1000)*1000)))</f>
        <v/>
      </c>
      <c r="F156" s="123">
        <f>IF($L156="","",IF(COUNTIFS(OVR_TICKERS,$D156,OVR_BASE,"&gt;=0")=0,"",SUMIFS(OVR_BASE,OVR_TICKERS,$D156)))</f>
        <v/>
      </c>
      <c r="G156" s="133">
        <f>IF($L156="","",INDEX(HSI!$L$7:$L$106,($L156-INT($L156/1000)*1000)))</f>
        <v/>
      </c>
      <c r="H156" s="155">
        <f>IF($L156="","",IF($F156="","",IFERROR(($F156-$E156)*INDEX(HSI!$B$7:$B$106,($L156-INT($L156/1000)*1000))*INDEX(HSI!$G$7:$G$106,($L156-INT($L156/1000)*1000))/HSI!$B$3,"")))</f>
        <v/>
      </c>
      <c r="I156" s="46">
        <f>IF($L156="","",INDEX(HSI!$U$7:$U$106,($L156-INT($L156/1000)*1000)))</f>
        <v/>
      </c>
      <c r="K156" s="121">
        <f>IF(HSI!$C$87="","",IFERROR(MATCH(HSI!$E$87,Fundamentals!$B$216:$B$226,0),99)*1000+81)</f>
        <v/>
      </c>
      <c r="L156" s="121">
        <f>IFERROR(SMALL($K$76:$K$175,81),"")</f>
        <v/>
      </c>
    </row>
    <row r="157">
      <c r="B157" s="22">
        <f>IF($L157="","",INDEX(HSI!$E$7:$E$106,($L157-INT($L157/1000)*1000)))</f>
        <v/>
      </c>
      <c r="C157" s="22">
        <f>IF($L157="","",INDEX(HSI!$D$7:$D$106,($L157-INT($L157/1000)*1000)))</f>
        <v/>
      </c>
      <c r="D157" s="22">
        <f>IF($L157="","",INDEX(HSI!$C$7:$C$106,($L157-INT($L157/1000)*1000)))</f>
        <v/>
      </c>
      <c r="E157" s="133">
        <f>IF($L157="","",INDEX(HSI!$K$7:$K$106,($L157-INT($L157/1000)*1000)))</f>
        <v/>
      </c>
      <c r="F157" s="123">
        <f>IF($L157="","",IF(COUNTIFS(OVR_TICKERS,$D157,OVR_BASE,"&gt;=0")=0,"",SUMIFS(OVR_BASE,OVR_TICKERS,$D157)))</f>
        <v/>
      </c>
      <c r="G157" s="133">
        <f>IF($L157="","",INDEX(HSI!$L$7:$L$106,($L157-INT($L157/1000)*1000)))</f>
        <v/>
      </c>
      <c r="H157" s="155">
        <f>IF($L157="","",IF($F157="","",IFERROR(($F157-$E157)*INDEX(HSI!$B$7:$B$106,($L157-INT($L157/1000)*1000))*INDEX(HSI!$G$7:$G$106,($L157-INT($L157/1000)*1000))/HSI!$B$3,"")))</f>
        <v/>
      </c>
      <c r="I157" s="46">
        <f>IF($L157="","",INDEX(HSI!$U$7:$U$106,($L157-INT($L157/1000)*1000)))</f>
        <v/>
      </c>
      <c r="K157" s="121">
        <f>IF(HSI!$C$88="","",IFERROR(MATCH(HSI!$E$88,Fundamentals!$B$216:$B$226,0),99)*1000+82)</f>
        <v/>
      </c>
      <c r="L157" s="121">
        <f>IFERROR(SMALL($K$76:$K$175,82),"")</f>
        <v/>
      </c>
    </row>
    <row r="158">
      <c r="B158" s="22">
        <f>IF($L158="","",INDEX(HSI!$E$7:$E$106,($L158-INT($L158/1000)*1000)))</f>
        <v/>
      </c>
      <c r="C158" s="22">
        <f>IF($L158="","",INDEX(HSI!$D$7:$D$106,($L158-INT($L158/1000)*1000)))</f>
        <v/>
      </c>
      <c r="D158" s="22">
        <f>IF($L158="","",INDEX(HSI!$C$7:$C$106,($L158-INT($L158/1000)*1000)))</f>
        <v/>
      </c>
      <c r="E158" s="133">
        <f>IF($L158="","",INDEX(HSI!$K$7:$K$106,($L158-INT($L158/1000)*1000)))</f>
        <v/>
      </c>
      <c r="F158" s="123">
        <f>IF($L158="","",IF(COUNTIFS(OVR_TICKERS,$D158,OVR_BASE,"&gt;=0")=0,"",SUMIFS(OVR_BASE,OVR_TICKERS,$D158)))</f>
        <v/>
      </c>
      <c r="G158" s="133">
        <f>IF($L158="","",INDEX(HSI!$L$7:$L$106,($L158-INT($L158/1000)*1000)))</f>
        <v/>
      </c>
      <c r="H158" s="155">
        <f>IF($L158="","",IF($F158="","",IFERROR(($F158-$E158)*INDEX(HSI!$B$7:$B$106,($L158-INT($L158/1000)*1000))*INDEX(HSI!$G$7:$G$106,($L158-INT($L158/1000)*1000))/HSI!$B$3,"")))</f>
        <v/>
      </c>
      <c r="I158" s="46">
        <f>IF($L158="","",INDEX(HSI!$U$7:$U$106,($L158-INT($L158/1000)*1000)))</f>
        <v/>
      </c>
      <c r="K158" s="121">
        <f>IF(HSI!$C$89="","",IFERROR(MATCH(HSI!$E$89,Fundamentals!$B$216:$B$226,0),99)*1000+83)</f>
        <v/>
      </c>
      <c r="L158" s="121">
        <f>IFERROR(SMALL($K$76:$K$175,83),"")</f>
        <v/>
      </c>
    </row>
    <row r="159">
      <c r="B159" s="22">
        <f>IF($L159="","",INDEX(HSI!$E$7:$E$106,($L159-INT($L159/1000)*1000)))</f>
        <v/>
      </c>
      <c r="C159" s="22">
        <f>IF($L159="","",INDEX(HSI!$D$7:$D$106,($L159-INT($L159/1000)*1000)))</f>
        <v/>
      </c>
      <c r="D159" s="22">
        <f>IF($L159="","",INDEX(HSI!$C$7:$C$106,($L159-INT($L159/1000)*1000)))</f>
        <v/>
      </c>
      <c r="E159" s="133">
        <f>IF($L159="","",INDEX(HSI!$K$7:$K$106,($L159-INT($L159/1000)*1000)))</f>
        <v/>
      </c>
      <c r="F159" s="123">
        <f>IF($L159="","",IF(COUNTIFS(OVR_TICKERS,$D159,OVR_BASE,"&gt;=0")=0,"",SUMIFS(OVR_BASE,OVR_TICKERS,$D159)))</f>
        <v/>
      </c>
      <c r="G159" s="133">
        <f>IF($L159="","",INDEX(HSI!$L$7:$L$106,($L159-INT($L159/1000)*1000)))</f>
        <v/>
      </c>
      <c r="H159" s="155">
        <f>IF($L159="","",IF($F159="","",IFERROR(($F159-$E159)*INDEX(HSI!$B$7:$B$106,($L159-INT($L159/1000)*1000))*INDEX(HSI!$G$7:$G$106,($L159-INT($L159/1000)*1000))/HSI!$B$3,"")))</f>
        <v/>
      </c>
      <c r="I159" s="46">
        <f>IF($L159="","",INDEX(HSI!$U$7:$U$106,($L159-INT($L159/1000)*1000)))</f>
        <v/>
      </c>
      <c r="K159" s="121">
        <f>IF(HSI!$C$90="","",IFERROR(MATCH(HSI!$E$90,Fundamentals!$B$216:$B$226,0),99)*1000+84)</f>
        <v/>
      </c>
      <c r="L159" s="121">
        <f>IFERROR(SMALL($K$76:$K$175,84),"")</f>
        <v/>
      </c>
    </row>
    <row r="160">
      <c r="B160" s="22">
        <f>IF($L160="","",INDEX(HSI!$E$7:$E$106,($L160-INT($L160/1000)*1000)))</f>
        <v/>
      </c>
      <c r="C160" s="22">
        <f>IF($L160="","",INDEX(HSI!$D$7:$D$106,($L160-INT($L160/1000)*1000)))</f>
        <v/>
      </c>
      <c r="D160" s="22">
        <f>IF($L160="","",INDEX(HSI!$C$7:$C$106,($L160-INT($L160/1000)*1000)))</f>
        <v/>
      </c>
      <c r="E160" s="133">
        <f>IF($L160="","",INDEX(HSI!$K$7:$K$106,($L160-INT($L160/1000)*1000)))</f>
        <v/>
      </c>
      <c r="F160" s="123">
        <f>IF($L160="","",IF(COUNTIFS(OVR_TICKERS,$D160,OVR_BASE,"&gt;=0")=0,"",SUMIFS(OVR_BASE,OVR_TICKERS,$D160)))</f>
        <v/>
      </c>
      <c r="G160" s="133">
        <f>IF($L160="","",INDEX(HSI!$L$7:$L$106,($L160-INT($L160/1000)*1000)))</f>
        <v/>
      </c>
      <c r="H160" s="155">
        <f>IF($L160="","",IF($F160="","",IFERROR(($F160-$E160)*INDEX(HSI!$B$7:$B$106,($L160-INT($L160/1000)*1000))*INDEX(HSI!$G$7:$G$106,($L160-INT($L160/1000)*1000))/HSI!$B$3,"")))</f>
        <v/>
      </c>
      <c r="I160" s="46">
        <f>IF($L160="","",INDEX(HSI!$U$7:$U$106,($L160-INT($L160/1000)*1000)))</f>
        <v/>
      </c>
      <c r="K160" s="121">
        <f>IF(HSI!$C$91="","",IFERROR(MATCH(HSI!$E$91,Fundamentals!$B$216:$B$226,0),99)*1000+85)</f>
        <v/>
      </c>
      <c r="L160" s="121">
        <f>IFERROR(SMALL($K$76:$K$175,85),"")</f>
        <v/>
      </c>
    </row>
    <row r="161">
      <c r="B161" s="22">
        <f>IF($L161="","",INDEX(HSI!$E$7:$E$106,($L161-INT($L161/1000)*1000)))</f>
        <v/>
      </c>
      <c r="C161" s="22">
        <f>IF($L161="","",INDEX(HSI!$D$7:$D$106,($L161-INT($L161/1000)*1000)))</f>
        <v/>
      </c>
      <c r="D161" s="22">
        <f>IF($L161="","",INDEX(HSI!$C$7:$C$106,($L161-INT($L161/1000)*1000)))</f>
        <v/>
      </c>
      <c r="E161" s="133">
        <f>IF($L161="","",INDEX(HSI!$K$7:$K$106,($L161-INT($L161/1000)*1000)))</f>
        <v/>
      </c>
      <c r="F161" s="123">
        <f>IF($L161="","",IF(COUNTIFS(OVR_TICKERS,$D161,OVR_BASE,"&gt;=0")=0,"",SUMIFS(OVR_BASE,OVR_TICKERS,$D161)))</f>
        <v/>
      </c>
      <c r="G161" s="133">
        <f>IF($L161="","",INDEX(HSI!$L$7:$L$106,($L161-INT($L161/1000)*1000)))</f>
        <v/>
      </c>
      <c r="H161" s="155">
        <f>IF($L161="","",IF($F161="","",IFERROR(($F161-$E161)*INDEX(HSI!$B$7:$B$106,($L161-INT($L161/1000)*1000))*INDEX(HSI!$G$7:$G$106,($L161-INT($L161/1000)*1000))/HSI!$B$3,"")))</f>
        <v/>
      </c>
      <c r="I161" s="46">
        <f>IF($L161="","",INDEX(HSI!$U$7:$U$106,($L161-INT($L161/1000)*1000)))</f>
        <v/>
      </c>
      <c r="K161" s="121">
        <f>IF(HSI!$C$92="","",IFERROR(MATCH(HSI!$E$92,Fundamentals!$B$216:$B$226,0),99)*1000+86)</f>
        <v/>
      </c>
      <c r="L161" s="121">
        <f>IFERROR(SMALL($K$76:$K$175,86),"")</f>
        <v/>
      </c>
    </row>
    <row r="162">
      <c r="B162" s="22">
        <f>IF($L162="","",INDEX(HSI!$E$7:$E$106,($L162-INT($L162/1000)*1000)))</f>
        <v/>
      </c>
      <c r="C162" s="22">
        <f>IF($L162="","",INDEX(HSI!$D$7:$D$106,($L162-INT($L162/1000)*1000)))</f>
        <v/>
      </c>
      <c r="D162" s="22">
        <f>IF($L162="","",INDEX(HSI!$C$7:$C$106,($L162-INT($L162/1000)*1000)))</f>
        <v/>
      </c>
      <c r="E162" s="133">
        <f>IF($L162="","",INDEX(HSI!$K$7:$K$106,($L162-INT($L162/1000)*1000)))</f>
        <v/>
      </c>
      <c r="F162" s="123">
        <f>IF($L162="","",IF(COUNTIFS(OVR_TICKERS,$D162,OVR_BASE,"&gt;=0")=0,"",SUMIFS(OVR_BASE,OVR_TICKERS,$D162)))</f>
        <v/>
      </c>
      <c r="G162" s="133">
        <f>IF($L162="","",INDEX(HSI!$L$7:$L$106,($L162-INT($L162/1000)*1000)))</f>
        <v/>
      </c>
      <c r="H162" s="155">
        <f>IF($L162="","",IF($F162="","",IFERROR(($F162-$E162)*INDEX(HSI!$B$7:$B$106,($L162-INT($L162/1000)*1000))*INDEX(HSI!$G$7:$G$106,($L162-INT($L162/1000)*1000))/HSI!$B$3,"")))</f>
        <v/>
      </c>
      <c r="I162" s="46">
        <f>IF($L162="","",INDEX(HSI!$U$7:$U$106,($L162-INT($L162/1000)*1000)))</f>
        <v/>
      </c>
      <c r="K162" s="121">
        <f>IF(HSI!$C$93="","",IFERROR(MATCH(HSI!$E$93,Fundamentals!$B$216:$B$226,0),99)*1000+87)</f>
        <v/>
      </c>
      <c r="L162" s="121">
        <f>IFERROR(SMALL($K$76:$K$175,87),"")</f>
        <v/>
      </c>
    </row>
    <row r="163">
      <c r="B163" s="22">
        <f>IF($L163="","",INDEX(HSI!$E$7:$E$106,($L163-INT($L163/1000)*1000)))</f>
        <v/>
      </c>
      <c r="C163" s="22">
        <f>IF($L163="","",INDEX(HSI!$D$7:$D$106,($L163-INT($L163/1000)*1000)))</f>
        <v/>
      </c>
      <c r="D163" s="22">
        <f>IF($L163="","",INDEX(HSI!$C$7:$C$106,($L163-INT($L163/1000)*1000)))</f>
        <v/>
      </c>
      <c r="E163" s="133">
        <f>IF($L163="","",INDEX(HSI!$K$7:$K$106,($L163-INT($L163/1000)*1000)))</f>
        <v/>
      </c>
      <c r="F163" s="123">
        <f>IF($L163="","",IF(COUNTIFS(OVR_TICKERS,$D163,OVR_BASE,"&gt;=0")=0,"",SUMIFS(OVR_BASE,OVR_TICKERS,$D163)))</f>
        <v/>
      </c>
      <c r="G163" s="133">
        <f>IF($L163="","",INDEX(HSI!$L$7:$L$106,($L163-INT($L163/1000)*1000)))</f>
        <v/>
      </c>
      <c r="H163" s="155">
        <f>IF($L163="","",IF($F163="","",IFERROR(($F163-$E163)*INDEX(HSI!$B$7:$B$106,($L163-INT($L163/1000)*1000))*INDEX(HSI!$G$7:$G$106,($L163-INT($L163/1000)*1000))/HSI!$B$3,"")))</f>
        <v/>
      </c>
      <c r="I163" s="46">
        <f>IF($L163="","",INDEX(HSI!$U$7:$U$106,($L163-INT($L163/1000)*1000)))</f>
        <v/>
      </c>
      <c r="K163" s="121">
        <f>IF(HSI!$C$94="","",IFERROR(MATCH(HSI!$E$94,Fundamentals!$B$216:$B$226,0),99)*1000+88)</f>
        <v/>
      </c>
      <c r="L163" s="121">
        <f>IFERROR(SMALL($K$76:$K$175,88),"")</f>
        <v/>
      </c>
    </row>
    <row r="164">
      <c r="B164" s="22">
        <f>IF($L164="","",INDEX(HSI!$E$7:$E$106,($L164-INT($L164/1000)*1000)))</f>
        <v/>
      </c>
      <c r="C164" s="22">
        <f>IF($L164="","",INDEX(HSI!$D$7:$D$106,($L164-INT($L164/1000)*1000)))</f>
        <v/>
      </c>
      <c r="D164" s="22">
        <f>IF($L164="","",INDEX(HSI!$C$7:$C$106,($L164-INT($L164/1000)*1000)))</f>
        <v/>
      </c>
      <c r="E164" s="133">
        <f>IF($L164="","",INDEX(HSI!$K$7:$K$106,($L164-INT($L164/1000)*1000)))</f>
        <v/>
      </c>
      <c r="F164" s="123">
        <f>IF($L164="","",IF(COUNTIFS(OVR_TICKERS,$D164,OVR_BASE,"&gt;=0")=0,"",SUMIFS(OVR_BASE,OVR_TICKERS,$D164)))</f>
        <v/>
      </c>
      <c r="G164" s="133">
        <f>IF($L164="","",INDEX(HSI!$L$7:$L$106,($L164-INT($L164/1000)*1000)))</f>
        <v/>
      </c>
      <c r="H164" s="155">
        <f>IF($L164="","",IF($F164="","",IFERROR(($F164-$E164)*INDEX(HSI!$B$7:$B$106,($L164-INT($L164/1000)*1000))*INDEX(HSI!$G$7:$G$106,($L164-INT($L164/1000)*1000))/HSI!$B$3,"")))</f>
        <v/>
      </c>
      <c r="I164" s="46">
        <f>IF($L164="","",INDEX(HSI!$U$7:$U$106,($L164-INT($L164/1000)*1000)))</f>
        <v/>
      </c>
      <c r="K164" s="121">
        <f>IF(HSI!$C$95="","",IFERROR(MATCH(HSI!$E$95,Fundamentals!$B$216:$B$226,0),99)*1000+89)</f>
        <v/>
      </c>
      <c r="L164" s="121">
        <f>IFERROR(SMALL($K$76:$K$175,89),"")</f>
        <v/>
      </c>
    </row>
    <row r="165">
      <c r="B165" s="22">
        <f>IF($L165="","",INDEX(HSI!$E$7:$E$106,($L165-INT($L165/1000)*1000)))</f>
        <v/>
      </c>
      <c r="C165" s="22">
        <f>IF($L165="","",INDEX(HSI!$D$7:$D$106,($L165-INT($L165/1000)*1000)))</f>
        <v/>
      </c>
      <c r="D165" s="22">
        <f>IF($L165="","",INDEX(HSI!$C$7:$C$106,($L165-INT($L165/1000)*1000)))</f>
        <v/>
      </c>
      <c r="E165" s="133">
        <f>IF($L165="","",INDEX(HSI!$K$7:$K$106,($L165-INT($L165/1000)*1000)))</f>
        <v/>
      </c>
      <c r="F165" s="123">
        <f>IF($L165="","",IF(COUNTIFS(OVR_TICKERS,$D165,OVR_BASE,"&gt;=0")=0,"",SUMIFS(OVR_BASE,OVR_TICKERS,$D165)))</f>
        <v/>
      </c>
      <c r="G165" s="133">
        <f>IF($L165="","",INDEX(HSI!$L$7:$L$106,($L165-INT($L165/1000)*1000)))</f>
        <v/>
      </c>
      <c r="H165" s="155">
        <f>IF($L165="","",IF($F165="","",IFERROR(($F165-$E165)*INDEX(HSI!$B$7:$B$106,($L165-INT($L165/1000)*1000))*INDEX(HSI!$G$7:$G$106,($L165-INT($L165/1000)*1000))/HSI!$B$3,"")))</f>
        <v/>
      </c>
      <c r="I165" s="46">
        <f>IF($L165="","",INDEX(HSI!$U$7:$U$106,($L165-INT($L165/1000)*1000)))</f>
        <v/>
      </c>
      <c r="K165" s="121">
        <f>IF(HSI!$C$96="","",IFERROR(MATCH(HSI!$E$96,Fundamentals!$B$216:$B$226,0),99)*1000+90)</f>
        <v/>
      </c>
      <c r="L165" s="121">
        <f>IFERROR(SMALL($K$76:$K$175,90),"")</f>
        <v/>
      </c>
    </row>
    <row r="166">
      <c r="B166" s="22">
        <f>IF($L166="","",INDEX(HSI!$E$7:$E$106,($L166-INT($L166/1000)*1000)))</f>
        <v/>
      </c>
      <c r="C166" s="22">
        <f>IF($L166="","",INDEX(HSI!$D$7:$D$106,($L166-INT($L166/1000)*1000)))</f>
        <v/>
      </c>
      <c r="D166" s="22">
        <f>IF($L166="","",INDEX(HSI!$C$7:$C$106,($L166-INT($L166/1000)*1000)))</f>
        <v/>
      </c>
      <c r="E166" s="133">
        <f>IF($L166="","",INDEX(HSI!$K$7:$K$106,($L166-INT($L166/1000)*1000)))</f>
        <v/>
      </c>
      <c r="F166" s="123">
        <f>IF($L166="","",IF(COUNTIFS(OVR_TICKERS,$D166,OVR_BASE,"&gt;=0")=0,"",SUMIFS(OVR_BASE,OVR_TICKERS,$D166)))</f>
        <v/>
      </c>
      <c r="G166" s="133">
        <f>IF($L166="","",INDEX(HSI!$L$7:$L$106,($L166-INT($L166/1000)*1000)))</f>
        <v/>
      </c>
      <c r="H166" s="155">
        <f>IF($L166="","",IF($F166="","",IFERROR(($F166-$E166)*INDEX(HSI!$B$7:$B$106,($L166-INT($L166/1000)*1000))*INDEX(HSI!$G$7:$G$106,($L166-INT($L166/1000)*1000))/HSI!$B$3,"")))</f>
        <v/>
      </c>
      <c r="I166" s="46">
        <f>IF($L166="","",INDEX(HSI!$U$7:$U$106,($L166-INT($L166/1000)*1000)))</f>
        <v/>
      </c>
      <c r="K166" s="121">
        <f>IF(HSI!$C$97="","",IFERROR(MATCH(HSI!$E$97,Fundamentals!$B$216:$B$226,0),99)*1000+91)</f>
        <v/>
      </c>
      <c r="L166" s="121">
        <f>IFERROR(SMALL($K$76:$K$175,91),"")</f>
        <v/>
      </c>
    </row>
    <row r="167">
      <c r="B167" s="22">
        <f>IF($L167="","",INDEX(HSI!$E$7:$E$106,($L167-INT($L167/1000)*1000)))</f>
        <v/>
      </c>
      <c r="C167" s="22">
        <f>IF($L167="","",INDEX(HSI!$D$7:$D$106,($L167-INT($L167/1000)*1000)))</f>
        <v/>
      </c>
      <c r="D167" s="22">
        <f>IF($L167="","",INDEX(HSI!$C$7:$C$106,($L167-INT($L167/1000)*1000)))</f>
        <v/>
      </c>
      <c r="E167" s="133">
        <f>IF($L167="","",INDEX(HSI!$K$7:$K$106,($L167-INT($L167/1000)*1000)))</f>
        <v/>
      </c>
      <c r="F167" s="123">
        <f>IF($L167="","",IF(COUNTIFS(OVR_TICKERS,$D167,OVR_BASE,"&gt;=0")=0,"",SUMIFS(OVR_BASE,OVR_TICKERS,$D167)))</f>
        <v/>
      </c>
      <c r="G167" s="133">
        <f>IF($L167="","",INDEX(HSI!$L$7:$L$106,($L167-INT($L167/1000)*1000)))</f>
        <v/>
      </c>
      <c r="H167" s="155">
        <f>IF($L167="","",IF($F167="","",IFERROR(($F167-$E167)*INDEX(HSI!$B$7:$B$106,($L167-INT($L167/1000)*1000))*INDEX(HSI!$G$7:$G$106,($L167-INT($L167/1000)*1000))/HSI!$B$3,"")))</f>
        <v/>
      </c>
      <c r="I167" s="46">
        <f>IF($L167="","",INDEX(HSI!$U$7:$U$106,($L167-INT($L167/1000)*1000)))</f>
        <v/>
      </c>
      <c r="K167" s="121">
        <f>IF(HSI!$C$98="","",IFERROR(MATCH(HSI!$E$98,Fundamentals!$B$216:$B$226,0),99)*1000+92)</f>
        <v/>
      </c>
      <c r="L167" s="121">
        <f>IFERROR(SMALL($K$76:$K$175,92),"")</f>
        <v/>
      </c>
    </row>
    <row r="168">
      <c r="B168" s="22">
        <f>IF($L168="","",INDEX(HSI!$E$7:$E$106,($L168-INT($L168/1000)*1000)))</f>
        <v/>
      </c>
      <c r="C168" s="22">
        <f>IF($L168="","",INDEX(HSI!$D$7:$D$106,($L168-INT($L168/1000)*1000)))</f>
        <v/>
      </c>
      <c r="D168" s="22">
        <f>IF($L168="","",INDEX(HSI!$C$7:$C$106,($L168-INT($L168/1000)*1000)))</f>
        <v/>
      </c>
      <c r="E168" s="133">
        <f>IF($L168="","",INDEX(HSI!$K$7:$K$106,($L168-INT($L168/1000)*1000)))</f>
        <v/>
      </c>
      <c r="F168" s="123">
        <f>IF($L168="","",IF(COUNTIFS(OVR_TICKERS,$D168,OVR_BASE,"&gt;=0")=0,"",SUMIFS(OVR_BASE,OVR_TICKERS,$D168)))</f>
        <v/>
      </c>
      <c r="G168" s="133">
        <f>IF($L168="","",INDEX(HSI!$L$7:$L$106,($L168-INT($L168/1000)*1000)))</f>
        <v/>
      </c>
      <c r="H168" s="155">
        <f>IF($L168="","",IF($F168="","",IFERROR(($F168-$E168)*INDEX(HSI!$B$7:$B$106,($L168-INT($L168/1000)*1000))*INDEX(HSI!$G$7:$G$106,($L168-INT($L168/1000)*1000))/HSI!$B$3,"")))</f>
        <v/>
      </c>
      <c r="I168" s="46">
        <f>IF($L168="","",INDEX(HSI!$U$7:$U$106,($L168-INT($L168/1000)*1000)))</f>
        <v/>
      </c>
      <c r="K168" s="121">
        <f>IF(HSI!$C$99="","",IFERROR(MATCH(HSI!$E$99,Fundamentals!$B$216:$B$226,0),99)*1000+93)</f>
        <v/>
      </c>
      <c r="L168" s="121">
        <f>IFERROR(SMALL($K$76:$K$175,93),"")</f>
        <v/>
      </c>
    </row>
    <row r="169">
      <c r="B169" s="22">
        <f>IF($L169="","",INDEX(HSI!$E$7:$E$106,($L169-INT($L169/1000)*1000)))</f>
        <v/>
      </c>
      <c r="C169" s="22">
        <f>IF($L169="","",INDEX(HSI!$D$7:$D$106,($L169-INT($L169/1000)*1000)))</f>
        <v/>
      </c>
      <c r="D169" s="22">
        <f>IF($L169="","",INDEX(HSI!$C$7:$C$106,($L169-INT($L169/1000)*1000)))</f>
        <v/>
      </c>
      <c r="E169" s="133">
        <f>IF($L169="","",INDEX(HSI!$K$7:$K$106,($L169-INT($L169/1000)*1000)))</f>
        <v/>
      </c>
      <c r="F169" s="123">
        <f>IF($L169="","",IF(COUNTIFS(OVR_TICKERS,$D169,OVR_BASE,"&gt;=0")=0,"",SUMIFS(OVR_BASE,OVR_TICKERS,$D169)))</f>
        <v/>
      </c>
      <c r="G169" s="133">
        <f>IF($L169="","",INDEX(HSI!$L$7:$L$106,($L169-INT($L169/1000)*1000)))</f>
        <v/>
      </c>
      <c r="H169" s="155">
        <f>IF($L169="","",IF($F169="","",IFERROR(($F169-$E169)*INDEX(HSI!$B$7:$B$106,($L169-INT($L169/1000)*1000))*INDEX(HSI!$G$7:$G$106,($L169-INT($L169/1000)*1000))/HSI!$B$3,"")))</f>
        <v/>
      </c>
      <c r="I169" s="46">
        <f>IF($L169="","",INDEX(HSI!$U$7:$U$106,($L169-INT($L169/1000)*1000)))</f>
        <v/>
      </c>
      <c r="K169" s="121">
        <f>IF(HSI!$C$100="","",IFERROR(MATCH(HSI!$E$100,Fundamentals!$B$216:$B$226,0),99)*1000+94)</f>
        <v/>
      </c>
      <c r="L169" s="121">
        <f>IFERROR(SMALL($K$76:$K$175,94),"")</f>
        <v/>
      </c>
    </row>
    <row r="170">
      <c r="B170" s="22">
        <f>IF($L170="","",INDEX(HSI!$E$7:$E$106,($L170-INT($L170/1000)*1000)))</f>
        <v/>
      </c>
      <c r="C170" s="22">
        <f>IF($L170="","",INDEX(HSI!$D$7:$D$106,($L170-INT($L170/1000)*1000)))</f>
        <v/>
      </c>
      <c r="D170" s="22">
        <f>IF($L170="","",INDEX(HSI!$C$7:$C$106,($L170-INT($L170/1000)*1000)))</f>
        <v/>
      </c>
      <c r="E170" s="133">
        <f>IF($L170="","",INDEX(HSI!$K$7:$K$106,($L170-INT($L170/1000)*1000)))</f>
        <v/>
      </c>
      <c r="F170" s="123">
        <f>IF($L170="","",IF(COUNTIFS(OVR_TICKERS,$D170,OVR_BASE,"&gt;=0")=0,"",SUMIFS(OVR_BASE,OVR_TICKERS,$D170)))</f>
        <v/>
      </c>
      <c r="G170" s="133">
        <f>IF($L170="","",INDEX(HSI!$L$7:$L$106,($L170-INT($L170/1000)*1000)))</f>
        <v/>
      </c>
      <c r="H170" s="155">
        <f>IF($L170="","",IF($F170="","",IFERROR(($F170-$E170)*INDEX(HSI!$B$7:$B$106,($L170-INT($L170/1000)*1000))*INDEX(HSI!$G$7:$G$106,($L170-INT($L170/1000)*1000))/HSI!$B$3,"")))</f>
        <v/>
      </c>
      <c r="I170" s="46">
        <f>IF($L170="","",INDEX(HSI!$U$7:$U$106,($L170-INT($L170/1000)*1000)))</f>
        <v/>
      </c>
      <c r="K170" s="121">
        <f>IF(HSI!$C$101="","",IFERROR(MATCH(HSI!$E$101,Fundamentals!$B$216:$B$226,0),99)*1000+95)</f>
        <v/>
      </c>
      <c r="L170" s="121">
        <f>IFERROR(SMALL($K$76:$K$175,95),"")</f>
        <v/>
      </c>
    </row>
    <row r="171">
      <c r="B171" s="22">
        <f>IF($L171="","",INDEX(HSI!$E$7:$E$106,($L171-INT($L171/1000)*1000)))</f>
        <v/>
      </c>
      <c r="C171" s="22">
        <f>IF($L171="","",INDEX(HSI!$D$7:$D$106,($L171-INT($L171/1000)*1000)))</f>
        <v/>
      </c>
      <c r="D171" s="22">
        <f>IF($L171="","",INDEX(HSI!$C$7:$C$106,($L171-INT($L171/1000)*1000)))</f>
        <v/>
      </c>
      <c r="E171" s="133">
        <f>IF($L171="","",INDEX(HSI!$K$7:$K$106,($L171-INT($L171/1000)*1000)))</f>
        <v/>
      </c>
      <c r="F171" s="123">
        <f>IF($L171="","",IF(COUNTIFS(OVR_TICKERS,$D171,OVR_BASE,"&gt;=0")=0,"",SUMIFS(OVR_BASE,OVR_TICKERS,$D171)))</f>
        <v/>
      </c>
      <c r="G171" s="133">
        <f>IF($L171="","",INDEX(HSI!$L$7:$L$106,($L171-INT($L171/1000)*1000)))</f>
        <v/>
      </c>
      <c r="H171" s="155">
        <f>IF($L171="","",IF($F171="","",IFERROR(($F171-$E171)*INDEX(HSI!$B$7:$B$106,($L171-INT($L171/1000)*1000))*INDEX(HSI!$G$7:$G$106,($L171-INT($L171/1000)*1000))/HSI!$B$3,"")))</f>
        <v/>
      </c>
      <c r="I171" s="46">
        <f>IF($L171="","",INDEX(HSI!$U$7:$U$106,($L171-INT($L171/1000)*1000)))</f>
        <v/>
      </c>
      <c r="K171" s="121">
        <f>IF(HSI!$C$102="","",IFERROR(MATCH(HSI!$E$102,Fundamentals!$B$216:$B$226,0),99)*1000+96)</f>
        <v/>
      </c>
      <c r="L171" s="121">
        <f>IFERROR(SMALL($K$76:$K$175,96),"")</f>
        <v/>
      </c>
    </row>
    <row r="172">
      <c r="B172" s="22">
        <f>IF($L172="","",INDEX(HSI!$E$7:$E$106,($L172-INT($L172/1000)*1000)))</f>
        <v/>
      </c>
      <c r="C172" s="22">
        <f>IF($L172="","",INDEX(HSI!$D$7:$D$106,($L172-INT($L172/1000)*1000)))</f>
        <v/>
      </c>
      <c r="D172" s="22">
        <f>IF($L172="","",INDEX(HSI!$C$7:$C$106,($L172-INT($L172/1000)*1000)))</f>
        <v/>
      </c>
      <c r="E172" s="133">
        <f>IF($L172="","",INDEX(HSI!$K$7:$K$106,($L172-INT($L172/1000)*1000)))</f>
        <v/>
      </c>
      <c r="F172" s="123">
        <f>IF($L172="","",IF(COUNTIFS(OVR_TICKERS,$D172,OVR_BASE,"&gt;=0")=0,"",SUMIFS(OVR_BASE,OVR_TICKERS,$D172)))</f>
        <v/>
      </c>
      <c r="G172" s="133">
        <f>IF($L172="","",INDEX(HSI!$L$7:$L$106,($L172-INT($L172/1000)*1000)))</f>
        <v/>
      </c>
      <c r="H172" s="155">
        <f>IF($L172="","",IF($F172="","",IFERROR(($F172-$E172)*INDEX(HSI!$B$7:$B$106,($L172-INT($L172/1000)*1000))*INDEX(HSI!$G$7:$G$106,($L172-INT($L172/1000)*1000))/HSI!$B$3,"")))</f>
        <v/>
      </c>
      <c r="I172" s="46">
        <f>IF($L172="","",INDEX(HSI!$U$7:$U$106,($L172-INT($L172/1000)*1000)))</f>
        <v/>
      </c>
      <c r="K172" s="121">
        <f>IF(HSI!$C$103="","",IFERROR(MATCH(HSI!$E$103,Fundamentals!$B$216:$B$226,0),99)*1000+97)</f>
        <v/>
      </c>
      <c r="L172" s="121">
        <f>IFERROR(SMALL($K$76:$K$175,97),"")</f>
        <v/>
      </c>
    </row>
    <row r="173">
      <c r="B173" s="22">
        <f>IF($L173="","",INDEX(HSI!$E$7:$E$106,($L173-INT($L173/1000)*1000)))</f>
        <v/>
      </c>
      <c r="C173" s="22">
        <f>IF($L173="","",INDEX(HSI!$D$7:$D$106,($L173-INT($L173/1000)*1000)))</f>
        <v/>
      </c>
      <c r="D173" s="22">
        <f>IF($L173="","",INDEX(HSI!$C$7:$C$106,($L173-INT($L173/1000)*1000)))</f>
        <v/>
      </c>
      <c r="E173" s="133">
        <f>IF($L173="","",INDEX(HSI!$K$7:$K$106,($L173-INT($L173/1000)*1000)))</f>
        <v/>
      </c>
      <c r="F173" s="123">
        <f>IF($L173="","",IF(COUNTIFS(OVR_TICKERS,$D173,OVR_BASE,"&gt;=0")=0,"",SUMIFS(OVR_BASE,OVR_TICKERS,$D173)))</f>
        <v/>
      </c>
      <c r="G173" s="133">
        <f>IF($L173="","",INDEX(HSI!$L$7:$L$106,($L173-INT($L173/1000)*1000)))</f>
        <v/>
      </c>
      <c r="H173" s="155">
        <f>IF($L173="","",IF($F173="","",IFERROR(($F173-$E173)*INDEX(HSI!$B$7:$B$106,($L173-INT($L173/1000)*1000))*INDEX(HSI!$G$7:$G$106,($L173-INT($L173/1000)*1000))/HSI!$B$3,"")))</f>
        <v/>
      </c>
      <c r="I173" s="46">
        <f>IF($L173="","",INDEX(HSI!$U$7:$U$106,($L173-INT($L173/1000)*1000)))</f>
        <v/>
      </c>
      <c r="K173" s="121">
        <f>IF(HSI!$C$104="","",IFERROR(MATCH(HSI!$E$104,Fundamentals!$B$216:$B$226,0),99)*1000+98)</f>
        <v/>
      </c>
      <c r="L173" s="121">
        <f>IFERROR(SMALL($K$76:$K$175,98),"")</f>
        <v/>
      </c>
    </row>
    <row r="174">
      <c r="B174" s="22">
        <f>IF($L174="","",INDEX(HSI!$E$7:$E$106,($L174-INT($L174/1000)*1000)))</f>
        <v/>
      </c>
      <c r="C174" s="22">
        <f>IF($L174="","",INDEX(HSI!$D$7:$D$106,($L174-INT($L174/1000)*1000)))</f>
        <v/>
      </c>
      <c r="D174" s="22">
        <f>IF($L174="","",INDEX(HSI!$C$7:$C$106,($L174-INT($L174/1000)*1000)))</f>
        <v/>
      </c>
      <c r="E174" s="133">
        <f>IF($L174="","",INDEX(HSI!$K$7:$K$106,($L174-INT($L174/1000)*1000)))</f>
        <v/>
      </c>
      <c r="F174" s="123">
        <f>IF($L174="","",IF(COUNTIFS(OVR_TICKERS,$D174,OVR_BASE,"&gt;=0")=0,"",SUMIFS(OVR_BASE,OVR_TICKERS,$D174)))</f>
        <v/>
      </c>
      <c r="G174" s="133">
        <f>IF($L174="","",INDEX(HSI!$L$7:$L$106,($L174-INT($L174/1000)*1000)))</f>
        <v/>
      </c>
      <c r="H174" s="155">
        <f>IF($L174="","",IF($F174="","",IFERROR(($F174-$E174)*INDEX(HSI!$B$7:$B$106,($L174-INT($L174/1000)*1000))*INDEX(HSI!$G$7:$G$106,($L174-INT($L174/1000)*1000))/HSI!$B$3,"")))</f>
        <v/>
      </c>
      <c r="I174" s="46">
        <f>IF($L174="","",INDEX(HSI!$U$7:$U$106,($L174-INT($L174/1000)*1000)))</f>
        <v/>
      </c>
      <c r="K174" s="121">
        <f>IF(HSI!$C$105="","",IFERROR(MATCH(HSI!$E$105,Fundamentals!$B$216:$B$226,0),99)*1000+99)</f>
        <v/>
      </c>
      <c r="L174" s="121">
        <f>IFERROR(SMALL($K$76:$K$175,99),"")</f>
        <v/>
      </c>
    </row>
    <row r="175">
      <c r="B175" s="22">
        <f>IF($L175="","",INDEX(HSI!$E$7:$E$106,($L175-INT($L175/1000)*1000)))</f>
        <v/>
      </c>
      <c r="C175" s="22">
        <f>IF($L175="","",INDEX(HSI!$D$7:$D$106,($L175-INT($L175/1000)*1000)))</f>
        <v/>
      </c>
      <c r="D175" s="22">
        <f>IF($L175="","",INDEX(HSI!$C$7:$C$106,($L175-INT($L175/1000)*1000)))</f>
        <v/>
      </c>
      <c r="E175" s="133">
        <f>IF($L175="","",INDEX(HSI!$K$7:$K$106,($L175-INT($L175/1000)*1000)))</f>
        <v/>
      </c>
      <c r="F175" s="123">
        <f>IF($L175="","",IF(COUNTIFS(OVR_TICKERS,$D175,OVR_BASE,"&gt;=0")=0,"",SUMIFS(OVR_BASE,OVR_TICKERS,$D175)))</f>
        <v/>
      </c>
      <c r="G175" s="133">
        <f>IF($L175="","",INDEX(HSI!$L$7:$L$106,($L175-INT($L175/1000)*1000)))</f>
        <v/>
      </c>
      <c r="H175" s="155">
        <f>IF($L175="","",IF($F175="","",IFERROR(($F175-$E175)*INDEX(HSI!$B$7:$B$106,($L175-INT($L175/1000)*1000))*INDEX(HSI!$G$7:$G$106,($L175-INT($L175/1000)*1000))/HSI!$B$3,"")))</f>
        <v/>
      </c>
      <c r="I175" s="46">
        <f>IF($L175="","",INDEX(HSI!$U$7:$U$106,($L175-INT($L175/1000)*1000)))</f>
        <v/>
      </c>
      <c r="K175" s="121">
        <f>IF(HSI!$C$106="","",IFERROR(MATCH(HSI!$E$106,Fundamentals!$B$216:$B$226,0),99)*1000+100)</f>
        <v/>
      </c>
      <c r="L175" s="121">
        <f>IFERROR(SMALL($K$76:$K$175,100),"")</f>
        <v/>
      </c>
    </row>
    <row r="178">
      <c r="B178" s="6" t="inlineStr">
        <is>
          <t>BY SECTOR - Hang Seng TECH Index (HSTECH)   (read-only, sorted by sector at refresh)</t>
        </is>
      </c>
      <c r="C178" s="7" t="n"/>
      <c r="D178" s="7" t="n"/>
      <c r="E178" s="7" t="n"/>
      <c r="F178" s="7" t="n"/>
      <c r="G178" s="7" t="n"/>
      <c r="H178" s="7" t="n"/>
      <c r="I178" s="7" t="n"/>
    </row>
    <row r="179">
      <c r="B179" s="23" t="inlineStr">
        <is>
          <t>GICS Sector</t>
        </is>
      </c>
      <c r="C179" s="23" t="inlineStr">
        <is>
          <t>Name</t>
        </is>
      </c>
      <c r="D179" s="23" t="inlineStr">
        <is>
          <t>Ticker</t>
        </is>
      </c>
      <c r="E179" s="23" t="inlineStr">
        <is>
          <t>BBG rest
of yr</t>
        </is>
      </c>
      <c r="F179" s="23" t="inlineStr">
        <is>
          <t>YOUR base</t>
        </is>
      </c>
      <c r="G179" s="23" t="inlineStr">
        <is>
          <t>Effective</t>
        </is>
      </c>
      <c r="H179" s="23" t="inlineStr">
        <is>
          <t>Impact
(pts)</t>
        </is>
      </c>
      <c r="I179" s="23" t="inlineStr">
        <is>
          <t>Flag</t>
        </is>
      </c>
      <c r="K179" s="2" t="inlineStr">
        <is>
          <t>engine</t>
        </is>
      </c>
    </row>
    <row r="180">
      <c r="B180" s="22">
        <f>IF($L180="","",INDEX(HSTECH!$E$7:$E$46,($L180-INT($L180/1000)*1000)))</f>
        <v/>
      </c>
      <c r="C180" s="22">
        <f>IF($L180="","",INDEX(HSTECH!$D$7:$D$46,($L180-INT($L180/1000)*1000)))</f>
        <v/>
      </c>
      <c r="D180" s="22">
        <f>IF($L180="","",INDEX(HSTECH!$C$7:$C$46,($L180-INT($L180/1000)*1000)))</f>
        <v/>
      </c>
      <c r="E180" s="133">
        <f>IF($L180="","",INDEX(HSTECH!$K$7:$K$46,($L180-INT($L180/1000)*1000)))</f>
        <v/>
      </c>
      <c r="F180" s="123">
        <f>IF($L180="","",IF(COUNTIFS(OVR_TICKERS,$D180,OVR_BASE,"&gt;=0")=0,"",SUMIFS(OVR_BASE,OVR_TICKERS,$D180)))</f>
        <v/>
      </c>
      <c r="G180" s="133">
        <f>IF($L180="","",INDEX(HSTECH!$L$7:$L$46,($L180-INT($L180/1000)*1000)))</f>
        <v/>
      </c>
      <c r="H180" s="155">
        <f>IF($L180="","",IF($F180="","",IFERROR(($F180-$E180)*INDEX(HSTECH!$B$7:$B$46,($L180-INT($L180/1000)*1000))*INDEX(HSTECH!$G$7:$G$46,($L180-INT($L180/1000)*1000))/HSTECH!$B$3,"")))</f>
        <v/>
      </c>
      <c r="I180" s="46">
        <f>IF($L180="","",INDEX(HSTECH!$U$7:$U$46,($L180-INT($L180/1000)*1000)))</f>
        <v/>
      </c>
      <c r="K180" s="121">
        <f>IF(HSTECH!$C$7="","",IFERROR(MATCH(HSTECH!$E$7,Fundamentals!$B$216:$B$226,0),99)*1000+1)</f>
        <v/>
      </c>
      <c r="L180" s="121">
        <f>IFERROR(SMALL($K$180:$K$219,1),"")</f>
        <v/>
      </c>
    </row>
    <row r="181">
      <c r="B181" s="22">
        <f>IF($L181="","",INDEX(HSTECH!$E$7:$E$46,($L181-INT($L181/1000)*1000)))</f>
        <v/>
      </c>
      <c r="C181" s="22">
        <f>IF($L181="","",INDEX(HSTECH!$D$7:$D$46,($L181-INT($L181/1000)*1000)))</f>
        <v/>
      </c>
      <c r="D181" s="22">
        <f>IF($L181="","",INDEX(HSTECH!$C$7:$C$46,($L181-INT($L181/1000)*1000)))</f>
        <v/>
      </c>
      <c r="E181" s="133">
        <f>IF($L181="","",INDEX(HSTECH!$K$7:$K$46,($L181-INT($L181/1000)*1000)))</f>
        <v/>
      </c>
      <c r="F181" s="123">
        <f>IF($L181="","",IF(COUNTIFS(OVR_TICKERS,$D181,OVR_BASE,"&gt;=0")=0,"",SUMIFS(OVR_BASE,OVR_TICKERS,$D181)))</f>
        <v/>
      </c>
      <c r="G181" s="133">
        <f>IF($L181="","",INDEX(HSTECH!$L$7:$L$46,($L181-INT($L181/1000)*1000)))</f>
        <v/>
      </c>
      <c r="H181" s="155">
        <f>IF($L181="","",IF($F181="","",IFERROR(($F181-$E181)*INDEX(HSTECH!$B$7:$B$46,($L181-INT($L181/1000)*1000))*INDEX(HSTECH!$G$7:$G$46,($L181-INT($L181/1000)*1000))/HSTECH!$B$3,"")))</f>
        <v/>
      </c>
      <c r="I181" s="46">
        <f>IF($L181="","",INDEX(HSTECH!$U$7:$U$46,($L181-INT($L181/1000)*1000)))</f>
        <v/>
      </c>
      <c r="K181" s="121">
        <f>IF(HSTECH!$C$8="","",IFERROR(MATCH(HSTECH!$E$8,Fundamentals!$B$216:$B$226,0),99)*1000+2)</f>
        <v/>
      </c>
      <c r="L181" s="121">
        <f>IFERROR(SMALL($K$180:$K$219,2),"")</f>
        <v/>
      </c>
    </row>
    <row r="182">
      <c r="B182" s="22">
        <f>IF($L182="","",INDEX(HSTECH!$E$7:$E$46,($L182-INT($L182/1000)*1000)))</f>
        <v/>
      </c>
      <c r="C182" s="22">
        <f>IF($L182="","",INDEX(HSTECH!$D$7:$D$46,($L182-INT($L182/1000)*1000)))</f>
        <v/>
      </c>
      <c r="D182" s="22">
        <f>IF($L182="","",INDEX(HSTECH!$C$7:$C$46,($L182-INT($L182/1000)*1000)))</f>
        <v/>
      </c>
      <c r="E182" s="133">
        <f>IF($L182="","",INDEX(HSTECH!$K$7:$K$46,($L182-INT($L182/1000)*1000)))</f>
        <v/>
      </c>
      <c r="F182" s="123">
        <f>IF($L182="","",IF(COUNTIFS(OVR_TICKERS,$D182,OVR_BASE,"&gt;=0")=0,"",SUMIFS(OVR_BASE,OVR_TICKERS,$D182)))</f>
        <v/>
      </c>
      <c r="G182" s="133">
        <f>IF($L182="","",INDEX(HSTECH!$L$7:$L$46,($L182-INT($L182/1000)*1000)))</f>
        <v/>
      </c>
      <c r="H182" s="155">
        <f>IF($L182="","",IF($F182="","",IFERROR(($F182-$E182)*INDEX(HSTECH!$B$7:$B$46,($L182-INT($L182/1000)*1000))*INDEX(HSTECH!$G$7:$G$46,($L182-INT($L182/1000)*1000))/HSTECH!$B$3,"")))</f>
        <v/>
      </c>
      <c r="I182" s="46">
        <f>IF($L182="","",INDEX(HSTECH!$U$7:$U$46,($L182-INT($L182/1000)*1000)))</f>
        <v/>
      </c>
      <c r="K182" s="121">
        <f>IF(HSTECH!$C$9="","",IFERROR(MATCH(HSTECH!$E$9,Fundamentals!$B$216:$B$226,0),99)*1000+3)</f>
        <v/>
      </c>
      <c r="L182" s="121">
        <f>IFERROR(SMALL($K$180:$K$219,3),"")</f>
        <v/>
      </c>
    </row>
    <row r="183">
      <c r="B183" s="22">
        <f>IF($L183="","",INDEX(HSTECH!$E$7:$E$46,($L183-INT($L183/1000)*1000)))</f>
        <v/>
      </c>
      <c r="C183" s="22">
        <f>IF($L183="","",INDEX(HSTECH!$D$7:$D$46,($L183-INT($L183/1000)*1000)))</f>
        <v/>
      </c>
      <c r="D183" s="22">
        <f>IF($L183="","",INDEX(HSTECH!$C$7:$C$46,($L183-INT($L183/1000)*1000)))</f>
        <v/>
      </c>
      <c r="E183" s="133">
        <f>IF($L183="","",INDEX(HSTECH!$K$7:$K$46,($L183-INT($L183/1000)*1000)))</f>
        <v/>
      </c>
      <c r="F183" s="123">
        <f>IF($L183="","",IF(COUNTIFS(OVR_TICKERS,$D183,OVR_BASE,"&gt;=0")=0,"",SUMIFS(OVR_BASE,OVR_TICKERS,$D183)))</f>
        <v/>
      </c>
      <c r="G183" s="133">
        <f>IF($L183="","",INDEX(HSTECH!$L$7:$L$46,($L183-INT($L183/1000)*1000)))</f>
        <v/>
      </c>
      <c r="H183" s="155">
        <f>IF($L183="","",IF($F183="","",IFERROR(($F183-$E183)*INDEX(HSTECH!$B$7:$B$46,($L183-INT($L183/1000)*1000))*INDEX(HSTECH!$G$7:$G$46,($L183-INT($L183/1000)*1000))/HSTECH!$B$3,"")))</f>
        <v/>
      </c>
      <c r="I183" s="46">
        <f>IF($L183="","",INDEX(HSTECH!$U$7:$U$46,($L183-INT($L183/1000)*1000)))</f>
        <v/>
      </c>
      <c r="K183" s="121">
        <f>IF(HSTECH!$C$10="","",IFERROR(MATCH(HSTECH!$E$10,Fundamentals!$B$216:$B$226,0),99)*1000+4)</f>
        <v/>
      </c>
      <c r="L183" s="121">
        <f>IFERROR(SMALL($K$180:$K$219,4),"")</f>
        <v/>
      </c>
    </row>
    <row r="184">
      <c r="B184" s="22">
        <f>IF($L184="","",INDEX(HSTECH!$E$7:$E$46,($L184-INT($L184/1000)*1000)))</f>
        <v/>
      </c>
      <c r="C184" s="22">
        <f>IF($L184="","",INDEX(HSTECH!$D$7:$D$46,($L184-INT($L184/1000)*1000)))</f>
        <v/>
      </c>
      <c r="D184" s="22">
        <f>IF($L184="","",INDEX(HSTECH!$C$7:$C$46,($L184-INT($L184/1000)*1000)))</f>
        <v/>
      </c>
      <c r="E184" s="133">
        <f>IF($L184="","",INDEX(HSTECH!$K$7:$K$46,($L184-INT($L184/1000)*1000)))</f>
        <v/>
      </c>
      <c r="F184" s="123">
        <f>IF($L184="","",IF(COUNTIFS(OVR_TICKERS,$D184,OVR_BASE,"&gt;=0")=0,"",SUMIFS(OVR_BASE,OVR_TICKERS,$D184)))</f>
        <v/>
      </c>
      <c r="G184" s="133">
        <f>IF($L184="","",INDEX(HSTECH!$L$7:$L$46,($L184-INT($L184/1000)*1000)))</f>
        <v/>
      </c>
      <c r="H184" s="155">
        <f>IF($L184="","",IF($F184="","",IFERROR(($F184-$E184)*INDEX(HSTECH!$B$7:$B$46,($L184-INT($L184/1000)*1000))*INDEX(HSTECH!$G$7:$G$46,($L184-INT($L184/1000)*1000))/HSTECH!$B$3,"")))</f>
        <v/>
      </c>
      <c r="I184" s="46">
        <f>IF($L184="","",INDEX(HSTECH!$U$7:$U$46,($L184-INT($L184/1000)*1000)))</f>
        <v/>
      </c>
      <c r="K184" s="121">
        <f>IF(HSTECH!$C$11="","",IFERROR(MATCH(HSTECH!$E$11,Fundamentals!$B$216:$B$226,0),99)*1000+5)</f>
        <v/>
      </c>
      <c r="L184" s="121">
        <f>IFERROR(SMALL($K$180:$K$219,5),"")</f>
        <v/>
      </c>
    </row>
    <row r="185">
      <c r="B185" s="22">
        <f>IF($L185="","",INDEX(HSTECH!$E$7:$E$46,($L185-INT($L185/1000)*1000)))</f>
        <v/>
      </c>
      <c r="C185" s="22">
        <f>IF($L185="","",INDEX(HSTECH!$D$7:$D$46,($L185-INT($L185/1000)*1000)))</f>
        <v/>
      </c>
      <c r="D185" s="22">
        <f>IF($L185="","",INDEX(HSTECH!$C$7:$C$46,($L185-INT($L185/1000)*1000)))</f>
        <v/>
      </c>
      <c r="E185" s="133">
        <f>IF($L185="","",INDEX(HSTECH!$K$7:$K$46,($L185-INT($L185/1000)*1000)))</f>
        <v/>
      </c>
      <c r="F185" s="123">
        <f>IF($L185="","",IF(COUNTIFS(OVR_TICKERS,$D185,OVR_BASE,"&gt;=0")=0,"",SUMIFS(OVR_BASE,OVR_TICKERS,$D185)))</f>
        <v/>
      </c>
      <c r="G185" s="133">
        <f>IF($L185="","",INDEX(HSTECH!$L$7:$L$46,($L185-INT($L185/1000)*1000)))</f>
        <v/>
      </c>
      <c r="H185" s="155">
        <f>IF($L185="","",IF($F185="","",IFERROR(($F185-$E185)*INDEX(HSTECH!$B$7:$B$46,($L185-INT($L185/1000)*1000))*INDEX(HSTECH!$G$7:$G$46,($L185-INT($L185/1000)*1000))/HSTECH!$B$3,"")))</f>
        <v/>
      </c>
      <c r="I185" s="46">
        <f>IF($L185="","",INDEX(HSTECH!$U$7:$U$46,($L185-INT($L185/1000)*1000)))</f>
        <v/>
      </c>
      <c r="K185" s="121">
        <f>IF(HSTECH!$C$12="","",IFERROR(MATCH(HSTECH!$E$12,Fundamentals!$B$216:$B$226,0),99)*1000+6)</f>
        <v/>
      </c>
      <c r="L185" s="121">
        <f>IFERROR(SMALL($K$180:$K$219,6),"")</f>
        <v/>
      </c>
    </row>
    <row r="186">
      <c r="B186" s="22">
        <f>IF($L186="","",INDEX(HSTECH!$E$7:$E$46,($L186-INT($L186/1000)*1000)))</f>
        <v/>
      </c>
      <c r="C186" s="22">
        <f>IF($L186="","",INDEX(HSTECH!$D$7:$D$46,($L186-INT($L186/1000)*1000)))</f>
        <v/>
      </c>
      <c r="D186" s="22">
        <f>IF($L186="","",INDEX(HSTECH!$C$7:$C$46,($L186-INT($L186/1000)*1000)))</f>
        <v/>
      </c>
      <c r="E186" s="133">
        <f>IF($L186="","",INDEX(HSTECH!$K$7:$K$46,($L186-INT($L186/1000)*1000)))</f>
        <v/>
      </c>
      <c r="F186" s="123">
        <f>IF($L186="","",IF(COUNTIFS(OVR_TICKERS,$D186,OVR_BASE,"&gt;=0")=0,"",SUMIFS(OVR_BASE,OVR_TICKERS,$D186)))</f>
        <v/>
      </c>
      <c r="G186" s="133">
        <f>IF($L186="","",INDEX(HSTECH!$L$7:$L$46,($L186-INT($L186/1000)*1000)))</f>
        <v/>
      </c>
      <c r="H186" s="155">
        <f>IF($L186="","",IF($F186="","",IFERROR(($F186-$E186)*INDEX(HSTECH!$B$7:$B$46,($L186-INT($L186/1000)*1000))*INDEX(HSTECH!$G$7:$G$46,($L186-INT($L186/1000)*1000))/HSTECH!$B$3,"")))</f>
        <v/>
      </c>
      <c r="I186" s="46">
        <f>IF($L186="","",INDEX(HSTECH!$U$7:$U$46,($L186-INT($L186/1000)*1000)))</f>
        <v/>
      </c>
      <c r="K186" s="121">
        <f>IF(HSTECH!$C$13="","",IFERROR(MATCH(HSTECH!$E$13,Fundamentals!$B$216:$B$226,0),99)*1000+7)</f>
        <v/>
      </c>
      <c r="L186" s="121">
        <f>IFERROR(SMALL($K$180:$K$219,7),"")</f>
        <v/>
      </c>
    </row>
    <row r="187">
      <c r="B187" s="22">
        <f>IF($L187="","",INDEX(HSTECH!$E$7:$E$46,($L187-INT($L187/1000)*1000)))</f>
        <v/>
      </c>
      <c r="C187" s="22">
        <f>IF($L187="","",INDEX(HSTECH!$D$7:$D$46,($L187-INT($L187/1000)*1000)))</f>
        <v/>
      </c>
      <c r="D187" s="22">
        <f>IF($L187="","",INDEX(HSTECH!$C$7:$C$46,($L187-INT($L187/1000)*1000)))</f>
        <v/>
      </c>
      <c r="E187" s="133">
        <f>IF($L187="","",INDEX(HSTECH!$K$7:$K$46,($L187-INT($L187/1000)*1000)))</f>
        <v/>
      </c>
      <c r="F187" s="123">
        <f>IF($L187="","",IF(COUNTIFS(OVR_TICKERS,$D187,OVR_BASE,"&gt;=0")=0,"",SUMIFS(OVR_BASE,OVR_TICKERS,$D187)))</f>
        <v/>
      </c>
      <c r="G187" s="133">
        <f>IF($L187="","",INDEX(HSTECH!$L$7:$L$46,($L187-INT($L187/1000)*1000)))</f>
        <v/>
      </c>
      <c r="H187" s="155">
        <f>IF($L187="","",IF($F187="","",IFERROR(($F187-$E187)*INDEX(HSTECH!$B$7:$B$46,($L187-INT($L187/1000)*1000))*INDEX(HSTECH!$G$7:$G$46,($L187-INT($L187/1000)*1000))/HSTECH!$B$3,"")))</f>
        <v/>
      </c>
      <c r="I187" s="46">
        <f>IF($L187="","",INDEX(HSTECH!$U$7:$U$46,($L187-INT($L187/1000)*1000)))</f>
        <v/>
      </c>
      <c r="K187" s="121">
        <f>IF(HSTECH!$C$14="","",IFERROR(MATCH(HSTECH!$E$14,Fundamentals!$B$216:$B$226,0),99)*1000+8)</f>
        <v/>
      </c>
      <c r="L187" s="121">
        <f>IFERROR(SMALL($K$180:$K$219,8),"")</f>
        <v/>
      </c>
    </row>
    <row r="188">
      <c r="B188" s="22">
        <f>IF($L188="","",INDEX(HSTECH!$E$7:$E$46,($L188-INT($L188/1000)*1000)))</f>
        <v/>
      </c>
      <c r="C188" s="22">
        <f>IF($L188="","",INDEX(HSTECH!$D$7:$D$46,($L188-INT($L188/1000)*1000)))</f>
        <v/>
      </c>
      <c r="D188" s="22">
        <f>IF($L188="","",INDEX(HSTECH!$C$7:$C$46,($L188-INT($L188/1000)*1000)))</f>
        <v/>
      </c>
      <c r="E188" s="133">
        <f>IF($L188="","",INDEX(HSTECH!$K$7:$K$46,($L188-INT($L188/1000)*1000)))</f>
        <v/>
      </c>
      <c r="F188" s="123">
        <f>IF($L188="","",IF(COUNTIFS(OVR_TICKERS,$D188,OVR_BASE,"&gt;=0")=0,"",SUMIFS(OVR_BASE,OVR_TICKERS,$D188)))</f>
        <v/>
      </c>
      <c r="G188" s="133">
        <f>IF($L188="","",INDEX(HSTECH!$L$7:$L$46,($L188-INT($L188/1000)*1000)))</f>
        <v/>
      </c>
      <c r="H188" s="155">
        <f>IF($L188="","",IF($F188="","",IFERROR(($F188-$E188)*INDEX(HSTECH!$B$7:$B$46,($L188-INT($L188/1000)*1000))*INDEX(HSTECH!$G$7:$G$46,($L188-INT($L188/1000)*1000))/HSTECH!$B$3,"")))</f>
        <v/>
      </c>
      <c r="I188" s="46">
        <f>IF($L188="","",INDEX(HSTECH!$U$7:$U$46,($L188-INT($L188/1000)*1000)))</f>
        <v/>
      </c>
      <c r="K188" s="121">
        <f>IF(HSTECH!$C$15="","",IFERROR(MATCH(HSTECH!$E$15,Fundamentals!$B$216:$B$226,0),99)*1000+9)</f>
        <v/>
      </c>
      <c r="L188" s="121">
        <f>IFERROR(SMALL($K$180:$K$219,9),"")</f>
        <v/>
      </c>
    </row>
    <row r="189">
      <c r="B189" s="22">
        <f>IF($L189="","",INDEX(HSTECH!$E$7:$E$46,($L189-INT($L189/1000)*1000)))</f>
        <v/>
      </c>
      <c r="C189" s="22">
        <f>IF($L189="","",INDEX(HSTECH!$D$7:$D$46,($L189-INT($L189/1000)*1000)))</f>
        <v/>
      </c>
      <c r="D189" s="22">
        <f>IF($L189="","",INDEX(HSTECH!$C$7:$C$46,($L189-INT($L189/1000)*1000)))</f>
        <v/>
      </c>
      <c r="E189" s="133">
        <f>IF($L189="","",INDEX(HSTECH!$K$7:$K$46,($L189-INT($L189/1000)*1000)))</f>
        <v/>
      </c>
      <c r="F189" s="123">
        <f>IF($L189="","",IF(COUNTIFS(OVR_TICKERS,$D189,OVR_BASE,"&gt;=0")=0,"",SUMIFS(OVR_BASE,OVR_TICKERS,$D189)))</f>
        <v/>
      </c>
      <c r="G189" s="133">
        <f>IF($L189="","",INDEX(HSTECH!$L$7:$L$46,($L189-INT($L189/1000)*1000)))</f>
        <v/>
      </c>
      <c r="H189" s="155">
        <f>IF($L189="","",IF($F189="","",IFERROR(($F189-$E189)*INDEX(HSTECH!$B$7:$B$46,($L189-INT($L189/1000)*1000))*INDEX(HSTECH!$G$7:$G$46,($L189-INT($L189/1000)*1000))/HSTECH!$B$3,"")))</f>
        <v/>
      </c>
      <c r="I189" s="46">
        <f>IF($L189="","",INDEX(HSTECH!$U$7:$U$46,($L189-INT($L189/1000)*1000)))</f>
        <v/>
      </c>
      <c r="K189" s="121">
        <f>IF(HSTECH!$C$16="","",IFERROR(MATCH(HSTECH!$E$16,Fundamentals!$B$216:$B$226,0),99)*1000+10)</f>
        <v/>
      </c>
      <c r="L189" s="121">
        <f>IFERROR(SMALL($K$180:$K$219,10),"")</f>
        <v/>
      </c>
    </row>
    <row r="190">
      <c r="B190" s="22">
        <f>IF($L190="","",INDEX(HSTECH!$E$7:$E$46,($L190-INT($L190/1000)*1000)))</f>
        <v/>
      </c>
      <c r="C190" s="22">
        <f>IF($L190="","",INDEX(HSTECH!$D$7:$D$46,($L190-INT($L190/1000)*1000)))</f>
        <v/>
      </c>
      <c r="D190" s="22">
        <f>IF($L190="","",INDEX(HSTECH!$C$7:$C$46,($L190-INT($L190/1000)*1000)))</f>
        <v/>
      </c>
      <c r="E190" s="133">
        <f>IF($L190="","",INDEX(HSTECH!$K$7:$K$46,($L190-INT($L190/1000)*1000)))</f>
        <v/>
      </c>
      <c r="F190" s="123">
        <f>IF($L190="","",IF(COUNTIFS(OVR_TICKERS,$D190,OVR_BASE,"&gt;=0")=0,"",SUMIFS(OVR_BASE,OVR_TICKERS,$D190)))</f>
        <v/>
      </c>
      <c r="G190" s="133">
        <f>IF($L190="","",INDEX(HSTECH!$L$7:$L$46,($L190-INT($L190/1000)*1000)))</f>
        <v/>
      </c>
      <c r="H190" s="155">
        <f>IF($L190="","",IF($F190="","",IFERROR(($F190-$E190)*INDEX(HSTECH!$B$7:$B$46,($L190-INT($L190/1000)*1000))*INDEX(HSTECH!$G$7:$G$46,($L190-INT($L190/1000)*1000))/HSTECH!$B$3,"")))</f>
        <v/>
      </c>
      <c r="I190" s="46">
        <f>IF($L190="","",INDEX(HSTECH!$U$7:$U$46,($L190-INT($L190/1000)*1000)))</f>
        <v/>
      </c>
      <c r="K190" s="121">
        <f>IF(HSTECH!$C$17="","",IFERROR(MATCH(HSTECH!$E$17,Fundamentals!$B$216:$B$226,0),99)*1000+11)</f>
        <v/>
      </c>
      <c r="L190" s="121">
        <f>IFERROR(SMALL($K$180:$K$219,11),"")</f>
        <v/>
      </c>
    </row>
    <row r="191">
      <c r="B191" s="22">
        <f>IF($L191="","",INDEX(HSTECH!$E$7:$E$46,($L191-INT($L191/1000)*1000)))</f>
        <v/>
      </c>
      <c r="C191" s="22">
        <f>IF($L191="","",INDEX(HSTECH!$D$7:$D$46,($L191-INT($L191/1000)*1000)))</f>
        <v/>
      </c>
      <c r="D191" s="22">
        <f>IF($L191="","",INDEX(HSTECH!$C$7:$C$46,($L191-INT($L191/1000)*1000)))</f>
        <v/>
      </c>
      <c r="E191" s="133">
        <f>IF($L191="","",INDEX(HSTECH!$K$7:$K$46,($L191-INT($L191/1000)*1000)))</f>
        <v/>
      </c>
      <c r="F191" s="123">
        <f>IF($L191="","",IF(COUNTIFS(OVR_TICKERS,$D191,OVR_BASE,"&gt;=0")=0,"",SUMIFS(OVR_BASE,OVR_TICKERS,$D191)))</f>
        <v/>
      </c>
      <c r="G191" s="133">
        <f>IF($L191="","",INDEX(HSTECH!$L$7:$L$46,($L191-INT($L191/1000)*1000)))</f>
        <v/>
      </c>
      <c r="H191" s="155">
        <f>IF($L191="","",IF($F191="","",IFERROR(($F191-$E191)*INDEX(HSTECH!$B$7:$B$46,($L191-INT($L191/1000)*1000))*INDEX(HSTECH!$G$7:$G$46,($L191-INT($L191/1000)*1000))/HSTECH!$B$3,"")))</f>
        <v/>
      </c>
      <c r="I191" s="46">
        <f>IF($L191="","",INDEX(HSTECH!$U$7:$U$46,($L191-INT($L191/1000)*1000)))</f>
        <v/>
      </c>
      <c r="K191" s="121">
        <f>IF(HSTECH!$C$18="","",IFERROR(MATCH(HSTECH!$E$18,Fundamentals!$B$216:$B$226,0),99)*1000+12)</f>
        <v/>
      </c>
      <c r="L191" s="121">
        <f>IFERROR(SMALL($K$180:$K$219,12),"")</f>
        <v/>
      </c>
    </row>
    <row r="192">
      <c r="B192" s="22">
        <f>IF($L192="","",INDEX(HSTECH!$E$7:$E$46,($L192-INT($L192/1000)*1000)))</f>
        <v/>
      </c>
      <c r="C192" s="22">
        <f>IF($L192="","",INDEX(HSTECH!$D$7:$D$46,($L192-INT($L192/1000)*1000)))</f>
        <v/>
      </c>
      <c r="D192" s="22">
        <f>IF($L192="","",INDEX(HSTECH!$C$7:$C$46,($L192-INT($L192/1000)*1000)))</f>
        <v/>
      </c>
      <c r="E192" s="133">
        <f>IF($L192="","",INDEX(HSTECH!$K$7:$K$46,($L192-INT($L192/1000)*1000)))</f>
        <v/>
      </c>
      <c r="F192" s="123">
        <f>IF($L192="","",IF(COUNTIFS(OVR_TICKERS,$D192,OVR_BASE,"&gt;=0")=0,"",SUMIFS(OVR_BASE,OVR_TICKERS,$D192)))</f>
        <v/>
      </c>
      <c r="G192" s="133">
        <f>IF($L192="","",INDEX(HSTECH!$L$7:$L$46,($L192-INT($L192/1000)*1000)))</f>
        <v/>
      </c>
      <c r="H192" s="155">
        <f>IF($L192="","",IF($F192="","",IFERROR(($F192-$E192)*INDEX(HSTECH!$B$7:$B$46,($L192-INT($L192/1000)*1000))*INDEX(HSTECH!$G$7:$G$46,($L192-INT($L192/1000)*1000))/HSTECH!$B$3,"")))</f>
        <v/>
      </c>
      <c r="I192" s="46">
        <f>IF($L192="","",INDEX(HSTECH!$U$7:$U$46,($L192-INT($L192/1000)*1000)))</f>
        <v/>
      </c>
      <c r="K192" s="121">
        <f>IF(HSTECH!$C$19="","",IFERROR(MATCH(HSTECH!$E$19,Fundamentals!$B$216:$B$226,0),99)*1000+13)</f>
        <v/>
      </c>
      <c r="L192" s="121">
        <f>IFERROR(SMALL($K$180:$K$219,13),"")</f>
        <v/>
      </c>
    </row>
    <row r="193">
      <c r="B193" s="22">
        <f>IF($L193="","",INDEX(HSTECH!$E$7:$E$46,($L193-INT($L193/1000)*1000)))</f>
        <v/>
      </c>
      <c r="C193" s="22">
        <f>IF($L193="","",INDEX(HSTECH!$D$7:$D$46,($L193-INT($L193/1000)*1000)))</f>
        <v/>
      </c>
      <c r="D193" s="22">
        <f>IF($L193="","",INDEX(HSTECH!$C$7:$C$46,($L193-INT($L193/1000)*1000)))</f>
        <v/>
      </c>
      <c r="E193" s="133">
        <f>IF($L193="","",INDEX(HSTECH!$K$7:$K$46,($L193-INT($L193/1000)*1000)))</f>
        <v/>
      </c>
      <c r="F193" s="123">
        <f>IF($L193="","",IF(COUNTIFS(OVR_TICKERS,$D193,OVR_BASE,"&gt;=0")=0,"",SUMIFS(OVR_BASE,OVR_TICKERS,$D193)))</f>
        <v/>
      </c>
      <c r="G193" s="133">
        <f>IF($L193="","",INDEX(HSTECH!$L$7:$L$46,($L193-INT($L193/1000)*1000)))</f>
        <v/>
      </c>
      <c r="H193" s="155">
        <f>IF($L193="","",IF($F193="","",IFERROR(($F193-$E193)*INDEX(HSTECH!$B$7:$B$46,($L193-INT($L193/1000)*1000))*INDEX(HSTECH!$G$7:$G$46,($L193-INT($L193/1000)*1000))/HSTECH!$B$3,"")))</f>
        <v/>
      </c>
      <c r="I193" s="46">
        <f>IF($L193="","",INDEX(HSTECH!$U$7:$U$46,($L193-INT($L193/1000)*1000)))</f>
        <v/>
      </c>
      <c r="K193" s="121">
        <f>IF(HSTECH!$C$20="","",IFERROR(MATCH(HSTECH!$E$20,Fundamentals!$B$216:$B$226,0),99)*1000+14)</f>
        <v/>
      </c>
      <c r="L193" s="121">
        <f>IFERROR(SMALL($K$180:$K$219,14),"")</f>
        <v/>
      </c>
    </row>
    <row r="194">
      <c r="B194" s="22">
        <f>IF($L194="","",INDEX(HSTECH!$E$7:$E$46,($L194-INT($L194/1000)*1000)))</f>
        <v/>
      </c>
      <c r="C194" s="22">
        <f>IF($L194="","",INDEX(HSTECH!$D$7:$D$46,($L194-INT($L194/1000)*1000)))</f>
        <v/>
      </c>
      <c r="D194" s="22">
        <f>IF($L194="","",INDEX(HSTECH!$C$7:$C$46,($L194-INT($L194/1000)*1000)))</f>
        <v/>
      </c>
      <c r="E194" s="133">
        <f>IF($L194="","",INDEX(HSTECH!$K$7:$K$46,($L194-INT($L194/1000)*1000)))</f>
        <v/>
      </c>
      <c r="F194" s="123">
        <f>IF($L194="","",IF(COUNTIFS(OVR_TICKERS,$D194,OVR_BASE,"&gt;=0")=0,"",SUMIFS(OVR_BASE,OVR_TICKERS,$D194)))</f>
        <v/>
      </c>
      <c r="G194" s="133">
        <f>IF($L194="","",INDEX(HSTECH!$L$7:$L$46,($L194-INT($L194/1000)*1000)))</f>
        <v/>
      </c>
      <c r="H194" s="155">
        <f>IF($L194="","",IF($F194="","",IFERROR(($F194-$E194)*INDEX(HSTECH!$B$7:$B$46,($L194-INT($L194/1000)*1000))*INDEX(HSTECH!$G$7:$G$46,($L194-INT($L194/1000)*1000))/HSTECH!$B$3,"")))</f>
        <v/>
      </c>
      <c r="I194" s="46">
        <f>IF($L194="","",INDEX(HSTECH!$U$7:$U$46,($L194-INT($L194/1000)*1000)))</f>
        <v/>
      </c>
      <c r="K194" s="121">
        <f>IF(HSTECH!$C$21="","",IFERROR(MATCH(HSTECH!$E$21,Fundamentals!$B$216:$B$226,0),99)*1000+15)</f>
        <v/>
      </c>
      <c r="L194" s="121">
        <f>IFERROR(SMALL($K$180:$K$219,15),"")</f>
        <v/>
      </c>
    </row>
    <row r="195">
      <c r="B195" s="22">
        <f>IF($L195="","",INDEX(HSTECH!$E$7:$E$46,($L195-INT($L195/1000)*1000)))</f>
        <v/>
      </c>
      <c r="C195" s="22">
        <f>IF($L195="","",INDEX(HSTECH!$D$7:$D$46,($L195-INT($L195/1000)*1000)))</f>
        <v/>
      </c>
      <c r="D195" s="22">
        <f>IF($L195="","",INDEX(HSTECH!$C$7:$C$46,($L195-INT($L195/1000)*1000)))</f>
        <v/>
      </c>
      <c r="E195" s="133">
        <f>IF($L195="","",INDEX(HSTECH!$K$7:$K$46,($L195-INT($L195/1000)*1000)))</f>
        <v/>
      </c>
      <c r="F195" s="123">
        <f>IF($L195="","",IF(COUNTIFS(OVR_TICKERS,$D195,OVR_BASE,"&gt;=0")=0,"",SUMIFS(OVR_BASE,OVR_TICKERS,$D195)))</f>
        <v/>
      </c>
      <c r="G195" s="133">
        <f>IF($L195="","",INDEX(HSTECH!$L$7:$L$46,($L195-INT($L195/1000)*1000)))</f>
        <v/>
      </c>
      <c r="H195" s="155">
        <f>IF($L195="","",IF($F195="","",IFERROR(($F195-$E195)*INDEX(HSTECH!$B$7:$B$46,($L195-INT($L195/1000)*1000))*INDEX(HSTECH!$G$7:$G$46,($L195-INT($L195/1000)*1000))/HSTECH!$B$3,"")))</f>
        <v/>
      </c>
      <c r="I195" s="46">
        <f>IF($L195="","",INDEX(HSTECH!$U$7:$U$46,($L195-INT($L195/1000)*1000)))</f>
        <v/>
      </c>
      <c r="K195" s="121">
        <f>IF(HSTECH!$C$22="","",IFERROR(MATCH(HSTECH!$E$22,Fundamentals!$B$216:$B$226,0),99)*1000+16)</f>
        <v/>
      </c>
      <c r="L195" s="121">
        <f>IFERROR(SMALL($K$180:$K$219,16),"")</f>
        <v/>
      </c>
    </row>
    <row r="196">
      <c r="B196" s="22">
        <f>IF($L196="","",INDEX(HSTECH!$E$7:$E$46,($L196-INT($L196/1000)*1000)))</f>
        <v/>
      </c>
      <c r="C196" s="22">
        <f>IF($L196="","",INDEX(HSTECH!$D$7:$D$46,($L196-INT($L196/1000)*1000)))</f>
        <v/>
      </c>
      <c r="D196" s="22">
        <f>IF($L196="","",INDEX(HSTECH!$C$7:$C$46,($L196-INT($L196/1000)*1000)))</f>
        <v/>
      </c>
      <c r="E196" s="133">
        <f>IF($L196="","",INDEX(HSTECH!$K$7:$K$46,($L196-INT($L196/1000)*1000)))</f>
        <v/>
      </c>
      <c r="F196" s="123">
        <f>IF($L196="","",IF(COUNTIFS(OVR_TICKERS,$D196,OVR_BASE,"&gt;=0")=0,"",SUMIFS(OVR_BASE,OVR_TICKERS,$D196)))</f>
        <v/>
      </c>
      <c r="G196" s="133">
        <f>IF($L196="","",INDEX(HSTECH!$L$7:$L$46,($L196-INT($L196/1000)*1000)))</f>
        <v/>
      </c>
      <c r="H196" s="155">
        <f>IF($L196="","",IF($F196="","",IFERROR(($F196-$E196)*INDEX(HSTECH!$B$7:$B$46,($L196-INT($L196/1000)*1000))*INDEX(HSTECH!$G$7:$G$46,($L196-INT($L196/1000)*1000))/HSTECH!$B$3,"")))</f>
        <v/>
      </c>
      <c r="I196" s="46">
        <f>IF($L196="","",INDEX(HSTECH!$U$7:$U$46,($L196-INT($L196/1000)*1000)))</f>
        <v/>
      </c>
      <c r="K196" s="121">
        <f>IF(HSTECH!$C$23="","",IFERROR(MATCH(HSTECH!$E$23,Fundamentals!$B$216:$B$226,0),99)*1000+17)</f>
        <v/>
      </c>
      <c r="L196" s="121">
        <f>IFERROR(SMALL($K$180:$K$219,17),"")</f>
        <v/>
      </c>
    </row>
    <row r="197">
      <c r="B197" s="22">
        <f>IF($L197="","",INDEX(HSTECH!$E$7:$E$46,($L197-INT($L197/1000)*1000)))</f>
        <v/>
      </c>
      <c r="C197" s="22">
        <f>IF($L197="","",INDEX(HSTECH!$D$7:$D$46,($L197-INT($L197/1000)*1000)))</f>
        <v/>
      </c>
      <c r="D197" s="22">
        <f>IF($L197="","",INDEX(HSTECH!$C$7:$C$46,($L197-INT($L197/1000)*1000)))</f>
        <v/>
      </c>
      <c r="E197" s="133">
        <f>IF($L197="","",INDEX(HSTECH!$K$7:$K$46,($L197-INT($L197/1000)*1000)))</f>
        <v/>
      </c>
      <c r="F197" s="123">
        <f>IF($L197="","",IF(COUNTIFS(OVR_TICKERS,$D197,OVR_BASE,"&gt;=0")=0,"",SUMIFS(OVR_BASE,OVR_TICKERS,$D197)))</f>
        <v/>
      </c>
      <c r="G197" s="133">
        <f>IF($L197="","",INDEX(HSTECH!$L$7:$L$46,($L197-INT($L197/1000)*1000)))</f>
        <v/>
      </c>
      <c r="H197" s="155">
        <f>IF($L197="","",IF($F197="","",IFERROR(($F197-$E197)*INDEX(HSTECH!$B$7:$B$46,($L197-INT($L197/1000)*1000))*INDEX(HSTECH!$G$7:$G$46,($L197-INT($L197/1000)*1000))/HSTECH!$B$3,"")))</f>
        <v/>
      </c>
      <c r="I197" s="46">
        <f>IF($L197="","",INDEX(HSTECH!$U$7:$U$46,($L197-INT($L197/1000)*1000)))</f>
        <v/>
      </c>
      <c r="K197" s="121">
        <f>IF(HSTECH!$C$24="","",IFERROR(MATCH(HSTECH!$E$24,Fundamentals!$B$216:$B$226,0),99)*1000+18)</f>
        <v/>
      </c>
      <c r="L197" s="121">
        <f>IFERROR(SMALL($K$180:$K$219,18),"")</f>
        <v/>
      </c>
    </row>
    <row r="198">
      <c r="B198" s="22">
        <f>IF($L198="","",INDEX(HSTECH!$E$7:$E$46,($L198-INT($L198/1000)*1000)))</f>
        <v/>
      </c>
      <c r="C198" s="22">
        <f>IF($L198="","",INDEX(HSTECH!$D$7:$D$46,($L198-INT($L198/1000)*1000)))</f>
        <v/>
      </c>
      <c r="D198" s="22">
        <f>IF($L198="","",INDEX(HSTECH!$C$7:$C$46,($L198-INT($L198/1000)*1000)))</f>
        <v/>
      </c>
      <c r="E198" s="133">
        <f>IF($L198="","",INDEX(HSTECH!$K$7:$K$46,($L198-INT($L198/1000)*1000)))</f>
        <v/>
      </c>
      <c r="F198" s="123">
        <f>IF($L198="","",IF(COUNTIFS(OVR_TICKERS,$D198,OVR_BASE,"&gt;=0")=0,"",SUMIFS(OVR_BASE,OVR_TICKERS,$D198)))</f>
        <v/>
      </c>
      <c r="G198" s="133">
        <f>IF($L198="","",INDEX(HSTECH!$L$7:$L$46,($L198-INT($L198/1000)*1000)))</f>
        <v/>
      </c>
      <c r="H198" s="155">
        <f>IF($L198="","",IF($F198="","",IFERROR(($F198-$E198)*INDEX(HSTECH!$B$7:$B$46,($L198-INT($L198/1000)*1000))*INDEX(HSTECH!$G$7:$G$46,($L198-INT($L198/1000)*1000))/HSTECH!$B$3,"")))</f>
        <v/>
      </c>
      <c r="I198" s="46">
        <f>IF($L198="","",INDEX(HSTECH!$U$7:$U$46,($L198-INT($L198/1000)*1000)))</f>
        <v/>
      </c>
      <c r="K198" s="121">
        <f>IF(HSTECH!$C$25="","",IFERROR(MATCH(HSTECH!$E$25,Fundamentals!$B$216:$B$226,0),99)*1000+19)</f>
        <v/>
      </c>
      <c r="L198" s="121">
        <f>IFERROR(SMALL($K$180:$K$219,19),"")</f>
        <v/>
      </c>
    </row>
    <row r="199">
      <c r="B199" s="22">
        <f>IF($L199="","",INDEX(HSTECH!$E$7:$E$46,($L199-INT($L199/1000)*1000)))</f>
        <v/>
      </c>
      <c r="C199" s="22">
        <f>IF($L199="","",INDEX(HSTECH!$D$7:$D$46,($L199-INT($L199/1000)*1000)))</f>
        <v/>
      </c>
      <c r="D199" s="22">
        <f>IF($L199="","",INDEX(HSTECH!$C$7:$C$46,($L199-INT($L199/1000)*1000)))</f>
        <v/>
      </c>
      <c r="E199" s="133">
        <f>IF($L199="","",INDEX(HSTECH!$K$7:$K$46,($L199-INT($L199/1000)*1000)))</f>
        <v/>
      </c>
      <c r="F199" s="123">
        <f>IF($L199="","",IF(COUNTIFS(OVR_TICKERS,$D199,OVR_BASE,"&gt;=0")=0,"",SUMIFS(OVR_BASE,OVR_TICKERS,$D199)))</f>
        <v/>
      </c>
      <c r="G199" s="133">
        <f>IF($L199="","",INDEX(HSTECH!$L$7:$L$46,($L199-INT($L199/1000)*1000)))</f>
        <v/>
      </c>
      <c r="H199" s="155">
        <f>IF($L199="","",IF($F199="","",IFERROR(($F199-$E199)*INDEX(HSTECH!$B$7:$B$46,($L199-INT($L199/1000)*1000))*INDEX(HSTECH!$G$7:$G$46,($L199-INT($L199/1000)*1000))/HSTECH!$B$3,"")))</f>
        <v/>
      </c>
      <c r="I199" s="46">
        <f>IF($L199="","",INDEX(HSTECH!$U$7:$U$46,($L199-INT($L199/1000)*1000)))</f>
        <v/>
      </c>
      <c r="K199" s="121">
        <f>IF(HSTECH!$C$26="","",IFERROR(MATCH(HSTECH!$E$26,Fundamentals!$B$216:$B$226,0),99)*1000+20)</f>
        <v/>
      </c>
      <c r="L199" s="121">
        <f>IFERROR(SMALL($K$180:$K$219,20),"")</f>
        <v/>
      </c>
    </row>
    <row r="200">
      <c r="B200" s="22">
        <f>IF($L200="","",INDEX(HSTECH!$E$7:$E$46,($L200-INT($L200/1000)*1000)))</f>
        <v/>
      </c>
      <c r="C200" s="22">
        <f>IF($L200="","",INDEX(HSTECH!$D$7:$D$46,($L200-INT($L200/1000)*1000)))</f>
        <v/>
      </c>
      <c r="D200" s="22">
        <f>IF($L200="","",INDEX(HSTECH!$C$7:$C$46,($L200-INT($L200/1000)*1000)))</f>
        <v/>
      </c>
      <c r="E200" s="133">
        <f>IF($L200="","",INDEX(HSTECH!$K$7:$K$46,($L200-INT($L200/1000)*1000)))</f>
        <v/>
      </c>
      <c r="F200" s="123">
        <f>IF($L200="","",IF(COUNTIFS(OVR_TICKERS,$D200,OVR_BASE,"&gt;=0")=0,"",SUMIFS(OVR_BASE,OVR_TICKERS,$D200)))</f>
        <v/>
      </c>
      <c r="G200" s="133">
        <f>IF($L200="","",INDEX(HSTECH!$L$7:$L$46,($L200-INT($L200/1000)*1000)))</f>
        <v/>
      </c>
      <c r="H200" s="155">
        <f>IF($L200="","",IF($F200="","",IFERROR(($F200-$E200)*INDEX(HSTECH!$B$7:$B$46,($L200-INT($L200/1000)*1000))*INDEX(HSTECH!$G$7:$G$46,($L200-INT($L200/1000)*1000))/HSTECH!$B$3,"")))</f>
        <v/>
      </c>
      <c r="I200" s="46">
        <f>IF($L200="","",INDEX(HSTECH!$U$7:$U$46,($L200-INT($L200/1000)*1000)))</f>
        <v/>
      </c>
      <c r="K200" s="121">
        <f>IF(HSTECH!$C$27="","",IFERROR(MATCH(HSTECH!$E$27,Fundamentals!$B$216:$B$226,0),99)*1000+21)</f>
        <v/>
      </c>
      <c r="L200" s="121">
        <f>IFERROR(SMALL($K$180:$K$219,21),"")</f>
        <v/>
      </c>
    </row>
    <row r="201">
      <c r="B201" s="22">
        <f>IF($L201="","",INDEX(HSTECH!$E$7:$E$46,($L201-INT($L201/1000)*1000)))</f>
        <v/>
      </c>
      <c r="C201" s="22">
        <f>IF($L201="","",INDEX(HSTECH!$D$7:$D$46,($L201-INT($L201/1000)*1000)))</f>
        <v/>
      </c>
      <c r="D201" s="22">
        <f>IF($L201="","",INDEX(HSTECH!$C$7:$C$46,($L201-INT($L201/1000)*1000)))</f>
        <v/>
      </c>
      <c r="E201" s="133">
        <f>IF($L201="","",INDEX(HSTECH!$K$7:$K$46,($L201-INT($L201/1000)*1000)))</f>
        <v/>
      </c>
      <c r="F201" s="123">
        <f>IF($L201="","",IF(COUNTIFS(OVR_TICKERS,$D201,OVR_BASE,"&gt;=0")=0,"",SUMIFS(OVR_BASE,OVR_TICKERS,$D201)))</f>
        <v/>
      </c>
      <c r="G201" s="133">
        <f>IF($L201="","",INDEX(HSTECH!$L$7:$L$46,($L201-INT($L201/1000)*1000)))</f>
        <v/>
      </c>
      <c r="H201" s="155">
        <f>IF($L201="","",IF($F201="","",IFERROR(($F201-$E201)*INDEX(HSTECH!$B$7:$B$46,($L201-INT($L201/1000)*1000))*INDEX(HSTECH!$G$7:$G$46,($L201-INT($L201/1000)*1000))/HSTECH!$B$3,"")))</f>
        <v/>
      </c>
      <c r="I201" s="46">
        <f>IF($L201="","",INDEX(HSTECH!$U$7:$U$46,($L201-INT($L201/1000)*1000)))</f>
        <v/>
      </c>
      <c r="K201" s="121">
        <f>IF(HSTECH!$C$28="","",IFERROR(MATCH(HSTECH!$E$28,Fundamentals!$B$216:$B$226,0),99)*1000+22)</f>
        <v/>
      </c>
      <c r="L201" s="121">
        <f>IFERROR(SMALL($K$180:$K$219,22),"")</f>
        <v/>
      </c>
    </row>
    <row r="202">
      <c r="B202" s="22">
        <f>IF($L202="","",INDEX(HSTECH!$E$7:$E$46,($L202-INT($L202/1000)*1000)))</f>
        <v/>
      </c>
      <c r="C202" s="22">
        <f>IF($L202="","",INDEX(HSTECH!$D$7:$D$46,($L202-INT($L202/1000)*1000)))</f>
        <v/>
      </c>
      <c r="D202" s="22">
        <f>IF($L202="","",INDEX(HSTECH!$C$7:$C$46,($L202-INT($L202/1000)*1000)))</f>
        <v/>
      </c>
      <c r="E202" s="133">
        <f>IF($L202="","",INDEX(HSTECH!$K$7:$K$46,($L202-INT($L202/1000)*1000)))</f>
        <v/>
      </c>
      <c r="F202" s="123">
        <f>IF($L202="","",IF(COUNTIFS(OVR_TICKERS,$D202,OVR_BASE,"&gt;=0")=0,"",SUMIFS(OVR_BASE,OVR_TICKERS,$D202)))</f>
        <v/>
      </c>
      <c r="G202" s="133">
        <f>IF($L202="","",INDEX(HSTECH!$L$7:$L$46,($L202-INT($L202/1000)*1000)))</f>
        <v/>
      </c>
      <c r="H202" s="155">
        <f>IF($L202="","",IF($F202="","",IFERROR(($F202-$E202)*INDEX(HSTECH!$B$7:$B$46,($L202-INT($L202/1000)*1000))*INDEX(HSTECH!$G$7:$G$46,($L202-INT($L202/1000)*1000))/HSTECH!$B$3,"")))</f>
        <v/>
      </c>
      <c r="I202" s="46">
        <f>IF($L202="","",INDEX(HSTECH!$U$7:$U$46,($L202-INT($L202/1000)*1000)))</f>
        <v/>
      </c>
      <c r="K202" s="121">
        <f>IF(HSTECH!$C$29="","",IFERROR(MATCH(HSTECH!$E$29,Fundamentals!$B$216:$B$226,0),99)*1000+23)</f>
        <v/>
      </c>
      <c r="L202" s="121">
        <f>IFERROR(SMALL($K$180:$K$219,23),"")</f>
        <v/>
      </c>
    </row>
    <row r="203">
      <c r="B203" s="22">
        <f>IF($L203="","",INDEX(HSTECH!$E$7:$E$46,($L203-INT($L203/1000)*1000)))</f>
        <v/>
      </c>
      <c r="C203" s="22">
        <f>IF($L203="","",INDEX(HSTECH!$D$7:$D$46,($L203-INT($L203/1000)*1000)))</f>
        <v/>
      </c>
      <c r="D203" s="22">
        <f>IF($L203="","",INDEX(HSTECH!$C$7:$C$46,($L203-INT($L203/1000)*1000)))</f>
        <v/>
      </c>
      <c r="E203" s="133">
        <f>IF($L203="","",INDEX(HSTECH!$K$7:$K$46,($L203-INT($L203/1000)*1000)))</f>
        <v/>
      </c>
      <c r="F203" s="123">
        <f>IF($L203="","",IF(COUNTIFS(OVR_TICKERS,$D203,OVR_BASE,"&gt;=0")=0,"",SUMIFS(OVR_BASE,OVR_TICKERS,$D203)))</f>
        <v/>
      </c>
      <c r="G203" s="133">
        <f>IF($L203="","",INDEX(HSTECH!$L$7:$L$46,($L203-INT($L203/1000)*1000)))</f>
        <v/>
      </c>
      <c r="H203" s="155">
        <f>IF($L203="","",IF($F203="","",IFERROR(($F203-$E203)*INDEX(HSTECH!$B$7:$B$46,($L203-INT($L203/1000)*1000))*INDEX(HSTECH!$G$7:$G$46,($L203-INT($L203/1000)*1000))/HSTECH!$B$3,"")))</f>
        <v/>
      </c>
      <c r="I203" s="46">
        <f>IF($L203="","",INDEX(HSTECH!$U$7:$U$46,($L203-INT($L203/1000)*1000)))</f>
        <v/>
      </c>
      <c r="K203" s="121">
        <f>IF(HSTECH!$C$30="","",IFERROR(MATCH(HSTECH!$E$30,Fundamentals!$B$216:$B$226,0),99)*1000+24)</f>
        <v/>
      </c>
      <c r="L203" s="121">
        <f>IFERROR(SMALL($K$180:$K$219,24),"")</f>
        <v/>
      </c>
    </row>
    <row r="204">
      <c r="B204" s="22">
        <f>IF($L204="","",INDEX(HSTECH!$E$7:$E$46,($L204-INT($L204/1000)*1000)))</f>
        <v/>
      </c>
      <c r="C204" s="22">
        <f>IF($L204="","",INDEX(HSTECH!$D$7:$D$46,($L204-INT($L204/1000)*1000)))</f>
        <v/>
      </c>
      <c r="D204" s="22">
        <f>IF($L204="","",INDEX(HSTECH!$C$7:$C$46,($L204-INT($L204/1000)*1000)))</f>
        <v/>
      </c>
      <c r="E204" s="133">
        <f>IF($L204="","",INDEX(HSTECH!$K$7:$K$46,($L204-INT($L204/1000)*1000)))</f>
        <v/>
      </c>
      <c r="F204" s="123">
        <f>IF($L204="","",IF(COUNTIFS(OVR_TICKERS,$D204,OVR_BASE,"&gt;=0")=0,"",SUMIFS(OVR_BASE,OVR_TICKERS,$D204)))</f>
        <v/>
      </c>
      <c r="G204" s="133">
        <f>IF($L204="","",INDEX(HSTECH!$L$7:$L$46,($L204-INT($L204/1000)*1000)))</f>
        <v/>
      </c>
      <c r="H204" s="155">
        <f>IF($L204="","",IF($F204="","",IFERROR(($F204-$E204)*INDEX(HSTECH!$B$7:$B$46,($L204-INT($L204/1000)*1000))*INDEX(HSTECH!$G$7:$G$46,($L204-INT($L204/1000)*1000))/HSTECH!$B$3,"")))</f>
        <v/>
      </c>
      <c r="I204" s="46">
        <f>IF($L204="","",INDEX(HSTECH!$U$7:$U$46,($L204-INT($L204/1000)*1000)))</f>
        <v/>
      </c>
      <c r="K204" s="121">
        <f>IF(HSTECH!$C$31="","",IFERROR(MATCH(HSTECH!$E$31,Fundamentals!$B$216:$B$226,0),99)*1000+25)</f>
        <v/>
      </c>
      <c r="L204" s="121">
        <f>IFERROR(SMALL($K$180:$K$219,25),"")</f>
        <v/>
      </c>
    </row>
    <row r="205">
      <c r="B205" s="22">
        <f>IF($L205="","",INDEX(HSTECH!$E$7:$E$46,($L205-INT($L205/1000)*1000)))</f>
        <v/>
      </c>
      <c r="C205" s="22">
        <f>IF($L205="","",INDEX(HSTECH!$D$7:$D$46,($L205-INT($L205/1000)*1000)))</f>
        <v/>
      </c>
      <c r="D205" s="22">
        <f>IF($L205="","",INDEX(HSTECH!$C$7:$C$46,($L205-INT($L205/1000)*1000)))</f>
        <v/>
      </c>
      <c r="E205" s="133">
        <f>IF($L205="","",INDEX(HSTECH!$K$7:$K$46,($L205-INT($L205/1000)*1000)))</f>
        <v/>
      </c>
      <c r="F205" s="123">
        <f>IF($L205="","",IF(COUNTIFS(OVR_TICKERS,$D205,OVR_BASE,"&gt;=0")=0,"",SUMIFS(OVR_BASE,OVR_TICKERS,$D205)))</f>
        <v/>
      </c>
      <c r="G205" s="133">
        <f>IF($L205="","",INDEX(HSTECH!$L$7:$L$46,($L205-INT($L205/1000)*1000)))</f>
        <v/>
      </c>
      <c r="H205" s="155">
        <f>IF($L205="","",IF($F205="","",IFERROR(($F205-$E205)*INDEX(HSTECH!$B$7:$B$46,($L205-INT($L205/1000)*1000))*INDEX(HSTECH!$G$7:$G$46,($L205-INT($L205/1000)*1000))/HSTECH!$B$3,"")))</f>
        <v/>
      </c>
      <c r="I205" s="46">
        <f>IF($L205="","",INDEX(HSTECH!$U$7:$U$46,($L205-INT($L205/1000)*1000)))</f>
        <v/>
      </c>
      <c r="K205" s="121">
        <f>IF(HSTECH!$C$32="","",IFERROR(MATCH(HSTECH!$E$32,Fundamentals!$B$216:$B$226,0),99)*1000+26)</f>
        <v/>
      </c>
      <c r="L205" s="121">
        <f>IFERROR(SMALL($K$180:$K$219,26),"")</f>
        <v/>
      </c>
    </row>
    <row r="206">
      <c r="B206" s="22">
        <f>IF($L206="","",INDEX(HSTECH!$E$7:$E$46,($L206-INT($L206/1000)*1000)))</f>
        <v/>
      </c>
      <c r="C206" s="22">
        <f>IF($L206="","",INDEX(HSTECH!$D$7:$D$46,($L206-INT($L206/1000)*1000)))</f>
        <v/>
      </c>
      <c r="D206" s="22">
        <f>IF($L206="","",INDEX(HSTECH!$C$7:$C$46,($L206-INT($L206/1000)*1000)))</f>
        <v/>
      </c>
      <c r="E206" s="133">
        <f>IF($L206="","",INDEX(HSTECH!$K$7:$K$46,($L206-INT($L206/1000)*1000)))</f>
        <v/>
      </c>
      <c r="F206" s="123">
        <f>IF($L206="","",IF(COUNTIFS(OVR_TICKERS,$D206,OVR_BASE,"&gt;=0")=0,"",SUMIFS(OVR_BASE,OVR_TICKERS,$D206)))</f>
        <v/>
      </c>
      <c r="G206" s="133">
        <f>IF($L206="","",INDEX(HSTECH!$L$7:$L$46,($L206-INT($L206/1000)*1000)))</f>
        <v/>
      </c>
      <c r="H206" s="155">
        <f>IF($L206="","",IF($F206="","",IFERROR(($F206-$E206)*INDEX(HSTECH!$B$7:$B$46,($L206-INT($L206/1000)*1000))*INDEX(HSTECH!$G$7:$G$46,($L206-INT($L206/1000)*1000))/HSTECH!$B$3,"")))</f>
        <v/>
      </c>
      <c r="I206" s="46">
        <f>IF($L206="","",INDEX(HSTECH!$U$7:$U$46,($L206-INT($L206/1000)*1000)))</f>
        <v/>
      </c>
      <c r="K206" s="121">
        <f>IF(HSTECH!$C$33="","",IFERROR(MATCH(HSTECH!$E$33,Fundamentals!$B$216:$B$226,0),99)*1000+27)</f>
        <v/>
      </c>
      <c r="L206" s="121">
        <f>IFERROR(SMALL($K$180:$K$219,27),"")</f>
        <v/>
      </c>
    </row>
    <row r="207">
      <c r="B207" s="22">
        <f>IF($L207="","",INDEX(HSTECH!$E$7:$E$46,($L207-INT($L207/1000)*1000)))</f>
        <v/>
      </c>
      <c r="C207" s="22">
        <f>IF($L207="","",INDEX(HSTECH!$D$7:$D$46,($L207-INT($L207/1000)*1000)))</f>
        <v/>
      </c>
      <c r="D207" s="22">
        <f>IF($L207="","",INDEX(HSTECH!$C$7:$C$46,($L207-INT($L207/1000)*1000)))</f>
        <v/>
      </c>
      <c r="E207" s="133">
        <f>IF($L207="","",INDEX(HSTECH!$K$7:$K$46,($L207-INT($L207/1000)*1000)))</f>
        <v/>
      </c>
      <c r="F207" s="123">
        <f>IF($L207="","",IF(COUNTIFS(OVR_TICKERS,$D207,OVR_BASE,"&gt;=0")=0,"",SUMIFS(OVR_BASE,OVR_TICKERS,$D207)))</f>
        <v/>
      </c>
      <c r="G207" s="133">
        <f>IF($L207="","",INDEX(HSTECH!$L$7:$L$46,($L207-INT($L207/1000)*1000)))</f>
        <v/>
      </c>
      <c r="H207" s="155">
        <f>IF($L207="","",IF($F207="","",IFERROR(($F207-$E207)*INDEX(HSTECH!$B$7:$B$46,($L207-INT($L207/1000)*1000))*INDEX(HSTECH!$G$7:$G$46,($L207-INT($L207/1000)*1000))/HSTECH!$B$3,"")))</f>
        <v/>
      </c>
      <c r="I207" s="46">
        <f>IF($L207="","",INDEX(HSTECH!$U$7:$U$46,($L207-INT($L207/1000)*1000)))</f>
        <v/>
      </c>
      <c r="K207" s="121">
        <f>IF(HSTECH!$C$34="","",IFERROR(MATCH(HSTECH!$E$34,Fundamentals!$B$216:$B$226,0),99)*1000+28)</f>
        <v/>
      </c>
      <c r="L207" s="121">
        <f>IFERROR(SMALL($K$180:$K$219,28),"")</f>
        <v/>
      </c>
    </row>
    <row r="208">
      <c r="B208" s="22">
        <f>IF($L208="","",INDEX(HSTECH!$E$7:$E$46,($L208-INT($L208/1000)*1000)))</f>
        <v/>
      </c>
      <c r="C208" s="22">
        <f>IF($L208="","",INDEX(HSTECH!$D$7:$D$46,($L208-INT($L208/1000)*1000)))</f>
        <v/>
      </c>
      <c r="D208" s="22">
        <f>IF($L208="","",INDEX(HSTECH!$C$7:$C$46,($L208-INT($L208/1000)*1000)))</f>
        <v/>
      </c>
      <c r="E208" s="133">
        <f>IF($L208="","",INDEX(HSTECH!$K$7:$K$46,($L208-INT($L208/1000)*1000)))</f>
        <v/>
      </c>
      <c r="F208" s="123">
        <f>IF($L208="","",IF(COUNTIFS(OVR_TICKERS,$D208,OVR_BASE,"&gt;=0")=0,"",SUMIFS(OVR_BASE,OVR_TICKERS,$D208)))</f>
        <v/>
      </c>
      <c r="G208" s="133">
        <f>IF($L208="","",INDEX(HSTECH!$L$7:$L$46,($L208-INT($L208/1000)*1000)))</f>
        <v/>
      </c>
      <c r="H208" s="155">
        <f>IF($L208="","",IF($F208="","",IFERROR(($F208-$E208)*INDEX(HSTECH!$B$7:$B$46,($L208-INT($L208/1000)*1000))*INDEX(HSTECH!$G$7:$G$46,($L208-INT($L208/1000)*1000))/HSTECH!$B$3,"")))</f>
        <v/>
      </c>
      <c r="I208" s="46">
        <f>IF($L208="","",INDEX(HSTECH!$U$7:$U$46,($L208-INT($L208/1000)*1000)))</f>
        <v/>
      </c>
      <c r="K208" s="121">
        <f>IF(HSTECH!$C$35="","",IFERROR(MATCH(HSTECH!$E$35,Fundamentals!$B$216:$B$226,0),99)*1000+29)</f>
        <v/>
      </c>
      <c r="L208" s="121">
        <f>IFERROR(SMALL($K$180:$K$219,29),"")</f>
        <v/>
      </c>
    </row>
    <row r="209">
      <c r="B209" s="22">
        <f>IF($L209="","",INDEX(HSTECH!$E$7:$E$46,($L209-INT($L209/1000)*1000)))</f>
        <v/>
      </c>
      <c r="C209" s="22">
        <f>IF($L209="","",INDEX(HSTECH!$D$7:$D$46,($L209-INT($L209/1000)*1000)))</f>
        <v/>
      </c>
      <c r="D209" s="22">
        <f>IF($L209="","",INDEX(HSTECH!$C$7:$C$46,($L209-INT($L209/1000)*1000)))</f>
        <v/>
      </c>
      <c r="E209" s="133">
        <f>IF($L209="","",INDEX(HSTECH!$K$7:$K$46,($L209-INT($L209/1000)*1000)))</f>
        <v/>
      </c>
      <c r="F209" s="123">
        <f>IF($L209="","",IF(COUNTIFS(OVR_TICKERS,$D209,OVR_BASE,"&gt;=0")=0,"",SUMIFS(OVR_BASE,OVR_TICKERS,$D209)))</f>
        <v/>
      </c>
      <c r="G209" s="133">
        <f>IF($L209="","",INDEX(HSTECH!$L$7:$L$46,($L209-INT($L209/1000)*1000)))</f>
        <v/>
      </c>
      <c r="H209" s="155">
        <f>IF($L209="","",IF($F209="","",IFERROR(($F209-$E209)*INDEX(HSTECH!$B$7:$B$46,($L209-INT($L209/1000)*1000))*INDEX(HSTECH!$G$7:$G$46,($L209-INT($L209/1000)*1000))/HSTECH!$B$3,"")))</f>
        <v/>
      </c>
      <c r="I209" s="46">
        <f>IF($L209="","",INDEX(HSTECH!$U$7:$U$46,($L209-INT($L209/1000)*1000)))</f>
        <v/>
      </c>
      <c r="K209" s="121">
        <f>IF(HSTECH!$C$36="","",IFERROR(MATCH(HSTECH!$E$36,Fundamentals!$B$216:$B$226,0),99)*1000+30)</f>
        <v/>
      </c>
      <c r="L209" s="121">
        <f>IFERROR(SMALL($K$180:$K$219,30),"")</f>
        <v/>
      </c>
    </row>
    <row r="210">
      <c r="B210" s="22">
        <f>IF($L210="","",INDEX(HSTECH!$E$7:$E$46,($L210-INT($L210/1000)*1000)))</f>
        <v/>
      </c>
      <c r="C210" s="22">
        <f>IF($L210="","",INDEX(HSTECH!$D$7:$D$46,($L210-INT($L210/1000)*1000)))</f>
        <v/>
      </c>
      <c r="D210" s="22">
        <f>IF($L210="","",INDEX(HSTECH!$C$7:$C$46,($L210-INT($L210/1000)*1000)))</f>
        <v/>
      </c>
      <c r="E210" s="133">
        <f>IF($L210="","",INDEX(HSTECH!$K$7:$K$46,($L210-INT($L210/1000)*1000)))</f>
        <v/>
      </c>
      <c r="F210" s="123">
        <f>IF($L210="","",IF(COUNTIFS(OVR_TICKERS,$D210,OVR_BASE,"&gt;=0")=0,"",SUMIFS(OVR_BASE,OVR_TICKERS,$D210)))</f>
        <v/>
      </c>
      <c r="G210" s="133">
        <f>IF($L210="","",INDEX(HSTECH!$L$7:$L$46,($L210-INT($L210/1000)*1000)))</f>
        <v/>
      </c>
      <c r="H210" s="155">
        <f>IF($L210="","",IF($F210="","",IFERROR(($F210-$E210)*INDEX(HSTECH!$B$7:$B$46,($L210-INT($L210/1000)*1000))*INDEX(HSTECH!$G$7:$G$46,($L210-INT($L210/1000)*1000))/HSTECH!$B$3,"")))</f>
        <v/>
      </c>
      <c r="I210" s="46">
        <f>IF($L210="","",INDEX(HSTECH!$U$7:$U$46,($L210-INT($L210/1000)*1000)))</f>
        <v/>
      </c>
      <c r="K210" s="121">
        <f>IF(HSTECH!$C$37="","",IFERROR(MATCH(HSTECH!$E$37,Fundamentals!$B$216:$B$226,0),99)*1000+31)</f>
        <v/>
      </c>
      <c r="L210" s="121">
        <f>IFERROR(SMALL($K$180:$K$219,31),"")</f>
        <v/>
      </c>
    </row>
    <row r="211">
      <c r="B211" s="22">
        <f>IF($L211="","",INDEX(HSTECH!$E$7:$E$46,($L211-INT($L211/1000)*1000)))</f>
        <v/>
      </c>
      <c r="C211" s="22">
        <f>IF($L211="","",INDEX(HSTECH!$D$7:$D$46,($L211-INT($L211/1000)*1000)))</f>
        <v/>
      </c>
      <c r="D211" s="22">
        <f>IF($L211="","",INDEX(HSTECH!$C$7:$C$46,($L211-INT($L211/1000)*1000)))</f>
        <v/>
      </c>
      <c r="E211" s="133">
        <f>IF($L211="","",INDEX(HSTECH!$K$7:$K$46,($L211-INT($L211/1000)*1000)))</f>
        <v/>
      </c>
      <c r="F211" s="123">
        <f>IF($L211="","",IF(COUNTIFS(OVR_TICKERS,$D211,OVR_BASE,"&gt;=0")=0,"",SUMIFS(OVR_BASE,OVR_TICKERS,$D211)))</f>
        <v/>
      </c>
      <c r="G211" s="133">
        <f>IF($L211="","",INDEX(HSTECH!$L$7:$L$46,($L211-INT($L211/1000)*1000)))</f>
        <v/>
      </c>
      <c r="H211" s="155">
        <f>IF($L211="","",IF($F211="","",IFERROR(($F211-$E211)*INDEX(HSTECH!$B$7:$B$46,($L211-INT($L211/1000)*1000))*INDEX(HSTECH!$G$7:$G$46,($L211-INT($L211/1000)*1000))/HSTECH!$B$3,"")))</f>
        <v/>
      </c>
      <c r="I211" s="46">
        <f>IF($L211="","",INDEX(HSTECH!$U$7:$U$46,($L211-INT($L211/1000)*1000)))</f>
        <v/>
      </c>
      <c r="K211" s="121">
        <f>IF(HSTECH!$C$38="","",IFERROR(MATCH(HSTECH!$E$38,Fundamentals!$B$216:$B$226,0),99)*1000+32)</f>
        <v/>
      </c>
      <c r="L211" s="121">
        <f>IFERROR(SMALL($K$180:$K$219,32),"")</f>
        <v/>
      </c>
    </row>
    <row r="212">
      <c r="B212" s="22">
        <f>IF($L212="","",INDEX(HSTECH!$E$7:$E$46,($L212-INT($L212/1000)*1000)))</f>
        <v/>
      </c>
      <c r="C212" s="22">
        <f>IF($L212="","",INDEX(HSTECH!$D$7:$D$46,($L212-INT($L212/1000)*1000)))</f>
        <v/>
      </c>
      <c r="D212" s="22">
        <f>IF($L212="","",INDEX(HSTECH!$C$7:$C$46,($L212-INT($L212/1000)*1000)))</f>
        <v/>
      </c>
      <c r="E212" s="133">
        <f>IF($L212="","",INDEX(HSTECH!$K$7:$K$46,($L212-INT($L212/1000)*1000)))</f>
        <v/>
      </c>
      <c r="F212" s="123">
        <f>IF($L212="","",IF(COUNTIFS(OVR_TICKERS,$D212,OVR_BASE,"&gt;=0")=0,"",SUMIFS(OVR_BASE,OVR_TICKERS,$D212)))</f>
        <v/>
      </c>
      <c r="G212" s="133">
        <f>IF($L212="","",INDEX(HSTECH!$L$7:$L$46,($L212-INT($L212/1000)*1000)))</f>
        <v/>
      </c>
      <c r="H212" s="155">
        <f>IF($L212="","",IF($F212="","",IFERROR(($F212-$E212)*INDEX(HSTECH!$B$7:$B$46,($L212-INT($L212/1000)*1000))*INDEX(HSTECH!$G$7:$G$46,($L212-INT($L212/1000)*1000))/HSTECH!$B$3,"")))</f>
        <v/>
      </c>
      <c r="I212" s="46">
        <f>IF($L212="","",INDEX(HSTECH!$U$7:$U$46,($L212-INT($L212/1000)*1000)))</f>
        <v/>
      </c>
      <c r="K212" s="121">
        <f>IF(HSTECH!$C$39="","",IFERROR(MATCH(HSTECH!$E$39,Fundamentals!$B$216:$B$226,0),99)*1000+33)</f>
        <v/>
      </c>
      <c r="L212" s="121">
        <f>IFERROR(SMALL($K$180:$K$219,33),"")</f>
        <v/>
      </c>
    </row>
    <row r="213">
      <c r="B213" s="22">
        <f>IF($L213="","",INDEX(HSTECH!$E$7:$E$46,($L213-INT($L213/1000)*1000)))</f>
        <v/>
      </c>
      <c r="C213" s="22">
        <f>IF($L213="","",INDEX(HSTECH!$D$7:$D$46,($L213-INT($L213/1000)*1000)))</f>
        <v/>
      </c>
      <c r="D213" s="22">
        <f>IF($L213="","",INDEX(HSTECH!$C$7:$C$46,($L213-INT($L213/1000)*1000)))</f>
        <v/>
      </c>
      <c r="E213" s="133">
        <f>IF($L213="","",INDEX(HSTECH!$K$7:$K$46,($L213-INT($L213/1000)*1000)))</f>
        <v/>
      </c>
      <c r="F213" s="123">
        <f>IF($L213="","",IF(COUNTIFS(OVR_TICKERS,$D213,OVR_BASE,"&gt;=0")=0,"",SUMIFS(OVR_BASE,OVR_TICKERS,$D213)))</f>
        <v/>
      </c>
      <c r="G213" s="133">
        <f>IF($L213="","",INDEX(HSTECH!$L$7:$L$46,($L213-INT($L213/1000)*1000)))</f>
        <v/>
      </c>
      <c r="H213" s="155">
        <f>IF($L213="","",IF($F213="","",IFERROR(($F213-$E213)*INDEX(HSTECH!$B$7:$B$46,($L213-INT($L213/1000)*1000))*INDEX(HSTECH!$G$7:$G$46,($L213-INT($L213/1000)*1000))/HSTECH!$B$3,"")))</f>
        <v/>
      </c>
      <c r="I213" s="46">
        <f>IF($L213="","",INDEX(HSTECH!$U$7:$U$46,($L213-INT($L213/1000)*1000)))</f>
        <v/>
      </c>
      <c r="K213" s="121">
        <f>IF(HSTECH!$C$40="","",IFERROR(MATCH(HSTECH!$E$40,Fundamentals!$B$216:$B$226,0),99)*1000+34)</f>
        <v/>
      </c>
      <c r="L213" s="121">
        <f>IFERROR(SMALL($K$180:$K$219,34),"")</f>
        <v/>
      </c>
    </row>
    <row r="214">
      <c r="B214" s="22">
        <f>IF($L214="","",INDEX(HSTECH!$E$7:$E$46,($L214-INT($L214/1000)*1000)))</f>
        <v/>
      </c>
      <c r="C214" s="22">
        <f>IF($L214="","",INDEX(HSTECH!$D$7:$D$46,($L214-INT($L214/1000)*1000)))</f>
        <v/>
      </c>
      <c r="D214" s="22">
        <f>IF($L214="","",INDEX(HSTECH!$C$7:$C$46,($L214-INT($L214/1000)*1000)))</f>
        <v/>
      </c>
      <c r="E214" s="133">
        <f>IF($L214="","",INDEX(HSTECH!$K$7:$K$46,($L214-INT($L214/1000)*1000)))</f>
        <v/>
      </c>
      <c r="F214" s="123">
        <f>IF($L214="","",IF(COUNTIFS(OVR_TICKERS,$D214,OVR_BASE,"&gt;=0")=0,"",SUMIFS(OVR_BASE,OVR_TICKERS,$D214)))</f>
        <v/>
      </c>
      <c r="G214" s="133">
        <f>IF($L214="","",INDEX(HSTECH!$L$7:$L$46,($L214-INT($L214/1000)*1000)))</f>
        <v/>
      </c>
      <c r="H214" s="155">
        <f>IF($L214="","",IF($F214="","",IFERROR(($F214-$E214)*INDEX(HSTECH!$B$7:$B$46,($L214-INT($L214/1000)*1000))*INDEX(HSTECH!$G$7:$G$46,($L214-INT($L214/1000)*1000))/HSTECH!$B$3,"")))</f>
        <v/>
      </c>
      <c r="I214" s="46">
        <f>IF($L214="","",INDEX(HSTECH!$U$7:$U$46,($L214-INT($L214/1000)*1000)))</f>
        <v/>
      </c>
      <c r="K214" s="121">
        <f>IF(HSTECH!$C$41="","",IFERROR(MATCH(HSTECH!$E$41,Fundamentals!$B$216:$B$226,0),99)*1000+35)</f>
        <v/>
      </c>
      <c r="L214" s="121">
        <f>IFERROR(SMALL($K$180:$K$219,35),"")</f>
        <v/>
      </c>
    </row>
    <row r="215">
      <c r="B215" s="22">
        <f>IF($L215="","",INDEX(HSTECH!$E$7:$E$46,($L215-INT($L215/1000)*1000)))</f>
        <v/>
      </c>
      <c r="C215" s="22">
        <f>IF($L215="","",INDEX(HSTECH!$D$7:$D$46,($L215-INT($L215/1000)*1000)))</f>
        <v/>
      </c>
      <c r="D215" s="22">
        <f>IF($L215="","",INDEX(HSTECH!$C$7:$C$46,($L215-INT($L215/1000)*1000)))</f>
        <v/>
      </c>
      <c r="E215" s="133">
        <f>IF($L215="","",INDEX(HSTECH!$K$7:$K$46,($L215-INT($L215/1000)*1000)))</f>
        <v/>
      </c>
      <c r="F215" s="123">
        <f>IF($L215="","",IF(COUNTIFS(OVR_TICKERS,$D215,OVR_BASE,"&gt;=0")=0,"",SUMIFS(OVR_BASE,OVR_TICKERS,$D215)))</f>
        <v/>
      </c>
      <c r="G215" s="133">
        <f>IF($L215="","",INDEX(HSTECH!$L$7:$L$46,($L215-INT($L215/1000)*1000)))</f>
        <v/>
      </c>
      <c r="H215" s="155">
        <f>IF($L215="","",IF($F215="","",IFERROR(($F215-$E215)*INDEX(HSTECH!$B$7:$B$46,($L215-INT($L215/1000)*1000))*INDEX(HSTECH!$G$7:$G$46,($L215-INT($L215/1000)*1000))/HSTECH!$B$3,"")))</f>
        <v/>
      </c>
      <c r="I215" s="46">
        <f>IF($L215="","",INDEX(HSTECH!$U$7:$U$46,($L215-INT($L215/1000)*1000)))</f>
        <v/>
      </c>
      <c r="K215" s="121">
        <f>IF(HSTECH!$C$42="","",IFERROR(MATCH(HSTECH!$E$42,Fundamentals!$B$216:$B$226,0),99)*1000+36)</f>
        <v/>
      </c>
      <c r="L215" s="121">
        <f>IFERROR(SMALL($K$180:$K$219,36),"")</f>
        <v/>
      </c>
    </row>
    <row r="216">
      <c r="B216" s="22">
        <f>IF($L216="","",INDEX(HSTECH!$E$7:$E$46,($L216-INT($L216/1000)*1000)))</f>
        <v/>
      </c>
      <c r="C216" s="22">
        <f>IF($L216="","",INDEX(HSTECH!$D$7:$D$46,($L216-INT($L216/1000)*1000)))</f>
        <v/>
      </c>
      <c r="D216" s="22">
        <f>IF($L216="","",INDEX(HSTECH!$C$7:$C$46,($L216-INT($L216/1000)*1000)))</f>
        <v/>
      </c>
      <c r="E216" s="133">
        <f>IF($L216="","",INDEX(HSTECH!$K$7:$K$46,($L216-INT($L216/1000)*1000)))</f>
        <v/>
      </c>
      <c r="F216" s="123">
        <f>IF($L216="","",IF(COUNTIFS(OVR_TICKERS,$D216,OVR_BASE,"&gt;=0")=0,"",SUMIFS(OVR_BASE,OVR_TICKERS,$D216)))</f>
        <v/>
      </c>
      <c r="G216" s="133">
        <f>IF($L216="","",INDEX(HSTECH!$L$7:$L$46,($L216-INT($L216/1000)*1000)))</f>
        <v/>
      </c>
      <c r="H216" s="155">
        <f>IF($L216="","",IF($F216="","",IFERROR(($F216-$E216)*INDEX(HSTECH!$B$7:$B$46,($L216-INT($L216/1000)*1000))*INDEX(HSTECH!$G$7:$G$46,($L216-INT($L216/1000)*1000))/HSTECH!$B$3,"")))</f>
        <v/>
      </c>
      <c r="I216" s="46">
        <f>IF($L216="","",INDEX(HSTECH!$U$7:$U$46,($L216-INT($L216/1000)*1000)))</f>
        <v/>
      </c>
      <c r="K216" s="121">
        <f>IF(HSTECH!$C$43="","",IFERROR(MATCH(HSTECH!$E$43,Fundamentals!$B$216:$B$226,0),99)*1000+37)</f>
        <v/>
      </c>
      <c r="L216" s="121">
        <f>IFERROR(SMALL($K$180:$K$219,37),"")</f>
        <v/>
      </c>
    </row>
    <row r="217">
      <c r="B217" s="22">
        <f>IF($L217="","",INDEX(HSTECH!$E$7:$E$46,($L217-INT($L217/1000)*1000)))</f>
        <v/>
      </c>
      <c r="C217" s="22">
        <f>IF($L217="","",INDEX(HSTECH!$D$7:$D$46,($L217-INT($L217/1000)*1000)))</f>
        <v/>
      </c>
      <c r="D217" s="22">
        <f>IF($L217="","",INDEX(HSTECH!$C$7:$C$46,($L217-INT($L217/1000)*1000)))</f>
        <v/>
      </c>
      <c r="E217" s="133">
        <f>IF($L217="","",INDEX(HSTECH!$K$7:$K$46,($L217-INT($L217/1000)*1000)))</f>
        <v/>
      </c>
      <c r="F217" s="123">
        <f>IF($L217="","",IF(COUNTIFS(OVR_TICKERS,$D217,OVR_BASE,"&gt;=0")=0,"",SUMIFS(OVR_BASE,OVR_TICKERS,$D217)))</f>
        <v/>
      </c>
      <c r="G217" s="133">
        <f>IF($L217="","",INDEX(HSTECH!$L$7:$L$46,($L217-INT($L217/1000)*1000)))</f>
        <v/>
      </c>
      <c r="H217" s="155">
        <f>IF($L217="","",IF($F217="","",IFERROR(($F217-$E217)*INDEX(HSTECH!$B$7:$B$46,($L217-INT($L217/1000)*1000))*INDEX(HSTECH!$G$7:$G$46,($L217-INT($L217/1000)*1000))/HSTECH!$B$3,"")))</f>
        <v/>
      </c>
      <c r="I217" s="46">
        <f>IF($L217="","",INDEX(HSTECH!$U$7:$U$46,($L217-INT($L217/1000)*1000)))</f>
        <v/>
      </c>
      <c r="K217" s="121">
        <f>IF(HSTECH!$C$44="","",IFERROR(MATCH(HSTECH!$E$44,Fundamentals!$B$216:$B$226,0),99)*1000+38)</f>
        <v/>
      </c>
      <c r="L217" s="121">
        <f>IFERROR(SMALL($K$180:$K$219,38),"")</f>
        <v/>
      </c>
    </row>
    <row r="218">
      <c r="B218" s="22">
        <f>IF($L218="","",INDEX(HSTECH!$E$7:$E$46,($L218-INT($L218/1000)*1000)))</f>
        <v/>
      </c>
      <c r="C218" s="22">
        <f>IF($L218="","",INDEX(HSTECH!$D$7:$D$46,($L218-INT($L218/1000)*1000)))</f>
        <v/>
      </c>
      <c r="D218" s="22">
        <f>IF($L218="","",INDEX(HSTECH!$C$7:$C$46,($L218-INT($L218/1000)*1000)))</f>
        <v/>
      </c>
      <c r="E218" s="133">
        <f>IF($L218="","",INDEX(HSTECH!$K$7:$K$46,($L218-INT($L218/1000)*1000)))</f>
        <v/>
      </c>
      <c r="F218" s="123">
        <f>IF($L218="","",IF(COUNTIFS(OVR_TICKERS,$D218,OVR_BASE,"&gt;=0")=0,"",SUMIFS(OVR_BASE,OVR_TICKERS,$D218)))</f>
        <v/>
      </c>
      <c r="G218" s="133">
        <f>IF($L218="","",INDEX(HSTECH!$L$7:$L$46,($L218-INT($L218/1000)*1000)))</f>
        <v/>
      </c>
      <c r="H218" s="155">
        <f>IF($L218="","",IF($F218="","",IFERROR(($F218-$E218)*INDEX(HSTECH!$B$7:$B$46,($L218-INT($L218/1000)*1000))*INDEX(HSTECH!$G$7:$G$46,($L218-INT($L218/1000)*1000))/HSTECH!$B$3,"")))</f>
        <v/>
      </c>
      <c r="I218" s="46">
        <f>IF($L218="","",INDEX(HSTECH!$U$7:$U$46,($L218-INT($L218/1000)*1000)))</f>
        <v/>
      </c>
      <c r="K218" s="121">
        <f>IF(HSTECH!$C$45="","",IFERROR(MATCH(HSTECH!$E$45,Fundamentals!$B$216:$B$226,0),99)*1000+39)</f>
        <v/>
      </c>
      <c r="L218" s="121">
        <f>IFERROR(SMALL($K$180:$K$219,39),"")</f>
        <v/>
      </c>
    </row>
    <row r="219">
      <c r="B219" s="22">
        <f>IF($L219="","",INDEX(HSTECH!$E$7:$E$46,($L219-INT($L219/1000)*1000)))</f>
        <v/>
      </c>
      <c r="C219" s="22">
        <f>IF($L219="","",INDEX(HSTECH!$D$7:$D$46,($L219-INT($L219/1000)*1000)))</f>
        <v/>
      </c>
      <c r="D219" s="22">
        <f>IF($L219="","",INDEX(HSTECH!$C$7:$C$46,($L219-INT($L219/1000)*1000)))</f>
        <v/>
      </c>
      <c r="E219" s="133">
        <f>IF($L219="","",INDEX(HSTECH!$K$7:$K$46,($L219-INT($L219/1000)*1000)))</f>
        <v/>
      </c>
      <c r="F219" s="123">
        <f>IF($L219="","",IF(COUNTIFS(OVR_TICKERS,$D219,OVR_BASE,"&gt;=0")=0,"",SUMIFS(OVR_BASE,OVR_TICKERS,$D219)))</f>
        <v/>
      </c>
      <c r="G219" s="133">
        <f>IF($L219="","",INDEX(HSTECH!$L$7:$L$46,($L219-INT($L219/1000)*1000)))</f>
        <v/>
      </c>
      <c r="H219" s="155">
        <f>IF($L219="","",IF($F219="","",IFERROR(($F219-$E219)*INDEX(HSTECH!$B$7:$B$46,($L219-INT($L219/1000)*1000))*INDEX(HSTECH!$G$7:$G$46,($L219-INT($L219/1000)*1000))/HSTECH!$B$3,"")))</f>
        <v/>
      </c>
      <c r="I219" s="46">
        <f>IF($L219="","",INDEX(HSTECH!$U$7:$U$46,($L219-INT($L219/1000)*1000)))</f>
        <v/>
      </c>
      <c r="K219" s="121">
        <f>IF(HSTECH!$C$46="","",IFERROR(MATCH(HSTECH!$E$46,Fundamentals!$B$216:$B$226,0),99)*1000+40)</f>
        <v/>
      </c>
      <c r="L219" s="121">
        <f>IFERROR(SMALL($K$180:$K$219,40),"")</f>
        <v/>
      </c>
    </row>
    <row r="222">
      <c r="B222" s="6" t="inlineStr">
        <is>
          <t>BY SECTOR - Hang Seng China Enterprises (HSCEI)   (read-only, sorted by sector at refresh)</t>
        </is>
      </c>
      <c r="C222" s="7" t="n"/>
      <c r="D222" s="7" t="n"/>
      <c r="E222" s="7" t="n"/>
      <c r="F222" s="7" t="n"/>
      <c r="G222" s="7" t="n"/>
      <c r="H222" s="7" t="n"/>
      <c r="I222" s="7" t="n"/>
    </row>
    <row r="223">
      <c r="B223" s="23" t="inlineStr">
        <is>
          <t>GICS Sector</t>
        </is>
      </c>
      <c r="C223" s="23" t="inlineStr">
        <is>
          <t>Name</t>
        </is>
      </c>
      <c r="D223" s="23" t="inlineStr">
        <is>
          <t>Ticker</t>
        </is>
      </c>
      <c r="E223" s="23" t="inlineStr">
        <is>
          <t>BBG rest
of yr</t>
        </is>
      </c>
      <c r="F223" s="23" t="inlineStr">
        <is>
          <t>YOUR base</t>
        </is>
      </c>
      <c r="G223" s="23" t="inlineStr">
        <is>
          <t>Effective</t>
        </is>
      </c>
      <c r="H223" s="23" t="inlineStr">
        <is>
          <t>Impact
(pts)</t>
        </is>
      </c>
      <c r="I223" s="23" t="inlineStr">
        <is>
          <t>Flag</t>
        </is>
      </c>
      <c r="K223" s="2" t="inlineStr">
        <is>
          <t>engine</t>
        </is>
      </c>
    </row>
    <row r="224">
      <c r="B224" s="22">
        <f>IF($L224="","",INDEX(HSCEI!$E$7:$E$66,($L224-INT($L224/1000)*1000)))</f>
        <v/>
      </c>
      <c r="C224" s="22">
        <f>IF($L224="","",INDEX(HSCEI!$D$7:$D$66,($L224-INT($L224/1000)*1000)))</f>
        <v/>
      </c>
      <c r="D224" s="22">
        <f>IF($L224="","",INDEX(HSCEI!$C$7:$C$66,($L224-INT($L224/1000)*1000)))</f>
        <v/>
      </c>
      <c r="E224" s="133">
        <f>IF($L224="","",INDEX(HSCEI!$K$7:$K$66,($L224-INT($L224/1000)*1000)))</f>
        <v/>
      </c>
      <c r="F224" s="123">
        <f>IF($L224="","",IF(COUNTIFS(OVR_TICKERS,$D224,OVR_BASE,"&gt;=0")=0,"",SUMIFS(OVR_BASE,OVR_TICKERS,$D224)))</f>
        <v/>
      </c>
      <c r="G224" s="133">
        <f>IF($L224="","",INDEX(HSCEI!$L$7:$L$66,($L224-INT($L224/1000)*1000)))</f>
        <v/>
      </c>
      <c r="H224" s="155">
        <f>IF($L224="","",IF($F224="","",IFERROR(($F224-$E224)*INDEX(HSCEI!$B$7:$B$66,($L224-INT($L224/1000)*1000))*INDEX(HSCEI!$G$7:$G$66,($L224-INT($L224/1000)*1000))/HSCEI!$B$3,"")))</f>
        <v/>
      </c>
      <c r="I224" s="46">
        <f>IF($L224="","",INDEX(HSCEI!$U$7:$U$66,($L224-INT($L224/1000)*1000)))</f>
        <v/>
      </c>
      <c r="K224" s="121">
        <f>IF(HSCEI!$C$7="","",IFERROR(MATCH(HSCEI!$E$7,Fundamentals!$B$216:$B$226,0),99)*1000+1)</f>
        <v/>
      </c>
      <c r="L224" s="121">
        <f>IFERROR(SMALL($K$224:$K$283,1),"")</f>
        <v/>
      </c>
    </row>
    <row r="225">
      <c r="B225" s="22">
        <f>IF($L225="","",INDEX(HSCEI!$E$7:$E$66,($L225-INT($L225/1000)*1000)))</f>
        <v/>
      </c>
      <c r="C225" s="22">
        <f>IF($L225="","",INDEX(HSCEI!$D$7:$D$66,($L225-INT($L225/1000)*1000)))</f>
        <v/>
      </c>
      <c r="D225" s="22">
        <f>IF($L225="","",INDEX(HSCEI!$C$7:$C$66,($L225-INT($L225/1000)*1000)))</f>
        <v/>
      </c>
      <c r="E225" s="133">
        <f>IF($L225="","",INDEX(HSCEI!$K$7:$K$66,($L225-INT($L225/1000)*1000)))</f>
        <v/>
      </c>
      <c r="F225" s="123">
        <f>IF($L225="","",IF(COUNTIFS(OVR_TICKERS,$D225,OVR_BASE,"&gt;=0")=0,"",SUMIFS(OVR_BASE,OVR_TICKERS,$D225)))</f>
        <v/>
      </c>
      <c r="G225" s="133">
        <f>IF($L225="","",INDEX(HSCEI!$L$7:$L$66,($L225-INT($L225/1000)*1000)))</f>
        <v/>
      </c>
      <c r="H225" s="155">
        <f>IF($L225="","",IF($F225="","",IFERROR(($F225-$E225)*INDEX(HSCEI!$B$7:$B$66,($L225-INT($L225/1000)*1000))*INDEX(HSCEI!$G$7:$G$66,($L225-INT($L225/1000)*1000))/HSCEI!$B$3,"")))</f>
        <v/>
      </c>
      <c r="I225" s="46">
        <f>IF($L225="","",INDEX(HSCEI!$U$7:$U$66,($L225-INT($L225/1000)*1000)))</f>
        <v/>
      </c>
      <c r="K225" s="121">
        <f>IF(HSCEI!$C$8="","",IFERROR(MATCH(HSCEI!$E$8,Fundamentals!$B$216:$B$226,0),99)*1000+2)</f>
        <v/>
      </c>
      <c r="L225" s="121">
        <f>IFERROR(SMALL($K$224:$K$283,2),"")</f>
        <v/>
      </c>
    </row>
    <row r="226">
      <c r="B226" s="22">
        <f>IF($L226="","",INDEX(HSCEI!$E$7:$E$66,($L226-INT($L226/1000)*1000)))</f>
        <v/>
      </c>
      <c r="C226" s="22">
        <f>IF($L226="","",INDEX(HSCEI!$D$7:$D$66,($L226-INT($L226/1000)*1000)))</f>
        <v/>
      </c>
      <c r="D226" s="22">
        <f>IF($L226="","",INDEX(HSCEI!$C$7:$C$66,($L226-INT($L226/1000)*1000)))</f>
        <v/>
      </c>
      <c r="E226" s="133">
        <f>IF($L226="","",INDEX(HSCEI!$K$7:$K$66,($L226-INT($L226/1000)*1000)))</f>
        <v/>
      </c>
      <c r="F226" s="123">
        <f>IF($L226="","",IF(COUNTIFS(OVR_TICKERS,$D226,OVR_BASE,"&gt;=0")=0,"",SUMIFS(OVR_BASE,OVR_TICKERS,$D226)))</f>
        <v/>
      </c>
      <c r="G226" s="133">
        <f>IF($L226="","",INDEX(HSCEI!$L$7:$L$66,($L226-INT($L226/1000)*1000)))</f>
        <v/>
      </c>
      <c r="H226" s="155">
        <f>IF($L226="","",IF($F226="","",IFERROR(($F226-$E226)*INDEX(HSCEI!$B$7:$B$66,($L226-INT($L226/1000)*1000))*INDEX(HSCEI!$G$7:$G$66,($L226-INT($L226/1000)*1000))/HSCEI!$B$3,"")))</f>
        <v/>
      </c>
      <c r="I226" s="46">
        <f>IF($L226="","",INDEX(HSCEI!$U$7:$U$66,($L226-INT($L226/1000)*1000)))</f>
        <v/>
      </c>
      <c r="K226" s="121">
        <f>IF(HSCEI!$C$9="","",IFERROR(MATCH(HSCEI!$E$9,Fundamentals!$B$216:$B$226,0),99)*1000+3)</f>
        <v/>
      </c>
      <c r="L226" s="121">
        <f>IFERROR(SMALL($K$224:$K$283,3),"")</f>
        <v/>
      </c>
    </row>
    <row r="227">
      <c r="B227" s="22">
        <f>IF($L227="","",INDEX(HSCEI!$E$7:$E$66,($L227-INT($L227/1000)*1000)))</f>
        <v/>
      </c>
      <c r="C227" s="22">
        <f>IF($L227="","",INDEX(HSCEI!$D$7:$D$66,($L227-INT($L227/1000)*1000)))</f>
        <v/>
      </c>
      <c r="D227" s="22">
        <f>IF($L227="","",INDEX(HSCEI!$C$7:$C$66,($L227-INT($L227/1000)*1000)))</f>
        <v/>
      </c>
      <c r="E227" s="133">
        <f>IF($L227="","",INDEX(HSCEI!$K$7:$K$66,($L227-INT($L227/1000)*1000)))</f>
        <v/>
      </c>
      <c r="F227" s="123">
        <f>IF($L227="","",IF(COUNTIFS(OVR_TICKERS,$D227,OVR_BASE,"&gt;=0")=0,"",SUMIFS(OVR_BASE,OVR_TICKERS,$D227)))</f>
        <v/>
      </c>
      <c r="G227" s="133">
        <f>IF($L227="","",INDEX(HSCEI!$L$7:$L$66,($L227-INT($L227/1000)*1000)))</f>
        <v/>
      </c>
      <c r="H227" s="155">
        <f>IF($L227="","",IF($F227="","",IFERROR(($F227-$E227)*INDEX(HSCEI!$B$7:$B$66,($L227-INT($L227/1000)*1000))*INDEX(HSCEI!$G$7:$G$66,($L227-INT($L227/1000)*1000))/HSCEI!$B$3,"")))</f>
        <v/>
      </c>
      <c r="I227" s="46">
        <f>IF($L227="","",INDEX(HSCEI!$U$7:$U$66,($L227-INT($L227/1000)*1000)))</f>
        <v/>
      </c>
      <c r="K227" s="121">
        <f>IF(HSCEI!$C$10="","",IFERROR(MATCH(HSCEI!$E$10,Fundamentals!$B$216:$B$226,0),99)*1000+4)</f>
        <v/>
      </c>
      <c r="L227" s="121">
        <f>IFERROR(SMALL($K$224:$K$283,4),"")</f>
        <v/>
      </c>
    </row>
    <row r="228">
      <c r="B228" s="22">
        <f>IF($L228="","",INDEX(HSCEI!$E$7:$E$66,($L228-INT($L228/1000)*1000)))</f>
        <v/>
      </c>
      <c r="C228" s="22">
        <f>IF($L228="","",INDEX(HSCEI!$D$7:$D$66,($L228-INT($L228/1000)*1000)))</f>
        <v/>
      </c>
      <c r="D228" s="22">
        <f>IF($L228="","",INDEX(HSCEI!$C$7:$C$66,($L228-INT($L228/1000)*1000)))</f>
        <v/>
      </c>
      <c r="E228" s="133">
        <f>IF($L228="","",INDEX(HSCEI!$K$7:$K$66,($L228-INT($L228/1000)*1000)))</f>
        <v/>
      </c>
      <c r="F228" s="123">
        <f>IF($L228="","",IF(COUNTIFS(OVR_TICKERS,$D228,OVR_BASE,"&gt;=0")=0,"",SUMIFS(OVR_BASE,OVR_TICKERS,$D228)))</f>
        <v/>
      </c>
      <c r="G228" s="133">
        <f>IF($L228="","",INDEX(HSCEI!$L$7:$L$66,($L228-INT($L228/1000)*1000)))</f>
        <v/>
      </c>
      <c r="H228" s="155">
        <f>IF($L228="","",IF($F228="","",IFERROR(($F228-$E228)*INDEX(HSCEI!$B$7:$B$66,($L228-INT($L228/1000)*1000))*INDEX(HSCEI!$G$7:$G$66,($L228-INT($L228/1000)*1000))/HSCEI!$B$3,"")))</f>
        <v/>
      </c>
      <c r="I228" s="46">
        <f>IF($L228="","",INDEX(HSCEI!$U$7:$U$66,($L228-INT($L228/1000)*1000)))</f>
        <v/>
      </c>
      <c r="K228" s="121">
        <f>IF(HSCEI!$C$11="","",IFERROR(MATCH(HSCEI!$E$11,Fundamentals!$B$216:$B$226,0),99)*1000+5)</f>
        <v/>
      </c>
      <c r="L228" s="121">
        <f>IFERROR(SMALL($K$224:$K$283,5),"")</f>
        <v/>
      </c>
    </row>
    <row r="229">
      <c r="B229" s="22">
        <f>IF($L229="","",INDEX(HSCEI!$E$7:$E$66,($L229-INT($L229/1000)*1000)))</f>
        <v/>
      </c>
      <c r="C229" s="22">
        <f>IF($L229="","",INDEX(HSCEI!$D$7:$D$66,($L229-INT($L229/1000)*1000)))</f>
        <v/>
      </c>
      <c r="D229" s="22">
        <f>IF($L229="","",INDEX(HSCEI!$C$7:$C$66,($L229-INT($L229/1000)*1000)))</f>
        <v/>
      </c>
      <c r="E229" s="133">
        <f>IF($L229="","",INDEX(HSCEI!$K$7:$K$66,($L229-INT($L229/1000)*1000)))</f>
        <v/>
      </c>
      <c r="F229" s="123">
        <f>IF($L229="","",IF(COUNTIFS(OVR_TICKERS,$D229,OVR_BASE,"&gt;=0")=0,"",SUMIFS(OVR_BASE,OVR_TICKERS,$D229)))</f>
        <v/>
      </c>
      <c r="G229" s="133">
        <f>IF($L229="","",INDEX(HSCEI!$L$7:$L$66,($L229-INT($L229/1000)*1000)))</f>
        <v/>
      </c>
      <c r="H229" s="155">
        <f>IF($L229="","",IF($F229="","",IFERROR(($F229-$E229)*INDEX(HSCEI!$B$7:$B$66,($L229-INT($L229/1000)*1000))*INDEX(HSCEI!$G$7:$G$66,($L229-INT($L229/1000)*1000))/HSCEI!$B$3,"")))</f>
        <v/>
      </c>
      <c r="I229" s="46">
        <f>IF($L229="","",INDEX(HSCEI!$U$7:$U$66,($L229-INT($L229/1000)*1000)))</f>
        <v/>
      </c>
      <c r="K229" s="121">
        <f>IF(HSCEI!$C$12="","",IFERROR(MATCH(HSCEI!$E$12,Fundamentals!$B$216:$B$226,0),99)*1000+6)</f>
        <v/>
      </c>
      <c r="L229" s="121">
        <f>IFERROR(SMALL($K$224:$K$283,6),"")</f>
        <v/>
      </c>
    </row>
    <row r="230">
      <c r="B230" s="22">
        <f>IF($L230="","",INDEX(HSCEI!$E$7:$E$66,($L230-INT($L230/1000)*1000)))</f>
        <v/>
      </c>
      <c r="C230" s="22">
        <f>IF($L230="","",INDEX(HSCEI!$D$7:$D$66,($L230-INT($L230/1000)*1000)))</f>
        <v/>
      </c>
      <c r="D230" s="22">
        <f>IF($L230="","",INDEX(HSCEI!$C$7:$C$66,($L230-INT($L230/1000)*1000)))</f>
        <v/>
      </c>
      <c r="E230" s="133">
        <f>IF($L230="","",INDEX(HSCEI!$K$7:$K$66,($L230-INT($L230/1000)*1000)))</f>
        <v/>
      </c>
      <c r="F230" s="123">
        <f>IF($L230="","",IF(COUNTIFS(OVR_TICKERS,$D230,OVR_BASE,"&gt;=0")=0,"",SUMIFS(OVR_BASE,OVR_TICKERS,$D230)))</f>
        <v/>
      </c>
      <c r="G230" s="133">
        <f>IF($L230="","",INDEX(HSCEI!$L$7:$L$66,($L230-INT($L230/1000)*1000)))</f>
        <v/>
      </c>
      <c r="H230" s="155">
        <f>IF($L230="","",IF($F230="","",IFERROR(($F230-$E230)*INDEX(HSCEI!$B$7:$B$66,($L230-INT($L230/1000)*1000))*INDEX(HSCEI!$G$7:$G$66,($L230-INT($L230/1000)*1000))/HSCEI!$B$3,"")))</f>
        <v/>
      </c>
      <c r="I230" s="46">
        <f>IF($L230="","",INDEX(HSCEI!$U$7:$U$66,($L230-INT($L230/1000)*1000)))</f>
        <v/>
      </c>
      <c r="K230" s="121">
        <f>IF(HSCEI!$C$13="","",IFERROR(MATCH(HSCEI!$E$13,Fundamentals!$B$216:$B$226,0),99)*1000+7)</f>
        <v/>
      </c>
      <c r="L230" s="121">
        <f>IFERROR(SMALL($K$224:$K$283,7),"")</f>
        <v/>
      </c>
    </row>
    <row r="231">
      <c r="B231" s="22">
        <f>IF($L231="","",INDEX(HSCEI!$E$7:$E$66,($L231-INT($L231/1000)*1000)))</f>
        <v/>
      </c>
      <c r="C231" s="22">
        <f>IF($L231="","",INDEX(HSCEI!$D$7:$D$66,($L231-INT($L231/1000)*1000)))</f>
        <v/>
      </c>
      <c r="D231" s="22">
        <f>IF($L231="","",INDEX(HSCEI!$C$7:$C$66,($L231-INT($L231/1000)*1000)))</f>
        <v/>
      </c>
      <c r="E231" s="133">
        <f>IF($L231="","",INDEX(HSCEI!$K$7:$K$66,($L231-INT($L231/1000)*1000)))</f>
        <v/>
      </c>
      <c r="F231" s="123">
        <f>IF($L231="","",IF(COUNTIFS(OVR_TICKERS,$D231,OVR_BASE,"&gt;=0")=0,"",SUMIFS(OVR_BASE,OVR_TICKERS,$D231)))</f>
        <v/>
      </c>
      <c r="G231" s="133">
        <f>IF($L231="","",INDEX(HSCEI!$L$7:$L$66,($L231-INT($L231/1000)*1000)))</f>
        <v/>
      </c>
      <c r="H231" s="155">
        <f>IF($L231="","",IF($F231="","",IFERROR(($F231-$E231)*INDEX(HSCEI!$B$7:$B$66,($L231-INT($L231/1000)*1000))*INDEX(HSCEI!$G$7:$G$66,($L231-INT($L231/1000)*1000))/HSCEI!$B$3,"")))</f>
        <v/>
      </c>
      <c r="I231" s="46">
        <f>IF($L231="","",INDEX(HSCEI!$U$7:$U$66,($L231-INT($L231/1000)*1000)))</f>
        <v/>
      </c>
      <c r="K231" s="121">
        <f>IF(HSCEI!$C$14="","",IFERROR(MATCH(HSCEI!$E$14,Fundamentals!$B$216:$B$226,0),99)*1000+8)</f>
        <v/>
      </c>
      <c r="L231" s="121">
        <f>IFERROR(SMALL($K$224:$K$283,8),"")</f>
        <v/>
      </c>
    </row>
    <row r="232">
      <c r="B232" s="22">
        <f>IF($L232="","",INDEX(HSCEI!$E$7:$E$66,($L232-INT($L232/1000)*1000)))</f>
        <v/>
      </c>
      <c r="C232" s="22">
        <f>IF($L232="","",INDEX(HSCEI!$D$7:$D$66,($L232-INT($L232/1000)*1000)))</f>
        <v/>
      </c>
      <c r="D232" s="22">
        <f>IF($L232="","",INDEX(HSCEI!$C$7:$C$66,($L232-INT($L232/1000)*1000)))</f>
        <v/>
      </c>
      <c r="E232" s="133">
        <f>IF($L232="","",INDEX(HSCEI!$K$7:$K$66,($L232-INT($L232/1000)*1000)))</f>
        <v/>
      </c>
      <c r="F232" s="123">
        <f>IF($L232="","",IF(COUNTIFS(OVR_TICKERS,$D232,OVR_BASE,"&gt;=0")=0,"",SUMIFS(OVR_BASE,OVR_TICKERS,$D232)))</f>
        <v/>
      </c>
      <c r="G232" s="133">
        <f>IF($L232="","",INDEX(HSCEI!$L$7:$L$66,($L232-INT($L232/1000)*1000)))</f>
        <v/>
      </c>
      <c r="H232" s="155">
        <f>IF($L232="","",IF($F232="","",IFERROR(($F232-$E232)*INDEX(HSCEI!$B$7:$B$66,($L232-INT($L232/1000)*1000))*INDEX(HSCEI!$G$7:$G$66,($L232-INT($L232/1000)*1000))/HSCEI!$B$3,"")))</f>
        <v/>
      </c>
      <c r="I232" s="46">
        <f>IF($L232="","",INDEX(HSCEI!$U$7:$U$66,($L232-INT($L232/1000)*1000)))</f>
        <v/>
      </c>
      <c r="K232" s="121">
        <f>IF(HSCEI!$C$15="","",IFERROR(MATCH(HSCEI!$E$15,Fundamentals!$B$216:$B$226,0),99)*1000+9)</f>
        <v/>
      </c>
      <c r="L232" s="121">
        <f>IFERROR(SMALL($K$224:$K$283,9),"")</f>
        <v/>
      </c>
    </row>
    <row r="233">
      <c r="B233" s="22">
        <f>IF($L233="","",INDEX(HSCEI!$E$7:$E$66,($L233-INT($L233/1000)*1000)))</f>
        <v/>
      </c>
      <c r="C233" s="22">
        <f>IF($L233="","",INDEX(HSCEI!$D$7:$D$66,($L233-INT($L233/1000)*1000)))</f>
        <v/>
      </c>
      <c r="D233" s="22">
        <f>IF($L233="","",INDEX(HSCEI!$C$7:$C$66,($L233-INT($L233/1000)*1000)))</f>
        <v/>
      </c>
      <c r="E233" s="133">
        <f>IF($L233="","",INDEX(HSCEI!$K$7:$K$66,($L233-INT($L233/1000)*1000)))</f>
        <v/>
      </c>
      <c r="F233" s="123">
        <f>IF($L233="","",IF(COUNTIFS(OVR_TICKERS,$D233,OVR_BASE,"&gt;=0")=0,"",SUMIFS(OVR_BASE,OVR_TICKERS,$D233)))</f>
        <v/>
      </c>
      <c r="G233" s="133">
        <f>IF($L233="","",INDEX(HSCEI!$L$7:$L$66,($L233-INT($L233/1000)*1000)))</f>
        <v/>
      </c>
      <c r="H233" s="155">
        <f>IF($L233="","",IF($F233="","",IFERROR(($F233-$E233)*INDEX(HSCEI!$B$7:$B$66,($L233-INT($L233/1000)*1000))*INDEX(HSCEI!$G$7:$G$66,($L233-INT($L233/1000)*1000))/HSCEI!$B$3,"")))</f>
        <v/>
      </c>
      <c r="I233" s="46">
        <f>IF($L233="","",INDEX(HSCEI!$U$7:$U$66,($L233-INT($L233/1000)*1000)))</f>
        <v/>
      </c>
      <c r="K233" s="121">
        <f>IF(HSCEI!$C$16="","",IFERROR(MATCH(HSCEI!$E$16,Fundamentals!$B$216:$B$226,0),99)*1000+10)</f>
        <v/>
      </c>
      <c r="L233" s="121">
        <f>IFERROR(SMALL($K$224:$K$283,10),"")</f>
        <v/>
      </c>
    </row>
    <row r="234">
      <c r="B234" s="22">
        <f>IF($L234="","",INDEX(HSCEI!$E$7:$E$66,($L234-INT($L234/1000)*1000)))</f>
        <v/>
      </c>
      <c r="C234" s="22">
        <f>IF($L234="","",INDEX(HSCEI!$D$7:$D$66,($L234-INT($L234/1000)*1000)))</f>
        <v/>
      </c>
      <c r="D234" s="22">
        <f>IF($L234="","",INDEX(HSCEI!$C$7:$C$66,($L234-INT($L234/1000)*1000)))</f>
        <v/>
      </c>
      <c r="E234" s="133">
        <f>IF($L234="","",INDEX(HSCEI!$K$7:$K$66,($L234-INT($L234/1000)*1000)))</f>
        <v/>
      </c>
      <c r="F234" s="123">
        <f>IF($L234="","",IF(COUNTIFS(OVR_TICKERS,$D234,OVR_BASE,"&gt;=0")=0,"",SUMIFS(OVR_BASE,OVR_TICKERS,$D234)))</f>
        <v/>
      </c>
      <c r="G234" s="133">
        <f>IF($L234="","",INDEX(HSCEI!$L$7:$L$66,($L234-INT($L234/1000)*1000)))</f>
        <v/>
      </c>
      <c r="H234" s="155">
        <f>IF($L234="","",IF($F234="","",IFERROR(($F234-$E234)*INDEX(HSCEI!$B$7:$B$66,($L234-INT($L234/1000)*1000))*INDEX(HSCEI!$G$7:$G$66,($L234-INT($L234/1000)*1000))/HSCEI!$B$3,"")))</f>
        <v/>
      </c>
      <c r="I234" s="46">
        <f>IF($L234="","",INDEX(HSCEI!$U$7:$U$66,($L234-INT($L234/1000)*1000)))</f>
        <v/>
      </c>
      <c r="K234" s="121">
        <f>IF(HSCEI!$C$17="","",IFERROR(MATCH(HSCEI!$E$17,Fundamentals!$B$216:$B$226,0),99)*1000+11)</f>
        <v/>
      </c>
      <c r="L234" s="121">
        <f>IFERROR(SMALL($K$224:$K$283,11),"")</f>
        <v/>
      </c>
    </row>
    <row r="235">
      <c r="B235" s="22">
        <f>IF($L235="","",INDEX(HSCEI!$E$7:$E$66,($L235-INT($L235/1000)*1000)))</f>
        <v/>
      </c>
      <c r="C235" s="22">
        <f>IF($L235="","",INDEX(HSCEI!$D$7:$D$66,($L235-INT($L235/1000)*1000)))</f>
        <v/>
      </c>
      <c r="D235" s="22">
        <f>IF($L235="","",INDEX(HSCEI!$C$7:$C$66,($L235-INT($L235/1000)*1000)))</f>
        <v/>
      </c>
      <c r="E235" s="133">
        <f>IF($L235="","",INDEX(HSCEI!$K$7:$K$66,($L235-INT($L235/1000)*1000)))</f>
        <v/>
      </c>
      <c r="F235" s="123">
        <f>IF($L235="","",IF(COUNTIFS(OVR_TICKERS,$D235,OVR_BASE,"&gt;=0")=0,"",SUMIFS(OVR_BASE,OVR_TICKERS,$D235)))</f>
        <v/>
      </c>
      <c r="G235" s="133">
        <f>IF($L235="","",INDEX(HSCEI!$L$7:$L$66,($L235-INT($L235/1000)*1000)))</f>
        <v/>
      </c>
      <c r="H235" s="155">
        <f>IF($L235="","",IF($F235="","",IFERROR(($F235-$E235)*INDEX(HSCEI!$B$7:$B$66,($L235-INT($L235/1000)*1000))*INDEX(HSCEI!$G$7:$G$66,($L235-INT($L235/1000)*1000))/HSCEI!$B$3,"")))</f>
        <v/>
      </c>
      <c r="I235" s="46">
        <f>IF($L235="","",INDEX(HSCEI!$U$7:$U$66,($L235-INT($L235/1000)*1000)))</f>
        <v/>
      </c>
      <c r="K235" s="121">
        <f>IF(HSCEI!$C$18="","",IFERROR(MATCH(HSCEI!$E$18,Fundamentals!$B$216:$B$226,0),99)*1000+12)</f>
        <v/>
      </c>
      <c r="L235" s="121">
        <f>IFERROR(SMALL($K$224:$K$283,12),"")</f>
        <v/>
      </c>
    </row>
    <row r="236">
      <c r="B236" s="22">
        <f>IF($L236="","",INDEX(HSCEI!$E$7:$E$66,($L236-INT($L236/1000)*1000)))</f>
        <v/>
      </c>
      <c r="C236" s="22">
        <f>IF($L236="","",INDEX(HSCEI!$D$7:$D$66,($L236-INT($L236/1000)*1000)))</f>
        <v/>
      </c>
      <c r="D236" s="22">
        <f>IF($L236="","",INDEX(HSCEI!$C$7:$C$66,($L236-INT($L236/1000)*1000)))</f>
        <v/>
      </c>
      <c r="E236" s="133">
        <f>IF($L236="","",INDEX(HSCEI!$K$7:$K$66,($L236-INT($L236/1000)*1000)))</f>
        <v/>
      </c>
      <c r="F236" s="123">
        <f>IF($L236="","",IF(COUNTIFS(OVR_TICKERS,$D236,OVR_BASE,"&gt;=0")=0,"",SUMIFS(OVR_BASE,OVR_TICKERS,$D236)))</f>
        <v/>
      </c>
      <c r="G236" s="133">
        <f>IF($L236="","",INDEX(HSCEI!$L$7:$L$66,($L236-INT($L236/1000)*1000)))</f>
        <v/>
      </c>
      <c r="H236" s="155">
        <f>IF($L236="","",IF($F236="","",IFERROR(($F236-$E236)*INDEX(HSCEI!$B$7:$B$66,($L236-INT($L236/1000)*1000))*INDEX(HSCEI!$G$7:$G$66,($L236-INT($L236/1000)*1000))/HSCEI!$B$3,"")))</f>
        <v/>
      </c>
      <c r="I236" s="46">
        <f>IF($L236="","",INDEX(HSCEI!$U$7:$U$66,($L236-INT($L236/1000)*1000)))</f>
        <v/>
      </c>
      <c r="K236" s="121">
        <f>IF(HSCEI!$C$19="","",IFERROR(MATCH(HSCEI!$E$19,Fundamentals!$B$216:$B$226,0),99)*1000+13)</f>
        <v/>
      </c>
      <c r="L236" s="121">
        <f>IFERROR(SMALL($K$224:$K$283,13),"")</f>
        <v/>
      </c>
    </row>
    <row r="237">
      <c r="B237" s="22">
        <f>IF($L237="","",INDEX(HSCEI!$E$7:$E$66,($L237-INT($L237/1000)*1000)))</f>
        <v/>
      </c>
      <c r="C237" s="22">
        <f>IF($L237="","",INDEX(HSCEI!$D$7:$D$66,($L237-INT($L237/1000)*1000)))</f>
        <v/>
      </c>
      <c r="D237" s="22">
        <f>IF($L237="","",INDEX(HSCEI!$C$7:$C$66,($L237-INT($L237/1000)*1000)))</f>
        <v/>
      </c>
      <c r="E237" s="133">
        <f>IF($L237="","",INDEX(HSCEI!$K$7:$K$66,($L237-INT($L237/1000)*1000)))</f>
        <v/>
      </c>
      <c r="F237" s="123">
        <f>IF($L237="","",IF(COUNTIFS(OVR_TICKERS,$D237,OVR_BASE,"&gt;=0")=0,"",SUMIFS(OVR_BASE,OVR_TICKERS,$D237)))</f>
        <v/>
      </c>
      <c r="G237" s="133">
        <f>IF($L237="","",INDEX(HSCEI!$L$7:$L$66,($L237-INT($L237/1000)*1000)))</f>
        <v/>
      </c>
      <c r="H237" s="155">
        <f>IF($L237="","",IF($F237="","",IFERROR(($F237-$E237)*INDEX(HSCEI!$B$7:$B$66,($L237-INT($L237/1000)*1000))*INDEX(HSCEI!$G$7:$G$66,($L237-INT($L237/1000)*1000))/HSCEI!$B$3,"")))</f>
        <v/>
      </c>
      <c r="I237" s="46">
        <f>IF($L237="","",INDEX(HSCEI!$U$7:$U$66,($L237-INT($L237/1000)*1000)))</f>
        <v/>
      </c>
      <c r="K237" s="121">
        <f>IF(HSCEI!$C$20="","",IFERROR(MATCH(HSCEI!$E$20,Fundamentals!$B$216:$B$226,0),99)*1000+14)</f>
        <v/>
      </c>
      <c r="L237" s="121">
        <f>IFERROR(SMALL($K$224:$K$283,14),"")</f>
        <v/>
      </c>
    </row>
    <row r="238">
      <c r="B238" s="22">
        <f>IF($L238="","",INDEX(HSCEI!$E$7:$E$66,($L238-INT($L238/1000)*1000)))</f>
        <v/>
      </c>
      <c r="C238" s="22">
        <f>IF($L238="","",INDEX(HSCEI!$D$7:$D$66,($L238-INT($L238/1000)*1000)))</f>
        <v/>
      </c>
      <c r="D238" s="22">
        <f>IF($L238="","",INDEX(HSCEI!$C$7:$C$66,($L238-INT($L238/1000)*1000)))</f>
        <v/>
      </c>
      <c r="E238" s="133">
        <f>IF($L238="","",INDEX(HSCEI!$K$7:$K$66,($L238-INT($L238/1000)*1000)))</f>
        <v/>
      </c>
      <c r="F238" s="123">
        <f>IF($L238="","",IF(COUNTIFS(OVR_TICKERS,$D238,OVR_BASE,"&gt;=0")=0,"",SUMIFS(OVR_BASE,OVR_TICKERS,$D238)))</f>
        <v/>
      </c>
      <c r="G238" s="133">
        <f>IF($L238="","",INDEX(HSCEI!$L$7:$L$66,($L238-INT($L238/1000)*1000)))</f>
        <v/>
      </c>
      <c r="H238" s="155">
        <f>IF($L238="","",IF($F238="","",IFERROR(($F238-$E238)*INDEX(HSCEI!$B$7:$B$66,($L238-INT($L238/1000)*1000))*INDEX(HSCEI!$G$7:$G$66,($L238-INT($L238/1000)*1000))/HSCEI!$B$3,"")))</f>
        <v/>
      </c>
      <c r="I238" s="46">
        <f>IF($L238="","",INDEX(HSCEI!$U$7:$U$66,($L238-INT($L238/1000)*1000)))</f>
        <v/>
      </c>
      <c r="K238" s="121">
        <f>IF(HSCEI!$C$21="","",IFERROR(MATCH(HSCEI!$E$21,Fundamentals!$B$216:$B$226,0),99)*1000+15)</f>
        <v/>
      </c>
      <c r="L238" s="121">
        <f>IFERROR(SMALL($K$224:$K$283,15),"")</f>
        <v/>
      </c>
    </row>
    <row r="239">
      <c r="B239" s="22">
        <f>IF($L239="","",INDEX(HSCEI!$E$7:$E$66,($L239-INT($L239/1000)*1000)))</f>
        <v/>
      </c>
      <c r="C239" s="22">
        <f>IF($L239="","",INDEX(HSCEI!$D$7:$D$66,($L239-INT($L239/1000)*1000)))</f>
        <v/>
      </c>
      <c r="D239" s="22">
        <f>IF($L239="","",INDEX(HSCEI!$C$7:$C$66,($L239-INT($L239/1000)*1000)))</f>
        <v/>
      </c>
      <c r="E239" s="133">
        <f>IF($L239="","",INDEX(HSCEI!$K$7:$K$66,($L239-INT($L239/1000)*1000)))</f>
        <v/>
      </c>
      <c r="F239" s="123">
        <f>IF($L239="","",IF(COUNTIFS(OVR_TICKERS,$D239,OVR_BASE,"&gt;=0")=0,"",SUMIFS(OVR_BASE,OVR_TICKERS,$D239)))</f>
        <v/>
      </c>
      <c r="G239" s="133">
        <f>IF($L239="","",INDEX(HSCEI!$L$7:$L$66,($L239-INT($L239/1000)*1000)))</f>
        <v/>
      </c>
      <c r="H239" s="155">
        <f>IF($L239="","",IF($F239="","",IFERROR(($F239-$E239)*INDEX(HSCEI!$B$7:$B$66,($L239-INT($L239/1000)*1000))*INDEX(HSCEI!$G$7:$G$66,($L239-INT($L239/1000)*1000))/HSCEI!$B$3,"")))</f>
        <v/>
      </c>
      <c r="I239" s="46">
        <f>IF($L239="","",INDEX(HSCEI!$U$7:$U$66,($L239-INT($L239/1000)*1000)))</f>
        <v/>
      </c>
      <c r="K239" s="121">
        <f>IF(HSCEI!$C$22="","",IFERROR(MATCH(HSCEI!$E$22,Fundamentals!$B$216:$B$226,0),99)*1000+16)</f>
        <v/>
      </c>
      <c r="L239" s="121">
        <f>IFERROR(SMALL($K$224:$K$283,16),"")</f>
        <v/>
      </c>
    </row>
    <row r="240">
      <c r="B240" s="22">
        <f>IF($L240="","",INDEX(HSCEI!$E$7:$E$66,($L240-INT($L240/1000)*1000)))</f>
        <v/>
      </c>
      <c r="C240" s="22">
        <f>IF($L240="","",INDEX(HSCEI!$D$7:$D$66,($L240-INT($L240/1000)*1000)))</f>
        <v/>
      </c>
      <c r="D240" s="22">
        <f>IF($L240="","",INDEX(HSCEI!$C$7:$C$66,($L240-INT($L240/1000)*1000)))</f>
        <v/>
      </c>
      <c r="E240" s="133">
        <f>IF($L240="","",INDEX(HSCEI!$K$7:$K$66,($L240-INT($L240/1000)*1000)))</f>
        <v/>
      </c>
      <c r="F240" s="123">
        <f>IF($L240="","",IF(COUNTIFS(OVR_TICKERS,$D240,OVR_BASE,"&gt;=0")=0,"",SUMIFS(OVR_BASE,OVR_TICKERS,$D240)))</f>
        <v/>
      </c>
      <c r="G240" s="133">
        <f>IF($L240="","",INDEX(HSCEI!$L$7:$L$66,($L240-INT($L240/1000)*1000)))</f>
        <v/>
      </c>
      <c r="H240" s="155">
        <f>IF($L240="","",IF($F240="","",IFERROR(($F240-$E240)*INDEX(HSCEI!$B$7:$B$66,($L240-INT($L240/1000)*1000))*INDEX(HSCEI!$G$7:$G$66,($L240-INT($L240/1000)*1000))/HSCEI!$B$3,"")))</f>
        <v/>
      </c>
      <c r="I240" s="46">
        <f>IF($L240="","",INDEX(HSCEI!$U$7:$U$66,($L240-INT($L240/1000)*1000)))</f>
        <v/>
      </c>
      <c r="K240" s="121">
        <f>IF(HSCEI!$C$23="","",IFERROR(MATCH(HSCEI!$E$23,Fundamentals!$B$216:$B$226,0),99)*1000+17)</f>
        <v/>
      </c>
      <c r="L240" s="121">
        <f>IFERROR(SMALL($K$224:$K$283,17),"")</f>
        <v/>
      </c>
    </row>
    <row r="241">
      <c r="B241" s="22">
        <f>IF($L241="","",INDEX(HSCEI!$E$7:$E$66,($L241-INT($L241/1000)*1000)))</f>
        <v/>
      </c>
      <c r="C241" s="22">
        <f>IF($L241="","",INDEX(HSCEI!$D$7:$D$66,($L241-INT($L241/1000)*1000)))</f>
        <v/>
      </c>
      <c r="D241" s="22">
        <f>IF($L241="","",INDEX(HSCEI!$C$7:$C$66,($L241-INT($L241/1000)*1000)))</f>
        <v/>
      </c>
      <c r="E241" s="133">
        <f>IF($L241="","",INDEX(HSCEI!$K$7:$K$66,($L241-INT($L241/1000)*1000)))</f>
        <v/>
      </c>
      <c r="F241" s="123">
        <f>IF($L241="","",IF(COUNTIFS(OVR_TICKERS,$D241,OVR_BASE,"&gt;=0")=0,"",SUMIFS(OVR_BASE,OVR_TICKERS,$D241)))</f>
        <v/>
      </c>
      <c r="G241" s="133">
        <f>IF($L241="","",INDEX(HSCEI!$L$7:$L$66,($L241-INT($L241/1000)*1000)))</f>
        <v/>
      </c>
      <c r="H241" s="155">
        <f>IF($L241="","",IF($F241="","",IFERROR(($F241-$E241)*INDEX(HSCEI!$B$7:$B$66,($L241-INT($L241/1000)*1000))*INDEX(HSCEI!$G$7:$G$66,($L241-INT($L241/1000)*1000))/HSCEI!$B$3,"")))</f>
        <v/>
      </c>
      <c r="I241" s="46">
        <f>IF($L241="","",INDEX(HSCEI!$U$7:$U$66,($L241-INT($L241/1000)*1000)))</f>
        <v/>
      </c>
      <c r="K241" s="121">
        <f>IF(HSCEI!$C$24="","",IFERROR(MATCH(HSCEI!$E$24,Fundamentals!$B$216:$B$226,0),99)*1000+18)</f>
        <v/>
      </c>
      <c r="L241" s="121">
        <f>IFERROR(SMALL($K$224:$K$283,18),"")</f>
        <v/>
      </c>
    </row>
    <row r="242">
      <c r="B242" s="22">
        <f>IF($L242="","",INDEX(HSCEI!$E$7:$E$66,($L242-INT($L242/1000)*1000)))</f>
        <v/>
      </c>
      <c r="C242" s="22">
        <f>IF($L242="","",INDEX(HSCEI!$D$7:$D$66,($L242-INT($L242/1000)*1000)))</f>
        <v/>
      </c>
      <c r="D242" s="22">
        <f>IF($L242="","",INDEX(HSCEI!$C$7:$C$66,($L242-INT($L242/1000)*1000)))</f>
        <v/>
      </c>
      <c r="E242" s="133">
        <f>IF($L242="","",INDEX(HSCEI!$K$7:$K$66,($L242-INT($L242/1000)*1000)))</f>
        <v/>
      </c>
      <c r="F242" s="123">
        <f>IF($L242="","",IF(COUNTIFS(OVR_TICKERS,$D242,OVR_BASE,"&gt;=0")=0,"",SUMIFS(OVR_BASE,OVR_TICKERS,$D242)))</f>
        <v/>
      </c>
      <c r="G242" s="133">
        <f>IF($L242="","",INDEX(HSCEI!$L$7:$L$66,($L242-INT($L242/1000)*1000)))</f>
        <v/>
      </c>
      <c r="H242" s="155">
        <f>IF($L242="","",IF($F242="","",IFERROR(($F242-$E242)*INDEX(HSCEI!$B$7:$B$66,($L242-INT($L242/1000)*1000))*INDEX(HSCEI!$G$7:$G$66,($L242-INT($L242/1000)*1000))/HSCEI!$B$3,"")))</f>
        <v/>
      </c>
      <c r="I242" s="46">
        <f>IF($L242="","",INDEX(HSCEI!$U$7:$U$66,($L242-INT($L242/1000)*1000)))</f>
        <v/>
      </c>
      <c r="K242" s="121">
        <f>IF(HSCEI!$C$25="","",IFERROR(MATCH(HSCEI!$E$25,Fundamentals!$B$216:$B$226,0),99)*1000+19)</f>
        <v/>
      </c>
      <c r="L242" s="121">
        <f>IFERROR(SMALL($K$224:$K$283,19),"")</f>
        <v/>
      </c>
    </row>
    <row r="243">
      <c r="B243" s="22">
        <f>IF($L243="","",INDEX(HSCEI!$E$7:$E$66,($L243-INT($L243/1000)*1000)))</f>
        <v/>
      </c>
      <c r="C243" s="22">
        <f>IF($L243="","",INDEX(HSCEI!$D$7:$D$66,($L243-INT($L243/1000)*1000)))</f>
        <v/>
      </c>
      <c r="D243" s="22">
        <f>IF($L243="","",INDEX(HSCEI!$C$7:$C$66,($L243-INT($L243/1000)*1000)))</f>
        <v/>
      </c>
      <c r="E243" s="133">
        <f>IF($L243="","",INDEX(HSCEI!$K$7:$K$66,($L243-INT($L243/1000)*1000)))</f>
        <v/>
      </c>
      <c r="F243" s="123">
        <f>IF($L243="","",IF(COUNTIFS(OVR_TICKERS,$D243,OVR_BASE,"&gt;=0")=0,"",SUMIFS(OVR_BASE,OVR_TICKERS,$D243)))</f>
        <v/>
      </c>
      <c r="G243" s="133">
        <f>IF($L243="","",INDEX(HSCEI!$L$7:$L$66,($L243-INT($L243/1000)*1000)))</f>
        <v/>
      </c>
      <c r="H243" s="155">
        <f>IF($L243="","",IF($F243="","",IFERROR(($F243-$E243)*INDEX(HSCEI!$B$7:$B$66,($L243-INT($L243/1000)*1000))*INDEX(HSCEI!$G$7:$G$66,($L243-INT($L243/1000)*1000))/HSCEI!$B$3,"")))</f>
        <v/>
      </c>
      <c r="I243" s="46">
        <f>IF($L243="","",INDEX(HSCEI!$U$7:$U$66,($L243-INT($L243/1000)*1000)))</f>
        <v/>
      </c>
      <c r="K243" s="121">
        <f>IF(HSCEI!$C$26="","",IFERROR(MATCH(HSCEI!$E$26,Fundamentals!$B$216:$B$226,0),99)*1000+20)</f>
        <v/>
      </c>
      <c r="L243" s="121">
        <f>IFERROR(SMALL($K$224:$K$283,20),"")</f>
        <v/>
      </c>
    </row>
    <row r="244">
      <c r="B244" s="22">
        <f>IF($L244="","",INDEX(HSCEI!$E$7:$E$66,($L244-INT($L244/1000)*1000)))</f>
        <v/>
      </c>
      <c r="C244" s="22">
        <f>IF($L244="","",INDEX(HSCEI!$D$7:$D$66,($L244-INT($L244/1000)*1000)))</f>
        <v/>
      </c>
      <c r="D244" s="22">
        <f>IF($L244="","",INDEX(HSCEI!$C$7:$C$66,($L244-INT($L244/1000)*1000)))</f>
        <v/>
      </c>
      <c r="E244" s="133">
        <f>IF($L244="","",INDEX(HSCEI!$K$7:$K$66,($L244-INT($L244/1000)*1000)))</f>
        <v/>
      </c>
      <c r="F244" s="123">
        <f>IF($L244="","",IF(COUNTIFS(OVR_TICKERS,$D244,OVR_BASE,"&gt;=0")=0,"",SUMIFS(OVR_BASE,OVR_TICKERS,$D244)))</f>
        <v/>
      </c>
      <c r="G244" s="133">
        <f>IF($L244="","",INDEX(HSCEI!$L$7:$L$66,($L244-INT($L244/1000)*1000)))</f>
        <v/>
      </c>
      <c r="H244" s="155">
        <f>IF($L244="","",IF($F244="","",IFERROR(($F244-$E244)*INDEX(HSCEI!$B$7:$B$66,($L244-INT($L244/1000)*1000))*INDEX(HSCEI!$G$7:$G$66,($L244-INT($L244/1000)*1000))/HSCEI!$B$3,"")))</f>
        <v/>
      </c>
      <c r="I244" s="46">
        <f>IF($L244="","",INDEX(HSCEI!$U$7:$U$66,($L244-INT($L244/1000)*1000)))</f>
        <v/>
      </c>
      <c r="K244" s="121">
        <f>IF(HSCEI!$C$27="","",IFERROR(MATCH(HSCEI!$E$27,Fundamentals!$B$216:$B$226,0),99)*1000+21)</f>
        <v/>
      </c>
      <c r="L244" s="121">
        <f>IFERROR(SMALL($K$224:$K$283,21),"")</f>
        <v/>
      </c>
    </row>
    <row r="245">
      <c r="B245" s="22">
        <f>IF($L245="","",INDEX(HSCEI!$E$7:$E$66,($L245-INT($L245/1000)*1000)))</f>
        <v/>
      </c>
      <c r="C245" s="22">
        <f>IF($L245="","",INDEX(HSCEI!$D$7:$D$66,($L245-INT($L245/1000)*1000)))</f>
        <v/>
      </c>
      <c r="D245" s="22">
        <f>IF($L245="","",INDEX(HSCEI!$C$7:$C$66,($L245-INT($L245/1000)*1000)))</f>
        <v/>
      </c>
      <c r="E245" s="133">
        <f>IF($L245="","",INDEX(HSCEI!$K$7:$K$66,($L245-INT($L245/1000)*1000)))</f>
        <v/>
      </c>
      <c r="F245" s="123">
        <f>IF($L245="","",IF(COUNTIFS(OVR_TICKERS,$D245,OVR_BASE,"&gt;=0")=0,"",SUMIFS(OVR_BASE,OVR_TICKERS,$D245)))</f>
        <v/>
      </c>
      <c r="G245" s="133">
        <f>IF($L245="","",INDEX(HSCEI!$L$7:$L$66,($L245-INT($L245/1000)*1000)))</f>
        <v/>
      </c>
      <c r="H245" s="155">
        <f>IF($L245="","",IF($F245="","",IFERROR(($F245-$E245)*INDEX(HSCEI!$B$7:$B$66,($L245-INT($L245/1000)*1000))*INDEX(HSCEI!$G$7:$G$66,($L245-INT($L245/1000)*1000))/HSCEI!$B$3,"")))</f>
        <v/>
      </c>
      <c r="I245" s="46">
        <f>IF($L245="","",INDEX(HSCEI!$U$7:$U$66,($L245-INT($L245/1000)*1000)))</f>
        <v/>
      </c>
      <c r="K245" s="121">
        <f>IF(HSCEI!$C$28="","",IFERROR(MATCH(HSCEI!$E$28,Fundamentals!$B$216:$B$226,0),99)*1000+22)</f>
        <v/>
      </c>
      <c r="L245" s="121">
        <f>IFERROR(SMALL($K$224:$K$283,22),"")</f>
        <v/>
      </c>
    </row>
    <row r="246">
      <c r="B246" s="22">
        <f>IF($L246="","",INDEX(HSCEI!$E$7:$E$66,($L246-INT($L246/1000)*1000)))</f>
        <v/>
      </c>
      <c r="C246" s="22">
        <f>IF($L246="","",INDEX(HSCEI!$D$7:$D$66,($L246-INT($L246/1000)*1000)))</f>
        <v/>
      </c>
      <c r="D246" s="22">
        <f>IF($L246="","",INDEX(HSCEI!$C$7:$C$66,($L246-INT($L246/1000)*1000)))</f>
        <v/>
      </c>
      <c r="E246" s="133">
        <f>IF($L246="","",INDEX(HSCEI!$K$7:$K$66,($L246-INT($L246/1000)*1000)))</f>
        <v/>
      </c>
      <c r="F246" s="123">
        <f>IF($L246="","",IF(COUNTIFS(OVR_TICKERS,$D246,OVR_BASE,"&gt;=0")=0,"",SUMIFS(OVR_BASE,OVR_TICKERS,$D246)))</f>
        <v/>
      </c>
      <c r="G246" s="133">
        <f>IF($L246="","",INDEX(HSCEI!$L$7:$L$66,($L246-INT($L246/1000)*1000)))</f>
        <v/>
      </c>
      <c r="H246" s="155">
        <f>IF($L246="","",IF($F246="","",IFERROR(($F246-$E246)*INDEX(HSCEI!$B$7:$B$66,($L246-INT($L246/1000)*1000))*INDEX(HSCEI!$G$7:$G$66,($L246-INT($L246/1000)*1000))/HSCEI!$B$3,"")))</f>
        <v/>
      </c>
      <c r="I246" s="46">
        <f>IF($L246="","",INDEX(HSCEI!$U$7:$U$66,($L246-INT($L246/1000)*1000)))</f>
        <v/>
      </c>
      <c r="K246" s="121">
        <f>IF(HSCEI!$C$29="","",IFERROR(MATCH(HSCEI!$E$29,Fundamentals!$B$216:$B$226,0),99)*1000+23)</f>
        <v/>
      </c>
      <c r="L246" s="121">
        <f>IFERROR(SMALL($K$224:$K$283,23),"")</f>
        <v/>
      </c>
    </row>
    <row r="247">
      <c r="B247" s="22">
        <f>IF($L247="","",INDEX(HSCEI!$E$7:$E$66,($L247-INT($L247/1000)*1000)))</f>
        <v/>
      </c>
      <c r="C247" s="22">
        <f>IF($L247="","",INDEX(HSCEI!$D$7:$D$66,($L247-INT($L247/1000)*1000)))</f>
        <v/>
      </c>
      <c r="D247" s="22">
        <f>IF($L247="","",INDEX(HSCEI!$C$7:$C$66,($L247-INT($L247/1000)*1000)))</f>
        <v/>
      </c>
      <c r="E247" s="133">
        <f>IF($L247="","",INDEX(HSCEI!$K$7:$K$66,($L247-INT($L247/1000)*1000)))</f>
        <v/>
      </c>
      <c r="F247" s="123">
        <f>IF($L247="","",IF(COUNTIFS(OVR_TICKERS,$D247,OVR_BASE,"&gt;=0")=0,"",SUMIFS(OVR_BASE,OVR_TICKERS,$D247)))</f>
        <v/>
      </c>
      <c r="G247" s="133">
        <f>IF($L247="","",INDEX(HSCEI!$L$7:$L$66,($L247-INT($L247/1000)*1000)))</f>
        <v/>
      </c>
      <c r="H247" s="155">
        <f>IF($L247="","",IF($F247="","",IFERROR(($F247-$E247)*INDEX(HSCEI!$B$7:$B$66,($L247-INT($L247/1000)*1000))*INDEX(HSCEI!$G$7:$G$66,($L247-INT($L247/1000)*1000))/HSCEI!$B$3,"")))</f>
        <v/>
      </c>
      <c r="I247" s="46">
        <f>IF($L247="","",INDEX(HSCEI!$U$7:$U$66,($L247-INT($L247/1000)*1000)))</f>
        <v/>
      </c>
      <c r="K247" s="121">
        <f>IF(HSCEI!$C$30="","",IFERROR(MATCH(HSCEI!$E$30,Fundamentals!$B$216:$B$226,0),99)*1000+24)</f>
        <v/>
      </c>
      <c r="L247" s="121">
        <f>IFERROR(SMALL($K$224:$K$283,24),"")</f>
        <v/>
      </c>
    </row>
    <row r="248">
      <c r="B248" s="22">
        <f>IF($L248="","",INDEX(HSCEI!$E$7:$E$66,($L248-INT($L248/1000)*1000)))</f>
        <v/>
      </c>
      <c r="C248" s="22">
        <f>IF($L248="","",INDEX(HSCEI!$D$7:$D$66,($L248-INT($L248/1000)*1000)))</f>
        <v/>
      </c>
      <c r="D248" s="22">
        <f>IF($L248="","",INDEX(HSCEI!$C$7:$C$66,($L248-INT($L248/1000)*1000)))</f>
        <v/>
      </c>
      <c r="E248" s="133">
        <f>IF($L248="","",INDEX(HSCEI!$K$7:$K$66,($L248-INT($L248/1000)*1000)))</f>
        <v/>
      </c>
      <c r="F248" s="123">
        <f>IF($L248="","",IF(COUNTIFS(OVR_TICKERS,$D248,OVR_BASE,"&gt;=0")=0,"",SUMIFS(OVR_BASE,OVR_TICKERS,$D248)))</f>
        <v/>
      </c>
      <c r="G248" s="133">
        <f>IF($L248="","",INDEX(HSCEI!$L$7:$L$66,($L248-INT($L248/1000)*1000)))</f>
        <v/>
      </c>
      <c r="H248" s="155">
        <f>IF($L248="","",IF($F248="","",IFERROR(($F248-$E248)*INDEX(HSCEI!$B$7:$B$66,($L248-INT($L248/1000)*1000))*INDEX(HSCEI!$G$7:$G$66,($L248-INT($L248/1000)*1000))/HSCEI!$B$3,"")))</f>
        <v/>
      </c>
      <c r="I248" s="46">
        <f>IF($L248="","",INDEX(HSCEI!$U$7:$U$66,($L248-INT($L248/1000)*1000)))</f>
        <v/>
      </c>
      <c r="K248" s="121">
        <f>IF(HSCEI!$C$31="","",IFERROR(MATCH(HSCEI!$E$31,Fundamentals!$B$216:$B$226,0),99)*1000+25)</f>
        <v/>
      </c>
      <c r="L248" s="121">
        <f>IFERROR(SMALL($K$224:$K$283,25),"")</f>
        <v/>
      </c>
    </row>
    <row r="249">
      <c r="B249" s="22">
        <f>IF($L249="","",INDEX(HSCEI!$E$7:$E$66,($L249-INT($L249/1000)*1000)))</f>
        <v/>
      </c>
      <c r="C249" s="22">
        <f>IF($L249="","",INDEX(HSCEI!$D$7:$D$66,($L249-INT($L249/1000)*1000)))</f>
        <v/>
      </c>
      <c r="D249" s="22">
        <f>IF($L249="","",INDEX(HSCEI!$C$7:$C$66,($L249-INT($L249/1000)*1000)))</f>
        <v/>
      </c>
      <c r="E249" s="133">
        <f>IF($L249="","",INDEX(HSCEI!$K$7:$K$66,($L249-INT($L249/1000)*1000)))</f>
        <v/>
      </c>
      <c r="F249" s="123">
        <f>IF($L249="","",IF(COUNTIFS(OVR_TICKERS,$D249,OVR_BASE,"&gt;=0")=0,"",SUMIFS(OVR_BASE,OVR_TICKERS,$D249)))</f>
        <v/>
      </c>
      <c r="G249" s="133">
        <f>IF($L249="","",INDEX(HSCEI!$L$7:$L$66,($L249-INT($L249/1000)*1000)))</f>
        <v/>
      </c>
      <c r="H249" s="155">
        <f>IF($L249="","",IF($F249="","",IFERROR(($F249-$E249)*INDEX(HSCEI!$B$7:$B$66,($L249-INT($L249/1000)*1000))*INDEX(HSCEI!$G$7:$G$66,($L249-INT($L249/1000)*1000))/HSCEI!$B$3,"")))</f>
        <v/>
      </c>
      <c r="I249" s="46">
        <f>IF($L249="","",INDEX(HSCEI!$U$7:$U$66,($L249-INT($L249/1000)*1000)))</f>
        <v/>
      </c>
      <c r="K249" s="121">
        <f>IF(HSCEI!$C$32="","",IFERROR(MATCH(HSCEI!$E$32,Fundamentals!$B$216:$B$226,0),99)*1000+26)</f>
        <v/>
      </c>
      <c r="L249" s="121">
        <f>IFERROR(SMALL($K$224:$K$283,26),"")</f>
        <v/>
      </c>
    </row>
    <row r="250">
      <c r="B250" s="22">
        <f>IF($L250="","",INDEX(HSCEI!$E$7:$E$66,($L250-INT($L250/1000)*1000)))</f>
        <v/>
      </c>
      <c r="C250" s="22">
        <f>IF($L250="","",INDEX(HSCEI!$D$7:$D$66,($L250-INT($L250/1000)*1000)))</f>
        <v/>
      </c>
      <c r="D250" s="22">
        <f>IF($L250="","",INDEX(HSCEI!$C$7:$C$66,($L250-INT($L250/1000)*1000)))</f>
        <v/>
      </c>
      <c r="E250" s="133">
        <f>IF($L250="","",INDEX(HSCEI!$K$7:$K$66,($L250-INT($L250/1000)*1000)))</f>
        <v/>
      </c>
      <c r="F250" s="123">
        <f>IF($L250="","",IF(COUNTIFS(OVR_TICKERS,$D250,OVR_BASE,"&gt;=0")=0,"",SUMIFS(OVR_BASE,OVR_TICKERS,$D250)))</f>
        <v/>
      </c>
      <c r="G250" s="133">
        <f>IF($L250="","",INDEX(HSCEI!$L$7:$L$66,($L250-INT($L250/1000)*1000)))</f>
        <v/>
      </c>
      <c r="H250" s="155">
        <f>IF($L250="","",IF($F250="","",IFERROR(($F250-$E250)*INDEX(HSCEI!$B$7:$B$66,($L250-INT($L250/1000)*1000))*INDEX(HSCEI!$G$7:$G$66,($L250-INT($L250/1000)*1000))/HSCEI!$B$3,"")))</f>
        <v/>
      </c>
      <c r="I250" s="46">
        <f>IF($L250="","",INDEX(HSCEI!$U$7:$U$66,($L250-INT($L250/1000)*1000)))</f>
        <v/>
      </c>
      <c r="K250" s="121">
        <f>IF(HSCEI!$C$33="","",IFERROR(MATCH(HSCEI!$E$33,Fundamentals!$B$216:$B$226,0),99)*1000+27)</f>
        <v/>
      </c>
      <c r="L250" s="121">
        <f>IFERROR(SMALL($K$224:$K$283,27),"")</f>
        <v/>
      </c>
    </row>
    <row r="251">
      <c r="B251" s="22">
        <f>IF($L251="","",INDEX(HSCEI!$E$7:$E$66,($L251-INT($L251/1000)*1000)))</f>
        <v/>
      </c>
      <c r="C251" s="22">
        <f>IF($L251="","",INDEX(HSCEI!$D$7:$D$66,($L251-INT($L251/1000)*1000)))</f>
        <v/>
      </c>
      <c r="D251" s="22">
        <f>IF($L251="","",INDEX(HSCEI!$C$7:$C$66,($L251-INT($L251/1000)*1000)))</f>
        <v/>
      </c>
      <c r="E251" s="133">
        <f>IF($L251="","",INDEX(HSCEI!$K$7:$K$66,($L251-INT($L251/1000)*1000)))</f>
        <v/>
      </c>
      <c r="F251" s="123">
        <f>IF($L251="","",IF(COUNTIFS(OVR_TICKERS,$D251,OVR_BASE,"&gt;=0")=0,"",SUMIFS(OVR_BASE,OVR_TICKERS,$D251)))</f>
        <v/>
      </c>
      <c r="G251" s="133">
        <f>IF($L251="","",INDEX(HSCEI!$L$7:$L$66,($L251-INT($L251/1000)*1000)))</f>
        <v/>
      </c>
      <c r="H251" s="155">
        <f>IF($L251="","",IF($F251="","",IFERROR(($F251-$E251)*INDEX(HSCEI!$B$7:$B$66,($L251-INT($L251/1000)*1000))*INDEX(HSCEI!$G$7:$G$66,($L251-INT($L251/1000)*1000))/HSCEI!$B$3,"")))</f>
        <v/>
      </c>
      <c r="I251" s="46">
        <f>IF($L251="","",INDEX(HSCEI!$U$7:$U$66,($L251-INT($L251/1000)*1000)))</f>
        <v/>
      </c>
      <c r="K251" s="121">
        <f>IF(HSCEI!$C$34="","",IFERROR(MATCH(HSCEI!$E$34,Fundamentals!$B$216:$B$226,0),99)*1000+28)</f>
        <v/>
      </c>
      <c r="L251" s="121">
        <f>IFERROR(SMALL($K$224:$K$283,28),"")</f>
        <v/>
      </c>
    </row>
    <row r="252">
      <c r="B252" s="22">
        <f>IF($L252="","",INDEX(HSCEI!$E$7:$E$66,($L252-INT($L252/1000)*1000)))</f>
        <v/>
      </c>
      <c r="C252" s="22">
        <f>IF($L252="","",INDEX(HSCEI!$D$7:$D$66,($L252-INT($L252/1000)*1000)))</f>
        <v/>
      </c>
      <c r="D252" s="22">
        <f>IF($L252="","",INDEX(HSCEI!$C$7:$C$66,($L252-INT($L252/1000)*1000)))</f>
        <v/>
      </c>
      <c r="E252" s="133">
        <f>IF($L252="","",INDEX(HSCEI!$K$7:$K$66,($L252-INT($L252/1000)*1000)))</f>
        <v/>
      </c>
      <c r="F252" s="123">
        <f>IF($L252="","",IF(COUNTIFS(OVR_TICKERS,$D252,OVR_BASE,"&gt;=0")=0,"",SUMIFS(OVR_BASE,OVR_TICKERS,$D252)))</f>
        <v/>
      </c>
      <c r="G252" s="133">
        <f>IF($L252="","",INDEX(HSCEI!$L$7:$L$66,($L252-INT($L252/1000)*1000)))</f>
        <v/>
      </c>
      <c r="H252" s="155">
        <f>IF($L252="","",IF($F252="","",IFERROR(($F252-$E252)*INDEX(HSCEI!$B$7:$B$66,($L252-INT($L252/1000)*1000))*INDEX(HSCEI!$G$7:$G$66,($L252-INT($L252/1000)*1000))/HSCEI!$B$3,"")))</f>
        <v/>
      </c>
      <c r="I252" s="46">
        <f>IF($L252="","",INDEX(HSCEI!$U$7:$U$66,($L252-INT($L252/1000)*1000)))</f>
        <v/>
      </c>
      <c r="K252" s="121">
        <f>IF(HSCEI!$C$35="","",IFERROR(MATCH(HSCEI!$E$35,Fundamentals!$B$216:$B$226,0),99)*1000+29)</f>
        <v/>
      </c>
      <c r="L252" s="121">
        <f>IFERROR(SMALL($K$224:$K$283,29),"")</f>
        <v/>
      </c>
    </row>
    <row r="253">
      <c r="B253" s="22">
        <f>IF($L253="","",INDEX(HSCEI!$E$7:$E$66,($L253-INT($L253/1000)*1000)))</f>
        <v/>
      </c>
      <c r="C253" s="22">
        <f>IF($L253="","",INDEX(HSCEI!$D$7:$D$66,($L253-INT($L253/1000)*1000)))</f>
        <v/>
      </c>
      <c r="D253" s="22">
        <f>IF($L253="","",INDEX(HSCEI!$C$7:$C$66,($L253-INT($L253/1000)*1000)))</f>
        <v/>
      </c>
      <c r="E253" s="133">
        <f>IF($L253="","",INDEX(HSCEI!$K$7:$K$66,($L253-INT($L253/1000)*1000)))</f>
        <v/>
      </c>
      <c r="F253" s="123">
        <f>IF($L253="","",IF(COUNTIFS(OVR_TICKERS,$D253,OVR_BASE,"&gt;=0")=0,"",SUMIFS(OVR_BASE,OVR_TICKERS,$D253)))</f>
        <v/>
      </c>
      <c r="G253" s="133">
        <f>IF($L253="","",INDEX(HSCEI!$L$7:$L$66,($L253-INT($L253/1000)*1000)))</f>
        <v/>
      </c>
      <c r="H253" s="155">
        <f>IF($L253="","",IF($F253="","",IFERROR(($F253-$E253)*INDEX(HSCEI!$B$7:$B$66,($L253-INT($L253/1000)*1000))*INDEX(HSCEI!$G$7:$G$66,($L253-INT($L253/1000)*1000))/HSCEI!$B$3,"")))</f>
        <v/>
      </c>
      <c r="I253" s="46">
        <f>IF($L253="","",INDEX(HSCEI!$U$7:$U$66,($L253-INT($L253/1000)*1000)))</f>
        <v/>
      </c>
      <c r="K253" s="121">
        <f>IF(HSCEI!$C$36="","",IFERROR(MATCH(HSCEI!$E$36,Fundamentals!$B$216:$B$226,0),99)*1000+30)</f>
        <v/>
      </c>
      <c r="L253" s="121">
        <f>IFERROR(SMALL($K$224:$K$283,30),"")</f>
        <v/>
      </c>
    </row>
    <row r="254">
      <c r="B254" s="22">
        <f>IF($L254="","",INDEX(HSCEI!$E$7:$E$66,($L254-INT($L254/1000)*1000)))</f>
        <v/>
      </c>
      <c r="C254" s="22">
        <f>IF($L254="","",INDEX(HSCEI!$D$7:$D$66,($L254-INT($L254/1000)*1000)))</f>
        <v/>
      </c>
      <c r="D254" s="22">
        <f>IF($L254="","",INDEX(HSCEI!$C$7:$C$66,($L254-INT($L254/1000)*1000)))</f>
        <v/>
      </c>
      <c r="E254" s="133">
        <f>IF($L254="","",INDEX(HSCEI!$K$7:$K$66,($L254-INT($L254/1000)*1000)))</f>
        <v/>
      </c>
      <c r="F254" s="123">
        <f>IF($L254="","",IF(COUNTIFS(OVR_TICKERS,$D254,OVR_BASE,"&gt;=0")=0,"",SUMIFS(OVR_BASE,OVR_TICKERS,$D254)))</f>
        <v/>
      </c>
      <c r="G254" s="133">
        <f>IF($L254="","",INDEX(HSCEI!$L$7:$L$66,($L254-INT($L254/1000)*1000)))</f>
        <v/>
      </c>
      <c r="H254" s="155">
        <f>IF($L254="","",IF($F254="","",IFERROR(($F254-$E254)*INDEX(HSCEI!$B$7:$B$66,($L254-INT($L254/1000)*1000))*INDEX(HSCEI!$G$7:$G$66,($L254-INT($L254/1000)*1000))/HSCEI!$B$3,"")))</f>
        <v/>
      </c>
      <c r="I254" s="46">
        <f>IF($L254="","",INDEX(HSCEI!$U$7:$U$66,($L254-INT($L254/1000)*1000)))</f>
        <v/>
      </c>
      <c r="K254" s="121">
        <f>IF(HSCEI!$C$37="","",IFERROR(MATCH(HSCEI!$E$37,Fundamentals!$B$216:$B$226,0),99)*1000+31)</f>
        <v/>
      </c>
      <c r="L254" s="121">
        <f>IFERROR(SMALL($K$224:$K$283,31),"")</f>
        <v/>
      </c>
    </row>
    <row r="255">
      <c r="B255" s="22">
        <f>IF($L255="","",INDEX(HSCEI!$E$7:$E$66,($L255-INT($L255/1000)*1000)))</f>
        <v/>
      </c>
      <c r="C255" s="22">
        <f>IF($L255="","",INDEX(HSCEI!$D$7:$D$66,($L255-INT($L255/1000)*1000)))</f>
        <v/>
      </c>
      <c r="D255" s="22">
        <f>IF($L255="","",INDEX(HSCEI!$C$7:$C$66,($L255-INT($L255/1000)*1000)))</f>
        <v/>
      </c>
      <c r="E255" s="133">
        <f>IF($L255="","",INDEX(HSCEI!$K$7:$K$66,($L255-INT($L255/1000)*1000)))</f>
        <v/>
      </c>
      <c r="F255" s="123">
        <f>IF($L255="","",IF(COUNTIFS(OVR_TICKERS,$D255,OVR_BASE,"&gt;=0")=0,"",SUMIFS(OVR_BASE,OVR_TICKERS,$D255)))</f>
        <v/>
      </c>
      <c r="G255" s="133">
        <f>IF($L255="","",INDEX(HSCEI!$L$7:$L$66,($L255-INT($L255/1000)*1000)))</f>
        <v/>
      </c>
      <c r="H255" s="155">
        <f>IF($L255="","",IF($F255="","",IFERROR(($F255-$E255)*INDEX(HSCEI!$B$7:$B$66,($L255-INT($L255/1000)*1000))*INDEX(HSCEI!$G$7:$G$66,($L255-INT($L255/1000)*1000))/HSCEI!$B$3,"")))</f>
        <v/>
      </c>
      <c r="I255" s="46">
        <f>IF($L255="","",INDEX(HSCEI!$U$7:$U$66,($L255-INT($L255/1000)*1000)))</f>
        <v/>
      </c>
      <c r="K255" s="121">
        <f>IF(HSCEI!$C$38="","",IFERROR(MATCH(HSCEI!$E$38,Fundamentals!$B$216:$B$226,0),99)*1000+32)</f>
        <v/>
      </c>
      <c r="L255" s="121">
        <f>IFERROR(SMALL($K$224:$K$283,32),"")</f>
        <v/>
      </c>
    </row>
    <row r="256">
      <c r="B256" s="22">
        <f>IF($L256="","",INDEX(HSCEI!$E$7:$E$66,($L256-INT($L256/1000)*1000)))</f>
        <v/>
      </c>
      <c r="C256" s="22">
        <f>IF($L256="","",INDEX(HSCEI!$D$7:$D$66,($L256-INT($L256/1000)*1000)))</f>
        <v/>
      </c>
      <c r="D256" s="22">
        <f>IF($L256="","",INDEX(HSCEI!$C$7:$C$66,($L256-INT($L256/1000)*1000)))</f>
        <v/>
      </c>
      <c r="E256" s="133">
        <f>IF($L256="","",INDEX(HSCEI!$K$7:$K$66,($L256-INT($L256/1000)*1000)))</f>
        <v/>
      </c>
      <c r="F256" s="123">
        <f>IF($L256="","",IF(COUNTIFS(OVR_TICKERS,$D256,OVR_BASE,"&gt;=0")=0,"",SUMIFS(OVR_BASE,OVR_TICKERS,$D256)))</f>
        <v/>
      </c>
      <c r="G256" s="133">
        <f>IF($L256="","",INDEX(HSCEI!$L$7:$L$66,($L256-INT($L256/1000)*1000)))</f>
        <v/>
      </c>
      <c r="H256" s="155">
        <f>IF($L256="","",IF($F256="","",IFERROR(($F256-$E256)*INDEX(HSCEI!$B$7:$B$66,($L256-INT($L256/1000)*1000))*INDEX(HSCEI!$G$7:$G$66,($L256-INT($L256/1000)*1000))/HSCEI!$B$3,"")))</f>
        <v/>
      </c>
      <c r="I256" s="46">
        <f>IF($L256="","",INDEX(HSCEI!$U$7:$U$66,($L256-INT($L256/1000)*1000)))</f>
        <v/>
      </c>
      <c r="K256" s="121">
        <f>IF(HSCEI!$C$39="","",IFERROR(MATCH(HSCEI!$E$39,Fundamentals!$B$216:$B$226,0),99)*1000+33)</f>
        <v/>
      </c>
      <c r="L256" s="121">
        <f>IFERROR(SMALL($K$224:$K$283,33),"")</f>
        <v/>
      </c>
    </row>
    <row r="257">
      <c r="B257" s="22">
        <f>IF($L257="","",INDEX(HSCEI!$E$7:$E$66,($L257-INT($L257/1000)*1000)))</f>
        <v/>
      </c>
      <c r="C257" s="22">
        <f>IF($L257="","",INDEX(HSCEI!$D$7:$D$66,($L257-INT($L257/1000)*1000)))</f>
        <v/>
      </c>
      <c r="D257" s="22">
        <f>IF($L257="","",INDEX(HSCEI!$C$7:$C$66,($L257-INT($L257/1000)*1000)))</f>
        <v/>
      </c>
      <c r="E257" s="133">
        <f>IF($L257="","",INDEX(HSCEI!$K$7:$K$66,($L257-INT($L257/1000)*1000)))</f>
        <v/>
      </c>
      <c r="F257" s="123">
        <f>IF($L257="","",IF(COUNTIFS(OVR_TICKERS,$D257,OVR_BASE,"&gt;=0")=0,"",SUMIFS(OVR_BASE,OVR_TICKERS,$D257)))</f>
        <v/>
      </c>
      <c r="G257" s="133">
        <f>IF($L257="","",INDEX(HSCEI!$L$7:$L$66,($L257-INT($L257/1000)*1000)))</f>
        <v/>
      </c>
      <c r="H257" s="155">
        <f>IF($L257="","",IF($F257="","",IFERROR(($F257-$E257)*INDEX(HSCEI!$B$7:$B$66,($L257-INT($L257/1000)*1000))*INDEX(HSCEI!$G$7:$G$66,($L257-INT($L257/1000)*1000))/HSCEI!$B$3,"")))</f>
        <v/>
      </c>
      <c r="I257" s="46">
        <f>IF($L257="","",INDEX(HSCEI!$U$7:$U$66,($L257-INT($L257/1000)*1000)))</f>
        <v/>
      </c>
      <c r="K257" s="121">
        <f>IF(HSCEI!$C$40="","",IFERROR(MATCH(HSCEI!$E$40,Fundamentals!$B$216:$B$226,0),99)*1000+34)</f>
        <v/>
      </c>
      <c r="L257" s="121">
        <f>IFERROR(SMALL($K$224:$K$283,34),"")</f>
        <v/>
      </c>
    </row>
    <row r="258">
      <c r="B258" s="22">
        <f>IF($L258="","",INDEX(HSCEI!$E$7:$E$66,($L258-INT($L258/1000)*1000)))</f>
        <v/>
      </c>
      <c r="C258" s="22">
        <f>IF($L258="","",INDEX(HSCEI!$D$7:$D$66,($L258-INT($L258/1000)*1000)))</f>
        <v/>
      </c>
      <c r="D258" s="22">
        <f>IF($L258="","",INDEX(HSCEI!$C$7:$C$66,($L258-INT($L258/1000)*1000)))</f>
        <v/>
      </c>
      <c r="E258" s="133">
        <f>IF($L258="","",INDEX(HSCEI!$K$7:$K$66,($L258-INT($L258/1000)*1000)))</f>
        <v/>
      </c>
      <c r="F258" s="123">
        <f>IF($L258="","",IF(COUNTIFS(OVR_TICKERS,$D258,OVR_BASE,"&gt;=0")=0,"",SUMIFS(OVR_BASE,OVR_TICKERS,$D258)))</f>
        <v/>
      </c>
      <c r="G258" s="133">
        <f>IF($L258="","",INDEX(HSCEI!$L$7:$L$66,($L258-INT($L258/1000)*1000)))</f>
        <v/>
      </c>
      <c r="H258" s="155">
        <f>IF($L258="","",IF($F258="","",IFERROR(($F258-$E258)*INDEX(HSCEI!$B$7:$B$66,($L258-INT($L258/1000)*1000))*INDEX(HSCEI!$G$7:$G$66,($L258-INT($L258/1000)*1000))/HSCEI!$B$3,"")))</f>
        <v/>
      </c>
      <c r="I258" s="46">
        <f>IF($L258="","",INDEX(HSCEI!$U$7:$U$66,($L258-INT($L258/1000)*1000)))</f>
        <v/>
      </c>
      <c r="K258" s="121">
        <f>IF(HSCEI!$C$41="","",IFERROR(MATCH(HSCEI!$E$41,Fundamentals!$B$216:$B$226,0),99)*1000+35)</f>
        <v/>
      </c>
      <c r="L258" s="121">
        <f>IFERROR(SMALL($K$224:$K$283,35),"")</f>
        <v/>
      </c>
    </row>
    <row r="259">
      <c r="B259" s="22">
        <f>IF($L259="","",INDEX(HSCEI!$E$7:$E$66,($L259-INT($L259/1000)*1000)))</f>
        <v/>
      </c>
      <c r="C259" s="22">
        <f>IF($L259="","",INDEX(HSCEI!$D$7:$D$66,($L259-INT($L259/1000)*1000)))</f>
        <v/>
      </c>
      <c r="D259" s="22">
        <f>IF($L259="","",INDEX(HSCEI!$C$7:$C$66,($L259-INT($L259/1000)*1000)))</f>
        <v/>
      </c>
      <c r="E259" s="133">
        <f>IF($L259="","",INDEX(HSCEI!$K$7:$K$66,($L259-INT($L259/1000)*1000)))</f>
        <v/>
      </c>
      <c r="F259" s="123">
        <f>IF($L259="","",IF(COUNTIFS(OVR_TICKERS,$D259,OVR_BASE,"&gt;=0")=0,"",SUMIFS(OVR_BASE,OVR_TICKERS,$D259)))</f>
        <v/>
      </c>
      <c r="G259" s="133">
        <f>IF($L259="","",INDEX(HSCEI!$L$7:$L$66,($L259-INT($L259/1000)*1000)))</f>
        <v/>
      </c>
      <c r="H259" s="155">
        <f>IF($L259="","",IF($F259="","",IFERROR(($F259-$E259)*INDEX(HSCEI!$B$7:$B$66,($L259-INT($L259/1000)*1000))*INDEX(HSCEI!$G$7:$G$66,($L259-INT($L259/1000)*1000))/HSCEI!$B$3,"")))</f>
        <v/>
      </c>
      <c r="I259" s="46">
        <f>IF($L259="","",INDEX(HSCEI!$U$7:$U$66,($L259-INT($L259/1000)*1000)))</f>
        <v/>
      </c>
      <c r="K259" s="121">
        <f>IF(HSCEI!$C$42="","",IFERROR(MATCH(HSCEI!$E$42,Fundamentals!$B$216:$B$226,0),99)*1000+36)</f>
        <v/>
      </c>
      <c r="L259" s="121">
        <f>IFERROR(SMALL($K$224:$K$283,36),"")</f>
        <v/>
      </c>
    </row>
    <row r="260">
      <c r="B260" s="22">
        <f>IF($L260="","",INDEX(HSCEI!$E$7:$E$66,($L260-INT($L260/1000)*1000)))</f>
        <v/>
      </c>
      <c r="C260" s="22">
        <f>IF($L260="","",INDEX(HSCEI!$D$7:$D$66,($L260-INT($L260/1000)*1000)))</f>
        <v/>
      </c>
      <c r="D260" s="22">
        <f>IF($L260="","",INDEX(HSCEI!$C$7:$C$66,($L260-INT($L260/1000)*1000)))</f>
        <v/>
      </c>
      <c r="E260" s="133">
        <f>IF($L260="","",INDEX(HSCEI!$K$7:$K$66,($L260-INT($L260/1000)*1000)))</f>
        <v/>
      </c>
      <c r="F260" s="123">
        <f>IF($L260="","",IF(COUNTIFS(OVR_TICKERS,$D260,OVR_BASE,"&gt;=0")=0,"",SUMIFS(OVR_BASE,OVR_TICKERS,$D260)))</f>
        <v/>
      </c>
      <c r="G260" s="133">
        <f>IF($L260="","",INDEX(HSCEI!$L$7:$L$66,($L260-INT($L260/1000)*1000)))</f>
        <v/>
      </c>
      <c r="H260" s="155">
        <f>IF($L260="","",IF($F260="","",IFERROR(($F260-$E260)*INDEX(HSCEI!$B$7:$B$66,($L260-INT($L260/1000)*1000))*INDEX(HSCEI!$G$7:$G$66,($L260-INT($L260/1000)*1000))/HSCEI!$B$3,"")))</f>
        <v/>
      </c>
      <c r="I260" s="46">
        <f>IF($L260="","",INDEX(HSCEI!$U$7:$U$66,($L260-INT($L260/1000)*1000)))</f>
        <v/>
      </c>
      <c r="K260" s="121">
        <f>IF(HSCEI!$C$43="","",IFERROR(MATCH(HSCEI!$E$43,Fundamentals!$B$216:$B$226,0),99)*1000+37)</f>
        <v/>
      </c>
      <c r="L260" s="121">
        <f>IFERROR(SMALL($K$224:$K$283,37),"")</f>
        <v/>
      </c>
    </row>
    <row r="261">
      <c r="B261" s="22">
        <f>IF($L261="","",INDEX(HSCEI!$E$7:$E$66,($L261-INT($L261/1000)*1000)))</f>
        <v/>
      </c>
      <c r="C261" s="22">
        <f>IF($L261="","",INDEX(HSCEI!$D$7:$D$66,($L261-INT($L261/1000)*1000)))</f>
        <v/>
      </c>
      <c r="D261" s="22">
        <f>IF($L261="","",INDEX(HSCEI!$C$7:$C$66,($L261-INT($L261/1000)*1000)))</f>
        <v/>
      </c>
      <c r="E261" s="133">
        <f>IF($L261="","",INDEX(HSCEI!$K$7:$K$66,($L261-INT($L261/1000)*1000)))</f>
        <v/>
      </c>
      <c r="F261" s="123">
        <f>IF($L261="","",IF(COUNTIFS(OVR_TICKERS,$D261,OVR_BASE,"&gt;=0")=0,"",SUMIFS(OVR_BASE,OVR_TICKERS,$D261)))</f>
        <v/>
      </c>
      <c r="G261" s="133">
        <f>IF($L261="","",INDEX(HSCEI!$L$7:$L$66,($L261-INT($L261/1000)*1000)))</f>
        <v/>
      </c>
      <c r="H261" s="155">
        <f>IF($L261="","",IF($F261="","",IFERROR(($F261-$E261)*INDEX(HSCEI!$B$7:$B$66,($L261-INT($L261/1000)*1000))*INDEX(HSCEI!$G$7:$G$66,($L261-INT($L261/1000)*1000))/HSCEI!$B$3,"")))</f>
        <v/>
      </c>
      <c r="I261" s="46">
        <f>IF($L261="","",INDEX(HSCEI!$U$7:$U$66,($L261-INT($L261/1000)*1000)))</f>
        <v/>
      </c>
      <c r="K261" s="121">
        <f>IF(HSCEI!$C$44="","",IFERROR(MATCH(HSCEI!$E$44,Fundamentals!$B$216:$B$226,0),99)*1000+38)</f>
        <v/>
      </c>
      <c r="L261" s="121">
        <f>IFERROR(SMALL($K$224:$K$283,38),"")</f>
        <v/>
      </c>
    </row>
    <row r="262">
      <c r="B262" s="22">
        <f>IF($L262="","",INDEX(HSCEI!$E$7:$E$66,($L262-INT($L262/1000)*1000)))</f>
        <v/>
      </c>
      <c r="C262" s="22">
        <f>IF($L262="","",INDEX(HSCEI!$D$7:$D$66,($L262-INT($L262/1000)*1000)))</f>
        <v/>
      </c>
      <c r="D262" s="22">
        <f>IF($L262="","",INDEX(HSCEI!$C$7:$C$66,($L262-INT($L262/1000)*1000)))</f>
        <v/>
      </c>
      <c r="E262" s="133">
        <f>IF($L262="","",INDEX(HSCEI!$K$7:$K$66,($L262-INT($L262/1000)*1000)))</f>
        <v/>
      </c>
      <c r="F262" s="123">
        <f>IF($L262="","",IF(COUNTIFS(OVR_TICKERS,$D262,OVR_BASE,"&gt;=0")=0,"",SUMIFS(OVR_BASE,OVR_TICKERS,$D262)))</f>
        <v/>
      </c>
      <c r="G262" s="133">
        <f>IF($L262="","",INDEX(HSCEI!$L$7:$L$66,($L262-INT($L262/1000)*1000)))</f>
        <v/>
      </c>
      <c r="H262" s="155">
        <f>IF($L262="","",IF($F262="","",IFERROR(($F262-$E262)*INDEX(HSCEI!$B$7:$B$66,($L262-INT($L262/1000)*1000))*INDEX(HSCEI!$G$7:$G$66,($L262-INT($L262/1000)*1000))/HSCEI!$B$3,"")))</f>
        <v/>
      </c>
      <c r="I262" s="46">
        <f>IF($L262="","",INDEX(HSCEI!$U$7:$U$66,($L262-INT($L262/1000)*1000)))</f>
        <v/>
      </c>
      <c r="K262" s="121">
        <f>IF(HSCEI!$C$45="","",IFERROR(MATCH(HSCEI!$E$45,Fundamentals!$B$216:$B$226,0),99)*1000+39)</f>
        <v/>
      </c>
      <c r="L262" s="121">
        <f>IFERROR(SMALL($K$224:$K$283,39),"")</f>
        <v/>
      </c>
    </row>
    <row r="263">
      <c r="B263" s="22">
        <f>IF($L263="","",INDEX(HSCEI!$E$7:$E$66,($L263-INT($L263/1000)*1000)))</f>
        <v/>
      </c>
      <c r="C263" s="22">
        <f>IF($L263="","",INDEX(HSCEI!$D$7:$D$66,($L263-INT($L263/1000)*1000)))</f>
        <v/>
      </c>
      <c r="D263" s="22">
        <f>IF($L263="","",INDEX(HSCEI!$C$7:$C$66,($L263-INT($L263/1000)*1000)))</f>
        <v/>
      </c>
      <c r="E263" s="133">
        <f>IF($L263="","",INDEX(HSCEI!$K$7:$K$66,($L263-INT($L263/1000)*1000)))</f>
        <v/>
      </c>
      <c r="F263" s="123">
        <f>IF($L263="","",IF(COUNTIFS(OVR_TICKERS,$D263,OVR_BASE,"&gt;=0")=0,"",SUMIFS(OVR_BASE,OVR_TICKERS,$D263)))</f>
        <v/>
      </c>
      <c r="G263" s="133">
        <f>IF($L263="","",INDEX(HSCEI!$L$7:$L$66,($L263-INT($L263/1000)*1000)))</f>
        <v/>
      </c>
      <c r="H263" s="155">
        <f>IF($L263="","",IF($F263="","",IFERROR(($F263-$E263)*INDEX(HSCEI!$B$7:$B$66,($L263-INT($L263/1000)*1000))*INDEX(HSCEI!$G$7:$G$66,($L263-INT($L263/1000)*1000))/HSCEI!$B$3,"")))</f>
        <v/>
      </c>
      <c r="I263" s="46">
        <f>IF($L263="","",INDEX(HSCEI!$U$7:$U$66,($L263-INT($L263/1000)*1000)))</f>
        <v/>
      </c>
      <c r="K263" s="121">
        <f>IF(HSCEI!$C$46="","",IFERROR(MATCH(HSCEI!$E$46,Fundamentals!$B$216:$B$226,0),99)*1000+40)</f>
        <v/>
      </c>
      <c r="L263" s="121">
        <f>IFERROR(SMALL($K$224:$K$283,40),"")</f>
        <v/>
      </c>
    </row>
    <row r="264">
      <c r="B264" s="22">
        <f>IF($L264="","",INDEX(HSCEI!$E$7:$E$66,($L264-INT($L264/1000)*1000)))</f>
        <v/>
      </c>
      <c r="C264" s="22">
        <f>IF($L264="","",INDEX(HSCEI!$D$7:$D$66,($L264-INT($L264/1000)*1000)))</f>
        <v/>
      </c>
      <c r="D264" s="22">
        <f>IF($L264="","",INDEX(HSCEI!$C$7:$C$66,($L264-INT($L264/1000)*1000)))</f>
        <v/>
      </c>
      <c r="E264" s="133">
        <f>IF($L264="","",INDEX(HSCEI!$K$7:$K$66,($L264-INT($L264/1000)*1000)))</f>
        <v/>
      </c>
      <c r="F264" s="123">
        <f>IF($L264="","",IF(COUNTIFS(OVR_TICKERS,$D264,OVR_BASE,"&gt;=0")=0,"",SUMIFS(OVR_BASE,OVR_TICKERS,$D264)))</f>
        <v/>
      </c>
      <c r="G264" s="133">
        <f>IF($L264="","",INDEX(HSCEI!$L$7:$L$66,($L264-INT($L264/1000)*1000)))</f>
        <v/>
      </c>
      <c r="H264" s="155">
        <f>IF($L264="","",IF($F264="","",IFERROR(($F264-$E264)*INDEX(HSCEI!$B$7:$B$66,($L264-INT($L264/1000)*1000))*INDEX(HSCEI!$G$7:$G$66,($L264-INT($L264/1000)*1000))/HSCEI!$B$3,"")))</f>
        <v/>
      </c>
      <c r="I264" s="46">
        <f>IF($L264="","",INDEX(HSCEI!$U$7:$U$66,($L264-INT($L264/1000)*1000)))</f>
        <v/>
      </c>
      <c r="K264" s="121">
        <f>IF(HSCEI!$C$47="","",IFERROR(MATCH(HSCEI!$E$47,Fundamentals!$B$216:$B$226,0),99)*1000+41)</f>
        <v/>
      </c>
      <c r="L264" s="121">
        <f>IFERROR(SMALL($K$224:$K$283,41),"")</f>
        <v/>
      </c>
    </row>
    <row r="265">
      <c r="B265" s="22">
        <f>IF($L265="","",INDEX(HSCEI!$E$7:$E$66,($L265-INT($L265/1000)*1000)))</f>
        <v/>
      </c>
      <c r="C265" s="22">
        <f>IF($L265="","",INDEX(HSCEI!$D$7:$D$66,($L265-INT($L265/1000)*1000)))</f>
        <v/>
      </c>
      <c r="D265" s="22">
        <f>IF($L265="","",INDEX(HSCEI!$C$7:$C$66,($L265-INT($L265/1000)*1000)))</f>
        <v/>
      </c>
      <c r="E265" s="133">
        <f>IF($L265="","",INDEX(HSCEI!$K$7:$K$66,($L265-INT($L265/1000)*1000)))</f>
        <v/>
      </c>
      <c r="F265" s="123">
        <f>IF($L265="","",IF(COUNTIFS(OVR_TICKERS,$D265,OVR_BASE,"&gt;=0")=0,"",SUMIFS(OVR_BASE,OVR_TICKERS,$D265)))</f>
        <v/>
      </c>
      <c r="G265" s="133">
        <f>IF($L265="","",INDEX(HSCEI!$L$7:$L$66,($L265-INT($L265/1000)*1000)))</f>
        <v/>
      </c>
      <c r="H265" s="155">
        <f>IF($L265="","",IF($F265="","",IFERROR(($F265-$E265)*INDEX(HSCEI!$B$7:$B$66,($L265-INT($L265/1000)*1000))*INDEX(HSCEI!$G$7:$G$66,($L265-INT($L265/1000)*1000))/HSCEI!$B$3,"")))</f>
        <v/>
      </c>
      <c r="I265" s="46">
        <f>IF($L265="","",INDEX(HSCEI!$U$7:$U$66,($L265-INT($L265/1000)*1000)))</f>
        <v/>
      </c>
      <c r="K265" s="121">
        <f>IF(HSCEI!$C$48="","",IFERROR(MATCH(HSCEI!$E$48,Fundamentals!$B$216:$B$226,0),99)*1000+42)</f>
        <v/>
      </c>
      <c r="L265" s="121">
        <f>IFERROR(SMALL($K$224:$K$283,42),"")</f>
        <v/>
      </c>
    </row>
    <row r="266">
      <c r="B266" s="22">
        <f>IF($L266="","",INDEX(HSCEI!$E$7:$E$66,($L266-INT($L266/1000)*1000)))</f>
        <v/>
      </c>
      <c r="C266" s="22">
        <f>IF($L266="","",INDEX(HSCEI!$D$7:$D$66,($L266-INT($L266/1000)*1000)))</f>
        <v/>
      </c>
      <c r="D266" s="22">
        <f>IF($L266="","",INDEX(HSCEI!$C$7:$C$66,($L266-INT($L266/1000)*1000)))</f>
        <v/>
      </c>
      <c r="E266" s="133">
        <f>IF($L266="","",INDEX(HSCEI!$K$7:$K$66,($L266-INT($L266/1000)*1000)))</f>
        <v/>
      </c>
      <c r="F266" s="123">
        <f>IF($L266="","",IF(COUNTIFS(OVR_TICKERS,$D266,OVR_BASE,"&gt;=0")=0,"",SUMIFS(OVR_BASE,OVR_TICKERS,$D266)))</f>
        <v/>
      </c>
      <c r="G266" s="133">
        <f>IF($L266="","",INDEX(HSCEI!$L$7:$L$66,($L266-INT($L266/1000)*1000)))</f>
        <v/>
      </c>
      <c r="H266" s="155">
        <f>IF($L266="","",IF($F266="","",IFERROR(($F266-$E266)*INDEX(HSCEI!$B$7:$B$66,($L266-INT($L266/1000)*1000))*INDEX(HSCEI!$G$7:$G$66,($L266-INT($L266/1000)*1000))/HSCEI!$B$3,"")))</f>
        <v/>
      </c>
      <c r="I266" s="46">
        <f>IF($L266="","",INDEX(HSCEI!$U$7:$U$66,($L266-INT($L266/1000)*1000)))</f>
        <v/>
      </c>
      <c r="K266" s="121">
        <f>IF(HSCEI!$C$49="","",IFERROR(MATCH(HSCEI!$E$49,Fundamentals!$B$216:$B$226,0),99)*1000+43)</f>
        <v/>
      </c>
      <c r="L266" s="121">
        <f>IFERROR(SMALL($K$224:$K$283,43),"")</f>
        <v/>
      </c>
    </row>
    <row r="267">
      <c r="B267" s="22">
        <f>IF($L267="","",INDEX(HSCEI!$E$7:$E$66,($L267-INT($L267/1000)*1000)))</f>
        <v/>
      </c>
      <c r="C267" s="22">
        <f>IF($L267="","",INDEX(HSCEI!$D$7:$D$66,($L267-INT($L267/1000)*1000)))</f>
        <v/>
      </c>
      <c r="D267" s="22">
        <f>IF($L267="","",INDEX(HSCEI!$C$7:$C$66,($L267-INT($L267/1000)*1000)))</f>
        <v/>
      </c>
      <c r="E267" s="133">
        <f>IF($L267="","",INDEX(HSCEI!$K$7:$K$66,($L267-INT($L267/1000)*1000)))</f>
        <v/>
      </c>
      <c r="F267" s="123">
        <f>IF($L267="","",IF(COUNTIFS(OVR_TICKERS,$D267,OVR_BASE,"&gt;=0")=0,"",SUMIFS(OVR_BASE,OVR_TICKERS,$D267)))</f>
        <v/>
      </c>
      <c r="G267" s="133">
        <f>IF($L267="","",INDEX(HSCEI!$L$7:$L$66,($L267-INT($L267/1000)*1000)))</f>
        <v/>
      </c>
      <c r="H267" s="155">
        <f>IF($L267="","",IF($F267="","",IFERROR(($F267-$E267)*INDEX(HSCEI!$B$7:$B$66,($L267-INT($L267/1000)*1000))*INDEX(HSCEI!$G$7:$G$66,($L267-INT($L267/1000)*1000))/HSCEI!$B$3,"")))</f>
        <v/>
      </c>
      <c r="I267" s="46">
        <f>IF($L267="","",INDEX(HSCEI!$U$7:$U$66,($L267-INT($L267/1000)*1000)))</f>
        <v/>
      </c>
      <c r="K267" s="121">
        <f>IF(HSCEI!$C$50="","",IFERROR(MATCH(HSCEI!$E$50,Fundamentals!$B$216:$B$226,0),99)*1000+44)</f>
        <v/>
      </c>
      <c r="L267" s="121">
        <f>IFERROR(SMALL($K$224:$K$283,44),"")</f>
        <v/>
      </c>
    </row>
    <row r="268">
      <c r="B268" s="22">
        <f>IF($L268="","",INDEX(HSCEI!$E$7:$E$66,($L268-INT($L268/1000)*1000)))</f>
        <v/>
      </c>
      <c r="C268" s="22">
        <f>IF($L268="","",INDEX(HSCEI!$D$7:$D$66,($L268-INT($L268/1000)*1000)))</f>
        <v/>
      </c>
      <c r="D268" s="22">
        <f>IF($L268="","",INDEX(HSCEI!$C$7:$C$66,($L268-INT($L268/1000)*1000)))</f>
        <v/>
      </c>
      <c r="E268" s="133">
        <f>IF($L268="","",INDEX(HSCEI!$K$7:$K$66,($L268-INT($L268/1000)*1000)))</f>
        <v/>
      </c>
      <c r="F268" s="123">
        <f>IF($L268="","",IF(COUNTIFS(OVR_TICKERS,$D268,OVR_BASE,"&gt;=0")=0,"",SUMIFS(OVR_BASE,OVR_TICKERS,$D268)))</f>
        <v/>
      </c>
      <c r="G268" s="133">
        <f>IF($L268="","",INDEX(HSCEI!$L$7:$L$66,($L268-INT($L268/1000)*1000)))</f>
        <v/>
      </c>
      <c r="H268" s="155">
        <f>IF($L268="","",IF($F268="","",IFERROR(($F268-$E268)*INDEX(HSCEI!$B$7:$B$66,($L268-INT($L268/1000)*1000))*INDEX(HSCEI!$G$7:$G$66,($L268-INT($L268/1000)*1000))/HSCEI!$B$3,"")))</f>
        <v/>
      </c>
      <c r="I268" s="46">
        <f>IF($L268="","",INDEX(HSCEI!$U$7:$U$66,($L268-INT($L268/1000)*1000)))</f>
        <v/>
      </c>
      <c r="K268" s="121">
        <f>IF(HSCEI!$C$51="","",IFERROR(MATCH(HSCEI!$E$51,Fundamentals!$B$216:$B$226,0),99)*1000+45)</f>
        <v/>
      </c>
      <c r="L268" s="121">
        <f>IFERROR(SMALL($K$224:$K$283,45),"")</f>
        <v/>
      </c>
    </row>
    <row r="269">
      <c r="B269" s="22">
        <f>IF($L269="","",INDEX(HSCEI!$E$7:$E$66,($L269-INT($L269/1000)*1000)))</f>
        <v/>
      </c>
      <c r="C269" s="22">
        <f>IF($L269="","",INDEX(HSCEI!$D$7:$D$66,($L269-INT($L269/1000)*1000)))</f>
        <v/>
      </c>
      <c r="D269" s="22">
        <f>IF($L269="","",INDEX(HSCEI!$C$7:$C$66,($L269-INT($L269/1000)*1000)))</f>
        <v/>
      </c>
      <c r="E269" s="133">
        <f>IF($L269="","",INDEX(HSCEI!$K$7:$K$66,($L269-INT($L269/1000)*1000)))</f>
        <v/>
      </c>
      <c r="F269" s="123">
        <f>IF($L269="","",IF(COUNTIFS(OVR_TICKERS,$D269,OVR_BASE,"&gt;=0")=0,"",SUMIFS(OVR_BASE,OVR_TICKERS,$D269)))</f>
        <v/>
      </c>
      <c r="G269" s="133">
        <f>IF($L269="","",INDEX(HSCEI!$L$7:$L$66,($L269-INT($L269/1000)*1000)))</f>
        <v/>
      </c>
      <c r="H269" s="155">
        <f>IF($L269="","",IF($F269="","",IFERROR(($F269-$E269)*INDEX(HSCEI!$B$7:$B$66,($L269-INT($L269/1000)*1000))*INDEX(HSCEI!$G$7:$G$66,($L269-INT($L269/1000)*1000))/HSCEI!$B$3,"")))</f>
        <v/>
      </c>
      <c r="I269" s="46">
        <f>IF($L269="","",INDEX(HSCEI!$U$7:$U$66,($L269-INT($L269/1000)*1000)))</f>
        <v/>
      </c>
      <c r="K269" s="121">
        <f>IF(HSCEI!$C$52="","",IFERROR(MATCH(HSCEI!$E$52,Fundamentals!$B$216:$B$226,0),99)*1000+46)</f>
        <v/>
      </c>
      <c r="L269" s="121">
        <f>IFERROR(SMALL($K$224:$K$283,46),"")</f>
        <v/>
      </c>
    </row>
    <row r="270">
      <c r="B270" s="22">
        <f>IF($L270="","",INDEX(HSCEI!$E$7:$E$66,($L270-INT($L270/1000)*1000)))</f>
        <v/>
      </c>
      <c r="C270" s="22">
        <f>IF($L270="","",INDEX(HSCEI!$D$7:$D$66,($L270-INT($L270/1000)*1000)))</f>
        <v/>
      </c>
      <c r="D270" s="22">
        <f>IF($L270="","",INDEX(HSCEI!$C$7:$C$66,($L270-INT($L270/1000)*1000)))</f>
        <v/>
      </c>
      <c r="E270" s="133">
        <f>IF($L270="","",INDEX(HSCEI!$K$7:$K$66,($L270-INT($L270/1000)*1000)))</f>
        <v/>
      </c>
      <c r="F270" s="123">
        <f>IF($L270="","",IF(COUNTIFS(OVR_TICKERS,$D270,OVR_BASE,"&gt;=0")=0,"",SUMIFS(OVR_BASE,OVR_TICKERS,$D270)))</f>
        <v/>
      </c>
      <c r="G270" s="133">
        <f>IF($L270="","",INDEX(HSCEI!$L$7:$L$66,($L270-INT($L270/1000)*1000)))</f>
        <v/>
      </c>
      <c r="H270" s="155">
        <f>IF($L270="","",IF($F270="","",IFERROR(($F270-$E270)*INDEX(HSCEI!$B$7:$B$66,($L270-INT($L270/1000)*1000))*INDEX(HSCEI!$G$7:$G$66,($L270-INT($L270/1000)*1000))/HSCEI!$B$3,"")))</f>
        <v/>
      </c>
      <c r="I270" s="46">
        <f>IF($L270="","",INDEX(HSCEI!$U$7:$U$66,($L270-INT($L270/1000)*1000)))</f>
        <v/>
      </c>
      <c r="K270" s="121">
        <f>IF(HSCEI!$C$53="","",IFERROR(MATCH(HSCEI!$E$53,Fundamentals!$B$216:$B$226,0),99)*1000+47)</f>
        <v/>
      </c>
      <c r="L270" s="121">
        <f>IFERROR(SMALL($K$224:$K$283,47),"")</f>
        <v/>
      </c>
    </row>
    <row r="271">
      <c r="B271" s="22">
        <f>IF($L271="","",INDEX(HSCEI!$E$7:$E$66,($L271-INT($L271/1000)*1000)))</f>
        <v/>
      </c>
      <c r="C271" s="22">
        <f>IF($L271="","",INDEX(HSCEI!$D$7:$D$66,($L271-INT($L271/1000)*1000)))</f>
        <v/>
      </c>
      <c r="D271" s="22">
        <f>IF($L271="","",INDEX(HSCEI!$C$7:$C$66,($L271-INT($L271/1000)*1000)))</f>
        <v/>
      </c>
      <c r="E271" s="133">
        <f>IF($L271="","",INDEX(HSCEI!$K$7:$K$66,($L271-INT($L271/1000)*1000)))</f>
        <v/>
      </c>
      <c r="F271" s="123">
        <f>IF($L271="","",IF(COUNTIFS(OVR_TICKERS,$D271,OVR_BASE,"&gt;=0")=0,"",SUMIFS(OVR_BASE,OVR_TICKERS,$D271)))</f>
        <v/>
      </c>
      <c r="G271" s="133">
        <f>IF($L271="","",INDEX(HSCEI!$L$7:$L$66,($L271-INT($L271/1000)*1000)))</f>
        <v/>
      </c>
      <c r="H271" s="155">
        <f>IF($L271="","",IF($F271="","",IFERROR(($F271-$E271)*INDEX(HSCEI!$B$7:$B$66,($L271-INT($L271/1000)*1000))*INDEX(HSCEI!$G$7:$G$66,($L271-INT($L271/1000)*1000))/HSCEI!$B$3,"")))</f>
        <v/>
      </c>
      <c r="I271" s="46">
        <f>IF($L271="","",INDEX(HSCEI!$U$7:$U$66,($L271-INT($L271/1000)*1000)))</f>
        <v/>
      </c>
      <c r="K271" s="121">
        <f>IF(HSCEI!$C$54="","",IFERROR(MATCH(HSCEI!$E$54,Fundamentals!$B$216:$B$226,0),99)*1000+48)</f>
        <v/>
      </c>
      <c r="L271" s="121">
        <f>IFERROR(SMALL($K$224:$K$283,48),"")</f>
        <v/>
      </c>
    </row>
    <row r="272">
      <c r="B272" s="22">
        <f>IF($L272="","",INDEX(HSCEI!$E$7:$E$66,($L272-INT($L272/1000)*1000)))</f>
        <v/>
      </c>
      <c r="C272" s="22">
        <f>IF($L272="","",INDEX(HSCEI!$D$7:$D$66,($L272-INT($L272/1000)*1000)))</f>
        <v/>
      </c>
      <c r="D272" s="22">
        <f>IF($L272="","",INDEX(HSCEI!$C$7:$C$66,($L272-INT($L272/1000)*1000)))</f>
        <v/>
      </c>
      <c r="E272" s="133">
        <f>IF($L272="","",INDEX(HSCEI!$K$7:$K$66,($L272-INT($L272/1000)*1000)))</f>
        <v/>
      </c>
      <c r="F272" s="123">
        <f>IF($L272="","",IF(COUNTIFS(OVR_TICKERS,$D272,OVR_BASE,"&gt;=0")=0,"",SUMIFS(OVR_BASE,OVR_TICKERS,$D272)))</f>
        <v/>
      </c>
      <c r="G272" s="133">
        <f>IF($L272="","",INDEX(HSCEI!$L$7:$L$66,($L272-INT($L272/1000)*1000)))</f>
        <v/>
      </c>
      <c r="H272" s="155">
        <f>IF($L272="","",IF($F272="","",IFERROR(($F272-$E272)*INDEX(HSCEI!$B$7:$B$66,($L272-INT($L272/1000)*1000))*INDEX(HSCEI!$G$7:$G$66,($L272-INT($L272/1000)*1000))/HSCEI!$B$3,"")))</f>
        <v/>
      </c>
      <c r="I272" s="46">
        <f>IF($L272="","",INDEX(HSCEI!$U$7:$U$66,($L272-INT($L272/1000)*1000)))</f>
        <v/>
      </c>
      <c r="K272" s="121">
        <f>IF(HSCEI!$C$55="","",IFERROR(MATCH(HSCEI!$E$55,Fundamentals!$B$216:$B$226,0),99)*1000+49)</f>
        <v/>
      </c>
      <c r="L272" s="121">
        <f>IFERROR(SMALL($K$224:$K$283,49),"")</f>
        <v/>
      </c>
    </row>
    <row r="273">
      <c r="B273" s="22">
        <f>IF($L273="","",INDEX(HSCEI!$E$7:$E$66,($L273-INT($L273/1000)*1000)))</f>
        <v/>
      </c>
      <c r="C273" s="22">
        <f>IF($L273="","",INDEX(HSCEI!$D$7:$D$66,($L273-INT($L273/1000)*1000)))</f>
        <v/>
      </c>
      <c r="D273" s="22">
        <f>IF($L273="","",INDEX(HSCEI!$C$7:$C$66,($L273-INT($L273/1000)*1000)))</f>
        <v/>
      </c>
      <c r="E273" s="133">
        <f>IF($L273="","",INDEX(HSCEI!$K$7:$K$66,($L273-INT($L273/1000)*1000)))</f>
        <v/>
      </c>
      <c r="F273" s="123">
        <f>IF($L273="","",IF(COUNTIFS(OVR_TICKERS,$D273,OVR_BASE,"&gt;=0")=0,"",SUMIFS(OVR_BASE,OVR_TICKERS,$D273)))</f>
        <v/>
      </c>
      <c r="G273" s="133">
        <f>IF($L273="","",INDEX(HSCEI!$L$7:$L$66,($L273-INT($L273/1000)*1000)))</f>
        <v/>
      </c>
      <c r="H273" s="155">
        <f>IF($L273="","",IF($F273="","",IFERROR(($F273-$E273)*INDEX(HSCEI!$B$7:$B$66,($L273-INT($L273/1000)*1000))*INDEX(HSCEI!$G$7:$G$66,($L273-INT($L273/1000)*1000))/HSCEI!$B$3,"")))</f>
        <v/>
      </c>
      <c r="I273" s="46">
        <f>IF($L273="","",INDEX(HSCEI!$U$7:$U$66,($L273-INT($L273/1000)*1000)))</f>
        <v/>
      </c>
      <c r="K273" s="121">
        <f>IF(HSCEI!$C$56="","",IFERROR(MATCH(HSCEI!$E$56,Fundamentals!$B$216:$B$226,0),99)*1000+50)</f>
        <v/>
      </c>
      <c r="L273" s="121">
        <f>IFERROR(SMALL($K$224:$K$283,50),"")</f>
        <v/>
      </c>
    </row>
    <row r="274">
      <c r="B274" s="22">
        <f>IF($L274="","",INDEX(HSCEI!$E$7:$E$66,($L274-INT($L274/1000)*1000)))</f>
        <v/>
      </c>
      <c r="C274" s="22">
        <f>IF($L274="","",INDEX(HSCEI!$D$7:$D$66,($L274-INT($L274/1000)*1000)))</f>
        <v/>
      </c>
      <c r="D274" s="22">
        <f>IF($L274="","",INDEX(HSCEI!$C$7:$C$66,($L274-INT($L274/1000)*1000)))</f>
        <v/>
      </c>
      <c r="E274" s="133">
        <f>IF($L274="","",INDEX(HSCEI!$K$7:$K$66,($L274-INT($L274/1000)*1000)))</f>
        <v/>
      </c>
      <c r="F274" s="123">
        <f>IF($L274="","",IF(COUNTIFS(OVR_TICKERS,$D274,OVR_BASE,"&gt;=0")=0,"",SUMIFS(OVR_BASE,OVR_TICKERS,$D274)))</f>
        <v/>
      </c>
      <c r="G274" s="133">
        <f>IF($L274="","",INDEX(HSCEI!$L$7:$L$66,($L274-INT($L274/1000)*1000)))</f>
        <v/>
      </c>
      <c r="H274" s="155">
        <f>IF($L274="","",IF($F274="","",IFERROR(($F274-$E274)*INDEX(HSCEI!$B$7:$B$66,($L274-INT($L274/1000)*1000))*INDEX(HSCEI!$G$7:$G$66,($L274-INT($L274/1000)*1000))/HSCEI!$B$3,"")))</f>
        <v/>
      </c>
      <c r="I274" s="46">
        <f>IF($L274="","",INDEX(HSCEI!$U$7:$U$66,($L274-INT($L274/1000)*1000)))</f>
        <v/>
      </c>
      <c r="K274" s="121">
        <f>IF(HSCEI!$C$57="","",IFERROR(MATCH(HSCEI!$E$57,Fundamentals!$B$216:$B$226,0),99)*1000+51)</f>
        <v/>
      </c>
      <c r="L274" s="121">
        <f>IFERROR(SMALL($K$224:$K$283,51),"")</f>
        <v/>
      </c>
    </row>
    <row r="275">
      <c r="B275" s="22">
        <f>IF($L275="","",INDEX(HSCEI!$E$7:$E$66,($L275-INT($L275/1000)*1000)))</f>
        <v/>
      </c>
      <c r="C275" s="22">
        <f>IF($L275="","",INDEX(HSCEI!$D$7:$D$66,($L275-INT($L275/1000)*1000)))</f>
        <v/>
      </c>
      <c r="D275" s="22">
        <f>IF($L275="","",INDEX(HSCEI!$C$7:$C$66,($L275-INT($L275/1000)*1000)))</f>
        <v/>
      </c>
      <c r="E275" s="133">
        <f>IF($L275="","",INDEX(HSCEI!$K$7:$K$66,($L275-INT($L275/1000)*1000)))</f>
        <v/>
      </c>
      <c r="F275" s="123">
        <f>IF($L275="","",IF(COUNTIFS(OVR_TICKERS,$D275,OVR_BASE,"&gt;=0")=0,"",SUMIFS(OVR_BASE,OVR_TICKERS,$D275)))</f>
        <v/>
      </c>
      <c r="G275" s="133">
        <f>IF($L275="","",INDEX(HSCEI!$L$7:$L$66,($L275-INT($L275/1000)*1000)))</f>
        <v/>
      </c>
      <c r="H275" s="155">
        <f>IF($L275="","",IF($F275="","",IFERROR(($F275-$E275)*INDEX(HSCEI!$B$7:$B$66,($L275-INT($L275/1000)*1000))*INDEX(HSCEI!$G$7:$G$66,($L275-INT($L275/1000)*1000))/HSCEI!$B$3,"")))</f>
        <v/>
      </c>
      <c r="I275" s="46">
        <f>IF($L275="","",INDEX(HSCEI!$U$7:$U$66,($L275-INT($L275/1000)*1000)))</f>
        <v/>
      </c>
      <c r="K275" s="121">
        <f>IF(HSCEI!$C$58="","",IFERROR(MATCH(HSCEI!$E$58,Fundamentals!$B$216:$B$226,0),99)*1000+52)</f>
        <v/>
      </c>
      <c r="L275" s="121">
        <f>IFERROR(SMALL($K$224:$K$283,52),"")</f>
        <v/>
      </c>
    </row>
    <row r="276">
      <c r="B276" s="22">
        <f>IF($L276="","",INDEX(HSCEI!$E$7:$E$66,($L276-INT($L276/1000)*1000)))</f>
        <v/>
      </c>
      <c r="C276" s="22">
        <f>IF($L276="","",INDEX(HSCEI!$D$7:$D$66,($L276-INT($L276/1000)*1000)))</f>
        <v/>
      </c>
      <c r="D276" s="22">
        <f>IF($L276="","",INDEX(HSCEI!$C$7:$C$66,($L276-INT($L276/1000)*1000)))</f>
        <v/>
      </c>
      <c r="E276" s="133">
        <f>IF($L276="","",INDEX(HSCEI!$K$7:$K$66,($L276-INT($L276/1000)*1000)))</f>
        <v/>
      </c>
      <c r="F276" s="123">
        <f>IF($L276="","",IF(COUNTIFS(OVR_TICKERS,$D276,OVR_BASE,"&gt;=0")=0,"",SUMIFS(OVR_BASE,OVR_TICKERS,$D276)))</f>
        <v/>
      </c>
      <c r="G276" s="133">
        <f>IF($L276="","",INDEX(HSCEI!$L$7:$L$66,($L276-INT($L276/1000)*1000)))</f>
        <v/>
      </c>
      <c r="H276" s="155">
        <f>IF($L276="","",IF($F276="","",IFERROR(($F276-$E276)*INDEX(HSCEI!$B$7:$B$66,($L276-INT($L276/1000)*1000))*INDEX(HSCEI!$G$7:$G$66,($L276-INT($L276/1000)*1000))/HSCEI!$B$3,"")))</f>
        <v/>
      </c>
      <c r="I276" s="46">
        <f>IF($L276="","",INDEX(HSCEI!$U$7:$U$66,($L276-INT($L276/1000)*1000)))</f>
        <v/>
      </c>
      <c r="K276" s="121">
        <f>IF(HSCEI!$C$59="","",IFERROR(MATCH(HSCEI!$E$59,Fundamentals!$B$216:$B$226,0),99)*1000+53)</f>
        <v/>
      </c>
      <c r="L276" s="121">
        <f>IFERROR(SMALL($K$224:$K$283,53),"")</f>
        <v/>
      </c>
    </row>
    <row r="277">
      <c r="B277" s="22">
        <f>IF($L277="","",INDEX(HSCEI!$E$7:$E$66,($L277-INT($L277/1000)*1000)))</f>
        <v/>
      </c>
      <c r="C277" s="22">
        <f>IF($L277="","",INDEX(HSCEI!$D$7:$D$66,($L277-INT($L277/1000)*1000)))</f>
        <v/>
      </c>
      <c r="D277" s="22">
        <f>IF($L277="","",INDEX(HSCEI!$C$7:$C$66,($L277-INT($L277/1000)*1000)))</f>
        <v/>
      </c>
      <c r="E277" s="133">
        <f>IF($L277="","",INDEX(HSCEI!$K$7:$K$66,($L277-INT($L277/1000)*1000)))</f>
        <v/>
      </c>
      <c r="F277" s="123">
        <f>IF($L277="","",IF(COUNTIFS(OVR_TICKERS,$D277,OVR_BASE,"&gt;=0")=0,"",SUMIFS(OVR_BASE,OVR_TICKERS,$D277)))</f>
        <v/>
      </c>
      <c r="G277" s="133">
        <f>IF($L277="","",INDEX(HSCEI!$L$7:$L$66,($L277-INT($L277/1000)*1000)))</f>
        <v/>
      </c>
      <c r="H277" s="155">
        <f>IF($L277="","",IF($F277="","",IFERROR(($F277-$E277)*INDEX(HSCEI!$B$7:$B$66,($L277-INT($L277/1000)*1000))*INDEX(HSCEI!$G$7:$G$66,($L277-INT($L277/1000)*1000))/HSCEI!$B$3,"")))</f>
        <v/>
      </c>
      <c r="I277" s="46">
        <f>IF($L277="","",INDEX(HSCEI!$U$7:$U$66,($L277-INT($L277/1000)*1000)))</f>
        <v/>
      </c>
      <c r="K277" s="121">
        <f>IF(HSCEI!$C$60="","",IFERROR(MATCH(HSCEI!$E$60,Fundamentals!$B$216:$B$226,0),99)*1000+54)</f>
        <v/>
      </c>
      <c r="L277" s="121">
        <f>IFERROR(SMALL($K$224:$K$283,54),"")</f>
        <v/>
      </c>
    </row>
    <row r="278">
      <c r="B278" s="22">
        <f>IF($L278="","",INDEX(HSCEI!$E$7:$E$66,($L278-INT($L278/1000)*1000)))</f>
        <v/>
      </c>
      <c r="C278" s="22">
        <f>IF($L278="","",INDEX(HSCEI!$D$7:$D$66,($L278-INT($L278/1000)*1000)))</f>
        <v/>
      </c>
      <c r="D278" s="22">
        <f>IF($L278="","",INDEX(HSCEI!$C$7:$C$66,($L278-INT($L278/1000)*1000)))</f>
        <v/>
      </c>
      <c r="E278" s="133">
        <f>IF($L278="","",INDEX(HSCEI!$K$7:$K$66,($L278-INT($L278/1000)*1000)))</f>
        <v/>
      </c>
      <c r="F278" s="123">
        <f>IF($L278="","",IF(COUNTIFS(OVR_TICKERS,$D278,OVR_BASE,"&gt;=0")=0,"",SUMIFS(OVR_BASE,OVR_TICKERS,$D278)))</f>
        <v/>
      </c>
      <c r="G278" s="133">
        <f>IF($L278="","",INDEX(HSCEI!$L$7:$L$66,($L278-INT($L278/1000)*1000)))</f>
        <v/>
      </c>
      <c r="H278" s="155">
        <f>IF($L278="","",IF($F278="","",IFERROR(($F278-$E278)*INDEX(HSCEI!$B$7:$B$66,($L278-INT($L278/1000)*1000))*INDEX(HSCEI!$G$7:$G$66,($L278-INT($L278/1000)*1000))/HSCEI!$B$3,"")))</f>
        <v/>
      </c>
      <c r="I278" s="46">
        <f>IF($L278="","",INDEX(HSCEI!$U$7:$U$66,($L278-INT($L278/1000)*1000)))</f>
        <v/>
      </c>
      <c r="K278" s="121">
        <f>IF(HSCEI!$C$61="","",IFERROR(MATCH(HSCEI!$E$61,Fundamentals!$B$216:$B$226,0),99)*1000+55)</f>
        <v/>
      </c>
      <c r="L278" s="121">
        <f>IFERROR(SMALL($K$224:$K$283,55),"")</f>
        <v/>
      </c>
    </row>
    <row r="279">
      <c r="B279" s="22">
        <f>IF($L279="","",INDEX(HSCEI!$E$7:$E$66,($L279-INT($L279/1000)*1000)))</f>
        <v/>
      </c>
      <c r="C279" s="22">
        <f>IF($L279="","",INDEX(HSCEI!$D$7:$D$66,($L279-INT($L279/1000)*1000)))</f>
        <v/>
      </c>
      <c r="D279" s="22">
        <f>IF($L279="","",INDEX(HSCEI!$C$7:$C$66,($L279-INT($L279/1000)*1000)))</f>
        <v/>
      </c>
      <c r="E279" s="133">
        <f>IF($L279="","",INDEX(HSCEI!$K$7:$K$66,($L279-INT($L279/1000)*1000)))</f>
        <v/>
      </c>
      <c r="F279" s="123">
        <f>IF($L279="","",IF(COUNTIFS(OVR_TICKERS,$D279,OVR_BASE,"&gt;=0")=0,"",SUMIFS(OVR_BASE,OVR_TICKERS,$D279)))</f>
        <v/>
      </c>
      <c r="G279" s="133">
        <f>IF($L279="","",INDEX(HSCEI!$L$7:$L$66,($L279-INT($L279/1000)*1000)))</f>
        <v/>
      </c>
      <c r="H279" s="155">
        <f>IF($L279="","",IF($F279="","",IFERROR(($F279-$E279)*INDEX(HSCEI!$B$7:$B$66,($L279-INT($L279/1000)*1000))*INDEX(HSCEI!$G$7:$G$66,($L279-INT($L279/1000)*1000))/HSCEI!$B$3,"")))</f>
        <v/>
      </c>
      <c r="I279" s="46">
        <f>IF($L279="","",INDEX(HSCEI!$U$7:$U$66,($L279-INT($L279/1000)*1000)))</f>
        <v/>
      </c>
      <c r="K279" s="121">
        <f>IF(HSCEI!$C$62="","",IFERROR(MATCH(HSCEI!$E$62,Fundamentals!$B$216:$B$226,0),99)*1000+56)</f>
        <v/>
      </c>
      <c r="L279" s="121">
        <f>IFERROR(SMALL($K$224:$K$283,56),"")</f>
        <v/>
      </c>
    </row>
    <row r="280">
      <c r="B280" s="22">
        <f>IF($L280="","",INDEX(HSCEI!$E$7:$E$66,($L280-INT($L280/1000)*1000)))</f>
        <v/>
      </c>
      <c r="C280" s="22">
        <f>IF($L280="","",INDEX(HSCEI!$D$7:$D$66,($L280-INT($L280/1000)*1000)))</f>
        <v/>
      </c>
      <c r="D280" s="22">
        <f>IF($L280="","",INDEX(HSCEI!$C$7:$C$66,($L280-INT($L280/1000)*1000)))</f>
        <v/>
      </c>
      <c r="E280" s="133">
        <f>IF($L280="","",INDEX(HSCEI!$K$7:$K$66,($L280-INT($L280/1000)*1000)))</f>
        <v/>
      </c>
      <c r="F280" s="123">
        <f>IF($L280="","",IF(COUNTIFS(OVR_TICKERS,$D280,OVR_BASE,"&gt;=0")=0,"",SUMIFS(OVR_BASE,OVR_TICKERS,$D280)))</f>
        <v/>
      </c>
      <c r="G280" s="133">
        <f>IF($L280="","",INDEX(HSCEI!$L$7:$L$66,($L280-INT($L280/1000)*1000)))</f>
        <v/>
      </c>
      <c r="H280" s="155">
        <f>IF($L280="","",IF($F280="","",IFERROR(($F280-$E280)*INDEX(HSCEI!$B$7:$B$66,($L280-INT($L280/1000)*1000))*INDEX(HSCEI!$G$7:$G$66,($L280-INT($L280/1000)*1000))/HSCEI!$B$3,"")))</f>
        <v/>
      </c>
      <c r="I280" s="46">
        <f>IF($L280="","",INDEX(HSCEI!$U$7:$U$66,($L280-INT($L280/1000)*1000)))</f>
        <v/>
      </c>
      <c r="K280" s="121">
        <f>IF(HSCEI!$C$63="","",IFERROR(MATCH(HSCEI!$E$63,Fundamentals!$B$216:$B$226,0),99)*1000+57)</f>
        <v/>
      </c>
      <c r="L280" s="121">
        <f>IFERROR(SMALL($K$224:$K$283,57),"")</f>
        <v/>
      </c>
    </row>
    <row r="281">
      <c r="B281" s="22">
        <f>IF($L281="","",INDEX(HSCEI!$E$7:$E$66,($L281-INT($L281/1000)*1000)))</f>
        <v/>
      </c>
      <c r="C281" s="22">
        <f>IF($L281="","",INDEX(HSCEI!$D$7:$D$66,($L281-INT($L281/1000)*1000)))</f>
        <v/>
      </c>
      <c r="D281" s="22">
        <f>IF($L281="","",INDEX(HSCEI!$C$7:$C$66,($L281-INT($L281/1000)*1000)))</f>
        <v/>
      </c>
      <c r="E281" s="133">
        <f>IF($L281="","",INDEX(HSCEI!$K$7:$K$66,($L281-INT($L281/1000)*1000)))</f>
        <v/>
      </c>
      <c r="F281" s="123">
        <f>IF($L281="","",IF(COUNTIFS(OVR_TICKERS,$D281,OVR_BASE,"&gt;=0")=0,"",SUMIFS(OVR_BASE,OVR_TICKERS,$D281)))</f>
        <v/>
      </c>
      <c r="G281" s="133">
        <f>IF($L281="","",INDEX(HSCEI!$L$7:$L$66,($L281-INT($L281/1000)*1000)))</f>
        <v/>
      </c>
      <c r="H281" s="155">
        <f>IF($L281="","",IF($F281="","",IFERROR(($F281-$E281)*INDEX(HSCEI!$B$7:$B$66,($L281-INT($L281/1000)*1000))*INDEX(HSCEI!$G$7:$G$66,($L281-INT($L281/1000)*1000))/HSCEI!$B$3,"")))</f>
        <v/>
      </c>
      <c r="I281" s="46">
        <f>IF($L281="","",INDEX(HSCEI!$U$7:$U$66,($L281-INT($L281/1000)*1000)))</f>
        <v/>
      </c>
      <c r="K281" s="121">
        <f>IF(HSCEI!$C$64="","",IFERROR(MATCH(HSCEI!$E$64,Fundamentals!$B$216:$B$226,0),99)*1000+58)</f>
        <v/>
      </c>
      <c r="L281" s="121">
        <f>IFERROR(SMALL($K$224:$K$283,58),"")</f>
        <v/>
      </c>
    </row>
    <row r="282">
      <c r="B282" s="22">
        <f>IF($L282="","",INDEX(HSCEI!$E$7:$E$66,($L282-INT($L282/1000)*1000)))</f>
        <v/>
      </c>
      <c r="C282" s="22">
        <f>IF($L282="","",INDEX(HSCEI!$D$7:$D$66,($L282-INT($L282/1000)*1000)))</f>
        <v/>
      </c>
      <c r="D282" s="22">
        <f>IF($L282="","",INDEX(HSCEI!$C$7:$C$66,($L282-INT($L282/1000)*1000)))</f>
        <v/>
      </c>
      <c r="E282" s="133">
        <f>IF($L282="","",INDEX(HSCEI!$K$7:$K$66,($L282-INT($L282/1000)*1000)))</f>
        <v/>
      </c>
      <c r="F282" s="123">
        <f>IF($L282="","",IF(COUNTIFS(OVR_TICKERS,$D282,OVR_BASE,"&gt;=0")=0,"",SUMIFS(OVR_BASE,OVR_TICKERS,$D282)))</f>
        <v/>
      </c>
      <c r="G282" s="133">
        <f>IF($L282="","",INDEX(HSCEI!$L$7:$L$66,($L282-INT($L282/1000)*1000)))</f>
        <v/>
      </c>
      <c r="H282" s="155">
        <f>IF($L282="","",IF($F282="","",IFERROR(($F282-$E282)*INDEX(HSCEI!$B$7:$B$66,($L282-INT($L282/1000)*1000))*INDEX(HSCEI!$G$7:$G$66,($L282-INT($L282/1000)*1000))/HSCEI!$B$3,"")))</f>
        <v/>
      </c>
      <c r="I282" s="46">
        <f>IF($L282="","",INDEX(HSCEI!$U$7:$U$66,($L282-INT($L282/1000)*1000)))</f>
        <v/>
      </c>
      <c r="K282" s="121">
        <f>IF(HSCEI!$C$65="","",IFERROR(MATCH(HSCEI!$E$65,Fundamentals!$B$216:$B$226,0),99)*1000+59)</f>
        <v/>
      </c>
      <c r="L282" s="121">
        <f>IFERROR(SMALL($K$224:$K$283,59),"")</f>
        <v/>
      </c>
    </row>
    <row r="283">
      <c r="B283" s="22">
        <f>IF($L283="","",INDEX(HSCEI!$E$7:$E$66,($L283-INT($L283/1000)*1000)))</f>
        <v/>
      </c>
      <c r="C283" s="22">
        <f>IF($L283="","",INDEX(HSCEI!$D$7:$D$66,($L283-INT($L283/1000)*1000)))</f>
        <v/>
      </c>
      <c r="D283" s="22">
        <f>IF($L283="","",INDEX(HSCEI!$C$7:$C$66,($L283-INT($L283/1000)*1000)))</f>
        <v/>
      </c>
      <c r="E283" s="133">
        <f>IF($L283="","",INDEX(HSCEI!$K$7:$K$66,($L283-INT($L283/1000)*1000)))</f>
        <v/>
      </c>
      <c r="F283" s="123">
        <f>IF($L283="","",IF(COUNTIFS(OVR_TICKERS,$D283,OVR_BASE,"&gt;=0")=0,"",SUMIFS(OVR_BASE,OVR_TICKERS,$D283)))</f>
        <v/>
      </c>
      <c r="G283" s="133">
        <f>IF($L283="","",INDEX(HSCEI!$L$7:$L$66,($L283-INT($L283/1000)*1000)))</f>
        <v/>
      </c>
      <c r="H283" s="155">
        <f>IF($L283="","",IF($F283="","",IFERROR(($F283-$E283)*INDEX(HSCEI!$B$7:$B$66,($L283-INT($L283/1000)*1000))*INDEX(HSCEI!$G$7:$G$66,($L283-INT($L283/1000)*1000))/HSCEI!$B$3,"")))</f>
        <v/>
      </c>
      <c r="I283" s="46">
        <f>IF($L283="","",INDEX(HSCEI!$U$7:$U$66,($L283-INT($L283/1000)*1000)))</f>
        <v/>
      </c>
      <c r="K283" s="121">
        <f>IF(HSCEI!$C$66="","",IFERROR(MATCH(HSCEI!$E$66,Fundamentals!$B$216:$B$226,0),99)*1000+60)</f>
        <v/>
      </c>
      <c r="L283" s="121">
        <f>IFERROR(SMALL($K$224:$K$283,60),"")</f>
        <v/>
      </c>
    </row>
  </sheetData>
  <conditionalFormatting sqref="D12:F71">
    <cfRule type="expression" priority="1" dxfId="0">
      <formula>AND($C$4="ON",ISNUMBER($D12))</formula>
    </cfRule>
  </conditionalFormatting>
  <conditionalFormatting sqref="B76:I175">
    <cfRule type="expression" priority="2" dxfId="1">
      <formula>AND($B76&lt;&gt;"",$B76&lt;&gt;$B75)</formula>
    </cfRule>
  </conditionalFormatting>
  <conditionalFormatting sqref="F76:F175">
    <cfRule type="expression" priority="3" dxfId="0">
      <formula>AND($C$4="ON",ISNUMBER($F76))</formula>
    </cfRule>
  </conditionalFormatting>
  <conditionalFormatting sqref="B180:I219">
    <cfRule type="expression" priority="4" dxfId="1">
      <formula>AND($B180&lt;&gt;"",$B180&lt;&gt;$B179)</formula>
    </cfRule>
  </conditionalFormatting>
  <conditionalFormatting sqref="F180:F219">
    <cfRule type="expression" priority="5" dxfId="0">
      <formula>AND($C$4="ON",ISNUMBER($F180))</formula>
    </cfRule>
  </conditionalFormatting>
  <conditionalFormatting sqref="B224:I283">
    <cfRule type="expression" priority="6" dxfId="1">
      <formula>AND($B224&lt;&gt;"",$B224&lt;&gt;$B223)</formula>
    </cfRule>
  </conditionalFormatting>
  <conditionalFormatting sqref="F224:F283">
    <cfRule type="expression" priority="7" dxfId="0">
      <formula>AND($C$4="ON",ISNUMBER($F224))</formula>
    </cfRule>
  </conditionalFormatting>
  <dataValidations count="2">
    <dataValidation sqref="C4" showDropDown="0" showInputMessage="0" showErrorMessage="0" allowBlank="0" type="list">
      <formula1>"ON,OFF"</formula1>
    </dataValidation>
    <dataValidation sqref="D12:F71"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tabColor rgb="008EAADB"/>
    <outlinePr summaryBelow="1" summaryRight="1"/>
    <pageSetUpPr/>
  </sheetPr>
  <dimension ref="A1:Z110"/>
  <sheetViews>
    <sheetView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 width="10" customWidth="1" min="24" max="24"/>
    <col width="10" customWidth="1" min="25" max="25"/>
    <col width="9" customWidth="1" min="26" max="26"/>
  </cols>
  <sheetData>
    <row r="1">
      <c r="A1" s="1" t="inlineStr">
        <is>
          <t>Hang Seng Index (HSI)  -  MEMBERS, YOUR BASKET, AND THE YEAR MODEL</t>
        </is>
      </c>
    </row>
    <row r="2">
      <c r="A2" s="3" t="inlineStr">
        <is>
          <t>Index ticker</t>
        </is>
      </c>
      <c r="B2" s="4" t="inlineStr">
        <is>
          <t>HSI Index</t>
        </is>
      </c>
      <c r="G2" s="2" t="inlineStr">
        <is>
          <t>Members</t>
        </is>
      </c>
      <c r="H2" s="40">
        <f>SUMPRODUCT(($A$7:$A$106&lt;&gt;"")*1)</f>
        <v/>
      </c>
      <c r="K2" s="2" t="inlineStr">
        <is>
          <t>Qty pasted</t>
        </is>
      </c>
      <c r="L2" s="40">
        <f>COUNT($B$7:$B$106)</f>
        <v/>
      </c>
      <c r="O2" s="2" t="inlineStr">
        <is>
          <t>No qty</t>
        </is>
      </c>
      <c r="P2" s="40">
        <f>SUMPRODUCT(($A$7:$A$106&lt;&gt;"")*($B$7:$B$106=""))</f>
        <v/>
      </c>
      <c r="S2" s="2" t="inlineStr">
        <is>
          <t>Amount TBA</t>
        </is>
      </c>
      <c r="T2" s="40">
        <f>COUNTIF($U$7:$U$106,"TBA amount - override me")</f>
        <v/>
      </c>
    </row>
    <row r="3">
      <c r="A3" s="3" t="inlineStr">
        <is>
          <t>Index divisor</t>
        </is>
      </c>
      <c r="B3" s="29" t="n"/>
      <c r="C3" s="2" t="inlineStr">
        <is>
          <t>Paste the official divisor here and the basket quantities in column B, in CONSISTENT units - the SCALE FACTOR row on Summary flags a mismatch instantly. A refresh can reshuffle members; pasted quantities do NOT follow them.</t>
        </is>
      </c>
    </row>
    <row r="4">
      <c r="A4" s="6" t="inlineStr">
        <is>
          <t>MEMBER &amp; REFERENCE DATA (Bloomberg)</t>
        </is>
      </c>
      <c r="B4" s="7" t="n"/>
      <c r="C4" s="7" t="n"/>
      <c r="D4" s="7" t="n"/>
      <c r="E4" s="7" t="n"/>
      <c r="F4" s="7" t="n"/>
      <c r="G4" s="7" t="n"/>
      <c r="H4" s="7" t="n"/>
      <c r="I4" s="7" t="n"/>
      <c r="J4" s="57" t="inlineStr">
        <is>
          <t>DIVIDEND PER SHARE - declared currency</t>
        </is>
      </c>
      <c r="K4" s="58" t="n"/>
      <c r="L4" s="58" t="n"/>
      <c r="M4" s="58" t="n"/>
      <c r="N4" s="58" t="n"/>
      <c r="O4" s="57" t="inlineStr">
        <is>
          <t>INDEX POINTS</t>
        </is>
      </c>
      <c r="P4" s="58" t="n"/>
      <c r="Q4" s="58" t="n"/>
      <c r="R4" s="58" t="n"/>
      <c r="S4" s="58" t="n"/>
      <c r="T4" s="58" t="n"/>
      <c r="U4" s="6" t="inlineStr">
        <is>
          <t>FLAG / REFERENCE</t>
        </is>
      </c>
      <c r="V4" s="7" t="n"/>
      <c r="W4" s="7" t="n"/>
      <c r="X4" s="59" t="inlineStr">
        <is>
          <t>UNITS CHECK (price x qty must rebuild the index)</t>
        </is>
      </c>
      <c r="Y4" s="60" t="n"/>
      <c r="Z4" s="60" t="n"/>
    </row>
    <row r="5">
      <c r="N5" s="3" t="inlineStr">
        <is>
          <t>TOTAL -&gt;</t>
        </is>
      </c>
      <c r="O5" s="30">
        <f>IFERROR(SUM(O7:O106),"")</f>
        <v/>
      </c>
      <c r="P5" s="30">
        <f>IFERROR(SUM(P7:P106),"")</f>
        <v/>
      </c>
      <c r="Q5" s="49">
        <f>IFERROR(SUM(Q7:Q106),"")</f>
        <v/>
      </c>
      <c r="R5" s="30">
        <f>IFERROR(SUM(R7:R106),"")</f>
        <v/>
      </c>
      <c r="S5" s="30">
        <f>IFERROR(SUM(S7:S106),"")</f>
        <v/>
      </c>
      <c r="V5" s="30">
        <f>IFERROR(SUM(V7:V106),"")</f>
        <v/>
      </c>
      <c r="W5" s="30">
        <f>IFERROR(SUM(W7:W106),"")</f>
        <v/>
      </c>
      <c r="Y5" s="49">
        <f>IFERROR(SUM(Y7:Y106),"")</f>
        <v/>
      </c>
      <c r="Z5" s="156">
        <f>IFERROR(SUM(Z7:Z106),"")</f>
        <v/>
      </c>
    </row>
    <row r="6">
      <c r="A6" s="23" t="inlineStr">
        <is>
          <t>Member</t>
        </is>
      </c>
      <c r="B6" s="23" t="inlineStr">
        <is>
          <t>Basket
Qty</t>
        </is>
      </c>
      <c r="C6" s="23" t="inlineStr">
        <is>
          <t>Bloomberg Ticker</t>
        </is>
      </c>
      <c r="D6" s="23" t="inlineStr">
        <is>
          <t>Name</t>
        </is>
      </c>
      <c r="E6" s="23" t="inlineStr">
        <is>
          <t>GICS Sector</t>
        </is>
      </c>
      <c r="F6" s="23" t="inlineStr">
        <is>
          <t>Dvd
CCY</t>
        </is>
      </c>
      <c r="G6" s="23" t="inlineStr">
        <is>
          <t>FX -&gt;
HKD</t>
        </is>
      </c>
      <c r="H6" s="23" t="inlineStr">
        <is>
          <t>DPS 12M
(ref)</t>
        </is>
      </c>
      <c r="I6" s="23" t="inlineStr">
        <is>
          <t>Yld 12M
(ref)</t>
        </is>
      </c>
      <c r="J6" s="23" t="inlineStr">
        <is>
          <t>Realized
DPS</t>
        </is>
      </c>
      <c r="K6" s="23" t="inlineStr">
        <is>
          <t>To come
DPS (BBG)</t>
        </is>
      </c>
      <c r="L6" s="23" t="inlineStr">
        <is>
          <t>To come
DPS (eff)</t>
        </is>
      </c>
      <c r="M6" s="23" t="inlineStr">
        <is>
          <t>LOW
DPS</t>
        </is>
      </c>
      <c r="N6" s="23" t="inlineStr">
        <is>
          <t>HIGH
DPS</t>
        </is>
      </c>
      <c r="O6" s="62" t="inlineStr">
        <is>
          <t>Realized
(pts)</t>
        </is>
      </c>
      <c r="P6" s="62" t="inlineStr">
        <is>
          <t>To come
(pts)</t>
        </is>
      </c>
      <c r="Q6" s="62" t="inlineStr">
        <is>
          <t>YEAR
TOTAL (pts)</t>
        </is>
      </c>
      <c r="R6" s="62" t="inlineStr">
        <is>
          <t>LOW
(pts)</t>
        </is>
      </c>
      <c r="S6" s="62" t="inlineStr">
        <is>
          <t>HIGH
(pts)</t>
        </is>
      </c>
      <c r="T6" s="62" t="inlineStr">
        <is>
          <t>% of yr
dvds</t>
        </is>
      </c>
      <c r="U6" s="23" t="inlineStr">
        <is>
          <t>Flag</t>
        </is>
      </c>
      <c r="V6" s="23" t="inlineStr">
        <is>
          <t>12M pts
(ref)</t>
        </is>
      </c>
      <c r="W6" s="23" t="inlineStr">
        <is>
          <t>To come
pts (BBG)</t>
        </is>
      </c>
      <c r="X6" s="65" t="inlineStr">
        <is>
          <t>Price
(PX_LAST)</t>
        </is>
      </c>
      <c r="Y6" s="65" t="inlineStr">
        <is>
          <t>Value
(index pts)</t>
        </is>
      </c>
      <c r="Z6" s="65" t="inlineStr">
        <is>
          <t>Index
weight</t>
        </is>
      </c>
    </row>
    <row r="7">
      <c r="A7" s="8">
        <f>BDS($B$2,"INDX_MEMBERS")</f>
        <v/>
      </c>
      <c r="B7" s="97" t="n"/>
      <c r="C7" s="8">
        <f>IF($A7="","",$A7&amp;" Equity")</f>
        <v/>
      </c>
      <c r="D7" s="8">
        <f>IF($C7="","",BDP($C7,"NAME"))</f>
        <v/>
      </c>
      <c r="E7" s="8">
        <f>IF($C7="","",BDP($C7,"GICS_SECTOR_NAME"))</f>
        <v/>
      </c>
      <c r="F7" s="37">
        <f>IF($C7="","",BDP($C7,FLD_CCY))</f>
        <v/>
      </c>
      <c r="G7" s="111">
        <f>IFERROR(IF(LEN($F7)&lt;&gt;3,1,IF($F7="HKD",1,BDP(IF($F7="CNY",RMB_CROSS,$F7)&amp;"HKD Curncy","PX_LAST"))),1)</f>
        <v/>
      </c>
      <c r="H7" s="133">
        <f>IF($C7="","",BDP($C7,FLD_DPS12M))</f>
        <v/>
      </c>
      <c r="I7" s="126">
        <f>IF($C7="","",BDP($C7,FLD_YLD12M))</f>
        <v/>
      </c>
      <c r="J7" s="128">
        <f>IF($B7="",0,SUMPRODUCT(('Dvd Calendar'!$E$11:$AR$11&gt;=WIN_FROM)*('Dvd Calendar'!$E$11:$AR$11&lt;=REALIZED_TO)*'Dvd Calendar'!$E$14:$AR$14*(('Dvd Calendar'!$E$16:$AR$16=TYPE1)*(TYPE1&lt;&gt;"")+('Dvd Calendar'!$E$16:$AR$16=TYPE2)*(TYPE2&lt;&gt;"")+('Dvd Calendar'!$E$16:$AR$16=TYPE3)*(TYPE3&lt;&gt;"")+('Dvd Calendar'!$E$16:$AR$16=TYPE4)*(TYPE4&lt;&gt;"")+('Dvd Calendar'!$E$16:$AR$16=SPECIAL_LBL)*(INC_SPECIALS="Y"))))</f>
        <v/>
      </c>
      <c r="K7" s="128">
        <f>IF($B7="",0,SUMIFS('Dvd Calendar'!$E$19:$AR$19,'Dvd Calendar'!$E$18:$AR$18,"&gt;"&amp;PROJ_FROM,'Dvd Calendar'!$E$18:$AR$18,"&lt;="&amp;WIN_TO)+SUMPRODUCT(('Dvd Calendar'!$E$11:$AR$11&gt;PROJ_FROM)*('Dvd Calendar'!$E$11:$AR$11&lt;=WIN_TO)*'Dvd Calendar'!$E$14:$AR$14*(('Dvd Calendar'!$E$16:$AR$16=TYPE1)*(TYPE1&lt;&gt;"")+('Dvd Calendar'!$E$16:$AR$16=TYPE2)*(TYPE2&lt;&gt;"")+('Dvd Calendar'!$E$16:$AR$16=TYPE3)*(TYPE3&lt;&gt;"")+('Dvd Calendar'!$E$16:$AR$16=TYPE4)*(TYPE4&lt;&gt;"")+('Dvd Calendar'!$E$16:$AR$16=SPECIAL_LBL)*(INC_SPECIALS="Y"))*(COUNTIF('Dvd Calendar'!$E$18:$AR$18,'Dvd Calendar'!$E$11:$AR$11)=0)))</f>
        <v/>
      </c>
      <c r="L7" s="128">
        <f>IF($B7="",0,IF((OV_SWITCH="ON")*(COUNTIFS(OVR_TICKERS,$C7,OVR_BASE,"&gt;=0")&gt;0)&gt;0,SUMIFS(OVR_BASE,OVR_TICKERS,$C7),$K7))</f>
        <v/>
      </c>
      <c r="M7" s="128">
        <f>IF($B7="",0,IF((OV_SWITCH="ON")*(COUNTIFS(OVR_TICKERS,$C7,OVR_LOW,"&gt;=0")&gt;0)&gt;0,SUMIFS(OVR_LOW,OVR_TICKERS,$C7),$L7))</f>
        <v/>
      </c>
      <c r="N7" s="128">
        <f>IF($B7="",0,IF((OV_SWITCH="ON")*(COUNTIFS(OVR_TICKERS,$C7,OVR_HIGH,"&gt;=0")&gt;0)&gt;0,SUMIFS(OVR_HIGH,OVR_TICKERS,$C7),$L7))</f>
        <v/>
      </c>
      <c r="O7" s="133">
        <f>IF($B7="","",IFERROR($B7*$G7*$J7/$B$3,""))</f>
        <v/>
      </c>
      <c r="P7" s="133">
        <f>IF($B7="","",IFERROR($B7*$G7*$L7/$B$3,""))</f>
        <v/>
      </c>
      <c r="Q7" s="124">
        <f>IF($B7="","",IFERROR($O7+$P7,""))</f>
        <v/>
      </c>
      <c r="R7" s="133">
        <f>IF($B7="","",IFERROR($O7+$B7*$G7*$M7/$B$3,""))</f>
        <v/>
      </c>
      <c r="S7" s="133">
        <f>IF($B7="","",IFERROR($O7+$B7*$G7*$N7/$B$3,""))</f>
        <v/>
      </c>
      <c r="T7" s="150">
        <f>IF($B7="","",IFERROR($Q7/$Q$5,""))</f>
        <v/>
      </c>
      <c r="U7" s="2">
        <f>IF($B7="","",IF(COUNTIFS('Dvd Calendar'!$E$17:$AR$17,"&gt;0",'Dvd Calendar'!$E$17:$AR$17,"&lt;="&amp;VAL_DATE,'Dvd Calendar'!$E$18:$AR$18,"&gt;"&amp;PROJ_FROM,'Dvd Calendar'!$E$18:$AR$18,"&lt;="&amp;WIN_TO)-COUNTIFS('Dvd Calendar'!$E$17:$AR$17,"&gt;0",'Dvd Calendar'!$E$17:$AR$17,"&lt;="&amp;VAL_DATE,'Dvd Calendar'!$E$18:$AR$18,"&gt;"&amp;PROJ_FROM,'Dvd Calendar'!$E$18:$AR$18,"&lt;="&amp;WIN_TO,'Dvd Calendar'!$E$19:$AR$19,"&gt;=0")&gt;0,"TBA amount - override me",IF((OV_SWITCH="ON")*(COUNTIFS(OVR_TICKERS,$C7,OVR_BASE,"&gt;=0")&gt;0)&gt;0,"overridden",IF($J7+$K7=0,"no dividend in year Y",""))))</f>
        <v/>
      </c>
      <c r="V7" s="133">
        <f>IF($B7="","",IFERROR(IF(ISNUMBER($H7),$B7*$G7*$H7/$B$3,0),""))</f>
        <v/>
      </c>
      <c r="W7" s="133">
        <f>IF($B7="","",IFERROR($B7*$G7*$K7/$B$3,""))</f>
        <v/>
      </c>
      <c r="X7" s="157">
        <f>IF($C7="","",BDP($C7,"PX_LAST"))</f>
        <v/>
      </c>
      <c r="Y7" s="133">
        <f>IF($B7="","",IFERROR($B7*$X7/$B$3,""))</f>
        <v/>
      </c>
      <c r="Z7" s="137">
        <f>IF($B7="","",IFERROR($Y7/$Y$5,""))</f>
        <v/>
      </c>
    </row>
    <row r="8">
      <c r="B8" s="97" t="n"/>
      <c r="C8" s="8">
        <f>IF($A8="","",$A8&amp;" Equity")</f>
        <v/>
      </c>
      <c r="D8" s="8">
        <f>IF($C8="","",BDP($C8,"NAME"))</f>
        <v/>
      </c>
      <c r="E8" s="8">
        <f>IF($C8="","",BDP($C8,"GICS_SECTOR_NAME"))</f>
        <v/>
      </c>
      <c r="F8" s="37">
        <f>IF($C8="","",BDP($C8,FLD_CCY))</f>
        <v/>
      </c>
      <c r="G8" s="111">
        <f>IFERROR(IF(LEN($F8)&lt;&gt;3,1,IF($F8="HKD",1,BDP(IF($F8="CNY",RMB_CROSS,$F8)&amp;"HKD Curncy","PX_LAST"))),1)</f>
        <v/>
      </c>
      <c r="H8" s="133">
        <f>IF($C8="","",BDP($C8,FLD_DPS12M))</f>
        <v/>
      </c>
      <c r="I8" s="126">
        <f>IF($C8="","",BDP($C8,FLD_YLD12M))</f>
        <v/>
      </c>
      <c r="J8" s="128">
        <f>IF($B8="",0,SUMPRODUCT(('Dvd Calendar'!$E$22:$AR$22&gt;=WIN_FROM)*('Dvd Calendar'!$E$22:$AR$22&lt;=REALIZED_TO)*'Dvd Calendar'!$E$25:$AR$25*(('Dvd Calendar'!$E$27:$AR$27=TYPE1)*(TYPE1&lt;&gt;"")+('Dvd Calendar'!$E$27:$AR$27=TYPE2)*(TYPE2&lt;&gt;"")+('Dvd Calendar'!$E$27:$AR$27=TYPE3)*(TYPE3&lt;&gt;"")+('Dvd Calendar'!$E$27:$AR$27=TYPE4)*(TYPE4&lt;&gt;"")+('Dvd Calendar'!$E$27:$AR$27=SPECIAL_LBL)*(INC_SPECIALS="Y"))))</f>
        <v/>
      </c>
      <c r="K8" s="128">
        <f>IF($B8="",0,SUMIFS('Dvd Calendar'!$E$30:$AR$30,'Dvd Calendar'!$E$29:$AR$29,"&gt;"&amp;PROJ_FROM,'Dvd Calendar'!$E$29:$AR$29,"&lt;="&amp;WIN_TO)+SUMPRODUCT(('Dvd Calendar'!$E$22:$AR$22&gt;PROJ_FROM)*('Dvd Calendar'!$E$22:$AR$22&lt;=WIN_TO)*'Dvd Calendar'!$E$25:$AR$25*(('Dvd Calendar'!$E$27:$AR$27=TYPE1)*(TYPE1&lt;&gt;"")+('Dvd Calendar'!$E$27:$AR$27=TYPE2)*(TYPE2&lt;&gt;"")+('Dvd Calendar'!$E$27:$AR$27=TYPE3)*(TYPE3&lt;&gt;"")+('Dvd Calendar'!$E$27:$AR$27=TYPE4)*(TYPE4&lt;&gt;"")+('Dvd Calendar'!$E$27:$AR$27=SPECIAL_LBL)*(INC_SPECIALS="Y"))*(COUNTIF('Dvd Calendar'!$E$29:$AR$29,'Dvd Calendar'!$E$22:$AR$22)=0)))</f>
        <v/>
      </c>
      <c r="L8" s="128">
        <f>IF($B8="",0,IF((OV_SWITCH="ON")*(COUNTIFS(OVR_TICKERS,$C8,OVR_BASE,"&gt;=0")&gt;0)&gt;0,SUMIFS(OVR_BASE,OVR_TICKERS,$C8),$K8))</f>
        <v/>
      </c>
      <c r="M8" s="128">
        <f>IF($B8="",0,IF((OV_SWITCH="ON")*(COUNTIFS(OVR_TICKERS,$C8,OVR_LOW,"&gt;=0")&gt;0)&gt;0,SUMIFS(OVR_LOW,OVR_TICKERS,$C8),$L8))</f>
        <v/>
      </c>
      <c r="N8" s="128">
        <f>IF($B8="",0,IF((OV_SWITCH="ON")*(COUNTIFS(OVR_TICKERS,$C8,OVR_HIGH,"&gt;=0")&gt;0)&gt;0,SUMIFS(OVR_HIGH,OVR_TICKERS,$C8),$L8))</f>
        <v/>
      </c>
      <c r="O8" s="133">
        <f>IF($B8="","",IFERROR($B8*$G8*$J8/$B$3,""))</f>
        <v/>
      </c>
      <c r="P8" s="133">
        <f>IF($B8="","",IFERROR($B8*$G8*$L8/$B$3,""))</f>
        <v/>
      </c>
      <c r="Q8" s="124">
        <f>IF($B8="","",IFERROR($O8+$P8,""))</f>
        <v/>
      </c>
      <c r="R8" s="133">
        <f>IF($B8="","",IFERROR($O8+$B8*$G8*$M8/$B$3,""))</f>
        <v/>
      </c>
      <c r="S8" s="133">
        <f>IF($B8="","",IFERROR($O8+$B8*$G8*$N8/$B$3,""))</f>
        <v/>
      </c>
      <c r="T8" s="150">
        <f>IF($B8="","",IFERROR($Q8/$Q$5,""))</f>
        <v/>
      </c>
      <c r="U8" s="2">
        <f>IF($B8="","",IF(COUNTIFS('Dvd Calendar'!$E$28:$AR$28,"&gt;0",'Dvd Calendar'!$E$28:$AR$28,"&lt;="&amp;VAL_DATE,'Dvd Calendar'!$E$29:$AR$29,"&gt;"&amp;PROJ_FROM,'Dvd Calendar'!$E$29:$AR$29,"&lt;="&amp;WIN_TO)-COUNTIFS('Dvd Calendar'!$E$28:$AR$28,"&gt;0",'Dvd Calendar'!$E$28:$AR$28,"&lt;="&amp;VAL_DATE,'Dvd Calendar'!$E$29:$AR$29,"&gt;"&amp;PROJ_FROM,'Dvd Calendar'!$E$29:$AR$29,"&lt;="&amp;WIN_TO,'Dvd Calendar'!$E$30:$AR$30,"&gt;=0")&gt;0,"TBA amount - override me",IF((OV_SWITCH="ON")*(COUNTIFS(OVR_TICKERS,$C8,OVR_BASE,"&gt;=0")&gt;0)&gt;0,"overridden",IF($J8+$K8=0,"no dividend in year Y",""))))</f>
        <v/>
      </c>
      <c r="V8" s="133">
        <f>IF($B8="","",IFERROR(IF(ISNUMBER($H8),$B8*$G8*$H8/$B$3,0),""))</f>
        <v/>
      </c>
      <c r="W8" s="133">
        <f>IF($B8="","",IFERROR($B8*$G8*$K8/$B$3,""))</f>
        <v/>
      </c>
      <c r="X8" s="157">
        <f>IF($C8="","",BDP($C8,"PX_LAST"))</f>
        <v/>
      </c>
      <c r="Y8" s="133">
        <f>IF($B8="","",IFERROR($B8*$X8/$B$3,""))</f>
        <v/>
      </c>
      <c r="Z8" s="137">
        <f>IF($B8="","",IFERROR($Y8/$Y$5,""))</f>
        <v/>
      </c>
    </row>
    <row r="9">
      <c r="B9" s="97" t="n"/>
      <c r="C9" s="8">
        <f>IF($A9="","",$A9&amp;" Equity")</f>
        <v/>
      </c>
      <c r="D9" s="8">
        <f>IF($C9="","",BDP($C9,"NAME"))</f>
        <v/>
      </c>
      <c r="E9" s="8">
        <f>IF($C9="","",BDP($C9,"GICS_SECTOR_NAME"))</f>
        <v/>
      </c>
      <c r="F9" s="37">
        <f>IF($C9="","",BDP($C9,FLD_CCY))</f>
        <v/>
      </c>
      <c r="G9" s="111">
        <f>IFERROR(IF(LEN($F9)&lt;&gt;3,1,IF($F9="HKD",1,BDP(IF($F9="CNY",RMB_CROSS,$F9)&amp;"HKD Curncy","PX_LAST"))),1)</f>
        <v/>
      </c>
      <c r="H9" s="133">
        <f>IF($C9="","",BDP($C9,FLD_DPS12M))</f>
        <v/>
      </c>
      <c r="I9" s="126">
        <f>IF($C9="","",BDP($C9,FLD_YLD12M))</f>
        <v/>
      </c>
      <c r="J9" s="128">
        <f>IF($B9="",0,SUMPRODUCT(('Dvd Calendar'!$E$33:$AR$33&gt;=WIN_FROM)*('Dvd Calendar'!$E$33:$AR$33&lt;=REALIZED_TO)*'Dvd Calendar'!$E$36:$AR$36*(('Dvd Calendar'!$E$38:$AR$38=TYPE1)*(TYPE1&lt;&gt;"")+('Dvd Calendar'!$E$38:$AR$38=TYPE2)*(TYPE2&lt;&gt;"")+('Dvd Calendar'!$E$38:$AR$38=TYPE3)*(TYPE3&lt;&gt;"")+('Dvd Calendar'!$E$38:$AR$38=TYPE4)*(TYPE4&lt;&gt;"")+('Dvd Calendar'!$E$38:$AR$38=SPECIAL_LBL)*(INC_SPECIALS="Y"))))</f>
        <v/>
      </c>
      <c r="K9" s="128">
        <f>IF($B9="",0,SUMIFS('Dvd Calendar'!$E$41:$AR$41,'Dvd Calendar'!$E$40:$AR$40,"&gt;"&amp;PROJ_FROM,'Dvd Calendar'!$E$40:$AR$40,"&lt;="&amp;WIN_TO)+SUMPRODUCT(('Dvd Calendar'!$E$33:$AR$33&gt;PROJ_FROM)*('Dvd Calendar'!$E$33:$AR$33&lt;=WIN_TO)*'Dvd Calendar'!$E$36:$AR$36*(('Dvd Calendar'!$E$38:$AR$38=TYPE1)*(TYPE1&lt;&gt;"")+('Dvd Calendar'!$E$38:$AR$38=TYPE2)*(TYPE2&lt;&gt;"")+('Dvd Calendar'!$E$38:$AR$38=TYPE3)*(TYPE3&lt;&gt;"")+('Dvd Calendar'!$E$38:$AR$38=TYPE4)*(TYPE4&lt;&gt;"")+('Dvd Calendar'!$E$38:$AR$38=SPECIAL_LBL)*(INC_SPECIALS="Y"))*(COUNTIF('Dvd Calendar'!$E$40:$AR$40,'Dvd Calendar'!$E$33:$AR$33)=0)))</f>
        <v/>
      </c>
      <c r="L9" s="128">
        <f>IF($B9="",0,IF((OV_SWITCH="ON")*(COUNTIFS(OVR_TICKERS,$C9,OVR_BASE,"&gt;=0")&gt;0)&gt;0,SUMIFS(OVR_BASE,OVR_TICKERS,$C9),$K9))</f>
        <v/>
      </c>
      <c r="M9" s="128">
        <f>IF($B9="",0,IF((OV_SWITCH="ON")*(COUNTIFS(OVR_TICKERS,$C9,OVR_LOW,"&gt;=0")&gt;0)&gt;0,SUMIFS(OVR_LOW,OVR_TICKERS,$C9),$L9))</f>
        <v/>
      </c>
      <c r="N9" s="128">
        <f>IF($B9="",0,IF((OV_SWITCH="ON")*(COUNTIFS(OVR_TICKERS,$C9,OVR_HIGH,"&gt;=0")&gt;0)&gt;0,SUMIFS(OVR_HIGH,OVR_TICKERS,$C9),$L9))</f>
        <v/>
      </c>
      <c r="O9" s="133">
        <f>IF($B9="","",IFERROR($B9*$G9*$J9/$B$3,""))</f>
        <v/>
      </c>
      <c r="P9" s="133">
        <f>IF($B9="","",IFERROR($B9*$G9*$L9/$B$3,""))</f>
        <v/>
      </c>
      <c r="Q9" s="124">
        <f>IF($B9="","",IFERROR($O9+$P9,""))</f>
        <v/>
      </c>
      <c r="R9" s="133">
        <f>IF($B9="","",IFERROR($O9+$B9*$G9*$M9/$B$3,""))</f>
        <v/>
      </c>
      <c r="S9" s="133">
        <f>IF($B9="","",IFERROR($O9+$B9*$G9*$N9/$B$3,""))</f>
        <v/>
      </c>
      <c r="T9" s="150">
        <f>IF($B9="","",IFERROR($Q9/$Q$5,""))</f>
        <v/>
      </c>
      <c r="U9" s="2">
        <f>IF($B9="","",IF(COUNTIFS('Dvd Calendar'!$E$39:$AR$39,"&gt;0",'Dvd Calendar'!$E$39:$AR$39,"&lt;="&amp;VAL_DATE,'Dvd Calendar'!$E$40:$AR$40,"&gt;"&amp;PROJ_FROM,'Dvd Calendar'!$E$40:$AR$40,"&lt;="&amp;WIN_TO)-COUNTIFS('Dvd Calendar'!$E$39:$AR$39,"&gt;0",'Dvd Calendar'!$E$39:$AR$39,"&lt;="&amp;VAL_DATE,'Dvd Calendar'!$E$40:$AR$40,"&gt;"&amp;PROJ_FROM,'Dvd Calendar'!$E$40:$AR$40,"&lt;="&amp;WIN_TO,'Dvd Calendar'!$E$41:$AR$41,"&gt;=0")&gt;0,"TBA amount - override me",IF((OV_SWITCH="ON")*(COUNTIFS(OVR_TICKERS,$C9,OVR_BASE,"&gt;=0")&gt;0)&gt;0,"overridden",IF($J9+$K9=0,"no dividend in year Y",""))))</f>
        <v/>
      </c>
      <c r="V9" s="133">
        <f>IF($B9="","",IFERROR(IF(ISNUMBER($H9),$B9*$G9*$H9/$B$3,0),""))</f>
        <v/>
      </c>
      <c r="W9" s="133">
        <f>IF($B9="","",IFERROR($B9*$G9*$K9/$B$3,""))</f>
        <v/>
      </c>
      <c r="X9" s="157">
        <f>IF($C9="","",BDP($C9,"PX_LAST"))</f>
        <v/>
      </c>
      <c r="Y9" s="133">
        <f>IF($B9="","",IFERROR($B9*$X9/$B$3,""))</f>
        <v/>
      </c>
      <c r="Z9" s="137">
        <f>IF($B9="","",IFERROR($Y9/$Y$5,""))</f>
        <v/>
      </c>
    </row>
    <row r="10">
      <c r="B10" s="97" t="n"/>
      <c r="C10" s="8">
        <f>IF($A10="","",$A10&amp;" Equity")</f>
        <v/>
      </c>
      <c r="D10" s="8">
        <f>IF($C10="","",BDP($C10,"NAME"))</f>
        <v/>
      </c>
      <c r="E10" s="8">
        <f>IF($C10="","",BDP($C10,"GICS_SECTOR_NAME"))</f>
        <v/>
      </c>
      <c r="F10" s="37">
        <f>IF($C10="","",BDP($C10,FLD_CCY))</f>
        <v/>
      </c>
      <c r="G10" s="111">
        <f>IFERROR(IF(LEN($F10)&lt;&gt;3,1,IF($F10="HKD",1,BDP(IF($F10="CNY",RMB_CROSS,$F10)&amp;"HKD Curncy","PX_LAST"))),1)</f>
        <v/>
      </c>
      <c r="H10" s="133">
        <f>IF($C10="","",BDP($C10,FLD_DPS12M))</f>
        <v/>
      </c>
      <c r="I10" s="126">
        <f>IF($C10="","",BDP($C10,FLD_YLD12M))</f>
        <v/>
      </c>
      <c r="J10" s="128">
        <f>IF($B10="",0,SUMPRODUCT(('Dvd Calendar'!$E$44:$AR$44&gt;=WIN_FROM)*('Dvd Calendar'!$E$44:$AR$44&lt;=REALIZED_TO)*'Dvd Calendar'!$E$47:$AR$47*(('Dvd Calendar'!$E$49:$AR$49=TYPE1)*(TYPE1&lt;&gt;"")+('Dvd Calendar'!$E$49:$AR$49=TYPE2)*(TYPE2&lt;&gt;"")+('Dvd Calendar'!$E$49:$AR$49=TYPE3)*(TYPE3&lt;&gt;"")+('Dvd Calendar'!$E$49:$AR$49=TYPE4)*(TYPE4&lt;&gt;"")+('Dvd Calendar'!$E$49:$AR$49=SPECIAL_LBL)*(INC_SPECIALS="Y"))))</f>
        <v/>
      </c>
      <c r="K10" s="128">
        <f>IF($B10="",0,SUMIFS('Dvd Calendar'!$E$52:$AR$52,'Dvd Calendar'!$E$51:$AR$51,"&gt;"&amp;PROJ_FROM,'Dvd Calendar'!$E$51:$AR$51,"&lt;="&amp;WIN_TO)+SUMPRODUCT(('Dvd Calendar'!$E$44:$AR$44&gt;PROJ_FROM)*('Dvd Calendar'!$E$44:$AR$44&lt;=WIN_TO)*'Dvd Calendar'!$E$47:$AR$47*(('Dvd Calendar'!$E$49:$AR$49=TYPE1)*(TYPE1&lt;&gt;"")+('Dvd Calendar'!$E$49:$AR$49=TYPE2)*(TYPE2&lt;&gt;"")+('Dvd Calendar'!$E$49:$AR$49=TYPE3)*(TYPE3&lt;&gt;"")+('Dvd Calendar'!$E$49:$AR$49=TYPE4)*(TYPE4&lt;&gt;"")+('Dvd Calendar'!$E$49:$AR$49=SPECIAL_LBL)*(INC_SPECIALS="Y"))*(COUNTIF('Dvd Calendar'!$E$51:$AR$51,'Dvd Calendar'!$E$44:$AR$44)=0)))</f>
        <v/>
      </c>
      <c r="L10" s="128">
        <f>IF($B10="",0,IF((OV_SWITCH="ON")*(COUNTIFS(OVR_TICKERS,$C10,OVR_BASE,"&gt;=0")&gt;0)&gt;0,SUMIFS(OVR_BASE,OVR_TICKERS,$C10),$K10))</f>
        <v/>
      </c>
      <c r="M10" s="128">
        <f>IF($B10="",0,IF((OV_SWITCH="ON")*(COUNTIFS(OVR_TICKERS,$C10,OVR_LOW,"&gt;=0")&gt;0)&gt;0,SUMIFS(OVR_LOW,OVR_TICKERS,$C10),$L10))</f>
        <v/>
      </c>
      <c r="N10" s="128">
        <f>IF($B10="",0,IF((OV_SWITCH="ON")*(COUNTIFS(OVR_TICKERS,$C10,OVR_HIGH,"&gt;=0")&gt;0)&gt;0,SUMIFS(OVR_HIGH,OVR_TICKERS,$C10),$L10))</f>
        <v/>
      </c>
      <c r="O10" s="133">
        <f>IF($B10="","",IFERROR($B10*$G10*$J10/$B$3,""))</f>
        <v/>
      </c>
      <c r="P10" s="133">
        <f>IF($B10="","",IFERROR($B10*$G10*$L10/$B$3,""))</f>
        <v/>
      </c>
      <c r="Q10" s="124">
        <f>IF($B10="","",IFERROR($O10+$P10,""))</f>
        <v/>
      </c>
      <c r="R10" s="133">
        <f>IF($B10="","",IFERROR($O10+$B10*$G10*$M10/$B$3,""))</f>
        <v/>
      </c>
      <c r="S10" s="133">
        <f>IF($B10="","",IFERROR($O10+$B10*$G10*$N10/$B$3,""))</f>
        <v/>
      </c>
      <c r="T10" s="150">
        <f>IF($B10="","",IFERROR($Q10/$Q$5,""))</f>
        <v/>
      </c>
      <c r="U10" s="2">
        <f>IF($B10="","",IF(COUNTIFS('Dvd Calendar'!$E$50:$AR$50,"&gt;0",'Dvd Calendar'!$E$50:$AR$50,"&lt;="&amp;VAL_DATE,'Dvd Calendar'!$E$51:$AR$51,"&gt;"&amp;PROJ_FROM,'Dvd Calendar'!$E$51:$AR$51,"&lt;="&amp;WIN_TO)-COUNTIFS('Dvd Calendar'!$E$50:$AR$50,"&gt;0",'Dvd Calendar'!$E$50:$AR$50,"&lt;="&amp;VAL_DATE,'Dvd Calendar'!$E$51:$AR$51,"&gt;"&amp;PROJ_FROM,'Dvd Calendar'!$E$51:$AR$51,"&lt;="&amp;WIN_TO,'Dvd Calendar'!$E$52:$AR$52,"&gt;=0")&gt;0,"TBA amount - override me",IF((OV_SWITCH="ON")*(COUNTIFS(OVR_TICKERS,$C10,OVR_BASE,"&gt;=0")&gt;0)&gt;0,"overridden",IF($J10+$K10=0,"no dividend in year Y",""))))</f>
        <v/>
      </c>
      <c r="V10" s="133">
        <f>IF($B10="","",IFERROR(IF(ISNUMBER($H10),$B10*$G10*$H10/$B$3,0),""))</f>
        <v/>
      </c>
      <c r="W10" s="133">
        <f>IF($B10="","",IFERROR($B10*$G10*$K10/$B$3,""))</f>
        <v/>
      </c>
      <c r="X10" s="157">
        <f>IF($C10="","",BDP($C10,"PX_LAST"))</f>
        <v/>
      </c>
      <c r="Y10" s="133">
        <f>IF($B10="","",IFERROR($B10*$X10/$B$3,""))</f>
        <v/>
      </c>
      <c r="Z10" s="137">
        <f>IF($B10="","",IFERROR($Y10/$Y$5,""))</f>
        <v/>
      </c>
    </row>
    <row r="11">
      <c r="B11" s="97" t="n"/>
      <c r="C11" s="8">
        <f>IF($A11="","",$A11&amp;" Equity")</f>
        <v/>
      </c>
      <c r="D11" s="8">
        <f>IF($C11="","",BDP($C11,"NAME"))</f>
        <v/>
      </c>
      <c r="E11" s="8">
        <f>IF($C11="","",BDP($C11,"GICS_SECTOR_NAME"))</f>
        <v/>
      </c>
      <c r="F11" s="37">
        <f>IF($C11="","",BDP($C11,FLD_CCY))</f>
        <v/>
      </c>
      <c r="G11" s="111">
        <f>IFERROR(IF(LEN($F11)&lt;&gt;3,1,IF($F11="HKD",1,BDP(IF($F11="CNY",RMB_CROSS,$F11)&amp;"HKD Curncy","PX_LAST"))),1)</f>
        <v/>
      </c>
      <c r="H11" s="133">
        <f>IF($C11="","",BDP($C11,FLD_DPS12M))</f>
        <v/>
      </c>
      <c r="I11" s="126">
        <f>IF($C11="","",BDP($C11,FLD_YLD12M))</f>
        <v/>
      </c>
      <c r="J11" s="128">
        <f>IF($B11="",0,SUMPRODUCT(('Dvd Calendar'!$E$55:$AR$55&gt;=WIN_FROM)*('Dvd Calendar'!$E$55:$AR$55&lt;=REALIZED_TO)*'Dvd Calendar'!$E$58:$AR$58*(('Dvd Calendar'!$E$60:$AR$60=TYPE1)*(TYPE1&lt;&gt;"")+('Dvd Calendar'!$E$60:$AR$60=TYPE2)*(TYPE2&lt;&gt;"")+('Dvd Calendar'!$E$60:$AR$60=TYPE3)*(TYPE3&lt;&gt;"")+('Dvd Calendar'!$E$60:$AR$60=TYPE4)*(TYPE4&lt;&gt;"")+('Dvd Calendar'!$E$60:$AR$60=SPECIAL_LBL)*(INC_SPECIALS="Y"))))</f>
        <v/>
      </c>
      <c r="K11" s="128">
        <f>IF($B11="",0,SUMIFS('Dvd Calendar'!$E$63:$AR$63,'Dvd Calendar'!$E$62:$AR$62,"&gt;"&amp;PROJ_FROM,'Dvd Calendar'!$E$62:$AR$62,"&lt;="&amp;WIN_TO)+SUMPRODUCT(('Dvd Calendar'!$E$55:$AR$55&gt;PROJ_FROM)*('Dvd Calendar'!$E$55:$AR$55&lt;=WIN_TO)*'Dvd Calendar'!$E$58:$AR$58*(('Dvd Calendar'!$E$60:$AR$60=TYPE1)*(TYPE1&lt;&gt;"")+('Dvd Calendar'!$E$60:$AR$60=TYPE2)*(TYPE2&lt;&gt;"")+('Dvd Calendar'!$E$60:$AR$60=TYPE3)*(TYPE3&lt;&gt;"")+('Dvd Calendar'!$E$60:$AR$60=TYPE4)*(TYPE4&lt;&gt;"")+('Dvd Calendar'!$E$60:$AR$60=SPECIAL_LBL)*(INC_SPECIALS="Y"))*(COUNTIF('Dvd Calendar'!$E$62:$AR$62,'Dvd Calendar'!$E$55:$AR$55)=0)))</f>
        <v/>
      </c>
      <c r="L11" s="128">
        <f>IF($B11="",0,IF((OV_SWITCH="ON")*(COUNTIFS(OVR_TICKERS,$C11,OVR_BASE,"&gt;=0")&gt;0)&gt;0,SUMIFS(OVR_BASE,OVR_TICKERS,$C11),$K11))</f>
        <v/>
      </c>
      <c r="M11" s="128">
        <f>IF($B11="",0,IF((OV_SWITCH="ON")*(COUNTIFS(OVR_TICKERS,$C11,OVR_LOW,"&gt;=0")&gt;0)&gt;0,SUMIFS(OVR_LOW,OVR_TICKERS,$C11),$L11))</f>
        <v/>
      </c>
      <c r="N11" s="128">
        <f>IF($B11="",0,IF((OV_SWITCH="ON")*(COUNTIFS(OVR_TICKERS,$C11,OVR_HIGH,"&gt;=0")&gt;0)&gt;0,SUMIFS(OVR_HIGH,OVR_TICKERS,$C11),$L11))</f>
        <v/>
      </c>
      <c r="O11" s="133">
        <f>IF($B11="","",IFERROR($B11*$G11*$J11/$B$3,""))</f>
        <v/>
      </c>
      <c r="P11" s="133">
        <f>IF($B11="","",IFERROR($B11*$G11*$L11/$B$3,""))</f>
        <v/>
      </c>
      <c r="Q11" s="124">
        <f>IF($B11="","",IFERROR($O11+$P11,""))</f>
        <v/>
      </c>
      <c r="R11" s="133">
        <f>IF($B11="","",IFERROR($O11+$B11*$G11*$M11/$B$3,""))</f>
        <v/>
      </c>
      <c r="S11" s="133">
        <f>IF($B11="","",IFERROR($O11+$B11*$G11*$N11/$B$3,""))</f>
        <v/>
      </c>
      <c r="T11" s="150">
        <f>IF($B11="","",IFERROR($Q11/$Q$5,""))</f>
        <v/>
      </c>
      <c r="U11" s="2">
        <f>IF($B11="","",IF(COUNTIFS('Dvd Calendar'!$E$61:$AR$61,"&gt;0",'Dvd Calendar'!$E$61:$AR$61,"&lt;="&amp;VAL_DATE,'Dvd Calendar'!$E$62:$AR$62,"&gt;"&amp;PROJ_FROM,'Dvd Calendar'!$E$62:$AR$62,"&lt;="&amp;WIN_TO)-COUNTIFS('Dvd Calendar'!$E$61:$AR$61,"&gt;0",'Dvd Calendar'!$E$61:$AR$61,"&lt;="&amp;VAL_DATE,'Dvd Calendar'!$E$62:$AR$62,"&gt;"&amp;PROJ_FROM,'Dvd Calendar'!$E$62:$AR$62,"&lt;="&amp;WIN_TO,'Dvd Calendar'!$E$63:$AR$63,"&gt;=0")&gt;0,"TBA amount - override me",IF((OV_SWITCH="ON")*(COUNTIFS(OVR_TICKERS,$C11,OVR_BASE,"&gt;=0")&gt;0)&gt;0,"overridden",IF($J11+$K11=0,"no dividend in year Y",""))))</f>
        <v/>
      </c>
      <c r="V11" s="133">
        <f>IF($B11="","",IFERROR(IF(ISNUMBER($H11),$B11*$G11*$H11/$B$3,0),""))</f>
        <v/>
      </c>
      <c r="W11" s="133">
        <f>IF($B11="","",IFERROR($B11*$G11*$K11/$B$3,""))</f>
        <v/>
      </c>
      <c r="X11" s="157">
        <f>IF($C11="","",BDP($C11,"PX_LAST"))</f>
        <v/>
      </c>
      <c r="Y11" s="133">
        <f>IF($B11="","",IFERROR($B11*$X11/$B$3,""))</f>
        <v/>
      </c>
      <c r="Z11" s="137">
        <f>IF($B11="","",IFERROR($Y11/$Y$5,""))</f>
        <v/>
      </c>
    </row>
    <row r="12">
      <c r="B12" s="97" t="n"/>
      <c r="C12" s="8">
        <f>IF($A12="","",$A12&amp;" Equity")</f>
        <v/>
      </c>
      <c r="D12" s="8">
        <f>IF($C12="","",BDP($C12,"NAME"))</f>
        <v/>
      </c>
      <c r="E12" s="8">
        <f>IF($C12="","",BDP($C12,"GICS_SECTOR_NAME"))</f>
        <v/>
      </c>
      <c r="F12" s="37">
        <f>IF($C12="","",BDP($C12,FLD_CCY))</f>
        <v/>
      </c>
      <c r="G12" s="111">
        <f>IFERROR(IF(LEN($F12)&lt;&gt;3,1,IF($F12="HKD",1,BDP(IF($F12="CNY",RMB_CROSS,$F12)&amp;"HKD Curncy","PX_LAST"))),1)</f>
        <v/>
      </c>
      <c r="H12" s="133">
        <f>IF($C12="","",BDP($C12,FLD_DPS12M))</f>
        <v/>
      </c>
      <c r="I12" s="126">
        <f>IF($C12="","",BDP($C12,FLD_YLD12M))</f>
        <v/>
      </c>
      <c r="J12" s="128">
        <f>IF($B12="",0,SUMPRODUCT(('Dvd Calendar'!$E$66:$AR$66&gt;=WIN_FROM)*('Dvd Calendar'!$E$66:$AR$66&lt;=REALIZED_TO)*'Dvd Calendar'!$E$69:$AR$69*(('Dvd Calendar'!$E$71:$AR$71=TYPE1)*(TYPE1&lt;&gt;"")+('Dvd Calendar'!$E$71:$AR$71=TYPE2)*(TYPE2&lt;&gt;"")+('Dvd Calendar'!$E$71:$AR$71=TYPE3)*(TYPE3&lt;&gt;"")+('Dvd Calendar'!$E$71:$AR$71=TYPE4)*(TYPE4&lt;&gt;"")+('Dvd Calendar'!$E$71:$AR$71=SPECIAL_LBL)*(INC_SPECIALS="Y"))))</f>
        <v/>
      </c>
      <c r="K12" s="128">
        <f>IF($B12="",0,SUMIFS('Dvd Calendar'!$E$74:$AR$74,'Dvd Calendar'!$E$73:$AR$73,"&gt;"&amp;PROJ_FROM,'Dvd Calendar'!$E$73:$AR$73,"&lt;="&amp;WIN_TO)+SUMPRODUCT(('Dvd Calendar'!$E$66:$AR$66&gt;PROJ_FROM)*('Dvd Calendar'!$E$66:$AR$66&lt;=WIN_TO)*'Dvd Calendar'!$E$69:$AR$69*(('Dvd Calendar'!$E$71:$AR$71=TYPE1)*(TYPE1&lt;&gt;"")+('Dvd Calendar'!$E$71:$AR$71=TYPE2)*(TYPE2&lt;&gt;"")+('Dvd Calendar'!$E$71:$AR$71=TYPE3)*(TYPE3&lt;&gt;"")+('Dvd Calendar'!$E$71:$AR$71=TYPE4)*(TYPE4&lt;&gt;"")+('Dvd Calendar'!$E$71:$AR$71=SPECIAL_LBL)*(INC_SPECIALS="Y"))*(COUNTIF('Dvd Calendar'!$E$73:$AR$73,'Dvd Calendar'!$E$66:$AR$66)=0)))</f>
        <v/>
      </c>
      <c r="L12" s="128">
        <f>IF($B12="",0,IF((OV_SWITCH="ON")*(COUNTIFS(OVR_TICKERS,$C12,OVR_BASE,"&gt;=0")&gt;0)&gt;0,SUMIFS(OVR_BASE,OVR_TICKERS,$C12),$K12))</f>
        <v/>
      </c>
      <c r="M12" s="128">
        <f>IF($B12="",0,IF((OV_SWITCH="ON")*(COUNTIFS(OVR_TICKERS,$C12,OVR_LOW,"&gt;=0")&gt;0)&gt;0,SUMIFS(OVR_LOW,OVR_TICKERS,$C12),$L12))</f>
        <v/>
      </c>
      <c r="N12" s="128">
        <f>IF($B12="",0,IF((OV_SWITCH="ON")*(COUNTIFS(OVR_TICKERS,$C12,OVR_HIGH,"&gt;=0")&gt;0)&gt;0,SUMIFS(OVR_HIGH,OVR_TICKERS,$C12),$L12))</f>
        <v/>
      </c>
      <c r="O12" s="133">
        <f>IF($B12="","",IFERROR($B12*$G12*$J12/$B$3,""))</f>
        <v/>
      </c>
      <c r="P12" s="133">
        <f>IF($B12="","",IFERROR($B12*$G12*$L12/$B$3,""))</f>
        <v/>
      </c>
      <c r="Q12" s="124">
        <f>IF($B12="","",IFERROR($O12+$P12,""))</f>
        <v/>
      </c>
      <c r="R12" s="133">
        <f>IF($B12="","",IFERROR($O12+$B12*$G12*$M12/$B$3,""))</f>
        <v/>
      </c>
      <c r="S12" s="133">
        <f>IF($B12="","",IFERROR($O12+$B12*$G12*$N12/$B$3,""))</f>
        <v/>
      </c>
      <c r="T12" s="150">
        <f>IF($B12="","",IFERROR($Q12/$Q$5,""))</f>
        <v/>
      </c>
      <c r="U12" s="2">
        <f>IF($B12="","",IF(COUNTIFS('Dvd Calendar'!$E$72:$AR$72,"&gt;0",'Dvd Calendar'!$E$72:$AR$72,"&lt;="&amp;VAL_DATE,'Dvd Calendar'!$E$73:$AR$73,"&gt;"&amp;PROJ_FROM,'Dvd Calendar'!$E$73:$AR$73,"&lt;="&amp;WIN_TO)-COUNTIFS('Dvd Calendar'!$E$72:$AR$72,"&gt;0",'Dvd Calendar'!$E$72:$AR$72,"&lt;="&amp;VAL_DATE,'Dvd Calendar'!$E$73:$AR$73,"&gt;"&amp;PROJ_FROM,'Dvd Calendar'!$E$73:$AR$73,"&lt;="&amp;WIN_TO,'Dvd Calendar'!$E$74:$AR$74,"&gt;=0")&gt;0,"TBA amount - override me",IF((OV_SWITCH="ON")*(COUNTIFS(OVR_TICKERS,$C12,OVR_BASE,"&gt;=0")&gt;0)&gt;0,"overridden",IF($J12+$K12=0,"no dividend in year Y",""))))</f>
        <v/>
      </c>
      <c r="V12" s="133">
        <f>IF($B12="","",IFERROR(IF(ISNUMBER($H12),$B12*$G12*$H12/$B$3,0),""))</f>
        <v/>
      </c>
      <c r="W12" s="133">
        <f>IF($B12="","",IFERROR($B12*$G12*$K12/$B$3,""))</f>
        <v/>
      </c>
      <c r="X12" s="157">
        <f>IF($C12="","",BDP($C12,"PX_LAST"))</f>
        <v/>
      </c>
      <c r="Y12" s="133">
        <f>IF($B12="","",IFERROR($B12*$X12/$B$3,""))</f>
        <v/>
      </c>
      <c r="Z12" s="137">
        <f>IF($B12="","",IFERROR($Y12/$Y$5,""))</f>
        <v/>
      </c>
    </row>
    <row r="13">
      <c r="B13" s="97" t="n"/>
      <c r="C13" s="8">
        <f>IF($A13="","",$A13&amp;" Equity")</f>
        <v/>
      </c>
      <c r="D13" s="8">
        <f>IF($C13="","",BDP($C13,"NAME"))</f>
        <v/>
      </c>
      <c r="E13" s="8">
        <f>IF($C13="","",BDP($C13,"GICS_SECTOR_NAME"))</f>
        <v/>
      </c>
      <c r="F13" s="37">
        <f>IF($C13="","",BDP($C13,FLD_CCY))</f>
        <v/>
      </c>
      <c r="G13" s="111">
        <f>IFERROR(IF(LEN($F13)&lt;&gt;3,1,IF($F13="HKD",1,BDP(IF($F13="CNY",RMB_CROSS,$F13)&amp;"HKD Curncy","PX_LAST"))),1)</f>
        <v/>
      </c>
      <c r="H13" s="133">
        <f>IF($C13="","",BDP($C13,FLD_DPS12M))</f>
        <v/>
      </c>
      <c r="I13" s="126">
        <f>IF($C13="","",BDP($C13,FLD_YLD12M))</f>
        <v/>
      </c>
      <c r="J13" s="128">
        <f>IF($B13="",0,SUMPRODUCT(('Dvd Calendar'!$E$77:$AR$77&gt;=WIN_FROM)*('Dvd Calendar'!$E$77:$AR$77&lt;=REALIZED_TO)*'Dvd Calendar'!$E$80:$AR$80*(('Dvd Calendar'!$E$82:$AR$82=TYPE1)*(TYPE1&lt;&gt;"")+('Dvd Calendar'!$E$82:$AR$82=TYPE2)*(TYPE2&lt;&gt;"")+('Dvd Calendar'!$E$82:$AR$82=TYPE3)*(TYPE3&lt;&gt;"")+('Dvd Calendar'!$E$82:$AR$82=TYPE4)*(TYPE4&lt;&gt;"")+('Dvd Calendar'!$E$82:$AR$82=SPECIAL_LBL)*(INC_SPECIALS="Y"))))</f>
        <v/>
      </c>
      <c r="K13" s="128">
        <f>IF($B13="",0,SUMIFS('Dvd Calendar'!$E$85:$AR$85,'Dvd Calendar'!$E$84:$AR$84,"&gt;"&amp;PROJ_FROM,'Dvd Calendar'!$E$84:$AR$84,"&lt;="&amp;WIN_TO)+SUMPRODUCT(('Dvd Calendar'!$E$77:$AR$77&gt;PROJ_FROM)*('Dvd Calendar'!$E$77:$AR$77&lt;=WIN_TO)*'Dvd Calendar'!$E$80:$AR$80*(('Dvd Calendar'!$E$82:$AR$82=TYPE1)*(TYPE1&lt;&gt;"")+('Dvd Calendar'!$E$82:$AR$82=TYPE2)*(TYPE2&lt;&gt;"")+('Dvd Calendar'!$E$82:$AR$82=TYPE3)*(TYPE3&lt;&gt;"")+('Dvd Calendar'!$E$82:$AR$82=TYPE4)*(TYPE4&lt;&gt;"")+('Dvd Calendar'!$E$82:$AR$82=SPECIAL_LBL)*(INC_SPECIALS="Y"))*(COUNTIF('Dvd Calendar'!$E$84:$AR$84,'Dvd Calendar'!$E$77:$AR$77)=0)))</f>
        <v/>
      </c>
      <c r="L13" s="128">
        <f>IF($B13="",0,IF((OV_SWITCH="ON")*(COUNTIFS(OVR_TICKERS,$C13,OVR_BASE,"&gt;=0")&gt;0)&gt;0,SUMIFS(OVR_BASE,OVR_TICKERS,$C13),$K13))</f>
        <v/>
      </c>
      <c r="M13" s="128">
        <f>IF($B13="",0,IF((OV_SWITCH="ON")*(COUNTIFS(OVR_TICKERS,$C13,OVR_LOW,"&gt;=0")&gt;0)&gt;0,SUMIFS(OVR_LOW,OVR_TICKERS,$C13),$L13))</f>
        <v/>
      </c>
      <c r="N13" s="128">
        <f>IF($B13="",0,IF((OV_SWITCH="ON")*(COUNTIFS(OVR_TICKERS,$C13,OVR_HIGH,"&gt;=0")&gt;0)&gt;0,SUMIFS(OVR_HIGH,OVR_TICKERS,$C13),$L13))</f>
        <v/>
      </c>
      <c r="O13" s="133">
        <f>IF($B13="","",IFERROR($B13*$G13*$J13/$B$3,""))</f>
        <v/>
      </c>
      <c r="P13" s="133">
        <f>IF($B13="","",IFERROR($B13*$G13*$L13/$B$3,""))</f>
        <v/>
      </c>
      <c r="Q13" s="124">
        <f>IF($B13="","",IFERROR($O13+$P13,""))</f>
        <v/>
      </c>
      <c r="R13" s="133">
        <f>IF($B13="","",IFERROR($O13+$B13*$G13*$M13/$B$3,""))</f>
        <v/>
      </c>
      <c r="S13" s="133">
        <f>IF($B13="","",IFERROR($O13+$B13*$G13*$N13/$B$3,""))</f>
        <v/>
      </c>
      <c r="T13" s="150">
        <f>IF($B13="","",IFERROR($Q13/$Q$5,""))</f>
        <v/>
      </c>
      <c r="U13" s="2">
        <f>IF($B13="","",IF(COUNTIFS('Dvd Calendar'!$E$83:$AR$83,"&gt;0",'Dvd Calendar'!$E$83:$AR$83,"&lt;="&amp;VAL_DATE,'Dvd Calendar'!$E$84:$AR$84,"&gt;"&amp;PROJ_FROM,'Dvd Calendar'!$E$84:$AR$84,"&lt;="&amp;WIN_TO)-COUNTIFS('Dvd Calendar'!$E$83:$AR$83,"&gt;0",'Dvd Calendar'!$E$83:$AR$83,"&lt;="&amp;VAL_DATE,'Dvd Calendar'!$E$84:$AR$84,"&gt;"&amp;PROJ_FROM,'Dvd Calendar'!$E$84:$AR$84,"&lt;="&amp;WIN_TO,'Dvd Calendar'!$E$85:$AR$85,"&gt;=0")&gt;0,"TBA amount - override me",IF((OV_SWITCH="ON")*(COUNTIFS(OVR_TICKERS,$C13,OVR_BASE,"&gt;=0")&gt;0)&gt;0,"overridden",IF($J13+$K13=0,"no dividend in year Y",""))))</f>
        <v/>
      </c>
      <c r="V13" s="133">
        <f>IF($B13="","",IFERROR(IF(ISNUMBER($H13),$B13*$G13*$H13/$B$3,0),""))</f>
        <v/>
      </c>
      <c r="W13" s="133">
        <f>IF($B13="","",IFERROR($B13*$G13*$K13/$B$3,""))</f>
        <v/>
      </c>
      <c r="X13" s="157">
        <f>IF($C13="","",BDP($C13,"PX_LAST"))</f>
        <v/>
      </c>
      <c r="Y13" s="133">
        <f>IF($B13="","",IFERROR($B13*$X13/$B$3,""))</f>
        <v/>
      </c>
      <c r="Z13" s="137">
        <f>IF($B13="","",IFERROR($Y13/$Y$5,""))</f>
        <v/>
      </c>
    </row>
    <row r="14">
      <c r="B14" s="97" t="n"/>
      <c r="C14" s="8">
        <f>IF($A14="","",$A14&amp;" Equity")</f>
        <v/>
      </c>
      <c r="D14" s="8">
        <f>IF($C14="","",BDP($C14,"NAME"))</f>
        <v/>
      </c>
      <c r="E14" s="8">
        <f>IF($C14="","",BDP($C14,"GICS_SECTOR_NAME"))</f>
        <v/>
      </c>
      <c r="F14" s="37">
        <f>IF($C14="","",BDP($C14,FLD_CCY))</f>
        <v/>
      </c>
      <c r="G14" s="111">
        <f>IFERROR(IF(LEN($F14)&lt;&gt;3,1,IF($F14="HKD",1,BDP(IF($F14="CNY",RMB_CROSS,$F14)&amp;"HKD Curncy","PX_LAST"))),1)</f>
        <v/>
      </c>
      <c r="H14" s="133">
        <f>IF($C14="","",BDP($C14,FLD_DPS12M))</f>
        <v/>
      </c>
      <c r="I14" s="126">
        <f>IF($C14="","",BDP($C14,FLD_YLD12M))</f>
        <v/>
      </c>
      <c r="J14" s="128">
        <f>IF($B14="",0,SUMPRODUCT(('Dvd Calendar'!$E$88:$AR$88&gt;=WIN_FROM)*('Dvd Calendar'!$E$88:$AR$88&lt;=REALIZED_TO)*'Dvd Calendar'!$E$91:$AR$91*(('Dvd Calendar'!$E$93:$AR$93=TYPE1)*(TYPE1&lt;&gt;"")+('Dvd Calendar'!$E$93:$AR$93=TYPE2)*(TYPE2&lt;&gt;"")+('Dvd Calendar'!$E$93:$AR$93=TYPE3)*(TYPE3&lt;&gt;"")+('Dvd Calendar'!$E$93:$AR$93=TYPE4)*(TYPE4&lt;&gt;"")+('Dvd Calendar'!$E$93:$AR$93=SPECIAL_LBL)*(INC_SPECIALS="Y"))))</f>
        <v/>
      </c>
      <c r="K14" s="128">
        <f>IF($B14="",0,SUMIFS('Dvd Calendar'!$E$96:$AR$96,'Dvd Calendar'!$E$95:$AR$95,"&gt;"&amp;PROJ_FROM,'Dvd Calendar'!$E$95:$AR$95,"&lt;="&amp;WIN_TO)+SUMPRODUCT(('Dvd Calendar'!$E$88:$AR$88&gt;PROJ_FROM)*('Dvd Calendar'!$E$88:$AR$88&lt;=WIN_TO)*'Dvd Calendar'!$E$91:$AR$91*(('Dvd Calendar'!$E$93:$AR$93=TYPE1)*(TYPE1&lt;&gt;"")+('Dvd Calendar'!$E$93:$AR$93=TYPE2)*(TYPE2&lt;&gt;"")+('Dvd Calendar'!$E$93:$AR$93=TYPE3)*(TYPE3&lt;&gt;"")+('Dvd Calendar'!$E$93:$AR$93=TYPE4)*(TYPE4&lt;&gt;"")+('Dvd Calendar'!$E$93:$AR$93=SPECIAL_LBL)*(INC_SPECIALS="Y"))*(COUNTIF('Dvd Calendar'!$E$95:$AR$95,'Dvd Calendar'!$E$88:$AR$88)=0)))</f>
        <v/>
      </c>
      <c r="L14" s="128">
        <f>IF($B14="",0,IF((OV_SWITCH="ON")*(COUNTIFS(OVR_TICKERS,$C14,OVR_BASE,"&gt;=0")&gt;0)&gt;0,SUMIFS(OVR_BASE,OVR_TICKERS,$C14),$K14))</f>
        <v/>
      </c>
      <c r="M14" s="128">
        <f>IF($B14="",0,IF((OV_SWITCH="ON")*(COUNTIFS(OVR_TICKERS,$C14,OVR_LOW,"&gt;=0")&gt;0)&gt;0,SUMIFS(OVR_LOW,OVR_TICKERS,$C14),$L14))</f>
        <v/>
      </c>
      <c r="N14" s="128">
        <f>IF($B14="",0,IF((OV_SWITCH="ON")*(COUNTIFS(OVR_TICKERS,$C14,OVR_HIGH,"&gt;=0")&gt;0)&gt;0,SUMIFS(OVR_HIGH,OVR_TICKERS,$C14),$L14))</f>
        <v/>
      </c>
      <c r="O14" s="133">
        <f>IF($B14="","",IFERROR($B14*$G14*$J14/$B$3,""))</f>
        <v/>
      </c>
      <c r="P14" s="133">
        <f>IF($B14="","",IFERROR($B14*$G14*$L14/$B$3,""))</f>
        <v/>
      </c>
      <c r="Q14" s="124">
        <f>IF($B14="","",IFERROR($O14+$P14,""))</f>
        <v/>
      </c>
      <c r="R14" s="133">
        <f>IF($B14="","",IFERROR($O14+$B14*$G14*$M14/$B$3,""))</f>
        <v/>
      </c>
      <c r="S14" s="133">
        <f>IF($B14="","",IFERROR($O14+$B14*$G14*$N14/$B$3,""))</f>
        <v/>
      </c>
      <c r="T14" s="150">
        <f>IF($B14="","",IFERROR($Q14/$Q$5,""))</f>
        <v/>
      </c>
      <c r="U14" s="2">
        <f>IF($B14="","",IF(COUNTIFS('Dvd Calendar'!$E$94:$AR$94,"&gt;0",'Dvd Calendar'!$E$94:$AR$94,"&lt;="&amp;VAL_DATE,'Dvd Calendar'!$E$95:$AR$95,"&gt;"&amp;PROJ_FROM,'Dvd Calendar'!$E$95:$AR$95,"&lt;="&amp;WIN_TO)-COUNTIFS('Dvd Calendar'!$E$94:$AR$94,"&gt;0",'Dvd Calendar'!$E$94:$AR$94,"&lt;="&amp;VAL_DATE,'Dvd Calendar'!$E$95:$AR$95,"&gt;"&amp;PROJ_FROM,'Dvd Calendar'!$E$95:$AR$95,"&lt;="&amp;WIN_TO,'Dvd Calendar'!$E$96:$AR$96,"&gt;=0")&gt;0,"TBA amount - override me",IF((OV_SWITCH="ON")*(COUNTIFS(OVR_TICKERS,$C14,OVR_BASE,"&gt;=0")&gt;0)&gt;0,"overridden",IF($J14+$K14=0,"no dividend in year Y",""))))</f>
        <v/>
      </c>
      <c r="V14" s="133">
        <f>IF($B14="","",IFERROR(IF(ISNUMBER($H14),$B14*$G14*$H14/$B$3,0),""))</f>
        <v/>
      </c>
      <c r="W14" s="133">
        <f>IF($B14="","",IFERROR($B14*$G14*$K14/$B$3,""))</f>
        <v/>
      </c>
      <c r="X14" s="157">
        <f>IF($C14="","",BDP($C14,"PX_LAST"))</f>
        <v/>
      </c>
      <c r="Y14" s="133">
        <f>IF($B14="","",IFERROR($B14*$X14/$B$3,""))</f>
        <v/>
      </c>
      <c r="Z14" s="137">
        <f>IF($B14="","",IFERROR($Y14/$Y$5,""))</f>
        <v/>
      </c>
    </row>
    <row r="15">
      <c r="B15" s="97" t="n"/>
      <c r="C15" s="8">
        <f>IF($A15="","",$A15&amp;" Equity")</f>
        <v/>
      </c>
      <c r="D15" s="8">
        <f>IF($C15="","",BDP($C15,"NAME"))</f>
        <v/>
      </c>
      <c r="E15" s="8">
        <f>IF($C15="","",BDP($C15,"GICS_SECTOR_NAME"))</f>
        <v/>
      </c>
      <c r="F15" s="37">
        <f>IF($C15="","",BDP($C15,FLD_CCY))</f>
        <v/>
      </c>
      <c r="G15" s="111">
        <f>IFERROR(IF(LEN($F15)&lt;&gt;3,1,IF($F15="HKD",1,BDP(IF($F15="CNY",RMB_CROSS,$F15)&amp;"HKD Curncy","PX_LAST"))),1)</f>
        <v/>
      </c>
      <c r="H15" s="133">
        <f>IF($C15="","",BDP($C15,FLD_DPS12M))</f>
        <v/>
      </c>
      <c r="I15" s="126">
        <f>IF($C15="","",BDP($C15,FLD_YLD12M))</f>
        <v/>
      </c>
      <c r="J15" s="128">
        <f>IF($B15="",0,SUMPRODUCT(('Dvd Calendar'!$E$99:$AR$99&gt;=WIN_FROM)*('Dvd Calendar'!$E$99:$AR$99&lt;=REALIZED_TO)*'Dvd Calendar'!$E$102:$AR$102*(('Dvd Calendar'!$E$104:$AR$104=TYPE1)*(TYPE1&lt;&gt;"")+('Dvd Calendar'!$E$104:$AR$104=TYPE2)*(TYPE2&lt;&gt;"")+('Dvd Calendar'!$E$104:$AR$104=TYPE3)*(TYPE3&lt;&gt;"")+('Dvd Calendar'!$E$104:$AR$104=TYPE4)*(TYPE4&lt;&gt;"")+('Dvd Calendar'!$E$104:$AR$104=SPECIAL_LBL)*(INC_SPECIALS="Y"))))</f>
        <v/>
      </c>
      <c r="K15" s="128">
        <f>IF($B15="",0,SUMIFS('Dvd Calendar'!$E$107:$AR$107,'Dvd Calendar'!$E$106:$AR$106,"&gt;"&amp;PROJ_FROM,'Dvd Calendar'!$E$106:$AR$106,"&lt;="&amp;WIN_TO)+SUMPRODUCT(('Dvd Calendar'!$E$99:$AR$99&gt;PROJ_FROM)*('Dvd Calendar'!$E$99:$AR$99&lt;=WIN_TO)*'Dvd Calendar'!$E$102:$AR$102*(('Dvd Calendar'!$E$104:$AR$104=TYPE1)*(TYPE1&lt;&gt;"")+('Dvd Calendar'!$E$104:$AR$104=TYPE2)*(TYPE2&lt;&gt;"")+('Dvd Calendar'!$E$104:$AR$104=TYPE3)*(TYPE3&lt;&gt;"")+('Dvd Calendar'!$E$104:$AR$104=TYPE4)*(TYPE4&lt;&gt;"")+('Dvd Calendar'!$E$104:$AR$104=SPECIAL_LBL)*(INC_SPECIALS="Y"))*(COUNTIF('Dvd Calendar'!$E$106:$AR$106,'Dvd Calendar'!$E$99:$AR$99)=0)))</f>
        <v/>
      </c>
      <c r="L15" s="128">
        <f>IF($B15="",0,IF((OV_SWITCH="ON")*(COUNTIFS(OVR_TICKERS,$C15,OVR_BASE,"&gt;=0")&gt;0)&gt;0,SUMIFS(OVR_BASE,OVR_TICKERS,$C15),$K15))</f>
        <v/>
      </c>
      <c r="M15" s="128">
        <f>IF($B15="",0,IF((OV_SWITCH="ON")*(COUNTIFS(OVR_TICKERS,$C15,OVR_LOW,"&gt;=0")&gt;0)&gt;0,SUMIFS(OVR_LOW,OVR_TICKERS,$C15),$L15))</f>
        <v/>
      </c>
      <c r="N15" s="128">
        <f>IF($B15="",0,IF((OV_SWITCH="ON")*(COUNTIFS(OVR_TICKERS,$C15,OVR_HIGH,"&gt;=0")&gt;0)&gt;0,SUMIFS(OVR_HIGH,OVR_TICKERS,$C15),$L15))</f>
        <v/>
      </c>
      <c r="O15" s="133">
        <f>IF($B15="","",IFERROR($B15*$G15*$J15/$B$3,""))</f>
        <v/>
      </c>
      <c r="P15" s="133">
        <f>IF($B15="","",IFERROR($B15*$G15*$L15/$B$3,""))</f>
        <v/>
      </c>
      <c r="Q15" s="124">
        <f>IF($B15="","",IFERROR($O15+$P15,""))</f>
        <v/>
      </c>
      <c r="R15" s="133">
        <f>IF($B15="","",IFERROR($O15+$B15*$G15*$M15/$B$3,""))</f>
        <v/>
      </c>
      <c r="S15" s="133">
        <f>IF($B15="","",IFERROR($O15+$B15*$G15*$N15/$B$3,""))</f>
        <v/>
      </c>
      <c r="T15" s="150">
        <f>IF($B15="","",IFERROR($Q15/$Q$5,""))</f>
        <v/>
      </c>
      <c r="U15" s="2">
        <f>IF($B15="","",IF(COUNTIFS('Dvd Calendar'!$E$105:$AR$105,"&gt;0",'Dvd Calendar'!$E$105:$AR$105,"&lt;="&amp;VAL_DATE,'Dvd Calendar'!$E$106:$AR$106,"&gt;"&amp;PROJ_FROM,'Dvd Calendar'!$E$106:$AR$106,"&lt;="&amp;WIN_TO)-COUNTIFS('Dvd Calendar'!$E$105:$AR$105,"&gt;0",'Dvd Calendar'!$E$105:$AR$105,"&lt;="&amp;VAL_DATE,'Dvd Calendar'!$E$106:$AR$106,"&gt;"&amp;PROJ_FROM,'Dvd Calendar'!$E$106:$AR$106,"&lt;="&amp;WIN_TO,'Dvd Calendar'!$E$107:$AR$107,"&gt;=0")&gt;0,"TBA amount - override me",IF((OV_SWITCH="ON")*(COUNTIFS(OVR_TICKERS,$C15,OVR_BASE,"&gt;=0")&gt;0)&gt;0,"overridden",IF($J15+$K15=0,"no dividend in year Y",""))))</f>
        <v/>
      </c>
      <c r="V15" s="133">
        <f>IF($B15="","",IFERROR(IF(ISNUMBER($H15),$B15*$G15*$H15/$B$3,0),""))</f>
        <v/>
      </c>
      <c r="W15" s="133">
        <f>IF($B15="","",IFERROR($B15*$G15*$K15/$B$3,""))</f>
        <v/>
      </c>
      <c r="X15" s="157">
        <f>IF($C15="","",BDP($C15,"PX_LAST"))</f>
        <v/>
      </c>
      <c r="Y15" s="133">
        <f>IF($B15="","",IFERROR($B15*$X15/$B$3,""))</f>
        <v/>
      </c>
      <c r="Z15" s="137">
        <f>IF($B15="","",IFERROR($Y15/$Y$5,""))</f>
        <v/>
      </c>
    </row>
    <row r="16">
      <c r="B16" s="97" t="n"/>
      <c r="C16" s="8">
        <f>IF($A16="","",$A16&amp;" Equity")</f>
        <v/>
      </c>
      <c r="D16" s="8">
        <f>IF($C16="","",BDP($C16,"NAME"))</f>
        <v/>
      </c>
      <c r="E16" s="8">
        <f>IF($C16="","",BDP($C16,"GICS_SECTOR_NAME"))</f>
        <v/>
      </c>
      <c r="F16" s="37">
        <f>IF($C16="","",BDP($C16,FLD_CCY))</f>
        <v/>
      </c>
      <c r="G16" s="111">
        <f>IFERROR(IF(LEN($F16)&lt;&gt;3,1,IF($F16="HKD",1,BDP(IF($F16="CNY",RMB_CROSS,$F16)&amp;"HKD Curncy","PX_LAST"))),1)</f>
        <v/>
      </c>
      <c r="H16" s="133">
        <f>IF($C16="","",BDP($C16,FLD_DPS12M))</f>
        <v/>
      </c>
      <c r="I16" s="126">
        <f>IF($C16="","",BDP($C16,FLD_YLD12M))</f>
        <v/>
      </c>
      <c r="J16" s="128">
        <f>IF($B16="",0,SUMPRODUCT(('Dvd Calendar'!$E$110:$AR$110&gt;=WIN_FROM)*('Dvd Calendar'!$E$110:$AR$110&lt;=REALIZED_TO)*'Dvd Calendar'!$E$113:$AR$113*(('Dvd Calendar'!$E$115:$AR$115=TYPE1)*(TYPE1&lt;&gt;"")+('Dvd Calendar'!$E$115:$AR$115=TYPE2)*(TYPE2&lt;&gt;"")+('Dvd Calendar'!$E$115:$AR$115=TYPE3)*(TYPE3&lt;&gt;"")+('Dvd Calendar'!$E$115:$AR$115=TYPE4)*(TYPE4&lt;&gt;"")+('Dvd Calendar'!$E$115:$AR$115=SPECIAL_LBL)*(INC_SPECIALS="Y"))))</f>
        <v/>
      </c>
      <c r="K16" s="128">
        <f>IF($B16="",0,SUMIFS('Dvd Calendar'!$E$118:$AR$118,'Dvd Calendar'!$E$117:$AR$117,"&gt;"&amp;PROJ_FROM,'Dvd Calendar'!$E$117:$AR$117,"&lt;="&amp;WIN_TO)+SUMPRODUCT(('Dvd Calendar'!$E$110:$AR$110&gt;PROJ_FROM)*('Dvd Calendar'!$E$110:$AR$110&lt;=WIN_TO)*'Dvd Calendar'!$E$113:$AR$113*(('Dvd Calendar'!$E$115:$AR$115=TYPE1)*(TYPE1&lt;&gt;"")+('Dvd Calendar'!$E$115:$AR$115=TYPE2)*(TYPE2&lt;&gt;"")+('Dvd Calendar'!$E$115:$AR$115=TYPE3)*(TYPE3&lt;&gt;"")+('Dvd Calendar'!$E$115:$AR$115=TYPE4)*(TYPE4&lt;&gt;"")+('Dvd Calendar'!$E$115:$AR$115=SPECIAL_LBL)*(INC_SPECIALS="Y"))*(COUNTIF('Dvd Calendar'!$E$117:$AR$117,'Dvd Calendar'!$E$110:$AR$110)=0)))</f>
        <v/>
      </c>
      <c r="L16" s="128">
        <f>IF($B16="",0,IF((OV_SWITCH="ON")*(COUNTIFS(OVR_TICKERS,$C16,OVR_BASE,"&gt;=0")&gt;0)&gt;0,SUMIFS(OVR_BASE,OVR_TICKERS,$C16),$K16))</f>
        <v/>
      </c>
      <c r="M16" s="128">
        <f>IF($B16="",0,IF((OV_SWITCH="ON")*(COUNTIFS(OVR_TICKERS,$C16,OVR_LOW,"&gt;=0")&gt;0)&gt;0,SUMIFS(OVR_LOW,OVR_TICKERS,$C16),$L16))</f>
        <v/>
      </c>
      <c r="N16" s="128">
        <f>IF($B16="",0,IF((OV_SWITCH="ON")*(COUNTIFS(OVR_TICKERS,$C16,OVR_HIGH,"&gt;=0")&gt;0)&gt;0,SUMIFS(OVR_HIGH,OVR_TICKERS,$C16),$L16))</f>
        <v/>
      </c>
      <c r="O16" s="133">
        <f>IF($B16="","",IFERROR($B16*$G16*$J16/$B$3,""))</f>
        <v/>
      </c>
      <c r="P16" s="133">
        <f>IF($B16="","",IFERROR($B16*$G16*$L16/$B$3,""))</f>
        <v/>
      </c>
      <c r="Q16" s="124">
        <f>IF($B16="","",IFERROR($O16+$P16,""))</f>
        <v/>
      </c>
      <c r="R16" s="133">
        <f>IF($B16="","",IFERROR($O16+$B16*$G16*$M16/$B$3,""))</f>
        <v/>
      </c>
      <c r="S16" s="133">
        <f>IF($B16="","",IFERROR($O16+$B16*$G16*$N16/$B$3,""))</f>
        <v/>
      </c>
      <c r="T16" s="150">
        <f>IF($B16="","",IFERROR($Q16/$Q$5,""))</f>
        <v/>
      </c>
      <c r="U16" s="2">
        <f>IF($B16="","",IF(COUNTIFS('Dvd Calendar'!$E$116:$AR$116,"&gt;0",'Dvd Calendar'!$E$116:$AR$116,"&lt;="&amp;VAL_DATE,'Dvd Calendar'!$E$117:$AR$117,"&gt;"&amp;PROJ_FROM,'Dvd Calendar'!$E$117:$AR$117,"&lt;="&amp;WIN_TO)-COUNTIFS('Dvd Calendar'!$E$116:$AR$116,"&gt;0",'Dvd Calendar'!$E$116:$AR$116,"&lt;="&amp;VAL_DATE,'Dvd Calendar'!$E$117:$AR$117,"&gt;"&amp;PROJ_FROM,'Dvd Calendar'!$E$117:$AR$117,"&lt;="&amp;WIN_TO,'Dvd Calendar'!$E$118:$AR$118,"&gt;=0")&gt;0,"TBA amount - override me",IF((OV_SWITCH="ON")*(COUNTIFS(OVR_TICKERS,$C16,OVR_BASE,"&gt;=0")&gt;0)&gt;0,"overridden",IF($J16+$K16=0,"no dividend in year Y",""))))</f>
        <v/>
      </c>
      <c r="V16" s="133">
        <f>IF($B16="","",IFERROR(IF(ISNUMBER($H16),$B16*$G16*$H16/$B$3,0),""))</f>
        <v/>
      </c>
      <c r="W16" s="133">
        <f>IF($B16="","",IFERROR($B16*$G16*$K16/$B$3,""))</f>
        <v/>
      </c>
      <c r="X16" s="157">
        <f>IF($C16="","",BDP($C16,"PX_LAST"))</f>
        <v/>
      </c>
      <c r="Y16" s="133">
        <f>IF($B16="","",IFERROR($B16*$X16/$B$3,""))</f>
        <v/>
      </c>
      <c r="Z16" s="137">
        <f>IF($B16="","",IFERROR($Y16/$Y$5,""))</f>
        <v/>
      </c>
    </row>
    <row r="17">
      <c r="B17" s="97" t="n"/>
      <c r="C17" s="8">
        <f>IF($A17="","",$A17&amp;" Equity")</f>
        <v/>
      </c>
      <c r="D17" s="8">
        <f>IF($C17="","",BDP($C17,"NAME"))</f>
        <v/>
      </c>
      <c r="E17" s="8">
        <f>IF($C17="","",BDP($C17,"GICS_SECTOR_NAME"))</f>
        <v/>
      </c>
      <c r="F17" s="37">
        <f>IF($C17="","",BDP($C17,FLD_CCY))</f>
        <v/>
      </c>
      <c r="G17" s="111">
        <f>IFERROR(IF(LEN($F17)&lt;&gt;3,1,IF($F17="HKD",1,BDP(IF($F17="CNY",RMB_CROSS,$F17)&amp;"HKD Curncy","PX_LAST"))),1)</f>
        <v/>
      </c>
      <c r="H17" s="133">
        <f>IF($C17="","",BDP($C17,FLD_DPS12M))</f>
        <v/>
      </c>
      <c r="I17" s="126">
        <f>IF($C17="","",BDP($C17,FLD_YLD12M))</f>
        <v/>
      </c>
      <c r="J17" s="128">
        <f>IF($B17="",0,SUMPRODUCT(('Dvd Calendar'!$E$121:$AR$121&gt;=WIN_FROM)*('Dvd Calendar'!$E$121:$AR$121&lt;=REALIZED_TO)*'Dvd Calendar'!$E$124:$AR$124*(('Dvd Calendar'!$E$126:$AR$126=TYPE1)*(TYPE1&lt;&gt;"")+('Dvd Calendar'!$E$126:$AR$126=TYPE2)*(TYPE2&lt;&gt;"")+('Dvd Calendar'!$E$126:$AR$126=TYPE3)*(TYPE3&lt;&gt;"")+('Dvd Calendar'!$E$126:$AR$126=TYPE4)*(TYPE4&lt;&gt;"")+('Dvd Calendar'!$E$126:$AR$126=SPECIAL_LBL)*(INC_SPECIALS="Y"))))</f>
        <v/>
      </c>
      <c r="K17" s="128">
        <f>IF($B17="",0,SUMIFS('Dvd Calendar'!$E$129:$AR$129,'Dvd Calendar'!$E$128:$AR$128,"&gt;"&amp;PROJ_FROM,'Dvd Calendar'!$E$128:$AR$128,"&lt;="&amp;WIN_TO)+SUMPRODUCT(('Dvd Calendar'!$E$121:$AR$121&gt;PROJ_FROM)*('Dvd Calendar'!$E$121:$AR$121&lt;=WIN_TO)*'Dvd Calendar'!$E$124:$AR$124*(('Dvd Calendar'!$E$126:$AR$126=TYPE1)*(TYPE1&lt;&gt;"")+('Dvd Calendar'!$E$126:$AR$126=TYPE2)*(TYPE2&lt;&gt;"")+('Dvd Calendar'!$E$126:$AR$126=TYPE3)*(TYPE3&lt;&gt;"")+('Dvd Calendar'!$E$126:$AR$126=TYPE4)*(TYPE4&lt;&gt;"")+('Dvd Calendar'!$E$126:$AR$126=SPECIAL_LBL)*(INC_SPECIALS="Y"))*(COUNTIF('Dvd Calendar'!$E$128:$AR$128,'Dvd Calendar'!$E$121:$AR$121)=0)))</f>
        <v/>
      </c>
      <c r="L17" s="128">
        <f>IF($B17="",0,IF((OV_SWITCH="ON")*(COUNTIFS(OVR_TICKERS,$C17,OVR_BASE,"&gt;=0")&gt;0)&gt;0,SUMIFS(OVR_BASE,OVR_TICKERS,$C17),$K17))</f>
        <v/>
      </c>
      <c r="M17" s="128">
        <f>IF($B17="",0,IF((OV_SWITCH="ON")*(COUNTIFS(OVR_TICKERS,$C17,OVR_LOW,"&gt;=0")&gt;0)&gt;0,SUMIFS(OVR_LOW,OVR_TICKERS,$C17),$L17))</f>
        <v/>
      </c>
      <c r="N17" s="128">
        <f>IF($B17="",0,IF((OV_SWITCH="ON")*(COUNTIFS(OVR_TICKERS,$C17,OVR_HIGH,"&gt;=0")&gt;0)&gt;0,SUMIFS(OVR_HIGH,OVR_TICKERS,$C17),$L17))</f>
        <v/>
      </c>
      <c r="O17" s="133">
        <f>IF($B17="","",IFERROR($B17*$G17*$J17/$B$3,""))</f>
        <v/>
      </c>
      <c r="P17" s="133">
        <f>IF($B17="","",IFERROR($B17*$G17*$L17/$B$3,""))</f>
        <v/>
      </c>
      <c r="Q17" s="124">
        <f>IF($B17="","",IFERROR($O17+$P17,""))</f>
        <v/>
      </c>
      <c r="R17" s="133">
        <f>IF($B17="","",IFERROR($O17+$B17*$G17*$M17/$B$3,""))</f>
        <v/>
      </c>
      <c r="S17" s="133">
        <f>IF($B17="","",IFERROR($O17+$B17*$G17*$N17/$B$3,""))</f>
        <v/>
      </c>
      <c r="T17" s="150">
        <f>IF($B17="","",IFERROR($Q17/$Q$5,""))</f>
        <v/>
      </c>
      <c r="U17" s="2">
        <f>IF($B17="","",IF(COUNTIFS('Dvd Calendar'!$E$127:$AR$127,"&gt;0",'Dvd Calendar'!$E$127:$AR$127,"&lt;="&amp;VAL_DATE,'Dvd Calendar'!$E$128:$AR$128,"&gt;"&amp;PROJ_FROM,'Dvd Calendar'!$E$128:$AR$128,"&lt;="&amp;WIN_TO)-COUNTIFS('Dvd Calendar'!$E$127:$AR$127,"&gt;0",'Dvd Calendar'!$E$127:$AR$127,"&lt;="&amp;VAL_DATE,'Dvd Calendar'!$E$128:$AR$128,"&gt;"&amp;PROJ_FROM,'Dvd Calendar'!$E$128:$AR$128,"&lt;="&amp;WIN_TO,'Dvd Calendar'!$E$129:$AR$129,"&gt;=0")&gt;0,"TBA amount - override me",IF((OV_SWITCH="ON")*(COUNTIFS(OVR_TICKERS,$C17,OVR_BASE,"&gt;=0")&gt;0)&gt;0,"overridden",IF($J17+$K17=0,"no dividend in year Y",""))))</f>
        <v/>
      </c>
      <c r="V17" s="133">
        <f>IF($B17="","",IFERROR(IF(ISNUMBER($H17),$B17*$G17*$H17/$B$3,0),""))</f>
        <v/>
      </c>
      <c r="W17" s="133">
        <f>IF($B17="","",IFERROR($B17*$G17*$K17/$B$3,""))</f>
        <v/>
      </c>
      <c r="X17" s="157">
        <f>IF($C17="","",BDP($C17,"PX_LAST"))</f>
        <v/>
      </c>
      <c r="Y17" s="133">
        <f>IF($B17="","",IFERROR($B17*$X17/$B$3,""))</f>
        <v/>
      </c>
      <c r="Z17" s="137">
        <f>IF($B17="","",IFERROR($Y17/$Y$5,""))</f>
        <v/>
      </c>
    </row>
    <row r="18">
      <c r="B18" s="97" t="n"/>
      <c r="C18" s="8">
        <f>IF($A18="","",$A18&amp;" Equity")</f>
        <v/>
      </c>
      <c r="D18" s="8">
        <f>IF($C18="","",BDP($C18,"NAME"))</f>
        <v/>
      </c>
      <c r="E18" s="8">
        <f>IF($C18="","",BDP($C18,"GICS_SECTOR_NAME"))</f>
        <v/>
      </c>
      <c r="F18" s="37">
        <f>IF($C18="","",BDP($C18,FLD_CCY))</f>
        <v/>
      </c>
      <c r="G18" s="111">
        <f>IFERROR(IF(LEN($F18)&lt;&gt;3,1,IF($F18="HKD",1,BDP(IF($F18="CNY",RMB_CROSS,$F18)&amp;"HKD Curncy","PX_LAST"))),1)</f>
        <v/>
      </c>
      <c r="H18" s="133">
        <f>IF($C18="","",BDP($C18,FLD_DPS12M))</f>
        <v/>
      </c>
      <c r="I18" s="126">
        <f>IF($C18="","",BDP($C18,FLD_YLD12M))</f>
        <v/>
      </c>
      <c r="J18" s="128">
        <f>IF($B18="",0,SUMPRODUCT(('Dvd Calendar'!$E$132:$AR$132&gt;=WIN_FROM)*('Dvd Calendar'!$E$132:$AR$132&lt;=REALIZED_TO)*'Dvd Calendar'!$E$135:$AR$135*(('Dvd Calendar'!$E$137:$AR$137=TYPE1)*(TYPE1&lt;&gt;"")+('Dvd Calendar'!$E$137:$AR$137=TYPE2)*(TYPE2&lt;&gt;"")+('Dvd Calendar'!$E$137:$AR$137=TYPE3)*(TYPE3&lt;&gt;"")+('Dvd Calendar'!$E$137:$AR$137=TYPE4)*(TYPE4&lt;&gt;"")+('Dvd Calendar'!$E$137:$AR$137=SPECIAL_LBL)*(INC_SPECIALS="Y"))))</f>
        <v/>
      </c>
      <c r="K18" s="128">
        <f>IF($B18="",0,SUMIFS('Dvd Calendar'!$E$140:$AR$140,'Dvd Calendar'!$E$139:$AR$139,"&gt;"&amp;PROJ_FROM,'Dvd Calendar'!$E$139:$AR$139,"&lt;="&amp;WIN_TO)+SUMPRODUCT(('Dvd Calendar'!$E$132:$AR$132&gt;PROJ_FROM)*('Dvd Calendar'!$E$132:$AR$132&lt;=WIN_TO)*'Dvd Calendar'!$E$135:$AR$135*(('Dvd Calendar'!$E$137:$AR$137=TYPE1)*(TYPE1&lt;&gt;"")+('Dvd Calendar'!$E$137:$AR$137=TYPE2)*(TYPE2&lt;&gt;"")+('Dvd Calendar'!$E$137:$AR$137=TYPE3)*(TYPE3&lt;&gt;"")+('Dvd Calendar'!$E$137:$AR$137=TYPE4)*(TYPE4&lt;&gt;"")+('Dvd Calendar'!$E$137:$AR$137=SPECIAL_LBL)*(INC_SPECIALS="Y"))*(COUNTIF('Dvd Calendar'!$E$139:$AR$139,'Dvd Calendar'!$E$132:$AR$132)=0)))</f>
        <v/>
      </c>
      <c r="L18" s="128">
        <f>IF($B18="",0,IF((OV_SWITCH="ON")*(COUNTIFS(OVR_TICKERS,$C18,OVR_BASE,"&gt;=0")&gt;0)&gt;0,SUMIFS(OVR_BASE,OVR_TICKERS,$C18),$K18))</f>
        <v/>
      </c>
      <c r="M18" s="128">
        <f>IF($B18="",0,IF((OV_SWITCH="ON")*(COUNTIFS(OVR_TICKERS,$C18,OVR_LOW,"&gt;=0")&gt;0)&gt;0,SUMIFS(OVR_LOW,OVR_TICKERS,$C18),$L18))</f>
        <v/>
      </c>
      <c r="N18" s="128">
        <f>IF($B18="",0,IF((OV_SWITCH="ON")*(COUNTIFS(OVR_TICKERS,$C18,OVR_HIGH,"&gt;=0")&gt;0)&gt;0,SUMIFS(OVR_HIGH,OVR_TICKERS,$C18),$L18))</f>
        <v/>
      </c>
      <c r="O18" s="133">
        <f>IF($B18="","",IFERROR($B18*$G18*$J18/$B$3,""))</f>
        <v/>
      </c>
      <c r="P18" s="133">
        <f>IF($B18="","",IFERROR($B18*$G18*$L18/$B$3,""))</f>
        <v/>
      </c>
      <c r="Q18" s="124">
        <f>IF($B18="","",IFERROR($O18+$P18,""))</f>
        <v/>
      </c>
      <c r="R18" s="133">
        <f>IF($B18="","",IFERROR($O18+$B18*$G18*$M18/$B$3,""))</f>
        <v/>
      </c>
      <c r="S18" s="133">
        <f>IF($B18="","",IFERROR($O18+$B18*$G18*$N18/$B$3,""))</f>
        <v/>
      </c>
      <c r="T18" s="150">
        <f>IF($B18="","",IFERROR($Q18/$Q$5,""))</f>
        <v/>
      </c>
      <c r="U18" s="2">
        <f>IF($B18="","",IF(COUNTIFS('Dvd Calendar'!$E$138:$AR$138,"&gt;0",'Dvd Calendar'!$E$138:$AR$138,"&lt;="&amp;VAL_DATE,'Dvd Calendar'!$E$139:$AR$139,"&gt;"&amp;PROJ_FROM,'Dvd Calendar'!$E$139:$AR$139,"&lt;="&amp;WIN_TO)-COUNTIFS('Dvd Calendar'!$E$138:$AR$138,"&gt;0",'Dvd Calendar'!$E$138:$AR$138,"&lt;="&amp;VAL_DATE,'Dvd Calendar'!$E$139:$AR$139,"&gt;"&amp;PROJ_FROM,'Dvd Calendar'!$E$139:$AR$139,"&lt;="&amp;WIN_TO,'Dvd Calendar'!$E$140:$AR$140,"&gt;=0")&gt;0,"TBA amount - override me",IF((OV_SWITCH="ON")*(COUNTIFS(OVR_TICKERS,$C18,OVR_BASE,"&gt;=0")&gt;0)&gt;0,"overridden",IF($J18+$K18=0,"no dividend in year Y",""))))</f>
        <v/>
      </c>
      <c r="V18" s="133">
        <f>IF($B18="","",IFERROR(IF(ISNUMBER($H18),$B18*$G18*$H18/$B$3,0),""))</f>
        <v/>
      </c>
      <c r="W18" s="133">
        <f>IF($B18="","",IFERROR($B18*$G18*$K18/$B$3,""))</f>
        <v/>
      </c>
      <c r="X18" s="157">
        <f>IF($C18="","",BDP($C18,"PX_LAST"))</f>
        <v/>
      </c>
      <c r="Y18" s="133">
        <f>IF($B18="","",IFERROR($B18*$X18/$B$3,""))</f>
        <v/>
      </c>
      <c r="Z18" s="137">
        <f>IF($B18="","",IFERROR($Y18/$Y$5,""))</f>
        <v/>
      </c>
    </row>
    <row r="19">
      <c r="B19" s="97" t="n"/>
      <c r="C19" s="8">
        <f>IF($A19="","",$A19&amp;" Equity")</f>
        <v/>
      </c>
      <c r="D19" s="8">
        <f>IF($C19="","",BDP($C19,"NAME"))</f>
        <v/>
      </c>
      <c r="E19" s="8">
        <f>IF($C19="","",BDP($C19,"GICS_SECTOR_NAME"))</f>
        <v/>
      </c>
      <c r="F19" s="37">
        <f>IF($C19="","",BDP($C19,FLD_CCY))</f>
        <v/>
      </c>
      <c r="G19" s="111">
        <f>IFERROR(IF(LEN($F19)&lt;&gt;3,1,IF($F19="HKD",1,BDP(IF($F19="CNY",RMB_CROSS,$F19)&amp;"HKD Curncy","PX_LAST"))),1)</f>
        <v/>
      </c>
      <c r="H19" s="133">
        <f>IF($C19="","",BDP($C19,FLD_DPS12M))</f>
        <v/>
      </c>
      <c r="I19" s="126">
        <f>IF($C19="","",BDP($C19,FLD_YLD12M))</f>
        <v/>
      </c>
      <c r="J19" s="128">
        <f>IF($B19="",0,SUMPRODUCT(('Dvd Calendar'!$E$143:$AR$143&gt;=WIN_FROM)*('Dvd Calendar'!$E$143:$AR$143&lt;=REALIZED_TO)*'Dvd Calendar'!$E$146:$AR$146*(('Dvd Calendar'!$E$148:$AR$148=TYPE1)*(TYPE1&lt;&gt;"")+('Dvd Calendar'!$E$148:$AR$148=TYPE2)*(TYPE2&lt;&gt;"")+('Dvd Calendar'!$E$148:$AR$148=TYPE3)*(TYPE3&lt;&gt;"")+('Dvd Calendar'!$E$148:$AR$148=TYPE4)*(TYPE4&lt;&gt;"")+('Dvd Calendar'!$E$148:$AR$148=SPECIAL_LBL)*(INC_SPECIALS="Y"))))</f>
        <v/>
      </c>
      <c r="K19" s="128">
        <f>IF($B19="",0,SUMIFS('Dvd Calendar'!$E$151:$AR$151,'Dvd Calendar'!$E$150:$AR$150,"&gt;"&amp;PROJ_FROM,'Dvd Calendar'!$E$150:$AR$150,"&lt;="&amp;WIN_TO)+SUMPRODUCT(('Dvd Calendar'!$E$143:$AR$143&gt;PROJ_FROM)*('Dvd Calendar'!$E$143:$AR$143&lt;=WIN_TO)*'Dvd Calendar'!$E$146:$AR$146*(('Dvd Calendar'!$E$148:$AR$148=TYPE1)*(TYPE1&lt;&gt;"")+('Dvd Calendar'!$E$148:$AR$148=TYPE2)*(TYPE2&lt;&gt;"")+('Dvd Calendar'!$E$148:$AR$148=TYPE3)*(TYPE3&lt;&gt;"")+('Dvd Calendar'!$E$148:$AR$148=TYPE4)*(TYPE4&lt;&gt;"")+('Dvd Calendar'!$E$148:$AR$148=SPECIAL_LBL)*(INC_SPECIALS="Y"))*(COUNTIF('Dvd Calendar'!$E$150:$AR$150,'Dvd Calendar'!$E$143:$AR$143)=0)))</f>
        <v/>
      </c>
      <c r="L19" s="128">
        <f>IF($B19="",0,IF((OV_SWITCH="ON")*(COUNTIFS(OVR_TICKERS,$C19,OVR_BASE,"&gt;=0")&gt;0)&gt;0,SUMIFS(OVR_BASE,OVR_TICKERS,$C19),$K19))</f>
        <v/>
      </c>
      <c r="M19" s="128">
        <f>IF($B19="",0,IF((OV_SWITCH="ON")*(COUNTIFS(OVR_TICKERS,$C19,OVR_LOW,"&gt;=0")&gt;0)&gt;0,SUMIFS(OVR_LOW,OVR_TICKERS,$C19),$L19))</f>
        <v/>
      </c>
      <c r="N19" s="128">
        <f>IF($B19="",0,IF((OV_SWITCH="ON")*(COUNTIFS(OVR_TICKERS,$C19,OVR_HIGH,"&gt;=0")&gt;0)&gt;0,SUMIFS(OVR_HIGH,OVR_TICKERS,$C19),$L19))</f>
        <v/>
      </c>
      <c r="O19" s="133">
        <f>IF($B19="","",IFERROR($B19*$G19*$J19/$B$3,""))</f>
        <v/>
      </c>
      <c r="P19" s="133">
        <f>IF($B19="","",IFERROR($B19*$G19*$L19/$B$3,""))</f>
        <v/>
      </c>
      <c r="Q19" s="124">
        <f>IF($B19="","",IFERROR($O19+$P19,""))</f>
        <v/>
      </c>
      <c r="R19" s="133">
        <f>IF($B19="","",IFERROR($O19+$B19*$G19*$M19/$B$3,""))</f>
        <v/>
      </c>
      <c r="S19" s="133">
        <f>IF($B19="","",IFERROR($O19+$B19*$G19*$N19/$B$3,""))</f>
        <v/>
      </c>
      <c r="T19" s="150">
        <f>IF($B19="","",IFERROR($Q19/$Q$5,""))</f>
        <v/>
      </c>
      <c r="U19" s="2">
        <f>IF($B19="","",IF(COUNTIFS('Dvd Calendar'!$E$149:$AR$149,"&gt;0",'Dvd Calendar'!$E$149:$AR$149,"&lt;="&amp;VAL_DATE,'Dvd Calendar'!$E$150:$AR$150,"&gt;"&amp;PROJ_FROM,'Dvd Calendar'!$E$150:$AR$150,"&lt;="&amp;WIN_TO)-COUNTIFS('Dvd Calendar'!$E$149:$AR$149,"&gt;0",'Dvd Calendar'!$E$149:$AR$149,"&lt;="&amp;VAL_DATE,'Dvd Calendar'!$E$150:$AR$150,"&gt;"&amp;PROJ_FROM,'Dvd Calendar'!$E$150:$AR$150,"&lt;="&amp;WIN_TO,'Dvd Calendar'!$E$151:$AR$151,"&gt;=0")&gt;0,"TBA amount - override me",IF((OV_SWITCH="ON")*(COUNTIFS(OVR_TICKERS,$C19,OVR_BASE,"&gt;=0")&gt;0)&gt;0,"overridden",IF($J19+$K19=0,"no dividend in year Y",""))))</f>
        <v/>
      </c>
      <c r="V19" s="133">
        <f>IF($B19="","",IFERROR(IF(ISNUMBER($H19),$B19*$G19*$H19/$B$3,0),""))</f>
        <v/>
      </c>
      <c r="W19" s="133">
        <f>IF($B19="","",IFERROR($B19*$G19*$K19/$B$3,""))</f>
        <v/>
      </c>
      <c r="X19" s="157">
        <f>IF($C19="","",BDP($C19,"PX_LAST"))</f>
        <v/>
      </c>
      <c r="Y19" s="133">
        <f>IF($B19="","",IFERROR($B19*$X19/$B$3,""))</f>
        <v/>
      </c>
      <c r="Z19" s="137">
        <f>IF($B19="","",IFERROR($Y19/$Y$5,""))</f>
        <v/>
      </c>
    </row>
    <row r="20">
      <c r="B20" s="97" t="n"/>
      <c r="C20" s="8">
        <f>IF($A20="","",$A20&amp;" Equity")</f>
        <v/>
      </c>
      <c r="D20" s="8">
        <f>IF($C20="","",BDP($C20,"NAME"))</f>
        <v/>
      </c>
      <c r="E20" s="8">
        <f>IF($C20="","",BDP($C20,"GICS_SECTOR_NAME"))</f>
        <v/>
      </c>
      <c r="F20" s="37">
        <f>IF($C20="","",BDP($C20,FLD_CCY))</f>
        <v/>
      </c>
      <c r="G20" s="111">
        <f>IFERROR(IF(LEN($F20)&lt;&gt;3,1,IF($F20="HKD",1,BDP(IF($F20="CNY",RMB_CROSS,$F20)&amp;"HKD Curncy","PX_LAST"))),1)</f>
        <v/>
      </c>
      <c r="H20" s="133">
        <f>IF($C20="","",BDP($C20,FLD_DPS12M))</f>
        <v/>
      </c>
      <c r="I20" s="126">
        <f>IF($C20="","",BDP($C20,FLD_YLD12M))</f>
        <v/>
      </c>
      <c r="J20" s="128">
        <f>IF($B20="",0,SUMPRODUCT(('Dvd Calendar'!$E$154:$AR$154&gt;=WIN_FROM)*('Dvd Calendar'!$E$154:$AR$154&lt;=REALIZED_TO)*'Dvd Calendar'!$E$157:$AR$157*(('Dvd Calendar'!$E$159:$AR$159=TYPE1)*(TYPE1&lt;&gt;"")+('Dvd Calendar'!$E$159:$AR$159=TYPE2)*(TYPE2&lt;&gt;"")+('Dvd Calendar'!$E$159:$AR$159=TYPE3)*(TYPE3&lt;&gt;"")+('Dvd Calendar'!$E$159:$AR$159=TYPE4)*(TYPE4&lt;&gt;"")+('Dvd Calendar'!$E$159:$AR$159=SPECIAL_LBL)*(INC_SPECIALS="Y"))))</f>
        <v/>
      </c>
      <c r="K20" s="128">
        <f>IF($B20="",0,SUMIFS('Dvd Calendar'!$E$162:$AR$162,'Dvd Calendar'!$E$161:$AR$161,"&gt;"&amp;PROJ_FROM,'Dvd Calendar'!$E$161:$AR$161,"&lt;="&amp;WIN_TO)+SUMPRODUCT(('Dvd Calendar'!$E$154:$AR$154&gt;PROJ_FROM)*('Dvd Calendar'!$E$154:$AR$154&lt;=WIN_TO)*'Dvd Calendar'!$E$157:$AR$157*(('Dvd Calendar'!$E$159:$AR$159=TYPE1)*(TYPE1&lt;&gt;"")+('Dvd Calendar'!$E$159:$AR$159=TYPE2)*(TYPE2&lt;&gt;"")+('Dvd Calendar'!$E$159:$AR$159=TYPE3)*(TYPE3&lt;&gt;"")+('Dvd Calendar'!$E$159:$AR$159=TYPE4)*(TYPE4&lt;&gt;"")+('Dvd Calendar'!$E$159:$AR$159=SPECIAL_LBL)*(INC_SPECIALS="Y"))*(COUNTIF('Dvd Calendar'!$E$161:$AR$161,'Dvd Calendar'!$E$154:$AR$154)=0)))</f>
        <v/>
      </c>
      <c r="L20" s="128">
        <f>IF($B20="",0,IF((OV_SWITCH="ON")*(COUNTIFS(OVR_TICKERS,$C20,OVR_BASE,"&gt;=0")&gt;0)&gt;0,SUMIFS(OVR_BASE,OVR_TICKERS,$C20),$K20))</f>
        <v/>
      </c>
      <c r="M20" s="128">
        <f>IF($B20="",0,IF((OV_SWITCH="ON")*(COUNTIFS(OVR_TICKERS,$C20,OVR_LOW,"&gt;=0")&gt;0)&gt;0,SUMIFS(OVR_LOW,OVR_TICKERS,$C20),$L20))</f>
        <v/>
      </c>
      <c r="N20" s="128">
        <f>IF($B20="",0,IF((OV_SWITCH="ON")*(COUNTIFS(OVR_TICKERS,$C20,OVR_HIGH,"&gt;=0")&gt;0)&gt;0,SUMIFS(OVR_HIGH,OVR_TICKERS,$C20),$L20))</f>
        <v/>
      </c>
      <c r="O20" s="133">
        <f>IF($B20="","",IFERROR($B20*$G20*$J20/$B$3,""))</f>
        <v/>
      </c>
      <c r="P20" s="133">
        <f>IF($B20="","",IFERROR($B20*$G20*$L20/$B$3,""))</f>
        <v/>
      </c>
      <c r="Q20" s="124">
        <f>IF($B20="","",IFERROR($O20+$P20,""))</f>
        <v/>
      </c>
      <c r="R20" s="133">
        <f>IF($B20="","",IFERROR($O20+$B20*$G20*$M20/$B$3,""))</f>
        <v/>
      </c>
      <c r="S20" s="133">
        <f>IF($B20="","",IFERROR($O20+$B20*$G20*$N20/$B$3,""))</f>
        <v/>
      </c>
      <c r="T20" s="150">
        <f>IF($B20="","",IFERROR($Q20/$Q$5,""))</f>
        <v/>
      </c>
      <c r="U20" s="2">
        <f>IF($B20="","",IF(COUNTIFS('Dvd Calendar'!$E$160:$AR$160,"&gt;0",'Dvd Calendar'!$E$160:$AR$160,"&lt;="&amp;VAL_DATE,'Dvd Calendar'!$E$161:$AR$161,"&gt;"&amp;PROJ_FROM,'Dvd Calendar'!$E$161:$AR$161,"&lt;="&amp;WIN_TO)-COUNTIFS('Dvd Calendar'!$E$160:$AR$160,"&gt;0",'Dvd Calendar'!$E$160:$AR$160,"&lt;="&amp;VAL_DATE,'Dvd Calendar'!$E$161:$AR$161,"&gt;"&amp;PROJ_FROM,'Dvd Calendar'!$E$161:$AR$161,"&lt;="&amp;WIN_TO,'Dvd Calendar'!$E$162:$AR$162,"&gt;=0")&gt;0,"TBA amount - override me",IF((OV_SWITCH="ON")*(COUNTIFS(OVR_TICKERS,$C20,OVR_BASE,"&gt;=0")&gt;0)&gt;0,"overridden",IF($J20+$K20=0,"no dividend in year Y",""))))</f>
        <v/>
      </c>
      <c r="V20" s="133">
        <f>IF($B20="","",IFERROR(IF(ISNUMBER($H20),$B20*$G20*$H20/$B$3,0),""))</f>
        <v/>
      </c>
      <c r="W20" s="133">
        <f>IF($B20="","",IFERROR($B20*$G20*$K20/$B$3,""))</f>
        <v/>
      </c>
      <c r="X20" s="157">
        <f>IF($C20="","",BDP($C20,"PX_LAST"))</f>
        <v/>
      </c>
      <c r="Y20" s="133">
        <f>IF($B20="","",IFERROR($B20*$X20/$B$3,""))</f>
        <v/>
      </c>
      <c r="Z20" s="137">
        <f>IF($B20="","",IFERROR($Y20/$Y$5,""))</f>
        <v/>
      </c>
    </row>
    <row r="21">
      <c r="B21" s="97" t="n"/>
      <c r="C21" s="8">
        <f>IF($A21="","",$A21&amp;" Equity")</f>
        <v/>
      </c>
      <c r="D21" s="8">
        <f>IF($C21="","",BDP($C21,"NAME"))</f>
        <v/>
      </c>
      <c r="E21" s="8">
        <f>IF($C21="","",BDP($C21,"GICS_SECTOR_NAME"))</f>
        <v/>
      </c>
      <c r="F21" s="37">
        <f>IF($C21="","",BDP($C21,FLD_CCY))</f>
        <v/>
      </c>
      <c r="G21" s="111">
        <f>IFERROR(IF(LEN($F21)&lt;&gt;3,1,IF($F21="HKD",1,BDP(IF($F21="CNY",RMB_CROSS,$F21)&amp;"HKD Curncy","PX_LAST"))),1)</f>
        <v/>
      </c>
      <c r="H21" s="133">
        <f>IF($C21="","",BDP($C21,FLD_DPS12M))</f>
        <v/>
      </c>
      <c r="I21" s="126">
        <f>IF($C21="","",BDP($C21,FLD_YLD12M))</f>
        <v/>
      </c>
      <c r="J21" s="128">
        <f>IF($B21="",0,SUMPRODUCT(('Dvd Calendar'!$E$165:$AR$165&gt;=WIN_FROM)*('Dvd Calendar'!$E$165:$AR$165&lt;=REALIZED_TO)*'Dvd Calendar'!$E$168:$AR$168*(('Dvd Calendar'!$E$170:$AR$170=TYPE1)*(TYPE1&lt;&gt;"")+('Dvd Calendar'!$E$170:$AR$170=TYPE2)*(TYPE2&lt;&gt;"")+('Dvd Calendar'!$E$170:$AR$170=TYPE3)*(TYPE3&lt;&gt;"")+('Dvd Calendar'!$E$170:$AR$170=TYPE4)*(TYPE4&lt;&gt;"")+('Dvd Calendar'!$E$170:$AR$170=SPECIAL_LBL)*(INC_SPECIALS="Y"))))</f>
        <v/>
      </c>
      <c r="K21" s="128">
        <f>IF($B21="",0,SUMIFS('Dvd Calendar'!$E$173:$AR$173,'Dvd Calendar'!$E$172:$AR$172,"&gt;"&amp;PROJ_FROM,'Dvd Calendar'!$E$172:$AR$172,"&lt;="&amp;WIN_TO)+SUMPRODUCT(('Dvd Calendar'!$E$165:$AR$165&gt;PROJ_FROM)*('Dvd Calendar'!$E$165:$AR$165&lt;=WIN_TO)*'Dvd Calendar'!$E$168:$AR$168*(('Dvd Calendar'!$E$170:$AR$170=TYPE1)*(TYPE1&lt;&gt;"")+('Dvd Calendar'!$E$170:$AR$170=TYPE2)*(TYPE2&lt;&gt;"")+('Dvd Calendar'!$E$170:$AR$170=TYPE3)*(TYPE3&lt;&gt;"")+('Dvd Calendar'!$E$170:$AR$170=TYPE4)*(TYPE4&lt;&gt;"")+('Dvd Calendar'!$E$170:$AR$170=SPECIAL_LBL)*(INC_SPECIALS="Y"))*(COUNTIF('Dvd Calendar'!$E$172:$AR$172,'Dvd Calendar'!$E$165:$AR$165)=0)))</f>
        <v/>
      </c>
      <c r="L21" s="128">
        <f>IF($B21="",0,IF((OV_SWITCH="ON")*(COUNTIFS(OVR_TICKERS,$C21,OVR_BASE,"&gt;=0")&gt;0)&gt;0,SUMIFS(OVR_BASE,OVR_TICKERS,$C21),$K21))</f>
        <v/>
      </c>
      <c r="M21" s="128">
        <f>IF($B21="",0,IF((OV_SWITCH="ON")*(COUNTIFS(OVR_TICKERS,$C21,OVR_LOW,"&gt;=0")&gt;0)&gt;0,SUMIFS(OVR_LOW,OVR_TICKERS,$C21),$L21))</f>
        <v/>
      </c>
      <c r="N21" s="128">
        <f>IF($B21="",0,IF((OV_SWITCH="ON")*(COUNTIFS(OVR_TICKERS,$C21,OVR_HIGH,"&gt;=0")&gt;0)&gt;0,SUMIFS(OVR_HIGH,OVR_TICKERS,$C21),$L21))</f>
        <v/>
      </c>
      <c r="O21" s="133">
        <f>IF($B21="","",IFERROR($B21*$G21*$J21/$B$3,""))</f>
        <v/>
      </c>
      <c r="P21" s="133">
        <f>IF($B21="","",IFERROR($B21*$G21*$L21/$B$3,""))</f>
        <v/>
      </c>
      <c r="Q21" s="124">
        <f>IF($B21="","",IFERROR($O21+$P21,""))</f>
        <v/>
      </c>
      <c r="R21" s="133">
        <f>IF($B21="","",IFERROR($O21+$B21*$G21*$M21/$B$3,""))</f>
        <v/>
      </c>
      <c r="S21" s="133">
        <f>IF($B21="","",IFERROR($O21+$B21*$G21*$N21/$B$3,""))</f>
        <v/>
      </c>
      <c r="T21" s="150">
        <f>IF($B21="","",IFERROR($Q21/$Q$5,""))</f>
        <v/>
      </c>
      <c r="U21" s="2">
        <f>IF($B21="","",IF(COUNTIFS('Dvd Calendar'!$E$171:$AR$171,"&gt;0",'Dvd Calendar'!$E$171:$AR$171,"&lt;="&amp;VAL_DATE,'Dvd Calendar'!$E$172:$AR$172,"&gt;"&amp;PROJ_FROM,'Dvd Calendar'!$E$172:$AR$172,"&lt;="&amp;WIN_TO)-COUNTIFS('Dvd Calendar'!$E$171:$AR$171,"&gt;0",'Dvd Calendar'!$E$171:$AR$171,"&lt;="&amp;VAL_DATE,'Dvd Calendar'!$E$172:$AR$172,"&gt;"&amp;PROJ_FROM,'Dvd Calendar'!$E$172:$AR$172,"&lt;="&amp;WIN_TO,'Dvd Calendar'!$E$173:$AR$173,"&gt;=0")&gt;0,"TBA amount - override me",IF((OV_SWITCH="ON")*(COUNTIFS(OVR_TICKERS,$C21,OVR_BASE,"&gt;=0")&gt;0)&gt;0,"overridden",IF($J21+$K21=0,"no dividend in year Y",""))))</f>
        <v/>
      </c>
      <c r="V21" s="133">
        <f>IF($B21="","",IFERROR(IF(ISNUMBER($H21),$B21*$G21*$H21/$B$3,0),""))</f>
        <v/>
      </c>
      <c r="W21" s="133">
        <f>IF($B21="","",IFERROR($B21*$G21*$K21/$B$3,""))</f>
        <v/>
      </c>
      <c r="X21" s="157">
        <f>IF($C21="","",BDP($C21,"PX_LAST"))</f>
        <v/>
      </c>
      <c r="Y21" s="133">
        <f>IF($B21="","",IFERROR($B21*$X21/$B$3,""))</f>
        <v/>
      </c>
      <c r="Z21" s="137">
        <f>IF($B21="","",IFERROR($Y21/$Y$5,""))</f>
        <v/>
      </c>
    </row>
    <row r="22">
      <c r="B22" s="97" t="n"/>
      <c r="C22" s="8">
        <f>IF($A22="","",$A22&amp;" Equity")</f>
        <v/>
      </c>
      <c r="D22" s="8">
        <f>IF($C22="","",BDP($C22,"NAME"))</f>
        <v/>
      </c>
      <c r="E22" s="8">
        <f>IF($C22="","",BDP($C22,"GICS_SECTOR_NAME"))</f>
        <v/>
      </c>
      <c r="F22" s="37">
        <f>IF($C22="","",BDP($C22,FLD_CCY))</f>
        <v/>
      </c>
      <c r="G22" s="111">
        <f>IFERROR(IF(LEN($F22)&lt;&gt;3,1,IF($F22="HKD",1,BDP(IF($F22="CNY",RMB_CROSS,$F22)&amp;"HKD Curncy","PX_LAST"))),1)</f>
        <v/>
      </c>
      <c r="H22" s="133">
        <f>IF($C22="","",BDP($C22,FLD_DPS12M))</f>
        <v/>
      </c>
      <c r="I22" s="126">
        <f>IF($C22="","",BDP($C22,FLD_YLD12M))</f>
        <v/>
      </c>
      <c r="J22" s="128">
        <f>IF($B22="",0,SUMPRODUCT(('Dvd Calendar'!$E$176:$AR$176&gt;=WIN_FROM)*('Dvd Calendar'!$E$176:$AR$176&lt;=REALIZED_TO)*'Dvd Calendar'!$E$179:$AR$179*(('Dvd Calendar'!$E$181:$AR$181=TYPE1)*(TYPE1&lt;&gt;"")+('Dvd Calendar'!$E$181:$AR$181=TYPE2)*(TYPE2&lt;&gt;"")+('Dvd Calendar'!$E$181:$AR$181=TYPE3)*(TYPE3&lt;&gt;"")+('Dvd Calendar'!$E$181:$AR$181=TYPE4)*(TYPE4&lt;&gt;"")+('Dvd Calendar'!$E$181:$AR$181=SPECIAL_LBL)*(INC_SPECIALS="Y"))))</f>
        <v/>
      </c>
      <c r="K22" s="128">
        <f>IF($B22="",0,SUMIFS('Dvd Calendar'!$E$184:$AR$184,'Dvd Calendar'!$E$183:$AR$183,"&gt;"&amp;PROJ_FROM,'Dvd Calendar'!$E$183:$AR$183,"&lt;="&amp;WIN_TO)+SUMPRODUCT(('Dvd Calendar'!$E$176:$AR$176&gt;PROJ_FROM)*('Dvd Calendar'!$E$176:$AR$176&lt;=WIN_TO)*'Dvd Calendar'!$E$179:$AR$179*(('Dvd Calendar'!$E$181:$AR$181=TYPE1)*(TYPE1&lt;&gt;"")+('Dvd Calendar'!$E$181:$AR$181=TYPE2)*(TYPE2&lt;&gt;"")+('Dvd Calendar'!$E$181:$AR$181=TYPE3)*(TYPE3&lt;&gt;"")+('Dvd Calendar'!$E$181:$AR$181=TYPE4)*(TYPE4&lt;&gt;"")+('Dvd Calendar'!$E$181:$AR$181=SPECIAL_LBL)*(INC_SPECIALS="Y"))*(COUNTIF('Dvd Calendar'!$E$183:$AR$183,'Dvd Calendar'!$E$176:$AR$176)=0)))</f>
        <v/>
      </c>
      <c r="L22" s="128">
        <f>IF($B22="",0,IF((OV_SWITCH="ON")*(COUNTIFS(OVR_TICKERS,$C22,OVR_BASE,"&gt;=0")&gt;0)&gt;0,SUMIFS(OVR_BASE,OVR_TICKERS,$C22),$K22))</f>
        <v/>
      </c>
      <c r="M22" s="128">
        <f>IF($B22="",0,IF((OV_SWITCH="ON")*(COUNTIFS(OVR_TICKERS,$C22,OVR_LOW,"&gt;=0")&gt;0)&gt;0,SUMIFS(OVR_LOW,OVR_TICKERS,$C22),$L22))</f>
        <v/>
      </c>
      <c r="N22" s="128">
        <f>IF($B22="",0,IF((OV_SWITCH="ON")*(COUNTIFS(OVR_TICKERS,$C22,OVR_HIGH,"&gt;=0")&gt;0)&gt;0,SUMIFS(OVR_HIGH,OVR_TICKERS,$C22),$L22))</f>
        <v/>
      </c>
      <c r="O22" s="133">
        <f>IF($B22="","",IFERROR($B22*$G22*$J22/$B$3,""))</f>
        <v/>
      </c>
      <c r="P22" s="133">
        <f>IF($B22="","",IFERROR($B22*$G22*$L22/$B$3,""))</f>
        <v/>
      </c>
      <c r="Q22" s="124">
        <f>IF($B22="","",IFERROR($O22+$P22,""))</f>
        <v/>
      </c>
      <c r="R22" s="133">
        <f>IF($B22="","",IFERROR($O22+$B22*$G22*$M22/$B$3,""))</f>
        <v/>
      </c>
      <c r="S22" s="133">
        <f>IF($B22="","",IFERROR($O22+$B22*$G22*$N22/$B$3,""))</f>
        <v/>
      </c>
      <c r="T22" s="150">
        <f>IF($B22="","",IFERROR($Q22/$Q$5,""))</f>
        <v/>
      </c>
      <c r="U22" s="2">
        <f>IF($B22="","",IF(COUNTIFS('Dvd Calendar'!$E$182:$AR$182,"&gt;0",'Dvd Calendar'!$E$182:$AR$182,"&lt;="&amp;VAL_DATE,'Dvd Calendar'!$E$183:$AR$183,"&gt;"&amp;PROJ_FROM,'Dvd Calendar'!$E$183:$AR$183,"&lt;="&amp;WIN_TO)-COUNTIFS('Dvd Calendar'!$E$182:$AR$182,"&gt;0",'Dvd Calendar'!$E$182:$AR$182,"&lt;="&amp;VAL_DATE,'Dvd Calendar'!$E$183:$AR$183,"&gt;"&amp;PROJ_FROM,'Dvd Calendar'!$E$183:$AR$183,"&lt;="&amp;WIN_TO,'Dvd Calendar'!$E$184:$AR$184,"&gt;=0")&gt;0,"TBA amount - override me",IF((OV_SWITCH="ON")*(COUNTIFS(OVR_TICKERS,$C22,OVR_BASE,"&gt;=0")&gt;0)&gt;0,"overridden",IF($J22+$K22=0,"no dividend in year Y",""))))</f>
        <v/>
      </c>
      <c r="V22" s="133">
        <f>IF($B22="","",IFERROR(IF(ISNUMBER($H22),$B22*$G22*$H22/$B$3,0),""))</f>
        <v/>
      </c>
      <c r="W22" s="133">
        <f>IF($B22="","",IFERROR($B22*$G22*$K22/$B$3,""))</f>
        <v/>
      </c>
      <c r="X22" s="157">
        <f>IF($C22="","",BDP($C22,"PX_LAST"))</f>
        <v/>
      </c>
      <c r="Y22" s="133">
        <f>IF($B22="","",IFERROR($B22*$X22/$B$3,""))</f>
        <v/>
      </c>
      <c r="Z22" s="137">
        <f>IF($B22="","",IFERROR($Y22/$Y$5,""))</f>
        <v/>
      </c>
    </row>
    <row r="23">
      <c r="B23" s="97" t="n"/>
      <c r="C23" s="8">
        <f>IF($A23="","",$A23&amp;" Equity")</f>
        <v/>
      </c>
      <c r="D23" s="8">
        <f>IF($C23="","",BDP($C23,"NAME"))</f>
        <v/>
      </c>
      <c r="E23" s="8">
        <f>IF($C23="","",BDP($C23,"GICS_SECTOR_NAME"))</f>
        <v/>
      </c>
      <c r="F23" s="37">
        <f>IF($C23="","",BDP($C23,FLD_CCY))</f>
        <v/>
      </c>
      <c r="G23" s="111">
        <f>IFERROR(IF(LEN($F23)&lt;&gt;3,1,IF($F23="HKD",1,BDP(IF($F23="CNY",RMB_CROSS,$F23)&amp;"HKD Curncy","PX_LAST"))),1)</f>
        <v/>
      </c>
      <c r="H23" s="133">
        <f>IF($C23="","",BDP($C23,FLD_DPS12M))</f>
        <v/>
      </c>
      <c r="I23" s="126">
        <f>IF($C23="","",BDP($C23,FLD_YLD12M))</f>
        <v/>
      </c>
      <c r="J23" s="128">
        <f>IF($B23="",0,SUMPRODUCT(('Dvd Calendar'!$E$187:$AR$187&gt;=WIN_FROM)*('Dvd Calendar'!$E$187:$AR$187&lt;=REALIZED_TO)*'Dvd Calendar'!$E$190:$AR$190*(('Dvd Calendar'!$E$192:$AR$192=TYPE1)*(TYPE1&lt;&gt;"")+('Dvd Calendar'!$E$192:$AR$192=TYPE2)*(TYPE2&lt;&gt;"")+('Dvd Calendar'!$E$192:$AR$192=TYPE3)*(TYPE3&lt;&gt;"")+('Dvd Calendar'!$E$192:$AR$192=TYPE4)*(TYPE4&lt;&gt;"")+('Dvd Calendar'!$E$192:$AR$192=SPECIAL_LBL)*(INC_SPECIALS="Y"))))</f>
        <v/>
      </c>
      <c r="K23" s="128">
        <f>IF($B23="",0,SUMIFS('Dvd Calendar'!$E$195:$AR$195,'Dvd Calendar'!$E$194:$AR$194,"&gt;"&amp;PROJ_FROM,'Dvd Calendar'!$E$194:$AR$194,"&lt;="&amp;WIN_TO)+SUMPRODUCT(('Dvd Calendar'!$E$187:$AR$187&gt;PROJ_FROM)*('Dvd Calendar'!$E$187:$AR$187&lt;=WIN_TO)*'Dvd Calendar'!$E$190:$AR$190*(('Dvd Calendar'!$E$192:$AR$192=TYPE1)*(TYPE1&lt;&gt;"")+('Dvd Calendar'!$E$192:$AR$192=TYPE2)*(TYPE2&lt;&gt;"")+('Dvd Calendar'!$E$192:$AR$192=TYPE3)*(TYPE3&lt;&gt;"")+('Dvd Calendar'!$E$192:$AR$192=TYPE4)*(TYPE4&lt;&gt;"")+('Dvd Calendar'!$E$192:$AR$192=SPECIAL_LBL)*(INC_SPECIALS="Y"))*(COUNTIF('Dvd Calendar'!$E$194:$AR$194,'Dvd Calendar'!$E$187:$AR$187)=0)))</f>
        <v/>
      </c>
      <c r="L23" s="128">
        <f>IF($B23="",0,IF((OV_SWITCH="ON")*(COUNTIFS(OVR_TICKERS,$C23,OVR_BASE,"&gt;=0")&gt;0)&gt;0,SUMIFS(OVR_BASE,OVR_TICKERS,$C23),$K23))</f>
        <v/>
      </c>
      <c r="M23" s="128">
        <f>IF($B23="",0,IF((OV_SWITCH="ON")*(COUNTIFS(OVR_TICKERS,$C23,OVR_LOW,"&gt;=0")&gt;0)&gt;0,SUMIFS(OVR_LOW,OVR_TICKERS,$C23),$L23))</f>
        <v/>
      </c>
      <c r="N23" s="128">
        <f>IF($B23="",0,IF((OV_SWITCH="ON")*(COUNTIFS(OVR_TICKERS,$C23,OVR_HIGH,"&gt;=0")&gt;0)&gt;0,SUMIFS(OVR_HIGH,OVR_TICKERS,$C23),$L23))</f>
        <v/>
      </c>
      <c r="O23" s="133">
        <f>IF($B23="","",IFERROR($B23*$G23*$J23/$B$3,""))</f>
        <v/>
      </c>
      <c r="P23" s="133">
        <f>IF($B23="","",IFERROR($B23*$G23*$L23/$B$3,""))</f>
        <v/>
      </c>
      <c r="Q23" s="124">
        <f>IF($B23="","",IFERROR($O23+$P23,""))</f>
        <v/>
      </c>
      <c r="R23" s="133">
        <f>IF($B23="","",IFERROR($O23+$B23*$G23*$M23/$B$3,""))</f>
        <v/>
      </c>
      <c r="S23" s="133">
        <f>IF($B23="","",IFERROR($O23+$B23*$G23*$N23/$B$3,""))</f>
        <v/>
      </c>
      <c r="T23" s="150">
        <f>IF($B23="","",IFERROR($Q23/$Q$5,""))</f>
        <v/>
      </c>
      <c r="U23" s="2">
        <f>IF($B23="","",IF(COUNTIFS('Dvd Calendar'!$E$193:$AR$193,"&gt;0",'Dvd Calendar'!$E$193:$AR$193,"&lt;="&amp;VAL_DATE,'Dvd Calendar'!$E$194:$AR$194,"&gt;"&amp;PROJ_FROM,'Dvd Calendar'!$E$194:$AR$194,"&lt;="&amp;WIN_TO)-COUNTIFS('Dvd Calendar'!$E$193:$AR$193,"&gt;0",'Dvd Calendar'!$E$193:$AR$193,"&lt;="&amp;VAL_DATE,'Dvd Calendar'!$E$194:$AR$194,"&gt;"&amp;PROJ_FROM,'Dvd Calendar'!$E$194:$AR$194,"&lt;="&amp;WIN_TO,'Dvd Calendar'!$E$195:$AR$195,"&gt;=0")&gt;0,"TBA amount - override me",IF((OV_SWITCH="ON")*(COUNTIFS(OVR_TICKERS,$C23,OVR_BASE,"&gt;=0")&gt;0)&gt;0,"overridden",IF($J23+$K23=0,"no dividend in year Y",""))))</f>
        <v/>
      </c>
      <c r="V23" s="133">
        <f>IF($B23="","",IFERROR(IF(ISNUMBER($H23),$B23*$G23*$H23/$B$3,0),""))</f>
        <v/>
      </c>
      <c r="W23" s="133">
        <f>IF($B23="","",IFERROR($B23*$G23*$K23/$B$3,""))</f>
        <v/>
      </c>
      <c r="X23" s="157">
        <f>IF($C23="","",BDP($C23,"PX_LAST"))</f>
        <v/>
      </c>
      <c r="Y23" s="133">
        <f>IF($B23="","",IFERROR($B23*$X23/$B$3,""))</f>
        <v/>
      </c>
      <c r="Z23" s="137">
        <f>IF($B23="","",IFERROR($Y23/$Y$5,""))</f>
        <v/>
      </c>
    </row>
    <row r="24">
      <c r="B24" s="97" t="n"/>
      <c r="C24" s="8">
        <f>IF($A24="","",$A24&amp;" Equity")</f>
        <v/>
      </c>
      <c r="D24" s="8">
        <f>IF($C24="","",BDP($C24,"NAME"))</f>
        <v/>
      </c>
      <c r="E24" s="8">
        <f>IF($C24="","",BDP($C24,"GICS_SECTOR_NAME"))</f>
        <v/>
      </c>
      <c r="F24" s="37">
        <f>IF($C24="","",BDP($C24,FLD_CCY))</f>
        <v/>
      </c>
      <c r="G24" s="111">
        <f>IFERROR(IF(LEN($F24)&lt;&gt;3,1,IF($F24="HKD",1,BDP(IF($F24="CNY",RMB_CROSS,$F24)&amp;"HKD Curncy","PX_LAST"))),1)</f>
        <v/>
      </c>
      <c r="H24" s="133">
        <f>IF($C24="","",BDP($C24,FLD_DPS12M))</f>
        <v/>
      </c>
      <c r="I24" s="126">
        <f>IF($C24="","",BDP($C24,FLD_YLD12M))</f>
        <v/>
      </c>
      <c r="J24" s="128">
        <f>IF($B24="",0,SUMPRODUCT(('Dvd Calendar'!$E$198:$AR$198&gt;=WIN_FROM)*('Dvd Calendar'!$E$198:$AR$198&lt;=REALIZED_TO)*'Dvd Calendar'!$E$201:$AR$201*(('Dvd Calendar'!$E$203:$AR$203=TYPE1)*(TYPE1&lt;&gt;"")+('Dvd Calendar'!$E$203:$AR$203=TYPE2)*(TYPE2&lt;&gt;"")+('Dvd Calendar'!$E$203:$AR$203=TYPE3)*(TYPE3&lt;&gt;"")+('Dvd Calendar'!$E$203:$AR$203=TYPE4)*(TYPE4&lt;&gt;"")+('Dvd Calendar'!$E$203:$AR$203=SPECIAL_LBL)*(INC_SPECIALS="Y"))))</f>
        <v/>
      </c>
      <c r="K24" s="128">
        <f>IF($B24="",0,SUMIFS('Dvd Calendar'!$E$206:$AR$206,'Dvd Calendar'!$E$205:$AR$205,"&gt;"&amp;PROJ_FROM,'Dvd Calendar'!$E$205:$AR$205,"&lt;="&amp;WIN_TO)+SUMPRODUCT(('Dvd Calendar'!$E$198:$AR$198&gt;PROJ_FROM)*('Dvd Calendar'!$E$198:$AR$198&lt;=WIN_TO)*'Dvd Calendar'!$E$201:$AR$201*(('Dvd Calendar'!$E$203:$AR$203=TYPE1)*(TYPE1&lt;&gt;"")+('Dvd Calendar'!$E$203:$AR$203=TYPE2)*(TYPE2&lt;&gt;"")+('Dvd Calendar'!$E$203:$AR$203=TYPE3)*(TYPE3&lt;&gt;"")+('Dvd Calendar'!$E$203:$AR$203=TYPE4)*(TYPE4&lt;&gt;"")+('Dvd Calendar'!$E$203:$AR$203=SPECIAL_LBL)*(INC_SPECIALS="Y"))*(COUNTIF('Dvd Calendar'!$E$205:$AR$205,'Dvd Calendar'!$E$198:$AR$198)=0)))</f>
        <v/>
      </c>
      <c r="L24" s="128">
        <f>IF($B24="",0,IF((OV_SWITCH="ON")*(COUNTIFS(OVR_TICKERS,$C24,OVR_BASE,"&gt;=0")&gt;0)&gt;0,SUMIFS(OVR_BASE,OVR_TICKERS,$C24),$K24))</f>
        <v/>
      </c>
      <c r="M24" s="128">
        <f>IF($B24="",0,IF((OV_SWITCH="ON")*(COUNTIFS(OVR_TICKERS,$C24,OVR_LOW,"&gt;=0")&gt;0)&gt;0,SUMIFS(OVR_LOW,OVR_TICKERS,$C24),$L24))</f>
        <v/>
      </c>
      <c r="N24" s="128">
        <f>IF($B24="",0,IF((OV_SWITCH="ON")*(COUNTIFS(OVR_TICKERS,$C24,OVR_HIGH,"&gt;=0")&gt;0)&gt;0,SUMIFS(OVR_HIGH,OVR_TICKERS,$C24),$L24))</f>
        <v/>
      </c>
      <c r="O24" s="133">
        <f>IF($B24="","",IFERROR($B24*$G24*$J24/$B$3,""))</f>
        <v/>
      </c>
      <c r="P24" s="133">
        <f>IF($B24="","",IFERROR($B24*$G24*$L24/$B$3,""))</f>
        <v/>
      </c>
      <c r="Q24" s="124">
        <f>IF($B24="","",IFERROR($O24+$P24,""))</f>
        <v/>
      </c>
      <c r="R24" s="133">
        <f>IF($B24="","",IFERROR($O24+$B24*$G24*$M24/$B$3,""))</f>
        <v/>
      </c>
      <c r="S24" s="133">
        <f>IF($B24="","",IFERROR($O24+$B24*$G24*$N24/$B$3,""))</f>
        <v/>
      </c>
      <c r="T24" s="150">
        <f>IF($B24="","",IFERROR($Q24/$Q$5,""))</f>
        <v/>
      </c>
      <c r="U24" s="2">
        <f>IF($B24="","",IF(COUNTIFS('Dvd Calendar'!$E$204:$AR$204,"&gt;0",'Dvd Calendar'!$E$204:$AR$204,"&lt;="&amp;VAL_DATE,'Dvd Calendar'!$E$205:$AR$205,"&gt;"&amp;PROJ_FROM,'Dvd Calendar'!$E$205:$AR$205,"&lt;="&amp;WIN_TO)-COUNTIFS('Dvd Calendar'!$E$204:$AR$204,"&gt;0",'Dvd Calendar'!$E$204:$AR$204,"&lt;="&amp;VAL_DATE,'Dvd Calendar'!$E$205:$AR$205,"&gt;"&amp;PROJ_FROM,'Dvd Calendar'!$E$205:$AR$205,"&lt;="&amp;WIN_TO,'Dvd Calendar'!$E$206:$AR$206,"&gt;=0")&gt;0,"TBA amount - override me",IF((OV_SWITCH="ON")*(COUNTIFS(OVR_TICKERS,$C24,OVR_BASE,"&gt;=0")&gt;0)&gt;0,"overridden",IF($J24+$K24=0,"no dividend in year Y",""))))</f>
        <v/>
      </c>
      <c r="V24" s="133">
        <f>IF($B24="","",IFERROR(IF(ISNUMBER($H24),$B24*$G24*$H24/$B$3,0),""))</f>
        <v/>
      </c>
      <c r="W24" s="133">
        <f>IF($B24="","",IFERROR($B24*$G24*$K24/$B$3,""))</f>
        <v/>
      </c>
      <c r="X24" s="157">
        <f>IF($C24="","",BDP($C24,"PX_LAST"))</f>
        <v/>
      </c>
      <c r="Y24" s="133">
        <f>IF($B24="","",IFERROR($B24*$X24/$B$3,""))</f>
        <v/>
      </c>
      <c r="Z24" s="137">
        <f>IF($B24="","",IFERROR($Y24/$Y$5,""))</f>
        <v/>
      </c>
    </row>
    <row r="25">
      <c r="B25" s="97" t="n"/>
      <c r="C25" s="8">
        <f>IF($A25="","",$A25&amp;" Equity")</f>
        <v/>
      </c>
      <c r="D25" s="8">
        <f>IF($C25="","",BDP($C25,"NAME"))</f>
        <v/>
      </c>
      <c r="E25" s="8">
        <f>IF($C25="","",BDP($C25,"GICS_SECTOR_NAME"))</f>
        <v/>
      </c>
      <c r="F25" s="37">
        <f>IF($C25="","",BDP($C25,FLD_CCY))</f>
        <v/>
      </c>
      <c r="G25" s="111">
        <f>IFERROR(IF(LEN($F25)&lt;&gt;3,1,IF($F25="HKD",1,BDP(IF($F25="CNY",RMB_CROSS,$F25)&amp;"HKD Curncy","PX_LAST"))),1)</f>
        <v/>
      </c>
      <c r="H25" s="133">
        <f>IF($C25="","",BDP($C25,FLD_DPS12M))</f>
        <v/>
      </c>
      <c r="I25" s="126">
        <f>IF($C25="","",BDP($C25,FLD_YLD12M))</f>
        <v/>
      </c>
      <c r="J25" s="128">
        <f>IF($B25="",0,SUMPRODUCT(('Dvd Calendar'!$E$209:$AR$209&gt;=WIN_FROM)*('Dvd Calendar'!$E$209:$AR$209&lt;=REALIZED_TO)*'Dvd Calendar'!$E$212:$AR$212*(('Dvd Calendar'!$E$214:$AR$214=TYPE1)*(TYPE1&lt;&gt;"")+('Dvd Calendar'!$E$214:$AR$214=TYPE2)*(TYPE2&lt;&gt;"")+('Dvd Calendar'!$E$214:$AR$214=TYPE3)*(TYPE3&lt;&gt;"")+('Dvd Calendar'!$E$214:$AR$214=TYPE4)*(TYPE4&lt;&gt;"")+('Dvd Calendar'!$E$214:$AR$214=SPECIAL_LBL)*(INC_SPECIALS="Y"))))</f>
        <v/>
      </c>
      <c r="K25" s="128">
        <f>IF($B25="",0,SUMIFS('Dvd Calendar'!$E$217:$AR$217,'Dvd Calendar'!$E$216:$AR$216,"&gt;"&amp;PROJ_FROM,'Dvd Calendar'!$E$216:$AR$216,"&lt;="&amp;WIN_TO)+SUMPRODUCT(('Dvd Calendar'!$E$209:$AR$209&gt;PROJ_FROM)*('Dvd Calendar'!$E$209:$AR$209&lt;=WIN_TO)*'Dvd Calendar'!$E$212:$AR$212*(('Dvd Calendar'!$E$214:$AR$214=TYPE1)*(TYPE1&lt;&gt;"")+('Dvd Calendar'!$E$214:$AR$214=TYPE2)*(TYPE2&lt;&gt;"")+('Dvd Calendar'!$E$214:$AR$214=TYPE3)*(TYPE3&lt;&gt;"")+('Dvd Calendar'!$E$214:$AR$214=TYPE4)*(TYPE4&lt;&gt;"")+('Dvd Calendar'!$E$214:$AR$214=SPECIAL_LBL)*(INC_SPECIALS="Y"))*(COUNTIF('Dvd Calendar'!$E$216:$AR$216,'Dvd Calendar'!$E$209:$AR$209)=0)))</f>
        <v/>
      </c>
      <c r="L25" s="128">
        <f>IF($B25="",0,IF((OV_SWITCH="ON")*(COUNTIFS(OVR_TICKERS,$C25,OVR_BASE,"&gt;=0")&gt;0)&gt;0,SUMIFS(OVR_BASE,OVR_TICKERS,$C25),$K25))</f>
        <v/>
      </c>
      <c r="M25" s="128">
        <f>IF($B25="",0,IF((OV_SWITCH="ON")*(COUNTIFS(OVR_TICKERS,$C25,OVR_LOW,"&gt;=0")&gt;0)&gt;0,SUMIFS(OVR_LOW,OVR_TICKERS,$C25),$L25))</f>
        <v/>
      </c>
      <c r="N25" s="128">
        <f>IF($B25="",0,IF((OV_SWITCH="ON")*(COUNTIFS(OVR_TICKERS,$C25,OVR_HIGH,"&gt;=0")&gt;0)&gt;0,SUMIFS(OVR_HIGH,OVR_TICKERS,$C25),$L25))</f>
        <v/>
      </c>
      <c r="O25" s="133">
        <f>IF($B25="","",IFERROR($B25*$G25*$J25/$B$3,""))</f>
        <v/>
      </c>
      <c r="P25" s="133">
        <f>IF($B25="","",IFERROR($B25*$G25*$L25/$B$3,""))</f>
        <v/>
      </c>
      <c r="Q25" s="124">
        <f>IF($B25="","",IFERROR($O25+$P25,""))</f>
        <v/>
      </c>
      <c r="R25" s="133">
        <f>IF($B25="","",IFERROR($O25+$B25*$G25*$M25/$B$3,""))</f>
        <v/>
      </c>
      <c r="S25" s="133">
        <f>IF($B25="","",IFERROR($O25+$B25*$G25*$N25/$B$3,""))</f>
        <v/>
      </c>
      <c r="T25" s="150">
        <f>IF($B25="","",IFERROR($Q25/$Q$5,""))</f>
        <v/>
      </c>
      <c r="U25" s="2">
        <f>IF($B25="","",IF(COUNTIFS('Dvd Calendar'!$E$215:$AR$215,"&gt;0",'Dvd Calendar'!$E$215:$AR$215,"&lt;="&amp;VAL_DATE,'Dvd Calendar'!$E$216:$AR$216,"&gt;"&amp;PROJ_FROM,'Dvd Calendar'!$E$216:$AR$216,"&lt;="&amp;WIN_TO)-COUNTIFS('Dvd Calendar'!$E$215:$AR$215,"&gt;0",'Dvd Calendar'!$E$215:$AR$215,"&lt;="&amp;VAL_DATE,'Dvd Calendar'!$E$216:$AR$216,"&gt;"&amp;PROJ_FROM,'Dvd Calendar'!$E$216:$AR$216,"&lt;="&amp;WIN_TO,'Dvd Calendar'!$E$217:$AR$217,"&gt;=0")&gt;0,"TBA amount - override me",IF((OV_SWITCH="ON")*(COUNTIFS(OVR_TICKERS,$C25,OVR_BASE,"&gt;=0")&gt;0)&gt;0,"overridden",IF($J25+$K25=0,"no dividend in year Y",""))))</f>
        <v/>
      </c>
      <c r="V25" s="133">
        <f>IF($B25="","",IFERROR(IF(ISNUMBER($H25),$B25*$G25*$H25/$B$3,0),""))</f>
        <v/>
      </c>
      <c r="W25" s="133">
        <f>IF($B25="","",IFERROR($B25*$G25*$K25/$B$3,""))</f>
        <v/>
      </c>
      <c r="X25" s="157">
        <f>IF($C25="","",BDP($C25,"PX_LAST"))</f>
        <v/>
      </c>
      <c r="Y25" s="133">
        <f>IF($B25="","",IFERROR($B25*$X25/$B$3,""))</f>
        <v/>
      </c>
      <c r="Z25" s="137">
        <f>IF($B25="","",IFERROR($Y25/$Y$5,""))</f>
        <v/>
      </c>
    </row>
    <row r="26">
      <c r="B26" s="97" t="n"/>
      <c r="C26" s="8">
        <f>IF($A26="","",$A26&amp;" Equity")</f>
        <v/>
      </c>
      <c r="D26" s="8">
        <f>IF($C26="","",BDP($C26,"NAME"))</f>
        <v/>
      </c>
      <c r="E26" s="8">
        <f>IF($C26="","",BDP($C26,"GICS_SECTOR_NAME"))</f>
        <v/>
      </c>
      <c r="F26" s="37">
        <f>IF($C26="","",BDP($C26,FLD_CCY))</f>
        <v/>
      </c>
      <c r="G26" s="111">
        <f>IFERROR(IF(LEN($F26)&lt;&gt;3,1,IF($F26="HKD",1,BDP(IF($F26="CNY",RMB_CROSS,$F26)&amp;"HKD Curncy","PX_LAST"))),1)</f>
        <v/>
      </c>
      <c r="H26" s="133">
        <f>IF($C26="","",BDP($C26,FLD_DPS12M))</f>
        <v/>
      </c>
      <c r="I26" s="126">
        <f>IF($C26="","",BDP($C26,FLD_YLD12M))</f>
        <v/>
      </c>
      <c r="J26" s="128">
        <f>IF($B26="",0,SUMPRODUCT(('Dvd Calendar'!$E$220:$AR$220&gt;=WIN_FROM)*('Dvd Calendar'!$E$220:$AR$220&lt;=REALIZED_TO)*'Dvd Calendar'!$E$223:$AR$223*(('Dvd Calendar'!$E$225:$AR$225=TYPE1)*(TYPE1&lt;&gt;"")+('Dvd Calendar'!$E$225:$AR$225=TYPE2)*(TYPE2&lt;&gt;"")+('Dvd Calendar'!$E$225:$AR$225=TYPE3)*(TYPE3&lt;&gt;"")+('Dvd Calendar'!$E$225:$AR$225=TYPE4)*(TYPE4&lt;&gt;"")+('Dvd Calendar'!$E$225:$AR$225=SPECIAL_LBL)*(INC_SPECIALS="Y"))))</f>
        <v/>
      </c>
      <c r="K26" s="128">
        <f>IF($B26="",0,SUMIFS('Dvd Calendar'!$E$228:$AR$228,'Dvd Calendar'!$E$227:$AR$227,"&gt;"&amp;PROJ_FROM,'Dvd Calendar'!$E$227:$AR$227,"&lt;="&amp;WIN_TO)+SUMPRODUCT(('Dvd Calendar'!$E$220:$AR$220&gt;PROJ_FROM)*('Dvd Calendar'!$E$220:$AR$220&lt;=WIN_TO)*'Dvd Calendar'!$E$223:$AR$223*(('Dvd Calendar'!$E$225:$AR$225=TYPE1)*(TYPE1&lt;&gt;"")+('Dvd Calendar'!$E$225:$AR$225=TYPE2)*(TYPE2&lt;&gt;"")+('Dvd Calendar'!$E$225:$AR$225=TYPE3)*(TYPE3&lt;&gt;"")+('Dvd Calendar'!$E$225:$AR$225=TYPE4)*(TYPE4&lt;&gt;"")+('Dvd Calendar'!$E$225:$AR$225=SPECIAL_LBL)*(INC_SPECIALS="Y"))*(COUNTIF('Dvd Calendar'!$E$227:$AR$227,'Dvd Calendar'!$E$220:$AR$220)=0)))</f>
        <v/>
      </c>
      <c r="L26" s="128">
        <f>IF($B26="",0,IF((OV_SWITCH="ON")*(COUNTIFS(OVR_TICKERS,$C26,OVR_BASE,"&gt;=0")&gt;0)&gt;0,SUMIFS(OVR_BASE,OVR_TICKERS,$C26),$K26))</f>
        <v/>
      </c>
      <c r="M26" s="128">
        <f>IF($B26="",0,IF((OV_SWITCH="ON")*(COUNTIFS(OVR_TICKERS,$C26,OVR_LOW,"&gt;=0")&gt;0)&gt;0,SUMIFS(OVR_LOW,OVR_TICKERS,$C26),$L26))</f>
        <v/>
      </c>
      <c r="N26" s="128">
        <f>IF($B26="",0,IF((OV_SWITCH="ON")*(COUNTIFS(OVR_TICKERS,$C26,OVR_HIGH,"&gt;=0")&gt;0)&gt;0,SUMIFS(OVR_HIGH,OVR_TICKERS,$C26),$L26))</f>
        <v/>
      </c>
      <c r="O26" s="133">
        <f>IF($B26="","",IFERROR($B26*$G26*$J26/$B$3,""))</f>
        <v/>
      </c>
      <c r="P26" s="133">
        <f>IF($B26="","",IFERROR($B26*$G26*$L26/$B$3,""))</f>
        <v/>
      </c>
      <c r="Q26" s="124">
        <f>IF($B26="","",IFERROR($O26+$P26,""))</f>
        <v/>
      </c>
      <c r="R26" s="133">
        <f>IF($B26="","",IFERROR($O26+$B26*$G26*$M26/$B$3,""))</f>
        <v/>
      </c>
      <c r="S26" s="133">
        <f>IF($B26="","",IFERROR($O26+$B26*$G26*$N26/$B$3,""))</f>
        <v/>
      </c>
      <c r="T26" s="150">
        <f>IF($B26="","",IFERROR($Q26/$Q$5,""))</f>
        <v/>
      </c>
      <c r="U26" s="2">
        <f>IF($B26="","",IF(COUNTIFS('Dvd Calendar'!$E$226:$AR$226,"&gt;0",'Dvd Calendar'!$E$226:$AR$226,"&lt;="&amp;VAL_DATE,'Dvd Calendar'!$E$227:$AR$227,"&gt;"&amp;PROJ_FROM,'Dvd Calendar'!$E$227:$AR$227,"&lt;="&amp;WIN_TO)-COUNTIFS('Dvd Calendar'!$E$226:$AR$226,"&gt;0",'Dvd Calendar'!$E$226:$AR$226,"&lt;="&amp;VAL_DATE,'Dvd Calendar'!$E$227:$AR$227,"&gt;"&amp;PROJ_FROM,'Dvd Calendar'!$E$227:$AR$227,"&lt;="&amp;WIN_TO,'Dvd Calendar'!$E$228:$AR$228,"&gt;=0")&gt;0,"TBA amount - override me",IF((OV_SWITCH="ON")*(COUNTIFS(OVR_TICKERS,$C26,OVR_BASE,"&gt;=0")&gt;0)&gt;0,"overridden",IF($J26+$K26=0,"no dividend in year Y",""))))</f>
        <v/>
      </c>
      <c r="V26" s="133">
        <f>IF($B26="","",IFERROR(IF(ISNUMBER($H26),$B26*$G26*$H26/$B$3,0),""))</f>
        <v/>
      </c>
      <c r="W26" s="133">
        <f>IF($B26="","",IFERROR($B26*$G26*$K26/$B$3,""))</f>
        <v/>
      </c>
      <c r="X26" s="157">
        <f>IF($C26="","",BDP($C26,"PX_LAST"))</f>
        <v/>
      </c>
      <c r="Y26" s="133">
        <f>IF($B26="","",IFERROR($B26*$X26/$B$3,""))</f>
        <v/>
      </c>
      <c r="Z26" s="137">
        <f>IF($B26="","",IFERROR($Y26/$Y$5,""))</f>
        <v/>
      </c>
    </row>
    <row r="27">
      <c r="B27" s="97" t="n"/>
      <c r="C27" s="8">
        <f>IF($A27="","",$A27&amp;" Equity")</f>
        <v/>
      </c>
      <c r="D27" s="8">
        <f>IF($C27="","",BDP($C27,"NAME"))</f>
        <v/>
      </c>
      <c r="E27" s="8">
        <f>IF($C27="","",BDP($C27,"GICS_SECTOR_NAME"))</f>
        <v/>
      </c>
      <c r="F27" s="37">
        <f>IF($C27="","",BDP($C27,FLD_CCY))</f>
        <v/>
      </c>
      <c r="G27" s="111">
        <f>IFERROR(IF(LEN($F27)&lt;&gt;3,1,IF($F27="HKD",1,BDP(IF($F27="CNY",RMB_CROSS,$F27)&amp;"HKD Curncy","PX_LAST"))),1)</f>
        <v/>
      </c>
      <c r="H27" s="133">
        <f>IF($C27="","",BDP($C27,FLD_DPS12M))</f>
        <v/>
      </c>
      <c r="I27" s="126">
        <f>IF($C27="","",BDP($C27,FLD_YLD12M))</f>
        <v/>
      </c>
      <c r="J27" s="128">
        <f>IF($B27="",0,SUMPRODUCT(('Dvd Calendar'!$E$231:$AR$231&gt;=WIN_FROM)*('Dvd Calendar'!$E$231:$AR$231&lt;=REALIZED_TO)*'Dvd Calendar'!$E$234:$AR$234*(('Dvd Calendar'!$E$236:$AR$236=TYPE1)*(TYPE1&lt;&gt;"")+('Dvd Calendar'!$E$236:$AR$236=TYPE2)*(TYPE2&lt;&gt;"")+('Dvd Calendar'!$E$236:$AR$236=TYPE3)*(TYPE3&lt;&gt;"")+('Dvd Calendar'!$E$236:$AR$236=TYPE4)*(TYPE4&lt;&gt;"")+('Dvd Calendar'!$E$236:$AR$236=SPECIAL_LBL)*(INC_SPECIALS="Y"))))</f>
        <v/>
      </c>
      <c r="K27" s="128">
        <f>IF($B27="",0,SUMIFS('Dvd Calendar'!$E$239:$AR$239,'Dvd Calendar'!$E$238:$AR$238,"&gt;"&amp;PROJ_FROM,'Dvd Calendar'!$E$238:$AR$238,"&lt;="&amp;WIN_TO)+SUMPRODUCT(('Dvd Calendar'!$E$231:$AR$231&gt;PROJ_FROM)*('Dvd Calendar'!$E$231:$AR$231&lt;=WIN_TO)*'Dvd Calendar'!$E$234:$AR$234*(('Dvd Calendar'!$E$236:$AR$236=TYPE1)*(TYPE1&lt;&gt;"")+('Dvd Calendar'!$E$236:$AR$236=TYPE2)*(TYPE2&lt;&gt;"")+('Dvd Calendar'!$E$236:$AR$236=TYPE3)*(TYPE3&lt;&gt;"")+('Dvd Calendar'!$E$236:$AR$236=TYPE4)*(TYPE4&lt;&gt;"")+('Dvd Calendar'!$E$236:$AR$236=SPECIAL_LBL)*(INC_SPECIALS="Y"))*(COUNTIF('Dvd Calendar'!$E$238:$AR$238,'Dvd Calendar'!$E$231:$AR$231)=0)))</f>
        <v/>
      </c>
      <c r="L27" s="128">
        <f>IF($B27="",0,IF((OV_SWITCH="ON")*(COUNTIFS(OVR_TICKERS,$C27,OVR_BASE,"&gt;=0")&gt;0)&gt;0,SUMIFS(OVR_BASE,OVR_TICKERS,$C27),$K27))</f>
        <v/>
      </c>
      <c r="M27" s="128">
        <f>IF($B27="",0,IF((OV_SWITCH="ON")*(COUNTIFS(OVR_TICKERS,$C27,OVR_LOW,"&gt;=0")&gt;0)&gt;0,SUMIFS(OVR_LOW,OVR_TICKERS,$C27),$L27))</f>
        <v/>
      </c>
      <c r="N27" s="128">
        <f>IF($B27="",0,IF((OV_SWITCH="ON")*(COUNTIFS(OVR_TICKERS,$C27,OVR_HIGH,"&gt;=0")&gt;0)&gt;0,SUMIFS(OVR_HIGH,OVR_TICKERS,$C27),$L27))</f>
        <v/>
      </c>
      <c r="O27" s="133">
        <f>IF($B27="","",IFERROR($B27*$G27*$J27/$B$3,""))</f>
        <v/>
      </c>
      <c r="P27" s="133">
        <f>IF($B27="","",IFERROR($B27*$G27*$L27/$B$3,""))</f>
        <v/>
      </c>
      <c r="Q27" s="124">
        <f>IF($B27="","",IFERROR($O27+$P27,""))</f>
        <v/>
      </c>
      <c r="R27" s="133">
        <f>IF($B27="","",IFERROR($O27+$B27*$G27*$M27/$B$3,""))</f>
        <v/>
      </c>
      <c r="S27" s="133">
        <f>IF($B27="","",IFERROR($O27+$B27*$G27*$N27/$B$3,""))</f>
        <v/>
      </c>
      <c r="T27" s="150">
        <f>IF($B27="","",IFERROR($Q27/$Q$5,""))</f>
        <v/>
      </c>
      <c r="U27" s="2">
        <f>IF($B27="","",IF(COUNTIFS('Dvd Calendar'!$E$237:$AR$237,"&gt;0",'Dvd Calendar'!$E$237:$AR$237,"&lt;="&amp;VAL_DATE,'Dvd Calendar'!$E$238:$AR$238,"&gt;"&amp;PROJ_FROM,'Dvd Calendar'!$E$238:$AR$238,"&lt;="&amp;WIN_TO)-COUNTIFS('Dvd Calendar'!$E$237:$AR$237,"&gt;0",'Dvd Calendar'!$E$237:$AR$237,"&lt;="&amp;VAL_DATE,'Dvd Calendar'!$E$238:$AR$238,"&gt;"&amp;PROJ_FROM,'Dvd Calendar'!$E$238:$AR$238,"&lt;="&amp;WIN_TO,'Dvd Calendar'!$E$239:$AR$239,"&gt;=0")&gt;0,"TBA amount - override me",IF((OV_SWITCH="ON")*(COUNTIFS(OVR_TICKERS,$C27,OVR_BASE,"&gt;=0")&gt;0)&gt;0,"overridden",IF($J27+$K27=0,"no dividend in year Y",""))))</f>
        <v/>
      </c>
      <c r="V27" s="133">
        <f>IF($B27="","",IFERROR(IF(ISNUMBER($H27),$B27*$G27*$H27/$B$3,0),""))</f>
        <v/>
      </c>
      <c r="W27" s="133">
        <f>IF($B27="","",IFERROR($B27*$G27*$K27/$B$3,""))</f>
        <v/>
      </c>
      <c r="X27" s="157">
        <f>IF($C27="","",BDP($C27,"PX_LAST"))</f>
        <v/>
      </c>
      <c r="Y27" s="133">
        <f>IF($B27="","",IFERROR($B27*$X27/$B$3,""))</f>
        <v/>
      </c>
      <c r="Z27" s="137">
        <f>IF($B27="","",IFERROR($Y27/$Y$5,""))</f>
        <v/>
      </c>
    </row>
    <row r="28">
      <c r="B28" s="97" t="n"/>
      <c r="C28" s="8">
        <f>IF($A28="","",$A28&amp;" Equity")</f>
        <v/>
      </c>
      <c r="D28" s="8">
        <f>IF($C28="","",BDP($C28,"NAME"))</f>
        <v/>
      </c>
      <c r="E28" s="8">
        <f>IF($C28="","",BDP($C28,"GICS_SECTOR_NAME"))</f>
        <v/>
      </c>
      <c r="F28" s="37">
        <f>IF($C28="","",BDP($C28,FLD_CCY))</f>
        <v/>
      </c>
      <c r="G28" s="111">
        <f>IFERROR(IF(LEN($F28)&lt;&gt;3,1,IF($F28="HKD",1,BDP(IF($F28="CNY",RMB_CROSS,$F28)&amp;"HKD Curncy","PX_LAST"))),1)</f>
        <v/>
      </c>
      <c r="H28" s="133">
        <f>IF($C28="","",BDP($C28,FLD_DPS12M))</f>
        <v/>
      </c>
      <c r="I28" s="126">
        <f>IF($C28="","",BDP($C28,FLD_YLD12M))</f>
        <v/>
      </c>
      <c r="J28" s="128">
        <f>IF($B28="",0,SUMPRODUCT(('Dvd Calendar'!$E$242:$AR$242&gt;=WIN_FROM)*('Dvd Calendar'!$E$242:$AR$242&lt;=REALIZED_TO)*'Dvd Calendar'!$E$245:$AR$245*(('Dvd Calendar'!$E$247:$AR$247=TYPE1)*(TYPE1&lt;&gt;"")+('Dvd Calendar'!$E$247:$AR$247=TYPE2)*(TYPE2&lt;&gt;"")+('Dvd Calendar'!$E$247:$AR$247=TYPE3)*(TYPE3&lt;&gt;"")+('Dvd Calendar'!$E$247:$AR$247=TYPE4)*(TYPE4&lt;&gt;"")+('Dvd Calendar'!$E$247:$AR$247=SPECIAL_LBL)*(INC_SPECIALS="Y"))))</f>
        <v/>
      </c>
      <c r="K28" s="128">
        <f>IF($B28="",0,SUMIFS('Dvd Calendar'!$E$250:$AR$250,'Dvd Calendar'!$E$249:$AR$249,"&gt;"&amp;PROJ_FROM,'Dvd Calendar'!$E$249:$AR$249,"&lt;="&amp;WIN_TO)+SUMPRODUCT(('Dvd Calendar'!$E$242:$AR$242&gt;PROJ_FROM)*('Dvd Calendar'!$E$242:$AR$242&lt;=WIN_TO)*'Dvd Calendar'!$E$245:$AR$245*(('Dvd Calendar'!$E$247:$AR$247=TYPE1)*(TYPE1&lt;&gt;"")+('Dvd Calendar'!$E$247:$AR$247=TYPE2)*(TYPE2&lt;&gt;"")+('Dvd Calendar'!$E$247:$AR$247=TYPE3)*(TYPE3&lt;&gt;"")+('Dvd Calendar'!$E$247:$AR$247=TYPE4)*(TYPE4&lt;&gt;"")+('Dvd Calendar'!$E$247:$AR$247=SPECIAL_LBL)*(INC_SPECIALS="Y"))*(COUNTIF('Dvd Calendar'!$E$249:$AR$249,'Dvd Calendar'!$E$242:$AR$242)=0)))</f>
        <v/>
      </c>
      <c r="L28" s="128">
        <f>IF($B28="",0,IF((OV_SWITCH="ON")*(COUNTIFS(OVR_TICKERS,$C28,OVR_BASE,"&gt;=0")&gt;0)&gt;0,SUMIFS(OVR_BASE,OVR_TICKERS,$C28),$K28))</f>
        <v/>
      </c>
      <c r="M28" s="128">
        <f>IF($B28="",0,IF((OV_SWITCH="ON")*(COUNTIFS(OVR_TICKERS,$C28,OVR_LOW,"&gt;=0")&gt;0)&gt;0,SUMIFS(OVR_LOW,OVR_TICKERS,$C28),$L28))</f>
        <v/>
      </c>
      <c r="N28" s="128">
        <f>IF($B28="",0,IF((OV_SWITCH="ON")*(COUNTIFS(OVR_TICKERS,$C28,OVR_HIGH,"&gt;=0")&gt;0)&gt;0,SUMIFS(OVR_HIGH,OVR_TICKERS,$C28),$L28))</f>
        <v/>
      </c>
      <c r="O28" s="133">
        <f>IF($B28="","",IFERROR($B28*$G28*$J28/$B$3,""))</f>
        <v/>
      </c>
      <c r="P28" s="133">
        <f>IF($B28="","",IFERROR($B28*$G28*$L28/$B$3,""))</f>
        <v/>
      </c>
      <c r="Q28" s="124">
        <f>IF($B28="","",IFERROR($O28+$P28,""))</f>
        <v/>
      </c>
      <c r="R28" s="133">
        <f>IF($B28="","",IFERROR($O28+$B28*$G28*$M28/$B$3,""))</f>
        <v/>
      </c>
      <c r="S28" s="133">
        <f>IF($B28="","",IFERROR($O28+$B28*$G28*$N28/$B$3,""))</f>
        <v/>
      </c>
      <c r="T28" s="150">
        <f>IF($B28="","",IFERROR($Q28/$Q$5,""))</f>
        <v/>
      </c>
      <c r="U28" s="2">
        <f>IF($B28="","",IF(COUNTIFS('Dvd Calendar'!$E$248:$AR$248,"&gt;0",'Dvd Calendar'!$E$248:$AR$248,"&lt;="&amp;VAL_DATE,'Dvd Calendar'!$E$249:$AR$249,"&gt;"&amp;PROJ_FROM,'Dvd Calendar'!$E$249:$AR$249,"&lt;="&amp;WIN_TO)-COUNTIFS('Dvd Calendar'!$E$248:$AR$248,"&gt;0",'Dvd Calendar'!$E$248:$AR$248,"&lt;="&amp;VAL_DATE,'Dvd Calendar'!$E$249:$AR$249,"&gt;"&amp;PROJ_FROM,'Dvd Calendar'!$E$249:$AR$249,"&lt;="&amp;WIN_TO,'Dvd Calendar'!$E$250:$AR$250,"&gt;=0")&gt;0,"TBA amount - override me",IF((OV_SWITCH="ON")*(COUNTIFS(OVR_TICKERS,$C28,OVR_BASE,"&gt;=0")&gt;0)&gt;0,"overridden",IF($J28+$K28=0,"no dividend in year Y",""))))</f>
        <v/>
      </c>
      <c r="V28" s="133">
        <f>IF($B28="","",IFERROR(IF(ISNUMBER($H28),$B28*$G28*$H28/$B$3,0),""))</f>
        <v/>
      </c>
      <c r="W28" s="133">
        <f>IF($B28="","",IFERROR($B28*$G28*$K28/$B$3,""))</f>
        <v/>
      </c>
      <c r="X28" s="157">
        <f>IF($C28="","",BDP($C28,"PX_LAST"))</f>
        <v/>
      </c>
      <c r="Y28" s="133">
        <f>IF($B28="","",IFERROR($B28*$X28/$B$3,""))</f>
        <v/>
      </c>
      <c r="Z28" s="137">
        <f>IF($B28="","",IFERROR($Y28/$Y$5,""))</f>
        <v/>
      </c>
    </row>
    <row r="29">
      <c r="B29" s="97" t="n"/>
      <c r="C29" s="8">
        <f>IF($A29="","",$A29&amp;" Equity")</f>
        <v/>
      </c>
      <c r="D29" s="8">
        <f>IF($C29="","",BDP($C29,"NAME"))</f>
        <v/>
      </c>
      <c r="E29" s="8">
        <f>IF($C29="","",BDP($C29,"GICS_SECTOR_NAME"))</f>
        <v/>
      </c>
      <c r="F29" s="37">
        <f>IF($C29="","",BDP($C29,FLD_CCY))</f>
        <v/>
      </c>
      <c r="G29" s="111">
        <f>IFERROR(IF(LEN($F29)&lt;&gt;3,1,IF($F29="HKD",1,BDP(IF($F29="CNY",RMB_CROSS,$F29)&amp;"HKD Curncy","PX_LAST"))),1)</f>
        <v/>
      </c>
      <c r="H29" s="133">
        <f>IF($C29="","",BDP($C29,FLD_DPS12M))</f>
        <v/>
      </c>
      <c r="I29" s="126">
        <f>IF($C29="","",BDP($C29,FLD_YLD12M))</f>
        <v/>
      </c>
      <c r="J29" s="128">
        <f>IF($B29="",0,SUMPRODUCT(('Dvd Calendar'!$E$253:$AR$253&gt;=WIN_FROM)*('Dvd Calendar'!$E$253:$AR$253&lt;=REALIZED_TO)*'Dvd Calendar'!$E$256:$AR$256*(('Dvd Calendar'!$E$258:$AR$258=TYPE1)*(TYPE1&lt;&gt;"")+('Dvd Calendar'!$E$258:$AR$258=TYPE2)*(TYPE2&lt;&gt;"")+('Dvd Calendar'!$E$258:$AR$258=TYPE3)*(TYPE3&lt;&gt;"")+('Dvd Calendar'!$E$258:$AR$258=TYPE4)*(TYPE4&lt;&gt;"")+('Dvd Calendar'!$E$258:$AR$258=SPECIAL_LBL)*(INC_SPECIALS="Y"))))</f>
        <v/>
      </c>
      <c r="K29" s="128">
        <f>IF($B29="",0,SUMIFS('Dvd Calendar'!$E$261:$AR$261,'Dvd Calendar'!$E$260:$AR$260,"&gt;"&amp;PROJ_FROM,'Dvd Calendar'!$E$260:$AR$260,"&lt;="&amp;WIN_TO)+SUMPRODUCT(('Dvd Calendar'!$E$253:$AR$253&gt;PROJ_FROM)*('Dvd Calendar'!$E$253:$AR$253&lt;=WIN_TO)*'Dvd Calendar'!$E$256:$AR$256*(('Dvd Calendar'!$E$258:$AR$258=TYPE1)*(TYPE1&lt;&gt;"")+('Dvd Calendar'!$E$258:$AR$258=TYPE2)*(TYPE2&lt;&gt;"")+('Dvd Calendar'!$E$258:$AR$258=TYPE3)*(TYPE3&lt;&gt;"")+('Dvd Calendar'!$E$258:$AR$258=TYPE4)*(TYPE4&lt;&gt;"")+('Dvd Calendar'!$E$258:$AR$258=SPECIAL_LBL)*(INC_SPECIALS="Y"))*(COUNTIF('Dvd Calendar'!$E$260:$AR$260,'Dvd Calendar'!$E$253:$AR$253)=0)))</f>
        <v/>
      </c>
      <c r="L29" s="128">
        <f>IF($B29="",0,IF((OV_SWITCH="ON")*(COUNTIFS(OVR_TICKERS,$C29,OVR_BASE,"&gt;=0")&gt;0)&gt;0,SUMIFS(OVR_BASE,OVR_TICKERS,$C29),$K29))</f>
        <v/>
      </c>
      <c r="M29" s="128">
        <f>IF($B29="",0,IF((OV_SWITCH="ON")*(COUNTIFS(OVR_TICKERS,$C29,OVR_LOW,"&gt;=0")&gt;0)&gt;0,SUMIFS(OVR_LOW,OVR_TICKERS,$C29),$L29))</f>
        <v/>
      </c>
      <c r="N29" s="128">
        <f>IF($B29="",0,IF((OV_SWITCH="ON")*(COUNTIFS(OVR_TICKERS,$C29,OVR_HIGH,"&gt;=0")&gt;0)&gt;0,SUMIFS(OVR_HIGH,OVR_TICKERS,$C29),$L29))</f>
        <v/>
      </c>
      <c r="O29" s="133">
        <f>IF($B29="","",IFERROR($B29*$G29*$J29/$B$3,""))</f>
        <v/>
      </c>
      <c r="P29" s="133">
        <f>IF($B29="","",IFERROR($B29*$G29*$L29/$B$3,""))</f>
        <v/>
      </c>
      <c r="Q29" s="124">
        <f>IF($B29="","",IFERROR($O29+$P29,""))</f>
        <v/>
      </c>
      <c r="R29" s="133">
        <f>IF($B29="","",IFERROR($O29+$B29*$G29*$M29/$B$3,""))</f>
        <v/>
      </c>
      <c r="S29" s="133">
        <f>IF($B29="","",IFERROR($O29+$B29*$G29*$N29/$B$3,""))</f>
        <v/>
      </c>
      <c r="T29" s="150">
        <f>IF($B29="","",IFERROR($Q29/$Q$5,""))</f>
        <v/>
      </c>
      <c r="U29" s="2">
        <f>IF($B29="","",IF(COUNTIFS('Dvd Calendar'!$E$259:$AR$259,"&gt;0",'Dvd Calendar'!$E$259:$AR$259,"&lt;="&amp;VAL_DATE,'Dvd Calendar'!$E$260:$AR$260,"&gt;"&amp;PROJ_FROM,'Dvd Calendar'!$E$260:$AR$260,"&lt;="&amp;WIN_TO)-COUNTIFS('Dvd Calendar'!$E$259:$AR$259,"&gt;0",'Dvd Calendar'!$E$259:$AR$259,"&lt;="&amp;VAL_DATE,'Dvd Calendar'!$E$260:$AR$260,"&gt;"&amp;PROJ_FROM,'Dvd Calendar'!$E$260:$AR$260,"&lt;="&amp;WIN_TO,'Dvd Calendar'!$E$261:$AR$261,"&gt;=0")&gt;0,"TBA amount - override me",IF((OV_SWITCH="ON")*(COUNTIFS(OVR_TICKERS,$C29,OVR_BASE,"&gt;=0")&gt;0)&gt;0,"overridden",IF($J29+$K29=0,"no dividend in year Y",""))))</f>
        <v/>
      </c>
      <c r="V29" s="133">
        <f>IF($B29="","",IFERROR(IF(ISNUMBER($H29),$B29*$G29*$H29/$B$3,0),""))</f>
        <v/>
      </c>
      <c r="W29" s="133">
        <f>IF($B29="","",IFERROR($B29*$G29*$K29/$B$3,""))</f>
        <v/>
      </c>
      <c r="X29" s="157">
        <f>IF($C29="","",BDP($C29,"PX_LAST"))</f>
        <v/>
      </c>
      <c r="Y29" s="133">
        <f>IF($B29="","",IFERROR($B29*$X29/$B$3,""))</f>
        <v/>
      </c>
      <c r="Z29" s="137">
        <f>IF($B29="","",IFERROR($Y29/$Y$5,""))</f>
        <v/>
      </c>
    </row>
    <row r="30">
      <c r="B30" s="97" t="n"/>
      <c r="C30" s="8">
        <f>IF($A30="","",$A30&amp;" Equity")</f>
        <v/>
      </c>
      <c r="D30" s="8">
        <f>IF($C30="","",BDP($C30,"NAME"))</f>
        <v/>
      </c>
      <c r="E30" s="8">
        <f>IF($C30="","",BDP($C30,"GICS_SECTOR_NAME"))</f>
        <v/>
      </c>
      <c r="F30" s="37">
        <f>IF($C30="","",BDP($C30,FLD_CCY))</f>
        <v/>
      </c>
      <c r="G30" s="111">
        <f>IFERROR(IF(LEN($F30)&lt;&gt;3,1,IF($F30="HKD",1,BDP(IF($F30="CNY",RMB_CROSS,$F30)&amp;"HKD Curncy","PX_LAST"))),1)</f>
        <v/>
      </c>
      <c r="H30" s="133">
        <f>IF($C30="","",BDP($C30,FLD_DPS12M))</f>
        <v/>
      </c>
      <c r="I30" s="126">
        <f>IF($C30="","",BDP($C30,FLD_YLD12M))</f>
        <v/>
      </c>
      <c r="J30" s="128">
        <f>IF($B30="",0,SUMPRODUCT(('Dvd Calendar'!$E$264:$AR$264&gt;=WIN_FROM)*('Dvd Calendar'!$E$264:$AR$264&lt;=REALIZED_TO)*'Dvd Calendar'!$E$267:$AR$267*(('Dvd Calendar'!$E$269:$AR$269=TYPE1)*(TYPE1&lt;&gt;"")+('Dvd Calendar'!$E$269:$AR$269=TYPE2)*(TYPE2&lt;&gt;"")+('Dvd Calendar'!$E$269:$AR$269=TYPE3)*(TYPE3&lt;&gt;"")+('Dvd Calendar'!$E$269:$AR$269=TYPE4)*(TYPE4&lt;&gt;"")+('Dvd Calendar'!$E$269:$AR$269=SPECIAL_LBL)*(INC_SPECIALS="Y"))))</f>
        <v/>
      </c>
      <c r="K30" s="128">
        <f>IF($B30="",0,SUMIFS('Dvd Calendar'!$E$272:$AR$272,'Dvd Calendar'!$E$271:$AR$271,"&gt;"&amp;PROJ_FROM,'Dvd Calendar'!$E$271:$AR$271,"&lt;="&amp;WIN_TO)+SUMPRODUCT(('Dvd Calendar'!$E$264:$AR$264&gt;PROJ_FROM)*('Dvd Calendar'!$E$264:$AR$264&lt;=WIN_TO)*'Dvd Calendar'!$E$267:$AR$267*(('Dvd Calendar'!$E$269:$AR$269=TYPE1)*(TYPE1&lt;&gt;"")+('Dvd Calendar'!$E$269:$AR$269=TYPE2)*(TYPE2&lt;&gt;"")+('Dvd Calendar'!$E$269:$AR$269=TYPE3)*(TYPE3&lt;&gt;"")+('Dvd Calendar'!$E$269:$AR$269=TYPE4)*(TYPE4&lt;&gt;"")+('Dvd Calendar'!$E$269:$AR$269=SPECIAL_LBL)*(INC_SPECIALS="Y"))*(COUNTIF('Dvd Calendar'!$E$271:$AR$271,'Dvd Calendar'!$E$264:$AR$264)=0)))</f>
        <v/>
      </c>
      <c r="L30" s="128">
        <f>IF($B30="",0,IF((OV_SWITCH="ON")*(COUNTIFS(OVR_TICKERS,$C30,OVR_BASE,"&gt;=0")&gt;0)&gt;0,SUMIFS(OVR_BASE,OVR_TICKERS,$C30),$K30))</f>
        <v/>
      </c>
      <c r="M30" s="128">
        <f>IF($B30="",0,IF((OV_SWITCH="ON")*(COUNTIFS(OVR_TICKERS,$C30,OVR_LOW,"&gt;=0")&gt;0)&gt;0,SUMIFS(OVR_LOW,OVR_TICKERS,$C30),$L30))</f>
        <v/>
      </c>
      <c r="N30" s="128">
        <f>IF($B30="",0,IF((OV_SWITCH="ON")*(COUNTIFS(OVR_TICKERS,$C30,OVR_HIGH,"&gt;=0")&gt;0)&gt;0,SUMIFS(OVR_HIGH,OVR_TICKERS,$C30),$L30))</f>
        <v/>
      </c>
      <c r="O30" s="133">
        <f>IF($B30="","",IFERROR($B30*$G30*$J30/$B$3,""))</f>
        <v/>
      </c>
      <c r="P30" s="133">
        <f>IF($B30="","",IFERROR($B30*$G30*$L30/$B$3,""))</f>
        <v/>
      </c>
      <c r="Q30" s="124">
        <f>IF($B30="","",IFERROR($O30+$P30,""))</f>
        <v/>
      </c>
      <c r="R30" s="133">
        <f>IF($B30="","",IFERROR($O30+$B30*$G30*$M30/$B$3,""))</f>
        <v/>
      </c>
      <c r="S30" s="133">
        <f>IF($B30="","",IFERROR($O30+$B30*$G30*$N30/$B$3,""))</f>
        <v/>
      </c>
      <c r="T30" s="150">
        <f>IF($B30="","",IFERROR($Q30/$Q$5,""))</f>
        <v/>
      </c>
      <c r="U30" s="2">
        <f>IF($B30="","",IF(COUNTIFS('Dvd Calendar'!$E$270:$AR$270,"&gt;0",'Dvd Calendar'!$E$270:$AR$270,"&lt;="&amp;VAL_DATE,'Dvd Calendar'!$E$271:$AR$271,"&gt;"&amp;PROJ_FROM,'Dvd Calendar'!$E$271:$AR$271,"&lt;="&amp;WIN_TO)-COUNTIFS('Dvd Calendar'!$E$270:$AR$270,"&gt;0",'Dvd Calendar'!$E$270:$AR$270,"&lt;="&amp;VAL_DATE,'Dvd Calendar'!$E$271:$AR$271,"&gt;"&amp;PROJ_FROM,'Dvd Calendar'!$E$271:$AR$271,"&lt;="&amp;WIN_TO,'Dvd Calendar'!$E$272:$AR$272,"&gt;=0")&gt;0,"TBA amount - override me",IF((OV_SWITCH="ON")*(COUNTIFS(OVR_TICKERS,$C30,OVR_BASE,"&gt;=0")&gt;0)&gt;0,"overridden",IF($J30+$K30=0,"no dividend in year Y",""))))</f>
        <v/>
      </c>
      <c r="V30" s="133">
        <f>IF($B30="","",IFERROR(IF(ISNUMBER($H30),$B30*$G30*$H30/$B$3,0),""))</f>
        <v/>
      </c>
      <c r="W30" s="133">
        <f>IF($B30="","",IFERROR($B30*$G30*$K30/$B$3,""))</f>
        <v/>
      </c>
      <c r="X30" s="157">
        <f>IF($C30="","",BDP($C30,"PX_LAST"))</f>
        <v/>
      </c>
      <c r="Y30" s="133">
        <f>IF($B30="","",IFERROR($B30*$X30/$B$3,""))</f>
        <v/>
      </c>
      <c r="Z30" s="137">
        <f>IF($B30="","",IFERROR($Y30/$Y$5,""))</f>
        <v/>
      </c>
    </row>
    <row r="31">
      <c r="B31" s="97" t="n"/>
      <c r="C31" s="8">
        <f>IF($A31="","",$A31&amp;" Equity")</f>
        <v/>
      </c>
      <c r="D31" s="8">
        <f>IF($C31="","",BDP($C31,"NAME"))</f>
        <v/>
      </c>
      <c r="E31" s="8">
        <f>IF($C31="","",BDP($C31,"GICS_SECTOR_NAME"))</f>
        <v/>
      </c>
      <c r="F31" s="37">
        <f>IF($C31="","",BDP($C31,FLD_CCY))</f>
        <v/>
      </c>
      <c r="G31" s="111">
        <f>IFERROR(IF(LEN($F31)&lt;&gt;3,1,IF($F31="HKD",1,BDP(IF($F31="CNY",RMB_CROSS,$F31)&amp;"HKD Curncy","PX_LAST"))),1)</f>
        <v/>
      </c>
      <c r="H31" s="133">
        <f>IF($C31="","",BDP($C31,FLD_DPS12M))</f>
        <v/>
      </c>
      <c r="I31" s="126">
        <f>IF($C31="","",BDP($C31,FLD_YLD12M))</f>
        <v/>
      </c>
      <c r="J31" s="128">
        <f>IF($B31="",0,SUMPRODUCT(('Dvd Calendar'!$E$275:$AR$275&gt;=WIN_FROM)*('Dvd Calendar'!$E$275:$AR$275&lt;=REALIZED_TO)*'Dvd Calendar'!$E$278:$AR$278*(('Dvd Calendar'!$E$280:$AR$280=TYPE1)*(TYPE1&lt;&gt;"")+('Dvd Calendar'!$E$280:$AR$280=TYPE2)*(TYPE2&lt;&gt;"")+('Dvd Calendar'!$E$280:$AR$280=TYPE3)*(TYPE3&lt;&gt;"")+('Dvd Calendar'!$E$280:$AR$280=TYPE4)*(TYPE4&lt;&gt;"")+('Dvd Calendar'!$E$280:$AR$280=SPECIAL_LBL)*(INC_SPECIALS="Y"))))</f>
        <v/>
      </c>
      <c r="K31" s="128">
        <f>IF($B31="",0,SUMIFS('Dvd Calendar'!$E$283:$AR$283,'Dvd Calendar'!$E$282:$AR$282,"&gt;"&amp;PROJ_FROM,'Dvd Calendar'!$E$282:$AR$282,"&lt;="&amp;WIN_TO)+SUMPRODUCT(('Dvd Calendar'!$E$275:$AR$275&gt;PROJ_FROM)*('Dvd Calendar'!$E$275:$AR$275&lt;=WIN_TO)*'Dvd Calendar'!$E$278:$AR$278*(('Dvd Calendar'!$E$280:$AR$280=TYPE1)*(TYPE1&lt;&gt;"")+('Dvd Calendar'!$E$280:$AR$280=TYPE2)*(TYPE2&lt;&gt;"")+('Dvd Calendar'!$E$280:$AR$280=TYPE3)*(TYPE3&lt;&gt;"")+('Dvd Calendar'!$E$280:$AR$280=TYPE4)*(TYPE4&lt;&gt;"")+('Dvd Calendar'!$E$280:$AR$280=SPECIAL_LBL)*(INC_SPECIALS="Y"))*(COUNTIF('Dvd Calendar'!$E$282:$AR$282,'Dvd Calendar'!$E$275:$AR$275)=0)))</f>
        <v/>
      </c>
      <c r="L31" s="128">
        <f>IF($B31="",0,IF((OV_SWITCH="ON")*(COUNTIFS(OVR_TICKERS,$C31,OVR_BASE,"&gt;=0")&gt;0)&gt;0,SUMIFS(OVR_BASE,OVR_TICKERS,$C31),$K31))</f>
        <v/>
      </c>
      <c r="M31" s="128">
        <f>IF($B31="",0,IF((OV_SWITCH="ON")*(COUNTIFS(OVR_TICKERS,$C31,OVR_LOW,"&gt;=0")&gt;0)&gt;0,SUMIFS(OVR_LOW,OVR_TICKERS,$C31),$L31))</f>
        <v/>
      </c>
      <c r="N31" s="128">
        <f>IF($B31="",0,IF((OV_SWITCH="ON")*(COUNTIFS(OVR_TICKERS,$C31,OVR_HIGH,"&gt;=0")&gt;0)&gt;0,SUMIFS(OVR_HIGH,OVR_TICKERS,$C31),$L31))</f>
        <v/>
      </c>
      <c r="O31" s="133">
        <f>IF($B31="","",IFERROR($B31*$G31*$J31/$B$3,""))</f>
        <v/>
      </c>
      <c r="P31" s="133">
        <f>IF($B31="","",IFERROR($B31*$G31*$L31/$B$3,""))</f>
        <v/>
      </c>
      <c r="Q31" s="124">
        <f>IF($B31="","",IFERROR($O31+$P31,""))</f>
        <v/>
      </c>
      <c r="R31" s="133">
        <f>IF($B31="","",IFERROR($O31+$B31*$G31*$M31/$B$3,""))</f>
        <v/>
      </c>
      <c r="S31" s="133">
        <f>IF($B31="","",IFERROR($O31+$B31*$G31*$N31/$B$3,""))</f>
        <v/>
      </c>
      <c r="T31" s="150">
        <f>IF($B31="","",IFERROR($Q31/$Q$5,""))</f>
        <v/>
      </c>
      <c r="U31" s="2">
        <f>IF($B31="","",IF(COUNTIFS('Dvd Calendar'!$E$281:$AR$281,"&gt;0",'Dvd Calendar'!$E$281:$AR$281,"&lt;="&amp;VAL_DATE,'Dvd Calendar'!$E$282:$AR$282,"&gt;"&amp;PROJ_FROM,'Dvd Calendar'!$E$282:$AR$282,"&lt;="&amp;WIN_TO)-COUNTIFS('Dvd Calendar'!$E$281:$AR$281,"&gt;0",'Dvd Calendar'!$E$281:$AR$281,"&lt;="&amp;VAL_DATE,'Dvd Calendar'!$E$282:$AR$282,"&gt;"&amp;PROJ_FROM,'Dvd Calendar'!$E$282:$AR$282,"&lt;="&amp;WIN_TO,'Dvd Calendar'!$E$283:$AR$283,"&gt;=0")&gt;0,"TBA amount - override me",IF((OV_SWITCH="ON")*(COUNTIFS(OVR_TICKERS,$C31,OVR_BASE,"&gt;=0")&gt;0)&gt;0,"overridden",IF($J31+$K31=0,"no dividend in year Y",""))))</f>
        <v/>
      </c>
      <c r="V31" s="133">
        <f>IF($B31="","",IFERROR(IF(ISNUMBER($H31),$B31*$G31*$H31/$B$3,0),""))</f>
        <v/>
      </c>
      <c r="W31" s="133">
        <f>IF($B31="","",IFERROR($B31*$G31*$K31/$B$3,""))</f>
        <v/>
      </c>
      <c r="X31" s="157">
        <f>IF($C31="","",BDP($C31,"PX_LAST"))</f>
        <v/>
      </c>
      <c r="Y31" s="133">
        <f>IF($B31="","",IFERROR($B31*$X31/$B$3,""))</f>
        <v/>
      </c>
      <c r="Z31" s="137">
        <f>IF($B31="","",IFERROR($Y31/$Y$5,""))</f>
        <v/>
      </c>
    </row>
    <row r="32">
      <c r="B32" s="97" t="n"/>
      <c r="C32" s="8">
        <f>IF($A32="","",$A32&amp;" Equity")</f>
        <v/>
      </c>
      <c r="D32" s="8">
        <f>IF($C32="","",BDP($C32,"NAME"))</f>
        <v/>
      </c>
      <c r="E32" s="8">
        <f>IF($C32="","",BDP($C32,"GICS_SECTOR_NAME"))</f>
        <v/>
      </c>
      <c r="F32" s="37">
        <f>IF($C32="","",BDP($C32,FLD_CCY))</f>
        <v/>
      </c>
      <c r="G32" s="111">
        <f>IFERROR(IF(LEN($F32)&lt;&gt;3,1,IF($F32="HKD",1,BDP(IF($F32="CNY",RMB_CROSS,$F32)&amp;"HKD Curncy","PX_LAST"))),1)</f>
        <v/>
      </c>
      <c r="H32" s="133">
        <f>IF($C32="","",BDP($C32,FLD_DPS12M))</f>
        <v/>
      </c>
      <c r="I32" s="126">
        <f>IF($C32="","",BDP($C32,FLD_YLD12M))</f>
        <v/>
      </c>
      <c r="J32" s="128">
        <f>IF($B32="",0,SUMPRODUCT(('Dvd Calendar'!$E$286:$AR$286&gt;=WIN_FROM)*('Dvd Calendar'!$E$286:$AR$286&lt;=REALIZED_TO)*'Dvd Calendar'!$E$289:$AR$289*(('Dvd Calendar'!$E$291:$AR$291=TYPE1)*(TYPE1&lt;&gt;"")+('Dvd Calendar'!$E$291:$AR$291=TYPE2)*(TYPE2&lt;&gt;"")+('Dvd Calendar'!$E$291:$AR$291=TYPE3)*(TYPE3&lt;&gt;"")+('Dvd Calendar'!$E$291:$AR$291=TYPE4)*(TYPE4&lt;&gt;"")+('Dvd Calendar'!$E$291:$AR$291=SPECIAL_LBL)*(INC_SPECIALS="Y"))))</f>
        <v/>
      </c>
      <c r="K32" s="128">
        <f>IF($B32="",0,SUMIFS('Dvd Calendar'!$E$294:$AR$294,'Dvd Calendar'!$E$293:$AR$293,"&gt;"&amp;PROJ_FROM,'Dvd Calendar'!$E$293:$AR$293,"&lt;="&amp;WIN_TO)+SUMPRODUCT(('Dvd Calendar'!$E$286:$AR$286&gt;PROJ_FROM)*('Dvd Calendar'!$E$286:$AR$286&lt;=WIN_TO)*'Dvd Calendar'!$E$289:$AR$289*(('Dvd Calendar'!$E$291:$AR$291=TYPE1)*(TYPE1&lt;&gt;"")+('Dvd Calendar'!$E$291:$AR$291=TYPE2)*(TYPE2&lt;&gt;"")+('Dvd Calendar'!$E$291:$AR$291=TYPE3)*(TYPE3&lt;&gt;"")+('Dvd Calendar'!$E$291:$AR$291=TYPE4)*(TYPE4&lt;&gt;"")+('Dvd Calendar'!$E$291:$AR$291=SPECIAL_LBL)*(INC_SPECIALS="Y"))*(COUNTIF('Dvd Calendar'!$E$293:$AR$293,'Dvd Calendar'!$E$286:$AR$286)=0)))</f>
        <v/>
      </c>
      <c r="L32" s="128">
        <f>IF($B32="",0,IF((OV_SWITCH="ON")*(COUNTIFS(OVR_TICKERS,$C32,OVR_BASE,"&gt;=0")&gt;0)&gt;0,SUMIFS(OVR_BASE,OVR_TICKERS,$C32),$K32))</f>
        <v/>
      </c>
      <c r="M32" s="128">
        <f>IF($B32="",0,IF((OV_SWITCH="ON")*(COUNTIFS(OVR_TICKERS,$C32,OVR_LOW,"&gt;=0")&gt;0)&gt;0,SUMIFS(OVR_LOW,OVR_TICKERS,$C32),$L32))</f>
        <v/>
      </c>
      <c r="N32" s="128">
        <f>IF($B32="",0,IF((OV_SWITCH="ON")*(COUNTIFS(OVR_TICKERS,$C32,OVR_HIGH,"&gt;=0")&gt;0)&gt;0,SUMIFS(OVR_HIGH,OVR_TICKERS,$C32),$L32))</f>
        <v/>
      </c>
      <c r="O32" s="133">
        <f>IF($B32="","",IFERROR($B32*$G32*$J32/$B$3,""))</f>
        <v/>
      </c>
      <c r="P32" s="133">
        <f>IF($B32="","",IFERROR($B32*$G32*$L32/$B$3,""))</f>
        <v/>
      </c>
      <c r="Q32" s="124">
        <f>IF($B32="","",IFERROR($O32+$P32,""))</f>
        <v/>
      </c>
      <c r="R32" s="133">
        <f>IF($B32="","",IFERROR($O32+$B32*$G32*$M32/$B$3,""))</f>
        <v/>
      </c>
      <c r="S32" s="133">
        <f>IF($B32="","",IFERROR($O32+$B32*$G32*$N32/$B$3,""))</f>
        <v/>
      </c>
      <c r="T32" s="150">
        <f>IF($B32="","",IFERROR($Q32/$Q$5,""))</f>
        <v/>
      </c>
      <c r="U32" s="2">
        <f>IF($B32="","",IF(COUNTIFS('Dvd Calendar'!$E$292:$AR$292,"&gt;0",'Dvd Calendar'!$E$292:$AR$292,"&lt;="&amp;VAL_DATE,'Dvd Calendar'!$E$293:$AR$293,"&gt;"&amp;PROJ_FROM,'Dvd Calendar'!$E$293:$AR$293,"&lt;="&amp;WIN_TO)-COUNTIFS('Dvd Calendar'!$E$292:$AR$292,"&gt;0",'Dvd Calendar'!$E$292:$AR$292,"&lt;="&amp;VAL_DATE,'Dvd Calendar'!$E$293:$AR$293,"&gt;"&amp;PROJ_FROM,'Dvd Calendar'!$E$293:$AR$293,"&lt;="&amp;WIN_TO,'Dvd Calendar'!$E$294:$AR$294,"&gt;=0")&gt;0,"TBA amount - override me",IF((OV_SWITCH="ON")*(COUNTIFS(OVR_TICKERS,$C32,OVR_BASE,"&gt;=0")&gt;0)&gt;0,"overridden",IF($J32+$K32=0,"no dividend in year Y",""))))</f>
        <v/>
      </c>
      <c r="V32" s="133">
        <f>IF($B32="","",IFERROR(IF(ISNUMBER($H32),$B32*$G32*$H32/$B$3,0),""))</f>
        <v/>
      </c>
      <c r="W32" s="133">
        <f>IF($B32="","",IFERROR($B32*$G32*$K32/$B$3,""))</f>
        <v/>
      </c>
      <c r="X32" s="157">
        <f>IF($C32="","",BDP($C32,"PX_LAST"))</f>
        <v/>
      </c>
      <c r="Y32" s="133">
        <f>IF($B32="","",IFERROR($B32*$X32/$B$3,""))</f>
        <v/>
      </c>
      <c r="Z32" s="137">
        <f>IF($B32="","",IFERROR($Y32/$Y$5,""))</f>
        <v/>
      </c>
    </row>
    <row r="33">
      <c r="B33" s="97" t="n"/>
      <c r="C33" s="8">
        <f>IF($A33="","",$A33&amp;" Equity")</f>
        <v/>
      </c>
      <c r="D33" s="8">
        <f>IF($C33="","",BDP($C33,"NAME"))</f>
        <v/>
      </c>
      <c r="E33" s="8">
        <f>IF($C33="","",BDP($C33,"GICS_SECTOR_NAME"))</f>
        <v/>
      </c>
      <c r="F33" s="37">
        <f>IF($C33="","",BDP($C33,FLD_CCY))</f>
        <v/>
      </c>
      <c r="G33" s="111">
        <f>IFERROR(IF(LEN($F33)&lt;&gt;3,1,IF($F33="HKD",1,BDP(IF($F33="CNY",RMB_CROSS,$F33)&amp;"HKD Curncy","PX_LAST"))),1)</f>
        <v/>
      </c>
      <c r="H33" s="133">
        <f>IF($C33="","",BDP($C33,FLD_DPS12M))</f>
        <v/>
      </c>
      <c r="I33" s="126">
        <f>IF($C33="","",BDP($C33,FLD_YLD12M))</f>
        <v/>
      </c>
      <c r="J33" s="128">
        <f>IF($B33="",0,SUMPRODUCT(('Dvd Calendar'!$E$297:$AR$297&gt;=WIN_FROM)*('Dvd Calendar'!$E$297:$AR$297&lt;=REALIZED_TO)*'Dvd Calendar'!$E$300:$AR$300*(('Dvd Calendar'!$E$302:$AR$302=TYPE1)*(TYPE1&lt;&gt;"")+('Dvd Calendar'!$E$302:$AR$302=TYPE2)*(TYPE2&lt;&gt;"")+('Dvd Calendar'!$E$302:$AR$302=TYPE3)*(TYPE3&lt;&gt;"")+('Dvd Calendar'!$E$302:$AR$302=TYPE4)*(TYPE4&lt;&gt;"")+('Dvd Calendar'!$E$302:$AR$302=SPECIAL_LBL)*(INC_SPECIALS="Y"))))</f>
        <v/>
      </c>
      <c r="K33" s="128">
        <f>IF($B33="",0,SUMIFS('Dvd Calendar'!$E$305:$AR$305,'Dvd Calendar'!$E$304:$AR$304,"&gt;"&amp;PROJ_FROM,'Dvd Calendar'!$E$304:$AR$304,"&lt;="&amp;WIN_TO)+SUMPRODUCT(('Dvd Calendar'!$E$297:$AR$297&gt;PROJ_FROM)*('Dvd Calendar'!$E$297:$AR$297&lt;=WIN_TO)*'Dvd Calendar'!$E$300:$AR$300*(('Dvd Calendar'!$E$302:$AR$302=TYPE1)*(TYPE1&lt;&gt;"")+('Dvd Calendar'!$E$302:$AR$302=TYPE2)*(TYPE2&lt;&gt;"")+('Dvd Calendar'!$E$302:$AR$302=TYPE3)*(TYPE3&lt;&gt;"")+('Dvd Calendar'!$E$302:$AR$302=TYPE4)*(TYPE4&lt;&gt;"")+('Dvd Calendar'!$E$302:$AR$302=SPECIAL_LBL)*(INC_SPECIALS="Y"))*(COUNTIF('Dvd Calendar'!$E$304:$AR$304,'Dvd Calendar'!$E$297:$AR$297)=0)))</f>
        <v/>
      </c>
      <c r="L33" s="128">
        <f>IF($B33="",0,IF((OV_SWITCH="ON")*(COUNTIFS(OVR_TICKERS,$C33,OVR_BASE,"&gt;=0")&gt;0)&gt;0,SUMIFS(OVR_BASE,OVR_TICKERS,$C33),$K33))</f>
        <v/>
      </c>
      <c r="M33" s="128">
        <f>IF($B33="",0,IF((OV_SWITCH="ON")*(COUNTIFS(OVR_TICKERS,$C33,OVR_LOW,"&gt;=0")&gt;0)&gt;0,SUMIFS(OVR_LOW,OVR_TICKERS,$C33),$L33))</f>
        <v/>
      </c>
      <c r="N33" s="128">
        <f>IF($B33="",0,IF((OV_SWITCH="ON")*(COUNTIFS(OVR_TICKERS,$C33,OVR_HIGH,"&gt;=0")&gt;0)&gt;0,SUMIFS(OVR_HIGH,OVR_TICKERS,$C33),$L33))</f>
        <v/>
      </c>
      <c r="O33" s="133">
        <f>IF($B33="","",IFERROR($B33*$G33*$J33/$B$3,""))</f>
        <v/>
      </c>
      <c r="P33" s="133">
        <f>IF($B33="","",IFERROR($B33*$G33*$L33/$B$3,""))</f>
        <v/>
      </c>
      <c r="Q33" s="124">
        <f>IF($B33="","",IFERROR($O33+$P33,""))</f>
        <v/>
      </c>
      <c r="R33" s="133">
        <f>IF($B33="","",IFERROR($O33+$B33*$G33*$M33/$B$3,""))</f>
        <v/>
      </c>
      <c r="S33" s="133">
        <f>IF($B33="","",IFERROR($O33+$B33*$G33*$N33/$B$3,""))</f>
        <v/>
      </c>
      <c r="T33" s="150">
        <f>IF($B33="","",IFERROR($Q33/$Q$5,""))</f>
        <v/>
      </c>
      <c r="U33" s="2">
        <f>IF($B33="","",IF(COUNTIFS('Dvd Calendar'!$E$303:$AR$303,"&gt;0",'Dvd Calendar'!$E$303:$AR$303,"&lt;="&amp;VAL_DATE,'Dvd Calendar'!$E$304:$AR$304,"&gt;"&amp;PROJ_FROM,'Dvd Calendar'!$E$304:$AR$304,"&lt;="&amp;WIN_TO)-COUNTIFS('Dvd Calendar'!$E$303:$AR$303,"&gt;0",'Dvd Calendar'!$E$303:$AR$303,"&lt;="&amp;VAL_DATE,'Dvd Calendar'!$E$304:$AR$304,"&gt;"&amp;PROJ_FROM,'Dvd Calendar'!$E$304:$AR$304,"&lt;="&amp;WIN_TO,'Dvd Calendar'!$E$305:$AR$305,"&gt;=0")&gt;0,"TBA amount - override me",IF((OV_SWITCH="ON")*(COUNTIFS(OVR_TICKERS,$C33,OVR_BASE,"&gt;=0")&gt;0)&gt;0,"overridden",IF($J33+$K33=0,"no dividend in year Y",""))))</f>
        <v/>
      </c>
      <c r="V33" s="133">
        <f>IF($B33="","",IFERROR(IF(ISNUMBER($H33),$B33*$G33*$H33/$B$3,0),""))</f>
        <v/>
      </c>
      <c r="W33" s="133">
        <f>IF($B33="","",IFERROR($B33*$G33*$K33/$B$3,""))</f>
        <v/>
      </c>
      <c r="X33" s="157">
        <f>IF($C33="","",BDP($C33,"PX_LAST"))</f>
        <v/>
      </c>
      <c r="Y33" s="133">
        <f>IF($B33="","",IFERROR($B33*$X33/$B$3,""))</f>
        <v/>
      </c>
      <c r="Z33" s="137">
        <f>IF($B33="","",IFERROR($Y33/$Y$5,""))</f>
        <v/>
      </c>
    </row>
    <row r="34">
      <c r="B34" s="97" t="n"/>
      <c r="C34" s="8">
        <f>IF($A34="","",$A34&amp;" Equity")</f>
        <v/>
      </c>
      <c r="D34" s="8">
        <f>IF($C34="","",BDP($C34,"NAME"))</f>
        <v/>
      </c>
      <c r="E34" s="8">
        <f>IF($C34="","",BDP($C34,"GICS_SECTOR_NAME"))</f>
        <v/>
      </c>
      <c r="F34" s="37">
        <f>IF($C34="","",BDP($C34,FLD_CCY))</f>
        <v/>
      </c>
      <c r="G34" s="111">
        <f>IFERROR(IF(LEN($F34)&lt;&gt;3,1,IF($F34="HKD",1,BDP(IF($F34="CNY",RMB_CROSS,$F34)&amp;"HKD Curncy","PX_LAST"))),1)</f>
        <v/>
      </c>
      <c r="H34" s="133">
        <f>IF($C34="","",BDP($C34,FLD_DPS12M))</f>
        <v/>
      </c>
      <c r="I34" s="126">
        <f>IF($C34="","",BDP($C34,FLD_YLD12M))</f>
        <v/>
      </c>
      <c r="J34" s="128">
        <f>IF($B34="",0,SUMPRODUCT(('Dvd Calendar'!$E$308:$AR$308&gt;=WIN_FROM)*('Dvd Calendar'!$E$308:$AR$308&lt;=REALIZED_TO)*'Dvd Calendar'!$E$311:$AR$311*(('Dvd Calendar'!$E$313:$AR$313=TYPE1)*(TYPE1&lt;&gt;"")+('Dvd Calendar'!$E$313:$AR$313=TYPE2)*(TYPE2&lt;&gt;"")+('Dvd Calendar'!$E$313:$AR$313=TYPE3)*(TYPE3&lt;&gt;"")+('Dvd Calendar'!$E$313:$AR$313=TYPE4)*(TYPE4&lt;&gt;"")+('Dvd Calendar'!$E$313:$AR$313=SPECIAL_LBL)*(INC_SPECIALS="Y"))))</f>
        <v/>
      </c>
      <c r="K34" s="128">
        <f>IF($B34="",0,SUMIFS('Dvd Calendar'!$E$316:$AR$316,'Dvd Calendar'!$E$315:$AR$315,"&gt;"&amp;PROJ_FROM,'Dvd Calendar'!$E$315:$AR$315,"&lt;="&amp;WIN_TO)+SUMPRODUCT(('Dvd Calendar'!$E$308:$AR$308&gt;PROJ_FROM)*('Dvd Calendar'!$E$308:$AR$308&lt;=WIN_TO)*'Dvd Calendar'!$E$311:$AR$311*(('Dvd Calendar'!$E$313:$AR$313=TYPE1)*(TYPE1&lt;&gt;"")+('Dvd Calendar'!$E$313:$AR$313=TYPE2)*(TYPE2&lt;&gt;"")+('Dvd Calendar'!$E$313:$AR$313=TYPE3)*(TYPE3&lt;&gt;"")+('Dvd Calendar'!$E$313:$AR$313=TYPE4)*(TYPE4&lt;&gt;"")+('Dvd Calendar'!$E$313:$AR$313=SPECIAL_LBL)*(INC_SPECIALS="Y"))*(COUNTIF('Dvd Calendar'!$E$315:$AR$315,'Dvd Calendar'!$E$308:$AR$308)=0)))</f>
        <v/>
      </c>
      <c r="L34" s="128">
        <f>IF($B34="",0,IF((OV_SWITCH="ON")*(COUNTIFS(OVR_TICKERS,$C34,OVR_BASE,"&gt;=0")&gt;0)&gt;0,SUMIFS(OVR_BASE,OVR_TICKERS,$C34),$K34))</f>
        <v/>
      </c>
      <c r="M34" s="128">
        <f>IF($B34="",0,IF((OV_SWITCH="ON")*(COUNTIFS(OVR_TICKERS,$C34,OVR_LOW,"&gt;=0")&gt;0)&gt;0,SUMIFS(OVR_LOW,OVR_TICKERS,$C34),$L34))</f>
        <v/>
      </c>
      <c r="N34" s="128">
        <f>IF($B34="",0,IF((OV_SWITCH="ON")*(COUNTIFS(OVR_TICKERS,$C34,OVR_HIGH,"&gt;=0")&gt;0)&gt;0,SUMIFS(OVR_HIGH,OVR_TICKERS,$C34),$L34))</f>
        <v/>
      </c>
      <c r="O34" s="133">
        <f>IF($B34="","",IFERROR($B34*$G34*$J34/$B$3,""))</f>
        <v/>
      </c>
      <c r="P34" s="133">
        <f>IF($B34="","",IFERROR($B34*$G34*$L34/$B$3,""))</f>
        <v/>
      </c>
      <c r="Q34" s="124">
        <f>IF($B34="","",IFERROR($O34+$P34,""))</f>
        <v/>
      </c>
      <c r="R34" s="133">
        <f>IF($B34="","",IFERROR($O34+$B34*$G34*$M34/$B$3,""))</f>
        <v/>
      </c>
      <c r="S34" s="133">
        <f>IF($B34="","",IFERROR($O34+$B34*$G34*$N34/$B$3,""))</f>
        <v/>
      </c>
      <c r="T34" s="150">
        <f>IF($B34="","",IFERROR($Q34/$Q$5,""))</f>
        <v/>
      </c>
      <c r="U34" s="2">
        <f>IF($B34="","",IF(COUNTIFS('Dvd Calendar'!$E$314:$AR$314,"&gt;0",'Dvd Calendar'!$E$314:$AR$314,"&lt;="&amp;VAL_DATE,'Dvd Calendar'!$E$315:$AR$315,"&gt;"&amp;PROJ_FROM,'Dvd Calendar'!$E$315:$AR$315,"&lt;="&amp;WIN_TO)-COUNTIFS('Dvd Calendar'!$E$314:$AR$314,"&gt;0",'Dvd Calendar'!$E$314:$AR$314,"&lt;="&amp;VAL_DATE,'Dvd Calendar'!$E$315:$AR$315,"&gt;"&amp;PROJ_FROM,'Dvd Calendar'!$E$315:$AR$315,"&lt;="&amp;WIN_TO,'Dvd Calendar'!$E$316:$AR$316,"&gt;=0")&gt;0,"TBA amount - override me",IF((OV_SWITCH="ON")*(COUNTIFS(OVR_TICKERS,$C34,OVR_BASE,"&gt;=0")&gt;0)&gt;0,"overridden",IF($J34+$K34=0,"no dividend in year Y",""))))</f>
        <v/>
      </c>
      <c r="V34" s="133">
        <f>IF($B34="","",IFERROR(IF(ISNUMBER($H34),$B34*$G34*$H34/$B$3,0),""))</f>
        <v/>
      </c>
      <c r="W34" s="133">
        <f>IF($B34="","",IFERROR($B34*$G34*$K34/$B$3,""))</f>
        <v/>
      </c>
      <c r="X34" s="157">
        <f>IF($C34="","",BDP($C34,"PX_LAST"))</f>
        <v/>
      </c>
      <c r="Y34" s="133">
        <f>IF($B34="","",IFERROR($B34*$X34/$B$3,""))</f>
        <v/>
      </c>
      <c r="Z34" s="137">
        <f>IF($B34="","",IFERROR($Y34/$Y$5,""))</f>
        <v/>
      </c>
    </row>
    <row r="35">
      <c r="B35" s="97" t="n"/>
      <c r="C35" s="8">
        <f>IF($A35="","",$A35&amp;" Equity")</f>
        <v/>
      </c>
      <c r="D35" s="8">
        <f>IF($C35="","",BDP($C35,"NAME"))</f>
        <v/>
      </c>
      <c r="E35" s="8">
        <f>IF($C35="","",BDP($C35,"GICS_SECTOR_NAME"))</f>
        <v/>
      </c>
      <c r="F35" s="37">
        <f>IF($C35="","",BDP($C35,FLD_CCY))</f>
        <v/>
      </c>
      <c r="G35" s="111">
        <f>IFERROR(IF(LEN($F35)&lt;&gt;3,1,IF($F35="HKD",1,BDP(IF($F35="CNY",RMB_CROSS,$F35)&amp;"HKD Curncy","PX_LAST"))),1)</f>
        <v/>
      </c>
      <c r="H35" s="133">
        <f>IF($C35="","",BDP($C35,FLD_DPS12M))</f>
        <v/>
      </c>
      <c r="I35" s="126">
        <f>IF($C35="","",BDP($C35,FLD_YLD12M))</f>
        <v/>
      </c>
      <c r="J35" s="128">
        <f>IF($B35="",0,SUMPRODUCT(('Dvd Calendar'!$E$319:$AR$319&gt;=WIN_FROM)*('Dvd Calendar'!$E$319:$AR$319&lt;=REALIZED_TO)*'Dvd Calendar'!$E$322:$AR$322*(('Dvd Calendar'!$E$324:$AR$324=TYPE1)*(TYPE1&lt;&gt;"")+('Dvd Calendar'!$E$324:$AR$324=TYPE2)*(TYPE2&lt;&gt;"")+('Dvd Calendar'!$E$324:$AR$324=TYPE3)*(TYPE3&lt;&gt;"")+('Dvd Calendar'!$E$324:$AR$324=TYPE4)*(TYPE4&lt;&gt;"")+('Dvd Calendar'!$E$324:$AR$324=SPECIAL_LBL)*(INC_SPECIALS="Y"))))</f>
        <v/>
      </c>
      <c r="K35" s="128">
        <f>IF($B35="",0,SUMIFS('Dvd Calendar'!$E$327:$AR$327,'Dvd Calendar'!$E$326:$AR$326,"&gt;"&amp;PROJ_FROM,'Dvd Calendar'!$E$326:$AR$326,"&lt;="&amp;WIN_TO)+SUMPRODUCT(('Dvd Calendar'!$E$319:$AR$319&gt;PROJ_FROM)*('Dvd Calendar'!$E$319:$AR$319&lt;=WIN_TO)*'Dvd Calendar'!$E$322:$AR$322*(('Dvd Calendar'!$E$324:$AR$324=TYPE1)*(TYPE1&lt;&gt;"")+('Dvd Calendar'!$E$324:$AR$324=TYPE2)*(TYPE2&lt;&gt;"")+('Dvd Calendar'!$E$324:$AR$324=TYPE3)*(TYPE3&lt;&gt;"")+('Dvd Calendar'!$E$324:$AR$324=TYPE4)*(TYPE4&lt;&gt;"")+('Dvd Calendar'!$E$324:$AR$324=SPECIAL_LBL)*(INC_SPECIALS="Y"))*(COUNTIF('Dvd Calendar'!$E$326:$AR$326,'Dvd Calendar'!$E$319:$AR$319)=0)))</f>
        <v/>
      </c>
      <c r="L35" s="128">
        <f>IF($B35="",0,IF((OV_SWITCH="ON")*(COUNTIFS(OVR_TICKERS,$C35,OVR_BASE,"&gt;=0")&gt;0)&gt;0,SUMIFS(OVR_BASE,OVR_TICKERS,$C35),$K35))</f>
        <v/>
      </c>
      <c r="M35" s="128">
        <f>IF($B35="",0,IF((OV_SWITCH="ON")*(COUNTIFS(OVR_TICKERS,$C35,OVR_LOW,"&gt;=0")&gt;0)&gt;0,SUMIFS(OVR_LOW,OVR_TICKERS,$C35),$L35))</f>
        <v/>
      </c>
      <c r="N35" s="128">
        <f>IF($B35="",0,IF((OV_SWITCH="ON")*(COUNTIFS(OVR_TICKERS,$C35,OVR_HIGH,"&gt;=0")&gt;0)&gt;0,SUMIFS(OVR_HIGH,OVR_TICKERS,$C35),$L35))</f>
        <v/>
      </c>
      <c r="O35" s="133">
        <f>IF($B35="","",IFERROR($B35*$G35*$J35/$B$3,""))</f>
        <v/>
      </c>
      <c r="P35" s="133">
        <f>IF($B35="","",IFERROR($B35*$G35*$L35/$B$3,""))</f>
        <v/>
      </c>
      <c r="Q35" s="124">
        <f>IF($B35="","",IFERROR($O35+$P35,""))</f>
        <v/>
      </c>
      <c r="R35" s="133">
        <f>IF($B35="","",IFERROR($O35+$B35*$G35*$M35/$B$3,""))</f>
        <v/>
      </c>
      <c r="S35" s="133">
        <f>IF($B35="","",IFERROR($O35+$B35*$G35*$N35/$B$3,""))</f>
        <v/>
      </c>
      <c r="T35" s="150">
        <f>IF($B35="","",IFERROR($Q35/$Q$5,""))</f>
        <v/>
      </c>
      <c r="U35" s="2">
        <f>IF($B35="","",IF(COUNTIFS('Dvd Calendar'!$E$325:$AR$325,"&gt;0",'Dvd Calendar'!$E$325:$AR$325,"&lt;="&amp;VAL_DATE,'Dvd Calendar'!$E$326:$AR$326,"&gt;"&amp;PROJ_FROM,'Dvd Calendar'!$E$326:$AR$326,"&lt;="&amp;WIN_TO)-COUNTIFS('Dvd Calendar'!$E$325:$AR$325,"&gt;0",'Dvd Calendar'!$E$325:$AR$325,"&lt;="&amp;VAL_DATE,'Dvd Calendar'!$E$326:$AR$326,"&gt;"&amp;PROJ_FROM,'Dvd Calendar'!$E$326:$AR$326,"&lt;="&amp;WIN_TO,'Dvd Calendar'!$E$327:$AR$327,"&gt;=0")&gt;0,"TBA amount - override me",IF((OV_SWITCH="ON")*(COUNTIFS(OVR_TICKERS,$C35,OVR_BASE,"&gt;=0")&gt;0)&gt;0,"overridden",IF($J35+$K35=0,"no dividend in year Y",""))))</f>
        <v/>
      </c>
      <c r="V35" s="133">
        <f>IF($B35="","",IFERROR(IF(ISNUMBER($H35),$B35*$G35*$H35/$B$3,0),""))</f>
        <v/>
      </c>
      <c r="W35" s="133">
        <f>IF($B35="","",IFERROR($B35*$G35*$K35/$B$3,""))</f>
        <v/>
      </c>
      <c r="X35" s="157">
        <f>IF($C35="","",BDP($C35,"PX_LAST"))</f>
        <v/>
      </c>
      <c r="Y35" s="133">
        <f>IF($B35="","",IFERROR($B35*$X35/$B$3,""))</f>
        <v/>
      </c>
      <c r="Z35" s="137">
        <f>IF($B35="","",IFERROR($Y35/$Y$5,""))</f>
        <v/>
      </c>
    </row>
    <row r="36">
      <c r="B36" s="97" t="n"/>
      <c r="C36" s="8">
        <f>IF($A36="","",$A36&amp;" Equity")</f>
        <v/>
      </c>
      <c r="D36" s="8">
        <f>IF($C36="","",BDP($C36,"NAME"))</f>
        <v/>
      </c>
      <c r="E36" s="8">
        <f>IF($C36="","",BDP($C36,"GICS_SECTOR_NAME"))</f>
        <v/>
      </c>
      <c r="F36" s="37">
        <f>IF($C36="","",BDP($C36,FLD_CCY))</f>
        <v/>
      </c>
      <c r="G36" s="111">
        <f>IFERROR(IF(LEN($F36)&lt;&gt;3,1,IF($F36="HKD",1,BDP(IF($F36="CNY",RMB_CROSS,$F36)&amp;"HKD Curncy","PX_LAST"))),1)</f>
        <v/>
      </c>
      <c r="H36" s="133">
        <f>IF($C36="","",BDP($C36,FLD_DPS12M))</f>
        <v/>
      </c>
      <c r="I36" s="126">
        <f>IF($C36="","",BDP($C36,FLD_YLD12M))</f>
        <v/>
      </c>
      <c r="J36" s="128">
        <f>IF($B36="",0,SUMPRODUCT(('Dvd Calendar'!$E$330:$AR$330&gt;=WIN_FROM)*('Dvd Calendar'!$E$330:$AR$330&lt;=REALIZED_TO)*'Dvd Calendar'!$E$333:$AR$333*(('Dvd Calendar'!$E$335:$AR$335=TYPE1)*(TYPE1&lt;&gt;"")+('Dvd Calendar'!$E$335:$AR$335=TYPE2)*(TYPE2&lt;&gt;"")+('Dvd Calendar'!$E$335:$AR$335=TYPE3)*(TYPE3&lt;&gt;"")+('Dvd Calendar'!$E$335:$AR$335=TYPE4)*(TYPE4&lt;&gt;"")+('Dvd Calendar'!$E$335:$AR$335=SPECIAL_LBL)*(INC_SPECIALS="Y"))))</f>
        <v/>
      </c>
      <c r="K36" s="128">
        <f>IF($B36="",0,SUMIFS('Dvd Calendar'!$E$338:$AR$338,'Dvd Calendar'!$E$337:$AR$337,"&gt;"&amp;PROJ_FROM,'Dvd Calendar'!$E$337:$AR$337,"&lt;="&amp;WIN_TO)+SUMPRODUCT(('Dvd Calendar'!$E$330:$AR$330&gt;PROJ_FROM)*('Dvd Calendar'!$E$330:$AR$330&lt;=WIN_TO)*'Dvd Calendar'!$E$333:$AR$333*(('Dvd Calendar'!$E$335:$AR$335=TYPE1)*(TYPE1&lt;&gt;"")+('Dvd Calendar'!$E$335:$AR$335=TYPE2)*(TYPE2&lt;&gt;"")+('Dvd Calendar'!$E$335:$AR$335=TYPE3)*(TYPE3&lt;&gt;"")+('Dvd Calendar'!$E$335:$AR$335=TYPE4)*(TYPE4&lt;&gt;"")+('Dvd Calendar'!$E$335:$AR$335=SPECIAL_LBL)*(INC_SPECIALS="Y"))*(COUNTIF('Dvd Calendar'!$E$337:$AR$337,'Dvd Calendar'!$E$330:$AR$330)=0)))</f>
        <v/>
      </c>
      <c r="L36" s="128">
        <f>IF($B36="",0,IF((OV_SWITCH="ON")*(COUNTIFS(OVR_TICKERS,$C36,OVR_BASE,"&gt;=0")&gt;0)&gt;0,SUMIFS(OVR_BASE,OVR_TICKERS,$C36),$K36))</f>
        <v/>
      </c>
      <c r="M36" s="128">
        <f>IF($B36="",0,IF((OV_SWITCH="ON")*(COUNTIFS(OVR_TICKERS,$C36,OVR_LOW,"&gt;=0")&gt;0)&gt;0,SUMIFS(OVR_LOW,OVR_TICKERS,$C36),$L36))</f>
        <v/>
      </c>
      <c r="N36" s="128">
        <f>IF($B36="",0,IF((OV_SWITCH="ON")*(COUNTIFS(OVR_TICKERS,$C36,OVR_HIGH,"&gt;=0")&gt;0)&gt;0,SUMIFS(OVR_HIGH,OVR_TICKERS,$C36),$L36))</f>
        <v/>
      </c>
      <c r="O36" s="133">
        <f>IF($B36="","",IFERROR($B36*$G36*$J36/$B$3,""))</f>
        <v/>
      </c>
      <c r="P36" s="133">
        <f>IF($B36="","",IFERROR($B36*$G36*$L36/$B$3,""))</f>
        <v/>
      </c>
      <c r="Q36" s="124">
        <f>IF($B36="","",IFERROR($O36+$P36,""))</f>
        <v/>
      </c>
      <c r="R36" s="133">
        <f>IF($B36="","",IFERROR($O36+$B36*$G36*$M36/$B$3,""))</f>
        <v/>
      </c>
      <c r="S36" s="133">
        <f>IF($B36="","",IFERROR($O36+$B36*$G36*$N36/$B$3,""))</f>
        <v/>
      </c>
      <c r="T36" s="150">
        <f>IF($B36="","",IFERROR($Q36/$Q$5,""))</f>
        <v/>
      </c>
      <c r="U36" s="2">
        <f>IF($B36="","",IF(COUNTIFS('Dvd Calendar'!$E$336:$AR$336,"&gt;0",'Dvd Calendar'!$E$336:$AR$336,"&lt;="&amp;VAL_DATE,'Dvd Calendar'!$E$337:$AR$337,"&gt;"&amp;PROJ_FROM,'Dvd Calendar'!$E$337:$AR$337,"&lt;="&amp;WIN_TO)-COUNTIFS('Dvd Calendar'!$E$336:$AR$336,"&gt;0",'Dvd Calendar'!$E$336:$AR$336,"&lt;="&amp;VAL_DATE,'Dvd Calendar'!$E$337:$AR$337,"&gt;"&amp;PROJ_FROM,'Dvd Calendar'!$E$337:$AR$337,"&lt;="&amp;WIN_TO,'Dvd Calendar'!$E$338:$AR$338,"&gt;=0")&gt;0,"TBA amount - override me",IF((OV_SWITCH="ON")*(COUNTIFS(OVR_TICKERS,$C36,OVR_BASE,"&gt;=0")&gt;0)&gt;0,"overridden",IF($J36+$K36=0,"no dividend in year Y",""))))</f>
        <v/>
      </c>
      <c r="V36" s="133">
        <f>IF($B36="","",IFERROR(IF(ISNUMBER($H36),$B36*$G36*$H36/$B$3,0),""))</f>
        <v/>
      </c>
      <c r="W36" s="133">
        <f>IF($B36="","",IFERROR($B36*$G36*$K36/$B$3,""))</f>
        <v/>
      </c>
      <c r="X36" s="157">
        <f>IF($C36="","",BDP($C36,"PX_LAST"))</f>
        <v/>
      </c>
      <c r="Y36" s="133">
        <f>IF($B36="","",IFERROR($B36*$X36/$B$3,""))</f>
        <v/>
      </c>
      <c r="Z36" s="137">
        <f>IF($B36="","",IFERROR($Y36/$Y$5,""))</f>
        <v/>
      </c>
    </row>
    <row r="37">
      <c r="B37" s="97" t="n"/>
      <c r="C37" s="8">
        <f>IF($A37="","",$A37&amp;" Equity")</f>
        <v/>
      </c>
      <c r="D37" s="8">
        <f>IF($C37="","",BDP($C37,"NAME"))</f>
        <v/>
      </c>
      <c r="E37" s="8">
        <f>IF($C37="","",BDP($C37,"GICS_SECTOR_NAME"))</f>
        <v/>
      </c>
      <c r="F37" s="37">
        <f>IF($C37="","",BDP($C37,FLD_CCY))</f>
        <v/>
      </c>
      <c r="G37" s="111">
        <f>IFERROR(IF(LEN($F37)&lt;&gt;3,1,IF($F37="HKD",1,BDP(IF($F37="CNY",RMB_CROSS,$F37)&amp;"HKD Curncy","PX_LAST"))),1)</f>
        <v/>
      </c>
      <c r="H37" s="133">
        <f>IF($C37="","",BDP($C37,FLD_DPS12M))</f>
        <v/>
      </c>
      <c r="I37" s="126">
        <f>IF($C37="","",BDP($C37,FLD_YLD12M))</f>
        <v/>
      </c>
      <c r="J37" s="128">
        <f>IF($B37="",0,SUMPRODUCT(('Dvd Calendar'!$E$341:$AR$341&gt;=WIN_FROM)*('Dvd Calendar'!$E$341:$AR$341&lt;=REALIZED_TO)*'Dvd Calendar'!$E$344:$AR$344*(('Dvd Calendar'!$E$346:$AR$346=TYPE1)*(TYPE1&lt;&gt;"")+('Dvd Calendar'!$E$346:$AR$346=TYPE2)*(TYPE2&lt;&gt;"")+('Dvd Calendar'!$E$346:$AR$346=TYPE3)*(TYPE3&lt;&gt;"")+('Dvd Calendar'!$E$346:$AR$346=TYPE4)*(TYPE4&lt;&gt;"")+('Dvd Calendar'!$E$346:$AR$346=SPECIAL_LBL)*(INC_SPECIALS="Y"))))</f>
        <v/>
      </c>
      <c r="K37" s="128">
        <f>IF($B37="",0,SUMIFS('Dvd Calendar'!$E$349:$AR$349,'Dvd Calendar'!$E$348:$AR$348,"&gt;"&amp;PROJ_FROM,'Dvd Calendar'!$E$348:$AR$348,"&lt;="&amp;WIN_TO)+SUMPRODUCT(('Dvd Calendar'!$E$341:$AR$341&gt;PROJ_FROM)*('Dvd Calendar'!$E$341:$AR$341&lt;=WIN_TO)*'Dvd Calendar'!$E$344:$AR$344*(('Dvd Calendar'!$E$346:$AR$346=TYPE1)*(TYPE1&lt;&gt;"")+('Dvd Calendar'!$E$346:$AR$346=TYPE2)*(TYPE2&lt;&gt;"")+('Dvd Calendar'!$E$346:$AR$346=TYPE3)*(TYPE3&lt;&gt;"")+('Dvd Calendar'!$E$346:$AR$346=TYPE4)*(TYPE4&lt;&gt;"")+('Dvd Calendar'!$E$346:$AR$346=SPECIAL_LBL)*(INC_SPECIALS="Y"))*(COUNTIF('Dvd Calendar'!$E$348:$AR$348,'Dvd Calendar'!$E$341:$AR$341)=0)))</f>
        <v/>
      </c>
      <c r="L37" s="128">
        <f>IF($B37="",0,IF((OV_SWITCH="ON")*(COUNTIFS(OVR_TICKERS,$C37,OVR_BASE,"&gt;=0")&gt;0)&gt;0,SUMIFS(OVR_BASE,OVR_TICKERS,$C37),$K37))</f>
        <v/>
      </c>
      <c r="M37" s="128">
        <f>IF($B37="",0,IF((OV_SWITCH="ON")*(COUNTIFS(OVR_TICKERS,$C37,OVR_LOW,"&gt;=0")&gt;0)&gt;0,SUMIFS(OVR_LOW,OVR_TICKERS,$C37),$L37))</f>
        <v/>
      </c>
      <c r="N37" s="128">
        <f>IF($B37="",0,IF((OV_SWITCH="ON")*(COUNTIFS(OVR_TICKERS,$C37,OVR_HIGH,"&gt;=0")&gt;0)&gt;0,SUMIFS(OVR_HIGH,OVR_TICKERS,$C37),$L37))</f>
        <v/>
      </c>
      <c r="O37" s="133">
        <f>IF($B37="","",IFERROR($B37*$G37*$J37/$B$3,""))</f>
        <v/>
      </c>
      <c r="P37" s="133">
        <f>IF($B37="","",IFERROR($B37*$G37*$L37/$B$3,""))</f>
        <v/>
      </c>
      <c r="Q37" s="124">
        <f>IF($B37="","",IFERROR($O37+$P37,""))</f>
        <v/>
      </c>
      <c r="R37" s="133">
        <f>IF($B37="","",IFERROR($O37+$B37*$G37*$M37/$B$3,""))</f>
        <v/>
      </c>
      <c r="S37" s="133">
        <f>IF($B37="","",IFERROR($O37+$B37*$G37*$N37/$B$3,""))</f>
        <v/>
      </c>
      <c r="T37" s="150">
        <f>IF($B37="","",IFERROR($Q37/$Q$5,""))</f>
        <v/>
      </c>
      <c r="U37" s="2">
        <f>IF($B37="","",IF(COUNTIFS('Dvd Calendar'!$E$347:$AR$347,"&gt;0",'Dvd Calendar'!$E$347:$AR$347,"&lt;="&amp;VAL_DATE,'Dvd Calendar'!$E$348:$AR$348,"&gt;"&amp;PROJ_FROM,'Dvd Calendar'!$E$348:$AR$348,"&lt;="&amp;WIN_TO)-COUNTIFS('Dvd Calendar'!$E$347:$AR$347,"&gt;0",'Dvd Calendar'!$E$347:$AR$347,"&lt;="&amp;VAL_DATE,'Dvd Calendar'!$E$348:$AR$348,"&gt;"&amp;PROJ_FROM,'Dvd Calendar'!$E$348:$AR$348,"&lt;="&amp;WIN_TO,'Dvd Calendar'!$E$349:$AR$349,"&gt;=0")&gt;0,"TBA amount - override me",IF((OV_SWITCH="ON")*(COUNTIFS(OVR_TICKERS,$C37,OVR_BASE,"&gt;=0")&gt;0)&gt;0,"overridden",IF($J37+$K37=0,"no dividend in year Y",""))))</f>
        <v/>
      </c>
      <c r="V37" s="133">
        <f>IF($B37="","",IFERROR(IF(ISNUMBER($H37),$B37*$G37*$H37/$B$3,0),""))</f>
        <v/>
      </c>
      <c r="W37" s="133">
        <f>IF($B37="","",IFERROR($B37*$G37*$K37/$B$3,""))</f>
        <v/>
      </c>
      <c r="X37" s="157">
        <f>IF($C37="","",BDP($C37,"PX_LAST"))</f>
        <v/>
      </c>
      <c r="Y37" s="133">
        <f>IF($B37="","",IFERROR($B37*$X37/$B$3,""))</f>
        <v/>
      </c>
      <c r="Z37" s="137">
        <f>IF($B37="","",IFERROR($Y37/$Y$5,""))</f>
        <v/>
      </c>
    </row>
    <row r="38">
      <c r="B38" s="97" t="n"/>
      <c r="C38" s="8">
        <f>IF($A38="","",$A38&amp;" Equity")</f>
        <v/>
      </c>
      <c r="D38" s="8">
        <f>IF($C38="","",BDP($C38,"NAME"))</f>
        <v/>
      </c>
      <c r="E38" s="8">
        <f>IF($C38="","",BDP($C38,"GICS_SECTOR_NAME"))</f>
        <v/>
      </c>
      <c r="F38" s="37">
        <f>IF($C38="","",BDP($C38,FLD_CCY))</f>
        <v/>
      </c>
      <c r="G38" s="111">
        <f>IFERROR(IF(LEN($F38)&lt;&gt;3,1,IF($F38="HKD",1,BDP(IF($F38="CNY",RMB_CROSS,$F38)&amp;"HKD Curncy","PX_LAST"))),1)</f>
        <v/>
      </c>
      <c r="H38" s="133">
        <f>IF($C38="","",BDP($C38,FLD_DPS12M))</f>
        <v/>
      </c>
      <c r="I38" s="126">
        <f>IF($C38="","",BDP($C38,FLD_YLD12M))</f>
        <v/>
      </c>
      <c r="J38" s="128">
        <f>IF($B38="",0,SUMPRODUCT(('Dvd Calendar'!$E$352:$AR$352&gt;=WIN_FROM)*('Dvd Calendar'!$E$352:$AR$352&lt;=REALIZED_TO)*'Dvd Calendar'!$E$355:$AR$355*(('Dvd Calendar'!$E$357:$AR$357=TYPE1)*(TYPE1&lt;&gt;"")+('Dvd Calendar'!$E$357:$AR$357=TYPE2)*(TYPE2&lt;&gt;"")+('Dvd Calendar'!$E$357:$AR$357=TYPE3)*(TYPE3&lt;&gt;"")+('Dvd Calendar'!$E$357:$AR$357=TYPE4)*(TYPE4&lt;&gt;"")+('Dvd Calendar'!$E$357:$AR$357=SPECIAL_LBL)*(INC_SPECIALS="Y"))))</f>
        <v/>
      </c>
      <c r="K38" s="128">
        <f>IF($B38="",0,SUMIFS('Dvd Calendar'!$E$360:$AR$360,'Dvd Calendar'!$E$359:$AR$359,"&gt;"&amp;PROJ_FROM,'Dvd Calendar'!$E$359:$AR$359,"&lt;="&amp;WIN_TO)+SUMPRODUCT(('Dvd Calendar'!$E$352:$AR$352&gt;PROJ_FROM)*('Dvd Calendar'!$E$352:$AR$352&lt;=WIN_TO)*'Dvd Calendar'!$E$355:$AR$355*(('Dvd Calendar'!$E$357:$AR$357=TYPE1)*(TYPE1&lt;&gt;"")+('Dvd Calendar'!$E$357:$AR$357=TYPE2)*(TYPE2&lt;&gt;"")+('Dvd Calendar'!$E$357:$AR$357=TYPE3)*(TYPE3&lt;&gt;"")+('Dvd Calendar'!$E$357:$AR$357=TYPE4)*(TYPE4&lt;&gt;"")+('Dvd Calendar'!$E$357:$AR$357=SPECIAL_LBL)*(INC_SPECIALS="Y"))*(COUNTIF('Dvd Calendar'!$E$359:$AR$359,'Dvd Calendar'!$E$352:$AR$352)=0)))</f>
        <v/>
      </c>
      <c r="L38" s="128">
        <f>IF($B38="",0,IF((OV_SWITCH="ON")*(COUNTIFS(OVR_TICKERS,$C38,OVR_BASE,"&gt;=0")&gt;0)&gt;0,SUMIFS(OVR_BASE,OVR_TICKERS,$C38),$K38))</f>
        <v/>
      </c>
      <c r="M38" s="128">
        <f>IF($B38="",0,IF((OV_SWITCH="ON")*(COUNTIFS(OVR_TICKERS,$C38,OVR_LOW,"&gt;=0")&gt;0)&gt;0,SUMIFS(OVR_LOW,OVR_TICKERS,$C38),$L38))</f>
        <v/>
      </c>
      <c r="N38" s="128">
        <f>IF($B38="",0,IF((OV_SWITCH="ON")*(COUNTIFS(OVR_TICKERS,$C38,OVR_HIGH,"&gt;=0")&gt;0)&gt;0,SUMIFS(OVR_HIGH,OVR_TICKERS,$C38),$L38))</f>
        <v/>
      </c>
      <c r="O38" s="133">
        <f>IF($B38="","",IFERROR($B38*$G38*$J38/$B$3,""))</f>
        <v/>
      </c>
      <c r="P38" s="133">
        <f>IF($B38="","",IFERROR($B38*$G38*$L38/$B$3,""))</f>
        <v/>
      </c>
      <c r="Q38" s="124">
        <f>IF($B38="","",IFERROR($O38+$P38,""))</f>
        <v/>
      </c>
      <c r="R38" s="133">
        <f>IF($B38="","",IFERROR($O38+$B38*$G38*$M38/$B$3,""))</f>
        <v/>
      </c>
      <c r="S38" s="133">
        <f>IF($B38="","",IFERROR($O38+$B38*$G38*$N38/$B$3,""))</f>
        <v/>
      </c>
      <c r="T38" s="150">
        <f>IF($B38="","",IFERROR($Q38/$Q$5,""))</f>
        <v/>
      </c>
      <c r="U38" s="2">
        <f>IF($B38="","",IF(COUNTIFS('Dvd Calendar'!$E$358:$AR$358,"&gt;0",'Dvd Calendar'!$E$358:$AR$358,"&lt;="&amp;VAL_DATE,'Dvd Calendar'!$E$359:$AR$359,"&gt;"&amp;PROJ_FROM,'Dvd Calendar'!$E$359:$AR$359,"&lt;="&amp;WIN_TO)-COUNTIFS('Dvd Calendar'!$E$358:$AR$358,"&gt;0",'Dvd Calendar'!$E$358:$AR$358,"&lt;="&amp;VAL_DATE,'Dvd Calendar'!$E$359:$AR$359,"&gt;"&amp;PROJ_FROM,'Dvd Calendar'!$E$359:$AR$359,"&lt;="&amp;WIN_TO,'Dvd Calendar'!$E$360:$AR$360,"&gt;=0")&gt;0,"TBA amount - override me",IF((OV_SWITCH="ON")*(COUNTIFS(OVR_TICKERS,$C38,OVR_BASE,"&gt;=0")&gt;0)&gt;0,"overridden",IF($J38+$K38=0,"no dividend in year Y",""))))</f>
        <v/>
      </c>
      <c r="V38" s="133">
        <f>IF($B38="","",IFERROR(IF(ISNUMBER($H38),$B38*$G38*$H38/$B$3,0),""))</f>
        <v/>
      </c>
      <c r="W38" s="133">
        <f>IF($B38="","",IFERROR($B38*$G38*$K38/$B$3,""))</f>
        <v/>
      </c>
      <c r="X38" s="157">
        <f>IF($C38="","",BDP($C38,"PX_LAST"))</f>
        <v/>
      </c>
      <c r="Y38" s="133">
        <f>IF($B38="","",IFERROR($B38*$X38/$B$3,""))</f>
        <v/>
      </c>
      <c r="Z38" s="137">
        <f>IF($B38="","",IFERROR($Y38/$Y$5,""))</f>
        <v/>
      </c>
    </row>
    <row r="39">
      <c r="B39" s="97" t="n"/>
      <c r="C39" s="8">
        <f>IF($A39="","",$A39&amp;" Equity")</f>
        <v/>
      </c>
      <c r="D39" s="8">
        <f>IF($C39="","",BDP($C39,"NAME"))</f>
        <v/>
      </c>
      <c r="E39" s="8">
        <f>IF($C39="","",BDP($C39,"GICS_SECTOR_NAME"))</f>
        <v/>
      </c>
      <c r="F39" s="37">
        <f>IF($C39="","",BDP($C39,FLD_CCY))</f>
        <v/>
      </c>
      <c r="G39" s="111">
        <f>IFERROR(IF(LEN($F39)&lt;&gt;3,1,IF($F39="HKD",1,BDP(IF($F39="CNY",RMB_CROSS,$F39)&amp;"HKD Curncy","PX_LAST"))),1)</f>
        <v/>
      </c>
      <c r="H39" s="133">
        <f>IF($C39="","",BDP($C39,FLD_DPS12M))</f>
        <v/>
      </c>
      <c r="I39" s="126">
        <f>IF($C39="","",BDP($C39,FLD_YLD12M))</f>
        <v/>
      </c>
      <c r="J39" s="128">
        <f>IF($B39="",0,SUMPRODUCT(('Dvd Calendar'!$E$363:$AR$363&gt;=WIN_FROM)*('Dvd Calendar'!$E$363:$AR$363&lt;=REALIZED_TO)*'Dvd Calendar'!$E$366:$AR$366*(('Dvd Calendar'!$E$368:$AR$368=TYPE1)*(TYPE1&lt;&gt;"")+('Dvd Calendar'!$E$368:$AR$368=TYPE2)*(TYPE2&lt;&gt;"")+('Dvd Calendar'!$E$368:$AR$368=TYPE3)*(TYPE3&lt;&gt;"")+('Dvd Calendar'!$E$368:$AR$368=TYPE4)*(TYPE4&lt;&gt;"")+('Dvd Calendar'!$E$368:$AR$368=SPECIAL_LBL)*(INC_SPECIALS="Y"))))</f>
        <v/>
      </c>
      <c r="K39" s="128">
        <f>IF($B39="",0,SUMIFS('Dvd Calendar'!$E$371:$AR$371,'Dvd Calendar'!$E$370:$AR$370,"&gt;"&amp;PROJ_FROM,'Dvd Calendar'!$E$370:$AR$370,"&lt;="&amp;WIN_TO)+SUMPRODUCT(('Dvd Calendar'!$E$363:$AR$363&gt;PROJ_FROM)*('Dvd Calendar'!$E$363:$AR$363&lt;=WIN_TO)*'Dvd Calendar'!$E$366:$AR$366*(('Dvd Calendar'!$E$368:$AR$368=TYPE1)*(TYPE1&lt;&gt;"")+('Dvd Calendar'!$E$368:$AR$368=TYPE2)*(TYPE2&lt;&gt;"")+('Dvd Calendar'!$E$368:$AR$368=TYPE3)*(TYPE3&lt;&gt;"")+('Dvd Calendar'!$E$368:$AR$368=TYPE4)*(TYPE4&lt;&gt;"")+('Dvd Calendar'!$E$368:$AR$368=SPECIAL_LBL)*(INC_SPECIALS="Y"))*(COUNTIF('Dvd Calendar'!$E$370:$AR$370,'Dvd Calendar'!$E$363:$AR$363)=0)))</f>
        <v/>
      </c>
      <c r="L39" s="128">
        <f>IF($B39="",0,IF((OV_SWITCH="ON")*(COUNTIFS(OVR_TICKERS,$C39,OVR_BASE,"&gt;=0")&gt;0)&gt;0,SUMIFS(OVR_BASE,OVR_TICKERS,$C39),$K39))</f>
        <v/>
      </c>
      <c r="M39" s="128">
        <f>IF($B39="",0,IF((OV_SWITCH="ON")*(COUNTIFS(OVR_TICKERS,$C39,OVR_LOW,"&gt;=0")&gt;0)&gt;0,SUMIFS(OVR_LOW,OVR_TICKERS,$C39),$L39))</f>
        <v/>
      </c>
      <c r="N39" s="128">
        <f>IF($B39="",0,IF((OV_SWITCH="ON")*(COUNTIFS(OVR_TICKERS,$C39,OVR_HIGH,"&gt;=0")&gt;0)&gt;0,SUMIFS(OVR_HIGH,OVR_TICKERS,$C39),$L39))</f>
        <v/>
      </c>
      <c r="O39" s="133">
        <f>IF($B39="","",IFERROR($B39*$G39*$J39/$B$3,""))</f>
        <v/>
      </c>
      <c r="P39" s="133">
        <f>IF($B39="","",IFERROR($B39*$G39*$L39/$B$3,""))</f>
        <v/>
      </c>
      <c r="Q39" s="124">
        <f>IF($B39="","",IFERROR($O39+$P39,""))</f>
        <v/>
      </c>
      <c r="R39" s="133">
        <f>IF($B39="","",IFERROR($O39+$B39*$G39*$M39/$B$3,""))</f>
        <v/>
      </c>
      <c r="S39" s="133">
        <f>IF($B39="","",IFERROR($O39+$B39*$G39*$N39/$B$3,""))</f>
        <v/>
      </c>
      <c r="T39" s="150">
        <f>IF($B39="","",IFERROR($Q39/$Q$5,""))</f>
        <v/>
      </c>
      <c r="U39" s="2">
        <f>IF($B39="","",IF(COUNTIFS('Dvd Calendar'!$E$369:$AR$369,"&gt;0",'Dvd Calendar'!$E$369:$AR$369,"&lt;="&amp;VAL_DATE,'Dvd Calendar'!$E$370:$AR$370,"&gt;"&amp;PROJ_FROM,'Dvd Calendar'!$E$370:$AR$370,"&lt;="&amp;WIN_TO)-COUNTIFS('Dvd Calendar'!$E$369:$AR$369,"&gt;0",'Dvd Calendar'!$E$369:$AR$369,"&lt;="&amp;VAL_DATE,'Dvd Calendar'!$E$370:$AR$370,"&gt;"&amp;PROJ_FROM,'Dvd Calendar'!$E$370:$AR$370,"&lt;="&amp;WIN_TO,'Dvd Calendar'!$E$371:$AR$371,"&gt;=0")&gt;0,"TBA amount - override me",IF((OV_SWITCH="ON")*(COUNTIFS(OVR_TICKERS,$C39,OVR_BASE,"&gt;=0")&gt;0)&gt;0,"overridden",IF($J39+$K39=0,"no dividend in year Y",""))))</f>
        <v/>
      </c>
      <c r="V39" s="133">
        <f>IF($B39="","",IFERROR(IF(ISNUMBER($H39),$B39*$G39*$H39/$B$3,0),""))</f>
        <v/>
      </c>
      <c r="W39" s="133">
        <f>IF($B39="","",IFERROR($B39*$G39*$K39/$B$3,""))</f>
        <v/>
      </c>
      <c r="X39" s="157">
        <f>IF($C39="","",BDP($C39,"PX_LAST"))</f>
        <v/>
      </c>
      <c r="Y39" s="133">
        <f>IF($B39="","",IFERROR($B39*$X39/$B$3,""))</f>
        <v/>
      </c>
      <c r="Z39" s="137">
        <f>IF($B39="","",IFERROR($Y39/$Y$5,""))</f>
        <v/>
      </c>
    </row>
    <row r="40">
      <c r="B40" s="97" t="n"/>
      <c r="C40" s="8">
        <f>IF($A40="","",$A40&amp;" Equity")</f>
        <v/>
      </c>
      <c r="D40" s="8">
        <f>IF($C40="","",BDP($C40,"NAME"))</f>
        <v/>
      </c>
      <c r="E40" s="8">
        <f>IF($C40="","",BDP($C40,"GICS_SECTOR_NAME"))</f>
        <v/>
      </c>
      <c r="F40" s="37">
        <f>IF($C40="","",BDP($C40,FLD_CCY))</f>
        <v/>
      </c>
      <c r="G40" s="111">
        <f>IFERROR(IF(LEN($F40)&lt;&gt;3,1,IF($F40="HKD",1,BDP(IF($F40="CNY",RMB_CROSS,$F40)&amp;"HKD Curncy","PX_LAST"))),1)</f>
        <v/>
      </c>
      <c r="H40" s="133">
        <f>IF($C40="","",BDP($C40,FLD_DPS12M))</f>
        <v/>
      </c>
      <c r="I40" s="126">
        <f>IF($C40="","",BDP($C40,FLD_YLD12M))</f>
        <v/>
      </c>
      <c r="J40" s="128">
        <f>IF($B40="",0,SUMPRODUCT(('Dvd Calendar'!$E$374:$AR$374&gt;=WIN_FROM)*('Dvd Calendar'!$E$374:$AR$374&lt;=REALIZED_TO)*'Dvd Calendar'!$E$377:$AR$377*(('Dvd Calendar'!$E$379:$AR$379=TYPE1)*(TYPE1&lt;&gt;"")+('Dvd Calendar'!$E$379:$AR$379=TYPE2)*(TYPE2&lt;&gt;"")+('Dvd Calendar'!$E$379:$AR$379=TYPE3)*(TYPE3&lt;&gt;"")+('Dvd Calendar'!$E$379:$AR$379=TYPE4)*(TYPE4&lt;&gt;"")+('Dvd Calendar'!$E$379:$AR$379=SPECIAL_LBL)*(INC_SPECIALS="Y"))))</f>
        <v/>
      </c>
      <c r="K40" s="128">
        <f>IF($B40="",0,SUMIFS('Dvd Calendar'!$E$382:$AR$382,'Dvd Calendar'!$E$381:$AR$381,"&gt;"&amp;PROJ_FROM,'Dvd Calendar'!$E$381:$AR$381,"&lt;="&amp;WIN_TO)+SUMPRODUCT(('Dvd Calendar'!$E$374:$AR$374&gt;PROJ_FROM)*('Dvd Calendar'!$E$374:$AR$374&lt;=WIN_TO)*'Dvd Calendar'!$E$377:$AR$377*(('Dvd Calendar'!$E$379:$AR$379=TYPE1)*(TYPE1&lt;&gt;"")+('Dvd Calendar'!$E$379:$AR$379=TYPE2)*(TYPE2&lt;&gt;"")+('Dvd Calendar'!$E$379:$AR$379=TYPE3)*(TYPE3&lt;&gt;"")+('Dvd Calendar'!$E$379:$AR$379=TYPE4)*(TYPE4&lt;&gt;"")+('Dvd Calendar'!$E$379:$AR$379=SPECIAL_LBL)*(INC_SPECIALS="Y"))*(COUNTIF('Dvd Calendar'!$E$381:$AR$381,'Dvd Calendar'!$E$374:$AR$374)=0)))</f>
        <v/>
      </c>
      <c r="L40" s="128">
        <f>IF($B40="",0,IF((OV_SWITCH="ON")*(COUNTIFS(OVR_TICKERS,$C40,OVR_BASE,"&gt;=0")&gt;0)&gt;0,SUMIFS(OVR_BASE,OVR_TICKERS,$C40),$K40))</f>
        <v/>
      </c>
      <c r="M40" s="128">
        <f>IF($B40="",0,IF((OV_SWITCH="ON")*(COUNTIFS(OVR_TICKERS,$C40,OVR_LOW,"&gt;=0")&gt;0)&gt;0,SUMIFS(OVR_LOW,OVR_TICKERS,$C40),$L40))</f>
        <v/>
      </c>
      <c r="N40" s="128">
        <f>IF($B40="",0,IF((OV_SWITCH="ON")*(COUNTIFS(OVR_TICKERS,$C40,OVR_HIGH,"&gt;=0")&gt;0)&gt;0,SUMIFS(OVR_HIGH,OVR_TICKERS,$C40),$L40))</f>
        <v/>
      </c>
      <c r="O40" s="133">
        <f>IF($B40="","",IFERROR($B40*$G40*$J40/$B$3,""))</f>
        <v/>
      </c>
      <c r="P40" s="133">
        <f>IF($B40="","",IFERROR($B40*$G40*$L40/$B$3,""))</f>
        <v/>
      </c>
      <c r="Q40" s="124">
        <f>IF($B40="","",IFERROR($O40+$P40,""))</f>
        <v/>
      </c>
      <c r="R40" s="133">
        <f>IF($B40="","",IFERROR($O40+$B40*$G40*$M40/$B$3,""))</f>
        <v/>
      </c>
      <c r="S40" s="133">
        <f>IF($B40="","",IFERROR($O40+$B40*$G40*$N40/$B$3,""))</f>
        <v/>
      </c>
      <c r="T40" s="150">
        <f>IF($B40="","",IFERROR($Q40/$Q$5,""))</f>
        <v/>
      </c>
      <c r="U40" s="2">
        <f>IF($B40="","",IF(COUNTIFS('Dvd Calendar'!$E$380:$AR$380,"&gt;0",'Dvd Calendar'!$E$380:$AR$380,"&lt;="&amp;VAL_DATE,'Dvd Calendar'!$E$381:$AR$381,"&gt;"&amp;PROJ_FROM,'Dvd Calendar'!$E$381:$AR$381,"&lt;="&amp;WIN_TO)-COUNTIFS('Dvd Calendar'!$E$380:$AR$380,"&gt;0",'Dvd Calendar'!$E$380:$AR$380,"&lt;="&amp;VAL_DATE,'Dvd Calendar'!$E$381:$AR$381,"&gt;"&amp;PROJ_FROM,'Dvd Calendar'!$E$381:$AR$381,"&lt;="&amp;WIN_TO,'Dvd Calendar'!$E$382:$AR$382,"&gt;=0")&gt;0,"TBA amount - override me",IF((OV_SWITCH="ON")*(COUNTIFS(OVR_TICKERS,$C40,OVR_BASE,"&gt;=0")&gt;0)&gt;0,"overridden",IF($J40+$K40=0,"no dividend in year Y",""))))</f>
        <v/>
      </c>
      <c r="V40" s="133">
        <f>IF($B40="","",IFERROR(IF(ISNUMBER($H40),$B40*$G40*$H40/$B$3,0),""))</f>
        <v/>
      </c>
      <c r="W40" s="133">
        <f>IF($B40="","",IFERROR($B40*$G40*$K40/$B$3,""))</f>
        <v/>
      </c>
      <c r="X40" s="157">
        <f>IF($C40="","",BDP($C40,"PX_LAST"))</f>
        <v/>
      </c>
      <c r="Y40" s="133">
        <f>IF($B40="","",IFERROR($B40*$X40/$B$3,""))</f>
        <v/>
      </c>
      <c r="Z40" s="137">
        <f>IF($B40="","",IFERROR($Y40/$Y$5,""))</f>
        <v/>
      </c>
    </row>
    <row r="41">
      <c r="B41" s="97" t="n"/>
      <c r="C41" s="8">
        <f>IF($A41="","",$A41&amp;" Equity")</f>
        <v/>
      </c>
      <c r="D41" s="8">
        <f>IF($C41="","",BDP($C41,"NAME"))</f>
        <v/>
      </c>
      <c r="E41" s="8">
        <f>IF($C41="","",BDP($C41,"GICS_SECTOR_NAME"))</f>
        <v/>
      </c>
      <c r="F41" s="37">
        <f>IF($C41="","",BDP($C41,FLD_CCY))</f>
        <v/>
      </c>
      <c r="G41" s="111">
        <f>IFERROR(IF(LEN($F41)&lt;&gt;3,1,IF($F41="HKD",1,BDP(IF($F41="CNY",RMB_CROSS,$F41)&amp;"HKD Curncy","PX_LAST"))),1)</f>
        <v/>
      </c>
      <c r="H41" s="133">
        <f>IF($C41="","",BDP($C41,FLD_DPS12M))</f>
        <v/>
      </c>
      <c r="I41" s="126">
        <f>IF($C41="","",BDP($C41,FLD_YLD12M))</f>
        <v/>
      </c>
      <c r="J41" s="128">
        <f>IF($B41="",0,SUMPRODUCT(('Dvd Calendar'!$E$385:$AR$385&gt;=WIN_FROM)*('Dvd Calendar'!$E$385:$AR$385&lt;=REALIZED_TO)*'Dvd Calendar'!$E$388:$AR$388*(('Dvd Calendar'!$E$390:$AR$390=TYPE1)*(TYPE1&lt;&gt;"")+('Dvd Calendar'!$E$390:$AR$390=TYPE2)*(TYPE2&lt;&gt;"")+('Dvd Calendar'!$E$390:$AR$390=TYPE3)*(TYPE3&lt;&gt;"")+('Dvd Calendar'!$E$390:$AR$390=TYPE4)*(TYPE4&lt;&gt;"")+('Dvd Calendar'!$E$390:$AR$390=SPECIAL_LBL)*(INC_SPECIALS="Y"))))</f>
        <v/>
      </c>
      <c r="K41" s="128">
        <f>IF($B41="",0,SUMIFS('Dvd Calendar'!$E$393:$AR$393,'Dvd Calendar'!$E$392:$AR$392,"&gt;"&amp;PROJ_FROM,'Dvd Calendar'!$E$392:$AR$392,"&lt;="&amp;WIN_TO)+SUMPRODUCT(('Dvd Calendar'!$E$385:$AR$385&gt;PROJ_FROM)*('Dvd Calendar'!$E$385:$AR$385&lt;=WIN_TO)*'Dvd Calendar'!$E$388:$AR$388*(('Dvd Calendar'!$E$390:$AR$390=TYPE1)*(TYPE1&lt;&gt;"")+('Dvd Calendar'!$E$390:$AR$390=TYPE2)*(TYPE2&lt;&gt;"")+('Dvd Calendar'!$E$390:$AR$390=TYPE3)*(TYPE3&lt;&gt;"")+('Dvd Calendar'!$E$390:$AR$390=TYPE4)*(TYPE4&lt;&gt;"")+('Dvd Calendar'!$E$390:$AR$390=SPECIAL_LBL)*(INC_SPECIALS="Y"))*(COUNTIF('Dvd Calendar'!$E$392:$AR$392,'Dvd Calendar'!$E$385:$AR$385)=0)))</f>
        <v/>
      </c>
      <c r="L41" s="128">
        <f>IF($B41="",0,IF((OV_SWITCH="ON")*(COUNTIFS(OVR_TICKERS,$C41,OVR_BASE,"&gt;=0")&gt;0)&gt;0,SUMIFS(OVR_BASE,OVR_TICKERS,$C41),$K41))</f>
        <v/>
      </c>
      <c r="M41" s="128">
        <f>IF($B41="",0,IF((OV_SWITCH="ON")*(COUNTIFS(OVR_TICKERS,$C41,OVR_LOW,"&gt;=0")&gt;0)&gt;0,SUMIFS(OVR_LOW,OVR_TICKERS,$C41),$L41))</f>
        <v/>
      </c>
      <c r="N41" s="128">
        <f>IF($B41="",0,IF((OV_SWITCH="ON")*(COUNTIFS(OVR_TICKERS,$C41,OVR_HIGH,"&gt;=0")&gt;0)&gt;0,SUMIFS(OVR_HIGH,OVR_TICKERS,$C41),$L41))</f>
        <v/>
      </c>
      <c r="O41" s="133">
        <f>IF($B41="","",IFERROR($B41*$G41*$J41/$B$3,""))</f>
        <v/>
      </c>
      <c r="P41" s="133">
        <f>IF($B41="","",IFERROR($B41*$G41*$L41/$B$3,""))</f>
        <v/>
      </c>
      <c r="Q41" s="124">
        <f>IF($B41="","",IFERROR($O41+$P41,""))</f>
        <v/>
      </c>
      <c r="R41" s="133">
        <f>IF($B41="","",IFERROR($O41+$B41*$G41*$M41/$B$3,""))</f>
        <v/>
      </c>
      <c r="S41" s="133">
        <f>IF($B41="","",IFERROR($O41+$B41*$G41*$N41/$B$3,""))</f>
        <v/>
      </c>
      <c r="T41" s="150">
        <f>IF($B41="","",IFERROR($Q41/$Q$5,""))</f>
        <v/>
      </c>
      <c r="U41" s="2">
        <f>IF($B41="","",IF(COUNTIFS('Dvd Calendar'!$E$391:$AR$391,"&gt;0",'Dvd Calendar'!$E$391:$AR$391,"&lt;="&amp;VAL_DATE,'Dvd Calendar'!$E$392:$AR$392,"&gt;"&amp;PROJ_FROM,'Dvd Calendar'!$E$392:$AR$392,"&lt;="&amp;WIN_TO)-COUNTIFS('Dvd Calendar'!$E$391:$AR$391,"&gt;0",'Dvd Calendar'!$E$391:$AR$391,"&lt;="&amp;VAL_DATE,'Dvd Calendar'!$E$392:$AR$392,"&gt;"&amp;PROJ_FROM,'Dvd Calendar'!$E$392:$AR$392,"&lt;="&amp;WIN_TO,'Dvd Calendar'!$E$393:$AR$393,"&gt;=0")&gt;0,"TBA amount - override me",IF((OV_SWITCH="ON")*(COUNTIFS(OVR_TICKERS,$C41,OVR_BASE,"&gt;=0")&gt;0)&gt;0,"overridden",IF($J41+$K41=0,"no dividend in year Y",""))))</f>
        <v/>
      </c>
      <c r="V41" s="133">
        <f>IF($B41="","",IFERROR(IF(ISNUMBER($H41),$B41*$G41*$H41/$B$3,0),""))</f>
        <v/>
      </c>
      <c r="W41" s="133">
        <f>IF($B41="","",IFERROR($B41*$G41*$K41/$B$3,""))</f>
        <v/>
      </c>
      <c r="X41" s="157">
        <f>IF($C41="","",BDP($C41,"PX_LAST"))</f>
        <v/>
      </c>
      <c r="Y41" s="133">
        <f>IF($B41="","",IFERROR($B41*$X41/$B$3,""))</f>
        <v/>
      </c>
      <c r="Z41" s="137">
        <f>IF($B41="","",IFERROR($Y41/$Y$5,""))</f>
        <v/>
      </c>
    </row>
    <row r="42">
      <c r="B42" s="97" t="n"/>
      <c r="C42" s="8">
        <f>IF($A42="","",$A42&amp;" Equity")</f>
        <v/>
      </c>
      <c r="D42" s="8">
        <f>IF($C42="","",BDP($C42,"NAME"))</f>
        <v/>
      </c>
      <c r="E42" s="8">
        <f>IF($C42="","",BDP($C42,"GICS_SECTOR_NAME"))</f>
        <v/>
      </c>
      <c r="F42" s="37">
        <f>IF($C42="","",BDP($C42,FLD_CCY))</f>
        <v/>
      </c>
      <c r="G42" s="111">
        <f>IFERROR(IF(LEN($F42)&lt;&gt;3,1,IF($F42="HKD",1,BDP(IF($F42="CNY",RMB_CROSS,$F42)&amp;"HKD Curncy","PX_LAST"))),1)</f>
        <v/>
      </c>
      <c r="H42" s="133">
        <f>IF($C42="","",BDP($C42,FLD_DPS12M))</f>
        <v/>
      </c>
      <c r="I42" s="126">
        <f>IF($C42="","",BDP($C42,FLD_YLD12M))</f>
        <v/>
      </c>
      <c r="J42" s="128">
        <f>IF($B42="",0,SUMPRODUCT(('Dvd Calendar'!$E$396:$AR$396&gt;=WIN_FROM)*('Dvd Calendar'!$E$396:$AR$396&lt;=REALIZED_TO)*'Dvd Calendar'!$E$399:$AR$399*(('Dvd Calendar'!$E$401:$AR$401=TYPE1)*(TYPE1&lt;&gt;"")+('Dvd Calendar'!$E$401:$AR$401=TYPE2)*(TYPE2&lt;&gt;"")+('Dvd Calendar'!$E$401:$AR$401=TYPE3)*(TYPE3&lt;&gt;"")+('Dvd Calendar'!$E$401:$AR$401=TYPE4)*(TYPE4&lt;&gt;"")+('Dvd Calendar'!$E$401:$AR$401=SPECIAL_LBL)*(INC_SPECIALS="Y"))))</f>
        <v/>
      </c>
      <c r="K42" s="128">
        <f>IF($B42="",0,SUMIFS('Dvd Calendar'!$E$404:$AR$404,'Dvd Calendar'!$E$403:$AR$403,"&gt;"&amp;PROJ_FROM,'Dvd Calendar'!$E$403:$AR$403,"&lt;="&amp;WIN_TO)+SUMPRODUCT(('Dvd Calendar'!$E$396:$AR$396&gt;PROJ_FROM)*('Dvd Calendar'!$E$396:$AR$396&lt;=WIN_TO)*'Dvd Calendar'!$E$399:$AR$399*(('Dvd Calendar'!$E$401:$AR$401=TYPE1)*(TYPE1&lt;&gt;"")+('Dvd Calendar'!$E$401:$AR$401=TYPE2)*(TYPE2&lt;&gt;"")+('Dvd Calendar'!$E$401:$AR$401=TYPE3)*(TYPE3&lt;&gt;"")+('Dvd Calendar'!$E$401:$AR$401=TYPE4)*(TYPE4&lt;&gt;"")+('Dvd Calendar'!$E$401:$AR$401=SPECIAL_LBL)*(INC_SPECIALS="Y"))*(COUNTIF('Dvd Calendar'!$E$403:$AR$403,'Dvd Calendar'!$E$396:$AR$396)=0)))</f>
        <v/>
      </c>
      <c r="L42" s="128">
        <f>IF($B42="",0,IF((OV_SWITCH="ON")*(COUNTIFS(OVR_TICKERS,$C42,OVR_BASE,"&gt;=0")&gt;0)&gt;0,SUMIFS(OVR_BASE,OVR_TICKERS,$C42),$K42))</f>
        <v/>
      </c>
      <c r="M42" s="128">
        <f>IF($B42="",0,IF((OV_SWITCH="ON")*(COUNTIFS(OVR_TICKERS,$C42,OVR_LOW,"&gt;=0")&gt;0)&gt;0,SUMIFS(OVR_LOW,OVR_TICKERS,$C42),$L42))</f>
        <v/>
      </c>
      <c r="N42" s="128">
        <f>IF($B42="",0,IF((OV_SWITCH="ON")*(COUNTIFS(OVR_TICKERS,$C42,OVR_HIGH,"&gt;=0")&gt;0)&gt;0,SUMIFS(OVR_HIGH,OVR_TICKERS,$C42),$L42))</f>
        <v/>
      </c>
      <c r="O42" s="133">
        <f>IF($B42="","",IFERROR($B42*$G42*$J42/$B$3,""))</f>
        <v/>
      </c>
      <c r="P42" s="133">
        <f>IF($B42="","",IFERROR($B42*$G42*$L42/$B$3,""))</f>
        <v/>
      </c>
      <c r="Q42" s="124">
        <f>IF($B42="","",IFERROR($O42+$P42,""))</f>
        <v/>
      </c>
      <c r="R42" s="133">
        <f>IF($B42="","",IFERROR($O42+$B42*$G42*$M42/$B$3,""))</f>
        <v/>
      </c>
      <c r="S42" s="133">
        <f>IF($B42="","",IFERROR($O42+$B42*$G42*$N42/$B$3,""))</f>
        <v/>
      </c>
      <c r="T42" s="150">
        <f>IF($B42="","",IFERROR($Q42/$Q$5,""))</f>
        <v/>
      </c>
      <c r="U42" s="2">
        <f>IF($B42="","",IF(COUNTIFS('Dvd Calendar'!$E$402:$AR$402,"&gt;0",'Dvd Calendar'!$E$402:$AR$402,"&lt;="&amp;VAL_DATE,'Dvd Calendar'!$E$403:$AR$403,"&gt;"&amp;PROJ_FROM,'Dvd Calendar'!$E$403:$AR$403,"&lt;="&amp;WIN_TO)-COUNTIFS('Dvd Calendar'!$E$402:$AR$402,"&gt;0",'Dvd Calendar'!$E$402:$AR$402,"&lt;="&amp;VAL_DATE,'Dvd Calendar'!$E$403:$AR$403,"&gt;"&amp;PROJ_FROM,'Dvd Calendar'!$E$403:$AR$403,"&lt;="&amp;WIN_TO,'Dvd Calendar'!$E$404:$AR$404,"&gt;=0")&gt;0,"TBA amount - override me",IF((OV_SWITCH="ON")*(COUNTIFS(OVR_TICKERS,$C42,OVR_BASE,"&gt;=0")&gt;0)&gt;0,"overridden",IF($J42+$K42=0,"no dividend in year Y",""))))</f>
        <v/>
      </c>
      <c r="V42" s="133">
        <f>IF($B42="","",IFERROR(IF(ISNUMBER($H42),$B42*$G42*$H42/$B$3,0),""))</f>
        <v/>
      </c>
      <c r="W42" s="133">
        <f>IF($B42="","",IFERROR($B42*$G42*$K42/$B$3,""))</f>
        <v/>
      </c>
      <c r="X42" s="157">
        <f>IF($C42="","",BDP($C42,"PX_LAST"))</f>
        <v/>
      </c>
      <c r="Y42" s="133">
        <f>IF($B42="","",IFERROR($B42*$X42/$B$3,""))</f>
        <v/>
      </c>
      <c r="Z42" s="137">
        <f>IF($B42="","",IFERROR($Y42/$Y$5,""))</f>
        <v/>
      </c>
    </row>
    <row r="43">
      <c r="B43" s="97" t="n"/>
      <c r="C43" s="8">
        <f>IF($A43="","",$A43&amp;" Equity")</f>
        <v/>
      </c>
      <c r="D43" s="8">
        <f>IF($C43="","",BDP($C43,"NAME"))</f>
        <v/>
      </c>
      <c r="E43" s="8">
        <f>IF($C43="","",BDP($C43,"GICS_SECTOR_NAME"))</f>
        <v/>
      </c>
      <c r="F43" s="37">
        <f>IF($C43="","",BDP($C43,FLD_CCY))</f>
        <v/>
      </c>
      <c r="G43" s="111">
        <f>IFERROR(IF(LEN($F43)&lt;&gt;3,1,IF($F43="HKD",1,BDP(IF($F43="CNY",RMB_CROSS,$F43)&amp;"HKD Curncy","PX_LAST"))),1)</f>
        <v/>
      </c>
      <c r="H43" s="133">
        <f>IF($C43="","",BDP($C43,FLD_DPS12M))</f>
        <v/>
      </c>
      <c r="I43" s="126">
        <f>IF($C43="","",BDP($C43,FLD_YLD12M))</f>
        <v/>
      </c>
      <c r="J43" s="128">
        <f>IF($B43="",0,SUMPRODUCT(('Dvd Calendar'!$E$407:$AR$407&gt;=WIN_FROM)*('Dvd Calendar'!$E$407:$AR$407&lt;=REALIZED_TO)*'Dvd Calendar'!$E$410:$AR$410*(('Dvd Calendar'!$E$412:$AR$412=TYPE1)*(TYPE1&lt;&gt;"")+('Dvd Calendar'!$E$412:$AR$412=TYPE2)*(TYPE2&lt;&gt;"")+('Dvd Calendar'!$E$412:$AR$412=TYPE3)*(TYPE3&lt;&gt;"")+('Dvd Calendar'!$E$412:$AR$412=TYPE4)*(TYPE4&lt;&gt;"")+('Dvd Calendar'!$E$412:$AR$412=SPECIAL_LBL)*(INC_SPECIALS="Y"))))</f>
        <v/>
      </c>
      <c r="K43" s="128">
        <f>IF($B43="",0,SUMIFS('Dvd Calendar'!$E$415:$AR$415,'Dvd Calendar'!$E$414:$AR$414,"&gt;"&amp;PROJ_FROM,'Dvd Calendar'!$E$414:$AR$414,"&lt;="&amp;WIN_TO)+SUMPRODUCT(('Dvd Calendar'!$E$407:$AR$407&gt;PROJ_FROM)*('Dvd Calendar'!$E$407:$AR$407&lt;=WIN_TO)*'Dvd Calendar'!$E$410:$AR$410*(('Dvd Calendar'!$E$412:$AR$412=TYPE1)*(TYPE1&lt;&gt;"")+('Dvd Calendar'!$E$412:$AR$412=TYPE2)*(TYPE2&lt;&gt;"")+('Dvd Calendar'!$E$412:$AR$412=TYPE3)*(TYPE3&lt;&gt;"")+('Dvd Calendar'!$E$412:$AR$412=TYPE4)*(TYPE4&lt;&gt;"")+('Dvd Calendar'!$E$412:$AR$412=SPECIAL_LBL)*(INC_SPECIALS="Y"))*(COUNTIF('Dvd Calendar'!$E$414:$AR$414,'Dvd Calendar'!$E$407:$AR$407)=0)))</f>
        <v/>
      </c>
      <c r="L43" s="128">
        <f>IF($B43="",0,IF((OV_SWITCH="ON")*(COUNTIFS(OVR_TICKERS,$C43,OVR_BASE,"&gt;=0")&gt;0)&gt;0,SUMIFS(OVR_BASE,OVR_TICKERS,$C43),$K43))</f>
        <v/>
      </c>
      <c r="M43" s="128">
        <f>IF($B43="",0,IF((OV_SWITCH="ON")*(COUNTIFS(OVR_TICKERS,$C43,OVR_LOW,"&gt;=0")&gt;0)&gt;0,SUMIFS(OVR_LOW,OVR_TICKERS,$C43),$L43))</f>
        <v/>
      </c>
      <c r="N43" s="128">
        <f>IF($B43="",0,IF((OV_SWITCH="ON")*(COUNTIFS(OVR_TICKERS,$C43,OVR_HIGH,"&gt;=0")&gt;0)&gt;0,SUMIFS(OVR_HIGH,OVR_TICKERS,$C43),$L43))</f>
        <v/>
      </c>
      <c r="O43" s="133">
        <f>IF($B43="","",IFERROR($B43*$G43*$J43/$B$3,""))</f>
        <v/>
      </c>
      <c r="P43" s="133">
        <f>IF($B43="","",IFERROR($B43*$G43*$L43/$B$3,""))</f>
        <v/>
      </c>
      <c r="Q43" s="124">
        <f>IF($B43="","",IFERROR($O43+$P43,""))</f>
        <v/>
      </c>
      <c r="R43" s="133">
        <f>IF($B43="","",IFERROR($O43+$B43*$G43*$M43/$B$3,""))</f>
        <v/>
      </c>
      <c r="S43" s="133">
        <f>IF($B43="","",IFERROR($O43+$B43*$G43*$N43/$B$3,""))</f>
        <v/>
      </c>
      <c r="T43" s="150">
        <f>IF($B43="","",IFERROR($Q43/$Q$5,""))</f>
        <v/>
      </c>
      <c r="U43" s="2">
        <f>IF($B43="","",IF(COUNTIFS('Dvd Calendar'!$E$413:$AR$413,"&gt;0",'Dvd Calendar'!$E$413:$AR$413,"&lt;="&amp;VAL_DATE,'Dvd Calendar'!$E$414:$AR$414,"&gt;"&amp;PROJ_FROM,'Dvd Calendar'!$E$414:$AR$414,"&lt;="&amp;WIN_TO)-COUNTIFS('Dvd Calendar'!$E$413:$AR$413,"&gt;0",'Dvd Calendar'!$E$413:$AR$413,"&lt;="&amp;VAL_DATE,'Dvd Calendar'!$E$414:$AR$414,"&gt;"&amp;PROJ_FROM,'Dvd Calendar'!$E$414:$AR$414,"&lt;="&amp;WIN_TO,'Dvd Calendar'!$E$415:$AR$415,"&gt;=0")&gt;0,"TBA amount - override me",IF((OV_SWITCH="ON")*(COUNTIFS(OVR_TICKERS,$C43,OVR_BASE,"&gt;=0")&gt;0)&gt;0,"overridden",IF($J43+$K43=0,"no dividend in year Y",""))))</f>
        <v/>
      </c>
      <c r="V43" s="133">
        <f>IF($B43="","",IFERROR(IF(ISNUMBER($H43),$B43*$G43*$H43/$B$3,0),""))</f>
        <v/>
      </c>
      <c r="W43" s="133">
        <f>IF($B43="","",IFERROR($B43*$G43*$K43/$B$3,""))</f>
        <v/>
      </c>
      <c r="X43" s="157">
        <f>IF($C43="","",BDP($C43,"PX_LAST"))</f>
        <v/>
      </c>
      <c r="Y43" s="133">
        <f>IF($B43="","",IFERROR($B43*$X43/$B$3,""))</f>
        <v/>
      </c>
      <c r="Z43" s="137">
        <f>IF($B43="","",IFERROR($Y43/$Y$5,""))</f>
        <v/>
      </c>
    </row>
    <row r="44">
      <c r="B44" s="97" t="n"/>
      <c r="C44" s="8">
        <f>IF($A44="","",$A44&amp;" Equity")</f>
        <v/>
      </c>
      <c r="D44" s="8">
        <f>IF($C44="","",BDP($C44,"NAME"))</f>
        <v/>
      </c>
      <c r="E44" s="8">
        <f>IF($C44="","",BDP($C44,"GICS_SECTOR_NAME"))</f>
        <v/>
      </c>
      <c r="F44" s="37">
        <f>IF($C44="","",BDP($C44,FLD_CCY))</f>
        <v/>
      </c>
      <c r="G44" s="111">
        <f>IFERROR(IF(LEN($F44)&lt;&gt;3,1,IF($F44="HKD",1,BDP(IF($F44="CNY",RMB_CROSS,$F44)&amp;"HKD Curncy","PX_LAST"))),1)</f>
        <v/>
      </c>
      <c r="H44" s="133">
        <f>IF($C44="","",BDP($C44,FLD_DPS12M))</f>
        <v/>
      </c>
      <c r="I44" s="126">
        <f>IF($C44="","",BDP($C44,FLD_YLD12M))</f>
        <v/>
      </c>
      <c r="J44" s="128">
        <f>IF($B44="",0,SUMPRODUCT(('Dvd Calendar'!$E$418:$AR$418&gt;=WIN_FROM)*('Dvd Calendar'!$E$418:$AR$418&lt;=REALIZED_TO)*'Dvd Calendar'!$E$421:$AR$421*(('Dvd Calendar'!$E$423:$AR$423=TYPE1)*(TYPE1&lt;&gt;"")+('Dvd Calendar'!$E$423:$AR$423=TYPE2)*(TYPE2&lt;&gt;"")+('Dvd Calendar'!$E$423:$AR$423=TYPE3)*(TYPE3&lt;&gt;"")+('Dvd Calendar'!$E$423:$AR$423=TYPE4)*(TYPE4&lt;&gt;"")+('Dvd Calendar'!$E$423:$AR$423=SPECIAL_LBL)*(INC_SPECIALS="Y"))))</f>
        <v/>
      </c>
      <c r="K44" s="128">
        <f>IF($B44="",0,SUMIFS('Dvd Calendar'!$E$426:$AR$426,'Dvd Calendar'!$E$425:$AR$425,"&gt;"&amp;PROJ_FROM,'Dvd Calendar'!$E$425:$AR$425,"&lt;="&amp;WIN_TO)+SUMPRODUCT(('Dvd Calendar'!$E$418:$AR$418&gt;PROJ_FROM)*('Dvd Calendar'!$E$418:$AR$418&lt;=WIN_TO)*'Dvd Calendar'!$E$421:$AR$421*(('Dvd Calendar'!$E$423:$AR$423=TYPE1)*(TYPE1&lt;&gt;"")+('Dvd Calendar'!$E$423:$AR$423=TYPE2)*(TYPE2&lt;&gt;"")+('Dvd Calendar'!$E$423:$AR$423=TYPE3)*(TYPE3&lt;&gt;"")+('Dvd Calendar'!$E$423:$AR$423=TYPE4)*(TYPE4&lt;&gt;"")+('Dvd Calendar'!$E$423:$AR$423=SPECIAL_LBL)*(INC_SPECIALS="Y"))*(COUNTIF('Dvd Calendar'!$E$425:$AR$425,'Dvd Calendar'!$E$418:$AR$418)=0)))</f>
        <v/>
      </c>
      <c r="L44" s="128">
        <f>IF($B44="",0,IF((OV_SWITCH="ON")*(COUNTIFS(OVR_TICKERS,$C44,OVR_BASE,"&gt;=0")&gt;0)&gt;0,SUMIFS(OVR_BASE,OVR_TICKERS,$C44),$K44))</f>
        <v/>
      </c>
      <c r="M44" s="128">
        <f>IF($B44="",0,IF((OV_SWITCH="ON")*(COUNTIFS(OVR_TICKERS,$C44,OVR_LOW,"&gt;=0")&gt;0)&gt;0,SUMIFS(OVR_LOW,OVR_TICKERS,$C44),$L44))</f>
        <v/>
      </c>
      <c r="N44" s="128">
        <f>IF($B44="",0,IF((OV_SWITCH="ON")*(COUNTIFS(OVR_TICKERS,$C44,OVR_HIGH,"&gt;=0")&gt;0)&gt;0,SUMIFS(OVR_HIGH,OVR_TICKERS,$C44),$L44))</f>
        <v/>
      </c>
      <c r="O44" s="133">
        <f>IF($B44="","",IFERROR($B44*$G44*$J44/$B$3,""))</f>
        <v/>
      </c>
      <c r="P44" s="133">
        <f>IF($B44="","",IFERROR($B44*$G44*$L44/$B$3,""))</f>
        <v/>
      </c>
      <c r="Q44" s="124">
        <f>IF($B44="","",IFERROR($O44+$P44,""))</f>
        <v/>
      </c>
      <c r="R44" s="133">
        <f>IF($B44="","",IFERROR($O44+$B44*$G44*$M44/$B$3,""))</f>
        <v/>
      </c>
      <c r="S44" s="133">
        <f>IF($B44="","",IFERROR($O44+$B44*$G44*$N44/$B$3,""))</f>
        <v/>
      </c>
      <c r="T44" s="150">
        <f>IF($B44="","",IFERROR($Q44/$Q$5,""))</f>
        <v/>
      </c>
      <c r="U44" s="2">
        <f>IF($B44="","",IF(COUNTIFS('Dvd Calendar'!$E$424:$AR$424,"&gt;0",'Dvd Calendar'!$E$424:$AR$424,"&lt;="&amp;VAL_DATE,'Dvd Calendar'!$E$425:$AR$425,"&gt;"&amp;PROJ_FROM,'Dvd Calendar'!$E$425:$AR$425,"&lt;="&amp;WIN_TO)-COUNTIFS('Dvd Calendar'!$E$424:$AR$424,"&gt;0",'Dvd Calendar'!$E$424:$AR$424,"&lt;="&amp;VAL_DATE,'Dvd Calendar'!$E$425:$AR$425,"&gt;"&amp;PROJ_FROM,'Dvd Calendar'!$E$425:$AR$425,"&lt;="&amp;WIN_TO,'Dvd Calendar'!$E$426:$AR$426,"&gt;=0")&gt;0,"TBA amount - override me",IF((OV_SWITCH="ON")*(COUNTIFS(OVR_TICKERS,$C44,OVR_BASE,"&gt;=0")&gt;0)&gt;0,"overridden",IF($J44+$K44=0,"no dividend in year Y",""))))</f>
        <v/>
      </c>
      <c r="V44" s="133">
        <f>IF($B44="","",IFERROR(IF(ISNUMBER($H44),$B44*$G44*$H44/$B$3,0),""))</f>
        <v/>
      </c>
      <c r="W44" s="133">
        <f>IF($B44="","",IFERROR($B44*$G44*$K44/$B$3,""))</f>
        <v/>
      </c>
      <c r="X44" s="157">
        <f>IF($C44="","",BDP($C44,"PX_LAST"))</f>
        <v/>
      </c>
      <c r="Y44" s="133">
        <f>IF($B44="","",IFERROR($B44*$X44/$B$3,""))</f>
        <v/>
      </c>
      <c r="Z44" s="137">
        <f>IF($B44="","",IFERROR($Y44/$Y$5,""))</f>
        <v/>
      </c>
    </row>
    <row r="45">
      <c r="B45" s="97" t="n"/>
      <c r="C45" s="8">
        <f>IF($A45="","",$A45&amp;" Equity")</f>
        <v/>
      </c>
      <c r="D45" s="8">
        <f>IF($C45="","",BDP($C45,"NAME"))</f>
        <v/>
      </c>
      <c r="E45" s="8">
        <f>IF($C45="","",BDP($C45,"GICS_SECTOR_NAME"))</f>
        <v/>
      </c>
      <c r="F45" s="37">
        <f>IF($C45="","",BDP($C45,FLD_CCY))</f>
        <v/>
      </c>
      <c r="G45" s="111">
        <f>IFERROR(IF(LEN($F45)&lt;&gt;3,1,IF($F45="HKD",1,BDP(IF($F45="CNY",RMB_CROSS,$F45)&amp;"HKD Curncy","PX_LAST"))),1)</f>
        <v/>
      </c>
      <c r="H45" s="133">
        <f>IF($C45="","",BDP($C45,FLD_DPS12M))</f>
        <v/>
      </c>
      <c r="I45" s="126">
        <f>IF($C45="","",BDP($C45,FLD_YLD12M))</f>
        <v/>
      </c>
      <c r="J45" s="128">
        <f>IF($B45="",0,SUMPRODUCT(('Dvd Calendar'!$E$429:$AR$429&gt;=WIN_FROM)*('Dvd Calendar'!$E$429:$AR$429&lt;=REALIZED_TO)*'Dvd Calendar'!$E$432:$AR$432*(('Dvd Calendar'!$E$434:$AR$434=TYPE1)*(TYPE1&lt;&gt;"")+('Dvd Calendar'!$E$434:$AR$434=TYPE2)*(TYPE2&lt;&gt;"")+('Dvd Calendar'!$E$434:$AR$434=TYPE3)*(TYPE3&lt;&gt;"")+('Dvd Calendar'!$E$434:$AR$434=TYPE4)*(TYPE4&lt;&gt;"")+('Dvd Calendar'!$E$434:$AR$434=SPECIAL_LBL)*(INC_SPECIALS="Y"))))</f>
        <v/>
      </c>
      <c r="K45" s="128">
        <f>IF($B45="",0,SUMIFS('Dvd Calendar'!$E$437:$AR$437,'Dvd Calendar'!$E$436:$AR$436,"&gt;"&amp;PROJ_FROM,'Dvd Calendar'!$E$436:$AR$436,"&lt;="&amp;WIN_TO)+SUMPRODUCT(('Dvd Calendar'!$E$429:$AR$429&gt;PROJ_FROM)*('Dvd Calendar'!$E$429:$AR$429&lt;=WIN_TO)*'Dvd Calendar'!$E$432:$AR$432*(('Dvd Calendar'!$E$434:$AR$434=TYPE1)*(TYPE1&lt;&gt;"")+('Dvd Calendar'!$E$434:$AR$434=TYPE2)*(TYPE2&lt;&gt;"")+('Dvd Calendar'!$E$434:$AR$434=TYPE3)*(TYPE3&lt;&gt;"")+('Dvd Calendar'!$E$434:$AR$434=TYPE4)*(TYPE4&lt;&gt;"")+('Dvd Calendar'!$E$434:$AR$434=SPECIAL_LBL)*(INC_SPECIALS="Y"))*(COUNTIF('Dvd Calendar'!$E$436:$AR$436,'Dvd Calendar'!$E$429:$AR$429)=0)))</f>
        <v/>
      </c>
      <c r="L45" s="128">
        <f>IF($B45="",0,IF((OV_SWITCH="ON")*(COUNTIFS(OVR_TICKERS,$C45,OVR_BASE,"&gt;=0")&gt;0)&gt;0,SUMIFS(OVR_BASE,OVR_TICKERS,$C45),$K45))</f>
        <v/>
      </c>
      <c r="M45" s="128">
        <f>IF($B45="",0,IF((OV_SWITCH="ON")*(COUNTIFS(OVR_TICKERS,$C45,OVR_LOW,"&gt;=0")&gt;0)&gt;0,SUMIFS(OVR_LOW,OVR_TICKERS,$C45),$L45))</f>
        <v/>
      </c>
      <c r="N45" s="128">
        <f>IF($B45="",0,IF((OV_SWITCH="ON")*(COUNTIFS(OVR_TICKERS,$C45,OVR_HIGH,"&gt;=0")&gt;0)&gt;0,SUMIFS(OVR_HIGH,OVR_TICKERS,$C45),$L45))</f>
        <v/>
      </c>
      <c r="O45" s="133">
        <f>IF($B45="","",IFERROR($B45*$G45*$J45/$B$3,""))</f>
        <v/>
      </c>
      <c r="P45" s="133">
        <f>IF($B45="","",IFERROR($B45*$G45*$L45/$B$3,""))</f>
        <v/>
      </c>
      <c r="Q45" s="124">
        <f>IF($B45="","",IFERROR($O45+$P45,""))</f>
        <v/>
      </c>
      <c r="R45" s="133">
        <f>IF($B45="","",IFERROR($O45+$B45*$G45*$M45/$B$3,""))</f>
        <v/>
      </c>
      <c r="S45" s="133">
        <f>IF($B45="","",IFERROR($O45+$B45*$G45*$N45/$B$3,""))</f>
        <v/>
      </c>
      <c r="T45" s="150">
        <f>IF($B45="","",IFERROR($Q45/$Q$5,""))</f>
        <v/>
      </c>
      <c r="U45" s="2">
        <f>IF($B45="","",IF(COUNTIFS('Dvd Calendar'!$E$435:$AR$435,"&gt;0",'Dvd Calendar'!$E$435:$AR$435,"&lt;="&amp;VAL_DATE,'Dvd Calendar'!$E$436:$AR$436,"&gt;"&amp;PROJ_FROM,'Dvd Calendar'!$E$436:$AR$436,"&lt;="&amp;WIN_TO)-COUNTIFS('Dvd Calendar'!$E$435:$AR$435,"&gt;0",'Dvd Calendar'!$E$435:$AR$435,"&lt;="&amp;VAL_DATE,'Dvd Calendar'!$E$436:$AR$436,"&gt;"&amp;PROJ_FROM,'Dvd Calendar'!$E$436:$AR$436,"&lt;="&amp;WIN_TO,'Dvd Calendar'!$E$437:$AR$437,"&gt;=0")&gt;0,"TBA amount - override me",IF((OV_SWITCH="ON")*(COUNTIFS(OVR_TICKERS,$C45,OVR_BASE,"&gt;=0")&gt;0)&gt;0,"overridden",IF($J45+$K45=0,"no dividend in year Y",""))))</f>
        <v/>
      </c>
      <c r="V45" s="133">
        <f>IF($B45="","",IFERROR(IF(ISNUMBER($H45),$B45*$G45*$H45/$B$3,0),""))</f>
        <v/>
      </c>
      <c r="W45" s="133">
        <f>IF($B45="","",IFERROR($B45*$G45*$K45/$B$3,""))</f>
        <v/>
      </c>
      <c r="X45" s="157">
        <f>IF($C45="","",BDP($C45,"PX_LAST"))</f>
        <v/>
      </c>
      <c r="Y45" s="133">
        <f>IF($B45="","",IFERROR($B45*$X45/$B$3,""))</f>
        <v/>
      </c>
      <c r="Z45" s="137">
        <f>IF($B45="","",IFERROR($Y45/$Y$5,""))</f>
        <v/>
      </c>
    </row>
    <row r="46">
      <c r="B46" s="97" t="n"/>
      <c r="C46" s="8">
        <f>IF($A46="","",$A46&amp;" Equity")</f>
        <v/>
      </c>
      <c r="D46" s="8">
        <f>IF($C46="","",BDP($C46,"NAME"))</f>
        <v/>
      </c>
      <c r="E46" s="8">
        <f>IF($C46="","",BDP($C46,"GICS_SECTOR_NAME"))</f>
        <v/>
      </c>
      <c r="F46" s="37">
        <f>IF($C46="","",BDP($C46,FLD_CCY))</f>
        <v/>
      </c>
      <c r="G46" s="111">
        <f>IFERROR(IF(LEN($F46)&lt;&gt;3,1,IF($F46="HKD",1,BDP(IF($F46="CNY",RMB_CROSS,$F46)&amp;"HKD Curncy","PX_LAST"))),1)</f>
        <v/>
      </c>
      <c r="H46" s="133">
        <f>IF($C46="","",BDP($C46,FLD_DPS12M))</f>
        <v/>
      </c>
      <c r="I46" s="126">
        <f>IF($C46="","",BDP($C46,FLD_YLD12M))</f>
        <v/>
      </c>
      <c r="J46" s="128">
        <f>IF($B46="",0,SUMPRODUCT(('Dvd Calendar'!$E$440:$AR$440&gt;=WIN_FROM)*('Dvd Calendar'!$E$440:$AR$440&lt;=REALIZED_TO)*'Dvd Calendar'!$E$443:$AR$443*(('Dvd Calendar'!$E$445:$AR$445=TYPE1)*(TYPE1&lt;&gt;"")+('Dvd Calendar'!$E$445:$AR$445=TYPE2)*(TYPE2&lt;&gt;"")+('Dvd Calendar'!$E$445:$AR$445=TYPE3)*(TYPE3&lt;&gt;"")+('Dvd Calendar'!$E$445:$AR$445=TYPE4)*(TYPE4&lt;&gt;"")+('Dvd Calendar'!$E$445:$AR$445=SPECIAL_LBL)*(INC_SPECIALS="Y"))))</f>
        <v/>
      </c>
      <c r="K46" s="128">
        <f>IF($B46="",0,SUMIFS('Dvd Calendar'!$E$448:$AR$448,'Dvd Calendar'!$E$447:$AR$447,"&gt;"&amp;PROJ_FROM,'Dvd Calendar'!$E$447:$AR$447,"&lt;="&amp;WIN_TO)+SUMPRODUCT(('Dvd Calendar'!$E$440:$AR$440&gt;PROJ_FROM)*('Dvd Calendar'!$E$440:$AR$440&lt;=WIN_TO)*'Dvd Calendar'!$E$443:$AR$443*(('Dvd Calendar'!$E$445:$AR$445=TYPE1)*(TYPE1&lt;&gt;"")+('Dvd Calendar'!$E$445:$AR$445=TYPE2)*(TYPE2&lt;&gt;"")+('Dvd Calendar'!$E$445:$AR$445=TYPE3)*(TYPE3&lt;&gt;"")+('Dvd Calendar'!$E$445:$AR$445=TYPE4)*(TYPE4&lt;&gt;"")+('Dvd Calendar'!$E$445:$AR$445=SPECIAL_LBL)*(INC_SPECIALS="Y"))*(COUNTIF('Dvd Calendar'!$E$447:$AR$447,'Dvd Calendar'!$E$440:$AR$440)=0)))</f>
        <v/>
      </c>
      <c r="L46" s="128">
        <f>IF($B46="",0,IF((OV_SWITCH="ON")*(COUNTIFS(OVR_TICKERS,$C46,OVR_BASE,"&gt;=0")&gt;0)&gt;0,SUMIFS(OVR_BASE,OVR_TICKERS,$C46),$K46))</f>
        <v/>
      </c>
      <c r="M46" s="128">
        <f>IF($B46="",0,IF((OV_SWITCH="ON")*(COUNTIFS(OVR_TICKERS,$C46,OVR_LOW,"&gt;=0")&gt;0)&gt;0,SUMIFS(OVR_LOW,OVR_TICKERS,$C46),$L46))</f>
        <v/>
      </c>
      <c r="N46" s="128">
        <f>IF($B46="",0,IF((OV_SWITCH="ON")*(COUNTIFS(OVR_TICKERS,$C46,OVR_HIGH,"&gt;=0")&gt;0)&gt;0,SUMIFS(OVR_HIGH,OVR_TICKERS,$C46),$L46))</f>
        <v/>
      </c>
      <c r="O46" s="133">
        <f>IF($B46="","",IFERROR($B46*$G46*$J46/$B$3,""))</f>
        <v/>
      </c>
      <c r="P46" s="133">
        <f>IF($B46="","",IFERROR($B46*$G46*$L46/$B$3,""))</f>
        <v/>
      </c>
      <c r="Q46" s="124">
        <f>IF($B46="","",IFERROR($O46+$P46,""))</f>
        <v/>
      </c>
      <c r="R46" s="133">
        <f>IF($B46="","",IFERROR($O46+$B46*$G46*$M46/$B$3,""))</f>
        <v/>
      </c>
      <c r="S46" s="133">
        <f>IF($B46="","",IFERROR($O46+$B46*$G46*$N46/$B$3,""))</f>
        <v/>
      </c>
      <c r="T46" s="150">
        <f>IF($B46="","",IFERROR($Q46/$Q$5,""))</f>
        <v/>
      </c>
      <c r="U46" s="2">
        <f>IF($B46="","",IF(COUNTIFS('Dvd Calendar'!$E$446:$AR$446,"&gt;0",'Dvd Calendar'!$E$446:$AR$446,"&lt;="&amp;VAL_DATE,'Dvd Calendar'!$E$447:$AR$447,"&gt;"&amp;PROJ_FROM,'Dvd Calendar'!$E$447:$AR$447,"&lt;="&amp;WIN_TO)-COUNTIFS('Dvd Calendar'!$E$446:$AR$446,"&gt;0",'Dvd Calendar'!$E$446:$AR$446,"&lt;="&amp;VAL_DATE,'Dvd Calendar'!$E$447:$AR$447,"&gt;"&amp;PROJ_FROM,'Dvd Calendar'!$E$447:$AR$447,"&lt;="&amp;WIN_TO,'Dvd Calendar'!$E$448:$AR$448,"&gt;=0")&gt;0,"TBA amount - override me",IF((OV_SWITCH="ON")*(COUNTIFS(OVR_TICKERS,$C46,OVR_BASE,"&gt;=0")&gt;0)&gt;0,"overridden",IF($J46+$K46=0,"no dividend in year Y",""))))</f>
        <v/>
      </c>
      <c r="V46" s="133">
        <f>IF($B46="","",IFERROR(IF(ISNUMBER($H46),$B46*$G46*$H46/$B$3,0),""))</f>
        <v/>
      </c>
      <c r="W46" s="133">
        <f>IF($B46="","",IFERROR($B46*$G46*$K46/$B$3,""))</f>
        <v/>
      </c>
      <c r="X46" s="157">
        <f>IF($C46="","",BDP($C46,"PX_LAST"))</f>
        <v/>
      </c>
      <c r="Y46" s="133">
        <f>IF($B46="","",IFERROR($B46*$X46/$B$3,""))</f>
        <v/>
      </c>
      <c r="Z46" s="137">
        <f>IF($B46="","",IFERROR($Y46/$Y$5,""))</f>
        <v/>
      </c>
    </row>
    <row r="47">
      <c r="B47" s="97" t="n"/>
      <c r="C47" s="8">
        <f>IF($A47="","",$A47&amp;" Equity")</f>
        <v/>
      </c>
      <c r="D47" s="8">
        <f>IF($C47="","",BDP($C47,"NAME"))</f>
        <v/>
      </c>
      <c r="E47" s="8">
        <f>IF($C47="","",BDP($C47,"GICS_SECTOR_NAME"))</f>
        <v/>
      </c>
      <c r="F47" s="37">
        <f>IF($C47="","",BDP($C47,FLD_CCY))</f>
        <v/>
      </c>
      <c r="G47" s="111">
        <f>IFERROR(IF(LEN($F47)&lt;&gt;3,1,IF($F47="HKD",1,BDP(IF($F47="CNY",RMB_CROSS,$F47)&amp;"HKD Curncy","PX_LAST"))),1)</f>
        <v/>
      </c>
      <c r="H47" s="133">
        <f>IF($C47="","",BDP($C47,FLD_DPS12M))</f>
        <v/>
      </c>
      <c r="I47" s="126">
        <f>IF($C47="","",BDP($C47,FLD_YLD12M))</f>
        <v/>
      </c>
      <c r="J47" s="128">
        <f>IF($B47="",0,SUMPRODUCT(('Dvd Calendar'!$E$451:$AR$451&gt;=WIN_FROM)*('Dvd Calendar'!$E$451:$AR$451&lt;=REALIZED_TO)*'Dvd Calendar'!$E$454:$AR$454*(('Dvd Calendar'!$E$456:$AR$456=TYPE1)*(TYPE1&lt;&gt;"")+('Dvd Calendar'!$E$456:$AR$456=TYPE2)*(TYPE2&lt;&gt;"")+('Dvd Calendar'!$E$456:$AR$456=TYPE3)*(TYPE3&lt;&gt;"")+('Dvd Calendar'!$E$456:$AR$456=TYPE4)*(TYPE4&lt;&gt;"")+('Dvd Calendar'!$E$456:$AR$456=SPECIAL_LBL)*(INC_SPECIALS="Y"))))</f>
        <v/>
      </c>
      <c r="K47" s="128">
        <f>IF($B47="",0,SUMIFS('Dvd Calendar'!$E$459:$AR$459,'Dvd Calendar'!$E$458:$AR$458,"&gt;"&amp;PROJ_FROM,'Dvd Calendar'!$E$458:$AR$458,"&lt;="&amp;WIN_TO)+SUMPRODUCT(('Dvd Calendar'!$E$451:$AR$451&gt;PROJ_FROM)*('Dvd Calendar'!$E$451:$AR$451&lt;=WIN_TO)*'Dvd Calendar'!$E$454:$AR$454*(('Dvd Calendar'!$E$456:$AR$456=TYPE1)*(TYPE1&lt;&gt;"")+('Dvd Calendar'!$E$456:$AR$456=TYPE2)*(TYPE2&lt;&gt;"")+('Dvd Calendar'!$E$456:$AR$456=TYPE3)*(TYPE3&lt;&gt;"")+('Dvd Calendar'!$E$456:$AR$456=TYPE4)*(TYPE4&lt;&gt;"")+('Dvd Calendar'!$E$456:$AR$456=SPECIAL_LBL)*(INC_SPECIALS="Y"))*(COUNTIF('Dvd Calendar'!$E$458:$AR$458,'Dvd Calendar'!$E$451:$AR$451)=0)))</f>
        <v/>
      </c>
      <c r="L47" s="128">
        <f>IF($B47="",0,IF((OV_SWITCH="ON")*(COUNTIFS(OVR_TICKERS,$C47,OVR_BASE,"&gt;=0")&gt;0)&gt;0,SUMIFS(OVR_BASE,OVR_TICKERS,$C47),$K47))</f>
        <v/>
      </c>
      <c r="M47" s="128">
        <f>IF($B47="",0,IF((OV_SWITCH="ON")*(COUNTIFS(OVR_TICKERS,$C47,OVR_LOW,"&gt;=0")&gt;0)&gt;0,SUMIFS(OVR_LOW,OVR_TICKERS,$C47),$L47))</f>
        <v/>
      </c>
      <c r="N47" s="128">
        <f>IF($B47="",0,IF((OV_SWITCH="ON")*(COUNTIFS(OVR_TICKERS,$C47,OVR_HIGH,"&gt;=0")&gt;0)&gt;0,SUMIFS(OVR_HIGH,OVR_TICKERS,$C47),$L47))</f>
        <v/>
      </c>
      <c r="O47" s="133">
        <f>IF($B47="","",IFERROR($B47*$G47*$J47/$B$3,""))</f>
        <v/>
      </c>
      <c r="P47" s="133">
        <f>IF($B47="","",IFERROR($B47*$G47*$L47/$B$3,""))</f>
        <v/>
      </c>
      <c r="Q47" s="124">
        <f>IF($B47="","",IFERROR($O47+$P47,""))</f>
        <v/>
      </c>
      <c r="R47" s="133">
        <f>IF($B47="","",IFERROR($O47+$B47*$G47*$M47/$B$3,""))</f>
        <v/>
      </c>
      <c r="S47" s="133">
        <f>IF($B47="","",IFERROR($O47+$B47*$G47*$N47/$B$3,""))</f>
        <v/>
      </c>
      <c r="T47" s="150">
        <f>IF($B47="","",IFERROR($Q47/$Q$5,""))</f>
        <v/>
      </c>
      <c r="U47" s="2">
        <f>IF($B47="","",IF(COUNTIFS('Dvd Calendar'!$E$457:$AR$457,"&gt;0",'Dvd Calendar'!$E$457:$AR$457,"&lt;="&amp;VAL_DATE,'Dvd Calendar'!$E$458:$AR$458,"&gt;"&amp;PROJ_FROM,'Dvd Calendar'!$E$458:$AR$458,"&lt;="&amp;WIN_TO)-COUNTIFS('Dvd Calendar'!$E$457:$AR$457,"&gt;0",'Dvd Calendar'!$E$457:$AR$457,"&lt;="&amp;VAL_DATE,'Dvd Calendar'!$E$458:$AR$458,"&gt;"&amp;PROJ_FROM,'Dvd Calendar'!$E$458:$AR$458,"&lt;="&amp;WIN_TO,'Dvd Calendar'!$E$459:$AR$459,"&gt;=0")&gt;0,"TBA amount - override me",IF((OV_SWITCH="ON")*(COUNTIFS(OVR_TICKERS,$C47,OVR_BASE,"&gt;=0")&gt;0)&gt;0,"overridden",IF($J47+$K47=0,"no dividend in year Y",""))))</f>
        <v/>
      </c>
      <c r="V47" s="133">
        <f>IF($B47="","",IFERROR(IF(ISNUMBER($H47),$B47*$G47*$H47/$B$3,0),""))</f>
        <v/>
      </c>
      <c r="W47" s="133">
        <f>IF($B47="","",IFERROR($B47*$G47*$K47/$B$3,""))</f>
        <v/>
      </c>
      <c r="X47" s="157">
        <f>IF($C47="","",BDP($C47,"PX_LAST"))</f>
        <v/>
      </c>
      <c r="Y47" s="133">
        <f>IF($B47="","",IFERROR($B47*$X47/$B$3,""))</f>
        <v/>
      </c>
      <c r="Z47" s="137">
        <f>IF($B47="","",IFERROR($Y47/$Y$5,""))</f>
        <v/>
      </c>
    </row>
    <row r="48">
      <c r="B48" s="97" t="n"/>
      <c r="C48" s="8">
        <f>IF($A48="","",$A48&amp;" Equity")</f>
        <v/>
      </c>
      <c r="D48" s="8">
        <f>IF($C48="","",BDP($C48,"NAME"))</f>
        <v/>
      </c>
      <c r="E48" s="8">
        <f>IF($C48="","",BDP($C48,"GICS_SECTOR_NAME"))</f>
        <v/>
      </c>
      <c r="F48" s="37">
        <f>IF($C48="","",BDP($C48,FLD_CCY))</f>
        <v/>
      </c>
      <c r="G48" s="111">
        <f>IFERROR(IF(LEN($F48)&lt;&gt;3,1,IF($F48="HKD",1,BDP(IF($F48="CNY",RMB_CROSS,$F48)&amp;"HKD Curncy","PX_LAST"))),1)</f>
        <v/>
      </c>
      <c r="H48" s="133">
        <f>IF($C48="","",BDP($C48,FLD_DPS12M))</f>
        <v/>
      </c>
      <c r="I48" s="126">
        <f>IF($C48="","",BDP($C48,FLD_YLD12M))</f>
        <v/>
      </c>
      <c r="J48" s="128">
        <f>IF($B48="",0,SUMPRODUCT(('Dvd Calendar'!$E$462:$AR$462&gt;=WIN_FROM)*('Dvd Calendar'!$E$462:$AR$462&lt;=REALIZED_TO)*'Dvd Calendar'!$E$465:$AR$465*(('Dvd Calendar'!$E$467:$AR$467=TYPE1)*(TYPE1&lt;&gt;"")+('Dvd Calendar'!$E$467:$AR$467=TYPE2)*(TYPE2&lt;&gt;"")+('Dvd Calendar'!$E$467:$AR$467=TYPE3)*(TYPE3&lt;&gt;"")+('Dvd Calendar'!$E$467:$AR$467=TYPE4)*(TYPE4&lt;&gt;"")+('Dvd Calendar'!$E$467:$AR$467=SPECIAL_LBL)*(INC_SPECIALS="Y"))))</f>
        <v/>
      </c>
      <c r="K48" s="128">
        <f>IF($B48="",0,SUMIFS('Dvd Calendar'!$E$470:$AR$470,'Dvd Calendar'!$E$469:$AR$469,"&gt;"&amp;PROJ_FROM,'Dvd Calendar'!$E$469:$AR$469,"&lt;="&amp;WIN_TO)+SUMPRODUCT(('Dvd Calendar'!$E$462:$AR$462&gt;PROJ_FROM)*('Dvd Calendar'!$E$462:$AR$462&lt;=WIN_TO)*'Dvd Calendar'!$E$465:$AR$465*(('Dvd Calendar'!$E$467:$AR$467=TYPE1)*(TYPE1&lt;&gt;"")+('Dvd Calendar'!$E$467:$AR$467=TYPE2)*(TYPE2&lt;&gt;"")+('Dvd Calendar'!$E$467:$AR$467=TYPE3)*(TYPE3&lt;&gt;"")+('Dvd Calendar'!$E$467:$AR$467=TYPE4)*(TYPE4&lt;&gt;"")+('Dvd Calendar'!$E$467:$AR$467=SPECIAL_LBL)*(INC_SPECIALS="Y"))*(COUNTIF('Dvd Calendar'!$E$469:$AR$469,'Dvd Calendar'!$E$462:$AR$462)=0)))</f>
        <v/>
      </c>
      <c r="L48" s="128">
        <f>IF($B48="",0,IF((OV_SWITCH="ON")*(COUNTIFS(OVR_TICKERS,$C48,OVR_BASE,"&gt;=0")&gt;0)&gt;0,SUMIFS(OVR_BASE,OVR_TICKERS,$C48),$K48))</f>
        <v/>
      </c>
      <c r="M48" s="128">
        <f>IF($B48="",0,IF((OV_SWITCH="ON")*(COUNTIFS(OVR_TICKERS,$C48,OVR_LOW,"&gt;=0")&gt;0)&gt;0,SUMIFS(OVR_LOW,OVR_TICKERS,$C48),$L48))</f>
        <v/>
      </c>
      <c r="N48" s="128">
        <f>IF($B48="",0,IF((OV_SWITCH="ON")*(COUNTIFS(OVR_TICKERS,$C48,OVR_HIGH,"&gt;=0")&gt;0)&gt;0,SUMIFS(OVR_HIGH,OVR_TICKERS,$C48),$L48))</f>
        <v/>
      </c>
      <c r="O48" s="133">
        <f>IF($B48="","",IFERROR($B48*$G48*$J48/$B$3,""))</f>
        <v/>
      </c>
      <c r="P48" s="133">
        <f>IF($B48="","",IFERROR($B48*$G48*$L48/$B$3,""))</f>
        <v/>
      </c>
      <c r="Q48" s="124">
        <f>IF($B48="","",IFERROR($O48+$P48,""))</f>
        <v/>
      </c>
      <c r="R48" s="133">
        <f>IF($B48="","",IFERROR($O48+$B48*$G48*$M48/$B$3,""))</f>
        <v/>
      </c>
      <c r="S48" s="133">
        <f>IF($B48="","",IFERROR($O48+$B48*$G48*$N48/$B$3,""))</f>
        <v/>
      </c>
      <c r="T48" s="150">
        <f>IF($B48="","",IFERROR($Q48/$Q$5,""))</f>
        <v/>
      </c>
      <c r="U48" s="2">
        <f>IF($B48="","",IF(COUNTIFS('Dvd Calendar'!$E$468:$AR$468,"&gt;0",'Dvd Calendar'!$E$468:$AR$468,"&lt;="&amp;VAL_DATE,'Dvd Calendar'!$E$469:$AR$469,"&gt;"&amp;PROJ_FROM,'Dvd Calendar'!$E$469:$AR$469,"&lt;="&amp;WIN_TO)-COUNTIFS('Dvd Calendar'!$E$468:$AR$468,"&gt;0",'Dvd Calendar'!$E$468:$AR$468,"&lt;="&amp;VAL_DATE,'Dvd Calendar'!$E$469:$AR$469,"&gt;"&amp;PROJ_FROM,'Dvd Calendar'!$E$469:$AR$469,"&lt;="&amp;WIN_TO,'Dvd Calendar'!$E$470:$AR$470,"&gt;=0")&gt;0,"TBA amount - override me",IF((OV_SWITCH="ON")*(COUNTIFS(OVR_TICKERS,$C48,OVR_BASE,"&gt;=0")&gt;0)&gt;0,"overridden",IF($J48+$K48=0,"no dividend in year Y",""))))</f>
        <v/>
      </c>
      <c r="V48" s="133">
        <f>IF($B48="","",IFERROR(IF(ISNUMBER($H48),$B48*$G48*$H48/$B$3,0),""))</f>
        <v/>
      </c>
      <c r="W48" s="133">
        <f>IF($B48="","",IFERROR($B48*$G48*$K48/$B$3,""))</f>
        <v/>
      </c>
      <c r="X48" s="157">
        <f>IF($C48="","",BDP($C48,"PX_LAST"))</f>
        <v/>
      </c>
      <c r="Y48" s="133">
        <f>IF($B48="","",IFERROR($B48*$X48/$B$3,""))</f>
        <v/>
      </c>
      <c r="Z48" s="137">
        <f>IF($B48="","",IFERROR($Y48/$Y$5,""))</f>
        <v/>
      </c>
    </row>
    <row r="49">
      <c r="B49" s="97" t="n"/>
      <c r="C49" s="8">
        <f>IF($A49="","",$A49&amp;" Equity")</f>
        <v/>
      </c>
      <c r="D49" s="8">
        <f>IF($C49="","",BDP($C49,"NAME"))</f>
        <v/>
      </c>
      <c r="E49" s="8">
        <f>IF($C49="","",BDP($C49,"GICS_SECTOR_NAME"))</f>
        <v/>
      </c>
      <c r="F49" s="37">
        <f>IF($C49="","",BDP($C49,FLD_CCY))</f>
        <v/>
      </c>
      <c r="G49" s="111">
        <f>IFERROR(IF(LEN($F49)&lt;&gt;3,1,IF($F49="HKD",1,BDP(IF($F49="CNY",RMB_CROSS,$F49)&amp;"HKD Curncy","PX_LAST"))),1)</f>
        <v/>
      </c>
      <c r="H49" s="133">
        <f>IF($C49="","",BDP($C49,FLD_DPS12M))</f>
        <v/>
      </c>
      <c r="I49" s="126">
        <f>IF($C49="","",BDP($C49,FLD_YLD12M))</f>
        <v/>
      </c>
      <c r="J49" s="128">
        <f>IF($B49="",0,SUMPRODUCT(('Dvd Calendar'!$E$473:$AR$473&gt;=WIN_FROM)*('Dvd Calendar'!$E$473:$AR$473&lt;=REALIZED_TO)*'Dvd Calendar'!$E$476:$AR$476*(('Dvd Calendar'!$E$478:$AR$478=TYPE1)*(TYPE1&lt;&gt;"")+('Dvd Calendar'!$E$478:$AR$478=TYPE2)*(TYPE2&lt;&gt;"")+('Dvd Calendar'!$E$478:$AR$478=TYPE3)*(TYPE3&lt;&gt;"")+('Dvd Calendar'!$E$478:$AR$478=TYPE4)*(TYPE4&lt;&gt;"")+('Dvd Calendar'!$E$478:$AR$478=SPECIAL_LBL)*(INC_SPECIALS="Y"))))</f>
        <v/>
      </c>
      <c r="K49" s="128">
        <f>IF($B49="",0,SUMIFS('Dvd Calendar'!$E$481:$AR$481,'Dvd Calendar'!$E$480:$AR$480,"&gt;"&amp;PROJ_FROM,'Dvd Calendar'!$E$480:$AR$480,"&lt;="&amp;WIN_TO)+SUMPRODUCT(('Dvd Calendar'!$E$473:$AR$473&gt;PROJ_FROM)*('Dvd Calendar'!$E$473:$AR$473&lt;=WIN_TO)*'Dvd Calendar'!$E$476:$AR$476*(('Dvd Calendar'!$E$478:$AR$478=TYPE1)*(TYPE1&lt;&gt;"")+('Dvd Calendar'!$E$478:$AR$478=TYPE2)*(TYPE2&lt;&gt;"")+('Dvd Calendar'!$E$478:$AR$478=TYPE3)*(TYPE3&lt;&gt;"")+('Dvd Calendar'!$E$478:$AR$478=TYPE4)*(TYPE4&lt;&gt;"")+('Dvd Calendar'!$E$478:$AR$478=SPECIAL_LBL)*(INC_SPECIALS="Y"))*(COUNTIF('Dvd Calendar'!$E$480:$AR$480,'Dvd Calendar'!$E$473:$AR$473)=0)))</f>
        <v/>
      </c>
      <c r="L49" s="128">
        <f>IF($B49="",0,IF((OV_SWITCH="ON")*(COUNTIFS(OVR_TICKERS,$C49,OVR_BASE,"&gt;=0")&gt;0)&gt;0,SUMIFS(OVR_BASE,OVR_TICKERS,$C49),$K49))</f>
        <v/>
      </c>
      <c r="M49" s="128">
        <f>IF($B49="",0,IF((OV_SWITCH="ON")*(COUNTIFS(OVR_TICKERS,$C49,OVR_LOW,"&gt;=0")&gt;0)&gt;0,SUMIFS(OVR_LOW,OVR_TICKERS,$C49),$L49))</f>
        <v/>
      </c>
      <c r="N49" s="128">
        <f>IF($B49="",0,IF((OV_SWITCH="ON")*(COUNTIFS(OVR_TICKERS,$C49,OVR_HIGH,"&gt;=0")&gt;0)&gt;0,SUMIFS(OVR_HIGH,OVR_TICKERS,$C49),$L49))</f>
        <v/>
      </c>
      <c r="O49" s="133">
        <f>IF($B49="","",IFERROR($B49*$G49*$J49/$B$3,""))</f>
        <v/>
      </c>
      <c r="P49" s="133">
        <f>IF($B49="","",IFERROR($B49*$G49*$L49/$B$3,""))</f>
        <v/>
      </c>
      <c r="Q49" s="124">
        <f>IF($B49="","",IFERROR($O49+$P49,""))</f>
        <v/>
      </c>
      <c r="R49" s="133">
        <f>IF($B49="","",IFERROR($O49+$B49*$G49*$M49/$B$3,""))</f>
        <v/>
      </c>
      <c r="S49" s="133">
        <f>IF($B49="","",IFERROR($O49+$B49*$G49*$N49/$B$3,""))</f>
        <v/>
      </c>
      <c r="T49" s="150">
        <f>IF($B49="","",IFERROR($Q49/$Q$5,""))</f>
        <v/>
      </c>
      <c r="U49" s="2">
        <f>IF($B49="","",IF(COUNTIFS('Dvd Calendar'!$E$479:$AR$479,"&gt;0",'Dvd Calendar'!$E$479:$AR$479,"&lt;="&amp;VAL_DATE,'Dvd Calendar'!$E$480:$AR$480,"&gt;"&amp;PROJ_FROM,'Dvd Calendar'!$E$480:$AR$480,"&lt;="&amp;WIN_TO)-COUNTIFS('Dvd Calendar'!$E$479:$AR$479,"&gt;0",'Dvd Calendar'!$E$479:$AR$479,"&lt;="&amp;VAL_DATE,'Dvd Calendar'!$E$480:$AR$480,"&gt;"&amp;PROJ_FROM,'Dvd Calendar'!$E$480:$AR$480,"&lt;="&amp;WIN_TO,'Dvd Calendar'!$E$481:$AR$481,"&gt;=0")&gt;0,"TBA amount - override me",IF((OV_SWITCH="ON")*(COUNTIFS(OVR_TICKERS,$C49,OVR_BASE,"&gt;=0")&gt;0)&gt;0,"overridden",IF($J49+$K49=0,"no dividend in year Y",""))))</f>
        <v/>
      </c>
      <c r="V49" s="133">
        <f>IF($B49="","",IFERROR(IF(ISNUMBER($H49),$B49*$G49*$H49/$B$3,0),""))</f>
        <v/>
      </c>
      <c r="W49" s="133">
        <f>IF($B49="","",IFERROR($B49*$G49*$K49/$B$3,""))</f>
        <v/>
      </c>
      <c r="X49" s="157">
        <f>IF($C49="","",BDP($C49,"PX_LAST"))</f>
        <v/>
      </c>
      <c r="Y49" s="133">
        <f>IF($B49="","",IFERROR($B49*$X49/$B$3,""))</f>
        <v/>
      </c>
      <c r="Z49" s="137">
        <f>IF($B49="","",IFERROR($Y49/$Y$5,""))</f>
        <v/>
      </c>
    </row>
    <row r="50">
      <c r="B50" s="97" t="n"/>
      <c r="C50" s="8">
        <f>IF($A50="","",$A50&amp;" Equity")</f>
        <v/>
      </c>
      <c r="D50" s="8">
        <f>IF($C50="","",BDP($C50,"NAME"))</f>
        <v/>
      </c>
      <c r="E50" s="8">
        <f>IF($C50="","",BDP($C50,"GICS_SECTOR_NAME"))</f>
        <v/>
      </c>
      <c r="F50" s="37">
        <f>IF($C50="","",BDP($C50,FLD_CCY))</f>
        <v/>
      </c>
      <c r="G50" s="111">
        <f>IFERROR(IF(LEN($F50)&lt;&gt;3,1,IF($F50="HKD",1,BDP(IF($F50="CNY",RMB_CROSS,$F50)&amp;"HKD Curncy","PX_LAST"))),1)</f>
        <v/>
      </c>
      <c r="H50" s="133">
        <f>IF($C50="","",BDP($C50,FLD_DPS12M))</f>
        <v/>
      </c>
      <c r="I50" s="126">
        <f>IF($C50="","",BDP($C50,FLD_YLD12M))</f>
        <v/>
      </c>
      <c r="J50" s="128">
        <f>IF($B50="",0,SUMPRODUCT(('Dvd Calendar'!$E$484:$AR$484&gt;=WIN_FROM)*('Dvd Calendar'!$E$484:$AR$484&lt;=REALIZED_TO)*'Dvd Calendar'!$E$487:$AR$487*(('Dvd Calendar'!$E$489:$AR$489=TYPE1)*(TYPE1&lt;&gt;"")+('Dvd Calendar'!$E$489:$AR$489=TYPE2)*(TYPE2&lt;&gt;"")+('Dvd Calendar'!$E$489:$AR$489=TYPE3)*(TYPE3&lt;&gt;"")+('Dvd Calendar'!$E$489:$AR$489=TYPE4)*(TYPE4&lt;&gt;"")+('Dvd Calendar'!$E$489:$AR$489=SPECIAL_LBL)*(INC_SPECIALS="Y"))))</f>
        <v/>
      </c>
      <c r="K50" s="128">
        <f>IF($B50="",0,SUMIFS('Dvd Calendar'!$E$492:$AR$492,'Dvd Calendar'!$E$491:$AR$491,"&gt;"&amp;PROJ_FROM,'Dvd Calendar'!$E$491:$AR$491,"&lt;="&amp;WIN_TO)+SUMPRODUCT(('Dvd Calendar'!$E$484:$AR$484&gt;PROJ_FROM)*('Dvd Calendar'!$E$484:$AR$484&lt;=WIN_TO)*'Dvd Calendar'!$E$487:$AR$487*(('Dvd Calendar'!$E$489:$AR$489=TYPE1)*(TYPE1&lt;&gt;"")+('Dvd Calendar'!$E$489:$AR$489=TYPE2)*(TYPE2&lt;&gt;"")+('Dvd Calendar'!$E$489:$AR$489=TYPE3)*(TYPE3&lt;&gt;"")+('Dvd Calendar'!$E$489:$AR$489=TYPE4)*(TYPE4&lt;&gt;"")+('Dvd Calendar'!$E$489:$AR$489=SPECIAL_LBL)*(INC_SPECIALS="Y"))*(COUNTIF('Dvd Calendar'!$E$491:$AR$491,'Dvd Calendar'!$E$484:$AR$484)=0)))</f>
        <v/>
      </c>
      <c r="L50" s="128">
        <f>IF($B50="",0,IF((OV_SWITCH="ON")*(COUNTIFS(OVR_TICKERS,$C50,OVR_BASE,"&gt;=0")&gt;0)&gt;0,SUMIFS(OVR_BASE,OVR_TICKERS,$C50),$K50))</f>
        <v/>
      </c>
      <c r="M50" s="128">
        <f>IF($B50="",0,IF((OV_SWITCH="ON")*(COUNTIFS(OVR_TICKERS,$C50,OVR_LOW,"&gt;=0")&gt;0)&gt;0,SUMIFS(OVR_LOW,OVR_TICKERS,$C50),$L50))</f>
        <v/>
      </c>
      <c r="N50" s="128">
        <f>IF($B50="",0,IF((OV_SWITCH="ON")*(COUNTIFS(OVR_TICKERS,$C50,OVR_HIGH,"&gt;=0")&gt;0)&gt;0,SUMIFS(OVR_HIGH,OVR_TICKERS,$C50),$L50))</f>
        <v/>
      </c>
      <c r="O50" s="133">
        <f>IF($B50="","",IFERROR($B50*$G50*$J50/$B$3,""))</f>
        <v/>
      </c>
      <c r="P50" s="133">
        <f>IF($B50="","",IFERROR($B50*$G50*$L50/$B$3,""))</f>
        <v/>
      </c>
      <c r="Q50" s="124">
        <f>IF($B50="","",IFERROR($O50+$P50,""))</f>
        <v/>
      </c>
      <c r="R50" s="133">
        <f>IF($B50="","",IFERROR($O50+$B50*$G50*$M50/$B$3,""))</f>
        <v/>
      </c>
      <c r="S50" s="133">
        <f>IF($B50="","",IFERROR($O50+$B50*$G50*$N50/$B$3,""))</f>
        <v/>
      </c>
      <c r="T50" s="150">
        <f>IF($B50="","",IFERROR($Q50/$Q$5,""))</f>
        <v/>
      </c>
      <c r="U50" s="2">
        <f>IF($B50="","",IF(COUNTIFS('Dvd Calendar'!$E$490:$AR$490,"&gt;0",'Dvd Calendar'!$E$490:$AR$490,"&lt;="&amp;VAL_DATE,'Dvd Calendar'!$E$491:$AR$491,"&gt;"&amp;PROJ_FROM,'Dvd Calendar'!$E$491:$AR$491,"&lt;="&amp;WIN_TO)-COUNTIFS('Dvd Calendar'!$E$490:$AR$490,"&gt;0",'Dvd Calendar'!$E$490:$AR$490,"&lt;="&amp;VAL_DATE,'Dvd Calendar'!$E$491:$AR$491,"&gt;"&amp;PROJ_FROM,'Dvd Calendar'!$E$491:$AR$491,"&lt;="&amp;WIN_TO,'Dvd Calendar'!$E$492:$AR$492,"&gt;=0")&gt;0,"TBA amount - override me",IF((OV_SWITCH="ON")*(COUNTIFS(OVR_TICKERS,$C50,OVR_BASE,"&gt;=0")&gt;0)&gt;0,"overridden",IF($J50+$K50=0,"no dividend in year Y",""))))</f>
        <v/>
      </c>
      <c r="V50" s="133">
        <f>IF($B50="","",IFERROR(IF(ISNUMBER($H50),$B50*$G50*$H50/$B$3,0),""))</f>
        <v/>
      </c>
      <c r="W50" s="133">
        <f>IF($B50="","",IFERROR($B50*$G50*$K50/$B$3,""))</f>
        <v/>
      </c>
      <c r="X50" s="157">
        <f>IF($C50="","",BDP($C50,"PX_LAST"))</f>
        <v/>
      </c>
      <c r="Y50" s="133">
        <f>IF($B50="","",IFERROR($B50*$X50/$B$3,""))</f>
        <v/>
      </c>
      <c r="Z50" s="137">
        <f>IF($B50="","",IFERROR($Y50/$Y$5,""))</f>
        <v/>
      </c>
    </row>
    <row r="51">
      <c r="B51" s="97" t="n"/>
      <c r="C51" s="8">
        <f>IF($A51="","",$A51&amp;" Equity")</f>
        <v/>
      </c>
      <c r="D51" s="8">
        <f>IF($C51="","",BDP($C51,"NAME"))</f>
        <v/>
      </c>
      <c r="E51" s="8">
        <f>IF($C51="","",BDP($C51,"GICS_SECTOR_NAME"))</f>
        <v/>
      </c>
      <c r="F51" s="37">
        <f>IF($C51="","",BDP($C51,FLD_CCY))</f>
        <v/>
      </c>
      <c r="G51" s="111">
        <f>IFERROR(IF(LEN($F51)&lt;&gt;3,1,IF($F51="HKD",1,BDP(IF($F51="CNY",RMB_CROSS,$F51)&amp;"HKD Curncy","PX_LAST"))),1)</f>
        <v/>
      </c>
      <c r="H51" s="133">
        <f>IF($C51="","",BDP($C51,FLD_DPS12M))</f>
        <v/>
      </c>
      <c r="I51" s="126">
        <f>IF($C51="","",BDP($C51,FLD_YLD12M))</f>
        <v/>
      </c>
      <c r="J51" s="128">
        <f>IF($B51="",0,SUMPRODUCT(('Dvd Calendar'!$E$495:$AR$495&gt;=WIN_FROM)*('Dvd Calendar'!$E$495:$AR$495&lt;=REALIZED_TO)*'Dvd Calendar'!$E$498:$AR$498*(('Dvd Calendar'!$E$500:$AR$500=TYPE1)*(TYPE1&lt;&gt;"")+('Dvd Calendar'!$E$500:$AR$500=TYPE2)*(TYPE2&lt;&gt;"")+('Dvd Calendar'!$E$500:$AR$500=TYPE3)*(TYPE3&lt;&gt;"")+('Dvd Calendar'!$E$500:$AR$500=TYPE4)*(TYPE4&lt;&gt;"")+('Dvd Calendar'!$E$500:$AR$500=SPECIAL_LBL)*(INC_SPECIALS="Y"))))</f>
        <v/>
      </c>
      <c r="K51" s="128">
        <f>IF($B51="",0,SUMIFS('Dvd Calendar'!$E$503:$AR$503,'Dvd Calendar'!$E$502:$AR$502,"&gt;"&amp;PROJ_FROM,'Dvd Calendar'!$E$502:$AR$502,"&lt;="&amp;WIN_TO)+SUMPRODUCT(('Dvd Calendar'!$E$495:$AR$495&gt;PROJ_FROM)*('Dvd Calendar'!$E$495:$AR$495&lt;=WIN_TO)*'Dvd Calendar'!$E$498:$AR$498*(('Dvd Calendar'!$E$500:$AR$500=TYPE1)*(TYPE1&lt;&gt;"")+('Dvd Calendar'!$E$500:$AR$500=TYPE2)*(TYPE2&lt;&gt;"")+('Dvd Calendar'!$E$500:$AR$500=TYPE3)*(TYPE3&lt;&gt;"")+('Dvd Calendar'!$E$500:$AR$500=TYPE4)*(TYPE4&lt;&gt;"")+('Dvd Calendar'!$E$500:$AR$500=SPECIAL_LBL)*(INC_SPECIALS="Y"))*(COUNTIF('Dvd Calendar'!$E$502:$AR$502,'Dvd Calendar'!$E$495:$AR$495)=0)))</f>
        <v/>
      </c>
      <c r="L51" s="128">
        <f>IF($B51="",0,IF((OV_SWITCH="ON")*(COUNTIFS(OVR_TICKERS,$C51,OVR_BASE,"&gt;=0")&gt;0)&gt;0,SUMIFS(OVR_BASE,OVR_TICKERS,$C51),$K51))</f>
        <v/>
      </c>
      <c r="M51" s="128">
        <f>IF($B51="",0,IF((OV_SWITCH="ON")*(COUNTIFS(OVR_TICKERS,$C51,OVR_LOW,"&gt;=0")&gt;0)&gt;0,SUMIFS(OVR_LOW,OVR_TICKERS,$C51),$L51))</f>
        <v/>
      </c>
      <c r="N51" s="128">
        <f>IF($B51="",0,IF((OV_SWITCH="ON")*(COUNTIFS(OVR_TICKERS,$C51,OVR_HIGH,"&gt;=0")&gt;0)&gt;0,SUMIFS(OVR_HIGH,OVR_TICKERS,$C51),$L51))</f>
        <v/>
      </c>
      <c r="O51" s="133">
        <f>IF($B51="","",IFERROR($B51*$G51*$J51/$B$3,""))</f>
        <v/>
      </c>
      <c r="P51" s="133">
        <f>IF($B51="","",IFERROR($B51*$G51*$L51/$B$3,""))</f>
        <v/>
      </c>
      <c r="Q51" s="124">
        <f>IF($B51="","",IFERROR($O51+$P51,""))</f>
        <v/>
      </c>
      <c r="R51" s="133">
        <f>IF($B51="","",IFERROR($O51+$B51*$G51*$M51/$B$3,""))</f>
        <v/>
      </c>
      <c r="S51" s="133">
        <f>IF($B51="","",IFERROR($O51+$B51*$G51*$N51/$B$3,""))</f>
        <v/>
      </c>
      <c r="T51" s="150">
        <f>IF($B51="","",IFERROR($Q51/$Q$5,""))</f>
        <v/>
      </c>
      <c r="U51" s="2">
        <f>IF($B51="","",IF(COUNTIFS('Dvd Calendar'!$E$501:$AR$501,"&gt;0",'Dvd Calendar'!$E$501:$AR$501,"&lt;="&amp;VAL_DATE,'Dvd Calendar'!$E$502:$AR$502,"&gt;"&amp;PROJ_FROM,'Dvd Calendar'!$E$502:$AR$502,"&lt;="&amp;WIN_TO)-COUNTIFS('Dvd Calendar'!$E$501:$AR$501,"&gt;0",'Dvd Calendar'!$E$501:$AR$501,"&lt;="&amp;VAL_DATE,'Dvd Calendar'!$E$502:$AR$502,"&gt;"&amp;PROJ_FROM,'Dvd Calendar'!$E$502:$AR$502,"&lt;="&amp;WIN_TO,'Dvd Calendar'!$E$503:$AR$503,"&gt;=0")&gt;0,"TBA amount - override me",IF((OV_SWITCH="ON")*(COUNTIFS(OVR_TICKERS,$C51,OVR_BASE,"&gt;=0")&gt;0)&gt;0,"overridden",IF($J51+$K51=0,"no dividend in year Y",""))))</f>
        <v/>
      </c>
      <c r="V51" s="133">
        <f>IF($B51="","",IFERROR(IF(ISNUMBER($H51),$B51*$G51*$H51/$B$3,0),""))</f>
        <v/>
      </c>
      <c r="W51" s="133">
        <f>IF($B51="","",IFERROR($B51*$G51*$K51/$B$3,""))</f>
        <v/>
      </c>
      <c r="X51" s="157">
        <f>IF($C51="","",BDP($C51,"PX_LAST"))</f>
        <v/>
      </c>
      <c r="Y51" s="133">
        <f>IF($B51="","",IFERROR($B51*$X51/$B$3,""))</f>
        <v/>
      </c>
      <c r="Z51" s="137">
        <f>IF($B51="","",IFERROR($Y51/$Y$5,""))</f>
        <v/>
      </c>
    </row>
    <row r="52">
      <c r="B52" s="97" t="n"/>
      <c r="C52" s="8">
        <f>IF($A52="","",$A52&amp;" Equity")</f>
        <v/>
      </c>
      <c r="D52" s="8">
        <f>IF($C52="","",BDP($C52,"NAME"))</f>
        <v/>
      </c>
      <c r="E52" s="8">
        <f>IF($C52="","",BDP($C52,"GICS_SECTOR_NAME"))</f>
        <v/>
      </c>
      <c r="F52" s="37">
        <f>IF($C52="","",BDP($C52,FLD_CCY))</f>
        <v/>
      </c>
      <c r="G52" s="111">
        <f>IFERROR(IF(LEN($F52)&lt;&gt;3,1,IF($F52="HKD",1,BDP(IF($F52="CNY",RMB_CROSS,$F52)&amp;"HKD Curncy","PX_LAST"))),1)</f>
        <v/>
      </c>
      <c r="H52" s="133">
        <f>IF($C52="","",BDP($C52,FLD_DPS12M))</f>
        <v/>
      </c>
      <c r="I52" s="126">
        <f>IF($C52="","",BDP($C52,FLD_YLD12M))</f>
        <v/>
      </c>
      <c r="J52" s="128">
        <f>IF($B52="",0,SUMPRODUCT(('Dvd Calendar'!$E$506:$AR$506&gt;=WIN_FROM)*('Dvd Calendar'!$E$506:$AR$506&lt;=REALIZED_TO)*'Dvd Calendar'!$E$509:$AR$509*(('Dvd Calendar'!$E$511:$AR$511=TYPE1)*(TYPE1&lt;&gt;"")+('Dvd Calendar'!$E$511:$AR$511=TYPE2)*(TYPE2&lt;&gt;"")+('Dvd Calendar'!$E$511:$AR$511=TYPE3)*(TYPE3&lt;&gt;"")+('Dvd Calendar'!$E$511:$AR$511=TYPE4)*(TYPE4&lt;&gt;"")+('Dvd Calendar'!$E$511:$AR$511=SPECIAL_LBL)*(INC_SPECIALS="Y"))))</f>
        <v/>
      </c>
      <c r="K52" s="128">
        <f>IF($B52="",0,SUMIFS('Dvd Calendar'!$E$514:$AR$514,'Dvd Calendar'!$E$513:$AR$513,"&gt;"&amp;PROJ_FROM,'Dvd Calendar'!$E$513:$AR$513,"&lt;="&amp;WIN_TO)+SUMPRODUCT(('Dvd Calendar'!$E$506:$AR$506&gt;PROJ_FROM)*('Dvd Calendar'!$E$506:$AR$506&lt;=WIN_TO)*'Dvd Calendar'!$E$509:$AR$509*(('Dvd Calendar'!$E$511:$AR$511=TYPE1)*(TYPE1&lt;&gt;"")+('Dvd Calendar'!$E$511:$AR$511=TYPE2)*(TYPE2&lt;&gt;"")+('Dvd Calendar'!$E$511:$AR$511=TYPE3)*(TYPE3&lt;&gt;"")+('Dvd Calendar'!$E$511:$AR$511=TYPE4)*(TYPE4&lt;&gt;"")+('Dvd Calendar'!$E$511:$AR$511=SPECIAL_LBL)*(INC_SPECIALS="Y"))*(COUNTIF('Dvd Calendar'!$E$513:$AR$513,'Dvd Calendar'!$E$506:$AR$506)=0)))</f>
        <v/>
      </c>
      <c r="L52" s="128">
        <f>IF($B52="",0,IF((OV_SWITCH="ON")*(COUNTIFS(OVR_TICKERS,$C52,OVR_BASE,"&gt;=0")&gt;0)&gt;0,SUMIFS(OVR_BASE,OVR_TICKERS,$C52),$K52))</f>
        <v/>
      </c>
      <c r="M52" s="128">
        <f>IF($B52="",0,IF((OV_SWITCH="ON")*(COUNTIFS(OVR_TICKERS,$C52,OVR_LOW,"&gt;=0")&gt;0)&gt;0,SUMIFS(OVR_LOW,OVR_TICKERS,$C52),$L52))</f>
        <v/>
      </c>
      <c r="N52" s="128">
        <f>IF($B52="",0,IF((OV_SWITCH="ON")*(COUNTIFS(OVR_TICKERS,$C52,OVR_HIGH,"&gt;=0")&gt;0)&gt;0,SUMIFS(OVR_HIGH,OVR_TICKERS,$C52),$L52))</f>
        <v/>
      </c>
      <c r="O52" s="133">
        <f>IF($B52="","",IFERROR($B52*$G52*$J52/$B$3,""))</f>
        <v/>
      </c>
      <c r="P52" s="133">
        <f>IF($B52="","",IFERROR($B52*$G52*$L52/$B$3,""))</f>
        <v/>
      </c>
      <c r="Q52" s="124">
        <f>IF($B52="","",IFERROR($O52+$P52,""))</f>
        <v/>
      </c>
      <c r="R52" s="133">
        <f>IF($B52="","",IFERROR($O52+$B52*$G52*$M52/$B$3,""))</f>
        <v/>
      </c>
      <c r="S52" s="133">
        <f>IF($B52="","",IFERROR($O52+$B52*$G52*$N52/$B$3,""))</f>
        <v/>
      </c>
      <c r="T52" s="150">
        <f>IF($B52="","",IFERROR($Q52/$Q$5,""))</f>
        <v/>
      </c>
      <c r="U52" s="2">
        <f>IF($B52="","",IF(COUNTIFS('Dvd Calendar'!$E$512:$AR$512,"&gt;0",'Dvd Calendar'!$E$512:$AR$512,"&lt;="&amp;VAL_DATE,'Dvd Calendar'!$E$513:$AR$513,"&gt;"&amp;PROJ_FROM,'Dvd Calendar'!$E$513:$AR$513,"&lt;="&amp;WIN_TO)-COUNTIFS('Dvd Calendar'!$E$512:$AR$512,"&gt;0",'Dvd Calendar'!$E$512:$AR$512,"&lt;="&amp;VAL_DATE,'Dvd Calendar'!$E$513:$AR$513,"&gt;"&amp;PROJ_FROM,'Dvd Calendar'!$E$513:$AR$513,"&lt;="&amp;WIN_TO,'Dvd Calendar'!$E$514:$AR$514,"&gt;=0")&gt;0,"TBA amount - override me",IF((OV_SWITCH="ON")*(COUNTIFS(OVR_TICKERS,$C52,OVR_BASE,"&gt;=0")&gt;0)&gt;0,"overridden",IF($J52+$K52=0,"no dividend in year Y",""))))</f>
        <v/>
      </c>
      <c r="V52" s="133">
        <f>IF($B52="","",IFERROR(IF(ISNUMBER($H52),$B52*$G52*$H52/$B$3,0),""))</f>
        <v/>
      </c>
      <c r="W52" s="133">
        <f>IF($B52="","",IFERROR($B52*$G52*$K52/$B$3,""))</f>
        <v/>
      </c>
      <c r="X52" s="157">
        <f>IF($C52="","",BDP($C52,"PX_LAST"))</f>
        <v/>
      </c>
      <c r="Y52" s="133">
        <f>IF($B52="","",IFERROR($B52*$X52/$B$3,""))</f>
        <v/>
      </c>
      <c r="Z52" s="137">
        <f>IF($B52="","",IFERROR($Y52/$Y$5,""))</f>
        <v/>
      </c>
    </row>
    <row r="53">
      <c r="B53" s="97" t="n"/>
      <c r="C53" s="8">
        <f>IF($A53="","",$A53&amp;" Equity")</f>
        <v/>
      </c>
      <c r="D53" s="8">
        <f>IF($C53="","",BDP($C53,"NAME"))</f>
        <v/>
      </c>
      <c r="E53" s="8">
        <f>IF($C53="","",BDP($C53,"GICS_SECTOR_NAME"))</f>
        <v/>
      </c>
      <c r="F53" s="37">
        <f>IF($C53="","",BDP($C53,FLD_CCY))</f>
        <v/>
      </c>
      <c r="G53" s="111">
        <f>IFERROR(IF(LEN($F53)&lt;&gt;3,1,IF($F53="HKD",1,BDP(IF($F53="CNY",RMB_CROSS,$F53)&amp;"HKD Curncy","PX_LAST"))),1)</f>
        <v/>
      </c>
      <c r="H53" s="133">
        <f>IF($C53="","",BDP($C53,FLD_DPS12M))</f>
        <v/>
      </c>
      <c r="I53" s="126">
        <f>IF($C53="","",BDP($C53,FLD_YLD12M))</f>
        <v/>
      </c>
      <c r="J53" s="128">
        <f>IF($B53="",0,SUMPRODUCT(('Dvd Calendar'!$E$517:$AR$517&gt;=WIN_FROM)*('Dvd Calendar'!$E$517:$AR$517&lt;=REALIZED_TO)*'Dvd Calendar'!$E$520:$AR$520*(('Dvd Calendar'!$E$522:$AR$522=TYPE1)*(TYPE1&lt;&gt;"")+('Dvd Calendar'!$E$522:$AR$522=TYPE2)*(TYPE2&lt;&gt;"")+('Dvd Calendar'!$E$522:$AR$522=TYPE3)*(TYPE3&lt;&gt;"")+('Dvd Calendar'!$E$522:$AR$522=TYPE4)*(TYPE4&lt;&gt;"")+('Dvd Calendar'!$E$522:$AR$522=SPECIAL_LBL)*(INC_SPECIALS="Y"))))</f>
        <v/>
      </c>
      <c r="K53" s="128">
        <f>IF($B53="",0,SUMIFS('Dvd Calendar'!$E$525:$AR$525,'Dvd Calendar'!$E$524:$AR$524,"&gt;"&amp;PROJ_FROM,'Dvd Calendar'!$E$524:$AR$524,"&lt;="&amp;WIN_TO)+SUMPRODUCT(('Dvd Calendar'!$E$517:$AR$517&gt;PROJ_FROM)*('Dvd Calendar'!$E$517:$AR$517&lt;=WIN_TO)*'Dvd Calendar'!$E$520:$AR$520*(('Dvd Calendar'!$E$522:$AR$522=TYPE1)*(TYPE1&lt;&gt;"")+('Dvd Calendar'!$E$522:$AR$522=TYPE2)*(TYPE2&lt;&gt;"")+('Dvd Calendar'!$E$522:$AR$522=TYPE3)*(TYPE3&lt;&gt;"")+('Dvd Calendar'!$E$522:$AR$522=TYPE4)*(TYPE4&lt;&gt;"")+('Dvd Calendar'!$E$522:$AR$522=SPECIAL_LBL)*(INC_SPECIALS="Y"))*(COUNTIF('Dvd Calendar'!$E$524:$AR$524,'Dvd Calendar'!$E$517:$AR$517)=0)))</f>
        <v/>
      </c>
      <c r="L53" s="128">
        <f>IF($B53="",0,IF((OV_SWITCH="ON")*(COUNTIFS(OVR_TICKERS,$C53,OVR_BASE,"&gt;=0")&gt;0)&gt;0,SUMIFS(OVR_BASE,OVR_TICKERS,$C53),$K53))</f>
        <v/>
      </c>
      <c r="M53" s="128">
        <f>IF($B53="",0,IF((OV_SWITCH="ON")*(COUNTIFS(OVR_TICKERS,$C53,OVR_LOW,"&gt;=0")&gt;0)&gt;0,SUMIFS(OVR_LOW,OVR_TICKERS,$C53),$L53))</f>
        <v/>
      </c>
      <c r="N53" s="128">
        <f>IF($B53="",0,IF((OV_SWITCH="ON")*(COUNTIFS(OVR_TICKERS,$C53,OVR_HIGH,"&gt;=0")&gt;0)&gt;0,SUMIFS(OVR_HIGH,OVR_TICKERS,$C53),$L53))</f>
        <v/>
      </c>
      <c r="O53" s="133">
        <f>IF($B53="","",IFERROR($B53*$G53*$J53/$B$3,""))</f>
        <v/>
      </c>
      <c r="P53" s="133">
        <f>IF($B53="","",IFERROR($B53*$G53*$L53/$B$3,""))</f>
        <v/>
      </c>
      <c r="Q53" s="124">
        <f>IF($B53="","",IFERROR($O53+$P53,""))</f>
        <v/>
      </c>
      <c r="R53" s="133">
        <f>IF($B53="","",IFERROR($O53+$B53*$G53*$M53/$B$3,""))</f>
        <v/>
      </c>
      <c r="S53" s="133">
        <f>IF($B53="","",IFERROR($O53+$B53*$G53*$N53/$B$3,""))</f>
        <v/>
      </c>
      <c r="T53" s="150">
        <f>IF($B53="","",IFERROR($Q53/$Q$5,""))</f>
        <v/>
      </c>
      <c r="U53" s="2">
        <f>IF($B53="","",IF(COUNTIFS('Dvd Calendar'!$E$523:$AR$523,"&gt;0",'Dvd Calendar'!$E$523:$AR$523,"&lt;="&amp;VAL_DATE,'Dvd Calendar'!$E$524:$AR$524,"&gt;"&amp;PROJ_FROM,'Dvd Calendar'!$E$524:$AR$524,"&lt;="&amp;WIN_TO)-COUNTIFS('Dvd Calendar'!$E$523:$AR$523,"&gt;0",'Dvd Calendar'!$E$523:$AR$523,"&lt;="&amp;VAL_DATE,'Dvd Calendar'!$E$524:$AR$524,"&gt;"&amp;PROJ_FROM,'Dvd Calendar'!$E$524:$AR$524,"&lt;="&amp;WIN_TO,'Dvd Calendar'!$E$525:$AR$525,"&gt;=0")&gt;0,"TBA amount - override me",IF((OV_SWITCH="ON")*(COUNTIFS(OVR_TICKERS,$C53,OVR_BASE,"&gt;=0")&gt;0)&gt;0,"overridden",IF($J53+$K53=0,"no dividend in year Y",""))))</f>
        <v/>
      </c>
      <c r="V53" s="133">
        <f>IF($B53="","",IFERROR(IF(ISNUMBER($H53),$B53*$G53*$H53/$B$3,0),""))</f>
        <v/>
      </c>
      <c r="W53" s="133">
        <f>IF($B53="","",IFERROR($B53*$G53*$K53/$B$3,""))</f>
        <v/>
      </c>
      <c r="X53" s="157">
        <f>IF($C53="","",BDP($C53,"PX_LAST"))</f>
        <v/>
      </c>
      <c r="Y53" s="133">
        <f>IF($B53="","",IFERROR($B53*$X53/$B$3,""))</f>
        <v/>
      </c>
      <c r="Z53" s="137">
        <f>IF($B53="","",IFERROR($Y53/$Y$5,""))</f>
        <v/>
      </c>
    </row>
    <row r="54">
      <c r="B54" s="97" t="n"/>
      <c r="C54" s="8">
        <f>IF($A54="","",$A54&amp;" Equity")</f>
        <v/>
      </c>
      <c r="D54" s="8">
        <f>IF($C54="","",BDP($C54,"NAME"))</f>
        <v/>
      </c>
      <c r="E54" s="8">
        <f>IF($C54="","",BDP($C54,"GICS_SECTOR_NAME"))</f>
        <v/>
      </c>
      <c r="F54" s="37">
        <f>IF($C54="","",BDP($C54,FLD_CCY))</f>
        <v/>
      </c>
      <c r="G54" s="111">
        <f>IFERROR(IF(LEN($F54)&lt;&gt;3,1,IF($F54="HKD",1,BDP(IF($F54="CNY",RMB_CROSS,$F54)&amp;"HKD Curncy","PX_LAST"))),1)</f>
        <v/>
      </c>
      <c r="H54" s="133">
        <f>IF($C54="","",BDP($C54,FLD_DPS12M))</f>
        <v/>
      </c>
      <c r="I54" s="126">
        <f>IF($C54="","",BDP($C54,FLD_YLD12M))</f>
        <v/>
      </c>
      <c r="J54" s="128">
        <f>IF($B54="",0,SUMPRODUCT(('Dvd Calendar'!$E$528:$AR$528&gt;=WIN_FROM)*('Dvd Calendar'!$E$528:$AR$528&lt;=REALIZED_TO)*'Dvd Calendar'!$E$531:$AR$531*(('Dvd Calendar'!$E$533:$AR$533=TYPE1)*(TYPE1&lt;&gt;"")+('Dvd Calendar'!$E$533:$AR$533=TYPE2)*(TYPE2&lt;&gt;"")+('Dvd Calendar'!$E$533:$AR$533=TYPE3)*(TYPE3&lt;&gt;"")+('Dvd Calendar'!$E$533:$AR$533=TYPE4)*(TYPE4&lt;&gt;"")+('Dvd Calendar'!$E$533:$AR$533=SPECIAL_LBL)*(INC_SPECIALS="Y"))))</f>
        <v/>
      </c>
      <c r="K54" s="128">
        <f>IF($B54="",0,SUMIFS('Dvd Calendar'!$E$536:$AR$536,'Dvd Calendar'!$E$535:$AR$535,"&gt;"&amp;PROJ_FROM,'Dvd Calendar'!$E$535:$AR$535,"&lt;="&amp;WIN_TO)+SUMPRODUCT(('Dvd Calendar'!$E$528:$AR$528&gt;PROJ_FROM)*('Dvd Calendar'!$E$528:$AR$528&lt;=WIN_TO)*'Dvd Calendar'!$E$531:$AR$531*(('Dvd Calendar'!$E$533:$AR$533=TYPE1)*(TYPE1&lt;&gt;"")+('Dvd Calendar'!$E$533:$AR$533=TYPE2)*(TYPE2&lt;&gt;"")+('Dvd Calendar'!$E$533:$AR$533=TYPE3)*(TYPE3&lt;&gt;"")+('Dvd Calendar'!$E$533:$AR$533=TYPE4)*(TYPE4&lt;&gt;"")+('Dvd Calendar'!$E$533:$AR$533=SPECIAL_LBL)*(INC_SPECIALS="Y"))*(COUNTIF('Dvd Calendar'!$E$535:$AR$535,'Dvd Calendar'!$E$528:$AR$528)=0)))</f>
        <v/>
      </c>
      <c r="L54" s="128">
        <f>IF($B54="",0,IF((OV_SWITCH="ON")*(COUNTIFS(OVR_TICKERS,$C54,OVR_BASE,"&gt;=0")&gt;0)&gt;0,SUMIFS(OVR_BASE,OVR_TICKERS,$C54),$K54))</f>
        <v/>
      </c>
      <c r="M54" s="128">
        <f>IF($B54="",0,IF((OV_SWITCH="ON")*(COUNTIFS(OVR_TICKERS,$C54,OVR_LOW,"&gt;=0")&gt;0)&gt;0,SUMIFS(OVR_LOW,OVR_TICKERS,$C54),$L54))</f>
        <v/>
      </c>
      <c r="N54" s="128">
        <f>IF($B54="",0,IF((OV_SWITCH="ON")*(COUNTIFS(OVR_TICKERS,$C54,OVR_HIGH,"&gt;=0")&gt;0)&gt;0,SUMIFS(OVR_HIGH,OVR_TICKERS,$C54),$L54))</f>
        <v/>
      </c>
      <c r="O54" s="133">
        <f>IF($B54="","",IFERROR($B54*$G54*$J54/$B$3,""))</f>
        <v/>
      </c>
      <c r="P54" s="133">
        <f>IF($B54="","",IFERROR($B54*$G54*$L54/$B$3,""))</f>
        <v/>
      </c>
      <c r="Q54" s="124">
        <f>IF($B54="","",IFERROR($O54+$P54,""))</f>
        <v/>
      </c>
      <c r="R54" s="133">
        <f>IF($B54="","",IFERROR($O54+$B54*$G54*$M54/$B$3,""))</f>
        <v/>
      </c>
      <c r="S54" s="133">
        <f>IF($B54="","",IFERROR($O54+$B54*$G54*$N54/$B$3,""))</f>
        <v/>
      </c>
      <c r="T54" s="150">
        <f>IF($B54="","",IFERROR($Q54/$Q$5,""))</f>
        <v/>
      </c>
      <c r="U54" s="2">
        <f>IF($B54="","",IF(COUNTIFS('Dvd Calendar'!$E$534:$AR$534,"&gt;0",'Dvd Calendar'!$E$534:$AR$534,"&lt;="&amp;VAL_DATE,'Dvd Calendar'!$E$535:$AR$535,"&gt;"&amp;PROJ_FROM,'Dvd Calendar'!$E$535:$AR$535,"&lt;="&amp;WIN_TO)-COUNTIFS('Dvd Calendar'!$E$534:$AR$534,"&gt;0",'Dvd Calendar'!$E$534:$AR$534,"&lt;="&amp;VAL_DATE,'Dvd Calendar'!$E$535:$AR$535,"&gt;"&amp;PROJ_FROM,'Dvd Calendar'!$E$535:$AR$535,"&lt;="&amp;WIN_TO,'Dvd Calendar'!$E$536:$AR$536,"&gt;=0")&gt;0,"TBA amount - override me",IF((OV_SWITCH="ON")*(COUNTIFS(OVR_TICKERS,$C54,OVR_BASE,"&gt;=0")&gt;0)&gt;0,"overridden",IF($J54+$K54=0,"no dividend in year Y",""))))</f>
        <v/>
      </c>
      <c r="V54" s="133">
        <f>IF($B54="","",IFERROR(IF(ISNUMBER($H54),$B54*$G54*$H54/$B$3,0),""))</f>
        <v/>
      </c>
      <c r="W54" s="133">
        <f>IF($B54="","",IFERROR($B54*$G54*$K54/$B$3,""))</f>
        <v/>
      </c>
      <c r="X54" s="157">
        <f>IF($C54="","",BDP($C54,"PX_LAST"))</f>
        <v/>
      </c>
      <c r="Y54" s="133">
        <f>IF($B54="","",IFERROR($B54*$X54/$B$3,""))</f>
        <v/>
      </c>
      <c r="Z54" s="137">
        <f>IF($B54="","",IFERROR($Y54/$Y$5,""))</f>
        <v/>
      </c>
    </row>
    <row r="55">
      <c r="B55" s="97" t="n"/>
      <c r="C55" s="8">
        <f>IF($A55="","",$A55&amp;" Equity")</f>
        <v/>
      </c>
      <c r="D55" s="8">
        <f>IF($C55="","",BDP($C55,"NAME"))</f>
        <v/>
      </c>
      <c r="E55" s="8">
        <f>IF($C55="","",BDP($C55,"GICS_SECTOR_NAME"))</f>
        <v/>
      </c>
      <c r="F55" s="37">
        <f>IF($C55="","",BDP($C55,FLD_CCY))</f>
        <v/>
      </c>
      <c r="G55" s="111">
        <f>IFERROR(IF(LEN($F55)&lt;&gt;3,1,IF($F55="HKD",1,BDP(IF($F55="CNY",RMB_CROSS,$F55)&amp;"HKD Curncy","PX_LAST"))),1)</f>
        <v/>
      </c>
      <c r="H55" s="133">
        <f>IF($C55="","",BDP($C55,FLD_DPS12M))</f>
        <v/>
      </c>
      <c r="I55" s="126">
        <f>IF($C55="","",BDP($C55,FLD_YLD12M))</f>
        <v/>
      </c>
      <c r="J55" s="128">
        <f>IF($B55="",0,SUMPRODUCT(('Dvd Calendar'!$E$539:$AR$539&gt;=WIN_FROM)*('Dvd Calendar'!$E$539:$AR$539&lt;=REALIZED_TO)*'Dvd Calendar'!$E$542:$AR$542*(('Dvd Calendar'!$E$544:$AR$544=TYPE1)*(TYPE1&lt;&gt;"")+('Dvd Calendar'!$E$544:$AR$544=TYPE2)*(TYPE2&lt;&gt;"")+('Dvd Calendar'!$E$544:$AR$544=TYPE3)*(TYPE3&lt;&gt;"")+('Dvd Calendar'!$E$544:$AR$544=TYPE4)*(TYPE4&lt;&gt;"")+('Dvd Calendar'!$E$544:$AR$544=SPECIAL_LBL)*(INC_SPECIALS="Y"))))</f>
        <v/>
      </c>
      <c r="K55" s="128">
        <f>IF($B55="",0,SUMIFS('Dvd Calendar'!$E$547:$AR$547,'Dvd Calendar'!$E$546:$AR$546,"&gt;"&amp;PROJ_FROM,'Dvd Calendar'!$E$546:$AR$546,"&lt;="&amp;WIN_TO)+SUMPRODUCT(('Dvd Calendar'!$E$539:$AR$539&gt;PROJ_FROM)*('Dvd Calendar'!$E$539:$AR$539&lt;=WIN_TO)*'Dvd Calendar'!$E$542:$AR$542*(('Dvd Calendar'!$E$544:$AR$544=TYPE1)*(TYPE1&lt;&gt;"")+('Dvd Calendar'!$E$544:$AR$544=TYPE2)*(TYPE2&lt;&gt;"")+('Dvd Calendar'!$E$544:$AR$544=TYPE3)*(TYPE3&lt;&gt;"")+('Dvd Calendar'!$E$544:$AR$544=TYPE4)*(TYPE4&lt;&gt;"")+('Dvd Calendar'!$E$544:$AR$544=SPECIAL_LBL)*(INC_SPECIALS="Y"))*(COUNTIF('Dvd Calendar'!$E$546:$AR$546,'Dvd Calendar'!$E$539:$AR$539)=0)))</f>
        <v/>
      </c>
      <c r="L55" s="128">
        <f>IF($B55="",0,IF((OV_SWITCH="ON")*(COUNTIFS(OVR_TICKERS,$C55,OVR_BASE,"&gt;=0")&gt;0)&gt;0,SUMIFS(OVR_BASE,OVR_TICKERS,$C55),$K55))</f>
        <v/>
      </c>
      <c r="M55" s="128">
        <f>IF($B55="",0,IF((OV_SWITCH="ON")*(COUNTIFS(OVR_TICKERS,$C55,OVR_LOW,"&gt;=0")&gt;0)&gt;0,SUMIFS(OVR_LOW,OVR_TICKERS,$C55),$L55))</f>
        <v/>
      </c>
      <c r="N55" s="128">
        <f>IF($B55="",0,IF((OV_SWITCH="ON")*(COUNTIFS(OVR_TICKERS,$C55,OVR_HIGH,"&gt;=0")&gt;0)&gt;0,SUMIFS(OVR_HIGH,OVR_TICKERS,$C55),$L55))</f>
        <v/>
      </c>
      <c r="O55" s="133">
        <f>IF($B55="","",IFERROR($B55*$G55*$J55/$B$3,""))</f>
        <v/>
      </c>
      <c r="P55" s="133">
        <f>IF($B55="","",IFERROR($B55*$G55*$L55/$B$3,""))</f>
        <v/>
      </c>
      <c r="Q55" s="124">
        <f>IF($B55="","",IFERROR($O55+$P55,""))</f>
        <v/>
      </c>
      <c r="R55" s="133">
        <f>IF($B55="","",IFERROR($O55+$B55*$G55*$M55/$B$3,""))</f>
        <v/>
      </c>
      <c r="S55" s="133">
        <f>IF($B55="","",IFERROR($O55+$B55*$G55*$N55/$B$3,""))</f>
        <v/>
      </c>
      <c r="T55" s="150">
        <f>IF($B55="","",IFERROR($Q55/$Q$5,""))</f>
        <v/>
      </c>
      <c r="U55" s="2">
        <f>IF($B55="","",IF(COUNTIFS('Dvd Calendar'!$E$545:$AR$545,"&gt;0",'Dvd Calendar'!$E$545:$AR$545,"&lt;="&amp;VAL_DATE,'Dvd Calendar'!$E$546:$AR$546,"&gt;"&amp;PROJ_FROM,'Dvd Calendar'!$E$546:$AR$546,"&lt;="&amp;WIN_TO)-COUNTIFS('Dvd Calendar'!$E$545:$AR$545,"&gt;0",'Dvd Calendar'!$E$545:$AR$545,"&lt;="&amp;VAL_DATE,'Dvd Calendar'!$E$546:$AR$546,"&gt;"&amp;PROJ_FROM,'Dvd Calendar'!$E$546:$AR$546,"&lt;="&amp;WIN_TO,'Dvd Calendar'!$E$547:$AR$547,"&gt;=0")&gt;0,"TBA amount - override me",IF((OV_SWITCH="ON")*(COUNTIFS(OVR_TICKERS,$C55,OVR_BASE,"&gt;=0")&gt;0)&gt;0,"overridden",IF($J55+$K55=0,"no dividend in year Y",""))))</f>
        <v/>
      </c>
      <c r="V55" s="133">
        <f>IF($B55="","",IFERROR(IF(ISNUMBER($H55),$B55*$G55*$H55/$B$3,0),""))</f>
        <v/>
      </c>
      <c r="W55" s="133">
        <f>IF($B55="","",IFERROR($B55*$G55*$K55/$B$3,""))</f>
        <v/>
      </c>
      <c r="X55" s="157">
        <f>IF($C55="","",BDP($C55,"PX_LAST"))</f>
        <v/>
      </c>
      <c r="Y55" s="133">
        <f>IF($B55="","",IFERROR($B55*$X55/$B$3,""))</f>
        <v/>
      </c>
      <c r="Z55" s="137">
        <f>IF($B55="","",IFERROR($Y55/$Y$5,""))</f>
        <v/>
      </c>
    </row>
    <row r="56">
      <c r="B56" s="97" t="n"/>
      <c r="C56" s="8">
        <f>IF($A56="","",$A56&amp;" Equity")</f>
        <v/>
      </c>
      <c r="D56" s="8">
        <f>IF($C56="","",BDP($C56,"NAME"))</f>
        <v/>
      </c>
      <c r="E56" s="8">
        <f>IF($C56="","",BDP($C56,"GICS_SECTOR_NAME"))</f>
        <v/>
      </c>
      <c r="F56" s="37">
        <f>IF($C56="","",BDP($C56,FLD_CCY))</f>
        <v/>
      </c>
      <c r="G56" s="111">
        <f>IFERROR(IF(LEN($F56)&lt;&gt;3,1,IF($F56="HKD",1,BDP(IF($F56="CNY",RMB_CROSS,$F56)&amp;"HKD Curncy","PX_LAST"))),1)</f>
        <v/>
      </c>
      <c r="H56" s="133">
        <f>IF($C56="","",BDP($C56,FLD_DPS12M))</f>
        <v/>
      </c>
      <c r="I56" s="126">
        <f>IF($C56="","",BDP($C56,FLD_YLD12M))</f>
        <v/>
      </c>
      <c r="J56" s="128">
        <f>IF($B56="",0,SUMPRODUCT(('Dvd Calendar'!$E$550:$AR$550&gt;=WIN_FROM)*('Dvd Calendar'!$E$550:$AR$550&lt;=REALIZED_TO)*'Dvd Calendar'!$E$553:$AR$553*(('Dvd Calendar'!$E$555:$AR$555=TYPE1)*(TYPE1&lt;&gt;"")+('Dvd Calendar'!$E$555:$AR$555=TYPE2)*(TYPE2&lt;&gt;"")+('Dvd Calendar'!$E$555:$AR$555=TYPE3)*(TYPE3&lt;&gt;"")+('Dvd Calendar'!$E$555:$AR$555=TYPE4)*(TYPE4&lt;&gt;"")+('Dvd Calendar'!$E$555:$AR$555=SPECIAL_LBL)*(INC_SPECIALS="Y"))))</f>
        <v/>
      </c>
      <c r="K56" s="128">
        <f>IF($B56="",0,SUMIFS('Dvd Calendar'!$E$558:$AR$558,'Dvd Calendar'!$E$557:$AR$557,"&gt;"&amp;PROJ_FROM,'Dvd Calendar'!$E$557:$AR$557,"&lt;="&amp;WIN_TO)+SUMPRODUCT(('Dvd Calendar'!$E$550:$AR$550&gt;PROJ_FROM)*('Dvd Calendar'!$E$550:$AR$550&lt;=WIN_TO)*'Dvd Calendar'!$E$553:$AR$553*(('Dvd Calendar'!$E$555:$AR$555=TYPE1)*(TYPE1&lt;&gt;"")+('Dvd Calendar'!$E$555:$AR$555=TYPE2)*(TYPE2&lt;&gt;"")+('Dvd Calendar'!$E$555:$AR$555=TYPE3)*(TYPE3&lt;&gt;"")+('Dvd Calendar'!$E$555:$AR$555=TYPE4)*(TYPE4&lt;&gt;"")+('Dvd Calendar'!$E$555:$AR$555=SPECIAL_LBL)*(INC_SPECIALS="Y"))*(COUNTIF('Dvd Calendar'!$E$557:$AR$557,'Dvd Calendar'!$E$550:$AR$550)=0)))</f>
        <v/>
      </c>
      <c r="L56" s="128">
        <f>IF($B56="",0,IF((OV_SWITCH="ON")*(COUNTIFS(OVR_TICKERS,$C56,OVR_BASE,"&gt;=0")&gt;0)&gt;0,SUMIFS(OVR_BASE,OVR_TICKERS,$C56),$K56))</f>
        <v/>
      </c>
      <c r="M56" s="128">
        <f>IF($B56="",0,IF((OV_SWITCH="ON")*(COUNTIFS(OVR_TICKERS,$C56,OVR_LOW,"&gt;=0")&gt;0)&gt;0,SUMIFS(OVR_LOW,OVR_TICKERS,$C56),$L56))</f>
        <v/>
      </c>
      <c r="N56" s="128">
        <f>IF($B56="",0,IF((OV_SWITCH="ON")*(COUNTIFS(OVR_TICKERS,$C56,OVR_HIGH,"&gt;=0")&gt;0)&gt;0,SUMIFS(OVR_HIGH,OVR_TICKERS,$C56),$L56))</f>
        <v/>
      </c>
      <c r="O56" s="133">
        <f>IF($B56="","",IFERROR($B56*$G56*$J56/$B$3,""))</f>
        <v/>
      </c>
      <c r="P56" s="133">
        <f>IF($B56="","",IFERROR($B56*$G56*$L56/$B$3,""))</f>
        <v/>
      </c>
      <c r="Q56" s="124">
        <f>IF($B56="","",IFERROR($O56+$P56,""))</f>
        <v/>
      </c>
      <c r="R56" s="133">
        <f>IF($B56="","",IFERROR($O56+$B56*$G56*$M56/$B$3,""))</f>
        <v/>
      </c>
      <c r="S56" s="133">
        <f>IF($B56="","",IFERROR($O56+$B56*$G56*$N56/$B$3,""))</f>
        <v/>
      </c>
      <c r="T56" s="150">
        <f>IF($B56="","",IFERROR($Q56/$Q$5,""))</f>
        <v/>
      </c>
      <c r="U56" s="2">
        <f>IF($B56="","",IF(COUNTIFS('Dvd Calendar'!$E$556:$AR$556,"&gt;0",'Dvd Calendar'!$E$556:$AR$556,"&lt;="&amp;VAL_DATE,'Dvd Calendar'!$E$557:$AR$557,"&gt;"&amp;PROJ_FROM,'Dvd Calendar'!$E$557:$AR$557,"&lt;="&amp;WIN_TO)-COUNTIFS('Dvd Calendar'!$E$556:$AR$556,"&gt;0",'Dvd Calendar'!$E$556:$AR$556,"&lt;="&amp;VAL_DATE,'Dvd Calendar'!$E$557:$AR$557,"&gt;"&amp;PROJ_FROM,'Dvd Calendar'!$E$557:$AR$557,"&lt;="&amp;WIN_TO,'Dvd Calendar'!$E$558:$AR$558,"&gt;=0")&gt;0,"TBA amount - override me",IF((OV_SWITCH="ON")*(COUNTIFS(OVR_TICKERS,$C56,OVR_BASE,"&gt;=0")&gt;0)&gt;0,"overridden",IF($J56+$K56=0,"no dividend in year Y",""))))</f>
        <v/>
      </c>
      <c r="V56" s="133">
        <f>IF($B56="","",IFERROR(IF(ISNUMBER($H56),$B56*$G56*$H56/$B$3,0),""))</f>
        <v/>
      </c>
      <c r="W56" s="133">
        <f>IF($B56="","",IFERROR($B56*$G56*$K56/$B$3,""))</f>
        <v/>
      </c>
      <c r="X56" s="157">
        <f>IF($C56="","",BDP($C56,"PX_LAST"))</f>
        <v/>
      </c>
      <c r="Y56" s="133">
        <f>IF($B56="","",IFERROR($B56*$X56/$B$3,""))</f>
        <v/>
      </c>
      <c r="Z56" s="137">
        <f>IF($B56="","",IFERROR($Y56/$Y$5,""))</f>
        <v/>
      </c>
    </row>
    <row r="57">
      <c r="B57" s="97" t="n"/>
      <c r="C57" s="8">
        <f>IF($A57="","",$A57&amp;" Equity")</f>
        <v/>
      </c>
      <c r="D57" s="8">
        <f>IF($C57="","",BDP($C57,"NAME"))</f>
        <v/>
      </c>
      <c r="E57" s="8">
        <f>IF($C57="","",BDP($C57,"GICS_SECTOR_NAME"))</f>
        <v/>
      </c>
      <c r="F57" s="37">
        <f>IF($C57="","",BDP($C57,FLD_CCY))</f>
        <v/>
      </c>
      <c r="G57" s="111">
        <f>IFERROR(IF(LEN($F57)&lt;&gt;3,1,IF($F57="HKD",1,BDP(IF($F57="CNY",RMB_CROSS,$F57)&amp;"HKD Curncy","PX_LAST"))),1)</f>
        <v/>
      </c>
      <c r="H57" s="133">
        <f>IF($C57="","",BDP($C57,FLD_DPS12M))</f>
        <v/>
      </c>
      <c r="I57" s="126">
        <f>IF($C57="","",BDP($C57,FLD_YLD12M))</f>
        <v/>
      </c>
      <c r="J57" s="128">
        <f>IF($B57="",0,SUMPRODUCT(('Dvd Calendar'!$E$561:$AR$561&gt;=WIN_FROM)*('Dvd Calendar'!$E$561:$AR$561&lt;=REALIZED_TO)*'Dvd Calendar'!$E$564:$AR$564*(('Dvd Calendar'!$E$566:$AR$566=TYPE1)*(TYPE1&lt;&gt;"")+('Dvd Calendar'!$E$566:$AR$566=TYPE2)*(TYPE2&lt;&gt;"")+('Dvd Calendar'!$E$566:$AR$566=TYPE3)*(TYPE3&lt;&gt;"")+('Dvd Calendar'!$E$566:$AR$566=TYPE4)*(TYPE4&lt;&gt;"")+('Dvd Calendar'!$E$566:$AR$566=SPECIAL_LBL)*(INC_SPECIALS="Y"))))</f>
        <v/>
      </c>
      <c r="K57" s="128">
        <f>IF($B57="",0,SUMIFS('Dvd Calendar'!$E$569:$AR$569,'Dvd Calendar'!$E$568:$AR$568,"&gt;"&amp;PROJ_FROM,'Dvd Calendar'!$E$568:$AR$568,"&lt;="&amp;WIN_TO)+SUMPRODUCT(('Dvd Calendar'!$E$561:$AR$561&gt;PROJ_FROM)*('Dvd Calendar'!$E$561:$AR$561&lt;=WIN_TO)*'Dvd Calendar'!$E$564:$AR$564*(('Dvd Calendar'!$E$566:$AR$566=TYPE1)*(TYPE1&lt;&gt;"")+('Dvd Calendar'!$E$566:$AR$566=TYPE2)*(TYPE2&lt;&gt;"")+('Dvd Calendar'!$E$566:$AR$566=TYPE3)*(TYPE3&lt;&gt;"")+('Dvd Calendar'!$E$566:$AR$566=TYPE4)*(TYPE4&lt;&gt;"")+('Dvd Calendar'!$E$566:$AR$566=SPECIAL_LBL)*(INC_SPECIALS="Y"))*(COUNTIF('Dvd Calendar'!$E$568:$AR$568,'Dvd Calendar'!$E$561:$AR$561)=0)))</f>
        <v/>
      </c>
      <c r="L57" s="128">
        <f>IF($B57="",0,IF((OV_SWITCH="ON")*(COUNTIFS(OVR_TICKERS,$C57,OVR_BASE,"&gt;=0")&gt;0)&gt;0,SUMIFS(OVR_BASE,OVR_TICKERS,$C57),$K57))</f>
        <v/>
      </c>
      <c r="M57" s="128">
        <f>IF($B57="",0,IF((OV_SWITCH="ON")*(COUNTIFS(OVR_TICKERS,$C57,OVR_LOW,"&gt;=0")&gt;0)&gt;0,SUMIFS(OVR_LOW,OVR_TICKERS,$C57),$L57))</f>
        <v/>
      </c>
      <c r="N57" s="128">
        <f>IF($B57="",0,IF((OV_SWITCH="ON")*(COUNTIFS(OVR_TICKERS,$C57,OVR_HIGH,"&gt;=0")&gt;0)&gt;0,SUMIFS(OVR_HIGH,OVR_TICKERS,$C57),$L57))</f>
        <v/>
      </c>
      <c r="O57" s="133">
        <f>IF($B57="","",IFERROR($B57*$G57*$J57/$B$3,""))</f>
        <v/>
      </c>
      <c r="P57" s="133">
        <f>IF($B57="","",IFERROR($B57*$G57*$L57/$B$3,""))</f>
        <v/>
      </c>
      <c r="Q57" s="124">
        <f>IF($B57="","",IFERROR($O57+$P57,""))</f>
        <v/>
      </c>
      <c r="R57" s="133">
        <f>IF($B57="","",IFERROR($O57+$B57*$G57*$M57/$B$3,""))</f>
        <v/>
      </c>
      <c r="S57" s="133">
        <f>IF($B57="","",IFERROR($O57+$B57*$G57*$N57/$B$3,""))</f>
        <v/>
      </c>
      <c r="T57" s="150">
        <f>IF($B57="","",IFERROR($Q57/$Q$5,""))</f>
        <v/>
      </c>
      <c r="U57" s="2">
        <f>IF($B57="","",IF(COUNTIFS('Dvd Calendar'!$E$567:$AR$567,"&gt;0",'Dvd Calendar'!$E$567:$AR$567,"&lt;="&amp;VAL_DATE,'Dvd Calendar'!$E$568:$AR$568,"&gt;"&amp;PROJ_FROM,'Dvd Calendar'!$E$568:$AR$568,"&lt;="&amp;WIN_TO)-COUNTIFS('Dvd Calendar'!$E$567:$AR$567,"&gt;0",'Dvd Calendar'!$E$567:$AR$567,"&lt;="&amp;VAL_DATE,'Dvd Calendar'!$E$568:$AR$568,"&gt;"&amp;PROJ_FROM,'Dvd Calendar'!$E$568:$AR$568,"&lt;="&amp;WIN_TO,'Dvd Calendar'!$E$569:$AR$569,"&gt;=0")&gt;0,"TBA amount - override me",IF((OV_SWITCH="ON")*(COUNTIFS(OVR_TICKERS,$C57,OVR_BASE,"&gt;=0")&gt;0)&gt;0,"overridden",IF($J57+$K57=0,"no dividend in year Y",""))))</f>
        <v/>
      </c>
      <c r="V57" s="133">
        <f>IF($B57="","",IFERROR(IF(ISNUMBER($H57),$B57*$G57*$H57/$B$3,0),""))</f>
        <v/>
      </c>
      <c r="W57" s="133">
        <f>IF($B57="","",IFERROR($B57*$G57*$K57/$B$3,""))</f>
        <v/>
      </c>
      <c r="X57" s="157">
        <f>IF($C57="","",BDP($C57,"PX_LAST"))</f>
        <v/>
      </c>
      <c r="Y57" s="133">
        <f>IF($B57="","",IFERROR($B57*$X57/$B$3,""))</f>
        <v/>
      </c>
      <c r="Z57" s="137">
        <f>IF($B57="","",IFERROR($Y57/$Y$5,""))</f>
        <v/>
      </c>
    </row>
    <row r="58">
      <c r="B58" s="97" t="n"/>
      <c r="C58" s="8">
        <f>IF($A58="","",$A58&amp;" Equity")</f>
        <v/>
      </c>
      <c r="D58" s="8">
        <f>IF($C58="","",BDP($C58,"NAME"))</f>
        <v/>
      </c>
      <c r="E58" s="8">
        <f>IF($C58="","",BDP($C58,"GICS_SECTOR_NAME"))</f>
        <v/>
      </c>
      <c r="F58" s="37">
        <f>IF($C58="","",BDP($C58,FLD_CCY))</f>
        <v/>
      </c>
      <c r="G58" s="111">
        <f>IFERROR(IF(LEN($F58)&lt;&gt;3,1,IF($F58="HKD",1,BDP(IF($F58="CNY",RMB_CROSS,$F58)&amp;"HKD Curncy","PX_LAST"))),1)</f>
        <v/>
      </c>
      <c r="H58" s="133">
        <f>IF($C58="","",BDP($C58,FLD_DPS12M))</f>
        <v/>
      </c>
      <c r="I58" s="126">
        <f>IF($C58="","",BDP($C58,FLD_YLD12M))</f>
        <v/>
      </c>
      <c r="J58" s="128">
        <f>IF($B58="",0,SUMPRODUCT(('Dvd Calendar'!$E$572:$AR$572&gt;=WIN_FROM)*('Dvd Calendar'!$E$572:$AR$572&lt;=REALIZED_TO)*'Dvd Calendar'!$E$575:$AR$575*(('Dvd Calendar'!$E$577:$AR$577=TYPE1)*(TYPE1&lt;&gt;"")+('Dvd Calendar'!$E$577:$AR$577=TYPE2)*(TYPE2&lt;&gt;"")+('Dvd Calendar'!$E$577:$AR$577=TYPE3)*(TYPE3&lt;&gt;"")+('Dvd Calendar'!$E$577:$AR$577=TYPE4)*(TYPE4&lt;&gt;"")+('Dvd Calendar'!$E$577:$AR$577=SPECIAL_LBL)*(INC_SPECIALS="Y"))))</f>
        <v/>
      </c>
      <c r="K58" s="128">
        <f>IF($B58="",0,SUMIFS('Dvd Calendar'!$E$580:$AR$580,'Dvd Calendar'!$E$579:$AR$579,"&gt;"&amp;PROJ_FROM,'Dvd Calendar'!$E$579:$AR$579,"&lt;="&amp;WIN_TO)+SUMPRODUCT(('Dvd Calendar'!$E$572:$AR$572&gt;PROJ_FROM)*('Dvd Calendar'!$E$572:$AR$572&lt;=WIN_TO)*'Dvd Calendar'!$E$575:$AR$575*(('Dvd Calendar'!$E$577:$AR$577=TYPE1)*(TYPE1&lt;&gt;"")+('Dvd Calendar'!$E$577:$AR$577=TYPE2)*(TYPE2&lt;&gt;"")+('Dvd Calendar'!$E$577:$AR$577=TYPE3)*(TYPE3&lt;&gt;"")+('Dvd Calendar'!$E$577:$AR$577=TYPE4)*(TYPE4&lt;&gt;"")+('Dvd Calendar'!$E$577:$AR$577=SPECIAL_LBL)*(INC_SPECIALS="Y"))*(COUNTIF('Dvd Calendar'!$E$579:$AR$579,'Dvd Calendar'!$E$572:$AR$572)=0)))</f>
        <v/>
      </c>
      <c r="L58" s="128">
        <f>IF($B58="",0,IF((OV_SWITCH="ON")*(COUNTIFS(OVR_TICKERS,$C58,OVR_BASE,"&gt;=0")&gt;0)&gt;0,SUMIFS(OVR_BASE,OVR_TICKERS,$C58),$K58))</f>
        <v/>
      </c>
      <c r="M58" s="128">
        <f>IF($B58="",0,IF((OV_SWITCH="ON")*(COUNTIFS(OVR_TICKERS,$C58,OVR_LOW,"&gt;=0")&gt;0)&gt;0,SUMIFS(OVR_LOW,OVR_TICKERS,$C58),$L58))</f>
        <v/>
      </c>
      <c r="N58" s="128">
        <f>IF($B58="",0,IF((OV_SWITCH="ON")*(COUNTIFS(OVR_TICKERS,$C58,OVR_HIGH,"&gt;=0")&gt;0)&gt;0,SUMIFS(OVR_HIGH,OVR_TICKERS,$C58),$L58))</f>
        <v/>
      </c>
      <c r="O58" s="133">
        <f>IF($B58="","",IFERROR($B58*$G58*$J58/$B$3,""))</f>
        <v/>
      </c>
      <c r="P58" s="133">
        <f>IF($B58="","",IFERROR($B58*$G58*$L58/$B$3,""))</f>
        <v/>
      </c>
      <c r="Q58" s="124">
        <f>IF($B58="","",IFERROR($O58+$P58,""))</f>
        <v/>
      </c>
      <c r="R58" s="133">
        <f>IF($B58="","",IFERROR($O58+$B58*$G58*$M58/$B$3,""))</f>
        <v/>
      </c>
      <c r="S58" s="133">
        <f>IF($B58="","",IFERROR($O58+$B58*$G58*$N58/$B$3,""))</f>
        <v/>
      </c>
      <c r="T58" s="150">
        <f>IF($B58="","",IFERROR($Q58/$Q$5,""))</f>
        <v/>
      </c>
      <c r="U58" s="2">
        <f>IF($B58="","",IF(COUNTIFS('Dvd Calendar'!$E$578:$AR$578,"&gt;0",'Dvd Calendar'!$E$578:$AR$578,"&lt;="&amp;VAL_DATE,'Dvd Calendar'!$E$579:$AR$579,"&gt;"&amp;PROJ_FROM,'Dvd Calendar'!$E$579:$AR$579,"&lt;="&amp;WIN_TO)-COUNTIFS('Dvd Calendar'!$E$578:$AR$578,"&gt;0",'Dvd Calendar'!$E$578:$AR$578,"&lt;="&amp;VAL_DATE,'Dvd Calendar'!$E$579:$AR$579,"&gt;"&amp;PROJ_FROM,'Dvd Calendar'!$E$579:$AR$579,"&lt;="&amp;WIN_TO,'Dvd Calendar'!$E$580:$AR$580,"&gt;=0")&gt;0,"TBA amount - override me",IF((OV_SWITCH="ON")*(COUNTIFS(OVR_TICKERS,$C58,OVR_BASE,"&gt;=0")&gt;0)&gt;0,"overridden",IF($J58+$K58=0,"no dividend in year Y",""))))</f>
        <v/>
      </c>
      <c r="V58" s="133">
        <f>IF($B58="","",IFERROR(IF(ISNUMBER($H58),$B58*$G58*$H58/$B$3,0),""))</f>
        <v/>
      </c>
      <c r="W58" s="133">
        <f>IF($B58="","",IFERROR($B58*$G58*$K58/$B$3,""))</f>
        <v/>
      </c>
      <c r="X58" s="157">
        <f>IF($C58="","",BDP($C58,"PX_LAST"))</f>
        <v/>
      </c>
      <c r="Y58" s="133">
        <f>IF($B58="","",IFERROR($B58*$X58/$B$3,""))</f>
        <v/>
      </c>
      <c r="Z58" s="137">
        <f>IF($B58="","",IFERROR($Y58/$Y$5,""))</f>
        <v/>
      </c>
    </row>
    <row r="59">
      <c r="B59" s="97" t="n"/>
      <c r="C59" s="8">
        <f>IF($A59="","",$A59&amp;" Equity")</f>
        <v/>
      </c>
      <c r="D59" s="8">
        <f>IF($C59="","",BDP($C59,"NAME"))</f>
        <v/>
      </c>
      <c r="E59" s="8">
        <f>IF($C59="","",BDP($C59,"GICS_SECTOR_NAME"))</f>
        <v/>
      </c>
      <c r="F59" s="37">
        <f>IF($C59="","",BDP($C59,FLD_CCY))</f>
        <v/>
      </c>
      <c r="G59" s="111">
        <f>IFERROR(IF(LEN($F59)&lt;&gt;3,1,IF($F59="HKD",1,BDP(IF($F59="CNY",RMB_CROSS,$F59)&amp;"HKD Curncy","PX_LAST"))),1)</f>
        <v/>
      </c>
      <c r="H59" s="133">
        <f>IF($C59="","",BDP($C59,FLD_DPS12M))</f>
        <v/>
      </c>
      <c r="I59" s="126">
        <f>IF($C59="","",BDP($C59,FLD_YLD12M))</f>
        <v/>
      </c>
      <c r="J59" s="128">
        <f>IF($B59="",0,SUMPRODUCT(('Dvd Calendar'!$E$583:$AR$583&gt;=WIN_FROM)*('Dvd Calendar'!$E$583:$AR$583&lt;=REALIZED_TO)*'Dvd Calendar'!$E$586:$AR$586*(('Dvd Calendar'!$E$588:$AR$588=TYPE1)*(TYPE1&lt;&gt;"")+('Dvd Calendar'!$E$588:$AR$588=TYPE2)*(TYPE2&lt;&gt;"")+('Dvd Calendar'!$E$588:$AR$588=TYPE3)*(TYPE3&lt;&gt;"")+('Dvd Calendar'!$E$588:$AR$588=TYPE4)*(TYPE4&lt;&gt;"")+('Dvd Calendar'!$E$588:$AR$588=SPECIAL_LBL)*(INC_SPECIALS="Y"))))</f>
        <v/>
      </c>
      <c r="K59" s="128">
        <f>IF($B59="",0,SUMIFS('Dvd Calendar'!$E$591:$AR$591,'Dvd Calendar'!$E$590:$AR$590,"&gt;"&amp;PROJ_FROM,'Dvd Calendar'!$E$590:$AR$590,"&lt;="&amp;WIN_TO)+SUMPRODUCT(('Dvd Calendar'!$E$583:$AR$583&gt;PROJ_FROM)*('Dvd Calendar'!$E$583:$AR$583&lt;=WIN_TO)*'Dvd Calendar'!$E$586:$AR$586*(('Dvd Calendar'!$E$588:$AR$588=TYPE1)*(TYPE1&lt;&gt;"")+('Dvd Calendar'!$E$588:$AR$588=TYPE2)*(TYPE2&lt;&gt;"")+('Dvd Calendar'!$E$588:$AR$588=TYPE3)*(TYPE3&lt;&gt;"")+('Dvd Calendar'!$E$588:$AR$588=TYPE4)*(TYPE4&lt;&gt;"")+('Dvd Calendar'!$E$588:$AR$588=SPECIAL_LBL)*(INC_SPECIALS="Y"))*(COUNTIF('Dvd Calendar'!$E$590:$AR$590,'Dvd Calendar'!$E$583:$AR$583)=0)))</f>
        <v/>
      </c>
      <c r="L59" s="128">
        <f>IF($B59="",0,IF((OV_SWITCH="ON")*(COUNTIFS(OVR_TICKERS,$C59,OVR_BASE,"&gt;=0")&gt;0)&gt;0,SUMIFS(OVR_BASE,OVR_TICKERS,$C59),$K59))</f>
        <v/>
      </c>
      <c r="M59" s="128">
        <f>IF($B59="",0,IF((OV_SWITCH="ON")*(COUNTIFS(OVR_TICKERS,$C59,OVR_LOW,"&gt;=0")&gt;0)&gt;0,SUMIFS(OVR_LOW,OVR_TICKERS,$C59),$L59))</f>
        <v/>
      </c>
      <c r="N59" s="128">
        <f>IF($B59="",0,IF((OV_SWITCH="ON")*(COUNTIFS(OVR_TICKERS,$C59,OVR_HIGH,"&gt;=0")&gt;0)&gt;0,SUMIFS(OVR_HIGH,OVR_TICKERS,$C59),$L59))</f>
        <v/>
      </c>
      <c r="O59" s="133">
        <f>IF($B59="","",IFERROR($B59*$G59*$J59/$B$3,""))</f>
        <v/>
      </c>
      <c r="P59" s="133">
        <f>IF($B59="","",IFERROR($B59*$G59*$L59/$B$3,""))</f>
        <v/>
      </c>
      <c r="Q59" s="124">
        <f>IF($B59="","",IFERROR($O59+$P59,""))</f>
        <v/>
      </c>
      <c r="R59" s="133">
        <f>IF($B59="","",IFERROR($O59+$B59*$G59*$M59/$B$3,""))</f>
        <v/>
      </c>
      <c r="S59" s="133">
        <f>IF($B59="","",IFERROR($O59+$B59*$G59*$N59/$B$3,""))</f>
        <v/>
      </c>
      <c r="T59" s="150">
        <f>IF($B59="","",IFERROR($Q59/$Q$5,""))</f>
        <v/>
      </c>
      <c r="U59" s="2">
        <f>IF($B59="","",IF(COUNTIFS('Dvd Calendar'!$E$589:$AR$589,"&gt;0",'Dvd Calendar'!$E$589:$AR$589,"&lt;="&amp;VAL_DATE,'Dvd Calendar'!$E$590:$AR$590,"&gt;"&amp;PROJ_FROM,'Dvd Calendar'!$E$590:$AR$590,"&lt;="&amp;WIN_TO)-COUNTIFS('Dvd Calendar'!$E$589:$AR$589,"&gt;0",'Dvd Calendar'!$E$589:$AR$589,"&lt;="&amp;VAL_DATE,'Dvd Calendar'!$E$590:$AR$590,"&gt;"&amp;PROJ_FROM,'Dvd Calendar'!$E$590:$AR$590,"&lt;="&amp;WIN_TO,'Dvd Calendar'!$E$591:$AR$591,"&gt;=0")&gt;0,"TBA amount - override me",IF((OV_SWITCH="ON")*(COUNTIFS(OVR_TICKERS,$C59,OVR_BASE,"&gt;=0")&gt;0)&gt;0,"overridden",IF($J59+$K59=0,"no dividend in year Y",""))))</f>
        <v/>
      </c>
      <c r="V59" s="133">
        <f>IF($B59="","",IFERROR(IF(ISNUMBER($H59),$B59*$G59*$H59/$B$3,0),""))</f>
        <v/>
      </c>
      <c r="W59" s="133">
        <f>IF($B59="","",IFERROR($B59*$G59*$K59/$B$3,""))</f>
        <v/>
      </c>
      <c r="X59" s="157">
        <f>IF($C59="","",BDP($C59,"PX_LAST"))</f>
        <v/>
      </c>
      <c r="Y59" s="133">
        <f>IF($B59="","",IFERROR($B59*$X59/$B$3,""))</f>
        <v/>
      </c>
      <c r="Z59" s="137">
        <f>IF($B59="","",IFERROR($Y59/$Y$5,""))</f>
        <v/>
      </c>
    </row>
    <row r="60">
      <c r="B60" s="97" t="n"/>
      <c r="C60" s="8">
        <f>IF($A60="","",$A60&amp;" Equity")</f>
        <v/>
      </c>
      <c r="D60" s="8">
        <f>IF($C60="","",BDP($C60,"NAME"))</f>
        <v/>
      </c>
      <c r="E60" s="8">
        <f>IF($C60="","",BDP($C60,"GICS_SECTOR_NAME"))</f>
        <v/>
      </c>
      <c r="F60" s="37">
        <f>IF($C60="","",BDP($C60,FLD_CCY))</f>
        <v/>
      </c>
      <c r="G60" s="111">
        <f>IFERROR(IF(LEN($F60)&lt;&gt;3,1,IF($F60="HKD",1,BDP(IF($F60="CNY",RMB_CROSS,$F60)&amp;"HKD Curncy","PX_LAST"))),1)</f>
        <v/>
      </c>
      <c r="H60" s="133">
        <f>IF($C60="","",BDP($C60,FLD_DPS12M))</f>
        <v/>
      </c>
      <c r="I60" s="126">
        <f>IF($C60="","",BDP($C60,FLD_YLD12M))</f>
        <v/>
      </c>
      <c r="J60" s="128">
        <f>IF($B60="",0,SUMPRODUCT(('Dvd Calendar'!$E$594:$AR$594&gt;=WIN_FROM)*('Dvd Calendar'!$E$594:$AR$594&lt;=REALIZED_TO)*'Dvd Calendar'!$E$597:$AR$597*(('Dvd Calendar'!$E$599:$AR$599=TYPE1)*(TYPE1&lt;&gt;"")+('Dvd Calendar'!$E$599:$AR$599=TYPE2)*(TYPE2&lt;&gt;"")+('Dvd Calendar'!$E$599:$AR$599=TYPE3)*(TYPE3&lt;&gt;"")+('Dvd Calendar'!$E$599:$AR$599=TYPE4)*(TYPE4&lt;&gt;"")+('Dvd Calendar'!$E$599:$AR$599=SPECIAL_LBL)*(INC_SPECIALS="Y"))))</f>
        <v/>
      </c>
      <c r="K60" s="128">
        <f>IF($B60="",0,SUMIFS('Dvd Calendar'!$E$602:$AR$602,'Dvd Calendar'!$E$601:$AR$601,"&gt;"&amp;PROJ_FROM,'Dvd Calendar'!$E$601:$AR$601,"&lt;="&amp;WIN_TO)+SUMPRODUCT(('Dvd Calendar'!$E$594:$AR$594&gt;PROJ_FROM)*('Dvd Calendar'!$E$594:$AR$594&lt;=WIN_TO)*'Dvd Calendar'!$E$597:$AR$597*(('Dvd Calendar'!$E$599:$AR$599=TYPE1)*(TYPE1&lt;&gt;"")+('Dvd Calendar'!$E$599:$AR$599=TYPE2)*(TYPE2&lt;&gt;"")+('Dvd Calendar'!$E$599:$AR$599=TYPE3)*(TYPE3&lt;&gt;"")+('Dvd Calendar'!$E$599:$AR$599=TYPE4)*(TYPE4&lt;&gt;"")+('Dvd Calendar'!$E$599:$AR$599=SPECIAL_LBL)*(INC_SPECIALS="Y"))*(COUNTIF('Dvd Calendar'!$E$601:$AR$601,'Dvd Calendar'!$E$594:$AR$594)=0)))</f>
        <v/>
      </c>
      <c r="L60" s="128">
        <f>IF($B60="",0,IF((OV_SWITCH="ON")*(COUNTIFS(OVR_TICKERS,$C60,OVR_BASE,"&gt;=0")&gt;0)&gt;0,SUMIFS(OVR_BASE,OVR_TICKERS,$C60),$K60))</f>
        <v/>
      </c>
      <c r="M60" s="128">
        <f>IF($B60="",0,IF((OV_SWITCH="ON")*(COUNTIFS(OVR_TICKERS,$C60,OVR_LOW,"&gt;=0")&gt;0)&gt;0,SUMIFS(OVR_LOW,OVR_TICKERS,$C60),$L60))</f>
        <v/>
      </c>
      <c r="N60" s="128">
        <f>IF($B60="",0,IF((OV_SWITCH="ON")*(COUNTIFS(OVR_TICKERS,$C60,OVR_HIGH,"&gt;=0")&gt;0)&gt;0,SUMIFS(OVR_HIGH,OVR_TICKERS,$C60),$L60))</f>
        <v/>
      </c>
      <c r="O60" s="133">
        <f>IF($B60="","",IFERROR($B60*$G60*$J60/$B$3,""))</f>
        <v/>
      </c>
      <c r="P60" s="133">
        <f>IF($B60="","",IFERROR($B60*$G60*$L60/$B$3,""))</f>
        <v/>
      </c>
      <c r="Q60" s="124">
        <f>IF($B60="","",IFERROR($O60+$P60,""))</f>
        <v/>
      </c>
      <c r="R60" s="133">
        <f>IF($B60="","",IFERROR($O60+$B60*$G60*$M60/$B$3,""))</f>
        <v/>
      </c>
      <c r="S60" s="133">
        <f>IF($B60="","",IFERROR($O60+$B60*$G60*$N60/$B$3,""))</f>
        <v/>
      </c>
      <c r="T60" s="150">
        <f>IF($B60="","",IFERROR($Q60/$Q$5,""))</f>
        <v/>
      </c>
      <c r="U60" s="2">
        <f>IF($B60="","",IF(COUNTIFS('Dvd Calendar'!$E$600:$AR$600,"&gt;0",'Dvd Calendar'!$E$600:$AR$600,"&lt;="&amp;VAL_DATE,'Dvd Calendar'!$E$601:$AR$601,"&gt;"&amp;PROJ_FROM,'Dvd Calendar'!$E$601:$AR$601,"&lt;="&amp;WIN_TO)-COUNTIFS('Dvd Calendar'!$E$600:$AR$600,"&gt;0",'Dvd Calendar'!$E$600:$AR$600,"&lt;="&amp;VAL_DATE,'Dvd Calendar'!$E$601:$AR$601,"&gt;"&amp;PROJ_FROM,'Dvd Calendar'!$E$601:$AR$601,"&lt;="&amp;WIN_TO,'Dvd Calendar'!$E$602:$AR$602,"&gt;=0")&gt;0,"TBA amount - override me",IF((OV_SWITCH="ON")*(COUNTIFS(OVR_TICKERS,$C60,OVR_BASE,"&gt;=0")&gt;0)&gt;0,"overridden",IF($J60+$K60=0,"no dividend in year Y",""))))</f>
        <v/>
      </c>
      <c r="V60" s="133">
        <f>IF($B60="","",IFERROR(IF(ISNUMBER($H60),$B60*$G60*$H60/$B$3,0),""))</f>
        <v/>
      </c>
      <c r="W60" s="133">
        <f>IF($B60="","",IFERROR($B60*$G60*$K60/$B$3,""))</f>
        <v/>
      </c>
      <c r="X60" s="157">
        <f>IF($C60="","",BDP($C60,"PX_LAST"))</f>
        <v/>
      </c>
      <c r="Y60" s="133">
        <f>IF($B60="","",IFERROR($B60*$X60/$B$3,""))</f>
        <v/>
      </c>
      <c r="Z60" s="137">
        <f>IF($B60="","",IFERROR($Y60/$Y$5,""))</f>
        <v/>
      </c>
    </row>
    <row r="61">
      <c r="B61" s="97" t="n"/>
      <c r="C61" s="8">
        <f>IF($A61="","",$A61&amp;" Equity")</f>
        <v/>
      </c>
      <c r="D61" s="8">
        <f>IF($C61="","",BDP($C61,"NAME"))</f>
        <v/>
      </c>
      <c r="E61" s="8">
        <f>IF($C61="","",BDP($C61,"GICS_SECTOR_NAME"))</f>
        <v/>
      </c>
      <c r="F61" s="37">
        <f>IF($C61="","",BDP($C61,FLD_CCY))</f>
        <v/>
      </c>
      <c r="G61" s="111">
        <f>IFERROR(IF(LEN($F61)&lt;&gt;3,1,IF($F61="HKD",1,BDP(IF($F61="CNY",RMB_CROSS,$F61)&amp;"HKD Curncy","PX_LAST"))),1)</f>
        <v/>
      </c>
      <c r="H61" s="133">
        <f>IF($C61="","",BDP($C61,FLD_DPS12M))</f>
        <v/>
      </c>
      <c r="I61" s="126">
        <f>IF($C61="","",BDP($C61,FLD_YLD12M))</f>
        <v/>
      </c>
      <c r="J61" s="128">
        <f>IF($B61="",0,SUMPRODUCT(('Dvd Calendar'!$E$605:$AR$605&gt;=WIN_FROM)*('Dvd Calendar'!$E$605:$AR$605&lt;=REALIZED_TO)*'Dvd Calendar'!$E$608:$AR$608*(('Dvd Calendar'!$E$610:$AR$610=TYPE1)*(TYPE1&lt;&gt;"")+('Dvd Calendar'!$E$610:$AR$610=TYPE2)*(TYPE2&lt;&gt;"")+('Dvd Calendar'!$E$610:$AR$610=TYPE3)*(TYPE3&lt;&gt;"")+('Dvd Calendar'!$E$610:$AR$610=TYPE4)*(TYPE4&lt;&gt;"")+('Dvd Calendar'!$E$610:$AR$610=SPECIAL_LBL)*(INC_SPECIALS="Y"))))</f>
        <v/>
      </c>
      <c r="K61" s="128">
        <f>IF($B61="",0,SUMIFS('Dvd Calendar'!$E$613:$AR$613,'Dvd Calendar'!$E$612:$AR$612,"&gt;"&amp;PROJ_FROM,'Dvd Calendar'!$E$612:$AR$612,"&lt;="&amp;WIN_TO)+SUMPRODUCT(('Dvd Calendar'!$E$605:$AR$605&gt;PROJ_FROM)*('Dvd Calendar'!$E$605:$AR$605&lt;=WIN_TO)*'Dvd Calendar'!$E$608:$AR$608*(('Dvd Calendar'!$E$610:$AR$610=TYPE1)*(TYPE1&lt;&gt;"")+('Dvd Calendar'!$E$610:$AR$610=TYPE2)*(TYPE2&lt;&gt;"")+('Dvd Calendar'!$E$610:$AR$610=TYPE3)*(TYPE3&lt;&gt;"")+('Dvd Calendar'!$E$610:$AR$610=TYPE4)*(TYPE4&lt;&gt;"")+('Dvd Calendar'!$E$610:$AR$610=SPECIAL_LBL)*(INC_SPECIALS="Y"))*(COUNTIF('Dvd Calendar'!$E$612:$AR$612,'Dvd Calendar'!$E$605:$AR$605)=0)))</f>
        <v/>
      </c>
      <c r="L61" s="128">
        <f>IF($B61="",0,IF((OV_SWITCH="ON")*(COUNTIFS(OVR_TICKERS,$C61,OVR_BASE,"&gt;=0")&gt;0)&gt;0,SUMIFS(OVR_BASE,OVR_TICKERS,$C61),$K61))</f>
        <v/>
      </c>
      <c r="M61" s="128">
        <f>IF($B61="",0,IF((OV_SWITCH="ON")*(COUNTIFS(OVR_TICKERS,$C61,OVR_LOW,"&gt;=0")&gt;0)&gt;0,SUMIFS(OVR_LOW,OVR_TICKERS,$C61),$L61))</f>
        <v/>
      </c>
      <c r="N61" s="128">
        <f>IF($B61="",0,IF((OV_SWITCH="ON")*(COUNTIFS(OVR_TICKERS,$C61,OVR_HIGH,"&gt;=0")&gt;0)&gt;0,SUMIFS(OVR_HIGH,OVR_TICKERS,$C61),$L61))</f>
        <v/>
      </c>
      <c r="O61" s="133">
        <f>IF($B61="","",IFERROR($B61*$G61*$J61/$B$3,""))</f>
        <v/>
      </c>
      <c r="P61" s="133">
        <f>IF($B61="","",IFERROR($B61*$G61*$L61/$B$3,""))</f>
        <v/>
      </c>
      <c r="Q61" s="124">
        <f>IF($B61="","",IFERROR($O61+$P61,""))</f>
        <v/>
      </c>
      <c r="R61" s="133">
        <f>IF($B61="","",IFERROR($O61+$B61*$G61*$M61/$B$3,""))</f>
        <v/>
      </c>
      <c r="S61" s="133">
        <f>IF($B61="","",IFERROR($O61+$B61*$G61*$N61/$B$3,""))</f>
        <v/>
      </c>
      <c r="T61" s="150">
        <f>IF($B61="","",IFERROR($Q61/$Q$5,""))</f>
        <v/>
      </c>
      <c r="U61" s="2">
        <f>IF($B61="","",IF(COUNTIFS('Dvd Calendar'!$E$611:$AR$611,"&gt;0",'Dvd Calendar'!$E$611:$AR$611,"&lt;="&amp;VAL_DATE,'Dvd Calendar'!$E$612:$AR$612,"&gt;"&amp;PROJ_FROM,'Dvd Calendar'!$E$612:$AR$612,"&lt;="&amp;WIN_TO)-COUNTIFS('Dvd Calendar'!$E$611:$AR$611,"&gt;0",'Dvd Calendar'!$E$611:$AR$611,"&lt;="&amp;VAL_DATE,'Dvd Calendar'!$E$612:$AR$612,"&gt;"&amp;PROJ_FROM,'Dvd Calendar'!$E$612:$AR$612,"&lt;="&amp;WIN_TO,'Dvd Calendar'!$E$613:$AR$613,"&gt;=0")&gt;0,"TBA amount - override me",IF((OV_SWITCH="ON")*(COUNTIFS(OVR_TICKERS,$C61,OVR_BASE,"&gt;=0")&gt;0)&gt;0,"overridden",IF($J61+$K61=0,"no dividend in year Y",""))))</f>
        <v/>
      </c>
      <c r="V61" s="133">
        <f>IF($B61="","",IFERROR(IF(ISNUMBER($H61),$B61*$G61*$H61/$B$3,0),""))</f>
        <v/>
      </c>
      <c r="W61" s="133">
        <f>IF($B61="","",IFERROR($B61*$G61*$K61/$B$3,""))</f>
        <v/>
      </c>
      <c r="X61" s="157">
        <f>IF($C61="","",BDP($C61,"PX_LAST"))</f>
        <v/>
      </c>
      <c r="Y61" s="133">
        <f>IF($B61="","",IFERROR($B61*$X61/$B$3,""))</f>
        <v/>
      </c>
      <c r="Z61" s="137">
        <f>IF($B61="","",IFERROR($Y61/$Y$5,""))</f>
        <v/>
      </c>
    </row>
    <row r="62">
      <c r="B62" s="97" t="n"/>
      <c r="C62" s="8">
        <f>IF($A62="","",$A62&amp;" Equity")</f>
        <v/>
      </c>
      <c r="D62" s="8">
        <f>IF($C62="","",BDP($C62,"NAME"))</f>
        <v/>
      </c>
      <c r="E62" s="8">
        <f>IF($C62="","",BDP($C62,"GICS_SECTOR_NAME"))</f>
        <v/>
      </c>
      <c r="F62" s="37">
        <f>IF($C62="","",BDP($C62,FLD_CCY))</f>
        <v/>
      </c>
      <c r="G62" s="111">
        <f>IFERROR(IF(LEN($F62)&lt;&gt;3,1,IF($F62="HKD",1,BDP(IF($F62="CNY",RMB_CROSS,$F62)&amp;"HKD Curncy","PX_LAST"))),1)</f>
        <v/>
      </c>
      <c r="H62" s="133">
        <f>IF($C62="","",BDP($C62,FLD_DPS12M))</f>
        <v/>
      </c>
      <c r="I62" s="126">
        <f>IF($C62="","",BDP($C62,FLD_YLD12M))</f>
        <v/>
      </c>
      <c r="J62" s="128">
        <f>IF($B62="",0,SUMPRODUCT(('Dvd Calendar'!$E$616:$AR$616&gt;=WIN_FROM)*('Dvd Calendar'!$E$616:$AR$616&lt;=REALIZED_TO)*'Dvd Calendar'!$E$619:$AR$619*(('Dvd Calendar'!$E$621:$AR$621=TYPE1)*(TYPE1&lt;&gt;"")+('Dvd Calendar'!$E$621:$AR$621=TYPE2)*(TYPE2&lt;&gt;"")+('Dvd Calendar'!$E$621:$AR$621=TYPE3)*(TYPE3&lt;&gt;"")+('Dvd Calendar'!$E$621:$AR$621=TYPE4)*(TYPE4&lt;&gt;"")+('Dvd Calendar'!$E$621:$AR$621=SPECIAL_LBL)*(INC_SPECIALS="Y"))))</f>
        <v/>
      </c>
      <c r="K62" s="128">
        <f>IF($B62="",0,SUMIFS('Dvd Calendar'!$E$624:$AR$624,'Dvd Calendar'!$E$623:$AR$623,"&gt;"&amp;PROJ_FROM,'Dvd Calendar'!$E$623:$AR$623,"&lt;="&amp;WIN_TO)+SUMPRODUCT(('Dvd Calendar'!$E$616:$AR$616&gt;PROJ_FROM)*('Dvd Calendar'!$E$616:$AR$616&lt;=WIN_TO)*'Dvd Calendar'!$E$619:$AR$619*(('Dvd Calendar'!$E$621:$AR$621=TYPE1)*(TYPE1&lt;&gt;"")+('Dvd Calendar'!$E$621:$AR$621=TYPE2)*(TYPE2&lt;&gt;"")+('Dvd Calendar'!$E$621:$AR$621=TYPE3)*(TYPE3&lt;&gt;"")+('Dvd Calendar'!$E$621:$AR$621=TYPE4)*(TYPE4&lt;&gt;"")+('Dvd Calendar'!$E$621:$AR$621=SPECIAL_LBL)*(INC_SPECIALS="Y"))*(COUNTIF('Dvd Calendar'!$E$623:$AR$623,'Dvd Calendar'!$E$616:$AR$616)=0)))</f>
        <v/>
      </c>
      <c r="L62" s="128">
        <f>IF($B62="",0,IF((OV_SWITCH="ON")*(COUNTIFS(OVR_TICKERS,$C62,OVR_BASE,"&gt;=0")&gt;0)&gt;0,SUMIFS(OVR_BASE,OVR_TICKERS,$C62),$K62))</f>
        <v/>
      </c>
      <c r="M62" s="128">
        <f>IF($B62="",0,IF((OV_SWITCH="ON")*(COUNTIFS(OVR_TICKERS,$C62,OVR_LOW,"&gt;=0")&gt;0)&gt;0,SUMIFS(OVR_LOW,OVR_TICKERS,$C62),$L62))</f>
        <v/>
      </c>
      <c r="N62" s="128">
        <f>IF($B62="",0,IF((OV_SWITCH="ON")*(COUNTIFS(OVR_TICKERS,$C62,OVR_HIGH,"&gt;=0")&gt;0)&gt;0,SUMIFS(OVR_HIGH,OVR_TICKERS,$C62),$L62))</f>
        <v/>
      </c>
      <c r="O62" s="133">
        <f>IF($B62="","",IFERROR($B62*$G62*$J62/$B$3,""))</f>
        <v/>
      </c>
      <c r="P62" s="133">
        <f>IF($B62="","",IFERROR($B62*$G62*$L62/$B$3,""))</f>
        <v/>
      </c>
      <c r="Q62" s="124">
        <f>IF($B62="","",IFERROR($O62+$P62,""))</f>
        <v/>
      </c>
      <c r="R62" s="133">
        <f>IF($B62="","",IFERROR($O62+$B62*$G62*$M62/$B$3,""))</f>
        <v/>
      </c>
      <c r="S62" s="133">
        <f>IF($B62="","",IFERROR($O62+$B62*$G62*$N62/$B$3,""))</f>
        <v/>
      </c>
      <c r="T62" s="150">
        <f>IF($B62="","",IFERROR($Q62/$Q$5,""))</f>
        <v/>
      </c>
      <c r="U62" s="2">
        <f>IF($B62="","",IF(COUNTIFS('Dvd Calendar'!$E$622:$AR$622,"&gt;0",'Dvd Calendar'!$E$622:$AR$622,"&lt;="&amp;VAL_DATE,'Dvd Calendar'!$E$623:$AR$623,"&gt;"&amp;PROJ_FROM,'Dvd Calendar'!$E$623:$AR$623,"&lt;="&amp;WIN_TO)-COUNTIFS('Dvd Calendar'!$E$622:$AR$622,"&gt;0",'Dvd Calendar'!$E$622:$AR$622,"&lt;="&amp;VAL_DATE,'Dvd Calendar'!$E$623:$AR$623,"&gt;"&amp;PROJ_FROM,'Dvd Calendar'!$E$623:$AR$623,"&lt;="&amp;WIN_TO,'Dvd Calendar'!$E$624:$AR$624,"&gt;=0")&gt;0,"TBA amount - override me",IF((OV_SWITCH="ON")*(COUNTIFS(OVR_TICKERS,$C62,OVR_BASE,"&gt;=0")&gt;0)&gt;0,"overridden",IF($J62+$K62=0,"no dividend in year Y",""))))</f>
        <v/>
      </c>
      <c r="V62" s="133">
        <f>IF($B62="","",IFERROR(IF(ISNUMBER($H62),$B62*$G62*$H62/$B$3,0),""))</f>
        <v/>
      </c>
      <c r="W62" s="133">
        <f>IF($B62="","",IFERROR($B62*$G62*$K62/$B$3,""))</f>
        <v/>
      </c>
      <c r="X62" s="157">
        <f>IF($C62="","",BDP($C62,"PX_LAST"))</f>
        <v/>
      </c>
      <c r="Y62" s="133">
        <f>IF($B62="","",IFERROR($B62*$X62/$B$3,""))</f>
        <v/>
      </c>
      <c r="Z62" s="137">
        <f>IF($B62="","",IFERROR($Y62/$Y$5,""))</f>
        <v/>
      </c>
    </row>
    <row r="63">
      <c r="B63" s="97" t="n"/>
      <c r="C63" s="8">
        <f>IF($A63="","",$A63&amp;" Equity")</f>
        <v/>
      </c>
      <c r="D63" s="8">
        <f>IF($C63="","",BDP($C63,"NAME"))</f>
        <v/>
      </c>
      <c r="E63" s="8">
        <f>IF($C63="","",BDP($C63,"GICS_SECTOR_NAME"))</f>
        <v/>
      </c>
      <c r="F63" s="37">
        <f>IF($C63="","",BDP($C63,FLD_CCY))</f>
        <v/>
      </c>
      <c r="G63" s="111">
        <f>IFERROR(IF(LEN($F63)&lt;&gt;3,1,IF($F63="HKD",1,BDP(IF($F63="CNY",RMB_CROSS,$F63)&amp;"HKD Curncy","PX_LAST"))),1)</f>
        <v/>
      </c>
      <c r="H63" s="133">
        <f>IF($C63="","",BDP($C63,FLD_DPS12M))</f>
        <v/>
      </c>
      <c r="I63" s="126">
        <f>IF($C63="","",BDP($C63,FLD_YLD12M))</f>
        <v/>
      </c>
      <c r="J63" s="128">
        <f>IF($B63="",0,SUMPRODUCT(('Dvd Calendar'!$E$627:$AR$627&gt;=WIN_FROM)*('Dvd Calendar'!$E$627:$AR$627&lt;=REALIZED_TO)*'Dvd Calendar'!$E$630:$AR$630*(('Dvd Calendar'!$E$632:$AR$632=TYPE1)*(TYPE1&lt;&gt;"")+('Dvd Calendar'!$E$632:$AR$632=TYPE2)*(TYPE2&lt;&gt;"")+('Dvd Calendar'!$E$632:$AR$632=TYPE3)*(TYPE3&lt;&gt;"")+('Dvd Calendar'!$E$632:$AR$632=TYPE4)*(TYPE4&lt;&gt;"")+('Dvd Calendar'!$E$632:$AR$632=SPECIAL_LBL)*(INC_SPECIALS="Y"))))</f>
        <v/>
      </c>
      <c r="K63" s="128">
        <f>IF($B63="",0,SUMIFS('Dvd Calendar'!$E$635:$AR$635,'Dvd Calendar'!$E$634:$AR$634,"&gt;"&amp;PROJ_FROM,'Dvd Calendar'!$E$634:$AR$634,"&lt;="&amp;WIN_TO)+SUMPRODUCT(('Dvd Calendar'!$E$627:$AR$627&gt;PROJ_FROM)*('Dvd Calendar'!$E$627:$AR$627&lt;=WIN_TO)*'Dvd Calendar'!$E$630:$AR$630*(('Dvd Calendar'!$E$632:$AR$632=TYPE1)*(TYPE1&lt;&gt;"")+('Dvd Calendar'!$E$632:$AR$632=TYPE2)*(TYPE2&lt;&gt;"")+('Dvd Calendar'!$E$632:$AR$632=TYPE3)*(TYPE3&lt;&gt;"")+('Dvd Calendar'!$E$632:$AR$632=TYPE4)*(TYPE4&lt;&gt;"")+('Dvd Calendar'!$E$632:$AR$632=SPECIAL_LBL)*(INC_SPECIALS="Y"))*(COUNTIF('Dvd Calendar'!$E$634:$AR$634,'Dvd Calendar'!$E$627:$AR$627)=0)))</f>
        <v/>
      </c>
      <c r="L63" s="128">
        <f>IF($B63="",0,IF((OV_SWITCH="ON")*(COUNTIFS(OVR_TICKERS,$C63,OVR_BASE,"&gt;=0")&gt;0)&gt;0,SUMIFS(OVR_BASE,OVR_TICKERS,$C63),$K63))</f>
        <v/>
      </c>
      <c r="M63" s="128">
        <f>IF($B63="",0,IF((OV_SWITCH="ON")*(COUNTIFS(OVR_TICKERS,$C63,OVR_LOW,"&gt;=0")&gt;0)&gt;0,SUMIFS(OVR_LOW,OVR_TICKERS,$C63),$L63))</f>
        <v/>
      </c>
      <c r="N63" s="128">
        <f>IF($B63="",0,IF((OV_SWITCH="ON")*(COUNTIFS(OVR_TICKERS,$C63,OVR_HIGH,"&gt;=0")&gt;0)&gt;0,SUMIFS(OVR_HIGH,OVR_TICKERS,$C63),$L63))</f>
        <v/>
      </c>
      <c r="O63" s="133">
        <f>IF($B63="","",IFERROR($B63*$G63*$J63/$B$3,""))</f>
        <v/>
      </c>
      <c r="P63" s="133">
        <f>IF($B63="","",IFERROR($B63*$G63*$L63/$B$3,""))</f>
        <v/>
      </c>
      <c r="Q63" s="124">
        <f>IF($B63="","",IFERROR($O63+$P63,""))</f>
        <v/>
      </c>
      <c r="R63" s="133">
        <f>IF($B63="","",IFERROR($O63+$B63*$G63*$M63/$B$3,""))</f>
        <v/>
      </c>
      <c r="S63" s="133">
        <f>IF($B63="","",IFERROR($O63+$B63*$G63*$N63/$B$3,""))</f>
        <v/>
      </c>
      <c r="T63" s="150">
        <f>IF($B63="","",IFERROR($Q63/$Q$5,""))</f>
        <v/>
      </c>
      <c r="U63" s="2">
        <f>IF($B63="","",IF(COUNTIFS('Dvd Calendar'!$E$633:$AR$633,"&gt;0",'Dvd Calendar'!$E$633:$AR$633,"&lt;="&amp;VAL_DATE,'Dvd Calendar'!$E$634:$AR$634,"&gt;"&amp;PROJ_FROM,'Dvd Calendar'!$E$634:$AR$634,"&lt;="&amp;WIN_TO)-COUNTIFS('Dvd Calendar'!$E$633:$AR$633,"&gt;0",'Dvd Calendar'!$E$633:$AR$633,"&lt;="&amp;VAL_DATE,'Dvd Calendar'!$E$634:$AR$634,"&gt;"&amp;PROJ_FROM,'Dvd Calendar'!$E$634:$AR$634,"&lt;="&amp;WIN_TO,'Dvd Calendar'!$E$635:$AR$635,"&gt;=0")&gt;0,"TBA amount - override me",IF((OV_SWITCH="ON")*(COUNTIFS(OVR_TICKERS,$C63,OVR_BASE,"&gt;=0")&gt;0)&gt;0,"overridden",IF($J63+$K63=0,"no dividend in year Y",""))))</f>
        <v/>
      </c>
      <c r="V63" s="133">
        <f>IF($B63="","",IFERROR(IF(ISNUMBER($H63),$B63*$G63*$H63/$B$3,0),""))</f>
        <v/>
      </c>
      <c r="W63" s="133">
        <f>IF($B63="","",IFERROR($B63*$G63*$K63/$B$3,""))</f>
        <v/>
      </c>
      <c r="X63" s="157">
        <f>IF($C63="","",BDP($C63,"PX_LAST"))</f>
        <v/>
      </c>
      <c r="Y63" s="133">
        <f>IF($B63="","",IFERROR($B63*$X63/$B$3,""))</f>
        <v/>
      </c>
      <c r="Z63" s="137">
        <f>IF($B63="","",IFERROR($Y63/$Y$5,""))</f>
        <v/>
      </c>
    </row>
    <row r="64">
      <c r="B64" s="97" t="n"/>
      <c r="C64" s="8">
        <f>IF($A64="","",$A64&amp;" Equity")</f>
        <v/>
      </c>
      <c r="D64" s="8">
        <f>IF($C64="","",BDP($C64,"NAME"))</f>
        <v/>
      </c>
      <c r="E64" s="8">
        <f>IF($C64="","",BDP($C64,"GICS_SECTOR_NAME"))</f>
        <v/>
      </c>
      <c r="F64" s="37">
        <f>IF($C64="","",BDP($C64,FLD_CCY))</f>
        <v/>
      </c>
      <c r="G64" s="111">
        <f>IFERROR(IF(LEN($F64)&lt;&gt;3,1,IF($F64="HKD",1,BDP(IF($F64="CNY",RMB_CROSS,$F64)&amp;"HKD Curncy","PX_LAST"))),1)</f>
        <v/>
      </c>
      <c r="H64" s="133">
        <f>IF($C64="","",BDP($C64,FLD_DPS12M))</f>
        <v/>
      </c>
      <c r="I64" s="126">
        <f>IF($C64="","",BDP($C64,FLD_YLD12M))</f>
        <v/>
      </c>
      <c r="J64" s="128">
        <f>IF($B64="",0,SUMPRODUCT(('Dvd Calendar'!$E$638:$AR$638&gt;=WIN_FROM)*('Dvd Calendar'!$E$638:$AR$638&lt;=REALIZED_TO)*'Dvd Calendar'!$E$641:$AR$641*(('Dvd Calendar'!$E$643:$AR$643=TYPE1)*(TYPE1&lt;&gt;"")+('Dvd Calendar'!$E$643:$AR$643=TYPE2)*(TYPE2&lt;&gt;"")+('Dvd Calendar'!$E$643:$AR$643=TYPE3)*(TYPE3&lt;&gt;"")+('Dvd Calendar'!$E$643:$AR$643=TYPE4)*(TYPE4&lt;&gt;"")+('Dvd Calendar'!$E$643:$AR$643=SPECIAL_LBL)*(INC_SPECIALS="Y"))))</f>
        <v/>
      </c>
      <c r="K64" s="128">
        <f>IF($B64="",0,SUMIFS('Dvd Calendar'!$E$646:$AR$646,'Dvd Calendar'!$E$645:$AR$645,"&gt;"&amp;PROJ_FROM,'Dvd Calendar'!$E$645:$AR$645,"&lt;="&amp;WIN_TO)+SUMPRODUCT(('Dvd Calendar'!$E$638:$AR$638&gt;PROJ_FROM)*('Dvd Calendar'!$E$638:$AR$638&lt;=WIN_TO)*'Dvd Calendar'!$E$641:$AR$641*(('Dvd Calendar'!$E$643:$AR$643=TYPE1)*(TYPE1&lt;&gt;"")+('Dvd Calendar'!$E$643:$AR$643=TYPE2)*(TYPE2&lt;&gt;"")+('Dvd Calendar'!$E$643:$AR$643=TYPE3)*(TYPE3&lt;&gt;"")+('Dvd Calendar'!$E$643:$AR$643=TYPE4)*(TYPE4&lt;&gt;"")+('Dvd Calendar'!$E$643:$AR$643=SPECIAL_LBL)*(INC_SPECIALS="Y"))*(COUNTIF('Dvd Calendar'!$E$645:$AR$645,'Dvd Calendar'!$E$638:$AR$638)=0)))</f>
        <v/>
      </c>
      <c r="L64" s="128">
        <f>IF($B64="",0,IF((OV_SWITCH="ON")*(COUNTIFS(OVR_TICKERS,$C64,OVR_BASE,"&gt;=0")&gt;0)&gt;0,SUMIFS(OVR_BASE,OVR_TICKERS,$C64),$K64))</f>
        <v/>
      </c>
      <c r="M64" s="128">
        <f>IF($B64="",0,IF((OV_SWITCH="ON")*(COUNTIFS(OVR_TICKERS,$C64,OVR_LOW,"&gt;=0")&gt;0)&gt;0,SUMIFS(OVR_LOW,OVR_TICKERS,$C64),$L64))</f>
        <v/>
      </c>
      <c r="N64" s="128">
        <f>IF($B64="",0,IF((OV_SWITCH="ON")*(COUNTIFS(OVR_TICKERS,$C64,OVR_HIGH,"&gt;=0")&gt;0)&gt;0,SUMIFS(OVR_HIGH,OVR_TICKERS,$C64),$L64))</f>
        <v/>
      </c>
      <c r="O64" s="133">
        <f>IF($B64="","",IFERROR($B64*$G64*$J64/$B$3,""))</f>
        <v/>
      </c>
      <c r="P64" s="133">
        <f>IF($B64="","",IFERROR($B64*$G64*$L64/$B$3,""))</f>
        <v/>
      </c>
      <c r="Q64" s="124">
        <f>IF($B64="","",IFERROR($O64+$P64,""))</f>
        <v/>
      </c>
      <c r="R64" s="133">
        <f>IF($B64="","",IFERROR($O64+$B64*$G64*$M64/$B$3,""))</f>
        <v/>
      </c>
      <c r="S64" s="133">
        <f>IF($B64="","",IFERROR($O64+$B64*$G64*$N64/$B$3,""))</f>
        <v/>
      </c>
      <c r="T64" s="150">
        <f>IF($B64="","",IFERROR($Q64/$Q$5,""))</f>
        <v/>
      </c>
      <c r="U64" s="2">
        <f>IF($B64="","",IF(COUNTIFS('Dvd Calendar'!$E$644:$AR$644,"&gt;0",'Dvd Calendar'!$E$644:$AR$644,"&lt;="&amp;VAL_DATE,'Dvd Calendar'!$E$645:$AR$645,"&gt;"&amp;PROJ_FROM,'Dvd Calendar'!$E$645:$AR$645,"&lt;="&amp;WIN_TO)-COUNTIFS('Dvd Calendar'!$E$644:$AR$644,"&gt;0",'Dvd Calendar'!$E$644:$AR$644,"&lt;="&amp;VAL_DATE,'Dvd Calendar'!$E$645:$AR$645,"&gt;"&amp;PROJ_FROM,'Dvd Calendar'!$E$645:$AR$645,"&lt;="&amp;WIN_TO,'Dvd Calendar'!$E$646:$AR$646,"&gt;=0")&gt;0,"TBA amount - override me",IF((OV_SWITCH="ON")*(COUNTIFS(OVR_TICKERS,$C64,OVR_BASE,"&gt;=0")&gt;0)&gt;0,"overridden",IF($J64+$K64=0,"no dividend in year Y",""))))</f>
        <v/>
      </c>
      <c r="V64" s="133">
        <f>IF($B64="","",IFERROR(IF(ISNUMBER($H64),$B64*$G64*$H64/$B$3,0),""))</f>
        <v/>
      </c>
      <c r="W64" s="133">
        <f>IF($B64="","",IFERROR($B64*$G64*$K64/$B$3,""))</f>
        <v/>
      </c>
      <c r="X64" s="157">
        <f>IF($C64="","",BDP($C64,"PX_LAST"))</f>
        <v/>
      </c>
      <c r="Y64" s="133">
        <f>IF($B64="","",IFERROR($B64*$X64/$B$3,""))</f>
        <v/>
      </c>
      <c r="Z64" s="137">
        <f>IF($B64="","",IFERROR($Y64/$Y$5,""))</f>
        <v/>
      </c>
    </row>
    <row r="65">
      <c r="B65" s="97" t="n"/>
      <c r="C65" s="8">
        <f>IF($A65="","",$A65&amp;" Equity")</f>
        <v/>
      </c>
      <c r="D65" s="8">
        <f>IF($C65="","",BDP($C65,"NAME"))</f>
        <v/>
      </c>
      <c r="E65" s="8">
        <f>IF($C65="","",BDP($C65,"GICS_SECTOR_NAME"))</f>
        <v/>
      </c>
      <c r="F65" s="37">
        <f>IF($C65="","",BDP($C65,FLD_CCY))</f>
        <v/>
      </c>
      <c r="G65" s="111">
        <f>IFERROR(IF(LEN($F65)&lt;&gt;3,1,IF($F65="HKD",1,BDP(IF($F65="CNY",RMB_CROSS,$F65)&amp;"HKD Curncy","PX_LAST"))),1)</f>
        <v/>
      </c>
      <c r="H65" s="133">
        <f>IF($C65="","",BDP($C65,FLD_DPS12M))</f>
        <v/>
      </c>
      <c r="I65" s="126">
        <f>IF($C65="","",BDP($C65,FLD_YLD12M))</f>
        <v/>
      </c>
      <c r="J65" s="128">
        <f>IF($B65="",0,SUMPRODUCT(('Dvd Calendar'!$E$649:$AR$649&gt;=WIN_FROM)*('Dvd Calendar'!$E$649:$AR$649&lt;=REALIZED_TO)*'Dvd Calendar'!$E$652:$AR$652*(('Dvd Calendar'!$E$654:$AR$654=TYPE1)*(TYPE1&lt;&gt;"")+('Dvd Calendar'!$E$654:$AR$654=TYPE2)*(TYPE2&lt;&gt;"")+('Dvd Calendar'!$E$654:$AR$654=TYPE3)*(TYPE3&lt;&gt;"")+('Dvd Calendar'!$E$654:$AR$654=TYPE4)*(TYPE4&lt;&gt;"")+('Dvd Calendar'!$E$654:$AR$654=SPECIAL_LBL)*(INC_SPECIALS="Y"))))</f>
        <v/>
      </c>
      <c r="K65" s="128">
        <f>IF($B65="",0,SUMIFS('Dvd Calendar'!$E$657:$AR$657,'Dvd Calendar'!$E$656:$AR$656,"&gt;"&amp;PROJ_FROM,'Dvd Calendar'!$E$656:$AR$656,"&lt;="&amp;WIN_TO)+SUMPRODUCT(('Dvd Calendar'!$E$649:$AR$649&gt;PROJ_FROM)*('Dvd Calendar'!$E$649:$AR$649&lt;=WIN_TO)*'Dvd Calendar'!$E$652:$AR$652*(('Dvd Calendar'!$E$654:$AR$654=TYPE1)*(TYPE1&lt;&gt;"")+('Dvd Calendar'!$E$654:$AR$654=TYPE2)*(TYPE2&lt;&gt;"")+('Dvd Calendar'!$E$654:$AR$654=TYPE3)*(TYPE3&lt;&gt;"")+('Dvd Calendar'!$E$654:$AR$654=TYPE4)*(TYPE4&lt;&gt;"")+('Dvd Calendar'!$E$654:$AR$654=SPECIAL_LBL)*(INC_SPECIALS="Y"))*(COUNTIF('Dvd Calendar'!$E$656:$AR$656,'Dvd Calendar'!$E$649:$AR$649)=0)))</f>
        <v/>
      </c>
      <c r="L65" s="128">
        <f>IF($B65="",0,IF((OV_SWITCH="ON")*(COUNTIFS(OVR_TICKERS,$C65,OVR_BASE,"&gt;=0")&gt;0)&gt;0,SUMIFS(OVR_BASE,OVR_TICKERS,$C65),$K65))</f>
        <v/>
      </c>
      <c r="M65" s="128">
        <f>IF($B65="",0,IF((OV_SWITCH="ON")*(COUNTIFS(OVR_TICKERS,$C65,OVR_LOW,"&gt;=0")&gt;0)&gt;0,SUMIFS(OVR_LOW,OVR_TICKERS,$C65),$L65))</f>
        <v/>
      </c>
      <c r="N65" s="128">
        <f>IF($B65="",0,IF((OV_SWITCH="ON")*(COUNTIFS(OVR_TICKERS,$C65,OVR_HIGH,"&gt;=0")&gt;0)&gt;0,SUMIFS(OVR_HIGH,OVR_TICKERS,$C65),$L65))</f>
        <v/>
      </c>
      <c r="O65" s="133">
        <f>IF($B65="","",IFERROR($B65*$G65*$J65/$B$3,""))</f>
        <v/>
      </c>
      <c r="P65" s="133">
        <f>IF($B65="","",IFERROR($B65*$G65*$L65/$B$3,""))</f>
        <v/>
      </c>
      <c r="Q65" s="124">
        <f>IF($B65="","",IFERROR($O65+$P65,""))</f>
        <v/>
      </c>
      <c r="R65" s="133">
        <f>IF($B65="","",IFERROR($O65+$B65*$G65*$M65/$B$3,""))</f>
        <v/>
      </c>
      <c r="S65" s="133">
        <f>IF($B65="","",IFERROR($O65+$B65*$G65*$N65/$B$3,""))</f>
        <v/>
      </c>
      <c r="T65" s="150">
        <f>IF($B65="","",IFERROR($Q65/$Q$5,""))</f>
        <v/>
      </c>
      <c r="U65" s="2">
        <f>IF($B65="","",IF(COUNTIFS('Dvd Calendar'!$E$655:$AR$655,"&gt;0",'Dvd Calendar'!$E$655:$AR$655,"&lt;="&amp;VAL_DATE,'Dvd Calendar'!$E$656:$AR$656,"&gt;"&amp;PROJ_FROM,'Dvd Calendar'!$E$656:$AR$656,"&lt;="&amp;WIN_TO)-COUNTIFS('Dvd Calendar'!$E$655:$AR$655,"&gt;0",'Dvd Calendar'!$E$655:$AR$655,"&lt;="&amp;VAL_DATE,'Dvd Calendar'!$E$656:$AR$656,"&gt;"&amp;PROJ_FROM,'Dvd Calendar'!$E$656:$AR$656,"&lt;="&amp;WIN_TO,'Dvd Calendar'!$E$657:$AR$657,"&gt;=0")&gt;0,"TBA amount - override me",IF((OV_SWITCH="ON")*(COUNTIFS(OVR_TICKERS,$C65,OVR_BASE,"&gt;=0")&gt;0)&gt;0,"overridden",IF($J65+$K65=0,"no dividend in year Y",""))))</f>
        <v/>
      </c>
      <c r="V65" s="133">
        <f>IF($B65="","",IFERROR(IF(ISNUMBER($H65),$B65*$G65*$H65/$B$3,0),""))</f>
        <v/>
      </c>
      <c r="W65" s="133">
        <f>IF($B65="","",IFERROR($B65*$G65*$K65/$B$3,""))</f>
        <v/>
      </c>
      <c r="X65" s="157">
        <f>IF($C65="","",BDP($C65,"PX_LAST"))</f>
        <v/>
      </c>
      <c r="Y65" s="133">
        <f>IF($B65="","",IFERROR($B65*$X65/$B$3,""))</f>
        <v/>
      </c>
      <c r="Z65" s="137">
        <f>IF($B65="","",IFERROR($Y65/$Y$5,""))</f>
        <v/>
      </c>
    </row>
    <row r="66">
      <c r="B66" s="97" t="n"/>
      <c r="C66" s="8">
        <f>IF($A66="","",$A66&amp;" Equity")</f>
        <v/>
      </c>
      <c r="D66" s="8">
        <f>IF($C66="","",BDP($C66,"NAME"))</f>
        <v/>
      </c>
      <c r="E66" s="8">
        <f>IF($C66="","",BDP($C66,"GICS_SECTOR_NAME"))</f>
        <v/>
      </c>
      <c r="F66" s="37">
        <f>IF($C66="","",BDP($C66,FLD_CCY))</f>
        <v/>
      </c>
      <c r="G66" s="111">
        <f>IFERROR(IF(LEN($F66)&lt;&gt;3,1,IF($F66="HKD",1,BDP(IF($F66="CNY",RMB_CROSS,$F66)&amp;"HKD Curncy","PX_LAST"))),1)</f>
        <v/>
      </c>
      <c r="H66" s="133">
        <f>IF($C66="","",BDP($C66,FLD_DPS12M))</f>
        <v/>
      </c>
      <c r="I66" s="126">
        <f>IF($C66="","",BDP($C66,FLD_YLD12M))</f>
        <v/>
      </c>
      <c r="J66" s="128">
        <f>IF($B66="",0,SUMPRODUCT(('Dvd Calendar'!$E$660:$AR$660&gt;=WIN_FROM)*('Dvd Calendar'!$E$660:$AR$660&lt;=REALIZED_TO)*'Dvd Calendar'!$E$663:$AR$663*(('Dvd Calendar'!$E$665:$AR$665=TYPE1)*(TYPE1&lt;&gt;"")+('Dvd Calendar'!$E$665:$AR$665=TYPE2)*(TYPE2&lt;&gt;"")+('Dvd Calendar'!$E$665:$AR$665=TYPE3)*(TYPE3&lt;&gt;"")+('Dvd Calendar'!$E$665:$AR$665=TYPE4)*(TYPE4&lt;&gt;"")+('Dvd Calendar'!$E$665:$AR$665=SPECIAL_LBL)*(INC_SPECIALS="Y"))))</f>
        <v/>
      </c>
      <c r="K66" s="128">
        <f>IF($B66="",0,SUMIFS('Dvd Calendar'!$E$668:$AR$668,'Dvd Calendar'!$E$667:$AR$667,"&gt;"&amp;PROJ_FROM,'Dvd Calendar'!$E$667:$AR$667,"&lt;="&amp;WIN_TO)+SUMPRODUCT(('Dvd Calendar'!$E$660:$AR$660&gt;PROJ_FROM)*('Dvd Calendar'!$E$660:$AR$660&lt;=WIN_TO)*'Dvd Calendar'!$E$663:$AR$663*(('Dvd Calendar'!$E$665:$AR$665=TYPE1)*(TYPE1&lt;&gt;"")+('Dvd Calendar'!$E$665:$AR$665=TYPE2)*(TYPE2&lt;&gt;"")+('Dvd Calendar'!$E$665:$AR$665=TYPE3)*(TYPE3&lt;&gt;"")+('Dvd Calendar'!$E$665:$AR$665=TYPE4)*(TYPE4&lt;&gt;"")+('Dvd Calendar'!$E$665:$AR$665=SPECIAL_LBL)*(INC_SPECIALS="Y"))*(COUNTIF('Dvd Calendar'!$E$667:$AR$667,'Dvd Calendar'!$E$660:$AR$660)=0)))</f>
        <v/>
      </c>
      <c r="L66" s="128">
        <f>IF($B66="",0,IF((OV_SWITCH="ON")*(COUNTIFS(OVR_TICKERS,$C66,OVR_BASE,"&gt;=0")&gt;0)&gt;0,SUMIFS(OVR_BASE,OVR_TICKERS,$C66),$K66))</f>
        <v/>
      </c>
      <c r="M66" s="128">
        <f>IF($B66="",0,IF((OV_SWITCH="ON")*(COUNTIFS(OVR_TICKERS,$C66,OVR_LOW,"&gt;=0")&gt;0)&gt;0,SUMIFS(OVR_LOW,OVR_TICKERS,$C66),$L66))</f>
        <v/>
      </c>
      <c r="N66" s="128">
        <f>IF($B66="",0,IF((OV_SWITCH="ON")*(COUNTIFS(OVR_TICKERS,$C66,OVR_HIGH,"&gt;=0")&gt;0)&gt;0,SUMIFS(OVR_HIGH,OVR_TICKERS,$C66),$L66))</f>
        <v/>
      </c>
      <c r="O66" s="133">
        <f>IF($B66="","",IFERROR($B66*$G66*$J66/$B$3,""))</f>
        <v/>
      </c>
      <c r="P66" s="133">
        <f>IF($B66="","",IFERROR($B66*$G66*$L66/$B$3,""))</f>
        <v/>
      </c>
      <c r="Q66" s="124">
        <f>IF($B66="","",IFERROR($O66+$P66,""))</f>
        <v/>
      </c>
      <c r="R66" s="133">
        <f>IF($B66="","",IFERROR($O66+$B66*$G66*$M66/$B$3,""))</f>
        <v/>
      </c>
      <c r="S66" s="133">
        <f>IF($B66="","",IFERROR($O66+$B66*$G66*$N66/$B$3,""))</f>
        <v/>
      </c>
      <c r="T66" s="150">
        <f>IF($B66="","",IFERROR($Q66/$Q$5,""))</f>
        <v/>
      </c>
      <c r="U66" s="2">
        <f>IF($B66="","",IF(COUNTIFS('Dvd Calendar'!$E$666:$AR$666,"&gt;0",'Dvd Calendar'!$E$666:$AR$666,"&lt;="&amp;VAL_DATE,'Dvd Calendar'!$E$667:$AR$667,"&gt;"&amp;PROJ_FROM,'Dvd Calendar'!$E$667:$AR$667,"&lt;="&amp;WIN_TO)-COUNTIFS('Dvd Calendar'!$E$666:$AR$666,"&gt;0",'Dvd Calendar'!$E$666:$AR$666,"&lt;="&amp;VAL_DATE,'Dvd Calendar'!$E$667:$AR$667,"&gt;"&amp;PROJ_FROM,'Dvd Calendar'!$E$667:$AR$667,"&lt;="&amp;WIN_TO,'Dvd Calendar'!$E$668:$AR$668,"&gt;=0")&gt;0,"TBA amount - override me",IF((OV_SWITCH="ON")*(COUNTIFS(OVR_TICKERS,$C66,OVR_BASE,"&gt;=0")&gt;0)&gt;0,"overridden",IF($J66+$K66=0,"no dividend in year Y",""))))</f>
        <v/>
      </c>
      <c r="V66" s="133">
        <f>IF($B66="","",IFERROR(IF(ISNUMBER($H66),$B66*$G66*$H66/$B$3,0),""))</f>
        <v/>
      </c>
      <c r="W66" s="133">
        <f>IF($B66="","",IFERROR($B66*$G66*$K66/$B$3,""))</f>
        <v/>
      </c>
      <c r="X66" s="157">
        <f>IF($C66="","",BDP($C66,"PX_LAST"))</f>
        <v/>
      </c>
      <c r="Y66" s="133">
        <f>IF($B66="","",IFERROR($B66*$X66/$B$3,""))</f>
        <v/>
      </c>
      <c r="Z66" s="137">
        <f>IF($B66="","",IFERROR($Y66/$Y$5,""))</f>
        <v/>
      </c>
    </row>
    <row r="67">
      <c r="B67" s="97" t="n"/>
      <c r="C67" s="8">
        <f>IF($A67="","",$A67&amp;" Equity")</f>
        <v/>
      </c>
      <c r="D67" s="8">
        <f>IF($C67="","",BDP($C67,"NAME"))</f>
        <v/>
      </c>
      <c r="E67" s="8">
        <f>IF($C67="","",BDP($C67,"GICS_SECTOR_NAME"))</f>
        <v/>
      </c>
      <c r="F67" s="37">
        <f>IF($C67="","",BDP($C67,FLD_CCY))</f>
        <v/>
      </c>
      <c r="G67" s="111">
        <f>IFERROR(IF(LEN($F67)&lt;&gt;3,1,IF($F67="HKD",1,BDP(IF($F67="CNY",RMB_CROSS,$F67)&amp;"HKD Curncy","PX_LAST"))),1)</f>
        <v/>
      </c>
      <c r="H67" s="133">
        <f>IF($C67="","",BDP($C67,FLD_DPS12M))</f>
        <v/>
      </c>
      <c r="I67" s="126">
        <f>IF($C67="","",BDP($C67,FLD_YLD12M))</f>
        <v/>
      </c>
      <c r="J67" s="128">
        <f>IF($B67="",0,SUMPRODUCT(('Dvd Calendar'!$E$671:$AR$671&gt;=WIN_FROM)*('Dvd Calendar'!$E$671:$AR$671&lt;=REALIZED_TO)*'Dvd Calendar'!$E$674:$AR$674*(('Dvd Calendar'!$E$676:$AR$676=TYPE1)*(TYPE1&lt;&gt;"")+('Dvd Calendar'!$E$676:$AR$676=TYPE2)*(TYPE2&lt;&gt;"")+('Dvd Calendar'!$E$676:$AR$676=TYPE3)*(TYPE3&lt;&gt;"")+('Dvd Calendar'!$E$676:$AR$676=TYPE4)*(TYPE4&lt;&gt;"")+('Dvd Calendar'!$E$676:$AR$676=SPECIAL_LBL)*(INC_SPECIALS="Y"))))</f>
        <v/>
      </c>
      <c r="K67" s="128">
        <f>IF($B67="",0,SUMIFS('Dvd Calendar'!$E$679:$AR$679,'Dvd Calendar'!$E$678:$AR$678,"&gt;"&amp;PROJ_FROM,'Dvd Calendar'!$E$678:$AR$678,"&lt;="&amp;WIN_TO)+SUMPRODUCT(('Dvd Calendar'!$E$671:$AR$671&gt;PROJ_FROM)*('Dvd Calendar'!$E$671:$AR$671&lt;=WIN_TO)*'Dvd Calendar'!$E$674:$AR$674*(('Dvd Calendar'!$E$676:$AR$676=TYPE1)*(TYPE1&lt;&gt;"")+('Dvd Calendar'!$E$676:$AR$676=TYPE2)*(TYPE2&lt;&gt;"")+('Dvd Calendar'!$E$676:$AR$676=TYPE3)*(TYPE3&lt;&gt;"")+('Dvd Calendar'!$E$676:$AR$676=TYPE4)*(TYPE4&lt;&gt;"")+('Dvd Calendar'!$E$676:$AR$676=SPECIAL_LBL)*(INC_SPECIALS="Y"))*(COUNTIF('Dvd Calendar'!$E$678:$AR$678,'Dvd Calendar'!$E$671:$AR$671)=0)))</f>
        <v/>
      </c>
      <c r="L67" s="128">
        <f>IF($B67="",0,IF((OV_SWITCH="ON")*(COUNTIFS(OVR_TICKERS,$C67,OVR_BASE,"&gt;=0")&gt;0)&gt;0,SUMIFS(OVR_BASE,OVR_TICKERS,$C67),$K67))</f>
        <v/>
      </c>
      <c r="M67" s="128">
        <f>IF($B67="",0,IF((OV_SWITCH="ON")*(COUNTIFS(OVR_TICKERS,$C67,OVR_LOW,"&gt;=0")&gt;0)&gt;0,SUMIFS(OVR_LOW,OVR_TICKERS,$C67),$L67))</f>
        <v/>
      </c>
      <c r="N67" s="128">
        <f>IF($B67="",0,IF((OV_SWITCH="ON")*(COUNTIFS(OVR_TICKERS,$C67,OVR_HIGH,"&gt;=0")&gt;0)&gt;0,SUMIFS(OVR_HIGH,OVR_TICKERS,$C67),$L67))</f>
        <v/>
      </c>
      <c r="O67" s="133">
        <f>IF($B67="","",IFERROR($B67*$G67*$J67/$B$3,""))</f>
        <v/>
      </c>
      <c r="P67" s="133">
        <f>IF($B67="","",IFERROR($B67*$G67*$L67/$B$3,""))</f>
        <v/>
      </c>
      <c r="Q67" s="124">
        <f>IF($B67="","",IFERROR($O67+$P67,""))</f>
        <v/>
      </c>
      <c r="R67" s="133">
        <f>IF($B67="","",IFERROR($O67+$B67*$G67*$M67/$B$3,""))</f>
        <v/>
      </c>
      <c r="S67" s="133">
        <f>IF($B67="","",IFERROR($O67+$B67*$G67*$N67/$B$3,""))</f>
        <v/>
      </c>
      <c r="T67" s="150">
        <f>IF($B67="","",IFERROR($Q67/$Q$5,""))</f>
        <v/>
      </c>
      <c r="U67" s="2">
        <f>IF($B67="","",IF(COUNTIFS('Dvd Calendar'!$E$677:$AR$677,"&gt;0",'Dvd Calendar'!$E$677:$AR$677,"&lt;="&amp;VAL_DATE,'Dvd Calendar'!$E$678:$AR$678,"&gt;"&amp;PROJ_FROM,'Dvd Calendar'!$E$678:$AR$678,"&lt;="&amp;WIN_TO)-COUNTIFS('Dvd Calendar'!$E$677:$AR$677,"&gt;0",'Dvd Calendar'!$E$677:$AR$677,"&lt;="&amp;VAL_DATE,'Dvd Calendar'!$E$678:$AR$678,"&gt;"&amp;PROJ_FROM,'Dvd Calendar'!$E$678:$AR$678,"&lt;="&amp;WIN_TO,'Dvd Calendar'!$E$679:$AR$679,"&gt;=0")&gt;0,"TBA amount - override me",IF((OV_SWITCH="ON")*(COUNTIFS(OVR_TICKERS,$C67,OVR_BASE,"&gt;=0")&gt;0)&gt;0,"overridden",IF($J67+$K67=0,"no dividend in year Y",""))))</f>
        <v/>
      </c>
      <c r="V67" s="133">
        <f>IF($B67="","",IFERROR(IF(ISNUMBER($H67),$B67*$G67*$H67/$B$3,0),""))</f>
        <v/>
      </c>
      <c r="W67" s="133">
        <f>IF($B67="","",IFERROR($B67*$G67*$K67/$B$3,""))</f>
        <v/>
      </c>
      <c r="X67" s="157">
        <f>IF($C67="","",BDP($C67,"PX_LAST"))</f>
        <v/>
      </c>
      <c r="Y67" s="133">
        <f>IF($B67="","",IFERROR($B67*$X67/$B$3,""))</f>
        <v/>
      </c>
      <c r="Z67" s="137">
        <f>IF($B67="","",IFERROR($Y67/$Y$5,""))</f>
        <v/>
      </c>
    </row>
    <row r="68">
      <c r="B68" s="97" t="n"/>
      <c r="C68" s="8">
        <f>IF($A68="","",$A68&amp;" Equity")</f>
        <v/>
      </c>
      <c r="D68" s="8">
        <f>IF($C68="","",BDP($C68,"NAME"))</f>
        <v/>
      </c>
      <c r="E68" s="8">
        <f>IF($C68="","",BDP($C68,"GICS_SECTOR_NAME"))</f>
        <v/>
      </c>
      <c r="F68" s="37">
        <f>IF($C68="","",BDP($C68,FLD_CCY))</f>
        <v/>
      </c>
      <c r="G68" s="111">
        <f>IFERROR(IF(LEN($F68)&lt;&gt;3,1,IF($F68="HKD",1,BDP(IF($F68="CNY",RMB_CROSS,$F68)&amp;"HKD Curncy","PX_LAST"))),1)</f>
        <v/>
      </c>
      <c r="H68" s="133">
        <f>IF($C68="","",BDP($C68,FLD_DPS12M))</f>
        <v/>
      </c>
      <c r="I68" s="126">
        <f>IF($C68="","",BDP($C68,FLD_YLD12M))</f>
        <v/>
      </c>
      <c r="J68" s="128">
        <f>IF($B68="",0,SUMPRODUCT(('Dvd Calendar'!$E$682:$AR$682&gt;=WIN_FROM)*('Dvd Calendar'!$E$682:$AR$682&lt;=REALIZED_TO)*'Dvd Calendar'!$E$685:$AR$685*(('Dvd Calendar'!$E$687:$AR$687=TYPE1)*(TYPE1&lt;&gt;"")+('Dvd Calendar'!$E$687:$AR$687=TYPE2)*(TYPE2&lt;&gt;"")+('Dvd Calendar'!$E$687:$AR$687=TYPE3)*(TYPE3&lt;&gt;"")+('Dvd Calendar'!$E$687:$AR$687=TYPE4)*(TYPE4&lt;&gt;"")+('Dvd Calendar'!$E$687:$AR$687=SPECIAL_LBL)*(INC_SPECIALS="Y"))))</f>
        <v/>
      </c>
      <c r="K68" s="128">
        <f>IF($B68="",0,SUMIFS('Dvd Calendar'!$E$690:$AR$690,'Dvd Calendar'!$E$689:$AR$689,"&gt;"&amp;PROJ_FROM,'Dvd Calendar'!$E$689:$AR$689,"&lt;="&amp;WIN_TO)+SUMPRODUCT(('Dvd Calendar'!$E$682:$AR$682&gt;PROJ_FROM)*('Dvd Calendar'!$E$682:$AR$682&lt;=WIN_TO)*'Dvd Calendar'!$E$685:$AR$685*(('Dvd Calendar'!$E$687:$AR$687=TYPE1)*(TYPE1&lt;&gt;"")+('Dvd Calendar'!$E$687:$AR$687=TYPE2)*(TYPE2&lt;&gt;"")+('Dvd Calendar'!$E$687:$AR$687=TYPE3)*(TYPE3&lt;&gt;"")+('Dvd Calendar'!$E$687:$AR$687=TYPE4)*(TYPE4&lt;&gt;"")+('Dvd Calendar'!$E$687:$AR$687=SPECIAL_LBL)*(INC_SPECIALS="Y"))*(COUNTIF('Dvd Calendar'!$E$689:$AR$689,'Dvd Calendar'!$E$682:$AR$682)=0)))</f>
        <v/>
      </c>
      <c r="L68" s="128">
        <f>IF($B68="",0,IF((OV_SWITCH="ON")*(COUNTIFS(OVR_TICKERS,$C68,OVR_BASE,"&gt;=0")&gt;0)&gt;0,SUMIFS(OVR_BASE,OVR_TICKERS,$C68),$K68))</f>
        <v/>
      </c>
      <c r="M68" s="128">
        <f>IF($B68="",0,IF((OV_SWITCH="ON")*(COUNTIFS(OVR_TICKERS,$C68,OVR_LOW,"&gt;=0")&gt;0)&gt;0,SUMIFS(OVR_LOW,OVR_TICKERS,$C68),$L68))</f>
        <v/>
      </c>
      <c r="N68" s="128">
        <f>IF($B68="",0,IF((OV_SWITCH="ON")*(COUNTIFS(OVR_TICKERS,$C68,OVR_HIGH,"&gt;=0")&gt;0)&gt;0,SUMIFS(OVR_HIGH,OVR_TICKERS,$C68),$L68))</f>
        <v/>
      </c>
      <c r="O68" s="133">
        <f>IF($B68="","",IFERROR($B68*$G68*$J68/$B$3,""))</f>
        <v/>
      </c>
      <c r="P68" s="133">
        <f>IF($B68="","",IFERROR($B68*$G68*$L68/$B$3,""))</f>
        <v/>
      </c>
      <c r="Q68" s="124">
        <f>IF($B68="","",IFERROR($O68+$P68,""))</f>
        <v/>
      </c>
      <c r="R68" s="133">
        <f>IF($B68="","",IFERROR($O68+$B68*$G68*$M68/$B$3,""))</f>
        <v/>
      </c>
      <c r="S68" s="133">
        <f>IF($B68="","",IFERROR($O68+$B68*$G68*$N68/$B$3,""))</f>
        <v/>
      </c>
      <c r="T68" s="150">
        <f>IF($B68="","",IFERROR($Q68/$Q$5,""))</f>
        <v/>
      </c>
      <c r="U68" s="2">
        <f>IF($B68="","",IF(COUNTIFS('Dvd Calendar'!$E$688:$AR$688,"&gt;0",'Dvd Calendar'!$E$688:$AR$688,"&lt;="&amp;VAL_DATE,'Dvd Calendar'!$E$689:$AR$689,"&gt;"&amp;PROJ_FROM,'Dvd Calendar'!$E$689:$AR$689,"&lt;="&amp;WIN_TO)-COUNTIFS('Dvd Calendar'!$E$688:$AR$688,"&gt;0",'Dvd Calendar'!$E$688:$AR$688,"&lt;="&amp;VAL_DATE,'Dvd Calendar'!$E$689:$AR$689,"&gt;"&amp;PROJ_FROM,'Dvd Calendar'!$E$689:$AR$689,"&lt;="&amp;WIN_TO,'Dvd Calendar'!$E$690:$AR$690,"&gt;=0")&gt;0,"TBA amount - override me",IF((OV_SWITCH="ON")*(COUNTIFS(OVR_TICKERS,$C68,OVR_BASE,"&gt;=0")&gt;0)&gt;0,"overridden",IF($J68+$K68=0,"no dividend in year Y",""))))</f>
        <v/>
      </c>
      <c r="V68" s="133">
        <f>IF($B68="","",IFERROR(IF(ISNUMBER($H68),$B68*$G68*$H68/$B$3,0),""))</f>
        <v/>
      </c>
      <c r="W68" s="133">
        <f>IF($B68="","",IFERROR($B68*$G68*$K68/$B$3,""))</f>
        <v/>
      </c>
      <c r="X68" s="157">
        <f>IF($C68="","",BDP($C68,"PX_LAST"))</f>
        <v/>
      </c>
      <c r="Y68" s="133">
        <f>IF($B68="","",IFERROR($B68*$X68/$B$3,""))</f>
        <v/>
      </c>
      <c r="Z68" s="137">
        <f>IF($B68="","",IFERROR($Y68/$Y$5,""))</f>
        <v/>
      </c>
    </row>
    <row r="69">
      <c r="B69" s="97" t="n"/>
      <c r="C69" s="8">
        <f>IF($A69="","",$A69&amp;" Equity")</f>
        <v/>
      </c>
      <c r="D69" s="8">
        <f>IF($C69="","",BDP($C69,"NAME"))</f>
        <v/>
      </c>
      <c r="E69" s="8">
        <f>IF($C69="","",BDP($C69,"GICS_SECTOR_NAME"))</f>
        <v/>
      </c>
      <c r="F69" s="37">
        <f>IF($C69="","",BDP($C69,FLD_CCY))</f>
        <v/>
      </c>
      <c r="G69" s="111">
        <f>IFERROR(IF(LEN($F69)&lt;&gt;3,1,IF($F69="HKD",1,BDP(IF($F69="CNY",RMB_CROSS,$F69)&amp;"HKD Curncy","PX_LAST"))),1)</f>
        <v/>
      </c>
      <c r="H69" s="133">
        <f>IF($C69="","",BDP($C69,FLD_DPS12M))</f>
        <v/>
      </c>
      <c r="I69" s="126">
        <f>IF($C69="","",BDP($C69,FLD_YLD12M))</f>
        <v/>
      </c>
      <c r="J69" s="128">
        <f>IF($B69="",0,SUMPRODUCT(('Dvd Calendar'!$E$693:$AR$693&gt;=WIN_FROM)*('Dvd Calendar'!$E$693:$AR$693&lt;=REALIZED_TO)*'Dvd Calendar'!$E$696:$AR$696*(('Dvd Calendar'!$E$698:$AR$698=TYPE1)*(TYPE1&lt;&gt;"")+('Dvd Calendar'!$E$698:$AR$698=TYPE2)*(TYPE2&lt;&gt;"")+('Dvd Calendar'!$E$698:$AR$698=TYPE3)*(TYPE3&lt;&gt;"")+('Dvd Calendar'!$E$698:$AR$698=TYPE4)*(TYPE4&lt;&gt;"")+('Dvd Calendar'!$E$698:$AR$698=SPECIAL_LBL)*(INC_SPECIALS="Y"))))</f>
        <v/>
      </c>
      <c r="K69" s="128">
        <f>IF($B69="",0,SUMIFS('Dvd Calendar'!$E$701:$AR$701,'Dvd Calendar'!$E$700:$AR$700,"&gt;"&amp;PROJ_FROM,'Dvd Calendar'!$E$700:$AR$700,"&lt;="&amp;WIN_TO)+SUMPRODUCT(('Dvd Calendar'!$E$693:$AR$693&gt;PROJ_FROM)*('Dvd Calendar'!$E$693:$AR$693&lt;=WIN_TO)*'Dvd Calendar'!$E$696:$AR$696*(('Dvd Calendar'!$E$698:$AR$698=TYPE1)*(TYPE1&lt;&gt;"")+('Dvd Calendar'!$E$698:$AR$698=TYPE2)*(TYPE2&lt;&gt;"")+('Dvd Calendar'!$E$698:$AR$698=TYPE3)*(TYPE3&lt;&gt;"")+('Dvd Calendar'!$E$698:$AR$698=TYPE4)*(TYPE4&lt;&gt;"")+('Dvd Calendar'!$E$698:$AR$698=SPECIAL_LBL)*(INC_SPECIALS="Y"))*(COUNTIF('Dvd Calendar'!$E$700:$AR$700,'Dvd Calendar'!$E$693:$AR$693)=0)))</f>
        <v/>
      </c>
      <c r="L69" s="128">
        <f>IF($B69="",0,IF((OV_SWITCH="ON")*(COUNTIFS(OVR_TICKERS,$C69,OVR_BASE,"&gt;=0")&gt;0)&gt;0,SUMIFS(OVR_BASE,OVR_TICKERS,$C69),$K69))</f>
        <v/>
      </c>
      <c r="M69" s="128">
        <f>IF($B69="",0,IF((OV_SWITCH="ON")*(COUNTIFS(OVR_TICKERS,$C69,OVR_LOW,"&gt;=0")&gt;0)&gt;0,SUMIFS(OVR_LOW,OVR_TICKERS,$C69),$L69))</f>
        <v/>
      </c>
      <c r="N69" s="128">
        <f>IF($B69="",0,IF((OV_SWITCH="ON")*(COUNTIFS(OVR_TICKERS,$C69,OVR_HIGH,"&gt;=0")&gt;0)&gt;0,SUMIFS(OVR_HIGH,OVR_TICKERS,$C69),$L69))</f>
        <v/>
      </c>
      <c r="O69" s="133">
        <f>IF($B69="","",IFERROR($B69*$G69*$J69/$B$3,""))</f>
        <v/>
      </c>
      <c r="P69" s="133">
        <f>IF($B69="","",IFERROR($B69*$G69*$L69/$B$3,""))</f>
        <v/>
      </c>
      <c r="Q69" s="124">
        <f>IF($B69="","",IFERROR($O69+$P69,""))</f>
        <v/>
      </c>
      <c r="R69" s="133">
        <f>IF($B69="","",IFERROR($O69+$B69*$G69*$M69/$B$3,""))</f>
        <v/>
      </c>
      <c r="S69" s="133">
        <f>IF($B69="","",IFERROR($O69+$B69*$G69*$N69/$B$3,""))</f>
        <v/>
      </c>
      <c r="T69" s="150">
        <f>IF($B69="","",IFERROR($Q69/$Q$5,""))</f>
        <v/>
      </c>
      <c r="U69" s="2">
        <f>IF($B69="","",IF(COUNTIFS('Dvd Calendar'!$E$699:$AR$699,"&gt;0",'Dvd Calendar'!$E$699:$AR$699,"&lt;="&amp;VAL_DATE,'Dvd Calendar'!$E$700:$AR$700,"&gt;"&amp;PROJ_FROM,'Dvd Calendar'!$E$700:$AR$700,"&lt;="&amp;WIN_TO)-COUNTIFS('Dvd Calendar'!$E$699:$AR$699,"&gt;0",'Dvd Calendar'!$E$699:$AR$699,"&lt;="&amp;VAL_DATE,'Dvd Calendar'!$E$700:$AR$700,"&gt;"&amp;PROJ_FROM,'Dvd Calendar'!$E$700:$AR$700,"&lt;="&amp;WIN_TO,'Dvd Calendar'!$E$701:$AR$701,"&gt;=0")&gt;0,"TBA amount - override me",IF((OV_SWITCH="ON")*(COUNTIFS(OVR_TICKERS,$C69,OVR_BASE,"&gt;=0")&gt;0)&gt;0,"overridden",IF($J69+$K69=0,"no dividend in year Y",""))))</f>
        <v/>
      </c>
      <c r="V69" s="133">
        <f>IF($B69="","",IFERROR(IF(ISNUMBER($H69),$B69*$G69*$H69/$B$3,0),""))</f>
        <v/>
      </c>
      <c r="W69" s="133">
        <f>IF($B69="","",IFERROR($B69*$G69*$K69/$B$3,""))</f>
        <v/>
      </c>
      <c r="X69" s="157">
        <f>IF($C69="","",BDP($C69,"PX_LAST"))</f>
        <v/>
      </c>
      <c r="Y69" s="133">
        <f>IF($B69="","",IFERROR($B69*$X69/$B$3,""))</f>
        <v/>
      </c>
      <c r="Z69" s="137">
        <f>IF($B69="","",IFERROR($Y69/$Y$5,""))</f>
        <v/>
      </c>
    </row>
    <row r="70">
      <c r="B70" s="97" t="n"/>
      <c r="C70" s="8">
        <f>IF($A70="","",$A70&amp;" Equity")</f>
        <v/>
      </c>
      <c r="D70" s="8">
        <f>IF($C70="","",BDP($C70,"NAME"))</f>
        <v/>
      </c>
      <c r="E70" s="8">
        <f>IF($C70="","",BDP($C70,"GICS_SECTOR_NAME"))</f>
        <v/>
      </c>
      <c r="F70" s="37">
        <f>IF($C70="","",BDP($C70,FLD_CCY))</f>
        <v/>
      </c>
      <c r="G70" s="111">
        <f>IFERROR(IF(LEN($F70)&lt;&gt;3,1,IF($F70="HKD",1,BDP(IF($F70="CNY",RMB_CROSS,$F70)&amp;"HKD Curncy","PX_LAST"))),1)</f>
        <v/>
      </c>
      <c r="H70" s="133">
        <f>IF($C70="","",BDP($C70,FLD_DPS12M))</f>
        <v/>
      </c>
      <c r="I70" s="126">
        <f>IF($C70="","",BDP($C70,FLD_YLD12M))</f>
        <v/>
      </c>
      <c r="J70" s="128">
        <f>IF($B70="",0,SUMPRODUCT(('Dvd Calendar'!$E$704:$AR$704&gt;=WIN_FROM)*('Dvd Calendar'!$E$704:$AR$704&lt;=REALIZED_TO)*'Dvd Calendar'!$E$707:$AR$707*(('Dvd Calendar'!$E$709:$AR$709=TYPE1)*(TYPE1&lt;&gt;"")+('Dvd Calendar'!$E$709:$AR$709=TYPE2)*(TYPE2&lt;&gt;"")+('Dvd Calendar'!$E$709:$AR$709=TYPE3)*(TYPE3&lt;&gt;"")+('Dvd Calendar'!$E$709:$AR$709=TYPE4)*(TYPE4&lt;&gt;"")+('Dvd Calendar'!$E$709:$AR$709=SPECIAL_LBL)*(INC_SPECIALS="Y"))))</f>
        <v/>
      </c>
      <c r="K70" s="128">
        <f>IF($B70="",0,SUMIFS('Dvd Calendar'!$E$712:$AR$712,'Dvd Calendar'!$E$711:$AR$711,"&gt;"&amp;PROJ_FROM,'Dvd Calendar'!$E$711:$AR$711,"&lt;="&amp;WIN_TO)+SUMPRODUCT(('Dvd Calendar'!$E$704:$AR$704&gt;PROJ_FROM)*('Dvd Calendar'!$E$704:$AR$704&lt;=WIN_TO)*'Dvd Calendar'!$E$707:$AR$707*(('Dvd Calendar'!$E$709:$AR$709=TYPE1)*(TYPE1&lt;&gt;"")+('Dvd Calendar'!$E$709:$AR$709=TYPE2)*(TYPE2&lt;&gt;"")+('Dvd Calendar'!$E$709:$AR$709=TYPE3)*(TYPE3&lt;&gt;"")+('Dvd Calendar'!$E$709:$AR$709=TYPE4)*(TYPE4&lt;&gt;"")+('Dvd Calendar'!$E$709:$AR$709=SPECIAL_LBL)*(INC_SPECIALS="Y"))*(COUNTIF('Dvd Calendar'!$E$711:$AR$711,'Dvd Calendar'!$E$704:$AR$704)=0)))</f>
        <v/>
      </c>
      <c r="L70" s="128">
        <f>IF($B70="",0,IF((OV_SWITCH="ON")*(COUNTIFS(OVR_TICKERS,$C70,OVR_BASE,"&gt;=0")&gt;0)&gt;0,SUMIFS(OVR_BASE,OVR_TICKERS,$C70),$K70))</f>
        <v/>
      </c>
      <c r="M70" s="128">
        <f>IF($B70="",0,IF((OV_SWITCH="ON")*(COUNTIFS(OVR_TICKERS,$C70,OVR_LOW,"&gt;=0")&gt;0)&gt;0,SUMIFS(OVR_LOW,OVR_TICKERS,$C70),$L70))</f>
        <v/>
      </c>
      <c r="N70" s="128">
        <f>IF($B70="",0,IF((OV_SWITCH="ON")*(COUNTIFS(OVR_TICKERS,$C70,OVR_HIGH,"&gt;=0")&gt;0)&gt;0,SUMIFS(OVR_HIGH,OVR_TICKERS,$C70),$L70))</f>
        <v/>
      </c>
      <c r="O70" s="133">
        <f>IF($B70="","",IFERROR($B70*$G70*$J70/$B$3,""))</f>
        <v/>
      </c>
      <c r="P70" s="133">
        <f>IF($B70="","",IFERROR($B70*$G70*$L70/$B$3,""))</f>
        <v/>
      </c>
      <c r="Q70" s="124">
        <f>IF($B70="","",IFERROR($O70+$P70,""))</f>
        <v/>
      </c>
      <c r="R70" s="133">
        <f>IF($B70="","",IFERROR($O70+$B70*$G70*$M70/$B$3,""))</f>
        <v/>
      </c>
      <c r="S70" s="133">
        <f>IF($B70="","",IFERROR($O70+$B70*$G70*$N70/$B$3,""))</f>
        <v/>
      </c>
      <c r="T70" s="150">
        <f>IF($B70="","",IFERROR($Q70/$Q$5,""))</f>
        <v/>
      </c>
      <c r="U70" s="2">
        <f>IF($B70="","",IF(COUNTIFS('Dvd Calendar'!$E$710:$AR$710,"&gt;0",'Dvd Calendar'!$E$710:$AR$710,"&lt;="&amp;VAL_DATE,'Dvd Calendar'!$E$711:$AR$711,"&gt;"&amp;PROJ_FROM,'Dvd Calendar'!$E$711:$AR$711,"&lt;="&amp;WIN_TO)-COUNTIFS('Dvd Calendar'!$E$710:$AR$710,"&gt;0",'Dvd Calendar'!$E$710:$AR$710,"&lt;="&amp;VAL_DATE,'Dvd Calendar'!$E$711:$AR$711,"&gt;"&amp;PROJ_FROM,'Dvd Calendar'!$E$711:$AR$711,"&lt;="&amp;WIN_TO,'Dvd Calendar'!$E$712:$AR$712,"&gt;=0")&gt;0,"TBA amount - override me",IF((OV_SWITCH="ON")*(COUNTIFS(OVR_TICKERS,$C70,OVR_BASE,"&gt;=0")&gt;0)&gt;0,"overridden",IF($J70+$K70=0,"no dividend in year Y",""))))</f>
        <v/>
      </c>
      <c r="V70" s="133">
        <f>IF($B70="","",IFERROR(IF(ISNUMBER($H70),$B70*$G70*$H70/$B$3,0),""))</f>
        <v/>
      </c>
      <c r="W70" s="133">
        <f>IF($B70="","",IFERROR($B70*$G70*$K70/$B$3,""))</f>
        <v/>
      </c>
      <c r="X70" s="157">
        <f>IF($C70="","",BDP($C70,"PX_LAST"))</f>
        <v/>
      </c>
      <c r="Y70" s="133">
        <f>IF($B70="","",IFERROR($B70*$X70/$B$3,""))</f>
        <v/>
      </c>
      <c r="Z70" s="137">
        <f>IF($B70="","",IFERROR($Y70/$Y$5,""))</f>
        <v/>
      </c>
    </row>
    <row r="71">
      <c r="B71" s="97" t="n"/>
      <c r="C71" s="8">
        <f>IF($A71="","",$A71&amp;" Equity")</f>
        <v/>
      </c>
      <c r="D71" s="8">
        <f>IF($C71="","",BDP($C71,"NAME"))</f>
        <v/>
      </c>
      <c r="E71" s="8">
        <f>IF($C71="","",BDP($C71,"GICS_SECTOR_NAME"))</f>
        <v/>
      </c>
      <c r="F71" s="37">
        <f>IF($C71="","",BDP($C71,FLD_CCY))</f>
        <v/>
      </c>
      <c r="G71" s="111">
        <f>IFERROR(IF(LEN($F71)&lt;&gt;3,1,IF($F71="HKD",1,BDP(IF($F71="CNY",RMB_CROSS,$F71)&amp;"HKD Curncy","PX_LAST"))),1)</f>
        <v/>
      </c>
      <c r="H71" s="133">
        <f>IF($C71="","",BDP($C71,FLD_DPS12M))</f>
        <v/>
      </c>
      <c r="I71" s="126">
        <f>IF($C71="","",BDP($C71,FLD_YLD12M))</f>
        <v/>
      </c>
      <c r="J71" s="128">
        <f>IF($B71="",0,SUMPRODUCT(('Dvd Calendar'!$E$715:$AR$715&gt;=WIN_FROM)*('Dvd Calendar'!$E$715:$AR$715&lt;=REALIZED_TO)*'Dvd Calendar'!$E$718:$AR$718*(('Dvd Calendar'!$E$720:$AR$720=TYPE1)*(TYPE1&lt;&gt;"")+('Dvd Calendar'!$E$720:$AR$720=TYPE2)*(TYPE2&lt;&gt;"")+('Dvd Calendar'!$E$720:$AR$720=TYPE3)*(TYPE3&lt;&gt;"")+('Dvd Calendar'!$E$720:$AR$720=TYPE4)*(TYPE4&lt;&gt;"")+('Dvd Calendar'!$E$720:$AR$720=SPECIAL_LBL)*(INC_SPECIALS="Y"))))</f>
        <v/>
      </c>
      <c r="K71" s="128">
        <f>IF($B71="",0,SUMIFS('Dvd Calendar'!$E$723:$AR$723,'Dvd Calendar'!$E$722:$AR$722,"&gt;"&amp;PROJ_FROM,'Dvd Calendar'!$E$722:$AR$722,"&lt;="&amp;WIN_TO)+SUMPRODUCT(('Dvd Calendar'!$E$715:$AR$715&gt;PROJ_FROM)*('Dvd Calendar'!$E$715:$AR$715&lt;=WIN_TO)*'Dvd Calendar'!$E$718:$AR$718*(('Dvd Calendar'!$E$720:$AR$720=TYPE1)*(TYPE1&lt;&gt;"")+('Dvd Calendar'!$E$720:$AR$720=TYPE2)*(TYPE2&lt;&gt;"")+('Dvd Calendar'!$E$720:$AR$720=TYPE3)*(TYPE3&lt;&gt;"")+('Dvd Calendar'!$E$720:$AR$720=TYPE4)*(TYPE4&lt;&gt;"")+('Dvd Calendar'!$E$720:$AR$720=SPECIAL_LBL)*(INC_SPECIALS="Y"))*(COUNTIF('Dvd Calendar'!$E$722:$AR$722,'Dvd Calendar'!$E$715:$AR$715)=0)))</f>
        <v/>
      </c>
      <c r="L71" s="128">
        <f>IF($B71="",0,IF((OV_SWITCH="ON")*(COUNTIFS(OVR_TICKERS,$C71,OVR_BASE,"&gt;=0")&gt;0)&gt;0,SUMIFS(OVR_BASE,OVR_TICKERS,$C71),$K71))</f>
        <v/>
      </c>
      <c r="M71" s="128">
        <f>IF($B71="",0,IF((OV_SWITCH="ON")*(COUNTIFS(OVR_TICKERS,$C71,OVR_LOW,"&gt;=0")&gt;0)&gt;0,SUMIFS(OVR_LOW,OVR_TICKERS,$C71),$L71))</f>
        <v/>
      </c>
      <c r="N71" s="128">
        <f>IF($B71="",0,IF((OV_SWITCH="ON")*(COUNTIFS(OVR_TICKERS,$C71,OVR_HIGH,"&gt;=0")&gt;0)&gt;0,SUMIFS(OVR_HIGH,OVR_TICKERS,$C71),$L71))</f>
        <v/>
      </c>
      <c r="O71" s="133">
        <f>IF($B71="","",IFERROR($B71*$G71*$J71/$B$3,""))</f>
        <v/>
      </c>
      <c r="P71" s="133">
        <f>IF($B71="","",IFERROR($B71*$G71*$L71/$B$3,""))</f>
        <v/>
      </c>
      <c r="Q71" s="124">
        <f>IF($B71="","",IFERROR($O71+$P71,""))</f>
        <v/>
      </c>
      <c r="R71" s="133">
        <f>IF($B71="","",IFERROR($O71+$B71*$G71*$M71/$B$3,""))</f>
        <v/>
      </c>
      <c r="S71" s="133">
        <f>IF($B71="","",IFERROR($O71+$B71*$G71*$N71/$B$3,""))</f>
        <v/>
      </c>
      <c r="T71" s="150">
        <f>IF($B71="","",IFERROR($Q71/$Q$5,""))</f>
        <v/>
      </c>
      <c r="U71" s="2">
        <f>IF($B71="","",IF(COUNTIFS('Dvd Calendar'!$E$721:$AR$721,"&gt;0",'Dvd Calendar'!$E$721:$AR$721,"&lt;="&amp;VAL_DATE,'Dvd Calendar'!$E$722:$AR$722,"&gt;"&amp;PROJ_FROM,'Dvd Calendar'!$E$722:$AR$722,"&lt;="&amp;WIN_TO)-COUNTIFS('Dvd Calendar'!$E$721:$AR$721,"&gt;0",'Dvd Calendar'!$E$721:$AR$721,"&lt;="&amp;VAL_DATE,'Dvd Calendar'!$E$722:$AR$722,"&gt;"&amp;PROJ_FROM,'Dvd Calendar'!$E$722:$AR$722,"&lt;="&amp;WIN_TO,'Dvd Calendar'!$E$723:$AR$723,"&gt;=0")&gt;0,"TBA amount - override me",IF((OV_SWITCH="ON")*(COUNTIFS(OVR_TICKERS,$C71,OVR_BASE,"&gt;=0")&gt;0)&gt;0,"overridden",IF($J71+$K71=0,"no dividend in year Y",""))))</f>
        <v/>
      </c>
      <c r="V71" s="133">
        <f>IF($B71="","",IFERROR(IF(ISNUMBER($H71),$B71*$G71*$H71/$B$3,0),""))</f>
        <v/>
      </c>
      <c r="W71" s="133">
        <f>IF($B71="","",IFERROR($B71*$G71*$K71/$B$3,""))</f>
        <v/>
      </c>
      <c r="X71" s="157">
        <f>IF($C71="","",BDP($C71,"PX_LAST"))</f>
        <v/>
      </c>
      <c r="Y71" s="133">
        <f>IF($B71="","",IFERROR($B71*$X71/$B$3,""))</f>
        <v/>
      </c>
      <c r="Z71" s="137">
        <f>IF($B71="","",IFERROR($Y71/$Y$5,""))</f>
        <v/>
      </c>
    </row>
    <row r="72">
      <c r="B72" s="97" t="n"/>
      <c r="C72" s="8">
        <f>IF($A72="","",$A72&amp;" Equity")</f>
        <v/>
      </c>
      <c r="D72" s="8">
        <f>IF($C72="","",BDP($C72,"NAME"))</f>
        <v/>
      </c>
      <c r="E72" s="8">
        <f>IF($C72="","",BDP($C72,"GICS_SECTOR_NAME"))</f>
        <v/>
      </c>
      <c r="F72" s="37">
        <f>IF($C72="","",BDP($C72,FLD_CCY))</f>
        <v/>
      </c>
      <c r="G72" s="111">
        <f>IFERROR(IF(LEN($F72)&lt;&gt;3,1,IF($F72="HKD",1,BDP(IF($F72="CNY",RMB_CROSS,$F72)&amp;"HKD Curncy","PX_LAST"))),1)</f>
        <v/>
      </c>
      <c r="H72" s="133">
        <f>IF($C72="","",BDP($C72,FLD_DPS12M))</f>
        <v/>
      </c>
      <c r="I72" s="126">
        <f>IF($C72="","",BDP($C72,FLD_YLD12M))</f>
        <v/>
      </c>
      <c r="J72" s="128">
        <f>IF($B72="",0,SUMPRODUCT(('Dvd Calendar'!$E$726:$AR$726&gt;=WIN_FROM)*('Dvd Calendar'!$E$726:$AR$726&lt;=REALIZED_TO)*'Dvd Calendar'!$E$729:$AR$729*(('Dvd Calendar'!$E$731:$AR$731=TYPE1)*(TYPE1&lt;&gt;"")+('Dvd Calendar'!$E$731:$AR$731=TYPE2)*(TYPE2&lt;&gt;"")+('Dvd Calendar'!$E$731:$AR$731=TYPE3)*(TYPE3&lt;&gt;"")+('Dvd Calendar'!$E$731:$AR$731=TYPE4)*(TYPE4&lt;&gt;"")+('Dvd Calendar'!$E$731:$AR$731=SPECIAL_LBL)*(INC_SPECIALS="Y"))))</f>
        <v/>
      </c>
      <c r="K72" s="128">
        <f>IF($B72="",0,SUMIFS('Dvd Calendar'!$E$734:$AR$734,'Dvd Calendar'!$E$733:$AR$733,"&gt;"&amp;PROJ_FROM,'Dvd Calendar'!$E$733:$AR$733,"&lt;="&amp;WIN_TO)+SUMPRODUCT(('Dvd Calendar'!$E$726:$AR$726&gt;PROJ_FROM)*('Dvd Calendar'!$E$726:$AR$726&lt;=WIN_TO)*'Dvd Calendar'!$E$729:$AR$729*(('Dvd Calendar'!$E$731:$AR$731=TYPE1)*(TYPE1&lt;&gt;"")+('Dvd Calendar'!$E$731:$AR$731=TYPE2)*(TYPE2&lt;&gt;"")+('Dvd Calendar'!$E$731:$AR$731=TYPE3)*(TYPE3&lt;&gt;"")+('Dvd Calendar'!$E$731:$AR$731=TYPE4)*(TYPE4&lt;&gt;"")+('Dvd Calendar'!$E$731:$AR$731=SPECIAL_LBL)*(INC_SPECIALS="Y"))*(COUNTIF('Dvd Calendar'!$E$733:$AR$733,'Dvd Calendar'!$E$726:$AR$726)=0)))</f>
        <v/>
      </c>
      <c r="L72" s="128">
        <f>IF($B72="",0,IF((OV_SWITCH="ON")*(COUNTIFS(OVR_TICKERS,$C72,OVR_BASE,"&gt;=0")&gt;0)&gt;0,SUMIFS(OVR_BASE,OVR_TICKERS,$C72),$K72))</f>
        <v/>
      </c>
      <c r="M72" s="128">
        <f>IF($B72="",0,IF((OV_SWITCH="ON")*(COUNTIFS(OVR_TICKERS,$C72,OVR_LOW,"&gt;=0")&gt;0)&gt;0,SUMIFS(OVR_LOW,OVR_TICKERS,$C72),$L72))</f>
        <v/>
      </c>
      <c r="N72" s="128">
        <f>IF($B72="",0,IF((OV_SWITCH="ON")*(COUNTIFS(OVR_TICKERS,$C72,OVR_HIGH,"&gt;=0")&gt;0)&gt;0,SUMIFS(OVR_HIGH,OVR_TICKERS,$C72),$L72))</f>
        <v/>
      </c>
      <c r="O72" s="133">
        <f>IF($B72="","",IFERROR($B72*$G72*$J72/$B$3,""))</f>
        <v/>
      </c>
      <c r="P72" s="133">
        <f>IF($B72="","",IFERROR($B72*$G72*$L72/$B$3,""))</f>
        <v/>
      </c>
      <c r="Q72" s="124">
        <f>IF($B72="","",IFERROR($O72+$P72,""))</f>
        <v/>
      </c>
      <c r="R72" s="133">
        <f>IF($B72="","",IFERROR($O72+$B72*$G72*$M72/$B$3,""))</f>
        <v/>
      </c>
      <c r="S72" s="133">
        <f>IF($B72="","",IFERROR($O72+$B72*$G72*$N72/$B$3,""))</f>
        <v/>
      </c>
      <c r="T72" s="150">
        <f>IF($B72="","",IFERROR($Q72/$Q$5,""))</f>
        <v/>
      </c>
      <c r="U72" s="2">
        <f>IF($B72="","",IF(COUNTIFS('Dvd Calendar'!$E$732:$AR$732,"&gt;0",'Dvd Calendar'!$E$732:$AR$732,"&lt;="&amp;VAL_DATE,'Dvd Calendar'!$E$733:$AR$733,"&gt;"&amp;PROJ_FROM,'Dvd Calendar'!$E$733:$AR$733,"&lt;="&amp;WIN_TO)-COUNTIFS('Dvd Calendar'!$E$732:$AR$732,"&gt;0",'Dvd Calendar'!$E$732:$AR$732,"&lt;="&amp;VAL_DATE,'Dvd Calendar'!$E$733:$AR$733,"&gt;"&amp;PROJ_FROM,'Dvd Calendar'!$E$733:$AR$733,"&lt;="&amp;WIN_TO,'Dvd Calendar'!$E$734:$AR$734,"&gt;=0")&gt;0,"TBA amount - override me",IF((OV_SWITCH="ON")*(COUNTIFS(OVR_TICKERS,$C72,OVR_BASE,"&gt;=0")&gt;0)&gt;0,"overridden",IF($J72+$K72=0,"no dividend in year Y",""))))</f>
        <v/>
      </c>
      <c r="V72" s="133">
        <f>IF($B72="","",IFERROR(IF(ISNUMBER($H72),$B72*$G72*$H72/$B$3,0),""))</f>
        <v/>
      </c>
      <c r="W72" s="133">
        <f>IF($B72="","",IFERROR($B72*$G72*$K72/$B$3,""))</f>
        <v/>
      </c>
      <c r="X72" s="157">
        <f>IF($C72="","",BDP($C72,"PX_LAST"))</f>
        <v/>
      </c>
      <c r="Y72" s="133">
        <f>IF($B72="","",IFERROR($B72*$X72/$B$3,""))</f>
        <v/>
      </c>
      <c r="Z72" s="137">
        <f>IF($B72="","",IFERROR($Y72/$Y$5,""))</f>
        <v/>
      </c>
    </row>
    <row r="73">
      <c r="B73" s="97" t="n"/>
      <c r="C73" s="8">
        <f>IF($A73="","",$A73&amp;" Equity")</f>
        <v/>
      </c>
      <c r="D73" s="8">
        <f>IF($C73="","",BDP($C73,"NAME"))</f>
        <v/>
      </c>
      <c r="E73" s="8">
        <f>IF($C73="","",BDP($C73,"GICS_SECTOR_NAME"))</f>
        <v/>
      </c>
      <c r="F73" s="37">
        <f>IF($C73="","",BDP($C73,FLD_CCY))</f>
        <v/>
      </c>
      <c r="G73" s="111">
        <f>IFERROR(IF(LEN($F73)&lt;&gt;3,1,IF($F73="HKD",1,BDP(IF($F73="CNY",RMB_CROSS,$F73)&amp;"HKD Curncy","PX_LAST"))),1)</f>
        <v/>
      </c>
      <c r="H73" s="133">
        <f>IF($C73="","",BDP($C73,FLD_DPS12M))</f>
        <v/>
      </c>
      <c r="I73" s="126">
        <f>IF($C73="","",BDP($C73,FLD_YLD12M))</f>
        <v/>
      </c>
      <c r="J73" s="128">
        <f>IF($B73="",0,SUMPRODUCT(('Dvd Calendar'!$E$737:$AR$737&gt;=WIN_FROM)*('Dvd Calendar'!$E$737:$AR$737&lt;=REALIZED_TO)*'Dvd Calendar'!$E$740:$AR$740*(('Dvd Calendar'!$E$742:$AR$742=TYPE1)*(TYPE1&lt;&gt;"")+('Dvd Calendar'!$E$742:$AR$742=TYPE2)*(TYPE2&lt;&gt;"")+('Dvd Calendar'!$E$742:$AR$742=TYPE3)*(TYPE3&lt;&gt;"")+('Dvd Calendar'!$E$742:$AR$742=TYPE4)*(TYPE4&lt;&gt;"")+('Dvd Calendar'!$E$742:$AR$742=SPECIAL_LBL)*(INC_SPECIALS="Y"))))</f>
        <v/>
      </c>
      <c r="K73" s="128">
        <f>IF($B73="",0,SUMIFS('Dvd Calendar'!$E$745:$AR$745,'Dvd Calendar'!$E$744:$AR$744,"&gt;"&amp;PROJ_FROM,'Dvd Calendar'!$E$744:$AR$744,"&lt;="&amp;WIN_TO)+SUMPRODUCT(('Dvd Calendar'!$E$737:$AR$737&gt;PROJ_FROM)*('Dvd Calendar'!$E$737:$AR$737&lt;=WIN_TO)*'Dvd Calendar'!$E$740:$AR$740*(('Dvd Calendar'!$E$742:$AR$742=TYPE1)*(TYPE1&lt;&gt;"")+('Dvd Calendar'!$E$742:$AR$742=TYPE2)*(TYPE2&lt;&gt;"")+('Dvd Calendar'!$E$742:$AR$742=TYPE3)*(TYPE3&lt;&gt;"")+('Dvd Calendar'!$E$742:$AR$742=TYPE4)*(TYPE4&lt;&gt;"")+('Dvd Calendar'!$E$742:$AR$742=SPECIAL_LBL)*(INC_SPECIALS="Y"))*(COUNTIF('Dvd Calendar'!$E$744:$AR$744,'Dvd Calendar'!$E$737:$AR$737)=0)))</f>
        <v/>
      </c>
      <c r="L73" s="128">
        <f>IF($B73="",0,IF((OV_SWITCH="ON")*(COUNTIFS(OVR_TICKERS,$C73,OVR_BASE,"&gt;=0")&gt;0)&gt;0,SUMIFS(OVR_BASE,OVR_TICKERS,$C73),$K73))</f>
        <v/>
      </c>
      <c r="M73" s="128">
        <f>IF($B73="",0,IF((OV_SWITCH="ON")*(COUNTIFS(OVR_TICKERS,$C73,OVR_LOW,"&gt;=0")&gt;0)&gt;0,SUMIFS(OVR_LOW,OVR_TICKERS,$C73),$L73))</f>
        <v/>
      </c>
      <c r="N73" s="128">
        <f>IF($B73="",0,IF((OV_SWITCH="ON")*(COUNTIFS(OVR_TICKERS,$C73,OVR_HIGH,"&gt;=0")&gt;0)&gt;0,SUMIFS(OVR_HIGH,OVR_TICKERS,$C73),$L73))</f>
        <v/>
      </c>
      <c r="O73" s="133">
        <f>IF($B73="","",IFERROR($B73*$G73*$J73/$B$3,""))</f>
        <v/>
      </c>
      <c r="P73" s="133">
        <f>IF($B73="","",IFERROR($B73*$G73*$L73/$B$3,""))</f>
        <v/>
      </c>
      <c r="Q73" s="124">
        <f>IF($B73="","",IFERROR($O73+$P73,""))</f>
        <v/>
      </c>
      <c r="R73" s="133">
        <f>IF($B73="","",IFERROR($O73+$B73*$G73*$M73/$B$3,""))</f>
        <v/>
      </c>
      <c r="S73" s="133">
        <f>IF($B73="","",IFERROR($O73+$B73*$G73*$N73/$B$3,""))</f>
        <v/>
      </c>
      <c r="T73" s="150">
        <f>IF($B73="","",IFERROR($Q73/$Q$5,""))</f>
        <v/>
      </c>
      <c r="U73" s="2">
        <f>IF($B73="","",IF(COUNTIFS('Dvd Calendar'!$E$743:$AR$743,"&gt;0",'Dvd Calendar'!$E$743:$AR$743,"&lt;="&amp;VAL_DATE,'Dvd Calendar'!$E$744:$AR$744,"&gt;"&amp;PROJ_FROM,'Dvd Calendar'!$E$744:$AR$744,"&lt;="&amp;WIN_TO)-COUNTIFS('Dvd Calendar'!$E$743:$AR$743,"&gt;0",'Dvd Calendar'!$E$743:$AR$743,"&lt;="&amp;VAL_DATE,'Dvd Calendar'!$E$744:$AR$744,"&gt;"&amp;PROJ_FROM,'Dvd Calendar'!$E$744:$AR$744,"&lt;="&amp;WIN_TO,'Dvd Calendar'!$E$745:$AR$745,"&gt;=0")&gt;0,"TBA amount - override me",IF((OV_SWITCH="ON")*(COUNTIFS(OVR_TICKERS,$C73,OVR_BASE,"&gt;=0")&gt;0)&gt;0,"overridden",IF($J73+$K73=0,"no dividend in year Y",""))))</f>
        <v/>
      </c>
      <c r="V73" s="133">
        <f>IF($B73="","",IFERROR(IF(ISNUMBER($H73),$B73*$G73*$H73/$B$3,0),""))</f>
        <v/>
      </c>
      <c r="W73" s="133">
        <f>IF($B73="","",IFERROR($B73*$G73*$K73/$B$3,""))</f>
        <v/>
      </c>
      <c r="X73" s="157">
        <f>IF($C73="","",BDP($C73,"PX_LAST"))</f>
        <v/>
      </c>
      <c r="Y73" s="133">
        <f>IF($B73="","",IFERROR($B73*$X73/$B$3,""))</f>
        <v/>
      </c>
      <c r="Z73" s="137">
        <f>IF($B73="","",IFERROR($Y73/$Y$5,""))</f>
        <v/>
      </c>
    </row>
    <row r="74">
      <c r="B74" s="97" t="n"/>
      <c r="C74" s="8">
        <f>IF($A74="","",$A74&amp;" Equity")</f>
        <v/>
      </c>
      <c r="D74" s="8">
        <f>IF($C74="","",BDP($C74,"NAME"))</f>
        <v/>
      </c>
      <c r="E74" s="8">
        <f>IF($C74="","",BDP($C74,"GICS_SECTOR_NAME"))</f>
        <v/>
      </c>
      <c r="F74" s="37">
        <f>IF($C74="","",BDP($C74,FLD_CCY))</f>
        <v/>
      </c>
      <c r="G74" s="111">
        <f>IFERROR(IF(LEN($F74)&lt;&gt;3,1,IF($F74="HKD",1,BDP(IF($F74="CNY",RMB_CROSS,$F74)&amp;"HKD Curncy","PX_LAST"))),1)</f>
        <v/>
      </c>
      <c r="H74" s="133">
        <f>IF($C74="","",BDP($C74,FLD_DPS12M))</f>
        <v/>
      </c>
      <c r="I74" s="126">
        <f>IF($C74="","",BDP($C74,FLD_YLD12M))</f>
        <v/>
      </c>
      <c r="J74" s="128">
        <f>IF($B74="",0,SUMPRODUCT(('Dvd Calendar'!$E$748:$AR$748&gt;=WIN_FROM)*('Dvd Calendar'!$E$748:$AR$748&lt;=REALIZED_TO)*'Dvd Calendar'!$E$751:$AR$751*(('Dvd Calendar'!$E$753:$AR$753=TYPE1)*(TYPE1&lt;&gt;"")+('Dvd Calendar'!$E$753:$AR$753=TYPE2)*(TYPE2&lt;&gt;"")+('Dvd Calendar'!$E$753:$AR$753=TYPE3)*(TYPE3&lt;&gt;"")+('Dvd Calendar'!$E$753:$AR$753=TYPE4)*(TYPE4&lt;&gt;"")+('Dvd Calendar'!$E$753:$AR$753=SPECIAL_LBL)*(INC_SPECIALS="Y"))))</f>
        <v/>
      </c>
      <c r="K74" s="128">
        <f>IF($B74="",0,SUMIFS('Dvd Calendar'!$E$756:$AR$756,'Dvd Calendar'!$E$755:$AR$755,"&gt;"&amp;PROJ_FROM,'Dvd Calendar'!$E$755:$AR$755,"&lt;="&amp;WIN_TO)+SUMPRODUCT(('Dvd Calendar'!$E$748:$AR$748&gt;PROJ_FROM)*('Dvd Calendar'!$E$748:$AR$748&lt;=WIN_TO)*'Dvd Calendar'!$E$751:$AR$751*(('Dvd Calendar'!$E$753:$AR$753=TYPE1)*(TYPE1&lt;&gt;"")+('Dvd Calendar'!$E$753:$AR$753=TYPE2)*(TYPE2&lt;&gt;"")+('Dvd Calendar'!$E$753:$AR$753=TYPE3)*(TYPE3&lt;&gt;"")+('Dvd Calendar'!$E$753:$AR$753=TYPE4)*(TYPE4&lt;&gt;"")+('Dvd Calendar'!$E$753:$AR$753=SPECIAL_LBL)*(INC_SPECIALS="Y"))*(COUNTIF('Dvd Calendar'!$E$755:$AR$755,'Dvd Calendar'!$E$748:$AR$748)=0)))</f>
        <v/>
      </c>
      <c r="L74" s="128">
        <f>IF($B74="",0,IF((OV_SWITCH="ON")*(COUNTIFS(OVR_TICKERS,$C74,OVR_BASE,"&gt;=0")&gt;0)&gt;0,SUMIFS(OVR_BASE,OVR_TICKERS,$C74),$K74))</f>
        <v/>
      </c>
      <c r="M74" s="128">
        <f>IF($B74="",0,IF((OV_SWITCH="ON")*(COUNTIFS(OVR_TICKERS,$C74,OVR_LOW,"&gt;=0")&gt;0)&gt;0,SUMIFS(OVR_LOW,OVR_TICKERS,$C74),$L74))</f>
        <v/>
      </c>
      <c r="N74" s="128">
        <f>IF($B74="",0,IF((OV_SWITCH="ON")*(COUNTIFS(OVR_TICKERS,$C74,OVR_HIGH,"&gt;=0")&gt;0)&gt;0,SUMIFS(OVR_HIGH,OVR_TICKERS,$C74),$L74))</f>
        <v/>
      </c>
      <c r="O74" s="133">
        <f>IF($B74="","",IFERROR($B74*$G74*$J74/$B$3,""))</f>
        <v/>
      </c>
      <c r="P74" s="133">
        <f>IF($B74="","",IFERROR($B74*$G74*$L74/$B$3,""))</f>
        <v/>
      </c>
      <c r="Q74" s="124">
        <f>IF($B74="","",IFERROR($O74+$P74,""))</f>
        <v/>
      </c>
      <c r="R74" s="133">
        <f>IF($B74="","",IFERROR($O74+$B74*$G74*$M74/$B$3,""))</f>
        <v/>
      </c>
      <c r="S74" s="133">
        <f>IF($B74="","",IFERROR($O74+$B74*$G74*$N74/$B$3,""))</f>
        <v/>
      </c>
      <c r="T74" s="150">
        <f>IF($B74="","",IFERROR($Q74/$Q$5,""))</f>
        <v/>
      </c>
      <c r="U74" s="2">
        <f>IF($B74="","",IF(COUNTIFS('Dvd Calendar'!$E$754:$AR$754,"&gt;0",'Dvd Calendar'!$E$754:$AR$754,"&lt;="&amp;VAL_DATE,'Dvd Calendar'!$E$755:$AR$755,"&gt;"&amp;PROJ_FROM,'Dvd Calendar'!$E$755:$AR$755,"&lt;="&amp;WIN_TO)-COUNTIFS('Dvd Calendar'!$E$754:$AR$754,"&gt;0",'Dvd Calendar'!$E$754:$AR$754,"&lt;="&amp;VAL_DATE,'Dvd Calendar'!$E$755:$AR$755,"&gt;"&amp;PROJ_FROM,'Dvd Calendar'!$E$755:$AR$755,"&lt;="&amp;WIN_TO,'Dvd Calendar'!$E$756:$AR$756,"&gt;=0")&gt;0,"TBA amount - override me",IF((OV_SWITCH="ON")*(COUNTIFS(OVR_TICKERS,$C74,OVR_BASE,"&gt;=0")&gt;0)&gt;0,"overridden",IF($J74+$K74=0,"no dividend in year Y",""))))</f>
        <v/>
      </c>
      <c r="V74" s="133">
        <f>IF($B74="","",IFERROR(IF(ISNUMBER($H74),$B74*$G74*$H74/$B$3,0),""))</f>
        <v/>
      </c>
      <c r="W74" s="133">
        <f>IF($B74="","",IFERROR($B74*$G74*$K74/$B$3,""))</f>
        <v/>
      </c>
      <c r="X74" s="157">
        <f>IF($C74="","",BDP($C74,"PX_LAST"))</f>
        <v/>
      </c>
      <c r="Y74" s="133">
        <f>IF($B74="","",IFERROR($B74*$X74/$B$3,""))</f>
        <v/>
      </c>
      <c r="Z74" s="137">
        <f>IF($B74="","",IFERROR($Y74/$Y$5,""))</f>
        <v/>
      </c>
    </row>
    <row r="75">
      <c r="B75" s="97" t="n"/>
      <c r="C75" s="8">
        <f>IF($A75="","",$A75&amp;" Equity")</f>
        <v/>
      </c>
      <c r="D75" s="8">
        <f>IF($C75="","",BDP($C75,"NAME"))</f>
        <v/>
      </c>
      <c r="E75" s="8">
        <f>IF($C75="","",BDP($C75,"GICS_SECTOR_NAME"))</f>
        <v/>
      </c>
      <c r="F75" s="37">
        <f>IF($C75="","",BDP($C75,FLD_CCY))</f>
        <v/>
      </c>
      <c r="G75" s="111">
        <f>IFERROR(IF(LEN($F75)&lt;&gt;3,1,IF($F75="HKD",1,BDP(IF($F75="CNY",RMB_CROSS,$F75)&amp;"HKD Curncy","PX_LAST"))),1)</f>
        <v/>
      </c>
      <c r="H75" s="133">
        <f>IF($C75="","",BDP($C75,FLD_DPS12M))</f>
        <v/>
      </c>
      <c r="I75" s="126">
        <f>IF($C75="","",BDP($C75,FLD_YLD12M))</f>
        <v/>
      </c>
      <c r="J75" s="128">
        <f>IF($B75="",0,SUMPRODUCT(('Dvd Calendar'!$E$759:$AR$759&gt;=WIN_FROM)*('Dvd Calendar'!$E$759:$AR$759&lt;=REALIZED_TO)*'Dvd Calendar'!$E$762:$AR$762*(('Dvd Calendar'!$E$764:$AR$764=TYPE1)*(TYPE1&lt;&gt;"")+('Dvd Calendar'!$E$764:$AR$764=TYPE2)*(TYPE2&lt;&gt;"")+('Dvd Calendar'!$E$764:$AR$764=TYPE3)*(TYPE3&lt;&gt;"")+('Dvd Calendar'!$E$764:$AR$764=TYPE4)*(TYPE4&lt;&gt;"")+('Dvd Calendar'!$E$764:$AR$764=SPECIAL_LBL)*(INC_SPECIALS="Y"))))</f>
        <v/>
      </c>
      <c r="K75" s="128">
        <f>IF($B75="",0,SUMIFS('Dvd Calendar'!$E$767:$AR$767,'Dvd Calendar'!$E$766:$AR$766,"&gt;"&amp;PROJ_FROM,'Dvd Calendar'!$E$766:$AR$766,"&lt;="&amp;WIN_TO)+SUMPRODUCT(('Dvd Calendar'!$E$759:$AR$759&gt;PROJ_FROM)*('Dvd Calendar'!$E$759:$AR$759&lt;=WIN_TO)*'Dvd Calendar'!$E$762:$AR$762*(('Dvd Calendar'!$E$764:$AR$764=TYPE1)*(TYPE1&lt;&gt;"")+('Dvd Calendar'!$E$764:$AR$764=TYPE2)*(TYPE2&lt;&gt;"")+('Dvd Calendar'!$E$764:$AR$764=TYPE3)*(TYPE3&lt;&gt;"")+('Dvd Calendar'!$E$764:$AR$764=TYPE4)*(TYPE4&lt;&gt;"")+('Dvd Calendar'!$E$764:$AR$764=SPECIAL_LBL)*(INC_SPECIALS="Y"))*(COUNTIF('Dvd Calendar'!$E$766:$AR$766,'Dvd Calendar'!$E$759:$AR$759)=0)))</f>
        <v/>
      </c>
      <c r="L75" s="128">
        <f>IF($B75="",0,IF((OV_SWITCH="ON")*(COUNTIFS(OVR_TICKERS,$C75,OVR_BASE,"&gt;=0")&gt;0)&gt;0,SUMIFS(OVR_BASE,OVR_TICKERS,$C75),$K75))</f>
        <v/>
      </c>
      <c r="M75" s="128">
        <f>IF($B75="",0,IF((OV_SWITCH="ON")*(COUNTIFS(OVR_TICKERS,$C75,OVR_LOW,"&gt;=0")&gt;0)&gt;0,SUMIFS(OVR_LOW,OVR_TICKERS,$C75),$L75))</f>
        <v/>
      </c>
      <c r="N75" s="128">
        <f>IF($B75="",0,IF((OV_SWITCH="ON")*(COUNTIFS(OVR_TICKERS,$C75,OVR_HIGH,"&gt;=0")&gt;0)&gt;0,SUMIFS(OVR_HIGH,OVR_TICKERS,$C75),$L75))</f>
        <v/>
      </c>
      <c r="O75" s="133">
        <f>IF($B75="","",IFERROR($B75*$G75*$J75/$B$3,""))</f>
        <v/>
      </c>
      <c r="P75" s="133">
        <f>IF($B75="","",IFERROR($B75*$G75*$L75/$B$3,""))</f>
        <v/>
      </c>
      <c r="Q75" s="124">
        <f>IF($B75="","",IFERROR($O75+$P75,""))</f>
        <v/>
      </c>
      <c r="R75" s="133">
        <f>IF($B75="","",IFERROR($O75+$B75*$G75*$M75/$B$3,""))</f>
        <v/>
      </c>
      <c r="S75" s="133">
        <f>IF($B75="","",IFERROR($O75+$B75*$G75*$N75/$B$3,""))</f>
        <v/>
      </c>
      <c r="T75" s="150">
        <f>IF($B75="","",IFERROR($Q75/$Q$5,""))</f>
        <v/>
      </c>
      <c r="U75" s="2">
        <f>IF($B75="","",IF(COUNTIFS('Dvd Calendar'!$E$765:$AR$765,"&gt;0",'Dvd Calendar'!$E$765:$AR$765,"&lt;="&amp;VAL_DATE,'Dvd Calendar'!$E$766:$AR$766,"&gt;"&amp;PROJ_FROM,'Dvd Calendar'!$E$766:$AR$766,"&lt;="&amp;WIN_TO)-COUNTIFS('Dvd Calendar'!$E$765:$AR$765,"&gt;0",'Dvd Calendar'!$E$765:$AR$765,"&lt;="&amp;VAL_DATE,'Dvd Calendar'!$E$766:$AR$766,"&gt;"&amp;PROJ_FROM,'Dvd Calendar'!$E$766:$AR$766,"&lt;="&amp;WIN_TO,'Dvd Calendar'!$E$767:$AR$767,"&gt;=0")&gt;0,"TBA amount - override me",IF((OV_SWITCH="ON")*(COUNTIFS(OVR_TICKERS,$C75,OVR_BASE,"&gt;=0")&gt;0)&gt;0,"overridden",IF($J75+$K75=0,"no dividend in year Y",""))))</f>
        <v/>
      </c>
      <c r="V75" s="133">
        <f>IF($B75="","",IFERROR(IF(ISNUMBER($H75),$B75*$G75*$H75/$B$3,0),""))</f>
        <v/>
      </c>
      <c r="W75" s="133">
        <f>IF($B75="","",IFERROR($B75*$G75*$K75/$B$3,""))</f>
        <v/>
      </c>
      <c r="X75" s="157">
        <f>IF($C75="","",BDP($C75,"PX_LAST"))</f>
        <v/>
      </c>
      <c r="Y75" s="133">
        <f>IF($B75="","",IFERROR($B75*$X75/$B$3,""))</f>
        <v/>
      </c>
      <c r="Z75" s="137">
        <f>IF($B75="","",IFERROR($Y75/$Y$5,""))</f>
        <v/>
      </c>
    </row>
    <row r="76">
      <c r="B76" s="97" t="n"/>
      <c r="C76" s="8">
        <f>IF($A76="","",$A76&amp;" Equity")</f>
        <v/>
      </c>
      <c r="D76" s="8">
        <f>IF($C76="","",BDP($C76,"NAME"))</f>
        <v/>
      </c>
      <c r="E76" s="8">
        <f>IF($C76="","",BDP($C76,"GICS_SECTOR_NAME"))</f>
        <v/>
      </c>
      <c r="F76" s="37">
        <f>IF($C76="","",BDP($C76,FLD_CCY))</f>
        <v/>
      </c>
      <c r="G76" s="111">
        <f>IFERROR(IF(LEN($F76)&lt;&gt;3,1,IF($F76="HKD",1,BDP(IF($F76="CNY",RMB_CROSS,$F76)&amp;"HKD Curncy","PX_LAST"))),1)</f>
        <v/>
      </c>
      <c r="H76" s="133">
        <f>IF($C76="","",BDP($C76,FLD_DPS12M))</f>
        <v/>
      </c>
      <c r="I76" s="126">
        <f>IF($C76="","",BDP($C76,FLD_YLD12M))</f>
        <v/>
      </c>
      <c r="J76" s="128">
        <f>IF($B76="",0,SUMPRODUCT(('Dvd Calendar'!$E$770:$AR$770&gt;=WIN_FROM)*('Dvd Calendar'!$E$770:$AR$770&lt;=REALIZED_TO)*'Dvd Calendar'!$E$773:$AR$773*(('Dvd Calendar'!$E$775:$AR$775=TYPE1)*(TYPE1&lt;&gt;"")+('Dvd Calendar'!$E$775:$AR$775=TYPE2)*(TYPE2&lt;&gt;"")+('Dvd Calendar'!$E$775:$AR$775=TYPE3)*(TYPE3&lt;&gt;"")+('Dvd Calendar'!$E$775:$AR$775=TYPE4)*(TYPE4&lt;&gt;"")+('Dvd Calendar'!$E$775:$AR$775=SPECIAL_LBL)*(INC_SPECIALS="Y"))))</f>
        <v/>
      </c>
      <c r="K76" s="128">
        <f>IF($B76="",0,SUMIFS('Dvd Calendar'!$E$778:$AR$778,'Dvd Calendar'!$E$777:$AR$777,"&gt;"&amp;PROJ_FROM,'Dvd Calendar'!$E$777:$AR$777,"&lt;="&amp;WIN_TO)+SUMPRODUCT(('Dvd Calendar'!$E$770:$AR$770&gt;PROJ_FROM)*('Dvd Calendar'!$E$770:$AR$770&lt;=WIN_TO)*'Dvd Calendar'!$E$773:$AR$773*(('Dvd Calendar'!$E$775:$AR$775=TYPE1)*(TYPE1&lt;&gt;"")+('Dvd Calendar'!$E$775:$AR$775=TYPE2)*(TYPE2&lt;&gt;"")+('Dvd Calendar'!$E$775:$AR$775=TYPE3)*(TYPE3&lt;&gt;"")+('Dvd Calendar'!$E$775:$AR$775=TYPE4)*(TYPE4&lt;&gt;"")+('Dvd Calendar'!$E$775:$AR$775=SPECIAL_LBL)*(INC_SPECIALS="Y"))*(COUNTIF('Dvd Calendar'!$E$777:$AR$777,'Dvd Calendar'!$E$770:$AR$770)=0)))</f>
        <v/>
      </c>
      <c r="L76" s="128">
        <f>IF($B76="",0,IF((OV_SWITCH="ON")*(COUNTIFS(OVR_TICKERS,$C76,OVR_BASE,"&gt;=0")&gt;0)&gt;0,SUMIFS(OVR_BASE,OVR_TICKERS,$C76),$K76))</f>
        <v/>
      </c>
      <c r="M76" s="128">
        <f>IF($B76="",0,IF((OV_SWITCH="ON")*(COUNTIFS(OVR_TICKERS,$C76,OVR_LOW,"&gt;=0")&gt;0)&gt;0,SUMIFS(OVR_LOW,OVR_TICKERS,$C76),$L76))</f>
        <v/>
      </c>
      <c r="N76" s="128">
        <f>IF($B76="",0,IF((OV_SWITCH="ON")*(COUNTIFS(OVR_TICKERS,$C76,OVR_HIGH,"&gt;=0")&gt;0)&gt;0,SUMIFS(OVR_HIGH,OVR_TICKERS,$C76),$L76))</f>
        <v/>
      </c>
      <c r="O76" s="133">
        <f>IF($B76="","",IFERROR($B76*$G76*$J76/$B$3,""))</f>
        <v/>
      </c>
      <c r="P76" s="133">
        <f>IF($B76="","",IFERROR($B76*$G76*$L76/$B$3,""))</f>
        <v/>
      </c>
      <c r="Q76" s="124">
        <f>IF($B76="","",IFERROR($O76+$P76,""))</f>
        <v/>
      </c>
      <c r="R76" s="133">
        <f>IF($B76="","",IFERROR($O76+$B76*$G76*$M76/$B$3,""))</f>
        <v/>
      </c>
      <c r="S76" s="133">
        <f>IF($B76="","",IFERROR($O76+$B76*$G76*$N76/$B$3,""))</f>
        <v/>
      </c>
      <c r="T76" s="150">
        <f>IF($B76="","",IFERROR($Q76/$Q$5,""))</f>
        <v/>
      </c>
      <c r="U76" s="2">
        <f>IF($B76="","",IF(COUNTIFS('Dvd Calendar'!$E$776:$AR$776,"&gt;0",'Dvd Calendar'!$E$776:$AR$776,"&lt;="&amp;VAL_DATE,'Dvd Calendar'!$E$777:$AR$777,"&gt;"&amp;PROJ_FROM,'Dvd Calendar'!$E$777:$AR$777,"&lt;="&amp;WIN_TO)-COUNTIFS('Dvd Calendar'!$E$776:$AR$776,"&gt;0",'Dvd Calendar'!$E$776:$AR$776,"&lt;="&amp;VAL_DATE,'Dvd Calendar'!$E$777:$AR$777,"&gt;"&amp;PROJ_FROM,'Dvd Calendar'!$E$777:$AR$777,"&lt;="&amp;WIN_TO,'Dvd Calendar'!$E$778:$AR$778,"&gt;=0")&gt;0,"TBA amount - override me",IF((OV_SWITCH="ON")*(COUNTIFS(OVR_TICKERS,$C76,OVR_BASE,"&gt;=0")&gt;0)&gt;0,"overridden",IF($J76+$K76=0,"no dividend in year Y",""))))</f>
        <v/>
      </c>
      <c r="V76" s="133">
        <f>IF($B76="","",IFERROR(IF(ISNUMBER($H76),$B76*$G76*$H76/$B$3,0),""))</f>
        <v/>
      </c>
      <c r="W76" s="133">
        <f>IF($B76="","",IFERROR($B76*$G76*$K76/$B$3,""))</f>
        <v/>
      </c>
      <c r="X76" s="157">
        <f>IF($C76="","",BDP($C76,"PX_LAST"))</f>
        <v/>
      </c>
      <c r="Y76" s="133">
        <f>IF($B76="","",IFERROR($B76*$X76/$B$3,""))</f>
        <v/>
      </c>
      <c r="Z76" s="137">
        <f>IF($B76="","",IFERROR($Y76/$Y$5,""))</f>
        <v/>
      </c>
    </row>
    <row r="77">
      <c r="B77" s="97" t="n"/>
      <c r="C77" s="8">
        <f>IF($A77="","",$A77&amp;" Equity")</f>
        <v/>
      </c>
      <c r="D77" s="8">
        <f>IF($C77="","",BDP($C77,"NAME"))</f>
        <v/>
      </c>
      <c r="E77" s="8">
        <f>IF($C77="","",BDP($C77,"GICS_SECTOR_NAME"))</f>
        <v/>
      </c>
      <c r="F77" s="37">
        <f>IF($C77="","",BDP($C77,FLD_CCY))</f>
        <v/>
      </c>
      <c r="G77" s="111">
        <f>IFERROR(IF(LEN($F77)&lt;&gt;3,1,IF($F77="HKD",1,BDP(IF($F77="CNY",RMB_CROSS,$F77)&amp;"HKD Curncy","PX_LAST"))),1)</f>
        <v/>
      </c>
      <c r="H77" s="133">
        <f>IF($C77="","",BDP($C77,FLD_DPS12M))</f>
        <v/>
      </c>
      <c r="I77" s="126">
        <f>IF($C77="","",BDP($C77,FLD_YLD12M))</f>
        <v/>
      </c>
      <c r="J77" s="128">
        <f>IF($B77="",0,SUMPRODUCT(('Dvd Calendar'!$E$781:$AR$781&gt;=WIN_FROM)*('Dvd Calendar'!$E$781:$AR$781&lt;=REALIZED_TO)*'Dvd Calendar'!$E$784:$AR$784*(('Dvd Calendar'!$E$786:$AR$786=TYPE1)*(TYPE1&lt;&gt;"")+('Dvd Calendar'!$E$786:$AR$786=TYPE2)*(TYPE2&lt;&gt;"")+('Dvd Calendar'!$E$786:$AR$786=TYPE3)*(TYPE3&lt;&gt;"")+('Dvd Calendar'!$E$786:$AR$786=TYPE4)*(TYPE4&lt;&gt;"")+('Dvd Calendar'!$E$786:$AR$786=SPECIAL_LBL)*(INC_SPECIALS="Y"))))</f>
        <v/>
      </c>
      <c r="K77" s="128">
        <f>IF($B77="",0,SUMIFS('Dvd Calendar'!$E$789:$AR$789,'Dvd Calendar'!$E$788:$AR$788,"&gt;"&amp;PROJ_FROM,'Dvd Calendar'!$E$788:$AR$788,"&lt;="&amp;WIN_TO)+SUMPRODUCT(('Dvd Calendar'!$E$781:$AR$781&gt;PROJ_FROM)*('Dvd Calendar'!$E$781:$AR$781&lt;=WIN_TO)*'Dvd Calendar'!$E$784:$AR$784*(('Dvd Calendar'!$E$786:$AR$786=TYPE1)*(TYPE1&lt;&gt;"")+('Dvd Calendar'!$E$786:$AR$786=TYPE2)*(TYPE2&lt;&gt;"")+('Dvd Calendar'!$E$786:$AR$786=TYPE3)*(TYPE3&lt;&gt;"")+('Dvd Calendar'!$E$786:$AR$786=TYPE4)*(TYPE4&lt;&gt;"")+('Dvd Calendar'!$E$786:$AR$786=SPECIAL_LBL)*(INC_SPECIALS="Y"))*(COUNTIF('Dvd Calendar'!$E$788:$AR$788,'Dvd Calendar'!$E$781:$AR$781)=0)))</f>
        <v/>
      </c>
      <c r="L77" s="128">
        <f>IF($B77="",0,IF((OV_SWITCH="ON")*(COUNTIFS(OVR_TICKERS,$C77,OVR_BASE,"&gt;=0")&gt;0)&gt;0,SUMIFS(OVR_BASE,OVR_TICKERS,$C77),$K77))</f>
        <v/>
      </c>
      <c r="M77" s="128">
        <f>IF($B77="",0,IF((OV_SWITCH="ON")*(COUNTIFS(OVR_TICKERS,$C77,OVR_LOW,"&gt;=0")&gt;0)&gt;0,SUMIFS(OVR_LOW,OVR_TICKERS,$C77),$L77))</f>
        <v/>
      </c>
      <c r="N77" s="128">
        <f>IF($B77="",0,IF((OV_SWITCH="ON")*(COUNTIFS(OVR_TICKERS,$C77,OVR_HIGH,"&gt;=0")&gt;0)&gt;0,SUMIFS(OVR_HIGH,OVR_TICKERS,$C77),$L77))</f>
        <v/>
      </c>
      <c r="O77" s="133">
        <f>IF($B77="","",IFERROR($B77*$G77*$J77/$B$3,""))</f>
        <v/>
      </c>
      <c r="P77" s="133">
        <f>IF($B77="","",IFERROR($B77*$G77*$L77/$B$3,""))</f>
        <v/>
      </c>
      <c r="Q77" s="124">
        <f>IF($B77="","",IFERROR($O77+$P77,""))</f>
        <v/>
      </c>
      <c r="R77" s="133">
        <f>IF($B77="","",IFERROR($O77+$B77*$G77*$M77/$B$3,""))</f>
        <v/>
      </c>
      <c r="S77" s="133">
        <f>IF($B77="","",IFERROR($O77+$B77*$G77*$N77/$B$3,""))</f>
        <v/>
      </c>
      <c r="T77" s="150">
        <f>IF($B77="","",IFERROR($Q77/$Q$5,""))</f>
        <v/>
      </c>
      <c r="U77" s="2">
        <f>IF($B77="","",IF(COUNTIFS('Dvd Calendar'!$E$787:$AR$787,"&gt;0",'Dvd Calendar'!$E$787:$AR$787,"&lt;="&amp;VAL_DATE,'Dvd Calendar'!$E$788:$AR$788,"&gt;"&amp;PROJ_FROM,'Dvd Calendar'!$E$788:$AR$788,"&lt;="&amp;WIN_TO)-COUNTIFS('Dvd Calendar'!$E$787:$AR$787,"&gt;0",'Dvd Calendar'!$E$787:$AR$787,"&lt;="&amp;VAL_DATE,'Dvd Calendar'!$E$788:$AR$788,"&gt;"&amp;PROJ_FROM,'Dvd Calendar'!$E$788:$AR$788,"&lt;="&amp;WIN_TO,'Dvd Calendar'!$E$789:$AR$789,"&gt;=0")&gt;0,"TBA amount - override me",IF((OV_SWITCH="ON")*(COUNTIFS(OVR_TICKERS,$C77,OVR_BASE,"&gt;=0")&gt;0)&gt;0,"overridden",IF($J77+$K77=0,"no dividend in year Y",""))))</f>
        <v/>
      </c>
      <c r="V77" s="133">
        <f>IF($B77="","",IFERROR(IF(ISNUMBER($H77),$B77*$G77*$H77/$B$3,0),""))</f>
        <v/>
      </c>
      <c r="W77" s="133">
        <f>IF($B77="","",IFERROR($B77*$G77*$K77/$B$3,""))</f>
        <v/>
      </c>
      <c r="X77" s="157">
        <f>IF($C77="","",BDP($C77,"PX_LAST"))</f>
        <v/>
      </c>
      <c r="Y77" s="133">
        <f>IF($B77="","",IFERROR($B77*$X77/$B$3,""))</f>
        <v/>
      </c>
      <c r="Z77" s="137">
        <f>IF($B77="","",IFERROR($Y77/$Y$5,""))</f>
        <v/>
      </c>
    </row>
    <row r="78">
      <c r="B78" s="97" t="n"/>
      <c r="C78" s="8">
        <f>IF($A78="","",$A78&amp;" Equity")</f>
        <v/>
      </c>
      <c r="D78" s="8">
        <f>IF($C78="","",BDP($C78,"NAME"))</f>
        <v/>
      </c>
      <c r="E78" s="8">
        <f>IF($C78="","",BDP($C78,"GICS_SECTOR_NAME"))</f>
        <v/>
      </c>
      <c r="F78" s="37">
        <f>IF($C78="","",BDP($C78,FLD_CCY))</f>
        <v/>
      </c>
      <c r="G78" s="111">
        <f>IFERROR(IF(LEN($F78)&lt;&gt;3,1,IF($F78="HKD",1,BDP(IF($F78="CNY",RMB_CROSS,$F78)&amp;"HKD Curncy","PX_LAST"))),1)</f>
        <v/>
      </c>
      <c r="H78" s="133">
        <f>IF($C78="","",BDP($C78,FLD_DPS12M))</f>
        <v/>
      </c>
      <c r="I78" s="126">
        <f>IF($C78="","",BDP($C78,FLD_YLD12M))</f>
        <v/>
      </c>
      <c r="J78" s="128">
        <f>IF($B78="",0,SUMPRODUCT(('Dvd Calendar'!$E$792:$AR$792&gt;=WIN_FROM)*('Dvd Calendar'!$E$792:$AR$792&lt;=REALIZED_TO)*'Dvd Calendar'!$E$795:$AR$795*(('Dvd Calendar'!$E$797:$AR$797=TYPE1)*(TYPE1&lt;&gt;"")+('Dvd Calendar'!$E$797:$AR$797=TYPE2)*(TYPE2&lt;&gt;"")+('Dvd Calendar'!$E$797:$AR$797=TYPE3)*(TYPE3&lt;&gt;"")+('Dvd Calendar'!$E$797:$AR$797=TYPE4)*(TYPE4&lt;&gt;"")+('Dvd Calendar'!$E$797:$AR$797=SPECIAL_LBL)*(INC_SPECIALS="Y"))))</f>
        <v/>
      </c>
      <c r="K78" s="128">
        <f>IF($B78="",0,SUMIFS('Dvd Calendar'!$E$800:$AR$800,'Dvd Calendar'!$E$799:$AR$799,"&gt;"&amp;PROJ_FROM,'Dvd Calendar'!$E$799:$AR$799,"&lt;="&amp;WIN_TO)+SUMPRODUCT(('Dvd Calendar'!$E$792:$AR$792&gt;PROJ_FROM)*('Dvd Calendar'!$E$792:$AR$792&lt;=WIN_TO)*'Dvd Calendar'!$E$795:$AR$795*(('Dvd Calendar'!$E$797:$AR$797=TYPE1)*(TYPE1&lt;&gt;"")+('Dvd Calendar'!$E$797:$AR$797=TYPE2)*(TYPE2&lt;&gt;"")+('Dvd Calendar'!$E$797:$AR$797=TYPE3)*(TYPE3&lt;&gt;"")+('Dvd Calendar'!$E$797:$AR$797=TYPE4)*(TYPE4&lt;&gt;"")+('Dvd Calendar'!$E$797:$AR$797=SPECIAL_LBL)*(INC_SPECIALS="Y"))*(COUNTIF('Dvd Calendar'!$E$799:$AR$799,'Dvd Calendar'!$E$792:$AR$792)=0)))</f>
        <v/>
      </c>
      <c r="L78" s="128">
        <f>IF($B78="",0,IF((OV_SWITCH="ON")*(COUNTIFS(OVR_TICKERS,$C78,OVR_BASE,"&gt;=0")&gt;0)&gt;0,SUMIFS(OVR_BASE,OVR_TICKERS,$C78),$K78))</f>
        <v/>
      </c>
      <c r="M78" s="128">
        <f>IF($B78="",0,IF((OV_SWITCH="ON")*(COUNTIFS(OVR_TICKERS,$C78,OVR_LOW,"&gt;=0")&gt;0)&gt;0,SUMIFS(OVR_LOW,OVR_TICKERS,$C78),$L78))</f>
        <v/>
      </c>
      <c r="N78" s="128">
        <f>IF($B78="",0,IF((OV_SWITCH="ON")*(COUNTIFS(OVR_TICKERS,$C78,OVR_HIGH,"&gt;=0")&gt;0)&gt;0,SUMIFS(OVR_HIGH,OVR_TICKERS,$C78),$L78))</f>
        <v/>
      </c>
      <c r="O78" s="133">
        <f>IF($B78="","",IFERROR($B78*$G78*$J78/$B$3,""))</f>
        <v/>
      </c>
      <c r="P78" s="133">
        <f>IF($B78="","",IFERROR($B78*$G78*$L78/$B$3,""))</f>
        <v/>
      </c>
      <c r="Q78" s="124">
        <f>IF($B78="","",IFERROR($O78+$P78,""))</f>
        <v/>
      </c>
      <c r="R78" s="133">
        <f>IF($B78="","",IFERROR($O78+$B78*$G78*$M78/$B$3,""))</f>
        <v/>
      </c>
      <c r="S78" s="133">
        <f>IF($B78="","",IFERROR($O78+$B78*$G78*$N78/$B$3,""))</f>
        <v/>
      </c>
      <c r="T78" s="150">
        <f>IF($B78="","",IFERROR($Q78/$Q$5,""))</f>
        <v/>
      </c>
      <c r="U78" s="2">
        <f>IF($B78="","",IF(COUNTIFS('Dvd Calendar'!$E$798:$AR$798,"&gt;0",'Dvd Calendar'!$E$798:$AR$798,"&lt;="&amp;VAL_DATE,'Dvd Calendar'!$E$799:$AR$799,"&gt;"&amp;PROJ_FROM,'Dvd Calendar'!$E$799:$AR$799,"&lt;="&amp;WIN_TO)-COUNTIFS('Dvd Calendar'!$E$798:$AR$798,"&gt;0",'Dvd Calendar'!$E$798:$AR$798,"&lt;="&amp;VAL_DATE,'Dvd Calendar'!$E$799:$AR$799,"&gt;"&amp;PROJ_FROM,'Dvd Calendar'!$E$799:$AR$799,"&lt;="&amp;WIN_TO,'Dvd Calendar'!$E$800:$AR$800,"&gt;=0")&gt;0,"TBA amount - override me",IF((OV_SWITCH="ON")*(COUNTIFS(OVR_TICKERS,$C78,OVR_BASE,"&gt;=0")&gt;0)&gt;0,"overridden",IF($J78+$K78=0,"no dividend in year Y",""))))</f>
        <v/>
      </c>
      <c r="V78" s="133">
        <f>IF($B78="","",IFERROR(IF(ISNUMBER($H78),$B78*$G78*$H78/$B$3,0),""))</f>
        <v/>
      </c>
      <c r="W78" s="133">
        <f>IF($B78="","",IFERROR($B78*$G78*$K78/$B$3,""))</f>
        <v/>
      </c>
      <c r="X78" s="157">
        <f>IF($C78="","",BDP($C78,"PX_LAST"))</f>
        <v/>
      </c>
      <c r="Y78" s="133">
        <f>IF($B78="","",IFERROR($B78*$X78/$B$3,""))</f>
        <v/>
      </c>
      <c r="Z78" s="137">
        <f>IF($B78="","",IFERROR($Y78/$Y$5,""))</f>
        <v/>
      </c>
    </row>
    <row r="79">
      <c r="B79" s="97" t="n"/>
      <c r="C79" s="8">
        <f>IF($A79="","",$A79&amp;" Equity")</f>
        <v/>
      </c>
      <c r="D79" s="8">
        <f>IF($C79="","",BDP($C79,"NAME"))</f>
        <v/>
      </c>
      <c r="E79" s="8">
        <f>IF($C79="","",BDP($C79,"GICS_SECTOR_NAME"))</f>
        <v/>
      </c>
      <c r="F79" s="37">
        <f>IF($C79="","",BDP($C79,FLD_CCY))</f>
        <v/>
      </c>
      <c r="G79" s="111">
        <f>IFERROR(IF(LEN($F79)&lt;&gt;3,1,IF($F79="HKD",1,BDP(IF($F79="CNY",RMB_CROSS,$F79)&amp;"HKD Curncy","PX_LAST"))),1)</f>
        <v/>
      </c>
      <c r="H79" s="133">
        <f>IF($C79="","",BDP($C79,FLD_DPS12M))</f>
        <v/>
      </c>
      <c r="I79" s="126">
        <f>IF($C79="","",BDP($C79,FLD_YLD12M))</f>
        <v/>
      </c>
      <c r="J79" s="128">
        <f>IF($B79="",0,SUMPRODUCT(('Dvd Calendar'!$E$803:$AR$803&gt;=WIN_FROM)*('Dvd Calendar'!$E$803:$AR$803&lt;=REALIZED_TO)*'Dvd Calendar'!$E$806:$AR$806*(('Dvd Calendar'!$E$808:$AR$808=TYPE1)*(TYPE1&lt;&gt;"")+('Dvd Calendar'!$E$808:$AR$808=TYPE2)*(TYPE2&lt;&gt;"")+('Dvd Calendar'!$E$808:$AR$808=TYPE3)*(TYPE3&lt;&gt;"")+('Dvd Calendar'!$E$808:$AR$808=TYPE4)*(TYPE4&lt;&gt;"")+('Dvd Calendar'!$E$808:$AR$808=SPECIAL_LBL)*(INC_SPECIALS="Y"))))</f>
        <v/>
      </c>
      <c r="K79" s="128">
        <f>IF($B79="",0,SUMIFS('Dvd Calendar'!$E$811:$AR$811,'Dvd Calendar'!$E$810:$AR$810,"&gt;"&amp;PROJ_FROM,'Dvd Calendar'!$E$810:$AR$810,"&lt;="&amp;WIN_TO)+SUMPRODUCT(('Dvd Calendar'!$E$803:$AR$803&gt;PROJ_FROM)*('Dvd Calendar'!$E$803:$AR$803&lt;=WIN_TO)*'Dvd Calendar'!$E$806:$AR$806*(('Dvd Calendar'!$E$808:$AR$808=TYPE1)*(TYPE1&lt;&gt;"")+('Dvd Calendar'!$E$808:$AR$808=TYPE2)*(TYPE2&lt;&gt;"")+('Dvd Calendar'!$E$808:$AR$808=TYPE3)*(TYPE3&lt;&gt;"")+('Dvd Calendar'!$E$808:$AR$808=TYPE4)*(TYPE4&lt;&gt;"")+('Dvd Calendar'!$E$808:$AR$808=SPECIAL_LBL)*(INC_SPECIALS="Y"))*(COUNTIF('Dvd Calendar'!$E$810:$AR$810,'Dvd Calendar'!$E$803:$AR$803)=0)))</f>
        <v/>
      </c>
      <c r="L79" s="128">
        <f>IF($B79="",0,IF((OV_SWITCH="ON")*(COUNTIFS(OVR_TICKERS,$C79,OVR_BASE,"&gt;=0")&gt;0)&gt;0,SUMIFS(OVR_BASE,OVR_TICKERS,$C79),$K79))</f>
        <v/>
      </c>
      <c r="M79" s="128">
        <f>IF($B79="",0,IF((OV_SWITCH="ON")*(COUNTIFS(OVR_TICKERS,$C79,OVR_LOW,"&gt;=0")&gt;0)&gt;0,SUMIFS(OVR_LOW,OVR_TICKERS,$C79),$L79))</f>
        <v/>
      </c>
      <c r="N79" s="128">
        <f>IF($B79="",0,IF((OV_SWITCH="ON")*(COUNTIFS(OVR_TICKERS,$C79,OVR_HIGH,"&gt;=0")&gt;0)&gt;0,SUMIFS(OVR_HIGH,OVR_TICKERS,$C79),$L79))</f>
        <v/>
      </c>
      <c r="O79" s="133">
        <f>IF($B79="","",IFERROR($B79*$G79*$J79/$B$3,""))</f>
        <v/>
      </c>
      <c r="P79" s="133">
        <f>IF($B79="","",IFERROR($B79*$G79*$L79/$B$3,""))</f>
        <v/>
      </c>
      <c r="Q79" s="124">
        <f>IF($B79="","",IFERROR($O79+$P79,""))</f>
        <v/>
      </c>
      <c r="R79" s="133">
        <f>IF($B79="","",IFERROR($O79+$B79*$G79*$M79/$B$3,""))</f>
        <v/>
      </c>
      <c r="S79" s="133">
        <f>IF($B79="","",IFERROR($O79+$B79*$G79*$N79/$B$3,""))</f>
        <v/>
      </c>
      <c r="T79" s="150">
        <f>IF($B79="","",IFERROR($Q79/$Q$5,""))</f>
        <v/>
      </c>
      <c r="U79" s="2">
        <f>IF($B79="","",IF(COUNTIFS('Dvd Calendar'!$E$809:$AR$809,"&gt;0",'Dvd Calendar'!$E$809:$AR$809,"&lt;="&amp;VAL_DATE,'Dvd Calendar'!$E$810:$AR$810,"&gt;"&amp;PROJ_FROM,'Dvd Calendar'!$E$810:$AR$810,"&lt;="&amp;WIN_TO)-COUNTIFS('Dvd Calendar'!$E$809:$AR$809,"&gt;0",'Dvd Calendar'!$E$809:$AR$809,"&lt;="&amp;VAL_DATE,'Dvd Calendar'!$E$810:$AR$810,"&gt;"&amp;PROJ_FROM,'Dvd Calendar'!$E$810:$AR$810,"&lt;="&amp;WIN_TO,'Dvd Calendar'!$E$811:$AR$811,"&gt;=0")&gt;0,"TBA amount - override me",IF((OV_SWITCH="ON")*(COUNTIFS(OVR_TICKERS,$C79,OVR_BASE,"&gt;=0")&gt;0)&gt;0,"overridden",IF($J79+$K79=0,"no dividend in year Y",""))))</f>
        <v/>
      </c>
      <c r="V79" s="133">
        <f>IF($B79="","",IFERROR(IF(ISNUMBER($H79),$B79*$G79*$H79/$B$3,0),""))</f>
        <v/>
      </c>
      <c r="W79" s="133">
        <f>IF($B79="","",IFERROR($B79*$G79*$K79/$B$3,""))</f>
        <v/>
      </c>
      <c r="X79" s="157">
        <f>IF($C79="","",BDP($C79,"PX_LAST"))</f>
        <v/>
      </c>
      <c r="Y79" s="133">
        <f>IF($B79="","",IFERROR($B79*$X79/$B$3,""))</f>
        <v/>
      </c>
      <c r="Z79" s="137">
        <f>IF($B79="","",IFERROR($Y79/$Y$5,""))</f>
        <v/>
      </c>
    </row>
    <row r="80">
      <c r="B80" s="97" t="n"/>
      <c r="C80" s="8">
        <f>IF($A80="","",$A80&amp;" Equity")</f>
        <v/>
      </c>
      <c r="D80" s="8">
        <f>IF($C80="","",BDP($C80,"NAME"))</f>
        <v/>
      </c>
      <c r="E80" s="8">
        <f>IF($C80="","",BDP($C80,"GICS_SECTOR_NAME"))</f>
        <v/>
      </c>
      <c r="F80" s="37">
        <f>IF($C80="","",BDP($C80,FLD_CCY))</f>
        <v/>
      </c>
      <c r="G80" s="111">
        <f>IFERROR(IF(LEN($F80)&lt;&gt;3,1,IF($F80="HKD",1,BDP(IF($F80="CNY",RMB_CROSS,$F80)&amp;"HKD Curncy","PX_LAST"))),1)</f>
        <v/>
      </c>
      <c r="H80" s="133">
        <f>IF($C80="","",BDP($C80,FLD_DPS12M))</f>
        <v/>
      </c>
      <c r="I80" s="126">
        <f>IF($C80="","",BDP($C80,FLD_YLD12M))</f>
        <v/>
      </c>
      <c r="J80" s="128">
        <f>IF($B80="",0,SUMPRODUCT(('Dvd Calendar'!$E$814:$AR$814&gt;=WIN_FROM)*('Dvd Calendar'!$E$814:$AR$814&lt;=REALIZED_TO)*'Dvd Calendar'!$E$817:$AR$817*(('Dvd Calendar'!$E$819:$AR$819=TYPE1)*(TYPE1&lt;&gt;"")+('Dvd Calendar'!$E$819:$AR$819=TYPE2)*(TYPE2&lt;&gt;"")+('Dvd Calendar'!$E$819:$AR$819=TYPE3)*(TYPE3&lt;&gt;"")+('Dvd Calendar'!$E$819:$AR$819=TYPE4)*(TYPE4&lt;&gt;"")+('Dvd Calendar'!$E$819:$AR$819=SPECIAL_LBL)*(INC_SPECIALS="Y"))))</f>
        <v/>
      </c>
      <c r="K80" s="128">
        <f>IF($B80="",0,SUMIFS('Dvd Calendar'!$E$822:$AR$822,'Dvd Calendar'!$E$821:$AR$821,"&gt;"&amp;PROJ_FROM,'Dvd Calendar'!$E$821:$AR$821,"&lt;="&amp;WIN_TO)+SUMPRODUCT(('Dvd Calendar'!$E$814:$AR$814&gt;PROJ_FROM)*('Dvd Calendar'!$E$814:$AR$814&lt;=WIN_TO)*'Dvd Calendar'!$E$817:$AR$817*(('Dvd Calendar'!$E$819:$AR$819=TYPE1)*(TYPE1&lt;&gt;"")+('Dvd Calendar'!$E$819:$AR$819=TYPE2)*(TYPE2&lt;&gt;"")+('Dvd Calendar'!$E$819:$AR$819=TYPE3)*(TYPE3&lt;&gt;"")+('Dvd Calendar'!$E$819:$AR$819=TYPE4)*(TYPE4&lt;&gt;"")+('Dvd Calendar'!$E$819:$AR$819=SPECIAL_LBL)*(INC_SPECIALS="Y"))*(COUNTIF('Dvd Calendar'!$E$821:$AR$821,'Dvd Calendar'!$E$814:$AR$814)=0)))</f>
        <v/>
      </c>
      <c r="L80" s="128">
        <f>IF($B80="",0,IF((OV_SWITCH="ON")*(COUNTIFS(OVR_TICKERS,$C80,OVR_BASE,"&gt;=0")&gt;0)&gt;0,SUMIFS(OVR_BASE,OVR_TICKERS,$C80),$K80))</f>
        <v/>
      </c>
      <c r="M80" s="128">
        <f>IF($B80="",0,IF((OV_SWITCH="ON")*(COUNTIFS(OVR_TICKERS,$C80,OVR_LOW,"&gt;=0")&gt;0)&gt;0,SUMIFS(OVR_LOW,OVR_TICKERS,$C80),$L80))</f>
        <v/>
      </c>
      <c r="N80" s="128">
        <f>IF($B80="",0,IF((OV_SWITCH="ON")*(COUNTIFS(OVR_TICKERS,$C80,OVR_HIGH,"&gt;=0")&gt;0)&gt;0,SUMIFS(OVR_HIGH,OVR_TICKERS,$C80),$L80))</f>
        <v/>
      </c>
      <c r="O80" s="133">
        <f>IF($B80="","",IFERROR($B80*$G80*$J80/$B$3,""))</f>
        <v/>
      </c>
      <c r="P80" s="133">
        <f>IF($B80="","",IFERROR($B80*$G80*$L80/$B$3,""))</f>
        <v/>
      </c>
      <c r="Q80" s="124">
        <f>IF($B80="","",IFERROR($O80+$P80,""))</f>
        <v/>
      </c>
      <c r="R80" s="133">
        <f>IF($B80="","",IFERROR($O80+$B80*$G80*$M80/$B$3,""))</f>
        <v/>
      </c>
      <c r="S80" s="133">
        <f>IF($B80="","",IFERROR($O80+$B80*$G80*$N80/$B$3,""))</f>
        <v/>
      </c>
      <c r="T80" s="150">
        <f>IF($B80="","",IFERROR($Q80/$Q$5,""))</f>
        <v/>
      </c>
      <c r="U80" s="2">
        <f>IF($B80="","",IF(COUNTIFS('Dvd Calendar'!$E$820:$AR$820,"&gt;0",'Dvd Calendar'!$E$820:$AR$820,"&lt;="&amp;VAL_DATE,'Dvd Calendar'!$E$821:$AR$821,"&gt;"&amp;PROJ_FROM,'Dvd Calendar'!$E$821:$AR$821,"&lt;="&amp;WIN_TO)-COUNTIFS('Dvd Calendar'!$E$820:$AR$820,"&gt;0",'Dvd Calendar'!$E$820:$AR$820,"&lt;="&amp;VAL_DATE,'Dvd Calendar'!$E$821:$AR$821,"&gt;"&amp;PROJ_FROM,'Dvd Calendar'!$E$821:$AR$821,"&lt;="&amp;WIN_TO,'Dvd Calendar'!$E$822:$AR$822,"&gt;=0")&gt;0,"TBA amount - override me",IF((OV_SWITCH="ON")*(COUNTIFS(OVR_TICKERS,$C80,OVR_BASE,"&gt;=0")&gt;0)&gt;0,"overridden",IF($J80+$K80=0,"no dividend in year Y",""))))</f>
        <v/>
      </c>
      <c r="V80" s="133">
        <f>IF($B80="","",IFERROR(IF(ISNUMBER($H80),$B80*$G80*$H80/$B$3,0),""))</f>
        <v/>
      </c>
      <c r="W80" s="133">
        <f>IF($B80="","",IFERROR($B80*$G80*$K80/$B$3,""))</f>
        <v/>
      </c>
      <c r="X80" s="157">
        <f>IF($C80="","",BDP($C80,"PX_LAST"))</f>
        <v/>
      </c>
      <c r="Y80" s="133">
        <f>IF($B80="","",IFERROR($B80*$X80/$B$3,""))</f>
        <v/>
      </c>
      <c r="Z80" s="137">
        <f>IF($B80="","",IFERROR($Y80/$Y$5,""))</f>
        <v/>
      </c>
    </row>
    <row r="81">
      <c r="B81" s="97" t="n"/>
      <c r="C81" s="8">
        <f>IF($A81="","",$A81&amp;" Equity")</f>
        <v/>
      </c>
      <c r="D81" s="8">
        <f>IF($C81="","",BDP($C81,"NAME"))</f>
        <v/>
      </c>
      <c r="E81" s="8">
        <f>IF($C81="","",BDP($C81,"GICS_SECTOR_NAME"))</f>
        <v/>
      </c>
      <c r="F81" s="37">
        <f>IF($C81="","",BDP($C81,FLD_CCY))</f>
        <v/>
      </c>
      <c r="G81" s="111">
        <f>IFERROR(IF(LEN($F81)&lt;&gt;3,1,IF($F81="HKD",1,BDP(IF($F81="CNY",RMB_CROSS,$F81)&amp;"HKD Curncy","PX_LAST"))),1)</f>
        <v/>
      </c>
      <c r="H81" s="133">
        <f>IF($C81="","",BDP($C81,FLD_DPS12M))</f>
        <v/>
      </c>
      <c r="I81" s="126">
        <f>IF($C81="","",BDP($C81,FLD_YLD12M))</f>
        <v/>
      </c>
      <c r="J81" s="128">
        <f>IF($B81="",0,SUMPRODUCT(('Dvd Calendar'!$E$825:$AR$825&gt;=WIN_FROM)*('Dvd Calendar'!$E$825:$AR$825&lt;=REALIZED_TO)*'Dvd Calendar'!$E$828:$AR$828*(('Dvd Calendar'!$E$830:$AR$830=TYPE1)*(TYPE1&lt;&gt;"")+('Dvd Calendar'!$E$830:$AR$830=TYPE2)*(TYPE2&lt;&gt;"")+('Dvd Calendar'!$E$830:$AR$830=TYPE3)*(TYPE3&lt;&gt;"")+('Dvd Calendar'!$E$830:$AR$830=TYPE4)*(TYPE4&lt;&gt;"")+('Dvd Calendar'!$E$830:$AR$830=SPECIAL_LBL)*(INC_SPECIALS="Y"))))</f>
        <v/>
      </c>
      <c r="K81" s="128">
        <f>IF($B81="",0,SUMIFS('Dvd Calendar'!$E$833:$AR$833,'Dvd Calendar'!$E$832:$AR$832,"&gt;"&amp;PROJ_FROM,'Dvd Calendar'!$E$832:$AR$832,"&lt;="&amp;WIN_TO)+SUMPRODUCT(('Dvd Calendar'!$E$825:$AR$825&gt;PROJ_FROM)*('Dvd Calendar'!$E$825:$AR$825&lt;=WIN_TO)*'Dvd Calendar'!$E$828:$AR$828*(('Dvd Calendar'!$E$830:$AR$830=TYPE1)*(TYPE1&lt;&gt;"")+('Dvd Calendar'!$E$830:$AR$830=TYPE2)*(TYPE2&lt;&gt;"")+('Dvd Calendar'!$E$830:$AR$830=TYPE3)*(TYPE3&lt;&gt;"")+('Dvd Calendar'!$E$830:$AR$830=TYPE4)*(TYPE4&lt;&gt;"")+('Dvd Calendar'!$E$830:$AR$830=SPECIAL_LBL)*(INC_SPECIALS="Y"))*(COUNTIF('Dvd Calendar'!$E$832:$AR$832,'Dvd Calendar'!$E$825:$AR$825)=0)))</f>
        <v/>
      </c>
      <c r="L81" s="128">
        <f>IF($B81="",0,IF((OV_SWITCH="ON")*(COUNTIFS(OVR_TICKERS,$C81,OVR_BASE,"&gt;=0")&gt;0)&gt;0,SUMIFS(OVR_BASE,OVR_TICKERS,$C81),$K81))</f>
        <v/>
      </c>
      <c r="M81" s="128">
        <f>IF($B81="",0,IF((OV_SWITCH="ON")*(COUNTIFS(OVR_TICKERS,$C81,OVR_LOW,"&gt;=0")&gt;0)&gt;0,SUMIFS(OVR_LOW,OVR_TICKERS,$C81),$L81))</f>
        <v/>
      </c>
      <c r="N81" s="128">
        <f>IF($B81="",0,IF((OV_SWITCH="ON")*(COUNTIFS(OVR_TICKERS,$C81,OVR_HIGH,"&gt;=0")&gt;0)&gt;0,SUMIFS(OVR_HIGH,OVR_TICKERS,$C81),$L81))</f>
        <v/>
      </c>
      <c r="O81" s="133">
        <f>IF($B81="","",IFERROR($B81*$G81*$J81/$B$3,""))</f>
        <v/>
      </c>
      <c r="P81" s="133">
        <f>IF($B81="","",IFERROR($B81*$G81*$L81/$B$3,""))</f>
        <v/>
      </c>
      <c r="Q81" s="124">
        <f>IF($B81="","",IFERROR($O81+$P81,""))</f>
        <v/>
      </c>
      <c r="R81" s="133">
        <f>IF($B81="","",IFERROR($O81+$B81*$G81*$M81/$B$3,""))</f>
        <v/>
      </c>
      <c r="S81" s="133">
        <f>IF($B81="","",IFERROR($O81+$B81*$G81*$N81/$B$3,""))</f>
        <v/>
      </c>
      <c r="T81" s="150">
        <f>IF($B81="","",IFERROR($Q81/$Q$5,""))</f>
        <v/>
      </c>
      <c r="U81" s="2">
        <f>IF($B81="","",IF(COUNTIFS('Dvd Calendar'!$E$831:$AR$831,"&gt;0",'Dvd Calendar'!$E$831:$AR$831,"&lt;="&amp;VAL_DATE,'Dvd Calendar'!$E$832:$AR$832,"&gt;"&amp;PROJ_FROM,'Dvd Calendar'!$E$832:$AR$832,"&lt;="&amp;WIN_TO)-COUNTIFS('Dvd Calendar'!$E$831:$AR$831,"&gt;0",'Dvd Calendar'!$E$831:$AR$831,"&lt;="&amp;VAL_DATE,'Dvd Calendar'!$E$832:$AR$832,"&gt;"&amp;PROJ_FROM,'Dvd Calendar'!$E$832:$AR$832,"&lt;="&amp;WIN_TO,'Dvd Calendar'!$E$833:$AR$833,"&gt;=0")&gt;0,"TBA amount - override me",IF((OV_SWITCH="ON")*(COUNTIFS(OVR_TICKERS,$C81,OVR_BASE,"&gt;=0")&gt;0)&gt;0,"overridden",IF($J81+$K81=0,"no dividend in year Y",""))))</f>
        <v/>
      </c>
      <c r="V81" s="133">
        <f>IF($B81="","",IFERROR(IF(ISNUMBER($H81),$B81*$G81*$H81/$B$3,0),""))</f>
        <v/>
      </c>
      <c r="W81" s="133">
        <f>IF($B81="","",IFERROR($B81*$G81*$K81/$B$3,""))</f>
        <v/>
      </c>
      <c r="X81" s="157">
        <f>IF($C81="","",BDP($C81,"PX_LAST"))</f>
        <v/>
      </c>
      <c r="Y81" s="133">
        <f>IF($B81="","",IFERROR($B81*$X81/$B$3,""))</f>
        <v/>
      </c>
      <c r="Z81" s="137">
        <f>IF($B81="","",IFERROR($Y81/$Y$5,""))</f>
        <v/>
      </c>
    </row>
    <row r="82">
      <c r="B82" s="97" t="n"/>
      <c r="C82" s="8">
        <f>IF($A82="","",$A82&amp;" Equity")</f>
        <v/>
      </c>
      <c r="D82" s="8">
        <f>IF($C82="","",BDP($C82,"NAME"))</f>
        <v/>
      </c>
      <c r="E82" s="8">
        <f>IF($C82="","",BDP($C82,"GICS_SECTOR_NAME"))</f>
        <v/>
      </c>
      <c r="F82" s="37">
        <f>IF($C82="","",BDP($C82,FLD_CCY))</f>
        <v/>
      </c>
      <c r="G82" s="111">
        <f>IFERROR(IF(LEN($F82)&lt;&gt;3,1,IF($F82="HKD",1,BDP(IF($F82="CNY",RMB_CROSS,$F82)&amp;"HKD Curncy","PX_LAST"))),1)</f>
        <v/>
      </c>
      <c r="H82" s="133">
        <f>IF($C82="","",BDP($C82,FLD_DPS12M))</f>
        <v/>
      </c>
      <c r="I82" s="126">
        <f>IF($C82="","",BDP($C82,FLD_YLD12M))</f>
        <v/>
      </c>
      <c r="J82" s="128">
        <f>IF($B82="",0,SUMPRODUCT(('Dvd Calendar'!$E$836:$AR$836&gt;=WIN_FROM)*('Dvd Calendar'!$E$836:$AR$836&lt;=REALIZED_TO)*'Dvd Calendar'!$E$839:$AR$839*(('Dvd Calendar'!$E$841:$AR$841=TYPE1)*(TYPE1&lt;&gt;"")+('Dvd Calendar'!$E$841:$AR$841=TYPE2)*(TYPE2&lt;&gt;"")+('Dvd Calendar'!$E$841:$AR$841=TYPE3)*(TYPE3&lt;&gt;"")+('Dvd Calendar'!$E$841:$AR$841=TYPE4)*(TYPE4&lt;&gt;"")+('Dvd Calendar'!$E$841:$AR$841=SPECIAL_LBL)*(INC_SPECIALS="Y"))))</f>
        <v/>
      </c>
      <c r="K82" s="128">
        <f>IF($B82="",0,SUMIFS('Dvd Calendar'!$E$844:$AR$844,'Dvd Calendar'!$E$843:$AR$843,"&gt;"&amp;PROJ_FROM,'Dvd Calendar'!$E$843:$AR$843,"&lt;="&amp;WIN_TO)+SUMPRODUCT(('Dvd Calendar'!$E$836:$AR$836&gt;PROJ_FROM)*('Dvd Calendar'!$E$836:$AR$836&lt;=WIN_TO)*'Dvd Calendar'!$E$839:$AR$839*(('Dvd Calendar'!$E$841:$AR$841=TYPE1)*(TYPE1&lt;&gt;"")+('Dvd Calendar'!$E$841:$AR$841=TYPE2)*(TYPE2&lt;&gt;"")+('Dvd Calendar'!$E$841:$AR$841=TYPE3)*(TYPE3&lt;&gt;"")+('Dvd Calendar'!$E$841:$AR$841=TYPE4)*(TYPE4&lt;&gt;"")+('Dvd Calendar'!$E$841:$AR$841=SPECIAL_LBL)*(INC_SPECIALS="Y"))*(COUNTIF('Dvd Calendar'!$E$843:$AR$843,'Dvd Calendar'!$E$836:$AR$836)=0)))</f>
        <v/>
      </c>
      <c r="L82" s="128">
        <f>IF($B82="",0,IF((OV_SWITCH="ON")*(COUNTIFS(OVR_TICKERS,$C82,OVR_BASE,"&gt;=0")&gt;0)&gt;0,SUMIFS(OVR_BASE,OVR_TICKERS,$C82),$K82))</f>
        <v/>
      </c>
      <c r="M82" s="128">
        <f>IF($B82="",0,IF((OV_SWITCH="ON")*(COUNTIFS(OVR_TICKERS,$C82,OVR_LOW,"&gt;=0")&gt;0)&gt;0,SUMIFS(OVR_LOW,OVR_TICKERS,$C82),$L82))</f>
        <v/>
      </c>
      <c r="N82" s="128">
        <f>IF($B82="",0,IF((OV_SWITCH="ON")*(COUNTIFS(OVR_TICKERS,$C82,OVR_HIGH,"&gt;=0")&gt;0)&gt;0,SUMIFS(OVR_HIGH,OVR_TICKERS,$C82),$L82))</f>
        <v/>
      </c>
      <c r="O82" s="133">
        <f>IF($B82="","",IFERROR($B82*$G82*$J82/$B$3,""))</f>
        <v/>
      </c>
      <c r="P82" s="133">
        <f>IF($B82="","",IFERROR($B82*$G82*$L82/$B$3,""))</f>
        <v/>
      </c>
      <c r="Q82" s="124">
        <f>IF($B82="","",IFERROR($O82+$P82,""))</f>
        <v/>
      </c>
      <c r="R82" s="133">
        <f>IF($B82="","",IFERROR($O82+$B82*$G82*$M82/$B$3,""))</f>
        <v/>
      </c>
      <c r="S82" s="133">
        <f>IF($B82="","",IFERROR($O82+$B82*$G82*$N82/$B$3,""))</f>
        <v/>
      </c>
      <c r="T82" s="150">
        <f>IF($B82="","",IFERROR($Q82/$Q$5,""))</f>
        <v/>
      </c>
      <c r="U82" s="2">
        <f>IF($B82="","",IF(COUNTIFS('Dvd Calendar'!$E$842:$AR$842,"&gt;0",'Dvd Calendar'!$E$842:$AR$842,"&lt;="&amp;VAL_DATE,'Dvd Calendar'!$E$843:$AR$843,"&gt;"&amp;PROJ_FROM,'Dvd Calendar'!$E$843:$AR$843,"&lt;="&amp;WIN_TO)-COUNTIFS('Dvd Calendar'!$E$842:$AR$842,"&gt;0",'Dvd Calendar'!$E$842:$AR$842,"&lt;="&amp;VAL_DATE,'Dvd Calendar'!$E$843:$AR$843,"&gt;"&amp;PROJ_FROM,'Dvd Calendar'!$E$843:$AR$843,"&lt;="&amp;WIN_TO,'Dvd Calendar'!$E$844:$AR$844,"&gt;=0")&gt;0,"TBA amount - override me",IF((OV_SWITCH="ON")*(COUNTIFS(OVR_TICKERS,$C82,OVR_BASE,"&gt;=0")&gt;0)&gt;0,"overridden",IF($J82+$K82=0,"no dividend in year Y",""))))</f>
        <v/>
      </c>
      <c r="V82" s="133">
        <f>IF($B82="","",IFERROR(IF(ISNUMBER($H82),$B82*$G82*$H82/$B$3,0),""))</f>
        <v/>
      </c>
      <c r="W82" s="133">
        <f>IF($B82="","",IFERROR($B82*$G82*$K82/$B$3,""))</f>
        <v/>
      </c>
      <c r="X82" s="157">
        <f>IF($C82="","",BDP($C82,"PX_LAST"))</f>
        <v/>
      </c>
      <c r="Y82" s="133">
        <f>IF($B82="","",IFERROR($B82*$X82/$B$3,""))</f>
        <v/>
      </c>
      <c r="Z82" s="137">
        <f>IF($B82="","",IFERROR($Y82/$Y$5,""))</f>
        <v/>
      </c>
    </row>
    <row r="83">
      <c r="B83" s="97" t="n"/>
      <c r="C83" s="8">
        <f>IF($A83="","",$A83&amp;" Equity")</f>
        <v/>
      </c>
      <c r="D83" s="8">
        <f>IF($C83="","",BDP($C83,"NAME"))</f>
        <v/>
      </c>
      <c r="E83" s="8">
        <f>IF($C83="","",BDP($C83,"GICS_SECTOR_NAME"))</f>
        <v/>
      </c>
      <c r="F83" s="37">
        <f>IF($C83="","",BDP($C83,FLD_CCY))</f>
        <v/>
      </c>
      <c r="G83" s="111">
        <f>IFERROR(IF(LEN($F83)&lt;&gt;3,1,IF($F83="HKD",1,BDP(IF($F83="CNY",RMB_CROSS,$F83)&amp;"HKD Curncy","PX_LAST"))),1)</f>
        <v/>
      </c>
      <c r="H83" s="133">
        <f>IF($C83="","",BDP($C83,FLD_DPS12M))</f>
        <v/>
      </c>
      <c r="I83" s="126">
        <f>IF($C83="","",BDP($C83,FLD_YLD12M))</f>
        <v/>
      </c>
      <c r="J83" s="128">
        <f>IF($B83="",0,SUMPRODUCT(('Dvd Calendar'!$E$847:$AR$847&gt;=WIN_FROM)*('Dvd Calendar'!$E$847:$AR$847&lt;=REALIZED_TO)*'Dvd Calendar'!$E$850:$AR$850*(('Dvd Calendar'!$E$852:$AR$852=TYPE1)*(TYPE1&lt;&gt;"")+('Dvd Calendar'!$E$852:$AR$852=TYPE2)*(TYPE2&lt;&gt;"")+('Dvd Calendar'!$E$852:$AR$852=TYPE3)*(TYPE3&lt;&gt;"")+('Dvd Calendar'!$E$852:$AR$852=TYPE4)*(TYPE4&lt;&gt;"")+('Dvd Calendar'!$E$852:$AR$852=SPECIAL_LBL)*(INC_SPECIALS="Y"))))</f>
        <v/>
      </c>
      <c r="K83" s="128">
        <f>IF($B83="",0,SUMIFS('Dvd Calendar'!$E$855:$AR$855,'Dvd Calendar'!$E$854:$AR$854,"&gt;"&amp;PROJ_FROM,'Dvd Calendar'!$E$854:$AR$854,"&lt;="&amp;WIN_TO)+SUMPRODUCT(('Dvd Calendar'!$E$847:$AR$847&gt;PROJ_FROM)*('Dvd Calendar'!$E$847:$AR$847&lt;=WIN_TO)*'Dvd Calendar'!$E$850:$AR$850*(('Dvd Calendar'!$E$852:$AR$852=TYPE1)*(TYPE1&lt;&gt;"")+('Dvd Calendar'!$E$852:$AR$852=TYPE2)*(TYPE2&lt;&gt;"")+('Dvd Calendar'!$E$852:$AR$852=TYPE3)*(TYPE3&lt;&gt;"")+('Dvd Calendar'!$E$852:$AR$852=TYPE4)*(TYPE4&lt;&gt;"")+('Dvd Calendar'!$E$852:$AR$852=SPECIAL_LBL)*(INC_SPECIALS="Y"))*(COUNTIF('Dvd Calendar'!$E$854:$AR$854,'Dvd Calendar'!$E$847:$AR$847)=0)))</f>
        <v/>
      </c>
      <c r="L83" s="128">
        <f>IF($B83="",0,IF((OV_SWITCH="ON")*(COUNTIFS(OVR_TICKERS,$C83,OVR_BASE,"&gt;=0")&gt;0)&gt;0,SUMIFS(OVR_BASE,OVR_TICKERS,$C83),$K83))</f>
        <v/>
      </c>
      <c r="M83" s="128">
        <f>IF($B83="",0,IF((OV_SWITCH="ON")*(COUNTIFS(OVR_TICKERS,$C83,OVR_LOW,"&gt;=0")&gt;0)&gt;0,SUMIFS(OVR_LOW,OVR_TICKERS,$C83),$L83))</f>
        <v/>
      </c>
      <c r="N83" s="128">
        <f>IF($B83="",0,IF((OV_SWITCH="ON")*(COUNTIFS(OVR_TICKERS,$C83,OVR_HIGH,"&gt;=0")&gt;0)&gt;0,SUMIFS(OVR_HIGH,OVR_TICKERS,$C83),$L83))</f>
        <v/>
      </c>
      <c r="O83" s="133">
        <f>IF($B83="","",IFERROR($B83*$G83*$J83/$B$3,""))</f>
        <v/>
      </c>
      <c r="P83" s="133">
        <f>IF($B83="","",IFERROR($B83*$G83*$L83/$B$3,""))</f>
        <v/>
      </c>
      <c r="Q83" s="124">
        <f>IF($B83="","",IFERROR($O83+$P83,""))</f>
        <v/>
      </c>
      <c r="R83" s="133">
        <f>IF($B83="","",IFERROR($O83+$B83*$G83*$M83/$B$3,""))</f>
        <v/>
      </c>
      <c r="S83" s="133">
        <f>IF($B83="","",IFERROR($O83+$B83*$G83*$N83/$B$3,""))</f>
        <v/>
      </c>
      <c r="T83" s="150">
        <f>IF($B83="","",IFERROR($Q83/$Q$5,""))</f>
        <v/>
      </c>
      <c r="U83" s="2">
        <f>IF($B83="","",IF(COUNTIFS('Dvd Calendar'!$E$853:$AR$853,"&gt;0",'Dvd Calendar'!$E$853:$AR$853,"&lt;="&amp;VAL_DATE,'Dvd Calendar'!$E$854:$AR$854,"&gt;"&amp;PROJ_FROM,'Dvd Calendar'!$E$854:$AR$854,"&lt;="&amp;WIN_TO)-COUNTIFS('Dvd Calendar'!$E$853:$AR$853,"&gt;0",'Dvd Calendar'!$E$853:$AR$853,"&lt;="&amp;VAL_DATE,'Dvd Calendar'!$E$854:$AR$854,"&gt;"&amp;PROJ_FROM,'Dvd Calendar'!$E$854:$AR$854,"&lt;="&amp;WIN_TO,'Dvd Calendar'!$E$855:$AR$855,"&gt;=0")&gt;0,"TBA amount - override me",IF((OV_SWITCH="ON")*(COUNTIFS(OVR_TICKERS,$C83,OVR_BASE,"&gt;=0")&gt;0)&gt;0,"overridden",IF($J83+$K83=0,"no dividend in year Y",""))))</f>
        <v/>
      </c>
      <c r="V83" s="133">
        <f>IF($B83="","",IFERROR(IF(ISNUMBER($H83),$B83*$G83*$H83/$B$3,0),""))</f>
        <v/>
      </c>
      <c r="W83" s="133">
        <f>IF($B83="","",IFERROR($B83*$G83*$K83/$B$3,""))</f>
        <v/>
      </c>
      <c r="X83" s="157">
        <f>IF($C83="","",BDP($C83,"PX_LAST"))</f>
        <v/>
      </c>
      <c r="Y83" s="133">
        <f>IF($B83="","",IFERROR($B83*$X83/$B$3,""))</f>
        <v/>
      </c>
      <c r="Z83" s="137">
        <f>IF($B83="","",IFERROR($Y83/$Y$5,""))</f>
        <v/>
      </c>
    </row>
    <row r="84">
      <c r="B84" s="97" t="n"/>
      <c r="C84" s="8">
        <f>IF($A84="","",$A84&amp;" Equity")</f>
        <v/>
      </c>
      <c r="D84" s="8">
        <f>IF($C84="","",BDP($C84,"NAME"))</f>
        <v/>
      </c>
      <c r="E84" s="8">
        <f>IF($C84="","",BDP($C84,"GICS_SECTOR_NAME"))</f>
        <v/>
      </c>
      <c r="F84" s="37">
        <f>IF($C84="","",BDP($C84,FLD_CCY))</f>
        <v/>
      </c>
      <c r="G84" s="111">
        <f>IFERROR(IF(LEN($F84)&lt;&gt;3,1,IF($F84="HKD",1,BDP(IF($F84="CNY",RMB_CROSS,$F84)&amp;"HKD Curncy","PX_LAST"))),1)</f>
        <v/>
      </c>
      <c r="H84" s="133">
        <f>IF($C84="","",BDP($C84,FLD_DPS12M))</f>
        <v/>
      </c>
      <c r="I84" s="126">
        <f>IF($C84="","",BDP($C84,FLD_YLD12M))</f>
        <v/>
      </c>
      <c r="J84" s="128">
        <f>IF($B84="",0,SUMPRODUCT(('Dvd Calendar'!$E$858:$AR$858&gt;=WIN_FROM)*('Dvd Calendar'!$E$858:$AR$858&lt;=REALIZED_TO)*'Dvd Calendar'!$E$861:$AR$861*(('Dvd Calendar'!$E$863:$AR$863=TYPE1)*(TYPE1&lt;&gt;"")+('Dvd Calendar'!$E$863:$AR$863=TYPE2)*(TYPE2&lt;&gt;"")+('Dvd Calendar'!$E$863:$AR$863=TYPE3)*(TYPE3&lt;&gt;"")+('Dvd Calendar'!$E$863:$AR$863=TYPE4)*(TYPE4&lt;&gt;"")+('Dvd Calendar'!$E$863:$AR$863=SPECIAL_LBL)*(INC_SPECIALS="Y"))))</f>
        <v/>
      </c>
      <c r="K84" s="128">
        <f>IF($B84="",0,SUMIFS('Dvd Calendar'!$E$866:$AR$866,'Dvd Calendar'!$E$865:$AR$865,"&gt;"&amp;PROJ_FROM,'Dvd Calendar'!$E$865:$AR$865,"&lt;="&amp;WIN_TO)+SUMPRODUCT(('Dvd Calendar'!$E$858:$AR$858&gt;PROJ_FROM)*('Dvd Calendar'!$E$858:$AR$858&lt;=WIN_TO)*'Dvd Calendar'!$E$861:$AR$861*(('Dvd Calendar'!$E$863:$AR$863=TYPE1)*(TYPE1&lt;&gt;"")+('Dvd Calendar'!$E$863:$AR$863=TYPE2)*(TYPE2&lt;&gt;"")+('Dvd Calendar'!$E$863:$AR$863=TYPE3)*(TYPE3&lt;&gt;"")+('Dvd Calendar'!$E$863:$AR$863=TYPE4)*(TYPE4&lt;&gt;"")+('Dvd Calendar'!$E$863:$AR$863=SPECIAL_LBL)*(INC_SPECIALS="Y"))*(COUNTIF('Dvd Calendar'!$E$865:$AR$865,'Dvd Calendar'!$E$858:$AR$858)=0)))</f>
        <v/>
      </c>
      <c r="L84" s="128">
        <f>IF($B84="",0,IF((OV_SWITCH="ON")*(COUNTIFS(OVR_TICKERS,$C84,OVR_BASE,"&gt;=0")&gt;0)&gt;0,SUMIFS(OVR_BASE,OVR_TICKERS,$C84),$K84))</f>
        <v/>
      </c>
      <c r="M84" s="128">
        <f>IF($B84="",0,IF((OV_SWITCH="ON")*(COUNTIFS(OVR_TICKERS,$C84,OVR_LOW,"&gt;=0")&gt;0)&gt;0,SUMIFS(OVR_LOW,OVR_TICKERS,$C84),$L84))</f>
        <v/>
      </c>
      <c r="N84" s="128">
        <f>IF($B84="",0,IF((OV_SWITCH="ON")*(COUNTIFS(OVR_TICKERS,$C84,OVR_HIGH,"&gt;=0")&gt;0)&gt;0,SUMIFS(OVR_HIGH,OVR_TICKERS,$C84),$L84))</f>
        <v/>
      </c>
      <c r="O84" s="133">
        <f>IF($B84="","",IFERROR($B84*$G84*$J84/$B$3,""))</f>
        <v/>
      </c>
      <c r="P84" s="133">
        <f>IF($B84="","",IFERROR($B84*$G84*$L84/$B$3,""))</f>
        <v/>
      </c>
      <c r="Q84" s="124">
        <f>IF($B84="","",IFERROR($O84+$P84,""))</f>
        <v/>
      </c>
      <c r="R84" s="133">
        <f>IF($B84="","",IFERROR($O84+$B84*$G84*$M84/$B$3,""))</f>
        <v/>
      </c>
      <c r="S84" s="133">
        <f>IF($B84="","",IFERROR($O84+$B84*$G84*$N84/$B$3,""))</f>
        <v/>
      </c>
      <c r="T84" s="150">
        <f>IF($B84="","",IFERROR($Q84/$Q$5,""))</f>
        <v/>
      </c>
      <c r="U84" s="2">
        <f>IF($B84="","",IF(COUNTIFS('Dvd Calendar'!$E$864:$AR$864,"&gt;0",'Dvd Calendar'!$E$864:$AR$864,"&lt;="&amp;VAL_DATE,'Dvd Calendar'!$E$865:$AR$865,"&gt;"&amp;PROJ_FROM,'Dvd Calendar'!$E$865:$AR$865,"&lt;="&amp;WIN_TO)-COUNTIFS('Dvd Calendar'!$E$864:$AR$864,"&gt;0",'Dvd Calendar'!$E$864:$AR$864,"&lt;="&amp;VAL_DATE,'Dvd Calendar'!$E$865:$AR$865,"&gt;"&amp;PROJ_FROM,'Dvd Calendar'!$E$865:$AR$865,"&lt;="&amp;WIN_TO,'Dvd Calendar'!$E$866:$AR$866,"&gt;=0")&gt;0,"TBA amount - override me",IF((OV_SWITCH="ON")*(COUNTIFS(OVR_TICKERS,$C84,OVR_BASE,"&gt;=0")&gt;0)&gt;0,"overridden",IF($J84+$K84=0,"no dividend in year Y",""))))</f>
        <v/>
      </c>
      <c r="V84" s="133">
        <f>IF($B84="","",IFERROR(IF(ISNUMBER($H84),$B84*$G84*$H84/$B$3,0),""))</f>
        <v/>
      </c>
      <c r="W84" s="133">
        <f>IF($B84="","",IFERROR($B84*$G84*$K84/$B$3,""))</f>
        <v/>
      </c>
      <c r="X84" s="157">
        <f>IF($C84="","",BDP($C84,"PX_LAST"))</f>
        <v/>
      </c>
      <c r="Y84" s="133">
        <f>IF($B84="","",IFERROR($B84*$X84/$B$3,""))</f>
        <v/>
      </c>
      <c r="Z84" s="137">
        <f>IF($B84="","",IFERROR($Y84/$Y$5,""))</f>
        <v/>
      </c>
    </row>
    <row r="85">
      <c r="B85" s="97" t="n"/>
      <c r="C85" s="8">
        <f>IF($A85="","",$A85&amp;" Equity")</f>
        <v/>
      </c>
      <c r="D85" s="8">
        <f>IF($C85="","",BDP($C85,"NAME"))</f>
        <v/>
      </c>
      <c r="E85" s="8">
        <f>IF($C85="","",BDP($C85,"GICS_SECTOR_NAME"))</f>
        <v/>
      </c>
      <c r="F85" s="37">
        <f>IF($C85="","",BDP($C85,FLD_CCY))</f>
        <v/>
      </c>
      <c r="G85" s="111">
        <f>IFERROR(IF(LEN($F85)&lt;&gt;3,1,IF($F85="HKD",1,BDP(IF($F85="CNY",RMB_CROSS,$F85)&amp;"HKD Curncy","PX_LAST"))),1)</f>
        <v/>
      </c>
      <c r="H85" s="133">
        <f>IF($C85="","",BDP($C85,FLD_DPS12M))</f>
        <v/>
      </c>
      <c r="I85" s="126">
        <f>IF($C85="","",BDP($C85,FLD_YLD12M))</f>
        <v/>
      </c>
      <c r="J85" s="128">
        <f>IF($B85="",0,SUMPRODUCT(('Dvd Calendar'!$E$869:$AR$869&gt;=WIN_FROM)*('Dvd Calendar'!$E$869:$AR$869&lt;=REALIZED_TO)*'Dvd Calendar'!$E$872:$AR$872*(('Dvd Calendar'!$E$874:$AR$874=TYPE1)*(TYPE1&lt;&gt;"")+('Dvd Calendar'!$E$874:$AR$874=TYPE2)*(TYPE2&lt;&gt;"")+('Dvd Calendar'!$E$874:$AR$874=TYPE3)*(TYPE3&lt;&gt;"")+('Dvd Calendar'!$E$874:$AR$874=TYPE4)*(TYPE4&lt;&gt;"")+('Dvd Calendar'!$E$874:$AR$874=SPECIAL_LBL)*(INC_SPECIALS="Y"))))</f>
        <v/>
      </c>
      <c r="K85" s="128">
        <f>IF($B85="",0,SUMIFS('Dvd Calendar'!$E$877:$AR$877,'Dvd Calendar'!$E$876:$AR$876,"&gt;"&amp;PROJ_FROM,'Dvd Calendar'!$E$876:$AR$876,"&lt;="&amp;WIN_TO)+SUMPRODUCT(('Dvd Calendar'!$E$869:$AR$869&gt;PROJ_FROM)*('Dvd Calendar'!$E$869:$AR$869&lt;=WIN_TO)*'Dvd Calendar'!$E$872:$AR$872*(('Dvd Calendar'!$E$874:$AR$874=TYPE1)*(TYPE1&lt;&gt;"")+('Dvd Calendar'!$E$874:$AR$874=TYPE2)*(TYPE2&lt;&gt;"")+('Dvd Calendar'!$E$874:$AR$874=TYPE3)*(TYPE3&lt;&gt;"")+('Dvd Calendar'!$E$874:$AR$874=TYPE4)*(TYPE4&lt;&gt;"")+('Dvd Calendar'!$E$874:$AR$874=SPECIAL_LBL)*(INC_SPECIALS="Y"))*(COUNTIF('Dvd Calendar'!$E$876:$AR$876,'Dvd Calendar'!$E$869:$AR$869)=0)))</f>
        <v/>
      </c>
      <c r="L85" s="128">
        <f>IF($B85="",0,IF((OV_SWITCH="ON")*(COUNTIFS(OVR_TICKERS,$C85,OVR_BASE,"&gt;=0")&gt;0)&gt;0,SUMIFS(OVR_BASE,OVR_TICKERS,$C85),$K85))</f>
        <v/>
      </c>
      <c r="M85" s="128">
        <f>IF($B85="",0,IF((OV_SWITCH="ON")*(COUNTIFS(OVR_TICKERS,$C85,OVR_LOW,"&gt;=0")&gt;0)&gt;0,SUMIFS(OVR_LOW,OVR_TICKERS,$C85),$L85))</f>
        <v/>
      </c>
      <c r="N85" s="128">
        <f>IF($B85="",0,IF((OV_SWITCH="ON")*(COUNTIFS(OVR_TICKERS,$C85,OVR_HIGH,"&gt;=0")&gt;0)&gt;0,SUMIFS(OVR_HIGH,OVR_TICKERS,$C85),$L85))</f>
        <v/>
      </c>
      <c r="O85" s="133">
        <f>IF($B85="","",IFERROR($B85*$G85*$J85/$B$3,""))</f>
        <v/>
      </c>
      <c r="P85" s="133">
        <f>IF($B85="","",IFERROR($B85*$G85*$L85/$B$3,""))</f>
        <v/>
      </c>
      <c r="Q85" s="124">
        <f>IF($B85="","",IFERROR($O85+$P85,""))</f>
        <v/>
      </c>
      <c r="R85" s="133">
        <f>IF($B85="","",IFERROR($O85+$B85*$G85*$M85/$B$3,""))</f>
        <v/>
      </c>
      <c r="S85" s="133">
        <f>IF($B85="","",IFERROR($O85+$B85*$G85*$N85/$B$3,""))</f>
        <v/>
      </c>
      <c r="T85" s="150">
        <f>IF($B85="","",IFERROR($Q85/$Q$5,""))</f>
        <v/>
      </c>
      <c r="U85" s="2">
        <f>IF($B85="","",IF(COUNTIFS('Dvd Calendar'!$E$875:$AR$875,"&gt;0",'Dvd Calendar'!$E$875:$AR$875,"&lt;="&amp;VAL_DATE,'Dvd Calendar'!$E$876:$AR$876,"&gt;"&amp;PROJ_FROM,'Dvd Calendar'!$E$876:$AR$876,"&lt;="&amp;WIN_TO)-COUNTIFS('Dvd Calendar'!$E$875:$AR$875,"&gt;0",'Dvd Calendar'!$E$875:$AR$875,"&lt;="&amp;VAL_DATE,'Dvd Calendar'!$E$876:$AR$876,"&gt;"&amp;PROJ_FROM,'Dvd Calendar'!$E$876:$AR$876,"&lt;="&amp;WIN_TO,'Dvd Calendar'!$E$877:$AR$877,"&gt;=0")&gt;0,"TBA amount - override me",IF((OV_SWITCH="ON")*(COUNTIFS(OVR_TICKERS,$C85,OVR_BASE,"&gt;=0")&gt;0)&gt;0,"overridden",IF($J85+$K85=0,"no dividend in year Y",""))))</f>
        <v/>
      </c>
      <c r="V85" s="133">
        <f>IF($B85="","",IFERROR(IF(ISNUMBER($H85),$B85*$G85*$H85/$B$3,0),""))</f>
        <v/>
      </c>
      <c r="W85" s="133">
        <f>IF($B85="","",IFERROR($B85*$G85*$K85/$B$3,""))</f>
        <v/>
      </c>
      <c r="X85" s="157">
        <f>IF($C85="","",BDP($C85,"PX_LAST"))</f>
        <v/>
      </c>
      <c r="Y85" s="133">
        <f>IF($B85="","",IFERROR($B85*$X85/$B$3,""))</f>
        <v/>
      </c>
      <c r="Z85" s="137">
        <f>IF($B85="","",IFERROR($Y85/$Y$5,""))</f>
        <v/>
      </c>
    </row>
    <row r="86">
      <c r="B86" s="97" t="n"/>
      <c r="C86" s="8">
        <f>IF($A86="","",$A86&amp;" Equity")</f>
        <v/>
      </c>
      <c r="D86" s="8">
        <f>IF($C86="","",BDP($C86,"NAME"))</f>
        <v/>
      </c>
      <c r="E86" s="8">
        <f>IF($C86="","",BDP($C86,"GICS_SECTOR_NAME"))</f>
        <v/>
      </c>
      <c r="F86" s="37">
        <f>IF($C86="","",BDP($C86,FLD_CCY))</f>
        <v/>
      </c>
      <c r="G86" s="111">
        <f>IFERROR(IF(LEN($F86)&lt;&gt;3,1,IF($F86="HKD",1,BDP(IF($F86="CNY",RMB_CROSS,$F86)&amp;"HKD Curncy","PX_LAST"))),1)</f>
        <v/>
      </c>
      <c r="H86" s="133">
        <f>IF($C86="","",BDP($C86,FLD_DPS12M))</f>
        <v/>
      </c>
      <c r="I86" s="126">
        <f>IF($C86="","",BDP($C86,FLD_YLD12M))</f>
        <v/>
      </c>
      <c r="J86" s="128">
        <f>IF($B86="",0,SUMPRODUCT(('Dvd Calendar'!$E$880:$AR$880&gt;=WIN_FROM)*('Dvd Calendar'!$E$880:$AR$880&lt;=REALIZED_TO)*'Dvd Calendar'!$E$883:$AR$883*(('Dvd Calendar'!$E$885:$AR$885=TYPE1)*(TYPE1&lt;&gt;"")+('Dvd Calendar'!$E$885:$AR$885=TYPE2)*(TYPE2&lt;&gt;"")+('Dvd Calendar'!$E$885:$AR$885=TYPE3)*(TYPE3&lt;&gt;"")+('Dvd Calendar'!$E$885:$AR$885=TYPE4)*(TYPE4&lt;&gt;"")+('Dvd Calendar'!$E$885:$AR$885=SPECIAL_LBL)*(INC_SPECIALS="Y"))))</f>
        <v/>
      </c>
      <c r="K86" s="128">
        <f>IF($B86="",0,SUMIFS('Dvd Calendar'!$E$888:$AR$888,'Dvd Calendar'!$E$887:$AR$887,"&gt;"&amp;PROJ_FROM,'Dvd Calendar'!$E$887:$AR$887,"&lt;="&amp;WIN_TO)+SUMPRODUCT(('Dvd Calendar'!$E$880:$AR$880&gt;PROJ_FROM)*('Dvd Calendar'!$E$880:$AR$880&lt;=WIN_TO)*'Dvd Calendar'!$E$883:$AR$883*(('Dvd Calendar'!$E$885:$AR$885=TYPE1)*(TYPE1&lt;&gt;"")+('Dvd Calendar'!$E$885:$AR$885=TYPE2)*(TYPE2&lt;&gt;"")+('Dvd Calendar'!$E$885:$AR$885=TYPE3)*(TYPE3&lt;&gt;"")+('Dvd Calendar'!$E$885:$AR$885=TYPE4)*(TYPE4&lt;&gt;"")+('Dvd Calendar'!$E$885:$AR$885=SPECIAL_LBL)*(INC_SPECIALS="Y"))*(COUNTIF('Dvd Calendar'!$E$887:$AR$887,'Dvd Calendar'!$E$880:$AR$880)=0)))</f>
        <v/>
      </c>
      <c r="L86" s="128">
        <f>IF($B86="",0,IF((OV_SWITCH="ON")*(COUNTIFS(OVR_TICKERS,$C86,OVR_BASE,"&gt;=0")&gt;0)&gt;0,SUMIFS(OVR_BASE,OVR_TICKERS,$C86),$K86))</f>
        <v/>
      </c>
      <c r="M86" s="128">
        <f>IF($B86="",0,IF((OV_SWITCH="ON")*(COUNTIFS(OVR_TICKERS,$C86,OVR_LOW,"&gt;=0")&gt;0)&gt;0,SUMIFS(OVR_LOW,OVR_TICKERS,$C86),$L86))</f>
        <v/>
      </c>
      <c r="N86" s="128">
        <f>IF($B86="",0,IF((OV_SWITCH="ON")*(COUNTIFS(OVR_TICKERS,$C86,OVR_HIGH,"&gt;=0")&gt;0)&gt;0,SUMIFS(OVR_HIGH,OVR_TICKERS,$C86),$L86))</f>
        <v/>
      </c>
      <c r="O86" s="133">
        <f>IF($B86="","",IFERROR($B86*$G86*$J86/$B$3,""))</f>
        <v/>
      </c>
      <c r="P86" s="133">
        <f>IF($B86="","",IFERROR($B86*$G86*$L86/$B$3,""))</f>
        <v/>
      </c>
      <c r="Q86" s="124">
        <f>IF($B86="","",IFERROR($O86+$P86,""))</f>
        <v/>
      </c>
      <c r="R86" s="133">
        <f>IF($B86="","",IFERROR($O86+$B86*$G86*$M86/$B$3,""))</f>
        <v/>
      </c>
      <c r="S86" s="133">
        <f>IF($B86="","",IFERROR($O86+$B86*$G86*$N86/$B$3,""))</f>
        <v/>
      </c>
      <c r="T86" s="150">
        <f>IF($B86="","",IFERROR($Q86/$Q$5,""))</f>
        <v/>
      </c>
      <c r="U86" s="2">
        <f>IF($B86="","",IF(COUNTIFS('Dvd Calendar'!$E$886:$AR$886,"&gt;0",'Dvd Calendar'!$E$886:$AR$886,"&lt;="&amp;VAL_DATE,'Dvd Calendar'!$E$887:$AR$887,"&gt;"&amp;PROJ_FROM,'Dvd Calendar'!$E$887:$AR$887,"&lt;="&amp;WIN_TO)-COUNTIFS('Dvd Calendar'!$E$886:$AR$886,"&gt;0",'Dvd Calendar'!$E$886:$AR$886,"&lt;="&amp;VAL_DATE,'Dvd Calendar'!$E$887:$AR$887,"&gt;"&amp;PROJ_FROM,'Dvd Calendar'!$E$887:$AR$887,"&lt;="&amp;WIN_TO,'Dvd Calendar'!$E$888:$AR$888,"&gt;=0")&gt;0,"TBA amount - override me",IF((OV_SWITCH="ON")*(COUNTIFS(OVR_TICKERS,$C86,OVR_BASE,"&gt;=0")&gt;0)&gt;0,"overridden",IF($J86+$K86=0,"no dividend in year Y",""))))</f>
        <v/>
      </c>
      <c r="V86" s="133">
        <f>IF($B86="","",IFERROR(IF(ISNUMBER($H86),$B86*$G86*$H86/$B$3,0),""))</f>
        <v/>
      </c>
      <c r="W86" s="133">
        <f>IF($B86="","",IFERROR($B86*$G86*$K86/$B$3,""))</f>
        <v/>
      </c>
      <c r="X86" s="157">
        <f>IF($C86="","",BDP($C86,"PX_LAST"))</f>
        <v/>
      </c>
      <c r="Y86" s="133">
        <f>IF($B86="","",IFERROR($B86*$X86/$B$3,""))</f>
        <v/>
      </c>
      <c r="Z86" s="137">
        <f>IF($B86="","",IFERROR($Y86/$Y$5,""))</f>
        <v/>
      </c>
    </row>
    <row r="87">
      <c r="B87" s="97" t="n"/>
      <c r="C87" s="8">
        <f>IF($A87="","",$A87&amp;" Equity")</f>
        <v/>
      </c>
      <c r="D87" s="8">
        <f>IF($C87="","",BDP($C87,"NAME"))</f>
        <v/>
      </c>
      <c r="E87" s="8">
        <f>IF($C87="","",BDP($C87,"GICS_SECTOR_NAME"))</f>
        <v/>
      </c>
      <c r="F87" s="37">
        <f>IF($C87="","",BDP($C87,FLD_CCY))</f>
        <v/>
      </c>
      <c r="G87" s="111">
        <f>IFERROR(IF(LEN($F87)&lt;&gt;3,1,IF($F87="HKD",1,BDP(IF($F87="CNY",RMB_CROSS,$F87)&amp;"HKD Curncy","PX_LAST"))),1)</f>
        <v/>
      </c>
      <c r="H87" s="133">
        <f>IF($C87="","",BDP($C87,FLD_DPS12M))</f>
        <v/>
      </c>
      <c r="I87" s="126">
        <f>IF($C87="","",BDP($C87,FLD_YLD12M))</f>
        <v/>
      </c>
      <c r="J87" s="128">
        <f>IF($B87="",0,SUMPRODUCT(('Dvd Calendar'!$E$891:$AR$891&gt;=WIN_FROM)*('Dvd Calendar'!$E$891:$AR$891&lt;=REALIZED_TO)*'Dvd Calendar'!$E$894:$AR$894*(('Dvd Calendar'!$E$896:$AR$896=TYPE1)*(TYPE1&lt;&gt;"")+('Dvd Calendar'!$E$896:$AR$896=TYPE2)*(TYPE2&lt;&gt;"")+('Dvd Calendar'!$E$896:$AR$896=TYPE3)*(TYPE3&lt;&gt;"")+('Dvd Calendar'!$E$896:$AR$896=TYPE4)*(TYPE4&lt;&gt;"")+('Dvd Calendar'!$E$896:$AR$896=SPECIAL_LBL)*(INC_SPECIALS="Y"))))</f>
        <v/>
      </c>
      <c r="K87" s="128">
        <f>IF($B87="",0,SUMIFS('Dvd Calendar'!$E$899:$AR$899,'Dvd Calendar'!$E$898:$AR$898,"&gt;"&amp;PROJ_FROM,'Dvd Calendar'!$E$898:$AR$898,"&lt;="&amp;WIN_TO)+SUMPRODUCT(('Dvd Calendar'!$E$891:$AR$891&gt;PROJ_FROM)*('Dvd Calendar'!$E$891:$AR$891&lt;=WIN_TO)*'Dvd Calendar'!$E$894:$AR$894*(('Dvd Calendar'!$E$896:$AR$896=TYPE1)*(TYPE1&lt;&gt;"")+('Dvd Calendar'!$E$896:$AR$896=TYPE2)*(TYPE2&lt;&gt;"")+('Dvd Calendar'!$E$896:$AR$896=TYPE3)*(TYPE3&lt;&gt;"")+('Dvd Calendar'!$E$896:$AR$896=TYPE4)*(TYPE4&lt;&gt;"")+('Dvd Calendar'!$E$896:$AR$896=SPECIAL_LBL)*(INC_SPECIALS="Y"))*(COUNTIF('Dvd Calendar'!$E$898:$AR$898,'Dvd Calendar'!$E$891:$AR$891)=0)))</f>
        <v/>
      </c>
      <c r="L87" s="128">
        <f>IF($B87="",0,IF((OV_SWITCH="ON")*(COUNTIFS(OVR_TICKERS,$C87,OVR_BASE,"&gt;=0")&gt;0)&gt;0,SUMIFS(OVR_BASE,OVR_TICKERS,$C87),$K87))</f>
        <v/>
      </c>
      <c r="M87" s="128">
        <f>IF($B87="",0,IF((OV_SWITCH="ON")*(COUNTIFS(OVR_TICKERS,$C87,OVR_LOW,"&gt;=0")&gt;0)&gt;0,SUMIFS(OVR_LOW,OVR_TICKERS,$C87),$L87))</f>
        <v/>
      </c>
      <c r="N87" s="128">
        <f>IF($B87="",0,IF((OV_SWITCH="ON")*(COUNTIFS(OVR_TICKERS,$C87,OVR_HIGH,"&gt;=0")&gt;0)&gt;0,SUMIFS(OVR_HIGH,OVR_TICKERS,$C87),$L87))</f>
        <v/>
      </c>
      <c r="O87" s="133">
        <f>IF($B87="","",IFERROR($B87*$G87*$J87/$B$3,""))</f>
        <v/>
      </c>
      <c r="P87" s="133">
        <f>IF($B87="","",IFERROR($B87*$G87*$L87/$B$3,""))</f>
        <v/>
      </c>
      <c r="Q87" s="124">
        <f>IF($B87="","",IFERROR($O87+$P87,""))</f>
        <v/>
      </c>
      <c r="R87" s="133">
        <f>IF($B87="","",IFERROR($O87+$B87*$G87*$M87/$B$3,""))</f>
        <v/>
      </c>
      <c r="S87" s="133">
        <f>IF($B87="","",IFERROR($O87+$B87*$G87*$N87/$B$3,""))</f>
        <v/>
      </c>
      <c r="T87" s="150">
        <f>IF($B87="","",IFERROR($Q87/$Q$5,""))</f>
        <v/>
      </c>
      <c r="U87" s="2">
        <f>IF($B87="","",IF(COUNTIFS('Dvd Calendar'!$E$897:$AR$897,"&gt;0",'Dvd Calendar'!$E$897:$AR$897,"&lt;="&amp;VAL_DATE,'Dvd Calendar'!$E$898:$AR$898,"&gt;"&amp;PROJ_FROM,'Dvd Calendar'!$E$898:$AR$898,"&lt;="&amp;WIN_TO)-COUNTIFS('Dvd Calendar'!$E$897:$AR$897,"&gt;0",'Dvd Calendar'!$E$897:$AR$897,"&lt;="&amp;VAL_DATE,'Dvd Calendar'!$E$898:$AR$898,"&gt;"&amp;PROJ_FROM,'Dvd Calendar'!$E$898:$AR$898,"&lt;="&amp;WIN_TO,'Dvd Calendar'!$E$899:$AR$899,"&gt;=0")&gt;0,"TBA amount - override me",IF((OV_SWITCH="ON")*(COUNTIFS(OVR_TICKERS,$C87,OVR_BASE,"&gt;=0")&gt;0)&gt;0,"overridden",IF($J87+$K87=0,"no dividend in year Y",""))))</f>
        <v/>
      </c>
      <c r="V87" s="133">
        <f>IF($B87="","",IFERROR(IF(ISNUMBER($H87),$B87*$G87*$H87/$B$3,0),""))</f>
        <v/>
      </c>
      <c r="W87" s="133">
        <f>IF($B87="","",IFERROR($B87*$G87*$K87/$B$3,""))</f>
        <v/>
      </c>
      <c r="X87" s="157">
        <f>IF($C87="","",BDP($C87,"PX_LAST"))</f>
        <v/>
      </c>
      <c r="Y87" s="133">
        <f>IF($B87="","",IFERROR($B87*$X87/$B$3,""))</f>
        <v/>
      </c>
      <c r="Z87" s="137">
        <f>IF($B87="","",IFERROR($Y87/$Y$5,""))</f>
        <v/>
      </c>
    </row>
    <row r="88">
      <c r="B88" s="97" t="n"/>
      <c r="C88" s="8">
        <f>IF($A88="","",$A88&amp;" Equity")</f>
        <v/>
      </c>
      <c r="D88" s="8">
        <f>IF($C88="","",BDP($C88,"NAME"))</f>
        <v/>
      </c>
      <c r="E88" s="8">
        <f>IF($C88="","",BDP($C88,"GICS_SECTOR_NAME"))</f>
        <v/>
      </c>
      <c r="F88" s="37">
        <f>IF($C88="","",BDP($C88,FLD_CCY))</f>
        <v/>
      </c>
      <c r="G88" s="111">
        <f>IFERROR(IF(LEN($F88)&lt;&gt;3,1,IF($F88="HKD",1,BDP(IF($F88="CNY",RMB_CROSS,$F88)&amp;"HKD Curncy","PX_LAST"))),1)</f>
        <v/>
      </c>
      <c r="H88" s="133">
        <f>IF($C88="","",BDP($C88,FLD_DPS12M))</f>
        <v/>
      </c>
      <c r="I88" s="126">
        <f>IF($C88="","",BDP($C88,FLD_YLD12M))</f>
        <v/>
      </c>
      <c r="J88" s="128">
        <f>IF($B88="",0,SUMPRODUCT(('Dvd Calendar'!$E$902:$AR$902&gt;=WIN_FROM)*('Dvd Calendar'!$E$902:$AR$902&lt;=REALIZED_TO)*'Dvd Calendar'!$E$905:$AR$905*(('Dvd Calendar'!$E$907:$AR$907=TYPE1)*(TYPE1&lt;&gt;"")+('Dvd Calendar'!$E$907:$AR$907=TYPE2)*(TYPE2&lt;&gt;"")+('Dvd Calendar'!$E$907:$AR$907=TYPE3)*(TYPE3&lt;&gt;"")+('Dvd Calendar'!$E$907:$AR$907=TYPE4)*(TYPE4&lt;&gt;"")+('Dvd Calendar'!$E$907:$AR$907=SPECIAL_LBL)*(INC_SPECIALS="Y"))))</f>
        <v/>
      </c>
      <c r="K88" s="128">
        <f>IF($B88="",0,SUMIFS('Dvd Calendar'!$E$910:$AR$910,'Dvd Calendar'!$E$909:$AR$909,"&gt;"&amp;PROJ_FROM,'Dvd Calendar'!$E$909:$AR$909,"&lt;="&amp;WIN_TO)+SUMPRODUCT(('Dvd Calendar'!$E$902:$AR$902&gt;PROJ_FROM)*('Dvd Calendar'!$E$902:$AR$902&lt;=WIN_TO)*'Dvd Calendar'!$E$905:$AR$905*(('Dvd Calendar'!$E$907:$AR$907=TYPE1)*(TYPE1&lt;&gt;"")+('Dvd Calendar'!$E$907:$AR$907=TYPE2)*(TYPE2&lt;&gt;"")+('Dvd Calendar'!$E$907:$AR$907=TYPE3)*(TYPE3&lt;&gt;"")+('Dvd Calendar'!$E$907:$AR$907=TYPE4)*(TYPE4&lt;&gt;"")+('Dvd Calendar'!$E$907:$AR$907=SPECIAL_LBL)*(INC_SPECIALS="Y"))*(COUNTIF('Dvd Calendar'!$E$909:$AR$909,'Dvd Calendar'!$E$902:$AR$902)=0)))</f>
        <v/>
      </c>
      <c r="L88" s="128">
        <f>IF($B88="",0,IF((OV_SWITCH="ON")*(COUNTIFS(OVR_TICKERS,$C88,OVR_BASE,"&gt;=0")&gt;0)&gt;0,SUMIFS(OVR_BASE,OVR_TICKERS,$C88),$K88))</f>
        <v/>
      </c>
      <c r="M88" s="128">
        <f>IF($B88="",0,IF((OV_SWITCH="ON")*(COUNTIFS(OVR_TICKERS,$C88,OVR_LOW,"&gt;=0")&gt;0)&gt;0,SUMIFS(OVR_LOW,OVR_TICKERS,$C88),$L88))</f>
        <v/>
      </c>
      <c r="N88" s="128">
        <f>IF($B88="",0,IF((OV_SWITCH="ON")*(COUNTIFS(OVR_TICKERS,$C88,OVR_HIGH,"&gt;=0")&gt;0)&gt;0,SUMIFS(OVR_HIGH,OVR_TICKERS,$C88),$L88))</f>
        <v/>
      </c>
      <c r="O88" s="133">
        <f>IF($B88="","",IFERROR($B88*$G88*$J88/$B$3,""))</f>
        <v/>
      </c>
      <c r="P88" s="133">
        <f>IF($B88="","",IFERROR($B88*$G88*$L88/$B$3,""))</f>
        <v/>
      </c>
      <c r="Q88" s="124">
        <f>IF($B88="","",IFERROR($O88+$P88,""))</f>
        <v/>
      </c>
      <c r="R88" s="133">
        <f>IF($B88="","",IFERROR($O88+$B88*$G88*$M88/$B$3,""))</f>
        <v/>
      </c>
      <c r="S88" s="133">
        <f>IF($B88="","",IFERROR($O88+$B88*$G88*$N88/$B$3,""))</f>
        <v/>
      </c>
      <c r="T88" s="150">
        <f>IF($B88="","",IFERROR($Q88/$Q$5,""))</f>
        <v/>
      </c>
      <c r="U88" s="2">
        <f>IF($B88="","",IF(COUNTIFS('Dvd Calendar'!$E$908:$AR$908,"&gt;0",'Dvd Calendar'!$E$908:$AR$908,"&lt;="&amp;VAL_DATE,'Dvd Calendar'!$E$909:$AR$909,"&gt;"&amp;PROJ_FROM,'Dvd Calendar'!$E$909:$AR$909,"&lt;="&amp;WIN_TO)-COUNTIFS('Dvd Calendar'!$E$908:$AR$908,"&gt;0",'Dvd Calendar'!$E$908:$AR$908,"&lt;="&amp;VAL_DATE,'Dvd Calendar'!$E$909:$AR$909,"&gt;"&amp;PROJ_FROM,'Dvd Calendar'!$E$909:$AR$909,"&lt;="&amp;WIN_TO,'Dvd Calendar'!$E$910:$AR$910,"&gt;=0")&gt;0,"TBA amount - override me",IF((OV_SWITCH="ON")*(COUNTIFS(OVR_TICKERS,$C88,OVR_BASE,"&gt;=0")&gt;0)&gt;0,"overridden",IF($J88+$K88=0,"no dividend in year Y",""))))</f>
        <v/>
      </c>
      <c r="V88" s="133">
        <f>IF($B88="","",IFERROR(IF(ISNUMBER($H88),$B88*$G88*$H88/$B$3,0),""))</f>
        <v/>
      </c>
      <c r="W88" s="133">
        <f>IF($B88="","",IFERROR($B88*$G88*$K88/$B$3,""))</f>
        <v/>
      </c>
      <c r="X88" s="157">
        <f>IF($C88="","",BDP($C88,"PX_LAST"))</f>
        <v/>
      </c>
      <c r="Y88" s="133">
        <f>IF($B88="","",IFERROR($B88*$X88/$B$3,""))</f>
        <v/>
      </c>
      <c r="Z88" s="137">
        <f>IF($B88="","",IFERROR($Y88/$Y$5,""))</f>
        <v/>
      </c>
    </row>
    <row r="89">
      <c r="B89" s="97" t="n"/>
      <c r="C89" s="8">
        <f>IF($A89="","",$A89&amp;" Equity")</f>
        <v/>
      </c>
      <c r="D89" s="8">
        <f>IF($C89="","",BDP($C89,"NAME"))</f>
        <v/>
      </c>
      <c r="E89" s="8">
        <f>IF($C89="","",BDP($C89,"GICS_SECTOR_NAME"))</f>
        <v/>
      </c>
      <c r="F89" s="37">
        <f>IF($C89="","",BDP($C89,FLD_CCY))</f>
        <v/>
      </c>
      <c r="G89" s="111">
        <f>IFERROR(IF(LEN($F89)&lt;&gt;3,1,IF($F89="HKD",1,BDP(IF($F89="CNY",RMB_CROSS,$F89)&amp;"HKD Curncy","PX_LAST"))),1)</f>
        <v/>
      </c>
      <c r="H89" s="133">
        <f>IF($C89="","",BDP($C89,FLD_DPS12M))</f>
        <v/>
      </c>
      <c r="I89" s="126">
        <f>IF($C89="","",BDP($C89,FLD_YLD12M))</f>
        <v/>
      </c>
      <c r="J89" s="128">
        <f>IF($B89="",0,SUMPRODUCT(('Dvd Calendar'!$E$913:$AR$913&gt;=WIN_FROM)*('Dvd Calendar'!$E$913:$AR$913&lt;=REALIZED_TO)*'Dvd Calendar'!$E$916:$AR$916*(('Dvd Calendar'!$E$918:$AR$918=TYPE1)*(TYPE1&lt;&gt;"")+('Dvd Calendar'!$E$918:$AR$918=TYPE2)*(TYPE2&lt;&gt;"")+('Dvd Calendar'!$E$918:$AR$918=TYPE3)*(TYPE3&lt;&gt;"")+('Dvd Calendar'!$E$918:$AR$918=TYPE4)*(TYPE4&lt;&gt;"")+('Dvd Calendar'!$E$918:$AR$918=SPECIAL_LBL)*(INC_SPECIALS="Y"))))</f>
        <v/>
      </c>
      <c r="K89" s="128">
        <f>IF($B89="",0,SUMIFS('Dvd Calendar'!$E$921:$AR$921,'Dvd Calendar'!$E$920:$AR$920,"&gt;"&amp;PROJ_FROM,'Dvd Calendar'!$E$920:$AR$920,"&lt;="&amp;WIN_TO)+SUMPRODUCT(('Dvd Calendar'!$E$913:$AR$913&gt;PROJ_FROM)*('Dvd Calendar'!$E$913:$AR$913&lt;=WIN_TO)*'Dvd Calendar'!$E$916:$AR$916*(('Dvd Calendar'!$E$918:$AR$918=TYPE1)*(TYPE1&lt;&gt;"")+('Dvd Calendar'!$E$918:$AR$918=TYPE2)*(TYPE2&lt;&gt;"")+('Dvd Calendar'!$E$918:$AR$918=TYPE3)*(TYPE3&lt;&gt;"")+('Dvd Calendar'!$E$918:$AR$918=TYPE4)*(TYPE4&lt;&gt;"")+('Dvd Calendar'!$E$918:$AR$918=SPECIAL_LBL)*(INC_SPECIALS="Y"))*(COUNTIF('Dvd Calendar'!$E$920:$AR$920,'Dvd Calendar'!$E$913:$AR$913)=0)))</f>
        <v/>
      </c>
      <c r="L89" s="128">
        <f>IF($B89="",0,IF((OV_SWITCH="ON")*(COUNTIFS(OVR_TICKERS,$C89,OVR_BASE,"&gt;=0")&gt;0)&gt;0,SUMIFS(OVR_BASE,OVR_TICKERS,$C89),$K89))</f>
        <v/>
      </c>
      <c r="M89" s="128">
        <f>IF($B89="",0,IF((OV_SWITCH="ON")*(COUNTIFS(OVR_TICKERS,$C89,OVR_LOW,"&gt;=0")&gt;0)&gt;0,SUMIFS(OVR_LOW,OVR_TICKERS,$C89),$L89))</f>
        <v/>
      </c>
      <c r="N89" s="128">
        <f>IF($B89="",0,IF((OV_SWITCH="ON")*(COUNTIFS(OVR_TICKERS,$C89,OVR_HIGH,"&gt;=0")&gt;0)&gt;0,SUMIFS(OVR_HIGH,OVR_TICKERS,$C89),$L89))</f>
        <v/>
      </c>
      <c r="O89" s="133">
        <f>IF($B89="","",IFERROR($B89*$G89*$J89/$B$3,""))</f>
        <v/>
      </c>
      <c r="P89" s="133">
        <f>IF($B89="","",IFERROR($B89*$G89*$L89/$B$3,""))</f>
        <v/>
      </c>
      <c r="Q89" s="124">
        <f>IF($B89="","",IFERROR($O89+$P89,""))</f>
        <v/>
      </c>
      <c r="R89" s="133">
        <f>IF($B89="","",IFERROR($O89+$B89*$G89*$M89/$B$3,""))</f>
        <v/>
      </c>
      <c r="S89" s="133">
        <f>IF($B89="","",IFERROR($O89+$B89*$G89*$N89/$B$3,""))</f>
        <v/>
      </c>
      <c r="T89" s="150">
        <f>IF($B89="","",IFERROR($Q89/$Q$5,""))</f>
        <v/>
      </c>
      <c r="U89" s="2">
        <f>IF($B89="","",IF(COUNTIFS('Dvd Calendar'!$E$919:$AR$919,"&gt;0",'Dvd Calendar'!$E$919:$AR$919,"&lt;="&amp;VAL_DATE,'Dvd Calendar'!$E$920:$AR$920,"&gt;"&amp;PROJ_FROM,'Dvd Calendar'!$E$920:$AR$920,"&lt;="&amp;WIN_TO)-COUNTIFS('Dvd Calendar'!$E$919:$AR$919,"&gt;0",'Dvd Calendar'!$E$919:$AR$919,"&lt;="&amp;VAL_DATE,'Dvd Calendar'!$E$920:$AR$920,"&gt;"&amp;PROJ_FROM,'Dvd Calendar'!$E$920:$AR$920,"&lt;="&amp;WIN_TO,'Dvd Calendar'!$E$921:$AR$921,"&gt;=0")&gt;0,"TBA amount - override me",IF((OV_SWITCH="ON")*(COUNTIFS(OVR_TICKERS,$C89,OVR_BASE,"&gt;=0")&gt;0)&gt;0,"overridden",IF($J89+$K89=0,"no dividend in year Y",""))))</f>
        <v/>
      </c>
      <c r="V89" s="133">
        <f>IF($B89="","",IFERROR(IF(ISNUMBER($H89),$B89*$G89*$H89/$B$3,0),""))</f>
        <v/>
      </c>
      <c r="W89" s="133">
        <f>IF($B89="","",IFERROR($B89*$G89*$K89/$B$3,""))</f>
        <v/>
      </c>
      <c r="X89" s="157">
        <f>IF($C89="","",BDP($C89,"PX_LAST"))</f>
        <v/>
      </c>
      <c r="Y89" s="133">
        <f>IF($B89="","",IFERROR($B89*$X89/$B$3,""))</f>
        <v/>
      </c>
      <c r="Z89" s="137">
        <f>IF($B89="","",IFERROR($Y89/$Y$5,""))</f>
        <v/>
      </c>
    </row>
    <row r="90">
      <c r="B90" s="97" t="n"/>
      <c r="C90" s="8">
        <f>IF($A90="","",$A90&amp;" Equity")</f>
        <v/>
      </c>
      <c r="D90" s="8">
        <f>IF($C90="","",BDP($C90,"NAME"))</f>
        <v/>
      </c>
      <c r="E90" s="8">
        <f>IF($C90="","",BDP($C90,"GICS_SECTOR_NAME"))</f>
        <v/>
      </c>
      <c r="F90" s="37">
        <f>IF($C90="","",BDP($C90,FLD_CCY))</f>
        <v/>
      </c>
      <c r="G90" s="111">
        <f>IFERROR(IF(LEN($F90)&lt;&gt;3,1,IF($F90="HKD",1,BDP(IF($F90="CNY",RMB_CROSS,$F90)&amp;"HKD Curncy","PX_LAST"))),1)</f>
        <v/>
      </c>
      <c r="H90" s="133">
        <f>IF($C90="","",BDP($C90,FLD_DPS12M))</f>
        <v/>
      </c>
      <c r="I90" s="126">
        <f>IF($C90="","",BDP($C90,FLD_YLD12M))</f>
        <v/>
      </c>
      <c r="J90" s="128">
        <f>IF($B90="",0,SUMPRODUCT(('Dvd Calendar'!$E$924:$AR$924&gt;=WIN_FROM)*('Dvd Calendar'!$E$924:$AR$924&lt;=REALIZED_TO)*'Dvd Calendar'!$E$927:$AR$927*(('Dvd Calendar'!$E$929:$AR$929=TYPE1)*(TYPE1&lt;&gt;"")+('Dvd Calendar'!$E$929:$AR$929=TYPE2)*(TYPE2&lt;&gt;"")+('Dvd Calendar'!$E$929:$AR$929=TYPE3)*(TYPE3&lt;&gt;"")+('Dvd Calendar'!$E$929:$AR$929=TYPE4)*(TYPE4&lt;&gt;"")+('Dvd Calendar'!$E$929:$AR$929=SPECIAL_LBL)*(INC_SPECIALS="Y"))))</f>
        <v/>
      </c>
      <c r="K90" s="128">
        <f>IF($B90="",0,SUMIFS('Dvd Calendar'!$E$932:$AR$932,'Dvd Calendar'!$E$931:$AR$931,"&gt;"&amp;PROJ_FROM,'Dvd Calendar'!$E$931:$AR$931,"&lt;="&amp;WIN_TO)+SUMPRODUCT(('Dvd Calendar'!$E$924:$AR$924&gt;PROJ_FROM)*('Dvd Calendar'!$E$924:$AR$924&lt;=WIN_TO)*'Dvd Calendar'!$E$927:$AR$927*(('Dvd Calendar'!$E$929:$AR$929=TYPE1)*(TYPE1&lt;&gt;"")+('Dvd Calendar'!$E$929:$AR$929=TYPE2)*(TYPE2&lt;&gt;"")+('Dvd Calendar'!$E$929:$AR$929=TYPE3)*(TYPE3&lt;&gt;"")+('Dvd Calendar'!$E$929:$AR$929=TYPE4)*(TYPE4&lt;&gt;"")+('Dvd Calendar'!$E$929:$AR$929=SPECIAL_LBL)*(INC_SPECIALS="Y"))*(COUNTIF('Dvd Calendar'!$E$931:$AR$931,'Dvd Calendar'!$E$924:$AR$924)=0)))</f>
        <v/>
      </c>
      <c r="L90" s="128">
        <f>IF($B90="",0,IF((OV_SWITCH="ON")*(COUNTIFS(OVR_TICKERS,$C90,OVR_BASE,"&gt;=0")&gt;0)&gt;0,SUMIFS(OVR_BASE,OVR_TICKERS,$C90),$K90))</f>
        <v/>
      </c>
      <c r="M90" s="128">
        <f>IF($B90="",0,IF((OV_SWITCH="ON")*(COUNTIFS(OVR_TICKERS,$C90,OVR_LOW,"&gt;=0")&gt;0)&gt;0,SUMIFS(OVR_LOW,OVR_TICKERS,$C90),$L90))</f>
        <v/>
      </c>
      <c r="N90" s="128">
        <f>IF($B90="",0,IF((OV_SWITCH="ON")*(COUNTIFS(OVR_TICKERS,$C90,OVR_HIGH,"&gt;=0")&gt;0)&gt;0,SUMIFS(OVR_HIGH,OVR_TICKERS,$C90),$L90))</f>
        <v/>
      </c>
      <c r="O90" s="133">
        <f>IF($B90="","",IFERROR($B90*$G90*$J90/$B$3,""))</f>
        <v/>
      </c>
      <c r="P90" s="133">
        <f>IF($B90="","",IFERROR($B90*$G90*$L90/$B$3,""))</f>
        <v/>
      </c>
      <c r="Q90" s="124">
        <f>IF($B90="","",IFERROR($O90+$P90,""))</f>
        <v/>
      </c>
      <c r="R90" s="133">
        <f>IF($B90="","",IFERROR($O90+$B90*$G90*$M90/$B$3,""))</f>
        <v/>
      </c>
      <c r="S90" s="133">
        <f>IF($B90="","",IFERROR($O90+$B90*$G90*$N90/$B$3,""))</f>
        <v/>
      </c>
      <c r="T90" s="150">
        <f>IF($B90="","",IFERROR($Q90/$Q$5,""))</f>
        <v/>
      </c>
      <c r="U90" s="2">
        <f>IF($B90="","",IF(COUNTIFS('Dvd Calendar'!$E$930:$AR$930,"&gt;0",'Dvd Calendar'!$E$930:$AR$930,"&lt;="&amp;VAL_DATE,'Dvd Calendar'!$E$931:$AR$931,"&gt;"&amp;PROJ_FROM,'Dvd Calendar'!$E$931:$AR$931,"&lt;="&amp;WIN_TO)-COUNTIFS('Dvd Calendar'!$E$930:$AR$930,"&gt;0",'Dvd Calendar'!$E$930:$AR$930,"&lt;="&amp;VAL_DATE,'Dvd Calendar'!$E$931:$AR$931,"&gt;"&amp;PROJ_FROM,'Dvd Calendar'!$E$931:$AR$931,"&lt;="&amp;WIN_TO,'Dvd Calendar'!$E$932:$AR$932,"&gt;=0")&gt;0,"TBA amount - override me",IF((OV_SWITCH="ON")*(COUNTIFS(OVR_TICKERS,$C90,OVR_BASE,"&gt;=0")&gt;0)&gt;0,"overridden",IF($J90+$K90=0,"no dividend in year Y",""))))</f>
        <v/>
      </c>
      <c r="V90" s="133">
        <f>IF($B90="","",IFERROR(IF(ISNUMBER($H90),$B90*$G90*$H90/$B$3,0),""))</f>
        <v/>
      </c>
      <c r="W90" s="133">
        <f>IF($B90="","",IFERROR($B90*$G90*$K90/$B$3,""))</f>
        <v/>
      </c>
      <c r="X90" s="157">
        <f>IF($C90="","",BDP($C90,"PX_LAST"))</f>
        <v/>
      </c>
      <c r="Y90" s="133">
        <f>IF($B90="","",IFERROR($B90*$X90/$B$3,""))</f>
        <v/>
      </c>
      <c r="Z90" s="137">
        <f>IF($B90="","",IFERROR($Y90/$Y$5,""))</f>
        <v/>
      </c>
    </row>
    <row r="91">
      <c r="B91" s="97" t="n"/>
      <c r="C91" s="8">
        <f>IF($A91="","",$A91&amp;" Equity")</f>
        <v/>
      </c>
      <c r="D91" s="8">
        <f>IF($C91="","",BDP($C91,"NAME"))</f>
        <v/>
      </c>
      <c r="E91" s="8">
        <f>IF($C91="","",BDP($C91,"GICS_SECTOR_NAME"))</f>
        <v/>
      </c>
      <c r="F91" s="37">
        <f>IF($C91="","",BDP($C91,FLD_CCY))</f>
        <v/>
      </c>
      <c r="G91" s="111">
        <f>IFERROR(IF(LEN($F91)&lt;&gt;3,1,IF($F91="HKD",1,BDP(IF($F91="CNY",RMB_CROSS,$F91)&amp;"HKD Curncy","PX_LAST"))),1)</f>
        <v/>
      </c>
      <c r="H91" s="133">
        <f>IF($C91="","",BDP($C91,FLD_DPS12M))</f>
        <v/>
      </c>
      <c r="I91" s="126">
        <f>IF($C91="","",BDP($C91,FLD_YLD12M))</f>
        <v/>
      </c>
      <c r="J91" s="128">
        <f>IF($B91="",0,SUMPRODUCT(('Dvd Calendar'!$E$935:$AR$935&gt;=WIN_FROM)*('Dvd Calendar'!$E$935:$AR$935&lt;=REALIZED_TO)*'Dvd Calendar'!$E$938:$AR$938*(('Dvd Calendar'!$E$940:$AR$940=TYPE1)*(TYPE1&lt;&gt;"")+('Dvd Calendar'!$E$940:$AR$940=TYPE2)*(TYPE2&lt;&gt;"")+('Dvd Calendar'!$E$940:$AR$940=TYPE3)*(TYPE3&lt;&gt;"")+('Dvd Calendar'!$E$940:$AR$940=TYPE4)*(TYPE4&lt;&gt;"")+('Dvd Calendar'!$E$940:$AR$940=SPECIAL_LBL)*(INC_SPECIALS="Y"))))</f>
        <v/>
      </c>
      <c r="K91" s="128">
        <f>IF($B91="",0,SUMIFS('Dvd Calendar'!$E$943:$AR$943,'Dvd Calendar'!$E$942:$AR$942,"&gt;"&amp;PROJ_FROM,'Dvd Calendar'!$E$942:$AR$942,"&lt;="&amp;WIN_TO)+SUMPRODUCT(('Dvd Calendar'!$E$935:$AR$935&gt;PROJ_FROM)*('Dvd Calendar'!$E$935:$AR$935&lt;=WIN_TO)*'Dvd Calendar'!$E$938:$AR$938*(('Dvd Calendar'!$E$940:$AR$940=TYPE1)*(TYPE1&lt;&gt;"")+('Dvd Calendar'!$E$940:$AR$940=TYPE2)*(TYPE2&lt;&gt;"")+('Dvd Calendar'!$E$940:$AR$940=TYPE3)*(TYPE3&lt;&gt;"")+('Dvd Calendar'!$E$940:$AR$940=TYPE4)*(TYPE4&lt;&gt;"")+('Dvd Calendar'!$E$940:$AR$940=SPECIAL_LBL)*(INC_SPECIALS="Y"))*(COUNTIF('Dvd Calendar'!$E$942:$AR$942,'Dvd Calendar'!$E$935:$AR$935)=0)))</f>
        <v/>
      </c>
      <c r="L91" s="128">
        <f>IF($B91="",0,IF((OV_SWITCH="ON")*(COUNTIFS(OVR_TICKERS,$C91,OVR_BASE,"&gt;=0")&gt;0)&gt;0,SUMIFS(OVR_BASE,OVR_TICKERS,$C91),$K91))</f>
        <v/>
      </c>
      <c r="M91" s="128">
        <f>IF($B91="",0,IF((OV_SWITCH="ON")*(COUNTIFS(OVR_TICKERS,$C91,OVR_LOW,"&gt;=0")&gt;0)&gt;0,SUMIFS(OVR_LOW,OVR_TICKERS,$C91),$L91))</f>
        <v/>
      </c>
      <c r="N91" s="128">
        <f>IF($B91="",0,IF((OV_SWITCH="ON")*(COUNTIFS(OVR_TICKERS,$C91,OVR_HIGH,"&gt;=0")&gt;0)&gt;0,SUMIFS(OVR_HIGH,OVR_TICKERS,$C91),$L91))</f>
        <v/>
      </c>
      <c r="O91" s="133">
        <f>IF($B91="","",IFERROR($B91*$G91*$J91/$B$3,""))</f>
        <v/>
      </c>
      <c r="P91" s="133">
        <f>IF($B91="","",IFERROR($B91*$G91*$L91/$B$3,""))</f>
        <v/>
      </c>
      <c r="Q91" s="124">
        <f>IF($B91="","",IFERROR($O91+$P91,""))</f>
        <v/>
      </c>
      <c r="R91" s="133">
        <f>IF($B91="","",IFERROR($O91+$B91*$G91*$M91/$B$3,""))</f>
        <v/>
      </c>
      <c r="S91" s="133">
        <f>IF($B91="","",IFERROR($O91+$B91*$G91*$N91/$B$3,""))</f>
        <v/>
      </c>
      <c r="T91" s="150">
        <f>IF($B91="","",IFERROR($Q91/$Q$5,""))</f>
        <v/>
      </c>
      <c r="U91" s="2">
        <f>IF($B91="","",IF(COUNTIFS('Dvd Calendar'!$E$941:$AR$941,"&gt;0",'Dvd Calendar'!$E$941:$AR$941,"&lt;="&amp;VAL_DATE,'Dvd Calendar'!$E$942:$AR$942,"&gt;"&amp;PROJ_FROM,'Dvd Calendar'!$E$942:$AR$942,"&lt;="&amp;WIN_TO)-COUNTIFS('Dvd Calendar'!$E$941:$AR$941,"&gt;0",'Dvd Calendar'!$E$941:$AR$941,"&lt;="&amp;VAL_DATE,'Dvd Calendar'!$E$942:$AR$942,"&gt;"&amp;PROJ_FROM,'Dvd Calendar'!$E$942:$AR$942,"&lt;="&amp;WIN_TO,'Dvd Calendar'!$E$943:$AR$943,"&gt;=0")&gt;0,"TBA amount - override me",IF((OV_SWITCH="ON")*(COUNTIFS(OVR_TICKERS,$C91,OVR_BASE,"&gt;=0")&gt;0)&gt;0,"overridden",IF($J91+$K91=0,"no dividend in year Y",""))))</f>
        <v/>
      </c>
      <c r="V91" s="133">
        <f>IF($B91="","",IFERROR(IF(ISNUMBER($H91),$B91*$G91*$H91/$B$3,0),""))</f>
        <v/>
      </c>
      <c r="W91" s="133">
        <f>IF($B91="","",IFERROR($B91*$G91*$K91/$B$3,""))</f>
        <v/>
      </c>
      <c r="X91" s="157">
        <f>IF($C91="","",BDP($C91,"PX_LAST"))</f>
        <v/>
      </c>
      <c r="Y91" s="133">
        <f>IF($B91="","",IFERROR($B91*$X91/$B$3,""))</f>
        <v/>
      </c>
      <c r="Z91" s="137">
        <f>IF($B91="","",IFERROR($Y91/$Y$5,""))</f>
        <v/>
      </c>
    </row>
    <row r="92">
      <c r="B92" s="97" t="n"/>
      <c r="C92" s="8">
        <f>IF($A92="","",$A92&amp;" Equity")</f>
        <v/>
      </c>
      <c r="D92" s="8">
        <f>IF($C92="","",BDP($C92,"NAME"))</f>
        <v/>
      </c>
      <c r="E92" s="8">
        <f>IF($C92="","",BDP($C92,"GICS_SECTOR_NAME"))</f>
        <v/>
      </c>
      <c r="F92" s="37">
        <f>IF($C92="","",BDP($C92,FLD_CCY))</f>
        <v/>
      </c>
      <c r="G92" s="111">
        <f>IFERROR(IF(LEN($F92)&lt;&gt;3,1,IF($F92="HKD",1,BDP(IF($F92="CNY",RMB_CROSS,$F92)&amp;"HKD Curncy","PX_LAST"))),1)</f>
        <v/>
      </c>
      <c r="H92" s="133">
        <f>IF($C92="","",BDP($C92,FLD_DPS12M))</f>
        <v/>
      </c>
      <c r="I92" s="126">
        <f>IF($C92="","",BDP($C92,FLD_YLD12M))</f>
        <v/>
      </c>
      <c r="J92" s="128">
        <f>IF($B92="",0,SUMPRODUCT(('Dvd Calendar'!$E$946:$AR$946&gt;=WIN_FROM)*('Dvd Calendar'!$E$946:$AR$946&lt;=REALIZED_TO)*'Dvd Calendar'!$E$949:$AR$949*(('Dvd Calendar'!$E$951:$AR$951=TYPE1)*(TYPE1&lt;&gt;"")+('Dvd Calendar'!$E$951:$AR$951=TYPE2)*(TYPE2&lt;&gt;"")+('Dvd Calendar'!$E$951:$AR$951=TYPE3)*(TYPE3&lt;&gt;"")+('Dvd Calendar'!$E$951:$AR$951=TYPE4)*(TYPE4&lt;&gt;"")+('Dvd Calendar'!$E$951:$AR$951=SPECIAL_LBL)*(INC_SPECIALS="Y"))))</f>
        <v/>
      </c>
      <c r="K92" s="128">
        <f>IF($B92="",0,SUMIFS('Dvd Calendar'!$E$954:$AR$954,'Dvd Calendar'!$E$953:$AR$953,"&gt;"&amp;PROJ_FROM,'Dvd Calendar'!$E$953:$AR$953,"&lt;="&amp;WIN_TO)+SUMPRODUCT(('Dvd Calendar'!$E$946:$AR$946&gt;PROJ_FROM)*('Dvd Calendar'!$E$946:$AR$946&lt;=WIN_TO)*'Dvd Calendar'!$E$949:$AR$949*(('Dvd Calendar'!$E$951:$AR$951=TYPE1)*(TYPE1&lt;&gt;"")+('Dvd Calendar'!$E$951:$AR$951=TYPE2)*(TYPE2&lt;&gt;"")+('Dvd Calendar'!$E$951:$AR$951=TYPE3)*(TYPE3&lt;&gt;"")+('Dvd Calendar'!$E$951:$AR$951=TYPE4)*(TYPE4&lt;&gt;"")+('Dvd Calendar'!$E$951:$AR$951=SPECIAL_LBL)*(INC_SPECIALS="Y"))*(COUNTIF('Dvd Calendar'!$E$953:$AR$953,'Dvd Calendar'!$E$946:$AR$946)=0)))</f>
        <v/>
      </c>
      <c r="L92" s="128">
        <f>IF($B92="",0,IF((OV_SWITCH="ON")*(COUNTIFS(OVR_TICKERS,$C92,OVR_BASE,"&gt;=0")&gt;0)&gt;0,SUMIFS(OVR_BASE,OVR_TICKERS,$C92),$K92))</f>
        <v/>
      </c>
      <c r="M92" s="128">
        <f>IF($B92="",0,IF((OV_SWITCH="ON")*(COUNTIFS(OVR_TICKERS,$C92,OVR_LOW,"&gt;=0")&gt;0)&gt;0,SUMIFS(OVR_LOW,OVR_TICKERS,$C92),$L92))</f>
        <v/>
      </c>
      <c r="N92" s="128">
        <f>IF($B92="",0,IF((OV_SWITCH="ON")*(COUNTIFS(OVR_TICKERS,$C92,OVR_HIGH,"&gt;=0")&gt;0)&gt;0,SUMIFS(OVR_HIGH,OVR_TICKERS,$C92),$L92))</f>
        <v/>
      </c>
      <c r="O92" s="133">
        <f>IF($B92="","",IFERROR($B92*$G92*$J92/$B$3,""))</f>
        <v/>
      </c>
      <c r="P92" s="133">
        <f>IF($B92="","",IFERROR($B92*$G92*$L92/$B$3,""))</f>
        <v/>
      </c>
      <c r="Q92" s="124">
        <f>IF($B92="","",IFERROR($O92+$P92,""))</f>
        <v/>
      </c>
      <c r="R92" s="133">
        <f>IF($B92="","",IFERROR($O92+$B92*$G92*$M92/$B$3,""))</f>
        <v/>
      </c>
      <c r="S92" s="133">
        <f>IF($B92="","",IFERROR($O92+$B92*$G92*$N92/$B$3,""))</f>
        <v/>
      </c>
      <c r="T92" s="150">
        <f>IF($B92="","",IFERROR($Q92/$Q$5,""))</f>
        <v/>
      </c>
      <c r="U92" s="2">
        <f>IF($B92="","",IF(COUNTIFS('Dvd Calendar'!$E$952:$AR$952,"&gt;0",'Dvd Calendar'!$E$952:$AR$952,"&lt;="&amp;VAL_DATE,'Dvd Calendar'!$E$953:$AR$953,"&gt;"&amp;PROJ_FROM,'Dvd Calendar'!$E$953:$AR$953,"&lt;="&amp;WIN_TO)-COUNTIFS('Dvd Calendar'!$E$952:$AR$952,"&gt;0",'Dvd Calendar'!$E$952:$AR$952,"&lt;="&amp;VAL_DATE,'Dvd Calendar'!$E$953:$AR$953,"&gt;"&amp;PROJ_FROM,'Dvd Calendar'!$E$953:$AR$953,"&lt;="&amp;WIN_TO,'Dvd Calendar'!$E$954:$AR$954,"&gt;=0")&gt;0,"TBA amount - override me",IF((OV_SWITCH="ON")*(COUNTIFS(OVR_TICKERS,$C92,OVR_BASE,"&gt;=0")&gt;0)&gt;0,"overridden",IF($J92+$K92=0,"no dividend in year Y",""))))</f>
        <v/>
      </c>
      <c r="V92" s="133">
        <f>IF($B92="","",IFERROR(IF(ISNUMBER($H92),$B92*$G92*$H92/$B$3,0),""))</f>
        <v/>
      </c>
      <c r="W92" s="133">
        <f>IF($B92="","",IFERROR($B92*$G92*$K92/$B$3,""))</f>
        <v/>
      </c>
      <c r="X92" s="157">
        <f>IF($C92="","",BDP($C92,"PX_LAST"))</f>
        <v/>
      </c>
      <c r="Y92" s="133">
        <f>IF($B92="","",IFERROR($B92*$X92/$B$3,""))</f>
        <v/>
      </c>
      <c r="Z92" s="137">
        <f>IF($B92="","",IFERROR($Y92/$Y$5,""))</f>
        <v/>
      </c>
    </row>
    <row r="93">
      <c r="B93" s="97" t="n"/>
      <c r="C93" s="8">
        <f>IF($A93="","",$A93&amp;" Equity")</f>
        <v/>
      </c>
      <c r="D93" s="8">
        <f>IF($C93="","",BDP($C93,"NAME"))</f>
        <v/>
      </c>
      <c r="E93" s="8">
        <f>IF($C93="","",BDP($C93,"GICS_SECTOR_NAME"))</f>
        <v/>
      </c>
      <c r="F93" s="37">
        <f>IF($C93="","",BDP($C93,FLD_CCY))</f>
        <v/>
      </c>
      <c r="G93" s="111">
        <f>IFERROR(IF(LEN($F93)&lt;&gt;3,1,IF($F93="HKD",1,BDP(IF($F93="CNY",RMB_CROSS,$F93)&amp;"HKD Curncy","PX_LAST"))),1)</f>
        <v/>
      </c>
      <c r="H93" s="133">
        <f>IF($C93="","",BDP($C93,FLD_DPS12M))</f>
        <v/>
      </c>
      <c r="I93" s="126">
        <f>IF($C93="","",BDP($C93,FLD_YLD12M))</f>
        <v/>
      </c>
      <c r="J93" s="128">
        <f>IF($B93="",0,SUMPRODUCT(('Dvd Calendar'!$E$957:$AR$957&gt;=WIN_FROM)*('Dvd Calendar'!$E$957:$AR$957&lt;=REALIZED_TO)*'Dvd Calendar'!$E$960:$AR$960*(('Dvd Calendar'!$E$962:$AR$962=TYPE1)*(TYPE1&lt;&gt;"")+('Dvd Calendar'!$E$962:$AR$962=TYPE2)*(TYPE2&lt;&gt;"")+('Dvd Calendar'!$E$962:$AR$962=TYPE3)*(TYPE3&lt;&gt;"")+('Dvd Calendar'!$E$962:$AR$962=TYPE4)*(TYPE4&lt;&gt;"")+('Dvd Calendar'!$E$962:$AR$962=SPECIAL_LBL)*(INC_SPECIALS="Y"))))</f>
        <v/>
      </c>
      <c r="K93" s="128">
        <f>IF($B93="",0,SUMIFS('Dvd Calendar'!$E$965:$AR$965,'Dvd Calendar'!$E$964:$AR$964,"&gt;"&amp;PROJ_FROM,'Dvd Calendar'!$E$964:$AR$964,"&lt;="&amp;WIN_TO)+SUMPRODUCT(('Dvd Calendar'!$E$957:$AR$957&gt;PROJ_FROM)*('Dvd Calendar'!$E$957:$AR$957&lt;=WIN_TO)*'Dvd Calendar'!$E$960:$AR$960*(('Dvd Calendar'!$E$962:$AR$962=TYPE1)*(TYPE1&lt;&gt;"")+('Dvd Calendar'!$E$962:$AR$962=TYPE2)*(TYPE2&lt;&gt;"")+('Dvd Calendar'!$E$962:$AR$962=TYPE3)*(TYPE3&lt;&gt;"")+('Dvd Calendar'!$E$962:$AR$962=TYPE4)*(TYPE4&lt;&gt;"")+('Dvd Calendar'!$E$962:$AR$962=SPECIAL_LBL)*(INC_SPECIALS="Y"))*(COUNTIF('Dvd Calendar'!$E$964:$AR$964,'Dvd Calendar'!$E$957:$AR$957)=0)))</f>
        <v/>
      </c>
      <c r="L93" s="128">
        <f>IF($B93="",0,IF((OV_SWITCH="ON")*(COUNTIFS(OVR_TICKERS,$C93,OVR_BASE,"&gt;=0")&gt;0)&gt;0,SUMIFS(OVR_BASE,OVR_TICKERS,$C93),$K93))</f>
        <v/>
      </c>
      <c r="M93" s="128">
        <f>IF($B93="",0,IF((OV_SWITCH="ON")*(COUNTIFS(OVR_TICKERS,$C93,OVR_LOW,"&gt;=0")&gt;0)&gt;0,SUMIFS(OVR_LOW,OVR_TICKERS,$C93),$L93))</f>
        <v/>
      </c>
      <c r="N93" s="128">
        <f>IF($B93="",0,IF((OV_SWITCH="ON")*(COUNTIFS(OVR_TICKERS,$C93,OVR_HIGH,"&gt;=0")&gt;0)&gt;0,SUMIFS(OVR_HIGH,OVR_TICKERS,$C93),$L93))</f>
        <v/>
      </c>
      <c r="O93" s="133">
        <f>IF($B93="","",IFERROR($B93*$G93*$J93/$B$3,""))</f>
        <v/>
      </c>
      <c r="P93" s="133">
        <f>IF($B93="","",IFERROR($B93*$G93*$L93/$B$3,""))</f>
        <v/>
      </c>
      <c r="Q93" s="124">
        <f>IF($B93="","",IFERROR($O93+$P93,""))</f>
        <v/>
      </c>
      <c r="R93" s="133">
        <f>IF($B93="","",IFERROR($O93+$B93*$G93*$M93/$B$3,""))</f>
        <v/>
      </c>
      <c r="S93" s="133">
        <f>IF($B93="","",IFERROR($O93+$B93*$G93*$N93/$B$3,""))</f>
        <v/>
      </c>
      <c r="T93" s="150">
        <f>IF($B93="","",IFERROR($Q93/$Q$5,""))</f>
        <v/>
      </c>
      <c r="U93" s="2">
        <f>IF($B93="","",IF(COUNTIFS('Dvd Calendar'!$E$963:$AR$963,"&gt;0",'Dvd Calendar'!$E$963:$AR$963,"&lt;="&amp;VAL_DATE,'Dvd Calendar'!$E$964:$AR$964,"&gt;"&amp;PROJ_FROM,'Dvd Calendar'!$E$964:$AR$964,"&lt;="&amp;WIN_TO)-COUNTIFS('Dvd Calendar'!$E$963:$AR$963,"&gt;0",'Dvd Calendar'!$E$963:$AR$963,"&lt;="&amp;VAL_DATE,'Dvd Calendar'!$E$964:$AR$964,"&gt;"&amp;PROJ_FROM,'Dvd Calendar'!$E$964:$AR$964,"&lt;="&amp;WIN_TO,'Dvd Calendar'!$E$965:$AR$965,"&gt;=0")&gt;0,"TBA amount - override me",IF((OV_SWITCH="ON")*(COUNTIFS(OVR_TICKERS,$C93,OVR_BASE,"&gt;=0")&gt;0)&gt;0,"overridden",IF($J93+$K93=0,"no dividend in year Y",""))))</f>
        <v/>
      </c>
      <c r="V93" s="133">
        <f>IF($B93="","",IFERROR(IF(ISNUMBER($H93),$B93*$G93*$H93/$B$3,0),""))</f>
        <v/>
      </c>
      <c r="W93" s="133">
        <f>IF($B93="","",IFERROR($B93*$G93*$K93/$B$3,""))</f>
        <v/>
      </c>
      <c r="X93" s="157">
        <f>IF($C93="","",BDP($C93,"PX_LAST"))</f>
        <v/>
      </c>
      <c r="Y93" s="133">
        <f>IF($B93="","",IFERROR($B93*$X93/$B$3,""))</f>
        <v/>
      </c>
      <c r="Z93" s="137">
        <f>IF($B93="","",IFERROR($Y93/$Y$5,""))</f>
        <v/>
      </c>
    </row>
    <row r="94">
      <c r="B94" s="97" t="n"/>
      <c r="C94" s="8">
        <f>IF($A94="","",$A94&amp;" Equity")</f>
        <v/>
      </c>
      <c r="D94" s="8">
        <f>IF($C94="","",BDP($C94,"NAME"))</f>
        <v/>
      </c>
      <c r="E94" s="8">
        <f>IF($C94="","",BDP($C94,"GICS_SECTOR_NAME"))</f>
        <v/>
      </c>
      <c r="F94" s="37">
        <f>IF($C94="","",BDP($C94,FLD_CCY))</f>
        <v/>
      </c>
      <c r="G94" s="111">
        <f>IFERROR(IF(LEN($F94)&lt;&gt;3,1,IF($F94="HKD",1,BDP(IF($F94="CNY",RMB_CROSS,$F94)&amp;"HKD Curncy","PX_LAST"))),1)</f>
        <v/>
      </c>
      <c r="H94" s="133">
        <f>IF($C94="","",BDP($C94,FLD_DPS12M))</f>
        <v/>
      </c>
      <c r="I94" s="126">
        <f>IF($C94="","",BDP($C94,FLD_YLD12M))</f>
        <v/>
      </c>
      <c r="J94" s="128">
        <f>IF($B94="",0,SUMPRODUCT(('Dvd Calendar'!$E$968:$AR$968&gt;=WIN_FROM)*('Dvd Calendar'!$E$968:$AR$968&lt;=REALIZED_TO)*'Dvd Calendar'!$E$971:$AR$971*(('Dvd Calendar'!$E$973:$AR$973=TYPE1)*(TYPE1&lt;&gt;"")+('Dvd Calendar'!$E$973:$AR$973=TYPE2)*(TYPE2&lt;&gt;"")+('Dvd Calendar'!$E$973:$AR$973=TYPE3)*(TYPE3&lt;&gt;"")+('Dvd Calendar'!$E$973:$AR$973=TYPE4)*(TYPE4&lt;&gt;"")+('Dvd Calendar'!$E$973:$AR$973=SPECIAL_LBL)*(INC_SPECIALS="Y"))))</f>
        <v/>
      </c>
      <c r="K94" s="128">
        <f>IF($B94="",0,SUMIFS('Dvd Calendar'!$E$976:$AR$976,'Dvd Calendar'!$E$975:$AR$975,"&gt;"&amp;PROJ_FROM,'Dvd Calendar'!$E$975:$AR$975,"&lt;="&amp;WIN_TO)+SUMPRODUCT(('Dvd Calendar'!$E$968:$AR$968&gt;PROJ_FROM)*('Dvd Calendar'!$E$968:$AR$968&lt;=WIN_TO)*'Dvd Calendar'!$E$971:$AR$971*(('Dvd Calendar'!$E$973:$AR$973=TYPE1)*(TYPE1&lt;&gt;"")+('Dvd Calendar'!$E$973:$AR$973=TYPE2)*(TYPE2&lt;&gt;"")+('Dvd Calendar'!$E$973:$AR$973=TYPE3)*(TYPE3&lt;&gt;"")+('Dvd Calendar'!$E$973:$AR$973=TYPE4)*(TYPE4&lt;&gt;"")+('Dvd Calendar'!$E$973:$AR$973=SPECIAL_LBL)*(INC_SPECIALS="Y"))*(COUNTIF('Dvd Calendar'!$E$975:$AR$975,'Dvd Calendar'!$E$968:$AR$968)=0)))</f>
        <v/>
      </c>
      <c r="L94" s="128">
        <f>IF($B94="",0,IF((OV_SWITCH="ON")*(COUNTIFS(OVR_TICKERS,$C94,OVR_BASE,"&gt;=0")&gt;0)&gt;0,SUMIFS(OVR_BASE,OVR_TICKERS,$C94),$K94))</f>
        <v/>
      </c>
      <c r="M94" s="128">
        <f>IF($B94="",0,IF((OV_SWITCH="ON")*(COUNTIFS(OVR_TICKERS,$C94,OVR_LOW,"&gt;=0")&gt;0)&gt;0,SUMIFS(OVR_LOW,OVR_TICKERS,$C94),$L94))</f>
        <v/>
      </c>
      <c r="N94" s="128">
        <f>IF($B94="",0,IF((OV_SWITCH="ON")*(COUNTIFS(OVR_TICKERS,$C94,OVR_HIGH,"&gt;=0")&gt;0)&gt;0,SUMIFS(OVR_HIGH,OVR_TICKERS,$C94),$L94))</f>
        <v/>
      </c>
      <c r="O94" s="133">
        <f>IF($B94="","",IFERROR($B94*$G94*$J94/$B$3,""))</f>
        <v/>
      </c>
      <c r="P94" s="133">
        <f>IF($B94="","",IFERROR($B94*$G94*$L94/$B$3,""))</f>
        <v/>
      </c>
      <c r="Q94" s="124">
        <f>IF($B94="","",IFERROR($O94+$P94,""))</f>
        <v/>
      </c>
      <c r="R94" s="133">
        <f>IF($B94="","",IFERROR($O94+$B94*$G94*$M94/$B$3,""))</f>
        <v/>
      </c>
      <c r="S94" s="133">
        <f>IF($B94="","",IFERROR($O94+$B94*$G94*$N94/$B$3,""))</f>
        <v/>
      </c>
      <c r="T94" s="150">
        <f>IF($B94="","",IFERROR($Q94/$Q$5,""))</f>
        <v/>
      </c>
      <c r="U94" s="2">
        <f>IF($B94="","",IF(COUNTIFS('Dvd Calendar'!$E$974:$AR$974,"&gt;0",'Dvd Calendar'!$E$974:$AR$974,"&lt;="&amp;VAL_DATE,'Dvd Calendar'!$E$975:$AR$975,"&gt;"&amp;PROJ_FROM,'Dvd Calendar'!$E$975:$AR$975,"&lt;="&amp;WIN_TO)-COUNTIFS('Dvd Calendar'!$E$974:$AR$974,"&gt;0",'Dvd Calendar'!$E$974:$AR$974,"&lt;="&amp;VAL_DATE,'Dvd Calendar'!$E$975:$AR$975,"&gt;"&amp;PROJ_FROM,'Dvd Calendar'!$E$975:$AR$975,"&lt;="&amp;WIN_TO,'Dvd Calendar'!$E$976:$AR$976,"&gt;=0")&gt;0,"TBA amount - override me",IF((OV_SWITCH="ON")*(COUNTIFS(OVR_TICKERS,$C94,OVR_BASE,"&gt;=0")&gt;0)&gt;0,"overridden",IF($J94+$K94=0,"no dividend in year Y",""))))</f>
        <v/>
      </c>
      <c r="V94" s="133">
        <f>IF($B94="","",IFERROR(IF(ISNUMBER($H94),$B94*$G94*$H94/$B$3,0),""))</f>
        <v/>
      </c>
      <c r="W94" s="133">
        <f>IF($B94="","",IFERROR($B94*$G94*$K94/$B$3,""))</f>
        <v/>
      </c>
      <c r="X94" s="157">
        <f>IF($C94="","",BDP($C94,"PX_LAST"))</f>
        <v/>
      </c>
      <c r="Y94" s="133">
        <f>IF($B94="","",IFERROR($B94*$X94/$B$3,""))</f>
        <v/>
      </c>
      <c r="Z94" s="137">
        <f>IF($B94="","",IFERROR($Y94/$Y$5,""))</f>
        <v/>
      </c>
    </row>
    <row r="95">
      <c r="B95" s="97" t="n"/>
      <c r="C95" s="8">
        <f>IF($A95="","",$A95&amp;" Equity")</f>
        <v/>
      </c>
      <c r="D95" s="8">
        <f>IF($C95="","",BDP($C95,"NAME"))</f>
        <v/>
      </c>
      <c r="E95" s="8">
        <f>IF($C95="","",BDP($C95,"GICS_SECTOR_NAME"))</f>
        <v/>
      </c>
      <c r="F95" s="37">
        <f>IF($C95="","",BDP($C95,FLD_CCY))</f>
        <v/>
      </c>
      <c r="G95" s="111">
        <f>IFERROR(IF(LEN($F95)&lt;&gt;3,1,IF($F95="HKD",1,BDP(IF($F95="CNY",RMB_CROSS,$F95)&amp;"HKD Curncy","PX_LAST"))),1)</f>
        <v/>
      </c>
      <c r="H95" s="133">
        <f>IF($C95="","",BDP($C95,FLD_DPS12M))</f>
        <v/>
      </c>
      <c r="I95" s="126">
        <f>IF($C95="","",BDP($C95,FLD_YLD12M))</f>
        <v/>
      </c>
      <c r="J95" s="128">
        <f>IF($B95="",0,SUMPRODUCT(('Dvd Calendar'!$E$979:$AR$979&gt;=WIN_FROM)*('Dvd Calendar'!$E$979:$AR$979&lt;=REALIZED_TO)*'Dvd Calendar'!$E$982:$AR$982*(('Dvd Calendar'!$E$984:$AR$984=TYPE1)*(TYPE1&lt;&gt;"")+('Dvd Calendar'!$E$984:$AR$984=TYPE2)*(TYPE2&lt;&gt;"")+('Dvd Calendar'!$E$984:$AR$984=TYPE3)*(TYPE3&lt;&gt;"")+('Dvd Calendar'!$E$984:$AR$984=TYPE4)*(TYPE4&lt;&gt;"")+('Dvd Calendar'!$E$984:$AR$984=SPECIAL_LBL)*(INC_SPECIALS="Y"))))</f>
        <v/>
      </c>
      <c r="K95" s="128">
        <f>IF($B95="",0,SUMIFS('Dvd Calendar'!$E$987:$AR$987,'Dvd Calendar'!$E$986:$AR$986,"&gt;"&amp;PROJ_FROM,'Dvd Calendar'!$E$986:$AR$986,"&lt;="&amp;WIN_TO)+SUMPRODUCT(('Dvd Calendar'!$E$979:$AR$979&gt;PROJ_FROM)*('Dvd Calendar'!$E$979:$AR$979&lt;=WIN_TO)*'Dvd Calendar'!$E$982:$AR$982*(('Dvd Calendar'!$E$984:$AR$984=TYPE1)*(TYPE1&lt;&gt;"")+('Dvd Calendar'!$E$984:$AR$984=TYPE2)*(TYPE2&lt;&gt;"")+('Dvd Calendar'!$E$984:$AR$984=TYPE3)*(TYPE3&lt;&gt;"")+('Dvd Calendar'!$E$984:$AR$984=TYPE4)*(TYPE4&lt;&gt;"")+('Dvd Calendar'!$E$984:$AR$984=SPECIAL_LBL)*(INC_SPECIALS="Y"))*(COUNTIF('Dvd Calendar'!$E$986:$AR$986,'Dvd Calendar'!$E$979:$AR$979)=0)))</f>
        <v/>
      </c>
      <c r="L95" s="128">
        <f>IF($B95="",0,IF((OV_SWITCH="ON")*(COUNTIFS(OVR_TICKERS,$C95,OVR_BASE,"&gt;=0")&gt;0)&gt;0,SUMIFS(OVR_BASE,OVR_TICKERS,$C95),$K95))</f>
        <v/>
      </c>
      <c r="M95" s="128">
        <f>IF($B95="",0,IF((OV_SWITCH="ON")*(COUNTIFS(OVR_TICKERS,$C95,OVR_LOW,"&gt;=0")&gt;0)&gt;0,SUMIFS(OVR_LOW,OVR_TICKERS,$C95),$L95))</f>
        <v/>
      </c>
      <c r="N95" s="128">
        <f>IF($B95="",0,IF((OV_SWITCH="ON")*(COUNTIFS(OVR_TICKERS,$C95,OVR_HIGH,"&gt;=0")&gt;0)&gt;0,SUMIFS(OVR_HIGH,OVR_TICKERS,$C95),$L95))</f>
        <v/>
      </c>
      <c r="O95" s="133">
        <f>IF($B95="","",IFERROR($B95*$G95*$J95/$B$3,""))</f>
        <v/>
      </c>
      <c r="P95" s="133">
        <f>IF($B95="","",IFERROR($B95*$G95*$L95/$B$3,""))</f>
        <v/>
      </c>
      <c r="Q95" s="124">
        <f>IF($B95="","",IFERROR($O95+$P95,""))</f>
        <v/>
      </c>
      <c r="R95" s="133">
        <f>IF($B95="","",IFERROR($O95+$B95*$G95*$M95/$B$3,""))</f>
        <v/>
      </c>
      <c r="S95" s="133">
        <f>IF($B95="","",IFERROR($O95+$B95*$G95*$N95/$B$3,""))</f>
        <v/>
      </c>
      <c r="T95" s="150">
        <f>IF($B95="","",IFERROR($Q95/$Q$5,""))</f>
        <v/>
      </c>
      <c r="U95" s="2">
        <f>IF($B95="","",IF(COUNTIFS('Dvd Calendar'!$E$985:$AR$985,"&gt;0",'Dvd Calendar'!$E$985:$AR$985,"&lt;="&amp;VAL_DATE,'Dvd Calendar'!$E$986:$AR$986,"&gt;"&amp;PROJ_FROM,'Dvd Calendar'!$E$986:$AR$986,"&lt;="&amp;WIN_TO)-COUNTIFS('Dvd Calendar'!$E$985:$AR$985,"&gt;0",'Dvd Calendar'!$E$985:$AR$985,"&lt;="&amp;VAL_DATE,'Dvd Calendar'!$E$986:$AR$986,"&gt;"&amp;PROJ_FROM,'Dvd Calendar'!$E$986:$AR$986,"&lt;="&amp;WIN_TO,'Dvd Calendar'!$E$987:$AR$987,"&gt;=0")&gt;0,"TBA amount - override me",IF((OV_SWITCH="ON")*(COUNTIFS(OVR_TICKERS,$C95,OVR_BASE,"&gt;=0")&gt;0)&gt;0,"overridden",IF($J95+$K95=0,"no dividend in year Y",""))))</f>
        <v/>
      </c>
      <c r="V95" s="133">
        <f>IF($B95="","",IFERROR(IF(ISNUMBER($H95),$B95*$G95*$H95/$B$3,0),""))</f>
        <v/>
      </c>
      <c r="W95" s="133">
        <f>IF($B95="","",IFERROR($B95*$G95*$K95/$B$3,""))</f>
        <v/>
      </c>
      <c r="X95" s="157">
        <f>IF($C95="","",BDP($C95,"PX_LAST"))</f>
        <v/>
      </c>
      <c r="Y95" s="133">
        <f>IF($B95="","",IFERROR($B95*$X95/$B$3,""))</f>
        <v/>
      </c>
      <c r="Z95" s="137">
        <f>IF($B95="","",IFERROR($Y95/$Y$5,""))</f>
        <v/>
      </c>
    </row>
    <row r="96">
      <c r="B96" s="97" t="n"/>
      <c r="C96" s="8">
        <f>IF($A96="","",$A96&amp;" Equity")</f>
        <v/>
      </c>
      <c r="D96" s="8">
        <f>IF($C96="","",BDP($C96,"NAME"))</f>
        <v/>
      </c>
      <c r="E96" s="8">
        <f>IF($C96="","",BDP($C96,"GICS_SECTOR_NAME"))</f>
        <v/>
      </c>
      <c r="F96" s="37">
        <f>IF($C96="","",BDP($C96,FLD_CCY))</f>
        <v/>
      </c>
      <c r="G96" s="111">
        <f>IFERROR(IF(LEN($F96)&lt;&gt;3,1,IF($F96="HKD",1,BDP(IF($F96="CNY",RMB_CROSS,$F96)&amp;"HKD Curncy","PX_LAST"))),1)</f>
        <v/>
      </c>
      <c r="H96" s="133">
        <f>IF($C96="","",BDP($C96,FLD_DPS12M))</f>
        <v/>
      </c>
      <c r="I96" s="126">
        <f>IF($C96="","",BDP($C96,FLD_YLD12M))</f>
        <v/>
      </c>
      <c r="J96" s="128">
        <f>IF($B96="",0,SUMPRODUCT(('Dvd Calendar'!$E$990:$AR$990&gt;=WIN_FROM)*('Dvd Calendar'!$E$990:$AR$990&lt;=REALIZED_TO)*'Dvd Calendar'!$E$993:$AR$993*(('Dvd Calendar'!$E$995:$AR$995=TYPE1)*(TYPE1&lt;&gt;"")+('Dvd Calendar'!$E$995:$AR$995=TYPE2)*(TYPE2&lt;&gt;"")+('Dvd Calendar'!$E$995:$AR$995=TYPE3)*(TYPE3&lt;&gt;"")+('Dvd Calendar'!$E$995:$AR$995=TYPE4)*(TYPE4&lt;&gt;"")+('Dvd Calendar'!$E$995:$AR$995=SPECIAL_LBL)*(INC_SPECIALS="Y"))))</f>
        <v/>
      </c>
      <c r="K96" s="128">
        <f>IF($B96="",0,SUMIFS('Dvd Calendar'!$E$998:$AR$998,'Dvd Calendar'!$E$997:$AR$997,"&gt;"&amp;PROJ_FROM,'Dvd Calendar'!$E$997:$AR$997,"&lt;="&amp;WIN_TO)+SUMPRODUCT(('Dvd Calendar'!$E$990:$AR$990&gt;PROJ_FROM)*('Dvd Calendar'!$E$990:$AR$990&lt;=WIN_TO)*'Dvd Calendar'!$E$993:$AR$993*(('Dvd Calendar'!$E$995:$AR$995=TYPE1)*(TYPE1&lt;&gt;"")+('Dvd Calendar'!$E$995:$AR$995=TYPE2)*(TYPE2&lt;&gt;"")+('Dvd Calendar'!$E$995:$AR$995=TYPE3)*(TYPE3&lt;&gt;"")+('Dvd Calendar'!$E$995:$AR$995=TYPE4)*(TYPE4&lt;&gt;"")+('Dvd Calendar'!$E$995:$AR$995=SPECIAL_LBL)*(INC_SPECIALS="Y"))*(COUNTIF('Dvd Calendar'!$E$997:$AR$997,'Dvd Calendar'!$E$990:$AR$990)=0)))</f>
        <v/>
      </c>
      <c r="L96" s="128">
        <f>IF($B96="",0,IF((OV_SWITCH="ON")*(COUNTIFS(OVR_TICKERS,$C96,OVR_BASE,"&gt;=0")&gt;0)&gt;0,SUMIFS(OVR_BASE,OVR_TICKERS,$C96),$K96))</f>
        <v/>
      </c>
      <c r="M96" s="128">
        <f>IF($B96="",0,IF((OV_SWITCH="ON")*(COUNTIFS(OVR_TICKERS,$C96,OVR_LOW,"&gt;=0")&gt;0)&gt;0,SUMIFS(OVR_LOW,OVR_TICKERS,$C96),$L96))</f>
        <v/>
      </c>
      <c r="N96" s="128">
        <f>IF($B96="",0,IF((OV_SWITCH="ON")*(COUNTIFS(OVR_TICKERS,$C96,OVR_HIGH,"&gt;=0")&gt;0)&gt;0,SUMIFS(OVR_HIGH,OVR_TICKERS,$C96),$L96))</f>
        <v/>
      </c>
      <c r="O96" s="133">
        <f>IF($B96="","",IFERROR($B96*$G96*$J96/$B$3,""))</f>
        <v/>
      </c>
      <c r="P96" s="133">
        <f>IF($B96="","",IFERROR($B96*$G96*$L96/$B$3,""))</f>
        <v/>
      </c>
      <c r="Q96" s="124">
        <f>IF($B96="","",IFERROR($O96+$P96,""))</f>
        <v/>
      </c>
      <c r="R96" s="133">
        <f>IF($B96="","",IFERROR($O96+$B96*$G96*$M96/$B$3,""))</f>
        <v/>
      </c>
      <c r="S96" s="133">
        <f>IF($B96="","",IFERROR($O96+$B96*$G96*$N96/$B$3,""))</f>
        <v/>
      </c>
      <c r="T96" s="150">
        <f>IF($B96="","",IFERROR($Q96/$Q$5,""))</f>
        <v/>
      </c>
      <c r="U96" s="2">
        <f>IF($B96="","",IF(COUNTIFS('Dvd Calendar'!$E$996:$AR$996,"&gt;0",'Dvd Calendar'!$E$996:$AR$996,"&lt;="&amp;VAL_DATE,'Dvd Calendar'!$E$997:$AR$997,"&gt;"&amp;PROJ_FROM,'Dvd Calendar'!$E$997:$AR$997,"&lt;="&amp;WIN_TO)-COUNTIFS('Dvd Calendar'!$E$996:$AR$996,"&gt;0",'Dvd Calendar'!$E$996:$AR$996,"&lt;="&amp;VAL_DATE,'Dvd Calendar'!$E$997:$AR$997,"&gt;"&amp;PROJ_FROM,'Dvd Calendar'!$E$997:$AR$997,"&lt;="&amp;WIN_TO,'Dvd Calendar'!$E$998:$AR$998,"&gt;=0")&gt;0,"TBA amount - override me",IF((OV_SWITCH="ON")*(COUNTIFS(OVR_TICKERS,$C96,OVR_BASE,"&gt;=0")&gt;0)&gt;0,"overridden",IF($J96+$K96=0,"no dividend in year Y",""))))</f>
        <v/>
      </c>
      <c r="V96" s="133">
        <f>IF($B96="","",IFERROR(IF(ISNUMBER($H96),$B96*$G96*$H96/$B$3,0),""))</f>
        <v/>
      </c>
      <c r="W96" s="133">
        <f>IF($B96="","",IFERROR($B96*$G96*$K96/$B$3,""))</f>
        <v/>
      </c>
      <c r="X96" s="157">
        <f>IF($C96="","",BDP($C96,"PX_LAST"))</f>
        <v/>
      </c>
      <c r="Y96" s="133">
        <f>IF($B96="","",IFERROR($B96*$X96/$B$3,""))</f>
        <v/>
      </c>
      <c r="Z96" s="137">
        <f>IF($B96="","",IFERROR($Y96/$Y$5,""))</f>
        <v/>
      </c>
    </row>
    <row r="97">
      <c r="B97" s="97" t="n"/>
      <c r="C97" s="8">
        <f>IF($A97="","",$A97&amp;" Equity")</f>
        <v/>
      </c>
      <c r="D97" s="8">
        <f>IF($C97="","",BDP($C97,"NAME"))</f>
        <v/>
      </c>
      <c r="E97" s="8">
        <f>IF($C97="","",BDP($C97,"GICS_SECTOR_NAME"))</f>
        <v/>
      </c>
      <c r="F97" s="37">
        <f>IF($C97="","",BDP($C97,FLD_CCY))</f>
        <v/>
      </c>
      <c r="G97" s="111">
        <f>IFERROR(IF(LEN($F97)&lt;&gt;3,1,IF($F97="HKD",1,BDP(IF($F97="CNY",RMB_CROSS,$F97)&amp;"HKD Curncy","PX_LAST"))),1)</f>
        <v/>
      </c>
      <c r="H97" s="133">
        <f>IF($C97="","",BDP($C97,FLD_DPS12M))</f>
        <v/>
      </c>
      <c r="I97" s="126">
        <f>IF($C97="","",BDP($C97,FLD_YLD12M))</f>
        <v/>
      </c>
      <c r="J97" s="128">
        <f>IF($B97="",0,SUMPRODUCT(('Dvd Calendar'!$E$1001:$AR$1001&gt;=WIN_FROM)*('Dvd Calendar'!$E$1001:$AR$1001&lt;=REALIZED_TO)*'Dvd Calendar'!$E$1004:$AR$1004*(('Dvd Calendar'!$E$1006:$AR$1006=TYPE1)*(TYPE1&lt;&gt;"")+('Dvd Calendar'!$E$1006:$AR$1006=TYPE2)*(TYPE2&lt;&gt;"")+('Dvd Calendar'!$E$1006:$AR$1006=TYPE3)*(TYPE3&lt;&gt;"")+('Dvd Calendar'!$E$1006:$AR$1006=TYPE4)*(TYPE4&lt;&gt;"")+('Dvd Calendar'!$E$1006:$AR$1006=SPECIAL_LBL)*(INC_SPECIALS="Y"))))</f>
        <v/>
      </c>
      <c r="K97" s="128">
        <f>IF($B97="",0,SUMIFS('Dvd Calendar'!$E$1009:$AR$1009,'Dvd Calendar'!$E$1008:$AR$1008,"&gt;"&amp;PROJ_FROM,'Dvd Calendar'!$E$1008:$AR$1008,"&lt;="&amp;WIN_TO)+SUMPRODUCT(('Dvd Calendar'!$E$1001:$AR$1001&gt;PROJ_FROM)*('Dvd Calendar'!$E$1001:$AR$1001&lt;=WIN_TO)*'Dvd Calendar'!$E$1004:$AR$1004*(('Dvd Calendar'!$E$1006:$AR$1006=TYPE1)*(TYPE1&lt;&gt;"")+('Dvd Calendar'!$E$1006:$AR$1006=TYPE2)*(TYPE2&lt;&gt;"")+('Dvd Calendar'!$E$1006:$AR$1006=TYPE3)*(TYPE3&lt;&gt;"")+('Dvd Calendar'!$E$1006:$AR$1006=TYPE4)*(TYPE4&lt;&gt;"")+('Dvd Calendar'!$E$1006:$AR$1006=SPECIAL_LBL)*(INC_SPECIALS="Y"))*(COUNTIF('Dvd Calendar'!$E$1008:$AR$1008,'Dvd Calendar'!$E$1001:$AR$1001)=0)))</f>
        <v/>
      </c>
      <c r="L97" s="128">
        <f>IF($B97="",0,IF((OV_SWITCH="ON")*(COUNTIFS(OVR_TICKERS,$C97,OVR_BASE,"&gt;=0")&gt;0)&gt;0,SUMIFS(OVR_BASE,OVR_TICKERS,$C97),$K97))</f>
        <v/>
      </c>
      <c r="M97" s="128">
        <f>IF($B97="",0,IF((OV_SWITCH="ON")*(COUNTIFS(OVR_TICKERS,$C97,OVR_LOW,"&gt;=0")&gt;0)&gt;0,SUMIFS(OVR_LOW,OVR_TICKERS,$C97),$L97))</f>
        <v/>
      </c>
      <c r="N97" s="128">
        <f>IF($B97="",0,IF((OV_SWITCH="ON")*(COUNTIFS(OVR_TICKERS,$C97,OVR_HIGH,"&gt;=0")&gt;0)&gt;0,SUMIFS(OVR_HIGH,OVR_TICKERS,$C97),$L97))</f>
        <v/>
      </c>
      <c r="O97" s="133">
        <f>IF($B97="","",IFERROR($B97*$G97*$J97/$B$3,""))</f>
        <v/>
      </c>
      <c r="P97" s="133">
        <f>IF($B97="","",IFERROR($B97*$G97*$L97/$B$3,""))</f>
        <v/>
      </c>
      <c r="Q97" s="124">
        <f>IF($B97="","",IFERROR($O97+$P97,""))</f>
        <v/>
      </c>
      <c r="R97" s="133">
        <f>IF($B97="","",IFERROR($O97+$B97*$G97*$M97/$B$3,""))</f>
        <v/>
      </c>
      <c r="S97" s="133">
        <f>IF($B97="","",IFERROR($O97+$B97*$G97*$N97/$B$3,""))</f>
        <v/>
      </c>
      <c r="T97" s="150">
        <f>IF($B97="","",IFERROR($Q97/$Q$5,""))</f>
        <v/>
      </c>
      <c r="U97" s="2">
        <f>IF($B97="","",IF(COUNTIFS('Dvd Calendar'!$E$1007:$AR$1007,"&gt;0",'Dvd Calendar'!$E$1007:$AR$1007,"&lt;="&amp;VAL_DATE,'Dvd Calendar'!$E$1008:$AR$1008,"&gt;"&amp;PROJ_FROM,'Dvd Calendar'!$E$1008:$AR$1008,"&lt;="&amp;WIN_TO)-COUNTIFS('Dvd Calendar'!$E$1007:$AR$1007,"&gt;0",'Dvd Calendar'!$E$1007:$AR$1007,"&lt;="&amp;VAL_DATE,'Dvd Calendar'!$E$1008:$AR$1008,"&gt;"&amp;PROJ_FROM,'Dvd Calendar'!$E$1008:$AR$1008,"&lt;="&amp;WIN_TO,'Dvd Calendar'!$E$1009:$AR$1009,"&gt;=0")&gt;0,"TBA amount - override me",IF((OV_SWITCH="ON")*(COUNTIFS(OVR_TICKERS,$C97,OVR_BASE,"&gt;=0")&gt;0)&gt;0,"overridden",IF($J97+$K97=0,"no dividend in year Y",""))))</f>
        <v/>
      </c>
      <c r="V97" s="133">
        <f>IF($B97="","",IFERROR(IF(ISNUMBER($H97),$B97*$G97*$H97/$B$3,0),""))</f>
        <v/>
      </c>
      <c r="W97" s="133">
        <f>IF($B97="","",IFERROR($B97*$G97*$K97/$B$3,""))</f>
        <v/>
      </c>
      <c r="X97" s="157">
        <f>IF($C97="","",BDP($C97,"PX_LAST"))</f>
        <v/>
      </c>
      <c r="Y97" s="133">
        <f>IF($B97="","",IFERROR($B97*$X97/$B$3,""))</f>
        <v/>
      </c>
      <c r="Z97" s="137">
        <f>IF($B97="","",IFERROR($Y97/$Y$5,""))</f>
        <v/>
      </c>
    </row>
    <row r="98">
      <c r="B98" s="97" t="n"/>
      <c r="C98" s="8">
        <f>IF($A98="","",$A98&amp;" Equity")</f>
        <v/>
      </c>
      <c r="D98" s="8">
        <f>IF($C98="","",BDP($C98,"NAME"))</f>
        <v/>
      </c>
      <c r="E98" s="8">
        <f>IF($C98="","",BDP($C98,"GICS_SECTOR_NAME"))</f>
        <v/>
      </c>
      <c r="F98" s="37">
        <f>IF($C98="","",BDP($C98,FLD_CCY))</f>
        <v/>
      </c>
      <c r="G98" s="111">
        <f>IFERROR(IF(LEN($F98)&lt;&gt;3,1,IF($F98="HKD",1,BDP(IF($F98="CNY",RMB_CROSS,$F98)&amp;"HKD Curncy","PX_LAST"))),1)</f>
        <v/>
      </c>
      <c r="H98" s="133">
        <f>IF($C98="","",BDP($C98,FLD_DPS12M))</f>
        <v/>
      </c>
      <c r="I98" s="126">
        <f>IF($C98="","",BDP($C98,FLD_YLD12M))</f>
        <v/>
      </c>
      <c r="J98" s="128">
        <f>IF($B98="",0,SUMPRODUCT(('Dvd Calendar'!$E$1012:$AR$1012&gt;=WIN_FROM)*('Dvd Calendar'!$E$1012:$AR$1012&lt;=REALIZED_TO)*'Dvd Calendar'!$E$1015:$AR$1015*(('Dvd Calendar'!$E$1017:$AR$1017=TYPE1)*(TYPE1&lt;&gt;"")+('Dvd Calendar'!$E$1017:$AR$1017=TYPE2)*(TYPE2&lt;&gt;"")+('Dvd Calendar'!$E$1017:$AR$1017=TYPE3)*(TYPE3&lt;&gt;"")+('Dvd Calendar'!$E$1017:$AR$1017=TYPE4)*(TYPE4&lt;&gt;"")+('Dvd Calendar'!$E$1017:$AR$1017=SPECIAL_LBL)*(INC_SPECIALS="Y"))))</f>
        <v/>
      </c>
      <c r="K98" s="128">
        <f>IF($B98="",0,SUMIFS('Dvd Calendar'!$E$1020:$AR$1020,'Dvd Calendar'!$E$1019:$AR$1019,"&gt;"&amp;PROJ_FROM,'Dvd Calendar'!$E$1019:$AR$1019,"&lt;="&amp;WIN_TO)+SUMPRODUCT(('Dvd Calendar'!$E$1012:$AR$1012&gt;PROJ_FROM)*('Dvd Calendar'!$E$1012:$AR$1012&lt;=WIN_TO)*'Dvd Calendar'!$E$1015:$AR$1015*(('Dvd Calendar'!$E$1017:$AR$1017=TYPE1)*(TYPE1&lt;&gt;"")+('Dvd Calendar'!$E$1017:$AR$1017=TYPE2)*(TYPE2&lt;&gt;"")+('Dvd Calendar'!$E$1017:$AR$1017=TYPE3)*(TYPE3&lt;&gt;"")+('Dvd Calendar'!$E$1017:$AR$1017=TYPE4)*(TYPE4&lt;&gt;"")+('Dvd Calendar'!$E$1017:$AR$1017=SPECIAL_LBL)*(INC_SPECIALS="Y"))*(COUNTIF('Dvd Calendar'!$E$1019:$AR$1019,'Dvd Calendar'!$E$1012:$AR$1012)=0)))</f>
        <v/>
      </c>
      <c r="L98" s="128">
        <f>IF($B98="",0,IF((OV_SWITCH="ON")*(COUNTIFS(OVR_TICKERS,$C98,OVR_BASE,"&gt;=0")&gt;0)&gt;0,SUMIFS(OVR_BASE,OVR_TICKERS,$C98),$K98))</f>
        <v/>
      </c>
      <c r="M98" s="128">
        <f>IF($B98="",0,IF((OV_SWITCH="ON")*(COUNTIFS(OVR_TICKERS,$C98,OVR_LOW,"&gt;=0")&gt;0)&gt;0,SUMIFS(OVR_LOW,OVR_TICKERS,$C98),$L98))</f>
        <v/>
      </c>
      <c r="N98" s="128">
        <f>IF($B98="",0,IF((OV_SWITCH="ON")*(COUNTIFS(OVR_TICKERS,$C98,OVR_HIGH,"&gt;=0")&gt;0)&gt;0,SUMIFS(OVR_HIGH,OVR_TICKERS,$C98),$L98))</f>
        <v/>
      </c>
      <c r="O98" s="133">
        <f>IF($B98="","",IFERROR($B98*$G98*$J98/$B$3,""))</f>
        <v/>
      </c>
      <c r="P98" s="133">
        <f>IF($B98="","",IFERROR($B98*$G98*$L98/$B$3,""))</f>
        <v/>
      </c>
      <c r="Q98" s="124">
        <f>IF($B98="","",IFERROR($O98+$P98,""))</f>
        <v/>
      </c>
      <c r="R98" s="133">
        <f>IF($B98="","",IFERROR($O98+$B98*$G98*$M98/$B$3,""))</f>
        <v/>
      </c>
      <c r="S98" s="133">
        <f>IF($B98="","",IFERROR($O98+$B98*$G98*$N98/$B$3,""))</f>
        <v/>
      </c>
      <c r="T98" s="150">
        <f>IF($B98="","",IFERROR($Q98/$Q$5,""))</f>
        <v/>
      </c>
      <c r="U98" s="2">
        <f>IF($B98="","",IF(COUNTIFS('Dvd Calendar'!$E$1018:$AR$1018,"&gt;0",'Dvd Calendar'!$E$1018:$AR$1018,"&lt;="&amp;VAL_DATE,'Dvd Calendar'!$E$1019:$AR$1019,"&gt;"&amp;PROJ_FROM,'Dvd Calendar'!$E$1019:$AR$1019,"&lt;="&amp;WIN_TO)-COUNTIFS('Dvd Calendar'!$E$1018:$AR$1018,"&gt;0",'Dvd Calendar'!$E$1018:$AR$1018,"&lt;="&amp;VAL_DATE,'Dvd Calendar'!$E$1019:$AR$1019,"&gt;"&amp;PROJ_FROM,'Dvd Calendar'!$E$1019:$AR$1019,"&lt;="&amp;WIN_TO,'Dvd Calendar'!$E$1020:$AR$1020,"&gt;=0")&gt;0,"TBA amount - override me",IF((OV_SWITCH="ON")*(COUNTIFS(OVR_TICKERS,$C98,OVR_BASE,"&gt;=0")&gt;0)&gt;0,"overridden",IF($J98+$K98=0,"no dividend in year Y",""))))</f>
        <v/>
      </c>
      <c r="V98" s="133">
        <f>IF($B98="","",IFERROR(IF(ISNUMBER($H98),$B98*$G98*$H98/$B$3,0),""))</f>
        <v/>
      </c>
      <c r="W98" s="133">
        <f>IF($B98="","",IFERROR($B98*$G98*$K98/$B$3,""))</f>
        <v/>
      </c>
      <c r="X98" s="157">
        <f>IF($C98="","",BDP($C98,"PX_LAST"))</f>
        <v/>
      </c>
      <c r="Y98" s="133">
        <f>IF($B98="","",IFERROR($B98*$X98/$B$3,""))</f>
        <v/>
      </c>
      <c r="Z98" s="137">
        <f>IF($B98="","",IFERROR($Y98/$Y$5,""))</f>
        <v/>
      </c>
    </row>
    <row r="99">
      <c r="B99" s="97" t="n"/>
      <c r="C99" s="8">
        <f>IF($A99="","",$A99&amp;" Equity")</f>
        <v/>
      </c>
      <c r="D99" s="8">
        <f>IF($C99="","",BDP($C99,"NAME"))</f>
        <v/>
      </c>
      <c r="E99" s="8">
        <f>IF($C99="","",BDP($C99,"GICS_SECTOR_NAME"))</f>
        <v/>
      </c>
      <c r="F99" s="37">
        <f>IF($C99="","",BDP($C99,FLD_CCY))</f>
        <v/>
      </c>
      <c r="G99" s="111">
        <f>IFERROR(IF(LEN($F99)&lt;&gt;3,1,IF($F99="HKD",1,BDP(IF($F99="CNY",RMB_CROSS,$F99)&amp;"HKD Curncy","PX_LAST"))),1)</f>
        <v/>
      </c>
      <c r="H99" s="133">
        <f>IF($C99="","",BDP($C99,FLD_DPS12M))</f>
        <v/>
      </c>
      <c r="I99" s="126">
        <f>IF($C99="","",BDP($C99,FLD_YLD12M))</f>
        <v/>
      </c>
      <c r="J99" s="128">
        <f>IF($B99="",0,SUMPRODUCT(('Dvd Calendar'!$E$1023:$AR$1023&gt;=WIN_FROM)*('Dvd Calendar'!$E$1023:$AR$1023&lt;=REALIZED_TO)*'Dvd Calendar'!$E$1026:$AR$1026*(('Dvd Calendar'!$E$1028:$AR$1028=TYPE1)*(TYPE1&lt;&gt;"")+('Dvd Calendar'!$E$1028:$AR$1028=TYPE2)*(TYPE2&lt;&gt;"")+('Dvd Calendar'!$E$1028:$AR$1028=TYPE3)*(TYPE3&lt;&gt;"")+('Dvd Calendar'!$E$1028:$AR$1028=TYPE4)*(TYPE4&lt;&gt;"")+('Dvd Calendar'!$E$1028:$AR$1028=SPECIAL_LBL)*(INC_SPECIALS="Y"))))</f>
        <v/>
      </c>
      <c r="K99" s="128">
        <f>IF($B99="",0,SUMIFS('Dvd Calendar'!$E$1031:$AR$1031,'Dvd Calendar'!$E$1030:$AR$1030,"&gt;"&amp;PROJ_FROM,'Dvd Calendar'!$E$1030:$AR$1030,"&lt;="&amp;WIN_TO)+SUMPRODUCT(('Dvd Calendar'!$E$1023:$AR$1023&gt;PROJ_FROM)*('Dvd Calendar'!$E$1023:$AR$1023&lt;=WIN_TO)*'Dvd Calendar'!$E$1026:$AR$1026*(('Dvd Calendar'!$E$1028:$AR$1028=TYPE1)*(TYPE1&lt;&gt;"")+('Dvd Calendar'!$E$1028:$AR$1028=TYPE2)*(TYPE2&lt;&gt;"")+('Dvd Calendar'!$E$1028:$AR$1028=TYPE3)*(TYPE3&lt;&gt;"")+('Dvd Calendar'!$E$1028:$AR$1028=TYPE4)*(TYPE4&lt;&gt;"")+('Dvd Calendar'!$E$1028:$AR$1028=SPECIAL_LBL)*(INC_SPECIALS="Y"))*(COUNTIF('Dvd Calendar'!$E$1030:$AR$1030,'Dvd Calendar'!$E$1023:$AR$1023)=0)))</f>
        <v/>
      </c>
      <c r="L99" s="128">
        <f>IF($B99="",0,IF((OV_SWITCH="ON")*(COUNTIFS(OVR_TICKERS,$C99,OVR_BASE,"&gt;=0")&gt;0)&gt;0,SUMIFS(OVR_BASE,OVR_TICKERS,$C99),$K99))</f>
        <v/>
      </c>
      <c r="M99" s="128">
        <f>IF($B99="",0,IF((OV_SWITCH="ON")*(COUNTIFS(OVR_TICKERS,$C99,OVR_LOW,"&gt;=0")&gt;0)&gt;0,SUMIFS(OVR_LOW,OVR_TICKERS,$C99),$L99))</f>
        <v/>
      </c>
      <c r="N99" s="128">
        <f>IF($B99="",0,IF((OV_SWITCH="ON")*(COUNTIFS(OVR_TICKERS,$C99,OVR_HIGH,"&gt;=0")&gt;0)&gt;0,SUMIFS(OVR_HIGH,OVR_TICKERS,$C99),$L99))</f>
        <v/>
      </c>
      <c r="O99" s="133">
        <f>IF($B99="","",IFERROR($B99*$G99*$J99/$B$3,""))</f>
        <v/>
      </c>
      <c r="P99" s="133">
        <f>IF($B99="","",IFERROR($B99*$G99*$L99/$B$3,""))</f>
        <v/>
      </c>
      <c r="Q99" s="124">
        <f>IF($B99="","",IFERROR($O99+$P99,""))</f>
        <v/>
      </c>
      <c r="R99" s="133">
        <f>IF($B99="","",IFERROR($O99+$B99*$G99*$M99/$B$3,""))</f>
        <v/>
      </c>
      <c r="S99" s="133">
        <f>IF($B99="","",IFERROR($O99+$B99*$G99*$N99/$B$3,""))</f>
        <v/>
      </c>
      <c r="T99" s="150">
        <f>IF($B99="","",IFERROR($Q99/$Q$5,""))</f>
        <v/>
      </c>
      <c r="U99" s="2">
        <f>IF($B99="","",IF(COUNTIFS('Dvd Calendar'!$E$1029:$AR$1029,"&gt;0",'Dvd Calendar'!$E$1029:$AR$1029,"&lt;="&amp;VAL_DATE,'Dvd Calendar'!$E$1030:$AR$1030,"&gt;"&amp;PROJ_FROM,'Dvd Calendar'!$E$1030:$AR$1030,"&lt;="&amp;WIN_TO)-COUNTIFS('Dvd Calendar'!$E$1029:$AR$1029,"&gt;0",'Dvd Calendar'!$E$1029:$AR$1029,"&lt;="&amp;VAL_DATE,'Dvd Calendar'!$E$1030:$AR$1030,"&gt;"&amp;PROJ_FROM,'Dvd Calendar'!$E$1030:$AR$1030,"&lt;="&amp;WIN_TO,'Dvd Calendar'!$E$1031:$AR$1031,"&gt;=0")&gt;0,"TBA amount - override me",IF((OV_SWITCH="ON")*(COUNTIFS(OVR_TICKERS,$C99,OVR_BASE,"&gt;=0")&gt;0)&gt;0,"overridden",IF($J99+$K99=0,"no dividend in year Y",""))))</f>
        <v/>
      </c>
      <c r="V99" s="133">
        <f>IF($B99="","",IFERROR(IF(ISNUMBER($H99),$B99*$G99*$H99/$B$3,0),""))</f>
        <v/>
      </c>
      <c r="W99" s="133">
        <f>IF($B99="","",IFERROR($B99*$G99*$K99/$B$3,""))</f>
        <v/>
      </c>
      <c r="X99" s="157">
        <f>IF($C99="","",BDP($C99,"PX_LAST"))</f>
        <v/>
      </c>
      <c r="Y99" s="133">
        <f>IF($B99="","",IFERROR($B99*$X99/$B$3,""))</f>
        <v/>
      </c>
      <c r="Z99" s="137">
        <f>IF($B99="","",IFERROR($Y99/$Y$5,""))</f>
        <v/>
      </c>
    </row>
    <row r="100">
      <c r="B100" s="97" t="n"/>
      <c r="C100" s="8">
        <f>IF($A100="","",$A100&amp;" Equity")</f>
        <v/>
      </c>
      <c r="D100" s="8">
        <f>IF($C100="","",BDP($C100,"NAME"))</f>
        <v/>
      </c>
      <c r="E100" s="8">
        <f>IF($C100="","",BDP($C100,"GICS_SECTOR_NAME"))</f>
        <v/>
      </c>
      <c r="F100" s="37">
        <f>IF($C100="","",BDP($C100,FLD_CCY))</f>
        <v/>
      </c>
      <c r="G100" s="111">
        <f>IFERROR(IF(LEN($F100)&lt;&gt;3,1,IF($F100="HKD",1,BDP(IF($F100="CNY",RMB_CROSS,$F100)&amp;"HKD Curncy","PX_LAST"))),1)</f>
        <v/>
      </c>
      <c r="H100" s="133">
        <f>IF($C100="","",BDP($C100,FLD_DPS12M))</f>
        <v/>
      </c>
      <c r="I100" s="126">
        <f>IF($C100="","",BDP($C100,FLD_YLD12M))</f>
        <v/>
      </c>
      <c r="J100" s="128">
        <f>IF($B100="",0,SUMPRODUCT(('Dvd Calendar'!$E$1034:$AR$1034&gt;=WIN_FROM)*('Dvd Calendar'!$E$1034:$AR$1034&lt;=REALIZED_TO)*'Dvd Calendar'!$E$1037:$AR$1037*(('Dvd Calendar'!$E$1039:$AR$1039=TYPE1)*(TYPE1&lt;&gt;"")+('Dvd Calendar'!$E$1039:$AR$1039=TYPE2)*(TYPE2&lt;&gt;"")+('Dvd Calendar'!$E$1039:$AR$1039=TYPE3)*(TYPE3&lt;&gt;"")+('Dvd Calendar'!$E$1039:$AR$1039=TYPE4)*(TYPE4&lt;&gt;"")+('Dvd Calendar'!$E$1039:$AR$1039=SPECIAL_LBL)*(INC_SPECIALS="Y"))))</f>
        <v/>
      </c>
      <c r="K100" s="128">
        <f>IF($B100="",0,SUMIFS('Dvd Calendar'!$E$1042:$AR$1042,'Dvd Calendar'!$E$1041:$AR$1041,"&gt;"&amp;PROJ_FROM,'Dvd Calendar'!$E$1041:$AR$1041,"&lt;="&amp;WIN_TO)+SUMPRODUCT(('Dvd Calendar'!$E$1034:$AR$1034&gt;PROJ_FROM)*('Dvd Calendar'!$E$1034:$AR$1034&lt;=WIN_TO)*'Dvd Calendar'!$E$1037:$AR$1037*(('Dvd Calendar'!$E$1039:$AR$1039=TYPE1)*(TYPE1&lt;&gt;"")+('Dvd Calendar'!$E$1039:$AR$1039=TYPE2)*(TYPE2&lt;&gt;"")+('Dvd Calendar'!$E$1039:$AR$1039=TYPE3)*(TYPE3&lt;&gt;"")+('Dvd Calendar'!$E$1039:$AR$1039=TYPE4)*(TYPE4&lt;&gt;"")+('Dvd Calendar'!$E$1039:$AR$1039=SPECIAL_LBL)*(INC_SPECIALS="Y"))*(COUNTIF('Dvd Calendar'!$E$1041:$AR$1041,'Dvd Calendar'!$E$1034:$AR$1034)=0)))</f>
        <v/>
      </c>
      <c r="L100" s="128">
        <f>IF($B100="",0,IF((OV_SWITCH="ON")*(COUNTIFS(OVR_TICKERS,$C100,OVR_BASE,"&gt;=0")&gt;0)&gt;0,SUMIFS(OVR_BASE,OVR_TICKERS,$C100),$K100))</f>
        <v/>
      </c>
      <c r="M100" s="128">
        <f>IF($B100="",0,IF((OV_SWITCH="ON")*(COUNTIFS(OVR_TICKERS,$C100,OVR_LOW,"&gt;=0")&gt;0)&gt;0,SUMIFS(OVR_LOW,OVR_TICKERS,$C100),$L100))</f>
        <v/>
      </c>
      <c r="N100" s="128">
        <f>IF($B100="",0,IF((OV_SWITCH="ON")*(COUNTIFS(OVR_TICKERS,$C100,OVR_HIGH,"&gt;=0")&gt;0)&gt;0,SUMIFS(OVR_HIGH,OVR_TICKERS,$C100),$L100))</f>
        <v/>
      </c>
      <c r="O100" s="133">
        <f>IF($B100="","",IFERROR($B100*$G100*$J100/$B$3,""))</f>
        <v/>
      </c>
      <c r="P100" s="133">
        <f>IF($B100="","",IFERROR($B100*$G100*$L100/$B$3,""))</f>
        <v/>
      </c>
      <c r="Q100" s="124">
        <f>IF($B100="","",IFERROR($O100+$P100,""))</f>
        <v/>
      </c>
      <c r="R100" s="133">
        <f>IF($B100="","",IFERROR($O100+$B100*$G100*$M100/$B$3,""))</f>
        <v/>
      </c>
      <c r="S100" s="133">
        <f>IF($B100="","",IFERROR($O100+$B100*$G100*$N100/$B$3,""))</f>
        <v/>
      </c>
      <c r="T100" s="150">
        <f>IF($B100="","",IFERROR($Q100/$Q$5,""))</f>
        <v/>
      </c>
      <c r="U100" s="2">
        <f>IF($B100="","",IF(COUNTIFS('Dvd Calendar'!$E$1040:$AR$1040,"&gt;0",'Dvd Calendar'!$E$1040:$AR$1040,"&lt;="&amp;VAL_DATE,'Dvd Calendar'!$E$1041:$AR$1041,"&gt;"&amp;PROJ_FROM,'Dvd Calendar'!$E$1041:$AR$1041,"&lt;="&amp;WIN_TO)-COUNTIFS('Dvd Calendar'!$E$1040:$AR$1040,"&gt;0",'Dvd Calendar'!$E$1040:$AR$1040,"&lt;="&amp;VAL_DATE,'Dvd Calendar'!$E$1041:$AR$1041,"&gt;"&amp;PROJ_FROM,'Dvd Calendar'!$E$1041:$AR$1041,"&lt;="&amp;WIN_TO,'Dvd Calendar'!$E$1042:$AR$1042,"&gt;=0")&gt;0,"TBA amount - override me",IF((OV_SWITCH="ON")*(COUNTIFS(OVR_TICKERS,$C100,OVR_BASE,"&gt;=0")&gt;0)&gt;0,"overridden",IF($J100+$K100=0,"no dividend in year Y",""))))</f>
        <v/>
      </c>
      <c r="V100" s="133">
        <f>IF($B100="","",IFERROR(IF(ISNUMBER($H100),$B100*$G100*$H100/$B$3,0),""))</f>
        <v/>
      </c>
      <c r="W100" s="133">
        <f>IF($B100="","",IFERROR($B100*$G100*$K100/$B$3,""))</f>
        <v/>
      </c>
      <c r="X100" s="157">
        <f>IF($C100="","",BDP($C100,"PX_LAST"))</f>
        <v/>
      </c>
      <c r="Y100" s="133">
        <f>IF($B100="","",IFERROR($B100*$X100/$B$3,""))</f>
        <v/>
      </c>
      <c r="Z100" s="137">
        <f>IF($B100="","",IFERROR($Y100/$Y$5,""))</f>
        <v/>
      </c>
    </row>
    <row r="101">
      <c r="B101" s="97" t="n"/>
      <c r="C101" s="8">
        <f>IF($A101="","",$A101&amp;" Equity")</f>
        <v/>
      </c>
      <c r="D101" s="8">
        <f>IF($C101="","",BDP($C101,"NAME"))</f>
        <v/>
      </c>
      <c r="E101" s="8">
        <f>IF($C101="","",BDP($C101,"GICS_SECTOR_NAME"))</f>
        <v/>
      </c>
      <c r="F101" s="37">
        <f>IF($C101="","",BDP($C101,FLD_CCY))</f>
        <v/>
      </c>
      <c r="G101" s="111">
        <f>IFERROR(IF(LEN($F101)&lt;&gt;3,1,IF($F101="HKD",1,BDP(IF($F101="CNY",RMB_CROSS,$F101)&amp;"HKD Curncy","PX_LAST"))),1)</f>
        <v/>
      </c>
      <c r="H101" s="133">
        <f>IF($C101="","",BDP($C101,FLD_DPS12M))</f>
        <v/>
      </c>
      <c r="I101" s="126">
        <f>IF($C101="","",BDP($C101,FLD_YLD12M))</f>
        <v/>
      </c>
      <c r="J101" s="128">
        <f>IF($B101="",0,SUMPRODUCT(('Dvd Calendar'!$E$1045:$AR$1045&gt;=WIN_FROM)*('Dvd Calendar'!$E$1045:$AR$1045&lt;=REALIZED_TO)*'Dvd Calendar'!$E$1048:$AR$1048*(('Dvd Calendar'!$E$1050:$AR$1050=TYPE1)*(TYPE1&lt;&gt;"")+('Dvd Calendar'!$E$1050:$AR$1050=TYPE2)*(TYPE2&lt;&gt;"")+('Dvd Calendar'!$E$1050:$AR$1050=TYPE3)*(TYPE3&lt;&gt;"")+('Dvd Calendar'!$E$1050:$AR$1050=TYPE4)*(TYPE4&lt;&gt;"")+('Dvd Calendar'!$E$1050:$AR$1050=SPECIAL_LBL)*(INC_SPECIALS="Y"))))</f>
        <v/>
      </c>
      <c r="K101" s="128">
        <f>IF($B101="",0,SUMIFS('Dvd Calendar'!$E$1053:$AR$1053,'Dvd Calendar'!$E$1052:$AR$1052,"&gt;"&amp;PROJ_FROM,'Dvd Calendar'!$E$1052:$AR$1052,"&lt;="&amp;WIN_TO)+SUMPRODUCT(('Dvd Calendar'!$E$1045:$AR$1045&gt;PROJ_FROM)*('Dvd Calendar'!$E$1045:$AR$1045&lt;=WIN_TO)*'Dvd Calendar'!$E$1048:$AR$1048*(('Dvd Calendar'!$E$1050:$AR$1050=TYPE1)*(TYPE1&lt;&gt;"")+('Dvd Calendar'!$E$1050:$AR$1050=TYPE2)*(TYPE2&lt;&gt;"")+('Dvd Calendar'!$E$1050:$AR$1050=TYPE3)*(TYPE3&lt;&gt;"")+('Dvd Calendar'!$E$1050:$AR$1050=TYPE4)*(TYPE4&lt;&gt;"")+('Dvd Calendar'!$E$1050:$AR$1050=SPECIAL_LBL)*(INC_SPECIALS="Y"))*(COUNTIF('Dvd Calendar'!$E$1052:$AR$1052,'Dvd Calendar'!$E$1045:$AR$1045)=0)))</f>
        <v/>
      </c>
      <c r="L101" s="128">
        <f>IF($B101="",0,IF((OV_SWITCH="ON")*(COUNTIFS(OVR_TICKERS,$C101,OVR_BASE,"&gt;=0")&gt;0)&gt;0,SUMIFS(OVR_BASE,OVR_TICKERS,$C101),$K101))</f>
        <v/>
      </c>
      <c r="M101" s="128">
        <f>IF($B101="",0,IF((OV_SWITCH="ON")*(COUNTIFS(OVR_TICKERS,$C101,OVR_LOW,"&gt;=0")&gt;0)&gt;0,SUMIFS(OVR_LOW,OVR_TICKERS,$C101),$L101))</f>
        <v/>
      </c>
      <c r="N101" s="128">
        <f>IF($B101="",0,IF((OV_SWITCH="ON")*(COUNTIFS(OVR_TICKERS,$C101,OVR_HIGH,"&gt;=0")&gt;0)&gt;0,SUMIFS(OVR_HIGH,OVR_TICKERS,$C101),$L101))</f>
        <v/>
      </c>
      <c r="O101" s="133">
        <f>IF($B101="","",IFERROR($B101*$G101*$J101/$B$3,""))</f>
        <v/>
      </c>
      <c r="P101" s="133">
        <f>IF($B101="","",IFERROR($B101*$G101*$L101/$B$3,""))</f>
        <v/>
      </c>
      <c r="Q101" s="124">
        <f>IF($B101="","",IFERROR($O101+$P101,""))</f>
        <v/>
      </c>
      <c r="R101" s="133">
        <f>IF($B101="","",IFERROR($O101+$B101*$G101*$M101/$B$3,""))</f>
        <v/>
      </c>
      <c r="S101" s="133">
        <f>IF($B101="","",IFERROR($O101+$B101*$G101*$N101/$B$3,""))</f>
        <v/>
      </c>
      <c r="T101" s="150">
        <f>IF($B101="","",IFERROR($Q101/$Q$5,""))</f>
        <v/>
      </c>
      <c r="U101" s="2">
        <f>IF($B101="","",IF(COUNTIFS('Dvd Calendar'!$E$1051:$AR$1051,"&gt;0",'Dvd Calendar'!$E$1051:$AR$1051,"&lt;="&amp;VAL_DATE,'Dvd Calendar'!$E$1052:$AR$1052,"&gt;"&amp;PROJ_FROM,'Dvd Calendar'!$E$1052:$AR$1052,"&lt;="&amp;WIN_TO)-COUNTIFS('Dvd Calendar'!$E$1051:$AR$1051,"&gt;0",'Dvd Calendar'!$E$1051:$AR$1051,"&lt;="&amp;VAL_DATE,'Dvd Calendar'!$E$1052:$AR$1052,"&gt;"&amp;PROJ_FROM,'Dvd Calendar'!$E$1052:$AR$1052,"&lt;="&amp;WIN_TO,'Dvd Calendar'!$E$1053:$AR$1053,"&gt;=0")&gt;0,"TBA amount - override me",IF((OV_SWITCH="ON")*(COUNTIFS(OVR_TICKERS,$C101,OVR_BASE,"&gt;=0")&gt;0)&gt;0,"overridden",IF($J101+$K101=0,"no dividend in year Y",""))))</f>
        <v/>
      </c>
      <c r="V101" s="133">
        <f>IF($B101="","",IFERROR(IF(ISNUMBER($H101),$B101*$G101*$H101/$B$3,0),""))</f>
        <v/>
      </c>
      <c r="W101" s="133">
        <f>IF($B101="","",IFERROR($B101*$G101*$K101/$B$3,""))</f>
        <v/>
      </c>
      <c r="X101" s="157">
        <f>IF($C101="","",BDP($C101,"PX_LAST"))</f>
        <v/>
      </c>
      <c r="Y101" s="133">
        <f>IF($B101="","",IFERROR($B101*$X101/$B$3,""))</f>
        <v/>
      </c>
      <c r="Z101" s="137">
        <f>IF($B101="","",IFERROR($Y101/$Y$5,""))</f>
        <v/>
      </c>
    </row>
    <row r="102">
      <c r="B102" s="97" t="n"/>
      <c r="C102" s="8">
        <f>IF($A102="","",$A102&amp;" Equity")</f>
        <v/>
      </c>
      <c r="D102" s="8">
        <f>IF($C102="","",BDP($C102,"NAME"))</f>
        <v/>
      </c>
      <c r="E102" s="8">
        <f>IF($C102="","",BDP($C102,"GICS_SECTOR_NAME"))</f>
        <v/>
      </c>
      <c r="F102" s="37">
        <f>IF($C102="","",BDP($C102,FLD_CCY))</f>
        <v/>
      </c>
      <c r="G102" s="111">
        <f>IFERROR(IF(LEN($F102)&lt;&gt;3,1,IF($F102="HKD",1,BDP(IF($F102="CNY",RMB_CROSS,$F102)&amp;"HKD Curncy","PX_LAST"))),1)</f>
        <v/>
      </c>
      <c r="H102" s="133">
        <f>IF($C102="","",BDP($C102,FLD_DPS12M))</f>
        <v/>
      </c>
      <c r="I102" s="126">
        <f>IF($C102="","",BDP($C102,FLD_YLD12M))</f>
        <v/>
      </c>
      <c r="J102" s="128">
        <f>IF($B102="",0,SUMPRODUCT(('Dvd Calendar'!$E$1056:$AR$1056&gt;=WIN_FROM)*('Dvd Calendar'!$E$1056:$AR$1056&lt;=REALIZED_TO)*'Dvd Calendar'!$E$1059:$AR$1059*(('Dvd Calendar'!$E$1061:$AR$1061=TYPE1)*(TYPE1&lt;&gt;"")+('Dvd Calendar'!$E$1061:$AR$1061=TYPE2)*(TYPE2&lt;&gt;"")+('Dvd Calendar'!$E$1061:$AR$1061=TYPE3)*(TYPE3&lt;&gt;"")+('Dvd Calendar'!$E$1061:$AR$1061=TYPE4)*(TYPE4&lt;&gt;"")+('Dvd Calendar'!$E$1061:$AR$1061=SPECIAL_LBL)*(INC_SPECIALS="Y"))))</f>
        <v/>
      </c>
      <c r="K102" s="128">
        <f>IF($B102="",0,SUMIFS('Dvd Calendar'!$E$1064:$AR$1064,'Dvd Calendar'!$E$1063:$AR$1063,"&gt;"&amp;PROJ_FROM,'Dvd Calendar'!$E$1063:$AR$1063,"&lt;="&amp;WIN_TO)+SUMPRODUCT(('Dvd Calendar'!$E$1056:$AR$1056&gt;PROJ_FROM)*('Dvd Calendar'!$E$1056:$AR$1056&lt;=WIN_TO)*'Dvd Calendar'!$E$1059:$AR$1059*(('Dvd Calendar'!$E$1061:$AR$1061=TYPE1)*(TYPE1&lt;&gt;"")+('Dvd Calendar'!$E$1061:$AR$1061=TYPE2)*(TYPE2&lt;&gt;"")+('Dvd Calendar'!$E$1061:$AR$1061=TYPE3)*(TYPE3&lt;&gt;"")+('Dvd Calendar'!$E$1061:$AR$1061=TYPE4)*(TYPE4&lt;&gt;"")+('Dvd Calendar'!$E$1061:$AR$1061=SPECIAL_LBL)*(INC_SPECIALS="Y"))*(COUNTIF('Dvd Calendar'!$E$1063:$AR$1063,'Dvd Calendar'!$E$1056:$AR$1056)=0)))</f>
        <v/>
      </c>
      <c r="L102" s="128">
        <f>IF($B102="",0,IF((OV_SWITCH="ON")*(COUNTIFS(OVR_TICKERS,$C102,OVR_BASE,"&gt;=0")&gt;0)&gt;0,SUMIFS(OVR_BASE,OVR_TICKERS,$C102),$K102))</f>
        <v/>
      </c>
      <c r="M102" s="128">
        <f>IF($B102="",0,IF((OV_SWITCH="ON")*(COUNTIFS(OVR_TICKERS,$C102,OVR_LOW,"&gt;=0")&gt;0)&gt;0,SUMIFS(OVR_LOW,OVR_TICKERS,$C102),$L102))</f>
        <v/>
      </c>
      <c r="N102" s="128">
        <f>IF($B102="",0,IF((OV_SWITCH="ON")*(COUNTIFS(OVR_TICKERS,$C102,OVR_HIGH,"&gt;=0")&gt;0)&gt;0,SUMIFS(OVR_HIGH,OVR_TICKERS,$C102),$L102))</f>
        <v/>
      </c>
      <c r="O102" s="133">
        <f>IF($B102="","",IFERROR($B102*$G102*$J102/$B$3,""))</f>
        <v/>
      </c>
      <c r="P102" s="133">
        <f>IF($B102="","",IFERROR($B102*$G102*$L102/$B$3,""))</f>
        <v/>
      </c>
      <c r="Q102" s="124">
        <f>IF($B102="","",IFERROR($O102+$P102,""))</f>
        <v/>
      </c>
      <c r="R102" s="133">
        <f>IF($B102="","",IFERROR($O102+$B102*$G102*$M102/$B$3,""))</f>
        <v/>
      </c>
      <c r="S102" s="133">
        <f>IF($B102="","",IFERROR($O102+$B102*$G102*$N102/$B$3,""))</f>
        <v/>
      </c>
      <c r="T102" s="150">
        <f>IF($B102="","",IFERROR($Q102/$Q$5,""))</f>
        <v/>
      </c>
      <c r="U102" s="2">
        <f>IF($B102="","",IF(COUNTIFS('Dvd Calendar'!$E$1062:$AR$1062,"&gt;0",'Dvd Calendar'!$E$1062:$AR$1062,"&lt;="&amp;VAL_DATE,'Dvd Calendar'!$E$1063:$AR$1063,"&gt;"&amp;PROJ_FROM,'Dvd Calendar'!$E$1063:$AR$1063,"&lt;="&amp;WIN_TO)-COUNTIFS('Dvd Calendar'!$E$1062:$AR$1062,"&gt;0",'Dvd Calendar'!$E$1062:$AR$1062,"&lt;="&amp;VAL_DATE,'Dvd Calendar'!$E$1063:$AR$1063,"&gt;"&amp;PROJ_FROM,'Dvd Calendar'!$E$1063:$AR$1063,"&lt;="&amp;WIN_TO,'Dvd Calendar'!$E$1064:$AR$1064,"&gt;=0")&gt;0,"TBA amount - override me",IF((OV_SWITCH="ON")*(COUNTIFS(OVR_TICKERS,$C102,OVR_BASE,"&gt;=0")&gt;0)&gt;0,"overridden",IF($J102+$K102=0,"no dividend in year Y",""))))</f>
        <v/>
      </c>
      <c r="V102" s="133">
        <f>IF($B102="","",IFERROR(IF(ISNUMBER($H102),$B102*$G102*$H102/$B$3,0),""))</f>
        <v/>
      </c>
      <c r="W102" s="133">
        <f>IF($B102="","",IFERROR($B102*$G102*$K102/$B$3,""))</f>
        <v/>
      </c>
      <c r="X102" s="157">
        <f>IF($C102="","",BDP($C102,"PX_LAST"))</f>
        <v/>
      </c>
      <c r="Y102" s="133">
        <f>IF($B102="","",IFERROR($B102*$X102/$B$3,""))</f>
        <v/>
      </c>
      <c r="Z102" s="137">
        <f>IF($B102="","",IFERROR($Y102/$Y$5,""))</f>
        <v/>
      </c>
    </row>
    <row r="103">
      <c r="B103" s="97" t="n"/>
      <c r="C103" s="8">
        <f>IF($A103="","",$A103&amp;" Equity")</f>
        <v/>
      </c>
      <c r="D103" s="8">
        <f>IF($C103="","",BDP($C103,"NAME"))</f>
        <v/>
      </c>
      <c r="E103" s="8">
        <f>IF($C103="","",BDP($C103,"GICS_SECTOR_NAME"))</f>
        <v/>
      </c>
      <c r="F103" s="37">
        <f>IF($C103="","",BDP($C103,FLD_CCY))</f>
        <v/>
      </c>
      <c r="G103" s="111">
        <f>IFERROR(IF(LEN($F103)&lt;&gt;3,1,IF($F103="HKD",1,BDP(IF($F103="CNY",RMB_CROSS,$F103)&amp;"HKD Curncy","PX_LAST"))),1)</f>
        <v/>
      </c>
      <c r="H103" s="133">
        <f>IF($C103="","",BDP($C103,FLD_DPS12M))</f>
        <v/>
      </c>
      <c r="I103" s="126">
        <f>IF($C103="","",BDP($C103,FLD_YLD12M))</f>
        <v/>
      </c>
      <c r="J103" s="128">
        <f>IF($B103="",0,SUMPRODUCT(('Dvd Calendar'!$E$1067:$AR$1067&gt;=WIN_FROM)*('Dvd Calendar'!$E$1067:$AR$1067&lt;=REALIZED_TO)*'Dvd Calendar'!$E$1070:$AR$1070*(('Dvd Calendar'!$E$1072:$AR$1072=TYPE1)*(TYPE1&lt;&gt;"")+('Dvd Calendar'!$E$1072:$AR$1072=TYPE2)*(TYPE2&lt;&gt;"")+('Dvd Calendar'!$E$1072:$AR$1072=TYPE3)*(TYPE3&lt;&gt;"")+('Dvd Calendar'!$E$1072:$AR$1072=TYPE4)*(TYPE4&lt;&gt;"")+('Dvd Calendar'!$E$1072:$AR$1072=SPECIAL_LBL)*(INC_SPECIALS="Y"))))</f>
        <v/>
      </c>
      <c r="K103" s="128">
        <f>IF($B103="",0,SUMIFS('Dvd Calendar'!$E$1075:$AR$1075,'Dvd Calendar'!$E$1074:$AR$1074,"&gt;"&amp;PROJ_FROM,'Dvd Calendar'!$E$1074:$AR$1074,"&lt;="&amp;WIN_TO)+SUMPRODUCT(('Dvd Calendar'!$E$1067:$AR$1067&gt;PROJ_FROM)*('Dvd Calendar'!$E$1067:$AR$1067&lt;=WIN_TO)*'Dvd Calendar'!$E$1070:$AR$1070*(('Dvd Calendar'!$E$1072:$AR$1072=TYPE1)*(TYPE1&lt;&gt;"")+('Dvd Calendar'!$E$1072:$AR$1072=TYPE2)*(TYPE2&lt;&gt;"")+('Dvd Calendar'!$E$1072:$AR$1072=TYPE3)*(TYPE3&lt;&gt;"")+('Dvd Calendar'!$E$1072:$AR$1072=TYPE4)*(TYPE4&lt;&gt;"")+('Dvd Calendar'!$E$1072:$AR$1072=SPECIAL_LBL)*(INC_SPECIALS="Y"))*(COUNTIF('Dvd Calendar'!$E$1074:$AR$1074,'Dvd Calendar'!$E$1067:$AR$1067)=0)))</f>
        <v/>
      </c>
      <c r="L103" s="128">
        <f>IF($B103="",0,IF((OV_SWITCH="ON")*(COUNTIFS(OVR_TICKERS,$C103,OVR_BASE,"&gt;=0")&gt;0)&gt;0,SUMIFS(OVR_BASE,OVR_TICKERS,$C103),$K103))</f>
        <v/>
      </c>
      <c r="M103" s="128">
        <f>IF($B103="",0,IF((OV_SWITCH="ON")*(COUNTIFS(OVR_TICKERS,$C103,OVR_LOW,"&gt;=0")&gt;0)&gt;0,SUMIFS(OVR_LOW,OVR_TICKERS,$C103),$L103))</f>
        <v/>
      </c>
      <c r="N103" s="128">
        <f>IF($B103="",0,IF((OV_SWITCH="ON")*(COUNTIFS(OVR_TICKERS,$C103,OVR_HIGH,"&gt;=0")&gt;0)&gt;0,SUMIFS(OVR_HIGH,OVR_TICKERS,$C103),$L103))</f>
        <v/>
      </c>
      <c r="O103" s="133">
        <f>IF($B103="","",IFERROR($B103*$G103*$J103/$B$3,""))</f>
        <v/>
      </c>
      <c r="P103" s="133">
        <f>IF($B103="","",IFERROR($B103*$G103*$L103/$B$3,""))</f>
        <v/>
      </c>
      <c r="Q103" s="124">
        <f>IF($B103="","",IFERROR($O103+$P103,""))</f>
        <v/>
      </c>
      <c r="R103" s="133">
        <f>IF($B103="","",IFERROR($O103+$B103*$G103*$M103/$B$3,""))</f>
        <v/>
      </c>
      <c r="S103" s="133">
        <f>IF($B103="","",IFERROR($O103+$B103*$G103*$N103/$B$3,""))</f>
        <v/>
      </c>
      <c r="T103" s="150">
        <f>IF($B103="","",IFERROR($Q103/$Q$5,""))</f>
        <v/>
      </c>
      <c r="U103" s="2">
        <f>IF($B103="","",IF(COUNTIFS('Dvd Calendar'!$E$1073:$AR$1073,"&gt;0",'Dvd Calendar'!$E$1073:$AR$1073,"&lt;="&amp;VAL_DATE,'Dvd Calendar'!$E$1074:$AR$1074,"&gt;"&amp;PROJ_FROM,'Dvd Calendar'!$E$1074:$AR$1074,"&lt;="&amp;WIN_TO)-COUNTIFS('Dvd Calendar'!$E$1073:$AR$1073,"&gt;0",'Dvd Calendar'!$E$1073:$AR$1073,"&lt;="&amp;VAL_DATE,'Dvd Calendar'!$E$1074:$AR$1074,"&gt;"&amp;PROJ_FROM,'Dvd Calendar'!$E$1074:$AR$1074,"&lt;="&amp;WIN_TO,'Dvd Calendar'!$E$1075:$AR$1075,"&gt;=0")&gt;0,"TBA amount - override me",IF((OV_SWITCH="ON")*(COUNTIFS(OVR_TICKERS,$C103,OVR_BASE,"&gt;=0")&gt;0)&gt;0,"overridden",IF($J103+$K103=0,"no dividend in year Y",""))))</f>
        <v/>
      </c>
      <c r="V103" s="133">
        <f>IF($B103="","",IFERROR(IF(ISNUMBER($H103),$B103*$G103*$H103/$B$3,0),""))</f>
        <v/>
      </c>
      <c r="W103" s="133">
        <f>IF($B103="","",IFERROR($B103*$G103*$K103/$B$3,""))</f>
        <v/>
      </c>
      <c r="X103" s="157">
        <f>IF($C103="","",BDP($C103,"PX_LAST"))</f>
        <v/>
      </c>
      <c r="Y103" s="133">
        <f>IF($B103="","",IFERROR($B103*$X103/$B$3,""))</f>
        <v/>
      </c>
      <c r="Z103" s="137">
        <f>IF($B103="","",IFERROR($Y103/$Y$5,""))</f>
        <v/>
      </c>
    </row>
    <row r="104">
      <c r="B104" s="97" t="n"/>
      <c r="C104" s="8">
        <f>IF($A104="","",$A104&amp;" Equity")</f>
        <v/>
      </c>
      <c r="D104" s="8">
        <f>IF($C104="","",BDP($C104,"NAME"))</f>
        <v/>
      </c>
      <c r="E104" s="8">
        <f>IF($C104="","",BDP($C104,"GICS_SECTOR_NAME"))</f>
        <v/>
      </c>
      <c r="F104" s="37">
        <f>IF($C104="","",BDP($C104,FLD_CCY))</f>
        <v/>
      </c>
      <c r="G104" s="111">
        <f>IFERROR(IF(LEN($F104)&lt;&gt;3,1,IF($F104="HKD",1,BDP(IF($F104="CNY",RMB_CROSS,$F104)&amp;"HKD Curncy","PX_LAST"))),1)</f>
        <v/>
      </c>
      <c r="H104" s="133">
        <f>IF($C104="","",BDP($C104,FLD_DPS12M))</f>
        <v/>
      </c>
      <c r="I104" s="126">
        <f>IF($C104="","",BDP($C104,FLD_YLD12M))</f>
        <v/>
      </c>
      <c r="J104" s="128">
        <f>IF($B104="",0,SUMPRODUCT(('Dvd Calendar'!$E$1078:$AR$1078&gt;=WIN_FROM)*('Dvd Calendar'!$E$1078:$AR$1078&lt;=REALIZED_TO)*'Dvd Calendar'!$E$1081:$AR$1081*(('Dvd Calendar'!$E$1083:$AR$1083=TYPE1)*(TYPE1&lt;&gt;"")+('Dvd Calendar'!$E$1083:$AR$1083=TYPE2)*(TYPE2&lt;&gt;"")+('Dvd Calendar'!$E$1083:$AR$1083=TYPE3)*(TYPE3&lt;&gt;"")+('Dvd Calendar'!$E$1083:$AR$1083=TYPE4)*(TYPE4&lt;&gt;"")+('Dvd Calendar'!$E$1083:$AR$1083=SPECIAL_LBL)*(INC_SPECIALS="Y"))))</f>
        <v/>
      </c>
      <c r="K104" s="128">
        <f>IF($B104="",0,SUMIFS('Dvd Calendar'!$E$1086:$AR$1086,'Dvd Calendar'!$E$1085:$AR$1085,"&gt;"&amp;PROJ_FROM,'Dvd Calendar'!$E$1085:$AR$1085,"&lt;="&amp;WIN_TO)+SUMPRODUCT(('Dvd Calendar'!$E$1078:$AR$1078&gt;PROJ_FROM)*('Dvd Calendar'!$E$1078:$AR$1078&lt;=WIN_TO)*'Dvd Calendar'!$E$1081:$AR$1081*(('Dvd Calendar'!$E$1083:$AR$1083=TYPE1)*(TYPE1&lt;&gt;"")+('Dvd Calendar'!$E$1083:$AR$1083=TYPE2)*(TYPE2&lt;&gt;"")+('Dvd Calendar'!$E$1083:$AR$1083=TYPE3)*(TYPE3&lt;&gt;"")+('Dvd Calendar'!$E$1083:$AR$1083=TYPE4)*(TYPE4&lt;&gt;"")+('Dvd Calendar'!$E$1083:$AR$1083=SPECIAL_LBL)*(INC_SPECIALS="Y"))*(COUNTIF('Dvd Calendar'!$E$1085:$AR$1085,'Dvd Calendar'!$E$1078:$AR$1078)=0)))</f>
        <v/>
      </c>
      <c r="L104" s="128">
        <f>IF($B104="",0,IF((OV_SWITCH="ON")*(COUNTIFS(OVR_TICKERS,$C104,OVR_BASE,"&gt;=0")&gt;0)&gt;0,SUMIFS(OVR_BASE,OVR_TICKERS,$C104),$K104))</f>
        <v/>
      </c>
      <c r="M104" s="128">
        <f>IF($B104="",0,IF((OV_SWITCH="ON")*(COUNTIFS(OVR_TICKERS,$C104,OVR_LOW,"&gt;=0")&gt;0)&gt;0,SUMIFS(OVR_LOW,OVR_TICKERS,$C104),$L104))</f>
        <v/>
      </c>
      <c r="N104" s="128">
        <f>IF($B104="",0,IF((OV_SWITCH="ON")*(COUNTIFS(OVR_TICKERS,$C104,OVR_HIGH,"&gt;=0")&gt;0)&gt;0,SUMIFS(OVR_HIGH,OVR_TICKERS,$C104),$L104))</f>
        <v/>
      </c>
      <c r="O104" s="133">
        <f>IF($B104="","",IFERROR($B104*$G104*$J104/$B$3,""))</f>
        <v/>
      </c>
      <c r="P104" s="133">
        <f>IF($B104="","",IFERROR($B104*$G104*$L104/$B$3,""))</f>
        <v/>
      </c>
      <c r="Q104" s="124">
        <f>IF($B104="","",IFERROR($O104+$P104,""))</f>
        <v/>
      </c>
      <c r="R104" s="133">
        <f>IF($B104="","",IFERROR($O104+$B104*$G104*$M104/$B$3,""))</f>
        <v/>
      </c>
      <c r="S104" s="133">
        <f>IF($B104="","",IFERROR($O104+$B104*$G104*$N104/$B$3,""))</f>
        <v/>
      </c>
      <c r="T104" s="150">
        <f>IF($B104="","",IFERROR($Q104/$Q$5,""))</f>
        <v/>
      </c>
      <c r="U104" s="2">
        <f>IF($B104="","",IF(COUNTIFS('Dvd Calendar'!$E$1084:$AR$1084,"&gt;0",'Dvd Calendar'!$E$1084:$AR$1084,"&lt;="&amp;VAL_DATE,'Dvd Calendar'!$E$1085:$AR$1085,"&gt;"&amp;PROJ_FROM,'Dvd Calendar'!$E$1085:$AR$1085,"&lt;="&amp;WIN_TO)-COUNTIFS('Dvd Calendar'!$E$1084:$AR$1084,"&gt;0",'Dvd Calendar'!$E$1084:$AR$1084,"&lt;="&amp;VAL_DATE,'Dvd Calendar'!$E$1085:$AR$1085,"&gt;"&amp;PROJ_FROM,'Dvd Calendar'!$E$1085:$AR$1085,"&lt;="&amp;WIN_TO,'Dvd Calendar'!$E$1086:$AR$1086,"&gt;=0")&gt;0,"TBA amount - override me",IF((OV_SWITCH="ON")*(COUNTIFS(OVR_TICKERS,$C104,OVR_BASE,"&gt;=0")&gt;0)&gt;0,"overridden",IF($J104+$K104=0,"no dividend in year Y",""))))</f>
        <v/>
      </c>
      <c r="V104" s="133">
        <f>IF($B104="","",IFERROR(IF(ISNUMBER($H104),$B104*$G104*$H104/$B$3,0),""))</f>
        <v/>
      </c>
      <c r="W104" s="133">
        <f>IF($B104="","",IFERROR($B104*$G104*$K104/$B$3,""))</f>
        <v/>
      </c>
      <c r="X104" s="157">
        <f>IF($C104="","",BDP($C104,"PX_LAST"))</f>
        <v/>
      </c>
      <c r="Y104" s="133">
        <f>IF($B104="","",IFERROR($B104*$X104/$B$3,""))</f>
        <v/>
      </c>
      <c r="Z104" s="137">
        <f>IF($B104="","",IFERROR($Y104/$Y$5,""))</f>
        <v/>
      </c>
    </row>
    <row r="105">
      <c r="B105" s="97" t="n"/>
      <c r="C105" s="8">
        <f>IF($A105="","",$A105&amp;" Equity")</f>
        <v/>
      </c>
      <c r="D105" s="8">
        <f>IF($C105="","",BDP($C105,"NAME"))</f>
        <v/>
      </c>
      <c r="E105" s="8">
        <f>IF($C105="","",BDP($C105,"GICS_SECTOR_NAME"))</f>
        <v/>
      </c>
      <c r="F105" s="37">
        <f>IF($C105="","",BDP($C105,FLD_CCY))</f>
        <v/>
      </c>
      <c r="G105" s="111">
        <f>IFERROR(IF(LEN($F105)&lt;&gt;3,1,IF($F105="HKD",1,BDP(IF($F105="CNY",RMB_CROSS,$F105)&amp;"HKD Curncy","PX_LAST"))),1)</f>
        <v/>
      </c>
      <c r="H105" s="133">
        <f>IF($C105="","",BDP($C105,FLD_DPS12M))</f>
        <v/>
      </c>
      <c r="I105" s="126">
        <f>IF($C105="","",BDP($C105,FLD_YLD12M))</f>
        <v/>
      </c>
      <c r="J105" s="128">
        <f>IF($B105="",0,SUMPRODUCT(('Dvd Calendar'!$E$1089:$AR$1089&gt;=WIN_FROM)*('Dvd Calendar'!$E$1089:$AR$1089&lt;=REALIZED_TO)*'Dvd Calendar'!$E$1092:$AR$1092*(('Dvd Calendar'!$E$1094:$AR$1094=TYPE1)*(TYPE1&lt;&gt;"")+('Dvd Calendar'!$E$1094:$AR$1094=TYPE2)*(TYPE2&lt;&gt;"")+('Dvd Calendar'!$E$1094:$AR$1094=TYPE3)*(TYPE3&lt;&gt;"")+('Dvd Calendar'!$E$1094:$AR$1094=TYPE4)*(TYPE4&lt;&gt;"")+('Dvd Calendar'!$E$1094:$AR$1094=SPECIAL_LBL)*(INC_SPECIALS="Y"))))</f>
        <v/>
      </c>
      <c r="K105" s="128">
        <f>IF($B105="",0,SUMIFS('Dvd Calendar'!$E$1097:$AR$1097,'Dvd Calendar'!$E$1096:$AR$1096,"&gt;"&amp;PROJ_FROM,'Dvd Calendar'!$E$1096:$AR$1096,"&lt;="&amp;WIN_TO)+SUMPRODUCT(('Dvd Calendar'!$E$1089:$AR$1089&gt;PROJ_FROM)*('Dvd Calendar'!$E$1089:$AR$1089&lt;=WIN_TO)*'Dvd Calendar'!$E$1092:$AR$1092*(('Dvd Calendar'!$E$1094:$AR$1094=TYPE1)*(TYPE1&lt;&gt;"")+('Dvd Calendar'!$E$1094:$AR$1094=TYPE2)*(TYPE2&lt;&gt;"")+('Dvd Calendar'!$E$1094:$AR$1094=TYPE3)*(TYPE3&lt;&gt;"")+('Dvd Calendar'!$E$1094:$AR$1094=TYPE4)*(TYPE4&lt;&gt;"")+('Dvd Calendar'!$E$1094:$AR$1094=SPECIAL_LBL)*(INC_SPECIALS="Y"))*(COUNTIF('Dvd Calendar'!$E$1096:$AR$1096,'Dvd Calendar'!$E$1089:$AR$1089)=0)))</f>
        <v/>
      </c>
      <c r="L105" s="128">
        <f>IF($B105="",0,IF((OV_SWITCH="ON")*(COUNTIFS(OVR_TICKERS,$C105,OVR_BASE,"&gt;=0")&gt;0)&gt;0,SUMIFS(OVR_BASE,OVR_TICKERS,$C105),$K105))</f>
        <v/>
      </c>
      <c r="M105" s="128">
        <f>IF($B105="",0,IF((OV_SWITCH="ON")*(COUNTIFS(OVR_TICKERS,$C105,OVR_LOW,"&gt;=0")&gt;0)&gt;0,SUMIFS(OVR_LOW,OVR_TICKERS,$C105),$L105))</f>
        <v/>
      </c>
      <c r="N105" s="128">
        <f>IF($B105="",0,IF((OV_SWITCH="ON")*(COUNTIFS(OVR_TICKERS,$C105,OVR_HIGH,"&gt;=0")&gt;0)&gt;0,SUMIFS(OVR_HIGH,OVR_TICKERS,$C105),$L105))</f>
        <v/>
      </c>
      <c r="O105" s="133">
        <f>IF($B105="","",IFERROR($B105*$G105*$J105/$B$3,""))</f>
        <v/>
      </c>
      <c r="P105" s="133">
        <f>IF($B105="","",IFERROR($B105*$G105*$L105/$B$3,""))</f>
        <v/>
      </c>
      <c r="Q105" s="124">
        <f>IF($B105="","",IFERROR($O105+$P105,""))</f>
        <v/>
      </c>
      <c r="R105" s="133">
        <f>IF($B105="","",IFERROR($O105+$B105*$G105*$M105/$B$3,""))</f>
        <v/>
      </c>
      <c r="S105" s="133">
        <f>IF($B105="","",IFERROR($O105+$B105*$G105*$N105/$B$3,""))</f>
        <v/>
      </c>
      <c r="T105" s="150">
        <f>IF($B105="","",IFERROR($Q105/$Q$5,""))</f>
        <v/>
      </c>
      <c r="U105" s="2">
        <f>IF($B105="","",IF(COUNTIFS('Dvd Calendar'!$E$1095:$AR$1095,"&gt;0",'Dvd Calendar'!$E$1095:$AR$1095,"&lt;="&amp;VAL_DATE,'Dvd Calendar'!$E$1096:$AR$1096,"&gt;"&amp;PROJ_FROM,'Dvd Calendar'!$E$1096:$AR$1096,"&lt;="&amp;WIN_TO)-COUNTIFS('Dvd Calendar'!$E$1095:$AR$1095,"&gt;0",'Dvd Calendar'!$E$1095:$AR$1095,"&lt;="&amp;VAL_DATE,'Dvd Calendar'!$E$1096:$AR$1096,"&gt;"&amp;PROJ_FROM,'Dvd Calendar'!$E$1096:$AR$1096,"&lt;="&amp;WIN_TO,'Dvd Calendar'!$E$1097:$AR$1097,"&gt;=0")&gt;0,"TBA amount - override me",IF((OV_SWITCH="ON")*(COUNTIFS(OVR_TICKERS,$C105,OVR_BASE,"&gt;=0")&gt;0)&gt;0,"overridden",IF($J105+$K105=0,"no dividend in year Y",""))))</f>
        <v/>
      </c>
      <c r="V105" s="133">
        <f>IF($B105="","",IFERROR(IF(ISNUMBER($H105),$B105*$G105*$H105/$B$3,0),""))</f>
        <v/>
      </c>
      <c r="W105" s="133">
        <f>IF($B105="","",IFERROR($B105*$G105*$K105/$B$3,""))</f>
        <v/>
      </c>
      <c r="X105" s="157">
        <f>IF($C105="","",BDP($C105,"PX_LAST"))</f>
        <v/>
      </c>
      <c r="Y105" s="133">
        <f>IF($B105="","",IFERROR($B105*$X105/$B$3,""))</f>
        <v/>
      </c>
      <c r="Z105" s="137">
        <f>IF($B105="","",IFERROR($Y105/$Y$5,""))</f>
        <v/>
      </c>
    </row>
    <row r="106">
      <c r="B106" s="97" t="n"/>
      <c r="C106" s="8">
        <f>IF($A106="","",$A106&amp;" Equity")</f>
        <v/>
      </c>
      <c r="D106" s="8">
        <f>IF($C106="","",BDP($C106,"NAME"))</f>
        <v/>
      </c>
      <c r="E106" s="8">
        <f>IF($C106="","",BDP($C106,"GICS_SECTOR_NAME"))</f>
        <v/>
      </c>
      <c r="F106" s="37">
        <f>IF($C106="","",BDP($C106,FLD_CCY))</f>
        <v/>
      </c>
      <c r="G106" s="111">
        <f>IFERROR(IF(LEN($F106)&lt;&gt;3,1,IF($F106="HKD",1,BDP(IF($F106="CNY",RMB_CROSS,$F106)&amp;"HKD Curncy","PX_LAST"))),1)</f>
        <v/>
      </c>
      <c r="H106" s="133">
        <f>IF($C106="","",BDP($C106,FLD_DPS12M))</f>
        <v/>
      </c>
      <c r="I106" s="126">
        <f>IF($C106="","",BDP($C106,FLD_YLD12M))</f>
        <v/>
      </c>
      <c r="J106" s="128">
        <f>IF($B106="",0,SUMPRODUCT(('Dvd Calendar'!$E$1100:$AR$1100&gt;=WIN_FROM)*('Dvd Calendar'!$E$1100:$AR$1100&lt;=REALIZED_TO)*'Dvd Calendar'!$E$1103:$AR$1103*(('Dvd Calendar'!$E$1105:$AR$1105=TYPE1)*(TYPE1&lt;&gt;"")+('Dvd Calendar'!$E$1105:$AR$1105=TYPE2)*(TYPE2&lt;&gt;"")+('Dvd Calendar'!$E$1105:$AR$1105=TYPE3)*(TYPE3&lt;&gt;"")+('Dvd Calendar'!$E$1105:$AR$1105=TYPE4)*(TYPE4&lt;&gt;"")+('Dvd Calendar'!$E$1105:$AR$1105=SPECIAL_LBL)*(INC_SPECIALS="Y"))))</f>
        <v/>
      </c>
      <c r="K106" s="128">
        <f>IF($B106="",0,SUMIFS('Dvd Calendar'!$E$1108:$AR$1108,'Dvd Calendar'!$E$1107:$AR$1107,"&gt;"&amp;PROJ_FROM,'Dvd Calendar'!$E$1107:$AR$1107,"&lt;="&amp;WIN_TO)+SUMPRODUCT(('Dvd Calendar'!$E$1100:$AR$1100&gt;PROJ_FROM)*('Dvd Calendar'!$E$1100:$AR$1100&lt;=WIN_TO)*'Dvd Calendar'!$E$1103:$AR$1103*(('Dvd Calendar'!$E$1105:$AR$1105=TYPE1)*(TYPE1&lt;&gt;"")+('Dvd Calendar'!$E$1105:$AR$1105=TYPE2)*(TYPE2&lt;&gt;"")+('Dvd Calendar'!$E$1105:$AR$1105=TYPE3)*(TYPE3&lt;&gt;"")+('Dvd Calendar'!$E$1105:$AR$1105=TYPE4)*(TYPE4&lt;&gt;"")+('Dvd Calendar'!$E$1105:$AR$1105=SPECIAL_LBL)*(INC_SPECIALS="Y"))*(COUNTIF('Dvd Calendar'!$E$1107:$AR$1107,'Dvd Calendar'!$E$1100:$AR$1100)=0)))</f>
        <v/>
      </c>
      <c r="L106" s="128">
        <f>IF($B106="",0,IF((OV_SWITCH="ON")*(COUNTIFS(OVR_TICKERS,$C106,OVR_BASE,"&gt;=0")&gt;0)&gt;0,SUMIFS(OVR_BASE,OVR_TICKERS,$C106),$K106))</f>
        <v/>
      </c>
      <c r="M106" s="128">
        <f>IF($B106="",0,IF((OV_SWITCH="ON")*(COUNTIFS(OVR_TICKERS,$C106,OVR_LOW,"&gt;=0")&gt;0)&gt;0,SUMIFS(OVR_LOW,OVR_TICKERS,$C106),$L106))</f>
        <v/>
      </c>
      <c r="N106" s="128">
        <f>IF($B106="",0,IF((OV_SWITCH="ON")*(COUNTIFS(OVR_TICKERS,$C106,OVR_HIGH,"&gt;=0")&gt;0)&gt;0,SUMIFS(OVR_HIGH,OVR_TICKERS,$C106),$L106))</f>
        <v/>
      </c>
      <c r="O106" s="133">
        <f>IF($B106="","",IFERROR($B106*$G106*$J106/$B$3,""))</f>
        <v/>
      </c>
      <c r="P106" s="133">
        <f>IF($B106="","",IFERROR($B106*$G106*$L106/$B$3,""))</f>
        <v/>
      </c>
      <c r="Q106" s="124">
        <f>IF($B106="","",IFERROR($O106+$P106,""))</f>
        <v/>
      </c>
      <c r="R106" s="133">
        <f>IF($B106="","",IFERROR($O106+$B106*$G106*$M106/$B$3,""))</f>
        <v/>
      </c>
      <c r="S106" s="133">
        <f>IF($B106="","",IFERROR($O106+$B106*$G106*$N106/$B$3,""))</f>
        <v/>
      </c>
      <c r="T106" s="150">
        <f>IF($B106="","",IFERROR($Q106/$Q$5,""))</f>
        <v/>
      </c>
      <c r="U106" s="2">
        <f>IF($B106="","",IF(COUNTIFS('Dvd Calendar'!$E$1106:$AR$1106,"&gt;0",'Dvd Calendar'!$E$1106:$AR$1106,"&lt;="&amp;VAL_DATE,'Dvd Calendar'!$E$1107:$AR$1107,"&gt;"&amp;PROJ_FROM,'Dvd Calendar'!$E$1107:$AR$1107,"&lt;="&amp;WIN_TO)-COUNTIFS('Dvd Calendar'!$E$1106:$AR$1106,"&gt;0",'Dvd Calendar'!$E$1106:$AR$1106,"&lt;="&amp;VAL_DATE,'Dvd Calendar'!$E$1107:$AR$1107,"&gt;"&amp;PROJ_FROM,'Dvd Calendar'!$E$1107:$AR$1107,"&lt;="&amp;WIN_TO,'Dvd Calendar'!$E$1108:$AR$1108,"&gt;=0")&gt;0,"TBA amount - override me",IF((OV_SWITCH="ON")*(COUNTIFS(OVR_TICKERS,$C106,OVR_BASE,"&gt;=0")&gt;0)&gt;0,"overridden",IF($J106+$K106=0,"no dividend in year Y",""))))</f>
        <v/>
      </c>
      <c r="V106" s="133">
        <f>IF($B106="","",IFERROR(IF(ISNUMBER($H106),$B106*$G106*$H106/$B$3,0),""))</f>
        <v/>
      </c>
      <c r="W106" s="133">
        <f>IF($B106="","",IFERROR($B106*$G106*$K106/$B$3,""))</f>
        <v/>
      </c>
      <c r="X106" s="157">
        <f>IF($C106="","",BDP($C106,"PX_LAST"))</f>
        <v/>
      </c>
      <c r="Y106" s="133">
        <f>IF($B106="","",IFERROR($B106*$X106/$B$3,""))</f>
        <v/>
      </c>
      <c r="Z106" s="137">
        <f>IF($B106="","",IFERROR($Y106/$Y$5,""))</f>
        <v/>
      </c>
    </row>
    <row r="107"/>
    <row r="108"/>
    <row r="109"/>
    <row r="110"/>
  </sheetData>
  <autoFilter ref="A6:Z106"/>
  <conditionalFormatting sqref="U7:U106">
    <cfRule type="expression" priority="1" dxfId="0">
      <formula>ISNUMBER(SEARCH("TBA",$U7))</formula>
    </cfRule>
  </conditionalFormatting>
  <pageMargins left="0.75" right="0.75" top="1" bottom="1" header="0.5" footer="0.5"/>
</worksheet>
</file>

<file path=xl/worksheets/sheet8.xml><?xml version="1.0" encoding="utf-8"?>
<worksheet xmlns="http://schemas.openxmlformats.org/spreadsheetml/2006/main">
  <sheetPr>
    <tabColor rgb="008EAADB"/>
    <outlinePr summaryBelow="1" summaryRight="1"/>
    <pageSetUpPr/>
  </sheetPr>
  <dimension ref="A1:Z50"/>
  <sheetViews>
    <sheetView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 width="10" customWidth="1" min="24" max="24"/>
    <col width="10" customWidth="1" min="25" max="25"/>
    <col width="9" customWidth="1" min="26" max="26"/>
  </cols>
  <sheetData>
    <row r="1">
      <c r="A1" s="1" t="inlineStr">
        <is>
          <t>Hang Seng TECH Index (HSTECH)  -  MEMBERS, YOUR BASKET, AND THE YEAR MODEL</t>
        </is>
      </c>
    </row>
    <row r="2">
      <c r="A2" s="3" t="inlineStr">
        <is>
          <t>Index ticker</t>
        </is>
      </c>
      <c r="B2" s="4" t="inlineStr">
        <is>
          <t>HSTECH Index</t>
        </is>
      </c>
      <c r="G2" s="2" t="inlineStr">
        <is>
          <t>Members</t>
        </is>
      </c>
      <c r="H2" s="40">
        <f>SUMPRODUCT(($A$7:$A$46&lt;&gt;"")*1)</f>
        <v/>
      </c>
      <c r="K2" s="2" t="inlineStr">
        <is>
          <t>Qty pasted</t>
        </is>
      </c>
      <c r="L2" s="40">
        <f>COUNT($B$7:$B$46)</f>
        <v/>
      </c>
      <c r="O2" s="2" t="inlineStr">
        <is>
          <t>No qty</t>
        </is>
      </c>
      <c r="P2" s="40">
        <f>SUMPRODUCT(($A$7:$A$46&lt;&gt;"")*($B$7:$B$46=""))</f>
        <v/>
      </c>
      <c r="S2" s="2" t="inlineStr">
        <is>
          <t>Amount TBA</t>
        </is>
      </c>
      <c r="T2" s="40">
        <f>COUNTIF($U$7:$U$46,"TBA amount - override me")</f>
        <v/>
      </c>
    </row>
    <row r="3">
      <c r="A3" s="3" t="inlineStr">
        <is>
          <t>Index divisor</t>
        </is>
      </c>
      <c r="B3" s="29" t="n"/>
      <c r="C3" s="2" t="inlineStr">
        <is>
          <t>Paste the official divisor here and the basket quantities in column B, in CONSISTENT units - the SCALE FACTOR row on Summary flags a mismatch instantly. A refresh can reshuffle members; pasted quantities do NOT follow them.</t>
        </is>
      </c>
    </row>
    <row r="4">
      <c r="A4" s="6" t="inlineStr">
        <is>
          <t>MEMBER &amp; REFERENCE DATA (Bloomberg)</t>
        </is>
      </c>
      <c r="B4" s="7" t="n"/>
      <c r="C4" s="7" t="n"/>
      <c r="D4" s="7" t="n"/>
      <c r="E4" s="7" t="n"/>
      <c r="F4" s="7" t="n"/>
      <c r="G4" s="7" t="n"/>
      <c r="H4" s="7" t="n"/>
      <c r="I4" s="7" t="n"/>
      <c r="J4" s="57" t="inlineStr">
        <is>
          <t>DIVIDEND PER SHARE - declared currency</t>
        </is>
      </c>
      <c r="K4" s="58" t="n"/>
      <c r="L4" s="58" t="n"/>
      <c r="M4" s="58" t="n"/>
      <c r="N4" s="58" t="n"/>
      <c r="O4" s="57" t="inlineStr">
        <is>
          <t>INDEX POINTS</t>
        </is>
      </c>
      <c r="P4" s="58" t="n"/>
      <c r="Q4" s="58" t="n"/>
      <c r="R4" s="58" t="n"/>
      <c r="S4" s="58" t="n"/>
      <c r="T4" s="58" t="n"/>
      <c r="U4" s="6" t="inlineStr">
        <is>
          <t>FLAG / REFERENCE</t>
        </is>
      </c>
      <c r="V4" s="7" t="n"/>
      <c r="W4" s="7" t="n"/>
      <c r="X4" s="59" t="inlineStr">
        <is>
          <t>UNITS CHECK (price x qty must rebuild the index)</t>
        </is>
      </c>
      <c r="Y4" s="60" t="n"/>
      <c r="Z4" s="60" t="n"/>
    </row>
    <row r="5">
      <c r="N5" s="3" t="inlineStr">
        <is>
          <t>TOTAL -&gt;</t>
        </is>
      </c>
      <c r="O5" s="30">
        <f>IFERROR(SUM(O7:O46),"")</f>
        <v/>
      </c>
      <c r="P5" s="30">
        <f>IFERROR(SUM(P7:P46),"")</f>
        <v/>
      </c>
      <c r="Q5" s="49">
        <f>IFERROR(SUM(Q7:Q46),"")</f>
        <v/>
      </c>
      <c r="R5" s="30">
        <f>IFERROR(SUM(R7:R46),"")</f>
        <v/>
      </c>
      <c r="S5" s="30">
        <f>IFERROR(SUM(S7:S46),"")</f>
        <v/>
      </c>
      <c r="V5" s="30">
        <f>IFERROR(SUM(V7:V46),"")</f>
        <v/>
      </c>
      <c r="W5" s="30">
        <f>IFERROR(SUM(W7:W46),"")</f>
        <v/>
      </c>
      <c r="Y5" s="49">
        <f>IFERROR(SUM(Y7:Y46),"")</f>
        <v/>
      </c>
      <c r="Z5" s="156">
        <f>IFERROR(SUM(Z7:Z46),"")</f>
        <v/>
      </c>
    </row>
    <row r="6">
      <c r="A6" s="23" t="inlineStr">
        <is>
          <t>Member</t>
        </is>
      </c>
      <c r="B6" s="23" t="inlineStr">
        <is>
          <t>Basket
Qty</t>
        </is>
      </c>
      <c r="C6" s="23" t="inlineStr">
        <is>
          <t>Bloomberg Ticker</t>
        </is>
      </c>
      <c r="D6" s="23" t="inlineStr">
        <is>
          <t>Name</t>
        </is>
      </c>
      <c r="E6" s="23" t="inlineStr">
        <is>
          <t>GICS Sector</t>
        </is>
      </c>
      <c r="F6" s="23" t="inlineStr">
        <is>
          <t>Dvd
CCY</t>
        </is>
      </c>
      <c r="G6" s="23" t="inlineStr">
        <is>
          <t>FX -&gt;
HKD</t>
        </is>
      </c>
      <c r="H6" s="23" t="inlineStr">
        <is>
          <t>DPS 12M
(ref)</t>
        </is>
      </c>
      <c r="I6" s="23" t="inlineStr">
        <is>
          <t>Yld 12M
(ref)</t>
        </is>
      </c>
      <c r="J6" s="23" t="inlineStr">
        <is>
          <t>Realized
DPS</t>
        </is>
      </c>
      <c r="K6" s="23" t="inlineStr">
        <is>
          <t>To come
DPS (BBG)</t>
        </is>
      </c>
      <c r="L6" s="23" t="inlineStr">
        <is>
          <t>To come
DPS (eff)</t>
        </is>
      </c>
      <c r="M6" s="23" t="inlineStr">
        <is>
          <t>LOW
DPS</t>
        </is>
      </c>
      <c r="N6" s="23" t="inlineStr">
        <is>
          <t>HIGH
DPS</t>
        </is>
      </c>
      <c r="O6" s="62" t="inlineStr">
        <is>
          <t>Realized
(pts)</t>
        </is>
      </c>
      <c r="P6" s="62" t="inlineStr">
        <is>
          <t>To come
(pts)</t>
        </is>
      </c>
      <c r="Q6" s="62" t="inlineStr">
        <is>
          <t>YEAR
TOTAL (pts)</t>
        </is>
      </c>
      <c r="R6" s="62" t="inlineStr">
        <is>
          <t>LOW
(pts)</t>
        </is>
      </c>
      <c r="S6" s="62" t="inlineStr">
        <is>
          <t>HIGH
(pts)</t>
        </is>
      </c>
      <c r="T6" s="62" t="inlineStr">
        <is>
          <t>% of yr
dvds</t>
        </is>
      </c>
      <c r="U6" s="23" t="inlineStr">
        <is>
          <t>Flag</t>
        </is>
      </c>
      <c r="V6" s="23" t="inlineStr">
        <is>
          <t>12M pts
(ref)</t>
        </is>
      </c>
      <c r="W6" s="23" t="inlineStr">
        <is>
          <t>To come
pts (BBG)</t>
        </is>
      </c>
      <c r="X6" s="65" t="inlineStr">
        <is>
          <t>Price
(PX_LAST)</t>
        </is>
      </c>
      <c r="Y6" s="65" t="inlineStr">
        <is>
          <t>Value
(index pts)</t>
        </is>
      </c>
      <c r="Z6" s="65" t="inlineStr">
        <is>
          <t>Index
weight</t>
        </is>
      </c>
    </row>
    <row r="7">
      <c r="A7" s="8">
        <f>BDS($B$2,"INDX_MEMBERS")</f>
        <v/>
      </c>
      <c r="B7" s="97" t="n"/>
      <c r="C7" s="8">
        <f>IF($A7="","",$A7&amp;" Equity")</f>
        <v/>
      </c>
      <c r="D7" s="8">
        <f>IF($C7="","",BDP($C7,"NAME"))</f>
        <v/>
      </c>
      <c r="E7" s="8">
        <f>IF($C7="","",BDP($C7,"GICS_SECTOR_NAME"))</f>
        <v/>
      </c>
      <c r="F7" s="37">
        <f>IF($C7="","",BDP($C7,FLD_CCY))</f>
        <v/>
      </c>
      <c r="G7" s="111">
        <f>IFERROR(IF(LEN($F7)&lt;&gt;3,1,IF($F7="HKD",1,BDP(IF($F7="CNY",RMB_CROSS,$F7)&amp;"HKD Curncy","PX_LAST"))),1)</f>
        <v/>
      </c>
      <c r="H7" s="133">
        <f>IF($C7="","",BDP($C7,FLD_DPS12M))</f>
        <v/>
      </c>
      <c r="I7" s="126">
        <f>IF($C7="","",BDP($C7,FLD_YLD12M))</f>
        <v/>
      </c>
      <c r="J7" s="128">
        <f>IF($B7="",0,SUMPRODUCT(('Dvd Calendar'!$E$1116:$AR$1116&gt;=WIN_FROM)*('Dvd Calendar'!$E$1116:$AR$1116&lt;=REALIZED_TO)*'Dvd Calendar'!$E$1119:$AR$1119*(('Dvd Calendar'!$E$1121:$AR$1121=TYPE1)*(TYPE1&lt;&gt;"")+('Dvd Calendar'!$E$1121:$AR$1121=TYPE2)*(TYPE2&lt;&gt;"")+('Dvd Calendar'!$E$1121:$AR$1121=TYPE3)*(TYPE3&lt;&gt;"")+('Dvd Calendar'!$E$1121:$AR$1121=TYPE4)*(TYPE4&lt;&gt;"")+('Dvd Calendar'!$E$1121:$AR$1121=SPECIAL_LBL)*(INC_SPECIALS="Y"))))</f>
        <v/>
      </c>
      <c r="K7" s="128">
        <f>IF($B7="",0,SUMIFS('Dvd Calendar'!$E$1124:$AR$1124,'Dvd Calendar'!$E$1123:$AR$1123,"&gt;"&amp;PROJ_FROM,'Dvd Calendar'!$E$1123:$AR$1123,"&lt;="&amp;WIN_TO)+SUMPRODUCT(('Dvd Calendar'!$E$1116:$AR$1116&gt;PROJ_FROM)*('Dvd Calendar'!$E$1116:$AR$1116&lt;=WIN_TO)*'Dvd Calendar'!$E$1119:$AR$1119*(('Dvd Calendar'!$E$1121:$AR$1121=TYPE1)*(TYPE1&lt;&gt;"")+('Dvd Calendar'!$E$1121:$AR$1121=TYPE2)*(TYPE2&lt;&gt;"")+('Dvd Calendar'!$E$1121:$AR$1121=TYPE3)*(TYPE3&lt;&gt;"")+('Dvd Calendar'!$E$1121:$AR$1121=TYPE4)*(TYPE4&lt;&gt;"")+('Dvd Calendar'!$E$1121:$AR$1121=SPECIAL_LBL)*(INC_SPECIALS="Y"))*(COUNTIF('Dvd Calendar'!$E$1123:$AR$1123,'Dvd Calendar'!$E$1116:$AR$1116)=0)))</f>
        <v/>
      </c>
      <c r="L7" s="128">
        <f>IF($B7="",0,IF((OV_SWITCH="ON")*(COUNTIFS(OVR_TICKERS,$C7,OVR_BASE,"&gt;=0")&gt;0)&gt;0,SUMIFS(OVR_BASE,OVR_TICKERS,$C7),$K7))</f>
        <v/>
      </c>
      <c r="M7" s="128">
        <f>IF($B7="",0,IF((OV_SWITCH="ON")*(COUNTIFS(OVR_TICKERS,$C7,OVR_LOW,"&gt;=0")&gt;0)&gt;0,SUMIFS(OVR_LOW,OVR_TICKERS,$C7),$L7))</f>
        <v/>
      </c>
      <c r="N7" s="128">
        <f>IF($B7="",0,IF((OV_SWITCH="ON")*(COUNTIFS(OVR_TICKERS,$C7,OVR_HIGH,"&gt;=0")&gt;0)&gt;0,SUMIFS(OVR_HIGH,OVR_TICKERS,$C7),$L7))</f>
        <v/>
      </c>
      <c r="O7" s="133">
        <f>IF($B7="","",IFERROR($B7*$G7*$J7/$B$3,""))</f>
        <v/>
      </c>
      <c r="P7" s="133">
        <f>IF($B7="","",IFERROR($B7*$G7*$L7/$B$3,""))</f>
        <v/>
      </c>
      <c r="Q7" s="124">
        <f>IF($B7="","",IFERROR($O7+$P7,""))</f>
        <v/>
      </c>
      <c r="R7" s="133">
        <f>IF($B7="","",IFERROR($O7+$B7*$G7*$M7/$B$3,""))</f>
        <v/>
      </c>
      <c r="S7" s="133">
        <f>IF($B7="","",IFERROR($O7+$B7*$G7*$N7/$B$3,""))</f>
        <v/>
      </c>
      <c r="T7" s="150">
        <f>IF($B7="","",IFERROR($Q7/$Q$5,""))</f>
        <v/>
      </c>
      <c r="U7" s="2">
        <f>IF($B7="","",IF(COUNTIFS('Dvd Calendar'!$E$1122:$AR$1122,"&gt;0",'Dvd Calendar'!$E$1122:$AR$1122,"&lt;="&amp;VAL_DATE,'Dvd Calendar'!$E$1123:$AR$1123,"&gt;"&amp;PROJ_FROM,'Dvd Calendar'!$E$1123:$AR$1123,"&lt;="&amp;WIN_TO)-COUNTIFS('Dvd Calendar'!$E$1122:$AR$1122,"&gt;0",'Dvd Calendar'!$E$1122:$AR$1122,"&lt;="&amp;VAL_DATE,'Dvd Calendar'!$E$1123:$AR$1123,"&gt;"&amp;PROJ_FROM,'Dvd Calendar'!$E$1123:$AR$1123,"&lt;="&amp;WIN_TO,'Dvd Calendar'!$E$1124:$AR$1124,"&gt;=0")&gt;0,"TBA amount - override me",IF((OV_SWITCH="ON")*(COUNTIFS(OVR_TICKERS,$C7,OVR_BASE,"&gt;=0")&gt;0)&gt;0,"overridden",IF($J7+$K7=0,"no dividend in year Y",""))))</f>
        <v/>
      </c>
      <c r="V7" s="133">
        <f>IF($B7="","",IFERROR(IF(ISNUMBER($H7),$B7*$G7*$H7/$B$3,0),""))</f>
        <v/>
      </c>
      <c r="W7" s="133">
        <f>IF($B7="","",IFERROR($B7*$G7*$K7/$B$3,""))</f>
        <v/>
      </c>
      <c r="X7" s="157">
        <f>IF($C7="","",BDP($C7,"PX_LAST"))</f>
        <v/>
      </c>
      <c r="Y7" s="133">
        <f>IF($B7="","",IFERROR($B7*$X7/$B$3,""))</f>
        <v/>
      </c>
      <c r="Z7" s="137">
        <f>IF($B7="","",IFERROR($Y7/$Y$5,""))</f>
        <v/>
      </c>
    </row>
    <row r="8">
      <c r="B8" s="97" t="n"/>
      <c r="C8" s="8">
        <f>IF($A8="","",$A8&amp;" Equity")</f>
        <v/>
      </c>
      <c r="D8" s="8">
        <f>IF($C8="","",BDP($C8,"NAME"))</f>
        <v/>
      </c>
      <c r="E8" s="8">
        <f>IF($C8="","",BDP($C8,"GICS_SECTOR_NAME"))</f>
        <v/>
      </c>
      <c r="F8" s="37">
        <f>IF($C8="","",BDP($C8,FLD_CCY))</f>
        <v/>
      </c>
      <c r="G8" s="111">
        <f>IFERROR(IF(LEN($F8)&lt;&gt;3,1,IF($F8="HKD",1,BDP(IF($F8="CNY",RMB_CROSS,$F8)&amp;"HKD Curncy","PX_LAST"))),1)</f>
        <v/>
      </c>
      <c r="H8" s="133">
        <f>IF($C8="","",BDP($C8,FLD_DPS12M))</f>
        <v/>
      </c>
      <c r="I8" s="126">
        <f>IF($C8="","",BDP($C8,FLD_YLD12M))</f>
        <v/>
      </c>
      <c r="J8" s="128">
        <f>IF($B8="",0,SUMPRODUCT(('Dvd Calendar'!$E$1127:$AR$1127&gt;=WIN_FROM)*('Dvd Calendar'!$E$1127:$AR$1127&lt;=REALIZED_TO)*'Dvd Calendar'!$E$1130:$AR$1130*(('Dvd Calendar'!$E$1132:$AR$1132=TYPE1)*(TYPE1&lt;&gt;"")+('Dvd Calendar'!$E$1132:$AR$1132=TYPE2)*(TYPE2&lt;&gt;"")+('Dvd Calendar'!$E$1132:$AR$1132=TYPE3)*(TYPE3&lt;&gt;"")+('Dvd Calendar'!$E$1132:$AR$1132=TYPE4)*(TYPE4&lt;&gt;"")+('Dvd Calendar'!$E$1132:$AR$1132=SPECIAL_LBL)*(INC_SPECIALS="Y"))))</f>
        <v/>
      </c>
      <c r="K8" s="128">
        <f>IF($B8="",0,SUMIFS('Dvd Calendar'!$E$1135:$AR$1135,'Dvd Calendar'!$E$1134:$AR$1134,"&gt;"&amp;PROJ_FROM,'Dvd Calendar'!$E$1134:$AR$1134,"&lt;="&amp;WIN_TO)+SUMPRODUCT(('Dvd Calendar'!$E$1127:$AR$1127&gt;PROJ_FROM)*('Dvd Calendar'!$E$1127:$AR$1127&lt;=WIN_TO)*'Dvd Calendar'!$E$1130:$AR$1130*(('Dvd Calendar'!$E$1132:$AR$1132=TYPE1)*(TYPE1&lt;&gt;"")+('Dvd Calendar'!$E$1132:$AR$1132=TYPE2)*(TYPE2&lt;&gt;"")+('Dvd Calendar'!$E$1132:$AR$1132=TYPE3)*(TYPE3&lt;&gt;"")+('Dvd Calendar'!$E$1132:$AR$1132=TYPE4)*(TYPE4&lt;&gt;"")+('Dvd Calendar'!$E$1132:$AR$1132=SPECIAL_LBL)*(INC_SPECIALS="Y"))*(COUNTIF('Dvd Calendar'!$E$1134:$AR$1134,'Dvd Calendar'!$E$1127:$AR$1127)=0)))</f>
        <v/>
      </c>
      <c r="L8" s="128">
        <f>IF($B8="",0,IF((OV_SWITCH="ON")*(COUNTIFS(OVR_TICKERS,$C8,OVR_BASE,"&gt;=0")&gt;0)&gt;0,SUMIFS(OVR_BASE,OVR_TICKERS,$C8),$K8))</f>
        <v/>
      </c>
      <c r="M8" s="128">
        <f>IF($B8="",0,IF((OV_SWITCH="ON")*(COUNTIFS(OVR_TICKERS,$C8,OVR_LOW,"&gt;=0")&gt;0)&gt;0,SUMIFS(OVR_LOW,OVR_TICKERS,$C8),$L8))</f>
        <v/>
      </c>
      <c r="N8" s="128">
        <f>IF($B8="",0,IF((OV_SWITCH="ON")*(COUNTIFS(OVR_TICKERS,$C8,OVR_HIGH,"&gt;=0")&gt;0)&gt;0,SUMIFS(OVR_HIGH,OVR_TICKERS,$C8),$L8))</f>
        <v/>
      </c>
      <c r="O8" s="133">
        <f>IF($B8="","",IFERROR($B8*$G8*$J8/$B$3,""))</f>
        <v/>
      </c>
      <c r="P8" s="133">
        <f>IF($B8="","",IFERROR($B8*$G8*$L8/$B$3,""))</f>
        <v/>
      </c>
      <c r="Q8" s="124">
        <f>IF($B8="","",IFERROR($O8+$P8,""))</f>
        <v/>
      </c>
      <c r="R8" s="133">
        <f>IF($B8="","",IFERROR($O8+$B8*$G8*$M8/$B$3,""))</f>
        <v/>
      </c>
      <c r="S8" s="133">
        <f>IF($B8="","",IFERROR($O8+$B8*$G8*$N8/$B$3,""))</f>
        <v/>
      </c>
      <c r="T8" s="150">
        <f>IF($B8="","",IFERROR($Q8/$Q$5,""))</f>
        <v/>
      </c>
      <c r="U8" s="2">
        <f>IF($B8="","",IF(COUNTIFS('Dvd Calendar'!$E$1133:$AR$1133,"&gt;0",'Dvd Calendar'!$E$1133:$AR$1133,"&lt;="&amp;VAL_DATE,'Dvd Calendar'!$E$1134:$AR$1134,"&gt;"&amp;PROJ_FROM,'Dvd Calendar'!$E$1134:$AR$1134,"&lt;="&amp;WIN_TO)-COUNTIFS('Dvd Calendar'!$E$1133:$AR$1133,"&gt;0",'Dvd Calendar'!$E$1133:$AR$1133,"&lt;="&amp;VAL_DATE,'Dvd Calendar'!$E$1134:$AR$1134,"&gt;"&amp;PROJ_FROM,'Dvd Calendar'!$E$1134:$AR$1134,"&lt;="&amp;WIN_TO,'Dvd Calendar'!$E$1135:$AR$1135,"&gt;=0")&gt;0,"TBA amount - override me",IF((OV_SWITCH="ON")*(COUNTIFS(OVR_TICKERS,$C8,OVR_BASE,"&gt;=0")&gt;0)&gt;0,"overridden",IF($J8+$K8=0,"no dividend in year Y",""))))</f>
        <v/>
      </c>
      <c r="V8" s="133">
        <f>IF($B8="","",IFERROR(IF(ISNUMBER($H8),$B8*$G8*$H8/$B$3,0),""))</f>
        <v/>
      </c>
      <c r="W8" s="133">
        <f>IF($B8="","",IFERROR($B8*$G8*$K8/$B$3,""))</f>
        <v/>
      </c>
      <c r="X8" s="157">
        <f>IF($C8="","",BDP($C8,"PX_LAST"))</f>
        <v/>
      </c>
      <c r="Y8" s="133">
        <f>IF($B8="","",IFERROR($B8*$X8/$B$3,""))</f>
        <v/>
      </c>
      <c r="Z8" s="137">
        <f>IF($B8="","",IFERROR($Y8/$Y$5,""))</f>
        <v/>
      </c>
    </row>
    <row r="9">
      <c r="B9" s="97" t="n"/>
      <c r="C9" s="8">
        <f>IF($A9="","",$A9&amp;" Equity")</f>
        <v/>
      </c>
      <c r="D9" s="8">
        <f>IF($C9="","",BDP($C9,"NAME"))</f>
        <v/>
      </c>
      <c r="E9" s="8">
        <f>IF($C9="","",BDP($C9,"GICS_SECTOR_NAME"))</f>
        <v/>
      </c>
      <c r="F9" s="37">
        <f>IF($C9="","",BDP($C9,FLD_CCY))</f>
        <v/>
      </c>
      <c r="G9" s="111">
        <f>IFERROR(IF(LEN($F9)&lt;&gt;3,1,IF($F9="HKD",1,BDP(IF($F9="CNY",RMB_CROSS,$F9)&amp;"HKD Curncy","PX_LAST"))),1)</f>
        <v/>
      </c>
      <c r="H9" s="133">
        <f>IF($C9="","",BDP($C9,FLD_DPS12M))</f>
        <v/>
      </c>
      <c r="I9" s="126">
        <f>IF($C9="","",BDP($C9,FLD_YLD12M))</f>
        <v/>
      </c>
      <c r="J9" s="128">
        <f>IF($B9="",0,SUMPRODUCT(('Dvd Calendar'!$E$1138:$AR$1138&gt;=WIN_FROM)*('Dvd Calendar'!$E$1138:$AR$1138&lt;=REALIZED_TO)*'Dvd Calendar'!$E$1141:$AR$1141*(('Dvd Calendar'!$E$1143:$AR$1143=TYPE1)*(TYPE1&lt;&gt;"")+('Dvd Calendar'!$E$1143:$AR$1143=TYPE2)*(TYPE2&lt;&gt;"")+('Dvd Calendar'!$E$1143:$AR$1143=TYPE3)*(TYPE3&lt;&gt;"")+('Dvd Calendar'!$E$1143:$AR$1143=TYPE4)*(TYPE4&lt;&gt;"")+('Dvd Calendar'!$E$1143:$AR$1143=SPECIAL_LBL)*(INC_SPECIALS="Y"))))</f>
        <v/>
      </c>
      <c r="K9" s="128">
        <f>IF($B9="",0,SUMIFS('Dvd Calendar'!$E$1146:$AR$1146,'Dvd Calendar'!$E$1145:$AR$1145,"&gt;"&amp;PROJ_FROM,'Dvd Calendar'!$E$1145:$AR$1145,"&lt;="&amp;WIN_TO)+SUMPRODUCT(('Dvd Calendar'!$E$1138:$AR$1138&gt;PROJ_FROM)*('Dvd Calendar'!$E$1138:$AR$1138&lt;=WIN_TO)*'Dvd Calendar'!$E$1141:$AR$1141*(('Dvd Calendar'!$E$1143:$AR$1143=TYPE1)*(TYPE1&lt;&gt;"")+('Dvd Calendar'!$E$1143:$AR$1143=TYPE2)*(TYPE2&lt;&gt;"")+('Dvd Calendar'!$E$1143:$AR$1143=TYPE3)*(TYPE3&lt;&gt;"")+('Dvd Calendar'!$E$1143:$AR$1143=TYPE4)*(TYPE4&lt;&gt;"")+('Dvd Calendar'!$E$1143:$AR$1143=SPECIAL_LBL)*(INC_SPECIALS="Y"))*(COUNTIF('Dvd Calendar'!$E$1145:$AR$1145,'Dvd Calendar'!$E$1138:$AR$1138)=0)))</f>
        <v/>
      </c>
      <c r="L9" s="128">
        <f>IF($B9="",0,IF((OV_SWITCH="ON")*(COUNTIFS(OVR_TICKERS,$C9,OVR_BASE,"&gt;=0")&gt;0)&gt;0,SUMIFS(OVR_BASE,OVR_TICKERS,$C9),$K9))</f>
        <v/>
      </c>
      <c r="M9" s="128">
        <f>IF($B9="",0,IF((OV_SWITCH="ON")*(COUNTIFS(OVR_TICKERS,$C9,OVR_LOW,"&gt;=0")&gt;0)&gt;0,SUMIFS(OVR_LOW,OVR_TICKERS,$C9),$L9))</f>
        <v/>
      </c>
      <c r="N9" s="128">
        <f>IF($B9="",0,IF((OV_SWITCH="ON")*(COUNTIFS(OVR_TICKERS,$C9,OVR_HIGH,"&gt;=0")&gt;0)&gt;0,SUMIFS(OVR_HIGH,OVR_TICKERS,$C9),$L9))</f>
        <v/>
      </c>
      <c r="O9" s="133">
        <f>IF($B9="","",IFERROR($B9*$G9*$J9/$B$3,""))</f>
        <v/>
      </c>
      <c r="P9" s="133">
        <f>IF($B9="","",IFERROR($B9*$G9*$L9/$B$3,""))</f>
        <v/>
      </c>
      <c r="Q9" s="124">
        <f>IF($B9="","",IFERROR($O9+$P9,""))</f>
        <v/>
      </c>
      <c r="R9" s="133">
        <f>IF($B9="","",IFERROR($O9+$B9*$G9*$M9/$B$3,""))</f>
        <v/>
      </c>
      <c r="S9" s="133">
        <f>IF($B9="","",IFERROR($O9+$B9*$G9*$N9/$B$3,""))</f>
        <v/>
      </c>
      <c r="T9" s="150">
        <f>IF($B9="","",IFERROR($Q9/$Q$5,""))</f>
        <v/>
      </c>
      <c r="U9" s="2">
        <f>IF($B9="","",IF(COUNTIFS('Dvd Calendar'!$E$1144:$AR$1144,"&gt;0",'Dvd Calendar'!$E$1144:$AR$1144,"&lt;="&amp;VAL_DATE,'Dvd Calendar'!$E$1145:$AR$1145,"&gt;"&amp;PROJ_FROM,'Dvd Calendar'!$E$1145:$AR$1145,"&lt;="&amp;WIN_TO)-COUNTIFS('Dvd Calendar'!$E$1144:$AR$1144,"&gt;0",'Dvd Calendar'!$E$1144:$AR$1144,"&lt;="&amp;VAL_DATE,'Dvd Calendar'!$E$1145:$AR$1145,"&gt;"&amp;PROJ_FROM,'Dvd Calendar'!$E$1145:$AR$1145,"&lt;="&amp;WIN_TO,'Dvd Calendar'!$E$1146:$AR$1146,"&gt;=0")&gt;0,"TBA amount - override me",IF((OV_SWITCH="ON")*(COUNTIFS(OVR_TICKERS,$C9,OVR_BASE,"&gt;=0")&gt;0)&gt;0,"overridden",IF($J9+$K9=0,"no dividend in year Y",""))))</f>
        <v/>
      </c>
      <c r="V9" s="133">
        <f>IF($B9="","",IFERROR(IF(ISNUMBER($H9),$B9*$G9*$H9/$B$3,0),""))</f>
        <v/>
      </c>
      <c r="W9" s="133">
        <f>IF($B9="","",IFERROR($B9*$G9*$K9/$B$3,""))</f>
        <v/>
      </c>
      <c r="X9" s="157">
        <f>IF($C9="","",BDP($C9,"PX_LAST"))</f>
        <v/>
      </c>
      <c r="Y9" s="133">
        <f>IF($B9="","",IFERROR($B9*$X9/$B$3,""))</f>
        <v/>
      </c>
      <c r="Z9" s="137">
        <f>IF($B9="","",IFERROR($Y9/$Y$5,""))</f>
        <v/>
      </c>
    </row>
    <row r="10">
      <c r="B10" s="97" t="n"/>
      <c r="C10" s="8">
        <f>IF($A10="","",$A10&amp;" Equity")</f>
        <v/>
      </c>
      <c r="D10" s="8">
        <f>IF($C10="","",BDP($C10,"NAME"))</f>
        <v/>
      </c>
      <c r="E10" s="8">
        <f>IF($C10="","",BDP($C10,"GICS_SECTOR_NAME"))</f>
        <v/>
      </c>
      <c r="F10" s="37">
        <f>IF($C10="","",BDP($C10,FLD_CCY))</f>
        <v/>
      </c>
      <c r="G10" s="111">
        <f>IFERROR(IF(LEN($F10)&lt;&gt;3,1,IF($F10="HKD",1,BDP(IF($F10="CNY",RMB_CROSS,$F10)&amp;"HKD Curncy","PX_LAST"))),1)</f>
        <v/>
      </c>
      <c r="H10" s="133">
        <f>IF($C10="","",BDP($C10,FLD_DPS12M))</f>
        <v/>
      </c>
      <c r="I10" s="126">
        <f>IF($C10="","",BDP($C10,FLD_YLD12M))</f>
        <v/>
      </c>
      <c r="J10" s="128">
        <f>IF($B10="",0,SUMPRODUCT(('Dvd Calendar'!$E$1149:$AR$1149&gt;=WIN_FROM)*('Dvd Calendar'!$E$1149:$AR$1149&lt;=REALIZED_TO)*'Dvd Calendar'!$E$1152:$AR$1152*(('Dvd Calendar'!$E$1154:$AR$1154=TYPE1)*(TYPE1&lt;&gt;"")+('Dvd Calendar'!$E$1154:$AR$1154=TYPE2)*(TYPE2&lt;&gt;"")+('Dvd Calendar'!$E$1154:$AR$1154=TYPE3)*(TYPE3&lt;&gt;"")+('Dvd Calendar'!$E$1154:$AR$1154=TYPE4)*(TYPE4&lt;&gt;"")+('Dvd Calendar'!$E$1154:$AR$1154=SPECIAL_LBL)*(INC_SPECIALS="Y"))))</f>
        <v/>
      </c>
      <c r="K10" s="128">
        <f>IF($B10="",0,SUMIFS('Dvd Calendar'!$E$1157:$AR$1157,'Dvd Calendar'!$E$1156:$AR$1156,"&gt;"&amp;PROJ_FROM,'Dvd Calendar'!$E$1156:$AR$1156,"&lt;="&amp;WIN_TO)+SUMPRODUCT(('Dvd Calendar'!$E$1149:$AR$1149&gt;PROJ_FROM)*('Dvd Calendar'!$E$1149:$AR$1149&lt;=WIN_TO)*'Dvd Calendar'!$E$1152:$AR$1152*(('Dvd Calendar'!$E$1154:$AR$1154=TYPE1)*(TYPE1&lt;&gt;"")+('Dvd Calendar'!$E$1154:$AR$1154=TYPE2)*(TYPE2&lt;&gt;"")+('Dvd Calendar'!$E$1154:$AR$1154=TYPE3)*(TYPE3&lt;&gt;"")+('Dvd Calendar'!$E$1154:$AR$1154=TYPE4)*(TYPE4&lt;&gt;"")+('Dvd Calendar'!$E$1154:$AR$1154=SPECIAL_LBL)*(INC_SPECIALS="Y"))*(COUNTIF('Dvd Calendar'!$E$1156:$AR$1156,'Dvd Calendar'!$E$1149:$AR$1149)=0)))</f>
        <v/>
      </c>
      <c r="L10" s="128">
        <f>IF($B10="",0,IF((OV_SWITCH="ON")*(COUNTIFS(OVR_TICKERS,$C10,OVR_BASE,"&gt;=0")&gt;0)&gt;0,SUMIFS(OVR_BASE,OVR_TICKERS,$C10),$K10))</f>
        <v/>
      </c>
      <c r="M10" s="128">
        <f>IF($B10="",0,IF((OV_SWITCH="ON")*(COUNTIFS(OVR_TICKERS,$C10,OVR_LOW,"&gt;=0")&gt;0)&gt;0,SUMIFS(OVR_LOW,OVR_TICKERS,$C10),$L10))</f>
        <v/>
      </c>
      <c r="N10" s="128">
        <f>IF($B10="",0,IF((OV_SWITCH="ON")*(COUNTIFS(OVR_TICKERS,$C10,OVR_HIGH,"&gt;=0")&gt;0)&gt;0,SUMIFS(OVR_HIGH,OVR_TICKERS,$C10),$L10))</f>
        <v/>
      </c>
      <c r="O10" s="133">
        <f>IF($B10="","",IFERROR($B10*$G10*$J10/$B$3,""))</f>
        <v/>
      </c>
      <c r="P10" s="133">
        <f>IF($B10="","",IFERROR($B10*$G10*$L10/$B$3,""))</f>
        <v/>
      </c>
      <c r="Q10" s="124">
        <f>IF($B10="","",IFERROR($O10+$P10,""))</f>
        <v/>
      </c>
      <c r="R10" s="133">
        <f>IF($B10="","",IFERROR($O10+$B10*$G10*$M10/$B$3,""))</f>
        <v/>
      </c>
      <c r="S10" s="133">
        <f>IF($B10="","",IFERROR($O10+$B10*$G10*$N10/$B$3,""))</f>
        <v/>
      </c>
      <c r="T10" s="150">
        <f>IF($B10="","",IFERROR($Q10/$Q$5,""))</f>
        <v/>
      </c>
      <c r="U10" s="2">
        <f>IF($B10="","",IF(COUNTIFS('Dvd Calendar'!$E$1155:$AR$1155,"&gt;0",'Dvd Calendar'!$E$1155:$AR$1155,"&lt;="&amp;VAL_DATE,'Dvd Calendar'!$E$1156:$AR$1156,"&gt;"&amp;PROJ_FROM,'Dvd Calendar'!$E$1156:$AR$1156,"&lt;="&amp;WIN_TO)-COUNTIFS('Dvd Calendar'!$E$1155:$AR$1155,"&gt;0",'Dvd Calendar'!$E$1155:$AR$1155,"&lt;="&amp;VAL_DATE,'Dvd Calendar'!$E$1156:$AR$1156,"&gt;"&amp;PROJ_FROM,'Dvd Calendar'!$E$1156:$AR$1156,"&lt;="&amp;WIN_TO,'Dvd Calendar'!$E$1157:$AR$1157,"&gt;=0")&gt;0,"TBA amount - override me",IF((OV_SWITCH="ON")*(COUNTIFS(OVR_TICKERS,$C10,OVR_BASE,"&gt;=0")&gt;0)&gt;0,"overridden",IF($J10+$K10=0,"no dividend in year Y",""))))</f>
        <v/>
      </c>
      <c r="V10" s="133">
        <f>IF($B10="","",IFERROR(IF(ISNUMBER($H10),$B10*$G10*$H10/$B$3,0),""))</f>
        <v/>
      </c>
      <c r="W10" s="133">
        <f>IF($B10="","",IFERROR($B10*$G10*$K10/$B$3,""))</f>
        <v/>
      </c>
      <c r="X10" s="157">
        <f>IF($C10="","",BDP($C10,"PX_LAST"))</f>
        <v/>
      </c>
      <c r="Y10" s="133">
        <f>IF($B10="","",IFERROR($B10*$X10/$B$3,""))</f>
        <v/>
      </c>
      <c r="Z10" s="137">
        <f>IF($B10="","",IFERROR($Y10/$Y$5,""))</f>
        <v/>
      </c>
    </row>
    <row r="11">
      <c r="B11" s="97" t="n"/>
      <c r="C11" s="8">
        <f>IF($A11="","",$A11&amp;" Equity")</f>
        <v/>
      </c>
      <c r="D11" s="8">
        <f>IF($C11="","",BDP($C11,"NAME"))</f>
        <v/>
      </c>
      <c r="E11" s="8">
        <f>IF($C11="","",BDP($C11,"GICS_SECTOR_NAME"))</f>
        <v/>
      </c>
      <c r="F11" s="37">
        <f>IF($C11="","",BDP($C11,FLD_CCY))</f>
        <v/>
      </c>
      <c r="G11" s="111">
        <f>IFERROR(IF(LEN($F11)&lt;&gt;3,1,IF($F11="HKD",1,BDP(IF($F11="CNY",RMB_CROSS,$F11)&amp;"HKD Curncy","PX_LAST"))),1)</f>
        <v/>
      </c>
      <c r="H11" s="133">
        <f>IF($C11="","",BDP($C11,FLD_DPS12M))</f>
        <v/>
      </c>
      <c r="I11" s="126">
        <f>IF($C11="","",BDP($C11,FLD_YLD12M))</f>
        <v/>
      </c>
      <c r="J11" s="128">
        <f>IF($B11="",0,SUMPRODUCT(('Dvd Calendar'!$E$1160:$AR$1160&gt;=WIN_FROM)*('Dvd Calendar'!$E$1160:$AR$1160&lt;=REALIZED_TO)*'Dvd Calendar'!$E$1163:$AR$1163*(('Dvd Calendar'!$E$1165:$AR$1165=TYPE1)*(TYPE1&lt;&gt;"")+('Dvd Calendar'!$E$1165:$AR$1165=TYPE2)*(TYPE2&lt;&gt;"")+('Dvd Calendar'!$E$1165:$AR$1165=TYPE3)*(TYPE3&lt;&gt;"")+('Dvd Calendar'!$E$1165:$AR$1165=TYPE4)*(TYPE4&lt;&gt;"")+('Dvd Calendar'!$E$1165:$AR$1165=SPECIAL_LBL)*(INC_SPECIALS="Y"))))</f>
        <v/>
      </c>
      <c r="K11" s="128">
        <f>IF($B11="",0,SUMIFS('Dvd Calendar'!$E$1168:$AR$1168,'Dvd Calendar'!$E$1167:$AR$1167,"&gt;"&amp;PROJ_FROM,'Dvd Calendar'!$E$1167:$AR$1167,"&lt;="&amp;WIN_TO)+SUMPRODUCT(('Dvd Calendar'!$E$1160:$AR$1160&gt;PROJ_FROM)*('Dvd Calendar'!$E$1160:$AR$1160&lt;=WIN_TO)*'Dvd Calendar'!$E$1163:$AR$1163*(('Dvd Calendar'!$E$1165:$AR$1165=TYPE1)*(TYPE1&lt;&gt;"")+('Dvd Calendar'!$E$1165:$AR$1165=TYPE2)*(TYPE2&lt;&gt;"")+('Dvd Calendar'!$E$1165:$AR$1165=TYPE3)*(TYPE3&lt;&gt;"")+('Dvd Calendar'!$E$1165:$AR$1165=TYPE4)*(TYPE4&lt;&gt;"")+('Dvd Calendar'!$E$1165:$AR$1165=SPECIAL_LBL)*(INC_SPECIALS="Y"))*(COUNTIF('Dvd Calendar'!$E$1167:$AR$1167,'Dvd Calendar'!$E$1160:$AR$1160)=0)))</f>
        <v/>
      </c>
      <c r="L11" s="128">
        <f>IF($B11="",0,IF((OV_SWITCH="ON")*(COUNTIFS(OVR_TICKERS,$C11,OVR_BASE,"&gt;=0")&gt;0)&gt;0,SUMIFS(OVR_BASE,OVR_TICKERS,$C11),$K11))</f>
        <v/>
      </c>
      <c r="M11" s="128">
        <f>IF($B11="",0,IF((OV_SWITCH="ON")*(COUNTIFS(OVR_TICKERS,$C11,OVR_LOW,"&gt;=0")&gt;0)&gt;0,SUMIFS(OVR_LOW,OVR_TICKERS,$C11),$L11))</f>
        <v/>
      </c>
      <c r="N11" s="128">
        <f>IF($B11="",0,IF((OV_SWITCH="ON")*(COUNTIFS(OVR_TICKERS,$C11,OVR_HIGH,"&gt;=0")&gt;0)&gt;0,SUMIFS(OVR_HIGH,OVR_TICKERS,$C11),$L11))</f>
        <v/>
      </c>
      <c r="O11" s="133">
        <f>IF($B11="","",IFERROR($B11*$G11*$J11/$B$3,""))</f>
        <v/>
      </c>
      <c r="P11" s="133">
        <f>IF($B11="","",IFERROR($B11*$G11*$L11/$B$3,""))</f>
        <v/>
      </c>
      <c r="Q11" s="124">
        <f>IF($B11="","",IFERROR($O11+$P11,""))</f>
        <v/>
      </c>
      <c r="R11" s="133">
        <f>IF($B11="","",IFERROR($O11+$B11*$G11*$M11/$B$3,""))</f>
        <v/>
      </c>
      <c r="S11" s="133">
        <f>IF($B11="","",IFERROR($O11+$B11*$G11*$N11/$B$3,""))</f>
        <v/>
      </c>
      <c r="T11" s="150">
        <f>IF($B11="","",IFERROR($Q11/$Q$5,""))</f>
        <v/>
      </c>
      <c r="U11" s="2">
        <f>IF($B11="","",IF(COUNTIFS('Dvd Calendar'!$E$1166:$AR$1166,"&gt;0",'Dvd Calendar'!$E$1166:$AR$1166,"&lt;="&amp;VAL_DATE,'Dvd Calendar'!$E$1167:$AR$1167,"&gt;"&amp;PROJ_FROM,'Dvd Calendar'!$E$1167:$AR$1167,"&lt;="&amp;WIN_TO)-COUNTIFS('Dvd Calendar'!$E$1166:$AR$1166,"&gt;0",'Dvd Calendar'!$E$1166:$AR$1166,"&lt;="&amp;VAL_DATE,'Dvd Calendar'!$E$1167:$AR$1167,"&gt;"&amp;PROJ_FROM,'Dvd Calendar'!$E$1167:$AR$1167,"&lt;="&amp;WIN_TO,'Dvd Calendar'!$E$1168:$AR$1168,"&gt;=0")&gt;0,"TBA amount - override me",IF((OV_SWITCH="ON")*(COUNTIFS(OVR_TICKERS,$C11,OVR_BASE,"&gt;=0")&gt;0)&gt;0,"overridden",IF($J11+$K11=0,"no dividend in year Y",""))))</f>
        <v/>
      </c>
      <c r="V11" s="133">
        <f>IF($B11="","",IFERROR(IF(ISNUMBER($H11),$B11*$G11*$H11/$B$3,0),""))</f>
        <v/>
      </c>
      <c r="W11" s="133">
        <f>IF($B11="","",IFERROR($B11*$G11*$K11/$B$3,""))</f>
        <v/>
      </c>
      <c r="X11" s="157">
        <f>IF($C11="","",BDP($C11,"PX_LAST"))</f>
        <v/>
      </c>
      <c r="Y11" s="133">
        <f>IF($B11="","",IFERROR($B11*$X11/$B$3,""))</f>
        <v/>
      </c>
      <c r="Z11" s="137">
        <f>IF($B11="","",IFERROR($Y11/$Y$5,""))</f>
        <v/>
      </c>
    </row>
    <row r="12">
      <c r="B12" s="97" t="n"/>
      <c r="C12" s="8">
        <f>IF($A12="","",$A12&amp;" Equity")</f>
        <v/>
      </c>
      <c r="D12" s="8">
        <f>IF($C12="","",BDP($C12,"NAME"))</f>
        <v/>
      </c>
      <c r="E12" s="8">
        <f>IF($C12="","",BDP($C12,"GICS_SECTOR_NAME"))</f>
        <v/>
      </c>
      <c r="F12" s="37">
        <f>IF($C12="","",BDP($C12,FLD_CCY))</f>
        <v/>
      </c>
      <c r="G12" s="111">
        <f>IFERROR(IF(LEN($F12)&lt;&gt;3,1,IF($F12="HKD",1,BDP(IF($F12="CNY",RMB_CROSS,$F12)&amp;"HKD Curncy","PX_LAST"))),1)</f>
        <v/>
      </c>
      <c r="H12" s="133">
        <f>IF($C12="","",BDP($C12,FLD_DPS12M))</f>
        <v/>
      </c>
      <c r="I12" s="126">
        <f>IF($C12="","",BDP($C12,FLD_YLD12M))</f>
        <v/>
      </c>
      <c r="J12" s="128">
        <f>IF($B12="",0,SUMPRODUCT(('Dvd Calendar'!$E$1171:$AR$1171&gt;=WIN_FROM)*('Dvd Calendar'!$E$1171:$AR$1171&lt;=REALIZED_TO)*'Dvd Calendar'!$E$1174:$AR$1174*(('Dvd Calendar'!$E$1176:$AR$1176=TYPE1)*(TYPE1&lt;&gt;"")+('Dvd Calendar'!$E$1176:$AR$1176=TYPE2)*(TYPE2&lt;&gt;"")+('Dvd Calendar'!$E$1176:$AR$1176=TYPE3)*(TYPE3&lt;&gt;"")+('Dvd Calendar'!$E$1176:$AR$1176=TYPE4)*(TYPE4&lt;&gt;"")+('Dvd Calendar'!$E$1176:$AR$1176=SPECIAL_LBL)*(INC_SPECIALS="Y"))))</f>
        <v/>
      </c>
      <c r="K12" s="128">
        <f>IF($B12="",0,SUMIFS('Dvd Calendar'!$E$1179:$AR$1179,'Dvd Calendar'!$E$1178:$AR$1178,"&gt;"&amp;PROJ_FROM,'Dvd Calendar'!$E$1178:$AR$1178,"&lt;="&amp;WIN_TO)+SUMPRODUCT(('Dvd Calendar'!$E$1171:$AR$1171&gt;PROJ_FROM)*('Dvd Calendar'!$E$1171:$AR$1171&lt;=WIN_TO)*'Dvd Calendar'!$E$1174:$AR$1174*(('Dvd Calendar'!$E$1176:$AR$1176=TYPE1)*(TYPE1&lt;&gt;"")+('Dvd Calendar'!$E$1176:$AR$1176=TYPE2)*(TYPE2&lt;&gt;"")+('Dvd Calendar'!$E$1176:$AR$1176=TYPE3)*(TYPE3&lt;&gt;"")+('Dvd Calendar'!$E$1176:$AR$1176=TYPE4)*(TYPE4&lt;&gt;"")+('Dvd Calendar'!$E$1176:$AR$1176=SPECIAL_LBL)*(INC_SPECIALS="Y"))*(COUNTIF('Dvd Calendar'!$E$1178:$AR$1178,'Dvd Calendar'!$E$1171:$AR$1171)=0)))</f>
        <v/>
      </c>
      <c r="L12" s="128">
        <f>IF($B12="",0,IF((OV_SWITCH="ON")*(COUNTIFS(OVR_TICKERS,$C12,OVR_BASE,"&gt;=0")&gt;0)&gt;0,SUMIFS(OVR_BASE,OVR_TICKERS,$C12),$K12))</f>
        <v/>
      </c>
      <c r="M12" s="128">
        <f>IF($B12="",0,IF((OV_SWITCH="ON")*(COUNTIFS(OVR_TICKERS,$C12,OVR_LOW,"&gt;=0")&gt;0)&gt;0,SUMIFS(OVR_LOW,OVR_TICKERS,$C12),$L12))</f>
        <v/>
      </c>
      <c r="N12" s="128">
        <f>IF($B12="",0,IF((OV_SWITCH="ON")*(COUNTIFS(OVR_TICKERS,$C12,OVR_HIGH,"&gt;=0")&gt;0)&gt;0,SUMIFS(OVR_HIGH,OVR_TICKERS,$C12),$L12))</f>
        <v/>
      </c>
      <c r="O12" s="133">
        <f>IF($B12="","",IFERROR($B12*$G12*$J12/$B$3,""))</f>
        <v/>
      </c>
      <c r="P12" s="133">
        <f>IF($B12="","",IFERROR($B12*$G12*$L12/$B$3,""))</f>
        <v/>
      </c>
      <c r="Q12" s="124">
        <f>IF($B12="","",IFERROR($O12+$P12,""))</f>
        <v/>
      </c>
      <c r="R12" s="133">
        <f>IF($B12="","",IFERROR($O12+$B12*$G12*$M12/$B$3,""))</f>
        <v/>
      </c>
      <c r="S12" s="133">
        <f>IF($B12="","",IFERROR($O12+$B12*$G12*$N12/$B$3,""))</f>
        <v/>
      </c>
      <c r="T12" s="150">
        <f>IF($B12="","",IFERROR($Q12/$Q$5,""))</f>
        <v/>
      </c>
      <c r="U12" s="2">
        <f>IF($B12="","",IF(COUNTIFS('Dvd Calendar'!$E$1177:$AR$1177,"&gt;0",'Dvd Calendar'!$E$1177:$AR$1177,"&lt;="&amp;VAL_DATE,'Dvd Calendar'!$E$1178:$AR$1178,"&gt;"&amp;PROJ_FROM,'Dvd Calendar'!$E$1178:$AR$1178,"&lt;="&amp;WIN_TO)-COUNTIFS('Dvd Calendar'!$E$1177:$AR$1177,"&gt;0",'Dvd Calendar'!$E$1177:$AR$1177,"&lt;="&amp;VAL_DATE,'Dvd Calendar'!$E$1178:$AR$1178,"&gt;"&amp;PROJ_FROM,'Dvd Calendar'!$E$1178:$AR$1178,"&lt;="&amp;WIN_TO,'Dvd Calendar'!$E$1179:$AR$1179,"&gt;=0")&gt;0,"TBA amount - override me",IF((OV_SWITCH="ON")*(COUNTIFS(OVR_TICKERS,$C12,OVR_BASE,"&gt;=0")&gt;0)&gt;0,"overridden",IF($J12+$K12=0,"no dividend in year Y",""))))</f>
        <v/>
      </c>
      <c r="V12" s="133">
        <f>IF($B12="","",IFERROR(IF(ISNUMBER($H12),$B12*$G12*$H12/$B$3,0),""))</f>
        <v/>
      </c>
      <c r="W12" s="133">
        <f>IF($B12="","",IFERROR($B12*$G12*$K12/$B$3,""))</f>
        <v/>
      </c>
      <c r="X12" s="157">
        <f>IF($C12="","",BDP($C12,"PX_LAST"))</f>
        <v/>
      </c>
      <c r="Y12" s="133">
        <f>IF($B12="","",IFERROR($B12*$X12/$B$3,""))</f>
        <v/>
      </c>
      <c r="Z12" s="137">
        <f>IF($B12="","",IFERROR($Y12/$Y$5,""))</f>
        <v/>
      </c>
    </row>
    <row r="13">
      <c r="B13" s="97" t="n"/>
      <c r="C13" s="8">
        <f>IF($A13="","",$A13&amp;" Equity")</f>
        <v/>
      </c>
      <c r="D13" s="8">
        <f>IF($C13="","",BDP($C13,"NAME"))</f>
        <v/>
      </c>
      <c r="E13" s="8">
        <f>IF($C13="","",BDP($C13,"GICS_SECTOR_NAME"))</f>
        <v/>
      </c>
      <c r="F13" s="37">
        <f>IF($C13="","",BDP($C13,FLD_CCY))</f>
        <v/>
      </c>
      <c r="G13" s="111">
        <f>IFERROR(IF(LEN($F13)&lt;&gt;3,1,IF($F13="HKD",1,BDP(IF($F13="CNY",RMB_CROSS,$F13)&amp;"HKD Curncy","PX_LAST"))),1)</f>
        <v/>
      </c>
      <c r="H13" s="133">
        <f>IF($C13="","",BDP($C13,FLD_DPS12M))</f>
        <v/>
      </c>
      <c r="I13" s="126">
        <f>IF($C13="","",BDP($C13,FLD_YLD12M))</f>
        <v/>
      </c>
      <c r="J13" s="128">
        <f>IF($B13="",0,SUMPRODUCT(('Dvd Calendar'!$E$1182:$AR$1182&gt;=WIN_FROM)*('Dvd Calendar'!$E$1182:$AR$1182&lt;=REALIZED_TO)*'Dvd Calendar'!$E$1185:$AR$1185*(('Dvd Calendar'!$E$1187:$AR$1187=TYPE1)*(TYPE1&lt;&gt;"")+('Dvd Calendar'!$E$1187:$AR$1187=TYPE2)*(TYPE2&lt;&gt;"")+('Dvd Calendar'!$E$1187:$AR$1187=TYPE3)*(TYPE3&lt;&gt;"")+('Dvd Calendar'!$E$1187:$AR$1187=TYPE4)*(TYPE4&lt;&gt;"")+('Dvd Calendar'!$E$1187:$AR$1187=SPECIAL_LBL)*(INC_SPECIALS="Y"))))</f>
        <v/>
      </c>
      <c r="K13" s="128">
        <f>IF($B13="",0,SUMIFS('Dvd Calendar'!$E$1190:$AR$1190,'Dvd Calendar'!$E$1189:$AR$1189,"&gt;"&amp;PROJ_FROM,'Dvd Calendar'!$E$1189:$AR$1189,"&lt;="&amp;WIN_TO)+SUMPRODUCT(('Dvd Calendar'!$E$1182:$AR$1182&gt;PROJ_FROM)*('Dvd Calendar'!$E$1182:$AR$1182&lt;=WIN_TO)*'Dvd Calendar'!$E$1185:$AR$1185*(('Dvd Calendar'!$E$1187:$AR$1187=TYPE1)*(TYPE1&lt;&gt;"")+('Dvd Calendar'!$E$1187:$AR$1187=TYPE2)*(TYPE2&lt;&gt;"")+('Dvd Calendar'!$E$1187:$AR$1187=TYPE3)*(TYPE3&lt;&gt;"")+('Dvd Calendar'!$E$1187:$AR$1187=TYPE4)*(TYPE4&lt;&gt;"")+('Dvd Calendar'!$E$1187:$AR$1187=SPECIAL_LBL)*(INC_SPECIALS="Y"))*(COUNTIF('Dvd Calendar'!$E$1189:$AR$1189,'Dvd Calendar'!$E$1182:$AR$1182)=0)))</f>
        <v/>
      </c>
      <c r="L13" s="128">
        <f>IF($B13="",0,IF((OV_SWITCH="ON")*(COUNTIFS(OVR_TICKERS,$C13,OVR_BASE,"&gt;=0")&gt;0)&gt;0,SUMIFS(OVR_BASE,OVR_TICKERS,$C13),$K13))</f>
        <v/>
      </c>
      <c r="M13" s="128">
        <f>IF($B13="",0,IF((OV_SWITCH="ON")*(COUNTIFS(OVR_TICKERS,$C13,OVR_LOW,"&gt;=0")&gt;0)&gt;0,SUMIFS(OVR_LOW,OVR_TICKERS,$C13),$L13))</f>
        <v/>
      </c>
      <c r="N13" s="128">
        <f>IF($B13="",0,IF((OV_SWITCH="ON")*(COUNTIFS(OVR_TICKERS,$C13,OVR_HIGH,"&gt;=0")&gt;0)&gt;0,SUMIFS(OVR_HIGH,OVR_TICKERS,$C13),$L13))</f>
        <v/>
      </c>
      <c r="O13" s="133">
        <f>IF($B13="","",IFERROR($B13*$G13*$J13/$B$3,""))</f>
        <v/>
      </c>
      <c r="P13" s="133">
        <f>IF($B13="","",IFERROR($B13*$G13*$L13/$B$3,""))</f>
        <v/>
      </c>
      <c r="Q13" s="124">
        <f>IF($B13="","",IFERROR($O13+$P13,""))</f>
        <v/>
      </c>
      <c r="R13" s="133">
        <f>IF($B13="","",IFERROR($O13+$B13*$G13*$M13/$B$3,""))</f>
        <v/>
      </c>
      <c r="S13" s="133">
        <f>IF($B13="","",IFERROR($O13+$B13*$G13*$N13/$B$3,""))</f>
        <v/>
      </c>
      <c r="T13" s="150">
        <f>IF($B13="","",IFERROR($Q13/$Q$5,""))</f>
        <v/>
      </c>
      <c r="U13" s="2">
        <f>IF($B13="","",IF(COUNTIFS('Dvd Calendar'!$E$1188:$AR$1188,"&gt;0",'Dvd Calendar'!$E$1188:$AR$1188,"&lt;="&amp;VAL_DATE,'Dvd Calendar'!$E$1189:$AR$1189,"&gt;"&amp;PROJ_FROM,'Dvd Calendar'!$E$1189:$AR$1189,"&lt;="&amp;WIN_TO)-COUNTIFS('Dvd Calendar'!$E$1188:$AR$1188,"&gt;0",'Dvd Calendar'!$E$1188:$AR$1188,"&lt;="&amp;VAL_DATE,'Dvd Calendar'!$E$1189:$AR$1189,"&gt;"&amp;PROJ_FROM,'Dvd Calendar'!$E$1189:$AR$1189,"&lt;="&amp;WIN_TO,'Dvd Calendar'!$E$1190:$AR$1190,"&gt;=0")&gt;0,"TBA amount - override me",IF((OV_SWITCH="ON")*(COUNTIFS(OVR_TICKERS,$C13,OVR_BASE,"&gt;=0")&gt;0)&gt;0,"overridden",IF($J13+$K13=0,"no dividend in year Y",""))))</f>
        <v/>
      </c>
      <c r="V13" s="133">
        <f>IF($B13="","",IFERROR(IF(ISNUMBER($H13),$B13*$G13*$H13/$B$3,0),""))</f>
        <v/>
      </c>
      <c r="W13" s="133">
        <f>IF($B13="","",IFERROR($B13*$G13*$K13/$B$3,""))</f>
        <v/>
      </c>
      <c r="X13" s="157">
        <f>IF($C13="","",BDP($C13,"PX_LAST"))</f>
        <v/>
      </c>
      <c r="Y13" s="133">
        <f>IF($B13="","",IFERROR($B13*$X13/$B$3,""))</f>
        <v/>
      </c>
      <c r="Z13" s="137">
        <f>IF($B13="","",IFERROR($Y13/$Y$5,""))</f>
        <v/>
      </c>
    </row>
    <row r="14">
      <c r="B14" s="97" t="n"/>
      <c r="C14" s="8">
        <f>IF($A14="","",$A14&amp;" Equity")</f>
        <v/>
      </c>
      <c r="D14" s="8">
        <f>IF($C14="","",BDP($C14,"NAME"))</f>
        <v/>
      </c>
      <c r="E14" s="8">
        <f>IF($C14="","",BDP($C14,"GICS_SECTOR_NAME"))</f>
        <v/>
      </c>
      <c r="F14" s="37">
        <f>IF($C14="","",BDP($C14,FLD_CCY))</f>
        <v/>
      </c>
      <c r="G14" s="111">
        <f>IFERROR(IF(LEN($F14)&lt;&gt;3,1,IF($F14="HKD",1,BDP(IF($F14="CNY",RMB_CROSS,$F14)&amp;"HKD Curncy","PX_LAST"))),1)</f>
        <v/>
      </c>
      <c r="H14" s="133">
        <f>IF($C14="","",BDP($C14,FLD_DPS12M))</f>
        <v/>
      </c>
      <c r="I14" s="126">
        <f>IF($C14="","",BDP($C14,FLD_YLD12M))</f>
        <v/>
      </c>
      <c r="J14" s="128">
        <f>IF($B14="",0,SUMPRODUCT(('Dvd Calendar'!$E$1193:$AR$1193&gt;=WIN_FROM)*('Dvd Calendar'!$E$1193:$AR$1193&lt;=REALIZED_TO)*'Dvd Calendar'!$E$1196:$AR$1196*(('Dvd Calendar'!$E$1198:$AR$1198=TYPE1)*(TYPE1&lt;&gt;"")+('Dvd Calendar'!$E$1198:$AR$1198=TYPE2)*(TYPE2&lt;&gt;"")+('Dvd Calendar'!$E$1198:$AR$1198=TYPE3)*(TYPE3&lt;&gt;"")+('Dvd Calendar'!$E$1198:$AR$1198=TYPE4)*(TYPE4&lt;&gt;"")+('Dvd Calendar'!$E$1198:$AR$1198=SPECIAL_LBL)*(INC_SPECIALS="Y"))))</f>
        <v/>
      </c>
      <c r="K14" s="128">
        <f>IF($B14="",0,SUMIFS('Dvd Calendar'!$E$1201:$AR$1201,'Dvd Calendar'!$E$1200:$AR$1200,"&gt;"&amp;PROJ_FROM,'Dvd Calendar'!$E$1200:$AR$1200,"&lt;="&amp;WIN_TO)+SUMPRODUCT(('Dvd Calendar'!$E$1193:$AR$1193&gt;PROJ_FROM)*('Dvd Calendar'!$E$1193:$AR$1193&lt;=WIN_TO)*'Dvd Calendar'!$E$1196:$AR$1196*(('Dvd Calendar'!$E$1198:$AR$1198=TYPE1)*(TYPE1&lt;&gt;"")+('Dvd Calendar'!$E$1198:$AR$1198=TYPE2)*(TYPE2&lt;&gt;"")+('Dvd Calendar'!$E$1198:$AR$1198=TYPE3)*(TYPE3&lt;&gt;"")+('Dvd Calendar'!$E$1198:$AR$1198=TYPE4)*(TYPE4&lt;&gt;"")+('Dvd Calendar'!$E$1198:$AR$1198=SPECIAL_LBL)*(INC_SPECIALS="Y"))*(COUNTIF('Dvd Calendar'!$E$1200:$AR$1200,'Dvd Calendar'!$E$1193:$AR$1193)=0)))</f>
        <v/>
      </c>
      <c r="L14" s="128">
        <f>IF($B14="",0,IF((OV_SWITCH="ON")*(COUNTIFS(OVR_TICKERS,$C14,OVR_BASE,"&gt;=0")&gt;0)&gt;0,SUMIFS(OVR_BASE,OVR_TICKERS,$C14),$K14))</f>
        <v/>
      </c>
      <c r="M14" s="128">
        <f>IF($B14="",0,IF((OV_SWITCH="ON")*(COUNTIFS(OVR_TICKERS,$C14,OVR_LOW,"&gt;=0")&gt;0)&gt;0,SUMIFS(OVR_LOW,OVR_TICKERS,$C14),$L14))</f>
        <v/>
      </c>
      <c r="N14" s="128">
        <f>IF($B14="",0,IF((OV_SWITCH="ON")*(COUNTIFS(OVR_TICKERS,$C14,OVR_HIGH,"&gt;=0")&gt;0)&gt;0,SUMIFS(OVR_HIGH,OVR_TICKERS,$C14),$L14))</f>
        <v/>
      </c>
      <c r="O14" s="133">
        <f>IF($B14="","",IFERROR($B14*$G14*$J14/$B$3,""))</f>
        <v/>
      </c>
      <c r="P14" s="133">
        <f>IF($B14="","",IFERROR($B14*$G14*$L14/$B$3,""))</f>
        <v/>
      </c>
      <c r="Q14" s="124">
        <f>IF($B14="","",IFERROR($O14+$P14,""))</f>
        <v/>
      </c>
      <c r="R14" s="133">
        <f>IF($B14="","",IFERROR($O14+$B14*$G14*$M14/$B$3,""))</f>
        <v/>
      </c>
      <c r="S14" s="133">
        <f>IF($B14="","",IFERROR($O14+$B14*$G14*$N14/$B$3,""))</f>
        <v/>
      </c>
      <c r="T14" s="150">
        <f>IF($B14="","",IFERROR($Q14/$Q$5,""))</f>
        <v/>
      </c>
      <c r="U14" s="2">
        <f>IF($B14="","",IF(COUNTIFS('Dvd Calendar'!$E$1199:$AR$1199,"&gt;0",'Dvd Calendar'!$E$1199:$AR$1199,"&lt;="&amp;VAL_DATE,'Dvd Calendar'!$E$1200:$AR$1200,"&gt;"&amp;PROJ_FROM,'Dvd Calendar'!$E$1200:$AR$1200,"&lt;="&amp;WIN_TO)-COUNTIFS('Dvd Calendar'!$E$1199:$AR$1199,"&gt;0",'Dvd Calendar'!$E$1199:$AR$1199,"&lt;="&amp;VAL_DATE,'Dvd Calendar'!$E$1200:$AR$1200,"&gt;"&amp;PROJ_FROM,'Dvd Calendar'!$E$1200:$AR$1200,"&lt;="&amp;WIN_TO,'Dvd Calendar'!$E$1201:$AR$1201,"&gt;=0")&gt;0,"TBA amount - override me",IF((OV_SWITCH="ON")*(COUNTIFS(OVR_TICKERS,$C14,OVR_BASE,"&gt;=0")&gt;0)&gt;0,"overridden",IF($J14+$K14=0,"no dividend in year Y",""))))</f>
        <v/>
      </c>
      <c r="V14" s="133">
        <f>IF($B14="","",IFERROR(IF(ISNUMBER($H14),$B14*$G14*$H14/$B$3,0),""))</f>
        <v/>
      </c>
      <c r="W14" s="133">
        <f>IF($B14="","",IFERROR($B14*$G14*$K14/$B$3,""))</f>
        <v/>
      </c>
      <c r="X14" s="157">
        <f>IF($C14="","",BDP($C14,"PX_LAST"))</f>
        <v/>
      </c>
      <c r="Y14" s="133">
        <f>IF($B14="","",IFERROR($B14*$X14/$B$3,""))</f>
        <v/>
      </c>
      <c r="Z14" s="137">
        <f>IF($B14="","",IFERROR($Y14/$Y$5,""))</f>
        <v/>
      </c>
    </row>
    <row r="15">
      <c r="B15" s="97" t="n"/>
      <c r="C15" s="8">
        <f>IF($A15="","",$A15&amp;" Equity")</f>
        <v/>
      </c>
      <c r="D15" s="8">
        <f>IF($C15="","",BDP($C15,"NAME"))</f>
        <v/>
      </c>
      <c r="E15" s="8">
        <f>IF($C15="","",BDP($C15,"GICS_SECTOR_NAME"))</f>
        <v/>
      </c>
      <c r="F15" s="37">
        <f>IF($C15="","",BDP($C15,FLD_CCY))</f>
        <v/>
      </c>
      <c r="G15" s="111">
        <f>IFERROR(IF(LEN($F15)&lt;&gt;3,1,IF($F15="HKD",1,BDP(IF($F15="CNY",RMB_CROSS,$F15)&amp;"HKD Curncy","PX_LAST"))),1)</f>
        <v/>
      </c>
      <c r="H15" s="133">
        <f>IF($C15="","",BDP($C15,FLD_DPS12M))</f>
        <v/>
      </c>
      <c r="I15" s="126">
        <f>IF($C15="","",BDP($C15,FLD_YLD12M))</f>
        <v/>
      </c>
      <c r="J15" s="128">
        <f>IF($B15="",0,SUMPRODUCT(('Dvd Calendar'!$E$1204:$AR$1204&gt;=WIN_FROM)*('Dvd Calendar'!$E$1204:$AR$1204&lt;=REALIZED_TO)*'Dvd Calendar'!$E$1207:$AR$1207*(('Dvd Calendar'!$E$1209:$AR$1209=TYPE1)*(TYPE1&lt;&gt;"")+('Dvd Calendar'!$E$1209:$AR$1209=TYPE2)*(TYPE2&lt;&gt;"")+('Dvd Calendar'!$E$1209:$AR$1209=TYPE3)*(TYPE3&lt;&gt;"")+('Dvd Calendar'!$E$1209:$AR$1209=TYPE4)*(TYPE4&lt;&gt;"")+('Dvd Calendar'!$E$1209:$AR$1209=SPECIAL_LBL)*(INC_SPECIALS="Y"))))</f>
        <v/>
      </c>
      <c r="K15" s="128">
        <f>IF($B15="",0,SUMIFS('Dvd Calendar'!$E$1212:$AR$1212,'Dvd Calendar'!$E$1211:$AR$1211,"&gt;"&amp;PROJ_FROM,'Dvd Calendar'!$E$1211:$AR$1211,"&lt;="&amp;WIN_TO)+SUMPRODUCT(('Dvd Calendar'!$E$1204:$AR$1204&gt;PROJ_FROM)*('Dvd Calendar'!$E$1204:$AR$1204&lt;=WIN_TO)*'Dvd Calendar'!$E$1207:$AR$1207*(('Dvd Calendar'!$E$1209:$AR$1209=TYPE1)*(TYPE1&lt;&gt;"")+('Dvd Calendar'!$E$1209:$AR$1209=TYPE2)*(TYPE2&lt;&gt;"")+('Dvd Calendar'!$E$1209:$AR$1209=TYPE3)*(TYPE3&lt;&gt;"")+('Dvd Calendar'!$E$1209:$AR$1209=TYPE4)*(TYPE4&lt;&gt;"")+('Dvd Calendar'!$E$1209:$AR$1209=SPECIAL_LBL)*(INC_SPECIALS="Y"))*(COUNTIF('Dvd Calendar'!$E$1211:$AR$1211,'Dvd Calendar'!$E$1204:$AR$1204)=0)))</f>
        <v/>
      </c>
      <c r="L15" s="128">
        <f>IF($B15="",0,IF((OV_SWITCH="ON")*(COUNTIFS(OVR_TICKERS,$C15,OVR_BASE,"&gt;=0")&gt;0)&gt;0,SUMIFS(OVR_BASE,OVR_TICKERS,$C15),$K15))</f>
        <v/>
      </c>
      <c r="M15" s="128">
        <f>IF($B15="",0,IF((OV_SWITCH="ON")*(COUNTIFS(OVR_TICKERS,$C15,OVR_LOW,"&gt;=0")&gt;0)&gt;0,SUMIFS(OVR_LOW,OVR_TICKERS,$C15),$L15))</f>
        <v/>
      </c>
      <c r="N15" s="128">
        <f>IF($B15="",0,IF((OV_SWITCH="ON")*(COUNTIFS(OVR_TICKERS,$C15,OVR_HIGH,"&gt;=0")&gt;0)&gt;0,SUMIFS(OVR_HIGH,OVR_TICKERS,$C15),$L15))</f>
        <v/>
      </c>
      <c r="O15" s="133">
        <f>IF($B15="","",IFERROR($B15*$G15*$J15/$B$3,""))</f>
        <v/>
      </c>
      <c r="P15" s="133">
        <f>IF($B15="","",IFERROR($B15*$G15*$L15/$B$3,""))</f>
        <v/>
      </c>
      <c r="Q15" s="124">
        <f>IF($B15="","",IFERROR($O15+$P15,""))</f>
        <v/>
      </c>
      <c r="R15" s="133">
        <f>IF($B15="","",IFERROR($O15+$B15*$G15*$M15/$B$3,""))</f>
        <v/>
      </c>
      <c r="S15" s="133">
        <f>IF($B15="","",IFERROR($O15+$B15*$G15*$N15/$B$3,""))</f>
        <v/>
      </c>
      <c r="T15" s="150">
        <f>IF($B15="","",IFERROR($Q15/$Q$5,""))</f>
        <v/>
      </c>
      <c r="U15" s="2">
        <f>IF($B15="","",IF(COUNTIFS('Dvd Calendar'!$E$1210:$AR$1210,"&gt;0",'Dvd Calendar'!$E$1210:$AR$1210,"&lt;="&amp;VAL_DATE,'Dvd Calendar'!$E$1211:$AR$1211,"&gt;"&amp;PROJ_FROM,'Dvd Calendar'!$E$1211:$AR$1211,"&lt;="&amp;WIN_TO)-COUNTIFS('Dvd Calendar'!$E$1210:$AR$1210,"&gt;0",'Dvd Calendar'!$E$1210:$AR$1210,"&lt;="&amp;VAL_DATE,'Dvd Calendar'!$E$1211:$AR$1211,"&gt;"&amp;PROJ_FROM,'Dvd Calendar'!$E$1211:$AR$1211,"&lt;="&amp;WIN_TO,'Dvd Calendar'!$E$1212:$AR$1212,"&gt;=0")&gt;0,"TBA amount - override me",IF((OV_SWITCH="ON")*(COUNTIFS(OVR_TICKERS,$C15,OVR_BASE,"&gt;=0")&gt;0)&gt;0,"overridden",IF($J15+$K15=0,"no dividend in year Y",""))))</f>
        <v/>
      </c>
      <c r="V15" s="133">
        <f>IF($B15="","",IFERROR(IF(ISNUMBER($H15),$B15*$G15*$H15/$B$3,0),""))</f>
        <v/>
      </c>
      <c r="W15" s="133">
        <f>IF($B15="","",IFERROR($B15*$G15*$K15/$B$3,""))</f>
        <v/>
      </c>
      <c r="X15" s="157">
        <f>IF($C15="","",BDP($C15,"PX_LAST"))</f>
        <v/>
      </c>
      <c r="Y15" s="133">
        <f>IF($B15="","",IFERROR($B15*$X15/$B$3,""))</f>
        <v/>
      </c>
      <c r="Z15" s="137">
        <f>IF($B15="","",IFERROR($Y15/$Y$5,""))</f>
        <v/>
      </c>
    </row>
    <row r="16">
      <c r="B16" s="97" t="n"/>
      <c r="C16" s="8">
        <f>IF($A16="","",$A16&amp;" Equity")</f>
        <v/>
      </c>
      <c r="D16" s="8">
        <f>IF($C16="","",BDP($C16,"NAME"))</f>
        <v/>
      </c>
      <c r="E16" s="8">
        <f>IF($C16="","",BDP($C16,"GICS_SECTOR_NAME"))</f>
        <v/>
      </c>
      <c r="F16" s="37">
        <f>IF($C16="","",BDP($C16,FLD_CCY))</f>
        <v/>
      </c>
      <c r="G16" s="111">
        <f>IFERROR(IF(LEN($F16)&lt;&gt;3,1,IF($F16="HKD",1,BDP(IF($F16="CNY",RMB_CROSS,$F16)&amp;"HKD Curncy","PX_LAST"))),1)</f>
        <v/>
      </c>
      <c r="H16" s="133">
        <f>IF($C16="","",BDP($C16,FLD_DPS12M))</f>
        <v/>
      </c>
      <c r="I16" s="126">
        <f>IF($C16="","",BDP($C16,FLD_YLD12M))</f>
        <v/>
      </c>
      <c r="J16" s="128">
        <f>IF($B16="",0,SUMPRODUCT(('Dvd Calendar'!$E$1215:$AR$1215&gt;=WIN_FROM)*('Dvd Calendar'!$E$1215:$AR$1215&lt;=REALIZED_TO)*'Dvd Calendar'!$E$1218:$AR$1218*(('Dvd Calendar'!$E$1220:$AR$1220=TYPE1)*(TYPE1&lt;&gt;"")+('Dvd Calendar'!$E$1220:$AR$1220=TYPE2)*(TYPE2&lt;&gt;"")+('Dvd Calendar'!$E$1220:$AR$1220=TYPE3)*(TYPE3&lt;&gt;"")+('Dvd Calendar'!$E$1220:$AR$1220=TYPE4)*(TYPE4&lt;&gt;"")+('Dvd Calendar'!$E$1220:$AR$1220=SPECIAL_LBL)*(INC_SPECIALS="Y"))))</f>
        <v/>
      </c>
      <c r="K16" s="128">
        <f>IF($B16="",0,SUMIFS('Dvd Calendar'!$E$1223:$AR$1223,'Dvd Calendar'!$E$1222:$AR$1222,"&gt;"&amp;PROJ_FROM,'Dvd Calendar'!$E$1222:$AR$1222,"&lt;="&amp;WIN_TO)+SUMPRODUCT(('Dvd Calendar'!$E$1215:$AR$1215&gt;PROJ_FROM)*('Dvd Calendar'!$E$1215:$AR$1215&lt;=WIN_TO)*'Dvd Calendar'!$E$1218:$AR$1218*(('Dvd Calendar'!$E$1220:$AR$1220=TYPE1)*(TYPE1&lt;&gt;"")+('Dvd Calendar'!$E$1220:$AR$1220=TYPE2)*(TYPE2&lt;&gt;"")+('Dvd Calendar'!$E$1220:$AR$1220=TYPE3)*(TYPE3&lt;&gt;"")+('Dvd Calendar'!$E$1220:$AR$1220=TYPE4)*(TYPE4&lt;&gt;"")+('Dvd Calendar'!$E$1220:$AR$1220=SPECIAL_LBL)*(INC_SPECIALS="Y"))*(COUNTIF('Dvd Calendar'!$E$1222:$AR$1222,'Dvd Calendar'!$E$1215:$AR$1215)=0)))</f>
        <v/>
      </c>
      <c r="L16" s="128">
        <f>IF($B16="",0,IF((OV_SWITCH="ON")*(COUNTIFS(OVR_TICKERS,$C16,OVR_BASE,"&gt;=0")&gt;0)&gt;0,SUMIFS(OVR_BASE,OVR_TICKERS,$C16),$K16))</f>
        <v/>
      </c>
      <c r="M16" s="128">
        <f>IF($B16="",0,IF((OV_SWITCH="ON")*(COUNTIFS(OVR_TICKERS,$C16,OVR_LOW,"&gt;=0")&gt;0)&gt;0,SUMIFS(OVR_LOW,OVR_TICKERS,$C16),$L16))</f>
        <v/>
      </c>
      <c r="N16" s="128">
        <f>IF($B16="",0,IF((OV_SWITCH="ON")*(COUNTIFS(OVR_TICKERS,$C16,OVR_HIGH,"&gt;=0")&gt;0)&gt;0,SUMIFS(OVR_HIGH,OVR_TICKERS,$C16),$L16))</f>
        <v/>
      </c>
      <c r="O16" s="133">
        <f>IF($B16="","",IFERROR($B16*$G16*$J16/$B$3,""))</f>
        <v/>
      </c>
      <c r="P16" s="133">
        <f>IF($B16="","",IFERROR($B16*$G16*$L16/$B$3,""))</f>
        <v/>
      </c>
      <c r="Q16" s="124">
        <f>IF($B16="","",IFERROR($O16+$P16,""))</f>
        <v/>
      </c>
      <c r="R16" s="133">
        <f>IF($B16="","",IFERROR($O16+$B16*$G16*$M16/$B$3,""))</f>
        <v/>
      </c>
      <c r="S16" s="133">
        <f>IF($B16="","",IFERROR($O16+$B16*$G16*$N16/$B$3,""))</f>
        <v/>
      </c>
      <c r="T16" s="150">
        <f>IF($B16="","",IFERROR($Q16/$Q$5,""))</f>
        <v/>
      </c>
      <c r="U16" s="2">
        <f>IF($B16="","",IF(COUNTIFS('Dvd Calendar'!$E$1221:$AR$1221,"&gt;0",'Dvd Calendar'!$E$1221:$AR$1221,"&lt;="&amp;VAL_DATE,'Dvd Calendar'!$E$1222:$AR$1222,"&gt;"&amp;PROJ_FROM,'Dvd Calendar'!$E$1222:$AR$1222,"&lt;="&amp;WIN_TO)-COUNTIFS('Dvd Calendar'!$E$1221:$AR$1221,"&gt;0",'Dvd Calendar'!$E$1221:$AR$1221,"&lt;="&amp;VAL_DATE,'Dvd Calendar'!$E$1222:$AR$1222,"&gt;"&amp;PROJ_FROM,'Dvd Calendar'!$E$1222:$AR$1222,"&lt;="&amp;WIN_TO,'Dvd Calendar'!$E$1223:$AR$1223,"&gt;=0")&gt;0,"TBA amount - override me",IF((OV_SWITCH="ON")*(COUNTIFS(OVR_TICKERS,$C16,OVR_BASE,"&gt;=0")&gt;0)&gt;0,"overridden",IF($J16+$K16=0,"no dividend in year Y",""))))</f>
        <v/>
      </c>
      <c r="V16" s="133">
        <f>IF($B16="","",IFERROR(IF(ISNUMBER($H16),$B16*$G16*$H16/$B$3,0),""))</f>
        <v/>
      </c>
      <c r="W16" s="133">
        <f>IF($B16="","",IFERROR($B16*$G16*$K16/$B$3,""))</f>
        <v/>
      </c>
      <c r="X16" s="157">
        <f>IF($C16="","",BDP($C16,"PX_LAST"))</f>
        <v/>
      </c>
      <c r="Y16" s="133">
        <f>IF($B16="","",IFERROR($B16*$X16/$B$3,""))</f>
        <v/>
      </c>
      <c r="Z16" s="137">
        <f>IF($B16="","",IFERROR($Y16/$Y$5,""))</f>
        <v/>
      </c>
    </row>
    <row r="17">
      <c r="B17" s="97" t="n"/>
      <c r="C17" s="8">
        <f>IF($A17="","",$A17&amp;" Equity")</f>
        <v/>
      </c>
      <c r="D17" s="8">
        <f>IF($C17="","",BDP($C17,"NAME"))</f>
        <v/>
      </c>
      <c r="E17" s="8">
        <f>IF($C17="","",BDP($C17,"GICS_SECTOR_NAME"))</f>
        <v/>
      </c>
      <c r="F17" s="37">
        <f>IF($C17="","",BDP($C17,FLD_CCY))</f>
        <v/>
      </c>
      <c r="G17" s="111">
        <f>IFERROR(IF(LEN($F17)&lt;&gt;3,1,IF($F17="HKD",1,BDP(IF($F17="CNY",RMB_CROSS,$F17)&amp;"HKD Curncy","PX_LAST"))),1)</f>
        <v/>
      </c>
      <c r="H17" s="133">
        <f>IF($C17="","",BDP($C17,FLD_DPS12M))</f>
        <v/>
      </c>
      <c r="I17" s="126">
        <f>IF($C17="","",BDP($C17,FLD_YLD12M))</f>
        <v/>
      </c>
      <c r="J17" s="128">
        <f>IF($B17="",0,SUMPRODUCT(('Dvd Calendar'!$E$1226:$AR$1226&gt;=WIN_FROM)*('Dvd Calendar'!$E$1226:$AR$1226&lt;=REALIZED_TO)*'Dvd Calendar'!$E$1229:$AR$1229*(('Dvd Calendar'!$E$1231:$AR$1231=TYPE1)*(TYPE1&lt;&gt;"")+('Dvd Calendar'!$E$1231:$AR$1231=TYPE2)*(TYPE2&lt;&gt;"")+('Dvd Calendar'!$E$1231:$AR$1231=TYPE3)*(TYPE3&lt;&gt;"")+('Dvd Calendar'!$E$1231:$AR$1231=TYPE4)*(TYPE4&lt;&gt;"")+('Dvd Calendar'!$E$1231:$AR$1231=SPECIAL_LBL)*(INC_SPECIALS="Y"))))</f>
        <v/>
      </c>
      <c r="K17" s="128">
        <f>IF($B17="",0,SUMIFS('Dvd Calendar'!$E$1234:$AR$1234,'Dvd Calendar'!$E$1233:$AR$1233,"&gt;"&amp;PROJ_FROM,'Dvd Calendar'!$E$1233:$AR$1233,"&lt;="&amp;WIN_TO)+SUMPRODUCT(('Dvd Calendar'!$E$1226:$AR$1226&gt;PROJ_FROM)*('Dvd Calendar'!$E$1226:$AR$1226&lt;=WIN_TO)*'Dvd Calendar'!$E$1229:$AR$1229*(('Dvd Calendar'!$E$1231:$AR$1231=TYPE1)*(TYPE1&lt;&gt;"")+('Dvd Calendar'!$E$1231:$AR$1231=TYPE2)*(TYPE2&lt;&gt;"")+('Dvd Calendar'!$E$1231:$AR$1231=TYPE3)*(TYPE3&lt;&gt;"")+('Dvd Calendar'!$E$1231:$AR$1231=TYPE4)*(TYPE4&lt;&gt;"")+('Dvd Calendar'!$E$1231:$AR$1231=SPECIAL_LBL)*(INC_SPECIALS="Y"))*(COUNTIF('Dvd Calendar'!$E$1233:$AR$1233,'Dvd Calendar'!$E$1226:$AR$1226)=0)))</f>
        <v/>
      </c>
      <c r="L17" s="128">
        <f>IF($B17="",0,IF((OV_SWITCH="ON")*(COUNTIFS(OVR_TICKERS,$C17,OVR_BASE,"&gt;=0")&gt;0)&gt;0,SUMIFS(OVR_BASE,OVR_TICKERS,$C17),$K17))</f>
        <v/>
      </c>
      <c r="M17" s="128">
        <f>IF($B17="",0,IF((OV_SWITCH="ON")*(COUNTIFS(OVR_TICKERS,$C17,OVR_LOW,"&gt;=0")&gt;0)&gt;0,SUMIFS(OVR_LOW,OVR_TICKERS,$C17),$L17))</f>
        <v/>
      </c>
      <c r="N17" s="128">
        <f>IF($B17="",0,IF((OV_SWITCH="ON")*(COUNTIFS(OVR_TICKERS,$C17,OVR_HIGH,"&gt;=0")&gt;0)&gt;0,SUMIFS(OVR_HIGH,OVR_TICKERS,$C17),$L17))</f>
        <v/>
      </c>
      <c r="O17" s="133">
        <f>IF($B17="","",IFERROR($B17*$G17*$J17/$B$3,""))</f>
        <v/>
      </c>
      <c r="P17" s="133">
        <f>IF($B17="","",IFERROR($B17*$G17*$L17/$B$3,""))</f>
        <v/>
      </c>
      <c r="Q17" s="124">
        <f>IF($B17="","",IFERROR($O17+$P17,""))</f>
        <v/>
      </c>
      <c r="R17" s="133">
        <f>IF($B17="","",IFERROR($O17+$B17*$G17*$M17/$B$3,""))</f>
        <v/>
      </c>
      <c r="S17" s="133">
        <f>IF($B17="","",IFERROR($O17+$B17*$G17*$N17/$B$3,""))</f>
        <v/>
      </c>
      <c r="T17" s="150">
        <f>IF($B17="","",IFERROR($Q17/$Q$5,""))</f>
        <v/>
      </c>
      <c r="U17" s="2">
        <f>IF($B17="","",IF(COUNTIFS('Dvd Calendar'!$E$1232:$AR$1232,"&gt;0",'Dvd Calendar'!$E$1232:$AR$1232,"&lt;="&amp;VAL_DATE,'Dvd Calendar'!$E$1233:$AR$1233,"&gt;"&amp;PROJ_FROM,'Dvd Calendar'!$E$1233:$AR$1233,"&lt;="&amp;WIN_TO)-COUNTIFS('Dvd Calendar'!$E$1232:$AR$1232,"&gt;0",'Dvd Calendar'!$E$1232:$AR$1232,"&lt;="&amp;VAL_DATE,'Dvd Calendar'!$E$1233:$AR$1233,"&gt;"&amp;PROJ_FROM,'Dvd Calendar'!$E$1233:$AR$1233,"&lt;="&amp;WIN_TO,'Dvd Calendar'!$E$1234:$AR$1234,"&gt;=0")&gt;0,"TBA amount - override me",IF((OV_SWITCH="ON")*(COUNTIFS(OVR_TICKERS,$C17,OVR_BASE,"&gt;=0")&gt;0)&gt;0,"overridden",IF($J17+$K17=0,"no dividend in year Y",""))))</f>
        <v/>
      </c>
      <c r="V17" s="133">
        <f>IF($B17="","",IFERROR(IF(ISNUMBER($H17),$B17*$G17*$H17/$B$3,0),""))</f>
        <v/>
      </c>
      <c r="W17" s="133">
        <f>IF($B17="","",IFERROR($B17*$G17*$K17/$B$3,""))</f>
        <v/>
      </c>
      <c r="X17" s="157">
        <f>IF($C17="","",BDP($C17,"PX_LAST"))</f>
        <v/>
      </c>
      <c r="Y17" s="133">
        <f>IF($B17="","",IFERROR($B17*$X17/$B$3,""))</f>
        <v/>
      </c>
      <c r="Z17" s="137">
        <f>IF($B17="","",IFERROR($Y17/$Y$5,""))</f>
        <v/>
      </c>
    </row>
    <row r="18">
      <c r="B18" s="97" t="n"/>
      <c r="C18" s="8">
        <f>IF($A18="","",$A18&amp;" Equity")</f>
        <v/>
      </c>
      <c r="D18" s="8">
        <f>IF($C18="","",BDP($C18,"NAME"))</f>
        <v/>
      </c>
      <c r="E18" s="8">
        <f>IF($C18="","",BDP($C18,"GICS_SECTOR_NAME"))</f>
        <v/>
      </c>
      <c r="F18" s="37">
        <f>IF($C18="","",BDP($C18,FLD_CCY))</f>
        <v/>
      </c>
      <c r="G18" s="111">
        <f>IFERROR(IF(LEN($F18)&lt;&gt;3,1,IF($F18="HKD",1,BDP(IF($F18="CNY",RMB_CROSS,$F18)&amp;"HKD Curncy","PX_LAST"))),1)</f>
        <v/>
      </c>
      <c r="H18" s="133">
        <f>IF($C18="","",BDP($C18,FLD_DPS12M))</f>
        <v/>
      </c>
      <c r="I18" s="126">
        <f>IF($C18="","",BDP($C18,FLD_YLD12M))</f>
        <v/>
      </c>
      <c r="J18" s="128">
        <f>IF($B18="",0,SUMPRODUCT(('Dvd Calendar'!$E$1237:$AR$1237&gt;=WIN_FROM)*('Dvd Calendar'!$E$1237:$AR$1237&lt;=REALIZED_TO)*'Dvd Calendar'!$E$1240:$AR$1240*(('Dvd Calendar'!$E$1242:$AR$1242=TYPE1)*(TYPE1&lt;&gt;"")+('Dvd Calendar'!$E$1242:$AR$1242=TYPE2)*(TYPE2&lt;&gt;"")+('Dvd Calendar'!$E$1242:$AR$1242=TYPE3)*(TYPE3&lt;&gt;"")+('Dvd Calendar'!$E$1242:$AR$1242=TYPE4)*(TYPE4&lt;&gt;"")+('Dvd Calendar'!$E$1242:$AR$1242=SPECIAL_LBL)*(INC_SPECIALS="Y"))))</f>
        <v/>
      </c>
      <c r="K18" s="128">
        <f>IF($B18="",0,SUMIFS('Dvd Calendar'!$E$1245:$AR$1245,'Dvd Calendar'!$E$1244:$AR$1244,"&gt;"&amp;PROJ_FROM,'Dvd Calendar'!$E$1244:$AR$1244,"&lt;="&amp;WIN_TO)+SUMPRODUCT(('Dvd Calendar'!$E$1237:$AR$1237&gt;PROJ_FROM)*('Dvd Calendar'!$E$1237:$AR$1237&lt;=WIN_TO)*'Dvd Calendar'!$E$1240:$AR$1240*(('Dvd Calendar'!$E$1242:$AR$1242=TYPE1)*(TYPE1&lt;&gt;"")+('Dvd Calendar'!$E$1242:$AR$1242=TYPE2)*(TYPE2&lt;&gt;"")+('Dvd Calendar'!$E$1242:$AR$1242=TYPE3)*(TYPE3&lt;&gt;"")+('Dvd Calendar'!$E$1242:$AR$1242=TYPE4)*(TYPE4&lt;&gt;"")+('Dvd Calendar'!$E$1242:$AR$1242=SPECIAL_LBL)*(INC_SPECIALS="Y"))*(COUNTIF('Dvd Calendar'!$E$1244:$AR$1244,'Dvd Calendar'!$E$1237:$AR$1237)=0)))</f>
        <v/>
      </c>
      <c r="L18" s="128">
        <f>IF($B18="",0,IF((OV_SWITCH="ON")*(COUNTIFS(OVR_TICKERS,$C18,OVR_BASE,"&gt;=0")&gt;0)&gt;0,SUMIFS(OVR_BASE,OVR_TICKERS,$C18),$K18))</f>
        <v/>
      </c>
      <c r="M18" s="128">
        <f>IF($B18="",0,IF((OV_SWITCH="ON")*(COUNTIFS(OVR_TICKERS,$C18,OVR_LOW,"&gt;=0")&gt;0)&gt;0,SUMIFS(OVR_LOW,OVR_TICKERS,$C18),$L18))</f>
        <v/>
      </c>
      <c r="N18" s="128">
        <f>IF($B18="",0,IF((OV_SWITCH="ON")*(COUNTIFS(OVR_TICKERS,$C18,OVR_HIGH,"&gt;=0")&gt;0)&gt;0,SUMIFS(OVR_HIGH,OVR_TICKERS,$C18),$L18))</f>
        <v/>
      </c>
      <c r="O18" s="133">
        <f>IF($B18="","",IFERROR($B18*$G18*$J18/$B$3,""))</f>
        <v/>
      </c>
      <c r="P18" s="133">
        <f>IF($B18="","",IFERROR($B18*$G18*$L18/$B$3,""))</f>
        <v/>
      </c>
      <c r="Q18" s="124">
        <f>IF($B18="","",IFERROR($O18+$P18,""))</f>
        <v/>
      </c>
      <c r="R18" s="133">
        <f>IF($B18="","",IFERROR($O18+$B18*$G18*$M18/$B$3,""))</f>
        <v/>
      </c>
      <c r="S18" s="133">
        <f>IF($B18="","",IFERROR($O18+$B18*$G18*$N18/$B$3,""))</f>
        <v/>
      </c>
      <c r="T18" s="150">
        <f>IF($B18="","",IFERROR($Q18/$Q$5,""))</f>
        <v/>
      </c>
      <c r="U18" s="2">
        <f>IF($B18="","",IF(COUNTIFS('Dvd Calendar'!$E$1243:$AR$1243,"&gt;0",'Dvd Calendar'!$E$1243:$AR$1243,"&lt;="&amp;VAL_DATE,'Dvd Calendar'!$E$1244:$AR$1244,"&gt;"&amp;PROJ_FROM,'Dvd Calendar'!$E$1244:$AR$1244,"&lt;="&amp;WIN_TO)-COUNTIFS('Dvd Calendar'!$E$1243:$AR$1243,"&gt;0",'Dvd Calendar'!$E$1243:$AR$1243,"&lt;="&amp;VAL_DATE,'Dvd Calendar'!$E$1244:$AR$1244,"&gt;"&amp;PROJ_FROM,'Dvd Calendar'!$E$1244:$AR$1244,"&lt;="&amp;WIN_TO,'Dvd Calendar'!$E$1245:$AR$1245,"&gt;=0")&gt;0,"TBA amount - override me",IF((OV_SWITCH="ON")*(COUNTIFS(OVR_TICKERS,$C18,OVR_BASE,"&gt;=0")&gt;0)&gt;0,"overridden",IF($J18+$K18=0,"no dividend in year Y",""))))</f>
        <v/>
      </c>
      <c r="V18" s="133">
        <f>IF($B18="","",IFERROR(IF(ISNUMBER($H18),$B18*$G18*$H18/$B$3,0),""))</f>
        <v/>
      </c>
      <c r="W18" s="133">
        <f>IF($B18="","",IFERROR($B18*$G18*$K18/$B$3,""))</f>
        <v/>
      </c>
      <c r="X18" s="157">
        <f>IF($C18="","",BDP($C18,"PX_LAST"))</f>
        <v/>
      </c>
      <c r="Y18" s="133">
        <f>IF($B18="","",IFERROR($B18*$X18/$B$3,""))</f>
        <v/>
      </c>
      <c r="Z18" s="137">
        <f>IF($B18="","",IFERROR($Y18/$Y$5,""))</f>
        <v/>
      </c>
    </row>
    <row r="19">
      <c r="B19" s="97" t="n"/>
      <c r="C19" s="8">
        <f>IF($A19="","",$A19&amp;" Equity")</f>
        <v/>
      </c>
      <c r="D19" s="8">
        <f>IF($C19="","",BDP($C19,"NAME"))</f>
        <v/>
      </c>
      <c r="E19" s="8">
        <f>IF($C19="","",BDP($C19,"GICS_SECTOR_NAME"))</f>
        <v/>
      </c>
      <c r="F19" s="37">
        <f>IF($C19="","",BDP($C19,FLD_CCY))</f>
        <v/>
      </c>
      <c r="G19" s="111">
        <f>IFERROR(IF(LEN($F19)&lt;&gt;3,1,IF($F19="HKD",1,BDP(IF($F19="CNY",RMB_CROSS,$F19)&amp;"HKD Curncy","PX_LAST"))),1)</f>
        <v/>
      </c>
      <c r="H19" s="133">
        <f>IF($C19="","",BDP($C19,FLD_DPS12M))</f>
        <v/>
      </c>
      <c r="I19" s="126">
        <f>IF($C19="","",BDP($C19,FLD_YLD12M))</f>
        <v/>
      </c>
      <c r="J19" s="128">
        <f>IF($B19="",0,SUMPRODUCT(('Dvd Calendar'!$E$1248:$AR$1248&gt;=WIN_FROM)*('Dvd Calendar'!$E$1248:$AR$1248&lt;=REALIZED_TO)*'Dvd Calendar'!$E$1251:$AR$1251*(('Dvd Calendar'!$E$1253:$AR$1253=TYPE1)*(TYPE1&lt;&gt;"")+('Dvd Calendar'!$E$1253:$AR$1253=TYPE2)*(TYPE2&lt;&gt;"")+('Dvd Calendar'!$E$1253:$AR$1253=TYPE3)*(TYPE3&lt;&gt;"")+('Dvd Calendar'!$E$1253:$AR$1253=TYPE4)*(TYPE4&lt;&gt;"")+('Dvd Calendar'!$E$1253:$AR$1253=SPECIAL_LBL)*(INC_SPECIALS="Y"))))</f>
        <v/>
      </c>
      <c r="K19" s="128">
        <f>IF($B19="",0,SUMIFS('Dvd Calendar'!$E$1256:$AR$1256,'Dvd Calendar'!$E$1255:$AR$1255,"&gt;"&amp;PROJ_FROM,'Dvd Calendar'!$E$1255:$AR$1255,"&lt;="&amp;WIN_TO)+SUMPRODUCT(('Dvd Calendar'!$E$1248:$AR$1248&gt;PROJ_FROM)*('Dvd Calendar'!$E$1248:$AR$1248&lt;=WIN_TO)*'Dvd Calendar'!$E$1251:$AR$1251*(('Dvd Calendar'!$E$1253:$AR$1253=TYPE1)*(TYPE1&lt;&gt;"")+('Dvd Calendar'!$E$1253:$AR$1253=TYPE2)*(TYPE2&lt;&gt;"")+('Dvd Calendar'!$E$1253:$AR$1253=TYPE3)*(TYPE3&lt;&gt;"")+('Dvd Calendar'!$E$1253:$AR$1253=TYPE4)*(TYPE4&lt;&gt;"")+('Dvd Calendar'!$E$1253:$AR$1253=SPECIAL_LBL)*(INC_SPECIALS="Y"))*(COUNTIF('Dvd Calendar'!$E$1255:$AR$1255,'Dvd Calendar'!$E$1248:$AR$1248)=0)))</f>
        <v/>
      </c>
      <c r="L19" s="128">
        <f>IF($B19="",0,IF((OV_SWITCH="ON")*(COUNTIFS(OVR_TICKERS,$C19,OVR_BASE,"&gt;=0")&gt;0)&gt;0,SUMIFS(OVR_BASE,OVR_TICKERS,$C19),$K19))</f>
        <v/>
      </c>
      <c r="M19" s="128">
        <f>IF($B19="",0,IF((OV_SWITCH="ON")*(COUNTIFS(OVR_TICKERS,$C19,OVR_LOW,"&gt;=0")&gt;0)&gt;0,SUMIFS(OVR_LOW,OVR_TICKERS,$C19),$L19))</f>
        <v/>
      </c>
      <c r="N19" s="128">
        <f>IF($B19="",0,IF((OV_SWITCH="ON")*(COUNTIFS(OVR_TICKERS,$C19,OVR_HIGH,"&gt;=0")&gt;0)&gt;0,SUMIFS(OVR_HIGH,OVR_TICKERS,$C19),$L19))</f>
        <v/>
      </c>
      <c r="O19" s="133">
        <f>IF($B19="","",IFERROR($B19*$G19*$J19/$B$3,""))</f>
        <v/>
      </c>
      <c r="P19" s="133">
        <f>IF($B19="","",IFERROR($B19*$G19*$L19/$B$3,""))</f>
        <v/>
      </c>
      <c r="Q19" s="124">
        <f>IF($B19="","",IFERROR($O19+$P19,""))</f>
        <v/>
      </c>
      <c r="R19" s="133">
        <f>IF($B19="","",IFERROR($O19+$B19*$G19*$M19/$B$3,""))</f>
        <v/>
      </c>
      <c r="S19" s="133">
        <f>IF($B19="","",IFERROR($O19+$B19*$G19*$N19/$B$3,""))</f>
        <v/>
      </c>
      <c r="T19" s="150">
        <f>IF($B19="","",IFERROR($Q19/$Q$5,""))</f>
        <v/>
      </c>
      <c r="U19" s="2">
        <f>IF($B19="","",IF(COUNTIFS('Dvd Calendar'!$E$1254:$AR$1254,"&gt;0",'Dvd Calendar'!$E$1254:$AR$1254,"&lt;="&amp;VAL_DATE,'Dvd Calendar'!$E$1255:$AR$1255,"&gt;"&amp;PROJ_FROM,'Dvd Calendar'!$E$1255:$AR$1255,"&lt;="&amp;WIN_TO)-COUNTIFS('Dvd Calendar'!$E$1254:$AR$1254,"&gt;0",'Dvd Calendar'!$E$1254:$AR$1254,"&lt;="&amp;VAL_DATE,'Dvd Calendar'!$E$1255:$AR$1255,"&gt;"&amp;PROJ_FROM,'Dvd Calendar'!$E$1255:$AR$1255,"&lt;="&amp;WIN_TO,'Dvd Calendar'!$E$1256:$AR$1256,"&gt;=0")&gt;0,"TBA amount - override me",IF((OV_SWITCH="ON")*(COUNTIFS(OVR_TICKERS,$C19,OVR_BASE,"&gt;=0")&gt;0)&gt;0,"overridden",IF($J19+$K19=0,"no dividend in year Y",""))))</f>
        <v/>
      </c>
      <c r="V19" s="133">
        <f>IF($B19="","",IFERROR(IF(ISNUMBER($H19),$B19*$G19*$H19/$B$3,0),""))</f>
        <v/>
      </c>
      <c r="W19" s="133">
        <f>IF($B19="","",IFERROR($B19*$G19*$K19/$B$3,""))</f>
        <v/>
      </c>
      <c r="X19" s="157">
        <f>IF($C19="","",BDP($C19,"PX_LAST"))</f>
        <v/>
      </c>
      <c r="Y19" s="133">
        <f>IF($B19="","",IFERROR($B19*$X19/$B$3,""))</f>
        <v/>
      </c>
      <c r="Z19" s="137">
        <f>IF($B19="","",IFERROR($Y19/$Y$5,""))</f>
        <v/>
      </c>
    </row>
    <row r="20">
      <c r="B20" s="97" t="n"/>
      <c r="C20" s="8">
        <f>IF($A20="","",$A20&amp;" Equity")</f>
        <v/>
      </c>
      <c r="D20" s="8">
        <f>IF($C20="","",BDP($C20,"NAME"))</f>
        <v/>
      </c>
      <c r="E20" s="8">
        <f>IF($C20="","",BDP($C20,"GICS_SECTOR_NAME"))</f>
        <v/>
      </c>
      <c r="F20" s="37">
        <f>IF($C20="","",BDP($C20,FLD_CCY))</f>
        <v/>
      </c>
      <c r="G20" s="111">
        <f>IFERROR(IF(LEN($F20)&lt;&gt;3,1,IF($F20="HKD",1,BDP(IF($F20="CNY",RMB_CROSS,$F20)&amp;"HKD Curncy","PX_LAST"))),1)</f>
        <v/>
      </c>
      <c r="H20" s="133">
        <f>IF($C20="","",BDP($C20,FLD_DPS12M))</f>
        <v/>
      </c>
      <c r="I20" s="126">
        <f>IF($C20="","",BDP($C20,FLD_YLD12M))</f>
        <v/>
      </c>
      <c r="J20" s="128">
        <f>IF($B20="",0,SUMPRODUCT(('Dvd Calendar'!$E$1259:$AR$1259&gt;=WIN_FROM)*('Dvd Calendar'!$E$1259:$AR$1259&lt;=REALIZED_TO)*'Dvd Calendar'!$E$1262:$AR$1262*(('Dvd Calendar'!$E$1264:$AR$1264=TYPE1)*(TYPE1&lt;&gt;"")+('Dvd Calendar'!$E$1264:$AR$1264=TYPE2)*(TYPE2&lt;&gt;"")+('Dvd Calendar'!$E$1264:$AR$1264=TYPE3)*(TYPE3&lt;&gt;"")+('Dvd Calendar'!$E$1264:$AR$1264=TYPE4)*(TYPE4&lt;&gt;"")+('Dvd Calendar'!$E$1264:$AR$1264=SPECIAL_LBL)*(INC_SPECIALS="Y"))))</f>
        <v/>
      </c>
      <c r="K20" s="128">
        <f>IF($B20="",0,SUMIFS('Dvd Calendar'!$E$1267:$AR$1267,'Dvd Calendar'!$E$1266:$AR$1266,"&gt;"&amp;PROJ_FROM,'Dvd Calendar'!$E$1266:$AR$1266,"&lt;="&amp;WIN_TO)+SUMPRODUCT(('Dvd Calendar'!$E$1259:$AR$1259&gt;PROJ_FROM)*('Dvd Calendar'!$E$1259:$AR$1259&lt;=WIN_TO)*'Dvd Calendar'!$E$1262:$AR$1262*(('Dvd Calendar'!$E$1264:$AR$1264=TYPE1)*(TYPE1&lt;&gt;"")+('Dvd Calendar'!$E$1264:$AR$1264=TYPE2)*(TYPE2&lt;&gt;"")+('Dvd Calendar'!$E$1264:$AR$1264=TYPE3)*(TYPE3&lt;&gt;"")+('Dvd Calendar'!$E$1264:$AR$1264=TYPE4)*(TYPE4&lt;&gt;"")+('Dvd Calendar'!$E$1264:$AR$1264=SPECIAL_LBL)*(INC_SPECIALS="Y"))*(COUNTIF('Dvd Calendar'!$E$1266:$AR$1266,'Dvd Calendar'!$E$1259:$AR$1259)=0)))</f>
        <v/>
      </c>
      <c r="L20" s="128">
        <f>IF($B20="",0,IF((OV_SWITCH="ON")*(COUNTIFS(OVR_TICKERS,$C20,OVR_BASE,"&gt;=0")&gt;0)&gt;0,SUMIFS(OVR_BASE,OVR_TICKERS,$C20),$K20))</f>
        <v/>
      </c>
      <c r="M20" s="128">
        <f>IF($B20="",0,IF((OV_SWITCH="ON")*(COUNTIFS(OVR_TICKERS,$C20,OVR_LOW,"&gt;=0")&gt;0)&gt;0,SUMIFS(OVR_LOW,OVR_TICKERS,$C20),$L20))</f>
        <v/>
      </c>
      <c r="N20" s="128">
        <f>IF($B20="",0,IF((OV_SWITCH="ON")*(COUNTIFS(OVR_TICKERS,$C20,OVR_HIGH,"&gt;=0")&gt;0)&gt;0,SUMIFS(OVR_HIGH,OVR_TICKERS,$C20),$L20))</f>
        <v/>
      </c>
      <c r="O20" s="133">
        <f>IF($B20="","",IFERROR($B20*$G20*$J20/$B$3,""))</f>
        <v/>
      </c>
      <c r="P20" s="133">
        <f>IF($B20="","",IFERROR($B20*$G20*$L20/$B$3,""))</f>
        <v/>
      </c>
      <c r="Q20" s="124">
        <f>IF($B20="","",IFERROR($O20+$P20,""))</f>
        <v/>
      </c>
      <c r="R20" s="133">
        <f>IF($B20="","",IFERROR($O20+$B20*$G20*$M20/$B$3,""))</f>
        <v/>
      </c>
      <c r="S20" s="133">
        <f>IF($B20="","",IFERROR($O20+$B20*$G20*$N20/$B$3,""))</f>
        <v/>
      </c>
      <c r="T20" s="150">
        <f>IF($B20="","",IFERROR($Q20/$Q$5,""))</f>
        <v/>
      </c>
      <c r="U20" s="2">
        <f>IF($B20="","",IF(COUNTIFS('Dvd Calendar'!$E$1265:$AR$1265,"&gt;0",'Dvd Calendar'!$E$1265:$AR$1265,"&lt;="&amp;VAL_DATE,'Dvd Calendar'!$E$1266:$AR$1266,"&gt;"&amp;PROJ_FROM,'Dvd Calendar'!$E$1266:$AR$1266,"&lt;="&amp;WIN_TO)-COUNTIFS('Dvd Calendar'!$E$1265:$AR$1265,"&gt;0",'Dvd Calendar'!$E$1265:$AR$1265,"&lt;="&amp;VAL_DATE,'Dvd Calendar'!$E$1266:$AR$1266,"&gt;"&amp;PROJ_FROM,'Dvd Calendar'!$E$1266:$AR$1266,"&lt;="&amp;WIN_TO,'Dvd Calendar'!$E$1267:$AR$1267,"&gt;=0")&gt;0,"TBA amount - override me",IF((OV_SWITCH="ON")*(COUNTIFS(OVR_TICKERS,$C20,OVR_BASE,"&gt;=0")&gt;0)&gt;0,"overridden",IF($J20+$K20=0,"no dividend in year Y",""))))</f>
        <v/>
      </c>
      <c r="V20" s="133">
        <f>IF($B20="","",IFERROR(IF(ISNUMBER($H20),$B20*$G20*$H20/$B$3,0),""))</f>
        <v/>
      </c>
      <c r="W20" s="133">
        <f>IF($B20="","",IFERROR($B20*$G20*$K20/$B$3,""))</f>
        <v/>
      </c>
      <c r="X20" s="157">
        <f>IF($C20="","",BDP($C20,"PX_LAST"))</f>
        <v/>
      </c>
      <c r="Y20" s="133">
        <f>IF($B20="","",IFERROR($B20*$X20/$B$3,""))</f>
        <v/>
      </c>
      <c r="Z20" s="137">
        <f>IF($B20="","",IFERROR($Y20/$Y$5,""))</f>
        <v/>
      </c>
    </row>
    <row r="21">
      <c r="B21" s="97" t="n"/>
      <c r="C21" s="8">
        <f>IF($A21="","",$A21&amp;" Equity")</f>
        <v/>
      </c>
      <c r="D21" s="8">
        <f>IF($C21="","",BDP($C21,"NAME"))</f>
        <v/>
      </c>
      <c r="E21" s="8">
        <f>IF($C21="","",BDP($C21,"GICS_SECTOR_NAME"))</f>
        <v/>
      </c>
      <c r="F21" s="37">
        <f>IF($C21="","",BDP($C21,FLD_CCY))</f>
        <v/>
      </c>
      <c r="G21" s="111">
        <f>IFERROR(IF(LEN($F21)&lt;&gt;3,1,IF($F21="HKD",1,BDP(IF($F21="CNY",RMB_CROSS,$F21)&amp;"HKD Curncy","PX_LAST"))),1)</f>
        <v/>
      </c>
      <c r="H21" s="133">
        <f>IF($C21="","",BDP($C21,FLD_DPS12M))</f>
        <v/>
      </c>
      <c r="I21" s="126">
        <f>IF($C21="","",BDP($C21,FLD_YLD12M))</f>
        <v/>
      </c>
      <c r="J21" s="128">
        <f>IF($B21="",0,SUMPRODUCT(('Dvd Calendar'!$E$1270:$AR$1270&gt;=WIN_FROM)*('Dvd Calendar'!$E$1270:$AR$1270&lt;=REALIZED_TO)*'Dvd Calendar'!$E$1273:$AR$1273*(('Dvd Calendar'!$E$1275:$AR$1275=TYPE1)*(TYPE1&lt;&gt;"")+('Dvd Calendar'!$E$1275:$AR$1275=TYPE2)*(TYPE2&lt;&gt;"")+('Dvd Calendar'!$E$1275:$AR$1275=TYPE3)*(TYPE3&lt;&gt;"")+('Dvd Calendar'!$E$1275:$AR$1275=TYPE4)*(TYPE4&lt;&gt;"")+('Dvd Calendar'!$E$1275:$AR$1275=SPECIAL_LBL)*(INC_SPECIALS="Y"))))</f>
        <v/>
      </c>
      <c r="K21" s="128">
        <f>IF($B21="",0,SUMIFS('Dvd Calendar'!$E$1278:$AR$1278,'Dvd Calendar'!$E$1277:$AR$1277,"&gt;"&amp;PROJ_FROM,'Dvd Calendar'!$E$1277:$AR$1277,"&lt;="&amp;WIN_TO)+SUMPRODUCT(('Dvd Calendar'!$E$1270:$AR$1270&gt;PROJ_FROM)*('Dvd Calendar'!$E$1270:$AR$1270&lt;=WIN_TO)*'Dvd Calendar'!$E$1273:$AR$1273*(('Dvd Calendar'!$E$1275:$AR$1275=TYPE1)*(TYPE1&lt;&gt;"")+('Dvd Calendar'!$E$1275:$AR$1275=TYPE2)*(TYPE2&lt;&gt;"")+('Dvd Calendar'!$E$1275:$AR$1275=TYPE3)*(TYPE3&lt;&gt;"")+('Dvd Calendar'!$E$1275:$AR$1275=TYPE4)*(TYPE4&lt;&gt;"")+('Dvd Calendar'!$E$1275:$AR$1275=SPECIAL_LBL)*(INC_SPECIALS="Y"))*(COUNTIF('Dvd Calendar'!$E$1277:$AR$1277,'Dvd Calendar'!$E$1270:$AR$1270)=0)))</f>
        <v/>
      </c>
      <c r="L21" s="128">
        <f>IF($B21="",0,IF((OV_SWITCH="ON")*(COUNTIFS(OVR_TICKERS,$C21,OVR_BASE,"&gt;=0")&gt;0)&gt;0,SUMIFS(OVR_BASE,OVR_TICKERS,$C21),$K21))</f>
        <v/>
      </c>
      <c r="M21" s="128">
        <f>IF($B21="",0,IF((OV_SWITCH="ON")*(COUNTIFS(OVR_TICKERS,$C21,OVR_LOW,"&gt;=0")&gt;0)&gt;0,SUMIFS(OVR_LOW,OVR_TICKERS,$C21),$L21))</f>
        <v/>
      </c>
      <c r="N21" s="128">
        <f>IF($B21="",0,IF((OV_SWITCH="ON")*(COUNTIFS(OVR_TICKERS,$C21,OVR_HIGH,"&gt;=0")&gt;0)&gt;0,SUMIFS(OVR_HIGH,OVR_TICKERS,$C21),$L21))</f>
        <v/>
      </c>
      <c r="O21" s="133">
        <f>IF($B21="","",IFERROR($B21*$G21*$J21/$B$3,""))</f>
        <v/>
      </c>
      <c r="P21" s="133">
        <f>IF($B21="","",IFERROR($B21*$G21*$L21/$B$3,""))</f>
        <v/>
      </c>
      <c r="Q21" s="124">
        <f>IF($B21="","",IFERROR($O21+$P21,""))</f>
        <v/>
      </c>
      <c r="R21" s="133">
        <f>IF($B21="","",IFERROR($O21+$B21*$G21*$M21/$B$3,""))</f>
        <v/>
      </c>
      <c r="S21" s="133">
        <f>IF($B21="","",IFERROR($O21+$B21*$G21*$N21/$B$3,""))</f>
        <v/>
      </c>
      <c r="T21" s="150">
        <f>IF($B21="","",IFERROR($Q21/$Q$5,""))</f>
        <v/>
      </c>
      <c r="U21" s="2">
        <f>IF($B21="","",IF(COUNTIFS('Dvd Calendar'!$E$1276:$AR$1276,"&gt;0",'Dvd Calendar'!$E$1276:$AR$1276,"&lt;="&amp;VAL_DATE,'Dvd Calendar'!$E$1277:$AR$1277,"&gt;"&amp;PROJ_FROM,'Dvd Calendar'!$E$1277:$AR$1277,"&lt;="&amp;WIN_TO)-COUNTIFS('Dvd Calendar'!$E$1276:$AR$1276,"&gt;0",'Dvd Calendar'!$E$1276:$AR$1276,"&lt;="&amp;VAL_DATE,'Dvd Calendar'!$E$1277:$AR$1277,"&gt;"&amp;PROJ_FROM,'Dvd Calendar'!$E$1277:$AR$1277,"&lt;="&amp;WIN_TO,'Dvd Calendar'!$E$1278:$AR$1278,"&gt;=0")&gt;0,"TBA amount - override me",IF((OV_SWITCH="ON")*(COUNTIFS(OVR_TICKERS,$C21,OVR_BASE,"&gt;=0")&gt;0)&gt;0,"overridden",IF($J21+$K21=0,"no dividend in year Y",""))))</f>
        <v/>
      </c>
      <c r="V21" s="133">
        <f>IF($B21="","",IFERROR(IF(ISNUMBER($H21),$B21*$G21*$H21/$B$3,0),""))</f>
        <v/>
      </c>
      <c r="W21" s="133">
        <f>IF($B21="","",IFERROR($B21*$G21*$K21/$B$3,""))</f>
        <v/>
      </c>
      <c r="X21" s="157">
        <f>IF($C21="","",BDP($C21,"PX_LAST"))</f>
        <v/>
      </c>
      <c r="Y21" s="133">
        <f>IF($B21="","",IFERROR($B21*$X21/$B$3,""))</f>
        <v/>
      </c>
      <c r="Z21" s="137">
        <f>IF($B21="","",IFERROR($Y21/$Y$5,""))</f>
        <v/>
      </c>
    </row>
    <row r="22">
      <c r="B22" s="97" t="n"/>
      <c r="C22" s="8">
        <f>IF($A22="","",$A22&amp;" Equity")</f>
        <v/>
      </c>
      <c r="D22" s="8">
        <f>IF($C22="","",BDP($C22,"NAME"))</f>
        <v/>
      </c>
      <c r="E22" s="8">
        <f>IF($C22="","",BDP($C22,"GICS_SECTOR_NAME"))</f>
        <v/>
      </c>
      <c r="F22" s="37">
        <f>IF($C22="","",BDP($C22,FLD_CCY))</f>
        <v/>
      </c>
      <c r="G22" s="111">
        <f>IFERROR(IF(LEN($F22)&lt;&gt;3,1,IF($F22="HKD",1,BDP(IF($F22="CNY",RMB_CROSS,$F22)&amp;"HKD Curncy","PX_LAST"))),1)</f>
        <v/>
      </c>
      <c r="H22" s="133">
        <f>IF($C22="","",BDP($C22,FLD_DPS12M))</f>
        <v/>
      </c>
      <c r="I22" s="126">
        <f>IF($C22="","",BDP($C22,FLD_YLD12M))</f>
        <v/>
      </c>
      <c r="J22" s="128">
        <f>IF($B22="",0,SUMPRODUCT(('Dvd Calendar'!$E$1281:$AR$1281&gt;=WIN_FROM)*('Dvd Calendar'!$E$1281:$AR$1281&lt;=REALIZED_TO)*'Dvd Calendar'!$E$1284:$AR$1284*(('Dvd Calendar'!$E$1286:$AR$1286=TYPE1)*(TYPE1&lt;&gt;"")+('Dvd Calendar'!$E$1286:$AR$1286=TYPE2)*(TYPE2&lt;&gt;"")+('Dvd Calendar'!$E$1286:$AR$1286=TYPE3)*(TYPE3&lt;&gt;"")+('Dvd Calendar'!$E$1286:$AR$1286=TYPE4)*(TYPE4&lt;&gt;"")+('Dvd Calendar'!$E$1286:$AR$1286=SPECIAL_LBL)*(INC_SPECIALS="Y"))))</f>
        <v/>
      </c>
      <c r="K22" s="128">
        <f>IF($B22="",0,SUMIFS('Dvd Calendar'!$E$1289:$AR$1289,'Dvd Calendar'!$E$1288:$AR$1288,"&gt;"&amp;PROJ_FROM,'Dvd Calendar'!$E$1288:$AR$1288,"&lt;="&amp;WIN_TO)+SUMPRODUCT(('Dvd Calendar'!$E$1281:$AR$1281&gt;PROJ_FROM)*('Dvd Calendar'!$E$1281:$AR$1281&lt;=WIN_TO)*'Dvd Calendar'!$E$1284:$AR$1284*(('Dvd Calendar'!$E$1286:$AR$1286=TYPE1)*(TYPE1&lt;&gt;"")+('Dvd Calendar'!$E$1286:$AR$1286=TYPE2)*(TYPE2&lt;&gt;"")+('Dvd Calendar'!$E$1286:$AR$1286=TYPE3)*(TYPE3&lt;&gt;"")+('Dvd Calendar'!$E$1286:$AR$1286=TYPE4)*(TYPE4&lt;&gt;"")+('Dvd Calendar'!$E$1286:$AR$1286=SPECIAL_LBL)*(INC_SPECIALS="Y"))*(COUNTIF('Dvd Calendar'!$E$1288:$AR$1288,'Dvd Calendar'!$E$1281:$AR$1281)=0)))</f>
        <v/>
      </c>
      <c r="L22" s="128">
        <f>IF($B22="",0,IF((OV_SWITCH="ON")*(COUNTIFS(OVR_TICKERS,$C22,OVR_BASE,"&gt;=0")&gt;0)&gt;0,SUMIFS(OVR_BASE,OVR_TICKERS,$C22),$K22))</f>
        <v/>
      </c>
      <c r="M22" s="128">
        <f>IF($B22="",0,IF((OV_SWITCH="ON")*(COUNTIFS(OVR_TICKERS,$C22,OVR_LOW,"&gt;=0")&gt;0)&gt;0,SUMIFS(OVR_LOW,OVR_TICKERS,$C22),$L22))</f>
        <v/>
      </c>
      <c r="N22" s="128">
        <f>IF($B22="",0,IF((OV_SWITCH="ON")*(COUNTIFS(OVR_TICKERS,$C22,OVR_HIGH,"&gt;=0")&gt;0)&gt;0,SUMIFS(OVR_HIGH,OVR_TICKERS,$C22),$L22))</f>
        <v/>
      </c>
      <c r="O22" s="133">
        <f>IF($B22="","",IFERROR($B22*$G22*$J22/$B$3,""))</f>
        <v/>
      </c>
      <c r="P22" s="133">
        <f>IF($B22="","",IFERROR($B22*$G22*$L22/$B$3,""))</f>
        <v/>
      </c>
      <c r="Q22" s="124">
        <f>IF($B22="","",IFERROR($O22+$P22,""))</f>
        <v/>
      </c>
      <c r="R22" s="133">
        <f>IF($B22="","",IFERROR($O22+$B22*$G22*$M22/$B$3,""))</f>
        <v/>
      </c>
      <c r="S22" s="133">
        <f>IF($B22="","",IFERROR($O22+$B22*$G22*$N22/$B$3,""))</f>
        <v/>
      </c>
      <c r="T22" s="150">
        <f>IF($B22="","",IFERROR($Q22/$Q$5,""))</f>
        <v/>
      </c>
      <c r="U22" s="2">
        <f>IF($B22="","",IF(COUNTIFS('Dvd Calendar'!$E$1287:$AR$1287,"&gt;0",'Dvd Calendar'!$E$1287:$AR$1287,"&lt;="&amp;VAL_DATE,'Dvd Calendar'!$E$1288:$AR$1288,"&gt;"&amp;PROJ_FROM,'Dvd Calendar'!$E$1288:$AR$1288,"&lt;="&amp;WIN_TO)-COUNTIFS('Dvd Calendar'!$E$1287:$AR$1287,"&gt;0",'Dvd Calendar'!$E$1287:$AR$1287,"&lt;="&amp;VAL_DATE,'Dvd Calendar'!$E$1288:$AR$1288,"&gt;"&amp;PROJ_FROM,'Dvd Calendar'!$E$1288:$AR$1288,"&lt;="&amp;WIN_TO,'Dvd Calendar'!$E$1289:$AR$1289,"&gt;=0")&gt;0,"TBA amount - override me",IF((OV_SWITCH="ON")*(COUNTIFS(OVR_TICKERS,$C22,OVR_BASE,"&gt;=0")&gt;0)&gt;0,"overridden",IF($J22+$K22=0,"no dividend in year Y",""))))</f>
        <v/>
      </c>
      <c r="V22" s="133">
        <f>IF($B22="","",IFERROR(IF(ISNUMBER($H22),$B22*$G22*$H22/$B$3,0),""))</f>
        <v/>
      </c>
      <c r="W22" s="133">
        <f>IF($B22="","",IFERROR($B22*$G22*$K22/$B$3,""))</f>
        <v/>
      </c>
      <c r="X22" s="157">
        <f>IF($C22="","",BDP($C22,"PX_LAST"))</f>
        <v/>
      </c>
      <c r="Y22" s="133">
        <f>IF($B22="","",IFERROR($B22*$X22/$B$3,""))</f>
        <v/>
      </c>
      <c r="Z22" s="137">
        <f>IF($B22="","",IFERROR($Y22/$Y$5,""))</f>
        <v/>
      </c>
    </row>
    <row r="23">
      <c r="B23" s="97" t="n"/>
      <c r="C23" s="8">
        <f>IF($A23="","",$A23&amp;" Equity")</f>
        <v/>
      </c>
      <c r="D23" s="8">
        <f>IF($C23="","",BDP($C23,"NAME"))</f>
        <v/>
      </c>
      <c r="E23" s="8">
        <f>IF($C23="","",BDP($C23,"GICS_SECTOR_NAME"))</f>
        <v/>
      </c>
      <c r="F23" s="37">
        <f>IF($C23="","",BDP($C23,FLD_CCY))</f>
        <v/>
      </c>
      <c r="G23" s="111">
        <f>IFERROR(IF(LEN($F23)&lt;&gt;3,1,IF($F23="HKD",1,BDP(IF($F23="CNY",RMB_CROSS,$F23)&amp;"HKD Curncy","PX_LAST"))),1)</f>
        <v/>
      </c>
      <c r="H23" s="133">
        <f>IF($C23="","",BDP($C23,FLD_DPS12M))</f>
        <v/>
      </c>
      <c r="I23" s="126">
        <f>IF($C23="","",BDP($C23,FLD_YLD12M))</f>
        <v/>
      </c>
      <c r="J23" s="128">
        <f>IF($B23="",0,SUMPRODUCT(('Dvd Calendar'!$E$1292:$AR$1292&gt;=WIN_FROM)*('Dvd Calendar'!$E$1292:$AR$1292&lt;=REALIZED_TO)*'Dvd Calendar'!$E$1295:$AR$1295*(('Dvd Calendar'!$E$1297:$AR$1297=TYPE1)*(TYPE1&lt;&gt;"")+('Dvd Calendar'!$E$1297:$AR$1297=TYPE2)*(TYPE2&lt;&gt;"")+('Dvd Calendar'!$E$1297:$AR$1297=TYPE3)*(TYPE3&lt;&gt;"")+('Dvd Calendar'!$E$1297:$AR$1297=TYPE4)*(TYPE4&lt;&gt;"")+('Dvd Calendar'!$E$1297:$AR$1297=SPECIAL_LBL)*(INC_SPECIALS="Y"))))</f>
        <v/>
      </c>
      <c r="K23" s="128">
        <f>IF($B23="",0,SUMIFS('Dvd Calendar'!$E$1300:$AR$1300,'Dvd Calendar'!$E$1299:$AR$1299,"&gt;"&amp;PROJ_FROM,'Dvd Calendar'!$E$1299:$AR$1299,"&lt;="&amp;WIN_TO)+SUMPRODUCT(('Dvd Calendar'!$E$1292:$AR$1292&gt;PROJ_FROM)*('Dvd Calendar'!$E$1292:$AR$1292&lt;=WIN_TO)*'Dvd Calendar'!$E$1295:$AR$1295*(('Dvd Calendar'!$E$1297:$AR$1297=TYPE1)*(TYPE1&lt;&gt;"")+('Dvd Calendar'!$E$1297:$AR$1297=TYPE2)*(TYPE2&lt;&gt;"")+('Dvd Calendar'!$E$1297:$AR$1297=TYPE3)*(TYPE3&lt;&gt;"")+('Dvd Calendar'!$E$1297:$AR$1297=TYPE4)*(TYPE4&lt;&gt;"")+('Dvd Calendar'!$E$1297:$AR$1297=SPECIAL_LBL)*(INC_SPECIALS="Y"))*(COUNTIF('Dvd Calendar'!$E$1299:$AR$1299,'Dvd Calendar'!$E$1292:$AR$1292)=0)))</f>
        <v/>
      </c>
      <c r="L23" s="128">
        <f>IF($B23="",0,IF((OV_SWITCH="ON")*(COUNTIFS(OVR_TICKERS,$C23,OVR_BASE,"&gt;=0")&gt;0)&gt;0,SUMIFS(OVR_BASE,OVR_TICKERS,$C23),$K23))</f>
        <v/>
      </c>
      <c r="M23" s="128">
        <f>IF($B23="",0,IF((OV_SWITCH="ON")*(COUNTIFS(OVR_TICKERS,$C23,OVR_LOW,"&gt;=0")&gt;0)&gt;0,SUMIFS(OVR_LOW,OVR_TICKERS,$C23),$L23))</f>
        <v/>
      </c>
      <c r="N23" s="128">
        <f>IF($B23="",0,IF((OV_SWITCH="ON")*(COUNTIFS(OVR_TICKERS,$C23,OVR_HIGH,"&gt;=0")&gt;0)&gt;0,SUMIFS(OVR_HIGH,OVR_TICKERS,$C23),$L23))</f>
        <v/>
      </c>
      <c r="O23" s="133">
        <f>IF($B23="","",IFERROR($B23*$G23*$J23/$B$3,""))</f>
        <v/>
      </c>
      <c r="P23" s="133">
        <f>IF($B23="","",IFERROR($B23*$G23*$L23/$B$3,""))</f>
        <v/>
      </c>
      <c r="Q23" s="124">
        <f>IF($B23="","",IFERROR($O23+$P23,""))</f>
        <v/>
      </c>
      <c r="R23" s="133">
        <f>IF($B23="","",IFERROR($O23+$B23*$G23*$M23/$B$3,""))</f>
        <v/>
      </c>
      <c r="S23" s="133">
        <f>IF($B23="","",IFERROR($O23+$B23*$G23*$N23/$B$3,""))</f>
        <v/>
      </c>
      <c r="T23" s="150">
        <f>IF($B23="","",IFERROR($Q23/$Q$5,""))</f>
        <v/>
      </c>
      <c r="U23" s="2">
        <f>IF($B23="","",IF(COUNTIFS('Dvd Calendar'!$E$1298:$AR$1298,"&gt;0",'Dvd Calendar'!$E$1298:$AR$1298,"&lt;="&amp;VAL_DATE,'Dvd Calendar'!$E$1299:$AR$1299,"&gt;"&amp;PROJ_FROM,'Dvd Calendar'!$E$1299:$AR$1299,"&lt;="&amp;WIN_TO)-COUNTIFS('Dvd Calendar'!$E$1298:$AR$1298,"&gt;0",'Dvd Calendar'!$E$1298:$AR$1298,"&lt;="&amp;VAL_DATE,'Dvd Calendar'!$E$1299:$AR$1299,"&gt;"&amp;PROJ_FROM,'Dvd Calendar'!$E$1299:$AR$1299,"&lt;="&amp;WIN_TO,'Dvd Calendar'!$E$1300:$AR$1300,"&gt;=0")&gt;0,"TBA amount - override me",IF((OV_SWITCH="ON")*(COUNTIFS(OVR_TICKERS,$C23,OVR_BASE,"&gt;=0")&gt;0)&gt;0,"overridden",IF($J23+$K23=0,"no dividend in year Y",""))))</f>
        <v/>
      </c>
      <c r="V23" s="133">
        <f>IF($B23="","",IFERROR(IF(ISNUMBER($H23),$B23*$G23*$H23/$B$3,0),""))</f>
        <v/>
      </c>
      <c r="W23" s="133">
        <f>IF($B23="","",IFERROR($B23*$G23*$K23/$B$3,""))</f>
        <v/>
      </c>
      <c r="X23" s="157">
        <f>IF($C23="","",BDP($C23,"PX_LAST"))</f>
        <v/>
      </c>
      <c r="Y23" s="133">
        <f>IF($B23="","",IFERROR($B23*$X23/$B$3,""))</f>
        <v/>
      </c>
      <c r="Z23" s="137">
        <f>IF($B23="","",IFERROR($Y23/$Y$5,""))</f>
        <v/>
      </c>
    </row>
    <row r="24">
      <c r="B24" s="97" t="n"/>
      <c r="C24" s="8">
        <f>IF($A24="","",$A24&amp;" Equity")</f>
        <v/>
      </c>
      <c r="D24" s="8">
        <f>IF($C24="","",BDP($C24,"NAME"))</f>
        <v/>
      </c>
      <c r="E24" s="8">
        <f>IF($C24="","",BDP($C24,"GICS_SECTOR_NAME"))</f>
        <v/>
      </c>
      <c r="F24" s="37">
        <f>IF($C24="","",BDP($C24,FLD_CCY))</f>
        <v/>
      </c>
      <c r="G24" s="111">
        <f>IFERROR(IF(LEN($F24)&lt;&gt;3,1,IF($F24="HKD",1,BDP(IF($F24="CNY",RMB_CROSS,$F24)&amp;"HKD Curncy","PX_LAST"))),1)</f>
        <v/>
      </c>
      <c r="H24" s="133">
        <f>IF($C24="","",BDP($C24,FLD_DPS12M))</f>
        <v/>
      </c>
      <c r="I24" s="126">
        <f>IF($C24="","",BDP($C24,FLD_YLD12M))</f>
        <v/>
      </c>
      <c r="J24" s="128">
        <f>IF($B24="",0,SUMPRODUCT(('Dvd Calendar'!$E$1303:$AR$1303&gt;=WIN_FROM)*('Dvd Calendar'!$E$1303:$AR$1303&lt;=REALIZED_TO)*'Dvd Calendar'!$E$1306:$AR$1306*(('Dvd Calendar'!$E$1308:$AR$1308=TYPE1)*(TYPE1&lt;&gt;"")+('Dvd Calendar'!$E$1308:$AR$1308=TYPE2)*(TYPE2&lt;&gt;"")+('Dvd Calendar'!$E$1308:$AR$1308=TYPE3)*(TYPE3&lt;&gt;"")+('Dvd Calendar'!$E$1308:$AR$1308=TYPE4)*(TYPE4&lt;&gt;"")+('Dvd Calendar'!$E$1308:$AR$1308=SPECIAL_LBL)*(INC_SPECIALS="Y"))))</f>
        <v/>
      </c>
      <c r="K24" s="128">
        <f>IF($B24="",0,SUMIFS('Dvd Calendar'!$E$1311:$AR$1311,'Dvd Calendar'!$E$1310:$AR$1310,"&gt;"&amp;PROJ_FROM,'Dvd Calendar'!$E$1310:$AR$1310,"&lt;="&amp;WIN_TO)+SUMPRODUCT(('Dvd Calendar'!$E$1303:$AR$1303&gt;PROJ_FROM)*('Dvd Calendar'!$E$1303:$AR$1303&lt;=WIN_TO)*'Dvd Calendar'!$E$1306:$AR$1306*(('Dvd Calendar'!$E$1308:$AR$1308=TYPE1)*(TYPE1&lt;&gt;"")+('Dvd Calendar'!$E$1308:$AR$1308=TYPE2)*(TYPE2&lt;&gt;"")+('Dvd Calendar'!$E$1308:$AR$1308=TYPE3)*(TYPE3&lt;&gt;"")+('Dvd Calendar'!$E$1308:$AR$1308=TYPE4)*(TYPE4&lt;&gt;"")+('Dvd Calendar'!$E$1308:$AR$1308=SPECIAL_LBL)*(INC_SPECIALS="Y"))*(COUNTIF('Dvd Calendar'!$E$1310:$AR$1310,'Dvd Calendar'!$E$1303:$AR$1303)=0)))</f>
        <v/>
      </c>
      <c r="L24" s="128">
        <f>IF($B24="",0,IF((OV_SWITCH="ON")*(COUNTIFS(OVR_TICKERS,$C24,OVR_BASE,"&gt;=0")&gt;0)&gt;0,SUMIFS(OVR_BASE,OVR_TICKERS,$C24),$K24))</f>
        <v/>
      </c>
      <c r="M24" s="128">
        <f>IF($B24="",0,IF((OV_SWITCH="ON")*(COUNTIFS(OVR_TICKERS,$C24,OVR_LOW,"&gt;=0")&gt;0)&gt;0,SUMIFS(OVR_LOW,OVR_TICKERS,$C24),$L24))</f>
        <v/>
      </c>
      <c r="N24" s="128">
        <f>IF($B24="",0,IF((OV_SWITCH="ON")*(COUNTIFS(OVR_TICKERS,$C24,OVR_HIGH,"&gt;=0")&gt;0)&gt;0,SUMIFS(OVR_HIGH,OVR_TICKERS,$C24),$L24))</f>
        <v/>
      </c>
      <c r="O24" s="133">
        <f>IF($B24="","",IFERROR($B24*$G24*$J24/$B$3,""))</f>
        <v/>
      </c>
      <c r="P24" s="133">
        <f>IF($B24="","",IFERROR($B24*$G24*$L24/$B$3,""))</f>
        <v/>
      </c>
      <c r="Q24" s="124">
        <f>IF($B24="","",IFERROR($O24+$P24,""))</f>
        <v/>
      </c>
      <c r="R24" s="133">
        <f>IF($B24="","",IFERROR($O24+$B24*$G24*$M24/$B$3,""))</f>
        <v/>
      </c>
      <c r="S24" s="133">
        <f>IF($B24="","",IFERROR($O24+$B24*$G24*$N24/$B$3,""))</f>
        <v/>
      </c>
      <c r="T24" s="150">
        <f>IF($B24="","",IFERROR($Q24/$Q$5,""))</f>
        <v/>
      </c>
      <c r="U24" s="2">
        <f>IF($B24="","",IF(COUNTIFS('Dvd Calendar'!$E$1309:$AR$1309,"&gt;0",'Dvd Calendar'!$E$1309:$AR$1309,"&lt;="&amp;VAL_DATE,'Dvd Calendar'!$E$1310:$AR$1310,"&gt;"&amp;PROJ_FROM,'Dvd Calendar'!$E$1310:$AR$1310,"&lt;="&amp;WIN_TO)-COUNTIFS('Dvd Calendar'!$E$1309:$AR$1309,"&gt;0",'Dvd Calendar'!$E$1309:$AR$1309,"&lt;="&amp;VAL_DATE,'Dvd Calendar'!$E$1310:$AR$1310,"&gt;"&amp;PROJ_FROM,'Dvd Calendar'!$E$1310:$AR$1310,"&lt;="&amp;WIN_TO,'Dvd Calendar'!$E$1311:$AR$1311,"&gt;=0")&gt;0,"TBA amount - override me",IF((OV_SWITCH="ON")*(COUNTIFS(OVR_TICKERS,$C24,OVR_BASE,"&gt;=0")&gt;0)&gt;0,"overridden",IF($J24+$K24=0,"no dividend in year Y",""))))</f>
        <v/>
      </c>
      <c r="V24" s="133">
        <f>IF($B24="","",IFERROR(IF(ISNUMBER($H24),$B24*$G24*$H24/$B$3,0),""))</f>
        <v/>
      </c>
      <c r="W24" s="133">
        <f>IF($B24="","",IFERROR($B24*$G24*$K24/$B$3,""))</f>
        <v/>
      </c>
      <c r="X24" s="157">
        <f>IF($C24="","",BDP($C24,"PX_LAST"))</f>
        <v/>
      </c>
      <c r="Y24" s="133">
        <f>IF($B24="","",IFERROR($B24*$X24/$B$3,""))</f>
        <v/>
      </c>
      <c r="Z24" s="137">
        <f>IF($B24="","",IFERROR($Y24/$Y$5,""))</f>
        <v/>
      </c>
    </row>
    <row r="25">
      <c r="B25" s="97" t="n"/>
      <c r="C25" s="8">
        <f>IF($A25="","",$A25&amp;" Equity")</f>
        <v/>
      </c>
      <c r="D25" s="8">
        <f>IF($C25="","",BDP($C25,"NAME"))</f>
        <v/>
      </c>
      <c r="E25" s="8">
        <f>IF($C25="","",BDP($C25,"GICS_SECTOR_NAME"))</f>
        <v/>
      </c>
      <c r="F25" s="37">
        <f>IF($C25="","",BDP($C25,FLD_CCY))</f>
        <v/>
      </c>
      <c r="G25" s="111">
        <f>IFERROR(IF(LEN($F25)&lt;&gt;3,1,IF($F25="HKD",1,BDP(IF($F25="CNY",RMB_CROSS,$F25)&amp;"HKD Curncy","PX_LAST"))),1)</f>
        <v/>
      </c>
      <c r="H25" s="133">
        <f>IF($C25="","",BDP($C25,FLD_DPS12M))</f>
        <v/>
      </c>
      <c r="I25" s="126">
        <f>IF($C25="","",BDP($C25,FLD_YLD12M))</f>
        <v/>
      </c>
      <c r="J25" s="128">
        <f>IF($B25="",0,SUMPRODUCT(('Dvd Calendar'!$E$1314:$AR$1314&gt;=WIN_FROM)*('Dvd Calendar'!$E$1314:$AR$1314&lt;=REALIZED_TO)*'Dvd Calendar'!$E$1317:$AR$1317*(('Dvd Calendar'!$E$1319:$AR$1319=TYPE1)*(TYPE1&lt;&gt;"")+('Dvd Calendar'!$E$1319:$AR$1319=TYPE2)*(TYPE2&lt;&gt;"")+('Dvd Calendar'!$E$1319:$AR$1319=TYPE3)*(TYPE3&lt;&gt;"")+('Dvd Calendar'!$E$1319:$AR$1319=TYPE4)*(TYPE4&lt;&gt;"")+('Dvd Calendar'!$E$1319:$AR$1319=SPECIAL_LBL)*(INC_SPECIALS="Y"))))</f>
        <v/>
      </c>
      <c r="K25" s="128">
        <f>IF($B25="",0,SUMIFS('Dvd Calendar'!$E$1322:$AR$1322,'Dvd Calendar'!$E$1321:$AR$1321,"&gt;"&amp;PROJ_FROM,'Dvd Calendar'!$E$1321:$AR$1321,"&lt;="&amp;WIN_TO)+SUMPRODUCT(('Dvd Calendar'!$E$1314:$AR$1314&gt;PROJ_FROM)*('Dvd Calendar'!$E$1314:$AR$1314&lt;=WIN_TO)*'Dvd Calendar'!$E$1317:$AR$1317*(('Dvd Calendar'!$E$1319:$AR$1319=TYPE1)*(TYPE1&lt;&gt;"")+('Dvd Calendar'!$E$1319:$AR$1319=TYPE2)*(TYPE2&lt;&gt;"")+('Dvd Calendar'!$E$1319:$AR$1319=TYPE3)*(TYPE3&lt;&gt;"")+('Dvd Calendar'!$E$1319:$AR$1319=TYPE4)*(TYPE4&lt;&gt;"")+('Dvd Calendar'!$E$1319:$AR$1319=SPECIAL_LBL)*(INC_SPECIALS="Y"))*(COUNTIF('Dvd Calendar'!$E$1321:$AR$1321,'Dvd Calendar'!$E$1314:$AR$1314)=0)))</f>
        <v/>
      </c>
      <c r="L25" s="128">
        <f>IF($B25="",0,IF((OV_SWITCH="ON")*(COUNTIFS(OVR_TICKERS,$C25,OVR_BASE,"&gt;=0")&gt;0)&gt;0,SUMIFS(OVR_BASE,OVR_TICKERS,$C25),$K25))</f>
        <v/>
      </c>
      <c r="M25" s="128">
        <f>IF($B25="",0,IF((OV_SWITCH="ON")*(COUNTIFS(OVR_TICKERS,$C25,OVR_LOW,"&gt;=0")&gt;0)&gt;0,SUMIFS(OVR_LOW,OVR_TICKERS,$C25),$L25))</f>
        <v/>
      </c>
      <c r="N25" s="128">
        <f>IF($B25="",0,IF((OV_SWITCH="ON")*(COUNTIFS(OVR_TICKERS,$C25,OVR_HIGH,"&gt;=0")&gt;0)&gt;0,SUMIFS(OVR_HIGH,OVR_TICKERS,$C25),$L25))</f>
        <v/>
      </c>
      <c r="O25" s="133">
        <f>IF($B25="","",IFERROR($B25*$G25*$J25/$B$3,""))</f>
        <v/>
      </c>
      <c r="P25" s="133">
        <f>IF($B25="","",IFERROR($B25*$G25*$L25/$B$3,""))</f>
        <v/>
      </c>
      <c r="Q25" s="124">
        <f>IF($B25="","",IFERROR($O25+$P25,""))</f>
        <v/>
      </c>
      <c r="R25" s="133">
        <f>IF($B25="","",IFERROR($O25+$B25*$G25*$M25/$B$3,""))</f>
        <v/>
      </c>
      <c r="S25" s="133">
        <f>IF($B25="","",IFERROR($O25+$B25*$G25*$N25/$B$3,""))</f>
        <v/>
      </c>
      <c r="T25" s="150">
        <f>IF($B25="","",IFERROR($Q25/$Q$5,""))</f>
        <v/>
      </c>
      <c r="U25" s="2">
        <f>IF($B25="","",IF(COUNTIFS('Dvd Calendar'!$E$1320:$AR$1320,"&gt;0",'Dvd Calendar'!$E$1320:$AR$1320,"&lt;="&amp;VAL_DATE,'Dvd Calendar'!$E$1321:$AR$1321,"&gt;"&amp;PROJ_FROM,'Dvd Calendar'!$E$1321:$AR$1321,"&lt;="&amp;WIN_TO)-COUNTIFS('Dvd Calendar'!$E$1320:$AR$1320,"&gt;0",'Dvd Calendar'!$E$1320:$AR$1320,"&lt;="&amp;VAL_DATE,'Dvd Calendar'!$E$1321:$AR$1321,"&gt;"&amp;PROJ_FROM,'Dvd Calendar'!$E$1321:$AR$1321,"&lt;="&amp;WIN_TO,'Dvd Calendar'!$E$1322:$AR$1322,"&gt;=0")&gt;0,"TBA amount - override me",IF((OV_SWITCH="ON")*(COUNTIFS(OVR_TICKERS,$C25,OVR_BASE,"&gt;=0")&gt;0)&gt;0,"overridden",IF($J25+$K25=0,"no dividend in year Y",""))))</f>
        <v/>
      </c>
      <c r="V25" s="133">
        <f>IF($B25="","",IFERROR(IF(ISNUMBER($H25),$B25*$G25*$H25/$B$3,0),""))</f>
        <v/>
      </c>
      <c r="W25" s="133">
        <f>IF($B25="","",IFERROR($B25*$G25*$K25/$B$3,""))</f>
        <v/>
      </c>
      <c r="X25" s="157">
        <f>IF($C25="","",BDP($C25,"PX_LAST"))</f>
        <v/>
      </c>
      <c r="Y25" s="133">
        <f>IF($B25="","",IFERROR($B25*$X25/$B$3,""))</f>
        <v/>
      </c>
      <c r="Z25" s="137">
        <f>IF($B25="","",IFERROR($Y25/$Y$5,""))</f>
        <v/>
      </c>
    </row>
    <row r="26">
      <c r="B26" s="97" t="n"/>
      <c r="C26" s="8">
        <f>IF($A26="","",$A26&amp;" Equity")</f>
        <v/>
      </c>
      <c r="D26" s="8">
        <f>IF($C26="","",BDP($C26,"NAME"))</f>
        <v/>
      </c>
      <c r="E26" s="8">
        <f>IF($C26="","",BDP($C26,"GICS_SECTOR_NAME"))</f>
        <v/>
      </c>
      <c r="F26" s="37">
        <f>IF($C26="","",BDP($C26,FLD_CCY))</f>
        <v/>
      </c>
      <c r="G26" s="111">
        <f>IFERROR(IF(LEN($F26)&lt;&gt;3,1,IF($F26="HKD",1,BDP(IF($F26="CNY",RMB_CROSS,$F26)&amp;"HKD Curncy","PX_LAST"))),1)</f>
        <v/>
      </c>
      <c r="H26" s="133">
        <f>IF($C26="","",BDP($C26,FLD_DPS12M))</f>
        <v/>
      </c>
      <c r="I26" s="126">
        <f>IF($C26="","",BDP($C26,FLD_YLD12M))</f>
        <v/>
      </c>
      <c r="J26" s="128">
        <f>IF($B26="",0,SUMPRODUCT(('Dvd Calendar'!$E$1325:$AR$1325&gt;=WIN_FROM)*('Dvd Calendar'!$E$1325:$AR$1325&lt;=REALIZED_TO)*'Dvd Calendar'!$E$1328:$AR$1328*(('Dvd Calendar'!$E$1330:$AR$1330=TYPE1)*(TYPE1&lt;&gt;"")+('Dvd Calendar'!$E$1330:$AR$1330=TYPE2)*(TYPE2&lt;&gt;"")+('Dvd Calendar'!$E$1330:$AR$1330=TYPE3)*(TYPE3&lt;&gt;"")+('Dvd Calendar'!$E$1330:$AR$1330=TYPE4)*(TYPE4&lt;&gt;"")+('Dvd Calendar'!$E$1330:$AR$1330=SPECIAL_LBL)*(INC_SPECIALS="Y"))))</f>
        <v/>
      </c>
      <c r="K26" s="128">
        <f>IF($B26="",0,SUMIFS('Dvd Calendar'!$E$1333:$AR$1333,'Dvd Calendar'!$E$1332:$AR$1332,"&gt;"&amp;PROJ_FROM,'Dvd Calendar'!$E$1332:$AR$1332,"&lt;="&amp;WIN_TO)+SUMPRODUCT(('Dvd Calendar'!$E$1325:$AR$1325&gt;PROJ_FROM)*('Dvd Calendar'!$E$1325:$AR$1325&lt;=WIN_TO)*'Dvd Calendar'!$E$1328:$AR$1328*(('Dvd Calendar'!$E$1330:$AR$1330=TYPE1)*(TYPE1&lt;&gt;"")+('Dvd Calendar'!$E$1330:$AR$1330=TYPE2)*(TYPE2&lt;&gt;"")+('Dvd Calendar'!$E$1330:$AR$1330=TYPE3)*(TYPE3&lt;&gt;"")+('Dvd Calendar'!$E$1330:$AR$1330=TYPE4)*(TYPE4&lt;&gt;"")+('Dvd Calendar'!$E$1330:$AR$1330=SPECIAL_LBL)*(INC_SPECIALS="Y"))*(COUNTIF('Dvd Calendar'!$E$1332:$AR$1332,'Dvd Calendar'!$E$1325:$AR$1325)=0)))</f>
        <v/>
      </c>
      <c r="L26" s="128">
        <f>IF($B26="",0,IF((OV_SWITCH="ON")*(COUNTIFS(OVR_TICKERS,$C26,OVR_BASE,"&gt;=0")&gt;0)&gt;0,SUMIFS(OVR_BASE,OVR_TICKERS,$C26),$K26))</f>
        <v/>
      </c>
      <c r="M26" s="128">
        <f>IF($B26="",0,IF((OV_SWITCH="ON")*(COUNTIFS(OVR_TICKERS,$C26,OVR_LOW,"&gt;=0")&gt;0)&gt;0,SUMIFS(OVR_LOW,OVR_TICKERS,$C26),$L26))</f>
        <v/>
      </c>
      <c r="N26" s="128">
        <f>IF($B26="",0,IF((OV_SWITCH="ON")*(COUNTIFS(OVR_TICKERS,$C26,OVR_HIGH,"&gt;=0")&gt;0)&gt;0,SUMIFS(OVR_HIGH,OVR_TICKERS,$C26),$L26))</f>
        <v/>
      </c>
      <c r="O26" s="133">
        <f>IF($B26="","",IFERROR($B26*$G26*$J26/$B$3,""))</f>
        <v/>
      </c>
      <c r="P26" s="133">
        <f>IF($B26="","",IFERROR($B26*$G26*$L26/$B$3,""))</f>
        <v/>
      </c>
      <c r="Q26" s="124">
        <f>IF($B26="","",IFERROR($O26+$P26,""))</f>
        <v/>
      </c>
      <c r="R26" s="133">
        <f>IF($B26="","",IFERROR($O26+$B26*$G26*$M26/$B$3,""))</f>
        <v/>
      </c>
      <c r="S26" s="133">
        <f>IF($B26="","",IFERROR($O26+$B26*$G26*$N26/$B$3,""))</f>
        <v/>
      </c>
      <c r="T26" s="150">
        <f>IF($B26="","",IFERROR($Q26/$Q$5,""))</f>
        <v/>
      </c>
      <c r="U26" s="2">
        <f>IF($B26="","",IF(COUNTIFS('Dvd Calendar'!$E$1331:$AR$1331,"&gt;0",'Dvd Calendar'!$E$1331:$AR$1331,"&lt;="&amp;VAL_DATE,'Dvd Calendar'!$E$1332:$AR$1332,"&gt;"&amp;PROJ_FROM,'Dvd Calendar'!$E$1332:$AR$1332,"&lt;="&amp;WIN_TO)-COUNTIFS('Dvd Calendar'!$E$1331:$AR$1331,"&gt;0",'Dvd Calendar'!$E$1331:$AR$1331,"&lt;="&amp;VAL_DATE,'Dvd Calendar'!$E$1332:$AR$1332,"&gt;"&amp;PROJ_FROM,'Dvd Calendar'!$E$1332:$AR$1332,"&lt;="&amp;WIN_TO,'Dvd Calendar'!$E$1333:$AR$1333,"&gt;=0")&gt;0,"TBA amount - override me",IF((OV_SWITCH="ON")*(COUNTIFS(OVR_TICKERS,$C26,OVR_BASE,"&gt;=0")&gt;0)&gt;0,"overridden",IF($J26+$K26=0,"no dividend in year Y",""))))</f>
        <v/>
      </c>
      <c r="V26" s="133">
        <f>IF($B26="","",IFERROR(IF(ISNUMBER($H26),$B26*$G26*$H26/$B$3,0),""))</f>
        <v/>
      </c>
      <c r="W26" s="133">
        <f>IF($B26="","",IFERROR($B26*$G26*$K26/$B$3,""))</f>
        <v/>
      </c>
      <c r="X26" s="157">
        <f>IF($C26="","",BDP($C26,"PX_LAST"))</f>
        <v/>
      </c>
      <c r="Y26" s="133">
        <f>IF($B26="","",IFERROR($B26*$X26/$B$3,""))</f>
        <v/>
      </c>
      <c r="Z26" s="137">
        <f>IF($B26="","",IFERROR($Y26/$Y$5,""))</f>
        <v/>
      </c>
    </row>
    <row r="27">
      <c r="B27" s="97" t="n"/>
      <c r="C27" s="8">
        <f>IF($A27="","",$A27&amp;" Equity")</f>
        <v/>
      </c>
      <c r="D27" s="8">
        <f>IF($C27="","",BDP($C27,"NAME"))</f>
        <v/>
      </c>
      <c r="E27" s="8">
        <f>IF($C27="","",BDP($C27,"GICS_SECTOR_NAME"))</f>
        <v/>
      </c>
      <c r="F27" s="37">
        <f>IF($C27="","",BDP($C27,FLD_CCY))</f>
        <v/>
      </c>
      <c r="G27" s="111">
        <f>IFERROR(IF(LEN($F27)&lt;&gt;3,1,IF($F27="HKD",1,BDP(IF($F27="CNY",RMB_CROSS,$F27)&amp;"HKD Curncy","PX_LAST"))),1)</f>
        <v/>
      </c>
      <c r="H27" s="133">
        <f>IF($C27="","",BDP($C27,FLD_DPS12M))</f>
        <v/>
      </c>
      <c r="I27" s="126">
        <f>IF($C27="","",BDP($C27,FLD_YLD12M))</f>
        <v/>
      </c>
      <c r="J27" s="128">
        <f>IF($B27="",0,SUMPRODUCT(('Dvd Calendar'!$E$1336:$AR$1336&gt;=WIN_FROM)*('Dvd Calendar'!$E$1336:$AR$1336&lt;=REALIZED_TO)*'Dvd Calendar'!$E$1339:$AR$1339*(('Dvd Calendar'!$E$1341:$AR$1341=TYPE1)*(TYPE1&lt;&gt;"")+('Dvd Calendar'!$E$1341:$AR$1341=TYPE2)*(TYPE2&lt;&gt;"")+('Dvd Calendar'!$E$1341:$AR$1341=TYPE3)*(TYPE3&lt;&gt;"")+('Dvd Calendar'!$E$1341:$AR$1341=TYPE4)*(TYPE4&lt;&gt;"")+('Dvd Calendar'!$E$1341:$AR$1341=SPECIAL_LBL)*(INC_SPECIALS="Y"))))</f>
        <v/>
      </c>
      <c r="K27" s="128">
        <f>IF($B27="",0,SUMIFS('Dvd Calendar'!$E$1344:$AR$1344,'Dvd Calendar'!$E$1343:$AR$1343,"&gt;"&amp;PROJ_FROM,'Dvd Calendar'!$E$1343:$AR$1343,"&lt;="&amp;WIN_TO)+SUMPRODUCT(('Dvd Calendar'!$E$1336:$AR$1336&gt;PROJ_FROM)*('Dvd Calendar'!$E$1336:$AR$1336&lt;=WIN_TO)*'Dvd Calendar'!$E$1339:$AR$1339*(('Dvd Calendar'!$E$1341:$AR$1341=TYPE1)*(TYPE1&lt;&gt;"")+('Dvd Calendar'!$E$1341:$AR$1341=TYPE2)*(TYPE2&lt;&gt;"")+('Dvd Calendar'!$E$1341:$AR$1341=TYPE3)*(TYPE3&lt;&gt;"")+('Dvd Calendar'!$E$1341:$AR$1341=TYPE4)*(TYPE4&lt;&gt;"")+('Dvd Calendar'!$E$1341:$AR$1341=SPECIAL_LBL)*(INC_SPECIALS="Y"))*(COUNTIF('Dvd Calendar'!$E$1343:$AR$1343,'Dvd Calendar'!$E$1336:$AR$1336)=0)))</f>
        <v/>
      </c>
      <c r="L27" s="128">
        <f>IF($B27="",0,IF((OV_SWITCH="ON")*(COUNTIFS(OVR_TICKERS,$C27,OVR_BASE,"&gt;=0")&gt;0)&gt;0,SUMIFS(OVR_BASE,OVR_TICKERS,$C27),$K27))</f>
        <v/>
      </c>
      <c r="M27" s="128">
        <f>IF($B27="",0,IF((OV_SWITCH="ON")*(COUNTIFS(OVR_TICKERS,$C27,OVR_LOW,"&gt;=0")&gt;0)&gt;0,SUMIFS(OVR_LOW,OVR_TICKERS,$C27),$L27))</f>
        <v/>
      </c>
      <c r="N27" s="128">
        <f>IF($B27="",0,IF((OV_SWITCH="ON")*(COUNTIFS(OVR_TICKERS,$C27,OVR_HIGH,"&gt;=0")&gt;0)&gt;0,SUMIFS(OVR_HIGH,OVR_TICKERS,$C27),$L27))</f>
        <v/>
      </c>
      <c r="O27" s="133">
        <f>IF($B27="","",IFERROR($B27*$G27*$J27/$B$3,""))</f>
        <v/>
      </c>
      <c r="P27" s="133">
        <f>IF($B27="","",IFERROR($B27*$G27*$L27/$B$3,""))</f>
        <v/>
      </c>
      <c r="Q27" s="124">
        <f>IF($B27="","",IFERROR($O27+$P27,""))</f>
        <v/>
      </c>
      <c r="R27" s="133">
        <f>IF($B27="","",IFERROR($O27+$B27*$G27*$M27/$B$3,""))</f>
        <v/>
      </c>
      <c r="S27" s="133">
        <f>IF($B27="","",IFERROR($O27+$B27*$G27*$N27/$B$3,""))</f>
        <v/>
      </c>
      <c r="T27" s="150">
        <f>IF($B27="","",IFERROR($Q27/$Q$5,""))</f>
        <v/>
      </c>
      <c r="U27" s="2">
        <f>IF($B27="","",IF(COUNTIFS('Dvd Calendar'!$E$1342:$AR$1342,"&gt;0",'Dvd Calendar'!$E$1342:$AR$1342,"&lt;="&amp;VAL_DATE,'Dvd Calendar'!$E$1343:$AR$1343,"&gt;"&amp;PROJ_FROM,'Dvd Calendar'!$E$1343:$AR$1343,"&lt;="&amp;WIN_TO)-COUNTIFS('Dvd Calendar'!$E$1342:$AR$1342,"&gt;0",'Dvd Calendar'!$E$1342:$AR$1342,"&lt;="&amp;VAL_DATE,'Dvd Calendar'!$E$1343:$AR$1343,"&gt;"&amp;PROJ_FROM,'Dvd Calendar'!$E$1343:$AR$1343,"&lt;="&amp;WIN_TO,'Dvd Calendar'!$E$1344:$AR$1344,"&gt;=0")&gt;0,"TBA amount - override me",IF((OV_SWITCH="ON")*(COUNTIFS(OVR_TICKERS,$C27,OVR_BASE,"&gt;=0")&gt;0)&gt;0,"overridden",IF($J27+$K27=0,"no dividend in year Y",""))))</f>
        <v/>
      </c>
      <c r="V27" s="133">
        <f>IF($B27="","",IFERROR(IF(ISNUMBER($H27),$B27*$G27*$H27/$B$3,0),""))</f>
        <v/>
      </c>
      <c r="W27" s="133">
        <f>IF($B27="","",IFERROR($B27*$G27*$K27/$B$3,""))</f>
        <v/>
      </c>
      <c r="X27" s="157">
        <f>IF($C27="","",BDP($C27,"PX_LAST"))</f>
        <v/>
      </c>
      <c r="Y27" s="133">
        <f>IF($B27="","",IFERROR($B27*$X27/$B$3,""))</f>
        <v/>
      </c>
      <c r="Z27" s="137">
        <f>IF($B27="","",IFERROR($Y27/$Y$5,""))</f>
        <v/>
      </c>
    </row>
    <row r="28">
      <c r="B28" s="97" t="n"/>
      <c r="C28" s="8">
        <f>IF($A28="","",$A28&amp;" Equity")</f>
        <v/>
      </c>
      <c r="D28" s="8">
        <f>IF($C28="","",BDP($C28,"NAME"))</f>
        <v/>
      </c>
      <c r="E28" s="8">
        <f>IF($C28="","",BDP($C28,"GICS_SECTOR_NAME"))</f>
        <v/>
      </c>
      <c r="F28" s="37">
        <f>IF($C28="","",BDP($C28,FLD_CCY))</f>
        <v/>
      </c>
      <c r="G28" s="111">
        <f>IFERROR(IF(LEN($F28)&lt;&gt;3,1,IF($F28="HKD",1,BDP(IF($F28="CNY",RMB_CROSS,$F28)&amp;"HKD Curncy","PX_LAST"))),1)</f>
        <v/>
      </c>
      <c r="H28" s="133">
        <f>IF($C28="","",BDP($C28,FLD_DPS12M))</f>
        <v/>
      </c>
      <c r="I28" s="126">
        <f>IF($C28="","",BDP($C28,FLD_YLD12M))</f>
        <v/>
      </c>
      <c r="J28" s="128">
        <f>IF($B28="",0,SUMPRODUCT(('Dvd Calendar'!$E$1347:$AR$1347&gt;=WIN_FROM)*('Dvd Calendar'!$E$1347:$AR$1347&lt;=REALIZED_TO)*'Dvd Calendar'!$E$1350:$AR$1350*(('Dvd Calendar'!$E$1352:$AR$1352=TYPE1)*(TYPE1&lt;&gt;"")+('Dvd Calendar'!$E$1352:$AR$1352=TYPE2)*(TYPE2&lt;&gt;"")+('Dvd Calendar'!$E$1352:$AR$1352=TYPE3)*(TYPE3&lt;&gt;"")+('Dvd Calendar'!$E$1352:$AR$1352=TYPE4)*(TYPE4&lt;&gt;"")+('Dvd Calendar'!$E$1352:$AR$1352=SPECIAL_LBL)*(INC_SPECIALS="Y"))))</f>
        <v/>
      </c>
      <c r="K28" s="128">
        <f>IF($B28="",0,SUMIFS('Dvd Calendar'!$E$1355:$AR$1355,'Dvd Calendar'!$E$1354:$AR$1354,"&gt;"&amp;PROJ_FROM,'Dvd Calendar'!$E$1354:$AR$1354,"&lt;="&amp;WIN_TO)+SUMPRODUCT(('Dvd Calendar'!$E$1347:$AR$1347&gt;PROJ_FROM)*('Dvd Calendar'!$E$1347:$AR$1347&lt;=WIN_TO)*'Dvd Calendar'!$E$1350:$AR$1350*(('Dvd Calendar'!$E$1352:$AR$1352=TYPE1)*(TYPE1&lt;&gt;"")+('Dvd Calendar'!$E$1352:$AR$1352=TYPE2)*(TYPE2&lt;&gt;"")+('Dvd Calendar'!$E$1352:$AR$1352=TYPE3)*(TYPE3&lt;&gt;"")+('Dvd Calendar'!$E$1352:$AR$1352=TYPE4)*(TYPE4&lt;&gt;"")+('Dvd Calendar'!$E$1352:$AR$1352=SPECIAL_LBL)*(INC_SPECIALS="Y"))*(COUNTIF('Dvd Calendar'!$E$1354:$AR$1354,'Dvd Calendar'!$E$1347:$AR$1347)=0)))</f>
        <v/>
      </c>
      <c r="L28" s="128">
        <f>IF($B28="",0,IF((OV_SWITCH="ON")*(COUNTIFS(OVR_TICKERS,$C28,OVR_BASE,"&gt;=0")&gt;0)&gt;0,SUMIFS(OVR_BASE,OVR_TICKERS,$C28),$K28))</f>
        <v/>
      </c>
      <c r="M28" s="128">
        <f>IF($B28="",0,IF((OV_SWITCH="ON")*(COUNTIFS(OVR_TICKERS,$C28,OVR_LOW,"&gt;=0")&gt;0)&gt;0,SUMIFS(OVR_LOW,OVR_TICKERS,$C28),$L28))</f>
        <v/>
      </c>
      <c r="N28" s="128">
        <f>IF($B28="",0,IF((OV_SWITCH="ON")*(COUNTIFS(OVR_TICKERS,$C28,OVR_HIGH,"&gt;=0")&gt;0)&gt;0,SUMIFS(OVR_HIGH,OVR_TICKERS,$C28),$L28))</f>
        <v/>
      </c>
      <c r="O28" s="133">
        <f>IF($B28="","",IFERROR($B28*$G28*$J28/$B$3,""))</f>
        <v/>
      </c>
      <c r="P28" s="133">
        <f>IF($B28="","",IFERROR($B28*$G28*$L28/$B$3,""))</f>
        <v/>
      </c>
      <c r="Q28" s="124">
        <f>IF($B28="","",IFERROR($O28+$P28,""))</f>
        <v/>
      </c>
      <c r="R28" s="133">
        <f>IF($B28="","",IFERROR($O28+$B28*$G28*$M28/$B$3,""))</f>
        <v/>
      </c>
      <c r="S28" s="133">
        <f>IF($B28="","",IFERROR($O28+$B28*$G28*$N28/$B$3,""))</f>
        <v/>
      </c>
      <c r="T28" s="150">
        <f>IF($B28="","",IFERROR($Q28/$Q$5,""))</f>
        <v/>
      </c>
      <c r="U28" s="2">
        <f>IF($B28="","",IF(COUNTIFS('Dvd Calendar'!$E$1353:$AR$1353,"&gt;0",'Dvd Calendar'!$E$1353:$AR$1353,"&lt;="&amp;VAL_DATE,'Dvd Calendar'!$E$1354:$AR$1354,"&gt;"&amp;PROJ_FROM,'Dvd Calendar'!$E$1354:$AR$1354,"&lt;="&amp;WIN_TO)-COUNTIFS('Dvd Calendar'!$E$1353:$AR$1353,"&gt;0",'Dvd Calendar'!$E$1353:$AR$1353,"&lt;="&amp;VAL_DATE,'Dvd Calendar'!$E$1354:$AR$1354,"&gt;"&amp;PROJ_FROM,'Dvd Calendar'!$E$1354:$AR$1354,"&lt;="&amp;WIN_TO,'Dvd Calendar'!$E$1355:$AR$1355,"&gt;=0")&gt;0,"TBA amount - override me",IF((OV_SWITCH="ON")*(COUNTIFS(OVR_TICKERS,$C28,OVR_BASE,"&gt;=0")&gt;0)&gt;0,"overridden",IF($J28+$K28=0,"no dividend in year Y",""))))</f>
        <v/>
      </c>
      <c r="V28" s="133">
        <f>IF($B28="","",IFERROR(IF(ISNUMBER($H28),$B28*$G28*$H28/$B$3,0),""))</f>
        <v/>
      </c>
      <c r="W28" s="133">
        <f>IF($B28="","",IFERROR($B28*$G28*$K28/$B$3,""))</f>
        <v/>
      </c>
      <c r="X28" s="157">
        <f>IF($C28="","",BDP($C28,"PX_LAST"))</f>
        <v/>
      </c>
      <c r="Y28" s="133">
        <f>IF($B28="","",IFERROR($B28*$X28/$B$3,""))</f>
        <v/>
      </c>
      <c r="Z28" s="137">
        <f>IF($B28="","",IFERROR($Y28/$Y$5,""))</f>
        <v/>
      </c>
    </row>
    <row r="29">
      <c r="B29" s="97" t="n"/>
      <c r="C29" s="8">
        <f>IF($A29="","",$A29&amp;" Equity")</f>
        <v/>
      </c>
      <c r="D29" s="8">
        <f>IF($C29="","",BDP($C29,"NAME"))</f>
        <v/>
      </c>
      <c r="E29" s="8">
        <f>IF($C29="","",BDP($C29,"GICS_SECTOR_NAME"))</f>
        <v/>
      </c>
      <c r="F29" s="37">
        <f>IF($C29="","",BDP($C29,FLD_CCY))</f>
        <v/>
      </c>
      <c r="G29" s="111">
        <f>IFERROR(IF(LEN($F29)&lt;&gt;3,1,IF($F29="HKD",1,BDP(IF($F29="CNY",RMB_CROSS,$F29)&amp;"HKD Curncy","PX_LAST"))),1)</f>
        <v/>
      </c>
      <c r="H29" s="133">
        <f>IF($C29="","",BDP($C29,FLD_DPS12M))</f>
        <v/>
      </c>
      <c r="I29" s="126">
        <f>IF($C29="","",BDP($C29,FLD_YLD12M))</f>
        <v/>
      </c>
      <c r="J29" s="128">
        <f>IF($B29="",0,SUMPRODUCT(('Dvd Calendar'!$E$1358:$AR$1358&gt;=WIN_FROM)*('Dvd Calendar'!$E$1358:$AR$1358&lt;=REALIZED_TO)*'Dvd Calendar'!$E$1361:$AR$1361*(('Dvd Calendar'!$E$1363:$AR$1363=TYPE1)*(TYPE1&lt;&gt;"")+('Dvd Calendar'!$E$1363:$AR$1363=TYPE2)*(TYPE2&lt;&gt;"")+('Dvd Calendar'!$E$1363:$AR$1363=TYPE3)*(TYPE3&lt;&gt;"")+('Dvd Calendar'!$E$1363:$AR$1363=TYPE4)*(TYPE4&lt;&gt;"")+('Dvd Calendar'!$E$1363:$AR$1363=SPECIAL_LBL)*(INC_SPECIALS="Y"))))</f>
        <v/>
      </c>
      <c r="K29" s="128">
        <f>IF($B29="",0,SUMIFS('Dvd Calendar'!$E$1366:$AR$1366,'Dvd Calendar'!$E$1365:$AR$1365,"&gt;"&amp;PROJ_FROM,'Dvd Calendar'!$E$1365:$AR$1365,"&lt;="&amp;WIN_TO)+SUMPRODUCT(('Dvd Calendar'!$E$1358:$AR$1358&gt;PROJ_FROM)*('Dvd Calendar'!$E$1358:$AR$1358&lt;=WIN_TO)*'Dvd Calendar'!$E$1361:$AR$1361*(('Dvd Calendar'!$E$1363:$AR$1363=TYPE1)*(TYPE1&lt;&gt;"")+('Dvd Calendar'!$E$1363:$AR$1363=TYPE2)*(TYPE2&lt;&gt;"")+('Dvd Calendar'!$E$1363:$AR$1363=TYPE3)*(TYPE3&lt;&gt;"")+('Dvd Calendar'!$E$1363:$AR$1363=TYPE4)*(TYPE4&lt;&gt;"")+('Dvd Calendar'!$E$1363:$AR$1363=SPECIAL_LBL)*(INC_SPECIALS="Y"))*(COUNTIF('Dvd Calendar'!$E$1365:$AR$1365,'Dvd Calendar'!$E$1358:$AR$1358)=0)))</f>
        <v/>
      </c>
      <c r="L29" s="128">
        <f>IF($B29="",0,IF((OV_SWITCH="ON")*(COUNTIFS(OVR_TICKERS,$C29,OVR_BASE,"&gt;=0")&gt;0)&gt;0,SUMIFS(OVR_BASE,OVR_TICKERS,$C29),$K29))</f>
        <v/>
      </c>
      <c r="M29" s="128">
        <f>IF($B29="",0,IF((OV_SWITCH="ON")*(COUNTIFS(OVR_TICKERS,$C29,OVR_LOW,"&gt;=0")&gt;0)&gt;0,SUMIFS(OVR_LOW,OVR_TICKERS,$C29),$L29))</f>
        <v/>
      </c>
      <c r="N29" s="128">
        <f>IF($B29="",0,IF((OV_SWITCH="ON")*(COUNTIFS(OVR_TICKERS,$C29,OVR_HIGH,"&gt;=0")&gt;0)&gt;0,SUMIFS(OVR_HIGH,OVR_TICKERS,$C29),$L29))</f>
        <v/>
      </c>
      <c r="O29" s="133">
        <f>IF($B29="","",IFERROR($B29*$G29*$J29/$B$3,""))</f>
        <v/>
      </c>
      <c r="P29" s="133">
        <f>IF($B29="","",IFERROR($B29*$G29*$L29/$B$3,""))</f>
        <v/>
      </c>
      <c r="Q29" s="124">
        <f>IF($B29="","",IFERROR($O29+$P29,""))</f>
        <v/>
      </c>
      <c r="R29" s="133">
        <f>IF($B29="","",IFERROR($O29+$B29*$G29*$M29/$B$3,""))</f>
        <v/>
      </c>
      <c r="S29" s="133">
        <f>IF($B29="","",IFERROR($O29+$B29*$G29*$N29/$B$3,""))</f>
        <v/>
      </c>
      <c r="T29" s="150">
        <f>IF($B29="","",IFERROR($Q29/$Q$5,""))</f>
        <v/>
      </c>
      <c r="U29" s="2">
        <f>IF($B29="","",IF(COUNTIFS('Dvd Calendar'!$E$1364:$AR$1364,"&gt;0",'Dvd Calendar'!$E$1364:$AR$1364,"&lt;="&amp;VAL_DATE,'Dvd Calendar'!$E$1365:$AR$1365,"&gt;"&amp;PROJ_FROM,'Dvd Calendar'!$E$1365:$AR$1365,"&lt;="&amp;WIN_TO)-COUNTIFS('Dvd Calendar'!$E$1364:$AR$1364,"&gt;0",'Dvd Calendar'!$E$1364:$AR$1364,"&lt;="&amp;VAL_DATE,'Dvd Calendar'!$E$1365:$AR$1365,"&gt;"&amp;PROJ_FROM,'Dvd Calendar'!$E$1365:$AR$1365,"&lt;="&amp;WIN_TO,'Dvd Calendar'!$E$1366:$AR$1366,"&gt;=0")&gt;0,"TBA amount - override me",IF((OV_SWITCH="ON")*(COUNTIFS(OVR_TICKERS,$C29,OVR_BASE,"&gt;=0")&gt;0)&gt;0,"overridden",IF($J29+$K29=0,"no dividend in year Y",""))))</f>
        <v/>
      </c>
      <c r="V29" s="133">
        <f>IF($B29="","",IFERROR(IF(ISNUMBER($H29),$B29*$G29*$H29/$B$3,0),""))</f>
        <v/>
      </c>
      <c r="W29" s="133">
        <f>IF($B29="","",IFERROR($B29*$G29*$K29/$B$3,""))</f>
        <v/>
      </c>
      <c r="X29" s="157">
        <f>IF($C29="","",BDP($C29,"PX_LAST"))</f>
        <v/>
      </c>
      <c r="Y29" s="133">
        <f>IF($B29="","",IFERROR($B29*$X29/$B$3,""))</f>
        <v/>
      </c>
      <c r="Z29" s="137">
        <f>IF($B29="","",IFERROR($Y29/$Y$5,""))</f>
        <v/>
      </c>
    </row>
    <row r="30">
      <c r="B30" s="97" t="n"/>
      <c r="C30" s="8">
        <f>IF($A30="","",$A30&amp;" Equity")</f>
        <v/>
      </c>
      <c r="D30" s="8">
        <f>IF($C30="","",BDP($C30,"NAME"))</f>
        <v/>
      </c>
      <c r="E30" s="8">
        <f>IF($C30="","",BDP($C30,"GICS_SECTOR_NAME"))</f>
        <v/>
      </c>
      <c r="F30" s="37">
        <f>IF($C30="","",BDP($C30,FLD_CCY))</f>
        <v/>
      </c>
      <c r="G30" s="111">
        <f>IFERROR(IF(LEN($F30)&lt;&gt;3,1,IF($F30="HKD",1,BDP(IF($F30="CNY",RMB_CROSS,$F30)&amp;"HKD Curncy","PX_LAST"))),1)</f>
        <v/>
      </c>
      <c r="H30" s="133">
        <f>IF($C30="","",BDP($C30,FLD_DPS12M))</f>
        <v/>
      </c>
      <c r="I30" s="126">
        <f>IF($C30="","",BDP($C30,FLD_YLD12M))</f>
        <v/>
      </c>
      <c r="J30" s="128">
        <f>IF($B30="",0,SUMPRODUCT(('Dvd Calendar'!$E$1369:$AR$1369&gt;=WIN_FROM)*('Dvd Calendar'!$E$1369:$AR$1369&lt;=REALIZED_TO)*'Dvd Calendar'!$E$1372:$AR$1372*(('Dvd Calendar'!$E$1374:$AR$1374=TYPE1)*(TYPE1&lt;&gt;"")+('Dvd Calendar'!$E$1374:$AR$1374=TYPE2)*(TYPE2&lt;&gt;"")+('Dvd Calendar'!$E$1374:$AR$1374=TYPE3)*(TYPE3&lt;&gt;"")+('Dvd Calendar'!$E$1374:$AR$1374=TYPE4)*(TYPE4&lt;&gt;"")+('Dvd Calendar'!$E$1374:$AR$1374=SPECIAL_LBL)*(INC_SPECIALS="Y"))))</f>
        <v/>
      </c>
      <c r="K30" s="128">
        <f>IF($B30="",0,SUMIFS('Dvd Calendar'!$E$1377:$AR$1377,'Dvd Calendar'!$E$1376:$AR$1376,"&gt;"&amp;PROJ_FROM,'Dvd Calendar'!$E$1376:$AR$1376,"&lt;="&amp;WIN_TO)+SUMPRODUCT(('Dvd Calendar'!$E$1369:$AR$1369&gt;PROJ_FROM)*('Dvd Calendar'!$E$1369:$AR$1369&lt;=WIN_TO)*'Dvd Calendar'!$E$1372:$AR$1372*(('Dvd Calendar'!$E$1374:$AR$1374=TYPE1)*(TYPE1&lt;&gt;"")+('Dvd Calendar'!$E$1374:$AR$1374=TYPE2)*(TYPE2&lt;&gt;"")+('Dvd Calendar'!$E$1374:$AR$1374=TYPE3)*(TYPE3&lt;&gt;"")+('Dvd Calendar'!$E$1374:$AR$1374=TYPE4)*(TYPE4&lt;&gt;"")+('Dvd Calendar'!$E$1374:$AR$1374=SPECIAL_LBL)*(INC_SPECIALS="Y"))*(COUNTIF('Dvd Calendar'!$E$1376:$AR$1376,'Dvd Calendar'!$E$1369:$AR$1369)=0)))</f>
        <v/>
      </c>
      <c r="L30" s="128">
        <f>IF($B30="",0,IF((OV_SWITCH="ON")*(COUNTIFS(OVR_TICKERS,$C30,OVR_BASE,"&gt;=0")&gt;0)&gt;0,SUMIFS(OVR_BASE,OVR_TICKERS,$C30),$K30))</f>
        <v/>
      </c>
      <c r="M30" s="128">
        <f>IF($B30="",0,IF((OV_SWITCH="ON")*(COUNTIFS(OVR_TICKERS,$C30,OVR_LOW,"&gt;=0")&gt;0)&gt;0,SUMIFS(OVR_LOW,OVR_TICKERS,$C30),$L30))</f>
        <v/>
      </c>
      <c r="N30" s="128">
        <f>IF($B30="",0,IF((OV_SWITCH="ON")*(COUNTIFS(OVR_TICKERS,$C30,OVR_HIGH,"&gt;=0")&gt;0)&gt;0,SUMIFS(OVR_HIGH,OVR_TICKERS,$C30),$L30))</f>
        <v/>
      </c>
      <c r="O30" s="133">
        <f>IF($B30="","",IFERROR($B30*$G30*$J30/$B$3,""))</f>
        <v/>
      </c>
      <c r="P30" s="133">
        <f>IF($B30="","",IFERROR($B30*$G30*$L30/$B$3,""))</f>
        <v/>
      </c>
      <c r="Q30" s="124">
        <f>IF($B30="","",IFERROR($O30+$P30,""))</f>
        <v/>
      </c>
      <c r="R30" s="133">
        <f>IF($B30="","",IFERROR($O30+$B30*$G30*$M30/$B$3,""))</f>
        <v/>
      </c>
      <c r="S30" s="133">
        <f>IF($B30="","",IFERROR($O30+$B30*$G30*$N30/$B$3,""))</f>
        <v/>
      </c>
      <c r="T30" s="150">
        <f>IF($B30="","",IFERROR($Q30/$Q$5,""))</f>
        <v/>
      </c>
      <c r="U30" s="2">
        <f>IF($B30="","",IF(COUNTIFS('Dvd Calendar'!$E$1375:$AR$1375,"&gt;0",'Dvd Calendar'!$E$1375:$AR$1375,"&lt;="&amp;VAL_DATE,'Dvd Calendar'!$E$1376:$AR$1376,"&gt;"&amp;PROJ_FROM,'Dvd Calendar'!$E$1376:$AR$1376,"&lt;="&amp;WIN_TO)-COUNTIFS('Dvd Calendar'!$E$1375:$AR$1375,"&gt;0",'Dvd Calendar'!$E$1375:$AR$1375,"&lt;="&amp;VAL_DATE,'Dvd Calendar'!$E$1376:$AR$1376,"&gt;"&amp;PROJ_FROM,'Dvd Calendar'!$E$1376:$AR$1376,"&lt;="&amp;WIN_TO,'Dvd Calendar'!$E$1377:$AR$1377,"&gt;=0")&gt;0,"TBA amount - override me",IF((OV_SWITCH="ON")*(COUNTIFS(OVR_TICKERS,$C30,OVR_BASE,"&gt;=0")&gt;0)&gt;0,"overridden",IF($J30+$K30=0,"no dividend in year Y",""))))</f>
        <v/>
      </c>
      <c r="V30" s="133">
        <f>IF($B30="","",IFERROR(IF(ISNUMBER($H30),$B30*$G30*$H30/$B$3,0),""))</f>
        <v/>
      </c>
      <c r="W30" s="133">
        <f>IF($B30="","",IFERROR($B30*$G30*$K30/$B$3,""))</f>
        <v/>
      </c>
      <c r="X30" s="157">
        <f>IF($C30="","",BDP($C30,"PX_LAST"))</f>
        <v/>
      </c>
      <c r="Y30" s="133">
        <f>IF($B30="","",IFERROR($B30*$X30/$B$3,""))</f>
        <v/>
      </c>
      <c r="Z30" s="137">
        <f>IF($B30="","",IFERROR($Y30/$Y$5,""))</f>
        <v/>
      </c>
    </row>
    <row r="31">
      <c r="B31" s="97" t="n"/>
      <c r="C31" s="8">
        <f>IF($A31="","",$A31&amp;" Equity")</f>
        <v/>
      </c>
      <c r="D31" s="8">
        <f>IF($C31="","",BDP($C31,"NAME"))</f>
        <v/>
      </c>
      <c r="E31" s="8">
        <f>IF($C31="","",BDP($C31,"GICS_SECTOR_NAME"))</f>
        <v/>
      </c>
      <c r="F31" s="37">
        <f>IF($C31="","",BDP($C31,FLD_CCY))</f>
        <v/>
      </c>
      <c r="G31" s="111">
        <f>IFERROR(IF(LEN($F31)&lt;&gt;3,1,IF($F31="HKD",1,BDP(IF($F31="CNY",RMB_CROSS,$F31)&amp;"HKD Curncy","PX_LAST"))),1)</f>
        <v/>
      </c>
      <c r="H31" s="133">
        <f>IF($C31="","",BDP($C31,FLD_DPS12M))</f>
        <v/>
      </c>
      <c r="I31" s="126">
        <f>IF($C31="","",BDP($C31,FLD_YLD12M))</f>
        <v/>
      </c>
      <c r="J31" s="128">
        <f>IF($B31="",0,SUMPRODUCT(('Dvd Calendar'!$E$1380:$AR$1380&gt;=WIN_FROM)*('Dvd Calendar'!$E$1380:$AR$1380&lt;=REALIZED_TO)*'Dvd Calendar'!$E$1383:$AR$1383*(('Dvd Calendar'!$E$1385:$AR$1385=TYPE1)*(TYPE1&lt;&gt;"")+('Dvd Calendar'!$E$1385:$AR$1385=TYPE2)*(TYPE2&lt;&gt;"")+('Dvd Calendar'!$E$1385:$AR$1385=TYPE3)*(TYPE3&lt;&gt;"")+('Dvd Calendar'!$E$1385:$AR$1385=TYPE4)*(TYPE4&lt;&gt;"")+('Dvd Calendar'!$E$1385:$AR$1385=SPECIAL_LBL)*(INC_SPECIALS="Y"))))</f>
        <v/>
      </c>
      <c r="K31" s="128">
        <f>IF($B31="",0,SUMIFS('Dvd Calendar'!$E$1388:$AR$1388,'Dvd Calendar'!$E$1387:$AR$1387,"&gt;"&amp;PROJ_FROM,'Dvd Calendar'!$E$1387:$AR$1387,"&lt;="&amp;WIN_TO)+SUMPRODUCT(('Dvd Calendar'!$E$1380:$AR$1380&gt;PROJ_FROM)*('Dvd Calendar'!$E$1380:$AR$1380&lt;=WIN_TO)*'Dvd Calendar'!$E$1383:$AR$1383*(('Dvd Calendar'!$E$1385:$AR$1385=TYPE1)*(TYPE1&lt;&gt;"")+('Dvd Calendar'!$E$1385:$AR$1385=TYPE2)*(TYPE2&lt;&gt;"")+('Dvd Calendar'!$E$1385:$AR$1385=TYPE3)*(TYPE3&lt;&gt;"")+('Dvd Calendar'!$E$1385:$AR$1385=TYPE4)*(TYPE4&lt;&gt;"")+('Dvd Calendar'!$E$1385:$AR$1385=SPECIAL_LBL)*(INC_SPECIALS="Y"))*(COUNTIF('Dvd Calendar'!$E$1387:$AR$1387,'Dvd Calendar'!$E$1380:$AR$1380)=0)))</f>
        <v/>
      </c>
      <c r="L31" s="128">
        <f>IF($B31="",0,IF((OV_SWITCH="ON")*(COUNTIFS(OVR_TICKERS,$C31,OVR_BASE,"&gt;=0")&gt;0)&gt;0,SUMIFS(OVR_BASE,OVR_TICKERS,$C31),$K31))</f>
        <v/>
      </c>
      <c r="M31" s="128">
        <f>IF($B31="",0,IF((OV_SWITCH="ON")*(COUNTIFS(OVR_TICKERS,$C31,OVR_LOW,"&gt;=0")&gt;0)&gt;0,SUMIFS(OVR_LOW,OVR_TICKERS,$C31),$L31))</f>
        <v/>
      </c>
      <c r="N31" s="128">
        <f>IF($B31="",0,IF((OV_SWITCH="ON")*(COUNTIFS(OVR_TICKERS,$C31,OVR_HIGH,"&gt;=0")&gt;0)&gt;0,SUMIFS(OVR_HIGH,OVR_TICKERS,$C31),$L31))</f>
        <v/>
      </c>
      <c r="O31" s="133">
        <f>IF($B31="","",IFERROR($B31*$G31*$J31/$B$3,""))</f>
        <v/>
      </c>
      <c r="P31" s="133">
        <f>IF($B31="","",IFERROR($B31*$G31*$L31/$B$3,""))</f>
        <v/>
      </c>
      <c r="Q31" s="124">
        <f>IF($B31="","",IFERROR($O31+$P31,""))</f>
        <v/>
      </c>
      <c r="R31" s="133">
        <f>IF($B31="","",IFERROR($O31+$B31*$G31*$M31/$B$3,""))</f>
        <v/>
      </c>
      <c r="S31" s="133">
        <f>IF($B31="","",IFERROR($O31+$B31*$G31*$N31/$B$3,""))</f>
        <v/>
      </c>
      <c r="T31" s="150">
        <f>IF($B31="","",IFERROR($Q31/$Q$5,""))</f>
        <v/>
      </c>
      <c r="U31" s="2">
        <f>IF($B31="","",IF(COUNTIFS('Dvd Calendar'!$E$1386:$AR$1386,"&gt;0",'Dvd Calendar'!$E$1386:$AR$1386,"&lt;="&amp;VAL_DATE,'Dvd Calendar'!$E$1387:$AR$1387,"&gt;"&amp;PROJ_FROM,'Dvd Calendar'!$E$1387:$AR$1387,"&lt;="&amp;WIN_TO)-COUNTIFS('Dvd Calendar'!$E$1386:$AR$1386,"&gt;0",'Dvd Calendar'!$E$1386:$AR$1386,"&lt;="&amp;VAL_DATE,'Dvd Calendar'!$E$1387:$AR$1387,"&gt;"&amp;PROJ_FROM,'Dvd Calendar'!$E$1387:$AR$1387,"&lt;="&amp;WIN_TO,'Dvd Calendar'!$E$1388:$AR$1388,"&gt;=0")&gt;0,"TBA amount - override me",IF((OV_SWITCH="ON")*(COUNTIFS(OVR_TICKERS,$C31,OVR_BASE,"&gt;=0")&gt;0)&gt;0,"overridden",IF($J31+$K31=0,"no dividend in year Y",""))))</f>
        <v/>
      </c>
      <c r="V31" s="133">
        <f>IF($B31="","",IFERROR(IF(ISNUMBER($H31),$B31*$G31*$H31/$B$3,0),""))</f>
        <v/>
      </c>
      <c r="W31" s="133">
        <f>IF($B31="","",IFERROR($B31*$G31*$K31/$B$3,""))</f>
        <v/>
      </c>
      <c r="X31" s="157">
        <f>IF($C31="","",BDP($C31,"PX_LAST"))</f>
        <v/>
      </c>
      <c r="Y31" s="133">
        <f>IF($B31="","",IFERROR($B31*$X31/$B$3,""))</f>
        <v/>
      </c>
      <c r="Z31" s="137">
        <f>IF($B31="","",IFERROR($Y31/$Y$5,""))</f>
        <v/>
      </c>
    </row>
    <row r="32">
      <c r="B32" s="97" t="n"/>
      <c r="C32" s="8">
        <f>IF($A32="","",$A32&amp;" Equity")</f>
        <v/>
      </c>
      <c r="D32" s="8">
        <f>IF($C32="","",BDP($C32,"NAME"))</f>
        <v/>
      </c>
      <c r="E32" s="8">
        <f>IF($C32="","",BDP($C32,"GICS_SECTOR_NAME"))</f>
        <v/>
      </c>
      <c r="F32" s="37">
        <f>IF($C32="","",BDP($C32,FLD_CCY))</f>
        <v/>
      </c>
      <c r="G32" s="111">
        <f>IFERROR(IF(LEN($F32)&lt;&gt;3,1,IF($F32="HKD",1,BDP(IF($F32="CNY",RMB_CROSS,$F32)&amp;"HKD Curncy","PX_LAST"))),1)</f>
        <v/>
      </c>
      <c r="H32" s="133">
        <f>IF($C32="","",BDP($C32,FLD_DPS12M))</f>
        <v/>
      </c>
      <c r="I32" s="126">
        <f>IF($C32="","",BDP($C32,FLD_YLD12M))</f>
        <v/>
      </c>
      <c r="J32" s="128">
        <f>IF($B32="",0,SUMPRODUCT(('Dvd Calendar'!$E$1391:$AR$1391&gt;=WIN_FROM)*('Dvd Calendar'!$E$1391:$AR$1391&lt;=REALIZED_TO)*'Dvd Calendar'!$E$1394:$AR$1394*(('Dvd Calendar'!$E$1396:$AR$1396=TYPE1)*(TYPE1&lt;&gt;"")+('Dvd Calendar'!$E$1396:$AR$1396=TYPE2)*(TYPE2&lt;&gt;"")+('Dvd Calendar'!$E$1396:$AR$1396=TYPE3)*(TYPE3&lt;&gt;"")+('Dvd Calendar'!$E$1396:$AR$1396=TYPE4)*(TYPE4&lt;&gt;"")+('Dvd Calendar'!$E$1396:$AR$1396=SPECIAL_LBL)*(INC_SPECIALS="Y"))))</f>
        <v/>
      </c>
      <c r="K32" s="128">
        <f>IF($B32="",0,SUMIFS('Dvd Calendar'!$E$1399:$AR$1399,'Dvd Calendar'!$E$1398:$AR$1398,"&gt;"&amp;PROJ_FROM,'Dvd Calendar'!$E$1398:$AR$1398,"&lt;="&amp;WIN_TO)+SUMPRODUCT(('Dvd Calendar'!$E$1391:$AR$1391&gt;PROJ_FROM)*('Dvd Calendar'!$E$1391:$AR$1391&lt;=WIN_TO)*'Dvd Calendar'!$E$1394:$AR$1394*(('Dvd Calendar'!$E$1396:$AR$1396=TYPE1)*(TYPE1&lt;&gt;"")+('Dvd Calendar'!$E$1396:$AR$1396=TYPE2)*(TYPE2&lt;&gt;"")+('Dvd Calendar'!$E$1396:$AR$1396=TYPE3)*(TYPE3&lt;&gt;"")+('Dvd Calendar'!$E$1396:$AR$1396=TYPE4)*(TYPE4&lt;&gt;"")+('Dvd Calendar'!$E$1396:$AR$1396=SPECIAL_LBL)*(INC_SPECIALS="Y"))*(COUNTIF('Dvd Calendar'!$E$1398:$AR$1398,'Dvd Calendar'!$E$1391:$AR$1391)=0)))</f>
        <v/>
      </c>
      <c r="L32" s="128">
        <f>IF($B32="",0,IF((OV_SWITCH="ON")*(COUNTIFS(OVR_TICKERS,$C32,OVR_BASE,"&gt;=0")&gt;0)&gt;0,SUMIFS(OVR_BASE,OVR_TICKERS,$C32),$K32))</f>
        <v/>
      </c>
      <c r="M32" s="128">
        <f>IF($B32="",0,IF((OV_SWITCH="ON")*(COUNTIFS(OVR_TICKERS,$C32,OVR_LOW,"&gt;=0")&gt;0)&gt;0,SUMIFS(OVR_LOW,OVR_TICKERS,$C32),$L32))</f>
        <v/>
      </c>
      <c r="N32" s="128">
        <f>IF($B32="",0,IF((OV_SWITCH="ON")*(COUNTIFS(OVR_TICKERS,$C32,OVR_HIGH,"&gt;=0")&gt;0)&gt;0,SUMIFS(OVR_HIGH,OVR_TICKERS,$C32),$L32))</f>
        <v/>
      </c>
      <c r="O32" s="133">
        <f>IF($B32="","",IFERROR($B32*$G32*$J32/$B$3,""))</f>
        <v/>
      </c>
      <c r="P32" s="133">
        <f>IF($B32="","",IFERROR($B32*$G32*$L32/$B$3,""))</f>
        <v/>
      </c>
      <c r="Q32" s="124">
        <f>IF($B32="","",IFERROR($O32+$P32,""))</f>
        <v/>
      </c>
      <c r="R32" s="133">
        <f>IF($B32="","",IFERROR($O32+$B32*$G32*$M32/$B$3,""))</f>
        <v/>
      </c>
      <c r="S32" s="133">
        <f>IF($B32="","",IFERROR($O32+$B32*$G32*$N32/$B$3,""))</f>
        <v/>
      </c>
      <c r="T32" s="150">
        <f>IF($B32="","",IFERROR($Q32/$Q$5,""))</f>
        <v/>
      </c>
      <c r="U32" s="2">
        <f>IF($B32="","",IF(COUNTIFS('Dvd Calendar'!$E$1397:$AR$1397,"&gt;0",'Dvd Calendar'!$E$1397:$AR$1397,"&lt;="&amp;VAL_DATE,'Dvd Calendar'!$E$1398:$AR$1398,"&gt;"&amp;PROJ_FROM,'Dvd Calendar'!$E$1398:$AR$1398,"&lt;="&amp;WIN_TO)-COUNTIFS('Dvd Calendar'!$E$1397:$AR$1397,"&gt;0",'Dvd Calendar'!$E$1397:$AR$1397,"&lt;="&amp;VAL_DATE,'Dvd Calendar'!$E$1398:$AR$1398,"&gt;"&amp;PROJ_FROM,'Dvd Calendar'!$E$1398:$AR$1398,"&lt;="&amp;WIN_TO,'Dvd Calendar'!$E$1399:$AR$1399,"&gt;=0")&gt;0,"TBA amount - override me",IF((OV_SWITCH="ON")*(COUNTIFS(OVR_TICKERS,$C32,OVR_BASE,"&gt;=0")&gt;0)&gt;0,"overridden",IF($J32+$K32=0,"no dividend in year Y",""))))</f>
        <v/>
      </c>
      <c r="V32" s="133">
        <f>IF($B32="","",IFERROR(IF(ISNUMBER($H32),$B32*$G32*$H32/$B$3,0),""))</f>
        <v/>
      </c>
      <c r="W32" s="133">
        <f>IF($B32="","",IFERROR($B32*$G32*$K32/$B$3,""))</f>
        <v/>
      </c>
      <c r="X32" s="157">
        <f>IF($C32="","",BDP($C32,"PX_LAST"))</f>
        <v/>
      </c>
      <c r="Y32" s="133">
        <f>IF($B32="","",IFERROR($B32*$X32/$B$3,""))</f>
        <v/>
      </c>
      <c r="Z32" s="137">
        <f>IF($B32="","",IFERROR($Y32/$Y$5,""))</f>
        <v/>
      </c>
    </row>
    <row r="33">
      <c r="B33" s="97" t="n"/>
      <c r="C33" s="8">
        <f>IF($A33="","",$A33&amp;" Equity")</f>
        <v/>
      </c>
      <c r="D33" s="8">
        <f>IF($C33="","",BDP($C33,"NAME"))</f>
        <v/>
      </c>
      <c r="E33" s="8">
        <f>IF($C33="","",BDP($C33,"GICS_SECTOR_NAME"))</f>
        <v/>
      </c>
      <c r="F33" s="37">
        <f>IF($C33="","",BDP($C33,FLD_CCY))</f>
        <v/>
      </c>
      <c r="G33" s="111">
        <f>IFERROR(IF(LEN($F33)&lt;&gt;3,1,IF($F33="HKD",1,BDP(IF($F33="CNY",RMB_CROSS,$F33)&amp;"HKD Curncy","PX_LAST"))),1)</f>
        <v/>
      </c>
      <c r="H33" s="133">
        <f>IF($C33="","",BDP($C33,FLD_DPS12M))</f>
        <v/>
      </c>
      <c r="I33" s="126">
        <f>IF($C33="","",BDP($C33,FLD_YLD12M))</f>
        <v/>
      </c>
      <c r="J33" s="128">
        <f>IF($B33="",0,SUMPRODUCT(('Dvd Calendar'!$E$1402:$AR$1402&gt;=WIN_FROM)*('Dvd Calendar'!$E$1402:$AR$1402&lt;=REALIZED_TO)*'Dvd Calendar'!$E$1405:$AR$1405*(('Dvd Calendar'!$E$1407:$AR$1407=TYPE1)*(TYPE1&lt;&gt;"")+('Dvd Calendar'!$E$1407:$AR$1407=TYPE2)*(TYPE2&lt;&gt;"")+('Dvd Calendar'!$E$1407:$AR$1407=TYPE3)*(TYPE3&lt;&gt;"")+('Dvd Calendar'!$E$1407:$AR$1407=TYPE4)*(TYPE4&lt;&gt;"")+('Dvd Calendar'!$E$1407:$AR$1407=SPECIAL_LBL)*(INC_SPECIALS="Y"))))</f>
        <v/>
      </c>
      <c r="K33" s="128">
        <f>IF($B33="",0,SUMIFS('Dvd Calendar'!$E$1410:$AR$1410,'Dvd Calendar'!$E$1409:$AR$1409,"&gt;"&amp;PROJ_FROM,'Dvd Calendar'!$E$1409:$AR$1409,"&lt;="&amp;WIN_TO)+SUMPRODUCT(('Dvd Calendar'!$E$1402:$AR$1402&gt;PROJ_FROM)*('Dvd Calendar'!$E$1402:$AR$1402&lt;=WIN_TO)*'Dvd Calendar'!$E$1405:$AR$1405*(('Dvd Calendar'!$E$1407:$AR$1407=TYPE1)*(TYPE1&lt;&gt;"")+('Dvd Calendar'!$E$1407:$AR$1407=TYPE2)*(TYPE2&lt;&gt;"")+('Dvd Calendar'!$E$1407:$AR$1407=TYPE3)*(TYPE3&lt;&gt;"")+('Dvd Calendar'!$E$1407:$AR$1407=TYPE4)*(TYPE4&lt;&gt;"")+('Dvd Calendar'!$E$1407:$AR$1407=SPECIAL_LBL)*(INC_SPECIALS="Y"))*(COUNTIF('Dvd Calendar'!$E$1409:$AR$1409,'Dvd Calendar'!$E$1402:$AR$1402)=0)))</f>
        <v/>
      </c>
      <c r="L33" s="128">
        <f>IF($B33="",0,IF((OV_SWITCH="ON")*(COUNTIFS(OVR_TICKERS,$C33,OVR_BASE,"&gt;=0")&gt;0)&gt;0,SUMIFS(OVR_BASE,OVR_TICKERS,$C33),$K33))</f>
        <v/>
      </c>
      <c r="M33" s="128">
        <f>IF($B33="",0,IF((OV_SWITCH="ON")*(COUNTIFS(OVR_TICKERS,$C33,OVR_LOW,"&gt;=0")&gt;0)&gt;0,SUMIFS(OVR_LOW,OVR_TICKERS,$C33),$L33))</f>
        <v/>
      </c>
      <c r="N33" s="128">
        <f>IF($B33="",0,IF((OV_SWITCH="ON")*(COUNTIFS(OVR_TICKERS,$C33,OVR_HIGH,"&gt;=0")&gt;0)&gt;0,SUMIFS(OVR_HIGH,OVR_TICKERS,$C33),$L33))</f>
        <v/>
      </c>
      <c r="O33" s="133">
        <f>IF($B33="","",IFERROR($B33*$G33*$J33/$B$3,""))</f>
        <v/>
      </c>
      <c r="P33" s="133">
        <f>IF($B33="","",IFERROR($B33*$G33*$L33/$B$3,""))</f>
        <v/>
      </c>
      <c r="Q33" s="124">
        <f>IF($B33="","",IFERROR($O33+$P33,""))</f>
        <v/>
      </c>
      <c r="R33" s="133">
        <f>IF($B33="","",IFERROR($O33+$B33*$G33*$M33/$B$3,""))</f>
        <v/>
      </c>
      <c r="S33" s="133">
        <f>IF($B33="","",IFERROR($O33+$B33*$G33*$N33/$B$3,""))</f>
        <v/>
      </c>
      <c r="T33" s="150">
        <f>IF($B33="","",IFERROR($Q33/$Q$5,""))</f>
        <v/>
      </c>
      <c r="U33" s="2">
        <f>IF($B33="","",IF(COUNTIFS('Dvd Calendar'!$E$1408:$AR$1408,"&gt;0",'Dvd Calendar'!$E$1408:$AR$1408,"&lt;="&amp;VAL_DATE,'Dvd Calendar'!$E$1409:$AR$1409,"&gt;"&amp;PROJ_FROM,'Dvd Calendar'!$E$1409:$AR$1409,"&lt;="&amp;WIN_TO)-COUNTIFS('Dvd Calendar'!$E$1408:$AR$1408,"&gt;0",'Dvd Calendar'!$E$1408:$AR$1408,"&lt;="&amp;VAL_DATE,'Dvd Calendar'!$E$1409:$AR$1409,"&gt;"&amp;PROJ_FROM,'Dvd Calendar'!$E$1409:$AR$1409,"&lt;="&amp;WIN_TO,'Dvd Calendar'!$E$1410:$AR$1410,"&gt;=0")&gt;0,"TBA amount - override me",IF((OV_SWITCH="ON")*(COUNTIFS(OVR_TICKERS,$C33,OVR_BASE,"&gt;=0")&gt;0)&gt;0,"overridden",IF($J33+$K33=0,"no dividend in year Y",""))))</f>
        <v/>
      </c>
      <c r="V33" s="133">
        <f>IF($B33="","",IFERROR(IF(ISNUMBER($H33),$B33*$G33*$H33/$B$3,0),""))</f>
        <v/>
      </c>
      <c r="W33" s="133">
        <f>IF($B33="","",IFERROR($B33*$G33*$K33/$B$3,""))</f>
        <v/>
      </c>
      <c r="X33" s="157">
        <f>IF($C33="","",BDP($C33,"PX_LAST"))</f>
        <v/>
      </c>
      <c r="Y33" s="133">
        <f>IF($B33="","",IFERROR($B33*$X33/$B$3,""))</f>
        <v/>
      </c>
      <c r="Z33" s="137">
        <f>IF($B33="","",IFERROR($Y33/$Y$5,""))</f>
        <v/>
      </c>
    </row>
    <row r="34">
      <c r="B34" s="97" t="n"/>
      <c r="C34" s="8">
        <f>IF($A34="","",$A34&amp;" Equity")</f>
        <v/>
      </c>
      <c r="D34" s="8">
        <f>IF($C34="","",BDP($C34,"NAME"))</f>
        <v/>
      </c>
      <c r="E34" s="8">
        <f>IF($C34="","",BDP($C34,"GICS_SECTOR_NAME"))</f>
        <v/>
      </c>
      <c r="F34" s="37">
        <f>IF($C34="","",BDP($C34,FLD_CCY))</f>
        <v/>
      </c>
      <c r="G34" s="111">
        <f>IFERROR(IF(LEN($F34)&lt;&gt;3,1,IF($F34="HKD",1,BDP(IF($F34="CNY",RMB_CROSS,$F34)&amp;"HKD Curncy","PX_LAST"))),1)</f>
        <v/>
      </c>
      <c r="H34" s="133">
        <f>IF($C34="","",BDP($C34,FLD_DPS12M))</f>
        <v/>
      </c>
      <c r="I34" s="126">
        <f>IF($C34="","",BDP($C34,FLD_YLD12M))</f>
        <v/>
      </c>
      <c r="J34" s="128">
        <f>IF($B34="",0,SUMPRODUCT(('Dvd Calendar'!$E$1413:$AR$1413&gt;=WIN_FROM)*('Dvd Calendar'!$E$1413:$AR$1413&lt;=REALIZED_TO)*'Dvd Calendar'!$E$1416:$AR$1416*(('Dvd Calendar'!$E$1418:$AR$1418=TYPE1)*(TYPE1&lt;&gt;"")+('Dvd Calendar'!$E$1418:$AR$1418=TYPE2)*(TYPE2&lt;&gt;"")+('Dvd Calendar'!$E$1418:$AR$1418=TYPE3)*(TYPE3&lt;&gt;"")+('Dvd Calendar'!$E$1418:$AR$1418=TYPE4)*(TYPE4&lt;&gt;"")+('Dvd Calendar'!$E$1418:$AR$1418=SPECIAL_LBL)*(INC_SPECIALS="Y"))))</f>
        <v/>
      </c>
      <c r="K34" s="128">
        <f>IF($B34="",0,SUMIFS('Dvd Calendar'!$E$1421:$AR$1421,'Dvd Calendar'!$E$1420:$AR$1420,"&gt;"&amp;PROJ_FROM,'Dvd Calendar'!$E$1420:$AR$1420,"&lt;="&amp;WIN_TO)+SUMPRODUCT(('Dvd Calendar'!$E$1413:$AR$1413&gt;PROJ_FROM)*('Dvd Calendar'!$E$1413:$AR$1413&lt;=WIN_TO)*'Dvd Calendar'!$E$1416:$AR$1416*(('Dvd Calendar'!$E$1418:$AR$1418=TYPE1)*(TYPE1&lt;&gt;"")+('Dvd Calendar'!$E$1418:$AR$1418=TYPE2)*(TYPE2&lt;&gt;"")+('Dvd Calendar'!$E$1418:$AR$1418=TYPE3)*(TYPE3&lt;&gt;"")+('Dvd Calendar'!$E$1418:$AR$1418=TYPE4)*(TYPE4&lt;&gt;"")+('Dvd Calendar'!$E$1418:$AR$1418=SPECIAL_LBL)*(INC_SPECIALS="Y"))*(COUNTIF('Dvd Calendar'!$E$1420:$AR$1420,'Dvd Calendar'!$E$1413:$AR$1413)=0)))</f>
        <v/>
      </c>
      <c r="L34" s="128">
        <f>IF($B34="",0,IF((OV_SWITCH="ON")*(COUNTIFS(OVR_TICKERS,$C34,OVR_BASE,"&gt;=0")&gt;0)&gt;0,SUMIFS(OVR_BASE,OVR_TICKERS,$C34),$K34))</f>
        <v/>
      </c>
      <c r="M34" s="128">
        <f>IF($B34="",0,IF((OV_SWITCH="ON")*(COUNTIFS(OVR_TICKERS,$C34,OVR_LOW,"&gt;=0")&gt;0)&gt;0,SUMIFS(OVR_LOW,OVR_TICKERS,$C34),$L34))</f>
        <v/>
      </c>
      <c r="N34" s="128">
        <f>IF($B34="",0,IF((OV_SWITCH="ON")*(COUNTIFS(OVR_TICKERS,$C34,OVR_HIGH,"&gt;=0")&gt;0)&gt;0,SUMIFS(OVR_HIGH,OVR_TICKERS,$C34),$L34))</f>
        <v/>
      </c>
      <c r="O34" s="133">
        <f>IF($B34="","",IFERROR($B34*$G34*$J34/$B$3,""))</f>
        <v/>
      </c>
      <c r="P34" s="133">
        <f>IF($B34="","",IFERROR($B34*$G34*$L34/$B$3,""))</f>
        <v/>
      </c>
      <c r="Q34" s="124">
        <f>IF($B34="","",IFERROR($O34+$P34,""))</f>
        <v/>
      </c>
      <c r="R34" s="133">
        <f>IF($B34="","",IFERROR($O34+$B34*$G34*$M34/$B$3,""))</f>
        <v/>
      </c>
      <c r="S34" s="133">
        <f>IF($B34="","",IFERROR($O34+$B34*$G34*$N34/$B$3,""))</f>
        <v/>
      </c>
      <c r="T34" s="150">
        <f>IF($B34="","",IFERROR($Q34/$Q$5,""))</f>
        <v/>
      </c>
      <c r="U34" s="2">
        <f>IF($B34="","",IF(COUNTIFS('Dvd Calendar'!$E$1419:$AR$1419,"&gt;0",'Dvd Calendar'!$E$1419:$AR$1419,"&lt;="&amp;VAL_DATE,'Dvd Calendar'!$E$1420:$AR$1420,"&gt;"&amp;PROJ_FROM,'Dvd Calendar'!$E$1420:$AR$1420,"&lt;="&amp;WIN_TO)-COUNTIFS('Dvd Calendar'!$E$1419:$AR$1419,"&gt;0",'Dvd Calendar'!$E$1419:$AR$1419,"&lt;="&amp;VAL_DATE,'Dvd Calendar'!$E$1420:$AR$1420,"&gt;"&amp;PROJ_FROM,'Dvd Calendar'!$E$1420:$AR$1420,"&lt;="&amp;WIN_TO,'Dvd Calendar'!$E$1421:$AR$1421,"&gt;=0")&gt;0,"TBA amount - override me",IF((OV_SWITCH="ON")*(COUNTIFS(OVR_TICKERS,$C34,OVR_BASE,"&gt;=0")&gt;0)&gt;0,"overridden",IF($J34+$K34=0,"no dividend in year Y",""))))</f>
        <v/>
      </c>
      <c r="V34" s="133">
        <f>IF($B34="","",IFERROR(IF(ISNUMBER($H34),$B34*$G34*$H34/$B$3,0),""))</f>
        <v/>
      </c>
      <c r="W34" s="133">
        <f>IF($B34="","",IFERROR($B34*$G34*$K34/$B$3,""))</f>
        <v/>
      </c>
      <c r="X34" s="157">
        <f>IF($C34="","",BDP($C34,"PX_LAST"))</f>
        <v/>
      </c>
      <c r="Y34" s="133">
        <f>IF($B34="","",IFERROR($B34*$X34/$B$3,""))</f>
        <v/>
      </c>
      <c r="Z34" s="137">
        <f>IF($B34="","",IFERROR($Y34/$Y$5,""))</f>
        <v/>
      </c>
    </row>
    <row r="35">
      <c r="B35" s="97" t="n"/>
      <c r="C35" s="8">
        <f>IF($A35="","",$A35&amp;" Equity")</f>
        <v/>
      </c>
      <c r="D35" s="8">
        <f>IF($C35="","",BDP($C35,"NAME"))</f>
        <v/>
      </c>
      <c r="E35" s="8">
        <f>IF($C35="","",BDP($C35,"GICS_SECTOR_NAME"))</f>
        <v/>
      </c>
      <c r="F35" s="37">
        <f>IF($C35="","",BDP($C35,FLD_CCY))</f>
        <v/>
      </c>
      <c r="G35" s="111">
        <f>IFERROR(IF(LEN($F35)&lt;&gt;3,1,IF($F35="HKD",1,BDP(IF($F35="CNY",RMB_CROSS,$F35)&amp;"HKD Curncy","PX_LAST"))),1)</f>
        <v/>
      </c>
      <c r="H35" s="133">
        <f>IF($C35="","",BDP($C35,FLD_DPS12M))</f>
        <v/>
      </c>
      <c r="I35" s="126">
        <f>IF($C35="","",BDP($C35,FLD_YLD12M))</f>
        <v/>
      </c>
      <c r="J35" s="128">
        <f>IF($B35="",0,SUMPRODUCT(('Dvd Calendar'!$E$1424:$AR$1424&gt;=WIN_FROM)*('Dvd Calendar'!$E$1424:$AR$1424&lt;=REALIZED_TO)*'Dvd Calendar'!$E$1427:$AR$1427*(('Dvd Calendar'!$E$1429:$AR$1429=TYPE1)*(TYPE1&lt;&gt;"")+('Dvd Calendar'!$E$1429:$AR$1429=TYPE2)*(TYPE2&lt;&gt;"")+('Dvd Calendar'!$E$1429:$AR$1429=TYPE3)*(TYPE3&lt;&gt;"")+('Dvd Calendar'!$E$1429:$AR$1429=TYPE4)*(TYPE4&lt;&gt;"")+('Dvd Calendar'!$E$1429:$AR$1429=SPECIAL_LBL)*(INC_SPECIALS="Y"))))</f>
        <v/>
      </c>
      <c r="K35" s="128">
        <f>IF($B35="",0,SUMIFS('Dvd Calendar'!$E$1432:$AR$1432,'Dvd Calendar'!$E$1431:$AR$1431,"&gt;"&amp;PROJ_FROM,'Dvd Calendar'!$E$1431:$AR$1431,"&lt;="&amp;WIN_TO)+SUMPRODUCT(('Dvd Calendar'!$E$1424:$AR$1424&gt;PROJ_FROM)*('Dvd Calendar'!$E$1424:$AR$1424&lt;=WIN_TO)*'Dvd Calendar'!$E$1427:$AR$1427*(('Dvd Calendar'!$E$1429:$AR$1429=TYPE1)*(TYPE1&lt;&gt;"")+('Dvd Calendar'!$E$1429:$AR$1429=TYPE2)*(TYPE2&lt;&gt;"")+('Dvd Calendar'!$E$1429:$AR$1429=TYPE3)*(TYPE3&lt;&gt;"")+('Dvd Calendar'!$E$1429:$AR$1429=TYPE4)*(TYPE4&lt;&gt;"")+('Dvd Calendar'!$E$1429:$AR$1429=SPECIAL_LBL)*(INC_SPECIALS="Y"))*(COUNTIF('Dvd Calendar'!$E$1431:$AR$1431,'Dvd Calendar'!$E$1424:$AR$1424)=0)))</f>
        <v/>
      </c>
      <c r="L35" s="128">
        <f>IF($B35="",0,IF((OV_SWITCH="ON")*(COUNTIFS(OVR_TICKERS,$C35,OVR_BASE,"&gt;=0")&gt;0)&gt;0,SUMIFS(OVR_BASE,OVR_TICKERS,$C35),$K35))</f>
        <v/>
      </c>
      <c r="M35" s="128">
        <f>IF($B35="",0,IF((OV_SWITCH="ON")*(COUNTIFS(OVR_TICKERS,$C35,OVR_LOW,"&gt;=0")&gt;0)&gt;0,SUMIFS(OVR_LOW,OVR_TICKERS,$C35),$L35))</f>
        <v/>
      </c>
      <c r="N35" s="128">
        <f>IF($B35="",0,IF((OV_SWITCH="ON")*(COUNTIFS(OVR_TICKERS,$C35,OVR_HIGH,"&gt;=0")&gt;0)&gt;0,SUMIFS(OVR_HIGH,OVR_TICKERS,$C35),$L35))</f>
        <v/>
      </c>
      <c r="O35" s="133">
        <f>IF($B35="","",IFERROR($B35*$G35*$J35/$B$3,""))</f>
        <v/>
      </c>
      <c r="P35" s="133">
        <f>IF($B35="","",IFERROR($B35*$G35*$L35/$B$3,""))</f>
        <v/>
      </c>
      <c r="Q35" s="124">
        <f>IF($B35="","",IFERROR($O35+$P35,""))</f>
        <v/>
      </c>
      <c r="R35" s="133">
        <f>IF($B35="","",IFERROR($O35+$B35*$G35*$M35/$B$3,""))</f>
        <v/>
      </c>
      <c r="S35" s="133">
        <f>IF($B35="","",IFERROR($O35+$B35*$G35*$N35/$B$3,""))</f>
        <v/>
      </c>
      <c r="T35" s="150">
        <f>IF($B35="","",IFERROR($Q35/$Q$5,""))</f>
        <v/>
      </c>
      <c r="U35" s="2">
        <f>IF($B35="","",IF(COUNTIFS('Dvd Calendar'!$E$1430:$AR$1430,"&gt;0",'Dvd Calendar'!$E$1430:$AR$1430,"&lt;="&amp;VAL_DATE,'Dvd Calendar'!$E$1431:$AR$1431,"&gt;"&amp;PROJ_FROM,'Dvd Calendar'!$E$1431:$AR$1431,"&lt;="&amp;WIN_TO)-COUNTIFS('Dvd Calendar'!$E$1430:$AR$1430,"&gt;0",'Dvd Calendar'!$E$1430:$AR$1430,"&lt;="&amp;VAL_DATE,'Dvd Calendar'!$E$1431:$AR$1431,"&gt;"&amp;PROJ_FROM,'Dvd Calendar'!$E$1431:$AR$1431,"&lt;="&amp;WIN_TO,'Dvd Calendar'!$E$1432:$AR$1432,"&gt;=0")&gt;0,"TBA amount - override me",IF((OV_SWITCH="ON")*(COUNTIFS(OVR_TICKERS,$C35,OVR_BASE,"&gt;=0")&gt;0)&gt;0,"overridden",IF($J35+$K35=0,"no dividend in year Y",""))))</f>
        <v/>
      </c>
      <c r="V35" s="133">
        <f>IF($B35="","",IFERROR(IF(ISNUMBER($H35),$B35*$G35*$H35/$B$3,0),""))</f>
        <v/>
      </c>
      <c r="W35" s="133">
        <f>IF($B35="","",IFERROR($B35*$G35*$K35/$B$3,""))</f>
        <v/>
      </c>
      <c r="X35" s="157">
        <f>IF($C35="","",BDP($C35,"PX_LAST"))</f>
        <v/>
      </c>
      <c r="Y35" s="133">
        <f>IF($B35="","",IFERROR($B35*$X35/$B$3,""))</f>
        <v/>
      </c>
      <c r="Z35" s="137">
        <f>IF($B35="","",IFERROR($Y35/$Y$5,""))</f>
        <v/>
      </c>
    </row>
    <row r="36">
      <c r="B36" s="97" t="n"/>
      <c r="C36" s="8">
        <f>IF($A36="","",$A36&amp;" Equity")</f>
        <v/>
      </c>
      <c r="D36" s="8">
        <f>IF($C36="","",BDP($C36,"NAME"))</f>
        <v/>
      </c>
      <c r="E36" s="8">
        <f>IF($C36="","",BDP($C36,"GICS_SECTOR_NAME"))</f>
        <v/>
      </c>
      <c r="F36" s="37">
        <f>IF($C36="","",BDP($C36,FLD_CCY))</f>
        <v/>
      </c>
      <c r="G36" s="111">
        <f>IFERROR(IF(LEN($F36)&lt;&gt;3,1,IF($F36="HKD",1,BDP(IF($F36="CNY",RMB_CROSS,$F36)&amp;"HKD Curncy","PX_LAST"))),1)</f>
        <v/>
      </c>
      <c r="H36" s="133">
        <f>IF($C36="","",BDP($C36,FLD_DPS12M))</f>
        <v/>
      </c>
      <c r="I36" s="126">
        <f>IF($C36="","",BDP($C36,FLD_YLD12M))</f>
        <v/>
      </c>
      <c r="J36" s="128">
        <f>IF($B36="",0,SUMPRODUCT(('Dvd Calendar'!$E$1435:$AR$1435&gt;=WIN_FROM)*('Dvd Calendar'!$E$1435:$AR$1435&lt;=REALIZED_TO)*'Dvd Calendar'!$E$1438:$AR$1438*(('Dvd Calendar'!$E$1440:$AR$1440=TYPE1)*(TYPE1&lt;&gt;"")+('Dvd Calendar'!$E$1440:$AR$1440=TYPE2)*(TYPE2&lt;&gt;"")+('Dvd Calendar'!$E$1440:$AR$1440=TYPE3)*(TYPE3&lt;&gt;"")+('Dvd Calendar'!$E$1440:$AR$1440=TYPE4)*(TYPE4&lt;&gt;"")+('Dvd Calendar'!$E$1440:$AR$1440=SPECIAL_LBL)*(INC_SPECIALS="Y"))))</f>
        <v/>
      </c>
      <c r="K36" s="128">
        <f>IF($B36="",0,SUMIFS('Dvd Calendar'!$E$1443:$AR$1443,'Dvd Calendar'!$E$1442:$AR$1442,"&gt;"&amp;PROJ_FROM,'Dvd Calendar'!$E$1442:$AR$1442,"&lt;="&amp;WIN_TO)+SUMPRODUCT(('Dvd Calendar'!$E$1435:$AR$1435&gt;PROJ_FROM)*('Dvd Calendar'!$E$1435:$AR$1435&lt;=WIN_TO)*'Dvd Calendar'!$E$1438:$AR$1438*(('Dvd Calendar'!$E$1440:$AR$1440=TYPE1)*(TYPE1&lt;&gt;"")+('Dvd Calendar'!$E$1440:$AR$1440=TYPE2)*(TYPE2&lt;&gt;"")+('Dvd Calendar'!$E$1440:$AR$1440=TYPE3)*(TYPE3&lt;&gt;"")+('Dvd Calendar'!$E$1440:$AR$1440=TYPE4)*(TYPE4&lt;&gt;"")+('Dvd Calendar'!$E$1440:$AR$1440=SPECIAL_LBL)*(INC_SPECIALS="Y"))*(COUNTIF('Dvd Calendar'!$E$1442:$AR$1442,'Dvd Calendar'!$E$1435:$AR$1435)=0)))</f>
        <v/>
      </c>
      <c r="L36" s="128">
        <f>IF($B36="",0,IF((OV_SWITCH="ON")*(COUNTIFS(OVR_TICKERS,$C36,OVR_BASE,"&gt;=0")&gt;0)&gt;0,SUMIFS(OVR_BASE,OVR_TICKERS,$C36),$K36))</f>
        <v/>
      </c>
      <c r="M36" s="128">
        <f>IF($B36="",0,IF((OV_SWITCH="ON")*(COUNTIFS(OVR_TICKERS,$C36,OVR_LOW,"&gt;=0")&gt;0)&gt;0,SUMIFS(OVR_LOW,OVR_TICKERS,$C36),$L36))</f>
        <v/>
      </c>
      <c r="N36" s="128">
        <f>IF($B36="",0,IF((OV_SWITCH="ON")*(COUNTIFS(OVR_TICKERS,$C36,OVR_HIGH,"&gt;=0")&gt;0)&gt;0,SUMIFS(OVR_HIGH,OVR_TICKERS,$C36),$L36))</f>
        <v/>
      </c>
      <c r="O36" s="133">
        <f>IF($B36="","",IFERROR($B36*$G36*$J36/$B$3,""))</f>
        <v/>
      </c>
      <c r="P36" s="133">
        <f>IF($B36="","",IFERROR($B36*$G36*$L36/$B$3,""))</f>
        <v/>
      </c>
      <c r="Q36" s="124">
        <f>IF($B36="","",IFERROR($O36+$P36,""))</f>
        <v/>
      </c>
      <c r="R36" s="133">
        <f>IF($B36="","",IFERROR($O36+$B36*$G36*$M36/$B$3,""))</f>
        <v/>
      </c>
      <c r="S36" s="133">
        <f>IF($B36="","",IFERROR($O36+$B36*$G36*$N36/$B$3,""))</f>
        <v/>
      </c>
      <c r="T36" s="150">
        <f>IF($B36="","",IFERROR($Q36/$Q$5,""))</f>
        <v/>
      </c>
      <c r="U36" s="2">
        <f>IF($B36="","",IF(COUNTIFS('Dvd Calendar'!$E$1441:$AR$1441,"&gt;0",'Dvd Calendar'!$E$1441:$AR$1441,"&lt;="&amp;VAL_DATE,'Dvd Calendar'!$E$1442:$AR$1442,"&gt;"&amp;PROJ_FROM,'Dvd Calendar'!$E$1442:$AR$1442,"&lt;="&amp;WIN_TO)-COUNTIFS('Dvd Calendar'!$E$1441:$AR$1441,"&gt;0",'Dvd Calendar'!$E$1441:$AR$1441,"&lt;="&amp;VAL_DATE,'Dvd Calendar'!$E$1442:$AR$1442,"&gt;"&amp;PROJ_FROM,'Dvd Calendar'!$E$1442:$AR$1442,"&lt;="&amp;WIN_TO,'Dvd Calendar'!$E$1443:$AR$1443,"&gt;=0")&gt;0,"TBA amount - override me",IF((OV_SWITCH="ON")*(COUNTIFS(OVR_TICKERS,$C36,OVR_BASE,"&gt;=0")&gt;0)&gt;0,"overridden",IF($J36+$K36=0,"no dividend in year Y",""))))</f>
        <v/>
      </c>
      <c r="V36" s="133">
        <f>IF($B36="","",IFERROR(IF(ISNUMBER($H36),$B36*$G36*$H36/$B$3,0),""))</f>
        <v/>
      </c>
      <c r="W36" s="133">
        <f>IF($B36="","",IFERROR($B36*$G36*$K36/$B$3,""))</f>
        <v/>
      </c>
      <c r="X36" s="157">
        <f>IF($C36="","",BDP($C36,"PX_LAST"))</f>
        <v/>
      </c>
      <c r="Y36" s="133">
        <f>IF($B36="","",IFERROR($B36*$X36/$B$3,""))</f>
        <v/>
      </c>
      <c r="Z36" s="137">
        <f>IF($B36="","",IFERROR($Y36/$Y$5,""))</f>
        <v/>
      </c>
    </row>
    <row r="37">
      <c r="B37" s="97" t="n"/>
      <c r="C37" s="8">
        <f>IF($A37="","",$A37&amp;" Equity")</f>
        <v/>
      </c>
      <c r="D37" s="8">
        <f>IF($C37="","",BDP($C37,"NAME"))</f>
        <v/>
      </c>
      <c r="E37" s="8">
        <f>IF($C37="","",BDP($C37,"GICS_SECTOR_NAME"))</f>
        <v/>
      </c>
      <c r="F37" s="37">
        <f>IF($C37="","",BDP($C37,FLD_CCY))</f>
        <v/>
      </c>
      <c r="G37" s="111">
        <f>IFERROR(IF(LEN($F37)&lt;&gt;3,1,IF($F37="HKD",1,BDP(IF($F37="CNY",RMB_CROSS,$F37)&amp;"HKD Curncy","PX_LAST"))),1)</f>
        <v/>
      </c>
      <c r="H37" s="133">
        <f>IF($C37="","",BDP($C37,FLD_DPS12M))</f>
        <v/>
      </c>
      <c r="I37" s="126">
        <f>IF($C37="","",BDP($C37,FLD_YLD12M))</f>
        <v/>
      </c>
      <c r="J37" s="128">
        <f>IF($B37="",0,SUMPRODUCT(('Dvd Calendar'!$E$1446:$AR$1446&gt;=WIN_FROM)*('Dvd Calendar'!$E$1446:$AR$1446&lt;=REALIZED_TO)*'Dvd Calendar'!$E$1449:$AR$1449*(('Dvd Calendar'!$E$1451:$AR$1451=TYPE1)*(TYPE1&lt;&gt;"")+('Dvd Calendar'!$E$1451:$AR$1451=TYPE2)*(TYPE2&lt;&gt;"")+('Dvd Calendar'!$E$1451:$AR$1451=TYPE3)*(TYPE3&lt;&gt;"")+('Dvd Calendar'!$E$1451:$AR$1451=TYPE4)*(TYPE4&lt;&gt;"")+('Dvd Calendar'!$E$1451:$AR$1451=SPECIAL_LBL)*(INC_SPECIALS="Y"))))</f>
        <v/>
      </c>
      <c r="K37" s="128">
        <f>IF($B37="",0,SUMIFS('Dvd Calendar'!$E$1454:$AR$1454,'Dvd Calendar'!$E$1453:$AR$1453,"&gt;"&amp;PROJ_FROM,'Dvd Calendar'!$E$1453:$AR$1453,"&lt;="&amp;WIN_TO)+SUMPRODUCT(('Dvd Calendar'!$E$1446:$AR$1446&gt;PROJ_FROM)*('Dvd Calendar'!$E$1446:$AR$1446&lt;=WIN_TO)*'Dvd Calendar'!$E$1449:$AR$1449*(('Dvd Calendar'!$E$1451:$AR$1451=TYPE1)*(TYPE1&lt;&gt;"")+('Dvd Calendar'!$E$1451:$AR$1451=TYPE2)*(TYPE2&lt;&gt;"")+('Dvd Calendar'!$E$1451:$AR$1451=TYPE3)*(TYPE3&lt;&gt;"")+('Dvd Calendar'!$E$1451:$AR$1451=TYPE4)*(TYPE4&lt;&gt;"")+('Dvd Calendar'!$E$1451:$AR$1451=SPECIAL_LBL)*(INC_SPECIALS="Y"))*(COUNTIF('Dvd Calendar'!$E$1453:$AR$1453,'Dvd Calendar'!$E$1446:$AR$1446)=0)))</f>
        <v/>
      </c>
      <c r="L37" s="128">
        <f>IF($B37="",0,IF((OV_SWITCH="ON")*(COUNTIFS(OVR_TICKERS,$C37,OVR_BASE,"&gt;=0")&gt;0)&gt;0,SUMIFS(OVR_BASE,OVR_TICKERS,$C37),$K37))</f>
        <v/>
      </c>
      <c r="M37" s="128">
        <f>IF($B37="",0,IF((OV_SWITCH="ON")*(COUNTIFS(OVR_TICKERS,$C37,OVR_LOW,"&gt;=0")&gt;0)&gt;0,SUMIFS(OVR_LOW,OVR_TICKERS,$C37),$L37))</f>
        <v/>
      </c>
      <c r="N37" s="128">
        <f>IF($B37="",0,IF((OV_SWITCH="ON")*(COUNTIFS(OVR_TICKERS,$C37,OVR_HIGH,"&gt;=0")&gt;0)&gt;0,SUMIFS(OVR_HIGH,OVR_TICKERS,$C37),$L37))</f>
        <v/>
      </c>
      <c r="O37" s="133">
        <f>IF($B37="","",IFERROR($B37*$G37*$J37/$B$3,""))</f>
        <v/>
      </c>
      <c r="P37" s="133">
        <f>IF($B37="","",IFERROR($B37*$G37*$L37/$B$3,""))</f>
        <v/>
      </c>
      <c r="Q37" s="124">
        <f>IF($B37="","",IFERROR($O37+$P37,""))</f>
        <v/>
      </c>
      <c r="R37" s="133">
        <f>IF($B37="","",IFERROR($O37+$B37*$G37*$M37/$B$3,""))</f>
        <v/>
      </c>
      <c r="S37" s="133">
        <f>IF($B37="","",IFERROR($O37+$B37*$G37*$N37/$B$3,""))</f>
        <v/>
      </c>
      <c r="T37" s="150">
        <f>IF($B37="","",IFERROR($Q37/$Q$5,""))</f>
        <v/>
      </c>
      <c r="U37" s="2">
        <f>IF($B37="","",IF(COUNTIFS('Dvd Calendar'!$E$1452:$AR$1452,"&gt;0",'Dvd Calendar'!$E$1452:$AR$1452,"&lt;="&amp;VAL_DATE,'Dvd Calendar'!$E$1453:$AR$1453,"&gt;"&amp;PROJ_FROM,'Dvd Calendar'!$E$1453:$AR$1453,"&lt;="&amp;WIN_TO)-COUNTIFS('Dvd Calendar'!$E$1452:$AR$1452,"&gt;0",'Dvd Calendar'!$E$1452:$AR$1452,"&lt;="&amp;VAL_DATE,'Dvd Calendar'!$E$1453:$AR$1453,"&gt;"&amp;PROJ_FROM,'Dvd Calendar'!$E$1453:$AR$1453,"&lt;="&amp;WIN_TO,'Dvd Calendar'!$E$1454:$AR$1454,"&gt;=0")&gt;0,"TBA amount - override me",IF((OV_SWITCH="ON")*(COUNTIFS(OVR_TICKERS,$C37,OVR_BASE,"&gt;=0")&gt;0)&gt;0,"overridden",IF($J37+$K37=0,"no dividend in year Y",""))))</f>
        <v/>
      </c>
      <c r="V37" s="133">
        <f>IF($B37="","",IFERROR(IF(ISNUMBER($H37),$B37*$G37*$H37/$B$3,0),""))</f>
        <v/>
      </c>
      <c r="W37" s="133">
        <f>IF($B37="","",IFERROR($B37*$G37*$K37/$B$3,""))</f>
        <v/>
      </c>
      <c r="X37" s="157">
        <f>IF($C37="","",BDP($C37,"PX_LAST"))</f>
        <v/>
      </c>
      <c r="Y37" s="133">
        <f>IF($B37="","",IFERROR($B37*$X37/$B$3,""))</f>
        <v/>
      </c>
      <c r="Z37" s="137">
        <f>IF($B37="","",IFERROR($Y37/$Y$5,""))</f>
        <v/>
      </c>
    </row>
    <row r="38">
      <c r="B38" s="97" t="n"/>
      <c r="C38" s="8">
        <f>IF($A38="","",$A38&amp;" Equity")</f>
        <v/>
      </c>
      <c r="D38" s="8">
        <f>IF($C38="","",BDP($C38,"NAME"))</f>
        <v/>
      </c>
      <c r="E38" s="8">
        <f>IF($C38="","",BDP($C38,"GICS_SECTOR_NAME"))</f>
        <v/>
      </c>
      <c r="F38" s="37">
        <f>IF($C38="","",BDP($C38,FLD_CCY))</f>
        <v/>
      </c>
      <c r="G38" s="111">
        <f>IFERROR(IF(LEN($F38)&lt;&gt;3,1,IF($F38="HKD",1,BDP(IF($F38="CNY",RMB_CROSS,$F38)&amp;"HKD Curncy","PX_LAST"))),1)</f>
        <v/>
      </c>
      <c r="H38" s="133">
        <f>IF($C38="","",BDP($C38,FLD_DPS12M))</f>
        <v/>
      </c>
      <c r="I38" s="126">
        <f>IF($C38="","",BDP($C38,FLD_YLD12M))</f>
        <v/>
      </c>
      <c r="J38" s="128">
        <f>IF($B38="",0,SUMPRODUCT(('Dvd Calendar'!$E$1457:$AR$1457&gt;=WIN_FROM)*('Dvd Calendar'!$E$1457:$AR$1457&lt;=REALIZED_TO)*'Dvd Calendar'!$E$1460:$AR$1460*(('Dvd Calendar'!$E$1462:$AR$1462=TYPE1)*(TYPE1&lt;&gt;"")+('Dvd Calendar'!$E$1462:$AR$1462=TYPE2)*(TYPE2&lt;&gt;"")+('Dvd Calendar'!$E$1462:$AR$1462=TYPE3)*(TYPE3&lt;&gt;"")+('Dvd Calendar'!$E$1462:$AR$1462=TYPE4)*(TYPE4&lt;&gt;"")+('Dvd Calendar'!$E$1462:$AR$1462=SPECIAL_LBL)*(INC_SPECIALS="Y"))))</f>
        <v/>
      </c>
      <c r="K38" s="128">
        <f>IF($B38="",0,SUMIFS('Dvd Calendar'!$E$1465:$AR$1465,'Dvd Calendar'!$E$1464:$AR$1464,"&gt;"&amp;PROJ_FROM,'Dvd Calendar'!$E$1464:$AR$1464,"&lt;="&amp;WIN_TO)+SUMPRODUCT(('Dvd Calendar'!$E$1457:$AR$1457&gt;PROJ_FROM)*('Dvd Calendar'!$E$1457:$AR$1457&lt;=WIN_TO)*'Dvd Calendar'!$E$1460:$AR$1460*(('Dvd Calendar'!$E$1462:$AR$1462=TYPE1)*(TYPE1&lt;&gt;"")+('Dvd Calendar'!$E$1462:$AR$1462=TYPE2)*(TYPE2&lt;&gt;"")+('Dvd Calendar'!$E$1462:$AR$1462=TYPE3)*(TYPE3&lt;&gt;"")+('Dvd Calendar'!$E$1462:$AR$1462=TYPE4)*(TYPE4&lt;&gt;"")+('Dvd Calendar'!$E$1462:$AR$1462=SPECIAL_LBL)*(INC_SPECIALS="Y"))*(COUNTIF('Dvd Calendar'!$E$1464:$AR$1464,'Dvd Calendar'!$E$1457:$AR$1457)=0)))</f>
        <v/>
      </c>
      <c r="L38" s="128">
        <f>IF($B38="",0,IF((OV_SWITCH="ON")*(COUNTIFS(OVR_TICKERS,$C38,OVR_BASE,"&gt;=0")&gt;0)&gt;0,SUMIFS(OVR_BASE,OVR_TICKERS,$C38),$K38))</f>
        <v/>
      </c>
      <c r="M38" s="128">
        <f>IF($B38="",0,IF((OV_SWITCH="ON")*(COUNTIFS(OVR_TICKERS,$C38,OVR_LOW,"&gt;=0")&gt;0)&gt;0,SUMIFS(OVR_LOW,OVR_TICKERS,$C38),$L38))</f>
        <v/>
      </c>
      <c r="N38" s="128">
        <f>IF($B38="",0,IF((OV_SWITCH="ON")*(COUNTIFS(OVR_TICKERS,$C38,OVR_HIGH,"&gt;=0")&gt;0)&gt;0,SUMIFS(OVR_HIGH,OVR_TICKERS,$C38),$L38))</f>
        <v/>
      </c>
      <c r="O38" s="133">
        <f>IF($B38="","",IFERROR($B38*$G38*$J38/$B$3,""))</f>
        <v/>
      </c>
      <c r="P38" s="133">
        <f>IF($B38="","",IFERROR($B38*$G38*$L38/$B$3,""))</f>
        <v/>
      </c>
      <c r="Q38" s="124">
        <f>IF($B38="","",IFERROR($O38+$P38,""))</f>
        <v/>
      </c>
      <c r="R38" s="133">
        <f>IF($B38="","",IFERROR($O38+$B38*$G38*$M38/$B$3,""))</f>
        <v/>
      </c>
      <c r="S38" s="133">
        <f>IF($B38="","",IFERROR($O38+$B38*$G38*$N38/$B$3,""))</f>
        <v/>
      </c>
      <c r="T38" s="150">
        <f>IF($B38="","",IFERROR($Q38/$Q$5,""))</f>
        <v/>
      </c>
      <c r="U38" s="2">
        <f>IF($B38="","",IF(COUNTIFS('Dvd Calendar'!$E$1463:$AR$1463,"&gt;0",'Dvd Calendar'!$E$1463:$AR$1463,"&lt;="&amp;VAL_DATE,'Dvd Calendar'!$E$1464:$AR$1464,"&gt;"&amp;PROJ_FROM,'Dvd Calendar'!$E$1464:$AR$1464,"&lt;="&amp;WIN_TO)-COUNTIFS('Dvd Calendar'!$E$1463:$AR$1463,"&gt;0",'Dvd Calendar'!$E$1463:$AR$1463,"&lt;="&amp;VAL_DATE,'Dvd Calendar'!$E$1464:$AR$1464,"&gt;"&amp;PROJ_FROM,'Dvd Calendar'!$E$1464:$AR$1464,"&lt;="&amp;WIN_TO,'Dvd Calendar'!$E$1465:$AR$1465,"&gt;=0")&gt;0,"TBA amount - override me",IF((OV_SWITCH="ON")*(COUNTIFS(OVR_TICKERS,$C38,OVR_BASE,"&gt;=0")&gt;0)&gt;0,"overridden",IF($J38+$K38=0,"no dividend in year Y",""))))</f>
        <v/>
      </c>
      <c r="V38" s="133">
        <f>IF($B38="","",IFERROR(IF(ISNUMBER($H38),$B38*$G38*$H38/$B$3,0),""))</f>
        <v/>
      </c>
      <c r="W38" s="133">
        <f>IF($B38="","",IFERROR($B38*$G38*$K38/$B$3,""))</f>
        <v/>
      </c>
      <c r="X38" s="157">
        <f>IF($C38="","",BDP($C38,"PX_LAST"))</f>
        <v/>
      </c>
      <c r="Y38" s="133">
        <f>IF($B38="","",IFERROR($B38*$X38/$B$3,""))</f>
        <v/>
      </c>
      <c r="Z38" s="137">
        <f>IF($B38="","",IFERROR($Y38/$Y$5,""))</f>
        <v/>
      </c>
    </row>
    <row r="39">
      <c r="B39" s="97" t="n"/>
      <c r="C39" s="8">
        <f>IF($A39="","",$A39&amp;" Equity")</f>
        <v/>
      </c>
      <c r="D39" s="8">
        <f>IF($C39="","",BDP($C39,"NAME"))</f>
        <v/>
      </c>
      <c r="E39" s="8">
        <f>IF($C39="","",BDP($C39,"GICS_SECTOR_NAME"))</f>
        <v/>
      </c>
      <c r="F39" s="37">
        <f>IF($C39="","",BDP($C39,FLD_CCY))</f>
        <v/>
      </c>
      <c r="G39" s="111">
        <f>IFERROR(IF(LEN($F39)&lt;&gt;3,1,IF($F39="HKD",1,BDP(IF($F39="CNY",RMB_CROSS,$F39)&amp;"HKD Curncy","PX_LAST"))),1)</f>
        <v/>
      </c>
      <c r="H39" s="133">
        <f>IF($C39="","",BDP($C39,FLD_DPS12M))</f>
        <v/>
      </c>
      <c r="I39" s="126">
        <f>IF($C39="","",BDP($C39,FLD_YLD12M))</f>
        <v/>
      </c>
      <c r="J39" s="128">
        <f>IF($B39="",0,SUMPRODUCT(('Dvd Calendar'!$E$1468:$AR$1468&gt;=WIN_FROM)*('Dvd Calendar'!$E$1468:$AR$1468&lt;=REALIZED_TO)*'Dvd Calendar'!$E$1471:$AR$1471*(('Dvd Calendar'!$E$1473:$AR$1473=TYPE1)*(TYPE1&lt;&gt;"")+('Dvd Calendar'!$E$1473:$AR$1473=TYPE2)*(TYPE2&lt;&gt;"")+('Dvd Calendar'!$E$1473:$AR$1473=TYPE3)*(TYPE3&lt;&gt;"")+('Dvd Calendar'!$E$1473:$AR$1473=TYPE4)*(TYPE4&lt;&gt;"")+('Dvd Calendar'!$E$1473:$AR$1473=SPECIAL_LBL)*(INC_SPECIALS="Y"))))</f>
        <v/>
      </c>
      <c r="K39" s="128">
        <f>IF($B39="",0,SUMIFS('Dvd Calendar'!$E$1476:$AR$1476,'Dvd Calendar'!$E$1475:$AR$1475,"&gt;"&amp;PROJ_FROM,'Dvd Calendar'!$E$1475:$AR$1475,"&lt;="&amp;WIN_TO)+SUMPRODUCT(('Dvd Calendar'!$E$1468:$AR$1468&gt;PROJ_FROM)*('Dvd Calendar'!$E$1468:$AR$1468&lt;=WIN_TO)*'Dvd Calendar'!$E$1471:$AR$1471*(('Dvd Calendar'!$E$1473:$AR$1473=TYPE1)*(TYPE1&lt;&gt;"")+('Dvd Calendar'!$E$1473:$AR$1473=TYPE2)*(TYPE2&lt;&gt;"")+('Dvd Calendar'!$E$1473:$AR$1473=TYPE3)*(TYPE3&lt;&gt;"")+('Dvd Calendar'!$E$1473:$AR$1473=TYPE4)*(TYPE4&lt;&gt;"")+('Dvd Calendar'!$E$1473:$AR$1473=SPECIAL_LBL)*(INC_SPECIALS="Y"))*(COUNTIF('Dvd Calendar'!$E$1475:$AR$1475,'Dvd Calendar'!$E$1468:$AR$1468)=0)))</f>
        <v/>
      </c>
      <c r="L39" s="128">
        <f>IF($B39="",0,IF((OV_SWITCH="ON")*(COUNTIFS(OVR_TICKERS,$C39,OVR_BASE,"&gt;=0")&gt;0)&gt;0,SUMIFS(OVR_BASE,OVR_TICKERS,$C39),$K39))</f>
        <v/>
      </c>
      <c r="M39" s="128">
        <f>IF($B39="",0,IF((OV_SWITCH="ON")*(COUNTIFS(OVR_TICKERS,$C39,OVR_LOW,"&gt;=0")&gt;0)&gt;0,SUMIFS(OVR_LOW,OVR_TICKERS,$C39),$L39))</f>
        <v/>
      </c>
      <c r="N39" s="128">
        <f>IF($B39="",0,IF((OV_SWITCH="ON")*(COUNTIFS(OVR_TICKERS,$C39,OVR_HIGH,"&gt;=0")&gt;0)&gt;0,SUMIFS(OVR_HIGH,OVR_TICKERS,$C39),$L39))</f>
        <v/>
      </c>
      <c r="O39" s="133">
        <f>IF($B39="","",IFERROR($B39*$G39*$J39/$B$3,""))</f>
        <v/>
      </c>
      <c r="P39" s="133">
        <f>IF($B39="","",IFERROR($B39*$G39*$L39/$B$3,""))</f>
        <v/>
      </c>
      <c r="Q39" s="124">
        <f>IF($B39="","",IFERROR($O39+$P39,""))</f>
        <v/>
      </c>
      <c r="R39" s="133">
        <f>IF($B39="","",IFERROR($O39+$B39*$G39*$M39/$B$3,""))</f>
        <v/>
      </c>
      <c r="S39" s="133">
        <f>IF($B39="","",IFERROR($O39+$B39*$G39*$N39/$B$3,""))</f>
        <v/>
      </c>
      <c r="T39" s="150">
        <f>IF($B39="","",IFERROR($Q39/$Q$5,""))</f>
        <v/>
      </c>
      <c r="U39" s="2">
        <f>IF($B39="","",IF(COUNTIFS('Dvd Calendar'!$E$1474:$AR$1474,"&gt;0",'Dvd Calendar'!$E$1474:$AR$1474,"&lt;="&amp;VAL_DATE,'Dvd Calendar'!$E$1475:$AR$1475,"&gt;"&amp;PROJ_FROM,'Dvd Calendar'!$E$1475:$AR$1475,"&lt;="&amp;WIN_TO)-COUNTIFS('Dvd Calendar'!$E$1474:$AR$1474,"&gt;0",'Dvd Calendar'!$E$1474:$AR$1474,"&lt;="&amp;VAL_DATE,'Dvd Calendar'!$E$1475:$AR$1475,"&gt;"&amp;PROJ_FROM,'Dvd Calendar'!$E$1475:$AR$1475,"&lt;="&amp;WIN_TO,'Dvd Calendar'!$E$1476:$AR$1476,"&gt;=0")&gt;0,"TBA amount - override me",IF((OV_SWITCH="ON")*(COUNTIFS(OVR_TICKERS,$C39,OVR_BASE,"&gt;=0")&gt;0)&gt;0,"overridden",IF($J39+$K39=0,"no dividend in year Y",""))))</f>
        <v/>
      </c>
      <c r="V39" s="133">
        <f>IF($B39="","",IFERROR(IF(ISNUMBER($H39),$B39*$G39*$H39/$B$3,0),""))</f>
        <v/>
      </c>
      <c r="W39" s="133">
        <f>IF($B39="","",IFERROR($B39*$G39*$K39/$B$3,""))</f>
        <v/>
      </c>
      <c r="X39" s="157">
        <f>IF($C39="","",BDP($C39,"PX_LAST"))</f>
        <v/>
      </c>
      <c r="Y39" s="133">
        <f>IF($B39="","",IFERROR($B39*$X39/$B$3,""))</f>
        <v/>
      </c>
      <c r="Z39" s="137">
        <f>IF($B39="","",IFERROR($Y39/$Y$5,""))</f>
        <v/>
      </c>
    </row>
    <row r="40">
      <c r="B40" s="97" t="n"/>
      <c r="C40" s="8">
        <f>IF($A40="","",$A40&amp;" Equity")</f>
        <v/>
      </c>
      <c r="D40" s="8">
        <f>IF($C40="","",BDP($C40,"NAME"))</f>
        <v/>
      </c>
      <c r="E40" s="8">
        <f>IF($C40="","",BDP($C40,"GICS_SECTOR_NAME"))</f>
        <v/>
      </c>
      <c r="F40" s="37">
        <f>IF($C40="","",BDP($C40,FLD_CCY))</f>
        <v/>
      </c>
      <c r="G40" s="111">
        <f>IFERROR(IF(LEN($F40)&lt;&gt;3,1,IF($F40="HKD",1,BDP(IF($F40="CNY",RMB_CROSS,$F40)&amp;"HKD Curncy","PX_LAST"))),1)</f>
        <v/>
      </c>
      <c r="H40" s="133">
        <f>IF($C40="","",BDP($C40,FLD_DPS12M))</f>
        <v/>
      </c>
      <c r="I40" s="126">
        <f>IF($C40="","",BDP($C40,FLD_YLD12M))</f>
        <v/>
      </c>
      <c r="J40" s="128">
        <f>IF($B40="",0,SUMPRODUCT(('Dvd Calendar'!$E$1479:$AR$1479&gt;=WIN_FROM)*('Dvd Calendar'!$E$1479:$AR$1479&lt;=REALIZED_TO)*'Dvd Calendar'!$E$1482:$AR$1482*(('Dvd Calendar'!$E$1484:$AR$1484=TYPE1)*(TYPE1&lt;&gt;"")+('Dvd Calendar'!$E$1484:$AR$1484=TYPE2)*(TYPE2&lt;&gt;"")+('Dvd Calendar'!$E$1484:$AR$1484=TYPE3)*(TYPE3&lt;&gt;"")+('Dvd Calendar'!$E$1484:$AR$1484=TYPE4)*(TYPE4&lt;&gt;"")+('Dvd Calendar'!$E$1484:$AR$1484=SPECIAL_LBL)*(INC_SPECIALS="Y"))))</f>
        <v/>
      </c>
      <c r="K40" s="128">
        <f>IF($B40="",0,SUMIFS('Dvd Calendar'!$E$1487:$AR$1487,'Dvd Calendar'!$E$1486:$AR$1486,"&gt;"&amp;PROJ_FROM,'Dvd Calendar'!$E$1486:$AR$1486,"&lt;="&amp;WIN_TO)+SUMPRODUCT(('Dvd Calendar'!$E$1479:$AR$1479&gt;PROJ_FROM)*('Dvd Calendar'!$E$1479:$AR$1479&lt;=WIN_TO)*'Dvd Calendar'!$E$1482:$AR$1482*(('Dvd Calendar'!$E$1484:$AR$1484=TYPE1)*(TYPE1&lt;&gt;"")+('Dvd Calendar'!$E$1484:$AR$1484=TYPE2)*(TYPE2&lt;&gt;"")+('Dvd Calendar'!$E$1484:$AR$1484=TYPE3)*(TYPE3&lt;&gt;"")+('Dvd Calendar'!$E$1484:$AR$1484=TYPE4)*(TYPE4&lt;&gt;"")+('Dvd Calendar'!$E$1484:$AR$1484=SPECIAL_LBL)*(INC_SPECIALS="Y"))*(COUNTIF('Dvd Calendar'!$E$1486:$AR$1486,'Dvd Calendar'!$E$1479:$AR$1479)=0)))</f>
        <v/>
      </c>
      <c r="L40" s="128">
        <f>IF($B40="",0,IF((OV_SWITCH="ON")*(COUNTIFS(OVR_TICKERS,$C40,OVR_BASE,"&gt;=0")&gt;0)&gt;0,SUMIFS(OVR_BASE,OVR_TICKERS,$C40),$K40))</f>
        <v/>
      </c>
      <c r="M40" s="128">
        <f>IF($B40="",0,IF((OV_SWITCH="ON")*(COUNTIFS(OVR_TICKERS,$C40,OVR_LOW,"&gt;=0")&gt;0)&gt;0,SUMIFS(OVR_LOW,OVR_TICKERS,$C40),$L40))</f>
        <v/>
      </c>
      <c r="N40" s="128">
        <f>IF($B40="",0,IF((OV_SWITCH="ON")*(COUNTIFS(OVR_TICKERS,$C40,OVR_HIGH,"&gt;=0")&gt;0)&gt;0,SUMIFS(OVR_HIGH,OVR_TICKERS,$C40),$L40))</f>
        <v/>
      </c>
      <c r="O40" s="133">
        <f>IF($B40="","",IFERROR($B40*$G40*$J40/$B$3,""))</f>
        <v/>
      </c>
      <c r="P40" s="133">
        <f>IF($B40="","",IFERROR($B40*$G40*$L40/$B$3,""))</f>
        <v/>
      </c>
      <c r="Q40" s="124">
        <f>IF($B40="","",IFERROR($O40+$P40,""))</f>
        <v/>
      </c>
      <c r="R40" s="133">
        <f>IF($B40="","",IFERROR($O40+$B40*$G40*$M40/$B$3,""))</f>
        <v/>
      </c>
      <c r="S40" s="133">
        <f>IF($B40="","",IFERROR($O40+$B40*$G40*$N40/$B$3,""))</f>
        <v/>
      </c>
      <c r="T40" s="150">
        <f>IF($B40="","",IFERROR($Q40/$Q$5,""))</f>
        <v/>
      </c>
      <c r="U40" s="2">
        <f>IF($B40="","",IF(COUNTIFS('Dvd Calendar'!$E$1485:$AR$1485,"&gt;0",'Dvd Calendar'!$E$1485:$AR$1485,"&lt;="&amp;VAL_DATE,'Dvd Calendar'!$E$1486:$AR$1486,"&gt;"&amp;PROJ_FROM,'Dvd Calendar'!$E$1486:$AR$1486,"&lt;="&amp;WIN_TO)-COUNTIFS('Dvd Calendar'!$E$1485:$AR$1485,"&gt;0",'Dvd Calendar'!$E$1485:$AR$1485,"&lt;="&amp;VAL_DATE,'Dvd Calendar'!$E$1486:$AR$1486,"&gt;"&amp;PROJ_FROM,'Dvd Calendar'!$E$1486:$AR$1486,"&lt;="&amp;WIN_TO,'Dvd Calendar'!$E$1487:$AR$1487,"&gt;=0")&gt;0,"TBA amount - override me",IF((OV_SWITCH="ON")*(COUNTIFS(OVR_TICKERS,$C40,OVR_BASE,"&gt;=0")&gt;0)&gt;0,"overridden",IF($J40+$K40=0,"no dividend in year Y",""))))</f>
        <v/>
      </c>
      <c r="V40" s="133">
        <f>IF($B40="","",IFERROR(IF(ISNUMBER($H40),$B40*$G40*$H40/$B$3,0),""))</f>
        <v/>
      </c>
      <c r="W40" s="133">
        <f>IF($B40="","",IFERROR($B40*$G40*$K40/$B$3,""))</f>
        <v/>
      </c>
      <c r="X40" s="157">
        <f>IF($C40="","",BDP($C40,"PX_LAST"))</f>
        <v/>
      </c>
      <c r="Y40" s="133">
        <f>IF($B40="","",IFERROR($B40*$X40/$B$3,""))</f>
        <v/>
      </c>
      <c r="Z40" s="137">
        <f>IF($B40="","",IFERROR($Y40/$Y$5,""))</f>
        <v/>
      </c>
    </row>
    <row r="41">
      <c r="B41" s="97" t="n"/>
      <c r="C41" s="8">
        <f>IF($A41="","",$A41&amp;" Equity")</f>
        <v/>
      </c>
      <c r="D41" s="8">
        <f>IF($C41="","",BDP($C41,"NAME"))</f>
        <v/>
      </c>
      <c r="E41" s="8">
        <f>IF($C41="","",BDP($C41,"GICS_SECTOR_NAME"))</f>
        <v/>
      </c>
      <c r="F41" s="37">
        <f>IF($C41="","",BDP($C41,FLD_CCY))</f>
        <v/>
      </c>
      <c r="G41" s="111">
        <f>IFERROR(IF(LEN($F41)&lt;&gt;3,1,IF($F41="HKD",1,BDP(IF($F41="CNY",RMB_CROSS,$F41)&amp;"HKD Curncy","PX_LAST"))),1)</f>
        <v/>
      </c>
      <c r="H41" s="133">
        <f>IF($C41="","",BDP($C41,FLD_DPS12M))</f>
        <v/>
      </c>
      <c r="I41" s="126">
        <f>IF($C41="","",BDP($C41,FLD_YLD12M))</f>
        <v/>
      </c>
      <c r="J41" s="128">
        <f>IF($B41="",0,SUMPRODUCT(('Dvd Calendar'!$E$1490:$AR$1490&gt;=WIN_FROM)*('Dvd Calendar'!$E$1490:$AR$1490&lt;=REALIZED_TO)*'Dvd Calendar'!$E$1493:$AR$1493*(('Dvd Calendar'!$E$1495:$AR$1495=TYPE1)*(TYPE1&lt;&gt;"")+('Dvd Calendar'!$E$1495:$AR$1495=TYPE2)*(TYPE2&lt;&gt;"")+('Dvd Calendar'!$E$1495:$AR$1495=TYPE3)*(TYPE3&lt;&gt;"")+('Dvd Calendar'!$E$1495:$AR$1495=TYPE4)*(TYPE4&lt;&gt;"")+('Dvd Calendar'!$E$1495:$AR$1495=SPECIAL_LBL)*(INC_SPECIALS="Y"))))</f>
        <v/>
      </c>
      <c r="K41" s="128">
        <f>IF($B41="",0,SUMIFS('Dvd Calendar'!$E$1498:$AR$1498,'Dvd Calendar'!$E$1497:$AR$1497,"&gt;"&amp;PROJ_FROM,'Dvd Calendar'!$E$1497:$AR$1497,"&lt;="&amp;WIN_TO)+SUMPRODUCT(('Dvd Calendar'!$E$1490:$AR$1490&gt;PROJ_FROM)*('Dvd Calendar'!$E$1490:$AR$1490&lt;=WIN_TO)*'Dvd Calendar'!$E$1493:$AR$1493*(('Dvd Calendar'!$E$1495:$AR$1495=TYPE1)*(TYPE1&lt;&gt;"")+('Dvd Calendar'!$E$1495:$AR$1495=TYPE2)*(TYPE2&lt;&gt;"")+('Dvd Calendar'!$E$1495:$AR$1495=TYPE3)*(TYPE3&lt;&gt;"")+('Dvd Calendar'!$E$1495:$AR$1495=TYPE4)*(TYPE4&lt;&gt;"")+('Dvd Calendar'!$E$1495:$AR$1495=SPECIAL_LBL)*(INC_SPECIALS="Y"))*(COUNTIF('Dvd Calendar'!$E$1497:$AR$1497,'Dvd Calendar'!$E$1490:$AR$1490)=0)))</f>
        <v/>
      </c>
      <c r="L41" s="128">
        <f>IF($B41="",0,IF((OV_SWITCH="ON")*(COUNTIFS(OVR_TICKERS,$C41,OVR_BASE,"&gt;=0")&gt;0)&gt;0,SUMIFS(OVR_BASE,OVR_TICKERS,$C41),$K41))</f>
        <v/>
      </c>
      <c r="M41" s="128">
        <f>IF($B41="",0,IF((OV_SWITCH="ON")*(COUNTIFS(OVR_TICKERS,$C41,OVR_LOW,"&gt;=0")&gt;0)&gt;0,SUMIFS(OVR_LOW,OVR_TICKERS,$C41),$L41))</f>
        <v/>
      </c>
      <c r="N41" s="128">
        <f>IF($B41="",0,IF((OV_SWITCH="ON")*(COUNTIFS(OVR_TICKERS,$C41,OVR_HIGH,"&gt;=0")&gt;0)&gt;0,SUMIFS(OVR_HIGH,OVR_TICKERS,$C41),$L41))</f>
        <v/>
      </c>
      <c r="O41" s="133">
        <f>IF($B41="","",IFERROR($B41*$G41*$J41/$B$3,""))</f>
        <v/>
      </c>
      <c r="P41" s="133">
        <f>IF($B41="","",IFERROR($B41*$G41*$L41/$B$3,""))</f>
        <v/>
      </c>
      <c r="Q41" s="124">
        <f>IF($B41="","",IFERROR($O41+$P41,""))</f>
        <v/>
      </c>
      <c r="R41" s="133">
        <f>IF($B41="","",IFERROR($O41+$B41*$G41*$M41/$B$3,""))</f>
        <v/>
      </c>
      <c r="S41" s="133">
        <f>IF($B41="","",IFERROR($O41+$B41*$G41*$N41/$B$3,""))</f>
        <v/>
      </c>
      <c r="T41" s="150">
        <f>IF($B41="","",IFERROR($Q41/$Q$5,""))</f>
        <v/>
      </c>
      <c r="U41" s="2">
        <f>IF($B41="","",IF(COUNTIFS('Dvd Calendar'!$E$1496:$AR$1496,"&gt;0",'Dvd Calendar'!$E$1496:$AR$1496,"&lt;="&amp;VAL_DATE,'Dvd Calendar'!$E$1497:$AR$1497,"&gt;"&amp;PROJ_FROM,'Dvd Calendar'!$E$1497:$AR$1497,"&lt;="&amp;WIN_TO)-COUNTIFS('Dvd Calendar'!$E$1496:$AR$1496,"&gt;0",'Dvd Calendar'!$E$1496:$AR$1496,"&lt;="&amp;VAL_DATE,'Dvd Calendar'!$E$1497:$AR$1497,"&gt;"&amp;PROJ_FROM,'Dvd Calendar'!$E$1497:$AR$1497,"&lt;="&amp;WIN_TO,'Dvd Calendar'!$E$1498:$AR$1498,"&gt;=0")&gt;0,"TBA amount - override me",IF((OV_SWITCH="ON")*(COUNTIFS(OVR_TICKERS,$C41,OVR_BASE,"&gt;=0")&gt;0)&gt;0,"overridden",IF($J41+$K41=0,"no dividend in year Y",""))))</f>
        <v/>
      </c>
      <c r="V41" s="133">
        <f>IF($B41="","",IFERROR(IF(ISNUMBER($H41),$B41*$G41*$H41/$B$3,0),""))</f>
        <v/>
      </c>
      <c r="W41" s="133">
        <f>IF($B41="","",IFERROR($B41*$G41*$K41/$B$3,""))</f>
        <v/>
      </c>
      <c r="X41" s="157">
        <f>IF($C41="","",BDP($C41,"PX_LAST"))</f>
        <v/>
      </c>
      <c r="Y41" s="133">
        <f>IF($B41="","",IFERROR($B41*$X41/$B$3,""))</f>
        <v/>
      </c>
      <c r="Z41" s="137">
        <f>IF($B41="","",IFERROR($Y41/$Y$5,""))</f>
        <v/>
      </c>
    </row>
    <row r="42">
      <c r="B42" s="97" t="n"/>
      <c r="C42" s="8">
        <f>IF($A42="","",$A42&amp;" Equity")</f>
        <v/>
      </c>
      <c r="D42" s="8">
        <f>IF($C42="","",BDP($C42,"NAME"))</f>
        <v/>
      </c>
      <c r="E42" s="8">
        <f>IF($C42="","",BDP($C42,"GICS_SECTOR_NAME"))</f>
        <v/>
      </c>
      <c r="F42" s="37">
        <f>IF($C42="","",BDP($C42,FLD_CCY))</f>
        <v/>
      </c>
      <c r="G42" s="111">
        <f>IFERROR(IF(LEN($F42)&lt;&gt;3,1,IF($F42="HKD",1,BDP(IF($F42="CNY",RMB_CROSS,$F42)&amp;"HKD Curncy","PX_LAST"))),1)</f>
        <v/>
      </c>
      <c r="H42" s="133">
        <f>IF($C42="","",BDP($C42,FLD_DPS12M))</f>
        <v/>
      </c>
      <c r="I42" s="126">
        <f>IF($C42="","",BDP($C42,FLD_YLD12M))</f>
        <v/>
      </c>
      <c r="J42" s="128">
        <f>IF($B42="",0,SUMPRODUCT(('Dvd Calendar'!$E$1501:$AR$1501&gt;=WIN_FROM)*('Dvd Calendar'!$E$1501:$AR$1501&lt;=REALIZED_TO)*'Dvd Calendar'!$E$1504:$AR$1504*(('Dvd Calendar'!$E$1506:$AR$1506=TYPE1)*(TYPE1&lt;&gt;"")+('Dvd Calendar'!$E$1506:$AR$1506=TYPE2)*(TYPE2&lt;&gt;"")+('Dvd Calendar'!$E$1506:$AR$1506=TYPE3)*(TYPE3&lt;&gt;"")+('Dvd Calendar'!$E$1506:$AR$1506=TYPE4)*(TYPE4&lt;&gt;"")+('Dvd Calendar'!$E$1506:$AR$1506=SPECIAL_LBL)*(INC_SPECIALS="Y"))))</f>
        <v/>
      </c>
      <c r="K42" s="128">
        <f>IF($B42="",0,SUMIFS('Dvd Calendar'!$E$1509:$AR$1509,'Dvd Calendar'!$E$1508:$AR$1508,"&gt;"&amp;PROJ_FROM,'Dvd Calendar'!$E$1508:$AR$1508,"&lt;="&amp;WIN_TO)+SUMPRODUCT(('Dvd Calendar'!$E$1501:$AR$1501&gt;PROJ_FROM)*('Dvd Calendar'!$E$1501:$AR$1501&lt;=WIN_TO)*'Dvd Calendar'!$E$1504:$AR$1504*(('Dvd Calendar'!$E$1506:$AR$1506=TYPE1)*(TYPE1&lt;&gt;"")+('Dvd Calendar'!$E$1506:$AR$1506=TYPE2)*(TYPE2&lt;&gt;"")+('Dvd Calendar'!$E$1506:$AR$1506=TYPE3)*(TYPE3&lt;&gt;"")+('Dvd Calendar'!$E$1506:$AR$1506=TYPE4)*(TYPE4&lt;&gt;"")+('Dvd Calendar'!$E$1506:$AR$1506=SPECIAL_LBL)*(INC_SPECIALS="Y"))*(COUNTIF('Dvd Calendar'!$E$1508:$AR$1508,'Dvd Calendar'!$E$1501:$AR$1501)=0)))</f>
        <v/>
      </c>
      <c r="L42" s="128">
        <f>IF($B42="",0,IF((OV_SWITCH="ON")*(COUNTIFS(OVR_TICKERS,$C42,OVR_BASE,"&gt;=0")&gt;0)&gt;0,SUMIFS(OVR_BASE,OVR_TICKERS,$C42),$K42))</f>
        <v/>
      </c>
      <c r="M42" s="128">
        <f>IF($B42="",0,IF((OV_SWITCH="ON")*(COUNTIFS(OVR_TICKERS,$C42,OVR_LOW,"&gt;=0")&gt;0)&gt;0,SUMIFS(OVR_LOW,OVR_TICKERS,$C42),$L42))</f>
        <v/>
      </c>
      <c r="N42" s="128">
        <f>IF($B42="",0,IF((OV_SWITCH="ON")*(COUNTIFS(OVR_TICKERS,$C42,OVR_HIGH,"&gt;=0")&gt;0)&gt;0,SUMIFS(OVR_HIGH,OVR_TICKERS,$C42),$L42))</f>
        <v/>
      </c>
      <c r="O42" s="133">
        <f>IF($B42="","",IFERROR($B42*$G42*$J42/$B$3,""))</f>
        <v/>
      </c>
      <c r="P42" s="133">
        <f>IF($B42="","",IFERROR($B42*$G42*$L42/$B$3,""))</f>
        <v/>
      </c>
      <c r="Q42" s="124">
        <f>IF($B42="","",IFERROR($O42+$P42,""))</f>
        <v/>
      </c>
      <c r="R42" s="133">
        <f>IF($B42="","",IFERROR($O42+$B42*$G42*$M42/$B$3,""))</f>
        <v/>
      </c>
      <c r="S42" s="133">
        <f>IF($B42="","",IFERROR($O42+$B42*$G42*$N42/$B$3,""))</f>
        <v/>
      </c>
      <c r="T42" s="150">
        <f>IF($B42="","",IFERROR($Q42/$Q$5,""))</f>
        <v/>
      </c>
      <c r="U42" s="2">
        <f>IF($B42="","",IF(COUNTIFS('Dvd Calendar'!$E$1507:$AR$1507,"&gt;0",'Dvd Calendar'!$E$1507:$AR$1507,"&lt;="&amp;VAL_DATE,'Dvd Calendar'!$E$1508:$AR$1508,"&gt;"&amp;PROJ_FROM,'Dvd Calendar'!$E$1508:$AR$1508,"&lt;="&amp;WIN_TO)-COUNTIFS('Dvd Calendar'!$E$1507:$AR$1507,"&gt;0",'Dvd Calendar'!$E$1507:$AR$1507,"&lt;="&amp;VAL_DATE,'Dvd Calendar'!$E$1508:$AR$1508,"&gt;"&amp;PROJ_FROM,'Dvd Calendar'!$E$1508:$AR$1508,"&lt;="&amp;WIN_TO,'Dvd Calendar'!$E$1509:$AR$1509,"&gt;=0")&gt;0,"TBA amount - override me",IF((OV_SWITCH="ON")*(COUNTIFS(OVR_TICKERS,$C42,OVR_BASE,"&gt;=0")&gt;0)&gt;0,"overridden",IF($J42+$K42=0,"no dividend in year Y",""))))</f>
        <v/>
      </c>
      <c r="V42" s="133">
        <f>IF($B42="","",IFERROR(IF(ISNUMBER($H42),$B42*$G42*$H42/$B$3,0),""))</f>
        <v/>
      </c>
      <c r="W42" s="133">
        <f>IF($B42="","",IFERROR($B42*$G42*$K42/$B$3,""))</f>
        <v/>
      </c>
      <c r="X42" s="157">
        <f>IF($C42="","",BDP($C42,"PX_LAST"))</f>
        <v/>
      </c>
      <c r="Y42" s="133">
        <f>IF($B42="","",IFERROR($B42*$X42/$B$3,""))</f>
        <v/>
      </c>
      <c r="Z42" s="137">
        <f>IF($B42="","",IFERROR($Y42/$Y$5,""))</f>
        <v/>
      </c>
    </row>
    <row r="43">
      <c r="B43" s="97" t="n"/>
      <c r="C43" s="8">
        <f>IF($A43="","",$A43&amp;" Equity")</f>
        <v/>
      </c>
      <c r="D43" s="8">
        <f>IF($C43="","",BDP($C43,"NAME"))</f>
        <v/>
      </c>
      <c r="E43" s="8">
        <f>IF($C43="","",BDP($C43,"GICS_SECTOR_NAME"))</f>
        <v/>
      </c>
      <c r="F43" s="37">
        <f>IF($C43="","",BDP($C43,FLD_CCY))</f>
        <v/>
      </c>
      <c r="G43" s="111">
        <f>IFERROR(IF(LEN($F43)&lt;&gt;3,1,IF($F43="HKD",1,BDP(IF($F43="CNY",RMB_CROSS,$F43)&amp;"HKD Curncy","PX_LAST"))),1)</f>
        <v/>
      </c>
      <c r="H43" s="133">
        <f>IF($C43="","",BDP($C43,FLD_DPS12M))</f>
        <v/>
      </c>
      <c r="I43" s="126">
        <f>IF($C43="","",BDP($C43,FLD_YLD12M))</f>
        <v/>
      </c>
      <c r="J43" s="128">
        <f>IF($B43="",0,SUMPRODUCT(('Dvd Calendar'!$E$1512:$AR$1512&gt;=WIN_FROM)*('Dvd Calendar'!$E$1512:$AR$1512&lt;=REALIZED_TO)*'Dvd Calendar'!$E$1515:$AR$1515*(('Dvd Calendar'!$E$1517:$AR$1517=TYPE1)*(TYPE1&lt;&gt;"")+('Dvd Calendar'!$E$1517:$AR$1517=TYPE2)*(TYPE2&lt;&gt;"")+('Dvd Calendar'!$E$1517:$AR$1517=TYPE3)*(TYPE3&lt;&gt;"")+('Dvd Calendar'!$E$1517:$AR$1517=TYPE4)*(TYPE4&lt;&gt;"")+('Dvd Calendar'!$E$1517:$AR$1517=SPECIAL_LBL)*(INC_SPECIALS="Y"))))</f>
        <v/>
      </c>
      <c r="K43" s="128">
        <f>IF($B43="",0,SUMIFS('Dvd Calendar'!$E$1520:$AR$1520,'Dvd Calendar'!$E$1519:$AR$1519,"&gt;"&amp;PROJ_FROM,'Dvd Calendar'!$E$1519:$AR$1519,"&lt;="&amp;WIN_TO)+SUMPRODUCT(('Dvd Calendar'!$E$1512:$AR$1512&gt;PROJ_FROM)*('Dvd Calendar'!$E$1512:$AR$1512&lt;=WIN_TO)*'Dvd Calendar'!$E$1515:$AR$1515*(('Dvd Calendar'!$E$1517:$AR$1517=TYPE1)*(TYPE1&lt;&gt;"")+('Dvd Calendar'!$E$1517:$AR$1517=TYPE2)*(TYPE2&lt;&gt;"")+('Dvd Calendar'!$E$1517:$AR$1517=TYPE3)*(TYPE3&lt;&gt;"")+('Dvd Calendar'!$E$1517:$AR$1517=TYPE4)*(TYPE4&lt;&gt;"")+('Dvd Calendar'!$E$1517:$AR$1517=SPECIAL_LBL)*(INC_SPECIALS="Y"))*(COUNTIF('Dvd Calendar'!$E$1519:$AR$1519,'Dvd Calendar'!$E$1512:$AR$1512)=0)))</f>
        <v/>
      </c>
      <c r="L43" s="128">
        <f>IF($B43="",0,IF((OV_SWITCH="ON")*(COUNTIFS(OVR_TICKERS,$C43,OVR_BASE,"&gt;=0")&gt;0)&gt;0,SUMIFS(OVR_BASE,OVR_TICKERS,$C43),$K43))</f>
        <v/>
      </c>
      <c r="M43" s="128">
        <f>IF($B43="",0,IF((OV_SWITCH="ON")*(COUNTIFS(OVR_TICKERS,$C43,OVR_LOW,"&gt;=0")&gt;0)&gt;0,SUMIFS(OVR_LOW,OVR_TICKERS,$C43),$L43))</f>
        <v/>
      </c>
      <c r="N43" s="128">
        <f>IF($B43="",0,IF((OV_SWITCH="ON")*(COUNTIFS(OVR_TICKERS,$C43,OVR_HIGH,"&gt;=0")&gt;0)&gt;0,SUMIFS(OVR_HIGH,OVR_TICKERS,$C43),$L43))</f>
        <v/>
      </c>
      <c r="O43" s="133">
        <f>IF($B43="","",IFERROR($B43*$G43*$J43/$B$3,""))</f>
        <v/>
      </c>
      <c r="P43" s="133">
        <f>IF($B43="","",IFERROR($B43*$G43*$L43/$B$3,""))</f>
        <v/>
      </c>
      <c r="Q43" s="124">
        <f>IF($B43="","",IFERROR($O43+$P43,""))</f>
        <v/>
      </c>
      <c r="R43" s="133">
        <f>IF($B43="","",IFERROR($O43+$B43*$G43*$M43/$B$3,""))</f>
        <v/>
      </c>
      <c r="S43" s="133">
        <f>IF($B43="","",IFERROR($O43+$B43*$G43*$N43/$B$3,""))</f>
        <v/>
      </c>
      <c r="T43" s="150">
        <f>IF($B43="","",IFERROR($Q43/$Q$5,""))</f>
        <v/>
      </c>
      <c r="U43" s="2">
        <f>IF($B43="","",IF(COUNTIFS('Dvd Calendar'!$E$1518:$AR$1518,"&gt;0",'Dvd Calendar'!$E$1518:$AR$1518,"&lt;="&amp;VAL_DATE,'Dvd Calendar'!$E$1519:$AR$1519,"&gt;"&amp;PROJ_FROM,'Dvd Calendar'!$E$1519:$AR$1519,"&lt;="&amp;WIN_TO)-COUNTIFS('Dvd Calendar'!$E$1518:$AR$1518,"&gt;0",'Dvd Calendar'!$E$1518:$AR$1518,"&lt;="&amp;VAL_DATE,'Dvd Calendar'!$E$1519:$AR$1519,"&gt;"&amp;PROJ_FROM,'Dvd Calendar'!$E$1519:$AR$1519,"&lt;="&amp;WIN_TO,'Dvd Calendar'!$E$1520:$AR$1520,"&gt;=0")&gt;0,"TBA amount - override me",IF((OV_SWITCH="ON")*(COUNTIFS(OVR_TICKERS,$C43,OVR_BASE,"&gt;=0")&gt;0)&gt;0,"overridden",IF($J43+$K43=0,"no dividend in year Y",""))))</f>
        <v/>
      </c>
      <c r="V43" s="133">
        <f>IF($B43="","",IFERROR(IF(ISNUMBER($H43),$B43*$G43*$H43/$B$3,0),""))</f>
        <v/>
      </c>
      <c r="W43" s="133">
        <f>IF($B43="","",IFERROR($B43*$G43*$K43/$B$3,""))</f>
        <v/>
      </c>
      <c r="X43" s="157">
        <f>IF($C43="","",BDP($C43,"PX_LAST"))</f>
        <v/>
      </c>
      <c r="Y43" s="133">
        <f>IF($B43="","",IFERROR($B43*$X43/$B$3,""))</f>
        <v/>
      </c>
      <c r="Z43" s="137">
        <f>IF($B43="","",IFERROR($Y43/$Y$5,""))</f>
        <v/>
      </c>
    </row>
    <row r="44">
      <c r="B44" s="97" t="n"/>
      <c r="C44" s="8">
        <f>IF($A44="","",$A44&amp;" Equity")</f>
        <v/>
      </c>
      <c r="D44" s="8">
        <f>IF($C44="","",BDP($C44,"NAME"))</f>
        <v/>
      </c>
      <c r="E44" s="8">
        <f>IF($C44="","",BDP($C44,"GICS_SECTOR_NAME"))</f>
        <v/>
      </c>
      <c r="F44" s="37">
        <f>IF($C44="","",BDP($C44,FLD_CCY))</f>
        <v/>
      </c>
      <c r="G44" s="111">
        <f>IFERROR(IF(LEN($F44)&lt;&gt;3,1,IF($F44="HKD",1,BDP(IF($F44="CNY",RMB_CROSS,$F44)&amp;"HKD Curncy","PX_LAST"))),1)</f>
        <v/>
      </c>
      <c r="H44" s="133">
        <f>IF($C44="","",BDP($C44,FLD_DPS12M))</f>
        <v/>
      </c>
      <c r="I44" s="126">
        <f>IF($C44="","",BDP($C44,FLD_YLD12M))</f>
        <v/>
      </c>
      <c r="J44" s="128">
        <f>IF($B44="",0,SUMPRODUCT(('Dvd Calendar'!$E$1523:$AR$1523&gt;=WIN_FROM)*('Dvd Calendar'!$E$1523:$AR$1523&lt;=REALIZED_TO)*'Dvd Calendar'!$E$1526:$AR$1526*(('Dvd Calendar'!$E$1528:$AR$1528=TYPE1)*(TYPE1&lt;&gt;"")+('Dvd Calendar'!$E$1528:$AR$1528=TYPE2)*(TYPE2&lt;&gt;"")+('Dvd Calendar'!$E$1528:$AR$1528=TYPE3)*(TYPE3&lt;&gt;"")+('Dvd Calendar'!$E$1528:$AR$1528=TYPE4)*(TYPE4&lt;&gt;"")+('Dvd Calendar'!$E$1528:$AR$1528=SPECIAL_LBL)*(INC_SPECIALS="Y"))))</f>
        <v/>
      </c>
      <c r="K44" s="128">
        <f>IF($B44="",0,SUMIFS('Dvd Calendar'!$E$1531:$AR$1531,'Dvd Calendar'!$E$1530:$AR$1530,"&gt;"&amp;PROJ_FROM,'Dvd Calendar'!$E$1530:$AR$1530,"&lt;="&amp;WIN_TO)+SUMPRODUCT(('Dvd Calendar'!$E$1523:$AR$1523&gt;PROJ_FROM)*('Dvd Calendar'!$E$1523:$AR$1523&lt;=WIN_TO)*'Dvd Calendar'!$E$1526:$AR$1526*(('Dvd Calendar'!$E$1528:$AR$1528=TYPE1)*(TYPE1&lt;&gt;"")+('Dvd Calendar'!$E$1528:$AR$1528=TYPE2)*(TYPE2&lt;&gt;"")+('Dvd Calendar'!$E$1528:$AR$1528=TYPE3)*(TYPE3&lt;&gt;"")+('Dvd Calendar'!$E$1528:$AR$1528=TYPE4)*(TYPE4&lt;&gt;"")+('Dvd Calendar'!$E$1528:$AR$1528=SPECIAL_LBL)*(INC_SPECIALS="Y"))*(COUNTIF('Dvd Calendar'!$E$1530:$AR$1530,'Dvd Calendar'!$E$1523:$AR$1523)=0)))</f>
        <v/>
      </c>
      <c r="L44" s="128">
        <f>IF($B44="",0,IF((OV_SWITCH="ON")*(COUNTIFS(OVR_TICKERS,$C44,OVR_BASE,"&gt;=0")&gt;0)&gt;0,SUMIFS(OVR_BASE,OVR_TICKERS,$C44),$K44))</f>
        <v/>
      </c>
      <c r="M44" s="128">
        <f>IF($B44="",0,IF((OV_SWITCH="ON")*(COUNTIFS(OVR_TICKERS,$C44,OVR_LOW,"&gt;=0")&gt;0)&gt;0,SUMIFS(OVR_LOW,OVR_TICKERS,$C44),$L44))</f>
        <v/>
      </c>
      <c r="N44" s="128">
        <f>IF($B44="",0,IF((OV_SWITCH="ON")*(COUNTIFS(OVR_TICKERS,$C44,OVR_HIGH,"&gt;=0")&gt;0)&gt;0,SUMIFS(OVR_HIGH,OVR_TICKERS,$C44),$L44))</f>
        <v/>
      </c>
      <c r="O44" s="133">
        <f>IF($B44="","",IFERROR($B44*$G44*$J44/$B$3,""))</f>
        <v/>
      </c>
      <c r="P44" s="133">
        <f>IF($B44="","",IFERROR($B44*$G44*$L44/$B$3,""))</f>
        <v/>
      </c>
      <c r="Q44" s="124">
        <f>IF($B44="","",IFERROR($O44+$P44,""))</f>
        <v/>
      </c>
      <c r="R44" s="133">
        <f>IF($B44="","",IFERROR($O44+$B44*$G44*$M44/$B$3,""))</f>
        <v/>
      </c>
      <c r="S44" s="133">
        <f>IF($B44="","",IFERROR($O44+$B44*$G44*$N44/$B$3,""))</f>
        <v/>
      </c>
      <c r="T44" s="150">
        <f>IF($B44="","",IFERROR($Q44/$Q$5,""))</f>
        <v/>
      </c>
      <c r="U44" s="2">
        <f>IF($B44="","",IF(COUNTIFS('Dvd Calendar'!$E$1529:$AR$1529,"&gt;0",'Dvd Calendar'!$E$1529:$AR$1529,"&lt;="&amp;VAL_DATE,'Dvd Calendar'!$E$1530:$AR$1530,"&gt;"&amp;PROJ_FROM,'Dvd Calendar'!$E$1530:$AR$1530,"&lt;="&amp;WIN_TO)-COUNTIFS('Dvd Calendar'!$E$1529:$AR$1529,"&gt;0",'Dvd Calendar'!$E$1529:$AR$1529,"&lt;="&amp;VAL_DATE,'Dvd Calendar'!$E$1530:$AR$1530,"&gt;"&amp;PROJ_FROM,'Dvd Calendar'!$E$1530:$AR$1530,"&lt;="&amp;WIN_TO,'Dvd Calendar'!$E$1531:$AR$1531,"&gt;=0")&gt;0,"TBA amount - override me",IF((OV_SWITCH="ON")*(COUNTIFS(OVR_TICKERS,$C44,OVR_BASE,"&gt;=0")&gt;0)&gt;0,"overridden",IF($J44+$K44=0,"no dividend in year Y",""))))</f>
        <v/>
      </c>
      <c r="V44" s="133">
        <f>IF($B44="","",IFERROR(IF(ISNUMBER($H44),$B44*$G44*$H44/$B$3,0),""))</f>
        <v/>
      </c>
      <c r="W44" s="133">
        <f>IF($B44="","",IFERROR($B44*$G44*$K44/$B$3,""))</f>
        <v/>
      </c>
      <c r="X44" s="157">
        <f>IF($C44="","",BDP($C44,"PX_LAST"))</f>
        <v/>
      </c>
      <c r="Y44" s="133">
        <f>IF($B44="","",IFERROR($B44*$X44/$B$3,""))</f>
        <v/>
      </c>
      <c r="Z44" s="137">
        <f>IF($B44="","",IFERROR($Y44/$Y$5,""))</f>
        <v/>
      </c>
    </row>
    <row r="45">
      <c r="B45" s="97" t="n"/>
      <c r="C45" s="8">
        <f>IF($A45="","",$A45&amp;" Equity")</f>
        <v/>
      </c>
      <c r="D45" s="8">
        <f>IF($C45="","",BDP($C45,"NAME"))</f>
        <v/>
      </c>
      <c r="E45" s="8">
        <f>IF($C45="","",BDP($C45,"GICS_SECTOR_NAME"))</f>
        <v/>
      </c>
      <c r="F45" s="37">
        <f>IF($C45="","",BDP($C45,FLD_CCY))</f>
        <v/>
      </c>
      <c r="G45" s="111">
        <f>IFERROR(IF(LEN($F45)&lt;&gt;3,1,IF($F45="HKD",1,BDP(IF($F45="CNY",RMB_CROSS,$F45)&amp;"HKD Curncy","PX_LAST"))),1)</f>
        <v/>
      </c>
      <c r="H45" s="133">
        <f>IF($C45="","",BDP($C45,FLD_DPS12M))</f>
        <v/>
      </c>
      <c r="I45" s="126">
        <f>IF($C45="","",BDP($C45,FLD_YLD12M))</f>
        <v/>
      </c>
      <c r="J45" s="128">
        <f>IF($B45="",0,SUMPRODUCT(('Dvd Calendar'!$E$1534:$AR$1534&gt;=WIN_FROM)*('Dvd Calendar'!$E$1534:$AR$1534&lt;=REALIZED_TO)*'Dvd Calendar'!$E$1537:$AR$1537*(('Dvd Calendar'!$E$1539:$AR$1539=TYPE1)*(TYPE1&lt;&gt;"")+('Dvd Calendar'!$E$1539:$AR$1539=TYPE2)*(TYPE2&lt;&gt;"")+('Dvd Calendar'!$E$1539:$AR$1539=TYPE3)*(TYPE3&lt;&gt;"")+('Dvd Calendar'!$E$1539:$AR$1539=TYPE4)*(TYPE4&lt;&gt;"")+('Dvd Calendar'!$E$1539:$AR$1539=SPECIAL_LBL)*(INC_SPECIALS="Y"))))</f>
        <v/>
      </c>
      <c r="K45" s="128">
        <f>IF($B45="",0,SUMIFS('Dvd Calendar'!$E$1542:$AR$1542,'Dvd Calendar'!$E$1541:$AR$1541,"&gt;"&amp;PROJ_FROM,'Dvd Calendar'!$E$1541:$AR$1541,"&lt;="&amp;WIN_TO)+SUMPRODUCT(('Dvd Calendar'!$E$1534:$AR$1534&gt;PROJ_FROM)*('Dvd Calendar'!$E$1534:$AR$1534&lt;=WIN_TO)*'Dvd Calendar'!$E$1537:$AR$1537*(('Dvd Calendar'!$E$1539:$AR$1539=TYPE1)*(TYPE1&lt;&gt;"")+('Dvd Calendar'!$E$1539:$AR$1539=TYPE2)*(TYPE2&lt;&gt;"")+('Dvd Calendar'!$E$1539:$AR$1539=TYPE3)*(TYPE3&lt;&gt;"")+('Dvd Calendar'!$E$1539:$AR$1539=TYPE4)*(TYPE4&lt;&gt;"")+('Dvd Calendar'!$E$1539:$AR$1539=SPECIAL_LBL)*(INC_SPECIALS="Y"))*(COUNTIF('Dvd Calendar'!$E$1541:$AR$1541,'Dvd Calendar'!$E$1534:$AR$1534)=0)))</f>
        <v/>
      </c>
      <c r="L45" s="128">
        <f>IF($B45="",0,IF((OV_SWITCH="ON")*(COUNTIFS(OVR_TICKERS,$C45,OVR_BASE,"&gt;=0")&gt;0)&gt;0,SUMIFS(OVR_BASE,OVR_TICKERS,$C45),$K45))</f>
        <v/>
      </c>
      <c r="M45" s="128">
        <f>IF($B45="",0,IF((OV_SWITCH="ON")*(COUNTIFS(OVR_TICKERS,$C45,OVR_LOW,"&gt;=0")&gt;0)&gt;0,SUMIFS(OVR_LOW,OVR_TICKERS,$C45),$L45))</f>
        <v/>
      </c>
      <c r="N45" s="128">
        <f>IF($B45="",0,IF((OV_SWITCH="ON")*(COUNTIFS(OVR_TICKERS,$C45,OVR_HIGH,"&gt;=0")&gt;0)&gt;0,SUMIFS(OVR_HIGH,OVR_TICKERS,$C45),$L45))</f>
        <v/>
      </c>
      <c r="O45" s="133">
        <f>IF($B45="","",IFERROR($B45*$G45*$J45/$B$3,""))</f>
        <v/>
      </c>
      <c r="P45" s="133">
        <f>IF($B45="","",IFERROR($B45*$G45*$L45/$B$3,""))</f>
        <v/>
      </c>
      <c r="Q45" s="124">
        <f>IF($B45="","",IFERROR($O45+$P45,""))</f>
        <v/>
      </c>
      <c r="R45" s="133">
        <f>IF($B45="","",IFERROR($O45+$B45*$G45*$M45/$B$3,""))</f>
        <v/>
      </c>
      <c r="S45" s="133">
        <f>IF($B45="","",IFERROR($O45+$B45*$G45*$N45/$B$3,""))</f>
        <v/>
      </c>
      <c r="T45" s="150">
        <f>IF($B45="","",IFERROR($Q45/$Q$5,""))</f>
        <v/>
      </c>
      <c r="U45" s="2">
        <f>IF($B45="","",IF(COUNTIFS('Dvd Calendar'!$E$1540:$AR$1540,"&gt;0",'Dvd Calendar'!$E$1540:$AR$1540,"&lt;="&amp;VAL_DATE,'Dvd Calendar'!$E$1541:$AR$1541,"&gt;"&amp;PROJ_FROM,'Dvd Calendar'!$E$1541:$AR$1541,"&lt;="&amp;WIN_TO)-COUNTIFS('Dvd Calendar'!$E$1540:$AR$1540,"&gt;0",'Dvd Calendar'!$E$1540:$AR$1540,"&lt;="&amp;VAL_DATE,'Dvd Calendar'!$E$1541:$AR$1541,"&gt;"&amp;PROJ_FROM,'Dvd Calendar'!$E$1541:$AR$1541,"&lt;="&amp;WIN_TO,'Dvd Calendar'!$E$1542:$AR$1542,"&gt;=0")&gt;0,"TBA amount - override me",IF((OV_SWITCH="ON")*(COUNTIFS(OVR_TICKERS,$C45,OVR_BASE,"&gt;=0")&gt;0)&gt;0,"overridden",IF($J45+$K45=0,"no dividend in year Y",""))))</f>
        <v/>
      </c>
      <c r="V45" s="133">
        <f>IF($B45="","",IFERROR(IF(ISNUMBER($H45),$B45*$G45*$H45/$B$3,0),""))</f>
        <v/>
      </c>
      <c r="W45" s="133">
        <f>IF($B45="","",IFERROR($B45*$G45*$K45/$B$3,""))</f>
        <v/>
      </c>
      <c r="X45" s="157">
        <f>IF($C45="","",BDP($C45,"PX_LAST"))</f>
        <v/>
      </c>
      <c r="Y45" s="133">
        <f>IF($B45="","",IFERROR($B45*$X45/$B$3,""))</f>
        <v/>
      </c>
      <c r="Z45" s="137">
        <f>IF($B45="","",IFERROR($Y45/$Y$5,""))</f>
        <v/>
      </c>
    </row>
    <row r="46">
      <c r="B46" s="97" t="n"/>
      <c r="C46" s="8">
        <f>IF($A46="","",$A46&amp;" Equity")</f>
        <v/>
      </c>
      <c r="D46" s="8">
        <f>IF($C46="","",BDP($C46,"NAME"))</f>
        <v/>
      </c>
      <c r="E46" s="8">
        <f>IF($C46="","",BDP($C46,"GICS_SECTOR_NAME"))</f>
        <v/>
      </c>
      <c r="F46" s="37">
        <f>IF($C46="","",BDP($C46,FLD_CCY))</f>
        <v/>
      </c>
      <c r="G46" s="111">
        <f>IFERROR(IF(LEN($F46)&lt;&gt;3,1,IF($F46="HKD",1,BDP(IF($F46="CNY",RMB_CROSS,$F46)&amp;"HKD Curncy","PX_LAST"))),1)</f>
        <v/>
      </c>
      <c r="H46" s="133">
        <f>IF($C46="","",BDP($C46,FLD_DPS12M))</f>
        <v/>
      </c>
      <c r="I46" s="126">
        <f>IF($C46="","",BDP($C46,FLD_YLD12M))</f>
        <v/>
      </c>
      <c r="J46" s="128">
        <f>IF($B46="",0,SUMPRODUCT(('Dvd Calendar'!$E$1545:$AR$1545&gt;=WIN_FROM)*('Dvd Calendar'!$E$1545:$AR$1545&lt;=REALIZED_TO)*'Dvd Calendar'!$E$1548:$AR$1548*(('Dvd Calendar'!$E$1550:$AR$1550=TYPE1)*(TYPE1&lt;&gt;"")+('Dvd Calendar'!$E$1550:$AR$1550=TYPE2)*(TYPE2&lt;&gt;"")+('Dvd Calendar'!$E$1550:$AR$1550=TYPE3)*(TYPE3&lt;&gt;"")+('Dvd Calendar'!$E$1550:$AR$1550=TYPE4)*(TYPE4&lt;&gt;"")+('Dvd Calendar'!$E$1550:$AR$1550=SPECIAL_LBL)*(INC_SPECIALS="Y"))))</f>
        <v/>
      </c>
      <c r="K46" s="128">
        <f>IF($B46="",0,SUMIFS('Dvd Calendar'!$E$1553:$AR$1553,'Dvd Calendar'!$E$1552:$AR$1552,"&gt;"&amp;PROJ_FROM,'Dvd Calendar'!$E$1552:$AR$1552,"&lt;="&amp;WIN_TO)+SUMPRODUCT(('Dvd Calendar'!$E$1545:$AR$1545&gt;PROJ_FROM)*('Dvd Calendar'!$E$1545:$AR$1545&lt;=WIN_TO)*'Dvd Calendar'!$E$1548:$AR$1548*(('Dvd Calendar'!$E$1550:$AR$1550=TYPE1)*(TYPE1&lt;&gt;"")+('Dvd Calendar'!$E$1550:$AR$1550=TYPE2)*(TYPE2&lt;&gt;"")+('Dvd Calendar'!$E$1550:$AR$1550=TYPE3)*(TYPE3&lt;&gt;"")+('Dvd Calendar'!$E$1550:$AR$1550=TYPE4)*(TYPE4&lt;&gt;"")+('Dvd Calendar'!$E$1550:$AR$1550=SPECIAL_LBL)*(INC_SPECIALS="Y"))*(COUNTIF('Dvd Calendar'!$E$1552:$AR$1552,'Dvd Calendar'!$E$1545:$AR$1545)=0)))</f>
        <v/>
      </c>
      <c r="L46" s="128">
        <f>IF($B46="",0,IF((OV_SWITCH="ON")*(COUNTIFS(OVR_TICKERS,$C46,OVR_BASE,"&gt;=0")&gt;0)&gt;0,SUMIFS(OVR_BASE,OVR_TICKERS,$C46),$K46))</f>
        <v/>
      </c>
      <c r="M46" s="128">
        <f>IF($B46="",0,IF((OV_SWITCH="ON")*(COUNTIFS(OVR_TICKERS,$C46,OVR_LOW,"&gt;=0")&gt;0)&gt;0,SUMIFS(OVR_LOW,OVR_TICKERS,$C46),$L46))</f>
        <v/>
      </c>
      <c r="N46" s="128">
        <f>IF($B46="",0,IF((OV_SWITCH="ON")*(COUNTIFS(OVR_TICKERS,$C46,OVR_HIGH,"&gt;=0")&gt;0)&gt;0,SUMIFS(OVR_HIGH,OVR_TICKERS,$C46),$L46))</f>
        <v/>
      </c>
      <c r="O46" s="133">
        <f>IF($B46="","",IFERROR($B46*$G46*$J46/$B$3,""))</f>
        <v/>
      </c>
      <c r="P46" s="133">
        <f>IF($B46="","",IFERROR($B46*$G46*$L46/$B$3,""))</f>
        <v/>
      </c>
      <c r="Q46" s="124">
        <f>IF($B46="","",IFERROR($O46+$P46,""))</f>
        <v/>
      </c>
      <c r="R46" s="133">
        <f>IF($B46="","",IFERROR($O46+$B46*$G46*$M46/$B$3,""))</f>
        <v/>
      </c>
      <c r="S46" s="133">
        <f>IF($B46="","",IFERROR($O46+$B46*$G46*$N46/$B$3,""))</f>
        <v/>
      </c>
      <c r="T46" s="150">
        <f>IF($B46="","",IFERROR($Q46/$Q$5,""))</f>
        <v/>
      </c>
      <c r="U46" s="2">
        <f>IF($B46="","",IF(COUNTIFS('Dvd Calendar'!$E$1551:$AR$1551,"&gt;0",'Dvd Calendar'!$E$1551:$AR$1551,"&lt;="&amp;VAL_DATE,'Dvd Calendar'!$E$1552:$AR$1552,"&gt;"&amp;PROJ_FROM,'Dvd Calendar'!$E$1552:$AR$1552,"&lt;="&amp;WIN_TO)-COUNTIFS('Dvd Calendar'!$E$1551:$AR$1551,"&gt;0",'Dvd Calendar'!$E$1551:$AR$1551,"&lt;="&amp;VAL_DATE,'Dvd Calendar'!$E$1552:$AR$1552,"&gt;"&amp;PROJ_FROM,'Dvd Calendar'!$E$1552:$AR$1552,"&lt;="&amp;WIN_TO,'Dvd Calendar'!$E$1553:$AR$1553,"&gt;=0")&gt;0,"TBA amount - override me",IF((OV_SWITCH="ON")*(COUNTIFS(OVR_TICKERS,$C46,OVR_BASE,"&gt;=0")&gt;0)&gt;0,"overridden",IF($J46+$K46=0,"no dividend in year Y",""))))</f>
        <v/>
      </c>
      <c r="V46" s="133">
        <f>IF($B46="","",IFERROR(IF(ISNUMBER($H46),$B46*$G46*$H46/$B$3,0),""))</f>
        <v/>
      </c>
      <c r="W46" s="133">
        <f>IF($B46="","",IFERROR($B46*$G46*$K46/$B$3,""))</f>
        <v/>
      </c>
      <c r="X46" s="157">
        <f>IF($C46="","",BDP($C46,"PX_LAST"))</f>
        <v/>
      </c>
      <c r="Y46" s="133">
        <f>IF($B46="","",IFERROR($B46*$X46/$B$3,""))</f>
        <v/>
      </c>
      <c r="Z46" s="137">
        <f>IF($B46="","",IFERROR($Y46/$Y$5,""))</f>
        <v/>
      </c>
    </row>
    <row r="47"/>
    <row r="48"/>
    <row r="49"/>
    <row r="50"/>
  </sheetData>
  <autoFilter ref="A6:Z46"/>
  <conditionalFormatting sqref="U7:U46">
    <cfRule type="expression" priority="1" dxfId="0">
      <formula>ISNUMBER(SEARCH("TBA",$U7))</formula>
    </cfRule>
  </conditionalFormatting>
  <pageMargins left="0.75" right="0.75" top="1" bottom="1" header="0.5" footer="0.5"/>
</worksheet>
</file>

<file path=xl/worksheets/sheet9.xml><?xml version="1.0" encoding="utf-8"?>
<worksheet xmlns="http://schemas.openxmlformats.org/spreadsheetml/2006/main">
  <sheetPr>
    <tabColor rgb="008EAADB"/>
    <outlinePr summaryBelow="1" summaryRight="1"/>
    <pageSetUpPr/>
  </sheetPr>
  <dimension ref="A1:Z70"/>
  <sheetViews>
    <sheetView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 width="10" customWidth="1" min="24" max="24"/>
    <col width="10" customWidth="1" min="25" max="25"/>
    <col width="9" customWidth="1" min="26" max="26"/>
  </cols>
  <sheetData>
    <row r="1">
      <c r="A1" s="1" t="inlineStr">
        <is>
          <t>Hang Seng China Enterprises (HSCEI)  -  MEMBERS, YOUR BASKET, AND THE YEAR MODEL</t>
        </is>
      </c>
    </row>
    <row r="2">
      <c r="A2" s="3" t="inlineStr">
        <is>
          <t>Index ticker</t>
        </is>
      </c>
      <c r="B2" s="4" t="inlineStr">
        <is>
          <t>HSCEI Index</t>
        </is>
      </c>
      <c r="G2" s="2" t="inlineStr">
        <is>
          <t>Members</t>
        </is>
      </c>
      <c r="H2" s="40">
        <f>SUMPRODUCT(($A$7:$A$66&lt;&gt;"")*1)</f>
        <v/>
      </c>
      <c r="K2" s="2" t="inlineStr">
        <is>
          <t>Qty pasted</t>
        </is>
      </c>
      <c r="L2" s="40">
        <f>COUNT($B$7:$B$66)</f>
        <v/>
      </c>
      <c r="O2" s="2" t="inlineStr">
        <is>
          <t>No qty</t>
        </is>
      </c>
      <c r="P2" s="40">
        <f>SUMPRODUCT(($A$7:$A$66&lt;&gt;"")*($B$7:$B$66=""))</f>
        <v/>
      </c>
      <c r="S2" s="2" t="inlineStr">
        <is>
          <t>Amount TBA</t>
        </is>
      </c>
      <c r="T2" s="40">
        <f>COUNTIF($U$7:$U$66,"TBA amount - override me")</f>
        <v/>
      </c>
    </row>
    <row r="3">
      <c r="A3" s="3" t="inlineStr">
        <is>
          <t>Index divisor</t>
        </is>
      </c>
      <c r="B3" s="29" t="n"/>
      <c r="C3" s="2" t="inlineStr">
        <is>
          <t>Paste the official divisor here and the basket quantities in column B, in CONSISTENT units - the SCALE FACTOR row on Summary flags a mismatch instantly. A refresh can reshuffle members; pasted quantities do NOT follow them.</t>
        </is>
      </c>
    </row>
    <row r="4">
      <c r="A4" s="6" t="inlineStr">
        <is>
          <t>MEMBER &amp; REFERENCE DATA (Bloomberg)</t>
        </is>
      </c>
      <c r="B4" s="7" t="n"/>
      <c r="C4" s="7" t="n"/>
      <c r="D4" s="7" t="n"/>
      <c r="E4" s="7" t="n"/>
      <c r="F4" s="7" t="n"/>
      <c r="G4" s="7" t="n"/>
      <c r="H4" s="7" t="n"/>
      <c r="I4" s="7" t="n"/>
      <c r="J4" s="57" t="inlineStr">
        <is>
          <t>DIVIDEND PER SHARE - declared currency</t>
        </is>
      </c>
      <c r="K4" s="58" t="n"/>
      <c r="L4" s="58" t="n"/>
      <c r="M4" s="58" t="n"/>
      <c r="N4" s="58" t="n"/>
      <c r="O4" s="57" t="inlineStr">
        <is>
          <t>INDEX POINTS</t>
        </is>
      </c>
      <c r="P4" s="58" t="n"/>
      <c r="Q4" s="58" t="n"/>
      <c r="R4" s="58" t="n"/>
      <c r="S4" s="58" t="n"/>
      <c r="T4" s="58" t="n"/>
      <c r="U4" s="6" t="inlineStr">
        <is>
          <t>FLAG / REFERENCE</t>
        </is>
      </c>
      <c r="V4" s="7" t="n"/>
      <c r="W4" s="7" t="n"/>
      <c r="X4" s="59" t="inlineStr">
        <is>
          <t>UNITS CHECK (price x qty must rebuild the index)</t>
        </is>
      </c>
      <c r="Y4" s="60" t="n"/>
      <c r="Z4" s="60" t="n"/>
    </row>
    <row r="5">
      <c r="N5" s="3" t="inlineStr">
        <is>
          <t>TOTAL -&gt;</t>
        </is>
      </c>
      <c r="O5" s="30">
        <f>IFERROR(SUM(O7:O66),"")</f>
        <v/>
      </c>
      <c r="P5" s="30">
        <f>IFERROR(SUM(P7:P66),"")</f>
        <v/>
      </c>
      <c r="Q5" s="49">
        <f>IFERROR(SUM(Q7:Q66),"")</f>
        <v/>
      </c>
      <c r="R5" s="30">
        <f>IFERROR(SUM(R7:R66),"")</f>
        <v/>
      </c>
      <c r="S5" s="30">
        <f>IFERROR(SUM(S7:S66),"")</f>
        <v/>
      </c>
      <c r="V5" s="30">
        <f>IFERROR(SUM(V7:V66),"")</f>
        <v/>
      </c>
      <c r="W5" s="30">
        <f>IFERROR(SUM(W7:W66),"")</f>
        <v/>
      </c>
      <c r="Y5" s="49">
        <f>IFERROR(SUM(Y7:Y66),"")</f>
        <v/>
      </c>
      <c r="Z5" s="156">
        <f>IFERROR(SUM(Z7:Z66),"")</f>
        <v/>
      </c>
    </row>
    <row r="6">
      <c r="A6" s="23" t="inlineStr">
        <is>
          <t>Member</t>
        </is>
      </c>
      <c r="B6" s="23" t="inlineStr">
        <is>
          <t>Basket
Qty</t>
        </is>
      </c>
      <c r="C6" s="23" t="inlineStr">
        <is>
          <t>Bloomberg Ticker</t>
        </is>
      </c>
      <c r="D6" s="23" t="inlineStr">
        <is>
          <t>Name</t>
        </is>
      </c>
      <c r="E6" s="23" t="inlineStr">
        <is>
          <t>GICS Sector</t>
        </is>
      </c>
      <c r="F6" s="23" t="inlineStr">
        <is>
          <t>Dvd
CCY</t>
        </is>
      </c>
      <c r="G6" s="23" t="inlineStr">
        <is>
          <t>FX -&gt;
HKD</t>
        </is>
      </c>
      <c r="H6" s="23" t="inlineStr">
        <is>
          <t>DPS 12M
(ref)</t>
        </is>
      </c>
      <c r="I6" s="23" t="inlineStr">
        <is>
          <t>Yld 12M
(ref)</t>
        </is>
      </c>
      <c r="J6" s="23" t="inlineStr">
        <is>
          <t>Realized
DPS</t>
        </is>
      </c>
      <c r="K6" s="23" t="inlineStr">
        <is>
          <t>To come
DPS (BBG)</t>
        </is>
      </c>
      <c r="L6" s="23" t="inlineStr">
        <is>
          <t>To come
DPS (eff)</t>
        </is>
      </c>
      <c r="M6" s="23" t="inlineStr">
        <is>
          <t>LOW
DPS</t>
        </is>
      </c>
      <c r="N6" s="23" t="inlineStr">
        <is>
          <t>HIGH
DPS</t>
        </is>
      </c>
      <c r="O6" s="62" t="inlineStr">
        <is>
          <t>Realized
(pts)</t>
        </is>
      </c>
      <c r="P6" s="62" t="inlineStr">
        <is>
          <t>To come
(pts)</t>
        </is>
      </c>
      <c r="Q6" s="62" t="inlineStr">
        <is>
          <t>YEAR
TOTAL (pts)</t>
        </is>
      </c>
      <c r="R6" s="62" t="inlineStr">
        <is>
          <t>LOW
(pts)</t>
        </is>
      </c>
      <c r="S6" s="62" t="inlineStr">
        <is>
          <t>HIGH
(pts)</t>
        </is>
      </c>
      <c r="T6" s="62" t="inlineStr">
        <is>
          <t>% of yr
dvds</t>
        </is>
      </c>
      <c r="U6" s="23" t="inlineStr">
        <is>
          <t>Flag</t>
        </is>
      </c>
      <c r="V6" s="23" t="inlineStr">
        <is>
          <t>12M pts
(ref)</t>
        </is>
      </c>
      <c r="W6" s="23" t="inlineStr">
        <is>
          <t>To come
pts (BBG)</t>
        </is>
      </c>
      <c r="X6" s="65" t="inlineStr">
        <is>
          <t>Price
(PX_LAST)</t>
        </is>
      </c>
      <c r="Y6" s="65" t="inlineStr">
        <is>
          <t>Value
(index pts)</t>
        </is>
      </c>
      <c r="Z6" s="65" t="inlineStr">
        <is>
          <t>Index
weight</t>
        </is>
      </c>
    </row>
    <row r="7">
      <c r="A7" s="8">
        <f>BDS($B$2,"INDX_MEMBERS")</f>
        <v/>
      </c>
      <c r="B7" s="97" t="n"/>
      <c r="C7" s="8">
        <f>IF($A7="","",$A7&amp;" Equity")</f>
        <v/>
      </c>
      <c r="D7" s="8">
        <f>IF($C7="","",BDP($C7,"NAME"))</f>
        <v/>
      </c>
      <c r="E7" s="8">
        <f>IF($C7="","",BDP($C7,"GICS_SECTOR_NAME"))</f>
        <v/>
      </c>
      <c r="F7" s="37">
        <f>IF($C7="","",BDP($C7,FLD_CCY))</f>
        <v/>
      </c>
      <c r="G7" s="111">
        <f>IFERROR(IF(LEN($F7)&lt;&gt;3,1,IF($F7="HKD",1,BDP(IF($F7="CNY",RMB_CROSS,$F7)&amp;"HKD Curncy","PX_LAST"))),1)</f>
        <v/>
      </c>
      <c r="H7" s="133">
        <f>IF($C7="","",BDP($C7,FLD_DPS12M))</f>
        <v/>
      </c>
      <c r="I7" s="126">
        <f>IF($C7="","",BDP($C7,FLD_YLD12M))</f>
        <v/>
      </c>
      <c r="J7" s="128">
        <f>IF($B7="",0,SUMPRODUCT(('Dvd Calendar'!$E$1561:$AR$1561&gt;=WIN_FROM)*('Dvd Calendar'!$E$1561:$AR$1561&lt;=REALIZED_TO)*'Dvd Calendar'!$E$1564:$AR$1564*(('Dvd Calendar'!$E$1566:$AR$1566=TYPE1)*(TYPE1&lt;&gt;"")+('Dvd Calendar'!$E$1566:$AR$1566=TYPE2)*(TYPE2&lt;&gt;"")+('Dvd Calendar'!$E$1566:$AR$1566=TYPE3)*(TYPE3&lt;&gt;"")+('Dvd Calendar'!$E$1566:$AR$1566=TYPE4)*(TYPE4&lt;&gt;"")+('Dvd Calendar'!$E$1566:$AR$1566=SPECIAL_LBL)*(INC_SPECIALS="Y"))))</f>
        <v/>
      </c>
      <c r="K7" s="128">
        <f>IF($B7="",0,SUMIFS('Dvd Calendar'!$E$1569:$AR$1569,'Dvd Calendar'!$E$1568:$AR$1568,"&gt;"&amp;PROJ_FROM,'Dvd Calendar'!$E$1568:$AR$1568,"&lt;="&amp;WIN_TO)+SUMPRODUCT(('Dvd Calendar'!$E$1561:$AR$1561&gt;PROJ_FROM)*('Dvd Calendar'!$E$1561:$AR$1561&lt;=WIN_TO)*'Dvd Calendar'!$E$1564:$AR$1564*(('Dvd Calendar'!$E$1566:$AR$1566=TYPE1)*(TYPE1&lt;&gt;"")+('Dvd Calendar'!$E$1566:$AR$1566=TYPE2)*(TYPE2&lt;&gt;"")+('Dvd Calendar'!$E$1566:$AR$1566=TYPE3)*(TYPE3&lt;&gt;"")+('Dvd Calendar'!$E$1566:$AR$1566=TYPE4)*(TYPE4&lt;&gt;"")+('Dvd Calendar'!$E$1566:$AR$1566=SPECIAL_LBL)*(INC_SPECIALS="Y"))*(COUNTIF('Dvd Calendar'!$E$1568:$AR$1568,'Dvd Calendar'!$E$1561:$AR$1561)=0)))</f>
        <v/>
      </c>
      <c r="L7" s="128">
        <f>IF($B7="",0,IF((OV_SWITCH="ON")*(COUNTIFS(OVR_TICKERS,$C7,OVR_BASE,"&gt;=0")&gt;0)&gt;0,SUMIFS(OVR_BASE,OVR_TICKERS,$C7),$K7))</f>
        <v/>
      </c>
      <c r="M7" s="128">
        <f>IF($B7="",0,IF((OV_SWITCH="ON")*(COUNTIFS(OVR_TICKERS,$C7,OVR_LOW,"&gt;=0")&gt;0)&gt;0,SUMIFS(OVR_LOW,OVR_TICKERS,$C7),$L7))</f>
        <v/>
      </c>
      <c r="N7" s="128">
        <f>IF($B7="",0,IF((OV_SWITCH="ON")*(COUNTIFS(OVR_TICKERS,$C7,OVR_HIGH,"&gt;=0")&gt;0)&gt;0,SUMIFS(OVR_HIGH,OVR_TICKERS,$C7),$L7))</f>
        <v/>
      </c>
      <c r="O7" s="133">
        <f>IF($B7="","",IFERROR($B7*$G7*$J7/$B$3,""))</f>
        <v/>
      </c>
      <c r="P7" s="133">
        <f>IF($B7="","",IFERROR($B7*$G7*$L7/$B$3,""))</f>
        <v/>
      </c>
      <c r="Q7" s="124">
        <f>IF($B7="","",IFERROR($O7+$P7,""))</f>
        <v/>
      </c>
      <c r="R7" s="133">
        <f>IF($B7="","",IFERROR($O7+$B7*$G7*$M7/$B$3,""))</f>
        <v/>
      </c>
      <c r="S7" s="133">
        <f>IF($B7="","",IFERROR($O7+$B7*$G7*$N7/$B$3,""))</f>
        <v/>
      </c>
      <c r="T7" s="150">
        <f>IF($B7="","",IFERROR($Q7/$Q$5,""))</f>
        <v/>
      </c>
      <c r="U7" s="2">
        <f>IF($B7="","",IF(COUNTIFS('Dvd Calendar'!$E$1567:$AR$1567,"&gt;0",'Dvd Calendar'!$E$1567:$AR$1567,"&lt;="&amp;VAL_DATE,'Dvd Calendar'!$E$1568:$AR$1568,"&gt;"&amp;PROJ_FROM,'Dvd Calendar'!$E$1568:$AR$1568,"&lt;="&amp;WIN_TO)-COUNTIFS('Dvd Calendar'!$E$1567:$AR$1567,"&gt;0",'Dvd Calendar'!$E$1567:$AR$1567,"&lt;="&amp;VAL_DATE,'Dvd Calendar'!$E$1568:$AR$1568,"&gt;"&amp;PROJ_FROM,'Dvd Calendar'!$E$1568:$AR$1568,"&lt;="&amp;WIN_TO,'Dvd Calendar'!$E$1569:$AR$1569,"&gt;=0")&gt;0,"TBA amount - override me",IF((OV_SWITCH="ON")*(COUNTIFS(OVR_TICKERS,$C7,OVR_BASE,"&gt;=0")&gt;0)&gt;0,"overridden",IF($J7+$K7=0,"no dividend in year Y",""))))</f>
        <v/>
      </c>
      <c r="V7" s="133">
        <f>IF($B7="","",IFERROR(IF(ISNUMBER($H7),$B7*$G7*$H7/$B$3,0),""))</f>
        <v/>
      </c>
      <c r="W7" s="133">
        <f>IF($B7="","",IFERROR($B7*$G7*$K7/$B$3,""))</f>
        <v/>
      </c>
      <c r="X7" s="157">
        <f>IF($C7="","",BDP($C7,"PX_LAST"))</f>
        <v/>
      </c>
      <c r="Y7" s="133">
        <f>IF($B7="","",IFERROR($B7*$X7/$B$3,""))</f>
        <v/>
      </c>
      <c r="Z7" s="137">
        <f>IF($B7="","",IFERROR($Y7/$Y$5,""))</f>
        <v/>
      </c>
    </row>
    <row r="8">
      <c r="B8" s="97" t="n"/>
      <c r="C8" s="8">
        <f>IF($A8="","",$A8&amp;" Equity")</f>
        <v/>
      </c>
      <c r="D8" s="8">
        <f>IF($C8="","",BDP($C8,"NAME"))</f>
        <v/>
      </c>
      <c r="E8" s="8">
        <f>IF($C8="","",BDP($C8,"GICS_SECTOR_NAME"))</f>
        <v/>
      </c>
      <c r="F8" s="37">
        <f>IF($C8="","",BDP($C8,FLD_CCY))</f>
        <v/>
      </c>
      <c r="G8" s="111">
        <f>IFERROR(IF(LEN($F8)&lt;&gt;3,1,IF($F8="HKD",1,BDP(IF($F8="CNY",RMB_CROSS,$F8)&amp;"HKD Curncy","PX_LAST"))),1)</f>
        <v/>
      </c>
      <c r="H8" s="133">
        <f>IF($C8="","",BDP($C8,FLD_DPS12M))</f>
        <v/>
      </c>
      <c r="I8" s="126">
        <f>IF($C8="","",BDP($C8,FLD_YLD12M))</f>
        <v/>
      </c>
      <c r="J8" s="128">
        <f>IF($B8="",0,SUMPRODUCT(('Dvd Calendar'!$E$1572:$AR$1572&gt;=WIN_FROM)*('Dvd Calendar'!$E$1572:$AR$1572&lt;=REALIZED_TO)*'Dvd Calendar'!$E$1575:$AR$1575*(('Dvd Calendar'!$E$1577:$AR$1577=TYPE1)*(TYPE1&lt;&gt;"")+('Dvd Calendar'!$E$1577:$AR$1577=TYPE2)*(TYPE2&lt;&gt;"")+('Dvd Calendar'!$E$1577:$AR$1577=TYPE3)*(TYPE3&lt;&gt;"")+('Dvd Calendar'!$E$1577:$AR$1577=TYPE4)*(TYPE4&lt;&gt;"")+('Dvd Calendar'!$E$1577:$AR$1577=SPECIAL_LBL)*(INC_SPECIALS="Y"))))</f>
        <v/>
      </c>
      <c r="K8" s="128">
        <f>IF($B8="",0,SUMIFS('Dvd Calendar'!$E$1580:$AR$1580,'Dvd Calendar'!$E$1579:$AR$1579,"&gt;"&amp;PROJ_FROM,'Dvd Calendar'!$E$1579:$AR$1579,"&lt;="&amp;WIN_TO)+SUMPRODUCT(('Dvd Calendar'!$E$1572:$AR$1572&gt;PROJ_FROM)*('Dvd Calendar'!$E$1572:$AR$1572&lt;=WIN_TO)*'Dvd Calendar'!$E$1575:$AR$1575*(('Dvd Calendar'!$E$1577:$AR$1577=TYPE1)*(TYPE1&lt;&gt;"")+('Dvd Calendar'!$E$1577:$AR$1577=TYPE2)*(TYPE2&lt;&gt;"")+('Dvd Calendar'!$E$1577:$AR$1577=TYPE3)*(TYPE3&lt;&gt;"")+('Dvd Calendar'!$E$1577:$AR$1577=TYPE4)*(TYPE4&lt;&gt;"")+('Dvd Calendar'!$E$1577:$AR$1577=SPECIAL_LBL)*(INC_SPECIALS="Y"))*(COUNTIF('Dvd Calendar'!$E$1579:$AR$1579,'Dvd Calendar'!$E$1572:$AR$1572)=0)))</f>
        <v/>
      </c>
      <c r="L8" s="128">
        <f>IF($B8="",0,IF((OV_SWITCH="ON")*(COUNTIFS(OVR_TICKERS,$C8,OVR_BASE,"&gt;=0")&gt;0)&gt;0,SUMIFS(OVR_BASE,OVR_TICKERS,$C8),$K8))</f>
        <v/>
      </c>
      <c r="M8" s="128">
        <f>IF($B8="",0,IF((OV_SWITCH="ON")*(COUNTIFS(OVR_TICKERS,$C8,OVR_LOW,"&gt;=0")&gt;0)&gt;0,SUMIFS(OVR_LOW,OVR_TICKERS,$C8),$L8))</f>
        <v/>
      </c>
      <c r="N8" s="128">
        <f>IF($B8="",0,IF((OV_SWITCH="ON")*(COUNTIFS(OVR_TICKERS,$C8,OVR_HIGH,"&gt;=0")&gt;0)&gt;0,SUMIFS(OVR_HIGH,OVR_TICKERS,$C8),$L8))</f>
        <v/>
      </c>
      <c r="O8" s="133">
        <f>IF($B8="","",IFERROR($B8*$G8*$J8/$B$3,""))</f>
        <v/>
      </c>
      <c r="P8" s="133">
        <f>IF($B8="","",IFERROR($B8*$G8*$L8/$B$3,""))</f>
        <v/>
      </c>
      <c r="Q8" s="124">
        <f>IF($B8="","",IFERROR($O8+$P8,""))</f>
        <v/>
      </c>
      <c r="R8" s="133">
        <f>IF($B8="","",IFERROR($O8+$B8*$G8*$M8/$B$3,""))</f>
        <v/>
      </c>
      <c r="S8" s="133">
        <f>IF($B8="","",IFERROR($O8+$B8*$G8*$N8/$B$3,""))</f>
        <v/>
      </c>
      <c r="T8" s="150">
        <f>IF($B8="","",IFERROR($Q8/$Q$5,""))</f>
        <v/>
      </c>
      <c r="U8" s="2">
        <f>IF($B8="","",IF(COUNTIFS('Dvd Calendar'!$E$1578:$AR$1578,"&gt;0",'Dvd Calendar'!$E$1578:$AR$1578,"&lt;="&amp;VAL_DATE,'Dvd Calendar'!$E$1579:$AR$1579,"&gt;"&amp;PROJ_FROM,'Dvd Calendar'!$E$1579:$AR$1579,"&lt;="&amp;WIN_TO)-COUNTIFS('Dvd Calendar'!$E$1578:$AR$1578,"&gt;0",'Dvd Calendar'!$E$1578:$AR$1578,"&lt;="&amp;VAL_DATE,'Dvd Calendar'!$E$1579:$AR$1579,"&gt;"&amp;PROJ_FROM,'Dvd Calendar'!$E$1579:$AR$1579,"&lt;="&amp;WIN_TO,'Dvd Calendar'!$E$1580:$AR$1580,"&gt;=0")&gt;0,"TBA amount - override me",IF((OV_SWITCH="ON")*(COUNTIFS(OVR_TICKERS,$C8,OVR_BASE,"&gt;=0")&gt;0)&gt;0,"overridden",IF($J8+$K8=0,"no dividend in year Y",""))))</f>
        <v/>
      </c>
      <c r="V8" s="133">
        <f>IF($B8="","",IFERROR(IF(ISNUMBER($H8),$B8*$G8*$H8/$B$3,0),""))</f>
        <v/>
      </c>
      <c r="W8" s="133">
        <f>IF($B8="","",IFERROR($B8*$G8*$K8/$B$3,""))</f>
        <v/>
      </c>
      <c r="X8" s="157">
        <f>IF($C8="","",BDP($C8,"PX_LAST"))</f>
        <v/>
      </c>
      <c r="Y8" s="133">
        <f>IF($B8="","",IFERROR($B8*$X8/$B$3,""))</f>
        <v/>
      </c>
      <c r="Z8" s="137">
        <f>IF($B8="","",IFERROR($Y8/$Y$5,""))</f>
        <v/>
      </c>
    </row>
    <row r="9">
      <c r="B9" s="97" t="n"/>
      <c r="C9" s="8">
        <f>IF($A9="","",$A9&amp;" Equity")</f>
        <v/>
      </c>
      <c r="D9" s="8">
        <f>IF($C9="","",BDP($C9,"NAME"))</f>
        <v/>
      </c>
      <c r="E9" s="8">
        <f>IF($C9="","",BDP($C9,"GICS_SECTOR_NAME"))</f>
        <v/>
      </c>
      <c r="F9" s="37">
        <f>IF($C9="","",BDP($C9,FLD_CCY))</f>
        <v/>
      </c>
      <c r="G9" s="111">
        <f>IFERROR(IF(LEN($F9)&lt;&gt;3,1,IF($F9="HKD",1,BDP(IF($F9="CNY",RMB_CROSS,$F9)&amp;"HKD Curncy","PX_LAST"))),1)</f>
        <v/>
      </c>
      <c r="H9" s="133">
        <f>IF($C9="","",BDP($C9,FLD_DPS12M))</f>
        <v/>
      </c>
      <c r="I9" s="126">
        <f>IF($C9="","",BDP($C9,FLD_YLD12M))</f>
        <v/>
      </c>
      <c r="J9" s="128">
        <f>IF($B9="",0,SUMPRODUCT(('Dvd Calendar'!$E$1583:$AR$1583&gt;=WIN_FROM)*('Dvd Calendar'!$E$1583:$AR$1583&lt;=REALIZED_TO)*'Dvd Calendar'!$E$1586:$AR$1586*(('Dvd Calendar'!$E$1588:$AR$1588=TYPE1)*(TYPE1&lt;&gt;"")+('Dvd Calendar'!$E$1588:$AR$1588=TYPE2)*(TYPE2&lt;&gt;"")+('Dvd Calendar'!$E$1588:$AR$1588=TYPE3)*(TYPE3&lt;&gt;"")+('Dvd Calendar'!$E$1588:$AR$1588=TYPE4)*(TYPE4&lt;&gt;"")+('Dvd Calendar'!$E$1588:$AR$1588=SPECIAL_LBL)*(INC_SPECIALS="Y"))))</f>
        <v/>
      </c>
      <c r="K9" s="128">
        <f>IF($B9="",0,SUMIFS('Dvd Calendar'!$E$1591:$AR$1591,'Dvd Calendar'!$E$1590:$AR$1590,"&gt;"&amp;PROJ_FROM,'Dvd Calendar'!$E$1590:$AR$1590,"&lt;="&amp;WIN_TO)+SUMPRODUCT(('Dvd Calendar'!$E$1583:$AR$1583&gt;PROJ_FROM)*('Dvd Calendar'!$E$1583:$AR$1583&lt;=WIN_TO)*'Dvd Calendar'!$E$1586:$AR$1586*(('Dvd Calendar'!$E$1588:$AR$1588=TYPE1)*(TYPE1&lt;&gt;"")+('Dvd Calendar'!$E$1588:$AR$1588=TYPE2)*(TYPE2&lt;&gt;"")+('Dvd Calendar'!$E$1588:$AR$1588=TYPE3)*(TYPE3&lt;&gt;"")+('Dvd Calendar'!$E$1588:$AR$1588=TYPE4)*(TYPE4&lt;&gt;"")+('Dvd Calendar'!$E$1588:$AR$1588=SPECIAL_LBL)*(INC_SPECIALS="Y"))*(COUNTIF('Dvd Calendar'!$E$1590:$AR$1590,'Dvd Calendar'!$E$1583:$AR$1583)=0)))</f>
        <v/>
      </c>
      <c r="L9" s="128">
        <f>IF($B9="",0,IF((OV_SWITCH="ON")*(COUNTIFS(OVR_TICKERS,$C9,OVR_BASE,"&gt;=0")&gt;0)&gt;0,SUMIFS(OVR_BASE,OVR_TICKERS,$C9),$K9))</f>
        <v/>
      </c>
      <c r="M9" s="128">
        <f>IF($B9="",0,IF((OV_SWITCH="ON")*(COUNTIFS(OVR_TICKERS,$C9,OVR_LOW,"&gt;=0")&gt;0)&gt;0,SUMIFS(OVR_LOW,OVR_TICKERS,$C9),$L9))</f>
        <v/>
      </c>
      <c r="N9" s="128">
        <f>IF($B9="",0,IF((OV_SWITCH="ON")*(COUNTIFS(OVR_TICKERS,$C9,OVR_HIGH,"&gt;=0")&gt;0)&gt;0,SUMIFS(OVR_HIGH,OVR_TICKERS,$C9),$L9))</f>
        <v/>
      </c>
      <c r="O9" s="133">
        <f>IF($B9="","",IFERROR($B9*$G9*$J9/$B$3,""))</f>
        <v/>
      </c>
      <c r="P9" s="133">
        <f>IF($B9="","",IFERROR($B9*$G9*$L9/$B$3,""))</f>
        <v/>
      </c>
      <c r="Q9" s="124">
        <f>IF($B9="","",IFERROR($O9+$P9,""))</f>
        <v/>
      </c>
      <c r="R9" s="133">
        <f>IF($B9="","",IFERROR($O9+$B9*$G9*$M9/$B$3,""))</f>
        <v/>
      </c>
      <c r="S9" s="133">
        <f>IF($B9="","",IFERROR($O9+$B9*$G9*$N9/$B$3,""))</f>
        <v/>
      </c>
      <c r="T9" s="150">
        <f>IF($B9="","",IFERROR($Q9/$Q$5,""))</f>
        <v/>
      </c>
      <c r="U9" s="2">
        <f>IF($B9="","",IF(COUNTIFS('Dvd Calendar'!$E$1589:$AR$1589,"&gt;0",'Dvd Calendar'!$E$1589:$AR$1589,"&lt;="&amp;VAL_DATE,'Dvd Calendar'!$E$1590:$AR$1590,"&gt;"&amp;PROJ_FROM,'Dvd Calendar'!$E$1590:$AR$1590,"&lt;="&amp;WIN_TO)-COUNTIFS('Dvd Calendar'!$E$1589:$AR$1589,"&gt;0",'Dvd Calendar'!$E$1589:$AR$1589,"&lt;="&amp;VAL_DATE,'Dvd Calendar'!$E$1590:$AR$1590,"&gt;"&amp;PROJ_FROM,'Dvd Calendar'!$E$1590:$AR$1590,"&lt;="&amp;WIN_TO,'Dvd Calendar'!$E$1591:$AR$1591,"&gt;=0")&gt;0,"TBA amount - override me",IF((OV_SWITCH="ON")*(COUNTIFS(OVR_TICKERS,$C9,OVR_BASE,"&gt;=0")&gt;0)&gt;0,"overridden",IF($J9+$K9=0,"no dividend in year Y",""))))</f>
        <v/>
      </c>
      <c r="V9" s="133">
        <f>IF($B9="","",IFERROR(IF(ISNUMBER($H9),$B9*$G9*$H9/$B$3,0),""))</f>
        <v/>
      </c>
      <c r="W9" s="133">
        <f>IF($B9="","",IFERROR($B9*$G9*$K9/$B$3,""))</f>
        <v/>
      </c>
      <c r="X9" s="157">
        <f>IF($C9="","",BDP($C9,"PX_LAST"))</f>
        <v/>
      </c>
      <c r="Y9" s="133">
        <f>IF($B9="","",IFERROR($B9*$X9/$B$3,""))</f>
        <v/>
      </c>
      <c r="Z9" s="137">
        <f>IF($B9="","",IFERROR($Y9/$Y$5,""))</f>
        <v/>
      </c>
    </row>
    <row r="10">
      <c r="B10" s="97" t="n"/>
      <c r="C10" s="8">
        <f>IF($A10="","",$A10&amp;" Equity")</f>
        <v/>
      </c>
      <c r="D10" s="8">
        <f>IF($C10="","",BDP($C10,"NAME"))</f>
        <v/>
      </c>
      <c r="E10" s="8">
        <f>IF($C10="","",BDP($C10,"GICS_SECTOR_NAME"))</f>
        <v/>
      </c>
      <c r="F10" s="37">
        <f>IF($C10="","",BDP($C10,FLD_CCY))</f>
        <v/>
      </c>
      <c r="G10" s="111">
        <f>IFERROR(IF(LEN($F10)&lt;&gt;3,1,IF($F10="HKD",1,BDP(IF($F10="CNY",RMB_CROSS,$F10)&amp;"HKD Curncy","PX_LAST"))),1)</f>
        <v/>
      </c>
      <c r="H10" s="133">
        <f>IF($C10="","",BDP($C10,FLD_DPS12M))</f>
        <v/>
      </c>
      <c r="I10" s="126">
        <f>IF($C10="","",BDP($C10,FLD_YLD12M))</f>
        <v/>
      </c>
      <c r="J10" s="128">
        <f>IF($B10="",0,SUMPRODUCT(('Dvd Calendar'!$E$1594:$AR$1594&gt;=WIN_FROM)*('Dvd Calendar'!$E$1594:$AR$1594&lt;=REALIZED_TO)*'Dvd Calendar'!$E$1597:$AR$1597*(('Dvd Calendar'!$E$1599:$AR$1599=TYPE1)*(TYPE1&lt;&gt;"")+('Dvd Calendar'!$E$1599:$AR$1599=TYPE2)*(TYPE2&lt;&gt;"")+('Dvd Calendar'!$E$1599:$AR$1599=TYPE3)*(TYPE3&lt;&gt;"")+('Dvd Calendar'!$E$1599:$AR$1599=TYPE4)*(TYPE4&lt;&gt;"")+('Dvd Calendar'!$E$1599:$AR$1599=SPECIAL_LBL)*(INC_SPECIALS="Y"))))</f>
        <v/>
      </c>
      <c r="K10" s="128">
        <f>IF($B10="",0,SUMIFS('Dvd Calendar'!$E$1602:$AR$1602,'Dvd Calendar'!$E$1601:$AR$1601,"&gt;"&amp;PROJ_FROM,'Dvd Calendar'!$E$1601:$AR$1601,"&lt;="&amp;WIN_TO)+SUMPRODUCT(('Dvd Calendar'!$E$1594:$AR$1594&gt;PROJ_FROM)*('Dvd Calendar'!$E$1594:$AR$1594&lt;=WIN_TO)*'Dvd Calendar'!$E$1597:$AR$1597*(('Dvd Calendar'!$E$1599:$AR$1599=TYPE1)*(TYPE1&lt;&gt;"")+('Dvd Calendar'!$E$1599:$AR$1599=TYPE2)*(TYPE2&lt;&gt;"")+('Dvd Calendar'!$E$1599:$AR$1599=TYPE3)*(TYPE3&lt;&gt;"")+('Dvd Calendar'!$E$1599:$AR$1599=TYPE4)*(TYPE4&lt;&gt;"")+('Dvd Calendar'!$E$1599:$AR$1599=SPECIAL_LBL)*(INC_SPECIALS="Y"))*(COUNTIF('Dvd Calendar'!$E$1601:$AR$1601,'Dvd Calendar'!$E$1594:$AR$1594)=0)))</f>
        <v/>
      </c>
      <c r="L10" s="128">
        <f>IF($B10="",0,IF((OV_SWITCH="ON")*(COUNTIFS(OVR_TICKERS,$C10,OVR_BASE,"&gt;=0")&gt;0)&gt;0,SUMIFS(OVR_BASE,OVR_TICKERS,$C10),$K10))</f>
        <v/>
      </c>
      <c r="M10" s="128">
        <f>IF($B10="",0,IF((OV_SWITCH="ON")*(COUNTIFS(OVR_TICKERS,$C10,OVR_LOW,"&gt;=0")&gt;0)&gt;0,SUMIFS(OVR_LOW,OVR_TICKERS,$C10),$L10))</f>
        <v/>
      </c>
      <c r="N10" s="128">
        <f>IF($B10="",0,IF((OV_SWITCH="ON")*(COUNTIFS(OVR_TICKERS,$C10,OVR_HIGH,"&gt;=0")&gt;0)&gt;0,SUMIFS(OVR_HIGH,OVR_TICKERS,$C10),$L10))</f>
        <v/>
      </c>
      <c r="O10" s="133">
        <f>IF($B10="","",IFERROR($B10*$G10*$J10/$B$3,""))</f>
        <v/>
      </c>
      <c r="P10" s="133">
        <f>IF($B10="","",IFERROR($B10*$G10*$L10/$B$3,""))</f>
        <v/>
      </c>
      <c r="Q10" s="124">
        <f>IF($B10="","",IFERROR($O10+$P10,""))</f>
        <v/>
      </c>
      <c r="R10" s="133">
        <f>IF($B10="","",IFERROR($O10+$B10*$G10*$M10/$B$3,""))</f>
        <v/>
      </c>
      <c r="S10" s="133">
        <f>IF($B10="","",IFERROR($O10+$B10*$G10*$N10/$B$3,""))</f>
        <v/>
      </c>
      <c r="T10" s="150">
        <f>IF($B10="","",IFERROR($Q10/$Q$5,""))</f>
        <v/>
      </c>
      <c r="U10" s="2">
        <f>IF($B10="","",IF(COUNTIFS('Dvd Calendar'!$E$1600:$AR$1600,"&gt;0",'Dvd Calendar'!$E$1600:$AR$1600,"&lt;="&amp;VAL_DATE,'Dvd Calendar'!$E$1601:$AR$1601,"&gt;"&amp;PROJ_FROM,'Dvd Calendar'!$E$1601:$AR$1601,"&lt;="&amp;WIN_TO)-COUNTIFS('Dvd Calendar'!$E$1600:$AR$1600,"&gt;0",'Dvd Calendar'!$E$1600:$AR$1600,"&lt;="&amp;VAL_DATE,'Dvd Calendar'!$E$1601:$AR$1601,"&gt;"&amp;PROJ_FROM,'Dvd Calendar'!$E$1601:$AR$1601,"&lt;="&amp;WIN_TO,'Dvd Calendar'!$E$1602:$AR$1602,"&gt;=0")&gt;0,"TBA amount - override me",IF((OV_SWITCH="ON")*(COUNTIFS(OVR_TICKERS,$C10,OVR_BASE,"&gt;=0")&gt;0)&gt;0,"overridden",IF($J10+$K10=0,"no dividend in year Y",""))))</f>
        <v/>
      </c>
      <c r="V10" s="133">
        <f>IF($B10="","",IFERROR(IF(ISNUMBER($H10),$B10*$G10*$H10/$B$3,0),""))</f>
        <v/>
      </c>
      <c r="W10" s="133">
        <f>IF($B10="","",IFERROR($B10*$G10*$K10/$B$3,""))</f>
        <v/>
      </c>
      <c r="X10" s="157">
        <f>IF($C10="","",BDP($C10,"PX_LAST"))</f>
        <v/>
      </c>
      <c r="Y10" s="133">
        <f>IF($B10="","",IFERROR($B10*$X10/$B$3,""))</f>
        <v/>
      </c>
      <c r="Z10" s="137">
        <f>IF($B10="","",IFERROR($Y10/$Y$5,""))</f>
        <v/>
      </c>
    </row>
    <row r="11">
      <c r="B11" s="97" t="n"/>
      <c r="C11" s="8">
        <f>IF($A11="","",$A11&amp;" Equity")</f>
        <v/>
      </c>
      <c r="D11" s="8">
        <f>IF($C11="","",BDP($C11,"NAME"))</f>
        <v/>
      </c>
      <c r="E11" s="8">
        <f>IF($C11="","",BDP($C11,"GICS_SECTOR_NAME"))</f>
        <v/>
      </c>
      <c r="F11" s="37">
        <f>IF($C11="","",BDP($C11,FLD_CCY))</f>
        <v/>
      </c>
      <c r="G11" s="111">
        <f>IFERROR(IF(LEN($F11)&lt;&gt;3,1,IF($F11="HKD",1,BDP(IF($F11="CNY",RMB_CROSS,$F11)&amp;"HKD Curncy","PX_LAST"))),1)</f>
        <v/>
      </c>
      <c r="H11" s="133">
        <f>IF($C11="","",BDP($C11,FLD_DPS12M))</f>
        <v/>
      </c>
      <c r="I11" s="126">
        <f>IF($C11="","",BDP($C11,FLD_YLD12M))</f>
        <v/>
      </c>
      <c r="J11" s="128">
        <f>IF($B11="",0,SUMPRODUCT(('Dvd Calendar'!$E$1605:$AR$1605&gt;=WIN_FROM)*('Dvd Calendar'!$E$1605:$AR$1605&lt;=REALIZED_TO)*'Dvd Calendar'!$E$1608:$AR$1608*(('Dvd Calendar'!$E$1610:$AR$1610=TYPE1)*(TYPE1&lt;&gt;"")+('Dvd Calendar'!$E$1610:$AR$1610=TYPE2)*(TYPE2&lt;&gt;"")+('Dvd Calendar'!$E$1610:$AR$1610=TYPE3)*(TYPE3&lt;&gt;"")+('Dvd Calendar'!$E$1610:$AR$1610=TYPE4)*(TYPE4&lt;&gt;"")+('Dvd Calendar'!$E$1610:$AR$1610=SPECIAL_LBL)*(INC_SPECIALS="Y"))))</f>
        <v/>
      </c>
      <c r="K11" s="128">
        <f>IF($B11="",0,SUMIFS('Dvd Calendar'!$E$1613:$AR$1613,'Dvd Calendar'!$E$1612:$AR$1612,"&gt;"&amp;PROJ_FROM,'Dvd Calendar'!$E$1612:$AR$1612,"&lt;="&amp;WIN_TO)+SUMPRODUCT(('Dvd Calendar'!$E$1605:$AR$1605&gt;PROJ_FROM)*('Dvd Calendar'!$E$1605:$AR$1605&lt;=WIN_TO)*'Dvd Calendar'!$E$1608:$AR$1608*(('Dvd Calendar'!$E$1610:$AR$1610=TYPE1)*(TYPE1&lt;&gt;"")+('Dvd Calendar'!$E$1610:$AR$1610=TYPE2)*(TYPE2&lt;&gt;"")+('Dvd Calendar'!$E$1610:$AR$1610=TYPE3)*(TYPE3&lt;&gt;"")+('Dvd Calendar'!$E$1610:$AR$1610=TYPE4)*(TYPE4&lt;&gt;"")+('Dvd Calendar'!$E$1610:$AR$1610=SPECIAL_LBL)*(INC_SPECIALS="Y"))*(COUNTIF('Dvd Calendar'!$E$1612:$AR$1612,'Dvd Calendar'!$E$1605:$AR$1605)=0)))</f>
        <v/>
      </c>
      <c r="L11" s="128">
        <f>IF($B11="",0,IF((OV_SWITCH="ON")*(COUNTIFS(OVR_TICKERS,$C11,OVR_BASE,"&gt;=0")&gt;0)&gt;0,SUMIFS(OVR_BASE,OVR_TICKERS,$C11),$K11))</f>
        <v/>
      </c>
      <c r="M11" s="128">
        <f>IF($B11="",0,IF((OV_SWITCH="ON")*(COUNTIFS(OVR_TICKERS,$C11,OVR_LOW,"&gt;=0")&gt;0)&gt;0,SUMIFS(OVR_LOW,OVR_TICKERS,$C11),$L11))</f>
        <v/>
      </c>
      <c r="N11" s="128">
        <f>IF($B11="",0,IF((OV_SWITCH="ON")*(COUNTIFS(OVR_TICKERS,$C11,OVR_HIGH,"&gt;=0")&gt;0)&gt;0,SUMIFS(OVR_HIGH,OVR_TICKERS,$C11),$L11))</f>
        <v/>
      </c>
      <c r="O11" s="133">
        <f>IF($B11="","",IFERROR($B11*$G11*$J11/$B$3,""))</f>
        <v/>
      </c>
      <c r="P11" s="133">
        <f>IF($B11="","",IFERROR($B11*$G11*$L11/$B$3,""))</f>
        <v/>
      </c>
      <c r="Q11" s="124">
        <f>IF($B11="","",IFERROR($O11+$P11,""))</f>
        <v/>
      </c>
      <c r="R11" s="133">
        <f>IF($B11="","",IFERROR($O11+$B11*$G11*$M11/$B$3,""))</f>
        <v/>
      </c>
      <c r="S11" s="133">
        <f>IF($B11="","",IFERROR($O11+$B11*$G11*$N11/$B$3,""))</f>
        <v/>
      </c>
      <c r="T11" s="150">
        <f>IF($B11="","",IFERROR($Q11/$Q$5,""))</f>
        <v/>
      </c>
      <c r="U11" s="2">
        <f>IF($B11="","",IF(COUNTIFS('Dvd Calendar'!$E$1611:$AR$1611,"&gt;0",'Dvd Calendar'!$E$1611:$AR$1611,"&lt;="&amp;VAL_DATE,'Dvd Calendar'!$E$1612:$AR$1612,"&gt;"&amp;PROJ_FROM,'Dvd Calendar'!$E$1612:$AR$1612,"&lt;="&amp;WIN_TO)-COUNTIFS('Dvd Calendar'!$E$1611:$AR$1611,"&gt;0",'Dvd Calendar'!$E$1611:$AR$1611,"&lt;="&amp;VAL_DATE,'Dvd Calendar'!$E$1612:$AR$1612,"&gt;"&amp;PROJ_FROM,'Dvd Calendar'!$E$1612:$AR$1612,"&lt;="&amp;WIN_TO,'Dvd Calendar'!$E$1613:$AR$1613,"&gt;=0")&gt;0,"TBA amount - override me",IF((OV_SWITCH="ON")*(COUNTIFS(OVR_TICKERS,$C11,OVR_BASE,"&gt;=0")&gt;0)&gt;0,"overridden",IF($J11+$K11=0,"no dividend in year Y",""))))</f>
        <v/>
      </c>
      <c r="V11" s="133">
        <f>IF($B11="","",IFERROR(IF(ISNUMBER($H11),$B11*$G11*$H11/$B$3,0),""))</f>
        <v/>
      </c>
      <c r="W11" s="133">
        <f>IF($B11="","",IFERROR($B11*$G11*$K11/$B$3,""))</f>
        <v/>
      </c>
      <c r="X11" s="157">
        <f>IF($C11="","",BDP($C11,"PX_LAST"))</f>
        <v/>
      </c>
      <c r="Y11" s="133">
        <f>IF($B11="","",IFERROR($B11*$X11/$B$3,""))</f>
        <v/>
      </c>
      <c r="Z11" s="137">
        <f>IF($B11="","",IFERROR($Y11/$Y$5,""))</f>
        <v/>
      </c>
    </row>
    <row r="12">
      <c r="B12" s="97" t="n"/>
      <c r="C12" s="8">
        <f>IF($A12="","",$A12&amp;" Equity")</f>
        <v/>
      </c>
      <c r="D12" s="8">
        <f>IF($C12="","",BDP($C12,"NAME"))</f>
        <v/>
      </c>
      <c r="E12" s="8">
        <f>IF($C12="","",BDP($C12,"GICS_SECTOR_NAME"))</f>
        <v/>
      </c>
      <c r="F12" s="37">
        <f>IF($C12="","",BDP($C12,FLD_CCY))</f>
        <v/>
      </c>
      <c r="G12" s="111">
        <f>IFERROR(IF(LEN($F12)&lt;&gt;3,1,IF($F12="HKD",1,BDP(IF($F12="CNY",RMB_CROSS,$F12)&amp;"HKD Curncy","PX_LAST"))),1)</f>
        <v/>
      </c>
      <c r="H12" s="133">
        <f>IF($C12="","",BDP($C12,FLD_DPS12M))</f>
        <v/>
      </c>
      <c r="I12" s="126">
        <f>IF($C12="","",BDP($C12,FLD_YLD12M))</f>
        <v/>
      </c>
      <c r="J12" s="128">
        <f>IF($B12="",0,SUMPRODUCT(('Dvd Calendar'!$E$1616:$AR$1616&gt;=WIN_FROM)*('Dvd Calendar'!$E$1616:$AR$1616&lt;=REALIZED_TO)*'Dvd Calendar'!$E$1619:$AR$1619*(('Dvd Calendar'!$E$1621:$AR$1621=TYPE1)*(TYPE1&lt;&gt;"")+('Dvd Calendar'!$E$1621:$AR$1621=TYPE2)*(TYPE2&lt;&gt;"")+('Dvd Calendar'!$E$1621:$AR$1621=TYPE3)*(TYPE3&lt;&gt;"")+('Dvd Calendar'!$E$1621:$AR$1621=TYPE4)*(TYPE4&lt;&gt;"")+('Dvd Calendar'!$E$1621:$AR$1621=SPECIAL_LBL)*(INC_SPECIALS="Y"))))</f>
        <v/>
      </c>
      <c r="K12" s="128">
        <f>IF($B12="",0,SUMIFS('Dvd Calendar'!$E$1624:$AR$1624,'Dvd Calendar'!$E$1623:$AR$1623,"&gt;"&amp;PROJ_FROM,'Dvd Calendar'!$E$1623:$AR$1623,"&lt;="&amp;WIN_TO)+SUMPRODUCT(('Dvd Calendar'!$E$1616:$AR$1616&gt;PROJ_FROM)*('Dvd Calendar'!$E$1616:$AR$1616&lt;=WIN_TO)*'Dvd Calendar'!$E$1619:$AR$1619*(('Dvd Calendar'!$E$1621:$AR$1621=TYPE1)*(TYPE1&lt;&gt;"")+('Dvd Calendar'!$E$1621:$AR$1621=TYPE2)*(TYPE2&lt;&gt;"")+('Dvd Calendar'!$E$1621:$AR$1621=TYPE3)*(TYPE3&lt;&gt;"")+('Dvd Calendar'!$E$1621:$AR$1621=TYPE4)*(TYPE4&lt;&gt;"")+('Dvd Calendar'!$E$1621:$AR$1621=SPECIAL_LBL)*(INC_SPECIALS="Y"))*(COUNTIF('Dvd Calendar'!$E$1623:$AR$1623,'Dvd Calendar'!$E$1616:$AR$1616)=0)))</f>
        <v/>
      </c>
      <c r="L12" s="128">
        <f>IF($B12="",0,IF((OV_SWITCH="ON")*(COUNTIFS(OVR_TICKERS,$C12,OVR_BASE,"&gt;=0")&gt;0)&gt;0,SUMIFS(OVR_BASE,OVR_TICKERS,$C12),$K12))</f>
        <v/>
      </c>
      <c r="M12" s="128">
        <f>IF($B12="",0,IF((OV_SWITCH="ON")*(COUNTIFS(OVR_TICKERS,$C12,OVR_LOW,"&gt;=0")&gt;0)&gt;0,SUMIFS(OVR_LOW,OVR_TICKERS,$C12),$L12))</f>
        <v/>
      </c>
      <c r="N12" s="128">
        <f>IF($B12="",0,IF((OV_SWITCH="ON")*(COUNTIFS(OVR_TICKERS,$C12,OVR_HIGH,"&gt;=0")&gt;0)&gt;0,SUMIFS(OVR_HIGH,OVR_TICKERS,$C12),$L12))</f>
        <v/>
      </c>
      <c r="O12" s="133">
        <f>IF($B12="","",IFERROR($B12*$G12*$J12/$B$3,""))</f>
        <v/>
      </c>
      <c r="P12" s="133">
        <f>IF($B12="","",IFERROR($B12*$G12*$L12/$B$3,""))</f>
        <v/>
      </c>
      <c r="Q12" s="124">
        <f>IF($B12="","",IFERROR($O12+$P12,""))</f>
        <v/>
      </c>
      <c r="R12" s="133">
        <f>IF($B12="","",IFERROR($O12+$B12*$G12*$M12/$B$3,""))</f>
        <v/>
      </c>
      <c r="S12" s="133">
        <f>IF($B12="","",IFERROR($O12+$B12*$G12*$N12/$B$3,""))</f>
        <v/>
      </c>
      <c r="T12" s="150">
        <f>IF($B12="","",IFERROR($Q12/$Q$5,""))</f>
        <v/>
      </c>
      <c r="U12" s="2">
        <f>IF($B12="","",IF(COUNTIFS('Dvd Calendar'!$E$1622:$AR$1622,"&gt;0",'Dvd Calendar'!$E$1622:$AR$1622,"&lt;="&amp;VAL_DATE,'Dvd Calendar'!$E$1623:$AR$1623,"&gt;"&amp;PROJ_FROM,'Dvd Calendar'!$E$1623:$AR$1623,"&lt;="&amp;WIN_TO)-COUNTIFS('Dvd Calendar'!$E$1622:$AR$1622,"&gt;0",'Dvd Calendar'!$E$1622:$AR$1622,"&lt;="&amp;VAL_DATE,'Dvd Calendar'!$E$1623:$AR$1623,"&gt;"&amp;PROJ_FROM,'Dvd Calendar'!$E$1623:$AR$1623,"&lt;="&amp;WIN_TO,'Dvd Calendar'!$E$1624:$AR$1624,"&gt;=0")&gt;0,"TBA amount - override me",IF((OV_SWITCH="ON")*(COUNTIFS(OVR_TICKERS,$C12,OVR_BASE,"&gt;=0")&gt;0)&gt;0,"overridden",IF($J12+$K12=0,"no dividend in year Y",""))))</f>
        <v/>
      </c>
      <c r="V12" s="133">
        <f>IF($B12="","",IFERROR(IF(ISNUMBER($H12),$B12*$G12*$H12/$B$3,0),""))</f>
        <v/>
      </c>
      <c r="W12" s="133">
        <f>IF($B12="","",IFERROR($B12*$G12*$K12/$B$3,""))</f>
        <v/>
      </c>
      <c r="X12" s="157">
        <f>IF($C12="","",BDP($C12,"PX_LAST"))</f>
        <v/>
      </c>
      <c r="Y12" s="133">
        <f>IF($B12="","",IFERROR($B12*$X12/$B$3,""))</f>
        <v/>
      </c>
      <c r="Z12" s="137">
        <f>IF($B12="","",IFERROR($Y12/$Y$5,""))</f>
        <v/>
      </c>
    </row>
    <row r="13">
      <c r="B13" s="97" t="n"/>
      <c r="C13" s="8">
        <f>IF($A13="","",$A13&amp;" Equity")</f>
        <v/>
      </c>
      <c r="D13" s="8">
        <f>IF($C13="","",BDP($C13,"NAME"))</f>
        <v/>
      </c>
      <c r="E13" s="8">
        <f>IF($C13="","",BDP($C13,"GICS_SECTOR_NAME"))</f>
        <v/>
      </c>
      <c r="F13" s="37">
        <f>IF($C13="","",BDP($C13,FLD_CCY))</f>
        <v/>
      </c>
      <c r="G13" s="111">
        <f>IFERROR(IF(LEN($F13)&lt;&gt;3,1,IF($F13="HKD",1,BDP(IF($F13="CNY",RMB_CROSS,$F13)&amp;"HKD Curncy","PX_LAST"))),1)</f>
        <v/>
      </c>
      <c r="H13" s="133">
        <f>IF($C13="","",BDP($C13,FLD_DPS12M))</f>
        <v/>
      </c>
      <c r="I13" s="126">
        <f>IF($C13="","",BDP($C13,FLD_YLD12M))</f>
        <v/>
      </c>
      <c r="J13" s="128">
        <f>IF($B13="",0,SUMPRODUCT(('Dvd Calendar'!$E$1627:$AR$1627&gt;=WIN_FROM)*('Dvd Calendar'!$E$1627:$AR$1627&lt;=REALIZED_TO)*'Dvd Calendar'!$E$1630:$AR$1630*(('Dvd Calendar'!$E$1632:$AR$1632=TYPE1)*(TYPE1&lt;&gt;"")+('Dvd Calendar'!$E$1632:$AR$1632=TYPE2)*(TYPE2&lt;&gt;"")+('Dvd Calendar'!$E$1632:$AR$1632=TYPE3)*(TYPE3&lt;&gt;"")+('Dvd Calendar'!$E$1632:$AR$1632=TYPE4)*(TYPE4&lt;&gt;"")+('Dvd Calendar'!$E$1632:$AR$1632=SPECIAL_LBL)*(INC_SPECIALS="Y"))))</f>
        <v/>
      </c>
      <c r="K13" s="128">
        <f>IF($B13="",0,SUMIFS('Dvd Calendar'!$E$1635:$AR$1635,'Dvd Calendar'!$E$1634:$AR$1634,"&gt;"&amp;PROJ_FROM,'Dvd Calendar'!$E$1634:$AR$1634,"&lt;="&amp;WIN_TO)+SUMPRODUCT(('Dvd Calendar'!$E$1627:$AR$1627&gt;PROJ_FROM)*('Dvd Calendar'!$E$1627:$AR$1627&lt;=WIN_TO)*'Dvd Calendar'!$E$1630:$AR$1630*(('Dvd Calendar'!$E$1632:$AR$1632=TYPE1)*(TYPE1&lt;&gt;"")+('Dvd Calendar'!$E$1632:$AR$1632=TYPE2)*(TYPE2&lt;&gt;"")+('Dvd Calendar'!$E$1632:$AR$1632=TYPE3)*(TYPE3&lt;&gt;"")+('Dvd Calendar'!$E$1632:$AR$1632=TYPE4)*(TYPE4&lt;&gt;"")+('Dvd Calendar'!$E$1632:$AR$1632=SPECIAL_LBL)*(INC_SPECIALS="Y"))*(COUNTIF('Dvd Calendar'!$E$1634:$AR$1634,'Dvd Calendar'!$E$1627:$AR$1627)=0)))</f>
        <v/>
      </c>
      <c r="L13" s="128">
        <f>IF($B13="",0,IF((OV_SWITCH="ON")*(COUNTIFS(OVR_TICKERS,$C13,OVR_BASE,"&gt;=0")&gt;0)&gt;0,SUMIFS(OVR_BASE,OVR_TICKERS,$C13),$K13))</f>
        <v/>
      </c>
      <c r="M13" s="128">
        <f>IF($B13="",0,IF((OV_SWITCH="ON")*(COUNTIFS(OVR_TICKERS,$C13,OVR_LOW,"&gt;=0")&gt;0)&gt;0,SUMIFS(OVR_LOW,OVR_TICKERS,$C13),$L13))</f>
        <v/>
      </c>
      <c r="N13" s="128">
        <f>IF($B13="",0,IF((OV_SWITCH="ON")*(COUNTIFS(OVR_TICKERS,$C13,OVR_HIGH,"&gt;=0")&gt;0)&gt;0,SUMIFS(OVR_HIGH,OVR_TICKERS,$C13),$L13))</f>
        <v/>
      </c>
      <c r="O13" s="133">
        <f>IF($B13="","",IFERROR($B13*$G13*$J13/$B$3,""))</f>
        <v/>
      </c>
      <c r="P13" s="133">
        <f>IF($B13="","",IFERROR($B13*$G13*$L13/$B$3,""))</f>
        <v/>
      </c>
      <c r="Q13" s="124">
        <f>IF($B13="","",IFERROR($O13+$P13,""))</f>
        <v/>
      </c>
      <c r="R13" s="133">
        <f>IF($B13="","",IFERROR($O13+$B13*$G13*$M13/$B$3,""))</f>
        <v/>
      </c>
      <c r="S13" s="133">
        <f>IF($B13="","",IFERROR($O13+$B13*$G13*$N13/$B$3,""))</f>
        <v/>
      </c>
      <c r="T13" s="150">
        <f>IF($B13="","",IFERROR($Q13/$Q$5,""))</f>
        <v/>
      </c>
      <c r="U13" s="2">
        <f>IF($B13="","",IF(COUNTIFS('Dvd Calendar'!$E$1633:$AR$1633,"&gt;0",'Dvd Calendar'!$E$1633:$AR$1633,"&lt;="&amp;VAL_DATE,'Dvd Calendar'!$E$1634:$AR$1634,"&gt;"&amp;PROJ_FROM,'Dvd Calendar'!$E$1634:$AR$1634,"&lt;="&amp;WIN_TO)-COUNTIFS('Dvd Calendar'!$E$1633:$AR$1633,"&gt;0",'Dvd Calendar'!$E$1633:$AR$1633,"&lt;="&amp;VAL_DATE,'Dvd Calendar'!$E$1634:$AR$1634,"&gt;"&amp;PROJ_FROM,'Dvd Calendar'!$E$1634:$AR$1634,"&lt;="&amp;WIN_TO,'Dvd Calendar'!$E$1635:$AR$1635,"&gt;=0")&gt;0,"TBA amount - override me",IF((OV_SWITCH="ON")*(COUNTIFS(OVR_TICKERS,$C13,OVR_BASE,"&gt;=0")&gt;0)&gt;0,"overridden",IF($J13+$K13=0,"no dividend in year Y",""))))</f>
        <v/>
      </c>
      <c r="V13" s="133">
        <f>IF($B13="","",IFERROR(IF(ISNUMBER($H13),$B13*$G13*$H13/$B$3,0),""))</f>
        <v/>
      </c>
      <c r="W13" s="133">
        <f>IF($B13="","",IFERROR($B13*$G13*$K13/$B$3,""))</f>
        <v/>
      </c>
      <c r="X13" s="157">
        <f>IF($C13="","",BDP($C13,"PX_LAST"))</f>
        <v/>
      </c>
      <c r="Y13" s="133">
        <f>IF($B13="","",IFERROR($B13*$X13/$B$3,""))</f>
        <v/>
      </c>
      <c r="Z13" s="137">
        <f>IF($B13="","",IFERROR($Y13/$Y$5,""))</f>
        <v/>
      </c>
    </row>
    <row r="14">
      <c r="B14" s="97" t="n"/>
      <c r="C14" s="8">
        <f>IF($A14="","",$A14&amp;" Equity")</f>
        <v/>
      </c>
      <c r="D14" s="8">
        <f>IF($C14="","",BDP($C14,"NAME"))</f>
        <v/>
      </c>
      <c r="E14" s="8">
        <f>IF($C14="","",BDP($C14,"GICS_SECTOR_NAME"))</f>
        <v/>
      </c>
      <c r="F14" s="37">
        <f>IF($C14="","",BDP($C14,FLD_CCY))</f>
        <v/>
      </c>
      <c r="G14" s="111">
        <f>IFERROR(IF(LEN($F14)&lt;&gt;3,1,IF($F14="HKD",1,BDP(IF($F14="CNY",RMB_CROSS,$F14)&amp;"HKD Curncy","PX_LAST"))),1)</f>
        <v/>
      </c>
      <c r="H14" s="133">
        <f>IF($C14="","",BDP($C14,FLD_DPS12M))</f>
        <v/>
      </c>
      <c r="I14" s="126">
        <f>IF($C14="","",BDP($C14,FLD_YLD12M))</f>
        <v/>
      </c>
      <c r="J14" s="128">
        <f>IF($B14="",0,SUMPRODUCT(('Dvd Calendar'!$E$1638:$AR$1638&gt;=WIN_FROM)*('Dvd Calendar'!$E$1638:$AR$1638&lt;=REALIZED_TO)*'Dvd Calendar'!$E$1641:$AR$1641*(('Dvd Calendar'!$E$1643:$AR$1643=TYPE1)*(TYPE1&lt;&gt;"")+('Dvd Calendar'!$E$1643:$AR$1643=TYPE2)*(TYPE2&lt;&gt;"")+('Dvd Calendar'!$E$1643:$AR$1643=TYPE3)*(TYPE3&lt;&gt;"")+('Dvd Calendar'!$E$1643:$AR$1643=TYPE4)*(TYPE4&lt;&gt;"")+('Dvd Calendar'!$E$1643:$AR$1643=SPECIAL_LBL)*(INC_SPECIALS="Y"))))</f>
        <v/>
      </c>
      <c r="K14" s="128">
        <f>IF($B14="",0,SUMIFS('Dvd Calendar'!$E$1646:$AR$1646,'Dvd Calendar'!$E$1645:$AR$1645,"&gt;"&amp;PROJ_FROM,'Dvd Calendar'!$E$1645:$AR$1645,"&lt;="&amp;WIN_TO)+SUMPRODUCT(('Dvd Calendar'!$E$1638:$AR$1638&gt;PROJ_FROM)*('Dvd Calendar'!$E$1638:$AR$1638&lt;=WIN_TO)*'Dvd Calendar'!$E$1641:$AR$1641*(('Dvd Calendar'!$E$1643:$AR$1643=TYPE1)*(TYPE1&lt;&gt;"")+('Dvd Calendar'!$E$1643:$AR$1643=TYPE2)*(TYPE2&lt;&gt;"")+('Dvd Calendar'!$E$1643:$AR$1643=TYPE3)*(TYPE3&lt;&gt;"")+('Dvd Calendar'!$E$1643:$AR$1643=TYPE4)*(TYPE4&lt;&gt;"")+('Dvd Calendar'!$E$1643:$AR$1643=SPECIAL_LBL)*(INC_SPECIALS="Y"))*(COUNTIF('Dvd Calendar'!$E$1645:$AR$1645,'Dvd Calendar'!$E$1638:$AR$1638)=0)))</f>
        <v/>
      </c>
      <c r="L14" s="128">
        <f>IF($B14="",0,IF((OV_SWITCH="ON")*(COUNTIFS(OVR_TICKERS,$C14,OVR_BASE,"&gt;=0")&gt;0)&gt;0,SUMIFS(OVR_BASE,OVR_TICKERS,$C14),$K14))</f>
        <v/>
      </c>
      <c r="M14" s="128">
        <f>IF($B14="",0,IF((OV_SWITCH="ON")*(COUNTIFS(OVR_TICKERS,$C14,OVR_LOW,"&gt;=0")&gt;0)&gt;0,SUMIFS(OVR_LOW,OVR_TICKERS,$C14),$L14))</f>
        <v/>
      </c>
      <c r="N14" s="128">
        <f>IF($B14="",0,IF((OV_SWITCH="ON")*(COUNTIFS(OVR_TICKERS,$C14,OVR_HIGH,"&gt;=0")&gt;0)&gt;0,SUMIFS(OVR_HIGH,OVR_TICKERS,$C14),$L14))</f>
        <v/>
      </c>
      <c r="O14" s="133">
        <f>IF($B14="","",IFERROR($B14*$G14*$J14/$B$3,""))</f>
        <v/>
      </c>
      <c r="P14" s="133">
        <f>IF($B14="","",IFERROR($B14*$G14*$L14/$B$3,""))</f>
        <v/>
      </c>
      <c r="Q14" s="124">
        <f>IF($B14="","",IFERROR($O14+$P14,""))</f>
        <v/>
      </c>
      <c r="R14" s="133">
        <f>IF($B14="","",IFERROR($O14+$B14*$G14*$M14/$B$3,""))</f>
        <v/>
      </c>
      <c r="S14" s="133">
        <f>IF($B14="","",IFERROR($O14+$B14*$G14*$N14/$B$3,""))</f>
        <v/>
      </c>
      <c r="T14" s="150">
        <f>IF($B14="","",IFERROR($Q14/$Q$5,""))</f>
        <v/>
      </c>
      <c r="U14" s="2">
        <f>IF($B14="","",IF(COUNTIFS('Dvd Calendar'!$E$1644:$AR$1644,"&gt;0",'Dvd Calendar'!$E$1644:$AR$1644,"&lt;="&amp;VAL_DATE,'Dvd Calendar'!$E$1645:$AR$1645,"&gt;"&amp;PROJ_FROM,'Dvd Calendar'!$E$1645:$AR$1645,"&lt;="&amp;WIN_TO)-COUNTIFS('Dvd Calendar'!$E$1644:$AR$1644,"&gt;0",'Dvd Calendar'!$E$1644:$AR$1644,"&lt;="&amp;VAL_DATE,'Dvd Calendar'!$E$1645:$AR$1645,"&gt;"&amp;PROJ_FROM,'Dvd Calendar'!$E$1645:$AR$1645,"&lt;="&amp;WIN_TO,'Dvd Calendar'!$E$1646:$AR$1646,"&gt;=0")&gt;0,"TBA amount - override me",IF((OV_SWITCH="ON")*(COUNTIFS(OVR_TICKERS,$C14,OVR_BASE,"&gt;=0")&gt;0)&gt;0,"overridden",IF($J14+$K14=0,"no dividend in year Y",""))))</f>
        <v/>
      </c>
      <c r="V14" s="133">
        <f>IF($B14="","",IFERROR(IF(ISNUMBER($H14),$B14*$G14*$H14/$B$3,0),""))</f>
        <v/>
      </c>
      <c r="W14" s="133">
        <f>IF($B14="","",IFERROR($B14*$G14*$K14/$B$3,""))</f>
        <v/>
      </c>
      <c r="X14" s="157">
        <f>IF($C14="","",BDP($C14,"PX_LAST"))</f>
        <v/>
      </c>
      <c r="Y14" s="133">
        <f>IF($B14="","",IFERROR($B14*$X14/$B$3,""))</f>
        <v/>
      </c>
      <c r="Z14" s="137">
        <f>IF($B14="","",IFERROR($Y14/$Y$5,""))</f>
        <v/>
      </c>
    </row>
    <row r="15">
      <c r="B15" s="97" t="n"/>
      <c r="C15" s="8">
        <f>IF($A15="","",$A15&amp;" Equity")</f>
        <v/>
      </c>
      <c r="D15" s="8">
        <f>IF($C15="","",BDP($C15,"NAME"))</f>
        <v/>
      </c>
      <c r="E15" s="8">
        <f>IF($C15="","",BDP($C15,"GICS_SECTOR_NAME"))</f>
        <v/>
      </c>
      <c r="F15" s="37">
        <f>IF($C15="","",BDP($C15,FLD_CCY))</f>
        <v/>
      </c>
      <c r="G15" s="111">
        <f>IFERROR(IF(LEN($F15)&lt;&gt;3,1,IF($F15="HKD",1,BDP(IF($F15="CNY",RMB_CROSS,$F15)&amp;"HKD Curncy","PX_LAST"))),1)</f>
        <v/>
      </c>
      <c r="H15" s="133">
        <f>IF($C15="","",BDP($C15,FLD_DPS12M))</f>
        <v/>
      </c>
      <c r="I15" s="126">
        <f>IF($C15="","",BDP($C15,FLD_YLD12M))</f>
        <v/>
      </c>
      <c r="J15" s="128">
        <f>IF($B15="",0,SUMPRODUCT(('Dvd Calendar'!$E$1649:$AR$1649&gt;=WIN_FROM)*('Dvd Calendar'!$E$1649:$AR$1649&lt;=REALIZED_TO)*'Dvd Calendar'!$E$1652:$AR$1652*(('Dvd Calendar'!$E$1654:$AR$1654=TYPE1)*(TYPE1&lt;&gt;"")+('Dvd Calendar'!$E$1654:$AR$1654=TYPE2)*(TYPE2&lt;&gt;"")+('Dvd Calendar'!$E$1654:$AR$1654=TYPE3)*(TYPE3&lt;&gt;"")+('Dvd Calendar'!$E$1654:$AR$1654=TYPE4)*(TYPE4&lt;&gt;"")+('Dvd Calendar'!$E$1654:$AR$1654=SPECIAL_LBL)*(INC_SPECIALS="Y"))))</f>
        <v/>
      </c>
      <c r="K15" s="128">
        <f>IF($B15="",0,SUMIFS('Dvd Calendar'!$E$1657:$AR$1657,'Dvd Calendar'!$E$1656:$AR$1656,"&gt;"&amp;PROJ_FROM,'Dvd Calendar'!$E$1656:$AR$1656,"&lt;="&amp;WIN_TO)+SUMPRODUCT(('Dvd Calendar'!$E$1649:$AR$1649&gt;PROJ_FROM)*('Dvd Calendar'!$E$1649:$AR$1649&lt;=WIN_TO)*'Dvd Calendar'!$E$1652:$AR$1652*(('Dvd Calendar'!$E$1654:$AR$1654=TYPE1)*(TYPE1&lt;&gt;"")+('Dvd Calendar'!$E$1654:$AR$1654=TYPE2)*(TYPE2&lt;&gt;"")+('Dvd Calendar'!$E$1654:$AR$1654=TYPE3)*(TYPE3&lt;&gt;"")+('Dvd Calendar'!$E$1654:$AR$1654=TYPE4)*(TYPE4&lt;&gt;"")+('Dvd Calendar'!$E$1654:$AR$1654=SPECIAL_LBL)*(INC_SPECIALS="Y"))*(COUNTIF('Dvd Calendar'!$E$1656:$AR$1656,'Dvd Calendar'!$E$1649:$AR$1649)=0)))</f>
        <v/>
      </c>
      <c r="L15" s="128">
        <f>IF($B15="",0,IF((OV_SWITCH="ON")*(COUNTIFS(OVR_TICKERS,$C15,OVR_BASE,"&gt;=0")&gt;0)&gt;0,SUMIFS(OVR_BASE,OVR_TICKERS,$C15),$K15))</f>
        <v/>
      </c>
      <c r="M15" s="128">
        <f>IF($B15="",0,IF((OV_SWITCH="ON")*(COUNTIFS(OVR_TICKERS,$C15,OVR_LOW,"&gt;=0")&gt;0)&gt;0,SUMIFS(OVR_LOW,OVR_TICKERS,$C15),$L15))</f>
        <v/>
      </c>
      <c r="N15" s="128">
        <f>IF($B15="",0,IF((OV_SWITCH="ON")*(COUNTIFS(OVR_TICKERS,$C15,OVR_HIGH,"&gt;=0")&gt;0)&gt;0,SUMIFS(OVR_HIGH,OVR_TICKERS,$C15),$L15))</f>
        <v/>
      </c>
      <c r="O15" s="133">
        <f>IF($B15="","",IFERROR($B15*$G15*$J15/$B$3,""))</f>
        <v/>
      </c>
      <c r="P15" s="133">
        <f>IF($B15="","",IFERROR($B15*$G15*$L15/$B$3,""))</f>
        <v/>
      </c>
      <c r="Q15" s="124">
        <f>IF($B15="","",IFERROR($O15+$P15,""))</f>
        <v/>
      </c>
      <c r="R15" s="133">
        <f>IF($B15="","",IFERROR($O15+$B15*$G15*$M15/$B$3,""))</f>
        <v/>
      </c>
      <c r="S15" s="133">
        <f>IF($B15="","",IFERROR($O15+$B15*$G15*$N15/$B$3,""))</f>
        <v/>
      </c>
      <c r="T15" s="150">
        <f>IF($B15="","",IFERROR($Q15/$Q$5,""))</f>
        <v/>
      </c>
      <c r="U15" s="2">
        <f>IF($B15="","",IF(COUNTIFS('Dvd Calendar'!$E$1655:$AR$1655,"&gt;0",'Dvd Calendar'!$E$1655:$AR$1655,"&lt;="&amp;VAL_DATE,'Dvd Calendar'!$E$1656:$AR$1656,"&gt;"&amp;PROJ_FROM,'Dvd Calendar'!$E$1656:$AR$1656,"&lt;="&amp;WIN_TO)-COUNTIFS('Dvd Calendar'!$E$1655:$AR$1655,"&gt;0",'Dvd Calendar'!$E$1655:$AR$1655,"&lt;="&amp;VAL_DATE,'Dvd Calendar'!$E$1656:$AR$1656,"&gt;"&amp;PROJ_FROM,'Dvd Calendar'!$E$1656:$AR$1656,"&lt;="&amp;WIN_TO,'Dvd Calendar'!$E$1657:$AR$1657,"&gt;=0")&gt;0,"TBA amount - override me",IF((OV_SWITCH="ON")*(COUNTIFS(OVR_TICKERS,$C15,OVR_BASE,"&gt;=0")&gt;0)&gt;0,"overridden",IF($J15+$K15=0,"no dividend in year Y",""))))</f>
        <v/>
      </c>
      <c r="V15" s="133">
        <f>IF($B15="","",IFERROR(IF(ISNUMBER($H15),$B15*$G15*$H15/$B$3,0),""))</f>
        <v/>
      </c>
      <c r="W15" s="133">
        <f>IF($B15="","",IFERROR($B15*$G15*$K15/$B$3,""))</f>
        <v/>
      </c>
      <c r="X15" s="157">
        <f>IF($C15="","",BDP($C15,"PX_LAST"))</f>
        <v/>
      </c>
      <c r="Y15" s="133">
        <f>IF($B15="","",IFERROR($B15*$X15/$B$3,""))</f>
        <v/>
      </c>
      <c r="Z15" s="137">
        <f>IF($B15="","",IFERROR($Y15/$Y$5,""))</f>
        <v/>
      </c>
    </row>
    <row r="16">
      <c r="B16" s="97" t="n"/>
      <c r="C16" s="8">
        <f>IF($A16="","",$A16&amp;" Equity")</f>
        <v/>
      </c>
      <c r="D16" s="8">
        <f>IF($C16="","",BDP($C16,"NAME"))</f>
        <v/>
      </c>
      <c r="E16" s="8">
        <f>IF($C16="","",BDP($C16,"GICS_SECTOR_NAME"))</f>
        <v/>
      </c>
      <c r="F16" s="37">
        <f>IF($C16="","",BDP($C16,FLD_CCY))</f>
        <v/>
      </c>
      <c r="G16" s="111">
        <f>IFERROR(IF(LEN($F16)&lt;&gt;3,1,IF($F16="HKD",1,BDP(IF($F16="CNY",RMB_CROSS,$F16)&amp;"HKD Curncy","PX_LAST"))),1)</f>
        <v/>
      </c>
      <c r="H16" s="133">
        <f>IF($C16="","",BDP($C16,FLD_DPS12M))</f>
        <v/>
      </c>
      <c r="I16" s="126">
        <f>IF($C16="","",BDP($C16,FLD_YLD12M))</f>
        <v/>
      </c>
      <c r="J16" s="128">
        <f>IF($B16="",0,SUMPRODUCT(('Dvd Calendar'!$E$1660:$AR$1660&gt;=WIN_FROM)*('Dvd Calendar'!$E$1660:$AR$1660&lt;=REALIZED_TO)*'Dvd Calendar'!$E$1663:$AR$1663*(('Dvd Calendar'!$E$1665:$AR$1665=TYPE1)*(TYPE1&lt;&gt;"")+('Dvd Calendar'!$E$1665:$AR$1665=TYPE2)*(TYPE2&lt;&gt;"")+('Dvd Calendar'!$E$1665:$AR$1665=TYPE3)*(TYPE3&lt;&gt;"")+('Dvd Calendar'!$E$1665:$AR$1665=TYPE4)*(TYPE4&lt;&gt;"")+('Dvd Calendar'!$E$1665:$AR$1665=SPECIAL_LBL)*(INC_SPECIALS="Y"))))</f>
        <v/>
      </c>
      <c r="K16" s="128">
        <f>IF($B16="",0,SUMIFS('Dvd Calendar'!$E$1668:$AR$1668,'Dvd Calendar'!$E$1667:$AR$1667,"&gt;"&amp;PROJ_FROM,'Dvd Calendar'!$E$1667:$AR$1667,"&lt;="&amp;WIN_TO)+SUMPRODUCT(('Dvd Calendar'!$E$1660:$AR$1660&gt;PROJ_FROM)*('Dvd Calendar'!$E$1660:$AR$1660&lt;=WIN_TO)*'Dvd Calendar'!$E$1663:$AR$1663*(('Dvd Calendar'!$E$1665:$AR$1665=TYPE1)*(TYPE1&lt;&gt;"")+('Dvd Calendar'!$E$1665:$AR$1665=TYPE2)*(TYPE2&lt;&gt;"")+('Dvd Calendar'!$E$1665:$AR$1665=TYPE3)*(TYPE3&lt;&gt;"")+('Dvd Calendar'!$E$1665:$AR$1665=TYPE4)*(TYPE4&lt;&gt;"")+('Dvd Calendar'!$E$1665:$AR$1665=SPECIAL_LBL)*(INC_SPECIALS="Y"))*(COUNTIF('Dvd Calendar'!$E$1667:$AR$1667,'Dvd Calendar'!$E$1660:$AR$1660)=0)))</f>
        <v/>
      </c>
      <c r="L16" s="128">
        <f>IF($B16="",0,IF((OV_SWITCH="ON")*(COUNTIFS(OVR_TICKERS,$C16,OVR_BASE,"&gt;=0")&gt;0)&gt;0,SUMIFS(OVR_BASE,OVR_TICKERS,$C16),$K16))</f>
        <v/>
      </c>
      <c r="M16" s="128">
        <f>IF($B16="",0,IF((OV_SWITCH="ON")*(COUNTIFS(OVR_TICKERS,$C16,OVR_LOW,"&gt;=0")&gt;0)&gt;0,SUMIFS(OVR_LOW,OVR_TICKERS,$C16),$L16))</f>
        <v/>
      </c>
      <c r="N16" s="128">
        <f>IF($B16="",0,IF((OV_SWITCH="ON")*(COUNTIFS(OVR_TICKERS,$C16,OVR_HIGH,"&gt;=0")&gt;0)&gt;0,SUMIFS(OVR_HIGH,OVR_TICKERS,$C16),$L16))</f>
        <v/>
      </c>
      <c r="O16" s="133">
        <f>IF($B16="","",IFERROR($B16*$G16*$J16/$B$3,""))</f>
        <v/>
      </c>
      <c r="P16" s="133">
        <f>IF($B16="","",IFERROR($B16*$G16*$L16/$B$3,""))</f>
        <v/>
      </c>
      <c r="Q16" s="124">
        <f>IF($B16="","",IFERROR($O16+$P16,""))</f>
        <v/>
      </c>
      <c r="R16" s="133">
        <f>IF($B16="","",IFERROR($O16+$B16*$G16*$M16/$B$3,""))</f>
        <v/>
      </c>
      <c r="S16" s="133">
        <f>IF($B16="","",IFERROR($O16+$B16*$G16*$N16/$B$3,""))</f>
        <v/>
      </c>
      <c r="T16" s="150">
        <f>IF($B16="","",IFERROR($Q16/$Q$5,""))</f>
        <v/>
      </c>
      <c r="U16" s="2">
        <f>IF($B16="","",IF(COUNTIFS('Dvd Calendar'!$E$1666:$AR$1666,"&gt;0",'Dvd Calendar'!$E$1666:$AR$1666,"&lt;="&amp;VAL_DATE,'Dvd Calendar'!$E$1667:$AR$1667,"&gt;"&amp;PROJ_FROM,'Dvd Calendar'!$E$1667:$AR$1667,"&lt;="&amp;WIN_TO)-COUNTIFS('Dvd Calendar'!$E$1666:$AR$1666,"&gt;0",'Dvd Calendar'!$E$1666:$AR$1666,"&lt;="&amp;VAL_DATE,'Dvd Calendar'!$E$1667:$AR$1667,"&gt;"&amp;PROJ_FROM,'Dvd Calendar'!$E$1667:$AR$1667,"&lt;="&amp;WIN_TO,'Dvd Calendar'!$E$1668:$AR$1668,"&gt;=0")&gt;0,"TBA amount - override me",IF((OV_SWITCH="ON")*(COUNTIFS(OVR_TICKERS,$C16,OVR_BASE,"&gt;=0")&gt;0)&gt;0,"overridden",IF($J16+$K16=0,"no dividend in year Y",""))))</f>
        <v/>
      </c>
      <c r="V16" s="133">
        <f>IF($B16="","",IFERROR(IF(ISNUMBER($H16),$B16*$G16*$H16/$B$3,0),""))</f>
        <v/>
      </c>
      <c r="W16" s="133">
        <f>IF($B16="","",IFERROR($B16*$G16*$K16/$B$3,""))</f>
        <v/>
      </c>
      <c r="X16" s="157">
        <f>IF($C16="","",BDP($C16,"PX_LAST"))</f>
        <v/>
      </c>
      <c r="Y16" s="133">
        <f>IF($B16="","",IFERROR($B16*$X16/$B$3,""))</f>
        <v/>
      </c>
      <c r="Z16" s="137">
        <f>IF($B16="","",IFERROR($Y16/$Y$5,""))</f>
        <v/>
      </c>
    </row>
    <row r="17">
      <c r="B17" s="97" t="n"/>
      <c r="C17" s="8">
        <f>IF($A17="","",$A17&amp;" Equity")</f>
        <v/>
      </c>
      <c r="D17" s="8">
        <f>IF($C17="","",BDP($C17,"NAME"))</f>
        <v/>
      </c>
      <c r="E17" s="8">
        <f>IF($C17="","",BDP($C17,"GICS_SECTOR_NAME"))</f>
        <v/>
      </c>
      <c r="F17" s="37">
        <f>IF($C17="","",BDP($C17,FLD_CCY))</f>
        <v/>
      </c>
      <c r="G17" s="111">
        <f>IFERROR(IF(LEN($F17)&lt;&gt;3,1,IF($F17="HKD",1,BDP(IF($F17="CNY",RMB_CROSS,$F17)&amp;"HKD Curncy","PX_LAST"))),1)</f>
        <v/>
      </c>
      <c r="H17" s="133">
        <f>IF($C17="","",BDP($C17,FLD_DPS12M))</f>
        <v/>
      </c>
      <c r="I17" s="126">
        <f>IF($C17="","",BDP($C17,FLD_YLD12M))</f>
        <v/>
      </c>
      <c r="J17" s="128">
        <f>IF($B17="",0,SUMPRODUCT(('Dvd Calendar'!$E$1671:$AR$1671&gt;=WIN_FROM)*('Dvd Calendar'!$E$1671:$AR$1671&lt;=REALIZED_TO)*'Dvd Calendar'!$E$1674:$AR$1674*(('Dvd Calendar'!$E$1676:$AR$1676=TYPE1)*(TYPE1&lt;&gt;"")+('Dvd Calendar'!$E$1676:$AR$1676=TYPE2)*(TYPE2&lt;&gt;"")+('Dvd Calendar'!$E$1676:$AR$1676=TYPE3)*(TYPE3&lt;&gt;"")+('Dvd Calendar'!$E$1676:$AR$1676=TYPE4)*(TYPE4&lt;&gt;"")+('Dvd Calendar'!$E$1676:$AR$1676=SPECIAL_LBL)*(INC_SPECIALS="Y"))))</f>
        <v/>
      </c>
      <c r="K17" s="128">
        <f>IF($B17="",0,SUMIFS('Dvd Calendar'!$E$1679:$AR$1679,'Dvd Calendar'!$E$1678:$AR$1678,"&gt;"&amp;PROJ_FROM,'Dvd Calendar'!$E$1678:$AR$1678,"&lt;="&amp;WIN_TO)+SUMPRODUCT(('Dvd Calendar'!$E$1671:$AR$1671&gt;PROJ_FROM)*('Dvd Calendar'!$E$1671:$AR$1671&lt;=WIN_TO)*'Dvd Calendar'!$E$1674:$AR$1674*(('Dvd Calendar'!$E$1676:$AR$1676=TYPE1)*(TYPE1&lt;&gt;"")+('Dvd Calendar'!$E$1676:$AR$1676=TYPE2)*(TYPE2&lt;&gt;"")+('Dvd Calendar'!$E$1676:$AR$1676=TYPE3)*(TYPE3&lt;&gt;"")+('Dvd Calendar'!$E$1676:$AR$1676=TYPE4)*(TYPE4&lt;&gt;"")+('Dvd Calendar'!$E$1676:$AR$1676=SPECIAL_LBL)*(INC_SPECIALS="Y"))*(COUNTIF('Dvd Calendar'!$E$1678:$AR$1678,'Dvd Calendar'!$E$1671:$AR$1671)=0)))</f>
        <v/>
      </c>
      <c r="L17" s="128">
        <f>IF($B17="",0,IF((OV_SWITCH="ON")*(COUNTIFS(OVR_TICKERS,$C17,OVR_BASE,"&gt;=0")&gt;0)&gt;0,SUMIFS(OVR_BASE,OVR_TICKERS,$C17),$K17))</f>
        <v/>
      </c>
      <c r="M17" s="128">
        <f>IF($B17="",0,IF((OV_SWITCH="ON")*(COUNTIFS(OVR_TICKERS,$C17,OVR_LOW,"&gt;=0")&gt;0)&gt;0,SUMIFS(OVR_LOW,OVR_TICKERS,$C17),$L17))</f>
        <v/>
      </c>
      <c r="N17" s="128">
        <f>IF($B17="",0,IF((OV_SWITCH="ON")*(COUNTIFS(OVR_TICKERS,$C17,OVR_HIGH,"&gt;=0")&gt;0)&gt;0,SUMIFS(OVR_HIGH,OVR_TICKERS,$C17),$L17))</f>
        <v/>
      </c>
      <c r="O17" s="133">
        <f>IF($B17="","",IFERROR($B17*$G17*$J17/$B$3,""))</f>
        <v/>
      </c>
      <c r="P17" s="133">
        <f>IF($B17="","",IFERROR($B17*$G17*$L17/$B$3,""))</f>
        <v/>
      </c>
      <c r="Q17" s="124">
        <f>IF($B17="","",IFERROR($O17+$P17,""))</f>
        <v/>
      </c>
      <c r="R17" s="133">
        <f>IF($B17="","",IFERROR($O17+$B17*$G17*$M17/$B$3,""))</f>
        <v/>
      </c>
      <c r="S17" s="133">
        <f>IF($B17="","",IFERROR($O17+$B17*$G17*$N17/$B$3,""))</f>
        <v/>
      </c>
      <c r="T17" s="150">
        <f>IF($B17="","",IFERROR($Q17/$Q$5,""))</f>
        <v/>
      </c>
      <c r="U17" s="2">
        <f>IF($B17="","",IF(COUNTIFS('Dvd Calendar'!$E$1677:$AR$1677,"&gt;0",'Dvd Calendar'!$E$1677:$AR$1677,"&lt;="&amp;VAL_DATE,'Dvd Calendar'!$E$1678:$AR$1678,"&gt;"&amp;PROJ_FROM,'Dvd Calendar'!$E$1678:$AR$1678,"&lt;="&amp;WIN_TO)-COUNTIFS('Dvd Calendar'!$E$1677:$AR$1677,"&gt;0",'Dvd Calendar'!$E$1677:$AR$1677,"&lt;="&amp;VAL_DATE,'Dvd Calendar'!$E$1678:$AR$1678,"&gt;"&amp;PROJ_FROM,'Dvd Calendar'!$E$1678:$AR$1678,"&lt;="&amp;WIN_TO,'Dvd Calendar'!$E$1679:$AR$1679,"&gt;=0")&gt;0,"TBA amount - override me",IF((OV_SWITCH="ON")*(COUNTIFS(OVR_TICKERS,$C17,OVR_BASE,"&gt;=0")&gt;0)&gt;0,"overridden",IF($J17+$K17=0,"no dividend in year Y",""))))</f>
        <v/>
      </c>
      <c r="V17" s="133">
        <f>IF($B17="","",IFERROR(IF(ISNUMBER($H17),$B17*$G17*$H17/$B$3,0),""))</f>
        <v/>
      </c>
      <c r="W17" s="133">
        <f>IF($B17="","",IFERROR($B17*$G17*$K17/$B$3,""))</f>
        <v/>
      </c>
      <c r="X17" s="157">
        <f>IF($C17="","",BDP($C17,"PX_LAST"))</f>
        <v/>
      </c>
      <c r="Y17" s="133">
        <f>IF($B17="","",IFERROR($B17*$X17/$B$3,""))</f>
        <v/>
      </c>
      <c r="Z17" s="137">
        <f>IF($B17="","",IFERROR($Y17/$Y$5,""))</f>
        <v/>
      </c>
    </row>
    <row r="18">
      <c r="B18" s="97" t="n"/>
      <c r="C18" s="8">
        <f>IF($A18="","",$A18&amp;" Equity")</f>
        <v/>
      </c>
      <c r="D18" s="8">
        <f>IF($C18="","",BDP($C18,"NAME"))</f>
        <v/>
      </c>
      <c r="E18" s="8">
        <f>IF($C18="","",BDP($C18,"GICS_SECTOR_NAME"))</f>
        <v/>
      </c>
      <c r="F18" s="37">
        <f>IF($C18="","",BDP($C18,FLD_CCY))</f>
        <v/>
      </c>
      <c r="G18" s="111">
        <f>IFERROR(IF(LEN($F18)&lt;&gt;3,1,IF($F18="HKD",1,BDP(IF($F18="CNY",RMB_CROSS,$F18)&amp;"HKD Curncy","PX_LAST"))),1)</f>
        <v/>
      </c>
      <c r="H18" s="133">
        <f>IF($C18="","",BDP($C18,FLD_DPS12M))</f>
        <v/>
      </c>
      <c r="I18" s="126">
        <f>IF($C18="","",BDP($C18,FLD_YLD12M))</f>
        <v/>
      </c>
      <c r="J18" s="128">
        <f>IF($B18="",0,SUMPRODUCT(('Dvd Calendar'!$E$1682:$AR$1682&gt;=WIN_FROM)*('Dvd Calendar'!$E$1682:$AR$1682&lt;=REALIZED_TO)*'Dvd Calendar'!$E$1685:$AR$1685*(('Dvd Calendar'!$E$1687:$AR$1687=TYPE1)*(TYPE1&lt;&gt;"")+('Dvd Calendar'!$E$1687:$AR$1687=TYPE2)*(TYPE2&lt;&gt;"")+('Dvd Calendar'!$E$1687:$AR$1687=TYPE3)*(TYPE3&lt;&gt;"")+('Dvd Calendar'!$E$1687:$AR$1687=TYPE4)*(TYPE4&lt;&gt;"")+('Dvd Calendar'!$E$1687:$AR$1687=SPECIAL_LBL)*(INC_SPECIALS="Y"))))</f>
        <v/>
      </c>
      <c r="K18" s="128">
        <f>IF($B18="",0,SUMIFS('Dvd Calendar'!$E$1690:$AR$1690,'Dvd Calendar'!$E$1689:$AR$1689,"&gt;"&amp;PROJ_FROM,'Dvd Calendar'!$E$1689:$AR$1689,"&lt;="&amp;WIN_TO)+SUMPRODUCT(('Dvd Calendar'!$E$1682:$AR$1682&gt;PROJ_FROM)*('Dvd Calendar'!$E$1682:$AR$1682&lt;=WIN_TO)*'Dvd Calendar'!$E$1685:$AR$1685*(('Dvd Calendar'!$E$1687:$AR$1687=TYPE1)*(TYPE1&lt;&gt;"")+('Dvd Calendar'!$E$1687:$AR$1687=TYPE2)*(TYPE2&lt;&gt;"")+('Dvd Calendar'!$E$1687:$AR$1687=TYPE3)*(TYPE3&lt;&gt;"")+('Dvd Calendar'!$E$1687:$AR$1687=TYPE4)*(TYPE4&lt;&gt;"")+('Dvd Calendar'!$E$1687:$AR$1687=SPECIAL_LBL)*(INC_SPECIALS="Y"))*(COUNTIF('Dvd Calendar'!$E$1689:$AR$1689,'Dvd Calendar'!$E$1682:$AR$1682)=0)))</f>
        <v/>
      </c>
      <c r="L18" s="128">
        <f>IF($B18="",0,IF((OV_SWITCH="ON")*(COUNTIFS(OVR_TICKERS,$C18,OVR_BASE,"&gt;=0")&gt;0)&gt;0,SUMIFS(OVR_BASE,OVR_TICKERS,$C18),$K18))</f>
        <v/>
      </c>
      <c r="M18" s="128">
        <f>IF($B18="",0,IF((OV_SWITCH="ON")*(COUNTIFS(OVR_TICKERS,$C18,OVR_LOW,"&gt;=0")&gt;0)&gt;0,SUMIFS(OVR_LOW,OVR_TICKERS,$C18),$L18))</f>
        <v/>
      </c>
      <c r="N18" s="128">
        <f>IF($B18="",0,IF((OV_SWITCH="ON")*(COUNTIFS(OVR_TICKERS,$C18,OVR_HIGH,"&gt;=0")&gt;0)&gt;0,SUMIFS(OVR_HIGH,OVR_TICKERS,$C18),$L18))</f>
        <v/>
      </c>
      <c r="O18" s="133">
        <f>IF($B18="","",IFERROR($B18*$G18*$J18/$B$3,""))</f>
        <v/>
      </c>
      <c r="P18" s="133">
        <f>IF($B18="","",IFERROR($B18*$G18*$L18/$B$3,""))</f>
        <v/>
      </c>
      <c r="Q18" s="124">
        <f>IF($B18="","",IFERROR($O18+$P18,""))</f>
        <v/>
      </c>
      <c r="R18" s="133">
        <f>IF($B18="","",IFERROR($O18+$B18*$G18*$M18/$B$3,""))</f>
        <v/>
      </c>
      <c r="S18" s="133">
        <f>IF($B18="","",IFERROR($O18+$B18*$G18*$N18/$B$3,""))</f>
        <v/>
      </c>
      <c r="T18" s="150">
        <f>IF($B18="","",IFERROR($Q18/$Q$5,""))</f>
        <v/>
      </c>
      <c r="U18" s="2">
        <f>IF($B18="","",IF(COUNTIFS('Dvd Calendar'!$E$1688:$AR$1688,"&gt;0",'Dvd Calendar'!$E$1688:$AR$1688,"&lt;="&amp;VAL_DATE,'Dvd Calendar'!$E$1689:$AR$1689,"&gt;"&amp;PROJ_FROM,'Dvd Calendar'!$E$1689:$AR$1689,"&lt;="&amp;WIN_TO)-COUNTIFS('Dvd Calendar'!$E$1688:$AR$1688,"&gt;0",'Dvd Calendar'!$E$1688:$AR$1688,"&lt;="&amp;VAL_DATE,'Dvd Calendar'!$E$1689:$AR$1689,"&gt;"&amp;PROJ_FROM,'Dvd Calendar'!$E$1689:$AR$1689,"&lt;="&amp;WIN_TO,'Dvd Calendar'!$E$1690:$AR$1690,"&gt;=0")&gt;0,"TBA amount - override me",IF((OV_SWITCH="ON")*(COUNTIFS(OVR_TICKERS,$C18,OVR_BASE,"&gt;=0")&gt;0)&gt;0,"overridden",IF($J18+$K18=0,"no dividend in year Y",""))))</f>
        <v/>
      </c>
      <c r="V18" s="133">
        <f>IF($B18="","",IFERROR(IF(ISNUMBER($H18),$B18*$G18*$H18/$B$3,0),""))</f>
        <v/>
      </c>
      <c r="W18" s="133">
        <f>IF($B18="","",IFERROR($B18*$G18*$K18/$B$3,""))</f>
        <v/>
      </c>
      <c r="X18" s="157">
        <f>IF($C18="","",BDP($C18,"PX_LAST"))</f>
        <v/>
      </c>
      <c r="Y18" s="133">
        <f>IF($B18="","",IFERROR($B18*$X18/$B$3,""))</f>
        <v/>
      </c>
      <c r="Z18" s="137">
        <f>IF($B18="","",IFERROR($Y18/$Y$5,""))</f>
        <v/>
      </c>
    </row>
    <row r="19">
      <c r="B19" s="97" t="n"/>
      <c r="C19" s="8">
        <f>IF($A19="","",$A19&amp;" Equity")</f>
        <v/>
      </c>
      <c r="D19" s="8">
        <f>IF($C19="","",BDP($C19,"NAME"))</f>
        <v/>
      </c>
      <c r="E19" s="8">
        <f>IF($C19="","",BDP($C19,"GICS_SECTOR_NAME"))</f>
        <v/>
      </c>
      <c r="F19" s="37">
        <f>IF($C19="","",BDP($C19,FLD_CCY))</f>
        <v/>
      </c>
      <c r="G19" s="111">
        <f>IFERROR(IF(LEN($F19)&lt;&gt;3,1,IF($F19="HKD",1,BDP(IF($F19="CNY",RMB_CROSS,$F19)&amp;"HKD Curncy","PX_LAST"))),1)</f>
        <v/>
      </c>
      <c r="H19" s="133">
        <f>IF($C19="","",BDP($C19,FLD_DPS12M))</f>
        <v/>
      </c>
      <c r="I19" s="126">
        <f>IF($C19="","",BDP($C19,FLD_YLD12M))</f>
        <v/>
      </c>
      <c r="J19" s="128">
        <f>IF($B19="",0,SUMPRODUCT(('Dvd Calendar'!$E$1693:$AR$1693&gt;=WIN_FROM)*('Dvd Calendar'!$E$1693:$AR$1693&lt;=REALIZED_TO)*'Dvd Calendar'!$E$1696:$AR$1696*(('Dvd Calendar'!$E$1698:$AR$1698=TYPE1)*(TYPE1&lt;&gt;"")+('Dvd Calendar'!$E$1698:$AR$1698=TYPE2)*(TYPE2&lt;&gt;"")+('Dvd Calendar'!$E$1698:$AR$1698=TYPE3)*(TYPE3&lt;&gt;"")+('Dvd Calendar'!$E$1698:$AR$1698=TYPE4)*(TYPE4&lt;&gt;"")+('Dvd Calendar'!$E$1698:$AR$1698=SPECIAL_LBL)*(INC_SPECIALS="Y"))))</f>
        <v/>
      </c>
      <c r="K19" s="128">
        <f>IF($B19="",0,SUMIFS('Dvd Calendar'!$E$1701:$AR$1701,'Dvd Calendar'!$E$1700:$AR$1700,"&gt;"&amp;PROJ_FROM,'Dvd Calendar'!$E$1700:$AR$1700,"&lt;="&amp;WIN_TO)+SUMPRODUCT(('Dvd Calendar'!$E$1693:$AR$1693&gt;PROJ_FROM)*('Dvd Calendar'!$E$1693:$AR$1693&lt;=WIN_TO)*'Dvd Calendar'!$E$1696:$AR$1696*(('Dvd Calendar'!$E$1698:$AR$1698=TYPE1)*(TYPE1&lt;&gt;"")+('Dvd Calendar'!$E$1698:$AR$1698=TYPE2)*(TYPE2&lt;&gt;"")+('Dvd Calendar'!$E$1698:$AR$1698=TYPE3)*(TYPE3&lt;&gt;"")+('Dvd Calendar'!$E$1698:$AR$1698=TYPE4)*(TYPE4&lt;&gt;"")+('Dvd Calendar'!$E$1698:$AR$1698=SPECIAL_LBL)*(INC_SPECIALS="Y"))*(COUNTIF('Dvd Calendar'!$E$1700:$AR$1700,'Dvd Calendar'!$E$1693:$AR$1693)=0)))</f>
        <v/>
      </c>
      <c r="L19" s="128">
        <f>IF($B19="",0,IF((OV_SWITCH="ON")*(COUNTIFS(OVR_TICKERS,$C19,OVR_BASE,"&gt;=0")&gt;0)&gt;0,SUMIFS(OVR_BASE,OVR_TICKERS,$C19),$K19))</f>
        <v/>
      </c>
      <c r="M19" s="128">
        <f>IF($B19="",0,IF((OV_SWITCH="ON")*(COUNTIFS(OVR_TICKERS,$C19,OVR_LOW,"&gt;=0")&gt;0)&gt;0,SUMIFS(OVR_LOW,OVR_TICKERS,$C19),$L19))</f>
        <v/>
      </c>
      <c r="N19" s="128">
        <f>IF($B19="",0,IF((OV_SWITCH="ON")*(COUNTIFS(OVR_TICKERS,$C19,OVR_HIGH,"&gt;=0")&gt;0)&gt;0,SUMIFS(OVR_HIGH,OVR_TICKERS,$C19),$L19))</f>
        <v/>
      </c>
      <c r="O19" s="133">
        <f>IF($B19="","",IFERROR($B19*$G19*$J19/$B$3,""))</f>
        <v/>
      </c>
      <c r="P19" s="133">
        <f>IF($B19="","",IFERROR($B19*$G19*$L19/$B$3,""))</f>
        <v/>
      </c>
      <c r="Q19" s="124">
        <f>IF($B19="","",IFERROR($O19+$P19,""))</f>
        <v/>
      </c>
      <c r="R19" s="133">
        <f>IF($B19="","",IFERROR($O19+$B19*$G19*$M19/$B$3,""))</f>
        <v/>
      </c>
      <c r="S19" s="133">
        <f>IF($B19="","",IFERROR($O19+$B19*$G19*$N19/$B$3,""))</f>
        <v/>
      </c>
      <c r="T19" s="150">
        <f>IF($B19="","",IFERROR($Q19/$Q$5,""))</f>
        <v/>
      </c>
      <c r="U19" s="2">
        <f>IF($B19="","",IF(COUNTIFS('Dvd Calendar'!$E$1699:$AR$1699,"&gt;0",'Dvd Calendar'!$E$1699:$AR$1699,"&lt;="&amp;VAL_DATE,'Dvd Calendar'!$E$1700:$AR$1700,"&gt;"&amp;PROJ_FROM,'Dvd Calendar'!$E$1700:$AR$1700,"&lt;="&amp;WIN_TO)-COUNTIFS('Dvd Calendar'!$E$1699:$AR$1699,"&gt;0",'Dvd Calendar'!$E$1699:$AR$1699,"&lt;="&amp;VAL_DATE,'Dvd Calendar'!$E$1700:$AR$1700,"&gt;"&amp;PROJ_FROM,'Dvd Calendar'!$E$1700:$AR$1700,"&lt;="&amp;WIN_TO,'Dvd Calendar'!$E$1701:$AR$1701,"&gt;=0")&gt;0,"TBA amount - override me",IF((OV_SWITCH="ON")*(COUNTIFS(OVR_TICKERS,$C19,OVR_BASE,"&gt;=0")&gt;0)&gt;0,"overridden",IF($J19+$K19=0,"no dividend in year Y",""))))</f>
        <v/>
      </c>
      <c r="V19" s="133">
        <f>IF($B19="","",IFERROR(IF(ISNUMBER($H19),$B19*$G19*$H19/$B$3,0),""))</f>
        <v/>
      </c>
      <c r="W19" s="133">
        <f>IF($B19="","",IFERROR($B19*$G19*$K19/$B$3,""))</f>
        <v/>
      </c>
      <c r="X19" s="157">
        <f>IF($C19="","",BDP($C19,"PX_LAST"))</f>
        <v/>
      </c>
      <c r="Y19" s="133">
        <f>IF($B19="","",IFERROR($B19*$X19/$B$3,""))</f>
        <v/>
      </c>
      <c r="Z19" s="137">
        <f>IF($B19="","",IFERROR($Y19/$Y$5,""))</f>
        <v/>
      </c>
    </row>
    <row r="20">
      <c r="B20" s="97" t="n"/>
      <c r="C20" s="8">
        <f>IF($A20="","",$A20&amp;" Equity")</f>
        <v/>
      </c>
      <c r="D20" s="8">
        <f>IF($C20="","",BDP($C20,"NAME"))</f>
        <v/>
      </c>
      <c r="E20" s="8">
        <f>IF($C20="","",BDP($C20,"GICS_SECTOR_NAME"))</f>
        <v/>
      </c>
      <c r="F20" s="37">
        <f>IF($C20="","",BDP($C20,FLD_CCY))</f>
        <v/>
      </c>
      <c r="G20" s="111">
        <f>IFERROR(IF(LEN($F20)&lt;&gt;3,1,IF($F20="HKD",1,BDP(IF($F20="CNY",RMB_CROSS,$F20)&amp;"HKD Curncy","PX_LAST"))),1)</f>
        <v/>
      </c>
      <c r="H20" s="133">
        <f>IF($C20="","",BDP($C20,FLD_DPS12M))</f>
        <v/>
      </c>
      <c r="I20" s="126">
        <f>IF($C20="","",BDP($C20,FLD_YLD12M))</f>
        <v/>
      </c>
      <c r="J20" s="128">
        <f>IF($B20="",0,SUMPRODUCT(('Dvd Calendar'!$E$1704:$AR$1704&gt;=WIN_FROM)*('Dvd Calendar'!$E$1704:$AR$1704&lt;=REALIZED_TO)*'Dvd Calendar'!$E$1707:$AR$1707*(('Dvd Calendar'!$E$1709:$AR$1709=TYPE1)*(TYPE1&lt;&gt;"")+('Dvd Calendar'!$E$1709:$AR$1709=TYPE2)*(TYPE2&lt;&gt;"")+('Dvd Calendar'!$E$1709:$AR$1709=TYPE3)*(TYPE3&lt;&gt;"")+('Dvd Calendar'!$E$1709:$AR$1709=TYPE4)*(TYPE4&lt;&gt;"")+('Dvd Calendar'!$E$1709:$AR$1709=SPECIAL_LBL)*(INC_SPECIALS="Y"))))</f>
        <v/>
      </c>
      <c r="K20" s="128">
        <f>IF($B20="",0,SUMIFS('Dvd Calendar'!$E$1712:$AR$1712,'Dvd Calendar'!$E$1711:$AR$1711,"&gt;"&amp;PROJ_FROM,'Dvd Calendar'!$E$1711:$AR$1711,"&lt;="&amp;WIN_TO)+SUMPRODUCT(('Dvd Calendar'!$E$1704:$AR$1704&gt;PROJ_FROM)*('Dvd Calendar'!$E$1704:$AR$1704&lt;=WIN_TO)*'Dvd Calendar'!$E$1707:$AR$1707*(('Dvd Calendar'!$E$1709:$AR$1709=TYPE1)*(TYPE1&lt;&gt;"")+('Dvd Calendar'!$E$1709:$AR$1709=TYPE2)*(TYPE2&lt;&gt;"")+('Dvd Calendar'!$E$1709:$AR$1709=TYPE3)*(TYPE3&lt;&gt;"")+('Dvd Calendar'!$E$1709:$AR$1709=TYPE4)*(TYPE4&lt;&gt;"")+('Dvd Calendar'!$E$1709:$AR$1709=SPECIAL_LBL)*(INC_SPECIALS="Y"))*(COUNTIF('Dvd Calendar'!$E$1711:$AR$1711,'Dvd Calendar'!$E$1704:$AR$1704)=0)))</f>
        <v/>
      </c>
      <c r="L20" s="128">
        <f>IF($B20="",0,IF((OV_SWITCH="ON")*(COUNTIFS(OVR_TICKERS,$C20,OVR_BASE,"&gt;=0")&gt;0)&gt;0,SUMIFS(OVR_BASE,OVR_TICKERS,$C20),$K20))</f>
        <v/>
      </c>
      <c r="M20" s="128">
        <f>IF($B20="",0,IF((OV_SWITCH="ON")*(COUNTIFS(OVR_TICKERS,$C20,OVR_LOW,"&gt;=0")&gt;0)&gt;0,SUMIFS(OVR_LOW,OVR_TICKERS,$C20),$L20))</f>
        <v/>
      </c>
      <c r="N20" s="128">
        <f>IF($B20="",0,IF((OV_SWITCH="ON")*(COUNTIFS(OVR_TICKERS,$C20,OVR_HIGH,"&gt;=0")&gt;0)&gt;0,SUMIFS(OVR_HIGH,OVR_TICKERS,$C20),$L20))</f>
        <v/>
      </c>
      <c r="O20" s="133">
        <f>IF($B20="","",IFERROR($B20*$G20*$J20/$B$3,""))</f>
        <v/>
      </c>
      <c r="P20" s="133">
        <f>IF($B20="","",IFERROR($B20*$G20*$L20/$B$3,""))</f>
        <v/>
      </c>
      <c r="Q20" s="124">
        <f>IF($B20="","",IFERROR($O20+$P20,""))</f>
        <v/>
      </c>
      <c r="R20" s="133">
        <f>IF($B20="","",IFERROR($O20+$B20*$G20*$M20/$B$3,""))</f>
        <v/>
      </c>
      <c r="S20" s="133">
        <f>IF($B20="","",IFERROR($O20+$B20*$G20*$N20/$B$3,""))</f>
        <v/>
      </c>
      <c r="T20" s="150">
        <f>IF($B20="","",IFERROR($Q20/$Q$5,""))</f>
        <v/>
      </c>
      <c r="U20" s="2">
        <f>IF($B20="","",IF(COUNTIFS('Dvd Calendar'!$E$1710:$AR$1710,"&gt;0",'Dvd Calendar'!$E$1710:$AR$1710,"&lt;="&amp;VAL_DATE,'Dvd Calendar'!$E$1711:$AR$1711,"&gt;"&amp;PROJ_FROM,'Dvd Calendar'!$E$1711:$AR$1711,"&lt;="&amp;WIN_TO)-COUNTIFS('Dvd Calendar'!$E$1710:$AR$1710,"&gt;0",'Dvd Calendar'!$E$1710:$AR$1710,"&lt;="&amp;VAL_DATE,'Dvd Calendar'!$E$1711:$AR$1711,"&gt;"&amp;PROJ_FROM,'Dvd Calendar'!$E$1711:$AR$1711,"&lt;="&amp;WIN_TO,'Dvd Calendar'!$E$1712:$AR$1712,"&gt;=0")&gt;0,"TBA amount - override me",IF((OV_SWITCH="ON")*(COUNTIFS(OVR_TICKERS,$C20,OVR_BASE,"&gt;=0")&gt;0)&gt;0,"overridden",IF($J20+$K20=0,"no dividend in year Y",""))))</f>
        <v/>
      </c>
      <c r="V20" s="133">
        <f>IF($B20="","",IFERROR(IF(ISNUMBER($H20),$B20*$G20*$H20/$B$3,0),""))</f>
        <v/>
      </c>
      <c r="W20" s="133">
        <f>IF($B20="","",IFERROR($B20*$G20*$K20/$B$3,""))</f>
        <v/>
      </c>
      <c r="X20" s="157">
        <f>IF($C20="","",BDP($C20,"PX_LAST"))</f>
        <v/>
      </c>
      <c r="Y20" s="133">
        <f>IF($B20="","",IFERROR($B20*$X20/$B$3,""))</f>
        <v/>
      </c>
      <c r="Z20" s="137">
        <f>IF($B20="","",IFERROR($Y20/$Y$5,""))</f>
        <v/>
      </c>
    </row>
    <row r="21">
      <c r="B21" s="97" t="n"/>
      <c r="C21" s="8">
        <f>IF($A21="","",$A21&amp;" Equity")</f>
        <v/>
      </c>
      <c r="D21" s="8">
        <f>IF($C21="","",BDP($C21,"NAME"))</f>
        <v/>
      </c>
      <c r="E21" s="8">
        <f>IF($C21="","",BDP($C21,"GICS_SECTOR_NAME"))</f>
        <v/>
      </c>
      <c r="F21" s="37">
        <f>IF($C21="","",BDP($C21,FLD_CCY))</f>
        <v/>
      </c>
      <c r="G21" s="111">
        <f>IFERROR(IF(LEN($F21)&lt;&gt;3,1,IF($F21="HKD",1,BDP(IF($F21="CNY",RMB_CROSS,$F21)&amp;"HKD Curncy","PX_LAST"))),1)</f>
        <v/>
      </c>
      <c r="H21" s="133">
        <f>IF($C21="","",BDP($C21,FLD_DPS12M))</f>
        <v/>
      </c>
      <c r="I21" s="126">
        <f>IF($C21="","",BDP($C21,FLD_YLD12M))</f>
        <v/>
      </c>
      <c r="J21" s="128">
        <f>IF($B21="",0,SUMPRODUCT(('Dvd Calendar'!$E$1715:$AR$1715&gt;=WIN_FROM)*('Dvd Calendar'!$E$1715:$AR$1715&lt;=REALIZED_TO)*'Dvd Calendar'!$E$1718:$AR$1718*(('Dvd Calendar'!$E$1720:$AR$1720=TYPE1)*(TYPE1&lt;&gt;"")+('Dvd Calendar'!$E$1720:$AR$1720=TYPE2)*(TYPE2&lt;&gt;"")+('Dvd Calendar'!$E$1720:$AR$1720=TYPE3)*(TYPE3&lt;&gt;"")+('Dvd Calendar'!$E$1720:$AR$1720=TYPE4)*(TYPE4&lt;&gt;"")+('Dvd Calendar'!$E$1720:$AR$1720=SPECIAL_LBL)*(INC_SPECIALS="Y"))))</f>
        <v/>
      </c>
      <c r="K21" s="128">
        <f>IF($B21="",0,SUMIFS('Dvd Calendar'!$E$1723:$AR$1723,'Dvd Calendar'!$E$1722:$AR$1722,"&gt;"&amp;PROJ_FROM,'Dvd Calendar'!$E$1722:$AR$1722,"&lt;="&amp;WIN_TO)+SUMPRODUCT(('Dvd Calendar'!$E$1715:$AR$1715&gt;PROJ_FROM)*('Dvd Calendar'!$E$1715:$AR$1715&lt;=WIN_TO)*'Dvd Calendar'!$E$1718:$AR$1718*(('Dvd Calendar'!$E$1720:$AR$1720=TYPE1)*(TYPE1&lt;&gt;"")+('Dvd Calendar'!$E$1720:$AR$1720=TYPE2)*(TYPE2&lt;&gt;"")+('Dvd Calendar'!$E$1720:$AR$1720=TYPE3)*(TYPE3&lt;&gt;"")+('Dvd Calendar'!$E$1720:$AR$1720=TYPE4)*(TYPE4&lt;&gt;"")+('Dvd Calendar'!$E$1720:$AR$1720=SPECIAL_LBL)*(INC_SPECIALS="Y"))*(COUNTIF('Dvd Calendar'!$E$1722:$AR$1722,'Dvd Calendar'!$E$1715:$AR$1715)=0)))</f>
        <v/>
      </c>
      <c r="L21" s="128">
        <f>IF($B21="",0,IF((OV_SWITCH="ON")*(COUNTIFS(OVR_TICKERS,$C21,OVR_BASE,"&gt;=0")&gt;0)&gt;0,SUMIFS(OVR_BASE,OVR_TICKERS,$C21),$K21))</f>
        <v/>
      </c>
      <c r="M21" s="128">
        <f>IF($B21="",0,IF((OV_SWITCH="ON")*(COUNTIFS(OVR_TICKERS,$C21,OVR_LOW,"&gt;=0")&gt;0)&gt;0,SUMIFS(OVR_LOW,OVR_TICKERS,$C21),$L21))</f>
        <v/>
      </c>
      <c r="N21" s="128">
        <f>IF($B21="",0,IF((OV_SWITCH="ON")*(COUNTIFS(OVR_TICKERS,$C21,OVR_HIGH,"&gt;=0")&gt;0)&gt;0,SUMIFS(OVR_HIGH,OVR_TICKERS,$C21),$L21))</f>
        <v/>
      </c>
      <c r="O21" s="133">
        <f>IF($B21="","",IFERROR($B21*$G21*$J21/$B$3,""))</f>
        <v/>
      </c>
      <c r="P21" s="133">
        <f>IF($B21="","",IFERROR($B21*$G21*$L21/$B$3,""))</f>
        <v/>
      </c>
      <c r="Q21" s="124">
        <f>IF($B21="","",IFERROR($O21+$P21,""))</f>
        <v/>
      </c>
      <c r="R21" s="133">
        <f>IF($B21="","",IFERROR($O21+$B21*$G21*$M21/$B$3,""))</f>
        <v/>
      </c>
      <c r="S21" s="133">
        <f>IF($B21="","",IFERROR($O21+$B21*$G21*$N21/$B$3,""))</f>
        <v/>
      </c>
      <c r="T21" s="150">
        <f>IF($B21="","",IFERROR($Q21/$Q$5,""))</f>
        <v/>
      </c>
      <c r="U21" s="2">
        <f>IF($B21="","",IF(COUNTIFS('Dvd Calendar'!$E$1721:$AR$1721,"&gt;0",'Dvd Calendar'!$E$1721:$AR$1721,"&lt;="&amp;VAL_DATE,'Dvd Calendar'!$E$1722:$AR$1722,"&gt;"&amp;PROJ_FROM,'Dvd Calendar'!$E$1722:$AR$1722,"&lt;="&amp;WIN_TO)-COUNTIFS('Dvd Calendar'!$E$1721:$AR$1721,"&gt;0",'Dvd Calendar'!$E$1721:$AR$1721,"&lt;="&amp;VAL_DATE,'Dvd Calendar'!$E$1722:$AR$1722,"&gt;"&amp;PROJ_FROM,'Dvd Calendar'!$E$1722:$AR$1722,"&lt;="&amp;WIN_TO,'Dvd Calendar'!$E$1723:$AR$1723,"&gt;=0")&gt;0,"TBA amount - override me",IF((OV_SWITCH="ON")*(COUNTIFS(OVR_TICKERS,$C21,OVR_BASE,"&gt;=0")&gt;0)&gt;0,"overridden",IF($J21+$K21=0,"no dividend in year Y",""))))</f>
        <v/>
      </c>
      <c r="V21" s="133">
        <f>IF($B21="","",IFERROR(IF(ISNUMBER($H21),$B21*$G21*$H21/$B$3,0),""))</f>
        <v/>
      </c>
      <c r="W21" s="133">
        <f>IF($B21="","",IFERROR($B21*$G21*$K21/$B$3,""))</f>
        <v/>
      </c>
      <c r="X21" s="157">
        <f>IF($C21="","",BDP($C21,"PX_LAST"))</f>
        <v/>
      </c>
      <c r="Y21" s="133">
        <f>IF($B21="","",IFERROR($B21*$X21/$B$3,""))</f>
        <v/>
      </c>
      <c r="Z21" s="137">
        <f>IF($B21="","",IFERROR($Y21/$Y$5,""))</f>
        <v/>
      </c>
    </row>
    <row r="22">
      <c r="B22" s="97" t="n"/>
      <c r="C22" s="8">
        <f>IF($A22="","",$A22&amp;" Equity")</f>
        <v/>
      </c>
      <c r="D22" s="8">
        <f>IF($C22="","",BDP($C22,"NAME"))</f>
        <v/>
      </c>
      <c r="E22" s="8">
        <f>IF($C22="","",BDP($C22,"GICS_SECTOR_NAME"))</f>
        <v/>
      </c>
      <c r="F22" s="37">
        <f>IF($C22="","",BDP($C22,FLD_CCY))</f>
        <v/>
      </c>
      <c r="G22" s="111">
        <f>IFERROR(IF(LEN($F22)&lt;&gt;3,1,IF($F22="HKD",1,BDP(IF($F22="CNY",RMB_CROSS,$F22)&amp;"HKD Curncy","PX_LAST"))),1)</f>
        <v/>
      </c>
      <c r="H22" s="133">
        <f>IF($C22="","",BDP($C22,FLD_DPS12M))</f>
        <v/>
      </c>
      <c r="I22" s="126">
        <f>IF($C22="","",BDP($C22,FLD_YLD12M))</f>
        <v/>
      </c>
      <c r="J22" s="128">
        <f>IF($B22="",0,SUMPRODUCT(('Dvd Calendar'!$E$1726:$AR$1726&gt;=WIN_FROM)*('Dvd Calendar'!$E$1726:$AR$1726&lt;=REALIZED_TO)*'Dvd Calendar'!$E$1729:$AR$1729*(('Dvd Calendar'!$E$1731:$AR$1731=TYPE1)*(TYPE1&lt;&gt;"")+('Dvd Calendar'!$E$1731:$AR$1731=TYPE2)*(TYPE2&lt;&gt;"")+('Dvd Calendar'!$E$1731:$AR$1731=TYPE3)*(TYPE3&lt;&gt;"")+('Dvd Calendar'!$E$1731:$AR$1731=TYPE4)*(TYPE4&lt;&gt;"")+('Dvd Calendar'!$E$1731:$AR$1731=SPECIAL_LBL)*(INC_SPECIALS="Y"))))</f>
        <v/>
      </c>
      <c r="K22" s="128">
        <f>IF($B22="",0,SUMIFS('Dvd Calendar'!$E$1734:$AR$1734,'Dvd Calendar'!$E$1733:$AR$1733,"&gt;"&amp;PROJ_FROM,'Dvd Calendar'!$E$1733:$AR$1733,"&lt;="&amp;WIN_TO)+SUMPRODUCT(('Dvd Calendar'!$E$1726:$AR$1726&gt;PROJ_FROM)*('Dvd Calendar'!$E$1726:$AR$1726&lt;=WIN_TO)*'Dvd Calendar'!$E$1729:$AR$1729*(('Dvd Calendar'!$E$1731:$AR$1731=TYPE1)*(TYPE1&lt;&gt;"")+('Dvd Calendar'!$E$1731:$AR$1731=TYPE2)*(TYPE2&lt;&gt;"")+('Dvd Calendar'!$E$1731:$AR$1731=TYPE3)*(TYPE3&lt;&gt;"")+('Dvd Calendar'!$E$1731:$AR$1731=TYPE4)*(TYPE4&lt;&gt;"")+('Dvd Calendar'!$E$1731:$AR$1731=SPECIAL_LBL)*(INC_SPECIALS="Y"))*(COUNTIF('Dvd Calendar'!$E$1733:$AR$1733,'Dvd Calendar'!$E$1726:$AR$1726)=0)))</f>
        <v/>
      </c>
      <c r="L22" s="128">
        <f>IF($B22="",0,IF((OV_SWITCH="ON")*(COUNTIFS(OVR_TICKERS,$C22,OVR_BASE,"&gt;=0")&gt;0)&gt;0,SUMIFS(OVR_BASE,OVR_TICKERS,$C22),$K22))</f>
        <v/>
      </c>
      <c r="M22" s="128">
        <f>IF($B22="",0,IF((OV_SWITCH="ON")*(COUNTIFS(OVR_TICKERS,$C22,OVR_LOW,"&gt;=0")&gt;0)&gt;0,SUMIFS(OVR_LOW,OVR_TICKERS,$C22),$L22))</f>
        <v/>
      </c>
      <c r="N22" s="128">
        <f>IF($B22="",0,IF((OV_SWITCH="ON")*(COUNTIFS(OVR_TICKERS,$C22,OVR_HIGH,"&gt;=0")&gt;0)&gt;0,SUMIFS(OVR_HIGH,OVR_TICKERS,$C22),$L22))</f>
        <v/>
      </c>
      <c r="O22" s="133">
        <f>IF($B22="","",IFERROR($B22*$G22*$J22/$B$3,""))</f>
        <v/>
      </c>
      <c r="P22" s="133">
        <f>IF($B22="","",IFERROR($B22*$G22*$L22/$B$3,""))</f>
        <v/>
      </c>
      <c r="Q22" s="124">
        <f>IF($B22="","",IFERROR($O22+$P22,""))</f>
        <v/>
      </c>
      <c r="R22" s="133">
        <f>IF($B22="","",IFERROR($O22+$B22*$G22*$M22/$B$3,""))</f>
        <v/>
      </c>
      <c r="S22" s="133">
        <f>IF($B22="","",IFERROR($O22+$B22*$G22*$N22/$B$3,""))</f>
        <v/>
      </c>
      <c r="T22" s="150">
        <f>IF($B22="","",IFERROR($Q22/$Q$5,""))</f>
        <v/>
      </c>
      <c r="U22" s="2">
        <f>IF($B22="","",IF(COUNTIFS('Dvd Calendar'!$E$1732:$AR$1732,"&gt;0",'Dvd Calendar'!$E$1732:$AR$1732,"&lt;="&amp;VAL_DATE,'Dvd Calendar'!$E$1733:$AR$1733,"&gt;"&amp;PROJ_FROM,'Dvd Calendar'!$E$1733:$AR$1733,"&lt;="&amp;WIN_TO)-COUNTIFS('Dvd Calendar'!$E$1732:$AR$1732,"&gt;0",'Dvd Calendar'!$E$1732:$AR$1732,"&lt;="&amp;VAL_DATE,'Dvd Calendar'!$E$1733:$AR$1733,"&gt;"&amp;PROJ_FROM,'Dvd Calendar'!$E$1733:$AR$1733,"&lt;="&amp;WIN_TO,'Dvd Calendar'!$E$1734:$AR$1734,"&gt;=0")&gt;0,"TBA amount - override me",IF((OV_SWITCH="ON")*(COUNTIFS(OVR_TICKERS,$C22,OVR_BASE,"&gt;=0")&gt;0)&gt;0,"overridden",IF($J22+$K22=0,"no dividend in year Y",""))))</f>
        <v/>
      </c>
      <c r="V22" s="133">
        <f>IF($B22="","",IFERROR(IF(ISNUMBER($H22),$B22*$G22*$H22/$B$3,0),""))</f>
        <v/>
      </c>
      <c r="W22" s="133">
        <f>IF($B22="","",IFERROR($B22*$G22*$K22/$B$3,""))</f>
        <v/>
      </c>
      <c r="X22" s="157">
        <f>IF($C22="","",BDP($C22,"PX_LAST"))</f>
        <v/>
      </c>
      <c r="Y22" s="133">
        <f>IF($B22="","",IFERROR($B22*$X22/$B$3,""))</f>
        <v/>
      </c>
      <c r="Z22" s="137">
        <f>IF($B22="","",IFERROR($Y22/$Y$5,""))</f>
        <v/>
      </c>
    </row>
    <row r="23">
      <c r="B23" s="97" t="n"/>
      <c r="C23" s="8">
        <f>IF($A23="","",$A23&amp;" Equity")</f>
        <v/>
      </c>
      <c r="D23" s="8">
        <f>IF($C23="","",BDP($C23,"NAME"))</f>
        <v/>
      </c>
      <c r="E23" s="8">
        <f>IF($C23="","",BDP($C23,"GICS_SECTOR_NAME"))</f>
        <v/>
      </c>
      <c r="F23" s="37">
        <f>IF($C23="","",BDP($C23,FLD_CCY))</f>
        <v/>
      </c>
      <c r="G23" s="111">
        <f>IFERROR(IF(LEN($F23)&lt;&gt;3,1,IF($F23="HKD",1,BDP(IF($F23="CNY",RMB_CROSS,$F23)&amp;"HKD Curncy","PX_LAST"))),1)</f>
        <v/>
      </c>
      <c r="H23" s="133">
        <f>IF($C23="","",BDP($C23,FLD_DPS12M))</f>
        <v/>
      </c>
      <c r="I23" s="126">
        <f>IF($C23="","",BDP($C23,FLD_YLD12M))</f>
        <v/>
      </c>
      <c r="J23" s="128">
        <f>IF($B23="",0,SUMPRODUCT(('Dvd Calendar'!$E$1737:$AR$1737&gt;=WIN_FROM)*('Dvd Calendar'!$E$1737:$AR$1737&lt;=REALIZED_TO)*'Dvd Calendar'!$E$1740:$AR$1740*(('Dvd Calendar'!$E$1742:$AR$1742=TYPE1)*(TYPE1&lt;&gt;"")+('Dvd Calendar'!$E$1742:$AR$1742=TYPE2)*(TYPE2&lt;&gt;"")+('Dvd Calendar'!$E$1742:$AR$1742=TYPE3)*(TYPE3&lt;&gt;"")+('Dvd Calendar'!$E$1742:$AR$1742=TYPE4)*(TYPE4&lt;&gt;"")+('Dvd Calendar'!$E$1742:$AR$1742=SPECIAL_LBL)*(INC_SPECIALS="Y"))))</f>
        <v/>
      </c>
      <c r="K23" s="128">
        <f>IF($B23="",0,SUMIFS('Dvd Calendar'!$E$1745:$AR$1745,'Dvd Calendar'!$E$1744:$AR$1744,"&gt;"&amp;PROJ_FROM,'Dvd Calendar'!$E$1744:$AR$1744,"&lt;="&amp;WIN_TO)+SUMPRODUCT(('Dvd Calendar'!$E$1737:$AR$1737&gt;PROJ_FROM)*('Dvd Calendar'!$E$1737:$AR$1737&lt;=WIN_TO)*'Dvd Calendar'!$E$1740:$AR$1740*(('Dvd Calendar'!$E$1742:$AR$1742=TYPE1)*(TYPE1&lt;&gt;"")+('Dvd Calendar'!$E$1742:$AR$1742=TYPE2)*(TYPE2&lt;&gt;"")+('Dvd Calendar'!$E$1742:$AR$1742=TYPE3)*(TYPE3&lt;&gt;"")+('Dvd Calendar'!$E$1742:$AR$1742=TYPE4)*(TYPE4&lt;&gt;"")+('Dvd Calendar'!$E$1742:$AR$1742=SPECIAL_LBL)*(INC_SPECIALS="Y"))*(COUNTIF('Dvd Calendar'!$E$1744:$AR$1744,'Dvd Calendar'!$E$1737:$AR$1737)=0)))</f>
        <v/>
      </c>
      <c r="L23" s="128">
        <f>IF($B23="",0,IF((OV_SWITCH="ON")*(COUNTIFS(OVR_TICKERS,$C23,OVR_BASE,"&gt;=0")&gt;0)&gt;0,SUMIFS(OVR_BASE,OVR_TICKERS,$C23),$K23))</f>
        <v/>
      </c>
      <c r="M23" s="128">
        <f>IF($B23="",0,IF((OV_SWITCH="ON")*(COUNTIFS(OVR_TICKERS,$C23,OVR_LOW,"&gt;=0")&gt;0)&gt;0,SUMIFS(OVR_LOW,OVR_TICKERS,$C23),$L23))</f>
        <v/>
      </c>
      <c r="N23" s="128">
        <f>IF($B23="",0,IF((OV_SWITCH="ON")*(COUNTIFS(OVR_TICKERS,$C23,OVR_HIGH,"&gt;=0")&gt;0)&gt;0,SUMIFS(OVR_HIGH,OVR_TICKERS,$C23),$L23))</f>
        <v/>
      </c>
      <c r="O23" s="133">
        <f>IF($B23="","",IFERROR($B23*$G23*$J23/$B$3,""))</f>
        <v/>
      </c>
      <c r="P23" s="133">
        <f>IF($B23="","",IFERROR($B23*$G23*$L23/$B$3,""))</f>
        <v/>
      </c>
      <c r="Q23" s="124">
        <f>IF($B23="","",IFERROR($O23+$P23,""))</f>
        <v/>
      </c>
      <c r="R23" s="133">
        <f>IF($B23="","",IFERROR($O23+$B23*$G23*$M23/$B$3,""))</f>
        <v/>
      </c>
      <c r="S23" s="133">
        <f>IF($B23="","",IFERROR($O23+$B23*$G23*$N23/$B$3,""))</f>
        <v/>
      </c>
      <c r="T23" s="150">
        <f>IF($B23="","",IFERROR($Q23/$Q$5,""))</f>
        <v/>
      </c>
      <c r="U23" s="2">
        <f>IF($B23="","",IF(COUNTIFS('Dvd Calendar'!$E$1743:$AR$1743,"&gt;0",'Dvd Calendar'!$E$1743:$AR$1743,"&lt;="&amp;VAL_DATE,'Dvd Calendar'!$E$1744:$AR$1744,"&gt;"&amp;PROJ_FROM,'Dvd Calendar'!$E$1744:$AR$1744,"&lt;="&amp;WIN_TO)-COUNTIFS('Dvd Calendar'!$E$1743:$AR$1743,"&gt;0",'Dvd Calendar'!$E$1743:$AR$1743,"&lt;="&amp;VAL_DATE,'Dvd Calendar'!$E$1744:$AR$1744,"&gt;"&amp;PROJ_FROM,'Dvd Calendar'!$E$1744:$AR$1744,"&lt;="&amp;WIN_TO,'Dvd Calendar'!$E$1745:$AR$1745,"&gt;=0")&gt;0,"TBA amount - override me",IF((OV_SWITCH="ON")*(COUNTIFS(OVR_TICKERS,$C23,OVR_BASE,"&gt;=0")&gt;0)&gt;0,"overridden",IF($J23+$K23=0,"no dividend in year Y",""))))</f>
        <v/>
      </c>
      <c r="V23" s="133">
        <f>IF($B23="","",IFERROR(IF(ISNUMBER($H23),$B23*$G23*$H23/$B$3,0),""))</f>
        <v/>
      </c>
      <c r="W23" s="133">
        <f>IF($B23="","",IFERROR($B23*$G23*$K23/$B$3,""))</f>
        <v/>
      </c>
      <c r="X23" s="157">
        <f>IF($C23="","",BDP($C23,"PX_LAST"))</f>
        <v/>
      </c>
      <c r="Y23" s="133">
        <f>IF($B23="","",IFERROR($B23*$X23/$B$3,""))</f>
        <v/>
      </c>
      <c r="Z23" s="137">
        <f>IF($B23="","",IFERROR($Y23/$Y$5,""))</f>
        <v/>
      </c>
    </row>
    <row r="24">
      <c r="B24" s="97" t="n"/>
      <c r="C24" s="8">
        <f>IF($A24="","",$A24&amp;" Equity")</f>
        <v/>
      </c>
      <c r="D24" s="8">
        <f>IF($C24="","",BDP($C24,"NAME"))</f>
        <v/>
      </c>
      <c r="E24" s="8">
        <f>IF($C24="","",BDP($C24,"GICS_SECTOR_NAME"))</f>
        <v/>
      </c>
      <c r="F24" s="37">
        <f>IF($C24="","",BDP($C24,FLD_CCY))</f>
        <v/>
      </c>
      <c r="G24" s="111">
        <f>IFERROR(IF(LEN($F24)&lt;&gt;3,1,IF($F24="HKD",1,BDP(IF($F24="CNY",RMB_CROSS,$F24)&amp;"HKD Curncy","PX_LAST"))),1)</f>
        <v/>
      </c>
      <c r="H24" s="133">
        <f>IF($C24="","",BDP($C24,FLD_DPS12M))</f>
        <v/>
      </c>
      <c r="I24" s="126">
        <f>IF($C24="","",BDP($C24,FLD_YLD12M))</f>
        <v/>
      </c>
      <c r="J24" s="128">
        <f>IF($B24="",0,SUMPRODUCT(('Dvd Calendar'!$E$1748:$AR$1748&gt;=WIN_FROM)*('Dvd Calendar'!$E$1748:$AR$1748&lt;=REALIZED_TO)*'Dvd Calendar'!$E$1751:$AR$1751*(('Dvd Calendar'!$E$1753:$AR$1753=TYPE1)*(TYPE1&lt;&gt;"")+('Dvd Calendar'!$E$1753:$AR$1753=TYPE2)*(TYPE2&lt;&gt;"")+('Dvd Calendar'!$E$1753:$AR$1753=TYPE3)*(TYPE3&lt;&gt;"")+('Dvd Calendar'!$E$1753:$AR$1753=TYPE4)*(TYPE4&lt;&gt;"")+('Dvd Calendar'!$E$1753:$AR$1753=SPECIAL_LBL)*(INC_SPECIALS="Y"))))</f>
        <v/>
      </c>
      <c r="K24" s="128">
        <f>IF($B24="",0,SUMIFS('Dvd Calendar'!$E$1756:$AR$1756,'Dvd Calendar'!$E$1755:$AR$1755,"&gt;"&amp;PROJ_FROM,'Dvd Calendar'!$E$1755:$AR$1755,"&lt;="&amp;WIN_TO)+SUMPRODUCT(('Dvd Calendar'!$E$1748:$AR$1748&gt;PROJ_FROM)*('Dvd Calendar'!$E$1748:$AR$1748&lt;=WIN_TO)*'Dvd Calendar'!$E$1751:$AR$1751*(('Dvd Calendar'!$E$1753:$AR$1753=TYPE1)*(TYPE1&lt;&gt;"")+('Dvd Calendar'!$E$1753:$AR$1753=TYPE2)*(TYPE2&lt;&gt;"")+('Dvd Calendar'!$E$1753:$AR$1753=TYPE3)*(TYPE3&lt;&gt;"")+('Dvd Calendar'!$E$1753:$AR$1753=TYPE4)*(TYPE4&lt;&gt;"")+('Dvd Calendar'!$E$1753:$AR$1753=SPECIAL_LBL)*(INC_SPECIALS="Y"))*(COUNTIF('Dvd Calendar'!$E$1755:$AR$1755,'Dvd Calendar'!$E$1748:$AR$1748)=0)))</f>
        <v/>
      </c>
      <c r="L24" s="128">
        <f>IF($B24="",0,IF((OV_SWITCH="ON")*(COUNTIFS(OVR_TICKERS,$C24,OVR_BASE,"&gt;=0")&gt;0)&gt;0,SUMIFS(OVR_BASE,OVR_TICKERS,$C24),$K24))</f>
        <v/>
      </c>
      <c r="M24" s="128">
        <f>IF($B24="",0,IF((OV_SWITCH="ON")*(COUNTIFS(OVR_TICKERS,$C24,OVR_LOW,"&gt;=0")&gt;0)&gt;0,SUMIFS(OVR_LOW,OVR_TICKERS,$C24),$L24))</f>
        <v/>
      </c>
      <c r="N24" s="128">
        <f>IF($B24="",0,IF((OV_SWITCH="ON")*(COUNTIFS(OVR_TICKERS,$C24,OVR_HIGH,"&gt;=0")&gt;0)&gt;0,SUMIFS(OVR_HIGH,OVR_TICKERS,$C24),$L24))</f>
        <v/>
      </c>
      <c r="O24" s="133">
        <f>IF($B24="","",IFERROR($B24*$G24*$J24/$B$3,""))</f>
        <v/>
      </c>
      <c r="P24" s="133">
        <f>IF($B24="","",IFERROR($B24*$G24*$L24/$B$3,""))</f>
        <v/>
      </c>
      <c r="Q24" s="124">
        <f>IF($B24="","",IFERROR($O24+$P24,""))</f>
        <v/>
      </c>
      <c r="R24" s="133">
        <f>IF($B24="","",IFERROR($O24+$B24*$G24*$M24/$B$3,""))</f>
        <v/>
      </c>
      <c r="S24" s="133">
        <f>IF($B24="","",IFERROR($O24+$B24*$G24*$N24/$B$3,""))</f>
        <v/>
      </c>
      <c r="T24" s="150">
        <f>IF($B24="","",IFERROR($Q24/$Q$5,""))</f>
        <v/>
      </c>
      <c r="U24" s="2">
        <f>IF($B24="","",IF(COUNTIFS('Dvd Calendar'!$E$1754:$AR$1754,"&gt;0",'Dvd Calendar'!$E$1754:$AR$1754,"&lt;="&amp;VAL_DATE,'Dvd Calendar'!$E$1755:$AR$1755,"&gt;"&amp;PROJ_FROM,'Dvd Calendar'!$E$1755:$AR$1755,"&lt;="&amp;WIN_TO)-COUNTIFS('Dvd Calendar'!$E$1754:$AR$1754,"&gt;0",'Dvd Calendar'!$E$1754:$AR$1754,"&lt;="&amp;VAL_DATE,'Dvd Calendar'!$E$1755:$AR$1755,"&gt;"&amp;PROJ_FROM,'Dvd Calendar'!$E$1755:$AR$1755,"&lt;="&amp;WIN_TO,'Dvd Calendar'!$E$1756:$AR$1756,"&gt;=0")&gt;0,"TBA amount - override me",IF((OV_SWITCH="ON")*(COUNTIFS(OVR_TICKERS,$C24,OVR_BASE,"&gt;=0")&gt;0)&gt;0,"overridden",IF($J24+$K24=0,"no dividend in year Y",""))))</f>
        <v/>
      </c>
      <c r="V24" s="133">
        <f>IF($B24="","",IFERROR(IF(ISNUMBER($H24),$B24*$G24*$H24/$B$3,0),""))</f>
        <v/>
      </c>
      <c r="W24" s="133">
        <f>IF($B24="","",IFERROR($B24*$G24*$K24/$B$3,""))</f>
        <v/>
      </c>
      <c r="X24" s="157">
        <f>IF($C24="","",BDP($C24,"PX_LAST"))</f>
        <v/>
      </c>
      <c r="Y24" s="133">
        <f>IF($B24="","",IFERROR($B24*$X24/$B$3,""))</f>
        <v/>
      </c>
      <c r="Z24" s="137">
        <f>IF($B24="","",IFERROR($Y24/$Y$5,""))</f>
        <v/>
      </c>
    </row>
    <row r="25">
      <c r="B25" s="97" t="n"/>
      <c r="C25" s="8">
        <f>IF($A25="","",$A25&amp;" Equity")</f>
        <v/>
      </c>
      <c r="D25" s="8">
        <f>IF($C25="","",BDP($C25,"NAME"))</f>
        <v/>
      </c>
      <c r="E25" s="8">
        <f>IF($C25="","",BDP($C25,"GICS_SECTOR_NAME"))</f>
        <v/>
      </c>
      <c r="F25" s="37">
        <f>IF($C25="","",BDP($C25,FLD_CCY))</f>
        <v/>
      </c>
      <c r="G25" s="111">
        <f>IFERROR(IF(LEN($F25)&lt;&gt;3,1,IF($F25="HKD",1,BDP(IF($F25="CNY",RMB_CROSS,$F25)&amp;"HKD Curncy","PX_LAST"))),1)</f>
        <v/>
      </c>
      <c r="H25" s="133">
        <f>IF($C25="","",BDP($C25,FLD_DPS12M))</f>
        <v/>
      </c>
      <c r="I25" s="126">
        <f>IF($C25="","",BDP($C25,FLD_YLD12M))</f>
        <v/>
      </c>
      <c r="J25" s="128">
        <f>IF($B25="",0,SUMPRODUCT(('Dvd Calendar'!$E$1759:$AR$1759&gt;=WIN_FROM)*('Dvd Calendar'!$E$1759:$AR$1759&lt;=REALIZED_TO)*'Dvd Calendar'!$E$1762:$AR$1762*(('Dvd Calendar'!$E$1764:$AR$1764=TYPE1)*(TYPE1&lt;&gt;"")+('Dvd Calendar'!$E$1764:$AR$1764=TYPE2)*(TYPE2&lt;&gt;"")+('Dvd Calendar'!$E$1764:$AR$1764=TYPE3)*(TYPE3&lt;&gt;"")+('Dvd Calendar'!$E$1764:$AR$1764=TYPE4)*(TYPE4&lt;&gt;"")+('Dvd Calendar'!$E$1764:$AR$1764=SPECIAL_LBL)*(INC_SPECIALS="Y"))))</f>
        <v/>
      </c>
      <c r="K25" s="128">
        <f>IF($B25="",0,SUMIFS('Dvd Calendar'!$E$1767:$AR$1767,'Dvd Calendar'!$E$1766:$AR$1766,"&gt;"&amp;PROJ_FROM,'Dvd Calendar'!$E$1766:$AR$1766,"&lt;="&amp;WIN_TO)+SUMPRODUCT(('Dvd Calendar'!$E$1759:$AR$1759&gt;PROJ_FROM)*('Dvd Calendar'!$E$1759:$AR$1759&lt;=WIN_TO)*'Dvd Calendar'!$E$1762:$AR$1762*(('Dvd Calendar'!$E$1764:$AR$1764=TYPE1)*(TYPE1&lt;&gt;"")+('Dvd Calendar'!$E$1764:$AR$1764=TYPE2)*(TYPE2&lt;&gt;"")+('Dvd Calendar'!$E$1764:$AR$1764=TYPE3)*(TYPE3&lt;&gt;"")+('Dvd Calendar'!$E$1764:$AR$1764=TYPE4)*(TYPE4&lt;&gt;"")+('Dvd Calendar'!$E$1764:$AR$1764=SPECIAL_LBL)*(INC_SPECIALS="Y"))*(COUNTIF('Dvd Calendar'!$E$1766:$AR$1766,'Dvd Calendar'!$E$1759:$AR$1759)=0)))</f>
        <v/>
      </c>
      <c r="L25" s="128">
        <f>IF($B25="",0,IF((OV_SWITCH="ON")*(COUNTIFS(OVR_TICKERS,$C25,OVR_BASE,"&gt;=0")&gt;0)&gt;0,SUMIFS(OVR_BASE,OVR_TICKERS,$C25),$K25))</f>
        <v/>
      </c>
      <c r="M25" s="128">
        <f>IF($B25="",0,IF((OV_SWITCH="ON")*(COUNTIFS(OVR_TICKERS,$C25,OVR_LOW,"&gt;=0")&gt;0)&gt;0,SUMIFS(OVR_LOW,OVR_TICKERS,$C25),$L25))</f>
        <v/>
      </c>
      <c r="N25" s="128">
        <f>IF($B25="",0,IF((OV_SWITCH="ON")*(COUNTIFS(OVR_TICKERS,$C25,OVR_HIGH,"&gt;=0")&gt;0)&gt;0,SUMIFS(OVR_HIGH,OVR_TICKERS,$C25),$L25))</f>
        <v/>
      </c>
      <c r="O25" s="133">
        <f>IF($B25="","",IFERROR($B25*$G25*$J25/$B$3,""))</f>
        <v/>
      </c>
      <c r="P25" s="133">
        <f>IF($B25="","",IFERROR($B25*$G25*$L25/$B$3,""))</f>
        <v/>
      </c>
      <c r="Q25" s="124">
        <f>IF($B25="","",IFERROR($O25+$P25,""))</f>
        <v/>
      </c>
      <c r="R25" s="133">
        <f>IF($B25="","",IFERROR($O25+$B25*$G25*$M25/$B$3,""))</f>
        <v/>
      </c>
      <c r="S25" s="133">
        <f>IF($B25="","",IFERROR($O25+$B25*$G25*$N25/$B$3,""))</f>
        <v/>
      </c>
      <c r="T25" s="150">
        <f>IF($B25="","",IFERROR($Q25/$Q$5,""))</f>
        <v/>
      </c>
      <c r="U25" s="2">
        <f>IF($B25="","",IF(COUNTIFS('Dvd Calendar'!$E$1765:$AR$1765,"&gt;0",'Dvd Calendar'!$E$1765:$AR$1765,"&lt;="&amp;VAL_DATE,'Dvd Calendar'!$E$1766:$AR$1766,"&gt;"&amp;PROJ_FROM,'Dvd Calendar'!$E$1766:$AR$1766,"&lt;="&amp;WIN_TO)-COUNTIFS('Dvd Calendar'!$E$1765:$AR$1765,"&gt;0",'Dvd Calendar'!$E$1765:$AR$1765,"&lt;="&amp;VAL_DATE,'Dvd Calendar'!$E$1766:$AR$1766,"&gt;"&amp;PROJ_FROM,'Dvd Calendar'!$E$1766:$AR$1766,"&lt;="&amp;WIN_TO,'Dvd Calendar'!$E$1767:$AR$1767,"&gt;=0")&gt;0,"TBA amount - override me",IF((OV_SWITCH="ON")*(COUNTIFS(OVR_TICKERS,$C25,OVR_BASE,"&gt;=0")&gt;0)&gt;0,"overridden",IF($J25+$K25=0,"no dividend in year Y",""))))</f>
        <v/>
      </c>
      <c r="V25" s="133">
        <f>IF($B25="","",IFERROR(IF(ISNUMBER($H25),$B25*$G25*$H25/$B$3,0),""))</f>
        <v/>
      </c>
      <c r="W25" s="133">
        <f>IF($B25="","",IFERROR($B25*$G25*$K25/$B$3,""))</f>
        <v/>
      </c>
      <c r="X25" s="157">
        <f>IF($C25="","",BDP($C25,"PX_LAST"))</f>
        <v/>
      </c>
      <c r="Y25" s="133">
        <f>IF($B25="","",IFERROR($B25*$X25/$B$3,""))</f>
        <v/>
      </c>
      <c r="Z25" s="137">
        <f>IF($B25="","",IFERROR($Y25/$Y$5,""))</f>
        <v/>
      </c>
    </row>
    <row r="26">
      <c r="B26" s="97" t="n"/>
      <c r="C26" s="8">
        <f>IF($A26="","",$A26&amp;" Equity")</f>
        <v/>
      </c>
      <c r="D26" s="8">
        <f>IF($C26="","",BDP($C26,"NAME"))</f>
        <v/>
      </c>
      <c r="E26" s="8">
        <f>IF($C26="","",BDP($C26,"GICS_SECTOR_NAME"))</f>
        <v/>
      </c>
      <c r="F26" s="37">
        <f>IF($C26="","",BDP($C26,FLD_CCY))</f>
        <v/>
      </c>
      <c r="G26" s="111">
        <f>IFERROR(IF(LEN($F26)&lt;&gt;3,1,IF($F26="HKD",1,BDP(IF($F26="CNY",RMB_CROSS,$F26)&amp;"HKD Curncy","PX_LAST"))),1)</f>
        <v/>
      </c>
      <c r="H26" s="133">
        <f>IF($C26="","",BDP($C26,FLD_DPS12M))</f>
        <v/>
      </c>
      <c r="I26" s="126">
        <f>IF($C26="","",BDP($C26,FLD_YLD12M))</f>
        <v/>
      </c>
      <c r="J26" s="128">
        <f>IF($B26="",0,SUMPRODUCT(('Dvd Calendar'!$E$1770:$AR$1770&gt;=WIN_FROM)*('Dvd Calendar'!$E$1770:$AR$1770&lt;=REALIZED_TO)*'Dvd Calendar'!$E$1773:$AR$1773*(('Dvd Calendar'!$E$1775:$AR$1775=TYPE1)*(TYPE1&lt;&gt;"")+('Dvd Calendar'!$E$1775:$AR$1775=TYPE2)*(TYPE2&lt;&gt;"")+('Dvd Calendar'!$E$1775:$AR$1775=TYPE3)*(TYPE3&lt;&gt;"")+('Dvd Calendar'!$E$1775:$AR$1775=TYPE4)*(TYPE4&lt;&gt;"")+('Dvd Calendar'!$E$1775:$AR$1775=SPECIAL_LBL)*(INC_SPECIALS="Y"))))</f>
        <v/>
      </c>
      <c r="K26" s="128">
        <f>IF($B26="",0,SUMIFS('Dvd Calendar'!$E$1778:$AR$1778,'Dvd Calendar'!$E$1777:$AR$1777,"&gt;"&amp;PROJ_FROM,'Dvd Calendar'!$E$1777:$AR$1777,"&lt;="&amp;WIN_TO)+SUMPRODUCT(('Dvd Calendar'!$E$1770:$AR$1770&gt;PROJ_FROM)*('Dvd Calendar'!$E$1770:$AR$1770&lt;=WIN_TO)*'Dvd Calendar'!$E$1773:$AR$1773*(('Dvd Calendar'!$E$1775:$AR$1775=TYPE1)*(TYPE1&lt;&gt;"")+('Dvd Calendar'!$E$1775:$AR$1775=TYPE2)*(TYPE2&lt;&gt;"")+('Dvd Calendar'!$E$1775:$AR$1775=TYPE3)*(TYPE3&lt;&gt;"")+('Dvd Calendar'!$E$1775:$AR$1775=TYPE4)*(TYPE4&lt;&gt;"")+('Dvd Calendar'!$E$1775:$AR$1775=SPECIAL_LBL)*(INC_SPECIALS="Y"))*(COUNTIF('Dvd Calendar'!$E$1777:$AR$1777,'Dvd Calendar'!$E$1770:$AR$1770)=0)))</f>
        <v/>
      </c>
      <c r="L26" s="128">
        <f>IF($B26="",0,IF((OV_SWITCH="ON")*(COUNTIFS(OVR_TICKERS,$C26,OVR_BASE,"&gt;=0")&gt;0)&gt;0,SUMIFS(OVR_BASE,OVR_TICKERS,$C26),$K26))</f>
        <v/>
      </c>
      <c r="M26" s="128">
        <f>IF($B26="",0,IF((OV_SWITCH="ON")*(COUNTIFS(OVR_TICKERS,$C26,OVR_LOW,"&gt;=0")&gt;0)&gt;0,SUMIFS(OVR_LOW,OVR_TICKERS,$C26),$L26))</f>
        <v/>
      </c>
      <c r="N26" s="128">
        <f>IF($B26="",0,IF((OV_SWITCH="ON")*(COUNTIFS(OVR_TICKERS,$C26,OVR_HIGH,"&gt;=0")&gt;0)&gt;0,SUMIFS(OVR_HIGH,OVR_TICKERS,$C26),$L26))</f>
        <v/>
      </c>
      <c r="O26" s="133">
        <f>IF($B26="","",IFERROR($B26*$G26*$J26/$B$3,""))</f>
        <v/>
      </c>
      <c r="P26" s="133">
        <f>IF($B26="","",IFERROR($B26*$G26*$L26/$B$3,""))</f>
        <v/>
      </c>
      <c r="Q26" s="124">
        <f>IF($B26="","",IFERROR($O26+$P26,""))</f>
        <v/>
      </c>
      <c r="R26" s="133">
        <f>IF($B26="","",IFERROR($O26+$B26*$G26*$M26/$B$3,""))</f>
        <v/>
      </c>
      <c r="S26" s="133">
        <f>IF($B26="","",IFERROR($O26+$B26*$G26*$N26/$B$3,""))</f>
        <v/>
      </c>
      <c r="T26" s="150">
        <f>IF($B26="","",IFERROR($Q26/$Q$5,""))</f>
        <v/>
      </c>
      <c r="U26" s="2">
        <f>IF($B26="","",IF(COUNTIFS('Dvd Calendar'!$E$1776:$AR$1776,"&gt;0",'Dvd Calendar'!$E$1776:$AR$1776,"&lt;="&amp;VAL_DATE,'Dvd Calendar'!$E$1777:$AR$1777,"&gt;"&amp;PROJ_FROM,'Dvd Calendar'!$E$1777:$AR$1777,"&lt;="&amp;WIN_TO)-COUNTIFS('Dvd Calendar'!$E$1776:$AR$1776,"&gt;0",'Dvd Calendar'!$E$1776:$AR$1776,"&lt;="&amp;VAL_DATE,'Dvd Calendar'!$E$1777:$AR$1777,"&gt;"&amp;PROJ_FROM,'Dvd Calendar'!$E$1777:$AR$1777,"&lt;="&amp;WIN_TO,'Dvd Calendar'!$E$1778:$AR$1778,"&gt;=0")&gt;0,"TBA amount - override me",IF((OV_SWITCH="ON")*(COUNTIFS(OVR_TICKERS,$C26,OVR_BASE,"&gt;=0")&gt;0)&gt;0,"overridden",IF($J26+$K26=0,"no dividend in year Y",""))))</f>
        <v/>
      </c>
      <c r="V26" s="133">
        <f>IF($B26="","",IFERROR(IF(ISNUMBER($H26),$B26*$G26*$H26/$B$3,0),""))</f>
        <v/>
      </c>
      <c r="W26" s="133">
        <f>IF($B26="","",IFERROR($B26*$G26*$K26/$B$3,""))</f>
        <v/>
      </c>
      <c r="X26" s="157">
        <f>IF($C26="","",BDP($C26,"PX_LAST"))</f>
        <v/>
      </c>
      <c r="Y26" s="133">
        <f>IF($B26="","",IFERROR($B26*$X26/$B$3,""))</f>
        <v/>
      </c>
      <c r="Z26" s="137">
        <f>IF($B26="","",IFERROR($Y26/$Y$5,""))</f>
        <v/>
      </c>
    </row>
    <row r="27">
      <c r="B27" s="97" t="n"/>
      <c r="C27" s="8">
        <f>IF($A27="","",$A27&amp;" Equity")</f>
        <v/>
      </c>
      <c r="D27" s="8">
        <f>IF($C27="","",BDP($C27,"NAME"))</f>
        <v/>
      </c>
      <c r="E27" s="8">
        <f>IF($C27="","",BDP($C27,"GICS_SECTOR_NAME"))</f>
        <v/>
      </c>
      <c r="F27" s="37">
        <f>IF($C27="","",BDP($C27,FLD_CCY))</f>
        <v/>
      </c>
      <c r="G27" s="111">
        <f>IFERROR(IF(LEN($F27)&lt;&gt;3,1,IF($F27="HKD",1,BDP(IF($F27="CNY",RMB_CROSS,$F27)&amp;"HKD Curncy","PX_LAST"))),1)</f>
        <v/>
      </c>
      <c r="H27" s="133">
        <f>IF($C27="","",BDP($C27,FLD_DPS12M))</f>
        <v/>
      </c>
      <c r="I27" s="126">
        <f>IF($C27="","",BDP($C27,FLD_YLD12M))</f>
        <v/>
      </c>
      <c r="J27" s="128">
        <f>IF($B27="",0,SUMPRODUCT(('Dvd Calendar'!$E$1781:$AR$1781&gt;=WIN_FROM)*('Dvd Calendar'!$E$1781:$AR$1781&lt;=REALIZED_TO)*'Dvd Calendar'!$E$1784:$AR$1784*(('Dvd Calendar'!$E$1786:$AR$1786=TYPE1)*(TYPE1&lt;&gt;"")+('Dvd Calendar'!$E$1786:$AR$1786=TYPE2)*(TYPE2&lt;&gt;"")+('Dvd Calendar'!$E$1786:$AR$1786=TYPE3)*(TYPE3&lt;&gt;"")+('Dvd Calendar'!$E$1786:$AR$1786=TYPE4)*(TYPE4&lt;&gt;"")+('Dvd Calendar'!$E$1786:$AR$1786=SPECIAL_LBL)*(INC_SPECIALS="Y"))))</f>
        <v/>
      </c>
      <c r="K27" s="128">
        <f>IF($B27="",0,SUMIFS('Dvd Calendar'!$E$1789:$AR$1789,'Dvd Calendar'!$E$1788:$AR$1788,"&gt;"&amp;PROJ_FROM,'Dvd Calendar'!$E$1788:$AR$1788,"&lt;="&amp;WIN_TO)+SUMPRODUCT(('Dvd Calendar'!$E$1781:$AR$1781&gt;PROJ_FROM)*('Dvd Calendar'!$E$1781:$AR$1781&lt;=WIN_TO)*'Dvd Calendar'!$E$1784:$AR$1784*(('Dvd Calendar'!$E$1786:$AR$1786=TYPE1)*(TYPE1&lt;&gt;"")+('Dvd Calendar'!$E$1786:$AR$1786=TYPE2)*(TYPE2&lt;&gt;"")+('Dvd Calendar'!$E$1786:$AR$1786=TYPE3)*(TYPE3&lt;&gt;"")+('Dvd Calendar'!$E$1786:$AR$1786=TYPE4)*(TYPE4&lt;&gt;"")+('Dvd Calendar'!$E$1786:$AR$1786=SPECIAL_LBL)*(INC_SPECIALS="Y"))*(COUNTIF('Dvd Calendar'!$E$1788:$AR$1788,'Dvd Calendar'!$E$1781:$AR$1781)=0)))</f>
        <v/>
      </c>
      <c r="L27" s="128">
        <f>IF($B27="",0,IF((OV_SWITCH="ON")*(COUNTIFS(OVR_TICKERS,$C27,OVR_BASE,"&gt;=0")&gt;0)&gt;0,SUMIFS(OVR_BASE,OVR_TICKERS,$C27),$K27))</f>
        <v/>
      </c>
      <c r="M27" s="128">
        <f>IF($B27="",0,IF((OV_SWITCH="ON")*(COUNTIFS(OVR_TICKERS,$C27,OVR_LOW,"&gt;=0")&gt;0)&gt;0,SUMIFS(OVR_LOW,OVR_TICKERS,$C27),$L27))</f>
        <v/>
      </c>
      <c r="N27" s="128">
        <f>IF($B27="",0,IF((OV_SWITCH="ON")*(COUNTIFS(OVR_TICKERS,$C27,OVR_HIGH,"&gt;=0")&gt;0)&gt;0,SUMIFS(OVR_HIGH,OVR_TICKERS,$C27),$L27))</f>
        <v/>
      </c>
      <c r="O27" s="133">
        <f>IF($B27="","",IFERROR($B27*$G27*$J27/$B$3,""))</f>
        <v/>
      </c>
      <c r="P27" s="133">
        <f>IF($B27="","",IFERROR($B27*$G27*$L27/$B$3,""))</f>
        <v/>
      </c>
      <c r="Q27" s="124">
        <f>IF($B27="","",IFERROR($O27+$P27,""))</f>
        <v/>
      </c>
      <c r="R27" s="133">
        <f>IF($B27="","",IFERROR($O27+$B27*$G27*$M27/$B$3,""))</f>
        <v/>
      </c>
      <c r="S27" s="133">
        <f>IF($B27="","",IFERROR($O27+$B27*$G27*$N27/$B$3,""))</f>
        <v/>
      </c>
      <c r="T27" s="150">
        <f>IF($B27="","",IFERROR($Q27/$Q$5,""))</f>
        <v/>
      </c>
      <c r="U27" s="2">
        <f>IF($B27="","",IF(COUNTIFS('Dvd Calendar'!$E$1787:$AR$1787,"&gt;0",'Dvd Calendar'!$E$1787:$AR$1787,"&lt;="&amp;VAL_DATE,'Dvd Calendar'!$E$1788:$AR$1788,"&gt;"&amp;PROJ_FROM,'Dvd Calendar'!$E$1788:$AR$1788,"&lt;="&amp;WIN_TO)-COUNTIFS('Dvd Calendar'!$E$1787:$AR$1787,"&gt;0",'Dvd Calendar'!$E$1787:$AR$1787,"&lt;="&amp;VAL_DATE,'Dvd Calendar'!$E$1788:$AR$1788,"&gt;"&amp;PROJ_FROM,'Dvd Calendar'!$E$1788:$AR$1788,"&lt;="&amp;WIN_TO,'Dvd Calendar'!$E$1789:$AR$1789,"&gt;=0")&gt;0,"TBA amount - override me",IF((OV_SWITCH="ON")*(COUNTIFS(OVR_TICKERS,$C27,OVR_BASE,"&gt;=0")&gt;0)&gt;0,"overridden",IF($J27+$K27=0,"no dividend in year Y",""))))</f>
        <v/>
      </c>
      <c r="V27" s="133">
        <f>IF($B27="","",IFERROR(IF(ISNUMBER($H27),$B27*$G27*$H27/$B$3,0),""))</f>
        <v/>
      </c>
      <c r="W27" s="133">
        <f>IF($B27="","",IFERROR($B27*$G27*$K27/$B$3,""))</f>
        <v/>
      </c>
      <c r="X27" s="157">
        <f>IF($C27="","",BDP($C27,"PX_LAST"))</f>
        <v/>
      </c>
      <c r="Y27" s="133">
        <f>IF($B27="","",IFERROR($B27*$X27/$B$3,""))</f>
        <v/>
      </c>
      <c r="Z27" s="137">
        <f>IF($B27="","",IFERROR($Y27/$Y$5,""))</f>
        <v/>
      </c>
    </row>
    <row r="28">
      <c r="B28" s="97" t="n"/>
      <c r="C28" s="8">
        <f>IF($A28="","",$A28&amp;" Equity")</f>
        <v/>
      </c>
      <c r="D28" s="8">
        <f>IF($C28="","",BDP($C28,"NAME"))</f>
        <v/>
      </c>
      <c r="E28" s="8">
        <f>IF($C28="","",BDP($C28,"GICS_SECTOR_NAME"))</f>
        <v/>
      </c>
      <c r="F28" s="37">
        <f>IF($C28="","",BDP($C28,FLD_CCY))</f>
        <v/>
      </c>
      <c r="G28" s="111">
        <f>IFERROR(IF(LEN($F28)&lt;&gt;3,1,IF($F28="HKD",1,BDP(IF($F28="CNY",RMB_CROSS,$F28)&amp;"HKD Curncy","PX_LAST"))),1)</f>
        <v/>
      </c>
      <c r="H28" s="133">
        <f>IF($C28="","",BDP($C28,FLD_DPS12M))</f>
        <v/>
      </c>
      <c r="I28" s="126">
        <f>IF($C28="","",BDP($C28,FLD_YLD12M))</f>
        <v/>
      </c>
      <c r="J28" s="128">
        <f>IF($B28="",0,SUMPRODUCT(('Dvd Calendar'!$E$1792:$AR$1792&gt;=WIN_FROM)*('Dvd Calendar'!$E$1792:$AR$1792&lt;=REALIZED_TO)*'Dvd Calendar'!$E$1795:$AR$1795*(('Dvd Calendar'!$E$1797:$AR$1797=TYPE1)*(TYPE1&lt;&gt;"")+('Dvd Calendar'!$E$1797:$AR$1797=TYPE2)*(TYPE2&lt;&gt;"")+('Dvd Calendar'!$E$1797:$AR$1797=TYPE3)*(TYPE3&lt;&gt;"")+('Dvd Calendar'!$E$1797:$AR$1797=TYPE4)*(TYPE4&lt;&gt;"")+('Dvd Calendar'!$E$1797:$AR$1797=SPECIAL_LBL)*(INC_SPECIALS="Y"))))</f>
        <v/>
      </c>
      <c r="K28" s="128">
        <f>IF($B28="",0,SUMIFS('Dvd Calendar'!$E$1800:$AR$1800,'Dvd Calendar'!$E$1799:$AR$1799,"&gt;"&amp;PROJ_FROM,'Dvd Calendar'!$E$1799:$AR$1799,"&lt;="&amp;WIN_TO)+SUMPRODUCT(('Dvd Calendar'!$E$1792:$AR$1792&gt;PROJ_FROM)*('Dvd Calendar'!$E$1792:$AR$1792&lt;=WIN_TO)*'Dvd Calendar'!$E$1795:$AR$1795*(('Dvd Calendar'!$E$1797:$AR$1797=TYPE1)*(TYPE1&lt;&gt;"")+('Dvd Calendar'!$E$1797:$AR$1797=TYPE2)*(TYPE2&lt;&gt;"")+('Dvd Calendar'!$E$1797:$AR$1797=TYPE3)*(TYPE3&lt;&gt;"")+('Dvd Calendar'!$E$1797:$AR$1797=TYPE4)*(TYPE4&lt;&gt;"")+('Dvd Calendar'!$E$1797:$AR$1797=SPECIAL_LBL)*(INC_SPECIALS="Y"))*(COUNTIF('Dvd Calendar'!$E$1799:$AR$1799,'Dvd Calendar'!$E$1792:$AR$1792)=0)))</f>
        <v/>
      </c>
      <c r="L28" s="128">
        <f>IF($B28="",0,IF((OV_SWITCH="ON")*(COUNTIFS(OVR_TICKERS,$C28,OVR_BASE,"&gt;=0")&gt;0)&gt;0,SUMIFS(OVR_BASE,OVR_TICKERS,$C28),$K28))</f>
        <v/>
      </c>
      <c r="M28" s="128">
        <f>IF($B28="",0,IF((OV_SWITCH="ON")*(COUNTIFS(OVR_TICKERS,$C28,OVR_LOW,"&gt;=0")&gt;0)&gt;0,SUMIFS(OVR_LOW,OVR_TICKERS,$C28),$L28))</f>
        <v/>
      </c>
      <c r="N28" s="128">
        <f>IF($B28="",0,IF((OV_SWITCH="ON")*(COUNTIFS(OVR_TICKERS,$C28,OVR_HIGH,"&gt;=0")&gt;0)&gt;0,SUMIFS(OVR_HIGH,OVR_TICKERS,$C28),$L28))</f>
        <v/>
      </c>
      <c r="O28" s="133">
        <f>IF($B28="","",IFERROR($B28*$G28*$J28/$B$3,""))</f>
        <v/>
      </c>
      <c r="P28" s="133">
        <f>IF($B28="","",IFERROR($B28*$G28*$L28/$B$3,""))</f>
        <v/>
      </c>
      <c r="Q28" s="124">
        <f>IF($B28="","",IFERROR($O28+$P28,""))</f>
        <v/>
      </c>
      <c r="R28" s="133">
        <f>IF($B28="","",IFERROR($O28+$B28*$G28*$M28/$B$3,""))</f>
        <v/>
      </c>
      <c r="S28" s="133">
        <f>IF($B28="","",IFERROR($O28+$B28*$G28*$N28/$B$3,""))</f>
        <v/>
      </c>
      <c r="T28" s="150">
        <f>IF($B28="","",IFERROR($Q28/$Q$5,""))</f>
        <v/>
      </c>
      <c r="U28" s="2">
        <f>IF($B28="","",IF(COUNTIFS('Dvd Calendar'!$E$1798:$AR$1798,"&gt;0",'Dvd Calendar'!$E$1798:$AR$1798,"&lt;="&amp;VAL_DATE,'Dvd Calendar'!$E$1799:$AR$1799,"&gt;"&amp;PROJ_FROM,'Dvd Calendar'!$E$1799:$AR$1799,"&lt;="&amp;WIN_TO)-COUNTIFS('Dvd Calendar'!$E$1798:$AR$1798,"&gt;0",'Dvd Calendar'!$E$1798:$AR$1798,"&lt;="&amp;VAL_DATE,'Dvd Calendar'!$E$1799:$AR$1799,"&gt;"&amp;PROJ_FROM,'Dvd Calendar'!$E$1799:$AR$1799,"&lt;="&amp;WIN_TO,'Dvd Calendar'!$E$1800:$AR$1800,"&gt;=0")&gt;0,"TBA amount - override me",IF((OV_SWITCH="ON")*(COUNTIFS(OVR_TICKERS,$C28,OVR_BASE,"&gt;=0")&gt;0)&gt;0,"overridden",IF($J28+$K28=0,"no dividend in year Y",""))))</f>
        <v/>
      </c>
      <c r="V28" s="133">
        <f>IF($B28="","",IFERROR(IF(ISNUMBER($H28),$B28*$G28*$H28/$B$3,0),""))</f>
        <v/>
      </c>
      <c r="W28" s="133">
        <f>IF($B28="","",IFERROR($B28*$G28*$K28/$B$3,""))</f>
        <v/>
      </c>
      <c r="X28" s="157">
        <f>IF($C28="","",BDP($C28,"PX_LAST"))</f>
        <v/>
      </c>
      <c r="Y28" s="133">
        <f>IF($B28="","",IFERROR($B28*$X28/$B$3,""))</f>
        <v/>
      </c>
      <c r="Z28" s="137">
        <f>IF($B28="","",IFERROR($Y28/$Y$5,""))</f>
        <v/>
      </c>
    </row>
    <row r="29">
      <c r="B29" s="97" t="n"/>
      <c r="C29" s="8">
        <f>IF($A29="","",$A29&amp;" Equity")</f>
        <v/>
      </c>
      <c r="D29" s="8">
        <f>IF($C29="","",BDP($C29,"NAME"))</f>
        <v/>
      </c>
      <c r="E29" s="8">
        <f>IF($C29="","",BDP($C29,"GICS_SECTOR_NAME"))</f>
        <v/>
      </c>
      <c r="F29" s="37">
        <f>IF($C29="","",BDP($C29,FLD_CCY))</f>
        <v/>
      </c>
      <c r="G29" s="111">
        <f>IFERROR(IF(LEN($F29)&lt;&gt;3,1,IF($F29="HKD",1,BDP(IF($F29="CNY",RMB_CROSS,$F29)&amp;"HKD Curncy","PX_LAST"))),1)</f>
        <v/>
      </c>
      <c r="H29" s="133">
        <f>IF($C29="","",BDP($C29,FLD_DPS12M))</f>
        <v/>
      </c>
      <c r="I29" s="126">
        <f>IF($C29="","",BDP($C29,FLD_YLD12M))</f>
        <v/>
      </c>
      <c r="J29" s="128">
        <f>IF($B29="",0,SUMPRODUCT(('Dvd Calendar'!$E$1803:$AR$1803&gt;=WIN_FROM)*('Dvd Calendar'!$E$1803:$AR$1803&lt;=REALIZED_TO)*'Dvd Calendar'!$E$1806:$AR$1806*(('Dvd Calendar'!$E$1808:$AR$1808=TYPE1)*(TYPE1&lt;&gt;"")+('Dvd Calendar'!$E$1808:$AR$1808=TYPE2)*(TYPE2&lt;&gt;"")+('Dvd Calendar'!$E$1808:$AR$1808=TYPE3)*(TYPE3&lt;&gt;"")+('Dvd Calendar'!$E$1808:$AR$1808=TYPE4)*(TYPE4&lt;&gt;"")+('Dvd Calendar'!$E$1808:$AR$1808=SPECIAL_LBL)*(INC_SPECIALS="Y"))))</f>
        <v/>
      </c>
      <c r="K29" s="128">
        <f>IF($B29="",0,SUMIFS('Dvd Calendar'!$E$1811:$AR$1811,'Dvd Calendar'!$E$1810:$AR$1810,"&gt;"&amp;PROJ_FROM,'Dvd Calendar'!$E$1810:$AR$1810,"&lt;="&amp;WIN_TO)+SUMPRODUCT(('Dvd Calendar'!$E$1803:$AR$1803&gt;PROJ_FROM)*('Dvd Calendar'!$E$1803:$AR$1803&lt;=WIN_TO)*'Dvd Calendar'!$E$1806:$AR$1806*(('Dvd Calendar'!$E$1808:$AR$1808=TYPE1)*(TYPE1&lt;&gt;"")+('Dvd Calendar'!$E$1808:$AR$1808=TYPE2)*(TYPE2&lt;&gt;"")+('Dvd Calendar'!$E$1808:$AR$1808=TYPE3)*(TYPE3&lt;&gt;"")+('Dvd Calendar'!$E$1808:$AR$1808=TYPE4)*(TYPE4&lt;&gt;"")+('Dvd Calendar'!$E$1808:$AR$1808=SPECIAL_LBL)*(INC_SPECIALS="Y"))*(COUNTIF('Dvd Calendar'!$E$1810:$AR$1810,'Dvd Calendar'!$E$1803:$AR$1803)=0)))</f>
        <v/>
      </c>
      <c r="L29" s="128">
        <f>IF($B29="",0,IF((OV_SWITCH="ON")*(COUNTIFS(OVR_TICKERS,$C29,OVR_BASE,"&gt;=0")&gt;0)&gt;0,SUMIFS(OVR_BASE,OVR_TICKERS,$C29),$K29))</f>
        <v/>
      </c>
      <c r="M29" s="128">
        <f>IF($B29="",0,IF((OV_SWITCH="ON")*(COUNTIFS(OVR_TICKERS,$C29,OVR_LOW,"&gt;=0")&gt;0)&gt;0,SUMIFS(OVR_LOW,OVR_TICKERS,$C29),$L29))</f>
        <v/>
      </c>
      <c r="N29" s="128">
        <f>IF($B29="",0,IF((OV_SWITCH="ON")*(COUNTIFS(OVR_TICKERS,$C29,OVR_HIGH,"&gt;=0")&gt;0)&gt;0,SUMIFS(OVR_HIGH,OVR_TICKERS,$C29),$L29))</f>
        <v/>
      </c>
      <c r="O29" s="133">
        <f>IF($B29="","",IFERROR($B29*$G29*$J29/$B$3,""))</f>
        <v/>
      </c>
      <c r="P29" s="133">
        <f>IF($B29="","",IFERROR($B29*$G29*$L29/$B$3,""))</f>
        <v/>
      </c>
      <c r="Q29" s="124">
        <f>IF($B29="","",IFERROR($O29+$P29,""))</f>
        <v/>
      </c>
      <c r="R29" s="133">
        <f>IF($B29="","",IFERROR($O29+$B29*$G29*$M29/$B$3,""))</f>
        <v/>
      </c>
      <c r="S29" s="133">
        <f>IF($B29="","",IFERROR($O29+$B29*$G29*$N29/$B$3,""))</f>
        <v/>
      </c>
      <c r="T29" s="150">
        <f>IF($B29="","",IFERROR($Q29/$Q$5,""))</f>
        <v/>
      </c>
      <c r="U29" s="2">
        <f>IF($B29="","",IF(COUNTIFS('Dvd Calendar'!$E$1809:$AR$1809,"&gt;0",'Dvd Calendar'!$E$1809:$AR$1809,"&lt;="&amp;VAL_DATE,'Dvd Calendar'!$E$1810:$AR$1810,"&gt;"&amp;PROJ_FROM,'Dvd Calendar'!$E$1810:$AR$1810,"&lt;="&amp;WIN_TO)-COUNTIFS('Dvd Calendar'!$E$1809:$AR$1809,"&gt;0",'Dvd Calendar'!$E$1809:$AR$1809,"&lt;="&amp;VAL_DATE,'Dvd Calendar'!$E$1810:$AR$1810,"&gt;"&amp;PROJ_FROM,'Dvd Calendar'!$E$1810:$AR$1810,"&lt;="&amp;WIN_TO,'Dvd Calendar'!$E$1811:$AR$1811,"&gt;=0")&gt;0,"TBA amount - override me",IF((OV_SWITCH="ON")*(COUNTIFS(OVR_TICKERS,$C29,OVR_BASE,"&gt;=0")&gt;0)&gt;0,"overridden",IF($J29+$K29=0,"no dividend in year Y",""))))</f>
        <v/>
      </c>
      <c r="V29" s="133">
        <f>IF($B29="","",IFERROR(IF(ISNUMBER($H29),$B29*$G29*$H29/$B$3,0),""))</f>
        <v/>
      </c>
      <c r="W29" s="133">
        <f>IF($B29="","",IFERROR($B29*$G29*$K29/$B$3,""))</f>
        <v/>
      </c>
      <c r="X29" s="157">
        <f>IF($C29="","",BDP($C29,"PX_LAST"))</f>
        <v/>
      </c>
      <c r="Y29" s="133">
        <f>IF($B29="","",IFERROR($B29*$X29/$B$3,""))</f>
        <v/>
      </c>
      <c r="Z29" s="137">
        <f>IF($B29="","",IFERROR($Y29/$Y$5,""))</f>
        <v/>
      </c>
    </row>
    <row r="30">
      <c r="B30" s="97" t="n"/>
      <c r="C30" s="8">
        <f>IF($A30="","",$A30&amp;" Equity")</f>
        <v/>
      </c>
      <c r="D30" s="8">
        <f>IF($C30="","",BDP($C30,"NAME"))</f>
        <v/>
      </c>
      <c r="E30" s="8">
        <f>IF($C30="","",BDP($C30,"GICS_SECTOR_NAME"))</f>
        <v/>
      </c>
      <c r="F30" s="37">
        <f>IF($C30="","",BDP($C30,FLD_CCY))</f>
        <v/>
      </c>
      <c r="G30" s="111">
        <f>IFERROR(IF(LEN($F30)&lt;&gt;3,1,IF($F30="HKD",1,BDP(IF($F30="CNY",RMB_CROSS,$F30)&amp;"HKD Curncy","PX_LAST"))),1)</f>
        <v/>
      </c>
      <c r="H30" s="133">
        <f>IF($C30="","",BDP($C30,FLD_DPS12M))</f>
        <v/>
      </c>
      <c r="I30" s="126">
        <f>IF($C30="","",BDP($C30,FLD_YLD12M))</f>
        <v/>
      </c>
      <c r="J30" s="128">
        <f>IF($B30="",0,SUMPRODUCT(('Dvd Calendar'!$E$1814:$AR$1814&gt;=WIN_FROM)*('Dvd Calendar'!$E$1814:$AR$1814&lt;=REALIZED_TO)*'Dvd Calendar'!$E$1817:$AR$1817*(('Dvd Calendar'!$E$1819:$AR$1819=TYPE1)*(TYPE1&lt;&gt;"")+('Dvd Calendar'!$E$1819:$AR$1819=TYPE2)*(TYPE2&lt;&gt;"")+('Dvd Calendar'!$E$1819:$AR$1819=TYPE3)*(TYPE3&lt;&gt;"")+('Dvd Calendar'!$E$1819:$AR$1819=TYPE4)*(TYPE4&lt;&gt;"")+('Dvd Calendar'!$E$1819:$AR$1819=SPECIAL_LBL)*(INC_SPECIALS="Y"))))</f>
        <v/>
      </c>
      <c r="K30" s="128">
        <f>IF($B30="",0,SUMIFS('Dvd Calendar'!$E$1822:$AR$1822,'Dvd Calendar'!$E$1821:$AR$1821,"&gt;"&amp;PROJ_FROM,'Dvd Calendar'!$E$1821:$AR$1821,"&lt;="&amp;WIN_TO)+SUMPRODUCT(('Dvd Calendar'!$E$1814:$AR$1814&gt;PROJ_FROM)*('Dvd Calendar'!$E$1814:$AR$1814&lt;=WIN_TO)*'Dvd Calendar'!$E$1817:$AR$1817*(('Dvd Calendar'!$E$1819:$AR$1819=TYPE1)*(TYPE1&lt;&gt;"")+('Dvd Calendar'!$E$1819:$AR$1819=TYPE2)*(TYPE2&lt;&gt;"")+('Dvd Calendar'!$E$1819:$AR$1819=TYPE3)*(TYPE3&lt;&gt;"")+('Dvd Calendar'!$E$1819:$AR$1819=TYPE4)*(TYPE4&lt;&gt;"")+('Dvd Calendar'!$E$1819:$AR$1819=SPECIAL_LBL)*(INC_SPECIALS="Y"))*(COUNTIF('Dvd Calendar'!$E$1821:$AR$1821,'Dvd Calendar'!$E$1814:$AR$1814)=0)))</f>
        <v/>
      </c>
      <c r="L30" s="128">
        <f>IF($B30="",0,IF((OV_SWITCH="ON")*(COUNTIFS(OVR_TICKERS,$C30,OVR_BASE,"&gt;=0")&gt;0)&gt;0,SUMIFS(OVR_BASE,OVR_TICKERS,$C30),$K30))</f>
        <v/>
      </c>
      <c r="M30" s="128">
        <f>IF($B30="",0,IF((OV_SWITCH="ON")*(COUNTIFS(OVR_TICKERS,$C30,OVR_LOW,"&gt;=0")&gt;0)&gt;0,SUMIFS(OVR_LOW,OVR_TICKERS,$C30),$L30))</f>
        <v/>
      </c>
      <c r="N30" s="128">
        <f>IF($B30="",0,IF((OV_SWITCH="ON")*(COUNTIFS(OVR_TICKERS,$C30,OVR_HIGH,"&gt;=0")&gt;0)&gt;0,SUMIFS(OVR_HIGH,OVR_TICKERS,$C30),$L30))</f>
        <v/>
      </c>
      <c r="O30" s="133">
        <f>IF($B30="","",IFERROR($B30*$G30*$J30/$B$3,""))</f>
        <v/>
      </c>
      <c r="P30" s="133">
        <f>IF($B30="","",IFERROR($B30*$G30*$L30/$B$3,""))</f>
        <v/>
      </c>
      <c r="Q30" s="124">
        <f>IF($B30="","",IFERROR($O30+$P30,""))</f>
        <v/>
      </c>
      <c r="R30" s="133">
        <f>IF($B30="","",IFERROR($O30+$B30*$G30*$M30/$B$3,""))</f>
        <v/>
      </c>
      <c r="S30" s="133">
        <f>IF($B30="","",IFERROR($O30+$B30*$G30*$N30/$B$3,""))</f>
        <v/>
      </c>
      <c r="T30" s="150">
        <f>IF($B30="","",IFERROR($Q30/$Q$5,""))</f>
        <v/>
      </c>
      <c r="U30" s="2">
        <f>IF($B30="","",IF(COUNTIFS('Dvd Calendar'!$E$1820:$AR$1820,"&gt;0",'Dvd Calendar'!$E$1820:$AR$1820,"&lt;="&amp;VAL_DATE,'Dvd Calendar'!$E$1821:$AR$1821,"&gt;"&amp;PROJ_FROM,'Dvd Calendar'!$E$1821:$AR$1821,"&lt;="&amp;WIN_TO)-COUNTIFS('Dvd Calendar'!$E$1820:$AR$1820,"&gt;0",'Dvd Calendar'!$E$1820:$AR$1820,"&lt;="&amp;VAL_DATE,'Dvd Calendar'!$E$1821:$AR$1821,"&gt;"&amp;PROJ_FROM,'Dvd Calendar'!$E$1821:$AR$1821,"&lt;="&amp;WIN_TO,'Dvd Calendar'!$E$1822:$AR$1822,"&gt;=0")&gt;0,"TBA amount - override me",IF((OV_SWITCH="ON")*(COUNTIFS(OVR_TICKERS,$C30,OVR_BASE,"&gt;=0")&gt;0)&gt;0,"overridden",IF($J30+$K30=0,"no dividend in year Y",""))))</f>
        <v/>
      </c>
      <c r="V30" s="133">
        <f>IF($B30="","",IFERROR(IF(ISNUMBER($H30),$B30*$G30*$H30/$B$3,0),""))</f>
        <v/>
      </c>
      <c r="W30" s="133">
        <f>IF($B30="","",IFERROR($B30*$G30*$K30/$B$3,""))</f>
        <v/>
      </c>
      <c r="X30" s="157">
        <f>IF($C30="","",BDP($C30,"PX_LAST"))</f>
        <v/>
      </c>
      <c r="Y30" s="133">
        <f>IF($B30="","",IFERROR($B30*$X30/$B$3,""))</f>
        <v/>
      </c>
      <c r="Z30" s="137">
        <f>IF($B30="","",IFERROR($Y30/$Y$5,""))</f>
        <v/>
      </c>
    </row>
    <row r="31">
      <c r="B31" s="97" t="n"/>
      <c r="C31" s="8">
        <f>IF($A31="","",$A31&amp;" Equity")</f>
        <v/>
      </c>
      <c r="D31" s="8">
        <f>IF($C31="","",BDP($C31,"NAME"))</f>
        <v/>
      </c>
      <c r="E31" s="8">
        <f>IF($C31="","",BDP($C31,"GICS_SECTOR_NAME"))</f>
        <v/>
      </c>
      <c r="F31" s="37">
        <f>IF($C31="","",BDP($C31,FLD_CCY))</f>
        <v/>
      </c>
      <c r="G31" s="111">
        <f>IFERROR(IF(LEN($F31)&lt;&gt;3,1,IF($F31="HKD",1,BDP(IF($F31="CNY",RMB_CROSS,$F31)&amp;"HKD Curncy","PX_LAST"))),1)</f>
        <v/>
      </c>
      <c r="H31" s="133">
        <f>IF($C31="","",BDP($C31,FLD_DPS12M))</f>
        <v/>
      </c>
      <c r="I31" s="126">
        <f>IF($C31="","",BDP($C31,FLD_YLD12M))</f>
        <v/>
      </c>
      <c r="J31" s="128">
        <f>IF($B31="",0,SUMPRODUCT(('Dvd Calendar'!$E$1825:$AR$1825&gt;=WIN_FROM)*('Dvd Calendar'!$E$1825:$AR$1825&lt;=REALIZED_TO)*'Dvd Calendar'!$E$1828:$AR$1828*(('Dvd Calendar'!$E$1830:$AR$1830=TYPE1)*(TYPE1&lt;&gt;"")+('Dvd Calendar'!$E$1830:$AR$1830=TYPE2)*(TYPE2&lt;&gt;"")+('Dvd Calendar'!$E$1830:$AR$1830=TYPE3)*(TYPE3&lt;&gt;"")+('Dvd Calendar'!$E$1830:$AR$1830=TYPE4)*(TYPE4&lt;&gt;"")+('Dvd Calendar'!$E$1830:$AR$1830=SPECIAL_LBL)*(INC_SPECIALS="Y"))))</f>
        <v/>
      </c>
      <c r="K31" s="128">
        <f>IF($B31="",0,SUMIFS('Dvd Calendar'!$E$1833:$AR$1833,'Dvd Calendar'!$E$1832:$AR$1832,"&gt;"&amp;PROJ_FROM,'Dvd Calendar'!$E$1832:$AR$1832,"&lt;="&amp;WIN_TO)+SUMPRODUCT(('Dvd Calendar'!$E$1825:$AR$1825&gt;PROJ_FROM)*('Dvd Calendar'!$E$1825:$AR$1825&lt;=WIN_TO)*'Dvd Calendar'!$E$1828:$AR$1828*(('Dvd Calendar'!$E$1830:$AR$1830=TYPE1)*(TYPE1&lt;&gt;"")+('Dvd Calendar'!$E$1830:$AR$1830=TYPE2)*(TYPE2&lt;&gt;"")+('Dvd Calendar'!$E$1830:$AR$1830=TYPE3)*(TYPE3&lt;&gt;"")+('Dvd Calendar'!$E$1830:$AR$1830=TYPE4)*(TYPE4&lt;&gt;"")+('Dvd Calendar'!$E$1830:$AR$1830=SPECIAL_LBL)*(INC_SPECIALS="Y"))*(COUNTIF('Dvd Calendar'!$E$1832:$AR$1832,'Dvd Calendar'!$E$1825:$AR$1825)=0)))</f>
        <v/>
      </c>
      <c r="L31" s="128">
        <f>IF($B31="",0,IF((OV_SWITCH="ON")*(COUNTIFS(OVR_TICKERS,$C31,OVR_BASE,"&gt;=0")&gt;0)&gt;0,SUMIFS(OVR_BASE,OVR_TICKERS,$C31),$K31))</f>
        <v/>
      </c>
      <c r="M31" s="128">
        <f>IF($B31="",0,IF((OV_SWITCH="ON")*(COUNTIFS(OVR_TICKERS,$C31,OVR_LOW,"&gt;=0")&gt;0)&gt;0,SUMIFS(OVR_LOW,OVR_TICKERS,$C31),$L31))</f>
        <v/>
      </c>
      <c r="N31" s="128">
        <f>IF($B31="",0,IF((OV_SWITCH="ON")*(COUNTIFS(OVR_TICKERS,$C31,OVR_HIGH,"&gt;=0")&gt;0)&gt;0,SUMIFS(OVR_HIGH,OVR_TICKERS,$C31),$L31))</f>
        <v/>
      </c>
      <c r="O31" s="133">
        <f>IF($B31="","",IFERROR($B31*$G31*$J31/$B$3,""))</f>
        <v/>
      </c>
      <c r="P31" s="133">
        <f>IF($B31="","",IFERROR($B31*$G31*$L31/$B$3,""))</f>
        <v/>
      </c>
      <c r="Q31" s="124">
        <f>IF($B31="","",IFERROR($O31+$P31,""))</f>
        <v/>
      </c>
      <c r="R31" s="133">
        <f>IF($B31="","",IFERROR($O31+$B31*$G31*$M31/$B$3,""))</f>
        <v/>
      </c>
      <c r="S31" s="133">
        <f>IF($B31="","",IFERROR($O31+$B31*$G31*$N31/$B$3,""))</f>
        <v/>
      </c>
      <c r="T31" s="150">
        <f>IF($B31="","",IFERROR($Q31/$Q$5,""))</f>
        <v/>
      </c>
      <c r="U31" s="2">
        <f>IF($B31="","",IF(COUNTIFS('Dvd Calendar'!$E$1831:$AR$1831,"&gt;0",'Dvd Calendar'!$E$1831:$AR$1831,"&lt;="&amp;VAL_DATE,'Dvd Calendar'!$E$1832:$AR$1832,"&gt;"&amp;PROJ_FROM,'Dvd Calendar'!$E$1832:$AR$1832,"&lt;="&amp;WIN_TO)-COUNTIFS('Dvd Calendar'!$E$1831:$AR$1831,"&gt;0",'Dvd Calendar'!$E$1831:$AR$1831,"&lt;="&amp;VAL_DATE,'Dvd Calendar'!$E$1832:$AR$1832,"&gt;"&amp;PROJ_FROM,'Dvd Calendar'!$E$1832:$AR$1832,"&lt;="&amp;WIN_TO,'Dvd Calendar'!$E$1833:$AR$1833,"&gt;=0")&gt;0,"TBA amount - override me",IF((OV_SWITCH="ON")*(COUNTIFS(OVR_TICKERS,$C31,OVR_BASE,"&gt;=0")&gt;0)&gt;0,"overridden",IF($J31+$K31=0,"no dividend in year Y",""))))</f>
        <v/>
      </c>
      <c r="V31" s="133">
        <f>IF($B31="","",IFERROR(IF(ISNUMBER($H31),$B31*$G31*$H31/$B$3,0),""))</f>
        <v/>
      </c>
      <c r="W31" s="133">
        <f>IF($B31="","",IFERROR($B31*$G31*$K31/$B$3,""))</f>
        <v/>
      </c>
      <c r="X31" s="157">
        <f>IF($C31="","",BDP($C31,"PX_LAST"))</f>
        <v/>
      </c>
      <c r="Y31" s="133">
        <f>IF($B31="","",IFERROR($B31*$X31/$B$3,""))</f>
        <v/>
      </c>
      <c r="Z31" s="137">
        <f>IF($B31="","",IFERROR($Y31/$Y$5,""))</f>
        <v/>
      </c>
    </row>
    <row r="32">
      <c r="B32" s="97" t="n"/>
      <c r="C32" s="8">
        <f>IF($A32="","",$A32&amp;" Equity")</f>
        <v/>
      </c>
      <c r="D32" s="8">
        <f>IF($C32="","",BDP($C32,"NAME"))</f>
        <v/>
      </c>
      <c r="E32" s="8">
        <f>IF($C32="","",BDP($C32,"GICS_SECTOR_NAME"))</f>
        <v/>
      </c>
      <c r="F32" s="37">
        <f>IF($C32="","",BDP($C32,FLD_CCY))</f>
        <v/>
      </c>
      <c r="G32" s="111">
        <f>IFERROR(IF(LEN($F32)&lt;&gt;3,1,IF($F32="HKD",1,BDP(IF($F32="CNY",RMB_CROSS,$F32)&amp;"HKD Curncy","PX_LAST"))),1)</f>
        <v/>
      </c>
      <c r="H32" s="133">
        <f>IF($C32="","",BDP($C32,FLD_DPS12M))</f>
        <v/>
      </c>
      <c r="I32" s="126">
        <f>IF($C32="","",BDP($C32,FLD_YLD12M))</f>
        <v/>
      </c>
      <c r="J32" s="128">
        <f>IF($B32="",0,SUMPRODUCT(('Dvd Calendar'!$E$1836:$AR$1836&gt;=WIN_FROM)*('Dvd Calendar'!$E$1836:$AR$1836&lt;=REALIZED_TO)*'Dvd Calendar'!$E$1839:$AR$1839*(('Dvd Calendar'!$E$1841:$AR$1841=TYPE1)*(TYPE1&lt;&gt;"")+('Dvd Calendar'!$E$1841:$AR$1841=TYPE2)*(TYPE2&lt;&gt;"")+('Dvd Calendar'!$E$1841:$AR$1841=TYPE3)*(TYPE3&lt;&gt;"")+('Dvd Calendar'!$E$1841:$AR$1841=TYPE4)*(TYPE4&lt;&gt;"")+('Dvd Calendar'!$E$1841:$AR$1841=SPECIAL_LBL)*(INC_SPECIALS="Y"))))</f>
        <v/>
      </c>
      <c r="K32" s="128">
        <f>IF($B32="",0,SUMIFS('Dvd Calendar'!$E$1844:$AR$1844,'Dvd Calendar'!$E$1843:$AR$1843,"&gt;"&amp;PROJ_FROM,'Dvd Calendar'!$E$1843:$AR$1843,"&lt;="&amp;WIN_TO)+SUMPRODUCT(('Dvd Calendar'!$E$1836:$AR$1836&gt;PROJ_FROM)*('Dvd Calendar'!$E$1836:$AR$1836&lt;=WIN_TO)*'Dvd Calendar'!$E$1839:$AR$1839*(('Dvd Calendar'!$E$1841:$AR$1841=TYPE1)*(TYPE1&lt;&gt;"")+('Dvd Calendar'!$E$1841:$AR$1841=TYPE2)*(TYPE2&lt;&gt;"")+('Dvd Calendar'!$E$1841:$AR$1841=TYPE3)*(TYPE3&lt;&gt;"")+('Dvd Calendar'!$E$1841:$AR$1841=TYPE4)*(TYPE4&lt;&gt;"")+('Dvd Calendar'!$E$1841:$AR$1841=SPECIAL_LBL)*(INC_SPECIALS="Y"))*(COUNTIF('Dvd Calendar'!$E$1843:$AR$1843,'Dvd Calendar'!$E$1836:$AR$1836)=0)))</f>
        <v/>
      </c>
      <c r="L32" s="128">
        <f>IF($B32="",0,IF((OV_SWITCH="ON")*(COUNTIFS(OVR_TICKERS,$C32,OVR_BASE,"&gt;=0")&gt;0)&gt;0,SUMIFS(OVR_BASE,OVR_TICKERS,$C32),$K32))</f>
        <v/>
      </c>
      <c r="M32" s="128">
        <f>IF($B32="",0,IF((OV_SWITCH="ON")*(COUNTIFS(OVR_TICKERS,$C32,OVR_LOW,"&gt;=0")&gt;0)&gt;0,SUMIFS(OVR_LOW,OVR_TICKERS,$C32),$L32))</f>
        <v/>
      </c>
      <c r="N32" s="128">
        <f>IF($B32="",0,IF((OV_SWITCH="ON")*(COUNTIFS(OVR_TICKERS,$C32,OVR_HIGH,"&gt;=0")&gt;0)&gt;0,SUMIFS(OVR_HIGH,OVR_TICKERS,$C32),$L32))</f>
        <v/>
      </c>
      <c r="O32" s="133">
        <f>IF($B32="","",IFERROR($B32*$G32*$J32/$B$3,""))</f>
        <v/>
      </c>
      <c r="P32" s="133">
        <f>IF($B32="","",IFERROR($B32*$G32*$L32/$B$3,""))</f>
        <v/>
      </c>
      <c r="Q32" s="124">
        <f>IF($B32="","",IFERROR($O32+$P32,""))</f>
        <v/>
      </c>
      <c r="R32" s="133">
        <f>IF($B32="","",IFERROR($O32+$B32*$G32*$M32/$B$3,""))</f>
        <v/>
      </c>
      <c r="S32" s="133">
        <f>IF($B32="","",IFERROR($O32+$B32*$G32*$N32/$B$3,""))</f>
        <v/>
      </c>
      <c r="T32" s="150">
        <f>IF($B32="","",IFERROR($Q32/$Q$5,""))</f>
        <v/>
      </c>
      <c r="U32" s="2">
        <f>IF($B32="","",IF(COUNTIFS('Dvd Calendar'!$E$1842:$AR$1842,"&gt;0",'Dvd Calendar'!$E$1842:$AR$1842,"&lt;="&amp;VAL_DATE,'Dvd Calendar'!$E$1843:$AR$1843,"&gt;"&amp;PROJ_FROM,'Dvd Calendar'!$E$1843:$AR$1843,"&lt;="&amp;WIN_TO)-COUNTIFS('Dvd Calendar'!$E$1842:$AR$1842,"&gt;0",'Dvd Calendar'!$E$1842:$AR$1842,"&lt;="&amp;VAL_DATE,'Dvd Calendar'!$E$1843:$AR$1843,"&gt;"&amp;PROJ_FROM,'Dvd Calendar'!$E$1843:$AR$1843,"&lt;="&amp;WIN_TO,'Dvd Calendar'!$E$1844:$AR$1844,"&gt;=0")&gt;0,"TBA amount - override me",IF((OV_SWITCH="ON")*(COUNTIFS(OVR_TICKERS,$C32,OVR_BASE,"&gt;=0")&gt;0)&gt;0,"overridden",IF($J32+$K32=0,"no dividend in year Y",""))))</f>
        <v/>
      </c>
      <c r="V32" s="133">
        <f>IF($B32="","",IFERROR(IF(ISNUMBER($H32),$B32*$G32*$H32/$B$3,0),""))</f>
        <v/>
      </c>
      <c r="W32" s="133">
        <f>IF($B32="","",IFERROR($B32*$G32*$K32/$B$3,""))</f>
        <v/>
      </c>
      <c r="X32" s="157">
        <f>IF($C32="","",BDP($C32,"PX_LAST"))</f>
        <v/>
      </c>
      <c r="Y32" s="133">
        <f>IF($B32="","",IFERROR($B32*$X32/$B$3,""))</f>
        <v/>
      </c>
      <c r="Z32" s="137">
        <f>IF($B32="","",IFERROR($Y32/$Y$5,""))</f>
        <v/>
      </c>
    </row>
    <row r="33">
      <c r="B33" s="97" t="n"/>
      <c r="C33" s="8">
        <f>IF($A33="","",$A33&amp;" Equity")</f>
        <v/>
      </c>
      <c r="D33" s="8">
        <f>IF($C33="","",BDP($C33,"NAME"))</f>
        <v/>
      </c>
      <c r="E33" s="8">
        <f>IF($C33="","",BDP($C33,"GICS_SECTOR_NAME"))</f>
        <v/>
      </c>
      <c r="F33" s="37">
        <f>IF($C33="","",BDP($C33,FLD_CCY))</f>
        <v/>
      </c>
      <c r="G33" s="111">
        <f>IFERROR(IF(LEN($F33)&lt;&gt;3,1,IF($F33="HKD",1,BDP(IF($F33="CNY",RMB_CROSS,$F33)&amp;"HKD Curncy","PX_LAST"))),1)</f>
        <v/>
      </c>
      <c r="H33" s="133">
        <f>IF($C33="","",BDP($C33,FLD_DPS12M))</f>
        <v/>
      </c>
      <c r="I33" s="126">
        <f>IF($C33="","",BDP($C33,FLD_YLD12M))</f>
        <v/>
      </c>
      <c r="J33" s="128">
        <f>IF($B33="",0,SUMPRODUCT(('Dvd Calendar'!$E$1847:$AR$1847&gt;=WIN_FROM)*('Dvd Calendar'!$E$1847:$AR$1847&lt;=REALIZED_TO)*'Dvd Calendar'!$E$1850:$AR$1850*(('Dvd Calendar'!$E$1852:$AR$1852=TYPE1)*(TYPE1&lt;&gt;"")+('Dvd Calendar'!$E$1852:$AR$1852=TYPE2)*(TYPE2&lt;&gt;"")+('Dvd Calendar'!$E$1852:$AR$1852=TYPE3)*(TYPE3&lt;&gt;"")+('Dvd Calendar'!$E$1852:$AR$1852=TYPE4)*(TYPE4&lt;&gt;"")+('Dvd Calendar'!$E$1852:$AR$1852=SPECIAL_LBL)*(INC_SPECIALS="Y"))))</f>
        <v/>
      </c>
      <c r="K33" s="128">
        <f>IF($B33="",0,SUMIFS('Dvd Calendar'!$E$1855:$AR$1855,'Dvd Calendar'!$E$1854:$AR$1854,"&gt;"&amp;PROJ_FROM,'Dvd Calendar'!$E$1854:$AR$1854,"&lt;="&amp;WIN_TO)+SUMPRODUCT(('Dvd Calendar'!$E$1847:$AR$1847&gt;PROJ_FROM)*('Dvd Calendar'!$E$1847:$AR$1847&lt;=WIN_TO)*'Dvd Calendar'!$E$1850:$AR$1850*(('Dvd Calendar'!$E$1852:$AR$1852=TYPE1)*(TYPE1&lt;&gt;"")+('Dvd Calendar'!$E$1852:$AR$1852=TYPE2)*(TYPE2&lt;&gt;"")+('Dvd Calendar'!$E$1852:$AR$1852=TYPE3)*(TYPE3&lt;&gt;"")+('Dvd Calendar'!$E$1852:$AR$1852=TYPE4)*(TYPE4&lt;&gt;"")+('Dvd Calendar'!$E$1852:$AR$1852=SPECIAL_LBL)*(INC_SPECIALS="Y"))*(COUNTIF('Dvd Calendar'!$E$1854:$AR$1854,'Dvd Calendar'!$E$1847:$AR$1847)=0)))</f>
        <v/>
      </c>
      <c r="L33" s="128">
        <f>IF($B33="",0,IF((OV_SWITCH="ON")*(COUNTIFS(OVR_TICKERS,$C33,OVR_BASE,"&gt;=0")&gt;0)&gt;0,SUMIFS(OVR_BASE,OVR_TICKERS,$C33),$K33))</f>
        <v/>
      </c>
      <c r="M33" s="128">
        <f>IF($B33="",0,IF((OV_SWITCH="ON")*(COUNTIFS(OVR_TICKERS,$C33,OVR_LOW,"&gt;=0")&gt;0)&gt;0,SUMIFS(OVR_LOW,OVR_TICKERS,$C33),$L33))</f>
        <v/>
      </c>
      <c r="N33" s="128">
        <f>IF($B33="",0,IF((OV_SWITCH="ON")*(COUNTIFS(OVR_TICKERS,$C33,OVR_HIGH,"&gt;=0")&gt;0)&gt;0,SUMIFS(OVR_HIGH,OVR_TICKERS,$C33),$L33))</f>
        <v/>
      </c>
      <c r="O33" s="133">
        <f>IF($B33="","",IFERROR($B33*$G33*$J33/$B$3,""))</f>
        <v/>
      </c>
      <c r="P33" s="133">
        <f>IF($B33="","",IFERROR($B33*$G33*$L33/$B$3,""))</f>
        <v/>
      </c>
      <c r="Q33" s="124">
        <f>IF($B33="","",IFERROR($O33+$P33,""))</f>
        <v/>
      </c>
      <c r="R33" s="133">
        <f>IF($B33="","",IFERROR($O33+$B33*$G33*$M33/$B$3,""))</f>
        <v/>
      </c>
      <c r="S33" s="133">
        <f>IF($B33="","",IFERROR($O33+$B33*$G33*$N33/$B$3,""))</f>
        <v/>
      </c>
      <c r="T33" s="150">
        <f>IF($B33="","",IFERROR($Q33/$Q$5,""))</f>
        <v/>
      </c>
      <c r="U33" s="2">
        <f>IF($B33="","",IF(COUNTIFS('Dvd Calendar'!$E$1853:$AR$1853,"&gt;0",'Dvd Calendar'!$E$1853:$AR$1853,"&lt;="&amp;VAL_DATE,'Dvd Calendar'!$E$1854:$AR$1854,"&gt;"&amp;PROJ_FROM,'Dvd Calendar'!$E$1854:$AR$1854,"&lt;="&amp;WIN_TO)-COUNTIFS('Dvd Calendar'!$E$1853:$AR$1853,"&gt;0",'Dvd Calendar'!$E$1853:$AR$1853,"&lt;="&amp;VAL_DATE,'Dvd Calendar'!$E$1854:$AR$1854,"&gt;"&amp;PROJ_FROM,'Dvd Calendar'!$E$1854:$AR$1854,"&lt;="&amp;WIN_TO,'Dvd Calendar'!$E$1855:$AR$1855,"&gt;=0")&gt;0,"TBA amount - override me",IF((OV_SWITCH="ON")*(COUNTIFS(OVR_TICKERS,$C33,OVR_BASE,"&gt;=0")&gt;0)&gt;0,"overridden",IF($J33+$K33=0,"no dividend in year Y",""))))</f>
        <v/>
      </c>
      <c r="V33" s="133">
        <f>IF($B33="","",IFERROR(IF(ISNUMBER($H33),$B33*$G33*$H33/$B$3,0),""))</f>
        <v/>
      </c>
      <c r="W33" s="133">
        <f>IF($B33="","",IFERROR($B33*$G33*$K33/$B$3,""))</f>
        <v/>
      </c>
      <c r="X33" s="157">
        <f>IF($C33="","",BDP($C33,"PX_LAST"))</f>
        <v/>
      </c>
      <c r="Y33" s="133">
        <f>IF($B33="","",IFERROR($B33*$X33/$B$3,""))</f>
        <v/>
      </c>
      <c r="Z33" s="137">
        <f>IF($B33="","",IFERROR($Y33/$Y$5,""))</f>
        <v/>
      </c>
    </row>
    <row r="34">
      <c r="B34" s="97" t="n"/>
      <c r="C34" s="8">
        <f>IF($A34="","",$A34&amp;" Equity")</f>
        <v/>
      </c>
      <c r="D34" s="8">
        <f>IF($C34="","",BDP($C34,"NAME"))</f>
        <v/>
      </c>
      <c r="E34" s="8">
        <f>IF($C34="","",BDP($C34,"GICS_SECTOR_NAME"))</f>
        <v/>
      </c>
      <c r="F34" s="37">
        <f>IF($C34="","",BDP($C34,FLD_CCY))</f>
        <v/>
      </c>
      <c r="G34" s="111">
        <f>IFERROR(IF(LEN($F34)&lt;&gt;3,1,IF($F34="HKD",1,BDP(IF($F34="CNY",RMB_CROSS,$F34)&amp;"HKD Curncy","PX_LAST"))),1)</f>
        <v/>
      </c>
      <c r="H34" s="133">
        <f>IF($C34="","",BDP($C34,FLD_DPS12M))</f>
        <v/>
      </c>
      <c r="I34" s="126">
        <f>IF($C34="","",BDP($C34,FLD_YLD12M))</f>
        <v/>
      </c>
      <c r="J34" s="128">
        <f>IF($B34="",0,SUMPRODUCT(('Dvd Calendar'!$E$1858:$AR$1858&gt;=WIN_FROM)*('Dvd Calendar'!$E$1858:$AR$1858&lt;=REALIZED_TO)*'Dvd Calendar'!$E$1861:$AR$1861*(('Dvd Calendar'!$E$1863:$AR$1863=TYPE1)*(TYPE1&lt;&gt;"")+('Dvd Calendar'!$E$1863:$AR$1863=TYPE2)*(TYPE2&lt;&gt;"")+('Dvd Calendar'!$E$1863:$AR$1863=TYPE3)*(TYPE3&lt;&gt;"")+('Dvd Calendar'!$E$1863:$AR$1863=TYPE4)*(TYPE4&lt;&gt;"")+('Dvd Calendar'!$E$1863:$AR$1863=SPECIAL_LBL)*(INC_SPECIALS="Y"))))</f>
        <v/>
      </c>
      <c r="K34" s="128">
        <f>IF($B34="",0,SUMIFS('Dvd Calendar'!$E$1866:$AR$1866,'Dvd Calendar'!$E$1865:$AR$1865,"&gt;"&amp;PROJ_FROM,'Dvd Calendar'!$E$1865:$AR$1865,"&lt;="&amp;WIN_TO)+SUMPRODUCT(('Dvd Calendar'!$E$1858:$AR$1858&gt;PROJ_FROM)*('Dvd Calendar'!$E$1858:$AR$1858&lt;=WIN_TO)*'Dvd Calendar'!$E$1861:$AR$1861*(('Dvd Calendar'!$E$1863:$AR$1863=TYPE1)*(TYPE1&lt;&gt;"")+('Dvd Calendar'!$E$1863:$AR$1863=TYPE2)*(TYPE2&lt;&gt;"")+('Dvd Calendar'!$E$1863:$AR$1863=TYPE3)*(TYPE3&lt;&gt;"")+('Dvd Calendar'!$E$1863:$AR$1863=TYPE4)*(TYPE4&lt;&gt;"")+('Dvd Calendar'!$E$1863:$AR$1863=SPECIAL_LBL)*(INC_SPECIALS="Y"))*(COUNTIF('Dvd Calendar'!$E$1865:$AR$1865,'Dvd Calendar'!$E$1858:$AR$1858)=0)))</f>
        <v/>
      </c>
      <c r="L34" s="128">
        <f>IF($B34="",0,IF((OV_SWITCH="ON")*(COUNTIFS(OVR_TICKERS,$C34,OVR_BASE,"&gt;=0")&gt;0)&gt;0,SUMIFS(OVR_BASE,OVR_TICKERS,$C34),$K34))</f>
        <v/>
      </c>
      <c r="M34" s="128">
        <f>IF($B34="",0,IF((OV_SWITCH="ON")*(COUNTIFS(OVR_TICKERS,$C34,OVR_LOW,"&gt;=0")&gt;0)&gt;0,SUMIFS(OVR_LOW,OVR_TICKERS,$C34),$L34))</f>
        <v/>
      </c>
      <c r="N34" s="128">
        <f>IF($B34="",0,IF((OV_SWITCH="ON")*(COUNTIFS(OVR_TICKERS,$C34,OVR_HIGH,"&gt;=0")&gt;0)&gt;0,SUMIFS(OVR_HIGH,OVR_TICKERS,$C34),$L34))</f>
        <v/>
      </c>
      <c r="O34" s="133">
        <f>IF($B34="","",IFERROR($B34*$G34*$J34/$B$3,""))</f>
        <v/>
      </c>
      <c r="P34" s="133">
        <f>IF($B34="","",IFERROR($B34*$G34*$L34/$B$3,""))</f>
        <v/>
      </c>
      <c r="Q34" s="124">
        <f>IF($B34="","",IFERROR($O34+$P34,""))</f>
        <v/>
      </c>
      <c r="R34" s="133">
        <f>IF($B34="","",IFERROR($O34+$B34*$G34*$M34/$B$3,""))</f>
        <v/>
      </c>
      <c r="S34" s="133">
        <f>IF($B34="","",IFERROR($O34+$B34*$G34*$N34/$B$3,""))</f>
        <v/>
      </c>
      <c r="T34" s="150">
        <f>IF($B34="","",IFERROR($Q34/$Q$5,""))</f>
        <v/>
      </c>
      <c r="U34" s="2">
        <f>IF($B34="","",IF(COUNTIFS('Dvd Calendar'!$E$1864:$AR$1864,"&gt;0",'Dvd Calendar'!$E$1864:$AR$1864,"&lt;="&amp;VAL_DATE,'Dvd Calendar'!$E$1865:$AR$1865,"&gt;"&amp;PROJ_FROM,'Dvd Calendar'!$E$1865:$AR$1865,"&lt;="&amp;WIN_TO)-COUNTIFS('Dvd Calendar'!$E$1864:$AR$1864,"&gt;0",'Dvd Calendar'!$E$1864:$AR$1864,"&lt;="&amp;VAL_DATE,'Dvd Calendar'!$E$1865:$AR$1865,"&gt;"&amp;PROJ_FROM,'Dvd Calendar'!$E$1865:$AR$1865,"&lt;="&amp;WIN_TO,'Dvd Calendar'!$E$1866:$AR$1866,"&gt;=0")&gt;0,"TBA amount - override me",IF((OV_SWITCH="ON")*(COUNTIFS(OVR_TICKERS,$C34,OVR_BASE,"&gt;=0")&gt;0)&gt;0,"overridden",IF($J34+$K34=0,"no dividend in year Y",""))))</f>
        <v/>
      </c>
      <c r="V34" s="133">
        <f>IF($B34="","",IFERROR(IF(ISNUMBER($H34),$B34*$G34*$H34/$B$3,0),""))</f>
        <v/>
      </c>
      <c r="W34" s="133">
        <f>IF($B34="","",IFERROR($B34*$G34*$K34/$B$3,""))</f>
        <v/>
      </c>
      <c r="X34" s="157">
        <f>IF($C34="","",BDP($C34,"PX_LAST"))</f>
        <v/>
      </c>
      <c r="Y34" s="133">
        <f>IF($B34="","",IFERROR($B34*$X34/$B$3,""))</f>
        <v/>
      </c>
      <c r="Z34" s="137">
        <f>IF($B34="","",IFERROR($Y34/$Y$5,""))</f>
        <v/>
      </c>
    </row>
    <row r="35">
      <c r="B35" s="97" t="n"/>
      <c r="C35" s="8">
        <f>IF($A35="","",$A35&amp;" Equity")</f>
        <v/>
      </c>
      <c r="D35" s="8">
        <f>IF($C35="","",BDP($C35,"NAME"))</f>
        <v/>
      </c>
      <c r="E35" s="8">
        <f>IF($C35="","",BDP($C35,"GICS_SECTOR_NAME"))</f>
        <v/>
      </c>
      <c r="F35" s="37">
        <f>IF($C35="","",BDP($C35,FLD_CCY))</f>
        <v/>
      </c>
      <c r="G35" s="111">
        <f>IFERROR(IF(LEN($F35)&lt;&gt;3,1,IF($F35="HKD",1,BDP(IF($F35="CNY",RMB_CROSS,$F35)&amp;"HKD Curncy","PX_LAST"))),1)</f>
        <v/>
      </c>
      <c r="H35" s="133">
        <f>IF($C35="","",BDP($C35,FLD_DPS12M))</f>
        <v/>
      </c>
      <c r="I35" s="126">
        <f>IF($C35="","",BDP($C35,FLD_YLD12M))</f>
        <v/>
      </c>
      <c r="J35" s="128">
        <f>IF($B35="",0,SUMPRODUCT(('Dvd Calendar'!$E$1869:$AR$1869&gt;=WIN_FROM)*('Dvd Calendar'!$E$1869:$AR$1869&lt;=REALIZED_TO)*'Dvd Calendar'!$E$1872:$AR$1872*(('Dvd Calendar'!$E$1874:$AR$1874=TYPE1)*(TYPE1&lt;&gt;"")+('Dvd Calendar'!$E$1874:$AR$1874=TYPE2)*(TYPE2&lt;&gt;"")+('Dvd Calendar'!$E$1874:$AR$1874=TYPE3)*(TYPE3&lt;&gt;"")+('Dvd Calendar'!$E$1874:$AR$1874=TYPE4)*(TYPE4&lt;&gt;"")+('Dvd Calendar'!$E$1874:$AR$1874=SPECIAL_LBL)*(INC_SPECIALS="Y"))))</f>
        <v/>
      </c>
      <c r="K35" s="128">
        <f>IF($B35="",0,SUMIFS('Dvd Calendar'!$E$1877:$AR$1877,'Dvd Calendar'!$E$1876:$AR$1876,"&gt;"&amp;PROJ_FROM,'Dvd Calendar'!$E$1876:$AR$1876,"&lt;="&amp;WIN_TO)+SUMPRODUCT(('Dvd Calendar'!$E$1869:$AR$1869&gt;PROJ_FROM)*('Dvd Calendar'!$E$1869:$AR$1869&lt;=WIN_TO)*'Dvd Calendar'!$E$1872:$AR$1872*(('Dvd Calendar'!$E$1874:$AR$1874=TYPE1)*(TYPE1&lt;&gt;"")+('Dvd Calendar'!$E$1874:$AR$1874=TYPE2)*(TYPE2&lt;&gt;"")+('Dvd Calendar'!$E$1874:$AR$1874=TYPE3)*(TYPE3&lt;&gt;"")+('Dvd Calendar'!$E$1874:$AR$1874=TYPE4)*(TYPE4&lt;&gt;"")+('Dvd Calendar'!$E$1874:$AR$1874=SPECIAL_LBL)*(INC_SPECIALS="Y"))*(COUNTIF('Dvd Calendar'!$E$1876:$AR$1876,'Dvd Calendar'!$E$1869:$AR$1869)=0)))</f>
        <v/>
      </c>
      <c r="L35" s="128">
        <f>IF($B35="",0,IF((OV_SWITCH="ON")*(COUNTIFS(OVR_TICKERS,$C35,OVR_BASE,"&gt;=0")&gt;0)&gt;0,SUMIFS(OVR_BASE,OVR_TICKERS,$C35),$K35))</f>
        <v/>
      </c>
      <c r="M35" s="128">
        <f>IF($B35="",0,IF((OV_SWITCH="ON")*(COUNTIFS(OVR_TICKERS,$C35,OVR_LOW,"&gt;=0")&gt;0)&gt;0,SUMIFS(OVR_LOW,OVR_TICKERS,$C35),$L35))</f>
        <v/>
      </c>
      <c r="N35" s="128">
        <f>IF($B35="",0,IF((OV_SWITCH="ON")*(COUNTIFS(OVR_TICKERS,$C35,OVR_HIGH,"&gt;=0")&gt;0)&gt;0,SUMIFS(OVR_HIGH,OVR_TICKERS,$C35),$L35))</f>
        <v/>
      </c>
      <c r="O35" s="133">
        <f>IF($B35="","",IFERROR($B35*$G35*$J35/$B$3,""))</f>
        <v/>
      </c>
      <c r="P35" s="133">
        <f>IF($B35="","",IFERROR($B35*$G35*$L35/$B$3,""))</f>
        <v/>
      </c>
      <c r="Q35" s="124">
        <f>IF($B35="","",IFERROR($O35+$P35,""))</f>
        <v/>
      </c>
      <c r="R35" s="133">
        <f>IF($B35="","",IFERROR($O35+$B35*$G35*$M35/$B$3,""))</f>
        <v/>
      </c>
      <c r="S35" s="133">
        <f>IF($B35="","",IFERROR($O35+$B35*$G35*$N35/$B$3,""))</f>
        <v/>
      </c>
      <c r="T35" s="150">
        <f>IF($B35="","",IFERROR($Q35/$Q$5,""))</f>
        <v/>
      </c>
      <c r="U35" s="2">
        <f>IF($B35="","",IF(COUNTIFS('Dvd Calendar'!$E$1875:$AR$1875,"&gt;0",'Dvd Calendar'!$E$1875:$AR$1875,"&lt;="&amp;VAL_DATE,'Dvd Calendar'!$E$1876:$AR$1876,"&gt;"&amp;PROJ_FROM,'Dvd Calendar'!$E$1876:$AR$1876,"&lt;="&amp;WIN_TO)-COUNTIFS('Dvd Calendar'!$E$1875:$AR$1875,"&gt;0",'Dvd Calendar'!$E$1875:$AR$1875,"&lt;="&amp;VAL_DATE,'Dvd Calendar'!$E$1876:$AR$1876,"&gt;"&amp;PROJ_FROM,'Dvd Calendar'!$E$1876:$AR$1876,"&lt;="&amp;WIN_TO,'Dvd Calendar'!$E$1877:$AR$1877,"&gt;=0")&gt;0,"TBA amount - override me",IF((OV_SWITCH="ON")*(COUNTIFS(OVR_TICKERS,$C35,OVR_BASE,"&gt;=0")&gt;0)&gt;0,"overridden",IF($J35+$K35=0,"no dividend in year Y",""))))</f>
        <v/>
      </c>
      <c r="V35" s="133">
        <f>IF($B35="","",IFERROR(IF(ISNUMBER($H35),$B35*$G35*$H35/$B$3,0),""))</f>
        <v/>
      </c>
      <c r="W35" s="133">
        <f>IF($B35="","",IFERROR($B35*$G35*$K35/$B$3,""))</f>
        <v/>
      </c>
      <c r="X35" s="157">
        <f>IF($C35="","",BDP($C35,"PX_LAST"))</f>
        <v/>
      </c>
      <c r="Y35" s="133">
        <f>IF($B35="","",IFERROR($B35*$X35/$B$3,""))</f>
        <v/>
      </c>
      <c r="Z35" s="137">
        <f>IF($B35="","",IFERROR($Y35/$Y$5,""))</f>
        <v/>
      </c>
    </row>
    <row r="36">
      <c r="B36" s="97" t="n"/>
      <c r="C36" s="8">
        <f>IF($A36="","",$A36&amp;" Equity")</f>
        <v/>
      </c>
      <c r="D36" s="8">
        <f>IF($C36="","",BDP($C36,"NAME"))</f>
        <v/>
      </c>
      <c r="E36" s="8">
        <f>IF($C36="","",BDP($C36,"GICS_SECTOR_NAME"))</f>
        <v/>
      </c>
      <c r="F36" s="37">
        <f>IF($C36="","",BDP($C36,FLD_CCY))</f>
        <v/>
      </c>
      <c r="G36" s="111">
        <f>IFERROR(IF(LEN($F36)&lt;&gt;3,1,IF($F36="HKD",1,BDP(IF($F36="CNY",RMB_CROSS,$F36)&amp;"HKD Curncy","PX_LAST"))),1)</f>
        <v/>
      </c>
      <c r="H36" s="133">
        <f>IF($C36="","",BDP($C36,FLD_DPS12M))</f>
        <v/>
      </c>
      <c r="I36" s="126">
        <f>IF($C36="","",BDP($C36,FLD_YLD12M))</f>
        <v/>
      </c>
      <c r="J36" s="128">
        <f>IF($B36="",0,SUMPRODUCT(('Dvd Calendar'!$E$1880:$AR$1880&gt;=WIN_FROM)*('Dvd Calendar'!$E$1880:$AR$1880&lt;=REALIZED_TO)*'Dvd Calendar'!$E$1883:$AR$1883*(('Dvd Calendar'!$E$1885:$AR$1885=TYPE1)*(TYPE1&lt;&gt;"")+('Dvd Calendar'!$E$1885:$AR$1885=TYPE2)*(TYPE2&lt;&gt;"")+('Dvd Calendar'!$E$1885:$AR$1885=TYPE3)*(TYPE3&lt;&gt;"")+('Dvd Calendar'!$E$1885:$AR$1885=TYPE4)*(TYPE4&lt;&gt;"")+('Dvd Calendar'!$E$1885:$AR$1885=SPECIAL_LBL)*(INC_SPECIALS="Y"))))</f>
        <v/>
      </c>
      <c r="K36" s="128">
        <f>IF($B36="",0,SUMIFS('Dvd Calendar'!$E$1888:$AR$1888,'Dvd Calendar'!$E$1887:$AR$1887,"&gt;"&amp;PROJ_FROM,'Dvd Calendar'!$E$1887:$AR$1887,"&lt;="&amp;WIN_TO)+SUMPRODUCT(('Dvd Calendar'!$E$1880:$AR$1880&gt;PROJ_FROM)*('Dvd Calendar'!$E$1880:$AR$1880&lt;=WIN_TO)*'Dvd Calendar'!$E$1883:$AR$1883*(('Dvd Calendar'!$E$1885:$AR$1885=TYPE1)*(TYPE1&lt;&gt;"")+('Dvd Calendar'!$E$1885:$AR$1885=TYPE2)*(TYPE2&lt;&gt;"")+('Dvd Calendar'!$E$1885:$AR$1885=TYPE3)*(TYPE3&lt;&gt;"")+('Dvd Calendar'!$E$1885:$AR$1885=TYPE4)*(TYPE4&lt;&gt;"")+('Dvd Calendar'!$E$1885:$AR$1885=SPECIAL_LBL)*(INC_SPECIALS="Y"))*(COUNTIF('Dvd Calendar'!$E$1887:$AR$1887,'Dvd Calendar'!$E$1880:$AR$1880)=0)))</f>
        <v/>
      </c>
      <c r="L36" s="128">
        <f>IF($B36="",0,IF((OV_SWITCH="ON")*(COUNTIFS(OVR_TICKERS,$C36,OVR_BASE,"&gt;=0")&gt;0)&gt;0,SUMIFS(OVR_BASE,OVR_TICKERS,$C36),$K36))</f>
        <v/>
      </c>
      <c r="M36" s="128">
        <f>IF($B36="",0,IF((OV_SWITCH="ON")*(COUNTIFS(OVR_TICKERS,$C36,OVR_LOW,"&gt;=0")&gt;0)&gt;0,SUMIFS(OVR_LOW,OVR_TICKERS,$C36),$L36))</f>
        <v/>
      </c>
      <c r="N36" s="128">
        <f>IF($B36="",0,IF((OV_SWITCH="ON")*(COUNTIFS(OVR_TICKERS,$C36,OVR_HIGH,"&gt;=0")&gt;0)&gt;0,SUMIFS(OVR_HIGH,OVR_TICKERS,$C36),$L36))</f>
        <v/>
      </c>
      <c r="O36" s="133">
        <f>IF($B36="","",IFERROR($B36*$G36*$J36/$B$3,""))</f>
        <v/>
      </c>
      <c r="P36" s="133">
        <f>IF($B36="","",IFERROR($B36*$G36*$L36/$B$3,""))</f>
        <v/>
      </c>
      <c r="Q36" s="124">
        <f>IF($B36="","",IFERROR($O36+$P36,""))</f>
        <v/>
      </c>
      <c r="R36" s="133">
        <f>IF($B36="","",IFERROR($O36+$B36*$G36*$M36/$B$3,""))</f>
        <v/>
      </c>
      <c r="S36" s="133">
        <f>IF($B36="","",IFERROR($O36+$B36*$G36*$N36/$B$3,""))</f>
        <v/>
      </c>
      <c r="T36" s="150">
        <f>IF($B36="","",IFERROR($Q36/$Q$5,""))</f>
        <v/>
      </c>
      <c r="U36" s="2">
        <f>IF($B36="","",IF(COUNTIFS('Dvd Calendar'!$E$1886:$AR$1886,"&gt;0",'Dvd Calendar'!$E$1886:$AR$1886,"&lt;="&amp;VAL_DATE,'Dvd Calendar'!$E$1887:$AR$1887,"&gt;"&amp;PROJ_FROM,'Dvd Calendar'!$E$1887:$AR$1887,"&lt;="&amp;WIN_TO)-COUNTIFS('Dvd Calendar'!$E$1886:$AR$1886,"&gt;0",'Dvd Calendar'!$E$1886:$AR$1886,"&lt;="&amp;VAL_DATE,'Dvd Calendar'!$E$1887:$AR$1887,"&gt;"&amp;PROJ_FROM,'Dvd Calendar'!$E$1887:$AR$1887,"&lt;="&amp;WIN_TO,'Dvd Calendar'!$E$1888:$AR$1888,"&gt;=0")&gt;0,"TBA amount - override me",IF((OV_SWITCH="ON")*(COUNTIFS(OVR_TICKERS,$C36,OVR_BASE,"&gt;=0")&gt;0)&gt;0,"overridden",IF($J36+$K36=0,"no dividend in year Y",""))))</f>
        <v/>
      </c>
      <c r="V36" s="133">
        <f>IF($B36="","",IFERROR(IF(ISNUMBER($H36),$B36*$G36*$H36/$B$3,0),""))</f>
        <v/>
      </c>
      <c r="W36" s="133">
        <f>IF($B36="","",IFERROR($B36*$G36*$K36/$B$3,""))</f>
        <v/>
      </c>
      <c r="X36" s="157">
        <f>IF($C36="","",BDP($C36,"PX_LAST"))</f>
        <v/>
      </c>
      <c r="Y36" s="133">
        <f>IF($B36="","",IFERROR($B36*$X36/$B$3,""))</f>
        <v/>
      </c>
      <c r="Z36" s="137">
        <f>IF($B36="","",IFERROR($Y36/$Y$5,""))</f>
        <v/>
      </c>
    </row>
    <row r="37">
      <c r="B37" s="97" t="n"/>
      <c r="C37" s="8">
        <f>IF($A37="","",$A37&amp;" Equity")</f>
        <v/>
      </c>
      <c r="D37" s="8">
        <f>IF($C37="","",BDP($C37,"NAME"))</f>
        <v/>
      </c>
      <c r="E37" s="8">
        <f>IF($C37="","",BDP($C37,"GICS_SECTOR_NAME"))</f>
        <v/>
      </c>
      <c r="F37" s="37">
        <f>IF($C37="","",BDP($C37,FLD_CCY))</f>
        <v/>
      </c>
      <c r="G37" s="111">
        <f>IFERROR(IF(LEN($F37)&lt;&gt;3,1,IF($F37="HKD",1,BDP(IF($F37="CNY",RMB_CROSS,$F37)&amp;"HKD Curncy","PX_LAST"))),1)</f>
        <v/>
      </c>
      <c r="H37" s="133">
        <f>IF($C37="","",BDP($C37,FLD_DPS12M))</f>
        <v/>
      </c>
      <c r="I37" s="126">
        <f>IF($C37="","",BDP($C37,FLD_YLD12M))</f>
        <v/>
      </c>
      <c r="J37" s="128">
        <f>IF($B37="",0,SUMPRODUCT(('Dvd Calendar'!$E$1891:$AR$1891&gt;=WIN_FROM)*('Dvd Calendar'!$E$1891:$AR$1891&lt;=REALIZED_TO)*'Dvd Calendar'!$E$1894:$AR$1894*(('Dvd Calendar'!$E$1896:$AR$1896=TYPE1)*(TYPE1&lt;&gt;"")+('Dvd Calendar'!$E$1896:$AR$1896=TYPE2)*(TYPE2&lt;&gt;"")+('Dvd Calendar'!$E$1896:$AR$1896=TYPE3)*(TYPE3&lt;&gt;"")+('Dvd Calendar'!$E$1896:$AR$1896=TYPE4)*(TYPE4&lt;&gt;"")+('Dvd Calendar'!$E$1896:$AR$1896=SPECIAL_LBL)*(INC_SPECIALS="Y"))))</f>
        <v/>
      </c>
      <c r="K37" s="128">
        <f>IF($B37="",0,SUMIFS('Dvd Calendar'!$E$1899:$AR$1899,'Dvd Calendar'!$E$1898:$AR$1898,"&gt;"&amp;PROJ_FROM,'Dvd Calendar'!$E$1898:$AR$1898,"&lt;="&amp;WIN_TO)+SUMPRODUCT(('Dvd Calendar'!$E$1891:$AR$1891&gt;PROJ_FROM)*('Dvd Calendar'!$E$1891:$AR$1891&lt;=WIN_TO)*'Dvd Calendar'!$E$1894:$AR$1894*(('Dvd Calendar'!$E$1896:$AR$1896=TYPE1)*(TYPE1&lt;&gt;"")+('Dvd Calendar'!$E$1896:$AR$1896=TYPE2)*(TYPE2&lt;&gt;"")+('Dvd Calendar'!$E$1896:$AR$1896=TYPE3)*(TYPE3&lt;&gt;"")+('Dvd Calendar'!$E$1896:$AR$1896=TYPE4)*(TYPE4&lt;&gt;"")+('Dvd Calendar'!$E$1896:$AR$1896=SPECIAL_LBL)*(INC_SPECIALS="Y"))*(COUNTIF('Dvd Calendar'!$E$1898:$AR$1898,'Dvd Calendar'!$E$1891:$AR$1891)=0)))</f>
        <v/>
      </c>
      <c r="L37" s="128">
        <f>IF($B37="",0,IF((OV_SWITCH="ON")*(COUNTIFS(OVR_TICKERS,$C37,OVR_BASE,"&gt;=0")&gt;0)&gt;0,SUMIFS(OVR_BASE,OVR_TICKERS,$C37),$K37))</f>
        <v/>
      </c>
      <c r="M37" s="128">
        <f>IF($B37="",0,IF((OV_SWITCH="ON")*(COUNTIFS(OVR_TICKERS,$C37,OVR_LOW,"&gt;=0")&gt;0)&gt;0,SUMIFS(OVR_LOW,OVR_TICKERS,$C37),$L37))</f>
        <v/>
      </c>
      <c r="N37" s="128">
        <f>IF($B37="",0,IF((OV_SWITCH="ON")*(COUNTIFS(OVR_TICKERS,$C37,OVR_HIGH,"&gt;=0")&gt;0)&gt;0,SUMIFS(OVR_HIGH,OVR_TICKERS,$C37),$L37))</f>
        <v/>
      </c>
      <c r="O37" s="133">
        <f>IF($B37="","",IFERROR($B37*$G37*$J37/$B$3,""))</f>
        <v/>
      </c>
      <c r="P37" s="133">
        <f>IF($B37="","",IFERROR($B37*$G37*$L37/$B$3,""))</f>
        <v/>
      </c>
      <c r="Q37" s="124">
        <f>IF($B37="","",IFERROR($O37+$P37,""))</f>
        <v/>
      </c>
      <c r="R37" s="133">
        <f>IF($B37="","",IFERROR($O37+$B37*$G37*$M37/$B$3,""))</f>
        <v/>
      </c>
      <c r="S37" s="133">
        <f>IF($B37="","",IFERROR($O37+$B37*$G37*$N37/$B$3,""))</f>
        <v/>
      </c>
      <c r="T37" s="150">
        <f>IF($B37="","",IFERROR($Q37/$Q$5,""))</f>
        <v/>
      </c>
      <c r="U37" s="2">
        <f>IF($B37="","",IF(COUNTIFS('Dvd Calendar'!$E$1897:$AR$1897,"&gt;0",'Dvd Calendar'!$E$1897:$AR$1897,"&lt;="&amp;VAL_DATE,'Dvd Calendar'!$E$1898:$AR$1898,"&gt;"&amp;PROJ_FROM,'Dvd Calendar'!$E$1898:$AR$1898,"&lt;="&amp;WIN_TO)-COUNTIFS('Dvd Calendar'!$E$1897:$AR$1897,"&gt;0",'Dvd Calendar'!$E$1897:$AR$1897,"&lt;="&amp;VAL_DATE,'Dvd Calendar'!$E$1898:$AR$1898,"&gt;"&amp;PROJ_FROM,'Dvd Calendar'!$E$1898:$AR$1898,"&lt;="&amp;WIN_TO,'Dvd Calendar'!$E$1899:$AR$1899,"&gt;=0")&gt;0,"TBA amount - override me",IF((OV_SWITCH="ON")*(COUNTIFS(OVR_TICKERS,$C37,OVR_BASE,"&gt;=0")&gt;0)&gt;0,"overridden",IF($J37+$K37=0,"no dividend in year Y",""))))</f>
        <v/>
      </c>
      <c r="V37" s="133">
        <f>IF($B37="","",IFERROR(IF(ISNUMBER($H37),$B37*$G37*$H37/$B$3,0),""))</f>
        <v/>
      </c>
      <c r="W37" s="133">
        <f>IF($B37="","",IFERROR($B37*$G37*$K37/$B$3,""))</f>
        <v/>
      </c>
      <c r="X37" s="157">
        <f>IF($C37="","",BDP($C37,"PX_LAST"))</f>
        <v/>
      </c>
      <c r="Y37" s="133">
        <f>IF($B37="","",IFERROR($B37*$X37/$B$3,""))</f>
        <v/>
      </c>
      <c r="Z37" s="137">
        <f>IF($B37="","",IFERROR($Y37/$Y$5,""))</f>
        <v/>
      </c>
    </row>
    <row r="38">
      <c r="B38" s="97" t="n"/>
      <c r="C38" s="8">
        <f>IF($A38="","",$A38&amp;" Equity")</f>
        <v/>
      </c>
      <c r="D38" s="8">
        <f>IF($C38="","",BDP($C38,"NAME"))</f>
        <v/>
      </c>
      <c r="E38" s="8">
        <f>IF($C38="","",BDP($C38,"GICS_SECTOR_NAME"))</f>
        <v/>
      </c>
      <c r="F38" s="37">
        <f>IF($C38="","",BDP($C38,FLD_CCY))</f>
        <v/>
      </c>
      <c r="G38" s="111">
        <f>IFERROR(IF(LEN($F38)&lt;&gt;3,1,IF($F38="HKD",1,BDP(IF($F38="CNY",RMB_CROSS,$F38)&amp;"HKD Curncy","PX_LAST"))),1)</f>
        <v/>
      </c>
      <c r="H38" s="133">
        <f>IF($C38="","",BDP($C38,FLD_DPS12M))</f>
        <v/>
      </c>
      <c r="I38" s="126">
        <f>IF($C38="","",BDP($C38,FLD_YLD12M))</f>
        <v/>
      </c>
      <c r="J38" s="128">
        <f>IF($B38="",0,SUMPRODUCT(('Dvd Calendar'!$E$1902:$AR$1902&gt;=WIN_FROM)*('Dvd Calendar'!$E$1902:$AR$1902&lt;=REALIZED_TO)*'Dvd Calendar'!$E$1905:$AR$1905*(('Dvd Calendar'!$E$1907:$AR$1907=TYPE1)*(TYPE1&lt;&gt;"")+('Dvd Calendar'!$E$1907:$AR$1907=TYPE2)*(TYPE2&lt;&gt;"")+('Dvd Calendar'!$E$1907:$AR$1907=TYPE3)*(TYPE3&lt;&gt;"")+('Dvd Calendar'!$E$1907:$AR$1907=TYPE4)*(TYPE4&lt;&gt;"")+('Dvd Calendar'!$E$1907:$AR$1907=SPECIAL_LBL)*(INC_SPECIALS="Y"))))</f>
        <v/>
      </c>
      <c r="K38" s="128">
        <f>IF($B38="",0,SUMIFS('Dvd Calendar'!$E$1910:$AR$1910,'Dvd Calendar'!$E$1909:$AR$1909,"&gt;"&amp;PROJ_FROM,'Dvd Calendar'!$E$1909:$AR$1909,"&lt;="&amp;WIN_TO)+SUMPRODUCT(('Dvd Calendar'!$E$1902:$AR$1902&gt;PROJ_FROM)*('Dvd Calendar'!$E$1902:$AR$1902&lt;=WIN_TO)*'Dvd Calendar'!$E$1905:$AR$1905*(('Dvd Calendar'!$E$1907:$AR$1907=TYPE1)*(TYPE1&lt;&gt;"")+('Dvd Calendar'!$E$1907:$AR$1907=TYPE2)*(TYPE2&lt;&gt;"")+('Dvd Calendar'!$E$1907:$AR$1907=TYPE3)*(TYPE3&lt;&gt;"")+('Dvd Calendar'!$E$1907:$AR$1907=TYPE4)*(TYPE4&lt;&gt;"")+('Dvd Calendar'!$E$1907:$AR$1907=SPECIAL_LBL)*(INC_SPECIALS="Y"))*(COUNTIF('Dvd Calendar'!$E$1909:$AR$1909,'Dvd Calendar'!$E$1902:$AR$1902)=0)))</f>
        <v/>
      </c>
      <c r="L38" s="128">
        <f>IF($B38="",0,IF((OV_SWITCH="ON")*(COUNTIFS(OVR_TICKERS,$C38,OVR_BASE,"&gt;=0")&gt;0)&gt;0,SUMIFS(OVR_BASE,OVR_TICKERS,$C38),$K38))</f>
        <v/>
      </c>
      <c r="M38" s="128">
        <f>IF($B38="",0,IF((OV_SWITCH="ON")*(COUNTIFS(OVR_TICKERS,$C38,OVR_LOW,"&gt;=0")&gt;0)&gt;0,SUMIFS(OVR_LOW,OVR_TICKERS,$C38),$L38))</f>
        <v/>
      </c>
      <c r="N38" s="128">
        <f>IF($B38="",0,IF((OV_SWITCH="ON")*(COUNTIFS(OVR_TICKERS,$C38,OVR_HIGH,"&gt;=0")&gt;0)&gt;0,SUMIFS(OVR_HIGH,OVR_TICKERS,$C38),$L38))</f>
        <v/>
      </c>
      <c r="O38" s="133">
        <f>IF($B38="","",IFERROR($B38*$G38*$J38/$B$3,""))</f>
        <v/>
      </c>
      <c r="P38" s="133">
        <f>IF($B38="","",IFERROR($B38*$G38*$L38/$B$3,""))</f>
        <v/>
      </c>
      <c r="Q38" s="124">
        <f>IF($B38="","",IFERROR($O38+$P38,""))</f>
        <v/>
      </c>
      <c r="R38" s="133">
        <f>IF($B38="","",IFERROR($O38+$B38*$G38*$M38/$B$3,""))</f>
        <v/>
      </c>
      <c r="S38" s="133">
        <f>IF($B38="","",IFERROR($O38+$B38*$G38*$N38/$B$3,""))</f>
        <v/>
      </c>
      <c r="T38" s="150">
        <f>IF($B38="","",IFERROR($Q38/$Q$5,""))</f>
        <v/>
      </c>
      <c r="U38" s="2">
        <f>IF($B38="","",IF(COUNTIFS('Dvd Calendar'!$E$1908:$AR$1908,"&gt;0",'Dvd Calendar'!$E$1908:$AR$1908,"&lt;="&amp;VAL_DATE,'Dvd Calendar'!$E$1909:$AR$1909,"&gt;"&amp;PROJ_FROM,'Dvd Calendar'!$E$1909:$AR$1909,"&lt;="&amp;WIN_TO)-COUNTIFS('Dvd Calendar'!$E$1908:$AR$1908,"&gt;0",'Dvd Calendar'!$E$1908:$AR$1908,"&lt;="&amp;VAL_DATE,'Dvd Calendar'!$E$1909:$AR$1909,"&gt;"&amp;PROJ_FROM,'Dvd Calendar'!$E$1909:$AR$1909,"&lt;="&amp;WIN_TO,'Dvd Calendar'!$E$1910:$AR$1910,"&gt;=0")&gt;0,"TBA amount - override me",IF((OV_SWITCH="ON")*(COUNTIFS(OVR_TICKERS,$C38,OVR_BASE,"&gt;=0")&gt;0)&gt;0,"overridden",IF($J38+$K38=0,"no dividend in year Y",""))))</f>
        <v/>
      </c>
      <c r="V38" s="133">
        <f>IF($B38="","",IFERROR(IF(ISNUMBER($H38),$B38*$G38*$H38/$B$3,0),""))</f>
        <v/>
      </c>
      <c r="W38" s="133">
        <f>IF($B38="","",IFERROR($B38*$G38*$K38/$B$3,""))</f>
        <v/>
      </c>
      <c r="X38" s="157">
        <f>IF($C38="","",BDP($C38,"PX_LAST"))</f>
        <v/>
      </c>
      <c r="Y38" s="133">
        <f>IF($B38="","",IFERROR($B38*$X38/$B$3,""))</f>
        <v/>
      </c>
      <c r="Z38" s="137">
        <f>IF($B38="","",IFERROR($Y38/$Y$5,""))</f>
        <v/>
      </c>
    </row>
    <row r="39">
      <c r="B39" s="97" t="n"/>
      <c r="C39" s="8">
        <f>IF($A39="","",$A39&amp;" Equity")</f>
        <v/>
      </c>
      <c r="D39" s="8">
        <f>IF($C39="","",BDP($C39,"NAME"))</f>
        <v/>
      </c>
      <c r="E39" s="8">
        <f>IF($C39="","",BDP($C39,"GICS_SECTOR_NAME"))</f>
        <v/>
      </c>
      <c r="F39" s="37">
        <f>IF($C39="","",BDP($C39,FLD_CCY))</f>
        <v/>
      </c>
      <c r="G39" s="111">
        <f>IFERROR(IF(LEN($F39)&lt;&gt;3,1,IF($F39="HKD",1,BDP(IF($F39="CNY",RMB_CROSS,$F39)&amp;"HKD Curncy","PX_LAST"))),1)</f>
        <v/>
      </c>
      <c r="H39" s="133">
        <f>IF($C39="","",BDP($C39,FLD_DPS12M))</f>
        <v/>
      </c>
      <c r="I39" s="126">
        <f>IF($C39="","",BDP($C39,FLD_YLD12M))</f>
        <v/>
      </c>
      <c r="J39" s="128">
        <f>IF($B39="",0,SUMPRODUCT(('Dvd Calendar'!$E$1913:$AR$1913&gt;=WIN_FROM)*('Dvd Calendar'!$E$1913:$AR$1913&lt;=REALIZED_TO)*'Dvd Calendar'!$E$1916:$AR$1916*(('Dvd Calendar'!$E$1918:$AR$1918=TYPE1)*(TYPE1&lt;&gt;"")+('Dvd Calendar'!$E$1918:$AR$1918=TYPE2)*(TYPE2&lt;&gt;"")+('Dvd Calendar'!$E$1918:$AR$1918=TYPE3)*(TYPE3&lt;&gt;"")+('Dvd Calendar'!$E$1918:$AR$1918=TYPE4)*(TYPE4&lt;&gt;"")+('Dvd Calendar'!$E$1918:$AR$1918=SPECIAL_LBL)*(INC_SPECIALS="Y"))))</f>
        <v/>
      </c>
      <c r="K39" s="128">
        <f>IF($B39="",0,SUMIFS('Dvd Calendar'!$E$1921:$AR$1921,'Dvd Calendar'!$E$1920:$AR$1920,"&gt;"&amp;PROJ_FROM,'Dvd Calendar'!$E$1920:$AR$1920,"&lt;="&amp;WIN_TO)+SUMPRODUCT(('Dvd Calendar'!$E$1913:$AR$1913&gt;PROJ_FROM)*('Dvd Calendar'!$E$1913:$AR$1913&lt;=WIN_TO)*'Dvd Calendar'!$E$1916:$AR$1916*(('Dvd Calendar'!$E$1918:$AR$1918=TYPE1)*(TYPE1&lt;&gt;"")+('Dvd Calendar'!$E$1918:$AR$1918=TYPE2)*(TYPE2&lt;&gt;"")+('Dvd Calendar'!$E$1918:$AR$1918=TYPE3)*(TYPE3&lt;&gt;"")+('Dvd Calendar'!$E$1918:$AR$1918=TYPE4)*(TYPE4&lt;&gt;"")+('Dvd Calendar'!$E$1918:$AR$1918=SPECIAL_LBL)*(INC_SPECIALS="Y"))*(COUNTIF('Dvd Calendar'!$E$1920:$AR$1920,'Dvd Calendar'!$E$1913:$AR$1913)=0)))</f>
        <v/>
      </c>
      <c r="L39" s="128">
        <f>IF($B39="",0,IF((OV_SWITCH="ON")*(COUNTIFS(OVR_TICKERS,$C39,OVR_BASE,"&gt;=0")&gt;0)&gt;0,SUMIFS(OVR_BASE,OVR_TICKERS,$C39),$K39))</f>
        <v/>
      </c>
      <c r="M39" s="128">
        <f>IF($B39="",0,IF((OV_SWITCH="ON")*(COUNTIFS(OVR_TICKERS,$C39,OVR_LOW,"&gt;=0")&gt;0)&gt;0,SUMIFS(OVR_LOW,OVR_TICKERS,$C39),$L39))</f>
        <v/>
      </c>
      <c r="N39" s="128">
        <f>IF($B39="",0,IF((OV_SWITCH="ON")*(COUNTIFS(OVR_TICKERS,$C39,OVR_HIGH,"&gt;=0")&gt;0)&gt;0,SUMIFS(OVR_HIGH,OVR_TICKERS,$C39),$L39))</f>
        <v/>
      </c>
      <c r="O39" s="133">
        <f>IF($B39="","",IFERROR($B39*$G39*$J39/$B$3,""))</f>
        <v/>
      </c>
      <c r="P39" s="133">
        <f>IF($B39="","",IFERROR($B39*$G39*$L39/$B$3,""))</f>
        <v/>
      </c>
      <c r="Q39" s="124">
        <f>IF($B39="","",IFERROR($O39+$P39,""))</f>
        <v/>
      </c>
      <c r="R39" s="133">
        <f>IF($B39="","",IFERROR($O39+$B39*$G39*$M39/$B$3,""))</f>
        <v/>
      </c>
      <c r="S39" s="133">
        <f>IF($B39="","",IFERROR($O39+$B39*$G39*$N39/$B$3,""))</f>
        <v/>
      </c>
      <c r="T39" s="150">
        <f>IF($B39="","",IFERROR($Q39/$Q$5,""))</f>
        <v/>
      </c>
      <c r="U39" s="2">
        <f>IF($B39="","",IF(COUNTIFS('Dvd Calendar'!$E$1919:$AR$1919,"&gt;0",'Dvd Calendar'!$E$1919:$AR$1919,"&lt;="&amp;VAL_DATE,'Dvd Calendar'!$E$1920:$AR$1920,"&gt;"&amp;PROJ_FROM,'Dvd Calendar'!$E$1920:$AR$1920,"&lt;="&amp;WIN_TO)-COUNTIFS('Dvd Calendar'!$E$1919:$AR$1919,"&gt;0",'Dvd Calendar'!$E$1919:$AR$1919,"&lt;="&amp;VAL_DATE,'Dvd Calendar'!$E$1920:$AR$1920,"&gt;"&amp;PROJ_FROM,'Dvd Calendar'!$E$1920:$AR$1920,"&lt;="&amp;WIN_TO,'Dvd Calendar'!$E$1921:$AR$1921,"&gt;=0")&gt;0,"TBA amount - override me",IF((OV_SWITCH="ON")*(COUNTIFS(OVR_TICKERS,$C39,OVR_BASE,"&gt;=0")&gt;0)&gt;0,"overridden",IF($J39+$K39=0,"no dividend in year Y",""))))</f>
        <v/>
      </c>
      <c r="V39" s="133">
        <f>IF($B39="","",IFERROR(IF(ISNUMBER($H39),$B39*$G39*$H39/$B$3,0),""))</f>
        <v/>
      </c>
      <c r="W39" s="133">
        <f>IF($B39="","",IFERROR($B39*$G39*$K39/$B$3,""))</f>
        <v/>
      </c>
      <c r="X39" s="157">
        <f>IF($C39="","",BDP($C39,"PX_LAST"))</f>
        <v/>
      </c>
      <c r="Y39" s="133">
        <f>IF($B39="","",IFERROR($B39*$X39/$B$3,""))</f>
        <v/>
      </c>
      <c r="Z39" s="137">
        <f>IF($B39="","",IFERROR($Y39/$Y$5,""))</f>
        <v/>
      </c>
    </row>
    <row r="40">
      <c r="B40" s="97" t="n"/>
      <c r="C40" s="8">
        <f>IF($A40="","",$A40&amp;" Equity")</f>
        <v/>
      </c>
      <c r="D40" s="8">
        <f>IF($C40="","",BDP($C40,"NAME"))</f>
        <v/>
      </c>
      <c r="E40" s="8">
        <f>IF($C40="","",BDP($C40,"GICS_SECTOR_NAME"))</f>
        <v/>
      </c>
      <c r="F40" s="37">
        <f>IF($C40="","",BDP($C40,FLD_CCY))</f>
        <v/>
      </c>
      <c r="G40" s="111">
        <f>IFERROR(IF(LEN($F40)&lt;&gt;3,1,IF($F40="HKD",1,BDP(IF($F40="CNY",RMB_CROSS,$F40)&amp;"HKD Curncy","PX_LAST"))),1)</f>
        <v/>
      </c>
      <c r="H40" s="133">
        <f>IF($C40="","",BDP($C40,FLD_DPS12M))</f>
        <v/>
      </c>
      <c r="I40" s="126">
        <f>IF($C40="","",BDP($C40,FLD_YLD12M))</f>
        <v/>
      </c>
      <c r="J40" s="128">
        <f>IF($B40="",0,SUMPRODUCT(('Dvd Calendar'!$E$1924:$AR$1924&gt;=WIN_FROM)*('Dvd Calendar'!$E$1924:$AR$1924&lt;=REALIZED_TO)*'Dvd Calendar'!$E$1927:$AR$1927*(('Dvd Calendar'!$E$1929:$AR$1929=TYPE1)*(TYPE1&lt;&gt;"")+('Dvd Calendar'!$E$1929:$AR$1929=TYPE2)*(TYPE2&lt;&gt;"")+('Dvd Calendar'!$E$1929:$AR$1929=TYPE3)*(TYPE3&lt;&gt;"")+('Dvd Calendar'!$E$1929:$AR$1929=TYPE4)*(TYPE4&lt;&gt;"")+('Dvd Calendar'!$E$1929:$AR$1929=SPECIAL_LBL)*(INC_SPECIALS="Y"))))</f>
        <v/>
      </c>
      <c r="K40" s="128">
        <f>IF($B40="",0,SUMIFS('Dvd Calendar'!$E$1932:$AR$1932,'Dvd Calendar'!$E$1931:$AR$1931,"&gt;"&amp;PROJ_FROM,'Dvd Calendar'!$E$1931:$AR$1931,"&lt;="&amp;WIN_TO)+SUMPRODUCT(('Dvd Calendar'!$E$1924:$AR$1924&gt;PROJ_FROM)*('Dvd Calendar'!$E$1924:$AR$1924&lt;=WIN_TO)*'Dvd Calendar'!$E$1927:$AR$1927*(('Dvd Calendar'!$E$1929:$AR$1929=TYPE1)*(TYPE1&lt;&gt;"")+('Dvd Calendar'!$E$1929:$AR$1929=TYPE2)*(TYPE2&lt;&gt;"")+('Dvd Calendar'!$E$1929:$AR$1929=TYPE3)*(TYPE3&lt;&gt;"")+('Dvd Calendar'!$E$1929:$AR$1929=TYPE4)*(TYPE4&lt;&gt;"")+('Dvd Calendar'!$E$1929:$AR$1929=SPECIAL_LBL)*(INC_SPECIALS="Y"))*(COUNTIF('Dvd Calendar'!$E$1931:$AR$1931,'Dvd Calendar'!$E$1924:$AR$1924)=0)))</f>
        <v/>
      </c>
      <c r="L40" s="128">
        <f>IF($B40="",0,IF((OV_SWITCH="ON")*(COUNTIFS(OVR_TICKERS,$C40,OVR_BASE,"&gt;=0")&gt;0)&gt;0,SUMIFS(OVR_BASE,OVR_TICKERS,$C40),$K40))</f>
        <v/>
      </c>
      <c r="M40" s="128">
        <f>IF($B40="",0,IF((OV_SWITCH="ON")*(COUNTIFS(OVR_TICKERS,$C40,OVR_LOW,"&gt;=0")&gt;0)&gt;0,SUMIFS(OVR_LOW,OVR_TICKERS,$C40),$L40))</f>
        <v/>
      </c>
      <c r="N40" s="128">
        <f>IF($B40="",0,IF((OV_SWITCH="ON")*(COUNTIFS(OVR_TICKERS,$C40,OVR_HIGH,"&gt;=0")&gt;0)&gt;0,SUMIFS(OVR_HIGH,OVR_TICKERS,$C40),$L40))</f>
        <v/>
      </c>
      <c r="O40" s="133">
        <f>IF($B40="","",IFERROR($B40*$G40*$J40/$B$3,""))</f>
        <v/>
      </c>
      <c r="P40" s="133">
        <f>IF($B40="","",IFERROR($B40*$G40*$L40/$B$3,""))</f>
        <v/>
      </c>
      <c r="Q40" s="124">
        <f>IF($B40="","",IFERROR($O40+$P40,""))</f>
        <v/>
      </c>
      <c r="R40" s="133">
        <f>IF($B40="","",IFERROR($O40+$B40*$G40*$M40/$B$3,""))</f>
        <v/>
      </c>
      <c r="S40" s="133">
        <f>IF($B40="","",IFERROR($O40+$B40*$G40*$N40/$B$3,""))</f>
        <v/>
      </c>
      <c r="T40" s="150">
        <f>IF($B40="","",IFERROR($Q40/$Q$5,""))</f>
        <v/>
      </c>
      <c r="U40" s="2">
        <f>IF($B40="","",IF(COUNTIFS('Dvd Calendar'!$E$1930:$AR$1930,"&gt;0",'Dvd Calendar'!$E$1930:$AR$1930,"&lt;="&amp;VAL_DATE,'Dvd Calendar'!$E$1931:$AR$1931,"&gt;"&amp;PROJ_FROM,'Dvd Calendar'!$E$1931:$AR$1931,"&lt;="&amp;WIN_TO)-COUNTIFS('Dvd Calendar'!$E$1930:$AR$1930,"&gt;0",'Dvd Calendar'!$E$1930:$AR$1930,"&lt;="&amp;VAL_DATE,'Dvd Calendar'!$E$1931:$AR$1931,"&gt;"&amp;PROJ_FROM,'Dvd Calendar'!$E$1931:$AR$1931,"&lt;="&amp;WIN_TO,'Dvd Calendar'!$E$1932:$AR$1932,"&gt;=0")&gt;0,"TBA amount - override me",IF((OV_SWITCH="ON")*(COUNTIFS(OVR_TICKERS,$C40,OVR_BASE,"&gt;=0")&gt;0)&gt;0,"overridden",IF($J40+$K40=0,"no dividend in year Y",""))))</f>
        <v/>
      </c>
      <c r="V40" s="133">
        <f>IF($B40="","",IFERROR(IF(ISNUMBER($H40),$B40*$G40*$H40/$B$3,0),""))</f>
        <v/>
      </c>
      <c r="W40" s="133">
        <f>IF($B40="","",IFERROR($B40*$G40*$K40/$B$3,""))</f>
        <v/>
      </c>
      <c r="X40" s="157">
        <f>IF($C40="","",BDP($C40,"PX_LAST"))</f>
        <v/>
      </c>
      <c r="Y40" s="133">
        <f>IF($B40="","",IFERROR($B40*$X40/$B$3,""))</f>
        <v/>
      </c>
      <c r="Z40" s="137">
        <f>IF($B40="","",IFERROR($Y40/$Y$5,""))</f>
        <v/>
      </c>
    </row>
    <row r="41">
      <c r="B41" s="97" t="n"/>
      <c r="C41" s="8">
        <f>IF($A41="","",$A41&amp;" Equity")</f>
        <v/>
      </c>
      <c r="D41" s="8">
        <f>IF($C41="","",BDP($C41,"NAME"))</f>
        <v/>
      </c>
      <c r="E41" s="8">
        <f>IF($C41="","",BDP($C41,"GICS_SECTOR_NAME"))</f>
        <v/>
      </c>
      <c r="F41" s="37">
        <f>IF($C41="","",BDP($C41,FLD_CCY))</f>
        <v/>
      </c>
      <c r="G41" s="111">
        <f>IFERROR(IF(LEN($F41)&lt;&gt;3,1,IF($F41="HKD",1,BDP(IF($F41="CNY",RMB_CROSS,$F41)&amp;"HKD Curncy","PX_LAST"))),1)</f>
        <v/>
      </c>
      <c r="H41" s="133">
        <f>IF($C41="","",BDP($C41,FLD_DPS12M))</f>
        <v/>
      </c>
      <c r="I41" s="126">
        <f>IF($C41="","",BDP($C41,FLD_YLD12M))</f>
        <v/>
      </c>
      <c r="J41" s="128">
        <f>IF($B41="",0,SUMPRODUCT(('Dvd Calendar'!$E$1935:$AR$1935&gt;=WIN_FROM)*('Dvd Calendar'!$E$1935:$AR$1935&lt;=REALIZED_TO)*'Dvd Calendar'!$E$1938:$AR$1938*(('Dvd Calendar'!$E$1940:$AR$1940=TYPE1)*(TYPE1&lt;&gt;"")+('Dvd Calendar'!$E$1940:$AR$1940=TYPE2)*(TYPE2&lt;&gt;"")+('Dvd Calendar'!$E$1940:$AR$1940=TYPE3)*(TYPE3&lt;&gt;"")+('Dvd Calendar'!$E$1940:$AR$1940=TYPE4)*(TYPE4&lt;&gt;"")+('Dvd Calendar'!$E$1940:$AR$1940=SPECIAL_LBL)*(INC_SPECIALS="Y"))))</f>
        <v/>
      </c>
      <c r="K41" s="128">
        <f>IF($B41="",0,SUMIFS('Dvd Calendar'!$E$1943:$AR$1943,'Dvd Calendar'!$E$1942:$AR$1942,"&gt;"&amp;PROJ_FROM,'Dvd Calendar'!$E$1942:$AR$1942,"&lt;="&amp;WIN_TO)+SUMPRODUCT(('Dvd Calendar'!$E$1935:$AR$1935&gt;PROJ_FROM)*('Dvd Calendar'!$E$1935:$AR$1935&lt;=WIN_TO)*'Dvd Calendar'!$E$1938:$AR$1938*(('Dvd Calendar'!$E$1940:$AR$1940=TYPE1)*(TYPE1&lt;&gt;"")+('Dvd Calendar'!$E$1940:$AR$1940=TYPE2)*(TYPE2&lt;&gt;"")+('Dvd Calendar'!$E$1940:$AR$1940=TYPE3)*(TYPE3&lt;&gt;"")+('Dvd Calendar'!$E$1940:$AR$1940=TYPE4)*(TYPE4&lt;&gt;"")+('Dvd Calendar'!$E$1940:$AR$1940=SPECIAL_LBL)*(INC_SPECIALS="Y"))*(COUNTIF('Dvd Calendar'!$E$1942:$AR$1942,'Dvd Calendar'!$E$1935:$AR$1935)=0)))</f>
        <v/>
      </c>
      <c r="L41" s="128">
        <f>IF($B41="",0,IF((OV_SWITCH="ON")*(COUNTIFS(OVR_TICKERS,$C41,OVR_BASE,"&gt;=0")&gt;0)&gt;0,SUMIFS(OVR_BASE,OVR_TICKERS,$C41),$K41))</f>
        <v/>
      </c>
      <c r="M41" s="128">
        <f>IF($B41="",0,IF((OV_SWITCH="ON")*(COUNTIFS(OVR_TICKERS,$C41,OVR_LOW,"&gt;=0")&gt;0)&gt;0,SUMIFS(OVR_LOW,OVR_TICKERS,$C41),$L41))</f>
        <v/>
      </c>
      <c r="N41" s="128">
        <f>IF($B41="",0,IF((OV_SWITCH="ON")*(COUNTIFS(OVR_TICKERS,$C41,OVR_HIGH,"&gt;=0")&gt;0)&gt;0,SUMIFS(OVR_HIGH,OVR_TICKERS,$C41),$L41))</f>
        <v/>
      </c>
      <c r="O41" s="133">
        <f>IF($B41="","",IFERROR($B41*$G41*$J41/$B$3,""))</f>
        <v/>
      </c>
      <c r="P41" s="133">
        <f>IF($B41="","",IFERROR($B41*$G41*$L41/$B$3,""))</f>
        <v/>
      </c>
      <c r="Q41" s="124">
        <f>IF($B41="","",IFERROR($O41+$P41,""))</f>
        <v/>
      </c>
      <c r="R41" s="133">
        <f>IF($B41="","",IFERROR($O41+$B41*$G41*$M41/$B$3,""))</f>
        <v/>
      </c>
      <c r="S41" s="133">
        <f>IF($B41="","",IFERROR($O41+$B41*$G41*$N41/$B$3,""))</f>
        <v/>
      </c>
      <c r="T41" s="150">
        <f>IF($B41="","",IFERROR($Q41/$Q$5,""))</f>
        <v/>
      </c>
      <c r="U41" s="2">
        <f>IF($B41="","",IF(COUNTIFS('Dvd Calendar'!$E$1941:$AR$1941,"&gt;0",'Dvd Calendar'!$E$1941:$AR$1941,"&lt;="&amp;VAL_DATE,'Dvd Calendar'!$E$1942:$AR$1942,"&gt;"&amp;PROJ_FROM,'Dvd Calendar'!$E$1942:$AR$1942,"&lt;="&amp;WIN_TO)-COUNTIFS('Dvd Calendar'!$E$1941:$AR$1941,"&gt;0",'Dvd Calendar'!$E$1941:$AR$1941,"&lt;="&amp;VAL_DATE,'Dvd Calendar'!$E$1942:$AR$1942,"&gt;"&amp;PROJ_FROM,'Dvd Calendar'!$E$1942:$AR$1942,"&lt;="&amp;WIN_TO,'Dvd Calendar'!$E$1943:$AR$1943,"&gt;=0")&gt;0,"TBA amount - override me",IF((OV_SWITCH="ON")*(COUNTIFS(OVR_TICKERS,$C41,OVR_BASE,"&gt;=0")&gt;0)&gt;0,"overridden",IF($J41+$K41=0,"no dividend in year Y",""))))</f>
        <v/>
      </c>
      <c r="V41" s="133">
        <f>IF($B41="","",IFERROR(IF(ISNUMBER($H41),$B41*$G41*$H41/$B$3,0),""))</f>
        <v/>
      </c>
      <c r="W41" s="133">
        <f>IF($B41="","",IFERROR($B41*$G41*$K41/$B$3,""))</f>
        <v/>
      </c>
      <c r="X41" s="157">
        <f>IF($C41="","",BDP($C41,"PX_LAST"))</f>
        <v/>
      </c>
      <c r="Y41" s="133">
        <f>IF($B41="","",IFERROR($B41*$X41/$B$3,""))</f>
        <v/>
      </c>
      <c r="Z41" s="137">
        <f>IF($B41="","",IFERROR($Y41/$Y$5,""))</f>
        <v/>
      </c>
    </row>
    <row r="42">
      <c r="B42" s="97" t="n"/>
      <c r="C42" s="8">
        <f>IF($A42="","",$A42&amp;" Equity")</f>
        <v/>
      </c>
      <c r="D42" s="8">
        <f>IF($C42="","",BDP($C42,"NAME"))</f>
        <v/>
      </c>
      <c r="E42" s="8">
        <f>IF($C42="","",BDP($C42,"GICS_SECTOR_NAME"))</f>
        <v/>
      </c>
      <c r="F42" s="37">
        <f>IF($C42="","",BDP($C42,FLD_CCY))</f>
        <v/>
      </c>
      <c r="G42" s="111">
        <f>IFERROR(IF(LEN($F42)&lt;&gt;3,1,IF($F42="HKD",1,BDP(IF($F42="CNY",RMB_CROSS,$F42)&amp;"HKD Curncy","PX_LAST"))),1)</f>
        <v/>
      </c>
      <c r="H42" s="133">
        <f>IF($C42="","",BDP($C42,FLD_DPS12M))</f>
        <v/>
      </c>
      <c r="I42" s="126">
        <f>IF($C42="","",BDP($C42,FLD_YLD12M))</f>
        <v/>
      </c>
      <c r="J42" s="128">
        <f>IF($B42="",0,SUMPRODUCT(('Dvd Calendar'!$E$1946:$AR$1946&gt;=WIN_FROM)*('Dvd Calendar'!$E$1946:$AR$1946&lt;=REALIZED_TO)*'Dvd Calendar'!$E$1949:$AR$1949*(('Dvd Calendar'!$E$1951:$AR$1951=TYPE1)*(TYPE1&lt;&gt;"")+('Dvd Calendar'!$E$1951:$AR$1951=TYPE2)*(TYPE2&lt;&gt;"")+('Dvd Calendar'!$E$1951:$AR$1951=TYPE3)*(TYPE3&lt;&gt;"")+('Dvd Calendar'!$E$1951:$AR$1951=TYPE4)*(TYPE4&lt;&gt;"")+('Dvd Calendar'!$E$1951:$AR$1951=SPECIAL_LBL)*(INC_SPECIALS="Y"))))</f>
        <v/>
      </c>
      <c r="K42" s="128">
        <f>IF($B42="",0,SUMIFS('Dvd Calendar'!$E$1954:$AR$1954,'Dvd Calendar'!$E$1953:$AR$1953,"&gt;"&amp;PROJ_FROM,'Dvd Calendar'!$E$1953:$AR$1953,"&lt;="&amp;WIN_TO)+SUMPRODUCT(('Dvd Calendar'!$E$1946:$AR$1946&gt;PROJ_FROM)*('Dvd Calendar'!$E$1946:$AR$1946&lt;=WIN_TO)*'Dvd Calendar'!$E$1949:$AR$1949*(('Dvd Calendar'!$E$1951:$AR$1951=TYPE1)*(TYPE1&lt;&gt;"")+('Dvd Calendar'!$E$1951:$AR$1951=TYPE2)*(TYPE2&lt;&gt;"")+('Dvd Calendar'!$E$1951:$AR$1951=TYPE3)*(TYPE3&lt;&gt;"")+('Dvd Calendar'!$E$1951:$AR$1951=TYPE4)*(TYPE4&lt;&gt;"")+('Dvd Calendar'!$E$1951:$AR$1951=SPECIAL_LBL)*(INC_SPECIALS="Y"))*(COUNTIF('Dvd Calendar'!$E$1953:$AR$1953,'Dvd Calendar'!$E$1946:$AR$1946)=0)))</f>
        <v/>
      </c>
      <c r="L42" s="128">
        <f>IF($B42="",0,IF((OV_SWITCH="ON")*(COUNTIFS(OVR_TICKERS,$C42,OVR_BASE,"&gt;=0")&gt;0)&gt;0,SUMIFS(OVR_BASE,OVR_TICKERS,$C42),$K42))</f>
        <v/>
      </c>
      <c r="M42" s="128">
        <f>IF($B42="",0,IF((OV_SWITCH="ON")*(COUNTIFS(OVR_TICKERS,$C42,OVR_LOW,"&gt;=0")&gt;0)&gt;0,SUMIFS(OVR_LOW,OVR_TICKERS,$C42),$L42))</f>
        <v/>
      </c>
      <c r="N42" s="128">
        <f>IF($B42="",0,IF((OV_SWITCH="ON")*(COUNTIFS(OVR_TICKERS,$C42,OVR_HIGH,"&gt;=0")&gt;0)&gt;0,SUMIFS(OVR_HIGH,OVR_TICKERS,$C42),$L42))</f>
        <v/>
      </c>
      <c r="O42" s="133">
        <f>IF($B42="","",IFERROR($B42*$G42*$J42/$B$3,""))</f>
        <v/>
      </c>
      <c r="P42" s="133">
        <f>IF($B42="","",IFERROR($B42*$G42*$L42/$B$3,""))</f>
        <v/>
      </c>
      <c r="Q42" s="124">
        <f>IF($B42="","",IFERROR($O42+$P42,""))</f>
        <v/>
      </c>
      <c r="R42" s="133">
        <f>IF($B42="","",IFERROR($O42+$B42*$G42*$M42/$B$3,""))</f>
        <v/>
      </c>
      <c r="S42" s="133">
        <f>IF($B42="","",IFERROR($O42+$B42*$G42*$N42/$B$3,""))</f>
        <v/>
      </c>
      <c r="T42" s="150">
        <f>IF($B42="","",IFERROR($Q42/$Q$5,""))</f>
        <v/>
      </c>
      <c r="U42" s="2">
        <f>IF($B42="","",IF(COUNTIFS('Dvd Calendar'!$E$1952:$AR$1952,"&gt;0",'Dvd Calendar'!$E$1952:$AR$1952,"&lt;="&amp;VAL_DATE,'Dvd Calendar'!$E$1953:$AR$1953,"&gt;"&amp;PROJ_FROM,'Dvd Calendar'!$E$1953:$AR$1953,"&lt;="&amp;WIN_TO)-COUNTIFS('Dvd Calendar'!$E$1952:$AR$1952,"&gt;0",'Dvd Calendar'!$E$1952:$AR$1952,"&lt;="&amp;VAL_DATE,'Dvd Calendar'!$E$1953:$AR$1953,"&gt;"&amp;PROJ_FROM,'Dvd Calendar'!$E$1953:$AR$1953,"&lt;="&amp;WIN_TO,'Dvd Calendar'!$E$1954:$AR$1954,"&gt;=0")&gt;0,"TBA amount - override me",IF((OV_SWITCH="ON")*(COUNTIFS(OVR_TICKERS,$C42,OVR_BASE,"&gt;=0")&gt;0)&gt;0,"overridden",IF($J42+$K42=0,"no dividend in year Y",""))))</f>
        <v/>
      </c>
      <c r="V42" s="133">
        <f>IF($B42="","",IFERROR(IF(ISNUMBER($H42),$B42*$G42*$H42/$B$3,0),""))</f>
        <v/>
      </c>
      <c r="W42" s="133">
        <f>IF($B42="","",IFERROR($B42*$G42*$K42/$B$3,""))</f>
        <v/>
      </c>
      <c r="X42" s="157">
        <f>IF($C42="","",BDP($C42,"PX_LAST"))</f>
        <v/>
      </c>
      <c r="Y42" s="133">
        <f>IF($B42="","",IFERROR($B42*$X42/$B$3,""))</f>
        <v/>
      </c>
      <c r="Z42" s="137">
        <f>IF($B42="","",IFERROR($Y42/$Y$5,""))</f>
        <v/>
      </c>
    </row>
    <row r="43">
      <c r="B43" s="97" t="n"/>
      <c r="C43" s="8">
        <f>IF($A43="","",$A43&amp;" Equity")</f>
        <v/>
      </c>
      <c r="D43" s="8">
        <f>IF($C43="","",BDP($C43,"NAME"))</f>
        <v/>
      </c>
      <c r="E43" s="8">
        <f>IF($C43="","",BDP($C43,"GICS_SECTOR_NAME"))</f>
        <v/>
      </c>
      <c r="F43" s="37">
        <f>IF($C43="","",BDP($C43,FLD_CCY))</f>
        <v/>
      </c>
      <c r="G43" s="111">
        <f>IFERROR(IF(LEN($F43)&lt;&gt;3,1,IF($F43="HKD",1,BDP(IF($F43="CNY",RMB_CROSS,$F43)&amp;"HKD Curncy","PX_LAST"))),1)</f>
        <v/>
      </c>
      <c r="H43" s="133">
        <f>IF($C43="","",BDP($C43,FLD_DPS12M))</f>
        <v/>
      </c>
      <c r="I43" s="126">
        <f>IF($C43="","",BDP($C43,FLD_YLD12M))</f>
        <v/>
      </c>
      <c r="J43" s="128">
        <f>IF($B43="",0,SUMPRODUCT(('Dvd Calendar'!$E$1957:$AR$1957&gt;=WIN_FROM)*('Dvd Calendar'!$E$1957:$AR$1957&lt;=REALIZED_TO)*'Dvd Calendar'!$E$1960:$AR$1960*(('Dvd Calendar'!$E$1962:$AR$1962=TYPE1)*(TYPE1&lt;&gt;"")+('Dvd Calendar'!$E$1962:$AR$1962=TYPE2)*(TYPE2&lt;&gt;"")+('Dvd Calendar'!$E$1962:$AR$1962=TYPE3)*(TYPE3&lt;&gt;"")+('Dvd Calendar'!$E$1962:$AR$1962=TYPE4)*(TYPE4&lt;&gt;"")+('Dvd Calendar'!$E$1962:$AR$1962=SPECIAL_LBL)*(INC_SPECIALS="Y"))))</f>
        <v/>
      </c>
      <c r="K43" s="128">
        <f>IF($B43="",0,SUMIFS('Dvd Calendar'!$E$1965:$AR$1965,'Dvd Calendar'!$E$1964:$AR$1964,"&gt;"&amp;PROJ_FROM,'Dvd Calendar'!$E$1964:$AR$1964,"&lt;="&amp;WIN_TO)+SUMPRODUCT(('Dvd Calendar'!$E$1957:$AR$1957&gt;PROJ_FROM)*('Dvd Calendar'!$E$1957:$AR$1957&lt;=WIN_TO)*'Dvd Calendar'!$E$1960:$AR$1960*(('Dvd Calendar'!$E$1962:$AR$1962=TYPE1)*(TYPE1&lt;&gt;"")+('Dvd Calendar'!$E$1962:$AR$1962=TYPE2)*(TYPE2&lt;&gt;"")+('Dvd Calendar'!$E$1962:$AR$1962=TYPE3)*(TYPE3&lt;&gt;"")+('Dvd Calendar'!$E$1962:$AR$1962=TYPE4)*(TYPE4&lt;&gt;"")+('Dvd Calendar'!$E$1962:$AR$1962=SPECIAL_LBL)*(INC_SPECIALS="Y"))*(COUNTIF('Dvd Calendar'!$E$1964:$AR$1964,'Dvd Calendar'!$E$1957:$AR$1957)=0)))</f>
        <v/>
      </c>
      <c r="L43" s="128">
        <f>IF($B43="",0,IF((OV_SWITCH="ON")*(COUNTIFS(OVR_TICKERS,$C43,OVR_BASE,"&gt;=0")&gt;0)&gt;0,SUMIFS(OVR_BASE,OVR_TICKERS,$C43),$K43))</f>
        <v/>
      </c>
      <c r="M43" s="128">
        <f>IF($B43="",0,IF((OV_SWITCH="ON")*(COUNTIFS(OVR_TICKERS,$C43,OVR_LOW,"&gt;=0")&gt;0)&gt;0,SUMIFS(OVR_LOW,OVR_TICKERS,$C43),$L43))</f>
        <v/>
      </c>
      <c r="N43" s="128">
        <f>IF($B43="",0,IF((OV_SWITCH="ON")*(COUNTIFS(OVR_TICKERS,$C43,OVR_HIGH,"&gt;=0")&gt;0)&gt;0,SUMIFS(OVR_HIGH,OVR_TICKERS,$C43),$L43))</f>
        <v/>
      </c>
      <c r="O43" s="133">
        <f>IF($B43="","",IFERROR($B43*$G43*$J43/$B$3,""))</f>
        <v/>
      </c>
      <c r="P43" s="133">
        <f>IF($B43="","",IFERROR($B43*$G43*$L43/$B$3,""))</f>
        <v/>
      </c>
      <c r="Q43" s="124">
        <f>IF($B43="","",IFERROR($O43+$P43,""))</f>
        <v/>
      </c>
      <c r="R43" s="133">
        <f>IF($B43="","",IFERROR($O43+$B43*$G43*$M43/$B$3,""))</f>
        <v/>
      </c>
      <c r="S43" s="133">
        <f>IF($B43="","",IFERROR($O43+$B43*$G43*$N43/$B$3,""))</f>
        <v/>
      </c>
      <c r="T43" s="150">
        <f>IF($B43="","",IFERROR($Q43/$Q$5,""))</f>
        <v/>
      </c>
      <c r="U43" s="2">
        <f>IF($B43="","",IF(COUNTIFS('Dvd Calendar'!$E$1963:$AR$1963,"&gt;0",'Dvd Calendar'!$E$1963:$AR$1963,"&lt;="&amp;VAL_DATE,'Dvd Calendar'!$E$1964:$AR$1964,"&gt;"&amp;PROJ_FROM,'Dvd Calendar'!$E$1964:$AR$1964,"&lt;="&amp;WIN_TO)-COUNTIFS('Dvd Calendar'!$E$1963:$AR$1963,"&gt;0",'Dvd Calendar'!$E$1963:$AR$1963,"&lt;="&amp;VAL_DATE,'Dvd Calendar'!$E$1964:$AR$1964,"&gt;"&amp;PROJ_FROM,'Dvd Calendar'!$E$1964:$AR$1964,"&lt;="&amp;WIN_TO,'Dvd Calendar'!$E$1965:$AR$1965,"&gt;=0")&gt;0,"TBA amount - override me",IF((OV_SWITCH="ON")*(COUNTIFS(OVR_TICKERS,$C43,OVR_BASE,"&gt;=0")&gt;0)&gt;0,"overridden",IF($J43+$K43=0,"no dividend in year Y",""))))</f>
        <v/>
      </c>
      <c r="V43" s="133">
        <f>IF($B43="","",IFERROR(IF(ISNUMBER($H43),$B43*$G43*$H43/$B$3,0),""))</f>
        <v/>
      </c>
      <c r="W43" s="133">
        <f>IF($B43="","",IFERROR($B43*$G43*$K43/$B$3,""))</f>
        <v/>
      </c>
      <c r="X43" s="157">
        <f>IF($C43="","",BDP($C43,"PX_LAST"))</f>
        <v/>
      </c>
      <c r="Y43" s="133">
        <f>IF($B43="","",IFERROR($B43*$X43/$B$3,""))</f>
        <v/>
      </c>
      <c r="Z43" s="137">
        <f>IF($B43="","",IFERROR($Y43/$Y$5,""))</f>
        <v/>
      </c>
    </row>
    <row r="44">
      <c r="B44" s="97" t="n"/>
      <c r="C44" s="8">
        <f>IF($A44="","",$A44&amp;" Equity")</f>
        <v/>
      </c>
      <c r="D44" s="8">
        <f>IF($C44="","",BDP($C44,"NAME"))</f>
        <v/>
      </c>
      <c r="E44" s="8">
        <f>IF($C44="","",BDP($C44,"GICS_SECTOR_NAME"))</f>
        <v/>
      </c>
      <c r="F44" s="37">
        <f>IF($C44="","",BDP($C44,FLD_CCY))</f>
        <v/>
      </c>
      <c r="G44" s="111">
        <f>IFERROR(IF(LEN($F44)&lt;&gt;3,1,IF($F44="HKD",1,BDP(IF($F44="CNY",RMB_CROSS,$F44)&amp;"HKD Curncy","PX_LAST"))),1)</f>
        <v/>
      </c>
      <c r="H44" s="133">
        <f>IF($C44="","",BDP($C44,FLD_DPS12M))</f>
        <v/>
      </c>
      <c r="I44" s="126">
        <f>IF($C44="","",BDP($C44,FLD_YLD12M))</f>
        <v/>
      </c>
      <c r="J44" s="128">
        <f>IF($B44="",0,SUMPRODUCT(('Dvd Calendar'!$E$1968:$AR$1968&gt;=WIN_FROM)*('Dvd Calendar'!$E$1968:$AR$1968&lt;=REALIZED_TO)*'Dvd Calendar'!$E$1971:$AR$1971*(('Dvd Calendar'!$E$1973:$AR$1973=TYPE1)*(TYPE1&lt;&gt;"")+('Dvd Calendar'!$E$1973:$AR$1973=TYPE2)*(TYPE2&lt;&gt;"")+('Dvd Calendar'!$E$1973:$AR$1973=TYPE3)*(TYPE3&lt;&gt;"")+('Dvd Calendar'!$E$1973:$AR$1973=TYPE4)*(TYPE4&lt;&gt;"")+('Dvd Calendar'!$E$1973:$AR$1973=SPECIAL_LBL)*(INC_SPECIALS="Y"))))</f>
        <v/>
      </c>
      <c r="K44" s="128">
        <f>IF($B44="",0,SUMIFS('Dvd Calendar'!$E$1976:$AR$1976,'Dvd Calendar'!$E$1975:$AR$1975,"&gt;"&amp;PROJ_FROM,'Dvd Calendar'!$E$1975:$AR$1975,"&lt;="&amp;WIN_TO)+SUMPRODUCT(('Dvd Calendar'!$E$1968:$AR$1968&gt;PROJ_FROM)*('Dvd Calendar'!$E$1968:$AR$1968&lt;=WIN_TO)*'Dvd Calendar'!$E$1971:$AR$1971*(('Dvd Calendar'!$E$1973:$AR$1973=TYPE1)*(TYPE1&lt;&gt;"")+('Dvd Calendar'!$E$1973:$AR$1973=TYPE2)*(TYPE2&lt;&gt;"")+('Dvd Calendar'!$E$1973:$AR$1973=TYPE3)*(TYPE3&lt;&gt;"")+('Dvd Calendar'!$E$1973:$AR$1973=TYPE4)*(TYPE4&lt;&gt;"")+('Dvd Calendar'!$E$1973:$AR$1973=SPECIAL_LBL)*(INC_SPECIALS="Y"))*(COUNTIF('Dvd Calendar'!$E$1975:$AR$1975,'Dvd Calendar'!$E$1968:$AR$1968)=0)))</f>
        <v/>
      </c>
      <c r="L44" s="128">
        <f>IF($B44="",0,IF((OV_SWITCH="ON")*(COUNTIFS(OVR_TICKERS,$C44,OVR_BASE,"&gt;=0")&gt;0)&gt;0,SUMIFS(OVR_BASE,OVR_TICKERS,$C44),$K44))</f>
        <v/>
      </c>
      <c r="M44" s="128">
        <f>IF($B44="",0,IF((OV_SWITCH="ON")*(COUNTIFS(OVR_TICKERS,$C44,OVR_LOW,"&gt;=0")&gt;0)&gt;0,SUMIFS(OVR_LOW,OVR_TICKERS,$C44),$L44))</f>
        <v/>
      </c>
      <c r="N44" s="128">
        <f>IF($B44="",0,IF((OV_SWITCH="ON")*(COUNTIFS(OVR_TICKERS,$C44,OVR_HIGH,"&gt;=0")&gt;0)&gt;0,SUMIFS(OVR_HIGH,OVR_TICKERS,$C44),$L44))</f>
        <v/>
      </c>
      <c r="O44" s="133">
        <f>IF($B44="","",IFERROR($B44*$G44*$J44/$B$3,""))</f>
        <v/>
      </c>
      <c r="P44" s="133">
        <f>IF($B44="","",IFERROR($B44*$G44*$L44/$B$3,""))</f>
        <v/>
      </c>
      <c r="Q44" s="124">
        <f>IF($B44="","",IFERROR($O44+$P44,""))</f>
        <v/>
      </c>
      <c r="R44" s="133">
        <f>IF($B44="","",IFERROR($O44+$B44*$G44*$M44/$B$3,""))</f>
        <v/>
      </c>
      <c r="S44" s="133">
        <f>IF($B44="","",IFERROR($O44+$B44*$G44*$N44/$B$3,""))</f>
        <v/>
      </c>
      <c r="T44" s="150">
        <f>IF($B44="","",IFERROR($Q44/$Q$5,""))</f>
        <v/>
      </c>
      <c r="U44" s="2">
        <f>IF($B44="","",IF(COUNTIFS('Dvd Calendar'!$E$1974:$AR$1974,"&gt;0",'Dvd Calendar'!$E$1974:$AR$1974,"&lt;="&amp;VAL_DATE,'Dvd Calendar'!$E$1975:$AR$1975,"&gt;"&amp;PROJ_FROM,'Dvd Calendar'!$E$1975:$AR$1975,"&lt;="&amp;WIN_TO)-COUNTIFS('Dvd Calendar'!$E$1974:$AR$1974,"&gt;0",'Dvd Calendar'!$E$1974:$AR$1974,"&lt;="&amp;VAL_DATE,'Dvd Calendar'!$E$1975:$AR$1975,"&gt;"&amp;PROJ_FROM,'Dvd Calendar'!$E$1975:$AR$1975,"&lt;="&amp;WIN_TO,'Dvd Calendar'!$E$1976:$AR$1976,"&gt;=0")&gt;0,"TBA amount - override me",IF((OV_SWITCH="ON")*(COUNTIFS(OVR_TICKERS,$C44,OVR_BASE,"&gt;=0")&gt;0)&gt;0,"overridden",IF($J44+$K44=0,"no dividend in year Y",""))))</f>
        <v/>
      </c>
      <c r="V44" s="133">
        <f>IF($B44="","",IFERROR(IF(ISNUMBER($H44),$B44*$G44*$H44/$B$3,0),""))</f>
        <v/>
      </c>
      <c r="W44" s="133">
        <f>IF($B44="","",IFERROR($B44*$G44*$K44/$B$3,""))</f>
        <v/>
      </c>
      <c r="X44" s="157">
        <f>IF($C44="","",BDP($C44,"PX_LAST"))</f>
        <v/>
      </c>
      <c r="Y44" s="133">
        <f>IF($B44="","",IFERROR($B44*$X44/$B$3,""))</f>
        <v/>
      </c>
      <c r="Z44" s="137">
        <f>IF($B44="","",IFERROR($Y44/$Y$5,""))</f>
        <v/>
      </c>
    </row>
    <row r="45">
      <c r="B45" s="97" t="n"/>
      <c r="C45" s="8">
        <f>IF($A45="","",$A45&amp;" Equity")</f>
        <v/>
      </c>
      <c r="D45" s="8">
        <f>IF($C45="","",BDP($C45,"NAME"))</f>
        <v/>
      </c>
      <c r="E45" s="8">
        <f>IF($C45="","",BDP($C45,"GICS_SECTOR_NAME"))</f>
        <v/>
      </c>
      <c r="F45" s="37">
        <f>IF($C45="","",BDP($C45,FLD_CCY))</f>
        <v/>
      </c>
      <c r="G45" s="111">
        <f>IFERROR(IF(LEN($F45)&lt;&gt;3,1,IF($F45="HKD",1,BDP(IF($F45="CNY",RMB_CROSS,$F45)&amp;"HKD Curncy","PX_LAST"))),1)</f>
        <v/>
      </c>
      <c r="H45" s="133">
        <f>IF($C45="","",BDP($C45,FLD_DPS12M))</f>
        <v/>
      </c>
      <c r="I45" s="126">
        <f>IF($C45="","",BDP($C45,FLD_YLD12M))</f>
        <v/>
      </c>
      <c r="J45" s="128">
        <f>IF($B45="",0,SUMPRODUCT(('Dvd Calendar'!$E$1979:$AR$1979&gt;=WIN_FROM)*('Dvd Calendar'!$E$1979:$AR$1979&lt;=REALIZED_TO)*'Dvd Calendar'!$E$1982:$AR$1982*(('Dvd Calendar'!$E$1984:$AR$1984=TYPE1)*(TYPE1&lt;&gt;"")+('Dvd Calendar'!$E$1984:$AR$1984=TYPE2)*(TYPE2&lt;&gt;"")+('Dvd Calendar'!$E$1984:$AR$1984=TYPE3)*(TYPE3&lt;&gt;"")+('Dvd Calendar'!$E$1984:$AR$1984=TYPE4)*(TYPE4&lt;&gt;"")+('Dvd Calendar'!$E$1984:$AR$1984=SPECIAL_LBL)*(INC_SPECIALS="Y"))))</f>
        <v/>
      </c>
      <c r="K45" s="128">
        <f>IF($B45="",0,SUMIFS('Dvd Calendar'!$E$1987:$AR$1987,'Dvd Calendar'!$E$1986:$AR$1986,"&gt;"&amp;PROJ_FROM,'Dvd Calendar'!$E$1986:$AR$1986,"&lt;="&amp;WIN_TO)+SUMPRODUCT(('Dvd Calendar'!$E$1979:$AR$1979&gt;PROJ_FROM)*('Dvd Calendar'!$E$1979:$AR$1979&lt;=WIN_TO)*'Dvd Calendar'!$E$1982:$AR$1982*(('Dvd Calendar'!$E$1984:$AR$1984=TYPE1)*(TYPE1&lt;&gt;"")+('Dvd Calendar'!$E$1984:$AR$1984=TYPE2)*(TYPE2&lt;&gt;"")+('Dvd Calendar'!$E$1984:$AR$1984=TYPE3)*(TYPE3&lt;&gt;"")+('Dvd Calendar'!$E$1984:$AR$1984=TYPE4)*(TYPE4&lt;&gt;"")+('Dvd Calendar'!$E$1984:$AR$1984=SPECIAL_LBL)*(INC_SPECIALS="Y"))*(COUNTIF('Dvd Calendar'!$E$1986:$AR$1986,'Dvd Calendar'!$E$1979:$AR$1979)=0)))</f>
        <v/>
      </c>
      <c r="L45" s="128">
        <f>IF($B45="",0,IF((OV_SWITCH="ON")*(COUNTIFS(OVR_TICKERS,$C45,OVR_BASE,"&gt;=0")&gt;0)&gt;0,SUMIFS(OVR_BASE,OVR_TICKERS,$C45),$K45))</f>
        <v/>
      </c>
      <c r="M45" s="128">
        <f>IF($B45="",0,IF((OV_SWITCH="ON")*(COUNTIFS(OVR_TICKERS,$C45,OVR_LOW,"&gt;=0")&gt;0)&gt;0,SUMIFS(OVR_LOW,OVR_TICKERS,$C45),$L45))</f>
        <v/>
      </c>
      <c r="N45" s="128">
        <f>IF($B45="",0,IF((OV_SWITCH="ON")*(COUNTIFS(OVR_TICKERS,$C45,OVR_HIGH,"&gt;=0")&gt;0)&gt;0,SUMIFS(OVR_HIGH,OVR_TICKERS,$C45),$L45))</f>
        <v/>
      </c>
      <c r="O45" s="133">
        <f>IF($B45="","",IFERROR($B45*$G45*$J45/$B$3,""))</f>
        <v/>
      </c>
      <c r="P45" s="133">
        <f>IF($B45="","",IFERROR($B45*$G45*$L45/$B$3,""))</f>
        <v/>
      </c>
      <c r="Q45" s="124">
        <f>IF($B45="","",IFERROR($O45+$P45,""))</f>
        <v/>
      </c>
      <c r="R45" s="133">
        <f>IF($B45="","",IFERROR($O45+$B45*$G45*$M45/$B$3,""))</f>
        <v/>
      </c>
      <c r="S45" s="133">
        <f>IF($B45="","",IFERROR($O45+$B45*$G45*$N45/$B$3,""))</f>
        <v/>
      </c>
      <c r="T45" s="150">
        <f>IF($B45="","",IFERROR($Q45/$Q$5,""))</f>
        <v/>
      </c>
      <c r="U45" s="2">
        <f>IF($B45="","",IF(COUNTIFS('Dvd Calendar'!$E$1985:$AR$1985,"&gt;0",'Dvd Calendar'!$E$1985:$AR$1985,"&lt;="&amp;VAL_DATE,'Dvd Calendar'!$E$1986:$AR$1986,"&gt;"&amp;PROJ_FROM,'Dvd Calendar'!$E$1986:$AR$1986,"&lt;="&amp;WIN_TO)-COUNTIFS('Dvd Calendar'!$E$1985:$AR$1985,"&gt;0",'Dvd Calendar'!$E$1985:$AR$1985,"&lt;="&amp;VAL_DATE,'Dvd Calendar'!$E$1986:$AR$1986,"&gt;"&amp;PROJ_FROM,'Dvd Calendar'!$E$1986:$AR$1986,"&lt;="&amp;WIN_TO,'Dvd Calendar'!$E$1987:$AR$1987,"&gt;=0")&gt;0,"TBA amount - override me",IF((OV_SWITCH="ON")*(COUNTIFS(OVR_TICKERS,$C45,OVR_BASE,"&gt;=0")&gt;0)&gt;0,"overridden",IF($J45+$K45=0,"no dividend in year Y",""))))</f>
        <v/>
      </c>
      <c r="V45" s="133">
        <f>IF($B45="","",IFERROR(IF(ISNUMBER($H45),$B45*$G45*$H45/$B$3,0),""))</f>
        <v/>
      </c>
      <c r="W45" s="133">
        <f>IF($B45="","",IFERROR($B45*$G45*$K45/$B$3,""))</f>
        <v/>
      </c>
      <c r="X45" s="157">
        <f>IF($C45="","",BDP($C45,"PX_LAST"))</f>
        <v/>
      </c>
      <c r="Y45" s="133">
        <f>IF($B45="","",IFERROR($B45*$X45/$B$3,""))</f>
        <v/>
      </c>
      <c r="Z45" s="137">
        <f>IF($B45="","",IFERROR($Y45/$Y$5,""))</f>
        <v/>
      </c>
    </row>
    <row r="46">
      <c r="B46" s="97" t="n"/>
      <c r="C46" s="8">
        <f>IF($A46="","",$A46&amp;" Equity")</f>
        <v/>
      </c>
      <c r="D46" s="8">
        <f>IF($C46="","",BDP($C46,"NAME"))</f>
        <v/>
      </c>
      <c r="E46" s="8">
        <f>IF($C46="","",BDP($C46,"GICS_SECTOR_NAME"))</f>
        <v/>
      </c>
      <c r="F46" s="37">
        <f>IF($C46="","",BDP($C46,FLD_CCY))</f>
        <v/>
      </c>
      <c r="G46" s="111">
        <f>IFERROR(IF(LEN($F46)&lt;&gt;3,1,IF($F46="HKD",1,BDP(IF($F46="CNY",RMB_CROSS,$F46)&amp;"HKD Curncy","PX_LAST"))),1)</f>
        <v/>
      </c>
      <c r="H46" s="133">
        <f>IF($C46="","",BDP($C46,FLD_DPS12M))</f>
        <v/>
      </c>
      <c r="I46" s="126">
        <f>IF($C46="","",BDP($C46,FLD_YLD12M))</f>
        <v/>
      </c>
      <c r="J46" s="128">
        <f>IF($B46="",0,SUMPRODUCT(('Dvd Calendar'!$E$1990:$AR$1990&gt;=WIN_FROM)*('Dvd Calendar'!$E$1990:$AR$1990&lt;=REALIZED_TO)*'Dvd Calendar'!$E$1993:$AR$1993*(('Dvd Calendar'!$E$1995:$AR$1995=TYPE1)*(TYPE1&lt;&gt;"")+('Dvd Calendar'!$E$1995:$AR$1995=TYPE2)*(TYPE2&lt;&gt;"")+('Dvd Calendar'!$E$1995:$AR$1995=TYPE3)*(TYPE3&lt;&gt;"")+('Dvd Calendar'!$E$1995:$AR$1995=TYPE4)*(TYPE4&lt;&gt;"")+('Dvd Calendar'!$E$1995:$AR$1995=SPECIAL_LBL)*(INC_SPECIALS="Y"))))</f>
        <v/>
      </c>
      <c r="K46" s="128">
        <f>IF($B46="",0,SUMIFS('Dvd Calendar'!$E$1998:$AR$1998,'Dvd Calendar'!$E$1997:$AR$1997,"&gt;"&amp;PROJ_FROM,'Dvd Calendar'!$E$1997:$AR$1997,"&lt;="&amp;WIN_TO)+SUMPRODUCT(('Dvd Calendar'!$E$1990:$AR$1990&gt;PROJ_FROM)*('Dvd Calendar'!$E$1990:$AR$1990&lt;=WIN_TO)*'Dvd Calendar'!$E$1993:$AR$1993*(('Dvd Calendar'!$E$1995:$AR$1995=TYPE1)*(TYPE1&lt;&gt;"")+('Dvd Calendar'!$E$1995:$AR$1995=TYPE2)*(TYPE2&lt;&gt;"")+('Dvd Calendar'!$E$1995:$AR$1995=TYPE3)*(TYPE3&lt;&gt;"")+('Dvd Calendar'!$E$1995:$AR$1995=TYPE4)*(TYPE4&lt;&gt;"")+('Dvd Calendar'!$E$1995:$AR$1995=SPECIAL_LBL)*(INC_SPECIALS="Y"))*(COUNTIF('Dvd Calendar'!$E$1997:$AR$1997,'Dvd Calendar'!$E$1990:$AR$1990)=0)))</f>
        <v/>
      </c>
      <c r="L46" s="128">
        <f>IF($B46="",0,IF((OV_SWITCH="ON")*(COUNTIFS(OVR_TICKERS,$C46,OVR_BASE,"&gt;=0")&gt;0)&gt;0,SUMIFS(OVR_BASE,OVR_TICKERS,$C46),$K46))</f>
        <v/>
      </c>
      <c r="M46" s="128">
        <f>IF($B46="",0,IF((OV_SWITCH="ON")*(COUNTIFS(OVR_TICKERS,$C46,OVR_LOW,"&gt;=0")&gt;0)&gt;0,SUMIFS(OVR_LOW,OVR_TICKERS,$C46),$L46))</f>
        <v/>
      </c>
      <c r="N46" s="128">
        <f>IF($B46="",0,IF((OV_SWITCH="ON")*(COUNTIFS(OVR_TICKERS,$C46,OVR_HIGH,"&gt;=0")&gt;0)&gt;0,SUMIFS(OVR_HIGH,OVR_TICKERS,$C46),$L46))</f>
        <v/>
      </c>
      <c r="O46" s="133">
        <f>IF($B46="","",IFERROR($B46*$G46*$J46/$B$3,""))</f>
        <v/>
      </c>
      <c r="P46" s="133">
        <f>IF($B46="","",IFERROR($B46*$G46*$L46/$B$3,""))</f>
        <v/>
      </c>
      <c r="Q46" s="124">
        <f>IF($B46="","",IFERROR($O46+$P46,""))</f>
        <v/>
      </c>
      <c r="R46" s="133">
        <f>IF($B46="","",IFERROR($O46+$B46*$G46*$M46/$B$3,""))</f>
        <v/>
      </c>
      <c r="S46" s="133">
        <f>IF($B46="","",IFERROR($O46+$B46*$G46*$N46/$B$3,""))</f>
        <v/>
      </c>
      <c r="T46" s="150">
        <f>IF($B46="","",IFERROR($Q46/$Q$5,""))</f>
        <v/>
      </c>
      <c r="U46" s="2">
        <f>IF($B46="","",IF(COUNTIFS('Dvd Calendar'!$E$1996:$AR$1996,"&gt;0",'Dvd Calendar'!$E$1996:$AR$1996,"&lt;="&amp;VAL_DATE,'Dvd Calendar'!$E$1997:$AR$1997,"&gt;"&amp;PROJ_FROM,'Dvd Calendar'!$E$1997:$AR$1997,"&lt;="&amp;WIN_TO)-COUNTIFS('Dvd Calendar'!$E$1996:$AR$1996,"&gt;0",'Dvd Calendar'!$E$1996:$AR$1996,"&lt;="&amp;VAL_DATE,'Dvd Calendar'!$E$1997:$AR$1997,"&gt;"&amp;PROJ_FROM,'Dvd Calendar'!$E$1997:$AR$1997,"&lt;="&amp;WIN_TO,'Dvd Calendar'!$E$1998:$AR$1998,"&gt;=0")&gt;0,"TBA amount - override me",IF((OV_SWITCH="ON")*(COUNTIFS(OVR_TICKERS,$C46,OVR_BASE,"&gt;=0")&gt;0)&gt;0,"overridden",IF($J46+$K46=0,"no dividend in year Y",""))))</f>
        <v/>
      </c>
      <c r="V46" s="133">
        <f>IF($B46="","",IFERROR(IF(ISNUMBER($H46),$B46*$G46*$H46/$B$3,0),""))</f>
        <v/>
      </c>
      <c r="W46" s="133">
        <f>IF($B46="","",IFERROR($B46*$G46*$K46/$B$3,""))</f>
        <v/>
      </c>
      <c r="X46" s="157">
        <f>IF($C46="","",BDP($C46,"PX_LAST"))</f>
        <v/>
      </c>
      <c r="Y46" s="133">
        <f>IF($B46="","",IFERROR($B46*$X46/$B$3,""))</f>
        <v/>
      </c>
      <c r="Z46" s="137">
        <f>IF($B46="","",IFERROR($Y46/$Y$5,""))</f>
        <v/>
      </c>
    </row>
    <row r="47">
      <c r="B47" s="97" t="n"/>
      <c r="C47" s="8">
        <f>IF($A47="","",$A47&amp;" Equity")</f>
        <v/>
      </c>
      <c r="D47" s="8">
        <f>IF($C47="","",BDP($C47,"NAME"))</f>
        <v/>
      </c>
      <c r="E47" s="8">
        <f>IF($C47="","",BDP($C47,"GICS_SECTOR_NAME"))</f>
        <v/>
      </c>
      <c r="F47" s="37">
        <f>IF($C47="","",BDP($C47,FLD_CCY))</f>
        <v/>
      </c>
      <c r="G47" s="111">
        <f>IFERROR(IF(LEN($F47)&lt;&gt;3,1,IF($F47="HKD",1,BDP(IF($F47="CNY",RMB_CROSS,$F47)&amp;"HKD Curncy","PX_LAST"))),1)</f>
        <v/>
      </c>
      <c r="H47" s="133">
        <f>IF($C47="","",BDP($C47,FLD_DPS12M))</f>
        <v/>
      </c>
      <c r="I47" s="126">
        <f>IF($C47="","",BDP($C47,FLD_YLD12M))</f>
        <v/>
      </c>
      <c r="J47" s="128">
        <f>IF($B47="",0,SUMPRODUCT(('Dvd Calendar'!$E$2001:$AR$2001&gt;=WIN_FROM)*('Dvd Calendar'!$E$2001:$AR$2001&lt;=REALIZED_TO)*'Dvd Calendar'!$E$2004:$AR$2004*(('Dvd Calendar'!$E$2006:$AR$2006=TYPE1)*(TYPE1&lt;&gt;"")+('Dvd Calendar'!$E$2006:$AR$2006=TYPE2)*(TYPE2&lt;&gt;"")+('Dvd Calendar'!$E$2006:$AR$2006=TYPE3)*(TYPE3&lt;&gt;"")+('Dvd Calendar'!$E$2006:$AR$2006=TYPE4)*(TYPE4&lt;&gt;"")+('Dvd Calendar'!$E$2006:$AR$2006=SPECIAL_LBL)*(INC_SPECIALS="Y"))))</f>
        <v/>
      </c>
      <c r="K47" s="128">
        <f>IF($B47="",0,SUMIFS('Dvd Calendar'!$E$2009:$AR$2009,'Dvd Calendar'!$E$2008:$AR$2008,"&gt;"&amp;PROJ_FROM,'Dvd Calendar'!$E$2008:$AR$2008,"&lt;="&amp;WIN_TO)+SUMPRODUCT(('Dvd Calendar'!$E$2001:$AR$2001&gt;PROJ_FROM)*('Dvd Calendar'!$E$2001:$AR$2001&lt;=WIN_TO)*'Dvd Calendar'!$E$2004:$AR$2004*(('Dvd Calendar'!$E$2006:$AR$2006=TYPE1)*(TYPE1&lt;&gt;"")+('Dvd Calendar'!$E$2006:$AR$2006=TYPE2)*(TYPE2&lt;&gt;"")+('Dvd Calendar'!$E$2006:$AR$2006=TYPE3)*(TYPE3&lt;&gt;"")+('Dvd Calendar'!$E$2006:$AR$2006=TYPE4)*(TYPE4&lt;&gt;"")+('Dvd Calendar'!$E$2006:$AR$2006=SPECIAL_LBL)*(INC_SPECIALS="Y"))*(COUNTIF('Dvd Calendar'!$E$2008:$AR$2008,'Dvd Calendar'!$E$2001:$AR$2001)=0)))</f>
        <v/>
      </c>
      <c r="L47" s="128">
        <f>IF($B47="",0,IF((OV_SWITCH="ON")*(COUNTIFS(OVR_TICKERS,$C47,OVR_BASE,"&gt;=0")&gt;0)&gt;0,SUMIFS(OVR_BASE,OVR_TICKERS,$C47),$K47))</f>
        <v/>
      </c>
      <c r="M47" s="128">
        <f>IF($B47="",0,IF((OV_SWITCH="ON")*(COUNTIFS(OVR_TICKERS,$C47,OVR_LOW,"&gt;=0")&gt;0)&gt;0,SUMIFS(OVR_LOW,OVR_TICKERS,$C47),$L47))</f>
        <v/>
      </c>
      <c r="N47" s="128">
        <f>IF($B47="",0,IF((OV_SWITCH="ON")*(COUNTIFS(OVR_TICKERS,$C47,OVR_HIGH,"&gt;=0")&gt;0)&gt;0,SUMIFS(OVR_HIGH,OVR_TICKERS,$C47),$L47))</f>
        <v/>
      </c>
      <c r="O47" s="133">
        <f>IF($B47="","",IFERROR($B47*$G47*$J47/$B$3,""))</f>
        <v/>
      </c>
      <c r="P47" s="133">
        <f>IF($B47="","",IFERROR($B47*$G47*$L47/$B$3,""))</f>
        <v/>
      </c>
      <c r="Q47" s="124">
        <f>IF($B47="","",IFERROR($O47+$P47,""))</f>
        <v/>
      </c>
      <c r="R47" s="133">
        <f>IF($B47="","",IFERROR($O47+$B47*$G47*$M47/$B$3,""))</f>
        <v/>
      </c>
      <c r="S47" s="133">
        <f>IF($B47="","",IFERROR($O47+$B47*$G47*$N47/$B$3,""))</f>
        <v/>
      </c>
      <c r="T47" s="150">
        <f>IF($B47="","",IFERROR($Q47/$Q$5,""))</f>
        <v/>
      </c>
      <c r="U47" s="2">
        <f>IF($B47="","",IF(COUNTIFS('Dvd Calendar'!$E$2007:$AR$2007,"&gt;0",'Dvd Calendar'!$E$2007:$AR$2007,"&lt;="&amp;VAL_DATE,'Dvd Calendar'!$E$2008:$AR$2008,"&gt;"&amp;PROJ_FROM,'Dvd Calendar'!$E$2008:$AR$2008,"&lt;="&amp;WIN_TO)-COUNTIFS('Dvd Calendar'!$E$2007:$AR$2007,"&gt;0",'Dvd Calendar'!$E$2007:$AR$2007,"&lt;="&amp;VAL_DATE,'Dvd Calendar'!$E$2008:$AR$2008,"&gt;"&amp;PROJ_FROM,'Dvd Calendar'!$E$2008:$AR$2008,"&lt;="&amp;WIN_TO,'Dvd Calendar'!$E$2009:$AR$2009,"&gt;=0")&gt;0,"TBA amount - override me",IF((OV_SWITCH="ON")*(COUNTIFS(OVR_TICKERS,$C47,OVR_BASE,"&gt;=0")&gt;0)&gt;0,"overridden",IF($J47+$K47=0,"no dividend in year Y",""))))</f>
        <v/>
      </c>
      <c r="V47" s="133">
        <f>IF($B47="","",IFERROR(IF(ISNUMBER($H47),$B47*$G47*$H47/$B$3,0),""))</f>
        <v/>
      </c>
      <c r="W47" s="133">
        <f>IF($B47="","",IFERROR($B47*$G47*$K47/$B$3,""))</f>
        <v/>
      </c>
      <c r="X47" s="157">
        <f>IF($C47="","",BDP($C47,"PX_LAST"))</f>
        <v/>
      </c>
      <c r="Y47" s="133">
        <f>IF($B47="","",IFERROR($B47*$X47/$B$3,""))</f>
        <v/>
      </c>
      <c r="Z47" s="137">
        <f>IF($B47="","",IFERROR($Y47/$Y$5,""))</f>
        <v/>
      </c>
    </row>
    <row r="48">
      <c r="B48" s="97" t="n"/>
      <c r="C48" s="8">
        <f>IF($A48="","",$A48&amp;" Equity")</f>
        <v/>
      </c>
      <c r="D48" s="8">
        <f>IF($C48="","",BDP($C48,"NAME"))</f>
        <v/>
      </c>
      <c r="E48" s="8">
        <f>IF($C48="","",BDP($C48,"GICS_SECTOR_NAME"))</f>
        <v/>
      </c>
      <c r="F48" s="37">
        <f>IF($C48="","",BDP($C48,FLD_CCY))</f>
        <v/>
      </c>
      <c r="G48" s="111">
        <f>IFERROR(IF(LEN($F48)&lt;&gt;3,1,IF($F48="HKD",1,BDP(IF($F48="CNY",RMB_CROSS,$F48)&amp;"HKD Curncy","PX_LAST"))),1)</f>
        <v/>
      </c>
      <c r="H48" s="133">
        <f>IF($C48="","",BDP($C48,FLD_DPS12M))</f>
        <v/>
      </c>
      <c r="I48" s="126">
        <f>IF($C48="","",BDP($C48,FLD_YLD12M))</f>
        <v/>
      </c>
      <c r="J48" s="128">
        <f>IF($B48="",0,SUMPRODUCT(('Dvd Calendar'!$E$2012:$AR$2012&gt;=WIN_FROM)*('Dvd Calendar'!$E$2012:$AR$2012&lt;=REALIZED_TO)*'Dvd Calendar'!$E$2015:$AR$2015*(('Dvd Calendar'!$E$2017:$AR$2017=TYPE1)*(TYPE1&lt;&gt;"")+('Dvd Calendar'!$E$2017:$AR$2017=TYPE2)*(TYPE2&lt;&gt;"")+('Dvd Calendar'!$E$2017:$AR$2017=TYPE3)*(TYPE3&lt;&gt;"")+('Dvd Calendar'!$E$2017:$AR$2017=TYPE4)*(TYPE4&lt;&gt;"")+('Dvd Calendar'!$E$2017:$AR$2017=SPECIAL_LBL)*(INC_SPECIALS="Y"))))</f>
        <v/>
      </c>
      <c r="K48" s="128">
        <f>IF($B48="",0,SUMIFS('Dvd Calendar'!$E$2020:$AR$2020,'Dvd Calendar'!$E$2019:$AR$2019,"&gt;"&amp;PROJ_FROM,'Dvd Calendar'!$E$2019:$AR$2019,"&lt;="&amp;WIN_TO)+SUMPRODUCT(('Dvd Calendar'!$E$2012:$AR$2012&gt;PROJ_FROM)*('Dvd Calendar'!$E$2012:$AR$2012&lt;=WIN_TO)*'Dvd Calendar'!$E$2015:$AR$2015*(('Dvd Calendar'!$E$2017:$AR$2017=TYPE1)*(TYPE1&lt;&gt;"")+('Dvd Calendar'!$E$2017:$AR$2017=TYPE2)*(TYPE2&lt;&gt;"")+('Dvd Calendar'!$E$2017:$AR$2017=TYPE3)*(TYPE3&lt;&gt;"")+('Dvd Calendar'!$E$2017:$AR$2017=TYPE4)*(TYPE4&lt;&gt;"")+('Dvd Calendar'!$E$2017:$AR$2017=SPECIAL_LBL)*(INC_SPECIALS="Y"))*(COUNTIF('Dvd Calendar'!$E$2019:$AR$2019,'Dvd Calendar'!$E$2012:$AR$2012)=0)))</f>
        <v/>
      </c>
      <c r="L48" s="128">
        <f>IF($B48="",0,IF((OV_SWITCH="ON")*(COUNTIFS(OVR_TICKERS,$C48,OVR_BASE,"&gt;=0")&gt;0)&gt;0,SUMIFS(OVR_BASE,OVR_TICKERS,$C48),$K48))</f>
        <v/>
      </c>
      <c r="M48" s="128">
        <f>IF($B48="",0,IF((OV_SWITCH="ON")*(COUNTIFS(OVR_TICKERS,$C48,OVR_LOW,"&gt;=0")&gt;0)&gt;0,SUMIFS(OVR_LOW,OVR_TICKERS,$C48),$L48))</f>
        <v/>
      </c>
      <c r="N48" s="128">
        <f>IF($B48="",0,IF((OV_SWITCH="ON")*(COUNTIFS(OVR_TICKERS,$C48,OVR_HIGH,"&gt;=0")&gt;0)&gt;0,SUMIFS(OVR_HIGH,OVR_TICKERS,$C48),$L48))</f>
        <v/>
      </c>
      <c r="O48" s="133">
        <f>IF($B48="","",IFERROR($B48*$G48*$J48/$B$3,""))</f>
        <v/>
      </c>
      <c r="P48" s="133">
        <f>IF($B48="","",IFERROR($B48*$G48*$L48/$B$3,""))</f>
        <v/>
      </c>
      <c r="Q48" s="124">
        <f>IF($B48="","",IFERROR($O48+$P48,""))</f>
        <v/>
      </c>
      <c r="R48" s="133">
        <f>IF($B48="","",IFERROR($O48+$B48*$G48*$M48/$B$3,""))</f>
        <v/>
      </c>
      <c r="S48" s="133">
        <f>IF($B48="","",IFERROR($O48+$B48*$G48*$N48/$B$3,""))</f>
        <v/>
      </c>
      <c r="T48" s="150">
        <f>IF($B48="","",IFERROR($Q48/$Q$5,""))</f>
        <v/>
      </c>
      <c r="U48" s="2">
        <f>IF($B48="","",IF(COUNTIFS('Dvd Calendar'!$E$2018:$AR$2018,"&gt;0",'Dvd Calendar'!$E$2018:$AR$2018,"&lt;="&amp;VAL_DATE,'Dvd Calendar'!$E$2019:$AR$2019,"&gt;"&amp;PROJ_FROM,'Dvd Calendar'!$E$2019:$AR$2019,"&lt;="&amp;WIN_TO)-COUNTIFS('Dvd Calendar'!$E$2018:$AR$2018,"&gt;0",'Dvd Calendar'!$E$2018:$AR$2018,"&lt;="&amp;VAL_DATE,'Dvd Calendar'!$E$2019:$AR$2019,"&gt;"&amp;PROJ_FROM,'Dvd Calendar'!$E$2019:$AR$2019,"&lt;="&amp;WIN_TO,'Dvd Calendar'!$E$2020:$AR$2020,"&gt;=0")&gt;0,"TBA amount - override me",IF((OV_SWITCH="ON")*(COUNTIFS(OVR_TICKERS,$C48,OVR_BASE,"&gt;=0")&gt;0)&gt;0,"overridden",IF($J48+$K48=0,"no dividend in year Y",""))))</f>
        <v/>
      </c>
      <c r="V48" s="133">
        <f>IF($B48="","",IFERROR(IF(ISNUMBER($H48),$B48*$G48*$H48/$B$3,0),""))</f>
        <v/>
      </c>
      <c r="W48" s="133">
        <f>IF($B48="","",IFERROR($B48*$G48*$K48/$B$3,""))</f>
        <v/>
      </c>
      <c r="X48" s="157">
        <f>IF($C48="","",BDP($C48,"PX_LAST"))</f>
        <v/>
      </c>
      <c r="Y48" s="133">
        <f>IF($B48="","",IFERROR($B48*$X48/$B$3,""))</f>
        <v/>
      </c>
      <c r="Z48" s="137">
        <f>IF($B48="","",IFERROR($Y48/$Y$5,""))</f>
        <v/>
      </c>
    </row>
    <row r="49">
      <c r="B49" s="97" t="n"/>
      <c r="C49" s="8">
        <f>IF($A49="","",$A49&amp;" Equity")</f>
        <v/>
      </c>
      <c r="D49" s="8">
        <f>IF($C49="","",BDP($C49,"NAME"))</f>
        <v/>
      </c>
      <c r="E49" s="8">
        <f>IF($C49="","",BDP($C49,"GICS_SECTOR_NAME"))</f>
        <v/>
      </c>
      <c r="F49" s="37">
        <f>IF($C49="","",BDP($C49,FLD_CCY))</f>
        <v/>
      </c>
      <c r="G49" s="111">
        <f>IFERROR(IF(LEN($F49)&lt;&gt;3,1,IF($F49="HKD",1,BDP(IF($F49="CNY",RMB_CROSS,$F49)&amp;"HKD Curncy","PX_LAST"))),1)</f>
        <v/>
      </c>
      <c r="H49" s="133">
        <f>IF($C49="","",BDP($C49,FLD_DPS12M))</f>
        <v/>
      </c>
      <c r="I49" s="126">
        <f>IF($C49="","",BDP($C49,FLD_YLD12M))</f>
        <v/>
      </c>
      <c r="J49" s="128">
        <f>IF($B49="",0,SUMPRODUCT(('Dvd Calendar'!$E$2023:$AR$2023&gt;=WIN_FROM)*('Dvd Calendar'!$E$2023:$AR$2023&lt;=REALIZED_TO)*'Dvd Calendar'!$E$2026:$AR$2026*(('Dvd Calendar'!$E$2028:$AR$2028=TYPE1)*(TYPE1&lt;&gt;"")+('Dvd Calendar'!$E$2028:$AR$2028=TYPE2)*(TYPE2&lt;&gt;"")+('Dvd Calendar'!$E$2028:$AR$2028=TYPE3)*(TYPE3&lt;&gt;"")+('Dvd Calendar'!$E$2028:$AR$2028=TYPE4)*(TYPE4&lt;&gt;"")+('Dvd Calendar'!$E$2028:$AR$2028=SPECIAL_LBL)*(INC_SPECIALS="Y"))))</f>
        <v/>
      </c>
      <c r="K49" s="128">
        <f>IF($B49="",0,SUMIFS('Dvd Calendar'!$E$2031:$AR$2031,'Dvd Calendar'!$E$2030:$AR$2030,"&gt;"&amp;PROJ_FROM,'Dvd Calendar'!$E$2030:$AR$2030,"&lt;="&amp;WIN_TO)+SUMPRODUCT(('Dvd Calendar'!$E$2023:$AR$2023&gt;PROJ_FROM)*('Dvd Calendar'!$E$2023:$AR$2023&lt;=WIN_TO)*'Dvd Calendar'!$E$2026:$AR$2026*(('Dvd Calendar'!$E$2028:$AR$2028=TYPE1)*(TYPE1&lt;&gt;"")+('Dvd Calendar'!$E$2028:$AR$2028=TYPE2)*(TYPE2&lt;&gt;"")+('Dvd Calendar'!$E$2028:$AR$2028=TYPE3)*(TYPE3&lt;&gt;"")+('Dvd Calendar'!$E$2028:$AR$2028=TYPE4)*(TYPE4&lt;&gt;"")+('Dvd Calendar'!$E$2028:$AR$2028=SPECIAL_LBL)*(INC_SPECIALS="Y"))*(COUNTIF('Dvd Calendar'!$E$2030:$AR$2030,'Dvd Calendar'!$E$2023:$AR$2023)=0)))</f>
        <v/>
      </c>
      <c r="L49" s="128">
        <f>IF($B49="",0,IF((OV_SWITCH="ON")*(COUNTIFS(OVR_TICKERS,$C49,OVR_BASE,"&gt;=0")&gt;0)&gt;0,SUMIFS(OVR_BASE,OVR_TICKERS,$C49),$K49))</f>
        <v/>
      </c>
      <c r="M49" s="128">
        <f>IF($B49="",0,IF((OV_SWITCH="ON")*(COUNTIFS(OVR_TICKERS,$C49,OVR_LOW,"&gt;=0")&gt;0)&gt;0,SUMIFS(OVR_LOW,OVR_TICKERS,$C49),$L49))</f>
        <v/>
      </c>
      <c r="N49" s="128">
        <f>IF($B49="",0,IF((OV_SWITCH="ON")*(COUNTIFS(OVR_TICKERS,$C49,OVR_HIGH,"&gt;=0")&gt;0)&gt;0,SUMIFS(OVR_HIGH,OVR_TICKERS,$C49),$L49))</f>
        <v/>
      </c>
      <c r="O49" s="133">
        <f>IF($B49="","",IFERROR($B49*$G49*$J49/$B$3,""))</f>
        <v/>
      </c>
      <c r="P49" s="133">
        <f>IF($B49="","",IFERROR($B49*$G49*$L49/$B$3,""))</f>
        <v/>
      </c>
      <c r="Q49" s="124">
        <f>IF($B49="","",IFERROR($O49+$P49,""))</f>
        <v/>
      </c>
      <c r="R49" s="133">
        <f>IF($B49="","",IFERROR($O49+$B49*$G49*$M49/$B$3,""))</f>
        <v/>
      </c>
      <c r="S49" s="133">
        <f>IF($B49="","",IFERROR($O49+$B49*$G49*$N49/$B$3,""))</f>
        <v/>
      </c>
      <c r="T49" s="150">
        <f>IF($B49="","",IFERROR($Q49/$Q$5,""))</f>
        <v/>
      </c>
      <c r="U49" s="2">
        <f>IF($B49="","",IF(COUNTIFS('Dvd Calendar'!$E$2029:$AR$2029,"&gt;0",'Dvd Calendar'!$E$2029:$AR$2029,"&lt;="&amp;VAL_DATE,'Dvd Calendar'!$E$2030:$AR$2030,"&gt;"&amp;PROJ_FROM,'Dvd Calendar'!$E$2030:$AR$2030,"&lt;="&amp;WIN_TO)-COUNTIFS('Dvd Calendar'!$E$2029:$AR$2029,"&gt;0",'Dvd Calendar'!$E$2029:$AR$2029,"&lt;="&amp;VAL_DATE,'Dvd Calendar'!$E$2030:$AR$2030,"&gt;"&amp;PROJ_FROM,'Dvd Calendar'!$E$2030:$AR$2030,"&lt;="&amp;WIN_TO,'Dvd Calendar'!$E$2031:$AR$2031,"&gt;=0")&gt;0,"TBA amount - override me",IF((OV_SWITCH="ON")*(COUNTIFS(OVR_TICKERS,$C49,OVR_BASE,"&gt;=0")&gt;0)&gt;0,"overridden",IF($J49+$K49=0,"no dividend in year Y",""))))</f>
        <v/>
      </c>
      <c r="V49" s="133">
        <f>IF($B49="","",IFERROR(IF(ISNUMBER($H49),$B49*$G49*$H49/$B$3,0),""))</f>
        <v/>
      </c>
      <c r="W49" s="133">
        <f>IF($B49="","",IFERROR($B49*$G49*$K49/$B$3,""))</f>
        <v/>
      </c>
      <c r="X49" s="157">
        <f>IF($C49="","",BDP($C49,"PX_LAST"))</f>
        <v/>
      </c>
      <c r="Y49" s="133">
        <f>IF($B49="","",IFERROR($B49*$X49/$B$3,""))</f>
        <v/>
      </c>
      <c r="Z49" s="137">
        <f>IF($B49="","",IFERROR($Y49/$Y$5,""))</f>
        <v/>
      </c>
    </row>
    <row r="50">
      <c r="B50" s="97" t="n"/>
      <c r="C50" s="8">
        <f>IF($A50="","",$A50&amp;" Equity")</f>
        <v/>
      </c>
      <c r="D50" s="8">
        <f>IF($C50="","",BDP($C50,"NAME"))</f>
        <v/>
      </c>
      <c r="E50" s="8">
        <f>IF($C50="","",BDP($C50,"GICS_SECTOR_NAME"))</f>
        <v/>
      </c>
      <c r="F50" s="37">
        <f>IF($C50="","",BDP($C50,FLD_CCY))</f>
        <v/>
      </c>
      <c r="G50" s="111">
        <f>IFERROR(IF(LEN($F50)&lt;&gt;3,1,IF($F50="HKD",1,BDP(IF($F50="CNY",RMB_CROSS,$F50)&amp;"HKD Curncy","PX_LAST"))),1)</f>
        <v/>
      </c>
      <c r="H50" s="133">
        <f>IF($C50="","",BDP($C50,FLD_DPS12M))</f>
        <v/>
      </c>
      <c r="I50" s="126">
        <f>IF($C50="","",BDP($C50,FLD_YLD12M))</f>
        <v/>
      </c>
      <c r="J50" s="128">
        <f>IF($B50="",0,SUMPRODUCT(('Dvd Calendar'!$E$2034:$AR$2034&gt;=WIN_FROM)*('Dvd Calendar'!$E$2034:$AR$2034&lt;=REALIZED_TO)*'Dvd Calendar'!$E$2037:$AR$2037*(('Dvd Calendar'!$E$2039:$AR$2039=TYPE1)*(TYPE1&lt;&gt;"")+('Dvd Calendar'!$E$2039:$AR$2039=TYPE2)*(TYPE2&lt;&gt;"")+('Dvd Calendar'!$E$2039:$AR$2039=TYPE3)*(TYPE3&lt;&gt;"")+('Dvd Calendar'!$E$2039:$AR$2039=TYPE4)*(TYPE4&lt;&gt;"")+('Dvd Calendar'!$E$2039:$AR$2039=SPECIAL_LBL)*(INC_SPECIALS="Y"))))</f>
        <v/>
      </c>
      <c r="K50" s="128">
        <f>IF($B50="",0,SUMIFS('Dvd Calendar'!$E$2042:$AR$2042,'Dvd Calendar'!$E$2041:$AR$2041,"&gt;"&amp;PROJ_FROM,'Dvd Calendar'!$E$2041:$AR$2041,"&lt;="&amp;WIN_TO)+SUMPRODUCT(('Dvd Calendar'!$E$2034:$AR$2034&gt;PROJ_FROM)*('Dvd Calendar'!$E$2034:$AR$2034&lt;=WIN_TO)*'Dvd Calendar'!$E$2037:$AR$2037*(('Dvd Calendar'!$E$2039:$AR$2039=TYPE1)*(TYPE1&lt;&gt;"")+('Dvd Calendar'!$E$2039:$AR$2039=TYPE2)*(TYPE2&lt;&gt;"")+('Dvd Calendar'!$E$2039:$AR$2039=TYPE3)*(TYPE3&lt;&gt;"")+('Dvd Calendar'!$E$2039:$AR$2039=TYPE4)*(TYPE4&lt;&gt;"")+('Dvd Calendar'!$E$2039:$AR$2039=SPECIAL_LBL)*(INC_SPECIALS="Y"))*(COUNTIF('Dvd Calendar'!$E$2041:$AR$2041,'Dvd Calendar'!$E$2034:$AR$2034)=0)))</f>
        <v/>
      </c>
      <c r="L50" s="128">
        <f>IF($B50="",0,IF((OV_SWITCH="ON")*(COUNTIFS(OVR_TICKERS,$C50,OVR_BASE,"&gt;=0")&gt;0)&gt;0,SUMIFS(OVR_BASE,OVR_TICKERS,$C50),$K50))</f>
        <v/>
      </c>
      <c r="M50" s="128">
        <f>IF($B50="",0,IF((OV_SWITCH="ON")*(COUNTIFS(OVR_TICKERS,$C50,OVR_LOW,"&gt;=0")&gt;0)&gt;0,SUMIFS(OVR_LOW,OVR_TICKERS,$C50),$L50))</f>
        <v/>
      </c>
      <c r="N50" s="128">
        <f>IF($B50="",0,IF((OV_SWITCH="ON")*(COUNTIFS(OVR_TICKERS,$C50,OVR_HIGH,"&gt;=0")&gt;0)&gt;0,SUMIFS(OVR_HIGH,OVR_TICKERS,$C50),$L50))</f>
        <v/>
      </c>
      <c r="O50" s="133">
        <f>IF($B50="","",IFERROR($B50*$G50*$J50/$B$3,""))</f>
        <v/>
      </c>
      <c r="P50" s="133">
        <f>IF($B50="","",IFERROR($B50*$G50*$L50/$B$3,""))</f>
        <v/>
      </c>
      <c r="Q50" s="124">
        <f>IF($B50="","",IFERROR($O50+$P50,""))</f>
        <v/>
      </c>
      <c r="R50" s="133">
        <f>IF($B50="","",IFERROR($O50+$B50*$G50*$M50/$B$3,""))</f>
        <v/>
      </c>
      <c r="S50" s="133">
        <f>IF($B50="","",IFERROR($O50+$B50*$G50*$N50/$B$3,""))</f>
        <v/>
      </c>
      <c r="T50" s="150">
        <f>IF($B50="","",IFERROR($Q50/$Q$5,""))</f>
        <v/>
      </c>
      <c r="U50" s="2">
        <f>IF($B50="","",IF(COUNTIFS('Dvd Calendar'!$E$2040:$AR$2040,"&gt;0",'Dvd Calendar'!$E$2040:$AR$2040,"&lt;="&amp;VAL_DATE,'Dvd Calendar'!$E$2041:$AR$2041,"&gt;"&amp;PROJ_FROM,'Dvd Calendar'!$E$2041:$AR$2041,"&lt;="&amp;WIN_TO)-COUNTIFS('Dvd Calendar'!$E$2040:$AR$2040,"&gt;0",'Dvd Calendar'!$E$2040:$AR$2040,"&lt;="&amp;VAL_DATE,'Dvd Calendar'!$E$2041:$AR$2041,"&gt;"&amp;PROJ_FROM,'Dvd Calendar'!$E$2041:$AR$2041,"&lt;="&amp;WIN_TO,'Dvd Calendar'!$E$2042:$AR$2042,"&gt;=0")&gt;0,"TBA amount - override me",IF((OV_SWITCH="ON")*(COUNTIFS(OVR_TICKERS,$C50,OVR_BASE,"&gt;=0")&gt;0)&gt;0,"overridden",IF($J50+$K50=0,"no dividend in year Y",""))))</f>
        <v/>
      </c>
      <c r="V50" s="133">
        <f>IF($B50="","",IFERROR(IF(ISNUMBER($H50),$B50*$G50*$H50/$B$3,0),""))</f>
        <v/>
      </c>
      <c r="W50" s="133">
        <f>IF($B50="","",IFERROR($B50*$G50*$K50/$B$3,""))</f>
        <v/>
      </c>
      <c r="X50" s="157">
        <f>IF($C50="","",BDP($C50,"PX_LAST"))</f>
        <v/>
      </c>
      <c r="Y50" s="133">
        <f>IF($B50="","",IFERROR($B50*$X50/$B$3,""))</f>
        <v/>
      </c>
      <c r="Z50" s="137">
        <f>IF($B50="","",IFERROR($Y50/$Y$5,""))</f>
        <v/>
      </c>
    </row>
    <row r="51">
      <c r="B51" s="97" t="n"/>
      <c r="C51" s="8">
        <f>IF($A51="","",$A51&amp;" Equity")</f>
        <v/>
      </c>
      <c r="D51" s="8">
        <f>IF($C51="","",BDP($C51,"NAME"))</f>
        <v/>
      </c>
      <c r="E51" s="8">
        <f>IF($C51="","",BDP($C51,"GICS_SECTOR_NAME"))</f>
        <v/>
      </c>
      <c r="F51" s="37">
        <f>IF($C51="","",BDP($C51,FLD_CCY))</f>
        <v/>
      </c>
      <c r="G51" s="111">
        <f>IFERROR(IF(LEN($F51)&lt;&gt;3,1,IF($F51="HKD",1,BDP(IF($F51="CNY",RMB_CROSS,$F51)&amp;"HKD Curncy","PX_LAST"))),1)</f>
        <v/>
      </c>
      <c r="H51" s="133">
        <f>IF($C51="","",BDP($C51,FLD_DPS12M))</f>
        <v/>
      </c>
      <c r="I51" s="126">
        <f>IF($C51="","",BDP($C51,FLD_YLD12M))</f>
        <v/>
      </c>
      <c r="J51" s="128">
        <f>IF($B51="",0,SUMPRODUCT(('Dvd Calendar'!$E$2045:$AR$2045&gt;=WIN_FROM)*('Dvd Calendar'!$E$2045:$AR$2045&lt;=REALIZED_TO)*'Dvd Calendar'!$E$2048:$AR$2048*(('Dvd Calendar'!$E$2050:$AR$2050=TYPE1)*(TYPE1&lt;&gt;"")+('Dvd Calendar'!$E$2050:$AR$2050=TYPE2)*(TYPE2&lt;&gt;"")+('Dvd Calendar'!$E$2050:$AR$2050=TYPE3)*(TYPE3&lt;&gt;"")+('Dvd Calendar'!$E$2050:$AR$2050=TYPE4)*(TYPE4&lt;&gt;"")+('Dvd Calendar'!$E$2050:$AR$2050=SPECIAL_LBL)*(INC_SPECIALS="Y"))))</f>
        <v/>
      </c>
      <c r="K51" s="128">
        <f>IF($B51="",0,SUMIFS('Dvd Calendar'!$E$2053:$AR$2053,'Dvd Calendar'!$E$2052:$AR$2052,"&gt;"&amp;PROJ_FROM,'Dvd Calendar'!$E$2052:$AR$2052,"&lt;="&amp;WIN_TO)+SUMPRODUCT(('Dvd Calendar'!$E$2045:$AR$2045&gt;PROJ_FROM)*('Dvd Calendar'!$E$2045:$AR$2045&lt;=WIN_TO)*'Dvd Calendar'!$E$2048:$AR$2048*(('Dvd Calendar'!$E$2050:$AR$2050=TYPE1)*(TYPE1&lt;&gt;"")+('Dvd Calendar'!$E$2050:$AR$2050=TYPE2)*(TYPE2&lt;&gt;"")+('Dvd Calendar'!$E$2050:$AR$2050=TYPE3)*(TYPE3&lt;&gt;"")+('Dvd Calendar'!$E$2050:$AR$2050=TYPE4)*(TYPE4&lt;&gt;"")+('Dvd Calendar'!$E$2050:$AR$2050=SPECIAL_LBL)*(INC_SPECIALS="Y"))*(COUNTIF('Dvd Calendar'!$E$2052:$AR$2052,'Dvd Calendar'!$E$2045:$AR$2045)=0)))</f>
        <v/>
      </c>
      <c r="L51" s="128">
        <f>IF($B51="",0,IF((OV_SWITCH="ON")*(COUNTIFS(OVR_TICKERS,$C51,OVR_BASE,"&gt;=0")&gt;0)&gt;0,SUMIFS(OVR_BASE,OVR_TICKERS,$C51),$K51))</f>
        <v/>
      </c>
      <c r="M51" s="128">
        <f>IF($B51="",0,IF((OV_SWITCH="ON")*(COUNTIFS(OVR_TICKERS,$C51,OVR_LOW,"&gt;=0")&gt;0)&gt;0,SUMIFS(OVR_LOW,OVR_TICKERS,$C51),$L51))</f>
        <v/>
      </c>
      <c r="N51" s="128">
        <f>IF($B51="",0,IF((OV_SWITCH="ON")*(COUNTIFS(OVR_TICKERS,$C51,OVR_HIGH,"&gt;=0")&gt;0)&gt;0,SUMIFS(OVR_HIGH,OVR_TICKERS,$C51),$L51))</f>
        <v/>
      </c>
      <c r="O51" s="133">
        <f>IF($B51="","",IFERROR($B51*$G51*$J51/$B$3,""))</f>
        <v/>
      </c>
      <c r="P51" s="133">
        <f>IF($B51="","",IFERROR($B51*$G51*$L51/$B$3,""))</f>
        <v/>
      </c>
      <c r="Q51" s="124">
        <f>IF($B51="","",IFERROR($O51+$P51,""))</f>
        <v/>
      </c>
      <c r="R51" s="133">
        <f>IF($B51="","",IFERROR($O51+$B51*$G51*$M51/$B$3,""))</f>
        <v/>
      </c>
      <c r="S51" s="133">
        <f>IF($B51="","",IFERROR($O51+$B51*$G51*$N51/$B$3,""))</f>
        <v/>
      </c>
      <c r="T51" s="150">
        <f>IF($B51="","",IFERROR($Q51/$Q$5,""))</f>
        <v/>
      </c>
      <c r="U51" s="2">
        <f>IF($B51="","",IF(COUNTIFS('Dvd Calendar'!$E$2051:$AR$2051,"&gt;0",'Dvd Calendar'!$E$2051:$AR$2051,"&lt;="&amp;VAL_DATE,'Dvd Calendar'!$E$2052:$AR$2052,"&gt;"&amp;PROJ_FROM,'Dvd Calendar'!$E$2052:$AR$2052,"&lt;="&amp;WIN_TO)-COUNTIFS('Dvd Calendar'!$E$2051:$AR$2051,"&gt;0",'Dvd Calendar'!$E$2051:$AR$2051,"&lt;="&amp;VAL_DATE,'Dvd Calendar'!$E$2052:$AR$2052,"&gt;"&amp;PROJ_FROM,'Dvd Calendar'!$E$2052:$AR$2052,"&lt;="&amp;WIN_TO,'Dvd Calendar'!$E$2053:$AR$2053,"&gt;=0")&gt;0,"TBA amount - override me",IF((OV_SWITCH="ON")*(COUNTIFS(OVR_TICKERS,$C51,OVR_BASE,"&gt;=0")&gt;0)&gt;0,"overridden",IF($J51+$K51=0,"no dividend in year Y",""))))</f>
        <v/>
      </c>
      <c r="V51" s="133">
        <f>IF($B51="","",IFERROR(IF(ISNUMBER($H51),$B51*$G51*$H51/$B$3,0),""))</f>
        <v/>
      </c>
      <c r="W51" s="133">
        <f>IF($B51="","",IFERROR($B51*$G51*$K51/$B$3,""))</f>
        <v/>
      </c>
      <c r="X51" s="157">
        <f>IF($C51="","",BDP($C51,"PX_LAST"))</f>
        <v/>
      </c>
      <c r="Y51" s="133">
        <f>IF($B51="","",IFERROR($B51*$X51/$B$3,""))</f>
        <v/>
      </c>
      <c r="Z51" s="137">
        <f>IF($B51="","",IFERROR($Y51/$Y$5,""))</f>
        <v/>
      </c>
    </row>
    <row r="52">
      <c r="B52" s="97" t="n"/>
      <c r="C52" s="8">
        <f>IF($A52="","",$A52&amp;" Equity")</f>
        <v/>
      </c>
      <c r="D52" s="8">
        <f>IF($C52="","",BDP($C52,"NAME"))</f>
        <v/>
      </c>
      <c r="E52" s="8">
        <f>IF($C52="","",BDP($C52,"GICS_SECTOR_NAME"))</f>
        <v/>
      </c>
      <c r="F52" s="37">
        <f>IF($C52="","",BDP($C52,FLD_CCY))</f>
        <v/>
      </c>
      <c r="G52" s="111">
        <f>IFERROR(IF(LEN($F52)&lt;&gt;3,1,IF($F52="HKD",1,BDP(IF($F52="CNY",RMB_CROSS,$F52)&amp;"HKD Curncy","PX_LAST"))),1)</f>
        <v/>
      </c>
      <c r="H52" s="133">
        <f>IF($C52="","",BDP($C52,FLD_DPS12M))</f>
        <v/>
      </c>
      <c r="I52" s="126">
        <f>IF($C52="","",BDP($C52,FLD_YLD12M))</f>
        <v/>
      </c>
      <c r="J52" s="128">
        <f>IF($B52="",0,SUMPRODUCT(('Dvd Calendar'!$E$2056:$AR$2056&gt;=WIN_FROM)*('Dvd Calendar'!$E$2056:$AR$2056&lt;=REALIZED_TO)*'Dvd Calendar'!$E$2059:$AR$2059*(('Dvd Calendar'!$E$2061:$AR$2061=TYPE1)*(TYPE1&lt;&gt;"")+('Dvd Calendar'!$E$2061:$AR$2061=TYPE2)*(TYPE2&lt;&gt;"")+('Dvd Calendar'!$E$2061:$AR$2061=TYPE3)*(TYPE3&lt;&gt;"")+('Dvd Calendar'!$E$2061:$AR$2061=TYPE4)*(TYPE4&lt;&gt;"")+('Dvd Calendar'!$E$2061:$AR$2061=SPECIAL_LBL)*(INC_SPECIALS="Y"))))</f>
        <v/>
      </c>
      <c r="K52" s="128">
        <f>IF($B52="",0,SUMIFS('Dvd Calendar'!$E$2064:$AR$2064,'Dvd Calendar'!$E$2063:$AR$2063,"&gt;"&amp;PROJ_FROM,'Dvd Calendar'!$E$2063:$AR$2063,"&lt;="&amp;WIN_TO)+SUMPRODUCT(('Dvd Calendar'!$E$2056:$AR$2056&gt;PROJ_FROM)*('Dvd Calendar'!$E$2056:$AR$2056&lt;=WIN_TO)*'Dvd Calendar'!$E$2059:$AR$2059*(('Dvd Calendar'!$E$2061:$AR$2061=TYPE1)*(TYPE1&lt;&gt;"")+('Dvd Calendar'!$E$2061:$AR$2061=TYPE2)*(TYPE2&lt;&gt;"")+('Dvd Calendar'!$E$2061:$AR$2061=TYPE3)*(TYPE3&lt;&gt;"")+('Dvd Calendar'!$E$2061:$AR$2061=TYPE4)*(TYPE4&lt;&gt;"")+('Dvd Calendar'!$E$2061:$AR$2061=SPECIAL_LBL)*(INC_SPECIALS="Y"))*(COUNTIF('Dvd Calendar'!$E$2063:$AR$2063,'Dvd Calendar'!$E$2056:$AR$2056)=0)))</f>
        <v/>
      </c>
      <c r="L52" s="128">
        <f>IF($B52="",0,IF((OV_SWITCH="ON")*(COUNTIFS(OVR_TICKERS,$C52,OVR_BASE,"&gt;=0")&gt;0)&gt;0,SUMIFS(OVR_BASE,OVR_TICKERS,$C52),$K52))</f>
        <v/>
      </c>
      <c r="M52" s="128">
        <f>IF($B52="",0,IF((OV_SWITCH="ON")*(COUNTIFS(OVR_TICKERS,$C52,OVR_LOW,"&gt;=0")&gt;0)&gt;0,SUMIFS(OVR_LOW,OVR_TICKERS,$C52),$L52))</f>
        <v/>
      </c>
      <c r="N52" s="128">
        <f>IF($B52="",0,IF((OV_SWITCH="ON")*(COUNTIFS(OVR_TICKERS,$C52,OVR_HIGH,"&gt;=0")&gt;0)&gt;0,SUMIFS(OVR_HIGH,OVR_TICKERS,$C52),$L52))</f>
        <v/>
      </c>
      <c r="O52" s="133">
        <f>IF($B52="","",IFERROR($B52*$G52*$J52/$B$3,""))</f>
        <v/>
      </c>
      <c r="P52" s="133">
        <f>IF($B52="","",IFERROR($B52*$G52*$L52/$B$3,""))</f>
        <v/>
      </c>
      <c r="Q52" s="124">
        <f>IF($B52="","",IFERROR($O52+$P52,""))</f>
        <v/>
      </c>
      <c r="R52" s="133">
        <f>IF($B52="","",IFERROR($O52+$B52*$G52*$M52/$B$3,""))</f>
        <v/>
      </c>
      <c r="S52" s="133">
        <f>IF($B52="","",IFERROR($O52+$B52*$G52*$N52/$B$3,""))</f>
        <v/>
      </c>
      <c r="T52" s="150">
        <f>IF($B52="","",IFERROR($Q52/$Q$5,""))</f>
        <v/>
      </c>
      <c r="U52" s="2">
        <f>IF($B52="","",IF(COUNTIFS('Dvd Calendar'!$E$2062:$AR$2062,"&gt;0",'Dvd Calendar'!$E$2062:$AR$2062,"&lt;="&amp;VAL_DATE,'Dvd Calendar'!$E$2063:$AR$2063,"&gt;"&amp;PROJ_FROM,'Dvd Calendar'!$E$2063:$AR$2063,"&lt;="&amp;WIN_TO)-COUNTIFS('Dvd Calendar'!$E$2062:$AR$2062,"&gt;0",'Dvd Calendar'!$E$2062:$AR$2062,"&lt;="&amp;VAL_DATE,'Dvd Calendar'!$E$2063:$AR$2063,"&gt;"&amp;PROJ_FROM,'Dvd Calendar'!$E$2063:$AR$2063,"&lt;="&amp;WIN_TO,'Dvd Calendar'!$E$2064:$AR$2064,"&gt;=0")&gt;0,"TBA amount - override me",IF((OV_SWITCH="ON")*(COUNTIFS(OVR_TICKERS,$C52,OVR_BASE,"&gt;=0")&gt;0)&gt;0,"overridden",IF($J52+$K52=0,"no dividend in year Y",""))))</f>
        <v/>
      </c>
      <c r="V52" s="133">
        <f>IF($B52="","",IFERROR(IF(ISNUMBER($H52),$B52*$G52*$H52/$B$3,0),""))</f>
        <v/>
      </c>
      <c r="W52" s="133">
        <f>IF($B52="","",IFERROR($B52*$G52*$K52/$B$3,""))</f>
        <v/>
      </c>
      <c r="X52" s="157">
        <f>IF($C52="","",BDP($C52,"PX_LAST"))</f>
        <v/>
      </c>
      <c r="Y52" s="133">
        <f>IF($B52="","",IFERROR($B52*$X52/$B$3,""))</f>
        <v/>
      </c>
      <c r="Z52" s="137">
        <f>IF($B52="","",IFERROR($Y52/$Y$5,""))</f>
        <v/>
      </c>
    </row>
    <row r="53">
      <c r="B53" s="97" t="n"/>
      <c r="C53" s="8">
        <f>IF($A53="","",$A53&amp;" Equity")</f>
        <v/>
      </c>
      <c r="D53" s="8">
        <f>IF($C53="","",BDP($C53,"NAME"))</f>
        <v/>
      </c>
      <c r="E53" s="8">
        <f>IF($C53="","",BDP($C53,"GICS_SECTOR_NAME"))</f>
        <v/>
      </c>
      <c r="F53" s="37">
        <f>IF($C53="","",BDP($C53,FLD_CCY))</f>
        <v/>
      </c>
      <c r="G53" s="111">
        <f>IFERROR(IF(LEN($F53)&lt;&gt;3,1,IF($F53="HKD",1,BDP(IF($F53="CNY",RMB_CROSS,$F53)&amp;"HKD Curncy","PX_LAST"))),1)</f>
        <v/>
      </c>
      <c r="H53" s="133">
        <f>IF($C53="","",BDP($C53,FLD_DPS12M))</f>
        <v/>
      </c>
      <c r="I53" s="126">
        <f>IF($C53="","",BDP($C53,FLD_YLD12M))</f>
        <v/>
      </c>
      <c r="J53" s="128">
        <f>IF($B53="",0,SUMPRODUCT(('Dvd Calendar'!$E$2067:$AR$2067&gt;=WIN_FROM)*('Dvd Calendar'!$E$2067:$AR$2067&lt;=REALIZED_TO)*'Dvd Calendar'!$E$2070:$AR$2070*(('Dvd Calendar'!$E$2072:$AR$2072=TYPE1)*(TYPE1&lt;&gt;"")+('Dvd Calendar'!$E$2072:$AR$2072=TYPE2)*(TYPE2&lt;&gt;"")+('Dvd Calendar'!$E$2072:$AR$2072=TYPE3)*(TYPE3&lt;&gt;"")+('Dvd Calendar'!$E$2072:$AR$2072=TYPE4)*(TYPE4&lt;&gt;"")+('Dvd Calendar'!$E$2072:$AR$2072=SPECIAL_LBL)*(INC_SPECIALS="Y"))))</f>
        <v/>
      </c>
      <c r="K53" s="128">
        <f>IF($B53="",0,SUMIFS('Dvd Calendar'!$E$2075:$AR$2075,'Dvd Calendar'!$E$2074:$AR$2074,"&gt;"&amp;PROJ_FROM,'Dvd Calendar'!$E$2074:$AR$2074,"&lt;="&amp;WIN_TO)+SUMPRODUCT(('Dvd Calendar'!$E$2067:$AR$2067&gt;PROJ_FROM)*('Dvd Calendar'!$E$2067:$AR$2067&lt;=WIN_TO)*'Dvd Calendar'!$E$2070:$AR$2070*(('Dvd Calendar'!$E$2072:$AR$2072=TYPE1)*(TYPE1&lt;&gt;"")+('Dvd Calendar'!$E$2072:$AR$2072=TYPE2)*(TYPE2&lt;&gt;"")+('Dvd Calendar'!$E$2072:$AR$2072=TYPE3)*(TYPE3&lt;&gt;"")+('Dvd Calendar'!$E$2072:$AR$2072=TYPE4)*(TYPE4&lt;&gt;"")+('Dvd Calendar'!$E$2072:$AR$2072=SPECIAL_LBL)*(INC_SPECIALS="Y"))*(COUNTIF('Dvd Calendar'!$E$2074:$AR$2074,'Dvd Calendar'!$E$2067:$AR$2067)=0)))</f>
        <v/>
      </c>
      <c r="L53" s="128">
        <f>IF($B53="",0,IF((OV_SWITCH="ON")*(COUNTIFS(OVR_TICKERS,$C53,OVR_BASE,"&gt;=0")&gt;0)&gt;0,SUMIFS(OVR_BASE,OVR_TICKERS,$C53),$K53))</f>
        <v/>
      </c>
      <c r="M53" s="128">
        <f>IF($B53="",0,IF((OV_SWITCH="ON")*(COUNTIFS(OVR_TICKERS,$C53,OVR_LOW,"&gt;=0")&gt;0)&gt;0,SUMIFS(OVR_LOW,OVR_TICKERS,$C53),$L53))</f>
        <v/>
      </c>
      <c r="N53" s="128">
        <f>IF($B53="",0,IF((OV_SWITCH="ON")*(COUNTIFS(OVR_TICKERS,$C53,OVR_HIGH,"&gt;=0")&gt;0)&gt;0,SUMIFS(OVR_HIGH,OVR_TICKERS,$C53),$L53))</f>
        <v/>
      </c>
      <c r="O53" s="133">
        <f>IF($B53="","",IFERROR($B53*$G53*$J53/$B$3,""))</f>
        <v/>
      </c>
      <c r="P53" s="133">
        <f>IF($B53="","",IFERROR($B53*$G53*$L53/$B$3,""))</f>
        <v/>
      </c>
      <c r="Q53" s="124">
        <f>IF($B53="","",IFERROR($O53+$P53,""))</f>
        <v/>
      </c>
      <c r="R53" s="133">
        <f>IF($B53="","",IFERROR($O53+$B53*$G53*$M53/$B$3,""))</f>
        <v/>
      </c>
      <c r="S53" s="133">
        <f>IF($B53="","",IFERROR($O53+$B53*$G53*$N53/$B$3,""))</f>
        <v/>
      </c>
      <c r="T53" s="150">
        <f>IF($B53="","",IFERROR($Q53/$Q$5,""))</f>
        <v/>
      </c>
      <c r="U53" s="2">
        <f>IF($B53="","",IF(COUNTIFS('Dvd Calendar'!$E$2073:$AR$2073,"&gt;0",'Dvd Calendar'!$E$2073:$AR$2073,"&lt;="&amp;VAL_DATE,'Dvd Calendar'!$E$2074:$AR$2074,"&gt;"&amp;PROJ_FROM,'Dvd Calendar'!$E$2074:$AR$2074,"&lt;="&amp;WIN_TO)-COUNTIFS('Dvd Calendar'!$E$2073:$AR$2073,"&gt;0",'Dvd Calendar'!$E$2073:$AR$2073,"&lt;="&amp;VAL_DATE,'Dvd Calendar'!$E$2074:$AR$2074,"&gt;"&amp;PROJ_FROM,'Dvd Calendar'!$E$2074:$AR$2074,"&lt;="&amp;WIN_TO,'Dvd Calendar'!$E$2075:$AR$2075,"&gt;=0")&gt;0,"TBA amount - override me",IF((OV_SWITCH="ON")*(COUNTIFS(OVR_TICKERS,$C53,OVR_BASE,"&gt;=0")&gt;0)&gt;0,"overridden",IF($J53+$K53=0,"no dividend in year Y",""))))</f>
        <v/>
      </c>
      <c r="V53" s="133">
        <f>IF($B53="","",IFERROR(IF(ISNUMBER($H53),$B53*$G53*$H53/$B$3,0),""))</f>
        <v/>
      </c>
      <c r="W53" s="133">
        <f>IF($B53="","",IFERROR($B53*$G53*$K53/$B$3,""))</f>
        <v/>
      </c>
      <c r="X53" s="157">
        <f>IF($C53="","",BDP($C53,"PX_LAST"))</f>
        <v/>
      </c>
      <c r="Y53" s="133">
        <f>IF($B53="","",IFERROR($B53*$X53/$B$3,""))</f>
        <v/>
      </c>
      <c r="Z53" s="137">
        <f>IF($B53="","",IFERROR($Y53/$Y$5,""))</f>
        <v/>
      </c>
    </row>
    <row r="54">
      <c r="B54" s="97" t="n"/>
      <c r="C54" s="8">
        <f>IF($A54="","",$A54&amp;" Equity")</f>
        <v/>
      </c>
      <c r="D54" s="8">
        <f>IF($C54="","",BDP($C54,"NAME"))</f>
        <v/>
      </c>
      <c r="E54" s="8">
        <f>IF($C54="","",BDP($C54,"GICS_SECTOR_NAME"))</f>
        <v/>
      </c>
      <c r="F54" s="37">
        <f>IF($C54="","",BDP($C54,FLD_CCY))</f>
        <v/>
      </c>
      <c r="G54" s="111">
        <f>IFERROR(IF(LEN($F54)&lt;&gt;3,1,IF($F54="HKD",1,BDP(IF($F54="CNY",RMB_CROSS,$F54)&amp;"HKD Curncy","PX_LAST"))),1)</f>
        <v/>
      </c>
      <c r="H54" s="133">
        <f>IF($C54="","",BDP($C54,FLD_DPS12M))</f>
        <v/>
      </c>
      <c r="I54" s="126">
        <f>IF($C54="","",BDP($C54,FLD_YLD12M))</f>
        <v/>
      </c>
      <c r="J54" s="128">
        <f>IF($B54="",0,SUMPRODUCT(('Dvd Calendar'!$E$2078:$AR$2078&gt;=WIN_FROM)*('Dvd Calendar'!$E$2078:$AR$2078&lt;=REALIZED_TO)*'Dvd Calendar'!$E$2081:$AR$2081*(('Dvd Calendar'!$E$2083:$AR$2083=TYPE1)*(TYPE1&lt;&gt;"")+('Dvd Calendar'!$E$2083:$AR$2083=TYPE2)*(TYPE2&lt;&gt;"")+('Dvd Calendar'!$E$2083:$AR$2083=TYPE3)*(TYPE3&lt;&gt;"")+('Dvd Calendar'!$E$2083:$AR$2083=TYPE4)*(TYPE4&lt;&gt;"")+('Dvd Calendar'!$E$2083:$AR$2083=SPECIAL_LBL)*(INC_SPECIALS="Y"))))</f>
        <v/>
      </c>
      <c r="K54" s="128">
        <f>IF($B54="",0,SUMIFS('Dvd Calendar'!$E$2086:$AR$2086,'Dvd Calendar'!$E$2085:$AR$2085,"&gt;"&amp;PROJ_FROM,'Dvd Calendar'!$E$2085:$AR$2085,"&lt;="&amp;WIN_TO)+SUMPRODUCT(('Dvd Calendar'!$E$2078:$AR$2078&gt;PROJ_FROM)*('Dvd Calendar'!$E$2078:$AR$2078&lt;=WIN_TO)*'Dvd Calendar'!$E$2081:$AR$2081*(('Dvd Calendar'!$E$2083:$AR$2083=TYPE1)*(TYPE1&lt;&gt;"")+('Dvd Calendar'!$E$2083:$AR$2083=TYPE2)*(TYPE2&lt;&gt;"")+('Dvd Calendar'!$E$2083:$AR$2083=TYPE3)*(TYPE3&lt;&gt;"")+('Dvd Calendar'!$E$2083:$AR$2083=TYPE4)*(TYPE4&lt;&gt;"")+('Dvd Calendar'!$E$2083:$AR$2083=SPECIAL_LBL)*(INC_SPECIALS="Y"))*(COUNTIF('Dvd Calendar'!$E$2085:$AR$2085,'Dvd Calendar'!$E$2078:$AR$2078)=0)))</f>
        <v/>
      </c>
      <c r="L54" s="128">
        <f>IF($B54="",0,IF((OV_SWITCH="ON")*(COUNTIFS(OVR_TICKERS,$C54,OVR_BASE,"&gt;=0")&gt;0)&gt;0,SUMIFS(OVR_BASE,OVR_TICKERS,$C54),$K54))</f>
        <v/>
      </c>
      <c r="M54" s="128">
        <f>IF($B54="",0,IF((OV_SWITCH="ON")*(COUNTIFS(OVR_TICKERS,$C54,OVR_LOW,"&gt;=0")&gt;0)&gt;0,SUMIFS(OVR_LOW,OVR_TICKERS,$C54),$L54))</f>
        <v/>
      </c>
      <c r="N54" s="128">
        <f>IF($B54="",0,IF((OV_SWITCH="ON")*(COUNTIFS(OVR_TICKERS,$C54,OVR_HIGH,"&gt;=0")&gt;0)&gt;0,SUMIFS(OVR_HIGH,OVR_TICKERS,$C54),$L54))</f>
        <v/>
      </c>
      <c r="O54" s="133">
        <f>IF($B54="","",IFERROR($B54*$G54*$J54/$B$3,""))</f>
        <v/>
      </c>
      <c r="P54" s="133">
        <f>IF($B54="","",IFERROR($B54*$G54*$L54/$B$3,""))</f>
        <v/>
      </c>
      <c r="Q54" s="124">
        <f>IF($B54="","",IFERROR($O54+$P54,""))</f>
        <v/>
      </c>
      <c r="R54" s="133">
        <f>IF($B54="","",IFERROR($O54+$B54*$G54*$M54/$B$3,""))</f>
        <v/>
      </c>
      <c r="S54" s="133">
        <f>IF($B54="","",IFERROR($O54+$B54*$G54*$N54/$B$3,""))</f>
        <v/>
      </c>
      <c r="T54" s="150">
        <f>IF($B54="","",IFERROR($Q54/$Q$5,""))</f>
        <v/>
      </c>
      <c r="U54" s="2">
        <f>IF($B54="","",IF(COUNTIFS('Dvd Calendar'!$E$2084:$AR$2084,"&gt;0",'Dvd Calendar'!$E$2084:$AR$2084,"&lt;="&amp;VAL_DATE,'Dvd Calendar'!$E$2085:$AR$2085,"&gt;"&amp;PROJ_FROM,'Dvd Calendar'!$E$2085:$AR$2085,"&lt;="&amp;WIN_TO)-COUNTIFS('Dvd Calendar'!$E$2084:$AR$2084,"&gt;0",'Dvd Calendar'!$E$2084:$AR$2084,"&lt;="&amp;VAL_DATE,'Dvd Calendar'!$E$2085:$AR$2085,"&gt;"&amp;PROJ_FROM,'Dvd Calendar'!$E$2085:$AR$2085,"&lt;="&amp;WIN_TO,'Dvd Calendar'!$E$2086:$AR$2086,"&gt;=0")&gt;0,"TBA amount - override me",IF((OV_SWITCH="ON")*(COUNTIFS(OVR_TICKERS,$C54,OVR_BASE,"&gt;=0")&gt;0)&gt;0,"overridden",IF($J54+$K54=0,"no dividend in year Y",""))))</f>
        <v/>
      </c>
      <c r="V54" s="133">
        <f>IF($B54="","",IFERROR(IF(ISNUMBER($H54),$B54*$G54*$H54/$B$3,0),""))</f>
        <v/>
      </c>
      <c r="W54" s="133">
        <f>IF($B54="","",IFERROR($B54*$G54*$K54/$B$3,""))</f>
        <v/>
      </c>
      <c r="X54" s="157">
        <f>IF($C54="","",BDP($C54,"PX_LAST"))</f>
        <v/>
      </c>
      <c r="Y54" s="133">
        <f>IF($B54="","",IFERROR($B54*$X54/$B$3,""))</f>
        <v/>
      </c>
      <c r="Z54" s="137">
        <f>IF($B54="","",IFERROR($Y54/$Y$5,""))</f>
        <v/>
      </c>
    </row>
    <row r="55">
      <c r="B55" s="97" t="n"/>
      <c r="C55" s="8">
        <f>IF($A55="","",$A55&amp;" Equity")</f>
        <v/>
      </c>
      <c r="D55" s="8">
        <f>IF($C55="","",BDP($C55,"NAME"))</f>
        <v/>
      </c>
      <c r="E55" s="8">
        <f>IF($C55="","",BDP($C55,"GICS_SECTOR_NAME"))</f>
        <v/>
      </c>
      <c r="F55" s="37">
        <f>IF($C55="","",BDP($C55,FLD_CCY))</f>
        <v/>
      </c>
      <c r="G55" s="111">
        <f>IFERROR(IF(LEN($F55)&lt;&gt;3,1,IF($F55="HKD",1,BDP(IF($F55="CNY",RMB_CROSS,$F55)&amp;"HKD Curncy","PX_LAST"))),1)</f>
        <v/>
      </c>
      <c r="H55" s="133">
        <f>IF($C55="","",BDP($C55,FLD_DPS12M))</f>
        <v/>
      </c>
      <c r="I55" s="126">
        <f>IF($C55="","",BDP($C55,FLD_YLD12M))</f>
        <v/>
      </c>
      <c r="J55" s="128">
        <f>IF($B55="",0,SUMPRODUCT(('Dvd Calendar'!$E$2089:$AR$2089&gt;=WIN_FROM)*('Dvd Calendar'!$E$2089:$AR$2089&lt;=REALIZED_TO)*'Dvd Calendar'!$E$2092:$AR$2092*(('Dvd Calendar'!$E$2094:$AR$2094=TYPE1)*(TYPE1&lt;&gt;"")+('Dvd Calendar'!$E$2094:$AR$2094=TYPE2)*(TYPE2&lt;&gt;"")+('Dvd Calendar'!$E$2094:$AR$2094=TYPE3)*(TYPE3&lt;&gt;"")+('Dvd Calendar'!$E$2094:$AR$2094=TYPE4)*(TYPE4&lt;&gt;"")+('Dvd Calendar'!$E$2094:$AR$2094=SPECIAL_LBL)*(INC_SPECIALS="Y"))))</f>
        <v/>
      </c>
      <c r="K55" s="128">
        <f>IF($B55="",0,SUMIFS('Dvd Calendar'!$E$2097:$AR$2097,'Dvd Calendar'!$E$2096:$AR$2096,"&gt;"&amp;PROJ_FROM,'Dvd Calendar'!$E$2096:$AR$2096,"&lt;="&amp;WIN_TO)+SUMPRODUCT(('Dvd Calendar'!$E$2089:$AR$2089&gt;PROJ_FROM)*('Dvd Calendar'!$E$2089:$AR$2089&lt;=WIN_TO)*'Dvd Calendar'!$E$2092:$AR$2092*(('Dvd Calendar'!$E$2094:$AR$2094=TYPE1)*(TYPE1&lt;&gt;"")+('Dvd Calendar'!$E$2094:$AR$2094=TYPE2)*(TYPE2&lt;&gt;"")+('Dvd Calendar'!$E$2094:$AR$2094=TYPE3)*(TYPE3&lt;&gt;"")+('Dvd Calendar'!$E$2094:$AR$2094=TYPE4)*(TYPE4&lt;&gt;"")+('Dvd Calendar'!$E$2094:$AR$2094=SPECIAL_LBL)*(INC_SPECIALS="Y"))*(COUNTIF('Dvd Calendar'!$E$2096:$AR$2096,'Dvd Calendar'!$E$2089:$AR$2089)=0)))</f>
        <v/>
      </c>
      <c r="L55" s="128">
        <f>IF($B55="",0,IF((OV_SWITCH="ON")*(COUNTIFS(OVR_TICKERS,$C55,OVR_BASE,"&gt;=0")&gt;0)&gt;0,SUMIFS(OVR_BASE,OVR_TICKERS,$C55),$K55))</f>
        <v/>
      </c>
      <c r="M55" s="128">
        <f>IF($B55="",0,IF((OV_SWITCH="ON")*(COUNTIFS(OVR_TICKERS,$C55,OVR_LOW,"&gt;=0")&gt;0)&gt;0,SUMIFS(OVR_LOW,OVR_TICKERS,$C55),$L55))</f>
        <v/>
      </c>
      <c r="N55" s="128">
        <f>IF($B55="",0,IF((OV_SWITCH="ON")*(COUNTIFS(OVR_TICKERS,$C55,OVR_HIGH,"&gt;=0")&gt;0)&gt;0,SUMIFS(OVR_HIGH,OVR_TICKERS,$C55),$L55))</f>
        <v/>
      </c>
      <c r="O55" s="133">
        <f>IF($B55="","",IFERROR($B55*$G55*$J55/$B$3,""))</f>
        <v/>
      </c>
      <c r="P55" s="133">
        <f>IF($B55="","",IFERROR($B55*$G55*$L55/$B$3,""))</f>
        <v/>
      </c>
      <c r="Q55" s="124">
        <f>IF($B55="","",IFERROR($O55+$P55,""))</f>
        <v/>
      </c>
      <c r="R55" s="133">
        <f>IF($B55="","",IFERROR($O55+$B55*$G55*$M55/$B$3,""))</f>
        <v/>
      </c>
      <c r="S55" s="133">
        <f>IF($B55="","",IFERROR($O55+$B55*$G55*$N55/$B$3,""))</f>
        <v/>
      </c>
      <c r="T55" s="150">
        <f>IF($B55="","",IFERROR($Q55/$Q$5,""))</f>
        <v/>
      </c>
      <c r="U55" s="2">
        <f>IF($B55="","",IF(COUNTIFS('Dvd Calendar'!$E$2095:$AR$2095,"&gt;0",'Dvd Calendar'!$E$2095:$AR$2095,"&lt;="&amp;VAL_DATE,'Dvd Calendar'!$E$2096:$AR$2096,"&gt;"&amp;PROJ_FROM,'Dvd Calendar'!$E$2096:$AR$2096,"&lt;="&amp;WIN_TO)-COUNTIFS('Dvd Calendar'!$E$2095:$AR$2095,"&gt;0",'Dvd Calendar'!$E$2095:$AR$2095,"&lt;="&amp;VAL_DATE,'Dvd Calendar'!$E$2096:$AR$2096,"&gt;"&amp;PROJ_FROM,'Dvd Calendar'!$E$2096:$AR$2096,"&lt;="&amp;WIN_TO,'Dvd Calendar'!$E$2097:$AR$2097,"&gt;=0")&gt;0,"TBA amount - override me",IF((OV_SWITCH="ON")*(COUNTIFS(OVR_TICKERS,$C55,OVR_BASE,"&gt;=0")&gt;0)&gt;0,"overridden",IF($J55+$K55=0,"no dividend in year Y",""))))</f>
        <v/>
      </c>
      <c r="V55" s="133">
        <f>IF($B55="","",IFERROR(IF(ISNUMBER($H55),$B55*$G55*$H55/$B$3,0),""))</f>
        <v/>
      </c>
      <c r="W55" s="133">
        <f>IF($B55="","",IFERROR($B55*$G55*$K55/$B$3,""))</f>
        <v/>
      </c>
      <c r="X55" s="157">
        <f>IF($C55="","",BDP($C55,"PX_LAST"))</f>
        <v/>
      </c>
      <c r="Y55" s="133">
        <f>IF($B55="","",IFERROR($B55*$X55/$B$3,""))</f>
        <v/>
      </c>
      <c r="Z55" s="137">
        <f>IF($B55="","",IFERROR($Y55/$Y$5,""))</f>
        <v/>
      </c>
    </row>
    <row r="56">
      <c r="B56" s="97" t="n"/>
      <c r="C56" s="8">
        <f>IF($A56="","",$A56&amp;" Equity")</f>
        <v/>
      </c>
      <c r="D56" s="8">
        <f>IF($C56="","",BDP($C56,"NAME"))</f>
        <v/>
      </c>
      <c r="E56" s="8">
        <f>IF($C56="","",BDP($C56,"GICS_SECTOR_NAME"))</f>
        <v/>
      </c>
      <c r="F56" s="37">
        <f>IF($C56="","",BDP($C56,FLD_CCY))</f>
        <v/>
      </c>
      <c r="G56" s="111">
        <f>IFERROR(IF(LEN($F56)&lt;&gt;3,1,IF($F56="HKD",1,BDP(IF($F56="CNY",RMB_CROSS,$F56)&amp;"HKD Curncy","PX_LAST"))),1)</f>
        <v/>
      </c>
      <c r="H56" s="133">
        <f>IF($C56="","",BDP($C56,FLD_DPS12M))</f>
        <v/>
      </c>
      <c r="I56" s="126">
        <f>IF($C56="","",BDP($C56,FLD_YLD12M))</f>
        <v/>
      </c>
      <c r="J56" s="128">
        <f>IF($B56="",0,SUMPRODUCT(('Dvd Calendar'!$E$2100:$AR$2100&gt;=WIN_FROM)*('Dvd Calendar'!$E$2100:$AR$2100&lt;=REALIZED_TO)*'Dvd Calendar'!$E$2103:$AR$2103*(('Dvd Calendar'!$E$2105:$AR$2105=TYPE1)*(TYPE1&lt;&gt;"")+('Dvd Calendar'!$E$2105:$AR$2105=TYPE2)*(TYPE2&lt;&gt;"")+('Dvd Calendar'!$E$2105:$AR$2105=TYPE3)*(TYPE3&lt;&gt;"")+('Dvd Calendar'!$E$2105:$AR$2105=TYPE4)*(TYPE4&lt;&gt;"")+('Dvd Calendar'!$E$2105:$AR$2105=SPECIAL_LBL)*(INC_SPECIALS="Y"))))</f>
        <v/>
      </c>
      <c r="K56" s="128">
        <f>IF($B56="",0,SUMIFS('Dvd Calendar'!$E$2108:$AR$2108,'Dvd Calendar'!$E$2107:$AR$2107,"&gt;"&amp;PROJ_FROM,'Dvd Calendar'!$E$2107:$AR$2107,"&lt;="&amp;WIN_TO)+SUMPRODUCT(('Dvd Calendar'!$E$2100:$AR$2100&gt;PROJ_FROM)*('Dvd Calendar'!$E$2100:$AR$2100&lt;=WIN_TO)*'Dvd Calendar'!$E$2103:$AR$2103*(('Dvd Calendar'!$E$2105:$AR$2105=TYPE1)*(TYPE1&lt;&gt;"")+('Dvd Calendar'!$E$2105:$AR$2105=TYPE2)*(TYPE2&lt;&gt;"")+('Dvd Calendar'!$E$2105:$AR$2105=TYPE3)*(TYPE3&lt;&gt;"")+('Dvd Calendar'!$E$2105:$AR$2105=TYPE4)*(TYPE4&lt;&gt;"")+('Dvd Calendar'!$E$2105:$AR$2105=SPECIAL_LBL)*(INC_SPECIALS="Y"))*(COUNTIF('Dvd Calendar'!$E$2107:$AR$2107,'Dvd Calendar'!$E$2100:$AR$2100)=0)))</f>
        <v/>
      </c>
      <c r="L56" s="128">
        <f>IF($B56="",0,IF((OV_SWITCH="ON")*(COUNTIFS(OVR_TICKERS,$C56,OVR_BASE,"&gt;=0")&gt;0)&gt;0,SUMIFS(OVR_BASE,OVR_TICKERS,$C56),$K56))</f>
        <v/>
      </c>
      <c r="M56" s="128">
        <f>IF($B56="",0,IF((OV_SWITCH="ON")*(COUNTIFS(OVR_TICKERS,$C56,OVR_LOW,"&gt;=0")&gt;0)&gt;0,SUMIFS(OVR_LOW,OVR_TICKERS,$C56),$L56))</f>
        <v/>
      </c>
      <c r="N56" s="128">
        <f>IF($B56="",0,IF((OV_SWITCH="ON")*(COUNTIFS(OVR_TICKERS,$C56,OVR_HIGH,"&gt;=0")&gt;0)&gt;0,SUMIFS(OVR_HIGH,OVR_TICKERS,$C56),$L56))</f>
        <v/>
      </c>
      <c r="O56" s="133">
        <f>IF($B56="","",IFERROR($B56*$G56*$J56/$B$3,""))</f>
        <v/>
      </c>
      <c r="P56" s="133">
        <f>IF($B56="","",IFERROR($B56*$G56*$L56/$B$3,""))</f>
        <v/>
      </c>
      <c r="Q56" s="124">
        <f>IF($B56="","",IFERROR($O56+$P56,""))</f>
        <v/>
      </c>
      <c r="R56" s="133">
        <f>IF($B56="","",IFERROR($O56+$B56*$G56*$M56/$B$3,""))</f>
        <v/>
      </c>
      <c r="S56" s="133">
        <f>IF($B56="","",IFERROR($O56+$B56*$G56*$N56/$B$3,""))</f>
        <v/>
      </c>
      <c r="T56" s="150">
        <f>IF($B56="","",IFERROR($Q56/$Q$5,""))</f>
        <v/>
      </c>
      <c r="U56" s="2">
        <f>IF($B56="","",IF(COUNTIFS('Dvd Calendar'!$E$2106:$AR$2106,"&gt;0",'Dvd Calendar'!$E$2106:$AR$2106,"&lt;="&amp;VAL_DATE,'Dvd Calendar'!$E$2107:$AR$2107,"&gt;"&amp;PROJ_FROM,'Dvd Calendar'!$E$2107:$AR$2107,"&lt;="&amp;WIN_TO)-COUNTIFS('Dvd Calendar'!$E$2106:$AR$2106,"&gt;0",'Dvd Calendar'!$E$2106:$AR$2106,"&lt;="&amp;VAL_DATE,'Dvd Calendar'!$E$2107:$AR$2107,"&gt;"&amp;PROJ_FROM,'Dvd Calendar'!$E$2107:$AR$2107,"&lt;="&amp;WIN_TO,'Dvd Calendar'!$E$2108:$AR$2108,"&gt;=0")&gt;0,"TBA amount - override me",IF((OV_SWITCH="ON")*(COUNTIFS(OVR_TICKERS,$C56,OVR_BASE,"&gt;=0")&gt;0)&gt;0,"overridden",IF($J56+$K56=0,"no dividend in year Y",""))))</f>
        <v/>
      </c>
      <c r="V56" s="133">
        <f>IF($B56="","",IFERROR(IF(ISNUMBER($H56),$B56*$G56*$H56/$B$3,0),""))</f>
        <v/>
      </c>
      <c r="W56" s="133">
        <f>IF($B56="","",IFERROR($B56*$G56*$K56/$B$3,""))</f>
        <v/>
      </c>
      <c r="X56" s="157">
        <f>IF($C56="","",BDP($C56,"PX_LAST"))</f>
        <v/>
      </c>
      <c r="Y56" s="133">
        <f>IF($B56="","",IFERROR($B56*$X56/$B$3,""))</f>
        <v/>
      </c>
      <c r="Z56" s="137">
        <f>IF($B56="","",IFERROR($Y56/$Y$5,""))</f>
        <v/>
      </c>
    </row>
    <row r="57">
      <c r="B57" s="97" t="n"/>
      <c r="C57" s="8">
        <f>IF($A57="","",$A57&amp;" Equity")</f>
        <v/>
      </c>
      <c r="D57" s="8">
        <f>IF($C57="","",BDP($C57,"NAME"))</f>
        <v/>
      </c>
      <c r="E57" s="8">
        <f>IF($C57="","",BDP($C57,"GICS_SECTOR_NAME"))</f>
        <v/>
      </c>
      <c r="F57" s="37">
        <f>IF($C57="","",BDP($C57,FLD_CCY))</f>
        <v/>
      </c>
      <c r="G57" s="111">
        <f>IFERROR(IF(LEN($F57)&lt;&gt;3,1,IF($F57="HKD",1,BDP(IF($F57="CNY",RMB_CROSS,$F57)&amp;"HKD Curncy","PX_LAST"))),1)</f>
        <v/>
      </c>
      <c r="H57" s="133">
        <f>IF($C57="","",BDP($C57,FLD_DPS12M))</f>
        <v/>
      </c>
      <c r="I57" s="126">
        <f>IF($C57="","",BDP($C57,FLD_YLD12M))</f>
        <v/>
      </c>
      <c r="J57" s="128">
        <f>IF($B57="",0,SUMPRODUCT(('Dvd Calendar'!$E$2111:$AR$2111&gt;=WIN_FROM)*('Dvd Calendar'!$E$2111:$AR$2111&lt;=REALIZED_TO)*'Dvd Calendar'!$E$2114:$AR$2114*(('Dvd Calendar'!$E$2116:$AR$2116=TYPE1)*(TYPE1&lt;&gt;"")+('Dvd Calendar'!$E$2116:$AR$2116=TYPE2)*(TYPE2&lt;&gt;"")+('Dvd Calendar'!$E$2116:$AR$2116=TYPE3)*(TYPE3&lt;&gt;"")+('Dvd Calendar'!$E$2116:$AR$2116=TYPE4)*(TYPE4&lt;&gt;"")+('Dvd Calendar'!$E$2116:$AR$2116=SPECIAL_LBL)*(INC_SPECIALS="Y"))))</f>
        <v/>
      </c>
      <c r="K57" s="128">
        <f>IF($B57="",0,SUMIFS('Dvd Calendar'!$E$2119:$AR$2119,'Dvd Calendar'!$E$2118:$AR$2118,"&gt;"&amp;PROJ_FROM,'Dvd Calendar'!$E$2118:$AR$2118,"&lt;="&amp;WIN_TO)+SUMPRODUCT(('Dvd Calendar'!$E$2111:$AR$2111&gt;PROJ_FROM)*('Dvd Calendar'!$E$2111:$AR$2111&lt;=WIN_TO)*'Dvd Calendar'!$E$2114:$AR$2114*(('Dvd Calendar'!$E$2116:$AR$2116=TYPE1)*(TYPE1&lt;&gt;"")+('Dvd Calendar'!$E$2116:$AR$2116=TYPE2)*(TYPE2&lt;&gt;"")+('Dvd Calendar'!$E$2116:$AR$2116=TYPE3)*(TYPE3&lt;&gt;"")+('Dvd Calendar'!$E$2116:$AR$2116=TYPE4)*(TYPE4&lt;&gt;"")+('Dvd Calendar'!$E$2116:$AR$2116=SPECIAL_LBL)*(INC_SPECIALS="Y"))*(COUNTIF('Dvd Calendar'!$E$2118:$AR$2118,'Dvd Calendar'!$E$2111:$AR$2111)=0)))</f>
        <v/>
      </c>
      <c r="L57" s="128">
        <f>IF($B57="",0,IF((OV_SWITCH="ON")*(COUNTIFS(OVR_TICKERS,$C57,OVR_BASE,"&gt;=0")&gt;0)&gt;0,SUMIFS(OVR_BASE,OVR_TICKERS,$C57),$K57))</f>
        <v/>
      </c>
      <c r="M57" s="128">
        <f>IF($B57="",0,IF((OV_SWITCH="ON")*(COUNTIFS(OVR_TICKERS,$C57,OVR_LOW,"&gt;=0")&gt;0)&gt;0,SUMIFS(OVR_LOW,OVR_TICKERS,$C57),$L57))</f>
        <v/>
      </c>
      <c r="N57" s="128">
        <f>IF($B57="",0,IF((OV_SWITCH="ON")*(COUNTIFS(OVR_TICKERS,$C57,OVR_HIGH,"&gt;=0")&gt;0)&gt;0,SUMIFS(OVR_HIGH,OVR_TICKERS,$C57),$L57))</f>
        <v/>
      </c>
      <c r="O57" s="133">
        <f>IF($B57="","",IFERROR($B57*$G57*$J57/$B$3,""))</f>
        <v/>
      </c>
      <c r="P57" s="133">
        <f>IF($B57="","",IFERROR($B57*$G57*$L57/$B$3,""))</f>
        <v/>
      </c>
      <c r="Q57" s="124">
        <f>IF($B57="","",IFERROR($O57+$P57,""))</f>
        <v/>
      </c>
      <c r="R57" s="133">
        <f>IF($B57="","",IFERROR($O57+$B57*$G57*$M57/$B$3,""))</f>
        <v/>
      </c>
      <c r="S57" s="133">
        <f>IF($B57="","",IFERROR($O57+$B57*$G57*$N57/$B$3,""))</f>
        <v/>
      </c>
      <c r="T57" s="150">
        <f>IF($B57="","",IFERROR($Q57/$Q$5,""))</f>
        <v/>
      </c>
      <c r="U57" s="2">
        <f>IF($B57="","",IF(COUNTIFS('Dvd Calendar'!$E$2117:$AR$2117,"&gt;0",'Dvd Calendar'!$E$2117:$AR$2117,"&lt;="&amp;VAL_DATE,'Dvd Calendar'!$E$2118:$AR$2118,"&gt;"&amp;PROJ_FROM,'Dvd Calendar'!$E$2118:$AR$2118,"&lt;="&amp;WIN_TO)-COUNTIFS('Dvd Calendar'!$E$2117:$AR$2117,"&gt;0",'Dvd Calendar'!$E$2117:$AR$2117,"&lt;="&amp;VAL_DATE,'Dvd Calendar'!$E$2118:$AR$2118,"&gt;"&amp;PROJ_FROM,'Dvd Calendar'!$E$2118:$AR$2118,"&lt;="&amp;WIN_TO,'Dvd Calendar'!$E$2119:$AR$2119,"&gt;=0")&gt;0,"TBA amount - override me",IF((OV_SWITCH="ON")*(COUNTIFS(OVR_TICKERS,$C57,OVR_BASE,"&gt;=0")&gt;0)&gt;0,"overridden",IF($J57+$K57=0,"no dividend in year Y",""))))</f>
        <v/>
      </c>
      <c r="V57" s="133">
        <f>IF($B57="","",IFERROR(IF(ISNUMBER($H57),$B57*$G57*$H57/$B$3,0),""))</f>
        <v/>
      </c>
      <c r="W57" s="133">
        <f>IF($B57="","",IFERROR($B57*$G57*$K57/$B$3,""))</f>
        <v/>
      </c>
      <c r="X57" s="157">
        <f>IF($C57="","",BDP($C57,"PX_LAST"))</f>
        <v/>
      </c>
      <c r="Y57" s="133">
        <f>IF($B57="","",IFERROR($B57*$X57/$B$3,""))</f>
        <v/>
      </c>
      <c r="Z57" s="137">
        <f>IF($B57="","",IFERROR($Y57/$Y$5,""))</f>
        <v/>
      </c>
    </row>
    <row r="58">
      <c r="B58" s="97" t="n"/>
      <c r="C58" s="8">
        <f>IF($A58="","",$A58&amp;" Equity")</f>
        <v/>
      </c>
      <c r="D58" s="8">
        <f>IF($C58="","",BDP($C58,"NAME"))</f>
        <v/>
      </c>
      <c r="E58" s="8">
        <f>IF($C58="","",BDP($C58,"GICS_SECTOR_NAME"))</f>
        <v/>
      </c>
      <c r="F58" s="37">
        <f>IF($C58="","",BDP($C58,FLD_CCY))</f>
        <v/>
      </c>
      <c r="G58" s="111">
        <f>IFERROR(IF(LEN($F58)&lt;&gt;3,1,IF($F58="HKD",1,BDP(IF($F58="CNY",RMB_CROSS,$F58)&amp;"HKD Curncy","PX_LAST"))),1)</f>
        <v/>
      </c>
      <c r="H58" s="133">
        <f>IF($C58="","",BDP($C58,FLD_DPS12M))</f>
        <v/>
      </c>
      <c r="I58" s="126">
        <f>IF($C58="","",BDP($C58,FLD_YLD12M))</f>
        <v/>
      </c>
      <c r="J58" s="128">
        <f>IF($B58="",0,SUMPRODUCT(('Dvd Calendar'!$E$2122:$AR$2122&gt;=WIN_FROM)*('Dvd Calendar'!$E$2122:$AR$2122&lt;=REALIZED_TO)*'Dvd Calendar'!$E$2125:$AR$2125*(('Dvd Calendar'!$E$2127:$AR$2127=TYPE1)*(TYPE1&lt;&gt;"")+('Dvd Calendar'!$E$2127:$AR$2127=TYPE2)*(TYPE2&lt;&gt;"")+('Dvd Calendar'!$E$2127:$AR$2127=TYPE3)*(TYPE3&lt;&gt;"")+('Dvd Calendar'!$E$2127:$AR$2127=TYPE4)*(TYPE4&lt;&gt;"")+('Dvd Calendar'!$E$2127:$AR$2127=SPECIAL_LBL)*(INC_SPECIALS="Y"))))</f>
        <v/>
      </c>
      <c r="K58" s="128">
        <f>IF($B58="",0,SUMIFS('Dvd Calendar'!$E$2130:$AR$2130,'Dvd Calendar'!$E$2129:$AR$2129,"&gt;"&amp;PROJ_FROM,'Dvd Calendar'!$E$2129:$AR$2129,"&lt;="&amp;WIN_TO)+SUMPRODUCT(('Dvd Calendar'!$E$2122:$AR$2122&gt;PROJ_FROM)*('Dvd Calendar'!$E$2122:$AR$2122&lt;=WIN_TO)*'Dvd Calendar'!$E$2125:$AR$2125*(('Dvd Calendar'!$E$2127:$AR$2127=TYPE1)*(TYPE1&lt;&gt;"")+('Dvd Calendar'!$E$2127:$AR$2127=TYPE2)*(TYPE2&lt;&gt;"")+('Dvd Calendar'!$E$2127:$AR$2127=TYPE3)*(TYPE3&lt;&gt;"")+('Dvd Calendar'!$E$2127:$AR$2127=TYPE4)*(TYPE4&lt;&gt;"")+('Dvd Calendar'!$E$2127:$AR$2127=SPECIAL_LBL)*(INC_SPECIALS="Y"))*(COUNTIF('Dvd Calendar'!$E$2129:$AR$2129,'Dvd Calendar'!$E$2122:$AR$2122)=0)))</f>
        <v/>
      </c>
      <c r="L58" s="128">
        <f>IF($B58="",0,IF((OV_SWITCH="ON")*(COUNTIFS(OVR_TICKERS,$C58,OVR_BASE,"&gt;=0")&gt;0)&gt;0,SUMIFS(OVR_BASE,OVR_TICKERS,$C58),$K58))</f>
        <v/>
      </c>
      <c r="M58" s="128">
        <f>IF($B58="",0,IF((OV_SWITCH="ON")*(COUNTIFS(OVR_TICKERS,$C58,OVR_LOW,"&gt;=0")&gt;0)&gt;0,SUMIFS(OVR_LOW,OVR_TICKERS,$C58),$L58))</f>
        <v/>
      </c>
      <c r="N58" s="128">
        <f>IF($B58="",0,IF((OV_SWITCH="ON")*(COUNTIFS(OVR_TICKERS,$C58,OVR_HIGH,"&gt;=0")&gt;0)&gt;0,SUMIFS(OVR_HIGH,OVR_TICKERS,$C58),$L58))</f>
        <v/>
      </c>
      <c r="O58" s="133">
        <f>IF($B58="","",IFERROR($B58*$G58*$J58/$B$3,""))</f>
        <v/>
      </c>
      <c r="P58" s="133">
        <f>IF($B58="","",IFERROR($B58*$G58*$L58/$B$3,""))</f>
        <v/>
      </c>
      <c r="Q58" s="124">
        <f>IF($B58="","",IFERROR($O58+$P58,""))</f>
        <v/>
      </c>
      <c r="R58" s="133">
        <f>IF($B58="","",IFERROR($O58+$B58*$G58*$M58/$B$3,""))</f>
        <v/>
      </c>
      <c r="S58" s="133">
        <f>IF($B58="","",IFERROR($O58+$B58*$G58*$N58/$B$3,""))</f>
        <v/>
      </c>
      <c r="T58" s="150">
        <f>IF($B58="","",IFERROR($Q58/$Q$5,""))</f>
        <v/>
      </c>
      <c r="U58" s="2">
        <f>IF($B58="","",IF(COUNTIFS('Dvd Calendar'!$E$2128:$AR$2128,"&gt;0",'Dvd Calendar'!$E$2128:$AR$2128,"&lt;="&amp;VAL_DATE,'Dvd Calendar'!$E$2129:$AR$2129,"&gt;"&amp;PROJ_FROM,'Dvd Calendar'!$E$2129:$AR$2129,"&lt;="&amp;WIN_TO)-COUNTIFS('Dvd Calendar'!$E$2128:$AR$2128,"&gt;0",'Dvd Calendar'!$E$2128:$AR$2128,"&lt;="&amp;VAL_DATE,'Dvd Calendar'!$E$2129:$AR$2129,"&gt;"&amp;PROJ_FROM,'Dvd Calendar'!$E$2129:$AR$2129,"&lt;="&amp;WIN_TO,'Dvd Calendar'!$E$2130:$AR$2130,"&gt;=0")&gt;0,"TBA amount - override me",IF((OV_SWITCH="ON")*(COUNTIFS(OVR_TICKERS,$C58,OVR_BASE,"&gt;=0")&gt;0)&gt;0,"overridden",IF($J58+$K58=0,"no dividend in year Y",""))))</f>
        <v/>
      </c>
      <c r="V58" s="133">
        <f>IF($B58="","",IFERROR(IF(ISNUMBER($H58),$B58*$G58*$H58/$B$3,0),""))</f>
        <v/>
      </c>
      <c r="W58" s="133">
        <f>IF($B58="","",IFERROR($B58*$G58*$K58/$B$3,""))</f>
        <v/>
      </c>
      <c r="X58" s="157">
        <f>IF($C58="","",BDP($C58,"PX_LAST"))</f>
        <v/>
      </c>
      <c r="Y58" s="133">
        <f>IF($B58="","",IFERROR($B58*$X58/$B$3,""))</f>
        <v/>
      </c>
      <c r="Z58" s="137">
        <f>IF($B58="","",IFERROR($Y58/$Y$5,""))</f>
        <v/>
      </c>
    </row>
    <row r="59">
      <c r="B59" s="97" t="n"/>
      <c r="C59" s="8">
        <f>IF($A59="","",$A59&amp;" Equity")</f>
        <v/>
      </c>
      <c r="D59" s="8">
        <f>IF($C59="","",BDP($C59,"NAME"))</f>
        <v/>
      </c>
      <c r="E59" s="8">
        <f>IF($C59="","",BDP($C59,"GICS_SECTOR_NAME"))</f>
        <v/>
      </c>
      <c r="F59" s="37">
        <f>IF($C59="","",BDP($C59,FLD_CCY))</f>
        <v/>
      </c>
      <c r="G59" s="111">
        <f>IFERROR(IF(LEN($F59)&lt;&gt;3,1,IF($F59="HKD",1,BDP(IF($F59="CNY",RMB_CROSS,$F59)&amp;"HKD Curncy","PX_LAST"))),1)</f>
        <v/>
      </c>
      <c r="H59" s="133">
        <f>IF($C59="","",BDP($C59,FLD_DPS12M))</f>
        <v/>
      </c>
      <c r="I59" s="126">
        <f>IF($C59="","",BDP($C59,FLD_YLD12M))</f>
        <v/>
      </c>
      <c r="J59" s="128">
        <f>IF($B59="",0,SUMPRODUCT(('Dvd Calendar'!$E$2133:$AR$2133&gt;=WIN_FROM)*('Dvd Calendar'!$E$2133:$AR$2133&lt;=REALIZED_TO)*'Dvd Calendar'!$E$2136:$AR$2136*(('Dvd Calendar'!$E$2138:$AR$2138=TYPE1)*(TYPE1&lt;&gt;"")+('Dvd Calendar'!$E$2138:$AR$2138=TYPE2)*(TYPE2&lt;&gt;"")+('Dvd Calendar'!$E$2138:$AR$2138=TYPE3)*(TYPE3&lt;&gt;"")+('Dvd Calendar'!$E$2138:$AR$2138=TYPE4)*(TYPE4&lt;&gt;"")+('Dvd Calendar'!$E$2138:$AR$2138=SPECIAL_LBL)*(INC_SPECIALS="Y"))))</f>
        <v/>
      </c>
      <c r="K59" s="128">
        <f>IF($B59="",0,SUMIFS('Dvd Calendar'!$E$2141:$AR$2141,'Dvd Calendar'!$E$2140:$AR$2140,"&gt;"&amp;PROJ_FROM,'Dvd Calendar'!$E$2140:$AR$2140,"&lt;="&amp;WIN_TO)+SUMPRODUCT(('Dvd Calendar'!$E$2133:$AR$2133&gt;PROJ_FROM)*('Dvd Calendar'!$E$2133:$AR$2133&lt;=WIN_TO)*'Dvd Calendar'!$E$2136:$AR$2136*(('Dvd Calendar'!$E$2138:$AR$2138=TYPE1)*(TYPE1&lt;&gt;"")+('Dvd Calendar'!$E$2138:$AR$2138=TYPE2)*(TYPE2&lt;&gt;"")+('Dvd Calendar'!$E$2138:$AR$2138=TYPE3)*(TYPE3&lt;&gt;"")+('Dvd Calendar'!$E$2138:$AR$2138=TYPE4)*(TYPE4&lt;&gt;"")+('Dvd Calendar'!$E$2138:$AR$2138=SPECIAL_LBL)*(INC_SPECIALS="Y"))*(COUNTIF('Dvd Calendar'!$E$2140:$AR$2140,'Dvd Calendar'!$E$2133:$AR$2133)=0)))</f>
        <v/>
      </c>
      <c r="L59" s="128">
        <f>IF($B59="",0,IF((OV_SWITCH="ON")*(COUNTIFS(OVR_TICKERS,$C59,OVR_BASE,"&gt;=0")&gt;0)&gt;0,SUMIFS(OVR_BASE,OVR_TICKERS,$C59),$K59))</f>
        <v/>
      </c>
      <c r="M59" s="128">
        <f>IF($B59="",0,IF((OV_SWITCH="ON")*(COUNTIFS(OVR_TICKERS,$C59,OVR_LOW,"&gt;=0")&gt;0)&gt;0,SUMIFS(OVR_LOW,OVR_TICKERS,$C59),$L59))</f>
        <v/>
      </c>
      <c r="N59" s="128">
        <f>IF($B59="",0,IF((OV_SWITCH="ON")*(COUNTIFS(OVR_TICKERS,$C59,OVR_HIGH,"&gt;=0")&gt;0)&gt;0,SUMIFS(OVR_HIGH,OVR_TICKERS,$C59),$L59))</f>
        <v/>
      </c>
      <c r="O59" s="133">
        <f>IF($B59="","",IFERROR($B59*$G59*$J59/$B$3,""))</f>
        <v/>
      </c>
      <c r="P59" s="133">
        <f>IF($B59="","",IFERROR($B59*$G59*$L59/$B$3,""))</f>
        <v/>
      </c>
      <c r="Q59" s="124">
        <f>IF($B59="","",IFERROR($O59+$P59,""))</f>
        <v/>
      </c>
      <c r="R59" s="133">
        <f>IF($B59="","",IFERROR($O59+$B59*$G59*$M59/$B$3,""))</f>
        <v/>
      </c>
      <c r="S59" s="133">
        <f>IF($B59="","",IFERROR($O59+$B59*$G59*$N59/$B$3,""))</f>
        <v/>
      </c>
      <c r="T59" s="150">
        <f>IF($B59="","",IFERROR($Q59/$Q$5,""))</f>
        <v/>
      </c>
      <c r="U59" s="2">
        <f>IF($B59="","",IF(COUNTIFS('Dvd Calendar'!$E$2139:$AR$2139,"&gt;0",'Dvd Calendar'!$E$2139:$AR$2139,"&lt;="&amp;VAL_DATE,'Dvd Calendar'!$E$2140:$AR$2140,"&gt;"&amp;PROJ_FROM,'Dvd Calendar'!$E$2140:$AR$2140,"&lt;="&amp;WIN_TO)-COUNTIFS('Dvd Calendar'!$E$2139:$AR$2139,"&gt;0",'Dvd Calendar'!$E$2139:$AR$2139,"&lt;="&amp;VAL_DATE,'Dvd Calendar'!$E$2140:$AR$2140,"&gt;"&amp;PROJ_FROM,'Dvd Calendar'!$E$2140:$AR$2140,"&lt;="&amp;WIN_TO,'Dvd Calendar'!$E$2141:$AR$2141,"&gt;=0")&gt;0,"TBA amount - override me",IF((OV_SWITCH="ON")*(COUNTIFS(OVR_TICKERS,$C59,OVR_BASE,"&gt;=0")&gt;0)&gt;0,"overridden",IF($J59+$K59=0,"no dividend in year Y",""))))</f>
        <v/>
      </c>
      <c r="V59" s="133">
        <f>IF($B59="","",IFERROR(IF(ISNUMBER($H59),$B59*$G59*$H59/$B$3,0),""))</f>
        <v/>
      </c>
      <c r="W59" s="133">
        <f>IF($B59="","",IFERROR($B59*$G59*$K59/$B$3,""))</f>
        <v/>
      </c>
      <c r="X59" s="157">
        <f>IF($C59="","",BDP($C59,"PX_LAST"))</f>
        <v/>
      </c>
      <c r="Y59" s="133">
        <f>IF($B59="","",IFERROR($B59*$X59/$B$3,""))</f>
        <v/>
      </c>
      <c r="Z59" s="137">
        <f>IF($B59="","",IFERROR($Y59/$Y$5,""))</f>
        <v/>
      </c>
    </row>
    <row r="60">
      <c r="B60" s="97" t="n"/>
      <c r="C60" s="8">
        <f>IF($A60="","",$A60&amp;" Equity")</f>
        <v/>
      </c>
      <c r="D60" s="8">
        <f>IF($C60="","",BDP($C60,"NAME"))</f>
        <v/>
      </c>
      <c r="E60" s="8">
        <f>IF($C60="","",BDP($C60,"GICS_SECTOR_NAME"))</f>
        <v/>
      </c>
      <c r="F60" s="37">
        <f>IF($C60="","",BDP($C60,FLD_CCY))</f>
        <v/>
      </c>
      <c r="G60" s="111">
        <f>IFERROR(IF(LEN($F60)&lt;&gt;3,1,IF($F60="HKD",1,BDP(IF($F60="CNY",RMB_CROSS,$F60)&amp;"HKD Curncy","PX_LAST"))),1)</f>
        <v/>
      </c>
      <c r="H60" s="133">
        <f>IF($C60="","",BDP($C60,FLD_DPS12M))</f>
        <v/>
      </c>
      <c r="I60" s="126">
        <f>IF($C60="","",BDP($C60,FLD_YLD12M))</f>
        <v/>
      </c>
      <c r="J60" s="128">
        <f>IF($B60="",0,SUMPRODUCT(('Dvd Calendar'!$E$2144:$AR$2144&gt;=WIN_FROM)*('Dvd Calendar'!$E$2144:$AR$2144&lt;=REALIZED_TO)*'Dvd Calendar'!$E$2147:$AR$2147*(('Dvd Calendar'!$E$2149:$AR$2149=TYPE1)*(TYPE1&lt;&gt;"")+('Dvd Calendar'!$E$2149:$AR$2149=TYPE2)*(TYPE2&lt;&gt;"")+('Dvd Calendar'!$E$2149:$AR$2149=TYPE3)*(TYPE3&lt;&gt;"")+('Dvd Calendar'!$E$2149:$AR$2149=TYPE4)*(TYPE4&lt;&gt;"")+('Dvd Calendar'!$E$2149:$AR$2149=SPECIAL_LBL)*(INC_SPECIALS="Y"))))</f>
        <v/>
      </c>
      <c r="K60" s="128">
        <f>IF($B60="",0,SUMIFS('Dvd Calendar'!$E$2152:$AR$2152,'Dvd Calendar'!$E$2151:$AR$2151,"&gt;"&amp;PROJ_FROM,'Dvd Calendar'!$E$2151:$AR$2151,"&lt;="&amp;WIN_TO)+SUMPRODUCT(('Dvd Calendar'!$E$2144:$AR$2144&gt;PROJ_FROM)*('Dvd Calendar'!$E$2144:$AR$2144&lt;=WIN_TO)*'Dvd Calendar'!$E$2147:$AR$2147*(('Dvd Calendar'!$E$2149:$AR$2149=TYPE1)*(TYPE1&lt;&gt;"")+('Dvd Calendar'!$E$2149:$AR$2149=TYPE2)*(TYPE2&lt;&gt;"")+('Dvd Calendar'!$E$2149:$AR$2149=TYPE3)*(TYPE3&lt;&gt;"")+('Dvd Calendar'!$E$2149:$AR$2149=TYPE4)*(TYPE4&lt;&gt;"")+('Dvd Calendar'!$E$2149:$AR$2149=SPECIAL_LBL)*(INC_SPECIALS="Y"))*(COUNTIF('Dvd Calendar'!$E$2151:$AR$2151,'Dvd Calendar'!$E$2144:$AR$2144)=0)))</f>
        <v/>
      </c>
      <c r="L60" s="128">
        <f>IF($B60="",0,IF((OV_SWITCH="ON")*(COUNTIFS(OVR_TICKERS,$C60,OVR_BASE,"&gt;=0")&gt;0)&gt;0,SUMIFS(OVR_BASE,OVR_TICKERS,$C60),$K60))</f>
        <v/>
      </c>
      <c r="M60" s="128">
        <f>IF($B60="",0,IF((OV_SWITCH="ON")*(COUNTIFS(OVR_TICKERS,$C60,OVR_LOW,"&gt;=0")&gt;0)&gt;0,SUMIFS(OVR_LOW,OVR_TICKERS,$C60),$L60))</f>
        <v/>
      </c>
      <c r="N60" s="128">
        <f>IF($B60="",0,IF((OV_SWITCH="ON")*(COUNTIFS(OVR_TICKERS,$C60,OVR_HIGH,"&gt;=0")&gt;0)&gt;0,SUMIFS(OVR_HIGH,OVR_TICKERS,$C60),$L60))</f>
        <v/>
      </c>
      <c r="O60" s="133">
        <f>IF($B60="","",IFERROR($B60*$G60*$J60/$B$3,""))</f>
        <v/>
      </c>
      <c r="P60" s="133">
        <f>IF($B60="","",IFERROR($B60*$G60*$L60/$B$3,""))</f>
        <v/>
      </c>
      <c r="Q60" s="124">
        <f>IF($B60="","",IFERROR($O60+$P60,""))</f>
        <v/>
      </c>
      <c r="R60" s="133">
        <f>IF($B60="","",IFERROR($O60+$B60*$G60*$M60/$B$3,""))</f>
        <v/>
      </c>
      <c r="S60" s="133">
        <f>IF($B60="","",IFERROR($O60+$B60*$G60*$N60/$B$3,""))</f>
        <v/>
      </c>
      <c r="T60" s="150">
        <f>IF($B60="","",IFERROR($Q60/$Q$5,""))</f>
        <v/>
      </c>
      <c r="U60" s="2">
        <f>IF($B60="","",IF(COUNTIFS('Dvd Calendar'!$E$2150:$AR$2150,"&gt;0",'Dvd Calendar'!$E$2150:$AR$2150,"&lt;="&amp;VAL_DATE,'Dvd Calendar'!$E$2151:$AR$2151,"&gt;"&amp;PROJ_FROM,'Dvd Calendar'!$E$2151:$AR$2151,"&lt;="&amp;WIN_TO)-COUNTIFS('Dvd Calendar'!$E$2150:$AR$2150,"&gt;0",'Dvd Calendar'!$E$2150:$AR$2150,"&lt;="&amp;VAL_DATE,'Dvd Calendar'!$E$2151:$AR$2151,"&gt;"&amp;PROJ_FROM,'Dvd Calendar'!$E$2151:$AR$2151,"&lt;="&amp;WIN_TO,'Dvd Calendar'!$E$2152:$AR$2152,"&gt;=0")&gt;0,"TBA amount - override me",IF((OV_SWITCH="ON")*(COUNTIFS(OVR_TICKERS,$C60,OVR_BASE,"&gt;=0")&gt;0)&gt;0,"overridden",IF($J60+$K60=0,"no dividend in year Y",""))))</f>
        <v/>
      </c>
      <c r="V60" s="133">
        <f>IF($B60="","",IFERROR(IF(ISNUMBER($H60),$B60*$G60*$H60/$B$3,0),""))</f>
        <v/>
      </c>
      <c r="W60" s="133">
        <f>IF($B60="","",IFERROR($B60*$G60*$K60/$B$3,""))</f>
        <v/>
      </c>
      <c r="X60" s="157">
        <f>IF($C60="","",BDP($C60,"PX_LAST"))</f>
        <v/>
      </c>
      <c r="Y60" s="133">
        <f>IF($B60="","",IFERROR($B60*$X60/$B$3,""))</f>
        <v/>
      </c>
      <c r="Z60" s="137">
        <f>IF($B60="","",IFERROR($Y60/$Y$5,""))</f>
        <v/>
      </c>
    </row>
    <row r="61">
      <c r="B61" s="97" t="n"/>
      <c r="C61" s="8">
        <f>IF($A61="","",$A61&amp;" Equity")</f>
        <v/>
      </c>
      <c r="D61" s="8">
        <f>IF($C61="","",BDP($C61,"NAME"))</f>
        <v/>
      </c>
      <c r="E61" s="8">
        <f>IF($C61="","",BDP($C61,"GICS_SECTOR_NAME"))</f>
        <v/>
      </c>
      <c r="F61" s="37">
        <f>IF($C61="","",BDP($C61,FLD_CCY))</f>
        <v/>
      </c>
      <c r="G61" s="111">
        <f>IFERROR(IF(LEN($F61)&lt;&gt;3,1,IF($F61="HKD",1,BDP(IF($F61="CNY",RMB_CROSS,$F61)&amp;"HKD Curncy","PX_LAST"))),1)</f>
        <v/>
      </c>
      <c r="H61" s="133">
        <f>IF($C61="","",BDP($C61,FLD_DPS12M))</f>
        <v/>
      </c>
      <c r="I61" s="126">
        <f>IF($C61="","",BDP($C61,FLD_YLD12M))</f>
        <v/>
      </c>
      <c r="J61" s="128">
        <f>IF($B61="",0,SUMPRODUCT(('Dvd Calendar'!$E$2155:$AR$2155&gt;=WIN_FROM)*('Dvd Calendar'!$E$2155:$AR$2155&lt;=REALIZED_TO)*'Dvd Calendar'!$E$2158:$AR$2158*(('Dvd Calendar'!$E$2160:$AR$2160=TYPE1)*(TYPE1&lt;&gt;"")+('Dvd Calendar'!$E$2160:$AR$2160=TYPE2)*(TYPE2&lt;&gt;"")+('Dvd Calendar'!$E$2160:$AR$2160=TYPE3)*(TYPE3&lt;&gt;"")+('Dvd Calendar'!$E$2160:$AR$2160=TYPE4)*(TYPE4&lt;&gt;"")+('Dvd Calendar'!$E$2160:$AR$2160=SPECIAL_LBL)*(INC_SPECIALS="Y"))))</f>
        <v/>
      </c>
      <c r="K61" s="128">
        <f>IF($B61="",0,SUMIFS('Dvd Calendar'!$E$2163:$AR$2163,'Dvd Calendar'!$E$2162:$AR$2162,"&gt;"&amp;PROJ_FROM,'Dvd Calendar'!$E$2162:$AR$2162,"&lt;="&amp;WIN_TO)+SUMPRODUCT(('Dvd Calendar'!$E$2155:$AR$2155&gt;PROJ_FROM)*('Dvd Calendar'!$E$2155:$AR$2155&lt;=WIN_TO)*'Dvd Calendar'!$E$2158:$AR$2158*(('Dvd Calendar'!$E$2160:$AR$2160=TYPE1)*(TYPE1&lt;&gt;"")+('Dvd Calendar'!$E$2160:$AR$2160=TYPE2)*(TYPE2&lt;&gt;"")+('Dvd Calendar'!$E$2160:$AR$2160=TYPE3)*(TYPE3&lt;&gt;"")+('Dvd Calendar'!$E$2160:$AR$2160=TYPE4)*(TYPE4&lt;&gt;"")+('Dvd Calendar'!$E$2160:$AR$2160=SPECIAL_LBL)*(INC_SPECIALS="Y"))*(COUNTIF('Dvd Calendar'!$E$2162:$AR$2162,'Dvd Calendar'!$E$2155:$AR$2155)=0)))</f>
        <v/>
      </c>
      <c r="L61" s="128">
        <f>IF($B61="",0,IF((OV_SWITCH="ON")*(COUNTIFS(OVR_TICKERS,$C61,OVR_BASE,"&gt;=0")&gt;0)&gt;0,SUMIFS(OVR_BASE,OVR_TICKERS,$C61),$K61))</f>
        <v/>
      </c>
      <c r="M61" s="128">
        <f>IF($B61="",0,IF((OV_SWITCH="ON")*(COUNTIFS(OVR_TICKERS,$C61,OVR_LOW,"&gt;=0")&gt;0)&gt;0,SUMIFS(OVR_LOW,OVR_TICKERS,$C61),$L61))</f>
        <v/>
      </c>
      <c r="N61" s="128">
        <f>IF($B61="",0,IF((OV_SWITCH="ON")*(COUNTIFS(OVR_TICKERS,$C61,OVR_HIGH,"&gt;=0")&gt;0)&gt;0,SUMIFS(OVR_HIGH,OVR_TICKERS,$C61),$L61))</f>
        <v/>
      </c>
      <c r="O61" s="133">
        <f>IF($B61="","",IFERROR($B61*$G61*$J61/$B$3,""))</f>
        <v/>
      </c>
      <c r="P61" s="133">
        <f>IF($B61="","",IFERROR($B61*$G61*$L61/$B$3,""))</f>
        <v/>
      </c>
      <c r="Q61" s="124">
        <f>IF($B61="","",IFERROR($O61+$P61,""))</f>
        <v/>
      </c>
      <c r="R61" s="133">
        <f>IF($B61="","",IFERROR($O61+$B61*$G61*$M61/$B$3,""))</f>
        <v/>
      </c>
      <c r="S61" s="133">
        <f>IF($B61="","",IFERROR($O61+$B61*$G61*$N61/$B$3,""))</f>
        <v/>
      </c>
      <c r="T61" s="150">
        <f>IF($B61="","",IFERROR($Q61/$Q$5,""))</f>
        <v/>
      </c>
      <c r="U61" s="2">
        <f>IF($B61="","",IF(COUNTIFS('Dvd Calendar'!$E$2161:$AR$2161,"&gt;0",'Dvd Calendar'!$E$2161:$AR$2161,"&lt;="&amp;VAL_DATE,'Dvd Calendar'!$E$2162:$AR$2162,"&gt;"&amp;PROJ_FROM,'Dvd Calendar'!$E$2162:$AR$2162,"&lt;="&amp;WIN_TO)-COUNTIFS('Dvd Calendar'!$E$2161:$AR$2161,"&gt;0",'Dvd Calendar'!$E$2161:$AR$2161,"&lt;="&amp;VAL_DATE,'Dvd Calendar'!$E$2162:$AR$2162,"&gt;"&amp;PROJ_FROM,'Dvd Calendar'!$E$2162:$AR$2162,"&lt;="&amp;WIN_TO,'Dvd Calendar'!$E$2163:$AR$2163,"&gt;=0")&gt;0,"TBA amount - override me",IF((OV_SWITCH="ON")*(COUNTIFS(OVR_TICKERS,$C61,OVR_BASE,"&gt;=0")&gt;0)&gt;0,"overridden",IF($J61+$K61=0,"no dividend in year Y",""))))</f>
        <v/>
      </c>
      <c r="V61" s="133">
        <f>IF($B61="","",IFERROR(IF(ISNUMBER($H61),$B61*$G61*$H61/$B$3,0),""))</f>
        <v/>
      </c>
      <c r="W61" s="133">
        <f>IF($B61="","",IFERROR($B61*$G61*$K61/$B$3,""))</f>
        <v/>
      </c>
      <c r="X61" s="157">
        <f>IF($C61="","",BDP($C61,"PX_LAST"))</f>
        <v/>
      </c>
      <c r="Y61" s="133">
        <f>IF($B61="","",IFERROR($B61*$X61/$B$3,""))</f>
        <v/>
      </c>
      <c r="Z61" s="137">
        <f>IF($B61="","",IFERROR($Y61/$Y$5,""))</f>
        <v/>
      </c>
    </row>
    <row r="62">
      <c r="B62" s="97" t="n"/>
      <c r="C62" s="8">
        <f>IF($A62="","",$A62&amp;" Equity")</f>
        <v/>
      </c>
      <c r="D62" s="8">
        <f>IF($C62="","",BDP($C62,"NAME"))</f>
        <v/>
      </c>
      <c r="E62" s="8">
        <f>IF($C62="","",BDP($C62,"GICS_SECTOR_NAME"))</f>
        <v/>
      </c>
      <c r="F62" s="37">
        <f>IF($C62="","",BDP($C62,FLD_CCY))</f>
        <v/>
      </c>
      <c r="G62" s="111">
        <f>IFERROR(IF(LEN($F62)&lt;&gt;3,1,IF($F62="HKD",1,BDP(IF($F62="CNY",RMB_CROSS,$F62)&amp;"HKD Curncy","PX_LAST"))),1)</f>
        <v/>
      </c>
      <c r="H62" s="133">
        <f>IF($C62="","",BDP($C62,FLD_DPS12M))</f>
        <v/>
      </c>
      <c r="I62" s="126">
        <f>IF($C62="","",BDP($C62,FLD_YLD12M))</f>
        <v/>
      </c>
      <c r="J62" s="128">
        <f>IF($B62="",0,SUMPRODUCT(('Dvd Calendar'!$E$2166:$AR$2166&gt;=WIN_FROM)*('Dvd Calendar'!$E$2166:$AR$2166&lt;=REALIZED_TO)*'Dvd Calendar'!$E$2169:$AR$2169*(('Dvd Calendar'!$E$2171:$AR$2171=TYPE1)*(TYPE1&lt;&gt;"")+('Dvd Calendar'!$E$2171:$AR$2171=TYPE2)*(TYPE2&lt;&gt;"")+('Dvd Calendar'!$E$2171:$AR$2171=TYPE3)*(TYPE3&lt;&gt;"")+('Dvd Calendar'!$E$2171:$AR$2171=TYPE4)*(TYPE4&lt;&gt;"")+('Dvd Calendar'!$E$2171:$AR$2171=SPECIAL_LBL)*(INC_SPECIALS="Y"))))</f>
        <v/>
      </c>
      <c r="K62" s="128">
        <f>IF($B62="",0,SUMIFS('Dvd Calendar'!$E$2174:$AR$2174,'Dvd Calendar'!$E$2173:$AR$2173,"&gt;"&amp;PROJ_FROM,'Dvd Calendar'!$E$2173:$AR$2173,"&lt;="&amp;WIN_TO)+SUMPRODUCT(('Dvd Calendar'!$E$2166:$AR$2166&gt;PROJ_FROM)*('Dvd Calendar'!$E$2166:$AR$2166&lt;=WIN_TO)*'Dvd Calendar'!$E$2169:$AR$2169*(('Dvd Calendar'!$E$2171:$AR$2171=TYPE1)*(TYPE1&lt;&gt;"")+('Dvd Calendar'!$E$2171:$AR$2171=TYPE2)*(TYPE2&lt;&gt;"")+('Dvd Calendar'!$E$2171:$AR$2171=TYPE3)*(TYPE3&lt;&gt;"")+('Dvd Calendar'!$E$2171:$AR$2171=TYPE4)*(TYPE4&lt;&gt;"")+('Dvd Calendar'!$E$2171:$AR$2171=SPECIAL_LBL)*(INC_SPECIALS="Y"))*(COUNTIF('Dvd Calendar'!$E$2173:$AR$2173,'Dvd Calendar'!$E$2166:$AR$2166)=0)))</f>
        <v/>
      </c>
      <c r="L62" s="128">
        <f>IF($B62="",0,IF((OV_SWITCH="ON")*(COUNTIFS(OVR_TICKERS,$C62,OVR_BASE,"&gt;=0")&gt;0)&gt;0,SUMIFS(OVR_BASE,OVR_TICKERS,$C62),$K62))</f>
        <v/>
      </c>
      <c r="M62" s="128">
        <f>IF($B62="",0,IF((OV_SWITCH="ON")*(COUNTIFS(OVR_TICKERS,$C62,OVR_LOW,"&gt;=0")&gt;0)&gt;0,SUMIFS(OVR_LOW,OVR_TICKERS,$C62),$L62))</f>
        <v/>
      </c>
      <c r="N62" s="128">
        <f>IF($B62="",0,IF((OV_SWITCH="ON")*(COUNTIFS(OVR_TICKERS,$C62,OVR_HIGH,"&gt;=0")&gt;0)&gt;0,SUMIFS(OVR_HIGH,OVR_TICKERS,$C62),$L62))</f>
        <v/>
      </c>
      <c r="O62" s="133">
        <f>IF($B62="","",IFERROR($B62*$G62*$J62/$B$3,""))</f>
        <v/>
      </c>
      <c r="P62" s="133">
        <f>IF($B62="","",IFERROR($B62*$G62*$L62/$B$3,""))</f>
        <v/>
      </c>
      <c r="Q62" s="124">
        <f>IF($B62="","",IFERROR($O62+$P62,""))</f>
        <v/>
      </c>
      <c r="R62" s="133">
        <f>IF($B62="","",IFERROR($O62+$B62*$G62*$M62/$B$3,""))</f>
        <v/>
      </c>
      <c r="S62" s="133">
        <f>IF($B62="","",IFERROR($O62+$B62*$G62*$N62/$B$3,""))</f>
        <v/>
      </c>
      <c r="T62" s="150">
        <f>IF($B62="","",IFERROR($Q62/$Q$5,""))</f>
        <v/>
      </c>
      <c r="U62" s="2">
        <f>IF($B62="","",IF(COUNTIFS('Dvd Calendar'!$E$2172:$AR$2172,"&gt;0",'Dvd Calendar'!$E$2172:$AR$2172,"&lt;="&amp;VAL_DATE,'Dvd Calendar'!$E$2173:$AR$2173,"&gt;"&amp;PROJ_FROM,'Dvd Calendar'!$E$2173:$AR$2173,"&lt;="&amp;WIN_TO)-COUNTIFS('Dvd Calendar'!$E$2172:$AR$2172,"&gt;0",'Dvd Calendar'!$E$2172:$AR$2172,"&lt;="&amp;VAL_DATE,'Dvd Calendar'!$E$2173:$AR$2173,"&gt;"&amp;PROJ_FROM,'Dvd Calendar'!$E$2173:$AR$2173,"&lt;="&amp;WIN_TO,'Dvd Calendar'!$E$2174:$AR$2174,"&gt;=0")&gt;0,"TBA amount - override me",IF((OV_SWITCH="ON")*(COUNTIFS(OVR_TICKERS,$C62,OVR_BASE,"&gt;=0")&gt;0)&gt;0,"overridden",IF($J62+$K62=0,"no dividend in year Y",""))))</f>
        <v/>
      </c>
      <c r="V62" s="133">
        <f>IF($B62="","",IFERROR(IF(ISNUMBER($H62),$B62*$G62*$H62/$B$3,0),""))</f>
        <v/>
      </c>
      <c r="W62" s="133">
        <f>IF($B62="","",IFERROR($B62*$G62*$K62/$B$3,""))</f>
        <v/>
      </c>
      <c r="X62" s="157">
        <f>IF($C62="","",BDP($C62,"PX_LAST"))</f>
        <v/>
      </c>
      <c r="Y62" s="133">
        <f>IF($B62="","",IFERROR($B62*$X62/$B$3,""))</f>
        <v/>
      </c>
      <c r="Z62" s="137">
        <f>IF($B62="","",IFERROR($Y62/$Y$5,""))</f>
        <v/>
      </c>
    </row>
    <row r="63">
      <c r="B63" s="97" t="n"/>
      <c r="C63" s="8">
        <f>IF($A63="","",$A63&amp;" Equity")</f>
        <v/>
      </c>
      <c r="D63" s="8">
        <f>IF($C63="","",BDP($C63,"NAME"))</f>
        <v/>
      </c>
      <c r="E63" s="8">
        <f>IF($C63="","",BDP($C63,"GICS_SECTOR_NAME"))</f>
        <v/>
      </c>
      <c r="F63" s="37">
        <f>IF($C63="","",BDP($C63,FLD_CCY))</f>
        <v/>
      </c>
      <c r="G63" s="111">
        <f>IFERROR(IF(LEN($F63)&lt;&gt;3,1,IF($F63="HKD",1,BDP(IF($F63="CNY",RMB_CROSS,$F63)&amp;"HKD Curncy","PX_LAST"))),1)</f>
        <v/>
      </c>
      <c r="H63" s="133">
        <f>IF($C63="","",BDP($C63,FLD_DPS12M))</f>
        <v/>
      </c>
      <c r="I63" s="126">
        <f>IF($C63="","",BDP($C63,FLD_YLD12M))</f>
        <v/>
      </c>
      <c r="J63" s="128">
        <f>IF($B63="",0,SUMPRODUCT(('Dvd Calendar'!$E$2177:$AR$2177&gt;=WIN_FROM)*('Dvd Calendar'!$E$2177:$AR$2177&lt;=REALIZED_TO)*'Dvd Calendar'!$E$2180:$AR$2180*(('Dvd Calendar'!$E$2182:$AR$2182=TYPE1)*(TYPE1&lt;&gt;"")+('Dvd Calendar'!$E$2182:$AR$2182=TYPE2)*(TYPE2&lt;&gt;"")+('Dvd Calendar'!$E$2182:$AR$2182=TYPE3)*(TYPE3&lt;&gt;"")+('Dvd Calendar'!$E$2182:$AR$2182=TYPE4)*(TYPE4&lt;&gt;"")+('Dvd Calendar'!$E$2182:$AR$2182=SPECIAL_LBL)*(INC_SPECIALS="Y"))))</f>
        <v/>
      </c>
      <c r="K63" s="128">
        <f>IF($B63="",0,SUMIFS('Dvd Calendar'!$E$2185:$AR$2185,'Dvd Calendar'!$E$2184:$AR$2184,"&gt;"&amp;PROJ_FROM,'Dvd Calendar'!$E$2184:$AR$2184,"&lt;="&amp;WIN_TO)+SUMPRODUCT(('Dvd Calendar'!$E$2177:$AR$2177&gt;PROJ_FROM)*('Dvd Calendar'!$E$2177:$AR$2177&lt;=WIN_TO)*'Dvd Calendar'!$E$2180:$AR$2180*(('Dvd Calendar'!$E$2182:$AR$2182=TYPE1)*(TYPE1&lt;&gt;"")+('Dvd Calendar'!$E$2182:$AR$2182=TYPE2)*(TYPE2&lt;&gt;"")+('Dvd Calendar'!$E$2182:$AR$2182=TYPE3)*(TYPE3&lt;&gt;"")+('Dvd Calendar'!$E$2182:$AR$2182=TYPE4)*(TYPE4&lt;&gt;"")+('Dvd Calendar'!$E$2182:$AR$2182=SPECIAL_LBL)*(INC_SPECIALS="Y"))*(COUNTIF('Dvd Calendar'!$E$2184:$AR$2184,'Dvd Calendar'!$E$2177:$AR$2177)=0)))</f>
        <v/>
      </c>
      <c r="L63" s="128">
        <f>IF($B63="",0,IF((OV_SWITCH="ON")*(COUNTIFS(OVR_TICKERS,$C63,OVR_BASE,"&gt;=0")&gt;0)&gt;0,SUMIFS(OVR_BASE,OVR_TICKERS,$C63),$K63))</f>
        <v/>
      </c>
      <c r="M63" s="128">
        <f>IF($B63="",0,IF((OV_SWITCH="ON")*(COUNTIFS(OVR_TICKERS,$C63,OVR_LOW,"&gt;=0")&gt;0)&gt;0,SUMIFS(OVR_LOW,OVR_TICKERS,$C63),$L63))</f>
        <v/>
      </c>
      <c r="N63" s="128">
        <f>IF($B63="",0,IF((OV_SWITCH="ON")*(COUNTIFS(OVR_TICKERS,$C63,OVR_HIGH,"&gt;=0")&gt;0)&gt;0,SUMIFS(OVR_HIGH,OVR_TICKERS,$C63),$L63))</f>
        <v/>
      </c>
      <c r="O63" s="133">
        <f>IF($B63="","",IFERROR($B63*$G63*$J63/$B$3,""))</f>
        <v/>
      </c>
      <c r="P63" s="133">
        <f>IF($B63="","",IFERROR($B63*$G63*$L63/$B$3,""))</f>
        <v/>
      </c>
      <c r="Q63" s="124">
        <f>IF($B63="","",IFERROR($O63+$P63,""))</f>
        <v/>
      </c>
      <c r="R63" s="133">
        <f>IF($B63="","",IFERROR($O63+$B63*$G63*$M63/$B$3,""))</f>
        <v/>
      </c>
      <c r="S63" s="133">
        <f>IF($B63="","",IFERROR($O63+$B63*$G63*$N63/$B$3,""))</f>
        <v/>
      </c>
      <c r="T63" s="150">
        <f>IF($B63="","",IFERROR($Q63/$Q$5,""))</f>
        <v/>
      </c>
      <c r="U63" s="2">
        <f>IF($B63="","",IF(COUNTIFS('Dvd Calendar'!$E$2183:$AR$2183,"&gt;0",'Dvd Calendar'!$E$2183:$AR$2183,"&lt;="&amp;VAL_DATE,'Dvd Calendar'!$E$2184:$AR$2184,"&gt;"&amp;PROJ_FROM,'Dvd Calendar'!$E$2184:$AR$2184,"&lt;="&amp;WIN_TO)-COUNTIFS('Dvd Calendar'!$E$2183:$AR$2183,"&gt;0",'Dvd Calendar'!$E$2183:$AR$2183,"&lt;="&amp;VAL_DATE,'Dvd Calendar'!$E$2184:$AR$2184,"&gt;"&amp;PROJ_FROM,'Dvd Calendar'!$E$2184:$AR$2184,"&lt;="&amp;WIN_TO,'Dvd Calendar'!$E$2185:$AR$2185,"&gt;=0")&gt;0,"TBA amount - override me",IF((OV_SWITCH="ON")*(COUNTIFS(OVR_TICKERS,$C63,OVR_BASE,"&gt;=0")&gt;0)&gt;0,"overridden",IF($J63+$K63=0,"no dividend in year Y",""))))</f>
        <v/>
      </c>
      <c r="V63" s="133">
        <f>IF($B63="","",IFERROR(IF(ISNUMBER($H63),$B63*$G63*$H63/$B$3,0),""))</f>
        <v/>
      </c>
      <c r="W63" s="133">
        <f>IF($B63="","",IFERROR($B63*$G63*$K63/$B$3,""))</f>
        <v/>
      </c>
      <c r="X63" s="157">
        <f>IF($C63="","",BDP($C63,"PX_LAST"))</f>
        <v/>
      </c>
      <c r="Y63" s="133">
        <f>IF($B63="","",IFERROR($B63*$X63/$B$3,""))</f>
        <v/>
      </c>
      <c r="Z63" s="137">
        <f>IF($B63="","",IFERROR($Y63/$Y$5,""))</f>
        <v/>
      </c>
    </row>
    <row r="64">
      <c r="B64" s="97" t="n"/>
      <c r="C64" s="8">
        <f>IF($A64="","",$A64&amp;" Equity")</f>
        <v/>
      </c>
      <c r="D64" s="8">
        <f>IF($C64="","",BDP($C64,"NAME"))</f>
        <v/>
      </c>
      <c r="E64" s="8">
        <f>IF($C64="","",BDP($C64,"GICS_SECTOR_NAME"))</f>
        <v/>
      </c>
      <c r="F64" s="37">
        <f>IF($C64="","",BDP($C64,FLD_CCY))</f>
        <v/>
      </c>
      <c r="G64" s="111">
        <f>IFERROR(IF(LEN($F64)&lt;&gt;3,1,IF($F64="HKD",1,BDP(IF($F64="CNY",RMB_CROSS,$F64)&amp;"HKD Curncy","PX_LAST"))),1)</f>
        <v/>
      </c>
      <c r="H64" s="133">
        <f>IF($C64="","",BDP($C64,FLD_DPS12M))</f>
        <v/>
      </c>
      <c r="I64" s="126">
        <f>IF($C64="","",BDP($C64,FLD_YLD12M))</f>
        <v/>
      </c>
      <c r="J64" s="128">
        <f>IF($B64="",0,SUMPRODUCT(('Dvd Calendar'!$E$2188:$AR$2188&gt;=WIN_FROM)*('Dvd Calendar'!$E$2188:$AR$2188&lt;=REALIZED_TO)*'Dvd Calendar'!$E$2191:$AR$2191*(('Dvd Calendar'!$E$2193:$AR$2193=TYPE1)*(TYPE1&lt;&gt;"")+('Dvd Calendar'!$E$2193:$AR$2193=TYPE2)*(TYPE2&lt;&gt;"")+('Dvd Calendar'!$E$2193:$AR$2193=TYPE3)*(TYPE3&lt;&gt;"")+('Dvd Calendar'!$E$2193:$AR$2193=TYPE4)*(TYPE4&lt;&gt;"")+('Dvd Calendar'!$E$2193:$AR$2193=SPECIAL_LBL)*(INC_SPECIALS="Y"))))</f>
        <v/>
      </c>
      <c r="K64" s="128">
        <f>IF($B64="",0,SUMIFS('Dvd Calendar'!$E$2196:$AR$2196,'Dvd Calendar'!$E$2195:$AR$2195,"&gt;"&amp;PROJ_FROM,'Dvd Calendar'!$E$2195:$AR$2195,"&lt;="&amp;WIN_TO)+SUMPRODUCT(('Dvd Calendar'!$E$2188:$AR$2188&gt;PROJ_FROM)*('Dvd Calendar'!$E$2188:$AR$2188&lt;=WIN_TO)*'Dvd Calendar'!$E$2191:$AR$2191*(('Dvd Calendar'!$E$2193:$AR$2193=TYPE1)*(TYPE1&lt;&gt;"")+('Dvd Calendar'!$E$2193:$AR$2193=TYPE2)*(TYPE2&lt;&gt;"")+('Dvd Calendar'!$E$2193:$AR$2193=TYPE3)*(TYPE3&lt;&gt;"")+('Dvd Calendar'!$E$2193:$AR$2193=TYPE4)*(TYPE4&lt;&gt;"")+('Dvd Calendar'!$E$2193:$AR$2193=SPECIAL_LBL)*(INC_SPECIALS="Y"))*(COUNTIF('Dvd Calendar'!$E$2195:$AR$2195,'Dvd Calendar'!$E$2188:$AR$2188)=0)))</f>
        <v/>
      </c>
      <c r="L64" s="128">
        <f>IF($B64="",0,IF((OV_SWITCH="ON")*(COUNTIFS(OVR_TICKERS,$C64,OVR_BASE,"&gt;=0")&gt;0)&gt;0,SUMIFS(OVR_BASE,OVR_TICKERS,$C64),$K64))</f>
        <v/>
      </c>
      <c r="M64" s="128">
        <f>IF($B64="",0,IF((OV_SWITCH="ON")*(COUNTIFS(OVR_TICKERS,$C64,OVR_LOW,"&gt;=0")&gt;0)&gt;0,SUMIFS(OVR_LOW,OVR_TICKERS,$C64),$L64))</f>
        <v/>
      </c>
      <c r="N64" s="128">
        <f>IF($B64="",0,IF((OV_SWITCH="ON")*(COUNTIFS(OVR_TICKERS,$C64,OVR_HIGH,"&gt;=0")&gt;0)&gt;0,SUMIFS(OVR_HIGH,OVR_TICKERS,$C64),$L64))</f>
        <v/>
      </c>
      <c r="O64" s="133">
        <f>IF($B64="","",IFERROR($B64*$G64*$J64/$B$3,""))</f>
        <v/>
      </c>
      <c r="P64" s="133">
        <f>IF($B64="","",IFERROR($B64*$G64*$L64/$B$3,""))</f>
        <v/>
      </c>
      <c r="Q64" s="124">
        <f>IF($B64="","",IFERROR($O64+$P64,""))</f>
        <v/>
      </c>
      <c r="R64" s="133">
        <f>IF($B64="","",IFERROR($O64+$B64*$G64*$M64/$B$3,""))</f>
        <v/>
      </c>
      <c r="S64" s="133">
        <f>IF($B64="","",IFERROR($O64+$B64*$G64*$N64/$B$3,""))</f>
        <v/>
      </c>
      <c r="T64" s="150">
        <f>IF($B64="","",IFERROR($Q64/$Q$5,""))</f>
        <v/>
      </c>
      <c r="U64" s="2">
        <f>IF($B64="","",IF(COUNTIFS('Dvd Calendar'!$E$2194:$AR$2194,"&gt;0",'Dvd Calendar'!$E$2194:$AR$2194,"&lt;="&amp;VAL_DATE,'Dvd Calendar'!$E$2195:$AR$2195,"&gt;"&amp;PROJ_FROM,'Dvd Calendar'!$E$2195:$AR$2195,"&lt;="&amp;WIN_TO)-COUNTIFS('Dvd Calendar'!$E$2194:$AR$2194,"&gt;0",'Dvd Calendar'!$E$2194:$AR$2194,"&lt;="&amp;VAL_DATE,'Dvd Calendar'!$E$2195:$AR$2195,"&gt;"&amp;PROJ_FROM,'Dvd Calendar'!$E$2195:$AR$2195,"&lt;="&amp;WIN_TO,'Dvd Calendar'!$E$2196:$AR$2196,"&gt;=0")&gt;0,"TBA amount - override me",IF((OV_SWITCH="ON")*(COUNTIFS(OVR_TICKERS,$C64,OVR_BASE,"&gt;=0")&gt;0)&gt;0,"overridden",IF($J64+$K64=0,"no dividend in year Y",""))))</f>
        <v/>
      </c>
      <c r="V64" s="133">
        <f>IF($B64="","",IFERROR(IF(ISNUMBER($H64),$B64*$G64*$H64/$B$3,0),""))</f>
        <v/>
      </c>
      <c r="W64" s="133">
        <f>IF($B64="","",IFERROR($B64*$G64*$K64/$B$3,""))</f>
        <v/>
      </c>
      <c r="X64" s="157">
        <f>IF($C64="","",BDP($C64,"PX_LAST"))</f>
        <v/>
      </c>
      <c r="Y64" s="133">
        <f>IF($B64="","",IFERROR($B64*$X64/$B$3,""))</f>
        <v/>
      </c>
      <c r="Z64" s="137">
        <f>IF($B64="","",IFERROR($Y64/$Y$5,""))</f>
        <v/>
      </c>
    </row>
    <row r="65">
      <c r="B65" s="97" t="n"/>
      <c r="C65" s="8">
        <f>IF($A65="","",$A65&amp;" Equity")</f>
        <v/>
      </c>
      <c r="D65" s="8">
        <f>IF($C65="","",BDP($C65,"NAME"))</f>
        <v/>
      </c>
      <c r="E65" s="8">
        <f>IF($C65="","",BDP($C65,"GICS_SECTOR_NAME"))</f>
        <v/>
      </c>
      <c r="F65" s="37">
        <f>IF($C65="","",BDP($C65,FLD_CCY))</f>
        <v/>
      </c>
      <c r="G65" s="111">
        <f>IFERROR(IF(LEN($F65)&lt;&gt;3,1,IF($F65="HKD",1,BDP(IF($F65="CNY",RMB_CROSS,$F65)&amp;"HKD Curncy","PX_LAST"))),1)</f>
        <v/>
      </c>
      <c r="H65" s="133">
        <f>IF($C65="","",BDP($C65,FLD_DPS12M))</f>
        <v/>
      </c>
      <c r="I65" s="126">
        <f>IF($C65="","",BDP($C65,FLD_YLD12M))</f>
        <v/>
      </c>
      <c r="J65" s="128">
        <f>IF($B65="",0,SUMPRODUCT(('Dvd Calendar'!$E$2199:$AR$2199&gt;=WIN_FROM)*('Dvd Calendar'!$E$2199:$AR$2199&lt;=REALIZED_TO)*'Dvd Calendar'!$E$2202:$AR$2202*(('Dvd Calendar'!$E$2204:$AR$2204=TYPE1)*(TYPE1&lt;&gt;"")+('Dvd Calendar'!$E$2204:$AR$2204=TYPE2)*(TYPE2&lt;&gt;"")+('Dvd Calendar'!$E$2204:$AR$2204=TYPE3)*(TYPE3&lt;&gt;"")+('Dvd Calendar'!$E$2204:$AR$2204=TYPE4)*(TYPE4&lt;&gt;"")+('Dvd Calendar'!$E$2204:$AR$2204=SPECIAL_LBL)*(INC_SPECIALS="Y"))))</f>
        <v/>
      </c>
      <c r="K65" s="128">
        <f>IF($B65="",0,SUMIFS('Dvd Calendar'!$E$2207:$AR$2207,'Dvd Calendar'!$E$2206:$AR$2206,"&gt;"&amp;PROJ_FROM,'Dvd Calendar'!$E$2206:$AR$2206,"&lt;="&amp;WIN_TO)+SUMPRODUCT(('Dvd Calendar'!$E$2199:$AR$2199&gt;PROJ_FROM)*('Dvd Calendar'!$E$2199:$AR$2199&lt;=WIN_TO)*'Dvd Calendar'!$E$2202:$AR$2202*(('Dvd Calendar'!$E$2204:$AR$2204=TYPE1)*(TYPE1&lt;&gt;"")+('Dvd Calendar'!$E$2204:$AR$2204=TYPE2)*(TYPE2&lt;&gt;"")+('Dvd Calendar'!$E$2204:$AR$2204=TYPE3)*(TYPE3&lt;&gt;"")+('Dvd Calendar'!$E$2204:$AR$2204=TYPE4)*(TYPE4&lt;&gt;"")+('Dvd Calendar'!$E$2204:$AR$2204=SPECIAL_LBL)*(INC_SPECIALS="Y"))*(COUNTIF('Dvd Calendar'!$E$2206:$AR$2206,'Dvd Calendar'!$E$2199:$AR$2199)=0)))</f>
        <v/>
      </c>
      <c r="L65" s="128">
        <f>IF($B65="",0,IF((OV_SWITCH="ON")*(COUNTIFS(OVR_TICKERS,$C65,OVR_BASE,"&gt;=0")&gt;0)&gt;0,SUMIFS(OVR_BASE,OVR_TICKERS,$C65),$K65))</f>
        <v/>
      </c>
      <c r="M65" s="128">
        <f>IF($B65="",0,IF((OV_SWITCH="ON")*(COUNTIFS(OVR_TICKERS,$C65,OVR_LOW,"&gt;=0")&gt;0)&gt;0,SUMIFS(OVR_LOW,OVR_TICKERS,$C65),$L65))</f>
        <v/>
      </c>
      <c r="N65" s="128">
        <f>IF($B65="",0,IF((OV_SWITCH="ON")*(COUNTIFS(OVR_TICKERS,$C65,OVR_HIGH,"&gt;=0")&gt;0)&gt;0,SUMIFS(OVR_HIGH,OVR_TICKERS,$C65),$L65))</f>
        <v/>
      </c>
      <c r="O65" s="133">
        <f>IF($B65="","",IFERROR($B65*$G65*$J65/$B$3,""))</f>
        <v/>
      </c>
      <c r="P65" s="133">
        <f>IF($B65="","",IFERROR($B65*$G65*$L65/$B$3,""))</f>
        <v/>
      </c>
      <c r="Q65" s="124">
        <f>IF($B65="","",IFERROR($O65+$P65,""))</f>
        <v/>
      </c>
      <c r="R65" s="133">
        <f>IF($B65="","",IFERROR($O65+$B65*$G65*$M65/$B$3,""))</f>
        <v/>
      </c>
      <c r="S65" s="133">
        <f>IF($B65="","",IFERROR($O65+$B65*$G65*$N65/$B$3,""))</f>
        <v/>
      </c>
      <c r="T65" s="150">
        <f>IF($B65="","",IFERROR($Q65/$Q$5,""))</f>
        <v/>
      </c>
      <c r="U65" s="2">
        <f>IF($B65="","",IF(COUNTIFS('Dvd Calendar'!$E$2205:$AR$2205,"&gt;0",'Dvd Calendar'!$E$2205:$AR$2205,"&lt;="&amp;VAL_DATE,'Dvd Calendar'!$E$2206:$AR$2206,"&gt;"&amp;PROJ_FROM,'Dvd Calendar'!$E$2206:$AR$2206,"&lt;="&amp;WIN_TO)-COUNTIFS('Dvd Calendar'!$E$2205:$AR$2205,"&gt;0",'Dvd Calendar'!$E$2205:$AR$2205,"&lt;="&amp;VAL_DATE,'Dvd Calendar'!$E$2206:$AR$2206,"&gt;"&amp;PROJ_FROM,'Dvd Calendar'!$E$2206:$AR$2206,"&lt;="&amp;WIN_TO,'Dvd Calendar'!$E$2207:$AR$2207,"&gt;=0")&gt;0,"TBA amount - override me",IF((OV_SWITCH="ON")*(COUNTIFS(OVR_TICKERS,$C65,OVR_BASE,"&gt;=0")&gt;0)&gt;0,"overridden",IF($J65+$K65=0,"no dividend in year Y",""))))</f>
        <v/>
      </c>
      <c r="V65" s="133">
        <f>IF($B65="","",IFERROR(IF(ISNUMBER($H65),$B65*$G65*$H65/$B$3,0),""))</f>
        <v/>
      </c>
      <c r="W65" s="133">
        <f>IF($B65="","",IFERROR($B65*$G65*$K65/$B$3,""))</f>
        <v/>
      </c>
      <c r="X65" s="157">
        <f>IF($C65="","",BDP($C65,"PX_LAST"))</f>
        <v/>
      </c>
      <c r="Y65" s="133">
        <f>IF($B65="","",IFERROR($B65*$X65/$B$3,""))</f>
        <v/>
      </c>
      <c r="Z65" s="137">
        <f>IF($B65="","",IFERROR($Y65/$Y$5,""))</f>
        <v/>
      </c>
    </row>
    <row r="66">
      <c r="B66" s="97" t="n"/>
      <c r="C66" s="8">
        <f>IF($A66="","",$A66&amp;" Equity")</f>
        <v/>
      </c>
      <c r="D66" s="8">
        <f>IF($C66="","",BDP($C66,"NAME"))</f>
        <v/>
      </c>
      <c r="E66" s="8">
        <f>IF($C66="","",BDP($C66,"GICS_SECTOR_NAME"))</f>
        <v/>
      </c>
      <c r="F66" s="37">
        <f>IF($C66="","",BDP($C66,FLD_CCY))</f>
        <v/>
      </c>
      <c r="G66" s="111">
        <f>IFERROR(IF(LEN($F66)&lt;&gt;3,1,IF($F66="HKD",1,BDP(IF($F66="CNY",RMB_CROSS,$F66)&amp;"HKD Curncy","PX_LAST"))),1)</f>
        <v/>
      </c>
      <c r="H66" s="133">
        <f>IF($C66="","",BDP($C66,FLD_DPS12M))</f>
        <v/>
      </c>
      <c r="I66" s="126">
        <f>IF($C66="","",BDP($C66,FLD_YLD12M))</f>
        <v/>
      </c>
      <c r="J66" s="128">
        <f>IF($B66="",0,SUMPRODUCT(('Dvd Calendar'!$E$2210:$AR$2210&gt;=WIN_FROM)*('Dvd Calendar'!$E$2210:$AR$2210&lt;=REALIZED_TO)*'Dvd Calendar'!$E$2213:$AR$2213*(('Dvd Calendar'!$E$2215:$AR$2215=TYPE1)*(TYPE1&lt;&gt;"")+('Dvd Calendar'!$E$2215:$AR$2215=TYPE2)*(TYPE2&lt;&gt;"")+('Dvd Calendar'!$E$2215:$AR$2215=TYPE3)*(TYPE3&lt;&gt;"")+('Dvd Calendar'!$E$2215:$AR$2215=TYPE4)*(TYPE4&lt;&gt;"")+('Dvd Calendar'!$E$2215:$AR$2215=SPECIAL_LBL)*(INC_SPECIALS="Y"))))</f>
        <v/>
      </c>
      <c r="K66" s="128">
        <f>IF($B66="",0,SUMIFS('Dvd Calendar'!$E$2218:$AR$2218,'Dvd Calendar'!$E$2217:$AR$2217,"&gt;"&amp;PROJ_FROM,'Dvd Calendar'!$E$2217:$AR$2217,"&lt;="&amp;WIN_TO)+SUMPRODUCT(('Dvd Calendar'!$E$2210:$AR$2210&gt;PROJ_FROM)*('Dvd Calendar'!$E$2210:$AR$2210&lt;=WIN_TO)*'Dvd Calendar'!$E$2213:$AR$2213*(('Dvd Calendar'!$E$2215:$AR$2215=TYPE1)*(TYPE1&lt;&gt;"")+('Dvd Calendar'!$E$2215:$AR$2215=TYPE2)*(TYPE2&lt;&gt;"")+('Dvd Calendar'!$E$2215:$AR$2215=TYPE3)*(TYPE3&lt;&gt;"")+('Dvd Calendar'!$E$2215:$AR$2215=TYPE4)*(TYPE4&lt;&gt;"")+('Dvd Calendar'!$E$2215:$AR$2215=SPECIAL_LBL)*(INC_SPECIALS="Y"))*(COUNTIF('Dvd Calendar'!$E$2217:$AR$2217,'Dvd Calendar'!$E$2210:$AR$2210)=0)))</f>
        <v/>
      </c>
      <c r="L66" s="128">
        <f>IF($B66="",0,IF((OV_SWITCH="ON")*(COUNTIFS(OVR_TICKERS,$C66,OVR_BASE,"&gt;=0")&gt;0)&gt;0,SUMIFS(OVR_BASE,OVR_TICKERS,$C66),$K66))</f>
        <v/>
      </c>
      <c r="M66" s="128">
        <f>IF($B66="",0,IF((OV_SWITCH="ON")*(COUNTIFS(OVR_TICKERS,$C66,OVR_LOW,"&gt;=0")&gt;0)&gt;0,SUMIFS(OVR_LOW,OVR_TICKERS,$C66),$L66))</f>
        <v/>
      </c>
      <c r="N66" s="128">
        <f>IF($B66="",0,IF((OV_SWITCH="ON")*(COUNTIFS(OVR_TICKERS,$C66,OVR_HIGH,"&gt;=0")&gt;0)&gt;0,SUMIFS(OVR_HIGH,OVR_TICKERS,$C66),$L66))</f>
        <v/>
      </c>
      <c r="O66" s="133">
        <f>IF($B66="","",IFERROR($B66*$G66*$J66/$B$3,""))</f>
        <v/>
      </c>
      <c r="P66" s="133">
        <f>IF($B66="","",IFERROR($B66*$G66*$L66/$B$3,""))</f>
        <v/>
      </c>
      <c r="Q66" s="124">
        <f>IF($B66="","",IFERROR($O66+$P66,""))</f>
        <v/>
      </c>
      <c r="R66" s="133">
        <f>IF($B66="","",IFERROR($O66+$B66*$G66*$M66/$B$3,""))</f>
        <v/>
      </c>
      <c r="S66" s="133">
        <f>IF($B66="","",IFERROR($O66+$B66*$G66*$N66/$B$3,""))</f>
        <v/>
      </c>
      <c r="T66" s="150">
        <f>IF($B66="","",IFERROR($Q66/$Q$5,""))</f>
        <v/>
      </c>
      <c r="U66" s="2">
        <f>IF($B66="","",IF(COUNTIFS('Dvd Calendar'!$E$2216:$AR$2216,"&gt;0",'Dvd Calendar'!$E$2216:$AR$2216,"&lt;="&amp;VAL_DATE,'Dvd Calendar'!$E$2217:$AR$2217,"&gt;"&amp;PROJ_FROM,'Dvd Calendar'!$E$2217:$AR$2217,"&lt;="&amp;WIN_TO)-COUNTIFS('Dvd Calendar'!$E$2216:$AR$2216,"&gt;0",'Dvd Calendar'!$E$2216:$AR$2216,"&lt;="&amp;VAL_DATE,'Dvd Calendar'!$E$2217:$AR$2217,"&gt;"&amp;PROJ_FROM,'Dvd Calendar'!$E$2217:$AR$2217,"&lt;="&amp;WIN_TO,'Dvd Calendar'!$E$2218:$AR$2218,"&gt;=0")&gt;0,"TBA amount - override me",IF((OV_SWITCH="ON")*(COUNTIFS(OVR_TICKERS,$C66,OVR_BASE,"&gt;=0")&gt;0)&gt;0,"overridden",IF($J66+$K66=0,"no dividend in year Y",""))))</f>
        <v/>
      </c>
      <c r="V66" s="133">
        <f>IF($B66="","",IFERROR(IF(ISNUMBER($H66),$B66*$G66*$H66/$B$3,0),""))</f>
        <v/>
      </c>
      <c r="W66" s="133">
        <f>IF($B66="","",IFERROR($B66*$G66*$K66/$B$3,""))</f>
        <v/>
      </c>
      <c r="X66" s="157">
        <f>IF($C66="","",BDP($C66,"PX_LAST"))</f>
        <v/>
      </c>
      <c r="Y66" s="133">
        <f>IF($B66="","",IFERROR($B66*$X66/$B$3,""))</f>
        <v/>
      </c>
      <c r="Z66" s="137">
        <f>IF($B66="","",IFERROR($Y66/$Y$5,""))</f>
        <v/>
      </c>
    </row>
    <row r="67"/>
    <row r="68"/>
    <row r="69"/>
    <row r="70"/>
  </sheetData>
  <autoFilter ref="A6:Z66"/>
  <conditionalFormatting sqref="U7:U66">
    <cfRule type="expression" priority="1" dxfId="0">
      <formula>ISNUMBER(SEARCH("TBA",$U7))</formula>
    </cfRule>
  </conditionalFormatting>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AR2218"/>
  <sheetViews>
    <sheetView workbookViewId="0">
      <pane xSplit="4" ySplit="6" topLeftCell="E7"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8" customWidth="1" min="2" max="2"/>
    <col width="11" customWidth="1" min="3" max="3"/>
    <col width="17"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s>
  <sheetData>
    <row r="1">
      <c r="A1" s="1" t="inlineStr">
        <is>
          <t>DIVIDEND CALENDAR - RAW BLOOMBERG PULLS.  ENGINE TAB: NEVER EDIT, NEVER SORT.</t>
        </is>
      </c>
    </row>
    <row r="2">
      <c r="A2" s="2" t="inlineStr">
        <is>
          <t>Per stock: HISTORY (7 rows, five years back) then PROJECTIONS (3 rows). An event counts as ANNOUNCED only once its declared date has passed.</t>
        </is>
      </c>
    </row>
    <row r="7">
      <c r="A7" s="6" t="inlineStr">
        <is>
          <t>Hang Seng Index (HSI)</t>
        </is>
      </c>
      <c r="B7" s="7" t="n"/>
      <c r="C7" s="7" t="n"/>
      <c r="D7" s="7" t="n"/>
      <c r="F7" s="2">
        <f>SUMPRODUCT($B$10:$B$1109)&amp;" events read   |   "&amp;COUNTA($AS$10:$CF$1109)&amp;" beyond the window (must be 0)"</f>
        <v/>
      </c>
    </row>
    <row r="8">
      <c r="A8" s="23" t="inlineStr">
        <is>
          <t>Ticker</t>
        </is>
      </c>
      <c r="B8" s="23" t="inlineStr">
        <is>
          <t>Events</t>
        </is>
      </c>
      <c r="C8" s="23" t="inlineStr">
        <is>
          <t>Last ex</t>
        </is>
      </c>
      <c r="D8" s="23" t="inlineStr">
        <is>
          <t>Bloomberg spill -&gt;</t>
        </is>
      </c>
    </row>
    <row r="10">
      <c r="A10" s="8">
        <f>IF(HSI!$C$7="","",HSI!$C$7)</f>
        <v/>
      </c>
      <c r="B10" s="158">
        <f>IF($A10="",0,COUNT($E11:$AR11))</f>
        <v/>
      </c>
      <c r="C10" s="159">
        <f>IF($B10=0,0,MAX($E11:$AR11))</f>
        <v/>
      </c>
      <c r="D10" s="101">
        <f>BDS($A10,FLD_HIST,"headers=y","startcol=1","endcol=7","dir=h","DVD_START_DT",HIST_FROM,"DVD_END_DT",HIST_TO)</f>
        <v/>
      </c>
      <c r="E10" s="102" t="n"/>
      <c r="F10" s="102" t="n"/>
      <c r="G10" s="102" t="n"/>
      <c r="H10" s="102" t="n"/>
      <c r="I10" s="102" t="n"/>
      <c r="J10" s="102" t="n"/>
      <c r="K10" s="102" t="n"/>
      <c r="L10" s="102" t="n"/>
      <c r="M10" s="102" t="n"/>
      <c r="N10" s="102" t="n"/>
      <c r="O10" s="102" t="n"/>
      <c r="P10" s="102" t="n"/>
      <c r="Q10" s="102" t="n"/>
      <c r="R10" s="102" t="n"/>
      <c r="S10" s="102" t="n"/>
      <c r="T10" s="102" t="n"/>
      <c r="U10" s="102" t="n"/>
      <c r="V10" s="102" t="n"/>
      <c r="W10" s="102" t="n"/>
      <c r="X10" s="102" t="n"/>
      <c r="Y10" s="102" t="n"/>
      <c r="Z10" s="102" t="n"/>
      <c r="AA10" s="102" t="n"/>
      <c r="AB10" s="102" t="n"/>
      <c r="AC10" s="102" t="n"/>
      <c r="AD10" s="102" t="n"/>
      <c r="AE10" s="102" t="n"/>
      <c r="AF10" s="102" t="n"/>
      <c r="AG10" s="102" t="n"/>
      <c r="AH10" s="102" t="n"/>
      <c r="AI10" s="102" t="n"/>
      <c r="AJ10" s="102" t="n"/>
      <c r="AK10" s="102" t="n"/>
      <c r="AL10" s="102" t="n"/>
      <c r="AM10" s="102" t="n"/>
      <c r="AN10" s="102" t="n"/>
      <c r="AO10" s="102" t="n"/>
      <c r="AP10" s="102" t="n"/>
      <c r="AQ10" s="102" t="n"/>
      <c r="AR10" s="102" t="n"/>
    </row>
    <row r="11">
      <c r="D11" s="102" t="n"/>
      <c r="E11" s="102" t="n"/>
      <c r="F11" s="102" t="n"/>
      <c r="G11" s="102" t="n"/>
      <c r="H11" s="102" t="n"/>
      <c r="I11" s="102" t="n"/>
      <c r="J11" s="102" t="n"/>
      <c r="K11" s="102" t="n"/>
      <c r="L11" s="102" t="n"/>
      <c r="M11" s="102" t="n"/>
      <c r="N11" s="102" t="n"/>
      <c r="O11" s="102" t="n"/>
      <c r="P11" s="102" t="n"/>
      <c r="Q11" s="102" t="n"/>
      <c r="R11" s="102" t="n"/>
      <c r="S11" s="102" t="n"/>
      <c r="T11" s="102" t="n"/>
      <c r="U11" s="102" t="n"/>
      <c r="V11" s="102" t="n"/>
      <c r="W11" s="102" t="n"/>
      <c r="X11" s="102" t="n"/>
      <c r="Y11" s="102" t="n"/>
      <c r="Z11" s="102" t="n"/>
      <c r="AA11" s="102" t="n"/>
      <c r="AB11" s="102" t="n"/>
      <c r="AC11" s="102" t="n"/>
      <c r="AD11" s="102" t="n"/>
      <c r="AE11" s="102" t="n"/>
      <c r="AF11" s="102" t="n"/>
      <c r="AG11" s="102" t="n"/>
      <c r="AH11" s="102" t="n"/>
      <c r="AI11" s="102" t="n"/>
      <c r="AJ11" s="102" t="n"/>
      <c r="AK11" s="102" t="n"/>
      <c r="AL11" s="102" t="n"/>
      <c r="AM11" s="102" t="n"/>
      <c r="AN11" s="102" t="n"/>
      <c r="AO11" s="102" t="n"/>
      <c r="AP11" s="102" t="n"/>
      <c r="AQ11" s="102" t="n"/>
      <c r="AR11" s="102" t="n"/>
    </row>
    <row r="12">
      <c r="D12" s="102" t="n"/>
      <c r="E12" s="102" t="n"/>
      <c r="F12" s="102" t="n"/>
      <c r="G12" s="102" t="n"/>
      <c r="H12" s="102" t="n"/>
      <c r="I12" s="102" t="n"/>
      <c r="J12" s="102" t="n"/>
      <c r="K12" s="102" t="n"/>
      <c r="L12" s="102" t="n"/>
      <c r="M12" s="102" t="n"/>
      <c r="N12" s="102" t="n"/>
      <c r="O12" s="102" t="n"/>
      <c r="P12" s="102" t="n"/>
      <c r="Q12" s="102" t="n"/>
      <c r="R12" s="102" t="n"/>
      <c r="S12" s="102" t="n"/>
      <c r="T12" s="102" t="n"/>
      <c r="U12" s="102" t="n"/>
      <c r="V12" s="102" t="n"/>
      <c r="W12" s="102" t="n"/>
      <c r="X12" s="102" t="n"/>
      <c r="Y12" s="102" t="n"/>
      <c r="Z12" s="102" t="n"/>
      <c r="AA12" s="102" t="n"/>
      <c r="AB12" s="102" t="n"/>
      <c r="AC12" s="102" t="n"/>
      <c r="AD12" s="102" t="n"/>
      <c r="AE12" s="102" t="n"/>
      <c r="AF12" s="102" t="n"/>
      <c r="AG12" s="102" t="n"/>
      <c r="AH12" s="102" t="n"/>
      <c r="AI12" s="102" t="n"/>
      <c r="AJ12" s="102" t="n"/>
      <c r="AK12" s="102" t="n"/>
      <c r="AL12" s="102" t="n"/>
      <c r="AM12" s="102" t="n"/>
      <c r="AN12" s="102" t="n"/>
      <c r="AO12" s="102" t="n"/>
      <c r="AP12" s="102" t="n"/>
      <c r="AQ12" s="102" t="n"/>
      <c r="AR12" s="102" t="n"/>
    </row>
    <row r="13">
      <c r="D13" s="102" t="n"/>
      <c r="E13" s="102" t="n"/>
      <c r="F13" s="102" t="n"/>
      <c r="G13" s="102" t="n"/>
      <c r="H13" s="102" t="n"/>
      <c r="I13" s="102" t="n"/>
      <c r="J13" s="102" t="n"/>
      <c r="K13" s="102" t="n"/>
      <c r="L13" s="102" t="n"/>
      <c r="M13" s="102" t="n"/>
      <c r="N13" s="102" t="n"/>
      <c r="O13" s="102" t="n"/>
      <c r="P13" s="102" t="n"/>
      <c r="Q13" s="102" t="n"/>
      <c r="R13" s="102" t="n"/>
      <c r="S13" s="102" t="n"/>
      <c r="T13" s="102" t="n"/>
      <c r="U13" s="102" t="n"/>
      <c r="V13" s="102" t="n"/>
      <c r="W13" s="102" t="n"/>
      <c r="X13" s="102" t="n"/>
      <c r="Y13" s="102" t="n"/>
      <c r="Z13" s="102" t="n"/>
      <c r="AA13" s="102" t="n"/>
      <c r="AB13" s="102" t="n"/>
      <c r="AC13" s="102" t="n"/>
      <c r="AD13" s="102" t="n"/>
      <c r="AE13" s="102" t="n"/>
      <c r="AF13" s="102" t="n"/>
      <c r="AG13" s="102" t="n"/>
      <c r="AH13" s="102" t="n"/>
      <c r="AI13" s="102" t="n"/>
      <c r="AJ13" s="102" t="n"/>
      <c r="AK13" s="102" t="n"/>
      <c r="AL13" s="102" t="n"/>
      <c r="AM13" s="102" t="n"/>
      <c r="AN13" s="102" t="n"/>
      <c r="AO13" s="102" t="n"/>
      <c r="AP13" s="102" t="n"/>
      <c r="AQ13" s="102" t="n"/>
      <c r="AR13" s="102" t="n"/>
    </row>
    <row r="14">
      <c r="D14" s="160" t="n"/>
      <c r="E14" s="160" t="n"/>
      <c r="F14" s="160" t="n"/>
      <c r="G14" s="160" t="n"/>
      <c r="H14" s="160" t="n"/>
      <c r="I14" s="160" t="n"/>
      <c r="J14" s="160" t="n"/>
      <c r="K14" s="160" t="n"/>
      <c r="L14" s="160" t="n"/>
      <c r="M14" s="160" t="n"/>
      <c r="N14" s="160" t="n"/>
      <c r="O14" s="160" t="n"/>
      <c r="P14" s="160" t="n"/>
      <c r="Q14" s="160" t="n"/>
      <c r="R14" s="160" t="n"/>
      <c r="S14" s="160" t="n"/>
      <c r="T14" s="160" t="n"/>
      <c r="U14" s="160" t="n"/>
      <c r="V14" s="160" t="n"/>
      <c r="W14" s="160" t="n"/>
      <c r="X14" s="160" t="n"/>
      <c r="Y14" s="160" t="n"/>
      <c r="Z14" s="160" t="n"/>
      <c r="AA14" s="160" t="n"/>
      <c r="AB14" s="160" t="n"/>
      <c r="AC14" s="160" t="n"/>
      <c r="AD14" s="160" t="n"/>
      <c r="AE14" s="160" t="n"/>
      <c r="AF14" s="160" t="n"/>
      <c r="AG14" s="160" t="n"/>
      <c r="AH14" s="160" t="n"/>
      <c r="AI14" s="160" t="n"/>
      <c r="AJ14" s="160" t="n"/>
      <c r="AK14" s="160" t="n"/>
      <c r="AL14" s="160" t="n"/>
      <c r="AM14" s="160" t="n"/>
      <c r="AN14" s="160" t="n"/>
      <c r="AO14" s="160" t="n"/>
      <c r="AP14" s="160" t="n"/>
      <c r="AQ14" s="160" t="n"/>
      <c r="AR14" s="160" t="n"/>
    </row>
    <row r="17">
      <c r="A17" s="2">
        <f>IF($A10="","","   projections")</f>
        <v/>
      </c>
      <c r="B17" s="158">
        <f>IF($A10="",0,COUNT($E18:$AR18))</f>
        <v/>
      </c>
      <c r="C17" s="159">
        <f>IF($B17=0,0,MAX($E18:$AR18))</f>
        <v/>
      </c>
      <c r="D17" s="101">
        <f>BDS($A10,FLD_PROJ,"headers=y","startcol=1","endcol=3","dir=h")</f>
        <v/>
      </c>
      <c r="E17" s="102" t="n"/>
      <c r="F17" s="102" t="n"/>
      <c r="G17" s="102" t="n"/>
      <c r="H17" s="102" t="n"/>
      <c r="I17" s="102" t="n"/>
      <c r="J17" s="102" t="n"/>
      <c r="K17" s="102" t="n"/>
      <c r="L17" s="102" t="n"/>
      <c r="M17" s="102" t="n"/>
      <c r="N17" s="102" t="n"/>
      <c r="O17" s="102" t="n"/>
      <c r="P17" s="102" t="n"/>
      <c r="Q17" s="102" t="n"/>
      <c r="R17" s="102" t="n"/>
      <c r="S17" s="102" t="n"/>
      <c r="T17" s="102" t="n"/>
      <c r="U17" s="102" t="n"/>
      <c r="V17" s="102" t="n"/>
      <c r="W17" s="102" t="n"/>
      <c r="X17" s="102" t="n"/>
      <c r="Y17" s="102" t="n"/>
      <c r="Z17" s="102" t="n"/>
      <c r="AA17" s="102" t="n"/>
      <c r="AB17" s="102" t="n"/>
      <c r="AC17" s="102" t="n"/>
      <c r="AD17" s="102" t="n"/>
      <c r="AE17" s="102" t="n"/>
      <c r="AF17" s="102" t="n"/>
      <c r="AG17" s="102" t="n"/>
      <c r="AH17" s="102" t="n"/>
      <c r="AI17" s="102" t="n"/>
      <c r="AJ17" s="102" t="n"/>
      <c r="AK17" s="102" t="n"/>
      <c r="AL17" s="102" t="n"/>
      <c r="AM17" s="102" t="n"/>
      <c r="AN17" s="102" t="n"/>
      <c r="AO17" s="102" t="n"/>
      <c r="AP17" s="102" t="n"/>
      <c r="AQ17" s="102" t="n"/>
      <c r="AR17" s="102" t="n"/>
    </row>
    <row r="18">
      <c r="D18" s="102" t="n"/>
      <c r="E18" s="102" t="n"/>
      <c r="F18" s="102" t="n"/>
      <c r="G18" s="102" t="n"/>
      <c r="H18" s="102" t="n"/>
      <c r="I18" s="102" t="n"/>
      <c r="J18" s="102" t="n"/>
      <c r="K18" s="102" t="n"/>
      <c r="L18" s="102" t="n"/>
      <c r="M18" s="102" t="n"/>
      <c r="N18" s="102" t="n"/>
      <c r="O18" s="102" t="n"/>
      <c r="P18" s="102" t="n"/>
      <c r="Q18" s="102" t="n"/>
      <c r="R18" s="102" t="n"/>
      <c r="S18" s="102" t="n"/>
      <c r="T18" s="102" t="n"/>
      <c r="U18" s="102" t="n"/>
      <c r="V18" s="102" t="n"/>
      <c r="W18" s="102" t="n"/>
      <c r="X18" s="102" t="n"/>
      <c r="Y18" s="102" t="n"/>
      <c r="Z18" s="102" t="n"/>
      <c r="AA18" s="102" t="n"/>
      <c r="AB18" s="102" t="n"/>
      <c r="AC18" s="102" t="n"/>
      <c r="AD18" s="102" t="n"/>
      <c r="AE18" s="102" t="n"/>
      <c r="AF18" s="102" t="n"/>
      <c r="AG18" s="102" t="n"/>
      <c r="AH18" s="102" t="n"/>
      <c r="AI18" s="102" t="n"/>
      <c r="AJ18" s="102" t="n"/>
      <c r="AK18" s="102" t="n"/>
      <c r="AL18" s="102" t="n"/>
      <c r="AM18" s="102" t="n"/>
      <c r="AN18" s="102" t="n"/>
      <c r="AO18" s="102" t="n"/>
      <c r="AP18" s="102" t="n"/>
      <c r="AQ18" s="102" t="n"/>
      <c r="AR18" s="102" t="n"/>
    </row>
    <row r="19">
      <c r="D19" s="160" t="n"/>
      <c r="E19" s="160" t="n"/>
      <c r="F19" s="160" t="n"/>
      <c r="G19" s="160" t="n"/>
      <c r="H19" s="160" t="n"/>
      <c r="I19" s="160" t="n"/>
      <c r="J19" s="160" t="n"/>
      <c r="K19" s="160" t="n"/>
      <c r="L19" s="160" t="n"/>
      <c r="M19" s="160" t="n"/>
      <c r="N19" s="160" t="n"/>
      <c r="O19" s="160" t="n"/>
      <c r="P19" s="160" t="n"/>
      <c r="Q19" s="160" t="n"/>
      <c r="R19" s="160" t="n"/>
      <c r="S19" s="160" t="n"/>
      <c r="T19" s="160" t="n"/>
      <c r="U19" s="160" t="n"/>
      <c r="V19" s="160" t="n"/>
      <c r="W19" s="160" t="n"/>
      <c r="X19" s="160" t="n"/>
      <c r="Y19" s="160" t="n"/>
      <c r="Z19" s="160" t="n"/>
      <c r="AA19" s="160" t="n"/>
      <c r="AB19" s="160" t="n"/>
      <c r="AC19" s="160" t="n"/>
      <c r="AD19" s="160" t="n"/>
      <c r="AE19" s="160" t="n"/>
      <c r="AF19" s="160" t="n"/>
      <c r="AG19" s="160" t="n"/>
      <c r="AH19" s="160" t="n"/>
      <c r="AI19" s="160" t="n"/>
      <c r="AJ19" s="160" t="n"/>
      <c r="AK19" s="160" t="n"/>
      <c r="AL19" s="160" t="n"/>
      <c r="AM19" s="160" t="n"/>
      <c r="AN19" s="160" t="n"/>
      <c r="AO19" s="160" t="n"/>
      <c r="AP19" s="160" t="n"/>
      <c r="AQ19" s="160" t="n"/>
      <c r="AR19" s="160" t="n"/>
    </row>
    <row r="21">
      <c r="A21" s="8">
        <f>IF(HSI!$C$8="","",HSI!$C$8)</f>
        <v/>
      </c>
      <c r="B21" s="158">
        <f>IF($A21="",0,COUNT($E22:$AR22))</f>
        <v/>
      </c>
      <c r="C21" s="159">
        <f>IF($B21=0,0,MAX($E22:$AR22))</f>
        <v/>
      </c>
      <c r="D21" s="101">
        <f>BDS($A21,FLD_HIST,"headers=y","startcol=1","endcol=7","dir=h","DVD_START_DT",HIST_FROM,"DVD_END_DT",HIST_TO)</f>
        <v/>
      </c>
      <c r="E21" s="102" t="n"/>
      <c r="F21" s="102" t="n"/>
      <c r="G21" s="102" t="n"/>
      <c r="H21" s="102" t="n"/>
      <c r="I21" s="102" t="n"/>
      <c r="J21" s="102" t="n"/>
      <c r="K21" s="102" t="n"/>
      <c r="L21" s="102" t="n"/>
      <c r="M21" s="102" t="n"/>
      <c r="N21" s="102" t="n"/>
      <c r="O21" s="102" t="n"/>
      <c r="P21" s="102" t="n"/>
      <c r="Q21" s="102" t="n"/>
      <c r="R21" s="102" t="n"/>
      <c r="S21" s="102" t="n"/>
      <c r="T21" s="102" t="n"/>
      <c r="U21" s="102" t="n"/>
      <c r="V21" s="102" t="n"/>
      <c r="W21" s="102" t="n"/>
      <c r="X21" s="102" t="n"/>
      <c r="Y21" s="102" t="n"/>
      <c r="Z21" s="102" t="n"/>
      <c r="AA21" s="102" t="n"/>
      <c r="AB21" s="102" t="n"/>
      <c r="AC21" s="102" t="n"/>
      <c r="AD21" s="102" t="n"/>
      <c r="AE21" s="102" t="n"/>
      <c r="AF21" s="102" t="n"/>
      <c r="AG21" s="102" t="n"/>
      <c r="AH21" s="102" t="n"/>
      <c r="AI21" s="102" t="n"/>
      <c r="AJ21" s="102" t="n"/>
      <c r="AK21" s="102" t="n"/>
      <c r="AL21" s="102" t="n"/>
      <c r="AM21" s="102" t="n"/>
      <c r="AN21" s="102" t="n"/>
      <c r="AO21" s="102" t="n"/>
      <c r="AP21" s="102" t="n"/>
      <c r="AQ21" s="102" t="n"/>
      <c r="AR21" s="102" t="n"/>
    </row>
    <row r="22">
      <c r="D22" s="102" t="n"/>
      <c r="E22" s="102" t="n"/>
      <c r="F22" s="102" t="n"/>
      <c r="G22" s="102" t="n"/>
      <c r="H22" s="102" t="n"/>
      <c r="I22" s="102" t="n"/>
      <c r="J22" s="102" t="n"/>
      <c r="K22" s="102" t="n"/>
      <c r="L22" s="102" t="n"/>
      <c r="M22" s="102" t="n"/>
      <c r="N22" s="102" t="n"/>
      <c r="O22" s="102" t="n"/>
      <c r="P22" s="102" t="n"/>
      <c r="Q22" s="102" t="n"/>
      <c r="R22" s="102" t="n"/>
      <c r="S22" s="102" t="n"/>
      <c r="T22" s="102" t="n"/>
      <c r="U22" s="102" t="n"/>
      <c r="V22" s="102" t="n"/>
      <c r="W22" s="102" t="n"/>
      <c r="X22" s="102" t="n"/>
      <c r="Y22" s="102" t="n"/>
      <c r="Z22" s="102" t="n"/>
      <c r="AA22" s="102" t="n"/>
      <c r="AB22" s="102" t="n"/>
      <c r="AC22" s="102" t="n"/>
      <c r="AD22" s="102" t="n"/>
      <c r="AE22" s="102" t="n"/>
      <c r="AF22" s="102" t="n"/>
      <c r="AG22" s="102" t="n"/>
      <c r="AH22" s="102" t="n"/>
      <c r="AI22" s="102" t="n"/>
      <c r="AJ22" s="102" t="n"/>
      <c r="AK22" s="102" t="n"/>
      <c r="AL22" s="102" t="n"/>
      <c r="AM22" s="102" t="n"/>
      <c r="AN22" s="102" t="n"/>
      <c r="AO22" s="102" t="n"/>
      <c r="AP22" s="102" t="n"/>
      <c r="AQ22" s="102" t="n"/>
      <c r="AR22" s="102" t="n"/>
    </row>
    <row r="23">
      <c r="D23" s="102" t="n"/>
      <c r="E23" s="102" t="n"/>
      <c r="F23" s="102" t="n"/>
      <c r="G23" s="102" t="n"/>
      <c r="H23" s="102" t="n"/>
      <c r="I23" s="102" t="n"/>
      <c r="J23" s="102" t="n"/>
      <c r="K23" s="102" t="n"/>
      <c r="L23" s="102" t="n"/>
      <c r="M23" s="102" t="n"/>
      <c r="N23" s="102" t="n"/>
      <c r="O23" s="102" t="n"/>
      <c r="P23" s="102" t="n"/>
      <c r="Q23" s="102" t="n"/>
      <c r="R23" s="102" t="n"/>
      <c r="S23" s="102" t="n"/>
      <c r="T23" s="102" t="n"/>
      <c r="U23" s="102" t="n"/>
      <c r="V23" s="102" t="n"/>
      <c r="W23" s="102" t="n"/>
      <c r="X23" s="102" t="n"/>
      <c r="Y23" s="102" t="n"/>
      <c r="Z23" s="102" t="n"/>
      <c r="AA23" s="102" t="n"/>
      <c r="AB23" s="102" t="n"/>
      <c r="AC23" s="102" t="n"/>
      <c r="AD23" s="102" t="n"/>
      <c r="AE23" s="102" t="n"/>
      <c r="AF23" s="102" t="n"/>
      <c r="AG23" s="102" t="n"/>
      <c r="AH23" s="102" t="n"/>
      <c r="AI23" s="102" t="n"/>
      <c r="AJ23" s="102" t="n"/>
      <c r="AK23" s="102" t="n"/>
      <c r="AL23" s="102" t="n"/>
      <c r="AM23" s="102" t="n"/>
      <c r="AN23" s="102" t="n"/>
      <c r="AO23" s="102" t="n"/>
      <c r="AP23" s="102" t="n"/>
      <c r="AQ23" s="102" t="n"/>
      <c r="AR23" s="102" t="n"/>
    </row>
    <row r="24">
      <c r="D24" s="102" t="n"/>
      <c r="E24" s="102" t="n"/>
      <c r="F24" s="102" t="n"/>
      <c r="G24" s="102" t="n"/>
      <c r="H24" s="102" t="n"/>
      <c r="I24" s="102" t="n"/>
      <c r="J24" s="102" t="n"/>
      <c r="K24" s="102" t="n"/>
      <c r="L24" s="102" t="n"/>
      <c r="M24" s="102" t="n"/>
      <c r="N24" s="102" t="n"/>
      <c r="O24" s="102" t="n"/>
      <c r="P24" s="102" t="n"/>
      <c r="Q24" s="102" t="n"/>
      <c r="R24" s="102" t="n"/>
      <c r="S24" s="102" t="n"/>
      <c r="T24" s="102" t="n"/>
      <c r="U24" s="102" t="n"/>
      <c r="V24" s="102" t="n"/>
      <c r="W24" s="102" t="n"/>
      <c r="X24" s="102" t="n"/>
      <c r="Y24" s="102" t="n"/>
      <c r="Z24" s="102" t="n"/>
      <c r="AA24" s="102" t="n"/>
      <c r="AB24" s="102" t="n"/>
      <c r="AC24" s="102" t="n"/>
      <c r="AD24" s="102" t="n"/>
      <c r="AE24" s="102" t="n"/>
      <c r="AF24" s="102" t="n"/>
      <c r="AG24" s="102" t="n"/>
      <c r="AH24" s="102" t="n"/>
      <c r="AI24" s="102" t="n"/>
      <c r="AJ24" s="102" t="n"/>
      <c r="AK24" s="102" t="n"/>
      <c r="AL24" s="102" t="n"/>
      <c r="AM24" s="102" t="n"/>
      <c r="AN24" s="102" t="n"/>
      <c r="AO24" s="102" t="n"/>
      <c r="AP24" s="102" t="n"/>
      <c r="AQ24" s="102" t="n"/>
      <c r="AR24" s="102" t="n"/>
    </row>
    <row r="25">
      <c r="D25" s="160" t="n"/>
      <c r="E25" s="160" t="n"/>
      <c r="F25" s="160" t="n"/>
      <c r="G25" s="160" t="n"/>
      <c r="H25" s="160" t="n"/>
      <c r="I25" s="160" t="n"/>
      <c r="J25" s="160" t="n"/>
      <c r="K25" s="160" t="n"/>
      <c r="L25" s="160" t="n"/>
      <c r="M25" s="160" t="n"/>
      <c r="N25" s="160" t="n"/>
      <c r="O25" s="160" t="n"/>
      <c r="P25" s="160" t="n"/>
      <c r="Q25" s="160" t="n"/>
      <c r="R25" s="160" t="n"/>
      <c r="S25" s="160" t="n"/>
      <c r="T25" s="160" t="n"/>
      <c r="U25" s="160" t="n"/>
      <c r="V25" s="160" t="n"/>
      <c r="W25" s="160" t="n"/>
      <c r="X25" s="160" t="n"/>
      <c r="Y25" s="160" t="n"/>
      <c r="Z25" s="160" t="n"/>
      <c r="AA25" s="160" t="n"/>
      <c r="AB25" s="160" t="n"/>
      <c r="AC25" s="160" t="n"/>
      <c r="AD25" s="160" t="n"/>
      <c r="AE25" s="160" t="n"/>
      <c r="AF25" s="160" t="n"/>
      <c r="AG25" s="160" t="n"/>
      <c r="AH25" s="160" t="n"/>
      <c r="AI25" s="160" t="n"/>
      <c r="AJ25" s="160" t="n"/>
      <c r="AK25" s="160" t="n"/>
      <c r="AL25" s="160" t="n"/>
      <c r="AM25" s="160" t="n"/>
      <c r="AN25" s="160" t="n"/>
      <c r="AO25" s="160" t="n"/>
      <c r="AP25" s="160" t="n"/>
      <c r="AQ25" s="160" t="n"/>
      <c r="AR25" s="160" t="n"/>
    </row>
    <row r="28">
      <c r="A28" s="2">
        <f>IF($A21="","","   projections")</f>
        <v/>
      </c>
      <c r="B28" s="158">
        <f>IF($A21="",0,COUNT($E29:$AR29))</f>
        <v/>
      </c>
      <c r="C28" s="159">
        <f>IF($B28=0,0,MAX($E29:$AR29))</f>
        <v/>
      </c>
      <c r="D28" s="101">
        <f>BDS($A21,FLD_PROJ,"headers=y","startcol=1","endcol=3","dir=h")</f>
        <v/>
      </c>
      <c r="E28" s="102" t="n"/>
      <c r="F28" s="102" t="n"/>
      <c r="G28" s="102" t="n"/>
      <c r="H28" s="102" t="n"/>
      <c r="I28" s="102" t="n"/>
      <c r="J28" s="102" t="n"/>
      <c r="K28" s="102" t="n"/>
      <c r="L28" s="102" t="n"/>
      <c r="M28" s="102" t="n"/>
      <c r="N28" s="102" t="n"/>
      <c r="O28" s="102" t="n"/>
      <c r="P28" s="102" t="n"/>
      <c r="Q28" s="102" t="n"/>
      <c r="R28" s="102" t="n"/>
      <c r="S28" s="102" t="n"/>
      <c r="T28" s="102" t="n"/>
      <c r="U28" s="102" t="n"/>
      <c r="V28" s="102" t="n"/>
      <c r="W28" s="102" t="n"/>
      <c r="X28" s="102" t="n"/>
      <c r="Y28" s="102" t="n"/>
      <c r="Z28" s="102" t="n"/>
      <c r="AA28" s="102" t="n"/>
      <c r="AB28" s="102" t="n"/>
      <c r="AC28" s="102" t="n"/>
      <c r="AD28" s="102" t="n"/>
      <c r="AE28" s="102" t="n"/>
      <c r="AF28" s="102" t="n"/>
      <c r="AG28" s="102" t="n"/>
      <c r="AH28" s="102" t="n"/>
      <c r="AI28" s="102" t="n"/>
      <c r="AJ28" s="102" t="n"/>
      <c r="AK28" s="102" t="n"/>
      <c r="AL28" s="102" t="n"/>
      <c r="AM28" s="102" t="n"/>
      <c r="AN28" s="102" t="n"/>
      <c r="AO28" s="102" t="n"/>
      <c r="AP28" s="102" t="n"/>
      <c r="AQ28" s="102" t="n"/>
      <c r="AR28" s="102" t="n"/>
    </row>
    <row r="29">
      <c r="D29" s="102" t="n"/>
      <c r="E29" s="102" t="n"/>
      <c r="F29" s="102" t="n"/>
      <c r="G29" s="102" t="n"/>
      <c r="H29" s="102" t="n"/>
      <c r="I29" s="102" t="n"/>
      <c r="J29" s="102" t="n"/>
      <c r="K29" s="102" t="n"/>
      <c r="L29" s="102" t="n"/>
      <c r="M29" s="102" t="n"/>
      <c r="N29" s="102" t="n"/>
      <c r="O29" s="102" t="n"/>
      <c r="P29" s="102" t="n"/>
      <c r="Q29" s="102" t="n"/>
      <c r="R29" s="102" t="n"/>
      <c r="S29" s="102" t="n"/>
      <c r="T29" s="102" t="n"/>
      <c r="U29" s="102" t="n"/>
      <c r="V29" s="102" t="n"/>
      <c r="W29" s="102" t="n"/>
      <c r="X29" s="102" t="n"/>
      <c r="Y29" s="102" t="n"/>
      <c r="Z29" s="102" t="n"/>
      <c r="AA29" s="102" t="n"/>
      <c r="AB29" s="102" t="n"/>
      <c r="AC29" s="102" t="n"/>
      <c r="AD29" s="102" t="n"/>
      <c r="AE29" s="102" t="n"/>
      <c r="AF29" s="102" t="n"/>
      <c r="AG29" s="102" t="n"/>
      <c r="AH29" s="102" t="n"/>
      <c r="AI29" s="102" t="n"/>
      <c r="AJ29" s="102" t="n"/>
      <c r="AK29" s="102" t="n"/>
      <c r="AL29" s="102" t="n"/>
      <c r="AM29" s="102" t="n"/>
      <c r="AN29" s="102" t="n"/>
      <c r="AO29" s="102" t="n"/>
      <c r="AP29" s="102" t="n"/>
      <c r="AQ29" s="102" t="n"/>
      <c r="AR29" s="102" t="n"/>
    </row>
    <row r="30">
      <c r="D30" s="160" t="n"/>
      <c r="E30" s="160" t="n"/>
      <c r="F30" s="160" t="n"/>
      <c r="G30" s="160" t="n"/>
      <c r="H30" s="160" t="n"/>
      <c r="I30" s="160" t="n"/>
      <c r="J30" s="160" t="n"/>
      <c r="K30" s="160" t="n"/>
      <c r="L30" s="160" t="n"/>
      <c r="M30" s="160" t="n"/>
      <c r="N30" s="160" t="n"/>
      <c r="O30" s="160" t="n"/>
      <c r="P30" s="160" t="n"/>
      <c r="Q30" s="160" t="n"/>
      <c r="R30" s="160" t="n"/>
      <c r="S30" s="160" t="n"/>
      <c r="T30" s="160" t="n"/>
      <c r="U30" s="160" t="n"/>
      <c r="V30" s="160" t="n"/>
      <c r="W30" s="160" t="n"/>
      <c r="X30" s="160" t="n"/>
      <c r="Y30" s="160" t="n"/>
      <c r="Z30" s="160" t="n"/>
      <c r="AA30" s="160" t="n"/>
      <c r="AB30" s="160" t="n"/>
      <c r="AC30" s="160" t="n"/>
      <c r="AD30" s="160" t="n"/>
      <c r="AE30" s="160" t="n"/>
      <c r="AF30" s="160" t="n"/>
      <c r="AG30" s="160" t="n"/>
      <c r="AH30" s="160" t="n"/>
      <c r="AI30" s="160" t="n"/>
      <c r="AJ30" s="160" t="n"/>
      <c r="AK30" s="160" t="n"/>
      <c r="AL30" s="160" t="n"/>
      <c r="AM30" s="160" t="n"/>
      <c r="AN30" s="160" t="n"/>
      <c r="AO30" s="160" t="n"/>
      <c r="AP30" s="160" t="n"/>
      <c r="AQ30" s="160" t="n"/>
      <c r="AR30" s="160" t="n"/>
    </row>
    <row r="32">
      <c r="A32" s="8">
        <f>IF(HSI!$C$9="","",HSI!$C$9)</f>
        <v/>
      </c>
      <c r="B32" s="158">
        <f>IF($A32="",0,COUNT($E33:$AR33))</f>
        <v/>
      </c>
      <c r="C32" s="159">
        <f>IF($B32=0,0,MAX($E33:$AR33))</f>
        <v/>
      </c>
      <c r="D32" s="101">
        <f>BDS($A32,FLD_HIST,"headers=y","startcol=1","endcol=7","dir=h","DVD_START_DT",HIST_FROM,"DVD_END_DT",HIST_TO)</f>
        <v/>
      </c>
      <c r="E32" s="102" t="n"/>
      <c r="F32" s="102" t="n"/>
      <c r="G32" s="102" t="n"/>
      <c r="H32" s="102" t="n"/>
      <c r="I32" s="102" t="n"/>
      <c r="J32" s="102" t="n"/>
      <c r="K32" s="102" t="n"/>
      <c r="L32" s="102" t="n"/>
      <c r="M32" s="102" t="n"/>
      <c r="N32" s="102" t="n"/>
      <c r="O32" s="102" t="n"/>
      <c r="P32" s="102" t="n"/>
      <c r="Q32" s="102" t="n"/>
      <c r="R32" s="102" t="n"/>
      <c r="S32" s="102" t="n"/>
      <c r="T32" s="102" t="n"/>
      <c r="U32" s="102" t="n"/>
      <c r="V32" s="102" t="n"/>
      <c r="W32" s="102" t="n"/>
      <c r="X32" s="102" t="n"/>
      <c r="Y32" s="102" t="n"/>
      <c r="Z32" s="102" t="n"/>
      <c r="AA32" s="102" t="n"/>
      <c r="AB32" s="102" t="n"/>
      <c r="AC32" s="102" t="n"/>
      <c r="AD32" s="102" t="n"/>
      <c r="AE32" s="102" t="n"/>
      <c r="AF32" s="102" t="n"/>
      <c r="AG32" s="102" t="n"/>
      <c r="AH32" s="102" t="n"/>
      <c r="AI32" s="102" t="n"/>
      <c r="AJ32" s="102" t="n"/>
      <c r="AK32" s="102" t="n"/>
      <c r="AL32" s="102" t="n"/>
      <c r="AM32" s="102" t="n"/>
      <c r="AN32" s="102" t="n"/>
      <c r="AO32" s="102" t="n"/>
      <c r="AP32" s="102" t="n"/>
      <c r="AQ32" s="102" t="n"/>
      <c r="AR32" s="102" t="n"/>
    </row>
    <row r="33">
      <c r="D33" s="102" t="n"/>
      <c r="E33" s="102" t="n"/>
      <c r="F33" s="102" t="n"/>
      <c r="G33" s="102" t="n"/>
      <c r="H33" s="102" t="n"/>
      <c r="I33" s="102" t="n"/>
      <c r="J33" s="102" t="n"/>
      <c r="K33" s="102" t="n"/>
      <c r="L33" s="102" t="n"/>
      <c r="M33" s="102" t="n"/>
      <c r="N33" s="102" t="n"/>
      <c r="O33" s="102" t="n"/>
      <c r="P33" s="102" t="n"/>
      <c r="Q33" s="102" t="n"/>
      <c r="R33" s="102" t="n"/>
      <c r="S33" s="102" t="n"/>
      <c r="T33" s="102" t="n"/>
      <c r="U33" s="102" t="n"/>
      <c r="V33" s="102" t="n"/>
      <c r="W33" s="102" t="n"/>
      <c r="X33" s="102" t="n"/>
      <c r="Y33" s="102" t="n"/>
      <c r="Z33" s="102" t="n"/>
      <c r="AA33" s="102" t="n"/>
      <c r="AB33" s="102" t="n"/>
      <c r="AC33" s="102" t="n"/>
      <c r="AD33" s="102" t="n"/>
      <c r="AE33" s="102" t="n"/>
      <c r="AF33" s="102" t="n"/>
      <c r="AG33" s="102" t="n"/>
      <c r="AH33" s="102" t="n"/>
      <c r="AI33" s="102" t="n"/>
      <c r="AJ33" s="102" t="n"/>
      <c r="AK33" s="102" t="n"/>
      <c r="AL33" s="102" t="n"/>
      <c r="AM33" s="102" t="n"/>
      <c r="AN33" s="102" t="n"/>
      <c r="AO33" s="102" t="n"/>
      <c r="AP33" s="102" t="n"/>
      <c r="AQ33" s="102" t="n"/>
      <c r="AR33" s="102" t="n"/>
    </row>
    <row r="34">
      <c r="D34" s="102" t="n"/>
      <c r="E34" s="102" t="n"/>
      <c r="F34" s="102" t="n"/>
      <c r="G34" s="102" t="n"/>
      <c r="H34" s="102" t="n"/>
      <c r="I34" s="102" t="n"/>
      <c r="J34" s="102" t="n"/>
      <c r="K34" s="102" t="n"/>
      <c r="L34" s="102" t="n"/>
      <c r="M34" s="102" t="n"/>
      <c r="N34" s="102" t="n"/>
      <c r="O34" s="102" t="n"/>
      <c r="P34" s="102" t="n"/>
      <c r="Q34" s="102" t="n"/>
      <c r="R34" s="102" t="n"/>
      <c r="S34" s="102" t="n"/>
      <c r="T34" s="102" t="n"/>
      <c r="U34" s="102" t="n"/>
      <c r="V34" s="102" t="n"/>
      <c r="W34" s="102" t="n"/>
      <c r="X34" s="102" t="n"/>
      <c r="Y34" s="102" t="n"/>
      <c r="Z34" s="102" t="n"/>
      <c r="AA34" s="102" t="n"/>
      <c r="AB34" s="102" t="n"/>
      <c r="AC34" s="102" t="n"/>
      <c r="AD34" s="102" t="n"/>
      <c r="AE34" s="102" t="n"/>
      <c r="AF34" s="102" t="n"/>
      <c r="AG34" s="102" t="n"/>
      <c r="AH34" s="102" t="n"/>
      <c r="AI34" s="102" t="n"/>
      <c r="AJ34" s="102" t="n"/>
      <c r="AK34" s="102" t="n"/>
      <c r="AL34" s="102" t="n"/>
      <c r="AM34" s="102" t="n"/>
      <c r="AN34" s="102" t="n"/>
      <c r="AO34" s="102" t="n"/>
      <c r="AP34" s="102" t="n"/>
      <c r="AQ34" s="102" t="n"/>
      <c r="AR34" s="102" t="n"/>
    </row>
    <row r="35">
      <c r="D35" s="102" t="n"/>
      <c r="E35" s="102" t="n"/>
      <c r="F35" s="102" t="n"/>
      <c r="G35" s="102" t="n"/>
      <c r="H35" s="102" t="n"/>
      <c r="I35" s="102" t="n"/>
      <c r="J35" s="102" t="n"/>
      <c r="K35" s="102" t="n"/>
      <c r="L35" s="102" t="n"/>
      <c r="M35" s="102" t="n"/>
      <c r="N35" s="102" t="n"/>
      <c r="O35" s="102" t="n"/>
      <c r="P35" s="102" t="n"/>
      <c r="Q35" s="102" t="n"/>
      <c r="R35" s="102" t="n"/>
      <c r="S35" s="102" t="n"/>
      <c r="T35" s="102" t="n"/>
      <c r="U35" s="102" t="n"/>
      <c r="V35" s="102" t="n"/>
      <c r="W35" s="102" t="n"/>
      <c r="X35" s="102" t="n"/>
      <c r="Y35" s="102" t="n"/>
      <c r="Z35" s="102" t="n"/>
      <c r="AA35" s="102" t="n"/>
      <c r="AB35" s="102" t="n"/>
      <c r="AC35" s="102" t="n"/>
      <c r="AD35" s="102" t="n"/>
      <c r="AE35" s="102" t="n"/>
      <c r="AF35" s="102" t="n"/>
      <c r="AG35" s="102" t="n"/>
      <c r="AH35" s="102" t="n"/>
      <c r="AI35" s="102" t="n"/>
      <c r="AJ35" s="102" t="n"/>
      <c r="AK35" s="102" t="n"/>
      <c r="AL35" s="102" t="n"/>
      <c r="AM35" s="102" t="n"/>
      <c r="AN35" s="102" t="n"/>
      <c r="AO35" s="102" t="n"/>
      <c r="AP35" s="102" t="n"/>
      <c r="AQ35" s="102" t="n"/>
      <c r="AR35" s="102" t="n"/>
    </row>
    <row r="36">
      <c r="D36" s="160" t="n"/>
      <c r="E36" s="160" t="n"/>
      <c r="F36" s="160" t="n"/>
      <c r="G36" s="160" t="n"/>
      <c r="H36" s="160" t="n"/>
      <c r="I36" s="160" t="n"/>
      <c r="J36" s="160" t="n"/>
      <c r="K36" s="160" t="n"/>
      <c r="L36" s="160" t="n"/>
      <c r="M36" s="160" t="n"/>
      <c r="N36" s="160" t="n"/>
      <c r="O36" s="160" t="n"/>
      <c r="P36" s="160" t="n"/>
      <c r="Q36" s="160" t="n"/>
      <c r="R36" s="160" t="n"/>
      <c r="S36" s="160" t="n"/>
      <c r="T36" s="160" t="n"/>
      <c r="U36" s="160" t="n"/>
      <c r="V36" s="160" t="n"/>
      <c r="W36" s="160" t="n"/>
      <c r="X36" s="160" t="n"/>
      <c r="Y36" s="160" t="n"/>
      <c r="Z36" s="160" t="n"/>
      <c r="AA36" s="160" t="n"/>
      <c r="AB36" s="160" t="n"/>
      <c r="AC36" s="160" t="n"/>
      <c r="AD36" s="160" t="n"/>
      <c r="AE36" s="160" t="n"/>
      <c r="AF36" s="160" t="n"/>
      <c r="AG36" s="160" t="n"/>
      <c r="AH36" s="160" t="n"/>
      <c r="AI36" s="160" t="n"/>
      <c r="AJ36" s="160" t="n"/>
      <c r="AK36" s="160" t="n"/>
      <c r="AL36" s="160" t="n"/>
      <c r="AM36" s="160" t="n"/>
      <c r="AN36" s="160" t="n"/>
      <c r="AO36" s="160" t="n"/>
      <c r="AP36" s="160" t="n"/>
      <c r="AQ36" s="160" t="n"/>
      <c r="AR36" s="160" t="n"/>
    </row>
    <row r="39">
      <c r="A39" s="2">
        <f>IF($A32="","","   projections")</f>
        <v/>
      </c>
      <c r="B39" s="158">
        <f>IF($A32="",0,COUNT($E40:$AR40))</f>
        <v/>
      </c>
      <c r="C39" s="159">
        <f>IF($B39=0,0,MAX($E40:$AR40))</f>
        <v/>
      </c>
      <c r="D39" s="101">
        <f>BDS($A32,FLD_PROJ,"headers=y","startcol=1","endcol=3","dir=h")</f>
        <v/>
      </c>
      <c r="E39" s="102" t="n"/>
      <c r="F39" s="102" t="n"/>
      <c r="G39" s="102" t="n"/>
      <c r="H39" s="102" t="n"/>
      <c r="I39" s="102" t="n"/>
      <c r="J39" s="102" t="n"/>
      <c r="K39" s="102" t="n"/>
      <c r="L39" s="102" t="n"/>
      <c r="M39" s="102" t="n"/>
      <c r="N39" s="102" t="n"/>
      <c r="O39" s="102" t="n"/>
      <c r="P39" s="102" t="n"/>
      <c r="Q39" s="102" t="n"/>
      <c r="R39" s="102" t="n"/>
      <c r="S39" s="102" t="n"/>
      <c r="T39" s="102" t="n"/>
      <c r="U39" s="102" t="n"/>
      <c r="V39" s="102" t="n"/>
      <c r="W39" s="102" t="n"/>
      <c r="X39" s="102" t="n"/>
      <c r="Y39" s="102" t="n"/>
      <c r="Z39" s="102" t="n"/>
      <c r="AA39" s="102" t="n"/>
      <c r="AB39" s="102" t="n"/>
      <c r="AC39" s="102" t="n"/>
      <c r="AD39" s="102" t="n"/>
      <c r="AE39" s="102" t="n"/>
      <c r="AF39" s="102" t="n"/>
      <c r="AG39" s="102" t="n"/>
      <c r="AH39" s="102" t="n"/>
      <c r="AI39" s="102" t="n"/>
      <c r="AJ39" s="102" t="n"/>
      <c r="AK39" s="102" t="n"/>
      <c r="AL39" s="102" t="n"/>
      <c r="AM39" s="102" t="n"/>
      <c r="AN39" s="102" t="n"/>
      <c r="AO39" s="102" t="n"/>
      <c r="AP39" s="102" t="n"/>
      <c r="AQ39" s="102" t="n"/>
      <c r="AR39" s="102" t="n"/>
    </row>
    <row r="40">
      <c r="D40" s="102" t="n"/>
      <c r="E40" s="102" t="n"/>
      <c r="F40" s="102" t="n"/>
      <c r="G40" s="102" t="n"/>
      <c r="H40" s="102" t="n"/>
      <c r="I40" s="102" t="n"/>
      <c r="J40" s="102" t="n"/>
      <c r="K40" s="102" t="n"/>
      <c r="L40" s="102" t="n"/>
      <c r="M40" s="102" t="n"/>
      <c r="N40" s="102" t="n"/>
      <c r="O40" s="102" t="n"/>
      <c r="P40" s="102" t="n"/>
      <c r="Q40" s="102" t="n"/>
      <c r="R40" s="102" t="n"/>
      <c r="S40" s="102" t="n"/>
      <c r="T40" s="102" t="n"/>
      <c r="U40" s="102" t="n"/>
      <c r="V40" s="102" t="n"/>
      <c r="W40" s="102" t="n"/>
      <c r="X40" s="102" t="n"/>
      <c r="Y40" s="102" t="n"/>
      <c r="Z40" s="102" t="n"/>
      <c r="AA40" s="102" t="n"/>
      <c r="AB40" s="102" t="n"/>
      <c r="AC40" s="102" t="n"/>
      <c r="AD40" s="102" t="n"/>
      <c r="AE40" s="102" t="n"/>
      <c r="AF40" s="102" t="n"/>
      <c r="AG40" s="102" t="n"/>
      <c r="AH40" s="102" t="n"/>
      <c r="AI40" s="102" t="n"/>
      <c r="AJ40" s="102" t="n"/>
      <c r="AK40" s="102" t="n"/>
      <c r="AL40" s="102" t="n"/>
      <c r="AM40" s="102" t="n"/>
      <c r="AN40" s="102" t="n"/>
      <c r="AO40" s="102" t="n"/>
      <c r="AP40" s="102" t="n"/>
      <c r="AQ40" s="102" t="n"/>
      <c r="AR40" s="102" t="n"/>
    </row>
    <row r="41">
      <c r="D41" s="160" t="n"/>
      <c r="E41" s="160" t="n"/>
      <c r="F41" s="160" t="n"/>
      <c r="G41" s="160" t="n"/>
      <c r="H41" s="160" t="n"/>
      <c r="I41" s="160" t="n"/>
      <c r="J41" s="160" t="n"/>
      <c r="K41" s="160" t="n"/>
      <c r="L41" s="160" t="n"/>
      <c r="M41" s="160" t="n"/>
      <c r="N41" s="160" t="n"/>
      <c r="O41" s="160" t="n"/>
      <c r="P41" s="160" t="n"/>
      <c r="Q41" s="160" t="n"/>
      <c r="R41" s="160" t="n"/>
      <c r="S41" s="160" t="n"/>
      <c r="T41" s="160" t="n"/>
      <c r="U41" s="160" t="n"/>
      <c r="V41" s="160" t="n"/>
      <c r="W41" s="160" t="n"/>
      <c r="X41" s="160" t="n"/>
      <c r="Y41" s="160" t="n"/>
      <c r="Z41" s="160" t="n"/>
      <c r="AA41" s="160" t="n"/>
      <c r="AB41" s="160" t="n"/>
      <c r="AC41" s="160" t="n"/>
      <c r="AD41" s="160" t="n"/>
      <c r="AE41" s="160" t="n"/>
      <c r="AF41" s="160" t="n"/>
      <c r="AG41" s="160" t="n"/>
      <c r="AH41" s="160" t="n"/>
      <c r="AI41" s="160" t="n"/>
      <c r="AJ41" s="160" t="n"/>
      <c r="AK41" s="160" t="n"/>
      <c r="AL41" s="160" t="n"/>
      <c r="AM41" s="160" t="n"/>
      <c r="AN41" s="160" t="n"/>
      <c r="AO41" s="160" t="n"/>
      <c r="AP41" s="160" t="n"/>
      <c r="AQ41" s="160" t="n"/>
      <c r="AR41" s="160" t="n"/>
    </row>
    <row r="43">
      <c r="A43" s="8">
        <f>IF(HSI!$C$10="","",HSI!$C$10)</f>
        <v/>
      </c>
      <c r="B43" s="158">
        <f>IF($A43="",0,COUNT($E44:$AR44))</f>
        <v/>
      </c>
      <c r="C43" s="159">
        <f>IF($B43=0,0,MAX($E44:$AR44))</f>
        <v/>
      </c>
      <c r="D43" s="101">
        <f>BDS($A43,FLD_HIST,"headers=y","startcol=1","endcol=7","dir=h","DVD_START_DT",HIST_FROM,"DVD_END_DT",HIST_TO)</f>
        <v/>
      </c>
      <c r="E43" s="102" t="n"/>
      <c r="F43" s="102" t="n"/>
      <c r="G43" s="102" t="n"/>
      <c r="H43" s="102" t="n"/>
      <c r="I43" s="102" t="n"/>
      <c r="J43" s="102" t="n"/>
      <c r="K43" s="102" t="n"/>
      <c r="L43" s="102" t="n"/>
      <c r="M43" s="102" t="n"/>
      <c r="N43" s="102" t="n"/>
      <c r="O43" s="102" t="n"/>
      <c r="P43" s="102" t="n"/>
      <c r="Q43" s="102" t="n"/>
      <c r="R43" s="102" t="n"/>
      <c r="S43" s="102" t="n"/>
      <c r="T43" s="102" t="n"/>
      <c r="U43" s="102" t="n"/>
      <c r="V43" s="102" t="n"/>
      <c r="W43" s="102" t="n"/>
      <c r="X43" s="102" t="n"/>
      <c r="Y43" s="102" t="n"/>
      <c r="Z43" s="102" t="n"/>
      <c r="AA43" s="102" t="n"/>
      <c r="AB43" s="102" t="n"/>
      <c r="AC43" s="102" t="n"/>
      <c r="AD43" s="102" t="n"/>
      <c r="AE43" s="102" t="n"/>
      <c r="AF43" s="102" t="n"/>
      <c r="AG43" s="102" t="n"/>
      <c r="AH43" s="102" t="n"/>
      <c r="AI43" s="102" t="n"/>
      <c r="AJ43" s="102" t="n"/>
      <c r="AK43" s="102" t="n"/>
      <c r="AL43" s="102" t="n"/>
      <c r="AM43" s="102" t="n"/>
      <c r="AN43" s="102" t="n"/>
      <c r="AO43" s="102" t="n"/>
      <c r="AP43" s="102" t="n"/>
      <c r="AQ43" s="102" t="n"/>
      <c r="AR43" s="102" t="n"/>
    </row>
    <row r="44">
      <c r="D44" s="102" t="n"/>
      <c r="E44" s="102" t="n"/>
      <c r="F44" s="102" t="n"/>
      <c r="G44" s="102" t="n"/>
      <c r="H44" s="102" t="n"/>
      <c r="I44" s="102" t="n"/>
      <c r="J44" s="102" t="n"/>
      <c r="K44" s="102" t="n"/>
      <c r="L44" s="102" t="n"/>
      <c r="M44" s="102" t="n"/>
      <c r="N44" s="102" t="n"/>
      <c r="O44" s="102" t="n"/>
      <c r="P44" s="102" t="n"/>
      <c r="Q44" s="102" t="n"/>
      <c r="R44" s="102" t="n"/>
      <c r="S44" s="102" t="n"/>
      <c r="T44" s="102" t="n"/>
      <c r="U44" s="102" t="n"/>
      <c r="V44" s="102" t="n"/>
      <c r="W44" s="102" t="n"/>
      <c r="X44" s="102" t="n"/>
      <c r="Y44" s="102" t="n"/>
      <c r="Z44" s="102" t="n"/>
      <c r="AA44" s="102" t="n"/>
      <c r="AB44" s="102" t="n"/>
      <c r="AC44" s="102" t="n"/>
      <c r="AD44" s="102" t="n"/>
      <c r="AE44" s="102" t="n"/>
      <c r="AF44" s="102" t="n"/>
      <c r="AG44" s="102" t="n"/>
      <c r="AH44" s="102" t="n"/>
      <c r="AI44" s="102" t="n"/>
      <c r="AJ44" s="102" t="n"/>
      <c r="AK44" s="102" t="n"/>
      <c r="AL44" s="102" t="n"/>
      <c r="AM44" s="102" t="n"/>
      <c r="AN44" s="102" t="n"/>
      <c r="AO44" s="102" t="n"/>
      <c r="AP44" s="102" t="n"/>
      <c r="AQ44" s="102" t="n"/>
      <c r="AR44" s="102" t="n"/>
    </row>
    <row r="45">
      <c r="D45" s="102" t="n"/>
      <c r="E45" s="102" t="n"/>
      <c r="F45" s="102" t="n"/>
      <c r="G45" s="102" t="n"/>
      <c r="H45" s="102" t="n"/>
      <c r="I45" s="102" t="n"/>
      <c r="J45" s="102" t="n"/>
      <c r="K45" s="102" t="n"/>
      <c r="L45" s="102" t="n"/>
      <c r="M45" s="102" t="n"/>
      <c r="N45" s="102" t="n"/>
      <c r="O45" s="102" t="n"/>
      <c r="P45" s="102" t="n"/>
      <c r="Q45" s="102" t="n"/>
      <c r="R45" s="102" t="n"/>
      <c r="S45" s="102" t="n"/>
      <c r="T45" s="102" t="n"/>
      <c r="U45" s="102" t="n"/>
      <c r="V45" s="102" t="n"/>
      <c r="W45" s="102" t="n"/>
      <c r="X45" s="102" t="n"/>
      <c r="Y45" s="102" t="n"/>
      <c r="Z45" s="102" t="n"/>
      <c r="AA45" s="102" t="n"/>
      <c r="AB45" s="102" t="n"/>
      <c r="AC45" s="102" t="n"/>
      <c r="AD45" s="102" t="n"/>
      <c r="AE45" s="102" t="n"/>
      <c r="AF45" s="102" t="n"/>
      <c r="AG45" s="102" t="n"/>
      <c r="AH45" s="102" t="n"/>
      <c r="AI45" s="102" t="n"/>
      <c r="AJ45" s="102" t="n"/>
      <c r="AK45" s="102" t="n"/>
      <c r="AL45" s="102" t="n"/>
      <c r="AM45" s="102" t="n"/>
      <c r="AN45" s="102" t="n"/>
      <c r="AO45" s="102" t="n"/>
      <c r="AP45" s="102" t="n"/>
      <c r="AQ45" s="102" t="n"/>
      <c r="AR45" s="102" t="n"/>
    </row>
    <row r="46">
      <c r="D46" s="102" t="n"/>
      <c r="E46" s="102" t="n"/>
      <c r="F46" s="102" t="n"/>
      <c r="G46" s="102" t="n"/>
      <c r="H46" s="102" t="n"/>
      <c r="I46" s="102" t="n"/>
      <c r="J46" s="102" t="n"/>
      <c r="K46" s="102" t="n"/>
      <c r="L46" s="102" t="n"/>
      <c r="M46" s="102" t="n"/>
      <c r="N46" s="102" t="n"/>
      <c r="O46" s="102" t="n"/>
      <c r="P46" s="102" t="n"/>
      <c r="Q46" s="102" t="n"/>
      <c r="R46" s="102" t="n"/>
      <c r="S46" s="102" t="n"/>
      <c r="T46" s="102" t="n"/>
      <c r="U46" s="102" t="n"/>
      <c r="V46" s="102" t="n"/>
      <c r="W46" s="102" t="n"/>
      <c r="X46" s="102" t="n"/>
      <c r="Y46" s="102" t="n"/>
      <c r="Z46" s="102" t="n"/>
      <c r="AA46" s="102" t="n"/>
      <c r="AB46" s="102" t="n"/>
      <c r="AC46" s="102" t="n"/>
      <c r="AD46" s="102" t="n"/>
      <c r="AE46" s="102" t="n"/>
      <c r="AF46" s="102" t="n"/>
      <c r="AG46" s="102" t="n"/>
      <c r="AH46" s="102" t="n"/>
      <c r="AI46" s="102" t="n"/>
      <c r="AJ46" s="102" t="n"/>
      <c r="AK46" s="102" t="n"/>
      <c r="AL46" s="102" t="n"/>
      <c r="AM46" s="102" t="n"/>
      <c r="AN46" s="102" t="n"/>
      <c r="AO46" s="102" t="n"/>
      <c r="AP46" s="102" t="n"/>
      <c r="AQ46" s="102" t="n"/>
      <c r="AR46" s="102" t="n"/>
    </row>
    <row r="47">
      <c r="D47" s="160" t="n"/>
      <c r="E47" s="160" t="n"/>
      <c r="F47" s="160" t="n"/>
      <c r="G47" s="160" t="n"/>
      <c r="H47" s="160" t="n"/>
      <c r="I47" s="160" t="n"/>
      <c r="J47" s="160" t="n"/>
      <c r="K47" s="160" t="n"/>
      <c r="L47" s="160" t="n"/>
      <c r="M47" s="160" t="n"/>
      <c r="N47" s="160" t="n"/>
      <c r="O47" s="160" t="n"/>
      <c r="P47" s="160" t="n"/>
      <c r="Q47" s="160" t="n"/>
      <c r="R47" s="160" t="n"/>
      <c r="S47" s="160" t="n"/>
      <c r="T47" s="160" t="n"/>
      <c r="U47" s="160" t="n"/>
      <c r="V47" s="160" t="n"/>
      <c r="W47" s="160" t="n"/>
      <c r="X47" s="160" t="n"/>
      <c r="Y47" s="160" t="n"/>
      <c r="Z47" s="160" t="n"/>
      <c r="AA47" s="160" t="n"/>
      <c r="AB47" s="160" t="n"/>
      <c r="AC47" s="160" t="n"/>
      <c r="AD47" s="160" t="n"/>
      <c r="AE47" s="160" t="n"/>
      <c r="AF47" s="160" t="n"/>
      <c r="AG47" s="160" t="n"/>
      <c r="AH47" s="160" t="n"/>
      <c r="AI47" s="160" t="n"/>
      <c r="AJ47" s="160" t="n"/>
      <c r="AK47" s="160" t="n"/>
      <c r="AL47" s="160" t="n"/>
      <c r="AM47" s="160" t="n"/>
      <c r="AN47" s="160" t="n"/>
      <c r="AO47" s="160" t="n"/>
      <c r="AP47" s="160" t="n"/>
      <c r="AQ47" s="160" t="n"/>
      <c r="AR47" s="160" t="n"/>
    </row>
    <row r="50">
      <c r="A50" s="2">
        <f>IF($A43="","","   projections")</f>
        <v/>
      </c>
      <c r="B50" s="158">
        <f>IF($A43="",0,COUNT($E51:$AR51))</f>
        <v/>
      </c>
      <c r="C50" s="159">
        <f>IF($B50=0,0,MAX($E51:$AR51))</f>
        <v/>
      </c>
      <c r="D50" s="101">
        <f>BDS($A43,FLD_PROJ,"headers=y","startcol=1","endcol=3","dir=h")</f>
        <v/>
      </c>
      <c r="E50" s="102" t="n"/>
      <c r="F50" s="102" t="n"/>
      <c r="G50" s="102" t="n"/>
      <c r="H50" s="102" t="n"/>
      <c r="I50" s="102" t="n"/>
      <c r="J50" s="102" t="n"/>
      <c r="K50" s="102" t="n"/>
      <c r="L50" s="102" t="n"/>
      <c r="M50" s="102" t="n"/>
      <c r="N50" s="102" t="n"/>
      <c r="O50" s="102" t="n"/>
      <c r="P50" s="102" t="n"/>
      <c r="Q50" s="102" t="n"/>
      <c r="R50" s="102" t="n"/>
      <c r="S50" s="102" t="n"/>
      <c r="T50" s="102" t="n"/>
      <c r="U50" s="102" t="n"/>
      <c r="V50" s="102" t="n"/>
      <c r="W50" s="102" t="n"/>
      <c r="X50" s="102" t="n"/>
      <c r="Y50" s="102" t="n"/>
      <c r="Z50" s="102" t="n"/>
      <c r="AA50" s="102" t="n"/>
      <c r="AB50" s="102" t="n"/>
      <c r="AC50" s="102" t="n"/>
      <c r="AD50" s="102" t="n"/>
      <c r="AE50" s="102" t="n"/>
      <c r="AF50" s="102" t="n"/>
      <c r="AG50" s="102" t="n"/>
      <c r="AH50" s="102" t="n"/>
      <c r="AI50" s="102" t="n"/>
      <c r="AJ50" s="102" t="n"/>
      <c r="AK50" s="102" t="n"/>
      <c r="AL50" s="102" t="n"/>
      <c r="AM50" s="102" t="n"/>
      <c r="AN50" s="102" t="n"/>
      <c r="AO50" s="102" t="n"/>
      <c r="AP50" s="102" t="n"/>
      <c r="AQ50" s="102" t="n"/>
      <c r="AR50" s="102" t="n"/>
    </row>
    <row r="51">
      <c r="D51" s="102" t="n"/>
      <c r="E51" s="102" t="n"/>
      <c r="F51" s="102" t="n"/>
      <c r="G51" s="102" t="n"/>
      <c r="H51" s="102" t="n"/>
      <c r="I51" s="102" t="n"/>
      <c r="J51" s="102" t="n"/>
      <c r="K51" s="102" t="n"/>
      <c r="L51" s="102" t="n"/>
      <c r="M51" s="102" t="n"/>
      <c r="N51" s="102" t="n"/>
      <c r="O51" s="102" t="n"/>
      <c r="P51" s="102" t="n"/>
      <c r="Q51" s="102" t="n"/>
      <c r="R51" s="102" t="n"/>
      <c r="S51" s="102" t="n"/>
      <c r="T51" s="102" t="n"/>
      <c r="U51" s="102" t="n"/>
      <c r="V51" s="102" t="n"/>
      <c r="W51" s="102" t="n"/>
      <c r="X51" s="102" t="n"/>
      <c r="Y51" s="102" t="n"/>
      <c r="Z51" s="102" t="n"/>
      <c r="AA51" s="102" t="n"/>
      <c r="AB51" s="102" t="n"/>
      <c r="AC51" s="102" t="n"/>
      <c r="AD51" s="102" t="n"/>
      <c r="AE51" s="102" t="n"/>
      <c r="AF51" s="102" t="n"/>
      <c r="AG51" s="102" t="n"/>
      <c r="AH51" s="102" t="n"/>
      <c r="AI51" s="102" t="n"/>
      <c r="AJ51" s="102" t="n"/>
      <c r="AK51" s="102" t="n"/>
      <c r="AL51" s="102" t="n"/>
      <c r="AM51" s="102" t="n"/>
      <c r="AN51" s="102" t="n"/>
      <c r="AO51" s="102" t="n"/>
      <c r="AP51" s="102" t="n"/>
      <c r="AQ51" s="102" t="n"/>
      <c r="AR51" s="102" t="n"/>
    </row>
    <row r="52">
      <c r="D52" s="160" t="n"/>
      <c r="E52" s="160" t="n"/>
      <c r="F52" s="160" t="n"/>
      <c r="G52" s="160" t="n"/>
      <c r="H52" s="160" t="n"/>
      <c r="I52" s="160" t="n"/>
      <c r="J52" s="160" t="n"/>
      <c r="K52" s="160" t="n"/>
      <c r="L52" s="160" t="n"/>
      <c r="M52" s="160" t="n"/>
      <c r="N52" s="160" t="n"/>
      <c r="O52" s="160" t="n"/>
      <c r="P52" s="160" t="n"/>
      <c r="Q52" s="160" t="n"/>
      <c r="R52" s="160" t="n"/>
      <c r="S52" s="160" t="n"/>
      <c r="T52" s="160" t="n"/>
      <c r="U52" s="160" t="n"/>
      <c r="V52" s="160" t="n"/>
      <c r="W52" s="160" t="n"/>
      <c r="X52" s="160" t="n"/>
      <c r="Y52" s="160" t="n"/>
      <c r="Z52" s="160" t="n"/>
      <c r="AA52" s="160" t="n"/>
      <c r="AB52" s="160" t="n"/>
      <c r="AC52" s="160" t="n"/>
      <c r="AD52" s="160" t="n"/>
      <c r="AE52" s="160" t="n"/>
      <c r="AF52" s="160" t="n"/>
      <c r="AG52" s="160" t="n"/>
      <c r="AH52" s="160" t="n"/>
      <c r="AI52" s="160" t="n"/>
      <c r="AJ52" s="160" t="n"/>
      <c r="AK52" s="160" t="n"/>
      <c r="AL52" s="160" t="n"/>
      <c r="AM52" s="160" t="n"/>
      <c r="AN52" s="160" t="n"/>
      <c r="AO52" s="160" t="n"/>
      <c r="AP52" s="160" t="n"/>
      <c r="AQ52" s="160" t="n"/>
      <c r="AR52" s="160" t="n"/>
    </row>
    <row r="54">
      <c r="A54" s="8">
        <f>IF(HSI!$C$11="","",HSI!$C$11)</f>
        <v/>
      </c>
      <c r="B54" s="158">
        <f>IF($A54="",0,COUNT($E55:$AR55))</f>
        <v/>
      </c>
      <c r="C54" s="159">
        <f>IF($B54=0,0,MAX($E55:$AR55))</f>
        <v/>
      </c>
      <c r="D54" s="101">
        <f>BDS($A54,FLD_HIST,"headers=y","startcol=1","endcol=7","dir=h","DVD_START_DT",HIST_FROM,"DVD_END_DT",HIST_TO)</f>
        <v/>
      </c>
      <c r="E54" s="102" t="n"/>
      <c r="F54" s="102" t="n"/>
      <c r="G54" s="102" t="n"/>
      <c r="H54" s="102" t="n"/>
      <c r="I54" s="102" t="n"/>
      <c r="J54" s="102" t="n"/>
      <c r="K54" s="102" t="n"/>
      <c r="L54" s="102" t="n"/>
      <c r="M54" s="102" t="n"/>
      <c r="N54" s="102" t="n"/>
      <c r="O54" s="102" t="n"/>
      <c r="P54" s="102" t="n"/>
      <c r="Q54" s="102" t="n"/>
      <c r="R54" s="102" t="n"/>
      <c r="S54" s="102" t="n"/>
      <c r="T54" s="102" t="n"/>
      <c r="U54" s="102" t="n"/>
      <c r="V54" s="102" t="n"/>
      <c r="W54" s="102" t="n"/>
      <c r="X54" s="102" t="n"/>
      <c r="Y54" s="102" t="n"/>
      <c r="Z54" s="102" t="n"/>
      <c r="AA54" s="102" t="n"/>
      <c r="AB54" s="102" t="n"/>
      <c r="AC54" s="102" t="n"/>
      <c r="AD54" s="102" t="n"/>
      <c r="AE54" s="102" t="n"/>
      <c r="AF54" s="102" t="n"/>
      <c r="AG54" s="102" t="n"/>
      <c r="AH54" s="102" t="n"/>
      <c r="AI54" s="102" t="n"/>
      <c r="AJ54" s="102" t="n"/>
      <c r="AK54" s="102" t="n"/>
      <c r="AL54" s="102" t="n"/>
      <c r="AM54" s="102" t="n"/>
      <c r="AN54" s="102" t="n"/>
      <c r="AO54" s="102" t="n"/>
      <c r="AP54" s="102" t="n"/>
      <c r="AQ54" s="102" t="n"/>
      <c r="AR54" s="102" t="n"/>
    </row>
    <row r="55">
      <c r="D55" s="102" t="n"/>
      <c r="E55" s="102" t="n"/>
      <c r="F55" s="102" t="n"/>
      <c r="G55" s="102" t="n"/>
      <c r="H55" s="102" t="n"/>
      <c r="I55" s="102" t="n"/>
      <c r="J55" s="102" t="n"/>
      <c r="K55" s="102" t="n"/>
      <c r="L55" s="102" t="n"/>
      <c r="M55" s="102" t="n"/>
      <c r="N55" s="102" t="n"/>
      <c r="O55" s="102" t="n"/>
      <c r="P55" s="102" t="n"/>
      <c r="Q55" s="102" t="n"/>
      <c r="R55" s="102" t="n"/>
      <c r="S55" s="102" t="n"/>
      <c r="T55" s="102" t="n"/>
      <c r="U55" s="102" t="n"/>
      <c r="V55" s="102" t="n"/>
      <c r="W55" s="102" t="n"/>
      <c r="X55" s="102" t="n"/>
      <c r="Y55" s="102" t="n"/>
      <c r="Z55" s="102" t="n"/>
      <c r="AA55" s="102" t="n"/>
      <c r="AB55" s="102" t="n"/>
      <c r="AC55" s="102" t="n"/>
      <c r="AD55" s="102" t="n"/>
      <c r="AE55" s="102" t="n"/>
      <c r="AF55" s="102" t="n"/>
      <c r="AG55" s="102" t="n"/>
      <c r="AH55" s="102" t="n"/>
      <c r="AI55" s="102" t="n"/>
      <c r="AJ55" s="102" t="n"/>
      <c r="AK55" s="102" t="n"/>
      <c r="AL55" s="102" t="n"/>
      <c r="AM55" s="102" t="n"/>
      <c r="AN55" s="102" t="n"/>
      <c r="AO55" s="102" t="n"/>
      <c r="AP55" s="102" t="n"/>
      <c r="AQ55" s="102" t="n"/>
      <c r="AR55" s="102" t="n"/>
    </row>
    <row r="56">
      <c r="D56" s="102" t="n"/>
      <c r="E56" s="102" t="n"/>
      <c r="F56" s="102" t="n"/>
      <c r="G56" s="102" t="n"/>
      <c r="H56" s="102" t="n"/>
      <c r="I56" s="102" t="n"/>
      <c r="J56" s="102" t="n"/>
      <c r="K56" s="102" t="n"/>
      <c r="L56" s="102" t="n"/>
      <c r="M56" s="102" t="n"/>
      <c r="N56" s="102" t="n"/>
      <c r="O56" s="102" t="n"/>
      <c r="P56" s="102" t="n"/>
      <c r="Q56" s="102" t="n"/>
      <c r="R56" s="102" t="n"/>
      <c r="S56" s="102" t="n"/>
      <c r="T56" s="102" t="n"/>
      <c r="U56" s="102" t="n"/>
      <c r="V56" s="102" t="n"/>
      <c r="W56" s="102" t="n"/>
      <c r="X56" s="102" t="n"/>
      <c r="Y56" s="102" t="n"/>
      <c r="Z56" s="102" t="n"/>
      <c r="AA56" s="102" t="n"/>
      <c r="AB56" s="102" t="n"/>
      <c r="AC56" s="102" t="n"/>
      <c r="AD56" s="102" t="n"/>
      <c r="AE56" s="102" t="n"/>
      <c r="AF56" s="102" t="n"/>
      <c r="AG56" s="102" t="n"/>
      <c r="AH56" s="102" t="n"/>
      <c r="AI56" s="102" t="n"/>
      <c r="AJ56" s="102" t="n"/>
      <c r="AK56" s="102" t="n"/>
      <c r="AL56" s="102" t="n"/>
      <c r="AM56" s="102" t="n"/>
      <c r="AN56" s="102" t="n"/>
      <c r="AO56" s="102" t="n"/>
      <c r="AP56" s="102" t="n"/>
      <c r="AQ56" s="102" t="n"/>
      <c r="AR56" s="102" t="n"/>
    </row>
    <row r="57">
      <c r="D57" s="102" t="n"/>
      <c r="E57" s="102" t="n"/>
      <c r="F57" s="102" t="n"/>
      <c r="G57" s="102" t="n"/>
      <c r="H57" s="102" t="n"/>
      <c r="I57" s="102" t="n"/>
      <c r="J57" s="102" t="n"/>
      <c r="K57" s="102" t="n"/>
      <c r="L57" s="102" t="n"/>
      <c r="M57" s="102" t="n"/>
      <c r="N57" s="102" t="n"/>
      <c r="O57" s="102" t="n"/>
      <c r="P57" s="102" t="n"/>
      <c r="Q57" s="102" t="n"/>
      <c r="R57" s="102" t="n"/>
      <c r="S57" s="102" t="n"/>
      <c r="T57" s="102" t="n"/>
      <c r="U57" s="102" t="n"/>
      <c r="V57" s="102" t="n"/>
      <c r="W57" s="102" t="n"/>
      <c r="X57" s="102" t="n"/>
      <c r="Y57" s="102" t="n"/>
      <c r="Z57" s="102" t="n"/>
      <c r="AA57" s="102" t="n"/>
      <c r="AB57" s="102" t="n"/>
      <c r="AC57" s="102" t="n"/>
      <c r="AD57" s="102" t="n"/>
      <c r="AE57" s="102" t="n"/>
      <c r="AF57" s="102" t="n"/>
      <c r="AG57" s="102" t="n"/>
      <c r="AH57" s="102" t="n"/>
      <c r="AI57" s="102" t="n"/>
      <c r="AJ57" s="102" t="n"/>
      <c r="AK57" s="102" t="n"/>
      <c r="AL57" s="102" t="n"/>
      <c r="AM57" s="102" t="n"/>
      <c r="AN57" s="102" t="n"/>
      <c r="AO57" s="102" t="n"/>
      <c r="AP57" s="102" t="n"/>
      <c r="AQ57" s="102" t="n"/>
      <c r="AR57" s="102" t="n"/>
    </row>
    <row r="58">
      <c r="D58" s="160" t="n"/>
      <c r="E58" s="160" t="n"/>
      <c r="F58" s="160" t="n"/>
      <c r="G58" s="160" t="n"/>
      <c r="H58" s="160" t="n"/>
      <c r="I58" s="160" t="n"/>
      <c r="J58" s="160" t="n"/>
      <c r="K58" s="160" t="n"/>
      <c r="L58" s="160" t="n"/>
      <c r="M58" s="160" t="n"/>
      <c r="N58" s="160" t="n"/>
      <c r="O58" s="160" t="n"/>
      <c r="P58" s="160" t="n"/>
      <c r="Q58" s="160" t="n"/>
      <c r="R58" s="160" t="n"/>
      <c r="S58" s="160" t="n"/>
      <c r="T58" s="160" t="n"/>
      <c r="U58" s="160" t="n"/>
      <c r="V58" s="160" t="n"/>
      <c r="W58" s="160" t="n"/>
      <c r="X58" s="160" t="n"/>
      <c r="Y58" s="160" t="n"/>
      <c r="Z58" s="160" t="n"/>
      <c r="AA58" s="160" t="n"/>
      <c r="AB58" s="160" t="n"/>
      <c r="AC58" s="160" t="n"/>
      <c r="AD58" s="160" t="n"/>
      <c r="AE58" s="160" t="n"/>
      <c r="AF58" s="160" t="n"/>
      <c r="AG58" s="160" t="n"/>
      <c r="AH58" s="160" t="n"/>
      <c r="AI58" s="160" t="n"/>
      <c r="AJ58" s="160" t="n"/>
      <c r="AK58" s="160" t="n"/>
      <c r="AL58" s="160" t="n"/>
      <c r="AM58" s="160" t="n"/>
      <c r="AN58" s="160" t="n"/>
      <c r="AO58" s="160" t="n"/>
      <c r="AP58" s="160" t="n"/>
      <c r="AQ58" s="160" t="n"/>
      <c r="AR58" s="160" t="n"/>
    </row>
    <row r="61">
      <c r="A61" s="2">
        <f>IF($A54="","","   projections")</f>
        <v/>
      </c>
      <c r="B61" s="158">
        <f>IF($A54="",0,COUNT($E62:$AR62))</f>
        <v/>
      </c>
      <c r="C61" s="159">
        <f>IF($B61=0,0,MAX($E62:$AR62))</f>
        <v/>
      </c>
      <c r="D61" s="101">
        <f>BDS($A54,FLD_PROJ,"headers=y","startcol=1","endcol=3","dir=h")</f>
        <v/>
      </c>
      <c r="E61" s="102" t="n"/>
      <c r="F61" s="102" t="n"/>
      <c r="G61" s="102" t="n"/>
      <c r="H61" s="102" t="n"/>
      <c r="I61" s="102" t="n"/>
      <c r="J61" s="102" t="n"/>
      <c r="K61" s="102" t="n"/>
      <c r="L61" s="102" t="n"/>
      <c r="M61" s="102" t="n"/>
      <c r="N61" s="102" t="n"/>
      <c r="O61" s="102" t="n"/>
      <c r="P61" s="102" t="n"/>
      <c r="Q61" s="102" t="n"/>
      <c r="R61" s="102" t="n"/>
      <c r="S61" s="102" t="n"/>
      <c r="T61" s="102" t="n"/>
      <c r="U61" s="102" t="n"/>
      <c r="V61" s="102" t="n"/>
      <c r="W61" s="102" t="n"/>
      <c r="X61" s="102" t="n"/>
      <c r="Y61" s="102" t="n"/>
      <c r="Z61" s="102" t="n"/>
      <c r="AA61" s="102" t="n"/>
      <c r="AB61" s="102" t="n"/>
      <c r="AC61" s="102" t="n"/>
      <c r="AD61" s="102" t="n"/>
      <c r="AE61" s="102" t="n"/>
      <c r="AF61" s="102" t="n"/>
      <c r="AG61" s="102" t="n"/>
      <c r="AH61" s="102" t="n"/>
      <c r="AI61" s="102" t="n"/>
      <c r="AJ61" s="102" t="n"/>
      <c r="AK61" s="102" t="n"/>
      <c r="AL61" s="102" t="n"/>
      <c r="AM61" s="102" t="n"/>
      <c r="AN61" s="102" t="n"/>
      <c r="AO61" s="102" t="n"/>
      <c r="AP61" s="102" t="n"/>
      <c r="AQ61" s="102" t="n"/>
      <c r="AR61" s="102" t="n"/>
    </row>
    <row r="62">
      <c r="D62" s="102" t="n"/>
      <c r="E62" s="102" t="n"/>
      <c r="F62" s="102" t="n"/>
      <c r="G62" s="102" t="n"/>
      <c r="H62" s="102" t="n"/>
      <c r="I62" s="102" t="n"/>
      <c r="J62" s="102" t="n"/>
      <c r="K62" s="102" t="n"/>
      <c r="L62" s="102" t="n"/>
      <c r="M62" s="102" t="n"/>
      <c r="N62" s="102" t="n"/>
      <c r="O62" s="102" t="n"/>
      <c r="P62" s="102" t="n"/>
      <c r="Q62" s="102" t="n"/>
      <c r="R62" s="102" t="n"/>
      <c r="S62" s="102" t="n"/>
      <c r="T62" s="102" t="n"/>
      <c r="U62" s="102" t="n"/>
      <c r="V62" s="102" t="n"/>
      <c r="W62" s="102" t="n"/>
      <c r="X62" s="102" t="n"/>
      <c r="Y62" s="102" t="n"/>
      <c r="Z62" s="102" t="n"/>
      <c r="AA62" s="102" t="n"/>
      <c r="AB62" s="102" t="n"/>
      <c r="AC62" s="102" t="n"/>
      <c r="AD62" s="102" t="n"/>
      <c r="AE62" s="102" t="n"/>
      <c r="AF62" s="102" t="n"/>
      <c r="AG62" s="102" t="n"/>
      <c r="AH62" s="102" t="n"/>
      <c r="AI62" s="102" t="n"/>
      <c r="AJ62" s="102" t="n"/>
      <c r="AK62" s="102" t="n"/>
      <c r="AL62" s="102" t="n"/>
      <c r="AM62" s="102" t="n"/>
      <c r="AN62" s="102" t="n"/>
      <c r="AO62" s="102" t="n"/>
      <c r="AP62" s="102" t="n"/>
      <c r="AQ62" s="102" t="n"/>
      <c r="AR62" s="102" t="n"/>
    </row>
    <row r="63">
      <c r="D63" s="160" t="n"/>
      <c r="E63" s="160" t="n"/>
      <c r="F63" s="160" t="n"/>
      <c r="G63" s="160" t="n"/>
      <c r="H63" s="160" t="n"/>
      <c r="I63" s="160" t="n"/>
      <c r="J63" s="160" t="n"/>
      <c r="K63" s="160" t="n"/>
      <c r="L63" s="160" t="n"/>
      <c r="M63" s="160" t="n"/>
      <c r="N63" s="160" t="n"/>
      <c r="O63" s="160" t="n"/>
      <c r="P63" s="160" t="n"/>
      <c r="Q63" s="160" t="n"/>
      <c r="R63" s="160" t="n"/>
      <c r="S63" s="160" t="n"/>
      <c r="T63" s="160" t="n"/>
      <c r="U63" s="160" t="n"/>
      <c r="V63" s="160" t="n"/>
      <c r="W63" s="160" t="n"/>
      <c r="X63" s="160" t="n"/>
      <c r="Y63" s="160" t="n"/>
      <c r="Z63" s="160" t="n"/>
      <c r="AA63" s="160" t="n"/>
      <c r="AB63" s="160" t="n"/>
      <c r="AC63" s="160" t="n"/>
      <c r="AD63" s="160" t="n"/>
      <c r="AE63" s="160" t="n"/>
      <c r="AF63" s="160" t="n"/>
      <c r="AG63" s="160" t="n"/>
      <c r="AH63" s="160" t="n"/>
      <c r="AI63" s="160" t="n"/>
      <c r="AJ63" s="160" t="n"/>
      <c r="AK63" s="160" t="n"/>
      <c r="AL63" s="160" t="n"/>
      <c r="AM63" s="160" t="n"/>
      <c r="AN63" s="160" t="n"/>
      <c r="AO63" s="160" t="n"/>
      <c r="AP63" s="160" t="n"/>
      <c r="AQ63" s="160" t="n"/>
      <c r="AR63" s="160" t="n"/>
    </row>
    <row r="65">
      <c r="A65" s="8">
        <f>IF(HSI!$C$12="","",HSI!$C$12)</f>
        <v/>
      </c>
      <c r="B65" s="158">
        <f>IF($A65="",0,COUNT($E66:$AR66))</f>
        <v/>
      </c>
      <c r="C65" s="159">
        <f>IF($B65=0,0,MAX($E66:$AR66))</f>
        <v/>
      </c>
      <c r="D65" s="101">
        <f>BDS($A65,FLD_HIST,"headers=y","startcol=1","endcol=7","dir=h","DVD_START_DT",HIST_FROM,"DVD_END_DT",HIST_TO)</f>
        <v/>
      </c>
      <c r="E65" s="102" t="n"/>
      <c r="F65" s="102" t="n"/>
      <c r="G65" s="102" t="n"/>
      <c r="H65" s="102" t="n"/>
      <c r="I65" s="102" t="n"/>
      <c r="J65" s="102" t="n"/>
      <c r="K65" s="102" t="n"/>
      <c r="L65" s="102" t="n"/>
      <c r="M65" s="102" t="n"/>
      <c r="N65" s="102" t="n"/>
      <c r="O65" s="102" t="n"/>
      <c r="P65" s="102" t="n"/>
      <c r="Q65" s="102" t="n"/>
      <c r="R65" s="102" t="n"/>
      <c r="S65" s="102" t="n"/>
      <c r="T65" s="102" t="n"/>
      <c r="U65" s="102" t="n"/>
      <c r="V65" s="102" t="n"/>
      <c r="W65" s="102" t="n"/>
      <c r="X65" s="102" t="n"/>
      <c r="Y65" s="102" t="n"/>
      <c r="Z65" s="102" t="n"/>
      <c r="AA65" s="102" t="n"/>
      <c r="AB65" s="102" t="n"/>
      <c r="AC65" s="102" t="n"/>
      <c r="AD65" s="102" t="n"/>
      <c r="AE65" s="102" t="n"/>
      <c r="AF65" s="102" t="n"/>
      <c r="AG65" s="102" t="n"/>
      <c r="AH65" s="102" t="n"/>
      <c r="AI65" s="102" t="n"/>
      <c r="AJ65" s="102" t="n"/>
      <c r="AK65" s="102" t="n"/>
      <c r="AL65" s="102" t="n"/>
      <c r="AM65" s="102" t="n"/>
      <c r="AN65" s="102" t="n"/>
      <c r="AO65" s="102" t="n"/>
      <c r="AP65" s="102" t="n"/>
      <c r="AQ65" s="102" t="n"/>
      <c r="AR65" s="102" t="n"/>
    </row>
    <row r="66">
      <c r="D66" s="102" t="n"/>
      <c r="E66" s="102" t="n"/>
      <c r="F66" s="102" t="n"/>
      <c r="G66" s="102" t="n"/>
      <c r="H66" s="102" t="n"/>
      <c r="I66" s="102" t="n"/>
      <c r="J66" s="102" t="n"/>
      <c r="K66" s="102" t="n"/>
      <c r="L66" s="102" t="n"/>
      <c r="M66" s="102" t="n"/>
      <c r="N66" s="102" t="n"/>
      <c r="O66" s="102" t="n"/>
      <c r="P66" s="102" t="n"/>
      <c r="Q66" s="102" t="n"/>
      <c r="R66" s="102" t="n"/>
      <c r="S66" s="102" t="n"/>
      <c r="T66" s="102" t="n"/>
      <c r="U66" s="102" t="n"/>
      <c r="V66" s="102" t="n"/>
      <c r="W66" s="102" t="n"/>
      <c r="X66" s="102" t="n"/>
      <c r="Y66" s="102" t="n"/>
      <c r="Z66" s="102" t="n"/>
      <c r="AA66" s="102" t="n"/>
      <c r="AB66" s="102" t="n"/>
      <c r="AC66" s="102" t="n"/>
      <c r="AD66" s="102" t="n"/>
      <c r="AE66" s="102" t="n"/>
      <c r="AF66" s="102" t="n"/>
      <c r="AG66" s="102" t="n"/>
      <c r="AH66" s="102" t="n"/>
      <c r="AI66" s="102" t="n"/>
      <c r="AJ66" s="102" t="n"/>
      <c r="AK66" s="102" t="n"/>
      <c r="AL66" s="102" t="n"/>
      <c r="AM66" s="102" t="n"/>
      <c r="AN66" s="102" t="n"/>
      <c r="AO66" s="102" t="n"/>
      <c r="AP66" s="102" t="n"/>
      <c r="AQ66" s="102" t="n"/>
      <c r="AR66" s="102" t="n"/>
    </row>
    <row r="67">
      <c r="D67" s="102" t="n"/>
      <c r="E67" s="102" t="n"/>
      <c r="F67" s="102" t="n"/>
      <c r="G67" s="102" t="n"/>
      <c r="H67" s="102" t="n"/>
      <c r="I67" s="102" t="n"/>
      <c r="J67" s="102" t="n"/>
      <c r="K67" s="102" t="n"/>
      <c r="L67" s="102" t="n"/>
      <c r="M67" s="102" t="n"/>
      <c r="N67" s="102" t="n"/>
      <c r="O67" s="102" t="n"/>
      <c r="P67" s="102" t="n"/>
      <c r="Q67" s="102" t="n"/>
      <c r="R67" s="102" t="n"/>
      <c r="S67" s="102" t="n"/>
      <c r="T67" s="102" t="n"/>
      <c r="U67" s="102" t="n"/>
      <c r="V67" s="102" t="n"/>
      <c r="W67" s="102" t="n"/>
      <c r="X67" s="102" t="n"/>
      <c r="Y67" s="102" t="n"/>
      <c r="Z67" s="102" t="n"/>
      <c r="AA67" s="102" t="n"/>
      <c r="AB67" s="102" t="n"/>
      <c r="AC67" s="102" t="n"/>
      <c r="AD67" s="102" t="n"/>
      <c r="AE67" s="102" t="n"/>
      <c r="AF67" s="102" t="n"/>
      <c r="AG67" s="102" t="n"/>
      <c r="AH67" s="102" t="n"/>
      <c r="AI67" s="102" t="n"/>
      <c r="AJ67" s="102" t="n"/>
      <c r="AK67" s="102" t="n"/>
      <c r="AL67" s="102" t="n"/>
      <c r="AM67" s="102" t="n"/>
      <c r="AN67" s="102" t="n"/>
      <c r="AO67" s="102" t="n"/>
      <c r="AP67" s="102" t="n"/>
      <c r="AQ67" s="102" t="n"/>
      <c r="AR67" s="102" t="n"/>
    </row>
    <row r="68">
      <c r="D68" s="102" t="n"/>
      <c r="E68" s="102" t="n"/>
      <c r="F68" s="102" t="n"/>
      <c r="G68" s="102" t="n"/>
      <c r="H68" s="102" t="n"/>
      <c r="I68" s="102" t="n"/>
      <c r="J68" s="102" t="n"/>
      <c r="K68" s="102" t="n"/>
      <c r="L68" s="102" t="n"/>
      <c r="M68" s="102" t="n"/>
      <c r="N68" s="102" t="n"/>
      <c r="O68" s="102" t="n"/>
      <c r="P68" s="102" t="n"/>
      <c r="Q68" s="102" t="n"/>
      <c r="R68" s="102" t="n"/>
      <c r="S68" s="102" t="n"/>
      <c r="T68" s="102" t="n"/>
      <c r="U68" s="102" t="n"/>
      <c r="V68" s="102" t="n"/>
      <c r="W68" s="102" t="n"/>
      <c r="X68" s="102" t="n"/>
      <c r="Y68" s="102" t="n"/>
      <c r="Z68" s="102" t="n"/>
      <c r="AA68" s="102" t="n"/>
      <c r="AB68" s="102" t="n"/>
      <c r="AC68" s="102" t="n"/>
      <c r="AD68" s="102" t="n"/>
      <c r="AE68" s="102" t="n"/>
      <c r="AF68" s="102" t="n"/>
      <c r="AG68" s="102" t="n"/>
      <c r="AH68" s="102" t="n"/>
      <c r="AI68" s="102" t="n"/>
      <c r="AJ68" s="102" t="n"/>
      <c r="AK68" s="102" t="n"/>
      <c r="AL68" s="102" t="n"/>
      <c r="AM68" s="102" t="n"/>
      <c r="AN68" s="102" t="n"/>
      <c r="AO68" s="102" t="n"/>
      <c r="AP68" s="102" t="n"/>
      <c r="AQ68" s="102" t="n"/>
      <c r="AR68" s="102" t="n"/>
    </row>
    <row r="69">
      <c r="D69" s="160" t="n"/>
      <c r="E69" s="160" t="n"/>
      <c r="F69" s="160" t="n"/>
      <c r="G69" s="160" t="n"/>
      <c r="H69" s="160" t="n"/>
      <c r="I69" s="160" t="n"/>
      <c r="J69" s="160" t="n"/>
      <c r="K69" s="160" t="n"/>
      <c r="L69" s="160" t="n"/>
      <c r="M69" s="160" t="n"/>
      <c r="N69" s="160" t="n"/>
      <c r="O69" s="160" t="n"/>
      <c r="P69" s="160" t="n"/>
      <c r="Q69" s="160" t="n"/>
      <c r="R69" s="160" t="n"/>
      <c r="S69" s="160" t="n"/>
      <c r="T69" s="160" t="n"/>
      <c r="U69" s="160" t="n"/>
      <c r="V69" s="160" t="n"/>
      <c r="W69" s="160" t="n"/>
      <c r="X69" s="160" t="n"/>
      <c r="Y69" s="160" t="n"/>
      <c r="Z69" s="160" t="n"/>
      <c r="AA69" s="160" t="n"/>
      <c r="AB69" s="160" t="n"/>
      <c r="AC69" s="160" t="n"/>
      <c r="AD69" s="160" t="n"/>
      <c r="AE69" s="160" t="n"/>
      <c r="AF69" s="160" t="n"/>
      <c r="AG69" s="160" t="n"/>
      <c r="AH69" s="160" t="n"/>
      <c r="AI69" s="160" t="n"/>
      <c r="AJ69" s="160" t="n"/>
      <c r="AK69" s="160" t="n"/>
      <c r="AL69" s="160" t="n"/>
      <c r="AM69" s="160" t="n"/>
      <c r="AN69" s="160" t="n"/>
      <c r="AO69" s="160" t="n"/>
      <c r="AP69" s="160" t="n"/>
      <c r="AQ69" s="160" t="n"/>
      <c r="AR69" s="160" t="n"/>
    </row>
    <row r="72">
      <c r="A72" s="2">
        <f>IF($A65="","","   projections")</f>
        <v/>
      </c>
      <c r="B72" s="158">
        <f>IF($A65="",0,COUNT($E73:$AR73))</f>
        <v/>
      </c>
      <c r="C72" s="159">
        <f>IF($B72=0,0,MAX($E73:$AR73))</f>
        <v/>
      </c>
      <c r="D72" s="101">
        <f>BDS($A65,FLD_PROJ,"headers=y","startcol=1","endcol=3","dir=h")</f>
        <v/>
      </c>
      <c r="E72" s="102" t="n"/>
      <c r="F72" s="102" t="n"/>
      <c r="G72" s="102" t="n"/>
      <c r="H72" s="102" t="n"/>
      <c r="I72" s="102" t="n"/>
      <c r="J72" s="102" t="n"/>
      <c r="K72" s="102" t="n"/>
      <c r="L72" s="102" t="n"/>
      <c r="M72" s="102" t="n"/>
      <c r="N72" s="102" t="n"/>
      <c r="O72" s="102" t="n"/>
      <c r="P72" s="102" t="n"/>
      <c r="Q72" s="102" t="n"/>
      <c r="R72" s="102" t="n"/>
      <c r="S72" s="102" t="n"/>
      <c r="T72" s="102" t="n"/>
      <c r="U72" s="102" t="n"/>
      <c r="V72" s="102" t="n"/>
      <c r="W72" s="102" t="n"/>
      <c r="X72" s="102" t="n"/>
      <c r="Y72" s="102" t="n"/>
      <c r="Z72" s="102" t="n"/>
      <c r="AA72" s="102" t="n"/>
      <c r="AB72" s="102" t="n"/>
      <c r="AC72" s="102" t="n"/>
      <c r="AD72" s="102" t="n"/>
      <c r="AE72" s="102" t="n"/>
      <c r="AF72" s="102" t="n"/>
      <c r="AG72" s="102" t="n"/>
      <c r="AH72" s="102" t="n"/>
      <c r="AI72" s="102" t="n"/>
      <c r="AJ72" s="102" t="n"/>
      <c r="AK72" s="102" t="n"/>
      <c r="AL72" s="102" t="n"/>
      <c r="AM72" s="102" t="n"/>
      <c r="AN72" s="102" t="n"/>
      <c r="AO72" s="102" t="n"/>
      <c r="AP72" s="102" t="n"/>
      <c r="AQ72" s="102" t="n"/>
      <c r="AR72" s="102" t="n"/>
    </row>
    <row r="73">
      <c r="D73" s="102" t="n"/>
      <c r="E73" s="102" t="n"/>
      <c r="F73" s="102" t="n"/>
      <c r="G73" s="102" t="n"/>
      <c r="H73" s="102" t="n"/>
      <c r="I73" s="102" t="n"/>
      <c r="J73" s="102" t="n"/>
      <c r="K73" s="102" t="n"/>
      <c r="L73" s="102" t="n"/>
      <c r="M73" s="102" t="n"/>
      <c r="N73" s="102" t="n"/>
      <c r="O73" s="102" t="n"/>
      <c r="P73" s="102" t="n"/>
      <c r="Q73" s="102" t="n"/>
      <c r="R73" s="102" t="n"/>
      <c r="S73" s="102" t="n"/>
      <c r="T73" s="102" t="n"/>
      <c r="U73" s="102" t="n"/>
      <c r="V73" s="102" t="n"/>
      <c r="W73" s="102" t="n"/>
      <c r="X73" s="102" t="n"/>
      <c r="Y73" s="102" t="n"/>
      <c r="Z73" s="102" t="n"/>
      <c r="AA73" s="102" t="n"/>
      <c r="AB73" s="102" t="n"/>
      <c r="AC73" s="102" t="n"/>
      <c r="AD73" s="102" t="n"/>
      <c r="AE73" s="102" t="n"/>
      <c r="AF73" s="102" t="n"/>
      <c r="AG73" s="102" t="n"/>
      <c r="AH73" s="102" t="n"/>
      <c r="AI73" s="102" t="n"/>
      <c r="AJ73" s="102" t="n"/>
      <c r="AK73" s="102" t="n"/>
      <c r="AL73" s="102" t="n"/>
      <c r="AM73" s="102" t="n"/>
      <c r="AN73" s="102" t="n"/>
      <c r="AO73" s="102" t="n"/>
      <c r="AP73" s="102" t="n"/>
      <c r="AQ73" s="102" t="n"/>
      <c r="AR73" s="102" t="n"/>
    </row>
    <row r="74">
      <c r="D74" s="160" t="n"/>
      <c r="E74" s="160" t="n"/>
      <c r="F74" s="160" t="n"/>
      <c r="G74" s="160" t="n"/>
      <c r="H74" s="160" t="n"/>
      <c r="I74" s="160" t="n"/>
      <c r="J74" s="160" t="n"/>
      <c r="K74" s="160" t="n"/>
      <c r="L74" s="160" t="n"/>
      <c r="M74" s="160" t="n"/>
      <c r="N74" s="160" t="n"/>
      <c r="O74" s="160" t="n"/>
      <c r="P74" s="160" t="n"/>
      <c r="Q74" s="160" t="n"/>
      <c r="R74" s="160" t="n"/>
      <c r="S74" s="160" t="n"/>
      <c r="T74" s="160" t="n"/>
      <c r="U74" s="160" t="n"/>
      <c r="V74" s="160" t="n"/>
      <c r="W74" s="160" t="n"/>
      <c r="X74" s="160" t="n"/>
      <c r="Y74" s="160" t="n"/>
      <c r="Z74" s="160" t="n"/>
      <c r="AA74" s="160" t="n"/>
      <c r="AB74" s="160" t="n"/>
      <c r="AC74" s="160" t="n"/>
      <c r="AD74" s="160" t="n"/>
      <c r="AE74" s="160" t="n"/>
      <c r="AF74" s="160" t="n"/>
      <c r="AG74" s="160" t="n"/>
      <c r="AH74" s="160" t="n"/>
      <c r="AI74" s="160" t="n"/>
      <c r="AJ74" s="160" t="n"/>
      <c r="AK74" s="160" t="n"/>
      <c r="AL74" s="160" t="n"/>
      <c r="AM74" s="160" t="n"/>
      <c r="AN74" s="160" t="n"/>
      <c r="AO74" s="160" t="n"/>
      <c r="AP74" s="160" t="n"/>
      <c r="AQ74" s="160" t="n"/>
      <c r="AR74" s="160" t="n"/>
    </row>
    <row r="76">
      <c r="A76" s="8">
        <f>IF(HSI!$C$13="","",HSI!$C$13)</f>
        <v/>
      </c>
      <c r="B76" s="158">
        <f>IF($A76="",0,COUNT($E77:$AR77))</f>
        <v/>
      </c>
      <c r="C76" s="159">
        <f>IF($B76=0,0,MAX($E77:$AR77))</f>
        <v/>
      </c>
      <c r="D76" s="101">
        <f>BDS($A76,FLD_HIST,"headers=y","startcol=1","endcol=7","dir=h","DVD_START_DT",HIST_FROM,"DVD_END_DT",HIST_TO)</f>
        <v/>
      </c>
      <c r="E76" s="102" t="n"/>
      <c r="F76" s="102" t="n"/>
      <c r="G76" s="102" t="n"/>
      <c r="H76" s="102" t="n"/>
      <c r="I76" s="102" t="n"/>
      <c r="J76" s="102" t="n"/>
      <c r="K76" s="102" t="n"/>
      <c r="L76" s="102" t="n"/>
      <c r="M76" s="102" t="n"/>
      <c r="N76" s="102" t="n"/>
      <c r="O76" s="102" t="n"/>
      <c r="P76" s="102" t="n"/>
      <c r="Q76" s="102" t="n"/>
      <c r="R76" s="102" t="n"/>
      <c r="S76" s="102" t="n"/>
      <c r="T76" s="102" t="n"/>
      <c r="U76" s="102" t="n"/>
      <c r="V76" s="102" t="n"/>
      <c r="W76" s="102" t="n"/>
      <c r="X76" s="102" t="n"/>
      <c r="Y76" s="102" t="n"/>
      <c r="Z76" s="102" t="n"/>
      <c r="AA76" s="102" t="n"/>
      <c r="AB76" s="102" t="n"/>
      <c r="AC76" s="102" t="n"/>
      <c r="AD76" s="102" t="n"/>
      <c r="AE76" s="102" t="n"/>
      <c r="AF76" s="102" t="n"/>
      <c r="AG76" s="102" t="n"/>
      <c r="AH76" s="102" t="n"/>
      <c r="AI76" s="102" t="n"/>
      <c r="AJ76" s="102" t="n"/>
      <c r="AK76" s="102" t="n"/>
      <c r="AL76" s="102" t="n"/>
      <c r="AM76" s="102" t="n"/>
      <c r="AN76" s="102" t="n"/>
      <c r="AO76" s="102" t="n"/>
      <c r="AP76" s="102" t="n"/>
      <c r="AQ76" s="102" t="n"/>
      <c r="AR76" s="102" t="n"/>
    </row>
    <row r="77">
      <c r="D77" s="102" t="n"/>
      <c r="E77" s="102" t="n"/>
      <c r="F77" s="102" t="n"/>
      <c r="G77" s="102" t="n"/>
      <c r="H77" s="102" t="n"/>
      <c r="I77" s="102" t="n"/>
      <c r="J77" s="102" t="n"/>
      <c r="K77" s="102" t="n"/>
      <c r="L77" s="102" t="n"/>
      <c r="M77" s="102" t="n"/>
      <c r="N77" s="102" t="n"/>
      <c r="O77" s="102" t="n"/>
      <c r="P77" s="102" t="n"/>
      <c r="Q77" s="102" t="n"/>
      <c r="R77" s="102" t="n"/>
      <c r="S77" s="102" t="n"/>
      <c r="T77" s="102" t="n"/>
      <c r="U77" s="102" t="n"/>
      <c r="V77" s="102" t="n"/>
      <c r="W77" s="102" t="n"/>
      <c r="X77" s="102" t="n"/>
      <c r="Y77" s="102" t="n"/>
      <c r="Z77" s="102" t="n"/>
      <c r="AA77" s="102" t="n"/>
      <c r="AB77" s="102" t="n"/>
      <c r="AC77" s="102" t="n"/>
      <c r="AD77" s="102" t="n"/>
      <c r="AE77" s="102" t="n"/>
      <c r="AF77" s="102" t="n"/>
      <c r="AG77" s="102" t="n"/>
      <c r="AH77" s="102" t="n"/>
      <c r="AI77" s="102" t="n"/>
      <c r="AJ77" s="102" t="n"/>
      <c r="AK77" s="102" t="n"/>
      <c r="AL77" s="102" t="n"/>
      <c r="AM77" s="102" t="n"/>
      <c r="AN77" s="102" t="n"/>
      <c r="AO77" s="102" t="n"/>
      <c r="AP77" s="102" t="n"/>
      <c r="AQ77" s="102" t="n"/>
      <c r="AR77" s="102" t="n"/>
    </row>
    <row r="78">
      <c r="D78" s="102" t="n"/>
      <c r="E78" s="102" t="n"/>
      <c r="F78" s="102" t="n"/>
      <c r="G78" s="102" t="n"/>
      <c r="H78" s="102" t="n"/>
      <c r="I78" s="102" t="n"/>
      <c r="J78" s="102" t="n"/>
      <c r="K78" s="102" t="n"/>
      <c r="L78" s="102" t="n"/>
      <c r="M78" s="102" t="n"/>
      <c r="N78" s="102" t="n"/>
      <c r="O78" s="102" t="n"/>
      <c r="P78" s="102" t="n"/>
      <c r="Q78" s="102" t="n"/>
      <c r="R78" s="102" t="n"/>
      <c r="S78" s="102" t="n"/>
      <c r="T78" s="102" t="n"/>
      <c r="U78" s="102" t="n"/>
      <c r="V78" s="102" t="n"/>
      <c r="W78" s="102" t="n"/>
      <c r="X78" s="102" t="n"/>
      <c r="Y78" s="102" t="n"/>
      <c r="Z78" s="102" t="n"/>
      <c r="AA78" s="102" t="n"/>
      <c r="AB78" s="102" t="n"/>
      <c r="AC78" s="102" t="n"/>
      <c r="AD78" s="102" t="n"/>
      <c r="AE78" s="102" t="n"/>
      <c r="AF78" s="102" t="n"/>
      <c r="AG78" s="102" t="n"/>
      <c r="AH78" s="102" t="n"/>
      <c r="AI78" s="102" t="n"/>
      <c r="AJ78" s="102" t="n"/>
      <c r="AK78" s="102" t="n"/>
      <c r="AL78" s="102" t="n"/>
      <c r="AM78" s="102" t="n"/>
      <c r="AN78" s="102" t="n"/>
      <c r="AO78" s="102" t="n"/>
      <c r="AP78" s="102" t="n"/>
      <c r="AQ78" s="102" t="n"/>
      <c r="AR78" s="102" t="n"/>
    </row>
    <row r="79">
      <c r="D79" s="102" t="n"/>
      <c r="E79" s="102" t="n"/>
      <c r="F79" s="102" t="n"/>
      <c r="G79" s="102" t="n"/>
      <c r="H79" s="102" t="n"/>
      <c r="I79" s="102" t="n"/>
      <c r="J79" s="102" t="n"/>
      <c r="K79" s="102" t="n"/>
      <c r="L79" s="102" t="n"/>
      <c r="M79" s="102" t="n"/>
      <c r="N79" s="102" t="n"/>
      <c r="O79" s="102" t="n"/>
      <c r="P79" s="102" t="n"/>
      <c r="Q79" s="102" t="n"/>
      <c r="R79" s="102" t="n"/>
      <c r="S79" s="102" t="n"/>
      <c r="T79" s="102" t="n"/>
      <c r="U79" s="102" t="n"/>
      <c r="V79" s="102" t="n"/>
      <c r="W79" s="102" t="n"/>
      <c r="X79" s="102" t="n"/>
      <c r="Y79" s="102" t="n"/>
      <c r="Z79" s="102" t="n"/>
      <c r="AA79" s="102" t="n"/>
      <c r="AB79" s="102" t="n"/>
      <c r="AC79" s="102" t="n"/>
      <c r="AD79" s="102" t="n"/>
      <c r="AE79" s="102" t="n"/>
      <c r="AF79" s="102" t="n"/>
      <c r="AG79" s="102" t="n"/>
      <c r="AH79" s="102" t="n"/>
      <c r="AI79" s="102" t="n"/>
      <c r="AJ79" s="102" t="n"/>
      <c r="AK79" s="102" t="n"/>
      <c r="AL79" s="102" t="n"/>
      <c r="AM79" s="102" t="n"/>
      <c r="AN79" s="102" t="n"/>
      <c r="AO79" s="102" t="n"/>
      <c r="AP79" s="102" t="n"/>
      <c r="AQ79" s="102" t="n"/>
      <c r="AR79" s="102" t="n"/>
    </row>
    <row r="80">
      <c r="D80" s="160" t="n"/>
      <c r="E80" s="160" t="n"/>
      <c r="F80" s="160" t="n"/>
      <c r="G80" s="160" t="n"/>
      <c r="H80" s="160" t="n"/>
      <c r="I80" s="160" t="n"/>
      <c r="J80" s="160" t="n"/>
      <c r="K80" s="160" t="n"/>
      <c r="L80" s="160" t="n"/>
      <c r="M80" s="160" t="n"/>
      <c r="N80" s="160" t="n"/>
      <c r="O80" s="160" t="n"/>
      <c r="P80" s="160" t="n"/>
      <c r="Q80" s="160" t="n"/>
      <c r="R80" s="160" t="n"/>
      <c r="S80" s="160" t="n"/>
      <c r="T80" s="160" t="n"/>
      <c r="U80" s="160" t="n"/>
      <c r="V80" s="160" t="n"/>
      <c r="W80" s="160" t="n"/>
      <c r="X80" s="160" t="n"/>
      <c r="Y80" s="160" t="n"/>
      <c r="Z80" s="160" t="n"/>
      <c r="AA80" s="160" t="n"/>
      <c r="AB80" s="160" t="n"/>
      <c r="AC80" s="160" t="n"/>
      <c r="AD80" s="160" t="n"/>
      <c r="AE80" s="160" t="n"/>
      <c r="AF80" s="160" t="n"/>
      <c r="AG80" s="160" t="n"/>
      <c r="AH80" s="160" t="n"/>
      <c r="AI80" s="160" t="n"/>
      <c r="AJ80" s="160" t="n"/>
      <c r="AK80" s="160" t="n"/>
      <c r="AL80" s="160" t="n"/>
      <c r="AM80" s="160" t="n"/>
      <c r="AN80" s="160" t="n"/>
      <c r="AO80" s="160" t="n"/>
      <c r="AP80" s="160" t="n"/>
      <c r="AQ80" s="160" t="n"/>
      <c r="AR80" s="160" t="n"/>
    </row>
    <row r="83">
      <c r="A83" s="2">
        <f>IF($A76="","","   projections")</f>
        <v/>
      </c>
      <c r="B83" s="158">
        <f>IF($A76="",0,COUNT($E84:$AR84))</f>
        <v/>
      </c>
      <c r="C83" s="159">
        <f>IF($B83=0,0,MAX($E84:$AR84))</f>
        <v/>
      </c>
      <c r="D83" s="101">
        <f>BDS($A76,FLD_PROJ,"headers=y","startcol=1","endcol=3","dir=h")</f>
        <v/>
      </c>
      <c r="E83" s="102" t="n"/>
      <c r="F83" s="102" t="n"/>
      <c r="G83" s="102" t="n"/>
      <c r="H83" s="102" t="n"/>
      <c r="I83" s="102" t="n"/>
      <c r="J83" s="102" t="n"/>
      <c r="K83" s="102" t="n"/>
      <c r="L83" s="102" t="n"/>
      <c r="M83" s="102" t="n"/>
      <c r="N83" s="102" t="n"/>
      <c r="O83" s="102" t="n"/>
      <c r="P83" s="102" t="n"/>
      <c r="Q83" s="102" t="n"/>
      <c r="R83" s="102" t="n"/>
      <c r="S83" s="102" t="n"/>
      <c r="T83" s="102" t="n"/>
      <c r="U83" s="102" t="n"/>
      <c r="V83" s="102" t="n"/>
      <c r="W83" s="102" t="n"/>
      <c r="X83" s="102" t="n"/>
      <c r="Y83" s="102" t="n"/>
      <c r="Z83" s="102" t="n"/>
      <c r="AA83" s="102" t="n"/>
      <c r="AB83" s="102" t="n"/>
      <c r="AC83" s="102" t="n"/>
      <c r="AD83" s="102" t="n"/>
      <c r="AE83" s="102" t="n"/>
      <c r="AF83" s="102" t="n"/>
      <c r="AG83" s="102" t="n"/>
      <c r="AH83" s="102" t="n"/>
      <c r="AI83" s="102" t="n"/>
      <c r="AJ83" s="102" t="n"/>
      <c r="AK83" s="102" t="n"/>
      <c r="AL83" s="102" t="n"/>
      <c r="AM83" s="102" t="n"/>
      <c r="AN83" s="102" t="n"/>
      <c r="AO83" s="102" t="n"/>
      <c r="AP83" s="102" t="n"/>
      <c r="AQ83" s="102" t="n"/>
      <c r="AR83" s="102" t="n"/>
    </row>
    <row r="84">
      <c r="D84" s="102" t="n"/>
      <c r="E84" s="102" t="n"/>
      <c r="F84" s="102" t="n"/>
      <c r="G84" s="102" t="n"/>
      <c r="H84" s="102" t="n"/>
      <c r="I84" s="102" t="n"/>
      <c r="J84" s="102" t="n"/>
      <c r="K84" s="102" t="n"/>
      <c r="L84" s="102" t="n"/>
      <c r="M84" s="102" t="n"/>
      <c r="N84" s="102" t="n"/>
      <c r="O84" s="102" t="n"/>
      <c r="P84" s="102" t="n"/>
      <c r="Q84" s="102" t="n"/>
      <c r="R84" s="102" t="n"/>
      <c r="S84" s="102" t="n"/>
      <c r="T84" s="102" t="n"/>
      <c r="U84" s="102" t="n"/>
      <c r="V84" s="102" t="n"/>
      <c r="W84" s="102" t="n"/>
      <c r="X84" s="102" t="n"/>
      <c r="Y84" s="102" t="n"/>
      <c r="Z84" s="102" t="n"/>
      <c r="AA84" s="102" t="n"/>
      <c r="AB84" s="102" t="n"/>
      <c r="AC84" s="102" t="n"/>
      <c r="AD84" s="102" t="n"/>
      <c r="AE84" s="102" t="n"/>
      <c r="AF84" s="102" t="n"/>
      <c r="AG84" s="102" t="n"/>
      <c r="AH84" s="102" t="n"/>
      <c r="AI84" s="102" t="n"/>
      <c r="AJ84" s="102" t="n"/>
      <c r="AK84" s="102" t="n"/>
      <c r="AL84" s="102" t="n"/>
      <c r="AM84" s="102" t="n"/>
      <c r="AN84" s="102" t="n"/>
      <c r="AO84" s="102" t="n"/>
      <c r="AP84" s="102" t="n"/>
      <c r="AQ84" s="102" t="n"/>
      <c r="AR84" s="102" t="n"/>
    </row>
    <row r="85">
      <c r="D85" s="160" t="n"/>
      <c r="E85" s="160" t="n"/>
      <c r="F85" s="160" t="n"/>
      <c r="G85" s="160" t="n"/>
      <c r="H85" s="160" t="n"/>
      <c r="I85" s="160" t="n"/>
      <c r="J85" s="160" t="n"/>
      <c r="K85" s="160" t="n"/>
      <c r="L85" s="160" t="n"/>
      <c r="M85" s="160" t="n"/>
      <c r="N85" s="160" t="n"/>
      <c r="O85" s="160" t="n"/>
      <c r="P85" s="160" t="n"/>
      <c r="Q85" s="160" t="n"/>
      <c r="R85" s="160" t="n"/>
      <c r="S85" s="160" t="n"/>
      <c r="T85" s="160" t="n"/>
      <c r="U85" s="160" t="n"/>
      <c r="V85" s="160" t="n"/>
      <c r="W85" s="160" t="n"/>
      <c r="X85" s="160" t="n"/>
      <c r="Y85" s="160" t="n"/>
      <c r="Z85" s="160" t="n"/>
      <c r="AA85" s="160" t="n"/>
      <c r="AB85" s="160" t="n"/>
      <c r="AC85" s="160" t="n"/>
      <c r="AD85" s="160" t="n"/>
      <c r="AE85" s="160" t="n"/>
      <c r="AF85" s="160" t="n"/>
      <c r="AG85" s="160" t="n"/>
      <c r="AH85" s="160" t="n"/>
      <c r="AI85" s="160" t="n"/>
      <c r="AJ85" s="160" t="n"/>
      <c r="AK85" s="160" t="n"/>
      <c r="AL85" s="160" t="n"/>
      <c r="AM85" s="160" t="n"/>
      <c r="AN85" s="160" t="n"/>
      <c r="AO85" s="160" t="n"/>
      <c r="AP85" s="160" t="n"/>
      <c r="AQ85" s="160" t="n"/>
      <c r="AR85" s="160" t="n"/>
    </row>
    <row r="87">
      <c r="A87" s="8">
        <f>IF(HSI!$C$14="","",HSI!$C$14)</f>
        <v/>
      </c>
      <c r="B87" s="158">
        <f>IF($A87="",0,COUNT($E88:$AR88))</f>
        <v/>
      </c>
      <c r="C87" s="159">
        <f>IF($B87=0,0,MAX($E88:$AR88))</f>
        <v/>
      </c>
      <c r="D87" s="101">
        <f>BDS($A87,FLD_HIST,"headers=y","startcol=1","endcol=7","dir=h","DVD_START_DT",HIST_FROM,"DVD_END_DT",HIST_TO)</f>
        <v/>
      </c>
      <c r="E87" s="102" t="n"/>
      <c r="F87" s="102" t="n"/>
      <c r="G87" s="102" t="n"/>
      <c r="H87" s="102" t="n"/>
      <c r="I87" s="102" t="n"/>
      <c r="J87" s="102" t="n"/>
      <c r="K87" s="102" t="n"/>
      <c r="L87" s="102" t="n"/>
      <c r="M87" s="102" t="n"/>
      <c r="N87" s="102" t="n"/>
      <c r="O87" s="102" t="n"/>
      <c r="P87" s="102" t="n"/>
      <c r="Q87" s="102" t="n"/>
      <c r="R87" s="102" t="n"/>
      <c r="S87" s="102" t="n"/>
      <c r="T87" s="102" t="n"/>
      <c r="U87" s="102" t="n"/>
      <c r="V87" s="102" t="n"/>
      <c r="W87" s="102" t="n"/>
      <c r="X87" s="102" t="n"/>
      <c r="Y87" s="102" t="n"/>
      <c r="Z87" s="102" t="n"/>
      <c r="AA87" s="102" t="n"/>
      <c r="AB87" s="102" t="n"/>
      <c r="AC87" s="102" t="n"/>
      <c r="AD87" s="102" t="n"/>
      <c r="AE87" s="102" t="n"/>
      <c r="AF87" s="102" t="n"/>
      <c r="AG87" s="102" t="n"/>
      <c r="AH87" s="102" t="n"/>
      <c r="AI87" s="102" t="n"/>
      <c r="AJ87" s="102" t="n"/>
      <c r="AK87" s="102" t="n"/>
      <c r="AL87" s="102" t="n"/>
      <c r="AM87" s="102" t="n"/>
      <c r="AN87" s="102" t="n"/>
      <c r="AO87" s="102" t="n"/>
      <c r="AP87" s="102" t="n"/>
      <c r="AQ87" s="102" t="n"/>
      <c r="AR87" s="102" t="n"/>
    </row>
    <row r="88">
      <c r="D88" s="102" t="n"/>
      <c r="E88" s="102" t="n"/>
      <c r="F88" s="102" t="n"/>
      <c r="G88" s="102" t="n"/>
      <c r="H88" s="102" t="n"/>
      <c r="I88" s="102" t="n"/>
      <c r="J88" s="102" t="n"/>
      <c r="K88" s="102" t="n"/>
      <c r="L88" s="102" t="n"/>
      <c r="M88" s="102" t="n"/>
      <c r="N88" s="102" t="n"/>
      <c r="O88" s="102" t="n"/>
      <c r="P88" s="102" t="n"/>
      <c r="Q88" s="102" t="n"/>
      <c r="R88" s="102" t="n"/>
      <c r="S88" s="102" t="n"/>
      <c r="T88" s="102" t="n"/>
      <c r="U88" s="102" t="n"/>
      <c r="V88" s="102" t="n"/>
      <c r="W88" s="102" t="n"/>
      <c r="X88" s="102" t="n"/>
      <c r="Y88" s="102" t="n"/>
      <c r="Z88" s="102" t="n"/>
      <c r="AA88" s="102" t="n"/>
      <c r="AB88" s="102" t="n"/>
      <c r="AC88" s="102" t="n"/>
      <c r="AD88" s="102" t="n"/>
      <c r="AE88" s="102" t="n"/>
      <c r="AF88" s="102" t="n"/>
      <c r="AG88" s="102" t="n"/>
      <c r="AH88" s="102" t="n"/>
      <c r="AI88" s="102" t="n"/>
      <c r="AJ88" s="102" t="n"/>
      <c r="AK88" s="102" t="n"/>
      <c r="AL88" s="102" t="n"/>
      <c r="AM88" s="102" t="n"/>
      <c r="AN88" s="102" t="n"/>
      <c r="AO88" s="102" t="n"/>
      <c r="AP88" s="102" t="n"/>
      <c r="AQ88" s="102" t="n"/>
      <c r="AR88" s="102" t="n"/>
    </row>
    <row r="89">
      <c r="D89" s="102" t="n"/>
      <c r="E89" s="102" t="n"/>
      <c r="F89" s="102" t="n"/>
      <c r="G89" s="102" t="n"/>
      <c r="H89" s="102" t="n"/>
      <c r="I89" s="102" t="n"/>
      <c r="J89" s="102" t="n"/>
      <c r="K89" s="102" t="n"/>
      <c r="L89" s="102" t="n"/>
      <c r="M89" s="102" t="n"/>
      <c r="N89" s="102" t="n"/>
      <c r="O89" s="102" t="n"/>
      <c r="P89" s="102" t="n"/>
      <c r="Q89" s="102" t="n"/>
      <c r="R89" s="102" t="n"/>
      <c r="S89" s="102" t="n"/>
      <c r="T89" s="102" t="n"/>
      <c r="U89" s="102" t="n"/>
      <c r="V89" s="102" t="n"/>
      <c r="W89" s="102" t="n"/>
      <c r="X89" s="102" t="n"/>
      <c r="Y89" s="102" t="n"/>
      <c r="Z89" s="102" t="n"/>
      <c r="AA89" s="102" t="n"/>
      <c r="AB89" s="102" t="n"/>
      <c r="AC89" s="102" t="n"/>
      <c r="AD89" s="102" t="n"/>
      <c r="AE89" s="102" t="n"/>
      <c r="AF89" s="102" t="n"/>
      <c r="AG89" s="102" t="n"/>
      <c r="AH89" s="102" t="n"/>
      <c r="AI89" s="102" t="n"/>
      <c r="AJ89" s="102" t="n"/>
      <c r="AK89" s="102" t="n"/>
      <c r="AL89" s="102" t="n"/>
      <c r="AM89" s="102" t="n"/>
      <c r="AN89" s="102" t="n"/>
      <c r="AO89" s="102" t="n"/>
      <c r="AP89" s="102" t="n"/>
      <c r="AQ89" s="102" t="n"/>
      <c r="AR89" s="102" t="n"/>
    </row>
    <row r="90">
      <c r="D90" s="102" t="n"/>
      <c r="E90" s="102" t="n"/>
      <c r="F90" s="102" t="n"/>
      <c r="G90" s="102" t="n"/>
      <c r="H90" s="102" t="n"/>
      <c r="I90" s="102" t="n"/>
      <c r="J90" s="102" t="n"/>
      <c r="K90" s="102" t="n"/>
      <c r="L90" s="102" t="n"/>
      <c r="M90" s="102" t="n"/>
      <c r="N90" s="102" t="n"/>
      <c r="O90" s="102" t="n"/>
      <c r="P90" s="102" t="n"/>
      <c r="Q90" s="102" t="n"/>
      <c r="R90" s="102" t="n"/>
      <c r="S90" s="102" t="n"/>
      <c r="T90" s="102" t="n"/>
      <c r="U90" s="102" t="n"/>
      <c r="V90" s="102" t="n"/>
      <c r="W90" s="102" t="n"/>
      <c r="X90" s="102" t="n"/>
      <c r="Y90" s="102" t="n"/>
      <c r="Z90" s="102" t="n"/>
      <c r="AA90" s="102" t="n"/>
      <c r="AB90" s="102" t="n"/>
      <c r="AC90" s="102" t="n"/>
      <c r="AD90" s="102" t="n"/>
      <c r="AE90" s="102" t="n"/>
      <c r="AF90" s="102" t="n"/>
      <c r="AG90" s="102" t="n"/>
      <c r="AH90" s="102" t="n"/>
      <c r="AI90" s="102" t="n"/>
      <c r="AJ90" s="102" t="n"/>
      <c r="AK90" s="102" t="n"/>
      <c r="AL90" s="102" t="n"/>
      <c r="AM90" s="102" t="n"/>
      <c r="AN90" s="102" t="n"/>
      <c r="AO90" s="102" t="n"/>
      <c r="AP90" s="102" t="n"/>
      <c r="AQ90" s="102" t="n"/>
      <c r="AR90" s="102" t="n"/>
    </row>
    <row r="91">
      <c r="D91" s="160" t="n"/>
      <c r="E91" s="160" t="n"/>
      <c r="F91" s="160" t="n"/>
      <c r="G91" s="160" t="n"/>
      <c r="H91" s="160" t="n"/>
      <c r="I91" s="160" t="n"/>
      <c r="J91" s="160" t="n"/>
      <c r="K91" s="160" t="n"/>
      <c r="L91" s="160" t="n"/>
      <c r="M91" s="160" t="n"/>
      <c r="N91" s="160" t="n"/>
      <c r="O91" s="160" t="n"/>
      <c r="P91" s="160" t="n"/>
      <c r="Q91" s="160" t="n"/>
      <c r="R91" s="160" t="n"/>
      <c r="S91" s="160" t="n"/>
      <c r="T91" s="160" t="n"/>
      <c r="U91" s="160" t="n"/>
      <c r="V91" s="160" t="n"/>
      <c r="W91" s="160" t="n"/>
      <c r="X91" s="160" t="n"/>
      <c r="Y91" s="160" t="n"/>
      <c r="Z91" s="160" t="n"/>
      <c r="AA91" s="160" t="n"/>
      <c r="AB91" s="160" t="n"/>
      <c r="AC91" s="160" t="n"/>
      <c r="AD91" s="160" t="n"/>
      <c r="AE91" s="160" t="n"/>
      <c r="AF91" s="160" t="n"/>
      <c r="AG91" s="160" t="n"/>
      <c r="AH91" s="160" t="n"/>
      <c r="AI91" s="160" t="n"/>
      <c r="AJ91" s="160" t="n"/>
      <c r="AK91" s="160" t="n"/>
      <c r="AL91" s="160" t="n"/>
      <c r="AM91" s="160" t="n"/>
      <c r="AN91" s="160" t="n"/>
      <c r="AO91" s="160" t="n"/>
      <c r="AP91" s="160" t="n"/>
      <c r="AQ91" s="160" t="n"/>
      <c r="AR91" s="160" t="n"/>
    </row>
    <row r="94">
      <c r="A94" s="2">
        <f>IF($A87="","","   projections")</f>
        <v/>
      </c>
      <c r="B94" s="158">
        <f>IF($A87="",0,COUNT($E95:$AR95))</f>
        <v/>
      </c>
      <c r="C94" s="159">
        <f>IF($B94=0,0,MAX($E95:$AR95))</f>
        <v/>
      </c>
      <c r="D94" s="101">
        <f>BDS($A87,FLD_PROJ,"headers=y","startcol=1","endcol=3","dir=h")</f>
        <v/>
      </c>
      <c r="E94" s="102" t="n"/>
      <c r="F94" s="102" t="n"/>
      <c r="G94" s="102" t="n"/>
      <c r="H94" s="102" t="n"/>
      <c r="I94" s="102" t="n"/>
      <c r="J94" s="102" t="n"/>
      <c r="K94" s="102" t="n"/>
      <c r="L94" s="102" t="n"/>
      <c r="M94" s="102" t="n"/>
      <c r="N94" s="102" t="n"/>
      <c r="O94" s="102" t="n"/>
      <c r="P94" s="102" t="n"/>
      <c r="Q94" s="102" t="n"/>
      <c r="R94" s="102" t="n"/>
      <c r="S94" s="102" t="n"/>
      <c r="T94" s="102" t="n"/>
      <c r="U94" s="102" t="n"/>
      <c r="V94" s="102" t="n"/>
      <c r="W94" s="102" t="n"/>
      <c r="X94" s="102" t="n"/>
      <c r="Y94" s="102" t="n"/>
      <c r="Z94" s="102" t="n"/>
      <c r="AA94" s="102" t="n"/>
      <c r="AB94" s="102" t="n"/>
      <c r="AC94" s="102" t="n"/>
      <c r="AD94" s="102" t="n"/>
      <c r="AE94" s="102" t="n"/>
      <c r="AF94" s="102" t="n"/>
      <c r="AG94" s="102" t="n"/>
      <c r="AH94" s="102" t="n"/>
      <c r="AI94" s="102" t="n"/>
      <c r="AJ94" s="102" t="n"/>
      <c r="AK94" s="102" t="n"/>
      <c r="AL94" s="102" t="n"/>
      <c r="AM94" s="102" t="n"/>
      <c r="AN94" s="102" t="n"/>
      <c r="AO94" s="102" t="n"/>
      <c r="AP94" s="102" t="n"/>
      <c r="AQ94" s="102" t="n"/>
      <c r="AR94" s="102" t="n"/>
    </row>
    <row r="95">
      <c r="D95" s="102" t="n"/>
      <c r="E95" s="102" t="n"/>
      <c r="F95" s="102" t="n"/>
      <c r="G95" s="102" t="n"/>
      <c r="H95" s="102" t="n"/>
      <c r="I95" s="102" t="n"/>
      <c r="J95" s="102" t="n"/>
      <c r="K95" s="102" t="n"/>
      <c r="L95" s="102" t="n"/>
      <c r="M95" s="102" t="n"/>
      <c r="N95" s="102" t="n"/>
      <c r="O95" s="102" t="n"/>
      <c r="P95" s="102" t="n"/>
      <c r="Q95" s="102" t="n"/>
      <c r="R95" s="102" t="n"/>
      <c r="S95" s="102" t="n"/>
      <c r="T95" s="102" t="n"/>
      <c r="U95" s="102" t="n"/>
      <c r="V95" s="102" t="n"/>
      <c r="W95" s="102" t="n"/>
      <c r="X95" s="102" t="n"/>
      <c r="Y95" s="102" t="n"/>
      <c r="Z95" s="102" t="n"/>
      <c r="AA95" s="102" t="n"/>
      <c r="AB95" s="102" t="n"/>
      <c r="AC95" s="102" t="n"/>
      <c r="AD95" s="102" t="n"/>
      <c r="AE95" s="102" t="n"/>
      <c r="AF95" s="102" t="n"/>
      <c r="AG95" s="102" t="n"/>
      <c r="AH95" s="102" t="n"/>
      <c r="AI95" s="102" t="n"/>
      <c r="AJ95" s="102" t="n"/>
      <c r="AK95" s="102" t="n"/>
      <c r="AL95" s="102" t="n"/>
      <c r="AM95" s="102" t="n"/>
      <c r="AN95" s="102" t="n"/>
      <c r="AO95" s="102" t="n"/>
      <c r="AP95" s="102" t="n"/>
      <c r="AQ95" s="102" t="n"/>
      <c r="AR95" s="102" t="n"/>
    </row>
    <row r="96">
      <c r="D96" s="160" t="n"/>
      <c r="E96" s="160" t="n"/>
      <c r="F96" s="160" t="n"/>
      <c r="G96" s="160" t="n"/>
      <c r="H96" s="160" t="n"/>
      <c r="I96" s="160" t="n"/>
      <c r="J96" s="160" t="n"/>
      <c r="K96" s="160" t="n"/>
      <c r="L96" s="160" t="n"/>
      <c r="M96" s="160" t="n"/>
      <c r="N96" s="160" t="n"/>
      <c r="O96" s="160" t="n"/>
      <c r="P96" s="160" t="n"/>
      <c r="Q96" s="160" t="n"/>
      <c r="R96" s="160" t="n"/>
      <c r="S96" s="160" t="n"/>
      <c r="T96" s="160" t="n"/>
      <c r="U96" s="160" t="n"/>
      <c r="V96" s="160" t="n"/>
      <c r="W96" s="160" t="n"/>
      <c r="X96" s="160" t="n"/>
      <c r="Y96" s="160" t="n"/>
      <c r="Z96" s="160" t="n"/>
      <c r="AA96" s="160" t="n"/>
      <c r="AB96" s="160" t="n"/>
      <c r="AC96" s="160" t="n"/>
      <c r="AD96" s="160" t="n"/>
      <c r="AE96" s="160" t="n"/>
      <c r="AF96" s="160" t="n"/>
      <c r="AG96" s="160" t="n"/>
      <c r="AH96" s="160" t="n"/>
      <c r="AI96" s="160" t="n"/>
      <c r="AJ96" s="160" t="n"/>
      <c r="AK96" s="160" t="n"/>
      <c r="AL96" s="160" t="n"/>
      <c r="AM96" s="160" t="n"/>
      <c r="AN96" s="160" t="n"/>
      <c r="AO96" s="160" t="n"/>
      <c r="AP96" s="160" t="n"/>
      <c r="AQ96" s="160" t="n"/>
      <c r="AR96" s="160" t="n"/>
    </row>
    <row r="98">
      <c r="A98" s="8">
        <f>IF(HSI!$C$15="","",HSI!$C$15)</f>
        <v/>
      </c>
      <c r="B98" s="158">
        <f>IF($A98="",0,COUNT($E99:$AR99))</f>
        <v/>
      </c>
      <c r="C98" s="159">
        <f>IF($B98=0,0,MAX($E99:$AR99))</f>
        <v/>
      </c>
      <c r="D98" s="101">
        <f>BDS($A98,FLD_HIST,"headers=y","startcol=1","endcol=7","dir=h","DVD_START_DT",HIST_FROM,"DVD_END_DT",HIST_TO)</f>
        <v/>
      </c>
      <c r="E98" s="102" t="n"/>
      <c r="F98" s="102" t="n"/>
      <c r="G98" s="102" t="n"/>
      <c r="H98" s="102" t="n"/>
      <c r="I98" s="102" t="n"/>
      <c r="J98" s="102" t="n"/>
      <c r="K98" s="102" t="n"/>
      <c r="L98" s="102" t="n"/>
      <c r="M98" s="102" t="n"/>
      <c r="N98" s="102" t="n"/>
      <c r="O98" s="102" t="n"/>
      <c r="P98" s="102" t="n"/>
      <c r="Q98" s="102" t="n"/>
      <c r="R98" s="102" t="n"/>
      <c r="S98" s="102" t="n"/>
      <c r="T98" s="102" t="n"/>
      <c r="U98" s="102" t="n"/>
      <c r="V98" s="102" t="n"/>
      <c r="W98" s="102" t="n"/>
      <c r="X98" s="102" t="n"/>
      <c r="Y98" s="102" t="n"/>
      <c r="Z98" s="102" t="n"/>
      <c r="AA98" s="102" t="n"/>
      <c r="AB98" s="102" t="n"/>
      <c r="AC98" s="102" t="n"/>
      <c r="AD98" s="102" t="n"/>
      <c r="AE98" s="102" t="n"/>
      <c r="AF98" s="102" t="n"/>
      <c r="AG98" s="102" t="n"/>
      <c r="AH98" s="102" t="n"/>
      <c r="AI98" s="102" t="n"/>
      <c r="AJ98" s="102" t="n"/>
      <c r="AK98" s="102" t="n"/>
      <c r="AL98" s="102" t="n"/>
      <c r="AM98" s="102" t="n"/>
      <c r="AN98" s="102" t="n"/>
      <c r="AO98" s="102" t="n"/>
      <c r="AP98" s="102" t="n"/>
      <c r="AQ98" s="102" t="n"/>
      <c r="AR98" s="102" t="n"/>
    </row>
    <row r="99">
      <c r="D99" s="102" t="n"/>
      <c r="E99" s="102" t="n"/>
      <c r="F99" s="102" t="n"/>
      <c r="G99" s="102" t="n"/>
      <c r="H99" s="102" t="n"/>
      <c r="I99" s="102" t="n"/>
      <c r="J99" s="102" t="n"/>
      <c r="K99" s="102" t="n"/>
      <c r="L99" s="102" t="n"/>
      <c r="M99" s="102" t="n"/>
      <c r="N99" s="102" t="n"/>
      <c r="O99" s="102" t="n"/>
      <c r="P99" s="102" t="n"/>
      <c r="Q99" s="102" t="n"/>
      <c r="R99" s="102" t="n"/>
      <c r="S99" s="102" t="n"/>
      <c r="T99" s="102" t="n"/>
      <c r="U99" s="102" t="n"/>
      <c r="V99" s="102" t="n"/>
      <c r="W99" s="102" t="n"/>
      <c r="X99" s="102" t="n"/>
      <c r="Y99" s="102" t="n"/>
      <c r="Z99" s="102" t="n"/>
      <c r="AA99" s="102" t="n"/>
      <c r="AB99" s="102" t="n"/>
      <c r="AC99" s="102" t="n"/>
      <c r="AD99" s="102" t="n"/>
      <c r="AE99" s="102" t="n"/>
      <c r="AF99" s="102" t="n"/>
      <c r="AG99" s="102" t="n"/>
      <c r="AH99" s="102" t="n"/>
      <c r="AI99" s="102" t="n"/>
      <c r="AJ99" s="102" t="n"/>
      <c r="AK99" s="102" t="n"/>
      <c r="AL99" s="102" t="n"/>
      <c r="AM99" s="102" t="n"/>
      <c r="AN99" s="102" t="n"/>
      <c r="AO99" s="102" t="n"/>
      <c r="AP99" s="102" t="n"/>
      <c r="AQ99" s="102" t="n"/>
      <c r="AR99" s="102" t="n"/>
    </row>
    <row r="100">
      <c r="D100" s="102" t="n"/>
      <c r="E100" s="102" t="n"/>
      <c r="F100" s="102" t="n"/>
      <c r="G100" s="102" t="n"/>
      <c r="H100" s="102" t="n"/>
      <c r="I100" s="102" t="n"/>
      <c r="J100" s="102" t="n"/>
      <c r="K100" s="102" t="n"/>
      <c r="L100" s="102" t="n"/>
      <c r="M100" s="102" t="n"/>
      <c r="N100" s="102" t="n"/>
      <c r="O100" s="102" t="n"/>
      <c r="P100" s="102" t="n"/>
      <c r="Q100" s="102" t="n"/>
      <c r="R100" s="102" t="n"/>
      <c r="S100" s="102" t="n"/>
      <c r="T100" s="102" t="n"/>
      <c r="U100" s="102" t="n"/>
      <c r="V100" s="102" t="n"/>
      <c r="W100" s="102" t="n"/>
      <c r="X100" s="102" t="n"/>
      <c r="Y100" s="102" t="n"/>
      <c r="Z100" s="102" t="n"/>
      <c r="AA100" s="102" t="n"/>
      <c r="AB100" s="102" t="n"/>
      <c r="AC100" s="102" t="n"/>
      <c r="AD100" s="102" t="n"/>
      <c r="AE100" s="102" t="n"/>
      <c r="AF100" s="102" t="n"/>
      <c r="AG100" s="102" t="n"/>
      <c r="AH100" s="102" t="n"/>
      <c r="AI100" s="102" t="n"/>
      <c r="AJ100" s="102" t="n"/>
      <c r="AK100" s="102" t="n"/>
      <c r="AL100" s="102" t="n"/>
      <c r="AM100" s="102" t="n"/>
      <c r="AN100" s="102" t="n"/>
      <c r="AO100" s="102" t="n"/>
      <c r="AP100" s="102" t="n"/>
      <c r="AQ100" s="102" t="n"/>
      <c r="AR100" s="102" t="n"/>
    </row>
    <row r="101">
      <c r="D101" s="102" t="n"/>
      <c r="E101" s="102" t="n"/>
      <c r="F101" s="102" t="n"/>
      <c r="G101" s="102" t="n"/>
      <c r="H101" s="102" t="n"/>
      <c r="I101" s="102" t="n"/>
      <c r="J101" s="102" t="n"/>
      <c r="K101" s="102" t="n"/>
      <c r="L101" s="102" t="n"/>
      <c r="M101" s="102" t="n"/>
      <c r="N101" s="102" t="n"/>
      <c r="O101" s="102" t="n"/>
      <c r="P101" s="102" t="n"/>
      <c r="Q101" s="102" t="n"/>
      <c r="R101" s="102" t="n"/>
      <c r="S101" s="102" t="n"/>
      <c r="T101" s="102" t="n"/>
      <c r="U101" s="102" t="n"/>
      <c r="V101" s="102" t="n"/>
      <c r="W101" s="102" t="n"/>
      <c r="X101" s="102" t="n"/>
      <c r="Y101" s="102" t="n"/>
      <c r="Z101" s="102" t="n"/>
      <c r="AA101" s="102" t="n"/>
      <c r="AB101" s="102" t="n"/>
      <c r="AC101" s="102" t="n"/>
      <c r="AD101" s="102" t="n"/>
      <c r="AE101" s="102" t="n"/>
      <c r="AF101" s="102" t="n"/>
      <c r="AG101" s="102" t="n"/>
      <c r="AH101" s="102" t="n"/>
      <c r="AI101" s="102" t="n"/>
      <c r="AJ101" s="102" t="n"/>
      <c r="AK101" s="102" t="n"/>
      <c r="AL101" s="102" t="n"/>
      <c r="AM101" s="102" t="n"/>
      <c r="AN101" s="102" t="n"/>
      <c r="AO101" s="102" t="n"/>
      <c r="AP101" s="102" t="n"/>
      <c r="AQ101" s="102" t="n"/>
      <c r="AR101" s="102" t="n"/>
    </row>
    <row r="102">
      <c r="D102" s="160" t="n"/>
      <c r="E102" s="160" t="n"/>
      <c r="F102" s="160" t="n"/>
      <c r="G102" s="160" t="n"/>
      <c r="H102" s="160" t="n"/>
      <c r="I102" s="160" t="n"/>
      <c r="J102" s="160" t="n"/>
      <c r="K102" s="160" t="n"/>
      <c r="L102" s="160" t="n"/>
      <c r="M102" s="160" t="n"/>
      <c r="N102" s="160" t="n"/>
      <c r="O102" s="160" t="n"/>
      <c r="P102" s="160" t="n"/>
      <c r="Q102" s="160" t="n"/>
      <c r="R102" s="160" t="n"/>
      <c r="S102" s="160" t="n"/>
      <c r="T102" s="160" t="n"/>
      <c r="U102" s="160" t="n"/>
      <c r="V102" s="160" t="n"/>
      <c r="W102" s="160" t="n"/>
      <c r="X102" s="160" t="n"/>
      <c r="Y102" s="160" t="n"/>
      <c r="Z102" s="160" t="n"/>
      <c r="AA102" s="160" t="n"/>
      <c r="AB102" s="160" t="n"/>
      <c r="AC102" s="160" t="n"/>
      <c r="AD102" s="160" t="n"/>
      <c r="AE102" s="160" t="n"/>
      <c r="AF102" s="160" t="n"/>
      <c r="AG102" s="160" t="n"/>
      <c r="AH102" s="160" t="n"/>
      <c r="AI102" s="160" t="n"/>
      <c r="AJ102" s="160" t="n"/>
      <c r="AK102" s="160" t="n"/>
      <c r="AL102" s="160" t="n"/>
      <c r="AM102" s="160" t="n"/>
      <c r="AN102" s="160" t="n"/>
      <c r="AO102" s="160" t="n"/>
      <c r="AP102" s="160" t="n"/>
      <c r="AQ102" s="160" t="n"/>
      <c r="AR102" s="160" t="n"/>
    </row>
    <row r="105">
      <c r="A105" s="2">
        <f>IF($A98="","","   projections")</f>
        <v/>
      </c>
      <c r="B105" s="158">
        <f>IF($A98="",0,COUNT($E106:$AR106))</f>
        <v/>
      </c>
      <c r="C105" s="159">
        <f>IF($B105=0,0,MAX($E106:$AR106))</f>
        <v/>
      </c>
      <c r="D105" s="101">
        <f>BDS($A98,FLD_PROJ,"headers=y","startcol=1","endcol=3","dir=h")</f>
        <v/>
      </c>
      <c r="E105" s="102" t="n"/>
      <c r="F105" s="102" t="n"/>
      <c r="G105" s="102" t="n"/>
      <c r="H105" s="102" t="n"/>
      <c r="I105" s="102" t="n"/>
      <c r="J105" s="102" t="n"/>
      <c r="K105" s="102" t="n"/>
      <c r="L105" s="102" t="n"/>
      <c r="M105" s="102" t="n"/>
      <c r="N105" s="102" t="n"/>
      <c r="O105" s="102" t="n"/>
      <c r="P105" s="102" t="n"/>
      <c r="Q105" s="102" t="n"/>
      <c r="R105" s="102" t="n"/>
      <c r="S105" s="102" t="n"/>
      <c r="T105" s="102" t="n"/>
      <c r="U105" s="102" t="n"/>
      <c r="V105" s="102" t="n"/>
      <c r="W105" s="102" t="n"/>
      <c r="X105" s="102" t="n"/>
      <c r="Y105" s="102" t="n"/>
      <c r="Z105" s="102" t="n"/>
      <c r="AA105" s="102" t="n"/>
      <c r="AB105" s="102" t="n"/>
      <c r="AC105" s="102" t="n"/>
      <c r="AD105" s="102" t="n"/>
      <c r="AE105" s="102" t="n"/>
      <c r="AF105" s="102" t="n"/>
      <c r="AG105" s="102" t="n"/>
      <c r="AH105" s="102" t="n"/>
      <c r="AI105" s="102" t="n"/>
      <c r="AJ105" s="102" t="n"/>
      <c r="AK105" s="102" t="n"/>
      <c r="AL105" s="102" t="n"/>
      <c r="AM105" s="102" t="n"/>
      <c r="AN105" s="102" t="n"/>
      <c r="AO105" s="102" t="n"/>
      <c r="AP105" s="102" t="n"/>
      <c r="AQ105" s="102" t="n"/>
      <c r="AR105" s="102" t="n"/>
    </row>
    <row r="106">
      <c r="D106" s="102" t="n"/>
      <c r="E106" s="102" t="n"/>
      <c r="F106" s="102" t="n"/>
      <c r="G106" s="102" t="n"/>
      <c r="H106" s="102" t="n"/>
      <c r="I106" s="102" t="n"/>
      <c r="J106" s="102" t="n"/>
      <c r="K106" s="102" t="n"/>
      <c r="L106" s="102" t="n"/>
      <c r="M106" s="102" t="n"/>
      <c r="N106" s="102" t="n"/>
      <c r="O106" s="102" t="n"/>
      <c r="P106" s="102" t="n"/>
      <c r="Q106" s="102" t="n"/>
      <c r="R106" s="102" t="n"/>
      <c r="S106" s="102" t="n"/>
      <c r="T106" s="102" t="n"/>
      <c r="U106" s="102" t="n"/>
      <c r="V106" s="102" t="n"/>
      <c r="W106" s="102" t="n"/>
      <c r="X106" s="102" t="n"/>
      <c r="Y106" s="102" t="n"/>
      <c r="Z106" s="102" t="n"/>
      <c r="AA106" s="102" t="n"/>
      <c r="AB106" s="102" t="n"/>
      <c r="AC106" s="102" t="n"/>
      <c r="AD106" s="102" t="n"/>
      <c r="AE106" s="102" t="n"/>
      <c r="AF106" s="102" t="n"/>
      <c r="AG106" s="102" t="n"/>
      <c r="AH106" s="102" t="n"/>
      <c r="AI106" s="102" t="n"/>
      <c r="AJ106" s="102" t="n"/>
      <c r="AK106" s="102" t="n"/>
      <c r="AL106" s="102" t="n"/>
      <c r="AM106" s="102" t="n"/>
      <c r="AN106" s="102" t="n"/>
      <c r="AO106" s="102" t="n"/>
      <c r="AP106" s="102" t="n"/>
      <c r="AQ106" s="102" t="n"/>
      <c r="AR106" s="102" t="n"/>
    </row>
    <row r="107">
      <c r="D107" s="160" t="n"/>
      <c r="E107" s="160" t="n"/>
      <c r="F107" s="160" t="n"/>
      <c r="G107" s="160" t="n"/>
      <c r="H107" s="160" t="n"/>
      <c r="I107" s="160" t="n"/>
      <c r="J107" s="160" t="n"/>
      <c r="K107" s="160" t="n"/>
      <c r="L107" s="160" t="n"/>
      <c r="M107" s="160" t="n"/>
      <c r="N107" s="160" t="n"/>
      <c r="O107" s="160" t="n"/>
      <c r="P107" s="160" t="n"/>
      <c r="Q107" s="160" t="n"/>
      <c r="R107" s="160" t="n"/>
      <c r="S107" s="160" t="n"/>
      <c r="T107" s="160" t="n"/>
      <c r="U107" s="160" t="n"/>
      <c r="V107" s="160" t="n"/>
      <c r="W107" s="160" t="n"/>
      <c r="X107" s="160" t="n"/>
      <c r="Y107" s="160" t="n"/>
      <c r="Z107" s="160" t="n"/>
      <c r="AA107" s="160" t="n"/>
      <c r="AB107" s="160" t="n"/>
      <c r="AC107" s="160" t="n"/>
      <c r="AD107" s="160" t="n"/>
      <c r="AE107" s="160" t="n"/>
      <c r="AF107" s="160" t="n"/>
      <c r="AG107" s="160" t="n"/>
      <c r="AH107" s="160" t="n"/>
      <c r="AI107" s="160" t="n"/>
      <c r="AJ107" s="160" t="n"/>
      <c r="AK107" s="160" t="n"/>
      <c r="AL107" s="160" t="n"/>
      <c r="AM107" s="160" t="n"/>
      <c r="AN107" s="160" t="n"/>
      <c r="AO107" s="160" t="n"/>
      <c r="AP107" s="160" t="n"/>
      <c r="AQ107" s="160" t="n"/>
      <c r="AR107" s="160" t="n"/>
    </row>
    <row r="109">
      <c r="A109" s="8">
        <f>IF(HSI!$C$16="","",HSI!$C$16)</f>
        <v/>
      </c>
      <c r="B109" s="158">
        <f>IF($A109="",0,COUNT($E110:$AR110))</f>
        <v/>
      </c>
      <c r="C109" s="159">
        <f>IF($B109=0,0,MAX($E110:$AR110))</f>
        <v/>
      </c>
      <c r="D109" s="101">
        <f>BDS($A109,FLD_HIST,"headers=y","startcol=1","endcol=7","dir=h","DVD_START_DT",HIST_FROM,"DVD_END_DT",HIST_TO)</f>
        <v/>
      </c>
      <c r="E109" s="102" t="n"/>
      <c r="F109" s="102" t="n"/>
      <c r="G109" s="102" t="n"/>
      <c r="H109" s="102" t="n"/>
      <c r="I109" s="102" t="n"/>
      <c r="J109" s="102" t="n"/>
      <c r="K109" s="102" t="n"/>
      <c r="L109" s="102" t="n"/>
      <c r="M109" s="102" t="n"/>
      <c r="N109" s="102" t="n"/>
      <c r="O109" s="102" t="n"/>
      <c r="P109" s="102" t="n"/>
      <c r="Q109" s="102" t="n"/>
      <c r="R109" s="102" t="n"/>
      <c r="S109" s="102" t="n"/>
      <c r="T109" s="102" t="n"/>
      <c r="U109" s="102" t="n"/>
      <c r="V109" s="102" t="n"/>
      <c r="W109" s="102" t="n"/>
      <c r="X109" s="102" t="n"/>
      <c r="Y109" s="102" t="n"/>
      <c r="Z109" s="102" t="n"/>
      <c r="AA109" s="102" t="n"/>
      <c r="AB109" s="102" t="n"/>
      <c r="AC109" s="102" t="n"/>
      <c r="AD109" s="102" t="n"/>
      <c r="AE109" s="102" t="n"/>
      <c r="AF109" s="102" t="n"/>
      <c r="AG109" s="102" t="n"/>
      <c r="AH109" s="102" t="n"/>
      <c r="AI109" s="102" t="n"/>
      <c r="AJ109" s="102" t="n"/>
      <c r="AK109" s="102" t="n"/>
      <c r="AL109" s="102" t="n"/>
      <c r="AM109" s="102" t="n"/>
      <c r="AN109" s="102" t="n"/>
      <c r="AO109" s="102" t="n"/>
      <c r="AP109" s="102" t="n"/>
      <c r="AQ109" s="102" t="n"/>
      <c r="AR109" s="102" t="n"/>
    </row>
    <row r="110">
      <c r="D110" s="102" t="n"/>
      <c r="E110" s="102" t="n"/>
      <c r="F110" s="102" t="n"/>
      <c r="G110" s="102" t="n"/>
      <c r="H110" s="102" t="n"/>
      <c r="I110" s="102" t="n"/>
      <c r="J110" s="102" t="n"/>
      <c r="K110" s="102" t="n"/>
      <c r="L110" s="102" t="n"/>
      <c r="M110" s="102" t="n"/>
      <c r="N110" s="102" t="n"/>
      <c r="O110" s="102" t="n"/>
      <c r="P110" s="102" t="n"/>
      <c r="Q110" s="102" t="n"/>
      <c r="R110" s="102" t="n"/>
      <c r="S110" s="102" t="n"/>
      <c r="T110" s="102" t="n"/>
      <c r="U110" s="102" t="n"/>
      <c r="V110" s="102" t="n"/>
      <c r="W110" s="102" t="n"/>
      <c r="X110" s="102" t="n"/>
      <c r="Y110" s="102" t="n"/>
      <c r="Z110" s="102" t="n"/>
      <c r="AA110" s="102" t="n"/>
      <c r="AB110" s="102" t="n"/>
      <c r="AC110" s="102" t="n"/>
      <c r="AD110" s="102" t="n"/>
      <c r="AE110" s="102" t="n"/>
      <c r="AF110" s="102" t="n"/>
      <c r="AG110" s="102" t="n"/>
      <c r="AH110" s="102" t="n"/>
      <c r="AI110" s="102" t="n"/>
      <c r="AJ110" s="102" t="n"/>
      <c r="AK110" s="102" t="n"/>
      <c r="AL110" s="102" t="n"/>
      <c r="AM110" s="102" t="n"/>
      <c r="AN110" s="102" t="n"/>
      <c r="AO110" s="102" t="n"/>
      <c r="AP110" s="102" t="n"/>
      <c r="AQ110" s="102" t="n"/>
      <c r="AR110" s="102" t="n"/>
    </row>
    <row r="111">
      <c r="D111" s="102" t="n"/>
      <c r="E111" s="102" t="n"/>
      <c r="F111" s="102" t="n"/>
      <c r="G111" s="102" t="n"/>
      <c r="H111" s="102" t="n"/>
      <c r="I111" s="102" t="n"/>
      <c r="J111" s="102" t="n"/>
      <c r="K111" s="102" t="n"/>
      <c r="L111" s="102" t="n"/>
      <c r="M111" s="102" t="n"/>
      <c r="N111" s="102" t="n"/>
      <c r="O111" s="102" t="n"/>
      <c r="P111" s="102" t="n"/>
      <c r="Q111" s="102" t="n"/>
      <c r="R111" s="102" t="n"/>
      <c r="S111" s="102" t="n"/>
      <c r="T111" s="102" t="n"/>
      <c r="U111" s="102" t="n"/>
      <c r="V111" s="102" t="n"/>
      <c r="W111" s="102" t="n"/>
      <c r="X111" s="102" t="n"/>
      <c r="Y111" s="102" t="n"/>
      <c r="Z111" s="102" t="n"/>
      <c r="AA111" s="102" t="n"/>
      <c r="AB111" s="102" t="n"/>
      <c r="AC111" s="102" t="n"/>
      <c r="AD111" s="102" t="n"/>
      <c r="AE111" s="102" t="n"/>
      <c r="AF111" s="102" t="n"/>
      <c r="AG111" s="102" t="n"/>
      <c r="AH111" s="102" t="n"/>
      <c r="AI111" s="102" t="n"/>
      <c r="AJ111" s="102" t="n"/>
      <c r="AK111" s="102" t="n"/>
      <c r="AL111" s="102" t="n"/>
      <c r="AM111" s="102" t="n"/>
      <c r="AN111" s="102" t="n"/>
      <c r="AO111" s="102" t="n"/>
      <c r="AP111" s="102" t="n"/>
      <c r="AQ111" s="102" t="n"/>
      <c r="AR111" s="102" t="n"/>
    </row>
    <row r="112">
      <c r="D112" s="102" t="n"/>
      <c r="E112" s="102" t="n"/>
      <c r="F112" s="102" t="n"/>
      <c r="G112" s="102" t="n"/>
      <c r="H112" s="102" t="n"/>
      <c r="I112" s="102" t="n"/>
      <c r="J112" s="102" t="n"/>
      <c r="K112" s="102" t="n"/>
      <c r="L112" s="102" t="n"/>
      <c r="M112" s="102" t="n"/>
      <c r="N112" s="102" t="n"/>
      <c r="O112" s="102" t="n"/>
      <c r="P112" s="102" t="n"/>
      <c r="Q112" s="102" t="n"/>
      <c r="R112" s="102" t="n"/>
      <c r="S112" s="102" t="n"/>
      <c r="T112" s="102" t="n"/>
      <c r="U112" s="102" t="n"/>
      <c r="V112" s="102" t="n"/>
      <c r="W112" s="102" t="n"/>
      <c r="X112" s="102" t="n"/>
      <c r="Y112" s="102" t="n"/>
      <c r="Z112" s="102" t="n"/>
      <c r="AA112" s="102" t="n"/>
      <c r="AB112" s="102" t="n"/>
      <c r="AC112" s="102" t="n"/>
      <c r="AD112" s="102" t="n"/>
      <c r="AE112" s="102" t="n"/>
      <c r="AF112" s="102" t="n"/>
      <c r="AG112" s="102" t="n"/>
      <c r="AH112" s="102" t="n"/>
      <c r="AI112" s="102" t="n"/>
      <c r="AJ112" s="102" t="n"/>
      <c r="AK112" s="102" t="n"/>
      <c r="AL112" s="102" t="n"/>
      <c r="AM112" s="102" t="n"/>
      <c r="AN112" s="102" t="n"/>
      <c r="AO112" s="102" t="n"/>
      <c r="AP112" s="102" t="n"/>
      <c r="AQ112" s="102" t="n"/>
      <c r="AR112" s="102" t="n"/>
    </row>
    <row r="113">
      <c r="D113" s="160" t="n"/>
      <c r="E113" s="160" t="n"/>
      <c r="F113" s="160" t="n"/>
      <c r="G113" s="160" t="n"/>
      <c r="H113" s="160" t="n"/>
      <c r="I113" s="160" t="n"/>
      <c r="J113" s="160" t="n"/>
      <c r="K113" s="160" t="n"/>
      <c r="L113" s="160" t="n"/>
      <c r="M113" s="160" t="n"/>
      <c r="N113" s="160" t="n"/>
      <c r="O113" s="160" t="n"/>
      <c r="P113" s="160" t="n"/>
      <c r="Q113" s="160" t="n"/>
      <c r="R113" s="160" t="n"/>
      <c r="S113" s="160" t="n"/>
      <c r="T113" s="160" t="n"/>
      <c r="U113" s="160" t="n"/>
      <c r="V113" s="160" t="n"/>
      <c r="W113" s="160" t="n"/>
      <c r="X113" s="160" t="n"/>
      <c r="Y113" s="160" t="n"/>
      <c r="Z113" s="160" t="n"/>
      <c r="AA113" s="160" t="n"/>
      <c r="AB113" s="160" t="n"/>
      <c r="AC113" s="160" t="n"/>
      <c r="AD113" s="160" t="n"/>
      <c r="AE113" s="160" t="n"/>
      <c r="AF113" s="160" t="n"/>
      <c r="AG113" s="160" t="n"/>
      <c r="AH113" s="160" t="n"/>
      <c r="AI113" s="160" t="n"/>
      <c r="AJ113" s="160" t="n"/>
      <c r="AK113" s="160" t="n"/>
      <c r="AL113" s="160" t="n"/>
      <c r="AM113" s="160" t="n"/>
      <c r="AN113" s="160" t="n"/>
      <c r="AO113" s="160" t="n"/>
      <c r="AP113" s="160" t="n"/>
      <c r="AQ113" s="160" t="n"/>
      <c r="AR113" s="160" t="n"/>
    </row>
    <row r="116">
      <c r="A116" s="2">
        <f>IF($A109="","","   projections")</f>
        <v/>
      </c>
      <c r="B116" s="158">
        <f>IF($A109="",0,COUNT($E117:$AR117))</f>
        <v/>
      </c>
      <c r="C116" s="159">
        <f>IF($B116=0,0,MAX($E117:$AR117))</f>
        <v/>
      </c>
      <c r="D116" s="101">
        <f>BDS($A109,FLD_PROJ,"headers=y","startcol=1","endcol=3","dir=h")</f>
        <v/>
      </c>
      <c r="E116" s="102" t="n"/>
      <c r="F116" s="102" t="n"/>
      <c r="G116" s="102" t="n"/>
      <c r="H116" s="102" t="n"/>
      <c r="I116" s="102" t="n"/>
      <c r="J116" s="102" t="n"/>
      <c r="K116" s="102" t="n"/>
      <c r="L116" s="102" t="n"/>
      <c r="M116" s="102" t="n"/>
      <c r="N116" s="102" t="n"/>
      <c r="O116" s="102" t="n"/>
      <c r="P116" s="102" t="n"/>
      <c r="Q116" s="102" t="n"/>
      <c r="R116" s="102" t="n"/>
      <c r="S116" s="102" t="n"/>
      <c r="T116" s="102" t="n"/>
      <c r="U116" s="102" t="n"/>
      <c r="V116" s="102" t="n"/>
      <c r="W116" s="102" t="n"/>
      <c r="X116" s="102" t="n"/>
      <c r="Y116" s="102" t="n"/>
      <c r="Z116" s="102" t="n"/>
      <c r="AA116" s="102" t="n"/>
      <c r="AB116" s="102" t="n"/>
      <c r="AC116" s="102" t="n"/>
      <c r="AD116" s="102" t="n"/>
      <c r="AE116" s="102" t="n"/>
      <c r="AF116" s="102" t="n"/>
      <c r="AG116" s="102" t="n"/>
      <c r="AH116" s="102" t="n"/>
      <c r="AI116" s="102" t="n"/>
      <c r="AJ116" s="102" t="n"/>
      <c r="AK116" s="102" t="n"/>
      <c r="AL116" s="102" t="n"/>
      <c r="AM116" s="102" t="n"/>
      <c r="AN116" s="102" t="n"/>
      <c r="AO116" s="102" t="n"/>
      <c r="AP116" s="102" t="n"/>
      <c r="AQ116" s="102" t="n"/>
      <c r="AR116" s="102" t="n"/>
    </row>
    <row r="117">
      <c r="D117" s="102" t="n"/>
      <c r="E117" s="102" t="n"/>
      <c r="F117" s="102" t="n"/>
      <c r="G117" s="102" t="n"/>
      <c r="H117" s="102" t="n"/>
      <c r="I117" s="102" t="n"/>
      <c r="J117" s="102" t="n"/>
      <c r="K117" s="102" t="n"/>
      <c r="L117" s="102" t="n"/>
      <c r="M117" s="102" t="n"/>
      <c r="N117" s="102" t="n"/>
      <c r="O117" s="102" t="n"/>
      <c r="P117" s="102" t="n"/>
      <c r="Q117" s="102" t="n"/>
      <c r="R117" s="102" t="n"/>
      <c r="S117" s="102" t="n"/>
      <c r="T117" s="102" t="n"/>
      <c r="U117" s="102" t="n"/>
      <c r="V117" s="102" t="n"/>
      <c r="W117" s="102" t="n"/>
      <c r="X117" s="102" t="n"/>
      <c r="Y117" s="102" t="n"/>
      <c r="Z117" s="102" t="n"/>
      <c r="AA117" s="102" t="n"/>
      <c r="AB117" s="102" t="n"/>
      <c r="AC117" s="102" t="n"/>
      <c r="AD117" s="102" t="n"/>
      <c r="AE117" s="102" t="n"/>
      <c r="AF117" s="102" t="n"/>
      <c r="AG117" s="102" t="n"/>
      <c r="AH117" s="102" t="n"/>
      <c r="AI117" s="102" t="n"/>
      <c r="AJ117" s="102" t="n"/>
      <c r="AK117" s="102" t="n"/>
      <c r="AL117" s="102" t="n"/>
      <c r="AM117" s="102" t="n"/>
      <c r="AN117" s="102" t="n"/>
      <c r="AO117" s="102" t="n"/>
      <c r="AP117" s="102" t="n"/>
      <c r="AQ117" s="102" t="n"/>
      <c r="AR117" s="102" t="n"/>
    </row>
    <row r="118">
      <c r="D118" s="160" t="n"/>
      <c r="E118" s="160" t="n"/>
      <c r="F118" s="160" t="n"/>
      <c r="G118" s="160" t="n"/>
      <c r="H118" s="160" t="n"/>
      <c r="I118" s="160" t="n"/>
      <c r="J118" s="160" t="n"/>
      <c r="K118" s="160" t="n"/>
      <c r="L118" s="160" t="n"/>
      <c r="M118" s="160" t="n"/>
      <c r="N118" s="160" t="n"/>
      <c r="O118" s="160" t="n"/>
      <c r="P118" s="160" t="n"/>
      <c r="Q118" s="160" t="n"/>
      <c r="R118" s="160" t="n"/>
      <c r="S118" s="160" t="n"/>
      <c r="T118" s="160" t="n"/>
      <c r="U118" s="160" t="n"/>
      <c r="V118" s="160" t="n"/>
      <c r="W118" s="160" t="n"/>
      <c r="X118" s="160" t="n"/>
      <c r="Y118" s="160" t="n"/>
      <c r="Z118" s="160" t="n"/>
      <c r="AA118" s="160" t="n"/>
      <c r="AB118" s="160" t="n"/>
      <c r="AC118" s="160" t="n"/>
      <c r="AD118" s="160" t="n"/>
      <c r="AE118" s="160" t="n"/>
      <c r="AF118" s="160" t="n"/>
      <c r="AG118" s="160" t="n"/>
      <c r="AH118" s="160" t="n"/>
      <c r="AI118" s="160" t="n"/>
      <c r="AJ118" s="160" t="n"/>
      <c r="AK118" s="160" t="n"/>
      <c r="AL118" s="160" t="n"/>
      <c r="AM118" s="160" t="n"/>
      <c r="AN118" s="160" t="n"/>
      <c r="AO118" s="160" t="n"/>
      <c r="AP118" s="160" t="n"/>
      <c r="AQ118" s="160" t="n"/>
      <c r="AR118" s="160" t="n"/>
    </row>
    <row r="120">
      <c r="A120" s="8">
        <f>IF(HSI!$C$17="","",HSI!$C$17)</f>
        <v/>
      </c>
      <c r="B120" s="158">
        <f>IF($A120="",0,COUNT($E121:$AR121))</f>
        <v/>
      </c>
      <c r="C120" s="159">
        <f>IF($B120=0,0,MAX($E121:$AR121))</f>
        <v/>
      </c>
      <c r="D120" s="101">
        <f>BDS($A120,FLD_HIST,"headers=y","startcol=1","endcol=7","dir=h","DVD_START_DT",HIST_FROM,"DVD_END_DT",HIST_TO)</f>
        <v/>
      </c>
      <c r="E120" s="102" t="n"/>
      <c r="F120" s="102" t="n"/>
      <c r="G120" s="102" t="n"/>
      <c r="H120" s="102" t="n"/>
      <c r="I120" s="102" t="n"/>
      <c r="J120" s="102" t="n"/>
      <c r="K120" s="102" t="n"/>
      <c r="L120" s="102" t="n"/>
      <c r="M120" s="102" t="n"/>
      <c r="N120" s="102" t="n"/>
      <c r="O120" s="102" t="n"/>
      <c r="P120" s="102" t="n"/>
      <c r="Q120" s="102" t="n"/>
      <c r="R120" s="102" t="n"/>
      <c r="S120" s="102" t="n"/>
      <c r="T120" s="102" t="n"/>
      <c r="U120" s="102" t="n"/>
      <c r="V120" s="102" t="n"/>
      <c r="W120" s="102" t="n"/>
      <c r="X120" s="102" t="n"/>
      <c r="Y120" s="102" t="n"/>
      <c r="Z120" s="102" t="n"/>
      <c r="AA120" s="102" t="n"/>
      <c r="AB120" s="102" t="n"/>
      <c r="AC120" s="102" t="n"/>
      <c r="AD120" s="102" t="n"/>
      <c r="AE120" s="102" t="n"/>
      <c r="AF120" s="102" t="n"/>
      <c r="AG120" s="102" t="n"/>
      <c r="AH120" s="102" t="n"/>
      <c r="AI120" s="102" t="n"/>
      <c r="AJ120" s="102" t="n"/>
      <c r="AK120" s="102" t="n"/>
      <c r="AL120" s="102" t="n"/>
      <c r="AM120" s="102" t="n"/>
      <c r="AN120" s="102" t="n"/>
      <c r="AO120" s="102" t="n"/>
      <c r="AP120" s="102" t="n"/>
      <c r="AQ120" s="102" t="n"/>
      <c r="AR120" s="102" t="n"/>
    </row>
    <row r="121">
      <c r="D121" s="102" t="n"/>
      <c r="E121" s="102" t="n"/>
      <c r="F121" s="102" t="n"/>
      <c r="G121" s="102" t="n"/>
      <c r="H121" s="102" t="n"/>
      <c r="I121" s="102" t="n"/>
      <c r="J121" s="102" t="n"/>
      <c r="K121" s="102" t="n"/>
      <c r="L121" s="102" t="n"/>
      <c r="M121" s="102" t="n"/>
      <c r="N121" s="102" t="n"/>
      <c r="O121" s="102" t="n"/>
      <c r="P121" s="102" t="n"/>
      <c r="Q121" s="102" t="n"/>
      <c r="R121" s="102" t="n"/>
      <c r="S121" s="102" t="n"/>
      <c r="T121" s="102" t="n"/>
      <c r="U121" s="102" t="n"/>
      <c r="V121" s="102" t="n"/>
      <c r="W121" s="102" t="n"/>
      <c r="X121" s="102" t="n"/>
      <c r="Y121" s="102" t="n"/>
      <c r="Z121" s="102" t="n"/>
      <c r="AA121" s="102" t="n"/>
      <c r="AB121" s="102" t="n"/>
      <c r="AC121" s="102" t="n"/>
      <c r="AD121" s="102" t="n"/>
      <c r="AE121" s="102" t="n"/>
      <c r="AF121" s="102" t="n"/>
      <c r="AG121" s="102" t="n"/>
      <c r="AH121" s="102" t="n"/>
      <c r="AI121" s="102" t="n"/>
      <c r="AJ121" s="102" t="n"/>
      <c r="AK121" s="102" t="n"/>
      <c r="AL121" s="102" t="n"/>
      <c r="AM121" s="102" t="n"/>
      <c r="AN121" s="102" t="n"/>
      <c r="AO121" s="102" t="n"/>
      <c r="AP121" s="102" t="n"/>
      <c r="AQ121" s="102" t="n"/>
      <c r="AR121" s="102" t="n"/>
    </row>
    <row r="122">
      <c r="D122" s="102" t="n"/>
      <c r="E122" s="102" t="n"/>
      <c r="F122" s="102" t="n"/>
      <c r="G122" s="102" t="n"/>
      <c r="H122" s="102" t="n"/>
      <c r="I122" s="102" t="n"/>
      <c r="J122" s="102" t="n"/>
      <c r="K122" s="102" t="n"/>
      <c r="L122" s="102" t="n"/>
      <c r="M122" s="102" t="n"/>
      <c r="N122" s="102" t="n"/>
      <c r="O122" s="102" t="n"/>
      <c r="P122" s="102" t="n"/>
      <c r="Q122" s="102" t="n"/>
      <c r="R122" s="102" t="n"/>
      <c r="S122" s="102" t="n"/>
      <c r="T122" s="102" t="n"/>
      <c r="U122" s="102" t="n"/>
      <c r="V122" s="102" t="n"/>
      <c r="W122" s="102" t="n"/>
      <c r="X122" s="102" t="n"/>
      <c r="Y122" s="102" t="n"/>
      <c r="Z122" s="102" t="n"/>
      <c r="AA122" s="102" t="n"/>
      <c r="AB122" s="102" t="n"/>
      <c r="AC122" s="102" t="n"/>
      <c r="AD122" s="102" t="n"/>
      <c r="AE122" s="102" t="n"/>
      <c r="AF122" s="102" t="n"/>
      <c r="AG122" s="102" t="n"/>
      <c r="AH122" s="102" t="n"/>
      <c r="AI122" s="102" t="n"/>
      <c r="AJ122" s="102" t="n"/>
      <c r="AK122" s="102" t="n"/>
      <c r="AL122" s="102" t="n"/>
      <c r="AM122" s="102" t="n"/>
      <c r="AN122" s="102" t="n"/>
      <c r="AO122" s="102" t="n"/>
      <c r="AP122" s="102" t="n"/>
      <c r="AQ122" s="102" t="n"/>
      <c r="AR122" s="102" t="n"/>
    </row>
    <row r="123">
      <c r="D123" s="102" t="n"/>
      <c r="E123" s="102" t="n"/>
      <c r="F123" s="102" t="n"/>
      <c r="G123" s="102" t="n"/>
      <c r="H123" s="102" t="n"/>
      <c r="I123" s="102" t="n"/>
      <c r="J123" s="102" t="n"/>
      <c r="K123" s="102" t="n"/>
      <c r="L123" s="102" t="n"/>
      <c r="M123" s="102" t="n"/>
      <c r="N123" s="102" t="n"/>
      <c r="O123" s="102" t="n"/>
      <c r="P123" s="102" t="n"/>
      <c r="Q123" s="102" t="n"/>
      <c r="R123" s="102" t="n"/>
      <c r="S123" s="102" t="n"/>
      <c r="T123" s="102" t="n"/>
      <c r="U123" s="102" t="n"/>
      <c r="V123" s="102" t="n"/>
      <c r="W123" s="102" t="n"/>
      <c r="X123" s="102" t="n"/>
      <c r="Y123" s="102" t="n"/>
      <c r="Z123" s="102" t="n"/>
      <c r="AA123" s="102" t="n"/>
      <c r="AB123" s="102" t="n"/>
      <c r="AC123" s="102" t="n"/>
      <c r="AD123" s="102" t="n"/>
      <c r="AE123" s="102" t="n"/>
      <c r="AF123" s="102" t="n"/>
      <c r="AG123" s="102" t="n"/>
      <c r="AH123" s="102" t="n"/>
      <c r="AI123" s="102" t="n"/>
      <c r="AJ123" s="102" t="n"/>
      <c r="AK123" s="102" t="n"/>
      <c r="AL123" s="102" t="n"/>
      <c r="AM123" s="102" t="n"/>
      <c r="AN123" s="102" t="n"/>
      <c r="AO123" s="102" t="n"/>
      <c r="AP123" s="102" t="n"/>
      <c r="AQ123" s="102" t="n"/>
      <c r="AR123" s="102" t="n"/>
    </row>
    <row r="124">
      <c r="D124" s="160" t="n"/>
      <c r="E124" s="160" t="n"/>
      <c r="F124" s="160" t="n"/>
      <c r="G124" s="160" t="n"/>
      <c r="H124" s="160" t="n"/>
      <c r="I124" s="160" t="n"/>
      <c r="J124" s="160" t="n"/>
      <c r="K124" s="160" t="n"/>
      <c r="L124" s="160" t="n"/>
      <c r="M124" s="160" t="n"/>
      <c r="N124" s="160" t="n"/>
      <c r="O124" s="160" t="n"/>
      <c r="P124" s="160" t="n"/>
      <c r="Q124" s="160" t="n"/>
      <c r="R124" s="160" t="n"/>
      <c r="S124" s="160" t="n"/>
      <c r="T124" s="160" t="n"/>
      <c r="U124" s="160" t="n"/>
      <c r="V124" s="160" t="n"/>
      <c r="W124" s="160" t="n"/>
      <c r="X124" s="160" t="n"/>
      <c r="Y124" s="160" t="n"/>
      <c r="Z124" s="160" t="n"/>
      <c r="AA124" s="160" t="n"/>
      <c r="AB124" s="160" t="n"/>
      <c r="AC124" s="160" t="n"/>
      <c r="AD124" s="160" t="n"/>
      <c r="AE124" s="160" t="n"/>
      <c r="AF124" s="160" t="n"/>
      <c r="AG124" s="160" t="n"/>
      <c r="AH124" s="160" t="n"/>
      <c r="AI124" s="160" t="n"/>
      <c r="AJ124" s="160" t="n"/>
      <c r="AK124" s="160" t="n"/>
      <c r="AL124" s="160" t="n"/>
      <c r="AM124" s="160" t="n"/>
      <c r="AN124" s="160" t="n"/>
      <c r="AO124" s="160" t="n"/>
      <c r="AP124" s="160" t="n"/>
      <c r="AQ124" s="160" t="n"/>
      <c r="AR124" s="160" t="n"/>
    </row>
    <row r="127">
      <c r="A127" s="2">
        <f>IF($A120="","","   projections")</f>
        <v/>
      </c>
      <c r="B127" s="158">
        <f>IF($A120="",0,COUNT($E128:$AR128))</f>
        <v/>
      </c>
      <c r="C127" s="159">
        <f>IF($B127=0,0,MAX($E128:$AR128))</f>
        <v/>
      </c>
      <c r="D127" s="101">
        <f>BDS($A120,FLD_PROJ,"headers=y","startcol=1","endcol=3","dir=h")</f>
        <v/>
      </c>
      <c r="E127" s="102" t="n"/>
      <c r="F127" s="102" t="n"/>
      <c r="G127" s="102" t="n"/>
      <c r="H127" s="102" t="n"/>
      <c r="I127" s="102" t="n"/>
      <c r="J127" s="102" t="n"/>
      <c r="K127" s="102" t="n"/>
      <c r="L127" s="102" t="n"/>
      <c r="M127" s="102" t="n"/>
      <c r="N127" s="102" t="n"/>
      <c r="O127" s="102" t="n"/>
      <c r="P127" s="102" t="n"/>
      <c r="Q127" s="102" t="n"/>
      <c r="R127" s="102" t="n"/>
      <c r="S127" s="102" t="n"/>
      <c r="T127" s="102" t="n"/>
      <c r="U127" s="102" t="n"/>
      <c r="V127" s="102" t="n"/>
      <c r="W127" s="102" t="n"/>
      <c r="X127" s="102" t="n"/>
      <c r="Y127" s="102" t="n"/>
      <c r="Z127" s="102" t="n"/>
      <c r="AA127" s="102" t="n"/>
      <c r="AB127" s="102" t="n"/>
      <c r="AC127" s="102" t="n"/>
      <c r="AD127" s="102" t="n"/>
      <c r="AE127" s="102" t="n"/>
      <c r="AF127" s="102" t="n"/>
      <c r="AG127" s="102" t="n"/>
      <c r="AH127" s="102" t="n"/>
      <c r="AI127" s="102" t="n"/>
      <c r="AJ127" s="102" t="n"/>
      <c r="AK127" s="102" t="n"/>
      <c r="AL127" s="102" t="n"/>
      <c r="AM127" s="102" t="n"/>
      <c r="AN127" s="102" t="n"/>
      <c r="AO127" s="102" t="n"/>
      <c r="AP127" s="102" t="n"/>
      <c r="AQ127" s="102" t="n"/>
      <c r="AR127" s="102" t="n"/>
    </row>
    <row r="128">
      <c r="D128" s="102" t="n"/>
      <c r="E128" s="102" t="n"/>
      <c r="F128" s="102" t="n"/>
      <c r="G128" s="102" t="n"/>
      <c r="H128" s="102" t="n"/>
      <c r="I128" s="102" t="n"/>
      <c r="J128" s="102" t="n"/>
      <c r="K128" s="102" t="n"/>
      <c r="L128" s="102" t="n"/>
      <c r="M128" s="102" t="n"/>
      <c r="N128" s="102" t="n"/>
      <c r="O128" s="102" t="n"/>
      <c r="P128" s="102" t="n"/>
      <c r="Q128" s="102" t="n"/>
      <c r="R128" s="102" t="n"/>
      <c r="S128" s="102" t="n"/>
      <c r="T128" s="102" t="n"/>
      <c r="U128" s="102" t="n"/>
      <c r="V128" s="102" t="n"/>
      <c r="W128" s="102" t="n"/>
      <c r="X128" s="102" t="n"/>
      <c r="Y128" s="102" t="n"/>
      <c r="Z128" s="102" t="n"/>
      <c r="AA128" s="102" t="n"/>
      <c r="AB128" s="102" t="n"/>
      <c r="AC128" s="102" t="n"/>
      <c r="AD128" s="102" t="n"/>
      <c r="AE128" s="102" t="n"/>
      <c r="AF128" s="102" t="n"/>
      <c r="AG128" s="102" t="n"/>
      <c r="AH128" s="102" t="n"/>
      <c r="AI128" s="102" t="n"/>
      <c r="AJ128" s="102" t="n"/>
      <c r="AK128" s="102" t="n"/>
      <c r="AL128" s="102" t="n"/>
      <c r="AM128" s="102" t="n"/>
      <c r="AN128" s="102" t="n"/>
      <c r="AO128" s="102" t="n"/>
      <c r="AP128" s="102" t="n"/>
      <c r="AQ128" s="102" t="n"/>
      <c r="AR128" s="102" t="n"/>
    </row>
    <row r="129">
      <c r="D129" s="160" t="n"/>
      <c r="E129" s="160" t="n"/>
      <c r="F129" s="160" t="n"/>
      <c r="G129" s="160" t="n"/>
      <c r="H129" s="160" t="n"/>
      <c r="I129" s="160" t="n"/>
      <c r="J129" s="160" t="n"/>
      <c r="K129" s="160" t="n"/>
      <c r="L129" s="160" t="n"/>
      <c r="M129" s="160" t="n"/>
      <c r="N129" s="160" t="n"/>
      <c r="O129" s="160" t="n"/>
      <c r="P129" s="160" t="n"/>
      <c r="Q129" s="160" t="n"/>
      <c r="R129" s="160" t="n"/>
      <c r="S129" s="160" t="n"/>
      <c r="T129" s="160" t="n"/>
      <c r="U129" s="160" t="n"/>
      <c r="V129" s="160" t="n"/>
      <c r="W129" s="160" t="n"/>
      <c r="X129" s="160" t="n"/>
      <c r="Y129" s="160" t="n"/>
      <c r="Z129" s="160" t="n"/>
      <c r="AA129" s="160" t="n"/>
      <c r="AB129" s="160" t="n"/>
      <c r="AC129" s="160" t="n"/>
      <c r="AD129" s="160" t="n"/>
      <c r="AE129" s="160" t="n"/>
      <c r="AF129" s="160" t="n"/>
      <c r="AG129" s="160" t="n"/>
      <c r="AH129" s="160" t="n"/>
      <c r="AI129" s="160" t="n"/>
      <c r="AJ129" s="160" t="n"/>
      <c r="AK129" s="160" t="n"/>
      <c r="AL129" s="160" t="n"/>
      <c r="AM129" s="160" t="n"/>
      <c r="AN129" s="160" t="n"/>
      <c r="AO129" s="160" t="n"/>
      <c r="AP129" s="160" t="n"/>
      <c r="AQ129" s="160" t="n"/>
      <c r="AR129" s="160" t="n"/>
    </row>
    <row r="131">
      <c r="A131" s="8">
        <f>IF(HSI!$C$18="","",HSI!$C$18)</f>
        <v/>
      </c>
      <c r="B131" s="158">
        <f>IF($A131="",0,COUNT($E132:$AR132))</f>
        <v/>
      </c>
      <c r="C131" s="159">
        <f>IF($B131=0,0,MAX($E132:$AR132))</f>
        <v/>
      </c>
      <c r="D131" s="101">
        <f>BDS($A131,FLD_HIST,"headers=y","startcol=1","endcol=7","dir=h","DVD_START_DT",HIST_FROM,"DVD_END_DT",HIST_TO)</f>
        <v/>
      </c>
      <c r="E131" s="102" t="n"/>
      <c r="F131" s="102" t="n"/>
      <c r="G131" s="102" t="n"/>
      <c r="H131" s="102" t="n"/>
      <c r="I131" s="102" t="n"/>
      <c r="J131" s="102" t="n"/>
      <c r="K131" s="102" t="n"/>
      <c r="L131" s="102" t="n"/>
      <c r="M131" s="102" t="n"/>
      <c r="N131" s="102" t="n"/>
      <c r="O131" s="102" t="n"/>
      <c r="P131" s="102" t="n"/>
      <c r="Q131" s="102" t="n"/>
      <c r="R131" s="102" t="n"/>
      <c r="S131" s="102" t="n"/>
      <c r="T131" s="102" t="n"/>
      <c r="U131" s="102" t="n"/>
      <c r="V131" s="102" t="n"/>
      <c r="W131" s="102" t="n"/>
      <c r="X131" s="102" t="n"/>
      <c r="Y131" s="102" t="n"/>
      <c r="Z131" s="102" t="n"/>
      <c r="AA131" s="102" t="n"/>
      <c r="AB131" s="102" t="n"/>
      <c r="AC131" s="102" t="n"/>
      <c r="AD131" s="102" t="n"/>
      <c r="AE131" s="102" t="n"/>
      <c r="AF131" s="102" t="n"/>
      <c r="AG131" s="102" t="n"/>
      <c r="AH131" s="102" t="n"/>
      <c r="AI131" s="102" t="n"/>
      <c r="AJ131" s="102" t="n"/>
      <c r="AK131" s="102" t="n"/>
      <c r="AL131" s="102" t="n"/>
      <c r="AM131" s="102" t="n"/>
      <c r="AN131" s="102" t="n"/>
      <c r="AO131" s="102" t="n"/>
      <c r="AP131" s="102" t="n"/>
      <c r="AQ131" s="102" t="n"/>
      <c r="AR131" s="102" t="n"/>
    </row>
    <row r="132">
      <c r="D132" s="102" t="n"/>
      <c r="E132" s="102" t="n"/>
      <c r="F132" s="102" t="n"/>
      <c r="G132" s="102" t="n"/>
      <c r="H132" s="102" t="n"/>
      <c r="I132" s="102" t="n"/>
      <c r="J132" s="102" t="n"/>
      <c r="K132" s="102" t="n"/>
      <c r="L132" s="102" t="n"/>
      <c r="M132" s="102" t="n"/>
      <c r="N132" s="102" t="n"/>
      <c r="O132" s="102" t="n"/>
      <c r="P132" s="102" t="n"/>
      <c r="Q132" s="102" t="n"/>
      <c r="R132" s="102" t="n"/>
      <c r="S132" s="102" t="n"/>
      <c r="T132" s="102" t="n"/>
      <c r="U132" s="102" t="n"/>
      <c r="V132" s="102" t="n"/>
      <c r="W132" s="102" t="n"/>
      <c r="X132" s="102" t="n"/>
      <c r="Y132" s="102" t="n"/>
      <c r="Z132" s="102" t="n"/>
      <c r="AA132" s="102" t="n"/>
      <c r="AB132" s="102" t="n"/>
      <c r="AC132" s="102" t="n"/>
      <c r="AD132" s="102" t="n"/>
      <c r="AE132" s="102" t="n"/>
      <c r="AF132" s="102" t="n"/>
      <c r="AG132" s="102" t="n"/>
      <c r="AH132" s="102" t="n"/>
      <c r="AI132" s="102" t="n"/>
      <c r="AJ132" s="102" t="n"/>
      <c r="AK132" s="102" t="n"/>
      <c r="AL132" s="102" t="n"/>
      <c r="AM132" s="102" t="n"/>
      <c r="AN132" s="102" t="n"/>
      <c r="AO132" s="102" t="n"/>
      <c r="AP132" s="102" t="n"/>
      <c r="AQ132" s="102" t="n"/>
      <c r="AR132" s="102" t="n"/>
    </row>
    <row r="133">
      <c r="D133" s="102" t="n"/>
      <c r="E133" s="102" t="n"/>
      <c r="F133" s="102" t="n"/>
      <c r="G133" s="102" t="n"/>
      <c r="H133" s="102" t="n"/>
      <c r="I133" s="102" t="n"/>
      <c r="J133" s="102" t="n"/>
      <c r="K133" s="102" t="n"/>
      <c r="L133" s="102" t="n"/>
      <c r="M133" s="102" t="n"/>
      <c r="N133" s="102" t="n"/>
      <c r="O133" s="102" t="n"/>
      <c r="P133" s="102" t="n"/>
      <c r="Q133" s="102" t="n"/>
      <c r="R133" s="102" t="n"/>
      <c r="S133" s="102" t="n"/>
      <c r="T133" s="102" t="n"/>
      <c r="U133" s="102" t="n"/>
      <c r="V133" s="102" t="n"/>
      <c r="W133" s="102" t="n"/>
      <c r="X133" s="102" t="n"/>
      <c r="Y133" s="102" t="n"/>
      <c r="Z133" s="102" t="n"/>
      <c r="AA133" s="102" t="n"/>
      <c r="AB133" s="102" t="n"/>
      <c r="AC133" s="102" t="n"/>
      <c r="AD133" s="102" t="n"/>
      <c r="AE133" s="102" t="n"/>
      <c r="AF133" s="102" t="n"/>
      <c r="AG133" s="102" t="n"/>
      <c r="AH133" s="102" t="n"/>
      <c r="AI133" s="102" t="n"/>
      <c r="AJ133" s="102" t="n"/>
      <c r="AK133" s="102" t="n"/>
      <c r="AL133" s="102" t="n"/>
      <c r="AM133" s="102" t="n"/>
      <c r="AN133" s="102" t="n"/>
      <c r="AO133" s="102" t="n"/>
      <c r="AP133" s="102" t="n"/>
      <c r="AQ133" s="102" t="n"/>
      <c r="AR133" s="102" t="n"/>
    </row>
    <row r="134">
      <c r="D134" s="102" t="n"/>
      <c r="E134" s="102" t="n"/>
      <c r="F134" s="102" t="n"/>
      <c r="G134" s="102" t="n"/>
      <c r="H134" s="102" t="n"/>
      <c r="I134" s="102" t="n"/>
      <c r="J134" s="102" t="n"/>
      <c r="K134" s="102" t="n"/>
      <c r="L134" s="102" t="n"/>
      <c r="M134" s="102" t="n"/>
      <c r="N134" s="102" t="n"/>
      <c r="O134" s="102" t="n"/>
      <c r="P134" s="102" t="n"/>
      <c r="Q134" s="102" t="n"/>
      <c r="R134" s="102" t="n"/>
      <c r="S134" s="102" t="n"/>
      <c r="T134" s="102" t="n"/>
      <c r="U134" s="102" t="n"/>
      <c r="V134" s="102" t="n"/>
      <c r="W134" s="102" t="n"/>
      <c r="X134" s="102" t="n"/>
      <c r="Y134" s="102" t="n"/>
      <c r="Z134" s="102" t="n"/>
      <c r="AA134" s="102" t="n"/>
      <c r="AB134" s="102" t="n"/>
      <c r="AC134" s="102" t="n"/>
      <c r="AD134" s="102" t="n"/>
      <c r="AE134" s="102" t="n"/>
      <c r="AF134" s="102" t="n"/>
      <c r="AG134" s="102" t="n"/>
      <c r="AH134" s="102" t="n"/>
      <c r="AI134" s="102" t="n"/>
      <c r="AJ134" s="102" t="n"/>
      <c r="AK134" s="102" t="n"/>
      <c r="AL134" s="102" t="n"/>
      <c r="AM134" s="102" t="n"/>
      <c r="AN134" s="102" t="n"/>
      <c r="AO134" s="102" t="n"/>
      <c r="AP134" s="102" t="n"/>
      <c r="AQ134" s="102" t="n"/>
      <c r="AR134" s="102" t="n"/>
    </row>
    <row r="135">
      <c r="D135" s="160" t="n"/>
      <c r="E135" s="160" t="n"/>
      <c r="F135" s="160" t="n"/>
      <c r="G135" s="160" t="n"/>
      <c r="H135" s="160" t="n"/>
      <c r="I135" s="160" t="n"/>
      <c r="J135" s="160" t="n"/>
      <c r="K135" s="160" t="n"/>
      <c r="L135" s="160" t="n"/>
      <c r="M135" s="160" t="n"/>
      <c r="N135" s="160" t="n"/>
      <c r="O135" s="160" t="n"/>
      <c r="P135" s="160" t="n"/>
      <c r="Q135" s="160" t="n"/>
      <c r="R135" s="160" t="n"/>
      <c r="S135" s="160" t="n"/>
      <c r="T135" s="160" t="n"/>
      <c r="U135" s="160" t="n"/>
      <c r="V135" s="160" t="n"/>
      <c r="W135" s="160" t="n"/>
      <c r="X135" s="160" t="n"/>
      <c r="Y135" s="160" t="n"/>
      <c r="Z135" s="160" t="n"/>
      <c r="AA135" s="160" t="n"/>
      <c r="AB135" s="160" t="n"/>
      <c r="AC135" s="160" t="n"/>
      <c r="AD135" s="160" t="n"/>
      <c r="AE135" s="160" t="n"/>
      <c r="AF135" s="160" t="n"/>
      <c r="AG135" s="160" t="n"/>
      <c r="AH135" s="160" t="n"/>
      <c r="AI135" s="160" t="n"/>
      <c r="AJ135" s="160" t="n"/>
      <c r="AK135" s="160" t="n"/>
      <c r="AL135" s="160" t="n"/>
      <c r="AM135" s="160" t="n"/>
      <c r="AN135" s="160" t="n"/>
      <c r="AO135" s="160" t="n"/>
      <c r="AP135" s="160" t="n"/>
      <c r="AQ135" s="160" t="n"/>
      <c r="AR135" s="160" t="n"/>
    </row>
    <row r="138">
      <c r="A138" s="2">
        <f>IF($A131="","","   projections")</f>
        <v/>
      </c>
      <c r="B138" s="158">
        <f>IF($A131="",0,COUNT($E139:$AR139))</f>
        <v/>
      </c>
      <c r="C138" s="159">
        <f>IF($B138=0,0,MAX($E139:$AR139))</f>
        <v/>
      </c>
      <c r="D138" s="101">
        <f>BDS($A131,FLD_PROJ,"headers=y","startcol=1","endcol=3","dir=h")</f>
        <v/>
      </c>
      <c r="E138" s="102" t="n"/>
      <c r="F138" s="102" t="n"/>
      <c r="G138" s="102" t="n"/>
      <c r="H138" s="102" t="n"/>
      <c r="I138" s="102" t="n"/>
      <c r="J138" s="102" t="n"/>
      <c r="K138" s="102" t="n"/>
      <c r="L138" s="102" t="n"/>
      <c r="M138" s="102" t="n"/>
      <c r="N138" s="102" t="n"/>
      <c r="O138" s="102" t="n"/>
      <c r="P138" s="102" t="n"/>
      <c r="Q138" s="102" t="n"/>
      <c r="R138" s="102" t="n"/>
      <c r="S138" s="102" t="n"/>
      <c r="T138" s="102" t="n"/>
      <c r="U138" s="102" t="n"/>
      <c r="V138" s="102" t="n"/>
      <c r="W138" s="102" t="n"/>
      <c r="X138" s="102" t="n"/>
      <c r="Y138" s="102" t="n"/>
      <c r="Z138" s="102" t="n"/>
      <c r="AA138" s="102" t="n"/>
      <c r="AB138" s="102" t="n"/>
      <c r="AC138" s="102" t="n"/>
      <c r="AD138" s="102" t="n"/>
      <c r="AE138" s="102" t="n"/>
      <c r="AF138" s="102" t="n"/>
      <c r="AG138" s="102" t="n"/>
      <c r="AH138" s="102" t="n"/>
      <c r="AI138" s="102" t="n"/>
      <c r="AJ138" s="102" t="n"/>
      <c r="AK138" s="102" t="n"/>
      <c r="AL138" s="102" t="n"/>
      <c r="AM138" s="102" t="n"/>
      <c r="AN138" s="102" t="n"/>
      <c r="AO138" s="102" t="n"/>
      <c r="AP138" s="102" t="n"/>
      <c r="AQ138" s="102" t="n"/>
      <c r="AR138" s="102" t="n"/>
    </row>
    <row r="139">
      <c r="D139" s="102" t="n"/>
      <c r="E139" s="102" t="n"/>
      <c r="F139" s="102" t="n"/>
      <c r="G139" s="102" t="n"/>
      <c r="H139" s="102" t="n"/>
      <c r="I139" s="102" t="n"/>
      <c r="J139" s="102" t="n"/>
      <c r="K139" s="102" t="n"/>
      <c r="L139" s="102" t="n"/>
      <c r="M139" s="102" t="n"/>
      <c r="N139" s="102" t="n"/>
      <c r="O139" s="102" t="n"/>
      <c r="P139" s="102" t="n"/>
      <c r="Q139" s="102" t="n"/>
      <c r="R139" s="102" t="n"/>
      <c r="S139" s="102" t="n"/>
      <c r="T139" s="102" t="n"/>
      <c r="U139" s="102" t="n"/>
      <c r="V139" s="102" t="n"/>
      <c r="W139" s="102" t="n"/>
      <c r="X139" s="102" t="n"/>
      <c r="Y139" s="102" t="n"/>
      <c r="Z139" s="102" t="n"/>
      <c r="AA139" s="102" t="n"/>
      <c r="AB139" s="102" t="n"/>
      <c r="AC139" s="102" t="n"/>
      <c r="AD139" s="102" t="n"/>
      <c r="AE139" s="102" t="n"/>
      <c r="AF139" s="102" t="n"/>
      <c r="AG139" s="102" t="n"/>
      <c r="AH139" s="102" t="n"/>
      <c r="AI139" s="102" t="n"/>
      <c r="AJ139" s="102" t="n"/>
      <c r="AK139" s="102" t="n"/>
      <c r="AL139" s="102" t="n"/>
      <c r="AM139" s="102" t="n"/>
      <c r="AN139" s="102" t="n"/>
      <c r="AO139" s="102" t="n"/>
      <c r="AP139" s="102" t="n"/>
      <c r="AQ139" s="102" t="n"/>
      <c r="AR139" s="102" t="n"/>
    </row>
    <row r="140">
      <c r="D140" s="160" t="n"/>
      <c r="E140" s="160" t="n"/>
      <c r="F140" s="160" t="n"/>
      <c r="G140" s="160" t="n"/>
      <c r="H140" s="160" t="n"/>
      <c r="I140" s="160" t="n"/>
      <c r="J140" s="160" t="n"/>
      <c r="K140" s="160" t="n"/>
      <c r="L140" s="160" t="n"/>
      <c r="M140" s="160" t="n"/>
      <c r="N140" s="160" t="n"/>
      <c r="O140" s="160" t="n"/>
      <c r="P140" s="160" t="n"/>
      <c r="Q140" s="160" t="n"/>
      <c r="R140" s="160" t="n"/>
      <c r="S140" s="160" t="n"/>
      <c r="T140" s="160" t="n"/>
      <c r="U140" s="160" t="n"/>
      <c r="V140" s="160" t="n"/>
      <c r="W140" s="160" t="n"/>
      <c r="X140" s="160" t="n"/>
      <c r="Y140" s="160" t="n"/>
      <c r="Z140" s="160" t="n"/>
      <c r="AA140" s="160" t="n"/>
      <c r="AB140" s="160" t="n"/>
      <c r="AC140" s="160" t="n"/>
      <c r="AD140" s="160" t="n"/>
      <c r="AE140" s="160" t="n"/>
      <c r="AF140" s="160" t="n"/>
      <c r="AG140" s="160" t="n"/>
      <c r="AH140" s="160" t="n"/>
      <c r="AI140" s="160" t="n"/>
      <c r="AJ140" s="160" t="n"/>
      <c r="AK140" s="160" t="n"/>
      <c r="AL140" s="160" t="n"/>
      <c r="AM140" s="160" t="n"/>
      <c r="AN140" s="160" t="n"/>
      <c r="AO140" s="160" t="n"/>
      <c r="AP140" s="160" t="n"/>
      <c r="AQ140" s="160" t="n"/>
      <c r="AR140" s="160" t="n"/>
    </row>
    <row r="142">
      <c r="A142" s="8">
        <f>IF(HSI!$C$19="","",HSI!$C$19)</f>
        <v/>
      </c>
      <c r="B142" s="158">
        <f>IF($A142="",0,COUNT($E143:$AR143))</f>
        <v/>
      </c>
      <c r="C142" s="159">
        <f>IF($B142=0,0,MAX($E143:$AR143))</f>
        <v/>
      </c>
      <c r="D142" s="101">
        <f>BDS($A142,FLD_HIST,"headers=y","startcol=1","endcol=7","dir=h","DVD_START_DT",HIST_FROM,"DVD_END_DT",HIST_TO)</f>
        <v/>
      </c>
      <c r="E142" s="102" t="n"/>
      <c r="F142" s="102" t="n"/>
      <c r="G142" s="102" t="n"/>
      <c r="H142" s="102" t="n"/>
      <c r="I142" s="102" t="n"/>
      <c r="J142" s="102" t="n"/>
      <c r="K142" s="102" t="n"/>
      <c r="L142" s="102" t="n"/>
      <c r="M142" s="102" t="n"/>
      <c r="N142" s="102" t="n"/>
      <c r="O142" s="102" t="n"/>
      <c r="P142" s="102" t="n"/>
      <c r="Q142" s="102" t="n"/>
      <c r="R142" s="102" t="n"/>
      <c r="S142" s="102" t="n"/>
      <c r="T142" s="102" t="n"/>
      <c r="U142" s="102" t="n"/>
      <c r="V142" s="102" t="n"/>
      <c r="W142" s="102" t="n"/>
      <c r="X142" s="102" t="n"/>
      <c r="Y142" s="102" t="n"/>
      <c r="Z142" s="102" t="n"/>
      <c r="AA142" s="102" t="n"/>
      <c r="AB142" s="102" t="n"/>
      <c r="AC142" s="102" t="n"/>
      <c r="AD142" s="102" t="n"/>
      <c r="AE142" s="102" t="n"/>
      <c r="AF142" s="102" t="n"/>
      <c r="AG142" s="102" t="n"/>
      <c r="AH142" s="102" t="n"/>
      <c r="AI142" s="102" t="n"/>
      <c r="AJ142" s="102" t="n"/>
      <c r="AK142" s="102" t="n"/>
      <c r="AL142" s="102" t="n"/>
      <c r="AM142" s="102" t="n"/>
      <c r="AN142" s="102" t="n"/>
      <c r="AO142" s="102" t="n"/>
      <c r="AP142" s="102" t="n"/>
      <c r="AQ142" s="102" t="n"/>
      <c r="AR142" s="102" t="n"/>
    </row>
    <row r="143">
      <c r="D143" s="102" t="n"/>
      <c r="E143" s="102" t="n"/>
      <c r="F143" s="102" t="n"/>
      <c r="G143" s="102" t="n"/>
      <c r="H143" s="102" t="n"/>
      <c r="I143" s="102" t="n"/>
      <c r="J143" s="102" t="n"/>
      <c r="K143" s="102" t="n"/>
      <c r="L143" s="102" t="n"/>
      <c r="M143" s="102" t="n"/>
      <c r="N143" s="102" t="n"/>
      <c r="O143" s="102" t="n"/>
      <c r="P143" s="102" t="n"/>
      <c r="Q143" s="102" t="n"/>
      <c r="R143" s="102" t="n"/>
      <c r="S143" s="102" t="n"/>
      <c r="T143" s="102" t="n"/>
      <c r="U143" s="102" t="n"/>
      <c r="V143" s="102" t="n"/>
      <c r="W143" s="102" t="n"/>
      <c r="X143" s="102" t="n"/>
      <c r="Y143" s="102" t="n"/>
      <c r="Z143" s="102" t="n"/>
      <c r="AA143" s="102" t="n"/>
      <c r="AB143" s="102" t="n"/>
      <c r="AC143" s="102" t="n"/>
      <c r="AD143" s="102" t="n"/>
      <c r="AE143" s="102" t="n"/>
      <c r="AF143" s="102" t="n"/>
      <c r="AG143" s="102" t="n"/>
      <c r="AH143" s="102" t="n"/>
      <c r="AI143" s="102" t="n"/>
      <c r="AJ143" s="102" t="n"/>
      <c r="AK143" s="102" t="n"/>
      <c r="AL143" s="102" t="n"/>
      <c r="AM143" s="102" t="n"/>
      <c r="AN143" s="102" t="n"/>
      <c r="AO143" s="102" t="n"/>
      <c r="AP143" s="102" t="n"/>
      <c r="AQ143" s="102" t="n"/>
      <c r="AR143" s="102" t="n"/>
    </row>
    <row r="144">
      <c r="D144" s="102" t="n"/>
      <c r="E144" s="102" t="n"/>
      <c r="F144" s="102" t="n"/>
      <c r="G144" s="102" t="n"/>
      <c r="H144" s="102" t="n"/>
      <c r="I144" s="102" t="n"/>
      <c r="J144" s="102" t="n"/>
      <c r="K144" s="102" t="n"/>
      <c r="L144" s="102" t="n"/>
      <c r="M144" s="102" t="n"/>
      <c r="N144" s="102" t="n"/>
      <c r="O144" s="102" t="n"/>
      <c r="P144" s="102" t="n"/>
      <c r="Q144" s="102" t="n"/>
      <c r="R144" s="102" t="n"/>
      <c r="S144" s="102" t="n"/>
      <c r="T144" s="102" t="n"/>
      <c r="U144" s="102" t="n"/>
      <c r="V144" s="102" t="n"/>
      <c r="W144" s="102" t="n"/>
      <c r="X144" s="102" t="n"/>
      <c r="Y144" s="102" t="n"/>
      <c r="Z144" s="102" t="n"/>
      <c r="AA144" s="102" t="n"/>
      <c r="AB144" s="102" t="n"/>
      <c r="AC144" s="102" t="n"/>
      <c r="AD144" s="102" t="n"/>
      <c r="AE144" s="102" t="n"/>
      <c r="AF144" s="102" t="n"/>
      <c r="AG144" s="102" t="n"/>
      <c r="AH144" s="102" t="n"/>
      <c r="AI144" s="102" t="n"/>
      <c r="AJ144" s="102" t="n"/>
      <c r="AK144" s="102" t="n"/>
      <c r="AL144" s="102" t="n"/>
      <c r="AM144" s="102" t="n"/>
      <c r="AN144" s="102" t="n"/>
      <c r="AO144" s="102" t="n"/>
      <c r="AP144" s="102" t="n"/>
      <c r="AQ144" s="102" t="n"/>
      <c r="AR144" s="102" t="n"/>
    </row>
    <row r="145">
      <c r="D145" s="102" t="n"/>
      <c r="E145" s="102" t="n"/>
      <c r="F145" s="102" t="n"/>
      <c r="G145" s="102" t="n"/>
      <c r="H145" s="102" t="n"/>
      <c r="I145" s="102" t="n"/>
      <c r="J145" s="102" t="n"/>
      <c r="K145" s="102" t="n"/>
      <c r="L145" s="102" t="n"/>
      <c r="M145" s="102" t="n"/>
      <c r="N145" s="102" t="n"/>
      <c r="O145" s="102" t="n"/>
      <c r="P145" s="102" t="n"/>
      <c r="Q145" s="102" t="n"/>
      <c r="R145" s="102" t="n"/>
      <c r="S145" s="102" t="n"/>
      <c r="T145" s="102" t="n"/>
      <c r="U145" s="102" t="n"/>
      <c r="V145" s="102" t="n"/>
      <c r="W145" s="102" t="n"/>
      <c r="X145" s="102" t="n"/>
      <c r="Y145" s="102" t="n"/>
      <c r="Z145" s="102" t="n"/>
      <c r="AA145" s="102" t="n"/>
      <c r="AB145" s="102" t="n"/>
      <c r="AC145" s="102" t="n"/>
      <c r="AD145" s="102" t="n"/>
      <c r="AE145" s="102" t="n"/>
      <c r="AF145" s="102" t="n"/>
      <c r="AG145" s="102" t="n"/>
      <c r="AH145" s="102" t="n"/>
      <c r="AI145" s="102" t="n"/>
      <c r="AJ145" s="102" t="n"/>
      <c r="AK145" s="102" t="n"/>
      <c r="AL145" s="102" t="n"/>
      <c r="AM145" s="102" t="n"/>
      <c r="AN145" s="102" t="n"/>
      <c r="AO145" s="102" t="n"/>
      <c r="AP145" s="102" t="n"/>
      <c r="AQ145" s="102" t="n"/>
      <c r="AR145" s="102" t="n"/>
    </row>
    <row r="146">
      <c r="D146" s="160" t="n"/>
      <c r="E146" s="160" t="n"/>
      <c r="F146" s="160" t="n"/>
      <c r="G146" s="160" t="n"/>
      <c r="H146" s="160" t="n"/>
      <c r="I146" s="160" t="n"/>
      <c r="J146" s="160" t="n"/>
      <c r="K146" s="160" t="n"/>
      <c r="L146" s="160" t="n"/>
      <c r="M146" s="160" t="n"/>
      <c r="N146" s="160" t="n"/>
      <c r="O146" s="160" t="n"/>
      <c r="P146" s="160" t="n"/>
      <c r="Q146" s="160" t="n"/>
      <c r="R146" s="160" t="n"/>
      <c r="S146" s="160" t="n"/>
      <c r="T146" s="160" t="n"/>
      <c r="U146" s="160" t="n"/>
      <c r="V146" s="160" t="n"/>
      <c r="W146" s="160" t="n"/>
      <c r="X146" s="160" t="n"/>
      <c r="Y146" s="160" t="n"/>
      <c r="Z146" s="160" t="n"/>
      <c r="AA146" s="160" t="n"/>
      <c r="AB146" s="160" t="n"/>
      <c r="AC146" s="160" t="n"/>
      <c r="AD146" s="160" t="n"/>
      <c r="AE146" s="160" t="n"/>
      <c r="AF146" s="160" t="n"/>
      <c r="AG146" s="160" t="n"/>
      <c r="AH146" s="160" t="n"/>
      <c r="AI146" s="160" t="n"/>
      <c r="AJ146" s="160" t="n"/>
      <c r="AK146" s="160" t="n"/>
      <c r="AL146" s="160" t="n"/>
      <c r="AM146" s="160" t="n"/>
      <c r="AN146" s="160" t="n"/>
      <c r="AO146" s="160" t="n"/>
      <c r="AP146" s="160" t="n"/>
      <c r="AQ146" s="160" t="n"/>
      <c r="AR146" s="160" t="n"/>
    </row>
    <row r="149">
      <c r="A149" s="2">
        <f>IF($A142="","","   projections")</f>
        <v/>
      </c>
      <c r="B149" s="158">
        <f>IF($A142="",0,COUNT($E150:$AR150))</f>
        <v/>
      </c>
      <c r="C149" s="159">
        <f>IF($B149=0,0,MAX($E150:$AR150))</f>
        <v/>
      </c>
      <c r="D149" s="101">
        <f>BDS($A142,FLD_PROJ,"headers=y","startcol=1","endcol=3","dir=h")</f>
        <v/>
      </c>
      <c r="E149" s="102" t="n"/>
      <c r="F149" s="102" t="n"/>
      <c r="G149" s="102" t="n"/>
      <c r="H149" s="102" t="n"/>
      <c r="I149" s="102" t="n"/>
      <c r="J149" s="102" t="n"/>
      <c r="K149" s="102" t="n"/>
      <c r="L149" s="102" t="n"/>
      <c r="M149" s="102" t="n"/>
      <c r="N149" s="102" t="n"/>
      <c r="O149" s="102" t="n"/>
      <c r="P149" s="102" t="n"/>
      <c r="Q149" s="102" t="n"/>
      <c r="R149" s="102" t="n"/>
      <c r="S149" s="102" t="n"/>
      <c r="T149" s="102" t="n"/>
      <c r="U149" s="102" t="n"/>
      <c r="V149" s="102" t="n"/>
      <c r="W149" s="102" t="n"/>
      <c r="X149" s="102" t="n"/>
      <c r="Y149" s="102" t="n"/>
      <c r="Z149" s="102" t="n"/>
      <c r="AA149" s="102" t="n"/>
      <c r="AB149" s="102" t="n"/>
      <c r="AC149" s="102" t="n"/>
      <c r="AD149" s="102" t="n"/>
      <c r="AE149" s="102" t="n"/>
      <c r="AF149" s="102" t="n"/>
      <c r="AG149" s="102" t="n"/>
      <c r="AH149" s="102" t="n"/>
      <c r="AI149" s="102" t="n"/>
      <c r="AJ149" s="102" t="n"/>
      <c r="AK149" s="102" t="n"/>
      <c r="AL149" s="102" t="n"/>
      <c r="AM149" s="102" t="n"/>
      <c r="AN149" s="102" t="n"/>
      <c r="AO149" s="102" t="n"/>
      <c r="AP149" s="102" t="n"/>
      <c r="AQ149" s="102" t="n"/>
      <c r="AR149" s="102" t="n"/>
    </row>
    <row r="150">
      <c r="D150" s="102" t="n"/>
      <c r="E150" s="102" t="n"/>
      <c r="F150" s="102" t="n"/>
      <c r="G150" s="102" t="n"/>
      <c r="H150" s="102" t="n"/>
      <c r="I150" s="102" t="n"/>
      <c r="J150" s="102" t="n"/>
      <c r="K150" s="102" t="n"/>
      <c r="L150" s="102" t="n"/>
      <c r="M150" s="102" t="n"/>
      <c r="N150" s="102" t="n"/>
      <c r="O150" s="102" t="n"/>
      <c r="P150" s="102" t="n"/>
      <c r="Q150" s="102" t="n"/>
      <c r="R150" s="102" t="n"/>
      <c r="S150" s="102" t="n"/>
      <c r="T150" s="102" t="n"/>
      <c r="U150" s="102" t="n"/>
      <c r="V150" s="102" t="n"/>
      <c r="W150" s="102" t="n"/>
      <c r="X150" s="102" t="n"/>
      <c r="Y150" s="102" t="n"/>
      <c r="Z150" s="102" t="n"/>
      <c r="AA150" s="102" t="n"/>
      <c r="AB150" s="102" t="n"/>
      <c r="AC150" s="102" t="n"/>
      <c r="AD150" s="102" t="n"/>
      <c r="AE150" s="102" t="n"/>
      <c r="AF150" s="102" t="n"/>
      <c r="AG150" s="102" t="n"/>
      <c r="AH150" s="102" t="n"/>
      <c r="AI150" s="102" t="n"/>
      <c r="AJ150" s="102" t="n"/>
      <c r="AK150" s="102" t="n"/>
      <c r="AL150" s="102" t="n"/>
      <c r="AM150" s="102" t="n"/>
      <c r="AN150" s="102" t="n"/>
      <c r="AO150" s="102" t="n"/>
      <c r="AP150" s="102" t="n"/>
      <c r="AQ150" s="102" t="n"/>
      <c r="AR150" s="102" t="n"/>
    </row>
    <row r="151">
      <c r="D151" s="160" t="n"/>
      <c r="E151" s="160" t="n"/>
      <c r="F151" s="160" t="n"/>
      <c r="G151" s="160" t="n"/>
      <c r="H151" s="160" t="n"/>
      <c r="I151" s="160" t="n"/>
      <c r="J151" s="160" t="n"/>
      <c r="K151" s="160" t="n"/>
      <c r="L151" s="160" t="n"/>
      <c r="M151" s="160" t="n"/>
      <c r="N151" s="160" t="n"/>
      <c r="O151" s="160" t="n"/>
      <c r="P151" s="160" t="n"/>
      <c r="Q151" s="160" t="n"/>
      <c r="R151" s="160" t="n"/>
      <c r="S151" s="160" t="n"/>
      <c r="T151" s="160" t="n"/>
      <c r="U151" s="160" t="n"/>
      <c r="V151" s="160" t="n"/>
      <c r="W151" s="160" t="n"/>
      <c r="X151" s="160" t="n"/>
      <c r="Y151" s="160" t="n"/>
      <c r="Z151" s="160" t="n"/>
      <c r="AA151" s="160" t="n"/>
      <c r="AB151" s="160" t="n"/>
      <c r="AC151" s="160" t="n"/>
      <c r="AD151" s="160" t="n"/>
      <c r="AE151" s="160" t="n"/>
      <c r="AF151" s="160" t="n"/>
      <c r="AG151" s="160" t="n"/>
      <c r="AH151" s="160" t="n"/>
      <c r="AI151" s="160" t="n"/>
      <c r="AJ151" s="160" t="n"/>
      <c r="AK151" s="160" t="n"/>
      <c r="AL151" s="160" t="n"/>
      <c r="AM151" s="160" t="n"/>
      <c r="AN151" s="160" t="n"/>
      <c r="AO151" s="160" t="n"/>
      <c r="AP151" s="160" t="n"/>
      <c r="AQ151" s="160" t="n"/>
      <c r="AR151" s="160" t="n"/>
    </row>
    <row r="153">
      <c r="A153" s="8">
        <f>IF(HSI!$C$20="","",HSI!$C$20)</f>
        <v/>
      </c>
      <c r="B153" s="158">
        <f>IF($A153="",0,COUNT($E154:$AR154))</f>
        <v/>
      </c>
      <c r="C153" s="159">
        <f>IF($B153=0,0,MAX($E154:$AR154))</f>
        <v/>
      </c>
      <c r="D153" s="101">
        <f>BDS($A153,FLD_HIST,"headers=y","startcol=1","endcol=7","dir=h","DVD_START_DT",HIST_FROM,"DVD_END_DT",HIST_TO)</f>
        <v/>
      </c>
      <c r="E153" s="102" t="n"/>
      <c r="F153" s="102" t="n"/>
      <c r="G153" s="102" t="n"/>
      <c r="H153" s="102" t="n"/>
      <c r="I153" s="102" t="n"/>
      <c r="J153" s="102" t="n"/>
      <c r="K153" s="102" t="n"/>
      <c r="L153" s="102" t="n"/>
      <c r="M153" s="102" t="n"/>
      <c r="N153" s="102" t="n"/>
      <c r="O153" s="102" t="n"/>
      <c r="P153" s="102" t="n"/>
      <c r="Q153" s="102" t="n"/>
      <c r="R153" s="102" t="n"/>
      <c r="S153" s="102" t="n"/>
      <c r="T153" s="102" t="n"/>
      <c r="U153" s="102" t="n"/>
      <c r="V153" s="102" t="n"/>
      <c r="W153" s="102" t="n"/>
      <c r="X153" s="102" t="n"/>
      <c r="Y153" s="102" t="n"/>
      <c r="Z153" s="102" t="n"/>
      <c r="AA153" s="102" t="n"/>
      <c r="AB153" s="102" t="n"/>
      <c r="AC153" s="102" t="n"/>
      <c r="AD153" s="102" t="n"/>
      <c r="AE153" s="102" t="n"/>
      <c r="AF153" s="102" t="n"/>
      <c r="AG153" s="102" t="n"/>
      <c r="AH153" s="102" t="n"/>
      <c r="AI153" s="102" t="n"/>
      <c r="AJ153" s="102" t="n"/>
      <c r="AK153" s="102" t="n"/>
      <c r="AL153" s="102" t="n"/>
      <c r="AM153" s="102" t="n"/>
      <c r="AN153" s="102" t="n"/>
      <c r="AO153" s="102" t="n"/>
      <c r="AP153" s="102" t="n"/>
      <c r="AQ153" s="102" t="n"/>
      <c r="AR153" s="102" t="n"/>
    </row>
    <row r="154">
      <c r="D154" s="102" t="n"/>
      <c r="E154" s="102" t="n"/>
      <c r="F154" s="102" t="n"/>
      <c r="G154" s="102" t="n"/>
      <c r="H154" s="102" t="n"/>
      <c r="I154" s="102" t="n"/>
      <c r="J154" s="102" t="n"/>
      <c r="K154" s="102" t="n"/>
      <c r="L154" s="102" t="n"/>
      <c r="M154" s="102" t="n"/>
      <c r="N154" s="102" t="n"/>
      <c r="O154" s="102" t="n"/>
      <c r="P154" s="102" t="n"/>
      <c r="Q154" s="102" t="n"/>
      <c r="R154" s="102" t="n"/>
      <c r="S154" s="102" t="n"/>
      <c r="T154" s="102" t="n"/>
      <c r="U154" s="102" t="n"/>
      <c r="V154" s="102" t="n"/>
      <c r="W154" s="102" t="n"/>
      <c r="X154" s="102" t="n"/>
      <c r="Y154" s="102" t="n"/>
      <c r="Z154" s="102" t="n"/>
      <c r="AA154" s="102" t="n"/>
      <c r="AB154" s="102" t="n"/>
      <c r="AC154" s="102" t="n"/>
      <c r="AD154" s="102" t="n"/>
      <c r="AE154" s="102" t="n"/>
      <c r="AF154" s="102" t="n"/>
      <c r="AG154" s="102" t="n"/>
      <c r="AH154" s="102" t="n"/>
      <c r="AI154" s="102" t="n"/>
      <c r="AJ154" s="102" t="n"/>
      <c r="AK154" s="102" t="n"/>
      <c r="AL154" s="102" t="n"/>
      <c r="AM154" s="102" t="n"/>
      <c r="AN154" s="102" t="n"/>
      <c r="AO154" s="102" t="n"/>
      <c r="AP154" s="102" t="n"/>
      <c r="AQ154" s="102" t="n"/>
      <c r="AR154" s="102" t="n"/>
    </row>
    <row r="155">
      <c r="D155" s="102" t="n"/>
      <c r="E155" s="102" t="n"/>
      <c r="F155" s="102" t="n"/>
      <c r="G155" s="102" t="n"/>
      <c r="H155" s="102" t="n"/>
      <c r="I155" s="102" t="n"/>
      <c r="J155" s="102" t="n"/>
      <c r="K155" s="102" t="n"/>
      <c r="L155" s="102" t="n"/>
      <c r="M155" s="102" t="n"/>
      <c r="N155" s="102" t="n"/>
      <c r="O155" s="102" t="n"/>
      <c r="P155" s="102" t="n"/>
      <c r="Q155" s="102" t="n"/>
      <c r="R155" s="102" t="n"/>
      <c r="S155" s="102" t="n"/>
      <c r="T155" s="102" t="n"/>
      <c r="U155" s="102" t="n"/>
      <c r="V155" s="102" t="n"/>
      <c r="W155" s="102" t="n"/>
      <c r="X155" s="102" t="n"/>
      <c r="Y155" s="102" t="n"/>
      <c r="Z155" s="102" t="n"/>
      <c r="AA155" s="102" t="n"/>
      <c r="AB155" s="102" t="n"/>
      <c r="AC155" s="102" t="n"/>
      <c r="AD155" s="102" t="n"/>
      <c r="AE155" s="102" t="n"/>
      <c r="AF155" s="102" t="n"/>
      <c r="AG155" s="102" t="n"/>
      <c r="AH155" s="102" t="n"/>
      <c r="AI155" s="102" t="n"/>
      <c r="AJ155" s="102" t="n"/>
      <c r="AK155" s="102" t="n"/>
      <c r="AL155" s="102" t="n"/>
      <c r="AM155" s="102" t="n"/>
      <c r="AN155" s="102" t="n"/>
      <c r="AO155" s="102" t="n"/>
      <c r="AP155" s="102" t="n"/>
      <c r="AQ155" s="102" t="n"/>
      <c r="AR155" s="102" t="n"/>
    </row>
    <row r="156">
      <c r="D156" s="102" t="n"/>
      <c r="E156" s="102" t="n"/>
      <c r="F156" s="102" t="n"/>
      <c r="G156" s="102" t="n"/>
      <c r="H156" s="102" t="n"/>
      <c r="I156" s="102" t="n"/>
      <c r="J156" s="102" t="n"/>
      <c r="K156" s="102" t="n"/>
      <c r="L156" s="102" t="n"/>
      <c r="M156" s="102" t="n"/>
      <c r="N156" s="102" t="n"/>
      <c r="O156" s="102" t="n"/>
      <c r="P156" s="102" t="n"/>
      <c r="Q156" s="102" t="n"/>
      <c r="R156" s="102" t="n"/>
      <c r="S156" s="102" t="n"/>
      <c r="T156" s="102" t="n"/>
      <c r="U156" s="102" t="n"/>
      <c r="V156" s="102" t="n"/>
      <c r="W156" s="102" t="n"/>
      <c r="X156" s="102" t="n"/>
      <c r="Y156" s="102" t="n"/>
      <c r="Z156" s="102" t="n"/>
      <c r="AA156" s="102" t="n"/>
      <c r="AB156" s="102" t="n"/>
      <c r="AC156" s="102" t="n"/>
      <c r="AD156" s="102" t="n"/>
      <c r="AE156" s="102" t="n"/>
      <c r="AF156" s="102" t="n"/>
      <c r="AG156" s="102" t="n"/>
      <c r="AH156" s="102" t="n"/>
      <c r="AI156" s="102" t="n"/>
      <c r="AJ156" s="102" t="n"/>
      <c r="AK156" s="102" t="n"/>
      <c r="AL156" s="102" t="n"/>
      <c r="AM156" s="102" t="n"/>
      <c r="AN156" s="102" t="n"/>
      <c r="AO156" s="102" t="n"/>
      <c r="AP156" s="102" t="n"/>
      <c r="AQ156" s="102" t="n"/>
      <c r="AR156" s="102" t="n"/>
    </row>
    <row r="157">
      <c r="D157" s="160" t="n"/>
      <c r="E157" s="160" t="n"/>
      <c r="F157" s="160" t="n"/>
      <c r="G157" s="160" t="n"/>
      <c r="H157" s="160" t="n"/>
      <c r="I157" s="160" t="n"/>
      <c r="J157" s="160" t="n"/>
      <c r="K157" s="160" t="n"/>
      <c r="L157" s="160" t="n"/>
      <c r="M157" s="160" t="n"/>
      <c r="N157" s="160" t="n"/>
      <c r="O157" s="160" t="n"/>
      <c r="P157" s="160" t="n"/>
      <c r="Q157" s="160" t="n"/>
      <c r="R157" s="160" t="n"/>
      <c r="S157" s="160" t="n"/>
      <c r="T157" s="160" t="n"/>
      <c r="U157" s="160" t="n"/>
      <c r="V157" s="160" t="n"/>
      <c r="W157" s="160" t="n"/>
      <c r="X157" s="160" t="n"/>
      <c r="Y157" s="160" t="n"/>
      <c r="Z157" s="160" t="n"/>
      <c r="AA157" s="160" t="n"/>
      <c r="AB157" s="160" t="n"/>
      <c r="AC157" s="160" t="n"/>
      <c r="AD157" s="160" t="n"/>
      <c r="AE157" s="160" t="n"/>
      <c r="AF157" s="160" t="n"/>
      <c r="AG157" s="160" t="n"/>
      <c r="AH157" s="160" t="n"/>
      <c r="AI157" s="160" t="n"/>
      <c r="AJ157" s="160" t="n"/>
      <c r="AK157" s="160" t="n"/>
      <c r="AL157" s="160" t="n"/>
      <c r="AM157" s="160" t="n"/>
      <c r="AN157" s="160" t="n"/>
      <c r="AO157" s="160" t="n"/>
      <c r="AP157" s="160" t="n"/>
      <c r="AQ157" s="160" t="n"/>
      <c r="AR157" s="160" t="n"/>
    </row>
    <row r="160">
      <c r="A160" s="2">
        <f>IF($A153="","","   projections")</f>
        <v/>
      </c>
      <c r="B160" s="158">
        <f>IF($A153="",0,COUNT($E161:$AR161))</f>
        <v/>
      </c>
      <c r="C160" s="159">
        <f>IF($B160=0,0,MAX($E161:$AR161))</f>
        <v/>
      </c>
      <c r="D160" s="101">
        <f>BDS($A153,FLD_PROJ,"headers=y","startcol=1","endcol=3","dir=h")</f>
        <v/>
      </c>
      <c r="E160" s="102" t="n"/>
      <c r="F160" s="102" t="n"/>
      <c r="G160" s="102" t="n"/>
      <c r="H160" s="102" t="n"/>
      <c r="I160" s="102" t="n"/>
      <c r="J160" s="102" t="n"/>
      <c r="K160" s="102" t="n"/>
      <c r="L160" s="102" t="n"/>
      <c r="M160" s="102" t="n"/>
      <c r="N160" s="102" t="n"/>
      <c r="O160" s="102" t="n"/>
      <c r="P160" s="102" t="n"/>
      <c r="Q160" s="102" t="n"/>
      <c r="R160" s="102" t="n"/>
      <c r="S160" s="102" t="n"/>
      <c r="T160" s="102" t="n"/>
      <c r="U160" s="102" t="n"/>
      <c r="V160" s="102" t="n"/>
      <c r="W160" s="102" t="n"/>
      <c r="X160" s="102" t="n"/>
      <c r="Y160" s="102" t="n"/>
      <c r="Z160" s="102" t="n"/>
      <c r="AA160" s="102" t="n"/>
      <c r="AB160" s="102" t="n"/>
      <c r="AC160" s="102" t="n"/>
      <c r="AD160" s="102" t="n"/>
      <c r="AE160" s="102" t="n"/>
      <c r="AF160" s="102" t="n"/>
      <c r="AG160" s="102" t="n"/>
      <c r="AH160" s="102" t="n"/>
      <c r="AI160" s="102" t="n"/>
      <c r="AJ160" s="102" t="n"/>
      <c r="AK160" s="102" t="n"/>
      <c r="AL160" s="102" t="n"/>
      <c r="AM160" s="102" t="n"/>
      <c r="AN160" s="102" t="n"/>
      <c r="AO160" s="102" t="n"/>
      <c r="AP160" s="102" t="n"/>
      <c r="AQ160" s="102" t="n"/>
      <c r="AR160" s="102" t="n"/>
    </row>
    <row r="161">
      <c r="D161" s="102" t="n"/>
      <c r="E161" s="102" t="n"/>
      <c r="F161" s="102" t="n"/>
      <c r="G161" s="102" t="n"/>
      <c r="H161" s="102" t="n"/>
      <c r="I161" s="102" t="n"/>
      <c r="J161" s="102" t="n"/>
      <c r="K161" s="102" t="n"/>
      <c r="L161" s="102" t="n"/>
      <c r="M161" s="102" t="n"/>
      <c r="N161" s="102" t="n"/>
      <c r="O161" s="102" t="n"/>
      <c r="P161" s="102" t="n"/>
      <c r="Q161" s="102" t="n"/>
      <c r="R161" s="102" t="n"/>
      <c r="S161" s="102" t="n"/>
      <c r="T161" s="102" t="n"/>
      <c r="U161" s="102" t="n"/>
      <c r="V161" s="102" t="n"/>
      <c r="W161" s="102" t="n"/>
      <c r="X161" s="102" t="n"/>
      <c r="Y161" s="102" t="n"/>
      <c r="Z161" s="102" t="n"/>
      <c r="AA161" s="102" t="n"/>
      <c r="AB161" s="102" t="n"/>
      <c r="AC161" s="102" t="n"/>
      <c r="AD161" s="102" t="n"/>
      <c r="AE161" s="102" t="n"/>
      <c r="AF161" s="102" t="n"/>
      <c r="AG161" s="102" t="n"/>
      <c r="AH161" s="102" t="n"/>
      <c r="AI161" s="102" t="n"/>
      <c r="AJ161" s="102" t="n"/>
      <c r="AK161" s="102" t="n"/>
      <c r="AL161" s="102" t="n"/>
      <c r="AM161" s="102" t="n"/>
      <c r="AN161" s="102" t="n"/>
      <c r="AO161" s="102" t="n"/>
      <c r="AP161" s="102" t="n"/>
      <c r="AQ161" s="102" t="n"/>
      <c r="AR161" s="102" t="n"/>
    </row>
    <row r="162">
      <c r="D162" s="160" t="n"/>
      <c r="E162" s="160" t="n"/>
      <c r="F162" s="160" t="n"/>
      <c r="G162" s="160" t="n"/>
      <c r="H162" s="160" t="n"/>
      <c r="I162" s="160" t="n"/>
      <c r="J162" s="160" t="n"/>
      <c r="K162" s="160" t="n"/>
      <c r="L162" s="160" t="n"/>
      <c r="M162" s="160" t="n"/>
      <c r="N162" s="160" t="n"/>
      <c r="O162" s="160" t="n"/>
      <c r="P162" s="160" t="n"/>
      <c r="Q162" s="160" t="n"/>
      <c r="R162" s="160" t="n"/>
      <c r="S162" s="160" t="n"/>
      <c r="T162" s="160" t="n"/>
      <c r="U162" s="160" t="n"/>
      <c r="V162" s="160" t="n"/>
      <c r="W162" s="160" t="n"/>
      <c r="X162" s="160" t="n"/>
      <c r="Y162" s="160" t="n"/>
      <c r="Z162" s="160" t="n"/>
      <c r="AA162" s="160" t="n"/>
      <c r="AB162" s="160" t="n"/>
      <c r="AC162" s="160" t="n"/>
      <c r="AD162" s="160" t="n"/>
      <c r="AE162" s="160" t="n"/>
      <c r="AF162" s="160" t="n"/>
      <c r="AG162" s="160" t="n"/>
      <c r="AH162" s="160" t="n"/>
      <c r="AI162" s="160" t="n"/>
      <c r="AJ162" s="160" t="n"/>
      <c r="AK162" s="160" t="n"/>
      <c r="AL162" s="160" t="n"/>
      <c r="AM162" s="160" t="n"/>
      <c r="AN162" s="160" t="n"/>
      <c r="AO162" s="160" t="n"/>
      <c r="AP162" s="160" t="n"/>
      <c r="AQ162" s="160" t="n"/>
      <c r="AR162" s="160" t="n"/>
    </row>
    <row r="164">
      <c r="A164" s="8">
        <f>IF(HSI!$C$21="","",HSI!$C$21)</f>
        <v/>
      </c>
      <c r="B164" s="158">
        <f>IF($A164="",0,COUNT($E165:$AR165))</f>
        <v/>
      </c>
      <c r="C164" s="159">
        <f>IF($B164=0,0,MAX($E165:$AR165))</f>
        <v/>
      </c>
      <c r="D164" s="101">
        <f>BDS($A164,FLD_HIST,"headers=y","startcol=1","endcol=7","dir=h","DVD_START_DT",HIST_FROM,"DVD_END_DT",HIST_TO)</f>
        <v/>
      </c>
      <c r="E164" s="102" t="n"/>
      <c r="F164" s="102" t="n"/>
      <c r="G164" s="102" t="n"/>
      <c r="H164" s="102" t="n"/>
      <c r="I164" s="102" t="n"/>
      <c r="J164" s="102" t="n"/>
      <c r="K164" s="102" t="n"/>
      <c r="L164" s="102" t="n"/>
      <c r="M164" s="102" t="n"/>
      <c r="N164" s="102" t="n"/>
      <c r="O164" s="102" t="n"/>
      <c r="P164" s="102" t="n"/>
      <c r="Q164" s="102" t="n"/>
      <c r="R164" s="102" t="n"/>
      <c r="S164" s="102" t="n"/>
      <c r="T164" s="102" t="n"/>
      <c r="U164" s="102" t="n"/>
      <c r="V164" s="102" t="n"/>
      <c r="W164" s="102" t="n"/>
      <c r="X164" s="102" t="n"/>
      <c r="Y164" s="102" t="n"/>
      <c r="Z164" s="102" t="n"/>
      <c r="AA164" s="102" t="n"/>
      <c r="AB164" s="102" t="n"/>
      <c r="AC164" s="102" t="n"/>
      <c r="AD164" s="102" t="n"/>
      <c r="AE164" s="102" t="n"/>
      <c r="AF164" s="102" t="n"/>
      <c r="AG164" s="102" t="n"/>
      <c r="AH164" s="102" t="n"/>
      <c r="AI164" s="102" t="n"/>
      <c r="AJ164" s="102" t="n"/>
      <c r="AK164" s="102" t="n"/>
      <c r="AL164" s="102" t="n"/>
      <c r="AM164" s="102" t="n"/>
      <c r="AN164" s="102" t="n"/>
      <c r="AO164" s="102" t="n"/>
      <c r="AP164" s="102" t="n"/>
      <c r="AQ164" s="102" t="n"/>
      <c r="AR164" s="102" t="n"/>
    </row>
    <row r="165">
      <c r="D165" s="102" t="n"/>
      <c r="E165" s="102" t="n"/>
      <c r="F165" s="102" t="n"/>
      <c r="G165" s="102" t="n"/>
      <c r="H165" s="102" t="n"/>
      <c r="I165" s="102" t="n"/>
      <c r="J165" s="102" t="n"/>
      <c r="K165" s="102" t="n"/>
      <c r="L165" s="102" t="n"/>
      <c r="M165" s="102" t="n"/>
      <c r="N165" s="102" t="n"/>
      <c r="O165" s="102" t="n"/>
      <c r="P165" s="102" t="n"/>
      <c r="Q165" s="102" t="n"/>
      <c r="R165" s="102" t="n"/>
      <c r="S165" s="102" t="n"/>
      <c r="T165" s="102" t="n"/>
      <c r="U165" s="102" t="n"/>
      <c r="V165" s="102" t="n"/>
      <c r="W165" s="102" t="n"/>
      <c r="X165" s="102" t="n"/>
      <c r="Y165" s="102" t="n"/>
      <c r="Z165" s="102" t="n"/>
      <c r="AA165" s="102" t="n"/>
      <c r="AB165" s="102" t="n"/>
      <c r="AC165" s="102" t="n"/>
      <c r="AD165" s="102" t="n"/>
      <c r="AE165" s="102" t="n"/>
      <c r="AF165" s="102" t="n"/>
      <c r="AG165" s="102" t="n"/>
      <c r="AH165" s="102" t="n"/>
      <c r="AI165" s="102" t="n"/>
      <c r="AJ165" s="102" t="n"/>
      <c r="AK165" s="102" t="n"/>
      <c r="AL165" s="102" t="n"/>
      <c r="AM165" s="102" t="n"/>
      <c r="AN165" s="102" t="n"/>
      <c r="AO165" s="102" t="n"/>
      <c r="AP165" s="102" t="n"/>
      <c r="AQ165" s="102" t="n"/>
      <c r="AR165" s="102" t="n"/>
    </row>
    <row r="166">
      <c r="D166" s="102" t="n"/>
      <c r="E166" s="102" t="n"/>
      <c r="F166" s="102" t="n"/>
      <c r="G166" s="102" t="n"/>
      <c r="H166" s="102" t="n"/>
      <c r="I166" s="102" t="n"/>
      <c r="J166" s="102" t="n"/>
      <c r="K166" s="102" t="n"/>
      <c r="L166" s="102" t="n"/>
      <c r="M166" s="102" t="n"/>
      <c r="N166" s="102" t="n"/>
      <c r="O166" s="102" t="n"/>
      <c r="P166" s="102" t="n"/>
      <c r="Q166" s="102" t="n"/>
      <c r="R166" s="102" t="n"/>
      <c r="S166" s="102" t="n"/>
      <c r="T166" s="102" t="n"/>
      <c r="U166" s="102" t="n"/>
      <c r="V166" s="102" t="n"/>
      <c r="W166" s="102" t="n"/>
      <c r="X166" s="102" t="n"/>
      <c r="Y166" s="102" t="n"/>
      <c r="Z166" s="102" t="n"/>
      <c r="AA166" s="102" t="n"/>
      <c r="AB166" s="102" t="n"/>
      <c r="AC166" s="102" t="n"/>
      <c r="AD166" s="102" t="n"/>
      <c r="AE166" s="102" t="n"/>
      <c r="AF166" s="102" t="n"/>
      <c r="AG166" s="102" t="n"/>
      <c r="AH166" s="102" t="n"/>
      <c r="AI166" s="102" t="n"/>
      <c r="AJ166" s="102" t="n"/>
      <c r="AK166" s="102" t="n"/>
      <c r="AL166" s="102" t="n"/>
      <c r="AM166" s="102" t="n"/>
      <c r="AN166" s="102" t="n"/>
      <c r="AO166" s="102" t="n"/>
      <c r="AP166" s="102" t="n"/>
      <c r="AQ166" s="102" t="n"/>
      <c r="AR166" s="102" t="n"/>
    </row>
    <row r="167">
      <c r="D167" s="102" t="n"/>
      <c r="E167" s="102" t="n"/>
      <c r="F167" s="102" t="n"/>
      <c r="G167" s="102" t="n"/>
      <c r="H167" s="102" t="n"/>
      <c r="I167" s="102" t="n"/>
      <c r="J167" s="102" t="n"/>
      <c r="K167" s="102" t="n"/>
      <c r="L167" s="102" t="n"/>
      <c r="M167" s="102" t="n"/>
      <c r="N167" s="102" t="n"/>
      <c r="O167" s="102" t="n"/>
      <c r="P167" s="102" t="n"/>
      <c r="Q167" s="102" t="n"/>
      <c r="R167" s="102" t="n"/>
      <c r="S167" s="102" t="n"/>
      <c r="T167" s="102" t="n"/>
      <c r="U167" s="102" t="n"/>
      <c r="V167" s="102" t="n"/>
      <c r="W167" s="102" t="n"/>
      <c r="X167" s="102" t="n"/>
      <c r="Y167" s="102" t="n"/>
      <c r="Z167" s="102" t="n"/>
      <c r="AA167" s="102" t="n"/>
      <c r="AB167" s="102" t="n"/>
      <c r="AC167" s="102" t="n"/>
      <c r="AD167" s="102" t="n"/>
      <c r="AE167" s="102" t="n"/>
      <c r="AF167" s="102" t="n"/>
      <c r="AG167" s="102" t="n"/>
      <c r="AH167" s="102" t="n"/>
      <c r="AI167" s="102" t="n"/>
      <c r="AJ167" s="102" t="n"/>
      <c r="AK167" s="102" t="n"/>
      <c r="AL167" s="102" t="n"/>
      <c r="AM167" s="102" t="n"/>
      <c r="AN167" s="102" t="n"/>
      <c r="AO167" s="102" t="n"/>
      <c r="AP167" s="102" t="n"/>
      <c r="AQ167" s="102" t="n"/>
      <c r="AR167" s="102" t="n"/>
    </row>
    <row r="168">
      <c r="D168" s="160" t="n"/>
      <c r="E168" s="160" t="n"/>
      <c r="F168" s="160" t="n"/>
      <c r="G168" s="160" t="n"/>
      <c r="H168" s="160" t="n"/>
      <c r="I168" s="160" t="n"/>
      <c r="J168" s="160" t="n"/>
      <c r="K168" s="160" t="n"/>
      <c r="L168" s="160" t="n"/>
      <c r="M168" s="160" t="n"/>
      <c r="N168" s="160" t="n"/>
      <c r="O168" s="160" t="n"/>
      <c r="P168" s="160" t="n"/>
      <c r="Q168" s="160" t="n"/>
      <c r="R168" s="160" t="n"/>
      <c r="S168" s="160" t="n"/>
      <c r="T168" s="160" t="n"/>
      <c r="U168" s="160" t="n"/>
      <c r="V168" s="160" t="n"/>
      <c r="W168" s="160" t="n"/>
      <c r="X168" s="160" t="n"/>
      <c r="Y168" s="160" t="n"/>
      <c r="Z168" s="160" t="n"/>
      <c r="AA168" s="160" t="n"/>
      <c r="AB168" s="160" t="n"/>
      <c r="AC168" s="160" t="n"/>
      <c r="AD168" s="160" t="n"/>
      <c r="AE168" s="160" t="n"/>
      <c r="AF168" s="160" t="n"/>
      <c r="AG168" s="160" t="n"/>
      <c r="AH168" s="160" t="n"/>
      <c r="AI168" s="160" t="n"/>
      <c r="AJ168" s="160" t="n"/>
      <c r="AK168" s="160" t="n"/>
      <c r="AL168" s="160" t="n"/>
      <c r="AM168" s="160" t="n"/>
      <c r="AN168" s="160" t="n"/>
      <c r="AO168" s="160" t="n"/>
      <c r="AP168" s="160" t="n"/>
      <c r="AQ168" s="160" t="n"/>
      <c r="AR168" s="160" t="n"/>
    </row>
    <row r="171">
      <c r="A171" s="2">
        <f>IF($A164="","","   projections")</f>
        <v/>
      </c>
      <c r="B171" s="158">
        <f>IF($A164="",0,COUNT($E172:$AR172))</f>
        <v/>
      </c>
      <c r="C171" s="159">
        <f>IF($B171=0,0,MAX($E172:$AR172))</f>
        <v/>
      </c>
      <c r="D171" s="101">
        <f>BDS($A164,FLD_PROJ,"headers=y","startcol=1","endcol=3","dir=h")</f>
        <v/>
      </c>
      <c r="E171" s="102" t="n"/>
      <c r="F171" s="102" t="n"/>
      <c r="G171" s="102" t="n"/>
      <c r="H171" s="102" t="n"/>
      <c r="I171" s="102" t="n"/>
      <c r="J171" s="102" t="n"/>
      <c r="K171" s="102" t="n"/>
      <c r="L171" s="102" t="n"/>
      <c r="M171" s="102" t="n"/>
      <c r="N171" s="102" t="n"/>
      <c r="O171" s="102" t="n"/>
      <c r="P171" s="102" t="n"/>
      <c r="Q171" s="102" t="n"/>
      <c r="R171" s="102" t="n"/>
      <c r="S171" s="102" t="n"/>
      <c r="T171" s="102" t="n"/>
      <c r="U171" s="102" t="n"/>
      <c r="V171" s="102" t="n"/>
      <c r="W171" s="102" t="n"/>
      <c r="X171" s="102" t="n"/>
      <c r="Y171" s="102" t="n"/>
      <c r="Z171" s="102" t="n"/>
      <c r="AA171" s="102" t="n"/>
      <c r="AB171" s="102" t="n"/>
      <c r="AC171" s="102" t="n"/>
      <c r="AD171" s="102" t="n"/>
      <c r="AE171" s="102" t="n"/>
      <c r="AF171" s="102" t="n"/>
      <c r="AG171" s="102" t="n"/>
      <c r="AH171" s="102" t="n"/>
      <c r="AI171" s="102" t="n"/>
      <c r="AJ171" s="102" t="n"/>
      <c r="AK171" s="102" t="n"/>
      <c r="AL171" s="102" t="n"/>
      <c r="AM171" s="102" t="n"/>
      <c r="AN171" s="102" t="n"/>
      <c r="AO171" s="102" t="n"/>
      <c r="AP171" s="102" t="n"/>
      <c r="AQ171" s="102" t="n"/>
      <c r="AR171" s="102" t="n"/>
    </row>
    <row r="172">
      <c r="D172" s="102" t="n"/>
      <c r="E172" s="102" t="n"/>
      <c r="F172" s="102" t="n"/>
      <c r="G172" s="102" t="n"/>
      <c r="H172" s="102" t="n"/>
      <c r="I172" s="102" t="n"/>
      <c r="J172" s="102" t="n"/>
      <c r="K172" s="102" t="n"/>
      <c r="L172" s="102" t="n"/>
      <c r="M172" s="102" t="n"/>
      <c r="N172" s="102" t="n"/>
      <c r="O172" s="102" t="n"/>
      <c r="P172" s="102" t="n"/>
      <c r="Q172" s="102" t="n"/>
      <c r="R172" s="102" t="n"/>
      <c r="S172" s="102" t="n"/>
      <c r="T172" s="102" t="n"/>
      <c r="U172" s="102" t="n"/>
      <c r="V172" s="102" t="n"/>
      <c r="W172" s="102" t="n"/>
      <c r="X172" s="102" t="n"/>
      <c r="Y172" s="102" t="n"/>
      <c r="Z172" s="102" t="n"/>
      <c r="AA172" s="102" t="n"/>
      <c r="AB172" s="102" t="n"/>
      <c r="AC172" s="102" t="n"/>
      <c r="AD172" s="102" t="n"/>
      <c r="AE172" s="102" t="n"/>
      <c r="AF172" s="102" t="n"/>
      <c r="AG172" s="102" t="n"/>
      <c r="AH172" s="102" t="n"/>
      <c r="AI172" s="102" t="n"/>
      <c r="AJ172" s="102" t="n"/>
      <c r="AK172" s="102" t="n"/>
      <c r="AL172" s="102" t="n"/>
      <c r="AM172" s="102" t="n"/>
      <c r="AN172" s="102" t="n"/>
      <c r="AO172" s="102" t="n"/>
      <c r="AP172" s="102" t="n"/>
      <c r="AQ172" s="102" t="n"/>
      <c r="AR172" s="102" t="n"/>
    </row>
    <row r="173">
      <c r="D173" s="160" t="n"/>
      <c r="E173" s="160" t="n"/>
      <c r="F173" s="160" t="n"/>
      <c r="G173" s="160" t="n"/>
      <c r="H173" s="160" t="n"/>
      <c r="I173" s="160" t="n"/>
      <c r="J173" s="160" t="n"/>
      <c r="K173" s="160" t="n"/>
      <c r="L173" s="160" t="n"/>
      <c r="M173" s="160" t="n"/>
      <c r="N173" s="160" t="n"/>
      <c r="O173" s="160" t="n"/>
      <c r="P173" s="160" t="n"/>
      <c r="Q173" s="160" t="n"/>
      <c r="R173" s="160" t="n"/>
      <c r="S173" s="160" t="n"/>
      <c r="T173" s="160" t="n"/>
      <c r="U173" s="160" t="n"/>
      <c r="V173" s="160" t="n"/>
      <c r="W173" s="160" t="n"/>
      <c r="X173" s="160" t="n"/>
      <c r="Y173" s="160" t="n"/>
      <c r="Z173" s="160" t="n"/>
      <c r="AA173" s="160" t="n"/>
      <c r="AB173" s="160" t="n"/>
      <c r="AC173" s="160" t="n"/>
      <c r="AD173" s="160" t="n"/>
      <c r="AE173" s="160" t="n"/>
      <c r="AF173" s="160" t="n"/>
      <c r="AG173" s="160" t="n"/>
      <c r="AH173" s="160" t="n"/>
      <c r="AI173" s="160" t="n"/>
      <c r="AJ173" s="160" t="n"/>
      <c r="AK173" s="160" t="n"/>
      <c r="AL173" s="160" t="n"/>
      <c r="AM173" s="160" t="n"/>
      <c r="AN173" s="160" t="n"/>
      <c r="AO173" s="160" t="n"/>
      <c r="AP173" s="160" t="n"/>
      <c r="AQ173" s="160" t="n"/>
      <c r="AR173" s="160" t="n"/>
    </row>
    <row r="175">
      <c r="A175" s="8">
        <f>IF(HSI!$C$22="","",HSI!$C$22)</f>
        <v/>
      </c>
      <c r="B175" s="158">
        <f>IF($A175="",0,COUNT($E176:$AR176))</f>
        <v/>
      </c>
      <c r="C175" s="159">
        <f>IF($B175=0,0,MAX($E176:$AR176))</f>
        <v/>
      </c>
      <c r="D175" s="101">
        <f>BDS($A175,FLD_HIST,"headers=y","startcol=1","endcol=7","dir=h","DVD_START_DT",HIST_FROM,"DVD_END_DT",HIST_TO)</f>
        <v/>
      </c>
      <c r="E175" s="102" t="n"/>
      <c r="F175" s="102" t="n"/>
      <c r="G175" s="102" t="n"/>
      <c r="H175" s="102" t="n"/>
      <c r="I175" s="102" t="n"/>
      <c r="J175" s="102" t="n"/>
      <c r="K175" s="102" t="n"/>
      <c r="L175" s="102" t="n"/>
      <c r="M175" s="102" t="n"/>
      <c r="N175" s="102" t="n"/>
      <c r="O175" s="102" t="n"/>
      <c r="P175" s="102" t="n"/>
      <c r="Q175" s="102" t="n"/>
      <c r="R175" s="102" t="n"/>
      <c r="S175" s="102" t="n"/>
      <c r="T175" s="102" t="n"/>
      <c r="U175" s="102" t="n"/>
      <c r="V175" s="102" t="n"/>
      <c r="W175" s="102" t="n"/>
      <c r="X175" s="102" t="n"/>
      <c r="Y175" s="102" t="n"/>
      <c r="Z175" s="102" t="n"/>
      <c r="AA175" s="102" t="n"/>
      <c r="AB175" s="102" t="n"/>
      <c r="AC175" s="102" t="n"/>
      <c r="AD175" s="102" t="n"/>
      <c r="AE175" s="102" t="n"/>
      <c r="AF175" s="102" t="n"/>
      <c r="AG175" s="102" t="n"/>
      <c r="AH175" s="102" t="n"/>
      <c r="AI175" s="102" t="n"/>
      <c r="AJ175" s="102" t="n"/>
      <c r="AK175" s="102" t="n"/>
      <c r="AL175" s="102" t="n"/>
      <c r="AM175" s="102" t="n"/>
      <c r="AN175" s="102" t="n"/>
      <c r="AO175" s="102" t="n"/>
      <c r="AP175" s="102" t="n"/>
      <c r="AQ175" s="102" t="n"/>
      <c r="AR175" s="102" t="n"/>
    </row>
    <row r="176">
      <c r="D176" s="102" t="n"/>
      <c r="E176" s="102" t="n"/>
      <c r="F176" s="102" t="n"/>
      <c r="G176" s="102" t="n"/>
      <c r="H176" s="102" t="n"/>
      <c r="I176" s="102" t="n"/>
      <c r="J176" s="102" t="n"/>
      <c r="K176" s="102" t="n"/>
      <c r="L176" s="102" t="n"/>
      <c r="M176" s="102" t="n"/>
      <c r="N176" s="102" t="n"/>
      <c r="O176" s="102" t="n"/>
      <c r="P176" s="102" t="n"/>
      <c r="Q176" s="102" t="n"/>
      <c r="R176" s="102" t="n"/>
      <c r="S176" s="102" t="n"/>
      <c r="T176" s="102" t="n"/>
      <c r="U176" s="102" t="n"/>
      <c r="V176" s="102" t="n"/>
      <c r="W176" s="102" t="n"/>
      <c r="X176" s="102" t="n"/>
      <c r="Y176" s="102" t="n"/>
      <c r="Z176" s="102" t="n"/>
      <c r="AA176" s="102" t="n"/>
      <c r="AB176" s="102" t="n"/>
      <c r="AC176" s="102" t="n"/>
      <c r="AD176" s="102" t="n"/>
      <c r="AE176" s="102" t="n"/>
      <c r="AF176" s="102" t="n"/>
      <c r="AG176" s="102" t="n"/>
      <c r="AH176" s="102" t="n"/>
      <c r="AI176" s="102" t="n"/>
      <c r="AJ176" s="102" t="n"/>
      <c r="AK176" s="102" t="n"/>
      <c r="AL176" s="102" t="n"/>
      <c r="AM176" s="102" t="n"/>
      <c r="AN176" s="102" t="n"/>
      <c r="AO176" s="102" t="n"/>
      <c r="AP176" s="102" t="n"/>
      <c r="AQ176" s="102" t="n"/>
      <c r="AR176" s="102" t="n"/>
    </row>
    <row r="177">
      <c r="D177" s="102" t="n"/>
      <c r="E177" s="102" t="n"/>
      <c r="F177" s="102" t="n"/>
      <c r="G177" s="102" t="n"/>
      <c r="H177" s="102" t="n"/>
      <c r="I177" s="102" t="n"/>
      <c r="J177" s="102" t="n"/>
      <c r="K177" s="102" t="n"/>
      <c r="L177" s="102" t="n"/>
      <c r="M177" s="102" t="n"/>
      <c r="N177" s="102" t="n"/>
      <c r="O177" s="102" t="n"/>
      <c r="P177" s="102" t="n"/>
      <c r="Q177" s="102" t="n"/>
      <c r="R177" s="102" t="n"/>
      <c r="S177" s="102" t="n"/>
      <c r="T177" s="102" t="n"/>
      <c r="U177" s="102" t="n"/>
      <c r="V177" s="102" t="n"/>
      <c r="W177" s="102" t="n"/>
      <c r="X177" s="102" t="n"/>
      <c r="Y177" s="102" t="n"/>
      <c r="Z177" s="102" t="n"/>
      <c r="AA177" s="102" t="n"/>
      <c r="AB177" s="102" t="n"/>
      <c r="AC177" s="102" t="n"/>
      <c r="AD177" s="102" t="n"/>
      <c r="AE177" s="102" t="n"/>
      <c r="AF177" s="102" t="n"/>
      <c r="AG177" s="102" t="n"/>
      <c r="AH177" s="102" t="n"/>
      <c r="AI177" s="102" t="n"/>
      <c r="AJ177" s="102" t="n"/>
      <c r="AK177" s="102" t="n"/>
      <c r="AL177" s="102" t="n"/>
      <c r="AM177" s="102" t="n"/>
      <c r="AN177" s="102" t="n"/>
      <c r="AO177" s="102" t="n"/>
      <c r="AP177" s="102" t="n"/>
      <c r="AQ177" s="102" t="n"/>
      <c r="AR177" s="102" t="n"/>
    </row>
    <row r="178">
      <c r="D178" s="102" t="n"/>
      <c r="E178" s="102" t="n"/>
      <c r="F178" s="102" t="n"/>
      <c r="G178" s="102" t="n"/>
      <c r="H178" s="102" t="n"/>
      <c r="I178" s="102" t="n"/>
      <c r="J178" s="102" t="n"/>
      <c r="K178" s="102" t="n"/>
      <c r="L178" s="102" t="n"/>
      <c r="M178" s="102" t="n"/>
      <c r="N178" s="102" t="n"/>
      <c r="O178" s="102" t="n"/>
      <c r="P178" s="102" t="n"/>
      <c r="Q178" s="102" t="n"/>
      <c r="R178" s="102" t="n"/>
      <c r="S178" s="102" t="n"/>
      <c r="T178" s="102" t="n"/>
      <c r="U178" s="102" t="n"/>
      <c r="V178" s="102" t="n"/>
      <c r="W178" s="102" t="n"/>
      <c r="X178" s="102" t="n"/>
      <c r="Y178" s="102" t="n"/>
      <c r="Z178" s="102" t="n"/>
      <c r="AA178" s="102" t="n"/>
      <c r="AB178" s="102" t="n"/>
      <c r="AC178" s="102" t="n"/>
      <c r="AD178" s="102" t="n"/>
      <c r="AE178" s="102" t="n"/>
      <c r="AF178" s="102" t="n"/>
      <c r="AG178" s="102" t="n"/>
      <c r="AH178" s="102" t="n"/>
      <c r="AI178" s="102" t="n"/>
      <c r="AJ178" s="102" t="n"/>
      <c r="AK178" s="102" t="n"/>
      <c r="AL178" s="102" t="n"/>
      <c r="AM178" s="102" t="n"/>
      <c r="AN178" s="102" t="n"/>
      <c r="AO178" s="102" t="n"/>
      <c r="AP178" s="102" t="n"/>
      <c r="AQ178" s="102" t="n"/>
      <c r="AR178" s="102" t="n"/>
    </row>
    <row r="179">
      <c r="D179" s="160" t="n"/>
      <c r="E179" s="160" t="n"/>
      <c r="F179" s="160" t="n"/>
      <c r="G179" s="160" t="n"/>
      <c r="H179" s="160" t="n"/>
      <c r="I179" s="160" t="n"/>
      <c r="J179" s="160" t="n"/>
      <c r="K179" s="160" t="n"/>
      <c r="L179" s="160" t="n"/>
      <c r="M179" s="160" t="n"/>
      <c r="N179" s="160" t="n"/>
      <c r="O179" s="160" t="n"/>
      <c r="P179" s="160" t="n"/>
      <c r="Q179" s="160" t="n"/>
      <c r="R179" s="160" t="n"/>
      <c r="S179" s="160" t="n"/>
      <c r="T179" s="160" t="n"/>
      <c r="U179" s="160" t="n"/>
      <c r="V179" s="160" t="n"/>
      <c r="W179" s="160" t="n"/>
      <c r="X179" s="160" t="n"/>
      <c r="Y179" s="160" t="n"/>
      <c r="Z179" s="160" t="n"/>
      <c r="AA179" s="160" t="n"/>
      <c r="AB179" s="160" t="n"/>
      <c r="AC179" s="160" t="n"/>
      <c r="AD179" s="160" t="n"/>
      <c r="AE179" s="160" t="n"/>
      <c r="AF179" s="160" t="n"/>
      <c r="AG179" s="160" t="n"/>
      <c r="AH179" s="160" t="n"/>
      <c r="AI179" s="160" t="n"/>
      <c r="AJ179" s="160" t="n"/>
      <c r="AK179" s="160" t="n"/>
      <c r="AL179" s="160" t="n"/>
      <c r="AM179" s="160" t="n"/>
      <c r="AN179" s="160" t="n"/>
      <c r="AO179" s="160" t="n"/>
      <c r="AP179" s="160" t="n"/>
      <c r="AQ179" s="160" t="n"/>
      <c r="AR179" s="160" t="n"/>
    </row>
    <row r="182">
      <c r="A182" s="2">
        <f>IF($A175="","","   projections")</f>
        <v/>
      </c>
      <c r="B182" s="158">
        <f>IF($A175="",0,COUNT($E183:$AR183))</f>
        <v/>
      </c>
      <c r="C182" s="159">
        <f>IF($B182=0,0,MAX($E183:$AR183))</f>
        <v/>
      </c>
      <c r="D182" s="101">
        <f>BDS($A175,FLD_PROJ,"headers=y","startcol=1","endcol=3","dir=h")</f>
        <v/>
      </c>
      <c r="E182" s="102" t="n"/>
      <c r="F182" s="102" t="n"/>
      <c r="G182" s="102" t="n"/>
      <c r="H182" s="102" t="n"/>
      <c r="I182" s="102" t="n"/>
      <c r="J182" s="102" t="n"/>
      <c r="K182" s="102" t="n"/>
      <c r="L182" s="102" t="n"/>
      <c r="M182" s="102" t="n"/>
      <c r="N182" s="102" t="n"/>
      <c r="O182" s="102" t="n"/>
      <c r="P182" s="102" t="n"/>
      <c r="Q182" s="102" t="n"/>
      <c r="R182" s="102" t="n"/>
      <c r="S182" s="102" t="n"/>
      <c r="T182" s="102" t="n"/>
      <c r="U182" s="102" t="n"/>
      <c r="V182" s="102" t="n"/>
      <c r="W182" s="102" t="n"/>
      <c r="X182" s="102" t="n"/>
      <c r="Y182" s="102" t="n"/>
      <c r="Z182" s="102" t="n"/>
      <c r="AA182" s="102" t="n"/>
      <c r="AB182" s="102" t="n"/>
      <c r="AC182" s="102" t="n"/>
      <c r="AD182" s="102" t="n"/>
      <c r="AE182" s="102" t="n"/>
      <c r="AF182" s="102" t="n"/>
      <c r="AG182" s="102" t="n"/>
      <c r="AH182" s="102" t="n"/>
      <c r="AI182" s="102" t="n"/>
      <c r="AJ182" s="102" t="n"/>
      <c r="AK182" s="102" t="n"/>
      <c r="AL182" s="102" t="n"/>
      <c r="AM182" s="102" t="n"/>
      <c r="AN182" s="102" t="n"/>
      <c r="AO182" s="102" t="n"/>
      <c r="AP182" s="102" t="n"/>
      <c r="AQ182" s="102" t="n"/>
      <c r="AR182" s="102" t="n"/>
    </row>
    <row r="183">
      <c r="D183" s="102" t="n"/>
      <c r="E183" s="102" t="n"/>
      <c r="F183" s="102" t="n"/>
      <c r="G183" s="102" t="n"/>
      <c r="H183" s="102" t="n"/>
      <c r="I183" s="102" t="n"/>
      <c r="J183" s="102" t="n"/>
      <c r="K183" s="102" t="n"/>
      <c r="L183" s="102" t="n"/>
      <c r="M183" s="102" t="n"/>
      <c r="N183" s="102" t="n"/>
      <c r="O183" s="102" t="n"/>
      <c r="P183" s="102" t="n"/>
      <c r="Q183" s="102" t="n"/>
      <c r="R183" s="102" t="n"/>
      <c r="S183" s="102" t="n"/>
      <c r="T183" s="102" t="n"/>
      <c r="U183" s="102" t="n"/>
      <c r="V183" s="102" t="n"/>
      <c r="W183" s="102" t="n"/>
      <c r="X183" s="102" t="n"/>
      <c r="Y183" s="102" t="n"/>
      <c r="Z183" s="102" t="n"/>
      <c r="AA183" s="102" t="n"/>
      <c r="AB183" s="102" t="n"/>
      <c r="AC183" s="102" t="n"/>
      <c r="AD183" s="102" t="n"/>
      <c r="AE183" s="102" t="n"/>
      <c r="AF183" s="102" t="n"/>
      <c r="AG183" s="102" t="n"/>
      <c r="AH183" s="102" t="n"/>
      <c r="AI183" s="102" t="n"/>
      <c r="AJ183" s="102" t="n"/>
      <c r="AK183" s="102" t="n"/>
      <c r="AL183" s="102" t="n"/>
      <c r="AM183" s="102" t="n"/>
      <c r="AN183" s="102" t="n"/>
      <c r="AO183" s="102" t="n"/>
      <c r="AP183" s="102" t="n"/>
      <c r="AQ183" s="102" t="n"/>
      <c r="AR183" s="102" t="n"/>
    </row>
    <row r="184">
      <c r="D184" s="160" t="n"/>
      <c r="E184" s="160" t="n"/>
      <c r="F184" s="160" t="n"/>
      <c r="G184" s="160" t="n"/>
      <c r="H184" s="160" t="n"/>
      <c r="I184" s="160" t="n"/>
      <c r="J184" s="160" t="n"/>
      <c r="K184" s="160" t="n"/>
      <c r="L184" s="160" t="n"/>
      <c r="M184" s="160" t="n"/>
      <c r="N184" s="160" t="n"/>
      <c r="O184" s="160" t="n"/>
      <c r="P184" s="160" t="n"/>
      <c r="Q184" s="160" t="n"/>
      <c r="R184" s="160" t="n"/>
      <c r="S184" s="160" t="n"/>
      <c r="T184" s="160" t="n"/>
      <c r="U184" s="160" t="n"/>
      <c r="V184" s="160" t="n"/>
      <c r="W184" s="160" t="n"/>
      <c r="X184" s="160" t="n"/>
      <c r="Y184" s="160" t="n"/>
      <c r="Z184" s="160" t="n"/>
      <c r="AA184" s="160" t="n"/>
      <c r="AB184" s="160" t="n"/>
      <c r="AC184" s="160" t="n"/>
      <c r="AD184" s="160" t="n"/>
      <c r="AE184" s="160" t="n"/>
      <c r="AF184" s="160" t="n"/>
      <c r="AG184" s="160" t="n"/>
      <c r="AH184" s="160" t="n"/>
      <c r="AI184" s="160" t="n"/>
      <c r="AJ184" s="160" t="n"/>
      <c r="AK184" s="160" t="n"/>
      <c r="AL184" s="160" t="n"/>
      <c r="AM184" s="160" t="n"/>
      <c r="AN184" s="160" t="n"/>
      <c r="AO184" s="160" t="n"/>
      <c r="AP184" s="160" t="n"/>
      <c r="AQ184" s="160" t="n"/>
      <c r="AR184" s="160" t="n"/>
    </row>
    <row r="186">
      <c r="A186" s="8">
        <f>IF(HSI!$C$23="","",HSI!$C$23)</f>
        <v/>
      </c>
      <c r="B186" s="158">
        <f>IF($A186="",0,COUNT($E187:$AR187))</f>
        <v/>
      </c>
      <c r="C186" s="159">
        <f>IF($B186=0,0,MAX($E187:$AR187))</f>
        <v/>
      </c>
      <c r="D186" s="101">
        <f>BDS($A186,FLD_HIST,"headers=y","startcol=1","endcol=7","dir=h","DVD_START_DT",HIST_FROM,"DVD_END_DT",HIST_TO)</f>
        <v/>
      </c>
      <c r="E186" s="102" t="n"/>
      <c r="F186" s="102" t="n"/>
      <c r="G186" s="102" t="n"/>
      <c r="H186" s="102" t="n"/>
      <c r="I186" s="102" t="n"/>
      <c r="J186" s="102" t="n"/>
      <c r="K186" s="102" t="n"/>
      <c r="L186" s="102" t="n"/>
      <c r="M186" s="102" t="n"/>
      <c r="N186" s="102" t="n"/>
      <c r="O186" s="102" t="n"/>
      <c r="P186" s="102" t="n"/>
      <c r="Q186" s="102" t="n"/>
      <c r="R186" s="102" t="n"/>
      <c r="S186" s="102" t="n"/>
      <c r="T186" s="102" t="n"/>
      <c r="U186" s="102" t="n"/>
      <c r="V186" s="102" t="n"/>
      <c r="W186" s="102" t="n"/>
      <c r="X186" s="102" t="n"/>
      <c r="Y186" s="102" t="n"/>
      <c r="Z186" s="102" t="n"/>
      <c r="AA186" s="102" t="n"/>
      <c r="AB186" s="102" t="n"/>
      <c r="AC186" s="102" t="n"/>
      <c r="AD186" s="102" t="n"/>
      <c r="AE186" s="102" t="n"/>
      <c r="AF186" s="102" t="n"/>
      <c r="AG186" s="102" t="n"/>
      <c r="AH186" s="102" t="n"/>
      <c r="AI186" s="102" t="n"/>
      <c r="AJ186" s="102" t="n"/>
      <c r="AK186" s="102" t="n"/>
      <c r="AL186" s="102" t="n"/>
      <c r="AM186" s="102" t="n"/>
      <c r="AN186" s="102" t="n"/>
      <c r="AO186" s="102" t="n"/>
      <c r="AP186" s="102" t="n"/>
      <c r="AQ186" s="102" t="n"/>
      <c r="AR186" s="102" t="n"/>
    </row>
    <row r="187">
      <c r="D187" s="102" t="n"/>
      <c r="E187" s="102" t="n"/>
      <c r="F187" s="102" t="n"/>
      <c r="G187" s="102" t="n"/>
      <c r="H187" s="102" t="n"/>
      <c r="I187" s="102" t="n"/>
      <c r="J187" s="102" t="n"/>
      <c r="K187" s="102" t="n"/>
      <c r="L187" s="102" t="n"/>
      <c r="M187" s="102" t="n"/>
      <c r="N187" s="102" t="n"/>
      <c r="O187" s="102" t="n"/>
      <c r="P187" s="102" t="n"/>
      <c r="Q187" s="102" t="n"/>
      <c r="R187" s="102" t="n"/>
      <c r="S187" s="102" t="n"/>
      <c r="T187" s="102" t="n"/>
      <c r="U187" s="102" t="n"/>
      <c r="V187" s="102" t="n"/>
      <c r="W187" s="102" t="n"/>
      <c r="X187" s="102" t="n"/>
      <c r="Y187" s="102" t="n"/>
      <c r="Z187" s="102" t="n"/>
      <c r="AA187" s="102" t="n"/>
      <c r="AB187" s="102" t="n"/>
      <c r="AC187" s="102" t="n"/>
      <c r="AD187" s="102" t="n"/>
      <c r="AE187" s="102" t="n"/>
      <c r="AF187" s="102" t="n"/>
      <c r="AG187" s="102" t="n"/>
      <c r="AH187" s="102" t="n"/>
      <c r="AI187" s="102" t="n"/>
      <c r="AJ187" s="102" t="n"/>
      <c r="AK187" s="102" t="n"/>
      <c r="AL187" s="102" t="n"/>
      <c r="AM187" s="102" t="n"/>
      <c r="AN187" s="102" t="n"/>
      <c r="AO187" s="102" t="n"/>
      <c r="AP187" s="102" t="n"/>
      <c r="AQ187" s="102" t="n"/>
      <c r="AR187" s="102" t="n"/>
    </row>
    <row r="188">
      <c r="D188" s="102" t="n"/>
      <c r="E188" s="102" t="n"/>
      <c r="F188" s="102" t="n"/>
      <c r="G188" s="102" t="n"/>
      <c r="H188" s="102" t="n"/>
      <c r="I188" s="102" t="n"/>
      <c r="J188" s="102" t="n"/>
      <c r="K188" s="102" t="n"/>
      <c r="L188" s="102" t="n"/>
      <c r="M188" s="102" t="n"/>
      <c r="N188" s="102" t="n"/>
      <c r="O188" s="102" t="n"/>
      <c r="P188" s="102" t="n"/>
      <c r="Q188" s="102" t="n"/>
      <c r="R188" s="102" t="n"/>
      <c r="S188" s="102" t="n"/>
      <c r="T188" s="102" t="n"/>
      <c r="U188" s="102" t="n"/>
      <c r="V188" s="102" t="n"/>
      <c r="W188" s="102" t="n"/>
      <c r="X188" s="102" t="n"/>
      <c r="Y188" s="102" t="n"/>
      <c r="Z188" s="102" t="n"/>
      <c r="AA188" s="102" t="n"/>
      <c r="AB188" s="102" t="n"/>
      <c r="AC188" s="102" t="n"/>
      <c r="AD188" s="102" t="n"/>
      <c r="AE188" s="102" t="n"/>
      <c r="AF188" s="102" t="n"/>
      <c r="AG188" s="102" t="n"/>
      <c r="AH188" s="102" t="n"/>
      <c r="AI188" s="102" t="n"/>
      <c r="AJ188" s="102" t="n"/>
      <c r="AK188" s="102" t="n"/>
      <c r="AL188" s="102" t="n"/>
      <c r="AM188" s="102" t="n"/>
      <c r="AN188" s="102" t="n"/>
      <c r="AO188" s="102" t="n"/>
      <c r="AP188" s="102" t="n"/>
      <c r="AQ188" s="102" t="n"/>
      <c r="AR188" s="102" t="n"/>
    </row>
    <row r="189">
      <c r="D189" s="102" t="n"/>
      <c r="E189" s="102" t="n"/>
      <c r="F189" s="102" t="n"/>
      <c r="G189" s="102" t="n"/>
      <c r="H189" s="102" t="n"/>
      <c r="I189" s="102" t="n"/>
      <c r="J189" s="102" t="n"/>
      <c r="K189" s="102" t="n"/>
      <c r="L189" s="102" t="n"/>
      <c r="M189" s="102" t="n"/>
      <c r="N189" s="102" t="n"/>
      <c r="O189" s="102" t="n"/>
      <c r="P189" s="102" t="n"/>
      <c r="Q189" s="102" t="n"/>
      <c r="R189" s="102" t="n"/>
      <c r="S189" s="102" t="n"/>
      <c r="T189" s="102" t="n"/>
      <c r="U189" s="102" t="n"/>
      <c r="V189" s="102" t="n"/>
      <c r="W189" s="102" t="n"/>
      <c r="X189" s="102" t="n"/>
      <c r="Y189" s="102" t="n"/>
      <c r="Z189" s="102" t="n"/>
      <c r="AA189" s="102" t="n"/>
      <c r="AB189" s="102" t="n"/>
      <c r="AC189" s="102" t="n"/>
      <c r="AD189" s="102" t="n"/>
      <c r="AE189" s="102" t="n"/>
      <c r="AF189" s="102" t="n"/>
      <c r="AG189" s="102" t="n"/>
      <c r="AH189" s="102" t="n"/>
      <c r="AI189" s="102" t="n"/>
      <c r="AJ189" s="102" t="n"/>
      <c r="AK189" s="102" t="n"/>
      <c r="AL189" s="102" t="n"/>
      <c r="AM189" s="102" t="n"/>
      <c r="AN189" s="102" t="n"/>
      <c r="AO189" s="102" t="n"/>
      <c r="AP189" s="102" t="n"/>
      <c r="AQ189" s="102" t="n"/>
      <c r="AR189" s="102" t="n"/>
    </row>
    <row r="190">
      <c r="D190" s="160" t="n"/>
      <c r="E190" s="160" t="n"/>
      <c r="F190" s="160" t="n"/>
      <c r="G190" s="160" t="n"/>
      <c r="H190" s="160" t="n"/>
      <c r="I190" s="160" t="n"/>
      <c r="J190" s="160" t="n"/>
      <c r="K190" s="160" t="n"/>
      <c r="L190" s="160" t="n"/>
      <c r="M190" s="160" t="n"/>
      <c r="N190" s="160" t="n"/>
      <c r="O190" s="160" t="n"/>
      <c r="P190" s="160" t="n"/>
      <c r="Q190" s="160" t="n"/>
      <c r="R190" s="160" t="n"/>
      <c r="S190" s="160" t="n"/>
      <c r="T190" s="160" t="n"/>
      <c r="U190" s="160" t="n"/>
      <c r="V190" s="160" t="n"/>
      <c r="W190" s="160" t="n"/>
      <c r="X190" s="160" t="n"/>
      <c r="Y190" s="160" t="n"/>
      <c r="Z190" s="160" t="n"/>
      <c r="AA190" s="160" t="n"/>
      <c r="AB190" s="160" t="n"/>
      <c r="AC190" s="160" t="n"/>
      <c r="AD190" s="160" t="n"/>
      <c r="AE190" s="160" t="n"/>
      <c r="AF190" s="160" t="n"/>
      <c r="AG190" s="160" t="n"/>
      <c r="AH190" s="160" t="n"/>
      <c r="AI190" s="160" t="n"/>
      <c r="AJ190" s="160" t="n"/>
      <c r="AK190" s="160" t="n"/>
      <c r="AL190" s="160" t="n"/>
      <c r="AM190" s="160" t="n"/>
      <c r="AN190" s="160" t="n"/>
      <c r="AO190" s="160" t="n"/>
      <c r="AP190" s="160" t="n"/>
      <c r="AQ190" s="160" t="n"/>
      <c r="AR190" s="160" t="n"/>
    </row>
    <row r="193">
      <c r="A193" s="2">
        <f>IF($A186="","","   projections")</f>
        <v/>
      </c>
      <c r="B193" s="158">
        <f>IF($A186="",0,COUNT($E194:$AR194))</f>
        <v/>
      </c>
      <c r="C193" s="159">
        <f>IF($B193=0,0,MAX($E194:$AR194))</f>
        <v/>
      </c>
      <c r="D193" s="101">
        <f>BDS($A186,FLD_PROJ,"headers=y","startcol=1","endcol=3","dir=h")</f>
        <v/>
      </c>
      <c r="E193" s="102" t="n"/>
      <c r="F193" s="102" t="n"/>
      <c r="G193" s="102" t="n"/>
      <c r="H193" s="102" t="n"/>
      <c r="I193" s="102" t="n"/>
      <c r="J193" s="102" t="n"/>
      <c r="K193" s="102" t="n"/>
      <c r="L193" s="102" t="n"/>
      <c r="M193" s="102" t="n"/>
      <c r="N193" s="102" t="n"/>
      <c r="O193" s="102" t="n"/>
      <c r="P193" s="102" t="n"/>
      <c r="Q193" s="102" t="n"/>
      <c r="R193" s="102" t="n"/>
      <c r="S193" s="102" t="n"/>
      <c r="T193" s="102" t="n"/>
      <c r="U193" s="102" t="n"/>
      <c r="V193" s="102" t="n"/>
      <c r="W193" s="102" t="n"/>
      <c r="X193" s="102" t="n"/>
      <c r="Y193" s="102" t="n"/>
      <c r="Z193" s="102" t="n"/>
      <c r="AA193" s="102" t="n"/>
      <c r="AB193" s="102" t="n"/>
      <c r="AC193" s="102" t="n"/>
      <c r="AD193" s="102" t="n"/>
      <c r="AE193" s="102" t="n"/>
      <c r="AF193" s="102" t="n"/>
      <c r="AG193" s="102" t="n"/>
      <c r="AH193" s="102" t="n"/>
      <c r="AI193" s="102" t="n"/>
      <c r="AJ193" s="102" t="n"/>
      <c r="AK193" s="102" t="n"/>
      <c r="AL193" s="102" t="n"/>
      <c r="AM193" s="102" t="n"/>
      <c r="AN193" s="102" t="n"/>
      <c r="AO193" s="102" t="n"/>
      <c r="AP193" s="102" t="n"/>
      <c r="AQ193" s="102" t="n"/>
      <c r="AR193" s="102" t="n"/>
    </row>
    <row r="194">
      <c r="D194" s="102" t="n"/>
      <c r="E194" s="102" t="n"/>
      <c r="F194" s="102" t="n"/>
      <c r="G194" s="102" t="n"/>
      <c r="H194" s="102" t="n"/>
      <c r="I194" s="102" t="n"/>
      <c r="J194" s="102" t="n"/>
      <c r="K194" s="102" t="n"/>
      <c r="L194" s="102" t="n"/>
      <c r="M194" s="102" t="n"/>
      <c r="N194" s="102" t="n"/>
      <c r="O194" s="102" t="n"/>
      <c r="P194" s="102" t="n"/>
      <c r="Q194" s="102" t="n"/>
      <c r="R194" s="102" t="n"/>
      <c r="S194" s="102" t="n"/>
      <c r="T194" s="102" t="n"/>
      <c r="U194" s="102" t="n"/>
      <c r="V194" s="102" t="n"/>
      <c r="W194" s="102" t="n"/>
      <c r="X194" s="102" t="n"/>
      <c r="Y194" s="102" t="n"/>
      <c r="Z194" s="102" t="n"/>
      <c r="AA194" s="102" t="n"/>
      <c r="AB194" s="102" t="n"/>
      <c r="AC194" s="102" t="n"/>
      <c r="AD194" s="102" t="n"/>
      <c r="AE194" s="102" t="n"/>
      <c r="AF194" s="102" t="n"/>
      <c r="AG194" s="102" t="n"/>
      <c r="AH194" s="102" t="n"/>
      <c r="AI194" s="102" t="n"/>
      <c r="AJ194" s="102" t="n"/>
      <c r="AK194" s="102" t="n"/>
      <c r="AL194" s="102" t="n"/>
      <c r="AM194" s="102" t="n"/>
      <c r="AN194" s="102" t="n"/>
      <c r="AO194" s="102" t="n"/>
      <c r="AP194" s="102" t="n"/>
      <c r="AQ194" s="102" t="n"/>
      <c r="AR194" s="102" t="n"/>
    </row>
    <row r="195">
      <c r="D195" s="160" t="n"/>
      <c r="E195" s="160" t="n"/>
      <c r="F195" s="160" t="n"/>
      <c r="G195" s="160" t="n"/>
      <c r="H195" s="160" t="n"/>
      <c r="I195" s="160" t="n"/>
      <c r="J195" s="160" t="n"/>
      <c r="K195" s="160" t="n"/>
      <c r="L195" s="160" t="n"/>
      <c r="M195" s="160" t="n"/>
      <c r="N195" s="160" t="n"/>
      <c r="O195" s="160" t="n"/>
      <c r="P195" s="160" t="n"/>
      <c r="Q195" s="160" t="n"/>
      <c r="R195" s="160" t="n"/>
      <c r="S195" s="160" t="n"/>
      <c r="T195" s="160" t="n"/>
      <c r="U195" s="160" t="n"/>
      <c r="V195" s="160" t="n"/>
      <c r="W195" s="160" t="n"/>
      <c r="X195" s="160" t="n"/>
      <c r="Y195" s="160" t="n"/>
      <c r="Z195" s="160" t="n"/>
      <c r="AA195" s="160" t="n"/>
      <c r="AB195" s="160" t="n"/>
      <c r="AC195" s="160" t="n"/>
      <c r="AD195" s="160" t="n"/>
      <c r="AE195" s="160" t="n"/>
      <c r="AF195" s="160" t="n"/>
      <c r="AG195" s="160" t="n"/>
      <c r="AH195" s="160" t="n"/>
      <c r="AI195" s="160" t="n"/>
      <c r="AJ195" s="160" t="n"/>
      <c r="AK195" s="160" t="n"/>
      <c r="AL195" s="160" t="n"/>
      <c r="AM195" s="160" t="n"/>
      <c r="AN195" s="160" t="n"/>
      <c r="AO195" s="160" t="n"/>
      <c r="AP195" s="160" t="n"/>
      <c r="AQ195" s="160" t="n"/>
      <c r="AR195" s="160" t="n"/>
    </row>
    <row r="197">
      <c r="A197" s="8">
        <f>IF(HSI!$C$24="","",HSI!$C$24)</f>
        <v/>
      </c>
      <c r="B197" s="158">
        <f>IF($A197="",0,COUNT($E198:$AR198))</f>
        <v/>
      </c>
      <c r="C197" s="159">
        <f>IF($B197=0,0,MAX($E198:$AR198))</f>
        <v/>
      </c>
      <c r="D197" s="101">
        <f>BDS($A197,FLD_HIST,"headers=y","startcol=1","endcol=7","dir=h","DVD_START_DT",HIST_FROM,"DVD_END_DT",HIST_TO)</f>
        <v/>
      </c>
      <c r="E197" s="102" t="n"/>
      <c r="F197" s="102" t="n"/>
      <c r="G197" s="102" t="n"/>
      <c r="H197" s="102" t="n"/>
      <c r="I197" s="102" t="n"/>
      <c r="J197" s="102" t="n"/>
      <c r="K197" s="102" t="n"/>
      <c r="L197" s="102" t="n"/>
      <c r="M197" s="102" t="n"/>
      <c r="N197" s="102" t="n"/>
      <c r="O197" s="102" t="n"/>
      <c r="P197" s="102" t="n"/>
      <c r="Q197" s="102" t="n"/>
      <c r="R197" s="102" t="n"/>
      <c r="S197" s="102" t="n"/>
      <c r="T197" s="102" t="n"/>
      <c r="U197" s="102" t="n"/>
      <c r="V197" s="102" t="n"/>
      <c r="W197" s="102" t="n"/>
      <c r="X197" s="102" t="n"/>
      <c r="Y197" s="102" t="n"/>
      <c r="Z197" s="102" t="n"/>
      <c r="AA197" s="102" t="n"/>
      <c r="AB197" s="102" t="n"/>
      <c r="AC197" s="102" t="n"/>
      <c r="AD197" s="102" t="n"/>
      <c r="AE197" s="102" t="n"/>
      <c r="AF197" s="102" t="n"/>
      <c r="AG197" s="102" t="n"/>
      <c r="AH197" s="102" t="n"/>
      <c r="AI197" s="102" t="n"/>
      <c r="AJ197" s="102" t="n"/>
      <c r="AK197" s="102" t="n"/>
      <c r="AL197" s="102" t="n"/>
      <c r="AM197" s="102" t="n"/>
      <c r="AN197" s="102" t="n"/>
      <c r="AO197" s="102" t="n"/>
      <c r="AP197" s="102" t="n"/>
      <c r="AQ197" s="102" t="n"/>
      <c r="AR197" s="102" t="n"/>
    </row>
    <row r="198">
      <c r="D198" s="102" t="n"/>
      <c r="E198" s="102" t="n"/>
      <c r="F198" s="102" t="n"/>
      <c r="G198" s="102" t="n"/>
      <c r="H198" s="102" t="n"/>
      <c r="I198" s="102" t="n"/>
      <c r="J198" s="102" t="n"/>
      <c r="K198" s="102" t="n"/>
      <c r="L198" s="102" t="n"/>
      <c r="M198" s="102" t="n"/>
      <c r="N198" s="102" t="n"/>
      <c r="O198" s="102" t="n"/>
      <c r="P198" s="102" t="n"/>
      <c r="Q198" s="102" t="n"/>
      <c r="R198" s="102" t="n"/>
      <c r="S198" s="102" t="n"/>
      <c r="T198" s="102" t="n"/>
      <c r="U198" s="102" t="n"/>
      <c r="V198" s="102" t="n"/>
      <c r="W198" s="102" t="n"/>
      <c r="X198" s="102" t="n"/>
      <c r="Y198" s="102" t="n"/>
      <c r="Z198" s="102" t="n"/>
      <c r="AA198" s="102" t="n"/>
      <c r="AB198" s="102" t="n"/>
      <c r="AC198" s="102" t="n"/>
      <c r="AD198" s="102" t="n"/>
      <c r="AE198" s="102" t="n"/>
      <c r="AF198" s="102" t="n"/>
      <c r="AG198" s="102" t="n"/>
      <c r="AH198" s="102" t="n"/>
      <c r="AI198" s="102" t="n"/>
      <c r="AJ198" s="102" t="n"/>
      <c r="AK198" s="102" t="n"/>
      <c r="AL198" s="102" t="n"/>
      <c r="AM198" s="102" t="n"/>
      <c r="AN198" s="102" t="n"/>
      <c r="AO198" s="102" t="n"/>
      <c r="AP198" s="102" t="n"/>
      <c r="AQ198" s="102" t="n"/>
      <c r="AR198" s="102" t="n"/>
    </row>
    <row r="199">
      <c r="D199" s="102" t="n"/>
      <c r="E199" s="102" t="n"/>
      <c r="F199" s="102" t="n"/>
      <c r="G199" s="102" t="n"/>
      <c r="H199" s="102" t="n"/>
      <c r="I199" s="102" t="n"/>
      <c r="J199" s="102" t="n"/>
      <c r="K199" s="102" t="n"/>
      <c r="L199" s="102" t="n"/>
      <c r="M199" s="102" t="n"/>
      <c r="N199" s="102" t="n"/>
      <c r="O199" s="102" t="n"/>
      <c r="P199" s="102" t="n"/>
      <c r="Q199" s="102" t="n"/>
      <c r="R199" s="102" t="n"/>
      <c r="S199" s="102" t="n"/>
      <c r="T199" s="102" t="n"/>
      <c r="U199" s="102" t="n"/>
      <c r="V199" s="102" t="n"/>
      <c r="W199" s="102" t="n"/>
      <c r="X199" s="102" t="n"/>
      <c r="Y199" s="102" t="n"/>
      <c r="Z199" s="102" t="n"/>
      <c r="AA199" s="102" t="n"/>
      <c r="AB199" s="102" t="n"/>
      <c r="AC199" s="102" t="n"/>
      <c r="AD199" s="102" t="n"/>
      <c r="AE199" s="102" t="n"/>
      <c r="AF199" s="102" t="n"/>
      <c r="AG199" s="102" t="n"/>
      <c r="AH199" s="102" t="n"/>
      <c r="AI199" s="102" t="n"/>
      <c r="AJ199" s="102" t="n"/>
      <c r="AK199" s="102" t="n"/>
      <c r="AL199" s="102" t="n"/>
      <c r="AM199" s="102" t="n"/>
      <c r="AN199" s="102" t="n"/>
      <c r="AO199" s="102" t="n"/>
      <c r="AP199" s="102" t="n"/>
      <c r="AQ199" s="102" t="n"/>
      <c r="AR199" s="102" t="n"/>
    </row>
    <row r="200">
      <c r="D200" s="102" t="n"/>
      <c r="E200" s="102" t="n"/>
      <c r="F200" s="102" t="n"/>
      <c r="G200" s="102" t="n"/>
      <c r="H200" s="102" t="n"/>
      <c r="I200" s="102" t="n"/>
      <c r="J200" s="102" t="n"/>
      <c r="K200" s="102" t="n"/>
      <c r="L200" s="102" t="n"/>
      <c r="M200" s="102" t="n"/>
      <c r="N200" s="102" t="n"/>
      <c r="O200" s="102" t="n"/>
      <c r="P200" s="102" t="n"/>
      <c r="Q200" s="102" t="n"/>
      <c r="R200" s="102" t="n"/>
      <c r="S200" s="102" t="n"/>
      <c r="T200" s="102" t="n"/>
      <c r="U200" s="102" t="n"/>
      <c r="V200" s="102" t="n"/>
      <c r="W200" s="102" t="n"/>
      <c r="X200" s="102" t="n"/>
      <c r="Y200" s="102" t="n"/>
      <c r="Z200" s="102" t="n"/>
      <c r="AA200" s="102" t="n"/>
      <c r="AB200" s="102" t="n"/>
      <c r="AC200" s="102" t="n"/>
      <c r="AD200" s="102" t="n"/>
      <c r="AE200" s="102" t="n"/>
      <c r="AF200" s="102" t="n"/>
      <c r="AG200" s="102" t="n"/>
      <c r="AH200" s="102" t="n"/>
      <c r="AI200" s="102" t="n"/>
      <c r="AJ200" s="102" t="n"/>
      <c r="AK200" s="102" t="n"/>
      <c r="AL200" s="102" t="n"/>
      <c r="AM200" s="102" t="n"/>
      <c r="AN200" s="102" t="n"/>
      <c r="AO200" s="102" t="n"/>
      <c r="AP200" s="102" t="n"/>
      <c r="AQ200" s="102" t="n"/>
      <c r="AR200" s="102" t="n"/>
    </row>
    <row r="201">
      <c r="D201" s="160" t="n"/>
      <c r="E201" s="160" t="n"/>
      <c r="F201" s="160" t="n"/>
      <c r="G201" s="160" t="n"/>
      <c r="H201" s="160" t="n"/>
      <c r="I201" s="160" t="n"/>
      <c r="J201" s="160" t="n"/>
      <c r="K201" s="160" t="n"/>
      <c r="L201" s="160" t="n"/>
      <c r="M201" s="160" t="n"/>
      <c r="N201" s="160" t="n"/>
      <c r="O201" s="160" t="n"/>
      <c r="P201" s="160" t="n"/>
      <c r="Q201" s="160" t="n"/>
      <c r="R201" s="160" t="n"/>
      <c r="S201" s="160" t="n"/>
      <c r="T201" s="160" t="n"/>
      <c r="U201" s="160" t="n"/>
      <c r="V201" s="160" t="n"/>
      <c r="W201" s="160" t="n"/>
      <c r="X201" s="160" t="n"/>
      <c r="Y201" s="160" t="n"/>
      <c r="Z201" s="160" t="n"/>
      <c r="AA201" s="160" t="n"/>
      <c r="AB201" s="160" t="n"/>
      <c r="AC201" s="160" t="n"/>
      <c r="AD201" s="160" t="n"/>
      <c r="AE201" s="160" t="n"/>
      <c r="AF201" s="160" t="n"/>
      <c r="AG201" s="160" t="n"/>
      <c r="AH201" s="160" t="n"/>
      <c r="AI201" s="160" t="n"/>
      <c r="AJ201" s="160" t="n"/>
      <c r="AK201" s="160" t="n"/>
      <c r="AL201" s="160" t="n"/>
      <c r="AM201" s="160" t="n"/>
      <c r="AN201" s="160" t="n"/>
      <c r="AO201" s="160" t="n"/>
      <c r="AP201" s="160" t="n"/>
      <c r="AQ201" s="160" t="n"/>
      <c r="AR201" s="160" t="n"/>
    </row>
    <row r="204">
      <c r="A204" s="2">
        <f>IF($A197="","","   projections")</f>
        <v/>
      </c>
      <c r="B204" s="158">
        <f>IF($A197="",0,COUNT($E205:$AR205))</f>
        <v/>
      </c>
      <c r="C204" s="159">
        <f>IF($B204=0,0,MAX($E205:$AR205))</f>
        <v/>
      </c>
      <c r="D204" s="101">
        <f>BDS($A197,FLD_PROJ,"headers=y","startcol=1","endcol=3","dir=h")</f>
        <v/>
      </c>
      <c r="E204" s="102" t="n"/>
      <c r="F204" s="102" t="n"/>
      <c r="G204" s="102" t="n"/>
      <c r="H204" s="102" t="n"/>
      <c r="I204" s="102" t="n"/>
      <c r="J204" s="102" t="n"/>
      <c r="K204" s="102" t="n"/>
      <c r="L204" s="102" t="n"/>
      <c r="M204" s="102" t="n"/>
      <c r="N204" s="102" t="n"/>
      <c r="O204" s="102" t="n"/>
      <c r="P204" s="102" t="n"/>
      <c r="Q204" s="102" t="n"/>
      <c r="R204" s="102" t="n"/>
      <c r="S204" s="102" t="n"/>
      <c r="T204" s="102" t="n"/>
      <c r="U204" s="102" t="n"/>
      <c r="V204" s="102" t="n"/>
      <c r="W204" s="102" t="n"/>
      <c r="X204" s="102" t="n"/>
      <c r="Y204" s="102" t="n"/>
      <c r="Z204" s="102" t="n"/>
      <c r="AA204" s="102" t="n"/>
      <c r="AB204" s="102" t="n"/>
      <c r="AC204" s="102" t="n"/>
      <c r="AD204" s="102" t="n"/>
      <c r="AE204" s="102" t="n"/>
      <c r="AF204" s="102" t="n"/>
      <c r="AG204" s="102" t="n"/>
      <c r="AH204" s="102" t="n"/>
      <c r="AI204" s="102" t="n"/>
      <c r="AJ204" s="102" t="n"/>
      <c r="AK204" s="102" t="n"/>
      <c r="AL204" s="102" t="n"/>
      <c r="AM204" s="102" t="n"/>
      <c r="AN204" s="102" t="n"/>
      <c r="AO204" s="102" t="n"/>
      <c r="AP204" s="102" t="n"/>
      <c r="AQ204" s="102" t="n"/>
      <c r="AR204" s="102" t="n"/>
    </row>
    <row r="205">
      <c r="D205" s="102" t="n"/>
      <c r="E205" s="102" t="n"/>
      <c r="F205" s="102" t="n"/>
      <c r="G205" s="102" t="n"/>
      <c r="H205" s="102" t="n"/>
      <c r="I205" s="102" t="n"/>
      <c r="J205" s="102" t="n"/>
      <c r="K205" s="102" t="n"/>
      <c r="L205" s="102" t="n"/>
      <c r="M205" s="102" t="n"/>
      <c r="N205" s="102" t="n"/>
      <c r="O205" s="102" t="n"/>
      <c r="P205" s="102" t="n"/>
      <c r="Q205" s="102" t="n"/>
      <c r="R205" s="102" t="n"/>
      <c r="S205" s="102" t="n"/>
      <c r="T205" s="102" t="n"/>
      <c r="U205" s="102" t="n"/>
      <c r="V205" s="102" t="n"/>
      <c r="W205" s="102" t="n"/>
      <c r="X205" s="102" t="n"/>
      <c r="Y205" s="102" t="n"/>
      <c r="Z205" s="102" t="n"/>
      <c r="AA205" s="102" t="n"/>
      <c r="AB205" s="102" t="n"/>
      <c r="AC205" s="102" t="n"/>
      <c r="AD205" s="102" t="n"/>
      <c r="AE205" s="102" t="n"/>
      <c r="AF205" s="102" t="n"/>
      <c r="AG205" s="102" t="n"/>
      <c r="AH205" s="102" t="n"/>
      <c r="AI205" s="102" t="n"/>
      <c r="AJ205" s="102" t="n"/>
      <c r="AK205" s="102" t="n"/>
      <c r="AL205" s="102" t="n"/>
      <c r="AM205" s="102" t="n"/>
      <c r="AN205" s="102" t="n"/>
      <c r="AO205" s="102" t="n"/>
      <c r="AP205" s="102" t="n"/>
      <c r="AQ205" s="102" t="n"/>
      <c r="AR205" s="102" t="n"/>
    </row>
    <row r="206">
      <c r="D206" s="160" t="n"/>
      <c r="E206" s="160" t="n"/>
      <c r="F206" s="160" t="n"/>
      <c r="G206" s="160" t="n"/>
      <c r="H206" s="160" t="n"/>
      <c r="I206" s="160" t="n"/>
      <c r="J206" s="160" t="n"/>
      <c r="K206" s="160" t="n"/>
      <c r="L206" s="160" t="n"/>
      <c r="M206" s="160" t="n"/>
      <c r="N206" s="160" t="n"/>
      <c r="O206" s="160" t="n"/>
      <c r="P206" s="160" t="n"/>
      <c r="Q206" s="160" t="n"/>
      <c r="R206" s="160" t="n"/>
      <c r="S206" s="160" t="n"/>
      <c r="T206" s="160" t="n"/>
      <c r="U206" s="160" t="n"/>
      <c r="V206" s="160" t="n"/>
      <c r="W206" s="160" t="n"/>
      <c r="X206" s="160" t="n"/>
      <c r="Y206" s="160" t="n"/>
      <c r="Z206" s="160" t="n"/>
      <c r="AA206" s="160" t="n"/>
      <c r="AB206" s="160" t="n"/>
      <c r="AC206" s="160" t="n"/>
      <c r="AD206" s="160" t="n"/>
      <c r="AE206" s="160" t="n"/>
      <c r="AF206" s="160" t="n"/>
      <c r="AG206" s="160" t="n"/>
      <c r="AH206" s="160" t="n"/>
      <c r="AI206" s="160" t="n"/>
      <c r="AJ206" s="160" t="n"/>
      <c r="AK206" s="160" t="n"/>
      <c r="AL206" s="160" t="n"/>
      <c r="AM206" s="160" t="n"/>
      <c r="AN206" s="160" t="n"/>
      <c r="AO206" s="160" t="n"/>
      <c r="AP206" s="160" t="n"/>
      <c r="AQ206" s="160" t="n"/>
      <c r="AR206" s="160" t="n"/>
    </row>
    <row r="208">
      <c r="A208" s="8">
        <f>IF(HSI!$C$25="","",HSI!$C$25)</f>
        <v/>
      </c>
      <c r="B208" s="158">
        <f>IF($A208="",0,COUNT($E209:$AR209))</f>
        <v/>
      </c>
      <c r="C208" s="159">
        <f>IF($B208=0,0,MAX($E209:$AR209))</f>
        <v/>
      </c>
      <c r="D208" s="101">
        <f>BDS($A208,FLD_HIST,"headers=y","startcol=1","endcol=7","dir=h","DVD_START_DT",HIST_FROM,"DVD_END_DT",HIST_TO)</f>
        <v/>
      </c>
      <c r="E208" s="102" t="n"/>
      <c r="F208" s="102" t="n"/>
      <c r="G208" s="102" t="n"/>
      <c r="H208" s="102" t="n"/>
      <c r="I208" s="102" t="n"/>
      <c r="J208" s="102" t="n"/>
      <c r="K208" s="102" t="n"/>
      <c r="L208" s="102" t="n"/>
      <c r="M208" s="102" t="n"/>
      <c r="N208" s="102" t="n"/>
      <c r="O208" s="102" t="n"/>
      <c r="P208" s="102" t="n"/>
      <c r="Q208" s="102" t="n"/>
      <c r="R208" s="102" t="n"/>
      <c r="S208" s="102" t="n"/>
      <c r="T208" s="102" t="n"/>
      <c r="U208" s="102" t="n"/>
      <c r="V208" s="102" t="n"/>
      <c r="W208" s="102" t="n"/>
      <c r="X208" s="102" t="n"/>
      <c r="Y208" s="102" t="n"/>
      <c r="Z208" s="102" t="n"/>
      <c r="AA208" s="102" t="n"/>
      <c r="AB208" s="102" t="n"/>
      <c r="AC208" s="102" t="n"/>
      <c r="AD208" s="102" t="n"/>
      <c r="AE208" s="102" t="n"/>
      <c r="AF208" s="102" t="n"/>
      <c r="AG208" s="102" t="n"/>
      <c r="AH208" s="102" t="n"/>
      <c r="AI208" s="102" t="n"/>
      <c r="AJ208" s="102" t="n"/>
      <c r="AK208" s="102" t="n"/>
      <c r="AL208" s="102" t="n"/>
      <c r="AM208" s="102" t="n"/>
      <c r="AN208" s="102" t="n"/>
      <c r="AO208" s="102" t="n"/>
      <c r="AP208" s="102" t="n"/>
      <c r="AQ208" s="102" t="n"/>
      <c r="AR208" s="102" t="n"/>
    </row>
    <row r="209">
      <c r="D209" s="102" t="n"/>
      <c r="E209" s="102" t="n"/>
      <c r="F209" s="102" t="n"/>
      <c r="G209" s="102" t="n"/>
      <c r="H209" s="102" t="n"/>
      <c r="I209" s="102" t="n"/>
      <c r="J209" s="102" t="n"/>
      <c r="K209" s="102" t="n"/>
      <c r="L209" s="102" t="n"/>
      <c r="M209" s="102" t="n"/>
      <c r="N209" s="102" t="n"/>
      <c r="O209" s="102" t="n"/>
      <c r="P209" s="102" t="n"/>
      <c r="Q209" s="102" t="n"/>
      <c r="R209" s="102" t="n"/>
      <c r="S209" s="102" t="n"/>
      <c r="T209" s="102" t="n"/>
      <c r="U209" s="102" t="n"/>
      <c r="V209" s="102" t="n"/>
      <c r="W209" s="102" t="n"/>
      <c r="X209" s="102" t="n"/>
      <c r="Y209" s="102" t="n"/>
      <c r="Z209" s="102" t="n"/>
      <c r="AA209" s="102" t="n"/>
      <c r="AB209" s="102" t="n"/>
      <c r="AC209" s="102" t="n"/>
      <c r="AD209" s="102" t="n"/>
      <c r="AE209" s="102" t="n"/>
      <c r="AF209" s="102" t="n"/>
      <c r="AG209" s="102" t="n"/>
      <c r="AH209" s="102" t="n"/>
      <c r="AI209" s="102" t="n"/>
      <c r="AJ209" s="102" t="n"/>
      <c r="AK209" s="102" t="n"/>
      <c r="AL209" s="102" t="n"/>
      <c r="AM209" s="102" t="n"/>
      <c r="AN209" s="102" t="n"/>
      <c r="AO209" s="102" t="n"/>
      <c r="AP209" s="102" t="n"/>
      <c r="AQ209" s="102" t="n"/>
      <c r="AR209" s="102" t="n"/>
    </row>
    <row r="210">
      <c r="D210" s="102" t="n"/>
      <c r="E210" s="102" t="n"/>
      <c r="F210" s="102" t="n"/>
      <c r="G210" s="102" t="n"/>
      <c r="H210" s="102" t="n"/>
      <c r="I210" s="102" t="n"/>
      <c r="J210" s="102" t="n"/>
      <c r="K210" s="102" t="n"/>
      <c r="L210" s="102" t="n"/>
      <c r="M210" s="102" t="n"/>
      <c r="N210" s="102" t="n"/>
      <c r="O210" s="102" t="n"/>
      <c r="P210" s="102" t="n"/>
      <c r="Q210" s="102" t="n"/>
      <c r="R210" s="102" t="n"/>
      <c r="S210" s="102" t="n"/>
      <c r="T210" s="102" t="n"/>
      <c r="U210" s="102" t="n"/>
      <c r="V210" s="102" t="n"/>
      <c r="W210" s="102" t="n"/>
      <c r="X210" s="102" t="n"/>
      <c r="Y210" s="102" t="n"/>
      <c r="Z210" s="102" t="n"/>
      <c r="AA210" s="102" t="n"/>
      <c r="AB210" s="102" t="n"/>
      <c r="AC210" s="102" t="n"/>
      <c r="AD210" s="102" t="n"/>
      <c r="AE210" s="102" t="n"/>
      <c r="AF210" s="102" t="n"/>
      <c r="AG210" s="102" t="n"/>
      <c r="AH210" s="102" t="n"/>
      <c r="AI210" s="102" t="n"/>
      <c r="AJ210" s="102" t="n"/>
      <c r="AK210" s="102" t="n"/>
      <c r="AL210" s="102" t="n"/>
      <c r="AM210" s="102" t="n"/>
      <c r="AN210" s="102" t="n"/>
      <c r="AO210" s="102" t="n"/>
      <c r="AP210" s="102" t="n"/>
      <c r="AQ210" s="102" t="n"/>
      <c r="AR210" s="102" t="n"/>
    </row>
    <row r="211">
      <c r="D211" s="102" t="n"/>
      <c r="E211" s="102" t="n"/>
      <c r="F211" s="102" t="n"/>
      <c r="G211" s="102" t="n"/>
      <c r="H211" s="102" t="n"/>
      <c r="I211" s="102" t="n"/>
      <c r="J211" s="102" t="n"/>
      <c r="K211" s="102" t="n"/>
      <c r="L211" s="102" t="n"/>
      <c r="M211" s="102" t="n"/>
      <c r="N211" s="102" t="n"/>
      <c r="O211" s="102" t="n"/>
      <c r="P211" s="102" t="n"/>
      <c r="Q211" s="102" t="n"/>
      <c r="R211" s="102" t="n"/>
      <c r="S211" s="102" t="n"/>
      <c r="T211" s="102" t="n"/>
      <c r="U211" s="102" t="n"/>
      <c r="V211" s="102" t="n"/>
      <c r="W211" s="102" t="n"/>
      <c r="X211" s="102" t="n"/>
      <c r="Y211" s="102" t="n"/>
      <c r="Z211" s="102" t="n"/>
      <c r="AA211" s="102" t="n"/>
      <c r="AB211" s="102" t="n"/>
      <c r="AC211" s="102" t="n"/>
      <c r="AD211" s="102" t="n"/>
      <c r="AE211" s="102" t="n"/>
      <c r="AF211" s="102" t="n"/>
      <c r="AG211" s="102" t="n"/>
      <c r="AH211" s="102" t="n"/>
      <c r="AI211" s="102" t="n"/>
      <c r="AJ211" s="102" t="n"/>
      <c r="AK211" s="102" t="n"/>
      <c r="AL211" s="102" t="n"/>
      <c r="AM211" s="102" t="n"/>
      <c r="AN211" s="102" t="n"/>
      <c r="AO211" s="102" t="n"/>
      <c r="AP211" s="102" t="n"/>
      <c r="AQ211" s="102" t="n"/>
      <c r="AR211" s="102" t="n"/>
    </row>
    <row r="212">
      <c r="D212" s="160" t="n"/>
      <c r="E212" s="160" t="n"/>
      <c r="F212" s="160" t="n"/>
      <c r="G212" s="160" t="n"/>
      <c r="H212" s="160" t="n"/>
      <c r="I212" s="160" t="n"/>
      <c r="J212" s="160" t="n"/>
      <c r="K212" s="160" t="n"/>
      <c r="L212" s="160" t="n"/>
      <c r="M212" s="160" t="n"/>
      <c r="N212" s="160" t="n"/>
      <c r="O212" s="160" t="n"/>
      <c r="P212" s="160" t="n"/>
      <c r="Q212" s="160" t="n"/>
      <c r="R212" s="160" t="n"/>
      <c r="S212" s="160" t="n"/>
      <c r="T212" s="160" t="n"/>
      <c r="U212" s="160" t="n"/>
      <c r="V212" s="160" t="n"/>
      <c r="W212" s="160" t="n"/>
      <c r="X212" s="160" t="n"/>
      <c r="Y212" s="160" t="n"/>
      <c r="Z212" s="160" t="n"/>
      <c r="AA212" s="160" t="n"/>
      <c r="AB212" s="160" t="n"/>
      <c r="AC212" s="160" t="n"/>
      <c r="AD212" s="160" t="n"/>
      <c r="AE212" s="160" t="n"/>
      <c r="AF212" s="160" t="n"/>
      <c r="AG212" s="160" t="n"/>
      <c r="AH212" s="160" t="n"/>
      <c r="AI212" s="160" t="n"/>
      <c r="AJ212" s="160" t="n"/>
      <c r="AK212" s="160" t="n"/>
      <c r="AL212" s="160" t="n"/>
      <c r="AM212" s="160" t="n"/>
      <c r="AN212" s="160" t="n"/>
      <c r="AO212" s="160" t="n"/>
      <c r="AP212" s="160" t="n"/>
      <c r="AQ212" s="160" t="n"/>
      <c r="AR212" s="160" t="n"/>
    </row>
    <row r="215">
      <c r="A215" s="2">
        <f>IF($A208="","","   projections")</f>
        <v/>
      </c>
      <c r="B215" s="158">
        <f>IF($A208="",0,COUNT($E216:$AR216))</f>
        <v/>
      </c>
      <c r="C215" s="159">
        <f>IF($B215=0,0,MAX($E216:$AR216))</f>
        <v/>
      </c>
      <c r="D215" s="101">
        <f>BDS($A208,FLD_PROJ,"headers=y","startcol=1","endcol=3","dir=h")</f>
        <v/>
      </c>
      <c r="E215" s="102" t="n"/>
      <c r="F215" s="102" t="n"/>
      <c r="G215" s="102" t="n"/>
      <c r="H215" s="102" t="n"/>
      <c r="I215" s="102" t="n"/>
      <c r="J215" s="102" t="n"/>
      <c r="K215" s="102" t="n"/>
      <c r="L215" s="102" t="n"/>
      <c r="M215" s="102" t="n"/>
      <c r="N215" s="102" t="n"/>
      <c r="O215" s="102" t="n"/>
      <c r="P215" s="102" t="n"/>
      <c r="Q215" s="102" t="n"/>
      <c r="R215" s="102" t="n"/>
      <c r="S215" s="102" t="n"/>
      <c r="T215" s="102" t="n"/>
      <c r="U215" s="102" t="n"/>
      <c r="V215" s="102" t="n"/>
      <c r="W215" s="102" t="n"/>
      <c r="X215" s="102" t="n"/>
      <c r="Y215" s="102" t="n"/>
      <c r="Z215" s="102" t="n"/>
      <c r="AA215" s="102" t="n"/>
      <c r="AB215" s="102" t="n"/>
      <c r="AC215" s="102" t="n"/>
      <c r="AD215" s="102" t="n"/>
      <c r="AE215" s="102" t="n"/>
      <c r="AF215" s="102" t="n"/>
      <c r="AG215" s="102" t="n"/>
      <c r="AH215" s="102" t="n"/>
      <c r="AI215" s="102" t="n"/>
      <c r="AJ215" s="102" t="n"/>
      <c r="AK215" s="102" t="n"/>
      <c r="AL215" s="102" t="n"/>
      <c r="AM215" s="102" t="n"/>
      <c r="AN215" s="102" t="n"/>
      <c r="AO215" s="102" t="n"/>
      <c r="AP215" s="102" t="n"/>
      <c r="AQ215" s="102" t="n"/>
      <c r="AR215" s="102" t="n"/>
    </row>
    <row r="216">
      <c r="D216" s="102" t="n"/>
      <c r="E216" s="102" t="n"/>
      <c r="F216" s="102" t="n"/>
      <c r="G216" s="102" t="n"/>
      <c r="H216" s="102" t="n"/>
      <c r="I216" s="102" t="n"/>
      <c r="J216" s="102" t="n"/>
      <c r="K216" s="102" t="n"/>
      <c r="L216" s="102" t="n"/>
      <c r="M216" s="102" t="n"/>
      <c r="N216" s="102" t="n"/>
      <c r="O216" s="102" t="n"/>
      <c r="P216" s="102" t="n"/>
      <c r="Q216" s="102" t="n"/>
      <c r="R216" s="102" t="n"/>
      <c r="S216" s="102" t="n"/>
      <c r="T216" s="102" t="n"/>
      <c r="U216" s="102" t="n"/>
      <c r="V216" s="102" t="n"/>
      <c r="W216" s="102" t="n"/>
      <c r="X216" s="102" t="n"/>
      <c r="Y216" s="102" t="n"/>
      <c r="Z216" s="102" t="n"/>
      <c r="AA216" s="102" t="n"/>
      <c r="AB216" s="102" t="n"/>
      <c r="AC216" s="102" t="n"/>
      <c r="AD216" s="102" t="n"/>
      <c r="AE216" s="102" t="n"/>
      <c r="AF216" s="102" t="n"/>
      <c r="AG216" s="102" t="n"/>
      <c r="AH216" s="102" t="n"/>
      <c r="AI216" s="102" t="n"/>
      <c r="AJ216" s="102" t="n"/>
      <c r="AK216" s="102" t="n"/>
      <c r="AL216" s="102" t="n"/>
      <c r="AM216" s="102" t="n"/>
      <c r="AN216" s="102" t="n"/>
      <c r="AO216" s="102" t="n"/>
      <c r="AP216" s="102" t="n"/>
      <c r="AQ216" s="102" t="n"/>
      <c r="AR216" s="102" t="n"/>
    </row>
    <row r="217">
      <c r="D217" s="160" t="n"/>
      <c r="E217" s="160" t="n"/>
      <c r="F217" s="160" t="n"/>
      <c r="G217" s="160" t="n"/>
      <c r="H217" s="160" t="n"/>
      <c r="I217" s="160" t="n"/>
      <c r="J217" s="160" t="n"/>
      <c r="K217" s="160" t="n"/>
      <c r="L217" s="160" t="n"/>
      <c r="M217" s="160" t="n"/>
      <c r="N217" s="160" t="n"/>
      <c r="O217" s="160" t="n"/>
      <c r="P217" s="160" t="n"/>
      <c r="Q217" s="160" t="n"/>
      <c r="R217" s="160" t="n"/>
      <c r="S217" s="160" t="n"/>
      <c r="T217" s="160" t="n"/>
      <c r="U217" s="160" t="n"/>
      <c r="V217" s="160" t="n"/>
      <c r="W217" s="160" t="n"/>
      <c r="X217" s="160" t="n"/>
      <c r="Y217" s="160" t="n"/>
      <c r="Z217" s="160" t="n"/>
      <c r="AA217" s="160" t="n"/>
      <c r="AB217" s="160" t="n"/>
      <c r="AC217" s="160" t="n"/>
      <c r="AD217" s="160" t="n"/>
      <c r="AE217" s="160" t="n"/>
      <c r="AF217" s="160" t="n"/>
      <c r="AG217" s="160" t="n"/>
      <c r="AH217" s="160" t="n"/>
      <c r="AI217" s="160" t="n"/>
      <c r="AJ217" s="160" t="n"/>
      <c r="AK217" s="160" t="n"/>
      <c r="AL217" s="160" t="n"/>
      <c r="AM217" s="160" t="n"/>
      <c r="AN217" s="160" t="n"/>
      <c r="AO217" s="160" t="n"/>
      <c r="AP217" s="160" t="n"/>
      <c r="AQ217" s="160" t="n"/>
      <c r="AR217" s="160" t="n"/>
    </row>
    <row r="219">
      <c r="A219" s="8">
        <f>IF(HSI!$C$26="","",HSI!$C$26)</f>
        <v/>
      </c>
      <c r="B219" s="158">
        <f>IF($A219="",0,COUNT($E220:$AR220))</f>
        <v/>
      </c>
      <c r="C219" s="159">
        <f>IF($B219=0,0,MAX($E220:$AR220))</f>
        <v/>
      </c>
      <c r="D219" s="101">
        <f>BDS($A219,FLD_HIST,"headers=y","startcol=1","endcol=7","dir=h","DVD_START_DT",HIST_FROM,"DVD_END_DT",HIST_TO)</f>
        <v/>
      </c>
      <c r="E219" s="102" t="n"/>
      <c r="F219" s="102" t="n"/>
      <c r="G219" s="102" t="n"/>
      <c r="H219" s="102" t="n"/>
      <c r="I219" s="102" t="n"/>
      <c r="J219" s="102" t="n"/>
      <c r="K219" s="102" t="n"/>
      <c r="L219" s="102" t="n"/>
      <c r="M219" s="102" t="n"/>
      <c r="N219" s="102" t="n"/>
      <c r="O219" s="102" t="n"/>
      <c r="P219" s="102" t="n"/>
      <c r="Q219" s="102" t="n"/>
      <c r="R219" s="102" t="n"/>
      <c r="S219" s="102" t="n"/>
      <c r="T219" s="102" t="n"/>
      <c r="U219" s="102" t="n"/>
      <c r="V219" s="102" t="n"/>
      <c r="W219" s="102" t="n"/>
      <c r="X219" s="102" t="n"/>
      <c r="Y219" s="102" t="n"/>
      <c r="Z219" s="102" t="n"/>
      <c r="AA219" s="102" t="n"/>
      <c r="AB219" s="102" t="n"/>
      <c r="AC219" s="102" t="n"/>
      <c r="AD219" s="102" t="n"/>
      <c r="AE219" s="102" t="n"/>
      <c r="AF219" s="102" t="n"/>
      <c r="AG219" s="102" t="n"/>
      <c r="AH219" s="102" t="n"/>
      <c r="AI219" s="102" t="n"/>
      <c r="AJ219" s="102" t="n"/>
      <c r="AK219" s="102" t="n"/>
      <c r="AL219" s="102" t="n"/>
      <c r="AM219" s="102" t="n"/>
      <c r="AN219" s="102" t="n"/>
      <c r="AO219" s="102" t="n"/>
      <c r="AP219" s="102" t="n"/>
      <c r="AQ219" s="102" t="n"/>
      <c r="AR219" s="102" t="n"/>
    </row>
    <row r="220">
      <c r="D220" s="102" t="n"/>
      <c r="E220" s="102" t="n"/>
      <c r="F220" s="102" t="n"/>
      <c r="G220" s="102" t="n"/>
      <c r="H220" s="102" t="n"/>
      <c r="I220" s="102" t="n"/>
      <c r="J220" s="102" t="n"/>
      <c r="K220" s="102" t="n"/>
      <c r="L220" s="102" t="n"/>
      <c r="M220" s="102" t="n"/>
      <c r="N220" s="102" t="n"/>
      <c r="O220" s="102" t="n"/>
      <c r="P220" s="102" t="n"/>
      <c r="Q220" s="102" t="n"/>
      <c r="R220" s="102" t="n"/>
      <c r="S220" s="102" t="n"/>
      <c r="T220" s="102" t="n"/>
      <c r="U220" s="102" t="n"/>
      <c r="V220" s="102" t="n"/>
      <c r="W220" s="102" t="n"/>
      <c r="X220" s="102" t="n"/>
      <c r="Y220" s="102" t="n"/>
      <c r="Z220" s="102" t="n"/>
      <c r="AA220" s="102" t="n"/>
      <c r="AB220" s="102" t="n"/>
      <c r="AC220" s="102" t="n"/>
      <c r="AD220" s="102" t="n"/>
      <c r="AE220" s="102" t="n"/>
      <c r="AF220" s="102" t="n"/>
      <c r="AG220" s="102" t="n"/>
      <c r="AH220" s="102" t="n"/>
      <c r="AI220" s="102" t="n"/>
      <c r="AJ220" s="102" t="n"/>
      <c r="AK220" s="102" t="n"/>
      <c r="AL220" s="102" t="n"/>
      <c r="AM220" s="102" t="n"/>
      <c r="AN220" s="102" t="n"/>
      <c r="AO220" s="102" t="n"/>
      <c r="AP220" s="102" t="n"/>
      <c r="AQ220" s="102" t="n"/>
      <c r="AR220" s="102" t="n"/>
    </row>
    <row r="221">
      <c r="D221" s="102" t="n"/>
      <c r="E221" s="102" t="n"/>
      <c r="F221" s="102" t="n"/>
      <c r="G221" s="102" t="n"/>
      <c r="H221" s="102" t="n"/>
      <c r="I221" s="102" t="n"/>
      <c r="J221" s="102" t="n"/>
      <c r="K221" s="102" t="n"/>
      <c r="L221" s="102" t="n"/>
      <c r="M221" s="102" t="n"/>
      <c r="N221" s="102" t="n"/>
      <c r="O221" s="102" t="n"/>
      <c r="P221" s="102" t="n"/>
      <c r="Q221" s="102" t="n"/>
      <c r="R221" s="102" t="n"/>
      <c r="S221" s="102" t="n"/>
      <c r="T221" s="102" t="n"/>
      <c r="U221" s="102" t="n"/>
      <c r="V221" s="102" t="n"/>
      <c r="W221" s="102" t="n"/>
      <c r="X221" s="102" t="n"/>
      <c r="Y221" s="102" t="n"/>
      <c r="Z221" s="102" t="n"/>
      <c r="AA221" s="102" t="n"/>
      <c r="AB221" s="102" t="n"/>
      <c r="AC221" s="102" t="n"/>
      <c r="AD221" s="102" t="n"/>
      <c r="AE221" s="102" t="n"/>
      <c r="AF221" s="102" t="n"/>
      <c r="AG221" s="102" t="n"/>
      <c r="AH221" s="102" t="n"/>
      <c r="AI221" s="102" t="n"/>
      <c r="AJ221" s="102" t="n"/>
      <c r="AK221" s="102" t="n"/>
      <c r="AL221" s="102" t="n"/>
      <c r="AM221" s="102" t="n"/>
      <c r="AN221" s="102" t="n"/>
      <c r="AO221" s="102" t="n"/>
      <c r="AP221" s="102" t="n"/>
      <c r="AQ221" s="102" t="n"/>
      <c r="AR221" s="102" t="n"/>
    </row>
    <row r="222">
      <c r="D222" s="102" t="n"/>
      <c r="E222" s="102" t="n"/>
      <c r="F222" s="102" t="n"/>
      <c r="G222" s="102" t="n"/>
      <c r="H222" s="102" t="n"/>
      <c r="I222" s="102" t="n"/>
      <c r="J222" s="102" t="n"/>
      <c r="K222" s="102" t="n"/>
      <c r="L222" s="102" t="n"/>
      <c r="M222" s="102" t="n"/>
      <c r="N222" s="102" t="n"/>
      <c r="O222" s="102" t="n"/>
      <c r="P222" s="102" t="n"/>
      <c r="Q222" s="102" t="n"/>
      <c r="R222" s="102" t="n"/>
      <c r="S222" s="102" t="n"/>
      <c r="T222" s="102" t="n"/>
      <c r="U222" s="102" t="n"/>
      <c r="V222" s="102" t="n"/>
      <c r="W222" s="102" t="n"/>
      <c r="X222" s="102" t="n"/>
      <c r="Y222" s="102" t="n"/>
      <c r="Z222" s="102" t="n"/>
      <c r="AA222" s="102" t="n"/>
      <c r="AB222" s="102" t="n"/>
      <c r="AC222" s="102" t="n"/>
      <c r="AD222" s="102" t="n"/>
      <c r="AE222" s="102" t="n"/>
      <c r="AF222" s="102" t="n"/>
      <c r="AG222" s="102" t="n"/>
      <c r="AH222" s="102" t="n"/>
      <c r="AI222" s="102" t="n"/>
      <c r="AJ222" s="102" t="n"/>
      <c r="AK222" s="102" t="n"/>
      <c r="AL222" s="102" t="n"/>
      <c r="AM222" s="102" t="n"/>
      <c r="AN222" s="102" t="n"/>
      <c r="AO222" s="102" t="n"/>
      <c r="AP222" s="102" t="n"/>
      <c r="AQ222" s="102" t="n"/>
      <c r="AR222" s="102" t="n"/>
    </row>
    <row r="223">
      <c r="D223" s="160" t="n"/>
      <c r="E223" s="160" t="n"/>
      <c r="F223" s="160" t="n"/>
      <c r="G223" s="160" t="n"/>
      <c r="H223" s="160" t="n"/>
      <c r="I223" s="160" t="n"/>
      <c r="J223" s="160" t="n"/>
      <c r="K223" s="160" t="n"/>
      <c r="L223" s="160" t="n"/>
      <c r="M223" s="160" t="n"/>
      <c r="N223" s="160" t="n"/>
      <c r="O223" s="160" t="n"/>
      <c r="P223" s="160" t="n"/>
      <c r="Q223" s="160" t="n"/>
      <c r="R223" s="160" t="n"/>
      <c r="S223" s="160" t="n"/>
      <c r="T223" s="160" t="n"/>
      <c r="U223" s="160" t="n"/>
      <c r="V223" s="160" t="n"/>
      <c r="W223" s="160" t="n"/>
      <c r="X223" s="160" t="n"/>
      <c r="Y223" s="160" t="n"/>
      <c r="Z223" s="160" t="n"/>
      <c r="AA223" s="160" t="n"/>
      <c r="AB223" s="160" t="n"/>
      <c r="AC223" s="160" t="n"/>
      <c r="AD223" s="160" t="n"/>
      <c r="AE223" s="160" t="n"/>
      <c r="AF223" s="160" t="n"/>
      <c r="AG223" s="160" t="n"/>
      <c r="AH223" s="160" t="n"/>
      <c r="AI223" s="160" t="n"/>
      <c r="AJ223" s="160" t="n"/>
      <c r="AK223" s="160" t="n"/>
      <c r="AL223" s="160" t="n"/>
      <c r="AM223" s="160" t="n"/>
      <c r="AN223" s="160" t="n"/>
      <c r="AO223" s="160" t="n"/>
      <c r="AP223" s="160" t="n"/>
      <c r="AQ223" s="160" t="n"/>
      <c r="AR223" s="160" t="n"/>
    </row>
    <row r="226">
      <c r="A226" s="2">
        <f>IF($A219="","","   projections")</f>
        <v/>
      </c>
      <c r="B226" s="158">
        <f>IF($A219="",0,COUNT($E227:$AR227))</f>
        <v/>
      </c>
      <c r="C226" s="159">
        <f>IF($B226=0,0,MAX($E227:$AR227))</f>
        <v/>
      </c>
      <c r="D226" s="101">
        <f>BDS($A219,FLD_PROJ,"headers=y","startcol=1","endcol=3","dir=h")</f>
        <v/>
      </c>
      <c r="E226" s="102" t="n"/>
      <c r="F226" s="102" t="n"/>
      <c r="G226" s="102" t="n"/>
      <c r="H226" s="102" t="n"/>
      <c r="I226" s="102" t="n"/>
      <c r="J226" s="102" t="n"/>
      <c r="K226" s="102" t="n"/>
      <c r="L226" s="102" t="n"/>
      <c r="M226" s="102" t="n"/>
      <c r="N226" s="102" t="n"/>
      <c r="O226" s="102" t="n"/>
      <c r="P226" s="102" t="n"/>
      <c r="Q226" s="102" t="n"/>
      <c r="R226" s="102" t="n"/>
      <c r="S226" s="102" t="n"/>
      <c r="T226" s="102" t="n"/>
      <c r="U226" s="102" t="n"/>
      <c r="V226" s="102" t="n"/>
      <c r="W226" s="102" t="n"/>
      <c r="X226" s="102" t="n"/>
      <c r="Y226" s="102" t="n"/>
      <c r="Z226" s="102" t="n"/>
      <c r="AA226" s="102" t="n"/>
      <c r="AB226" s="102" t="n"/>
      <c r="AC226" s="102" t="n"/>
      <c r="AD226" s="102" t="n"/>
      <c r="AE226" s="102" t="n"/>
      <c r="AF226" s="102" t="n"/>
      <c r="AG226" s="102" t="n"/>
      <c r="AH226" s="102" t="n"/>
      <c r="AI226" s="102" t="n"/>
      <c r="AJ226" s="102" t="n"/>
      <c r="AK226" s="102" t="n"/>
      <c r="AL226" s="102" t="n"/>
      <c r="AM226" s="102" t="n"/>
      <c r="AN226" s="102" t="n"/>
      <c r="AO226" s="102" t="n"/>
      <c r="AP226" s="102" t="n"/>
      <c r="AQ226" s="102" t="n"/>
      <c r="AR226" s="102" t="n"/>
    </row>
    <row r="227">
      <c r="D227" s="102" t="n"/>
      <c r="E227" s="102" t="n"/>
      <c r="F227" s="102" t="n"/>
      <c r="G227" s="102" t="n"/>
      <c r="H227" s="102" t="n"/>
      <c r="I227" s="102" t="n"/>
      <c r="J227" s="102" t="n"/>
      <c r="K227" s="102" t="n"/>
      <c r="L227" s="102" t="n"/>
      <c r="M227" s="102" t="n"/>
      <c r="N227" s="102" t="n"/>
      <c r="O227" s="102" t="n"/>
      <c r="P227" s="102" t="n"/>
      <c r="Q227" s="102" t="n"/>
      <c r="R227" s="102" t="n"/>
      <c r="S227" s="102" t="n"/>
      <c r="T227" s="102" t="n"/>
      <c r="U227" s="102" t="n"/>
      <c r="V227" s="102" t="n"/>
      <c r="W227" s="102" t="n"/>
      <c r="X227" s="102" t="n"/>
      <c r="Y227" s="102" t="n"/>
      <c r="Z227" s="102" t="n"/>
      <c r="AA227" s="102" t="n"/>
      <c r="AB227" s="102" t="n"/>
      <c r="AC227" s="102" t="n"/>
      <c r="AD227" s="102" t="n"/>
      <c r="AE227" s="102" t="n"/>
      <c r="AF227" s="102" t="n"/>
      <c r="AG227" s="102" t="n"/>
      <c r="AH227" s="102" t="n"/>
      <c r="AI227" s="102" t="n"/>
      <c r="AJ227" s="102" t="n"/>
      <c r="AK227" s="102" t="n"/>
      <c r="AL227" s="102" t="n"/>
      <c r="AM227" s="102" t="n"/>
      <c r="AN227" s="102" t="n"/>
      <c r="AO227" s="102" t="n"/>
      <c r="AP227" s="102" t="n"/>
      <c r="AQ227" s="102" t="n"/>
      <c r="AR227" s="102" t="n"/>
    </row>
    <row r="228">
      <c r="D228" s="160" t="n"/>
      <c r="E228" s="160" t="n"/>
      <c r="F228" s="160" t="n"/>
      <c r="G228" s="160" t="n"/>
      <c r="H228" s="160" t="n"/>
      <c r="I228" s="160" t="n"/>
      <c r="J228" s="160" t="n"/>
      <c r="K228" s="160" t="n"/>
      <c r="L228" s="160" t="n"/>
      <c r="M228" s="160" t="n"/>
      <c r="N228" s="160" t="n"/>
      <c r="O228" s="160" t="n"/>
      <c r="P228" s="160" t="n"/>
      <c r="Q228" s="160" t="n"/>
      <c r="R228" s="160" t="n"/>
      <c r="S228" s="160" t="n"/>
      <c r="T228" s="160" t="n"/>
      <c r="U228" s="160" t="n"/>
      <c r="V228" s="160" t="n"/>
      <c r="W228" s="160" t="n"/>
      <c r="X228" s="160" t="n"/>
      <c r="Y228" s="160" t="n"/>
      <c r="Z228" s="160" t="n"/>
      <c r="AA228" s="160" t="n"/>
      <c r="AB228" s="160" t="n"/>
      <c r="AC228" s="160" t="n"/>
      <c r="AD228" s="160" t="n"/>
      <c r="AE228" s="160" t="n"/>
      <c r="AF228" s="160" t="n"/>
      <c r="AG228" s="160" t="n"/>
      <c r="AH228" s="160" t="n"/>
      <c r="AI228" s="160" t="n"/>
      <c r="AJ228" s="160" t="n"/>
      <c r="AK228" s="160" t="n"/>
      <c r="AL228" s="160" t="n"/>
      <c r="AM228" s="160" t="n"/>
      <c r="AN228" s="160" t="n"/>
      <c r="AO228" s="160" t="n"/>
      <c r="AP228" s="160" t="n"/>
      <c r="AQ228" s="160" t="n"/>
      <c r="AR228" s="160" t="n"/>
    </row>
    <row r="230">
      <c r="A230" s="8">
        <f>IF(HSI!$C$27="","",HSI!$C$27)</f>
        <v/>
      </c>
      <c r="B230" s="158">
        <f>IF($A230="",0,COUNT($E231:$AR231))</f>
        <v/>
      </c>
      <c r="C230" s="159">
        <f>IF($B230=0,0,MAX($E231:$AR231))</f>
        <v/>
      </c>
      <c r="D230" s="101">
        <f>BDS($A230,FLD_HIST,"headers=y","startcol=1","endcol=7","dir=h","DVD_START_DT",HIST_FROM,"DVD_END_DT",HIST_TO)</f>
        <v/>
      </c>
      <c r="E230" s="102" t="n"/>
      <c r="F230" s="102" t="n"/>
      <c r="G230" s="102" t="n"/>
      <c r="H230" s="102" t="n"/>
      <c r="I230" s="102" t="n"/>
      <c r="J230" s="102" t="n"/>
      <c r="K230" s="102" t="n"/>
      <c r="L230" s="102" t="n"/>
      <c r="M230" s="102" t="n"/>
      <c r="N230" s="102" t="n"/>
      <c r="O230" s="102" t="n"/>
      <c r="P230" s="102" t="n"/>
      <c r="Q230" s="102" t="n"/>
      <c r="R230" s="102" t="n"/>
      <c r="S230" s="102" t="n"/>
      <c r="T230" s="102" t="n"/>
      <c r="U230" s="102" t="n"/>
      <c r="V230" s="102" t="n"/>
      <c r="W230" s="102" t="n"/>
      <c r="X230" s="102" t="n"/>
      <c r="Y230" s="102" t="n"/>
      <c r="Z230" s="102" t="n"/>
      <c r="AA230" s="102" t="n"/>
      <c r="AB230" s="102" t="n"/>
      <c r="AC230" s="102" t="n"/>
      <c r="AD230" s="102" t="n"/>
      <c r="AE230" s="102" t="n"/>
      <c r="AF230" s="102" t="n"/>
      <c r="AG230" s="102" t="n"/>
      <c r="AH230" s="102" t="n"/>
      <c r="AI230" s="102" t="n"/>
      <c r="AJ230" s="102" t="n"/>
      <c r="AK230" s="102" t="n"/>
      <c r="AL230" s="102" t="n"/>
      <c r="AM230" s="102" t="n"/>
      <c r="AN230" s="102" t="n"/>
      <c r="AO230" s="102" t="n"/>
      <c r="AP230" s="102" t="n"/>
      <c r="AQ230" s="102" t="n"/>
      <c r="AR230" s="102" t="n"/>
    </row>
    <row r="231">
      <c r="D231" s="102" t="n"/>
      <c r="E231" s="102" t="n"/>
      <c r="F231" s="102" t="n"/>
      <c r="G231" s="102" t="n"/>
      <c r="H231" s="102" t="n"/>
      <c r="I231" s="102" t="n"/>
      <c r="J231" s="102" t="n"/>
      <c r="K231" s="102" t="n"/>
      <c r="L231" s="102" t="n"/>
      <c r="M231" s="102" t="n"/>
      <c r="N231" s="102" t="n"/>
      <c r="O231" s="102" t="n"/>
      <c r="P231" s="102" t="n"/>
      <c r="Q231" s="102" t="n"/>
      <c r="R231" s="102" t="n"/>
      <c r="S231" s="102" t="n"/>
      <c r="T231" s="102" t="n"/>
      <c r="U231" s="102" t="n"/>
      <c r="V231" s="102" t="n"/>
      <c r="W231" s="102" t="n"/>
      <c r="X231" s="102" t="n"/>
      <c r="Y231" s="102" t="n"/>
      <c r="Z231" s="102" t="n"/>
      <c r="AA231" s="102" t="n"/>
      <c r="AB231" s="102" t="n"/>
      <c r="AC231" s="102" t="n"/>
      <c r="AD231" s="102" t="n"/>
      <c r="AE231" s="102" t="n"/>
      <c r="AF231" s="102" t="n"/>
      <c r="AG231" s="102" t="n"/>
      <c r="AH231" s="102" t="n"/>
      <c r="AI231" s="102" t="n"/>
      <c r="AJ231" s="102" t="n"/>
      <c r="AK231" s="102" t="n"/>
      <c r="AL231" s="102" t="n"/>
      <c r="AM231" s="102" t="n"/>
      <c r="AN231" s="102" t="n"/>
      <c r="AO231" s="102" t="n"/>
      <c r="AP231" s="102" t="n"/>
      <c r="AQ231" s="102" t="n"/>
      <c r="AR231" s="102" t="n"/>
    </row>
    <row r="232">
      <c r="D232" s="102" t="n"/>
      <c r="E232" s="102" t="n"/>
      <c r="F232" s="102" t="n"/>
      <c r="G232" s="102" t="n"/>
      <c r="H232" s="102" t="n"/>
      <c r="I232" s="102" t="n"/>
      <c r="J232" s="102" t="n"/>
      <c r="K232" s="102" t="n"/>
      <c r="L232" s="102" t="n"/>
      <c r="M232" s="102" t="n"/>
      <c r="N232" s="102" t="n"/>
      <c r="O232" s="102" t="n"/>
      <c r="P232" s="102" t="n"/>
      <c r="Q232" s="102" t="n"/>
      <c r="R232" s="102" t="n"/>
      <c r="S232" s="102" t="n"/>
      <c r="T232" s="102" t="n"/>
      <c r="U232" s="102" t="n"/>
      <c r="V232" s="102" t="n"/>
      <c r="W232" s="102" t="n"/>
      <c r="X232" s="102" t="n"/>
      <c r="Y232" s="102" t="n"/>
      <c r="Z232" s="102" t="n"/>
      <c r="AA232" s="102" t="n"/>
      <c r="AB232" s="102" t="n"/>
      <c r="AC232" s="102" t="n"/>
      <c r="AD232" s="102" t="n"/>
      <c r="AE232" s="102" t="n"/>
      <c r="AF232" s="102" t="n"/>
      <c r="AG232" s="102" t="n"/>
      <c r="AH232" s="102" t="n"/>
      <c r="AI232" s="102" t="n"/>
      <c r="AJ232" s="102" t="n"/>
      <c r="AK232" s="102" t="n"/>
      <c r="AL232" s="102" t="n"/>
      <c r="AM232" s="102" t="n"/>
      <c r="AN232" s="102" t="n"/>
      <c r="AO232" s="102" t="n"/>
      <c r="AP232" s="102" t="n"/>
      <c r="AQ232" s="102" t="n"/>
      <c r="AR232" s="102" t="n"/>
    </row>
    <row r="233">
      <c r="D233" s="102" t="n"/>
      <c r="E233" s="102" t="n"/>
      <c r="F233" s="102" t="n"/>
      <c r="G233" s="102" t="n"/>
      <c r="H233" s="102" t="n"/>
      <c r="I233" s="102" t="n"/>
      <c r="J233" s="102" t="n"/>
      <c r="K233" s="102" t="n"/>
      <c r="L233" s="102" t="n"/>
      <c r="M233" s="102" t="n"/>
      <c r="N233" s="102" t="n"/>
      <c r="O233" s="102" t="n"/>
      <c r="P233" s="102" t="n"/>
      <c r="Q233" s="102" t="n"/>
      <c r="R233" s="102" t="n"/>
      <c r="S233" s="102" t="n"/>
      <c r="T233" s="102" t="n"/>
      <c r="U233" s="102" t="n"/>
      <c r="V233" s="102" t="n"/>
      <c r="W233" s="102" t="n"/>
      <c r="X233" s="102" t="n"/>
      <c r="Y233" s="102" t="n"/>
      <c r="Z233" s="102" t="n"/>
      <c r="AA233" s="102" t="n"/>
      <c r="AB233" s="102" t="n"/>
      <c r="AC233" s="102" t="n"/>
      <c r="AD233" s="102" t="n"/>
      <c r="AE233" s="102" t="n"/>
      <c r="AF233" s="102" t="n"/>
      <c r="AG233" s="102" t="n"/>
      <c r="AH233" s="102" t="n"/>
      <c r="AI233" s="102" t="n"/>
      <c r="AJ233" s="102" t="n"/>
      <c r="AK233" s="102" t="n"/>
      <c r="AL233" s="102" t="n"/>
      <c r="AM233" s="102" t="n"/>
      <c r="AN233" s="102" t="n"/>
      <c r="AO233" s="102" t="n"/>
      <c r="AP233" s="102" t="n"/>
      <c r="AQ233" s="102" t="n"/>
      <c r="AR233" s="102" t="n"/>
    </row>
    <row r="234">
      <c r="D234" s="160" t="n"/>
      <c r="E234" s="160" t="n"/>
      <c r="F234" s="160" t="n"/>
      <c r="G234" s="160" t="n"/>
      <c r="H234" s="160" t="n"/>
      <c r="I234" s="160" t="n"/>
      <c r="J234" s="160" t="n"/>
      <c r="K234" s="160" t="n"/>
      <c r="L234" s="160" t="n"/>
      <c r="M234" s="160" t="n"/>
      <c r="N234" s="160" t="n"/>
      <c r="O234" s="160" t="n"/>
      <c r="P234" s="160" t="n"/>
      <c r="Q234" s="160" t="n"/>
      <c r="R234" s="160" t="n"/>
      <c r="S234" s="160" t="n"/>
      <c r="T234" s="160" t="n"/>
      <c r="U234" s="160" t="n"/>
      <c r="V234" s="160" t="n"/>
      <c r="W234" s="160" t="n"/>
      <c r="X234" s="160" t="n"/>
      <c r="Y234" s="160" t="n"/>
      <c r="Z234" s="160" t="n"/>
      <c r="AA234" s="160" t="n"/>
      <c r="AB234" s="160" t="n"/>
      <c r="AC234" s="160" t="n"/>
      <c r="AD234" s="160" t="n"/>
      <c r="AE234" s="160" t="n"/>
      <c r="AF234" s="160" t="n"/>
      <c r="AG234" s="160" t="n"/>
      <c r="AH234" s="160" t="n"/>
      <c r="AI234" s="160" t="n"/>
      <c r="AJ234" s="160" t="n"/>
      <c r="AK234" s="160" t="n"/>
      <c r="AL234" s="160" t="n"/>
      <c r="AM234" s="160" t="n"/>
      <c r="AN234" s="160" t="n"/>
      <c r="AO234" s="160" t="n"/>
      <c r="AP234" s="160" t="n"/>
      <c r="AQ234" s="160" t="n"/>
      <c r="AR234" s="160" t="n"/>
    </row>
    <row r="237">
      <c r="A237" s="2">
        <f>IF($A230="","","   projections")</f>
        <v/>
      </c>
      <c r="B237" s="158">
        <f>IF($A230="",0,COUNT($E238:$AR238))</f>
        <v/>
      </c>
      <c r="C237" s="159">
        <f>IF($B237=0,0,MAX($E238:$AR238))</f>
        <v/>
      </c>
      <c r="D237" s="101">
        <f>BDS($A230,FLD_PROJ,"headers=y","startcol=1","endcol=3","dir=h")</f>
        <v/>
      </c>
      <c r="E237" s="102" t="n"/>
      <c r="F237" s="102" t="n"/>
      <c r="G237" s="102" t="n"/>
      <c r="H237" s="102" t="n"/>
      <c r="I237" s="102" t="n"/>
      <c r="J237" s="102" t="n"/>
      <c r="K237" s="102" t="n"/>
      <c r="L237" s="102" t="n"/>
      <c r="M237" s="102" t="n"/>
      <c r="N237" s="102" t="n"/>
      <c r="O237" s="102" t="n"/>
      <c r="P237" s="102" t="n"/>
      <c r="Q237" s="102" t="n"/>
      <c r="R237" s="102" t="n"/>
      <c r="S237" s="102" t="n"/>
      <c r="T237" s="102" t="n"/>
      <c r="U237" s="102" t="n"/>
      <c r="V237" s="102" t="n"/>
      <c r="W237" s="102" t="n"/>
      <c r="X237" s="102" t="n"/>
      <c r="Y237" s="102" t="n"/>
      <c r="Z237" s="102" t="n"/>
      <c r="AA237" s="102" t="n"/>
      <c r="AB237" s="102" t="n"/>
      <c r="AC237" s="102" t="n"/>
      <c r="AD237" s="102" t="n"/>
      <c r="AE237" s="102" t="n"/>
      <c r="AF237" s="102" t="n"/>
      <c r="AG237" s="102" t="n"/>
      <c r="AH237" s="102" t="n"/>
      <c r="AI237" s="102" t="n"/>
      <c r="AJ237" s="102" t="n"/>
      <c r="AK237" s="102" t="n"/>
      <c r="AL237" s="102" t="n"/>
      <c r="AM237" s="102" t="n"/>
      <c r="AN237" s="102" t="n"/>
      <c r="AO237" s="102" t="n"/>
      <c r="AP237" s="102" t="n"/>
      <c r="AQ237" s="102" t="n"/>
      <c r="AR237" s="102" t="n"/>
    </row>
    <row r="238">
      <c r="D238" s="102" t="n"/>
      <c r="E238" s="102" t="n"/>
      <c r="F238" s="102" t="n"/>
      <c r="G238" s="102" t="n"/>
      <c r="H238" s="102" t="n"/>
      <c r="I238" s="102" t="n"/>
      <c r="J238" s="102" t="n"/>
      <c r="K238" s="102" t="n"/>
      <c r="L238" s="102" t="n"/>
      <c r="M238" s="102" t="n"/>
      <c r="N238" s="102" t="n"/>
      <c r="O238" s="102" t="n"/>
      <c r="P238" s="102" t="n"/>
      <c r="Q238" s="102" t="n"/>
      <c r="R238" s="102" t="n"/>
      <c r="S238" s="102" t="n"/>
      <c r="T238" s="102" t="n"/>
      <c r="U238" s="102" t="n"/>
      <c r="V238" s="102" t="n"/>
      <c r="W238" s="102" t="n"/>
      <c r="X238" s="102" t="n"/>
      <c r="Y238" s="102" t="n"/>
      <c r="Z238" s="102" t="n"/>
      <c r="AA238" s="102" t="n"/>
      <c r="AB238" s="102" t="n"/>
      <c r="AC238" s="102" t="n"/>
      <c r="AD238" s="102" t="n"/>
      <c r="AE238" s="102" t="n"/>
      <c r="AF238" s="102" t="n"/>
      <c r="AG238" s="102" t="n"/>
      <c r="AH238" s="102" t="n"/>
      <c r="AI238" s="102" t="n"/>
      <c r="AJ238" s="102" t="n"/>
      <c r="AK238" s="102" t="n"/>
      <c r="AL238" s="102" t="n"/>
      <c r="AM238" s="102" t="n"/>
      <c r="AN238" s="102" t="n"/>
      <c r="AO238" s="102" t="n"/>
      <c r="AP238" s="102" t="n"/>
      <c r="AQ238" s="102" t="n"/>
      <c r="AR238" s="102" t="n"/>
    </row>
    <row r="239">
      <c r="D239" s="160" t="n"/>
      <c r="E239" s="160" t="n"/>
      <c r="F239" s="160" t="n"/>
      <c r="G239" s="160" t="n"/>
      <c r="H239" s="160" t="n"/>
      <c r="I239" s="160" t="n"/>
      <c r="J239" s="160" t="n"/>
      <c r="K239" s="160" t="n"/>
      <c r="L239" s="160" t="n"/>
      <c r="M239" s="160" t="n"/>
      <c r="N239" s="160" t="n"/>
      <c r="O239" s="160" t="n"/>
      <c r="P239" s="160" t="n"/>
      <c r="Q239" s="160" t="n"/>
      <c r="R239" s="160" t="n"/>
      <c r="S239" s="160" t="n"/>
      <c r="T239" s="160" t="n"/>
      <c r="U239" s="160" t="n"/>
      <c r="V239" s="160" t="n"/>
      <c r="W239" s="160" t="n"/>
      <c r="X239" s="160" t="n"/>
      <c r="Y239" s="160" t="n"/>
      <c r="Z239" s="160" t="n"/>
      <c r="AA239" s="160" t="n"/>
      <c r="AB239" s="160" t="n"/>
      <c r="AC239" s="160" t="n"/>
      <c r="AD239" s="160" t="n"/>
      <c r="AE239" s="160" t="n"/>
      <c r="AF239" s="160" t="n"/>
      <c r="AG239" s="160" t="n"/>
      <c r="AH239" s="160" t="n"/>
      <c r="AI239" s="160" t="n"/>
      <c r="AJ239" s="160" t="n"/>
      <c r="AK239" s="160" t="n"/>
      <c r="AL239" s="160" t="n"/>
      <c r="AM239" s="160" t="n"/>
      <c r="AN239" s="160" t="n"/>
      <c r="AO239" s="160" t="n"/>
      <c r="AP239" s="160" t="n"/>
      <c r="AQ239" s="160" t="n"/>
      <c r="AR239" s="160" t="n"/>
    </row>
    <row r="241">
      <c r="A241" s="8">
        <f>IF(HSI!$C$28="","",HSI!$C$28)</f>
        <v/>
      </c>
      <c r="B241" s="158">
        <f>IF($A241="",0,COUNT($E242:$AR242))</f>
        <v/>
      </c>
      <c r="C241" s="159">
        <f>IF($B241=0,0,MAX($E242:$AR242))</f>
        <v/>
      </c>
      <c r="D241" s="101">
        <f>BDS($A241,FLD_HIST,"headers=y","startcol=1","endcol=7","dir=h","DVD_START_DT",HIST_FROM,"DVD_END_DT",HIST_TO)</f>
        <v/>
      </c>
      <c r="E241" s="102" t="n"/>
      <c r="F241" s="102" t="n"/>
      <c r="G241" s="102" t="n"/>
      <c r="H241" s="102" t="n"/>
      <c r="I241" s="102" t="n"/>
      <c r="J241" s="102" t="n"/>
      <c r="K241" s="102" t="n"/>
      <c r="L241" s="102" t="n"/>
      <c r="M241" s="102" t="n"/>
      <c r="N241" s="102" t="n"/>
      <c r="O241" s="102" t="n"/>
      <c r="P241" s="102" t="n"/>
      <c r="Q241" s="102" t="n"/>
      <c r="R241" s="102" t="n"/>
      <c r="S241" s="102" t="n"/>
      <c r="T241" s="102" t="n"/>
      <c r="U241" s="102" t="n"/>
      <c r="V241" s="102" t="n"/>
      <c r="W241" s="102" t="n"/>
      <c r="X241" s="102" t="n"/>
      <c r="Y241" s="102" t="n"/>
      <c r="Z241" s="102" t="n"/>
      <c r="AA241" s="102" t="n"/>
      <c r="AB241" s="102" t="n"/>
      <c r="AC241" s="102" t="n"/>
      <c r="AD241" s="102" t="n"/>
      <c r="AE241" s="102" t="n"/>
      <c r="AF241" s="102" t="n"/>
      <c r="AG241" s="102" t="n"/>
      <c r="AH241" s="102" t="n"/>
      <c r="AI241" s="102" t="n"/>
      <c r="AJ241" s="102" t="n"/>
      <c r="AK241" s="102" t="n"/>
      <c r="AL241" s="102" t="n"/>
      <c r="AM241" s="102" t="n"/>
      <c r="AN241" s="102" t="n"/>
      <c r="AO241" s="102" t="n"/>
      <c r="AP241" s="102" t="n"/>
      <c r="AQ241" s="102" t="n"/>
      <c r="AR241" s="102" t="n"/>
    </row>
    <row r="242">
      <c r="D242" s="102" t="n"/>
      <c r="E242" s="102" t="n"/>
      <c r="F242" s="102" t="n"/>
      <c r="G242" s="102" t="n"/>
      <c r="H242" s="102" t="n"/>
      <c r="I242" s="102" t="n"/>
      <c r="J242" s="102" t="n"/>
      <c r="K242" s="102" t="n"/>
      <c r="L242" s="102" t="n"/>
      <c r="M242" s="102" t="n"/>
      <c r="N242" s="102" t="n"/>
      <c r="O242" s="102" t="n"/>
      <c r="P242" s="102" t="n"/>
      <c r="Q242" s="102" t="n"/>
      <c r="R242" s="102" t="n"/>
      <c r="S242" s="102" t="n"/>
      <c r="T242" s="102" t="n"/>
      <c r="U242" s="102" t="n"/>
      <c r="V242" s="102" t="n"/>
      <c r="W242" s="102" t="n"/>
      <c r="X242" s="102" t="n"/>
      <c r="Y242" s="102" t="n"/>
      <c r="Z242" s="102" t="n"/>
      <c r="AA242" s="102" t="n"/>
      <c r="AB242" s="102" t="n"/>
      <c r="AC242" s="102" t="n"/>
      <c r="AD242" s="102" t="n"/>
      <c r="AE242" s="102" t="n"/>
      <c r="AF242" s="102" t="n"/>
      <c r="AG242" s="102" t="n"/>
      <c r="AH242" s="102" t="n"/>
      <c r="AI242" s="102" t="n"/>
      <c r="AJ242" s="102" t="n"/>
      <c r="AK242" s="102" t="n"/>
      <c r="AL242" s="102" t="n"/>
      <c r="AM242" s="102" t="n"/>
      <c r="AN242" s="102" t="n"/>
      <c r="AO242" s="102" t="n"/>
      <c r="AP242" s="102" t="n"/>
      <c r="AQ242" s="102" t="n"/>
      <c r="AR242" s="102" t="n"/>
    </row>
    <row r="243">
      <c r="D243" s="102" t="n"/>
      <c r="E243" s="102" t="n"/>
      <c r="F243" s="102" t="n"/>
      <c r="G243" s="102" t="n"/>
      <c r="H243" s="102" t="n"/>
      <c r="I243" s="102" t="n"/>
      <c r="J243" s="102" t="n"/>
      <c r="K243" s="102" t="n"/>
      <c r="L243" s="102" t="n"/>
      <c r="M243" s="102" t="n"/>
      <c r="N243" s="102" t="n"/>
      <c r="O243" s="102" t="n"/>
      <c r="P243" s="102" t="n"/>
      <c r="Q243" s="102" t="n"/>
      <c r="R243" s="102" t="n"/>
      <c r="S243" s="102" t="n"/>
      <c r="T243" s="102" t="n"/>
      <c r="U243" s="102" t="n"/>
      <c r="V243" s="102" t="n"/>
      <c r="W243" s="102" t="n"/>
      <c r="X243" s="102" t="n"/>
      <c r="Y243" s="102" t="n"/>
      <c r="Z243" s="102" t="n"/>
      <c r="AA243" s="102" t="n"/>
      <c r="AB243" s="102" t="n"/>
      <c r="AC243" s="102" t="n"/>
      <c r="AD243" s="102" t="n"/>
      <c r="AE243" s="102" t="n"/>
      <c r="AF243" s="102" t="n"/>
      <c r="AG243" s="102" t="n"/>
      <c r="AH243" s="102" t="n"/>
      <c r="AI243" s="102" t="n"/>
      <c r="AJ243" s="102" t="n"/>
      <c r="AK243" s="102" t="n"/>
      <c r="AL243" s="102" t="n"/>
      <c r="AM243" s="102" t="n"/>
      <c r="AN243" s="102" t="n"/>
      <c r="AO243" s="102" t="n"/>
      <c r="AP243" s="102" t="n"/>
      <c r="AQ243" s="102" t="n"/>
      <c r="AR243" s="102" t="n"/>
    </row>
    <row r="244">
      <c r="D244" s="102" t="n"/>
      <c r="E244" s="102" t="n"/>
      <c r="F244" s="102" t="n"/>
      <c r="G244" s="102" t="n"/>
      <c r="H244" s="102" t="n"/>
      <c r="I244" s="102" t="n"/>
      <c r="J244" s="102" t="n"/>
      <c r="K244" s="102" t="n"/>
      <c r="L244" s="102" t="n"/>
      <c r="M244" s="102" t="n"/>
      <c r="N244" s="102" t="n"/>
      <c r="O244" s="102" t="n"/>
      <c r="P244" s="102" t="n"/>
      <c r="Q244" s="102" t="n"/>
      <c r="R244" s="102" t="n"/>
      <c r="S244" s="102" t="n"/>
      <c r="T244" s="102" t="n"/>
      <c r="U244" s="102" t="n"/>
      <c r="V244" s="102" t="n"/>
      <c r="W244" s="102" t="n"/>
      <c r="X244" s="102" t="n"/>
      <c r="Y244" s="102" t="n"/>
      <c r="Z244" s="102" t="n"/>
      <c r="AA244" s="102" t="n"/>
      <c r="AB244" s="102" t="n"/>
      <c r="AC244" s="102" t="n"/>
      <c r="AD244" s="102" t="n"/>
      <c r="AE244" s="102" t="n"/>
      <c r="AF244" s="102" t="n"/>
      <c r="AG244" s="102" t="n"/>
      <c r="AH244" s="102" t="n"/>
      <c r="AI244" s="102" t="n"/>
      <c r="AJ244" s="102" t="n"/>
      <c r="AK244" s="102" t="n"/>
      <c r="AL244" s="102" t="n"/>
      <c r="AM244" s="102" t="n"/>
      <c r="AN244" s="102" t="n"/>
      <c r="AO244" s="102" t="n"/>
      <c r="AP244" s="102" t="n"/>
      <c r="AQ244" s="102" t="n"/>
      <c r="AR244" s="102" t="n"/>
    </row>
    <row r="245">
      <c r="D245" s="160" t="n"/>
      <c r="E245" s="160" t="n"/>
      <c r="F245" s="160" t="n"/>
      <c r="G245" s="160" t="n"/>
      <c r="H245" s="160" t="n"/>
      <c r="I245" s="160" t="n"/>
      <c r="J245" s="160" t="n"/>
      <c r="K245" s="160" t="n"/>
      <c r="L245" s="160" t="n"/>
      <c r="M245" s="160" t="n"/>
      <c r="N245" s="160" t="n"/>
      <c r="O245" s="160" t="n"/>
      <c r="P245" s="160" t="n"/>
      <c r="Q245" s="160" t="n"/>
      <c r="R245" s="160" t="n"/>
      <c r="S245" s="160" t="n"/>
      <c r="T245" s="160" t="n"/>
      <c r="U245" s="160" t="n"/>
      <c r="V245" s="160" t="n"/>
      <c r="W245" s="160" t="n"/>
      <c r="X245" s="160" t="n"/>
      <c r="Y245" s="160" t="n"/>
      <c r="Z245" s="160" t="n"/>
      <c r="AA245" s="160" t="n"/>
      <c r="AB245" s="160" t="n"/>
      <c r="AC245" s="160" t="n"/>
      <c r="AD245" s="160" t="n"/>
      <c r="AE245" s="160" t="n"/>
      <c r="AF245" s="160" t="n"/>
      <c r="AG245" s="160" t="n"/>
      <c r="AH245" s="160" t="n"/>
      <c r="AI245" s="160" t="n"/>
      <c r="AJ245" s="160" t="n"/>
      <c r="AK245" s="160" t="n"/>
      <c r="AL245" s="160" t="n"/>
      <c r="AM245" s="160" t="n"/>
      <c r="AN245" s="160" t="n"/>
      <c r="AO245" s="160" t="n"/>
      <c r="AP245" s="160" t="n"/>
      <c r="AQ245" s="160" t="n"/>
      <c r="AR245" s="160" t="n"/>
    </row>
    <row r="248">
      <c r="A248" s="2">
        <f>IF($A241="","","   projections")</f>
        <v/>
      </c>
      <c r="B248" s="158">
        <f>IF($A241="",0,COUNT($E249:$AR249))</f>
        <v/>
      </c>
      <c r="C248" s="159">
        <f>IF($B248=0,0,MAX($E249:$AR249))</f>
        <v/>
      </c>
      <c r="D248" s="101">
        <f>BDS($A241,FLD_PROJ,"headers=y","startcol=1","endcol=3","dir=h")</f>
        <v/>
      </c>
      <c r="E248" s="102" t="n"/>
      <c r="F248" s="102" t="n"/>
      <c r="G248" s="102" t="n"/>
      <c r="H248" s="102" t="n"/>
      <c r="I248" s="102" t="n"/>
      <c r="J248" s="102" t="n"/>
      <c r="K248" s="102" t="n"/>
      <c r="L248" s="102" t="n"/>
      <c r="M248" s="102" t="n"/>
      <c r="N248" s="102" t="n"/>
      <c r="O248" s="102" t="n"/>
      <c r="P248" s="102" t="n"/>
      <c r="Q248" s="102" t="n"/>
      <c r="R248" s="102" t="n"/>
      <c r="S248" s="102" t="n"/>
      <c r="T248" s="102" t="n"/>
      <c r="U248" s="102" t="n"/>
      <c r="V248" s="102" t="n"/>
      <c r="W248" s="102" t="n"/>
      <c r="X248" s="102" t="n"/>
      <c r="Y248" s="102" t="n"/>
      <c r="Z248" s="102" t="n"/>
      <c r="AA248" s="102" t="n"/>
      <c r="AB248" s="102" t="n"/>
      <c r="AC248" s="102" t="n"/>
      <c r="AD248" s="102" t="n"/>
      <c r="AE248" s="102" t="n"/>
      <c r="AF248" s="102" t="n"/>
      <c r="AG248" s="102" t="n"/>
      <c r="AH248" s="102" t="n"/>
      <c r="AI248" s="102" t="n"/>
      <c r="AJ248" s="102" t="n"/>
      <c r="AK248" s="102" t="n"/>
      <c r="AL248" s="102" t="n"/>
      <c r="AM248" s="102" t="n"/>
      <c r="AN248" s="102" t="n"/>
      <c r="AO248" s="102" t="n"/>
      <c r="AP248" s="102" t="n"/>
      <c r="AQ248" s="102" t="n"/>
      <c r="AR248" s="102" t="n"/>
    </row>
    <row r="249">
      <c r="D249" s="102" t="n"/>
      <c r="E249" s="102" t="n"/>
      <c r="F249" s="102" t="n"/>
      <c r="G249" s="102" t="n"/>
      <c r="H249" s="102" t="n"/>
      <c r="I249" s="102" t="n"/>
      <c r="J249" s="102" t="n"/>
      <c r="K249" s="102" t="n"/>
      <c r="L249" s="102" t="n"/>
      <c r="M249" s="102" t="n"/>
      <c r="N249" s="102" t="n"/>
      <c r="O249" s="102" t="n"/>
      <c r="P249" s="102" t="n"/>
      <c r="Q249" s="102" t="n"/>
      <c r="R249" s="102" t="n"/>
      <c r="S249" s="102" t="n"/>
      <c r="T249" s="102" t="n"/>
      <c r="U249" s="102" t="n"/>
      <c r="V249" s="102" t="n"/>
      <c r="W249" s="102" t="n"/>
      <c r="X249" s="102" t="n"/>
      <c r="Y249" s="102" t="n"/>
      <c r="Z249" s="102" t="n"/>
      <c r="AA249" s="102" t="n"/>
      <c r="AB249" s="102" t="n"/>
      <c r="AC249" s="102" t="n"/>
      <c r="AD249" s="102" t="n"/>
      <c r="AE249" s="102" t="n"/>
      <c r="AF249" s="102" t="n"/>
      <c r="AG249" s="102" t="n"/>
      <c r="AH249" s="102" t="n"/>
      <c r="AI249" s="102" t="n"/>
      <c r="AJ249" s="102" t="n"/>
      <c r="AK249" s="102" t="n"/>
      <c r="AL249" s="102" t="n"/>
      <c r="AM249" s="102" t="n"/>
      <c r="AN249" s="102" t="n"/>
      <c r="AO249" s="102" t="n"/>
      <c r="AP249" s="102" t="n"/>
      <c r="AQ249" s="102" t="n"/>
      <c r="AR249" s="102" t="n"/>
    </row>
    <row r="250">
      <c r="D250" s="160" t="n"/>
      <c r="E250" s="160" t="n"/>
      <c r="F250" s="160" t="n"/>
      <c r="G250" s="160" t="n"/>
      <c r="H250" s="160" t="n"/>
      <c r="I250" s="160" t="n"/>
      <c r="J250" s="160" t="n"/>
      <c r="K250" s="160" t="n"/>
      <c r="L250" s="160" t="n"/>
      <c r="M250" s="160" t="n"/>
      <c r="N250" s="160" t="n"/>
      <c r="O250" s="160" t="n"/>
      <c r="P250" s="160" t="n"/>
      <c r="Q250" s="160" t="n"/>
      <c r="R250" s="160" t="n"/>
      <c r="S250" s="160" t="n"/>
      <c r="T250" s="160" t="n"/>
      <c r="U250" s="160" t="n"/>
      <c r="V250" s="160" t="n"/>
      <c r="W250" s="160" t="n"/>
      <c r="X250" s="160" t="n"/>
      <c r="Y250" s="160" t="n"/>
      <c r="Z250" s="160" t="n"/>
      <c r="AA250" s="160" t="n"/>
      <c r="AB250" s="160" t="n"/>
      <c r="AC250" s="160" t="n"/>
      <c r="AD250" s="160" t="n"/>
      <c r="AE250" s="160" t="n"/>
      <c r="AF250" s="160" t="n"/>
      <c r="AG250" s="160" t="n"/>
      <c r="AH250" s="160" t="n"/>
      <c r="AI250" s="160" t="n"/>
      <c r="AJ250" s="160" t="n"/>
      <c r="AK250" s="160" t="n"/>
      <c r="AL250" s="160" t="n"/>
      <c r="AM250" s="160" t="n"/>
      <c r="AN250" s="160" t="n"/>
      <c r="AO250" s="160" t="n"/>
      <c r="AP250" s="160" t="n"/>
      <c r="AQ250" s="160" t="n"/>
      <c r="AR250" s="160" t="n"/>
    </row>
    <row r="252">
      <c r="A252" s="8">
        <f>IF(HSI!$C$29="","",HSI!$C$29)</f>
        <v/>
      </c>
      <c r="B252" s="158">
        <f>IF($A252="",0,COUNT($E253:$AR253))</f>
        <v/>
      </c>
      <c r="C252" s="159">
        <f>IF($B252=0,0,MAX($E253:$AR253))</f>
        <v/>
      </c>
      <c r="D252" s="101">
        <f>BDS($A252,FLD_HIST,"headers=y","startcol=1","endcol=7","dir=h","DVD_START_DT",HIST_FROM,"DVD_END_DT",HIST_TO)</f>
        <v/>
      </c>
      <c r="E252" s="102" t="n"/>
      <c r="F252" s="102" t="n"/>
      <c r="G252" s="102" t="n"/>
      <c r="H252" s="102" t="n"/>
      <c r="I252" s="102" t="n"/>
      <c r="J252" s="102" t="n"/>
      <c r="K252" s="102" t="n"/>
      <c r="L252" s="102" t="n"/>
      <c r="M252" s="102" t="n"/>
      <c r="N252" s="102" t="n"/>
      <c r="O252" s="102" t="n"/>
      <c r="P252" s="102" t="n"/>
      <c r="Q252" s="102" t="n"/>
      <c r="R252" s="102" t="n"/>
      <c r="S252" s="102" t="n"/>
      <c r="T252" s="102" t="n"/>
      <c r="U252" s="102" t="n"/>
      <c r="V252" s="102" t="n"/>
      <c r="W252" s="102" t="n"/>
      <c r="X252" s="102" t="n"/>
      <c r="Y252" s="102" t="n"/>
      <c r="Z252" s="102" t="n"/>
      <c r="AA252" s="102" t="n"/>
      <c r="AB252" s="102" t="n"/>
      <c r="AC252" s="102" t="n"/>
      <c r="AD252" s="102" t="n"/>
      <c r="AE252" s="102" t="n"/>
      <c r="AF252" s="102" t="n"/>
      <c r="AG252" s="102" t="n"/>
      <c r="AH252" s="102" t="n"/>
      <c r="AI252" s="102" t="n"/>
      <c r="AJ252" s="102" t="n"/>
      <c r="AK252" s="102" t="n"/>
      <c r="AL252" s="102" t="n"/>
      <c r="AM252" s="102" t="n"/>
      <c r="AN252" s="102" t="n"/>
      <c r="AO252" s="102" t="n"/>
      <c r="AP252" s="102" t="n"/>
      <c r="AQ252" s="102" t="n"/>
      <c r="AR252" s="102" t="n"/>
    </row>
    <row r="253">
      <c r="D253" s="102" t="n"/>
      <c r="E253" s="102" t="n"/>
      <c r="F253" s="102" t="n"/>
      <c r="G253" s="102" t="n"/>
      <c r="H253" s="102" t="n"/>
      <c r="I253" s="102" t="n"/>
      <c r="J253" s="102" t="n"/>
      <c r="K253" s="102" t="n"/>
      <c r="L253" s="102" t="n"/>
      <c r="M253" s="102" t="n"/>
      <c r="N253" s="102" t="n"/>
      <c r="O253" s="102" t="n"/>
      <c r="P253" s="102" t="n"/>
      <c r="Q253" s="102" t="n"/>
      <c r="R253" s="102" t="n"/>
      <c r="S253" s="102" t="n"/>
      <c r="T253" s="102" t="n"/>
      <c r="U253" s="102" t="n"/>
      <c r="V253" s="102" t="n"/>
      <c r="W253" s="102" t="n"/>
      <c r="X253" s="102" t="n"/>
      <c r="Y253" s="102" t="n"/>
      <c r="Z253" s="102" t="n"/>
      <c r="AA253" s="102" t="n"/>
      <c r="AB253" s="102" t="n"/>
      <c r="AC253" s="102" t="n"/>
      <c r="AD253" s="102" t="n"/>
      <c r="AE253" s="102" t="n"/>
      <c r="AF253" s="102" t="n"/>
      <c r="AG253" s="102" t="n"/>
      <c r="AH253" s="102" t="n"/>
      <c r="AI253" s="102" t="n"/>
      <c r="AJ253" s="102" t="n"/>
      <c r="AK253" s="102" t="n"/>
      <c r="AL253" s="102" t="n"/>
      <c r="AM253" s="102" t="n"/>
      <c r="AN253" s="102" t="n"/>
      <c r="AO253" s="102" t="n"/>
      <c r="AP253" s="102" t="n"/>
      <c r="AQ253" s="102" t="n"/>
      <c r="AR253" s="102" t="n"/>
    </row>
    <row r="254">
      <c r="D254" s="102" t="n"/>
      <c r="E254" s="102" t="n"/>
      <c r="F254" s="102" t="n"/>
      <c r="G254" s="102" t="n"/>
      <c r="H254" s="102" t="n"/>
      <c r="I254" s="102" t="n"/>
      <c r="J254" s="102" t="n"/>
      <c r="K254" s="102" t="n"/>
      <c r="L254" s="102" t="n"/>
      <c r="M254" s="102" t="n"/>
      <c r="N254" s="102" t="n"/>
      <c r="O254" s="102" t="n"/>
      <c r="P254" s="102" t="n"/>
      <c r="Q254" s="102" t="n"/>
      <c r="R254" s="102" t="n"/>
      <c r="S254" s="102" t="n"/>
      <c r="T254" s="102" t="n"/>
      <c r="U254" s="102" t="n"/>
      <c r="V254" s="102" t="n"/>
      <c r="W254" s="102" t="n"/>
      <c r="X254" s="102" t="n"/>
      <c r="Y254" s="102" t="n"/>
      <c r="Z254" s="102" t="n"/>
      <c r="AA254" s="102" t="n"/>
      <c r="AB254" s="102" t="n"/>
      <c r="AC254" s="102" t="n"/>
      <c r="AD254" s="102" t="n"/>
      <c r="AE254" s="102" t="n"/>
      <c r="AF254" s="102" t="n"/>
      <c r="AG254" s="102" t="n"/>
      <c r="AH254" s="102" t="n"/>
      <c r="AI254" s="102" t="n"/>
      <c r="AJ254" s="102" t="n"/>
      <c r="AK254" s="102" t="n"/>
      <c r="AL254" s="102" t="n"/>
      <c r="AM254" s="102" t="n"/>
      <c r="AN254" s="102" t="n"/>
      <c r="AO254" s="102" t="n"/>
      <c r="AP254" s="102" t="n"/>
      <c r="AQ254" s="102" t="n"/>
      <c r="AR254" s="102" t="n"/>
    </row>
    <row r="255">
      <c r="D255" s="102" t="n"/>
      <c r="E255" s="102" t="n"/>
      <c r="F255" s="102" t="n"/>
      <c r="G255" s="102" t="n"/>
      <c r="H255" s="102" t="n"/>
      <c r="I255" s="102" t="n"/>
      <c r="J255" s="102" t="n"/>
      <c r="K255" s="102" t="n"/>
      <c r="L255" s="102" t="n"/>
      <c r="M255" s="102" t="n"/>
      <c r="N255" s="102" t="n"/>
      <c r="O255" s="102" t="n"/>
      <c r="P255" s="102" t="n"/>
      <c r="Q255" s="102" t="n"/>
      <c r="R255" s="102" t="n"/>
      <c r="S255" s="102" t="n"/>
      <c r="T255" s="102" t="n"/>
      <c r="U255" s="102" t="n"/>
      <c r="V255" s="102" t="n"/>
      <c r="W255" s="102" t="n"/>
      <c r="X255" s="102" t="n"/>
      <c r="Y255" s="102" t="n"/>
      <c r="Z255" s="102" t="n"/>
      <c r="AA255" s="102" t="n"/>
      <c r="AB255" s="102" t="n"/>
      <c r="AC255" s="102" t="n"/>
      <c r="AD255" s="102" t="n"/>
      <c r="AE255" s="102" t="n"/>
      <c r="AF255" s="102" t="n"/>
      <c r="AG255" s="102" t="n"/>
      <c r="AH255" s="102" t="n"/>
      <c r="AI255" s="102" t="n"/>
      <c r="AJ255" s="102" t="n"/>
      <c r="AK255" s="102" t="n"/>
      <c r="AL255" s="102" t="n"/>
      <c r="AM255" s="102" t="n"/>
      <c r="AN255" s="102" t="n"/>
      <c r="AO255" s="102" t="n"/>
      <c r="AP255" s="102" t="n"/>
      <c r="AQ255" s="102" t="n"/>
      <c r="AR255" s="102" t="n"/>
    </row>
    <row r="256">
      <c r="D256" s="160" t="n"/>
      <c r="E256" s="160" t="n"/>
      <c r="F256" s="160" t="n"/>
      <c r="G256" s="160" t="n"/>
      <c r="H256" s="160" t="n"/>
      <c r="I256" s="160" t="n"/>
      <c r="J256" s="160" t="n"/>
      <c r="K256" s="160" t="n"/>
      <c r="L256" s="160" t="n"/>
      <c r="M256" s="160" t="n"/>
      <c r="N256" s="160" t="n"/>
      <c r="O256" s="160" t="n"/>
      <c r="P256" s="160" t="n"/>
      <c r="Q256" s="160" t="n"/>
      <c r="R256" s="160" t="n"/>
      <c r="S256" s="160" t="n"/>
      <c r="T256" s="160" t="n"/>
      <c r="U256" s="160" t="n"/>
      <c r="V256" s="160" t="n"/>
      <c r="W256" s="160" t="n"/>
      <c r="X256" s="160" t="n"/>
      <c r="Y256" s="160" t="n"/>
      <c r="Z256" s="160" t="n"/>
      <c r="AA256" s="160" t="n"/>
      <c r="AB256" s="160" t="n"/>
      <c r="AC256" s="160" t="n"/>
      <c r="AD256" s="160" t="n"/>
      <c r="AE256" s="160" t="n"/>
      <c r="AF256" s="160" t="n"/>
      <c r="AG256" s="160" t="n"/>
      <c r="AH256" s="160" t="n"/>
      <c r="AI256" s="160" t="n"/>
      <c r="AJ256" s="160" t="n"/>
      <c r="AK256" s="160" t="n"/>
      <c r="AL256" s="160" t="n"/>
      <c r="AM256" s="160" t="n"/>
      <c r="AN256" s="160" t="n"/>
      <c r="AO256" s="160" t="n"/>
      <c r="AP256" s="160" t="n"/>
      <c r="AQ256" s="160" t="n"/>
      <c r="AR256" s="160" t="n"/>
    </row>
    <row r="259">
      <c r="A259" s="2">
        <f>IF($A252="","","   projections")</f>
        <v/>
      </c>
      <c r="B259" s="158">
        <f>IF($A252="",0,COUNT($E260:$AR260))</f>
        <v/>
      </c>
      <c r="C259" s="159">
        <f>IF($B259=0,0,MAX($E260:$AR260))</f>
        <v/>
      </c>
      <c r="D259" s="101">
        <f>BDS($A252,FLD_PROJ,"headers=y","startcol=1","endcol=3","dir=h")</f>
        <v/>
      </c>
      <c r="E259" s="102" t="n"/>
      <c r="F259" s="102" t="n"/>
      <c r="G259" s="102" t="n"/>
      <c r="H259" s="102" t="n"/>
      <c r="I259" s="102" t="n"/>
      <c r="J259" s="102" t="n"/>
      <c r="K259" s="102" t="n"/>
      <c r="L259" s="102" t="n"/>
      <c r="M259" s="102" t="n"/>
      <c r="N259" s="102" t="n"/>
      <c r="O259" s="102" t="n"/>
      <c r="P259" s="102" t="n"/>
      <c r="Q259" s="102" t="n"/>
      <c r="R259" s="102" t="n"/>
      <c r="S259" s="102" t="n"/>
      <c r="T259" s="102" t="n"/>
      <c r="U259" s="102" t="n"/>
      <c r="V259" s="102" t="n"/>
      <c r="W259" s="102" t="n"/>
      <c r="X259" s="102" t="n"/>
      <c r="Y259" s="102" t="n"/>
      <c r="Z259" s="102" t="n"/>
      <c r="AA259" s="102" t="n"/>
      <c r="AB259" s="102" t="n"/>
      <c r="AC259" s="102" t="n"/>
      <c r="AD259" s="102" t="n"/>
      <c r="AE259" s="102" t="n"/>
      <c r="AF259" s="102" t="n"/>
      <c r="AG259" s="102" t="n"/>
      <c r="AH259" s="102" t="n"/>
      <c r="AI259" s="102" t="n"/>
      <c r="AJ259" s="102" t="n"/>
      <c r="AK259" s="102" t="n"/>
      <c r="AL259" s="102" t="n"/>
      <c r="AM259" s="102" t="n"/>
      <c r="AN259" s="102" t="n"/>
      <c r="AO259" s="102" t="n"/>
      <c r="AP259" s="102" t="n"/>
      <c r="AQ259" s="102" t="n"/>
      <c r="AR259" s="102" t="n"/>
    </row>
    <row r="260">
      <c r="D260" s="102" t="n"/>
      <c r="E260" s="102" t="n"/>
      <c r="F260" s="102" t="n"/>
      <c r="G260" s="102" t="n"/>
      <c r="H260" s="102" t="n"/>
      <c r="I260" s="102" t="n"/>
      <c r="J260" s="102" t="n"/>
      <c r="K260" s="102" t="n"/>
      <c r="L260" s="102" t="n"/>
      <c r="M260" s="102" t="n"/>
      <c r="N260" s="102" t="n"/>
      <c r="O260" s="102" t="n"/>
      <c r="P260" s="102" t="n"/>
      <c r="Q260" s="102" t="n"/>
      <c r="R260" s="102" t="n"/>
      <c r="S260" s="102" t="n"/>
      <c r="T260" s="102" t="n"/>
      <c r="U260" s="102" t="n"/>
      <c r="V260" s="102" t="n"/>
      <c r="W260" s="102" t="n"/>
      <c r="X260" s="102" t="n"/>
      <c r="Y260" s="102" t="n"/>
      <c r="Z260" s="102" t="n"/>
      <c r="AA260" s="102" t="n"/>
      <c r="AB260" s="102" t="n"/>
      <c r="AC260" s="102" t="n"/>
      <c r="AD260" s="102" t="n"/>
      <c r="AE260" s="102" t="n"/>
      <c r="AF260" s="102" t="n"/>
      <c r="AG260" s="102" t="n"/>
      <c r="AH260" s="102" t="n"/>
      <c r="AI260" s="102" t="n"/>
      <c r="AJ260" s="102" t="n"/>
      <c r="AK260" s="102" t="n"/>
      <c r="AL260" s="102" t="n"/>
      <c r="AM260" s="102" t="n"/>
      <c r="AN260" s="102" t="n"/>
      <c r="AO260" s="102" t="n"/>
      <c r="AP260" s="102" t="n"/>
      <c r="AQ260" s="102" t="n"/>
      <c r="AR260" s="102" t="n"/>
    </row>
    <row r="261">
      <c r="D261" s="160" t="n"/>
      <c r="E261" s="160" t="n"/>
      <c r="F261" s="160" t="n"/>
      <c r="G261" s="160" t="n"/>
      <c r="H261" s="160" t="n"/>
      <c r="I261" s="160" t="n"/>
      <c r="J261" s="160" t="n"/>
      <c r="K261" s="160" t="n"/>
      <c r="L261" s="160" t="n"/>
      <c r="M261" s="160" t="n"/>
      <c r="N261" s="160" t="n"/>
      <c r="O261" s="160" t="n"/>
      <c r="P261" s="160" t="n"/>
      <c r="Q261" s="160" t="n"/>
      <c r="R261" s="160" t="n"/>
      <c r="S261" s="160" t="n"/>
      <c r="T261" s="160" t="n"/>
      <c r="U261" s="160" t="n"/>
      <c r="V261" s="160" t="n"/>
      <c r="W261" s="160" t="n"/>
      <c r="X261" s="160" t="n"/>
      <c r="Y261" s="160" t="n"/>
      <c r="Z261" s="160" t="n"/>
      <c r="AA261" s="160" t="n"/>
      <c r="AB261" s="160" t="n"/>
      <c r="AC261" s="160" t="n"/>
      <c r="AD261" s="160" t="n"/>
      <c r="AE261" s="160" t="n"/>
      <c r="AF261" s="160" t="n"/>
      <c r="AG261" s="160" t="n"/>
      <c r="AH261" s="160" t="n"/>
      <c r="AI261" s="160" t="n"/>
      <c r="AJ261" s="160" t="n"/>
      <c r="AK261" s="160" t="n"/>
      <c r="AL261" s="160" t="n"/>
      <c r="AM261" s="160" t="n"/>
      <c r="AN261" s="160" t="n"/>
      <c r="AO261" s="160" t="n"/>
      <c r="AP261" s="160" t="n"/>
      <c r="AQ261" s="160" t="n"/>
      <c r="AR261" s="160" t="n"/>
    </row>
    <row r="263">
      <c r="A263" s="8">
        <f>IF(HSI!$C$30="","",HSI!$C$30)</f>
        <v/>
      </c>
      <c r="B263" s="158">
        <f>IF($A263="",0,COUNT($E264:$AR264))</f>
        <v/>
      </c>
      <c r="C263" s="159">
        <f>IF($B263=0,0,MAX($E264:$AR264))</f>
        <v/>
      </c>
      <c r="D263" s="101">
        <f>BDS($A263,FLD_HIST,"headers=y","startcol=1","endcol=7","dir=h","DVD_START_DT",HIST_FROM,"DVD_END_DT",HIST_TO)</f>
        <v/>
      </c>
      <c r="E263" s="102" t="n"/>
      <c r="F263" s="102" t="n"/>
      <c r="G263" s="102" t="n"/>
      <c r="H263" s="102" t="n"/>
      <c r="I263" s="102" t="n"/>
      <c r="J263" s="102" t="n"/>
      <c r="K263" s="102" t="n"/>
      <c r="L263" s="102" t="n"/>
      <c r="M263" s="102" t="n"/>
      <c r="N263" s="102" t="n"/>
      <c r="O263" s="102" t="n"/>
      <c r="P263" s="102" t="n"/>
      <c r="Q263" s="102" t="n"/>
      <c r="R263" s="102" t="n"/>
      <c r="S263" s="102" t="n"/>
      <c r="T263" s="102" t="n"/>
      <c r="U263" s="102" t="n"/>
      <c r="V263" s="102" t="n"/>
      <c r="W263" s="102" t="n"/>
      <c r="X263" s="102" t="n"/>
      <c r="Y263" s="102" t="n"/>
      <c r="Z263" s="102" t="n"/>
      <c r="AA263" s="102" t="n"/>
      <c r="AB263" s="102" t="n"/>
      <c r="AC263" s="102" t="n"/>
      <c r="AD263" s="102" t="n"/>
      <c r="AE263" s="102" t="n"/>
      <c r="AF263" s="102" t="n"/>
      <c r="AG263" s="102" t="n"/>
      <c r="AH263" s="102" t="n"/>
      <c r="AI263" s="102" t="n"/>
      <c r="AJ263" s="102" t="n"/>
      <c r="AK263" s="102" t="n"/>
      <c r="AL263" s="102" t="n"/>
      <c r="AM263" s="102" t="n"/>
      <c r="AN263" s="102" t="n"/>
      <c r="AO263" s="102" t="n"/>
      <c r="AP263" s="102" t="n"/>
      <c r="AQ263" s="102" t="n"/>
      <c r="AR263" s="102" t="n"/>
    </row>
    <row r="264">
      <c r="D264" s="102" t="n"/>
      <c r="E264" s="102" t="n"/>
      <c r="F264" s="102" t="n"/>
      <c r="G264" s="102" t="n"/>
      <c r="H264" s="102" t="n"/>
      <c r="I264" s="102" t="n"/>
      <c r="J264" s="102" t="n"/>
      <c r="K264" s="102" t="n"/>
      <c r="L264" s="102" t="n"/>
      <c r="M264" s="102" t="n"/>
      <c r="N264" s="102" t="n"/>
      <c r="O264" s="102" t="n"/>
      <c r="P264" s="102" t="n"/>
      <c r="Q264" s="102" t="n"/>
      <c r="R264" s="102" t="n"/>
      <c r="S264" s="102" t="n"/>
      <c r="T264" s="102" t="n"/>
      <c r="U264" s="102" t="n"/>
      <c r="V264" s="102" t="n"/>
      <c r="W264" s="102" t="n"/>
      <c r="X264" s="102" t="n"/>
      <c r="Y264" s="102" t="n"/>
      <c r="Z264" s="102" t="n"/>
      <c r="AA264" s="102" t="n"/>
      <c r="AB264" s="102" t="n"/>
      <c r="AC264" s="102" t="n"/>
      <c r="AD264" s="102" t="n"/>
      <c r="AE264" s="102" t="n"/>
      <c r="AF264" s="102" t="n"/>
      <c r="AG264" s="102" t="n"/>
      <c r="AH264" s="102" t="n"/>
      <c r="AI264" s="102" t="n"/>
      <c r="AJ264" s="102" t="n"/>
      <c r="AK264" s="102" t="n"/>
      <c r="AL264" s="102" t="n"/>
      <c r="AM264" s="102" t="n"/>
      <c r="AN264" s="102" t="n"/>
      <c r="AO264" s="102" t="n"/>
      <c r="AP264" s="102" t="n"/>
      <c r="AQ264" s="102" t="n"/>
      <c r="AR264" s="102" t="n"/>
    </row>
    <row r="265">
      <c r="D265" s="102" t="n"/>
      <c r="E265" s="102" t="n"/>
      <c r="F265" s="102" t="n"/>
      <c r="G265" s="102" t="n"/>
      <c r="H265" s="102" t="n"/>
      <c r="I265" s="102" t="n"/>
      <c r="J265" s="102" t="n"/>
      <c r="K265" s="102" t="n"/>
      <c r="L265" s="102" t="n"/>
      <c r="M265" s="102" t="n"/>
      <c r="N265" s="102" t="n"/>
      <c r="O265" s="102" t="n"/>
      <c r="P265" s="102" t="n"/>
      <c r="Q265" s="102" t="n"/>
      <c r="R265" s="102" t="n"/>
      <c r="S265" s="102" t="n"/>
      <c r="T265" s="102" t="n"/>
      <c r="U265" s="102" t="n"/>
      <c r="V265" s="102" t="n"/>
      <c r="W265" s="102" t="n"/>
      <c r="X265" s="102" t="n"/>
      <c r="Y265" s="102" t="n"/>
      <c r="Z265" s="102" t="n"/>
      <c r="AA265" s="102" t="n"/>
      <c r="AB265" s="102" t="n"/>
      <c r="AC265" s="102" t="n"/>
      <c r="AD265" s="102" t="n"/>
      <c r="AE265" s="102" t="n"/>
      <c r="AF265" s="102" t="n"/>
      <c r="AG265" s="102" t="n"/>
      <c r="AH265" s="102" t="n"/>
      <c r="AI265" s="102" t="n"/>
      <c r="AJ265" s="102" t="n"/>
      <c r="AK265" s="102" t="n"/>
      <c r="AL265" s="102" t="n"/>
      <c r="AM265" s="102" t="n"/>
      <c r="AN265" s="102" t="n"/>
      <c r="AO265" s="102" t="n"/>
      <c r="AP265" s="102" t="n"/>
      <c r="AQ265" s="102" t="n"/>
      <c r="AR265" s="102" t="n"/>
    </row>
    <row r="266">
      <c r="D266" s="102" t="n"/>
      <c r="E266" s="102" t="n"/>
      <c r="F266" s="102" t="n"/>
      <c r="G266" s="102" t="n"/>
      <c r="H266" s="102" t="n"/>
      <c r="I266" s="102" t="n"/>
      <c r="J266" s="102" t="n"/>
      <c r="K266" s="102" t="n"/>
      <c r="L266" s="102" t="n"/>
      <c r="M266" s="102" t="n"/>
      <c r="N266" s="102" t="n"/>
      <c r="O266" s="102" t="n"/>
      <c r="P266" s="102" t="n"/>
      <c r="Q266" s="102" t="n"/>
      <c r="R266" s="102" t="n"/>
      <c r="S266" s="102" t="n"/>
      <c r="T266" s="102" t="n"/>
      <c r="U266" s="102" t="n"/>
      <c r="V266" s="102" t="n"/>
      <c r="W266" s="102" t="n"/>
      <c r="X266" s="102" t="n"/>
      <c r="Y266" s="102" t="n"/>
      <c r="Z266" s="102" t="n"/>
      <c r="AA266" s="102" t="n"/>
      <c r="AB266" s="102" t="n"/>
      <c r="AC266" s="102" t="n"/>
      <c r="AD266" s="102" t="n"/>
      <c r="AE266" s="102" t="n"/>
      <c r="AF266" s="102" t="n"/>
      <c r="AG266" s="102" t="n"/>
      <c r="AH266" s="102" t="n"/>
      <c r="AI266" s="102" t="n"/>
      <c r="AJ266" s="102" t="n"/>
      <c r="AK266" s="102" t="n"/>
      <c r="AL266" s="102" t="n"/>
      <c r="AM266" s="102" t="n"/>
      <c r="AN266" s="102" t="n"/>
      <c r="AO266" s="102" t="n"/>
      <c r="AP266" s="102" t="n"/>
      <c r="AQ266" s="102" t="n"/>
      <c r="AR266" s="102" t="n"/>
    </row>
    <row r="267">
      <c r="D267" s="160" t="n"/>
      <c r="E267" s="160" t="n"/>
      <c r="F267" s="160" t="n"/>
      <c r="G267" s="160" t="n"/>
      <c r="H267" s="160" t="n"/>
      <c r="I267" s="160" t="n"/>
      <c r="J267" s="160" t="n"/>
      <c r="K267" s="160" t="n"/>
      <c r="L267" s="160" t="n"/>
      <c r="M267" s="160" t="n"/>
      <c r="N267" s="160" t="n"/>
      <c r="O267" s="160" t="n"/>
      <c r="P267" s="160" t="n"/>
      <c r="Q267" s="160" t="n"/>
      <c r="R267" s="160" t="n"/>
      <c r="S267" s="160" t="n"/>
      <c r="T267" s="160" t="n"/>
      <c r="U267" s="160" t="n"/>
      <c r="V267" s="160" t="n"/>
      <c r="W267" s="160" t="n"/>
      <c r="X267" s="160" t="n"/>
      <c r="Y267" s="160" t="n"/>
      <c r="Z267" s="160" t="n"/>
      <c r="AA267" s="160" t="n"/>
      <c r="AB267" s="160" t="n"/>
      <c r="AC267" s="160" t="n"/>
      <c r="AD267" s="160" t="n"/>
      <c r="AE267" s="160" t="n"/>
      <c r="AF267" s="160" t="n"/>
      <c r="AG267" s="160" t="n"/>
      <c r="AH267" s="160" t="n"/>
      <c r="AI267" s="160" t="n"/>
      <c r="AJ267" s="160" t="n"/>
      <c r="AK267" s="160" t="n"/>
      <c r="AL267" s="160" t="n"/>
      <c r="AM267" s="160" t="n"/>
      <c r="AN267" s="160" t="n"/>
      <c r="AO267" s="160" t="n"/>
      <c r="AP267" s="160" t="n"/>
      <c r="AQ267" s="160" t="n"/>
      <c r="AR267" s="160" t="n"/>
    </row>
    <row r="270">
      <c r="A270" s="2">
        <f>IF($A263="","","   projections")</f>
        <v/>
      </c>
      <c r="B270" s="158">
        <f>IF($A263="",0,COUNT($E271:$AR271))</f>
        <v/>
      </c>
      <c r="C270" s="159">
        <f>IF($B270=0,0,MAX($E271:$AR271))</f>
        <v/>
      </c>
      <c r="D270" s="101">
        <f>BDS($A263,FLD_PROJ,"headers=y","startcol=1","endcol=3","dir=h")</f>
        <v/>
      </c>
      <c r="E270" s="102" t="n"/>
      <c r="F270" s="102" t="n"/>
      <c r="G270" s="102" t="n"/>
      <c r="H270" s="102" t="n"/>
      <c r="I270" s="102" t="n"/>
      <c r="J270" s="102" t="n"/>
      <c r="K270" s="102" t="n"/>
      <c r="L270" s="102" t="n"/>
      <c r="M270" s="102" t="n"/>
      <c r="N270" s="102" t="n"/>
      <c r="O270" s="102" t="n"/>
      <c r="P270" s="102" t="n"/>
      <c r="Q270" s="102" t="n"/>
      <c r="R270" s="102" t="n"/>
      <c r="S270" s="102" t="n"/>
      <c r="T270" s="102" t="n"/>
      <c r="U270" s="102" t="n"/>
      <c r="V270" s="102" t="n"/>
      <c r="W270" s="102" t="n"/>
      <c r="X270" s="102" t="n"/>
      <c r="Y270" s="102" t="n"/>
      <c r="Z270" s="102" t="n"/>
      <c r="AA270" s="102" t="n"/>
      <c r="AB270" s="102" t="n"/>
      <c r="AC270" s="102" t="n"/>
      <c r="AD270" s="102" t="n"/>
      <c r="AE270" s="102" t="n"/>
      <c r="AF270" s="102" t="n"/>
      <c r="AG270" s="102" t="n"/>
      <c r="AH270" s="102" t="n"/>
      <c r="AI270" s="102" t="n"/>
      <c r="AJ270" s="102" t="n"/>
      <c r="AK270" s="102" t="n"/>
      <c r="AL270" s="102" t="n"/>
      <c r="AM270" s="102" t="n"/>
      <c r="AN270" s="102" t="n"/>
      <c r="AO270" s="102" t="n"/>
      <c r="AP270" s="102" t="n"/>
      <c r="AQ270" s="102" t="n"/>
      <c r="AR270" s="102" t="n"/>
    </row>
    <row r="271">
      <c r="D271" s="102" t="n"/>
      <c r="E271" s="102" t="n"/>
      <c r="F271" s="102" t="n"/>
      <c r="G271" s="102" t="n"/>
      <c r="H271" s="102" t="n"/>
      <c r="I271" s="102" t="n"/>
      <c r="J271" s="102" t="n"/>
      <c r="K271" s="102" t="n"/>
      <c r="L271" s="102" t="n"/>
      <c r="M271" s="102" t="n"/>
      <c r="N271" s="102" t="n"/>
      <c r="O271" s="102" t="n"/>
      <c r="P271" s="102" t="n"/>
      <c r="Q271" s="102" t="n"/>
      <c r="R271" s="102" t="n"/>
      <c r="S271" s="102" t="n"/>
      <c r="T271" s="102" t="n"/>
      <c r="U271" s="102" t="n"/>
      <c r="V271" s="102" t="n"/>
      <c r="W271" s="102" t="n"/>
      <c r="X271" s="102" t="n"/>
      <c r="Y271" s="102" t="n"/>
      <c r="Z271" s="102" t="n"/>
      <c r="AA271" s="102" t="n"/>
      <c r="AB271" s="102" t="n"/>
      <c r="AC271" s="102" t="n"/>
      <c r="AD271" s="102" t="n"/>
      <c r="AE271" s="102" t="n"/>
      <c r="AF271" s="102" t="n"/>
      <c r="AG271" s="102" t="n"/>
      <c r="AH271" s="102" t="n"/>
      <c r="AI271" s="102" t="n"/>
      <c r="AJ271" s="102" t="n"/>
      <c r="AK271" s="102" t="n"/>
      <c r="AL271" s="102" t="n"/>
      <c r="AM271" s="102" t="n"/>
      <c r="AN271" s="102" t="n"/>
      <c r="AO271" s="102" t="n"/>
      <c r="AP271" s="102" t="n"/>
      <c r="AQ271" s="102" t="n"/>
      <c r="AR271" s="102" t="n"/>
    </row>
    <row r="272">
      <c r="D272" s="160" t="n"/>
      <c r="E272" s="160" t="n"/>
      <c r="F272" s="160" t="n"/>
      <c r="G272" s="160" t="n"/>
      <c r="H272" s="160" t="n"/>
      <c r="I272" s="160" t="n"/>
      <c r="J272" s="160" t="n"/>
      <c r="K272" s="160" t="n"/>
      <c r="L272" s="160" t="n"/>
      <c r="M272" s="160" t="n"/>
      <c r="N272" s="160" t="n"/>
      <c r="O272" s="160" t="n"/>
      <c r="P272" s="160" t="n"/>
      <c r="Q272" s="160" t="n"/>
      <c r="R272" s="160" t="n"/>
      <c r="S272" s="160" t="n"/>
      <c r="T272" s="160" t="n"/>
      <c r="U272" s="160" t="n"/>
      <c r="V272" s="160" t="n"/>
      <c r="W272" s="160" t="n"/>
      <c r="X272" s="160" t="n"/>
      <c r="Y272" s="160" t="n"/>
      <c r="Z272" s="160" t="n"/>
      <c r="AA272" s="160" t="n"/>
      <c r="AB272" s="160" t="n"/>
      <c r="AC272" s="160" t="n"/>
      <c r="AD272" s="160" t="n"/>
      <c r="AE272" s="160" t="n"/>
      <c r="AF272" s="160" t="n"/>
      <c r="AG272" s="160" t="n"/>
      <c r="AH272" s="160" t="n"/>
      <c r="AI272" s="160" t="n"/>
      <c r="AJ272" s="160" t="n"/>
      <c r="AK272" s="160" t="n"/>
      <c r="AL272" s="160" t="n"/>
      <c r="AM272" s="160" t="n"/>
      <c r="AN272" s="160" t="n"/>
      <c r="AO272" s="160" t="n"/>
      <c r="AP272" s="160" t="n"/>
      <c r="AQ272" s="160" t="n"/>
      <c r="AR272" s="160" t="n"/>
    </row>
    <row r="274">
      <c r="A274" s="8">
        <f>IF(HSI!$C$31="","",HSI!$C$31)</f>
        <v/>
      </c>
      <c r="B274" s="158">
        <f>IF($A274="",0,COUNT($E275:$AR275))</f>
        <v/>
      </c>
      <c r="C274" s="159">
        <f>IF($B274=0,0,MAX($E275:$AR275))</f>
        <v/>
      </c>
      <c r="D274" s="101">
        <f>BDS($A274,FLD_HIST,"headers=y","startcol=1","endcol=7","dir=h","DVD_START_DT",HIST_FROM,"DVD_END_DT",HIST_TO)</f>
        <v/>
      </c>
      <c r="E274" s="102" t="n"/>
      <c r="F274" s="102" t="n"/>
      <c r="G274" s="102" t="n"/>
      <c r="H274" s="102" t="n"/>
      <c r="I274" s="102" t="n"/>
      <c r="J274" s="102" t="n"/>
      <c r="K274" s="102" t="n"/>
      <c r="L274" s="102" t="n"/>
      <c r="M274" s="102" t="n"/>
      <c r="N274" s="102" t="n"/>
      <c r="O274" s="102" t="n"/>
      <c r="P274" s="102" t="n"/>
      <c r="Q274" s="102" t="n"/>
      <c r="R274" s="102" t="n"/>
      <c r="S274" s="102" t="n"/>
      <c r="T274" s="102" t="n"/>
      <c r="U274" s="102" t="n"/>
      <c r="V274" s="102" t="n"/>
      <c r="W274" s="102" t="n"/>
      <c r="X274" s="102" t="n"/>
      <c r="Y274" s="102" t="n"/>
      <c r="Z274" s="102" t="n"/>
      <c r="AA274" s="102" t="n"/>
      <c r="AB274" s="102" t="n"/>
      <c r="AC274" s="102" t="n"/>
      <c r="AD274" s="102" t="n"/>
      <c r="AE274" s="102" t="n"/>
      <c r="AF274" s="102" t="n"/>
      <c r="AG274" s="102" t="n"/>
      <c r="AH274" s="102" t="n"/>
      <c r="AI274" s="102" t="n"/>
      <c r="AJ274" s="102" t="n"/>
      <c r="AK274" s="102" t="n"/>
      <c r="AL274" s="102" t="n"/>
      <c r="AM274" s="102" t="n"/>
      <c r="AN274" s="102" t="n"/>
      <c r="AO274" s="102" t="n"/>
      <c r="AP274" s="102" t="n"/>
      <c r="AQ274" s="102" t="n"/>
      <c r="AR274" s="102" t="n"/>
    </row>
    <row r="275">
      <c r="D275" s="102" t="n"/>
      <c r="E275" s="102" t="n"/>
      <c r="F275" s="102" t="n"/>
      <c r="G275" s="102" t="n"/>
      <c r="H275" s="102" t="n"/>
      <c r="I275" s="102" t="n"/>
      <c r="J275" s="102" t="n"/>
      <c r="K275" s="102" t="n"/>
      <c r="L275" s="102" t="n"/>
      <c r="M275" s="102" t="n"/>
      <c r="N275" s="102" t="n"/>
      <c r="O275" s="102" t="n"/>
      <c r="P275" s="102" t="n"/>
      <c r="Q275" s="102" t="n"/>
      <c r="R275" s="102" t="n"/>
      <c r="S275" s="102" t="n"/>
      <c r="T275" s="102" t="n"/>
      <c r="U275" s="102" t="n"/>
      <c r="V275" s="102" t="n"/>
      <c r="W275" s="102" t="n"/>
      <c r="X275" s="102" t="n"/>
      <c r="Y275" s="102" t="n"/>
      <c r="Z275" s="102" t="n"/>
      <c r="AA275" s="102" t="n"/>
      <c r="AB275" s="102" t="n"/>
      <c r="AC275" s="102" t="n"/>
      <c r="AD275" s="102" t="n"/>
      <c r="AE275" s="102" t="n"/>
      <c r="AF275" s="102" t="n"/>
      <c r="AG275" s="102" t="n"/>
      <c r="AH275" s="102" t="n"/>
      <c r="AI275" s="102" t="n"/>
      <c r="AJ275" s="102" t="n"/>
      <c r="AK275" s="102" t="n"/>
      <c r="AL275" s="102" t="n"/>
      <c r="AM275" s="102" t="n"/>
      <c r="AN275" s="102" t="n"/>
      <c r="AO275" s="102" t="n"/>
      <c r="AP275" s="102" t="n"/>
      <c r="AQ275" s="102" t="n"/>
      <c r="AR275" s="102" t="n"/>
    </row>
    <row r="276">
      <c r="D276" s="102" t="n"/>
      <c r="E276" s="102" t="n"/>
      <c r="F276" s="102" t="n"/>
      <c r="G276" s="102" t="n"/>
      <c r="H276" s="102" t="n"/>
      <c r="I276" s="102" t="n"/>
      <c r="J276" s="102" t="n"/>
      <c r="K276" s="102" t="n"/>
      <c r="L276" s="102" t="n"/>
      <c r="M276" s="102" t="n"/>
      <c r="N276" s="102" t="n"/>
      <c r="O276" s="102" t="n"/>
      <c r="P276" s="102" t="n"/>
      <c r="Q276" s="102" t="n"/>
      <c r="R276" s="102" t="n"/>
      <c r="S276" s="102" t="n"/>
      <c r="T276" s="102" t="n"/>
      <c r="U276" s="102" t="n"/>
      <c r="V276" s="102" t="n"/>
      <c r="W276" s="102" t="n"/>
      <c r="X276" s="102" t="n"/>
      <c r="Y276" s="102" t="n"/>
      <c r="Z276" s="102" t="n"/>
      <c r="AA276" s="102" t="n"/>
      <c r="AB276" s="102" t="n"/>
      <c r="AC276" s="102" t="n"/>
      <c r="AD276" s="102" t="n"/>
      <c r="AE276" s="102" t="n"/>
      <c r="AF276" s="102" t="n"/>
      <c r="AG276" s="102" t="n"/>
      <c r="AH276" s="102" t="n"/>
      <c r="AI276" s="102" t="n"/>
      <c r="AJ276" s="102" t="n"/>
      <c r="AK276" s="102" t="n"/>
      <c r="AL276" s="102" t="n"/>
      <c r="AM276" s="102" t="n"/>
      <c r="AN276" s="102" t="n"/>
      <c r="AO276" s="102" t="n"/>
      <c r="AP276" s="102" t="n"/>
      <c r="AQ276" s="102" t="n"/>
      <c r="AR276" s="102" t="n"/>
    </row>
    <row r="277">
      <c r="D277" s="102" t="n"/>
      <c r="E277" s="102" t="n"/>
      <c r="F277" s="102" t="n"/>
      <c r="G277" s="102" t="n"/>
      <c r="H277" s="102" t="n"/>
      <c r="I277" s="102" t="n"/>
      <c r="J277" s="102" t="n"/>
      <c r="K277" s="102" t="n"/>
      <c r="L277" s="102" t="n"/>
      <c r="M277" s="102" t="n"/>
      <c r="N277" s="102" t="n"/>
      <c r="O277" s="102" t="n"/>
      <c r="P277" s="102" t="n"/>
      <c r="Q277" s="102" t="n"/>
      <c r="R277" s="102" t="n"/>
      <c r="S277" s="102" t="n"/>
      <c r="T277" s="102" t="n"/>
      <c r="U277" s="102" t="n"/>
      <c r="V277" s="102" t="n"/>
      <c r="W277" s="102" t="n"/>
      <c r="X277" s="102" t="n"/>
      <c r="Y277" s="102" t="n"/>
      <c r="Z277" s="102" t="n"/>
      <c r="AA277" s="102" t="n"/>
      <c r="AB277" s="102" t="n"/>
      <c r="AC277" s="102" t="n"/>
      <c r="AD277" s="102" t="n"/>
      <c r="AE277" s="102" t="n"/>
      <c r="AF277" s="102" t="n"/>
      <c r="AG277" s="102" t="n"/>
      <c r="AH277" s="102" t="n"/>
      <c r="AI277" s="102" t="n"/>
      <c r="AJ277" s="102" t="n"/>
      <c r="AK277" s="102" t="n"/>
      <c r="AL277" s="102" t="n"/>
      <c r="AM277" s="102" t="n"/>
      <c r="AN277" s="102" t="n"/>
      <c r="AO277" s="102" t="n"/>
      <c r="AP277" s="102" t="n"/>
      <c r="AQ277" s="102" t="n"/>
      <c r="AR277" s="102" t="n"/>
    </row>
    <row r="278">
      <c r="D278" s="160" t="n"/>
      <c r="E278" s="160" t="n"/>
      <c r="F278" s="160" t="n"/>
      <c r="G278" s="160" t="n"/>
      <c r="H278" s="160" t="n"/>
      <c r="I278" s="160" t="n"/>
      <c r="J278" s="160" t="n"/>
      <c r="K278" s="160" t="n"/>
      <c r="L278" s="160" t="n"/>
      <c r="M278" s="160" t="n"/>
      <c r="N278" s="160" t="n"/>
      <c r="O278" s="160" t="n"/>
      <c r="P278" s="160" t="n"/>
      <c r="Q278" s="160" t="n"/>
      <c r="R278" s="160" t="n"/>
      <c r="S278" s="160" t="n"/>
      <c r="T278" s="160" t="n"/>
      <c r="U278" s="160" t="n"/>
      <c r="V278" s="160" t="n"/>
      <c r="W278" s="160" t="n"/>
      <c r="X278" s="160" t="n"/>
      <c r="Y278" s="160" t="n"/>
      <c r="Z278" s="160" t="n"/>
      <c r="AA278" s="160" t="n"/>
      <c r="AB278" s="160" t="n"/>
      <c r="AC278" s="160" t="n"/>
      <c r="AD278" s="160" t="n"/>
      <c r="AE278" s="160" t="n"/>
      <c r="AF278" s="160" t="n"/>
      <c r="AG278" s="160" t="n"/>
      <c r="AH278" s="160" t="n"/>
      <c r="AI278" s="160" t="n"/>
      <c r="AJ278" s="160" t="n"/>
      <c r="AK278" s="160" t="n"/>
      <c r="AL278" s="160" t="n"/>
      <c r="AM278" s="160" t="n"/>
      <c r="AN278" s="160" t="n"/>
      <c r="AO278" s="160" t="n"/>
      <c r="AP278" s="160" t="n"/>
      <c r="AQ278" s="160" t="n"/>
      <c r="AR278" s="160" t="n"/>
    </row>
    <row r="281">
      <c r="A281" s="2">
        <f>IF($A274="","","   projections")</f>
        <v/>
      </c>
      <c r="B281" s="158">
        <f>IF($A274="",0,COUNT($E282:$AR282))</f>
        <v/>
      </c>
      <c r="C281" s="159">
        <f>IF($B281=0,0,MAX($E282:$AR282))</f>
        <v/>
      </c>
      <c r="D281" s="101">
        <f>BDS($A274,FLD_PROJ,"headers=y","startcol=1","endcol=3","dir=h")</f>
        <v/>
      </c>
      <c r="E281" s="102" t="n"/>
      <c r="F281" s="102" t="n"/>
      <c r="G281" s="102" t="n"/>
      <c r="H281" s="102" t="n"/>
      <c r="I281" s="102" t="n"/>
      <c r="J281" s="102" t="n"/>
      <c r="K281" s="102" t="n"/>
      <c r="L281" s="102" t="n"/>
      <c r="M281" s="102" t="n"/>
      <c r="N281" s="102" t="n"/>
      <c r="O281" s="102" t="n"/>
      <c r="P281" s="102" t="n"/>
      <c r="Q281" s="102" t="n"/>
      <c r="R281" s="102" t="n"/>
      <c r="S281" s="102" t="n"/>
      <c r="T281" s="102" t="n"/>
      <c r="U281" s="102" t="n"/>
      <c r="V281" s="102" t="n"/>
      <c r="W281" s="102" t="n"/>
      <c r="X281" s="102" t="n"/>
      <c r="Y281" s="102" t="n"/>
      <c r="Z281" s="102" t="n"/>
      <c r="AA281" s="102" t="n"/>
      <c r="AB281" s="102" t="n"/>
      <c r="AC281" s="102" t="n"/>
      <c r="AD281" s="102" t="n"/>
      <c r="AE281" s="102" t="n"/>
      <c r="AF281" s="102" t="n"/>
      <c r="AG281" s="102" t="n"/>
      <c r="AH281" s="102" t="n"/>
      <c r="AI281" s="102" t="n"/>
      <c r="AJ281" s="102" t="n"/>
      <c r="AK281" s="102" t="n"/>
      <c r="AL281" s="102" t="n"/>
      <c r="AM281" s="102" t="n"/>
      <c r="AN281" s="102" t="n"/>
      <c r="AO281" s="102" t="n"/>
      <c r="AP281" s="102" t="n"/>
      <c r="AQ281" s="102" t="n"/>
      <c r="AR281" s="102" t="n"/>
    </row>
    <row r="282">
      <c r="D282" s="102" t="n"/>
      <c r="E282" s="102" t="n"/>
      <c r="F282" s="102" t="n"/>
      <c r="G282" s="102" t="n"/>
      <c r="H282" s="102" t="n"/>
      <c r="I282" s="102" t="n"/>
      <c r="J282" s="102" t="n"/>
      <c r="K282" s="102" t="n"/>
      <c r="L282" s="102" t="n"/>
      <c r="M282" s="102" t="n"/>
      <c r="N282" s="102" t="n"/>
      <c r="O282" s="102" t="n"/>
      <c r="P282" s="102" t="n"/>
      <c r="Q282" s="102" t="n"/>
      <c r="R282" s="102" t="n"/>
      <c r="S282" s="102" t="n"/>
      <c r="T282" s="102" t="n"/>
      <c r="U282" s="102" t="n"/>
      <c r="V282" s="102" t="n"/>
      <c r="W282" s="102" t="n"/>
      <c r="X282" s="102" t="n"/>
      <c r="Y282" s="102" t="n"/>
      <c r="Z282" s="102" t="n"/>
      <c r="AA282" s="102" t="n"/>
      <c r="AB282" s="102" t="n"/>
      <c r="AC282" s="102" t="n"/>
      <c r="AD282" s="102" t="n"/>
      <c r="AE282" s="102" t="n"/>
      <c r="AF282" s="102" t="n"/>
      <c r="AG282" s="102" t="n"/>
      <c r="AH282" s="102" t="n"/>
      <c r="AI282" s="102" t="n"/>
      <c r="AJ282" s="102" t="n"/>
      <c r="AK282" s="102" t="n"/>
      <c r="AL282" s="102" t="n"/>
      <c r="AM282" s="102" t="n"/>
      <c r="AN282" s="102" t="n"/>
      <c r="AO282" s="102" t="n"/>
      <c r="AP282" s="102" t="n"/>
      <c r="AQ282" s="102" t="n"/>
      <c r="AR282" s="102" t="n"/>
    </row>
    <row r="283">
      <c r="D283" s="160" t="n"/>
      <c r="E283" s="160" t="n"/>
      <c r="F283" s="160" t="n"/>
      <c r="G283" s="160" t="n"/>
      <c r="H283" s="160" t="n"/>
      <c r="I283" s="160" t="n"/>
      <c r="J283" s="160" t="n"/>
      <c r="K283" s="160" t="n"/>
      <c r="L283" s="160" t="n"/>
      <c r="M283" s="160" t="n"/>
      <c r="N283" s="160" t="n"/>
      <c r="O283" s="160" t="n"/>
      <c r="P283" s="160" t="n"/>
      <c r="Q283" s="160" t="n"/>
      <c r="R283" s="160" t="n"/>
      <c r="S283" s="160" t="n"/>
      <c r="T283" s="160" t="n"/>
      <c r="U283" s="160" t="n"/>
      <c r="V283" s="160" t="n"/>
      <c r="W283" s="160" t="n"/>
      <c r="X283" s="160" t="n"/>
      <c r="Y283" s="160" t="n"/>
      <c r="Z283" s="160" t="n"/>
      <c r="AA283" s="160" t="n"/>
      <c r="AB283" s="160" t="n"/>
      <c r="AC283" s="160" t="n"/>
      <c r="AD283" s="160" t="n"/>
      <c r="AE283" s="160" t="n"/>
      <c r="AF283" s="160" t="n"/>
      <c r="AG283" s="160" t="n"/>
      <c r="AH283" s="160" t="n"/>
      <c r="AI283" s="160" t="n"/>
      <c r="AJ283" s="160" t="n"/>
      <c r="AK283" s="160" t="n"/>
      <c r="AL283" s="160" t="n"/>
      <c r="AM283" s="160" t="n"/>
      <c r="AN283" s="160" t="n"/>
      <c r="AO283" s="160" t="n"/>
      <c r="AP283" s="160" t="n"/>
      <c r="AQ283" s="160" t="n"/>
      <c r="AR283" s="160" t="n"/>
    </row>
    <row r="285">
      <c r="A285" s="8">
        <f>IF(HSI!$C$32="","",HSI!$C$32)</f>
        <v/>
      </c>
      <c r="B285" s="158">
        <f>IF($A285="",0,COUNT($E286:$AR286))</f>
        <v/>
      </c>
      <c r="C285" s="159">
        <f>IF($B285=0,0,MAX($E286:$AR286))</f>
        <v/>
      </c>
      <c r="D285" s="101">
        <f>BDS($A285,FLD_HIST,"headers=y","startcol=1","endcol=7","dir=h","DVD_START_DT",HIST_FROM,"DVD_END_DT",HIST_TO)</f>
        <v/>
      </c>
      <c r="E285" s="102" t="n"/>
      <c r="F285" s="102" t="n"/>
      <c r="G285" s="102" t="n"/>
      <c r="H285" s="102" t="n"/>
      <c r="I285" s="102" t="n"/>
      <c r="J285" s="102" t="n"/>
      <c r="K285" s="102" t="n"/>
      <c r="L285" s="102" t="n"/>
      <c r="M285" s="102" t="n"/>
      <c r="N285" s="102" t="n"/>
      <c r="O285" s="102" t="n"/>
      <c r="P285" s="102" t="n"/>
      <c r="Q285" s="102" t="n"/>
      <c r="R285" s="102" t="n"/>
      <c r="S285" s="102" t="n"/>
      <c r="T285" s="102" t="n"/>
      <c r="U285" s="102" t="n"/>
      <c r="V285" s="102" t="n"/>
      <c r="W285" s="102" t="n"/>
      <c r="X285" s="102" t="n"/>
      <c r="Y285" s="102" t="n"/>
      <c r="Z285" s="102" t="n"/>
      <c r="AA285" s="102" t="n"/>
      <c r="AB285" s="102" t="n"/>
      <c r="AC285" s="102" t="n"/>
      <c r="AD285" s="102" t="n"/>
      <c r="AE285" s="102" t="n"/>
      <c r="AF285" s="102" t="n"/>
      <c r="AG285" s="102" t="n"/>
      <c r="AH285" s="102" t="n"/>
      <c r="AI285" s="102" t="n"/>
      <c r="AJ285" s="102" t="n"/>
      <c r="AK285" s="102" t="n"/>
      <c r="AL285" s="102" t="n"/>
      <c r="AM285" s="102" t="n"/>
      <c r="AN285" s="102" t="n"/>
      <c r="AO285" s="102" t="n"/>
      <c r="AP285" s="102" t="n"/>
      <c r="AQ285" s="102" t="n"/>
      <c r="AR285" s="102" t="n"/>
    </row>
    <row r="286">
      <c r="D286" s="102" t="n"/>
      <c r="E286" s="102" t="n"/>
      <c r="F286" s="102" t="n"/>
      <c r="G286" s="102" t="n"/>
      <c r="H286" s="102" t="n"/>
      <c r="I286" s="102" t="n"/>
      <c r="J286" s="102" t="n"/>
      <c r="K286" s="102" t="n"/>
      <c r="L286" s="102" t="n"/>
      <c r="M286" s="102" t="n"/>
      <c r="N286" s="102" t="n"/>
      <c r="O286" s="102" t="n"/>
      <c r="P286" s="102" t="n"/>
      <c r="Q286" s="102" t="n"/>
      <c r="R286" s="102" t="n"/>
      <c r="S286" s="102" t="n"/>
      <c r="T286" s="102" t="n"/>
      <c r="U286" s="102" t="n"/>
      <c r="V286" s="102" t="n"/>
      <c r="W286" s="102" t="n"/>
      <c r="X286" s="102" t="n"/>
      <c r="Y286" s="102" t="n"/>
      <c r="Z286" s="102" t="n"/>
      <c r="AA286" s="102" t="n"/>
      <c r="AB286" s="102" t="n"/>
      <c r="AC286" s="102" t="n"/>
      <c r="AD286" s="102" t="n"/>
      <c r="AE286" s="102" t="n"/>
      <c r="AF286" s="102" t="n"/>
      <c r="AG286" s="102" t="n"/>
      <c r="AH286" s="102" t="n"/>
      <c r="AI286" s="102" t="n"/>
      <c r="AJ286" s="102" t="n"/>
      <c r="AK286" s="102" t="n"/>
      <c r="AL286" s="102" t="n"/>
      <c r="AM286" s="102" t="n"/>
      <c r="AN286" s="102" t="n"/>
      <c r="AO286" s="102" t="n"/>
      <c r="AP286" s="102" t="n"/>
      <c r="AQ286" s="102" t="n"/>
      <c r="AR286" s="102" t="n"/>
    </row>
    <row r="287">
      <c r="D287" s="102" t="n"/>
      <c r="E287" s="102" t="n"/>
      <c r="F287" s="102" t="n"/>
      <c r="G287" s="102" t="n"/>
      <c r="H287" s="102" t="n"/>
      <c r="I287" s="102" t="n"/>
      <c r="J287" s="102" t="n"/>
      <c r="K287" s="102" t="n"/>
      <c r="L287" s="102" t="n"/>
      <c r="M287" s="102" t="n"/>
      <c r="N287" s="102" t="n"/>
      <c r="O287" s="102" t="n"/>
      <c r="P287" s="102" t="n"/>
      <c r="Q287" s="102" t="n"/>
      <c r="R287" s="102" t="n"/>
      <c r="S287" s="102" t="n"/>
      <c r="T287" s="102" t="n"/>
      <c r="U287" s="102" t="n"/>
      <c r="V287" s="102" t="n"/>
      <c r="W287" s="102" t="n"/>
      <c r="X287" s="102" t="n"/>
      <c r="Y287" s="102" t="n"/>
      <c r="Z287" s="102" t="n"/>
      <c r="AA287" s="102" t="n"/>
      <c r="AB287" s="102" t="n"/>
      <c r="AC287" s="102" t="n"/>
      <c r="AD287" s="102" t="n"/>
      <c r="AE287" s="102" t="n"/>
      <c r="AF287" s="102" t="n"/>
      <c r="AG287" s="102" t="n"/>
      <c r="AH287" s="102" t="n"/>
      <c r="AI287" s="102" t="n"/>
      <c r="AJ287" s="102" t="n"/>
      <c r="AK287" s="102" t="n"/>
      <c r="AL287" s="102" t="n"/>
      <c r="AM287" s="102" t="n"/>
      <c r="AN287" s="102" t="n"/>
      <c r="AO287" s="102" t="n"/>
      <c r="AP287" s="102" t="n"/>
      <c r="AQ287" s="102" t="n"/>
      <c r="AR287" s="102" t="n"/>
    </row>
    <row r="288">
      <c r="D288" s="102" t="n"/>
      <c r="E288" s="102" t="n"/>
      <c r="F288" s="102" t="n"/>
      <c r="G288" s="102" t="n"/>
      <c r="H288" s="102" t="n"/>
      <c r="I288" s="102" t="n"/>
      <c r="J288" s="102" t="n"/>
      <c r="K288" s="102" t="n"/>
      <c r="L288" s="102" t="n"/>
      <c r="M288" s="102" t="n"/>
      <c r="N288" s="102" t="n"/>
      <c r="O288" s="102" t="n"/>
      <c r="P288" s="102" t="n"/>
      <c r="Q288" s="102" t="n"/>
      <c r="R288" s="102" t="n"/>
      <c r="S288" s="102" t="n"/>
      <c r="T288" s="102" t="n"/>
      <c r="U288" s="102" t="n"/>
      <c r="V288" s="102" t="n"/>
      <c r="W288" s="102" t="n"/>
      <c r="X288" s="102" t="n"/>
      <c r="Y288" s="102" t="n"/>
      <c r="Z288" s="102" t="n"/>
      <c r="AA288" s="102" t="n"/>
      <c r="AB288" s="102" t="n"/>
      <c r="AC288" s="102" t="n"/>
      <c r="AD288" s="102" t="n"/>
      <c r="AE288" s="102" t="n"/>
      <c r="AF288" s="102" t="n"/>
      <c r="AG288" s="102" t="n"/>
      <c r="AH288" s="102" t="n"/>
      <c r="AI288" s="102" t="n"/>
      <c r="AJ288" s="102" t="n"/>
      <c r="AK288" s="102" t="n"/>
      <c r="AL288" s="102" t="n"/>
      <c r="AM288" s="102" t="n"/>
      <c r="AN288" s="102" t="n"/>
      <c r="AO288" s="102" t="n"/>
      <c r="AP288" s="102" t="n"/>
      <c r="AQ288" s="102" t="n"/>
      <c r="AR288" s="102" t="n"/>
    </row>
    <row r="289">
      <c r="D289" s="160" t="n"/>
      <c r="E289" s="160" t="n"/>
      <c r="F289" s="160" t="n"/>
      <c r="G289" s="160" t="n"/>
      <c r="H289" s="160" t="n"/>
      <c r="I289" s="160" t="n"/>
      <c r="J289" s="160" t="n"/>
      <c r="K289" s="160" t="n"/>
      <c r="L289" s="160" t="n"/>
      <c r="M289" s="160" t="n"/>
      <c r="N289" s="160" t="n"/>
      <c r="O289" s="160" t="n"/>
      <c r="P289" s="160" t="n"/>
      <c r="Q289" s="160" t="n"/>
      <c r="R289" s="160" t="n"/>
      <c r="S289" s="160" t="n"/>
      <c r="T289" s="160" t="n"/>
      <c r="U289" s="160" t="n"/>
      <c r="V289" s="160" t="n"/>
      <c r="W289" s="160" t="n"/>
      <c r="X289" s="160" t="n"/>
      <c r="Y289" s="160" t="n"/>
      <c r="Z289" s="160" t="n"/>
      <c r="AA289" s="160" t="n"/>
      <c r="AB289" s="160" t="n"/>
      <c r="AC289" s="160" t="n"/>
      <c r="AD289" s="160" t="n"/>
      <c r="AE289" s="160" t="n"/>
      <c r="AF289" s="160" t="n"/>
      <c r="AG289" s="160" t="n"/>
      <c r="AH289" s="160" t="n"/>
      <c r="AI289" s="160" t="n"/>
      <c r="AJ289" s="160" t="n"/>
      <c r="AK289" s="160" t="n"/>
      <c r="AL289" s="160" t="n"/>
      <c r="AM289" s="160" t="n"/>
      <c r="AN289" s="160" t="n"/>
      <c r="AO289" s="160" t="n"/>
      <c r="AP289" s="160" t="n"/>
      <c r="AQ289" s="160" t="n"/>
      <c r="AR289" s="160" t="n"/>
    </row>
    <row r="292">
      <c r="A292" s="2">
        <f>IF($A285="","","   projections")</f>
        <v/>
      </c>
      <c r="B292" s="158">
        <f>IF($A285="",0,COUNT($E293:$AR293))</f>
        <v/>
      </c>
      <c r="C292" s="159">
        <f>IF($B292=0,0,MAX($E293:$AR293))</f>
        <v/>
      </c>
      <c r="D292" s="101">
        <f>BDS($A285,FLD_PROJ,"headers=y","startcol=1","endcol=3","dir=h")</f>
        <v/>
      </c>
      <c r="E292" s="102" t="n"/>
      <c r="F292" s="102" t="n"/>
      <c r="G292" s="102" t="n"/>
      <c r="H292" s="102" t="n"/>
      <c r="I292" s="102" t="n"/>
      <c r="J292" s="102" t="n"/>
      <c r="K292" s="102" t="n"/>
      <c r="L292" s="102" t="n"/>
      <c r="M292" s="102" t="n"/>
      <c r="N292" s="102" t="n"/>
      <c r="O292" s="102" t="n"/>
      <c r="P292" s="102" t="n"/>
      <c r="Q292" s="102" t="n"/>
      <c r="R292" s="102" t="n"/>
      <c r="S292" s="102" t="n"/>
      <c r="T292" s="102" t="n"/>
      <c r="U292" s="102" t="n"/>
      <c r="V292" s="102" t="n"/>
      <c r="W292" s="102" t="n"/>
      <c r="X292" s="102" t="n"/>
      <c r="Y292" s="102" t="n"/>
      <c r="Z292" s="102" t="n"/>
      <c r="AA292" s="102" t="n"/>
      <c r="AB292" s="102" t="n"/>
      <c r="AC292" s="102" t="n"/>
      <c r="AD292" s="102" t="n"/>
      <c r="AE292" s="102" t="n"/>
      <c r="AF292" s="102" t="n"/>
      <c r="AG292" s="102" t="n"/>
      <c r="AH292" s="102" t="n"/>
      <c r="AI292" s="102" t="n"/>
      <c r="AJ292" s="102" t="n"/>
      <c r="AK292" s="102" t="n"/>
      <c r="AL292" s="102" t="n"/>
      <c r="AM292" s="102" t="n"/>
      <c r="AN292" s="102" t="n"/>
      <c r="AO292" s="102" t="n"/>
      <c r="AP292" s="102" t="n"/>
      <c r="AQ292" s="102" t="n"/>
      <c r="AR292" s="102" t="n"/>
    </row>
    <row r="293">
      <c r="D293" s="102" t="n"/>
      <c r="E293" s="102" t="n"/>
      <c r="F293" s="102" t="n"/>
      <c r="G293" s="102" t="n"/>
      <c r="H293" s="102" t="n"/>
      <c r="I293" s="102" t="n"/>
      <c r="J293" s="102" t="n"/>
      <c r="K293" s="102" t="n"/>
      <c r="L293" s="102" t="n"/>
      <c r="M293" s="102" t="n"/>
      <c r="N293" s="102" t="n"/>
      <c r="O293" s="102" t="n"/>
      <c r="P293" s="102" t="n"/>
      <c r="Q293" s="102" t="n"/>
      <c r="R293" s="102" t="n"/>
      <c r="S293" s="102" t="n"/>
      <c r="T293" s="102" t="n"/>
      <c r="U293" s="102" t="n"/>
      <c r="V293" s="102" t="n"/>
      <c r="W293" s="102" t="n"/>
      <c r="X293" s="102" t="n"/>
      <c r="Y293" s="102" t="n"/>
      <c r="Z293" s="102" t="n"/>
      <c r="AA293" s="102" t="n"/>
      <c r="AB293" s="102" t="n"/>
      <c r="AC293" s="102" t="n"/>
      <c r="AD293" s="102" t="n"/>
      <c r="AE293" s="102" t="n"/>
      <c r="AF293" s="102" t="n"/>
      <c r="AG293" s="102" t="n"/>
      <c r="AH293" s="102" t="n"/>
      <c r="AI293" s="102" t="n"/>
      <c r="AJ293" s="102" t="n"/>
      <c r="AK293" s="102" t="n"/>
      <c r="AL293" s="102" t="n"/>
      <c r="AM293" s="102" t="n"/>
      <c r="AN293" s="102" t="n"/>
      <c r="AO293" s="102" t="n"/>
      <c r="AP293" s="102" t="n"/>
      <c r="AQ293" s="102" t="n"/>
      <c r="AR293" s="102" t="n"/>
    </row>
    <row r="294">
      <c r="D294" s="160" t="n"/>
      <c r="E294" s="160" t="n"/>
      <c r="F294" s="160" t="n"/>
      <c r="G294" s="160" t="n"/>
      <c r="H294" s="160" t="n"/>
      <c r="I294" s="160" t="n"/>
      <c r="J294" s="160" t="n"/>
      <c r="K294" s="160" t="n"/>
      <c r="L294" s="160" t="n"/>
      <c r="M294" s="160" t="n"/>
      <c r="N294" s="160" t="n"/>
      <c r="O294" s="160" t="n"/>
      <c r="P294" s="160" t="n"/>
      <c r="Q294" s="160" t="n"/>
      <c r="R294" s="160" t="n"/>
      <c r="S294" s="160" t="n"/>
      <c r="T294" s="160" t="n"/>
      <c r="U294" s="160" t="n"/>
      <c r="V294" s="160" t="n"/>
      <c r="W294" s="160" t="n"/>
      <c r="X294" s="160" t="n"/>
      <c r="Y294" s="160" t="n"/>
      <c r="Z294" s="160" t="n"/>
      <c r="AA294" s="160" t="n"/>
      <c r="AB294" s="160" t="n"/>
      <c r="AC294" s="160" t="n"/>
      <c r="AD294" s="160" t="n"/>
      <c r="AE294" s="160" t="n"/>
      <c r="AF294" s="160" t="n"/>
      <c r="AG294" s="160" t="n"/>
      <c r="AH294" s="160" t="n"/>
      <c r="AI294" s="160" t="n"/>
      <c r="AJ294" s="160" t="n"/>
      <c r="AK294" s="160" t="n"/>
      <c r="AL294" s="160" t="n"/>
      <c r="AM294" s="160" t="n"/>
      <c r="AN294" s="160" t="n"/>
      <c r="AO294" s="160" t="n"/>
      <c r="AP294" s="160" t="n"/>
      <c r="AQ294" s="160" t="n"/>
      <c r="AR294" s="160" t="n"/>
    </row>
    <row r="296">
      <c r="A296" s="8">
        <f>IF(HSI!$C$33="","",HSI!$C$33)</f>
        <v/>
      </c>
      <c r="B296" s="158">
        <f>IF($A296="",0,COUNT($E297:$AR297))</f>
        <v/>
      </c>
      <c r="C296" s="159">
        <f>IF($B296=0,0,MAX($E297:$AR297))</f>
        <v/>
      </c>
      <c r="D296" s="101">
        <f>BDS($A296,FLD_HIST,"headers=y","startcol=1","endcol=7","dir=h","DVD_START_DT",HIST_FROM,"DVD_END_DT",HIST_TO)</f>
        <v/>
      </c>
      <c r="E296" s="102" t="n"/>
      <c r="F296" s="102" t="n"/>
      <c r="G296" s="102" t="n"/>
      <c r="H296" s="102" t="n"/>
      <c r="I296" s="102" t="n"/>
      <c r="J296" s="102" t="n"/>
      <c r="K296" s="102" t="n"/>
      <c r="L296" s="102" t="n"/>
      <c r="M296" s="102" t="n"/>
      <c r="N296" s="102" t="n"/>
      <c r="O296" s="102" t="n"/>
      <c r="P296" s="102" t="n"/>
      <c r="Q296" s="102" t="n"/>
      <c r="R296" s="102" t="n"/>
      <c r="S296" s="102" t="n"/>
      <c r="T296" s="102" t="n"/>
      <c r="U296" s="102" t="n"/>
      <c r="V296" s="102" t="n"/>
      <c r="W296" s="102" t="n"/>
      <c r="X296" s="102" t="n"/>
      <c r="Y296" s="102" t="n"/>
      <c r="Z296" s="102" t="n"/>
      <c r="AA296" s="102" t="n"/>
      <c r="AB296" s="102" t="n"/>
      <c r="AC296" s="102" t="n"/>
      <c r="AD296" s="102" t="n"/>
      <c r="AE296" s="102" t="n"/>
      <c r="AF296" s="102" t="n"/>
      <c r="AG296" s="102" t="n"/>
      <c r="AH296" s="102" t="n"/>
      <c r="AI296" s="102" t="n"/>
      <c r="AJ296" s="102" t="n"/>
      <c r="AK296" s="102" t="n"/>
      <c r="AL296" s="102" t="n"/>
      <c r="AM296" s="102" t="n"/>
      <c r="AN296" s="102" t="n"/>
      <c r="AO296" s="102" t="n"/>
      <c r="AP296" s="102" t="n"/>
      <c r="AQ296" s="102" t="n"/>
      <c r="AR296" s="102" t="n"/>
    </row>
    <row r="297">
      <c r="D297" s="102" t="n"/>
      <c r="E297" s="102" t="n"/>
      <c r="F297" s="102" t="n"/>
      <c r="G297" s="102" t="n"/>
      <c r="H297" s="102" t="n"/>
      <c r="I297" s="102" t="n"/>
      <c r="J297" s="102" t="n"/>
      <c r="K297" s="102" t="n"/>
      <c r="L297" s="102" t="n"/>
      <c r="M297" s="102" t="n"/>
      <c r="N297" s="102" t="n"/>
      <c r="O297" s="102" t="n"/>
      <c r="P297" s="102" t="n"/>
      <c r="Q297" s="102" t="n"/>
      <c r="R297" s="102" t="n"/>
      <c r="S297" s="102" t="n"/>
      <c r="T297" s="102" t="n"/>
      <c r="U297" s="102" t="n"/>
      <c r="V297" s="102" t="n"/>
      <c r="W297" s="102" t="n"/>
      <c r="X297" s="102" t="n"/>
      <c r="Y297" s="102" t="n"/>
      <c r="Z297" s="102" t="n"/>
      <c r="AA297" s="102" t="n"/>
      <c r="AB297" s="102" t="n"/>
      <c r="AC297" s="102" t="n"/>
      <c r="AD297" s="102" t="n"/>
      <c r="AE297" s="102" t="n"/>
      <c r="AF297" s="102" t="n"/>
      <c r="AG297" s="102" t="n"/>
      <c r="AH297" s="102" t="n"/>
      <c r="AI297" s="102" t="n"/>
      <c r="AJ297" s="102" t="n"/>
      <c r="AK297" s="102" t="n"/>
      <c r="AL297" s="102" t="n"/>
      <c r="AM297" s="102" t="n"/>
      <c r="AN297" s="102" t="n"/>
      <c r="AO297" s="102" t="n"/>
      <c r="AP297" s="102" t="n"/>
      <c r="AQ297" s="102" t="n"/>
      <c r="AR297" s="102" t="n"/>
    </row>
    <row r="298">
      <c r="D298" s="102" t="n"/>
      <c r="E298" s="102" t="n"/>
      <c r="F298" s="102" t="n"/>
      <c r="G298" s="102" t="n"/>
      <c r="H298" s="102" t="n"/>
      <c r="I298" s="102" t="n"/>
      <c r="J298" s="102" t="n"/>
      <c r="K298" s="102" t="n"/>
      <c r="L298" s="102" t="n"/>
      <c r="M298" s="102" t="n"/>
      <c r="N298" s="102" t="n"/>
      <c r="O298" s="102" t="n"/>
      <c r="P298" s="102" t="n"/>
      <c r="Q298" s="102" t="n"/>
      <c r="R298" s="102" t="n"/>
      <c r="S298" s="102" t="n"/>
      <c r="T298" s="102" t="n"/>
      <c r="U298" s="102" t="n"/>
      <c r="V298" s="102" t="n"/>
      <c r="W298" s="102" t="n"/>
      <c r="X298" s="102" t="n"/>
      <c r="Y298" s="102" t="n"/>
      <c r="Z298" s="102" t="n"/>
      <c r="AA298" s="102" t="n"/>
      <c r="AB298" s="102" t="n"/>
      <c r="AC298" s="102" t="n"/>
      <c r="AD298" s="102" t="n"/>
      <c r="AE298" s="102" t="n"/>
      <c r="AF298" s="102" t="n"/>
      <c r="AG298" s="102" t="n"/>
      <c r="AH298" s="102" t="n"/>
      <c r="AI298" s="102" t="n"/>
      <c r="AJ298" s="102" t="n"/>
      <c r="AK298" s="102" t="n"/>
      <c r="AL298" s="102" t="n"/>
      <c r="AM298" s="102" t="n"/>
      <c r="AN298" s="102" t="n"/>
      <c r="AO298" s="102" t="n"/>
      <c r="AP298" s="102" t="n"/>
      <c r="AQ298" s="102" t="n"/>
      <c r="AR298" s="102" t="n"/>
    </row>
    <row r="299">
      <c r="D299" s="102" t="n"/>
      <c r="E299" s="102" t="n"/>
      <c r="F299" s="102" t="n"/>
      <c r="G299" s="102" t="n"/>
      <c r="H299" s="102" t="n"/>
      <c r="I299" s="102" t="n"/>
      <c r="J299" s="102" t="n"/>
      <c r="K299" s="102" t="n"/>
      <c r="L299" s="102" t="n"/>
      <c r="M299" s="102" t="n"/>
      <c r="N299" s="102" t="n"/>
      <c r="O299" s="102" t="n"/>
      <c r="P299" s="102" t="n"/>
      <c r="Q299" s="102" t="n"/>
      <c r="R299" s="102" t="n"/>
      <c r="S299" s="102" t="n"/>
      <c r="T299" s="102" t="n"/>
      <c r="U299" s="102" t="n"/>
      <c r="V299" s="102" t="n"/>
      <c r="W299" s="102" t="n"/>
      <c r="X299" s="102" t="n"/>
      <c r="Y299" s="102" t="n"/>
      <c r="Z299" s="102" t="n"/>
      <c r="AA299" s="102" t="n"/>
      <c r="AB299" s="102" t="n"/>
      <c r="AC299" s="102" t="n"/>
      <c r="AD299" s="102" t="n"/>
      <c r="AE299" s="102" t="n"/>
      <c r="AF299" s="102" t="n"/>
      <c r="AG299" s="102" t="n"/>
      <c r="AH299" s="102" t="n"/>
      <c r="AI299" s="102" t="n"/>
      <c r="AJ299" s="102" t="n"/>
      <c r="AK299" s="102" t="n"/>
      <c r="AL299" s="102" t="n"/>
      <c r="AM299" s="102" t="n"/>
      <c r="AN299" s="102" t="n"/>
      <c r="AO299" s="102" t="n"/>
      <c r="AP299" s="102" t="n"/>
      <c r="AQ299" s="102" t="n"/>
      <c r="AR299" s="102" t="n"/>
    </row>
    <row r="300">
      <c r="D300" s="160" t="n"/>
      <c r="E300" s="160" t="n"/>
      <c r="F300" s="160" t="n"/>
      <c r="G300" s="160" t="n"/>
      <c r="H300" s="160" t="n"/>
      <c r="I300" s="160" t="n"/>
      <c r="J300" s="160" t="n"/>
      <c r="K300" s="160" t="n"/>
      <c r="L300" s="160" t="n"/>
      <c r="M300" s="160" t="n"/>
      <c r="N300" s="160" t="n"/>
      <c r="O300" s="160" t="n"/>
      <c r="P300" s="160" t="n"/>
      <c r="Q300" s="160" t="n"/>
      <c r="R300" s="160" t="n"/>
      <c r="S300" s="160" t="n"/>
      <c r="T300" s="160" t="n"/>
      <c r="U300" s="160" t="n"/>
      <c r="V300" s="160" t="n"/>
      <c r="W300" s="160" t="n"/>
      <c r="X300" s="160" t="n"/>
      <c r="Y300" s="160" t="n"/>
      <c r="Z300" s="160" t="n"/>
      <c r="AA300" s="160" t="n"/>
      <c r="AB300" s="160" t="n"/>
      <c r="AC300" s="160" t="n"/>
      <c r="AD300" s="160" t="n"/>
      <c r="AE300" s="160" t="n"/>
      <c r="AF300" s="160" t="n"/>
      <c r="AG300" s="160" t="n"/>
      <c r="AH300" s="160" t="n"/>
      <c r="AI300" s="160" t="n"/>
      <c r="AJ300" s="160" t="n"/>
      <c r="AK300" s="160" t="n"/>
      <c r="AL300" s="160" t="n"/>
      <c r="AM300" s="160" t="n"/>
      <c r="AN300" s="160" t="n"/>
      <c r="AO300" s="160" t="n"/>
      <c r="AP300" s="160" t="n"/>
      <c r="AQ300" s="160" t="n"/>
      <c r="AR300" s="160" t="n"/>
    </row>
    <row r="303">
      <c r="A303" s="2">
        <f>IF($A296="","","   projections")</f>
        <v/>
      </c>
      <c r="B303" s="158">
        <f>IF($A296="",0,COUNT($E304:$AR304))</f>
        <v/>
      </c>
      <c r="C303" s="159">
        <f>IF($B303=0,0,MAX($E304:$AR304))</f>
        <v/>
      </c>
      <c r="D303" s="101">
        <f>BDS($A296,FLD_PROJ,"headers=y","startcol=1","endcol=3","dir=h")</f>
        <v/>
      </c>
      <c r="E303" s="102" t="n"/>
      <c r="F303" s="102" t="n"/>
      <c r="G303" s="102" t="n"/>
      <c r="H303" s="102" t="n"/>
      <c r="I303" s="102" t="n"/>
      <c r="J303" s="102" t="n"/>
      <c r="K303" s="102" t="n"/>
      <c r="L303" s="102" t="n"/>
      <c r="M303" s="102" t="n"/>
      <c r="N303" s="102" t="n"/>
      <c r="O303" s="102" t="n"/>
      <c r="P303" s="102" t="n"/>
      <c r="Q303" s="102" t="n"/>
      <c r="R303" s="102" t="n"/>
      <c r="S303" s="102" t="n"/>
      <c r="T303" s="102" t="n"/>
      <c r="U303" s="102" t="n"/>
      <c r="V303" s="102" t="n"/>
      <c r="W303" s="102" t="n"/>
      <c r="X303" s="102" t="n"/>
      <c r="Y303" s="102" t="n"/>
      <c r="Z303" s="102" t="n"/>
      <c r="AA303" s="102" t="n"/>
      <c r="AB303" s="102" t="n"/>
      <c r="AC303" s="102" t="n"/>
      <c r="AD303" s="102" t="n"/>
      <c r="AE303" s="102" t="n"/>
      <c r="AF303" s="102" t="n"/>
      <c r="AG303" s="102" t="n"/>
      <c r="AH303" s="102" t="n"/>
      <c r="AI303" s="102" t="n"/>
      <c r="AJ303" s="102" t="n"/>
      <c r="AK303" s="102" t="n"/>
      <c r="AL303" s="102" t="n"/>
      <c r="AM303" s="102" t="n"/>
      <c r="AN303" s="102" t="n"/>
      <c r="AO303" s="102" t="n"/>
      <c r="AP303" s="102" t="n"/>
      <c r="AQ303" s="102" t="n"/>
      <c r="AR303" s="102" t="n"/>
    </row>
    <row r="304">
      <c r="D304" s="102" t="n"/>
      <c r="E304" s="102" t="n"/>
      <c r="F304" s="102" t="n"/>
      <c r="G304" s="102" t="n"/>
      <c r="H304" s="102" t="n"/>
      <c r="I304" s="102" t="n"/>
      <c r="J304" s="102" t="n"/>
      <c r="K304" s="102" t="n"/>
      <c r="L304" s="102" t="n"/>
      <c r="M304" s="102" t="n"/>
      <c r="N304" s="102" t="n"/>
      <c r="O304" s="102" t="n"/>
      <c r="P304" s="102" t="n"/>
      <c r="Q304" s="102" t="n"/>
      <c r="R304" s="102" t="n"/>
      <c r="S304" s="102" t="n"/>
      <c r="T304" s="102" t="n"/>
      <c r="U304" s="102" t="n"/>
      <c r="V304" s="102" t="n"/>
      <c r="W304" s="102" t="n"/>
      <c r="X304" s="102" t="n"/>
      <c r="Y304" s="102" t="n"/>
      <c r="Z304" s="102" t="n"/>
      <c r="AA304" s="102" t="n"/>
      <c r="AB304" s="102" t="n"/>
      <c r="AC304" s="102" t="n"/>
      <c r="AD304" s="102" t="n"/>
      <c r="AE304" s="102" t="n"/>
      <c r="AF304" s="102" t="n"/>
      <c r="AG304" s="102" t="n"/>
      <c r="AH304" s="102" t="n"/>
      <c r="AI304" s="102" t="n"/>
      <c r="AJ304" s="102" t="n"/>
      <c r="AK304" s="102" t="n"/>
      <c r="AL304" s="102" t="n"/>
      <c r="AM304" s="102" t="n"/>
      <c r="AN304" s="102" t="n"/>
      <c r="AO304" s="102" t="n"/>
      <c r="AP304" s="102" t="n"/>
      <c r="AQ304" s="102" t="n"/>
      <c r="AR304" s="102" t="n"/>
    </row>
    <row r="305">
      <c r="D305" s="160" t="n"/>
      <c r="E305" s="160" t="n"/>
      <c r="F305" s="160" t="n"/>
      <c r="G305" s="160" t="n"/>
      <c r="H305" s="160" t="n"/>
      <c r="I305" s="160" t="n"/>
      <c r="J305" s="160" t="n"/>
      <c r="K305" s="160" t="n"/>
      <c r="L305" s="160" t="n"/>
      <c r="M305" s="160" t="n"/>
      <c r="N305" s="160" t="n"/>
      <c r="O305" s="160" t="n"/>
      <c r="P305" s="160" t="n"/>
      <c r="Q305" s="160" t="n"/>
      <c r="R305" s="160" t="n"/>
      <c r="S305" s="160" t="n"/>
      <c r="T305" s="160" t="n"/>
      <c r="U305" s="160" t="n"/>
      <c r="V305" s="160" t="n"/>
      <c r="W305" s="160" t="n"/>
      <c r="X305" s="160" t="n"/>
      <c r="Y305" s="160" t="n"/>
      <c r="Z305" s="160" t="n"/>
      <c r="AA305" s="160" t="n"/>
      <c r="AB305" s="160" t="n"/>
      <c r="AC305" s="160" t="n"/>
      <c r="AD305" s="160" t="n"/>
      <c r="AE305" s="160" t="n"/>
      <c r="AF305" s="160" t="n"/>
      <c r="AG305" s="160" t="n"/>
      <c r="AH305" s="160" t="n"/>
      <c r="AI305" s="160" t="n"/>
      <c r="AJ305" s="160" t="n"/>
      <c r="AK305" s="160" t="n"/>
      <c r="AL305" s="160" t="n"/>
      <c r="AM305" s="160" t="n"/>
      <c r="AN305" s="160" t="n"/>
      <c r="AO305" s="160" t="n"/>
      <c r="AP305" s="160" t="n"/>
      <c r="AQ305" s="160" t="n"/>
      <c r="AR305" s="160" t="n"/>
    </row>
    <row r="307">
      <c r="A307" s="8">
        <f>IF(HSI!$C$34="","",HSI!$C$34)</f>
        <v/>
      </c>
      <c r="B307" s="158">
        <f>IF($A307="",0,COUNT($E308:$AR308))</f>
        <v/>
      </c>
      <c r="C307" s="159">
        <f>IF($B307=0,0,MAX($E308:$AR308))</f>
        <v/>
      </c>
      <c r="D307" s="101">
        <f>BDS($A307,FLD_HIST,"headers=y","startcol=1","endcol=7","dir=h","DVD_START_DT",HIST_FROM,"DVD_END_DT",HIST_TO)</f>
        <v/>
      </c>
      <c r="E307" s="102" t="n"/>
      <c r="F307" s="102" t="n"/>
      <c r="G307" s="102" t="n"/>
      <c r="H307" s="102" t="n"/>
      <c r="I307" s="102" t="n"/>
      <c r="J307" s="102" t="n"/>
      <c r="K307" s="102" t="n"/>
      <c r="L307" s="102" t="n"/>
      <c r="M307" s="102" t="n"/>
      <c r="N307" s="102" t="n"/>
      <c r="O307" s="102" t="n"/>
      <c r="P307" s="102" t="n"/>
      <c r="Q307" s="102" t="n"/>
      <c r="R307" s="102" t="n"/>
      <c r="S307" s="102" t="n"/>
      <c r="T307" s="102" t="n"/>
      <c r="U307" s="102" t="n"/>
      <c r="V307" s="102" t="n"/>
      <c r="W307" s="102" t="n"/>
      <c r="X307" s="102" t="n"/>
      <c r="Y307" s="102" t="n"/>
      <c r="Z307" s="102" t="n"/>
      <c r="AA307" s="102" t="n"/>
      <c r="AB307" s="102" t="n"/>
      <c r="AC307" s="102" t="n"/>
      <c r="AD307" s="102" t="n"/>
      <c r="AE307" s="102" t="n"/>
      <c r="AF307" s="102" t="n"/>
      <c r="AG307" s="102" t="n"/>
      <c r="AH307" s="102" t="n"/>
      <c r="AI307" s="102" t="n"/>
      <c r="AJ307" s="102" t="n"/>
      <c r="AK307" s="102" t="n"/>
      <c r="AL307" s="102" t="n"/>
      <c r="AM307" s="102" t="n"/>
      <c r="AN307" s="102" t="n"/>
      <c r="AO307" s="102" t="n"/>
      <c r="AP307" s="102" t="n"/>
      <c r="AQ307" s="102" t="n"/>
      <c r="AR307" s="102" t="n"/>
    </row>
    <row r="308">
      <c r="D308" s="102" t="n"/>
      <c r="E308" s="102" t="n"/>
      <c r="F308" s="102" t="n"/>
      <c r="G308" s="102" t="n"/>
      <c r="H308" s="102" t="n"/>
      <c r="I308" s="102" t="n"/>
      <c r="J308" s="102" t="n"/>
      <c r="K308" s="102" t="n"/>
      <c r="L308" s="102" t="n"/>
      <c r="M308" s="102" t="n"/>
      <c r="N308" s="102" t="n"/>
      <c r="O308" s="102" t="n"/>
      <c r="P308" s="102" t="n"/>
      <c r="Q308" s="102" t="n"/>
      <c r="R308" s="102" t="n"/>
      <c r="S308" s="102" t="n"/>
      <c r="T308" s="102" t="n"/>
      <c r="U308" s="102" t="n"/>
      <c r="V308" s="102" t="n"/>
      <c r="W308" s="102" t="n"/>
      <c r="X308" s="102" t="n"/>
      <c r="Y308" s="102" t="n"/>
      <c r="Z308" s="102" t="n"/>
      <c r="AA308" s="102" t="n"/>
      <c r="AB308" s="102" t="n"/>
      <c r="AC308" s="102" t="n"/>
      <c r="AD308" s="102" t="n"/>
      <c r="AE308" s="102" t="n"/>
      <c r="AF308" s="102" t="n"/>
      <c r="AG308" s="102" t="n"/>
      <c r="AH308" s="102" t="n"/>
      <c r="AI308" s="102" t="n"/>
      <c r="AJ308" s="102" t="n"/>
      <c r="AK308" s="102" t="n"/>
      <c r="AL308" s="102" t="n"/>
      <c r="AM308" s="102" t="n"/>
      <c r="AN308" s="102" t="n"/>
      <c r="AO308" s="102" t="n"/>
      <c r="AP308" s="102" t="n"/>
      <c r="AQ308" s="102" t="n"/>
      <c r="AR308" s="102" t="n"/>
    </row>
    <row r="309">
      <c r="D309" s="102" t="n"/>
      <c r="E309" s="102" t="n"/>
      <c r="F309" s="102" t="n"/>
      <c r="G309" s="102" t="n"/>
      <c r="H309" s="102" t="n"/>
      <c r="I309" s="102" t="n"/>
      <c r="J309" s="102" t="n"/>
      <c r="K309" s="102" t="n"/>
      <c r="L309" s="102" t="n"/>
      <c r="M309" s="102" t="n"/>
      <c r="N309" s="102" t="n"/>
      <c r="O309" s="102" t="n"/>
      <c r="P309" s="102" t="n"/>
      <c r="Q309" s="102" t="n"/>
      <c r="R309" s="102" t="n"/>
      <c r="S309" s="102" t="n"/>
      <c r="T309" s="102" t="n"/>
      <c r="U309" s="102" t="n"/>
      <c r="V309" s="102" t="n"/>
      <c r="W309" s="102" t="n"/>
      <c r="X309" s="102" t="n"/>
      <c r="Y309" s="102" t="n"/>
      <c r="Z309" s="102" t="n"/>
      <c r="AA309" s="102" t="n"/>
      <c r="AB309" s="102" t="n"/>
      <c r="AC309" s="102" t="n"/>
      <c r="AD309" s="102" t="n"/>
      <c r="AE309" s="102" t="n"/>
      <c r="AF309" s="102" t="n"/>
      <c r="AG309" s="102" t="n"/>
      <c r="AH309" s="102" t="n"/>
      <c r="AI309" s="102" t="n"/>
      <c r="AJ309" s="102" t="n"/>
      <c r="AK309" s="102" t="n"/>
      <c r="AL309" s="102" t="n"/>
      <c r="AM309" s="102" t="n"/>
      <c r="AN309" s="102" t="n"/>
      <c r="AO309" s="102" t="n"/>
      <c r="AP309" s="102" t="n"/>
      <c r="AQ309" s="102" t="n"/>
      <c r="AR309" s="102" t="n"/>
    </row>
    <row r="310">
      <c r="D310" s="102" t="n"/>
      <c r="E310" s="102" t="n"/>
      <c r="F310" s="102" t="n"/>
      <c r="G310" s="102" t="n"/>
      <c r="H310" s="102" t="n"/>
      <c r="I310" s="102" t="n"/>
      <c r="J310" s="102" t="n"/>
      <c r="K310" s="102" t="n"/>
      <c r="L310" s="102" t="n"/>
      <c r="M310" s="102" t="n"/>
      <c r="N310" s="102" t="n"/>
      <c r="O310" s="102" t="n"/>
      <c r="P310" s="102" t="n"/>
      <c r="Q310" s="102" t="n"/>
      <c r="R310" s="102" t="n"/>
      <c r="S310" s="102" t="n"/>
      <c r="T310" s="102" t="n"/>
      <c r="U310" s="102" t="n"/>
      <c r="V310" s="102" t="n"/>
      <c r="W310" s="102" t="n"/>
      <c r="X310" s="102" t="n"/>
      <c r="Y310" s="102" t="n"/>
      <c r="Z310" s="102" t="n"/>
      <c r="AA310" s="102" t="n"/>
      <c r="AB310" s="102" t="n"/>
      <c r="AC310" s="102" t="n"/>
      <c r="AD310" s="102" t="n"/>
      <c r="AE310" s="102" t="n"/>
      <c r="AF310" s="102" t="n"/>
      <c r="AG310" s="102" t="n"/>
      <c r="AH310" s="102" t="n"/>
      <c r="AI310" s="102" t="n"/>
      <c r="AJ310" s="102" t="n"/>
      <c r="AK310" s="102" t="n"/>
      <c r="AL310" s="102" t="n"/>
      <c r="AM310" s="102" t="n"/>
      <c r="AN310" s="102" t="n"/>
      <c r="AO310" s="102" t="n"/>
      <c r="AP310" s="102" t="n"/>
      <c r="AQ310" s="102" t="n"/>
      <c r="AR310" s="102" t="n"/>
    </row>
    <row r="311">
      <c r="D311" s="160" t="n"/>
      <c r="E311" s="160" t="n"/>
      <c r="F311" s="160" t="n"/>
      <c r="G311" s="160" t="n"/>
      <c r="H311" s="160" t="n"/>
      <c r="I311" s="160" t="n"/>
      <c r="J311" s="160" t="n"/>
      <c r="K311" s="160" t="n"/>
      <c r="L311" s="160" t="n"/>
      <c r="M311" s="160" t="n"/>
      <c r="N311" s="160" t="n"/>
      <c r="O311" s="160" t="n"/>
      <c r="P311" s="160" t="n"/>
      <c r="Q311" s="160" t="n"/>
      <c r="R311" s="160" t="n"/>
      <c r="S311" s="160" t="n"/>
      <c r="T311" s="160" t="n"/>
      <c r="U311" s="160" t="n"/>
      <c r="V311" s="160" t="n"/>
      <c r="W311" s="160" t="n"/>
      <c r="X311" s="160" t="n"/>
      <c r="Y311" s="160" t="n"/>
      <c r="Z311" s="160" t="n"/>
      <c r="AA311" s="160" t="n"/>
      <c r="AB311" s="160" t="n"/>
      <c r="AC311" s="160" t="n"/>
      <c r="AD311" s="160" t="n"/>
      <c r="AE311" s="160" t="n"/>
      <c r="AF311" s="160" t="n"/>
      <c r="AG311" s="160" t="n"/>
      <c r="AH311" s="160" t="n"/>
      <c r="AI311" s="160" t="n"/>
      <c r="AJ311" s="160" t="n"/>
      <c r="AK311" s="160" t="n"/>
      <c r="AL311" s="160" t="n"/>
      <c r="AM311" s="160" t="n"/>
      <c r="AN311" s="160" t="n"/>
      <c r="AO311" s="160" t="n"/>
      <c r="AP311" s="160" t="n"/>
      <c r="AQ311" s="160" t="n"/>
      <c r="AR311" s="160" t="n"/>
    </row>
    <row r="314">
      <c r="A314" s="2">
        <f>IF($A307="","","   projections")</f>
        <v/>
      </c>
      <c r="B314" s="158">
        <f>IF($A307="",0,COUNT($E315:$AR315))</f>
        <v/>
      </c>
      <c r="C314" s="159">
        <f>IF($B314=0,0,MAX($E315:$AR315))</f>
        <v/>
      </c>
      <c r="D314" s="101">
        <f>BDS($A307,FLD_PROJ,"headers=y","startcol=1","endcol=3","dir=h")</f>
        <v/>
      </c>
      <c r="E314" s="102" t="n"/>
      <c r="F314" s="102" t="n"/>
      <c r="G314" s="102" t="n"/>
      <c r="H314" s="102" t="n"/>
      <c r="I314" s="102" t="n"/>
      <c r="J314" s="102" t="n"/>
      <c r="K314" s="102" t="n"/>
      <c r="L314" s="102" t="n"/>
      <c r="M314" s="102" t="n"/>
      <c r="N314" s="102" t="n"/>
      <c r="O314" s="102" t="n"/>
      <c r="P314" s="102" t="n"/>
      <c r="Q314" s="102" t="n"/>
      <c r="R314" s="102" t="n"/>
      <c r="S314" s="102" t="n"/>
      <c r="T314" s="102" t="n"/>
      <c r="U314" s="102" t="n"/>
      <c r="V314" s="102" t="n"/>
      <c r="W314" s="102" t="n"/>
      <c r="X314" s="102" t="n"/>
      <c r="Y314" s="102" t="n"/>
      <c r="Z314" s="102" t="n"/>
      <c r="AA314" s="102" t="n"/>
      <c r="AB314" s="102" t="n"/>
      <c r="AC314" s="102" t="n"/>
      <c r="AD314" s="102" t="n"/>
      <c r="AE314" s="102" t="n"/>
      <c r="AF314" s="102" t="n"/>
      <c r="AG314" s="102" t="n"/>
      <c r="AH314" s="102" t="n"/>
      <c r="AI314" s="102" t="n"/>
      <c r="AJ314" s="102" t="n"/>
      <c r="AK314" s="102" t="n"/>
      <c r="AL314" s="102" t="n"/>
      <c r="AM314" s="102" t="n"/>
      <c r="AN314" s="102" t="n"/>
      <c r="AO314" s="102" t="n"/>
      <c r="AP314" s="102" t="n"/>
      <c r="AQ314" s="102" t="n"/>
      <c r="AR314" s="102" t="n"/>
    </row>
    <row r="315">
      <c r="D315" s="102" t="n"/>
      <c r="E315" s="102" t="n"/>
      <c r="F315" s="102" t="n"/>
      <c r="G315" s="102" t="n"/>
      <c r="H315" s="102" t="n"/>
      <c r="I315" s="102" t="n"/>
      <c r="J315" s="102" t="n"/>
      <c r="K315" s="102" t="n"/>
      <c r="L315" s="102" t="n"/>
      <c r="M315" s="102" t="n"/>
      <c r="N315" s="102" t="n"/>
      <c r="O315" s="102" t="n"/>
      <c r="P315" s="102" t="n"/>
      <c r="Q315" s="102" t="n"/>
      <c r="R315" s="102" t="n"/>
      <c r="S315" s="102" t="n"/>
      <c r="T315" s="102" t="n"/>
      <c r="U315" s="102" t="n"/>
      <c r="V315" s="102" t="n"/>
      <c r="W315" s="102" t="n"/>
      <c r="X315" s="102" t="n"/>
      <c r="Y315" s="102" t="n"/>
      <c r="Z315" s="102" t="n"/>
      <c r="AA315" s="102" t="n"/>
      <c r="AB315" s="102" t="n"/>
      <c r="AC315" s="102" t="n"/>
      <c r="AD315" s="102" t="n"/>
      <c r="AE315" s="102" t="n"/>
      <c r="AF315" s="102" t="n"/>
      <c r="AG315" s="102" t="n"/>
      <c r="AH315" s="102" t="n"/>
      <c r="AI315" s="102" t="n"/>
      <c r="AJ315" s="102" t="n"/>
      <c r="AK315" s="102" t="n"/>
      <c r="AL315" s="102" t="n"/>
      <c r="AM315" s="102" t="n"/>
      <c r="AN315" s="102" t="n"/>
      <c r="AO315" s="102" t="n"/>
      <c r="AP315" s="102" t="n"/>
      <c r="AQ315" s="102" t="n"/>
      <c r="AR315" s="102" t="n"/>
    </row>
    <row r="316">
      <c r="D316" s="160" t="n"/>
      <c r="E316" s="160" t="n"/>
      <c r="F316" s="160" t="n"/>
      <c r="G316" s="160" t="n"/>
      <c r="H316" s="160" t="n"/>
      <c r="I316" s="160" t="n"/>
      <c r="J316" s="160" t="n"/>
      <c r="K316" s="160" t="n"/>
      <c r="L316" s="160" t="n"/>
      <c r="M316" s="160" t="n"/>
      <c r="N316" s="160" t="n"/>
      <c r="O316" s="160" t="n"/>
      <c r="P316" s="160" t="n"/>
      <c r="Q316" s="160" t="n"/>
      <c r="R316" s="160" t="n"/>
      <c r="S316" s="160" t="n"/>
      <c r="T316" s="160" t="n"/>
      <c r="U316" s="160" t="n"/>
      <c r="V316" s="160" t="n"/>
      <c r="W316" s="160" t="n"/>
      <c r="X316" s="160" t="n"/>
      <c r="Y316" s="160" t="n"/>
      <c r="Z316" s="160" t="n"/>
      <c r="AA316" s="160" t="n"/>
      <c r="AB316" s="160" t="n"/>
      <c r="AC316" s="160" t="n"/>
      <c r="AD316" s="160" t="n"/>
      <c r="AE316" s="160" t="n"/>
      <c r="AF316" s="160" t="n"/>
      <c r="AG316" s="160" t="n"/>
      <c r="AH316" s="160" t="n"/>
      <c r="AI316" s="160" t="n"/>
      <c r="AJ316" s="160" t="n"/>
      <c r="AK316" s="160" t="n"/>
      <c r="AL316" s="160" t="n"/>
      <c r="AM316" s="160" t="n"/>
      <c r="AN316" s="160" t="n"/>
      <c r="AO316" s="160" t="n"/>
      <c r="AP316" s="160" t="n"/>
      <c r="AQ316" s="160" t="n"/>
      <c r="AR316" s="160" t="n"/>
    </row>
    <row r="318">
      <c r="A318" s="8">
        <f>IF(HSI!$C$35="","",HSI!$C$35)</f>
        <v/>
      </c>
      <c r="B318" s="158">
        <f>IF($A318="",0,COUNT($E319:$AR319))</f>
        <v/>
      </c>
      <c r="C318" s="159">
        <f>IF($B318=0,0,MAX($E319:$AR319))</f>
        <v/>
      </c>
      <c r="D318" s="101">
        <f>BDS($A318,FLD_HIST,"headers=y","startcol=1","endcol=7","dir=h","DVD_START_DT",HIST_FROM,"DVD_END_DT",HIST_TO)</f>
        <v/>
      </c>
      <c r="E318" s="102" t="n"/>
      <c r="F318" s="102" t="n"/>
      <c r="G318" s="102" t="n"/>
      <c r="H318" s="102" t="n"/>
      <c r="I318" s="102" t="n"/>
      <c r="J318" s="102" t="n"/>
      <c r="K318" s="102" t="n"/>
      <c r="L318" s="102" t="n"/>
      <c r="M318" s="102" t="n"/>
      <c r="N318" s="102" t="n"/>
      <c r="O318" s="102" t="n"/>
      <c r="P318" s="102" t="n"/>
      <c r="Q318" s="102" t="n"/>
      <c r="R318" s="102" t="n"/>
      <c r="S318" s="102" t="n"/>
      <c r="T318" s="102" t="n"/>
      <c r="U318" s="102" t="n"/>
      <c r="V318" s="102" t="n"/>
      <c r="W318" s="102" t="n"/>
      <c r="X318" s="102" t="n"/>
      <c r="Y318" s="102" t="n"/>
      <c r="Z318" s="102" t="n"/>
      <c r="AA318" s="102" t="n"/>
      <c r="AB318" s="102" t="n"/>
      <c r="AC318" s="102" t="n"/>
      <c r="AD318" s="102" t="n"/>
      <c r="AE318" s="102" t="n"/>
      <c r="AF318" s="102" t="n"/>
      <c r="AG318" s="102" t="n"/>
      <c r="AH318" s="102" t="n"/>
      <c r="AI318" s="102" t="n"/>
      <c r="AJ318" s="102" t="n"/>
      <c r="AK318" s="102" t="n"/>
      <c r="AL318" s="102" t="n"/>
      <c r="AM318" s="102" t="n"/>
      <c r="AN318" s="102" t="n"/>
      <c r="AO318" s="102" t="n"/>
      <c r="AP318" s="102" t="n"/>
      <c r="AQ318" s="102" t="n"/>
      <c r="AR318" s="102" t="n"/>
    </row>
    <row r="319">
      <c r="D319" s="102" t="n"/>
      <c r="E319" s="102" t="n"/>
      <c r="F319" s="102" t="n"/>
      <c r="G319" s="102" t="n"/>
      <c r="H319" s="102" t="n"/>
      <c r="I319" s="102" t="n"/>
      <c r="J319" s="102" t="n"/>
      <c r="K319" s="102" t="n"/>
      <c r="L319" s="102" t="n"/>
      <c r="M319" s="102" t="n"/>
      <c r="N319" s="102" t="n"/>
      <c r="O319" s="102" t="n"/>
      <c r="P319" s="102" t="n"/>
      <c r="Q319" s="102" t="n"/>
      <c r="R319" s="102" t="n"/>
      <c r="S319" s="102" t="n"/>
      <c r="T319" s="102" t="n"/>
      <c r="U319" s="102" t="n"/>
      <c r="V319" s="102" t="n"/>
      <c r="W319" s="102" t="n"/>
      <c r="X319" s="102" t="n"/>
      <c r="Y319" s="102" t="n"/>
      <c r="Z319" s="102" t="n"/>
      <c r="AA319" s="102" t="n"/>
      <c r="AB319" s="102" t="n"/>
      <c r="AC319" s="102" t="n"/>
      <c r="AD319" s="102" t="n"/>
      <c r="AE319" s="102" t="n"/>
      <c r="AF319" s="102" t="n"/>
      <c r="AG319" s="102" t="n"/>
      <c r="AH319" s="102" t="n"/>
      <c r="AI319" s="102" t="n"/>
      <c r="AJ319" s="102" t="n"/>
      <c r="AK319" s="102" t="n"/>
      <c r="AL319" s="102" t="n"/>
      <c r="AM319" s="102" t="n"/>
      <c r="AN319" s="102" t="n"/>
      <c r="AO319" s="102" t="n"/>
      <c r="AP319" s="102" t="n"/>
      <c r="AQ319" s="102" t="n"/>
      <c r="AR319" s="102" t="n"/>
    </row>
    <row r="320">
      <c r="D320" s="102" t="n"/>
      <c r="E320" s="102" t="n"/>
      <c r="F320" s="102" t="n"/>
      <c r="G320" s="102" t="n"/>
      <c r="H320" s="102" t="n"/>
      <c r="I320" s="102" t="n"/>
      <c r="J320" s="102" t="n"/>
      <c r="K320" s="102" t="n"/>
      <c r="L320" s="102" t="n"/>
      <c r="M320" s="102" t="n"/>
      <c r="N320" s="102" t="n"/>
      <c r="O320" s="102" t="n"/>
      <c r="P320" s="102" t="n"/>
      <c r="Q320" s="102" t="n"/>
      <c r="R320" s="102" t="n"/>
      <c r="S320" s="102" t="n"/>
      <c r="T320" s="102" t="n"/>
      <c r="U320" s="102" t="n"/>
      <c r="V320" s="102" t="n"/>
      <c r="W320" s="102" t="n"/>
      <c r="X320" s="102" t="n"/>
      <c r="Y320" s="102" t="n"/>
      <c r="Z320" s="102" t="n"/>
      <c r="AA320" s="102" t="n"/>
      <c r="AB320" s="102" t="n"/>
      <c r="AC320" s="102" t="n"/>
      <c r="AD320" s="102" t="n"/>
      <c r="AE320" s="102" t="n"/>
      <c r="AF320" s="102" t="n"/>
      <c r="AG320" s="102" t="n"/>
      <c r="AH320" s="102" t="n"/>
      <c r="AI320" s="102" t="n"/>
      <c r="AJ320" s="102" t="n"/>
      <c r="AK320" s="102" t="n"/>
      <c r="AL320" s="102" t="n"/>
      <c r="AM320" s="102" t="n"/>
      <c r="AN320" s="102" t="n"/>
      <c r="AO320" s="102" t="n"/>
      <c r="AP320" s="102" t="n"/>
      <c r="AQ320" s="102" t="n"/>
      <c r="AR320" s="102" t="n"/>
    </row>
    <row r="321">
      <c r="D321" s="102" t="n"/>
      <c r="E321" s="102" t="n"/>
      <c r="F321" s="102" t="n"/>
      <c r="G321" s="102" t="n"/>
      <c r="H321" s="102" t="n"/>
      <c r="I321" s="102" t="n"/>
      <c r="J321" s="102" t="n"/>
      <c r="K321" s="102" t="n"/>
      <c r="L321" s="102" t="n"/>
      <c r="M321" s="102" t="n"/>
      <c r="N321" s="102" t="n"/>
      <c r="O321" s="102" t="n"/>
      <c r="P321" s="102" t="n"/>
      <c r="Q321" s="102" t="n"/>
      <c r="R321" s="102" t="n"/>
      <c r="S321" s="102" t="n"/>
      <c r="T321" s="102" t="n"/>
      <c r="U321" s="102" t="n"/>
      <c r="V321" s="102" t="n"/>
      <c r="W321" s="102" t="n"/>
      <c r="X321" s="102" t="n"/>
      <c r="Y321" s="102" t="n"/>
      <c r="Z321" s="102" t="n"/>
      <c r="AA321" s="102" t="n"/>
      <c r="AB321" s="102" t="n"/>
      <c r="AC321" s="102" t="n"/>
      <c r="AD321" s="102" t="n"/>
      <c r="AE321" s="102" t="n"/>
      <c r="AF321" s="102" t="n"/>
      <c r="AG321" s="102" t="n"/>
      <c r="AH321" s="102" t="n"/>
      <c r="AI321" s="102" t="n"/>
      <c r="AJ321" s="102" t="n"/>
      <c r="AK321" s="102" t="n"/>
      <c r="AL321" s="102" t="n"/>
      <c r="AM321" s="102" t="n"/>
      <c r="AN321" s="102" t="n"/>
      <c r="AO321" s="102" t="n"/>
      <c r="AP321" s="102" t="n"/>
      <c r="AQ321" s="102" t="n"/>
      <c r="AR321" s="102" t="n"/>
    </row>
    <row r="322">
      <c r="D322" s="160" t="n"/>
      <c r="E322" s="160" t="n"/>
      <c r="F322" s="160" t="n"/>
      <c r="G322" s="160" t="n"/>
      <c r="H322" s="160" t="n"/>
      <c r="I322" s="160" t="n"/>
      <c r="J322" s="160" t="n"/>
      <c r="K322" s="160" t="n"/>
      <c r="L322" s="160" t="n"/>
      <c r="M322" s="160" t="n"/>
      <c r="N322" s="160" t="n"/>
      <c r="O322" s="160" t="n"/>
      <c r="P322" s="160" t="n"/>
      <c r="Q322" s="160" t="n"/>
      <c r="R322" s="160" t="n"/>
      <c r="S322" s="160" t="n"/>
      <c r="T322" s="160" t="n"/>
      <c r="U322" s="160" t="n"/>
      <c r="V322" s="160" t="n"/>
      <c r="W322" s="160" t="n"/>
      <c r="X322" s="160" t="n"/>
      <c r="Y322" s="160" t="n"/>
      <c r="Z322" s="160" t="n"/>
      <c r="AA322" s="160" t="n"/>
      <c r="AB322" s="160" t="n"/>
      <c r="AC322" s="160" t="n"/>
      <c r="AD322" s="160" t="n"/>
      <c r="AE322" s="160" t="n"/>
      <c r="AF322" s="160" t="n"/>
      <c r="AG322" s="160" t="n"/>
      <c r="AH322" s="160" t="n"/>
      <c r="AI322" s="160" t="n"/>
      <c r="AJ322" s="160" t="n"/>
      <c r="AK322" s="160" t="n"/>
      <c r="AL322" s="160" t="n"/>
      <c r="AM322" s="160" t="n"/>
      <c r="AN322" s="160" t="n"/>
      <c r="AO322" s="160" t="n"/>
      <c r="AP322" s="160" t="n"/>
      <c r="AQ322" s="160" t="n"/>
      <c r="AR322" s="160" t="n"/>
    </row>
    <row r="325">
      <c r="A325" s="2">
        <f>IF($A318="","","   projections")</f>
        <v/>
      </c>
      <c r="B325" s="158">
        <f>IF($A318="",0,COUNT($E326:$AR326))</f>
        <v/>
      </c>
      <c r="C325" s="159">
        <f>IF($B325=0,0,MAX($E326:$AR326))</f>
        <v/>
      </c>
      <c r="D325" s="101">
        <f>BDS($A318,FLD_PROJ,"headers=y","startcol=1","endcol=3","dir=h")</f>
        <v/>
      </c>
      <c r="E325" s="102" t="n"/>
      <c r="F325" s="102" t="n"/>
      <c r="G325" s="102" t="n"/>
      <c r="H325" s="102" t="n"/>
      <c r="I325" s="102" t="n"/>
      <c r="J325" s="102" t="n"/>
      <c r="K325" s="102" t="n"/>
      <c r="L325" s="102" t="n"/>
      <c r="M325" s="102" t="n"/>
      <c r="N325" s="102" t="n"/>
      <c r="O325" s="102" t="n"/>
      <c r="P325" s="102" t="n"/>
      <c r="Q325" s="102" t="n"/>
      <c r="R325" s="102" t="n"/>
      <c r="S325" s="102" t="n"/>
      <c r="T325" s="102" t="n"/>
      <c r="U325" s="102" t="n"/>
      <c r="V325" s="102" t="n"/>
      <c r="W325" s="102" t="n"/>
      <c r="X325" s="102" t="n"/>
      <c r="Y325" s="102" t="n"/>
      <c r="Z325" s="102" t="n"/>
      <c r="AA325" s="102" t="n"/>
      <c r="AB325" s="102" t="n"/>
      <c r="AC325" s="102" t="n"/>
      <c r="AD325" s="102" t="n"/>
      <c r="AE325" s="102" t="n"/>
      <c r="AF325" s="102" t="n"/>
      <c r="AG325" s="102" t="n"/>
      <c r="AH325" s="102" t="n"/>
      <c r="AI325" s="102" t="n"/>
      <c r="AJ325" s="102" t="n"/>
      <c r="AK325" s="102" t="n"/>
      <c r="AL325" s="102" t="n"/>
      <c r="AM325" s="102" t="n"/>
      <c r="AN325" s="102" t="n"/>
      <c r="AO325" s="102" t="n"/>
      <c r="AP325" s="102" t="n"/>
      <c r="AQ325" s="102" t="n"/>
      <c r="AR325" s="102" t="n"/>
    </row>
    <row r="326">
      <c r="D326" s="102" t="n"/>
      <c r="E326" s="102" t="n"/>
      <c r="F326" s="102" t="n"/>
      <c r="G326" s="102" t="n"/>
      <c r="H326" s="102" t="n"/>
      <c r="I326" s="102" t="n"/>
      <c r="J326" s="102" t="n"/>
      <c r="K326" s="102" t="n"/>
      <c r="L326" s="102" t="n"/>
      <c r="M326" s="102" t="n"/>
      <c r="N326" s="102" t="n"/>
      <c r="O326" s="102" t="n"/>
      <c r="P326" s="102" t="n"/>
      <c r="Q326" s="102" t="n"/>
      <c r="R326" s="102" t="n"/>
      <c r="S326" s="102" t="n"/>
      <c r="T326" s="102" t="n"/>
      <c r="U326" s="102" t="n"/>
      <c r="V326" s="102" t="n"/>
      <c r="W326" s="102" t="n"/>
      <c r="X326" s="102" t="n"/>
      <c r="Y326" s="102" t="n"/>
      <c r="Z326" s="102" t="n"/>
      <c r="AA326" s="102" t="n"/>
      <c r="AB326" s="102" t="n"/>
      <c r="AC326" s="102" t="n"/>
      <c r="AD326" s="102" t="n"/>
      <c r="AE326" s="102" t="n"/>
      <c r="AF326" s="102" t="n"/>
      <c r="AG326" s="102" t="n"/>
      <c r="AH326" s="102" t="n"/>
      <c r="AI326" s="102" t="n"/>
      <c r="AJ326" s="102" t="n"/>
      <c r="AK326" s="102" t="n"/>
      <c r="AL326" s="102" t="n"/>
      <c r="AM326" s="102" t="n"/>
      <c r="AN326" s="102" t="n"/>
      <c r="AO326" s="102" t="n"/>
      <c r="AP326" s="102" t="n"/>
      <c r="AQ326" s="102" t="n"/>
      <c r="AR326" s="102" t="n"/>
    </row>
    <row r="327">
      <c r="D327" s="160" t="n"/>
      <c r="E327" s="160" t="n"/>
      <c r="F327" s="160" t="n"/>
      <c r="G327" s="160" t="n"/>
      <c r="H327" s="160" t="n"/>
      <c r="I327" s="160" t="n"/>
      <c r="J327" s="160" t="n"/>
      <c r="K327" s="160" t="n"/>
      <c r="L327" s="160" t="n"/>
      <c r="M327" s="160" t="n"/>
      <c r="N327" s="160" t="n"/>
      <c r="O327" s="160" t="n"/>
      <c r="P327" s="160" t="n"/>
      <c r="Q327" s="160" t="n"/>
      <c r="R327" s="160" t="n"/>
      <c r="S327" s="160" t="n"/>
      <c r="T327" s="160" t="n"/>
      <c r="U327" s="160" t="n"/>
      <c r="V327" s="160" t="n"/>
      <c r="W327" s="160" t="n"/>
      <c r="X327" s="160" t="n"/>
      <c r="Y327" s="160" t="n"/>
      <c r="Z327" s="160" t="n"/>
      <c r="AA327" s="160" t="n"/>
      <c r="AB327" s="160" t="n"/>
      <c r="AC327" s="160" t="n"/>
      <c r="AD327" s="160" t="n"/>
      <c r="AE327" s="160" t="n"/>
      <c r="AF327" s="160" t="n"/>
      <c r="AG327" s="160" t="n"/>
      <c r="AH327" s="160" t="n"/>
      <c r="AI327" s="160" t="n"/>
      <c r="AJ327" s="160" t="n"/>
      <c r="AK327" s="160" t="n"/>
      <c r="AL327" s="160" t="n"/>
      <c r="AM327" s="160" t="n"/>
      <c r="AN327" s="160" t="n"/>
      <c r="AO327" s="160" t="n"/>
      <c r="AP327" s="160" t="n"/>
      <c r="AQ327" s="160" t="n"/>
      <c r="AR327" s="160" t="n"/>
    </row>
    <row r="329">
      <c r="A329" s="8">
        <f>IF(HSI!$C$36="","",HSI!$C$36)</f>
        <v/>
      </c>
      <c r="B329" s="158">
        <f>IF($A329="",0,COUNT($E330:$AR330))</f>
        <v/>
      </c>
      <c r="C329" s="159">
        <f>IF($B329=0,0,MAX($E330:$AR330))</f>
        <v/>
      </c>
      <c r="D329" s="101">
        <f>BDS($A329,FLD_HIST,"headers=y","startcol=1","endcol=7","dir=h","DVD_START_DT",HIST_FROM,"DVD_END_DT",HIST_TO)</f>
        <v/>
      </c>
      <c r="E329" s="102" t="n"/>
      <c r="F329" s="102" t="n"/>
      <c r="G329" s="102" t="n"/>
      <c r="H329" s="102" t="n"/>
      <c r="I329" s="102" t="n"/>
      <c r="J329" s="102" t="n"/>
      <c r="K329" s="102" t="n"/>
      <c r="L329" s="102" t="n"/>
      <c r="M329" s="102" t="n"/>
      <c r="N329" s="102" t="n"/>
      <c r="O329" s="102" t="n"/>
      <c r="P329" s="102" t="n"/>
      <c r="Q329" s="102" t="n"/>
      <c r="R329" s="102" t="n"/>
      <c r="S329" s="102" t="n"/>
      <c r="T329" s="102" t="n"/>
      <c r="U329" s="102" t="n"/>
      <c r="V329" s="102" t="n"/>
      <c r="W329" s="102" t="n"/>
      <c r="X329" s="102" t="n"/>
      <c r="Y329" s="102" t="n"/>
      <c r="Z329" s="102" t="n"/>
      <c r="AA329" s="102" t="n"/>
      <c r="AB329" s="102" t="n"/>
      <c r="AC329" s="102" t="n"/>
      <c r="AD329" s="102" t="n"/>
      <c r="AE329" s="102" t="n"/>
      <c r="AF329" s="102" t="n"/>
      <c r="AG329" s="102" t="n"/>
      <c r="AH329" s="102" t="n"/>
      <c r="AI329" s="102" t="n"/>
      <c r="AJ329" s="102" t="n"/>
      <c r="AK329" s="102" t="n"/>
      <c r="AL329" s="102" t="n"/>
      <c r="AM329" s="102" t="n"/>
      <c r="AN329" s="102" t="n"/>
      <c r="AO329" s="102" t="n"/>
      <c r="AP329" s="102" t="n"/>
      <c r="AQ329" s="102" t="n"/>
      <c r="AR329" s="102" t="n"/>
    </row>
    <row r="330">
      <c r="D330" s="102" t="n"/>
      <c r="E330" s="102" t="n"/>
      <c r="F330" s="102" t="n"/>
      <c r="G330" s="102" t="n"/>
      <c r="H330" s="102" t="n"/>
      <c r="I330" s="102" t="n"/>
      <c r="J330" s="102" t="n"/>
      <c r="K330" s="102" t="n"/>
      <c r="L330" s="102" t="n"/>
      <c r="M330" s="102" t="n"/>
      <c r="N330" s="102" t="n"/>
      <c r="O330" s="102" t="n"/>
      <c r="P330" s="102" t="n"/>
      <c r="Q330" s="102" t="n"/>
      <c r="R330" s="102" t="n"/>
      <c r="S330" s="102" t="n"/>
      <c r="T330" s="102" t="n"/>
      <c r="U330" s="102" t="n"/>
      <c r="V330" s="102" t="n"/>
      <c r="W330" s="102" t="n"/>
      <c r="X330" s="102" t="n"/>
      <c r="Y330" s="102" t="n"/>
      <c r="Z330" s="102" t="n"/>
      <c r="AA330" s="102" t="n"/>
      <c r="AB330" s="102" t="n"/>
      <c r="AC330" s="102" t="n"/>
      <c r="AD330" s="102" t="n"/>
      <c r="AE330" s="102" t="n"/>
      <c r="AF330" s="102" t="n"/>
      <c r="AG330" s="102" t="n"/>
      <c r="AH330" s="102" t="n"/>
      <c r="AI330" s="102" t="n"/>
      <c r="AJ330" s="102" t="n"/>
      <c r="AK330" s="102" t="n"/>
      <c r="AL330" s="102" t="n"/>
      <c r="AM330" s="102" t="n"/>
      <c r="AN330" s="102" t="n"/>
      <c r="AO330" s="102" t="n"/>
      <c r="AP330" s="102" t="n"/>
      <c r="AQ330" s="102" t="n"/>
      <c r="AR330" s="102" t="n"/>
    </row>
    <row r="331">
      <c r="D331" s="102" t="n"/>
      <c r="E331" s="102" t="n"/>
      <c r="F331" s="102" t="n"/>
      <c r="G331" s="102" t="n"/>
      <c r="H331" s="102" t="n"/>
      <c r="I331" s="102" t="n"/>
      <c r="J331" s="102" t="n"/>
      <c r="K331" s="102" t="n"/>
      <c r="L331" s="102" t="n"/>
      <c r="M331" s="102" t="n"/>
      <c r="N331" s="102" t="n"/>
      <c r="O331" s="102" t="n"/>
      <c r="P331" s="102" t="n"/>
      <c r="Q331" s="102" t="n"/>
      <c r="R331" s="102" t="n"/>
      <c r="S331" s="102" t="n"/>
      <c r="T331" s="102" t="n"/>
      <c r="U331" s="102" t="n"/>
      <c r="V331" s="102" t="n"/>
      <c r="W331" s="102" t="n"/>
      <c r="X331" s="102" t="n"/>
      <c r="Y331" s="102" t="n"/>
      <c r="Z331" s="102" t="n"/>
      <c r="AA331" s="102" t="n"/>
      <c r="AB331" s="102" t="n"/>
      <c r="AC331" s="102" t="n"/>
      <c r="AD331" s="102" t="n"/>
      <c r="AE331" s="102" t="n"/>
      <c r="AF331" s="102" t="n"/>
      <c r="AG331" s="102" t="n"/>
      <c r="AH331" s="102" t="n"/>
      <c r="AI331" s="102" t="n"/>
      <c r="AJ331" s="102" t="n"/>
      <c r="AK331" s="102" t="n"/>
      <c r="AL331" s="102" t="n"/>
      <c r="AM331" s="102" t="n"/>
      <c r="AN331" s="102" t="n"/>
      <c r="AO331" s="102" t="n"/>
      <c r="AP331" s="102" t="n"/>
      <c r="AQ331" s="102" t="n"/>
      <c r="AR331" s="102" t="n"/>
    </row>
    <row r="332">
      <c r="D332" s="102" t="n"/>
      <c r="E332" s="102" t="n"/>
      <c r="F332" s="102" t="n"/>
      <c r="G332" s="102" t="n"/>
      <c r="H332" s="102" t="n"/>
      <c r="I332" s="102" t="n"/>
      <c r="J332" s="102" t="n"/>
      <c r="K332" s="102" t="n"/>
      <c r="L332" s="102" t="n"/>
      <c r="M332" s="102" t="n"/>
      <c r="N332" s="102" t="n"/>
      <c r="O332" s="102" t="n"/>
      <c r="P332" s="102" t="n"/>
      <c r="Q332" s="102" t="n"/>
      <c r="R332" s="102" t="n"/>
      <c r="S332" s="102" t="n"/>
      <c r="T332" s="102" t="n"/>
      <c r="U332" s="102" t="n"/>
      <c r="V332" s="102" t="n"/>
      <c r="W332" s="102" t="n"/>
      <c r="X332" s="102" t="n"/>
      <c r="Y332" s="102" t="n"/>
      <c r="Z332" s="102" t="n"/>
      <c r="AA332" s="102" t="n"/>
      <c r="AB332" s="102" t="n"/>
      <c r="AC332" s="102" t="n"/>
      <c r="AD332" s="102" t="n"/>
      <c r="AE332" s="102" t="n"/>
      <c r="AF332" s="102" t="n"/>
      <c r="AG332" s="102" t="n"/>
      <c r="AH332" s="102" t="n"/>
      <c r="AI332" s="102" t="n"/>
      <c r="AJ332" s="102" t="n"/>
      <c r="AK332" s="102" t="n"/>
      <c r="AL332" s="102" t="n"/>
      <c r="AM332" s="102" t="n"/>
      <c r="AN332" s="102" t="n"/>
      <c r="AO332" s="102" t="n"/>
      <c r="AP332" s="102" t="n"/>
      <c r="AQ332" s="102" t="n"/>
      <c r="AR332" s="102" t="n"/>
    </row>
    <row r="333">
      <c r="D333" s="160" t="n"/>
      <c r="E333" s="160" t="n"/>
      <c r="F333" s="160" t="n"/>
      <c r="G333" s="160" t="n"/>
      <c r="H333" s="160" t="n"/>
      <c r="I333" s="160" t="n"/>
      <c r="J333" s="160" t="n"/>
      <c r="K333" s="160" t="n"/>
      <c r="L333" s="160" t="n"/>
      <c r="M333" s="160" t="n"/>
      <c r="N333" s="160" t="n"/>
      <c r="O333" s="160" t="n"/>
      <c r="P333" s="160" t="n"/>
      <c r="Q333" s="160" t="n"/>
      <c r="R333" s="160" t="n"/>
      <c r="S333" s="160" t="n"/>
      <c r="T333" s="160" t="n"/>
      <c r="U333" s="160" t="n"/>
      <c r="V333" s="160" t="n"/>
      <c r="W333" s="160" t="n"/>
      <c r="X333" s="160" t="n"/>
      <c r="Y333" s="160" t="n"/>
      <c r="Z333" s="160" t="n"/>
      <c r="AA333" s="160" t="n"/>
      <c r="AB333" s="160" t="n"/>
      <c r="AC333" s="160" t="n"/>
      <c r="AD333" s="160" t="n"/>
      <c r="AE333" s="160" t="n"/>
      <c r="AF333" s="160" t="n"/>
      <c r="AG333" s="160" t="n"/>
      <c r="AH333" s="160" t="n"/>
      <c r="AI333" s="160" t="n"/>
      <c r="AJ333" s="160" t="n"/>
      <c r="AK333" s="160" t="n"/>
      <c r="AL333" s="160" t="n"/>
      <c r="AM333" s="160" t="n"/>
      <c r="AN333" s="160" t="n"/>
      <c r="AO333" s="160" t="n"/>
      <c r="AP333" s="160" t="n"/>
      <c r="AQ333" s="160" t="n"/>
      <c r="AR333" s="160" t="n"/>
    </row>
    <row r="336">
      <c r="A336" s="2">
        <f>IF($A329="","","   projections")</f>
        <v/>
      </c>
      <c r="B336" s="158">
        <f>IF($A329="",0,COUNT($E337:$AR337))</f>
        <v/>
      </c>
      <c r="C336" s="159">
        <f>IF($B336=0,0,MAX($E337:$AR337))</f>
        <v/>
      </c>
      <c r="D336" s="101">
        <f>BDS($A329,FLD_PROJ,"headers=y","startcol=1","endcol=3","dir=h")</f>
        <v/>
      </c>
      <c r="E336" s="102" t="n"/>
      <c r="F336" s="102" t="n"/>
      <c r="G336" s="102" t="n"/>
      <c r="H336" s="102" t="n"/>
      <c r="I336" s="102" t="n"/>
      <c r="J336" s="102" t="n"/>
      <c r="K336" s="102" t="n"/>
      <c r="L336" s="102" t="n"/>
      <c r="M336" s="102" t="n"/>
      <c r="N336" s="102" t="n"/>
      <c r="O336" s="102" t="n"/>
      <c r="P336" s="102" t="n"/>
      <c r="Q336" s="102" t="n"/>
      <c r="R336" s="102" t="n"/>
      <c r="S336" s="102" t="n"/>
      <c r="T336" s="102" t="n"/>
      <c r="U336" s="102" t="n"/>
      <c r="V336" s="102" t="n"/>
      <c r="W336" s="102" t="n"/>
      <c r="X336" s="102" t="n"/>
      <c r="Y336" s="102" t="n"/>
      <c r="Z336" s="102" t="n"/>
      <c r="AA336" s="102" t="n"/>
      <c r="AB336" s="102" t="n"/>
      <c r="AC336" s="102" t="n"/>
      <c r="AD336" s="102" t="n"/>
      <c r="AE336" s="102" t="n"/>
      <c r="AF336" s="102" t="n"/>
      <c r="AG336" s="102" t="n"/>
      <c r="AH336" s="102" t="n"/>
      <c r="AI336" s="102" t="n"/>
      <c r="AJ336" s="102" t="n"/>
      <c r="AK336" s="102" t="n"/>
      <c r="AL336" s="102" t="n"/>
      <c r="AM336" s="102" t="n"/>
      <c r="AN336" s="102" t="n"/>
      <c r="AO336" s="102" t="n"/>
      <c r="AP336" s="102" t="n"/>
      <c r="AQ336" s="102" t="n"/>
      <c r="AR336" s="102" t="n"/>
    </row>
    <row r="337">
      <c r="D337" s="102" t="n"/>
      <c r="E337" s="102" t="n"/>
      <c r="F337" s="102" t="n"/>
      <c r="G337" s="102" t="n"/>
      <c r="H337" s="102" t="n"/>
      <c r="I337" s="102" t="n"/>
      <c r="J337" s="102" t="n"/>
      <c r="K337" s="102" t="n"/>
      <c r="L337" s="102" t="n"/>
      <c r="M337" s="102" t="n"/>
      <c r="N337" s="102" t="n"/>
      <c r="O337" s="102" t="n"/>
      <c r="P337" s="102" t="n"/>
      <c r="Q337" s="102" t="n"/>
      <c r="R337" s="102" t="n"/>
      <c r="S337" s="102" t="n"/>
      <c r="T337" s="102" t="n"/>
      <c r="U337" s="102" t="n"/>
      <c r="V337" s="102" t="n"/>
      <c r="W337" s="102" t="n"/>
      <c r="X337" s="102" t="n"/>
      <c r="Y337" s="102" t="n"/>
      <c r="Z337" s="102" t="n"/>
      <c r="AA337" s="102" t="n"/>
      <c r="AB337" s="102" t="n"/>
      <c r="AC337" s="102" t="n"/>
      <c r="AD337" s="102" t="n"/>
      <c r="AE337" s="102" t="n"/>
      <c r="AF337" s="102" t="n"/>
      <c r="AG337" s="102" t="n"/>
      <c r="AH337" s="102" t="n"/>
      <c r="AI337" s="102" t="n"/>
      <c r="AJ337" s="102" t="n"/>
      <c r="AK337" s="102" t="n"/>
      <c r="AL337" s="102" t="n"/>
      <c r="AM337" s="102" t="n"/>
      <c r="AN337" s="102" t="n"/>
      <c r="AO337" s="102" t="n"/>
      <c r="AP337" s="102" t="n"/>
      <c r="AQ337" s="102" t="n"/>
      <c r="AR337" s="102" t="n"/>
    </row>
    <row r="338">
      <c r="D338" s="160" t="n"/>
      <c r="E338" s="160" t="n"/>
      <c r="F338" s="160" t="n"/>
      <c r="G338" s="160" t="n"/>
      <c r="H338" s="160" t="n"/>
      <c r="I338" s="160" t="n"/>
      <c r="J338" s="160" t="n"/>
      <c r="K338" s="160" t="n"/>
      <c r="L338" s="160" t="n"/>
      <c r="M338" s="160" t="n"/>
      <c r="N338" s="160" t="n"/>
      <c r="O338" s="160" t="n"/>
      <c r="P338" s="160" t="n"/>
      <c r="Q338" s="160" t="n"/>
      <c r="R338" s="160" t="n"/>
      <c r="S338" s="160" t="n"/>
      <c r="T338" s="160" t="n"/>
      <c r="U338" s="160" t="n"/>
      <c r="V338" s="160" t="n"/>
      <c r="W338" s="160" t="n"/>
      <c r="X338" s="160" t="n"/>
      <c r="Y338" s="160" t="n"/>
      <c r="Z338" s="160" t="n"/>
      <c r="AA338" s="160" t="n"/>
      <c r="AB338" s="160" t="n"/>
      <c r="AC338" s="160" t="n"/>
      <c r="AD338" s="160" t="n"/>
      <c r="AE338" s="160" t="n"/>
      <c r="AF338" s="160" t="n"/>
      <c r="AG338" s="160" t="n"/>
      <c r="AH338" s="160" t="n"/>
      <c r="AI338" s="160" t="n"/>
      <c r="AJ338" s="160" t="n"/>
      <c r="AK338" s="160" t="n"/>
      <c r="AL338" s="160" t="n"/>
      <c r="AM338" s="160" t="n"/>
      <c r="AN338" s="160" t="n"/>
      <c r="AO338" s="160" t="n"/>
      <c r="AP338" s="160" t="n"/>
      <c r="AQ338" s="160" t="n"/>
      <c r="AR338" s="160" t="n"/>
    </row>
    <row r="340">
      <c r="A340" s="8">
        <f>IF(HSI!$C$37="","",HSI!$C$37)</f>
        <v/>
      </c>
      <c r="B340" s="158">
        <f>IF($A340="",0,COUNT($E341:$AR341))</f>
        <v/>
      </c>
      <c r="C340" s="159">
        <f>IF($B340=0,0,MAX($E341:$AR341))</f>
        <v/>
      </c>
      <c r="D340" s="101">
        <f>BDS($A340,FLD_HIST,"headers=y","startcol=1","endcol=7","dir=h","DVD_START_DT",HIST_FROM,"DVD_END_DT",HIST_TO)</f>
        <v/>
      </c>
      <c r="E340" s="102" t="n"/>
      <c r="F340" s="102" t="n"/>
      <c r="G340" s="102" t="n"/>
      <c r="H340" s="102" t="n"/>
      <c r="I340" s="102" t="n"/>
      <c r="J340" s="102" t="n"/>
      <c r="K340" s="102" t="n"/>
      <c r="L340" s="102" t="n"/>
      <c r="M340" s="102" t="n"/>
      <c r="N340" s="102" t="n"/>
      <c r="O340" s="102" t="n"/>
      <c r="P340" s="102" t="n"/>
      <c r="Q340" s="102" t="n"/>
      <c r="R340" s="102" t="n"/>
      <c r="S340" s="102" t="n"/>
      <c r="T340" s="102" t="n"/>
      <c r="U340" s="102" t="n"/>
      <c r="V340" s="102" t="n"/>
      <c r="W340" s="102" t="n"/>
      <c r="X340" s="102" t="n"/>
      <c r="Y340" s="102" t="n"/>
      <c r="Z340" s="102" t="n"/>
      <c r="AA340" s="102" t="n"/>
      <c r="AB340" s="102" t="n"/>
      <c r="AC340" s="102" t="n"/>
      <c r="AD340" s="102" t="n"/>
      <c r="AE340" s="102" t="n"/>
      <c r="AF340" s="102" t="n"/>
      <c r="AG340" s="102" t="n"/>
      <c r="AH340" s="102" t="n"/>
      <c r="AI340" s="102" t="n"/>
      <c r="AJ340" s="102" t="n"/>
      <c r="AK340" s="102" t="n"/>
      <c r="AL340" s="102" t="n"/>
      <c r="AM340" s="102" t="n"/>
      <c r="AN340" s="102" t="n"/>
      <c r="AO340" s="102" t="n"/>
      <c r="AP340" s="102" t="n"/>
      <c r="AQ340" s="102" t="n"/>
      <c r="AR340" s="102" t="n"/>
    </row>
    <row r="341">
      <c r="D341" s="102" t="n"/>
      <c r="E341" s="102" t="n"/>
      <c r="F341" s="102" t="n"/>
      <c r="G341" s="102" t="n"/>
      <c r="H341" s="102" t="n"/>
      <c r="I341" s="102" t="n"/>
      <c r="J341" s="102" t="n"/>
      <c r="K341" s="102" t="n"/>
      <c r="L341" s="102" t="n"/>
      <c r="M341" s="102" t="n"/>
      <c r="N341" s="102" t="n"/>
      <c r="O341" s="102" t="n"/>
      <c r="P341" s="102" t="n"/>
      <c r="Q341" s="102" t="n"/>
      <c r="R341" s="102" t="n"/>
      <c r="S341" s="102" t="n"/>
      <c r="T341" s="102" t="n"/>
      <c r="U341" s="102" t="n"/>
      <c r="V341" s="102" t="n"/>
      <c r="W341" s="102" t="n"/>
      <c r="X341" s="102" t="n"/>
      <c r="Y341" s="102" t="n"/>
      <c r="Z341" s="102" t="n"/>
      <c r="AA341" s="102" t="n"/>
      <c r="AB341" s="102" t="n"/>
      <c r="AC341" s="102" t="n"/>
      <c r="AD341" s="102" t="n"/>
      <c r="AE341" s="102" t="n"/>
      <c r="AF341" s="102" t="n"/>
      <c r="AG341" s="102" t="n"/>
      <c r="AH341" s="102" t="n"/>
      <c r="AI341" s="102" t="n"/>
      <c r="AJ341" s="102" t="n"/>
      <c r="AK341" s="102" t="n"/>
      <c r="AL341" s="102" t="n"/>
      <c r="AM341" s="102" t="n"/>
      <c r="AN341" s="102" t="n"/>
      <c r="AO341" s="102" t="n"/>
      <c r="AP341" s="102" t="n"/>
      <c r="AQ341" s="102" t="n"/>
      <c r="AR341" s="102" t="n"/>
    </row>
    <row r="342">
      <c r="D342" s="102" t="n"/>
      <c r="E342" s="102" t="n"/>
      <c r="F342" s="102" t="n"/>
      <c r="G342" s="102" t="n"/>
      <c r="H342" s="102" t="n"/>
      <c r="I342" s="102" t="n"/>
      <c r="J342" s="102" t="n"/>
      <c r="K342" s="102" t="n"/>
      <c r="L342" s="102" t="n"/>
      <c r="M342" s="102" t="n"/>
      <c r="N342" s="102" t="n"/>
      <c r="O342" s="102" t="n"/>
      <c r="P342" s="102" t="n"/>
      <c r="Q342" s="102" t="n"/>
      <c r="R342" s="102" t="n"/>
      <c r="S342" s="102" t="n"/>
      <c r="T342" s="102" t="n"/>
      <c r="U342" s="102" t="n"/>
      <c r="V342" s="102" t="n"/>
      <c r="W342" s="102" t="n"/>
      <c r="X342" s="102" t="n"/>
      <c r="Y342" s="102" t="n"/>
      <c r="Z342" s="102" t="n"/>
      <c r="AA342" s="102" t="n"/>
      <c r="AB342" s="102" t="n"/>
      <c r="AC342" s="102" t="n"/>
      <c r="AD342" s="102" t="n"/>
      <c r="AE342" s="102" t="n"/>
      <c r="AF342" s="102" t="n"/>
      <c r="AG342" s="102" t="n"/>
      <c r="AH342" s="102" t="n"/>
      <c r="AI342" s="102" t="n"/>
      <c r="AJ342" s="102" t="n"/>
      <c r="AK342" s="102" t="n"/>
      <c r="AL342" s="102" t="n"/>
      <c r="AM342" s="102" t="n"/>
      <c r="AN342" s="102" t="n"/>
      <c r="AO342" s="102" t="n"/>
      <c r="AP342" s="102" t="n"/>
      <c r="AQ342" s="102" t="n"/>
      <c r="AR342" s="102" t="n"/>
    </row>
    <row r="343">
      <c r="D343" s="102" t="n"/>
      <c r="E343" s="102" t="n"/>
      <c r="F343" s="102" t="n"/>
      <c r="G343" s="102" t="n"/>
      <c r="H343" s="102" t="n"/>
      <c r="I343" s="102" t="n"/>
      <c r="J343" s="102" t="n"/>
      <c r="K343" s="102" t="n"/>
      <c r="L343" s="102" t="n"/>
      <c r="M343" s="102" t="n"/>
      <c r="N343" s="102" t="n"/>
      <c r="O343" s="102" t="n"/>
      <c r="P343" s="102" t="n"/>
      <c r="Q343" s="102" t="n"/>
      <c r="R343" s="102" t="n"/>
      <c r="S343" s="102" t="n"/>
      <c r="T343" s="102" t="n"/>
      <c r="U343" s="102" t="n"/>
      <c r="V343" s="102" t="n"/>
      <c r="W343" s="102" t="n"/>
      <c r="X343" s="102" t="n"/>
      <c r="Y343" s="102" t="n"/>
      <c r="Z343" s="102" t="n"/>
      <c r="AA343" s="102" t="n"/>
      <c r="AB343" s="102" t="n"/>
      <c r="AC343" s="102" t="n"/>
      <c r="AD343" s="102" t="n"/>
      <c r="AE343" s="102" t="n"/>
      <c r="AF343" s="102" t="n"/>
      <c r="AG343" s="102" t="n"/>
      <c r="AH343" s="102" t="n"/>
      <c r="AI343" s="102" t="n"/>
      <c r="AJ343" s="102" t="n"/>
      <c r="AK343" s="102" t="n"/>
      <c r="AL343" s="102" t="n"/>
      <c r="AM343" s="102" t="n"/>
      <c r="AN343" s="102" t="n"/>
      <c r="AO343" s="102" t="n"/>
      <c r="AP343" s="102" t="n"/>
      <c r="AQ343" s="102" t="n"/>
      <c r="AR343" s="102" t="n"/>
    </row>
    <row r="344">
      <c r="D344" s="160" t="n"/>
      <c r="E344" s="160" t="n"/>
      <c r="F344" s="160" t="n"/>
      <c r="G344" s="160" t="n"/>
      <c r="H344" s="160" t="n"/>
      <c r="I344" s="160" t="n"/>
      <c r="J344" s="160" t="n"/>
      <c r="K344" s="160" t="n"/>
      <c r="L344" s="160" t="n"/>
      <c r="M344" s="160" t="n"/>
      <c r="N344" s="160" t="n"/>
      <c r="O344" s="160" t="n"/>
      <c r="P344" s="160" t="n"/>
      <c r="Q344" s="160" t="n"/>
      <c r="R344" s="160" t="n"/>
      <c r="S344" s="160" t="n"/>
      <c r="T344" s="160" t="n"/>
      <c r="U344" s="160" t="n"/>
      <c r="V344" s="160" t="n"/>
      <c r="W344" s="160" t="n"/>
      <c r="X344" s="160" t="n"/>
      <c r="Y344" s="160" t="n"/>
      <c r="Z344" s="160" t="n"/>
      <c r="AA344" s="160" t="n"/>
      <c r="AB344" s="160" t="n"/>
      <c r="AC344" s="160" t="n"/>
      <c r="AD344" s="160" t="n"/>
      <c r="AE344" s="160" t="n"/>
      <c r="AF344" s="160" t="n"/>
      <c r="AG344" s="160" t="n"/>
      <c r="AH344" s="160" t="n"/>
      <c r="AI344" s="160" t="n"/>
      <c r="AJ344" s="160" t="n"/>
      <c r="AK344" s="160" t="n"/>
      <c r="AL344" s="160" t="n"/>
      <c r="AM344" s="160" t="n"/>
      <c r="AN344" s="160" t="n"/>
      <c r="AO344" s="160" t="n"/>
      <c r="AP344" s="160" t="n"/>
      <c r="AQ344" s="160" t="n"/>
      <c r="AR344" s="160" t="n"/>
    </row>
    <row r="347">
      <c r="A347" s="2">
        <f>IF($A340="","","   projections")</f>
        <v/>
      </c>
      <c r="B347" s="158">
        <f>IF($A340="",0,COUNT($E348:$AR348))</f>
        <v/>
      </c>
      <c r="C347" s="159">
        <f>IF($B347=0,0,MAX($E348:$AR348))</f>
        <v/>
      </c>
      <c r="D347" s="101">
        <f>BDS($A340,FLD_PROJ,"headers=y","startcol=1","endcol=3","dir=h")</f>
        <v/>
      </c>
      <c r="E347" s="102" t="n"/>
      <c r="F347" s="102" t="n"/>
      <c r="G347" s="102" t="n"/>
      <c r="H347" s="102" t="n"/>
      <c r="I347" s="102" t="n"/>
      <c r="J347" s="102" t="n"/>
      <c r="K347" s="102" t="n"/>
      <c r="L347" s="102" t="n"/>
      <c r="M347" s="102" t="n"/>
      <c r="N347" s="102" t="n"/>
      <c r="O347" s="102" t="n"/>
      <c r="P347" s="102" t="n"/>
      <c r="Q347" s="102" t="n"/>
      <c r="R347" s="102" t="n"/>
      <c r="S347" s="102" t="n"/>
      <c r="T347" s="102" t="n"/>
      <c r="U347" s="102" t="n"/>
      <c r="V347" s="102" t="n"/>
      <c r="W347" s="102" t="n"/>
      <c r="X347" s="102" t="n"/>
      <c r="Y347" s="102" t="n"/>
      <c r="Z347" s="102" t="n"/>
      <c r="AA347" s="102" t="n"/>
      <c r="AB347" s="102" t="n"/>
      <c r="AC347" s="102" t="n"/>
      <c r="AD347" s="102" t="n"/>
      <c r="AE347" s="102" t="n"/>
      <c r="AF347" s="102" t="n"/>
      <c r="AG347" s="102" t="n"/>
      <c r="AH347" s="102" t="n"/>
      <c r="AI347" s="102" t="n"/>
      <c r="AJ347" s="102" t="n"/>
      <c r="AK347" s="102" t="n"/>
      <c r="AL347" s="102" t="n"/>
      <c r="AM347" s="102" t="n"/>
      <c r="AN347" s="102" t="n"/>
      <c r="AO347" s="102" t="n"/>
      <c r="AP347" s="102" t="n"/>
      <c r="AQ347" s="102" t="n"/>
      <c r="AR347" s="102" t="n"/>
    </row>
    <row r="348">
      <c r="D348" s="102" t="n"/>
      <c r="E348" s="102" t="n"/>
      <c r="F348" s="102" t="n"/>
      <c r="G348" s="102" t="n"/>
      <c r="H348" s="102" t="n"/>
      <c r="I348" s="102" t="n"/>
      <c r="J348" s="102" t="n"/>
      <c r="K348" s="102" t="n"/>
      <c r="L348" s="102" t="n"/>
      <c r="M348" s="102" t="n"/>
      <c r="N348" s="102" t="n"/>
      <c r="O348" s="102" t="n"/>
      <c r="P348" s="102" t="n"/>
      <c r="Q348" s="102" t="n"/>
      <c r="R348" s="102" t="n"/>
      <c r="S348" s="102" t="n"/>
      <c r="T348" s="102" t="n"/>
      <c r="U348" s="102" t="n"/>
      <c r="V348" s="102" t="n"/>
      <c r="W348" s="102" t="n"/>
      <c r="X348" s="102" t="n"/>
      <c r="Y348" s="102" t="n"/>
      <c r="Z348" s="102" t="n"/>
      <c r="AA348" s="102" t="n"/>
      <c r="AB348" s="102" t="n"/>
      <c r="AC348" s="102" t="n"/>
      <c r="AD348" s="102" t="n"/>
      <c r="AE348" s="102" t="n"/>
      <c r="AF348" s="102" t="n"/>
      <c r="AG348" s="102" t="n"/>
      <c r="AH348" s="102" t="n"/>
      <c r="AI348" s="102" t="n"/>
      <c r="AJ348" s="102" t="n"/>
      <c r="AK348" s="102" t="n"/>
      <c r="AL348" s="102" t="n"/>
      <c r="AM348" s="102" t="n"/>
      <c r="AN348" s="102" t="n"/>
      <c r="AO348" s="102" t="n"/>
      <c r="AP348" s="102" t="n"/>
      <c r="AQ348" s="102" t="n"/>
      <c r="AR348" s="102" t="n"/>
    </row>
    <row r="349">
      <c r="D349" s="160" t="n"/>
      <c r="E349" s="160" t="n"/>
      <c r="F349" s="160" t="n"/>
      <c r="G349" s="160" t="n"/>
      <c r="H349" s="160" t="n"/>
      <c r="I349" s="160" t="n"/>
      <c r="J349" s="160" t="n"/>
      <c r="K349" s="160" t="n"/>
      <c r="L349" s="160" t="n"/>
      <c r="M349" s="160" t="n"/>
      <c r="N349" s="160" t="n"/>
      <c r="O349" s="160" t="n"/>
      <c r="P349" s="160" t="n"/>
      <c r="Q349" s="160" t="n"/>
      <c r="R349" s="160" t="n"/>
      <c r="S349" s="160" t="n"/>
      <c r="T349" s="160" t="n"/>
      <c r="U349" s="160" t="n"/>
      <c r="V349" s="160" t="n"/>
      <c r="W349" s="160" t="n"/>
      <c r="X349" s="160" t="n"/>
      <c r="Y349" s="160" t="n"/>
      <c r="Z349" s="160" t="n"/>
      <c r="AA349" s="160" t="n"/>
      <c r="AB349" s="160" t="n"/>
      <c r="AC349" s="160" t="n"/>
      <c r="AD349" s="160" t="n"/>
      <c r="AE349" s="160" t="n"/>
      <c r="AF349" s="160" t="n"/>
      <c r="AG349" s="160" t="n"/>
      <c r="AH349" s="160" t="n"/>
      <c r="AI349" s="160" t="n"/>
      <c r="AJ349" s="160" t="n"/>
      <c r="AK349" s="160" t="n"/>
      <c r="AL349" s="160" t="n"/>
      <c r="AM349" s="160" t="n"/>
      <c r="AN349" s="160" t="n"/>
      <c r="AO349" s="160" t="n"/>
      <c r="AP349" s="160" t="n"/>
      <c r="AQ349" s="160" t="n"/>
      <c r="AR349" s="160" t="n"/>
    </row>
    <row r="351">
      <c r="A351" s="8">
        <f>IF(HSI!$C$38="","",HSI!$C$38)</f>
        <v/>
      </c>
      <c r="B351" s="158">
        <f>IF($A351="",0,COUNT($E352:$AR352))</f>
        <v/>
      </c>
      <c r="C351" s="159">
        <f>IF($B351=0,0,MAX($E352:$AR352))</f>
        <v/>
      </c>
      <c r="D351" s="101">
        <f>BDS($A351,FLD_HIST,"headers=y","startcol=1","endcol=7","dir=h","DVD_START_DT",HIST_FROM,"DVD_END_DT",HIST_TO)</f>
        <v/>
      </c>
      <c r="E351" s="102" t="n"/>
      <c r="F351" s="102" t="n"/>
      <c r="G351" s="102" t="n"/>
      <c r="H351" s="102" t="n"/>
      <c r="I351" s="102" t="n"/>
      <c r="J351" s="102" t="n"/>
      <c r="K351" s="102" t="n"/>
      <c r="L351" s="102" t="n"/>
      <c r="M351" s="102" t="n"/>
      <c r="N351" s="102" t="n"/>
      <c r="O351" s="102" t="n"/>
      <c r="P351" s="102" t="n"/>
      <c r="Q351" s="102" t="n"/>
      <c r="R351" s="102" t="n"/>
      <c r="S351" s="102" t="n"/>
      <c r="T351" s="102" t="n"/>
      <c r="U351" s="102" t="n"/>
      <c r="V351" s="102" t="n"/>
      <c r="W351" s="102" t="n"/>
      <c r="X351" s="102" t="n"/>
      <c r="Y351" s="102" t="n"/>
      <c r="Z351" s="102" t="n"/>
      <c r="AA351" s="102" t="n"/>
      <c r="AB351" s="102" t="n"/>
      <c r="AC351" s="102" t="n"/>
      <c r="AD351" s="102" t="n"/>
      <c r="AE351" s="102" t="n"/>
      <c r="AF351" s="102" t="n"/>
      <c r="AG351" s="102" t="n"/>
      <c r="AH351" s="102" t="n"/>
      <c r="AI351" s="102" t="n"/>
      <c r="AJ351" s="102" t="n"/>
      <c r="AK351" s="102" t="n"/>
      <c r="AL351" s="102" t="n"/>
      <c r="AM351" s="102" t="n"/>
      <c r="AN351" s="102" t="n"/>
      <c r="AO351" s="102" t="n"/>
      <c r="AP351" s="102" t="n"/>
      <c r="AQ351" s="102" t="n"/>
      <c r="AR351" s="102" t="n"/>
    </row>
    <row r="352">
      <c r="D352" s="102" t="n"/>
      <c r="E352" s="102" t="n"/>
      <c r="F352" s="102" t="n"/>
      <c r="G352" s="102" t="n"/>
      <c r="H352" s="102" t="n"/>
      <c r="I352" s="102" t="n"/>
      <c r="J352" s="102" t="n"/>
      <c r="K352" s="102" t="n"/>
      <c r="L352" s="102" t="n"/>
      <c r="M352" s="102" t="n"/>
      <c r="N352" s="102" t="n"/>
      <c r="O352" s="102" t="n"/>
      <c r="P352" s="102" t="n"/>
      <c r="Q352" s="102" t="n"/>
      <c r="R352" s="102" t="n"/>
      <c r="S352" s="102" t="n"/>
      <c r="T352" s="102" t="n"/>
      <c r="U352" s="102" t="n"/>
      <c r="V352" s="102" t="n"/>
      <c r="W352" s="102" t="n"/>
      <c r="X352" s="102" t="n"/>
      <c r="Y352" s="102" t="n"/>
      <c r="Z352" s="102" t="n"/>
      <c r="AA352" s="102" t="n"/>
      <c r="AB352" s="102" t="n"/>
      <c r="AC352" s="102" t="n"/>
      <c r="AD352" s="102" t="n"/>
      <c r="AE352" s="102" t="n"/>
      <c r="AF352" s="102" t="n"/>
      <c r="AG352" s="102" t="n"/>
      <c r="AH352" s="102" t="n"/>
      <c r="AI352" s="102" t="n"/>
      <c r="AJ352" s="102" t="n"/>
      <c r="AK352" s="102" t="n"/>
      <c r="AL352" s="102" t="n"/>
      <c r="AM352" s="102" t="n"/>
      <c r="AN352" s="102" t="n"/>
      <c r="AO352" s="102" t="n"/>
      <c r="AP352" s="102" t="n"/>
      <c r="AQ352" s="102" t="n"/>
      <c r="AR352" s="102" t="n"/>
    </row>
    <row r="353">
      <c r="D353" s="102" t="n"/>
      <c r="E353" s="102" t="n"/>
      <c r="F353" s="102" t="n"/>
      <c r="G353" s="102" t="n"/>
      <c r="H353" s="102" t="n"/>
      <c r="I353" s="102" t="n"/>
      <c r="J353" s="102" t="n"/>
      <c r="K353" s="102" t="n"/>
      <c r="L353" s="102" t="n"/>
      <c r="M353" s="102" t="n"/>
      <c r="N353" s="102" t="n"/>
      <c r="O353" s="102" t="n"/>
      <c r="P353" s="102" t="n"/>
      <c r="Q353" s="102" t="n"/>
      <c r="R353" s="102" t="n"/>
      <c r="S353" s="102" t="n"/>
      <c r="T353" s="102" t="n"/>
      <c r="U353" s="102" t="n"/>
      <c r="V353" s="102" t="n"/>
      <c r="W353" s="102" t="n"/>
      <c r="X353" s="102" t="n"/>
      <c r="Y353" s="102" t="n"/>
      <c r="Z353" s="102" t="n"/>
      <c r="AA353" s="102" t="n"/>
      <c r="AB353" s="102" t="n"/>
      <c r="AC353" s="102" t="n"/>
      <c r="AD353" s="102" t="n"/>
      <c r="AE353" s="102" t="n"/>
      <c r="AF353" s="102" t="n"/>
      <c r="AG353" s="102" t="n"/>
      <c r="AH353" s="102" t="n"/>
      <c r="AI353" s="102" t="n"/>
      <c r="AJ353" s="102" t="n"/>
      <c r="AK353" s="102" t="n"/>
      <c r="AL353" s="102" t="n"/>
      <c r="AM353" s="102" t="n"/>
      <c r="AN353" s="102" t="n"/>
      <c r="AO353" s="102" t="n"/>
      <c r="AP353" s="102" t="n"/>
      <c r="AQ353" s="102" t="n"/>
      <c r="AR353" s="102" t="n"/>
    </row>
    <row r="354">
      <c r="D354" s="102" t="n"/>
      <c r="E354" s="102" t="n"/>
      <c r="F354" s="102" t="n"/>
      <c r="G354" s="102" t="n"/>
      <c r="H354" s="102" t="n"/>
      <c r="I354" s="102" t="n"/>
      <c r="J354" s="102" t="n"/>
      <c r="K354" s="102" t="n"/>
      <c r="L354" s="102" t="n"/>
      <c r="M354" s="102" t="n"/>
      <c r="N354" s="102" t="n"/>
      <c r="O354" s="102" t="n"/>
      <c r="P354" s="102" t="n"/>
      <c r="Q354" s="102" t="n"/>
      <c r="R354" s="102" t="n"/>
      <c r="S354" s="102" t="n"/>
      <c r="T354" s="102" t="n"/>
      <c r="U354" s="102" t="n"/>
      <c r="V354" s="102" t="n"/>
      <c r="W354" s="102" t="n"/>
      <c r="X354" s="102" t="n"/>
      <c r="Y354" s="102" t="n"/>
      <c r="Z354" s="102" t="n"/>
      <c r="AA354" s="102" t="n"/>
      <c r="AB354" s="102" t="n"/>
      <c r="AC354" s="102" t="n"/>
      <c r="AD354" s="102" t="n"/>
      <c r="AE354" s="102" t="n"/>
      <c r="AF354" s="102" t="n"/>
      <c r="AG354" s="102" t="n"/>
      <c r="AH354" s="102" t="n"/>
      <c r="AI354" s="102" t="n"/>
      <c r="AJ354" s="102" t="n"/>
      <c r="AK354" s="102" t="n"/>
      <c r="AL354" s="102" t="n"/>
      <c r="AM354" s="102" t="n"/>
      <c r="AN354" s="102" t="n"/>
      <c r="AO354" s="102" t="n"/>
      <c r="AP354" s="102" t="n"/>
      <c r="AQ354" s="102" t="n"/>
      <c r="AR354" s="102" t="n"/>
    </row>
    <row r="355">
      <c r="D355" s="160" t="n"/>
      <c r="E355" s="160" t="n"/>
      <c r="F355" s="160" t="n"/>
      <c r="G355" s="160" t="n"/>
      <c r="H355" s="160" t="n"/>
      <c r="I355" s="160" t="n"/>
      <c r="J355" s="160" t="n"/>
      <c r="K355" s="160" t="n"/>
      <c r="L355" s="160" t="n"/>
      <c r="M355" s="160" t="n"/>
      <c r="N355" s="160" t="n"/>
      <c r="O355" s="160" t="n"/>
      <c r="P355" s="160" t="n"/>
      <c r="Q355" s="160" t="n"/>
      <c r="R355" s="160" t="n"/>
      <c r="S355" s="160" t="n"/>
      <c r="T355" s="160" t="n"/>
      <c r="U355" s="160" t="n"/>
      <c r="V355" s="160" t="n"/>
      <c r="W355" s="160" t="n"/>
      <c r="X355" s="160" t="n"/>
      <c r="Y355" s="160" t="n"/>
      <c r="Z355" s="160" t="n"/>
      <c r="AA355" s="160" t="n"/>
      <c r="AB355" s="160" t="n"/>
      <c r="AC355" s="160" t="n"/>
      <c r="AD355" s="160" t="n"/>
      <c r="AE355" s="160" t="n"/>
      <c r="AF355" s="160" t="n"/>
      <c r="AG355" s="160" t="n"/>
      <c r="AH355" s="160" t="n"/>
      <c r="AI355" s="160" t="n"/>
      <c r="AJ355" s="160" t="n"/>
      <c r="AK355" s="160" t="n"/>
      <c r="AL355" s="160" t="n"/>
      <c r="AM355" s="160" t="n"/>
      <c r="AN355" s="160" t="n"/>
      <c r="AO355" s="160" t="n"/>
      <c r="AP355" s="160" t="n"/>
      <c r="AQ355" s="160" t="n"/>
      <c r="AR355" s="160" t="n"/>
    </row>
    <row r="358">
      <c r="A358" s="2">
        <f>IF($A351="","","   projections")</f>
        <v/>
      </c>
      <c r="B358" s="158">
        <f>IF($A351="",0,COUNT($E359:$AR359))</f>
        <v/>
      </c>
      <c r="C358" s="159">
        <f>IF($B358=0,0,MAX($E359:$AR359))</f>
        <v/>
      </c>
      <c r="D358" s="101">
        <f>BDS($A351,FLD_PROJ,"headers=y","startcol=1","endcol=3","dir=h")</f>
        <v/>
      </c>
      <c r="E358" s="102" t="n"/>
      <c r="F358" s="102" t="n"/>
      <c r="G358" s="102" t="n"/>
      <c r="H358" s="102" t="n"/>
      <c r="I358" s="102" t="n"/>
      <c r="J358" s="102" t="n"/>
      <c r="K358" s="102" t="n"/>
      <c r="L358" s="102" t="n"/>
      <c r="M358" s="102" t="n"/>
      <c r="N358" s="102" t="n"/>
      <c r="O358" s="102" t="n"/>
      <c r="P358" s="102" t="n"/>
      <c r="Q358" s="102" t="n"/>
      <c r="R358" s="102" t="n"/>
      <c r="S358" s="102" t="n"/>
      <c r="T358" s="102" t="n"/>
      <c r="U358" s="102" t="n"/>
      <c r="V358" s="102" t="n"/>
      <c r="W358" s="102" t="n"/>
      <c r="X358" s="102" t="n"/>
      <c r="Y358" s="102" t="n"/>
      <c r="Z358" s="102" t="n"/>
      <c r="AA358" s="102" t="n"/>
      <c r="AB358" s="102" t="n"/>
      <c r="AC358" s="102" t="n"/>
      <c r="AD358" s="102" t="n"/>
      <c r="AE358" s="102" t="n"/>
      <c r="AF358" s="102" t="n"/>
      <c r="AG358" s="102" t="n"/>
      <c r="AH358" s="102" t="n"/>
      <c r="AI358" s="102" t="n"/>
      <c r="AJ358" s="102" t="n"/>
      <c r="AK358" s="102" t="n"/>
      <c r="AL358" s="102" t="n"/>
      <c r="AM358" s="102" t="n"/>
      <c r="AN358" s="102" t="n"/>
      <c r="AO358" s="102" t="n"/>
      <c r="AP358" s="102" t="n"/>
      <c r="AQ358" s="102" t="n"/>
      <c r="AR358" s="102" t="n"/>
    </row>
    <row r="359">
      <c r="D359" s="102" t="n"/>
      <c r="E359" s="102" t="n"/>
      <c r="F359" s="102" t="n"/>
      <c r="G359" s="102" t="n"/>
      <c r="H359" s="102" t="n"/>
      <c r="I359" s="102" t="n"/>
      <c r="J359" s="102" t="n"/>
      <c r="K359" s="102" t="n"/>
      <c r="L359" s="102" t="n"/>
      <c r="M359" s="102" t="n"/>
      <c r="N359" s="102" t="n"/>
      <c r="O359" s="102" t="n"/>
      <c r="P359" s="102" t="n"/>
      <c r="Q359" s="102" t="n"/>
      <c r="R359" s="102" t="n"/>
      <c r="S359" s="102" t="n"/>
      <c r="T359" s="102" t="n"/>
      <c r="U359" s="102" t="n"/>
      <c r="V359" s="102" t="n"/>
      <c r="W359" s="102" t="n"/>
      <c r="X359" s="102" t="n"/>
      <c r="Y359" s="102" t="n"/>
      <c r="Z359" s="102" t="n"/>
      <c r="AA359" s="102" t="n"/>
      <c r="AB359" s="102" t="n"/>
      <c r="AC359" s="102" t="n"/>
      <c r="AD359" s="102" t="n"/>
      <c r="AE359" s="102" t="n"/>
      <c r="AF359" s="102" t="n"/>
      <c r="AG359" s="102" t="n"/>
      <c r="AH359" s="102" t="n"/>
      <c r="AI359" s="102" t="n"/>
      <c r="AJ359" s="102" t="n"/>
      <c r="AK359" s="102" t="n"/>
      <c r="AL359" s="102" t="n"/>
      <c r="AM359" s="102" t="n"/>
      <c r="AN359" s="102" t="n"/>
      <c r="AO359" s="102" t="n"/>
      <c r="AP359" s="102" t="n"/>
      <c r="AQ359" s="102" t="n"/>
      <c r="AR359" s="102" t="n"/>
    </row>
    <row r="360">
      <c r="D360" s="160" t="n"/>
      <c r="E360" s="160" t="n"/>
      <c r="F360" s="160" t="n"/>
      <c r="G360" s="160" t="n"/>
      <c r="H360" s="160" t="n"/>
      <c r="I360" s="160" t="n"/>
      <c r="J360" s="160" t="n"/>
      <c r="K360" s="160" t="n"/>
      <c r="L360" s="160" t="n"/>
      <c r="M360" s="160" t="n"/>
      <c r="N360" s="160" t="n"/>
      <c r="O360" s="160" t="n"/>
      <c r="P360" s="160" t="n"/>
      <c r="Q360" s="160" t="n"/>
      <c r="R360" s="160" t="n"/>
      <c r="S360" s="160" t="n"/>
      <c r="T360" s="160" t="n"/>
      <c r="U360" s="160" t="n"/>
      <c r="V360" s="160" t="n"/>
      <c r="W360" s="160" t="n"/>
      <c r="X360" s="160" t="n"/>
      <c r="Y360" s="160" t="n"/>
      <c r="Z360" s="160" t="n"/>
      <c r="AA360" s="160" t="n"/>
      <c r="AB360" s="160" t="n"/>
      <c r="AC360" s="160" t="n"/>
      <c r="AD360" s="160" t="n"/>
      <c r="AE360" s="160" t="n"/>
      <c r="AF360" s="160" t="n"/>
      <c r="AG360" s="160" t="n"/>
      <c r="AH360" s="160" t="n"/>
      <c r="AI360" s="160" t="n"/>
      <c r="AJ360" s="160" t="n"/>
      <c r="AK360" s="160" t="n"/>
      <c r="AL360" s="160" t="n"/>
      <c r="AM360" s="160" t="n"/>
      <c r="AN360" s="160" t="n"/>
      <c r="AO360" s="160" t="n"/>
      <c r="AP360" s="160" t="n"/>
      <c r="AQ360" s="160" t="n"/>
      <c r="AR360" s="160" t="n"/>
    </row>
    <row r="362">
      <c r="A362" s="8">
        <f>IF(HSI!$C$39="","",HSI!$C$39)</f>
        <v/>
      </c>
      <c r="B362" s="158">
        <f>IF($A362="",0,COUNT($E363:$AR363))</f>
        <v/>
      </c>
      <c r="C362" s="159">
        <f>IF($B362=0,0,MAX($E363:$AR363))</f>
        <v/>
      </c>
      <c r="D362" s="101">
        <f>BDS($A362,FLD_HIST,"headers=y","startcol=1","endcol=7","dir=h","DVD_START_DT",HIST_FROM,"DVD_END_DT",HIST_TO)</f>
        <v/>
      </c>
      <c r="E362" s="102" t="n"/>
      <c r="F362" s="102" t="n"/>
      <c r="G362" s="102" t="n"/>
      <c r="H362" s="102" t="n"/>
      <c r="I362" s="102" t="n"/>
      <c r="J362" s="102" t="n"/>
      <c r="K362" s="102" t="n"/>
      <c r="L362" s="102" t="n"/>
      <c r="M362" s="102" t="n"/>
      <c r="N362" s="102" t="n"/>
      <c r="O362" s="102" t="n"/>
      <c r="P362" s="102" t="n"/>
      <c r="Q362" s="102" t="n"/>
      <c r="R362" s="102" t="n"/>
      <c r="S362" s="102" t="n"/>
      <c r="T362" s="102" t="n"/>
      <c r="U362" s="102" t="n"/>
      <c r="V362" s="102" t="n"/>
      <c r="W362" s="102" t="n"/>
      <c r="X362" s="102" t="n"/>
      <c r="Y362" s="102" t="n"/>
      <c r="Z362" s="102" t="n"/>
      <c r="AA362" s="102" t="n"/>
      <c r="AB362" s="102" t="n"/>
      <c r="AC362" s="102" t="n"/>
      <c r="AD362" s="102" t="n"/>
      <c r="AE362" s="102" t="n"/>
      <c r="AF362" s="102" t="n"/>
      <c r="AG362" s="102" t="n"/>
      <c r="AH362" s="102" t="n"/>
      <c r="AI362" s="102" t="n"/>
      <c r="AJ362" s="102" t="n"/>
      <c r="AK362" s="102" t="n"/>
      <c r="AL362" s="102" t="n"/>
      <c r="AM362" s="102" t="n"/>
      <c r="AN362" s="102" t="n"/>
      <c r="AO362" s="102" t="n"/>
      <c r="AP362" s="102" t="n"/>
      <c r="AQ362" s="102" t="n"/>
      <c r="AR362" s="102" t="n"/>
    </row>
    <row r="363">
      <c r="D363" s="102" t="n"/>
      <c r="E363" s="102" t="n"/>
      <c r="F363" s="102" t="n"/>
      <c r="G363" s="102" t="n"/>
      <c r="H363" s="102" t="n"/>
      <c r="I363" s="102" t="n"/>
      <c r="J363" s="102" t="n"/>
      <c r="K363" s="102" t="n"/>
      <c r="L363" s="102" t="n"/>
      <c r="M363" s="102" t="n"/>
      <c r="N363" s="102" t="n"/>
      <c r="O363" s="102" t="n"/>
      <c r="P363" s="102" t="n"/>
      <c r="Q363" s="102" t="n"/>
      <c r="R363" s="102" t="n"/>
      <c r="S363" s="102" t="n"/>
      <c r="T363" s="102" t="n"/>
      <c r="U363" s="102" t="n"/>
      <c r="V363" s="102" t="n"/>
      <c r="W363" s="102" t="n"/>
      <c r="X363" s="102" t="n"/>
      <c r="Y363" s="102" t="n"/>
      <c r="Z363" s="102" t="n"/>
      <c r="AA363" s="102" t="n"/>
      <c r="AB363" s="102" t="n"/>
      <c r="AC363" s="102" t="n"/>
      <c r="AD363" s="102" t="n"/>
      <c r="AE363" s="102" t="n"/>
      <c r="AF363" s="102" t="n"/>
      <c r="AG363" s="102" t="n"/>
      <c r="AH363" s="102" t="n"/>
      <c r="AI363" s="102" t="n"/>
      <c r="AJ363" s="102" t="n"/>
      <c r="AK363" s="102" t="n"/>
      <c r="AL363" s="102" t="n"/>
      <c r="AM363" s="102" t="n"/>
      <c r="AN363" s="102" t="n"/>
      <c r="AO363" s="102" t="n"/>
      <c r="AP363" s="102" t="n"/>
      <c r="AQ363" s="102" t="n"/>
      <c r="AR363" s="102" t="n"/>
    </row>
    <row r="364">
      <c r="D364" s="102" t="n"/>
      <c r="E364" s="102" t="n"/>
      <c r="F364" s="102" t="n"/>
      <c r="G364" s="102" t="n"/>
      <c r="H364" s="102" t="n"/>
      <c r="I364" s="102" t="n"/>
      <c r="J364" s="102" t="n"/>
      <c r="K364" s="102" t="n"/>
      <c r="L364" s="102" t="n"/>
      <c r="M364" s="102" t="n"/>
      <c r="N364" s="102" t="n"/>
      <c r="O364" s="102" t="n"/>
      <c r="P364" s="102" t="n"/>
      <c r="Q364" s="102" t="n"/>
      <c r="R364" s="102" t="n"/>
      <c r="S364" s="102" t="n"/>
      <c r="T364" s="102" t="n"/>
      <c r="U364" s="102" t="n"/>
      <c r="V364" s="102" t="n"/>
      <c r="W364" s="102" t="n"/>
      <c r="X364" s="102" t="n"/>
      <c r="Y364" s="102" t="n"/>
      <c r="Z364" s="102" t="n"/>
      <c r="AA364" s="102" t="n"/>
      <c r="AB364" s="102" t="n"/>
      <c r="AC364" s="102" t="n"/>
      <c r="AD364" s="102" t="n"/>
      <c r="AE364" s="102" t="n"/>
      <c r="AF364" s="102" t="n"/>
      <c r="AG364" s="102" t="n"/>
      <c r="AH364" s="102" t="n"/>
      <c r="AI364" s="102" t="n"/>
      <c r="AJ364" s="102" t="n"/>
      <c r="AK364" s="102" t="n"/>
      <c r="AL364" s="102" t="n"/>
      <c r="AM364" s="102" t="n"/>
      <c r="AN364" s="102" t="n"/>
      <c r="AO364" s="102" t="n"/>
      <c r="AP364" s="102" t="n"/>
      <c r="AQ364" s="102" t="n"/>
      <c r="AR364" s="102" t="n"/>
    </row>
    <row r="365">
      <c r="D365" s="102" t="n"/>
      <c r="E365" s="102" t="n"/>
      <c r="F365" s="102" t="n"/>
      <c r="G365" s="102" t="n"/>
      <c r="H365" s="102" t="n"/>
      <c r="I365" s="102" t="n"/>
      <c r="J365" s="102" t="n"/>
      <c r="K365" s="102" t="n"/>
      <c r="L365" s="102" t="n"/>
      <c r="M365" s="102" t="n"/>
      <c r="N365" s="102" t="n"/>
      <c r="O365" s="102" t="n"/>
      <c r="P365" s="102" t="n"/>
      <c r="Q365" s="102" t="n"/>
      <c r="R365" s="102" t="n"/>
      <c r="S365" s="102" t="n"/>
      <c r="T365" s="102" t="n"/>
      <c r="U365" s="102" t="n"/>
      <c r="V365" s="102" t="n"/>
      <c r="W365" s="102" t="n"/>
      <c r="X365" s="102" t="n"/>
      <c r="Y365" s="102" t="n"/>
      <c r="Z365" s="102" t="n"/>
      <c r="AA365" s="102" t="n"/>
      <c r="AB365" s="102" t="n"/>
      <c r="AC365" s="102" t="n"/>
      <c r="AD365" s="102" t="n"/>
      <c r="AE365" s="102" t="n"/>
      <c r="AF365" s="102" t="n"/>
      <c r="AG365" s="102" t="n"/>
      <c r="AH365" s="102" t="n"/>
      <c r="AI365" s="102" t="n"/>
      <c r="AJ365" s="102" t="n"/>
      <c r="AK365" s="102" t="n"/>
      <c r="AL365" s="102" t="n"/>
      <c r="AM365" s="102" t="n"/>
      <c r="AN365" s="102" t="n"/>
      <c r="AO365" s="102" t="n"/>
      <c r="AP365" s="102" t="n"/>
      <c r="AQ365" s="102" t="n"/>
      <c r="AR365" s="102" t="n"/>
    </row>
    <row r="366">
      <c r="D366" s="160" t="n"/>
      <c r="E366" s="160" t="n"/>
      <c r="F366" s="160" t="n"/>
      <c r="G366" s="160" t="n"/>
      <c r="H366" s="160" t="n"/>
      <c r="I366" s="160" t="n"/>
      <c r="J366" s="160" t="n"/>
      <c r="K366" s="160" t="n"/>
      <c r="L366" s="160" t="n"/>
      <c r="M366" s="160" t="n"/>
      <c r="N366" s="160" t="n"/>
      <c r="O366" s="160" t="n"/>
      <c r="P366" s="160" t="n"/>
      <c r="Q366" s="160" t="n"/>
      <c r="R366" s="160" t="n"/>
      <c r="S366" s="160" t="n"/>
      <c r="T366" s="160" t="n"/>
      <c r="U366" s="160" t="n"/>
      <c r="V366" s="160" t="n"/>
      <c r="W366" s="160" t="n"/>
      <c r="X366" s="160" t="n"/>
      <c r="Y366" s="160" t="n"/>
      <c r="Z366" s="160" t="n"/>
      <c r="AA366" s="160" t="n"/>
      <c r="AB366" s="160" t="n"/>
      <c r="AC366" s="160" t="n"/>
      <c r="AD366" s="160" t="n"/>
      <c r="AE366" s="160" t="n"/>
      <c r="AF366" s="160" t="n"/>
      <c r="AG366" s="160" t="n"/>
      <c r="AH366" s="160" t="n"/>
      <c r="AI366" s="160" t="n"/>
      <c r="AJ366" s="160" t="n"/>
      <c r="AK366" s="160" t="n"/>
      <c r="AL366" s="160" t="n"/>
      <c r="AM366" s="160" t="n"/>
      <c r="AN366" s="160" t="n"/>
      <c r="AO366" s="160" t="n"/>
      <c r="AP366" s="160" t="n"/>
      <c r="AQ366" s="160" t="n"/>
      <c r="AR366" s="160" t="n"/>
    </row>
    <row r="369">
      <c r="A369" s="2">
        <f>IF($A362="","","   projections")</f>
        <v/>
      </c>
      <c r="B369" s="158">
        <f>IF($A362="",0,COUNT($E370:$AR370))</f>
        <v/>
      </c>
      <c r="C369" s="159">
        <f>IF($B369=0,0,MAX($E370:$AR370))</f>
        <v/>
      </c>
      <c r="D369" s="101">
        <f>BDS($A362,FLD_PROJ,"headers=y","startcol=1","endcol=3","dir=h")</f>
        <v/>
      </c>
      <c r="E369" s="102" t="n"/>
      <c r="F369" s="102" t="n"/>
      <c r="G369" s="102" t="n"/>
      <c r="H369" s="102" t="n"/>
      <c r="I369" s="102" t="n"/>
      <c r="J369" s="102" t="n"/>
      <c r="K369" s="102" t="n"/>
      <c r="L369" s="102" t="n"/>
      <c r="M369" s="102" t="n"/>
      <c r="N369" s="102" t="n"/>
      <c r="O369" s="102" t="n"/>
      <c r="P369" s="102" t="n"/>
      <c r="Q369" s="102" t="n"/>
      <c r="R369" s="102" t="n"/>
      <c r="S369" s="102" t="n"/>
      <c r="T369" s="102" t="n"/>
      <c r="U369" s="102" t="n"/>
      <c r="V369" s="102" t="n"/>
      <c r="W369" s="102" t="n"/>
      <c r="X369" s="102" t="n"/>
      <c r="Y369" s="102" t="n"/>
      <c r="Z369" s="102" t="n"/>
      <c r="AA369" s="102" t="n"/>
      <c r="AB369" s="102" t="n"/>
      <c r="AC369" s="102" t="n"/>
      <c r="AD369" s="102" t="n"/>
      <c r="AE369" s="102" t="n"/>
      <c r="AF369" s="102" t="n"/>
      <c r="AG369" s="102" t="n"/>
      <c r="AH369" s="102" t="n"/>
      <c r="AI369" s="102" t="n"/>
      <c r="AJ369" s="102" t="n"/>
      <c r="AK369" s="102" t="n"/>
      <c r="AL369" s="102" t="n"/>
      <c r="AM369" s="102" t="n"/>
      <c r="AN369" s="102" t="n"/>
      <c r="AO369" s="102" t="n"/>
      <c r="AP369" s="102" t="n"/>
      <c r="AQ369" s="102" t="n"/>
      <c r="AR369" s="102" t="n"/>
    </row>
    <row r="370">
      <c r="D370" s="102" t="n"/>
      <c r="E370" s="102" t="n"/>
      <c r="F370" s="102" t="n"/>
      <c r="G370" s="102" t="n"/>
      <c r="H370" s="102" t="n"/>
      <c r="I370" s="102" t="n"/>
      <c r="J370" s="102" t="n"/>
      <c r="K370" s="102" t="n"/>
      <c r="L370" s="102" t="n"/>
      <c r="M370" s="102" t="n"/>
      <c r="N370" s="102" t="n"/>
      <c r="O370" s="102" t="n"/>
      <c r="P370" s="102" t="n"/>
      <c r="Q370" s="102" t="n"/>
      <c r="R370" s="102" t="n"/>
      <c r="S370" s="102" t="n"/>
      <c r="T370" s="102" t="n"/>
      <c r="U370" s="102" t="n"/>
      <c r="V370" s="102" t="n"/>
      <c r="W370" s="102" t="n"/>
      <c r="X370" s="102" t="n"/>
      <c r="Y370" s="102" t="n"/>
      <c r="Z370" s="102" t="n"/>
      <c r="AA370" s="102" t="n"/>
      <c r="AB370" s="102" t="n"/>
      <c r="AC370" s="102" t="n"/>
      <c r="AD370" s="102" t="n"/>
      <c r="AE370" s="102" t="n"/>
      <c r="AF370" s="102" t="n"/>
      <c r="AG370" s="102" t="n"/>
      <c r="AH370" s="102" t="n"/>
      <c r="AI370" s="102" t="n"/>
      <c r="AJ370" s="102" t="n"/>
      <c r="AK370" s="102" t="n"/>
      <c r="AL370" s="102" t="n"/>
      <c r="AM370" s="102" t="n"/>
      <c r="AN370" s="102" t="n"/>
      <c r="AO370" s="102" t="n"/>
      <c r="AP370" s="102" t="n"/>
      <c r="AQ370" s="102" t="n"/>
      <c r="AR370" s="102" t="n"/>
    </row>
    <row r="371">
      <c r="D371" s="160" t="n"/>
      <c r="E371" s="160" t="n"/>
      <c r="F371" s="160" t="n"/>
      <c r="G371" s="160" t="n"/>
      <c r="H371" s="160" t="n"/>
      <c r="I371" s="160" t="n"/>
      <c r="J371" s="160" t="n"/>
      <c r="K371" s="160" t="n"/>
      <c r="L371" s="160" t="n"/>
      <c r="M371" s="160" t="n"/>
      <c r="N371" s="160" t="n"/>
      <c r="O371" s="160" t="n"/>
      <c r="P371" s="160" t="n"/>
      <c r="Q371" s="160" t="n"/>
      <c r="R371" s="160" t="n"/>
      <c r="S371" s="160" t="n"/>
      <c r="T371" s="160" t="n"/>
      <c r="U371" s="160" t="n"/>
      <c r="V371" s="160" t="n"/>
      <c r="W371" s="160" t="n"/>
      <c r="X371" s="160" t="n"/>
      <c r="Y371" s="160" t="n"/>
      <c r="Z371" s="160" t="n"/>
      <c r="AA371" s="160" t="n"/>
      <c r="AB371" s="160" t="n"/>
      <c r="AC371" s="160" t="n"/>
      <c r="AD371" s="160" t="n"/>
      <c r="AE371" s="160" t="n"/>
      <c r="AF371" s="160" t="n"/>
      <c r="AG371" s="160" t="n"/>
      <c r="AH371" s="160" t="n"/>
      <c r="AI371" s="160" t="n"/>
      <c r="AJ371" s="160" t="n"/>
      <c r="AK371" s="160" t="n"/>
      <c r="AL371" s="160" t="n"/>
      <c r="AM371" s="160" t="n"/>
      <c r="AN371" s="160" t="n"/>
      <c r="AO371" s="160" t="n"/>
      <c r="AP371" s="160" t="n"/>
      <c r="AQ371" s="160" t="n"/>
      <c r="AR371" s="160" t="n"/>
    </row>
    <row r="373">
      <c r="A373" s="8">
        <f>IF(HSI!$C$40="","",HSI!$C$40)</f>
        <v/>
      </c>
      <c r="B373" s="158">
        <f>IF($A373="",0,COUNT($E374:$AR374))</f>
        <v/>
      </c>
      <c r="C373" s="159">
        <f>IF($B373=0,0,MAX($E374:$AR374))</f>
        <v/>
      </c>
      <c r="D373" s="101">
        <f>BDS($A373,FLD_HIST,"headers=y","startcol=1","endcol=7","dir=h","DVD_START_DT",HIST_FROM,"DVD_END_DT",HIST_TO)</f>
        <v/>
      </c>
      <c r="E373" s="102" t="n"/>
      <c r="F373" s="102" t="n"/>
      <c r="G373" s="102" t="n"/>
      <c r="H373" s="102" t="n"/>
      <c r="I373" s="102" t="n"/>
      <c r="J373" s="102" t="n"/>
      <c r="K373" s="102" t="n"/>
      <c r="L373" s="102" t="n"/>
      <c r="M373" s="102" t="n"/>
      <c r="N373" s="102" t="n"/>
      <c r="O373" s="102" t="n"/>
      <c r="P373" s="102" t="n"/>
      <c r="Q373" s="102" t="n"/>
      <c r="R373" s="102" t="n"/>
      <c r="S373" s="102" t="n"/>
      <c r="T373" s="102" t="n"/>
      <c r="U373" s="102" t="n"/>
      <c r="V373" s="102" t="n"/>
      <c r="W373" s="102" t="n"/>
      <c r="X373" s="102" t="n"/>
      <c r="Y373" s="102" t="n"/>
      <c r="Z373" s="102" t="n"/>
      <c r="AA373" s="102" t="n"/>
      <c r="AB373" s="102" t="n"/>
      <c r="AC373" s="102" t="n"/>
      <c r="AD373" s="102" t="n"/>
      <c r="AE373" s="102" t="n"/>
      <c r="AF373" s="102" t="n"/>
      <c r="AG373" s="102" t="n"/>
      <c r="AH373" s="102" t="n"/>
      <c r="AI373" s="102" t="n"/>
      <c r="AJ373" s="102" t="n"/>
      <c r="AK373" s="102" t="n"/>
      <c r="AL373" s="102" t="n"/>
      <c r="AM373" s="102" t="n"/>
      <c r="AN373" s="102" t="n"/>
      <c r="AO373" s="102" t="n"/>
      <c r="AP373" s="102" t="n"/>
      <c r="AQ373" s="102" t="n"/>
      <c r="AR373" s="102" t="n"/>
    </row>
    <row r="374">
      <c r="D374" s="102" t="n"/>
      <c r="E374" s="102" t="n"/>
      <c r="F374" s="102" t="n"/>
      <c r="G374" s="102" t="n"/>
      <c r="H374" s="102" t="n"/>
      <c r="I374" s="102" t="n"/>
      <c r="J374" s="102" t="n"/>
      <c r="K374" s="102" t="n"/>
      <c r="L374" s="102" t="n"/>
      <c r="M374" s="102" t="n"/>
      <c r="N374" s="102" t="n"/>
      <c r="O374" s="102" t="n"/>
      <c r="P374" s="102" t="n"/>
      <c r="Q374" s="102" t="n"/>
      <c r="R374" s="102" t="n"/>
      <c r="S374" s="102" t="n"/>
      <c r="T374" s="102" t="n"/>
      <c r="U374" s="102" t="n"/>
      <c r="V374" s="102" t="n"/>
      <c r="W374" s="102" t="n"/>
      <c r="X374" s="102" t="n"/>
      <c r="Y374" s="102" t="n"/>
      <c r="Z374" s="102" t="n"/>
      <c r="AA374" s="102" t="n"/>
      <c r="AB374" s="102" t="n"/>
      <c r="AC374" s="102" t="n"/>
      <c r="AD374" s="102" t="n"/>
      <c r="AE374" s="102" t="n"/>
      <c r="AF374" s="102" t="n"/>
      <c r="AG374" s="102" t="n"/>
      <c r="AH374" s="102" t="n"/>
      <c r="AI374" s="102" t="n"/>
      <c r="AJ374" s="102" t="n"/>
      <c r="AK374" s="102" t="n"/>
      <c r="AL374" s="102" t="n"/>
      <c r="AM374" s="102" t="n"/>
      <c r="AN374" s="102" t="n"/>
      <c r="AO374" s="102" t="n"/>
      <c r="AP374" s="102" t="n"/>
      <c r="AQ374" s="102" t="n"/>
      <c r="AR374" s="102" t="n"/>
    </row>
    <row r="375">
      <c r="D375" s="102" t="n"/>
      <c r="E375" s="102" t="n"/>
      <c r="F375" s="102" t="n"/>
      <c r="G375" s="102" t="n"/>
      <c r="H375" s="102" t="n"/>
      <c r="I375" s="102" t="n"/>
      <c r="J375" s="102" t="n"/>
      <c r="K375" s="102" t="n"/>
      <c r="L375" s="102" t="n"/>
      <c r="M375" s="102" t="n"/>
      <c r="N375" s="102" t="n"/>
      <c r="O375" s="102" t="n"/>
      <c r="P375" s="102" t="n"/>
      <c r="Q375" s="102" t="n"/>
      <c r="R375" s="102" t="n"/>
      <c r="S375" s="102" t="n"/>
      <c r="T375" s="102" t="n"/>
      <c r="U375" s="102" t="n"/>
      <c r="V375" s="102" t="n"/>
      <c r="W375" s="102" t="n"/>
      <c r="X375" s="102" t="n"/>
      <c r="Y375" s="102" t="n"/>
      <c r="Z375" s="102" t="n"/>
      <c r="AA375" s="102" t="n"/>
      <c r="AB375" s="102" t="n"/>
      <c r="AC375" s="102" t="n"/>
      <c r="AD375" s="102" t="n"/>
      <c r="AE375" s="102" t="n"/>
      <c r="AF375" s="102" t="n"/>
      <c r="AG375" s="102" t="n"/>
      <c r="AH375" s="102" t="n"/>
      <c r="AI375" s="102" t="n"/>
      <c r="AJ375" s="102" t="n"/>
      <c r="AK375" s="102" t="n"/>
      <c r="AL375" s="102" t="n"/>
      <c r="AM375" s="102" t="n"/>
      <c r="AN375" s="102" t="n"/>
      <c r="AO375" s="102" t="n"/>
      <c r="AP375" s="102" t="n"/>
      <c r="AQ375" s="102" t="n"/>
      <c r="AR375" s="102" t="n"/>
    </row>
    <row r="376">
      <c r="D376" s="102" t="n"/>
      <c r="E376" s="102" t="n"/>
      <c r="F376" s="102" t="n"/>
      <c r="G376" s="102" t="n"/>
      <c r="H376" s="102" t="n"/>
      <c r="I376" s="102" t="n"/>
      <c r="J376" s="102" t="n"/>
      <c r="K376" s="102" t="n"/>
      <c r="L376" s="102" t="n"/>
      <c r="M376" s="102" t="n"/>
      <c r="N376" s="102" t="n"/>
      <c r="O376" s="102" t="n"/>
      <c r="P376" s="102" t="n"/>
      <c r="Q376" s="102" t="n"/>
      <c r="R376" s="102" t="n"/>
      <c r="S376" s="102" t="n"/>
      <c r="T376" s="102" t="n"/>
      <c r="U376" s="102" t="n"/>
      <c r="V376" s="102" t="n"/>
      <c r="W376" s="102" t="n"/>
      <c r="X376" s="102" t="n"/>
      <c r="Y376" s="102" t="n"/>
      <c r="Z376" s="102" t="n"/>
      <c r="AA376" s="102" t="n"/>
      <c r="AB376" s="102" t="n"/>
      <c r="AC376" s="102" t="n"/>
      <c r="AD376" s="102" t="n"/>
      <c r="AE376" s="102" t="n"/>
      <c r="AF376" s="102" t="n"/>
      <c r="AG376" s="102" t="n"/>
      <c r="AH376" s="102" t="n"/>
      <c r="AI376" s="102" t="n"/>
      <c r="AJ376" s="102" t="n"/>
      <c r="AK376" s="102" t="n"/>
      <c r="AL376" s="102" t="n"/>
      <c r="AM376" s="102" t="n"/>
      <c r="AN376" s="102" t="n"/>
      <c r="AO376" s="102" t="n"/>
      <c r="AP376" s="102" t="n"/>
      <c r="AQ376" s="102" t="n"/>
      <c r="AR376" s="102" t="n"/>
    </row>
    <row r="377">
      <c r="D377" s="160" t="n"/>
      <c r="E377" s="160" t="n"/>
      <c r="F377" s="160" t="n"/>
      <c r="G377" s="160" t="n"/>
      <c r="H377" s="160" t="n"/>
      <c r="I377" s="160" t="n"/>
      <c r="J377" s="160" t="n"/>
      <c r="K377" s="160" t="n"/>
      <c r="L377" s="160" t="n"/>
      <c r="M377" s="160" t="n"/>
      <c r="N377" s="160" t="n"/>
      <c r="O377" s="160" t="n"/>
      <c r="P377" s="160" t="n"/>
      <c r="Q377" s="160" t="n"/>
      <c r="R377" s="160" t="n"/>
      <c r="S377" s="160" t="n"/>
      <c r="T377" s="160" t="n"/>
      <c r="U377" s="160" t="n"/>
      <c r="V377" s="160" t="n"/>
      <c r="W377" s="160" t="n"/>
      <c r="X377" s="160" t="n"/>
      <c r="Y377" s="160" t="n"/>
      <c r="Z377" s="160" t="n"/>
      <c r="AA377" s="160" t="n"/>
      <c r="AB377" s="160" t="n"/>
      <c r="AC377" s="160" t="n"/>
      <c r="AD377" s="160" t="n"/>
      <c r="AE377" s="160" t="n"/>
      <c r="AF377" s="160" t="n"/>
      <c r="AG377" s="160" t="n"/>
      <c r="AH377" s="160" t="n"/>
      <c r="AI377" s="160" t="n"/>
      <c r="AJ377" s="160" t="n"/>
      <c r="AK377" s="160" t="n"/>
      <c r="AL377" s="160" t="n"/>
      <c r="AM377" s="160" t="n"/>
      <c r="AN377" s="160" t="n"/>
      <c r="AO377" s="160" t="n"/>
      <c r="AP377" s="160" t="n"/>
      <c r="AQ377" s="160" t="n"/>
      <c r="AR377" s="160" t="n"/>
    </row>
    <row r="380">
      <c r="A380" s="2">
        <f>IF($A373="","","   projections")</f>
        <v/>
      </c>
      <c r="B380" s="158">
        <f>IF($A373="",0,COUNT($E381:$AR381))</f>
        <v/>
      </c>
      <c r="C380" s="159">
        <f>IF($B380=0,0,MAX($E381:$AR381))</f>
        <v/>
      </c>
      <c r="D380" s="101">
        <f>BDS($A373,FLD_PROJ,"headers=y","startcol=1","endcol=3","dir=h")</f>
        <v/>
      </c>
      <c r="E380" s="102" t="n"/>
      <c r="F380" s="102" t="n"/>
      <c r="G380" s="102" t="n"/>
      <c r="H380" s="102" t="n"/>
      <c r="I380" s="102" t="n"/>
      <c r="J380" s="102" t="n"/>
      <c r="K380" s="102" t="n"/>
      <c r="L380" s="102" t="n"/>
      <c r="M380" s="102" t="n"/>
      <c r="N380" s="102" t="n"/>
      <c r="O380" s="102" t="n"/>
      <c r="P380" s="102" t="n"/>
      <c r="Q380" s="102" t="n"/>
      <c r="R380" s="102" t="n"/>
      <c r="S380" s="102" t="n"/>
      <c r="T380" s="102" t="n"/>
      <c r="U380" s="102" t="n"/>
      <c r="V380" s="102" t="n"/>
      <c r="W380" s="102" t="n"/>
      <c r="X380" s="102" t="n"/>
      <c r="Y380" s="102" t="n"/>
      <c r="Z380" s="102" t="n"/>
      <c r="AA380" s="102" t="n"/>
      <c r="AB380" s="102" t="n"/>
      <c r="AC380" s="102" t="n"/>
      <c r="AD380" s="102" t="n"/>
      <c r="AE380" s="102" t="n"/>
      <c r="AF380" s="102" t="n"/>
      <c r="AG380" s="102" t="n"/>
      <c r="AH380" s="102" t="n"/>
      <c r="AI380" s="102" t="n"/>
      <c r="AJ380" s="102" t="n"/>
      <c r="AK380" s="102" t="n"/>
      <c r="AL380" s="102" t="n"/>
      <c r="AM380" s="102" t="n"/>
      <c r="AN380" s="102" t="n"/>
      <c r="AO380" s="102" t="n"/>
      <c r="AP380" s="102" t="n"/>
      <c r="AQ380" s="102" t="n"/>
      <c r="AR380" s="102" t="n"/>
    </row>
    <row r="381">
      <c r="D381" s="102" t="n"/>
      <c r="E381" s="102" t="n"/>
      <c r="F381" s="102" t="n"/>
      <c r="G381" s="102" t="n"/>
      <c r="H381" s="102" t="n"/>
      <c r="I381" s="102" t="n"/>
      <c r="J381" s="102" t="n"/>
      <c r="K381" s="102" t="n"/>
      <c r="L381" s="102" t="n"/>
      <c r="M381" s="102" t="n"/>
      <c r="N381" s="102" t="n"/>
      <c r="O381" s="102" t="n"/>
      <c r="P381" s="102" t="n"/>
      <c r="Q381" s="102" t="n"/>
      <c r="R381" s="102" t="n"/>
      <c r="S381" s="102" t="n"/>
      <c r="T381" s="102" t="n"/>
      <c r="U381" s="102" t="n"/>
      <c r="V381" s="102" t="n"/>
      <c r="W381" s="102" t="n"/>
      <c r="X381" s="102" t="n"/>
      <c r="Y381" s="102" t="n"/>
      <c r="Z381" s="102" t="n"/>
      <c r="AA381" s="102" t="n"/>
      <c r="AB381" s="102" t="n"/>
      <c r="AC381" s="102" t="n"/>
      <c r="AD381" s="102" t="n"/>
      <c r="AE381" s="102" t="n"/>
      <c r="AF381" s="102" t="n"/>
      <c r="AG381" s="102" t="n"/>
      <c r="AH381" s="102" t="n"/>
      <c r="AI381" s="102" t="n"/>
      <c r="AJ381" s="102" t="n"/>
      <c r="AK381" s="102" t="n"/>
      <c r="AL381" s="102" t="n"/>
      <c r="AM381" s="102" t="n"/>
      <c r="AN381" s="102" t="n"/>
      <c r="AO381" s="102" t="n"/>
      <c r="AP381" s="102" t="n"/>
      <c r="AQ381" s="102" t="n"/>
      <c r="AR381" s="102" t="n"/>
    </row>
    <row r="382">
      <c r="D382" s="160" t="n"/>
      <c r="E382" s="160" t="n"/>
      <c r="F382" s="160" t="n"/>
      <c r="G382" s="160" t="n"/>
      <c r="H382" s="160" t="n"/>
      <c r="I382" s="160" t="n"/>
      <c r="J382" s="160" t="n"/>
      <c r="K382" s="160" t="n"/>
      <c r="L382" s="160" t="n"/>
      <c r="M382" s="160" t="n"/>
      <c r="N382" s="160" t="n"/>
      <c r="O382" s="160" t="n"/>
      <c r="P382" s="160" t="n"/>
      <c r="Q382" s="160" t="n"/>
      <c r="R382" s="160" t="n"/>
      <c r="S382" s="160" t="n"/>
      <c r="T382" s="160" t="n"/>
      <c r="U382" s="160" t="n"/>
      <c r="V382" s="160" t="n"/>
      <c r="W382" s="160" t="n"/>
      <c r="X382" s="160" t="n"/>
      <c r="Y382" s="160" t="n"/>
      <c r="Z382" s="160" t="n"/>
      <c r="AA382" s="160" t="n"/>
      <c r="AB382" s="160" t="n"/>
      <c r="AC382" s="160" t="n"/>
      <c r="AD382" s="160" t="n"/>
      <c r="AE382" s="160" t="n"/>
      <c r="AF382" s="160" t="n"/>
      <c r="AG382" s="160" t="n"/>
      <c r="AH382" s="160" t="n"/>
      <c r="AI382" s="160" t="n"/>
      <c r="AJ382" s="160" t="n"/>
      <c r="AK382" s="160" t="n"/>
      <c r="AL382" s="160" t="n"/>
      <c r="AM382" s="160" t="n"/>
      <c r="AN382" s="160" t="n"/>
      <c r="AO382" s="160" t="n"/>
      <c r="AP382" s="160" t="n"/>
      <c r="AQ382" s="160" t="n"/>
      <c r="AR382" s="160" t="n"/>
    </row>
    <row r="384">
      <c r="A384" s="8">
        <f>IF(HSI!$C$41="","",HSI!$C$41)</f>
        <v/>
      </c>
      <c r="B384" s="158">
        <f>IF($A384="",0,COUNT($E385:$AR385))</f>
        <v/>
      </c>
      <c r="C384" s="159">
        <f>IF($B384=0,0,MAX($E385:$AR385))</f>
        <v/>
      </c>
      <c r="D384" s="101">
        <f>BDS($A384,FLD_HIST,"headers=y","startcol=1","endcol=7","dir=h","DVD_START_DT",HIST_FROM,"DVD_END_DT",HIST_TO)</f>
        <v/>
      </c>
      <c r="E384" s="102" t="n"/>
      <c r="F384" s="102" t="n"/>
      <c r="G384" s="102" t="n"/>
      <c r="H384" s="102" t="n"/>
      <c r="I384" s="102" t="n"/>
      <c r="J384" s="102" t="n"/>
      <c r="K384" s="102" t="n"/>
      <c r="L384" s="102" t="n"/>
      <c r="M384" s="102" t="n"/>
      <c r="N384" s="102" t="n"/>
      <c r="O384" s="102" t="n"/>
      <c r="P384" s="102" t="n"/>
      <c r="Q384" s="102" t="n"/>
      <c r="R384" s="102" t="n"/>
      <c r="S384" s="102" t="n"/>
      <c r="T384" s="102" t="n"/>
      <c r="U384" s="102" t="n"/>
      <c r="V384" s="102" t="n"/>
      <c r="W384" s="102" t="n"/>
      <c r="X384" s="102" t="n"/>
      <c r="Y384" s="102" t="n"/>
      <c r="Z384" s="102" t="n"/>
      <c r="AA384" s="102" t="n"/>
      <c r="AB384" s="102" t="n"/>
      <c r="AC384" s="102" t="n"/>
      <c r="AD384" s="102" t="n"/>
      <c r="AE384" s="102" t="n"/>
      <c r="AF384" s="102" t="n"/>
      <c r="AG384" s="102" t="n"/>
      <c r="AH384" s="102" t="n"/>
      <c r="AI384" s="102" t="n"/>
      <c r="AJ384" s="102" t="n"/>
      <c r="AK384" s="102" t="n"/>
      <c r="AL384" s="102" t="n"/>
      <c r="AM384" s="102" t="n"/>
      <c r="AN384" s="102" t="n"/>
      <c r="AO384" s="102" t="n"/>
      <c r="AP384" s="102" t="n"/>
      <c r="AQ384" s="102" t="n"/>
      <c r="AR384" s="102" t="n"/>
    </row>
    <row r="385">
      <c r="D385" s="102" t="n"/>
      <c r="E385" s="102" t="n"/>
      <c r="F385" s="102" t="n"/>
      <c r="G385" s="102" t="n"/>
      <c r="H385" s="102" t="n"/>
      <c r="I385" s="102" t="n"/>
      <c r="J385" s="102" t="n"/>
      <c r="K385" s="102" t="n"/>
      <c r="L385" s="102" t="n"/>
      <c r="M385" s="102" t="n"/>
      <c r="N385" s="102" t="n"/>
      <c r="O385" s="102" t="n"/>
      <c r="P385" s="102" t="n"/>
      <c r="Q385" s="102" t="n"/>
      <c r="R385" s="102" t="n"/>
      <c r="S385" s="102" t="n"/>
      <c r="T385" s="102" t="n"/>
      <c r="U385" s="102" t="n"/>
      <c r="V385" s="102" t="n"/>
      <c r="W385" s="102" t="n"/>
      <c r="X385" s="102" t="n"/>
      <c r="Y385" s="102" t="n"/>
      <c r="Z385" s="102" t="n"/>
      <c r="AA385" s="102" t="n"/>
      <c r="AB385" s="102" t="n"/>
      <c r="AC385" s="102" t="n"/>
      <c r="AD385" s="102" t="n"/>
      <c r="AE385" s="102" t="n"/>
      <c r="AF385" s="102" t="n"/>
      <c r="AG385" s="102" t="n"/>
      <c r="AH385" s="102" t="n"/>
      <c r="AI385" s="102" t="n"/>
      <c r="AJ385" s="102" t="n"/>
      <c r="AK385" s="102" t="n"/>
      <c r="AL385" s="102" t="n"/>
      <c r="AM385" s="102" t="n"/>
      <c r="AN385" s="102" t="n"/>
      <c r="AO385" s="102" t="n"/>
      <c r="AP385" s="102" t="n"/>
      <c r="AQ385" s="102" t="n"/>
      <c r="AR385" s="102" t="n"/>
    </row>
    <row r="386">
      <c r="D386" s="102" t="n"/>
      <c r="E386" s="102" t="n"/>
      <c r="F386" s="102" t="n"/>
      <c r="G386" s="102" t="n"/>
      <c r="H386" s="102" t="n"/>
      <c r="I386" s="102" t="n"/>
      <c r="J386" s="102" t="n"/>
      <c r="K386" s="102" t="n"/>
      <c r="L386" s="102" t="n"/>
      <c r="M386" s="102" t="n"/>
      <c r="N386" s="102" t="n"/>
      <c r="O386" s="102" t="n"/>
      <c r="P386" s="102" t="n"/>
      <c r="Q386" s="102" t="n"/>
      <c r="R386" s="102" t="n"/>
      <c r="S386" s="102" t="n"/>
      <c r="T386" s="102" t="n"/>
      <c r="U386" s="102" t="n"/>
      <c r="V386" s="102" t="n"/>
      <c r="W386" s="102" t="n"/>
      <c r="X386" s="102" t="n"/>
      <c r="Y386" s="102" t="n"/>
      <c r="Z386" s="102" t="n"/>
      <c r="AA386" s="102" t="n"/>
      <c r="AB386" s="102" t="n"/>
      <c r="AC386" s="102" t="n"/>
      <c r="AD386" s="102" t="n"/>
      <c r="AE386" s="102" t="n"/>
      <c r="AF386" s="102" t="n"/>
      <c r="AG386" s="102" t="n"/>
      <c r="AH386" s="102" t="n"/>
      <c r="AI386" s="102" t="n"/>
      <c r="AJ386" s="102" t="n"/>
      <c r="AK386" s="102" t="n"/>
      <c r="AL386" s="102" t="n"/>
      <c r="AM386" s="102" t="n"/>
      <c r="AN386" s="102" t="n"/>
      <c r="AO386" s="102" t="n"/>
      <c r="AP386" s="102" t="n"/>
      <c r="AQ386" s="102" t="n"/>
      <c r="AR386" s="102" t="n"/>
    </row>
    <row r="387">
      <c r="D387" s="102" t="n"/>
      <c r="E387" s="102" t="n"/>
      <c r="F387" s="102" t="n"/>
      <c r="G387" s="102" t="n"/>
      <c r="H387" s="102" t="n"/>
      <c r="I387" s="102" t="n"/>
      <c r="J387" s="102" t="n"/>
      <c r="K387" s="102" t="n"/>
      <c r="L387" s="102" t="n"/>
      <c r="M387" s="102" t="n"/>
      <c r="N387" s="102" t="n"/>
      <c r="O387" s="102" t="n"/>
      <c r="P387" s="102" t="n"/>
      <c r="Q387" s="102" t="n"/>
      <c r="R387" s="102" t="n"/>
      <c r="S387" s="102" t="n"/>
      <c r="T387" s="102" t="n"/>
      <c r="U387" s="102" t="n"/>
      <c r="V387" s="102" t="n"/>
      <c r="W387" s="102" t="n"/>
      <c r="X387" s="102" t="n"/>
      <c r="Y387" s="102" t="n"/>
      <c r="Z387" s="102" t="n"/>
      <c r="AA387" s="102" t="n"/>
      <c r="AB387" s="102" t="n"/>
      <c r="AC387" s="102" t="n"/>
      <c r="AD387" s="102" t="n"/>
      <c r="AE387" s="102" t="n"/>
      <c r="AF387" s="102" t="n"/>
      <c r="AG387" s="102" t="n"/>
      <c r="AH387" s="102" t="n"/>
      <c r="AI387" s="102" t="n"/>
      <c r="AJ387" s="102" t="n"/>
      <c r="AK387" s="102" t="n"/>
      <c r="AL387" s="102" t="n"/>
      <c r="AM387" s="102" t="n"/>
      <c r="AN387" s="102" t="n"/>
      <c r="AO387" s="102" t="n"/>
      <c r="AP387" s="102" t="n"/>
      <c r="AQ387" s="102" t="n"/>
      <c r="AR387" s="102" t="n"/>
    </row>
    <row r="388">
      <c r="D388" s="160" t="n"/>
      <c r="E388" s="160" t="n"/>
      <c r="F388" s="160" t="n"/>
      <c r="G388" s="160" t="n"/>
      <c r="H388" s="160" t="n"/>
      <c r="I388" s="160" t="n"/>
      <c r="J388" s="160" t="n"/>
      <c r="K388" s="160" t="n"/>
      <c r="L388" s="160" t="n"/>
      <c r="M388" s="160" t="n"/>
      <c r="N388" s="160" t="n"/>
      <c r="O388" s="160" t="n"/>
      <c r="P388" s="160" t="n"/>
      <c r="Q388" s="160" t="n"/>
      <c r="R388" s="160" t="n"/>
      <c r="S388" s="160" t="n"/>
      <c r="T388" s="160" t="n"/>
      <c r="U388" s="160" t="n"/>
      <c r="V388" s="160" t="n"/>
      <c r="W388" s="160" t="n"/>
      <c r="X388" s="160" t="n"/>
      <c r="Y388" s="160" t="n"/>
      <c r="Z388" s="160" t="n"/>
      <c r="AA388" s="160" t="n"/>
      <c r="AB388" s="160" t="n"/>
      <c r="AC388" s="160" t="n"/>
      <c r="AD388" s="160" t="n"/>
      <c r="AE388" s="160" t="n"/>
      <c r="AF388" s="160" t="n"/>
      <c r="AG388" s="160" t="n"/>
      <c r="AH388" s="160" t="n"/>
      <c r="AI388" s="160" t="n"/>
      <c r="AJ388" s="160" t="n"/>
      <c r="AK388" s="160" t="n"/>
      <c r="AL388" s="160" t="n"/>
      <c r="AM388" s="160" t="n"/>
      <c r="AN388" s="160" t="n"/>
      <c r="AO388" s="160" t="n"/>
      <c r="AP388" s="160" t="n"/>
      <c r="AQ388" s="160" t="n"/>
      <c r="AR388" s="160" t="n"/>
    </row>
    <row r="391">
      <c r="A391" s="2">
        <f>IF($A384="","","   projections")</f>
        <v/>
      </c>
      <c r="B391" s="158">
        <f>IF($A384="",0,COUNT($E392:$AR392))</f>
        <v/>
      </c>
      <c r="C391" s="159">
        <f>IF($B391=0,0,MAX($E392:$AR392))</f>
        <v/>
      </c>
      <c r="D391" s="101">
        <f>BDS($A384,FLD_PROJ,"headers=y","startcol=1","endcol=3","dir=h")</f>
        <v/>
      </c>
      <c r="E391" s="102" t="n"/>
      <c r="F391" s="102" t="n"/>
      <c r="G391" s="102" t="n"/>
      <c r="H391" s="102" t="n"/>
      <c r="I391" s="102" t="n"/>
      <c r="J391" s="102" t="n"/>
      <c r="K391" s="102" t="n"/>
      <c r="L391" s="102" t="n"/>
      <c r="M391" s="102" t="n"/>
      <c r="N391" s="102" t="n"/>
      <c r="O391" s="102" t="n"/>
      <c r="P391" s="102" t="n"/>
      <c r="Q391" s="102" t="n"/>
      <c r="R391" s="102" t="n"/>
      <c r="S391" s="102" t="n"/>
      <c r="T391" s="102" t="n"/>
      <c r="U391" s="102" t="n"/>
      <c r="V391" s="102" t="n"/>
      <c r="W391" s="102" t="n"/>
      <c r="X391" s="102" t="n"/>
      <c r="Y391" s="102" t="n"/>
      <c r="Z391" s="102" t="n"/>
      <c r="AA391" s="102" t="n"/>
      <c r="AB391" s="102" t="n"/>
      <c r="AC391" s="102" t="n"/>
      <c r="AD391" s="102" t="n"/>
      <c r="AE391" s="102" t="n"/>
      <c r="AF391" s="102" t="n"/>
      <c r="AG391" s="102" t="n"/>
      <c r="AH391" s="102" t="n"/>
      <c r="AI391" s="102" t="n"/>
      <c r="AJ391" s="102" t="n"/>
      <c r="AK391" s="102" t="n"/>
      <c r="AL391" s="102" t="n"/>
      <c r="AM391" s="102" t="n"/>
      <c r="AN391" s="102" t="n"/>
      <c r="AO391" s="102" t="n"/>
      <c r="AP391" s="102" t="n"/>
      <c r="AQ391" s="102" t="n"/>
      <c r="AR391" s="102" t="n"/>
    </row>
    <row r="392">
      <c r="D392" s="102" t="n"/>
      <c r="E392" s="102" t="n"/>
      <c r="F392" s="102" t="n"/>
      <c r="G392" s="102" t="n"/>
      <c r="H392" s="102" t="n"/>
      <c r="I392" s="102" t="n"/>
      <c r="J392" s="102" t="n"/>
      <c r="K392" s="102" t="n"/>
      <c r="L392" s="102" t="n"/>
      <c r="M392" s="102" t="n"/>
      <c r="N392" s="102" t="n"/>
      <c r="O392" s="102" t="n"/>
      <c r="P392" s="102" t="n"/>
      <c r="Q392" s="102" t="n"/>
      <c r="R392" s="102" t="n"/>
      <c r="S392" s="102" t="n"/>
      <c r="T392" s="102" t="n"/>
      <c r="U392" s="102" t="n"/>
      <c r="V392" s="102" t="n"/>
      <c r="W392" s="102" t="n"/>
      <c r="X392" s="102" t="n"/>
      <c r="Y392" s="102" t="n"/>
      <c r="Z392" s="102" t="n"/>
      <c r="AA392" s="102" t="n"/>
      <c r="AB392" s="102" t="n"/>
      <c r="AC392" s="102" t="n"/>
      <c r="AD392" s="102" t="n"/>
      <c r="AE392" s="102" t="n"/>
      <c r="AF392" s="102" t="n"/>
      <c r="AG392" s="102" t="n"/>
      <c r="AH392" s="102" t="n"/>
      <c r="AI392" s="102" t="n"/>
      <c r="AJ392" s="102" t="n"/>
      <c r="AK392" s="102" t="n"/>
      <c r="AL392" s="102" t="n"/>
      <c r="AM392" s="102" t="n"/>
      <c r="AN392" s="102" t="n"/>
      <c r="AO392" s="102" t="n"/>
      <c r="AP392" s="102" t="n"/>
      <c r="AQ392" s="102" t="n"/>
      <c r="AR392" s="102" t="n"/>
    </row>
    <row r="393">
      <c r="D393" s="160" t="n"/>
      <c r="E393" s="160" t="n"/>
      <c r="F393" s="160" t="n"/>
      <c r="G393" s="160" t="n"/>
      <c r="H393" s="160" t="n"/>
      <c r="I393" s="160" t="n"/>
      <c r="J393" s="160" t="n"/>
      <c r="K393" s="160" t="n"/>
      <c r="L393" s="160" t="n"/>
      <c r="M393" s="160" t="n"/>
      <c r="N393" s="160" t="n"/>
      <c r="O393" s="160" t="n"/>
      <c r="P393" s="160" t="n"/>
      <c r="Q393" s="160" t="n"/>
      <c r="R393" s="160" t="n"/>
      <c r="S393" s="160" t="n"/>
      <c r="T393" s="160" t="n"/>
      <c r="U393" s="160" t="n"/>
      <c r="V393" s="160" t="n"/>
      <c r="W393" s="160" t="n"/>
      <c r="X393" s="160" t="n"/>
      <c r="Y393" s="160" t="n"/>
      <c r="Z393" s="160" t="n"/>
      <c r="AA393" s="160" t="n"/>
      <c r="AB393" s="160" t="n"/>
      <c r="AC393" s="160" t="n"/>
      <c r="AD393" s="160" t="n"/>
      <c r="AE393" s="160" t="n"/>
      <c r="AF393" s="160" t="n"/>
      <c r="AG393" s="160" t="n"/>
      <c r="AH393" s="160" t="n"/>
      <c r="AI393" s="160" t="n"/>
      <c r="AJ393" s="160" t="n"/>
      <c r="AK393" s="160" t="n"/>
      <c r="AL393" s="160" t="n"/>
      <c r="AM393" s="160" t="n"/>
      <c r="AN393" s="160" t="n"/>
      <c r="AO393" s="160" t="n"/>
      <c r="AP393" s="160" t="n"/>
      <c r="AQ393" s="160" t="n"/>
      <c r="AR393" s="160" t="n"/>
    </row>
    <row r="395">
      <c r="A395" s="8">
        <f>IF(HSI!$C$42="","",HSI!$C$42)</f>
        <v/>
      </c>
      <c r="B395" s="158">
        <f>IF($A395="",0,COUNT($E396:$AR396))</f>
        <v/>
      </c>
      <c r="C395" s="159">
        <f>IF($B395=0,0,MAX($E396:$AR396))</f>
        <v/>
      </c>
      <c r="D395" s="101">
        <f>BDS($A395,FLD_HIST,"headers=y","startcol=1","endcol=7","dir=h","DVD_START_DT",HIST_FROM,"DVD_END_DT",HIST_TO)</f>
        <v/>
      </c>
      <c r="E395" s="102" t="n"/>
      <c r="F395" s="102" t="n"/>
      <c r="G395" s="102" t="n"/>
      <c r="H395" s="102" t="n"/>
      <c r="I395" s="102" t="n"/>
      <c r="J395" s="102" t="n"/>
      <c r="K395" s="102" t="n"/>
      <c r="L395" s="102" t="n"/>
      <c r="M395" s="102" t="n"/>
      <c r="N395" s="102" t="n"/>
      <c r="O395" s="102" t="n"/>
      <c r="P395" s="102" t="n"/>
      <c r="Q395" s="102" t="n"/>
      <c r="R395" s="102" t="n"/>
      <c r="S395" s="102" t="n"/>
      <c r="T395" s="102" t="n"/>
      <c r="U395" s="102" t="n"/>
      <c r="V395" s="102" t="n"/>
      <c r="W395" s="102" t="n"/>
      <c r="X395" s="102" t="n"/>
      <c r="Y395" s="102" t="n"/>
      <c r="Z395" s="102" t="n"/>
      <c r="AA395" s="102" t="n"/>
      <c r="AB395" s="102" t="n"/>
      <c r="AC395" s="102" t="n"/>
      <c r="AD395" s="102" t="n"/>
      <c r="AE395" s="102" t="n"/>
      <c r="AF395" s="102" t="n"/>
      <c r="AG395" s="102" t="n"/>
      <c r="AH395" s="102" t="n"/>
      <c r="AI395" s="102" t="n"/>
      <c r="AJ395" s="102" t="n"/>
      <c r="AK395" s="102" t="n"/>
      <c r="AL395" s="102" t="n"/>
      <c r="AM395" s="102" t="n"/>
      <c r="AN395" s="102" t="n"/>
      <c r="AO395" s="102" t="n"/>
      <c r="AP395" s="102" t="n"/>
      <c r="AQ395" s="102" t="n"/>
      <c r="AR395" s="102" t="n"/>
    </row>
    <row r="396">
      <c r="D396" s="102" t="n"/>
      <c r="E396" s="102" t="n"/>
      <c r="F396" s="102" t="n"/>
      <c r="G396" s="102" t="n"/>
      <c r="H396" s="102" t="n"/>
      <c r="I396" s="102" t="n"/>
      <c r="J396" s="102" t="n"/>
      <c r="K396" s="102" t="n"/>
      <c r="L396" s="102" t="n"/>
      <c r="M396" s="102" t="n"/>
      <c r="N396" s="102" t="n"/>
      <c r="O396" s="102" t="n"/>
      <c r="P396" s="102" t="n"/>
      <c r="Q396" s="102" t="n"/>
      <c r="R396" s="102" t="n"/>
      <c r="S396" s="102" t="n"/>
      <c r="T396" s="102" t="n"/>
      <c r="U396" s="102" t="n"/>
      <c r="V396" s="102" t="n"/>
      <c r="W396" s="102" t="n"/>
      <c r="X396" s="102" t="n"/>
      <c r="Y396" s="102" t="n"/>
      <c r="Z396" s="102" t="n"/>
      <c r="AA396" s="102" t="n"/>
      <c r="AB396" s="102" t="n"/>
      <c r="AC396" s="102" t="n"/>
      <c r="AD396" s="102" t="n"/>
      <c r="AE396" s="102" t="n"/>
      <c r="AF396" s="102" t="n"/>
      <c r="AG396" s="102" t="n"/>
      <c r="AH396" s="102" t="n"/>
      <c r="AI396" s="102" t="n"/>
      <c r="AJ396" s="102" t="n"/>
      <c r="AK396" s="102" t="n"/>
      <c r="AL396" s="102" t="n"/>
      <c r="AM396" s="102" t="n"/>
      <c r="AN396" s="102" t="n"/>
      <c r="AO396" s="102" t="n"/>
      <c r="AP396" s="102" t="n"/>
      <c r="AQ396" s="102" t="n"/>
      <c r="AR396" s="102" t="n"/>
    </row>
    <row r="397">
      <c r="D397" s="102" t="n"/>
      <c r="E397" s="102" t="n"/>
      <c r="F397" s="102" t="n"/>
      <c r="G397" s="102" t="n"/>
      <c r="H397" s="102" t="n"/>
      <c r="I397" s="102" t="n"/>
      <c r="J397" s="102" t="n"/>
      <c r="K397" s="102" t="n"/>
      <c r="L397" s="102" t="n"/>
      <c r="M397" s="102" t="n"/>
      <c r="N397" s="102" t="n"/>
      <c r="O397" s="102" t="n"/>
      <c r="P397" s="102" t="n"/>
      <c r="Q397" s="102" t="n"/>
      <c r="R397" s="102" t="n"/>
      <c r="S397" s="102" t="n"/>
      <c r="T397" s="102" t="n"/>
      <c r="U397" s="102" t="n"/>
      <c r="V397" s="102" t="n"/>
      <c r="W397" s="102" t="n"/>
      <c r="X397" s="102" t="n"/>
      <c r="Y397" s="102" t="n"/>
      <c r="Z397" s="102" t="n"/>
      <c r="AA397" s="102" t="n"/>
      <c r="AB397" s="102" t="n"/>
      <c r="AC397" s="102" t="n"/>
      <c r="AD397" s="102" t="n"/>
      <c r="AE397" s="102" t="n"/>
      <c r="AF397" s="102" t="n"/>
      <c r="AG397" s="102" t="n"/>
      <c r="AH397" s="102" t="n"/>
      <c r="AI397" s="102" t="n"/>
      <c r="AJ397" s="102" t="n"/>
      <c r="AK397" s="102" t="n"/>
      <c r="AL397" s="102" t="n"/>
      <c r="AM397" s="102" t="n"/>
      <c r="AN397" s="102" t="n"/>
      <c r="AO397" s="102" t="n"/>
      <c r="AP397" s="102" t="n"/>
      <c r="AQ397" s="102" t="n"/>
      <c r="AR397" s="102" t="n"/>
    </row>
    <row r="398">
      <c r="D398" s="102" t="n"/>
      <c r="E398" s="102" t="n"/>
      <c r="F398" s="102" t="n"/>
      <c r="G398" s="102" t="n"/>
      <c r="H398" s="102" t="n"/>
      <c r="I398" s="102" t="n"/>
      <c r="J398" s="102" t="n"/>
      <c r="K398" s="102" t="n"/>
      <c r="L398" s="102" t="n"/>
      <c r="M398" s="102" t="n"/>
      <c r="N398" s="102" t="n"/>
      <c r="O398" s="102" t="n"/>
      <c r="P398" s="102" t="n"/>
      <c r="Q398" s="102" t="n"/>
      <c r="R398" s="102" t="n"/>
      <c r="S398" s="102" t="n"/>
      <c r="T398" s="102" t="n"/>
      <c r="U398" s="102" t="n"/>
      <c r="V398" s="102" t="n"/>
      <c r="W398" s="102" t="n"/>
      <c r="X398" s="102" t="n"/>
      <c r="Y398" s="102" t="n"/>
      <c r="Z398" s="102" t="n"/>
      <c r="AA398" s="102" t="n"/>
      <c r="AB398" s="102" t="n"/>
      <c r="AC398" s="102" t="n"/>
      <c r="AD398" s="102" t="n"/>
      <c r="AE398" s="102" t="n"/>
      <c r="AF398" s="102" t="n"/>
      <c r="AG398" s="102" t="n"/>
      <c r="AH398" s="102" t="n"/>
      <c r="AI398" s="102" t="n"/>
      <c r="AJ398" s="102" t="n"/>
      <c r="AK398" s="102" t="n"/>
      <c r="AL398" s="102" t="n"/>
      <c r="AM398" s="102" t="n"/>
      <c r="AN398" s="102" t="n"/>
      <c r="AO398" s="102" t="n"/>
      <c r="AP398" s="102" t="n"/>
      <c r="AQ398" s="102" t="n"/>
      <c r="AR398" s="102" t="n"/>
    </row>
    <row r="399">
      <c r="D399" s="160" t="n"/>
      <c r="E399" s="160" t="n"/>
      <c r="F399" s="160" t="n"/>
      <c r="G399" s="160" t="n"/>
      <c r="H399" s="160" t="n"/>
      <c r="I399" s="160" t="n"/>
      <c r="J399" s="160" t="n"/>
      <c r="K399" s="160" t="n"/>
      <c r="L399" s="160" t="n"/>
      <c r="M399" s="160" t="n"/>
      <c r="N399" s="160" t="n"/>
      <c r="O399" s="160" t="n"/>
      <c r="P399" s="160" t="n"/>
      <c r="Q399" s="160" t="n"/>
      <c r="R399" s="160" t="n"/>
      <c r="S399" s="160" t="n"/>
      <c r="T399" s="160" t="n"/>
      <c r="U399" s="160" t="n"/>
      <c r="V399" s="160" t="n"/>
      <c r="W399" s="160" t="n"/>
      <c r="X399" s="160" t="n"/>
      <c r="Y399" s="160" t="n"/>
      <c r="Z399" s="160" t="n"/>
      <c r="AA399" s="160" t="n"/>
      <c r="AB399" s="160" t="n"/>
      <c r="AC399" s="160" t="n"/>
      <c r="AD399" s="160" t="n"/>
      <c r="AE399" s="160" t="n"/>
      <c r="AF399" s="160" t="n"/>
      <c r="AG399" s="160" t="n"/>
      <c r="AH399" s="160" t="n"/>
      <c r="AI399" s="160" t="n"/>
      <c r="AJ399" s="160" t="n"/>
      <c r="AK399" s="160" t="n"/>
      <c r="AL399" s="160" t="n"/>
      <c r="AM399" s="160" t="n"/>
      <c r="AN399" s="160" t="n"/>
      <c r="AO399" s="160" t="n"/>
      <c r="AP399" s="160" t="n"/>
      <c r="AQ399" s="160" t="n"/>
      <c r="AR399" s="160" t="n"/>
    </row>
    <row r="402">
      <c r="A402" s="2">
        <f>IF($A395="","","   projections")</f>
        <v/>
      </c>
      <c r="B402" s="158">
        <f>IF($A395="",0,COUNT($E403:$AR403))</f>
        <v/>
      </c>
      <c r="C402" s="159">
        <f>IF($B402=0,0,MAX($E403:$AR403))</f>
        <v/>
      </c>
      <c r="D402" s="101">
        <f>BDS($A395,FLD_PROJ,"headers=y","startcol=1","endcol=3","dir=h")</f>
        <v/>
      </c>
      <c r="E402" s="102" t="n"/>
      <c r="F402" s="102" t="n"/>
      <c r="G402" s="102" t="n"/>
      <c r="H402" s="102" t="n"/>
      <c r="I402" s="102" t="n"/>
      <c r="J402" s="102" t="n"/>
      <c r="K402" s="102" t="n"/>
      <c r="L402" s="102" t="n"/>
      <c r="M402" s="102" t="n"/>
      <c r="N402" s="102" t="n"/>
      <c r="O402" s="102" t="n"/>
      <c r="P402" s="102" t="n"/>
      <c r="Q402" s="102" t="n"/>
      <c r="R402" s="102" t="n"/>
      <c r="S402" s="102" t="n"/>
      <c r="T402" s="102" t="n"/>
      <c r="U402" s="102" t="n"/>
      <c r="V402" s="102" t="n"/>
      <c r="W402" s="102" t="n"/>
      <c r="X402" s="102" t="n"/>
      <c r="Y402" s="102" t="n"/>
      <c r="Z402" s="102" t="n"/>
      <c r="AA402" s="102" t="n"/>
      <c r="AB402" s="102" t="n"/>
      <c r="AC402" s="102" t="n"/>
      <c r="AD402" s="102" t="n"/>
      <c r="AE402" s="102" t="n"/>
      <c r="AF402" s="102" t="n"/>
      <c r="AG402" s="102" t="n"/>
      <c r="AH402" s="102" t="n"/>
      <c r="AI402" s="102" t="n"/>
      <c r="AJ402" s="102" t="n"/>
      <c r="AK402" s="102" t="n"/>
      <c r="AL402" s="102" t="n"/>
      <c r="AM402" s="102" t="n"/>
      <c r="AN402" s="102" t="n"/>
      <c r="AO402" s="102" t="n"/>
      <c r="AP402" s="102" t="n"/>
      <c r="AQ402" s="102" t="n"/>
      <c r="AR402" s="102" t="n"/>
    </row>
    <row r="403">
      <c r="D403" s="102" t="n"/>
      <c r="E403" s="102" t="n"/>
      <c r="F403" s="102" t="n"/>
      <c r="G403" s="102" t="n"/>
      <c r="H403" s="102" t="n"/>
      <c r="I403" s="102" t="n"/>
      <c r="J403" s="102" t="n"/>
      <c r="K403" s="102" t="n"/>
      <c r="L403" s="102" t="n"/>
      <c r="M403" s="102" t="n"/>
      <c r="N403" s="102" t="n"/>
      <c r="O403" s="102" t="n"/>
      <c r="P403" s="102" t="n"/>
      <c r="Q403" s="102" t="n"/>
      <c r="R403" s="102" t="n"/>
      <c r="S403" s="102" t="n"/>
      <c r="T403" s="102" t="n"/>
      <c r="U403" s="102" t="n"/>
      <c r="V403" s="102" t="n"/>
      <c r="W403" s="102" t="n"/>
      <c r="X403" s="102" t="n"/>
      <c r="Y403" s="102" t="n"/>
      <c r="Z403" s="102" t="n"/>
      <c r="AA403" s="102" t="n"/>
      <c r="AB403" s="102" t="n"/>
      <c r="AC403" s="102" t="n"/>
      <c r="AD403" s="102" t="n"/>
      <c r="AE403" s="102" t="n"/>
      <c r="AF403" s="102" t="n"/>
      <c r="AG403" s="102" t="n"/>
      <c r="AH403" s="102" t="n"/>
      <c r="AI403" s="102" t="n"/>
      <c r="AJ403" s="102" t="n"/>
      <c r="AK403" s="102" t="n"/>
      <c r="AL403" s="102" t="n"/>
      <c r="AM403" s="102" t="n"/>
      <c r="AN403" s="102" t="n"/>
      <c r="AO403" s="102" t="n"/>
      <c r="AP403" s="102" t="n"/>
      <c r="AQ403" s="102" t="n"/>
      <c r="AR403" s="102" t="n"/>
    </row>
    <row r="404">
      <c r="D404" s="160" t="n"/>
      <c r="E404" s="160" t="n"/>
      <c r="F404" s="160" t="n"/>
      <c r="G404" s="160" t="n"/>
      <c r="H404" s="160" t="n"/>
      <c r="I404" s="160" t="n"/>
      <c r="J404" s="160" t="n"/>
      <c r="K404" s="160" t="n"/>
      <c r="L404" s="160" t="n"/>
      <c r="M404" s="160" t="n"/>
      <c r="N404" s="160" t="n"/>
      <c r="O404" s="160" t="n"/>
      <c r="P404" s="160" t="n"/>
      <c r="Q404" s="160" t="n"/>
      <c r="R404" s="160" t="n"/>
      <c r="S404" s="160" t="n"/>
      <c r="T404" s="160" t="n"/>
      <c r="U404" s="160" t="n"/>
      <c r="V404" s="160" t="n"/>
      <c r="W404" s="160" t="n"/>
      <c r="X404" s="160" t="n"/>
      <c r="Y404" s="160" t="n"/>
      <c r="Z404" s="160" t="n"/>
      <c r="AA404" s="160" t="n"/>
      <c r="AB404" s="160" t="n"/>
      <c r="AC404" s="160" t="n"/>
      <c r="AD404" s="160" t="n"/>
      <c r="AE404" s="160" t="n"/>
      <c r="AF404" s="160" t="n"/>
      <c r="AG404" s="160" t="n"/>
      <c r="AH404" s="160" t="n"/>
      <c r="AI404" s="160" t="n"/>
      <c r="AJ404" s="160" t="n"/>
      <c r="AK404" s="160" t="n"/>
      <c r="AL404" s="160" t="n"/>
      <c r="AM404" s="160" t="n"/>
      <c r="AN404" s="160" t="n"/>
      <c r="AO404" s="160" t="n"/>
      <c r="AP404" s="160" t="n"/>
      <c r="AQ404" s="160" t="n"/>
      <c r="AR404" s="160" t="n"/>
    </row>
    <row r="406">
      <c r="A406" s="8">
        <f>IF(HSI!$C$43="","",HSI!$C$43)</f>
        <v/>
      </c>
      <c r="B406" s="158">
        <f>IF($A406="",0,COUNT($E407:$AR407))</f>
        <v/>
      </c>
      <c r="C406" s="159">
        <f>IF($B406=0,0,MAX($E407:$AR407))</f>
        <v/>
      </c>
      <c r="D406" s="101">
        <f>BDS($A406,FLD_HIST,"headers=y","startcol=1","endcol=7","dir=h","DVD_START_DT",HIST_FROM,"DVD_END_DT",HIST_TO)</f>
        <v/>
      </c>
      <c r="E406" s="102" t="n"/>
      <c r="F406" s="102" t="n"/>
      <c r="G406" s="102" t="n"/>
      <c r="H406" s="102" t="n"/>
      <c r="I406" s="102" t="n"/>
      <c r="J406" s="102" t="n"/>
      <c r="K406" s="102" t="n"/>
      <c r="L406" s="102" t="n"/>
      <c r="M406" s="102" t="n"/>
      <c r="N406" s="102" t="n"/>
      <c r="O406" s="102" t="n"/>
      <c r="P406" s="102" t="n"/>
      <c r="Q406" s="102" t="n"/>
      <c r="R406" s="102" t="n"/>
      <c r="S406" s="102" t="n"/>
      <c r="T406" s="102" t="n"/>
      <c r="U406" s="102" t="n"/>
      <c r="V406" s="102" t="n"/>
      <c r="W406" s="102" t="n"/>
      <c r="X406" s="102" t="n"/>
      <c r="Y406" s="102" t="n"/>
      <c r="Z406" s="102" t="n"/>
      <c r="AA406" s="102" t="n"/>
      <c r="AB406" s="102" t="n"/>
      <c r="AC406" s="102" t="n"/>
      <c r="AD406" s="102" t="n"/>
      <c r="AE406" s="102" t="n"/>
      <c r="AF406" s="102" t="n"/>
      <c r="AG406" s="102" t="n"/>
      <c r="AH406" s="102" t="n"/>
      <c r="AI406" s="102" t="n"/>
      <c r="AJ406" s="102" t="n"/>
      <c r="AK406" s="102" t="n"/>
      <c r="AL406" s="102" t="n"/>
      <c r="AM406" s="102" t="n"/>
      <c r="AN406" s="102" t="n"/>
      <c r="AO406" s="102" t="n"/>
      <c r="AP406" s="102" t="n"/>
      <c r="AQ406" s="102" t="n"/>
      <c r="AR406" s="102" t="n"/>
    </row>
    <row r="407">
      <c r="D407" s="102" t="n"/>
      <c r="E407" s="102" t="n"/>
      <c r="F407" s="102" t="n"/>
      <c r="G407" s="102" t="n"/>
      <c r="H407" s="102" t="n"/>
      <c r="I407" s="102" t="n"/>
      <c r="J407" s="102" t="n"/>
      <c r="K407" s="102" t="n"/>
      <c r="L407" s="102" t="n"/>
      <c r="M407" s="102" t="n"/>
      <c r="N407" s="102" t="n"/>
      <c r="O407" s="102" t="n"/>
      <c r="P407" s="102" t="n"/>
      <c r="Q407" s="102" t="n"/>
      <c r="R407" s="102" t="n"/>
      <c r="S407" s="102" t="n"/>
      <c r="T407" s="102" t="n"/>
      <c r="U407" s="102" t="n"/>
      <c r="V407" s="102" t="n"/>
      <c r="W407" s="102" t="n"/>
      <c r="X407" s="102" t="n"/>
      <c r="Y407" s="102" t="n"/>
      <c r="Z407" s="102" t="n"/>
      <c r="AA407" s="102" t="n"/>
      <c r="AB407" s="102" t="n"/>
      <c r="AC407" s="102" t="n"/>
      <c r="AD407" s="102" t="n"/>
      <c r="AE407" s="102" t="n"/>
      <c r="AF407" s="102" t="n"/>
      <c r="AG407" s="102" t="n"/>
      <c r="AH407" s="102" t="n"/>
      <c r="AI407" s="102" t="n"/>
      <c r="AJ407" s="102" t="n"/>
      <c r="AK407" s="102" t="n"/>
      <c r="AL407" s="102" t="n"/>
      <c r="AM407" s="102" t="n"/>
      <c r="AN407" s="102" t="n"/>
      <c r="AO407" s="102" t="n"/>
      <c r="AP407" s="102" t="n"/>
      <c r="AQ407" s="102" t="n"/>
      <c r="AR407" s="102" t="n"/>
    </row>
    <row r="408">
      <c r="D408" s="102" t="n"/>
      <c r="E408" s="102" t="n"/>
      <c r="F408" s="102" t="n"/>
      <c r="G408" s="102" t="n"/>
      <c r="H408" s="102" t="n"/>
      <c r="I408" s="102" t="n"/>
      <c r="J408" s="102" t="n"/>
      <c r="K408" s="102" t="n"/>
      <c r="L408" s="102" t="n"/>
      <c r="M408" s="102" t="n"/>
      <c r="N408" s="102" t="n"/>
      <c r="O408" s="102" t="n"/>
      <c r="P408" s="102" t="n"/>
      <c r="Q408" s="102" t="n"/>
      <c r="R408" s="102" t="n"/>
      <c r="S408" s="102" t="n"/>
      <c r="T408" s="102" t="n"/>
      <c r="U408" s="102" t="n"/>
      <c r="V408" s="102" t="n"/>
      <c r="W408" s="102" t="n"/>
      <c r="X408" s="102" t="n"/>
      <c r="Y408" s="102" t="n"/>
      <c r="Z408" s="102" t="n"/>
      <c r="AA408" s="102" t="n"/>
      <c r="AB408" s="102" t="n"/>
      <c r="AC408" s="102" t="n"/>
      <c r="AD408" s="102" t="n"/>
      <c r="AE408" s="102" t="n"/>
      <c r="AF408" s="102" t="n"/>
      <c r="AG408" s="102" t="n"/>
      <c r="AH408" s="102" t="n"/>
      <c r="AI408" s="102" t="n"/>
      <c r="AJ408" s="102" t="n"/>
      <c r="AK408" s="102" t="n"/>
      <c r="AL408" s="102" t="n"/>
      <c r="AM408" s="102" t="n"/>
      <c r="AN408" s="102" t="n"/>
      <c r="AO408" s="102" t="n"/>
      <c r="AP408" s="102" t="n"/>
      <c r="AQ408" s="102" t="n"/>
      <c r="AR408" s="102" t="n"/>
    </row>
    <row r="409">
      <c r="D409" s="102" t="n"/>
      <c r="E409" s="102" t="n"/>
      <c r="F409" s="102" t="n"/>
      <c r="G409" s="102" t="n"/>
      <c r="H409" s="102" t="n"/>
      <c r="I409" s="102" t="n"/>
      <c r="J409" s="102" t="n"/>
      <c r="K409" s="102" t="n"/>
      <c r="L409" s="102" t="n"/>
      <c r="M409" s="102" t="n"/>
      <c r="N409" s="102" t="n"/>
      <c r="O409" s="102" t="n"/>
      <c r="P409" s="102" t="n"/>
      <c r="Q409" s="102" t="n"/>
      <c r="R409" s="102" t="n"/>
      <c r="S409" s="102" t="n"/>
      <c r="T409" s="102" t="n"/>
      <c r="U409" s="102" t="n"/>
      <c r="V409" s="102" t="n"/>
      <c r="W409" s="102" t="n"/>
      <c r="X409" s="102" t="n"/>
      <c r="Y409" s="102" t="n"/>
      <c r="Z409" s="102" t="n"/>
      <c r="AA409" s="102" t="n"/>
      <c r="AB409" s="102" t="n"/>
      <c r="AC409" s="102" t="n"/>
      <c r="AD409" s="102" t="n"/>
      <c r="AE409" s="102" t="n"/>
      <c r="AF409" s="102" t="n"/>
      <c r="AG409" s="102" t="n"/>
      <c r="AH409" s="102" t="n"/>
      <c r="AI409" s="102" t="n"/>
      <c r="AJ409" s="102" t="n"/>
      <c r="AK409" s="102" t="n"/>
      <c r="AL409" s="102" t="n"/>
      <c r="AM409" s="102" t="n"/>
      <c r="AN409" s="102" t="n"/>
      <c r="AO409" s="102" t="n"/>
      <c r="AP409" s="102" t="n"/>
      <c r="AQ409" s="102" t="n"/>
      <c r="AR409" s="102" t="n"/>
    </row>
    <row r="410">
      <c r="D410" s="160" t="n"/>
      <c r="E410" s="160" t="n"/>
      <c r="F410" s="160" t="n"/>
      <c r="G410" s="160" t="n"/>
      <c r="H410" s="160" t="n"/>
      <c r="I410" s="160" t="n"/>
      <c r="J410" s="160" t="n"/>
      <c r="K410" s="160" t="n"/>
      <c r="L410" s="160" t="n"/>
      <c r="M410" s="160" t="n"/>
      <c r="N410" s="160" t="n"/>
      <c r="O410" s="160" t="n"/>
      <c r="P410" s="160" t="n"/>
      <c r="Q410" s="160" t="n"/>
      <c r="R410" s="160" t="n"/>
      <c r="S410" s="160" t="n"/>
      <c r="T410" s="160" t="n"/>
      <c r="U410" s="160" t="n"/>
      <c r="V410" s="160" t="n"/>
      <c r="W410" s="160" t="n"/>
      <c r="X410" s="160" t="n"/>
      <c r="Y410" s="160" t="n"/>
      <c r="Z410" s="160" t="n"/>
      <c r="AA410" s="160" t="n"/>
      <c r="AB410" s="160" t="n"/>
      <c r="AC410" s="160" t="n"/>
      <c r="AD410" s="160" t="n"/>
      <c r="AE410" s="160" t="n"/>
      <c r="AF410" s="160" t="n"/>
      <c r="AG410" s="160" t="n"/>
      <c r="AH410" s="160" t="n"/>
      <c r="AI410" s="160" t="n"/>
      <c r="AJ410" s="160" t="n"/>
      <c r="AK410" s="160" t="n"/>
      <c r="AL410" s="160" t="n"/>
      <c r="AM410" s="160" t="n"/>
      <c r="AN410" s="160" t="n"/>
      <c r="AO410" s="160" t="n"/>
      <c r="AP410" s="160" t="n"/>
      <c r="AQ410" s="160" t="n"/>
      <c r="AR410" s="160" t="n"/>
    </row>
    <row r="413">
      <c r="A413" s="2">
        <f>IF($A406="","","   projections")</f>
        <v/>
      </c>
      <c r="B413" s="158">
        <f>IF($A406="",0,COUNT($E414:$AR414))</f>
        <v/>
      </c>
      <c r="C413" s="159">
        <f>IF($B413=0,0,MAX($E414:$AR414))</f>
        <v/>
      </c>
      <c r="D413" s="101">
        <f>BDS($A406,FLD_PROJ,"headers=y","startcol=1","endcol=3","dir=h")</f>
        <v/>
      </c>
      <c r="E413" s="102" t="n"/>
      <c r="F413" s="102" t="n"/>
      <c r="G413" s="102" t="n"/>
      <c r="H413" s="102" t="n"/>
      <c r="I413" s="102" t="n"/>
      <c r="J413" s="102" t="n"/>
      <c r="K413" s="102" t="n"/>
      <c r="L413" s="102" t="n"/>
      <c r="M413" s="102" t="n"/>
      <c r="N413" s="102" t="n"/>
      <c r="O413" s="102" t="n"/>
      <c r="P413" s="102" t="n"/>
      <c r="Q413" s="102" t="n"/>
      <c r="R413" s="102" t="n"/>
      <c r="S413" s="102" t="n"/>
      <c r="T413" s="102" t="n"/>
      <c r="U413" s="102" t="n"/>
      <c r="V413" s="102" t="n"/>
      <c r="W413" s="102" t="n"/>
      <c r="X413" s="102" t="n"/>
      <c r="Y413" s="102" t="n"/>
      <c r="Z413" s="102" t="n"/>
      <c r="AA413" s="102" t="n"/>
      <c r="AB413" s="102" t="n"/>
      <c r="AC413" s="102" t="n"/>
      <c r="AD413" s="102" t="n"/>
      <c r="AE413" s="102" t="n"/>
      <c r="AF413" s="102" t="n"/>
      <c r="AG413" s="102" t="n"/>
      <c r="AH413" s="102" t="n"/>
      <c r="AI413" s="102" t="n"/>
      <c r="AJ413" s="102" t="n"/>
      <c r="AK413" s="102" t="n"/>
      <c r="AL413" s="102" t="n"/>
      <c r="AM413" s="102" t="n"/>
      <c r="AN413" s="102" t="n"/>
      <c r="AO413" s="102" t="n"/>
      <c r="AP413" s="102" t="n"/>
      <c r="AQ413" s="102" t="n"/>
      <c r="AR413" s="102" t="n"/>
    </row>
    <row r="414">
      <c r="D414" s="102" t="n"/>
      <c r="E414" s="102" t="n"/>
      <c r="F414" s="102" t="n"/>
      <c r="G414" s="102" t="n"/>
      <c r="H414" s="102" t="n"/>
      <c r="I414" s="102" t="n"/>
      <c r="J414" s="102" t="n"/>
      <c r="K414" s="102" t="n"/>
      <c r="L414" s="102" t="n"/>
      <c r="M414" s="102" t="n"/>
      <c r="N414" s="102" t="n"/>
      <c r="O414" s="102" t="n"/>
      <c r="P414" s="102" t="n"/>
      <c r="Q414" s="102" t="n"/>
      <c r="R414" s="102" t="n"/>
      <c r="S414" s="102" t="n"/>
      <c r="T414" s="102" t="n"/>
      <c r="U414" s="102" t="n"/>
      <c r="V414" s="102" t="n"/>
      <c r="W414" s="102" t="n"/>
      <c r="X414" s="102" t="n"/>
      <c r="Y414" s="102" t="n"/>
      <c r="Z414" s="102" t="n"/>
      <c r="AA414" s="102" t="n"/>
      <c r="AB414" s="102" t="n"/>
      <c r="AC414" s="102" t="n"/>
      <c r="AD414" s="102" t="n"/>
      <c r="AE414" s="102" t="n"/>
      <c r="AF414" s="102" t="n"/>
      <c r="AG414" s="102" t="n"/>
      <c r="AH414" s="102" t="n"/>
      <c r="AI414" s="102" t="n"/>
      <c r="AJ414" s="102" t="n"/>
      <c r="AK414" s="102" t="n"/>
      <c r="AL414" s="102" t="n"/>
      <c r="AM414" s="102" t="n"/>
      <c r="AN414" s="102" t="n"/>
      <c r="AO414" s="102" t="n"/>
      <c r="AP414" s="102" t="n"/>
      <c r="AQ414" s="102" t="n"/>
      <c r="AR414" s="102" t="n"/>
    </row>
    <row r="415">
      <c r="D415" s="160" t="n"/>
      <c r="E415" s="160" t="n"/>
      <c r="F415" s="160" t="n"/>
      <c r="G415" s="160" t="n"/>
      <c r="H415" s="160" t="n"/>
      <c r="I415" s="160" t="n"/>
      <c r="J415" s="160" t="n"/>
      <c r="K415" s="160" t="n"/>
      <c r="L415" s="160" t="n"/>
      <c r="M415" s="160" t="n"/>
      <c r="N415" s="160" t="n"/>
      <c r="O415" s="160" t="n"/>
      <c r="P415" s="160" t="n"/>
      <c r="Q415" s="160" t="n"/>
      <c r="R415" s="160" t="n"/>
      <c r="S415" s="160" t="n"/>
      <c r="T415" s="160" t="n"/>
      <c r="U415" s="160" t="n"/>
      <c r="V415" s="160" t="n"/>
      <c r="W415" s="160" t="n"/>
      <c r="X415" s="160" t="n"/>
      <c r="Y415" s="160" t="n"/>
      <c r="Z415" s="160" t="n"/>
      <c r="AA415" s="160" t="n"/>
      <c r="AB415" s="160" t="n"/>
      <c r="AC415" s="160" t="n"/>
      <c r="AD415" s="160" t="n"/>
      <c r="AE415" s="160" t="n"/>
      <c r="AF415" s="160" t="n"/>
      <c r="AG415" s="160" t="n"/>
      <c r="AH415" s="160" t="n"/>
      <c r="AI415" s="160" t="n"/>
      <c r="AJ415" s="160" t="n"/>
      <c r="AK415" s="160" t="n"/>
      <c r="AL415" s="160" t="n"/>
      <c r="AM415" s="160" t="n"/>
      <c r="AN415" s="160" t="n"/>
      <c r="AO415" s="160" t="n"/>
      <c r="AP415" s="160" t="n"/>
      <c r="AQ415" s="160" t="n"/>
      <c r="AR415" s="160" t="n"/>
    </row>
    <row r="417">
      <c r="A417" s="8">
        <f>IF(HSI!$C$44="","",HSI!$C$44)</f>
        <v/>
      </c>
      <c r="B417" s="158">
        <f>IF($A417="",0,COUNT($E418:$AR418))</f>
        <v/>
      </c>
      <c r="C417" s="159">
        <f>IF($B417=0,0,MAX($E418:$AR418))</f>
        <v/>
      </c>
      <c r="D417" s="101">
        <f>BDS($A417,FLD_HIST,"headers=y","startcol=1","endcol=7","dir=h","DVD_START_DT",HIST_FROM,"DVD_END_DT",HIST_TO)</f>
        <v/>
      </c>
      <c r="E417" s="102" t="n"/>
      <c r="F417" s="102" t="n"/>
      <c r="G417" s="102" t="n"/>
      <c r="H417" s="102" t="n"/>
      <c r="I417" s="102" t="n"/>
      <c r="J417" s="102" t="n"/>
      <c r="K417" s="102" t="n"/>
      <c r="L417" s="102" t="n"/>
      <c r="M417" s="102" t="n"/>
      <c r="N417" s="102" t="n"/>
      <c r="O417" s="102" t="n"/>
      <c r="P417" s="102" t="n"/>
      <c r="Q417" s="102" t="n"/>
      <c r="R417" s="102" t="n"/>
      <c r="S417" s="102" t="n"/>
      <c r="T417" s="102" t="n"/>
      <c r="U417" s="102" t="n"/>
      <c r="V417" s="102" t="n"/>
      <c r="W417" s="102" t="n"/>
      <c r="X417" s="102" t="n"/>
      <c r="Y417" s="102" t="n"/>
      <c r="Z417" s="102" t="n"/>
      <c r="AA417" s="102" t="n"/>
      <c r="AB417" s="102" t="n"/>
      <c r="AC417" s="102" t="n"/>
      <c r="AD417" s="102" t="n"/>
      <c r="AE417" s="102" t="n"/>
      <c r="AF417" s="102" t="n"/>
      <c r="AG417" s="102" t="n"/>
      <c r="AH417" s="102" t="n"/>
      <c r="AI417" s="102" t="n"/>
      <c r="AJ417" s="102" t="n"/>
      <c r="AK417" s="102" t="n"/>
      <c r="AL417" s="102" t="n"/>
      <c r="AM417" s="102" t="n"/>
      <c r="AN417" s="102" t="n"/>
      <c r="AO417" s="102" t="n"/>
      <c r="AP417" s="102" t="n"/>
      <c r="AQ417" s="102" t="n"/>
      <c r="AR417" s="102" t="n"/>
    </row>
    <row r="418">
      <c r="D418" s="102" t="n"/>
      <c r="E418" s="102" t="n"/>
      <c r="F418" s="102" t="n"/>
      <c r="G418" s="102" t="n"/>
      <c r="H418" s="102" t="n"/>
      <c r="I418" s="102" t="n"/>
      <c r="J418" s="102" t="n"/>
      <c r="K418" s="102" t="n"/>
      <c r="L418" s="102" t="n"/>
      <c r="M418" s="102" t="n"/>
      <c r="N418" s="102" t="n"/>
      <c r="O418" s="102" t="n"/>
      <c r="P418" s="102" t="n"/>
      <c r="Q418" s="102" t="n"/>
      <c r="R418" s="102" t="n"/>
      <c r="S418" s="102" t="n"/>
      <c r="T418" s="102" t="n"/>
      <c r="U418" s="102" t="n"/>
      <c r="V418" s="102" t="n"/>
      <c r="W418" s="102" t="n"/>
      <c r="X418" s="102" t="n"/>
      <c r="Y418" s="102" t="n"/>
      <c r="Z418" s="102" t="n"/>
      <c r="AA418" s="102" t="n"/>
      <c r="AB418" s="102" t="n"/>
      <c r="AC418" s="102" t="n"/>
      <c r="AD418" s="102" t="n"/>
      <c r="AE418" s="102" t="n"/>
      <c r="AF418" s="102" t="n"/>
      <c r="AG418" s="102" t="n"/>
      <c r="AH418" s="102" t="n"/>
      <c r="AI418" s="102" t="n"/>
      <c r="AJ418" s="102" t="n"/>
      <c r="AK418" s="102" t="n"/>
      <c r="AL418" s="102" t="n"/>
      <c r="AM418" s="102" t="n"/>
      <c r="AN418" s="102" t="n"/>
      <c r="AO418" s="102" t="n"/>
      <c r="AP418" s="102" t="n"/>
      <c r="AQ418" s="102" t="n"/>
      <c r="AR418" s="102" t="n"/>
    </row>
    <row r="419">
      <c r="D419" s="102" t="n"/>
      <c r="E419" s="102" t="n"/>
      <c r="F419" s="102" t="n"/>
      <c r="G419" s="102" t="n"/>
      <c r="H419" s="102" t="n"/>
      <c r="I419" s="102" t="n"/>
      <c r="J419" s="102" t="n"/>
      <c r="K419" s="102" t="n"/>
      <c r="L419" s="102" t="n"/>
      <c r="M419" s="102" t="n"/>
      <c r="N419" s="102" t="n"/>
      <c r="O419" s="102" t="n"/>
      <c r="P419" s="102" t="n"/>
      <c r="Q419" s="102" t="n"/>
      <c r="R419" s="102" t="n"/>
      <c r="S419" s="102" t="n"/>
      <c r="T419" s="102" t="n"/>
      <c r="U419" s="102" t="n"/>
      <c r="V419" s="102" t="n"/>
      <c r="W419" s="102" t="n"/>
      <c r="X419" s="102" t="n"/>
      <c r="Y419" s="102" t="n"/>
      <c r="Z419" s="102" t="n"/>
      <c r="AA419" s="102" t="n"/>
      <c r="AB419" s="102" t="n"/>
      <c r="AC419" s="102" t="n"/>
      <c r="AD419" s="102" t="n"/>
      <c r="AE419" s="102" t="n"/>
      <c r="AF419" s="102" t="n"/>
      <c r="AG419" s="102" t="n"/>
      <c r="AH419" s="102" t="n"/>
      <c r="AI419" s="102" t="n"/>
      <c r="AJ419" s="102" t="n"/>
      <c r="AK419" s="102" t="n"/>
      <c r="AL419" s="102" t="n"/>
      <c r="AM419" s="102" t="n"/>
      <c r="AN419" s="102" t="n"/>
      <c r="AO419" s="102" t="n"/>
      <c r="AP419" s="102" t="n"/>
      <c r="AQ419" s="102" t="n"/>
      <c r="AR419" s="102" t="n"/>
    </row>
    <row r="420">
      <c r="D420" s="102" t="n"/>
      <c r="E420" s="102" t="n"/>
      <c r="F420" s="102" t="n"/>
      <c r="G420" s="102" t="n"/>
      <c r="H420" s="102" t="n"/>
      <c r="I420" s="102" t="n"/>
      <c r="J420" s="102" t="n"/>
      <c r="K420" s="102" t="n"/>
      <c r="L420" s="102" t="n"/>
      <c r="M420" s="102" t="n"/>
      <c r="N420" s="102" t="n"/>
      <c r="O420" s="102" t="n"/>
      <c r="P420" s="102" t="n"/>
      <c r="Q420" s="102" t="n"/>
      <c r="R420" s="102" t="n"/>
      <c r="S420" s="102" t="n"/>
      <c r="T420" s="102" t="n"/>
      <c r="U420" s="102" t="n"/>
      <c r="V420" s="102" t="n"/>
      <c r="W420" s="102" t="n"/>
      <c r="X420" s="102" t="n"/>
      <c r="Y420" s="102" t="n"/>
      <c r="Z420" s="102" t="n"/>
      <c r="AA420" s="102" t="n"/>
      <c r="AB420" s="102" t="n"/>
      <c r="AC420" s="102" t="n"/>
      <c r="AD420" s="102" t="n"/>
      <c r="AE420" s="102" t="n"/>
      <c r="AF420" s="102" t="n"/>
      <c r="AG420" s="102" t="n"/>
      <c r="AH420" s="102" t="n"/>
      <c r="AI420" s="102" t="n"/>
      <c r="AJ420" s="102" t="n"/>
      <c r="AK420" s="102" t="n"/>
      <c r="AL420" s="102" t="n"/>
      <c r="AM420" s="102" t="n"/>
      <c r="AN420" s="102" t="n"/>
      <c r="AO420" s="102" t="n"/>
      <c r="AP420" s="102" t="n"/>
      <c r="AQ420" s="102" t="n"/>
      <c r="AR420" s="102" t="n"/>
    </row>
    <row r="421">
      <c r="D421" s="160" t="n"/>
      <c r="E421" s="160" t="n"/>
      <c r="F421" s="160" t="n"/>
      <c r="G421" s="160" t="n"/>
      <c r="H421" s="160" t="n"/>
      <c r="I421" s="160" t="n"/>
      <c r="J421" s="160" t="n"/>
      <c r="K421" s="160" t="n"/>
      <c r="L421" s="160" t="n"/>
      <c r="M421" s="160" t="n"/>
      <c r="N421" s="160" t="n"/>
      <c r="O421" s="160" t="n"/>
      <c r="P421" s="160" t="n"/>
      <c r="Q421" s="160" t="n"/>
      <c r="R421" s="160" t="n"/>
      <c r="S421" s="160" t="n"/>
      <c r="T421" s="160" t="n"/>
      <c r="U421" s="160" t="n"/>
      <c r="V421" s="160" t="n"/>
      <c r="W421" s="160" t="n"/>
      <c r="X421" s="160" t="n"/>
      <c r="Y421" s="160" t="n"/>
      <c r="Z421" s="160" t="n"/>
      <c r="AA421" s="160" t="n"/>
      <c r="AB421" s="160" t="n"/>
      <c r="AC421" s="160" t="n"/>
      <c r="AD421" s="160" t="n"/>
      <c r="AE421" s="160" t="n"/>
      <c r="AF421" s="160" t="n"/>
      <c r="AG421" s="160" t="n"/>
      <c r="AH421" s="160" t="n"/>
      <c r="AI421" s="160" t="n"/>
      <c r="AJ421" s="160" t="n"/>
      <c r="AK421" s="160" t="n"/>
      <c r="AL421" s="160" t="n"/>
      <c r="AM421" s="160" t="n"/>
      <c r="AN421" s="160" t="n"/>
      <c r="AO421" s="160" t="n"/>
      <c r="AP421" s="160" t="n"/>
      <c r="AQ421" s="160" t="n"/>
      <c r="AR421" s="160" t="n"/>
    </row>
    <row r="424">
      <c r="A424" s="2">
        <f>IF($A417="","","   projections")</f>
        <v/>
      </c>
      <c r="B424" s="158">
        <f>IF($A417="",0,COUNT($E425:$AR425))</f>
        <v/>
      </c>
      <c r="C424" s="159">
        <f>IF($B424=0,0,MAX($E425:$AR425))</f>
        <v/>
      </c>
      <c r="D424" s="101">
        <f>BDS($A417,FLD_PROJ,"headers=y","startcol=1","endcol=3","dir=h")</f>
        <v/>
      </c>
      <c r="E424" s="102" t="n"/>
      <c r="F424" s="102" t="n"/>
      <c r="G424" s="102" t="n"/>
      <c r="H424" s="102" t="n"/>
      <c r="I424" s="102" t="n"/>
      <c r="J424" s="102" t="n"/>
      <c r="K424" s="102" t="n"/>
      <c r="L424" s="102" t="n"/>
      <c r="M424" s="102" t="n"/>
      <c r="N424" s="102" t="n"/>
      <c r="O424" s="102" t="n"/>
      <c r="P424" s="102" t="n"/>
      <c r="Q424" s="102" t="n"/>
      <c r="R424" s="102" t="n"/>
      <c r="S424" s="102" t="n"/>
      <c r="T424" s="102" t="n"/>
      <c r="U424" s="102" t="n"/>
      <c r="V424" s="102" t="n"/>
      <c r="W424" s="102" t="n"/>
      <c r="X424" s="102" t="n"/>
      <c r="Y424" s="102" t="n"/>
      <c r="Z424" s="102" t="n"/>
      <c r="AA424" s="102" t="n"/>
      <c r="AB424" s="102" t="n"/>
      <c r="AC424" s="102" t="n"/>
      <c r="AD424" s="102" t="n"/>
      <c r="AE424" s="102" t="n"/>
      <c r="AF424" s="102" t="n"/>
      <c r="AG424" s="102" t="n"/>
      <c r="AH424" s="102" t="n"/>
      <c r="AI424" s="102" t="n"/>
      <c r="AJ424" s="102" t="n"/>
      <c r="AK424" s="102" t="n"/>
      <c r="AL424" s="102" t="n"/>
      <c r="AM424" s="102" t="n"/>
      <c r="AN424" s="102" t="n"/>
      <c r="AO424" s="102" t="n"/>
      <c r="AP424" s="102" t="n"/>
      <c r="AQ424" s="102" t="n"/>
      <c r="AR424" s="102" t="n"/>
    </row>
    <row r="425">
      <c r="D425" s="102" t="n"/>
      <c r="E425" s="102" t="n"/>
      <c r="F425" s="102" t="n"/>
      <c r="G425" s="102" t="n"/>
      <c r="H425" s="102" t="n"/>
      <c r="I425" s="102" t="n"/>
      <c r="J425" s="102" t="n"/>
      <c r="K425" s="102" t="n"/>
      <c r="L425" s="102" t="n"/>
      <c r="M425" s="102" t="n"/>
      <c r="N425" s="102" t="n"/>
      <c r="O425" s="102" t="n"/>
      <c r="P425" s="102" t="n"/>
      <c r="Q425" s="102" t="n"/>
      <c r="R425" s="102" t="n"/>
      <c r="S425" s="102" t="n"/>
      <c r="T425" s="102" t="n"/>
      <c r="U425" s="102" t="n"/>
      <c r="V425" s="102" t="n"/>
      <c r="W425" s="102" t="n"/>
      <c r="X425" s="102" t="n"/>
      <c r="Y425" s="102" t="n"/>
      <c r="Z425" s="102" t="n"/>
      <c r="AA425" s="102" t="n"/>
      <c r="AB425" s="102" t="n"/>
      <c r="AC425" s="102" t="n"/>
      <c r="AD425" s="102" t="n"/>
      <c r="AE425" s="102" t="n"/>
      <c r="AF425" s="102" t="n"/>
      <c r="AG425" s="102" t="n"/>
      <c r="AH425" s="102" t="n"/>
      <c r="AI425" s="102" t="n"/>
      <c r="AJ425" s="102" t="n"/>
      <c r="AK425" s="102" t="n"/>
      <c r="AL425" s="102" t="n"/>
      <c r="AM425" s="102" t="n"/>
      <c r="AN425" s="102" t="n"/>
      <c r="AO425" s="102" t="n"/>
      <c r="AP425" s="102" t="n"/>
      <c r="AQ425" s="102" t="n"/>
      <c r="AR425" s="102" t="n"/>
    </row>
    <row r="426">
      <c r="D426" s="160" t="n"/>
      <c r="E426" s="160" t="n"/>
      <c r="F426" s="160" t="n"/>
      <c r="G426" s="160" t="n"/>
      <c r="H426" s="160" t="n"/>
      <c r="I426" s="160" t="n"/>
      <c r="J426" s="160" t="n"/>
      <c r="K426" s="160" t="n"/>
      <c r="L426" s="160" t="n"/>
      <c r="M426" s="160" t="n"/>
      <c r="N426" s="160" t="n"/>
      <c r="O426" s="160" t="n"/>
      <c r="P426" s="160" t="n"/>
      <c r="Q426" s="160" t="n"/>
      <c r="R426" s="160" t="n"/>
      <c r="S426" s="160" t="n"/>
      <c r="T426" s="160" t="n"/>
      <c r="U426" s="160" t="n"/>
      <c r="V426" s="160" t="n"/>
      <c r="W426" s="160" t="n"/>
      <c r="X426" s="160" t="n"/>
      <c r="Y426" s="160" t="n"/>
      <c r="Z426" s="160" t="n"/>
      <c r="AA426" s="160" t="n"/>
      <c r="AB426" s="160" t="n"/>
      <c r="AC426" s="160" t="n"/>
      <c r="AD426" s="160" t="n"/>
      <c r="AE426" s="160" t="n"/>
      <c r="AF426" s="160" t="n"/>
      <c r="AG426" s="160" t="n"/>
      <c r="AH426" s="160" t="n"/>
      <c r="AI426" s="160" t="n"/>
      <c r="AJ426" s="160" t="n"/>
      <c r="AK426" s="160" t="n"/>
      <c r="AL426" s="160" t="n"/>
      <c r="AM426" s="160" t="n"/>
      <c r="AN426" s="160" t="n"/>
      <c r="AO426" s="160" t="n"/>
      <c r="AP426" s="160" t="n"/>
      <c r="AQ426" s="160" t="n"/>
      <c r="AR426" s="160" t="n"/>
    </row>
    <row r="428">
      <c r="A428" s="8">
        <f>IF(HSI!$C$45="","",HSI!$C$45)</f>
        <v/>
      </c>
      <c r="B428" s="158">
        <f>IF($A428="",0,COUNT($E429:$AR429))</f>
        <v/>
      </c>
      <c r="C428" s="159">
        <f>IF($B428=0,0,MAX($E429:$AR429))</f>
        <v/>
      </c>
      <c r="D428" s="101">
        <f>BDS($A428,FLD_HIST,"headers=y","startcol=1","endcol=7","dir=h","DVD_START_DT",HIST_FROM,"DVD_END_DT",HIST_TO)</f>
        <v/>
      </c>
      <c r="E428" s="102" t="n"/>
      <c r="F428" s="102" t="n"/>
      <c r="G428" s="102" t="n"/>
      <c r="H428" s="102" t="n"/>
      <c r="I428" s="102" t="n"/>
      <c r="J428" s="102" t="n"/>
      <c r="K428" s="102" t="n"/>
      <c r="L428" s="102" t="n"/>
      <c r="M428" s="102" t="n"/>
      <c r="N428" s="102" t="n"/>
      <c r="O428" s="102" t="n"/>
      <c r="P428" s="102" t="n"/>
      <c r="Q428" s="102" t="n"/>
      <c r="R428" s="102" t="n"/>
      <c r="S428" s="102" t="n"/>
      <c r="T428" s="102" t="n"/>
      <c r="U428" s="102" t="n"/>
      <c r="V428" s="102" t="n"/>
      <c r="W428" s="102" t="n"/>
      <c r="X428" s="102" t="n"/>
      <c r="Y428" s="102" t="n"/>
      <c r="Z428" s="102" t="n"/>
      <c r="AA428" s="102" t="n"/>
      <c r="AB428" s="102" t="n"/>
      <c r="AC428" s="102" t="n"/>
      <c r="AD428" s="102" t="n"/>
      <c r="AE428" s="102" t="n"/>
      <c r="AF428" s="102" t="n"/>
      <c r="AG428" s="102" t="n"/>
      <c r="AH428" s="102" t="n"/>
      <c r="AI428" s="102" t="n"/>
      <c r="AJ428" s="102" t="n"/>
      <c r="AK428" s="102" t="n"/>
      <c r="AL428" s="102" t="n"/>
      <c r="AM428" s="102" t="n"/>
      <c r="AN428" s="102" t="n"/>
      <c r="AO428" s="102" t="n"/>
      <c r="AP428" s="102" t="n"/>
      <c r="AQ428" s="102" t="n"/>
      <c r="AR428" s="102" t="n"/>
    </row>
    <row r="429">
      <c r="D429" s="102" t="n"/>
      <c r="E429" s="102" t="n"/>
      <c r="F429" s="102" t="n"/>
      <c r="G429" s="102" t="n"/>
      <c r="H429" s="102" t="n"/>
      <c r="I429" s="102" t="n"/>
      <c r="J429" s="102" t="n"/>
      <c r="K429" s="102" t="n"/>
      <c r="L429" s="102" t="n"/>
      <c r="M429" s="102" t="n"/>
      <c r="N429" s="102" t="n"/>
      <c r="O429" s="102" t="n"/>
      <c r="P429" s="102" t="n"/>
      <c r="Q429" s="102" t="n"/>
      <c r="R429" s="102" t="n"/>
      <c r="S429" s="102" t="n"/>
      <c r="T429" s="102" t="n"/>
      <c r="U429" s="102" t="n"/>
      <c r="V429" s="102" t="n"/>
      <c r="W429" s="102" t="n"/>
      <c r="X429" s="102" t="n"/>
      <c r="Y429" s="102" t="n"/>
      <c r="Z429" s="102" t="n"/>
      <c r="AA429" s="102" t="n"/>
      <c r="AB429" s="102" t="n"/>
      <c r="AC429" s="102" t="n"/>
      <c r="AD429" s="102" t="n"/>
      <c r="AE429" s="102" t="n"/>
      <c r="AF429" s="102" t="n"/>
      <c r="AG429" s="102" t="n"/>
      <c r="AH429" s="102" t="n"/>
      <c r="AI429" s="102" t="n"/>
      <c r="AJ429" s="102" t="n"/>
      <c r="AK429" s="102" t="n"/>
      <c r="AL429" s="102" t="n"/>
      <c r="AM429" s="102" t="n"/>
      <c r="AN429" s="102" t="n"/>
      <c r="AO429" s="102" t="n"/>
      <c r="AP429" s="102" t="n"/>
      <c r="AQ429" s="102" t="n"/>
      <c r="AR429" s="102" t="n"/>
    </row>
    <row r="430">
      <c r="D430" s="102" t="n"/>
      <c r="E430" s="102" t="n"/>
      <c r="F430" s="102" t="n"/>
      <c r="G430" s="102" t="n"/>
      <c r="H430" s="102" t="n"/>
      <c r="I430" s="102" t="n"/>
      <c r="J430" s="102" t="n"/>
      <c r="K430" s="102" t="n"/>
      <c r="L430" s="102" t="n"/>
      <c r="M430" s="102" t="n"/>
      <c r="N430" s="102" t="n"/>
      <c r="O430" s="102" t="n"/>
      <c r="P430" s="102" t="n"/>
      <c r="Q430" s="102" t="n"/>
      <c r="R430" s="102" t="n"/>
      <c r="S430" s="102" t="n"/>
      <c r="T430" s="102" t="n"/>
      <c r="U430" s="102" t="n"/>
      <c r="V430" s="102" t="n"/>
      <c r="W430" s="102" t="n"/>
      <c r="X430" s="102" t="n"/>
      <c r="Y430" s="102" t="n"/>
      <c r="Z430" s="102" t="n"/>
      <c r="AA430" s="102" t="n"/>
      <c r="AB430" s="102" t="n"/>
      <c r="AC430" s="102" t="n"/>
      <c r="AD430" s="102" t="n"/>
      <c r="AE430" s="102" t="n"/>
      <c r="AF430" s="102" t="n"/>
      <c r="AG430" s="102" t="n"/>
      <c r="AH430" s="102" t="n"/>
      <c r="AI430" s="102" t="n"/>
      <c r="AJ430" s="102" t="n"/>
      <c r="AK430" s="102" t="n"/>
      <c r="AL430" s="102" t="n"/>
      <c r="AM430" s="102" t="n"/>
      <c r="AN430" s="102" t="n"/>
      <c r="AO430" s="102" t="n"/>
      <c r="AP430" s="102" t="n"/>
      <c r="AQ430" s="102" t="n"/>
      <c r="AR430" s="102" t="n"/>
    </row>
    <row r="431">
      <c r="D431" s="102" t="n"/>
      <c r="E431" s="102" t="n"/>
      <c r="F431" s="102" t="n"/>
      <c r="G431" s="102" t="n"/>
      <c r="H431" s="102" t="n"/>
      <c r="I431" s="102" t="n"/>
      <c r="J431" s="102" t="n"/>
      <c r="K431" s="102" t="n"/>
      <c r="L431" s="102" t="n"/>
      <c r="M431" s="102" t="n"/>
      <c r="N431" s="102" t="n"/>
      <c r="O431" s="102" t="n"/>
      <c r="P431" s="102" t="n"/>
      <c r="Q431" s="102" t="n"/>
      <c r="R431" s="102" t="n"/>
      <c r="S431" s="102" t="n"/>
      <c r="T431" s="102" t="n"/>
      <c r="U431" s="102" t="n"/>
      <c r="V431" s="102" t="n"/>
      <c r="W431" s="102" t="n"/>
      <c r="X431" s="102" t="n"/>
      <c r="Y431" s="102" t="n"/>
      <c r="Z431" s="102" t="n"/>
      <c r="AA431" s="102" t="n"/>
      <c r="AB431" s="102" t="n"/>
      <c r="AC431" s="102" t="n"/>
      <c r="AD431" s="102" t="n"/>
      <c r="AE431" s="102" t="n"/>
      <c r="AF431" s="102" t="n"/>
      <c r="AG431" s="102" t="n"/>
      <c r="AH431" s="102" t="n"/>
      <c r="AI431" s="102" t="n"/>
      <c r="AJ431" s="102" t="n"/>
      <c r="AK431" s="102" t="n"/>
      <c r="AL431" s="102" t="n"/>
      <c r="AM431" s="102" t="n"/>
      <c r="AN431" s="102" t="n"/>
      <c r="AO431" s="102" t="n"/>
      <c r="AP431" s="102" t="n"/>
      <c r="AQ431" s="102" t="n"/>
      <c r="AR431" s="102" t="n"/>
    </row>
    <row r="432">
      <c r="D432" s="160" t="n"/>
      <c r="E432" s="160" t="n"/>
      <c r="F432" s="160" t="n"/>
      <c r="G432" s="160" t="n"/>
      <c r="H432" s="160" t="n"/>
      <c r="I432" s="160" t="n"/>
      <c r="J432" s="160" t="n"/>
      <c r="K432" s="160" t="n"/>
      <c r="L432" s="160" t="n"/>
      <c r="M432" s="160" t="n"/>
      <c r="N432" s="160" t="n"/>
      <c r="O432" s="160" t="n"/>
      <c r="P432" s="160" t="n"/>
      <c r="Q432" s="160" t="n"/>
      <c r="R432" s="160" t="n"/>
      <c r="S432" s="160" t="n"/>
      <c r="T432" s="160" t="n"/>
      <c r="U432" s="160" t="n"/>
      <c r="V432" s="160" t="n"/>
      <c r="W432" s="160" t="n"/>
      <c r="X432" s="160" t="n"/>
      <c r="Y432" s="160" t="n"/>
      <c r="Z432" s="160" t="n"/>
      <c r="AA432" s="160" t="n"/>
      <c r="AB432" s="160" t="n"/>
      <c r="AC432" s="160" t="n"/>
      <c r="AD432" s="160" t="n"/>
      <c r="AE432" s="160" t="n"/>
      <c r="AF432" s="160" t="n"/>
      <c r="AG432" s="160" t="n"/>
      <c r="AH432" s="160" t="n"/>
      <c r="AI432" s="160" t="n"/>
      <c r="AJ432" s="160" t="n"/>
      <c r="AK432" s="160" t="n"/>
      <c r="AL432" s="160" t="n"/>
      <c r="AM432" s="160" t="n"/>
      <c r="AN432" s="160" t="n"/>
      <c r="AO432" s="160" t="n"/>
      <c r="AP432" s="160" t="n"/>
      <c r="AQ432" s="160" t="n"/>
      <c r="AR432" s="160" t="n"/>
    </row>
    <row r="435">
      <c r="A435" s="2">
        <f>IF($A428="","","   projections")</f>
        <v/>
      </c>
      <c r="B435" s="158">
        <f>IF($A428="",0,COUNT($E436:$AR436))</f>
        <v/>
      </c>
      <c r="C435" s="159">
        <f>IF($B435=0,0,MAX($E436:$AR436))</f>
        <v/>
      </c>
      <c r="D435" s="101">
        <f>BDS($A428,FLD_PROJ,"headers=y","startcol=1","endcol=3","dir=h")</f>
        <v/>
      </c>
      <c r="E435" s="102" t="n"/>
      <c r="F435" s="102" t="n"/>
      <c r="G435" s="102" t="n"/>
      <c r="H435" s="102" t="n"/>
      <c r="I435" s="102" t="n"/>
      <c r="J435" s="102" t="n"/>
      <c r="K435" s="102" t="n"/>
      <c r="L435" s="102" t="n"/>
      <c r="M435" s="102" t="n"/>
      <c r="N435" s="102" t="n"/>
      <c r="O435" s="102" t="n"/>
      <c r="P435" s="102" t="n"/>
      <c r="Q435" s="102" t="n"/>
      <c r="R435" s="102" t="n"/>
      <c r="S435" s="102" t="n"/>
      <c r="T435" s="102" t="n"/>
      <c r="U435" s="102" t="n"/>
      <c r="V435" s="102" t="n"/>
      <c r="W435" s="102" t="n"/>
      <c r="X435" s="102" t="n"/>
      <c r="Y435" s="102" t="n"/>
      <c r="Z435" s="102" t="n"/>
      <c r="AA435" s="102" t="n"/>
      <c r="AB435" s="102" t="n"/>
      <c r="AC435" s="102" t="n"/>
      <c r="AD435" s="102" t="n"/>
      <c r="AE435" s="102" t="n"/>
      <c r="AF435" s="102" t="n"/>
      <c r="AG435" s="102" t="n"/>
      <c r="AH435" s="102" t="n"/>
      <c r="AI435" s="102" t="n"/>
      <c r="AJ435" s="102" t="n"/>
      <c r="AK435" s="102" t="n"/>
      <c r="AL435" s="102" t="n"/>
      <c r="AM435" s="102" t="n"/>
      <c r="AN435" s="102" t="n"/>
      <c r="AO435" s="102" t="n"/>
      <c r="AP435" s="102" t="n"/>
      <c r="AQ435" s="102" t="n"/>
      <c r="AR435" s="102" t="n"/>
    </row>
    <row r="436">
      <c r="D436" s="102" t="n"/>
      <c r="E436" s="102" t="n"/>
      <c r="F436" s="102" t="n"/>
      <c r="G436" s="102" t="n"/>
      <c r="H436" s="102" t="n"/>
      <c r="I436" s="102" t="n"/>
      <c r="J436" s="102" t="n"/>
      <c r="K436" s="102" t="n"/>
      <c r="L436" s="102" t="n"/>
      <c r="M436" s="102" t="n"/>
      <c r="N436" s="102" t="n"/>
      <c r="O436" s="102" t="n"/>
      <c r="P436" s="102" t="n"/>
      <c r="Q436" s="102" t="n"/>
      <c r="R436" s="102" t="n"/>
      <c r="S436" s="102" t="n"/>
      <c r="T436" s="102" t="n"/>
      <c r="U436" s="102" t="n"/>
      <c r="V436" s="102" t="n"/>
      <c r="W436" s="102" t="n"/>
      <c r="X436" s="102" t="n"/>
      <c r="Y436" s="102" t="n"/>
      <c r="Z436" s="102" t="n"/>
      <c r="AA436" s="102" t="n"/>
      <c r="AB436" s="102" t="n"/>
      <c r="AC436" s="102" t="n"/>
      <c r="AD436" s="102" t="n"/>
      <c r="AE436" s="102" t="n"/>
      <c r="AF436" s="102" t="n"/>
      <c r="AG436" s="102" t="n"/>
      <c r="AH436" s="102" t="n"/>
      <c r="AI436" s="102" t="n"/>
      <c r="AJ436" s="102" t="n"/>
      <c r="AK436" s="102" t="n"/>
      <c r="AL436" s="102" t="n"/>
      <c r="AM436" s="102" t="n"/>
      <c r="AN436" s="102" t="n"/>
      <c r="AO436" s="102" t="n"/>
      <c r="AP436" s="102" t="n"/>
      <c r="AQ436" s="102" t="n"/>
      <c r="AR436" s="102" t="n"/>
    </row>
    <row r="437">
      <c r="D437" s="160" t="n"/>
      <c r="E437" s="160" t="n"/>
      <c r="F437" s="160" t="n"/>
      <c r="G437" s="160" t="n"/>
      <c r="H437" s="160" t="n"/>
      <c r="I437" s="160" t="n"/>
      <c r="J437" s="160" t="n"/>
      <c r="K437" s="160" t="n"/>
      <c r="L437" s="160" t="n"/>
      <c r="M437" s="160" t="n"/>
      <c r="N437" s="160" t="n"/>
      <c r="O437" s="160" t="n"/>
      <c r="P437" s="160" t="n"/>
      <c r="Q437" s="160" t="n"/>
      <c r="R437" s="160" t="n"/>
      <c r="S437" s="160" t="n"/>
      <c r="T437" s="160" t="n"/>
      <c r="U437" s="160" t="n"/>
      <c r="V437" s="160" t="n"/>
      <c r="W437" s="160" t="n"/>
      <c r="X437" s="160" t="n"/>
      <c r="Y437" s="160" t="n"/>
      <c r="Z437" s="160" t="n"/>
      <c r="AA437" s="160" t="n"/>
      <c r="AB437" s="160" t="n"/>
      <c r="AC437" s="160" t="n"/>
      <c r="AD437" s="160" t="n"/>
      <c r="AE437" s="160" t="n"/>
      <c r="AF437" s="160" t="n"/>
      <c r="AG437" s="160" t="n"/>
      <c r="AH437" s="160" t="n"/>
      <c r="AI437" s="160" t="n"/>
      <c r="AJ437" s="160" t="n"/>
      <c r="AK437" s="160" t="n"/>
      <c r="AL437" s="160" t="n"/>
      <c r="AM437" s="160" t="n"/>
      <c r="AN437" s="160" t="n"/>
      <c r="AO437" s="160" t="n"/>
      <c r="AP437" s="160" t="n"/>
      <c r="AQ437" s="160" t="n"/>
      <c r="AR437" s="160" t="n"/>
    </row>
    <row r="439">
      <c r="A439" s="8">
        <f>IF(HSI!$C$46="","",HSI!$C$46)</f>
        <v/>
      </c>
      <c r="B439" s="158">
        <f>IF($A439="",0,COUNT($E440:$AR440))</f>
        <v/>
      </c>
      <c r="C439" s="159">
        <f>IF($B439=0,0,MAX($E440:$AR440))</f>
        <v/>
      </c>
      <c r="D439" s="101">
        <f>BDS($A439,FLD_HIST,"headers=y","startcol=1","endcol=7","dir=h","DVD_START_DT",HIST_FROM,"DVD_END_DT",HIST_TO)</f>
        <v/>
      </c>
      <c r="E439" s="102" t="n"/>
      <c r="F439" s="102" t="n"/>
      <c r="G439" s="102" t="n"/>
      <c r="H439" s="102" t="n"/>
      <c r="I439" s="102" t="n"/>
      <c r="J439" s="102" t="n"/>
      <c r="K439" s="102" t="n"/>
      <c r="L439" s="102" t="n"/>
      <c r="M439" s="102" t="n"/>
      <c r="N439" s="102" t="n"/>
      <c r="O439" s="102" t="n"/>
      <c r="P439" s="102" t="n"/>
      <c r="Q439" s="102" t="n"/>
      <c r="R439" s="102" t="n"/>
      <c r="S439" s="102" t="n"/>
      <c r="T439" s="102" t="n"/>
      <c r="U439" s="102" t="n"/>
      <c r="V439" s="102" t="n"/>
      <c r="W439" s="102" t="n"/>
      <c r="X439" s="102" t="n"/>
      <c r="Y439" s="102" t="n"/>
      <c r="Z439" s="102" t="n"/>
      <c r="AA439" s="102" t="n"/>
      <c r="AB439" s="102" t="n"/>
      <c r="AC439" s="102" t="n"/>
      <c r="AD439" s="102" t="n"/>
      <c r="AE439" s="102" t="n"/>
      <c r="AF439" s="102" t="n"/>
      <c r="AG439" s="102" t="n"/>
      <c r="AH439" s="102" t="n"/>
      <c r="AI439" s="102" t="n"/>
      <c r="AJ439" s="102" t="n"/>
      <c r="AK439" s="102" t="n"/>
      <c r="AL439" s="102" t="n"/>
      <c r="AM439" s="102" t="n"/>
      <c r="AN439" s="102" t="n"/>
      <c r="AO439" s="102" t="n"/>
      <c r="AP439" s="102" t="n"/>
      <c r="AQ439" s="102" t="n"/>
      <c r="AR439" s="102" t="n"/>
    </row>
    <row r="440">
      <c r="D440" s="102" t="n"/>
      <c r="E440" s="102" t="n"/>
      <c r="F440" s="102" t="n"/>
      <c r="G440" s="102" t="n"/>
      <c r="H440" s="102" t="n"/>
      <c r="I440" s="102" t="n"/>
      <c r="J440" s="102" t="n"/>
      <c r="K440" s="102" t="n"/>
      <c r="L440" s="102" t="n"/>
      <c r="M440" s="102" t="n"/>
      <c r="N440" s="102" t="n"/>
      <c r="O440" s="102" t="n"/>
      <c r="P440" s="102" t="n"/>
      <c r="Q440" s="102" t="n"/>
      <c r="R440" s="102" t="n"/>
      <c r="S440" s="102" t="n"/>
      <c r="T440" s="102" t="n"/>
      <c r="U440" s="102" t="n"/>
      <c r="V440" s="102" t="n"/>
      <c r="W440" s="102" t="n"/>
      <c r="X440" s="102" t="n"/>
      <c r="Y440" s="102" t="n"/>
      <c r="Z440" s="102" t="n"/>
      <c r="AA440" s="102" t="n"/>
      <c r="AB440" s="102" t="n"/>
      <c r="AC440" s="102" t="n"/>
      <c r="AD440" s="102" t="n"/>
      <c r="AE440" s="102" t="n"/>
      <c r="AF440" s="102" t="n"/>
      <c r="AG440" s="102" t="n"/>
      <c r="AH440" s="102" t="n"/>
      <c r="AI440" s="102" t="n"/>
      <c r="AJ440" s="102" t="n"/>
      <c r="AK440" s="102" t="n"/>
      <c r="AL440" s="102" t="n"/>
      <c r="AM440" s="102" t="n"/>
      <c r="AN440" s="102" t="n"/>
      <c r="AO440" s="102" t="n"/>
      <c r="AP440" s="102" t="n"/>
      <c r="AQ440" s="102" t="n"/>
      <c r="AR440" s="102" t="n"/>
    </row>
    <row r="441">
      <c r="D441" s="102" t="n"/>
      <c r="E441" s="102" t="n"/>
      <c r="F441" s="102" t="n"/>
      <c r="G441" s="102" t="n"/>
      <c r="H441" s="102" t="n"/>
      <c r="I441" s="102" t="n"/>
      <c r="J441" s="102" t="n"/>
      <c r="K441" s="102" t="n"/>
      <c r="L441" s="102" t="n"/>
      <c r="M441" s="102" t="n"/>
      <c r="N441" s="102" t="n"/>
      <c r="O441" s="102" t="n"/>
      <c r="P441" s="102" t="n"/>
      <c r="Q441" s="102" t="n"/>
      <c r="R441" s="102" t="n"/>
      <c r="S441" s="102" t="n"/>
      <c r="T441" s="102" t="n"/>
      <c r="U441" s="102" t="n"/>
      <c r="V441" s="102" t="n"/>
      <c r="W441" s="102" t="n"/>
      <c r="X441" s="102" t="n"/>
      <c r="Y441" s="102" t="n"/>
      <c r="Z441" s="102" t="n"/>
      <c r="AA441" s="102" t="n"/>
      <c r="AB441" s="102" t="n"/>
      <c r="AC441" s="102" t="n"/>
      <c r="AD441" s="102" t="n"/>
      <c r="AE441" s="102" t="n"/>
      <c r="AF441" s="102" t="n"/>
      <c r="AG441" s="102" t="n"/>
      <c r="AH441" s="102" t="n"/>
      <c r="AI441" s="102" t="n"/>
      <c r="AJ441" s="102" t="n"/>
      <c r="AK441" s="102" t="n"/>
      <c r="AL441" s="102" t="n"/>
      <c r="AM441" s="102" t="n"/>
      <c r="AN441" s="102" t="n"/>
      <c r="AO441" s="102" t="n"/>
      <c r="AP441" s="102" t="n"/>
      <c r="AQ441" s="102" t="n"/>
      <c r="AR441" s="102" t="n"/>
    </row>
    <row r="442">
      <c r="D442" s="102" t="n"/>
      <c r="E442" s="102" t="n"/>
      <c r="F442" s="102" t="n"/>
      <c r="G442" s="102" t="n"/>
      <c r="H442" s="102" t="n"/>
      <c r="I442" s="102" t="n"/>
      <c r="J442" s="102" t="n"/>
      <c r="K442" s="102" t="n"/>
      <c r="L442" s="102" t="n"/>
      <c r="M442" s="102" t="n"/>
      <c r="N442" s="102" t="n"/>
      <c r="O442" s="102" t="n"/>
      <c r="P442" s="102" t="n"/>
      <c r="Q442" s="102" t="n"/>
      <c r="R442" s="102" t="n"/>
      <c r="S442" s="102" t="n"/>
      <c r="T442" s="102" t="n"/>
      <c r="U442" s="102" t="n"/>
      <c r="V442" s="102" t="n"/>
      <c r="W442" s="102" t="n"/>
      <c r="X442" s="102" t="n"/>
      <c r="Y442" s="102" t="n"/>
      <c r="Z442" s="102" t="n"/>
      <c r="AA442" s="102" t="n"/>
      <c r="AB442" s="102" t="n"/>
      <c r="AC442" s="102" t="n"/>
      <c r="AD442" s="102" t="n"/>
      <c r="AE442" s="102" t="n"/>
      <c r="AF442" s="102" t="n"/>
      <c r="AG442" s="102" t="n"/>
      <c r="AH442" s="102" t="n"/>
      <c r="AI442" s="102" t="n"/>
      <c r="AJ442" s="102" t="n"/>
      <c r="AK442" s="102" t="n"/>
      <c r="AL442" s="102" t="n"/>
      <c r="AM442" s="102" t="n"/>
      <c r="AN442" s="102" t="n"/>
      <c r="AO442" s="102" t="n"/>
      <c r="AP442" s="102" t="n"/>
      <c r="AQ442" s="102" t="n"/>
      <c r="AR442" s="102" t="n"/>
    </row>
    <row r="443">
      <c r="D443" s="160" t="n"/>
      <c r="E443" s="160" t="n"/>
      <c r="F443" s="160" t="n"/>
      <c r="G443" s="160" t="n"/>
      <c r="H443" s="160" t="n"/>
      <c r="I443" s="160" t="n"/>
      <c r="J443" s="160" t="n"/>
      <c r="K443" s="160" t="n"/>
      <c r="L443" s="160" t="n"/>
      <c r="M443" s="160" t="n"/>
      <c r="N443" s="160" t="n"/>
      <c r="O443" s="160" t="n"/>
      <c r="P443" s="160" t="n"/>
      <c r="Q443" s="160" t="n"/>
      <c r="R443" s="160" t="n"/>
      <c r="S443" s="160" t="n"/>
      <c r="T443" s="160" t="n"/>
      <c r="U443" s="160" t="n"/>
      <c r="V443" s="160" t="n"/>
      <c r="W443" s="160" t="n"/>
      <c r="X443" s="160" t="n"/>
      <c r="Y443" s="160" t="n"/>
      <c r="Z443" s="160" t="n"/>
      <c r="AA443" s="160" t="n"/>
      <c r="AB443" s="160" t="n"/>
      <c r="AC443" s="160" t="n"/>
      <c r="AD443" s="160" t="n"/>
      <c r="AE443" s="160" t="n"/>
      <c r="AF443" s="160" t="n"/>
      <c r="AG443" s="160" t="n"/>
      <c r="AH443" s="160" t="n"/>
      <c r="AI443" s="160" t="n"/>
      <c r="AJ443" s="160" t="n"/>
      <c r="AK443" s="160" t="n"/>
      <c r="AL443" s="160" t="n"/>
      <c r="AM443" s="160" t="n"/>
      <c r="AN443" s="160" t="n"/>
      <c r="AO443" s="160" t="n"/>
      <c r="AP443" s="160" t="n"/>
      <c r="AQ443" s="160" t="n"/>
      <c r="AR443" s="160" t="n"/>
    </row>
    <row r="446">
      <c r="A446" s="2">
        <f>IF($A439="","","   projections")</f>
        <v/>
      </c>
      <c r="B446" s="158">
        <f>IF($A439="",0,COUNT($E447:$AR447))</f>
        <v/>
      </c>
      <c r="C446" s="159">
        <f>IF($B446=0,0,MAX($E447:$AR447))</f>
        <v/>
      </c>
      <c r="D446" s="101">
        <f>BDS($A439,FLD_PROJ,"headers=y","startcol=1","endcol=3","dir=h")</f>
        <v/>
      </c>
      <c r="E446" s="102" t="n"/>
      <c r="F446" s="102" t="n"/>
      <c r="G446" s="102" t="n"/>
      <c r="H446" s="102" t="n"/>
      <c r="I446" s="102" t="n"/>
      <c r="J446" s="102" t="n"/>
      <c r="K446" s="102" t="n"/>
      <c r="L446" s="102" t="n"/>
      <c r="M446" s="102" t="n"/>
      <c r="N446" s="102" t="n"/>
      <c r="O446" s="102" t="n"/>
      <c r="P446" s="102" t="n"/>
      <c r="Q446" s="102" t="n"/>
      <c r="R446" s="102" t="n"/>
      <c r="S446" s="102" t="n"/>
      <c r="T446" s="102" t="n"/>
      <c r="U446" s="102" t="n"/>
      <c r="V446" s="102" t="n"/>
      <c r="W446" s="102" t="n"/>
      <c r="X446" s="102" t="n"/>
      <c r="Y446" s="102" t="n"/>
      <c r="Z446" s="102" t="n"/>
      <c r="AA446" s="102" t="n"/>
      <c r="AB446" s="102" t="n"/>
      <c r="AC446" s="102" t="n"/>
      <c r="AD446" s="102" t="n"/>
      <c r="AE446" s="102" t="n"/>
      <c r="AF446" s="102" t="n"/>
      <c r="AG446" s="102" t="n"/>
      <c r="AH446" s="102" t="n"/>
      <c r="AI446" s="102" t="n"/>
      <c r="AJ446" s="102" t="n"/>
      <c r="AK446" s="102" t="n"/>
      <c r="AL446" s="102" t="n"/>
      <c r="AM446" s="102" t="n"/>
      <c r="AN446" s="102" t="n"/>
      <c r="AO446" s="102" t="n"/>
      <c r="AP446" s="102" t="n"/>
      <c r="AQ446" s="102" t="n"/>
      <c r="AR446" s="102" t="n"/>
    </row>
    <row r="447">
      <c r="D447" s="102" t="n"/>
      <c r="E447" s="102" t="n"/>
      <c r="F447" s="102" t="n"/>
      <c r="G447" s="102" t="n"/>
      <c r="H447" s="102" t="n"/>
      <c r="I447" s="102" t="n"/>
      <c r="J447" s="102" t="n"/>
      <c r="K447" s="102" t="n"/>
      <c r="L447" s="102" t="n"/>
      <c r="M447" s="102" t="n"/>
      <c r="N447" s="102" t="n"/>
      <c r="O447" s="102" t="n"/>
      <c r="P447" s="102" t="n"/>
      <c r="Q447" s="102" t="n"/>
      <c r="R447" s="102" t="n"/>
      <c r="S447" s="102" t="n"/>
      <c r="T447" s="102" t="n"/>
      <c r="U447" s="102" t="n"/>
      <c r="V447" s="102" t="n"/>
      <c r="W447" s="102" t="n"/>
      <c r="X447" s="102" t="n"/>
      <c r="Y447" s="102" t="n"/>
      <c r="Z447" s="102" t="n"/>
      <c r="AA447" s="102" t="n"/>
      <c r="AB447" s="102" t="n"/>
      <c r="AC447" s="102" t="n"/>
      <c r="AD447" s="102" t="n"/>
      <c r="AE447" s="102" t="n"/>
      <c r="AF447" s="102" t="n"/>
      <c r="AG447" s="102" t="n"/>
      <c r="AH447" s="102" t="n"/>
      <c r="AI447" s="102" t="n"/>
      <c r="AJ447" s="102" t="n"/>
      <c r="AK447" s="102" t="n"/>
      <c r="AL447" s="102" t="n"/>
      <c r="AM447" s="102" t="n"/>
      <c r="AN447" s="102" t="n"/>
      <c r="AO447" s="102" t="n"/>
      <c r="AP447" s="102" t="n"/>
      <c r="AQ447" s="102" t="n"/>
      <c r="AR447" s="102" t="n"/>
    </row>
    <row r="448">
      <c r="D448" s="160" t="n"/>
      <c r="E448" s="160" t="n"/>
      <c r="F448" s="160" t="n"/>
      <c r="G448" s="160" t="n"/>
      <c r="H448" s="160" t="n"/>
      <c r="I448" s="160" t="n"/>
      <c r="J448" s="160" t="n"/>
      <c r="K448" s="160" t="n"/>
      <c r="L448" s="160" t="n"/>
      <c r="M448" s="160" t="n"/>
      <c r="N448" s="160" t="n"/>
      <c r="O448" s="160" t="n"/>
      <c r="P448" s="160" t="n"/>
      <c r="Q448" s="160" t="n"/>
      <c r="R448" s="160" t="n"/>
      <c r="S448" s="160" t="n"/>
      <c r="T448" s="160" t="n"/>
      <c r="U448" s="160" t="n"/>
      <c r="V448" s="160" t="n"/>
      <c r="W448" s="160" t="n"/>
      <c r="X448" s="160" t="n"/>
      <c r="Y448" s="160" t="n"/>
      <c r="Z448" s="160" t="n"/>
      <c r="AA448" s="160" t="n"/>
      <c r="AB448" s="160" t="n"/>
      <c r="AC448" s="160" t="n"/>
      <c r="AD448" s="160" t="n"/>
      <c r="AE448" s="160" t="n"/>
      <c r="AF448" s="160" t="n"/>
      <c r="AG448" s="160" t="n"/>
      <c r="AH448" s="160" t="n"/>
      <c r="AI448" s="160" t="n"/>
      <c r="AJ448" s="160" t="n"/>
      <c r="AK448" s="160" t="n"/>
      <c r="AL448" s="160" t="n"/>
      <c r="AM448" s="160" t="n"/>
      <c r="AN448" s="160" t="n"/>
      <c r="AO448" s="160" t="n"/>
      <c r="AP448" s="160" t="n"/>
      <c r="AQ448" s="160" t="n"/>
      <c r="AR448" s="160" t="n"/>
    </row>
    <row r="450">
      <c r="A450" s="8">
        <f>IF(HSI!$C$47="","",HSI!$C$47)</f>
        <v/>
      </c>
      <c r="B450" s="158">
        <f>IF($A450="",0,COUNT($E451:$AR451))</f>
        <v/>
      </c>
      <c r="C450" s="159">
        <f>IF($B450=0,0,MAX($E451:$AR451))</f>
        <v/>
      </c>
      <c r="D450" s="101">
        <f>BDS($A450,FLD_HIST,"headers=y","startcol=1","endcol=7","dir=h","DVD_START_DT",HIST_FROM,"DVD_END_DT",HIST_TO)</f>
        <v/>
      </c>
      <c r="E450" s="102" t="n"/>
      <c r="F450" s="102" t="n"/>
      <c r="G450" s="102" t="n"/>
      <c r="H450" s="102" t="n"/>
      <c r="I450" s="102" t="n"/>
      <c r="J450" s="102" t="n"/>
      <c r="K450" s="102" t="n"/>
      <c r="L450" s="102" t="n"/>
      <c r="M450" s="102" t="n"/>
      <c r="N450" s="102" t="n"/>
      <c r="O450" s="102" t="n"/>
      <c r="P450" s="102" t="n"/>
      <c r="Q450" s="102" t="n"/>
      <c r="R450" s="102" t="n"/>
      <c r="S450" s="102" t="n"/>
      <c r="T450" s="102" t="n"/>
      <c r="U450" s="102" t="n"/>
      <c r="V450" s="102" t="n"/>
      <c r="W450" s="102" t="n"/>
      <c r="X450" s="102" t="n"/>
      <c r="Y450" s="102" t="n"/>
      <c r="Z450" s="102" t="n"/>
      <c r="AA450" s="102" t="n"/>
      <c r="AB450" s="102" t="n"/>
      <c r="AC450" s="102" t="n"/>
      <c r="AD450" s="102" t="n"/>
      <c r="AE450" s="102" t="n"/>
      <c r="AF450" s="102" t="n"/>
      <c r="AG450" s="102" t="n"/>
      <c r="AH450" s="102" t="n"/>
      <c r="AI450" s="102" t="n"/>
      <c r="AJ450" s="102" t="n"/>
      <c r="AK450" s="102" t="n"/>
      <c r="AL450" s="102" t="n"/>
      <c r="AM450" s="102" t="n"/>
      <c r="AN450" s="102" t="n"/>
      <c r="AO450" s="102" t="n"/>
      <c r="AP450" s="102" t="n"/>
      <c r="AQ450" s="102" t="n"/>
      <c r="AR450" s="102" t="n"/>
    </row>
    <row r="451">
      <c r="D451" s="102" t="n"/>
      <c r="E451" s="102" t="n"/>
      <c r="F451" s="102" t="n"/>
      <c r="G451" s="102" t="n"/>
      <c r="H451" s="102" t="n"/>
      <c r="I451" s="102" t="n"/>
      <c r="J451" s="102" t="n"/>
      <c r="K451" s="102" t="n"/>
      <c r="L451" s="102" t="n"/>
      <c r="M451" s="102" t="n"/>
      <c r="N451" s="102" t="n"/>
      <c r="O451" s="102" t="n"/>
      <c r="P451" s="102" t="n"/>
      <c r="Q451" s="102" t="n"/>
      <c r="R451" s="102" t="n"/>
      <c r="S451" s="102" t="n"/>
      <c r="T451" s="102" t="n"/>
      <c r="U451" s="102" t="n"/>
      <c r="V451" s="102" t="n"/>
      <c r="W451" s="102" t="n"/>
      <c r="X451" s="102" t="n"/>
      <c r="Y451" s="102" t="n"/>
      <c r="Z451" s="102" t="n"/>
      <c r="AA451" s="102" t="n"/>
      <c r="AB451" s="102" t="n"/>
      <c r="AC451" s="102" t="n"/>
      <c r="AD451" s="102" t="n"/>
      <c r="AE451" s="102" t="n"/>
      <c r="AF451" s="102" t="n"/>
      <c r="AG451" s="102" t="n"/>
      <c r="AH451" s="102" t="n"/>
      <c r="AI451" s="102" t="n"/>
      <c r="AJ451" s="102" t="n"/>
      <c r="AK451" s="102" t="n"/>
      <c r="AL451" s="102" t="n"/>
      <c r="AM451" s="102" t="n"/>
      <c r="AN451" s="102" t="n"/>
      <c r="AO451" s="102" t="n"/>
      <c r="AP451" s="102" t="n"/>
      <c r="AQ451" s="102" t="n"/>
      <c r="AR451" s="102" t="n"/>
    </row>
    <row r="452">
      <c r="D452" s="102" t="n"/>
      <c r="E452" s="102" t="n"/>
      <c r="F452" s="102" t="n"/>
      <c r="G452" s="102" t="n"/>
      <c r="H452" s="102" t="n"/>
      <c r="I452" s="102" t="n"/>
      <c r="J452" s="102" t="n"/>
      <c r="K452" s="102" t="n"/>
      <c r="L452" s="102" t="n"/>
      <c r="M452" s="102" t="n"/>
      <c r="N452" s="102" t="n"/>
      <c r="O452" s="102" t="n"/>
      <c r="P452" s="102" t="n"/>
      <c r="Q452" s="102" t="n"/>
      <c r="R452" s="102" t="n"/>
      <c r="S452" s="102" t="n"/>
      <c r="T452" s="102" t="n"/>
      <c r="U452" s="102" t="n"/>
      <c r="V452" s="102" t="n"/>
      <c r="W452" s="102" t="n"/>
      <c r="X452" s="102" t="n"/>
      <c r="Y452" s="102" t="n"/>
      <c r="Z452" s="102" t="n"/>
      <c r="AA452" s="102" t="n"/>
      <c r="AB452" s="102" t="n"/>
      <c r="AC452" s="102" t="n"/>
      <c r="AD452" s="102" t="n"/>
      <c r="AE452" s="102" t="n"/>
      <c r="AF452" s="102" t="n"/>
      <c r="AG452" s="102" t="n"/>
      <c r="AH452" s="102" t="n"/>
      <c r="AI452" s="102" t="n"/>
      <c r="AJ452" s="102" t="n"/>
      <c r="AK452" s="102" t="n"/>
      <c r="AL452" s="102" t="n"/>
      <c r="AM452" s="102" t="n"/>
      <c r="AN452" s="102" t="n"/>
      <c r="AO452" s="102" t="n"/>
      <c r="AP452" s="102" t="n"/>
      <c r="AQ452" s="102" t="n"/>
      <c r="AR452" s="102" t="n"/>
    </row>
    <row r="453">
      <c r="D453" s="102" t="n"/>
      <c r="E453" s="102" t="n"/>
      <c r="F453" s="102" t="n"/>
      <c r="G453" s="102" t="n"/>
      <c r="H453" s="102" t="n"/>
      <c r="I453" s="102" t="n"/>
      <c r="J453" s="102" t="n"/>
      <c r="K453" s="102" t="n"/>
      <c r="L453" s="102" t="n"/>
      <c r="M453" s="102" t="n"/>
      <c r="N453" s="102" t="n"/>
      <c r="O453" s="102" t="n"/>
      <c r="P453" s="102" t="n"/>
      <c r="Q453" s="102" t="n"/>
      <c r="R453" s="102" t="n"/>
      <c r="S453" s="102" t="n"/>
      <c r="T453" s="102" t="n"/>
      <c r="U453" s="102" t="n"/>
      <c r="V453" s="102" t="n"/>
      <c r="W453" s="102" t="n"/>
      <c r="X453" s="102" t="n"/>
      <c r="Y453" s="102" t="n"/>
      <c r="Z453" s="102" t="n"/>
      <c r="AA453" s="102" t="n"/>
      <c r="AB453" s="102" t="n"/>
      <c r="AC453" s="102" t="n"/>
      <c r="AD453" s="102" t="n"/>
      <c r="AE453" s="102" t="n"/>
      <c r="AF453" s="102" t="n"/>
      <c r="AG453" s="102" t="n"/>
      <c r="AH453" s="102" t="n"/>
      <c r="AI453" s="102" t="n"/>
      <c r="AJ453" s="102" t="n"/>
      <c r="AK453" s="102" t="n"/>
      <c r="AL453" s="102" t="n"/>
      <c r="AM453" s="102" t="n"/>
      <c r="AN453" s="102" t="n"/>
      <c r="AO453" s="102" t="n"/>
      <c r="AP453" s="102" t="n"/>
      <c r="AQ453" s="102" t="n"/>
      <c r="AR453" s="102" t="n"/>
    </row>
    <row r="454">
      <c r="D454" s="160" t="n"/>
      <c r="E454" s="160" t="n"/>
      <c r="F454" s="160" t="n"/>
      <c r="G454" s="160" t="n"/>
      <c r="H454" s="160" t="n"/>
      <c r="I454" s="160" t="n"/>
      <c r="J454" s="160" t="n"/>
      <c r="K454" s="160" t="n"/>
      <c r="L454" s="160" t="n"/>
      <c r="M454" s="160" t="n"/>
      <c r="N454" s="160" t="n"/>
      <c r="O454" s="160" t="n"/>
      <c r="P454" s="160" t="n"/>
      <c r="Q454" s="160" t="n"/>
      <c r="R454" s="160" t="n"/>
      <c r="S454" s="160" t="n"/>
      <c r="T454" s="160" t="n"/>
      <c r="U454" s="160" t="n"/>
      <c r="V454" s="160" t="n"/>
      <c r="W454" s="160" t="n"/>
      <c r="X454" s="160" t="n"/>
      <c r="Y454" s="160" t="n"/>
      <c r="Z454" s="160" t="n"/>
      <c r="AA454" s="160" t="n"/>
      <c r="AB454" s="160" t="n"/>
      <c r="AC454" s="160" t="n"/>
      <c r="AD454" s="160" t="n"/>
      <c r="AE454" s="160" t="n"/>
      <c r="AF454" s="160" t="n"/>
      <c r="AG454" s="160" t="n"/>
      <c r="AH454" s="160" t="n"/>
      <c r="AI454" s="160" t="n"/>
      <c r="AJ454" s="160" t="n"/>
      <c r="AK454" s="160" t="n"/>
      <c r="AL454" s="160" t="n"/>
      <c r="AM454" s="160" t="n"/>
      <c r="AN454" s="160" t="n"/>
      <c r="AO454" s="160" t="n"/>
      <c r="AP454" s="160" t="n"/>
      <c r="AQ454" s="160" t="n"/>
      <c r="AR454" s="160" t="n"/>
    </row>
    <row r="457">
      <c r="A457" s="2">
        <f>IF($A450="","","   projections")</f>
        <v/>
      </c>
      <c r="B457" s="158">
        <f>IF($A450="",0,COUNT($E458:$AR458))</f>
        <v/>
      </c>
      <c r="C457" s="159">
        <f>IF($B457=0,0,MAX($E458:$AR458))</f>
        <v/>
      </c>
      <c r="D457" s="101">
        <f>BDS($A450,FLD_PROJ,"headers=y","startcol=1","endcol=3","dir=h")</f>
        <v/>
      </c>
      <c r="E457" s="102" t="n"/>
      <c r="F457" s="102" t="n"/>
      <c r="G457" s="102" t="n"/>
      <c r="H457" s="102" t="n"/>
      <c r="I457" s="102" t="n"/>
      <c r="J457" s="102" t="n"/>
      <c r="K457" s="102" t="n"/>
      <c r="L457" s="102" t="n"/>
      <c r="M457" s="102" t="n"/>
      <c r="N457" s="102" t="n"/>
      <c r="O457" s="102" t="n"/>
      <c r="P457" s="102" t="n"/>
      <c r="Q457" s="102" t="n"/>
      <c r="R457" s="102" t="n"/>
      <c r="S457" s="102" t="n"/>
      <c r="T457" s="102" t="n"/>
      <c r="U457" s="102" t="n"/>
      <c r="V457" s="102" t="n"/>
      <c r="W457" s="102" t="n"/>
      <c r="X457" s="102" t="n"/>
      <c r="Y457" s="102" t="n"/>
      <c r="Z457" s="102" t="n"/>
      <c r="AA457" s="102" t="n"/>
      <c r="AB457" s="102" t="n"/>
      <c r="AC457" s="102" t="n"/>
      <c r="AD457" s="102" t="n"/>
      <c r="AE457" s="102" t="n"/>
      <c r="AF457" s="102" t="n"/>
      <c r="AG457" s="102" t="n"/>
      <c r="AH457" s="102" t="n"/>
      <c r="AI457" s="102" t="n"/>
      <c r="AJ457" s="102" t="n"/>
      <c r="AK457" s="102" t="n"/>
      <c r="AL457" s="102" t="n"/>
      <c r="AM457" s="102" t="n"/>
      <c r="AN457" s="102" t="n"/>
      <c r="AO457" s="102" t="n"/>
      <c r="AP457" s="102" t="n"/>
      <c r="AQ457" s="102" t="n"/>
      <c r="AR457" s="102" t="n"/>
    </row>
    <row r="458">
      <c r="D458" s="102" t="n"/>
      <c r="E458" s="102" t="n"/>
      <c r="F458" s="102" t="n"/>
      <c r="G458" s="102" t="n"/>
      <c r="H458" s="102" t="n"/>
      <c r="I458" s="102" t="n"/>
      <c r="J458" s="102" t="n"/>
      <c r="K458" s="102" t="n"/>
      <c r="L458" s="102" t="n"/>
      <c r="M458" s="102" t="n"/>
      <c r="N458" s="102" t="n"/>
      <c r="O458" s="102" t="n"/>
      <c r="P458" s="102" t="n"/>
      <c r="Q458" s="102" t="n"/>
      <c r="R458" s="102" t="n"/>
      <c r="S458" s="102" t="n"/>
      <c r="T458" s="102" t="n"/>
      <c r="U458" s="102" t="n"/>
      <c r="V458" s="102" t="n"/>
      <c r="W458" s="102" t="n"/>
      <c r="X458" s="102" t="n"/>
      <c r="Y458" s="102" t="n"/>
      <c r="Z458" s="102" t="n"/>
      <c r="AA458" s="102" t="n"/>
      <c r="AB458" s="102" t="n"/>
      <c r="AC458" s="102" t="n"/>
      <c r="AD458" s="102" t="n"/>
      <c r="AE458" s="102" t="n"/>
      <c r="AF458" s="102" t="n"/>
      <c r="AG458" s="102" t="n"/>
      <c r="AH458" s="102" t="n"/>
      <c r="AI458" s="102" t="n"/>
      <c r="AJ458" s="102" t="n"/>
      <c r="AK458" s="102" t="n"/>
      <c r="AL458" s="102" t="n"/>
      <c r="AM458" s="102" t="n"/>
      <c r="AN458" s="102" t="n"/>
      <c r="AO458" s="102" t="n"/>
      <c r="AP458" s="102" t="n"/>
      <c r="AQ458" s="102" t="n"/>
      <c r="AR458" s="102" t="n"/>
    </row>
    <row r="459">
      <c r="D459" s="160" t="n"/>
      <c r="E459" s="160" t="n"/>
      <c r="F459" s="160" t="n"/>
      <c r="G459" s="160" t="n"/>
      <c r="H459" s="160" t="n"/>
      <c r="I459" s="160" t="n"/>
      <c r="J459" s="160" t="n"/>
      <c r="K459" s="160" t="n"/>
      <c r="L459" s="160" t="n"/>
      <c r="M459" s="160" t="n"/>
      <c r="N459" s="160" t="n"/>
      <c r="O459" s="160" t="n"/>
      <c r="P459" s="160" t="n"/>
      <c r="Q459" s="160" t="n"/>
      <c r="R459" s="160" t="n"/>
      <c r="S459" s="160" t="n"/>
      <c r="T459" s="160" t="n"/>
      <c r="U459" s="160" t="n"/>
      <c r="V459" s="160" t="n"/>
      <c r="W459" s="160" t="n"/>
      <c r="X459" s="160" t="n"/>
      <c r="Y459" s="160" t="n"/>
      <c r="Z459" s="160" t="n"/>
      <c r="AA459" s="160" t="n"/>
      <c r="AB459" s="160" t="n"/>
      <c r="AC459" s="160" t="n"/>
      <c r="AD459" s="160" t="n"/>
      <c r="AE459" s="160" t="n"/>
      <c r="AF459" s="160" t="n"/>
      <c r="AG459" s="160" t="n"/>
      <c r="AH459" s="160" t="n"/>
      <c r="AI459" s="160" t="n"/>
      <c r="AJ459" s="160" t="n"/>
      <c r="AK459" s="160" t="n"/>
      <c r="AL459" s="160" t="n"/>
      <c r="AM459" s="160" t="n"/>
      <c r="AN459" s="160" t="n"/>
      <c r="AO459" s="160" t="n"/>
      <c r="AP459" s="160" t="n"/>
      <c r="AQ459" s="160" t="n"/>
      <c r="AR459" s="160" t="n"/>
    </row>
    <row r="461">
      <c r="A461" s="8">
        <f>IF(HSI!$C$48="","",HSI!$C$48)</f>
        <v/>
      </c>
      <c r="B461" s="158">
        <f>IF($A461="",0,COUNT($E462:$AR462))</f>
        <v/>
      </c>
      <c r="C461" s="159">
        <f>IF($B461=0,0,MAX($E462:$AR462))</f>
        <v/>
      </c>
      <c r="D461" s="101">
        <f>BDS($A461,FLD_HIST,"headers=y","startcol=1","endcol=7","dir=h","DVD_START_DT",HIST_FROM,"DVD_END_DT",HIST_TO)</f>
        <v/>
      </c>
      <c r="E461" s="102" t="n"/>
      <c r="F461" s="102" t="n"/>
      <c r="G461" s="102" t="n"/>
      <c r="H461" s="102" t="n"/>
      <c r="I461" s="102" t="n"/>
      <c r="J461" s="102" t="n"/>
      <c r="K461" s="102" t="n"/>
      <c r="L461" s="102" t="n"/>
      <c r="M461" s="102" t="n"/>
      <c r="N461" s="102" t="n"/>
      <c r="O461" s="102" t="n"/>
      <c r="P461" s="102" t="n"/>
      <c r="Q461" s="102" t="n"/>
      <c r="R461" s="102" t="n"/>
      <c r="S461" s="102" t="n"/>
      <c r="T461" s="102" t="n"/>
      <c r="U461" s="102" t="n"/>
      <c r="V461" s="102" t="n"/>
      <c r="W461" s="102" t="n"/>
      <c r="X461" s="102" t="n"/>
      <c r="Y461" s="102" t="n"/>
      <c r="Z461" s="102" t="n"/>
      <c r="AA461" s="102" t="n"/>
      <c r="AB461" s="102" t="n"/>
      <c r="AC461" s="102" t="n"/>
      <c r="AD461" s="102" t="n"/>
      <c r="AE461" s="102" t="n"/>
      <c r="AF461" s="102" t="n"/>
      <c r="AG461" s="102" t="n"/>
      <c r="AH461" s="102" t="n"/>
      <c r="AI461" s="102" t="n"/>
      <c r="AJ461" s="102" t="n"/>
      <c r="AK461" s="102" t="n"/>
      <c r="AL461" s="102" t="n"/>
      <c r="AM461" s="102" t="n"/>
      <c r="AN461" s="102" t="n"/>
      <c r="AO461" s="102" t="n"/>
      <c r="AP461" s="102" t="n"/>
      <c r="AQ461" s="102" t="n"/>
      <c r="AR461" s="102" t="n"/>
    </row>
    <row r="462">
      <c r="D462" s="102" t="n"/>
      <c r="E462" s="102" t="n"/>
      <c r="F462" s="102" t="n"/>
      <c r="G462" s="102" t="n"/>
      <c r="H462" s="102" t="n"/>
      <c r="I462" s="102" t="n"/>
      <c r="J462" s="102" t="n"/>
      <c r="K462" s="102" t="n"/>
      <c r="L462" s="102" t="n"/>
      <c r="M462" s="102" t="n"/>
      <c r="N462" s="102" t="n"/>
      <c r="O462" s="102" t="n"/>
      <c r="P462" s="102" t="n"/>
      <c r="Q462" s="102" t="n"/>
      <c r="R462" s="102" t="n"/>
      <c r="S462" s="102" t="n"/>
      <c r="T462" s="102" t="n"/>
      <c r="U462" s="102" t="n"/>
      <c r="V462" s="102" t="n"/>
      <c r="W462" s="102" t="n"/>
      <c r="X462" s="102" t="n"/>
      <c r="Y462" s="102" t="n"/>
      <c r="Z462" s="102" t="n"/>
      <c r="AA462" s="102" t="n"/>
      <c r="AB462" s="102" t="n"/>
      <c r="AC462" s="102" t="n"/>
      <c r="AD462" s="102" t="n"/>
      <c r="AE462" s="102" t="n"/>
      <c r="AF462" s="102" t="n"/>
      <c r="AG462" s="102" t="n"/>
      <c r="AH462" s="102" t="n"/>
      <c r="AI462" s="102" t="n"/>
      <c r="AJ462" s="102" t="n"/>
      <c r="AK462" s="102" t="n"/>
      <c r="AL462" s="102" t="n"/>
      <c r="AM462" s="102" t="n"/>
      <c r="AN462" s="102" t="n"/>
      <c r="AO462" s="102" t="n"/>
      <c r="AP462" s="102" t="n"/>
      <c r="AQ462" s="102" t="n"/>
      <c r="AR462" s="102" t="n"/>
    </row>
    <row r="463">
      <c r="D463" s="102" t="n"/>
      <c r="E463" s="102" t="n"/>
      <c r="F463" s="102" t="n"/>
      <c r="G463" s="102" t="n"/>
      <c r="H463" s="102" t="n"/>
      <c r="I463" s="102" t="n"/>
      <c r="J463" s="102" t="n"/>
      <c r="K463" s="102" t="n"/>
      <c r="L463" s="102" t="n"/>
      <c r="M463" s="102" t="n"/>
      <c r="N463" s="102" t="n"/>
      <c r="O463" s="102" t="n"/>
      <c r="P463" s="102" t="n"/>
      <c r="Q463" s="102" t="n"/>
      <c r="R463" s="102" t="n"/>
      <c r="S463" s="102" t="n"/>
      <c r="T463" s="102" t="n"/>
      <c r="U463" s="102" t="n"/>
      <c r="V463" s="102" t="n"/>
      <c r="W463" s="102" t="n"/>
      <c r="X463" s="102" t="n"/>
      <c r="Y463" s="102" t="n"/>
      <c r="Z463" s="102" t="n"/>
      <c r="AA463" s="102" t="n"/>
      <c r="AB463" s="102" t="n"/>
      <c r="AC463" s="102" t="n"/>
      <c r="AD463" s="102" t="n"/>
      <c r="AE463" s="102" t="n"/>
      <c r="AF463" s="102" t="n"/>
      <c r="AG463" s="102" t="n"/>
      <c r="AH463" s="102" t="n"/>
      <c r="AI463" s="102" t="n"/>
      <c r="AJ463" s="102" t="n"/>
      <c r="AK463" s="102" t="n"/>
      <c r="AL463" s="102" t="n"/>
      <c r="AM463" s="102" t="n"/>
      <c r="AN463" s="102" t="n"/>
      <c r="AO463" s="102" t="n"/>
      <c r="AP463" s="102" t="n"/>
      <c r="AQ463" s="102" t="n"/>
      <c r="AR463" s="102" t="n"/>
    </row>
    <row r="464">
      <c r="D464" s="102" t="n"/>
      <c r="E464" s="102" t="n"/>
      <c r="F464" s="102" t="n"/>
      <c r="G464" s="102" t="n"/>
      <c r="H464" s="102" t="n"/>
      <c r="I464" s="102" t="n"/>
      <c r="J464" s="102" t="n"/>
      <c r="K464" s="102" t="n"/>
      <c r="L464" s="102" t="n"/>
      <c r="M464" s="102" t="n"/>
      <c r="N464" s="102" t="n"/>
      <c r="O464" s="102" t="n"/>
      <c r="P464" s="102" t="n"/>
      <c r="Q464" s="102" t="n"/>
      <c r="R464" s="102" t="n"/>
      <c r="S464" s="102" t="n"/>
      <c r="T464" s="102" t="n"/>
      <c r="U464" s="102" t="n"/>
      <c r="V464" s="102" t="n"/>
      <c r="W464" s="102" t="n"/>
      <c r="X464" s="102" t="n"/>
      <c r="Y464" s="102" t="n"/>
      <c r="Z464" s="102" t="n"/>
      <c r="AA464" s="102" t="n"/>
      <c r="AB464" s="102" t="n"/>
      <c r="AC464" s="102" t="n"/>
      <c r="AD464" s="102" t="n"/>
      <c r="AE464" s="102" t="n"/>
      <c r="AF464" s="102" t="n"/>
      <c r="AG464" s="102" t="n"/>
      <c r="AH464" s="102" t="n"/>
      <c r="AI464" s="102" t="n"/>
      <c r="AJ464" s="102" t="n"/>
      <c r="AK464" s="102" t="n"/>
      <c r="AL464" s="102" t="n"/>
      <c r="AM464" s="102" t="n"/>
      <c r="AN464" s="102" t="n"/>
      <c r="AO464" s="102" t="n"/>
      <c r="AP464" s="102" t="n"/>
      <c r="AQ464" s="102" t="n"/>
      <c r="AR464" s="102" t="n"/>
    </row>
    <row r="465">
      <c r="D465" s="160" t="n"/>
      <c r="E465" s="160" t="n"/>
      <c r="F465" s="160" t="n"/>
      <c r="G465" s="160" t="n"/>
      <c r="H465" s="160" t="n"/>
      <c r="I465" s="160" t="n"/>
      <c r="J465" s="160" t="n"/>
      <c r="K465" s="160" t="n"/>
      <c r="L465" s="160" t="n"/>
      <c r="M465" s="160" t="n"/>
      <c r="N465" s="160" t="n"/>
      <c r="O465" s="160" t="n"/>
      <c r="P465" s="160" t="n"/>
      <c r="Q465" s="160" t="n"/>
      <c r="R465" s="160" t="n"/>
      <c r="S465" s="160" t="n"/>
      <c r="T465" s="160" t="n"/>
      <c r="U465" s="160" t="n"/>
      <c r="V465" s="160" t="n"/>
      <c r="W465" s="160" t="n"/>
      <c r="X465" s="160" t="n"/>
      <c r="Y465" s="160" t="n"/>
      <c r="Z465" s="160" t="n"/>
      <c r="AA465" s="160" t="n"/>
      <c r="AB465" s="160" t="n"/>
      <c r="AC465" s="160" t="n"/>
      <c r="AD465" s="160" t="n"/>
      <c r="AE465" s="160" t="n"/>
      <c r="AF465" s="160" t="n"/>
      <c r="AG465" s="160" t="n"/>
      <c r="AH465" s="160" t="n"/>
      <c r="AI465" s="160" t="n"/>
      <c r="AJ465" s="160" t="n"/>
      <c r="AK465" s="160" t="n"/>
      <c r="AL465" s="160" t="n"/>
      <c r="AM465" s="160" t="n"/>
      <c r="AN465" s="160" t="n"/>
      <c r="AO465" s="160" t="n"/>
      <c r="AP465" s="160" t="n"/>
      <c r="AQ465" s="160" t="n"/>
      <c r="AR465" s="160" t="n"/>
    </row>
    <row r="468">
      <c r="A468" s="2">
        <f>IF($A461="","","   projections")</f>
        <v/>
      </c>
      <c r="B468" s="158">
        <f>IF($A461="",0,COUNT($E469:$AR469))</f>
        <v/>
      </c>
      <c r="C468" s="159">
        <f>IF($B468=0,0,MAX($E469:$AR469))</f>
        <v/>
      </c>
      <c r="D468" s="101">
        <f>BDS($A461,FLD_PROJ,"headers=y","startcol=1","endcol=3","dir=h")</f>
        <v/>
      </c>
      <c r="E468" s="102" t="n"/>
      <c r="F468" s="102" t="n"/>
      <c r="G468" s="102" t="n"/>
      <c r="H468" s="102" t="n"/>
      <c r="I468" s="102" t="n"/>
      <c r="J468" s="102" t="n"/>
      <c r="K468" s="102" t="n"/>
      <c r="L468" s="102" t="n"/>
      <c r="M468" s="102" t="n"/>
      <c r="N468" s="102" t="n"/>
      <c r="O468" s="102" t="n"/>
      <c r="P468" s="102" t="n"/>
      <c r="Q468" s="102" t="n"/>
      <c r="R468" s="102" t="n"/>
      <c r="S468" s="102" t="n"/>
      <c r="T468" s="102" t="n"/>
      <c r="U468" s="102" t="n"/>
      <c r="V468" s="102" t="n"/>
      <c r="W468" s="102" t="n"/>
      <c r="X468" s="102" t="n"/>
      <c r="Y468" s="102" t="n"/>
      <c r="Z468" s="102" t="n"/>
      <c r="AA468" s="102" t="n"/>
      <c r="AB468" s="102" t="n"/>
      <c r="AC468" s="102" t="n"/>
      <c r="AD468" s="102" t="n"/>
      <c r="AE468" s="102" t="n"/>
      <c r="AF468" s="102" t="n"/>
      <c r="AG468" s="102" t="n"/>
      <c r="AH468" s="102" t="n"/>
      <c r="AI468" s="102" t="n"/>
      <c r="AJ468" s="102" t="n"/>
      <c r="AK468" s="102" t="n"/>
      <c r="AL468" s="102" t="n"/>
      <c r="AM468" s="102" t="n"/>
      <c r="AN468" s="102" t="n"/>
      <c r="AO468" s="102" t="n"/>
      <c r="AP468" s="102" t="n"/>
      <c r="AQ468" s="102" t="n"/>
      <c r="AR468" s="102" t="n"/>
    </row>
    <row r="469">
      <c r="D469" s="102" t="n"/>
      <c r="E469" s="102" t="n"/>
      <c r="F469" s="102" t="n"/>
      <c r="G469" s="102" t="n"/>
      <c r="H469" s="102" t="n"/>
      <c r="I469" s="102" t="n"/>
      <c r="J469" s="102" t="n"/>
      <c r="K469" s="102" t="n"/>
      <c r="L469" s="102" t="n"/>
      <c r="M469" s="102" t="n"/>
      <c r="N469" s="102" t="n"/>
      <c r="O469" s="102" t="n"/>
      <c r="P469" s="102" t="n"/>
      <c r="Q469" s="102" t="n"/>
      <c r="R469" s="102" t="n"/>
      <c r="S469" s="102" t="n"/>
      <c r="T469" s="102" t="n"/>
      <c r="U469" s="102" t="n"/>
      <c r="V469" s="102" t="n"/>
      <c r="W469" s="102" t="n"/>
      <c r="X469" s="102" t="n"/>
      <c r="Y469" s="102" t="n"/>
      <c r="Z469" s="102" t="n"/>
      <c r="AA469" s="102" t="n"/>
      <c r="AB469" s="102" t="n"/>
      <c r="AC469" s="102" t="n"/>
      <c r="AD469" s="102" t="n"/>
      <c r="AE469" s="102" t="n"/>
      <c r="AF469" s="102" t="n"/>
      <c r="AG469" s="102" t="n"/>
      <c r="AH469" s="102" t="n"/>
      <c r="AI469" s="102" t="n"/>
      <c r="AJ469" s="102" t="n"/>
      <c r="AK469" s="102" t="n"/>
      <c r="AL469" s="102" t="n"/>
      <c r="AM469" s="102" t="n"/>
      <c r="AN469" s="102" t="n"/>
      <c r="AO469" s="102" t="n"/>
      <c r="AP469" s="102" t="n"/>
      <c r="AQ469" s="102" t="n"/>
      <c r="AR469" s="102" t="n"/>
    </row>
    <row r="470">
      <c r="D470" s="160" t="n"/>
      <c r="E470" s="160" t="n"/>
      <c r="F470" s="160" t="n"/>
      <c r="G470" s="160" t="n"/>
      <c r="H470" s="160" t="n"/>
      <c r="I470" s="160" t="n"/>
      <c r="J470" s="160" t="n"/>
      <c r="K470" s="160" t="n"/>
      <c r="L470" s="160" t="n"/>
      <c r="M470" s="160" t="n"/>
      <c r="N470" s="160" t="n"/>
      <c r="O470" s="160" t="n"/>
      <c r="P470" s="160" t="n"/>
      <c r="Q470" s="160" t="n"/>
      <c r="R470" s="160" t="n"/>
      <c r="S470" s="160" t="n"/>
      <c r="T470" s="160" t="n"/>
      <c r="U470" s="160" t="n"/>
      <c r="V470" s="160" t="n"/>
      <c r="W470" s="160" t="n"/>
      <c r="X470" s="160" t="n"/>
      <c r="Y470" s="160" t="n"/>
      <c r="Z470" s="160" t="n"/>
      <c r="AA470" s="160" t="n"/>
      <c r="AB470" s="160" t="n"/>
      <c r="AC470" s="160" t="n"/>
      <c r="AD470" s="160" t="n"/>
      <c r="AE470" s="160" t="n"/>
      <c r="AF470" s="160" t="n"/>
      <c r="AG470" s="160" t="n"/>
      <c r="AH470" s="160" t="n"/>
      <c r="AI470" s="160" t="n"/>
      <c r="AJ470" s="160" t="n"/>
      <c r="AK470" s="160" t="n"/>
      <c r="AL470" s="160" t="n"/>
      <c r="AM470" s="160" t="n"/>
      <c r="AN470" s="160" t="n"/>
      <c r="AO470" s="160" t="n"/>
      <c r="AP470" s="160" t="n"/>
      <c r="AQ470" s="160" t="n"/>
      <c r="AR470" s="160" t="n"/>
    </row>
    <row r="472">
      <c r="A472" s="8">
        <f>IF(HSI!$C$49="","",HSI!$C$49)</f>
        <v/>
      </c>
      <c r="B472" s="158">
        <f>IF($A472="",0,COUNT($E473:$AR473))</f>
        <v/>
      </c>
      <c r="C472" s="159">
        <f>IF($B472=0,0,MAX($E473:$AR473))</f>
        <v/>
      </c>
      <c r="D472" s="101">
        <f>BDS($A472,FLD_HIST,"headers=y","startcol=1","endcol=7","dir=h","DVD_START_DT",HIST_FROM,"DVD_END_DT",HIST_TO)</f>
        <v/>
      </c>
      <c r="E472" s="102" t="n"/>
      <c r="F472" s="102" t="n"/>
      <c r="G472" s="102" t="n"/>
      <c r="H472" s="102" t="n"/>
      <c r="I472" s="102" t="n"/>
      <c r="J472" s="102" t="n"/>
      <c r="K472" s="102" t="n"/>
      <c r="L472" s="102" t="n"/>
      <c r="M472" s="102" t="n"/>
      <c r="N472" s="102" t="n"/>
      <c r="O472" s="102" t="n"/>
      <c r="P472" s="102" t="n"/>
      <c r="Q472" s="102" t="n"/>
      <c r="R472" s="102" t="n"/>
      <c r="S472" s="102" t="n"/>
      <c r="T472" s="102" t="n"/>
      <c r="U472" s="102" t="n"/>
      <c r="V472" s="102" t="n"/>
      <c r="W472" s="102" t="n"/>
      <c r="X472" s="102" t="n"/>
      <c r="Y472" s="102" t="n"/>
      <c r="Z472" s="102" t="n"/>
      <c r="AA472" s="102" t="n"/>
      <c r="AB472" s="102" t="n"/>
      <c r="AC472" s="102" t="n"/>
      <c r="AD472" s="102" t="n"/>
      <c r="AE472" s="102" t="n"/>
      <c r="AF472" s="102" t="n"/>
      <c r="AG472" s="102" t="n"/>
      <c r="AH472" s="102" t="n"/>
      <c r="AI472" s="102" t="n"/>
      <c r="AJ472" s="102" t="n"/>
      <c r="AK472" s="102" t="n"/>
      <c r="AL472" s="102" t="n"/>
      <c r="AM472" s="102" t="n"/>
      <c r="AN472" s="102" t="n"/>
      <c r="AO472" s="102" t="n"/>
      <c r="AP472" s="102" t="n"/>
      <c r="AQ472" s="102" t="n"/>
      <c r="AR472" s="102" t="n"/>
    </row>
    <row r="473">
      <c r="D473" s="102" t="n"/>
      <c r="E473" s="102" t="n"/>
      <c r="F473" s="102" t="n"/>
      <c r="G473" s="102" t="n"/>
      <c r="H473" s="102" t="n"/>
      <c r="I473" s="102" t="n"/>
      <c r="J473" s="102" t="n"/>
      <c r="K473" s="102" t="n"/>
      <c r="L473" s="102" t="n"/>
      <c r="M473" s="102" t="n"/>
      <c r="N473" s="102" t="n"/>
      <c r="O473" s="102" t="n"/>
      <c r="P473" s="102" t="n"/>
      <c r="Q473" s="102" t="n"/>
      <c r="R473" s="102" t="n"/>
      <c r="S473" s="102" t="n"/>
      <c r="T473" s="102" t="n"/>
      <c r="U473" s="102" t="n"/>
      <c r="V473" s="102" t="n"/>
      <c r="W473" s="102" t="n"/>
      <c r="X473" s="102" t="n"/>
      <c r="Y473" s="102" t="n"/>
      <c r="Z473" s="102" t="n"/>
      <c r="AA473" s="102" t="n"/>
      <c r="AB473" s="102" t="n"/>
      <c r="AC473" s="102" t="n"/>
      <c r="AD473" s="102" t="n"/>
      <c r="AE473" s="102" t="n"/>
      <c r="AF473" s="102" t="n"/>
      <c r="AG473" s="102" t="n"/>
      <c r="AH473" s="102" t="n"/>
      <c r="AI473" s="102" t="n"/>
      <c r="AJ473" s="102" t="n"/>
      <c r="AK473" s="102" t="n"/>
      <c r="AL473" s="102" t="n"/>
      <c r="AM473" s="102" t="n"/>
      <c r="AN473" s="102" t="n"/>
      <c r="AO473" s="102" t="n"/>
      <c r="AP473" s="102" t="n"/>
      <c r="AQ473" s="102" t="n"/>
      <c r="AR473" s="102" t="n"/>
    </row>
    <row r="474">
      <c r="D474" s="102" t="n"/>
      <c r="E474" s="102" t="n"/>
      <c r="F474" s="102" t="n"/>
      <c r="G474" s="102" t="n"/>
      <c r="H474" s="102" t="n"/>
      <c r="I474" s="102" t="n"/>
      <c r="J474" s="102" t="n"/>
      <c r="K474" s="102" t="n"/>
      <c r="L474" s="102" t="n"/>
      <c r="M474" s="102" t="n"/>
      <c r="N474" s="102" t="n"/>
      <c r="O474" s="102" t="n"/>
      <c r="P474" s="102" t="n"/>
      <c r="Q474" s="102" t="n"/>
      <c r="R474" s="102" t="n"/>
      <c r="S474" s="102" t="n"/>
      <c r="T474" s="102" t="n"/>
      <c r="U474" s="102" t="n"/>
      <c r="V474" s="102" t="n"/>
      <c r="W474" s="102" t="n"/>
      <c r="X474" s="102" t="n"/>
      <c r="Y474" s="102" t="n"/>
      <c r="Z474" s="102" t="n"/>
      <c r="AA474" s="102" t="n"/>
      <c r="AB474" s="102" t="n"/>
      <c r="AC474" s="102" t="n"/>
      <c r="AD474" s="102" t="n"/>
      <c r="AE474" s="102" t="n"/>
      <c r="AF474" s="102" t="n"/>
      <c r="AG474" s="102" t="n"/>
      <c r="AH474" s="102" t="n"/>
      <c r="AI474" s="102" t="n"/>
      <c r="AJ474" s="102" t="n"/>
      <c r="AK474" s="102" t="n"/>
      <c r="AL474" s="102" t="n"/>
      <c r="AM474" s="102" t="n"/>
      <c r="AN474" s="102" t="n"/>
      <c r="AO474" s="102" t="n"/>
      <c r="AP474" s="102" t="n"/>
      <c r="AQ474" s="102" t="n"/>
      <c r="AR474" s="102" t="n"/>
    </row>
    <row r="475">
      <c r="D475" s="102" t="n"/>
      <c r="E475" s="102" t="n"/>
      <c r="F475" s="102" t="n"/>
      <c r="G475" s="102" t="n"/>
      <c r="H475" s="102" t="n"/>
      <c r="I475" s="102" t="n"/>
      <c r="J475" s="102" t="n"/>
      <c r="K475" s="102" t="n"/>
      <c r="L475" s="102" t="n"/>
      <c r="M475" s="102" t="n"/>
      <c r="N475" s="102" t="n"/>
      <c r="O475" s="102" t="n"/>
      <c r="P475" s="102" t="n"/>
      <c r="Q475" s="102" t="n"/>
      <c r="R475" s="102" t="n"/>
      <c r="S475" s="102" t="n"/>
      <c r="T475" s="102" t="n"/>
      <c r="U475" s="102" t="n"/>
      <c r="V475" s="102" t="n"/>
      <c r="W475" s="102" t="n"/>
      <c r="X475" s="102" t="n"/>
      <c r="Y475" s="102" t="n"/>
      <c r="Z475" s="102" t="n"/>
      <c r="AA475" s="102" t="n"/>
      <c r="AB475" s="102" t="n"/>
      <c r="AC475" s="102" t="n"/>
      <c r="AD475" s="102" t="n"/>
      <c r="AE475" s="102" t="n"/>
      <c r="AF475" s="102" t="n"/>
      <c r="AG475" s="102" t="n"/>
      <c r="AH475" s="102" t="n"/>
      <c r="AI475" s="102" t="n"/>
      <c r="AJ475" s="102" t="n"/>
      <c r="AK475" s="102" t="n"/>
      <c r="AL475" s="102" t="n"/>
      <c r="AM475" s="102" t="n"/>
      <c r="AN475" s="102" t="n"/>
      <c r="AO475" s="102" t="n"/>
      <c r="AP475" s="102" t="n"/>
      <c r="AQ475" s="102" t="n"/>
      <c r="AR475" s="102" t="n"/>
    </row>
    <row r="476">
      <c r="D476" s="160" t="n"/>
      <c r="E476" s="160" t="n"/>
      <c r="F476" s="160" t="n"/>
      <c r="G476" s="160" t="n"/>
      <c r="H476" s="160" t="n"/>
      <c r="I476" s="160" t="n"/>
      <c r="J476" s="160" t="n"/>
      <c r="K476" s="160" t="n"/>
      <c r="L476" s="160" t="n"/>
      <c r="M476" s="160" t="n"/>
      <c r="N476" s="160" t="n"/>
      <c r="O476" s="160" t="n"/>
      <c r="P476" s="160" t="n"/>
      <c r="Q476" s="160" t="n"/>
      <c r="R476" s="160" t="n"/>
      <c r="S476" s="160" t="n"/>
      <c r="T476" s="160" t="n"/>
      <c r="U476" s="160" t="n"/>
      <c r="V476" s="160" t="n"/>
      <c r="W476" s="160" t="n"/>
      <c r="X476" s="160" t="n"/>
      <c r="Y476" s="160" t="n"/>
      <c r="Z476" s="160" t="n"/>
      <c r="AA476" s="160" t="n"/>
      <c r="AB476" s="160" t="n"/>
      <c r="AC476" s="160" t="n"/>
      <c r="AD476" s="160" t="n"/>
      <c r="AE476" s="160" t="n"/>
      <c r="AF476" s="160" t="n"/>
      <c r="AG476" s="160" t="n"/>
      <c r="AH476" s="160" t="n"/>
      <c r="AI476" s="160" t="n"/>
      <c r="AJ476" s="160" t="n"/>
      <c r="AK476" s="160" t="n"/>
      <c r="AL476" s="160" t="n"/>
      <c r="AM476" s="160" t="n"/>
      <c r="AN476" s="160" t="n"/>
      <c r="AO476" s="160" t="n"/>
      <c r="AP476" s="160" t="n"/>
      <c r="AQ476" s="160" t="n"/>
      <c r="AR476" s="160" t="n"/>
    </row>
    <row r="479">
      <c r="A479" s="2">
        <f>IF($A472="","","   projections")</f>
        <v/>
      </c>
      <c r="B479" s="158">
        <f>IF($A472="",0,COUNT($E480:$AR480))</f>
        <v/>
      </c>
      <c r="C479" s="159">
        <f>IF($B479=0,0,MAX($E480:$AR480))</f>
        <v/>
      </c>
      <c r="D479" s="101">
        <f>BDS($A472,FLD_PROJ,"headers=y","startcol=1","endcol=3","dir=h")</f>
        <v/>
      </c>
      <c r="E479" s="102" t="n"/>
      <c r="F479" s="102" t="n"/>
      <c r="G479" s="102" t="n"/>
      <c r="H479" s="102" t="n"/>
      <c r="I479" s="102" t="n"/>
      <c r="J479" s="102" t="n"/>
      <c r="K479" s="102" t="n"/>
      <c r="L479" s="102" t="n"/>
      <c r="M479" s="102" t="n"/>
      <c r="N479" s="102" t="n"/>
      <c r="O479" s="102" t="n"/>
      <c r="P479" s="102" t="n"/>
      <c r="Q479" s="102" t="n"/>
      <c r="R479" s="102" t="n"/>
      <c r="S479" s="102" t="n"/>
      <c r="T479" s="102" t="n"/>
      <c r="U479" s="102" t="n"/>
      <c r="V479" s="102" t="n"/>
      <c r="W479" s="102" t="n"/>
      <c r="X479" s="102" t="n"/>
      <c r="Y479" s="102" t="n"/>
      <c r="Z479" s="102" t="n"/>
      <c r="AA479" s="102" t="n"/>
      <c r="AB479" s="102" t="n"/>
      <c r="AC479" s="102" t="n"/>
      <c r="AD479" s="102" t="n"/>
      <c r="AE479" s="102" t="n"/>
      <c r="AF479" s="102" t="n"/>
      <c r="AG479" s="102" t="n"/>
      <c r="AH479" s="102" t="n"/>
      <c r="AI479" s="102" t="n"/>
      <c r="AJ479" s="102" t="n"/>
      <c r="AK479" s="102" t="n"/>
      <c r="AL479" s="102" t="n"/>
      <c r="AM479" s="102" t="n"/>
      <c r="AN479" s="102" t="n"/>
      <c r="AO479" s="102" t="n"/>
      <c r="AP479" s="102" t="n"/>
      <c r="AQ479" s="102" t="n"/>
      <c r="AR479" s="102" t="n"/>
    </row>
    <row r="480">
      <c r="D480" s="102" t="n"/>
      <c r="E480" s="102" t="n"/>
      <c r="F480" s="102" t="n"/>
      <c r="G480" s="102" t="n"/>
      <c r="H480" s="102" t="n"/>
      <c r="I480" s="102" t="n"/>
      <c r="J480" s="102" t="n"/>
      <c r="K480" s="102" t="n"/>
      <c r="L480" s="102" t="n"/>
      <c r="M480" s="102" t="n"/>
      <c r="N480" s="102" t="n"/>
      <c r="O480" s="102" t="n"/>
      <c r="P480" s="102" t="n"/>
      <c r="Q480" s="102" t="n"/>
      <c r="R480" s="102" t="n"/>
      <c r="S480" s="102" t="n"/>
      <c r="T480" s="102" t="n"/>
      <c r="U480" s="102" t="n"/>
      <c r="V480" s="102" t="n"/>
      <c r="W480" s="102" t="n"/>
      <c r="X480" s="102" t="n"/>
      <c r="Y480" s="102" t="n"/>
      <c r="Z480" s="102" t="n"/>
      <c r="AA480" s="102" t="n"/>
      <c r="AB480" s="102" t="n"/>
      <c r="AC480" s="102" t="n"/>
      <c r="AD480" s="102" t="n"/>
      <c r="AE480" s="102" t="n"/>
      <c r="AF480" s="102" t="n"/>
      <c r="AG480" s="102" t="n"/>
      <c r="AH480" s="102" t="n"/>
      <c r="AI480" s="102" t="n"/>
      <c r="AJ480" s="102" t="n"/>
      <c r="AK480" s="102" t="n"/>
      <c r="AL480" s="102" t="n"/>
      <c r="AM480" s="102" t="n"/>
      <c r="AN480" s="102" t="n"/>
      <c r="AO480" s="102" t="n"/>
      <c r="AP480" s="102" t="n"/>
      <c r="AQ480" s="102" t="n"/>
      <c r="AR480" s="102" t="n"/>
    </row>
    <row r="481">
      <c r="D481" s="160" t="n"/>
      <c r="E481" s="160" t="n"/>
      <c r="F481" s="160" t="n"/>
      <c r="G481" s="160" t="n"/>
      <c r="H481" s="160" t="n"/>
      <c r="I481" s="160" t="n"/>
      <c r="J481" s="160" t="n"/>
      <c r="K481" s="160" t="n"/>
      <c r="L481" s="160" t="n"/>
      <c r="M481" s="160" t="n"/>
      <c r="N481" s="160" t="n"/>
      <c r="O481" s="160" t="n"/>
      <c r="P481" s="160" t="n"/>
      <c r="Q481" s="160" t="n"/>
      <c r="R481" s="160" t="n"/>
      <c r="S481" s="160" t="n"/>
      <c r="T481" s="160" t="n"/>
      <c r="U481" s="160" t="n"/>
      <c r="V481" s="160" t="n"/>
      <c r="W481" s="160" t="n"/>
      <c r="X481" s="160" t="n"/>
      <c r="Y481" s="160" t="n"/>
      <c r="Z481" s="160" t="n"/>
      <c r="AA481" s="160" t="n"/>
      <c r="AB481" s="160" t="n"/>
      <c r="AC481" s="160" t="n"/>
      <c r="AD481" s="160" t="n"/>
      <c r="AE481" s="160" t="n"/>
      <c r="AF481" s="160" t="n"/>
      <c r="AG481" s="160" t="n"/>
      <c r="AH481" s="160" t="n"/>
      <c r="AI481" s="160" t="n"/>
      <c r="AJ481" s="160" t="n"/>
      <c r="AK481" s="160" t="n"/>
      <c r="AL481" s="160" t="n"/>
      <c r="AM481" s="160" t="n"/>
      <c r="AN481" s="160" t="n"/>
      <c r="AO481" s="160" t="n"/>
      <c r="AP481" s="160" t="n"/>
      <c r="AQ481" s="160" t="n"/>
      <c r="AR481" s="160" t="n"/>
    </row>
    <row r="483">
      <c r="A483" s="8">
        <f>IF(HSI!$C$50="","",HSI!$C$50)</f>
        <v/>
      </c>
      <c r="B483" s="158">
        <f>IF($A483="",0,COUNT($E484:$AR484))</f>
        <v/>
      </c>
      <c r="C483" s="159">
        <f>IF($B483=0,0,MAX($E484:$AR484))</f>
        <v/>
      </c>
      <c r="D483" s="101">
        <f>BDS($A483,FLD_HIST,"headers=y","startcol=1","endcol=7","dir=h","DVD_START_DT",HIST_FROM,"DVD_END_DT",HIST_TO)</f>
        <v/>
      </c>
      <c r="E483" s="102" t="n"/>
      <c r="F483" s="102" t="n"/>
      <c r="G483" s="102" t="n"/>
      <c r="H483" s="102" t="n"/>
      <c r="I483" s="102" t="n"/>
      <c r="J483" s="102" t="n"/>
      <c r="K483" s="102" t="n"/>
      <c r="L483" s="102" t="n"/>
      <c r="M483" s="102" t="n"/>
      <c r="N483" s="102" t="n"/>
      <c r="O483" s="102" t="n"/>
      <c r="P483" s="102" t="n"/>
      <c r="Q483" s="102" t="n"/>
      <c r="R483" s="102" t="n"/>
      <c r="S483" s="102" t="n"/>
      <c r="T483" s="102" t="n"/>
      <c r="U483" s="102" t="n"/>
      <c r="V483" s="102" t="n"/>
      <c r="W483" s="102" t="n"/>
      <c r="X483" s="102" t="n"/>
      <c r="Y483" s="102" t="n"/>
      <c r="Z483" s="102" t="n"/>
      <c r="AA483" s="102" t="n"/>
      <c r="AB483" s="102" t="n"/>
      <c r="AC483" s="102" t="n"/>
      <c r="AD483" s="102" t="n"/>
      <c r="AE483" s="102" t="n"/>
      <c r="AF483" s="102" t="n"/>
      <c r="AG483" s="102" t="n"/>
      <c r="AH483" s="102" t="n"/>
      <c r="AI483" s="102" t="n"/>
      <c r="AJ483" s="102" t="n"/>
      <c r="AK483" s="102" t="n"/>
      <c r="AL483" s="102" t="n"/>
      <c r="AM483" s="102" t="n"/>
      <c r="AN483" s="102" t="n"/>
      <c r="AO483" s="102" t="n"/>
      <c r="AP483" s="102" t="n"/>
      <c r="AQ483" s="102" t="n"/>
      <c r="AR483" s="102" t="n"/>
    </row>
    <row r="484">
      <c r="D484" s="102" t="n"/>
      <c r="E484" s="102" t="n"/>
      <c r="F484" s="102" t="n"/>
      <c r="G484" s="102" t="n"/>
      <c r="H484" s="102" t="n"/>
      <c r="I484" s="102" t="n"/>
      <c r="J484" s="102" t="n"/>
      <c r="K484" s="102" t="n"/>
      <c r="L484" s="102" t="n"/>
      <c r="M484" s="102" t="n"/>
      <c r="N484" s="102" t="n"/>
      <c r="O484" s="102" t="n"/>
      <c r="P484" s="102" t="n"/>
      <c r="Q484" s="102" t="n"/>
      <c r="R484" s="102" t="n"/>
      <c r="S484" s="102" t="n"/>
      <c r="T484" s="102" t="n"/>
      <c r="U484" s="102" t="n"/>
      <c r="V484" s="102" t="n"/>
      <c r="W484" s="102" t="n"/>
      <c r="X484" s="102" t="n"/>
      <c r="Y484" s="102" t="n"/>
      <c r="Z484" s="102" t="n"/>
      <c r="AA484" s="102" t="n"/>
      <c r="AB484" s="102" t="n"/>
      <c r="AC484" s="102" t="n"/>
      <c r="AD484" s="102" t="n"/>
      <c r="AE484" s="102" t="n"/>
      <c r="AF484" s="102" t="n"/>
      <c r="AG484" s="102" t="n"/>
      <c r="AH484" s="102" t="n"/>
      <c r="AI484" s="102" t="n"/>
      <c r="AJ484" s="102" t="n"/>
      <c r="AK484" s="102" t="n"/>
      <c r="AL484" s="102" t="n"/>
      <c r="AM484" s="102" t="n"/>
      <c r="AN484" s="102" t="n"/>
      <c r="AO484" s="102" t="n"/>
      <c r="AP484" s="102" t="n"/>
      <c r="AQ484" s="102" t="n"/>
      <c r="AR484" s="102" t="n"/>
    </row>
    <row r="485">
      <c r="D485" s="102" t="n"/>
      <c r="E485" s="102" t="n"/>
      <c r="F485" s="102" t="n"/>
      <c r="G485" s="102" t="n"/>
      <c r="H485" s="102" t="n"/>
      <c r="I485" s="102" t="n"/>
      <c r="J485" s="102" t="n"/>
      <c r="K485" s="102" t="n"/>
      <c r="L485" s="102" t="n"/>
      <c r="M485" s="102" t="n"/>
      <c r="N485" s="102" t="n"/>
      <c r="O485" s="102" t="n"/>
      <c r="P485" s="102" t="n"/>
      <c r="Q485" s="102" t="n"/>
      <c r="R485" s="102" t="n"/>
      <c r="S485" s="102" t="n"/>
      <c r="T485" s="102" t="n"/>
      <c r="U485" s="102" t="n"/>
      <c r="V485" s="102" t="n"/>
      <c r="W485" s="102" t="n"/>
      <c r="X485" s="102" t="n"/>
      <c r="Y485" s="102" t="n"/>
      <c r="Z485" s="102" t="n"/>
      <c r="AA485" s="102" t="n"/>
      <c r="AB485" s="102" t="n"/>
      <c r="AC485" s="102" t="n"/>
      <c r="AD485" s="102" t="n"/>
      <c r="AE485" s="102" t="n"/>
      <c r="AF485" s="102" t="n"/>
      <c r="AG485" s="102" t="n"/>
      <c r="AH485" s="102" t="n"/>
      <c r="AI485" s="102" t="n"/>
      <c r="AJ485" s="102" t="n"/>
      <c r="AK485" s="102" t="n"/>
      <c r="AL485" s="102" t="n"/>
      <c r="AM485" s="102" t="n"/>
      <c r="AN485" s="102" t="n"/>
      <c r="AO485" s="102" t="n"/>
      <c r="AP485" s="102" t="n"/>
      <c r="AQ485" s="102" t="n"/>
      <c r="AR485" s="102" t="n"/>
    </row>
    <row r="486">
      <c r="D486" s="102" t="n"/>
      <c r="E486" s="102" t="n"/>
      <c r="F486" s="102" t="n"/>
      <c r="G486" s="102" t="n"/>
      <c r="H486" s="102" t="n"/>
      <c r="I486" s="102" t="n"/>
      <c r="J486" s="102" t="n"/>
      <c r="K486" s="102" t="n"/>
      <c r="L486" s="102" t="n"/>
      <c r="M486" s="102" t="n"/>
      <c r="N486" s="102" t="n"/>
      <c r="O486" s="102" t="n"/>
      <c r="P486" s="102" t="n"/>
      <c r="Q486" s="102" t="n"/>
      <c r="R486" s="102" t="n"/>
      <c r="S486" s="102" t="n"/>
      <c r="T486" s="102" t="n"/>
      <c r="U486" s="102" t="n"/>
      <c r="V486" s="102" t="n"/>
      <c r="W486" s="102" t="n"/>
      <c r="X486" s="102" t="n"/>
      <c r="Y486" s="102" t="n"/>
      <c r="Z486" s="102" t="n"/>
      <c r="AA486" s="102" t="n"/>
      <c r="AB486" s="102" t="n"/>
      <c r="AC486" s="102" t="n"/>
      <c r="AD486" s="102" t="n"/>
      <c r="AE486" s="102" t="n"/>
      <c r="AF486" s="102" t="n"/>
      <c r="AG486" s="102" t="n"/>
      <c r="AH486" s="102" t="n"/>
      <c r="AI486" s="102" t="n"/>
      <c r="AJ486" s="102" t="n"/>
      <c r="AK486" s="102" t="n"/>
      <c r="AL486" s="102" t="n"/>
      <c r="AM486" s="102" t="n"/>
      <c r="AN486" s="102" t="n"/>
      <c r="AO486" s="102" t="n"/>
      <c r="AP486" s="102" t="n"/>
      <c r="AQ486" s="102" t="n"/>
      <c r="AR486" s="102" t="n"/>
    </row>
    <row r="487">
      <c r="D487" s="160" t="n"/>
      <c r="E487" s="160" t="n"/>
      <c r="F487" s="160" t="n"/>
      <c r="G487" s="160" t="n"/>
      <c r="H487" s="160" t="n"/>
      <c r="I487" s="160" t="n"/>
      <c r="J487" s="160" t="n"/>
      <c r="K487" s="160" t="n"/>
      <c r="L487" s="160" t="n"/>
      <c r="M487" s="160" t="n"/>
      <c r="N487" s="160" t="n"/>
      <c r="O487" s="160" t="n"/>
      <c r="P487" s="160" t="n"/>
      <c r="Q487" s="160" t="n"/>
      <c r="R487" s="160" t="n"/>
      <c r="S487" s="160" t="n"/>
      <c r="T487" s="160" t="n"/>
      <c r="U487" s="160" t="n"/>
      <c r="V487" s="160" t="n"/>
      <c r="W487" s="160" t="n"/>
      <c r="X487" s="160" t="n"/>
      <c r="Y487" s="160" t="n"/>
      <c r="Z487" s="160" t="n"/>
      <c r="AA487" s="160" t="n"/>
      <c r="AB487" s="160" t="n"/>
      <c r="AC487" s="160" t="n"/>
      <c r="AD487" s="160" t="n"/>
      <c r="AE487" s="160" t="n"/>
      <c r="AF487" s="160" t="n"/>
      <c r="AG487" s="160" t="n"/>
      <c r="AH487" s="160" t="n"/>
      <c r="AI487" s="160" t="n"/>
      <c r="AJ487" s="160" t="n"/>
      <c r="AK487" s="160" t="n"/>
      <c r="AL487" s="160" t="n"/>
      <c r="AM487" s="160" t="n"/>
      <c r="AN487" s="160" t="n"/>
      <c r="AO487" s="160" t="n"/>
      <c r="AP487" s="160" t="n"/>
      <c r="AQ487" s="160" t="n"/>
      <c r="AR487" s="160" t="n"/>
    </row>
    <row r="490">
      <c r="A490" s="2">
        <f>IF($A483="","","   projections")</f>
        <v/>
      </c>
      <c r="B490" s="158">
        <f>IF($A483="",0,COUNT($E491:$AR491))</f>
        <v/>
      </c>
      <c r="C490" s="159">
        <f>IF($B490=0,0,MAX($E491:$AR491))</f>
        <v/>
      </c>
      <c r="D490" s="101">
        <f>BDS($A483,FLD_PROJ,"headers=y","startcol=1","endcol=3","dir=h")</f>
        <v/>
      </c>
      <c r="E490" s="102" t="n"/>
      <c r="F490" s="102" t="n"/>
      <c r="G490" s="102" t="n"/>
      <c r="H490" s="102" t="n"/>
      <c r="I490" s="102" t="n"/>
      <c r="J490" s="102" t="n"/>
      <c r="K490" s="102" t="n"/>
      <c r="L490" s="102" t="n"/>
      <c r="M490" s="102" t="n"/>
      <c r="N490" s="102" t="n"/>
      <c r="O490" s="102" t="n"/>
      <c r="P490" s="102" t="n"/>
      <c r="Q490" s="102" t="n"/>
      <c r="R490" s="102" t="n"/>
      <c r="S490" s="102" t="n"/>
      <c r="T490" s="102" t="n"/>
      <c r="U490" s="102" t="n"/>
      <c r="V490" s="102" t="n"/>
      <c r="W490" s="102" t="n"/>
      <c r="X490" s="102" t="n"/>
      <c r="Y490" s="102" t="n"/>
      <c r="Z490" s="102" t="n"/>
      <c r="AA490" s="102" t="n"/>
      <c r="AB490" s="102" t="n"/>
      <c r="AC490" s="102" t="n"/>
      <c r="AD490" s="102" t="n"/>
      <c r="AE490" s="102" t="n"/>
      <c r="AF490" s="102" t="n"/>
      <c r="AG490" s="102" t="n"/>
      <c r="AH490" s="102" t="n"/>
      <c r="AI490" s="102" t="n"/>
      <c r="AJ490" s="102" t="n"/>
      <c r="AK490" s="102" t="n"/>
      <c r="AL490" s="102" t="n"/>
      <c r="AM490" s="102" t="n"/>
      <c r="AN490" s="102" t="n"/>
      <c r="AO490" s="102" t="n"/>
      <c r="AP490" s="102" t="n"/>
      <c r="AQ490" s="102" t="n"/>
      <c r="AR490" s="102" t="n"/>
    </row>
    <row r="491">
      <c r="D491" s="102" t="n"/>
      <c r="E491" s="102" t="n"/>
      <c r="F491" s="102" t="n"/>
      <c r="G491" s="102" t="n"/>
      <c r="H491" s="102" t="n"/>
      <c r="I491" s="102" t="n"/>
      <c r="J491" s="102" t="n"/>
      <c r="K491" s="102" t="n"/>
      <c r="L491" s="102" t="n"/>
      <c r="M491" s="102" t="n"/>
      <c r="N491" s="102" t="n"/>
      <c r="O491" s="102" t="n"/>
      <c r="P491" s="102" t="n"/>
      <c r="Q491" s="102" t="n"/>
      <c r="R491" s="102" t="n"/>
      <c r="S491" s="102" t="n"/>
      <c r="T491" s="102" t="n"/>
      <c r="U491" s="102" t="n"/>
      <c r="V491" s="102" t="n"/>
      <c r="W491" s="102" t="n"/>
      <c r="X491" s="102" t="n"/>
      <c r="Y491" s="102" t="n"/>
      <c r="Z491" s="102" t="n"/>
      <c r="AA491" s="102" t="n"/>
      <c r="AB491" s="102" t="n"/>
      <c r="AC491" s="102" t="n"/>
      <c r="AD491" s="102" t="n"/>
      <c r="AE491" s="102" t="n"/>
      <c r="AF491" s="102" t="n"/>
      <c r="AG491" s="102" t="n"/>
      <c r="AH491" s="102" t="n"/>
      <c r="AI491" s="102" t="n"/>
      <c r="AJ491" s="102" t="n"/>
      <c r="AK491" s="102" t="n"/>
      <c r="AL491" s="102" t="n"/>
      <c r="AM491" s="102" t="n"/>
      <c r="AN491" s="102" t="n"/>
      <c r="AO491" s="102" t="n"/>
      <c r="AP491" s="102" t="n"/>
      <c r="AQ491" s="102" t="n"/>
      <c r="AR491" s="102" t="n"/>
    </row>
    <row r="492">
      <c r="D492" s="160" t="n"/>
      <c r="E492" s="160" t="n"/>
      <c r="F492" s="160" t="n"/>
      <c r="G492" s="160" t="n"/>
      <c r="H492" s="160" t="n"/>
      <c r="I492" s="160" t="n"/>
      <c r="J492" s="160" t="n"/>
      <c r="K492" s="160" t="n"/>
      <c r="L492" s="160" t="n"/>
      <c r="M492" s="160" t="n"/>
      <c r="N492" s="160" t="n"/>
      <c r="O492" s="160" t="n"/>
      <c r="P492" s="160" t="n"/>
      <c r="Q492" s="160" t="n"/>
      <c r="R492" s="160" t="n"/>
      <c r="S492" s="160" t="n"/>
      <c r="T492" s="160" t="n"/>
      <c r="U492" s="160" t="n"/>
      <c r="V492" s="160" t="n"/>
      <c r="W492" s="160" t="n"/>
      <c r="X492" s="160" t="n"/>
      <c r="Y492" s="160" t="n"/>
      <c r="Z492" s="160" t="n"/>
      <c r="AA492" s="160" t="n"/>
      <c r="AB492" s="160" t="n"/>
      <c r="AC492" s="160" t="n"/>
      <c r="AD492" s="160" t="n"/>
      <c r="AE492" s="160" t="n"/>
      <c r="AF492" s="160" t="n"/>
      <c r="AG492" s="160" t="n"/>
      <c r="AH492" s="160" t="n"/>
      <c r="AI492" s="160" t="n"/>
      <c r="AJ492" s="160" t="n"/>
      <c r="AK492" s="160" t="n"/>
      <c r="AL492" s="160" t="n"/>
      <c r="AM492" s="160" t="n"/>
      <c r="AN492" s="160" t="n"/>
      <c r="AO492" s="160" t="n"/>
      <c r="AP492" s="160" t="n"/>
      <c r="AQ492" s="160" t="n"/>
      <c r="AR492" s="160" t="n"/>
    </row>
    <row r="494">
      <c r="A494" s="8">
        <f>IF(HSI!$C$51="","",HSI!$C$51)</f>
        <v/>
      </c>
      <c r="B494" s="158">
        <f>IF($A494="",0,COUNT($E495:$AR495))</f>
        <v/>
      </c>
      <c r="C494" s="159">
        <f>IF($B494=0,0,MAX($E495:$AR495))</f>
        <v/>
      </c>
      <c r="D494" s="101">
        <f>BDS($A494,FLD_HIST,"headers=y","startcol=1","endcol=7","dir=h","DVD_START_DT",HIST_FROM,"DVD_END_DT",HIST_TO)</f>
        <v/>
      </c>
      <c r="E494" s="102" t="n"/>
      <c r="F494" s="102" t="n"/>
      <c r="G494" s="102" t="n"/>
      <c r="H494" s="102" t="n"/>
      <c r="I494" s="102" t="n"/>
      <c r="J494" s="102" t="n"/>
      <c r="K494" s="102" t="n"/>
      <c r="L494" s="102" t="n"/>
      <c r="M494" s="102" t="n"/>
      <c r="N494" s="102" t="n"/>
      <c r="O494" s="102" t="n"/>
      <c r="P494" s="102" t="n"/>
      <c r="Q494" s="102" t="n"/>
      <c r="R494" s="102" t="n"/>
      <c r="S494" s="102" t="n"/>
      <c r="T494" s="102" t="n"/>
      <c r="U494" s="102" t="n"/>
      <c r="V494" s="102" t="n"/>
      <c r="W494" s="102" t="n"/>
      <c r="X494" s="102" t="n"/>
      <c r="Y494" s="102" t="n"/>
      <c r="Z494" s="102" t="n"/>
      <c r="AA494" s="102" t="n"/>
      <c r="AB494" s="102" t="n"/>
      <c r="AC494" s="102" t="n"/>
      <c r="AD494" s="102" t="n"/>
      <c r="AE494" s="102" t="n"/>
      <c r="AF494" s="102" t="n"/>
      <c r="AG494" s="102" t="n"/>
      <c r="AH494" s="102" t="n"/>
      <c r="AI494" s="102" t="n"/>
      <c r="AJ494" s="102" t="n"/>
      <c r="AK494" s="102" t="n"/>
      <c r="AL494" s="102" t="n"/>
      <c r="AM494" s="102" t="n"/>
      <c r="AN494" s="102" t="n"/>
      <c r="AO494" s="102" t="n"/>
      <c r="AP494" s="102" t="n"/>
      <c r="AQ494" s="102" t="n"/>
      <c r="AR494" s="102" t="n"/>
    </row>
    <row r="495">
      <c r="D495" s="102" t="n"/>
      <c r="E495" s="102" t="n"/>
      <c r="F495" s="102" t="n"/>
      <c r="G495" s="102" t="n"/>
      <c r="H495" s="102" t="n"/>
      <c r="I495" s="102" t="n"/>
      <c r="J495" s="102" t="n"/>
      <c r="K495" s="102" t="n"/>
      <c r="L495" s="102" t="n"/>
      <c r="M495" s="102" t="n"/>
      <c r="N495" s="102" t="n"/>
      <c r="O495" s="102" t="n"/>
      <c r="P495" s="102" t="n"/>
      <c r="Q495" s="102" t="n"/>
      <c r="R495" s="102" t="n"/>
      <c r="S495" s="102" t="n"/>
      <c r="T495" s="102" t="n"/>
      <c r="U495" s="102" t="n"/>
      <c r="V495" s="102" t="n"/>
      <c r="W495" s="102" t="n"/>
      <c r="X495" s="102" t="n"/>
      <c r="Y495" s="102" t="n"/>
      <c r="Z495" s="102" t="n"/>
      <c r="AA495" s="102" t="n"/>
      <c r="AB495" s="102" t="n"/>
      <c r="AC495" s="102" t="n"/>
      <c r="AD495" s="102" t="n"/>
      <c r="AE495" s="102" t="n"/>
      <c r="AF495" s="102" t="n"/>
      <c r="AG495" s="102" t="n"/>
      <c r="AH495" s="102" t="n"/>
      <c r="AI495" s="102" t="n"/>
      <c r="AJ495" s="102" t="n"/>
      <c r="AK495" s="102" t="n"/>
      <c r="AL495" s="102" t="n"/>
      <c r="AM495" s="102" t="n"/>
      <c r="AN495" s="102" t="n"/>
      <c r="AO495" s="102" t="n"/>
      <c r="AP495" s="102" t="n"/>
      <c r="AQ495" s="102" t="n"/>
      <c r="AR495" s="102" t="n"/>
    </row>
    <row r="496">
      <c r="D496" s="102" t="n"/>
      <c r="E496" s="102" t="n"/>
      <c r="F496" s="102" t="n"/>
      <c r="G496" s="102" t="n"/>
      <c r="H496" s="102" t="n"/>
      <c r="I496" s="102" t="n"/>
      <c r="J496" s="102" t="n"/>
      <c r="K496" s="102" t="n"/>
      <c r="L496" s="102" t="n"/>
      <c r="M496" s="102" t="n"/>
      <c r="N496" s="102" t="n"/>
      <c r="O496" s="102" t="n"/>
      <c r="P496" s="102" t="n"/>
      <c r="Q496" s="102" t="n"/>
      <c r="R496" s="102" t="n"/>
      <c r="S496" s="102" t="n"/>
      <c r="T496" s="102" t="n"/>
      <c r="U496" s="102" t="n"/>
      <c r="V496" s="102" t="n"/>
      <c r="W496" s="102" t="n"/>
      <c r="X496" s="102" t="n"/>
      <c r="Y496" s="102" t="n"/>
      <c r="Z496" s="102" t="n"/>
      <c r="AA496" s="102" t="n"/>
      <c r="AB496" s="102" t="n"/>
      <c r="AC496" s="102" t="n"/>
      <c r="AD496" s="102" t="n"/>
      <c r="AE496" s="102" t="n"/>
      <c r="AF496" s="102" t="n"/>
      <c r="AG496" s="102" t="n"/>
      <c r="AH496" s="102" t="n"/>
      <c r="AI496" s="102" t="n"/>
      <c r="AJ496" s="102" t="n"/>
      <c r="AK496" s="102" t="n"/>
      <c r="AL496" s="102" t="n"/>
      <c r="AM496" s="102" t="n"/>
      <c r="AN496" s="102" t="n"/>
      <c r="AO496" s="102" t="n"/>
      <c r="AP496" s="102" t="n"/>
      <c r="AQ496" s="102" t="n"/>
      <c r="AR496" s="102" t="n"/>
    </row>
    <row r="497">
      <c r="D497" s="102" t="n"/>
      <c r="E497" s="102" t="n"/>
      <c r="F497" s="102" t="n"/>
      <c r="G497" s="102" t="n"/>
      <c r="H497" s="102" t="n"/>
      <c r="I497" s="102" t="n"/>
      <c r="J497" s="102" t="n"/>
      <c r="K497" s="102" t="n"/>
      <c r="L497" s="102" t="n"/>
      <c r="M497" s="102" t="n"/>
      <c r="N497" s="102" t="n"/>
      <c r="O497" s="102" t="n"/>
      <c r="P497" s="102" t="n"/>
      <c r="Q497" s="102" t="n"/>
      <c r="R497" s="102" t="n"/>
      <c r="S497" s="102" t="n"/>
      <c r="T497" s="102" t="n"/>
      <c r="U497" s="102" t="n"/>
      <c r="V497" s="102" t="n"/>
      <c r="W497" s="102" t="n"/>
      <c r="X497" s="102" t="n"/>
      <c r="Y497" s="102" t="n"/>
      <c r="Z497" s="102" t="n"/>
      <c r="AA497" s="102" t="n"/>
      <c r="AB497" s="102" t="n"/>
      <c r="AC497" s="102" t="n"/>
      <c r="AD497" s="102" t="n"/>
      <c r="AE497" s="102" t="n"/>
      <c r="AF497" s="102" t="n"/>
      <c r="AG497" s="102" t="n"/>
      <c r="AH497" s="102" t="n"/>
      <c r="AI497" s="102" t="n"/>
      <c r="AJ497" s="102" t="n"/>
      <c r="AK497" s="102" t="n"/>
      <c r="AL497" s="102" t="n"/>
      <c r="AM497" s="102" t="n"/>
      <c r="AN497" s="102" t="n"/>
      <c r="AO497" s="102" t="n"/>
      <c r="AP497" s="102" t="n"/>
      <c r="AQ497" s="102" t="n"/>
      <c r="AR497" s="102" t="n"/>
    </row>
    <row r="498">
      <c r="D498" s="160" t="n"/>
      <c r="E498" s="160" t="n"/>
      <c r="F498" s="160" t="n"/>
      <c r="G498" s="160" t="n"/>
      <c r="H498" s="160" t="n"/>
      <c r="I498" s="160" t="n"/>
      <c r="J498" s="160" t="n"/>
      <c r="K498" s="160" t="n"/>
      <c r="L498" s="160" t="n"/>
      <c r="M498" s="160" t="n"/>
      <c r="N498" s="160" t="n"/>
      <c r="O498" s="160" t="n"/>
      <c r="P498" s="160" t="n"/>
      <c r="Q498" s="160" t="n"/>
      <c r="R498" s="160" t="n"/>
      <c r="S498" s="160" t="n"/>
      <c r="T498" s="160" t="n"/>
      <c r="U498" s="160" t="n"/>
      <c r="V498" s="160" t="n"/>
      <c r="W498" s="160" t="n"/>
      <c r="X498" s="160" t="n"/>
      <c r="Y498" s="160" t="n"/>
      <c r="Z498" s="160" t="n"/>
      <c r="AA498" s="160" t="n"/>
      <c r="AB498" s="160" t="n"/>
      <c r="AC498" s="160" t="n"/>
      <c r="AD498" s="160" t="n"/>
      <c r="AE498" s="160" t="n"/>
      <c r="AF498" s="160" t="n"/>
      <c r="AG498" s="160" t="n"/>
      <c r="AH498" s="160" t="n"/>
      <c r="AI498" s="160" t="n"/>
      <c r="AJ498" s="160" t="n"/>
      <c r="AK498" s="160" t="n"/>
      <c r="AL498" s="160" t="n"/>
      <c r="AM498" s="160" t="n"/>
      <c r="AN498" s="160" t="n"/>
      <c r="AO498" s="160" t="n"/>
      <c r="AP498" s="160" t="n"/>
      <c r="AQ498" s="160" t="n"/>
      <c r="AR498" s="160" t="n"/>
    </row>
    <row r="501">
      <c r="A501" s="2">
        <f>IF($A494="","","   projections")</f>
        <v/>
      </c>
      <c r="B501" s="158">
        <f>IF($A494="",0,COUNT($E502:$AR502))</f>
        <v/>
      </c>
      <c r="C501" s="159">
        <f>IF($B501=0,0,MAX($E502:$AR502))</f>
        <v/>
      </c>
      <c r="D501" s="101">
        <f>BDS($A494,FLD_PROJ,"headers=y","startcol=1","endcol=3","dir=h")</f>
        <v/>
      </c>
      <c r="E501" s="102" t="n"/>
      <c r="F501" s="102" t="n"/>
      <c r="G501" s="102" t="n"/>
      <c r="H501" s="102" t="n"/>
      <c r="I501" s="102" t="n"/>
      <c r="J501" s="102" t="n"/>
      <c r="K501" s="102" t="n"/>
      <c r="L501" s="102" t="n"/>
      <c r="M501" s="102" t="n"/>
      <c r="N501" s="102" t="n"/>
      <c r="O501" s="102" t="n"/>
      <c r="P501" s="102" t="n"/>
      <c r="Q501" s="102" t="n"/>
      <c r="R501" s="102" t="n"/>
      <c r="S501" s="102" t="n"/>
      <c r="T501" s="102" t="n"/>
      <c r="U501" s="102" t="n"/>
      <c r="V501" s="102" t="n"/>
      <c r="W501" s="102" t="n"/>
      <c r="X501" s="102" t="n"/>
      <c r="Y501" s="102" t="n"/>
      <c r="Z501" s="102" t="n"/>
      <c r="AA501" s="102" t="n"/>
      <c r="AB501" s="102" t="n"/>
      <c r="AC501" s="102" t="n"/>
      <c r="AD501" s="102" t="n"/>
      <c r="AE501" s="102" t="n"/>
      <c r="AF501" s="102" t="n"/>
      <c r="AG501" s="102" t="n"/>
      <c r="AH501" s="102" t="n"/>
      <c r="AI501" s="102" t="n"/>
      <c r="AJ501" s="102" t="n"/>
      <c r="AK501" s="102" t="n"/>
      <c r="AL501" s="102" t="n"/>
      <c r="AM501" s="102" t="n"/>
      <c r="AN501" s="102" t="n"/>
      <c r="AO501" s="102" t="n"/>
      <c r="AP501" s="102" t="n"/>
      <c r="AQ501" s="102" t="n"/>
      <c r="AR501" s="102" t="n"/>
    </row>
    <row r="502">
      <c r="D502" s="102" t="n"/>
      <c r="E502" s="102" t="n"/>
      <c r="F502" s="102" t="n"/>
      <c r="G502" s="102" t="n"/>
      <c r="H502" s="102" t="n"/>
      <c r="I502" s="102" t="n"/>
      <c r="J502" s="102" t="n"/>
      <c r="K502" s="102" t="n"/>
      <c r="L502" s="102" t="n"/>
      <c r="M502" s="102" t="n"/>
      <c r="N502" s="102" t="n"/>
      <c r="O502" s="102" t="n"/>
      <c r="P502" s="102" t="n"/>
      <c r="Q502" s="102" t="n"/>
      <c r="R502" s="102" t="n"/>
      <c r="S502" s="102" t="n"/>
      <c r="T502" s="102" t="n"/>
      <c r="U502" s="102" t="n"/>
      <c r="V502" s="102" t="n"/>
      <c r="W502" s="102" t="n"/>
      <c r="X502" s="102" t="n"/>
      <c r="Y502" s="102" t="n"/>
      <c r="Z502" s="102" t="n"/>
      <c r="AA502" s="102" t="n"/>
      <c r="AB502" s="102" t="n"/>
      <c r="AC502" s="102" t="n"/>
      <c r="AD502" s="102" t="n"/>
      <c r="AE502" s="102" t="n"/>
      <c r="AF502" s="102" t="n"/>
      <c r="AG502" s="102" t="n"/>
      <c r="AH502" s="102" t="n"/>
      <c r="AI502" s="102" t="n"/>
      <c r="AJ502" s="102" t="n"/>
      <c r="AK502" s="102" t="n"/>
      <c r="AL502" s="102" t="n"/>
      <c r="AM502" s="102" t="n"/>
      <c r="AN502" s="102" t="n"/>
      <c r="AO502" s="102" t="n"/>
      <c r="AP502" s="102" t="n"/>
      <c r="AQ502" s="102" t="n"/>
      <c r="AR502" s="102" t="n"/>
    </row>
    <row r="503">
      <c r="D503" s="160" t="n"/>
      <c r="E503" s="160" t="n"/>
      <c r="F503" s="160" t="n"/>
      <c r="G503" s="160" t="n"/>
      <c r="H503" s="160" t="n"/>
      <c r="I503" s="160" t="n"/>
      <c r="J503" s="160" t="n"/>
      <c r="K503" s="160" t="n"/>
      <c r="L503" s="160" t="n"/>
      <c r="M503" s="160" t="n"/>
      <c r="N503" s="160" t="n"/>
      <c r="O503" s="160" t="n"/>
      <c r="P503" s="160" t="n"/>
      <c r="Q503" s="160" t="n"/>
      <c r="R503" s="160" t="n"/>
      <c r="S503" s="160" t="n"/>
      <c r="T503" s="160" t="n"/>
      <c r="U503" s="160" t="n"/>
      <c r="V503" s="160" t="n"/>
      <c r="W503" s="160" t="n"/>
      <c r="X503" s="160" t="n"/>
      <c r="Y503" s="160" t="n"/>
      <c r="Z503" s="160" t="n"/>
      <c r="AA503" s="160" t="n"/>
      <c r="AB503" s="160" t="n"/>
      <c r="AC503" s="160" t="n"/>
      <c r="AD503" s="160" t="n"/>
      <c r="AE503" s="160" t="n"/>
      <c r="AF503" s="160" t="n"/>
      <c r="AG503" s="160" t="n"/>
      <c r="AH503" s="160" t="n"/>
      <c r="AI503" s="160" t="n"/>
      <c r="AJ503" s="160" t="n"/>
      <c r="AK503" s="160" t="n"/>
      <c r="AL503" s="160" t="n"/>
      <c r="AM503" s="160" t="n"/>
      <c r="AN503" s="160" t="n"/>
      <c r="AO503" s="160" t="n"/>
      <c r="AP503" s="160" t="n"/>
      <c r="AQ503" s="160" t="n"/>
      <c r="AR503" s="160" t="n"/>
    </row>
    <row r="505">
      <c r="A505" s="8">
        <f>IF(HSI!$C$52="","",HSI!$C$52)</f>
        <v/>
      </c>
      <c r="B505" s="158">
        <f>IF($A505="",0,COUNT($E506:$AR506))</f>
        <v/>
      </c>
      <c r="C505" s="159">
        <f>IF($B505=0,0,MAX($E506:$AR506))</f>
        <v/>
      </c>
      <c r="D505" s="101">
        <f>BDS($A505,FLD_HIST,"headers=y","startcol=1","endcol=7","dir=h","DVD_START_DT",HIST_FROM,"DVD_END_DT",HIST_TO)</f>
        <v/>
      </c>
      <c r="E505" s="102" t="n"/>
      <c r="F505" s="102" t="n"/>
      <c r="G505" s="102" t="n"/>
      <c r="H505" s="102" t="n"/>
      <c r="I505" s="102" t="n"/>
      <c r="J505" s="102" t="n"/>
      <c r="K505" s="102" t="n"/>
      <c r="L505" s="102" t="n"/>
      <c r="M505" s="102" t="n"/>
      <c r="N505" s="102" t="n"/>
      <c r="O505" s="102" t="n"/>
      <c r="P505" s="102" t="n"/>
      <c r="Q505" s="102" t="n"/>
      <c r="R505" s="102" t="n"/>
      <c r="S505" s="102" t="n"/>
      <c r="T505" s="102" t="n"/>
      <c r="U505" s="102" t="n"/>
      <c r="V505" s="102" t="n"/>
      <c r="W505" s="102" t="n"/>
      <c r="X505" s="102" t="n"/>
      <c r="Y505" s="102" t="n"/>
      <c r="Z505" s="102" t="n"/>
      <c r="AA505" s="102" t="n"/>
      <c r="AB505" s="102" t="n"/>
      <c r="AC505" s="102" t="n"/>
      <c r="AD505" s="102" t="n"/>
      <c r="AE505" s="102" t="n"/>
      <c r="AF505" s="102" t="n"/>
      <c r="AG505" s="102" t="n"/>
      <c r="AH505" s="102" t="n"/>
      <c r="AI505" s="102" t="n"/>
      <c r="AJ505" s="102" t="n"/>
      <c r="AK505" s="102" t="n"/>
      <c r="AL505" s="102" t="n"/>
      <c r="AM505" s="102" t="n"/>
      <c r="AN505" s="102" t="n"/>
      <c r="AO505" s="102" t="n"/>
      <c r="AP505" s="102" t="n"/>
      <c r="AQ505" s="102" t="n"/>
      <c r="AR505" s="102" t="n"/>
    </row>
    <row r="506">
      <c r="D506" s="102" t="n"/>
      <c r="E506" s="102" t="n"/>
      <c r="F506" s="102" t="n"/>
      <c r="G506" s="102" t="n"/>
      <c r="H506" s="102" t="n"/>
      <c r="I506" s="102" t="n"/>
      <c r="J506" s="102" t="n"/>
      <c r="K506" s="102" t="n"/>
      <c r="L506" s="102" t="n"/>
      <c r="M506" s="102" t="n"/>
      <c r="N506" s="102" t="n"/>
      <c r="O506" s="102" t="n"/>
      <c r="P506" s="102" t="n"/>
      <c r="Q506" s="102" t="n"/>
      <c r="R506" s="102" t="n"/>
      <c r="S506" s="102" t="n"/>
      <c r="T506" s="102" t="n"/>
      <c r="U506" s="102" t="n"/>
      <c r="V506" s="102" t="n"/>
      <c r="W506" s="102" t="n"/>
      <c r="X506" s="102" t="n"/>
      <c r="Y506" s="102" t="n"/>
      <c r="Z506" s="102" t="n"/>
      <c r="AA506" s="102" t="n"/>
      <c r="AB506" s="102" t="n"/>
      <c r="AC506" s="102" t="n"/>
      <c r="AD506" s="102" t="n"/>
      <c r="AE506" s="102" t="n"/>
      <c r="AF506" s="102" t="n"/>
      <c r="AG506" s="102" t="n"/>
      <c r="AH506" s="102" t="n"/>
      <c r="AI506" s="102" t="n"/>
      <c r="AJ506" s="102" t="n"/>
      <c r="AK506" s="102" t="n"/>
      <c r="AL506" s="102" t="n"/>
      <c r="AM506" s="102" t="n"/>
      <c r="AN506" s="102" t="n"/>
      <c r="AO506" s="102" t="n"/>
      <c r="AP506" s="102" t="n"/>
      <c r="AQ506" s="102" t="n"/>
      <c r="AR506" s="102" t="n"/>
    </row>
    <row r="507">
      <c r="D507" s="102" t="n"/>
      <c r="E507" s="102" t="n"/>
      <c r="F507" s="102" t="n"/>
      <c r="G507" s="102" t="n"/>
      <c r="H507" s="102" t="n"/>
      <c r="I507" s="102" t="n"/>
      <c r="J507" s="102" t="n"/>
      <c r="K507" s="102" t="n"/>
      <c r="L507" s="102" t="n"/>
      <c r="M507" s="102" t="n"/>
      <c r="N507" s="102" t="n"/>
      <c r="O507" s="102" t="n"/>
      <c r="P507" s="102" t="n"/>
      <c r="Q507" s="102" t="n"/>
      <c r="R507" s="102" t="n"/>
      <c r="S507" s="102" t="n"/>
      <c r="T507" s="102" t="n"/>
      <c r="U507" s="102" t="n"/>
      <c r="V507" s="102" t="n"/>
      <c r="W507" s="102" t="n"/>
      <c r="X507" s="102" t="n"/>
      <c r="Y507" s="102" t="n"/>
      <c r="Z507" s="102" t="n"/>
      <c r="AA507" s="102" t="n"/>
      <c r="AB507" s="102" t="n"/>
      <c r="AC507" s="102" t="n"/>
      <c r="AD507" s="102" t="n"/>
      <c r="AE507" s="102" t="n"/>
      <c r="AF507" s="102" t="n"/>
      <c r="AG507" s="102" t="n"/>
      <c r="AH507" s="102" t="n"/>
      <c r="AI507" s="102" t="n"/>
      <c r="AJ507" s="102" t="n"/>
      <c r="AK507" s="102" t="n"/>
      <c r="AL507" s="102" t="n"/>
      <c r="AM507" s="102" t="n"/>
      <c r="AN507" s="102" t="n"/>
      <c r="AO507" s="102" t="n"/>
      <c r="AP507" s="102" t="n"/>
      <c r="AQ507" s="102" t="n"/>
      <c r="AR507" s="102" t="n"/>
    </row>
    <row r="508">
      <c r="D508" s="102" t="n"/>
      <c r="E508" s="102" t="n"/>
      <c r="F508" s="102" t="n"/>
      <c r="G508" s="102" t="n"/>
      <c r="H508" s="102" t="n"/>
      <c r="I508" s="102" t="n"/>
      <c r="J508" s="102" t="n"/>
      <c r="K508" s="102" t="n"/>
      <c r="L508" s="102" t="n"/>
      <c r="M508" s="102" t="n"/>
      <c r="N508" s="102" t="n"/>
      <c r="O508" s="102" t="n"/>
      <c r="P508" s="102" t="n"/>
      <c r="Q508" s="102" t="n"/>
      <c r="R508" s="102" t="n"/>
      <c r="S508" s="102" t="n"/>
      <c r="T508" s="102" t="n"/>
      <c r="U508" s="102" t="n"/>
      <c r="V508" s="102" t="n"/>
      <c r="W508" s="102" t="n"/>
      <c r="X508" s="102" t="n"/>
      <c r="Y508" s="102" t="n"/>
      <c r="Z508" s="102" t="n"/>
      <c r="AA508" s="102" t="n"/>
      <c r="AB508" s="102" t="n"/>
      <c r="AC508" s="102" t="n"/>
      <c r="AD508" s="102" t="n"/>
      <c r="AE508" s="102" t="n"/>
      <c r="AF508" s="102" t="n"/>
      <c r="AG508" s="102" t="n"/>
      <c r="AH508" s="102" t="n"/>
      <c r="AI508" s="102" t="n"/>
      <c r="AJ508" s="102" t="n"/>
      <c r="AK508" s="102" t="n"/>
      <c r="AL508" s="102" t="n"/>
      <c r="AM508" s="102" t="n"/>
      <c r="AN508" s="102" t="n"/>
      <c r="AO508" s="102" t="n"/>
      <c r="AP508" s="102" t="n"/>
      <c r="AQ508" s="102" t="n"/>
      <c r="AR508" s="102" t="n"/>
    </row>
    <row r="509">
      <c r="D509" s="160" t="n"/>
      <c r="E509" s="160" t="n"/>
      <c r="F509" s="160" t="n"/>
      <c r="G509" s="160" t="n"/>
      <c r="H509" s="160" t="n"/>
      <c r="I509" s="160" t="n"/>
      <c r="J509" s="160" t="n"/>
      <c r="K509" s="160" t="n"/>
      <c r="L509" s="160" t="n"/>
      <c r="M509" s="160" t="n"/>
      <c r="N509" s="160" t="n"/>
      <c r="O509" s="160" t="n"/>
      <c r="P509" s="160" t="n"/>
      <c r="Q509" s="160" t="n"/>
      <c r="R509" s="160" t="n"/>
      <c r="S509" s="160" t="n"/>
      <c r="T509" s="160" t="n"/>
      <c r="U509" s="160" t="n"/>
      <c r="V509" s="160" t="n"/>
      <c r="W509" s="160" t="n"/>
      <c r="X509" s="160" t="n"/>
      <c r="Y509" s="160" t="n"/>
      <c r="Z509" s="160" t="n"/>
      <c r="AA509" s="160" t="n"/>
      <c r="AB509" s="160" t="n"/>
      <c r="AC509" s="160" t="n"/>
      <c r="AD509" s="160" t="n"/>
      <c r="AE509" s="160" t="n"/>
      <c r="AF509" s="160" t="n"/>
      <c r="AG509" s="160" t="n"/>
      <c r="AH509" s="160" t="n"/>
      <c r="AI509" s="160" t="n"/>
      <c r="AJ509" s="160" t="n"/>
      <c r="AK509" s="160" t="n"/>
      <c r="AL509" s="160" t="n"/>
      <c r="AM509" s="160" t="n"/>
      <c r="AN509" s="160" t="n"/>
      <c r="AO509" s="160" t="n"/>
      <c r="AP509" s="160" t="n"/>
      <c r="AQ509" s="160" t="n"/>
      <c r="AR509" s="160" t="n"/>
    </row>
    <row r="512">
      <c r="A512" s="2">
        <f>IF($A505="","","   projections")</f>
        <v/>
      </c>
      <c r="B512" s="158">
        <f>IF($A505="",0,COUNT($E513:$AR513))</f>
        <v/>
      </c>
      <c r="C512" s="159">
        <f>IF($B512=0,0,MAX($E513:$AR513))</f>
        <v/>
      </c>
      <c r="D512" s="101">
        <f>BDS($A505,FLD_PROJ,"headers=y","startcol=1","endcol=3","dir=h")</f>
        <v/>
      </c>
      <c r="E512" s="102" t="n"/>
      <c r="F512" s="102" t="n"/>
      <c r="G512" s="102" t="n"/>
      <c r="H512" s="102" t="n"/>
      <c r="I512" s="102" t="n"/>
      <c r="J512" s="102" t="n"/>
      <c r="K512" s="102" t="n"/>
      <c r="L512" s="102" t="n"/>
      <c r="M512" s="102" t="n"/>
      <c r="N512" s="102" t="n"/>
      <c r="O512" s="102" t="n"/>
      <c r="P512" s="102" t="n"/>
      <c r="Q512" s="102" t="n"/>
      <c r="R512" s="102" t="n"/>
      <c r="S512" s="102" t="n"/>
      <c r="T512" s="102" t="n"/>
      <c r="U512" s="102" t="n"/>
      <c r="V512" s="102" t="n"/>
      <c r="W512" s="102" t="n"/>
      <c r="X512" s="102" t="n"/>
      <c r="Y512" s="102" t="n"/>
      <c r="Z512" s="102" t="n"/>
      <c r="AA512" s="102" t="n"/>
      <c r="AB512" s="102" t="n"/>
      <c r="AC512" s="102" t="n"/>
      <c r="AD512" s="102" t="n"/>
      <c r="AE512" s="102" t="n"/>
      <c r="AF512" s="102" t="n"/>
      <c r="AG512" s="102" t="n"/>
      <c r="AH512" s="102" t="n"/>
      <c r="AI512" s="102" t="n"/>
      <c r="AJ512" s="102" t="n"/>
      <c r="AK512" s="102" t="n"/>
      <c r="AL512" s="102" t="n"/>
      <c r="AM512" s="102" t="n"/>
      <c r="AN512" s="102" t="n"/>
      <c r="AO512" s="102" t="n"/>
      <c r="AP512" s="102" t="n"/>
      <c r="AQ512" s="102" t="n"/>
      <c r="AR512" s="102" t="n"/>
    </row>
    <row r="513">
      <c r="D513" s="102" t="n"/>
      <c r="E513" s="102" t="n"/>
      <c r="F513" s="102" t="n"/>
      <c r="G513" s="102" t="n"/>
      <c r="H513" s="102" t="n"/>
      <c r="I513" s="102" t="n"/>
      <c r="J513" s="102" t="n"/>
      <c r="K513" s="102" t="n"/>
      <c r="L513" s="102" t="n"/>
      <c r="M513" s="102" t="n"/>
      <c r="N513" s="102" t="n"/>
      <c r="O513" s="102" t="n"/>
      <c r="P513" s="102" t="n"/>
      <c r="Q513" s="102" t="n"/>
      <c r="R513" s="102" t="n"/>
      <c r="S513" s="102" t="n"/>
      <c r="T513" s="102" t="n"/>
      <c r="U513" s="102" t="n"/>
      <c r="V513" s="102" t="n"/>
      <c r="W513" s="102" t="n"/>
      <c r="X513" s="102" t="n"/>
      <c r="Y513" s="102" t="n"/>
      <c r="Z513" s="102" t="n"/>
      <c r="AA513" s="102" t="n"/>
      <c r="AB513" s="102" t="n"/>
      <c r="AC513" s="102" t="n"/>
      <c r="AD513" s="102" t="n"/>
      <c r="AE513" s="102" t="n"/>
      <c r="AF513" s="102" t="n"/>
      <c r="AG513" s="102" t="n"/>
      <c r="AH513" s="102" t="n"/>
      <c r="AI513" s="102" t="n"/>
      <c r="AJ513" s="102" t="n"/>
      <c r="AK513" s="102" t="n"/>
      <c r="AL513" s="102" t="n"/>
      <c r="AM513" s="102" t="n"/>
      <c r="AN513" s="102" t="n"/>
      <c r="AO513" s="102" t="n"/>
      <c r="AP513" s="102" t="n"/>
      <c r="AQ513" s="102" t="n"/>
      <c r="AR513" s="102" t="n"/>
    </row>
    <row r="514">
      <c r="D514" s="160" t="n"/>
      <c r="E514" s="160" t="n"/>
      <c r="F514" s="160" t="n"/>
      <c r="G514" s="160" t="n"/>
      <c r="H514" s="160" t="n"/>
      <c r="I514" s="160" t="n"/>
      <c r="J514" s="160" t="n"/>
      <c r="K514" s="160" t="n"/>
      <c r="L514" s="160" t="n"/>
      <c r="M514" s="160" t="n"/>
      <c r="N514" s="160" t="n"/>
      <c r="O514" s="160" t="n"/>
      <c r="P514" s="160" t="n"/>
      <c r="Q514" s="160" t="n"/>
      <c r="R514" s="160" t="n"/>
      <c r="S514" s="160" t="n"/>
      <c r="T514" s="160" t="n"/>
      <c r="U514" s="160" t="n"/>
      <c r="V514" s="160" t="n"/>
      <c r="W514" s="160" t="n"/>
      <c r="X514" s="160" t="n"/>
      <c r="Y514" s="160" t="n"/>
      <c r="Z514" s="160" t="n"/>
      <c r="AA514" s="160" t="n"/>
      <c r="AB514" s="160" t="n"/>
      <c r="AC514" s="160" t="n"/>
      <c r="AD514" s="160" t="n"/>
      <c r="AE514" s="160" t="n"/>
      <c r="AF514" s="160" t="n"/>
      <c r="AG514" s="160" t="n"/>
      <c r="AH514" s="160" t="n"/>
      <c r="AI514" s="160" t="n"/>
      <c r="AJ514" s="160" t="n"/>
      <c r="AK514" s="160" t="n"/>
      <c r="AL514" s="160" t="n"/>
      <c r="AM514" s="160" t="n"/>
      <c r="AN514" s="160" t="n"/>
      <c r="AO514" s="160" t="n"/>
      <c r="AP514" s="160" t="n"/>
      <c r="AQ514" s="160" t="n"/>
      <c r="AR514" s="160" t="n"/>
    </row>
    <row r="516">
      <c r="A516" s="8">
        <f>IF(HSI!$C$53="","",HSI!$C$53)</f>
        <v/>
      </c>
      <c r="B516" s="158">
        <f>IF($A516="",0,COUNT($E517:$AR517))</f>
        <v/>
      </c>
      <c r="C516" s="159">
        <f>IF($B516=0,0,MAX($E517:$AR517))</f>
        <v/>
      </c>
      <c r="D516" s="101">
        <f>BDS($A516,FLD_HIST,"headers=y","startcol=1","endcol=7","dir=h","DVD_START_DT",HIST_FROM,"DVD_END_DT",HIST_TO)</f>
        <v/>
      </c>
      <c r="E516" s="102" t="n"/>
      <c r="F516" s="102" t="n"/>
      <c r="G516" s="102" t="n"/>
      <c r="H516" s="102" t="n"/>
      <c r="I516" s="102" t="n"/>
      <c r="J516" s="102" t="n"/>
      <c r="K516" s="102" t="n"/>
      <c r="L516" s="102" t="n"/>
      <c r="M516" s="102" t="n"/>
      <c r="N516" s="102" t="n"/>
      <c r="O516" s="102" t="n"/>
      <c r="P516" s="102" t="n"/>
      <c r="Q516" s="102" t="n"/>
      <c r="R516" s="102" t="n"/>
      <c r="S516" s="102" t="n"/>
      <c r="T516" s="102" t="n"/>
      <c r="U516" s="102" t="n"/>
      <c r="V516" s="102" t="n"/>
      <c r="W516" s="102" t="n"/>
      <c r="X516" s="102" t="n"/>
      <c r="Y516" s="102" t="n"/>
      <c r="Z516" s="102" t="n"/>
      <c r="AA516" s="102" t="n"/>
      <c r="AB516" s="102" t="n"/>
      <c r="AC516" s="102" t="n"/>
      <c r="AD516" s="102" t="n"/>
      <c r="AE516" s="102" t="n"/>
      <c r="AF516" s="102" t="n"/>
      <c r="AG516" s="102" t="n"/>
      <c r="AH516" s="102" t="n"/>
      <c r="AI516" s="102" t="n"/>
      <c r="AJ516" s="102" t="n"/>
      <c r="AK516" s="102" t="n"/>
      <c r="AL516" s="102" t="n"/>
      <c r="AM516" s="102" t="n"/>
      <c r="AN516" s="102" t="n"/>
      <c r="AO516" s="102" t="n"/>
      <c r="AP516" s="102" t="n"/>
      <c r="AQ516" s="102" t="n"/>
      <c r="AR516" s="102" t="n"/>
    </row>
    <row r="517">
      <c r="D517" s="102" t="n"/>
      <c r="E517" s="102" t="n"/>
      <c r="F517" s="102" t="n"/>
      <c r="G517" s="102" t="n"/>
      <c r="H517" s="102" t="n"/>
      <c r="I517" s="102" t="n"/>
      <c r="J517" s="102" t="n"/>
      <c r="K517" s="102" t="n"/>
      <c r="L517" s="102" t="n"/>
      <c r="M517" s="102" t="n"/>
      <c r="N517" s="102" t="n"/>
      <c r="O517" s="102" t="n"/>
      <c r="P517" s="102" t="n"/>
      <c r="Q517" s="102" t="n"/>
      <c r="R517" s="102" t="n"/>
      <c r="S517" s="102" t="n"/>
      <c r="T517" s="102" t="n"/>
      <c r="U517" s="102" t="n"/>
      <c r="V517" s="102" t="n"/>
      <c r="W517" s="102" t="n"/>
      <c r="X517" s="102" t="n"/>
      <c r="Y517" s="102" t="n"/>
      <c r="Z517" s="102" t="n"/>
      <c r="AA517" s="102" t="n"/>
      <c r="AB517" s="102" t="n"/>
      <c r="AC517" s="102" t="n"/>
      <c r="AD517" s="102" t="n"/>
      <c r="AE517" s="102" t="n"/>
      <c r="AF517" s="102" t="n"/>
      <c r="AG517" s="102" t="n"/>
      <c r="AH517" s="102" t="n"/>
      <c r="AI517" s="102" t="n"/>
      <c r="AJ517" s="102" t="n"/>
      <c r="AK517" s="102" t="n"/>
      <c r="AL517" s="102" t="n"/>
      <c r="AM517" s="102" t="n"/>
      <c r="AN517" s="102" t="n"/>
      <c r="AO517" s="102" t="n"/>
      <c r="AP517" s="102" t="n"/>
      <c r="AQ517" s="102" t="n"/>
      <c r="AR517" s="102" t="n"/>
    </row>
    <row r="518">
      <c r="D518" s="102" t="n"/>
      <c r="E518" s="102" t="n"/>
      <c r="F518" s="102" t="n"/>
      <c r="G518" s="102" t="n"/>
      <c r="H518" s="102" t="n"/>
      <c r="I518" s="102" t="n"/>
      <c r="J518" s="102" t="n"/>
      <c r="K518" s="102" t="n"/>
      <c r="L518" s="102" t="n"/>
      <c r="M518" s="102" t="n"/>
      <c r="N518" s="102" t="n"/>
      <c r="O518" s="102" t="n"/>
      <c r="P518" s="102" t="n"/>
      <c r="Q518" s="102" t="n"/>
      <c r="R518" s="102" t="n"/>
      <c r="S518" s="102" t="n"/>
      <c r="T518" s="102" t="n"/>
      <c r="U518" s="102" t="n"/>
      <c r="V518" s="102" t="n"/>
      <c r="W518" s="102" t="n"/>
      <c r="X518" s="102" t="n"/>
      <c r="Y518" s="102" t="n"/>
      <c r="Z518" s="102" t="n"/>
      <c r="AA518" s="102" t="n"/>
      <c r="AB518" s="102" t="n"/>
      <c r="AC518" s="102" t="n"/>
      <c r="AD518" s="102" t="n"/>
      <c r="AE518" s="102" t="n"/>
      <c r="AF518" s="102" t="n"/>
      <c r="AG518" s="102" t="n"/>
      <c r="AH518" s="102" t="n"/>
      <c r="AI518" s="102" t="n"/>
      <c r="AJ518" s="102" t="n"/>
      <c r="AK518" s="102" t="n"/>
      <c r="AL518" s="102" t="n"/>
      <c r="AM518" s="102" t="n"/>
      <c r="AN518" s="102" t="n"/>
      <c r="AO518" s="102" t="n"/>
      <c r="AP518" s="102" t="n"/>
      <c r="AQ518" s="102" t="n"/>
      <c r="AR518" s="102" t="n"/>
    </row>
    <row r="519">
      <c r="D519" s="102" t="n"/>
      <c r="E519" s="102" t="n"/>
      <c r="F519" s="102" t="n"/>
      <c r="G519" s="102" t="n"/>
      <c r="H519" s="102" t="n"/>
      <c r="I519" s="102" t="n"/>
      <c r="J519" s="102" t="n"/>
      <c r="K519" s="102" t="n"/>
      <c r="L519" s="102" t="n"/>
      <c r="M519" s="102" t="n"/>
      <c r="N519" s="102" t="n"/>
      <c r="O519" s="102" t="n"/>
      <c r="P519" s="102" t="n"/>
      <c r="Q519" s="102" t="n"/>
      <c r="R519" s="102" t="n"/>
      <c r="S519" s="102" t="n"/>
      <c r="T519" s="102" t="n"/>
      <c r="U519" s="102" t="n"/>
      <c r="V519" s="102" t="n"/>
      <c r="W519" s="102" t="n"/>
      <c r="X519" s="102" t="n"/>
      <c r="Y519" s="102" t="n"/>
      <c r="Z519" s="102" t="n"/>
      <c r="AA519" s="102" t="n"/>
      <c r="AB519" s="102" t="n"/>
      <c r="AC519" s="102" t="n"/>
      <c r="AD519" s="102" t="n"/>
      <c r="AE519" s="102" t="n"/>
      <c r="AF519" s="102" t="n"/>
      <c r="AG519" s="102" t="n"/>
      <c r="AH519" s="102" t="n"/>
      <c r="AI519" s="102" t="n"/>
      <c r="AJ519" s="102" t="n"/>
      <c r="AK519" s="102" t="n"/>
      <c r="AL519" s="102" t="n"/>
      <c r="AM519" s="102" t="n"/>
      <c r="AN519" s="102" t="n"/>
      <c r="AO519" s="102" t="n"/>
      <c r="AP519" s="102" t="n"/>
      <c r="AQ519" s="102" t="n"/>
      <c r="AR519" s="102" t="n"/>
    </row>
    <row r="520">
      <c r="D520" s="160" t="n"/>
      <c r="E520" s="160" t="n"/>
      <c r="F520" s="160" t="n"/>
      <c r="G520" s="160" t="n"/>
      <c r="H520" s="160" t="n"/>
      <c r="I520" s="160" t="n"/>
      <c r="J520" s="160" t="n"/>
      <c r="K520" s="160" t="n"/>
      <c r="L520" s="160" t="n"/>
      <c r="M520" s="160" t="n"/>
      <c r="N520" s="160" t="n"/>
      <c r="O520" s="160" t="n"/>
      <c r="P520" s="160" t="n"/>
      <c r="Q520" s="160" t="n"/>
      <c r="R520" s="160" t="n"/>
      <c r="S520" s="160" t="n"/>
      <c r="T520" s="160" t="n"/>
      <c r="U520" s="160" t="n"/>
      <c r="V520" s="160" t="n"/>
      <c r="W520" s="160" t="n"/>
      <c r="X520" s="160" t="n"/>
      <c r="Y520" s="160" t="n"/>
      <c r="Z520" s="160" t="n"/>
      <c r="AA520" s="160" t="n"/>
      <c r="AB520" s="160" t="n"/>
      <c r="AC520" s="160" t="n"/>
      <c r="AD520" s="160" t="n"/>
      <c r="AE520" s="160" t="n"/>
      <c r="AF520" s="160" t="n"/>
      <c r="AG520" s="160" t="n"/>
      <c r="AH520" s="160" t="n"/>
      <c r="AI520" s="160" t="n"/>
      <c r="AJ520" s="160" t="n"/>
      <c r="AK520" s="160" t="n"/>
      <c r="AL520" s="160" t="n"/>
      <c r="AM520" s="160" t="n"/>
      <c r="AN520" s="160" t="n"/>
      <c r="AO520" s="160" t="n"/>
      <c r="AP520" s="160" t="n"/>
      <c r="AQ520" s="160" t="n"/>
      <c r="AR520" s="160" t="n"/>
    </row>
    <row r="523">
      <c r="A523" s="2">
        <f>IF($A516="","","   projections")</f>
        <v/>
      </c>
      <c r="B523" s="158">
        <f>IF($A516="",0,COUNT($E524:$AR524))</f>
        <v/>
      </c>
      <c r="C523" s="159">
        <f>IF($B523=0,0,MAX($E524:$AR524))</f>
        <v/>
      </c>
      <c r="D523" s="101">
        <f>BDS($A516,FLD_PROJ,"headers=y","startcol=1","endcol=3","dir=h")</f>
        <v/>
      </c>
      <c r="E523" s="102" t="n"/>
      <c r="F523" s="102" t="n"/>
      <c r="G523" s="102" t="n"/>
      <c r="H523" s="102" t="n"/>
      <c r="I523" s="102" t="n"/>
      <c r="J523" s="102" t="n"/>
      <c r="K523" s="102" t="n"/>
      <c r="L523" s="102" t="n"/>
      <c r="M523" s="102" t="n"/>
      <c r="N523" s="102" t="n"/>
      <c r="O523" s="102" t="n"/>
      <c r="P523" s="102" t="n"/>
      <c r="Q523" s="102" t="n"/>
      <c r="R523" s="102" t="n"/>
      <c r="S523" s="102" t="n"/>
      <c r="T523" s="102" t="n"/>
      <c r="U523" s="102" t="n"/>
      <c r="V523" s="102" t="n"/>
      <c r="W523" s="102" t="n"/>
      <c r="X523" s="102" t="n"/>
      <c r="Y523" s="102" t="n"/>
      <c r="Z523" s="102" t="n"/>
      <c r="AA523" s="102" t="n"/>
      <c r="AB523" s="102" t="n"/>
      <c r="AC523" s="102" t="n"/>
      <c r="AD523" s="102" t="n"/>
      <c r="AE523" s="102" t="n"/>
      <c r="AF523" s="102" t="n"/>
      <c r="AG523" s="102" t="n"/>
      <c r="AH523" s="102" t="n"/>
      <c r="AI523" s="102" t="n"/>
      <c r="AJ523" s="102" t="n"/>
      <c r="AK523" s="102" t="n"/>
      <c r="AL523" s="102" t="n"/>
      <c r="AM523" s="102" t="n"/>
      <c r="AN523" s="102" t="n"/>
      <c r="AO523" s="102" t="n"/>
      <c r="AP523" s="102" t="n"/>
      <c r="AQ523" s="102" t="n"/>
      <c r="AR523" s="102" t="n"/>
    </row>
    <row r="524">
      <c r="D524" s="102" t="n"/>
      <c r="E524" s="102" t="n"/>
      <c r="F524" s="102" t="n"/>
      <c r="G524" s="102" t="n"/>
      <c r="H524" s="102" t="n"/>
      <c r="I524" s="102" t="n"/>
      <c r="J524" s="102" t="n"/>
      <c r="K524" s="102" t="n"/>
      <c r="L524" s="102" t="n"/>
      <c r="M524" s="102" t="n"/>
      <c r="N524" s="102" t="n"/>
      <c r="O524" s="102" t="n"/>
      <c r="P524" s="102" t="n"/>
      <c r="Q524" s="102" t="n"/>
      <c r="R524" s="102" t="n"/>
      <c r="S524" s="102" t="n"/>
      <c r="T524" s="102" t="n"/>
      <c r="U524" s="102" t="n"/>
      <c r="V524" s="102" t="n"/>
      <c r="W524" s="102" t="n"/>
      <c r="X524" s="102" t="n"/>
      <c r="Y524" s="102" t="n"/>
      <c r="Z524" s="102" t="n"/>
      <c r="AA524" s="102" t="n"/>
      <c r="AB524" s="102" t="n"/>
      <c r="AC524" s="102" t="n"/>
      <c r="AD524" s="102" t="n"/>
      <c r="AE524" s="102" t="n"/>
      <c r="AF524" s="102" t="n"/>
      <c r="AG524" s="102" t="n"/>
      <c r="AH524" s="102" t="n"/>
      <c r="AI524" s="102" t="n"/>
      <c r="AJ524" s="102" t="n"/>
      <c r="AK524" s="102" t="n"/>
      <c r="AL524" s="102" t="n"/>
      <c r="AM524" s="102" t="n"/>
      <c r="AN524" s="102" t="n"/>
      <c r="AO524" s="102" t="n"/>
      <c r="AP524" s="102" t="n"/>
      <c r="AQ524" s="102" t="n"/>
      <c r="AR524" s="102" t="n"/>
    </row>
    <row r="525">
      <c r="D525" s="160" t="n"/>
      <c r="E525" s="160" t="n"/>
      <c r="F525" s="160" t="n"/>
      <c r="G525" s="160" t="n"/>
      <c r="H525" s="160" t="n"/>
      <c r="I525" s="160" t="n"/>
      <c r="J525" s="160" t="n"/>
      <c r="K525" s="160" t="n"/>
      <c r="L525" s="160" t="n"/>
      <c r="M525" s="160" t="n"/>
      <c r="N525" s="160" t="n"/>
      <c r="O525" s="160" t="n"/>
      <c r="P525" s="160" t="n"/>
      <c r="Q525" s="160" t="n"/>
      <c r="R525" s="160" t="n"/>
      <c r="S525" s="160" t="n"/>
      <c r="T525" s="160" t="n"/>
      <c r="U525" s="160" t="n"/>
      <c r="V525" s="160" t="n"/>
      <c r="W525" s="160" t="n"/>
      <c r="X525" s="160" t="n"/>
      <c r="Y525" s="160" t="n"/>
      <c r="Z525" s="160" t="n"/>
      <c r="AA525" s="160" t="n"/>
      <c r="AB525" s="160" t="n"/>
      <c r="AC525" s="160" t="n"/>
      <c r="AD525" s="160" t="n"/>
      <c r="AE525" s="160" t="n"/>
      <c r="AF525" s="160" t="n"/>
      <c r="AG525" s="160" t="n"/>
      <c r="AH525" s="160" t="n"/>
      <c r="AI525" s="160" t="n"/>
      <c r="AJ525" s="160" t="n"/>
      <c r="AK525" s="160" t="n"/>
      <c r="AL525" s="160" t="n"/>
      <c r="AM525" s="160" t="n"/>
      <c r="AN525" s="160" t="n"/>
      <c r="AO525" s="160" t="n"/>
      <c r="AP525" s="160" t="n"/>
      <c r="AQ525" s="160" t="n"/>
      <c r="AR525" s="160" t="n"/>
    </row>
    <row r="527">
      <c r="A527" s="8">
        <f>IF(HSI!$C$54="","",HSI!$C$54)</f>
        <v/>
      </c>
      <c r="B527" s="158">
        <f>IF($A527="",0,COUNT($E528:$AR528))</f>
        <v/>
      </c>
      <c r="C527" s="159">
        <f>IF($B527=0,0,MAX($E528:$AR528))</f>
        <v/>
      </c>
      <c r="D527" s="101">
        <f>BDS($A527,FLD_HIST,"headers=y","startcol=1","endcol=7","dir=h","DVD_START_DT",HIST_FROM,"DVD_END_DT",HIST_TO)</f>
        <v/>
      </c>
      <c r="E527" s="102" t="n"/>
      <c r="F527" s="102" t="n"/>
      <c r="G527" s="102" t="n"/>
      <c r="H527" s="102" t="n"/>
      <c r="I527" s="102" t="n"/>
      <c r="J527" s="102" t="n"/>
      <c r="K527" s="102" t="n"/>
      <c r="L527" s="102" t="n"/>
      <c r="M527" s="102" t="n"/>
      <c r="N527" s="102" t="n"/>
      <c r="O527" s="102" t="n"/>
      <c r="P527" s="102" t="n"/>
      <c r="Q527" s="102" t="n"/>
      <c r="R527" s="102" t="n"/>
      <c r="S527" s="102" t="n"/>
      <c r="T527" s="102" t="n"/>
      <c r="U527" s="102" t="n"/>
      <c r="V527" s="102" t="n"/>
      <c r="W527" s="102" t="n"/>
      <c r="X527" s="102" t="n"/>
      <c r="Y527" s="102" t="n"/>
      <c r="Z527" s="102" t="n"/>
      <c r="AA527" s="102" t="n"/>
      <c r="AB527" s="102" t="n"/>
      <c r="AC527" s="102" t="n"/>
      <c r="AD527" s="102" t="n"/>
      <c r="AE527" s="102" t="n"/>
      <c r="AF527" s="102" t="n"/>
      <c r="AG527" s="102" t="n"/>
      <c r="AH527" s="102" t="n"/>
      <c r="AI527" s="102" t="n"/>
      <c r="AJ527" s="102" t="n"/>
      <c r="AK527" s="102" t="n"/>
      <c r="AL527" s="102" t="n"/>
      <c r="AM527" s="102" t="n"/>
      <c r="AN527" s="102" t="n"/>
      <c r="AO527" s="102" t="n"/>
      <c r="AP527" s="102" t="n"/>
      <c r="AQ527" s="102" t="n"/>
      <c r="AR527" s="102" t="n"/>
    </row>
    <row r="528">
      <c r="D528" s="102" t="n"/>
      <c r="E528" s="102" t="n"/>
      <c r="F528" s="102" t="n"/>
      <c r="G528" s="102" t="n"/>
      <c r="H528" s="102" t="n"/>
      <c r="I528" s="102" t="n"/>
      <c r="J528" s="102" t="n"/>
      <c r="K528" s="102" t="n"/>
      <c r="L528" s="102" t="n"/>
      <c r="M528" s="102" t="n"/>
      <c r="N528" s="102" t="n"/>
      <c r="O528" s="102" t="n"/>
      <c r="P528" s="102" t="n"/>
      <c r="Q528" s="102" t="n"/>
      <c r="R528" s="102" t="n"/>
      <c r="S528" s="102" t="n"/>
      <c r="T528" s="102" t="n"/>
      <c r="U528" s="102" t="n"/>
      <c r="V528" s="102" t="n"/>
      <c r="W528" s="102" t="n"/>
      <c r="X528" s="102" t="n"/>
      <c r="Y528" s="102" t="n"/>
      <c r="Z528" s="102" t="n"/>
      <c r="AA528" s="102" t="n"/>
      <c r="AB528" s="102" t="n"/>
      <c r="AC528" s="102" t="n"/>
      <c r="AD528" s="102" t="n"/>
      <c r="AE528" s="102" t="n"/>
      <c r="AF528" s="102" t="n"/>
      <c r="AG528" s="102" t="n"/>
      <c r="AH528" s="102" t="n"/>
      <c r="AI528" s="102" t="n"/>
      <c r="AJ528" s="102" t="n"/>
      <c r="AK528" s="102" t="n"/>
      <c r="AL528" s="102" t="n"/>
      <c r="AM528" s="102" t="n"/>
      <c r="AN528" s="102" t="n"/>
      <c r="AO528" s="102" t="n"/>
      <c r="AP528" s="102" t="n"/>
      <c r="AQ528" s="102" t="n"/>
      <c r="AR528" s="102" t="n"/>
    </row>
    <row r="529">
      <c r="D529" s="102" t="n"/>
      <c r="E529" s="102" t="n"/>
      <c r="F529" s="102" t="n"/>
      <c r="G529" s="102" t="n"/>
      <c r="H529" s="102" t="n"/>
      <c r="I529" s="102" t="n"/>
      <c r="J529" s="102" t="n"/>
      <c r="K529" s="102" t="n"/>
      <c r="L529" s="102" t="n"/>
      <c r="M529" s="102" t="n"/>
      <c r="N529" s="102" t="n"/>
      <c r="O529" s="102" t="n"/>
      <c r="P529" s="102" t="n"/>
      <c r="Q529" s="102" t="n"/>
      <c r="R529" s="102" t="n"/>
      <c r="S529" s="102" t="n"/>
      <c r="T529" s="102" t="n"/>
      <c r="U529" s="102" t="n"/>
      <c r="V529" s="102" t="n"/>
      <c r="W529" s="102" t="n"/>
      <c r="X529" s="102" t="n"/>
      <c r="Y529" s="102" t="n"/>
      <c r="Z529" s="102" t="n"/>
      <c r="AA529" s="102" t="n"/>
      <c r="AB529" s="102" t="n"/>
      <c r="AC529" s="102" t="n"/>
      <c r="AD529" s="102" t="n"/>
      <c r="AE529" s="102" t="n"/>
      <c r="AF529" s="102" t="n"/>
      <c r="AG529" s="102" t="n"/>
      <c r="AH529" s="102" t="n"/>
      <c r="AI529" s="102" t="n"/>
      <c r="AJ529" s="102" t="n"/>
      <c r="AK529" s="102" t="n"/>
      <c r="AL529" s="102" t="n"/>
      <c r="AM529" s="102" t="n"/>
      <c r="AN529" s="102" t="n"/>
      <c r="AO529" s="102" t="n"/>
      <c r="AP529" s="102" t="n"/>
      <c r="AQ529" s="102" t="n"/>
      <c r="AR529" s="102" t="n"/>
    </row>
    <row r="530">
      <c r="D530" s="102" t="n"/>
      <c r="E530" s="102" t="n"/>
      <c r="F530" s="102" t="n"/>
      <c r="G530" s="102" t="n"/>
      <c r="H530" s="102" t="n"/>
      <c r="I530" s="102" t="n"/>
      <c r="J530" s="102" t="n"/>
      <c r="K530" s="102" t="n"/>
      <c r="L530" s="102" t="n"/>
      <c r="M530" s="102" t="n"/>
      <c r="N530" s="102" t="n"/>
      <c r="O530" s="102" t="n"/>
      <c r="P530" s="102" t="n"/>
      <c r="Q530" s="102" t="n"/>
      <c r="R530" s="102" t="n"/>
      <c r="S530" s="102" t="n"/>
      <c r="T530" s="102" t="n"/>
      <c r="U530" s="102" t="n"/>
      <c r="V530" s="102" t="n"/>
      <c r="W530" s="102" t="n"/>
      <c r="X530" s="102" t="n"/>
      <c r="Y530" s="102" t="n"/>
      <c r="Z530" s="102" t="n"/>
      <c r="AA530" s="102" t="n"/>
      <c r="AB530" s="102" t="n"/>
      <c r="AC530" s="102" t="n"/>
      <c r="AD530" s="102" t="n"/>
      <c r="AE530" s="102" t="n"/>
      <c r="AF530" s="102" t="n"/>
      <c r="AG530" s="102" t="n"/>
      <c r="AH530" s="102" t="n"/>
      <c r="AI530" s="102" t="n"/>
      <c r="AJ530" s="102" t="n"/>
      <c r="AK530" s="102" t="n"/>
      <c r="AL530" s="102" t="n"/>
      <c r="AM530" s="102" t="n"/>
      <c r="AN530" s="102" t="n"/>
      <c r="AO530" s="102" t="n"/>
      <c r="AP530" s="102" t="n"/>
      <c r="AQ530" s="102" t="n"/>
      <c r="AR530" s="102" t="n"/>
    </row>
    <row r="531">
      <c r="D531" s="160" t="n"/>
      <c r="E531" s="160" t="n"/>
      <c r="F531" s="160" t="n"/>
      <c r="G531" s="160" t="n"/>
      <c r="H531" s="160" t="n"/>
      <c r="I531" s="160" t="n"/>
      <c r="J531" s="160" t="n"/>
      <c r="K531" s="160" t="n"/>
      <c r="L531" s="160" t="n"/>
      <c r="M531" s="160" t="n"/>
      <c r="N531" s="160" t="n"/>
      <c r="O531" s="160" t="n"/>
      <c r="P531" s="160" t="n"/>
      <c r="Q531" s="160" t="n"/>
      <c r="R531" s="160" t="n"/>
      <c r="S531" s="160" t="n"/>
      <c r="T531" s="160" t="n"/>
      <c r="U531" s="160" t="n"/>
      <c r="V531" s="160" t="n"/>
      <c r="W531" s="160" t="n"/>
      <c r="X531" s="160" t="n"/>
      <c r="Y531" s="160" t="n"/>
      <c r="Z531" s="160" t="n"/>
      <c r="AA531" s="160" t="n"/>
      <c r="AB531" s="160" t="n"/>
      <c r="AC531" s="160" t="n"/>
      <c r="AD531" s="160" t="n"/>
      <c r="AE531" s="160" t="n"/>
      <c r="AF531" s="160" t="n"/>
      <c r="AG531" s="160" t="n"/>
      <c r="AH531" s="160" t="n"/>
      <c r="AI531" s="160" t="n"/>
      <c r="AJ531" s="160" t="n"/>
      <c r="AK531" s="160" t="n"/>
      <c r="AL531" s="160" t="n"/>
      <c r="AM531" s="160" t="n"/>
      <c r="AN531" s="160" t="n"/>
      <c r="AO531" s="160" t="n"/>
      <c r="AP531" s="160" t="n"/>
      <c r="AQ531" s="160" t="n"/>
      <c r="AR531" s="160" t="n"/>
    </row>
    <row r="534">
      <c r="A534" s="2">
        <f>IF($A527="","","   projections")</f>
        <v/>
      </c>
      <c r="B534" s="158">
        <f>IF($A527="",0,COUNT($E535:$AR535))</f>
        <v/>
      </c>
      <c r="C534" s="159">
        <f>IF($B534=0,0,MAX($E535:$AR535))</f>
        <v/>
      </c>
      <c r="D534" s="101">
        <f>BDS($A527,FLD_PROJ,"headers=y","startcol=1","endcol=3","dir=h")</f>
        <v/>
      </c>
      <c r="E534" s="102" t="n"/>
      <c r="F534" s="102" t="n"/>
      <c r="G534" s="102" t="n"/>
      <c r="H534" s="102" t="n"/>
      <c r="I534" s="102" t="n"/>
      <c r="J534" s="102" t="n"/>
      <c r="K534" s="102" t="n"/>
      <c r="L534" s="102" t="n"/>
      <c r="M534" s="102" t="n"/>
      <c r="N534" s="102" t="n"/>
      <c r="O534" s="102" t="n"/>
      <c r="P534" s="102" t="n"/>
      <c r="Q534" s="102" t="n"/>
      <c r="R534" s="102" t="n"/>
      <c r="S534" s="102" t="n"/>
      <c r="T534" s="102" t="n"/>
      <c r="U534" s="102" t="n"/>
      <c r="V534" s="102" t="n"/>
      <c r="W534" s="102" t="n"/>
      <c r="X534" s="102" t="n"/>
      <c r="Y534" s="102" t="n"/>
      <c r="Z534" s="102" t="n"/>
      <c r="AA534" s="102" t="n"/>
      <c r="AB534" s="102" t="n"/>
      <c r="AC534" s="102" t="n"/>
      <c r="AD534" s="102" t="n"/>
      <c r="AE534" s="102" t="n"/>
      <c r="AF534" s="102" t="n"/>
      <c r="AG534" s="102" t="n"/>
      <c r="AH534" s="102" t="n"/>
      <c r="AI534" s="102" t="n"/>
      <c r="AJ534" s="102" t="n"/>
      <c r="AK534" s="102" t="n"/>
      <c r="AL534" s="102" t="n"/>
      <c r="AM534" s="102" t="n"/>
      <c r="AN534" s="102" t="n"/>
      <c r="AO534" s="102" t="n"/>
      <c r="AP534" s="102" t="n"/>
      <c r="AQ534" s="102" t="n"/>
      <c r="AR534" s="102" t="n"/>
    </row>
    <row r="535">
      <c r="D535" s="102" t="n"/>
      <c r="E535" s="102" t="n"/>
      <c r="F535" s="102" t="n"/>
      <c r="G535" s="102" t="n"/>
      <c r="H535" s="102" t="n"/>
      <c r="I535" s="102" t="n"/>
      <c r="J535" s="102" t="n"/>
      <c r="K535" s="102" t="n"/>
      <c r="L535" s="102" t="n"/>
      <c r="M535" s="102" t="n"/>
      <c r="N535" s="102" t="n"/>
      <c r="O535" s="102" t="n"/>
      <c r="P535" s="102" t="n"/>
      <c r="Q535" s="102" t="n"/>
      <c r="R535" s="102" t="n"/>
      <c r="S535" s="102" t="n"/>
      <c r="T535" s="102" t="n"/>
      <c r="U535" s="102" t="n"/>
      <c r="V535" s="102" t="n"/>
      <c r="W535" s="102" t="n"/>
      <c r="X535" s="102" t="n"/>
      <c r="Y535" s="102" t="n"/>
      <c r="Z535" s="102" t="n"/>
      <c r="AA535" s="102" t="n"/>
      <c r="AB535" s="102" t="n"/>
      <c r="AC535" s="102" t="n"/>
      <c r="AD535" s="102" t="n"/>
      <c r="AE535" s="102" t="n"/>
      <c r="AF535" s="102" t="n"/>
      <c r="AG535" s="102" t="n"/>
      <c r="AH535" s="102" t="n"/>
      <c r="AI535" s="102" t="n"/>
      <c r="AJ535" s="102" t="n"/>
      <c r="AK535" s="102" t="n"/>
      <c r="AL535" s="102" t="n"/>
      <c r="AM535" s="102" t="n"/>
      <c r="AN535" s="102" t="n"/>
      <c r="AO535" s="102" t="n"/>
      <c r="AP535" s="102" t="n"/>
      <c r="AQ535" s="102" t="n"/>
      <c r="AR535" s="102" t="n"/>
    </row>
    <row r="536">
      <c r="D536" s="160" t="n"/>
      <c r="E536" s="160" t="n"/>
      <c r="F536" s="160" t="n"/>
      <c r="G536" s="160" t="n"/>
      <c r="H536" s="160" t="n"/>
      <c r="I536" s="160" t="n"/>
      <c r="J536" s="160" t="n"/>
      <c r="K536" s="160" t="n"/>
      <c r="L536" s="160" t="n"/>
      <c r="M536" s="160" t="n"/>
      <c r="N536" s="160" t="n"/>
      <c r="O536" s="160" t="n"/>
      <c r="P536" s="160" t="n"/>
      <c r="Q536" s="160" t="n"/>
      <c r="R536" s="160" t="n"/>
      <c r="S536" s="160" t="n"/>
      <c r="T536" s="160" t="n"/>
      <c r="U536" s="160" t="n"/>
      <c r="V536" s="160" t="n"/>
      <c r="W536" s="160" t="n"/>
      <c r="X536" s="160" t="n"/>
      <c r="Y536" s="160" t="n"/>
      <c r="Z536" s="160" t="n"/>
      <c r="AA536" s="160" t="n"/>
      <c r="AB536" s="160" t="n"/>
      <c r="AC536" s="160" t="n"/>
      <c r="AD536" s="160" t="n"/>
      <c r="AE536" s="160" t="n"/>
      <c r="AF536" s="160" t="n"/>
      <c r="AG536" s="160" t="n"/>
      <c r="AH536" s="160" t="n"/>
      <c r="AI536" s="160" t="n"/>
      <c r="AJ536" s="160" t="n"/>
      <c r="AK536" s="160" t="n"/>
      <c r="AL536" s="160" t="n"/>
      <c r="AM536" s="160" t="n"/>
      <c r="AN536" s="160" t="n"/>
      <c r="AO536" s="160" t="n"/>
      <c r="AP536" s="160" t="n"/>
      <c r="AQ536" s="160" t="n"/>
      <c r="AR536" s="160" t="n"/>
    </row>
    <row r="538">
      <c r="A538" s="8">
        <f>IF(HSI!$C$55="","",HSI!$C$55)</f>
        <v/>
      </c>
      <c r="B538" s="158">
        <f>IF($A538="",0,COUNT($E539:$AR539))</f>
        <v/>
      </c>
      <c r="C538" s="159">
        <f>IF($B538=0,0,MAX($E539:$AR539))</f>
        <v/>
      </c>
      <c r="D538" s="101">
        <f>BDS($A538,FLD_HIST,"headers=y","startcol=1","endcol=7","dir=h","DVD_START_DT",HIST_FROM,"DVD_END_DT",HIST_TO)</f>
        <v/>
      </c>
      <c r="E538" s="102" t="n"/>
      <c r="F538" s="102" t="n"/>
      <c r="G538" s="102" t="n"/>
      <c r="H538" s="102" t="n"/>
      <c r="I538" s="102" t="n"/>
      <c r="J538" s="102" t="n"/>
      <c r="K538" s="102" t="n"/>
      <c r="L538" s="102" t="n"/>
      <c r="M538" s="102" t="n"/>
      <c r="N538" s="102" t="n"/>
      <c r="O538" s="102" t="n"/>
      <c r="P538" s="102" t="n"/>
      <c r="Q538" s="102" t="n"/>
      <c r="R538" s="102" t="n"/>
      <c r="S538" s="102" t="n"/>
      <c r="T538" s="102" t="n"/>
      <c r="U538" s="102" t="n"/>
      <c r="V538" s="102" t="n"/>
      <c r="W538" s="102" t="n"/>
      <c r="X538" s="102" t="n"/>
      <c r="Y538" s="102" t="n"/>
      <c r="Z538" s="102" t="n"/>
      <c r="AA538" s="102" t="n"/>
      <c r="AB538" s="102" t="n"/>
      <c r="AC538" s="102" t="n"/>
      <c r="AD538" s="102" t="n"/>
      <c r="AE538" s="102" t="n"/>
      <c r="AF538" s="102" t="n"/>
      <c r="AG538" s="102" t="n"/>
      <c r="AH538" s="102" t="n"/>
      <c r="AI538" s="102" t="n"/>
      <c r="AJ538" s="102" t="n"/>
      <c r="AK538" s="102" t="n"/>
      <c r="AL538" s="102" t="n"/>
      <c r="AM538" s="102" t="n"/>
      <c r="AN538" s="102" t="n"/>
      <c r="AO538" s="102" t="n"/>
      <c r="AP538" s="102" t="n"/>
      <c r="AQ538" s="102" t="n"/>
      <c r="AR538" s="102" t="n"/>
    </row>
    <row r="539">
      <c r="D539" s="102" t="n"/>
      <c r="E539" s="102" t="n"/>
      <c r="F539" s="102" t="n"/>
      <c r="G539" s="102" t="n"/>
      <c r="H539" s="102" t="n"/>
      <c r="I539" s="102" t="n"/>
      <c r="J539" s="102" t="n"/>
      <c r="K539" s="102" t="n"/>
      <c r="L539" s="102" t="n"/>
      <c r="M539" s="102" t="n"/>
      <c r="N539" s="102" t="n"/>
      <c r="O539" s="102" t="n"/>
      <c r="P539" s="102" t="n"/>
      <c r="Q539" s="102" t="n"/>
      <c r="R539" s="102" t="n"/>
      <c r="S539" s="102" t="n"/>
      <c r="T539" s="102" t="n"/>
      <c r="U539" s="102" t="n"/>
      <c r="V539" s="102" t="n"/>
      <c r="W539" s="102" t="n"/>
      <c r="X539" s="102" t="n"/>
      <c r="Y539" s="102" t="n"/>
      <c r="Z539" s="102" t="n"/>
      <c r="AA539" s="102" t="n"/>
      <c r="AB539" s="102" t="n"/>
      <c r="AC539" s="102" t="n"/>
      <c r="AD539" s="102" t="n"/>
      <c r="AE539" s="102" t="n"/>
      <c r="AF539" s="102" t="n"/>
      <c r="AG539" s="102" t="n"/>
      <c r="AH539" s="102" t="n"/>
      <c r="AI539" s="102" t="n"/>
      <c r="AJ539" s="102" t="n"/>
      <c r="AK539" s="102" t="n"/>
      <c r="AL539" s="102" t="n"/>
      <c r="AM539" s="102" t="n"/>
      <c r="AN539" s="102" t="n"/>
      <c r="AO539" s="102" t="n"/>
      <c r="AP539" s="102" t="n"/>
      <c r="AQ539" s="102" t="n"/>
      <c r="AR539" s="102" t="n"/>
    </row>
    <row r="540">
      <c r="D540" s="102" t="n"/>
      <c r="E540" s="102" t="n"/>
      <c r="F540" s="102" t="n"/>
      <c r="G540" s="102" t="n"/>
      <c r="H540" s="102" t="n"/>
      <c r="I540" s="102" t="n"/>
      <c r="J540" s="102" t="n"/>
      <c r="K540" s="102" t="n"/>
      <c r="L540" s="102" t="n"/>
      <c r="M540" s="102" t="n"/>
      <c r="N540" s="102" t="n"/>
      <c r="O540" s="102" t="n"/>
      <c r="P540" s="102" t="n"/>
      <c r="Q540" s="102" t="n"/>
      <c r="R540" s="102" t="n"/>
      <c r="S540" s="102" t="n"/>
      <c r="T540" s="102" t="n"/>
      <c r="U540" s="102" t="n"/>
      <c r="V540" s="102" t="n"/>
      <c r="W540" s="102" t="n"/>
      <c r="X540" s="102" t="n"/>
      <c r="Y540" s="102" t="n"/>
      <c r="Z540" s="102" t="n"/>
      <c r="AA540" s="102" t="n"/>
      <c r="AB540" s="102" t="n"/>
      <c r="AC540" s="102" t="n"/>
      <c r="AD540" s="102" t="n"/>
      <c r="AE540" s="102" t="n"/>
      <c r="AF540" s="102" t="n"/>
      <c r="AG540" s="102" t="n"/>
      <c r="AH540" s="102" t="n"/>
      <c r="AI540" s="102" t="n"/>
      <c r="AJ540" s="102" t="n"/>
      <c r="AK540" s="102" t="n"/>
      <c r="AL540" s="102" t="n"/>
      <c r="AM540" s="102" t="n"/>
      <c r="AN540" s="102" t="n"/>
      <c r="AO540" s="102" t="n"/>
      <c r="AP540" s="102" t="n"/>
      <c r="AQ540" s="102" t="n"/>
      <c r="AR540" s="102" t="n"/>
    </row>
    <row r="541">
      <c r="D541" s="102" t="n"/>
      <c r="E541" s="102" t="n"/>
      <c r="F541" s="102" t="n"/>
      <c r="G541" s="102" t="n"/>
      <c r="H541" s="102" t="n"/>
      <c r="I541" s="102" t="n"/>
      <c r="J541" s="102" t="n"/>
      <c r="K541" s="102" t="n"/>
      <c r="L541" s="102" t="n"/>
      <c r="M541" s="102" t="n"/>
      <c r="N541" s="102" t="n"/>
      <c r="O541" s="102" t="n"/>
      <c r="P541" s="102" t="n"/>
      <c r="Q541" s="102" t="n"/>
      <c r="R541" s="102" t="n"/>
      <c r="S541" s="102" t="n"/>
      <c r="T541" s="102" t="n"/>
      <c r="U541" s="102" t="n"/>
      <c r="V541" s="102" t="n"/>
      <c r="W541" s="102" t="n"/>
      <c r="X541" s="102" t="n"/>
      <c r="Y541" s="102" t="n"/>
      <c r="Z541" s="102" t="n"/>
      <c r="AA541" s="102" t="n"/>
      <c r="AB541" s="102" t="n"/>
      <c r="AC541" s="102" t="n"/>
      <c r="AD541" s="102" t="n"/>
      <c r="AE541" s="102" t="n"/>
      <c r="AF541" s="102" t="n"/>
      <c r="AG541" s="102" t="n"/>
      <c r="AH541" s="102" t="n"/>
      <c r="AI541" s="102" t="n"/>
      <c r="AJ541" s="102" t="n"/>
      <c r="AK541" s="102" t="n"/>
      <c r="AL541" s="102" t="n"/>
      <c r="AM541" s="102" t="n"/>
      <c r="AN541" s="102" t="n"/>
      <c r="AO541" s="102" t="n"/>
      <c r="AP541" s="102" t="n"/>
      <c r="AQ541" s="102" t="n"/>
      <c r="AR541" s="102" t="n"/>
    </row>
    <row r="542">
      <c r="D542" s="160" t="n"/>
      <c r="E542" s="160" t="n"/>
      <c r="F542" s="160" t="n"/>
      <c r="G542" s="160" t="n"/>
      <c r="H542" s="160" t="n"/>
      <c r="I542" s="160" t="n"/>
      <c r="J542" s="160" t="n"/>
      <c r="K542" s="160" t="n"/>
      <c r="L542" s="160" t="n"/>
      <c r="M542" s="160" t="n"/>
      <c r="N542" s="160" t="n"/>
      <c r="O542" s="160" t="n"/>
      <c r="P542" s="160" t="n"/>
      <c r="Q542" s="160" t="n"/>
      <c r="R542" s="160" t="n"/>
      <c r="S542" s="160" t="n"/>
      <c r="T542" s="160" t="n"/>
      <c r="U542" s="160" t="n"/>
      <c r="V542" s="160" t="n"/>
      <c r="W542" s="160" t="n"/>
      <c r="X542" s="160" t="n"/>
      <c r="Y542" s="160" t="n"/>
      <c r="Z542" s="160" t="n"/>
      <c r="AA542" s="160" t="n"/>
      <c r="AB542" s="160" t="n"/>
      <c r="AC542" s="160" t="n"/>
      <c r="AD542" s="160" t="n"/>
      <c r="AE542" s="160" t="n"/>
      <c r="AF542" s="160" t="n"/>
      <c r="AG542" s="160" t="n"/>
      <c r="AH542" s="160" t="n"/>
      <c r="AI542" s="160" t="n"/>
      <c r="AJ542" s="160" t="n"/>
      <c r="AK542" s="160" t="n"/>
      <c r="AL542" s="160" t="n"/>
      <c r="AM542" s="160" t="n"/>
      <c r="AN542" s="160" t="n"/>
      <c r="AO542" s="160" t="n"/>
      <c r="AP542" s="160" t="n"/>
      <c r="AQ542" s="160" t="n"/>
      <c r="AR542" s="160" t="n"/>
    </row>
    <row r="545">
      <c r="A545" s="2">
        <f>IF($A538="","","   projections")</f>
        <v/>
      </c>
      <c r="B545" s="158">
        <f>IF($A538="",0,COUNT($E546:$AR546))</f>
        <v/>
      </c>
      <c r="C545" s="159">
        <f>IF($B545=0,0,MAX($E546:$AR546))</f>
        <v/>
      </c>
      <c r="D545" s="101">
        <f>BDS($A538,FLD_PROJ,"headers=y","startcol=1","endcol=3","dir=h")</f>
        <v/>
      </c>
      <c r="E545" s="102" t="n"/>
      <c r="F545" s="102" t="n"/>
      <c r="G545" s="102" t="n"/>
      <c r="H545" s="102" t="n"/>
      <c r="I545" s="102" t="n"/>
      <c r="J545" s="102" t="n"/>
      <c r="K545" s="102" t="n"/>
      <c r="L545" s="102" t="n"/>
      <c r="M545" s="102" t="n"/>
      <c r="N545" s="102" t="n"/>
      <c r="O545" s="102" t="n"/>
      <c r="P545" s="102" t="n"/>
      <c r="Q545" s="102" t="n"/>
      <c r="R545" s="102" t="n"/>
      <c r="S545" s="102" t="n"/>
      <c r="T545" s="102" t="n"/>
      <c r="U545" s="102" t="n"/>
      <c r="V545" s="102" t="n"/>
      <c r="W545" s="102" t="n"/>
      <c r="X545" s="102" t="n"/>
      <c r="Y545" s="102" t="n"/>
      <c r="Z545" s="102" t="n"/>
      <c r="AA545" s="102" t="n"/>
      <c r="AB545" s="102" t="n"/>
      <c r="AC545" s="102" t="n"/>
      <c r="AD545" s="102" t="n"/>
      <c r="AE545" s="102" t="n"/>
      <c r="AF545" s="102" t="n"/>
      <c r="AG545" s="102" t="n"/>
      <c r="AH545" s="102" t="n"/>
      <c r="AI545" s="102" t="n"/>
      <c r="AJ545" s="102" t="n"/>
      <c r="AK545" s="102" t="n"/>
      <c r="AL545" s="102" t="n"/>
      <c r="AM545" s="102" t="n"/>
      <c r="AN545" s="102" t="n"/>
      <c r="AO545" s="102" t="n"/>
      <c r="AP545" s="102" t="n"/>
      <c r="AQ545" s="102" t="n"/>
      <c r="AR545" s="102" t="n"/>
    </row>
    <row r="546">
      <c r="D546" s="102" t="n"/>
      <c r="E546" s="102" t="n"/>
      <c r="F546" s="102" t="n"/>
      <c r="G546" s="102" t="n"/>
      <c r="H546" s="102" t="n"/>
      <c r="I546" s="102" t="n"/>
      <c r="J546" s="102" t="n"/>
      <c r="K546" s="102" t="n"/>
      <c r="L546" s="102" t="n"/>
      <c r="M546" s="102" t="n"/>
      <c r="N546" s="102" t="n"/>
      <c r="O546" s="102" t="n"/>
      <c r="P546" s="102" t="n"/>
      <c r="Q546" s="102" t="n"/>
      <c r="R546" s="102" t="n"/>
      <c r="S546" s="102" t="n"/>
      <c r="T546" s="102" t="n"/>
      <c r="U546" s="102" t="n"/>
      <c r="V546" s="102" t="n"/>
      <c r="W546" s="102" t="n"/>
      <c r="X546" s="102" t="n"/>
      <c r="Y546" s="102" t="n"/>
      <c r="Z546" s="102" t="n"/>
      <c r="AA546" s="102" t="n"/>
      <c r="AB546" s="102" t="n"/>
      <c r="AC546" s="102" t="n"/>
      <c r="AD546" s="102" t="n"/>
      <c r="AE546" s="102" t="n"/>
      <c r="AF546" s="102" t="n"/>
      <c r="AG546" s="102" t="n"/>
      <c r="AH546" s="102" t="n"/>
      <c r="AI546" s="102" t="n"/>
      <c r="AJ546" s="102" t="n"/>
      <c r="AK546" s="102" t="n"/>
      <c r="AL546" s="102" t="n"/>
      <c r="AM546" s="102" t="n"/>
      <c r="AN546" s="102" t="n"/>
      <c r="AO546" s="102" t="n"/>
      <c r="AP546" s="102" t="n"/>
      <c r="AQ546" s="102" t="n"/>
      <c r="AR546" s="102" t="n"/>
    </row>
    <row r="547">
      <c r="D547" s="160" t="n"/>
      <c r="E547" s="160" t="n"/>
      <c r="F547" s="160" t="n"/>
      <c r="G547" s="160" t="n"/>
      <c r="H547" s="160" t="n"/>
      <c r="I547" s="160" t="n"/>
      <c r="J547" s="160" t="n"/>
      <c r="K547" s="160" t="n"/>
      <c r="L547" s="160" t="n"/>
      <c r="M547" s="160" t="n"/>
      <c r="N547" s="160" t="n"/>
      <c r="O547" s="160" t="n"/>
      <c r="P547" s="160" t="n"/>
      <c r="Q547" s="160" t="n"/>
      <c r="R547" s="160" t="n"/>
      <c r="S547" s="160" t="n"/>
      <c r="T547" s="160" t="n"/>
      <c r="U547" s="160" t="n"/>
      <c r="V547" s="160" t="n"/>
      <c r="W547" s="160" t="n"/>
      <c r="X547" s="160" t="n"/>
      <c r="Y547" s="160" t="n"/>
      <c r="Z547" s="160" t="n"/>
      <c r="AA547" s="160" t="n"/>
      <c r="AB547" s="160" t="n"/>
      <c r="AC547" s="160" t="n"/>
      <c r="AD547" s="160" t="n"/>
      <c r="AE547" s="160" t="n"/>
      <c r="AF547" s="160" t="n"/>
      <c r="AG547" s="160" t="n"/>
      <c r="AH547" s="160" t="n"/>
      <c r="AI547" s="160" t="n"/>
      <c r="AJ547" s="160" t="n"/>
      <c r="AK547" s="160" t="n"/>
      <c r="AL547" s="160" t="n"/>
      <c r="AM547" s="160" t="n"/>
      <c r="AN547" s="160" t="n"/>
      <c r="AO547" s="160" t="n"/>
      <c r="AP547" s="160" t="n"/>
      <c r="AQ547" s="160" t="n"/>
      <c r="AR547" s="160" t="n"/>
    </row>
    <row r="549">
      <c r="A549" s="8">
        <f>IF(HSI!$C$56="","",HSI!$C$56)</f>
        <v/>
      </c>
      <c r="B549" s="158">
        <f>IF($A549="",0,COUNT($E550:$AR550))</f>
        <v/>
      </c>
      <c r="C549" s="159">
        <f>IF($B549=0,0,MAX($E550:$AR550))</f>
        <v/>
      </c>
      <c r="D549" s="101">
        <f>BDS($A549,FLD_HIST,"headers=y","startcol=1","endcol=7","dir=h","DVD_START_DT",HIST_FROM,"DVD_END_DT",HIST_TO)</f>
        <v/>
      </c>
      <c r="E549" s="102" t="n"/>
      <c r="F549" s="102" t="n"/>
      <c r="G549" s="102" t="n"/>
      <c r="H549" s="102" t="n"/>
      <c r="I549" s="102" t="n"/>
      <c r="J549" s="102" t="n"/>
      <c r="K549" s="102" t="n"/>
      <c r="L549" s="102" t="n"/>
      <c r="M549" s="102" t="n"/>
      <c r="N549" s="102" t="n"/>
      <c r="O549" s="102" t="n"/>
      <c r="P549" s="102" t="n"/>
      <c r="Q549" s="102" t="n"/>
      <c r="R549" s="102" t="n"/>
      <c r="S549" s="102" t="n"/>
      <c r="T549" s="102" t="n"/>
      <c r="U549" s="102" t="n"/>
      <c r="V549" s="102" t="n"/>
      <c r="W549" s="102" t="n"/>
      <c r="X549" s="102" t="n"/>
      <c r="Y549" s="102" t="n"/>
      <c r="Z549" s="102" t="n"/>
      <c r="AA549" s="102" t="n"/>
      <c r="AB549" s="102" t="n"/>
      <c r="AC549" s="102" t="n"/>
      <c r="AD549" s="102" t="n"/>
      <c r="AE549" s="102" t="n"/>
      <c r="AF549" s="102" t="n"/>
      <c r="AG549" s="102" t="n"/>
      <c r="AH549" s="102" t="n"/>
      <c r="AI549" s="102" t="n"/>
      <c r="AJ549" s="102" t="n"/>
      <c r="AK549" s="102" t="n"/>
      <c r="AL549" s="102" t="n"/>
      <c r="AM549" s="102" t="n"/>
      <c r="AN549" s="102" t="n"/>
      <c r="AO549" s="102" t="n"/>
      <c r="AP549" s="102" t="n"/>
      <c r="AQ549" s="102" t="n"/>
      <c r="AR549" s="102" t="n"/>
    </row>
    <row r="550">
      <c r="D550" s="102" t="n"/>
      <c r="E550" s="102" t="n"/>
      <c r="F550" s="102" t="n"/>
      <c r="G550" s="102" t="n"/>
      <c r="H550" s="102" t="n"/>
      <c r="I550" s="102" t="n"/>
      <c r="J550" s="102" t="n"/>
      <c r="K550" s="102" t="n"/>
      <c r="L550" s="102" t="n"/>
      <c r="M550" s="102" t="n"/>
      <c r="N550" s="102" t="n"/>
      <c r="O550" s="102" t="n"/>
      <c r="P550" s="102" t="n"/>
      <c r="Q550" s="102" t="n"/>
      <c r="R550" s="102" t="n"/>
      <c r="S550" s="102" t="n"/>
      <c r="T550" s="102" t="n"/>
      <c r="U550" s="102" t="n"/>
      <c r="V550" s="102" t="n"/>
      <c r="W550" s="102" t="n"/>
      <c r="X550" s="102" t="n"/>
      <c r="Y550" s="102" t="n"/>
      <c r="Z550" s="102" t="n"/>
      <c r="AA550" s="102" t="n"/>
      <c r="AB550" s="102" t="n"/>
      <c r="AC550" s="102" t="n"/>
      <c r="AD550" s="102" t="n"/>
      <c r="AE550" s="102" t="n"/>
      <c r="AF550" s="102" t="n"/>
      <c r="AG550" s="102" t="n"/>
      <c r="AH550" s="102" t="n"/>
      <c r="AI550" s="102" t="n"/>
      <c r="AJ550" s="102" t="n"/>
      <c r="AK550" s="102" t="n"/>
      <c r="AL550" s="102" t="n"/>
      <c r="AM550" s="102" t="n"/>
      <c r="AN550" s="102" t="n"/>
      <c r="AO550" s="102" t="n"/>
      <c r="AP550" s="102" t="n"/>
      <c r="AQ550" s="102" t="n"/>
      <c r="AR550" s="102" t="n"/>
    </row>
    <row r="551">
      <c r="D551" s="102" t="n"/>
      <c r="E551" s="102" t="n"/>
      <c r="F551" s="102" t="n"/>
      <c r="G551" s="102" t="n"/>
      <c r="H551" s="102" t="n"/>
      <c r="I551" s="102" t="n"/>
      <c r="J551" s="102" t="n"/>
      <c r="K551" s="102" t="n"/>
      <c r="L551" s="102" t="n"/>
      <c r="M551" s="102" t="n"/>
      <c r="N551" s="102" t="n"/>
      <c r="O551" s="102" t="n"/>
      <c r="P551" s="102" t="n"/>
      <c r="Q551" s="102" t="n"/>
      <c r="R551" s="102" t="n"/>
      <c r="S551" s="102" t="n"/>
      <c r="T551" s="102" t="n"/>
      <c r="U551" s="102" t="n"/>
      <c r="V551" s="102" t="n"/>
      <c r="W551" s="102" t="n"/>
      <c r="X551" s="102" t="n"/>
      <c r="Y551" s="102" t="n"/>
      <c r="Z551" s="102" t="n"/>
      <c r="AA551" s="102" t="n"/>
      <c r="AB551" s="102" t="n"/>
      <c r="AC551" s="102" t="n"/>
      <c r="AD551" s="102" t="n"/>
      <c r="AE551" s="102" t="n"/>
      <c r="AF551" s="102" t="n"/>
      <c r="AG551" s="102" t="n"/>
      <c r="AH551" s="102" t="n"/>
      <c r="AI551" s="102" t="n"/>
      <c r="AJ551" s="102" t="n"/>
      <c r="AK551" s="102" t="n"/>
      <c r="AL551" s="102" t="n"/>
      <c r="AM551" s="102" t="n"/>
      <c r="AN551" s="102" t="n"/>
      <c r="AO551" s="102" t="n"/>
      <c r="AP551" s="102" t="n"/>
      <c r="AQ551" s="102" t="n"/>
      <c r="AR551" s="102" t="n"/>
    </row>
    <row r="552">
      <c r="D552" s="102" t="n"/>
      <c r="E552" s="102" t="n"/>
      <c r="F552" s="102" t="n"/>
      <c r="G552" s="102" t="n"/>
      <c r="H552" s="102" t="n"/>
      <c r="I552" s="102" t="n"/>
      <c r="J552" s="102" t="n"/>
      <c r="K552" s="102" t="n"/>
      <c r="L552" s="102" t="n"/>
      <c r="M552" s="102" t="n"/>
      <c r="N552" s="102" t="n"/>
      <c r="O552" s="102" t="n"/>
      <c r="P552" s="102" t="n"/>
      <c r="Q552" s="102" t="n"/>
      <c r="R552" s="102" t="n"/>
      <c r="S552" s="102" t="n"/>
      <c r="T552" s="102" t="n"/>
      <c r="U552" s="102" t="n"/>
      <c r="V552" s="102" t="n"/>
      <c r="W552" s="102" t="n"/>
      <c r="X552" s="102" t="n"/>
      <c r="Y552" s="102" t="n"/>
      <c r="Z552" s="102" t="n"/>
      <c r="AA552" s="102" t="n"/>
      <c r="AB552" s="102" t="n"/>
      <c r="AC552" s="102" t="n"/>
      <c r="AD552" s="102" t="n"/>
      <c r="AE552" s="102" t="n"/>
      <c r="AF552" s="102" t="n"/>
      <c r="AG552" s="102" t="n"/>
      <c r="AH552" s="102" t="n"/>
      <c r="AI552" s="102" t="n"/>
      <c r="AJ552" s="102" t="n"/>
      <c r="AK552" s="102" t="n"/>
      <c r="AL552" s="102" t="n"/>
      <c r="AM552" s="102" t="n"/>
      <c r="AN552" s="102" t="n"/>
      <c r="AO552" s="102" t="n"/>
      <c r="AP552" s="102" t="n"/>
      <c r="AQ552" s="102" t="n"/>
      <c r="AR552" s="102" t="n"/>
    </row>
    <row r="553">
      <c r="D553" s="160" t="n"/>
      <c r="E553" s="160" t="n"/>
      <c r="F553" s="160" t="n"/>
      <c r="G553" s="160" t="n"/>
      <c r="H553" s="160" t="n"/>
      <c r="I553" s="160" t="n"/>
      <c r="J553" s="160" t="n"/>
      <c r="K553" s="160" t="n"/>
      <c r="L553" s="160" t="n"/>
      <c r="M553" s="160" t="n"/>
      <c r="N553" s="160" t="n"/>
      <c r="O553" s="160" t="n"/>
      <c r="P553" s="160" t="n"/>
      <c r="Q553" s="160" t="n"/>
      <c r="R553" s="160" t="n"/>
      <c r="S553" s="160" t="n"/>
      <c r="T553" s="160" t="n"/>
      <c r="U553" s="160" t="n"/>
      <c r="V553" s="160" t="n"/>
      <c r="W553" s="160" t="n"/>
      <c r="X553" s="160" t="n"/>
      <c r="Y553" s="160" t="n"/>
      <c r="Z553" s="160" t="n"/>
      <c r="AA553" s="160" t="n"/>
      <c r="AB553" s="160" t="n"/>
      <c r="AC553" s="160" t="n"/>
      <c r="AD553" s="160" t="n"/>
      <c r="AE553" s="160" t="n"/>
      <c r="AF553" s="160" t="n"/>
      <c r="AG553" s="160" t="n"/>
      <c r="AH553" s="160" t="n"/>
      <c r="AI553" s="160" t="n"/>
      <c r="AJ553" s="160" t="n"/>
      <c r="AK553" s="160" t="n"/>
      <c r="AL553" s="160" t="n"/>
      <c r="AM553" s="160" t="n"/>
      <c r="AN553" s="160" t="n"/>
      <c r="AO553" s="160" t="n"/>
      <c r="AP553" s="160" t="n"/>
      <c r="AQ553" s="160" t="n"/>
      <c r="AR553" s="160" t="n"/>
    </row>
    <row r="556">
      <c r="A556" s="2">
        <f>IF($A549="","","   projections")</f>
        <v/>
      </c>
      <c r="B556" s="158">
        <f>IF($A549="",0,COUNT($E557:$AR557))</f>
        <v/>
      </c>
      <c r="C556" s="159">
        <f>IF($B556=0,0,MAX($E557:$AR557))</f>
        <v/>
      </c>
      <c r="D556" s="101">
        <f>BDS($A549,FLD_PROJ,"headers=y","startcol=1","endcol=3","dir=h")</f>
        <v/>
      </c>
      <c r="E556" s="102" t="n"/>
      <c r="F556" s="102" t="n"/>
      <c r="G556" s="102" t="n"/>
      <c r="H556" s="102" t="n"/>
      <c r="I556" s="102" t="n"/>
      <c r="J556" s="102" t="n"/>
      <c r="K556" s="102" t="n"/>
      <c r="L556" s="102" t="n"/>
      <c r="M556" s="102" t="n"/>
      <c r="N556" s="102" t="n"/>
      <c r="O556" s="102" t="n"/>
      <c r="P556" s="102" t="n"/>
      <c r="Q556" s="102" t="n"/>
      <c r="R556" s="102" t="n"/>
      <c r="S556" s="102" t="n"/>
      <c r="T556" s="102" t="n"/>
      <c r="U556" s="102" t="n"/>
      <c r="V556" s="102" t="n"/>
      <c r="W556" s="102" t="n"/>
      <c r="X556" s="102" t="n"/>
      <c r="Y556" s="102" t="n"/>
      <c r="Z556" s="102" t="n"/>
      <c r="AA556" s="102" t="n"/>
      <c r="AB556" s="102" t="n"/>
      <c r="AC556" s="102" t="n"/>
      <c r="AD556" s="102" t="n"/>
      <c r="AE556" s="102" t="n"/>
      <c r="AF556" s="102" t="n"/>
      <c r="AG556" s="102" t="n"/>
      <c r="AH556" s="102" t="n"/>
      <c r="AI556" s="102" t="n"/>
      <c r="AJ556" s="102" t="n"/>
      <c r="AK556" s="102" t="n"/>
      <c r="AL556" s="102" t="n"/>
      <c r="AM556" s="102" t="n"/>
      <c r="AN556" s="102" t="n"/>
      <c r="AO556" s="102" t="n"/>
      <c r="AP556" s="102" t="n"/>
      <c r="AQ556" s="102" t="n"/>
      <c r="AR556" s="102" t="n"/>
    </row>
    <row r="557">
      <c r="D557" s="102" t="n"/>
      <c r="E557" s="102" t="n"/>
      <c r="F557" s="102" t="n"/>
      <c r="G557" s="102" t="n"/>
      <c r="H557" s="102" t="n"/>
      <c r="I557" s="102" t="n"/>
      <c r="J557" s="102" t="n"/>
      <c r="K557" s="102" t="n"/>
      <c r="L557" s="102" t="n"/>
      <c r="M557" s="102" t="n"/>
      <c r="N557" s="102" t="n"/>
      <c r="O557" s="102" t="n"/>
      <c r="P557" s="102" t="n"/>
      <c r="Q557" s="102" t="n"/>
      <c r="R557" s="102" t="n"/>
      <c r="S557" s="102" t="n"/>
      <c r="T557" s="102" t="n"/>
      <c r="U557" s="102" t="n"/>
      <c r="V557" s="102" t="n"/>
      <c r="W557" s="102" t="n"/>
      <c r="X557" s="102" t="n"/>
      <c r="Y557" s="102" t="n"/>
      <c r="Z557" s="102" t="n"/>
      <c r="AA557" s="102" t="n"/>
      <c r="AB557" s="102" t="n"/>
      <c r="AC557" s="102" t="n"/>
      <c r="AD557" s="102" t="n"/>
      <c r="AE557" s="102" t="n"/>
      <c r="AF557" s="102" t="n"/>
      <c r="AG557" s="102" t="n"/>
      <c r="AH557" s="102" t="n"/>
      <c r="AI557" s="102" t="n"/>
      <c r="AJ557" s="102" t="n"/>
      <c r="AK557" s="102" t="n"/>
      <c r="AL557" s="102" t="n"/>
      <c r="AM557" s="102" t="n"/>
      <c r="AN557" s="102" t="n"/>
      <c r="AO557" s="102" t="n"/>
      <c r="AP557" s="102" t="n"/>
      <c r="AQ557" s="102" t="n"/>
      <c r="AR557" s="102" t="n"/>
    </row>
    <row r="558">
      <c r="D558" s="160" t="n"/>
      <c r="E558" s="160" t="n"/>
      <c r="F558" s="160" t="n"/>
      <c r="G558" s="160" t="n"/>
      <c r="H558" s="160" t="n"/>
      <c r="I558" s="160" t="n"/>
      <c r="J558" s="160" t="n"/>
      <c r="K558" s="160" t="n"/>
      <c r="L558" s="160" t="n"/>
      <c r="M558" s="160" t="n"/>
      <c r="N558" s="160" t="n"/>
      <c r="O558" s="160" t="n"/>
      <c r="P558" s="160" t="n"/>
      <c r="Q558" s="160" t="n"/>
      <c r="R558" s="160" t="n"/>
      <c r="S558" s="160" t="n"/>
      <c r="T558" s="160" t="n"/>
      <c r="U558" s="160" t="n"/>
      <c r="V558" s="160" t="n"/>
      <c r="W558" s="160" t="n"/>
      <c r="X558" s="160" t="n"/>
      <c r="Y558" s="160" t="n"/>
      <c r="Z558" s="160" t="n"/>
      <c r="AA558" s="160" t="n"/>
      <c r="AB558" s="160" t="n"/>
      <c r="AC558" s="160" t="n"/>
      <c r="AD558" s="160" t="n"/>
      <c r="AE558" s="160" t="n"/>
      <c r="AF558" s="160" t="n"/>
      <c r="AG558" s="160" t="n"/>
      <c r="AH558" s="160" t="n"/>
      <c r="AI558" s="160" t="n"/>
      <c r="AJ558" s="160" t="n"/>
      <c r="AK558" s="160" t="n"/>
      <c r="AL558" s="160" t="n"/>
      <c r="AM558" s="160" t="n"/>
      <c r="AN558" s="160" t="n"/>
      <c r="AO558" s="160" t="n"/>
      <c r="AP558" s="160" t="n"/>
      <c r="AQ558" s="160" t="n"/>
      <c r="AR558" s="160" t="n"/>
    </row>
    <row r="560">
      <c r="A560" s="8">
        <f>IF(HSI!$C$57="","",HSI!$C$57)</f>
        <v/>
      </c>
      <c r="B560" s="158">
        <f>IF($A560="",0,COUNT($E561:$AR561))</f>
        <v/>
      </c>
      <c r="C560" s="159">
        <f>IF($B560=0,0,MAX($E561:$AR561))</f>
        <v/>
      </c>
      <c r="D560" s="101">
        <f>BDS($A560,FLD_HIST,"headers=y","startcol=1","endcol=7","dir=h","DVD_START_DT",HIST_FROM,"DVD_END_DT",HIST_TO)</f>
        <v/>
      </c>
      <c r="E560" s="102" t="n"/>
      <c r="F560" s="102" t="n"/>
      <c r="G560" s="102" t="n"/>
      <c r="H560" s="102" t="n"/>
      <c r="I560" s="102" t="n"/>
      <c r="J560" s="102" t="n"/>
      <c r="K560" s="102" t="n"/>
      <c r="L560" s="102" t="n"/>
      <c r="M560" s="102" t="n"/>
      <c r="N560" s="102" t="n"/>
      <c r="O560" s="102" t="n"/>
      <c r="P560" s="102" t="n"/>
      <c r="Q560" s="102" t="n"/>
      <c r="R560" s="102" t="n"/>
      <c r="S560" s="102" t="n"/>
      <c r="T560" s="102" t="n"/>
      <c r="U560" s="102" t="n"/>
      <c r="V560" s="102" t="n"/>
      <c r="W560" s="102" t="n"/>
      <c r="X560" s="102" t="n"/>
      <c r="Y560" s="102" t="n"/>
      <c r="Z560" s="102" t="n"/>
      <c r="AA560" s="102" t="n"/>
      <c r="AB560" s="102" t="n"/>
      <c r="AC560" s="102" t="n"/>
      <c r="AD560" s="102" t="n"/>
      <c r="AE560" s="102" t="n"/>
      <c r="AF560" s="102" t="n"/>
      <c r="AG560" s="102" t="n"/>
      <c r="AH560" s="102" t="n"/>
      <c r="AI560" s="102" t="n"/>
      <c r="AJ560" s="102" t="n"/>
      <c r="AK560" s="102" t="n"/>
      <c r="AL560" s="102" t="n"/>
      <c r="AM560" s="102" t="n"/>
      <c r="AN560" s="102" t="n"/>
      <c r="AO560" s="102" t="n"/>
      <c r="AP560" s="102" t="n"/>
      <c r="AQ560" s="102" t="n"/>
      <c r="AR560" s="102" t="n"/>
    </row>
    <row r="561">
      <c r="D561" s="102" t="n"/>
      <c r="E561" s="102" t="n"/>
      <c r="F561" s="102" t="n"/>
      <c r="G561" s="102" t="n"/>
      <c r="H561" s="102" t="n"/>
      <c r="I561" s="102" t="n"/>
      <c r="J561" s="102" t="n"/>
      <c r="K561" s="102" t="n"/>
      <c r="L561" s="102" t="n"/>
      <c r="M561" s="102" t="n"/>
      <c r="N561" s="102" t="n"/>
      <c r="O561" s="102" t="n"/>
      <c r="P561" s="102" t="n"/>
      <c r="Q561" s="102" t="n"/>
      <c r="R561" s="102" t="n"/>
      <c r="S561" s="102" t="n"/>
      <c r="T561" s="102" t="n"/>
      <c r="U561" s="102" t="n"/>
      <c r="V561" s="102" t="n"/>
      <c r="W561" s="102" t="n"/>
      <c r="X561" s="102" t="n"/>
      <c r="Y561" s="102" t="n"/>
      <c r="Z561" s="102" t="n"/>
      <c r="AA561" s="102" t="n"/>
      <c r="AB561" s="102" t="n"/>
      <c r="AC561" s="102" t="n"/>
      <c r="AD561" s="102" t="n"/>
      <c r="AE561" s="102" t="n"/>
      <c r="AF561" s="102" t="n"/>
      <c r="AG561" s="102" t="n"/>
      <c r="AH561" s="102" t="n"/>
      <c r="AI561" s="102" t="n"/>
      <c r="AJ561" s="102" t="n"/>
      <c r="AK561" s="102" t="n"/>
      <c r="AL561" s="102" t="n"/>
      <c r="AM561" s="102" t="n"/>
      <c r="AN561" s="102" t="n"/>
      <c r="AO561" s="102" t="n"/>
      <c r="AP561" s="102" t="n"/>
      <c r="AQ561" s="102" t="n"/>
      <c r="AR561" s="102" t="n"/>
    </row>
    <row r="562">
      <c r="D562" s="102" t="n"/>
      <c r="E562" s="102" t="n"/>
      <c r="F562" s="102" t="n"/>
      <c r="G562" s="102" t="n"/>
      <c r="H562" s="102" t="n"/>
      <c r="I562" s="102" t="n"/>
      <c r="J562" s="102" t="n"/>
      <c r="K562" s="102" t="n"/>
      <c r="L562" s="102" t="n"/>
      <c r="M562" s="102" t="n"/>
      <c r="N562" s="102" t="n"/>
      <c r="O562" s="102" t="n"/>
      <c r="P562" s="102" t="n"/>
      <c r="Q562" s="102" t="n"/>
      <c r="R562" s="102" t="n"/>
      <c r="S562" s="102" t="n"/>
      <c r="T562" s="102" t="n"/>
      <c r="U562" s="102" t="n"/>
      <c r="V562" s="102" t="n"/>
      <c r="W562" s="102" t="n"/>
      <c r="X562" s="102" t="n"/>
      <c r="Y562" s="102" t="n"/>
      <c r="Z562" s="102" t="n"/>
      <c r="AA562" s="102" t="n"/>
      <c r="AB562" s="102" t="n"/>
      <c r="AC562" s="102" t="n"/>
      <c r="AD562" s="102" t="n"/>
      <c r="AE562" s="102" t="n"/>
      <c r="AF562" s="102" t="n"/>
      <c r="AG562" s="102" t="n"/>
      <c r="AH562" s="102" t="n"/>
      <c r="AI562" s="102" t="n"/>
      <c r="AJ562" s="102" t="n"/>
      <c r="AK562" s="102" t="n"/>
      <c r="AL562" s="102" t="n"/>
      <c r="AM562" s="102" t="n"/>
      <c r="AN562" s="102" t="n"/>
      <c r="AO562" s="102" t="n"/>
      <c r="AP562" s="102" t="n"/>
      <c r="AQ562" s="102" t="n"/>
      <c r="AR562" s="102" t="n"/>
    </row>
    <row r="563">
      <c r="D563" s="102" t="n"/>
      <c r="E563" s="102" t="n"/>
      <c r="F563" s="102" t="n"/>
      <c r="G563" s="102" t="n"/>
      <c r="H563" s="102" t="n"/>
      <c r="I563" s="102" t="n"/>
      <c r="J563" s="102" t="n"/>
      <c r="K563" s="102" t="n"/>
      <c r="L563" s="102" t="n"/>
      <c r="M563" s="102" t="n"/>
      <c r="N563" s="102" t="n"/>
      <c r="O563" s="102" t="n"/>
      <c r="P563" s="102" t="n"/>
      <c r="Q563" s="102" t="n"/>
      <c r="R563" s="102" t="n"/>
      <c r="S563" s="102" t="n"/>
      <c r="T563" s="102" t="n"/>
      <c r="U563" s="102" t="n"/>
      <c r="V563" s="102" t="n"/>
      <c r="W563" s="102" t="n"/>
      <c r="X563" s="102" t="n"/>
      <c r="Y563" s="102" t="n"/>
      <c r="Z563" s="102" t="n"/>
      <c r="AA563" s="102" t="n"/>
      <c r="AB563" s="102" t="n"/>
      <c r="AC563" s="102" t="n"/>
      <c r="AD563" s="102" t="n"/>
      <c r="AE563" s="102" t="n"/>
      <c r="AF563" s="102" t="n"/>
      <c r="AG563" s="102" t="n"/>
      <c r="AH563" s="102" t="n"/>
      <c r="AI563" s="102" t="n"/>
      <c r="AJ563" s="102" t="n"/>
      <c r="AK563" s="102" t="n"/>
      <c r="AL563" s="102" t="n"/>
      <c r="AM563" s="102" t="n"/>
      <c r="AN563" s="102" t="n"/>
      <c r="AO563" s="102" t="n"/>
      <c r="AP563" s="102" t="n"/>
      <c r="AQ563" s="102" t="n"/>
      <c r="AR563" s="102" t="n"/>
    </row>
    <row r="564">
      <c r="D564" s="160" t="n"/>
      <c r="E564" s="160" t="n"/>
      <c r="F564" s="160" t="n"/>
      <c r="G564" s="160" t="n"/>
      <c r="H564" s="160" t="n"/>
      <c r="I564" s="160" t="n"/>
      <c r="J564" s="160" t="n"/>
      <c r="K564" s="160" t="n"/>
      <c r="L564" s="160" t="n"/>
      <c r="M564" s="160" t="n"/>
      <c r="N564" s="160" t="n"/>
      <c r="O564" s="160" t="n"/>
      <c r="P564" s="160" t="n"/>
      <c r="Q564" s="160" t="n"/>
      <c r="R564" s="160" t="n"/>
      <c r="S564" s="160" t="n"/>
      <c r="T564" s="160" t="n"/>
      <c r="U564" s="160" t="n"/>
      <c r="V564" s="160" t="n"/>
      <c r="W564" s="160" t="n"/>
      <c r="X564" s="160" t="n"/>
      <c r="Y564" s="160" t="n"/>
      <c r="Z564" s="160" t="n"/>
      <c r="AA564" s="160" t="n"/>
      <c r="AB564" s="160" t="n"/>
      <c r="AC564" s="160" t="n"/>
      <c r="AD564" s="160" t="n"/>
      <c r="AE564" s="160" t="n"/>
      <c r="AF564" s="160" t="n"/>
      <c r="AG564" s="160" t="n"/>
      <c r="AH564" s="160" t="n"/>
      <c r="AI564" s="160" t="n"/>
      <c r="AJ564" s="160" t="n"/>
      <c r="AK564" s="160" t="n"/>
      <c r="AL564" s="160" t="n"/>
      <c r="AM564" s="160" t="n"/>
      <c r="AN564" s="160" t="n"/>
      <c r="AO564" s="160" t="n"/>
      <c r="AP564" s="160" t="n"/>
      <c r="AQ564" s="160" t="n"/>
      <c r="AR564" s="160" t="n"/>
    </row>
    <row r="567">
      <c r="A567" s="2">
        <f>IF($A560="","","   projections")</f>
        <v/>
      </c>
      <c r="B567" s="158">
        <f>IF($A560="",0,COUNT($E568:$AR568))</f>
        <v/>
      </c>
      <c r="C567" s="159">
        <f>IF($B567=0,0,MAX($E568:$AR568))</f>
        <v/>
      </c>
      <c r="D567" s="101">
        <f>BDS($A560,FLD_PROJ,"headers=y","startcol=1","endcol=3","dir=h")</f>
        <v/>
      </c>
      <c r="E567" s="102" t="n"/>
      <c r="F567" s="102" t="n"/>
      <c r="G567" s="102" t="n"/>
      <c r="H567" s="102" t="n"/>
      <c r="I567" s="102" t="n"/>
      <c r="J567" s="102" t="n"/>
      <c r="K567" s="102" t="n"/>
      <c r="L567" s="102" t="n"/>
      <c r="M567" s="102" t="n"/>
      <c r="N567" s="102" t="n"/>
      <c r="O567" s="102" t="n"/>
      <c r="P567" s="102" t="n"/>
      <c r="Q567" s="102" t="n"/>
      <c r="R567" s="102" t="n"/>
      <c r="S567" s="102" t="n"/>
      <c r="T567" s="102" t="n"/>
      <c r="U567" s="102" t="n"/>
      <c r="V567" s="102" t="n"/>
      <c r="W567" s="102" t="n"/>
      <c r="X567" s="102" t="n"/>
      <c r="Y567" s="102" t="n"/>
      <c r="Z567" s="102" t="n"/>
      <c r="AA567" s="102" t="n"/>
      <c r="AB567" s="102" t="n"/>
      <c r="AC567" s="102" t="n"/>
      <c r="AD567" s="102" t="n"/>
      <c r="AE567" s="102" t="n"/>
      <c r="AF567" s="102" t="n"/>
      <c r="AG567" s="102" t="n"/>
      <c r="AH567" s="102" t="n"/>
      <c r="AI567" s="102" t="n"/>
      <c r="AJ567" s="102" t="n"/>
      <c r="AK567" s="102" t="n"/>
      <c r="AL567" s="102" t="n"/>
      <c r="AM567" s="102" t="n"/>
      <c r="AN567" s="102" t="n"/>
      <c r="AO567" s="102" t="n"/>
      <c r="AP567" s="102" t="n"/>
      <c r="AQ567" s="102" t="n"/>
      <c r="AR567" s="102" t="n"/>
    </row>
    <row r="568">
      <c r="D568" s="102" t="n"/>
      <c r="E568" s="102" t="n"/>
      <c r="F568" s="102" t="n"/>
      <c r="G568" s="102" t="n"/>
      <c r="H568" s="102" t="n"/>
      <c r="I568" s="102" t="n"/>
      <c r="J568" s="102" t="n"/>
      <c r="K568" s="102" t="n"/>
      <c r="L568" s="102" t="n"/>
      <c r="M568" s="102" t="n"/>
      <c r="N568" s="102" t="n"/>
      <c r="O568" s="102" t="n"/>
      <c r="P568" s="102" t="n"/>
      <c r="Q568" s="102" t="n"/>
      <c r="R568" s="102" t="n"/>
      <c r="S568" s="102" t="n"/>
      <c r="T568" s="102" t="n"/>
      <c r="U568" s="102" t="n"/>
      <c r="V568" s="102" t="n"/>
      <c r="W568" s="102" t="n"/>
      <c r="X568" s="102" t="n"/>
      <c r="Y568" s="102" t="n"/>
      <c r="Z568" s="102" t="n"/>
      <c r="AA568" s="102" t="n"/>
      <c r="AB568" s="102" t="n"/>
      <c r="AC568" s="102" t="n"/>
      <c r="AD568" s="102" t="n"/>
      <c r="AE568" s="102" t="n"/>
      <c r="AF568" s="102" t="n"/>
      <c r="AG568" s="102" t="n"/>
      <c r="AH568" s="102" t="n"/>
      <c r="AI568" s="102" t="n"/>
      <c r="AJ568" s="102" t="n"/>
      <c r="AK568" s="102" t="n"/>
      <c r="AL568" s="102" t="n"/>
      <c r="AM568" s="102" t="n"/>
      <c r="AN568" s="102" t="n"/>
      <c r="AO568" s="102" t="n"/>
      <c r="AP568" s="102" t="n"/>
      <c r="AQ568" s="102" t="n"/>
      <c r="AR568" s="102" t="n"/>
    </row>
    <row r="569">
      <c r="D569" s="160" t="n"/>
      <c r="E569" s="160" t="n"/>
      <c r="F569" s="160" t="n"/>
      <c r="G569" s="160" t="n"/>
      <c r="H569" s="160" t="n"/>
      <c r="I569" s="160" t="n"/>
      <c r="J569" s="160" t="n"/>
      <c r="K569" s="160" t="n"/>
      <c r="L569" s="160" t="n"/>
      <c r="M569" s="160" t="n"/>
      <c r="N569" s="160" t="n"/>
      <c r="O569" s="160" t="n"/>
      <c r="P569" s="160" t="n"/>
      <c r="Q569" s="160" t="n"/>
      <c r="R569" s="160" t="n"/>
      <c r="S569" s="160" t="n"/>
      <c r="T569" s="160" t="n"/>
      <c r="U569" s="160" t="n"/>
      <c r="V569" s="160" t="n"/>
      <c r="W569" s="160" t="n"/>
      <c r="X569" s="160" t="n"/>
      <c r="Y569" s="160" t="n"/>
      <c r="Z569" s="160" t="n"/>
      <c r="AA569" s="160" t="n"/>
      <c r="AB569" s="160" t="n"/>
      <c r="AC569" s="160" t="n"/>
      <c r="AD569" s="160" t="n"/>
      <c r="AE569" s="160" t="n"/>
      <c r="AF569" s="160" t="n"/>
      <c r="AG569" s="160" t="n"/>
      <c r="AH569" s="160" t="n"/>
      <c r="AI569" s="160" t="n"/>
      <c r="AJ569" s="160" t="n"/>
      <c r="AK569" s="160" t="n"/>
      <c r="AL569" s="160" t="n"/>
      <c r="AM569" s="160" t="n"/>
      <c r="AN569" s="160" t="n"/>
      <c r="AO569" s="160" t="n"/>
      <c r="AP569" s="160" t="n"/>
      <c r="AQ569" s="160" t="n"/>
      <c r="AR569" s="160" t="n"/>
    </row>
    <row r="571">
      <c r="A571" s="8">
        <f>IF(HSI!$C$58="","",HSI!$C$58)</f>
        <v/>
      </c>
      <c r="B571" s="158">
        <f>IF($A571="",0,COUNT($E572:$AR572))</f>
        <v/>
      </c>
      <c r="C571" s="159">
        <f>IF($B571=0,0,MAX($E572:$AR572))</f>
        <v/>
      </c>
      <c r="D571" s="101">
        <f>BDS($A571,FLD_HIST,"headers=y","startcol=1","endcol=7","dir=h","DVD_START_DT",HIST_FROM,"DVD_END_DT",HIST_TO)</f>
        <v/>
      </c>
      <c r="E571" s="102" t="n"/>
      <c r="F571" s="102" t="n"/>
      <c r="G571" s="102" t="n"/>
      <c r="H571" s="102" t="n"/>
      <c r="I571" s="102" t="n"/>
      <c r="J571" s="102" t="n"/>
      <c r="K571" s="102" t="n"/>
      <c r="L571" s="102" t="n"/>
      <c r="M571" s="102" t="n"/>
      <c r="N571" s="102" t="n"/>
      <c r="O571" s="102" t="n"/>
      <c r="P571" s="102" t="n"/>
      <c r="Q571" s="102" t="n"/>
      <c r="R571" s="102" t="n"/>
      <c r="S571" s="102" t="n"/>
      <c r="T571" s="102" t="n"/>
      <c r="U571" s="102" t="n"/>
      <c r="V571" s="102" t="n"/>
      <c r="W571" s="102" t="n"/>
      <c r="X571" s="102" t="n"/>
      <c r="Y571" s="102" t="n"/>
      <c r="Z571" s="102" t="n"/>
      <c r="AA571" s="102" t="n"/>
      <c r="AB571" s="102" t="n"/>
      <c r="AC571" s="102" t="n"/>
      <c r="AD571" s="102" t="n"/>
      <c r="AE571" s="102" t="n"/>
      <c r="AF571" s="102" t="n"/>
      <c r="AG571" s="102" t="n"/>
      <c r="AH571" s="102" t="n"/>
      <c r="AI571" s="102" t="n"/>
      <c r="AJ571" s="102" t="n"/>
      <c r="AK571" s="102" t="n"/>
      <c r="AL571" s="102" t="n"/>
      <c r="AM571" s="102" t="n"/>
      <c r="AN571" s="102" t="n"/>
      <c r="AO571" s="102" t="n"/>
      <c r="AP571" s="102" t="n"/>
      <c r="AQ571" s="102" t="n"/>
      <c r="AR571" s="102" t="n"/>
    </row>
    <row r="572">
      <c r="D572" s="102" t="n"/>
      <c r="E572" s="102" t="n"/>
      <c r="F572" s="102" t="n"/>
      <c r="G572" s="102" t="n"/>
      <c r="H572" s="102" t="n"/>
      <c r="I572" s="102" t="n"/>
      <c r="J572" s="102" t="n"/>
      <c r="K572" s="102" t="n"/>
      <c r="L572" s="102" t="n"/>
      <c r="M572" s="102" t="n"/>
      <c r="N572" s="102" t="n"/>
      <c r="O572" s="102" t="n"/>
      <c r="P572" s="102" t="n"/>
      <c r="Q572" s="102" t="n"/>
      <c r="R572" s="102" t="n"/>
      <c r="S572" s="102" t="n"/>
      <c r="T572" s="102" t="n"/>
      <c r="U572" s="102" t="n"/>
      <c r="V572" s="102" t="n"/>
      <c r="W572" s="102" t="n"/>
      <c r="X572" s="102" t="n"/>
      <c r="Y572" s="102" t="n"/>
      <c r="Z572" s="102" t="n"/>
      <c r="AA572" s="102" t="n"/>
      <c r="AB572" s="102" t="n"/>
      <c r="AC572" s="102" t="n"/>
      <c r="AD572" s="102" t="n"/>
      <c r="AE572" s="102" t="n"/>
      <c r="AF572" s="102" t="n"/>
      <c r="AG572" s="102" t="n"/>
      <c r="AH572" s="102" t="n"/>
      <c r="AI572" s="102" t="n"/>
      <c r="AJ572" s="102" t="n"/>
      <c r="AK572" s="102" t="n"/>
      <c r="AL572" s="102" t="n"/>
      <c r="AM572" s="102" t="n"/>
      <c r="AN572" s="102" t="n"/>
      <c r="AO572" s="102" t="n"/>
      <c r="AP572" s="102" t="n"/>
      <c r="AQ572" s="102" t="n"/>
      <c r="AR572" s="102" t="n"/>
    </row>
    <row r="573">
      <c r="D573" s="102" t="n"/>
      <c r="E573" s="102" t="n"/>
      <c r="F573" s="102" t="n"/>
      <c r="G573" s="102" t="n"/>
      <c r="H573" s="102" t="n"/>
      <c r="I573" s="102" t="n"/>
      <c r="J573" s="102" t="n"/>
      <c r="K573" s="102" t="n"/>
      <c r="L573" s="102" t="n"/>
      <c r="M573" s="102" t="n"/>
      <c r="N573" s="102" t="n"/>
      <c r="O573" s="102" t="n"/>
      <c r="P573" s="102" t="n"/>
      <c r="Q573" s="102" t="n"/>
      <c r="R573" s="102" t="n"/>
      <c r="S573" s="102" t="n"/>
      <c r="T573" s="102" t="n"/>
      <c r="U573" s="102" t="n"/>
      <c r="V573" s="102" t="n"/>
      <c r="W573" s="102" t="n"/>
      <c r="X573" s="102" t="n"/>
      <c r="Y573" s="102" t="n"/>
      <c r="Z573" s="102" t="n"/>
      <c r="AA573" s="102" t="n"/>
      <c r="AB573" s="102" t="n"/>
      <c r="AC573" s="102" t="n"/>
      <c r="AD573" s="102" t="n"/>
      <c r="AE573" s="102" t="n"/>
      <c r="AF573" s="102" t="n"/>
      <c r="AG573" s="102" t="n"/>
      <c r="AH573" s="102" t="n"/>
      <c r="AI573" s="102" t="n"/>
      <c r="AJ573" s="102" t="n"/>
      <c r="AK573" s="102" t="n"/>
      <c r="AL573" s="102" t="n"/>
      <c r="AM573" s="102" t="n"/>
      <c r="AN573" s="102" t="n"/>
      <c r="AO573" s="102" t="n"/>
      <c r="AP573" s="102" t="n"/>
      <c r="AQ573" s="102" t="n"/>
      <c r="AR573" s="102" t="n"/>
    </row>
    <row r="574">
      <c r="D574" s="102" t="n"/>
      <c r="E574" s="102" t="n"/>
      <c r="F574" s="102" t="n"/>
      <c r="G574" s="102" t="n"/>
      <c r="H574" s="102" t="n"/>
      <c r="I574" s="102" t="n"/>
      <c r="J574" s="102" t="n"/>
      <c r="K574" s="102" t="n"/>
      <c r="L574" s="102" t="n"/>
      <c r="M574" s="102" t="n"/>
      <c r="N574" s="102" t="n"/>
      <c r="O574" s="102" t="n"/>
      <c r="P574" s="102" t="n"/>
      <c r="Q574" s="102" t="n"/>
      <c r="R574" s="102" t="n"/>
      <c r="S574" s="102" t="n"/>
      <c r="T574" s="102" t="n"/>
      <c r="U574" s="102" t="n"/>
      <c r="V574" s="102" t="n"/>
      <c r="W574" s="102" t="n"/>
      <c r="X574" s="102" t="n"/>
      <c r="Y574" s="102" t="n"/>
      <c r="Z574" s="102" t="n"/>
      <c r="AA574" s="102" t="n"/>
      <c r="AB574" s="102" t="n"/>
      <c r="AC574" s="102" t="n"/>
      <c r="AD574" s="102" t="n"/>
      <c r="AE574" s="102" t="n"/>
      <c r="AF574" s="102" t="n"/>
      <c r="AG574" s="102" t="n"/>
      <c r="AH574" s="102" t="n"/>
      <c r="AI574" s="102" t="n"/>
      <c r="AJ574" s="102" t="n"/>
      <c r="AK574" s="102" t="n"/>
      <c r="AL574" s="102" t="n"/>
      <c r="AM574" s="102" t="n"/>
      <c r="AN574" s="102" t="n"/>
      <c r="AO574" s="102" t="n"/>
      <c r="AP574" s="102" t="n"/>
      <c r="AQ574" s="102" t="n"/>
      <c r="AR574" s="102" t="n"/>
    </row>
    <row r="575">
      <c r="D575" s="160" t="n"/>
      <c r="E575" s="160" t="n"/>
      <c r="F575" s="160" t="n"/>
      <c r="G575" s="160" t="n"/>
      <c r="H575" s="160" t="n"/>
      <c r="I575" s="160" t="n"/>
      <c r="J575" s="160" t="n"/>
      <c r="K575" s="160" t="n"/>
      <c r="L575" s="160" t="n"/>
      <c r="M575" s="160" t="n"/>
      <c r="N575" s="160" t="n"/>
      <c r="O575" s="160" t="n"/>
      <c r="P575" s="160" t="n"/>
      <c r="Q575" s="160" t="n"/>
      <c r="R575" s="160" t="n"/>
      <c r="S575" s="160" t="n"/>
      <c r="T575" s="160" t="n"/>
      <c r="U575" s="160" t="n"/>
      <c r="V575" s="160" t="n"/>
      <c r="W575" s="160" t="n"/>
      <c r="X575" s="160" t="n"/>
      <c r="Y575" s="160" t="n"/>
      <c r="Z575" s="160" t="n"/>
      <c r="AA575" s="160" t="n"/>
      <c r="AB575" s="160" t="n"/>
      <c r="AC575" s="160" t="n"/>
      <c r="AD575" s="160" t="n"/>
      <c r="AE575" s="160" t="n"/>
      <c r="AF575" s="160" t="n"/>
      <c r="AG575" s="160" t="n"/>
      <c r="AH575" s="160" t="n"/>
      <c r="AI575" s="160" t="n"/>
      <c r="AJ575" s="160" t="n"/>
      <c r="AK575" s="160" t="n"/>
      <c r="AL575" s="160" t="n"/>
      <c r="AM575" s="160" t="n"/>
      <c r="AN575" s="160" t="n"/>
      <c r="AO575" s="160" t="n"/>
      <c r="AP575" s="160" t="n"/>
      <c r="AQ575" s="160" t="n"/>
      <c r="AR575" s="160" t="n"/>
    </row>
    <row r="578">
      <c r="A578" s="2">
        <f>IF($A571="","","   projections")</f>
        <v/>
      </c>
      <c r="B578" s="158">
        <f>IF($A571="",0,COUNT($E579:$AR579))</f>
        <v/>
      </c>
      <c r="C578" s="159">
        <f>IF($B578=0,0,MAX($E579:$AR579))</f>
        <v/>
      </c>
      <c r="D578" s="101">
        <f>BDS($A571,FLD_PROJ,"headers=y","startcol=1","endcol=3","dir=h")</f>
        <v/>
      </c>
      <c r="E578" s="102" t="n"/>
      <c r="F578" s="102" t="n"/>
      <c r="G578" s="102" t="n"/>
      <c r="H578" s="102" t="n"/>
      <c r="I578" s="102" t="n"/>
      <c r="J578" s="102" t="n"/>
      <c r="K578" s="102" t="n"/>
      <c r="L578" s="102" t="n"/>
      <c r="M578" s="102" t="n"/>
      <c r="N578" s="102" t="n"/>
      <c r="O578" s="102" t="n"/>
      <c r="P578" s="102" t="n"/>
      <c r="Q578" s="102" t="n"/>
      <c r="R578" s="102" t="n"/>
      <c r="S578" s="102" t="n"/>
      <c r="T578" s="102" t="n"/>
      <c r="U578" s="102" t="n"/>
      <c r="V578" s="102" t="n"/>
      <c r="W578" s="102" t="n"/>
      <c r="X578" s="102" t="n"/>
      <c r="Y578" s="102" t="n"/>
      <c r="Z578" s="102" t="n"/>
      <c r="AA578" s="102" t="n"/>
      <c r="AB578" s="102" t="n"/>
      <c r="AC578" s="102" t="n"/>
      <c r="AD578" s="102" t="n"/>
      <c r="AE578" s="102" t="n"/>
      <c r="AF578" s="102" t="n"/>
      <c r="AG578" s="102" t="n"/>
      <c r="AH578" s="102" t="n"/>
      <c r="AI578" s="102" t="n"/>
      <c r="AJ578" s="102" t="n"/>
      <c r="AK578" s="102" t="n"/>
      <c r="AL578" s="102" t="n"/>
      <c r="AM578" s="102" t="n"/>
      <c r="AN578" s="102" t="n"/>
      <c r="AO578" s="102" t="n"/>
      <c r="AP578" s="102" t="n"/>
      <c r="AQ578" s="102" t="n"/>
      <c r="AR578" s="102" t="n"/>
    </row>
    <row r="579">
      <c r="D579" s="102" t="n"/>
      <c r="E579" s="102" t="n"/>
      <c r="F579" s="102" t="n"/>
      <c r="G579" s="102" t="n"/>
      <c r="H579" s="102" t="n"/>
      <c r="I579" s="102" t="n"/>
      <c r="J579" s="102" t="n"/>
      <c r="K579" s="102" t="n"/>
      <c r="L579" s="102" t="n"/>
      <c r="M579" s="102" t="n"/>
      <c r="N579" s="102" t="n"/>
      <c r="O579" s="102" t="n"/>
      <c r="P579" s="102" t="n"/>
      <c r="Q579" s="102" t="n"/>
      <c r="R579" s="102" t="n"/>
      <c r="S579" s="102" t="n"/>
      <c r="T579" s="102" t="n"/>
      <c r="U579" s="102" t="n"/>
      <c r="V579" s="102" t="n"/>
      <c r="W579" s="102" t="n"/>
      <c r="X579" s="102" t="n"/>
      <c r="Y579" s="102" t="n"/>
      <c r="Z579" s="102" t="n"/>
      <c r="AA579" s="102" t="n"/>
      <c r="AB579" s="102" t="n"/>
      <c r="AC579" s="102" t="n"/>
      <c r="AD579" s="102" t="n"/>
      <c r="AE579" s="102" t="n"/>
      <c r="AF579" s="102" t="n"/>
      <c r="AG579" s="102" t="n"/>
      <c r="AH579" s="102" t="n"/>
      <c r="AI579" s="102" t="n"/>
      <c r="AJ579" s="102" t="n"/>
      <c r="AK579" s="102" t="n"/>
      <c r="AL579" s="102" t="n"/>
      <c r="AM579" s="102" t="n"/>
      <c r="AN579" s="102" t="n"/>
      <c r="AO579" s="102" t="n"/>
      <c r="AP579" s="102" t="n"/>
      <c r="AQ579" s="102" t="n"/>
      <c r="AR579" s="102" t="n"/>
    </row>
    <row r="580">
      <c r="D580" s="160" t="n"/>
      <c r="E580" s="160" t="n"/>
      <c r="F580" s="160" t="n"/>
      <c r="G580" s="160" t="n"/>
      <c r="H580" s="160" t="n"/>
      <c r="I580" s="160" t="n"/>
      <c r="J580" s="160" t="n"/>
      <c r="K580" s="160" t="n"/>
      <c r="L580" s="160" t="n"/>
      <c r="M580" s="160" t="n"/>
      <c r="N580" s="160" t="n"/>
      <c r="O580" s="160" t="n"/>
      <c r="P580" s="160" t="n"/>
      <c r="Q580" s="160" t="n"/>
      <c r="R580" s="160" t="n"/>
      <c r="S580" s="160" t="n"/>
      <c r="T580" s="160" t="n"/>
      <c r="U580" s="160" t="n"/>
      <c r="V580" s="160" t="n"/>
      <c r="W580" s="160" t="n"/>
      <c r="X580" s="160" t="n"/>
      <c r="Y580" s="160" t="n"/>
      <c r="Z580" s="160" t="n"/>
      <c r="AA580" s="160" t="n"/>
      <c r="AB580" s="160" t="n"/>
      <c r="AC580" s="160" t="n"/>
      <c r="AD580" s="160" t="n"/>
      <c r="AE580" s="160" t="n"/>
      <c r="AF580" s="160" t="n"/>
      <c r="AG580" s="160" t="n"/>
      <c r="AH580" s="160" t="n"/>
      <c r="AI580" s="160" t="n"/>
      <c r="AJ580" s="160" t="n"/>
      <c r="AK580" s="160" t="n"/>
      <c r="AL580" s="160" t="n"/>
      <c r="AM580" s="160" t="n"/>
      <c r="AN580" s="160" t="n"/>
      <c r="AO580" s="160" t="n"/>
      <c r="AP580" s="160" t="n"/>
      <c r="AQ580" s="160" t="n"/>
      <c r="AR580" s="160" t="n"/>
    </row>
    <row r="582">
      <c r="A582" s="8">
        <f>IF(HSI!$C$59="","",HSI!$C$59)</f>
        <v/>
      </c>
      <c r="B582" s="158">
        <f>IF($A582="",0,COUNT($E583:$AR583))</f>
        <v/>
      </c>
      <c r="C582" s="159">
        <f>IF($B582=0,0,MAX($E583:$AR583))</f>
        <v/>
      </c>
      <c r="D582" s="101">
        <f>BDS($A582,FLD_HIST,"headers=y","startcol=1","endcol=7","dir=h","DVD_START_DT",HIST_FROM,"DVD_END_DT",HIST_TO)</f>
        <v/>
      </c>
      <c r="E582" s="102" t="n"/>
      <c r="F582" s="102" t="n"/>
      <c r="G582" s="102" t="n"/>
      <c r="H582" s="102" t="n"/>
      <c r="I582" s="102" t="n"/>
      <c r="J582" s="102" t="n"/>
      <c r="K582" s="102" t="n"/>
      <c r="L582" s="102" t="n"/>
      <c r="M582" s="102" t="n"/>
      <c r="N582" s="102" t="n"/>
      <c r="O582" s="102" t="n"/>
      <c r="P582" s="102" t="n"/>
      <c r="Q582" s="102" t="n"/>
      <c r="R582" s="102" t="n"/>
      <c r="S582" s="102" t="n"/>
      <c r="T582" s="102" t="n"/>
      <c r="U582" s="102" t="n"/>
      <c r="V582" s="102" t="n"/>
      <c r="W582" s="102" t="n"/>
      <c r="X582" s="102" t="n"/>
      <c r="Y582" s="102" t="n"/>
      <c r="Z582" s="102" t="n"/>
      <c r="AA582" s="102" t="n"/>
      <c r="AB582" s="102" t="n"/>
      <c r="AC582" s="102" t="n"/>
      <c r="AD582" s="102" t="n"/>
      <c r="AE582" s="102" t="n"/>
      <c r="AF582" s="102" t="n"/>
      <c r="AG582" s="102" t="n"/>
      <c r="AH582" s="102" t="n"/>
      <c r="AI582" s="102" t="n"/>
      <c r="AJ582" s="102" t="n"/>
      <c r="AK582" s="102" t="n"/>
      <c r="AL582" s="102" t="n"/>
      <c r="AM582" s="102" t="n"/>
      <c r="AN582" s="102" t="n"/>
      <c r="AO582" s="102" t="n"/>
      <c r="AP582" s="102" t="n"/>
      <c r="AQ582" s="102" t="n"/>
      <c r="AR582" s="102" t="n"/>
    </row>
    <row r="583">
      <c r="D583" s="102" t="n"/>
      <c r="E583" s="102" t="n"/>
      <c r="F583" s="102" t="n"/>
      <c r="G583" s="102" t="n"/>
      <c r="H583" s="102" t="n"/>
      <c r="I583" s="102" t="n"/>
      <c r="J583" s="102" t="n"/>
      <c r="K583" s="102" t="n"/>
      <c r="L583" s="102" t="n"/>
      <c r="M583" s="102" t="n"/>
      <c r="N583" s="102" t="n"/>
      <c r="O583" s="102" t="n"/>
      <c r="P583" s="102" t="n"/>
      <c r="Q583" s="102" t="n"/>
      <c r="R583" s="102" t="n"/>
      <c r="S583" s="102" t="n"/>
      <c r="T583" s="102" t="n"/>
      <c r="U583" s="102" t="n"/>
      <c r="V583" s="102" t="n"/>
      <c r="W583" s="102" t="n"/>
      <c r="X583" s="102" t="n"/>
      <c r="Y583" s="102" t="n"/>
      <c r="Z583" s="102" t="n"/>
      <c r="AA583" s="102" t="n"/>
      <c r="AB583" s="102" t="n"/>
      <c r="AC583" s="102" t="n"/>
      <c r="AD583" s="102" t="n"/>
      <c r="AE583" s="102" t="n"/>
      <c r="AF583" s="102" t="n"/>
      <c r="AG583" s="102" t="n"/>
      <c r="AH583" s="102" t="n"/>
      <c r="AI583" s="102" t="n"/>
      <c r="AJ583" s="102" t="n"/>
      <c r="AK583" s="102" t="n"/>
      <c r="AL583" s="102" t="n"/>
      <c r="AM583" s="102" t="n"/>
      <c r="AN583" s="102" t="n"/>
      <c r="AO583" s="102" t="n"/>
      <c r="AP583" s="102" t="n"/>
      <c r="AQ583" s="102" t="n"/>
      <c r="AR583" s="102" t="n"/>
    </row>
    <row r="584">
      <c r="D584" s="102" t="n"/>
      <c r="E584" s="102" t="n"/>
      <c r="F584" s="102" t="n"/>
      <c r="G584" s="102" t="n"/>
      <c r="H584" s="102" t="n"/>
      <c r="I584" s="102" t="n"/>
      <c r="J584" s="102" t="n"/>
      <c r="K584" s="102" t="n"/>
      <c r="L584" s="102" t="n"/>
      <c r="M584" s="102" t="n"/>
      <c r="N584" s="102" t="n"/>
      <c r="O584" s="102" t="n"/>
      <c r="P584" s="102" t="n"/>
      <c r="Q584" s="102" t="n"/>
      <c r="R584" s="102" t="n"/>
      <c r="S584" s="102" t="n"/>
      <c r="T584" s="102" t="n"/>
      <c r="U584" s="102" t="n"/>
      <c r="V584" s="102" t="n"/>
      <c r="W584" s="102" t="n"/>
      <c r="X584" s="102" t="n"/>
      <c r="Y584" s="102" t="n"/>
      <c r="Z584" s="102" t="n"/>
      <c r="AA584" s="102" t="n"/>
      <c r="AB584" s="102" t="n"/>
      <c r="AC584" s="102" t="n"/>
      <c r="AD584" s="102" t="n"/>
      <c r="AE584" s="102" t="n"/>
      <c r="AF584" s="102" t="n"/>
      <c r="AG584" s="102" t="n"/>
      <c r="AH584" s="102" t="n"/>
      <c r="AI584" s="102" t="n"/>
      <c r="AJ584" s="102" t="n"/>
      <c r="AK584" s="102" t="n"/>
      <c r="AL584" s="102" t="n"/>
      <c r="AM584" s="102" t="n"/>
      <c r="AN584" s="102" t="n"/>
      <c r="AO584" s="102" t="n"/>
      <c r="AP584" s="102" t="n"/>
      <c r="AQ584" s="102" t="n"/>
      <c r="AR584" s="102" t="n"/>
    </row>
    <row r="585">
      <c r="D585" s="102" t="n"/>
      <c r="E585" s="102" t="n"/>
      <c r="F585" s="102" t="n"/>
      <c r="G585" s="102" t="n"/>
      <c r="H585" s="102" t="n"/>
      <c r="I585" s="102" t="n"/>
      <c r="J585" s="102" t="n"/>
      <c r="K585" s="102" t="n"/>
      <c r="L585" s="102" t="n"/>
      <c r="M585" s="102" t="n"/>
      <c r="N585" s="102" t="n"/>
      <c r="O585" s="102" t="n"/>
      <c r="P585" s="102" t="n"/>
      <c r="Q585" s="102" t="n"/>
      <c r="R585" s="102" t="n"/>
      <c r="S585" s="102" t="n"/>
      <c r="T585" s="102" t="n"/>
      <c r="U585" s="102" t="n"/>
      <c r="V585" s="102" t="n"/>
      <c r="W585" s="102" t="n"/>
      <c r="X585" s="102" t="n"/>
      <c r="Y585" s="102" t="n"/>
      <c r="Z585" s="102" t="n"/>
      <c r="AA585" s="102" t="n"/>
      <c r="AB585" s="102" t="n"/>
      <c r="AC585" s="102" t="n"/>
      <c r="AD585" s="102" t="n"/>
      <c r="AE585" s="102" t="n"/>
      <c r="AF585" s="102" t="n"/>
      <c r="AG585" s="102" t="n"/>
      <c r="AH585" s="102" t="n"/>
      <c r="AI585" s="102" t="n"/>
      <c r="AJ585" s="102" t="n"/>
      <c r="AK585" s="102" t="n"/>
      <c r="AL585" s="102" t="n"/>
      <c r="AM585" s="102" t="n"/>
      <c r="AN585" s="102" t="n"/>
      <c r="AO585" s="102" t="n"/>
      <c r="AP585" s="102" t="n"/>
      <c r="AQ585" s="102" t="n"/>
      <c r="AR585" s="102" t="n"/>
    </row>
    <row r="586">
      <c r="D586" s="160" t="n"/>
      <c r="E586" s="160" t="n"/>
      <c r="F586" s="160" t="n"/>
      <c r="G586" s="160" t="n"/>
      <c r="H586" s="160" t="n"/>
      <c r="I586" s="160" t="n"/>
      <c r="J586" s="160" t="n"/>
      <c r="K586" s="160" t="n"/>
      <c r="L586" s="160" t="n"/>
      <c r="M586" s="160" t="n"/>
      <c r="N586" s="160" t="n"/>
      <c r="O586" s="160" t="n"/>
      <c r="P586" s="160" t="n"/>
      <c r="Q586" s="160" t="n"/>
      <c r="R586" s="160" t="n"/>
      <c r="S586" s="160" t="n"/>
      <c r="T586" s="160" t="n"/>
      <c r="U586" s="160" t="n"/>
      <c r="V586" s="160" t="n"/>
      <c r="W586" s="160" t="n"/>
      <c r="X586" s="160" t="n"/>
      <c r="Y586" s="160" t="n"/>
      <c r="Z586" s="160" t="n"/>
      <c r="AA586" s="160" t="n"/>
      <c r="AB586" s="160" t="n"/>
      <c r="AC586" s="160" t="n"/>
      <c r="AD586" s="160" t="n"/>
      <c r="AE586" s="160" t="n"/>
      <c r="AF586" s="160" t="n"/>
      <c r="AG586" s="160" t="n"/>
      <c r="AH586" s="160" t="n"/>
      <c r="AI586" s="160" t="n"/>
      <c r="AJ586" s="160" t="n"/>
      <c r="AK586" s="160" t="n"/>
      <c r="AL586" s="160" t="n"/>
      <c r="AM586" s="160" t="n"/>
      <c r="AN586" s="160" t="n"/>
      <c r="AO586" s="160" t="n"/>
      <c r="AP586" s="160" t="n"/>
      <c r="AQ586" s="160" t="n"/>
      <c r="AR586" s="160" t="n"/>
    </row>
    <row r="589">
      <c r="A589" s="2">
        <f>IF($A582="","","   projections")</f>
        <v/>
      </c>
      <c r="B589" s="158">
        <f>IF($A582="",0,COUNT($E590:$AR590))</f>
        <v/>
      </c>
      <c r="C589" s="159">
        <f>IF($B589=0,0,MAX($E590:$AR590))</f>
        <v/>
      </c>
      <c r="D589" s="101">
        <f>BDS($A582,FLD_PROJ,"headers=y","startcol=1","endcol=3","dir=h")</f>
        <v/>
      </c>
      <c r="E589" s="102" t="n"/>
      <c r="F589" s="102" t="n"/>
      <c r="G589" s="102" t="n"/>
      <c r="H589" s="102" t="n"/>
      <c r="I589" s="102" t="n"/>
      <c r="J589" s="102" t="n"/>
      <c r="K589" s="102" t="n"/>
      <c r="L589" s="102" t="n"/>
      <c r="M589" s="102" t="n"/>
      <c r="N589" s="102" t="n"/>
      <c r="O589" s="102" t="n"/>
      <c r="P589" s="102" t="n"/>
      <c r="Q589" s="102" t="n"/>
      <c r="R589" s="102" t="n"/>
      <c r="S589" s="102" t="n"/>
      <c r="T589" s="102" t="n"/>
      <c r="U589" s="102" t="n"/>
      <c r="V589" s="102" t="n"/>
      <c r="W589" s="102" t="n"/>
      <c r="X589" s="102" t="n"/>
      <c r="Y589" s="102" t="n"/>
      <c r="Z589" s="102" t="n"/>
      <c r="AA589" s="102" t="n"/>
      <c r="AB589" s="102" t="n"/>
      <c r="AC589" s="102" t="n"/>
      <c r="AD589" s="102" t="n"/>
      <c r="AE589" s="102" t="n"/>
      <c r="AF589" s="102" t="n"/>
      <c r="AG589" s="102" t="n"/>
      <c r="AH589" s="102" t="n"/>
      <c r="AI589" s="102" t="n"/>
      <c r="AJ589" s="102" t="n"/>
      <c r="AK589" s="102" t="n"/>
      <c r="AL589" s="102" t="n"/>
      <c r="AM589" s="102" t="n"/>
      <c r="AN589" s="102" t="n"/>
      <c r="AO589" s="102" t="n"/>
      <c r="AP589" s="102" t="n"/>
      <c r="AQ589" s="102" t="n"/>
      <c r="AR589" s="102" t="n"/>
    </row>
    <row r="590">
      <c r="D590" s="102" t="n"/>
      <c r="E590" s="102" t="n"/>
      <c r="F590" s="102" t="n"/>
      <c r="G590" s="102" t="n"/>
      <c r="H590" s="102" t="n"/>
      <c r="I590" s="102" t="n"/>
      <c r="J590" s="102" t="n"/>
      <c r="K590" s="102" t="n"/>
      <c r="L590" s="102" t="n"/>
      <c r="M590" s="102" t="n"/>
      <c r="N590" s="102" t="n"/>
      <c r="O590" s="102" t="n"/>
      <c r="P590" s="102" t="n"/>
      <c r="Q590" s="102" t="n"/>
      <c r="R590" s="102" t="n"/>
      <c r="S590" s="102" t="n"/>
      <c r="T590" s="102" t="n"/>
      <c r="U590" s="102" t="n"/>
      <c r="V590" s="102" t="n"/>
      <c r="W590" s="102" t="n"/>
      <c r="X590" s="102" t="n"/>
      <c r="Y590" s="102" t="n"/>
      <c r="Z590" s="102" t="n"/>
      <c r="AA590" s="102" t="n"/>
      <c r="AB590" s="102" t="n"/>
      <c r="AC590" s="102" t="n"/>
      <c r="AD590" s="102" t="n"/>
      <c r="AE590" s="102" t="n"/>
      <c r="AF590" s="102" t="n"/>
      <c r="AG590" s="102" t="n"/>
      <c r="AH590" s="102" t="n"/>
      <c r="AI590" s="102" t="n"/>
      <c r="AJ590" s="102" t="n"/>
      <c r="AK590" s="102" t="n"/>
      <c r="AL590" s="102" t="n"/>
      <c r="AM590" s="102" t="n"/>
      <c r="AN590" s="102" t="n"/>
      <c r="AO590" s="102" t="n"/>
      <c r="AP590" s="102" t="n"/>
      <c r="AQ590" s="102" t="n"/>
      <c r="AR590" s="102" t="n"/>
    </row>
    <row r="591">
      <c r="D591" s="160" t="n"/>
      <c r="E591" s="160" t="n"/>
      <c r="F591" s="160" t="n"/>
      <c r="G591" s="160" t="n"/>
      <c r="H591" s="160" t="n"/>
      <c r="I591" s="160" t="n"/>
      <c r="J591" s="160" t="n"/>
      <c r="K591" s="160" t="n"/>
      <c r="L591" s="160" t="n"/>
      <c r="M591" s="160" t="n"/>
      <c r="N591" s="160" t="n"/>
      <c r="O591" s="160" t="n"/>
      <c r="P591" s="160" t="n"/>
      <c r="Q591" s="160" t="n"/>
      <c r="R591" s="160" t="n"/>
      <c r="S591" s="160" t="n"/>
      <c r="T591" s="160" t="n"/>
      <c r="U591" s="160" t="n"/>
      <c r="V591" s="160" t="n"/>
      <c r="W591" s="160" t="n"/>
      <c r="X591" s="160" t="n"/>
      <c r="Y591" s="160" t="n"/>
      <c r="Z591" s="160" t="n"/>
      <c r="AA591" s="160" t="n"/>
      <c r="AB591" s="160" t="n"/>
      <c r="AC591" s="160" t="n"/>
      <c r="AD591" s="160" t="n"/>
      <c r="AE591" s="160" t="n"/>
      <c r="AF591" s="160" t="n"/>
      <c r="AG591" s="160" t="n"/>
      <c r="AH591" s="160" t="n"/>
      <c r="AI591" s="160" t="n"/>
      <c r="AJ591" s="160" t="n"/>
      <c r="AK591" s="160" t="n"/>
      <c r="AL591" s="160" t="n"/>
      <c r="AM591" s="160" t="n"/>
      <c r="AN591" s="160" t="n"/>
      <c r="AO591" s="160" t="n"/>
      <c r="AP591" s="160" t="n"/>
      <c r="AQ591" s="160" t="n"/>
      <c r="AR591" s="160" t="n"/>
    </row>
    <row r="593">
      <c r="A593" s="8">
        <f>IF(HSI!$C$60="","",HSI!$C$60)</f>
        <v/>
      </c>
      <c r="B593" s="158">
        <f>IF($A593="",0,COUNT($E594:$AR594))</f>
        <v/>
      </c>
      <c r="C593" s="159">
        <f>IF($B593=0,0,MAX($E594:$AR594))</f>
        <v/>
      </c>
      <c r="D593" s="101">
        <f>BDS($A593,FLD_HIST,"headers=y","startcol=1","endcol=7","dir=h","DVD_START_DT",HIST_FROM,"DVD_END_DT",HIST_TO)</f>
        <v/>
      </c>
      <c r="E593" s="102" t="n"/>
      <c r="F593" s="102" t="n"/>
      <c r="G593" s="102" t="n"/>
      <c r="H593" s="102" t="n"/>
      <c r="I593" s="102" t="n"/>
      <c r="J593" s="102" t="n"/>
      <c r="K593" s="102" t="n"/>
      <c r="L593" s="102" t="n"/>
      <c r="M593" s="102" t="n"/>
      <c r="N593" s="102" t="n"/>
      <c r="O593" s="102" t="n"/>
      <c r="P593" s="102" t="n"/>
      <c r="Q593" s="102" t="n"/>
      <c r="R593" s="102" t="n"/>
      <c r="S593" s="102" t="n"/>
      <c r="T593" s="102" t="n"/>
      <c r="U593" s="102" t="n"/>
      <c r="V593" s="102" t="n"/>
      <c r="W593" s="102" t="n"/>
      <c r="X593" s="102" t="n"/>
      <c r="Y593" s="102" t="n"/>
      <c r="Z593" s="102" t="n"/>
      <c r="AA593" s="102" t="n"/>
      <c r="AB593" s="102" t="n"/>
      <c r="AC593" s="102" t="n"/>
      <c r="AD593" s="102" t="n"/>
      <c r="AE593" s="102" t="n"/>
      <c r="AF593" s="102" t="n"/>
      <c r="AG593" s="102" t="n"/>
      <c r="AH593" s="102" t="n"/>
      <c r="AI593" s="102" t="n"/>
      <c r="AJ593" s="102" t="n"/>
      <c r="AK593" s="102" t="n"/>
      <c r="AL593" s="102" t="n"/>
      <c r="AM593" s="102" t="n"/>
      <c r="AN593" s="102" t="n"/>
      <c r="AO593" s="102" t="n"/>
      <c r="AP593" s="102" t="n"/>
      <c r="AQ593" s="102" t="n"/>
      <c r="AR593" s="102" t="n"/>
    </row>
    <row r="594">
      <c r="D594" s="102" t="n"/>
      <c r="E594" s="102" t="n"/>
      <c r="F594" s="102" t="n"/>
      <c r="G594" s="102" t="n"/>
      <c r="H594" s="102" t="n"/>
      <c r="I594" s="102" t="n"/>
      <c r="J594" s="102" t="n"/>
      <c r="K594" s="102" t="n"/>
      <c r="L594" s="102" t="n"/>
      <c r="M594" s="102" t="n"/>
      <c r="N594" s="102" t="n"/>
      <c r="O594" s="102" t="n"/>
      <c r="P594" s="102" t="n"/>
      <c r="Q594" s="102" t="n"/>
      <c r="R594" s="102" t="n"/>
      <c r="S594" s="102" t="n"/>
      <c r="T594" s="102" t="n"/>
      <c r="U594" s="102" t="n"/>
      <c r="V594" s="102" t="n"/>
      <c r="W594" s="102" t="n"/>
      <c r="X594" s="102" t="n"/>
      <c r="Y594" s="102" t="n"/>
      <c r="Z594" s="102" t="n"/>
      <c r="AA594" s="102" t="n"/>
      <c r="AB594" s="102" t="n"/>
      <c r="AC594" s="102" t="n"/>
      <c r="AD594" s="102" t="n"/>
      <c r="AE594" s="102" t="n"/>
      <c r="AF594" s="102" t="n"/>
      <c r="AG594" s="102" t="n"/>
      <c r="AH594" s="102" t="n"/>
      <c r="AI594" s="102" t="n"/>
      <c r="AJ594" s="102" t="n"/>
      <c r="AK594" s="102" t="n"/>
      <c r="AL594" s="102" t="n"/>
      <c r="AM594" s="102" t="n"/>
      <c r="AN594" s="102" t="n"/>
      <c r="AO594" s="102" t="n"/>
      <c r="AP594" s="102" t="n"/>
      <c r="AQ594" s="102" t="n"/>
      <c r="AR594" s="102" t="n"/>
    </row>
    <row r="595">
      <c r="D595" s="102" t="n"/>
      <c r="E595" s="102" t="n"/>
      <c r="F595" s="102" t="n"/>
      <c r="G595" s="102" t="n"/>
      <c r="H595" s="102" t="n"/>
      <c r="I595" s="102" t="n"/>
      <c r="J595" s="102" t="n"/>
      <c r="K595" s="102" t="n"/>
      <c r="L595" s="102" t="n"/>
      <c r="M595" s="102" t="n"/>
      <c r="N595" s="102" t="n"/>
      <c r="O595" s="102" t="n"/>
      <c r="P595" s="102" t="n"/>
      <c r="Q595" s="102" t="n"/>
      <c r="R595" s="102" t="n"/>
      <c r="S595" s="102" t="n"/>
      <c r="T595" s="102" t="n"/>
      <c r="U595" s="102" t="n"/>
      <c r="V595" s="102" t="n"/>
      <c r="W595" s="102" t="n"/>
      <c r="X595" s="102" t="n"/>
      <c r="Y595" s="102" t="n"/>
      <c r="Z595" s="102" t="n"/>
      <c r="AA595" s="102" t="n"/>
      <c r="AB595" s="102" t="n"/>
      <c r="AC595" s="102" t="n"/>
      <c r="AD595" s="102" t="n"/>
      <c r="AE595" s="102" t="n"/>
      <c r="AF595" s="102" t="n"/>
      <c r="AG595" s="102" t="n"/>
      <c r="AH595" s="102" t="n"/>
      <c r="AI595" s="102" t="n"/>
      <c r="AJ595" s="102" t="n"/>
      <c r="AK595" s="102" t="n"/>
      <c r="AL595" s="102" t="n"/>
      <c r="AM595" s="102" t="n"/>
      <c r="AN595" s="102" t="n"/>
      <c r="AO595" s="102" t="n"/>
      <c r="AP595" s="102" t="n"/>
      <c r="AQ595" s="102" t="n"/>
      <c r="AR595" s="102" t="n"/>
    </row>
    <row r="596">
      <c r="D596" s="102" t="n"/>
      <c r="E596" s="102" t="n"/>
      <c r="F596" s="102" t="n"/>
      <c r="G596" s="102" t="n"/>
      <c r="H596" s="102" t="n"/>
      <c r="I596" s="102" t="n"/>
      <c r="J596" s="102" t="n"/>
      <c r="K596" s="102" t="n"/>
      <c r="L596" s="102" t="n"/>
      <c r="M596" s="102" t="n"/>
      <c r="N596" s="102" t="n"/>
      <c r="O596" s="102" t="n"/>
      <c r="P596" s="102" t="n"/>
      <c r="Q596" s="102" t="n"/>
      <c r="R596" s="102" t="n"/>
      <c r="S596" s="102" t="n"/>
      <c r="T596" s="102" t="n"/>
      <c r="U596" s="102" t="n"/>
      <c r="V596" s="102" t="n"/>
      <c r="W596" s="102" t="n"/>
      <c r="X596" s="102" t="n"/>
      <c r="Y596" s="102" t="n"/>
      <c r="Z596" s="102" t="n"/>
      <c r="AA596" s="102" t="n"/>
      <c r="AB596" s="102" t="n"/>
      <c r="AC596" s="102" t="n"/>
      <c r="AD596" s="102" t="n"/>
      <c r="AE596" s="102" t="n"/>
      <c r="AF596" s="102" t="n"/>
      <c r="AG596" s="102" t="n"/>
      <c r="AH596" s="102" t="n"/>
      <c r="AI596" s="102" t="n"/>
      <c r="AJ596" s="102" t="n"/>
      <c r="AK596" s="102" t="n"/>
      <c r="AL596" s="102" t="n"/>
      <c r="AM596" s="102" t="n"/>
      <c r="AN596" s="102" t="n"/>
      <c r="AO596" s="102" t="n"/>
      <c r="AP596" s="102" t="n"/>
      <c r="AQ596" s="102" t="n"/>
      <c r="AR596" s="102" t="n"/>
    </row>
    <row r="597">
      <c r="D597" s="160" t="n"/>
      <c r="E597" s="160" t="n"/>
      <c r="F597" s="160" t="n"/>
      <c r="G597" s="160" t="n"/>
      <c r="H597" s="160" t="n"/>
      <c r="I597" s="160" t="n"/>
      <c r="J597" s="160" t="n"/>
      <c r="K597" s="160" t="n"/>
      <c r="L597" s="160" t="n"/>
      <c r="M597" s="160" t="n"/>
      <c r="N597" s="160" t="n"/>
      <c r="O597" s="160" t="n"/>
      <c r="P597" s="160" t="n"/>
      <c r="Q597" s="160" t="n"/>
      <c r="R597" s="160" t="n"/>
      <c r="S597" s="160" t="n"/>
      <c r="T597" s="160" t="n"/>
      <c r="U597" s="160" t="n"/>
      <c r="V597" s="160" t="n"/>
      <c r="W597" s="160" t="n"/>
      <c r="X597" s="160" t="n"/>
      <c r="Y597" s="160" t="n"/>
      <c r="Z597" s="160" t="n"/>
      <c r="AA597" s="160" t="n"/>
      <c r="AB597" s="160" t="n"/>
      <c r="AC597" s="160" t="n"/>
      <c r="AD597" s="160" t="n"/>
      <c r="AE597" s="160" t="n"/>
      <c r="AF597" s="160" t="n"/>
      <c r="AG597" s="160" t="n"/>
      <c r="AH597" s="160" t="n"/>
      <c r="AI597" s="160" t="n"/>
      <c r="AJ597" s="160" t="n"/>
      <c r="AK597" s="160" t="n"/>
      <c r="AL597" s="160" t="n"/>
      <c r="AM597" s="160" t="n"/>
      <c r="AN597" s="160" t="n"/>
      <c r="AO597" s="160" t="n"/>
      <c r="AP597" s="160" t="n"/>
      <c r="AQ597" s="160" t="n"/>
      <c r="AR597" s="160" t="n"/>
    </row>
    <row r="600">
      <c r="A600" s="2">
        <f>IF($A593="","","   projections")</f>
        <v/>
      </c>
      <c r="B600" s="158">
        <f>IF($A593="",0,COUNT($E601:$AR601))</f>
        <v/>
      </c>
      <c r="C600" s="159">
        <f>IF($B600=0,0,MAX($E601:$AR601))</f>
        <v/>
      </c>
      <c r="D600" s="101">
        <f>BDS($A593,FLD_PROJ,"headers=y","startcol=1","endcol=3","dir=h")</f>
        <v/>
      </c>
      <c r="E600" s="102" t="n"/>
      <c r="F600" s="102" t="n"/>
      <c r="G600" s="102" t="n"/>
      <c r="H600" s="102" t="n"/>
      <c r="I600" s="102" t="n"/>
      <c r="J600" s="102" t="n"/>
      <c r="K600" s="102" t="n"/>
      <c r="L600" s="102" t="n"/>
      <c r="M600" s="102" t="n"/>
      <c r="N600" s="102" t="n"/>
      <c r="O600" s="102" t="n"/>
      <c r="P600" s="102" t="n"/>
      <c r="Q600" s="102" t="n"/>
      <c r="R600" s="102" t="n"/>
      <c r="S600" s="102" t="n"/>
      <c r="T600" s="102" t="n"/>
      <c r="U600" s="102" t="n"/>
      <c r="V600" s="102" t="n"/>
      <c r="W600" s="102" t="n"/>
      <c r="X600" s="102" t="n"/>
      <c r="Y600" s="102" t="n"/>
      <c r="Z600" s="102" t="n"/>
      <c r="AA600" s="102" t="n"/>
      <c r="AB600" s="102" t="n"/>
      <c r="AC600" s="102" t="n"/>
      <c r="AD600" s="102" t="n"/>
      <c r="AE600" s="102" t="n"/>
      <c r="AF600" s="102" t="n"/>
      <c r="AG600" s="102" t="n"/>
      <c r="AH600" s="102" t="n"/>
      <c r="AI600" s="102" t="n"/>
      <c r="AJ600" s="102" t="n"/>
      <c r="AK600" s="102" t="n"/>
      <c r="AL600" s="102" t="n"/>
      <c r="AM600" s="102" t="n"/>
      <c r="AN600" s="102" t="n"/>
      <c r="AO600" s="102" t="n"/>
      <c r="AP600" s="102" t="n"/>
      <c r="AQ600" s="102" t="n"/>
      <c r="AR600" s="102" t="n"/>
    </row>
    <row r="601">
      <c r="D601" s="102" t="n"/>
      <c r="E601" s="102" t="n"/>
      <c r="F601" s="102" t="n"/>
      <c r="G601" s="102" t="n"/>
      <c r="H601" s="102" t="n"/>
      <c r="I601" s="102" t="n"/>
      <c r="J601" s="102" t="n"/>
      <c r="K601" s="102" t="n"/>
      <c r="L601" s="102" t="n"/>
      <c r="M601" s="102" t="n"/>
      <c r="N601" s="102" t="n"/>
      <c r="O601" s="102" t="n"/>
      <c r="P601" s="102" t="n"/>
      <c r="Q601" s="102" t="n"/>
      <c r="R601" s="102" t="n"/>
      <c r="S601" s="102" t="n"/>
      <c r="T601" s="102" t="n"/>
      <c r="U601" s="102" t="n"/>
      <c r="V601" s="102" t="n"/>
      <c r="W601" s="102" t="n"/>
      <c r="X601" s="102" t="n"/>
      <c r="Y601" s="102" t="n"/>
      <c r="Z601" s="102" t="n"/>
      <c r="AA601" s="102" t="n"/>
      <c r="AB601" s="102" t="n"/>
      <c r="AC601" s="102" t="n"/>
      <c r="AD601" s="102" t="n"/>
      <c r="AE601" s="102" t="n"/>
      <c r="AF601" s="102" t="n"/>
      <c r="AG601" s="102" t="n"/>
      <c r="AH601" s="102" t="n"/>
      <c r="AI601" s="102" t="n"/>
      <c r="AJ601" s="102" t="n"/>
      <c r="AK601" s="102" t="n"/>
      <c r="AL601" s="102" t="n"/>
      <c r="AM601" s="102" t="n"/>
      <c r="AN601" s="102" t="n"/>
      <c r="AO601" s="102" t="n"/>
      <c r="AP601" s="102" t="n"/>
      <c r="AQ601" s="102" t="n"/>
      <c r="AR601" s="102" t="n"/>
    </row>
    <row r="602">
      <c r="D602" s="160" t="n"/>
      <c r="E602" s="160" t="n"/>
      <c r="F602" s="160" t="n"/>
      <c r="G602" s="160" t="n"/>
      <c r="H602" s="160" t="n"/>
      <c r="I602" s="160" t="n"/>
      <c r="J602" s="160" t="n"/>
      <c r="K602" s="160" t="n"/>
      <c r="L602" s="160" t="n"/>
      <c r="M602" s="160" t="n"/>
      <c r="N602" s="160" t="n"/>
      <c r="O602" s="160" t="n"/>
      <c r="P602" s="160" t="n"/>
      <c r="Q602" s="160" t="n"/>
      <c r="R602" s="160" t="n"/>
      <c r="S602" s="160" t="n"/>
      <c r="T602" s="160" t="n"/>
      <c r="U602" s="160" t="n"/>
      <c r="V602" s="160" t="n"/>
      <c r="W602" s="160" t="n"/>
      <c r="X602" s="160" t="n"/>
      <c r="Y602" s="160" t="n"/>
      <c r="Z602" s="160" t="n"/>
      <c r="AA602" s="160" t="n"/>
      <c r="AB602" s="160" t="n"/>
      <c r="AC602" s="160" t="n"/>
      <c r="AD602" s="160" t="n"/>
      <c r="AE602" s="160" t="n"/>
      <c r="AF602" s="160" t="n"/>
      <c r="AG602" s="160" t="n"/>
      <c r="AH602" s="160" t="n"/>
      <c r="AI602" s="160" t="n"/>
      <c r="AJ602" s="160" t="n"/>
      <c r="AK602" s="160" t="n"/>
      <c r="AL602" s="160" t="n"/>
      <c r="AM602" s="160" t="n"/>
      <c r="AN602" s="160" t="n"/>
      <c r="AO602" s="160" t="n"/>
      <c r="AP602" s="160" t="n"/>
      <c r="AQ602" s="160" t="n"/>
      <c r="AR602" s="160" t="n"/>
    </row>
    <row r="604">
      <c r="A604" s="8">
        <f>IF(HSI!$C$61="","",HSI!$C$61)</f>
        <v/>
      </c>
      <c r="B604" s="158">
        <f>IF($A604="",0,COUNT($E605:$AR605))</f>
        <v/>
      </c>
      <c r="C604" s="159">
        <f>IF($B604=0,0,MAX($E605:$AR605))</f>
        <v/>
      </c>
      <c r="D604" s="101">
        <f>BDS($A604,FLD_HIST,"headers=y","startcol=1","endcol=7","dir=h","DVD_START_DT",HIST_FROM,"DVD_END_DT",HIST_TO)</f>
        <v/>
      </c>
      <c r="E604" s="102" t="n"/>
      <c r="F604" s="102" t="n"/>
      <c r="G604" s="102" t="n"/>
      <c r="H604" s="102" t="n"/>
      <c r="I604" s="102" t="n"/>
      <c r="J604" s="102" t="n"/>
      <c r="K604" s="102" t="n"/>
      <c r="L604" s="102" t="n"/>
      <c r="M604" s="102" t="n"/>
      <c r="N604" s="102" t="n"/>
      <c r="O604" s="102" t="n"/>
      <c r="P604" s="102" t="n"/>
      <c r="Q604" s="102" t="n"/>
      <c r="R604" s="102" t="n"/>
      <c r="S604" s="102" t="n"/>
      <c r="T604" s="102" t="n"/>
      <c r="U604" s="102" t="n"/>
      <c r="V604" s="102" t="n"/>
      <c r="W604" s="102" t="n"/>
      <c r="X604" s="102" t="n"/>
      <c r="Y604" s="102" t="n"/>
      <c r="Z604" s="102" t="n"/>
      <c r="AA604" s="102" t="n"/>
      <c r="AB604" s="102" t="n"/>
      <c r="AC604" s="102" t="n"/>
      <c r="AD604" s="102" t="n"/>
      <c r="AE604" s="102" t="n"/>
      <c r="AF604" s="102" t="n"/>
      <c r="AG604" s="102" t="n"/>
      <c r="AH604" s="102" t="n"/>
      <c r="AI604" s="102" t="n"/>
      <c r="AJ604" s="102" t="n"/>
      <c r="AK604" s="102" t="n"/>
      <c r="AL604" s="102" t="n"/>
      <c r="AM604" s="102" t="n"/>
      <c r="AN604" s="102" t="n"/>
      <c r="AO604" s="102" t="n"/>
      <c r="AP604" s="102" t="n"/>
      <c r="AQ604" s="102" t="n"/>
      <c r="AR604" s="102" t="n"/>
    </row>
    <row r="605">
      <c r="D605" s="102" t="n"/>
      <c r="E605" s="102" t="n"/>
      <c r="F605" s="102" t="n"/>
      <c r="G605" s="102" t="n"/>
      <c r="H605" s="102" t="n"/>
      <c r="I605" s="102" t="n"/>
      <c r="J605" s="102" t="n"/>
      <c r="K605" s="102" t="n"/>
      <c r="L605" s="102" t="n"/>
      <c r="M605" s="102" t="n"/>
      <c r="N605" s="102" t="n"/>
      <c r="O605" s="102" t="n"/>
      <c r="P605" s="102" t="n"/>
      <c r="Q605" s="102" t="n"/>
      <c r="R605" s="102" t="n"/>
      <c r="S605" s="102" t="n"/>
      <c r="T605" s="102" t="n"/>
      <c r="U605" s="102" t="n"/>
      <c r="V605" s="102" t="n"/>
      <c r="W605" s="102" t="n"/>
      <c r="X605" s="102" t="n"/>
      <c r="Y605" s="102" t="n"/>
      <c r="Z605" s="102" t="n"/>
      <c r="AA605" s="102" t="n"/>
      <c r="AB605" s="102" t="n"/>
      <c r="AC605" s="102" t="n"/>
      <c r="AD605" s="102" t="n"/>
      <c r="AE605" s="102" t="n"/>
      <c r="AF605" s="102" t="n"/>
      <c r="AG605" s="102" t="n"/>
      <c r="AH605" s="102" t="n"/>
      <c r="AI605" s="102" t="n"/>
      <c r="AJ605" s="102" t="n"/>
      <c r="AK605" s="102" t="n"/>
      <c r="AL605" s="102" t="n"/>
      <c r="AM605" s="102" t="n"/>
      <c r="AN605" s="102" t="n"/>
      <c r="AO605" s="102" t="n"/>
      <c r="AP605" s="102" t="n"/>
      <c r="AQ605" s="102" t="n"/>
      <c r="AR605" s="102" t="n"/>
    </row>
    <row r="606">
      <c r="D606" s="102" t="n"/>
      <c r="E606" s="102" t="n"/>
      <c r="F606" s="102" t="n"/>
      <c r="G606" s="102" t="n"/>
      <c r="H606" s="102" t="n"/>
      <c r="I606" s="102" t="n"/>
      <c r="J606" s="102" t="n"/>
      <c r="K606" s="102" t="n"/>
      <c r="L606" s="102" t="n"/>
      <c r="M606" s="102" t="n"/>
      <c r="N606" s="102" t="n"/>
      <c r="O606" s="102" t="n"/>
      <c r="P606" s="102" t="n"/>
      <c r="Q606" s="102" t="n"/>
      <c r="R606" s="102" t="n"/>
      <c r="S606" s="102" t="n"/>
      <c r="T606" s="102" t="n"/>
      <c r="U606" s="102" t="n"/>
      <c r="V606" s="102" t="n"/>
      <c r="W606" s="102" t="n"/>
      <c r="X606" s="102" t="n"/>
      <c r="Y606" s="102" t="n"/>
      <c r="Z606" s="102" t="n"/>
      <c r="AA606" s="102" t="n"/>
      <c r="AB606" s="102" t="n"/>
      <c r="AC606" s="102" t="n"/>
      <c r="AD606" s="102" t="n"/>
      <c r="AE606" s="102" t="n"/>
      <c r="AF606" s="102" t="n"/>
      <c r="AG606" s="102" t="n"/>
      <c r="AH606" s="102" t="n"/>
      <c r="AI606" s="102" t="n"/>
      <c r="AJ606" s="102" t="n"/>
      <c r="AK606" s="102" t="n"/>
      <c r="AL606" s="102" t="n"/>
      <c r="AM606" s="102" t="n"/>
      <c r="AN606" s="102" t="n"/>
      <c r="AO606" s="102" t="n"/>
      <c r="AP606" s="102" t="n"/>
      <c r="AQ606" s="102" t="n"/>
      <c r="AR606" s="102" t="n"/>
    </row>
    <row r="607">
      <c r="D607" s="102" t="n"/>
      <c r="E607" s="102" t="n"/>
      <c r="F607" s="102" t="n"/>
      <c r="G607" s="102" t="n"/>
      <c r="H607" s="102" t="n"/>
      <c r="I607" s="102" t="n"/>
      <c r="J607" s="102" t="n"/>
      <c r="K607" s="102" t="n"/>
      <c r="L607" s="102" t="n"/>
      <c r="M607" s="102" t="n"/>
      <c r="N607" s="102" t="n"/>
      <c r="O607" s="102" t="n"/>
      <c r="P607" s="102" t="n"/>
      <c r="Q607" s="102" t="n"/>
      <c r="R607" s="102" t="n"/>
      <c r="S607" s="102" t="n"/>
      <c r="T607" s="102" t="n"/>
      <c r="U607" s="102" t="n"/>
      <c r="V607" s="102" t="n"/>
      <c r="W607" s="102" t="n"/>
      <c r="X607" s="102" t="n"/>
      <c r="Y607" s="102" t="n"/>
      <c r="Z607" s="102" t="n"/>
      <c r="AA607" s="102" t="n"/>
      <c r="AB607" s="102" t="n"/>
      <c r="AC607" s="102" t="n"/>
      <c r="AD607" s="102" t="n"/>
      <c r="AE607" s="102" t="n"/>
      <c r="AF607" s="102" t="n"/>
      <c r="AG607" s="102" t="n"/>
      <c r="AH607" s="102" t="n"/>
      <c r="AI607" s="102" t="n"/>
      <c r="AJ607" s="102" t="n"/>
      <c r="AK607" s="102" t="n"/>
      <c r="AL607" s="102" t="n"/>
      <c r="AM607" s="102" t="n"/>
      <c r="AN607" s="102" t="n"/>
      <c r="AO607" s="102" t="n"/>
      <c r="AP607" s="102" t="n"/>
      <c r="AQ607" s="102" t="n"/>
      <c r="AR607" s="102" t="n"/>
    </row>
    <row r="608">
      <c r="D608" s="160" t="n"/>
      <c r="E608" s="160" t="n"/>
      <c r="F608" s="160" t="n"/>
      <c r="G608" s="160" t="n"/>
      <c r="H608" s="160" t="n"/>
      <c r="I608" s="160" t="n"/>
      <c r="J608" s="160" t="n"/>
      <c r="K608" s="160" t="n"/>
      <c r="L608" s="160" t="n"/>
      <c r="M608" s="160" t="n"/>
      <c r="N608" s="160" t="n"/>
      <c r="O608" s="160" t="n"/>
      <c r="P608" s="160" t="n"/>
      <c r="Q608" s="160" t="n"/>
      <c r="R608" s="160" t="n"/>
      <c r="S608" s="160" t="n"/>
      <c r="T608" s="160" t="n"/>
      <c r="U608" s="160" t="n"/>
      <c r="V608" s="160" t="n"/>
      <c r="W608" s="160" t="n"/>
      <c r="X608" s="160" t="n"/>
      <c r="Y608" s="160" t="n"/>
      <c r="Z608" s="160" t="n"/>
      <c r="AA608" s="160" t="n"/>
      <c r="AB608" s="160" t="n"/>
      <c r="AC608" s="160" t="n"/>
      <c r="AD608" s="160" t="n"/>
      <c r="AE608" s="160" t="n"/>
      <c r="AF608" s="160" t="n"/>
      <c r="AG608" s="160" t="n"/>
      <c r="AH608" s="160" t="n"/>
      <c r="AI608" s="160" t="n"/>
      <c r="AJ608" s="160" t="n"/>
      <c r="AK608" s="160" t="n"/>
      <c r="AL608" s="160" t="n"/>
      <c r="AM608" s="160" t="n"/>
      <c r="AN608" s="160" t="n"/>
      <c r="AO608" s="160" t="n"/>
      <c r="AP608" s="160" t="n"/>
      <c r="AQ608" s="160" t="n"/>
      <c r="AR608" s="160" t="n"/>
    </row>
    <row r="611">
      <c r="A611" s="2">
        <f>IF($A604="","","   projections")</f>
        <v/>
      </c>
      <c r="B611" s="158">
        <f>IF($A604="",0,COUNT($E612:$AR612))</f>
        <v/>
      </c>
      <c r="C611" s="159">
        <f>IF($B611=0,0,MAX($E612:$AR612))</f>
        <v/>
      </c>
      <c r="D611" s="101">
        <f>BDS($A604,FLD_PROJ,"headers=y","startcol=1","endcol=3","dir=h")</f>
        <v/>
      </c>
      <c r="E611" s="102" t="n"/>
      <c r="F611" s="102" t="n"/>
      <c r="G611" s="102" t="n"/>
      <c r="H611" s="102" t="n"/>
      <c r="I611" s="102" t="n"/>
      <c r="J611" s="102" t="n"/>
      <c r="K611" s="102" t="n"/>
      <c r="L611" s="102" t="n"/>
      <c r="M611" s="102" t="n"/>
      <c r="N611" s="102" t="n"/>
      <c r="O611" s="102" t="n"/>
      <c r="P611" s="102" t="n"/>
      <c r="Q611" s="102" t="n"/>
      <c r="R611" s="102" t="n"/>
      <c r="S611" s="102" t="n"/>
      <c r="T611" s="102" t="n"/>
      <c r="U611" s="102" t="n"/>
      <c r="V611" s="102" t="n"/>
      <c r="W611" s="102" t="n"/>
      <c r="X611" s="102" t="n"/>
      <c r="Y611" s="102" t="n"/>
      <c r="Z611" s="102" t="n"/>
      <c r="AA611" s="102" t="n"/>
      <c r="AB611" s="102" t="n"/>
      <c r="AC611" s="102" t="n"/>
      <c r="AD611" s="102" t="n"/>
      <c r="AE611" s="102" t="n"/>
      <c r="AF611" s="102" t="n"/>
      <c r="AG611" s="102" t="n"/>
      <c r="AH611" s="102" t="n"/>
      <c r="AI611" s="102" t="n"/>
      <c r="AJ611" s="102" t="n"/>
      <c r="AK611" s="102" t="n"/>
      <c r="AL611" s="102" t="n"/>
      <c r="AM611" s="102" t="n"/>
      <c r="AN611" s="102" t="n"/>
      <c r="AO611" s="102" t="n"/>
      <c r="AP611" s="102" t="n"/>
      <c r="AQ611" s="102" t="n"/>
      <c r="AR611" s="102" t="n"/>
    </row>
    <row r="612">
      <c r="D612" s="102" t="n"/>
      <c r="E612" s="102" t="n"/>
      <c r="F612" s="102" t="n"/>
      <c r="G612" s="102" t="n"/>
      <c r="H612" s="102" t="n"/>
      <c r="I612" s="102" t="n"/>
      <c r="J612" s="102" t="n"/>
      <c r="K612" s="102" t="n"/>
      <c r="L612" s="102" t="n"/>
      <c r="M612" s="102" t="n"/>
      <c r="N612" s="102" t="n"/>
      <c r="O612" s="102" t="n"/>
      <c r="P612" s="102" t="n"/>
      <c r="Q612" s="102" t="n"/>
      <c r="R612" s="102" t="n"/>
      <c r="S612" s="102" t="n"/>
      <c r="T612" s="102" t="n"/>
      <c r="U612" s="102" t="n"/>
      <c r="V612" s="102" t="n"/>
      <c r="W612" s="102" t="n"/>
      <c r="X612" s="102" t="n"/>
      <c r="Y612" s="102" t="n"/>
      <c r="Z612" s="102" t="n"/>
      <c r="AA612" s="102" t="n"/>
      <c r="AB612" s="102" t="n"/>
      <c r="AC612" s="102" t="n"/>
      <c r="AD612" s="102" t="n"/>
      <c r="AE612" s="102" t="n"/>
      <c r="AF612" s="102" t="n"/>
      <c r="AG612" s="102" t="n"/>
      <c r="AH612" s="102" t="n"/>
      <c r="AI612" s="102" t="n"/>
      <c r="AJ612" s="102" t="n"/>
      <c r="AK612" s="102" t="n"/>
      <c r="AL612" s="102" t="n"/>
      <c r="AM612" s="102" t="n"/>
      <c r="AN612" s="102" t="n"/>
      <c r="AO612" s="102" t="n"/>
      <c r="AP612" s="102" t="n"/>
      <c r="AQ612" s="102" t="n"/>
      <c r="AR612" s="102" t="n"/>
    </row>
    <row r="613">
      <c r="D613" s="160" t="n"/>
      <c r="E613" s="160" t="n"/>
      <c r="F613" s="160" t="n"/>
      <c r="G613" s="160" t="n"/>
      <c r="H613" s="160" t="n"/>
      <c r="I613" s="160" t="n"/>
      <c r="J613" s="160" t="n"/>
      <c r="K613" s="160" t="n"/>
      <c r="L613" s="160" t="n"/>
      <c r="M613" s="160" t="n"/>
      <c r="N613" s="160" t="n"/>
      <c r="O613" s="160" t="n"/>
      <c r="P613" s="160" t="n"/>
      <c r="Q613" s="160" t="n"/>
      <c r="R613" s="160" t="n"/>
      <c r="S613" s="160" t="n"/>
      <c r="T613" s="160" t="n"/>
      <c r="U613" s="160" t="n"/>
      <c r="V613" s="160" t="n"/>
      <c r="W613" s="160" t="n"/>
      <c r="X613" s="160" t="n"/>
      <c r="Y613" s="160" t="n"/>
      <c r="Z613" s="160" t="n"/>
      <c r="AA613" s="160" t="n"/>
      <c r="AB613" s="160" t="n"/>
      <c r="AC613" s="160" t="n"/>
      <c r="AD613" s="160" t="n"/>
      <c r="AE613" s="160" t="n"/>
      <c r="AF613" s="160" t="n"/>
      <c r="AG613" s="160" t="n"/>
      <c r="AH613" s="160" t="n"/>
      <c r="AI613" s="160" t="n"/>
      <c r="AJ613" s="160" t="n"/>
      <c r="AK613" s="160" t="n"/>
      <c r="AL613" s="160" t="n"/>
      <c r="AM613" s="160" t="n"/>
      <c r="AN613" s="160" t="n"/>
      <c r="AO613" s="160" t="n"/>
      <c r="AP613" s="160" t="n"/>
      <c r="AQ613" s="160" t="n"/>
      <c r="AR613" s="160" t="n"/>
    </row>
    <row r="615">
      <c r="A615" s="8">
        <f>IF(HSI!$C$62="","",HSI!$C$62)</f>
        <v/>
      </c>
      <c r="B615" s="158">
        <f>IF($A615="",0,COUNT($E616:$AR616))</f>
        <v/>
      </c>
      <c r="C615" s="159">
        <f>IF($B615=0,0,MAX($E616:$AR616))</f>
        <v/>
      </c>
      <c r="D615" s="101">
        <f>BDS($A615,FLD_HIST,"headers=y","startcol=1","endcol=7","dir=h","DVD_START_DT",HIST_FROM,"DVD_END_DT",HIST_TO)</f>
        <v/>
      </c>
      <c r="E615" s="102" t="n"/>
      <c r="F615" s="102" t="n"/>
      <c r="G615" s="102" t="n"/>
      <c r="H615" s="102" t="n"/>
      <c r="I615" s="102" t="n"/>
      <c r="J615" s="102" t="n"/>
      <c r="K615" s="102" t="n"/>
      <c r="L615" s="102" t="n"/>
      <c r="M615" s="102" t="n"/>
      <c r="N615" s="102" t="n"/>
      <c r="O615" s="102" t="n"/>
      <c r="P615" s="102" t="n"/>
      <c r="Q615" s="102" t="n"/>
      <c r="R615" s="102" t="n"/>
      <c r="S615" s="102" t="n"/>
      <c r="T615" s="102" t="n"/>
      <c r="U615" s="102" t="n"/>
      <c r="V615" s="102" t="n"/>
      <c r="W615" s="102" t="n"/>
      <c r="X615" s="102" t="n"/>
      <c r="Y615" s="102" t="n"/>
      <c r="Z615" s="102" t="n"/>
      <c r="AA615" s="102" t="n"/>
      <c r="AB615" s="102" t="n"/>
      <c r="AC615" s="102" t="n"/>
      <c r="AD615" s="102" t="n"/>
      <c r="AE615" s="102" t="n"/>
      <c r="AF615" s="102" t="n"/>
      <c r="AG615" s="102" t="n"/>
      <c r="AH615" s="102" t="n"/>
      <c r="AI615" s="102" t="n"/>
      <c r="AJ615" s="102" t="n"/>
      <c r="AK615" s="102" t="n"/>
      <c r="AL615" s="102" t="n"/>
      <c r="AM615" s="102" t="n"/>
      <c r="AN615" s="102" t="n"/>
      <c r="AO615" s="102" t="n"/>
      <c r="AP615" s="102" t="n"/>
      <c r="AQ615" s="102" t="n"/>
      <c r="AR615" s="102" t="n"/>
    </row>
    <row r="616">
      <c r="D616" s="102" t="n"/>
      <c r="E616" s="102" t="n"/>
      <c r="F616" s="102" t="n"/>
      <c r="G616" s="102" t="n"/>
      <c r="H616" s="102" t="n"/>
      <c r="I616" s="102" t="n"/>
      <c r="J616" s="102" t="n"/>
      <c r="K616" s="102" t="n"/>
      <c r="L616" s="102" t="n"/>
      <c r="M616" s="102" t="n"/>
      <c r="N616" s="102" t="n"/>
      <c r="O616" s="102" t="n"/>
      <c r="P616" s="102" t="n"/>
      <c r="Q616" s="102" t="n"/>
      <c r="R616" s="102" t="n"/>
      <c r="S616" s="102" t="n"/>
      <c r="T616" s="102" t="n"/>
      <c r="U616" s="102" t="n"/>
      <c r="V616" s="102" t="n"/>
      <c r="W616" s="102" t="n"/>
      <c r="X616" s="102" t="n"/>
      <c r="Y616" s="102" t="n"/>
      <c r="Z616" s="102" t="n"/>
      <c r="AA616" s="102" t="n"/>
      <c r="AB616" s="102" t="n"/>
      <c r="AC616" s="102" t="n"/>
      <c r="AD616" s="102" t="n"/>
      <c r="AE616" s="102" t="n"/>
      <c r="AF616" s="102" t="n"/>
      <c r="AG616" s="102" t="n"/>
      <c r="AH616" s="102" t="n"/>
      <c r="AI616" s="102" t="n"/>
      <c r="AJ616" s="102" t="n"/>
      <c r="AK616" s="102" t="n"/>
      <c r="AL616" s="102" t="n"/>
      <c r="AM616" s="102" t="n"/>
      <c r="AN616" s="102" t="n"/>
      <c r="AO616" s="102" t="n"/>
      <c r="AP616" s="102" t="n"/>
      <c r="AQ616" s="102" t="n"/>
      <c r="AR616" s="102" t="n"/>
    </row>
    <row r="617">
      <c r="D617" s="102" t="n"/>
      <c r="E617" s="102" t="n"/>
      <c r="F617" s="102" t="n"/>
      <c r="G617" s="102" t="n"/>
      <c r="H617" s="102" t="n"/>
      <c r="I617" s="102" t="n"/>
      <c r="J617" s="102" t="n"/>
      <c r="K617" s="102" t="n"/>
      <c r="L617" s="102" t="n"/>
      <c r="M617" s="102" t="n"/>
      <c r="N617" s="102" t="n"/>
      <c r="O617" s="102" t="n"/>
      <c r="P617" s="102" t="n"/>
      <c r="Q617" s="102" t="n"/>
      <c r="R617" s="102" t="n"/>
      <c r="S617" s="102" t="n"/>
      <c r="T617" s="102" t="n"/>
      <c r="U617" s="102" t="n"/>
      <c r="V617" s="102" t="n"/>
      <c r="W617" s="102" t="n"/>
      <c r="X617" s="102" t="n"/>
      <c r="Y617" s="102" t="n"/>
      <c r="Z617" s="102" t="n"/>
      <c r="AA617" s="102" t="n"/>
      <c r="AB617" s="102" t="n"/>
      <c r="AC617" s="102" t="n"/>
      <c r="AD617" s="102" t="n"/>
      <c r="AE617" s="102" t="n"/>
      <c r="AF617" s="102" t="n"/>
      <c r="AG617" s="102" t="n"/>
      <c r="AH617" s="102" t="n"/>
      <c r="AI617" s="102" t="n"/>
      <c r="AJ617" s="102" t="n"/>
      <c r="AK617" s="102" t="n"/>
      <c r="AL617" s="102" t="n"/>
      <c r="AM617" s="102" t="n"/>
      <c r="AN617" s="102" t="n"/>
      <c r="AO617" s="102" t="n"/>
      <c r="AP617" s="102" t="n"/>
      <c r="AQ617" s="102" t="n"/>
      <c r="AR617" s="102" t="n"/>
    </row>
    <row r="618">
      <c r="D618" s="102" t="n"/>
      <c r="E618" s="102" t="n"/>
      <c r="F618" s="102" t="n"/>
      <c r="G618" s="102" t="n"/>
      <c r="H618" s="102" t="n"/>
      <c r="I618" s="102" t="n"/>
      <c r="J618" s="102" t="n"/>
      <c r="K618" s="102" t="n"/>
      <c r="L618" s="102" t="n"/>
      <c r="M618" s="102" t="n"/>
      <c r="N618" s="102" t="n"/>
      <c r="O618" s="102" t="n"/>
      <c r="P618" s="102" t="n"/>
      <c r="Q618" s="102" t="n"/>
      <c r="R618" s="102" t="n"/>
      <c r="S618" s="102" t="n"/>
      <c r="T618" s="102" t="n"/>
      <c r="U618" s="102" t="n"/>
      <c r="V618" s="102" t="n"/>
      <c r="W618" s="102" t="n"/>
      <c r="X618" s="102" t="n"/>
      <c r="Y618" s="102" t="n"/>
      <c r="Z618" s="102" t="n"/>
      <c r="AA618" s="102" t="n"/>
      <c r="AB618" s="102" t="n"/>
      <c r="AC618" s="102" t="n"/>
      <c r="AD618" s="102" t="n"/>
      <c r="AE618" s="102" t="n"/>
      <c r="AF618" s="102" t="n"/>
      <c r="AG618" s="102" t="n"/>
      <c r="AH618" s="102" t="n"/>
      <c r="AI618" s="102" t="n"/>
      <c r="AJ618" s="102" t="n"/>
      <c r="AK618" s="102" t="n"/>
      <c r="AL618" s="102" t="n"/>
      <c r="AM618" s="102" t="n"/>
      <c r="AN618" s="102" t="n"/>
      <c r="AO618" s="102" t="n"/>
      <c r="AP618" s="102" t="n"/>
      <c r="AQ618" s="102" t="n"/>
      <c r="AR618" s="102" t="n"/>
    </row>
    <row r="619">
      <c r="D619" s="160" t="n"/>
      <c r="E619" s="160" t="n"/>
      <c r="F619" s="160" t="n"/>
      <c r="G619" s="160" t="n"/>
      <c r="H619" s="160" t="n"/>
      <c r="I619" s="160" t="n"/>
      <c r="J619" s="160" t="n"/>
      <c r="K619" s="160" t="n"/>
      <c r="L619" s="160" t="n"/>
      <c r="M619" s="160" t="n"/>
      <c r="N619" s="160" t="n"/>
      <c r="O619" s="160" t="n"/>
      <c r="P619" s="160" t="n"/>
      <c r="Q619" s="160" t="n"/>
      <c r="R619" s="160" t="n"/>
      <c r="S619" s="160" t="n"/>
      <c r="T619" s="160" t="n"/>
      <c r="U619" s="160" t="n"/>
      <c r="V619" s="160" t="n"/>
      <c r="W619" s="160" t="n"/>
      <c r="X619" s="160" t="n"/>
      <c r="Y619" s="160" t="n"/>
      <c r="Z619" s="160" t="n"/>
      <c r="AA619" s="160" t="n"/>
      <c r="AB619" s="160" t="n"/>
      <c r="AC619" s="160" t="n"/>
      <c r="AD619" s="160" t="n"/>
      <c r="AE619" s="160" t="n"/>
      <c r="AF619" s="160" t="n"/>
      <c r="AG619" s="160" t="n"/>
      <c r="AH619" s="160" t="n"/>
      <c r="AI619" s="160" t="n"/>
      <c r="AJ619" s="160" t="n"/>
      <c r="AK619" s="160" t="n"/>
      <c r="AL619" s="160" t="n"/>
      <c r="AM619" s="160" t="n"/>
      <c r="AN619" s="160" t="n"/>
      <c r="AO619" s="160" t="n"/>
      <c r="AP619" s="160" t="n"/>
      <c r="AQ619" s="160" t="n"/>
      <c r="AR619" s="160" t="n"/>
    </row>
    <row r="622">
      <c r="A622" s="2">
        <f>IF($A615="","","   projections")</f>
        <v/>
      </c>
      <c r="B622" s="158">
        <f>IF($A615="",0,COUNT($E623:$AR623))</f>
        <v/>
      </c>
      <c r="C622" s="159">
        <f>IF($B622=0,0,MAX($E623:$AR623))</f>
        <v/>
      </c>
      <c r="D622" s="101">
        <f>BDS($A615,FLD_PROJ,"headers=y","startcol=1","endcol=3","dir=h")</f>
        <v/>
      </c>
      <c r="E622" s="102" t="n"/>
      <c r="F622" s="102" t="n"/>
      <c r="G622" s="102" t="n"/>
      <c r="H622" s="102" t="n"/>
      <c r="I622" s="102" t="n"/>
      <c r="J622" s="102" t="n"/>
      <c r="K622" s="102" t="n"/>
      <c r="L622" s="102" t="n"/>
      <c r="M622" s="102" t="n"/>
      <c r="N622" s="102" t="n"/>
      <c r="O622" s="102" t="n"/>
      <c r="P622" s="102" t="n"/>
      <c r="Q622" s="102" t="n"/>
      <c r="R622" s="102" t="n"/>
      <c r="S622" s="102" t="n"/>
      <c r="T622" s="102" t="n"/>
      <c r="U622" s="102" t="n"/>
      <c r="V622" s="102" t="n"/>
      <c r="W622" s="102" t="n"/>
      <c r="X622" s="102" t="n"/>
      <c r="Y622" s="102" t="n"/>
      <c r="Z622" s="102" t="n"/>
      <c r="AA622" s="102" t="n"/>
      <c r="AB622" s="102" t="n"/>
      <c r="AC622" s="102" t="n"/>
      <c r="AD622" s="102" t="n"/>
      <c r="AE622" s="102" t="n"/>
      <c r="AF622" s="102" t="n"/>
      <c r="AG622" s="102" t="n"/>
      <c r="AH622" s="102" t="n"/>
      <c r="AI622" s="102" t="n"/>
      <c r="AJ622" s="102" t="n"/>
      <c r="AK622" s="102" t="n"/>
      <c r="AL622" s="102" t="n"/>
      <c r="AM622" s="102" t="n"/>
      <c r="AN622" s="102" t="n"/>
      <c r="AO622" s="102" t="n"/>
      <c r="AP622" s="102" t="n"/>
      <c r="AQ622" s="102" t="n"/>
      <c r="AR622" s="102" t="n"/>
    </row>
    <row r="623">
      <c r="D623" s="102" t="n"/>
      <c r="E623" s="102" t="n"/>
      <c r="F623" s="102" t="n"/>
      <c r="G623" s="102" t="n"/>
      <c r="H623" s="102" t="n"/>
      <c r="I623" s="102" t="n"/>
      <c r="J623" s="102" t="n"/>
      <c r="K623" s="102" t="n"/>
      <c r="L623" s="102" t="n"/>
      <c r="M623" s="102" t="n"/>
      <c r="N623" s="102" t="n"/>
      <c r="O623" s="102" t="n"/>
      <c r="P623" s="102" t="n"/>
      <c r="Q623" s="102" t="n"/>
      <c r="R623" s="102" t="n"/>
      <c r="S623" s="102" t="n"/>
      <c r="T623" s="102" t="n"/>
      <c r="U623" s="102" t="n"/>
      <c r="V623" s="102" t="n"/>
      <c r="W623" s="102" t="n"/>
      <c r="X623" s="102" t="n"/>
      <c r="Y623" s="102" t="n"/>
      <c r="Z623" s="102" t="n"/>
      <c r="AA623" s="102" t="n"/>
      <c r="AB623" s="102" t="n"/>
      <c r="AC623" s="102" t="n"/>
      <c r="AD623" s="102" t="n"/>
      <c r="AE623" s="102" t="n"/>
      <c r="AF623" s="102" t="n"/>
      <c r="AG623" s="102" t="n"/>
      <c r="AH623" s="102" t="n"/>
      <c r="AI623" s="102" t="n"/>
      <c r="AJ623" s="102" t="n"/>
      <c r="AK623" s="102" t="n"/>
      <c r="AL623" s="102" t="n"/>
      <c r="AM623" s="102" t="n"/>
      <c r="AN623" s="102" t="n"/>
      <c r="AO623" s="102" t="n"/>
      <c r="AP623" s="102" t="n"/>
      <c r="AQ623" s="102" t="n"/>
      <c r="AR623" s="102" t="n"/>
    </row>
    <row r="624">
      <c r="D624" s="160" t="n"/>
      <c r="E624" s="160" t="n"/>
      <c r="F624" s="160" t="n"/>
      <c r="G624" s="160" t="n"/>
      <c r="H624" s="160" t="n"/>
      <c r="I624" s="160" t="n"/>
      <c r="J624" s="160" t="n"/>
      <c r="K624" s="160" t="n"/>
      <c r="L624" s="160" t="n"/>
      <c r="M624" s="160" t="n"/>
      <c r="N624" s="160" t="n"/>
      <c r="O624" s="160" t="n"/>
      <c r="P624" s="160" t="n"/>
      <c r="Q624" s="160" t="n"/>
      <c r="R624" s="160" t="n"/>
      <c r="S624" s="160" t="n"/>
      <c r="T624" s="160" t="n"/>
      <c r="U624" s="160" t="n"/>
      <c r="V624" s="160" t="n"/>
      <c r="W624" s="160" t="n"/>
      <c r="X624" s="160" t="n"/>
      <c r="Y624" s="160" t="n"/>
      <c r="Z624" s="160" t="n"/>
      <c r="AA624" s="160" t="n"/>
      <c r="AB624" s="160" t="n"/>
      <c r="AC624" s="160" t="n"/>
      <c r="AD624" s="160" t="n"/>
      <c r="AE624" s="160" t="n"/>
      <c r="AF624" s="160" t="n"/>
      <c r="AG624" s="160" t="n"/>
      <c r="AH624" s="160" t="n"/>
      <c r="AI624" s="160" t="n"/>
      <c r="AJ624" s="160" t="n"/>
      <c r="AK624" s="160" t="n"/>
      <c r="AL624" s="160" t="n"/>
      <c r="AM624" s="160" t="n"/>
      <c r="AN624" s="160" t="n"/>
      <c r="AO624" s="160" t="n"/>
      <c r="AP624" s="160" t="n"/>
      <c r="AQ624" s="160" t="n"/>
      <c r="AR624" s="160" t="n"/>
    </row>
    <row r="626">
      <c r="A626" s="8">
        <f>IF(HSI!$C$63="","",HSI!$C$63)</f>
        <v/>
      </c>
      <c r="B626" s="158">
        <f>IF($A626="",0,COUNT($E627:$AR627))</f>
        <v/>
      </c>
      <c r="C626" s="159">
        <f>IF($B626=0,0,MAX($E627:$AR627))</f>
        <v/>
      </c>
      <c r="D626" s="101">
        <f>BDS($A626,FLD_HIST,"headers=y","startcol=1","endcol=7","dir=h","DVD_START_DT",HIST_FROM,"DVD_END_DT",HIST_TO)</f>
        <v/>
      </c>
      <c r="E626" s="102" t="n"/>
      <c r="F626" s="102" t="n"/>
      <c r="G626" s="102" t="n"/>
      <c r="H626" s="102" t="n"/>
      <c r="I626" s="102" t="n"/>
      <c r="J626" s="102" t="n"/>
      <c r="K626" s="102" t="n"/>
      <c r="L626" s="102" t="n"/>
      <c r="M626" s="102" t="n"/>
      <c r="N626" s="102" t="n"/>
      <c r="O626" s="102" t="n"/>
      <c r="P626" s="102" t="n"/>
      <c r="Q626" s="102" t="n"/>
      <c r="R626" s="102" t="n"/>
      <c r="S626" s="102" t="n"/>
      <c r="T626" s="102" t="n"/>
      <c r="U626" s="102" t="n"/>
      <c r="V626" s="102" t="n"/>
      <c r="W626" s="102" t="n"/>
      <c r="X626" s="102" t="n"/>
      <c r="Y626" s="102" t="n"/>
      <c r="Z626" s="102" t="n"/>
      <c r="AA626" s="102" t="n"/>
      <c r="AB626" s="102" t="n"/>
      <c r="AC626" s="102" t="n"/>
      <c r="AD626" s="102" t="n"/>
      <c r="AE626" s="102" t="n"/>
      <c r="AF626" s="102" t="n"/>
      <c r="AG626" s="102" t="n"/>
      <c r="AH626" s="102" t="n"/>
      <c r="AI626" s="102" t="n"/>
      <c r="AJ626" s="102" t="n"/>
      <c r="AK626" s="102" t="n"/>
      <c r="AL626" s="102" t="n"/>
      <c r="AM626" s="102" t="n"/>
      <c r="AN626" s="102" t="n"/>
      <c r="AO626" s="102" t="n"/>
      <c r="AP626" s="102" t="n"/>
      <c r="AQ626" s="102" t="n"/>
      <c r="AR626" s="102" t="n"/>
    </row>
    <row r="627">
      <c r="D627" s="102" t="n"/>
      <c r="E627" s="102" t="n"/>
      <c r="F627" s="102" t="n"/>
      <c r="G627" s="102" t="n"/>
      <c r="H627" s="102" t="n"/>
      <c r="I627" s="102" t="n"/>
      <c r="J627" s="102" t="n"/>
      <c r="K627" s="102" t="n"/>
      <c r="L627" s="102" t="n"/>
      <c r="M627" s="102" t="n"/>
      <c r="N627" s="102" t="n"/>
      <c r="O627" s="102" t="n"/>
      <c r="P627" s="102" t="n"/>
      <c r="Q627" s="102" t="n"/>
      <c r="R627" s="102" t="n"/>
      <c r="S627" s="102" t="n"/>
      <c r="T627" s="102" t="n"/>
      <c r="U627" s="102" t="n"/>
      <c r="V627" s="102" t="n"/>
      <c r="W627" s="102" t="n"/>
      <c r="X627" s="102" t="n"/>
      <c r="Y627" s="102" t="n"/>
      <c r="Z627" s="102" t="n"/>
      <c r="AA627" s="102" t="n"/>
      <c r="AB627" s="102" t="n"/>
      <c r="AC627" s="102" t="n"/>
      <c r="AD627" s="102" t="n"/>
      <c r="AE627" s="102" t="n"/>
      <c r="AF627" s="102" t="n"/>
      <c r="AG627" s="102" t="n"/>
      <c r="AH627" s="102" t="n"/>
      <c r="AI627" s="102" t="n"/>
      <c r="AJ627" s="102" t="n"/>
      <c r="AK627" s="102" t="n"/>
      <c r="AL627" s="102" t="n"/>
      <c r="AM627" s="102" t="n"/>
      <c r="AN627" s="102" t="n"/>
      <c r="AO627" s="102" t="n"/>
      <c r="AP627" s="102" t="n"/>
      <c r="AQ627" s="102" t="n"/>
      <c r="AR627" s="102" t="n"/>
    </row>
    <row r="628">
      <c r="D628" s="102" t="n"/>
      <c r="E628" s="102" t="n"/>
      <c r="F628" s="102" t="n"/>
      <c r="G628" s="102" t="n"/>
      <c r="H628" s="102" t="n"/>
      <c r="I628" s="102" t="n"/>
      <c r="J628" s="102" t="n"/>
      <c r="K628" s="102" t="n"/>
      <c r="L628" s="102" t="n"/>
      <c r="M628" s="102" t="n"/>
      <c r="N628" s="102" t="n"/>
      <c r="O628" s="102" t="n"/>
      <c r="P628" s="102" t="n"/>
      <c r="Q628" s="102" t="n"/>
      <c r="R628" s="102" t="n"/>
      <c r="S628" s="102" t="n"/>
      <c r="T628" s="102" t="n"/>
      <c r="U628" s="102" t="n"/>
      <c r="V628" s="102" t="n"/>
      <c r="W628" s="102" t="n"/>
      <c r="X628" s="102" t="n"/>
      <c r="Y628" s="102" t="n"/>
      <c r="Z628" s="102" t="n"/>
      <c r="AA628" s="102" t="n"/>
      <c r="AB628" s="102" t="n"/>
      <c r="AC628" s="102" t="n"/>
      <c r="AD628" s="102" t="n"/>
      <c r="AE628" s="102" t="n"/>
      <c r="AF628" s="102" t="n"/>
      <c r="AG628" s="102" t="n"/>
      <c r="AH628" s="102" t="n"/>
      <c r="AI628" s="102" t="n"/>
      <c r="AJ628" s="102" t="n"/>
      <c r="AK628" s="102" t="n"/>
      <c r="AL628" s="102" t="n"/>
      <c r="AM628" s="102" t="n"/>
      <c r="AN628" s="102" t="n"/>
      <c r="AO628" s="102" t="n"/>
      <c r="AP628" s="102" t="n"/>
      <c r="AQ628" s="102" t="n"/>
      <c r="AR628" s="102" t="n"/>
    </row>
    <row r="629">
      <c r="D629" s="102" t="n"/>
      <c r="E629" s="102" t="n"/>
      <c r="F629" s="102" t="n"/>
      <c r="G629" s="102" t="n"/>
      <c r="H629" s="102" t="n"/>
      <c r="I629" s="102" t="n"/>
      <c r="J629" s="102" t="n"/>
      <c r="K629" s="102" t="n"/>
      <c r="L629" s="102" t="n"/>
      <c r="M629" s="102" t="n"/>
      <c r="N629" s="102" t="n"/>
      <c r="O629" s="102" t="n"/>
      <c r="P629" s="102" t="n"/>
      <c r="Q629" s="102" t="n"/>
      <c r="R629" s="102" t="n"/>
      <c r="S629" s="102" t="n"/>
      <c r="T629" s="102" t="n"/>
      <c r="U629" s="102" t="n"/>
      <c r="V629" s="102" t="n"/>
      <c r="W629" s="102" t="n"/>
      <c r="X629" s="102" t="n"/>
      <c r="Y629" s="102" t="n"/>
      <c r="Z629" s="102" t="n"/>
      <c r="AA629" s="102" t="n"/>
      <c r="AB629" s="102" t="n"/>
      <c r="AC629" s="102" t="n"/>
      <c r="AD629" s="102" t="n"/>
      <c r="AE629" s="102" t="n"/>
      <c r="AF629" s="102" t="n"/>
      <c r="AG629" s="102" t="n"/>
      <c r="AH629" s="102" t="n"/>
      <c r="AI629" s="102" t="n"/>
      <c r="AJ629" s="102" t="n"/>
      <c r="AK629" s="102" t="n"/>
      <c r="AL629" s="102" t="n"/>
      <c r="AM629" s="102" t="n"/>
      <c r="AN629" s="102" t="n"/>
      <c r="AO629" s="102" t="n"/>
      <c r="AP629" s="102" t="n"/>
      <c r="AQ629" s="102" t="n"/>
      <c r="AR629" s="102" t="n"/>
    </row>
    <row r="630">
      <c r="D630" s="160" t="n"/>
      <c r="E630" s="160" t="n"/>
      <c r="F630" s="160" t="n"/>
      <c r="G630" s="160" t="n"/>
      <c r="H630" s="160" t="n"/>
      <c r="I630" s="160" t="n"/>
      <c r="J630" s="160" t="n"/>
      <c r="K630" s="160" t="n"/>
      <c r="L630" s="160" t="n"/>
      <c r="M630" s="160" t="n"/>
      <c r="N630" s="160" t="n"/>
      <c r="O630" s="160" t="n"/>
      <c r="P630" s="160" t="n"/>
      <c r="Q630" s="160" t="n"/>
      <c r="R630" s="160" t="n"/>
      <c r="S630" s="160" t="n"/>
      <c r="T630" s="160" t="n"/>
      <c r="U630" s="160" t="n"/>
      <c r="V630" s="160" t="n"/>
      <c r="W630" s="160" t="n"/>
      <c r="X630" s="160" t="n"/>
      <c r="Y630" s="160" t="n"/>
      <c r="Z630" s="160" t="n"/>
      <c r="AA630" s="160" t="n"/>
      <c r="AB630" s="160" t="n"/>
      <c r="AC630" s="160" t="n"/>
      <c r="AD630" s="160" t="n"/>
      <c r="AE630" s="160" t="n"/>
      <c r="AF630" s="160" t="n"/>
      <c r="AG630" s="160" t="n"/>
      <c r="AH630" s="160" t="n"/>
      <c r="AI630" s="160" t="n"/>
      <c r="AJ630" s="160" t="n"/>
      <c r="AK630" s="160" t="n"/>
      <c r="AL630" s="160" t="n"/>
      <c r="AM630" s="160" t="n"/>
      <c r="AN630" s="160" t="n"/>
      <c r="AO630" s="160" t="n"/>
      <c r="AP630" s="160" t="n"/>
      <c r="AQ630" s="160" t="n"/>
      <c r="AR630" s="160" t="n"/>
    </row>
    <row r="633">
      <c r="A633" s="2">
        <f>IF($A626="","","   projections")</f>
        <v/>
      </c>
      <c r="B633" s="158">
        <f>IF($A626="",0,COUNT($E634:$AR634))</f>
        <v/>
      </c>
      <c r="C633" s="159">
        <f>IF($B633=0,0,MAX($E634:$AR634))</f>
        <v/>
      </c>
      <c r="D633" s="101">
        <f>BDS($A626,FLD_PROJ,"headers=y","startcol=1","endcol=3","dir=h")</f>
        <v/>
      </c>
      <c r="E633" s="102" t="n"/>
      <c r="F633" s="102" t="n"/>
      <c r="G633" s="102" t="n"/>
      <c r="H633" s="102" t="n"/>
      <c r="I633" s="102" t="n"/>
      <c r="J633" s="102" t="n"/>
      <c r="K633" s="102" t="n"/>
      <c r="L633" s="102" t="n"/>
      <c r="M633" s="102" t="n"/>
      <c r="N633" s="102" t="n"/>
      <c r="O633" s="102" t="n"/>
      <c r="P633" s="102" t="n"/>
      <c r="Q633" s="102" t="n"/>
      <c r="R633" s="102" t="n"/>
      <c r="S633" s="102" t="n"/>
      <c r="T633" s="102" t="n"/>
      <c r="U633" s="102" t="n"/>
      <c r="V633" s="102" t="n"/>
      <c r="W633" s="102" t="n"/>
      <c r="X633" s="102" t="n"/>
      <c r="Y633" s="102" t="n"/>
      <c r="Z633" s="102" t="n"/>
      <c r="AA633" s="102" t="n"/>
      <c r="AB633" s="102" t="n"/>
      <c r="AC633" s="102" t="n"/>
      <c r="AD633" s="102" t="n"/>
      <c r="AE633" s="102" t="n"/>
      <c r="AF633" s="102" t="n"/>
      <c r="AG633" s="102" t="n"/>
      <c r="AH633" s="102" t="n"/>
      <c r="AI633" s="102" t="n"/>
      <c r="AJ633" s="102" t="n"/>
      <c r="AK633" s="102" t="n"/>
      <c r="AL633" s="102" t="n"/>
      <c r="AM633" s="102" t="n"/>
      <c r="AN633" s="102" t="n"/>
      <c r="AO633" s="102" t="n"/>
      <c r="AP633" s="102" t="n"/>
      <c r="AQ633" s="102" t="n"/>
      <c r="AR633" s="102" t="n"/>
    </row>
    <row r="634">
      <c r="D634" s="102" t="n"/>
      <c r="E634" s="102" t="n"/>
      <c r="F634" s="102" t="n"/>
      <c r="G634" s="102" t="n"/>
      <c r="H634" s="102" t="n"/>
      <c r="I634" s="102" t="n"/>
      <c r="J634" s="102" t="n"/>
      <c r="K634" s="102" t="n"/>
      <c r="L634" s="102" t="n"/>
      <c r="M634" s="102" t="n"/>
      <c r="N634" s="102" t="n"/>
      <c r="O634" s="102" t="n"/>
      <c r="P634" s="102" t="n"/>
      <c r="Q634" s="102" t="n"/>
      <c r="R634" s="102" t="n"/>
      <c r="S634" s="102" t="n"/>
      <c r="T634" s="102" t="n"/>
      <c r="U634" s="102" t="n"/>
      <c r="V634" s="102" t="n"/>
      <c r="W634" s="102" t="n"/>
      <c r="X634" s="102" t="n"/>
      <c r="Y634" s="102" t="n"/>
      <c r="Z634" s="102" t="n"/>
      <c r="AA634" s="102" t="n"/>
      <c r="AB634" s="102" t="n"/>
      <c r="AC634" s="102" t="n"/>
      <c r="AD634" s="102" t="n"/>
      <c r="AE634" s="102" t="n"/>
      <c r="AF634" s="102" t="n"/>
      <c r="AG634" s="102" t="n"/>
      <c r="AH634" s="102" t="n"/>
      <c r="AI634" s="102" t="n"/>
      <c r="AJ634" s="102" t="n"/>
      <c r="AK634" s="102" t="n"/>
      <c r="AL634" s="102" t="n"/>
      <c r="AM634" s="102" t="n"/>
      <c r="AN634" s="102" t="n"/>
      <c r="AO634" s="102" t="n"/>
      <c r="AP634" s="102" t="n"/>
      <c r="AQ634" s="102" t="n"/>
      <c r="AR634" s="102" t="n"/>
    </row>
    <row r="635">
      <c r="D635" s="160" t="n"/>
      <c r="E635" s="160" t="n"/>
      <c r="F635" s="160" t="n"/>
      <c r="G635" s="160" t="n"/>
      <c r="H635" s="160" t="n"/>
      <c r="I635" s="160" t="n"/>
      <c r="J635" s="160" t="n"/>
      <c r="K635" s="160" t="n"/>
      <c r="L635" s="160" t="n"/>
      <c r="M635" s="160" t="n"/>
      <c r="N635" s="160" t="n"/>
      <c r="O635" s="160" t="n"/>
      <c r="P635" s="160" t="n"/>
      <c r="Q635" s="160" t="n"/>
      <c r="R635" s="160" t="n"/>
      <c r="S635" s="160" t="n"/>
      <c r="T635" s="160" t="n"/>
      <c r="U635" s="160" t="n"/>
      <c r="V635" s="160" t="n"/>
      <c r="W635" s="160" t="n"/>
      <c r="X635" s="160" t="n"/>
      <c r="Y635" s="160" t="n"/>
      <c r="Z635" s="160" t="n"/>
      <c r="AA635" s="160" t="n"/>
      <c r="AB635" s="160" t="n"/>
      <c r="AC635" s="160" t="n"/>
      <c r="AD635" s="160" t="n"/>
      <c r="AE635" s="160" t="n"/>
      <c r="AF635" s="160" t="n"/>
      <c r="AG635" s="160" t="n"/>
      <c r="AH635" s="160" t="n"/>
      <c r="AI635" s="160" t="n"/>
      <c r="AJ635" s="160" t="n"/>
      <c r="AK635" s="160" t="n"/>
      <c r="AL635" s="160" t="n"/>
      <c r="AM635" s="160" t="n"/>
      <c r="AN635" s="160" t="n"/>
      <c r="AO635" s="160" t="n"/>
      <c r="AP635" s="160" t="n"/>
      <c r="AQ635" s="160" t="n"/>
      <c r="AR635" s="160" t="n"/>
    </row>
    <row r="637">
      <c r="A637" s="8">
        <f>IF(HSI!$C$64="","",HSI!$C$64)</f>
        <v/>
      </c>
      <c r="B637" s="158">
        <f>IF($A637="",0,COUNT($E638:$AR638))</f>
        <v/>
      </c>
      <c r="C637" s="159">
        <f>IF($B637=0,0,MAX($E638:$AR638))</f>
        <v/>
      </c>
      <c r="D637" s="101">
        <f>BDS($A637,FLD_HIST,"headers=y","startcol=1","endcol=7","dir=h","DVD_START_DT",HIST_FROM,"DVD_END_DT",HIST_TO)</f>
        <v/>
      </c>
      <c r="E637" s="102" t="n"/>
      <c r="F637" s="102" t="n"/>
      <c r="G637" s="102" t="n"/>
      <c r="H637" s="102" t="n"/>
      <c r="I637" s="102" t="n"/>
      <c r="J637" s="102" t="n"/>
      <c r="K637" s="102" t="n"/>
      <c r="L637" s="102" t="n"/>
      <c r="M637" s="102" t="n"/>
      <c r="N637" s="102" t="n"/>
      <c r="O637" s="102" t="n"/>
      <c r="P637" s="102" t="n"/>
      <c r="Q637" s="102" t="n"/>
      <c r="R637" s="102" t="n"/>
      <c r="S637" s="102" t="n"/>
      <c r="T637" s="102" t="n"/>
      <c r="U637" s="102" t="n"/>
      <c r="V637" s="102" t="n"/>
      <c r="W637" s="102" t="n"/>
      <c r="X637" s="102" t="n"/>
      <c r="Y637" s="102" t="n"/>
      <c r="Z637" s="102" t="n"/>
      <c r="AA637" s="102" t="n"/>
      <c r="AB637" s="102" t="n"/>
      <c r="AC637" s="102" t="n"/>
      <c r="AD637" s="102" t="n"/>
      <c r="AE637" s="102" t="n"/>
      <c r="AF637" s="102" t="n"/>
      <c r="AG637" s="102" t="n"/>
      <c r="AH637" s="102" t="n"/>
      <c r="AI637" s="102" t="n"/>
      <c r="AJ637" s="102" t="n"/>
      <c r="AK637" s="102" t="n"/>
      <c r="AL637" s="102" t="n"/>
      <c r="AM637" s="102" t="n"/>
      <c r="AN637" s="102" t="n"/>
      <c r="AO637" s="102" t="n"/>
      <c r="AP637" s="102" t="n"/>
      <c r="AQ637" s="102" t="n"/>
      <c r="AR637" s="102" t="n"/>
    </row>
    <row r="638">
      <c r="D638" s="102" t="n"/>
      <c r="E638" s="102" t="n"/>
      <c r="F638" s="102" t="n"/>
      <c r="G638" s="102" t="n"/>
      <c r="H638" s="102" t="n"/>
      <c r="I638" s="102" t="n"/>
      <c r="J638" s="102" t="n"/>
      <c r="K638" s="102" t="n"/>
      <c r="L638" s="102" t="n"/>
      <c r="M638" s="102" t="n"/>
      <c r="N638" s="102" t="n"/>
      <c r="O638" s="102" t="n"/>
      <c r="P638" s="102" t="n"/>
      <c r="Q638" s="102" t="n"/>
      <c r="R638" s="102" t="n"/>
      <c r="S638" s="102" t="n"/>
      <c r="T638" s="102" t="n"/>
      <c r="U638" s="102" t="n"/>
      <c r="V638" s="102" t="n"/>
      <c r="W638" s="102" t="n"/>
      <c r="X638" s="102" t="n"/>
      <c r="Y638" s="102" t="n"/>
      <c r="Z638" s="102" t="n"/>
      <c r="AA638" s="102" t="n"/>
      <c r="AB638" s="102" t="n"/>
      <c r="AC638" s="102" t="n"/>
      <c r="AD638" s="102" t="n"/>
      <c r="AE638" s="102" t="n"/>
      <c r="AF638" s="102" t="n"/>
      <c r="AG638" s="102" t="n"/>
      <c r="AH638" s="102" t="n"/>
      <c r="AI638" s="102" t="n"/>
      <c r="AJ638" s="102" t="n"/>
      <c r="AK638" s="102" t="n"/>
      <c r="AL638" s="102" t="n"/>
      <c r="AM638" s="102" t="n"/>
      <c r="AN638" s="102" t="n"/>
      <c r="AO638" s="102" t="n"/>
      <c r="AP638" s="102" t="n"/>
      <c r="AQ638" s="102" t="n"/>
      <c r="AR638" s="102" t="n"/>
    </row>
    <row r="639">
      <c r="D639" s="102" t="n"/>
      <c r="E639" s="102" t="n"/>
      <c r="F639" s="102" t="n"/>
      <c r="G639" s="102" t="n"/>
      <c r="H639" s="102" t="n"/>
      <c r="I639" s="102" t="n"/>
      <c r="J639" s="102" t="n"/>
      <c r="K639" s="102" t="n"/>
      <c r="L639" s="102" t="n"/>
      <c r="M639" s="102" t="n"/>
      <c r="N639" s="102" t="n"/>
      <c r="O639" s="102" t="n"/>
      <c r="P639" s="102" t="n"/>
      <c r="Q639" s="102" t="n"/>
      <c r="R639" s="102" t="n"/>
      <c r="S639" s="102" t="n"/>
      <c r="T639" s="102" t="n"/>
      <c r="U639" s="102" t="n"/>
      <c r="V639" s="102" t="n"/>
      <c r="W639" s="102" t="n"/>
      <c r="X639" s="102" t="n"/>
      <c r="Y639" s="102" t="n"/>
      <c r="Z639" s="102" t="n"/>
      <c r="AA639" s="102" t="n"/>
      <c r="AB639" s="102" t="n"/>
      <c r="AC639" s="102" t="n"/>
      <c r="AD639" s="102" t="n"/>
      <c r="AE639" s="102" t="n"/>
      <c r="AF639" s="102" t="n"/>
      <c r="AG639" s="102" t="n"/>
      <c r="AH639" s="102" t="n"/>
      <c r="AI639" s="102" t="n"/>
      <c r="AJ639" s="102" t="n"/>
      <c r="AK639" s="102" t="n"/>
      <c r="AL639" s="102" t="n"/>
      <c r="AM639" s="102" t="n"/>
      <c r="AN639" s="102" t="n"/>
      <c r="AO639" s="102" t="n"/>
      <c r="AP639" s="102" t="n"/>
      <c r="AQ639" s="102" t="n"/>
      <c r="AR639" s="102" t="n"/>
    </row>
    <row r="640">
      <c r="D640" s="102" t="n"/>
      <c r="E640" s="102" t="n"/>
      <c r="F640" s="102" t="n"/>
      <c r="G640" s="102" t="n"/>
      <c r="H640" s="102" t="n"/>
      <c r="I640" s="102" t="n"/>
      <c r="J640" s="102" t="n"/>
      <c r="K640" s="102" t="n"/>
      <c r="L640" s="102" t="n"/>
      <c r="M640" s="102" t="n"/>
      <c r="N640" s="102" t="n"/>
      <c r="O640" s="102" t="n"/>
      <c r="P640" s="102" t="n"/>
      <c r="Q640" s="102" t="n"/>
      <c r="R640" s="102" t="n"/>
      <c r="S640" s="102" t="n"/>
      <c r="T640" s="102" t="n"/>
      <c r="U640" s="102" t="n"/>
      <c r="V640" s="102" t="n"/>
      <c r="W640" s="102" t="n"/>
      <c r="X640" s="102" t="n"/>
      <c r="Y640" s="102" t="n"/>
      <c r="Z640" s="102" t="n"/>
      <c r="AA640" s="102" t="n"/>
      <c r="AB640" s="102" t="n"/>
      <c r="AC640" s="102" t="n"/>
      <c r="AD640" s="102" t="n"/>
      <c r="AE640" s="102" t="n"/>
      <c r="AF640" s="102" t="n"/>
      <c r="AG640" s="102" t="n"/>
      <c r="AH640" s="102" t="n"/>
      <c r="AI640" s="102" t="n"/>
      <c r="AJ640" s="102" t="n"/>
      <c r="AK640" s="102" t="n"/>
      <c r="AL640" s="102" t="n"/>
      <c r="AM640" s="102" t="n"/>
      <c r="AN640" s="102" t="n"/>
      <c r="AO640" s="102" t="n"/>
      <c r="AP640" s="102" t="n"/>
      <c r="AQ640" s="102" t="n"/>
      <c r="AR640" s="102" t="n"/>
    </row>
    <row r="641">
      <c r="D641" s="160" t="n"/>
      <c r="E641" s="160" t="n"/>
      <c r="F641" s="160" t="n"/>
      <c r="G641" s="160" t="n"/>
      <c r="H641" s="160" t="n"/>
      <c r="I641" s="160" t="n"/>
      <c r="J641" s="160" t="n"/>
      <c r="K641" s="160" t="n"/>
      <c r="L641" s="160" t="n"/>
      <c r="M641" s="160" t="n"/>
      <c r="N641" s="160" t="n"/>
      <c r="O641" s="160" t="n"/>
      <c r="P641" s="160" t="n"/>
      <c r="Q641" s="160" t="n"/>
      <c r="R641" s="160" t="n"/>
      <c r="S641" s="160" t="n"/>
      <c r="T641" s="160" t="n"/>
      <c r="U641" s="160" t="n"/>
      <c r="V641" s="160" t="n"/>
      <c r="W641" s="160" t="n"/>
      <c r="X641" s="160" t="n"/>
      <c r="Y641" s="160" t="n"/>
      <c r="Z641" s="160" t="n"/>
      <c r="AA641" s="160" t="n"/>
      <c r="AB641" s="160" t="n"/>
      <c r="AC641" s="160" t="n"/>
      <c r="AD641" s="160" t="n"/>
      <c r="AE641" s="160" t="n"/>
      <c r="AF641" s="160" t="n"/>
      <c r="AG641" s="160" t="n"/>
      <c r="AH641" s="160" t="n"/>
      <c r="AI641" s="160" t="n"/>
      <c r="AJ641" s="160" t="n"/>
      <c r="AK641" s="160" t="n"/>
      <c r="AL641" s="160" t="n"/>
      <c r="AM641" s="160" t="n"/>
      <c r="AN641" s="160" t="n"/>
      <c r="AO641" s="160" t="n"/>
      <c r="AP641" s="160" t="n"/>
      <c r="AQ641" s="160" t="n"/>
      <c r="AR641" s="160" t="n"/>
    </row>
    <row r="644">
      <c r="A644" s="2">
        <f>IF($A637="","","   projections")</f>
        <v/>
      </c>
      <c r="B644" s="158">
        <f>IF($A637="",0,COUNT($E645:$AR645))</f>
        <v/>
      </c>
      <c r="C644" s="159">
        <f>IF($B644=0,0,MAX($E645:$AR645))</f>
        <v/>
      </c>
      <c r="D644" s="101">
        <f>BDS($A637,FLD_PROJ,"headers=y","startcol=1","endcol=3","dir=h")</f>
        <v/>
      </c>
      <c r="E644" s="102" t="n"/>
      <c r="F644" s="102" t="n"/>
      <c r="G644" s="102" t="n"/>
      <c r="H644" s="102" t="n"/>
      <c r="I644" s="102" t="n"/>
      <c r="J644" s="102" t="n"/>
      <c r="K644" s="102" t="n"/>
      <c r="L644" s="102" t="n"/>
      <c r="M644" s="102" t="n"/>
      <c r="N644" s="102" t="n"/>
      <c r="O644" s="102" t="n"/>
      <c r="P644" s="102" t="n"/>
      <c r="Q644" s="102" t="n"/>
      <c r="R644" s="102" t="n"/>
      <c r="S644" s="102" t="n"/>
      <c r="T644" s="102" t="n"/>
      <c r="U644" s="102" t="n"/>
      <c r="V644" s="102" t="n"/>
      <c r="W644" s="102" t="n"/>
      <c r="X644" s="102" t="n"/>
      <c r="Y644" s="102" t="n"/>
      <c r="Z644" s="102" t="n"/>
      <c r="AA644" s="102" t="n"/>
      <c r="AB644" s="102" t="n"/>
      <c r="AC644" s="102" t="n"/>
      <c r="AD644" s="102" t="n"/>
      <c r="AE644" s="102" t="n"/>
      <c r="AF644" s="102" t="n"/>
      <c r="AG644" s="102" t="n"/>
      <c r="AH644" s="102" t="n"/>
      <c r="AI644" s="102" t="n"/>
      <c r="AJ644" s="102" t="n"/>
      <c r="AK644" s="102" t="n"/>
      <c r="AL644" s="102" t="n"/>
      <c r="AM644" s="102" t="n"/>
      <c r="AN644" s="102" t="n"/>
      <c r="AO644" s="102" t="n"/>
      <c r="AP644" s="102" t="n"/>
      <c r="AQ644" s="102" t="n"/>
      <c r="AR644" s="102" t="n"/>
    </row>
    <row r="645">
      <c r="D645" s="102" t="n"/>
      <c r="E645" s="102" t="n"/>
      <c r="F645" s="102" t="n"/>
      <c r="G645" s="102" t="n"/>
      <c r="H645" s="102" t="n"/>
      <c r="I645" s="102" t="n"/>
      <c r="J645" s="102" t="n"/>
      <c r="K645" s="102" t="n"/>
      <c r="L645" s="102" t="n"/>
      <c r="M645" s="102" t="n"/>
      <c r="N645" s="102" t="n"/>
      <c r="O645" s="102" t="n"/>
      <c r="P645" s="102" t="n"/>
      <c r="Q645" s="102" t="n"/>
      <c r="R645" s="102" t="n"/>
      <c r="S645" s="102" t="n"/>
      <c r="T645" s="102" t="n"/>
      <c r="U645" s="102" t="n"/>
      <c r="V645" s="102" t="n"/>
      <c r="W645" s="102" t="n"/>
      <c r="X645" s="102" t="n"/>
      <c r="Y645" s="102" t="n"/>
      <c r="Z645" s="102" t="n"/>
      <c r="AA645" s="102" t="n"/>
      <c r="AB645" s="102" t="n"/>
      <c r="AC645" s="102" t="n"/>
      <c r="AD645" s="102" t="n"/>
      <c r="AE645" s="102" t="n"/>
      <c r="AF645" s="102" t="n"/>
      <c r="AG645" s="102" t="n"/>
      <c r="AH645" s="102" t="n"/>
      <c r="AI645" s="102" t="n"/>
      <c r="AJ645" s="102" t="n"/>
      <c r="AK645" s="102" t="n"/>
      <c r="AL645" s="102" t="n"/>
      <c r="AM645" s="102" t="n"/>
      <c r="AN645" s="102" t="n"/>
      <c r="AO645" s="102" t="n"/>
      <c r="AP645" s="102" t="n"/>
      <c r="AQ645" s="102" t="n"/>
      <c r="AR645" s="102" t="n"/>
    </row>
    <row r="646">
      <c r="D646" s="160" t="n"/>
      <c r="E646" s="160" t="n"/>
      <c r="F646" s="160" t="n"/>
      <c r="G646" s="160" t="n"/>
      <c r="H646" s="160" t="n"/>
      <c r="I646" s="160" t="n"/>
      <c r="J646" s="160" t="n"/>
      <c r="K646" s="160" t="n"/>
      <c r="L646" s="160" t="n"/>
      <c r="M646" s="160" t="n"/>
      <c r="N646" s="160" t="n"/>
      <c r="O646" s="160" t="n"/>
      <c r="P646" s="160" t="n"/>
      <c r="Q646" s="160" t="n"/>
      <c r="R646" s="160" t="n"/>
      <c r="S646" s="160" t="n"/>
      <c r="T646" s="160" t="n"/>
      <c r="U646" s="160" t="n"/>
      <c r="V646" s="160" t="n"/>
      <c r="W646" s="160" t="n"/>
      <c r="X646" s="160" t="n"/>
      <c r="Y646" s="160" t="n"/>
      <c r="Z646" s="160" t="n"/>
      <c r="AA646" s="160" t="n"/>
      <c r="AB646" s="160" t="n"/>
      <c r="AC646" s="160" t="n"/>
      <c r="AD646" s="160" t="n"/>
      <c r="AE646" s="160" t="n"/>
      <c r="AF646" s="160" t="n"/>
      <c r="AG646" s="160" t="n"/>
      <c r="AH646" s="160" t="n"/>
      <c r="AI646" s="160" t="n"/>
      <c r="AJ646" s="160" t="n"/>
      <c r="AK646" s="160" t="n"/>
      <c r="AL646" s="160" t="n"/>
      <c r="AM646" s="160" t="n"/>
      <c r="AN646" s="160" t="n"/>
      <c r="AO646" s="160" t="n"/>
      <c r="AP646" s="160" t="n"/>
      <c r="AQ646" s="160" t="n"/>
      <c r="AR646" s="160" t="n"/>
    </row>
    <row r="648">
      <c r="A648" s="8">
        <f>IF(HSI!$C$65="","",HSI!$C$65)</f>
        <v/>
      </c>
      <c r="B648" s="158">
        <f>IF($A648="",0,COUNT($E649:$AR649))</f>
        <v/>
      </c>
      <c r="C648" s="159">
        <f>IF($B648=0,0,MAX($E649:$AR649))</f>
        <v/>
      </c>
      <c r="D648" s="101">
        <f>BDS($A648,FLD_HIST,"headers=y","startcol=1","endcol=7","dir=h","DVD_START_DT",HIST_FROM,"DVD_END_DT",HIST_TO)</f>
        <v/>
      </c>
      <c r="E648" s="102" t="n"/>
      <c r="F648" s="102" t="n"/>
      <c r="G648" s="102" t="n"/>
      <c r="H648" s="102" t="n"/>
      <c r="I648" s="102" t="n"/>
      <c r="J648" s="102" t="n"/>
      <c r="K648" s="102" t="n"/>
      <c r="L648" s="102" t="n"/>
      <c r="M648" s="102" t="n"/>
      <c r="N648" s="102" t="n"/>
      <c r="O648" s="102" t="n"/>
      <c r="P648" s="102" t="n"/>
      <c r="Q648" s="102" t="n"/>
      <c r="R648" s="102" t="n"/>
      <c r="S648" s="102" t="n"/>
      <c r="T648" s="102" t="n"/>
      <c r="U648" s="102" t="n"/>
      <c r="V648" s="102" t="n"/>
      <c r="W648" s="102" t="n"/>
      <c r="X648" s="102" t="n"/>
      <c r="Y648" s="102" t="n"/>
      <c r="Z648" s="102" t="n"/>
      <c r="AA648" s="102" t="n"/>
      <c r="AB648" s="102" t="n"/>
      <c r="AC648" s="102" t="n"/>
      <c r="AD648" s="102" t="n"/>
      <c r="AE648" s="102" t="n"/>
      <c r="AF648" s="102" t="n"/>
      <c r="AG648" s="102" t="n"/>
      <c r="AH648" s="102" t="n"/>
      <c r="AI648" s="102" t="n"/>
      <c r="AJ648" s="102" t="n"/>
      <c r="AK648" s="102" t="n"/>
      <c r="AL648" s="102" t="n"/>
      <c r="AM648" s="102" t="n"/>
      <c r="AN648" s="102" t="n"/>
      <c r="AO648" s="102" t="n"/>
      <c r="AP648" s="102" t="n"/>
      <c r="AQ648" s="102" t="n"/>
      <c r="AR648" s="102" t="n"/>
    </row>
    <row r="649">
      <c r="D649" s="102" t="n"/>
      <c r="E649" s="102" t="n"/>
      <c r="F649" s="102" t="n"/>
      <c r="G649" s="102" t="n"/>
      <c r="H649" s="102" t="n"/>
      <c r="I649" s="102" t="n"/>
      <c r="J649" s="102" t="n"/>
      <c r="K649" s="102" t="n"/>
      <c r="L649" s="102" t="n"/>
      <c r="M649" s="102" t="n"/>
      <c r="N649" s="102" t="n"/>
      <c r="O649" s="102" t="n"/>
      <c r="P649" s="102" t="n"/>
      <c r="Q649" s="102" t="n"/>
      <c r="R649" s="102" t="n"/>
      <c r="S649" s="102" t="n"/>
      <c r="T649" s="102" t="n"/>
      <c r="U649" s="102" t="n"/>
      <c r="V649" s="102" t="n"/>
      <c r="W649" s="102" t="n"/>
      <c r="X649" s="102" t="n"/>
      <c r="Y649" s="102" t="n"/>
      <c r="Z649" s="102" t="n"/>
      <c r="AA649" s="102" t="n"/>
      <c r="AB649" s="102" t="n"/>
      <c r="AC649" s="102" t="n"/>
      <c r="AD649" s="102" t="n"/>
      <c r="AE649" s="102" t="n"/>
      <c r="AF649" s="102" t="n"/>
      <c r="AG649" s="102" t="n"/>
      <c r="AH649" s="102" t="n"/>
      <c r="AI649" s="102" t="n"/>
      <c r="AJ649" s="102" t="n"/>
      <c r="AK649" s="102" t="n"/>
      <c r="AL649" s="102" t="n"/>
      <c r="AM649" s="102" t="n"/>
      <c r="AN649" s="102" t="n"/>
      <c r="AO649" s="102" t="n"/>
      <c r="AP649" s="102" t="n"/>
      <c r="AQ649" s="102" t="n"/>
      <c r="AR649" s="102" t="n"/>
    </row>
    <row r="650">
      <c r="D650" s="102" t="n"/>
      <c r="E650" s="102" t="n"/>
      <c r="F650" s="102" t="n"/>
      <c r="G650" s="102" t="n"/>
      <c r="H650" s="102" t="n"/>
      <c r="I650" s="102" t="n"/>
      <c r="J650" s="102" t="n"/>
      <c r="K650" s="102" t="n"/>
      <c r="L650" s="102" t="n"/>
      <c r="M650" s="102" t="n"/>
      <c r="N650" s="102" t="n"/>
      <c r="O650" s="102" t="n"/>
      <c r="P650" s="102" t="n"/>
      <c r="Q650" s="102" t="n"/>
      <c r="R650" s="102" t="n"/>
      <c r="S650" s="102" t="n"/>
      <c r="T650" s="102" t="n"/>
      <c r="U650" s="102" t="n"/>
      <c r="V650" s="102" t="n"/>
      <c r="W650" s="102" t="n"/>
      <c r="X650" s="102" t="n"/>
      <c r="Y650" s="102" t="n"/>
      <c r="Z650" s="102" t="n"/>
      <c r="AA650" s="102" t="n"/>
      <c r="AB650" s="102" t="n"/>
      <c r="AC650" s="102" t="n"/>
      <c r="AD650" s="102" t="n"/>
      <c r="AE650" s="102" t="n"/>
      <c r="AF650" s="102" t="n"/>
      <c r="AG650" s="102" t="n"/>
      <c r="AH650" s="102" t="n"/>
      <c r="AI650" s="102" t="n"/>
      <c r="AJ650" s="102" t="n"/>
      <c r="AK650" s="102" t="n"/>
      <c r="AL650" s="102" t="n"/>
      <c r="AM650" s="102" t="n"/>
      <c r="AN650" s="102" t="n"/>
      <c r="AO650" s="102" t="n"/>
      <c r="AP650" s="102" t="n"/>
      <c r="AQ650" s="102" t="n"/>
      <c r="AR650" s="102" t="n"/>
    </row>
    <row r="651">
      <c r="D651" s="102" t="n"/>
      <c r="E651" s="102" t="n"/>
      <c r="F651" s="102" t="n"/>
      <c r="G651" s="102" t="n"/>
      <c r="H651" s="102" t="n"/>
      <c r="I651" s="102" t="n"/>
      <c r="J651" s="102" t="n"/>
      <c r="K651" s="102" t="n"/>
      <c r="L651" s="102" t="n"/>
      <c r="M651" s="102" t="n"/>
      <c r="N651" s="102" t="n"/>
      <c r="O651" s="102" t="n"/>
      <c r="P651" s="102" t="n"/>
      <c r="Q651" s="102" t="n"/>
      <c r="R651" s="102" t="n"/>
      <c r="S651" s="102" t="n"/>
      <c r="T651" s="102" t="n"/>
      <c r="U651" s="102" t="n"/>
      <c r="V651" s="102" t="n"/>
      <c r="W651" s="102" t="n"/>
      <c r="X651" s="102" t="n"/>
      <c r="Y651" s="102" t="n"/>
      <c r="Z651" s="102" t="n"/>
      <c r="AA651" s="102" t="n"/>
      <c r="AB651" s="102" t="n"/>
      <c r="AC651" s="102" t="n"/>
      <c r="AD651" s="102" t="n"/>
      <c r="AE651" s="102" t="n"/>
      <c r="AF651" s="102" t="n"/>
      <c r="AG651" s="102" t="n"/>
      <c r="AH651" s="102" t="n"/>
      <c r="AI651" s="102" t="n"/>
      <c r="AJ651" s="102" t="n"/>
      <c r="AK651" s="102" t="n"/>
      <c r="AL651" s="102" t="n"/>
      <c r="AM651" s="102" t="n"/>
      <c r="AN651" s="102" t="n"/>
      <c r="AO651" s="102" t="n"/>
      <c r="AP651" s="102" t="n"/>
      <c r="AQ651" s="102" t="n"/>
      <c r="AR651" s="102" t="n"/>
    </row>
    <row r="652">
      <c r="D652" s="160" t="n"/>
      <c r="E652" s="160" t="n"/>
      <c r="F652" s="160" t="n"/>
      <c r="G652" s="160" t="n"/>
      <c r="H652" s="160" t="n"/>
      <c r="I652" s="160" t="n"/>
      <c r="J652" s="160" t="n"/>
      <c r="K652" s="160" t="n"/>
      <c r="L652" s="160" t="n"/>
      <c r="M652" s="160" t="n"/>
      <c r="N652" s="160" t="n"/>
      <c r="O652" s="160" t="n"/>
      <c r="P652" s="160" t="n"/>
      <c r="Q652" s="160" t="n"/>
      <c r="R652" s="160" t="n"/>
      <c r="S652" s="160" t="n"/>
      <c r="T652" s="160" t="n"/>
      <c r="U652" s="160" t="n"/>
      <c r="V652" s="160" t="n"/>
      <c r="W652" s="160" t="n"/>
      <c r="X652" s="160" t="n"/>
      <c r="Y652" s="160" t="n"/>
      <c r="Z652" s="160" t="n"/>
      <c r="AA652" s="160" t="n"/>
      <c r="AB652" s="160" t="n"/>
      <c r="AC652" s="160" t="n"/>
      <c r="AD652" s="160" t="n"/>
      <c r="AE652" s="160" t="n"/>
      <c r="AF652" s="160" t="n"/>
      <c r="AG652" s="160" t="n"/>
      <c r="AH652" s="160" t="n"/>
      <c r="AI652" s="160" t="n"/>
      <c r="AJ652" s="160" t="n"/>
      <c r="AK652" s="160" t="n"/>
      <c r="AL652" s="160" t="n"/>
      <c r="AM652" s="160" t="n"/>
      <c r="AN652" s="160" t="n"/>
      <c r="AO652" s="160" t="n"/>
      <c r="AP652" s="160" t="n"/>
      <c r="AQ652" s="160" t="n"/>
      <c r="AR652" s="160" t="n"/>
    </row>
    <row r="655">
      <c r="A655" s="2">
        <f>IF($A648="","","   projections")</f>
        <v/>
      </c>
      <c r="B655" s="158">
        <f>IF($A648="",0,COUNT($E656:$AR656))</f>
        <v/>
      </c>
      <c r="C655" s="159">
        <f>IF($B655=0,0,MAX($E656:$AR656))</f>
        <v/>
      </c>
      <c r="D655" s="101">
        <f>BDS($A648,FLD_PROJ,"headers=y","startcol=1","endcol=3","dir=h")</f>
        <v/>
      </c>
      <c r="E655" s="102" t="n"/>
      <c r="F655" s="102" t="n"/>
      <c r="G655" s="102" t="n"/>
      <c r="H655" s="102" t="n"/>
      <c r="I655" s="102" t="n"/>
      <c r="J655" s="102" t="n"/>
      <c r="K655" s="102" t="n"/>
      <c r="L655" s="102" t="n"/>
      <c r="M655" s="102" t="n"/>
      <c r="N655" s="102" t="n"/>
      <c r="O655" s="102" t="n"/>
      <c r="P655" s="102" t="n"/>
      <c r="Q655" s="102" t="n"/>
      <c r="R655" s="102" t="n"/>
      <c r="S655" s="102" t="n"/>
      <c r="T655" s="102" t="n"/>
      <c r="U655" s="102" t="n"/>
      <c r="V655" s="102" t="n"/>
      <c r="W655" s="102" t="n"/>
      <c r="X655" s="102" t="n"/>
      <c r="Y655" s="102" t="n"/>
      <c r="Z655" s="102" t="n"/>
      <c r="AA655" s="102" t="n"/>
      <c r="AB655" s="102" t="n"/>
      <c r="AC655" s="102" t="n"/>
      <c r="AD655" s="102" t="n"/>
      <c r="AE655" s="102" t="n"/>
      <c r="AF655" s="102" t="n"/>
      <c r="AG655" s="102" t="n"/>
      <c r="AH655" s="102" t="n"/>
      <c r="AI655" s="102" t="n"/>
      <c r="AJ655" s="102" t="n"/>
      <c r="AK655" s="102" t="n"/>
      <c r="AL655" s="102" t="n"/>
      <c r="AM655" s="102" t="n"/>
      <c r="AN655" s="102" t="n"/>
      <c r="AO655" s="102" t="n"/>
      <c r="AP655" s="102" t="n"/>
      <c r="AQ655" s="102" t="n"/>
      <c r="AR655" s="102" t="n"/>
    </row>
    <row r="656">
      <c r="D656" s="102" t="n"/>
      <c r="E656" s="102" t="n"/>
      <c r="F656" s="102" t="n"/>
      <c r="G656" s="102" t="n"/>
      <c r="H656" s="102" t="n"/>
      <c r="I656" s="102" t="n"/>
      <c r="J656" s="102" t="n"/>
      <c r="K656" s="102" t="n"/>
      <c r="L656" s="102" t="n"/>
      <c r="M656" s="102" t="n"/>
      <c r="N656" s="102" t="n"/>
      <c r="O656" s="102" t="n"/>
      <c r="P656" s="102" t="n"/>
      <c r="Q656" s="102" t="n"/>
      <c r="R656" s="102" t="n"/>
      <c r="S656" s="102" t="n"/>
      <c r="T656" s="102" t="n"/>
      <c r="U656" s="102" t="n"/>
      <c r="V656" s="102" t="n"/>
      <c r="W656" s="102" t="n"/>
      <c r="X656" s="102" t="n"/>
      <c r="Y656" s="102" t="n"/>
      <c r="Z656" s="102" t="n"/>
      <c r="AA656" s="102" t="n"/>
      <c r="AB656" s="102" t="n"/>
      <c r="AC656" s="102" t="n"/>
      <c r="AD656" s="102" t="n"/>
      <c r="AE656" s="102" t="n"/>
      <c r="AF656" s="102" t="n"/>
      <c r="AG656" s="102" t="n"/>
      <c r="AH656" s="102" t="n"/>
      <c r="AI656" s="102" t="n"/>
      <c r="AJ656" s="102" t="n"/>
      <c r="AK656" s="102" t="n"/>
      <c r="AL656" s="102" t="n"/>
      <c r="AM656" s="102" t="n"/>
      <c r="AN656" s="102" t="n"/>
      <c r="AO656" s="102" t="n"/>
      <c r="AP656" s="102" t="n"/>
      <c r="AQ656" s="102" t="n"/>
      <c r="AR656" s="102" t="n"/>
    </row>
    <row r="657">
      <c r="D657" s="160" t="n"/>
      <c r="E657" s="160" t="n"/>
      <c r="F657" s="160" t="n"/>
      <c r="G657" s="160" t="n"/>
      <c r="H657" s="160" t="n"/>
      <c r="I657" s="160" t="n"/>
      <c r="J657" s="160" t="n"/>
      <c r="K657" s="160" t="n"/>
      <c r="L657" s="160" t="n"/>
      <c r="M657" s="160" t="n"/>
      <c r="N657" s="160" t="n"/>
      <c r="O657" s="160" t="n"/>
      <c r="P657" s="160" t="n"/>
      <c r="Q657" s="160" t="n"/>
      <c r="R657" s="160" t="n"/>
      <c r="S657" s="160" t="n"/>
      <c r="T657" s="160" t="n"/>
      <c r="U657" s="160" t="n"/>
      <c r="V657" s="160" t="n"/>
      <c r="W657" s="160" t="n"/>
      <c r="X657" s="160" t="n"/>
      <c r="Y657" s="160" t="n"/>
      <c r="Z657" s="160" t="n"/>
      <c r="AA657" s="160" t="n"/>
      <c r="AB657" s="160" t="n"/>
      <c r="AC657" s="160" t="n"/>
      <c r="AD657" s="160" t="n"/>
      <c r="AE657" s="160" t="n"/>
      <c r="AF657" s="160" t="n"/>
      <c r="AG657" s="160" t="n"/>
      <c r="AH657" s="160" t="n"/>
      <c r="AI657" s="160" t="n"/>
      <c r="AJ657" s="160" t="n"/>
      <c r="AK657" s="160" t="n"/>
      <c r="AL657" s="160" t="n"/>
      <c r="AM657" s="160" t="n"/>
      <c r="AN657" s="160" t="n"/>
      <c r="AO657" s="160" t="n"/>
      <c r="AP657" s="160" t="n"/>
      <c r="AQ657" s="160" t="n"/>
      <c r="AR657" s="160" t="n"/>
    </row>
    <row r="659">
      <c r="A659" s="8">
        <f>IF(HSI!$C$66="","",HSI!$C$66)</f>
        <v/>
      </c>
      <c r="B659" s="158">
        <f>IF($A659="",0,COUNT($E660:$AR660))</f>
        <v/>
      </c>
      <c r="C659" s="159">
        <f>IF($B659=0,0,MAX($E660:$AR660))</f>
        <v/>
      </c>
      <c r="D659" s="101">
        <f>BDS($A659,FLD_HIST,"headers=y","startcol=1","endcol=7","dir=h","DVD_START_DT",HIST_FROM,"DVD_END_DT",HIST_TO)</f>
        <v/>
      </c>
      <c r="E659" s="102" t="n"/>
      <c r="F659" s="102" t="n"/>
      <c r="G659" s="102" t="n"/>
      <c r="H659" s="102" t="n"/>
      <c r="I659" s="102" t="n"/>
      <c r="J659" s="102" t="n"/>
      <c r="K659" s="102" t="n"/>
      <c r="L659" s="102" t="n"/>
      <c r="M659" s="102" t="n"/>
      <c r="N659" s="102" t="n"/>
      <c r="O659" s="102" t="n"/>
      <c r="P659" s="102" t="n"/>
      <c r="Q659" s="102" t="n"/>
      <c r="R659" s="102" t="n"/>
      <c r="S659" s="102" t="n"/>
      <c r="T659" s="102" t="n"/>
      <c r="U659" s="102" t="n"/>
      <c r="V659" s="102" t="n"/>
      <c r="W659" s="102" t="n"/>
      <c r="X659" s="102" t="n"/>
      <c r="Y659" s="102" t="n"/>
      <c r="Z659" s="102" t="n"/>
      <c r="AA659" s="102" t="n"/>
      <c r="AB659" s="102" t="n"/>
      <c r="AC659" s="102" t="n"/>
      <c r="AD659" s="102" t="n"/>
      <c r="AE659" s="102" t="n"/>
      <c r="AF659" s="102" t="n"/>
      <c r="AG659" s="102" t="n"/>
      <c r="AH659" s="102" t="n"/>
      <c r="AI659" s="102" t="n"/>
      <c r="AJ659" s="102" t="n"/>
      <c r="AK659" s="102" t="n"/>
      <c r="AL659" s="102" t="n"/>
      <c r="AM659" s="102" t="n"/>
      <c r="AN659" s="102" t="n"/>
      <c r="AO659" s="102" t="n"/>
      <c r="AP659" s="102" t="n"/>
      <c r="AQ659" s="102" t="n"/>
      <c r="AR659" s="102" t="n"/>
    </row>
    <row r="660">
      <c r="D660" s="102" t="n"/>
      <c r="E660" s="102" t="n"/>
      <c r="F660" s="102" t="n"/>
      <c r="G660" s="102" t="n"/>
      <c r="H660" s="102" t="n"/>
      <c r="I660" s="102" t="n"/>
      <c r="J660" s="102" t="n"/>
      <c r="K660" s="102" t="n"/>
      <c r="L660" s="102" t="n"/>
      <c r="M660" s="102" t="n"/>
      <c r="N660" s="102" t="n"/>
      <c r="O660" s="102" t="n"/>
      <c r="P660" s="102" t="n"/>
      <c r="Q660" s="102" t="n"/>
      <c r="R660" s="102" t="n"/>
      <c r="S660" s="102" t="n"/>
      <c r="T660" s="102" t="n"/>
      <c r="U660" s="102" t="n"/>
      <c r="V660" s="102" t="n"/>
      <c r="W660" s="102" t="n"/>
      <c r="X660" s="102" t="n"/>
      <c r="Y660" s="102" t="n"/>
      <c r="Z660" s="102" t="n"/>
      <c r="AA660" s="102" t="n"/>
      <c r="AB660" s="102" t="n"/>
      <c r="AC660" s="102" t="n"/>
      <c r="AD660" s="102" t="n"/>
      <c r="AE660" s="102" t="n"/>
      <c r="AF660" s="102" t="n"/>
      <c r="AG660" s="102" t="n"/>
      <c r="AH660" s="102" t="n"/>
      <c r="AI660" s="102" t="n"/>
      <c r="AJ660" s="102" t="n"/>
      <c r="AK660" s="102" t="n"/>
      <c r="AL660" s="102" t="n"/>
      <c r="AM660" s="102" t="n"/>
      <c r="AN660" s="102" t="n"/>
      <c r="AO660" s="102" t="n"/>
      <c r="AP660" s="102" t="n"/>
      <c r="AQ660" s="102" t="n"/>
      <c r="AR660" s="102" t="n"/>
    </row>
    <row r="661">
      <c r="D661" s="102" t="n"/>
      <c r="E661" s="102" t="n"/>
      <c r="F661" s="102" t="n"/>
      <c r="G661" s="102" t="n"/>
      <c r="H661" s="102" t="n"/>
      <c r="I661" s="102" t="n"/>
      <c r="J661" s="102" t="n"/>
      <c r="K661" s="102" t="n"/>
      <c r="L661" s="102" t="n"/>
      <c r="M661" s="102" t="n"/>
      <c r="N661" s="102" t="n"/>
      <c r="O661" s="102" t="n"/>
      <c r="P661" s="102" t="n"/>
      <c r="Q661" s="102" t="n"/>
      <c r="R661" s="102" t="n"/>
      <c r="S661" s="102" t="n"/>
      <c r="T661" s="102" t="n"/>
      <c r="U661" s="102" t="n"/>
      <c r="V661" s="102" t="n"/>
      <c r="W661" s="102" t="n"/>
      <c r="X661" s="102" t="n"/>
      <c r="Y661" s="102" t="n"/>
      <c r="Z661" s="102" t="n"/>
      <c r="AA661" s="102" t="n"/>
      <c r="AB661" s="102" t="n"/>
      <c r="AC661" s="102" t="n"/>
      <c r="AD661" s="102" t="n"/>
      <c r="AE661" s="102" t="n"/>
      <c r="AF661" s="102" t="n"/>
      <c r="AG661" s="102" t="n"/>
      <c r="AH661" s="102" t="n"/>
      <c r="AI661" s="102" t="n"/>
      <c r="AJ661" s="102" t="n"/>
      <c r="AK661" s="102" t="n"/>
      <c r="AL661" s="102" t="n"/>
      <c r="AM661" s="102" t="n"/>
      <c r="AN661" s="102" t="n"/>
      <c r="AO661" s="102" t="n"/>
      <c r="AP661" s="102" t="n"/>
      <c r="AQ661" s="102" t="n"/>
      <c r="AR661" s="102" t="n"/>
    </row>
    <row r="662">
      <c r="D662" s="102" t="n"/>
      <c r="E662" s="102" t="n"/>
      <c r="F662" s="102" t="n"/>
      <c r="G662" s="102" t="n"/>
      <c r="H662" s="102" t="n"/>
      <c r="I662" s="102" t="n"/>
      <c r="J662" s="102" t="n"/>
      <c r="K662" s="102" t="n"/>
      <c r="L662" s="102" t="n"/>
      <c r="M662" s="102" t="n"/>
      <c r="N662" s="102" t="n"/>
      <c r="O662" s="102" t="n"/>
      <c r="P662" s="102" t="n"/>
      <c r="Q662" s="102" t="n"/>
      <c r="R662" s="102" t="n"/>
      <c r="S662" s="102" t="n"/>
      <c r="T662" s="102" t="n"/>
      <c r="U662" s="102" t="n"/>
      <c r="V662" s="102" t="n"/>
      <c r="W662" s="102" t="n"/>
      <c r="X662" s="102" t="n"/>
      <c r="Y662" s="102" t="n"/>
      <c r="Z662" s="102" t="n"/>
      <c r="AA662" s="102" t="n"/>
      <c r="AB662" s="102" t="n"/>
      <c r="AC662" s="102" t="n"/>
      <c r="AD662" s="102" t="n"/>
      <c r="AE662" s="102" t="n"/>
      <c r="AF662" s="102" t="n"/>
      <c r="AG662" s="102" t="n"/>
      <c r="AH662" s="102" t="n"/>
      <c r="AI662" s="102" t="n"/>
      <c r="AJ662" s="102" t="n"/>
      <c r="AK662" s="102" t="n"/>
      <c r="AL662" s="102" t="n"/>
      <c r="AM662" s="102" t="n"/>
      <c r="AN662" s="102" t="n"/>
      <c r="AO662" s="102" t="n"/>
      <c r="AP662" s="102" t="n"/>
      <c r="AQ662" s="102" t="n"/>
      <c r="AR662" s="102" t="n"/>
    </row>
    <row r="663">
      <c r="D663" s="160" t="n"/>
      <c r="E663" s="160" t="n"/>
      <c r="F663" s="160" t="n"/>
      <c r="G663" s="160" t="n"/>
      <c r="H663" s="160" t="n"/>
      <c r="I663" s="160" t="n"/>
      <c r="J663" s="160" t="n"/>
      <c r="K663" s="160" t="n"/>
      <c r="L663" s="160" t="n"/>
      <c r="M663" s="160" t="n"/>
      <c r="N663" s="160" t="n"/>
      <c r="O663" s="160" t="n"/>
      <c r="P663" s="160" t="n"/>
      <c r="Q663" s="160" t="n"/>
      <c r="R663" s="160" t="n"/>
      <c r="S663" s="160" t="n"/>
      <c r="T663" s="160" t="n"/>
      <c r="U663" s="160" t="n"/>
      <c r="V663" s="160" t="n"/>
      <c r="W663" s="160" t="n"/>
      <c r="X663" s="160" t="n"/>
      <c r="Y663" s="160" t="n"/>
      <c r="Z663" s="160" t="n"/>
      <c r="AA663" s="160" t="n"/>
      <c r="AB663" s="160" t="n"/>
      <c r="AC663" s="160" t="n"/>
      <c r="AD663" s="160" t="n"/>
      <c r="AE663" s="160" t="n"/>
      <c r="AF663" s="160" t="n"/>
      <c r="AG663" s="160" t="n"/>
      <c r="AH663" s="160" t="n"/>
      <c r="AI663" s="160" t="n"/>
      <c r="AJ663" s="160" t="n"/>
      <c r="AK663" s="160" t="n"/>
      <c r="AL663" s="160" t="n"/>
      <c r="AM663" s="160" t="n"/>
      <c r="AN663" s="160" t="n"/>
      <c r="AO663" s="160" t="n"/>
      <c r="AP663" s="160" t="n"/>
      <c r="AQ663" s="160" t="n"/>
      <c r="AR663" s="160" t="n"/>
    </row>
    <row r="666">
      <c r="A666" s="2">
        <f>IF($A659="","","   projections")</f>
        <v/>
      </c>
      <c r="B666" s="158">
        <f>IF($A659="",0,COUNT($E667:$AR667))</f>
        <v/>
      </c>
      <c r="C666" s="159">
        <f>IF($B666=0,0,MAX($E667:$AR667))</f>
        <v/>
      </c>
      <c r="D666" s="101">
        <f>BDS($A659,FLD_PROJ,"headers=y","startcol=1","endcol=3","dir=h")</f>
        <v/>
      </c>
      <c r="E666" s="102" t="n"/>
      <c r="F666" s="102" t="n"/>
      <c r="G666" s="102" t="n"/>
      <c r="H666" s="102" t="n"/>
      <c r="I666" s="102" t="n"/>
      <c r="J666" s="102" t="n"/>
      <c r="K666" s="102" t="n"/>
      <c r="L666" s="102" t="n"/>
      <c r="M666" s="102" t="n"/>
      <c r="N666" s="102" t="n"/>
      <c r="O666" s="102" t="n"/>
      <c r="P666" s="102" t="n"/>
      <c r="Q666" s="102" t="n"/>
      <c r="R666" s="102" t="n"/>
      <c r="S666" s="102" t="n"/>
      <c r="T666" s="102" t="n"/>
      <c r="U666" s="102" t="n"/>
      <c r="V666" s="102" t="n"/>
      <c r="W666" s="102" t="n"/>
      <c r="X666" s="102" t="n"/>
      <c r="Y666" s="102" t="n"/>
      <c r="Z666" s="102" t="n"/>
      <c r="AA666" s="102" t="n"/>
      <c r="AB666" s="102" t="n"/>
      <c r="AC666" s="102" t="n"/>
      <c r="AD666" s="102" t="n"/>
      <c r="AE666" s="102" t="n"/>
      <c r="AF666" s="102" t="n"/>
      <c r="AG666" s="102" t="n"/>
      <c r="AH666" s="102" t="n"/>
      <c r="AI666" s="102" t="n"/>
      <c r="AJ666" s="102" t="n"/>
      <c r="AK666" s="102" t="n"/>
      <c r="AL666" s="102" t="n"/>
      <c r="AM666" s="102" t="n"/>
      <c r="AN666" s="102" t="n"/>
      <c r="AO666" s="102" t="n"/>
      <c r="AP666" s="102" t="n"/>
      <c r="AQ666" s="102" t="n"/>
      <c r="AR666" s="102" t="n"/>
    </row>
    <row r="667">
      <c r="D667" s="102" t="n"/>
      <c r="E667" s="102" t="n"/>
      <c r="F667" s="102" t="n"/>
      <c r="G667" s="102" t="n"/>
      <c r="H667" s="102" t="n"/>
      <c r="I667" s="102" t="n"/>
      <c r="J667" s="102" t="n"/>
      <c r="K667" s="102" t="n"/>
      <c r="L667" s="102" t="n"/>
      <c r="M667" s="102" t="n"/>
      <c r="N667" s="102" t="n"/>
      <c r="O667" s="102" t="n"/>
      <c r="P667" s="102" t="n"/>
      <c r="Q667" s="102" t="n"/>
      <c r="R667" s="102" t="n"/>
      <c r="S667" s="102" t="n"/>
      <c r="T667" s="102" t="n"/>
      <c r="U667" s="102" t="n"/>
      <c r="V667" s="102" t="n"/>
      <c r="W667" s="102" t="n"/>
      <c r="X667" s="102" t="n"/>
      <c r="Y667" s="102" t="n"/>
      <c r="Z667" s="102" t="n"/>
      <c r="AA667" s="102" t="n"/>
      <c r="AB667" s="102" t="n"/>
      <c r="AC667" s="102" t="n"/>
      <c r="AD667" s="102" t="n"/>
      <c r="AE667" s="102" t="n"/>
      <c r="AF667" s="102" t="n"/>
      <c r="AG667" s="102" t="n"/>
      <c r="AH667" s="102" t="n"/>
      <c r="AI667" s="102" t="n"/>
      <c r="AJ667" s="102" t="n"/>
      <c r="AK667" s="102" t="n"/>
      <c r="AL667" s="102" t="n"/>
      <c r="AM667" s="102" t="n"/>
      <c r="AN667" s="102" t="n"/>
      <c r="AO667" s="102" t="n"/>
      <c r="AP667" s="102" t="n"/>
      <c r="AQ667" s="102" t="n"/>
      <c r="AR667" s="102" t="n"/>
    </row>
    <row r="668">
      <c r="D668" s="160" t="n"/>
      <c r="E668" s="160" t="n"/>
      <c r="F668" s="160" t="n"/>
      <c r="G668" s="160" t="n"/>
      <c r="H668" s="160" t="n"/>
      <c r="I668" s="160" t="n"/>
      <c r="J668" s="160" t="n"/>
      <c r="K668" s="160" t="n"/>
      <c r="L668" s="160" t="n"/>
      <c r="M668" s="160" t="n"/>
      <c r="N668" s="160" t="n"/>
      <c r="O668" s="160" t="n"/>
      <c r="P668" s="160" t="n"/>
      <c r="Q668" s="160" t="n"/>
      <c r="R668" s="160" t="n"/>
      <c r="S668" s="160" t="n"/>
      <c r="T668" s="160" t="n"/>
      <c r="U668" s="160" t="n"/>
      <c r="V668" s="160" t="n"/>
      <c r="W668" s="160" t="n"/>
      <c r="X668" s="160" t="n"/>
      <c r="Y668" s="160" t="n"/>
      <c r="Z668" s="160" t="n"/>
      <c r="AA668" s="160" t="n"/>
      <c r="AB668" s="160" t="n"/>
      <c r="AC668" s="160" t="n"/>
      <c r="AD668" s="160" t="n"/>
      <c r="AE668" s="160" t="n"/>
      <c r="AF668" s="160" t="n"/>
      <c r="AG668" s="160" t="n"/>
      <c r="AH668" s="160" t="n"/>
      <c r="AI668" s="160" t="n"/>
      <c r="AJ668" s="160" t="n"/>
      <c r="AK668" s="160" t="n"/>
      <c r="AL668" s="160" t="n"/>
      <c r="AM668" s="160" t="n"/>
      <c r="AN668" s="160" t="n"/>
      <c r="AO668" s="160" t="n"/>
      <c r="AP668" s="160" t="n"/>
      <c r="AQ668" s="160" t="n"/>
      <c r="AR668" s="160" t="n"/>
    </row>
    <row r="670">
      <c r="A670" s="8">
        <f>IF(HSI!$C$67="","",HSI!$C$67)</f>
        <v/>
      </c>
      <c r="B670" s="158">
        <f>IF($A670="",0,COUNT($E671:$AR671))</f>
        <v/>
      </c>
      <c r="C670" s="159">
        <f>IF($B670=0,0,MAX($E671:$AR671))</f>
        <v/>
      </c>
      <c r="D670" s="101">
        <f>BDS($A670,FLD_HIST,"headers=y","startcol=1","endcol=7","dir=h","DVD_START_DT",HIST_FROM,"DVD_END_DT",HIST_TO)</f>
        <v/>
      </c>
      <c r="E670" s="102" t="n"/>
      <c r="F670" s="102" t="n"/>
      <c r="G670" s="102" t="n"/>
      <c r="H670" s="102" t="n"/>
      <c r="I670" s="102" t="n"/>
      <c r="J670" s="102" t="n"/>
      <c r="K670" s="102" t="n"/>
      <c r="L670" s="102" t="n"/>
      <c r="M670" s="102" t="n"/>
      <c r="N670" s="102" t="n"/>
      <c r="O670" s="102" t="n"/>
      <c r="P670" s="102" t="n"/>
      <c r="Q670" s="102" t="n"/>
      <c r="R670" s="102" t="n"/>
      <c r="S670" s="102" t="n"/>
      <c r="T670" s="102" t="n"/>
      <c r="U670" s="102" t="n"/>
      <c r="V670" s="102" t="n"/>
      <c r="W670" s="102" t="n"/>
      <c r="X670" s="102" t="n"/>
      <c r="Y670" s="102" t="n"/>
      <c r="Z670" s="102" t="n"/>
      <c r="AA670" s="102" t="n"/>
      <c r="AB670" s="102" t="n"/>
      <c r="AC670" s="102" t="n"/>
      <c r="AD670" s="102" t="n"/>
      <c r="AE670" s="102" t="n"/>
      <c r="AF670" s="102" t="n"/>
      <c r="AG670" s="102" t="n"/>
      <c r="AH670" s="102" t="n"/>
      <c r="AI670" s="102" t="n"/>
      <c r="AJ670" s="102" t="n"/>
      <c r="AK670" s="102" t="n"/>
      <c r="AL670" s="102" t="n"/>
      <c r="AM670" s="102" t="n"/>
      <c r="AN670" s="102" t="n"/>
      <c r="AO670" s="102" t="n"/>
      <c r="AP670" s="102" t="n"/>
      <c r="AQ670" s="102" t="n"/>
      <c r="AR670" s="102" t="n"/>
    </row>
    <row r="671">
      <c r="D671" s="102" t="n"/>
      <c r="E671" s="102" t="n"/>
      <c r="F671" s="102" t="n"/>
      <c r="G671" s="102" t="n"/>
      <c r="H671" s="102" t="n"/>
      <c r="I671" s="102" t="n"/>
      <c r="J671" s="102" t="n"/>
      <c r="K671" s="102" t="n"/>
      <c r="L671" s="102" t="n"/>
      <c r="M671" s="102" t="n"/>
      <c r="N671" s="102" t="n"/>
      <c r="O671" s="102" t="n"/>
      <c r="P671" s="102" t="n"/>
      <c r="Q671" s="102" t="n"/>
      <c r="R671" s="102" t="n"/>
      <c r="S671" s="102" t="n"/>
      <c r="T671" s="102" t="n"/>
      <c r="U671" s="102" t="n"/>
      <c r="V671" s="102" t="n"/>
      <c r="W671" s="102" t="n"/>
      <c r="X671" s="102" t="n"/>
      <c r="Y671" s="102" t="n"/>
      <c r="Z671" s="102" t="n"/>
      <c r="AA671" s="102" t="n"/>
      <c r="AB671" s="102" t="n"/>
      <c r="AC671" s="102" t="n"/>
      <c r="AD671" s="102" t="n"/>
      <c r="AE671" s="102" t="n"/>
      <c r="AF671" s="102" t="n"/>
      <c r="AG671" s="102" t="n"/>
      <c r="AH671" s="102" t="n"/>
      <c r="AI671" s="102" t="n"/>
      <c r="AJ671" s="102" t="n"/>
      <c r="AK671" s="102" t="n"/>
      <c r="AL671" s="102" t="n"/>
      <c r="AM671" s="102" t="n"/>
      <c r="AN671" s="102" t="n"/>
      <c r="AO671" s="102" t="n"/>
      <c r="AP671" s="102" t="n"/>
      <c r="AQ671" s="102" t="n"/>
      <c r="AR671" s="102" t="n"/>
    </row>
    <row r="672">
      <c r="D672" s="102" t="n"/>
      <c r="E672" s="102" t="n"/>
      <c r="F672" s="102" t="n"/>
      <c r="G672" s="102" t="n"/>
      <c r="H672" s="102" t="n"/>
      <c r="I672" s="102" t="n"/>
      <c r="J672" s="102" t="n"/>
      <c r="K672" s="102" t="n"/>
      <c r="L672" s="102" t="n"/>
      <c r="M672" s="102" t="n"/>
      <c r="N672" s="102" t="n"/>
      <c r="O672" s="102" t="n"/>
      <c r="P672" s="102" t="n"/>
      <c r="Q672" s="102" t="n"/>
      <c r="R672" s="102" t="n"/>
      <c r="S672" s="102" t="n"/>
      <c r="T672" s="102" t="n"/>
      <c r="U672" s="102" t="n"/>
      <c r="V672" s="102" t="n"/>
      <c r="W672" s="102" t="n"/>
      <c r="X672" s="102" t="n"/>
      <c r="Y672" s="102" t="n"/>
      <c r="Z672" s="102" t="n"/>
      <c r="AA672" s="102" t="n"/>
      <c r="AB672" s="102" t="n"/>
      <c r="AC672" s="102" t="n"/>
      <c r="AD672" s="102" t="n"/>
      <c r="AE672" s="102" t="n"/>
      <c r="AF672" s="102" t="n"/>
      <c r="AG672" s="102" t="n"/>
      <c r="AH672" s="102" t="n"/>
      <c r="AI672" s="102" t="n"/>
      <c r="AJ672" s="102" t="n"/>
      <c r="AK672" s="102" t="n"/>
      <c r="AL672" s="102" t="n"/>
      <c r="AM672" s="102" t="n"/>
      <c r="AN672" s="102" t="n"/>
      <c r="AO672" s="102" t="n"/>
      <c r="AP672" s="102" t="n"/>
      <c r="AQ672" s="102" t="n"/>
      <c r="AR672" s="102" t="n"/>
    </row>
    <row r="673">
      <c r="D673" s="102" t="n"/>
      <c r="E673" s="102" t="n"/>
      <c r="F673" s="102" t="n"/>
      <c r="G673" s="102" t="n"/>
      <c r="H673" s="102" t="n"/>
      <c r="I673" s="102" t="n"/>
      <c r="J673" s="102" t="n"/>
      <c r="K673" s="102" t="n"/>
      <c r="L673" s="102" t="n"/>
      <c r="M673" s="102" t="n"/>
      <c r="N673" s="102" t="n"/>
      <c r="O673" s="102" t="n"/>
      <c r="P673" s="102" t="n"/>
      <c r="Q673" s="102" t="n"/>
      <c r="R673" s="102" t="n"/>
      <c r="S673" s="102" t="n"/>
      <c r="T673" s="102" t="n"/>
      <c r="U673" s="102" t="n"/>
      <c r="V673" s="102" t="n"/>
      <c r="W673" s="102" t="n"/>
      <c r="X673" s="102" t="n"/>
      <c r="Y673" s="102" t="n"/>
      <c r="Z673" s="102" t="n"/>
      <c r="AA673" s="102" t="n"/>
      <c r="AB673" s="102" t="n"/>
      <c r="AC673" s="102" t="n"/>
      <c r="AD673" s="102" t="n"/>
      <c r="AE673" s="102" t="n"/>
      <c r="AF673" s="102" t="n"/>
      <c r="AG673" s="102" t="n"/>
      <c r="AH673" s="102" t="n"/>
      <c r="AI673" s="102" t="n"/>
      <c r="AJ673" s="102" t="n"/>
      <c r="AK673" s="102" t="n"/>
      <c r="AL673" s="102" t="n"/>
      <c r="AM673" s="102" t="n"/>
      <c r="AN673" s="102" t="n"/>
      <c r="AO673" s="102" t="n"/>
      <c r="AP673" s="102" t="n"/>
      <c r="AQ673" s="102" t="n"/>
      <c r="AR673" s="102" t="n"/>
    </row>
    <row r="674">
      <c r="D674" s="160" t="n"/>
      <c r="E674" s="160" t="n"/>
      <c r="F674" s="160" t="n"/>
      <c r="G674" s="160" t="n"/>
      <c r="H674" s="160" t="n"/>
      <c r="I674" s="160" t="n"/>
      <c r="J674" s="160" t="n"/>
      <c r="K674" s="160" t="n"/>
      <c r="L674" s="160" t="n"/>
      <c r="M674" s="160" t="n"/>
      <c r="N674" s="160" t="n"/>
      <c r="O674" s="160" t="n"/>
      <c r="P674" s="160" t="n"/>
      <c r="Q674" s="160" t="n"/>
      <c r="R674" s="160" t="n"/>
      <c r="S674" s="160" t="n"/>
      <c r="T674" s="160" t="n"/>
      <c r="U674" s="160" t="n"/>
      <c r="V674" s="160" t="n"/>
      <c r="W674" s="160" t="n"/>
      <c r="X674" s="160" t="n"/>
      <c r="Y674" s="160" t="n"/>
      <c r="Z674" s="160" t="n"/>
      <c r="AA674" s="160" t="n"/>
      <c r="AB674" s="160" t="n"/>
      <c r="AC674" s="160" t="n"/>
      <c r="AD674" s="160" t="n"/>
      <c r="AE674" s="160" t="n"/>
      <c r="AF674" s="160" t="n"/>
      <c r="AG674" s="160" t="n"/>
      <c r="AH674" s="160" t="n"/>
      <c r="AI674" s="160" t="n"/>
      <c r="AJ674" s="160" t="n"/>
      <c r="AK674" s="160" t="n"/>
      <c r="AL674" s="160" t="n"/>
      <c r="AM674" s="160" t="n"/>
      <c r="AN674" s="160" t="n"/>
      <c r="AO674" s="160" t="n"/>
      <c r="AP674" s="160" t="n"/>
      <c r="AQ674" s="160" t="n"/>
      <c r="AR674" s="160" t="n"/>
    </row>
    <row r="677">
      <c r="A677" s="2">
        <f>IF($A670="","","   projections")</f>
        <v/>
      </c>
      <c r="B677" s="158">
        <f>IF($A670="",0,COUNT($E678:$AR678))</f>
        <v/>
      </c>
      <c r="C677" s="159">
        <f>IF($B677=0,0,MAX($E678:$AR678))</f>
        <v/>
      </c>
      <c r="D677" s="101">
        <f>BDS($A670,FLD_PROJ,"headers=y","startcol=1","endcol=3","dir=h")</f>
        <v/>
      </c>
      <c r="E677" s="102" t="n"/>
      <c r="F677" s="102" t="n"/>
      <c r="G677" s="102" t="n"/>
      <c r="H677" s="102" t="n"/>
      <c r="I677" s="102" t="n"/>
      <c r="J677" s="102" t="n"/>
      <c r="K677" s="102" t="n"/>
      <c r="L677" s="102" t="n"/>
      <c r="M677" s="102" t="n"/>
      <c r="N677" s="102" t="n"/>
      <c r="O677" s="102" t="n"/>
      <c r="P677" s="102" t="n"/>
      <c r="Q677" s="102" t="n"/>
      <c r="R677" s="102" t="n"/>
      <c r="S677" s="102" t="n"/>
      <c r="T677" s="102" t="n"/>
      <c r="U677" s="102" t="n"/>
      <c r="V677" s="102" t="n"/>
      <c r="W677" s="102" t="n"/>
      <c r="X677" s="102" t="n"/>
      <c r="Y677" s="102" t="n"/>
      <c r="Z677" s="102" t="n"/>
      <c r="AA677" s="102" t="n"/>
      <c r="AB677" s="102" t="n"/>
      <c r="AC677" s="102" t="n"/>
      <c r="AD677" s="102" t="n"/>
      <c r="AE677" s="102" t="n"/>
      <c r="AF677" s="102" t="n"/>
      <c r="AG677" s="102" t="n"/>
      <c r="AH677" s="102" t="n"/>
      <c r="AI677" s="102" t="n"/>
      <c r="AJ677" s="102" t="n"/>
      <c r="AK677" s="102" t="n"/>
      <c r="AL677" s="102" t="n"/>
      <c r="AM677" s="102" t="n"/>
      <c r="AN677" s="102" t="n"/>
      <c r="AO677" s="102" t="n"/>
      <c r="AP677" s="102" t="n"/>
      <c r="AQ677" s="102" t="n"/>
      <c r="AR677" s="102" t="n"/>
    </row>
    <row r="678">
      <c r="D678" s="102" t="n"/>
      <c r="E678" s="102" t="n"/>
      <c r="F678" s="102" t="n"/>
      <c r="G678" s="102" t="n"/>
      <c r="H678" s="102" t="n"/>
      <c r="I678" s="102" t="n"/>
      <c r="J678" s="102" t="n"/>
      <c r="K678" s="102" t="n"/>
      <c r="L678" s="102" t="n"/>
      <c r="M678" s="102" t="n"/>
      <c r="N678" s="102" t="n"/>
      <c r="O678" s="102" t="n"/>
      <c r="P678" s="102" t="n"/>
      <c r="Q678" s="102" t="n"/>
      <c r="R678" s="102" t="n"/>
      <c r="S678" s="102" t="n"/>
      <c r="T678" s="102" t="n"/>
      <c r="U678" s="102" t="n"/>
      <c r="V678" s="102" t="n"/>
      <c r="W678" s="102" t="n"/>
      <c r="X678" s="102" t="n"/>
      <c r="Y678" s="102" t="n"/>
      <c r="Z678" s="102" t="n"/>
      <c r="AA678" s="102" t="n"/>
      <c r="AB678" s="102" t="n"/>
      <c r="AC678" s="102" t="n"/>
      <c r="AD678" s="102" t="n"/>
      <c r="AE678" s="102" t="n"/>
      <c r="AF678" s="102" t="n"/>
      <c r="AG678" s="102" t="n"/>
      <c r="AH678" s="102" t="n"/>
      <c r="AI678" s="102" t="n"/>
      <c r="AJ678" s="102" t="n"/>
      <c r="AK678" s="102" t="n"/>
      <c r="AL678" s="102" t="n"/>
      <c r="AM678" s="102" t="n"/>
      <c r="AN678" s="102" t="n"/>
      <c r="AO678" s="102" t="n"/>
      <c r="AP678" s="102" t="n"/>
      <c r="AQ678" s="102" t="n"/>
      <c r="AR678" s="102" t="n"/>
    </row>
    <row r="679">
      <c r="D679" s="160" t="n"/>
      <c r="E679" s="160" t="n"/>
      <c r="F679" s="160" t="n"/>
      <c r="G679" s="160" t="n"/>
      <c r="H679" s="160" t="n"/>
      <c r="I679" s="160" t="n"/>
      <c r="J679" s="160" t="n"/>
      <c r="K679" s="160" t="n"/>
      <c r="L679" s="160" t="n"/>
      <c r="M679" s="160" t="n"/>
      <c r="N679" s="160" t="n"/>
      <c r="O679" s="160" t="n"/>
      <c r="P679" s="160" t="n"/>
      <c r="Q679" s="160" t="n"/>
      <c r="R679" s="160" t="n"/>
      <c r="S679" s="160" t="n"/>
      <c r="T679" s="160" t="n"/>
      <c r="U679" s="160" t="n"/>
      <c r="V679" s="160" t="n"/>
      <c r="W679" s="160" t="n"/>
      <c r="X679" s="160" t="n"/>
      <c r="Y679" s="160" t="n"/>
      <c r="Z679" s="160" t="n"/>
      <c r="AA679" s="160" t="n"/>
      <c r="AB679" s="160" t="n"/>
      <c r="AC679" s="160" t="n"/>
      <c r="AD679" s="160" t="n"/>
      <c r="AE679" s="160" t="n"/>
      <c r="AF679" s="160" t="n"/>
      <c r="AG679" s="160" t="n"/>
      <c r="AH679" s="160" t="n"/>
      <c r="AI679" s="160" t="n"/>
      <c r="AJ679" s="160" t="n"/>
      <c r="AK679" s="160" t="n"/>
      <c r="AL679" s="160" t="n"/>
      <c r="AM679" s="160" t="n"/>
      <c r="AN679" s="160" t="n"/>
      <c r="AO679" s="160" t="n"/>
      <c r="AP679" s="160" t="n"/>
      <c r="AQ679" s="160" t="n"/>
      <c r="AR679" s="160" t="n"/>
    </row>
    <row r="681">
      <c r="A681" s="8">
        <f>IF(HSI!$C$68="","",HSI!$C$68)</f>
        <v/>
      </c>
      <c r="B681" s="158">
        <f>IF($A681="",0,COUNT($E682:$AR682))</f>
        <v/>
      </c>
      <c r="C681" s="159">
        <f>IF($B681=0,0,MAX($E682:$AR682))</f>
        <v/>
      </c>
      <c r="D681" s="101">
        <f>BDS($A681,FLD_HIST,"headers=y","startcol=1","endcol=7","dir=h","DVD_START_DT",HIST_FROM,"DVD_END_DT",HIST_TO)</f>
        <v/>
      </c>
      <c r="E681" s="102" t="n"/>
      <c r="F681" s="102" t="n"/>
      <c r="G681" s="102" t="n"/>
      <c r="H681" s="102" t="n"/>
      <c r="I681" s="102" t="n"/>
      <c r="J681" s="102" t="n"/>
      <c r="K681" s="102" t="n"/>
      <c r="L681" s="102" t="n"/>
      <c r="M681" s="102" t="n"/>
      <c r="N681" s="102" t="n"/>
      <c r="O681" s="102" t="n"/>
      <c r="P681" s="102" t="n"/>
      <c r="Q681" s="102" t="n"/>
      <c r="R681" s="102" t="n"/>
      <c r="S681" s="102" t="n"/>
      <c r="T681" s="102" t="n"/>
      <c r="U681" s="102" t="n"/>
      <c r="V681" s="102" t="n"/>
      <c r="W681" s="102" t="n"/>
      <c r="X681" s="102" t="n"/>
      <c r="Y681" s="102" t="n"/>
      <c r="Z681" s="102" t="n"/>
      <c r="AA681" s="102" t="n"/>
      <c r="AB681" s="102" t="n"/>
      <c r="AC681" s="102" t="n"/>
      <c r="AD681" s="102" t="n"/>
      <c r="AE681" s="102" t="n"/>
      <c r="AF681" s="102" t="n"/>
      <c r="AG681" s="102" t="n"/>
      <c r="AH681" s="102" t="n"/>
      <c r="AI681" s="102" t="n"/>
      <c r="AJ681" s="102" t="n"/>
      <c r="AK681" s="102" t="n"/>
      <c r="AL681" s="102" t="n"/>
      <c r="AM681" s="102" t="n"/>
      <c r="AN681" s="102" t="n"/>
      <c r="AO681" s="102" t="n"/>
      <c r="AP681" s="102" t="n"/>
      <c r="AQ681" s="102" t="n"/>
      <c r="AR681" s="102" t="n"/>
    </row>
    <row r="682">
      <c r="D682" s="102" t="n"/>
      <c r="E682" s="102" t="n"/>
      <c r="F682" s="102" t="n"/>
      <c r="G682" s="102" t="n"/>
      <c r="H682" s="102" t="n"/>
      <c r="I682" s="102" t="n"/>
      <c r="J682" s="102" t="n"/>
      <c r="K682" s="102" t="n"/>
      <c r="L682" s="102" t="n"/>
      <c r="M682" s="102" t="n"/>
      <c r="N682" s="102" t="n"/>
      <c r="O682" s="102" t="n"/>
      <c r="P682" s="102" t="n"/>
      <c r="Q682" s="102" t="n"/>
      <c r="R682" s="102" t="n"/>
      <c r="S682" s="102" t="n"/>
      <c r="T682" s="102" t="n"/>
      <c r="U682" s="102" t="n"/>
      <c r="V682" s="102" t="n"/>
      <c r="W682" s="102" t="n"/>
      <c r="X682" s="102" t="n"/>
      <c r="Y682" s="102" t="n"/>
      <c r="Z682" s="102" t="n"/>
      <c r="AA682" s="102" t="n"/>
      <c r="AB682" s="102" t="n"/>
      <c r="AC682" s="102" t="n"/>
      <c r="AD682" s="102" t="n"/>
      <c r="AE682" s="102" t="n"/>
      <c r="AF682" s="102" t="n"/>
      <c r="AG682" s="102" t="n"/>
      <c r="AH682" s="102" t="n"/>
      <c r="AI682" s="102" t="n"/>
      <c r="AJ682" s="102" t="n"/>
      <c r="AK682" s="102" t="n"/>
      <c r="AL682" s="102" t="n"/>
      <c r="AM682" s="102" t="n"/>
      <c r="AN682" s="102" t="n"/>
      <c r="AO682" s="102" t="n"/>
      <c r="AP682" s="102" t="n"/>
      <c r="AQ682" s="102" t="n"/>
      <c r="AR682" s="102" t="n"/>
    </row>
    <row r="683">
      <c r="D683" s="102" t="n"/>
      <c r="E683" s="102" t="n"/>
      <c r="F683" s="102" t="n"/>
      <c r="G683" s="102" t="n"/>
      <c r="H683" s="102" t="n"/>
      <c r="I683" s="102" t="n"/>
      <c r="J683" s="102" t="n"/>
      <c r="K683" s="102" t="n"/>
      <c r="L683" s="102" t="n"/>
      <c r="M683" s="102" t="n"/>
      <c r="N683" s="102" t="n"/>
      <c r="O683" s="102" t="n"/>
      <c r="P683" s="102" t="n"/>
      <c r="Q683" s="102" t="n"/>
      <c r="R683" s="102" t="n"/>
      <c r="S683" s="102" t="n"/>
      <c r="T683" s="102" t="n"/>
      <c r="U683" s="102" t="n"/>
      <c r="V683" s="102" t="n"/>
      <c r="W683" s="102" t="n"/>
      <c r="X683" s="102" t="n"/>
      <c r="Y683" s="102" t="n"/>
      <c r="Z683" s="102" t="n"/>
      <c r="AA683" s="102" t="n"/>
      <c r="AB683" s="102" t="n"/>
      <c r="AC683" s="102" t="n"/>
      <c r="AD683" s="102" t="n"/>
      <c r="AE683" s="102" t="n"/>
      <c r="AF683" s="102" t="n"/>
      <c r="AG683" s="102" t="n"/>
      <c r="AH683" s="102" t="n"/>
      <c r="AI683" s="102" t="n"/>
      <c r="AJ683" s="102" t="n"/>
      <c r="AK683" s="102" t="n"/>
      <c r="AL683" s="102" t="n"/>
      <c r="AM683" s="102" t="n"/>
      <c r="AN683" s="102" t="n"/>
      <c r="AO683" s="102" t="n"/>
      <c r="AP683" s="102" t="n"/>
      <c r="AQ683" s="102" t="n"/>
      <c r="AR683" s="102" t="n"/>
    </row>
    <row r="684">
      <c r="D684" s="102" t="n"/>
      <c r="E684" s="102" t="n"/>
      <c r="F684" s="102" t="n"/>
      <c r="G684" s="102" t="n"/>
      <c r="H684" s="102" t="n"/>
      <c r="I684" s="102" t="n"/>
      <c r="J684" s="102" t="n"/>
      <c r="K684" s="102" t="n"/>
      <c r="L684" s="102" t="n"/>
      <c r="M684" s="102" t="n"/>
      <c r="N684" s="102" t="n"/>
      <c r="O684" s="102" t="n"/>
      <c r="P684" s="102" t="n"/>
      <c r="Q684" s="102" t="n"/>
      <c r="R684" s="102" t="n"/>
      <c r="S684" s="102" t="n"/>
      <c r="T684" s="102" t="n"/>
      <c r="U684" s="102" t="n"/>
      <c r="V684" s="102" t="n"/>
      <c r="W684" s="102" t="n"/>
      <c r="X684" s="102" t="n"/>
      <c r="Y684" s="102" t="n"/>
      <c r="Z684" s="102" t="n"/>
      <c r="AA684" s="102" t="n"/>
      <c r="AB684" s="102" t="n"/>
      <c r="AC684" s="102" t="n"/>
      <c r="AD684" s="102" t="n"/>
      <c r="AE684" s="102" t="n"/>
      <c r="AF684" s="102" t="n"/>
      <c r="AG684" s="102" t="n"/>
      <c r="AH684" s="102" t="n"/>
      <c r="AI684" s="102" t="n"/>
      <c r="AJ684" s="102" t="n"/>
      <c r="AK684" s="102" t="n"/>
      <c r="AL684" s="102" t="n"/>
      <c r="AM684" s="102" t="n"/>
      <c r="AN684" s="102" t="n"/>
      <c r="AO684" s="102" t="n"/>
      <c r="AP684" s="102" t="n"/>
      <c r="AQ684" s="102" t="n"/>
      <c r="AR684" s="102" t="n"/>
    </row>
    <row r="685">
      <c r="D685" s="160" t="n"/>
      <c r="E685" s="160" t="n"/>
      <c r="F685" s="160" t="n"/>
      <c r="G685" s="160" t="n"/>
      <c r="H685" s="160" t="n"/>
      <c r="I685" s="160" t="n"/>
      <c r="J685" s="160" t="n"/>
      <c r="K685" s="160" t="n"/>
      <c r="L685" s="160" t="n"/>
      <c r="M685" s="160" t="n"/>
      <c r="N685" s="160" t="n"/>
      <c r="O685" s="160" t="n"/>
      <c r="P685" s="160" t="n"/>
      <c r="Q685" s="160" t="n"/>
      <c r="R685" s="160" t="n"/>
      <c r="S685" s="160" t="n"/>
      <c r="T685" s="160" t="n"/>
      <c r="U685" s="160" t="n"/>
      <c r="V685" s="160" t="n"/>
      <c r="W685" s="160" t="n"/>
      <c r="X685" s="160" t="n"/>
      <c r="Y685" s="160" t="n"/>
      <c r="Z685" s="160" t="n"/>
      <c r="AA685" s="160" t="n"/>
      <c r="AB685" s="160" t="n"/>
      <c r="AC685" s="160" t="n"/>
      <c r="AD685" s="160" t="n"/>
      <c r="AE685" s="160" t="n"/>
      <c r="AF685" s="160" t="n"/>
      <c r="AG685" s="160" t="n"/>
      <c r="AH685" s="160" t="n"/>
      <c r="AI685" s="160" t="n"/>
      <c r="AJ685" s="160" t="n"/>
      <c r="AK685" s="160" t="n"/>
      <c r="AL685" s="160" t="n"/>
      <c r="AM685" s="160" t="n"/>
      <c r="AN685" s="160" t="n"/>
      <c r="AO685" s="160" t="n"/>
      <c r="AP685" s="160" t="n"/>
      <c r="AQ685" s="160" t="n"/>
      <c r="AR685" s="160" t="n"/>
    </row>
    <row r="688">
      <c r="A688" s="2">
        <f>IF($A681="","","   projections")</f>
        <v/>
      </c>
      <c r="B688" s="158">
        <f>IF($A681="",0,COUNT($E689:$AR689))</f>
        <v/>
      </c>
      <c r="C688" s="159">
        <f>IF($B688=0,0,MAX($E689:$AR689))</f>
        <v/>
      </c>
      <c r="D688" s="101">
        <f>BDS($A681,FLD_PROJ,"headers=y","startcol=1","endcol=3","dir=h")</f>
        <v/>
      </c>
      <c r="E688" s="102" t="n"/>
      <c r="F688" s="102" t="n"/>
      <c r="G688" s="102" t="n"/>
      <c r="H688" s="102" t="n"/>
      <c r="I688" s="102" t="n"/>
      <c r="J688" s="102" t="n"/>
      <c r="K688" s="102" t="n"/>
      <c r="L688" s="102" t="n"/>
      <c r="M688" s="102" t="n"/>
      <c r="N688" s="102" t="n"/>
      <c r="O688" s="102" t="n"/>
      <c r="P688" s="102" t="n"/>
      <c r="Q688" s="102" t="n"/>
      <c r="R688" s="102" t="n"/>
      <c r="S688" s="102" t="n"/>
      <c r="T688" s="102" t="n"/>
      <c r="U688" s="102" t="n"/>
      <c r="V688" s="102" t="n"/>
      <c r="W688" s="102" t="n"/>
      <c r="X688" s="102" t="n"/>
      <c r="Y688" s="102" t="n"/>
      <c r="Z688" s="102" t="n"/>
      <c r="AA688" s="102" t="n"/>
      <c r="AB688" s="102" t="n"/>
      <c r="AC688" s="102" t="n"/>
      <c r="AD688" s="102" t="n"/>
      <c r="AE688" s="102" t="n"/>
      <c r="AF688" s="102" t="n"/>
      <c r="AG688" s="102" t="n"/>
      <c r="AH688" s="102" t="n"/>
      <c r="AI688" s="102" t="n"/>
      <c r="AJ688" s="102" t="n"/>
      <c r="AK688" s="102" t="n"/>
      <c r="AL688" s="102" t="n"/>
      <c r="AM688" s="102" t="n"/>
      <c r="AN688" s="102" t="n"/>
      <c r="AO688" s="102" t="n"/>
      <c r="AP688" s="102" t="n"/>
      <c r="AQ688" s="102" t="n"/>
      <c r="AR688" s="102" t="n"/>
    </row>
    <row r="689">
      <c r="D689" s="102" t="n"/>
      <c r="E689" s="102" t="n"/>
      <c r="F689" s="102" t="n"/>
      <c r="G689" s="102" t="n"/>
      <c r="H689" s="102" t="n"/>
      <c r="I689" s="102" t="n"/>
      <c r="J689" s="102" t="n"/>
      <c r="K689" s="102" t="n"/>
      <c r="L689" s="102" t="n"/>
      <c r="M689" s="102" t="n"/>
      <c r="N689" s="102" t="n"/>
      <c r="O689" s="102" t="n"/>
      <c r="P689" s="102" t="n"/>
      <c r="Q689" s="102" t="n"/>
      <c r="R689" s="102" t="n"/>
      <c r="S689" s="102" t="n"/>
      <c r="T689" s="102" t="n"/>
      <c r="U689" s="102" t="n"/>
      <c r="V689" s="102" t="n"/>
      <c r="W689" s="102" t="n"/>
      <c r="X689" s="102" t="n"/>
      <c r="Y689" s="102" t="n"/>
      <c r="Z689" s="102" t="n"/>
      <c r="AA689" s="102" t="n"/>
      <c r="AB689" s="102" t="n"/>
      <c r="AC689" s="102" t="n"/>
      <c r="AD689" s="102" t="n"/>
      <c r="AE689" s="102" t="n"/>
      <c r="AF689" s="102" t="n"/>
      <c r="AG689" s="102" t="n"/>
      <c r="AH689" s="102" t="n"/>
      <c r="AI689" s="102" t="n"/>
      <c r="AJ689" s="102" t="n"/>
      <c r="AK689" s="102" t="n"/>
      <c r="AL689" s="102" t="n"/>
      <c r="AM689" s="102" t="n"/>
      <c r="AN689" s="102" t="n"/>
      <c r="AO689" s="102" t="n"/>
      <c r="AP689" s="102" t="n"/>
      <c r="AQ689" s="102" t="n"/>
      <c r="AR689" s="102" t="n"/>
    </row>
    <row r="690">
      <c r="D690" s="160" t="n"/>
      <c r="E690" s="160" t="n"/>
      <c r="F690" s="160" t="n"/>
      <c r="G690" s="160" t="n"/>
      <c r="H690" s="160" t="n"/>
      <c r="I690" s="160" t="n"/>
      <c r="J690" s="160" t="n"/>
      <c r="K690" s="160" t="n"/>
      <c r="L690" s="160" t="n"/>
      <c r="M690" s="160" t="n"/>
      <c r="N690" s="160" t="n"/>
      <c r="O690" s="160" t="n"/>
      <c r="P690" s="160" t="n"/>
      <c r="Q690" s="160" t="n"/>
      <c r="R690" s="160" t="n"/>
      <c r="S690" s="160" t="n"/>
      <c r="T690" s="160" t="n"/>
      <c r="U690" s="160" t="n"/>
      <c r="V690" s="160" t="n"/>
      <c r="W690" s="160" t="n"/>
      <c r="X690" s="160" t="n"/>
      <c r="Y690" s="160" t="n"/>
      <c r="Z690" s="160" t="n"/>
      <c r="AA690" s="160" t="n"/>
      <c r="AB690" s="160" t="n"/>
      <c r="AC690" s="160" t="n"/>
      <c r="AD690" s="160" t="n"/>
      <c r="AE690" s="160" t="n"/>
      <c r="AF690" s="160" t="n"/>
      <c r="AG690" s="160" t="n"/>
      <c r="AH690" s="160" t="n"/>
      <c r="AI690" s="160" t="n"/>
      <c r="AJ690" s="160" t="n"/>
      <c r="AK690" s="160" t="n"/>
      <c r="AL690" s="160" t="n"/>
      <c r="AM690" s="160" t="n"/>
      <c r="AN690" s="160" t="n"/>
      <c r="AO690" s="160" t="n"/>
      <c r="AP690" s="160" t="n"/>
      <c r="AQ690" s="160" t="n"/>
      <c r="AR690" s="160" t="n"/>
    </row>
    <row r="692">
      <c r="A692" s="8">
        <f>IF(HSI!$C$69="","",HSI!$C$69)</f>
        <v/>
      </c>
      <c r="B692" s="158">
        <f>IF($A692="",0,COUNT($E693:$AR693))</f>
        <v/>
      </c>
      <c r="C692" s="159">
        <f>IF($B692=0,0,MAX($E693:$AR693))</f>
        <v/>
      </c>
      <c r="D692" s="101">
        <f>BDS($A692,FLD_HIST,"headers=y","startcol=1","endcol=7","dir=h","DVD_START_DT",HIST_FROM,"DVD_END_DT",HIST_TO)</f>
        <v/>
      </c>
      <c r="E692" s="102" t="n"/>
      <c r="F692" s="102" t="n"/>
      <c r="G692" s="102" t="n"/>
      <c r="H692" s="102" t="n"/>
      <c r="I692" s="102" t="n"/>
      <c r="J692" s="102" t="n"/>
      <c r="K692" s="102" t="n"/>
      <c r="L692" s="102" t="n"/>
      <c r="M692" s="102" t="n"/>
      <c r="N692" s="102" t="n"/>
      <c r="O692" s="102" t="n"/>
      <c r="P692" s="102" t="n"/>
      <c r="Q692" s="102" t="n"/>
      <c r="R692" s="102" t="n"/>
      <c r="S692" s="102" t="n"/>
      <c r="T692" s="102" t="n"/>
      <c r="U692" s="102" t="n"/>
      <c r="V692" s="102" t="n"/>
      <c r="W692" s="102" t="n"/>
      <c r="X692" s="102" t="n"/>
      <c r="Y692" s="102" t="n"/>
      <c r="Z692" s="102" t="n"/>
      <c r="AA692" s="102" t="n"/>
      <c r="AB692" s="102" t="n"/>
      <c r="AC692" s="102" t="n"/>
      <c r="AD692" s="102" t="n"/>
      <c r="AE692" s="102" t="n"/>
      <c r="AF692" s="102" t="n"/>
      <c r="AG692" s="102" t="n"/>
      <c r="AH692" s="102" t="n"/>
      <c r="AI692" s="102" t="n"/>
      <c r="AJ692" s="102" t="n"/>
      <c r="AK692" s="102" t="n"/>
      <c r="AL692" s="102" t="n"/>
      <c r="AM692" s="102" t="n"/>
      <c r="AN692" s="102" t="n"/>
      <c r="AO692" s="102" t="n"/>
      <c r="AP692" s="102" t="n"/>
      <c r="AQ692" s="102" t="n"/>
      <c r="AR692" s="102" t="n"/>
    </row>
    <row r="693">
      <c r="D693" s="102" t="n"/>
      <c r="E693" s="102" t="n"/>
      <c r="F693" s="102" t="n"/>
      <c r="G693" s="102" t="n"/>
      <c r="H693" s="102" t="n"/>
      <c r="I693" s="102" t="n"/>
      <c r="J693" s="102" t="n"/>
      <c r="K693" s="102" t="n"/>
      <c r="L693" s="102" t="n"/>
      <c r="M693" s="102" t="n"/>
      <c r="N693" s="102" t="n"/>
      <c r="O693" s="102" t="n"/>
      <c r="P693" s="102" t="n"/>
      <c r="Q693" s="102" t="n"/>
      <c r="R693" s="102" t="n"/>
      <c r="S693" s="102" t="n"/>
      <c r="T693" s="102" t="n"/>
      <c r="U693" s="102" t="n"/>
      <c r="V693" s="102" t="n"/>
      <c r="W693" s="102" t="n"/>
      <c r="X693" s="102" t="n"/>
      <c r="Y693" s="102" t="n"/>
      <c r="Z693" s="102" t="n"/>
      <c r="AA693" s="102" t="n"/>
      <c r="AB693" s="102" t="n"/>
      <c r="AC693" s="102" t="n"/>
      <c r="AD693" s="102" t="n"/>
      <c r="AE693" s="102" t="n"/>
      <c r="AF693" s="102" t="n"/>
      <c r="AG693" s="102" t="n"/>
      <c r="AH693" s="102" t="n"/>
      <c r="AI693" s="102" t="n"/>
      <c r="AJ693" s="102" t="n"/>
      <c r="AK693" s="102" t="n"/>
      <c r="AL693" s="102" t="n"/>
      <c r="AM693" s="102" t="n"/>
      <c r="AN693" s="102" t="n"/>
      <c r="AO693" s="102" t="n"/>
      <c r="AP693" s="102" t="n"/>
      <c r="AQ693" s="102" t="n"/>
      <c r="AR693" s="102" t="n"/>
    </row>
    <row r="694">
      <c r="D694" s="102" t="n"/>
      <c r="E694" s="102" t="n"/>
      <c r="F694" s="102" t="n"/>
      <c r="G694" s="102" t="n"/>
      <c r="H694" s="102" t="n"/>
      <c r="I694" s="102" t="n"/>
      <c r="J694" s="102" t="n"/>
      <c r="K694" s="102" t="n"/>
      <c r="L694" s="102" t="n"/>
      <c r="M694" s="102" t="n"/>
      <c r="N694" s="102" t="n"/>
      <c r="O694" s="102" t="n"/>
      <c r="P694" s="102" t="n"/>
      <c r="Q694" s="102" t="n"/>
      <c r="R694" s="102" t="n"/>
      <c r="S694" s="102" t="n"/>
      <c r="T694" s="102" t="n"/>
      <c r="U694" s="102" t="n"/>
      <c r="V694" s="102" t="n"/>
      <c r="W694" s="102" t="n"/>
      <c r="X694" s="102" t="n"/>
      <c r="Y694" s="102" t="n"/>
      <c r="Z694" s="102" t="n"/>
      <c r="AA694" s="102" t="n"/>
      <c r="AB694" s="102" t="n"/>
      <c r="AC694" s="102" t="n"/>
      <c r="AD694" s="102" t="n"/>
      <c r="AE694" s="102" t="n"/>
      <c r="AF694" s="102" t="n"/>
      <c r="AG694" s="102" t="n"/>
      <c r="AH694" s="102" t="n"/>
      <c r="AI694" s="102" t="n"/>
      <c r="AJ694" s="102" t="n"/>
      <c r="AK694" s="102" t="n"/>
      <c r="AL694" s="102" t="n"/>
      <c r="AM694" s="102" t="n"/>
      <c r="AN694" s="102" t="n"/>
      <c r="AO694" s="102" t="n"/>
      <c r="AP694" s="102" t="n"/>
      <c r="AQ694" s="102" t="n"/>
      <c r="AR694" s="102" t="n"/>
    </row>
    <row r="695">
      <c r="D695" s="102" t="n"/>
      <c r="E695" s="102" t="n"/>
      <c r="F695" s="102" t="n"/>
      <c r="G695" s="102" t="n"/>
      <c r="H695" s="102" t="n"/>
      <c r="I695" s="102" t="n"/>
      <c r="J695" s="102" t="n"/>
      <c r="K695" s="102" t="n"/>
      <c r="L695" s="102" t="n"/>
      <c r="M695" s="102" t="n"/>
      <c r="N695" s="102" t="n"/>
      <c r="O695" s="102" t="n"/>
      <c r="P695" s="102" t="n"/>
      <c r="Q695" s="102" t="n"/>
      <c r="R695" s="102" t="n"/>
      <c r="S695" s="102" t="n"/>
      <c r="T695" s="102" t="n"/>
      <c r="U695" s="102" t="n"/>
      <c r="V695" s="102" t="n"/>
      <c r="W695" s="102" t="n"/>
      <c r="X695" s="102" t="n"/>
      <c r="Y695" s="102" t="n"/>
      <c r="Z695" s="102" t="n"/>
      <c r="AA695" s="102" t="n"/>
      <c r="AB695" s="102" t="n"/>
      <c r="AC695" s="102" t="n"/>
      <c r="AD695" s="102" t="n"/>
      <c r="AE695" s="102" t="n"/>
      <c r="AF695" s="102" t="n"/>
      <c r="AG695" s="102" t="n"/>
      <c r="AH695" s="102" t="n"/>
      <c r="AI695" s="102" t="n"/>
      <c r="AJ695" s="102" t="n"/>
      <c r="AK695" s="102" t="n"/>
      <c r="AL695" s="102" t="n"/>
      <c r="AM695" s="102" t="n"/>
      <c r="AN695" s="102" t="n"/>
      <c r="AO695" s="102" t="n"/>
      <c r="AP695" s="102" t="n"/>
      <c r="AQ695" s="102" t="n"/>
      <c r="AR695" s="102" t="n"/>
    </row>
    <row r="696">
      <c r="D696" s="160" t="n"/>
      <c r="E696" s="160" t="n"/>
      <c r="F696" s="160" t="n"/>
      <c r="G696" s="160" t="n"/>
      <c r="H696" s="160" t="n"/>
      <c r="I696" s="160" t="n"/>
      <c r="J696" s="160" t="n"/>
      <c r="K696" s="160" t="n"/>
      <c r="L696" s="160" t="n"/>
      <c r="M696" s="160" t="n"/>
      <c r="N696" s="160" t="n"/>
      <c r="O696" s="160" t="n"/>
      <c r="P696" s="160" t="n"/>
      <c r="Q696" s="160" t="n"/>
      <c r="R696" s="160" t="n"/>
      <c r="S696" s="160" t="n"/>
      <c r="T696" s="160" t="n"/>
      <c r="U696" s="160" t="n"/>
      <c r="V696" s="160" t="n"/>
      <c r="W696" s="160" t="n"/>
      <c r="X696" s="160" t="n"/>
      <c r="Y696" s="160" t="n"/>
      <c r="Z696" s="160" t="n"/>
      <c r="AA696" s="160" t="n"/>
      <c r="AB696" s="160" t="n"/>
      <c r="AC696" s="160" t="n"/>
      <c r="AD696" s="160" t="n"/>
      <c r="AE696" s="160" t="n"/>
      <c r="AF696" s="160" t="n"/>
      <c r="AG696" s="160" t="n"/>
      <c r="AH696" s="160" t="n"/>
      <c r="AI696" s="160" t="n"/>
      <c r="AJ696" s="160" t="n"/>
      <c r="AK696" s="160" t="n"/>
      <c r="AL696" s="160" t="n"/>
      <c r="AM696" s="160" t="n"/>
      <c r="AN696" s="160" t="n"/>
      <c r="AO696" s="160" t="n"/>
      <c r="AP696" s="160" t="n"/>
      <c r="AQ696" s="160" t="n"/>
      <c r="AR696" s="160" t="n"/>
    </row>
    <row r="699">
      <c r="A699" s="2">
        <f>IF($A692="","","   projections")</f>
        <v/>
      </c>
      <c r="B699" s="158">
        <f>IF($A692="",0,COUNT($E700:$AR700))</f>
        <v/>
      </c>
      <c r="C699" s="159">
        <f>IF($B699=0,0,MAX($E700:$AR700))</f>
        <v/>
      </c>
      <c r="D699" s="101">
        <f>BDS($A692,FLD_PROJ,"headers=y","startcol=1","endcol=3","dir=h")</f>
        <v/>
      </c>
      <c r="E699" s="102" t="n"/>
      <c r="F699" s="102" t="n"/>
      <c r="G699" s="102" t="n"/>
      <c r="H699" s="102" t="n"/>
      <c r="I699" s="102" t="n"/>
      <c r="J699" s="102" t="n"/>
      <c r="K699" s="102" t="n"/>
      <c r="L699" s="102" t="n"/>
      <c r="M699" s="102" t="n"/>
      <c r="N699" s="102" t="n"/>
      <c r="O699" s="102" t="n"/>
      <c r="P699" s="102" t="n"/>
      <c r="Q699" s="102" t="n"/>
      <c r="R699" s="102" t="n"/>
      <c r="S699" s="102" t="n"/>
      <c r="T699" s="102" t="n"/>
      <c r="U699" s="102" t="n"/>
      <c r="V699" s="102" t="n"/>
      <c r="W699" s="102" t="n"/>
      <c r="X699" s="102" t="n"/>
      <c r="Y699" s="102" t="n"/>
      <c r="Z699" s="102" t="n"/>
      <c r="AA699" s="102" t="n"/>
      <c r="AB699" s="102" t="n"/>
      <c r="AC699" s="102" t="n"/>
      <c r="AD699" s="102" t="n"/>
      <c r="AE699" s="102" t="n"/>
      <c r="AF699" s="102" t="n"/>
      <c r="AG699" s="102" t="n"/>
      <c r="AH699" s="102" t="n"/>
      <c r="AI699" s="102" t="n"/>
      <c r="AJ699" s="102" t="n"/>
      <c r="AK699" s="102" t="n"/>
      <c r="AL699" s="102" t="n"/>
      <c r="AM699" s="102" t="n"/>
      <c r="AN699" s="102" t="n"/>
      <c r="AO699" s="102" t="n"/>
      <c r="AP699" s="102" t="n"/>
      <c r="AQ699" s="102" t="n"/>
      <c r="AR699" s="102" t="n"/>
    </row>
    <row r="700">
      <c r="D700" s="102" t="n"/>
      <c r="E700" s="102" t="n"/>
      <c r="F700" s="102" t="n"/>
      <c r="G700" s="102" t="n"/>
      <c r="H700" s="102" t="n"/>
      <c r="I700" s="102" t="n"/>
      <c r="J700" s="102" t="n"/>
      <c r="K700" s="102" t="n"/>
      <c r="L700" s="102" t="n"/>
      <c r="M700" s="102" t="n"/>
      <c r="N700" s="102" t="n"/>
      <c r="O700" s="102" t="n"/>
      <c r="P700" s="102" t="n"/>
      <c r="Q700" s="102" t="n"/>
      <c r="R700" s="102" t="n"/>
      <c r="S700" s="102" t="n"/>
      <c r="T700" s="102" t="n"/>
      <c r="U700" s="102" t="n"/>
      <c r="V700" s="102" t="n"/>
      <c r="W700" s="102" t="n"/>
      <c r="X700" s="102" t="n"/>
      <c r="Y700" s="102" t="n"/>
      <c r="Z700" s="102" t="n"/>
      <c r="AA700" s="102" t="n"/>
      <c r="AB700" s="102" t="n"/>
      <c r="AC700" s="102" t="n"/>
      <c r="AD700" s="102" t="n"/>
      <c r="AE700" s="102" t="n"/>
      <c r="AF700" s="102" t="n"/>
      <c r="AG700" s="102" t="n"/>
      <c r="AH700" s="102" t="n"/>
      <c r="AI700" s="102" t="n"/>
      <c r="AJ700" s="102" t="n"/>
      <c r="AK700" s="102" t="n"/>
      <c r="AL700" s="102" t="n"/>
      <c r="AM700" s="102" t="n"/>
      <c r="AN700" s="102" t="n"/>
      <c r="AO700" s="102" t="n"/>
      <c r="AP700" s="102" t="n"/>
      <c r="AQ700" s="102" t="n"/>
      <c r="AR700" s="102" t="n"/>
    </row>
    <row r="701">
      <c r="D701" s="160" t="n"/>
      <c r="E701" s="160" t="n"/>
      <c r="F701" s="160" t="n"/>
      <c r="G701" s="160" t="n"/>
      <c r="H701" s="160" t="n"/>
      <c r="I701" s="160" t="n"/>
      <c r="J701" s="160" t="n"/>
      <c r="K701" s="160" t="n"/>
      <c r="L701" s="160" t="n"/>
      <c r="M701" s="160" t="n"/>
      <c r="N701" s="160" t="n"/>
      <c r="O701" s="160" t="n"/>
      <c r="P701" s="160" t="n"/>
      <c r="Q701" s="160" t="n"/>
      <c r="R701" s="160" t="n"/>
      <c r="S701" s="160" t="n"/>
      <c r="T701" s="160" t="n"/>
      <c r="U701" s="160" t="n"/>
      <c r="V701" s="160" t="n"/>
      <c r="W701" s="160" t="n"/>
      <c r="X701" s="160" t="n"/>
      <c r="Y701" s="160" t="n"/>
      <c r="Z701" s="160" t="n"/>
      <c r="AA701" s="160" t="n"/>
      <c r="AB701" s="160" t="n"/>
      <c r="AC701" s="160" t="n"/>
      <c r="AD701" s="160" t="n"/>
      <c r="AE701" s="160" t="n"/>
      <c r="AF701" s="160" t="n"/>
      <c r="AG701" s="160" t="n"/>
      <c r="AH701" s="160" t="n"/>
      <c r="AI701" s="160" t="n"/>
      <c r="AJ701" s="160" t="n"/>
      <c r="AK701" s="160" t="n"/>
      <c r="AL701" s="160" t="n"/>
      <c r="AM701" s="160" t="n"/>
      <c r="AN701" s="160" t="n"/>
      <c r="AO701" s="160" t="n"/>
      <c r="AP701" s="160" t="n"/>
      <c r="AQ701" s="160" t="n"/>
      <c r="AR701" s="160" t="n"/>
    </row>
    <row r="703">
      <c r="A703" s="8">
        <f>IF(HSI!$C$70="","",HSI!$C$70)</f>
        <v/>
      </c>
      <c r="B703" s="158">
        <f>IF($A703="",0,COUNT($E704:$AR704))</f>
        <v/>
      </c>
      <c r="C703" s="159">
        <f>IF($B703=0,0,MAX($E704:$AR704))</f>
        <v/>
      </c>
      <c r="D703" s="101">
        <f>BDS($A703,FLD_HIST,"headers=y","startcol=1","endcol=7","dir=h","DVD_START_DT",HIST_FROM,"DVD_END_DT",HIST_TO)</f>
        <v/>
      </c>
      <c r="E703" s="102" t="n"/>
      <c r="F703" s="102" t="n"/>
      <c r="G703" s="102" t="n"/>
      <c r="H703" s="102" t="n"/>
      <c r="I703" s="102" t="n"/>
      <c r="J703" s="102" t="n"/>
      <c r="K703" s="102" t="n"/>
      <c r="L703" s="102" t="n"/>
      <c r="M703" s="102" t="n"/>
      <c r="N703" s="102" t="n"/>
      <c r="O703" s="102" t="n"/>
      <c r="P703" s="102" t="n"/>
      <c r="Q703" s="102" t="n"/>
      <c r="R703" s="102" t="n"/>
      <c r="S703" s="102" t="n"/>
      <c r="T703" s="102" t="n"/>
      <c r="U703" s="102" t="n"/>
      <c r="V703" s="102" t="n"/>
      <c r="W703" s="102" t="n"/>
      <c r="X703" s="102" t="n"/>
      <c r="Y703" s="102" t="n"/>
      <c r="Z703" s="102" t="n"/>
      <c r="AA703" s="102" t="n"/>
      <c r="AB703" s="102" t="n"/>
      <c r="AC703" s="102" t="n"/>
      <c r="AD703" s="102" t="n"/>
      <c r="AE703" s="102" t="n"/>
      <c r="AF703" s="102" t="n"/>
      <c r="AG703" s="102" t="n"/>
      <c r="AH703" s="102" t="n"/>
      <c r="AI703" s="102" t="n"/>
      <c r="AJ703" s="102" t="n"/>
      <c r="AK703" s="102" t="n"/>
      <c r="AL703" s="102" t="n"/>
      <c r="AM703" s="102" t="n"/>
      <c r="AN703" s="102" t="n"/>
      <c r="AO703" s="102" t="n"/>
      <c r="AP703" s="102" t="n"/>
      <c r="AQ703" s="102" t="n"/>
      <c r="AR703" s="102" t="n"/>
    </row>
    <row r="704">
      <c r="D704" s="102" t="n"/>
      <c r="E704" s="102" t="n"/>
      <c r="F704" s="102" t="n"/>
      <c r="G704" s="102" t="n"/>
      <c r="H704" s="102" t="n"/>
      <c r="I704" s="102" t="n"/>
      <c r="J704" s="102" t="n"/>
      <c r="K704" s="102" t="n"/>
      <c r="L704" s="102" t="n"/>
      <c r="M704" s="102" t="n"/>
      <c r="N704" s="102" t="n"/>
      <c r="O704" s="102" t="n"/>
      <c r="P704" s="102" t="n"/>
      <c r="Q704" s="102" t="n"/>
      <c r="R704" s="102" t="n"/>
      <c r="S704" s="102" t="n"/>
      <c r="T704" s="102" t="n"/>
      <c r="U704" s="102" t="n"/>
      <c r="V704" s="102" t="n"/>
      <c r="W704" s="102" t="n"/>
      <c r="X704" s="102" t="n"/>
      <c r="Y704" s="102" t="n"/>
      <c r="Z704" s="102" t="n"/>
      <c r="AA704" s="102" t="n"/>
      <c r="AB704" s="102" t="n"/>
      <c r="AC704" s="102" t="n"/>
      <c r="AD704" s="102" t="n"/>
      <c r="AE704" s="102" t="n"/>
      <c r="AF704" s="102" t="n"/>
      <c r="AG704" s="102" t="n"/>
      <c r="AH704" s="102" t="n"/>
      <c r="AI704" s="102" t="n"/>
      <c r="AJ704" s="102" t="n"/>
      <c r="AK704" s="102" t="n"/>
      <c r="AL704" s="102" t="n"/>
      <c r="AM704" s="102" t="n"/>
      <c r="AN704" s="102" t="n"/>
      <c r="AO704" s="102" t="n"/>
      <c r="AP704" s="102" t="n"/>
      <c r="AQ704" s="102" t="n"/>
      <c r="AR704" s="102" t="n"/>
    </row>
    <row r="705">
      <c r="D705" s="102" t="n"/>
      <c r="E705" s="102" t="n"/>
      <c r="F705" s="102" t="n"/>
      <c r="G705" s="102" t="n"/>
      <c r="H705" s="102" t="n"/>
      <c r="I705" s="102" t="n"/>
      <c r="J705" s="102" t="n"/>
      <c r="K705" s="102" t="n"/>
      <c r="L705" s="102" t="n"/>
      <c r="M705" s="102" t="n"/>
      <c r="N705" s="102" t="n"/>
      <c r="O705" s="102" t="n"/>
      <c r="P705" s="102" t="n"/>
      <c r="Q705" s="102" t="n"/>
      <c r="R705" s="102" t="n"/>
      <c r="S705" s="102" t="n"/>
      <c r="T705" s="102" t="n"/>
      <c r="U705" s="102" t="n"/>
      <c r="V705" s="102" t="n"/>
      <c r="W705" s="102" t="n"/>
      <c r="X705" s="102" t="n"/>
      <c r="Y705" s="102" t="n"/>
      <c r="Z705" s="102" t="n"/>
      <c r="AA705" s="102" t="n"/>
      <c r="AB705" s="102" t="n"/>
      <c r="AC705" s="102" t="n"/>
      <c r="AD705" s="102" t="n"/>
      <c r="AE705" s="102" t="n"/>
      <c r="AF705" s="102" t="n"/>
      <c r="AG705" s="102" t="n"/>
      <c r="AH705" s="102" t="n"/>
      <c r="AI705" s="102" t="n"/>
      <c r="AJ705" s="102" t="n"/>
      <c r="AK705" s="102" t="n"/>
      <c r="AL705" s="102" t="n"/>
      <c r="AM705" s="102" t="n"/>
      <c r="AN705" s="102" t="n"/>
      <c r="AO705" s="102" t="n"/>
      <c r="AP705" s="102" t="n"/>
      <c r="AQ705" s="102" t="n"/>
      <c r="AR705" s="102" t="n"/>
    </row>
    <row r="706">
      <c r="D706" s="102" t="n"/>
      <c r="E706" s="102" t="n"/>
      <c r="F706" s="102" t="n"/>
      <c r="G706" s="102" t="n"/>
      <c r="H706" s="102" t="n"/>
      <c r="I706" s="102" t="n"/>
      <c r="J706" s="102" t="n"/>
      <c r="K706" s="102" t="n"/>
      <c r="L706" s="102" t="n"/>
      <c r="M706" s="102" t="n"/>
      <c r="N706" s="102" t="n"/>
      <c r="O706" s="102" t="n"/>
      <c r="P706" s="102" t="n"/>
      <c r="Q706" s="102" t="n"/>
      <c r="R706" s="102" t="n"/>
      <c r="S706" s="102" t="n"/>
      <c r="T706" s="102" t="n"/>
      <c r="U706" s="102" t="n"/>
      <c r="V706" s="102" t="n"/>
      <c r="W706" s="102" t="n"/>
      <c r="X706" s="102" t="n"/>
      <c r="Y706" s="102" t="n"/>
      <c r="Z706" s="102" t="n"/>
      <c r="AA706" s="102" t="n"/>
      <c r="AB706" s="102" t="n"/>
      <c r="AC706" s="102" t="n"/>
      <c r="AD706" s="102" t="n"/>
      <c r="AE706" s="102" t="n"/>
      <c r="AF706" s="102" t="n"/>
      <c r="AG706" s="102" t="n"/>
      <c r="AH706" s="102" t="n"/>
      <c r="AI706" s="102" t="n"/>
      <c r="AJ706" s="102" t="n"/>
      <c r="AK706" s="102" t="n"/>
      <c r="AL706" s="102" t="n"/>
      <c r="AM706" s="102" t="n"/>
      <c r="AN706" s="102" t="n"/>
      <c r="AO706" s="102" t="n"/>
      <c r="AP706" s="102" t="n"/>
      <c r="AQ706" s="102" t="n"/>
      <c r="AR706" s="102" t="n"/>
    </row>
    <row r="707">
      <c r="D707" s="160" t="n"/>
      <c r="E707" s="160" t="n"/>
      <c r="F707" s="160" t="n"/>
      <c r="G707" s="160" t="n"/>
      <c r="H707" s="160" t="n"/>
      <c r="I707" s="160" t="n"/>
      <c r="J707" s="160" t="n"/>
      <c r="K707" s="160" t="n"/>
      <c r="L707" s="160" t="n"/>
      <c r="M707" s="160" t="n"/>
      <c r="N707" s="160" t="n"/>
      <c r="O707" s="160" t="n"/>
      <c r="P707" s="160" t="n"/>
      <c r="Q707" s="160" t="n"/>
      <c r="R707" s="160" t="n"/>
      <c r="S707" s="160" t="n"/>
      <c r="T707" s="160" t="n"/>
      <c r="U707" s="160" t="n"/>
      <c r="V707" s="160" t="n"/>
      <c r="W707" s="160" t="n"/>
      <c r="X707" s="160" t="n"/>
      <c r="Y707" s="160" t="n"/>
      <c r="Z707" s="160" t="n"/>
      <c r="AA707" s="160" t="n"/>
      <c r="AB707" s="160" t="n"/>
      <c r="AC707" s="160" t="n"/>
      <c r="AD707" s="160" t="n"/>
      <c r="AE707" s="160" t="n"/>
      <c r="AF707" s="160" t="n"/>
      <c r="AG707" s="160" t="n"/>
      <c r="AH707" s="160" t="n"/>
      <c r="AI707" s="160" t="n"/>
      <c r="AJ707" s="160" t="n"/>
      <c r="AK707" s="160" t="n"/>
      <c r="AL707" s="160" t="n"/>
      <c r="AM707" s="160" t="n"/>
      <c r="AN707" s="160" t="n"/>
      <c r="AO707" s="160" t="n"/>
      <c r="AP707" s="160" t="n"/>
      <c r="AQ707" s="160" t="n"/>
      <c r="AR707" s="160" t="n"/>
    </row>
    <row r="710">
      <c r="A710" s="2">
        <f>IF($A703="","","   projections")</f>
        <v/>
      </c>
      <c r="B710" s="158">
        <f>IF($A703="",0,COUNT($E711:$AR711))</f>
        <v/>
      </c>
      <c r="C710" s="159">
        <f>IF($B710=0,0,MAX($E711:$AR711))</f>
        <v/>
      </c>
      <c r="D710" s="101">
        <f>BDS($A703,FLD_PROJ,"headers=y","startcol=1","endcol=3","dir=h")</f>
        <v/>
      </c>
      <c r="E710" s="102" t="n"/>
      <c r="F710" s="102" t="n"/>
      <c r="G710" s="102" t="n"/>
      <c r="H710" s="102" t="n"/>
      <c r="I710" s="102" t="n"/>
      <c r="J710" s="102" t="n"/>
      <c r="K710" s="102" t="n"/>
      <c r="L710" s="102" t="n"/>
      <c r="M710" s="102" t="n"/>
      <c r="N710" s="102" t="n"/>
      <c r="O710" s="102" t="n"/>
      <c r="P710" s="102" t="n"/>
      <c r="Q710" s="102" t="n"/>
      <c r="R710" s="102" t="n"/>
      <c r="S710" s="102" t="n"/>
      <c r="T710" s="102" t="n"/>
      <c r="U710" s="102" t="n"/>
      <c r="V710" s="102" t="n"/>
      <c r="W710" s="102" t="n"/>
      <c r="X710" s="102" t="n"/>
      <c r="Y710" s="102" t="n"/>
      <c r="Z710" s="102" t="n"/>
      <c r="AA710" s="102" t="n"/>
      <c r="AB710" s="102" t="n"/>
      <c r="AC710" s="102" t="n"/>
      <c r="AD710" s="102" t="n"/>
      <c r="AE710" s="102" t="n"/>
      <c r="AF710" s="102" t="n"/>
      <c r="AG710" s="102" t="n"/>
      <c r="AH710" s="102" t="n"/>
      <c r="AI710" s="102" t="n"/>
      <c r="AJ710" s="102" t="n"/>
      <c r="AK710" s="102" t="n"/>
      <c r="AL710" s="102" t="n"/>
      <c r="AM710" s="102" t="n"/>
      <c r="AN710" s="102" t="n"/>
      <c r="AO710" s="102" t="n"/>
      <c r="AP710" s="102" t="n"/>
      <c r="AQ710" s="102" t="n"/>
      <c r="AR710" s="102" t="n"/>
    </row>
    <row r="711">
      <c r="D711" s="102" t="n"/>
      <c r="E711" s="102" t="n"/>
      <c r="F711" s="102" t="n"/>
      <c r="G711" s="102" t="n"/>
      <c r="H711" s="102" t="n"/>
      <c r="I711" s="102" t="n"/>
      <c r="J711" s="102" t="n"/>
      <c r="K711" s="102" t="n"/>
      <c r="L711" s="102" t="n"/>
      <c r="M711" s="102" t="n"/>
      <c r="N711" s="102" t="n"/>
      <c r="O711" s="102" t="n"/>
      <c r="P711" s="102" t="n"/>
      <c r="Q711" s="102" t="n"/>
      <c r="R711" s="102" t="n"/>
      <c r="S711" s="102" t="n"/>
      <c r="T711" s="102" t="n"/>
      <c r="U711" s="102" t="n"/>
      <c r="V711" s="102" t="n"/>
      <c r="W711" s="102" t="n"/>
      <c r="X711" s="102" t="n"/>
      <c r="Y711" s="102" t="n"/>
      <c r="Z711" s="102" t="n"/>
      <c r="AA711" s="102" t="n"/>
      <c r="AB711" s="102" t="n"/>
      <c r="AC711" s="102" t="n"/>
      <c r="AD711" s="102" t="n"/>
      <c r="AE711" s="102" t="n"/>
      <c r="AF711" s="102" t="n"/>
      <c r="AG711" s="102" t="n"/>
      <c r="AH711" s="102" t="n"/>
      <c r="AI711" s="102" t="n"/>
      <c r="AJ711" s="102" t="n"/>
      <c r="AK711" s="102" t="n"/>
      <c r="AL711" s="102" t="n"/>
      <c r="AM711" s="102" t="n"/>
      <c r="AN711" s="102" t="n"/>
      <c r="AO711" s="102" t="n"/>
      <c r="AP711" s="102" t="n"/>
      <c r="AQ711" s="102" t="n"/>
      <c r="AR711" s="102" t="n"/>
    </row>
    <row r="712">
      <c r="D712" s="160" t="n"/>
      <c r="E712" s="160" t="n"/>
      <c r="F712" s="160" t="n"/>
      <c r="G712" s="160" t="n"/>
      <c r="H712" s="160" t="n"/>
      <c r="I712" s="160" t="n"/>
      <c r="J712" s="160" t="n"/>
      <c r="K712" s="160" t="n"/>
      <c r="L712" s="160" t="n"/>
      <c r="M712" s="160" t="n"/>
      <c r="N712" s="160" t="n"/>
      <c r="O712" s="160" t="n"/>
      <c r="P712" s="160" t="n"/>
      <c r="Q712" s="160" t="n"/>
      <c r="R712" s="160" t="n"/>
      <c r="S712" s="160" t="n"/>
      <c r="T712" s="160" t="n"/>
      <c r="U712" s="160" t="n"/>
      <c r="V712" s="160" t="n"/>
      <c r="W712" s="160" t="n"/>
      <c r="X712" s="160" t="n"/>
      <c r="Y712" s="160" t="n"/>
      <c r="Z712" s="160" t="n"/>
      <c r="AA712" s="160" t="n"/>
      <c r="AB712" s="160" t="n"/>
      <c r="AC712" s="160" t="n"/>
      <c r="AD712" s="160" t="n"/>
      <c r="AE712" s="160" t="n"/>
      <c r="AF712" s="160" t="n"/>
      <c r="AG712" s="160" t="n"/>
      <c r="AH712" s="160" t="n"/>
      <c r="AI712" s="160" t="n"/>
      <c r="AJ712" s="160" t="n"/>
      <c r="AK712" s="160" t="n"/>
      <c r="AL712" s="160" t="n"/>
      <c r="AM712" s="160" t="n"/>
      <c r="AN712" s="160" t="n"/>
      <c r="AO712" s="160" t="n"/>
      <c r="AP712" s="160" t="n"/>
      <c r="AQ712" s="160" t="n"/>
      <c r="AR712" s="160" t="n"/>
    </row>
    <row r="714">
      <c r="A714" s="8">
        <f>IF(HSI!$C$71="","",HSI!$C$71)</f>
        <v/>
      </c>
      <c r="B714" s="158">
        <f>IF($A714="",0,COUNT($E715:$AR715))</f>
        <v/>
      </c>
      <c r="C714" s="159">
        <f>IF($B714=0,0,MAX($E715:$AR715))</f>
        <v/>
      </c>
      <c r="D714" s="101">
        <f>BDS($A714,FLD_HIST,"headers=y","startcol=1","endcol=7","dir=h","DVD_START_DT",HIST_FROM,"DVD_END_DT",HIST_TO)</f>
        <v/>
      </c>
      <c r="E714" s="102" t="n"/>
      <c r="F714" s="102" t="n"/>
      <c r="G714" s="102" t="n"/>
      <c r="H714" s="102" t="n"/>
      <c r="I714" s="102" t="n"/>
      <c r="J714" s="102" t="n"/>
      <c r="K714" s="102" t="n"/>
      <c r="L714" s="102" t="n"/>
      <c r="M714" s="102" t="n"/>
      <c r="N714" s="102" t="n"/>
      <c r="O714" s="102" t="n"/>
      <c r="P714" s="102" t="n"/>
      <c r="Q714" s="102" t="n"/>
      <c r="R714" s="102" t="n"/>
      <c r="S714" s="102" t="n"/>
      <c r="T714" s="102" t="n"/>
      <c r="U714" s="102" t="n"/>
      <c r="V714" s="102" t="n"/>
      <c r="W714" s="102" t="n"/>
      <c r="X714" s="102" t="n"/>
      <c r="Y714" s="102" t="n"/>
      <c r="Z714" s="102" t="n"/>
      <c r="AA714" s="102" t="n"/>
      <c r="AB714" s="102" t="n"/>
      <c r="AC714" s="102" t="n"/>
      <c r="AD714" s="102" t="n"/>
      <c r="AE714" s="102" t="n"/>
      <c r="AF714" s="102" t="n"/>
      <c r="AG714" s="102" t="n"/>
      <c r="AH714" s="102" t="n"/>
      <c r="AI714" s="102" t="n"/>
      <c r="AJ714" s="102" t="n"/>
      <c r="AK714" s="102" t="n"/>
      <c r="AL714" s="102" t="n"/>
      <c r="AM714" s="102" t="n"/>
      <c r="AN714" s="102" t="n"/>
      <c r="AO714" s="102" t="n"/>
      <c r="AP714" s="102" t="n"/>
      <c r="AQ714" s="102" t="n"/>
      <c r="AR714" s="102" t="n"/>
    </row>
    <row r="715">
      <c r="D715" s="102" t="n"/>
      <c r="E715" s="102" t="n"/>
      <c r="F715" s="102" t="n"/>
      <c r="G715" s="102" t="n"/>
      <c r="H715" s="102" t="n"/>
      <c r="I715" s="102" t="n"/>
      <c r="J715" s="102" t="n"/>
      <c r="K715" s="102" t="n"/>
      <c r="L715" s="102" t="n"/>
      <c r="M715" s="102" t="n"/>
      <c r="N715" s="102" t="n"/>
      <c r="O715" s="102" t="n"/>
      <c r="P715" s="102" t="n"/>
      <c r="Q715" s="102" t="n"/>
      <c r="R715" s="102" t="n"/>
      <c r="S715" s="102" t="n"/>
      <c r="T715" s="102" t="n"/>
      <c r="U715" s="102" t="n"/>
      <c r="V715" s="102" t="n"/>
      <c r="W715" s="102" t="n"/>
      <c r="X715" s="102" t="n"/>
      <c r="Y715" s="102" t="n"/>
      <c r="Z715" s="102" t="n"/>
      <c r="AA715" s="102" t="n"/>
      <c r="AB715" s="102" t="n"/>
      <c r="AC715" s="102" t="n"/>
      <c r="AD715" s="102" t="n"/>
      <c r="AE715" s="102" t="n"/>
      <c r="AF715" s="102" t="n"/>
      <c r="AG715" s="102" t="n"/>
      <c r="AH715" s="102" t="n"/>
      <c r="AI715" s="102" t="n"/>
      <c r="AJ715" s="102" t="n"/>
      <c r="AK715" s="102" t="n"/>
      <c r="AL715" s="102" t="n"/>
      <c r="AM715" s="102" t="n"/>
      <c r="AN715" s="102" t="n"/>
      <c r="AO715" s="102" t="n"/>
      <c r="AP715" s="102" t="n"/>
      <c r="AQ715" s="102" t="n"/>
      <c r="AR715" s="102" t="n"/>
    </row>
    <row r="716">
      <c r="D716" s="102" t="n"/>
      <c r="E716" s="102" t="n"/>
      <c r="F716" s="102" t="n"/>
      <c r="G716" s="102" t="n"/>
      <c r="H716" s="102" t="n"/>
      <c r="I716" s="102" t="n"/>
      <c r="J716" s="102" t="n"/>
      <c r="K716" s="102" t="n"/>
      <c r="L716" s="102" t="n"/>
      <c r="M716" s="102" t="n"/>
      <c r="N716" s="102" t="n"/>
      <c r="O716" s="102" t="n"/>
      <c r="P716" s="102" t="n"/>
      <c r="Q716" s="102" t="n"/>
      <c r="R716" s="102" t="n"/>
      <c r="S716" s="102" t="n"/>
      <c r="T716" s="102" t="n"/>
      <c r="U716" s="102" t="n"/>
      <c r="V716" s="102" t="n"/>
      <c r="W716" s="102" t="n"/>
      <c r="X716" s="102" t="n"/>
      <c r="Y716" s="102" t="n"/>
      <c r="Z716" s="102" t="n"/>
      <c r="AA716" s="102" t="n"/>
      <c r="AB716" s="102" t="n"/>
      <c r="AC716" s="102" t="n"/>
      <c r="AD716" s="102" t="n"/>
      <c r="AE716" s="102" t="n"/>
      <c r="AF716" s="102" t="n"/>
      <c r="AG716" s="102" t="n"/>
      <c r="AH716" s="102" t="n"/>
      <c r="AI716" s="102" t="n"/>
      <c r="AJ716" s="102" t="n"/>
      <c r="AK716" s="102" t="n"/>
      <c r="AL716" s="102" t="n"/>
      <c r="AM716" s="102" t="n"/>
      <c r="AN716" s="102" t="n"/>
      <c r="AO716" s="102" t="n"/>
      <c r="AP716" s="102" t="n"/>
      <c r="AQ716" s="102" t="n"/>
      <c r="AR716" s="102" t="n"/>
    </row>
    <row r="717">
      <c r="D717" s="102" t="n"/>
      <c r="E717" s="102" t="n"/>
      <c r="F717" s="102" t="n"/>
      <c r="G717" s="102" t="n"/>
      <c r="H717" s="102" t="n"/>
      <c r="I717" s="102" t="n"/>
      <c r="J717" s="102" t="n"/>
      <c r="K717" s="102" t="n"/>
      <c r="L717" s="102" t="n"/>
      <c r="M717" s="102" t="n"/>
      <c r="N717" s="102" t="n"/>
      <c r="O717" s="102" t="n"/>
      <c r="P717" s="102" t="n"/>
      <c r="Q717" s="102" t="n"/>
      <c r="R717" s="102" t="n"/>
      <c r="S717" s="102" t="n"/>
      <c r="T717" s="102" t="n"/>
      <c r="U717" s="102" t="n"/>
      <c r="V717" s="102" t="n"/>
      <c r="W717" s="102" t="n"/>
      <c r="X717" s="102" t="n"/>
      <c r="Y717" s="102" t="n"/>
      <c r="Z717" s="102" t="n"/>
      <c r="AA717" s="102" t="n"/>
      <c r="AB717" s="102" t="n"/>
      <c r="AC717" s="102" t="n"/>
      <c r="AD717" s="102" t="n"/>
      <c r="AE717" s="102" t="n"/>
      <c r="AF717" s="102" t="n"/>
      <c r="AG717" s="102" t="n"/>
      <c r="AH717" s="102" t="n"/>
      <c r="AI717" s="102" t="n"/>
      <c r="AJ717" s="102" t="n"/>
      <c r="AK717" s="102" t="n"/>
      <c r="AL717" s="102" t="n"/>
      <c r="AM717" s="102" t="n"/>
      <c r="AN717" s="102" t="n"/>
      <c r="AO717" s="102" t="n"/>
      <c r="AP717" s="102" t="n"/>
      <c r="AQ717" s="102" t="n"/>
      <c r="AR717" s="102" t="n"/>
    </row>
    <row r="718">
      <c r="D718" s="160" t="n"/>
      <c r="E718" s="160" t="n"/>
      <c r="F718" s="160" t="n"/>
      <c r="G718" s="160" t="n"/>
      <c r="H718" s="160" t="n"/>
      <c r="I718" s="160" t="n"/>
      <c r="J718" s="160" t="n"/>
      <c r="K718" s="160" t="n"/>
      <c r="L718" s="160" t="n"/>
      <c r="M718" s="160" t="n"/>
      <c r="N718" s="160" t="n"/>
      <c r="O718" s="160" t="n"/>
      <c r="P718" s="160" t="n"/>
      <c r="Q718" s="160" t="n"/>
      <c r="R718" s="160" t="n"/>
      <c r="S718" s="160" t="n"/>
      <c r="T718" s="160" t="n"/>
      <c r="U718" s="160" t="n"/>
      <c r="V718" s="160" t="n"/>
      <c r="W718" s="160" t="n"/>
      <c r="X718" s="160" t="n"/>
      <c r="Y718" s="160" t="n"/>
      <c r="Z718" s="160" t="n"/>
      <c r="AA718" s="160" t="n"/>
      <c r="AB718" s="160" t="n"/>
      <c r="AC718" s="160" t="n"/>
      <c r="AD718" s="160" t="n"/>
      <c r="AE718" s="160" t="n"/>
      <c r="AF718" s="160" t="n"/>
      <c r="AG718" s="160" t="n"/>
      <c r="AH718" s="160" t="n"/>
      <c r="AI718" s="160" t="n"/>
      <c r="AJ718" s="160" t="n"/>
      <c r="AK718" s="160" t="n"/>
      <c r="AL718" s="160" t="n"/>
      <c r="AM718" s="160" t="n"/>
      <c r="AN718" s="160" t="n"/>
      <c r="AO718" s="160" t="n"/>
      <c r="AP718" s="160" t="n"/>
      <c r="AQ718" s="160" t="n"/>
      <c r="AR718" s="160" t="n"/>
    </row>
    <row r="721">
      <c r="A721" s="2">
        <f>IF($A714="","","   projections")</f>
        <v/>
      </c>
      <c r="B721" s="158">
        <f>IF($A714="",0,COUNT($E722:$AR722))</f>
        <v/>
      </c>
      <c r="C721" s="159">
        <f>IF($B721=0,0,MAX($E722:$AR722))</f>
        <v/>
      </c>
      <c r="D721" s="101">
        <f>BDS($A714,FLD_PROJ,"headers=y","startcol=1","endcol=3","dir=h")</f>
        <v/>
      </c>
      <c r="E721" s="102" t="n"/>
      <c r="F721" s="102" t="n"/>
      <c r="G721" s="102" t="n"/>
      <c r="H721" s="102" t="n"/>
      <c r="I721" s="102" t="n"/>
      <c r="J721" s="102" t="n"/>
      <c r="K721" s="102" t="n"/>
      <c r="L721" s="102" t="n"/>
      <c r="M721" s="102" t="n"/>
      <c r="N721" s="102" t="n"/>
      <c r="O721" s="102" t="n"/>
      <c r="P721" s="102" t="n"/>
      <c r="Q721" s="102" t="n"/>
      <c r="R721" s="102" t="n"/>
      <c r="S721" s="102" t="n"/>
      <c r="T721" s="102" t="n"/>
      <c r="U721" s="102" t="n"/>
      <c r="V721" s="102" t="n"/>
      <c r="W721" s="102" t="n"/>
      <c r="X721" s="102" t="n"/>
      <c r="Y721" s="102" t="n"/>
      <c r="Z721" s="102" t="n"/>
      <c r="AA721" s="102" t="n"/>
      <c r="AB721" s="102" t="n"/>
      <c r="AC721" s="102" t="n"/>
      <c r="AD721" s="102" t="n"/>
      <c r="AE721" s="102" t="n"/>
      <c r="AF721" s="102" t="n"/>
      <c r="AG721" s="102" t="n"/>
      <c r="AH721" s="102" t="n"/>
      <c r="AI721" s="102" t="n"/>
      <c r="AJ721" s="102" t="n"/>
      <c r="AK721" s="102" t="n"/>
      <c r="AL721" s="102" t="n"/>
      <c r="AM721" s="102" t="n"/>
      <c r="AN721" s="102" t="n"/>
      <c r="AO721" s="102" t="n"/>
      <c r="AP721" s="102" t="n"/>
      <c r="AQ721" s="102" t="n"/>
      <c r="AR721" s="102" t="n"/>
    </row>
    <row r="722">
      <c r="D722" s="102" t="n"/>
      <c r="E722" s="102" t="n"/>
      <c r="F722" s="102" t="n"/>
      <c r="G722" s="102" t="n"/>
      <c r="H722" s="102" t="n"/>
      <c r="I722" s="102" t="n"/>
      <c r="J722" s="102" t="n"/>
      <c r="K722" s="102" t="n"/>
      <c r="L722" s="102" t="n"/>
      <c r="M722" s="102" t="n"/>
      <c r="N722" s="102" t="n"/>
      <c r="O722" s="102" t="n"/>
      <c r="P722" s="102" t="n"/>
      <c r="Q722" s="102" t="n"/>
      <c r="R722" s="102" t="n"/>
      <c r="S722" s="102" t="n"/>
      <c r="T722" s="102" t="n"/>
      <c r="U722" s="102" t="n"/>
      <c r="V722" s="102" t="n"/>
      <c r="W722" s="102" t="n"/>
      <c r="X722" s="102" t="n"/>
      <c r="Y722" s="102" t="n"/>
      <c r="Z722" s="102" t="n"/>
      <c r="AA722" s="102" t="n"/>
      <c r="AB722" s="102" t="n"/>
      <c r="AC722" s="102" t="n"/>
      <c r="AD722" s="102" t="n"/>
      <c r="AE722" s="102" t="n"/>
      <c r="AF722" s="102" t="n"/>
      <c r="AG722" s="102" t="n"/>
      <c r="AH722" s="102" t="n"/>
      <c r="AI722" s="102" t="n"/>
      <c r="AJ722" s="102" t="n"/>
      <c r="AK722" s="102" t="n"/>
      <c r="AL722" s="102" t="n"/>
      <c r="AM722" s="102" t="n"/>
      <c r="AN722" s="102" t="n"/>
      <c r="AO722" s="102" t="n"/>
      <c r="AP722" s="102" t="n"/>
      <c r="AQ722" s="102" t="n"/>
      <c r="AR722" s="102" t="n"/>
    </row>
    <row r="723">
      <c r="D723" s="160" t="n"/>
      <c r="E723" s="160" t="n"/>
      <c r="F723" s="160" t="n"/>
      <c r="G723" s="160" t="n"/>
      <c r="H723" s="160" t="n"/>
      <c r="I723" s="160" t="n"/>
      <c r="J723" s="160" t="n"/>
      <c r="K723" s="160" t="n"/>
      <c r="L723" s="160" t="n"/>
      <c r="M723" s="160" t="n"/>
      <c r="N723" s="160" t="n"/>
      <c r="O723" s="160" t="n"/>
      <c r="P723" s="160" t="n"/>
      <c r="Q723" s="160" t="n"/>
      <c r="R723" s="160" t="n"/>
      <c r="S723" s="160" t="n"/>
      <c r="T723" s="160" t="n"/>
      <c r="U723" s="160" t="n"/>
      <c r="V723" s="160" t="n"/>
      <c r="W723" s="160" t="n"/>
      <c r="X723" s="160" t="n"/>
      <c r="Y723" s="160" t="n"/>
      <c r="Z723" s="160" t="n"/>
      <c r="AA723" s="160" t="n"/>
      <c r="AB723" s="160" t="n"/>
      <c r="AC723" s="160" t="n"/>
      <c r="AD723" s="160" t="n"/>
      <c r="AE723" s="160" t="n"/>
      <c r="AF723" s="160" t="n"/>
      <c r="AG723" s="160" t="n"/>
      <c r="AH723" s="160" t="n"/>
      <c r="AI723" s="160" t="n"/>
      <c r="AJ723" s="160" t="n"/>
      <c r="AK723" s="160" t="n"/>
      <c r="AL723" s="160" t="n"/>
      <c r="AM723" s="160" t="n"/>
      <c r="AN723" s="160" t="n"/>
      <c r="AO723" s="160" t="n"/>
      <c r="AP723" s="160" t="n"/>
      <c r="AQ723" s="160" t="n"/>
      <c r="AR723" s="160" t="n"/>
    </row>
    <row r="725">
      <c r="A725" s="8">
        <f>IF(HSI!$C$72="","",HSI!$C$72)</f>
        <v/>
      </c>
      <c r="B725" s="158">
        <f>IF($A725="",0,COUNT($E726:$AR726))</f>
        <v/>
      </c>
      <c r="C725" s="159">
        <f>IF($B725=0,0,MAX($E726:$AR726))</f>
        <v/>
      </c>
      <c r="D725" s="101">
        <f>BDS($A725,FLD_HIST,"headers=y","startcol=1","endcol=7","dir=h","DVD_START_DT",HIST_FROM,"DVD_END_DT",HIST_TO)</f>
        <v/>
      </c>
      <c r="E725" s="102" t="n"/>
      <c r="F725" s="102" t="n"/>
      <c r="G725" s="102" t="n"/>
      <c r="H725" s="102" t="n"/>
      <c r="I725" s="102" t="n"/>
      <c r="J725" s="102" t="n"/>
      <c r="K725" s="102" t="n"/>
      <c r="L725" s="102" t="n"/>
      <c r="M725" s="102" t="n"/>
      <c r="N725" s="102" t="n"/>
      <c r="O725" s="102" t="n"/>
      <c r="P725" s="102" t="n"/>
      <c r="Q725" s="102" t="n"/>
      <c r="R725" s="102" t="n"/>
      <c r="S725" s="102" t="n"/>
      <c r="T725" s="102" t="n"/>
      <c r="U725" s="102" t="n"/>
      <c r="V725" s="102" t="n"/>
      <c r="W725" s="102" t="n"/>
      <c r="X725" s="102" t="n"/>
      <c r="Y725" s="102" t="n"/>
      <c r="Z725" s="102" t="n"/>
      <c r="AA725" s="102" t="n"/>
      <c r="AB725" s="102" t="n"/>
      <c r="AC725" s="102" t="n"/>
      <c r="AD725" s="102" t="n"/>
      <c r="AE725" s="102" t="n"/>
      <c r="AF725" s="102" t="n"/>
      <c r="AG725" s="102" t="n"/>
      <c r="AH725" s="102" t="n"/>
      <c r="AI725" s="102" t="n"/>
      <c r="AJ725" s="102" t="n"/>
      <c r="AK725" s="102" t="n"/>
      <c r="AL725" s="102" t="n"/>
      <c r="AM725" s="102" t="n"/>
      <c r="AN725" s="102" t="n"/>
      <c r="AO725" s="102" t="n"/>
      <c r="AP725" s="102" t="n"/>
      <c r="AQ725" s="102" t="n"/>
      <c r="AR725" s="102" t="n"/>
    </row>
    <row r="726">
      <c r="D726" s="102" t="n"/>
      <c r="E726" s="102" t="n"/>
      <c r="F726" s="102" t="n"/>
      <c r="G726" s="102" t="n"/>
      <c r="H726" s="102" t="n"/>
      <c r="I726" s="102" t="n"/>
      <c r="J726" s="102" t="n"/>
      <c r="K726" s="102" t="n"/>
      <c r="L726" s="102" t="n"/>
      <c r="M726" s="102" t="n"/>
      <c r="N726" s="102" t="n"/>
      <c r="O726" s="102" t="n"/>
      <c r="P726" s="102" t="n"/>
      <c r="Q726" s="102" t="n"/>
      <c r="R726" s="102" t="n"/>
      <c r="S726" s="102" t="n"/>
      <c r="T726" s="102" t="n"/>
      <c r="U726" s="102" t="n"/>
      <c r="V726" s="102" t="n"/>
      <c r="W726" s="102" t="n"/>
      <c r="X726" s="102" t="n"/>
      <c r="Y726" s="102" t="n"/>
      <c r="Z726" s="102" t="n"/>
      <c r="AA726" s="102" t="n"/>
      <c r="AB726" s="102" t="n"/>
      <c r="AC726" s="102" t="n"/>
      <c r="AD726" s="102" t="n"/>
      <c r="AE726" s="102" t="n"/>
      <c r="AF726" s="102" t="n"/>
      <c r="AG726" s="102" t="n"/>
      <c r="AH726" s="102" t="n"/>
      <c r="AI726" s="102" t="n"/>
      <c r="AJ726" s="102" t="n"/>
      <c r="AK726" s="102" t="n"/>
      <c r="AL726" s="102" t="n"/>
      <c r="AM726" s="102" t="n"/>
      <c r="AN726" s="102" t="n"/>
      <c r="AO726" s="102" t="n"/>
      <c r="AP726" s="102" t="n"/>
      <c r="AQ726" s="102" t="n"/>
      <c r="AR726" s="102" t="n"/>
    </row>
    <row r="727">
      <c r="D727" s="102" t="n"/>
      <c r="E727" s="102" t="n"/>
      <c r="F727" s="102" t="n"/>
      <c r="G727" s="102" t="n"/>
      <c r="H727" s="102" t="n"/>
      <c r="I727" s="102" t="n"/>
      <c r="J727" s="102" t="n"/>
      <c r="K727" s="102" t="n"/>
      <c r="L727" s="102" t="n"/>
      <c r="M727" s="102" t="n"/>
      <c r="N727" s="102" t="n"/>
      <c r="O727" s="102" t="n"/>
      <c r="P727" s="102" t="n"/>
      <c r="Q727" s="102" t="n"/>
      <c r="R727" s="102" t="n"/>
      <c r="S727" s="102" t="n"/>
      <c r="T727" s="102" t="n"/>
      <c r="U727" s="102" t="n"/>
      <c r="V727" s="102" t="n"/>
      <c r="W727" s="102" t="n"/>
      <c r="X727" s="102" t="n"/>
      <c r="Y727" s="102" t="n"/>
      <c r="Z727" s="102" t="n"/>
      <c r="AA727" s="102" t="n"/>
      <c r="AB727" s="102" t="n"/>
      <c r="AC727" s="102" t="n"/>
      <c r="AD727" s="102" t="n"/>
      <c r="AE727" s="102" t="n"/>
      <c r="AF727" s="102" t="n"/>
      <c r="AG727" s="102" t="n"/>
      <c r="AH727" s="102" t="n"/>
      <c r="AI727" s="102" t="n"/>
      <c r="AJ727" s="102" t="n"/>
      <c r="AK727" s="102" t="n"/>
      <c r="AL727" s="102" t="n"/>
      <c r="AM727" s="102" t="n"/>
      <c r="AN727" s="102" t="n"/>
      <c r="AO727" s="102" t="n"/>
      <c r="AP727" s="102" t="n"/>
      <c r="AQ727" s="102" t="n"/>
      <c r="AR727" s="102" t="n"/>
    </row>
    <row r="728">
      <c r="D728" s="102" t="n"/>
      <c r="E728" s="102" t="n"/>
      <c r="F728" s="102" t="n"/>
      <c r="G728" s="102" t="n"/>
      <c r="H728" s="102" t="n"/>
      <c r="I728" s="102" t="n"/>
      <c r="J728" s="102" t="n"/>
      <c r="K728" s="102" t="n"/>
      <c r="L728" s="102" t="n"/>
      <c r="M728" s="102" t="n"/>
      <c r="N728" s="102" t="n"/>
      <c r="O728" s="102" t="n"/>
      <c r="P728" s="102" t="n"/>
      <c r="Q728" s="102" t="n"/>
      <c r="R728" s="102" t="n"/>
      <c r="S728" s="102" t="n"/>
      <c r="T728" s="102" t="n"/>
      <c r="U728" s="102" t="n"/>
      <c r="V728" s="102" t="n"/>
      <c r="W728" s="102" t="n"/>
      <c r="X728" s="102" t="n"/>
      <c r="Y728" s="102" t="n"/>
      <c r="Z728" s="102" t="n"/>
      <c r="AA728" s="102" t="n"/>
      <c r="AB728" s="102" t="n"/>
      <c r="AC728" s="102" t="n"/>
      <c r="AD728" s="102" t="n"/>
      <c r="AE728" s="102" t="n"/>
      <c r="AF728" s="102" t="n"/>
      <c r="AG728" s="102" t="n"/>
      <c r="AH728" s="102" t="n"/>
      <c r="AI728" s="102" t="n"/>
      <c r="AJ728" s="102" t="n"/>
      <c r="AK728" s="102" t="n"/>
      <c r="AL728" s="102" t="n"/>
      <c r="AM728" s="102" t="n"/>
      <c r="AN728" s="102" t="n"/>
      <c r="AO728" s="102" t="n"/>
      <c r="AP728" s="102" t="n"/>
      <c r="AQ728" s="102" t="n"/>
      <c r="AR728" s="102" t="n"/>
    </row>
    <row r="729">
      <c r="D729" s="160" t="n"/>
      <c r="E729" s="160" t="n"/>
      <c r="F729" s="160" t="n"/>
      <c r="G729" s="160" t="n"/>
      <c r="H729" s="160" t="n"/>
      <c r="I729" s="160" t="n"/>
      <c r="J729" s="160" t="n"/>
      <c r="K729" s="160" t="n"/>
      <c r="L729" s="160" t="n"/>
      <c r="M729" s="160" t="n"/>
      <c r="N729" s="160" t="n"/>
      <c r="O729" s="160" t="n"/>
      <c r="P729" s="160" t="n"/>
      <c r="Q729" s="160" t="n"/>
      <c r="R729" s="160" t="n"/>
      <c r="S729" s="160" t="n"/>
      <c r="T729" s="160" t="n"/>
      <c r="U729" s="160" t="n"/>
      <c r="V729" s="160" t="n"/>
      <c r="W729" s="160" t="n"/>
      <c r="X729" s="160" t="n"/>
      <c r="Y729" s="160" t="n"/>
      <c r="Z729" s="160" t="n"/>
      <c r="AA729" s="160" t="n"/>
      <c r="AB729" s="160" t="n"/>
      <c r="AC729" s="160" t="n"/>
      <c r="AD729" s="160" t="n"/>
      <c r="AE729" s="160" t="n"/>
      <c r="AF729" s="160" t="n"/>
      <c r="AG729" s="160" t="n"/>
      <c r="AH729" s="160" t="n"/>
      <c r="AI729" s="160" t="n"/>
      <c r="AJ729" s="160" t="n"/>
      <c r="AK729" s="160" t="n"/>
      <c r="AL729" s="160" t="n"/>
      <c r="AM729" s="160" t="n"/>
      <c r="AN729" s="160" t="n"/>
      <c r="AO729" s="160" t="n"/>
      <c r="AP729" s="160" t="n"/>
      <c r="AQ729" s="160" t="n"/>
      <c r="AR729" s="160" t="n"/>
    </row>
    <row r="732">
      <c r="A732" s="2">
        <f>IF($A725="","","   projections")</f>
        <v/>
      </c>
      <c r="B732" s="158">
        <f>IF($A725="",0,COUNT($E733:$AR733))</f>
        <v/>
      </c>
      <c r="C732" s="159">
        <f>IF($B732=0,0,MAX($E733:$AR733))</f>
        <v/>
      </c>
      <c r="D732" s="101">
        <f>BDS($A725,FLD_PROJ,"headers=y","startcol=1","endcol=3","dir=h")</f>
        <v/>
      </c>
      <c r="E732" s="102" t="n"/>
      <c r="F732" s="102" t="n"/>
      <c r="G732" s="102" t="n"/>
      <c r="H732" s="102" t="n"/>
      <c r="I732" s="102" t="n"/>
      <c r="J732" s="102" t="n"/>
      <c r="K732" s="102" t="n"/>
      <c r="L732" s="102" t="n"/>
      <c r="M732" s="102" t="n"/>
      <c r="N732" s="102" t="n"/>
      <c r="O732" s="102" t="n"/>
      <c r="P732" s="102" t="n"/>
      <c r="Q732" s="102" t="n"/>
      <c r="R732" s="102" t="n"/>
      <c r="S732" s="102" t="n"/>
      <c r="T732" s="102" t="n"/>
      <c r="U732" s="102" t="n"/>
      <c r="V732" s="102" t="n"/>
      <c r="W732" s="102" t="n"/>
      <c r="X732" s="102" t="n"/>
      <c r="Y732" s="102" t="n"/>
      <c r="Z732" s="102" t="n"/>
      <c r="AA732" s="102" t="n"/>
      <c r="AB732" s="102" t="n"/>
      <c r="AC732" s="102" t="n"/>
      <c r="AD732" s="102" t="n"/>
      <c r="AE732" s="102" t="n"/>
      <c r="AF732" s="102" t="n"/>
      <c r="AG732" s="102" t="n"/>
      <c r="AH732" s="102" t="n"/>
      <c r="AI732" s="102" t="n"/>
      <c r="AJ732" s="102" t="n"/>
      <c r="AK732" s="102" t="n"/>
      <c r="AL732" s="102" t="n"/>
      <c r="AM732" s="102" t="n"/>
      <c r="AN732" s="102" t="n"/>
      <c r="AO732" s="102" t="n"/>
      <c r="AP732" s="102" t="n"/>
      <c r="AQ732" s="102" t="n"/>
      <c r="AR732" s="102" t="n"/>
    </row>
    <row r="733">
      <c r="D733" s="102" t="n"/>
      <c r="E733" s="102" t="n"/>
      <c r="F733" s="102" t="n"/>
      <c r="G733" s="102" t="n"/>
      <c r="H733" s="102" t="n"/>
      <c r="I733" s="102" t="n"/>
      <c r="J733" s="102" t="n"/>
      <c r="K733" s="102" t="n"/>
      <c r="L733" s="102" t="n"/>
      <c r="M733" s="102" t="n"/>
      <c r="N733" s="102" t="n"/>
      <c r="O733" s="102" t="n"/>
      <c r="P733" s="102" t="n"/>
      <c r="Q733" s="102" t="n"/>
      <c r="R733" s="102" t="n"/>
      <c r="S733" s="102" t="n"/>
      <c r="T733" s="102" t="n"/>
      <c r="U733" s="102" t="n"/>
      <c r="V733" s="102" t="n"/>
      <c r="W733" s="102" t="n"/>
      <c r="X733" s="102" t="n"/>
      <c r="Y733" s="102" t="n"/>
      <c r="Z733" s="102" t="n"/>
      <c r="AA733" s="102" t="n"/>
      <c r="AB733" s="102" t="n"/>
      <c r="AC733" s="102" t="n"/>
      <c r="AD733" s="102" t="n"/>
      <c r="AE733" s="102" t="n"/>
      <c r="AF733" s="102" t="n"/>
      <c r="AG733" s="102" t="n"/>
      <c r="AH733" s="102" t="n"/>
      <c r="AI733" s="102" t="n"/>
      <c r="AJ733" s="102" t="n"/>
      <c r="AK733" s="102" t="n"/>
      <c r="AL733" s="102" t="n"/>
      <c r="AM733" s="102" t="n"/>
      <c r="AN733" s="102" t="n"/>
      <c r="AO733" s="102" t="n"/>
      <c r="AP733" s="102" t="n"/>
      <c r="AQ733" s="102" t="n"/>
      <c r="AR733" s="102" t="n"/>
    </row>
    <row r="734">
      <c r="D734" s="160" t="n"/>
      <c r="E734" s="160" t="n"/>
      <c r="F734" s="160" t="n"/>
      <c r="G734" s="160" t="n"/>
      <c r="H734" s="160" t="n"/>
      <c r="I734" s="160" t="n"/>
      <c r="J734" s="160" t="n"/>
      <c r="K734" s="160" t="n"/>
      <c r="L734" s="160" t="n"/>
      <c r="M734" s="160" t="n"/>
      <c r="N734" s="160" t="n"/>
      <c r="O734" s="160" t="n"/>
      <c r="P734" s="160" t="n"/>
      <c r="Q734" s="160" t="n"/>
      <c r="R734" s="160" t="n"/>
      <c r="S734" s="160" t="n"/>
      <c r="T734" s="160" t="n"/>
      <c r="U734" s="160" t="n"/>
      <c r="V734" s="160" t="n"/>
      <c r="W734" s="160" t="n"/>
      <c r="X734" s="160" t="n"/>
      <c r="Y734" s="160" t="n"/>
      <c r="Z734" s="160" t="n"/>
      <c r="AA734" s="160" t="n"/>
      <c r="AB734" s="160" t="n"/>
      <c r="AC734" s="160" t="n"/>
      <c r="AD734" s="160" t="n"/>
      <c r="AE734" s="160" t="n"/>
      <c r="AF734" s="160" t="n"/>
      <c r="AG734" s="160" t="n"/>
      <c r="AH734" s="160" t="n"/>
      <c r="AI734" s="160" t="n"/>
      <c r="AJ734" s="160" t="n"/>
      <c r="AK734" s="160" t="n"/>
      <c r="AL734" s="160" t="n"/>
      <c r="AM734" s="160" t="n"/>
      <c r="AN734" s="160" t="n"/>
      <c r="AO734" s="160" t="n"/>
      <c r="AP734" s="160" t="n"/>
      <c r="AQ734" s="160" t="n"/>
      <c r="AR734" s="160" t="n"/>
    </row>
    <row r="736">
      <c r="A736" s="8">
        <f>IF(HSI!$C$73="","",HSI!$C$73)</f>
        <v/>
      </c>
      <c r="B736" s="158">
        <f>IF($A736="",0,COUNT($E737:$AR737))</f>
        <v/>
      </c>
      <c r="C736" s="159">
        <f>IF($B736=0,0,MAX($E737:$AR737))</f>
        <v/>
      </c>
      <c r="D736" s="101">
        <f>BDS($A736,FLD_HIST,"headers=y","startcol=1","endcol=7","dir=h","DVD_START_DT",HIST_FROM,"DVD_END_DT",HIST_TO)</f>
        <v/>
      </c>
      <c r="E736" s="102" t="n"/>
      <c r="F736" s="102" t="n"/>
      <c r="G736" s="102" t="n"/>
      <c r="H736" s="102" t="n"/>
      <c r="I736" s="102" t="n"/>
      <c r="J736" s="102" t="n"/>
      <c r="K736" s="102" t="n"/>
      <c r="L736" s="102" t="n"/>
      <c r="M736" s="102" t="n"/>
      <c r="N736" s="102" t="n"/>
      <c r="O736" s="102" t="n"/>
      <c r="P736" s="102" t="n"/>
      <c r="Q736" s="102" t="n"/>
      <c r="R736" s="102" t="n"/>
      <c r="S736" s="102" t="n"/>
      <c r="T736" s="102" t="n"/>
      <c r="U736" s="102" t="n"/>
      <c r="V736" s="102" t="n"/>
      <c r="W736" s="102" t="n"/>
      <c r="X736" s="102" t="n"/>
      <c r="Y736" s="102" t="n"/>
      <c r="Z736" s="102" t="n"/>
      <c r="AA736" s="102" t="n"/>
      <c r="AB736" s="102" t="n"/>
      <c r="AC736" s="102" t="n"/>
      <c r="AD736" s="102" t="n"/>
      <c r="AE736" s="102" t="n"/>
      <c r="AF736" s="102" t="n"/>
      <c r="AG736" s="102" t="n"/>
      <c r="AH736" s="102" t="n"/>
      <c r="AI736" s="102" t="n"/>
      <c r="AJ736" s="102" t="n"/>
      <c r="AK736" s="102" t="n"/>
      <c r="AL736" s="102" t="n"/>
      <c r="AM736" s="102" t="n"/>
      <c r="AN736" s="102" t="n"/>
      <c r="AO736" s="102" t="n"/>
      <c r="AP736" s="102" t="n"/>
      <c r="AQ736" s="102" t="n"/>
      <c r="AR736" s="102" t="n"/>
    </row>
    <row r="737">
      <c r="D737" s="102" t="n"/>
      <c r="E737" s="102" t="n"/>
      <c r="F737" s="102" t="n"/>
      <c r="G737" s="102" t="n"/>
      <c r="H737" s="102" t="n"/>
      <c r="I737" s="102" t="n"/>
      <c r="J737" s="102" t="n"/>
      <c r="K737" s="102" t="n"/>
      <c r="L737" s="102" t="n"/>
      <c r="M737" s="102" t="n"/>
      <c r="N737" s="102" t="n"/>
      <c r="O737" s="102" t="n"/>
      <c r="P737" s="102" t="n"/>
      <c r="Q737" s="102" t="n"/>
      <c r="R737" s="102" t="n"/>
      <c r="S737" s="102" t="n"/>
      <c r="T737" s="102" t="n"/>
      <c r="U737" s="102" t="n"/>
      <c r="V737" s="102" t="n"/>
      <c r="W737" s="102" t="n"/>
      <c r="X737" s="102" t="n"/>
      <c r="Y737" s="102" t="n"/>
      <c r="Z737" s="102" t="n"/>
      <c r="AA737" s="102" t="n"/>
      <c r="AB737" s="102" t="n"/>
      <c r="AC737" s="102" t="n"/>
      <c r="AD737" s="102" t="n"/>
      <c r="AE737" s="102" t="n"/>
      <c r="AF737" s="102" t="n"/>
      <c r="AG737" s="102" t="n"/>
      <c r="AH737" s="102" t="n"/>
      <c r="AI737" s="102" t="n"/>
      <c r="AJ737" s="102" t="n"/>
      <c r="AK737" s="102" t="n"/>
      <c r="AL737" s="102" t="n"/>
      <c r="AM737" s="102" t="n"/>
      <c r="AN737" s="102" t="n"/>
      <c r="AO737" s="102" t="n"/>
      <c r="AP737" s="102" t="n"/>
      <c r="AQ737" s="102" t="n"/>
      <c r="AR737" s="102" t="n"/>
    </row>
    <row r="738">
      <c r="D738" s="102" t="n"/>
      <c r="E738" s="102" t="n"/>
      <c r="F738" s="102" t="n"/>
      <c r="G738" s="102" t="n"/>
      <c r="H738" s="102" t="n"/>
      <c r="I738" s="102" t="n"/>
      <c r="J738" s="102" t="n"/>
      <c r="K738" s="102" t="n"/>
      <c r="L738" s="102" t="n"/>
      <c r="M738" s="102" t="n"/>
      <c r="N738" s="102" t="n"/>
      <c r="O738" s="102" t="n"/>
      <c r="P738" s="102" t="n"/>
      <c r="Q738" s="102" t="n"/>
      <c r="R738" s="102" t="n"/>
      <c r="S738" s="102" t="n"/>
      <c r="T738" s="102" t="n"/>
      <c r="U738" s="102" t="n"/>
      <c r="V738" s="102" t="n"/>
      <c r="W738" s="102" t="n"/>
      <c r="X738" s="102" t="n"/>
      <c r="Y738" s="102" t="n"/>
      <c r="Z738" s="102" t="n"/>
      <c r="AA738" s="102" t="n"/>
      <c r="AB738" s="102" t="n"/>
      <c r="AC738" s="102" t="n"/>
      <c r="AD738" s="102" t="n"/>
      <c r="AE738" s="102" t="n"/>
      <c r="AF738" s="102" t="n"/>
      <c r="AG738" s="102" t="n"/>
      <c r="AH738" s="102" t="n"/>
      <c r="AI738" s="102" t="n"/>
      <c r="AJ738" s="102" t="n"/>
      <c r="AK738" s="102" t="n"/>
      <c r="AL738" s="102" t="n"/>
      <c r="AM738" s="102" t="n"/>
      <c r="AN738" s="102" t="n"/>
      <c r="AO738" s="102" t="n"/>
      <c r="AP738" s="102" t="n"/>
      <c r="AQ738" s="102" t="n"/>
      <c r="AR738" s="102" t="n"/>
    </row>
    <row r="739">
      <c r="D739" s="102" t="n"/>
      <c r="E739" s="102" t="n"/>
      <c r="F739" s="102" t="n"/>
      <c r="G739" s="102" t="n"/>
      <c r="H739" s="102" t="n"/>
      <c r="I739" s="102" t="n"/>
      <c r="J739" s="102" t="n"/>
      <c r="K739" s="102" t="n"/>
      <c r="L739" s="102" t="n"/>
      <c r="M739" s="102" t="n"/>
      <c r="N739" s="102" t="n"/>
      <c r="O739" s="102" t="n"/>
      <c r="P739" s="102" t="n"/>
      <c r="Q739" s="102" t="n"/>
      <c r="R739" s="102" t="n"/>
      <c r="S739" s="102" t="n"/>
      <c r="T739" s="102" t="n"/>
      <c r="U739" s="102" t="n"/>
      <c r="V739" s="102" t="n"/>
      <c r="W739" s="102" t="n"/>
      <c r="X739" s="102" t="n"/>
      <c r="Y739" s="102" t="n"/>
      <c r="Z739" s="102" t="n"/>
      <c r="AA739" s="102" t="n"/>
      <c r="AB739" s="102" t="n"/>
      <c r="AC739" s="102" t="n"/>
      <c r="AD739" s="102" t="n"/>
      <c r="AE739" s="102" t="n"/>
      <c r="AF739" s="102" t="n"/>
      <c r="AG739" s="102" t="n"/>
      <c r="AH739" s="102" t="n"/>
      <c r="AI739" s="102" t="n"/>
      <c r="AJ739" s="102" t="n"/>
      <c r="AK739" s="102" t="n"/>
      <c r="AL739" s="102" t="n"/>
      <c r="AM739" s="102" t="n"/>
      <c r="AN739" s="102" t="n"/>
      <c r="AO739" s="102" t="n"/>
      <c r="AP739" s="102" t="n"/>
      <c r="AQ739" s="102" t="n"/>
      <c r="AR739" s="102" t="n"/>
    </row>
    <row r="740">
      <c r="D740" s="160" t="n"/>
      <c r="E740" s="160" t="n"/>
      <c r="F740" s="160" t="n"/>
      <c r="G740" s="160" t="n"/>
      <c r="H740" s="160" t="n"/>
      <c r="I740" s="160" t="n"/>
      <c r="J740" s="160" t="n"/>
      <c r="K740" s="160" t="n"/>
      <c r="L740" s="160" t="n"/>
      <c r="M740" s="160" t="n"/>
      <c r="N740" s="160" t="n"/>
      <c r="O740" s="160" t="n"/>
      <c r="P740" s="160" t="n"/>
      <c r="Q740" s="160" t="n"/>
      <c r="R740" s="160" t="n"/>
      <c r="S740" s="160" t="n"/>
      <c r="T740" s="160" t="n"/>
      <c r="U740" s="160" t="n"/>
      <c r="V740" s="160" t="n"/>
      <c r="W740" s="160" t="n"/>
      <c r="X740" s="160" t="n"/>
      <c r="Y740" s="160" t="n"/>
      <c r="Z740" s="160" t="n"/>
      <c r="AA740" s="160" t="n"/>
      <c r="AB740" s="160" t="n"/>
      <c r="AC740" s="160" t="n"/>
      <c r="AD740" s="160" t="n"/>
      <c r="AE740" s="160" t="n"/>
      <c r="AF740" s="160" t="n"/>
      <c r="AG740" s="160" t="n"/>
      <c r="AH740" s="160" t="n"/>
      <c r="AI740" s="160" t="n"/>
      <c r="AJ740" s="160" t="n"/>
      <c r="AK740" s="160" t="n"/>
      <c r="AL740" s="160" t="n"/>
      <c r="AM740" s="160" t="n"/>
      <c r="AN740" s="160" t="n"/>
      <c r="AO740" s="160" t="n"/>
      <c r="AP740" s="160" t="n"/>
      <c r="AQ740" s="160" t="n"/>
      <c r="AR740" s="160" t="n"/>
    </row>
    <row r="743">
      <c r="A743" s="2">
        <f>IF($A736="","","   projections")</f>
        <v/>
      </c>
      <c r="B743" s="158">
        <f>IF($A736="",0,COUNT($E744:$AR744))</f>
        <v/>
      </c>
      <c r="C743" s="159">
        <f>IF($B743=0,0,MAX($E744:$AR744))</f>
        <v/>
      </c>
      <c r="D743" s="101">
        <f>BDS($A736,FLD_PROJ,"headers=y","startcol=1","endcol=3","dir=h")</f>
        <v/>
      </c>
      <c r="E743" s="102" t="n"/>
      <c r="F743" s="102" t="n"/>
      <c r="G743" s="102" t="n"/>
      <c r="H743" s="102" t="n"/>
      <c r="I743" s="102" t="n"/>
      <c r="J743" s="102" t="n"/>
      <c r="K743" s="102" t="n"/>
      <c r="L743" s="102" t="n"/>
      <c r="M743" s="102" t="n"/>
      <c r="N743" s="102" t="n"/>
      <c r="O743" s="102" t="n"/>
      <c r="P743" s="102" t="n"/>
      <c r="Q743" s="102" t="n"/>
      <c r="R743" s="102" t="n"/>
      <c r="S743" s="102" t="n"/>
      <c r="T743" s="102" t="n"/>
      <c r="U743" s="102" t="n"/>
      <c r="V743" s="102" t="n"/>
      <c r="W743" s="102" t="n"/>
      <c r="X743" s="102" t="n"/>
      <c r="Y743" s="102" t="n"/>
      <c r="Z743" s="102" t="n"/>
      <c r="AA743" s="102" t="n"/>
      <c r="AB743" s="102" t="n"/>
      <c r="AC743" s="102" t="n"/>
      <c r="AD743" s="102" t="n"/>
      <c r="AE743" s="102" t="n"/>
      <c r="AF743" s="102" t="n"/>
      <c r="AG743" s="102" t="n"/>
      <c r="AH743" s="102" t="n"/>
      <c r="AI743" s="102" t="n"/>
      <c r="AJ743" s="102" t="n"/>
      <c r="AK743" s="102" t="n"/>
      <c r="AL743" s="102" t="n"/>
      <c r="AM743" s="102" t="n"/>
      <c r="AN743" s="102" t="n"/>
      <c r="AO743" s="102" t="n"/>
      <c r="AP743" s="102" t="n"/>
      <c r="AQ743" s="102" t="n"/>
      <c r="AR743" s="102" t="n"/>
    </row>
    <row r="744">
      <c r="D744" s="102" t="n"/>
      <c r="E744" s="102" t="n"/>
      <c r="F744" s="102" t="n"/>
      <c r="G744" s="102" t="n"/>
      <c r="H744" s="102" t="n"/>
      <c r="I744" s="102" t="n"/>
      <c r="J744" s="102" t="n"/>
      <c r="K744" s="102" t="n"/>
      <c r="L744" s="102" t="n"/>
      <c r="M744" s="102" t="n"/>
      <c r="N744" s="102" t="n"/>
      <c r="O744" s="102" t="n"/>
      <c r="P744" s="102" t="n"/>
      <c r="Q744" s="102" t="n"/>
      <c r="R744" s="102" t="n"/>
      <c r="S744" s="102" t="n"/>
      <c r="T744" s="102" t="n"/>
      <c r="U744" s="102" t="n"/>
      <c r="V744" s="102" t="n"/>
      <c r="W744" s="102" t="n"/>
      <c r="X744" s="102" t="n"/>
      <c r="Y744" s="102" t="n"/>
      <c r="Z744" s="102" t="n"/>
      <c r="AA744" s="102" t="n"/>
      <c r="AB744" s="102" t="n"/>
      <c r="AC744" s="102" t="n"/>
      <c r="AD744" s="102" t="n"/>
      <c r="AE744" s="102" t="n"/>
      <c r="AF744" s="102" t="n"/>
      <c r="AG744" s="102" t="n"/>
      <c r="AH744" s="102" t="n"/>
      <c r="AI744" s="102" t="n"/>
      <c r="AJ744" s="102" t="n"/>
      <c r="AK744" s="102" t="n"/>
      <c r="AL744" s="102" t="n"/>
      <c r="AM744" s="102" t="n"/>
      <c r="AN744" s="102" t="n"/>
      <c r="AO744" s="102" t="n"/>
      <c r="AP744" s="102" t="n"/>
      <c r="AQ744" s="102" t="n"/>
      <c r="AR744" s="102" t="n"/>
    </row>
    <row r="745">
      <c r="D745" s="160" t="n"/>
      <c r="E745" s="160" t="n"/>
      <c r="F745" s="160" t="n"/>
      <c r="G745" s="160" t="n"/>
      <c r="H745" s="160" t="n"/>
      <c r="I745" s="160" t="n"/>
      <c r="J745" s="160" t="n"/>
      <c r="K745" s="160" t="n"/>
      <c r="L745" s="160" t="n"/>
      <c r="M745" s="160" t="n"/>
      <c r="N745" s="160" t="n"/>
      <c r="O745" s="160" t="n"/>
      <c r="P745" s="160" t="n"/>
      <c r="Q745" s="160" t="n"/>
      <c r="R745" s="160" t="n"/>
      <c r="S745" s="160" t="n"/>
      <c r="T745" s="160" t="n"/>
      <c r="U745" s="160" t="n"/>
      <c r="V745" s="160" t="n"/>
      <c r="W745" s="160" t="n"/>
      <c r="X745" s="160" t="n"/>
      <c r="Y745" s="160" t="n"/>
      <c r="Z745" s="160" t="n"/>
      <c r="AA745" s="160" t="n"/>
      <c r="AB745" s="160" t="n"/>
      <c r="AC745" s="160" t="n"/>
      <c r="AD745" s="160" t="n"/>
      <c r="AE745" s="160" t="n"/>
      <c r="AF745" s="160" t="n"/>
      <c r="AG745" s="160" t="n"/>
      <c r="AH745" s="160" t="n"/>
      <c r="AI745" s="160" t="n"/>
      <c r="AJ745" s="160" t="n"/>
      <c r="AK745" s="160" t="n"/>
      <c r="AL745" s="160" t="n"/>
      <c r="AM745" s="160" t="n"/>
      <c r="AN745" s="160" t="n"/>
      <c r="AO745" s="160" t="n"/>
      <c r="AP745" s="160" t="n"/>
      <c r="AQ745" s="160" t="n"/>
      <c r="AR745" s="160" t="n"/>
    </row>
    <row r="747">
      <c r="A747" s="8">
        <f>IF(HSI!$C$74="","",HSI!$C$74)</f>
        <v/>
      </c>
      <c r="B747" s="158">
        <f>IF($A747="",0,COUNT($E748:$AR748))</f>
        <v/>
      </c>
      <c r="C747" s="159">
        <f>IF($B747=0,0,MAX($E748:$AR748))</f>
        <v/>
      </c>
      <c r="D747" s="101">
        <f>BDS($A747,FLD_HIST,"headers=y","startcol=1","endcol=7","dir=h","DVD_START_DT",HIST_FROM,"DVD_END_DT",HIST_TO)</f>
        <v/>
      </c>
      <c r="E747" s="102" t="n"/>
      <c r="F747" s="102" t="n"/>
      <c r="G747" s="102" t="n"/>
      <c r="H747" s="102" t="n"/>
      <c r="I747" s="102" t="n"/>
      <c r="J747" s="102" t="n"/>
      <c r="K747" s="102" t="n"/>
      <c r="L747" s="102" t="n"/>
      <c r="M747" s="102" t="n"/>
      <c r="N747" s="102" t="n"/>
      <c r="O747" s="102" t="n"/>
      <c r="P747" s="102" t="n"/>
      <c r="Q747" s="102" t="n"/>
      <c r="R747" s="102" t="n"/>
      <c r="S747" s="102" t="n"/>
      <c r="T747" s="102" t="n"/>
      <c r="U747" s="102" t="n"/>
      <c r="V747" s="102" t="n"/>
      <c r="W747" s="102" t="n"/>
      <c r="X747" s="102" t="n"/>
      <c r="Y747" s="102" t="n"/>
      <c r="Z747" s="102" t="n"/>
      <c r="AA747" s="102" t="n"/>
      <c r="AB747" s="102" t="n"/>
      <c r="AC747" s="102" t="n"/>
      <c r="AD747" s="102" t="n"/>
      <c r="AE747" s="102" t="n"/>
      <c r="AF747" s="102" t="n"/>
      <c r="AG747" s="102" t="n"/>
      <c r="AH747" s="102" t="n"/>
      <c r="AI747" s="102" t="n"/>
      <c r="AJ747" s="102" t="n"/>
      <c r="AK747" s="102" t="n"/>
      <c r="AL747" s="102" t="n"/>
      <c r="AM747" s="102" t="n"/>
      <c r="AN747" s="102" t="n"/>
      <c r="AO747" s="102" t="n"/>
      <c r="AP747" s="102" t="n"/>
      <c r="AQ747" s="102" t="n"/>
      <c r="AR747" s="102" t="n"/>
    </row>
    <row r="748">
      <c r="D748" s="102" t="n"/>
      <c r="E748" s="102" t="n"/>
      <c r="F748" s="102" t="n"/>
      <c r="G748" s="102" t="n"/>
      <c r="H748" s="102" t="n"/>
      <c r="I748" s="102" t="n"/>
      <c r="J748" s="102" t="n"/>
      <c r="K748" s="102" t="n"/>
      <c r="L748" s="102" t="n"/>
      <c r="M748" s="102" t="n"/>
      <c r="N748" s="102" t="n"/>
      <c r="O748" s="102" t="n"/>
      <c r="P748" s="102" t="n"/>
      <c r="Q748" s="102" t="n"/>
      <c r="R748" s="102" t="n"/>
      <c r="S748" s="102" t="n"/>
      <c r="T748" s="102" t="n"/>
      <c r="U748" s="102" t="n"/>
      <c r="V748" s="102" t="n"/>
      <c r="W748" s="102" t="n"/>
      <c r="X748" s="102" t="n"/>
      <c r="Y748" s="102" t="n"/>
      <c r="Z748" s="102" t="n"/>
      <c r="AA748" s="102" t="n"/>
      <c r="AB748" s="102" t="n"/>
      <c r="AC748" s="102" t="n"/>
      <c r="AD748" s="102" t="n"/>
      <c r="AE748" s="102" t="n"/>
      <c r="AF748" s="102" t="n"/>
      <c r="AG748" s="102" t="n"/>
      <c r="AH748" s="102" t="n"/>
      <c r="AI748" s="102" t="n"/>
      <c r="AJ748" s="102" t="n"/>
      <c r="AK748" s="102" t="n"/>
      <c r="AL748" s="102" t="n"/>
      <c r="AM748" s="102" t="n"/>
      <c r="AN748" s="102" t="n"/>
      <c r="AO748" s="102" t="n"/>
      <c r="AP748" s="102" t="n"/>
      <c r="AQ748" s="102" t="n"/>
      <c r="AR748" s="102" t="n"/>
    </row>
    <row r="749">
      <c r="D749" s="102" t="n"/>
      <c r="E749" s="102" t="n"/>
      <c r="F749" s="102" t="n"/>
      <c r="G749" s="102" t="n"/>
      <c r="H749" s="102" t="n"/>
      <c r="I749" s="102" t="n"/>
      <c r="J749" s="102" t="n"/>
      <c r="K749" s="102" t="n"/>
      <c r="L749" s="102" t="n"/>
      <c r="M749" s="102" t="n"/>
      <c r="N749" s="102" t="n"/>
      <c r="O749" s="102" t="n"/>
      <c r="P749" s="102" t="n"/>
      <c r="Q749" s="102" t="n"/>
      <c r="R749" s="102" t="n"/>
      <c r="S749" s="102" t="n"/>
      <c r="T749" s="102" t="n"/>
      <c r="U749" s="102" t="n"/>
      <c r="V749" s="102" t="n"/>
      <c r="W749" s="102" t="n"/>
      <c r="X749" s="102" t="n"/>
      <c r="Y749" s="102" t="n"/>
      <c r="Z749" s="102" t="n"/>
      <c r="AA749" s="102" t="n"/>
      <c r="AB749" s="102" t="n"/>
      <c r="AC749" s="102" t="n"/>
      <c r="AD749" s="102" t="n"/>
      <c r="AE749" s="102" t="n"/>
      <c r="AF749" s="102" t="n"/>
      <c r="AG749" s="102" t="n"/>
      <c r="AH749" s="102" t="n"/>
      <c r="AI749" s="102" t="n"/>
      <c r="AJ749" s="102" t="n"/>
      <c r="AK749" s="102" t="n"/>
      <c r="AL749" s="102" t="n"/>
      <c r="AM749" s="102" t="n"/>
      <c r="AN749" s="102" t="n"/>
      <c r="AO749" s="102" t="n"/>
      <c r="AP749" s="102" t="n"/>
      <c r="AQ749" s="102" t="n"/>
      <c r="AR749" s="102" t="n"/>
    </row>
    <row r="750">
      <c r="D750" s="102" t="n"/>
      <c r="E750" s="102" t="n"/>
      <c r="F750" s="102" t="n"/>
      <c r="G750" s="102" t="n"/>
      <c r="H750" s="102" t="n"/>
      <c r="I750" s="102" t="n"/>
      <c r="J750" s="102" t="n"/>
      <c r="K750" s="102" t="n"/>
      <c r="L750" s="102" t="n"/>
      <c r="M750" s="102" t="n"/>
      <c r="N750" s="102" t="n"/>
      <c r="O750" s="102" t="n"/>
      <c r="P750" s="102" t="n"/>
      <c r="Q750" s="102" t="n"/>
      <c r="R750" s="102" t="n"/>
      <c r="S750" s="102" t="n"/>
      <c r="T750" s="102" t="n"/>
      <c r="U750" s="102" t="n"/>
      <c r="V750" s="102" t="n"/>
      <c r="W750" s="102" t="n"/>
      <c r="X750" s="102" t="n"/>
      <c r="Y750" s="102" t="n"/>
      <c r="Z750" s="102" t="n"/>
      <c r="AA750" s="102" t="n"/>
      <c r="AB750" s="102" t="n"/>
      <c r="AC750" s="102" t="n"/>
      <c r="AD750" s="102" t="n"/>
      <c r="AE750" s="102" t="n"/>
      <c r="AF750" s="102" t="n"/>
      <c r="AG750" s="102" t="n"/>
      <c r="AH750" s="102" t="n"/>
      <c r="AI750" s="102" t="n"/>
      <c r="AJ750" s="102" t="n"/>
      <c r="AK750" s="102" t="n"/>
      <c r="AL750" s="102" t="n"/>
      <c r="AM750" s="102" t="n"/>
      <c r="AN750" s="102" t="n"/>
      <c r="AO750" s="102" t="n"/>
      <c r="AP750" s="102" t="n"/>
      <c r="AQ750" s="102" t="n"/>
      <c r="AR750" s="102" t="n"/>
    </row>
    <row r="751">
      <c r="D751" s="160" t="n"/>
      <c r="E751" s="160" t="n"/>
      <c r="F751" s="160" t="n"/>
      <c r="G751" s="160" t="n"/>
      <c r="H751" s="160" t="n"/>
      <c r="I751" s="160" t="n"/>
      <c r="J751" s="160" t="n"/>
      <c r="K751" s="160" t="n"/>
      <c r="L751" s="160" t="n"/>
      <c r="M751" s="160" t="n"/>
      <c r="N751" s="160" t="n"/>
      <c r="O751" s="160" t="n"/>
      <c r="P751" s="160" t="n"/>
      <c r="Q751" s="160" t="n"/>
      <c r="R751" s="160" t="n"/>
      <c r="S751" s="160" t="n"/>
      <c r="T751" s="160" t="n"/>
      <c r="U751" s="160" t="n"/>
      <c r="V751" s="160" t="n"/>
      <c r="W751" s="160" t="n"/>
      <c r="X751" s="160" t="n"/>
      <c r="Y751" s="160" t="n"/>
      <c r="Z751" s="160" t="n"/>
      <c r="AA751" s="160" t="n"/>
      <c r="AB751" s="160" t="n"/>
      <c r="AC751" s="160" t="n"/>
      <c r="AD751" s="160" t="n"/>
      <c r="AE751" s="160" t="n"/>
      <c r="AF751" s="160" t="n"/>
      <c r="AG751" s="160" t="n"/>
      <c r="AH751" s="160" t="n"/>
      <c r="AI751" s="160" t="n"/>
      <c r="AJ751" s="160" t="n"/>
      <c r="AK751" s="160" t="n"/>
      <c r="AL751" s="160" t="n"/>
      <c r="AM751" s="160" t="n"/>
      <c r="AN751" s="160" t="n"/>
      <c r="AO751" s="160" t="n"/>
      <c r="AP751" s="160" t="n"/>
      <c r="AQ751" s="160" t="n"/>
      <c r="AR751" s="160" t="n"/>
    </row>
    <row r="754">
      <c r="A754" s="2">
        <f>IF($A747="","","   projections")</f>
        <v/>
      </c>
      <c r="B754" s="158">
        <f>IF($A747="",0,COUNT($E755:$AR755))</f>
        <v/>
      </c>
      <c r="C754" s="159">
        <f>IF($B754=0,0,MAX($E755:$AR755))</f>
        <v/>
      </c>
      <c r="D754" s="101">
        <f>BDS($A747,FLD_PROJ,"headers=y","startcol=1","endcol=3","dir=h")</f>
        <v/>
      </c>
      <c r="E754" s="102" t="n"/>
      <c r="F754" s="102" t="n"/>
      <c r="G754" s="102" t="n"/>
      <c r="H754" s="102" t="n"/>
      <c r="I754" s="102" t="n"/>
      <c r="J754" s="102" t="n"/>
      <c r="K754" s="102" t="n"/>
      <c r="L754" s="102" t="n"/>
      <c r="M754" s="102" t="n"/>
      <c r="N754" s="102" t="n"/>
      <c r="O754" s="102" t="n"/>
      <c r="P754" s="102" t="n"/>
      <c r="Q754" s="102" t="n"/>
      <c r="R754" s="102" t="n"/>
      <c r="S754" s="102" t="n"/>
      <c r="T754" s="102" t="n"/>
      <c r="U754" s="102" t="n"/>
      <c r="V754" s="102" t="n"/>
      <c r="W754" s="102" t="n"/>
      <c r="X754" s="102" t="n"/>
      <c r="Y754" s="102" t="n"/>
      <c r="Z754" s="102" t="n"/>
      <c r="AA754" s="102" t="n"/>
      <c r="AB754" s="102" t="n"/>
      <c r="AC754" s="102" t="n"/>
      <c r="AD754" s="102" t="n"/>
      <c r="AE754" s="102" t="n"/>
      <c r="AF754" s="102" t="n"/>
      <c r="AG754" s="102" t="n"/>
      <c r="AH754" s="102" t="n"/>
      <c r="AI754" s="102" t="n"/>
      <c r="AJ754" s="102" t="n"/>
      <c r="AK754" s="102" t="n"/>
      <c r="AL754" s="102" t="n"/>
      <c r="AM754" s="102" t="n"/>
      <c r="AN754" s="102" t="n"/>
      <c r="AO754" s="102" t="n"/>
      <c r="AP754" s="102" t="n"/>
      <c r="AQ754" s="102" t="n"/>
      <c r="AR754" s="102" t="n"/>
    </row>
    <row r="755">
      <c r="D755" s="102" t="n"/>
      <c r="E755" s="102" t="n"/>
      <c r="F755" s="102" t="n"/>
      <c r="G755" s="102" t="n"/>
      <c r="H755" s="102" t="n"/>
      <c r="I755" s="102" t="n"/>
      <c r="J755" s="102" t="n"/>
      <c r="K755" s="102" t="n"/>
      <c r="L755" s="102" t="n"/>
      <c r="M755" s="102" t="n"/>
      <c r="N755" s="102" t="n"/>
      <c r="O755" s="102" t="n"/>
      <c r="P755" s="102" t="n"/>
      <c r="Q755" s="102" t="n"/>
      <c r="R755" s="102" t="n"/>
      <c r="S755" s="102" t="n"/>
      <c r="T755" s="102" t="n"/>
      <c r="U755" s="102" t="n"/>
      <c r="V755" s="102" t="n"/>
      <c r="W755" s="102" t="n"/>
      <c r="X755" s="102" t="n"/>
      <c r="Y755" s="102" t="n"/>
      <c r="Z755" s="102" t="n"/>
      <c r="AA755" s="102" t="n"/>
      <c r="AB755" s="102" t="n"/>
      <c r="AC755" s="102" t="n"/>
      <c r="AD755" s="102" t="n"/>
      <c r="AE755" s="102" t="n"/>
      <c r="AF755" s="102" t="n"/>
      <c r="AG755" s="102" t="n"/>
      <c r="AH755" s="102" t="n"/>
      <c r="AI755" s="102" t="n"/>
      <c r="AJ755" s="102" t="n"/>
      <c r="AK755" s="102" t="n"/>
      <c r="AL755" s="102" t="n"/>
      <c r="AM755" s="102" t="n"/>
      <c r="AN755" s="102" t="n"/>
      <c r="AO755" s="102" t="n"/>
      <c r="AP755" s="102" t="n"/>
      <c r="AQ755" s="102" t="n"/>
      <c r="AR755" s="102" t="n"/>
    </row>
    <row r="756">
      <c r="D756" s="160" t="n"/>
      <c r="E756" s="160" t="n"/>
      <c r="F756" s="160" t="n"/>
      <c r="G756" s="160" t="n"/>
      <c r="H756" s="160" t="n"/>
      <c r="I756" s="160" t="n"/>
      <c r="J756" s="160" t="n"/>
      <c r="K756" s="160" t="n"/>
      <c r="L756" s="160" t="n"/>
      <c r="M756" s="160" t="n"/>
      <c r="N756" s="160" t="n"/>
      <c r="O756" s="160" t="n"/>
      <c r="P756" s="160" t="n"/>
      <c r="Q756" s="160" t="n"/>
      <c r="R756" s="160" t="n"/>
      <c r="S756" s="160" t="n"/>
      <c r="T756" s="160" t="n"/>
      <c r="U756" s="160" t="n"/>
      <c r="V756" s="160" t="n"/>
      <c r="W756" s="160" t="n"/>
      <c r="X756" s="160" t="n"/>
      <c r="Y756" s="160" t="n"/>
      <c r="Z756" s="160" t="n"/>
      <c r="AA756" s="160" t="n"/>
      <c r="AB756" s="160" t="n"/>
      <c r="AC756" s="160" t="n"/>
      <c r="AD756" s="160" t="n"/>
      <c r="AE756" s="160" t="n"/>
      <c r="AF756" s="160" t="n"/>
      <c r="AG756" s="160" t="n"/>
      <c r="AH756" s="160" t="n"/>
      <c r="AI756" s="160" t="n"/>
      <c r="AJ756" s="160" t="n"/>
      <c r="AK756" s="160" t="n"/>
      <c r="AL756" s="160" t="n"/>
      <c r="AM756" s="160" t="n"/>
      <c r="AN756" s="160" t="n"/>
      <c r="AO756" s="160" t="n"/>
      <c r="AP756" s="160" t="n"/>
      <c r="AQ756" s="160" t="n"/>
      <c r="AR756" s="160" t="n"/>
    </row>
    <row r="758">
      <c r="A758" s="8">
        <f>IF(HSI!$C$75="","",HSI!$C$75)</f>
        <v/>
      </c>
      <c r="B758" s="158">
        <f>IF($A758="",0,COUNT($E759:$AR759))</f>
        <v/>
      </c>
      <c r="C758" s="159">
        <f>IF($B758=0,0,MAX($E759:$AR759))</f>
        <v/>
      </c>
      <c r="D758" s="101">
        <f>BDS($A758,FLD_HIST,"headers=y","startcol=1","endcol=7","dir=h","DVD_START_DT",HIST_FROM,"DVD_END_DT",HIST_TO)</f>
        <v/>
      </c>
      <c r="E758" s="102" t="n"/>
      <c r="F758" s="102" t="n"/>
      <c r="G758" s="102" t="n"/>
      <c r="H758" s="102" t="n"/>
      <c r="I758" s="102" t="n"/>
      <c r="J758" s="102" t="n"/>
      <c r="K758" s="102" t="n"/>
      <c r="L758" s="102" t="n"/>
      <c r="M758" s="102" t="n"/>
      <c r="N758" s="102" t="n"/>
      <c r="O758" s="102" t="n"/>
      <c r="P758" s="102" t="n"/>
      <c r="Q758" s="102" t="n"/>
      <c r="R758" s="102" t="n"/>
      <c r="S758" s="102" t="n"/>
      <c r="T758" s="102" t="n"/>
      <c r="U758" s="102" t="n"/>
      <c r="V758" s="102" t="n"/>
      <c r="W758" s="102" t="n"/>
      <c r="X758" s="102" t="n"/>
      <c r="Y758" s="102" t="n"/>
      <c r="Z758" s="102" t="n"/>
      <c r="AA758" s="102" t="n"/>
      <c r="AB758" s="102" t="n"/>
      <c r="AC758" s="102" t="n"/>
      <c r="AD758" s="102" t="n"/>
      <c r="AE758" s="102" t="n"/>
      <c r="AF758" s="102" t="n"/>
      <c r="AG758" s="102" t="n"/>
      <c r="AH758" s="102" t="n"/>
      <c r="AI758" s="102" t="n"/>
      <c r="AJ758" s="102" t="n"/>
      <c r="AK758" s="102" t="n"/>
      <c r="AL758" s="102" t="n"/>
      <c r="AM758" s="102" t="n"/>
      <c r="AN758" s="102" t="n"/>
      <c r="AO758" s="102" t="n"/>
      <c r="AP758" s="102" t="n"/>
      <c r="AQ758" s="102" t="n"/>
      <c r="AR758" s="102" t="n"/>
    </row>
    <row r="759">
      <c r="D759" s="102" t="n"/>
      <c r="E759" s="102" t="n"/>
      <c r="F759" s="102" t="n"/>
      <c r="G759" s="102" t="n"/>
      <c r="H759" s="102" t="n"/>
      <c r="I759" s="102" t="n"/>
      <c r="J759" s="102" t="n"/>
      <c r="K759" s="102" t="n"/>
      <c r="L759" s="102" t="n"/>
      <c r="M759" s="102" t="n"/>
      <c r="N759" s="102" t="n"/>
      <c r="O759" s="102" t="n"/>
      <c r="P759" s="102" t="n"/>
      <c r="Q759" s="102" t="n"/>
      <c r="R759" s="102" t="n"/>
      <c r="S759" s="102" t="n"/>
      <c r="T759" s="102" t="n"/>
      <c r="U759" s="102" t="n"/>
      <c r="V759" s="102" t="n"/>
      <c r="W759" s="102" t="n"/>
      <c r="X759" s="102" t="n"/>
      <c r="Y759" s="102" t="n"/>
      <c r="Z759" s="102" t="n"/>
      <c r="AA759" s="102" t="n"/>
      <c r="AB759" s="102" t="n"/>
      <c r="AC759" s="102" t="n"/>
      <c r="AD759" s="102" t="n"/>
      <c r="AE759" s="102" t="n"/>
      <c r="AF759" s="102" t="n"/>
      <c r="AG759" s="102" t="n"/>
      <c r="AH759" s="102" t="n"/>
      <c r="AI759" s="102" t="n"/>
      <c r="AJ759" s="102" t="n"/>
      <c r="AK759" s="102" t="n"/>
      <c r="AL759" s="102" t="n"/>
      <c r="AM759" s="102" t="n"/>
      <c r="AN759" s="102" t="n"/>
      <c r="AO759" s="102" t="n"/>
      <c r="AP759" s="102" t="n"/>
      <c r="AQ759" s="102" t="n"/>
      <c r="AR759" s="102" t="n"/>
    </row>
    <row r="760">
      <c r="D760" s="102" t="n"/>
      <c r="E760" s="102" t="n"/>
      <c r="F760" s="102" t="n"/>
      <c r="G760" s="102" t="n"/>
      <c r="H760" s="102" t="n"/>
      <c r="I760" s="102" t="n"/>
      <c r="J760" s="102" t="n"/>
      <c r="K760" s="102" t="n"/>
      <c r="L760" s="102" t="n"/>
      <c r="M760" s="102" t="n"/>
      <c r="N760" s="102" t="n"/>
      <c r="O760" s="102" t="n"/>
      <c r="P760" s="102" t="n"/>
      <c r="Q760" s="102" t="n"/>
      <c r="R760" s="102" t="n"/>
      <c r="S760" s="102" t="n"/>
      <c r="T760" s="102" t="n"/>
      <c r="U760" s="102" t="n"/>
      <c r="V760" s="102" t="n"/>
      <c r="W760" s="102" t="n"/>
      <c r="X760" s="102" t="n"/>
      <c r="Y760" s="102" t="n"/>
      <c r="Z760" s="102" t="n"/>
      <c r="AA760" s="102" t="n"/>
      <c r="AB760" s="102" t="n"/>
      <c r="AC760" s="102" t="n"/>
      <c r="AD760" s="102" t="n"/>
      <c r="AE760" s="102" t="n"/>
      <c r="AF760" s="102" t="n"/>
      <c r="AG760" s="102" t="n"/>
      <c r="AH760" s="102" t="n"/>
      <c r="AI760" s="102" t="n"/>
      <c r="AJ760" s="102" t="n"/>
      <c r="AK760" s="102" t="n"/>
      <c r="AL760" s="102" t="n"/>
      <c r="AM760" s="102" t="n"/>
      <c r="AN760" s="102" t="n"/>
      <c r="AO760" s="102" t="n"/>
      <c r="AP760" s="102" t="n"/>
      <c r="AQ760" s="102" t="n"/>
      <c r="AR760" s="102" t="n"/>
    </row>
    <row r="761">
      <c r="D761" s="102" t="n"/>
      <c r="E761" s="102" t="n"/>
      <c r="F761" s="102" t="n"/>
      <c r="G761" s="102" t="n"/>
      <c r="H761" s="102" t="n"/>
      <c r="I761" s="102" t="n"/>
      <c r="J761" s="102" t="n"/>
      <c r="K761" s="102" t="n"/>
      <c r="L761" s="102" t="n"/>
      <c r="M761" s="102" t="n"/>
      <c r="N761" s="102" t="n"/>
      <c r="O761" s="102" t="n"/>
      <c r="P761" s="102" t="n"/>
      <c r="Q761" s="102" t="n"/>
      <c r="R761" s="102" t="n"/>
      <c r="S761" s="102" t="n"/>
      <c r="T761" s="102" t="n"/>
      <c r="U761" s="102" t="n"/>
      <c r="V761" s="102" t="n"/>
      <c r="W761" s="102" t="n"/>
      <c r="X761" s="102" t="n"/>
      <c r="Y761" s="102" t="n"/>
      <c r="Z761" s="102" t="n"/>
      <c r="AA761" s="102" t="n"/>
      <c r="AB761" s="102" t="n"/>
      <c r="AC761" s="102" t="n"/>
      <c r="AD761" s="102" t="n"/>
      <c r="AE761" s="102" t="n"/>
      <c r="AF761" s="102" t="n"/>
      <c r="AG761" s="102" t="n"/>
      <c r="AH761" s="102" t="n"/>
      <c r="AI761" s="102" t="n"/>
      <c r="AJ761" s="102" t="n"/>
      <c r="AK761" s="102" t="n"/>
      <c r="AL761" s="102" t="n"/>
      <c r="AM761" s="102" t="n"/>
      <c r="AN761" s="102" t="n"/>
      <c r="AO761" s="102" t="n"/>
      <c r="AP761" s="102" t="n"/>
      <c r="AQ761" s="102" t="n"/>
      <c r="AR761" s="102" t="n"/>
    </row>
    <row r="762">
      <c r="D762" s="160" t="n"/>
      <c r="E762" s="160" t="n"/>
      <c r="F762" s="160" t="n"/>
      <c r="G762" s="160" t="n"/>
      <c r="H762" s="160" t="n"/>
      <c r="I762" s="160" t="n"/>
      <c r="J762" s="160" t="n"/>
      <c r="K762" s="160" t="n"/>
      <c r="L762" s="160" t="n"/>
      <c r="M762" s="160" t="n"/>
      <c r="N762" s="160" t="n"/>
      <c r="O762" s="160" t="n"/>
      <c r="P762" s="160" t="n"/>
      <c r="Q762" s="160" t="n"/>
      <c r="R762" s="160" t="n"/>
      <c r="S762" s="160" t="n"/>
      <c r="T762" s="160" t="n"/>
      <c r="U762" s="160" t="n"/>
      <c r="V762" s="160" t="n"/>
      <c r="W762" s="160" t="n"/>
      <c r="X762" s="160" t="n"/>
      <c r="Y762" s="160" t="n"/>
      <c r="Z762" s="160" t="n"/>
      <c r="AA762" s="160" t="n"/>
      <c r="AB762" s="160" t="n"/>
      <c r="AC762" s="160" t="n"/>
      <c r="AD762" s="160" t="n"/>
      <c r="AE762" s="160" t="n"/>
      <c r="AF762" s="160" t="n"/>
      <c r="AG762" s="160" t="n"/>
      <c r="AH762" s="160" t="n"/>
      <c r="AI762" s="160" t="n"/>
      <c r="AJ762" s="160" t="n"/>
      <c r="AK762" s="160" t="n"/>
      <c r="AL762" s="160" t="n"/>
      <c r="AM762" s="160" t="n"/>
      <c r="AN762" s="160" t="n"/>
      <c r="AO762" s="160" t="n"/>
      <c r="AP762" s="160" t="n"/>
      <c r="AQ762" s="160" t="n"/>
      <c r="AR762" s="160" t="n"/>
    </row>
    <row r="765">
      <c r="A765" s="2">
        <f>IF($A758="","","   projections")</f>
        <v/>
      </c>
      <c r="B765" s="158">
        <f>IF($A758="",0,COUNT($E766:$AR766))</f>
        <v/>
      </c>
      <c r="C765" s="159">
        <f>IF($B765=0,0,MAX($E766:$AR766))</f>
        <v/>
      </c>
      <c r="D765" s="101">
        <f>BDS($A758,FLD_PROJ,"headers=y","startcol=1","endcol=3","dir=h")</f>
        <v/>
      </c>
      <c r="E765" s="102" t="n"/>
      <c r="F765" s="102" t="n"/>
      <c r="G765" s="102" t="n"/>
      <c r="H765" s="102" t="n"/>
      <c r="I765" s="102" t="n"/>
      <c r="J765" s="102" t="n"/>
      <c r="K765" s="102" t="n"/>
      <c r="L765" s="102" t="n"/>
      <c r="M765" s="102" t="n"/>
      <c r="N765" s="102" t="n"/>
      <c r="O765" s="102" t="n"/>
      <c r="P765" s="102" t="n"/>
      <c r="Q765" s="102" t="n"/>
      <c r="R765" s="102" t="n"/>
      <c r="S765" s="102" t="n"/>
      <c r="T765" s="102" t="n"/>
      <c r="U765" s="102" t="n"/>
      <c r="V765" s="102" t="n"/>
      <c r="W765" s="102" t="n"/>
      <c r="X765" s="102" t="n"/>
      <c r="Y765" s="102" t="n"/>
      <c r="Z765" s="102" t="n"/>
      <c r="AA765" s="102" t="n"/>
      <c r="AB765" s="102" t="n"/>
      <c r="AC765" s="102" t="n"/>
      <c r="AD765" s="102" t="n"/>
      <c r="AE765" s="102" t="n"/>
      <c r="AF765" s="102" t="n"/>
      <c r="AG765" s="102" t="n"/>
      <c r="AH765" s="102" t="n"/>
      <c r="AI765" s="102" t="n"/>
      <c r="AJ765" s="102" t="n"/>
      <c r="AK765" s="102" t="n"/>
      <c r="AL765" s="102" t="n"/>
      <c r="AM765" s="102" t="n"/>
      <c r="AN765" s="102" t="n"/>
      <c r="AO765" s="102" t="n"/>
      <c r="AP765" s="102" t="n"/>
      <c r="AQ765" s="102" t="n"/>
      <c r="AR765" s="102" t="n"/>
    </row>
    <row r="766">
      <c r="D766" s="102" t="n"/>
      <c r="E766" s="102" t="n"/>
      <c r="F766" s="102" t="n"/>
      <c r="G766" s="102" t="n"/>
      <c r="H766" s="102" t="n"/>
      <c r="I766" s="102" t="n"/>
      <c r="J766" s="102" t="n"/>
      <c r="K766" s="102" t="n"/>
      <c r="L766" s="102" t="n"/>
      <c r="M766" s="102" t="n"/>
      <c r="N766" s="102" t="n"/>
      <c r="O766" s="102" t="n"/>
      <c r="P766" s="102" t="n"/>
      <c r="Q766" s="102" t="n"/>
      <c r="R766" s="102" t="n"/>
      <c r="S766" s="102" t="n"/>
      <c r="T766" s="102" t="n"/>
      <c r="U766" s="102" t="n"/>
      <c r="V766" s="102" t="n"/>
      <c r="W766" s="102" t="n"/>
      <c r="X766" s="102" t="n"/>
      <c r="Y766" s="102" t="n"/>
      <c r="Z766" s="102" t="n"/>
      <c r="AA766" s="102" t="n"/>
      <c r="AB766" s="102" t="n"/>
      <c r="AC766" s="102" t="n"/>
      <c r="AD766" s="102" t="n"/>
      <c r="AE766" s="102" t="n"/>
      <c r="AF766" s="102" t="n"/>
      <c r="AG766" s="102" t="n"/>
      <c r="AH766" s="102" t="n"/>
      <c r="AI766" s="102" t="n"/>
      <c r="AJ766" s="102" t="n"/>
      <c r="AK766" s="102" t="n"/>
      <c r="AL766" s="102" t="n"/>
      <c r="AM766" s="102" t="n"/>
      <c r="AN766" s="102" t="n"/>
      <c r="AO766" s="102" t="n"/>
      <c r="AP766" s="102" t="n"/>
      <c r="AQ766" s="102" t="n"/>
      <c r="AR766" s="102" t="n"/>
    </row>
    <row r="767">
      <c r="D767" s="160" t="n"/>
      <c r="E767" s="160" t="n"/>
      <c r="F767" s="160" t="n"/>
      <c r="G767" s="160" t="n"/>
      <c r="H767" s="160" t="n"/>
      <c r="I767" s="160" t="n"/>
      <c r="J767" s="160" t="n"/>
      <c r="K767" s="160" t="n"/>
      <c r="L767" s="160" t="n"/>
      <c r="M767" s="160" t="n"/>
      <c r="N767" s="160" t="n"/>
      <c r="O767" s="160" t="n"/>
      <c r="P767" s="160" t="n"/>
      <c r="Q767" s="160" t="n"/>
      <c r="R767" s="160" t="n"/>
      <c r="S767" s="160" t="n"/>
      <c r="T767" s="160" t="n"/>
      <c r="U767" s="160" t="n"/>
      <c r="V767" s="160" t="n"/>
      <c r="W767" s="160" t="n"/>
      <c r="X767" s="160" t="n"/>
      <c r="Y767" s="160" t="n"/>
      <c r="Z767" s="160" t="n"/>
      <c r="AA767" s="160" t="n"/>
      <c r="AB767" s="160" t="n"/>
      <c r="AC767" s="160" t="n"/>
      <c r="AD767" s="160" t="n"/>
      <c r="AE767" s="160" t="n"/>
      <c r="AF767" s="160" t="n"/>
      <c r="AG767" s="160" t="n"/>
      <c r="AH767" s="160" t="n"/>
      <c r="AI767" s="160" t="n"/>
      <c r="AJ767" s="160" t="n"/>
      <c r="AK767" s="160" t="n"/>
      <c r="AL767" s="160" t="n"/>
      <c r="AM767" s="160" t="n"/>
      <c r="AN767" s="160" t="n"/>
      <c r="AO767" s="160" t="n"/>
      <c r="AP767" s="160" t="n"/>
      <c r="AQ767" s="160" t="n"/>
      <c r="AR767" s="160" t="n"/>
    </row>
    <row r="769">
      <c r="A769" s="8">
        <f>IF(HSI!$C$76="","",HSI!$C$76)</f>
        <v/>
      </c>
      <c r="B769" s="158">
        <f>IF($A769="",0,COUNT($E770:$AR770))</f>
        <v/>
      </c>
      <c r="C769" s="159">
        <f>IF($B769=0,0,MAX($E770:$AR770))</f>
        <v/>
      </c>
      <c r="D769" s="101">
        <f>BDS($A769,FLD_HIST,"headers=y","startcol=1","endcol=7","dir=h","DVD_START_DT",HIST_FROM,"DVD_END_DT",HIST_TO)</f>
        <v/>
      </c>
      <c r="E769" s="102" t="n"/>
      <c r="F769" s="102" t="n"/>
      <c r="G769" s="102" t="n"/>
      <c r="H769" s="102" t="n"/>
      <c r="I769" s="102" t="n"/>
      <c r="J769" s="102" t="n"/>
      <c r="K769" s="102" t="n"/>
      <c r="L769" s="102" t="n"/>
      <c r="M769" s="102" t="n"/>
      <c r="N769" s="102" t="n"/>
      <c r="O769" s="102" t="n"/>
      <c r="P769" s="102" t="n"/>
      <c r="Q769" s="102" t="n"/>
      <c r="R769" s="102" t="n"/>
      <c r="S769" s="102" t="n"/>
      <c r="T769" s="102" t="n"/>
      <c r="U769" s="102" t="n"/>
      <c r="V769" s="102" t="n"/>
      <c r="W769" s="102" t="n"/>
      <c r="X769" s="102" t="n"/>
      <c r="Y769" s="102" t="n"/>
      <c r="Z769" s="102" t="n"/>
      <c r="AA769" s="102" t="n"/>
      <c r="AB769" s="102" t="n"/>
      <c r="AC769" s="102" t="n"/>
      <c r="AD769" s="102" t="n"/>
      <c r="AE769" s="102" t="n"/>
      <c r="AF769" s="102" t="n"/>
      <c r="AG769" s="102" t="n"/>
      <c r="AH769" s="102" t="n"/>
      <c r="AI769" s="102" t="n"/>
      <c r="AJ769" s="102" t="n"/>
      <c r="AK769" s="102" t="n"/>
      <c r="AL769" s="102" t="n"/>
      <c r="AM769" s="102" t="n"/>
      <c r="AN769" s="102" t="n"/>
      <c r="AO769" s="102" t="n"/>
      <c r="AP769" s="102" t="n"/>
      <c r="AQ769" s="102" t="n"/>
      <c r="AR769" s="102" t="n"/>
    </row>
    <row r="770">
      <c r="D770" s="102" t="n"/>
      <c r="E770" s="102" t="n"/>
      <c r="F770" s="102" t="n"/>
      <c r="G770" s="102" t="n"/>
      <c r="H770" s="102" t="n"/>
      <c r="I770" s="102" t="n"/>
      <c r="J770" s="102" t="n"/>
      <c r="K770" s="102" t="n"/>
      <c r="L770" s="102" t="n"/>
      <c r="M770" s="102" t="n"/>
      <c r="N770" s="102" t="n"/>
      <c r="O770" s="102" t="n"/>
      <c r="P770" s="102" t="n"/>
      <c r="Q770" s="102" t="n"/>
      <c r="R770" s="102" t="n"/>
      <c r="S770" s="102" t="n"/>
      <c r="T770" s="102" t="n"/>
      <c r="U770" s="102" t="n"/>
      <c r="V770" s="102" t="n"/>
      <c r="W770" s="102" t="n"/>
      <c r="X770" s="102" t="n"/>
      <c r="Y770" s="102" t="n"/>
      <c r="Z770" s="102" t="n"/>
      <c r="AA770" s="102" t="n"/>
      <c r="AB770" s="102" t="n"/>
      <c r="AC770" s="102" t="n"/>
      <c r="AD770" s="102" t="n"/>
      <c r="AE770" s="102" t="n"/>
      <c r="AF770" s="102" t="n"/>
      <c r="AG770" s="102" t="n"/>
      <c r="AH770" s="102" t="n"/>
      <c r="AI770" s="102" t="n"/>
      <c r="AJ770" s="102" t="n"/>
      <c r="AK770" s="102" t="n"/>
      <c r="AL770" s="102" t="n"/>
      <c r="AM770" s="102" t="n"/>
      <c r="AN770" s="102" t="n"/>
      <c r="AO770" s="102" t="n"/>
      <c r="AP770" s="102" t="n"/>
      <c r="AQ770" s="102" t="n"/>
      <c r="AR770" s="102" t="n"/>
    </row>
    <row r="771">
      <c r="D771" s="102" t="n"/>
      <c r="E771" s="102" t="n"/>
      <c r="F771" s="102" t="n"/>
      <c r="G771" s="102" t="n"/>
      <c r="H771" s="102" t="n"/>
      <c r="I771" s="102" t="n"/>
      <c r="J771" s="102" t="n"/>
      <c r="K771" s="102" t="n"/>
      <c r="L771" s="102" t="n"/>
      <c r="M771" s="102" t="n"/>
      <c r="N771" s="102" t="n"/>
      <c r="O771" s="102" t="n"/>
      <c r="P771" s="102" t="n"/>
      <c r="Q771" s="102" t="n"/>
      <c r="R771" s="102" t="n"/>
      <c r="S771" s="102" t="n"/>
      <c r="T771" s="102" t="n"/>
      <c r="U771" s="102" t="n"/>
      <c r="V771" s="102" t="n"/>
      <c r="W771" s="102" t="n"/>
      <c r="X771" s="102" t="n"/>
      <c r="Y771" s="102" t="n"/>
      <c r="Z771" s="102" t="n"/>
      <c r="AA771" s="102" t="n"/>
      <c r="AB771" s="102" t="n"/>
      <c r="AC771" s="102" t="n"/>
      <c r="AD771" s="102" t="n"/>
      <c r="AE771" s="102" t="n"/>
      <c r="AF771" s="102" t="n"/>
      <c r="AG771" s="102" t="n"/>
      <c r="AH771" s="102" t="n"/>
      <c r="AI771" s="102" t="n"/>
      <c r="AJ771" s="102" t="n"/>
      <c r="AK771" s="102" t="n"/>
      <c r="AL771" s="102" t="n"/>
      <c r="AM771" s="102" t="n"/>
      <c r="AN771" s="102" t="n"/>
      <c r="AO771" s="102" t="n"/>
      <c r="AP771" s="102" t="n"/>
      <c r="AQ771" s="102" t="n"/>
      <c r="AR771" s="102" t="n"/>
    </row>
    <row r="772">
      <c r="D772" s="102" t="n"/>
      <c r="E772" s="102" t="n"/>
      <c r="F772" s="102" t="n"/>
      <c r="G772" s="102" t="n"/>
      <c r="H772" s="102" t="n"/>
      <c r="I772" s="102" t="n"/>
      <c r="J772" s="102" t="n"/>
      <c r="K772" s="102" t="n"/>
      <c r="L772" s="102" t="n"/>
      <c r="M772" s="102" t="n"/>
      <c r="N772" s="102" t="n"/>
      <c r="O772" s="102" t="n"/>
      <c r="P772" s="102" t="n"/>
      <c r="Q772" s="102" t="n"/>
      <c r="R772" s="102" t="n"/>
      <c r="S772" s="102" t="n"/>
      <c r="T772" s="102" t="n"/>
      <c r="U772" s="102" t="n"/>
      <c r="V772" s="102" t="n"/>
      <c r="W772" s="102" t="n"/>
      <c r="X772" s="102" t="n"/>
      <c r="Y772" s="102" t="n"/>
      <c r="Z772" s="102" t="n"/>
      <c r="AA772" s="102" t="n"/>
      <c r="AB772" s="102" t="n"/>
      <c r="AC772" s="102" t="n"/>
      <c r="AD772" s="102" t="n"/>
      <c r="AE772" s="102" t="n"/>
      <c r="AF772" s="102" t="n"/>
      <c r="AG772" s="102" t="n"/>
      <c r="AH772" s="102" t="n"/>
      <c r="AI772" s="102" t="n"/>
      <c r="AJ772" s="102" t="n"/>
      <c r="AK772" s="102" t="n"/>
      <c r="AL772" s="102" t="n"/>
      <c r="AM772" s="102" t="n"/>
      <c r="AN772" s="102" t="n"/>
      <c r="AO772" s="102" t="n"/>
      <c r="AP772" s="102" t="n"/>
      <c r="AQ772" s="102" t="n"/>
      <c r="AR772" s="102" t="n"/>
    </row>
    <row r="773">
      <c r="D773" s="160" t="n"/>
      <c r="E773" s="160" t="n"/>
      <c r="F773" s="160" t="n"/>
      <c r="G773" s="160" t="n"/>
      <c r="H773" s="160" t="n"/>
      <c r="I773" s="160" t="n"/>
      <c r="J773" s="160" t="n"/>
      <c r="K773" s="160" t="n"/>
      <c r="L773" s="160" t="n"/>
      <c r="M773" s="160" t="n"/>
      <c r="N773" s="160" t="n"/>
      <c r="O773" s="160" t="n"/>
      <c r="P773" s="160" t="n"/>
      <c r="Q773" s="160" t="n"/>
      <c r="R773" s="160" t="n"/>
      <c r="S773" s="160" t="n"/>
      <c r="T773" s="160" t="n"/>
      <c r="U773" s="160" t="n"/>
      <c r="V773" s="160" t="n"/>
      <c r="W773" s="160" t="n"/>
      <c r="X773" s="160" t="n"/>
      <c r="Y773" s="160" t="n"/>
      <c r="Z773" s="160" t="n"/>
      <c r="AA773" s="160" t="n"/>
      <c r="AB773" s="160" t="n"/>
      <c r="AC773" s="160" t="n"/>
      <c r="AD773" s="160" t="n"/>
      <c r="AE773" s="160" t="n"/>
      <c r="AF773" s="160" t="n"/>
      <c r="AG773" s="160" t="n"/>
      <c r="AH773" s="160" t="n"/>
      <c r="AI773" s="160" t="n"/>
      <c r="AJ773" s="160" t="n"/>
      <c r="AK773" s="160" t="n"/>
      <c r="AL773" s="160" t="n"/>
      <c r="AM773" s="160" t="n"/>
      <c r="AN773" s="160" t="n"/>
      <c r="AO773" s="160" t="n"/>
      <c r="AP773" s="160" t="n"/>
      <c r="AQ773" s="160" t="n"/>
      <c r="AR773" s="160" t="n"/>
    </row>
    <row r="776">
      <c r="A776" s="2">
        <f>IF($A769="","","   projections")</f>
        <v/>
      </c>
      <c r="B776" s="158">
        <f>IF($A769="",0,COUNT($E777:$AR777))</f>
        <v/>
      </c>
      <c r="C776" s="159">
        <f>IF($B776=0,0,MAX($E777:$AR777))</f>
        <v/>
      </c>
      <c r="D776" s="101">
        <f>BDS($A769,FLD_PROJ,"headers=y","startcol=1","endcol=3","dir=h")</f>
        <v/>
      </c>
      <c r="E776" s="102" t="n"/>
      <c r="F776" s="102" t="n"/>
      <c r="G776" s="102" t="n"/>
      <c r="H776" s="102" t="n"/>
      <c r="I776" s="102" t="n"/>
      <c r="J776" s="102" t="n"/>
      <c r="K776" s="102" t="n"/>
      <c r="L776" s="102" t="n"/>
      <c r="M776" s="102" t="n"/>
      <c r="N776" s="102" t="n"/>
      <c r="O776" s="102" t="n"/>
      <c r="P776" s="102" t="n"/>
      <c r="Q776" s="102" t="n"/>
      <c r="R776" s="102" t="n"/>
      <c r="S776" s="102" t="n"/>
      <c r="T776" s="102" t="n"/>
      <c r="U776" s="102" t="n"/>
      <c r="V776" s="102" t="n"/>
      <c r="W776" s="102" t="n"/>
      <c r="X776" s="102" t="n"/>
      <c r="Y776" s="102" t="n"/>
      <c r="Z776" s="102" t="n"/>
      <c r="AA776" s="102" t="n"/>
      <c r="AB776" s="102" t="n"/>
      <c r="AC776" s="102" t="n"/>
      <c r="AD776" s="102" t="n"/>
      <c r="AE776" s="102" t="n"/>
      <c r="AF776" s="102" t="n"/>
      <c r="AG776" s="102" t="n"/>
      <c r="AH776" s="102" t="n"/>
      <c r="AI776" s="102" t="n"/>
      <c r="AJ776" s="102" t="n"/>
      <c r="AK776" s="102" t="n"/>
      <c r="AL776" s="102" t="n"/>
      <c r="AM776" s="102" t="n"/>
      <c r="AN776" s="102" t="n"/>
      <c r="AO776" s="102" t="n"/>
      <c r="AP776" s="102" t="n"/>
      <c r="AQ776" s="102" t="n"/>
      <c r="AR776" s="102" t="n"/>
    </row>
    <row r="777">
      <c r="D777" s="102" t="n"/>
      <c r="E777" s="102" t="n"/>
      <c r="F777" s="102" t="n"/>
      <c r="G777" s="102" t="n"/>
      <c r="H777" s="102" t="n"/>
      <c r="I777" s="102" t="n"/>
      <c r="J777" s="102" t="n"/>
      <c r="K777" s="102" t="n"/>
      <c r="L777" s="102" t="n"/>
      <c r="M777" s="102" t="n"/>
      <c r="N777" s="102" t="n"/>
      <c r="O777" s="102" t="n"/>
      <c r="P777" s="102" t="n"/>
      <c r="Q777" s="102" t="n"/>
      <c r="R777" s="102" t="n"/>
      <c r="S777" s="102" t="n"/>
      <c r="T777" s="102" t="n"/>
      <c r="U777" s="102" t="n"/>
      <c r="V777" s="102" t="n"/>
      <c r="W777" s="102" t="n"/>
      <c r="X777" s="102" t="n"/>
      <c r="Y777" s="102" t="n"/>
      <c r="Z777" s="102" t="n"/>
      <c r="AA777" s="102" t="n"/>
      <c r="AB777" s="102" t="n"/>
      <c r="AC777" s="102" t="n"/>
      <c r="AD777" s="102" t="n"/>
      <c r="AE777" s="102" t="n"/>
      <c r="AF777" s="102" t="n"/>
      <c r="AG777" s="102" t="n"/>
      <c r="AH777" s="102" t="n"/>
      <c r="AI777" s="102" t="n"/>
      <c r="AJ777" s="102" t="n"/>
      <c r="AK777" s="102" t="n"/>
      <c r="AL777" s="102" t="n"/>
      <c r="AM777" s="102" t="n"/>
      <c r="AN777" s="102" t="n"/>
      <c r="AO777" s="102" t="n"/>
      <c r="AP777" s="102" t="n"/>
      <c r="AQ777" s="102" t="n"/>
      <c r="AR777" s="102" t="n"/>
    </row>
    <row r="778">
      <c r="D778" s="160" t="n"/>
      <c r="E778" s="160" t="n"/>
      <c r="F778" s="160" t="n"/>
      <c r="G778" s="160" t="n"/>
      <c r="H778" s="160" t="n"/>
      <c r="I778" s="160" t="n"/>
      <c r="J778" s="160" t="n"/>
      <c r="K778" s="160" t="n"/>
      <c r="L778" s="160" t="n"/>
      <c r="M778" s="160" t="n"/>
      <c r="N778" s="160" t="n"/>
      <c r="O778" s="160" t="n"/>
      <c r="P778" s="160" t="n"/>
      <c r="Q778" s="160" t="n"/>
      <c r="R778" s="160" t="n"/>
      <c r="S778" s="160" t="n"/>
      <c r="T778" s="160" t="n"/>
      <c r="U778" s="160" t="n"/>
      <c r="V778" s="160" t="n"/>
      <c r="W778" s="160" t="n"/>
      <c r="X778" s="160" t="n"/>
      <c r="Y778" s="160" t="n"/>
      <c r="Z778" s="160" t="n"/>
      <c r="AA778" s="160" t="n"/>
      <c r="AB778" s="160" t="n"/>
      <c r="AC778" s="160" t="n"/>
      <c r="AD778" s="160" t="n"/>
      <c r="AE778" s="160" t="n"/>
      <c r="AF778" s="160" t="n"/>
      <c r="AG778" s="160" t="n"/>
      <c r="AH778" s="160" t="n"/>
      <c r="AI778" s="160" t="n"/>
      <c r="AJ778" s="160" t="n"/>
      <c r="AK778" s="160" t="n"/>
      <c r="AL778" s="160" t="n"/>
      <c r="AM778" s="160" t="n"/>
      <c r="AN778" s="160" t="n"/>
      <c r="AO778" s="160" t="n"/>
      <c r="AP778" s="160" t="n"/>
      <c r="AQ778" s="160" t="n"/>
      <c r="AR778" s="160" t="n"/>
    </row>
    <row r="780">
      <c r="A780" s="8">
        <f>IF(HSI!$C$77="","",HSI!$C$77)</f>
        <v/>
      </c>
      <c r="B780" s="158">
        <f>IF($A780="",0,COUNT($E781:$AR781))</f>
        <v/>
      </c>
      <c r="C780" s="159">
        <f>IF($B780=0,0,MAX($E781:$AR781))</f>
        <v/>
      </c>
      <c r="D780" s="101">
        <f>BDS($A780,FLD_HIST,"headers=y","startcol=1","endcol=7","dir=h","DVD_START_DT",HIST_FROM,"DVD_END_DT",HIST_TO)</f>
        <v/>
      </c>
      <c r="E780" s="102" t="n"/>
      <c r="F780" s="102" t="n"/>
      <c r="G780" s="102" t="n"/>
      <c r="H780" s="102" t="n"/>
      <c r="I780" s="102" t="n"/>
      <c r="J780" s="102" t="n"/>
      <c r="K780" s="102" t="n"/>
      <c r="L780" s="102" t="n"/>
      <c r="M780" s="102" t="n"/>
      <c r="N780" s="102" t="n"/>
      <c r="O780" s="102" t="n"/>
      <c r="P780" s="102" t="n"/>
      <c r="Q780" s="102" t="n"/>
      <c r="R780" s="102" t="n"/>
      <c r="S780" s="102" t="n"/>
      <c r="T780" s="102" t="n"/>
      <c r="U780" s="102" t="n"/>
      <c r="V780" s="102" t="n"/>
      <c r="W780" s="102" t="n"/>
      <c r="X780" s="102" t="n"/>
      <c r="Y780" s="102" t="n"/>
      <c r="Z780" s="102" t="n"/>
      <c r="AA780" s="102" t="n"/>
      <c r="AB780" s="102" t="n"/>
      <c r="AC780" s="102" t="n"/>
      <c r="AD780" s="102" t="n"/>
      <c r="AE780" s="102" t="n"/>
      <c r="AF780" s="102" t="n"/>
      <c r="AG780" s="102" t="n"/>
      <c r="AH780" s="102" t="n"/>
      <c r="AI780" s="102" t="n"/>
      <c r="AJ780" s="102" t="n"/>
      <c r="AK780" s="102" t="n"/>
      <c r="AL780" s="102" t="n"/>
      <c r="AM780" s="102" t="n"/>
      <c r="AN780" s="102" t="n"/>
      <c r="AO780" s="102" t="n"/>
      <c r="AP780" s="102" t="n"/>
      <c r="AQ780" s="102" t="n"/>
      <c r="AR780" s="102" t="n"/>
    </row>
    <row r="781">
      <c r="D781" s="102" t="n"/>
      <c r="E781" s="102" t="n"/>
      <c r="F781" s="102" t="n"/>
      <c r="G781" s="102" t="n"/>
      <c r="H781" s="102" t="n"/>
      <c r="I781" s="102" t="n"/>
      <c r="J781" s="102" t="n"/>
      <c r="K781" s="102" t="n"/>
      <c r="L781" s="102" t="n"/>
      <c r="M781" s="102" t="n"/>
      <c r="N781" s="102" t="n"/>
      <c r="O781" s="102" t="n"/>
      <c r="P781" s="102" t="n"/>
      <c r="Q781" s="102" t="n"/>
      <c r="R781" s="102" t="n"/>
      <c r="S781" s="102" t="n"/>
      <c r="T781" s="102" t="n"/>
      <c r="U781" s="102" t="n"/>
      <c r="V781" s="102" t="n"/>
      <c r="W781" s="102" t="n"/>
      <c r="X781" s="102" t="n"/>
      <c r="Y781" s="102" t="n"/>
      <c r="Z781" s="102" t="n"/>
      <c r="AA781" s="102" t="n"/>
      <c r="AB781" s="102" t="n"/>
      <c r="AC781" s="102" t="n"/>
      <c r="AD781" s="102" t="n"/>
      <c r="AE781" s="102" t="n"/>
      <c r="AF781" s="102" t="n"/>
      <c r="AG781" s="102" t="n"/>
      <c r="AH781" s="102" t="n"/>
      <c r="AI781" s="102" t="n"/>
      <c r="AJ781" s="102" t="n"/>
      <c r="AK781" s="102" t="n"/>
      <c r="AL781" s="102" t="n"/>
      <c r="AM781" s="102" t="n"/>
      <c r="AN781" s="102" t="n"/>
      <c r="AO781" s="102" t="n"/>
      <c r="AP781" s="102" t="n"/>
      <c r="AQ781" s="102" t="n"/>
      <c r="AR781" s="102" t="n"/>
    </row>
    <row r="782">
      <c r="D782" s="102" t="n"/>
      <c r="E782" s="102" t="n"/>
      <c r="F782" s="102" t="n"/>
      <c r="G782" s="102" t="n"/>
      <c r="H782" s="102" t="n"/>
      <c r="I782" s="102" t="n"/>
      <c r="J782" s="102" t="n"/>
      <c r="K782" s="102" t="n"/>
      <c r="L782" s="102" t="n"/>
      <c r="M782" s="102" t="n"/>
      <c r="N782" s="102" t="n"/>
      <c r="O782" s="102" t="n"/>
      <c r="P782" s="102" t="n"/>
      <c r="Q782" s="102" t="n"/>
      <c r="R782" s="102" t="n"/>
      <c r="S782" s="102" t="n"/>
      <c r="T782" s="102" t="n"/>
      <c r="U782" s="102" t="n"/>
      <c r="V782" s="102" t="n"/>
      <c r="W782" s="102" t="n"/>
      <c r="X782" s="102" t="n"/>
      <c r="Y782" s="102" t="n"/>
      <c r="Z782" s="102" t="n"/>
      <c r="AA782" s="102" t="n"/>
      <c r="AB782" s="102" t="n"/>
      <c r="AC782" s="102" t="n"/>
      <c r="AD782" s="102" t="n"/>
      <c r="AE782" s="102" t="n"/>
      <c r="AF782" s="102" t="n"/>
      <c r="AG782" s="102" t="n"/>
      <c r="AH782" s="102" t="n"/>
      <c r="AI782" s="102" t="n"/>
      <c r="AJ782" s="102" t="n"/>
      <c r="AK782" s="102" t="n"/>
      <c r="AL782" s="102" t="n"/>
      <c r="AM782" s="102" t="n"/>
      <c r="AN782" s="102" t="n"/>
      <c r="AO782" s="102" t="n"/>
      <c r="AP782" s="102" t="n"/>
      <c r="AQ782" s="102" t="n"/>
      <c r="AR782" s="102" t="n"/>
    </row>
    <row r="783">
      <c r="D783" s="102" t="n"/>
      <c r="E783" s="102" t="n"/>
      <c r="F783" s="102" t="n"/>
      <c r="G783" s="102" t="n"/>
      <c r="H783" s="102" t="n"/>
      <c r="I783" s="102" t="n"/>
      <c r="J783" s="102" t="n"/>
      <c r="K783" s="102" t="n"/>
      <c r="L783" s="102" t="n"/>
      <c r="M783" s="102" t="n"/>
      <c r="N783" s="102" t="n"/>
      <c r="O783" s="102" t="n"/>
      <c r="P783" s="102" t="n"/>
      <c r="Q783" s="102" t="n"/>
      <c r="R783" s="102" t="n"/>
      <c r="S783" s="102" t="n"/>
      <c r="T783" s="102" t="n"/>
      <c r="U783" s="102" t="n"/>
      <c r="V783" s="102" t="n"/>
      <c r="W783" s="102" t="n"/>
      <c r="X783" s="102" t="n"/>
      <c r="Y783" s="102" t="n"/>
      <c r="Z783" s="102" t="n"/>
      <c r="AA783" s="102" t="n"/>
      <c r="AB783" s="102" t="n"/>
      <c r="AC783" s="102" t="n"/>
      <c r="AD783" s="102" t="n"/>
      <c r="AE783" s="102" t="n"/>
      <c r="AF783" s="102" t="n"/>
      <c r="AG783" s="102" t="n"/>
      <c r="AH783" s="102" t="n"/>
      <c r="AI783" s="102" t="n"/>
      <c r="AJ783" s="102" t="n"/>
      <c r="AK783" s="102" t="n"/>
      <c r="AL783" s="102" t="n"/>
      <c r="AM783" s="102" t="n"/>
      <c r="AN783" s="102" t="n"/>
      <c r="AO783" s="102" t="n"/>
      <c r="AP783" s="102" t="n"/>
      <c r="AQ783" s="102" t="n"/>
      <c r="AR783" s="102" t="n"/>
    </row>
    <row r="784">
      <c r="D784" s="160" t="n"/>
      <c r="E784" s="160" t="n"/>
      <c r="F784" s="160" t="n"/>
      <c r="G784" s="160" t="n"/>
      <c r="H784" s="160" t="n"/>
      <c r="I784" s="160" t="n"/>
      <c r="J784" s="160" t="n"/>
      <c r="K784" s="160" t="n"/>
      <c r="L784" s="160" t="n"/>
      <c r="M784" s="160" t="n"/>
      <c r="N784" s="160" t="n"/>
      <c r="O784" s="160" t="n"/>
      <c r="P784" s="160" t="n"/>
      <c r="Q784" s="160" t="n"/>
      <c r="R784" s="160" t="n"/>
      <c r="S784" s="160" t="n"/>
      <c r="T784" s="160" t="n"/>
      <c r="U784" s="160" t="n"/>
      <c r="V784" s="160" t="n"/>
      <c r="W784" s="160" t="n"/>
      <c r="X784" s="160" t="n"/>
      <c r="Y784" s="160" t="n"/>
      <c r="Z784" s="160" t="n"/>
      <c r="AA784" s="160" t="n"/>
      <c r="AB784" s="160" t="n"/>
      <c r="AC784" s="160" t="n"/>
      <c r="AD784" s="160" t="n"/>
      <c r="AE784" s="160" t="n"/>
      <c r="AF784" s="160" t="n"/>
      <c r="AG784" s="160" t="n"/>
      <c r="AH784" s="160" t="n"/>
      <c r="AI784" s="160" t="n"/>
      <c r="AJ784" s="160" t="n"/>
      <c r="AK784" s="160" t="n"/>
      <c r="AL784" s="160" t="n"/>
      <c r="AM784" s="160" t="n"/>
      <c r="AN784" s="160" t="n"/>
      <c r="AO784" s="160" t="n"/>
      <c r="AP784" s="160" t="n"/>
      <c r="AQ784" s="160" t="n"/>
      <c r="AR784" s="160" t="n"/>
    </row>
    <row r="787">
      <c r="A787" s="2">
        <f>IF($A780="","","   projections")</f>
        <v/>
      </c>
      <c r="B787" s="158">
        <f>IF($A780="",0,COUNT($E788:$AR788))</f>
        <v/>
      </c>
      <c r="C787" s="159">
        <f>IF($B787=0,0,MAX($E788:$AR788))</f>
        <v/>
      </c>
      <c r="D787" s="101">
        <f>BDS($A780,FLD_PROJ,"headers=y","startcol=1","endcol=3","dir=h")</f>
        <v/>
      </c>
      <c r="E787" s="102" t="n"/>
      <c r="F787" s="102" t="n"/>
      <c r="G787" s="102" t="n"/>
      <c r="H787" s="102" t="n"/>
      <c r="I787" s="102" t="n"/>
      <c r="J787" s="102" t="n"/>
      <c r="K787" s="102" t="n"/>
      <c r="L787" s="102" t="n"/>
      <c r="M787" s="102" t="n"/>
      <c r="N787" s="102" t="n"/>
      <c r="O787" s="102" t="n"/>
      <c r="P787" s="102" t="n"/>
      <c r="Q787" s="102" t="n"/>
      <c r="R787" s="102" t="n"/>
      <c r="S787" s="102" t="n"/>
      <c r="T787" s="102" t="n"/>
      <c r="U787" s="102" t="n"/>
      <c r="V787" s="102" t="n"/>
      <c r="W787" s="102" t="n"/>
      <c r="X787" s="102" t="n"/>
      <c r="Y787" s="102" t="n"/>
      <c r="Z787" s="102" t="n"/>
      <c r="AA787" s="102" t="n"/>
      <c r="AB787" s="102" t="n"/>
      <c r="AC787" s="102" t="n"/>
      <c r="AD787" s="102" t="n"/>
      <c r="AE787" s="102" t="n"/>
      <c r="AF787" s="102" t="n"/>
      <c r="AG787" s="102" t="n"/>
      <c r="AH787" s="102" t="n"/>
      <c r="AI787" s="102" t="n"/>
      <c r="AJ787" s="102" t="n"/>
      <c r="AK787" s="102" t="n"/>
      <c r="AL787" s="102" t="n"/>
      <c r="AM787" s="102" t="n"/>
      <c r="AN787" s="102" t="n"/>
      <c r="AO787" s="102" t="n"/>
      <c r="AP787" s="102" t="n"/>
      <c r="AQ787" s="102" t="n"/>
      <c r="AR787" s="102" t="n"/>
    </row>
    <row r="788">
      <c r="D788" s="102" t="n"/>
      <c r="E788" s="102" t="n"/>
      <c r="F788" s="102" t="n"/>
      <c r="G788" s="102" t="n"/>
      <c r="H788" s="102" t="n"/>
      <c r="I788" s="102" t="n"/>
      <c r="J788" s="102" t="n"/>
      <c r="K788" s="102" t="n"/>
      <c r="L788" s="102" t="n"/>
      <c r="M788" s="102" t="n"/>
      <c r="N788" s="102" t="n"/>
      <c r="O788" s="102" t="n"/>
      <c r="P788" s="102" t="n"/>
      <c r="Q788" s="102" t="n"/>
      <c r="R788" s="102" t="n"/>
      <c r="S788" s="102" t="n"/>
      <c r="T788" s="102" t="n"/>
      <c r="U788" s="102" t="n"/>
      <c r="V788" s="102" t="n"/>
      <c r="W788" s="102" t="n"/>
      <c r="X788" s="102" t="n"/>
      <c r="Y788" s="102" t="n"/>
      <c r="Z788" s="102" t="n"/>
      <c r="AA788" s="102" t="n"/>
      <c r="AB788" s="102" t="n"/>
      <c r="AC788" s="102" t="n"/>
      <c r="AD788" s="102" t="n"/>
      <c r="AE788" s="102" t="n"/>
      <c r="AF788" s="102" t="n"/>
      <c r="AG788" s="102" t="n"/>
      <c r="AH788" s="102" t="n"/>
      <c r="AI788" s="102" t="n"/>
      <c r="AJ788" s="102" t="n"/>
      <c r="AK788" s="102" t="n"/>
      <c r="AL788" s="102" t="n"/>
      <c r="AM788" s="102" t="n"/>
      <c r="AN788" s="102" t="n"/>
      <c r="AO788" s="102" t="n"/>
      <c r="AP788" s="102" t="n"/>
      <c r="AQ788" s="102" t="n"/>
      <c r="AR788" s="102" t="n"/>
    </row>
    <row r="789">
      <c r="D789" s="160" t="n"/>
      <c r="E789" s="160" t="n"/>
      <c r="F789" s="160" t="n"/>
      <c r="G789" s="160" t="n"/>
      <c r="H789" s="160" t="n"/>
      <c r="I789" s="160" t="n"/>
      <c r="J789" s="160" t="n"/>
      <c r="K789" s="160" t="n"/>
      <c r="L789" s="160" t="n"/>
      <c r="M789" s="160" t="n"/>
      <c r="N789" s="160" t="n"/>
      <c r="O789" s="160" t="n"/>
      <c r="P789" s="160" t="n"/>
      <c r="Q789" s="160" t="n"/>
      <c r="R789" s="160" t="n"/>
      <c r="S789" s="160" t="n"/>
      <c r="T789" s="160" t="n"/>
      <c r="U789" s="160" t="n"/>
      <c r="V789" s="160" t="n"/>
      <c r="W789" s="160" t="n"/>
      <c r="X789" s="160" t="n"/>
      <c r="Y789" s="160" t="n"/>
      <c r="Z789" s="160" t="n"/>
      <c r="AA789" s="160" t="n"/>
      <c r="AB789" s="160" t="n"/>
      <c r="AC789" s="160" t="n"/>
      <c r="AD789" s="160" t="n"/>
      <c r="AE789" s="160" t="n"/>
      <c r="AF789" s="160" t="n"/>
      <c r="AG789" s="160" t="n"/>
      <c r="AH789" s="160" t="n"/>
      <c r="AI789" s="160" t="n"/>
      <c r="AJ789" s="160" t="n"/>
      <c r="AK789" s="160" t="n"/>
      <c r="AL789" s="160" t="n"/>
      <c r="AM789" s="160" t="n"/>
      <c r="AN789" s="160" t="n"/>
      <c r="AO789" s="160" t="n"/>
      <c r="AP789" s="160" t="n"/>
      <c r="AQ789" s="160" t="n"/>
      <c r="AR789" s="160" t="n"/>
    </row>
    <row r="791">
      <c r="A791" s="8">
        <f>IF(HSI!$C$78="","",HSI!$C$78)</f>
        <v/>
      </c>
      <c r="B791" s="158">
        <f>IF($A791="",0,COUNT($E792:$AR792))</f>
        <v/>
      </c>
      <c r="C791" s="159">
        <f>IF($B791=0,0,MAX($E792:$AR792))</f>
        <v/>
      </c>
      <c r="D791" s="101">
        <f>BDS($A791,FLD_HIST,"headers=y","startcol=1","endcol=7","dir=h","DVD_START_DT",HIST_FROM,"DVD_END_DT",HIST_TO)</f>
        <v/>
      </c>
      <c r="E791" s="102" t="n"/>
      <c r="F791" s="102" t="n"/>
      <c r="G791" s="102" t="n"/>
      <c r="H791" s="102" t="n"/>
      <c r="I791" s="102" t="n"/>
      <c r="J791" s="102" t="n"/>
      <c r="K791" s="102" t="n"/>
      <c r="L791" s="102" t="n"/>
      <c r="M791" s="102" t="n"/>
      <c r="N791" s="102" t="n"/>
      <c r="O791" s="102" t="n"/>
      <c r="P791" s="102" t="n"/>
      <c r="Q791" s="102" t="n"/>
      <c r="R791" s="102" t="n"/>
      <c r="S791" s="102" t="n"/>
      <c r="T791" s="102" t="n"/>
      <c r="U791" s="102" t="n"/>
      <c r="V791" s="102" t="n"/>
      <c r="W791" s="102" t="n"/>
      <c r="X791" s="102" t="n"/>
      <c r="Y791" s="102" t="n"/>
      <c r="Z791" s="102" t="n"/>
      <c r="AA791" s="102" t="n"/>
      <c r="AB791" s="102" t="n"/>
      <c r="AC791" s="102" t="n"/>
      <c r="AD791" s="102" t="n"/>
      <c r="AE791" s="102" t="n"/>
      <c r="AF791" s="102" t="n"/>
      <c r="AG791" s="102" t="n"/>
      <c r="AH791" s="102" t="n"/>
      <c r="AI791" s="102" t="n"/>
      <c r="AJ791" s="102" t="n"/>
      <c r="AK791" s="102" t="n"/>
      <c r="AL791" s="102" t="n"/>
      <c r="AM791" s="102" t="n"/>
      <c r="AN791" s="102" t="n"/>
      <c r="AO791" s="102" t="n"/>
      <c r="AP791" s="102" t="n"/>
      <c r="AQ791" s="102" t="n"/>
      <c r="AR791" s="102" t="n"/>
    </row>
    <row r="792">
      <c r="D792" s="102" t="n"/>
      <c r="E792" s="102" t="n"/>
      <c r="F792" s="102" t="n"/>
      <c r="G792" s="102" t="n"/>
      <c r="H792" s="102" t="n"/>
      <c r="I792" s="102" t="n"/>
      <c r="J792" s="102" t="n"/>
      <c r="K792" s="102" t="n"/>
      <c r="L792" s="102" t="n"/>
      <c r="M792" s="102" t="n"/>
      <c r="N792" s="102" t="n"/>
      <c r="O792" s="102" t="n"/>
      <c r="P792" s="102" t="n"/>
      <c r="Q792" s="102" t="n"/>
      <c r="R792" s="102" t="n"/>
      <c r="S792" s="102" t="n"/>
      <c r="T792" s="102" t="n"/>
      <c r="U792" s="102" t="n"/>
      <c r="V792" s="102" t="n"/>
      <c r="W792" s="102" t="n"/>
      <c r="X792" s="102" t="n"/>
      <c r="Y792" s="102" t="n"/>
      <c r="Z792" s="102" t="n"/>
      <c r="AA792" s="102" t="n"/>
      <c r="AB792" s="102" t="n"/>
      <c r="AC792" s="102" t="n"/>
      <c r="AD792" s="102" t="n"/>
      <c r="AE792" s="102" t="n"/>
      <c r="AF792" s="102" t="n"/>
      <c r="AG792" s="102" t="n"/>
      <c r="AH792" s="102" t="n"/>
      <c r="AI792" s="102" t="n"/>
      <c r="AJ792" s="102" t="n"/>
      <c r="AK792" s="102" t="n"/>
      <c r="AL792" s="102" t="n"/>
      <c r="AM792" s="102" t="n"/>
      <c r="AN792" s="102" t="n"/>
      <c r="AO792" s="102" t="n"/>
      <c r="AP792" s="102" t="n"/>
      <c r="AQ792" s="102" t="n"/>
      <c r="AR792" s="102" t="n"/>
    </row>
    <row r="793">
      <c r="D793" s="102" t="n"/>
      <c r="E793" s="102" t="n"/>
      <c r="F793" s="102" t="n"/>
      <c r="G793" s="102" t="n"/>
      <c r="H793" s="102" t="n"/>
      <c r="I793" s="102" t="n"/>
      <c r="J793" s="102" t="n"/>
      <c r="K793" s="102" t="n"/>
      <c r="L793" s="102" t="n"/>
      <c r="M793" s="102" t="n"/>
      <c r="N793" s="102" t="n"/>
      <c r="O793" s="102" t="n"/>
      <c r="P793" s="102" t="n"/>
      <c r="Q793" s="102" t="n"/>
      <c r="R793" s="102" t="n"/>
      <c r="S793" s="102" t="n"/>
      <c r="T793" s="102" t="n"/>
      <c r="U793" s="102" t="n"/>
      <c r="V793" s="102" t="n"/>
      <c r="W793" s="102" t="n"/>
      <c r="X793" s="102" t="n"/>
      <c r="Y793" s="102" t="n"/>
      <c r="Z793" s="102" t="n"/>
      <c r="AA793" s="102" t="n"/>
      <c r="AB793" s="102" t="n"/>
      <c r="AC793" s="102" t="n"/>
      <c r="AD793" s="102" t="n"/>
      <c r="AE793" s="102" t="n"/>
      <c r="AF793" s="102" t="n"/>
      <c r="AG793" s="102" t="n"/>
      <c r="AH793" s="102" t="n"/>
      <c r="AI793" s="102" t="n"/>
      <c r="AJ793" s="102" t="n"/>
      <c r="AK793" s="102" t="n"/>
      <c r="AL793" s="102" t="n"/>
      <c r="AM793" s="102" t="n"/>
      <c r="AN793" s="102" t="n"/>
      <c r="AO793" s="102" t="n"/>
      <c r="AP793" s="102" t="n"/>
      <c r="AQ793" s="102" t="n"/>
      <c r="AR793" s="102" t="n"/>
    </row>
    <row r="794">
      <c r="D794" s="102" t="n"/>
      <c r="E794" s="102" t="n"/>
      <c r="F794" s="102" t="n"/>
      <c r="G794" s="102" t="n"/>
      <c r="H794" s="102" t="n"/>
      <c r="I794" s="102" t="n"/>
      <c r="J794" s="102" t="n"/>
      <c r="K794" s="102" t="n"/>
      <c r="L794" s="102" t="n"/>
      <c r="M794" s="102" t="n"/>
      <c r="N794" s="102" t="n"/>
      <c r="O794" s="102" t="n"/>
      <c r="P794" s="102" t="n"/>
      <c r="Q794" s="102" t="n"/>
      <c r="R794" s="102" t="n"/>
      <c r="S794" s="102" t="n"/>
      <c r="T794" s="102" t="n"/>
      <c r="U794" s="102" t="n"/>
      <c r="V794" s="102" t="n"/>
      <c r="W794" s="102" t="n"/>
      <c r="X794" s="102" t="n"/>
      <c r="Y794" s="102" t="n"/>
      <c r="Z794" s="102" t="n"/>
      <c r="AA794" s="102" t="n"/>
      <c r="AB794" s="102" t="n"/>
      <c r="AC794" s="102" t="n"/>
      <c r="AD794" s="102" t="n"/>
      <c r="AE794" s="102" t="n"/>
      <c r="AF794" s="102" t="n"/>
      <c r="AG794" s="102" t="n"/>
      <c r="AH794" s="102" t="n"/>
      <c r="AI794" s="102" t="n"/>
      <c r="AJ794" s="102" t="n"/>
      <c r="AK794" s="102" t="n"/>
      <c r="AL794" s="102" t="n"/>
      <c r="AM794" s="102" t="n"/>
      <c r="AN794" s="102" t="n"/>
      <c r="AO794" s="102" t="n"/>
      <c r="AP794" s="102" t="n"/>
      <c r="AQ794" s="102" t="n"/>
      <c r="AR794" s="102" t="n"/>
    </row>
    <row r="795">
      <c r="D795" s="160" t="n"/>
      <c r="E795" s="160" t="n"/>
      <c r="F795" s="160" t="n"/>
      <c r="G795" s="160" t="n"/>
      <c r="H795" s="160" t="n"/>
      <c r="I795" s="160" t="n"/>
      <c r="J795" s="160" t="n"/>
      <c r="K795" s="160" t="n"/>
      <c r="L795" s="160" t="n"/>
      <c r="M795" s="160" t="n"/>
      <c r="N795" s="160" t="n"/>
      <c r="O795" s="160" t="n"/>
      <c r="P795" s="160" t="n"/>
      <c r="Q795" s="160" t="n"/>
      <c r="R795" s="160" t="n"/>
      <c r="S795" s="160" t="n"/>
      <c r="T795" s="160" t="n"/>
      <c r="U795" s="160" t="n"/>
      <c r="V795" s="160" t="n"/>
      <c r="W795" s="160" t="n"/>
      <c r="X795" s="160" t="n"/>
      <c r="Y795" s="160" t="n"/>
      <c r="Z795" s="160" t="n"/>
      <c r="AA795" s="160" t="n"/>
      <c r="AB795" s="160" t="n"/>
      <c r="AC795" s="160" t="n"/>
      <c r="AD795" s="160" t="n"/>
      <c r="AE795" s="160" t="n"/>
      <c r="AF795" s="160" t="n"/>
      <c r="AG795" s="160" t="n"/>
      <c r="AH795" s="160" t="n"/>
      <c r="AI795" s="160" t="n"/>
      <c r="AJ795" s="160" t="n"/>
      <c r="AK795" s="160" t="n"/>
      <c r="AL795" s="160" t="n"/>
      <c r="AM795" s="160" t="n"/>
      <c r="AN795" s="160" t="n"/>
      <c r="AO795" s="160" t="n"/>
      <c r="AP795" s="160" t="n"/>
      <c r="AQ795" s="160" t="n"/>
      <c r="AR795" s="160" t="n"/>
    </row>
    <row r="798">
      <c r="A798" s="2">
        <f>IF($A791="","","   projections")</f>
        <v/>
      </c>
      <c r="B798" s="158">
        <f>IF($A791="",0,COUNT($E799:$AR799))</f>
        <v/>
      </c>
      <c r="C798" s="159">
        <f>IF($B798=0,0,MAX($E799:$AR799))</f>
        <v/>
      </c>
      <c r="D798" s="101">
        <f>BDS($A791,FLD_PROJ,"headers=y","startcol=1","endcol=3","dir=h")</f>
        <v/>
      </c>
      <c r="E798" s="102" t="n"/>
      <c r="F798" s="102" t="n"/>
      <c r="G798" s="102" t="n"/>
      <c r="H798" s="102" t="n"/>
      <c r="I798" s="102" t="n"/>
      <c r="J798" s="102" t="n"/>
      <c r="K798" s="102" t="n"/>
      <c r="L798" s="102" t="n"/>
      <c r="M798" s="102" t="n"/>
      <c r="N798" s="102" t="n"/>
      <c r="O798" s="102" t="n"/>
      <c r="P798" s="102" t="n"/>
      <c r="Q798" s="102" t="n"/>
      <c r="R798" s="102" t="n"/>
      <c r="S798" s="102" t="n"/>
      <c r="T798" s="102" t="n"/>
      <c r="U798" s="102" t="n"/>
      <c r="V798" s="102" t="n"/>
      <c r="W798" s="102" t="n"/>
      <c r="X798" s="102" t="n"/>
      <c r="Y798" s="102" t="n"/>
      <c r="Z798" s="102" t="n"/>
      <c r="AA798" s="102" t="n"/>
      <c r="AB798" s="102" t="n"/>
      <c r="AC798" s="102" t="n"/>
      <c r="AD798" s="102" t="n"/>
      <c r="AE798" s="102" t="n"/>
      <c r="AF798" s="102" t="n"/>
      <c r="AG798" s="102" t="n"/>
      <c r="AH798" s="102" t="n"/>
      <c r="AI798" s="102" t="n"/>
      <c r="AJ798" s="102" t="n"/>
      <c r="AK798" s="102" t="n"/>
      <c r="AL798" s="102" t="n"/>
      <c r="AM798" s="102" t="n"/>
      <c r="AN798" s="102" t="n"/>
      <c r="AO798" s="102" t="n"/>
      <c r="AP798" s="102" t="n"/>
      <c r="AQ798" s="102" t="n"/>
      <c r="AR798" s="102" t="n"/>
    </row>
    <row r="799">
      <c r="D799" s="102" t="n"/>
      <c r="E799" s="102" t="n"/>
      <c r="F799" s="102" t="n"/>
      <c r="G799" s="102" t="n"/>
      <c r="H799" s="102" t="n"/>
      <c r="I799" s="102" t="n"/>
      <c r="J799" s="102" t="n"/>
      <c r="K799" s="102" t="n"/>
      <c r="L799" s="102" t="n"/>
      <c r="M799" s="102" t="n"/>
      <c r="N799" s="102" t="n"/>
      <c r="O799" s="102" t="n"/>
      <c r="P799" s="102" t="n"/>
      <c r="Q799" s="102" t="n"/>
      <c r="R799" s="102" t="n"/>
      <c r="S799" s="102" t="n"/>
      <c r="T799" s="102" t="n"/>
      <c r="U799" s="102" t="n"/>
      <c r="V799" s="102" t="n"/>
      <c r="W799" s="102" t="n"/>
      <c r="X799" s="102" t="n"/>
      <c r="Y799" s="102" t="n"/>
      <c r="Z799" s="102" t="n"/>
      <c r="AA799" s="102" t="n"/>
      <c r="AB799" s="102" t="n"/>
      <c r="AC799" s="102" t="n"/>
      <c r="AD799" s="102" t="n"/>
      <c r="AE799" s="102" t="n"/>
      <c r="AF799" s="102" t="n"/>
      <c r="AG799" s="102" t="n"/>
      <c r="AH799" s="102" t="n"/>
      <c r="AI799" s="102" t="n"/>
      <c r="AJ799" s="102" t="n"/>
      <c r="AK799" s="102" t="n"/>
      <c r="AL799" s="102" t="n"/>
      <c r="AM799" s="102" t="n"/>
      <c r="AN799" s="102" t="n"/>
      <c r="AO799" s="102" t="n"/>
      <c r="AP799" s="102" t="n"/>
      <c r="AQ799" s="102" t="n"/>
      <c r="AR799" s="102" t="n"/>
    </row>
    <row r="800">
      <c r="D800" s="160" t="n"/>
      <c r="E800" s="160" t="n"/>
      <c r="F800" s="160" t="n"/>
      <c r="G800" s="160" t="n"/>
      <c r="H800" s="160" t="n"/>
      <c r="I800" s="160" t="n"/>
      <c r="J800" s="160" t="n"/>
      <c r="K800" s="160" t="n"/>
      <c r="L800" s="160" t="n"/>
      <c r="M800" s="160" t="n"/>
      <c r="N800" s="160" t="n"/>
      <c r="O800" s="160" t="n"/>
      <c r="P800" s="160" t="n"/>
      <c r="Q800" s="160" t="n"/>
      <c r="R800" s="160" t="n"/>
      <c r="S800" s="160" t="n"/>
      <c r="T800" s="160" t="n"/>
      <c r="U800" s="160" t="n"/>
      <c r="V800" s="160" t="n"/>
      <c r="W800" s="160" t="n"/>
      <c r="X800" s="160" t="n"/>
      <c r="Y800" s="160" t="n"/>
      <c r="Z800" s="160" t="n"/>
      <c r="AA800" s="160" t="n"/>
      <c r="AB800" s="160" t="n"/>
      <c r="AC800" s="160" t="n"/>
      <c r="AD800" s="160" t="n"/>
      <c r="AE800" s="160" t="n"/>
      <c r="AF800" s="160" t="n"/>
      <c r="AG800" s="160" t="n"/>
      <c r="AH800" s="160" t="n"/>
      <c r="AI800" s="160" t="n"/>
      <c r="AJ800" s="160" t="n"/>
      <c r="AK800" s="160" t="n"/>
      <c r="AL800" s="160" t="n"/>
      <c r="AM800" s="160" t="n"/>
      <c r="AN800" s="160" t="n"/>
      <c r="AO800" s="160" t="n"/>
      <c r="AP800" s="160" t="n"/>
      <c r="AQ800" s="160" t="n"/>
      <c r="AR800" s="160" t="n"/>
    </row>
    <row r="802">
      <c r="A802" s="8">
        <f>IF(HSI!$C$79="","",HSI!$C$79)</f>
        <v/>
      </c>
      <c r="B802" s="158">
        <f>IF($A802="",0,COUNT($E803:$AR803))</f>
        <v/>
      </c>
      <c r="C802" s="159">
        <f>IF($B802=0,0,MAX($E803:$AR803))</f>
        <v/>
      </c>
      <c r="D802" s="101">
        <f>BDS($A802,FLD_HIST,"headers=y","startcol=1","endcol=7","dir=h","DVD_START_DT",HIST_FROM,"DVD_END_DT",HIST_TO)</f>
        <v/>
      </c>
      <c r="E802" s="102" t="n"/>
      <c r="F802" s="102" t="n"/>
      <c r="G802" s="102" t="n"/>
      <c r="H802" s="102" t="n"/>
      <c r="I802" s="102" t="n"/>
      <c r="J802" s="102" t="n"/>
      <c r="K802" s="102" t="n"/>
      <c r="L802" s="102" t="n"/>
      <c r="M802" s="102" t="n"/>
      <c r="N802" s="102" t="n"/>
      <c r="O802" s="102" t="n"/>
      <c r="P802" s="102" t="n"/>
      <c r="Q802" s="102" t="n"/>
      <c r="R802" s="102" t="n"/>
      <c r="S802" s="102" t="n"/>
      <c r="T802" s="102" t="n"/>
      <c r="U802" s="102" t="n"/>
      <c r="V802" s="102" t="n"/>
      <c r="W802" s="102" t="n"/>
      <c r="X802" s="102" t="n"/>
      <c r="Y802" s="102" t="n"/>
      <c r="Z802" s="102" t="n"/>
      <c r="AA802" s="102" t="n"/>
      <c r="AB802" s="102" t="n"/>
      <c r="AC802" s="102" t="n"/>
      <c r="AD802" s="102" t="n"/>
      <c r="AE802" s="102" t="n"/>
      <c r="AF802" s="102" t="n"/>
      <c r="AG802" s="102" t="n"/>
      <c r="AH802" s="102" t="n"/>
      <c r="AI802" s="102" t="n"/>
      <c r="AJ802" s="102" t="n"/>
      <c r="AK802" s="102" t="n"/>
      <c r="AL802" s="102" t="n"/>
      <c r="AM802" s="102" t="n"/>
      <c r="AN802" s="102" t="n"/>
      <c r="AO802" s="102" t="n"/>
      <c r="AP802" s="102" t="n"/>
      <c r="AQ802" s="102" t="n"/>
      <c r="AR802" s="102" t="n"/>
    </row>
    <row r="803">
      <c r="D803" s="102" t="n"/>
      <c r="E803" s="102" t="n"/>
      <c r="F803" s="102" t="n"/>
      <c r="G803" s="102" t="n"/>
      <c r="H803" s="102" t="n"/>
      <c r="I803" s="102" t="n"/>
      <c r="J803" s="102" t="n"/>
      <c r="K803" s="102" t="n"/>
      <c r="L803" s="102" t="n"/>
      <c r="M803" s="102" t="n"/>
      <c r="N803" s="102" t="n"/>
      <c r="O803" s="102" t="n"/>
      <c r="P803" s="102" t="n"/>
      <c r="Q803" s="102" t="n"/>
      <c r="R803" s="102" t="n"/>
      <c r="S803" s="102" t="n"/>
      <c r="T803" s="102" t="n"/>
      <c r="U803" s="102" t="n"/>
      <c r="V803" s="102" t="n"/>
      <c r="W803" s="102" t="n"/>
      <c r="X803" s="102" t="n"/>
      <c r="Y803" s="102" t="n"/>
      <c r="Z803" s="102" t="n"/>
      <c r="AA803" s="102" t="n"/>
      <c r="AB803" s="102" t="n"/>
      <c r="AC803" s="102" t="n"/>
      <c r="AD803" s="102" t="n"/>
      <c r="AE803" s="102" t="n"/>
      <c r="AF803" s="102" t="n"/>
      <c r="AG803" s="102" t="n"/>
      <c r="AH803" s="102" t="n"/>
      <c r="AI803" s="102" t="n"/>
      <c r="AJ803" s="102" t="n"/>
      <c r="AK803" s="102" t="n"/>
      <c r="AL803" s="102" t="n"/>
      <c r="AM803" s="102" t="n"/>
      <c r="AN803" s="102" t="n"/>
      <c r="AO803" s="102" t="n"/>
      <c r="AP803" s="102" t="n"/>
      <c r="AQ803" s="102" t="n"/>
      <c r="AR803" s="102" t="n"/>
    </row>
    <row r="804">
      <c r="D804" s="102" t="n"/>
      <c r="E804" s="102" t="n"/>
      <c r="F804" s="102" t="n"/>
      <c r="G804" s="102" t="n"/>
      <c r="H804" s="102" t="n"/>
      <c r="I804" s="102" t="n"/>
      <c r="J804" s="102" t="n"/>
      <c r="K804" s="102" t="n"/>
      <c r="L804" s="102" t="n"/>
      <c r="M804" s="102" t="n"/>
      <c r="N804" s="102" t="n"/>
      <c r="O804" s="102" t="n"/>
      <c r="P804" s="102" t="n"/>
      <c r="Q804" s="102" t="n"/>
      <c r="R804" s="102" t="n"/>
      <c r="S804" s="102" t="n"/>
      <c r="T804" s="102" t="n"/>
      <c r="U804" s="102" t="n"/>
      <c r="V804" s="102" t="n"/>
      <c r="W804" s="102" t="n"/>
      <c r="X804" s="102" t="n"/>
      <c r="Y804" s="102" t="n"/>
      <c r="Z804" s="102" t="n"/>
      <c r="AA804" s="102" t="n"/>
      <c r="AB804" s="102" t="n"/>
      <c r="AC804" s="102" t="n"/>
      <c r="AD804" s="102" t="n"/>
      <c r="AE804" s="102" t="n"/>
      <c r="AF804" s="102" t="n"/>
      <c r="AG804" s="102" t="n"/>
      <c r="AH804" s="102" t="n"/>
      <c r="AI804" s="102" t="n"/>
      <c r="AJ804" s="102" t="n"/>
      <c r="AK804" s="102" t="n"/>
      <c r="AL804" s="102" t="n"/>
      <c r="AM804" s="102" t="n"/>
      <c r="AN804" s="102" t="n"/>
      <c r="AO804" s="102" t="n"/>
      <c r="AP804" s="102" t="n"/>
      <c r="AQ804" s="102" t="n"/>
      <c r="AR804" s="102" t="n"/>
    </row>
    <row r="805">
      <c r="D805" s="102" t="n"/>
      <c r="E805" s="102" t="n"/>
      <c r="F805" s="102" t="n"/>
      <c r="G805" s="102" t="n"/>
      <c r="H805" s="102" t="n"/>
      <c r="I805" s="102" t="n"/>
      <c r="J805" s="102" t="n"/>
      <c r="K805" s="102" t="n"/>
      <c r="L805" s="102" t="n"/>
      <c r="M805" s="102" t="n"/>
      <c r="N805" s="102" t="n"/>
      <c r="O805" s="102" t="n"/>
      <c r="P805" s="102" t="n"/>
      <c r="Q805" s="102" t="n"/>
      <c r="R805" s="102" t="n"/>
      <c r="S805" s="102" t="n"/>
      <c r="T805" s="102" t="n"/>
      <c r="U805" s="102" t="n"/>
      <c r="V805" s="102" t="n"/>
      <c r="W805" s="102" t="n"/>
      <c r="X805" s="102" t="n"/>
      <c r="Y805" s="102" t="n"/>
      <c r="Z805" s="102" t="n"/>
      <c r="AA805" s="102" t="n"/>
      <c r="AB805" s="102" t="n"/>
      <c r="AC805" s="102" t="n"/>
      <c r="AD805" s="102" t="n"/>
      <c r="AE805" s="102" t="n"/>
      <c r="AF805" s="102" t="n"/>
      <c r="AG805" s="102" t="n"/>
      <c r="AH805" s="102" t="n"/>
      <c r="AI805" s="102" t="n"/>
      <c r="AJ805" s="102" t="n"/>
      <c r="AK805" s="102" t="n"/>
      <c r="AL805" s="102" t="n"/>
      <c r="AM805" s="102" t="n"/>
      <c r="AN805" s="102" t="n"/>
      <c r="AO805" s="102" t="n"/>
      <c r="AP805" s="102" t="n"/>
      <c r="AQ805" s="102" t="n"/>
      <c r="AR805" s="102" t="n"/>
    </row>
    <row r="806">
      <c r="D806" s="160" t="n"/>
      <c r="E806" s="160" t="n"/>
      <c r="F806" s="160" t="n"/>
      <c r="G806" s="160" t="n"/>
      <c r="H806" s="160" t="n"/>
      <c r="I806" s="160" t="n"/>
      <c r="J806" s="160" t="n"/>
      <c r="K806" s="160" t="n"/>
      <c r="L806" s="160" t="n"/>
      <c r="M806" s="160" t="n"/>
      <c r="N806" s="160" t="n"/>
      <c r="O806" s="160" t="n"/>
      <c r="P806" s="160" t="n"/>
      <c r="Q806" s="160" t="n"/>
      <c r="R806" s="160" t="n"/>
      <c r="S806" s="160" t="n"/>
      <c r="T806" s="160" t="n"/>
      <c r="U806" s="160" t="n"/>
      <c r="V806" s="160" t="n"/>
      <c r="W806" s="160" t="n"/>
      <c r="X806" s="160" t="n"/>
      <c r="Y806" s="160" t="n"/>
      <c r="Z806" s="160" t="n"/>
      <c r="AA806" s="160" t="n"/>
      <c r="AB806" s="160" t="n"/>
      <c r="AC806" s="160" t="n"/>
      <c r="AD806" s="160" t="n"/>
      <c r="AE806" s="160" t="n"/>
      <c r="AF806" s="160" t="n"/>
      <c r="AG806" s="160" t="n"/>
      <c r="AH806" s="160" t="n"/>
      <c r="AI806" s="160" t="n"/>
      <c r="AJ806" s="160" t="n"/>
      <c r="AK806" s="160" t="n"/>
      <c r="AL806" s="160" t="n"/>
      <c r="AM806" s="160" t="n"/>
      <c r="AN806" s="160" t="n"/>
      <c r="AO806" s="160" t="n"/>
      <c r="AP806" s="160" t="n"/>
      <c r="AQ806" s="160" t="n"/>
      <c r="AR806" s="160" t="n"/>
    </row>
    <row r="809">
      <c r="A809" s="2">
        <f>IF($A802="","","   projections")</f>
        <v/>
      </c>
      <c r="B809" s="158">
        <f>IF($A802="",0,COUNT($E810:$AR810))</f>
        <v/>
      </c>
      <c r="C809" s="159">
        <f>IF($B809=0,0,MAX($E810:$AR810))</f>
        <v/>
      </c>
      <c r="D809" s="101">
        <f>BDS($A802,FLD_PROJ,"headers=y","startcol=1","endcol=3","dir=h")</f>
        <v/>
      </c>
      <c r="E809" s="102" t="n"/>
      <c r="F809" s="102" t="n"/>
      <c r="G809" s="102" t="n"/>
      <c r="H809" s="102" t="n"/>
      <c r="I809" s="102" t="n"/>
      <c r="J809" s="102" t="n"/>
      <c r="K809" s="102" t="n"/>
      <c r="L809" s="102" t="n"/>
      <c r="M809" s="102" t="n"/>
      <c r="N809" s="102" t="n"/>
      <c r="O809" s="102" t="n"/>
      <c r="P809" s="102" t="n"/>
      <c r="Q809" s="102" t="n"/>
      <c r="R809" s="102" t="n"/>
      <c r="S809" s="102" t="n"/>
      <c r="T809" s="102" t="n"/>
      <c r="U809" s="102" t="n"/>
      <c r="V809" s="102" t="n"/>
      <c r="W809" s="102" t="n"/>
      <c r="X809" s="102" t="n"/>
      <c r="Y809" s="102" t="n"/>
      <c r="Z809" s="102" t="n"/>
      <c r="AA809" s="102" t="n"/>
      <c r="AB809" s="102" t="n"/>
      <c r="AC809" s="102" t="n"/>
      <c r="AD809" s="102" t="n"/>
      <c r="AE809" s="102" t="n"/>
      <c r="AF809" s="102" t="n"/>
      <c r="AG809" s="102" t="n"/>
      <c r="AH809" s="102" t="n"/>
      <c r="AI809" s="102" t="n"/>
      <c r="AJ809" s="102" t="n"/>
      <c r="AK809" s="102" t="n"/>
      <c r="AL809" s="102" t="n"/>
      <c r="AM809" s="102" t="n"/>
      <c r="AN809" s="102" t="n"/>
      <c r="AO809" s="102" t="n"/>
      <c r="AP809" s="102" t="n"/>
      <c r="AQ809" s="102" t="n"/>
      <c r="AR809" s="102" t="n"/>
    </row>
    <row r="810">
      <c r="D810" s="102" t="n"/>
      <c r="E810" s="102" t="n"/>
      <c r="F810" s="102" t="n"/>
      <c r="G810" s="102" t="n"/>
      <c r="H810" s="102" t="n"/>
      <c r="I810" s="102" t="n"/>
      <c r="J810" s="102" t="n"/>
      <c r="K810" s="102" t="n"/>
      <c r="L810" s="102" t="n"/>
      <c r="M810" s="102" t="n"/>
      <c r="N810" s="102" t="n"/>
      <c r="O810" s="102" t="n"/>
      <c r="P810" s="102" t="n"/>
      <c r="Q810" s="102" t="n"/>
      <c r="R810" s="102" t="n"/>
      <c r="S810" s="102" t="n"/>
      <c r="T810" s="102" t="n"/>
      <c r="U810" s="102" t="n"/>
      <c r="V810" s="102" t="n"/>
      <c r="W810" s="102" t="n"/>
      <c r="X810" s="102" t="n"/>
      <c r="Y810" s="102" t="n"/>
      <c r="Z810" s="102" t="n"/>
      <c r="AA810" s="102" t="n"/>
      <c r="AB810" s="102" t="n"/>
      <c r="AC810" s="102" t="n"/>
      <c r="AD810" s="102" t="n"/>
      <c r="AE810" s="102" t="n"/>
      <c r="AF810" s="102" t="n"/>
      <c r="AG810" s="102" t="n"/>
      <c r="AH810" s="102" t="n"/>
      <c r="AI810" s="102" t="n"/>
      <c r="AJ810" s="102" t="n"/>
      <c r="AK810" s="102" t="n"/>
      <c r="AL810" s="102" t="n"/>
      <c r="AM810" s="102" t="n"/>
      <c r="AN810" s="102" t="n"/>
      <c r="AO810" s="102" t="n"/>
      <c r="AP810" s="102" t="n"/>
      <c r="AQ810" s="102" t="n"/>
      <c r="AR810" s="102" t="n"/>
    </row>
    <row r="811">
      <c r="D811" s="160" t="n"/>
      <c r="E811" s="160" t="n"/>
      <c r="F811" s="160" t="n"/>
      <c r="G811" s="160" t="n"/>
      <c r="H811" s="160" t="n"/>
      <c r="I811" s="160" t="n"/>
      <c r="J811" s="160" t="n"/>
      <c r="K811" s="160" t="n"/>
      <c r="L811" s="160" t="n"/>
      <c r="M811" s="160" t="n"/>
      <c r="N811" s="160" t="n"/>
      <c r="O811" s="160" t="n"/>
      <c r="P811" s="160" t="n"/>
      <c r="Q811" s="160" t="n"/>
      <c r="R811" s="160" t="n"/>
      <c r="S811" s="160" t="n"/>
      <c r="T811" s="160" t="n"/>
      <c r="U811" s="160" t="n"/>
      <c r="V811" s="160" t="n"/>
      <c r="W811" s="160" t="n"/>
      <c r="X811" s="160" t="n"/>
      <c r="Y811" s="160" t="n"/>
      <c r="Z811" s="160" t="n"/>
      <c r="AA811" s="160" t="n"/>
      <c r="AB811" s="160" t="n"/>
      <c r="AC811" s="160" t="n"/>
      <c r="AD811" s="160" t="n"/>
      <c r="AE811" s="160" t="n"/>
      <c r="AF811" s="160" t="n"/>
      <c r="AG811" s="160" t="n"/>
      <c r="AH811" s="160" t="n"/>
      <c r="AI811" s="160" t="n"/>
      <c r="AJ811" s="160" t="n"/>
      <c r="AK811" s="160" t="n"/>
      <c r="AL811" s="160" t="n"/>
      <c r="AM811" s="160" t="n"/>
      <c r="AN811" s="160" t="n"/>
      <c r="AO811" s="160" t="n"/>
      <c r="AP811" s="160" t="n"/>
      <c r="AQ811" s="160" t="n"/>
      <c r="AR811" s="160" t="n"/>
    </row>
    <row r="813">
      <c r="A813" s="8">
        <f>IF(HSI!$C$80="","",HSI!$C$80)</f>
        <v/>
      </c>
      <c r="B813" s="158">
        <f>IF($A813="",0,COUNT($E814:$AR814))</f>
        <v/>
      </c>
      <c r="C813" s="159">
        <f>IF($B813=0,0,MAX($E814:$AR814))</f>
        <v/>
      </c>
      <c r="D813" s="101">
        <f>BDS($A813,FLD_HIST,"headers=y","startcol=1","endcol=7","dir=h","DVD_START_DT",HIST_FROM,"DVD_END_DT",HIST_TO)</f>
        <v/>
      </c>
      <c r="E813" s="102" t="n"/>
      <c r="F813" s="102" t="n"/>
      <c r="G813" s="102" t="n"/>
      <c r="H813" s="102" t="n"/>
      <c r="I813" s="102" t="n"/>
      <c r="J813" s="102" t="n"/>
      <c r="K813" s="102" t="n"/>
      <c r="L813" s="102" t="n"/>
      <c r="M813" s="102" t="n"/>
      <c r="N813" s="102" t="n"/>
      <c r="O813" s="102" t="n"/>
      <c r="P813" s="102" t="n"/>
      <c r="Q813" s="102" t="n"/>
      <c r="R813" s="102" t="n"/>
      <c r="S813" s="102" t="n"/>
      <c r="T813" s="102" t="n"/>
      <c r="U813" s="102" t="n"/>
      <c r="V813" s="102" t="n"/>
      <c r="W813" s="102" t="n"/>
      <c r="X813" s="102" t="n"/>
      <c r="Y813" s="102" t="n"/>
      <c r="Z813" s="102" t="n"/>
      <c r="AA813" s="102" t="n"/>
      <c r="AB813" s="102" t="n"/>
      <c r="AC813" s="102" t="n"/>
      <c r="AD813" s="102" t="n"/>
      <c r="AE813" s="102" t="n"/>
      <c r="AF813" s="102" t="n"/>
      <c r="AG813" s="102" t="n"/>
      <c r="AH813" s="102" t="n"/>
      <c r="AI813" s="102" t="n"/>
      <c r="AJ813" s="102" t="n"/>
      <c r="AK813" s="102" t="n"/>
      <c r="AL813" s="102" t="n"/>
      <c r="AM813" s="102" t="n"/>
      <c r="AN813" s="102" t="n"/>
      <c r="AO813" s="102" t="n"/>
      <c r="AP813" s="102" t="n"/>
      <c r="AQ813" s="102" t="n"/>
      <c r="AR813" s="102" t="n"/>
    </row>
    <row r="814">
      <c r="D814" s="102" t="n"/>
      <c r="E814" s="102" t="n"/>
      <c r="F814" s="102" t="n"/>
      <c r="G814" s="102" t="n"/>
      <c r="H814" s="102" t="n"/>
      <c r="I814" s="102" t="n"/>
      <c r="J814" s="102" t="n"/>
      <c r="K814" s="102" t="n"/>
      <c r="L814" s="102" t="n"/>
      <c r="M814" s="102" t="n"/>
      <c r="N814" s="102" t="n"/>
      <c r="O814" s="102" t="n"/>
      <c r="P814" s="102" t="n"/>
      <c r="Q814" s="102" t="n"/>
      <c r="R814" s="102" t="n"/>
      <c r="S814" s="102" t="n"/>
      <c r="T814" s="102" t="n"/>
      <c r="U814" s="102" t="n"/>
      <c r="V814" s="102" t="n"/>
      <c r="W814" s="102" t="n"/>
      <c r="X814" s="102" t="n"/>
      <c r="Y814" s="102" t="n"/>
      <c r="Z814" s="102" t="n"/>
      <c r="AA814" s="102" t="n"/>
      <c r="AB814" s="102" t="n"/>
      <c r="AC814" s="102" t="n"/>
      <c r="AD814" s="102" t="n"/>
      <c r="AE814" s="102" t="n"/>
      <c r="AF814" s="102" t="n"/>
      <c r="AG814" s="102" t="n"/>
      <c r="AH814" s="102" t="n"/>
      <c r="AI814" s="102" t="n"/>
      <c r="AJ814" s="102" t="n"/>
      <c r="AK814" s="102" t="n"/>
      <c r="AL814" s="102" t="n"/>
      <c r="AM814" s="102" t="n"/>
      <c r="AN814" s="102" t="n"/>
      <c r="AO814" s="102" t="n"/>
      <c r="AP814" s="102" t="n"/>
      <c r="AQ814" s="102" t="n"/>
      <c r="AR814" s="102" t="n"/>
    </row>
    <row r="815">
      <c r="D815" s="102" t="n"/>
      <c r="E815" s="102" t="n"/>
      <c r="F815" s="102" t="n"/>
      <c r="G815" s="102" t="n"/>
      <c r="H815" s="102" t="n"/>
      <c r="I815" s="102" t="n"/>
      <c r="J815" s="102" t="n"/>
      <c r="K815" s="102" t="n"/>
      <c r="L815" s="102" t="n"/>
      <c r="M815" s="102" t="n"/>
      <c r="N815" s="102" t="n"/>
      <c r="O815" s="102" t="n"/>
      <c r="P815" s="102" t="n"/>
      <c r="Q815" s="102" t="n"/>
      <c r="R815" s="102" t="n"/>
      <c r="S815" s="102" t="n"/>
      <c r="T815" s="102" t="n"/>
      <c r="U815" s="102" t="n"/>
      <c r="V815" s="102" t="n"/>
      <c r="W815" s="102" t="n"/>
      <c r="X815" s="102" t="n"/>
      <c r="Y815" s="102" t="n"/>
      <c r="Z815" s="102" t="n"/>
      <c r="AA815" s="102" t="n"/>
      <c r="AB815" s="102" t="n"/>
      <c r="AC815" s="102" t="n"/>
      <c r="AD815" s="102" t="n"/>
      <c r="AE815" s="102" t="n"/>
      <c r="AF815" s="102" t="n"/>
      <c r="AG815" s="102" t="n"/>
      <c r="AH815" s="102" t="n"/>
      <c r="AI815" s="102" t="n"/>
      <c r="AJ815" s="102" t="n"/>
      <c r="AK815" s="102" t="n"/>
      <c r="AL815" s="102" t="n"/>
      <c r="AM815" s="102" t="n"/>
      <c r="AN815" s="102" t="n"/>
      <c r="AO815" s="102" t="n"/>
      <c r="AP815" s="102" t="n"/>
      <c r="AQ815" s="102" t="n"/>
      <c r="AR815" s="102" t="n"/>
    </row>
    <row r="816">
      <c r="D816" s="102" t="n"/>
      <c r="E816" s="102" t="n"/>
      <c r="F816" s="102" t="n"/>
      <c r="G816" s="102" t="n"/>
      <c r="H816" s="102" t="n"/>
      <c r="I816" s="102" t="n"/>
      <c r="J816" s="102" t="n"/>
      <c r="K816" s="102" t="n"/>
      <c r="L816" s="102" t="n"/>
      <c r="M816" s="102" t="n"/>
      <c r="N816" s="102" t="n"/>
      <c r="O816" s="102" t="n"/>
      <c r="P816" s="102" t="n"/>
      <c r="Q816" s="102" t="n"/>
      <c r="R816" s="102" t="n"/>
      <c r="S816" s="102" t="n"/>
      <c r="T816" s="102" t="n"/>
      <c r="U816" s="102" t="n"/>
      <c r="V816" s="102" t="n"/>
      <c r="W816" s="102" t="n"/>
      <c r="X816" s="102" t="n"/>
      <c r="Y816" s="102" t="n"/>
      <c r="Z816" s="102" t="n"/>
      <c r="AA816" s="102" t="n"/>
      <c r="AB816" s="102" t="n"/>
      <c r="AC816" s="102" t="n"/>
      <c r="AD816" s="102" t="n"/>
      <c r="AE816" s="102" t="n"/>
      <c r="AF816" s="102" t="n"/>
      <c r="AG816" s="102" t="n"/>
      <c r="AH816" s="102" t="n"/>
      <c r="AI816" s="102" t="n"/>
      <c r="AJ816" s="102" t="n"/>
      <c r="AK816" s="102" t="n"/>
      <c r="AL816" s="102" t="n"/>
      <c r="AM816" s="102" t="n"/>
      <c r="AN816" s="102" t="n"/>
      <c r="AO816" s="102" t="n"/>
      <c r="AP816" s="102" t="n"/>
      <c r="AQ816" s="102" t="n"/>
      <c r="AR816" s="102" t="n"/>
    </row>
    <row r="817">
      <c r="D817" s="160" t="n"/>
      <c r="E817" s="160" t="n"/>
      <c r="F817" s="160" t="n"/>
      <c r="G817" s="160" t="n"/>
      <c r="H817" s="160" t="n"/>
      <c r="I817" s="160" t="n"/>
      <c r="J817" s="160" t="n"/>
      <c r="K817" s="160" t="n"/>
      <c r="L817" s="160" t="n"/>
      <c r="M817" s="160" t="n"/>
      <c r="N817" s="160" t="n"/>
      <c r="O817" s="160" t="n"/>
      <c r="P817" s="160" t="n"/>
      <c r="Q817" s="160" t="n"/>
      <c r="R817" s="160" t="n"/>
      <c r="S817" s="160" t="n"/>
      <c r="T817" s="160" t="n"/>
      <c r="U817" s="160" t="n"/>
      <c r="V817" s="160" t="n"/>
      <c r="W817" s="160" t="n"/>
      <c r="X817" s="160" t="n"/>
      <c r="Y817" s="160" t="n"/>
      <c r="Z817" s="160" t="n"/>
      <c r="AA817" s="160" t="n"/>
      <c r="AB817" s="160" t="n"/>
      <c r="AC817" s="160" t="n"/>
      <c r="AD817" s="160" t="n"/>
      <c r="AE817" s="160" t="n"/>
      <c r="AF817" s="160" t="n"/>
      <c r="AG817" s="160" t="n"/>
      <c r="AH817" s="160" t="n"/>
      <c r="AI817" s="160" t="n"/>
      <c r="AJ817" s="160" t="n"/>
      <c r="AK817" s="160" t="n"/>
      <c r="AL817" s="160" t="n"/>
      <c r="AM817" s="160" t="n"/>
      <c r="AN817" s="160" t="n"/>
      <c r="AO817" s="160" t="n"/>
      <c r="AP817" s="160" t="n"/>
      <c r="AQ817" s="160" t="n"/>
      <c r="AR817" s="160" t="n"/>
    </row>
    <row r="820">
      <c r="A820" s="2">
        <f>IF($A813="","","   projections")</f>
        <v/>
      </c>
      <c r="B820" s="158">
        <f>IF($A813="",0,COUNT($E821:$AR821))</f>
        <v/>
      </c>
      <c r="C820" s="159">
        <f>IF($B820=0,0,MAX($E821:$AR821))</f>
        <v/>
      </c>
      <c r="D820" s="101">
        <f>BDS($A813,FLD_PROJ,"headers=y","startcol=1","endcol=3","dir=h")</f>
        <v/>
      </c>
      <c r="E820" s="102" t="n"/>
      <c r="F820" s="102" t="n"/>
      <c r="G820" s="102" t="n"/>
      <c r="H820" s="102" t="n"/>
      <c r="I820" s="102" t="n"/>
      <c r="J820" s="102" t="n"/>
      <c r="K820" s="102" t="n"/>
      <c r="L820" s="102" t="n"/>
      <c r="M820" s="102" t="n"/>
      <c r="N820" s="102" t="n"/>
      <c r="O820" s="102" t="n"/>
      <c r="P820" s="102" t="n"/>
      <c r="Q820" s="102" t="n"/>
      <c r="R820" s="102" t="n"/>
      <c r="S820" s="102" t="n"/>
      <c r="T820" s="102" t="n"/>
      <c r="U820" s="102" t="n"/>
      <c r="V820" s="102" t="n"/>
      <c r="W820" s="102" t="n"/>
      <c r="X820" s="102" t="n"/>
      <c r="Y820" s="102" t="n"/>
      <c r="Z820" s="102" t="n"/>
      <c r="AA820" s="102" t="n"/>
      <c r="AB820" s="102" t="n"/>
      <c r="AC820" s="102" t="n"/>
      <c r="AD820" s="102" t="n"/>
      <c r="AE820" s="102" t="n"/>
      <c r="AF820" s="102" t="n"/>
      <c r="AG820" s="102" t="n"/>
      <c r="AH820" s="102" t="n"/>
      <c r="AI820" s="102" t="n"/>
      <c r="AJ820" s="102" t="n"/>
      <c r="AK820" s="102" t="n"/>
      <c r="AL820" s="102" t="n"/>
      <c r="AM820" s="102" t="n"/>
      <c r="AN820" s="102" t="n"/>
      <c r="AO820" s="102" t="n"/>
      <c r="AP820" s="102" t="n"/>
      <c r="AQ820" s="102" t="n"/>
      <c r="AR820" s="102" t="n"/>
    </row>
    <row r="821">
      <c r="D821" s="102" t="n"/>
      <c r="E821" s="102" t="n"/>
      <c r="F821" s="102" t="n"/>
      <c r="G821" s="102" t="n"/>
      <c r="H821" s="102" t="n"/>
      <c r="I821" s="102" t="n"/>
      <c r="J821" s="102" t="n"/>
      <c r="K821" s="102" t="n"/>
      <c r="L821" s="102" t="n"/>
      <c r="M821" s="102" t="n"/>
      <c r="N821" s="102" t="n"/>
      <c r="O821" s="102" t="n"/>
      <c r="P821" s="102" t="n"/>
      <c r="Q821" s="102" t="n"/>
      <c r="R821" s="102" t="n"/>
      <c r="S821" s="102" t="n"/>
      <c r="T821" s="102" t="n"/>
      <c r="U821" s="102" t="n"/>
      <c r="V821" s="102" t="n"/>
      <c r="W821" s="102" t="n"/>
      <c r="X821" s="102" t="n"/>
      <c r="Y821" s="102" t="n"/>
      <c r="Z821" s="102" t="n"/>
      <c r="AA821" s="102" t="n"/>
      <c r="AB821" s="102" t="n"/>
      <c r="AC821" s="102" t="n"/>
      <c r="AD821" s="102" t="n"/>
      <c r="AE821" s="102" t="n"/>
      <c r="AF821" s="102" t="n"/>
      <c r="AG821" s="102" t="n"/>
      <c r="AH821" s="102" t="n"/>
      <c r="AI821" s="102" t="n"/>
      <c r="AJ821" s="102" t="n"/>
      <c r="AK821" s="102" t="n"/>
      <c r="AL821" s="102" t="n"/>
      <c r="AM821" s="102" t="n"/>
      <c r="AN821" s="102" t="n"/>
      <c r="AO821" s="102" t="n"/>
      <c r="AP821" s="102" t="n"/>
      <c r="AQ821" s="102" t="n"/>
      <c r="AR821" s="102" t="n"/>
    </row>
    <row r="822">
      <c r="D822" s="160" t="n"/>
      <c r="E822" s="160" t="n"/>
      <c r="F822" s="160" t="n"/>
      <c r="G822" s="160" t="n"/>
      <c r="H822" s="160" t="n"/>
      <c r="I822" s="160" t="n"/>
      <c r="J822" s="160" t="n"/>
      <c r="K822" s="160" t="n"/>
      <c r="L822" s="160" t="n"/>
      <c r="M822" s="160" t="n"/>
      <c r="N822" s="160" t="n"/>
      <c r="O822" s="160" t="n"/>
      <c r="P822" s="160" t="n"/>
      <c r="Q822" s="160" t="n"/>
      <c r="R822" s="160" t="n"/>
      <c r="S822" s="160" t="n"/>
      <c r="T822" s="160" t="n"/>
      <c r="U822" s="160" t="n"/>
      <c r="V822" s="160" t="n"/>
      <c r="W822" s="160" t="n"/>
      <c r="X822" s="160" t="n"/>
      <c r="Y822" s="160" t="n"/>
      <c r="Z822" s="160" t="n"/>
      <c r="AA822" s="160" t="n"/>
      <c r="AB822" s="160" t="n"/>
      <c r="AC822" s="160" t="n"/>
      <c r="AD822" s="160" t="n"/>
      <c r="AE822" s="160" t="n"/>
      <c r="AF822" s="160" t="n"/>
      <c r="AG822" s="160" t="n"/>
      <c r="AH822" s="160" t="n"/>
      <c r="AI822" s="160" t="n"/>
      <c r="AJ822" s="160" t="n"/>
      <c r="AK822" s="160" t="n"/>
      <c r="AL822" s="160" t="n"/>
      <c r="AM822" s="160" t="n"/>
      <c r="AN822" s="160" t="n"/>
      <c r="AO822" s="160" t="n"/>
      <c r="AP822" s="160" t="n"/>
      <c r="AQ822" s="160" t="n"/>
      <c r="AR822" s="160" t="n"/>
    </row>
    <row r="824">
      <c r="A824" s="8">
        <f>IF(HSI!$C$81="","",HSI!$C$81)</f>
        <v/>
      </c>
      <c r="B824" s="158">
        <f>IF($A824="",0,COUNT($E825:$AR825))</f>
        <v/>
      </c>
      <c r="C824" s="159">
        <f>IF($B824=0,0,MAX($E825:$AR825))</f>
        <v/>
      </c>
      <c r="D824" s="101">
        <f>BDS($A824,FLD_HIST,"headers=y","startcol=1","endcol=7","dir=h","DVD_START_DT",HIST_FROM,"DVD_END_DT",HIST_TO)</f>
        <v/>
      </c>
      <c r="E824" s="102" t="n"/>
      <c r="F824" s="102" t="n"/>
      <c r="G824" s="102" t="n"/>
      <c r="H824" s="102" t="n"/>
      <c r="I824" s="102" t="n"/>
      <c r="J824" s="102" t="n"/>
      <c r="K824" s="102" t="n"/>
      <c r="L824" s="102" t="n"/>
      <c r="M824" s="102" t="n"/>
      <c r="N824" s="102" t="n"/>
      <c r="O824" s="102" t="n"/>
      <c r="P824" s="102" t="n"/>
      <c r="Q824" s="102" t="n"/>
      <c r="R824" s="102" t="n"/>
      <c r="S824" s="102" t="n"/>
      <c r="T824" s="102" t="n"/>
      <c r="U824" s="102" t="n"/>
      <c r="V824" s="102" t="n"/>
      <c r="W824" s="102" t="n"/>
      <c r="X824" s="102" t="n"/>
      <c r="Y824" s="102" t="n"/>
      <c r="Z824" s="102" t="n"/>
      <c r="AA824" s="102" t="n"/>
      <c r="AB824" s="102" t="n"/>
      <c r="AC824" s="102" t="n"/>
      <c r="AD824" s="102" t="n"/>
      <c r="AE824" s="102" t="n"/>
      <c r="AF824" s="102" t="n"/>
      <c r="AG824" s="102" t="n"/>
      <c r="AH824" s="102" t="n"/>
      <c r="AI824" s="102" t="n"/>
      <c r="AJ824" s="102" t="n"/>
      <c r="AK824" s="102" t="n"/>
      <c r="AL824" s="102" t="n"/>
      <c r="AM824" s="102" t="n"/>
      <c r="AN824" s="102" t="n"/>
      <c r="AO824" s="102" t="n"/>
      <c r="AP824" s="102" t="n"/>
      <c r="AQ824" s="102" t="n"/>
      <c r="AR824" s="102" t="n"/>
    </row>
    <row r="825">
      <c r="D825" s="102" t="n"/>
      <c r="E825" s="102" t="n"/>
      <c r="F825" s="102" t="n"/>
      <c r="G825" s="102" t="n"/>
      <c r="H825" s="102" t="n"/>
      <c r="I825" s="102" t="n"/>
      <c r="J825" s="102" t="n"/>
      <c r="K825" s="102" t="n"/>
      <c r="L825" s="102" t="n"/>
      <c r="M825" s="102" t="n"/>
      <c r="N825" s="102" t="n"/>
      <c r="O825" s="102" t="n"/>
      <c r="P825" s="102" t="n"/>
      <c r="Q825" s="102" t="n"/>
      <c r="R825" s="102" t="n"/>
      <c r="S825" s="102" t="n"/>
      <c r="T825" s="102" t="n"/>
      <c r="U825" s="102" t="n"/>
      <c r="V825" s="102" t="n"/>
      <c r="W825" s="102" t="n"/>
      <c r="X825" s="102" t="n"/>
      <c r="Y825" s="102" t="n"/>
      <c r="Z825" s="102" t="n"/>
      <c r="AA825" s="102" t="n"/>
      <c r="AB825" s="102" t="n"/>
      <c r="AC825" s="102" t="n"/>
      <c r="AD825" s="102" t="n"/>
      <c r="AE825" s="102" t="n"/>
      <c r="AF825" s="102" t="n"/>
      <c r="AG825" s="102" t="n"/>
      <c r="AH825" s="102" t="n"/>
      <c r="AI825" s="102" t="n"/>
      <c r="AJ825" s="102" t="n"/>
      <c r="AK825" s="102" t="n"/>
      <c r="AL825" s="102" t="n"/>
      <c r="AM825" s="102" t="n"/>
      <c r="AN825" s="102" t="n"/>
      <c r="AO825" s="102" t="n"/>
      <c r="AP825" s="102" t="n"/>
      <c r="AQ825" s="102" t="n"/>
      <c r="AR825" s="102" t="n"/>
    </row>
    <row r="826">
      <c r="D826" s="102" t="n"/>
      <c r="E826" s="102" t="n"/>
      <c r="F826" s="102" t="n"/>
      <c r="G826" s="102" t="n"/>
      <c r="H826" s="102" t="n"/>
      <c r="I826" s="102" t="n"/>
      <c r="J826" s="102" t="n"/>
      <c r="K826" s="102" t="n"/>
      <c r="L826" s="102" t="n"/>
      <c r="M826" s="102" t="n"/>
      <c r="N826" s="102" t="n"/>
      <c r="O826" s="102" t="n"/>
      <c r="P826" s="102" t="n"/>
      <c r="Q826" s="102" t="n"/>
      <c r="R826" s="102" t="n"/>
      <c r="S826" s="102" t="n"/>
      <c r="T826" s="102" t="n"/>
      <c r="U826" s="102" t="n"/>
      <c r="V826" s="102" t="n"/>
      <c r="W826" s="102" t="n"/>
      <c r="X826" s="102" t="n"/>
      <c r="Y826" s="102" t="n"/>
      <c r="Z826" s="102" t="n"/>
      <c r="AA826" s="102" t="n"/>
      <c r="AB826" s="102" t="n"/>
      <c r="AC826" s="102" t="n"/>
      <c r="AD826" s="102" t="n"/>
      <c r="AE826" s="102" t="n"/>
      <c r="AF826" s="102" t="n"/>
      <c r="AG826" s="102" t="n"/>
      <c r="AH826" s="102" t="n"/>
      <c r="AI826" s="102" t="n"/>
      <c r="AJ826" s="102" t="n"/>
      <c r="AK826" s="102" t="n"/>
      <c r="AL826" s="102" t="n"/>
      <c r="AM826" s="102" t="n"/>
      <c r="AN826" s="102" t="n"/>
      <c r="AO826" s="102" t="n"/>
      <c r="AP826" s="102" t="n"/>
      <c r="AQ826" s="102" t="n"/>
      <c r="AR826" s="102" t="n"/>
    </row>
    <row r="827">
      <c r="D827" s="102" t="n"/>
      <c r="E827" s="102" t="n"/>
      <c r="F827" s="102" t="n"/>
      <c r="G827" s="102" t="n"/>
      <c r="H827" s="102" t="n"/>
      <c r="I827" s="102" t="n"/>
      <c r="J827" s="102" t="n"/>
      <c r="K827" s="102" t="n"/>
      <c r="L827" s="102" t="n"/>
      <c r="M827" s="102" t="n"/>
      <c r="N827" s="102" t="n"/>
      <c r="O827" s="102" t="n"/>
      <c r="P827" s="102" t="n"/>
      <c r="Q827" s="102" t="n"/>
      <c r="R827" s="102" t="n"/>
      <c r="S827" s="102" t="n"/>
      <c r="T827" s="102" t="n"/>
      <c r="U827" s="102" t="n"/>
      <c r="V827" s="102" t="n"/>
      <c r="W827" s="102" t="n"/>
      <c r="X827" s="102" t="n"/>
      <c r="Y827" s="102" t="n"/>
      <c r="Z827" s="102" t="n"/>
      <c r="AA827" s="102" t="n"/>
      <c r="AB827" s="102" t="n"/>
      <c r="AC827" s="102" t="n"/>
      <c r="AD827" s="102" t="n"/>
      <c r="AE827" s="102" t="n"/>
      <c r="AF827" s="102" t="n"/>
      <c r="AG827" s="102" t="n"/>
      <c r="AH827" s="102" t="n"/>
      <c r="AI827" s="102" t="n"/>
      <c r="AJ827" s="102" t="n"/>
      <c r="AK827" s="102" t="n"/>
      <c r="AL827" s="102" t="n"/>
      <c r="AM827" s="102" t="n"/>
      <c r="AN827" s="102" t="n"/>
      <c r="AO827" s="102" t="n"/>
      <c r="AP827" s="102" t="n"/>
      <c r="AQ827" s="102" t="n"/>
      <c r="AR827" s="102" t="n"/>
    </row>
    <row r="828">
      <c r="D828" s="160" t="n"/>
      <c r="E828" s="160" t="n"/>
      <c r="F828" s="160" t="n"/>
      <c r="G828" s="160" t="n"/>
      <c r="H828" s="160" t="n"/>
      <c r="I828" s="160" t="n"/>
      <c r="J828" s="160" t="n"/>
      <c r="K828" s="160" t="n"/>
      <c r="L828" s="160" t="n"/>
      <c r="M828" s="160" t="n"/>
      <c r="N828" s="160" t="n"/>
      <c r="O828" s="160" t="n"/>
      <c r="P828" s="160" t="n"/>
      <c r="Q828" s="160" t="n"/>
      <c r="R828" s="160" t="n"/>
      <c r="S828" s="160" t="n"/>
      <c r="T828" s="160" t="n"/>
      <c r="U828" s="160" t="n"/>
      <c r="V828" s="160" t="n"/>
      <c r="W828" s="160" t="n"/>
      <c r="X828" s="160" t="n"/>
      <c r="Y828" s="160" t="n"/>
      <c r="Z828" s="160" t="n"/>
      <c r="AA828" s="160" t="n"/>
      <c r="AB828" s="160" t="n"/>
      <c r="AC828" s="160" t="n"/>
      <c r="AD828" s="160" t="n"/>
      <c r="AE828" s="160" t="n"/>
      <c r="AF828" s="160" t="n"/>
      <c r="AG828" s="160" t="n"/>
      <c r="AH828" s="160" t="n"/>
      <c r="AI828" s="160" t="n"/>
      <c r="AJ828" s="160" t="n"/>
      <c r="AK828" s="160" t="n"/>
      <c r="AL828" s="160" t="n"/>
      <c r="AM828" s="160" t="n"/>
      <c r="AN828" s="160" t="n"/>
      <c r="AO828" s="160" t="n"/>
      <c r="AP828" s="160" t="n"/>
      <c r="AQ828" s="160" t="n"/>
      <c r="AR828" s="160" t="n"/>
    </row>
    <row r="831">
      <c r="A831" s="2">
        <f>IF($A824="","","   projections")</f>
        <v/>
      </c>
      <c r="B831" s="158">
        <f>IF($A824="",0,COUNT($E832:$AR832))</f>
        <v/>
      </c>
      <c r="C831" s="159">
        <f>IF($B831=0,0,MAX($E832:$AR832))</f>
        <v/>
      </c>
      <c r="D831" s="101">
        <f>BDS($A824,FLD_PROJ,"headers=y","startcol=1","endcol=3","dir=h")</f>
        <v/>
      </c>
      <c r="E831" s="102" t="n"/>
      <c r="F831" s="102" t="n"/>
      <c r="G831" s="102" t="n"/>
      <c r="H831" s="102" t="n"/>
      <c r="I831" s="102" t="n"/>
      <c r="J831" s="102" t="n"/>
      <c r="K831" s="102" t="n"/>
      <c r="L831" s="102" t="n"/>
      <c r="M831" s="102" t="n"/>
      <c r="N831" s="102" t="n"/>
      <c r="O831" s="102" t="n"/>
      <c r="P831" s="102" t="n"/>
      <c r="Q831" s="102" t="n"/>
      <c r="R831" s="102" t="n"/>
      <c r="S831" s="102" t="n"/>
      <c r="T831" s="102" t="n"/>
      <c r="U831" s="102" t="n"/>
      <c r="V831" s="102" t="n"/>
      <c r="W831" s="102" t="n"/>
      <c r="X831" s="102" t="n"/>
      <c r="Y831" s="102" t="n"/>
      <c r="Z831" s="102" t="n"/>
      <c r="AA831" s="102" t="n"/>
      <c r="AB831" s="102" t="n"/>
      <c r="AC831" s="102" t="n"/>
      <c r="AD831" s="102" t="n"/>
      <c r="AE831" s="102" t="n"/>
      <c r="AF831" s="102" t="n"/>
      <c r="AG831" s="102" t="n"/>
      <c r="AH831" s="102" t="n"/>
      <c r="AI831" s="102" t="n"/>
      <c r="AJ831" s="102" t="n"/>
      <c r="AK831" s="102" t="n"/>
      <c r="AL831" s="102" t="n"/>
      <c r="AM831" s="102" t="n"/>
      <c r="AN831" s="102" t="n"/>
      <c r="AO831" s="102" t="n"/>
      <c r="AP831" s="102" t="n"/>
      <c r="AQ831" s="102" t="n"/>
      <c r="AR831" s="102" t="n"/>
    </row>
    <row r="832">
      <c r="D832" s="102" t="n"/>
      <c r="E832" s="102" t="n"/>
      <c r="F832" s="102" t="n"/>
      <c r="G832" s="102" t="n"/>
      <c r="H832" s="102" t="n"/>
      <c r="I832" s="102" t="n"/>
      <c r="J832" s="102" t="n"/>
      <c r="K832" s="102" t="n"/>
      <c r="L832" s="102" t="n"/>
      <c r="M832" s="102" t="n"/>
      <c r="N832" s="102" t="n"/>
      <c r="O832" s="102" t="n"/>
      <c r="P832" s="102" t="n"/>
      <c r="Q832" s="102" t="n"/>
      <c r="R832" s="102" t="n"/>
      <c r="S832" s="102" t="n"/>
      <c r="T832" s="102" t="n"/>
      <c r="U832" s="102" t="n"/>
      <c r="V832" s="102" t="n"/>
      <c r="W832" s="102" t="n"/>
      <c r="X832" s="102" t="n"/>
      <c r="Y832" s="102" t="n"/>
      <c r="Z832" s="102" t="n"/>
      <c r="AA832" s="102" t="n"/>
      <c r="AB832" s="102" t="n"/>
      <c r="AC832" s="102" t="n"/>
      <c r="AD832" s="102" t="n"/>
      <c r="AE832" s="102" t="n"/>
      <c r="AF832" s="102" t="n"/>
      <c r="AG832" s="102" t="n"/>
      <c r="AH832" s="102" t="n"/>
      <c r="AI832" s="102" t="n"/>
      <c r="AJ832" s="102" t="n"/>
      <c r="AK832" s="102" t="n"/>
      <c r="AL832" s="102" t="n"/>
      <c r="AM832" s="102" t="n"/>
      <c r="AN832" s="102" t="n"/>
      <c r="AO832" s="102" t="n"/>
      <c r="AP832" s="102" t="n"/>
      <c r="AQ832" s="102" t="n"/>
      <c r="AR832" s="102" t="n"/>
    </row>
    <row r="833">
      <c r="D833" s="160" t="n"/>
      <c r="E833" s="160" t="n"/>
      <c r="F833" s="160" t="n"/>
      <c r="G833" s="160" t="n"/>
      <c r="H833" s="160" t="n"/>
      <c r="I833" s="160" t="n"/>
      <c r="J833" s="160" t="n"/>
      <c r="K833" s="160" t="n"/>
      <c r="L833" s="160" t="n"/>
      <c r="M833" s="160" t="n"/>
      <c r="N833" s="160" t="n"/>
      <c r="O833" s="160" t="n"/>
      <c r="P833" s="160" t="n"/>
      <c r="Q833" s="160" t="n"/>
      <c r="R833" s="160" t="n"/>
      <c r="S833" s="160" t="n"/>
      <c r="T833" s="160" t="n"/>
      <c r="U833" s="160" t="n"/>
      <c r="V833" s="160" t="n"/>
      <c r="W833" s="160" t="n"/>
      <c r="X833" s="160" t="n"/>
      <c r="Y833" s="160" t="n"/>
      <c r="Z833" s="160" t="n"/>
      <c r="AA833" s="160" t="n"/>
      <c r="AB833" s="160" t="n"/>
      <c r="AC833" s="160" t="n"/>
      <c r="AD833" s="160" t="n"/>
      <c r="AE833" s="160" t="n"/>
      <c r="AF833" s="160" t="n"/>
      <c r="AG833" s="160" t="n"/>
      <c r="AH833" s="160" t="n"/>
      <c r="AI833" s="160" t="n"/>
      <c r="AJ833" s="160" t="n"/>
      <c r="AK833" s="160" t="n"/>
      <c r="AL833" s="160" t="n"/>
      <c r="AM833" s="160" t="n"/>
      <c r="AN833" s="160" t="n"/>
      <c r="AO833" s="160" t="n"/>
      <c r="AP833" s="160" t="n"/>
      <c r="AQ833" s="160" t="n"/>
      <c r="AR833" s="160" t="n"/>
    </row>
    <row r="835">
      <c r="A835" s="8">
        <f>IF(HSI!$C$82="","",HSI!$C$82)</f>
        <v/>
      </c>
      <c r="B835" s="158">
        <f>IF($A835="",0,COUNT($E836:$AR836))</f>
        <v/>
      </c>
      <c r="C835" s="159">
        <f>IF($B835=0,0,MAX($E836:$AR836))</f>
        <v/>
      </c>
      <c r="D835" s="101">
        <f>BDS($A835,FLD_HIST,"headers=y","startcol=1","endcol=7","dir=h","DVD_START_DT",HIST_FROM,"DVD_END_DT",HIST_TO)</f>
        <v/>
      </c>
      <c r="E835" s="102" t="n"/>
      <c r="F835" s="102" t="n"/>
      <c r="G835" s="102" t="n"/>
      <c r="H835" s="102" t="n"/>
      <c r="I835" s="102" t="n"/>
      <c r="J835" s="102" t="n"/>
      <c r="K835" s="102" t="n"/>
      <c r="L835" s="102" t="n"/>
      <c r="M835" s="102" t="n"/>
      <c r="N835" s="102" t="n"/>
      <c r="O835" s="102" t="n"/>
      <c r="P835" s="102" t="n"/>
      <c r="Q835" s="102" t="n"/>
      <c r="R835" s="102" t="n"/>
      <c r="S835" s="102" t="n"/>
      <c r="T835" s="102" t="n"/>
      <c r="U835" s="102" t="n"/>
      <c r="V835" s="102" t="n"/>
      <c r="W835" s="102" t="n"/>
      <c r="X835" s="102" t="n"/>
      <c r="Y835" s="102" t="n"/>
      <c r="Z835" s="102" t="n"/>
      <c r="AA835" s="102" t="n"/>
      <c r="AB835" s="102" t="n"/>
      <c r="AC835" s="102" t="n"/>
      <c r="AD835" s="102" t="n"/>
      <c r="AE835" s="102" t="n"/>
      <c r="AF835" s="102" t="n"/>
      <c r="AG835" s="102" t="n"/>
      <c r="AH835" s="102" t="n"/>
      <c r="AI835" s="102" t="n"/>
      <c r="AJ835" s="102" t="n"/>
      <c r="AK835" s="102" t="n"/>
      <c r="AL835" s="102" t="n"/>
      <c r="AM835" s="102" t="n"/>
      <c r="AN835" s="102" t="n"/>
      <c r="AO835" s="102" t="n"/>
      <c r="AP835" s="102" t="n"/>
      <c r="AQ835" s="102" t="n"/>
      <c r="AR835" s="102" t="n"/>
    </row>
    <row r="836">
      <c r="D836" s="102" t="n"/>
      <c r="E836" s="102" t="n"/>
      <c r="F836" s="102" t="n"/>
      <c r="G836" s="102" t="n"/>
      <c r="H836" s="102" t="n"/>
      <c r="I836" s="102" t="n"/>
      <c r="J836" s="102" t="n"/>
      <c r="K836" s="102" t="n"/>
      <c r="L836" s="102" t="n"/>
      <c r="M836" s="102" t="n"/>
      <c r="N836" s="102" t="n"/>
      <c r="O836" s="102" t="n"/>
      <c r="P836" s="102" t="n"/>
      <c r="Q836" s="102" t="n"/>
      <c r="R836" s="102" t="n"/>
      <c r="S836" s="102" t="n"/>
      <c r="T836" s="102" t="n"/>
      <c r="U836" s="102" t="n"/>
      <c r="V836" s="102" t="n"/>
      <c r="W836" s="102" t="n"/>
      <c r="X836" s="102" t="n"/>
      <c r="Y836" s="102" t="n"/>
      <c r="Z836" s="102" t="n"/>
      <c r="AA836" s="102" t="n"/>
      <c r="AB836" s="102" t="n"/>
      <c r="AC836" s="102" t="n"/>
      <c r="AD836" s="102" t="n"/>
      <c r="AE836" s="102" t="n"/>
      <c r="AF836" s="102" t="n"/>
      <c r="AG836" s="102" t="n"/>
      <c r="AH836" s="102" t="n"/>
      <c r="AI836" s="102" t="n"/>
      <c r="AJ836" s="102" t="n"/>
      <c r="AK836" s="102" t="n"/>
      <c r="AL836" s="102" t="n"/>
      <c r="AM836" s="102" t="n"/>
      <c r="AN836" s="102" t="n"/>
      <c r="AO836" s="102" t="n"/>
      <c r="AP836" s="102" t="n"/>
      <c r="AQ836" s="102" t="n"/>
      <c r="AR836" s="102" t="n"/>
    </row>
    <row r="837">
      <c r="D837" s="102" t="n"/>
      <c r="E837" s="102" t="n"/>
      <c r="F837" s="102" t="n"/>
      <c r="G837" s="102" t="n"/>
      <c r="H837" s="102" t="n"/>
      <c r="I837" s="102" t="n"/>
      <c r="J837" s="102" t="n"/>
      <c r="K837" s="102" t="n"/>
      <c r="L837" s="102" t="n"/>
      <c r="M837" s="102" t="n"/>
      <c r="N837" s="102" t="n"/>
      <c r="O837" s="102" t="n"/>
      <c r="P837" s="102" t="n"/>
      <c r="Q837" s="102" t="n"/>
      <c r="R837" s="102" t="n"/>
      <c r="S837" s="102" t="n"/>
      <c r="T837" s="102" t="n"/>
      <c r="U837" s="102" t="n"/>
      <c r="V837" s="102" t="n"/>
      <c r="W837" s="102" t="n"/>
      <c r="X837" s="102" t="n"/>
      <c r="Y837" s="102" t="n"/>
      <c r="Z837" s="102" t="n"/>
      <c r="AA837" s="102" t="n"/>
      <c r="AB837" s="102" t="n"/>
      <c r="AC837" s="102" t="n"/>
      <c r="AD837" s="102" t="n"/>
      <c r="AE837" s="102" t="n"/>
      <c r="AF837" s="102" t="n"/>
      <c r="AG837" s="102" t="n"/>
      <c r="AH837" s="102" t="n"/>
      <c r="AI837" s="102" t="n"/>
      <c r="AJ837" s="102" t="n"/>
      <c r="AK837" s="102" t="n"/>
      <c r="AL837" s="102" t="n"/>
      <c r="AM837" s="102" t="n"/>
      <c r="AN837" s="102" t="n"/>
      <c r="AO837" s="102" t="n"/>
      <c r="AP837" s="102" t="n"/>
      <c r="AQ837" s="102" t="n"/>
      <c r="AR837" s="102" t="n"/>
    </row>
    <row r="838">
      <c r="D838" s="102" t="n"/>
      <c r="E838" s="102" t="n"/>
      <c r="F838" s="102" t="n"/>
      <c r="G838" s="102" t="n"/>
      <c r="H838" s="102" t="n"/>
      <c r="I838" s="102" t="n"/>
      <c r="J838" s="102" t="n"/>
      <c r="K838" s="102" t="n"/>
      <c r="L838" s="102" t="n"/>
      <c r="M838" s="102" t="n"/>
      <c r="N838" s="102" t="n"/>
      <c r="O838" s="102" t="n"/>
      <c r="P838" s="102" t="n"/>
      <c r="Q838" s="102" t="n"/>
      <c r="R838" s="102" t="n"/>
      <c r="S838" s="102" t="n"/>
      <c r="T838" s="102" t="n"/>
      <c r="U838" s="102" t="n"/>
      <c r="V838" s="102" t="n"/>
      <c r="W838" s="102" t="n"/>
      <c r="X838" s="102" t="n"/>
      <c r="Y838" s="102" t="n"/>
      <c r="Z838" s="102" t="n"/>
      <c r="AA838" s="102" t="n"/>
      <c r="AB838" s="102" t="n"/>
      <c r="AC838" s="102" t="n"/>
      <c r="AD838" s="102" t="n"/>
      <c r="AE838" s="102" t="n"/>
      <c r="AF838" s="102" t="n"/>
      <c r="AG838" s="102" t="n"/>
      <c r="AH838" s="102" t="n"/>
      <c r="AI838" s="102" t="n"/>
      <c r="AJ838" s="102" t="n"/>
      <c r="AK838" s="102" t="n"/>
      <c r="AL838" s="102" t="n"/>
      <c r="AM838" s="102" t="n"/>
      <c r="AN838" s="102" t="n"/>
      <c r="AO838" s="102" t="n"/>
      <c r="AP838" s="102" t="n"/>
      <c r="AQ838" s="102" t="n"/>
      <c r="AR838" s="102" t="n"/>
    </row>
    <row r="839">
      <c r="D839" s="160" t="n"/>
      <c r="E839" s="160" t="n"/>
      <c r="F839" s="160" t="n"/>
      <c r="G839" s="160" t="n"/>
      <c r="H839" s="160" t="n"/>
      <c r="I839" s="160" t="n"/>
      <c r="J839" s="160" t="n"/>
      <c r="K839" s="160" t="n"/>
      <c r="L839" s="160" t="n"/>
      <c r="M839" s="160" t="n"/>
      <c r="N839" s="160" t="n"/>
      <c r="O839" s="160" t="n"/>
      <c r="P839" s="160" t="n"/>
      <c r="Q839" s="160" t="n"/>
      <c r="R839" s="160" t="n"/>
      <c r="S839" s="160" t="n"/>
      <c r="T839" s="160" t="n"/>
      <c r="U839" s="160" t="n"/>
      <c r="V839" s="160" t="n"/>
      <c r="W839" s="160" t="n"/>
      <c r="X839" s="160" t="n"/>
      <c r="Y839" s="160" t="n"/>
      <c r="Z839" s="160" t="n"/>
      <c r="AA839" s="160" t="n"/>
      <c r="AB839" s="160" t="n"/>
      <c r="AC839" s="160" t="n"/>
      <c r="AD839" s="160" t="n"/>
      <c r="AE839" s="160" t="n"/>
      <c r="AF839" s="160" t="n"/>
      <c r="AG839" s="160" t="n"/>
      <c r="AH839" s="160" t="n"/>
      <c r="AI839" s="160" t="n"/>
      <c r="AJ839" s="160" t="n"/>
      <c r="AK839" s="160" t="n"/>
      <c r="AL839" s="160" t="n"/>
      <c r="AM839" s="160" t="n"/>
      <c r="AN839" s="160" t="n"/>
      <c r="AO839" s="160" t="n"/>
      <c r="AP839" s="160" t="n"/>
      <c r="AQ839" s="160" t="n"/>
      <c r="AR839" s="160" t="n"/>
    </row>
    <row r="842">
      <c r="A842" s="2">
        <f>IF($A835="","","   projections")</f>
        <v/>
      </c>
      <c r="B842" s="158">
        <f>IF($A835="",0,COUNT($E843:$AR843))</f>
        <v/>
      </c>
      <c r="C842" s="159">
        <f>IF($B842=0,0,MAX($E843:$AR843))</f>
        <v/>
      </c>
      <c r="D842" s="101">
        <f>BDS($A835,FLD_PROJ,"headers=y","startcol=1","endcol=3","dir=h")</f>
        <v/>
      </c>
      <c r="E842" s="102" t="n"/>
      <c r="F842" s="102" t="n"/>
      <c r="G842" s="102" t="n"/>
      <c r="H842" s="102" t="n"/>
      <c r="I842" s="102" t="n"/>
      <c r="J842" s="102" t="n"/>
      <c r="K842" s="102" t="n"/>
      <c r="L842" s="102" t="n"/>
      <c r="M842" s="102" t="n"/>
      <c r="N842" s="102" t="n"/>
      <c r="O842" s="102" t="n"/>
      <c r="P842" s="102" t="n"/>
      <c r="Q842" s="102" t="n"/>
      <c r="R842" s="102" t="n"/>
      <c r="S842" s="102" t="n"/>
      <c r="T842" s="102" t="n"/>
      <c r="U842" s="102" t="n"/>
      <c r="V842" s="102" t="n"/>
      <c r="W842" s="102" t="n"/>
      <c r="X842" s="102" t="n"/>
      <c r="Y842" s="102" t="n"/>
      <c r="Z842" s="102" t="n"/>
      <c r="AA842" s="102" t="n"/>
      <c r="AB842" s="102" t="n"/>
      <c r="AC842" s="102" t="n"/>
      <c r="AD842" s="102" t="n"/>
      <c r="AE842" s="102" t="n"/>
      <c r="AF842" s="102" t="n"/>
      <c r="AG842" s="102" t="n"/>
      <c r="AH842" s="102" t="n"/>
      <c r="AI842" s="102" t="n"/>
      <c r="AJ842" s="102" t="n"/>
      <c r="AK842" s="102" t="n"/>
      <c r="AL842" s="102" t="n"/>
      <c r="AM842" s="102" t="n"/>
      <c r="AN842" s="102" t="n"/>
      <c r="AO842" s="102" t="n"/>
      <c r="AP842" s="102" t="n"/>
      <c r="AQ842" s="102" t="n"/>
      <c r="AR842" s="102" t="n"/>
    </row>
    <row r="843">
      <c r="D843" s="102" t="n"/>
      <c r="E843" s="102" t="n"/>
      <c r="F843" s="102" t="n"/>
      <c r="G843" s="102" t="n"/>
      <c r="H843" s="102" t="n"/>
      <c r="I843" s="102" t="n"/>
      <c r="J843" s="102" t="n"/>
      <c r="K843" s="102" t="n"/>
      <c r="L843" s="102" t="n"/>
      <c r="M843" s="102" t="n"/>
      <c r="N843" s="102" t="n"/>
      <c r="O843" s="102" t="n"/>
      <c r="P843" s="102" t="n"/>
      <c r="Q843" s="102" t="n"/>
      <c r="R843" s="102" t="n"/>
      <c r="S843" s="102" t="n"/>
      <c r="T843" s="102" t="n"/>
      <c r="U843" s="102" t="n"/>
      <c r="V843" s="102" t="n"/>
      <c r="W843" s="102" t="n"/>
      <c r="X843" s="102" t="n"/>
      <c r="Y843" s="102" t="n"/>
      <c r="Z843" s="102" t="n"/>
      <c r="AA843" s="102" t="n"/>
      <c r="AB843" s="102" t="n"/>
      <c r="AC843" s="102" t="n"/>
      <c r="AD843" s="102" t="n"/>
      <c r="AE843" s="102" t="n"/>
      <c r="AF843" s="102" t="n"/>
      <c r="AG843" s="102" t="n"/>
      <c r="AH843" s="102" t="n"/>
      <c r="AI843" s="102" t="n"/>
      <c r="AJ843" s="102" t="n"/>
      <c r="AK843" s="102" t="n"/>
      <c r="AL843" s="102" t="n"/>
      <c r="AM843" s="102" t="n"/>
      <c r="AN843" s="102" t="n"/>
      <c r="AO843" s="102" t="n"/>
      <c r="AP843" s="102" t="n"/>
      <c r="AQ843" s="102" t="n"/>
      <c r="AR843" s="102" t="n"/>
    </row>
    <row r="844">
      <c r="D844" s="160" t="n"/>
      <c r="E844" s="160" t="n"/>
      <c r="F844" s="160" t="n"/>
      <c r="G844" s="160" t="n"/>
      <c r="H844" s="160" t="n"/>
      <c r="I844" s="160" t="n"/>
      <c r="J844" s="160" t="n"/>
      <c r="K844" s="160" t="n"/>
      <c r="L844" s="160" t="n"/>
      <c r="M844" s="160" t="n"/>
      <c r="N844" s="160" t="n"/>
      <c r="O844" s="160" t="n"/>
      <c r="P844" s="160" t="n"/>
      <c r="Q844" s="160" t="n"/>
      <c r="R844" s="160" t="n"/>
      <c r="S844" s="160" t="n"/>
      <c r="T844" s="160" t="n"/>
      <c r="U844" s="160" t="n"/>
      <c r="V844" s="160" t="n"/>
      <c r="W844" s="160" t="n"/>
      <c r="X844" s="160" t="n"/>
      <c r="Y844" s="160" t="n"/>
      <c r="Z844" s="160" t="n"/>
      <c r="AA844" s="160" t="n"/>
      <c r="AB844" s="160" t="n"/>
      <c r="AC844" s="160" t="n"/>
      <c r="AD844" s="160" t="n"/>
      <c r="AE844" s="160" t="n"/>
      <c r="AF844" s="160" t="n"/>
      <c r="AG844" s="160" t="n"/>
      <c r="AH844" s="160" t="n"/>
      <c r="AI844" s="160" t="n"/>
      <c r="AJ844" s="160" t="n"/>
      <c r="AK844" s="160" t="n"/>
      <c r="AL844" s="160" t="n"/>
      <c r="AM844" s="160" t="n"/>
      <c r="AN844" s="160" t="n"/>
      <c r="AO844" s="160" t="n"/>
      <c r="AP844" s="160" t="n"/>
      <c r="AQ844" s="160" t="n"/>
      <c r="AR844" s="160" t="n"/>
    </row>
    <row r="846">
      <c r="A846" s="8">
        <f>IF(HSI!$C$83="","",HSI!$C$83)</f>
        <v/>
      </c>
      <c r="B846" s="158">
        <f>IF($A846="",0,COUNT($E847:$AR847))</f>
        <v/>
      </c>
      <c r="C846" s="159">
        <f>IF($B846=0,0,MAX($E847:$AR847))</f>
        <v/>
      </c>
      <c r="D846" s="101">
        <f>BDS($A846,FLD_HIST,"headers=y","startcol=1","endcol=7","dir=h","DVD_START_DT",HIST_FROM,"DVD_END_DT",HIST_TO)</f>
        <v/>
      </c>
      <c r="E846" s="102" t="n"/>
      <c r="F846" s="102" t="n"/>
      <c r="G846" s="102" t="n"/>
      <c r="H846" s="102" t="n"/>
      <c r="I846" s="102" t="n"/>
      <c r="J846" s="102" t="n"/>
      <c r="K846" s="102" t="n"/>
      <c r="L846" s="102" t="n"/>
      <c r="M846" s="102" t="n"/>
      <c r="N846" s="102" t="n"/>
      <c r="O846" s="102" t="n"/>
      <c r="P846" s="102" t="n"/>
      <c r="Q846" s="102" t="n"/>
      <c r="R846" s="102" t="n"/>
      <c r="S846" s="102" t="n"/>
      <c r="T846" s="102" t="n"/>
      <c r="U846" s="102" t="n"/>
      <c r="V846" s="102" t="n"/>
      <c r="W846" s="102" t="n"/>
      <c r="X846" s="102" t="n"/>
      <c r="Y846" s="102" t="n"/>
      <c r="Z846" s="102" t="n"/>
      <c r="AA846" s="102" t="n"/>
      <c r="AB846" s="102" t="n"/>
      <c r="AC846" s="102" t="n"/>
      <c r="AD846" s="102" t="n"/>
      <c r="AE846" s="102" t="n"/>
      <c r="AF846" s="102" t="n"/>
      <c r="AG846" s="102" t="n"/>
      <c r="AH846" s="102" t="n"/>
      <c r="AI846" s="102" t="n"/>
      <c r="AJ846" s="102" t="n"/>
      <c r="AK846" s="102" t="n"/>
      <c r="AL846" s="102" t="n"/>
      <c r="AM846" s="102" t="n"/>
      <c r="AN846" s="102" t="n"/>
      <c r="AO846" s="102" t="n"/>
      <c r="AP846" s="102" t="n"/>
      <c r="AQ846" s="102" t="n"/>
      <c r="AR846" s="102" t="n"/>
    </row>
    <row r="847">
      <c r="D847" s="102" t="n"/>
      <c r="E847" s="102" t="n"/>
      <c r="F847" s="102" t="n"/>
      <c r="G847" s="102" t="n"/>
      <c r="H847" s="102" t="n"/>
      <c r="I847" s="102" t="n"/>
      <c r="J847" s="102" t="n"/>
      <c r="K847" s="102" t="n"/>
      <c r="L847" s="102" t="n"/>
      <c r="M847" s="102" t="n"/>
      <c r="N847" s="102" t="n"/>
      <c r="O847" s="102" t="n"/>
      <c r="P847" s="102" t="n"/>
      <c r="Q847" s="102" t="n"/>
      <c r="R847" s="102" t="n"/>
      <c r="S847" s="102" t="n"/>
      <c r="T847" s="102" t="n"/>
      <c r="U847" s="102" t="n"/>
      <c r="V847" s="102" t="n"/>
      <c r="W847" s="102" t="n"/>
      <c r="X847" s="102" t="n"/>
      <c r="Y847" s="102" t="n"/>
      <c r="Z847" s="102" t="n"/>
      <c r="AA847" s="102" t="n"/>
      <c r="AB847" s="102" t="n"/>
      <c r="AC847" s="102" t="n"/>
      <c r="AD847" s="102" t="n"/>
      <c r="AE847" s="102" t="n"/>
      <c r="AF847" s="102" t="n"/>
      <c r="AG847" s="102" t="n"/>
      <c r="AH847" s="102" t="n"/>
      <c r="AI847" s="102" t="n"/>
      <c r="AJ847" s="102" t="n"/>
      <c r="AK847" s="102" t="n"/>
      <c r="AL847" s="102" t="n"/>
      <c r="AM847" s="102" t="n"/>
      <c r="AN847" s="102" t="n"/>
      <c r="AO847" s="102" t="n"/>
      <c r="AP847" s="102" t="n"/>
      <c r="AQ847" s="102" t="n"/>
      <c r="AR847" s="102" t="n"/>
    </row>
    <row r="848">
      <c r="D848" s="102" t="n"/>
      <c r="E848" s="102" t="n"/>
      <c r="F848" s="102" t="n"/>
      <c r="G848" s="102" t="n"/>
      <c r="H848" s="102" t="n"/>
      <c r="I848" s="102" t="n"/>
      <c r="J848" s="102" t="n"/>
      <c r="K848" s="102" t="n"/>
      <c r="L848" s="102" t="n"/>
      <c r="M848" s="102" t="n"/>
      <c r="N848" s="102" t="n"/>
      <c r="O848" s="102" t="n"/>
      <c r="P848" s="102" t="n"/>
      <c r="Q848" s="102" t="n"/>
      <c r="R848" s="102" t="n"/>
      <c r="S848" s="102" t="n"/>
      <c r="T848" s="102" t="n"/>
      <c r="U848" s="102" t="n"/>
      <c r="V848" s="102" t="n"/>
      <c r="W848" s="102" t="n"/>
      <c r="X848" s="102" t="n"/>
      <c r="Y848" s="102" t="n"/>
      <c r="Z848" s="102" t="n"/>
      <c r="AA848" s="102" t="n"/>
      <c r="AB848" s="102" t="n"/>
      <c r="AC848" s="102" t="n"/>
      <c r="AD848" s="102" t="n"/>
      <c r="AE848" s="102" t="n"/>
      <c r="AF848" s="102" t="n"/>
      <c r="AG848" s="102" t="n"/>
      <c r="AH848" s="102" t="n"/>
      <c r="AI848" s="102" t="n"/>
      <c r="AJ848" s="102" t="n"/>
      <c r="AK848" s="102" t="n"/>
      <c r="AL848" s="102" t="n"/>
      <c r="AM848" s="102" t="n"/>
      <c r="AN848" s="102" t="n"/>
      <c r="AO848" s="102" t="n"/>
      <c r="AP848" s="102" t="n"/>
      <c r="AQ848" s="102" t="n"/>
      <c r="AR848" s="102" t="n"/>
    </row>
    <row r="849">
      <c r="D849" s="102" t="n"/>
      <c r="E849" s="102" t="n"/>
      <c r="F849" s="102" t="n"/>
      <c r="G849" s="102" t="n"/>
      <c r="H849" s="102" t="n"/>
      <c r="I849" s="102" t="n"/>
      <c r="J849" s="102" t="n"/>
      <c r="K849" s="102" t="n"/>
      <c r="L849" s="102" t="n"/>
      <c r="M849" s="102" t="n"/>
      <c r="N849" s="102" t="n"/>
      <c r="O849" s="102" t="n"/>
      <c r="P849" s="102" t="n"/>
      <c r="Q849" s="102" t="n"/>
      <c r="R849" s="102" t="n"/>
      <c r="S849" s="102" t="n"/>
      <c r="T849" s="102" t="n"/>
      <c r="U849" s="102" t="n"/>
      <c r="V849" s="102" t="n"/>
      <c r="W849" s="102" t="n"/>
      <c r="X849" s="102" t="n"/>
      <c r="Y849" s="102" t="n"/>
      <c r="Z849" s="102" t="n"/>
      <c r="AA849" s="102" t="n"/>
      <c r="AB849" s="102" t="n"/>
      <c r="AC849" s="102" t="n"/>
      <c r="AD849" s="102" t="n"/>
      <c r="AE849" s="102" t="n"/>
      <c r="AF849" s="102" t="n"/>
      <c r="AG849" s="102" t="n"/>
      <c r="AH849" s="102" t="n"/>
      <c r="AI849" s="102" t="n"/>
      <c r="AJ849" s="102" t="n"/>
      <c r="AK849" s="102" t="n"/>
      <c r="AL849" s="102" t="n"/>
      <c r="AM849" s="102" t="n"/>
      <c r="AN849" s="102" t="n"/>
      <c r="AO849" s="102" t="n"/>
      <c r="AP849" s="102" t="n"/>
      <c r="AQ849" s="102" t="n"/>
      <c r="AR849" s="102" t="n"/>
    </row>
    <row r="850">
      <c r="D850" s="160" t="n"/>
      <c r="E850" s="160" t="n"/>
      <c r="F850" s="160" t="n"/>
      <c r="G850" s="160" t="n"/>
      <c r="H850" s="160" t="n"/>
      <c r="I850" s="160" t="n"/>
      <c r="J850" s="160" t="n"/>
      <c r="K850" s="160" t="n"/>
      <c r="L850" s="160" t="n"/>
      <c r="M850" s="160" t="n"/>
      <c r="N850" s="160" t="n"/>
      <c r="O850" s="160" t="n"/>
      <c r="P850" s="160" t="n"/>
      <c r="Q850" s="160" t="n"/>
      <c r="R850" s="160" t="n"/>
      <c r="S850" s="160" t="n"/>
      <c r="T850" s="160" t="n"/>
      <c r="U850" s="160" t="n"/>
      <c r="V850" s="160" t="n"/>
      <c r="W850" s="160" t="n"/>
      <c r="X850" s="160" t="n"/>
      <c r="Y850" s="160" t="n"/>
      <c r="Z850" s="160" t="n"/>
      <c r="AA850" s="160" t="n"/>
      <c r="AB850" s="160" t="n"/>
      <c r="AC850" s="160" t="n"/>
      <c r="AD850" s="160" t="n"/>
      <c r="AE850" s="160" t="n"/>
      <c r="AF850" s="160" t="n"/>
      <c r="AG850" s="160" t="n"/>
      <c r="AH850" s="160" t="n"/>
      <c r="AI850" s="160" t="n"/>
      <c r="AJ850" s="160" t="n"/>
      <c r="AK850" s="160" t="n"/>
      <c r="AL850" s="160" t="n"/>
      <c r="AM850" s="160" t="n"/>
      <c r="AN850" s="160" t="n"/>
      <c r="AO850" s="160" t="n"/>
      <c r="AP850" s="160" t="n"/>
      <c r="AQ850" s="160" t="n"/>
      <c r="AR850" s="160" t="n"/>
    </row>
    <row r="853">
      <c r="A853" s="2">
        <f>IF($A846="","","   projections")</f>
        <v/>
      </c>
      <c r="B853" s="158">
        <f>IF($A846="",0,COUNT($E854:$AR854))</f>
        <v/>
      </c>
      <c r="C853" s="159">
        <f>IF($B853=0,0,MAX($E854:$AR854))</f>
        <v/>
      </c>
      <c r="D853" s="101">
        <f>BDS($A846,FLD_PROJ,"headers=y","startcol=1","endcol=3","dir=h")</f>
        <v/>
      </c>
      <c r="E853" s="102" t="n"/>
      <c r="F853" s="102" t="n"/>
      <c r="G853" s="102" t="n"/>
      <c r="H853" s="102" t="n"/>
      <c r="I853" s="102" t="n"/>
      <c r="J853" s="102" t="n"/>
      <c r="K853" s="102" t="n"/>
      <c r="L853" s="102" t="n"/>
      <c r="M853" s="102" t="n"/>
      <c r="N853" s="102" t="n"/>
      <c r="O853" s="102" t="n"/>
      <c r="P853" s="102" t="n"/>
      <c r="Q853" s="102" t="n"/>
      <c r="R853" s="102" t="n"/>
      <c r="S853" s="102" t="n"/>
      <c r="T853" s="102" t="n"/>
      <c r="U853" s="102" t="n"/>
      <c r="V853" s="102" t="n"/>
      <c r="W853" s="102" t="n"/>
      <c r="X853" s="102" t="n"/>
      <c r="Y853" s="102" t="n"/>
      <c r="Z853" s="102" t="n"/>
      <c r="AA853" s="102" t="n"/>
      <c r="AB853" s="102" t="n"/>
      <c r="AC853" s="102" t="n"/>
      <c r="AD853" s="102" t="n"/>
      <c r="AE853" s="102" t="n"/>
      <c r="AF853" s="102" t="n"/>
      <c r="AG853" s="102" t="n"/>
      <c r="AH853" s="102" t="n"/>
      <c r="AI853" s="102" t="n"/>
      <c r="AJ853" s="102" t="n"/>
      <c r="AK853" s="102" t="n"/>
      <c r="AL853" s="102" t="n"/>
      <c r="AM853" s="102" t="n"/>
      <c r="AN853" s="102" t="n"/>
      <c r="AO853" s="102" t="n"/>
      <c r="AP853" s="102" t="n"/>
      <c r="AQ853" s="102" t="n"/>
      <c r="AR853" s="102" t="n"/>
    </row>
    <row r="854">
      <c r="D854" s="102" t="n"/>
      <c r="E854" s="102" t="n"/>
      <c r="F854" s="102" t="n"/>
      <c r="G854" s="102" t="n"/>
      <c r="H854" s="102" t="n"/>
      <c r="I854" s="102" t="n"/>
      <c r="J854" s="102" t="n"/>
      <c r="K854" s="102" t="n"/>
      <c r="L854" s="102" t="n"/>
      <c r="M854" s="102" t="n"/>
      <c r="N854" s="102" t="n"/>
      <c r="O854" s="102" t="n"/>
      <c r="P854" s="102" t="n"/>
      <c r="Q854" s="102" t="n"/>
      <c r="R854" s="102" t="n"/>
      <c r="S854" s="102" t="n"/>
      <c r="T854" s="102" t="n"/>
      <c r="U854" s="102" t="n"/>
      <c r="V854" s="102" t="n"/>
      <c r="W854" s="102" t="n"/>
      <c r="X854" s="102" t="n"/>
      <c r="Y854" s="102" t="n"/>
      <c r="Z854" s="102" t="n"/>
      <c r="AA854" s="102" t="n"/>
      <c r="AB854" s="102" t="n"/>
      <c r="AC854" s="102" t="n"/>
      <c r="AD854" s="102" t="n"/>
      <c r="AE854" s="102" t="n"/>
      <c r="AF854" s="102" t="n"/>
      <c r="AG854" s="102" t="n"/>
      <c r="AH854" s="102" t="n"/>
      <c r="AI854" s="102" t="n"/>
      <c r="AJ854" s="102" t="n"/>
      <c r="AK854" s="102" t="n"/>
      <c r="AL854" s="102" t="n"/>
      <c r="AM854" s="102" t="n"/>
      <c r="AN854" s="102" t="n"/>
      <c r="AO854" s="102" t="n"/>
      <c r="AP854" s="102" t="n"/>
      <c r="AQ854" s="102" t="n"/>
      <c r="AR854" s="102" t="n"/>
    </row>
    <row r="855">
      <c r="D855" s="160" t="n"/>
      <c r="E855" s="160" t="n"/>
      <c r="F855" s="160" t="n"/>
      <c r="G855" s="160" t="n"/>
      <c r="H855" s="160" t="n"/>
      <c r="I855" s="160" t="n"/>
      <c r="J855" s="160" t="n"/>
      <c r="K855" s="160" t="n"/>
      <c r="L855" s="160" t="n"/>
      <c r="M855" s="160" t="n"/>
      <c r="N855" s="160" t="n"/>
      <c r="O855" s="160" t="n"/>
      <c r="P855" s="160" t="n"/>
      <c r="Q855" s="160" t="n"/>
      <c r="R855" s="160" t="n"/>
      <c r="S855" s="160" t="n"/>
      <c r="T855" s="160" t="n"/>
      <c r="U855" s="160" t="n"/>
      <c r="V855" s="160" t="n"/>
      <c r="W855" s="160" t="n"/>
      <c r="X855" s="160" t="n"/>
      <c r="Y855" s="160" t="n"/>
      <c r="Z855" s="160" t="n"/>
      <c r="AA855" s="160" t="n"/>
      <c r="AB855" s="160" t="n"/>
      <c r="AC855" s="160" t="n"/>
      <c r="AD855" s="160" t="n"/>
      <c r="AE855" s="160" t="n"/>
      <c r="AF855" s="160" t="n"/>
      <c r="AG855" s="160" t="n"/>
      <c r="AH855" s="160" t="n"/>
      <c r="AI855" s="160" t="n"/>
      <c r="AJ855" s="160" t="n"/>
      <c r="AK855" s="160" t="n"/>
      <c r="AL855" s="160" t="n"/>
      <c r="AM855" s="160" t="n"/>
      <c r="AN855" s="160" t="n"/>
      <c r="AO855" s="160" t="n"/>
      <c r="AP855" s="160" t="n"/>
      <c r="AQ855" s="160" t="n"/>
      <c r="AR855" s="160" t="n"/>
    </row>
    <row r="857">
      <c r="A857" s="8">
        <f>IF(HSI!$C$84="","",HSI!$C$84)</f>
        <v/>
      </c>
      <c r="B857" s="158">
        <f>IF($A857="",0,COUNT($E858:$AR858))</f>
        <v/>
      </c>
      <c r="C857" s="159">
        <f>IF($B857=0,0,MAX($E858:$AR858))</f>
        <v/>
      </c>
      <c r="D857" s="101">
        <f>BDS($A857,FLD_HIST,"headers=y","startcol=1","endcol=7","dir=h","DVD_START_DT",HIST_FROM,"DVD_END_DT",HIST_TO)</f>
        <v/>
      </c>
      <c r="E857" s="102" t="n"/>
      <c r="F857" s="102" t="n"/>
      <c r="G857" s="102" t="n"/>
      <c r="H857" s="102" t="n"/>
      <c r="I857" s="102" t="n"/>
      <c r="J857" s="102" t="n"/>
      <c r="K857" s="102" t="n"/>
      <c r="L857" s="102" t="n"/>
      <c r="M857" s="102" t="n"/>
      <c r="N857" s="102" t="n"/>
      <c r="O857" s="102" t="n"/>
      <c r="P857" s="102" t="n"/>
      <c r="Q857" s="102" t="n"/>
      <c r="R857" s="102" t="n"/>
      <c r="S857" s="102" t="n"/>
      <c r="T857" s="102" t="n"/>
      <c r="U857" s="102" t="n"/>
      <c r="V857" s="102" t="n"/>
      <c r="W857" s="102" t="n"/>
      <c r="X857" s="102" t="n"/>
      <c r="Y857" s="102" t="n"/>
      <c r="Z857" s="102" t="n"/>
      <c r="AA857" s="102" t="n"/>
      <c r="AB857" s="102" t="n"/>
      <c r="AC857" s="102" t="n"/>
      <c r="AD857" s="102" t="n"/>
      <c r="AE857" s="102" t="n"/>
      <c r="AF857" s="102" t="n"/>
      <c r="AG857" s="102" t="n"/>
      <c r="AH857" s="102" t="n"/>
      <c r="AI857" s="102" t="n"/>
      <c r="AJ857" s="102" t="n"/>
      <c r="AK857" s="102" t="n"/>
      <c r="AL857" s="102" t="n"/>
      <c r="AM857" s="102" t="n"/>
      <c r="AN857" s="102" t="n"/>
      <c r="AO857" s="102" t="n"/>
      <c r="AP857" s="102" t="n"/>
      <c r="AQ857" s="102" t="n"/>
      <c r="AR857" s="102" t="n"/>
    </row>
    <row r="858">
      <c r="D858" s="102" t="n"/>
      <c r="E858" s="102" t="n"/>
      <c r="F858" s="102" t="n"/>
      <c r="G858" s="102" t="n"/>
      <c r="H858" s="102" t="n"/>
      <c r="I858" s="102" t="n"/>
      <c r="J858" s="102" t="n"/>
      <c r="K858" s="102" t="n"/>
      <c r="L858" s="102" t="n"/>
      <c r="M858" s="102" t="n"/>
      <c r="N858" s="102" t="n"/>
      <c r="O858" s="102" t="n"/>
      <c r="P858" s="102" t="n"/>
      <c r="Q858" s="102" t="n"/>
      <c r="R858" s="102" t="n"/>
      <c r="S858" s="102" t="n"/>
      <c r="T858" s="102" t="n"/>
      <c r="U858" s="102" t="n"/>
      <c r="V858" s="102" t="n"/>
      <c r="W858" s="102" t="n"/>
      <c r="X858" s="102" t="n"/>
      <c r="Y858" s="102" t="n"/>
      <c r="Z858" s="102" t="n"/>
      <c r="AA858" s="102" t="n"/>
      <c r="AB858" s="102" t="n"/>
      <c r="AC858" s="102" t="n"/>
      <c r="AD858" s="102" t="n"/>
      <c r="AE858" s="102" t="n"/>
      <c r="AF858" s="102" t="n"/>
      <c r="AG858" s="102" t="n"/>
      <c r="AH858" s="102" t="n"/>
      <c r="AI858" s="102" t="n"/>
      <c r="AJ858" s="102" t="n"/>
      <c r="AK858" s="102" t="n"/>
      <c r="AL858" s="102" t="n"/>
      <c r="AM858" s="102" t="n"/>
      <c r="AN858" s="102" t="n"/>
      <c r="AO858" s="102" t="n"/>
      <c r="AP858" s="102" t="n"/>
      <c r="AQ858" s="102" t="n"/>
      <c r="AR858" s="102" t="n"/>
    </row>
    <row r="859">
      <c r="D859" s="102" t="n"/>
      <c r="E859" s="102" t="n"/>
      <c r="F859" s="102" t="n"/>
      <c r="G859" s="102" t="n"/>
      <c r="H859" s="102" t="n"/>
      <c r="I859" s="102" t="n"/>
      <c r="J859" s="102" t="n"/>
      <c r="K859" s="102" t="n"/>
      <c r="L859" s="102" t="n"/>
      <c r="M859" s="102" t="n"/>
      <c r="N859" s="102" t="n"/>
      <c r="O859" s="102" t="n"/>
      <c r="P859" s="102" t="n"/>
      <c r="Q859" s="102" t="n"/>
      <c r="R859" s="102" t="n"/>
      <c r="S859" s="102" t="n"/>
      <c r="T859" s="102" t="n"/>
      <c r="U859" s="102" t="n"/>
      <c r="V859" s="102" t="n"/>
      <c r="W859" s="102" t="n"/>
      <c r="X859" s="102" t="n"/>
      <c r="Y859" s="102" t="n"/>
      <c r="Z859" s="102" t="n"/>
      <c r="AA859" s="102" t="n"/>
      <c r="AB859" s="102" t="n"/>
      <c r="AC859" s="102" t="n"/>
      <c r="AD859" s="102" t="n"/>
      <c r="AE859" s="102" t="n"/>
      <c r="AF859" s="102" t="n"/>
      <c r="AG859" s="102" t="n"/>
      <c r="AH859" s="102" t="n"/>
      <c r="AI859" s="102" t="n"/>
      <c r="AJ859" s="102" t="n"/>
      <c r="AK859" s="102" t="n"/>
      <c r="AL859" s="102" t="n"/>
      <c r="AM859" s="102" t="n"/>
      <c r="AN859" s="102" t="n"/>
      <c r="AO859" s="102" t="n"/>
      <c r="AP859" s="102" t="n"/>
      <c r="AQ859" s="102" t="n"/>
      <c r="AR859" s="102" t="n"/>
    </row>
    <row r="860">
      <c r="D860" s="102" t="n"/>
      <c r="E860" s="102" t="n"/>
      <c r="F860" s="102" t="n"/>
      <c r="G860" s="102" t="n"/>
      <c r="H860" s="102" t="n"/>
      <c r="I860" s="102" t="n"/>
      <c r="J860" s="102" t="n"/>
      <c r="K860" s="102" t="n"/>
      <c r="L860" s="102" t="n"/>
      <c r="M860" s="102" t="n"/>
      <c r="N860" s="102" t="n"/>
      <c r="O860" s="102" t="n"/>
      <c r="P860" s="102" t="n"/>
      <c r="Q860" s="102" t="n"/>
      <c r="R860" s="102" t="n"/>
      <c r="S860" s="102" t="n"/>
      <c r="T860" s="102" t="n"/>
      <c r="U860" s="102" t="n"/>
      <c r="V860" s="102" t="n"/>
      <c r="W860" s="102" t="n"/>
      <c r="X860" s="102" t="n"/>
      <c r="Y860" s="102" t="n"/>
      <c r="Z860" s="102" t="n"/>
      <c r="AA860" s="102" t="n"/>
      <c r="AB860" s="102" t="n"/>
      <c r="AC860" s="102" t="n"/>
      <c r="AD860" s="102" t="n"/>
      <c r="AE860" s="102" t="n"/>
      <c r="AF860" s="102" t="n"/>
      <c r="AG860" s="102" t="n"/>
      <c r="AH860" s="102" t="n"/>
      <c r="AI860" s="102" t="n"/>
      <c r="AJ860" s="102" t="n"/>
      <c r="AK860" s="102" t="n"/>
      <c r="AL860" s="102" t="n"/>
      <c r="AM860" s="102" t="n"/>
      <c r="AN860" s="102" t="n"/>
      <c r="AO860" s="102" t="n"/>
      <c r="AP860" s="102" t="n"/>
      <c r="AQ860" s="102" t="n"/>
      <c r="AR860" s="102" t="n"/>
    </row>
    <row r="861">
      <c r="D861" s="160" t="n"/>
      <c r="E861" s="160" t="n"/>
      <c r="F861" s="160" t="n"/>
      <c r="G861" s="160" t="n"/>
      <c r="H861" s="160" t="n"/>
      <c r="I861" s="160" t="n"/>
      <c r="J861" s="160" t="n"/>
      <c r="K861" s="160" t="n"/>
      <c r="L861" s="160" t="n"/>
      <c r="M861" s="160" t="n"/>
      <c r="N861" s="160" t="n"/>
      <c r="O861" s="160" t="n"/>
      <c r="P861" s="160" t="n"/>
      <c r="Q861" s="160" t="n"/>
      <c r="R861" s="160" t="n"/>
      <c r="S861" s="160" t="n"/>
      <c r="T861" s="160" t="n"/>
      <c r="U861" s="160" t="n"/>
      <c r="V861" s="160" t="n"/>
      <c r="W861" s="160" t="n"/>
      <c r="X861" s="160" t="n"/>
      <c r="Y861" s="160" t="n"/>
      <c r="Z861" s="160" t="n"/>
      <c r="AA861" s="160" t="n"/>
      <c r="AB861" s="160" t="n"/>
      <c r="AC861" s="160" t="n"/>
      <c r="AD861" s="160" t="n"/>
      <c r="AE861" s="160" t="n"/>
      <c r="AF861" s="160" t="n"/>
      <c r="AG861" s="160" t="n"/>
      <c r="AH861" s="160" t="n"/>
      <c r="AI861" s="160" t="n"/>
      <c r="AJ861" s="160" t="n"/>
      <c r="AK861" s="160" t="n"/>
      <c r="AL861" s="160" t="n"/>
      <c r="AM861" s="160" t="n"/>
      <c r="AN861" s="160" t="n"/>
      <c r="AO861" s="160" t="n"/>
      <c r="AP861" s="160" t="n"/>
      <c r="AQ861" s="160" t="n"/>
      <c r="AR861" s="160" t="n"/>
    </row>
    <row r="864">
      <c r="A864" s="2">
        <f>IF($A857="","","   projections")</f>
        <v/>
      </c>
      <c r="B864" s="158">
        <f>IF($A857="",0,COUNT($E865:$AR865))</f>
        <v/>
      </c>
      <c r="C864" s="159">
        <f>IF($B864=0,0,MAX($E865:$AR865))</f>
        <v/>
      </c>
      <c r="D864" s="101">
        <f>BDS($A857,FLD_PROJ,"headers=y","startcol=1","endcol=3","dir=h")</f>
        <v/>
      </c>
      <c r="E864" s="102" t="n"/>
      <c r="F864" s="102" t="n"/>
      <c r="G864" s="102" t="n"/>
      <c r="H864" s="102" t="n"/>
      <c r="I864" s="102" t="n"/>
      <c r="J864" s="102" t="n"/>
      <c r="K864" s="102" t="n"/>
      <c r="L864" s="102" t="n"/>
      <c r="M864" s="102" t="n"/>
      <c r="N864" s="102" t="n"/>
      <c r="O864" s="102" t="n"/>
      <c r="P864" s="102" t="n"/>
      <c r="Q864" s="102" t="n"/>
      <c r="R864" s="102" t="n"/>
      <c r="S864" s="102" t="n"/>
      <c r="T864" s="102" t="n"/>
      <c r="U864" s="102" t="n"/>
      <c r="V864" s="102" t="n"/>
      <c r="W864" s="102" t="n"/>
      <c r="X864" s="102" t="n"/>
      <c r="Y864" s="102" t="n"/>
      <c r="Z864" s="102" t="n"/>
      <c r="AA864" s="102" t="n"/>
      <c r="AB864" s="102" t="n"/>
      <c r="AC864" s="102" t="n"/>
      <c r="AD864" s="102" t="n"/>
      <c r="AE864" s="102" t="n"/>
      <c r="AF864" s="102" t="n"/>
      <c r="AG864" s="102" t="n"/>
      <c r="AH864" s="102" t="n"/>
      <c r="AI864" s="102" t="n"/>
      <c r="AJ864" s="102" t="n"/>
      <c r="AK864" s="102" t="n"/>
      <c r="AL864" s="102" t="n"/>
      <c r="AM864" s="102" t="n"/>
      <c r="AN864" s="102" t="n"/>
      <c r="AO864" s="102" t="n"/>
      <c r="AP864" s="102" t="n"/>
      <c r="AQ864" s="102" t="n"/>
      <c r="AR864" s="102" t="n"/>
    </row>
    <row r="865">
      <c r="D865" s="102" t="n"/>
      <c r="E865" s="102" t="n"/>
      <c r="F865" s="102" t="n"/>
      <c r="G865" s="102" t="n"/>
      <c r="H865" s="102" t="n"/>
      <c r="I865" s="102" t="n"/>
      <c r="J865" s="102" t="n"/>
      <c r="K865" s="102" t="n"/>
      <c r="L865" s="102" t="n"/>
      <c r="M865" s="102" t="n"/>
      <c r="N865" s="102" t="n"/>
      <c r="O865" s="102" t="n"/>
      <c r="P865" s="102" t="n"/>
      <c r="Q865" s="102" t="n"/>
      <c r="R865" s="102" t="n"/>
      <c r="S865" s="102" t="n"/>
      <c r="T865" s="102" t="n"/>
      <c r="U865" s="102" t="n"/>
      <c r="V865" s="102" t="n"/>
      <c r="W865" s="102" t="n"/>
      <c r="X865" s="102" t="n"/>
      <c r="Y865" s="102" t="n"/>
      <c r="Z865" s="102" t="n"/>
      <c r="AA865" s="102" t="n"/>
      <c r="AB865" s="102" t="n"/>
      <c r="AC865" s="102" t="n"/>
      <c r="AD865" s="102" t="n"/>
      <c r="AE865" s="102" t="n"/>
      <c r="AF865" s="102" t="n"/>
      <c r="AG865" s="102" t="n"/>
      <c r="AH865" s="102" t="n"/>
      <c r="AI865" s="102" t="n"/>
      <c r="AJ865" s="102" t="n"/>
      <c r="AK865" s="102" t="n"/>
      <c r="AL865" s="102" t="n"/>
      <c r="AM865" s="102" t="n"/>
      <c r="AN865" s="102" t="n"/>
      <c r="AO865" s="102" t="n"/>
      <c r="AP865" s="102" t="n"/>
      <c r="AQ865" s="102" t="n"/>
      <c r="AR865" s="102" t="n"/>
    </row>
    <row r="866">
      <c r="D866" s="160" t="n"/>
      <c r="E866" s="160" t="n"/>
      <c r="F866" s="160" t="n"/>
      <c r="G866" s="160" t="n"/>
      <c r="H866" s="160" t="n"/>
      <c r="I866" s="160" t="n"/>
      <c r="J866" s="160" t="n"/>
      <c r="K866" s="160" t="n"/>
      <c r="L866" s="160" t="n"/>
      <c r="M866" s="160" t="n"/>
      <c r="N866" s="160" t="n"/>
      <c r="O866" s="160" t="n"/>
      <c r="P866" s="160" t="n"/>
      <c r="Q866" s="160" t="n"/>
      <c r="R866" s="160" t="n"/>
      <c r="S866" s="160" t="n"/>
      <c r="T866" s="160" t="n"/>
      <c r="U866" s="160" t="n"/>
      <c r="V866" s="160" t="n"/>
      <c r="W866" s="160" t="n"/>
      <c r="X866" s="160" t="n"/>
      <c r="Y866" s="160" t="n"/>
      <c r="Z866" s="160" t="n"/>
      <c r="AA866" s="160" t="n"/>
      <c r="AB866" s="160" t="n"/>
      <c r="AC866" s="160" t="n"/>
      <c r="AD866" s="160" t="n"/>
      <c r="AE866" s="160" t="n"/>
      <c r="AF866" s="160" t="n"/>
      <c r="AG866" s="160" t="n"/>
      <c r="AH866" s="160" t="n"/>
      <c r="AI866" s="160" t="n"/>
      <c r="AJ866" s="160" t="n"/>
      <c r="AK866" s="160" t="n"/>
      <c r="AL866" s="160" t="n"/>
      <c r="AM866" s="160" t="n"/>
      <c r="AN866" s="160" t="n"/>
      <c r="AO866" s="160" t="n"/>
      <c r="AP866" s="160" t="n"/>
      <c r="AQ866" s="160" t="n"/>
      <c r="AR866" s="160" t="n"/>
    </row>
    <row r="868">
      <c r="A868" s="8">
        <f>IF(HSI!$C$85="","",HSI!$C$85)</f>
        <v/>
      </c>
      <c r="B868" s="158">
        <f>IF($A868="",0,COUNT($E869:$AR869))</f>
        <v/>
      </c>
      <c r="C868" s="159">
        <f>IF($B868=0,0,MAX($E869:$AR869))</f>
        <v/>
      </c>
      <c r="D868" s="101">
        <f>BDS($A868,FLD_HIST,"headers=y","startcol=1","endcol=7","dir=h","DVD_START_DT",HIST_FROM,"DVD_END_DT",HIST_TO)</f>
        <v/>
      </c>
      <c r="E868" s="102" t="n"/>
      <c r="F868" s="102" t="n"/>
      <c r="G868" s="102" t="n"/>
      <c r="H868" s="102" t="n"/>
      <c r="I868" s="102" t="n"/>
      <c r="J868" s="102" t="n"/>
      <c r="K868" s="102" t="n"/>
      <c r="L868" s="102" t="n"/>
      <c r="M868" s="102" t="n"/>
      <c r="N868" s="102" t="n"/>
      <c r="O868" s="102" t="n"/>
      <c r="P868" s="102" t="n"/>
      <c r="Q868" s="102" t="n"/>
      <c r="R868" s="102" t="n"/>
      <c r="S868" s="102" t="n"/>
      <c r="T868" s="102" t="n"/>
      <c r="U868" s="102" t="n"/>
      <c r="V868" s="102" t="n"/>
      <c r="W868" s="102" t="n"/>
      <c r="X868" s="102" t="n"/>
      <c r="Y868" s="102" t="n"/>
      <c r="Z868" s="102" t="n"/>
      <c r="AA868" s="102" t="n"/>
      <c r="AB868" s="102" t="n"/>
      <c r="AC868" s="102" t="n"/>
      <c r="AD868" s="102" t="n"/>
      <c r="AE868" s="102" t="n"/>
      <c r="AF868" s="102" t="n"/>
      <c r="AG868" s="102" t="n"/>
      <c r="AH868" s="102" t="n"/>
      <c r="AI868" s="102" t="n"/>
      <c r="AJ868" s="102" t="n"/>
      <c r="AK868" s="102" t="n"/>
      <c r="AL868" s="102" t="n"/>
      <c r="AM868" s="102" t="n"/>
      <c r="AN868" s="102" t="n"/>
      <c r="AO868" s="102" t="n"/>
      <c r="AP868" s="102" t="n"/>
      <c r="AQ868" s="102" t="n"/>
      <c r="AR868" s="102" t="n"/>
    </row>
    <row r="869">
      <c r="D869" s="102" t="n"/>
      <c r="E869" s="102" t="n"/>
      <c r="F869" s="102" t="n"/>
      <c r="G869" s="102" t="n"/>
      <c r="H869" s="102" t="n"/>
      <c r="I869" s="102" t="n"/>
      <c r="J869" s="102" t="n"/>
      <c r="K869" s="102" t="n"/>
      <c r="L869" s="102" t="n"/>
      <c r="M869" s="102" t="n"/>
      <c r="N869" s="102" t="n"/>
      <c r="O869" s="102" t="n"/>
      <c r="P869" s="102" t="n"/>
      <c r="Q869" s="102" t="n"/>
      <c r="R869" s="102" t="n"/>
      <c r="S869" s="102" t="n"/>
      <c r="T869" s="102" t="n"/>
      <c r="U869" s="102" t="n"/>
      <c r="V869" s="102" t="n"/>
      <c r="W869" s="102" t="n"/>
      <c r="X869" s="102" t="n"/>
      <c r="Y869" s="102" t="n"/>
      <c r="Z869" s="102" t="n"/>
      <c r="AA869" s="102" t="n"/>
      <c r="AB869" s="102" t="n"/>
      <c r="AC869" s="102" t="n"/>
      <c r="AD869" s="102" t="n"/>
      <c r="AE869" s="102" t="n"/>
      <c r="AF869" s="102" t="n"/>
      <c r="AG869" s="102" t="n"/>
      <c r="AH869" s="102" t="n"/>
      <c r="AI869" s="102" t="n"/>
      <c r="AJ869" s="102" t="n"/>
      <c r="AK869" s="102" t="n"/>
      <c r="AL869" s="102" t="n"/>
      <c r="AM869" s="102" t="n"/>
      <c r="AN869" s="102" t="n"/>
      <c r="AO869" s="102" t="n"/>
      <c r="AP869" s="102" t="n"/>
      <c r="AQ869" s="102" t="n"/>
      <c r="AR869" s="102" t="n"/>
    </row>
    <row r="870">
      <c r="D870" s="102" t="n"/>
      <c r="E870" s="102" t="n"/>
      <c r="F870" s="102" t="n"/>
      <c r="G870" s="102" t="n"/>
      <c r="H870" s="102" t="n"/>
      <c r="I870" s="102" t="n"/>
      <c r="J870" s="102" t="n"/>
      <c r="K870" s="102" t="n"/>
      <c r="L870" s="102" t="n"/>
      <c r="M870" s="102" t="n"/>
      <c r="N870" s="102" t="n"/>
      <c r="O870" s="102" t="n"/>
      <c r="P870" s="102" t="n"/>
      <c r="Q870" s="102" t="n"/>
      <c r="R870" s="102" t="n"/>
      <c r="S870" s="102" t="n"/>
      <c r="T870" s="102" t="n"/>
      <c r="U870" s="102" t="n"/>
      <c r="V870" s="102" t="n"/>
      <c r="W870" s="102" t="n"/>
      <c r="X870" s="102" t="n"/>
      <c r="Y870" s="102" t="n"/>
      <c r="Z870" s="102" t="n"/>
      <c r="AA870" s="102" t="n"/>
      <c r="AB870" s="102" t="n"/>
      <c r="AC870" s="102" t="n"/>
      <c r="AD870" s="102" t="n"/>
      <c r="AE870" s="102" t="n"/>
      <c r="AF870" s="102" t="n"/>
      <c r="AG870" s="102" t="n"/>
      <c r="AH870" s="102" t="n"/>
      <c r="AI870" s="102" t="n"/>
      <c r="AJ870" s="102" t="n"/>
      <c r="AK870" s="102" t="n"/>
      <c r="AL870" s="102" t="n"/>
      <c r="AM870" s="102" t="n"/>
      <c r="AN870" s="102" t="n"/>
      <c r="AO870" s="102" t="n"/>
      <c r="AP870" s="102" t="n"/>
      <c r="AQ870" s="102" t="n"/>
      <c r="AR870" s="102" t="n"/>
    </row>
    <row r="871">
      <c r="D871" s="102" t="n"/>
      <c r="E871" s="102" t="n"/>
      <c r="F871" s="102" t="n"/>
      <c r="G871" s="102" t="n"/>
      <c r="H871" s="102" t="n"/>
      <c r="I871" s="102" t="n"/>
      <c r="J871" s="102" t="n"/>
      <c r="K871" s="102" t="n"/>
      <c r="L871" s="102" t="n"/>
      <c r="M871" s="102" t="n"/>
      <c r="N871" s="102" t="n"/>
      <c r="O871" s="102" t="n"/>
      <c r="P871" s="102" t="n"/>
      <c r="Q871" s="102" t="n"/>
      <c r="R871" s="102" t="n"/>
      <c r="S871" s="102" t="n"/>
      <c r="T871" s="102" t="n"/>
      <c r="U871" s="102" t="n"/>
      <c r="V871" s="102" t="n"/>
      <c r="W871" s="102" t="n"/>
      <c r="X871" s="102" t="n"/>
      <c r="Y871" s="102" t="n"/>
      <c r="Z871" s="102" t="n"/>
      <c r="AA871" s="102" t="n"/>
      <c r="AB871" s="102" t="n"/>
      <c r="AC871" s="102" t="n"/>
      <c r="AD871" s="102" t="n"/>
      <c r="AE871" s="102" t="n"/>
      <c r="AF871" s="102" t="n"/>
      <c r="AG871" s="102" t="n"/>
      <c r="AH871" s="102" t="n"/>
      <c r="AI871" s="102" t="n"/>
      <c r="AJ871" s="102" t="n"/>
      <c r="AK871" s="102" t="n"/>
      <c r="AL871" s="102" t="n"/>
      <c r="AM871" s="102" t="n"/>
      <c r="AN871" s="102" t="n"/>
      <c r="AO871" s="102" t="n"/>
      <c r="AP871" s="102" t="n"/>
      <c r="AQ871" s="102" t="n"/>
      <c r="AR871" s="102" t="n"/>
    </row>
    <row r="872">
      <c r="D872" s="160" t="n"/>
      <c r="E872" s="160" t="n"/>
      <c r="F872" s="160" t="n"/>
      <c r="G872" s="160" t="n"/>
      <c r="H872" s="160" t="n"/>
      <c r="I872" s="160" t="n"/>
      <c r="J872" s="160" t="n"/>
      <c r="K872" s="160" t="n"/>
      <c r="L872" s="160" t="n"/>
      <c r="M872" s="160" t="n"/>
      <c r="N872" s="160" t="n"/>
      <c r="O872" s="160" t="n"/>
      <c r="P872" s="160" t="n"/>
      <c r="Q872" s="160" t="n"/>
      <c r="R872" s="160" t="n"/>
      <c r="S872" s="160" t="n"/>
      <c r="T872" s="160" t="n"/>
      <c r="U872" s="160" t="n"/>
      <c r="V872" s="160" t="n"/>
      <c r="W872" s="160" t="n"/>
      <c r="X872" s="160" t="n"/>
      <c r="Y872" s="160" t="n"/>
      <c r="Z872" s="160" t="n"/>
      <c r="AA872" s="160" t="n"/>
      <c r="AB872" s="160" t="n"/>
      <c r="AC872" s="160" t="n"/>
      <c r="AD872" s="160" t="n"/>
      <c r="AE872" s="160" t="n"/>
      <c r="AF872" s="160" t="n"/>
      <c r="AG872" s="160" t="n"/>
      <c r="AH872" s="160" t="n"/>
      <c r="AI872" s="160" t="n"/>
      <c r="AJ872" s="160" t="n"/>
      <c r="AK872" s="160" t="n"/>
      <c r="AL872" s="160" t="n"/>
      <c r="AM872" s="160" t="n"/>
      <c r="AN872" s="160" t="n"/>
      <c r="AO872" s="160" t="n"/>
      <c r="AP872" s="160" t="n"/>
      <c r="AQ872" s="160" t="n"/>
      <c r="AR872" s="160" t="n"/>
    </row>
    <row r="875">
      <c r="A875" s="2">
        <f>IF($A868="","","   projections")</f>
        <v/>
      </c>
      <c r="B875" s="158">
        <f>IF($A868="",0,COUNT($E876:$AR876))</f>
        <v/>
      </c>
      <c r="C875" s="159">
        <f>IF($B875=0,0,MAX($E876:$AR876))</f>
        <v/>
      </c>
      <c r="D875" s="101">
        <f>BDS($A868,FLD_PROJ,"headers=y","startcol=1","endcol=3","dir=h")</f>
        <v/>
      </c>
      <c r="E875" s="102" t="n"/>
      <c r="F875" s="102" t="n"/>
      <c r="G875" s="102" t="n"/>
      <c r="H875" s="102" t="n"/>
      <c r="I875" s="102" t="n"/>
      <c r="J875" s="102" t="n"/>
      <c r="K875" s="102" t="n"/>
      <c r="L875" s="102" t="n"/>
      <c r="M875" s="102" t="n"/>
      <c r="N875" s="102" t="n"/>
      <c r="O875" s="102" t="n"/>
      <c r="P875" s="102" t="n"/>
      <c r="Q875" s="102" t="n"/>
      <c r="R875" s="102" t="n"/>
      <c r="S875" s="102" t="n"/>
      <c r="T875" s="102" t="n"/>
      <c r="U875" s="102" t="n"/>
      <c r="V875" s="102" t="n"/>
      <c r="W875" s="102" t="n"/>
      <c r="X875" s="102" t="n"/>
      <c r="Y875" s="102" t="n"/>
      <c r="Z875" s="102" t="n"/>
      <c r="AA875" s="102" t="n"/>
      <c r="AB875" s="102" t="n"/>
      <c r="AC875" s="102" t="n"/>
      <c r="AD875" s="102" t="n"/>
      <c r="AE875" s="102" t="n"/>
      <c r="AF875" s="102" t="n"/>
      <c r="AG875" s="102" t="n"/>
      <c r="AH875" s="102" t="n"/>
      <c r="AI875" s="102" t="n"/>
      <c r="AJ875" s="102" t="n"/>
      <c r="AK875" s="102" t="n"/>
      <c r="AL875" s="102" t="n"/>
      <c r="AM875" s="102" t="n"/>
      <c r="AN875" s="102" t="n"/>
      <c r="AO875" s="102" t="n"/>
      <c r="AP875" s="102" t="n"/>
      <c r="AQ875" s="102" t="n"/>
      <c r="AR875" s="102" t="n"/>
    </row>
    <row r="876">
      <c r="D876" s="102" t="n"/>
      <c r="E876" s="102" t="n"/>
      <c r="F876" s="102" t="n"/>
      <c r="G876" s="102" t="n"/>
      <c r="H876" s="102" t="n"/>
      <c r="I876" s="102" t="n"/>
      <c r="J876" s="102" t="n"/>
      <c r="K876" s="102" t="n"/>
      <c r="L876" s="102" t="n"/>
      <c r="M876" s="102" t="n"/>
      <c r="N876" s="102" t="n"/>
      <c r="O876" s="102" t="n"/>
      <c r="P876" s="102" t="n"/>
      <c r="Q876" s="102" t="n"/>
      <c r="R876" s="102" t="n"/>
      <c r="S876" s="102" t="n"/>
      <c r="T876" s="102" t="n"/>
      <c r="U876" s="102" t="n"/>
      <c r="V876" s="102" t="n"/>
      <c r="W876" s="102" t="n"/>
      <c r="X876" s="102" t="n"/>
      <c r="Y876" s="102" t="n"/>
      <c r="Z876" s="102" t="n"/>
      <c r="AA876" s="102" t="n"/>
      <c r="AB876" s="102" t="n"/>
      <c r="AC876" s="102" t="n"/>
      <c r="AD876" s="102" t="n"/>
      <c r="AE876" s="102" t="n"/>
      <c r="AF876" s="102" t="n"/>
      <c r="AG876" s="102" t="n"/>
      <c r="AH876" s="102" t="n"/>
      <c r="AI876" s="102" t="n"/>
      <c r="AJ876" s="102" t="n"/>
      <c r="AK876" s="102" t="n"/>
      <c r="AL876" s="102" t="n"/>
      <c r="AM876" s="102" t="n"/>
      <c r="AN876" s="102" t="n"/>
      <c r="AO876" s="102" t="n"/>
      <c r="AP876" s="102" t="n"/>
      <c r="AQ876" s="102" t="n"/>
      <c r="AR876" s="102" t="n"/>
    </row>
    <row r="877">
      <c r="D877" s="160" t="n"/>
      <c r="E877" s="160" t="n"/>
      <c r="F877" s="160" t="n"/>
      <c r="G877" s="160" t="n"/>
      <c r="H877" s="160" t="n"/>
      <c r="I877" s="160" t="n"/>
      <c r="J877" s="160" t="n"/>
      <c r="K877" s="160" t="n"/>
      <c r="L877" s="160" t="n"/>
      <c r="M877" s="160" t="n"/>
      <c r="N877" s="160" t="n"/>
      <c r="O877" s="160" t="n"/>
      <c r="P877" s="160" t="n"/>
      <c r="Q877" s="160" t="n"/>
      <c r="R877" s="160" t="n"/>
      <c r="S877" s="160" t="n"/>
      <c r="T877" s="160" t="n"/>
      <c r="U877" s="160" t="n"/>
      <c r="V877" s="160" t="n"/>
      <c r="W877" s="160" t="n"/>
      <c r="X877" s="160" t="n"/>
      <c r="Y877" s="160" t="n"/>
      <c r="Z877" s="160" t="n"/>
      <c r="AA877" s="160" t="n"/>
      <c r="AB877" s="160" t="n"/>
      <c r="AC877" s="160" t="n"/>
      <c r="AD877" s="160" t="n"/>
      <c r="AE877" s="160" t="n"/>
      <c r="AF877" s="160" t="n"/>
      <c r="AG877" s="160" t="n"/>
      <c r="AH877" s="160" t="n"/>
      <c r="AI877" s="160" t="n"/>
      <c r="AJ877" s="160" t="n"/>
      <c r="AK877" s="160" t="n"/>
      <c r="AL877" s="160" t="n"/>
      <c r="AM877" s="160" t="n"/>
      <c r="AN877" s="160" t="n"/>
      <c r="AO877" s="160" t="n"/>
      <c r="AP877" s="160" t="n"/>
      <c r="AQ877" s="160" t="n"/>
      <c r="AR877" s="160" t="n"/>
    </row>
    <row r="879">
      <c r="A879" s="8">
        <f>IF(HSI!$C$86="","",HSI!$C$86)</f>
        <v/>
      </c>
      <c r="B879" s="158">
        <f>IF($A879="",0,COUNT($E880:$AR880))</f>
        <v/>
      </c>
      <c r="C879" s="159">
        <f>IF($B879=0,0,MAX($E880:$AR880))</f>
        <v/>
      </c>
      <c r="D879" s="101">
        <f>BDS($A879,FLD_HIST,"headers=y","startcol=1","endcol=7","dir=h","DVD_START_DT",HIST_FROM,"DVD_END_DT",HIST_TO)</f>
        <v/>
      </c>
      <c r="E879" s="102" t="n"/>
      <c r="F879" s="102" t="n"/>
      <c r="G879" s="102" t="n"/>
      <c r="H879" s="102" t="n"/>
      <c r="I879" s="102" t="n"/>
      <c r="J879" s="102" t="n"/>
      <c r="K879" s="102" t="n"/>
      <c r="L879" s="102" t="n"/>
      <c r="M879" s="102" t="n"/>
      <c r="N879" s="102" t="n"/>
      <c r="O879" s="102" t="n"/>
      <c r="P879" s="102" t="n"/>
      <c r="Q879" s="102" t="n"/>
      <c r="R879" s="102" t="n"/>
      <c r="S879" s="102" t="n"/>
      <c r="T879" s="102" t="n"/>
      <c r="U879" s="102" t="n"/>
      <c r="V879" s="102" t="n"/>
      <c r="W879" s="102" t="n"/>
      <c r="X879" s="102" t="n"/>
      <c r="Y879" s="102" t="n"/>
      <c r="Z879" s="102" t="n"/>
      <c r="AA879" s="102" t="n"/>
      <c r="AB879" s="102" t="n"/>
      <c r="AC879" s="102" t="n"/>
      <c r="AD879" s="102" t="n"/>
      <c r="AE879" s="102" t="n"/>
      <c r="AF879" s="102" t="n"/>
      <c r="AG879" s="102" t="n"/>
      <c r="AH879" s="102" t="n"/>
      <c r="AI879" s="102" t="n"/>
      <c r="AJ879" s="102" t="n"/>
      <c r="AK879" s="102" t="n"/>
      <c r="AL879" s="102" t="n"/>
      <c r="AM879" s="102" t="n"/>
      <c r="AN879" s="102" t="n"/>
      <c r="AO879" s="102" t="n"/>
      <c r="AP879" s="102" t="n"/>
      <c r="AQ879" s="102" t="n"/>
      <c r="AR879" s="102" t="n"/>
    </row>
    <row r="880">
      <c r="D880" s="102" t="n"/>
      <c r="E880" s="102" t="n"/>
      <c r="F880" s="102" t="n"/>
      <c r="G880" s="102" t="n"/>
      <c r="H880" s="102" t="n"/>
      <c r="I880" s="102" t="n"/>
      <c r="J880" s="102" t="n"/>
      <c r="K880" s="102" t="n"/>
      <c r="L880" s="102" t="n"/>
      <c r="M880" s="102" t="n"/>
      <c r="N880" s="102" t="n"/>
      <c r="O880" s="102" t="n"/>
      <c r="P880" s="102" t="n"/>
      <c r="Q880" s="102" t="n"/>
      <c r="R880" s="102" t="n"/>
      <c r="S880" s="102" t="n"/>
      <c r="T880" s="102" t="n"/>
      <c r="U880" s="102" t="n"/>
      <c r="V880" s="102" t="n"/>
      <c r="W880" s="102" t="n"/>
      <c r="X880" s="102" t="n"/>
      <c r="Y880" s="102" t="n"/>
      <c r="Z880" s="102" t="n"/>
      <c r="AA880" s="102" t="n"/>
      <c r="AB880" s="102" t="n"/>
      <c r="AC880" s="102" t="n"/>
      <c r="AD880" s="102" t="n"/>
      <c r="AE880" s="102" t="n"/>
      <c r="AF880" s="102" t="n"/>
      <c r="AG880" s="102" t="n"/>
      <c r="AH880" s="102" t="n"/>
      <c r="AI880" s="102" t="n"/>
      <c r="AJ880" s="102" t="n"/>
      <c r="AK880" s="102" t="n"/>
      <c r="AL880" s="102" t="n"/>
      <c r="AM880" s="102" t="n"/>
      <c r="AN880" s="102" t="n"/>
      <c r="AO880" s="102" t="n"/>
      <c r="AP880" s="102" t="n"/>
      <c r="AQ880" s="102" t="n"/>
      <c r="AR880" s="102" t="n"/>
    </row>
    <row r="881">
      <c r="D881" s="102" t="n"/>
      <c r="E881" s="102" t="n"/>
      <c r="F881" s="102" t="n"/>
      <c r="G881" s="102" t="n"/>
      <c r="H881" s="102" t="n"/>
      <c r="I881" s="102" t="n"/>
      <c r="J881" s="102" t="n"/>
      <c r="K881" s="102" t="n"/>
      <c r="L881" s="102" t="n"/>
      <c r="M881" s="102" t="n"/>
      <c r="N881" s="102" t="n"/>
      <c r="O881" s="102" t="n"/>
      <c r="P881" s="102" t="n"/>
      <c r="Q881" s="102" t="n"/>
      <c r="R881" s="102" t="n"/>
      <c r="S881" s="102" t="n"/>
      <c r="T881" s="102" t="n"/>
      <c r="U881" s="102" t="n"/>
      <c r="V881" s="102" t="n"/>
      <c r="W881" s="102" t="n"/>
      <c r="X881" s="102" t="n"/>
      <c r="Y881" s="102" t="n"/>
      <c r="Z881" s="102" t="n"/>
      <c r="AA881" s="102" t="n"/>
      <c r="AB881" s="102" t="n"/>
      <c r="AC881" s="102" t="n"/>
      <c r="AD881" s="102" t="n"/>
      <c r="AE881" s="102" t="n"/>
      <c r="AF881" s="102" t="n"/>
      <c r="AG881" s="102" t="n"/>
      <c r="AH881" s="102" t="n"/>
      <c r="AI881" s="102" t="n"/>
      <c r="AJ881" s="102" t="n"/>
      <c r="AK881" s="102" t="n"/>
      <c r="AL881" s="102" t="n"/>
      <c r="AM881" s="102" t="n"/>
      <c r="AN881" s="102" t="n"/>
      <c r="AO881" s="102" t="n"/>
      <c r="AP881" s="102" t="n"/>
      <c r="AQ881" s="102" t="n"/>
      <c r="AR881" s="102" t="n"/>
    </row>
    <row r="882">
      <c r="D882" s="102" t="n"/>
      <c r="E882" s="102" t="n"/>
      <c r="F882" s="102" t="n"/>
      <c r="G882" s="102" t="n"/>
      <c r="H882" s="102" t="n"/>
      <c r="I882" s="102" t="n"/>
      <c r="J882" s="102" t="n"/>
      <c r="K882" s="102" t="n"/>
      <c r="L882" s="102" t="n"/>
      <c r="M882" s="102" t="n"/>
      <c r="N882" s="102" t="n"/>
      <c r="O882" s="102" t="n"/>
      <c r="P882" s="102" t="n"/>
      <c r="Q882" s="102" t="n"/>
      <c r="R882" s="102" t="n"/>
      <c r="S882" s="102" t="n"/>
      <c r="T882" s="102" t="n"/>
      <c r="U882" s="102" t="n"/>
      <c r="V882" s="102" t="n"/>
      <c r="W882" s="102" t="n"/>
      <c r="X882" s="102" t="n"/>
      <c r="Y882" s="102" t="n"/>
      <c r="Z882" s="102" t="n"/>
      <c r="AA882" s="102" t="n"/>
      <c r="AB882" s="102" t="n"/>
      <c r="AC882" s="102" t="n"/>
      <c r="AD882" s="102" t="n"/>
      <c r="AE882" s="102" t="n"/>
      <c r="AF882" s="102" t="n"/>
      <c r="AG882" s="102" t="n"/>
      <c r="AH882" s="102" t="n"/>
      <c r="AI882" s="102" t="n"/>
      <c r="AJ882" s="102" t="n"/>
      <c r="AK882" s="102" t="n"/>
      <c r="AL882" s="102" t="n"/>
      <c r="AM882" s="102" t="n"/>
      <c r="AN882" s="102" t="n"/>
      <c r="AO882" s="102" t="n"/>
      <c r="AP882" s="102" t="n"/>
      <c r="AQ882" s="102" t="n"/>
      <c r="AR882" s="102" t="n"/>
    </row>
    <row r="883">
      <c r="D883" s="160" t="n"/>
      <c r="E883" s="160" t="n"/>
      <c r="F883" s="160" t="n"/>
      <c r="G883" s="160" t="n"/>
      <c r="H883" s="160" t="n"/>
      <c r="I883" s="160" t="n"/>
      <c r="J883" s="160" t="n"/>
      <c r="K883" s="160" t="n"/>
      <c r="L883" s="160" t="n"/>
      <c r="M883" s="160" t="n"/>
      <c r="N883" s="160" t="n"/>
      <c r="O883" s="160" t="n"/>
      <c r="P883" s="160" t="n"/>
      <c r="Q883" s="160" t="n"/>
      <c r="R883" s="160" t="n"/>
      <c r="S883" s="160" t="n"/>
      <c r="T883" s="160" t="n"/>
      <c r="U883" s="160" t="n"/>
      <c r="V883" s="160" t="n"/>
      <c r="W883" s="160" t="n"/>
      <c r="X883" s="160" t="n"/>
      <c r="Y883" s="160" t="n"/>
      <c r="Z883" s="160" t="n"/>
      <c r="AA883" s="160" t="n"/>
      <c r="AB883" s="160" t="n"/>
      <c r="AC883" s="160" t="n"/>
      <c r="AD883" s="160" t="n"/>
      <c r="AE883" s="160" t="n"/>
      <c r="AF883" s="160" t="n"/>
      <c r="AG883" s="160" t="n"/>
      <c r="AH883" s="160" t="n"/>
      <c r="AI883" s="160" t="n"/>
      <c r="AJ883" s="160" t="n"/>
      <c r="AK883" s="160" t="n"/>
      <c r="AL883" s="160" t="n"/>
      <c r="AM883" s="160" t="n"/>
      <c r="AN883" s="160" t="n"/>
      <c r="AO883" s="160" t="n"/>
      <c r="AP883" s="160" t="n"/>
      <c r="AQ883" s="160" t="n"/>
      <c r="AR883" s="160" t="n"/>
    </row>
    <row r="886">
      <c r="A886" s="2">
        <f>IF($A879="","","   projections")</f>
        <v/>
      </c>
      <c r="B886" s="158">
        <f>IF($A879="",0,COUNT($E887:$AR887))</f>
        <v/>
      </c>
      <c r="C886" s="159">
        <f>IF($B886=0,0,MAX($E887:$AR887))</f>
        <v/>
      </c>
      <c r="D886" s="101">
        <f>BDS($A879,FLD_PROJ,"headers=y","startcol=1","endcol=3","dir=h")</f>
        <v/>
      </c>
      <c r="E886" s="102" t="n"/>
      <c r="F886" s="102" t="n"/>
      <c r="G886" s="102" t="n"/>
      <c r="H886" s="102" t="n"/>
      <c r="I886" s="102" t="n"/>
      <c r="J886" s="102" t="n"/>
      <c r="K886" s="102" t="n"/>
      <c r="L886" s="102" t="n"/>
      <c r="M886" s="102" t="n"/>
      <c r="N886" s="102" t="n"/>
      <c r="O886" s="102" t="n"/>
      <c r="P886" s="102" t="n"/>
      <c r="Q886" s="102" t="n"/>
      <c r="R886" s="102" t="n"/>
      <c r="S886" s="102" t="n"/>
      <c r="T886" s="102" t="n"/>
      <c r="U886" s="102" t="n"/>
      <c r="V886" s="102" t="n"/>
      <c r="W886" s="102" t="n"/>
      <c r="X886" s="102" t="n"/>
      <c r="Y886" s="102" t="n"/>
      <c r="Z886" s="102" t="n"/>
      <c r="AA886" s="102" t="n"/>
      <c r="AB886" s="102" t="n"/>
      <c r="AC886" s="102" t="n"/>
      <c r="AD886" s="102" t="n"/>
      <c r="AE886" s="102" t="n"/>
      <c r="AF886" s="102" t="n"/>
      <c r="AG886" s="102" t="n"/>
      <c r="AH886" s="102" t="n"/>
      <c r="AI886" s="102" t="n"/>
      <c r="AJ886" s="102" t="n"/>
      <c r="AK886" s="102" t="n"/>
      <c r="AL886" s="102" t="n"/>
      <c r="AM886" s="102" t="n"/>
      <c r="AN886" s="102" t="n"/>
      <c r="AO886" s="102" t="n"/>
      <c r="AP886" s="102" t="n"/>
      <c r="AQ886" s="102" t="n"/>
      <c r="AR886" s="102" t="n"/>
    </row>
    <row r="887">
      <c r="D887" s="102" t="n"/>
      <c r="E887" s="102" t="n"/>
      <c r="F887" s="102" t="n"/>
      <c r="G887" s="102" t="n"/>
      <c r="H887" s="102" t="n"/>
      <c r="I887" s="102" t="n"/>
      <c r="J887" s="102" t="n"/>
      <c r="K887" s="102" t="n"/>
      <c r="L887" s="102" t="n"/>
      <c r="M887" s="102" t="n"/>
      <c r="N887" s="102" t="n"/>
      <c r="O887" s="102" t="n"/>
      <c r="P887" s="102" t="n"/>
      <c r="Q887" s="102" t="n"/>
      <c r="R887" s="102" t="n"/>
      <c r="S887" s="102" t="n"/>
      <c r="T887" s="102" t="n"/>
      <c r="U887" s="102" t="n"/>
      <c r="V887" s="102" t="n"/>
      <c r="W887" s="102" t="n"/>
      <c r="X887" s="102" t="n"/>
      <c r="Y887" s="102" t="n"/>
      <c r="Z887" s="102" t="n"/>
      <c r="AA887" s="102" t="n"/>
      <c r="AB887" s="102" t="n"/>
      <c r="AC887" s="102" t="n"/>
      <c r="AD887" s="102" t="n"/>
      <c r="AE887" s="102" t="n"/>
      <c r="AF887" s="102" t="n"/>
      <c r="AG887" s="102" t="n"/>
      <c r="AH887" s="102" t="n"/>
      <c r="AI887" s="102" t="n"/>
      <c r="AJ887" s="102" t="n"/>
      <c r="AK887" s="102" t="n"/>
      <c r="AL887" s="102" t="n"/>
      <c r="AM887" s="102" t="n"/>
      <c r="AN887" s="102" t="n"/>
      <c r="AO887" s="102" t="n"/>
      <c r="AP887" s="102" t="n"/>
      <c r="AQ887" s="102" t="n"/>
      <c r="AR887" s="102" t="n"/>
    </row>
    <row r="888">
      <c r="D888" s="160" t="n"/>
      <c r="E888" s="160" t="n"/>
      <c r="F888" s="160" t="n"/>
      <c r="G888" s="160" t="n"/>
      <c r="H888" s="160" t="n"/>
      <c r="I888" s="160" t="n"/>
      <c r="J888" s="160" t="n"/>
      <c r="K888" s="160" t="n"/>
      <c r="L888" s="160" t="n"/>
      <c r="M888" s="160" t="n"/>
      <c r="N888" s="160" t="n"/>
      <c r="O888" s="160" t="n"/>
      <c r="P888" s="160" t="n"/>
      <c r="Q888" s="160" t="n"/>
      <c r="R888" s="160" t="n"/>
      <c r="S888" s="160" t="n"/>
      <c r="T888" s="160" t="n"/>
      <c r="U888" s="160" t="n"/>
      <c r="V888" s="160" t="n"/>
      <c r="W888" s="160" t="n"/>
      <c r="X888" s="160" t="n"/>
      <c r="Y888" s="160" t="n"/>
      <c r="Z888" s="160" t="n"/>
      <c r="AA888" s="160" t="n"/>
      <c r="AB888" s="160" t="n"/>
      <c r="AC888" s="160" t="n"/>
      <c r="AD888" s="160" t="n"/>
      <c r="AE888" s="160" t="n"/>
      <c r="AF888" s="160" t="n"/>
      <c r="AG888" s="160" t="n"/>
      <c r="AH888" s="160" t="n"/>
      <c r="AI888" s="160" t="n"/>
      <c r="AJ888" s="160" t="n"/>
      <c r="AK888" s="160" t="n"/>
      <c r="AL888" s="160" t="n"/>
      <c r="AM888" s="160" t="n"/>
      <c r="AN888" s="160" t="n"/>
      <c r="AO888" s="160" t="n"/>
      <c r="AP888" s="160" t="n"/>
      <c r="AQ888" s="160" t="n"/>
      <c r="AR888" s="160" t="n"/>
    </row>
    <row r="890">
      <c r="A890" s="8">
        <f>IF(HSI!$C$87="","",HSI!$C$87)</f>
        <v/>
      </c>
      <c r="B890" s="158">
        <f>IF($A890="",0,COUNT($E891:$AR891))</f>
        <v/>
      </c>
      <c r="C890" s="159">
        <f>IF($B890=0,0,MAX($E891:$AR891))</f>
        <v/>
      </c>
      <c r="D890" s="101">
        <f>BDS($A890,FLD_HIST,"headers=y","startcol=1","endcol=7","dir=h","DVD_START_DT",HIST_FROM,"DVD_END_DT",HIST_TO)</f>
        <v/>
      </c>
      <c r="E890" s="102" t="n"/>
      <c r="F890" s="102" t="n"/>
      <c r="G890" s="102" t="n"/>
      <c r="H890" s="102" t="n"/>
      <c r="I890" s="102" t="n"/>
      <c r="J890" s="102" t="n"/>
      <c r="K890" s="102" t="n"/>
      <c r="L890" s="102" t="n"/>
      <c r="M890" s="102" t="n"/>
      <c r="N890" s="102" t="n"/>
      <c r="O890" s="102" t="n"/>
      <c r="P890" s="102" t="n"/>
      <c r="Q890" s="102" t="n"/>
      <c r="R890" s="102" t="n"/>
      <c r="S890" s="102" t="n"/>
      <c r="T890" s="102" t="n"/>
      <c r="U890" s="102" t="n"/>
      <c r="V890" s="102" t="n"/>
      <c r="W890" s="102" t="n"/>
      <c r="X890" s="102" t="n"/>
      <c r="Y890" s="102" t="n"/>
      <c r="Z890" s="102" t="n"/>
      <c r="AA890" s="102" t="n"/>
      <c r="AB890" s="102" t="n"/>
      <c r="AC890" s="102" t="n"/>
      <c r="AD890" s="102" t="n"/>
      <c r="AE890" s="102" t="n"/>
      <c r="AF890" s="102" t="n"/>
      <c r="AG890" s="102" t="n"/>
      <c r="AH890" s="102" t="n"/>
      <c r="AI890" s="102" t="n"/>
      <c r="AJ890" s="102" t="n"/>
      <c r="AK890" s="102" t="n"/>
      <c r="AL890" s="102" t="n"/>
      <c r="AM890" s="102" t="n"/>
      <c r="AN890" s="102" t="n"/>
      <c r="AO890" s="102" t="n"/>
      <c r="AP890" s="102" t="n"/>
      <c r="AQ890" s="102" t="n"/>
      <c r="AR890" s="102" t="n"/>
    </row>
    <row r="891">
      <c r="D891" s="102" t="n"/>
      <c r="E891" s="102" t="n"/>
      <c r="F891" s="102" t="n"/>
      <c r="G891" s="102" t="n"/>
      <c r="H891" s="102" t="n"/>
      <c r="I891" s="102" t="n"/>
      <c r="J891" s="102" t="n"/>
      <c r="K891" s="102" t="n"/>
      <c r="L891" s="102" t="n"/>
      <c r="M891" s="102" t="n"/>
      <c r="N891" s="102" t="n"/>
      <c r="O891" s="102" t="n"/>
      <c r="P891" s="102" t="n"/>
      <c r="Q891" s="102" t="n"/>
      <c r="R891" s="102" t="n"/>
      <c r="S891" s="102" t="n"/>
      <c r="T891" s="102" t="n"/>
      <c r="U891" s="102" t="n"/>
      <c r="V891" s="102" t="n"/>
      <c r="W891" s="102" t="n"/>
      <c r="X891" s="102" t="n"/>
      <c r="Y891" s="102" t="n"/>
      <c r="Z891" s="102" t="n"/>
      <c r="AA891" s="102" t="n"/>
      <c r="AB891" s="102" t="n"/>
      <c r="AC891" s="102" t="n"/>
      <c r="AD891" s="102" t="n"/>
      <c r="AE891" s="102" t="n"/>
      <c r="AF891" s="102" t="n"/>
      <c r="AG891" s="102" t="n"/>
      <c r="AH891" s="102" t="n"/>
      <c r="AI891" s="102" t="n"/>
      <c r="AJ891" s="102" t="n"/>
      <c r="AK891" s="102" t="n"/>
      <c r="AL891" s="102" t="n"/>
      <c r="AM891" s="102" t="n"/>
      <c r="AN891" s="102" t="n"/>
      <c r="AO891" s="102" t="n"/>
      <c r="AP891" s="102" t="n"/>
      <c r="AQ891" s="102" t="n"/>
      <c r="AR891" s="102" t="n"/>
    </row>
    <row r="892">
      <c r="D892" s="102" t="n"/>
      <c r="E892" s="102" t="n"/>
      <c r="F892" s="102" t="n"/>
      <c r="G892" s="102" t="n"/>
      <c r="H892" s="102" t="n"/>
      <c r="I892" s="102" t="n"/>
      <c r="J892" s="102" t="n"/>
      <c r="K892" s="102" t="n"/>
      <c r="L892" s="102" t="n"/>
      <c r="M892" s="102" t="n"/>
      <c r="N892" s="102" t="n"/>
      <c r="O892" s="102" t="n"/>
      <c r="P892" s="102" t="n"/>
      <c r="Q892" s="102" t="n"/>
      <c r="R892" s="102" t="n"/>
      <c r="S892" s="102" t="n"/>
      <c r="T892" s="102" t="n"/>
      <c r="U892" s="102" t="n"/>
      <c r="V892" s="102" t="n"/>
      <c r="W892" s="102" t="n"/>
      <c r="X892" s="102" t="n"/>
      <c r="Y892" s="102" t="n"/>
      <c r="Z892" s="102" t="n"/>
      <c r="AA892" s="102" t="n"/>
      <c r="AB892" s="102" t="n"/>
      <c r="AC892" s="102" t="n"/>
      <c r="AD892" s="102" t="n"/>
      <c r="AE892" s="102" t="n"/>
      <c r="AF892" s="102" t="n"/>
      <c r="AG892" s="102" t="n"/>
      <c r="AH892" s="102" t="n"/>
      <c r="AI892" s="102" t="n"/>
      <c r="AJ892" s="102" t="n"/>
      <c r="AK892" s="102" t="n"/>
      <c r="AL892" s="102" t="n"/>
      <c r="AM892" s="102" t="n"/>
      <c r="AN892" s="102" t="n"/>
      <c r="AO892" s="102" t="n"/>
      <c r="AP892" s="102" t="n"/>
      <c r="AQ892" s="102" t="n"/>
      <c r="AR892" s="102" t="n"/>
    </row>
    <row r="893">
      <c r="D893" s="102" t="n"/>
      <c r="E893" s="102" t="n"/>
      <c r="F893" s="102" t="n"/>
      <c r="G893" s="102" t="n"/>
      <c r="H893" s="102" t="n"/>
      <c r="I893" s="102" t="n"/>
      <c r="J893" s="102" t="n"/>
      <c r="K893" s="102" t="n"/>
      <c r="L893" s="102" t="n"/>
      <c r="M893" s="102" t="n"/>
      <c r="N893" s="102" t="n"/>
      <c r="O893" s="102" t="n"/>
      <c r="P893" s="102" t="n"/>
      <c r="Q893" s="102" t="n"/>
      <c r="R893" s="102" t="n"/>
      <c r="S893" s="102" t="n"/>
      <c r="T893" s="102" t="n"/>
      <c r="U893" s="102" t="n"/>
      <c r="V893" s="102" t="n"/>
      <c r="W893" s="102" t="n"/>
      <c r="X893" s="102" t="n"/>
      <c r="Y893" s="102" t="n"/>
      <c r="Z893" s="102" t="n"/>
      <c r="AA893" s="102" t="n"/>
      <c r="AB893" s="102" t="n"/>
      <c r="AC893" s="102" t="n"/>
      <c r="AD893" s="102" t="n"/>
      <c r="AE893" s="102" t="n"/>
      <c r="AF893" s="102" t="n"/>
      <c r="AG893" s="102" t="n"/>
      <c r="AH893" s="102" t="n"/>
      <c r="AI893" s="102" t="n"/>
      <c r="AJ893" s="102" t="n"/>
      <c r="AK893" s="102" t="n"/>
      <c r="AL893" s="102" t="n"/>
      <c r="AM893" s="102" t="n"/>
      <c r="AN893" s="102" t="n"/>
      <c r="AO893" s="102" t="n"/>
      <c r="AP893" s="102" t="n"/>
      <c r="AQ893" s="102" t="n"/>
      <c r="AR893" s="102" t="n"/>
    </row>
    <row r="894">
      <c r="D894" s="160" t="n"/>
      <c r="E894" s="160" t="n"/>
      <c r="F894" s="160" t="n"/>
      <c r="G894" s="160" t="n"/>
      <c r="H894" s="160" t="n"/>
      <c r="I894" s="160" t="n"/>
      <c r="J894" s="160" t="n"/>
      <c r="K894" s="160" t="n"/>
      <c r="L894" s="160" t="n"/>
      <c r="M894" s="160" t="n"/>
      <c r="N894" s="160" t="n"/>
      <c r="O894" s="160" t="n"/>
      <c r="P894" s="160" t="n"/>
      <c r="Q894" s="160" t="n"/>
      <c r="R894" s="160" t="n"/>
      <c r="S894" s="160" t="n"/>
      <c r="T894" s="160" t="n"/>
      <c r="U894" s="160" t="n"/>
      <c r="V894" s="160" t="n"/>
      <c r="W894" s="160" t="n"/>
      <c r="X894" s="160" t="n"/>
      <c r="Y894" s="160" t="n"/>
      <c r="Z894" s="160" t="n"/>
      <c r="AA894" s="160" t="n"/>
      <c r="AB894" s="160" t="n"/>
      <c r="AC894" s="160" t="n"/>
      <c r="AD894" s="160" t="n"/>
      <c r="AE894" s="160" t="n"/>
      <c r="AF894" s="160" t="n"/>
      <c r="AG894" s="160" t="n"/>
      <c r="AH894" s="160" t="n"/>
      <c r="AI894" s="160" t="n"/>
      <c r="AJ894" s="160" t="n"/>
      <c r="AK894" s="160" t="n"/>
      <c r="AL894" s="160" t="n"/>
      <c r="AM894" s="160" t="n"/>
      <c r="AN894" s="160" t="n"/>
      <c r="AO894" s="160" t="n"/>
      <c r="AP894" s="160" t="n"/>
      <c r="AQ894" s="160" t="n"/>
      <c r="AR894" s="160" t="n"/>
    </row>
    <row r="897">
      <c r="A897" s="2">
        <f>IF($A890="","","   projections")</f>
        <v/>
      </c>
      <c r="B897" s="158">
        <f>IF($A890="",0,COUNT($E898:$AR898))</f>
        <v/>
      </c>
      <c r="C897" s="159">
        <f>IF($B897=0,0,MAX($E898:$AR898))</f>
        <v/>
      </c>
      <c r="D897" s="101">
        <f>BDS($A890,FLD_PROJ,"headers=y","startcol=1","endcol=3","dir=h")</f>
        <v/>
      </c>
      <c r="E897" s="102" t="n"/>
      <c r="F897" s="102" t="n"/>
      <c r="G897" s="102" t="n"/>
      <c r="H897" s="102" t="n"/>
      <c r="I897" s="102" t="n"/>
      <c r="J897" s="102" t="n"/>
      <c r="K897" s="102" t="n"/>
      <c r="L897" s="102" t="n"/>
      <c r="M897" s="102" t="n"/>
      <c r="N897" s="102" t="n"/>
      <c r="O897" s="102" t="n"/>
      <c r="P897" s="102" t="n"/>
      <c r="Q897" s="102" t="n"/>
      <c r="R897" s="102" t="n"/>
      <c r="S897" s="102" t="n"/>
      <c r="T897" s="102" t="n"/>
      <c r="U897" s="102" t="n"/>
      <c r="V897" s="102" t="n"/>
      <c r="W897" s="102" t="n"/>
      <c r="X897" s="102" t="n"/>
      <c r="Y897" s="102" t="n"/>
      <c r="Z897" s="102" t="n"/>
      <c r="AA897" s="102" t="n"/>
      <c r="AB897" s="102" t="n"/>
      <c r="AC897" s="102" t="n"/>
      <c r="AD897" s="102" t="n"/>
      <c r="AE897" s="102" t="n"/>
      <c r="AF897" s="102" t="n"/>
      <c r="AG897" s="102" t="n"/>
      <c r="AH897" s="102" t="n"/>
      <c r="AI897" s="102" t="n"/>
      <c r="AJ897" s="102" t="n"/>
      <c r="AK897" s="102" t="n"/>
      <c r="AL897" s="102" t="n"/>
      <c r="AM897" s="102" t="n"/>
      <c r="AN897" s="102" t="n"/>
      <c r="AO897" s="102" t="n"/>
      <c r="AP897" s="102" t="n"/>
      <c r="AQ897" s="102" t="n"/>
      <c r="AR897" s="102" t="n"/>
    </row>
    <row r="898">
      <c r="D898" s="102" t="n"/>
      <c r="E898" s="102" t="n"/>
      <c r="F898" s="102" t="n"/>
      <c r="G898" s="102" t="n"/>
      <c r="H898" s="102" t="n"/>
      <c r="I898" s="102" t="n"/>
      <c r="J898" s="102" t="n"/>
      <c r="K898" s="102" t="n"/>
      <c r="L898" s="102" t="n"/>
      <c r="M898" s="102" t="n"/>
      <c r="N898" s="102" t="n"/>
      <c r="O898" s="102" t="n"/>
      <c r="P898" s="102" t="n"/>
      <c r="Q898" s="102" t="n"/>
      <c r="R898" s="102" t="n"/>
      <c r="S898" s="102" t="n"/>
      <c r="T898" s="102" t="n"/>
      <c r="U898" s="102" t="n"/>
      <c r="V898" s="102" t="n"/>
      <c r="W898" s="102" t="n"/>
      <c r="X898" s="102" t="n"/>
      <c r="Y898" s="102" t="n"/>
      <c r="Z898" s="102" t="n"/>
      <c r="AA898" s="102" t="n"/>
      <c r="AB898" s="102" t="n"/>
      <c r="AC898" s="102" t="n"/>
      <c r="AD898" s="102" t="n"/>
      <c r="AE898" s="102" t="n"/>
      <c r="AF898" s="102" t="n"/>
      <c r="AG898" s="102" t="n"/>
      <c r="AH898" s="102" t="n"/>
      <c r="AI898" s="102" t="n"/>
      <c r="AJ898" s="102" t="n"/>
      <c r="AK898" s="102" t="n"/>
      <c r="AL898" s="102" t="n"/>
      <c r="AM898" s="102" t="n"/>
      <c r="AN898" s="102" t="n"/>
      <c r="AO898" s="102" t="n"/>
      <c r="AP898" s="102" t="n"/>
      <c r="AQ898" s="102" t="n"/>
      <c r="AR898" s="102" t="n"/>
    </row>
    <row r="899">
      <c r="D899" s="160" t="n"/>
      <c r="E899" s="160" t="n"/>
      <c r="F899" s="160" t="n"/>
      <c r="G899" s="160" t="n"/>
      <c r="H899" s="160" t="n"/>
      <c r="I899" s="160" t="n"/>
      <c r="J899" s="160" t="n"/>
      <c r="K899" s="160" t="n"/>
      <c r="L899" s="160" t="n"/>
      <c r="M899" s="160" t="n"/>
      <c r="N899" s="160" t="n"/>
      <c r="O899" s="160" t="n"/>
      <c r="P899" s="160" t="n"/>
      <c r="Q899" s="160" t="n"/>
      <c r="R899" s="160" t="n"/>
      <c r="S899" s="160" t="n"/>
      <c r="T899" s="160" t="n"/>
      <c r="U899" s="160" t="n"/>
      <c r="V899" s="160" t="n"/>
      <c r="W899" s="160" t="n"/>
      <c r="X899" s="160" t="n"/>
      <c r="Y899" s="160" t="n"/>
      <c r="Z899" s="160" t="n"/>
      <c r="AA899" s="160" t="n"/>
      <c r="AB899" s="160" t="n"/>
      <c r="AC899" s="160" t="n"/>
      <c r="AD899" s="160" t="n"/>
      <c r="AE899" s="160" t="n"/>
      <c r="AF899" s="160" t="n"/>
      <c r="AG899" s="160" t="n"/>
      <c r="AH899" s="160" t="n"/>
      <c r="AI899" s="160" t="n"/>
      <c r="AJ899" s="160" t="n"/>
      <c r="AK899" s="160" t="n"/>
      <c r="AL899" s="160" t="n"/>
      <c r="AM899" s="160" t="n"/>
      <c r="AN899" s="160" t="n"/>
      <c r="AO899" s="160" t="n"/>
      <c r="AP899" s="160" t="n"/>
      <c r="AQ899" s="160" t="n"/>
      <c r="AR899" s="160" t="n"/>
    </row>
    <row r="901">
      <c r="A901" s="8">
        <f>IF(HSI!$C$88="","",HSI!$C$88)</f>
        <v/>
      </c>
      <c r="B901" s="158">
        <f>IF($A901="",0,COUNT($E902:$AR902))</f>
        <v/>
      </c>
      <c r="C901" s="159">
        <f>IF($B901=0,0,MAX($E902:$AR902))</f>
        <v/>
      </c>
      <c r="D901" s="101">
        <f>BDS($A901,FLD_HIST,"headers=y","startcol=1","endcol=7","dir=h","DVD_START_DT",HIST_FROM,"DVD_END_DT",HIST_TO)</f>
        <v/>
      </c>
      <c r="E901" s="102" t="n"/>
      <c r="F901" s="102" t="n"/>
      <c r="G901" s="102" t="n"/>
      <c r="H901" s="102" t="n"/>
      <c r="I901" s="102" t="n"/>
      <c r="J901" s="102" t="n"/>
      <c r="K901" s="102" t="n"/>
      <c r="L901" s="102" t="n"/>
      <c r="M901" s="102" t="n"/>
      <c r="N901" s="102" t="n"/>
      <c r="O901" s="102" t="n"/>
      <c r="P901" s="102" t="n"/>
      <c r="Q901" s="102" t="n"/>
      <c r="R901" s="102" t="n"/>
      <c r="S901" s="102" t="n"/>
      <c r="T901" s="102" t="n"/>
      <c r="U901" s="102" t="n"/>
      <c r="V901" s="102" t="n"/>
      <c r="W901" s="102" t="n"/>
      <c r="X901" s="102" t="n"/>
      <c r="Y901" s="102" t="n"/>
      <c r="Z901" s="102" t="n"/>
      <c r="AA901" s="102" t="n"/>
      <c r="AB901" s="102" t="n"/>
      <c r="AC901" s="102" t="n"/>
      <c r="AD901" s="102" t="n"/>
      <c r="AE901" s="102" t="n"/>
      <c r="AF901" s="102" t="n"/>
      <c r="AG901" s="102" t="n"/>
      <c r="AH901" s="102" t="n"/>
      <c r="AI901" s="102" t="n"/>
      <c r="AJ901" s="102" t="n"/>
      <c r="AK901" s="102" t="n"/>
      <c r="AL901" s="102" t="n"/>
      <c r="AM901" s="102" t="n"/>
      <c r="AN901" s="102" t="n"/>
      <c r="AO901" s="102" t="n"/>
      <c r="AP901" s="102" t="n"/>
      <c r="AQ901" s="102" t="n"/>
      <c r="AR901" s="102" t="n"/>
    </row>
    <row r="902">
      <c r="D902" s="102" t="n"/>
      <c r="E902" s="102" t="n"/>
      <c r="F902" s="102" t="n"/>
      <c r="G902" s="102" t="n"/>
      <c r="H902" s="102" t="n"/>
      <c r="I902" s="102" t="n"/>
      <c r="J902" s="102" t="n"/>
      <c r="K902" s="102" t="n"/>
      <c r="L902" s="102" t="n"/>
      <c r="M902" s="102" t="n"/>
      <c r="N902" s="102" t="n"/>
      <c r="O902" s="102" t="n"/>
      <c r="P902" s="102" t="n"/>
      <c r="Q902" s="102" t="n"/>
      <c r="R902" s="102" t="n"/>
      <c r="S902" s="102" t="n"/>
      <c r="T902" s="102" t="n"/>
      <c r="U902" s="102" t="n"/>
      <c r="V902" s="102" t="n"/>
      <c r="W902" s="102" t="n"/>
      <c r="X902" s="102" t="n"/>
      <c r="Y902" s="102" t="n"/>
      <c r="Z902" s="102" t="n"/>
      <c r="AA902" s="102" t="n"/>
      <c r="AB902" s="102" t="n"/>
      <c r="AC902" s="102" t="n"/>
      <c r="AD902" s="102" t="n"/>
      <c r="AE902" s="102" t="n"/>
      <c r="AF902" s="102" t="n"/>
      <c r="AG902" s="102" t="n"/>
      <c r="AH902" s="102" t="n"/>
      <c r="AI902" s="102" t="n"/>
      <c r="AJ902" s="102" t="n"/>
      <c r="AK902" s="102" t="n"/>
      <c r="AL902" s="102" t="n"/>
      <c r="AM902" s="102" t="n"/>
      <c r="AN902" s="102" t="n"/>
      <c r="AO902" s="102" t="n"/>
      <c r="AP902" s="102" t="n"/>
      <c r="AQ902" s="102" t="n"/>
      <c r="AR902" s="102" t="n"/>
    </row>
    <row r="903">
      <c r="D903" s="102" t="n"/>
      <c r="E903" s="102" t="n"/>
      <c r="F903" s="102" t="n"/>
      <c r="G903" s="102" t="n"/>
      <c r="H903" s="102" t="n"/>
      <c r="I903" s="102" t="n"/>
      <c r="J903" s="102" t="n"/>
      <c r="K903" s="102" t="n"/>
      <c r="L903" s="102" t="n"/>
      <c r="M903" s="102" t="n"/>
      <c r="N903" s="102" t="n"/>
      <c r="O903" s="102" t="n"/>
      <c r="P903" s="102" t="n"/>
      <c r="Q903" s="102" t="n"/>
      <c r="R903" s="102" t="n"/>
      <c r="S903" s="102" t="n"/>
      <c r="T903" s="102" t="n"/>
      <c r="U903" s="102" t="n"/>
      <c r="V903" s="102" t="n"/>
      <c r="W903" s="102" t="n"/>
      <c r="X903" s="102" t="n"/>
      <c r="Y903" s="102" t="n"/>
      <c r="Z903" s="102" t="n"/>
      <c r="AA903" s="102" t="n"/>
      <c r="AB903" s="102" t="n"/>
      <c r="AC903" s="102" t="n"/>
      <c r="AD903" s="102" t="n"/>
      <c r="AE903" s="102" t="n"/>
      <c r="AF903" s="102" t="n"/>
      <c r="AG903" s="102" t="n"/>
      <c r="AH903" s="102" t="n"/>
      <c r="AI903" s="102" t="n"/>
      <c r="AJ903" s="102" t="n"/>
      <c r="AK903" s="102" t="n"/>
      <c r="AL903" s="102" t="n"/>
      <c r="AM903" s="102" t="n"/>
      <c r="AN903" s="102" t="n"/>
      <c r="AO903" s="102" t="n"/>
      <c r="AP903" s="102" t="n"/>
      <c r="AQ903" s="102" t="n"/>
      <c r="AR903" s="102" t="n"/>
    </row>
    <row r="904">
      <c r="D904" s="102" t="n"/>
      <c r="E904" s="102" t="n"/>
      <c r="F904" s="102" t="n"/>
      <c r="G904" s="102" t="n"/>
      <c r="H904" s="102" t="n"/>
      <c r="I904" s="102" t="n"/>
      <c r="J904" s="102" t="n"/>
      <c r="K904" s="102" t="n"/>
      <c r="L904" s="102" t="n"/>
      <c r="M904" s="102" t="n"/>
      <c r="N904" s="102" t="n"/>
      <c r="O904" s="102" t="n"/>
      <c r="P904" s="102" t="n"/>
      <c r="Q904" s="102" t="n"/>
      <c r="R904" s="102" t="n"/>
      <c r="S904" s="102" t="n"/>
      <c r="T904" s="102" t="n"/>
      <c r="U904" s="102" t="n"/>
      <c r="V904" s="102" t="n"/>
      <c r="W904" s="102" t="n"/>
      <c r="X904" s="102" t="n"/>
      <c r="Y904" s="102" t="n"/>
      <c r="Z904" s="102" t="n"/>
      <c r="AA904" s="102" t="n"/>
      <c r="AB904" s="102" t="n"/>
      <c r="AC904" s="102" t="n"/>
      <c r="AD904" s="102" t="n"/>
      <c r="AE904" s="102" t="n"/>
      <c r="AF904" s="102" t="n"/>
      <c r="AG904" s="102" t="n"/>
      <c r="AH904" s="102" t="n"/>
      <c r="AI904" s="102" t="n"/>
      <c r="AJ904" s="102" t="n"/>
      <c r="AK904" s="102" t="n"/>
      <c r="AL904" s="102" t="n"/>
      <c r="AM904" s="102" t="n"/>
      <c r="AN904" s="102" t="n"/>
      <c r="AO904" s="102" t="n"/>
      <c r="AP904" s="102" t="n"/>
      <c r="AQ904" s="102" t="n"/>
      <c r="AR904" s="102" t="n"/>
    </row>
    <row r="905">
      <c r="D905" s="160" t="n"/>
      <c r="E905" s="160" t="n"/>
      <c r="F905" s="160" t="n"/>
      <c r="G905" s="160" t="n"/>
      <c r="H905" s="160" t="n"/>
      <c r="I905" s="160" t="n"/>
      <c r="J905" s="160" t="n"/>
      <c r="K905" s="160" t="n"/>
      <c r="L905" s="160" t="n"/>
      <c r="M905" s="160" t="n"/>
      <c r="N905" s="160" t="n"/>
      <c r="O905" s="160" t="n"/>
      <c r="P905" s="160" t="n"/>
      <c r="Q905" s="160" t="n"/>
      <c r="R905" s="160" t="n"/>
      <c r="S905" s="160" t="n"/>
      <c r="T905" s="160" t="n"/>
      <c r="U905" s="160" t="n"/>
      <c r="V905" s="160" t="n"/>
      <c r="W905" s="160" t="n"/>
      <c r="X905" s="160" t="n"/>
      <c r="Y905" s="160" t="n"/>
      <c r="Z905" s="160" t="n"/>
      <c r="AA905" s="160" t="n"/>
      <c r="AB905" s="160" t="n"/>
      <c r="AC905" s="160" t="n"/>
      <c r="AD905" s="160" t="n"/>
      <c r="AE905" s="160" t="n"/>
      <c r="AF905" s="160" t="n"/>
      <c r="AG905" s="160" t="n"/>
      <c r="AH905" s="160" t="n"/>
      <c r="AI905" s="160" t="n"/>
      <c r="AJ905" s="160" t="n"/>
      <c r="AK905" s="160" t="n"/>
      <c r="AL905" s="160" t="n"/>
      <c r="AM905" s="160" t="n"/>
      <c r="AN905" s="160" t="n"/>
      <c r="AO905" s="160" t="n"/>
      <c r="AP905" s="160" t="n"/>
      <c r="AQ905" s="160" t="n"/>
      <c r="AR905" s="160" t="n"/>
    </row>
    <row r="908">
      <c r="A908" s="2">
        <f>IF($A901="","","   projections")</f>
        <v/>
      </c>
      <c r="B908" s="158">
        <f>IF($A901="",0,COUNT($E909:$AR909))</f>
        <v/>
      </c>
      <c r="C908" s="159">
        <f>IF($B908=0,0,MAX($E909:$AR909))</f>
        <v/>
      </c>
      <c r="D908" s="101">
        <f>BDS($A901,FLD_PROJ,"headers=y","startcol=1","endcol=3","dir=h")</f>
        <v/>
      </c>
      <c r="E908" s="102" t="n"/>
      <c r="F908" s="102" t="n"/>
      <c r="G908" s="102" t="n"/>
      <c r="H908" s="102" t="n"/>
      <c r="I908" s="102" t="n"/>
      <c r="J908" s="102" t="n"/>
      <c r="K908" s="102" t="n"/>
      <c r="L908" s="102" t="n"/>
      <c r="M908" s="102" t="n"/>
      <c r="N908" s="102" t="n"/>
      <c r="O908" s="102" t="n"/>
      <c r="P908" s="102" t="n"/>
      <c r="Q908" s="102" t="n"/>
      <c r="R908" s="102" t="n"/>
      <c r="S908" s="102" t="n"/>
      <c r="T908" s="102" t="n"/>
      <c r="U908" s="102" t="n"/>
      <c r="V908" s="102" t="n"/>
      <c r="W908" s="102" t="n"/>
      <c r="X908" s="102" t="n"/>
      <c r="Y908" s="102" t="n"/>
      <c r="Z908" s="102" t="n"/>
      <c r="AA908" s="102" t="n"/>
      <c r="AB908" s="102" t="n"/>
      <c r="AC908" s="102" t="n"/>
      <c r="AD908" s="102" t="n"/>
      <c r="AE908" s="102" t="n"/>
      <c r="AF908" s="102" t="n"/>
      <c r="AG908" s="102" t="n"/>
      <c r="AH908" s="102" t="n"/>
      <c r="AI908" s="102" t="n"/>
      <c r="AJ908" s="102" t="n"/>
      <c r="AK908" s="102" t="n"/>
      <c r="AL908" s="102" t="n"/>
      <c r="AM908" s="102" t="n"/>
      <c r="AN908" s="102" t="n"/>
      <c r="AO908" s="102" t="n"/>
      <c r="AP908" s="102" t="n"/>
      <c r="AQ908" s="102" t="n"/>
      <c r="AR908" s="102" t="n"/>
    </row>
    <row r="909">
      <c r="D909" s="102" t="n"/>
      <c r="E909" s="102" t="n"/>
      <c r="F909" s="102" t="n"/>
      <c r="G909" s="102" t="n"/>
      <c r="H909" s="102" t="n"/>
      <c r="I909" s="102" t="n"/>
      <c r="J909" s="102" t="n"/>
      <c r="K909" s="102" t="n"/>
      <c r="L909" s="102" t="n"/>
      <c r="M909" s="102" t="n"/>
      <c r="N909" s="102" t="n"/>
      <c r="O909" s="102" t="n"/>
      <c r="P909" s="102" t="n"/>
      <c r="Q909" s="102" t="n"/>
      <c r="R909" s="102" t="n"/>
      <c r="S909" s="102" t="n"/>
      <c r="T909" s="102" t="n"/>
      <c r="U909" s="102" t="n"/>
      <c r="V909" s="102" t="n"/>
      <c r="W909" s="102" t="n"/>
      <c r="X909" s="102" t="n"/>
      <c r="Y909" s="102" t="n"/>
      <c r="Z909" s="102" t="n"/>
      <c r="AA909" s="102" t="n"/>
      <c r="AB909" s="102" t="n"/>
      <c r="AC909" s="102" t="n"/>
      <c r="AD909" s="102" t="n"/>
      <c r="AE909" s="102" t="n"/>
      <c r="AF909" s="102" t="n"/>
      <c r="AG909" s="102" t="n"/>
      <c r="AH909" s="102" t="n"/>
      <c r="AI909" s="102" t="n"/>
      <c r="AJ909" s="102" t="n"/>
      <c r="AK909" s="102" t="n"/>
      <c r="AL909" s="102" t="n"/>
      <c r="AM909" s="102" t="n"/>
      <c r="AN909" s="102" t="n"/>
      <c r="AO909" s="102" t="n"/>
      <c r="AP909" s="102" t="n"/>
      <c r="AQ909" s="102" t="n"/>
      <c r="AR909" s="102" t="n"/>
    </row>
    <row r="910">
      <c r="D910" s="160" t="n"/>
      <c r="E910" s="160" t="n"/>
      <c r="F910" s="160" t="n"/>
      <c r="G910" s="160" t="n"/>
      <c r="H910" s="160" t="n"/>
      <c r="I910" s="160" t="n"/>
      <c r="J910" s="160" t="n"/>
      <c r="K910" s="160" t="n"/>
      <c r="L910" s="160" t="n"/>
      <c r="M910" s="160" t="n"/>
      <c r="N910" s="160" t="n"/>
      <c r="O910" s="160" t="n"/>
      <c r="P910" s="160" t="n"/>
      <c r="Q910" s="160" t="n"/>
      <c r="R910" s="160" t="n"/>
      <c r="S910" s="160" t="n"/>
      <c r="T910" s="160" t="n"/>
      <c r="U910" s="160" t="n"/>
      <c r="V910" s="160" t="n"/>
      <c r="W910" s="160" t="n"/>
      <c r="X910" s="160" t="n"/>
      <c r="Y910" s="160" t="n"/>
      <c r="Z910" s="160" t="n"/>
      <c r="AA910" s="160" t="n"/>
      <c r="AB910" s="160" t="n"/>
      <c r="AC910" s="160" t="n"/>
      <c r="AD910" s="160" t="n"/>
      <c r="AE910" s="160" t="n"/>
      <c r="AF910" s="160" t="n"/>
      <c r="AG910" s="160" t="n"/>
      <c r="AH910" s="160" t="n"/>
      <c r="AI910" s="160" t="n"/>
      <c r="AJ910" s="160" t="n"/>
      <c r="AK910" s="160" t="n"/>
      <c r="AL910" s="160" t="n"/>
      <c r="AM910" s="160" t="n"/>
      <c r="AN910" s="160" t="n"/>
      <c r="AO910" s="160" t="n"/>
      <c r="AP910" s="160" t="n"/>
      <c r="AQ910" s="160" t="n"/>
      <c r="AR910" s="160" t="n"/>
    </row>
    <row r="912">
      <c r="A912" s="8">
        <f>IF(HSI!$C$89="","",HSI!$C$89)</f>
        <v/>
      </c>
      <c r="B912" s="158">
        <f>IF($A912="",0,COUNT($E913:$AR913))</f>
        <v/>
      </c>
      <c r="C912" s="159">
        <f>IF($B912=0,0,MAX($E913:$AR913))</f>
        <v/>
      </c>
      <c r="D912" s="101">
        <f>BDS($A912,FLD_HIST,"headers=y","startcol=1","endcol=7","dir=h","DVD_START_DT",HIST_FROM,"DVD_END_DT",HIST_TO)</f>
        <v/>
      </c>
      <c r="E912" s="102" t="n"/>
      <c r="F912" s="102" t="n"/>
      <c r="G912" s="102" t="n"/>
      <c r="H912" s="102" t="n"/>
      <c r="I912" s="102" t="n"/>
      <c r="J912" s="102" t="n"/>
      <c r="K912" s="102" t="n"/>
      <c r="L912" s="102" t="n"/>
      <c r="M912" s="102" t="n"/>
      <c r="N912" s="102" t="n"/>
      <c r="O912" s="102" t="n"/>
      <c r="P912" s="102" t="n"/>
      <c r="Q912" s="102" t="n"/>
      <c r="R912" s="102" t="n"/>
      <c r="S912" s="102" t="n"/>
      <c r="T912" s="102" t="n"/>
      <c r="U912" s="102" t="n"/>
      <c r="V912" s="102" t="n"/>
      <c r="W912" s="102" t="n"/>
      <c r="X912" s="102" t="n"/>
      <c r="Y912" s="102" t="n"/>
      <c r="Z912" s="102" t="n"/>
      <c r="AA912" s="102" t="n"/>
      <c r="AB912" s="102" t="n"/>
      <c r="AC912" s="102" t="n"/>
      <c r="AD912" s="102" t="n"/>
      <c r="AE912" s="102" t="n"/>
      <c r="AF912" s="102" t="n"/>
      <c r="AG912" s="102" t="n"/>
      <c r="AH912" s="102" t="n"/>
      <c r="AI912" s="102" t="n"/>
      <c r="AJ912" s="102" t="n"/>
      <c r="AK912" s="102" t="n"/>
      <c r="AL912" s="102" t="n"/>
      <c r="AM912" s="102" t="n"/>
      <c r="AN912" s="102" t="n"/>
      <c r="AO912" s="102" t="n"/>
      <c r="AP912" s="102" t="n"/>
      <c r="AQ912" s="102" t="n"/>
      <c r="AR912" s="102" t="n"/>
    </row>
    <row r="913">
      <c r="D913" s="102" t="n"/>
      <c r="E913" s="102" t="n"/>
      <c r="F913" s="102" t="n"/>
      <c r="G913" s="102" t="n"/>
      <c r="H913" s="102" t="n"/>
      <c r="I913" s="102" t="n"/>
      <c r="J913" s="102" t="n"/>
      <c r="K913" s="102" t="n"/>
      <c r="L913" s="102" t="n"/>
      <c r="M913" s="102" t="n"/>
      <c r="N913" s="102" t="n"/>
      <c r="O913" s="102" t="n"/>
      <c r="P913" s="102" t="n"/>
      <c r="Q913" s="102" t="n"/>
      <c r="R913" s="102" t="n"/>
      <c r="S913" s="102" t="n"/>
      <c r="T913" s="102" t="n"/>
      <c r="U913" s="102" t="n"/>
      <c r="V913" s="102" t="n"/>
      <c r="W913" s="102" t="n"/>
      <c r="X913" s="102" t="n"/>
      <c r="Y913" s="102" t="n"/>
      <c r="Z913" s="102" t="n"/>
      <c r="AA913" s="102" t="n"/>
      <c r="AB913" s="102" t="n"/>
      <c r="AC913" s="102" t="n"/>
      <c r="AD913" s="102" t="n"/>
      <c r="AE913" s="102" t="n"/>
      <c r="AF913" s="102" t="n"/>
      <c r="AG913" s="102" t="n"/>
      <c r="AH913" s="102" t="n"/>
      <c r="AI913" s="102" t="n"/>
      <c r="AJ913" s="102" t="n"/>
      <c r="AK913" s="102" t="n"/>
      <c r="AL913" s="102" t="n"/>
      <c r="AM913" s="102" t="n"/>
      <c r="AN913" s="102" t="n"/>
      <c r="AO913" s="102" t="n"/>
      <c r="AP913" s="102" t="n"/>
      <c r="AQ913" s="102" t="n"/>
      <c r="AR913" s="102" t="n"/>
    </row>
    <row r="914">
      <c r="D914" s="102" t="n"/>
      <c r="E914" s="102" t="n"/>
      <c r="F914" s="102" t="n"/>
      <c r="G914" s="102" t="n"/>
      <c r="H914" s="102" t="n"/>
      <c r="I914" s="102" t="n"/>
      <c r="J914" s="102" t="n"/>
      <c r="K914" s="102" t="n"/>
      <c r="L914" s="102" t="n"/>
      <c r="M914" s="102" t="n"/>
      <c r="N914" s="102" t="n"/>
      <c r="O914" s="102" t="n"/>
      <c r="P914" s="102" t="n"/>
      <c r="Q914" s="102" t="n"/>
      <c r="R914" s="102" t="n"/>
      <c r="S914" s="102" t="n"/>
      <c r="T914" s="102" t="n"/>
      <c r="U914" s="102" t="n"/>
      <c r="V914" s="102" t="n"/>
      <c r="W914" s="102" t="n"/>
      <c r="X914" s="102" t="n"/>
      <c r="Y914" s="102" t="n"/>
      <c r="Z914" s="102" t="n"/>
      <c r="AA914" s="102" t="n"/>
      <c r="AB914" s="102" t="n"/>
      <c r="AC914" s="102" t="n"/>
      <c r="AD914" s="102" t="n"/>
      <c r="AE914" s="102" t="n"/>
      <c r="AF914" s="102" t="n"/>
      <c r="AG914" s="102" t="n"/>
      <c r="AH914" s="102" t="n"/>
      <c r="AI914" s="102" t="n"/>
      <c r="AJ914" s="102" t="n"/>
      <c r="AK914" s="102" t="n"/>
      <c r="AL914" s="102" t="n"/>
      <c r="AM914" s="102" t="n"/>
      <c r="AN914" s="102" t="n"/>
      <c r="AO914" s="102" t="n"/>
      <c r="AP914" s="102" t="n"/>
      <c r="AQ914" s="102" t="n"/>
      <c r="AR914" s="102" t="n"/>
    </row>
    <row r="915">
      <c r="D915" s="102" t="n"/>
      <c r="E915" s="102" t="n"/>
      <c r="F915" s="102" t="n"/>
      <c r="G915" s="102" t="n"/>
      <c r="H915" s="102" t="n"/>
      <c r="I915" s="102" t="n"/>
      <c r="J915" s="102" t="n"/>
      <c r="K915" s="102" t="n"/>
      <c r="L915" s="102" t="n"/>
      <c r="M915" s="102" t="n"/>
      <c r="N915" s="102" t="n"/>
      <c r="O915" s="102" t="n"/>
      <c r="P915" s="102" t="n"/>
      <c r="Q915" s="102" t="n"/>
      <c r="R915" s="102" t="n"/>
      <c r="S915" s="102" t="n"/>
      <c r="T915" s="102" t="n"/>
      <c r="U915" s="102" t="n"/>
      <c r="V915" s="102" t="n"/>
      <c r="W915" s="102" t="n"/>
      <c r="X915" s="102" t="n"/>
      <c r="Y915" s="102" t="n"/>
      <c r="Z915" s="102" t="n"/>
      <c r="AA915" s="102" t="n"/>
      <c r="AB915" s="102" t="n"/>
      <c r="AC915" s="102" t="n"/>
      <c r="AD915" s="102" t="n"/>
      <c r="AE915" s="102" t="n"/>
      <c r="AF915" s="102" t="n"/>
      <c r="AG915" s="102" t="n"/>
      <c r="AH915" s="102" t="n"/>
      <c r="AI915" s="102" t="n"/>
      <c r="AJ915" s="102" t="n"/>
      <c r="AK915" s="102" t="n"/>
      <c r="AL915" s="102" t="n"/>
      <c r="AM915" s="102" t="n"/>
      <c r="AN915" s="102" t="n"/>
      <c r="AO915" s="102" t="n"/>
      <c r="AP915" s="102" t="n"/>
      <c r="AQ915" s="102" t="n"/>
      <c r="AR915" s="102" t="n"/>
    </row>
    <row r="916">
      <c r="D916" s="160" t="n"/>
      <c r="E916" s="160" t="n"/>
      <c r="F916" s="160" t="n"/>
      <c r="G916" s="160" t="n"/>
      <c r="H916" s="160" t="n"/>
      <c r="I916" s="160" t="n"/>
      <c r="J916" s="160" t="n"/>
      <c r="K916" s="160" t="n"/>
      <c r="L916" s="160" t="n"/>
      <c r="M916" s="160" t="n"/>
      <c r="N916" s="160" t="n"/>
      <c r="O916" s="160" t="n"/>
      <c r="P916" s="160" t="n"/>
      <c r="Q916" s="160" t="n"/>
      <c r="R916" s="160" t="n"/>
      <c r="S916" s="160" t="n"/>
      <c r="T916" s="160" t="n"/>
      <c r="U916" s="160" t="n"/>
      <c r="V916" s="160" t="n"/>
      <c r="W916" s="160" t="n"/>
      <c r="X916" s="160" t="n"/>
      <c r="Y916" s="160" t="n"/>
      <c r="Z916" s="160" t="n"/>
      <c r="AA916" s="160" t="n"/>
      <c r="AB916" s="160" t="n"/>
      <c r="AC916" s="160" t="n"/>
      <c r="AD916" s="160" t="n"/>
      <c r="AE916" s="160" t="n"/>
      <c r="AF916" s="160" t="n"/>
      <c r="AG916" s="160" t="n"/>
      <c r="AH916" s="160" t="n"/>
      <c r="AI916" s="160" t="n"/>
      <c r="AJ916" s="160" t="n"/>
      <c r="AK916" s="160" t="n"/>
      <c r="AL916" s="160" t="n"/>
      <c r="AM916" s="160" t="n"/>
      <c r="AN916" s="160" t="n"/>
      <c r="AO916" s="160" t="n"/>
      <c r="AP916" s="160" t="n"/>
      <c r="AQ916" s="160" t="n"/>
      <c r="AR916" s="160" t="n"/>
    </row>
    <row r="919">
      <c r="A919" s="2">
        <f>IF($A912="","","   projections")</f>
        <v/>
      </c>
      <c r="B919" s="158">
        <f>IF($A912="",0,COUNT($E920:$AR920))</f>
        <v/>
      </c>
      <c r="C919" s="159">
        <f>IF($B919=0,0,MAX($E920:$AR920))</f>
        <v/>
      </c>
      <c r="D919" s="101">
        <f>BDS($A912,FLD_PROJ,"headers=y","startcol=1","endcol=3","dir=h")</f>
        <v/>
      </c>
      <c r="E919" s="102" t="n"/>
      <c r="F919" s="102" t="n"/>
      <c r="G919" s="102" t="n"/>
      <c r="H919" s="102" t="n"/>
      <c r="I919" s="102" t="n"/>
      <c r="J919" s="102" t="n"/>
      <c r="K919" s="102" t="n"/>
      <c r="L919" s="102" t="n"/>
      <c r="M919" s="102" t="n"/>
      <c r="N919" s="102" t="n"/>
      <c r="O919" s="102" t="n"/>
      <c r="P919" s="102" t="n"/>
      <c r="Q919" s="102" t="n"/>
      <c r="R919" s="102" t="n"/>
      <c r="S919" s="102" t="n"/>
      <c r="T919" s="102" t="n"/>
      <c r="U919" s="102" t="n"/>
      <c r="V919" s="102" t="n"/>
      <c r="W919" s="102" t="n"/>
      <c r="X919" s="102" t="n"/>
      <c r="Y919" s="102" t="n"/>
      <c r="Z919" s="102" t="n"/>
      <c r="AA919" s="102" t="n"/>
      <c r="AB919" s="102" t="n"/>
      <c r="AC919" s="102" t="n"/>
      <c r="AD919" s="102" t="n"/>
      <c r="AE919" s="102" t="n"/>
      <c r="AF919" s="102" t="n"/>
      <c r="AG919" s="102" t="n"/>
      <c r="AH919" s="102" t="n"/>
      <c r="AI919" s="102" t="n"/>
      <c r="AJ919" s="102" t="n"/>
      <c r="AK919" s="102" t="n"/>
      <c r="AL919" s="102" t="n"/>
      <c r="AM919" s="102" t="n"/>
      <c r="AN919" s="102" t="n"/>
      <c r="AO919" s="102" t="n"/>
      <c r="AP919" s="102" t="n"/>
      <c r="AQ919" s="102" t="n"/>
      <c r="AR919" s="102" t="n"/>
    </row>
    <row r="920">
      <c r="D920" s="102" t="n"/>
      <c r="E920" s="102" t="n"/>
      <c r="F920" s="102" t="n"/>
      <c r="G920" s="102" t="n"/>
      <c r="H920" s="102" t="n"/>
      <c r="I920" s="102" t="n"/>
      <c r="J920" s="102" t="n"/>
      <c r="K920" s="102" t="n"/>
      <c r="L920" s="102" t="n"/>
      <c r="M920" s="102" t="n"/>
      <c r="N920" s="102" t="n"/>
      <c r="O920" s="102" t="n"/>
      <c r="P920" s="102" t="n"/>
      <c r="Q920" s="102" t="n"/>
      <c r="R920" s="102" t="n"/>
      <c r="S920" s="102" t="n"/>
      <c r="T920" s="102" t="n"/>
      <c r="U920" s="102" t="n"/>
      <c r="V920" s="102" t="n"/>
      <c r="W920" s="102" t="n"/>
      <c r="X920" s="102" t="n"/>
      <c r="Y920" s="102" t="n"/>
      <c r="Z920" s="102" t="n"/>
      <c r="AA920" s="102" t="n"/>
      <c r="AB920" s="102" t="n"/>
      <c r="AC920" s="102" t="n"/>
      <c r="AD920" s="102" t="n"/>
      <c r="AE920" s="102" t="n"/>
      <c r="AF920" s="102" t="n"/>
      <c r="AG920" s="102" t="n"/>
      <c r="AH920" s="102" t="n"/>
      <c r="AI920" s="102" t="n"/>
      <c r="AJ920" s="102" t="n"/>
      <c r="AK920" s="102" t="n"/>
      <c r="AL920" s="102" t="n"/>
      <c r="AM920" s="102" t="n"/>
      <c r="AN920" s="102" t="n"/>
      <c r="AO920" s="102" t="n"/>
      <c r="AP920" s="102" t="n"/>
      <c r="AQ920" s="102" t="n"/>
      <c r="AR920" s="102" t="n"/>
    </row>
    <row r="921">
      <c r="D921" s="160" t="n"/>
      <c r="E921" s="160" t="n"/>
      <c r="F921" s="160" t="n"/>
      <c r="G921" s="160" t="n"/>
      <c r="H921" s="160" t="n"/>
      <c r="I921" s="160" t="n"/>
      <c r="J921" s="160" t="n"/>
      <c r="K921" s="160" t="n"/>
      <c r="L921" s="160" t="n"/>
      <c r="M921" s="160" t="n"/>
      <c r="N921" s="160" t="n"/>
      <c r="O921" s="160" t="n"/>
      <c r="P921" s="160" t="n"/>
      <c r="Q921" s="160" t="n"/>
      <c r="R921" s="160" t="n"/>
      <c r="S921" s="160" t="n"/>
      <c r="T921" s="160" t="n"/>
      <c r="U921" s="160" t="n"/>
      <c r="V921" s="160" t="n"/>
      <c r="W921" s="160" t="n"/>
      <c r="X921" s="160" t="n"/>
      <c r="Y921" s="160" t="n"/>
      <c r="Z921" s="160" t="n"/>
      <c r="AA921" s="160" t="n"/>
      <c r="AB921" s="160" t="n"/>
      <c r="AC921" s="160" t="n"/>
      <c r="AD921" s="160" t="n"/>
      <c r="AE921" s="160" t="n"/>
      <c r="AF921" s="160" t="n"/>
      <c r="AG921" s="160" t="n"/>
      <c r="AH921" s="160" t="n"/>
      <c r="AI921" s="160" t="n"/>
      <c r="AJ921" s="160" t="n"/>
      <c r="AK921" s="160" t="n"/>
      <c r="AL921" s="160" t="n"/>
      <c r="AM921" s="160" t="n"/>
      <c r="AN921" s="160" t="n"/>
      <c r="AO921" s="160" t="n"/>
      <c r="AP921" s="160" t="n"/>
      <c r="AQ921" s="160" t="n"/>
      <c r="AR921" s="160" t="n"/>
    </row>
    <row r="923">
      <c r="A923" s="8">
        <f>IF(HSI!$C$90="","",HSI!$C$90)</f>
        <v/>
      </c>
      <c r="B923" s="158">
        <f>IF($A923="",0,COUNT($E924:$AR924))</f>
        <v/>
      </c>
      <c r="C923" s="159">
        <f>IF($B923=0,0,MAX($E924:$AR924))</f>
        <v/>
      </c>
      <c r="D923" s="101">
        <f>BDS($A923,FLD_HIST,"headers=y","startcol=1","endcol=7","dir=h","DVD_START_DT",HIST_FROM,"DVD_END_DT",HIST_TO)</f>
        <v/>
      </c>
      <c r="E923" s="102" t="n"/>
      <c r="F923" s="102" t="n"/>
      <c r="G923" s="102" t="n"/>
      <c r="H923" s="102" t="n"/>
      <c r="I923" s="102" t="n"/>
      <c r="J923" s="102" t="n"/>
      <c r="K923" s="102" t="n"/>
      <c r="L923" s="102" t="n"/>
      <c r="M923" s="102" t="n"/>
      <c r="N923" s="102" t="n"/>
      <c r="O923" s="102" t="n"/>
      <c r="P923" s="102" t="n"/>
      <c r="Q923" s="102" t="n"/>
      <c r="R923" s="102" t="n"/>
      <c r="S923" s="102" t="n"/>
      <c r="T923" s="102" t="n"/>
      <c r="U923" s="102" t="n"/>
      <c r="V923" s="102" t="n"/>
      <c r="W923" s="102" t="n"/>
      <c r="X923" s="102" t="n"/>
      <c r="Y923" s="102" t="n"/>
      <c r="Z923" s="102" t="n"/>
      <c r="AA923" s="102" t="n"/>
      <c r="AB923" s="102" t="n"/>
      <c r="AC923" s="102" t="n"/>
      <c r="AD923" s="102" t="n"/>
      <c r="AE923" s="102" t="n"/>
      <c r="AF923" s="102" t="n"/>
      <c r="AG923" s="102" t="n"/>
      <c r="AH923" s="102" t="n"/>
      <c r="AI923" s="102" t="n"/>
      <c r="AJ923" s="102" t="n"/>
      <c r="AK923" s="102" t="n"/>
      <c r="AL923" s="102" t="n"/>
      <c r="AM923" s="102" t="n"/>
      <c r="AN923" s="102" t="n"/>
      <c r="AO923" s="102" t="n"/>
      <c r="AP923" s="102" t="n"/>
      <c r="AQ923" s="102" t="n"/>
      <c r="AR923" s="102" t="n"/>
    </row>
    <row r="924">
      <c r="D924" s="102" t="n"/>
      <c r="E924" s="102" t="n"/>
      <c r="F924" s="102" t="n"/>
      <c r="G924" s="102" t="n"/>
      <c r="H924" s="102" t="n"/>
      <c r="I924" s="102" t="n"/>
      <c r="J924" s="102" t="n"/>
      <c r="K924" s="102" t="n"/>
      <c r="L924" s="102" t="n"/>
      <c r="M924" s="102" t="n"/>
      <c r="N924" s="102" t="n"/>
      <c r="O924" s="102" t="n"/>
      <c r="P924" s="102" t="n"/>
      <c r="Q924" s="102" t="n"/>
      <c r="R924" s="102" t="n"/>
      <c r="S924" s="102" t="n"/>
      <c r="T924" s="102" t="n"/>
      <c r="U924" s="102" t="n"/>
      <c r="V924" s="102" t="n"/>
      <c r="W924" s="102" t="n"/>
      <c r="X924" s="102" t="n"/>
      <c r="Y924" s="102" t="n"/>
      <c r="Z924" s="102" t="n"/>
      <c r="AA924" s="102" t="n"/>
      <c r="AB924" s="102" t="n"/>
      <c r="AC924" s="102" t="n"/>
      <c r="AD924" s="102" t="n"/>
      <c r="AE924" s="102" t="n"/>
      <c r="AF924" s="102" t="n"/>
      <c r="AG924" s="102" t="n"/>
      <c r="AH924" s="102" t="n"/>
      <c r="AI924" s="102" t="n"/>
      <c r="AJ924" s="102" t="n"/>
      <c r="AK924" s="102" t="n"/>
      <c r="AL924" s="102" t="n"/>
      <c r="AM924" s="102" t="n"/>
      <c r="AN924" s="102" t="n"/>
      <c r="AO924" s="102" t="n"/>
      <c r="AP924" s="102" t="n"/>
      <c r="AQ924" s="102" t="n"/>
      <c r="AR924" s="102" t="n"/>
    </row>
    <row r="925">
      <c r="D925" s="102" t="n"/>
      <c r="E925" s="102" t="n"/>
      <c r="F925" s="102" t="n"/>
      <c r="G925" s="102" t="n"/>
      <c r="H925" s="102" t="n"/>
      <c r="I925" s="102" t="n"/>
      <c r="J925" s="102" t="n"/>
      <c r="K925" s="102" t="n"/>
      <c r="L925" s="102" t="n"/>
      <c r="M925" s="102" t="n"/>
      <c r="N925" s="102" t="n"/>
      <c r="O925" s="102" t="n"/>
      <c r="P925" s="102" t="n"/>
      <c r="Q925" s="102" t="n"/>
      <c r="R925" s="102" t="n"/>
      <c r="S925" s="102" t="n"/>
      <c r="T925" s="102" t="n"/>
      <c r="U925" s="102" t="n"/>
      <c r="V925" s="102" t="n"/>
      <c r="W925" s="102" t="n"/>
      <c r="X925" s="102" t="n"/>
      <c r="Y925" s="102" t="n"/>
      <c r="Z925" s="102" t="n"/>
      <c r="AA925" s="102" t="n"/>
      <c r="AB925" s="102" t="n"/>
      <c r="AC925" s="102" t="n"/>
      <c r="AD925" s="102" t="n"/>
      <c r="AE925" s="102" t="n"/>
      <c r="AF925" s="102" t="n"/>
      <c r="AG925" s="102" t="n"/>
      <c r="AH925" s="102" t="n"/>
      <c r="AI925" s="102" t="n"/>
      <c r="AJ925" s="102" t="n"/>
      <c r="AK925" s="102" t="n"/>
      <c r="AL925" s="102" t="n"/>
      <c r="AM925" s="102" t="n"/>
      <c r="AN925" s="102" t="n"/>
      <c r="AO925" s="102" t="n"/>
      <c r="AP925" s="102" t="n"/>
      <c r="AQ925" s="102" t="n"/>
      <c r="AR925" s="102" t="n"/>
    </row>
    <row r="926">
      <c r="D926" s="102" t="n"/>
      <c r="E926" s="102" t="n"/>
      <c r="F926" s="102" t="n"/>
      <c r="G926" s="102" t="n"/>
      <c r="H926" s="102" t="n"/>
      <c r="I926" s="102" t="n"/>
      <c r="J926" s="102" t="n"/>
      <c r="K926" s="102" t="n"/>
      <c r="L926" s="102" t="n"/>
      <c r="M926" s="102" t="n"/>
      <c r="N926" s="102" t="n"/>
      <c r="O926" s="102" t="n"/>
      <c r="P926" s="102" t="n"/>
      <c r="Q926" s="102" t="n"/>
      <c r="R926" s="102" t="n"/>
      <c r="S926" s="102" t="n"/>
      <c r="T926" s="102" t="n"/>
      <c r="U926" s="102" t="n"/>
      <c r="V926" s="102" t="n"/>
      <c r="W926" s="102" t="n"/>
      <c r="X926" s="102" t="n"/>
      <c r="Y926" s="102" t="n"/>
      <c r="Z926" s="102" t="n"/>
      <c r="AA926" s="102" t="n"/>
      <c r="AB926" s="102" t="n"/>
      <c r="AC926" s="102" t="n"/>
      <c r="AD926" s="102" t="n"/>
      <c r="AE926" s="102" t="n"/>
      <c r="AF926" s="102" t="n"/>
      <c r="AG926" s="102" t="n"/>
      <c r="AH926" s="102" t="n"/>
      <c r="AI926" s="102" t="n"/>
      <c r="AJ926" s="102" t="n"/>
      <c r="AK926" s="102" t="n"/>
      <c r="AL926" s="102" t="n"/>
      <c r="AM926" s="102" t="n"/>
      <c r="AN926" s="102" t="n"/>
      <c r="AO926" s="102" t="n"/>
      <c r="AP926" s="102" t="n"/>
      <c r="AQ926" s="102" t="n"/>
      <c r="AR926" s="102" t="n"/>
    </row>
    <row r="927">
      <c r="D927" s="160" t="n"/>
      <c r="E927" s="160" t="n"/>
      <c r="F927" s="160" t="n"/>
      <c r="G927" s="160" t="n"/>
      <c r="H927" s="160" t="n"/>
      <c r="I927" s="160" t="n"/>
      <c r="J927" s="160" t="n"/>
      <c r="K927" s="160" t="n"/>
      <c r="L927" s="160" t="n"/>
      <c r="M927" s="160" t="n"/>
      <c r="N927" s="160" t="n"/>
      <c r="O927" s="160" t="n"/>
      <c r="P927" s="160" t="n"/>
      <c r="Q927" s="160" t="n"/>
      <c r="R927" s="160" t="n"/>
      <c r="S927" s="160" t="n"/>
      <c r="T927" s="160" t="n"/>
      <c r="U927" s="160" t="n"/>
      <c r="V927" s="160" t="n"/>
      <c r="W927" s="160" t="n"/>
      <c r="X927" s="160" t="n"/>
      <c r="Y927" s="160" t="n"/>
      <c r="Z927" s="160" t="n"/>
      <c r="AA927" s="160" t="n"/>
      <c r="AB927" s="160" t="n"/>
      <c r="AC927" s="160" t="n"/>
      <c r="AD927" s="160" t="n"/>
      <c r="AE927" s="160" t="n"/>
      <c r="AF927" s="160" t="n"/>
      <c r="AG927" s="160" t="n"/>
      <c r="AH927" s="160" t="n"/>
      <c r="AI927" s="160" t="n"/>
      <c r="AJ927" s="160" t="n"/>
      <c r="AK927" s="160" t="n"/>
      <c r="AL927" s="160" t="n"/>
      <c r="AM927" s="160" t="n"/>
      <c r="AN927" s="160" t="n"/>
      <c r="AO927" s="160" t="n"/>
      <c r="AP927" s="160" t="n"/>
      <c r="AQ927" s="160" t="n"/>
      <c r="AR927" s="160" t="n"/>
    </row>
    <row r="930">
      <c r="A930" s="2">
        <f>IF($A923="","","   projections")</f>
        <v/>
      </c>
      <c r="B930" s="158">
        <f>IF($A923="",0,COUNT($E931:$AR931))</f>
        <v/>
      </c>
      <c r="C930" s="159">
        <f>IF($B930=0,0,MAX($E931:$AR931))</f>
        <v/>
      </c>
      <c r="D930" s="101">
        <f>BDS($A923,FLD_PROJ,"headers=y","startcol=1","endcol=3","dir=h")</f>
        <v/>
      </c>
      <c r="E930" s="102" t="n"/>
      <c r="F930" s="102" t="n"/>
      <c r="G930" s="102" t="n"/>
      <c r="H930" s="102" t="n"/>
      <c r="I930" s="102" t="n"/>
      <c r="J930" s="102" t="n"/>
      <c r="K930" s="102" t="n"/>
      <c r="L930" s="102" t="n"/>
      <c r="M930" s="102" t="n"/>
      <c r="N930" s="102" t="n"/>
      <c r="O930" s="102" t="n"/>
      <c r="P930" s="102" t="n"/>
      <c r="Q930" s="102" t="n"/>
      <c r="R930" s="102" t="n"/>
      <c r="S930" s="102" t="n"/>
      <c r="T930" s="102" t="n"/>
      <c r="U930" s="102" t="n"/>
      <c r="V930" s="102" t="n"/>
      <c r="W930" s="102" t="n"/>
      <c r="X930" s="102" t="n"/>
      <c r="Y930" s="102" t="n"/>
      <c r="Z930" s="102" t="n"/>
      <c r="AA930" s="102" t="n"/>
      <c r="AB930" s="102" t="n"/>
      <c r="AC930" s="102" t="n"/>
      <c r="AD930" s="102" t="n"/>
      <c r="AE930" s="102" t="n"/>
      <c r="AF930" s="102" t="n"/>
      <c r="AG930" s="102" t="n"/>
      <c r="AH930" s="102" t="n"/>
      <c r="AI930" s="102" t="n"/>
      <c r="AJ930" s="102" t="n"/>
      <c r="AK930" s="102" t="n"/>
      <c r="AL930" s="102" t="n"/>
      <c r="AM930" s="102" t="n"/>
      <c r="AN930" s="102" t="n"/>
      <c r="AO930" s="102" t="n"/>
      <c r="AP930" s="102" t="n"/>
      <c r="AQ930" s="102" t="n"/>
      <c r="AR930" s="102" t="n"/>
    </row>
    <row r="931">
      <c r="D931" s="102" t="n"/>
      <c r="E931" s="102" t="n"/>
      <c r="F931" s="102" t="n"/>
      <c r="G931" s="102" t="n"/>
      <c r="H931" s="102" t="n"/>
      <c r="I931" s="102" t="n"/>
      <c r="J931" s="102" t="n"/>
      <c r="K931" s="102" t="n"/>
      <c r="L931" s="102" t="n"/>
      <c r="M931" s="102" t="n"/>
      <c r="N931" s="102" t="n"/>
      <c r="O931" s="102" t="n"/>
      <c r="P931" s="102" t="n"/>
      <c r="Q931" s="102" t="n"/>
      <c r="R931" s="102" t="n"/>
      <c r="S931" s="102" t="n"/>
      <c r="T931" s="102" t="n"/>
      <c r="U931" s="102" t="n"/>
      <c r="V931" s="102" t="n"/>
      <c r="W931" s="102" t="n"/>
      <c r="X931" s="102" t="n"/>
      <c r="Y931" s="102" t="n"/>
      <c r="Z931" s="102" t="n"/>
      <c r="AA931" s="102" t="n"/>
      <c r="AB931" s="102" t="n"/>
      <c r="AC931" s="102" t="n"/>
      <c r="AD931" s="102" t="n"/>
      <c r="AE931" s="102" t="n"/>
      <c r="AF931" s="102" t="n"/>
      <c r="AG931" s="102" t="n"/>
      <c r="AH931" s="102" t="n"/>
      <c r="AI931" s="102" t="n"/>
      <c r="AJ931" s="102" t="n"/>
      <c r="AK931" s="102" t="n"/>
      <c r="AL931" s="102" t="n"/>
      <c r="AM931" s="102" t="n"/>
      <c r="AN931" s="102" t="n"/>
      <c r="AO931" s="102" t="n"/>
      <c r="AP931" s="102" t="n"/>
      <c r="AQ931" s="102" t="n"/>
      <c r="AR931" s="102" t="n"/>
    </row>
    <row r="932">
      <c r="D932" s="160" t="n"/>
      <c r="E932" s="160" t="n"/>
      <c r="F932" s="160" t="n"/>
      <c r="G932" s="160" t="n"/>
      <c r="H932" s="160" t="n"/>
      <c r="I932" s="160" t="n"/>
      <c r="J932" s="160" t="n"/>
      <c r="K932" s="160" t="n"/>
      <c r="L932" s="160" t="n"/>
      <c r="M932" s="160" t="n"/>
      <c r="N932" s="160" t="n"/>
      <c r="O932" s="160" t="n"/>
      <c r="P932" s="160" t="n"/>
      <c r="Q932" s="160" t="n"/>
      <c r="R932" s="160" t="n"/>
      <c r="S932" s="160" t="n"/>
      <c r="T932" s="160" t="n"/>
      <c r="U932" s="160" t="n"/>
      <c r="V932" s="160" t="n"/>
      <c r="W932" s="160" t="n"/>
      <c r="X932" s="160" t="n"/>
      <c r="Y932" s="160" t="n"/>
      <c r="Z932" s="160" t="n"/>
      <c r="AA932" s="160" t="n"/>
      <c r="AB932" s="160" t="n"/>
      <c r="AC932" s="160" t="n"/>
      <c r="AD932" s="160" t="n"/>
      <c r="AE932" s="160" t="n"/>
      <c r="AF932" s="160" t="n"/>
      <c r="AG932" s="160" t="n"/>
      <c r="AH932" s="160" t="n"/>
      <c r="AI932" s="160" t="n"/>
      <c r="AJ932" s="160" t="n"/>
      <c r="AK932" s="160" t="n"/>
      <c r="AL932" s="160" t="n"/>
      <c r="AM932" s="160" t="n"/>
      <c r="AN932" s="160" t="n"/>
      <c r="AO932" s="160" t="n"/>
      <c r="AP932" s="160" t="n"/>
      <c r="AQ932" s="160" t="n"/>
      <c r="AR932" s="160" t="n"/>
    </row>
    <row r="934">
      <c r="A934" s="8">
        <f>IF(HSI!$C$91="","",HSI!$C$91)</f>
        <v/>
      </c>
      <c r="B934" s="158">
        <f>IF($A934="",0,COUNT($E935:$AR935))</f>
        <v/>
      </c>
      <c r="C934" s="159">
        <f>IF($B934=0,0,MAX($E935:$AR935))</f>
        <v/>
      </c>
      <c r="D934" s="101">
        <f>BDS($A934,FLD_HIST,"headers=y","startcol=1","endcol=7","dir=h","DVD_START_DT",HIST_FROM,"DVD_END_DT",HIST_TO)</f>
        <v/>
      </c>
      <c r="E934" s="102" t="n"/>
      <c r="F934" s="102" t="n"/>
      <c r="G934" s="102" t="n"/>
      <c r="H934" s="102" t="n"/>
      <c r="I934" s="102" t="n"/>
      <c r="J934" s="102" t="n"/>
      <c r="K934" s="102" t="n"/>
      <c r="L934" s="102" t="n"/>
      <c r="M934" s="102" t="n"/>
      <c r="N934" s="102" t="n"/>
      <c r="O934" s="102" t="n"/>
      <c r="P934" s="102" t="n"/>
      <c r="Q934" s="102" t="n"/>
      <c r="R934" s="102" t="n"/>
      <c r="S934" s="102" t="n"/>
      <c r="T934" s="102" t="n"/>
      <c r="U934" s="102" t="n"/>
      <c r="V934" s="102" t="n"/>
      <c r="W934" s="102" t="n"/>
      <c r="X934" s="102" t="n"/>
      <c r="Y934" s="102" t="n"/>
      <c r="Z934" s="102" t="n"/>
      <c r="AA934" s="102" t="n"/>
      <c r="AB934" s="102" t="n"/>
      <c r="AC934" s="102" t="n"/>
      <c r="AD934" s="102" t="n"/>
      <c r="AE934" s="102" t="n"/>
      <c r="AF934" s="102" t="n"/>
      <c r="AG934" s="102" t="n"/>
      <c r="AH934" s="102" t="n"/>
      <c r="AI934" s="102" t="n"/>
      <c r="AJ934" s="102" t="n"/>
      <c r="AK934" s="102" t="n"/>
      <c r="AL934" s="102" t="n"/>
      <c r="AM934" s="102" t="n"/>
      <c r="AN934" s="102" t="n"/>
      <c r="AO934" s="102" t="n"/>
      <c r="AP934" s="102" t="n"/>
      <c r="AQ934" s="102" t="n"/>
      <c r="AR934" s="102" t="n"/>
    </row>
    <row r="935">
      <c r="D935" s="102" t="n"/>
      <c r="E935" s="102" t="n"/>
      <c r="F935" s="102" t="n"/>
      <c r="G935" s="102" t="n"/>
      <c r="H935" s="102" t="n"/>
      <c r="I935" s="102" t="n"/>
      <c r="J935" s="102" t="n"/>
      <c r="K935" s="102" t="n"/>
      <c r="L935" s="102" t="n"/>
      <c r="M935" s="102" t="n"/>
      <c r="N935" s="102" t="n"/>
      <c r="O935" s="102" t="n"/>
      <c r="P935" s="102" t="n"/>
      <c r="Q935" s="102" t="n"/>
      <c r="R935" s="102" t="n"/>
      <c r="S935" s="102" t="n"/>
      <c r="T935" s="102" t="n"/>
      <c r="U935" s="102" t="n"/>
      <c r="V935" s="102" t="n"/>
      <c r="W935" s="102" t="n"/>
      <c r="X935" s="102" t="n"/>
      <c r="Y935" s="102" t="n"/>
      <c r="Z935" s="102" t="n"/>
      <c r="AA935" s="102" t="n"/>
      <c r="AB935" s="102" t="n"/>
      <c r="AC935" s="102" t="n"/>
      <c r="AD935" s="102" t="n"/>
      <c r="AE935" s="102" t="n"/>
      <c r="AF935" s="102" t="n"/>
      <c r="AG935" s="102" t="n"/>
      <c r="AH935" s="102" t="n"/>
      <c r="AI935" s="102" t="n"/>
      <c r="AJ935" s="102" t="n"/>
      <c r="AK935" s="102" t="n"/>
      <c r="AL935" s="102" t="n"/>
      <c r="AM935" s="102" t="n"/>
      <c r="AN935" s="102" t="n"/>
      <c r="AO935" s="102" t="n"/>
      <c r="AP935" s="102" t="n"/>
      <c r="AQ935" s="102" t="n"/>
      <c r="AR935" s="102" t="n"/>
    </row>
    <row r="936">
      <c r="D936" s="102" t="n"/>
      <c r="E936" s="102" t="n"/>
      <c r="F936" s="102" t="n"/>
      <c r="G936" s="102" t="n"/>
      <c r="H936" s="102" t="n"/>
      <c r="I936" s="102" t="n"/>
      <c r="J936" s="102" t="n"/>
      <c r="K936" s="102" t="n"/>
      <c r="L936" s="102" t="n"/>
      <c r="M936" s="102" t="n"/>
      <c r="N936" s="102" t="n"/>
      <c r="O936" s="102" t="n"/>
      <c r="P936" s="102" t="n"/>
      <c r="Q936" s="102" t="n"/>
      <c r="R936" s="102" t="n"/>
      <c r="S936" s="102" t="n"/>
      <c r="T936" s="102" t="n"/>
      <c r="U936" s="102" t="n"/>
      <c r="V936" s="102" t="n"/>
      <c r="W936" s="102" t="n"/>
      <c r="X936" s="102" t="n"/>
      <c r="Y936" s="102" t="n"/>
      <c r="Z936" s="102" t="n"/>
      <c r="AA936" s="102" t="n"/>
      <c r="AB936" s="102" t="n"/>
      <c r="AC936" s="102" t="n"/>
      <c r="AD936" s="102" t="n"/>
      <c r="AE936" s="102" t="n"/>
      <c r="AF936" s="102" t="n"/>
      <c r="AG936" s="102" t="n"/>
      <c r="AH936" s="102" t="n"/>
      <c r="AI936" s="102" t="n"/>
      <c r="AJ936" s="102" t="n"/>
      <c r="AK936" s="102" t="n"/>
      <c r="AL936" s="102" t="n"/>
      <c r="AM936" s="102" t="n"/>
      <c r="AN936" s="102" t="n"/>
      <c r="AO936" s="102" t="n"/>
      <c r="AP936" s="102" t="n"/>
      <c r="AQ936" s="102" t="n"/>
      <c r="AR936" s="102" t="n"/>
    </row>
    <row r="937">
      <c r="D937" s="102" t="n"/>
      <c r="E937" s="102" t="n"/>
      <c r="F937" s="102" t="n"/>
      <c r="G937" s="102" t="n"/>
      <c r="H937" s="102" t="n"/>
      <c r="I937" s="102" t="n"/>
      <c r="J937" s="102" t="n"/>
      <c r="K937" s="102" t="n"/>
      <c r="L937" s="102" t="n"/>
      <c r="M937" s="102" t="n"/>
      <c r="N937" s="102" t="n"/>
      <c r="O937" s="102" t="n"/>
      <c r="P937" s="102" t="n"/>
      <c r="Q937" s="102" t="n"/>
      <c r="R937" s="102" t="n"/>
      <c r="S937" s="102" t="n"/>
      <c r="T937" s="102" t="n"/>
      <c r="U937" s="102" t="n"/>
      <c r="V937" s="102" t="n"/>
      <c r="W937" s="102" t="n"/>
      <c r="X937" s="102" t="n"/>
      <c r="Y937" s="102" t="n"/>
      <c r="Z937" s="102" t="n"/>
      <c r="AA937" s="102" t="n"/>
      <c r="AB937" s="102" t="n"/>
      <c r="AC937" s="102" t="n"/>
      <c r="AD937" s="102" t="n"/>
      <c r="AE937" s="102" t="n"/>
      <c r="AF937" s="102" t="n"/>
      <c r="AG937" s="102" t="n"/>
      <c r="AH937" s="102" t="n"/>
      <c r="AI937" s="102" t="n"/>
      <c r="AJ937" s="102" t="n"/>
      <c r="AK937" s="102" t="n"/>
      <c r="AL937" s="102" t="n"/>
      <c r="AM937" s="102" t="n"/>
      <c r="AN937" s="102" t="n"/>
      <c r="AO937" s="102" t="n"/>
      <c r="AP937" s="102" t="n"/>
      <c r="AQ937" s="102" t="n"/>
      <c r="AR937" s="102" t="n"/>
    </row>
    <row r="938">
      <c r="D938" s="160" t="n"/>
      <c r="E938" s="160" t="n"/>
      <c r="F938" s="160" t="n"/>
      <c r="G938" s="160" t="n"/>
      <c r="H938" s="160" t="n"/>
      <c r="I938" s="160" t="n"/>
      <c r="J938" s="160" t="n"/>
      <c r="K938" s="160" t="n"/>
      <c r="L938" s="160" t="n"/>
      <c r="M938" s="160" t="n"/>
      <c r="N938" s="160" t="n"/>
      <c r="O938" s="160" t="n"/>
      <c r="P938" s="160" t="n"/>
      <c r="Q938" s="160" t="n"/>
      <c r="R938" s="160" t="n"/>
      <c r="S938" s="160" t="n"/>
      <c r="T938" s="160" t="n"/>
      <c r="U938" s="160" t="n"/>
      <c r="V938" s="160" t="n"/>
      <c r="W938" s="160" t="n"/>
      <c r="X938" s="160" t="n"/>
      <c r="Y938" s="160" t="n"/>
      <c r="Z938" s="160" t="n"/>
      <c r="AA938" s="160" t="n"/>
      <c r="AB938" s="160" t="n"/>
      <c r="AC938" s="160" t="n"/>
      <c r="AD938" s="160" t="n"/>
      <c r="AE938" s="160" t="n"/>
      <c r="AF938" s="160" t="n"/>
      <c r="AG938" s="160" t="n"/>
      <c r="AH938" s="160" t="n"/>
      <c r="AI938" s="160" t="n"/>
      <c r="AJ938" s="160" t="n"/>
      <c r="AK938" s="160" t="n"/>
      <c r="AL938" s="160" t="n"/>
      <c r="AM938" s="160" t="n"/>
      <c r="AN938" s="160" t="n"/>
      <c r="AO938" s="160" t="n"/>
      <c r="AP938" s="160" t="n"/>
      <c r="AQ938" s="160" t="n"/>
      <c r="AR938" s="160" t="n"/>
    </row>
    <row r="941">
      <c r="A941" s="2">
        <f>IF($A934="","","   projections")</f>
        <v/>
      </c>
      <c r="B941" s="158">
        <f>IF($A934="",0,COUNT($E942:$AR942))</f>
        <v/>
      </c>
      <c r="C941" s="159">
        <f>IF($B941=0,0,MAX($E942:$AR942))</f>
        <v/>
      </c>
      <c r="D941" s="101">
        <f>BDS($A934,FLD_PROJ,"headers=y","startcol=1","endcol=3","dir=h")</f>
        <v/>
      </c>
      <c r="E941" s="102" t="n"/>
      <c r="F941" s="102" t="n"/>
      <c r="G941" s="102" t="n"/>
      <c r="H941" s="102" t="n"/>
      <c r="I941" s="102" t="n"/>
      <c r="J941" s="102" t="n"/>
      <c r="K941" s="102" t="n"/>
      <c r="L941" s="102" t="n"/>
      <c r="M941" s="102" t="n"/>
      <c r="N941" s="102" t="n"/>
      <c r="O941" s="102" t="n"/>
      <c r="P941" s="102" t="n"/>
      <c r="Q941" s="102" t="n"/>
      <c r="R941" s="102" t="n"/>
      <c r="S941" s="102" t="n"/>
      <c r="T941" s="102" t="n"/>
      <c r="U941" s="102" t="n"/>
      <c r="V941" s="102" t="n"/>
      <c r="W941" s="102" t="n"/>
      <c r="X941" s="102" t="n"/>
      <c r="Y941" s="102" t="n"/>
      <c r="Z941" s="102" t="n"/>
      <c r="AA941" s="102" t="n"/>
      <c r="AB941" s="102" t="n"/>
      <c r="AC941" s="102" t="n"/>
      <c r="AD941" s="102" t="n"/>
      <c r="AE941" s="102" t="n"/>
      <c r="AF941" s="102" t="n"/>
      <c r="AG941" s="102" t="n"/>
      <c r="AH941" s="102" t="n"/>
      <c r="AI941" s="102" t="n"/>
      <c r="AJ941" s="102" t="n"/>
      <c r="AK941" s="102" t="n"/>
      <c r="AL941" s="102" t="n"/>
      <c r="AM941" s="102" t="n"/>
      <c r="AN941" s="102" t="n"/>
      <c r="AO941" s="102" t="n"/>
      <c r="AP941" s="102" t="n"/>
      <c r="AQ941" s="102" t="n"/>
      <c r="AR941" s="102" t="n"/>
    </row>
    <row r="942">
      <c r="D942" s="102" t="n"/>
      <c r="E942" s="102" t="n"/>
      <c r="F942" s="102" t="n"/>
      <c r="G942" s="102" t="n"/>
      <c r="H942" s="102" t="n"/>
      <c r="I942" s="102" t="n"/>
      <c r="J942" s="102" t="n"/>
      <c r="K942" s="102" t="n"/>
      <c r="L942" s="102" t="n"/>
      <c r="M942" s="102" t="n"/>
      <c r="N942" s="102" t="n"/>
      <c r="O942" s="102" t="n"/>
      <c r="P942" s="102" t="n"/>
      <c r="Q942" s="102" t="n"/>
      <c r="R942" s="102" t="n"/>
      <c r="S942" s="102" t="n"/>
      <c r="T942" s="102" t="n"/>
      <c r="U942" s="102" t="n"/>
      <c r="V942" s="102" t="n"/>
      <c r="W942" s="102" t="n"/>
      <c r="X942" s="102" t="n"/>
      <c r="Y942" s="102" t="n"/>
      <c r="Z942" s="102" t="n"/>
      <c r="AA942" s="102" t="n"/>
      <c r="AB942" s="102" t="n"/>
      <c r="AC942" s="102" t="n"/>
      <c r="AD942" s="102" t="n"/>
      <c r="AE942" s="102" t="n"/>
      <c r="AF942" s="102" t="n"/>
      <c r="AG942" s="102" t="n"/>
      <c r="AH942" s="102" t="n"/>
      <c r="AI942" s="102" t="n"/>
      <c r="AJ942" s="102" t="n"/>
      <c r="AK942" s="102" t="n"/>
      <c r="AL942" s="102" t="n"/>
      <c r="AM942" s="102" t="n"/>
      <c r="AN942" s="102" t="n"/>
      <c r="AO942" s="102" t="n"/>
      <c r="AP942" s="102" t="n"/>
      <c r="AQ942" s="102" t="n"/>
      <c r="AR942" s="102" t="n"/>
    </row>
    <row r="943">
      <c r="D943" s="160" t="n"/>
      <c r="E943" s="160" t="n"/>
      <c r="F943" s="160" t="n"/>
      <c r="G943" s="160" t="n"/>
      <c r="H943" s="160" t="n"/>
      <c r="I943" s="160" t="n"/>
      <c r="J943" s="160" t="n"/>
      <c r="K943" s="160" t="n"/>
      <c r="L943" s="160" t="n"/>
      <c r="M943" s="160" t="n"/>
      <c r="N943" s="160" t="n"/>
      <c r="O943" s="160" t="n"/>
      <c r="P943" s="160" t="n"/>
      <c r="Q943" s="160" t="n"/>
      <c r="R943" s="160" t="n"/>
      <c r="S943" s="160" t="n"/>
      <c r="T943" s="160" t="n"/>
      <c r="U943" s="160" t="n"/>
      <c r="V943" s="160" t="n"/>
      <c r="W943" s="160" t="n"/>
      <c r="X943" s="160" t="n"/>
      <c r="Y943" s="160" t="n"/>
      <c r="Z943" s="160" t="n"/>
      <c r="AA943" s="160" t="n"/>
      <c r="AB943" s="160" t="n"/>
      <c r="AC943" s="160" t="n"/>
      <c r="AD943" s="160" t="n"/>
      <c r="AE943" s="160" t="n"/>
      <c r="AF943" s="160" t="n"/>
      <c r="AG943" s="160" t="n"/>
      <c r="AH943" s="160" t="n"/>
      <c r="AI943" s="160" t="n"/>
      <c r="AJ943" s="160" t="n"/>
      <c r="AK943" s="160" t="n"/>
      <c r="AL943" s="160" t="n"/>
      <c r="AM943" s="160" t="n"/>
      <c r="AN943" s="160" t="n"/>
      <c r="AO943" s="160" t="n"/>
      <c r="AP943" s="160" t="n"/>
      <c r="AQ943" s="160" t="n"/>
      <c r="AR943" s="160" t="n"/>
    </row>
    <row r="945">
      <c r="A945" s="8">
        <f>IF(HSI!$C$92="","",HSI!$C$92)</f>
        <v/>
      </c>
      <c r="B945" s="158">
        <f>IF($A945="",0,COUNT($E946:$AR946))</f>
        <v/>
      </c>
      <c r="C945" s="159">
        <f>IF($B945=0,0,MAX($E946:$AR946))</f>
        <v/>
      </c>
      <c r="D945" s="101">
        <f>BDS($A945,FLD_HIST,"headers=y","startcol=1","endcol=7","dir=h","DVD_START_DT",HIST_FROM,"DVD_END_DT",HIST_TO)</f>
        <v/>
      </c>
      <c r="E945" s="102" t="n"/>
      <c r="F945" s="102" t="n"/>
      <c r="G945" s="102" t="n"/>
      <c r="H945" s="102" t="n"/>
      <c r="I945" s="102" t="n"/>
      <c r="J945" s="102" t="n"/>
      <c r="K945" s="102" t="n"/>
      <c r="L945" s="102" t="n"/>
      <c r="M945" s="102" t="n"/>
      <c r="N945" s="102" t="n"/>
      <c r="O945" s="102" t="n"/>
      <c r="P945" s="102" t="n"/>
      <c r="Q945" s="102" t="n"/>
      <c r="R945" s="102" t="n"/>
      <c r="S945" s="102" t="n"/>
      <c r="T945" s="102" t="n"/>
      <c r="U945" s="102" t="n"/>
      <c r="V945" s="102" t="n"/>
      <c r="W945" s="102" t="n"/>
      <c r="X945" s="102" t="n"/>
      <c r="Y945" s="102" t="n"/>
      <c r="Z945" s="102" t="n"/>
      <c r="AA945" s="102" t="n"/>
      <c r="AB945" s="102" t="n"/>
      <c r="AC945" s="102" t="n"/>
      <c r="AD945" s="102" t="n"/>
      <c r="AE945" s="102" t="n"/>
      <c r="AF945" s="102" t="n"/>
      <c r="AG945" s="102" t="n"/>
      <c r="AH945" s="102" t="n"/>
      <c r="AI945" s="102" t="n"/>
      <c r="AJ945" s="102" t="n"/>
      <c r="AK945" s="102" t="n"/>
      <c r="AL945" s="102" t="n"/>
      <c r="AM945" s="102" t="n"/>
      <c r="AN945" s="102" t="n"/>
      <c r="AO945" s="102" t="n"/>
      <c r="AP945" s="102" t="n"/>
      <c r="AQ945" s="102" t="n"/>
      <c r="AR945" s="102" t="n"/>
    </row>
    <row r="946">
      <c r="D946" s="102" t="n"/>
      <c r="E946" s="102" t="n"/>
      <c r="F946" s="102" t="n"/>
      <c r="G946" s="102" t="n"/>
      <c r="H946" s="102" t="n"/>
      <c r="I946" s="102" t="n"/>
      <c r="J946" s="102" t="n"/>
      <c r="K946" s="102" t="n"/>
      <c r="L946" s="102" t="n"/>
      <c r="M946" s="102" t="n"/>
      <c r="N946" s="102" t="n"/>
      <c r="O946" s="102" t="n"/>
      <c r="P946" s="102" t="n"/>
      <c r="Q946" s="102" t="n"/>
      <c r="R946" s="102" t="n"/>
      <c r="S946" s="102" t="n"/>
      <c r="T946" s="102" t="n"/>
      <c r="U946" s="102" t="n"/>
      <c r="V946" s="102" t="n"/>
      <c r="W946" s="102" t="n"/>
      <c r="X946" s="102" t="n"/>
      <c r="Y946" s="102" t="n"/>
      <c r="Z946" s="102" t="n"/>
      <c r="AA946" s="102" t="n"/>
      <c r="AB946" s="102" t="n"/>
      <c r="AC946" s="102" t="n"/>
      <c r="AD946" s="102" t="n"/>
      <c r="AE946" s="102" t="n"/>
      <c r="AF946" s="102" t="n"/>
      <c r="AG946" s="102" t="n"/>
      <c r="AH946" s="102" t="n"/>
      <c r="AI946" s="102" t="n"/>
      <c r="AJ946" s="102" t="n"/>
      <c r="AK946" s="102" t="n"/>
      <c r="AL946" s="102" t="n"/>
      <c r="AM946" s="102" t="n"/>
      <c r="AN946" s="102" t="n"/>
      <c r="AO946" s="102" t="n"/>
      <c r="AP946" s="102" t="n"/>
      <c r="AQ946" s="102" t="n"/>
      <c r="AR946" s="102" t="n"/>
    </row>
    <row r="947">
      <c r="D947" s="102" t="n"/>
      <c r="E947" s="102" t="n"/>
      <c r="F947" s="102" t="n"/>
      <c r="G947" s="102" t="n"/>
      <c r="H947" s="102" t="n"/>
      <c r="I947" s="102" t="n"/>
      <c r="J947" s="102" t="n"/>
      <c r="K947" s="102" t="n"/>
      <c r="L947" s="102" t="n"/>
      <c r="M947" s="102" t="n"/>
      <c r="N947" s="102" t="n"/>
      <c r="O947" s="102" t="n"/>
      <c r="P947" s="102" t="n"/>
      <c r="Q947" s="102" t="n"/>
      <c r="R947" s="102" t="n"/>
      <c r="S947" s="102" t="n"/>
      <c r="T947" s="102" t="n"/>
      <c r="U947" s="102" t="n"/>
      <c r="V947" s="102" t="n"/>
      <c r="W947" s="102" t="n"/>
      <c r="X947" s="102" t="n"/>
      <c r="Y947" s="102" t="n"/>
      <c r="Z947" s="102" t="n"/>
      <c r="AA947" s="102" t="n"/>
      <c r="AB947" s="102" t="n"/>
      <c r="AC947" s="102" t="n"/>
      <c r="AD947" s="102" t="n"/>
      <c r="AE947" s="102" t="n"/>
      <c r="AF947" s="102" t="n"/>
      <c r="AG947" s="102" t="n"/>
      <c r="AH947" s="102" t="n"/>
      <c r="AI947" s="102" t="n"/>
      <c r="AJ947" s="102" t="n"/>
      <c r="AK947" s="102" t="n"/>
      <c r="AL947" s="102" t="n"/>
      <c r="AM947" s="102" t="n"/>
      <c r="AN947" s="102" t="n"/>
      <c r="AO947" s="102" t="n"/>
      <c r="AP947" s="102" t="n"/>
      <c r="AQ947" s="102" t="n"/>
      <c r="AR947" s="102" t="n"/>
    </row>
    <row r="948">
      <c r="D948" s="102" t="n"/>
      <c r="E948" s="102" t="n"/>
      <c r="F948" s="102" t="n"/>
      <c r="G948" s="102" t="n"/>
      <c r="H948" s="102" t="n"/>
      <c r="I948" s="102" t="n"/>
      <c r="J948" s="102" t="n"/>
      <c r="K948" s="102" t="n"/>
      <c r="L948" s="102" t="n"/>
      <c r="M948" s="102" t="n"/>
      <c r="N948" s="102" t="n"/>
      <c r="O948" s="102" t="n"/>
      <c r="P948" s="102" t="n"/>
      <c r="Q948" s="102" t="n"/>
      <c r="R948" s="102" t="n"/>
      <c r="S948" s="102" t="n"/>
      <c r="T948" s="102" t="n"/>
      <c r="U948" s="102" t="n"/>
      <c r="V948" s="102" t="n"/>
      <c r="W948" s="102" t="n"/>
      <c r="X948" s="102" t="n"/>
      <c r="Y948" s="102" t="n"/>
      <c r="Z948" s="102" t="n"/>
      <c r="AA948" s="102" t="n"/>
      <c r="AB948" s="102" t="n"/>
      <c r="AC948" s="102" t="n"/>
      <c r="AD948" s="102" t="n"/>
      <c r="AE948" s="102" t="n"/>
      <c r="AF948" s="102" t="n"/>
      <c r="AG948" s="102" t="n"/>
      <c r="AH948" s="102" t="n"/>
      <c r="AI948" s="102" t="n"/>
      <c r="AJ948" s="102" t="n"/>
      <c r="AK948" s="102" t="n"/>
      <c r="AL948" s="102" t="n"/>
      <c r="AM948" s="102" t="n"/>
      <c r="AN948" s="102" t="n"/>
      <c r="AO948" s="102" t="n"/>
      <c r="AP948" s="102" t="n"/>
      <c r="AQ948" s="102" t="n"/>
      <c r="AR948" s="102" t="n"/>
    </row>
    <row r="949">
      <c r="D949" s="160" t="n"/>
      <c r="E949" s="160" t="n"/>
      <c r="F949" s="160" t="n"/>
      <c r="G949" s="160" t="n"/>
      <c r="H949" s="160" t="n"/>
      <c r="I949" s="160" t="n"/>
      <c r="J949" s="160" t="n"/>
      <c r="K949" s="160" t="n"/>
      <c r="L949" s="160" t="n"/>
      <c r="M949" s="160" t="n"/>
      <c r="N949" s="160" t="n"/>
      <c r="O949" s="160" t="n"/>
      <c r="P949" s="160" t="n"/>
      <c r="Q949" s="160" t="n"/>
      <c r="R949" s="160" t="n"/>
      <c r="S949" s="160" t="n"/>
      <c r="T949" s="160" t="n"/>
      <c r="U949" s="160" t="n"/>
      <c r="V949" s="160" t="n"/>
      <c r="W949" s="160" t="n"/>
      <c r="X949" s="160" t="n"/>
      <c r="Y949" s="160" t="n"/>
      <c r="Z949" s="160" t="n"/>
      <c r="AA949" s="160" t="n"/>
      <c r="AB949" s="160" t="n"/>
      <c r="AC949" s="160" t="n"/>
      <c r="AD949" s="160" t="n"/>
      <c r="AE949" s="160" t="n"/>
      <c r="AF949" s="160" t="n"/>
      <c r="AG949" s="160" t="n"/>
      <c r="AH949" s="160" t="n"/>
      <c r="AI949" s="160" t="n"/>
      <c r="AJ949" s="160" t="n"/>
      <c r="AK949" s="160" t="n"/>
      <c r="AL949" s="160" t="n"/>
      <c r="AM949" s="160" t="n"/>
      <c r="AN949" s="160" t="n"/>
      <c r="AO949" s="160" t="n"/>
      <c r="AP949" s="160" t="n"/>
      <c r="AQ949" s="160" t="n"/>
      <c r="AR949" s="160" t="n"/>
    </row>
    <row r="952">
      <c r="A952" s="2">
        <f>IF($A945="","","   projections")</f>
        <v/>
      </c>
      <c r="B952" s="158">
        <f>IF($A945="",0,COUNT($E953:$AR953))</f>
        <v/>
      </c>
      <c r="C952" s="159">
        <f>IF($B952=0,0,MAX($E953:$AR953))</f>
        <v/>
      </c>
      <c r="D952" s="101">
        <f>BDS($A945,FLD_PROJ,"headers=y","startcol=1","endcol=3","dir=h")</f>
        <v/>
      </c>
      <c r="E952" s="102" t="n"/>
      <c r="F952" s="102" t="n"/>
      <c r="G952" s="102" t="n"/>
      <c r="H952" s="102" t="n"/>
      <c r="I952" s="102" t="n"/>
      <c r="J952" s="102" t="n"/>
      <c r="K952" s="102" t="n"/>
      <c r="L952" s="102" t="n"/>
      <c r="M952" s="102" t="n"/>
      <c r="N952" s="102" t="n"/>
      <c r="O952" s="102" t="n"/>
      <c r="P952" s="102" t="n"/>
      <c r="Q952" s="102" t="n"/>
      <c r="R952" s="102" t="n"/>
      <c r="S952" s="102" t="n"/>
      <c r="T952" s="102" t="n"/>
      <c r="U952" s="102" t="n"/>
      <c r="V952" s="102" t="n"/>
      <c r="W952" s="102" t="n"/>
      <c r="X952" s="102" t="n"/>
      <c r="Y952" s="102" t="n"/>
      <c r="Z952" s="102" t="n"/>
      <c r="AA952" s="102" t="n"/>
      <c r="AB952" s="102" t="n"/>
      <c r="AC952" s="102" t="n"/>
      <c r="AD952" s="102" t="n"/>
      <c r="AE952" s="102" t="n"/>
      <c r="AF952" s="102" t="n"/>
      <c r="AG952" s="102" t="n"/>
      <c r="AH952" s="102" t="n"/>
      <c r="AI952" s="102" t="n"/>
      <c r="AJ952" s="102" t="n"/>
      <c r="AK952" s="102" t="n"/>
      <c r="AL952" s="102" t="n"/>
      <c r="AM952" s="102" t="n"/>
      <c r="AN952" s="102" t="n"/>
      <c r="AO952" s="102" t="n"/>
      <c r="AP952" s="102" t="n"/>
      <c r="AQ952" s="102" t="n"/>
      <c r="AR952" s="102" t="n"/>
    </row>
    <row r="953">
      <c r="D953" s="102" t="n"/>
      <c r="E953" s="102" t="n"/>
      <c r="F953" s="102" t="n"/>
      <c r="G953" s="102" t="n"/>
      <c r="H953" s="102" t="n"/>
      <c r="I953" s="102" t="n"/>
      <c r="J953" s="102" t="n"/>
      <c r="K953" s="102" t="n"/>
      <c r="L953" s="102" t="n"/>
      <c r="M953" s="102" t="n"/>
      <c r="N953" s="102" t="n"/>
      <c r="O953" s="102" t="n"/>
      <c r="P953" s="102" t="n"/>
      <c r="Q953" s="102" t="n"/>
      <c r="R953" s="102" t="n"/>
      <c r="S953" s="102" t="n"/>
      <c r="T953" s="102" t="n"/>
      <c r="U953" s="102" t="n"/>
      <c r="V953" s="102" t="n"/>
      <c r="W953" s="102" t="n"/>
      <c r="X953" s="102" t="n"/>
      <c r="Y953" s="102" t="n"/>
      <c r="Z953" s="102" t="n"/>
      <c r="AA953" s="102" t="n"/>
      <c r="AB953" s="102" t="n"/>
      <c r="AC953" s="102" t="n"/>
      <c r="AD953" s="102" t="n"/>
      <c r="AE953" s="102" t="n"/>
      <c r="AF953" s="102" t="n"/>
      <c r="AG953" s="102" t="n"/>
      <c r="AH953" s="102" t="n"/>
      <c r="AI953" s="102" t="n"/>
      <c r="AJ953" s="102" t="n"/>
      <c r="AK953" s="102" t="n"/>
      <c r="AL953" s="102" t="n"/>
      <c r="AM953" s="102" t="n"/>
      <c r="AN953" s="102" t="n"/>
      <c r="AO953" s="102" t="n"/>
      <c r="AP953" s="102" t="n"/>
      <c r="AQ953" s="102" t="n"/>
      <c r="AR953" s="102" t="n"/>
    </row>
    <row r="954">
      <c r="D954" s="160" t="n"/>
      <c r="E954" s="160" t="n"/>
      <c r="F954" s="160" t="n"/>
      <c r="G954" s="160" t="n"/>
      <c r="H954" s="160" t="n"/>
      <c r="I954" s="160" t="n"/>
      <c r="J954" s="160" t="n"/>
      <c r="K954" s="160" t="n"/>
      <c r="L954" s="160" t="n"/>
      <c r="M954" s="160" t="n"/>
      <c r="N954" s="160" t="n"/>
      <c r="O954" s="160" t="n"/>
      <c r="P954" s="160" t="n"/>
      <c r="Q954" s="160" t="n"/>
      <c r="R954" s="160" t="n"/>
      <c r="S954" s="160" t="n"/>
      <c r="T954" s="160" t="n"/>
      <c r="U954" s="160" t="n"/>
      <c r="V954" s="160" t="n"/>
      <c r="W954" s="160" t="n"/>
      <c r="X954" s="160" t="n"/>
      <c r="Y954" s="160" t="n"/>
      <c r="Z954" s="160" t="n"/>
      <c r="AA954" s="160" t="n"/>
      <c r="AB954" s="160" t="n"/>
      <c r="AC954" s="160" t="n"/>
      <c r="AD954" s="160" t="n"/>
      <c r="AE954" s="160" t="n"/>
      <c r="AF954" s="160" t="n"/>
      <c r="AG954" s="160" t="n"/>
      <c r="AH954" s="160" t="n"/>
      <c r="AI954" s="160" t="n"/>
      <c r="AJ954" s="160" t="n"/>
      <c r="AK954" s="160" t="n"/>
      <c r="AL954" s="160" t="n"/>
      <c r="AM954" s="160" t="n"/>
      <c r="AN954" s="160" t="n"/>
      <c r="AO954" s="160" t="n"/>
      <c r="AP954" s="160" t="n"/>
      <c r="AQ954" s="160" t="n"/>
      <c r="AR954" s="160" t="n"/>
    </row>
    <row r="956">
      <c r="A956" s="8">
        <f>IF(HSI!$C$93="","",HSI!$C$93)</f>
        <v/>
      </c>
      <c r="B956" s="158">
        <f>IF($A956="",0,COUNT($E957:$AR957))</f>
        <v/>
      </c>
      <c r="C956" s="159">
        <f>IF($B956=0,0,MAX($E957:$AR957))</f>
        <v/>
      </c>
      <c r="D956" s="101">
        <f>BDS($A956,FLD_HIST,"headers=y","startcol=1","endcol=7","dir=h","DVD_START_DT",HIST_FROM,"DVD_END_DT",HIST_TO)</f>
        <v/>
      </c>
      <c r="E956" s="102" t="n"/>
      <c r="F956" s="102" t="n"/>
      <c r="G956" s="102" t="n"/>
      <c r="H956" s="102" t="n"/>
      <c r="I956" s="102" t="n"/>
      <c r="J956" s="102" t="n"/>
      <c r="K956" s="102" t="n"/>
      <c r="L956" s="102" t="n"/>
      <c r="M956" s="102" t="n"/>
      <c r="N956" s="102" t="n"/>
      <c r="O956" s="102" t="n"/>
      <c r="P956" s="102" t="n"/>
      <c r="Q956" s="102" t="n"/>
      <c r="R956" s="102" t="n"/>
      <c r="S956" s="102" t="n"/>
      <c r="T956" s="102" t="n"/>
      <c r="U956" s="102" t="n"/>
      <c r="V956" s="102" t="n"/>
      <c r="W956" s="102" t="n"/>
      <c r="X956" s="102" t="n"/>
      <c r="Y956" s="102" t="n"/>
      <c r="Z956" s="102" t="n"/>
      <c r="AA956" s="102" t="n"/>
      <c r="AB956" s="102" t="n"/>
      <c r="AC956" s="102" t="n"/>
      <c r="AD956" s="102" t="n"/>
      <c r="AE956" s="102" t="n"/>
      <c r="AF956" s="102" t="n"/>
      <c r="AG956" s="102" t="n"/>
      <c r="AH956" s="102" t="n"/>
      <c r="AI956" s="102" t="n"/>
      <c r="AJ956" s="102" t="n"/>
      <c r="AK956" s="102" t="n"/>
      <c r="AL956" s="102" t="n"/>
      <c r="AM956" s="102" t="n"/>
      <c r="AN956" s="102" t="n"/>
      <c r="AO956" s="102" t="n"/>
      <c r="AP956" s="102" t="n"/>
      <c r="AQ956" s="102" t="n"/>
      <c r="AR956" s="102" t="n"/>
    </row>
    <row r="957">
      <c r="D957" s="102" t="n"/>
      <c r="E957" s="102" t="n"/>
      <c r="F957" s="102" t="n"/>
      <c r="G957" s="102" t="n"/>
      <c r="H957" s="102" t="n"/>
      <c r="I957" s="102" t="n"/>
      <c r="J957" s="102" t="n"/>
      <c r="K957" s="102" t="n"/>
      <c r="L957" s="102" t="n"/>
      <c r="M957" s="102" t="n"/>
      <c r="N957" s="102" t="n"/>
      <c r="O957" s="102" t="n"/>
      <c r="P957" s="102" t="n"/>
      <c r="Q957" s="102" t="n"/>
      <c r="R957" s="102" t="n"/>
      <c r="S957" s="102" t="n"/>
      <c r="T957" s="102" t="n"/>
      <c r="U957" s="102" t="n"/>
      <c r="V957" s="102" t="n"/>
      <c r="W957" s="102" t="n"/>
      <c r="X957" s="102" t="n"/>
      <c r="Y957" s="102" t="n"/>
      <c r="Z957" s="102" t="n"/>
      <c r="AA957" s="102" t="n"/>
      <c r="AB957" s="102" t="n"/>
      <c r="AC957" s="102" t="n"/>
      <c r="AD957" s="102" t="n"/>
      <c r="AE957" s="102" t="n"/>
      <c r="AF957" s="102" t="n"/>
      <c r="AG957" s="102" t="n"/>
      <c r="AH957" s="102" t="n"/>
      <c r="AI957" s="102" t="n"/>
      <c r="AJ957" s="102" t="n"/>
      <c r="AK957" s="102" t="n"/>
      <c r="AL957" s="102" t="n"/>
      <c r="AM957" s="102" t="n"/>
      <c r="AN957" s="102" t="n"/>
      <c r="AO957" s="102" t="n"/>
      <c r="AP957" s="102" t="n"/>
      <c r="AQ957" s="102" t="n"/>
      <c r="AR957" s="102" t="n"/>
    </row>
    <row r="958">
      <c r="D958" s="102" t="n"/>
      <c r="E958" s="102" t="n"/>
      <c r="F958" s="102" t="n"/>
      <c r="G958" s="102" t="n"/>
      <c r="H958" s="102" t="n"/>
      <c r="I958" s="102" t="n"/>
      <c r="J958" s="102" t="n"/>
      <c r="K958" s="102" t="n"/>
      <c r="L958" s="102" t="n"/>
      <c r="M958" s="102" t="n"/>
      <c r="N958" s="102" t="n"/>
      <c r="O958" s="102" t="n"/>
      <c r="P958" s="102" t="n"/>
      <c r="Q958" s="102" t="n"/>
      <c r="R958" s="102" t="n"/>
      <c r="S958" s="102" t="n"/>
      <c r="T958" s="102" t="n"/>
      <c r="U958" s="102" t="n"/>
      <c r="V958" s="102" t="n"/>
      <c r="W958" s="102" t="n"/>
      <c r="X958" s="102" t="n"/>
      <c r="Y958" s="102" t="n"/>
      <c r="Z958" s="102" t="n"/>
      <c r="AA958" s="102" t="n"/>
      <c r="AB958" s="102" t="n"/>
      <c r="AC958" s="102" t="n"/>
      <c r="AD958" s="102" t="n"/>
      <c r="AE958" s="102" t="n"/>
      <c r="AF958" s="102" t="n"/>
      <c r="AG958" s="102" t="n"/>
      <c r="AH958" s="102" t="n"/>
      <c r="AI958" s="102" t="n"/>
      <c r="AJ958" s="102" t="n"/>
      <c r="AK958" s="102" t="n"/>
      <c r="AL958" s="102" t="n"/>
      <c r="AM958" s="102" t="n"/>
      <c r="AN958" s="102" t="n"/>
      <c r="AO958" s="102" t="n"/>
      <c r="AP958" s="102" t="n"/>
      <c r="AQ958" s="102" t="n"/>
      <c r="AR958" s="102" t="n"/>
    </row>
    <row r="959">
      <c r="D959" s="102" t="n"/>
      <c r="E959" s="102" t="n"/>
      <c r="F959" s="102" t="n"/>
      <c r="G959" s="102" t="n"/>
      <c r="H959" s="102" t="n"/>
      <c r="I959" s="102" t="n"/>
      <c r="J959" s="102" t="n"/>
      <c r="K959" s="102" t="n"/>
      <c r="L959" s="102" t="n"/>
      <c r="M959" s="102" t="n"/>
      <c r="N959" s="102" t="n"/>
      <c r="O959" s="102" t="n"/>
      <c r="P959" s="102" t="n"/>
      <c r="Q959" s="102" t="n"/>
      <c r="R959" s="102" t="n"/>
      <c r="S959" s="102" t="n"/>
      <c r="T959" s="102" t="n"/>
      <c r="U959" s="102" t="n"/>
      <c r="V959" s="102" t="n"/>
      <c r="W959" s="102" t="n"/>
      <c r="X959" s="102" t="n"/>
      <c r="Y959" s="102" t="n"/>
      <c r="Z959" s="102" t="n"/>
      <c r="AA959" s="102" t="n"/>
      <c r="AB959" s="102" t="n"/>
      <c r="AC959" s="102" t="n"/>
      <c r="AD959" s="102" t="n"/>
      <c r="AE959" s="102" t="n"/>
      <c r="AF959" s="102" t="n"/>
      <c r="AG959" s="102" t="n"/>
      <c r="AH959" s="102" t="n"/>
      <c r="AI959" s="102" t="n"/>
      <c r="AJ959" s="102" t="n"/>
      <c r="AK959" s="102" t="n"/>
      <c r="AL959" s="102" t="n"/>
      <c r="AM959" s="102" t="n"/>
      <c r="AN959" s="102" t="n"/>
      <c r="AO959" s="102" t="n"/>
      <c r="AP959" s="102" t="n"/>
      <c r="AQ959" s="102" t="n"/>
      <c r="AR959" s="102" t="n"/>
    </row>
    <row r="960">
      <c r="D960" s="160" t="n"/>
      <c r="E960" s="160" t="n"/>
      <c r="F960" s="160" t="n"/>
      <c r="G960" s="160" t="n"/>
      <c r="H960" s="160" t="n"/>
      <c r="I960" s="160" t="n"/>
      <c r="J960" s="160" t="n"/>
      <c r="K960" s="160" t="n"/>
      <c r="L960" s="160" t="n"/>
      <c r="M960" s="160" t="n"/>
      <c r="N960" s="160" t="n"/>
      <c r="O960" s="160" t="n"/>
      <c r="P960" s="160" t="n"/>
      <c r="Q960" s="160" t="n"/>
      <c r="R960" s="160" t="n"/>
      <c r="S960" s="160" t="n"/>
      <c r="T960" s="160" t="n"/>
      <c r="U960" s="160" t="n"/>
      <c r="V960" s="160" t="n"/>
      <c r="W960" s="160" t="n"/>
      <c r="X960" s="160" t="n"/>
      <c r="Y960" s="160" t="n"/>
      <c r="Z960" s="160" t="n"/>
      <c r="AA960" s="160" t="n"/>
      <c r="AB960" s="160" t="n"/>
      <c r="AC960" s="160" t="n"/>
      <c r="AD960" s="160" t="n"/>
      <c r="AE960" s="160" t="n"/>
      <c r="AF960" s="160" t="n"/>
      <c r="AG960" s="160" t="n"/>
      <c r="AH960" s="160" t="n"/>
      <c r="AI960" s="160" t="n"/>
      <c r="AJ960" s="160" t="n"/>
      <c r="AK960" s="160" t="n"/>
      <c r="AL960" s="160" t="n"/>
      <c r="AM960" s="160" t="n"/>
      <c r="AN960" s="160" t="n"/>
      <c r="AO960" s="160" t="n"/>
      <c r="AP960" s="160" t="n"/>
      <c r="AQ960" s="160" t="n"/>
      <c r="AR960" s="160" t="n"/>
    </row>
    <row r="963">
      <c r="A963" s="2">
        <f>IF($A956="","","   projections")</f>
        <v/>
      </c>
      <c r="B963" s="158">
        <f>IF($A956="",0,COUNT($E964:$AR964))</f>
        <v/>
      </c>
      <c r="C963" s="159">
        <f>IF($B963=0,0,MAX($E964:$AR964))</f>
        <v/>
      </c>
      <c r="D963" s="101">
        <f>BDS($A956,FLD_PROJ,"headers=y","startcol=1","endcol=3","dir=h")</f>
        <v/>
      </c>
      <c r="E963" s="102" t="n"/>
      <c r="F963" s="102" t="n"/>
      <c r="G963" s="102" t="n"/>
      <c r="H963" s="102" t="n"/>
      <c r="I963" s="102" t="n"/>
      <c r="J963" s="102" t="n"/>
      <c r="K963" s="102" t="n"/>
      <c r="L963" s="102" t="n"/>
      <c r="M963" s="102" t="n"/>
      <c r="N963" s="102" t="n"/>
      <c r="O963" s="102" t="n"/>
      <c r="P963" s="102" t="n"/>
      <c r="Q963" s="102" t="n"/>
      <c r="R963" s="102" t="n"/>
      <c r="S963" s="102" t="n"/>
      <c r="T963" s="102" t="n"/>
      <c r="U963" s="102" t="n"/>
      <c r="V963" s="102" t="n"/>
      <c r="W963" s="102" t="n"/>
      <c r="X963" s="102" t="n"/>
      <c r="Y963" s="102" t="n"/>
      <c r="Z963" s="102" t="n"/>
      <c r="AA963" s="102" t="n"/>
      <c r="AB963" s="102" t="n"/>
      <c r="AC963" s="102" t="n"/>
      <c r="AD963" s="102" t="n"/>
      <c r="AE963" s="102" t="n"/>
      <c r="AF963" s="102" t="n"/>
      <c r="AG963" s="102" t="n"/>
      <c r="AH963" s="102" t="n"/>
      <c r="AI963" s="102" t="n"/>
      <c r="AJ963" s="102" t="n"/>
      <c r="AK963" s="102" t="n"/>
      <c r="AL963" s="102" t="n"/>
      <c r="AM963" s="102" t="n"/>
      <c r="AN963" s="102" t="n"/>
      <c r="AO963" s="102" t="n"/>
      <c r="AP963" s="102" t="n"/>
      <c r="AQ963" s="102" t="n"/>
      <c r="AR963" s="102" t="n"/>
    </row>
    <row r="964">
      <c r="D964" s="102" t="n"/>
      <c r="E964" s="102" t="n"/>
      <c r="F964" s="102" t="n"/>
      <c r="G964" s="102" t="n"/>
      <c r="H964" s="102" t="n"/>
      <c r="I964" s="102" t="n"/>
      <c r="J964" s="102" t="n"/>
      <c r="K964" s="102" t="n"/>
      <c r="L964" s="102" t="n"/>
      <c r="M964" s="102" t="n"/>
      <c r="N964" s="102" t="n"/>
      <c r="O964" s="102" t="n"/>
      <c r="P964" s="102" t="n"/>
      <c r="Q964" s="102" t="n"/>
      <c r="R964" s="102" t="n"/>
      <c r="S964" s="102" t="n"/>
      <c r="T964" s="102" t="n"/>
      <c r="U964" s="102" t="n"/>
      <c r="V964" s="102" t="n"/>
      <c r="W964" s="102" t="n"/>
      <c r="X964" s="102" t="n"/>
      <c r="Y964" s="102" t="n"/>
      <c r="Z964" s="102" t="n"/>
      <c r="AA964" s="102" t="n"/>
      <c r="AB964" s="102" t="n"/>
      <c r="AC964" s="102" t="n"/>
      <c r="AD964" s="102" t="n"/>
      <c r="AE964" s="102" t="n"/>
      <c r="AF964" s="102" t="n"/>
      <c r="AG964" s="102" t="n"/>
      <c r="AH964" s="102" t="n"/>
      <c r="AI964" s="102" t="n"/>
      <c r="AJ964" s="102" t="n"/>
      <c r="AK964" s="102" t="n"/>
      <c r="AL964" s="102" t="n"/>
      <c r="AM964" s="102" t="n"/>
      <c r="AN964" s="102" t="n"/>
      <c r="AO964" s="102" t="n"/>
      <c r="AP964" s="102" t="n"/>
      <c r="AQ964" s="102" t="n"/>
      <c r="AR964" s="102" t="n"/>
    </row>
    <row r="965">
      <c r="D965" s="160" t="n"/>
      <c r="E965" s="160" t="n"/>
      <c r="F965" s="160" t="n"/>
      <c r="G965" s="160" t="n"/>
      <c r="H965" s="160" t="n"/>
      <c r="I965" s="160" t="n"/>
      <c r="J965" s="160" t="n"/>
      <c r="K965" s="160" t="n"/>
      <c r="L965" s="160" t="n"/>
      <c r="M965" s="160" t="n"/>
      <c r="N965" s="160" t="n"/>
      <c r="O965" s="160" t="n"/>
      <c r="P965" s="160" t="n"/>
      <c r="Q965" s="160" t="n"/>
      <c r="R965" s="160" t="n"/>
      <c r="S965" s="160" t="n"/>
      <c r="T965" s="160" t="n"/>
      <c r="U965" s="160" t="n"/>
      <c r="V965" s="160" t="n"/>
      <c r="W965" s="160" t="n"/>
      <c r="X965" s="160" t="n"/>
      <c r="Y965" s="160" t="n"/>
      <c r="Z965" s="160" t="n"/>
      <c r="AA965" s="160" t="n"/>
      <c r="AB965" s="160" t="n"/>
      <c r="AC965" s="160" t="n"/>
      <c r="AD965" s="160" t="n"/>
      <c r="AE965" s="160" t="n"/>
      <c r="AF965" s="160" t="n"/>
      <c r="AG965" s="160" t="n"/>
      <c r="AH965" s="160" t="n"/>
      <c r="AI965" s="160" t="n"/>
      <c r="AJ965" s="160" t="n"/>
      <c r="AK965" s="160" t="n"/>
      <c r="AL965" s="160" t="n"/>
      <c r="AM965" s="160" t="n"/>
      <c r="AN965" s="160" t="n"/>
      <c r="AO965" s="160" t="n"/>
      <c r="AP965" s="160" t="n"/>
      <c r="AQ965" s="160" t="n"/>
      <c r="AR965" s="160" t="n"/>
    </row>
    <row r="967">
      <c r="A967" s="8">
        <f>IF(HSI!$C$94="","",HSI!$C$94)</f>
        <v/>
      </c>
      <c r="B967" s="158">
        <f>IF($A967="",0,COUNT($E968:$AR968))</f>
        <v/>
      </c>
      <c r="C967" s="159">
        <f>IF($B967=0,0,MAX($E968:$AR968))</f>
        <v/>
      </c>
      <c r="D967" s="101">
        <f>BDS($A967,FLD_HIST,"headers=y","startcol=1","endcol=7","dir=h","DVD_START_DT",HIST_FROM,"DVD_END_DT",HIST_TO)</f>
        <v/>
      </c>
      <c r="E967" s="102" t="n"/>
      <c r="F967" s="102" t="n"/>
      <c r="G967" s="102" t="n"/>
      <c r="H967" s="102" t="n"/>
      <c r="I967" s="102" t="n"/>
      <c r="J967" s="102" t="n"/>
      <c r="K967" s="102" t="n"/>
      <c r="L967" s="102" t="n"/>
      <c r="M967" s="102" t="n"/>
      <c r="N967" s="102" t="n"/>
      <c r="O967" s="102" t="n"/>
      <c r="P967" s="102" t="n"/>
      <c r="Q967" s="102" t="n"/>
      <c r="R967" s="102" t="n"/>
      <c r="S967" s="102" t="n"/>
      <c r="T967" s="102" t="n"/>
      <c r="U967" s="102" t="n"/>
      <c r="V967" s="102" t="n"/>
      <c r="W967" s="102" t="n"/>
      <c r="X967" s="102" t="n"/>
      <c r="Y967" s="102" t="n"/>
      <c r="Z967" s="102" t="n"/>
      <c r="AA967" s="102" t="n"/>
      <c r="AB967" s="102" t="n"/>
      <c r="AC967" s="102" t="n"/>
      <c r="AD967" s="102" t="n"/>
      <c r="AE967" s="102" t="n"/>
      <c r="AF967" s="102" t="n"/>
      <c r="AG967" s="102" t="n"/>
      <c r="AH967" s="102" t="n"/>
      <c r="AI967" s="102" t="n"/>
      <c r="AJ967" s="102" t="n"/>
      <c r="AK967" s="102" t="n"/>
      <c r="AL967" s="102" t="n"/>
      <c r="AM967" s="102" t="n"/>
      <c r="AN967" s="102" t="n"/>
      <c r="AO967" s="102" t="n"/>
      <c r="AP967" s="102" t="n"/>
      <c r="AQ967" s="102" t="n"/>
      <c r="AR967" s="102" t="n"/>
    </row>
    <row r="968">
      <c r="D968" s="102" t="n"/>
      <c r="E968" s="102" t="n"/>
      <c r="F968" s="102" t="n"/>
      <c r="G968" s="102" t="n"/>
      <c r="H968" s="102" t="n"/>
      <c r="I968" s="102" t="n"/>
      <c r="J968" s="102" t="n"/>
      <c r="K968" s="102" t="n"/>
      <c r="L968" s="102" t="n"/>
      <c r="M968" s="102" t="n"/>
      <c r="N968" s="102" t="n"/>
      <c r="O968" s="102" t="n"/>
      <c r="P968" s="102" t="n"/>
      <c r="Q968" s="102" t="n"/>
      <c r="R968" s="102" t="n"/>
      <c r="S968" s="102" t="n"/>
      <c r="T968" s="102" t="n"/>
      <c r="U968" s="102" t="n"/>
      <c r="V968" s="102" t="n"/>
      <c r="W968" s="102" t="n"/>
      <c r="X968" s="102" t="n"/>
      <c r="Y968" s="102" t="n"/>
      <c r="Z968" s="102" t="n"/>
      <c r="AA968" s="102" t="n"/>
      <c r="AB968" s="102" t="n"/>
      <c r="AC968" s="102" t="n"/>
      <c r="AD968" s="102" t="n"/>
      <c r="AE968" s="102" t="n"/>
      <c r="AF968" s="102" t="n"/>
      <c r="AG968" s="102" t="n"/>
      <c r="AH968" s="102" t="n"/>
      <c r="AI968" s="102" t="n"/>
      <c r="AJ968" s="102" t="n"/>
      <c r="AK968" s="102" t="n"/>
      <c r="AL968" s="102" t="n"/>
      <c r="AM968" s="102" t="n"/>
      <c r="AN968" s="102" t="n"/>
      <c r="AO968" s="102" t="n"/>
      <c r="AP968" s="102" t="n"/>
      <c r="AQ968" s="102" t="n"/>
      <c r="AR968" s="102" t="n"/>
    </row>
    <row r="969">
      <c r="D969" s="102" t="n"/>
      <c r="E969" s="102" t="n"/>
      <c r="F969" s="102" t="n"/>
      <c r="G969" s="102" t="n"/>
      <c r="H969" s="102" t="n"/>
      <c r="I969" s="102" t="n"/>
      <c r="J969" s="102" t="n"/>
      <c r="K969" s="102" t="n"/>
      <c r="L969" s="102" t="n"/>
      <c r="M969" s="102" t="n"/>
      <c r="N969" s="102" t="n"/>
      <c r="O969" s="102" t="n"/>
      <c r="P969" s="102" t="n"/>
      <c r="Q969" s="102" t="n"/>
      <c r="R969" s="102" t="n"/>
      <c r="S969" s="102" t="n"/>
      <c r="T969" s="102" t="n"/>
      <c r="U969" s="102" t="n"/>
      <c r="V969" s="102" t="n"/>
      <c r="W969" s="102" t="n"/>
      <c r="X969" s="102" t="n"/>
      <c r="Y969" s="102" t="n"/>
      <c r="Z969" s="102" t="n"/>
      <c r="AA969" s="102" t="n"/>
      <c r="AB969" s="102" t="n"/>
      <c r="AC969" s="102" t="n"/>
      <c r="AD969" s="102" t="n"/>
      <c r="AE969" s="102" t="n"/>
      <c r="AF969" s="102" t="n"/>
      <c r="AG969" s="102" t="n"/>
      <c r="AH969" s="102" t="n"/>
      <c r="AI969" s="102" t="n"/>
      <c r="AJ969" s="102" t="n"/>
      <c r="AK969" s="102" t="n"/>
      <c r="AL969" s="102" t="n"/>
      <c r="AM969" s="102" t="n"/>
      <c r="AN969" s="102" t="n"/>
      <c r="AO969" s="102" t="n"/>
      <c r="AP969" s="102" t="n"/>
      <c r="AQ969" s="102" t="n"/>
      <c r="AR969" s="102" t="n"/>
    </row>
    <row r="970">
      <c r="D970" s="102" t="n"/>
      <c r="E970" s="102" t="n"/>
      <c r="F970" s="102" t="n"/>
      <c r="G970" s="102" t="n"/>
      <c r="H970" s="102" t="n"/>
      <c r="I970" s="102" t="n"/>
      <c r="J970" s="102" t="n"/>
      <c r="K970" s="102" t="n"/>
      <c r="L970" s="102" t="n"/>
      <c r="M970" s="102" t="n"/>
      <c r="N970" s="102" t="n"/>
      <c r="O970" s="102" t="n"/>
      <c r="P970" s="102" t="n"/>
      <c r="Q970" s="102" t="n"/>
      <c r="R970" s="102" t="n"/>
      <c r="S970" s="102" t="n"/>
      <c r="T970" s="102" t="n"/>
      <c r="U970" s="102" t="n"/>
      <c r="V970" s="102" t="n"/>
      <c r="W970" s="102" t="n"/>
      <c r="X970" s="102" t="n"/>
      <c r="Y970" s="102" t="n"/>
      <c r="Z970" s="102" t="n"/>
      <c r="AA970" s="102" t="n"/>
      <c r="AB970" s="102" t="n"/>
      <c r="AC970" s="102" t="n"/>
      <c r="AD970" s="102" t="n"/>
      <c r="AE970" s="102" t="n"/>
      <c r="AF970" s="102" t="n"/>
      <c r="AG970" s="102" t="n"/>
      <c r="AH970" s="102" t="n"/>
      <c r="AI970" s="102" t="n"/>
      <c r="AJ970" s="102" t="n"/>
      <c r="AK970" s="102" t="n"/>
      <c r="AL970" s="102" t="n"/>
      <c r="AM970" s="102" t="n"/>
      <c r="AN970" s="102" t="n"/>
      <c r="AO970" s="102" t="n"/>
      <c r="AP970" s="102" t="n"/>
      <c r="AQ970" s="102" t="n"/>
      <c r="AR970" s="102" t="n"/>
    </row>
    <row r="971">
      <c r="D971" s="160" t="n"/>
      <c r="E971" s="160" t="n"/>
      <c r="F971" s="160" t="n"/>
      <c r="G971" s="160" t="n"/>
      <c r="H971" s="160" t="n"/>
      <c r="I971" s="160" t="n"/>
      <c r="J971" s="160" t="n"/>
      <c r="K971" s="160" t="n"/>
      <c r="L971" s="160" t="n"/>
      <c r="M971" s="160" t="n"/>
      <c r="N971" s="160" t="n"/>
      <c r="O971" s="160" t="n"/>
      <c r="P971" s="160" t="n"/>
      <c r="Q971" s="160" t="n"/>
      <c r="R971" s="160" t="n"/>
      <c r="S971" s="160" t="n"/>
      <c r="T971" s="160" t="n"/>
      <c r="U971" s="160" t="n"/>
      <c r="V971" s="160" t="n"/>
      <c r="W971" s="160" t="n"/>
      <c r="X971" s="160" t="n"/>
      <c r="Y971" s="160" t="n"/>
      <c r="Z971" s="160" t="n"/>
      <c r="AA971" s="160" t="n"/>
      <c r="AB971" s="160" t="n"/>
      <c r="AC971" s="160" t="n"/>
      <c r="AD971" s="160" t="n"/>
      <c r="AE971" s="160" t="n"/>
      <c r="AF971" s="160" t="n"/>
      <c r="AG971" s="160" t="n"/>
      <c r="AH971" s="160" t="n"/>
      <c r="AI971" s="160" t="n"/>
      <c r="AJ971" s="160" t="n"/>
      <c r="AK971" s="160" t="n"/>
      <c r="AL971" s="160" t="n"/>
      <c r="AM971" s="160" t="n"/>
      <c r="AN971" s="160" t="n"/>
      <c r="AO971" s="160" t="n"/>
      <c r="AP971" s="160" t="n"/>
      <c r="AQ971" s="160" t="n"/>
      <c r="AR971" s="160" t="n"/>
    </row>
    <row r="974">
      <c r="A974" s="2">
        <f>IF($A967="","","   projections")</f>
        <v/>
      </c>
      <c r="B974" s="158">
        <f>IF($A967="",0,COUNT($E975:$AR975))</f>
        <v/>
      </c>
      <c r="C974" s="159">
        <f>IF($B974=0,0,MAX($E975:$AR975))</f>
        <v/>
      </c>
      <c r="D974" s="101">
        <f>BDS($A967,FLD_PROJ,"headers=y","startcol=1","endcol=3","dir=h")</f>
        <v/>
      </c>
      <c r="E974" s="102" t="n"/>
      <c r="F974" s="102" t="n"/>
      <c r="G974" s="102" t="n"/>
      <c r="H974" s="102" t="n"/>
      <c r="I974" s="102" t="n"/>
      <c r="J974" s="102" t="n"/>
      <c r="K974" s="102" t="n"/>
      <c r="L974" s="102" t="n"/>
      <c r="M974" s="102" t="n"/>
      <c r="N974" s="102" t="n"/>
      <c r="O974" s="102" t="n"/>
      <c r="P974" s="102" t="n"/>
      <c r="Q974" s="102" t="n"/>
      <c r="R974" s="102" t="n"/>
      <c r="S974" s="102" t="n"/>
      <c r="T974" s="102" t="n"/>
      <c r="U974" s="102" t="n"/>
      <c r="V974" s="102" t="n"/>
      <c r="W974" s="102" t="n"/>
      <c r="X974" s="102" t="n"/>
      <c r="Y974" s="102" t="n"/>
      <c r="Z974" s="102" t="n"/>
      <c r="AA974" s="102" t="n"/>
      <c r="AB974" s="102" t="n"/>
      <c r="AC974" s="102" t="n"/>
      <c r="AD974" s="102" t="n"/>
      <c r="AE974" s="102" t="n"/>
      <c r="AF974" s="102" t="n"/>
      <c r="AG974" s="102" t="n"/>
      <c r="AH974" s="102" t="n"/>
      <c r="AI974" s="102" t="n"/>
      <c r="AJ974" s="102" t="n"/>
      <c r="AK974" s="102" t="n"/>
      <c r="AL974" s="102" t="n"/>
      <c r="AM974" s="102" t="n"/>
      <c r="AN974" s="102" t="n"/>
      <c r="AO974" s="102" t="n"/>
      <c r="AP974" s="102" t="n"/>
      <c r="AQ974" s="102" t="n"/>
      <c r="AR974" s="102" t="n"/>
    </row>
    <row r="975">
      <c r="D975" s="102" t="n"/>
      <c r="E975" s="102" t="n"/>
      <c r="F975" s="102" t="n"/>
      <c r="G975" s="102" t="n"/>
      <c r="H975" s="102" t="n"/>
      <c r="I975" s="102" t="n"/>
      <c r="J975" s="102" t="n"/>
      <c r="K975" s="102" t="n"/>
      <c r="L975" s="102" t="n"/>
      <c r="M975" s="102" t="n"/>
      <c r="N975" s="102" t="n"/>
      <c r="O975" s="102" t="n"/>
      <c r="P975" s="102" t="n"/>
      <c r="Q975" s="102" t="n"/>
      <c r="R975" s="102" t="n"/>
      <c r="S975" s="102" t="n"/>
      <c r="T975" s="102" t="n"/>
      <c r="U975" s="102" t="n"/>
      <c r="V975" s="102" t="n"/>
      <c r="W975" s="102" t="n"/>
      <c r="X975" s="102" t="n"/>
      <c r="Y975" s="102" t="n"/>
      <c r="Z975" s="102" t="n"/>
      <c r="AA975" s="102" t="n"/>
      <c r="AB975" s="102" t="n"/>
      <c r="AC975" s="102" t="n"/>
      <c r="AD975" s="102" t="n"/>
      <c r="AE975" s="102" t="n"/>
      <c r="AF975" s="102" t="n"/>
      <c r="AG975" s="102" t="n"/>
      <c r="AH975" s="102" t="n"/>
      <c r="AI975" s="102" t="n"/>
      <c r="AJ975" s="102" t="n"/>
      <c r="AK975" s="102" t="n"/>
      <c r="AL975" s="102" t="n"/>
      <c r="AM975" s="102" t="n"/>
      <c r="AN975" s="102" t="n"/>
      <c r="AO975" s="102" t="n"/>
      <c r="AP975" s="102" t="n"/>
      <c r="AQ975" s="102" t="n"/>
      <c r="AR975" s="102" t="n"/>
    </row>
    <row r="976">
      <c r="D976" s="160" t="n"/>
      <c r="E976" s="160" t="n"/>
      <c r="F976" s="160" t="n"/>
      <c r="G976" s="160" t="n"/>
      <c r="H976" s="160" t="n"/>
      <c r="I976" s="160" t="n"/>
      <c r="J976" s="160" t="n"/>
      <c r="K976" s="160" t="n"/>
      <c r="L976" s="160" t="n"/>
      <c r="M976" s="160" t="n"/>
      <c r="N976" s="160" t="n"/>
      <c r="O976" s="160" t="n"/>
      <c r="P976" s="160" t="n"/>
      <c r="Q976" s="160" t="n"/>
      <c r="R976" s="160" t="n"/>
      <c r="S976" s="160" t="n"/>
      <c r="T976" s="160" t="n"/>
      <c r="U976" s="160" t="n"/>
      <c r="V976" s="160" t="n"/>
      <c r="W976" s="160" t="n"/>
      <c r="X976" s="160" t="n"/>
      <c r="Y976" s="160" t="n"/>
      <c r="Z976" s="160" t="n"/>
      <c r="AA976" s="160" t="n"/>
      <c r="AB976" s="160" t="n"/>
      <c r="AC976" s="160" t="n"/>
      <c r="AD976" s="160" t="n"/>
      <c r="AE976" s="160" t="n"/>
      <c r="AF976" s="160" t="n"/>
      <c r="AG976" s="160" t="n"/>
      <c r="AH976" s="160" t="n"/>
      <c r="AI976" s="160" t="n"/>
      <c r="AJ976" s="160" t="n"/>
      <c r="AK976" s="160" t="n"/>
      <c r="AL976" s="160" t="n"/>
      <c r="AM976" s="160" t="n"/>
      <c r="AN976" s="160" t="n"/>
      <c r="AO976" s="160" t="n"/>
      <c r="AP976" s="160" t="n"/>
      <c r="AQ976" s="160" t="n"/>
      <c r="AR976" s="160" t="n"/>
    </row>
    <row r="978">
      <c r="A978" s="8">
        <f>IF(HSI!$C$95="","",HSI!$C$95)</f>
        <v/>
      </c>
      <c r="B978" s="158">
        <f>IF($A978="",0,COUNT($E979:$AR979))</f>
        <v/>
      </c>
      <c r="C978" s="159">
        <f>IF($B978=0,0,MAX($E979:$AR979))</f>
        <v/>
      </c>
      <c r="D978" s="101">
        <f>BDS($A978,FLD_HIST,"headers=y","startcol=1","endcol=7","dir=h","DVD_START_DT",HIST_FROM,"DVD_END_DT",HIST_TO)</f>
        <v/>
      </c>
      <c r="E978" s="102" t="n"/>
      <c r="F978" s="102" t="n"/>
      <c r="G978" s="102" t="n"/>
      <c r="H978" s="102" t="n"/>
      <c r="I978" s="102" t="n"/>
      <c r="J978" s="102" t="n"/>
      <c r="K978" s="102" t="n"/>
      <c r="L978" s="102" t="n"/>
      <c r="M978" s="102" t="n"/>
      <c r="N978" s="102" t="n"/>
      <c r="O978" s="102" t="n"/>
      <c r="P978" s="102" t="n"/>
      <c r="Q978" s="102" t="n"/>
      <c r="R978" s="102" t="n"/>
      <c r="S978" s="102" t="n"/>
      <c r="T978" s="102" t="n"/>
      <c r="U978" s="102" t="n"/>
      <c r="V978" s="102" t="n"/>
      <c r="W978" s="102" t="n"/>
      <c r="X978" s="102" t="n"/>
      <c r="Y978" s="102" t="n"/>
      <c r="Z978" s="102" t="n"/>
      <c r="AA978" s="102" t="n"/>
      <c r="AB978" s="102" t="n"/>
      <c r="AC978" s="102" t="n"/>
      <c r="AD978" s="102" t="n"/>
      <c r="AE978" s="102" t="n"/>
      <c r="AF978" s="102" t="n"/>
      <c r="AG978" s="102" t="n"/>
      <c r="AH978" s="102" t="n"/>
      <c r="AI978" s="102" t="n"/>
      <c r="AJ978" s="102" t="n"/>
      <c r="AK978" s="102" t="n"/>
      <c r="AL978" s="102" t="n"/>
      <c r="AM978" s="102" t="n"/>
      <c r="AN978" s="102" t="n"/>
      <c r="AO978" s="102" t="n"/>
      <c r="AP978" s="102" t="n"/>
      <c r="AQ978" s="102" t="n"/>
      <c r="AR978" s="102" t="n"/>
    </row>
    <row r="979">
      <c r="D979" s="102" t="n"/>
      <c r="E979" s="102" t="n"/>
      <c r="F979" s="102" t="n"/>
      <c r="G979" s="102" t="n"/>
      <c r="H979" s="102" t="n"/>
      <c r="I979" s="102" t="n"/>
      <c r="J979" s="102" t="n"/>
      <c r="K979" s="102" t="n"/>
      <c r="L979" s="102" t="n"/>
      <c r="M979" s="102" t="n"/>
      <c r="N979" s="102" t="n"/>
      <c r="O979" s="102" t="n"/>
      <c r="P979" s="102" t="n"/>
      <c r="Q979" s="102" t="n"/>
      <c r="R979" s="102" t="n"/>
      <c r="S979" s="102" t="n"/>
      <c r="T979" s="102" t="n"/>
      <c r="U979" s="102" t="n"/>
      <c r="V979" s="102" t="n"/>
      <c r="W979" s="102" t="n"/>
      <c r="X979" s="102" t="n"/>
      <c r="Y979" s="102" t="n"/>
      <c r="Z979" s="102" t="n"/>
      <c r="AA979" s="102" t="n"/>
      <c r="AB979" s="102" t="n"/>
      <c r="AC979" s="102" t="n"/>
      <c r="AD979" s="102" t="n"/>
      <c r="AE979" s="102" t="n"/>
      <c r="AF979" s="102" t="n"/>
      <c r="AG979" s="102" t="n"/>
      <c r="AH979" s="102" t="n"/>
      <c r="AI979" s="102" t="n"/>
      <c r="AJ979" s="102" t="n"/>
      <c r="AK979" s="102" t="n"/>
      <c r="AL979" s="102" t="n"/>
      <c r="AM979" s="102" t="n"/>
      <c r="AN979" s="102" t="n"/>
      <c r="AO979" s="102" t="n"/>
      <c r="AP979" s="102" t="n"/>
      <c r="AQ979" s="102" t="n"/>
      <c r="AR979" s="102" t="n"/>
    </row>
    <row r="980">
      <c r="D980" s="102" t="n"/>
      <c r="E980" s="102" t="n"/>
      <c r="F980" s="102" t="n"/>
      <c r="G980" s="102" t="n"/>
      <c r="H980" s="102" t="n"/>
      <c r="I980" s="102" t="n"/>
      <c r="J980" s="102" t="n"/>
      <c r="K980" s="102" t="n"/>
      <c r="L980" s="102" t="n"/>
      <c r="M980" s="102" t="n"/>
      <c r="N980" s="102" t="n"/>
      <c r="O980" s="102" t="n"/>
      <c r="P980" s="102" t="n"/>
      <c r="Q980" s="102" t="n"/>
      <c r="R980" s="102" t="n"/>
      <c r="S980" s="102" t="n"/>
      <c r="T980" s="102" t="n"/>
      <c r="U980" s="102" t="n"/>
      <c r="V980" s="102" t="n"/>
      <c r="W980" s="102" t="n"/>
      <c r="X980" s="102" t="n"/>
      <c r="Y980" s="102" t="n"/>
      <c r="Z980" s="102" t="n"/>
      <c r="AA980" s="102" t="n"/>
      <c r="AB980" s="102" t="n"/>
      <c r="AC980" s="102" t="n"/>
      <c r="AD980" s="102" t="n"/>
      <c r="AE980" s="102" t="n"/>
      <c r="AF980" s="102" t="n"/>
      <c r="AG980" s="102" t="n"/>
      <c r="AH980" s="102" t="n"/>
      <c r="AI980" s="102" t="n"/>
      <c r="AJ980" s="102" t="n"/>
      <c r="AK980" s="102" t="n"/>
      <c r="AL980" s="102" t="n"/>
      <c r="AM980" s="102" t="n"/>
      <c r="AN980" s="102" t="n"/>
      <c r="AO980" s="102" t="n"/>
      <c r="AP980" s="102" t="n"/>
      <c r="AQ980" s="102" t="n"/>
      <c r="AR980" s="102" t="n"/>
    </row>
    <row r="981">
      <c r="D981" s="102" t="n"/>
      <c r="E981" s="102" t="n"/>
      <c r="F981" s="102" t="n"/>
      <c r="G981" s="102" t="n"/>
      <c r="H981" s="102" t="n"/>
      <c r="I981" s="102" t="n"/>
      <c r="J981" s="102" t="n"/>
      <c r="K981" s="102" t="n"/>
      <c r="L981" s="102" t="n"/>
      <c r="M981" s="102" t="n"/>
      <c r="N981" s="102" t="n"/>
      <c r="O981" s="102" t="n"/>
      <c r="P981" s="102" t="n"/>
      <c r="Q981" s="102" t="n"/>
      <c r="R981" s="102" t="n"/>
      <c r="S981" s="102" t="n"/>
      <c r="T981" s="102" t="n"/>
      <c r="U981" s="102" t="n"/>
      <c r="V981" s="102" t="n"/>
      <c r="W981" s="102" t="n"/>
      <c r="X981" s="102" t="n"/>
      <c r="Y981" s="102" t="n"/>
      <c r="Z981" s="102" t="n"/>
      <c r="AA981" s="102" t="n"/>
      <c r="AB981" s="102" t="n"/>
      <c r="AC981" s="102" t="n"/>
      <c r="AD981" s="102" t="n"/>
      <c r="AE981" s="102" t="n"/>
      <c r="AF981" s="102" t="n"/>
      <c r="AG981" s="102" t="n"/>
      <c r="AH981" s="102" t="n"/>
      <c r="AI981" s="102" t="n"/>
      <c r="AJ981" s="102" t="n"/>
      <c r="AK981" s="102" t="n"/>
      <c r="AL981" s="102" t="n"/>
      <c r="AM981" s="102" t="n"/>
      <c r="AN981" s="102" t="n"/>
      <c r="AO981" s="102" t="n"/>
      <c r="AP981" s="102" t="n"/>
      <c r="AQ981" s="102" t="n"/>
      <c r="AR981" s="102" t="n"/>
    </row>
    <row r="982">
      <c r="D982" s="160" t="n"/>
      <c r="E982" s="160" t="n"/>
      <c r="F982" s="160" t="n"/>
      <c r="G982" s="160" t="n"/>
      <c r="H982" s="160" t="n"/>
      <c r="I982" s="160" t="n"/>
      <c r="J982" s="160" t="n"/>
      <c r="K982" s="160" t="n"/>
      <c r="L982" s="160" t="n"/>
      <c r="M982" s="160" t="n"/>
      <c r="N982" s="160" t="n"/>
      <c r="O982" s="160" t="n"/>
      <c r="P982" s="160" t="n"/>
      <c r="Q982" s="160" t="n"/>
      <c r="R982" s="160" t="n"/>
      <c r="S982" s="160" t="n"/>
      <c r="T982" s="160" t="n"/>
      <c r="U982" s="160" t="n"/>
      <c r="V982" s="160" t="n"/>
      <c r="W982" s="160" t="n"/>
      <c r="X982" s="160" t="n"/>
      <c r="Y982" s="160" t="n"/>
      <c r="Z982" s="160" t="n"/>
      <c r="AA982" s="160" t="n"/>
      <c r="AB982" s="160" t="n"/>
      <c r="AC982" s="160" t="n"/>
      <c r="AD982" s="160" t="n"/>
      <c r="AE982" s="160" t="n"/>
      <c r="AF982" s="160" t="n"/>
      <c r="AG982" s="160" t="n"/>
      <c r="AH982" s="160" t="n"/>
      <c r="AI982" s="160" t="n"/>
      <c r="AJ982" s="160" t="n"/>
      <c r="AK982" s="160" t="n"/>
      <c r="AL982" s="160" t="n"/>
      <c r="AM982" s="160" t="n"/>
      <c r="AN982" s="160" t="n"/>
      <c r="AO982" s="160" t="n"/>
      <c r="AP982" s="160" t="n"/>
      <c r="AQ982" s="160" t="n"/>
      <c r="AR982" s="160" t="n"/>
    </row>
    <row r="985">
      <c r="A985" s="2">
        <f>IF($A978="","","   projections")</f>
        <v/>
      </c>
      <c r="B985" s="158">
        <f>IF($A978="",0,COUNT($E986:$AR986))</f>
        <v/>
      </c>
      <c r="C985" s="159">
        <f>IF($B985=0,0,MAX($E986:$AR986))</f>
        <v/>
      </c>
      <c r="D985" s="101">
        <f>BDS($A978,FLD_PROJ,"headers=y","startcol=1","endcol=3","dir=h")</f>
        <v/>
      </c>
      <c r="E985" s="102" t="n"/>
      <c r="F985" s="102" t="n"/>
      <c r="G985" s="102" t="n"/>
      <c r="H985" s="102" t="n"/>
      <c r="I985" s="102" t="n"/>
      <c r="J985" s="102" t="n"/>
      <c r="K985" s="102" t="n"/>
      <c r="L985" s="102" t="n"/>
      <c r="M985" s="102" t="n"/>
      <c r="N985" s="102" t="n"/>
      <c r="O985" s="102" t="n"/>
      <c r="P985" s="102" t="n"/>
      <c r="Q985" s="102" t="n"/>
      <c r="R985" s="102" t="n"/>
      <c r="S985" s="102" t="n"/>
      <c r="T985" s="102" t="n"/>
      <c r="U985" s="102" t="n"/>
      <c r="V985" s="102" t="n"/>
      <c r="W985" s="102" t="n"/>
      <c r="X985" s="102" t="n"/>
      <c r="Y985" s="102" t="n"/>
      <c r="Z985" s="102" t="n"/>
      <c r="AA985" s="102" t="n"/>
      <c r="AB985" s="102" t="n"/>
      <c r="AC985" s="102" t="n"/>
      <c r="AD985" s="102" t="n"/>
      <c r="AE985" s="102" t="n"/>
      <c r="AF985" s="102" t="n"/>
      <c r="AG985" s="102" t="n"/>
      <c r="AH985" s="102" t="n"/>
      <c r="AI985" s="102" t="n"/>
      <c r="AJ985" s="102" t="n"/>
      <c r="AK985" s="102" t="n"/>
      <c r="AL985" s="102" t="n"/>
      <c r="AM985" s="102" t="n"/>
      <c r="AN985" s="102" t="n"/>
      <c r="AO985" s="102" t="n"/>
      <c r="AP985" s="102" t="n"/>
      <c r="AQ985" s="102" t="n"/>
      <c r="AR985" s="102" t="n"/>
    </row>
    <row r="986">
      <c r="D986" s="102" t="n"/>
      <c r="E986" s="102" t="n"/>
      <c r="F986" s="102" t="n"/>
      <c r="G986" s="102" t="n"/>
      <c r="H986" s="102" t="n"/>
      <c r="I986" s="102" t="n"/>
      <c r="J986" s="102" t="n"/>
      <c r="K986" s="102" t="n"/>
      <c r="L986" s="102" t="n"/>
      <c r="M986" s="102" t="n"/>
      <c r="N986" s="102" t="n"/>
      <c r="O986" s="102" t="n"/>
      <c r="P986" s="102" t="n"/>
      <c r="Q986" s="102" t="n"/>
      <c r="R986" s="102" t="n"/>
      <c r="S986" s="102" t="n"/>
      <c r="T986" s="102" t="n"/>
      <c r="U986" s="102" t="n"/>
      <c r="V986" s="102" t="n"/>
      <c r="W986" s="102" t="n"/>
      <c r="X986" s="102" t="n"/>
      <c r="Y986" s="102" t="n"/>
      <c r="Z986" s="102" t="n"/>
      <c r="AA986" s="102" t="n"/>
      <c r="AB986" s="102" t="n"/>
      <c r="AC986" s="102" t="n"/>
      <c r="AD986" s="102" t="n"/>
      <c r="AE986" s="102" t="n"/>
      <c r="AF986" s="102" t="n"/>
      <c r="AG986" s="102" t="n"/>
      <c r="AH986" s="102" t="n"/>
      <c r="AI986" s="102" t="n"/>
      <c r="AJ986" s="102" t="n"/>
      <c r="AK986" s="102" t="n"/>
      <c r="AL986" s="102" t="n"/>
      <c r="AM986" s="102" t="n"/>
      <c r="AN986" s="102" t="n"/>
      <c r="AO986" s="102" t="n"/>
      <c r="AP986" s="102" t="n"/>
      <c r="AQ986" s="102" t="n"/>
      <c r="AR986" s="102" t="n"/>
    </row>
    <row r="987">
      <c r="D987" s="160" t="n"/>
      <c r="E987" s="160" t="n"/>
      <c r="F987" s="160" t="n"/>
      <c r="G987" s="160" t="n"/>
      <c r="H987" s="160" t="n"/>
      <c r="I987" s="160" t="n"/>
      <c r="J987" s="160" t="n"/>
      <c r="K987" s="160" t="n"/>
      <c r="L987" s="160" t="n"/>
      <c r="M987" s="160" t="n"/>
      <c r="N987" s="160" t="n"/>
      <c r="O987" s="160" t="n"/>
      <c r="P987" s="160" t="n"/>
      <c r="Q987" s="160" t="n"/>
      <c r="R987" s="160" t="n"/>
      <c r="S987" s="160" t="n"/>
      <c r="T987" s="160" t="n"/>
      <c r="U987" s="160" t="n"/>
      <c r="V987" s="160" t="n"/>
      <c r="W987" s="160" t="n"/>
      <c r="X987" s="160" t="n"/>
      <c r="Y987" s="160" t="n"/>
      <c r="Z987" s="160" t="n"/>
      <c r="AA987" s="160" t="n"/>
      <c r="AB987" s="160" t="n"/>
      <c r="AC987" s="160" t="n"/>
      <c r="AD987" s="160" t="n"/>
      <c r="AE987" s="160" t="n"/>
      <c r="AF987" s="160" t="n"/>
      <c r="AG987" s="160" t="n"/>
      <c r="AH987" s="160" t="n"/>
      <c r="AI987" s="160" t="n"/>
      <c r="AJ987" s="160" t="n"/>
      <c r="AK987" s="160" t="n"/>
      <c r="AL987" s="160" t="n"/>
      <c r="AM987" s="160" t="n"/>
      <c r="AN987" s="160" t="n"/>
      <c r="AO987" s="160" t="n"/>
      <c r="AP987" s="160" t="n"/>
      <c r="AQ987" s="160" t="n"/>
      <c r="AR987" s="160" t="n"/>
    </row>
    <row r="989">
      <c r="A989" s="8">
        <f>IF(HSI!$C$96="","",HSI!$C$96)</f>
        <v/>
      </c>
      <c r="B989" s="158">
        <f>IF($A989="",0,COUNT($E990:$AR990))</f>
        <v/>
      </c>
      <c r="C989" s="159">
        <f>IF($B989=0,0,MAX($E990:$AR990))</f>
        <v/>
      </c>
      <c r="D989" s="101">
        <f>BDS($A989,FLD_HIST,"headers=y","startcol=1","endcol=7","dir=h","DVD_START_DT",HIST_FROM,"DVD_END_DT",HIST_TO)</f>
        <v/>
      </c>
      <c r="E989" s="102" t="n"/>
      <c r="F989" s="102" t="n"/>
      <c r="G989" s="102" t="n"/>
      <c r="H989" s="102" t="n"/>
      <c r="I989" s="102" t="n"/>
      <c r="J989" s="102" t="n"/>
      <c r="K989" s="102" t="n"/>
      <c r="L989" s="102" t="n"/>
      <c r="M989" s="102" t="n"/>
      <c r="N989" s="102" t="n"/>
      <c r="O989" s="102" t="n"/>
      <c r="P989" s="102" t="n"/>
      <c r="Q989" s="102" t="n"/>
      <c r="R989" s="102" t="n"/>
      <c r="S989" s="102" t="n"/>
      <c r="T989" s="102" t="n"/>
      <c r="U989" s="102" t="n"/>
      <c r="V989" s="102" t="n"/>
      <c r="W989" s="102" t="n"/>
      <c r="X989" s="102" t="n"/>
      <c r="Y989" s="102" t="n"/>
      <c r="Z989" s="102" t="n"/>
      <c r="AA989" s="102" t="n"/>
      <c r="AB989" s="102" t="n"/>
      <c r="AC989" s="102" t="n"/>
      <c r="AD989" s="102" t="n"/>
      <c r="AE989" s="102" t="n"/>
      <c r="AF989" s="102" t="n"/>
      <c r="AG989" s="102" t="n"/>
      <c r="AH989" s="102" t="n"/>
      <c r="AI989" s="102" t="n"/>
      <c r="AJ989" s="102" t="n"/>
      <c r="AK989" s="102" t="n"/>
      <c r="AL989" s="102" t="n"/>
      <c r="AM989" s="102" t="n"/>
      <c r="AN989" s="102" t="n"/>
      <c r="AO989" s="102" t="n"/>
      <c r="AP989" s="102" t="n"/>
      <c r="AQ989" s="102" t="n"/>
      <c r="AR989" s="102" t="n"/>
    </row>
    <row r="990">
      <c r="D990" s="102" t="n"/>
      <c r="E990" s="102" t="n"/>
      <c r="F990" s="102" t="n"/>
      <c r="G990" s="102" t="n"/>
      <c r="H990" s="102" t="n"/>
      <c r="I990" s="102" t="n"/>
      <c r="J990" s="102" t="n"/>
      <c r="K990" s="102" t="n"/>
      <c r="L990" s="102" t="n"/>
      <c r="M990" s="102" t="n"/>
      <c r="N990" s="102" t="n"/>
      <c r="O990" s="102" t="n"/>
      <c r="P990" s="102" t="n"/>
      <c r="Q990" s="102" t="n"/>
      <c r="R990" s="102" t="n"/>
      <c r="S990" s="102" t="n"/>
      <c r="T990" s="102" t="n"/>
      <c r="U990" s="102" t="n"/>
      <c r="V990" s="102" t="n"/>
      <c r="W990" s="102" t="n"/>
      <c r="X990" s="102" t="n"/>
      <c r="Y990" s="102" t="n"/>
      <c r="Z990" s="102" t="n"/>
      <c r="AA990" s="102" t="n"/>
      <c r="AB990" s="102" t="n"/>
      <c r="AC990" s="102" t="n"/>
      <c r="AD990" s="102" t="n"/>
      <c r="AE990" s="102" t="n"/>
      <c r="AF990" s="102" t="n"/>
      <c r="AG990" s="102" t="n"/>
      <c r="AH990" s="102" t="n"/>
      <c r="AI990" s="102" t="n"/>
      <c r="AJ990" s="102" t="n"/>
      <c r="AK990" s="102" t="n"/>
      <c r="AL990" s="102" t="n"/>
      <c r="AM990" s="102" t="n"/>
      <c r="AN990" s="102" t="n"/>
      <c r="AO990" s="102" t="n"/>
      <c r="AP990" s="102" t="n"/>
      <c r="AQ990" s="102" t="n"/>
      <c r="AR990" s="102" t="n"/>
    </row>
    <row r="991">
      <c r="D991" s="102" t="n"/>
      <c r="E991" s="102" t="n"/>
      <c r="F991" s="102" t="n"/>
      <c r="G991" s="102" t="n"/>
      <c r="H991" s="102" t="n"/>
      <c r="I991" s="102" t="n"/>
      <c r="J991" s="102" t="n"/>
      <c r="K991" s="102" t="n"/>
      <c r="L991" s="102" t="n"/>
      <c r="M991" s="102" t="n"/>
      <c r="N991" s="102" t="n"/>
      <c r="O991" s="102" t="n"/>
      <c r="P991" s="102" t="n"/>
      <c r="Q991" s="102" t="n"/>
      <c r="R991" s="102" t="n"/>
      <c r="S991" s="102" t="n"/>
      <c r="T991" s="102" t="n"/>
      <c r="U991" s="102" t="n"/>
      <c r="V991" s="102" t="n"/>
      <c r="W991" s="102" t="n"/>
      <c r="X991" s="102" t="n"/>
      <c r="Y991" s="102" t="n"/>
      <c r="Z991" s="102" t="n"/>
      <c r="AA991" s="102" t="n"/>
      <c r="AB991" s="102" t="n"/>
      <c r="AC991" s="102" t="n"/>
      <c r="AD991" s="102" t="n"/>
      <c r="AE991" s="102" t="n"/>
      <c r="AF991" s="102" t="n"/>
      <c r="AG991" s="102" t="n"/>
      <c r="AH991" s="102" t="n"/>
      <c r="AI991" s="102" t="n"/>
      <c r="AJ991" s="102" t="n"/>
      <c r="AK991" s="102" t="n"/>
      <c r="AL991" s="102" t="n"/>
      <c r="AM991" s="102" t="n"/>
      <c r="AN991" s="102" t="n"/>
      <c r="AO991" s="102" t="n"/>
      <c r="AP991" s="102" t="n"/>
      <c r="AQ991" s="102" t="n"/>
      <c r="AR991" s="102" t="n"/>
    </row>
    <row r="992">
      <c r="D992" s="102" t="n"/>
      <c r="E992" s="102" t="n"/>
      <c r="F992" s="102" t="n"/>
      <c r="G992" s="102" t="n"/>
      <c r="H992" s="102" t="n"/>
      <c r="I992" s="102" t="n"/>
      <c r="J992" s="102" t="n"/>
      <c r="K992" s="102" t="n"/>
      <c r="L992" s="102" t="n"/>
      <c r="M992" s="102" t="n"/>
      <c r="N992" s="102" t="n"/>
      <c r="O992" s="102" t="n"/>
      <c r="P992" s="102" t="n"/>
      <c r="Q992" s="102" t="n"/>
      <c r="R992" s="102" t="n"/>
      <c r="S992" s="102" t="n"/>
      <c r="T992" s="102" t="n"/>
      <c r="U992" s="102" t="n"/>
      <c r="V992" s="102" t="n"/>
      <c r="W992" s="102" t="n"/>
      <c r="X992" s="102" t="n"/>
      <c r="Y992" s="102" t="n"/>
      <c r="Z992" s="102" t="n"/>
      <c r="AA992" s="102" t="n"/>
      <c r="AB992" s="102" t="n"/>
      <c r="AC992" s="102" t="n"/>
      <c r="AD992" s="102" t="n"/>
      <c r="AE992" s="102" t="n"/>
      <c r="AF992" s="102" t="n"/>
      <c r="AG992" s="102" t="n"/>
      <c r="AH992" s="102" t="n"/>
      <c r="AI992" s="102" t="n"/>
      <c r="AJ992" s="102" t="n"/>
      <c r="AK992" s="102" t="n"/>
      <c r="AL992" s="102" t="n"/>
      <c r="AM992" s="102" t="n"/>
      <c r="AN992" s="102" t="n"/>
      <c r="AO992" s="102" t="n"/>
      <c r="AP992" s="102" t="n"/>
      <c r="AQ992" s="102" t="n"/>
      <c r="AR992" s="102" t="n"/>
    </row>
    <row r="993">
      <c r="D993" s="160" t="n"/>
      <c r="E993" s="160" t="n"/>
      <c r="F993" s="160" t="n"/>
      <c r="G993" s="160" t="n"/>
      <c r="H993" s="160" t="n"/>
      <c r="I993" s="160" t="n"/>
      <c r="J993" s="160" t="n"/>
      <c r="K993" s="160" t="n"/>
      <c r="L993" s="160" t="n"/>
      <c r="M993" s="160" t="n"/>
      <c r="N993" s="160" t="n"/>
      <c r="O993" s="160" t="n"/>
      <c r="P993" s="160" t="n"/>
      <c r="Q993" s="160" t="n"/>
      <c r="R993" s="160" t="n"/>
      <c r="S993" s="160" t="n"/>
      <c r="T993" s="160" t="n"/>
      <c r="U993" s="160" t="n"/>
      <c r="V993" s="160" t="n"/>
      <c r="W993" s="160" t="n"/>
      <c r="X993" s="160" t="n"/>
      <c r="Y993" s="160" t="n"/>
      <c r="Z993" s="160" t="n"/>
      <c r="AA993" s="160" t="n"/>
      <c r="AB993" s="160" t="n"/>
      <c r="AC993" s="160" t="n"/>
      <c r="AD993" s="160" t="n"/>
      <c r="AE993" s="160" t="n"/>
      <c r="AF993" s="160" t="n"/>
      <c r="AG993" s="160" t="n"/>
      <c r="AH993" s="160" t="n"/>
      <c r="AI993" s="160" t="n"/>
      <c r="AJ993" s="160" t="n"/>
      <c r="AK993" s="160" t="n"/>
      <c r="AL993" s="160" t="n"/>
      <c r="AM993" s="160" t="n"/>
      <c r="AN993" s="160" t="n"/>
      <c r="AO993" s="160" t="n"/>
      <c r="AP993" s="160" t="n"/>
      <c r="AQ993" s="160" t="n"/>
      <c r="AR993" s="160" t="n"/>
    </row>
    <row r="996">
      <c r="A996" s="2">
        <f>IF($A989="","","   projections")</f>
        <v/>
      </c>
      <c r="B996" s="158">
        <f>IF($A989="",0,COUNT($E997:$AR997))</f>
        <v/>
      </c>
      <c r="C996" s="159">
        <f>IF($B996=0,0,MAX($E997:$AR997))</f>
        <v/>
      </c>
      <c r="D996" s="101">
        <f>BDS($A989,FLD_PROJ,"headers=y","startcol=1","endcol=3","dir=h")</f>
        <v/>
      </c>
      <c r="E996" s="102" t="n"/>
      <c r="F996" s="102" t="n"/>
      <c r="G996" s="102" t="n"/>
      <c r="H996" s="102" t="n"/>
      <c r="I996" s="102" t="n"/>
      <c r="J996" s="102" t="n"/>
      <c r="K996" s="102" t="n"/>
      <c r="L996" s="102" t="n"/>
      <c r="M996" s="102" t="n"/>
      <c r="N996" s="102" t="n"/>
      <c r="O996" s="102" t="n"/>
      <c r="P996" s="102" t="n"/>
      <c r="Q996" s="102" t="n"/>
      <c r="R996" s="102" t="n"/>
      <c r="S996" s="102" t="n"/>
      <c r="T996" s="102" t="n"/>
      <c r="U996" s="102" t="n"/>
      <c r="V996" s="102" t="n"/>
      <c r="W996" s="102" t="n"/>
      <c r="X996" s="102" t="n"/>
      <c r="Y996" s="102" t="n"/>
      <c r="Z996" s="102" t="n"/>
      <c r="AA996" s="102" t="n"/>
      <c r="AB996" s="102" t="n"/>
      <c r="AC996" s="102" t="n"/>
      <c r="AD996" s="102" t="n"/>
      <c r="AE996" s="102" t="n"/>
      <c r="AF996" s="102" t="n"/>
      <c r="AG996" s="102" t="n"/>
      <c r="AH996" s="102" t="n"/>
      <c r="AI996" s="102" t="n"/>
      <c r="AJ996" s="102" t="n"/>
      <c r="AK996" s="102" t="n"/>
      <c r="AL996" s="102" t="n"/>
      <c r="AM996" s="102" t="n"/>
      <c r="AN996" s="102" t="n"/>
      <c r="AO996" s="102" t="n"/>
      <c r="AP996" s="102" t="n"/>
      <c r="AQ996" s="102" t="n"/>
      <c r="AR996" s="102" t="n"/>
    </row>
    <row r="997">
      <c r="D997" s="102" t="n"/>
      <c r="E997" s="102" t="n"/>
      <c r="F997" s="102" t="n"/>
      <c r="G997" s="102" t="n"/>
      <c r="H997" s="102" t="n"/>
      <c r="I997" s="102" t="n"/>
      <c r="J997" s="102" t="n"/>
      <c r="K997" s="102" t="n"/>
      <c r="L997" s="102" t="n"/>
      <c r="M997" s="102" t="n"/>
      <c r="N997" s="102" t="n"/>
      <c r="O997" s="102" t="n"/>
      <c r="P997" s="102" t="n"/>
      <c r="Q997" s="102" t="n"/>
      <c r="R997" s="102" t="n"/>
      <c r="S997" s="102" t="n"/>
      <c r="T997" s="102" t="n"/>
      <c r="U997" s="102" t="n"/>
      <c r="V997" s="102" t="n"/>
      <c r="W997" s="102" t="n"/>
      <c r="X997" s="102" t="n"/>
      <c r="Y997" s="102" t="n"/>
      <c r="Z997" s="102" t="n"/>
      <c r="AA997" s="102" t="n"/>
      <c r="AB997" s="102" t="n"/>
      <c r="AC997" s="102" t="n"/>
      <c r="AD997" s="102" t="n"/>
      <c r="AE997" s="102" t="n"/>
      <c r="AF997" s="102" t="n"/>
      <c r="AG997" s="102" t="n"/>
      <c r="AH997" s="102" t="n"/>
      <c r="AI997" s="102" t="n"/>
      <c r="AJ997" s="102" t="n"/>
      <c r="AK997" s="102" t="n"/>
      <c r="AL997" s="102" t="n"/>
      <c r="AM997" s="102" t="n"/>
      <c r="AN997" s="102" t="n"/>
      <c r="AO997" s="102" t="n"/>
      <c r="AP997" s="102" t="n"/>
      <c r="AQ997" s="102" t="n"/>
      <c r="AR997" s="102" t="n"/>
    </row>
    <row r="998">
      <c r="D998" s="160" t="n"/>
      <c r="E998" s="160" t="n"/>
      <c r="F998" s="160" t="n"/>
      <c r="G998" s="160" t="n"/>
      <c r="H998" s="160" t="n"/>
      <c r="I998" s="160" t="n"/>
      <c r="J998" s="160" t="n"/>
      <c r="K998" s="160" t="n"/>
      <c r="L998" s="160" t="n"/>
      <c r="M998" s="160" t="n"/>
      <c r="N998" s="160" t="n"/>
      <c r="O998" s="160" t="n"/>
      <c r="P998" s="160" t="n"/>
      <c r="Q998" s="160" t="n"/>
      <c r="R998" s="160" t="n"/>
      <c r="S998" s="160" t="n"/>
      <c r="T998" s="160" t="n"/>
      <c r="U998" s="160" t="n"/>
      <c r="V998" s="160" t="n"/>
      <c r="W998" s="160" t="n"/>
      <c r="X998" s="160" t="n"/>
      <c r="Y998" s="160" t="n"/>
      <c r="Z998" s="160" t="n"/>
      <c r="AA998" s="160" t="n"/>
      <c r="AB998" s="160" t="n"/>
      <c r="AC998" s="160" t="n"/>
      <c r="AD998" s="160" t="n"/>
      <c r="AE998" s="160" t="n"/>
      <c r="AF998" s="160" t="n"/>
      <c r="AG998" s="160" t="n"/>
      <c r="AH998" s="160" t="n"/>
      <c r="AI998" s="160" t="n"/>
      <c r="AJ998" s="160" t="n"/>
      <c r="AK998" s="160" t="n"/>
      <c r="AL998" s="160" t="n"/>
      <c r="AM998" s="160" t="n"/>
      <c r="AN998" s="160" t="n"/>
      <c r="AO998" s="160" t="n"/>
      <c r="AP998" s="160" t="n"/>
      <c r="AQ998" s="160" t="n"/>
      <c r="AR998" s="160" t="n"/>
    </row>
    <row r="1000">
      <c r="A1000" s="8">
        <f>IF(HSI!$C$97="","",HSI!$C$97)</f>
        <v/>
      </c>
      <c r="B1000" s="158">
        <f>IF($A1000="",0,COUNT($E1001:$AR1001))</f>
        <v/>
      </c>
      <c r="C1000" s="159">
        <f>IF($B1000=0,0,MAX($E1001:$AR1001))</f>
        <v/>
      </c>
      <c r="D1000" s="101">
        <f>BDS($A1000,FLD_HIST,"headers=y","startcol=1","endcol=7","dir=h","DVD_START_DT",HIST_FROM,"DVD_END_DT",HIST_TO)</f>
        <v/>
      </c>
      <c r="E1000" s="102" t="n"/>
      <c r="F1000" s="102" t="n"/>
      <c r="G1000" s="102" t="n"/>
      <c r="H1000" s="102" t="n"/>
      <c r="I1000" s="102" t="n"/>
      <c r="J1000" s="102" t="n"/>
      <c r="K1000" s="102" t="n"/>
      <c r="L1000" s="102" t="n"/>
      <c r="M1000" s="102" t="n"/>
      <c r="N1000" s="102" t="n"/>
      <c r="O1000" s="102" t="n"/>
      <c r="P1000" s="102" t="n"/>
      <c r="Q1000" s="102" t="n"/>
      <c r="R1000" s="102" t="n"/>
      <c r="S1000" s="102" t="n"/>
      <c r="T1000" s="102" t="n"/>
      <c r="U1000" s="102" t="n"/>
      <c r="V1000" s="102" t="n"/>
      <c r="W1000" s="102" t="n"/>
      <c r="X1000" s="102" t="n"/>
      <c r="Y1000" s="102" t="n"/>
      <c r="Z1000" s="102" t="n"/>
      <c r="AA1000" s="102" t="n"/>
      <c r="AB1000" s="102" t="n"/>
      <c r="AC1000" s="102" t="n"/>
      <c r="AD1000" s="102" t="n"/>
      <c r="AE1000" s="102" t="n"/>
      <c r="AF1000" s="102" t="n"/>
      <c r="AG1000" s="102" t="n"/>
      <c r="AH1000" s="102" t="n"/>
      <c r="AI1000" s="102" t="n"/>
      <c r="AJ1000" s="102" t="n"/>
      <c r="AK1000" s="102" t="n"/>
      <c r="AL1000" s="102" t="n"/>
      <c r="AM1000" s="102" t="n"/>
      <c r="AN1000" s="102" t="n"/>
      <c r="AO1000" s="102" t="n"/>
      <c r="AP1000" s="102" t="n"/>
      <c r="AQ1000" s="102" t="n"/>
      <c r="AR1000" s="102" t="n"/>
    </row>
    <row r="1001">
      <c r="D1001" s="102" t="n"/>
      <c r="E1001" s="102" t="n"/>
      <c r="F1001" s="102" t="n"/>
      <c r="G1001" s="102" t="n"/>
      <c r="H1001" s="102" t="n"/>
      <c r="I1001" s="102" t="n"/>
      <c r="J1001" s="102" t="n"/>
      <c r="K1001" s="102" t="n"/>
      <c r="L1001" s="102" t="n"/>
      <c r="M1001" s="102" t="n"/>
      <c r="N1001" s="102" t="n"/>
      <c r="O1001" s="102" t="n"/>
      <c r="P1001" s="102" t="n"/>
      <c r="Q1001" s="102" t="n"/>
      <c r="R1001" s="102" t="n"/>
      <c r="S1001" s="102" t="n"/>
      <c r="T1001" s="102" t="n"/>
      <c r="U1001" s="102" t="n"/>
      <c r="V1001" s="102" t="n"/>
      <c r="W1001" s="102" t="n"/>
      <c r="X1001" s="102" t="n"/>
      <c r="Y1001" s="102" t="n"/>
      <c r="Z1001" s="102" t="n"/>
      <c r="AA1001" s="102" t="n"/>
      <c r="AB1001" s="102" t="n"/>
      <c r="AC1001" s="102" t="n"/>
      <c r="AD1001" s="102" t="n"/>
      <c r="AE1001" s="102" t="n"/>
      <c r="AF1001" s="102" t="n"/>
      <c r="AG1001" s="102" t="n"/>
      <c r="AH1001" s="102" t="n"/>
      <c r="AI1001" s="102" t="n"/>
      <c r="AJ1001" s="102" t="n"/>
      <c r="AK1001" s="102" t="n"/>
      <c r="AL1001" s="102" t="n"/>
      <c r="AM1001" s="102" t="n"/>
      <c r="AN1001" s="102" t="n"/>
      <c r="AO1001" s="102" t="n"/>
      <c r="AP1001" s="102" t="n"/>
      <c r="AQ1001" s="102" t="n"/>
      <c r="AR1001" s="102" t="n"/>
    </row>
    <row r="1002">
      <c r="D1002" s="102" t="n"/>
      <c r="E1002" s="102" t="n"/>
      <c r="F1002" s="102" t="n"/>
      <c r="G1002" s="102" t="n"/>
      <c r="H1002" s="102" t="n"/>
      <c r="I1002" s="102" t="n"/>
      <c r="J1002" s="102" t="n"/>
      <c r="K1002" s="102" t="n"/>
      <c r="L1002" s="102" t="n"/>
      <c r="M1002" s="102" t="n"/>
      <c r="N1002" s="102" t="n"/>
      <c r="O1002" s="102" t="n"/>
      <c r="P1002" s="102" t="n"/>
      <c r="Q1002" s="102" t="n"/>
      <c r="R1002" s="102" t="n"/>
      <c r="S1002" s="102" t="n"/>
      <c r="T1002" s="102" t="n"/>
      <c r="U1002" s="102" t="n"/>
      <c r="V1002" s="102" t="n"/>
      <c r="W1002" s="102" t="n"/>
      <c r="X1002" s="102" t="n"/>
      <c r="Y1002" s="102" t="n"/>
      <c r="Z1002" s="102" t="n"/>
      <c r="AA1002" s="102" t="n"/>
      <c r="AB1002" s="102" t="n"/>
      <c r="AC1002" s="102" t="n"/>
      <c r="AD1002" s="102" t="n"/>
      <c r="AE1002" s="102" t="n"/>
      <c r="AF1002" s="102" t="n"/>
      <c r="AG1002" s="102" t="n"/>
      <c r="AH1002" s="102" t="n"/>
      <c r="AI1002" s="102" t="n"/>
      <c r="AJ1002" s="102" t="n"/>
      <c r="AK1002" s="102" t="n"/>
      <c r="AL1002" s="102" t="n"/>
      <c r="AM1002" s="102" t="n"/>
      <c r="AN1002" s="102" t="n"/>
      <c r="AO1002" s="102" t="n"/>
      <c r="AP1002" s="102" t="n"/>
      <c r="AQ1002" s="102" t="n"/>
      <c r="AR1002" s="102" t="n"/>
    </row>
    <row r="1003">
      <c r="D1003" s="102" t="n"/>
      <c r="E1003" s="102" t="n"/>
      <c r="F1003" s="102" t="n"/>
      <c r="G1003" s="102" t="n"/>
      <c r="H1003" s="102" t="n"/>
      <c r="I1003" s="102" t="n"/>
      <c r="J1003" s="102" t="n"/>
      <c r="K1003" s="102" t="n"/>
      <c r="L1003" s="102" t="n"/>
      <c r="M1003" s="102" t="n"/>
      <c r="N1003" s="102" t="n"/>
      <c r="O1003" s="102" t="n"/>
      <c r="P1003" s="102" t="n"/>
      <c r="Q1003" s="102" t="n"/>
      <c r="R1003" s="102" t="n"/>
      <c r="S1003" s="102" t="n"/>
      <c r="T1003" s="102" t="n"/>
      <c r="U1003" s="102" t="n"/>
      <c r="V1003" s="102" t="n"/>
      <c r="W1003" s="102" t="n"/>
      <c r="X1003" s="102" t="n"/>
      <c r="Y1003" s="102" t="n"/>
      <c r="Z1003" s="102" t="n"/>
      <c r="AA1003" s="102" t="n"/>
      <c r="AB1003" s="102" t="n"/>
      <c r="AC1003" s="102" t="n"/>
      <c r="AD1003" s="102" t="n"/>
      <c r="AE1003" s="102" t="n"/>
      <c r="AF1003" s="102" t="n"/>
      <c r="AG1003" s="102" t="n"/>
      <c r="AH1003" s="102" t="n"/>
      <c r="AI1003" s="102" t="n"/>
      <c r="AJ1003" s="102" t="n"/>
      <c r="AK1003" s="102" t="n"/>
      <c r="AL1003" s="102" t="n"/>
      <c r="AM1003" s="102" t="n"/>
      <c r="AN1003" s="102" t="n"/>
      <c r="AO1003" s="102" t="n"/>
      <c r="AP1003" s="102" t="n"/>
      <c r="AQ1003" s="102" t="n"/>
      <c r="AR1003" s="102" t="n"/>
    </row>
    <row r="1004">
      <c r="D1004" s="160" t="n"/>
      <c r="E1004" s="160" t="n"/>
      <c r="F1004" s="160" t="n"/>
      <c r="G1004" s="160" t="n"/>
      <c r="H1004" s="160" t="n"/>
      <c r="I1004" s="160" t="n"/>
      <c r="J1004" s="160" t="n"/>
      <c r="K1004" s="160" t="n"/>
      <c r="L1004" s="160" t="n"/>
      <c r="M1004" s="160" t="n"/>
      <c r="N1004" s="160" t="n"/>
      <c r="O1004" s="160" t="n"/>
      <c r="P1004" s="160" t="n"/>
      <c r="Q1004" s="160" t="n"/>
      <c r="R1004" s="160" t="n"/>
      <c r="S1004" s="160" t="n"/>
      <c r="T1004" s="160" t="n"/>
      <c r="U1004" s="160" t="n"/>
      <c r="V1004" s="160" t="n"/>
      <c r="W1004" s="160" t="n"/>
      <c r="X1004" s="160" t="n"/>
      <c r="Y1004" s="160" t="n"/>
      <c r="Z1004" s="160" t="n"/>
      <c r="AA1004" s="160" t="n"/>
      <c r="AB1004" s="160" t="n"/>
      <c r="AC1004" s="160" t="n"/>
      <c r="AD1004" s="160" t="n"/>
      <c r="AE1004" s="160" t="n"/>
      <c r="AF1004" s="160" t="n"/>
      <c r="AG1004" s="160" t="n"/>
      <c r="AH1004" s="160" t="n"/>
      <c r="AI1004" s="160" t="n"/>
      <c r="AJ1004" s="160" t="n"/>
      <c r="AK1004" s="160" t="n"/>
      <c r="AL1004" s="160" t="n"/>
      <c r="AM1004" s="160" t="n"/>
      <c r="AN1004" s="160" t="n"/>
      <c r="AO1004" s="160" t="n"/>
      <c r="AP1004" s="160" t="n"/>
      <c r="AQ1004" s="160" t="n"/>
      <c r="AR1004" s="160" t="n"/>
    </row>
    <row r="1007">
      <c r="A1007" s="2">
        <f>IF($A1000="","","   projections")</f>
        <v/>
      </c>
      <c r="B1007" s="158">
        <f>IF($A1000="",0,COUNT($E1008:$AR1008))</f>
        <v/>
      </c>
      <c r="C1007" s="159">
        <f>IF($B1007=0,0,MAX($E1008:$AR1008))</f>
        <v/>
      </c>
      <c r="D1007" s="101">
        <f>BDS($A1000,FLD_PROJ,"headers=y","startcol=1","endcol=3","dir=h")</f>
        <v/>
      </c>
      <c r="E1007" s="102" t="n"/>
      <c r="F1007" s="102" t="n"/>
      <c r="G1007" s="102" t="n"/>
      <c r="H1007" s="102" t="n"/>
      <c r="I1007" s="102" t="n"/>
      <c r="J1007" s="102" t="n"/>
      <c r="K1007" s="102" t="n"/>
      <c r="L1007" s="102" t="n"/>
      <c r="M1007" s="102" t="n"/>
      <c r="N1007" s="102" t="n"/>
      <c r="O1007" s="102" t="n"/>
      <c r="P1007" s="102" t="n"/>
      <c r="Q1007" s="102" t="n"/>
      <c r="R1007" s="102" t="n"/>
      <c r="S1007" s="102" t="n"/>
      <c r="T1007" s="102" t="n"/>
      <c r="U1007" s="102" t="n"/>
      <c r="V1007" s="102" t="n"/>
      <c r="W1007" s="102" t="n"/>
      <c r="X1007" s="102" t="n"/>
      <c r="Y1007" s="102" t="n"/>
      <c r="Z1007" s="102" t="n"/>
      <c r="AA1007" s="102" t="n"/>
      <c r="AB1007" s="102" t="n"/>
      <c r="AC1007" s="102" t="n"/>
      <c r="AD1007" s="102" t="n"/>
      <c r="AE1007" s="102" t="n"/>
      <c r="AF1007" s="102" t="n"/>
      <c r="AG1007" s="102" t="n"/>
      <c r="AH1007" s="102" t="n"/>
      <c r="AI1007" s="102" t="n"/>
      <c r="AJ1007" s="102" t="n"/>
      <c r="AK1007" s="102" t="n"/>
      <c r="AL1007" s="102" t="n"/>
      <c r="AM1007" s="102" t="n"/>
      <c r="AN1007" s="102" t="n"/>
      <c r="AO1007" s="102" t="n"/>
      <c r="AP1007" s="102" t="n"/>
      <c r="AQ1007" s="102" t="n"/>
      <c r="AR1007" s="102" t="n"/>
    </row>
    <row r="1008">
      <c r="D1008" s="102" t="n"/>
      <c r="E1008" s="102" t="n"/>
      <c r="F1008" s="102" t="n"/>
      <c r="G1008" s="102" t="n"/>
      <c r="H1008" s="102" t="n"/>
      <c r="I1008" s="102" t="n"/>
      <c r="J1008" s="102" t="n"/>
      <c r="K1008" s="102" t="n"/>
      <c r="L1008" s="102" t="n"/>
      <c r="M1008" s="102" t="n"/>
      <c r="N1008" s="102" t="n"/>
      <c r="O1008" s="102" t="n"/>
      <c r="P1008" s="102" t="n"/>
      <c r="Q1008" s="102" t="n"/>
      <c r="R1008" s="102" t="n"/>
      <c r="S1008" s="102" t="n"/>
      <c r="T1008" s="102" t="n"/>
      <c r="U1008" s="102" t="n"/>
      <c r="V1008" s="102" t="n"/>
      <c r="W1008" s="102" t="n"/>
      <c r="X1008" s="102" t="n"/>
      <c r="Y1008" s="102" t="n"/>
      <c r="Z1008" s="102" t="n"/>
      <c r="AA1008" s="102" t="n"/>
      <c r="AB1008" s="102" t="n"/>
      <c r="AC1008" s="102" t="n"/>
      <c r="AD1008" s="102" t="n"/>
      <c r="AE1008" s="102" t="n"/>
      <c r="AF1008" s="102" t="n"/>
      <c r="AG1008" s="102" t="n"/>
      <c r="AH1008" s="102" t="n"/>
      <c r="AI1008" s="102" t="n"/>
      <c r="AJ1008" s="102" t="n"/>
      <c r="AK1008" s="102" t="n"/>
      <c r="AL1008" s="102" t="n"/>
      <c r="AM1008" s="102" t="n"/>
      <c r="AN1008" s="102" t="n"/>
      <c r="AO1008" s="102" t="n"/>
      <c r="AP1008" s="102" t="n"/>
      <c r="AQ1008" s="102" t="n"/>
      <c r="AR1008" s="102" t="n"/>
    </row>
    <row r="1009">
      <c r="D1009" s="160" t="n"/>
      <c r="E1009" s="160" t="n"/>
      <c r="F1009" s="160" t="n"/>
      <c r="G1009" s="160" t="n"/>
      <c r="H1009" s="160" t="n"/>
      <c r="I1009" s="160" t="n"/>
      <c r="J1009" s="160" t="n"/>
      <c r="K1009" s="160" t="n"/>
      <c r="L1009" s="160" t="n"/>
      <c r="M1009" s="160" t="n"/>
      <c r="N1009" s="160" t="n"/>
      <c r="O1009" s="160" t="n"/>
      <c r="P1009" s="160" t="n"/>
      <c r="Q1009" s="160" t="n"/>
      <c r="R1009" s="160" t="n"/>
      <c r="S1009" s="160" t="n"/>
      <c r="T1009" s="160" t="n"/>
      <c r="U1009" s="160" t="n"/>
      <c r="V1009" s="160" t="n"/>
      <c r="W1009" s="160" t="n"/>
      <c r="X1009" s="160" t="n"/>
      <c r="Y1009" s="160" t="n"/>
      <c r="Z1009" s="160" t="n"/>
      <c r="AA1009" s="160" t="n"/>
      <c r="AB1009" s="160" t="n"/>
      <c r="AC1009" s="160" t="n"/>
      <c r="AD1009" s="160" t="n"/>
      <c r="AE1009" s="160" t="n"/>
      <c r="AF1009" s="160" t="n"/>
      <c r="AG1009" s="160" t="n"/>
      <c r="AH1009" s="160" t="n"/>
      <c r="AI1009" s="160" t="n"/>
      <c r="AJ1009" s="160" t="n"/>
      <c r="AK1009" s="160" t="n"/>
      <c r="AL1009" s="160" t="n"/>
      <c r="AM1009" s="160" t="n"/>
      <c r="AN1009" s="160" t="n"/>
      <c r="AO1009" s="160" t="n"/>
      <c r="AP1009" s="160" t="n"/>
      <c r="AQ1009" s="160" t="n"/>
      <c r="AR1009" s="160" t="n"/>
    </row>
    <row r="1011">
      <c r="A1011" s="8">
        <f>IF(HSI!$C$98="","",HSI!$C$98)</f>
        <v/>
      </c>
      <c r="B1011" s="158">
        <f>IF($A1011="",0,COUNT($E1012:$AR1012))</f>
        <v/>
      </c>
      <c r="C1011" s="159">
        <f>IF($B1011=0,0,MAX($E1012:$AR1012))</f>
        <v/>
      </c>
      <c r="D1011" s="101">
        <f>BDS($A1011,FLD_HIST,"headers=y","startcol=1","endcol=7","dir=h","DVD_START_DT",HIST_FROM,"DVD_END_DT",HIST_TO)</f>
        <v/>
      </c>
      <c r="E1011" s="102" t="n"/>
      <c r="F1011" s="102" t="n"/>
      <c r="G1011" s="102" t="n"/>
      <c r="H1011" s="102" t="n"/>
      <c r="I1011" s="102" t="n"/>
      <c r="J1011" s="102" t="n"/>
      <c r="K1011" s="102" t="n"/>
      <c r="L1011" s="102" t="n"/>
      <c r="M1011" s="102" t="n"/>
      <c r="N1011" s="102" t="n"/>
      <c r="O1011" s="102" t="n"/>
      <c r="P1011" s="102" t="n"/>
      <c r="Q1011" s="102" t="n"/>
      <c r="R1011" s="102" t="n"/>
      <c r="S1011" s="102" t="n"/>
      <c r="T1011" s="102" t="n"/>
      <c r="U1011" s="102" t="n"/>
      <c r="V1011" s="102" t="n"/>
      <c r="W1011" s="102" t="n"/>
      <c r="X1011" s="102" t="n"/>
      <c r="Y1011" s="102" t="n"/>
      <c r="Z1011" s="102" t="n"/>
      <c r="AA1011" s="102" t="n"/>
      <c r="AB1011" s="102" t="n"/>
      <c r="AC1011" s="102" t="n"/>
      <c r="AD1011" s="102" t="n"/>
      <c r="AE1011" s="102" t="n"/>
      <c r="AF1011" s="102" t="n"/>
      <c r="AG1011" s="102" t="n"/>
      <c r="AH1011" s="102" t="n"/>
      <c r="AI1011" s="102" t="n"/>
      <c r="AJ1011" s="102" t="n"/>
      <c r="AK1011" s="102" t="n"/>
      <c r="AL1011" s="102" t="n"/>
      <c r="AM1011" s="102" t="n"/>
      <c r="AN1011" s="102" t="n"/>
      <c r="AO1011" s="102" t="n"/>
      <c r="AP1011" s="102" t="n"/>
      <c r="AQ1011" s="102" t="n"/>
      <c r="AR1011" s="102" t="n"/>
    </row>
    <row r="1012">
      <c r="D1012" s="102" t="n"/>
      <c r="E1012" s="102" t="n"/>
      <c r="F1012" s="102" t="n"/>
      <c r="G1012" s="102" t="n"/>
      <c r="H1012" s="102" t="n"/>
      <c r="I1012" s="102" t="n"/>
      <c r="J1012" s="102" t="n"/>
      <c r="K1012" s="102" t="n"/>
      <c r="L1012" s="102" t="n"/>
      <c r="M1012" s="102" t="n"/>
      <c r="N1012" s="102" t="n"/>
      <c r="O1012" s="102" t="n"/>
      <c r="P1012" s="102" t="n"/>
      <c r="Q1012" s="102" t="n"/>
      <c r="R1012" s="102" t="n"/>
      <c r="S1012" s="102" t="n"/>
      <c r="T1012" s="102" t="n"/>
      <c r="U1012" s="102" t="n"/>
      <c r="V1012" s="102" t="n"/>
      <c r="W1012" s="102" t="n"/>
      <c r="X1012" s="102" t="n"/>
      <c r="Y1012" s="102" t="n"/>
      <c r="Z1012" s="102" t="n"/>
      <c r="AA1012" s="102" t="n"/>
      <c r="AB1012" s="102" t="n"/>
      <c r="AC1012" s="102" t="n"/>
      <c r="AD1012" s="102" t="n"/>
      <c r="AE1012" s="102" t="n"/>
      <c r="AF1012" s="102" t="n"/>
      <c r="AG1012" s="102" t="n"/>
      <c r="AH1012" s="102" t="n"/>
      <c r="AI1012" s="102" t="n"/>
      <c r="AJ1012" s="102" t="n"/>
      <c r="AK1012" s="102" t="n"/>
      <c r="AL1012" s="102" t="n"/>
      <c r="AM1012" s="102" t="n"/>
      <c r="AN1012" s="102" t="n"/>
      <c r="AO1012" s="102" t="n"/>
      <c r="AP1012" s="102" t="n"/>
      <c r="AQ1012" s="102" t="n"/>
      <c r="AR1012" s="102" t="n"/>
    </row>
    <row r="1013">
      <c r="D1013" s="102" t="n"/>
      <c r="E1013" s="102" t="n"/>
      <c r="F1013" s="102" t="n"/>
      <c r="G1013" s="102" t="n"/>
      <c r="H1013" s="102" t="n"/>
      <c r="I1013" s="102" t="n"/>
      <c r="J1013" s="102" t="n"/>
      <c r="K1013" s="102" t="n"/>
      <c r="L1013" s="102" t="n"/>
      <c r="M1013" s="102" t="n"/>
      <c r="N1013" s="102" t="n"/>
      <c r="O1013" s="102" t="n"/>
      <c r="P1013" s="102" t="n"/>
      <c r="Q1013" s="102" t="n"/>
      <c r="R1013" s="102" t="n"/>
      <c r="S1013" s="102" t="n"/>
      <c r="T1013" s="102" t="n"/>
      <c r="U1013" s="102" t="n"/>
      <c r="V1013" s="102" t="n"/>
      <c r="W1013" s="102" t="n"/>
      <c r="X1013" s="102" t="n"/>
      <c r="Y1013" s="102" t="n"/>
      <c r="Z1013" s="102" t="n"/>
      <c r="AA1013" s="102" t="n"/>
      <c r="AB1013" s="102" t="n"/>
      <c r="AC1013" s="102" t="n"/>
      <c r="AD1013" s="102" t="n"/>
      <c r="AE1013" s="102" t="n"/>
      <c r="AF1013" s="102" t="n"/>
      <c r="AG1013" s="102" t="n"/>
      <c r="AH1013" s="102" t="n"/>
      <c r="AI1013" s="102" t="n"/>
      <c r="AJ1013" s="102" t="n"/>
      <c r="AK1013" s="102" t="n"/>
      <c r="AL1013" s="102" t="n"/>
      <c r="AM1013" s="102" t="n"/>
      <c r="AN1013" s="102" t="n"/>
      <c r="AO1013" s="102" t="n"/>
      <c r="AP1013" s="102" t="n"/>
      <c r="AQ1013" s="102" t="n"/>
      <c r="AR1013" s="102" t="n"/>
    </row>
    <row r="1014">
      <c r="D1014" s="102" t="n"/>
      <c r="E1014" s="102" t="n"/>
      <c r="F1014" s="102" t="n"/>
      <c r="G1014" s="102" t="n"/>
      <c r="H1014" s="102" t="n"/>
      <c r="I1014" s="102" t="n"/>
      <c r="J1014" s="102" t="n"/>
      <c r="K1014" s="102" t="n"/>
      <c r="L1014" s="102" t="n"/>
      <c r="M1014" s="102" t="n"/>
      <c r="N1014" s="102" t="n"/>
      <c r="O1014" s="102" t="n"/>
      <c r="P1014" s="102" t="n"/>
      <c r="Q1014" s="102" t="n"/>
      <c r="R1014" s="102" t="n"/>
      <c r="S1014" s="102" t="n"/>
      <c r="T1014" s="102" t="n"/>
      <c r="U1014" s="102" t="n"/>
      <c r="V1014" s="102" t="n"/>
      <c r="W1014" s="102" t="n"/>
      <c r="X1014" s="102" t="n"/>
      <c r="Y1014" s="102" t="n"/>
      <c r="Z1014" s="102" t="n"/>
      <c r="AA1014" s="102" t="n"/>
      <c r="AB1014" s="102" t="n"/>
      <c r="AC1014" s="102" t="n"/>
      <c r="AD1014" s="102" t="n"/>
      <c r="AE1014" s="102" t="n"/>
      <c r="AF1014" s="102" t="n"/>
      <c r="AG1014" s="102" t="n"/>
      <c r="AH1014" s="102" t="n"/>
      <c r="AI1014" s="102" t="n"/>
      <c r="AJ1014" s="102" t="n"/>
      <c r="AK1014" s="102" t="n"/>
      <c r="AL1014" s="102" t="n"/>
      <c r="AM1014" s="102" t="n"/>
      <c r="AN1014" s="102" t="n"/>
      <c r="AO1014" s="102" t="n"/>
      <c r="AP1014" s="102" t="n"/>
      <c r="AQ1014" s="102" t="n"/>
      <c r="AR1014" s="102" t="n"/>
    </row>
    <row r="1015">
      <c r="D1015" s="160" t="n"/>
      <c r="E1015" s="160" t="n"/>
      <c r="F1015" s="160" t="n"/>
      <c r="G1015" s="160" t="n"/>
      <c r="H1015" s="160" t="n"/>
      <c r="I1015" s="160" t="n"/>
      <c r="J1015" s="160" t="n"/>
      <c r="K1015" s="160" t="n"/>
      <c r="L1015" s="160" t="n"/>
      <c r="M1015" s="160" t="n"/>
      <c r="N1015" s="160" t="n"/>
      <c r="O1015" s="160" t="n"/>
      <c r="P1015" s="160" t="n"/>
      <c r="Q1015" s="160" t="n"/>
      <c r="R1015" s="160" t="n"/>
      <c r="S1015" s="160" t="n"/>
      <c r="T1015" s="160" t="n"/>
      <c r="U1015" s="160" t="n"/>
      <c r="V1015" s="160" t="n"/>
      <c r="W1015" s="160" t="n"/>
      <c r="X1015" s="160" t="n"/>
      <c r="Y1015" s="160" t="n"/>
      <c r="Z1015" s="160" t="n"/>
      <c r="AA1015" s="160" t="n"/>
      <c r="AB1015" s="160" t="n"/>
      <c r="AC1015" s="160" t="n"/>
      <c r="AD1015" s="160" t="n"/>
      <c r="AE1015" s="160" t="n"/>
      <c r="AF1015" s="160" t="n"/>
      <c r="AG1015" s="160" t="n"/>
      <c r="AH1015" s="160" t="n"/>
      <c r="AI1015" s="160" t="n"/>
      <c r="AJ1015" s="160" t="n"/>
      <c r="AK1015" s="160" t="n"/>
      <c r="AL1015" s="160" t="n"/>
      <c r="AM1015" s="160" t="n"/>
      <c r="AN1015" s="160" t="n"/>
      <c r="AO1015" s="160" t="n"/>
      <c r="AP1015" s="160" t="n"/>
      <c r="AQ1015" s="160" t="n"/>
      <c r="AR1015" s="160" t="n"/>
    </row>
    <row r="1018">
      <c r="A1018" s="2">
        <f>IF($A1011="","","   projections")</f>
        <v/>
      </c>
      <c r="B1018" s="158">
        <f>IF($A1011="",0,COUNT($E1019:$AR1019))</f>
        <v/>
      </c>
      <c r="C1018" s="159">
        <f>IF($B1018=0,0,MAX($E1019:$AR1019))</f>
        <v/>
      </c>
      <c r="D1018" s="101">
        <f>BDS($A1011,FLD_PROJ,"headers=y","startcol=1","endcol=3","dir=h")</f>
        <v/>
      </c>
      <c r="E1018" s="102" t="n"/>
      <c r="F1018" s="102" t="n"/>
      <c r="G1018" s="102" t="n"/>
      <c r="H1018" s="102" t="n"/>
      <c r="I1018" s="102" t="n"/>
      <c r="J1018" s="102" t="n"/>
      <c r="K1018" s="102" t="n"/>
      <c r="L1018" s="102" t="n"/>
      <c r="M1018" s="102" t="n"/>
      <c r="N1018" s="102" t="n"/>
      <c r="O1018" s="102" t="n"/>
      <c r="P1018" s="102" t="n"/>
      <c r="Q1018" s="102" t="n"/>
      <c r="R1018" s="102" t="n"/>
      <c r="S1018" s="102" t="n"/>
      <c r="T1018" s="102" t="n"/>
      <c r="U1018" s="102" t="n"/>
      <c r="V1018" s="102" t="n"/>
      <c r="W1018" s="102" t="n"/>
      <c r="X1018" s="102" t="n"/>
      <c r="Y1018" s="102" t="n"/>
      <c r="Z1018" s="102" t="n"/>
      <c r="AA1018" s="102" t="n"/>
      <c r="AB1018" s="102" t="n"/>
      <c r="AC1018" s="102" t="n"/>
      <c r="AD1018" s="102" t="n"/>
      <c r="AE1018" s="102" t="n"/>
      <c r="AF1018" s="102" t="n"/>
      <c r="AG1018" s="102" t="n"/>
      <c r="AH1018" s="102" t="n"/>
      <c r="AI1018" s="102" t="n"/>
      <c r="AJ1018" s="102" t="n"/>
      <c r="AK1018" s="102" t="n"/>
      <c r="AL1018" s="102" t="n"/>
      <c r="AM1018" s="102" t="n"/>
      <c r="AN1018" s="102" t="n"/>
      <c r="AO1018" s="102" t="n"/>
      <c r="AP1018" s="102" t="n"/>
      <c r="AQ1018" s="102" t="n"/>
      <c r="AR1018" s="102" t="n"/>
    </row>
    <row r="1019">
      <c r="D1019" s="102" t="n"/>
      <c r="E1019" s="102" t="n"/>
      <c r="F1019" s="102" t="n"/>
      <c r="G1019" s="102" t="n"/>
      <c r="H1019" s="102" t="n"/>
      <c r="I1019" s="102" t="n"/>
      <c r="J1019" s="102" t="n"/>
      <c r="K1019" s="102" t="n"/>
      <c r="L1019" s="102" t="n"/>
      <c r="M1019" s="102" t="n"/>
      <c r="N1019" s="102" t="n"/>
      <c r="O1019" s="102" t="n"/>
      <c r="P1019" s="102" t="n"/>
      <c r="Q1019" s="102" t="n"/>
      <c r="R1019" s="102" t="n"/>
      <c r="S1019" s="102" t="n"/>
      <c r="T1019" s="102" t="n"/>
      <c r="U1019" s="102" t="n"/>
      <c r="V1019" s="102" t="n"/>
      <c r="W1019" s="102" t="n"/>
      <c r="X1019" s="102" t="n"/>
      <c r="Y1019" s="102" t="n"/>
      <c r="Z1019" s="102" t="n"/>
      <c r="AA1019" s="102" t="n"/>
      <c r="AB1019" s="102" t="n"/>
      <c r="AC1019" s="102" t="n"/>
      <c r="AD1019" s="102" t="n"/>
      <c r="AE1019" s="102" t="n"/>
      <c r="AF1019" s="102" t="n"/>
      <c r="AG1019" s="102" t="n"/>
      <c r="AH1019" s="102" t="n"/>
      <c r="AI1019" s="102" t="n"/>
      <c r="AJ1019" s="102" t="n"/>
      <c r="AK1019" s="102" t="n"/>
      <c r="AL1019" s="102" t="n"/>
      <c r="AM1019" s="102" t="n"/>
      <c r="AN1019" s="102" t="n"/>
      <c r="AO1019" s="102" t="n"/>
      <c r="AP1019" s="102" t="n"/>
      <c r="AQ1019" s="102" t="n"/>
      <c r="AR1019" s="102" t="n"/>
    </row>
    <row r="1020">
      <c r="D1020" s="160" t="n"/>
      <c r="E1020" s="160" t="n"/>
      <c r="F1020" s="160" t="n"/>
      <c r="G1020" s="160" t="n"/>
      <c r="H1020" s="160" t="n"/>
      <c r="I1020" s="160" t="n"/>
      <c r="J1020" s="160" t="n"/>
      <c r="K1020" s="160" t="n"/>
      <c r="L1020" s="160" t="n"/>
      <c r="M1020" s="160" t="n"/>
      <c r="N1020" s="160" t="n"/>
      <c r="O1020" s="160" t="n"/>
      <c r="P1020" s="160" t="n"/>
      <c r="Q1020" s="160" t="n"/>
      <c r="R1020" s="160" t="n"/>
      <c r="S1020" s="160" t="n"/>
      <c r="T1020" s="160" t="n"/>
      <c r="U1020" s="160" t="n"/>
      <c r="V1020" s="160" t="n"/>
      <c r="W1020" s="160" t="n"/>
      <c r="X1020" s="160" t="n"/>
      <c r="Y1020" s="160" t="n"/>
      <c r="Z1020" s="160" t="n"/>
      <c r="AA1020" s="160" t="n"/>
      <c r="AB1020" s="160" t="n"/>
      <c r="AC1020" s="160" t="n"/>
      <c r="AD1020" s="160" t="n"/>
      <c r="AE1020" s="160" t="n"/>
      <c r="AF1020" s="160" t="n"/>
      <c r="AG1020" s="160" t="n"/>
      <c r="AH1020" s="160" t="n"/>
      <c r="AI1020" s="160" t="n"/>
      <c r="AJ1020" s="160" t="n"/>
      <c r="AK1020" s="160" t="n"/>
      <c r="AL1020" s="160" t="n"/>
      <c r="AM1020" s="160" t="n"/>
      <c r="AN1020" s="160" t="n"/>
      <c r="AO1020" s="160" t="n"/>
      <c r="AP1020" s="160" t="n"/>
      <c r="AQ1020" s="160" t="n"/>
      <c r="AR1020" s="160" t="n"/>
    </row>
    <row r="1022">
      <c r="A1022" s="8">
        <f>IF(HSI!$C$99="","",HSI!$C$99)</f>
        <v/>
      </c>
      <c r="B1022" s="158">
        <f>IF($A1022="",0,COUNT($E1023:$AR1023))</f>
        <v/>
      </c>
      <c r="C1022" s="159">
        <f>IF($B1022=0,0,MAX($E1023:$AR1023))</f>
        <v/>
      </c>
      <c r="D1022" s="101">
        <f>BDS($A1022,FLD_HIST,"headers=y","startcol=1","endcol=7","dir=h","DVD_START_DT",HIST_FROM,"DVD_END_DT",HIST_TO)</f>
        <v/>
      </c>
      <c r="E1022" s="102" t="n"/>
      <c r="F1022" s="102" t="n"/>
      <c r="G1022" s="102" t="n"/>
      <c r="H1022" s="102" t="n"/>
      <c r="I1022" s="102" t="n"/>
      <c r="J1022" s="102" t="n"/>
      <c r="K1022" s="102" t="n"/>
      <c r="L1022" s="102" t="n"/>
      <c r="M1022" s="102" t="n"/>
      <c r="N1022" s="102" t="n"/>
      <c r="O1022" s="102" t="n"/>
      <c r="P1022" s="102" t="n"/>
      <c r="Q1022" s="102" t="n"/>
      <c r="R1022" s="102" t="n"/>
      <c r="S1022" s="102" t="n"/>
      <c r="T1022" s="102" t="n"/>
      <c r="U1022" s="102" t="n"/>
      <c r="V1022" s="102" t="n"/>
      <c r="W1022" s="102" t="n"/>
      <c r="X1022" s="102" t="n"/>
      <c r="Y1022" s="102" t="n"/>
      <c r="Z1022" s="102" t="n"/>
      <c r="AA1022" s="102" t="n"/>
      <c r="AB1022" s="102" t="n"/>
      <c r="AC1022" s="102" t="n"/>
      <c r="AD1022" s="102" t="n"/>
      <c r="AE1022" s="102" t="n"/>
      <c r="AF1022" s="102" t="n"/>
      <c r="AG1022" s="102" t="n"/>
      <c r="AH1022" s="102" t="n"/>
      <c r="AI1022" s="102" t="n"/>
      <c r="AJ1022" s="102" t="n"/>
      <c r="AK1022" s="102" t="n"/>
      <c r="AL1022" s="102" t="n"/>
      <c r="AM1022" s="102" t="n"/>
      <c r="AN1022" s="102" t="n"/>
      <c r="AO1022" s="102" t="n"/>
      <c r="AP1022" s="102" t="n"/>
      <c r="AQ1022" s="102" t="n"/>
      <c r="AR1022" s="102" t="n"/>
    </row>
    <row r="1023">
      <c r="D1023" s="102" t="n"/>
      <c r="E1023" s="102" t="n"/>
      <c r="F1023" s="102" t="n"/>
      <c r="G1023" s="102" t="n"/>
      <c r="H1023" s="102" t="n"/>
      <c r="I1023" s="102" t="n"/>
      <c r="J1023" s="102" t="n"/>
      <c r="K1023" s="102" t="n"/>
      <c r="L1023" s="102" t="n"/>
      <c r="M1023" s="102" t="n"/>
      <c r="N1023" s="102" t="n"/>
      <c r="O1023" s="102" t="n"/>
      <c r="P1023" s="102" t="n"/>
      <c r="Q1023" s="102" t="n"/>
      <c r="R1023" s="102" t="n"/>
      <c r="S1023" s="102" t="n"/>
      <c r="T1023" s="102" t="n"/>
      <c r="U1023" s="102" t="n"/>
      <c r="V1023" s="102" t="n"/>
      <c r="W1023" s="102" t="n"/>
      <c r="X1023" s="102" t="n"/>
      <c r="Y1023" s="102" t="n"/>
      <c r="Z1023" s="102" t="n"/>
      <c r="AA1023" s="102" t="n"/>
      <c r="AB1023" s="102" t="n"/>
      <c r="AC1023" s="102" t="n"/>
      <c r="AD1023" s="102" t="n"/>
      <c r="AE1023" s="102" t="n"/>
      <c r="AF1023" s="102" t="n"/>
      <c r="AG1023" s="102" t="n"/>
      <c r="AH1023" s="102" t="n"/>
      <c r="AI1023" s="102" t="n"/>
      <c r="AJ1023" s="102" t="n"/>
      <c r="AK1023" s="102" t="n"/>
      <c r="AL1023" s="102" t="n"/>
      <c r="AM1023" s="102" t="n"/>
      <c r="AN1023" s="102" t="n"/>
      <c r="AO1023" s="102" t="n"/>
      <c r="AP1023" s="102" t="n"/>
      <c r="AQ1023" s="102" t="n"/>
      <c r="AR1023" s="102" t="n"/>
    </row>
    <row r="1024">
      <c r="D1024" s="102" t="n"/>
      <c r="E1024" s="102" t="n"/>
      <c r="F1024" s="102" t="n"/>
      <c r="G1024" s="102" t="n"/>
      <c r="H1024" s="102" t="n"/>
      <c r="I1024" s="102" t="n"/>
      <c r="J1024" s="102" t="n"/>
      <c r="K1024" s="102" t="n"/>
      <c r="L1024" s="102" t="n"/>
      <c r="M1024" s="102" t="n"/>
      <c r="N1024" s="102" t="n"/>
      <c r="O1024" s="102" t="n"/>
      <c r="P1024" s="102" t="n"/>
      <c r="Q1024" s="102" t="n"/>
      <c r="R1024" s="102" t="n"/>
      <c r="S1024" s="102" t="n"/>
      <c r="T1024" s="102" t="n"/>
      <c r="U1024" s="102" t="n"/>
      <c r="V1024" s="102" t="n"/>
      <c r="W1024" s="102" t="n"/>
      <c r="X1024" s="102" t="n"/>
      <c r="Y1024" s="102" t="n"/>
      <c r="Z1024" s="102" t="n"/>
      <c r="AA1024" s="102" t="n"/>
      <c r="AB1024" s="102" t="n"/>
      <c r="AC1024" s="102" t="n"/>
      <c r="AD1024" s="102" t="n"/>
      <c r="AE1024" s="102" t="n"/>
      <c r="AF1024" s="102" t="n"/>
      <c r="AG1024" s="102" t="n"/>
      <c r="AH1024" s="102" t="n"/>
      <c r="AI1024" s="102" t="n"/>
      <c r="AJ1024" s="102" t="n"/>
      <c r="AK1024" s="102" t="n"/>
      <c r="AL1024" s="102" t="n"/>
      <c r="AM1024" s="102" t="n"/>
      <c r="AN1024" s="102" t="n"/>
      <c r="AO1024" s="102" t="n"/>
      <c r="AP1024" s="102" t="n"/>
      <c r="AQ1024" s="102" t="n"/>
      <c r="AR1024" s="102" t="n"/>
    </row>
    <row r="1025">
      <c r="D1025" s="102" t="n"/>
      <c r="E1025" s="102" t="n"/>
      <c r="F1025" s="102" t="n"/>
      <c r="G1025" s="102" t="n"/>
      <c r="H1025" s="102" t="n"/>
      <c r="I1025" s="102" t="n"/>
      <c r="J1025" s="102" t="n"/>
      <c r="K1025" s="102" t="n"/>
      <c r="L1025" s="102" t="n"/>
      <c r="M1025" s="102" t="n"/>
      <c r="N1025" s="102" t="n"/>
      <c r="O1025" s="102" t="n"/>
      <c r="P1025" s="102" t="n"/>
      <c r="Q1025" s="102" t="n"/>
      <c r="R1025" s="102" t="n"/>
      <c r="S1025" s="102" t="n"/>
      <c r="T1025" s="102" t="n"/>
      <c r="U1025" s="102" t="n"/>
      <c r="V1025" s="102" t="n"/>
      <c r="W1025" s="102" t="n"/>
      <c r="X1025" s="102" t="n"/>
      <c r="Y1025" s="102" t="n"/>
      <c r="Z1025" s="102" t="n"/>
      <c r="AA1025" s="102" t="n"/>
      <c r="AB1025" s="102" t="n"/>
      <c r="AC1025" s="102" t="n"/>
      <c r="AD1025" s="102" t="n"/>
      <c r="AE1025" s="102" t="n"/>
      <c r="AF1025" s="102" t="n"/>
      <c r="AG1025" s="102" t="n"/>
      <c r="AH1025" s="102" t="n"/>
      <c r="AI1025" s="102" t="n"/>
      <c r="AJ1025" s="102" t="n"/>
      <c r="AK1025" s="102" t="n"/>
      <c r="AL1025" s="102" t="n"/>
      <c r="AM1025" s="102" t="n"/>
      <c r="AN1025" s="102" t="n"/>
      <c r="AO1025" s="102" t="n"/>
      <c r="AP1025" s="102" t="n"/>
      <c r="AQ1025" s="102" t="n"/>
      <c r="AR1025" s="102" t="n"/>
    </row>
    <row r="1026">
      <c r="D1026" s="160" t="n"/>
      <c r="E1026" s="160" t="n"/>
      <c r="F1026" s="160" t="n"/>
      <c r="G1026" s="160" t="n"/>
      <c r="H1026" s="160" t="n"/>
      <c r="I1026" s="160" t="n"/>
      <c r="J1026" s="160" t="n"/>
      <c r="K1026" s="160" t="n"/>
      <c r="L1026" s="160" t="n"/>
      <c r="M1026" s="160" t="n"/>
      <c r="N1026" s="160" t="n"/>
      <c r="O1026" s="160" t="n"/>
      <c r="P1026" s="160" t="n"/>
      <c r="Q1026" s="160" t="n"/>
      <c r="R1026" s="160" t="n"/>
      <c r="S1026" s="160" t="n"/>
      <c r="T1026" s="160" t="n"/>
      <c r="U1026" s="160" t="n"/>
      <c r="V1026" s="160" t="n"/>
      <c r="W1026" s="160" t="n"/>
      <c r="X1026" s="160" t="n"/>
      <c r="Y1026" s="160" t="n"/>
      <c r="Z1026" s="160" t="n"/>
      <c r="AA1026" s="160" t="n"/>
      <c r="AB1026" s="160" t="n"/>
      <c r="AC1026" s="160" t="n"/>
      <c r="AD1026" s="160" t="n"/>
      <c r="AE1026" s="160" t="n"/>
      <c r="AF1026" s="160" t="n"/>
      <c r="AG1026" s="160" t="n"/>
      <c r="AH1026" s="160" t="n"/>
      <c r="AI1026" s="160" t="n"/>
      <c r="AJ1026" s="160" t="n"/>
      <c r="AK1026" s="160" t="n"/>
      <c r="AL1026" s="160" t="n"/>
      <c r="AM1026" s="160" t="n"/>
      <c r="AN1026" s="160" t="n"/>
      <c r="AO1026" s="160" t="n"/>
      <c r="AP1026" s="160" t="n"/>
      <c r="AQ1026" s="160" t="n"/>
      <c r="AR1026" s="160" t="n"/>
    </row>
    <row r="1029">
      <c r="A1029" s="2">
        <f>IF($A1022="","","   projections")</f>
        <v/>
      </c>
      <c r="B1029" s="158">
        <f>IF($A1022="",0,COUNT($E1030:$AR1030))</f>
        <v/>
      </c>
      <c r="C1029" s="159">
        <f>IF($B1029=0,0,MAX($E1030:$AR1030))</f>
        <v/>
      </c>
      <c r="D1029" s="101">
        <f>BDS($A1022,FLD_PROJ,"headers=y","startcol=1","endcol=3","dir=h")</f>
        <v/>
      </c>
      <c r="E1029" s="102" t="n"/>
      <c r="F1029" s="102" t="n"/>
      <c r="G1029" s="102" t="n"/>
      <c r="H1029" s="102" t="n"/>
      <c r="I1029" s="102" t="n"/>
      <c r="J1029" s="102" t="n"/>
      <c r="K1029" s="102" t="n"/>
      <c r="L1029" s="102" t="n"/>
      <c r="M1029" s="102" t="n"/>
      <c r="N1029" s="102" t="n"/>
      <c r="O1029" s="102" t="n"/>
      <c r="P1029" s="102" t="n"/>
      <c r="Q1029" s="102" t="n"/>
      <c r="R1029" s="102" t="n"/>
      <c r="S1029" s="102" t="n"/>
      <c r="T1029" s="102" t="n"/>
      <c r="U1029" s="102" t="n"/>
      <c r="V1029" s="102" t="n"/>
      <c r="W1029" s="102" t="n"/>
      <c r="X1029" s="102" t="n"/>
      <c r="Y1029" s="102" t="n"/>
      <c r="Z1029" s="102" t="n"/>
      <c r="AA1029" s="102" t="n"/>
      <c r="AB1029" s="102" t="n"/>
      <c r="AC1029" s="102" t="n"/>
      <c r="AD1029" s="102" t="n"/>
      <c r="AE1029" s="102" t="n"/>
      <c r="AF1029" s="102" t="n"/>
      <c r="AG1029" s="102" t="n"/>
      <c r="AH1029" s="102" t="n"/>
      <c r="AI1029" s="102" t="n"/>
      <c r="AJ1029" s="102" t="n"/>
      <c r="AK1029" s="102" t="n"/>
      <c r="AL1029" s="102" t="n"/>
      <c r="AM1029" s="102" t="n"/>
      <c r="AN1029" s="102" t="n"/>
      <c r="AO1029" s="102" t="n"/>
      <c r="AP1029" s="102" t="n"/>
      <c r="AQ1029" s="102" t="n"/>
      <c r="AR1029" s="102" t="n"/>
    </row>
    <row r="1030">
      <c r="D1030" s="102" t="n"/>
      <c r="E1030" s="102" t="n"/>
      <c r="F1030" s="102" t="n"/>
      <c r="G1030" s="102" t="n"/>
      <c r="H1030" s="102" t="n"/>
      <c r="I1030" s="102" t="n"/>
      <c r="J1030" s="102" t="n"/>
      <c r="K1030" s="102" t="n"/>
      <c r="L1030" s="102" t="n"/>
      <c r="M1030" s="102" t="n"/>
      <c r="N1030" s="102" t="n"/>
      <c r="O1030" s="102" t="n"/>
      <c r="P1030" s="102" t="n"/>
      <c r="Q1030" s="102" t="n"/>
      <c r="R1030" s="102" t="n"/>
      <c r="S1030" s="102" t="n"/>
      <c r="T1030" s="102" t="n"/>
      <c r="U1030" s="102" t="n"/>
      <c r="V1030" s="102" t="n"/>
      <c r="W1030" s="102" t="n"/>
      <c r="X1030" s="102" t="n"/>
      <c r="Y1030" s="102" t="n"/>
      <c r="Z1030" s="102" t="n"/>
      <c r="AA1030" s="102" t="n"/>
      <c r="AB1030" s="102" t="n"/>
      <c r="AC1030" s="102" t="n"/>
      <c r="AD1030" s="102" t="n"/>
      <c r="AE1030" s="102" t="n"/>
      <c r="AF1030" s="102" t="n"/>
      <c r="AG1030" s="102" t="n"/>
      <c r="AH1030" s="102" t="n"/>
      <c r="AI1030" s="102" t="n"/>
      <c r="AJ1030" s="102" t="n"/>
      <c r="AK1030" s="102" t="n"/>
      <c r="AL1030" s="102" t="n"/>
      <c r="AM1030" s="102" t="n"/>
      <c r="AN1030" s="102" t="n"/>
      <c r="AO1030" s="102" t="n"/>
      <c r="AP1030" s="102" t="n"/>
      <c r="AQ1030" s="102" t="n"/>
      <c r="AR1030" s="102" t="n"/>
    </row>
    <row r="1031">
      <c r="D1031" s="160" t="n"/>
      <c r="E1031" s="160" t="n"/>
      <c r="F1031" s="160" t="n"/>
      <c r="G1031" s="160" t="n"/>
      <c r="H1031" s="160" t="n"/>
      <c r="I1031" s="160" t="n"/>
      <c r="J1031" s="160" t="n"/>
      <c r="K1031" s="160" t="n"/>
      <c r="L1031" s="160" t="n"/>
      <c r="M1031" s="160" t="n"/>
      <c r="N1031" s="160" t="n"/>
      <c r="O1031" s="160" t="n"/>
      <c r="P1031" s="160" t="n"/>
      <c r="Q1031" s="160" t="n"/>
      <c r="R1031" s="160" t="n"/>
      <c r="S1031" s="160" t="n"/>
      <c r="T1031" s="160" t="n"/>
      <c r="U1031" s="160" t="n"/>
      <c r="V1031" s="160" t="n"/>
      <c r="W1031" s="160" t="n"/>
      <c r="X1031" s="160" t="n"/>
      <c r="Y1031" s="160" t="n"/>
      <c r="Z1031" s="160" t="n"/>
      <c r="AA1031" s="160" t="n"/>
      <c r="AB1031" s="160" t="n"/>
      <c r="AC1031" s="160" t="n"/>
      <c r="AD1031" s="160" t="n"/>
      <c r="AE1031" s="160" t="n"/>
      <c r="AF1031" s="160" t="n"/>
      <c r="AG1031" s="160" t="n"/>
      <c r="AH1031" s="160" t="n"/>
      <c r="AI1031" s="160" t="n"/>
      <c r="AJ1031" s="160" t="n"/>
      <c r="AK1031" s="160" t="n"/>
      <c r="AL1031" s="160" t="n"/>
      <c r="AM1031" s="160" t="n"/>
      <c r="AN1031" s="160" t="n"/>
      <c r="AO1031" s="160" t="n"/>
      <c r="AP1031" s="160" t="n"/>
      <c r="AQ1031" s="160" t="n"/>
      <c r="AR1031" s="160" t="n"/>
    </row>
    <row r="1033">
      <c r="A1033" s="8">
        <f>IF(HSI!$C$100="","",HSI!$C$100)</f>
        <v/>
      </c>
      <c r="B1033" s="158">
        <f>IF($A1033="",0,COUNT($E1034:$AR1034))</f>
        <v/>
      </c>
      <c r="C1033" s="159">
        <f>IF($B1033=0,0,MAX($E1034:$AR1034))</f>
        <v/>
      </c>
      <c r="D1033" s="101">
        <f>BDS($A1033,FLD_HIST,"headers=y","startcol=1","endcol=7","dir=h","DVD_START_DT",HIST_FROM,"DVD_END_DT",HIST_TO)</f>
        <v/>
      </c>
      <c r="E1033" s="102" t="n"/>
      <c r="F1033" s="102" t="n"/>
      <c r="G1033" s="102" t="n"/>
      <c r="H1033" s="102" t="n"/>
      <c r="I1033" s="102" t="n"/>
      <c r="J1033" s="102" t="n"/>
      <c r="K1033" s="102" t="n"/>
      <c r="L1033" s="102" t="n"/>
      <c r="M1033" s="102" t="n"/>
      <c r="N1033" s="102" t="n"/>
      <c r="O1033" s="102" t="n"/>
      <c r="P1033" s="102" t="n"/>
      <c r="Q1033" s="102" t="n"/>
      <c r="R1033" s="102" t="n"/>
      <c r="S1033" s="102" t="n"/>
      <c r="T1033" s="102" t="n"/>
      <c r="U1033" s="102" t="n"/>
      <c r="V1033" s="102" t="n"/>
      <c r="W1033" s="102" t="n"/>
      <c r="X1033" s="102" t="n"/>
      <c r="Y1033" s="102" t="n"/>
      <c r="Z1033" s="102" t="n"/>
      <c r="AA1033" s="102" t="n"/>
      <c r="AB1033" s="102" t="n"/>
      <c r="AC1033" s="102" t="n"/>
      <c r="AD1033" s="102" t="n"/>
      <c r="AE1033" s="102" t="n"/>
      <c r="AF1033" s="102" t="n"/>
      <c r="AG1033" s="102" t="n"/>
      <c r="AH1033" s="102" t="n"/>
      <c r="AI1033" s="102" t="n"/>
      <c r="AJ1033" s="102" t="n"/>
      <c r="AK1033" s="102" t="n"/>
      <c r="AL1033" s="102" t="n"/>
      <c r="AM1033" s="102" t="n"/>
      <c r="AN1033" s="102" t="n"/>
      <c r="AO1033" s="102" t="n"/>
      <c r="AP1033" s="102" t="n"/>
      <c r="AQ1033" s="102" t="n"/>
      <c r="AR1033" s="102" t="n"/>
    </row>
    <row r="1034">
      <c r="D1034" s="102" t="n"/>
      <c r="E1034" s="102" t="n"/>
      <c r="F1034" s="102" t="n"/>
      <c r="G1034" s="102" t="n"/>
      <c r="H1034" s="102" t="n"/>
      <c r="I1034" s="102" t="n"/>
      <c r="J1034" s="102" t="n"/>
      <c r="K1034" s="102" t="n"/>
      <c r="L1034" s="102" t="n"/>
      <c r="M1034" s="102" t="n"/>
      <c r="N1034" s="102" t="n"/>
      <c r="O1034" s="102" t="n"/>
      <c r="P1034" s="102" t="n"/>
      <c r="Q1034" s="102" t="n"/>
      <c r="R1034" s="102" t="n"/>
      <c r="S1034" s="102" t="n"/>
      <c r="T1034" s="102" t="n"/>
      <c r="U1034" s="102" t="n"/>
      <c r="V1034" s="102" t="n"/>
      <c r="W1034" s="102" t="n"/>
      <c r="X1034" s="102" t="n"/>
      <c r="Y1034" s="102" t="n"/>
      <c r="Z1034" s="102" t="n"/>
      <c r="AA1034" s="102" t="n"/>
      <c r="AB1034" s="102" t="n"/>
      <c r="AC1034" s="102" t="n"/>
      <c r="AD1034" s="102" t="n"/>
      <c r="AE1034" s="102" t="n"/>
      <c r="AF1034" s="102" t="n"/>
      <c r="AG1034" s="102" t="n"/>
      <c r="AH1034" s="102" t="n"/>
      <c r="AI1034" s="102" t="n"/>
      <c r="AJ1034" s="102" t="n"/>
      <c r="AK1034" s="102" t="n"/>
      <c r="AL1034" s="102" t="n"/>
      <c r="AM1034" s="102" t="n"/>
      <c r="AN1034" s="102" t="n"/>
      <c r="AO1034" s="102" t="n"/>
      <c r="AP1034" s="102" t="n"/>
      <c r="AQ1034" s="102" t="n"/>
      <c r="AR1034" s="102" t="n"/>
    </row>
    <row r="1035">
      <c r="D1035" s="102" t="n"/>
      <c r="E1035" s="102" t="n"/>
      <c r="F1035" s="102" t="n"/>
      <c r="G1035" s="102" t="n"/>
      <c r="H1035" s="102" t="n"/>
      <c r="I1035" s="102" t="n"/>
      <c r="J1035" s="102" t="n"/>
      <c r="K1035" s="102" t="n"/>
      <c r="L1035" s="102" t="n"/>
      <c r="M1035" s="102" t="n"/>
      <c r="N1035" s="102" t="n"/>
      <c r="O1035" s="102" t="n"/>
      <c r="P1035" s="102" t="n"/>
      <c r="Q1035" s="102" t="n"/>
      <c r="R1035" s="102" t="n"/>
      <c r="S1035" s="102" t="n"/>
      <c r="T1035" s="102" t="n"/>
      <c r="U1035" s="102" t="n"/>
      <c r="V1035" s="102" t="n"/>
      <c r="W1035" s="102" t="n"/>
      <c r="X1035" s="102" t="n"/>
      <c r="Y1035" s="102" t="n"/>
      <c r="Z1035" s="102" t="n"/>
      <c r="AA1035" s="102" t="n"/>
      <c r="AB1035" s="102" t="n"/>
      <c r="AC1035" s="102" t="n"/>
      <c r="AD1035" s="102" t="n"/>
      <c r="AE1035" s="102" t="n"/>
      <c r="AF1035" s="102" t="n"/>
      <c r="AG1035" s="102" t="n"/>
      <c r="AH1035" s="102" t="n"/>
      <c r="AI1035" s="102" t="n"/>
      <c r="AJ1035" s="102" t="n"/>
      <c r="AK1035" s="102" t="n"/>
      <c r="AL1035" s="102" t="n"/>
      <c r="AM1035" s="102" t="n"/>
      <c r="AN1035" s="102" t="n"/>
      <c r="AO1035" s="102" t="n"/>
      <c r="AP1035" s="102" t="n"/>
      <c r="AQ1035" s="102" t="n"/>
      <c r="AR1035" s="102" t="n"/>
    </row>
    <row r="1036">
      <c r="D1036" s="102" t="n"/>
      <c r="E1036" s="102" t="n"/>
      <c r="F1036" s="102" t="n"/>
      <c r="G1036" s="102" t="n"/>
      <c r="H1036" s="102" t="n"/>
      <c r="I1036" s="102" t="n"/>
      <c r="J1036" s="102" t="n"/>
      <c r="K1036" s="102" t="n"/>
      <c r="L1036" s="102" t="n"/>
      <c r="M1036" s="102" t="n"/>
      <c r="N1036" s="102" t="n"/>
      <c r="O1036" s="102" t="n"/>
      <c r="P1036" s="102" t="n"/>
      <c r="Q1036" s="102" t="n"/>
      <c r="R1036" s="102" t="n"/>
      <c r="S1036" s="102" t="n"/>
      <c r="T1036" s="102" t="n"/>
      <c r="U1036" s="102" t="n"/>
      <c r="V1036" s="102" t="n"/>
      <c r="W1036" s="102" t="n"/>
      <c r="X1036" s="102" t="n"/>
      <c r="Y1036" s="102" t="n"/>
      <c r="Z1036" s="102" t="n"/>
      <c r="AA1036" s="102" t="n"/>
      <c r="AB1036" s="102" t="n"/>
      <c r="AC1036" s="102" t="n"/>
      <c r="AD1036" s="102" t="n"/>
      <c r="AE1036" s="102" t="n"/>
      <c r="AF1036" s="102" t="n"/>
      <c r="AG1036" s="102" t="n"/>
      <c r="AH1036" s="102" t="n"/>
      <c r="AI1036" s="102" t="n"/>
      <c r="AJ1036" s="102" t="n"/>
      <c r="AK1036" s="102" t="n"/>
      <c r="AL1036" s="102" t="n"/>
      <c r="AM1036" s="102" t="n"/>
      <c r="AN1036" s="102" t="n"/>
      <c r="AO1036" s="102" t="n"/>
      <c r="AP1036" s="102" t="n"/>
      <c r="AQ1036" s="102" t="n"/>
      <c r="AR1036" s="102" t="n"/>
    </row>
    <row r="1037">
      <c r="D1037" s="160" t="n"/>
      <c r="E1037" s="160" t="n"/>
      <c r="F1037" s="160" t="n"/>
      <c r="G1037" s="160" t="n"/>
      <c r="H1037" s="160" t="n"/>
      <c r="I1037" s="160" t="n"/>
      <c r="J1037" s="160" t="n"/>
      <c r="K1037" s="160" t="n"/>
      <c r="L1037" s="160" t="n"/>
      <c r="M1037" s="160" t="n"/>
      <c r="N1037" s="160" t="n"/>
      <c r="O1037" s="160" t="n"/>
      <c r="P1037" s="160" t="n"/>
      <c r="Q1037" s="160" t="n"/>
      <c r="R1037" s="160" t="n"/>
      <c r="S1037" s="160" t="n"/>
      <c r="T1037" s="160" t="n"/>
      <c r="U1037" s="160" t="n"/>
      <c r="V1037" s="160" t="n"/>
      <c r="W1037" s="160" t="n"/>
      <c r="X1037" s="160" t="n"/>
      <c r="Y1037" s="160" t="n"/>
      <c r="Z1037" s="160" t="n"/>
      <c r="AA1037" s="160" t="n"/>
      <c r="AB1037" s="160" t="n"/>
      <c r="AC1037" s="160" t="n"/>
      <c r="AD1037" s="160" t="n"/>
      <c r="AE1037" s="160" t="n"/>
      <c r="AF1037" s="160" t="n"/>
      <c r="AG1037" s="160" t="n"/>
      <c r="AH1037" s="160" t="n"/>
      <c r="AI1037" s="160" t="n"/>
      <c r="AJ1037" s="160" t="n"/>
      <c r="AK1037" s="160" t="n"/>
      <c r="AL1037" s="160" t="n"/>
      <c r="AM1037" s="160" t="n"/>
      <c r="AN1037" s="160" t="n"/>
      <c r="AO1037" s="160" t="n"/>
      <c r="AP1037" s="160" t="n"/>
      <c r="AQ1037" s="160" t="n"/>
      <c r="AR1037" s="160" t="n"/>
    </row>
    <row r="1040">
      <c r="A1040" s="2">
        <f>IF($A1033="","","   projections")</f>
        <v/>
      </c>
      <c r="B1040" s="158">
        <f>IF($A1033="",0,COUNT($E1041:$AR1041))</f>
        <v/>
      </c>
      <c r="C1040" s="159">
        <f>IF($B1040=0,0,MAX($E1041:$AR1041))</f>
        <v/>
      </c>
      <c r="D1040" s="101">
        <f>BDS($A1033,FLD_PROJ,"headers=y","startcol=1","endcol=3","dir=h")</f>
        <v/>
      </c>
      <c r="E1040" s="102" t="n"/>
      <c r="F1040" s="102" t="n"/>
      <c r="G1040" s="102" t="n"/>
      <c r="H1040" s="102" t="n"/>
      <c r="I1040" s="102" t="n"/>
      <c r="J1040" s="102" t="n"/>
      <c r="K1040" s="102" t="n"/>
      <c r="L1040" s="102" t="n"/>
      <c r="M1040" s="102" t="n"/>
      <c r="N1040" s="102" t="n"/>
      <c r="O1040" s="102" t="n"/>
      <c r="P1040" s="102" t="n"/>
      <c r="Q1040" s="102" t="n"/>
      <c r="R1040" s="102" t="n"/>
      <c r="S1040" s="102" t="n"/>
      <c r="T1040" s="102" t="n"/>
      <c r="U1040" s="102" t="n"/>
      <c r="V1040" s="102" t="n"/>
      <c r="W1040" s="102" t="n"/>
      <c r="X1040" s="102" t="n"/>
      <c r="Y1040" s="102" t="n"/>
      <c r="Z1040" s="102" t="n"/>
      <c r="AA1040" s="102" t="n"/>
      <c r="AB1040" s="102" t="n"/>
      <c r="AC1040" s="102" t="n"/>
      <c r="AD1040" s="102" t="n"/>
      <c r="AE1040" s="102" t="n"/>
      <c r="AF1040" s="102" t="n"/>
      <c r="AG1040" s="102" t="n"/>
      <c r="AH1040" s="102" t="n"/>
      <c r="AI1040" s="102" t="n"/>
      <c r="AJ1040" s="102" t="n"/>
      <c r="AK1040" s="102" t="n"/>
      <c r="AL1040" s="102" t="n"/>
      <c r="AM1040" s="102" t="n"/>
      <c r="AN1040" s="102" t="n"/>
      <c r="AO1040" s="102" t="n"/>
      <c r="AP1040" s="102" t="n"/>
      <c r="AQ1040" s="102" t="n"/>
      <c r="AR1040" s="102" t="n"/>
    </row>
    <row r="1041">
      <c r="D1041" s="102" t="n"/>
      <c r="E1041" s="102" t="n"/>
      <c r="F1041" s="102" t="n"/>
      <c r="G1041" s="102" t="n"/>
      <c r="H1041" s="102" t="n"/>
      <c r="I1041" s="102" t="n"/>
      <c r="J1041" s="102" t="n"/>
      <c r="K1041" s="102" t="n"/>
      <c r="L1041" s="102" t="n"/>
      <c r="M1041" s="102" t="n"/>
      <c r="N1041" s="102" t="n"/>
      <c r="O1041" s="102" t="n"/>
      <c r="P1041" s="102" t="n"/>
      <c r="Q1041" s="102" t="n"/>
      <c r="R1041" s="102" t="n"/>
      <c r="S1041" s="102" t="n"/>
      <c r="T1041" s="102" t="n"/>
      <c r="U1041" s="102" t="n"/>
      <c r="V1041" s="102" t="n"/>
      <c r="W1041" s="102" t="n"/>
      <c r="X1041" s="102" t="n"/>
      <c r="Y1041" s="102" t="n"/>
      <c r="Z1041" s="102" t="n"/>
      <c r="AA1041" s="102" t="n"/>
      <c r="AB1041" s="102" t="n"/>
      <c r="AC1041" s="102" t="n"/>
      <c r="AD1041" s="102" t="n"/>
      <c r="AE1041" s="102" t="n"/>
      <c r="AF1041" s="102" t="n"/>
      <c r="AG1041" s="102" t="n"/>
      <c r="AH1041" s="102" t="n"/>
      <c r="AI1041" s="102" t="n"/>
      <c r="AJ1041" s="102" t="n"/>
      <c r="AK1041" s="102" t="n"/>
      <c r="AL1041" s="102" t="n"/>
      <c r="AM1041" s="102" t="n"/>
      <c r="AN1041" s="102" t="n"/>
      <c r="AO1041" s="102" t="n"/>
      <c r="AP1041" s="102" t="n"/>
      <c r="AQ1041" s="102" t="n"/>
      <c r="AR1041" s="102" t="n"/>
    </row>
    <row r="1042">
      <c r="D1042" s="160" t="n"/>
      <c r="E1042" s="160" t="n"/>
      <c r="F1042" s="160" t="n"/>
      <c r="G1042" s="160" t="n"/>
      <c r="H1042" s="160" t="n"/>
      <c r="I1042" s="160" t="n"/>
      <c r="J1042" s="160" t="n"/>
      <c r="K1042" s="160" t="n"/>
      <c r="L1042" s="160" t="n"/>
      <c r="M1042" s="160" t="n"/>
      <c r="N1042" s="160" t="n"/>
      <c r="O1042" s="160" t="n"/>
      <c r="P1042" s="160" t="n"/>
      <c r="Q1042" s="160" t="n"/>
      <c r="R1042" s="160" t="n"/>
      <c r="S1042" s="160" t="n"/>
      <c r="T1042" s="160" t="n"/>
      <c r="U1042" s="160" t="n"/>
      <c r="V1042" s="160" t="n"/>
      <c r="W1042" s="160" t="n"/>
      <c r="X1042" s="160" t="n"/>
      <c r="Y1042" s="160" t="n"/>
      <c r="Z1042" s="160" t="n"/>
      <c r="AA1042" s="160" t="n"/>
      <c r="AB1042" s="160" t="n"/>
      <c r="AC1042" s="160" t="n"/>
      <c r="AD1042" s="160" t="n"/>
      <c r="AE1042" s="160" t="n"/>
      <c r="AF1042" s="160" t="n"/>
      <c r="AG1042" s="160" t="n"/>
      <c r="AH1042" s="160" t="n"/>
      <c r="AI1042" s="160" t="n"/>
      <c r="AJ1042" s="160" t="n"/>
      <c r="AK1042" s="160" t="n"/>
      <c r="AL1042" s="160" t="n"/>
      <c r="AM1042" s="160" t="n"/>
      <c r="AN1042" s="160" t="n"/>
      <c r="AO1042" s="160" t="n"/>
      <c r="AP1042" s="160" t="n"/>
      <c r="AQ1042" s="160" t="n"/>
      <c r="AR1042" s="160" t="n"/>
    </row>
    <row r="1044">
      <c r="A1044" s="8">
        <f>IF(HSI!$C$101="","",HSI!$C$101)</f>
        <v/>
      </c>
      <c r="B1044" s="158">
        <f>IF($A1044="",0,COUNT($E1045:$AR1045))</f>
        <v/>
      </c>
      <c r="C1044" s="159">
        <f>IF($B1044=0,0,MAX($E1045:$AR1045))</f>
        <v/>
      </c>
      <c r="D1044" s="101">
        <f>BDS($A1044,FLD_HIST,"headers=y","startcol=1","endcol=7","dir=h","DVD_START_DT",HIST_FROM,"DVD_END_DT",HIST_TO)</f>
        <v/>
      </c>
      <c r="E1044" s="102" t="n"/>
      <c r="F1044" s="102" t="n"/>
      <c r="G1044" s="102" t="n"/>
      <c r="H1044" s="102" t="n"/>
      <c r="I1044" s="102" t="n"/>
      <c r="J1044" s="102" t="n"/>
      <c r="K1044" s="102" t="n"/>
      <c r="L1044" s="102" t="n"/>
      <c r="M1044" s="102" t="n"/>
      <c r="N1044" s="102" t="n"/>
      <c r="O1044" s="102" t="n"/>
      <c r="P1044" s="102" t="n"/>
      <c r="Q1044" s="102" t="n"/>
      <c r="R1044" s="102" t="n"/>
      <c r="S1044" s="102" t="n"/>
      <c r="T1044" s="102" t="n"/>
      <c r="U1044" s="102" t="n"/>
      <c r="V1044" s="102" t="n"/>
      <c r="W1044" s="102" t="n"/>
      <c r="X1044" s="102" t="n"/>
      <c r="Y1044" s="102" t="n"/>
      <c r="Z1044" s="102" t="n"/>
      <c r="AA1044" s="102" t="n"/>
      <c r="AB1044" s="102" t="n"/>
      <c r="AC1044" s="102" t="n"/>
      <c r="AD1044" s="102" t="n"/>
      <c r="AE1044" s="102" t="n"/>
      <c r="AF1044" s="102" t="n"/>
      <c r="AG1044" s="102" t="n"/>
      <c r="AH1044" s="102" t="n"/>
      <c r="AI1044" s="102" t="n"/>
      <c r="AJ1044" s="102" t="n"/>
      <c r="AK1044" s="102" t="n"/>
      <c r="AL1044" s="102" t="n"/>
      <c r="AM1044" s="102" t="n"/>
      <c r="AN1044" s="102" t="n"/>
      <c r="AO1044" s="102" t="n"/>
      <c r="AP1044" s="102" t="n"/>
      <c r="AQ1044" s="102" t="n"/>
      <c r="AR1044" s="102" t="n"/>
    </row>
    <row r="1045">
      <c r="D1045" s="102" t="n"/>
      <c r="E1045" s="102" t="n"/>
      <c r="F1045" s="102" t="n"/>
      <c r="G1045" s="102" t="n"/>
      <c r="H1045" s="102" t="n"/>
      <c r="I1045" s="102" t="n"/>
      <c r="J1045" s="102" t="n"/>
      <c r="K1045" s="102" t="n"/>
      <c r="L1045" s="102" t="n"/>
      <c r="M1045" s="102" t="n"/>
      <c r="N1045" s="102" t="n"/>
      <c r="O1045" s="102" t="n"/>
      <c r="P1045" s="102" t="n"/>
      <c r="Q1045" s="102" t="n"/>
      <c r="R1045" s="102" t="n"/>
      <c r="S1045" s="102" t="n"/>
      <c r="T1045" s="102" t="n"/>
      <c r="U1045" s="102" t="n"/>
      <c r="V1045" s="102" t="n"/>
      <c r="W1045" s="102" t="n"/>
      <c r="X1045" s="102" t="n"/>
      <c r="Y1045" s="102" t="n"/>
      <c r="Z1045" s="102" t="n"/>
      <c r="AA1045" s="102" t="n"/>
      <c r="AB1045" s="102" t="n"/>
      <c r="AC1045" s="102" t="n"/>
      <c r="AD1045" s="102" t="n"/>
      <c r="AE1045" s="102" t="n"/>
      <c r="AF1045" s="102" t="n"/>
      <c r="AG1045" s="102" t="n"/>
      <c r="AH1045" s="102" t="n"/>
      <c r="AI1045" s="102" t="n"/>
      <c r="AJ1045" s="102" t="n"/>
      <c r="AK1045" s="102" t="n"/>
      <c r="AL1045" s="102" t="n"/>
      <c r="AM1045" s="102" t="n"/>
      <c r="AN1045" s="102" t="n"/>
      <c r="AO1045" s="102" t="n"/>
      <c r="AP1045" s="102" t="n"/>
      <c r="AQ1045" s="102" t="n"/>
      <c r="AR1045" s="102" t="n"/>
    </row>
    <row r="1046">
      <c r="D1046" s="102" t="n"/>
      <c r="E1046" s="102" t="n"/>
      <c r="F1046" s="102" t="n"/>
      <c r="G1046" s="102" t="n"/>
      <c r="H1046" s="102" t="n"/>
      <c r="I1046" s="102" t="n"/>
      <c r="J1046" s="102" t="n"/>
      <c r="K1046" s="102" t="n"/>
      <c r="L1046" s="102" t="n"/>
      <c r="M1046" s="102" t="n"/>
      <c r="N1046" s="102" t="n"/>
      <c r="O1046" s="102" t="n"/>
      <c r="P1046" s="102" t="n"/>
      <c r="Q1046" s="102" t="n"/>
      <c r="R1046" s="102" t="n"/>
      <c r="S1046" s="102" t="n"/>
      <c r="T1046" s="102" t="n"/>
      <c r="U1046" s="102" t="n"/>
      <c r="V1046" s="102" t="n"/>
      <c r="W1046" s="102" t="n"/>
      <c r="X1046" s="102" t="n"/>
      <c r="Y1046" s="102" t="n"/>
      <c r="Z1046" s="102" t="n"/>
      <c r="AA1046" s="102" t="n"/>
      <c r="AB1046" s="102" t="n"/>
      <c r="AC1046" s="102" t="n"/>
      <c r="AD1046" s="102" t="n"/>
      <c r="AE1046" s="102" t="n"/>
      <c r="AF1046" s="102" t="n"/>
      <c r="AG1046" s="102" t="n"/>
      <c r="AH1046" s="102" t="n"/>
      <c r="AI1046" s="102" t="n"/>
      <c r="AJ1046" s="102" t="n"/>
      <c r="AK1046" s="102" t="n"/>
      <c r="AL1046" s="102" t="n"/>
      <c r="AM1046" s="102" t="n"/>
      <c r="AN1046" s="102" t="n"/>
      <c r="AO1046" s="102" t="n"/>
      <c r="AP1046" s="102" t="n"/>
      <c r="AQ1046" s="102" t="n"/>
      <c r="AR1046" s="102" t="n"/>
    </row>
    <row r="1047">
      <c r="D1047" s="102" t="n"/>
      <c r="E1047" s="102" t="n"/>
      <c r="F1047" s="102" t="n"/>
      <c r="G1047" s="102" t="n"/>
      <c r="H1047" s="102" t="n"/>
      <c r="I1047" s="102" t="n"/>
      <c r="J1047" s="102" t="n"/>
      <c r="K1047" s="102" t="n"/>
      <c r="L1047" s="102" t="n"/>
      <c r="M1047" s="102" t="n"/>
      <c r="N1047" s="102" t="n"/>
      <c r="O1047" s="102" t="n"/>
      <c r="P1047" s="102" t="n"/>
      <c r="Q1047" s="102" t="n"/>
      <c r="R1047" s="102" t="n"/>
      <c r="S1047" s="102" t="n"/>
      <c r="T1047" s="102" t="n"/>
      <c r="U1047" s="102" t="n"/>
      <c r="V1047" s="102" t="n"/>
      <c r="W1047" s="102" t="n"/>
      <c r="X1047" s="102" t="n"/>
      <c r="Y1047" s="102" t="n"/>
      <c r="Z1047" s="102" t="n"/>
      <c r="AA1047" s="102" t="n"/>
      <c r="AB1047" s="102" t="n"/>
      <c r="AC1047" s="102" t="n"/>
      <c r="AD1047" s="102" t="n"/>
      <c r="AE1047" s="102" t="n"/>
      <c r="AF1047" s="102" t="n"/>
      <c r="AG1047" s="102" t="n"/>
      <c r="AH1047" s="102" t="n"/>
      <c r="AI1047" s="102" t="n"/>
      <c r="AJ1047" s="102" t="n"/>
      <c r="AK1047" s="102" t="n"/>
      <c r="AL1047" s="102" t="n"/>
      <c r="AM1047" s="102" t="n"/>
      <c r="AN1047" s="102" t="n"/>
      <c r="AO1047" s="102" t="n"/>
      <c r="AP1047" s="102" t="n"/>
      <c r="AQ1047" s="102" t="n"/>
      <c r="AR1047" s="102" t="n"/>
    </row>
    <row r="1048">
      <c r="D1048" s="160" t="n"/>
      <c r="E1048" s="160" t="n"/>
      <c r="F1048" s="160" t="n"/>
      <c r="G1048" s="160" t="n"/>
      <c r="H1048" s="160" t="n"/>
      <c r="I1048" s="160" t="n"/>
      <c r="J1048" s="160" t="n"/>
      <c r="K1048" s="160" t="n"/>
      <c r="L1048" s="160" t="n"/>
      <c r="M1048" s="160" t="n"/>
      <c r="N1048" s="160" t="n"/>
      <c r="O1048" s="160" t="n"/>
      <c r="P1048" s="160" t="n"/>
      <c r="Q1048" s="160" t="n"/>
      <c r="R1048" s="160" t="n"/>
      <c r="S1048" s="160" t="n"/>
      <c r="T1048" s="160" t="n"/>
      <c r="U1048" s="160" t="n"/>
      <c r="V1048" s="160" t="n"/>
      <c r="W1048" s="160" t="n"/>
      <c r="X1048" s="160" t="n"/>
      <c r="Y1048" s="160" t="n"/>
      <c r="Z1048" s="160" t="n"/>
      <c r="AA1048" s="160" t="n"/>
      <c r="AB1048" s="160" t="n"/>
      <c r="AC1048" s="160" t="n"/>
      <c r="AD1048" s="160" t="n"/>
      <c r="AE1048" s="160" t="n"/>
      <c r="AF1048" s="160" t="n"/>
      <c r="AG1048" s="160" t="n"/>
      <c r="AH1048" s="160" t="n"/>
      <c r="AI1048" s="160" t="n"/>
      <c r="AJ1048" s="160" t="n"/>
      <c r="AK1048" s="160" t="n"/>
      <c r="AL1048" s="160" t="n"/>
      <c r="AM1048" s="160" t="n"/>
      <c r="AN1048" s="160" t="n"/>
      <c r="AO1048" s="160" t="n"/>
      <c r="AP1048" s="160" t="n"/>
      <c r="AQ1048" s="160" t="n"/>
      <c r="AR1048" s="160" t="n"/>
    </row>
    <row r="1051">
      <c r="A1051" s="2">
        <f>IF($A1044="","","   projections")</f>
        <v/>
      </c>
      <c r="B1051" s="158">
        <f>IF($A1044="",0,COUNT($E1052:$AR1052))</f>
        <v/>
      </c>
      <c r="C1051" s="159">
        <f>IF($B1051=0,0,MAX($E1052:$AR1052))</f>
        <v/>
      </c>
      <c r="D1051" s="101">
        <f>BDS($A1044,FLD_PROJ,"headers=y","startcol=1","endcol=3","dir=h")</f>
        <v/>
      </c>
      <c r="E1051" s="102" t="n"/>
      <c r="F1051" s="102" t="n"/>
      <c r="G1051" s="102" t="n"/>
      <c r="H1051" s="102" t="n"/>
      <c r="I1051" s="102" t="n"/>
      <c r="J1051" s="102" t="n"/>
      <c r="K1051" s="102" t="n"/>
      <c r="L1051" s="102" t="n"/>
      <c r="M1051" s="102" t="n"/>
      <c r="N1051" s="102" t="n"/>
      <c r="O1051" s="102" t="n"/>
      <c r="P1051" s="102" t="n"/>
      <c r="Q1051" s="102" t="n"/>
      <c r="R1051" s="102" t="n"/>
      <c r="S1051" s="102" t="n"/>
      <c r="T1051" s="102" t="n"/>
      <c r="U1051" s="102" t="n"/>
      <c r="V1051" s="102" t="n"/>
      <c r="W1051" s="102" t="n"/>
      <c r="X1051" s="102" t="n"/>
      <c r="Y1051" s="102" t="n"/>
      <c r="Z1051" s="102" t="n"/>
      <c r="AA1051" s="102" t="n"/>
      <c r="AB1051" s="102" t="n"/>
      <c r="AC1051" s="102" t="n"/>
      <c r="AD1051" s="102" t="n"/>
      <c r="AE1051" s="102" t="n"/>
      <c r="AF1051" s="102" t="n"/>
      <c r="AG1051" s="102" t="n"/>
      <c r="AH1051" s="102" t="n"/>
      <c r="AI1051" s="102" t="n"/>
      <c r="AJ1051" s="102" t="n"/>
      <c r="AK1051" s="102" t="n"/>
      <c r="AL1051" s="102" t="n"/>
      <c r="AM1051" s="102" t="n"/>
      <c r="AN1051" s="102" t="n"/>
      <c r="AO1051" s="102" t="n"/>
      <c r="AP1051" s="102" t="n"/>
      <c r="AQ1051" s="102" t="n"/>
      <c r="AR1051" s="102" t="n"/>
    </row>
    <row r="1052">
      <c r="D1052" s="102" t="n"/>
      <c r="E1052" s="102" t="n"/>
      <c r="F1052" s="102" t="n"/>
      <c r="G1052" s="102" t="n"/>
      <c r="H1052" s="102" t="n"/>
      <c r="I1052" s="102" t="n"/>
      <c r="J1052" s="102" t="n"/>
      <c r="K1052" s="102" t="n"/>
      <c r="L1052" s="102" t="n"/>
      <c r="M1052" s="102" t="n"/>
      <c r="N1052" s="102" t="n"/>
      <c r="O1052" s="102" t="n"/>
      <c r="P1052" s="102" t="n"/>
      <c r="Q1052" s="102" t="n"/>
      <c r="R1052" s="102" t="n"/>
      <c r="S1052" s="102" t="n"/>
      <c r="T1052" s="102" t="n"/>
      <c r="U1052" s="102" t="n"/>
      <c r="V1052" s="102" t="n"/>
      <c r="W1052" s="102" t="n"/>
      <c r="X1052" s="102" t="n"/>
      <c r="Y1052" s="102" t="n"/>
      <c r="Z1052" s="102" t="n"/>
      <c r="AA1052" s="102" t="n"/>
      <c r="AB1052" s="102" t="n"/>
      <c r="AC1052" s="102" t="n"/>
      <c r="AD1052" s="102" t="n"/>
      <c r="AE1052" s="102" t="n"/>
      <c r="AF1052" s="102" t="n"/>
      <c r="AG1052" s="102" t="n"/>
      <c r="AH1052" s="102" t="n"/>
      <c r="AI1052" s="102" t="n"/>
      <c r="AJ1052" s="102" t="n"/>
      <c r="AK1052" s="102" t="n"/>
      <c r="AL1052" s="102" t="n"/>
      <c r="AM1052" s="102" t="n"/>
      <c r="AN1052" s="102" t="n"/>
      <c r="AO1052" s="102" t="n"/>
      <c r="AP1052" s="102" t="n"/>
      <c r="AQ1052" s="102" t="n"/>
      <c r="AR1052" s="102" t="n"/>
    </row>
    <row r="1053">
      <c r="D1053" s="160" t="n"/>
      <c r="E1053" s="160" t="n"/>
      <c r="F1053" s="160" t="n"/>
      <c r="G1053" s="160" t="n"/>
      <c r="H1053" s="160" t="n"/>
      <c r="I1053" s="160" t="n"/>
      <c r="J1053" s="160" t="n"/>
      <c r="K1053" s="160" t="n"/>
      <c r="L1053" s="160" t="n"/>
      <c r="M1053" s="160" t="n"/>
      <c r="N1053" s="160" t="n"/>
      <c r="O1053" s="160" t="n"/>
      <c r="P1053" s="160" t="n"/>
      <c r="Q1053" s="160" t="n"/>
      <c r="R1053" s="160" t="n"/>
      <c r="S1053" s="160" t="n"/>
      <c r="T1053" s="160" t="n"/>
      <c r="U1053" s="160" t="n"/>
      <c r="V1053" s="160" t="n"/>
      <c r="W1053" s="160" t="n"/>
      <c r="X1053" s="160" t="n"/>
      <c r="Y1053" s="160" t="n"/>
      <c r="Z1053" s="160" t="n"/>
      <c r="AA1053" s="160" t="n"/>
      <c r="AB1053" s="160" t="n"/>
      <c r="AC1053" s="160" t="n"/>
      <c r="AD1053" s="160" t="n"/>
      <c r="AE1053" s="160" t="n"/>
      <c r="AF1053" s="160" t="n"/>
      <c r="AG1053" s="160" t="n"/>
      <c r="AH1053" s="160" t="n"/>
      <c r="AI1053" s="160" t="n"/>
      <c r="AJ1053" s="160" t="n"/>
      <c r="AK1053" s="160" t="n"/>
      <c r="AL1053" s="160" t="n"/>
      <c r="AM1053" s="160" t="n"/>
      <c r="AN1053" s="160" t="n"/>
      <c r="AO1053" s="160" t="n"/>
      <c r="AP1053" s="160" t="n"/>
      <c r="AQ1053" s="160" t="n"/>
      <c r="AR1053" s="160" t="n"/>
    </row>
    <row r="1055">
      <c r="A1055" s="8">
        <f>IF(HSI!$C$102="","",HSI!$C$102)</f>
        <v/>
      </c>
      <c r="B1055" s="158">
        <f>IF($A1055="",0,COUNT($E1056:$AR1056))</f>
        <v/>
      </c>
      <c r="C1055" s="159">
        <f>IF($B1055=0,0,MAX($E1056:$AR1056))</f>
        <v/>
      </c>
      <c r="D1055" s="101">
        <f>BDS($A1055,FLD_HIST,"headers=y","startcol=1","endcol=7","dir=h","DVD_START_DT",HIST_FROM,"DVD_END_DT",HIST_TO)</f>
        <v/>
      </c>
      <c r="E1055" s="102" t="n"/>
      <c r="F1055" s="102" t="n"/>
      <c r="G1055" s="102" t="n"/>
      <c r="H1055" s="102" t="n"/>
      <c r="I1055" s="102" t="n"/>
      <c r="J1055" s="102" t="n"/>
      <c r="K1055" s="102" t="n"/>
      <c r="L1055" s="102" t="n"/>
      <c r="M1055" s="102" t="n"/>
      <c r="N1055" s="102" t="n"/>
      <c r="O1055" s="102" t="n"/>
      <c r="P1055" s="102" t="n"/>
      <c r="Q1055" s="102" t="n"/>
      <c r="R1055" s="102" t="n"/>
      <c r="S1055" s="102" t="n"/>
      <c r="T1055" s="102" t="n"/>
      <c r="U1055" s="102" t="n"/>
      <c r="V1055" s="102" t="n"/>
      <c r="W1055" s="102" t="n"/>
      <c r="X1055" s="102" t="n"/>
      <c r="Y1055" s="102" t="n"/>
      <c r="Z1055" s="102" t="n"/>
      <c r="AA1055" s="102" t="n"/>
      <c r="AB1055" s="102" t="n"/>
      <c r="AC1055" s="102" t="n"/>
      <c r="AD1055" s="102" t="n"/>
      <c r="AE1055" s="102" t="n"/>
      <c r="AF1055" s="102" t="n"/>
      <c r="AG1055" s="102" t="n"/>
      <c r="AH1055" s="102" t="n"/>
      <c r="AI1055" s="102" t="n"/>
      <c r="AJ1055" s="102" t="n"/>
      <c r="AK1055" s="102" t="n"/>
      <c r="AL1055" s="102" t="n"/>
      <c r="AM1055" s="102" t="n"/>
      <c r="AN1055" s="102" t="n"/>
      <c r="AO1055" s="102" t="n"/>
      <c r="AP1055" s="102" t="n"/>
      <c r="AQ1055" s="102" t="n"/>
      <c r="AR1055" s="102" t="n"/>
    </row>
    <row r="1056">
      <c r="D1056" s="102" t="n"/>
      <c r="E1056" s="102" t="n"/>
      <c r="F1056" s="102" t="n"/>
      <c r="G1056" s="102" t="n"/>
      <c r="H1056" s="102" t="n"/>
      <c r="I1056" s="102" t="n"/>
      <c r="J1056" s="102" t="n"/>
      <c r="K1056" s="102" t="n"/>
      <c r="L1056" s="102" t="n"/>
      <c r="M1056" s="102" t="n"/>
      <c r="N1056" s="102" t="n"/>
      <c r="O1056" s="102" t="n"/>
      <c r="P1056" s="102" t="n"/>
      <c r="Q1056" s="102" t="n"/>
      <c r="R1056" s="102" t="n"/>
      <c r="S1056" s="102" t="n"/>
      <c r="T1056" s="102" t="n"/>
      <c r="U1056" s="102" t="n"/>
      <c r="V1056" s="102" t="n"/>
      <c r="W1056" s="102" t="n"/>
      <c r="X1056" s="102" t="n"/>
      <c r="Y1056" s="102" t="n"/>
      <c r="Z1056" s="102" t="n"/>
      <c r="AA1056" s="102" t="n"/>
      <c r="AB1056" s="102" t="n"/>
      <c r="AC1056" s="102" t="n"/>
      <c r="AD1056" s="102" t="n"/>
      <c r="AE1056" s="102" t="n"/>
      <c r="AF1056" s="102" t="n"/>
      <c r="AG1056" s="102" t="n"/>
      <c r="AH1056" s="102" t="n"/>
      <c r="AI1056" s="102" t="n"/>
      <c r="AJ1056" s="102" t="n"/>
      <c r="AK1056" s="102" t="n"/>
      <c r="AL1056" s="102" t="n"/>
      <c r="AM1056" s="102" t="n"/>
      <c r="AN1056" s="102" t="n"/>
      <c r="AO1056" s="102" t="n"/>
      <c r="AP1056" s="102" t="n"/>
      <c r="AQ1056" s="102" t="n"/>
      <c r="AR1056" s="102" t="n"/>
    </row>
    <row r="1057">
      <c r="D1057" s="102" t="n"/>
      <c r="E1057" s="102" t="n"/>
      <c r="F1057" s="102" t="n"/>
      <c r="G1057" s="102" t="n"/>
      <c r="H1057" s="102" t="n"/>
      <c r="I1057" s="102" t="n"/>
      <c r="J1057" s="102" t="n"/>
      <c r="K1057" s="102" t="n"/>
      <c r="L1057" s="102" t="n"/>
      <c r="M1057" s="102" t="n"/>
      <c r="N1057" s="102" t="n"/>
      <c r="O1057" s="102" t="n"/>
      <c r="P1057" s="102" t="n"/>
      <c r="Q1057" s="102" t="n"/>
      <c r="R1057" s="102" t="n"/>
      <c r="S1057" s="102" t="n"/>
      <c r="T1057" s="102" t="n"/>
      <c r="U1057" s="102" t="n"/>
      <c r="V1057" s="102" t="n"/>
      <c r="W1057" s="102" t="n"/>
      <c r="X1057" s="102" t="n"/>
      <c r="Y1057" s="102" t="n"/>
      <c r="Z1057" s="102" t="n"/>
      <c r="AA1057" s="102" t="n"/>
      <c r="AB1057" s="102" t="n"/>
      <c r="AC1057" s="102" t="n"/>
      <c r="AD1057" s="102" t="n"/>
      <c r="AE1057" s="102" t="n"/>
      <c r="AF1057" s="102" t="n"/>
      <c r="AG1057" s="102" t="n"/>
      <c r="AH1057" s="102" t="n"/>
      <c r="AI1057" s="102" t="n"/>
      <c r="AJ1057" s="102" t="n"/>
      <c r="AK1057" s="102" t="n"/>
      <c r="AL1057" s="102" t="n"/>
      <c r="AM1057" s="102" t="n"/>
      <c r="AN1057" s="102" t="n"/>
      <c r="AO1057" s="102" t="n"/>
      <c r="AP1057" s="102" t="n"/>
      <c r="AQ1057" s="102" t="n"/>
      <c r="AR1057" s="102" t="n"/>
    </row>
    <row r="1058">
      <c r="D1058" s="102" t="n"/>
      <c r="E1058" s="102" t="n"/>
      <c r="F1058" s="102" t="n"/>
      <c r="G1058" s="102" t="n"/>
      <c r="H1058" s="102" t="n"/>
      <c r="I1058" s="102" t="n"/>
      <c r="J1058" s="102" t="n"/>
      <c r="K1058" s="102" t="n"/>
      <c r="L1058" s="102" t="n"/>
      <c r="M1058" s="102" t="n"/>
      <c r="N1058" s="102" t="n"/>
      <c r="O1058" s="102" t="n"/>
      <c r="P1058" s="102" t="n"/>
      <c r="Q1058" s="102" t="n"/>
      <c r="R1058" s="102" t="n"/>
      <c r="S1058" s="102" t="n"/>
      <c r="T1058" s="102" t="n"/>
      <c r="U1058" s="102" t="n"/>
      <c r="V1058" s="102" t="n"/>
      <c r="W1058" s="102" t="n"/>
      <c r="X1058" s="102" t="n"/>
      <c r="Y1058" s="102" t="n"/>
      <c r="Z1058" s="102" t="n"/>
      <c r="AA1058" s="102" t="n"/>
      <c r="AB1058" s="102" t="n"/>
      <c r="AC1058" s="102" t="n"/>
      <c r="AD1058" s="102" t="n"/>
      <c r="AE1058" s="102" t="n"/>
      <c r="AF1058" s="102" t="n"/>
      <c r="AG1058" s="102" t="n"/>
      <c r="AH1058" s="102" t="n"/>
      <c r="AI1058" s="102" t="n"/>
      <c r="AJ1058" s="102" t="n"/>
      <c r="AK1058" s="102" t="n"/>
      <c r="AL1058" s="102" t="n"/>
      <c r="AM1058" s="102" t="n"/>
      <c r="AN1058" s="102" t="n"/>
      <c r="AO1058" s="102" t="n"/>
      <c r="AP1058" s="102" t="n"/>
      <c r="AQ1058" s="102" t="n"/>
      <c r="AR1058" s="102" t="n"/>
    </row>
    <row r="1059">
      <c r="D1059" s="160" t="n"/>
      <c r="E1059" s="160" t="n"/>
      <c r="F1059" s="160" t="n"/>
      <c r="G1059" s="160" t="n"/>
      <c r="H1059" s="160" t="n"/>
      <c r="I1059" s="160" t="n"/>
      <c r="J1059" s="160" t="n"/>
      <c r="K1059" s="160" t="n"/>
      <c r="L1059" s="160" t="n"/>
      <c r="M1059" s="160" t="n"/>
      <c r="N1059" s="160" t="n"/>
      <c r="O1059" s="160" t="n"/>
      <c r="P1059" s="160" t="n"/>
      <c r="Q1059" s="160" t="n"/>
      <c r="R1059" s="160" t="n"/>
      <c r="S1059" s="160" t="n"/>
      <c r="T1059" s="160" t="n"/>
      <c r="U1059" s="160" t="n"/>
      <c r="V1059" s="160" t="n"/>
      <c r="W1059" s="160" t="n"/>
      <c r="X1059" s="160" t="n"/>
      <c r="Y1059" s="160" t="n"/>
      <c r="Z1059" s="160" t="n"/>
      <c r="AA1059" s="160" t="n"/>
      <c r="AB1059" s="160" t="n"/>
      <c r="AC1059" s="160" t="n"/>
      <c r="AD1059" s="160" t="n"/>
      <c r="AE1059" s="160" t="n"/>
      <c r="AF1059" s="160" t="n"/>
      <c r="AG1059" s="160" t="n"/>
      <c r="AH1059" s="160" t="n"/>
      <c r="AI1059" s="160" t="n"/>
      <c r="AJ1059" s="160" t="n"/>
      <c r="AK1059" s="160" t="n"/>
      <c r="AL1059" s="160" t="n"/>
      <c r="AM1059" s="160" t="n"/>
      <c r="AN1059" s="160" t="n"/>
      <c r="AO1059" s="160" t="n"/>
      <c r="AP1059" s="160" t="n"/>
      <c r="AQ1059" s="160" t="n"/>
      <c r="AR1059" s="160" t="n"/>
    </row>
    <row r="1062">
      <c r="A1062" s="2">
        <f>IF($A1055="","","   projections")</f>
        <v/>
      </c>
      <c r="B1062" s="158">
        <f>IF($A1055="",0,COUNT($E1063:$AR1063))</f>
        <v/>
      </c>
      <c r="C1062" s="159">
        <f>IF($B1062=0,0,MAX($E1063:$AR1063))</f>
        <v/>
      </c>
      <c r="D1062" s="101">
        <f>BDS($A1055,FLD_PROJ,"headers=y","startcol=1","endcol=3","dir=h")</f>
        <v/>
      </c>
      <c r="E1062" s="102" t="n"/>
      <c r="F1062" s="102" t="n"/>
      <c r="G1062" s="102" t="n"/>
      <c r="H1062" s="102" t="n"/>
      <c r="I1062" s="102" t="n"/>
      <c r="J1062" s="102" t="n"/>
      <c r="K1062" s="102" t="n"/>
      <c r="L1062" s="102" t="n"/>
      <c r="M1062" s="102" t="n"/>
      <c r="N1062" s="102" t="n"/>
      <c r="O1062" s="102" t="n"/>
      <c r="P1062" s="102" t="n"/>
      <c r="Q1062" s="102" t="n"/>
      <c r="R1062" s="102" t="n"/>
      <c r="S1062" s="102" t="n"/>
      <c r="T1062" s="102" t="n"/>
      <c r="U1062" s="102" t="n"/>
      <c r="V1062" s="102" t="n"/>
      <c r="W1062" s="102" t="n"/>
      <c r="X1062" s="102" t="n"/>
      <c r="Y1062" s="102" t="n"/>
      <c r="Z1062" s="102" t="n"/>
      <c r="AA1062" s="102" t="n"/>
      <c r="AB1062" s="102" t="n"/>
      <c r="AC1062" s="102" t="n"/>
      <c r="AD1062" s="102" t="n"/>
      <c r="AE1062" s="102" t="n"/>
      <c r="AF1062" s="102" t="n"/>
      <c r="AG1062" s="102" t="n"/>
      <c r="AH1062" s="102" t="n"/>
      <c r="AI1062" s="102" t="n"/>
      <c r="AJ1062" s="102" t="n"/>
      <c r="AK1062" s="102" t="n"/>
      <c r="AL1062" s="102" t="n"/>
      <c r="AM1062" s="102" t="n"/>
      <c r="AN1062" s="102" t="n"/>
      <c r="AO1062" s="102" t="n"/>
      <c r="AP1062" s="102" t="n"/>
      <c r="AQ1062" s="102" t="n"/>
      <c r="AR1062" s="102" t="n"/>
    </row>
    <row r="1063">
      <c r="D1063" s="102" t="n"/>
      <c r="E1063" s="102" t="n"/>
      <c r="F1063" s="102" t="n"/>
      <c r="G1063" s="102" t="n"/>
      <c r="H1063" s="102" t="n"/>
      <c r="I1063" s="102" t="n"/>
      <c r="J1063" s="102" t="n"/>
      <c r="K1063" s="102" t="n"/>
      <c r="L1063" s="102" t="n"/>
      <c r="M1063" s="102" t="n"/>
      <c r="N1063" s="102" t="n"/>
      <c r="O1063" s="102" t="n"/>
      <c r="P1063" s="102" t="n"/>
      <c r="Q1063" s="102" t="n"/>
      <c r="R1063" s="102" t="n"/>
      <c r="S1063" s="102" t="n"/>
      <c r="T1063" s="102" t="n"/>
      <c r="U1063" s="102" t="n"/>
      <c r="V1063" s="102" t="n"/>
      <c r="W1063" s="102" t="n"/>
      <c r="X1063" s="102" t="n"/>
      <c r="Y1063" s="102" t="n"/>
      <c r="Z1063" s="102" t="n"/>
      <c r="AA1063" s="102" t="n"/>
      <c r="AB1063" s="102" t="n"/>
      <c r="AC1063" s="102" t="n"/>
      <c r="AD1063" s="102" t="n"/>
      <c r="AE1063" s="102" t="n"/>
      <c r="AF1063" s="102" t="n"/>
      <c r="AG1063" s="102" t="n"/>
      <c r="AH1063" s="102" t="n"/>
      <c r="AI1063" s="102" t="n"/>
      <c r="AJ1063" s="102" t="n"/>
      <c r="AK1063" s="102" t="n"/>
      <c r="AL1063" s="102" t="n"/>
      <c r="AM1063" s="102" t="n"/>
      <c r="AN1063" s="102" t="n"/>
      <c r="AO1063" s="102" t="n"/>
      <c r="AP1063" s="102" t="n"/>
      <c r="AQ1063" s="102" t="n"/>
      <c r="AR1063" s="102" t="n"/>
    </row>
    <row r="1064">
      <c r="D1064" s="160" t="n"/>
      <c r="E1064" s="160" t="n"/>
      <c r="F1064" s="160" t="n"/>
      <c r="G1064" s="160" t="n"/>
      <c r="H1064" s="160" t="n"/>
      <c r="I1064" s="160" t="n"/>
      <c r="J1064" s="160" t="n"/>
      <c r="K1064" s="160" t="n"/>
      <c r="L1064" s="160" t="n"/>
      <c r="M1064" s="160" t="n"/>
      <c r="N1064" s="160" t="n"/>
      <c r="O1064" s="160" t="n"/>
      <c r="P1064" s="160" t="n"/>
      <c r="Q1064" s="160" t="n"/>
      <c r="R1064" s="160" t="n"/>
      <c r="S1064" s="160" t="n"/>
      <c r="T1064" s="160" t="n"/>
      <c r="U1064" s="160" t="n"/>
      <c r="V1064" s="160" t="n"/>
      <c r="W1064" s="160" t="n"/>
      <c r="X1064" s="160" t="n"/>
      <c r="Y1064" s="160" t="n"/>
      <c r="Z1064" s="160" t="n"/>
      <c r="AA1064" s="160" t="n"/>
      <c r="AB1064" s="160" t="n"/>
      <c r="AC1064" s="160" t="n"/>
      <c r="AD1064" s="160" t="n"/>
      <c r="AE1064" s="160" t="n"/>
      <c r="AF1064" s="160" t="n"/>
      <c r="AG1064" s="160" t="n"/>
      <c r="AH1064" s="160" t="n"/>
      <c r="AI1064" s="160" t="n"/>
      <c r="AJ1064" s="160" t="n"/>
      <c r="AK1064" s="160" t="n"/>
      <c r="AL1064" s="160" t="n"/>
      <c r="AM1064" s="160" t="n"/>
      <c r="AN1064" s="160" t="n"/>
      <c r="AO1064" s="160" t="n"/>
      <c r="AP1064" s="160" t="n"/>
      <c r="AQ1064" s="160" t="n"/>
      <c r="AR1064" s="160" t="n"/>
    </row>
    <row r="1066">
      <c r="A1066" s="8">
        <f>IF(HSI!$C$103="","",HSI!$C$103)</f>
        <v/>
      </c>
      <c r="B1066" s="158">
        <f>IF($A1066="",0,COUNT($E1067:$AR1067))</f>
        <v/>
      </c>
      <c r="C1066" s="159">
        <f>IF($B1066=0,0,MAX($E1067:$AR1067))</f>
        <v/>
      </c>
      <c r="D1066" s="101">
        <f>BDS($A1066,FLD_HIST,"headers=y","startcol=1","endcol=7","dir=h","DVD_START_DT",HIST_FROM,"DVD_END_DT",HIST_TO)</f>
        <v/>
      </c>
      <c r="E1066" s="102" t="n"/>
      <c r="F1066" s="102" t="n"/>
      <c r="G1066" s="102" t="n"/>
      <c r="H1066" s="102" t="n"/>
      <c r="I1066" s="102" t="n"/>
      <c r="J1066" s="102" t="n"/>
      <c r="K1066" s="102" t="n"/>
      <c r="L1066" s="102" t="n"/>
      <c r="M1066" s="102" t="n"/>
      <c r="N1066" s="102" t="n"/>
      <c r="O1066" s="102" t="n"/>
      <c r="P1066" s="102" t="n"/>
      <c r="Q1066" s="102" t="n"/>
      <c r="R1066" s="102" t="n"/>
      <c r="S1066" s="102" t="n"/>
      <c r="T1066" s="102" t="n"/>
      <c r="U1066" s="102" t="n"/>
      <c r="V1066" s="102" t="n"/>
      <c r="W1066" s="102" t="n"/>
      <c r="X1066" s="102" t="n"/>
      <c r="Y1066" s="102" t="n"/>
      <c r="Z1066" s="102" t="n"/>
      <c r="AA1066" s="102" t="n"/>
      <c r="AB1066" s="102" t="n"/>
      <c r="AC1066" s="102" t="n"/>
      <c r="AD1066" s="102" t="n"/>
      <c r="AE1066" s="102" t="n"/>
      <c r="AF1066" s="102" t="n"/>
      <c r="AG1066" s="102" t="n"/>
      <c r="AH1066" s="102" t="n"/>
      <c r="AI1066" s="102" t="n"/>
      <c r="AJ1066" s="102" t="n"/>
      <c r="AK1066" s="102" t="n"/>
      <c r="AL1066" s="102" t="n"/>
      <c r="AM1066" s="102" t="n"/>
      <c r="AN1066" s="102" t="n"/>
      <c r="AO1066" s="102" t="n"/>
      <c r="AP1066" s="102" t="n"/>
      <c r="AQ1066" s="102" t="n"/>
      <c r="AR1066" s="102" t="n"/>
    </row>
    <row r="1067">
      <c r="D1067" s="102" t="n"/>
      <c r="E1067" s="102" t="n"/>
      <c r="F1067" s="102" t="n"/>
      <c r="G1067" s="102" t="n"/>
      <c r="H1067" s="102" t="n"/>
      <c r="I1067" s="102" t="n"/>
      <c r="J1067" s="102" t="n"/>
      <c r="K1067" s="102" t="n"/>
      <c r="L1067" s="102" t="n"/>
      <c r="M1067" s="102" t="n"/>
      <c r="N1067" s="102" t="n"/>
      <c r="O1067" s="102" t="n"/>
      <c r="P1067" s="102" t="n"/>
      <c r="Q1067" s="102" t="n"/>
      <c r="R1067" s="102" t="n"/>
      <c r="S1067" s="102" t="n"/>
      <c r="T1067" s="102" t="n"/>
      <c r="U1067" s="102" t="n"/>
      <c r="V1067" s="102" t="n"/>
      <c r="W1067" s="102" t="n"/>
      <c r="X1067" s="102" t="n"/>
      <c r="Y1067" s="102" t="n"/>
      <c r="Z1067" s="102" t="n"/>
      <c r="AA1067" s="102" t="n"/>
      <c r="AB1067" s="102" t="n"/>
      <c r="AC1067" s="102" t="n"/>
      <c r="AD1067" s="102" t="n"/>
      <c r="AE1067" s="102" t="n"/>
      <c r="AF1067" s="102" t="n"/>
      <c r="AG1067" s="102" t="n"/>
      <c r="AH1067" s="102" t="n"/>
      <c r="AI1067" s="102" t="n"/>
      <c r="AJ1067" s="102" t="n"/>
      <c r="AK1067" s="102" t="n"/>
      <c r="AL1067" s="102" t="n"/>
      <c r="AM1067" s="102" t="n"/>
      <c r="AN1067" s="102" t="n"/>
      <c r="AO1067" s="102" t="n"/>
      <c r="AP1067" s="102" t="n"/>
      <c r="AQ1067" s="102" t="n"/>
      <c r="AR1067" s="102" t="n"/>
    </row>
    <row r="1068">
      <c r="D1068" s="102" t="n"/>
      <c r="E1068" s="102" t="n"/>
      <c r="F1068" s="102" t="n"/>
      <c r="G1068" s="102" t="n"/>
      <c r="H1068" s="102" t="n"/>
      <c r="I1068" s="102" t="n"/>
      <c r="J1068" s="102" t="n"/>
      <c r="K1068" s="102" t="n"/>
      <c r="L1068" s="102" t="n"/>
      <c r="M1068" s="102" t="n"/>
      <c r="N1068" s="102" t="n"/>
      <c r="O1068" s="102" t="n"/>
      <c r="P1068" s="102" t="n"/>
      <c r="Q1068" s="102" t="n"/>
      <c r="R1068" s="102" t="n"/>
      <c r="S1068" s="102" t="n"/>
      <c r="T1068" s="102" t="n"/>
      <c r="U1068" s="102" t="n"/>
      <c r="V1068" s="102" t="n"/>
      <c r="W1068" s="102" t="n"/>
      <c r="X1068" s="102" t="n"/>
      <c r="Y1068" s="102" t="n"/>
      <c r="Z1068" s="102" t="n"/>
      <c r="AA1068" s="102" t="n"/>
      <c r="AB1068" s="102" t="n"/>
      <c r="AC1068" s="102" t="n"/>
      <c r="AD1068" s="102" t="n"/>
      <c r="AE1068" s="102" t="n"/>
      <c r="AF1068" s="102" t="n"/>
      <c r="AG1068" s="102" t="n"/>
      <c r="AH1068" s="102" t="n"/>
      <c r="AI1068" s="102" t="n"/>
      <c r="AJ1068" s="102" t="n"/>
      <c r="AK1068" s="102" t="n"/>
      <c r="AL1068" s="102" t="n"/>
      <c r="AM1068" s="102" t="n"/>
      <c r="AN1068" s="102" t="n"/>
      <c r="AO1068" s="102" t="n"/>
      <c r="AP1068" s="102" t="n"/>
      <c r="AQ1068" s="102" t="n"/>
      <c r="AR1068" s="102" t="n"/>
    </row>
    <row r="1069">
      <c r="D1069" s="102" t="n"/>
      <c r="E1069" s="102" t="n"/>
      <c r="F1069" s="102" t="n"/>
      <c r="G1069" s="102" t="n"/>
      <c r="H1069" s="102" t="n"/>
      <c r="I1069" s="102" t="n"/>
      <c r="J1069" s="102" t="n"/>
      <c r="K1069" s="102" t="n"/>
      <c r="L1069" s="102" t="n"/>
      <c r="M1069" s="102" t="n"/>
      <c r="N1069" s="102" t="n"/>
      <c r="O1069" s="102" t="n"/>
      <c r="P1069" s="102" t="n"/>
      <c r="Q1069" s="102" t="n"/>
      <c r="R1069" s="102" t="n"/>
      <c r="S1069" s="102" t="n"/>
      <c r="T1069" s="102" t="n"/>
      <c r="U1069" s="102" t="n"/>
      <c r="V1069" s="102" t="n"/>
      <c r="W1069" s="102" t="n"/>
      <c r="X1069" s="102" t="n"/>
      <c r="Y1069" s="102" t="n"/>
      <c r="Z1069" s="102" t="n"/>
      <c r="AA1069" s="102" t="n"/>
      <c r="AB1069" s="102" t="n"/>
      <c r="AC1069" s="102" t="n"/>
      <c r="AD1069" s="102" t="n"/>
      <c r="AE1069" s="102" t="n"/>
      <c r="AF1069" s="102" t="n"/>
      <c r="AG1069" s="102" t="n"/>
      <c r="AH1069" s="102" t="n"/>
      <c r="AI1069" s="102" t="n"/>
      <c r="AJ1069" s="102" t="n"/>
      <c r="AK1069" s="102" t="n"/>
      <c r="AL1069" s="102" t="n"/>
      <c r="AM1069" s="102" t="n"/>
      <c r="AN1069" s="102" t="n"/>
      <c r="AO1069" s="102" t="n"/>
      <c r="AP1069" s="102" t="n"/>
      <c r="AQ1069" s="102" t="n"/>
      <c r="AR1069" s="102" t="n"/>
    </row>
    <row r="1070">
      <c r="D1070" s="160" t="n"/>
      <c r="E1070" s="160" t="n"/>
      <c r="F1070" s="160" t="n"/>
      <c r="G1070" s="160" t="n"/>
      <c r="H1070" s="160" t="n"/>
      <c r="I1070" s="160" t="n"/>
      <c r="J1070" s="160" t="n"/>
      <c r="K1070" s="160" t="n"/>
      <c r="L1070" s="160" t="n"/>
      <c r="M1070" s="160" t="n"/>
      <c r="N1070" s="160" t="n"/>
      <c r="O1070" s="160" t="n"/>
      <c r="P1070" s="160" t="n"/>
      <c r="Q1070" s="160" t="n"/>
      <c r="R1070" s="160" t="n"/>
      <c r="S1070" s="160" t="n"/>
      <c r="T1070" s="160" t="n"/>
      <c r="U1070" s="160" t="n"/>
      <c r="V1070" s="160" t="n"/>
      <c r="W1070" s="160" t="n"/>
      <c r="X1070" s="160" t="n"/>
      <c r="Y1070" s="160" t="n"/>
      <c r="Z1070" s="160" t="n"/>
      <c r="AA1070" s="160" t="n"/>
      <c r="AB1070" s="160" t="n"/>
      <c r="AC1070" s="160" t="n"/>
      <c r="AD1070" s="160" t="n"/>
      <c r="AE1070" s="160" t="n"/>
      <c r="AF1070" s="160" t="n"/>
      <c r="AG1070" s="160" t="n"/>
      <c r="AH1070" s="160" t="n"/>
      <c r="AI1070" s="160" t="n"/>
      <c r="AJ1070" s="160" t="n"/>
      <c r="AK1070" s="160" t="n"/>
      <c r="AL1070" s="160" t="n"/>
      <c r="AM1070" s="160" t="n"/>
      <c r="AN1070" s="160" t="n"/>
      <c r="AO1070" s="160" t="n"/>
      <c r="AP1070" s="160" t="n"/>
      <c r="AQ1070" s="160" t="n"/>
      <c r="AR1070" s="160" t="n"/>
    </row>
    <row r="1073">
      <c r="A1073" s="2">
        <f>IF($A1066="","","   projections")</f>
        <v/>
      </c>
      <c r="B1073" s="158">
        <f>IF($A1066="",0,COUNT($E1074:$AR1074))</f>
        <v/>
      </c>
      <c r="C1073" s="159">
        <f>IF($B1073=0,0,MAX($E1074:$AR1074))</f>
        <v/>
      </c>
      <c r="D1073" s="101">
        <f>BDS($A1066,FLD_PROJ,"headers=y","startcol=1","endcol=3","dir=h")</f>
        <v/>
      </c>
      <c r="E1073" s="102" t="n"/>
      <c r="F1073" s="102" t="n"/>
      <c r="G1073" s="102" t="n"/>
      <c r="H1073" s="102" t="n"/>
      <c r="I1073" s="102" t="n"/>
      <c r="J1073" s="102" t="n"/>
      <c r="K1073" s="102" t="n"/>
      <c r="L1073" s="102" t="n"/>
      <c r="M1073" s="102" t="n"/>
      <c r="N1073" s="102" t="n"/>
      <c r="O1073" s="102" t="n"/>
      <c r="P1073" s="102" t="n"/>
      <c r="Q1073" s="102" t="n"/>
      <c r="R1073" s="102" t="n"/>
      <c r="S1073" s="102" t="n"/>
      <c r="T1073" s="102" t="n"/>
      <c r="U1073" s="102" t="n"/>
      <c r="V1073" s="102" t="n"/>
      <c r="W1073" s="102" t="n"/>
      <c r="X1073" s="102" t="n"/>
      <c r="Y1073" s="102" t="n"/>
      <c r="Z1073" s="102" t="n"/>
      <c r="AA1073" s="102" t="n"/>
      <c r="AB1073" s="102" t="n"/>
      <c r="AC1073" s="102" t="n"/>
      <c r="AD1073" s="102" t="n"/>
      <c r="AE1073" s="102" t="n"/>
      <c r="AF1073" s="102" t="n"/>
      <c r="AG1073" s="102" t="n"/>
      <c r="AH1073" s="102" t="n"/>
      <c r="AI1073" s="102" t="n"/>
      <c r="AJ1073" s="102" t="n"/>
      <c r="AK1073" s="102" t="n"/>
      <c r="AL1073" s="102" t="n"/>
      <c r="AM1073" s="102" t="n"/>
      <c r="AN1073" s="102" t="n"/>
      <c r="AO1073" s="102" t="n"/>
      <c r="AP1073" s="102" t="n"/>
      <c r="AQ1073" s="102" t="n"/>
      <c r="AR1073" s="102" t="n"/>
    </row>
    <row r="1074">
      <c r="D1074" s="102" t="n"/>
      <c r="E1074" s="102" t="n"/>
      <c r="F1074" s="102" t="n"/>
      <c r="G1074" s="102" t="n"/>
      <c r="H1074" s="102" t="n"/>
      <c r="I1074" s="102" t="n"/>
      <c r="J1074" s="102" t="n"/>
      <c r="K1074" s="102" t="n"/>
      <c r="L1074" s="102" t="n"/>
      <c r="M1074" s="102" t="n"/>
      <c r="N1074" s="102" t="n"/>
      <c r="O1074" s="102" t="n"/>
      <c r="P1074" s="102" t="n"/>
      <c r="Q1074" s="102" t="n"/>
      <c r="R1074" s="102" t="n"/>
      <c r="S1074" s="102" t="n"/>
      <c r="T1074" s="102" t="n"/>
      <c r="U1074" s="102" t="n"/>
      <c r="V1074" s="102" t="n"/>
      <c r="W1074" s="102" t="n"/>
      <c r="X1074" s="102" t="n"/>
      <c r="Y1074" s="102" t="n"/>
      <c r="Z1074" s="102" t="n"/>
      <c r="AA1074" s="102" t="n"/>
      <c r="AB1074" s="102" t="n"/>
      <c r="AC1074" s="102" t="n"/>
      <c r="AD1074" s="102" t="n"/>
      <c r="AE1074" s="102" t="n"/>
      <c r="AF1074" s="102" t="n"/>
      <c r="AG1074" s="102" t="n"/>
      <c r="AH1074" s="102" t="n"/>
      <c r="AI1074" s="102" t="n"/>
      <c r="AJ1074" s="102" t="n"/>
      <c r="AK1074" s="102" t="n"/>
      <c r="AL1074" s="102" t="n"/>
      <c r="AM1074" s="102" t="n"/>
      <c r="AN1074" s="102" t="n"/>
      <c r="AO1074" s="102" t="n"/>
      <c r="AP1074" s="102" t="n"/>
      <c r="AQ1074" s="102" t="n"/>
      <c r="AR1074" s="102" t="n"/>
    </row>
    <row r="1075">
      <c r="D1075" s="160" t="n"/>
      <c r="E1075" s="160" t="n"/>
      <c r="F1075" s="160" t="n"/>
      <c r="G1075" s="160" t="n"/>
      <c r="H1075" s="160" t="n"/>
      <c r="I1075" s="160" t="n"/>
      <c r="J1075" s="160" t="n"/>
      <c r="K1075" s="160" t="n"/>
      <c r="L1075" s="160" t="n"/>
      <c r="M1075" s="160" t="n"/>
      <c r="N1075" s="160" t="n"/>
      <c r="O1075" s="160" t="n"/>
      <c r="P1075" s="160" t="n"/>
      <c r="Q1075" s="160" t="n"/>
      <c r="R1075" s="160" t="n"/>
      <c r="S1075" s="160" t="n"/>
      <c r="T1075" s="160" t="n"/>
      <c r="U1075" s="160" t="n"/>
      <c r="V1075" s="160" t="n"/>
      <c r="W1075" s="160" t="n"/>
      <c r="X1075" s="160" t="n"/>
      <c r="Y1075" s="160" t="n"/>
      <c r="Z1075" s="160" t="n"/>
      <c r="AA1075" s="160" t="n"/>
      <c r="AB1075" s="160" t="n"/>
      <c r="AC1075" s="160" t="n"/>
      <c r="AD1075" s="160" t="n"/>
      <c r="AE1075" s="160" t="n"/>
      <c r="AF1075" s="160" t="n"/>
      <c r="AG1075" s="160" t="n"/>
      <c r="AH1075" s="160" t="n"/>
      <c r="AI1075" s="160" t="n"/>
      <c r="AJ1075" s="160" t="n"/>
      <c r="AK1075" s="160" t="n"/>
      <c r="AL1075" s="160" t="n"/>
      <c r="AM1075" s="160" t="n"/>
      <c r="AN1075" s="160" t="n"/>
      <c r="AO1075" s="160" t="n"/>
      <c r="AP1075" s="160" t="n"/>
      <c r="AQ1075" s="160" t="n"/>
      <c r="AR1075" s="160" t="n"/>
    </row>
    <row r="1077">
      <c r="A1077" s="8">
        <f>IF(HSI!$C$104="","",HSI!$C$104)</f>
        <v/>
      </c>
      <c r="B1077" s="158">
        <f>IF($A1077="",0,COUNT($E1078:$AR1078))</f>
        <v/>
      </c>
      <c r="C1077" s="159">
        <f>IF($B1077=0,0,MAX($E1078:$AR1078))</f>
        <v/>
      </c>
      <c r="D1077" s="101">
        <f>BDS($A1077,FLD_HIST,"headers=y","startcol=1","endcol=7","dir=h","DVD_START_DT",HIST_FROM,"DVD_END_DT",HIST_TO)</f>
        <v/>
      </c>
      <c r="E1077" s="102" t="n"/>
      <c r="F1077" s="102" t="n"/>
      <c r="G1077" s="102" t="n"/>
      <c r="H1077" s="102" t="n"/>
      <c r="I1077" s="102" t="n"/>
      <c r="J1077" s="102" t="n"/>
      <c r="K1077" s="102" t="n"/>
      <c r="L1077" s="102" t="n"/>
      <c r="M1077" s="102" t="n"/>
      <c r="N1077" s="102" t="n"/>
      <c r="O1077" s="102" t="n"/>
      <c r="P1077" s="102" t="n"/>
      <c r="Q1077" s="102" t="n"/>
      <c r="R1077" s="102" t="n"/>
      <c r="S1077" s="102" t="n"/>
      <c r="T1077" s="102" t="n"/>
      <c r="U1077" s="102" t="n"/>
      <c r="V1077" s="102" t="n"/>
      <c r="W1077" s="102" t="n"/>
      <c r="X1077" s="102" t="n"/>
      <c r="Y1077" s="102" t="n"/>
      <c r="Z1077" s="102" t="n"/>
      <c r="AA1077" s="102" t="n"/>
      <c r="AB1077" s="102" t="n"/>
      <c r="AC1077" s="102" t="n"/>
      <c r="AD1077" s="102" t="n"/>
      <c r="AE1077" s="102" t="n"/>
      <c r="AF1077" s="102" t="n"/>
      <c r="AG1077" s="102" t="n"/>
      <c r="AH1077" s="102" t="n"/>
      <c r="AI1077" s="102" t="n"/>
      <c r="AJ1077" s="102" t="n"/>
      <c r="AK1077" s="102" t="n"/>
      <c r="AL1077" s="102" t="n"/>
      <c r="AM1077" s="102" t="n"/>
      <c r="AN1077" s="102" t="n"/>
      <c r="AO1077" s="102" t="n"/>
      <c r="AP1077" s="102" t="n"/>
      <c r="AQ1077" s="102" t="n"/>
      <c r="AR1077" s="102" t="n"/>
    </row>
    <row r="1078">
      <c r="D1078" s="102" t="n"/>
      <c r="E1078" s="102" t="n"/>
      <c r="F1078" s="102" t="n"/>
      <c r="G1078" s="102" t="n"/>
      <c r="H1078" s="102" t="n"/>
      <c r="I1078" s="102" t="n"/>
      <c r="J1078" s="102" t="n"/>
      <c r="K1078" s="102" t="n"/>
      <c r="L1078" s="102" t="n"/>
      <c r="M1078" s="102" t="n"/>
      <c r="N1078" s="102" t="n"/>
      <c r="O1078" s="102" t="n"/>
      <c r="P1078" s="102" t="n"/>
      <c r="Q1078" s="102" t="n"/>
      <c r="R1078" s="102" t="n"/>
      <c r="S1078" s="102" t="n"/>
      <c r="T1078" s="102" t="n"/>
      <c r="U1078" s="102" t="n"/>
      <c r="V1078" s="102" t="n"/>
      <c r="W1078" s="102" t="n"/>
      <c r="X1078" s="102" t="n"/>
      <c r="Y1078" s="102" t="n"/>
      <c r="Z1078" s="102" t="n"/>
      <c r="AA1078" s="102" t="n"/>
      <c r="AB1078" s="102" t="n"/>
      <c r="AC1078" s="102" t="n"/>
      <c r="AD1078" s="102" t="n"/>
      <c r="AE1078" s="102" t="n"/>
      <c r="AF1078" s="102" t="n"/>
      <c r="AG1078" s="102" t="n"/>
      <c r="AH1078" s="102" t="n"/>
      <c r="AI1078" s="102" t="n"/>
      <c r="AJ1078" s="102" t="n"/>
      <c r="AK1078" s="102" t="n"/>
      <c r="AL1078" s="102" t="n"/>
      <c r="AM1078" s="102" t="n"/>
      <c r="AN1078" s="102" t="n"/>
      <c r="AO1078" s="102" t="n"/>
      <c r="AP1078" s="102" t="n"/>
      <c r="AQ1078" s="102" t="n"/>
      <c r="AR1078" s="102" t="n"/>
    </row>
    <row r="1079">
      <c r="D1079" s="102" t="n"/>
      <c r="E1079" s="102" t="n"/>
      <c r="F1079" s="102" t="n"/>
      <c r="G1079" s="102" t="n"/>
      <c r="H1079" s="102" t="n"/>
      <c r="I1079" s="102" t="n"/>
      <c r="J1079" s="102" t="n"/>
      <c r="K1079" s="102" t="n"/>
      <c r="L1079" s="102" t="n"/>
      <c r="M1079" s="102" t="n"/>
      <c r="N1079" s="102" t="n"/>
      <c r="O1079" s="102" t="n"/>
      <c r="P1079" s="102" t="n"/>
      <c r="Q1079" s="102" t="n"/>
      <c r="R1079" s="102" t="n"/>
      <c r="S1079" s="102" t="n"/>
      <c r="T1079" s="102" t="n"/>
      <c r="U1079" s="102" t="n"/>
      <c r="V1079" s="102" t="n"/>
      <c r="W1079" s="102" t="n"/>
      <c r="X1079" s="102" t="n"/>
      <c r="Y1079" s="102" t="n"/>
      <c r="Z1079" s="102" t="n"/>
      <c r="AA1079" s="102" t="n"/>
      <c r="AB1079" s="102" t="n"/>
      <c r="AC1079" s="102" t="n"/>
      <c r="AD1079" s="102" t="n"/>
      <c r="AE1079" s="102" t="n"/>
      <c r="AF1079" s="102" t="n"/>
      <c r="AG1079" s="102" t="n"/>
      <c r="AH1079" s="102" t="n"/>
      <c r="AI1079" s="102" t="n"/>
      <c r="AJ1079" s="102" t="n"/>
      <c r="AK1079" s="102" t="n"/>
      <c r="AL1079" s="102" t="n"/>
      <c r="AM1079" s="102" t="n"/>
      <c r="AN1079" s="102" t="n"/>
      <c r="AO1079" s="102" t="n"/>
      <c r="AP1079" s="102" t="n"/>
      <c r="AQ1079" s="102" t="n"/>
      <c r="AR1079" s="102" t="n"/>
    </row>
    <row r="1080">
      <c r="D1080" s="102" t="n"/>
      <c r="E1080" s="102" t="n"/>
      <c r="F1080" s="102" t="n"/>
      <c r="G1080" s="102" t="n"/>
      <c r="H1080" s="102" t="n"/>
      <c r="I1080" s="102" t="n"/>
      <c r="J1080" s="102" t="n"/>
      <c r="K1080" s="102" t="n"/>
      <c r="L1080" s="102" t="n"/>
      <c r="M1080" s="102" t="n"/>
      <c r="N1080" s="102" t="n"/>
      <c r="O1080" s="102" t="n"/>
      <c r="P1080" s="102" t="n"/>
      <c r="Q1080" s="102" t="n"/>
      <c r="R1080" s="102" t="n"/>
      <c r="S1080" s="102" t="n"/>
      <c r="T1080" s="102" t="n"/>
      <c r="U1080" s="102" t="n"/>
      <c r="V1080" s="102" t="n"/>
      <c r="W1080" s="102" t="n"/>
      <c r="X1080" s="102" t="n"/>
      <c r="Y1080" s="102" t="n"/>
      <c r="Z1080" s="102" t="n"/>
      <c r="AA1080" s="102" t="n"/>
      <c r="AB1080" s="102" t="n"/>
      <c r="AC1080" s="102" t="n"/>
      <c r="AD1080" s="102" t="n"/>
      <c r="AE1080" s="102" t="n"/>
      <c r="AF1080" s="102" t="n"/>
      <c r="AG1080" s="102" t="n"/>
      <c r="AH1080" s="102" t="n"/>
      <c r="AI1080" s="102" t="n"/>
      <c r="AJ1080" s="102" t="n"/>
      <c r="AK1080" s="102" t="n"/>
      <c r="AL1080" s="102" t="n"/>
      <c r="AM1080" s="102" t="n"/>
      <c r="AN1080" s="102" t="n"/>
      <c r="AO1080" s="102" t="n"/>
      <c r="AP1080" s="102" t="n"/>
      <c r="AQ1080" s="102" t="n"/>
      <c r="AR1080" s="102" t="n"/>
    </row>
    <row r="1081">
      <c r="D1081" s="160" t="n"/>
      <c r="E1081" s="160" t="n"/>
      <c r="F1081" s="160" t="n"/>
      <c r="G1081" s="160" t="n"/>
      <c r="H1081" s="160" t="n"/>
      <c r="I1081" s="160" t="n"/>
      <c r="J1081" s="160" t="n"/>
      <c r="K1081" s="160" t="n"/>
      <c r="L1081" s="160" t="n"/>
      <c r="M1081" s="160" t="n"/>
      <c r="N1081" s="160" t="n"/>
      <c r="O1081" s="160" t="n"/>
      <c r="P1081" s="160" t="n"/>
      <c r="Q1081" s="160" t="n"/>
      <c r="R1081" s="160" t="n"/>
      <c r="S1081" s="160" t="n"/>
      <c r="T1081" s="160" t="n"/>
      <c r="U1081" s="160" t="n"/>
      <c r="V1081" s="160" t="n"/>
      <c r="W1081" s="160" t="n"/>
      <c r="X1081" s="160" t="n"/>
      <c r="Y1081" s="160" t="n"/>
      <c r="Z1081" s="160" t="n"/>
      <c r="AA1081" s="160" t="n"/>
      <c r="AB1081" s="160" t="n"/>
      <c r="AC1081" s="160" t="n"/>
      <c r="AD1081" s="160" t="n"/>
      <c r="AE1081" s="160" t="n"/>
      <c r="AF1081" s="160" t="n"/>
      <c r="AG1081" s="160" t="n"/>
      <c r="AH1081" s="160" t="n"/>
      <c r="AI1081" s="160" t="n"/>
      <c r="AJ1081" s="160" t="n"/>
      <c r="AK1081" s="160" t="n"/>
      <c r="AL1081" s="160" t="n"/>
      <c r="AM1081" s="160" t="n"/>
      <c r="AN1081" s="160" t="n"/>
      <c r="AO1081" s="160" t="n"/>
      <c r="AP1081" s="160" t="n"/>
      <c r="AQ1081" s="160" t="n"/>
      <c r="AR1081" s="160" t="n"/>
    </row>
    <row r="1084">
      <c r="A1084" s="2">
        <f>IF($A1077="","","   projections")</f>
        <v/>
      </c>
      <c r="B1084" s="158">
        <f>IF($A1077="",0,COUNT($E1085:$AR1085))</f>
        <v/>
      </c>
      <c r="C1084" s="159">
        <f>IF($B1084=0,0,MAX($E1085:$AR1085))</f>
        <v/>
      </c>
      <c r="D1084" s="101">
        <f>BDS($A1077,FLD_PROJ,"headers=y","startcol=1","endcol=3","dir=h")</f>
        <v/>
      </c>
      <c r="E1084" s="102" t="n"/>
      <c r="F1084" s="102" t="n"/>
      <c r="G1084" s="102" t="n"/>
      <c r="H1084" s="102" t="n"/>
      <c r="I1084" s="102" t="n"/>
      <c r="J1084" s="102" t="n"/>
      <c r="K1084" s="102" t="n"/>
      <c r="L1084" s="102" t="n"/>
      <c r="M1084" s="102" t="n"/>
      <c r="N1084" s="102" t="n"/>
      <c r="O1084" s="102" t="n"/>
      <c r="P1084" s="102" t="n"/>
      <c r="Q1084" s="102" t="n"/>
      <c r="R1084" s="102" t="n"/>
      <c r="S1084" s="102" t="n"/>
      <c r="T1084" s="102" t="n"/>
      <c r="U1084" s="102" t="n"/>
      <c r="V1084" s="102" t="n"/>
      <c r="W1084" s="102" t="n"/>
      <c r="X1084" s="102" t="n"/>
      <c r="Y1084" s="102" t="n"/>
      <c r="Z1084" s="102" t="n"/>
      <c r="AA1084" s="102" t="n"/>
      <c r="AB1084" s="102" t="n"/>
      <c r="AC1084" s="102" t="n"/>
      <c r="AD1084" s="102" t="n"/>
      <c r="AE1084" s="102" t="n"/>
      <c r="AF1084" s="102" t="n"/>
      <c r="AG1084" s="102" t="n"/>
      <c r="AH1084" s="102" t="n"/>
      <c r="AI1084" s="102" t="n"/>
      <c r="AJ1084" s="102" t="n"/>
      <c r="AK1084" s="102" t="n"/>
      <c r="AL1084" s="102" t="n"/>
      <c r="AM1084" s="102" t="n"/>
      <c r="AN1084" s="102" t="n"/>
      <c r="AO1084" s="102" t="n"/>
      <c r="AP1084" s="102" t="n"/>
      <c r="AQ1084" s="102" t="n"/>
      <c r="AR1084" s="102" t="n"/>
    </row>
    <row r="1085">
      <c r="D1085" s="102" t="n"/>
      <c r="E1085" s="102" t="n"/>
      <c r="F1085" s="102" t="n"/>
      <c r="G1085" s="102" t="n"/>
      <c r="H1085" s="102" t="n"/>
      <c r="I1085" s="102" t="n"/>
      <c r="J1085" s="102" t="n"/>
      <c r="K1085" s="102" t="n"/>
      <c r="L1085" s="102" t="n"/>
      <c r="M1085" s="102" t="n"/>
      <c r="N1085" s="102" t="n"/>
      <c r="O1085" s="102" t="n"/>
      <c r="P1085" s="102" t="n"/>
      <c r="Q1085" s="102" t="n"/>
      <c r="R1085" s="102" t="n"/>
      <c r="S1085" s="102" t="n"/>
      <c r="T1085" s="102" t="n"/>
      <c r="U1085" s="102" t="n"/>
      <c r="V1085" s="102" t="n"/>
      <c r="W1085" s="102" t="n"/>
      <c r="X1085" s="102" t="n"/>
      <c r="Y1085" s="102" t="n"/>
      <c r="Z1085" s="102" t="n"/>
      <c r="AA1085" s="102" t="n"/>
      <c r="AB1085" s="102" t="n"/>
      <c r="AC1085" s="102" t="n"/>
      <c r="AD1085" s="102" t="n"/>
      <c r="AE1085" s="102" t="n"/>
      <c r="AF1085" s="102" t="n"/>
      <c r="AG1085" s="102" t="n"/>
      <c r="AH1085" s="102" t="n"/>
      <c r="AI1085" s="102" t="n"/>
      <c r="AJ1085" s="102" t="n"/>
      <c r="AK1085" s="102" t="n"/>
      <c r="AL1085" s="102" t="n"/>
      <c r="AM1085" s="102" t="n"/>
      <c r="AN1085" s="102" t="n"/>
      <c r="AO1085" s="102" t="n"/>
      <c r="AP1085" s="102" t="n"/>
      <c r="AQ1085" s="102" t="n"/>
      <c r="AR1085" s="102" t="n"/>
    </row>
    <row r="1086">
      <c r="D1086" s="160" t="n"/>
      <c r="E1086" s="160" t="n"/>
      <c r="F1086" s="160" t="n"/>
      <c r="G1086" s="160" t="n"/>
      <c r="H1086" s="160" t="n"/>
      <c r="I1086" s="160" t="n"/>
      <c r="J1086" s="160" t="n"/>
      <c r="K1086" s="160" t="n"/>
      <c r="L1086" s="160" t="n"/>
      <c r="M1086" s="160" t="n"/>
      <c r="N1086" s="160" t="n"/>
      <c r="O1086" s="160" t="n"/>
      <c r="P1086" s="160" t="n"/>
      <c r="Q1086" s="160" t="n"/>
      <c r="R1086" s="160" t="n"/>
      <c r="S1086" s="160" t="n"/>
      <c r="T1086" s="160" t="n"/>
      <c r="U1086" s="160" t="n"/>
      <c r="V1086" s="160" t="n"/>
      <c r="W1086" s="160" t="n"/>
      <c r="X1086" s="160" t="n"/>
      <c r="Y1086" s="160" t="n"/>
      <c r="Z1086" s="160" t="n"/>
      <c r="AA1086" s="160" t="n"/>
      <c r="AB1086" s="160" t="n"/>
      <c r="AC1086" s="160" t="n"/>
      <c r="AD1086" s="160" t="n"/>
      <c r="AE1086" s="160" t="n"/>
      <c r="AF1086" s="160" t="n"/>
      <c r="AG1086" s="160" t="n"/>
      <c r="AH1086" s="160" t="n"/>
      <c r="AI1086" s="160" t="n"/>
      <c r="AJ1086" s="160" t="n"/>
      <c r="AK1086" s="160" t="n"/>
      <c r="AL1086" s="160" t="n"/>
      <c r="AM1086" s="160" t="n"/>
      <c r="AN1086" s="160" t="n"/>
      <c r="AO1086" s="160" t="n"/>
      <c r="AP1086" s="160" t="n"/>
      <c r="AQ1086" s="160" t="n"/>
      <c r="AR1086" s="160" t="n"/>
    </row>
    <row r="1088">
      <c r="A1088" s="8">
        <f>IF(HSI!$C$105="","",HSI!$C$105)</f>
        <v/>
      </c>
      <c r="B1088" s="158">
        <f>IF($A1088="",0,COUNT($E1089:$AR1089))</f>
        <v/>
      </c>
      <c r="C1088" s="159">
        <f>IF($B1088=0,0,MAX($E1089:$AR1089))</f>
        <v/>
      </c>
      <c r="D1088" s="101">
        <f>BDS($A1088,FLD_HIST,"headers=y","startcol=1","endcol=7","dir=h","DVD_START_DT",HIST_FROM,"DVD_END_DT",HIST_TO)</f>
        <v/>
      </c>
      <c r="E1088" s="102" t="n"/>
      <c r="F1088" s="102" t="n"/>
      <c r="G1088" s="102" t="n"/>
      <c r="H1088" s="102" t="n"/>
      <c r="I1088" s="102" t="n"/>
      <c r="J1088" s="102" t="n"/>
      <c r="K1088" s="102" t="n"/>
      <c r="L1088" s="102" t="n"/>
      <c r="M1088" s="102" t="n"/>
      <c r="N1088" s="102" t="n"/>
      <c r="O1088" s="102" t="n"/>
      <c r="P1088" s="102" t="n"/>
      <c r="Q1088" s="102" t="n"/>
      <c r="R1088" s="102" t="n"/>
      <c r="S1088" s="102" t="n"/>
      <c r="T1088" s="102" t="n"/>
      <c r="U1088" s="102" t="n"/>
      <c r="V1088" s="102" t="n"/>
      <c r="W1088" s="102" t="n"/>
      <c r="X1088" s="102" t="n"/>
      <c r="Y1088" s="102" t="n"/>
      <c r="Z1088" s="102" t="n"/>
      <c r="AA1088" s="102" t="n"/>
      <c r="AB1088" s="102" t="n"/>
      <c r="AC1088" s="102" t="n"/>
      <c r="AD1088" s="102" t="n"/>
      <c r="AE1088" s="102" t="n"/>
      <c r="AF1088" s="102" t="n"/>
      <c r="AG1088" s="102" t="n"/>
      <c r="AH1088" s="102" t="n"/>
      <c r="AI1088" s="102" t="n"/>
      <c r="AJ1088" s="102" t="n"/>
      <c r="AK1088" s="102" t="n"/>
      <c r="AL1088" s="102" t="n"/>
      <c r="AM1088" s="102" t="n"/>
      <c r="AN1088" s="102" t="n"/>
      <c r="AO1088" s="102" t="n"/>
      <c r="AP1088" s="102" t="n"/>
      <c r="AQ1088" s="102" t="n"/>
      <c r="AR1088" s="102" t="n"/>
    </row>
    <row r="1089">
      <c r="D1089" s="102" t="n"/>
      <c r="E1089" s="102" t="n"/>
      <c r="F1089" s="102" t="n"/>
      <c r="G1089" s="102" t="n"/>
      <c r="H1089" s="102" t="n"/>
      <c r="I1089" s="102" t="n"/>
      <c r="J1089" s="102" t="n"/>
      <c r="K1089" s="102" t="n"/>
      <c r="L1089" s="102" t="n"/>
      <c r="M1089" s="102" t="n"/>
      <c r="N1089" s="102" t="n"/>
      <c r="O1089" s="102" t="n"/>
      <c r="P1089" s="102" t="n"/>
      <c r="Q1089" s="102" t="n"/>
      <c r="R1089" s="102" t="n"/>
      <c r="S1089" s="102" t="n"/>
      <c r="T1089" s="102" t="n"/>
      <c r="U1089" s="102" t="n"/>
      <c r="V1089" s="102" t="n"/>
      <c r="W1089" s="102" t="n"/>
      <c r="X1089" s="102" t="n"/>
      <c r="Y1089" s="102" t="n"/>
      <c r="Z1089" s="102" t="n"/>
      <c r="AA1089" s="102" t="n"/>
      <c r="AB1089" s="102" t="n"/>
      <c r="AC1089" s="102" t="n"/>
      <c r="AD1089" s="102" t="n"/>
      <c r="AE1089" s="102" t="n"/>
      <c r="AF1089" s="102" t="n"/>
      <c r="AG1089" s="102" t="n"/>
      <c r="AH1089" s="102" t="n"/>
      <c r="AI1089" s="102" t="n"/>
      <c r="AJ1089" s="102" t="n"/>
      <c r="AK1089" s="102" t="n"/>
      <c r="AL1089" s="102" t="n"/>
      <c r="AM1089" s="102" t="n"/>
      <c r="AN1089" s="102" t="n"/>
      <c r="AO1089" s="102" t="n"/>
      <c r="AP1089" s="102" t="n"/>
      <c r="AQ1089" s="102" t="n"/>
      <c r="AR1089" s="102" t="n"/>
    </row>
    <row r="1090">
      <c r="D1090" s="102" t="n"/>
      <c r="E1090" s="102" t="n"/>
      <c r="F1090" s="102" t="n"/>
      <c r="G1090" s="102" t="n"/>
      <c r="H1090" s="102" t="n"/>
      <c r="I1090" s="102" t="n"/>
      <c r="J1090" s="102" t="n"/>
      <c r="K1090" s="102" t="n"/>
      <c r="L1090" s="102" t="n"/>
      <c r="M1090" s="102" t="n"/>
      <c r="N1090" s="102" t="n"/>
      <c r="O1090" s="102" t="n"/>
      <c r="P1090" s="102" t="n"/>
      <c r="Q1090" s="102" t="n"/>
      <c r="R1090" s="102" t="n"/>
      <c r="S1090" s="102" t="n"/>
      <c r="T1090" s="102" t="n"/>
      <c r="U1090" s="102" t="n"/>
      <c r="V1090" s="102" t="n"/>
      <c r="W1090" s="102" t="n"/>
      <c r="X1090" s="102" t="n"/>
      <c r="Y1090" s="102" t="n"/>
      <c r="Z1090" s="102" t="n"/>
      <c r="AA1090" s="102" t="n"/>
      <c r="AB1090" s="102" t="n"/>
      <c r="AC1090" s="102" t="n"/>
      <c r="AD1090" s="102" t="n"/>
      <c r="AE1090" s="102" t="n"/>
      <c r="AF1090" s="102" t="n"/>
      <c r="AG1090" s="102" t="n"/>
      <c r="AH1090" s="102" t="n"/>
      <c r="AI1090" s="102" t="n"/>
      <c r="AJ1090" s="102" t="n"/>
      <c r="AK1090" s="102" t="n"/>
      <c r="AL1090" s="102" t="n"/>
      <c r="AM1090" s="102" t="n"/>
      <c r="AN1090" s="102" t="n"/>
      <c r="AO1090" s="102" t="n"/>
      <c r="AP1090" s="102" t="n"/>
      <c r="AQ1090" s="102" t="n"/>
      <c r="AR1090" s="102" t="n"/>
    </row>
    <row r="1091">
      <c r="D1091" s="102" t="n"/>
      <c r="E1091" s="102" t="n"/>
      <c r="F1091" s="102" t="n"/>
      <c r="G1091" s="102" t="n"/>
      <c r="H1091" s="102" t="n"/>
      <c r="I1091" s="102" t="n"/>
      <c r="J1091" s="102" t="n"/>
      <c r="K1091" s="102" t="n"/>
      <c r="L1091" s="102" t="n"/>
      <c r="M1091" s="102" t="n"/>
      <c r="N1091" s="102" t="n"/>
      <c r="O1091" s="102" t="n"/>
      <c r="P1091" s="102" t="n"/>
      <c r="Q1091" s="102" t="n"/>
      <c r="R1091" s="102" t="n"/>
      <c r="S1091" s="102" t="n"/>
      <c r="T1091" s="102" t="n"/>
      <c r="U1091" s="102" t="n"/>
      <c r="V1091" s="102" t="n"/>
      <c r="W1091" s="102" t="n"/>
      <c r="X1091" s="102" t="n"/>
      <c r="Y1091" s="102" t="n"/>
      <c r="Z1091" s="102" t="n"/>
      <c r="AA1091" s="102" t="n"/>
      <c r="AB1091" s="102" t="n"/>
      <c r="AC1091" s="102" t="n"/>
      <c r="AD1091" s="102" t="n"/>
      <c r="AE1091" s="102" t="n"/>
      <c r="AF1091" s="102" t="n"/>
      <c r="AG1091" s="102" t="n"/>
      <c r="AH1091" s="102" t="n"/>
      <c r="AI1091" s="102" t="n"/>
      <c r="AJ1091" s="102" t="n"/>
      <c r="AK1091" s="102" t="n"/>
      <c r="AL1091" s="102" t="n"/>
      <c r="AM1091" s="102" t="n"/>
      <c r="AN1091" s="102" t="n"/>
      <c r="AO1091" s="102" t="n"/>
      <c r="AP1091" s="102" t="n"/>
      <c r="AQ1091" s="102" t="n"/>
      <c r="AR1091" s="102" t="n"/>
    </row>
    <row r="1092">
      <c r="D1092" s="160" t="n"/>
      <c r="E1092" s="160" t="n"/>
      <c r="F1092" s="160" t="n"/>
      <c r="G1092" s="160" t="n"/>
      <c r="H1092" s="160" t="n"/>
      <c r="I1092" s="160" t="n"/>
      <c r="J1092" s="160" t="n"/>
      <c r="K1092" s="160" t="n"/>
      <c r="L1092" s="160" t="n"/>
      <c r="M1092" s="160" t="n"/>
      <c r="N1092" s="160" t="n"/>
      <c r="O1092" s="160" t="n"/>
      <c r="P1092" s="160" t="n"/>
      <c r="Q1092" s="160" t="n"/>
      <c r="R1092" s="160" t="n"/>
      <c r="S1092" s="160" t="n"/>
      <c r="T1092" s="160" t="n"/>
      <c r="U1092" s="160" t="n"/>
      <c r="V1092" s="160" t="n"/>
      <c r="W1092" s="160" t="n"/>
      <c r="X1092" s="160" t="n"/>
      <c r="Y1092" s="160" t="n"/>
      <c r="Z1092" s="160" t="n"/>
      <c r="AA1092" s="160" t="n"/>
      <c r="AB1092" s="160" t="n"/>
      <c r="AC1092" s="160" t="n"/>
      <c r="AD1092" s="160" t="n"/>
      <c r="AE1092" s="160" t="n"/>
      <c r="AF1092" s="160" t="n"/>
      <c r="AG1092" s="160" t="n"/>
      <c r="AH1092" s="160" t="n"/>
      <c r="AI1092" s="160" t="n"/>
      <c r="AJ1092" s="160" t="n"/>
      <c r="AK1092" s="160" t="n"/>
      <c r="AL1092" s="160" t="n"/>
      <c r="AM1092" s="160" t="n"/>
      <c r="AN1092" s="160" t="n"/>
      <c r="AO1092" s="160" t="n"/>
      <c r="AP1092" s="160" t="n"/>
      <c r="AQ1092" s="160" t="n"/>
      <c r="AR1092" s="160" t="n"/>
    </row>
    <row r="1095">
      <c r="A1095" s="2">
        <f>IF($A1088="","","   projections")</f>
        <v/>
      </c>
      <c r="B1095" s="158">
        <f>IF($A1088="",0,COUNT($E1096:$AR1096))</f>
        <v/>
      </c>
      <c r="C1095" s="159">
        <f>IF($B1095=0,0,MAX($E1096:$AR1096))</f>
        <v/>
      </c>
      <c r="D1095" s="101">
        <f>BDS($A1088,FLD_PROJ,"headers=y","startcol=1","endcol=3","dir=h")</f>
        <v/>
      </c>
      <c r="E1095" s="102" t="n"/>
      <c r="F1095" s="102" t="n"/>
      <c r="G1095" s="102" t="n"/>
      <c r="H1095" s="102" t="n"/>
      <c r="I1095" s="102" t="n"/>
      <c r="J1095" s="102" t="n"/>
      <c r="K1095" s="102" t="n"/>
      <c r="L1095" s="102" t="n"/>
      <c r="M1095" s="102" t="n"/>
      <c r="N1095" s="102" t="n"/>
      <c r="O1095" s="102" t="n"/>
      <c r="P1095" s="102" t="n"/>
      <c r="Q1095" s="102" t="n"/>
      <c r="R1095" s="102" t="n"/>
      <c r="S1095" s="102" t="n"/>
      <c r="T1095" s="102" t="n"/>
      <c r="U1095" s="102" t="n"/>
      <c r="V1095" s="102" t="n"/>
      <c r="W1095" s="102" t="n"/>
      <c r="X1095" s="102" t="n"/>
      <c r="Y1095" s="102" t="n"/>
      <c r="Z1095" s="102" t="n"/>
      <c r="AA1095" s="102" t="n"/>
      <c r="AB1095" s="102" t="n"/>
      <c r="AC1095" s="102" t="n"/>
      <c r="AD1095" s="102" t="n"/>
      <c r="AE1095" s="102" t="n"/>
      <c r="AF1095" s="102" t="n"/>
      <c r="AG1095" s="102" t="n"/>
      <c r="AH1095" s="102" t="n"/>
      <c r="AI1095" s="102" t="n"/>
      <c r="AJ1095" s="102" t="n"/>
      <c r="AK1095" s="102" t="n"/>
      <c r="AL1095" s="102" t="n"/>
      <c r="AM1095" s="102" t="n"/>
      <c r="AN1095" s="102" t="n"/>
      <c r="AO1095" s="102" t="n"/>
      <c r="AP1095" s="102" t="n"/>
      <c r="AQ1095" s="102" t="n"/>
      <c r="AR1095" s="102" t="n"/>
    </row>
    <row r="1096">
      <c r="D1096" s="102" t="n"/>
      <c r="E1096" s="102" t="n"/>
      <c r="F1096" s="102" t="n"/>
      <c r="G1096" s="102" t="n"/>
      <c r="H1096" s="102" t="n"/>
      <c r="I1096" s="102" t="n"/>
      <c r="J1096" s="102" t="n"/>
      <c r="K1096" s="102" t="n"/>
      <c r="L1096" s="102" t="n"/>
      <c r="M1096" s="102" t="n"/>
      <c r="N1096" s="102" t="n"/>
      <c r="O1096" s="102" t="n"/>
      <c r="P1096" s="102" t="n"/>
      <c r="Q1096" s="102" t="n"/>
      <c r="R1096" s="102" t="n"/>
      <c r="S1096" s="102" t="n"/>
      <c r="T1096" s="102" t="n"/>
      <c r="U1096" s="102" t="n"/>
      <c r="V1096" s="102" t="n"/>
      <c r="W1096" s="102" t="n"/>
      <c r="X1096" s="102" t="n"/>
      <c r="Y1096" s="102" t="n"/>
      <c r="Z1096" s="102" t="n"/>
      <c r="AA1096" s="102" t="n"/>
      <c r="AB1096" s="102" t="n"/>
      <c r="AC1096" s="102" t="n"/>
      <c r="AD1096" s="102" t="n"/>
      <c r="AE1096" s="102" t="n"/>
      <c r="AF1096" s="102" t="n"/>
      <c r="AG1096" s="102" t="n"/>
      <c r="AH1096" s="102" t="n"/>
      <c r="AI1096" s="102" t="n"/>
      <c r="AJ1096" s="102" t="n"/>
      <c r="AK1096" s="102" t="n"/>
      <c r="AL1096" s="102" t="n"/>
      <c r="AM1096" s="102" t="n"/>
      <c r="AN1096" s="102" t="n"/>
      <c r="AO1096" s="102" t="n"/>
      <c r="AP1096" s="102" t="n"/>
      <c r="AQ1096" s="102" t="n"/>
      <c r="AR1096" s="102" t="n"/>
    </row>
    <row r="1097">
      <c r="D1097" s="160" t="n"/>
      <c r="E1097" s="160" t="n"/>
      <c r="F1097" s="160" t="n"/>
      <c r="G1097" s="160" t="n"/>
      <c r="H1097" s="160" t="n"/>
      <c r="I1097" s="160" t="n"/>
      <c r="J1097" s="160" t="n"/>
      <c r="K1097" s="160" t="n"/>
      <c r="L1097" s="160" t="n"/>
      <c r="M1097" s="160" t="n"/>
      <c r="N1097" s="160" t="n"/>
      <c r="O1097" s="160" t="n"/>
      <c r="P1097" s="160" t="n"/>
      <c r="Q1097" s="160" t="n"/>
      <c r="R1097" s="160" t="n"/>
      <c r="S1097" s="160" t="n"/>
      <c r="T1097" s="160" t="n"/>
      <c r="U1097" s="160" t="n"/>
      <c r="V1097" s="160" t="n"/>
      <c r="W1097" s="160" t="n"/>
      <c r="X1097" s="160" t="n"/>
      <c r="Y1097" s="160" t="n"/>
      <c r="Z1097" s="160" t="n"/>
      <c r="AA1097" s="160" t="n"/>
      <c r="AB1097" s="160" t="n"/>
      <c r="AC1097" s="160" t="n"/>
      <c r="AD1097" s="160" t="n"/>
      <c r="AE1097" s="160" t="n"/>
      <c r="AF1097" s="160" t="n"/>
      <c r="AG1097" s="160" t="n"/>
      <c r="AH1097" s="160" t="n"/>
      <c r="AI1097" s="160" t="n"/>
      <c r="AJ1097" s="160" t="n"/>
      <c r="AK1097" s="160" t="n"/>
      <c r="AL1097" s="160" t="n"/>
      <c r="AM1097" s="160" t="n"/>
      <c r="AN1097" s="160" t="n"/>
      <c r="AO1097" s="160" t="n"/>
      <c r="AP1097" s="160" t="n"/>
      <c r="AQ1097" s="160" t="n"/>
      <c r="AR1097" s="160" t="n"/>
    </row>
    <row r="1099">
      <c r="A1099" s="8">
        <f>IF(HSI!$C$106="","",HSI!$C$106)</f>
        <v/>
      </c>
      <c r="B1099" s="158">
        <f>IF($A1099="",0,COUNT($E1100:$AR1100))</f>
        <v/>
      </c>
      <c r="C1099" s="159">
        <f>IF($B1099=0,0,MAX($E1100:$AR1100))</f>
        <v/>
      </c>
      <c r="D1099" s="101">
        <f>BDS($A1099,FLD_HIST,"headers=y","startcol=1","endcol=7","dir=h","DVD_START_DT",HIST_FROM,"DVD_END_DT",HIST_TO)</f>
        <v/>
      </c>
      <c r="E1099" s="102" t="n"/>
      <c r="F1099" s="102" t="n"/>
      <c r="G1099" s="102" t="n"/>
      <c r="H1099" s="102" t="n"/>
      <c r="I1099" s="102" t="n"/>
      <c r="J1099" s="102" t="n"/>
      <c r="K1099" s="102" t="n"/>
      <c r="L1099" s="102" t="n"/>
      <c r="M1099" s="102" t="n"/>
      <c r="N1099" s="102" t="n"/>
      <c r="O1099" s="102" t="n"/>
      <c r="P1099" s="102" t="n"/>
      <c r="Q1099" s="102" t="n"/>
      <c r="R1099" s="102" t="n"/>
      <c r="S1099" s="102" t="n"/>
      <c r="T1099" s="102" t="n"/>
      <c r="U1099" s="102" t="n"/>
      <c r="V1099" s="102" t="n"/>
      <c r="W1099" s="102" t="n"/>
      <c r="X1099" s="102" t="n"/>
      <c r="Y1099" s="102" t="n"/>
      <c r="Z1099" s="102" t="n"/>
      <c r="AA1099" s="102" t="n"/>
      <c r="AB1099" s="102" t="n"/>
      <c r="AC1099" s="102" t="n"/>
      <c r="AD1099" s="102" t="n"/>
      <c r="AE1099" s="102" t="n"/>
      <c r="AF1099" s="102" t="n"/>
      <c r="AG1099" s="102" t="n"/>
      <c r="AH1099" s="102" t="n"/>
      <c r="AI1099" s="102" t="n"/>
      <c r="AJ1099" s="102" t="n"/>
      <c r="AK1099" s="102" t="n"/>
      <c r="AL1099" s="102" t="n"/>
      <c r="AM1099" s="102" t="n"/>
      <c r="AN1099" s="102" t="n"/>
      <c r="AO1099" s="102" t="n"/>
      <c r="AP1099" s="102" t="n"/>
      <c r="AQ1099" s="102" t="n"/>
      <c r="AR1099" s="102" t="n"/>
    </row>
    <row r="1100">
      <c r="D1100" s="102" t="n"/>
      <c r="E1100" s="102" t="n"/>
      <c r="F1100" s="102" t="n"/>
      <c r="G1100" s="102" t="n"/>
      <c r="H1100" s="102" t="n"/>
      <c r="I1100" s="102" t="n"/>
      <c r="J1100" s="102" t="n"/>
      <c r="K1100" s="102" t="n"/>
      <c r="L1100" s="102" t="n"/>
      <c r="M1100" s="102" t="n"/>
      <c r="N1100" s="102" t="n"/>
      <c r="O1100" s="102" t="n"/>
      <c r="P1100" s="102" t="n"/>
      <c r="Q1100" s="102" t="n"/>
      <c r="R1100" s="102" t="n"/>
      <c r="S1100" s="102" t="n"/>
      <c r="T1100" s="102" t="n"/>
      <c r="U1100" s="102" t="n"/>
      <c r="V1100" s="102" t="n"/>
      <c r="W1100" s="102" t="n"/>
      <c r="X1100" s="102" t="n"/>
      <c r="Y1100" s="102" t="n"/>
      <c r="Z1100" s="102" t="n"/>
      <c r="AA1100" s="102" t="n"/>
      <c r="AB1100" s="102" t="n"/>
      <c r="AC1100" s="102" t="n"/>
      <c r="AD1100" s="102" t="n"/>
      <c r="AE1100" s="102" t="n"/>
      <c r="AF1100" s="102" t="n"/>
      <c r="AG1100" s="102" t="n"/>
      <c r="AH1100" s="102" t="n"/>
      <c r="AI1100" s="102" t="n"/>
      <c r="AJ1100" s="102" t="n"/>
      <c r="AK1100" s="102" t="n"/>
      <c r="AL1100" s="102" t="n"/>
      <c r="AM1100" s="102" t="n"/>
      <c r="AN1100" s="102" t="n"/>
      <c r="AO1100" s="102" t="n"/>
      <c r="AP1100" s="102" t="n"/>
      <c r="AQ1100" s="102" t="n"/>
      <c r="AR1100" s="102" t="n"/>
    </row>
    <row r="1101">
      <c r="D1101" s="102" t="n"/>
      <c r="E1101" s="102" t="n"/>
      <c r="F1101" s="102" t="n"/>
      <c r="G1101" s="102" t="n"/>
      <c r="H1101" s="102" t="n"/>
      <c r="I1101" s="102" t="n"/>
      <c r="J1101" s="102" t="n"/>
      <c r="K1101" s="102" t="n"/>
      <c r="L1101" s="102" t="n"/>
      <c r="M1101" s="102" t="n"/>
      <c r="N1101" s="102" t="n"/>
      <c r="O1101" s="102" t="n"/>
      <c r="P1101" s="102" t="n"/>
      <c r="Q1101" s="102" t="n"/>
      <c r="R1101" s="102" t="n"/>
      <c r="S1101" s="102" t="n"/>
      <c r="T1101" s="102" t="n"/>
      <c r="U1101" s="102" t="n"/>
      <c r="V1101" s="102" t="n"/>
      <c r="W1101" s="102" t="n"/>
      <c r="X1101" s="102" t="n"/>
      <c r="Y1101" s="102" t="n"/>
      <c r="Z1101" s="102" t="n"/>
      <c r="AA1101" s="102" t="n"/>
      <c r="AB1101" s="102" t="n"/>
      <c r="AC1101" s="102" t="n"/>
      <c r="AD1101" s="102" t="n"/>
      <c r="AE1101" s="102" t="n"/>
      <c r="AF1101" s="102" t="n"/>
      <c r="AG1101" s="102" t="n"/>
      <c r="AH1101" s="102" t="n"/>
      <c r="AI1101" s="102" t="n"/>
      <c r="AJ1101" s="102" t="n"/>
      <c r="AK1101" s="102" t="n"/>
      <c r="AL1101" s="102" t="n"/>
      <c r="AM1101" s="102" t="n"/>
      <c r="AN1101" s="102" t="n"/>
      <c r="AO1101" s="102" t="n"/>
      <c r="AP1101" s="102" t="n"/>
      <c r="AQ1101" s="102" t="n"/>
      <c r="AR1101" s="102" t="n"/>
    </row>
    <row r="1102">
      <c r="D1102" s="102" t="n"/>
      <c r="E1102" s="102" t="n"/>
      <c r="F1102" s="102" t="n"/>
      <c r="G1102" s="102" t="n"/>
      <c r="H1102" s="102" t="n"/>
      <c r="I1102" s="102" t="n"/>
      <c r="J1102" s="102" t="n"/>
      <c r="K1102" s="102" t="n"/>
      <c r="L1102" s="102" t="n"/>
      <c r="M1102" s="102" t="n"/>
      <c r="N1102" s="102" t="n"/>
      <c r="O1102" s="102" t="n"/>
      <c r="P1102" s="102" t="n"/>
      <c r="Q1102" s="102" t="n"/>
      <c r="R1102" s="102" t="n"/>
      <c r="S1102" s="102" t="n"/>
      <c r="T1102" s="102" t="n"/>
      <c r="U1102" s="102" t="n"/>
      <c r="V1102" s="102" t="n"/>
      <c r="W1102" s="102" t="n"/>
      <c r="X1102" s="102" t="n"/>
      <c r="Y1102" s="102" t="n"/>
      <c r="Z1102" s="102" t="n"/>
      <c r="AA1102" s="102" t="n"/>
      <c r="AB1102" s="102" t="n"/>
      <c r="AC1102" s="102" t="n"/>
      <c r="AD1102" s="102" t="n"/>
      <c r="AE1102" s="102" t="n"/>
      <c r="AF1102" s="102" t="n"/>
      <c r="AG1102" s="102" t="n"/>
      <c r="AH1102" s="102" t="n"/>
      <c r="AI1102" s="102" t="n"/>
      <c r="AJ1102" s="102" t="n"/>
      <c r="AK1102" s="102" t="n"/>
      <c r="AL1102" s="102" t="n"/>
      <c r="AM1102" s="102" t="n"/>
      <c r="AN1102" s="102" t="n"/>
      <c r="AO1102" s="102" t="n"/>
      <c r="AP1102" s="102" t="n"/>
      <c r="AQ1102" s="102" t="n"/>
      <c r="AR1102" s="102" t="n"/>
    </row>
    <row r="1103">
      <c r="D1103" s="160" t="n"/>
      <c r="E1103" s="160" t="n"/>
      <c r="F1103" s="160" t="n"/>
      <c r="G1103" s="160" t="n"/>
      <c r="H1103" s="160" t="n"/>
      <c r="I1103" s="160" t="n"/>
      <c r="J1103" s="160" t="n"/>
      <c r="K1103" s="160" t="n"/>
      <c r="L1103" s="160" t="n"/>
      <c r="M1103" s="160" t="n"/>
      <c r="N1103" s="160" t="n"/>
      <c r="O1103" s="160" t="n"/>
      <c r="P1103" s="160" t="n"/>
      <c r="Q1103" s="160" t="n"/>
      <c r="R1103" s="160" t="n"/>
      <c r="S1103" s="160" t="n"/>
      <c r="T1103" s="160" t="n"/>
      <c r="U1103" s="160" t="n"/>
      <c r="V1103" s="160" t="n"/>
      <c r="W1103" s="160" t="n"/>
      <c r="X1103" s="160" t="n"/>
      <c r="Y1103" s="160" t="n"/>
      <c r="Z1103" s="160" t="n"/>
      <c r="AA1103" s="160" t="n"/>
      <c r="AB1103" s="160" t="n"/>
      <c r="AC1103" s="160" t="n"/>
      <c r="AD1103" s="160" t="n"/>
      <c r="AE1103" s="160" t="n"/>
      <c r="AF1103" s="160" t="n"/>
      <c r="AG1103" s="160" t="n"/>
      <c r="AH1103" s="160" t="n"/>
      <c r="AI1103" s="160" t="n"/>
      <c r="AJ1103" s="160" t="n"/>
      <c r="AK1103" s="160" t="n"/>
      <c r="AL1103" s="160" t="n"/>
      <c r="AM1103" s="160" t="n"/>
      <c r="AN1103" s="160" t="n"/>
      <c r="AO1103" s="160" t="n"/>
      <c r="AP1103" s="160" t="n"/>
      <c r="AQ1103" s="160" t="n"/>
      <c r="AR1103" s="160" t="n"/>
    </row>
    <row r="1106">
      <c r="A1106" s="2">
        <f>IF($A1099="","","   projections")</f>
        <v/>
      </c>
      <c r="B1106" s="158">
        <f>IF($A1099="",0,COUNT($E1107:$AR1107))</f>
        <v/>
      </c>
      <c r="C1106" s="159">
        <f>IF($B1106=0,0,MAX($E1107:$AR1107))</f>
        <v/>
      </c>
      <c r="D1106" s="101">
        <f>BDS($A1099,FLD_PROJ,"headers=y","startcol=1","endcol=3","dir=h")</f>
        <v/>
      </c>
      <c r="E1106" s="102" t="n"/>
      <c r="F1106" s="102" t="n"/>
      <c r="G1106" s="102" t="n"/>
      <c r="H1106" s="102" t="n"/>
      <c r="I1106" s="102" t="n"/>
      <c r="J1106" s="102" t="n"/>
      <c r="K1106" s="102" t="n"/>
      <c r="L1106" s="102" t="n"/>
      <c r="M1106" s="102" t="n"/>
      <c r="N1106" s="102" t="n"/>
      <c r="O1106" s="102" t="n"/>
      <c r="P1106" s="102" t="n"/>
      <c r="Q1106" s="102" t="n"/>
      <c r="R1106" s="102" t="n"/>
      <c r="S1106" s="102" t="n"/>
      <c r="T1106" s="102" t="n"/>
      <c r="U1106" s="102" t="n"/>
      <c r="V1106" s="102" t="n"/>
      <c r="W1106" s="102" t="n"/>
      <c r="X1106" s="102" t="n"/>
      <c r="Y1106" s="102" t="n"/>
      <c r="Z1106" s="102" t="n"/>
      <c r="AA1106" s="102" t="n"/>
      <c r="AB1106" s="102" t="n"/>
      <c r="AC1106" s="102" t="n"/>
      <c r="AD1106" s="102" t="n"/>
      <c r="AE1106" s="102" t="n"/>
      <c r="AF1106" s="102" t="n"/>
      <c r="AG1106" s="102" t="n"/>
      <c r="AH1106" s="102" t="n"/>
      <c r="AI1106" s="102" t="n"/>
      <c r="AJ1106" s="102" t="n"/>
      <c r="AK1106" s="102" t="n"/>
      <c r="AL1106" s="102" t="n"/>
      <c r="AM1106" s="102" t="n"/>
      <c r="AN1106" s="102" t="n"/>
      <c r="AO1106" s="102" t="n"/>
      <c r="AP1106" s="102" t="n"/>
      <c r="AQ1106" s="102" t="n"/>
      <c r="AR1106" s="102" t="n"/>
    </row>
    <row r="1107">
      <c r="D1107" s="102" t="n"/>
      <c r="E1107" s="102" t="n"/>
      <c r="F1107" s="102" t="n"/>
      <c r="G1107" s="102" t="n"/>
      <c r="H1107" s="102" t="n"/>
      <c r="I1107" s="102" t="n"/>
      <c r="J1107" s="102" t="n"/>
      <c r="K1107" s="102" t="n"/>
      <c r="L1107" s="102" t="n"/>
      <c r="M1107" s="102" t="n"/>
      <c r="N1107" s="102" t="n"/>
      <c r="O1107" s="102" t="n"/>
      <c r="P1107" s="102" t="n"/>
      <c r="Q1107" s="102" t="n"/>
      <c r="R1107" s="102" t="n"/>
      <c r="S1107" s="102" t="n"/>
      <c r="T1107" s="102" t="n"/>
      <c r="U1107" s="102" t="n"/>
      <c r="V1107" s="102" t="n"/>
      <c r="W1107" s="102" t="n"/>
      <c r="X1107" s="102" t="n"/>
      <c r="Y1107" s="102" t="n"/>
      <c r="Z1107" s="102" t="n"/>
      <c r="AA1107" s="102" t="n"/>
      <c r="AB1107" s="102" t="n"/>
      <c r="AC1107" s="102" t="n"/>
      <c r="AD1107" s="102" t="n"/>
      <c r="AE1107" s="102" t="n"/>
      <c r="AF1107" s="102" t="n"/>
      <c r="AG1107" s="102" t="n"/>
      <c r="AH1107" s="102" t="n"/>
      <c r="AI1107" s="102" t="n"/>
      <c r="AJ1107" s="102" t="n"/>
      <c r="AK1107" s="102" t="n"/>
      <c r="AL1107" s="102" t="n"/>
      <c r="AM1107" s="102" t="n"/>
      <c r="AN1107" s="102" t="n"/>
      <c r="AO1107" s="102" t="n"/>
      <c r="AP1107" s="102" t="n"/>
      <c r="AQ1107" s="102" t="n"/>
      <c r="AR1107" s="102" t="n"/>
    </row>
    <row r="1108">
      <c r="D1108" s="160" t="n"/>
      <c r="E1108" s="160" t="n"/>
      <c r="F1108" s="160" t="n"/>
      <c r="G1108" s="160" t="n"/>
      <c r="H1108" s="160" t="n"/>
      <c r="I1108" s="160" t="n"/>
      <c r="J1108" s="160" t="n"/>
      <c r="K1108" s="160" t="n"/>
      <c r="L1108" s="160" t="n"/>
      <c r="M1108" s="160" t="n"/>
      <c r="N1108" s="160" t="n"/>
      <c r="O1108" s="160" t="n"/>
      <c r="P1108" s="160" t="n"/>
      <c r="Q1108" s="160" t="n"/>
      <c r="R1108" s="160" t="n"/>
      <c r="S1108" s="160" t="n"/>
      <c r="T1108" s="160" t="n"/>
      <c r="U1108" s="160" t="n"/>
      <c r="V1108" s="160" t="n"/>
      <c r="W1108" s="160" t="n"/>
      <c r="X1108" s="160" t="n"/>
      <c r="Y1108" s="160" t="n"/>
      <c r="Z1108" s="160" t="n"/>
      <c r="AA1108" s="160" t="n"/>
      <c r="AB1108" s="160" t="n"/>
      <c r="AC1108" s="160" t="n"/>
      <c r="AD1108" s="160" t="n"/>
      <c r="AE1108" s="160" t="n"/>
      <c r="AF1108" s="160" t="n"/>
      <c r="AG1108" s="160" t="n"/>
      <c r="AH1108" s="160" t="n"/>
      <c r="AI1108" s="160" t="n"/>
      <c r="AJ1108" s="160" t="n"/>
      <c r="AK1108" s="160" t="n"/>
      <c r="AL1108" s="160" t="n"/>
      <c r="AM1108" s="160" t="n"/>
      <c r="AN1108" s="160" t="n"/>
      <c r="AO1108" s="160" t="n"/>
      <c r="AP1108" s="160" t="n"/>
      <c r="AQ1108" s="160" t="n"/>
      <c r="AR1108" s="160" t="n"/>
    </row>
    <row r="1112">
      <c r="A1112" s="6" t="inlineStr">
        <is>
          <t>Hang Seng TECH Index (HSTECH)</t>
        </is>
      </c>
      <c r="B1112" s="7" t="n"/>
      <c r="C1112" s="7" t="n"/>
      <c r="D1112" s="7" t="n"/>
      <c r="F1112" s="2">
        <f>SUMPRODUCT($B$1115:$B$1554)&amp;" events read   |   "&amp;COUNTA($AS$1115:$CF$1554)&amp;" beyond the window (must be 0)"</f>
        <v/>
      </c>
    </row>
    <row r="1113">
      <c r="A1113" s="23" t="inlineStr">
        <is>
          <t>Ticker</t>
        </is>
      </c>
      <c r="B1113" s="23" t="inlineStr">
        <is>
          <t>Events</t>
        </is>
      </c>
      <c r="C1113" s="23" t="inlineStr">
        <is>
          <t>Last ex</t>
        </is>
      </c>
      <c r="D1113" s="23" t="inlineStr">
        <is>
          <t>Bloomberg spill -&gt;</t>
        </is>
      </c>
    </row>
    <row r="1115">
      <c r="A1115" s="8">
        <f>IF(HSTECH!$C$7="","",HSTECH!$C$7)</f>
        <v/>
      </c>
      <c r="B1115" s="158">
        <f>IF($A1115="",0,COUNT($E1116:$AR1116))</f>
        <v/>
      </c>
      <c r="C1115" s="159">
        <f>IF($B1115=0,0,MAX($E1116:$AR1116))</f>
        <v/>
      </c>
      <c r="D1115" s="101">
        <f>BDS($A1115,FLD_HIST,"headers=y","startcol=1","endcol=7","dir=h","DVD_START_DT",HIST_FROM,"DVD_END_DT",HIST_TO)</f>
        <v/>
      </c>
      <c r="E1115" s="102" t="n"/>
      <c r="F1115" s="102" t="n"/>
      <c r="G1115" s="102" t="n"/>
      <c r="H1115" s="102" t="n"/>
      <c r="I1115" s="102" t="n"/>
      <c r="J1115" s="102" t="n"/>
      <c r="K1115" s="102" t="n"/>
      <c r="L1115" s="102" t="n"/>
      <c r="M1115" s="102" t="n"/>
      <c r="N1115" s="102" t="n"/>
      <c r="O1115" s="102" t="n"/>
      <c r="P1115" s="102" t="n"/>
      <c r="Q1115" s="102" t="n"/>
      <c r="R1115" s="102" t="n"/>
      <c r="S1115" s="102" t="n"/>
      <c r="T1115" s="102" t="n"/>
      <c r="U1115" s="102" t="n"/>
      <c r="V1115" s="102" t="n"/>
      <c r="W1115" s="102" t="n"/>
      <c r="X1115" s="102" t="n"/>
      <c r="Y1115" s="102" t="n"/>
      <c r="Z1115" s="102" t="n"/>
      <c r="AA1115" s="102" t="n"/>
      <c r="AB1115" s="102" t="n"/>
      <c r="AC1115" s="102" t="n"/>
      <c r="AD1115" s="102" t="n"/>
      <c r="AE1115" s="102" t="n"/>
      <c r="AF1115" s="102" t="n"/>
      <c r="AG1115" s="102" t="n"/>
      <c r="AH1115" s="102" t="n"/>
      <c r="AI1115" s="102" t="n"/>
      <c r="AJ1115" s="102" t="n"/>
      <c r="AK1115" s="102" t="n"/>
      <c r="AL1115" s="102" t="n"/>
      <c r="AM1115" s="102" t="n"/>
      <c r="AN1115" s="102" t="n"/>
      <c r="AO1115" s="102" t="n"/>
      <c r="AP1115" s="102" t="n"/>
      <c r="AQ1115" s="102" t="n"/>
      <c r="AR1115" s="102" t="n"/>
    </row>
    <row r="1116">
      <c r="D1116" s="102" t="n"/>
      <c r="E1116" s="102" t="n"/>
      <c r="F1116" s="102" t="n"/>
      <c r="G1116" s="102" t="n"/>
      <c r="H1116" s="102" t="n"/>
      <c r="I1116" s="102" t="n"/>
      <c r="J1116" s="102" t="n"/>
      <c r="K1116" s="102" t="n"/>
      <c r="L1116" s="102" t="n"/>
      <c r="M1116" s="102" t="n"/>
      <c r="N1116" s="102" t="n"/>
      <c r="O1116" s="102" t="n"/>
      <c r="P1116" s="102" t="n"/>
      <c r="Q1116" s="102" t="n"/>
      <c r="R1116" s="102" t="n"/>
      <c r="S1116" s="102" t="n"/>
      <c r="T1116" s="102" t="n"/>
      <c r="U1116" s="102" t="n"/>
      <c r="V1116" s="102" t="n"/>
      <c r="W1116" s="102" t="n"/>
      <c r="X1116" s="102" t="n"/>
      <c r="Y1116" s="102" t="n"/>
      <c r="Z1116" s="102" t="n"/>
      <c r="AA1116" s="102" t="n"/>
      <c r="AB1116" s="102" t="n"/>
      <c r="AC1116" s="102" t="n"/>
      <c r="AD1116" s="102" t="n"/>
      <c r="AE1116" s="102" t="n"/>
      <c r="AF1116" s="102" t="n"/>
      <c r="AG1116" s="102" t="n"/>
      <c r="AH1116" s="102" t="n"/>
      <c r="AI1116" s="102" t="n"/>
      <c r="AJ1116" s="102" t="n"/>
      <c r="AK1116" s="102" t="n"/>
      <c r="AL1116" s="102" t="n"/>
      <c r="AM1116" s="102" t="n"/>
      <c r="AN1116" s="102" t="n"/>
      <c r="AO1116" s="102" t="n"/>
      <c r="AP1116" s="102" t="n"/>
      <c r="AQ1116" s="102" t="n"/>
      <c r="AR1116" s="102" t="n"/>
    </row>
    <row r="1117">
      <c r="D1117" s="102" t="n"/>
      <c r="E1117" s="102" t="n"/>
      <c r="F1117" s="102" t="n"/>
      <c r="G1117" s="102" t="n"/>
      <c r="H1117" s="102" t="n"/>
      <c r="I1117" s="102" t="n"/>
      <c r="J1117" s="102" t="n"/>
      <c r="K1117" s="102" t="n"/>
      <c r="L1117" s="102" t="n"/>
      <c r="M1117" s="102" t="n"/>
      <c r="N1117" s="102" t="n"/>
      <c r="O1117" s="102" t="n"/>
      <c r="P1117" s="102" t="n"/>
      <c r="Q1117" s="102" t="n"/>
      <c r="R1117" s="102" t="n"/>
      <c r="S1117" s="102" t="n"/>
      <c r="T1117" s="102" t="n"/>
      <c r="U1117" s="102" t="n"/>
      <c r="V1117" s="102" t="n"/>
      <c r="W1117" s="102" t="n"/>
      <c r="X1117" s="102" t="n"/>
      <c r="Y1117" s="102" t="n"/>
      <c r="Z1117" s="102" t="n"/>
      <c r="AA1117" s="102" t="n"/>
      <c r="AB1117" s="102" t="n"/>
      <c r="AC1117" s="102" t="n"/>
      <c r="AD1117" s="102" t="n"/>
      <c r="AE1117" s="102" t="n"/>
      <c r="AF1117" s="102" t="n"/>
      <c r="AG1117" s="102" t="n"/>
      <c r="AH1117" s="102" t="n"/>
      <c r="AI1117" s="102" t="n"/>
      <c r="AJ1117" s="102" t="n"/>
      <c r="AK1117" s="102" t="n"/>
      <c r="AL1117" s="102" t="n"/>
      <c r="AM1117" s="102" t="n"/>
      <c r="AN1117" s="102" t="n"/>
      <c r="AO1117" s="102" t="n"/>
      <c r="AP1117" s="102" t="n"/>
      <c r="AQ1117" s="102" t="n"/>
      <c r="AR1117" s="102" t="n"/>
    </row>
    <row r="1118">
      <c r="D1118" s="102" t="n"/>
      <c r="E1118" s="102" t="n"/>
      <c r="F1118" s="102" t="n"/>
      <c r="G1118" s="102" t="n"/>
      <c r="H1118" s="102" t="n"/>
      <c r="I1118" s="102" t="n"/>
      <c r="J1118" s="102" t="n"/>
      <c r="K1118" s="102" t="n"/>
      <c r="L1118" s="102" t="n"/>
      <c r="M1118" s="102" t="n"/>
      <c r="N1118" s="102" t="n"/>
      <c r="O1118" s="102" t="n"/>
      <c r="P1118" s="102" t="n"/>
      <c r="Q1118" s="102" t="n"/>
      <c r="R1118" s="102" t="n"/>
      <c r="S1118" s="102" t="n"/>
      <c r="T1118" s="102" t="n"/>
      <c r="U1118" s="102" t="n"/>
      <c r="V1118" s="102" t="n"/>
      <c r="W1118" s="102" t="n"/>
      <c r="X1118" s="102" t="n"/>
      <c r="Y1118" s="102" t="n"/>
      <c r="Z1118" s="102" t="n"/>
      <c r="AA1118" s="102" t="n"/>
      <c r="AB1118" s="102" t="n"/>
      <c r="AC1118" s="102" t="n"/>
      <c r="AD1118" s="102" t="n"/>
      <c r="AE1118" s="102" t="n"/>
      <c r="AF1118" s="102" t="n"/>
      <c r="AG1118" s="102" t="n"/>
      <c r="AH1118" s="102" t="n"/>
      <c r="AI1118" s="102" t="n"/>
      <c r="AJ1118" s="102" t="n"/>
      <c r="AK1118" s="102" t="n"/>
      <c r="AL1118" s="102" t="n"/>
      <c r="AM1118" s="102" t="n"/>
      <c r="AN1118" s="102" t="n"/>
      <c r="AO1118" s="102" t="n"/>
      <c r="AP1118" s="102" t="n"/>
      <c r="AQ1118" s="102" t="n"/>
      <c r="AR1118" s="102" t="n"/>
    </row>
    <row r="1119">
      <c r="D1119" s="160" t="n"/>
      <c r="E1119" s="160" t="n"/>
      <c r="F1119" s="160" t="n"/>
      <c r="G1119" s="160" t="n"/>
      <c r="H1119" s="160" t="n"/>
      <c r="I1119" s="160" t="n"/>
      <c r="J1119" s="160" t="n"/>
      <c r="K1119" s="160" t="n"/>
      <c r="L1119" s="160" t="n"/>
      <c r="M1119" s="160" t="n"/>
      <c r="N1119" s="160" t="n"/>
      <c r="O1119" s="160" t="n"/>
      <c r="P1119" s="160" t="n"/>
      <c r="Q1119" s="160" t="n"/>
      <c r="R1119" s="160" t="n"/>
      <c r="S1119" s="160" t="n"/>
      <c r="T1119" s="160" t="n"/>
      <c r="U1119" s="160" t="n"/>
      <c r="V1119" s="160" t="n"/>
      <c r="W1119" s="160" t="n"/>
      <c r="X1119" s="160" t="n"/>
      <c r="Y1119" s="160" t="n"/>
      <c r="Z1119" s="160" t="n"/>
      <c r="AA1119" s="160" t="n"/>
      <c r="AB1119" s="160" t="n"/>
      <c r="AC1119" s="160" t="n"/>
      <c r="AD1119" s="160" t="n"/>
      <c r="AE1119" s="160" t="n"/>
      <c r="AF1119" s="160" t="n"/>
      <c r="AG1119" s="160" t="n"/>
      <c r="AH1119" s="160" t="n"/>
      <c r="AI1119" s="160" t="n"/>
      <c r="AJ1119" s="160" t="n"/>
      <c r="AK1119" s="160" t="n"/>
      <c r="AL1119" s="160" t="n"/>
      <c r="AM1119" s="160" t="n"/>
      <c r="AN1119" s="160" t="n"/>
      <c r="AO1119" s="160" t="n"/>
      <c r="AP1119" s="160" t="n"/>
      <c r="AQ1119" s="160" t="n"/>
      <c r="AR1119" s="160" t="n"/>
    </row>
    <row r="1122">
      <c r="A1122" s="2">
        <f>IF($A1115="","","   projections")</f>
        <v/>
      </c>
      <c r="B1122" s="158">
        <f>IF($A1115="",0,COUNT($E1123:$AR1123))</f>
        <v/>
      </c>
      <c r="C1122" s="159">
        <f>IF($B1122=0,0,MAX($E1123:$AR1123))</f>
        <v/>
      </c>
      <c r="D1122" s="101">
        <f>BDS($A1115,FLD_PROJ,"headers=y","startcol=1","endcol=3","dir=h")</f>
        <v/>
      </c>
      <c r="E1122" s="102" t="n"/>
      <c r="F1122" s="102" t="n"/>
      <c r="G1122" s="102" t="n"/>
      <c r="H1122" s="102" t="n"/>
      <c r="I1122" s="102" t="n"/>
      <c r="J1122" s="102" t="n"/>
      <c r="K1122" s="102" t="n"/>
      <c r="L1122" s="102" t="n"/>
      <c r="M1122" s="102" t="n"/>
      <c r="N1122" s="102" t="n"/>
      <c r="O1122" s="102" t="n"/>
      <c r="P1122" s="102" t="n"/>
      <c r="Q1122" s="102" t="n"/>
      <c r="R1122" s="102" t="n"/>
      <c r="S1122" s="102" t="n"/>
      <c r="T1122" s="102" t="n"/>
      <c r="U1122" s="102" t="n"/>
      <c r="V1122" s="102" t="n"/>
      <c r="W1122" s="102" t="n"/>
      <c r="X1122" s="102" t="n"/>
      <c r="Y1122" s="102" t="n"/>
      <c r="Z1122" s="102" t="n"/>
      <c r="AA1122" s="102" t="n"/>
      <c r="AB1122" s="102" t="n"/>
      <c r="AC1122" s="102" t="n"/>
      <c r="AD1122" s="102" t="n"/>
      <c r="AE1122" s="102" t="n"/>
      <c r="AF1122" s="102" t="n"/>
      <c r="AG1122" s="102" t="n"/>
      <c r="AH1122" s="102" t="n"/>
      <c r="AI1122" s="102" t="n"/>
      <c r="AJ1122" s="102" t="n"/>
      <c r="AK1122" s="102" t="n"/>
      <c r="AL1122" s="102" t="n"/>
      <c r="AM1122" s="102" t="n"/>
      <c r="AN1122" s="102" t="n"/>
      <c r="AO1122" s="102" t="n"/>
      <c r="AP1122" s="102" t="n"/>
      <c r="AQ1122" s="102" t="n"/>
      <c r="AR1122" s="102" t="n"/>
    </row>
    <row r="1123">
      <c r="D1123" s="102" t="n"/>
      <c r="E1123" s="102" t="n"/>
      <c r="F1123" s="102" t="n"/>
      <c r="G1123" s="102" t="n"/>
      <c r="H1123" s="102" t="n"/>
      <c r="I1123" s="102" t="n"/>
      <c r="J1123" s="102" t="n"/>
      <c r="K1123" s="102" t="n"/>
      <c r="L1123" s="102" t="n"/>
      <c r="M1123" s="102" t="n"/>
      <c r="N1123" s="102" t="n"/>
      <c r="O1123" s="102" t="n"/>
      <c r="P1123" s="102" t="n"/>
      <c r="Q1123" s="102" t="n"/>
      <c r="R1123" s="102" t="n"/>
      <c r="S1123" s="102" t="n"/>
      <c r="T1123" s="102" t="n"/>
      <c r="U1123" s="102" t="n"/>
      <c r="V1123" s="102" t="n"/>
      <c r="W1123" s="102" t="n"/>
      <c r="X1123" s="102" t="n"/>
      <c r="Y1123" s="102" t="n"/>
      <c r="Z1123" s="102" t="n"/>
      <c r="AA1123" s="102" t="n"/>
      <c r="AB1123" s="102" t="n"/>
      <c r="AC1123" s="102" t="n"/>
      <c r="AD1123" s="102" t="n"/>
      <c r="AE1123" s="102" t="n"/>
      <c r="AF1123" s="102" t="n"/>
      <c r="AG1123" s="102" t="n"/>
      <c r="AH1123" s="102" t="n"/>
      <c r="AI1123" s="102" t="n"/>
      <c r="AJ1123" s="102" t="n"/>
      <c r="AK1123" s="102" t="n"/>
      <c r="AL1123" s="102" t="n"/>
      <c r="AM1123" s="102" t="n"/>
      <c r="AN1123" s="102" t="n"/>
      <c r="AO1123" s="102" t="n"/>
      <c r="AP1123" s="102" t="n"/>
      <c r="AQ1123" s="102" t="n"/>
      <c r="AR1123" s="102" t="n"/>
    </row>
    <row r="1124">
      <c r="D1124" s="160" t="n"/>
      <c r="E1124" s="160" t="n"/>
      <c r="F1124" s="160" t="n"/>
      <c r="G1124" s="160" t="n"/>
      <c r="H1124" s="160" t="n"/>
      <c r="I1124" s="160" t="n"/>
      <c r="J1124" s="160" t="n"/>
      <c r="K1124" s="160" t="n"/>
      <c r="L1124" s="160" t="n"/>
      <c r="M1124" s="160" t="n"/>
      <c r="N1124" s="160" t="n"/>
      <c r="O1124" s="160" t="n"/>
      <c r="P1124" s="160" t="n"/>
      <c r="Q1124" s="160" t="n"/>
      <c r="R1124" s="160" t="n"/>
      <c r="S1124" s="160" t="n"/>
      <c r="T1124" s="160" t="n"/>
      <c r="U1124" s="160" t="n"/>
      <c r="V1124" s="160" t="n"/>
      <c r="W1124" s="160" t="n"/>
      <c r="X1124" s="160" t="n"/>
      <c r="Y1124" s="160" t="n"/>
      <c r="Z1124" s="160" t="n"/>
      <c r="AA1124" s="160" t="n"/>
      <c r="AB1124" s="160" t="n"/>
      <c r="AC1124" s="160" t="n"/>
      <c r="AD1124" s="160" t="n"/>
      <c r="AE1124" s="160" t="n"/>
      <c r="AF1124" s="160" t="n"/>
      <c r="AG1124" s="160" t="n"/>
      <c r="AH1124" s="160" t="n"/>
      <c r="AI1124" s="160" t="n"/>
      <c r="AJ1124" s="160" t="n"/>
      <c r="AK1124" s="160" t="n"/>
      <c r="AL1124" s="160" t="n"/>
      <c r="AM1124" s="160" t="n"/>
      <c r="AN1124" s="160" t="n"/>
      <c r="AO1124" s="160" t="n"/>
      <c r="AP1124" s="160" t="n"/>
      <c r="AQ1124" s="160" t="n"/>
      <c r="AR1124" s="160" t="n"/>
    </row>
    <row r="1126">
      <c r="A1126" s="8">
        <f>IF(HSTECH!$C$8="","",HSTECH!$C$8)</f>
        <v/>
      </c>
      <c r="B1126" s="158">
        <f>IF($A1126="",0,COUNT($E1127:$AR1127))</f>
        <v/>
      </c>
      <c r="C1126" s="159">
        <f>IF($B1126=0,0,MAX($E1127:$AR1127))</f>
        <v/>
      </c>
      <c r="D1126" s="101">
        <f>BDS($A1126,FLD_HIST,"headers=y","startcol=1","endcol=7","dir=h","DVD_START_DT",HIST_FROM,"DVD_END_DT",HIST_TO)</f>
        <v/>
      </c>
      <c r="E1126" s="102" t="n"/>
      <c r="F1126" s="102" t="n"/>
      <c r="G1126" s="102" t="n"/>
      <c r="H1126" s="102" t="n"/>
      <c r="I1126" s="102" t="n"/>
      <c r="J1126" s="102" t="n"/>
      <c r="K1126" s="102" t="n"/>
      <c r="L1126" s="102" t="n"/>
      <c r="M1126" s="102" t="n"/>
      <c r="N1126" s="102" t="n"/>
      <c r="O1126" s="102" t="n"/>
      <c r="P1126" s="102" t="n"/>
      <c r="Q1126" s="102" t="n"/>
      <c r="R1126" s="102" t="n"/>
      <c r="S1126" s="102" t="n"/>
      <c r="T1126" s="102" t="n"/>
      <c r="U1126" s="102" t="n"/>
      <c r="V1126" s="102" t="n"/>
      <c r="W1126" s="102" t="n"/>
      <c r="X1126" s="102" t="n"/>
      <c r="Y1126" s="102" t="n"/>
      <c r="Z1126" s="102" t="n"/>
      <c r="AA1126" s="102" t="n"/>
      <c r="AB1126" s="102" t="n"/>
      <c r="AC1126" s="102" t="n"/>
      <c r="AD1126" s="102" t="n"/>
      <c r="AE1126" s="102" t="n"/>
      <c r="AF1126" s="102" t="n"/>
      <c r="AG1126" s="102" t="n"/>
      <c r="AH1126" s="102" t="n"/>
      <c r="AI1126" s="102" t="n"/>
      <c r="AJ1126" s="102" t="n"/>
      <c r="AK1126" s="102" t="n"/>
      <c r="AL1126" s="102" t="n"/>
      <c r="AM1126" s="102" t="n"/>
      <c r="AN1126" s="102" t="n"/>
      <c r="AO1126" s="102" t="n"/>
      <c r="AP1126" s="102" t="n"/>
      <c r="AQ1126" s="102" t="n"/>
      <c r="AR1126" s="102" t="n"/>
    </row>
    <row r="1127">
      <c r="D1127" s="102" t="n"/>
      <c r="E1127" s="102" t="n"/>
      <c r="F1127" s="102" t="n"/>
      <c r="G1127" s="102" t="n"/>
      <c r="H1127" s="102" t="n"/>
      <c r="I1127" s="102" t="n"/>
      <c r="J1127" s="102" t="n"/>
      <c r="K1127" s="102" t="n"/>
      <c r="L1127" s="102" t="n"/>
      <c r="M1127" s="102" t="n"/>
      <c r="N1127" s="102" t="n"/>
      <c r="O1127" s="102" t="n"/>
      <c r="P1127" s="102" t="n"/>
      <c r="Q1127" s="102" t="n"/>
      <c r="R1127" s="102" t="n"/>
      <c r="S1127" s="102" t="n"/>
      <c r="T1127" s="102" t="n"/>
      <c r="U1127" s="102" t="n"/>
      <c r="V1127" s="102" t="n"/>
      <c r="W1127" s="102" t="n"/>
      <c r="X1127" s="102" t="n"/>
      <c r="Y1127" s="102" t="n"/>
      <c r="Z1127" s="102" t="n"/>
      <c r="AA1127" s="102" t="n"/>
      <c r="AB1127" s="102" t="n"/>
      <c r="AC1127" s="102" t="n"/>
      <c r="AD1127" s="102" t="n"/>
      <c r="AE1127" s="102" t="n"/>
      <c r="AF1127" s="102" t="n"/>
      <c r="AG1127" s="102" t="n"/>
      <c r="AH1127" s="102" t="n"/>
      <c r="AI1127" s="102" t="n"/>
      <c r="AJ1127" s="102" t="n"/>
      <c r="AK1127" s="102" t="n"/>
      <c r="AL1127" s="102" t="n"/>
      <c r="AM1127" s="102" t="n"/>
      <c r="AN1127" s="102" t="n"/>
      <c r="AO1127" s="102" t="n"/>
      <c r="AP1127" s="102" t="n"/>
      <c r="AQ1127" s="102" t="n"/>
      <c r="AR1127" s="102" t="n"/>
    </row>
    <row r="1128">
      <c r="D1128" s="102" t="n"/>
      <c r="E1128" s="102" t="n"/>
      <c r="F1128" s="102" t="n"/>
      <c r="G1128" s="102" t="n"/>
      <c r="H1128" s="102" t="n"/>
      <c r="I1128" s="102" t="n"/>
      <c r="J1128" s="102" t="n"/>
      <c r="K1128" s="102" t="n"/>
      <c r="L1128" s="102" t="n"/>
      <c r="M1128" s="102" t="n"/>
      <c r="N1128" s="102" t="n"/>
      <c r="O1128" s="102" t="n"/>
      <c r="P1128" s="102" t="n"/>
      <c r="Q1128" s="102" t="n"/>
      <c r="R1128" s="102" t="n"/>
      <c r="S1128" s="102" t="n"/>
      <c r="T1128" s="102" t="n"/>
      <c r="U1128" s="102" t="n"/>
      <c r="V1128" s="102" t="n"/>
      <c r="W1128" s="102" t="n"/>
      <c r="X1128" s="102" t="n"/>
      <c r="Y1128" s="102" t="n"/>
      <c r="Z1128" s="102" t="n"/>
      <c r="AA1128" s="102" t="n"/>
      <c r="AB1128" s="102" t="n"/>
      <c r="AC1128" s="102" t="n"/>
      <c r="AD1128" s="102" t="n"/>
      <c r="AE1128" s="102" t="n"/>
      <c r="AF1128" s="102" t="n"/>
      <c r="AG1128" s="102" t="n"/>
      <c r="AH1128" s="102" t="n"/>
      <c r="AI1128" s="102" t="n"/>
      <c r="AJ1128" s="102" t="n"/>
      <c r="AK1128" s="102" t="n"/>
      <c r="AL1128" s="102" t="n"/>
      <c r="AM1128" s="102" t="n"/>
      <c r="AN1128" s="102" t="n"/>
      <c r="AO1128" s="102" t="n"/>
      <c r="AP1128" s="102" t="n"/>
      <c r="AQ1128" s="102" t="n"/>
      <c r="AR1128" s="102" t="n"/>
    </row>
    <row r="1129">
      <c r="D1129" s="102" t="n"/>
      <c r="E1129" s="102" t="n"/>
      <c r="F1129" s="102" t="n"/>
      <c r="G1129" s="102" t="n"/>
      <c r="H1129" s="102" t="n"/>
      <c r="I1129" s="102" t="n"/>
      <c r="J1129" s="102" t="n"/>
      <c r="K1129" s="102" t="n"/>
      <c r="L1129" s="102" t="n"/>
      <c r="M1129" s="102" t="n"/>
      <c r="N1129" s="102" t="n"/>
      <c r="O1129" s="102" t="n"/>
      <c r="P1129" s="102" t="n"/>
      <c r="Q1129" s="102" t="n"/>
      <c r="R1129" s="102" t="n"/>
      <c r="S1129" s="102" t="n"/>
      <c r="T1129" s="102" t="n"/>
      <c r="U1129" s="102" t="n"/>
      <c r="V1129" s="102" t="n"/>
      <c r="W1129" s="102" t="n"/>
      <c r="X1129" s="102" t="n"/>
      <c r="Y1129" s="102" t="n"/>
      <c r="Z1129" s="102" t="n"/>
      <c r="AA1129" s="102" t="n"/>
      <c r="AB1129" s="102" t="n"/>
      <c r="AC1129" s="102" t="n"/>
      <c r="AD1129" s="102" t="n"/>
      <c r="AE1129" s="102" t="n"/>
      <c r="AF1129" s="102" t="n"/>
      <c r="AG1129" s="102" t="n"/>
      <c r="AH1129" s="102" t="n"/>
      <c r="AI1129" s="102" t="n"/>
      <c r="AJ1129" s="102" t="n"/>
      <c r="AK1129" s="102" t="n"/>
      <c r="AL1129" s="102" t="n"/>
      <c r="AM1129" s="102" t="n"/>
      <c r="AN1129" s="102" t="n"/>
      <c r="AO1129" s="102" t="n"/>
      <c r="AP1129" s="102" t="n"/>
      <c r="AQ1129" s="102" t="n"/>
      <c r="AR1129" s="102" t="n"/>
    </row>
    <row r="1130">
      <c r="D1130" s="160" t="n"/>
      <c r="E1130" s="160" t="n"/>
      <c r="F1130" s="160" t="n"/>
      <c r="G1130" s="160" t="n"/>
      <c r="H1130" s="160" t="n"/>
      <c r="I1130" s="160" t="n"/>
      <c r="J1130" s="160" t="n"/>
      <c r="K1130" s="160" t="n"/>
      <c r="L1130" s="160" t="n"/>
      <c r="M1130" s="160" t="n"/>
      <c r="N1130" s="160" t="n"/>
      <c r="O1130" s="160" t="n"/>
      <c r="P1130" s="160" t="n"/>
      <c r="Q1130" s="160" t="n"/>
      <c r="R1130" s="160" t="n"/>
      <c r="S1130" s="160" t="n"/>
      <c r="T1130" s="160" t="n"/>
      <c r="U1130" s="160" t="n"/>
      <c r="V1130" s="160" t="n"/>
      <c r="W1130" s="160" t="n"/>
      <c r="X1130" s="160" t="n"/>
      <c r="Y1130" s="160" t="n"/>
      <c r="Z1130" s="160" t="n"/>
      <c r="AA1130" s="160" t="n"/>
      <c r="AB1130" s="160" t="n"/>
      <c r="AC1130" s="160" t="n"/>
      <c r="AD1130" s="160" t="n"/>
      <c r="AE1130" s="160" t="n"/>
      <c r="AF1130" s="160" t="n"/>
      <c r="AG1130" s="160" t="n"/>
      <c r="AH1130" s="160" t="n"/>
      <c r="AI1130" s="160" t="n"/>
      <c r="AJ1130" s="160" t="n"/>
      <c r="AK1130" s="160" t="n"/>
      <c r="AL1130" s="160" t="n"/>
      <c r="AM1130" s="160" t="n"/>
      <c r="AN1130" s="160" t="n"/>
      <c r="AO1130" s="160" t="n"/>
      <c r="AP1130" s="160" t="n"/>
      <c r="AQ1130" s="160" t="n"/>
      <c r="AR1130" s="160" t="n"/>
    </row>
    <row r="1133">
      <c r="A1133" s="2">
        <f>IF($A1126="","","   projections")</f>
        <v/>
      </c>
      <c r="B1133" s="158">
        <f>IF($A1126="",0,COUNT($E1134:$AR1134))</f>
        <v/>
      </c>
      <c r="C1133" s="159">
        <f>IF($B1133=0,0,MAX($E1134:$AR1134))</f>
        <v/>
      </c>
      <c r="D1133" s="101">
        <f>BDS($A1126,FLD_PROJ,"headers=y","startcol=1","endcol=3","dir=h")</f>
        <v/>
      </c>
      <c r="E1133" s="102" t="n"/>
      <c r="F1133" s="102" t="n"/>
      <c r="G1133" s="102" t="n"/>
      <c r="H1133" s="102" t="n"/>
      <c r="I1133" s="102" t="n"/>
      <c r="J1133" s="102" t="n"/>
      <c r="K1133" s="102" t="n"/>
      <c r="L1133" s="102" t="n"/>
      <c r="M1133" s="102" t="n"/>
      <c r="N1133" s="102" t="n"/>
      <c r="O1133" s="102" t="n"/>
      <c r="P1133" s="102" t="n"/>
      <c r="Q1133" s="102" t="n"/>
      <c r="R1133" s="102" t="n"/>
      <c r="S1133" s="102" t="n"/>
      <c r="T1133" s="102" t="n"/>
      <c r="U1133" s="102" t="n"/>
      <c r="V1133" s="102" t="n"/>
      <c r="W1133" s="102" t="n"/>
      <c r="X1133" s="102" t="n"/>
      <c r="Y1133" s="102" t="n"/>
      <c r="Z1133" s="102" t="n"/>
      <c r="AA1133" s="102" t="n"/>
      <c r="AB1133" s="102" t="n"/>
      <c r="AC1133" s="102" t="n"/>
      <c r="AD1133" s="102" t="n"/>
      <c r="AE1133" s="102" t="n"/>
      <c r="AF1133" s="102" t="n"/>
      <c r="AG1133" s="102" t="n"/>
      <c r="AH1133" s="102" t="n"/>
      <c r="AI1133" s="102" t="n"/>
      <c r="AJ1133" s="102" t="n"/>
      <c r="AK1133" s="102" t="n"/>
      <c r="AL1133" s="102" t="n"/>
      <c r="AM1133" s="102" t="n"/>
      <c r="AN1133" s="102" t="n"/>
      <c r="AO1133" s="102" t="n"/>
      <c r="AP1133" s="102" t="n"/>
      <c r="AQ1133" s="102" t="n"/>
      <c r="AR1133" s="102" t="n"/>
    </row>
    <row r="1134">
      <c r="D1134" s="102" t="n"/>
      <c r="E1134" s="102" t="n"/>
      <c r="F1134" s="102" t="n"/>
      <c r="G1134" s="102" t="n"/>
      <c r="H1134" s="102" t="n"/>
      <c r="I1134" s="102" t="n"/>
      <c r="J1134" s="102" t="n"/>
      <c r="K1134" s="102" t="n"/>
      <c r="L1134" s="102" t="n"/>
      <c r="M1134" s="102" t="n"/>
      <c r="N1134" s="102" t="n"/>
      <c r="O1134" s="102" t="n"/>
      <c r="P1134" s="102" t="n"/>
      <c r="Q1134" s="102" t="n"/>
      <c r="R1134" s="102" t="n"/>
      <c r="S1134" s="102" t="n"/>
      <c r="T1134" s="102" t="n"/>
      <c r="U1134" s="102" t="n"/>
      <c r="V1134" s="102" t="n"/>
      <c r="W1134" s="102" t="n"/>
      <c r="X1134" s="102" t="n"/>
      <c r="Y1134" s="102" t="n"/>
      <c r="Z1134" s="102" t="n"/>
      <c r="AA1134" s="102" t="n"/>
      <c r="AB1134" s="102" t="n"/>
      <c r="AC1134" s="102" t="n"/>
      <c r="AD1134" s="102" t="n"/>
      <c r="AE1134" s="102" t="n"/>
      <c r="AF1134" s="102" t="n"/>
      <c r="AG1134" s="102" t="n"/>
      <c r="AH1134" s="102" t="n"/>
      <c r="AI1134" s="102" t="n"/>
      <c r="AJ1134" s="102" t="n"/>
      <c r="AK1134" s="102" t="n"/>
      <c r="AL1134" s="102" t="n"/>
      <c r="AM1134" s="102" t="n"/>
      <c r="AN1134" s="102" t="n"/>
      <c r="AO1134" s="102" t="n"/>
      <c r="AP1134" s="102" t="n"/>
      <c r="AQ1134" s="102" t="n"/>
      <c r="AR1134" s="102" t="n"/>
    </row>
    <row r="1135">
      <c r="D1135" s="160" t="n"/>
      <c r="E1135" s="160" t="n"/>
      <c r="F1135" s="160" t="n"/>
      <c r="G1135" s="160" t="n"/>
      <c r="H1135" s="160" t="n"/>
      <c r="I1135" s="160" t="n"/>
      <c r="J1135" s="160" t="n"/>
      <c r="K1135" s="160" t="n"/>
      <c r="L1135" s="160" t="n"/>
      <c r="M1135" s="160" t="n"/>
      <c r="N1135" s="160" t="n"/>
      <c r="O1135" s="160" t="n"/>
      <c r="P1135" s="160" t="n"/>
      <c r="Q1135" s="160" t="n"/>
      <c r="R1135" s="160" t="n"/>
      <c r="S1135" s="160" t="n"/>
      <c r="T1135" s="160" t="n"/>
      <c r="U1135" s="160" t="n"/>
      <c r="V1135" s="160" t="n"/>
      <c r="W1135" s="160" t="n"/>
      <c r="X1135" s="160" t="n"/>
      <c r="Y1135" s="160" t="n"/>
      <c r="Z1135" s="160" t="n"/>
      <c r="AA1135" s="160" t="n"/>
      <c r="AB1135" s="160" t="n"/>
      <c r="AC1135" s="160" t="n"/>
      <c r="AD1135" s="160" t="n"/>
      <c r="AE1135" s="160" t="n"/>
      <c r="AF1135" s="160" t="n"/>
      <c r="AG1135" s="160" t="n"/>
      <c r="AH1135" s="160" t="n"/>
      <c r="AI1135" s="160" t="n"/>
      <c r="AJ1135" s="160" t="n"/>
      <c r="AK1135" s="160" t="n"/>
      <c r="AL1135" s="160" t="n"/>
      <c r="AM1135" s="160" t="n"/>
      <c r="AN1135" s="160" t="n"/>
      <c r="AO1135" s="160" t="n"/>
      <c r="AP1135" s="160" t="n"/>
      <c r="AQ1135" s="160" t="n"/>
      <c r="AR1135" s="160" t="n"/>
    </row>
    <row r="1137">
      <c r="A1137" s="8">
        <f>IF(HSTECH!$C$9="","",HSTECH!$C$9)</f>
        <v/>
      </c>
      <c r="B1137" s="158">
        <f>IF($A1137="",0,COUNT($E1138:$AR1138))</f>
        <v/>
      </c>
      <c r="C1137" s="159">
        <f>IF($B1137=0,0,MAX($E1138:$AR1138))</f>
        <v/>
      </c>
      <c r="D1137" s="101">
        <f>BDS($A1137,FLD_HIST,"headers=y","startcol=1","endcol=7","dir=h","DVD_START_DT",HIST_FROM,"DVD_END_DT",HIST_TO)</f>
        <v/>
      </c>
      <c r="E1137" s="102" t="n"/>
      <c r="F1137" s="102" t="n"/>
      <c r="G1137" s="102" t="n"/>
      <c r="H1137" s="102" t="n"/>
      <c r="I1137" s="102" t="n"/>
      <c r="J1137" s="102" t="n"/>
      <c r="K1137" s="102" t="n"/>
      <c r="L1137" s="102" t="n"/>
      <c r="M1137" s="102" t="n"/>
      <c r="N1137" s="102" t="n"/>
      <c r="O1137" s="102" t="n"/>
      <c r="P1137" s="102" t="n"/>
      <c r="Q1137" s="102" t="n"/>
      <c r="R1137" s="102" t="n"/>
      <c r="S1137" s="102" t="n"/>
      <c r="T1137" s="102" t="n"/>
      <c r="U1137" s="102" t="n"/>
      <c r="V1137" s="102" t="n"/>
      <c r="W1137" s="102" t="n"/>
      <c r="X1137" s="102" t="n"/>
      <c r="Y1137" s="102" t="n"/>
      <c r="Z1137" s="102" t="n"/>
      <c r="AA1137" s="102" t="n"/>
      <c r="AB1137" s="102" t="n"/>
      <c r="AC1137" s="102" t="n"/>
      <c r="AD1137" s="102" t="n"/>
      <c r="AE1137" s="102" t="n"/>
      <c r="AF1137" s="102" t="n"/>
      <c r="AG1137" s="102" t="n"/>
      <c r="AH1137" s="102" t="n"/>
      <c r="AI1137" s="102" t="n"/>
      <c r="AJ1137" s="102" t="n"/>
      <c r="AK1137" s="102" t="n"/>
      <c r="AL1137" s="102" t="n"/>
      <c r="AM1137" s="102" t="n"/>
      <c r="AN1137" s="102" t="n"/>
      <c r="AO1137" s="102" t="n"/>
      <c r="AP1137" s="102" t="n"/>
      <c r="AQ1137" s="102" t="n"/>
      <c r="AR1137" s="102" t="n"/>
    </row>
    <row r="1138">
      <c r="D1138" s="102" t="n"/>
      <c r="E1138" s="102" t="n"/>
      <c r="F1138" s="102" t="n"/>
      <c r="G1138" s="102" t="n"/>
      <c r="H1138" s="102" t="n"/>
      <c r="I1138" s="102" t="n"/>
      <c r="J1138" s="102" t="n"/>
      <c r="K1138" s="102" t="n"/>
      <c r="L1138" s="102" t="n"/>
      <c r="M1138" s="102" t="n"/>
      <c r="N1138" s="102" t="n"/>
      <c r="O1138" s="102" t="n"/>
      <c r="P1138" s="102" t="n"/>
      <c r="Q1138" s="102" t="n"/>
      <c r="R1138" s="102" t="n"/>
      <c r="S1138" s="102" t="n"/>
      <c r="T1138" s="102" t="n"/>
      <c r="U1138" s="102" t="n"/>
      <c r="V1138" s="102" t="n"/>
      <c r="W1138" s="102" t="n"/>
      <c r="X1138" s="102" t="n"/>
      <c r="Y1138" s="102" t="n"/>
      <c r="Z1138" s="102" t="n"/>
      <c r="AA1138" s="102" t="n"/>
      <c r="AB1138" s="102" t="n"/>
      <c r="AC1138" s="102" t="n"/>
      <c r="AD1138" s="102" t="n"/>
      <c r="AE1138" s="102" t="n"/>
      <c r="AF1138" s="102" t="n"/>
      <c r="AG1138" s="102" t="n"/>
      <c r="AH1138" s="102" t="n"/>
      <c r="AI1138" s="102" t="n"/>
      <c r="AJ1138" s="102" t="n"/>
      <c r="AK1138" s="102" t="n"/>
      <c r="AL1138" s="102" t="n"/>
      <c r="AM1138" s="102" t="n"/>
      <c r="AN1138" s="102" t="n"/>
      <c r="AO1138" s="102" t="n"/>
      <c r="AP1138" s="102" t="n"/>
      <c r="AQ1138" s="102" t="n"/>
      <c r="AR1138" s="102" t="n"/>
    </row>
    <row r="1139">
      <c r="D1139" s="102" t="n"/>
      <c r="E1139" s="102" t="n"/>
      <c r="F1139" s="102" t="n"/>
      <c r="G1139" s="102" t="n"/>
      <c r="H1139" s="102" t="n"/>
      <c r="I1139" s="102" t="n"/>
      <c r="J1139" s="102" t="n"/>
      <c r="K1139" s="102" t="n"/>
      <c r="L1139" s="102" t="n"/>
      <c r="M1139" s="102" t="n"/>
      <c r="N1139" s="102" t="n"/>
      <c r="O1139" s="102" t="n"/>
      <c r="P1139" s="102" t="n"/>
      <c r="Q1139" s="102" t="n"/>
      <c r="R1139" s="102" t="n"/>
      <c r="S1139" s="102" t="n"/>
      <c r="T1139" s="102" t="n"/>
      <c r="U1139" s="102" t="n"/>
      <c r="V1139" s="102" t="n"/>
      <c r="W1139" s="102" t="n"/>
      <c r="X1139" s="102" t="n"/>
      <c r="Y1139" s="102" t="n"/>
      <c r="Z1139" s="102" t="n"/>
      <c r="AA1139" s="102" t="n"/>
      <c r="AB1139" s="102" t="n"/>
      <c r="AC1139" s="102" t="n"/>
      <c r="AD1139" s="102" t="n"/>
      <c r="AE1139" s="102" t="n"/>
      <c r="AF1139" s="102" t="n"/>
      <c r="AG1139" s="102" t="n"/>
      <c r="AH1139" s="102" t="n"/>
      <c r="AI1139" s="102" t="n"/>
      <c r="AJ1139" s="102" t="n"/>
      <c r="AK1139" s="102" t="n"/>
      <c r="AL1139" s="102" t="n"/>
      <c r="AM1139" s="102" t="n"/>
      <c r="AN1139" s="102" t="n"/>
      <c r="AO1139" s="102" t="n"/>
      <c r="AP1139" s="102" t="n"/>
      <c r="AQ1139" s="102" t="n"/>
      <c r="AR1139" s="102" t="n"/>
    </row>
    <row r="1140">
      <c r="D1140" s="102" t="n"/>
      <c r="E1140" s="102" t="n"/>
      <c r="F1140" s="102" t="n"/>
      <c r="G1140" s="102" t="n"/>
      <c r="H1140" s="102" t="n"/>
      <c r="I1140" s="102" t="n"/>
      <c r="J1140" s="102" t="n"/>
      <c r="K1140" s="102" t="n"/>
      <c r="L1140" s="102" t="n"/>
      <c r="M1140" s="102" t="n"/>
      <c r="N1140" s="102" t="n"/>
      <c r="O1140" s="102" t="n"/>
      <c r="P1140" s="102" t="n"/>
      <c r="Q1140" s="102" t="n"/>
      <c r="R1140" s="102" t="n"/>
      <c r="S1140" s="102" t="n"/>
      <c r="T1140" s="102" t="n"/>
      <c r="U1140" s="102" t="n"/>
      <c r="V1140" s="102" t="n"/>
      <c r="W1140" s="102" t="n"/>
      <c r="X1140" s="102" t="n"/>
      <c r="Y1140" s="102" t="n"/>
      <c r="Z1140" s="102" t="n"/>
      <c r="AA1140" s="102" t="n"/>
      <c r="AB1140" s="102" t="n"/>
      <c r="AC1140" s="102" t="n"/>
      <c r="AD1140" s="102" t="n"/>
      <c r="AE1140" s="102" t="n"/>
      <c r="AF1140" s="102" t="n"/>
      <c r="AG1140" s="102" t="n"/>
      <c r="AH1140" s="102" t="n"/>
      <c r="AI1140" s="102" t="n"/>
      <c r="AJ1140" s="102" t="n"/>
      <c r="AK1140" s="102" t="n"/>
      <c r="AL1140" s="102" t="n"/>
      <c r="AM1140" s="102" t="n"/>
      <c r="AN1140" s="102" t="n"/>
      <c r="AO1140" s="102" t="n"/>
      <c r="AP1140" s="102" t="n"/>
      <c r="AQ1140" s="102" t="n"/>
      <c r="AR1140" s="102" t="n"/>
    </row>
    <row r="1141">
      <c r="D1141" s="160" t="n"/>
      <c r="E1141" s="160" t="n"/>
      <c r="F1141" s="160" t="n"/>
      <c r="G1141" s="160" t="n"/>
      <c r="H1141" s="160" t="n"/>
      <c r="I1141" s="160" t="n"/>
      <c r="J1141" s="160" t="n"/>
      <c r="K1141" s="160" t="n"/>
      <c r="L1141" s="160" t="n"/>
      <c r="M1141" s="160" t="n"/>
      <c r="N1141" s="160" t="n"/>
      <c r="O1141" s="160" t="n"/>
      <c r="P1141" s="160" t="n"/>
      <c r="Q1141" s="160" t="n"/>
      <c r="R1141" s="160" t="n"/>
      <c r="S1141" s="160" t="n"/>
      <c r="T1141" s="160" t="n"/>
      <c r="U1141" s="160" t="n"/>
      <c r="V1141" s="160" t="n"/>
      <c r="W1141" s="160" t="n"/>
      <c r="X1141" s="160" t="n"/>
      <c r="Y1141" s="160" t="n"/>
      <c r="Z1141" s="160" t="n"/>
      <c r="AA1141" s="160" t="n"/>
      <c r="AB1141" s="160" t="n"/>
      <c r="AC1141" s="160" t="n"/>
      <c r="AD1141" s="160" t="n"/>
      <c r="AE1141" s="160" t="n"/>
      <c r="AF1141" s="160" t="n"/>
      <c r="AG1141" s="160" t="n"/>
      <c r="AH1141" s="160" t="n"/>
      <c r="AI1141" s="160" t="n"/>
      <c r="AJ1141" s="160" t="n"/>
      <c r="AK1141" s="160" t="n"/>
      <c r="AL1141" s="160" t="n"/>
      <c r="AM1141" s="160" t="n"/>
      <c r="AN1141" s="160" t="n"/>
      <c r="AO1141" s="160" t="n"/>
      <c r="AP1141" s="160" t="n"/>
      <c r="AQ1141" s="160" t="n"/>
      <c r="AR1141" s="160" t="n"/>
    </row>
    <row r="1144">
      <c r="A1144" s="2">
        <f>IF($A1137="","","   projections")</f>
        <v/>
      </c>
      <c r="B1144" s="158">
        <f>IF($A1137="",0,COUNT($E1145:$AR1145))</f>
        <v/>
      </c>
      <c r="C1144" s="159">
        <f>IF($B1144=0,0,MAX($E1145:$AR1145))</f>
        <v/>
      </c>
      <c r="D1144" s="101">
        <f>BDS($A1137,FLD_PROJ,"headers=y","startcol=1","endcol=3","dir=h")</f>
        <v/>
      </c>
      <c r="E1144" s="102" t="n"/>
      <c r="F1144" s="102" t="n"/>
      <c r="G1144" s="102" t="n"/>
      <c r="H1144" s="102" t="n"/>
      <c r="I1144" s="102" t="n"/>
      <c r="J1144" s="102" t="n"/>
      <c r="K1144" s="102" t="n"/>
      <c r="L1144" s="102" t="n"/>
      <c r="M1144" s="102" t="n"/>
      <c r="N1144" s="102" t="n"/>
      <c r="O1144" s="102" t="n"/>
      <c r="P1144" s="102" t="n"/>
      <c r="Q1144" s="102" t="n"/>
      <c r="R1144" s="102" t="n"/>
      <c r="S1144" s="102" t="n"/>
      <c r="T1144" s="102" t="n"/>
      <c r="U1144" s="102" t="n"/>
      <c r="V1144" s="102" t="n"/>
      <c r="W1144" s="102" t="n"/>
      <c r="X1144" s="102" t="n"/>
      <c r="Y1144" s="102" t="n"/>
      <c r="Z1144" s="102" t="n"/>
      <c r="AA1144" s="102" t="n"/>
      <c r="AB1144" s="102" t="n"/>
      <c r="AC1144" s="102" t="n"/>
      <c r="AD1144" s="102" t="n"/>
      <c r="AE1144" s="102" t="n"/>
      <c r="AF1144" s="102" t="n"/>
      <c r="AG1144" s="102" t="n"/>
      <c r="AH1144" s="102" t="n"/>
      <c r="AI1144" s="102" t="n"/>
      <c r="AJ1144" s="102" t="n"/>
      <c r="AK1144" s="102" t="n"/>
      <c r="AL1144" s="102" t="n"/>
      <c r="AM1144" s="102" t="n"/>
      <c r="AN1144" s="102" t="n"/>
      <c r="AO1144" s="102" t="n"/>
      <c r="AP1144" s="102" t="n"/>
      <c r="AQ1144" s="102" t="n"/>
      <c r="AR1144" s="102" t="n"/>
    </row>
    <row r="1145">
      <c r="D1145" s="102" t="n"/>
      <c r="E1145" s="102" t="n"/>
      <c r="F1145" s="102" t="n"/>
      <c r="G1145" s="102" t="n"/>
      <c r="H1145" s="102" t="n"/>
      <c r="I1145" s="102" t="n"/>
      <c r="J1145" s="102" t="n"/>
      <c r="K1145" s="102" t="n"/>
      <c r="L1145" s="102" t="n"/>
      <c r="M1145" s="102" t="n"/>
      <c r="N1145" s="102" t="n"/>
      <c r="O1145" s="102" t="n"/>
      <c r="P1145" s="102" t="n"/>
      <c r="Q1145" s="102" t="n"/>
      <c r="R1145" s="102" t="n"/>
      <c r="S1145" s="102" t="n"/>
      <c r="T1145" s="102" t="n"/>
      <c r="U1145" s="102" t="n"/>
      <c r="V1145" s="102" t="n"/>
      <c r="W1145" s="102" t="n"/>
      <c r="X1145" s="102" t="n"/>
      <c r="Y1145" s="102" t="n"/>
      <c r="Z1145" s="102" t="n"/>
      <c r="AA1145" s="102" t="n"/>
      <c r="AB1145" s="102" t="n"/>
      <c r="AC1145" s="102" t="n"/>
      <c r="AD1145" s="102" t="n"/>
      <c r="AE1145" s="102" t="n"/>
      <c r="AF1145" s="102" t="n"/>
      <c r="AG1145" s="102" t="n"/>
      <c r="AH1145" s="102" t="n"/>
      <c r="AI1145" s="102" t="n"/>
      <c r="AJ1145" s="102" t="n"/>
      <c r="AK1145" s="102" t="n"/>
      <c r="AL1145" s="102" t="n"/>
      <c r="AM1145" s="102" t="n"/>
      <c r="AN1145" s="102" t="n"/>
      <c r="AO1145" s="102" t="n"/>
      <c r="AP1145" s="102" t="n"/>
      <c r="AQ1145" s="102" t="n"/>
      <c r="AR1145" s="102" t="n"/>
    </row>
    <row r="1146">
      <c r="D1146" s="160" t="n"/>
      <c r="E1146" s="160" t="n"/>
      <c r="F1146" s="160" t="n"/>
      <c r="G1146" s="160" t="n"/>
      <c r="H1146" s="160" t="n"/>
      <c r="I1146" s="160" t="n"/>
      <c r="J1146" s="160" t="n"/>
      <c r="K1146" s="160" t="n"/>
      <c r="L1146" s="160" t="n"/>
      <c r="M1146" s="160" t="n"/>
      <c r="N1146" s="160" t="n"/>
      <c r="O1146" s="160" t="n"/>
      <c r="P1146" s="160" t="n"/>
      <c r="Q1146" s="160" t="n"/>
      <c r="R1146" s="160" t="n"/>
      <c r="S1146" s="160" t="n"/>
      <c r="T1146" s="160" t="n"/>
      <c r="U1146" s="160" t="n"/>
      <c r="V1146" s="160" t="n"/>
      <c r="W1146" s="160" t="n"/>
      <c r="X1146" s="160" t="n"/>
      <c r="Y1146" s="160" t="n"/>
      <c r="Z1146" s="160" t="n"/>
      <c r="AA1146" s="160" t="n"/>
      <c r="AB1146" s="160" t="n"/>
      <c r="AC1146" s="160" t="n"/>
      <c r="AD1146" s="160" t="n"/>
      <c r="AE1146" s="160" t="n"/>
      <c r="AF1146" s="160" t="n"/>
      <c r="AG1146" s="160" t="n"/>
      <c r="AH1146" s="160" t="n"/>
      <c r="AI1146" s="160" t="n"/>
      <c r="AJ1146" s="160" t="n"/>
      <c r="AK1146" s="160" t="n"/>
      <c r="AL1146" s="160" t="n"/>
      <c r="AM1146" s="160" t="n"/>
      <c r="AN1146" s="160" t="n"/>
      <c r="AO1146" s="160" t="n"/>
      <c r="AP1146" s="160" t="n"/>
      <c r="AQ1146" s="160" t="n"/>
      <c r="AR1146" s="160" t="n"/>
    </row>
    <row r="1148">
      <c r="A1148" s="8">
        <f>IF(HSTECH!$C$10="","",HSTECH!$C$10)</f>
        <v/>
      </c>
      <c r="B1148" s="158">
        <f>IF($A1148="",0,COUNT($E1149:$AR1149))</f>
        <v/>
      </c>
      <c r="C1148" s="159">
        <f>IF($B1148=0,0,MAX($E1149:$AR1149))</f>
        <v/>
      </c>
      <c r="D1148" s="101">
        <f>BDS($A1148,FLD_HIST,"headers=y","startcol=1","endcol=7","dir=h","DVD_START_DT",HIST_FROM,"DVD_END_DT",HIST_TO)</f>
        <v/>
      </c>
      <c r="E1148" s="102" t="n"/>
      <c r="F1148" s="102" t="n"/>
      <c r="G1148" s="102" t="n"/>
      <c r="H1148" s="102" t="n"/>
      <c r="I1148" s="102" t="n"/>
      <c r="J1148" s="102" t="n"/>
      <c r="K1148" s="102" t="n"/>
      <c r="L1148" s="102" t="n"/>
      <c r="M1148" s="102" t="n"/>
      <c r="N1148" s="102" t="n"/>
      <c r="O1148" s="102" t="n"/>
      <c r="P1148" s="102" t="n"/>
      <c r="Q1148" s="102" t="n"/>
      <c r="R1148" s="102" t="n"/>
      <c r="S1148" s="102" t="n"/>
      <c r="T1148" s="102" t="n"/>
      <c r="U1148" s="102" t="n"/>
      <c r="V1148" s="102" t="n"/>
      <c r="W1148" s="102" t="n"/>
      <c r="X1148" s="102" t="n"/>
      <c r="Y1148" s="102" t="n"/>
      <c r="Z1148" s="102" t="n"/>
      <c r="AA1148" s="102" t="n"/>
      <c r="AB1148" s="102" t="n"/>
      <c r="AC1148" s="102" t="n"/>
      <c r="AD1148" s="102" t="n"/>
      <c r="AE1148" s="102" t="n"/>
      <c r="AF1148" s="102" t="n"/>
      <c r="AG1148" s="102" t="n"/>
      <c r="AH1148" s="102" t="n"/>
      <c r="AI1148" s="102" t="n"/>
      <c r="AJ1148" s="102" t="n"/>
      <c r="AK1148" s="102" t="n"/>
      <c r="AL1148" s="102" t="n"/>
      <c r="AM1148" s="102" t="n"/>
      <c r="AN1148" s="102" t="n"/>
      <c r="AO1148" s="102" t="n"/>
      <c r="AP1148" s="102" t="n"/>
      <c r="AQ1148" s="102" t="n"/>
      <c r="AR1148" s="102" t="n"/>
    </row>
    <row r="1149">
      <c r="D1149" s="102" t="n"/>
      <c r="E1149" s="102" t="n"/>
      <c r="F1149" s="102" t="n"/>
      <c r="G1149" s="102" t="n"/>
      <c r="H1149" s="102" t="n"/>
      <c r="I1149" s="102" t="n"/>
      <c r="J1149" s="102" t="n"/>
      <c r="K1149" s="102" t="n"/>
      <c r="L1149" s="102" t="n"/>
      <c r="M1149" s="102" t="n"/>
      <c r="N1149" s="102" t="n"/>
      <c r="O1149" s="102" t="n"/>
      <c r="P1149" s="102" t="n"/>
      <c r="Q1149" s="102" t="n"/>
      <c r="R1149" s="102" t="n"/>
      <c r="S1149" s="102" t="n"/>
      <c r="T1149" s="102" t="n"/>
      <c r="U1149" s="102" t="n"/>
      <c r="V1149" s="102" t="n"/>
      <c r="W1149" s="102" t="n"/>
      <c r="X1149" s="102" t="n"/>
      <c r="Y1149" s="102" t="n"/>
      <c r="Z1149" s="102" t="n"/>
      <c r="AA1149" s="102" t="n"/>
      <c r="AB1149" s="102" t="n"/>
      <c r="AC1149" s="102" t="n"/>
      <c r="AD1149" s="102" t="n"/>
      <c r="AE1149" s="102" t="n"/>
      <c r="AF1149" s="102" t="n"/>
      <c r="AG1149" s="102" t="n"/>
      <c r="AH1149" s="102" t="n"/>
      <c r="AI1149" s="102" t="n"/>
      <c r="AJ1149" s="102" t="n"/>
      <c r="AK1149" s="102" t="n"/>
      <c r="AL1149" s="102" t="n"/>
      <c r="AM1149" s="102" t="n"/>
      <c r="AN1149" s="102" t="n"/>
      <c r="AO1149" s="102" t="n"/>
      <c r="AP1149" s="102" t="n"/>
      <c r="AQ1149" s="102" t="n"/>
      <c r="AR1149" s="102" t="n"/>
    </row>
    <row r="1150">
      <c r="D1150" s="102" t="n"/>
      <c r="E1150" s="102" t="n"/>
      <c r="F1150" s="102" t="n"/>
      <c r="G1150" s="102" t="n"/>
      <c r="H1150" s="102" t="n"/>
      <c r="I1150" s="102" t="n"/>
      <c r="J1150" s="102" t="n"/>
      <c r="K1150" s="102" t="n"/>
      <c r="L1150" s="102" t="n"/>
      <c r="M1150" s="102" t="n"/>
      <c r="N1150" s="102" t="n"/>
      <c r="O1150" s="102" t="n"/>
      <c r="P1150" s="102" t="n"/>
      <c r="Q1150" s="102" t="n"/>
      <c r="R1150" s="102" t="n"/>
      <c r="S1150" s="102" t="n"/>
      <c r="T1150" s="102" t="n"/>
      <c r="U1150" s="102" t="n"/>
      <c r="V1150" s="102" t="n"/>
      <c r="W1150" s="102" t="n"/>
      <c r="X1150" s="102" t="n"/>
      <c r="Y1150" s="102" t="n"/>
      <c r="Z1150" s="102" t="n"/>
      <c r="AA1150" s="102" t="n"/>
      <c r="AB1150" s="102" t="n"/>
      <c r="AC1150" s="102" t="n"/>
      <c r="AD1150" s="102" t="n"/>
      <c r="AE1150" s="102" t="n"/>
      <c r="AF1150" s="102" t="n"/>
      <c r="AG1150" s="102" t="n"/>
      <c r="AH1150" s="102" t="n"/>
      <c r="AI1150" s="102" t="n"/>
      <c r="AJ1150" s="102" t="n"/>
      <c r="AK1150" s="102" t="n"/>
      <c r="AL1150" s="102" t="n"/>
      <c r="AM1150" s="102" t="n"/>
      <c r="AN1150" s="102" t="n"/>
      <c r="AO1150" s="102" t="n"/>
      <c r="AP1150" s="102" t="n"/>
      <c r="AQ1150" s="102" t="n"/>
      <c r="AR1150" s="102" t="n"/>
    </row>
    <row r="1151">
      <c r="D1151" s="102" t="n"/>
      <c r="E1151" s="102" t="n"/>
      <c r="F1151" s="102" t="n"/>
      <c r="G1151" s="102" t="n"/>
      <c r="H1151" s="102" t="n"/>
      <c r="I1151" s="102" t="n"/>
      <c r="J1151" s="102" t="n"/>
      <c r="K1151" s="102" t="n"/>
      <c r="L1151" s="102" t="n"/>
      <c r="M1151" s="102" t="n"/>
      <c r="N1151" s="102" t="n"/>
      <c r="O1151" s="102" t="n"/>
      <c r="P1151" s="102" t="n"/>
      <c r="Q1151" s="102" t="n"/>
      <c r="R1151" s="102" t="n"/>
      <c r="S1151" s="102" t="n"/>
      <c r="T1151" s="102" t="n"/>
      <c r="U1151" s="102" t="n"/>
      <c r="V1151" s="102" t="n"/>
      <c r="W1151" s="102" t="n"/>
      <c r="X1151" s="102" t="n"/>
      <c r="Y1151" s="102" t="n"/>
      <c r="Z1151" s="102" t="n"/>
      <c r="AA1151" s="102" t="n"/>
      <c r="AB1151" s="102" t="n"/>
      <c r="AC1151" s="102" t="n"/>
      <c r="AD1151" s="102" t="n"/>
      <c r="AE1151" s="102" t="n"/>
      <c r="AF1151" s="102" t="n"/>
      <c r="AG1151" s="102" t="n"/>
      <c r="AH1151" s="102" t="n"/>
      <c r="AI1151" s="102" t="n"/>
      <c r="AJ1151" s="102" t="n"/>
      <c r="AK1151" s="102" t="n"/>
      <c r="AL1151" s="102" t="n"/>
      <c r="AM1151" s="102" t="n"/>
      <c r="AN1151" s="102" t="n"/>
      <c r="AO1151" s="102" t="n"/>
      <c r="AP1151" s="102" t="n"/>
      <c r="AQ1151" s="102" t="n"/>
      <c r="AR1151" s="102" t="n"/>
    </row>
    <row r="1152">
      <c r="D1152" s="160" t="n"/>
      <c r="E1152" s="160" t="n"/>
      <c r="F1152" s="160" t="n"/>
      <c r="G1152" s="160" t="n"/>
      <c r="H1152" s="160" t="n"/>
      <c r="I1152" s="160" t="n"/>
      <c r="J1152" s="160" t="n"/>
      <c r="K1152" s="160" t="n"/>
      <c r="L1152" s="160" t="n"/>
      <c r="M1152" s="160" t="n"/>
      <c r="N1152" s="160" t="n"/>
      <c r="O1152" s="160" t="n"/>
      <c r="P1152" s="160" t="n"/>
      <c r="Q1152" s="160" t="n"/>
      <c r="R1152" s="160" t="n"/>
      <c r="S1152" s="160" t="n"/>
      <c r="T1152" s="160" t="n"/>
      <c r="U1152" s="160" t="n"/>
      <c r="V1152" s="160" t="n"/>
      <c r="W1152" s="160" t="n"/>
      <c r="X1152" s="160" t="n"/>
      <c r="Y1152" s="160" t="n"/>
      <c r="Z1152" s="160" t="n"/>
      <c r="AA1152" s="160" t="n"/>
      <c r="AB1152" s="160" t="n"/>
      <c r="AC1152" s="160" t="n"/>
      <c r="AD1152" s="160" t="n"/>
      <c r="AE1152" s="160" t="n"/>
      <c r="AF1152" s="160" t="n"/>
      <c r="AG1152" s="160" t="n"/>
      <c r="AH1152" s="160" t="n"/>
      <c r="AI1152" s="160" t="n"/>
      <c r="AJ1152" s="160" t="n"/>
      <c r="AK1152" s="160" t="n"/>
      <c r="AL1152" s="160" t="n"/>
      <c r="AM1152" s="160" t="n"/>
      <c r="AN1152" s="160" t="n"/>
      <c r="AO1152" s="160" t="n"/>
      <c r="AP1152" s="160" t="n"/>
      <c r="AQ1152" s="160" t="n"/>
      <c r="AR1152" s="160" t="n"/>
    </row>
    <row r="1155">
      <c r="A1155" s="2">
        <f>IF($A1148="","","   projections")</f>
        <v/>
      </c>
      <c r="B1155" s="158">
        <f>IF($A1148="",0,COUNT($E1156:$AR1156))</f>
        <v/>
      </c>
      <c r="C1155" s="159">
        <f>IF($B1155=0,0,MAX($E1156:$AR1156))</f>
        <v/>
      </c>
      <c r="D1155" s="101">
        <f>BDS($A1148,FLD_PROJ,"headers=y","startcol=1","endcol=3","dir=h")</f>
        <v/>
      </c>
      <c r="E1155" s="102" t="n"/>
      <c r="F1155" s="102" t="n"/>
      <c r="G1155" s="102" t="n"/>
      <c r="H1155" s="102" t="n"/>
      <c r="I1155" s="102" t="n"/>
      <c r="J1155" s="102" t="n"/>
      <c r="K1155" s="102" t="n"/>
      <c r="L1155" s="102" t="n"/>
      <c r="M1155" s="102" t="n"/>
      <c r="N1155" s="102" t="n"/>
      <c r="O1155" s="102" t="n"/>
      <c r="P1155" s="102" t="n"/>
      <c r="Q1155" s="102" t="n"/>
      <c r="R1155" s="102" t="n"/>
      <c r="S1155" s="102" t="n"/>
      <c r="T1155" s="102" t="n"/>
      <c r="U1155" s="102" t="n"/>
      <c r="V1155" s="102" t="n"/>
      <c r="W1155" s="102" t="n"/>
      <c r="X1155" s="102" t="n"/>
      <c r="Y1155" s="102" t="n"/>
      <c r="Z1155" s="102" t="n"/>
      <c r="AA1155" s="102" t="n"/>
      <c r="AB1155" s="102" t="n"/>
      <c r="AC1155" s="102" t="n"/>
      <c r="AD1155" s="102" t="n"/>
      <c r="AE1155" s="102" t="n"/>
      <c r="AF1155" s="102" t="n"/>
      <c r="AG1155" s="102" t="n"/>
      <c r="AH1155" s="102" t="n"/>
      <c r="AI1155" s="102" t="n"/>
      <c r="AJ1155" s="102" t="n"/>
      <c r="AK1155" s="102" t="n"/>
      <c r="AL1155" s="102" t="n"/>
      <c r="AM1155" s="102" t="n"/>
      <c r="AN1155" s="102" t="n"/>
      <c r="AO1155" s="102" t="n"/>
      <c r="AP1155" s="102" t="n"/>
      <c r="AQ1155" s="102" t="n"/>
      <c r="AR1155" s="102" t="n"/>
    </row>
    <row r="1156">
      <c r="D1156" s="102" t="n"/>
      <c r="E1156" s="102" t="n"/>
      <c r="F1156" s="102" t="n"/>
      <c r="G1156" s="102" t="n"/>
      <c r="H1156" s="102" t="n"/>
      <c r="I1156" s="102" t="n"/>
      <c r="J1156" s="102" t="n"/>
      <c r="K1156" s="102" t="n"/>
      <c r="L1156" s="102" t="n"/>
      <c r="M1156" s="102" t="n"/>
      <c r="N1156" s="102" t="n"/>
      <c r="O1156" s="102" t="n"/>
      <c r="P1156" s="102" t="n"/>
      <c r="Q1156" s="102" t="n"/>
      <c r="R1156" s="102" t="n"/>
      <c r="S1156" s="102" t="n"/>
      <c r="T1156" s="102" t="n"/>
      <c r="U1156" s="102" t="n"/>
      <c r="V1156" s="102" t="n"/>
      <c r="W1156" s="102" t="n"/>
      <c r="X1156" s="102" t="n"/>
      <c r="Y1156" s="102" t="n"/>
      <c r="Z1156" s="102" t="n"/>
      <c r="AA1156" s="102" t="n"/>
      <c r="AB1156" s="102" t="n"/>
      <c r="AC1156" s="102" t="n"/>
      <c r="AD1156" s="102" t="n"/>
      <c r="AE1156" s="102" t="n"/>
      <c r="AF1156" s="102" t="n"/>
      <c r="AG1156" s="102" t="n"/>
      <c r="AH1156" s="102" t="n"/>
      <c r="AI1156" s="102" t="n"/>
      <c r="AJ1156" s="102" t="n"/>
      <c r="AK1156" s="102" t="n"/>
      <c r="AL1156" s="102" t="n"/>
      <c r="AM1156" s="102" t="n"/>
      <c r="AN1156" s="102" t="n"/>
      <c r="AO1156" s="102" t="n"/>
      <c r="AP1156" s="102" t="n"/>
      <c r="AQ1156" s="102" t="n"/>
      <c r="AR1156" s="102" t="n"/>
    </row>
    <row r="1157">
      <c r="D1157" s="160" t="n"/>
      <c r="E1157" s="160" t="n"/>
      <c r="F1157" s="160" t="n"/>
      <c r="G1157" s="160" t="n"/>
      <c r="H1157" s="160" t="n"/>
      <c r="I1157" s="160" t="n"/>
      <c r="J1157" s="160" t="n"/>
      <c r="K1157" s="160" t="n"/>
      <c r="L1157" s="160" t="n"/>
      <c r="M1157" s="160" t="n"/>
      <c r="N1157" s="160" t="n"/>
      <c r="O1157" s="160" t="n"/>
      <c r="P1157" s="160" t="n"/>
      <c r="Q1157" s="160" t="n"/>
      <c r="R1157" s="160" t="n"/>
      <c r="S1157" s="160" t="n"/>
      <c r="T1157" s="160" t="n"/>
      <c r="U1157" s="160" t="n"/>
      <c r="V1157" s="160" t="n"/>
      <c r="W1157" s="160" t="n"/>
      <c r="X1157" s="160" t="n"/>
      <c r="Y1157" s="160" t="n"/>
      <c r="Z1157" s="160" t="n"/>
      <c r="AA1157" s="160" t="n"/>
      <c r="AB1157" s="160" t="n"/>
      <c r="AC1157" s="160" t="n"/>
      <c r="AD1157" s="160" t="n"/>
      <c r="AE1157" s="160" t="n"/>
      <c r="AF1157" s="160" t="n"/>
      <c r="AG1157" s="160" t="n"/>
      <c r="AH1157" s="160" t="n"/>
      <c r="AI1157" s="160" t="n"/>
      <c r="AJ1157" s="160" t="n"/>
      <c r="AK1157" s="160" t="n"/>
      <c r="AL1157" s="160" t="n"/>
      <c r="AM1157" s="160" t="n"/>
      <c r="AN1157" s="160" t="n"/>
      <c r="AO1157" s="160" t="n"/>
      <c r="AP1157" s="160" t="n"/>
      <c r="AQ1157" s="160" t="n"/>
      <c r="AR1157" s="160" t="n"/>
    </row>
    <row r="1159">
      <c r="A1159" s="8">
        <f>IF(HSTECH!$C$11="","",HSTECH!$C$11)</f>
        <v/>
      </c>
      <c r="B1159" s="158">
        <f>IF($A1159="",0,COUNT($E1160:$AR1160))</f>
        <v/>
      </c>
      <c r="C1159" s="159">
        <f>IF($B1159=0,0,MAX($E1160:$AR1160))</f>
        <v/>
      </c>
      <c r="D1159" s="101">
        <f>BDS($A1159,FLD_HIST,"headers=y","startcol=1","endcol=7","dir=h","DVD_START_DT",HIST_FROM,"DVD_END_DT",HIST_TO)</f>
        <v/>
      </c>
      <c r="E1159" s="102" t="n"/>
      <c r="F1159" s="102" t="n"/>
      <c r="G1159" s="102" t="n"/>
      <c r="H1159" s="102" t="n"/>
      <c r="I1159" s="102" t="n"/>
      <c r="J1159" s="102" t="n"/>
      <c r="K1159" s="102" t="n"/>
      <c r="L1159" s="102" t="n"/>
      <c r="M1159" s="102" t="n"/>
      <c r="N1159" s="102" t="n"/>
      <c r="O1159" s="102" t="n"/>
      <c r="P1159" s="102" t="n"/>
      <c r="Q1159" s="102" t="n"/>
      <c r="R1159" s="102" t="n"/>
      <c r="S1159" s="102" t="n"/>
      <c r="T1159" s="102" t="n"/>
      <c r="U1159" s="102" t="n"/>
      <c r="V1159" s="102" t="n"/>
      <c r="W1159" s="102" t="n"/>
      <c r="X1159" s="102" t="n"/>
      <c r="Y1159" s="102" t="n"/>
      <c r="Z1159" s="102" t="n"/>
      <c r="AA1159" s="102" t="n"/>
      <c r="AB1159" s="102" t="n"/>
      <c r="AC1159" s="102" t="n"/>
      <c r="AD1159" s="102" t="n"/>
      <c r="AE1159" s="102" t="n"/>
      <c r="AF1159" s="102" t="n"/>
      <c r="AG1159" s="102" t="n"/>
      <c r="AH1159" s="102" t="n"/>
      <c r="AI1159" s="102" t="n"/>
      <c r="AJ1159" s="102" t="n"/>
      <c r="AK1159" s="102" t="n"/>
      <c r="AL1159" s="102" t="n"/>
      <c r="AM1159" s="102" t="n"/>
      <c r="AN1159" s="102" t="n"/>
      <c r="AO1159" s="102" t="n"/>
      <c r="AP1159" s="102" t="n"/>
      <c r="AQ1159" s="102" t="n"/>
      <c r="AR1159" s="102" t="n"/>
    </row>
    <row r="1160">
      <c r="D1160" s="102" t="n"/>
      <c r="E1160" s="102" t="n"/>
      <c r="F1160" s="102" t="n"/>
      <c r="G1160" s="102" t="n"/>
      <c r="H1160" s="102" t="n"/>
      <c r="I1160" s="102" t="n"/>
      <c r="J1160" s="102" t="n"/>
      <c r="K1160" s="102" t="n"/>
      <c r="L1160" s="102" t="n"/>
      <c r="M1160" s="102" t="n"/>
      <c r="N1160" s="102" t="n"/>
      <c r="O1160" s="102" t="n"/>
      <c r="P1160" s="102" t="n"/>
      <c r="Q1160" s="102" t="n"/>
      <c r="R1160" s="102" t="n"/>
      <c r="S1160" s="102" t="n"/>
      <c r="T1160" s="102" t="n"/>
      <c r="U1160" s="102" t="n"/>
      <c r="V1160" s="102" t="n"/>
      <c r="W1160" s="102" t="n"/>
      <c r="X1160" s="102" t="n"/>
      <c r="Y1160" s="102" t="n"/>
      <c r="Z1160" s="102" t="n"/>
      <c r="AA1160" s="102" t="n"/>
      <c r="AB1160" s="102" t="n"/>
      <c r="AC1160" s="102" t="n"/>
      <c r="AD1160" s="102" t="n"/>
      <c r="AE1160" s="102" t="n"/>
      <c r="AF1160" s="102" t="n"/>
      <c r="AG1160" s="102" t="n"/>
      <c r="AH1160" s="102" t="n"/>
      <c r="AI1160" s="102" t="n"/>
      <c r="AJ1160" s="102" t="n"/>
      <c r="AK1160" s="102" t="n"/>
      <c r="AL1160" s="102" t="n"/>
      <c r="AM1160" s="102" t="n"/>
      <c r="AN1160" s="102" t="n"/>
      <c r="AO1160" s="102" t="n"/>
      <c r="AP1160" s="102" t="n"/>
      <c r="AQ1160" s="102" t="n"/>
      <c r="AR1160" s="102" t="n"/>
    </row>
    <row r="1161">
      <c r="D1161" s="102" t="n"/>
      <c r="E1161" s="102" t="n"/>
      <c r="F1161" s="102" t="n"/>
      <c r="G1161" s="102" t="n"/>
      <c r="H1161" s="102" t="n"/>
      <c r="I1161" s="102" t="n"/>
      <c r="J1161" s="102" t="n"/>
      <c r="K1161" s="102" t="n"/>
      <c r="L1161" s="102" t="n"/>
      <c r="M1161" s="102" t="n"/>
      <c r="N1161" s="102" t="n"/>
      <c r="O1161" s="102" t="n"/>
      <c r="P1161" s="102" t="n"/>
      <c r="Q1161" s="102" t="n"/>
      <c r="R1161" s="102" t="n"/>
      <c r="S1161" s="102" t="n"/>
      <c r="T1161" s="102" t="n"/>
      <c r="U1161" s="102" t="n"/>
      <c r="V1161" s="102" t="n"/>
      <c r="W1161" s="102" t="n"/>
      <c r="X1161" s="102" t="n"/>
      <c r="Y1161" s="102" t="n"/>
      <c r="Z1161" s="102" t="n"/>
      <c r="AA1161" s="102" t="n"/>
      <c r="AB1161" s="102" t="n"/>
      <c r="AC1161" s="102" t="n"/>
      <c r="AD1161" s="102" t="n"/>
      <c r="AE1161" s="102" t="n"/>
      <c r="AF1161" s="102" t="n"/>
      <c r="AG1161" s="102" t="n"/>
      <c r="AH1161" s="102" t="n"/>
      <c r="AI1161" s="102" t="n"/>
      <c r="AJ1161" s="102" t="n"/>
      <c r="AK1161" s="102" t="n"/>
      <c r="AL1161" s="102" t="n"/>
      <c r="AM1161" s="102" t="n"/>
      <c r="AN1161" s="102" t="n"/>
      <c r="AO1161" s="102" t="n"/>
      <c r="AP1161" s="102" t="n"/>
      <c r="AQ1161" s="102" t="n"/>
      <c r="AR1161" s="102" t="n"/>
    </row>
    <row r="1162">
      <c r="D1162" s="102" t="n"/>
      <c r="E1162" s="102" t="n"/>
      <c r="F1162" s="102" t="n"/>
      <c r="G1162" s="102" t="n"/>
      <c r="H1162" s="102" t="n"/>
      <c r="I1162" s="102" t="n"/>
      <c r="J1162" s="102" t="n"/>
      <c r="K1162" s="102" t="n"/>
      <c r="L1162" s="102" t="n"/>
      <c r="M1162" s="102" t="n"/>
      <c r="N1162" s="102" t="n"/>
      <c r="O1162" s="102" t="n"/>
      <c r="P1162" s="102" t="n"/>
      <c r="Q1162" s="102" t="n"/>
      <c r="R1162" s="102" t="n"/>
      <c r="S1162" s="102" t="n"/>
      <c r="T1162" s="102" t="n"/>
      <c r="U1162" s="102" t="n"/>
      <c r="V1162" s="102" t="n"/>
      <c r="W1162" s="102" t="n"/>
      <c r="X1162" s="102" t="n"/>
      <c r="Y1162" s="102" t="n"/>
      <c r="Z1162" s="102" t="n"/>
      <c r="AA1162" s="102" t="n"/>
      <c r="AB1162" s="102" t="n"/>
      <c r="AC1162" s="102" t="n"/>
      <c r="AD1162" s="102" t="n"/>
      <c r="AE1162" s="102" t="n"/>
      <c r="AF1162" s="102" t="n"/>
      <c r="AG1162" s="102" t="n"/>
      <c r="AH1162" s="102" t="n"/>
      <c r="AI1162" s="102" t="n"/>
      <c r="AJ1162" s="102" t="n"/>
      <c r="AK1162" s="102" t="n"/>
      <c r="AL1162" s="102" t="n"/>
      <c r="AM1162" s="102" t="n"/>
      <c r="AN1162" s="102" t="n"/>
      <c r="AO1162" s="102" t="n"/>
      <c r="AP1162" s="102" t="n"/>
      <c r="AQ1162" s="102" t="n"/>
      <c r="AR1162" s="102" t="n"/>
    </row>
    <row r="1163">
      <c r="D1163" s="160" t="n"/>
      <c r="E1163" s="160" t="n"/>
      <c r="F1163" s="160" t="n"/>
      <c r="G1163" s="160" t="n"/>
      <c r="H1163" s="160" t="n"/>
      <c r="I1163" s="160" t="n"/>
      <c r="J1163" s="160" t="n"/>
      <c r="K1163" s="160" t="n"/>
      <c r="L1163" s="160" t="n"/>
      <c r="M1163" s="160" t="n"/>
      <c r="N1163" s="160" t="n"/>
      <c r="O1163" s="160" t="n"/>
      <c r="P1163" s="160" t="n"/>
      <c r="Q1163" s="160" t="n"/>
      <c r="R1163" s="160" t="n"/>
      <c r="S1163" s="160" t="n"/>
      <c r="T1163" s="160" t="n"/>
      <c r="U1163" s="160" t="n"/>
      <c r="V1163" s="160" t="n"/>
      <c r="W1163" s="160" t="n"/>
      <c r="X1163" s="160" t="n"/>
      <c r="Y1163" s="160" t="n"/>
      <c r="Z1163" s="160" t="n"/>
      <c r="AA1163" s="160" t="n"/>
      <c r="AB1163" s="160" t="n"/>
      <c r="AC1163" s="160" t="n"/>
      <c r="AD1163" s="160" t="n"/>
      <c r="AE1163" s="160" t="n"/>
      <c r="AF1163" s="160" t="n"/>
      <c r="AG1163" s="160" t="n"/>
      <c r="AH1163" s="160" t="n"/>
      <c r="AI1163" s="160" t="n"/>
      <c r="AJ1163" s="160" t="n"/>
      <c r="AK1163" s="160" t="n"/>
      <c r="AL1163" s="160" t="n"/>
      <c r="AM1163" s="160" t="n"/>
      <c r="AN1163" s="160" t="n"/>
      <c r="AO1163" s="160" t="n"/>
      <c r="AP1163" s="160" t="n"/>
      <c r="AQ1163" s="160" t="n"/>
      <c r="AR1163" s="160" t="n"/>
    </row>
    <row r="1166">
      <c r="A1166" s="2">
        <f>IF($A1159="","","   projections")</f>
        <v/>
      </c>
      <c r="B1166" s="158">
        <f>IF($A1159="",0,COUNT($E1167:$AR1167))</f>
        <v/>
      </c>
      <c r="C1166" s="159">
        <f>IF($B1166=0,0,MAX($E1167:$AR1167))</f>
        <v/>
      </c>
      <c r="D1166" s="101">
        <f>BDS($A1159,FLD_PROJ,"headers=y","startcol=1","endcol=3","dir=h")</f>
        <v/>
      </c>
      <c r="E1166" s="102" t="n"/>
      <c r="F1166" s="102" t="n"/>
      <c r="G1166" s="102" t="n"/>
      <c r="H1166" s="102" t="n"/>
      <c r="I1166" s="102" t="n"/>
      <c r="J1166" s="102" t="n"/>
      <c r="K1166" s="102" t="n"/>
      <c r="L1166" s="102" t="n"/>
      <c r="M1166" s="102" t="n"/>
      <c r="N1166" s="102" t="n"/>
      <c r="O1166" s="102" t="n"/>
      <c r="P1166" s="102" t="n"/>
      <c r="Q1166" s="102" t="n"/>
      <c r="R1166" s="102" t="n"/>
      <c r="S1166" s="102" t="n"/>
      <c r="T1166" s="102" t="n"/>
      <c r="U1166" s="102" t="n"/>
      <c r="V1166" s="102" t="n"/>
      <c r="W1166" s="102" t="n"/>
      <c r="X1166" s="102" t="n"/>
      <c r="Y1166" s="102" t="n"/>
      <c r="Z1166" s="102" t="n"/>
      <c r="AA1166" s="102" t="n"/>
      <c r="AB1166" s="102" t="n"/>
      <c r="AC1166" s="102" t="n"/>
      <c r="AD1166" s="102" t="n"/>
      <c r="AE1166" s="102" t="n"/>
      <c r="AF1166" s="102" t="n"/>
      <c r="AG1166" s="102" t="n"/>
      <c r="AH1166" s="102" t="n"/>
      <c r="AI1166" s="102" t="n"/>
      <c r="AJ1166" s="102" t="n"/>
      <c r="AK1166" s="102" t="n"/>
      <c r="AL1166" s="102" t="n"/>
      <c r="AM1166" s="102" t="n"/>
      <c r="AN1166" s="102" t="n"/>
      <c r="AO1166" s="102" t="n"/>
      <c r="AP1166" s="102" t="n"/>
      <c r="AQ1166" s="102" t="n"/>
      <c r="AR1166" s="102" t="n"/>
    </row>
    <row r="1167">
      <c r="D1167" s="102" t="n"/>
      <c r="E1167" s="102" t="n"/>
      <c r="F1167" s="102" t="n"/>
      <c r="G1167" s="102" t="n"/>
      <c r="H1167" s="102" t="n"/>
      <c r="I1167" s="102" t="n"/>
      <c r="J1167" s="102" t="n"/>
      <c r="K1167" s="102" t="n"/>
      <c r="L1167" s="102" t="n"/>
      <c r="M1167" s="102" t="n"/>
      <c r="N1167" s="102" t="n"/>
      <c r="O1167" s="102" t="n"/>
      <c r="P1167" s="102" t="n"/>
      <c r="Q1167" s="102" t="n"/>
      <c r="R1167" s="102" t="n"/>
      <c r="S1167" s="102" t="n"/>
      <c r="T1167" s="102" t="n"/>
      <c r="U1167" s="102" t="n"/>
      <c r="V1167" s="102" t="n"/>
      <c r="W1167" s="102" t="n"/>
      <c r="X1167" s="102" t="n"/>
      <c r="Y1167" s="102" t="n"/>
      <c r="Z1167" s="102" t="n"/>
      <c r="AA1167" s="102" t="n"/>
      <c r="AB1167" s="102" t="n"/>
      <c r="AC1167" s="102" t="n"/>
      <c r="AD1167" s="102" t="n"/>
      <c r="AE1167" s="102" t="n"/>
      <c r="AF1167" s="102" t="n"/>
      <c r="AG1167" s="102" t="n"/>
      <c r="AH1167" s="102" t="n"/>
      <c r="AI1167" s="102" t="n"/>
      <c r="AJ1167" s="102" t="n"/>
      <c r="AK1167" s="102" t="n"/>
      <c r="AL1167" s="102" t="n"/>
      <c r="AM1167" s="102" t="n"/>
      <c r="AN1167" s="102" t="n"/>
      <c r="AO1167" s="102" t="n"/>
      <c r="AP1167" s="102" t="n"/>
      <c r="AQ1167" s="102" t="n"/>
      <c r="AR1167" s="102" t="n"/>
    </row>
    <row r="1168">
      <c r="D1168" s="160" t="n"/>
      <c r="E1168" s="160" t="n"/>
      <c r="F1168" s="160" t="n"/>
      <c r="G1168" s="160" t="n"/>
      <c r="H1168" s="160" t="n"/>
      <c r="I1168" s="160" t="n"/>
      <c r="J1168" s="160" t="n"/>
      <c r="K1168" s="160" t="n"/>
      <c r="L1168" s="160" t="n"/>
      <c r="M1168" s="160" t="n"/>
      <c r="N1168" s="160" t="n"/>
      <c r="O1168" s="160" t="n"/>
      <c r="P1168" s="160" t="n"/>
      <c r="Q1168" s="160" t="n"/>
      <c r="R1168" s="160" t="n"/>
      <c r="S1168" s="160" t="n"/>
      <c r="T1168" s="160" t="n"/>
      <c r="U1168" s="160" t="n"/>
      <c r="V1168" s="160" t="n"/>
      <c r="W1168" s="160" t="n"/>
      <c r="X1168" s="160" t="n"/>
      <c r="Y1168" s="160" t="n"/>
      <c r="Z1168" s="160" t="n"/>
      <c r="AA1168" s="160" t="n"/>
      <c r="AB1168" s="160" t="n"/>
      <c r="AC1168" s="160" t="n"/>
      <c r="AD1168" s="160" t="n"/>
      <c r="AE1168" s="160" t="n"/>
      <c r="AF1168" s="160" t="n"/>
      <c r="AG1168" s="160" t="n"/>
      <c r="AH1168" s="160" t="n"/>
      <c r="AI1168" s="160" t="n"/>
      <c r="AJ1168" s="160" t="n"/>
      <c r="AK1168" s="160" t="n"/>
      <c r="AL1168" s="160" t="n"/>
      <c r="AM1168" s="160" t="n"/>
      <c r="AN1168" s="160" t="n"/>
      <c r="AO1168" s="160" t="n"/>
      <c r="AP1168" s="160" t="n"/>
      <c r="AQ1168" s="160" t="n"/>
      <c r="AR1168" s="160" t="n"/>
    </row>
    <row r="1170">
      <c r="A1170" s="8">
        <f>IF(HSTECH!$C$12="","",HSTECH!$C$12)</f>
        <v/>
      </c>
      <c r="B1170" s="158">
        <f>IF($A1170="",0,COUNT($E1171:$AR1171))</f>
        <v/>
      </c>
      <c r="C1170" s="159">
        <f>IF($B1170=0,0,MAX($E1171:$AR1171))</f>
        <v/>
      </c>
      <c r="D1170" s="101">
        <f>BDS($A1170,FLD_HIST,"headers=y","startcol=1","endcol=7","dir=h","DVD_START_DT",HIST_FROM,"DVD_END_DT",HIST_TO)</f>
        <v/>
      </c>
      <c r="E1170" s="102" t="n"/>
      <c r="F1170" s="102" t="n"/>
      <c r="G1170" s="102" t="n"/>
      <c r="H1170" s="102" t="n"/>
      <c r="I1170" s="102" t="n"/>
      <c r="J1170" s="102" t="n"/>
      <c r="K1170" s="102" t="n"/>
      <c r="L1170" s="102" t="n"/>
      <c r="M1170" s="102" t="n"/>
      <c r="N1170" s="102" t="n"/>
      <c r="O1170" s="102" t="n"/>
      <c r="P1170" s="102" t="n"/>
      <c r="Q1170" s="102" t="n"/>
      <c r="R1170" s="102" t="n"/>
      <c r="S1170" s="102" t="n"/>
      <c r="T1170" s="102" t="n"/>
      <c r="U1170" s="102" t="n"/>
      <c r="V1170" s="102" t="n"/>
      <c r="W1170" s="102" t="n"/>
      <c r="X1170" s="102" t="n"/>
      <c r="Y1170" s="102" t="n"/>
      <c r="Z1170" s="102" t="n"/>
      <c r="AA1170" s="102" t="n"/>
      <c r="AB1170" s="102" t="n"/>
      <c r="AC1170" s="102" t="n"/>
      <c r="AD1170" s="102" t="n"/>
      <c r="AE1170" s="102" t="n"/>
      <c r="AF1170" s="102" t="n"/>
      <c r="AG1170" s="102" t="n"/>
      <c r="AH1170" s="102" t="n"/>
      <c r="AI1170" s="102" t="n"/>
      <c r="AJ1170" s="102" t="n"/>
      <c r="AK1170" s="102" t="n"/>
      <c r="AL1170" s="102" t="n"/>
      <c r="AM1170" s="102" t="n"/>
      <c r="AN1170" s="102" t="n"/>
      <c r="AO1170" s="102" t="n"/>
      <c r="AP1170" s="102" t="n"/>
      <c r="AQ1170" s="102" t="n"/>
      <c r="AR1170" s="102" t="n"/>
    </row>
    <row r="1171">
      <c r="D1171" s="102" t="n"/>
      <c r="E1171" s="102" t="n"/>
      <c r="F1171" s="102" t="n"/>
      <c r="G1171" s="102" t="n"/>
      <c r="H1171" s="102" t="n"/>
      <c r="I1171" s="102" t="n"/>
      <c r="J1171" s="102" t="n"/>
      <c r="K1171" s="102" t="n"/>
      <c r="L1171" s="102" t="n"/>
      <c r="M1171" s="102" t="n"/>
      <c r="N1171" s="102" t="n"/>
      <c r="O1171" s="102" t="n"/>
      <c r="P1171" s="102" t="n"/>
      <c r="Q1171" s="102" t="n"/>
      <c r="R1171" s="102" t="n"/>
      <c r="S1171" s="102" t="n"/>
      <c r="T1171" s="102" t="n"/>
      <c r="U1171" s="102" t="n"/>
      <c r="V1171" s="102" t="n"/>
      <c r="W1171" s="102" t="n"/>
      <c r="X1171" s="102" t="n"/>
      <c r="Y1171" s="102" t="n"/>
      <c r="Z1171" s="102" t="n"/>
      <c r="AA1171" s="102" t="n"/>
      <c r="AB1171" s="102" t="n"/>
      <c r="AC1171" s="102" t="n"/>
      <c r="AD1171" s="102" t="n"/>
      <c r="AE1171" s="102" t="n"/>
      <c r="AF1171" s="102" t="n"/>
      <c r="AG1171" s="102" t="n"/>
      <c r="AH1171" s="102" t="n"/>
      <c r="AI1171" s="102" t="n"/>
      <c r="AJ1171" s="102" t="n"/>
      <c r="AK1171" s="102" t="n"/>
      <c r="AL1171" s="102" t="n"/>
      <c r="AM1171" s="102" t="n"/>
      <c r="AN1171" s="102" t="n"/>
      <c r="AO1171" s="102" t="n"/>
      <c r="AP1171" s="102" t="n"/>
      <c r="AQ1171" s="102" t="n"/>
      <c r="AR1171" s="102" t="n"/>
    </row>
    <row r="1172">
      <c r="D1172" s="102" t="n"/>
      <c r="E1172" s="102" t="n"/>
      <c r="F1172" s="102" t="n"/>
      <c r="G1172" s="102" t="n"/>
      <c r="H1172" s="102" t="n"/>
      <c r="I1172" s="102" t="n"/>
      <c r="J1172" s="102" t="n"/>
      <c r="K1172" s="102" t="n"/>
      <c r="L1172" s="102" t="n"/>
      <c r="M1172" s="102" t="n"/>
      <c r="N1172" s="102" t="n"/>
      <c r="O1172" s="102" t="n"/>
      <c r="P1172" s="102" t="n"/>
      <c r="Q1172" s="102" t="n"/>
      <c r="R1172" s="102" t="n"/>
      <c r="S1172" s="102" t="n"/>
      <c r="T1172" s="102" t="n"/>
      <c r="U1172" s="102" t="n"/>
      <c r="V1172" s="102" t="n"/>
      <c r="W1172" s="102" t="n"/>
      <c r="X1172" s="102" t="n"/>
      <c r="Y1172" s="102" t="n"/>
      <c r="Z1172" s="102" t="n"/>
      <c r="AA1172" s="102" t="n"/>
      <c r="AB1172" s="102" t="n"/>
      <c r="AC1172" s="102" t="n"/>
      <c r="AD1172" s="102" t="n"/>
      <c r="AE1172" s="102" t="n"/>
      <c r="AF1172" s="102" t="n"/>
      <c r="AG1172" s="102" t="n"/>
      <c r="AH1172" s="102" t="n"/>
      <c r="AI1172" s="102" t="n"/>
      <c r="AJ1172" s="102" t="n"/>
      <c r="AK1172" s="102" t="n"/>
      <c r="AL1172" s="102" t="n"/>
      <c r="AM1172" s="102" t="n"/>
      <c r="AN1172" s="102" t="n"/>
      <c r="AO1172" s="102" t="n"/>
      <c r="AP1172" s="102" t="n"/>
      <c r="AQ1172" s="102" t="n"/>
      <c r="AR1172" s="102" t="n"/>
    </row>
    <row r="1173">
      <c r="D1173" s="102" t="n"/>
      <c r="E1173" s="102" t="n"/>
      <c r="F1173" s="102" t="n"/>
      <c r="G1173" s="102" t="n"/>
      <c r="H1173" s="102" t="n"/>
      <c r="I1173" s="102" t="n"/>
      <c r="J1173" s="102" t="n"/>
      <c r="K1173" s="102" t="n"/>
      <c r="L1173" s="102" t="n"/>
      <c r="M1173" s="102" t="n"/>
      <c r="N1173" s="102" t="n"/>
      <c r="O1173" s="102" t="n"/>
      <c r="P1173" s="102" t="n"/>
      <c r="Q1173" s="102" t="n"/>
      <c r="R1173" s="102" t="n"/>
      <c r="S1173" s="102" t="n"/>
      <c r="T1173" s="102" t="n"/>
      <c r="U1173" s="102" t="n"/>
      <c r="V1173" s="102" t="n"/>
      <c r="W1173" s="102" t="n"/>
      <c r="X1173" s="102" t="n"/>
      <c r="Y1173" s="102" t="n"/>
      <c r="Z1173" s="102" t="n"/>
      <c r="AA1173" s="102" t="n"/>
      <c r="AB1173" s="102" t="n"/>
      <c r="AC1173" s="102" t="n"/>
      <c r="AD1173" s="102" t="n"/>
      <c r="AE1173" s="102" t="n"/>
      <c r="AF1173" s="102" t="n"/>
      <c r="AG1173" s="102" t="n"/>
      <c r="AH1173" s="102" t="n"/>
      <c r="AI1173" s="102" t="n"/>
      <c r="AJ1173" s="102" t="n"/>
      <c r="AK1173" s="102" t="n"/>
      <c r="AL1173" s="102" t="n"/>
      <c r="AM1173" s="102" t="n"/>
      <c r="AN1173" s="102" t="n"/>
      <c r="AO1173" s="102" t="n"/>
      <c r="AP1173" s="102" t="n"/>
      <c r="AQ1173" s="102" t="n"/>
      <c r="AR1173" s="102" t="n"/>
    </row>
    <row r="1174">
      <c r="D1174" s="160" t="n"/>
      <c r="E1174" s="160" t="n"/>
      <c r="F1174" s="160" t="n"/>
      <c r="G1174" s="160" t="n"/>
      <c r="H1174" s="160" t="n"/>
      <c r="I1174" s="160" t="n"/>
      <c r="J1174" s="160" t="n"/>
      <c r="K1174" s="160" t="n"/>
      <c r="L1174" s="160" t="n"/>
      <c r="M1174" s="160" t="n"/>
      <c r="N1174" s="160" t="n"/>
      <c r="O1174" s="160" t="n"/>
      <c r="P1174" s="160" t="n"/>
      <c r="Q1174" s="160" t="n"/>
      <c r="R1174" s="160" t="n"/>
      <c r="S1174" s="160" t="n"/>
      <c r="T1174" s="160" t="n"/>
      <c r="U1174" s="160" t="n"/>
      <c r="V1174" s="160" t="n"/>
      <c r="W1174" s="160" t="n"/>
      <c r="X1174" s="160" t="n"/>
      <c r="Y1174" s="160" t="n"/>
      <c r="Z1174" s="160" t="n"/>
      <c r="AA1174" s="160" t="n"/>
      <c r="AB1174" s="160" t="n"/>
      <c r="AC1174" s="160" t="n"/>
      <c r="AD1174" s="160" t="n"/>
      <c r="AE1174" s="160" t="n"/>
      <c r="AF1174" s="160" t="n"/>
      <c r="AG1174" s="160" t="n"/>
      <c r="AH1174" s="160" t="n"/>
      <c r="AI1174" s="160" t="n"/>
      <c r="AJ1174" s="160" t="n"/>
      <c r="AK1174" s="160" t="n"/>
      <c r="AL1174" s="160" t="n"/>
      <c r="AM1174" s="160" t="n"/>
      <c r="AN1174" s="160" t="n"/>
      <c r="AO1174" s="160" t="n"/>
      <c r="AP1174" s="160" t="n"/>
      <c r="AQ1174" s="160" t="n"/>
      <c r="AR1174" s="160" t="n"/>
    </row>
    <row r="1177">
      <c r="A1177" s="2">
        <f>IF($A1170="","","   projections")</f>
        <v/>
      </c>
      <c r="B1177" s="158">
        <f>IF($A1170="",0,COUNT($E1178:$AR1178))</f>
        <v/>
      </c>
      <c r="C1177" s="159">
        <f>IF($B1177=0,0,MAX($E1178:$AR1178))</f>
        <v/>
      </c>
      <c r="D1177" s="101">
        <f>BDS($A1170,FLD_PROJ,"headers=y","startcol=1","endcol=3","dir=h")</f>
        <v/>
      </c>
      <c r="E1177" s="102" t="n"/>
      <c r="F1177" s="102" t="n"/>
      <c r="G1177" s="102" t="n"/>
      <c r="H1177" s="102" t="n"/>
      <c r="I1177" s="102" t="n"/>
      <c r="J1177" s="102" t="n"/>
      <c r="K1177" s="102" t="n"/>
      <c r="L1177" s="102" t="n"/>
      <c r="M1177" s="102" t="n"/>
      <c r="N1177" s="102" t="n"/>
      <c r="O1177" s="102" t="n"/>
      <c r="P1177" s="102" t="n"/>
      <c r="Q1177" s="102" t="n"/>
      <c r="R1177" s="102" t="n"/>
      <c r="S1177" s="102" t="n"/>
      <c r="T1177" s="102" t="n"/>
      <c r="U1177" s="102" t="n"/>
      <c r="V1177" s="102" t="n"/>
      <c r="W1177" s="102" t="n"/>
      <c r="X1177" s="102" t="n"/>
      <c r="Y1177" s="102" t="n"/>
      <c r="Z1177" s="102" t="n"/>
      <c r="AA1177" s="102" t="n"/>
      <c r="AB1177" s="102" t="n"/>
      <c r="AC1177" s="102" t="n"/>
      <c r="AD1177" s="102" t="n"/>
      <c r="AE1177" s="102" t="n"/>
      <c r="AF1177" s="102" t="n"/>
      <c r="AG1177" s="102" t="n"/>
      <c r="AH1177" s="102" t="n"/>
      <c r="AI1177" s="102" t="n"/>
      <c r="AJ1177" s="102" t="n"/>
      <c r="AK1177" s="102" t="n"/>
      <c r="AL1177" s="102" t="n"/>
      <c r="AM1177" s="102" t="n"/>
      <c r="AN1177" s="102" t="n"/>
      <c r="AO1177" s="102" t="n"/>
      <c r="AP1177" s="102" t="n"/>
      <c r="AQ1177" s="102" t="n"/>
      <c r="AR1177" s="102" t="n"/>
    </row>
    <row r="1178">
      <c r="D1178" s="102" t="n"/>
      <c r="E1178" s="102" t="n"/>
      <c r="F1178" s="102" t="n"/>
      <c r="G1178" s="102" t="n"/>
      <c r="H1178" s="102" t="n"/>
      <c r="I1178" s="102" t="n"/>
      <c r="J1178" s="102" t="n"/>
      <c r="K1178" s="102" t="n"/>
      <c r="L1178" s="102" t="n"/>
      <c r="M1178" s="102" t="n"/>
      <c r="N1178" s="102" t="n"/>
      <c r="O1178" s="102" t="n"/>
      <c r="P1178" s="102" t="n"/>
      <c r="Q1178" s="102" t="n"/>
      <c r="R1178" s="102" t="n"/>
      <c r="S1178" s="102" t="n"/>
      <c r="T1178" s="102" t="n"/>
      <c r="U1178" s="102" t="n"/>
      <c r="V1178" s="102" t="n"/>
      <c r="W1178" s="102" t="n"/>
      <c r="X1178" s="102" t="n"/>
      <c r="Y1178" s="102" t="n"/>
      <c r="Z1178" s="102" t="n"/>
      <c r="AA1178" s="102" t="n"/>
      <c r="AB1178" s="102" t="n"/>
      <c r="AC1178" s="102" t="n"/>
      <c r="AD1178" s="102" t="n"/>
      <c r="AE1178" s="102" t="n"/>
      <c r="AF1178" s="102" t="n"/>
      <c r="AG1178" s="102" t="n"/>
      <c r="AH1178" s="102" t="n"/>
      <c r="AI1178" s="102" t="n"/>
      <c r="AJ1178" s="102" t="n"/>
      <c r="AK1178" s="102" t="n"/>
      <c r="AL1178" s="102" t="n"/>
      <c r="AM1178" s="102" t="n"/>
      <c r="AN1178" s="102" t="n"/>
      <c r="AO1178" s="102" t="n"/>
      <c r="AP1178" s="102" t="n"/>
      <c r="AQ1178" s="102" t="n"/>
      <c r="AR1178" s="102" t="n"/>
    </row>
    <row r="1179">
      <c r="D1179" s="160" t="n"/>
      <c r="E1179" s="160" t="n"/>
      <c r="F1179" s="160" t="n"/>
      <c r="G1179" s="160" t="n"/>
      <c r="H1179" s="160" t="n"/>
      <c r="I1179" s="160" t="n"/>
      <c r="J1179" s="160" t="n"/>
      <c r="K1179" s="160" t="n"/>
      <c r="L1179" s="160" t="n"/>
      <c r="M1179" s="160" t="n"/>
      <c r="N1179" s="160" t="n"/>
      <c r="O1179" s="160" t="n"/>
      <c r="P1179" s="160" t="n"/>
      <c r="Q1179" s="160" t="n"/>
      <c r="R1179" s="160" t="n"/>
      <c r="S1179" s="160" t="n"/>
      <c r="T1179" s="160" t="n"/>
      <c r="U1179" s="160" t="n"/>
      <c r="V1179" s="160" t="n"/>
      <c r="W1179" s="160" t="n"/>
      <c r="X1179" s="160" t="n"/>
      <c r="Y1179" s="160" t="n"/>
      <c r="Z1179" s="160" t="n"/>
      <c r="AA1179" s="160" t="n"/>
      <c r="AB1179" s="160" t="n"/>
      <c r="AC1179" s="160" t="n"/>
      <c r="AD1179" s="160" t="n"/>
      <c r="AE1179" s="160" t="n"/>
      <c r="AF1179" s="160" t="n"/>
      <c r="AG1179" s="160" t="n"/>
      <c r="AH1179" s="160" t="n"/>
      <c r="AI1179" s="160" t="n"/>
      <c r="AJ1179" s="160" t="n"/>
      <c r="AK1179" s="160" t="n"/>
      <c r="AL1179" s="160" t="n"/>
      <c r="AM1179" s="160" t="n"/>
      <c r="AN1179" s="160" t="n"/>
      <c r="AO1179" s="160" t="n"/>
      <c r="AP1179" s="160" t="n"/>
      <c r="AQ1179" s="160" t="n"/>
      <c r="AR1179" s="160" t="n"/>
    </row>
    <row r="1181">
      <c r="A1181" s="8">
        <f>IF(HSTECH!$C$13="","",HSTECH!$C$13)</f>
        <v/>
      </c>
      <c r="B1181" s="158">
        <f>IF($A1181="",0,COUNT($E1182:$AR1182))</f>
        <v/>
      </c>
      <c r="C1181" s="159">
        <f>IF($B1181=0,0,MAX($E1182:$AR1182))</f>
        <v/>
      </c>
      <c r="D1181" s="101">
        <f>BDS($A1181,FLD_HIST,"headers=y","startcol=1","endcol=7","dir=h","DVD_START_DT",HIST_FROM,"DVD_END_DT",HIST_TO)</f>
        <v/>
      </c>
      <c r="E1181" s="102" t="n"/>
      <c r="F1181" s="102" t="n"/>
      <c r="G1181" s="102" t="n"/>
      <c r="H1181" s="102" t="n"/>
      <c r="I1181" s="102" t="n"/>
      <c r="J1181" s="102" t="n"/>
      <c r="K1181" s="102" t="n"/>
      <c r="L1181" s="102" t="n"/>
      <c r="M1181" s="102" t="n"/>
      <c r="N1181" s="102" t="n"/>
      <c r="O1181" s="102" t="n"/>
      <c r="P1181" s="102" t="n"/>
      <c r="Q1181" s="102" t="n"/>
      <c r="R1181" s="102" t="n"/>
      <c r="S1181" s="102" t="n"/>
      <c r="T1181" s="102" t="n"/>
      <c r="U1181" s="102" t="n"/>
      <c r="V1181" s="102" t="n"/>
      <c r="W1181" s="102" t="n"/>
      <c r="X1181" s="102" t="n"/>
      <c r="Y1181" s="102" t="n"/>
      <c r="Z1181" s="102" t="n"/>
      <c r="AA1181" s="102" t="n"/>
      <c r="AB1181" s="102" t="n"/>
      <c r="AC1181" s="102" t="n"/>
      <c r="AD1181" s="102" t="n"/>
      <c r="AE1181" s="102" t="n"/>
      <c r="AF1181" s="102" t="n"/>
      <c r="AG1181" s="102" t="n"/>
      <c r="AH1181" s="102" t="n"/>
      <c r="AI1181" s="102" t="n"/>
      <c r="AJ1181" s="102" t="n"/>
      <c r="AK1181" s="102" t="n"/>
      <c r="AL1181" s="102" t="n"/>
      <c r="AM1181" s="102" t="n"/>
      <c r="AN1181" s="102" t="n"/>
      <c r="AO1181" s="102" t="n"/>
      <c r="AP1181" s="102" t="n"/>
      <c r="AQ1181" s="102" t="n"/>
      <c r="AR1181" s="102" t="n"/>
    </row>
    <row r="1182">
      <c r="D1182" s="102" t="n"/>
      <c r="E1182" s="102" t="n"/>
      <c r="F1182" s="102" t="n"/>
      <c r="G1182" s="102" t="n"/>
      <c r="H1182" s="102" t="n"/>
      <c r="I1182" s="102" t="n"/>
      <c r="J1182" s="102" t="n"/>
      <c r="K1182" s="102" t="n"/>
      <c r="L1182" s="102" t="n"/>
      <c r="M1182" s="102" t="n"/>
      <c r="N1182" s="102" t="n"/>
      <c r="O1182" s="102" t="n"/>
      <c r="P1182" s="102" t="n"/>
      <c r="Q1182" s="102" t="n"/>
      <c r="R1182" s="102" t="n"/>
      <c r="S1182" s="102" t="n"/>
      <c r="T1182" s="102" t="n"/>
      <c r="U1182" s="102" t="n"/>
      <c r="V1182" s="102" t="n"/>
      <c r="W1182" s="102" t="n"/>
      <c r="X1182" s="102" t="n"/>
      <c r="Y1182" s="102" t="n"/>
      <c r="Z1182" s="102" t="n"/>
      <c r="AA1182" s="102" t="n"/>
      <c r="AB1182" s="102" t="n"/>
      <c r="AC1182" s="102" t="n"/>
      <c r="AD1182" s="102" t="n"/>
      <c r="AE1182" s="102" t="n"/>
      <c r="AF1182" s="102" t="n"/>
      <c r="AG1182" s="102" t="n"/>
      <c r="AH1182" s="102" t="n"/>
      <c r="AI1182" s="102" t="n"/>
      <c r="AJ1182" s="102" t="n"/>
      <c r="AK1182" s="102" t="n"/>
      <c r="AL1182" s="102" t="n"/>
      <c r="AM1182" s="102" t="n"/>
      <c r="AN1182" s="102" t="n"/>
      <c r="AO1182" s="102" t="n"/>
      <c r="AP1182" s="102" t="n"/>
      <c r="AQ1182" s="102" t="n"/>
      <c r="AR1182" s="102" t="n"/>
    </row>
    <row r="1183">
      <c r="D1183" s="102" t="n"/>
      <c r="E1183" s="102" t="n"/>
      <c r="F1183" s="102" t="n"/>
      <c r="G1183" s="102" t="n"/>
      <c r="H1183" s="102" t="n"/>
      <c r="I1183" s="102" t="n"/>
      <c r="J1183" s="102" t="n"/>
      <c r="K1183" s="102" t="n"/>
      <c r="L1183" s="102" t="n"/>
      <c r="M1183" s="102" t="n"/>
      <c r="N1183" s="102" t="n"/>
      <c r="O1183" s="102" t="n"/>
      <c r="P1183" s="102" t="n"/>
      <c r="Q1183" s="102" t="n"/>
      <c r="R1183" s="102" t="n"/>
      <c r="S1183" s="102" t="n"/>
      <c r="T1183" s="102" t="n"/>
      <c r="U1183" s="102" t="n"/>
      <c r="V1183" s="102" t="n"/>
      <c r="W1183" s="102" t="n"/>
      <c r="X1183" s="102" t="n"/>
      <c r="Y1183" s="102" t="n"/>
      <c r="Z1183" s="102" t="n"/>
      <c r="AA1183" s="102" t="n"/>
      <c r="AB1183" s="102" t="n"/>
      <c r="AC1183" s="102" t="n"/>
      <c r="AD1183" s="102" t="n"/>
      <c r="AE1183" s="102" t="n"/>
      <c r="AF1183" s="102" t="n"/>
      <c r="AG1183" s="102" t="n"/>
      <c r="AH1183" s="102" t="n"/>
      <c r="AI1183" s="102" t="n"/>
      <c r="AJ1183" s="102" t="n"/>
      <c r="AK1183" s="102" t="n"/>
      <c r="AL1183" s="102" t="n"/>
      <c r="AM1183" s="102" t="n"/>
      <c r="AN1183" s="102" t="n"/>
      <c r="AO1183" s="102" t="n"/>
      <c r="AP1183" s="102" t="n"/>
      <c r="AQ1183" s="102" t="n"/>
      <c r="AR1183" s="102" t="n"/>
    </row>
    <row r="1184">
      <c r="D1184" s="102" t="n"/>
      <c r="E1184" s="102" t="n"/>
      <c r="F1184" s="102" t="n"/>
      <c r="G1184" s="102" t="n"/>
      <c r="H1184" s="102" t="n"/>
      <c r="I1184" s="102" t="n"/>
      <c r="J1184" s="102" t="n"/>
      <c r="K1184" s="102" t="n"/>
      <c r="L1184" s="102" t="n"/>
      <c r="M1184" s="102" t="n"/>
      <c r="N1184" s="102" t="n"/>
      <c r="O1184" s="102" t="n"/>
      <c r="P1184" s="102" t="n"/>
      <c r="Q1184" s="102" t="n"/>
      <c r="R1184" s="102" t="n"/>
      <c r="S1184" s="102" t="n"/>
      <c r="T1184" s="102" t="n"/>
      <c r="U1184" s="102" t="n"/>
      <c r="V1184" s="102" t="n"/>
      <c r="W1184" s="102" t="n"/>
      <c r="X1184" s="102" t="n"/>
      <c r="Y1184" s="102" t="n"/>
      <c r="Z1184" s="102" t="n"/>
      <c r="AA1184" s="102" t="n"/>
      <c r="AB1184" s="102" t="n"/>
      <c r="AC1184" s="102" t="n"/>
      <c r="AD1184" s="102" t="n"/>
      <c r="AE1184" s="102" t="n"/>
      <c r="AF1184" s="102" t="n"/>
      <c r="AG1184" s="102" t="n"/>
      <c r="AH1184" s="102" t="n"/>
      <c r="AI1184" s="102" t="n"/>
      <c r="AJ1184" s="102" t="n"/>
      <c r="AK1184" s="102" t="n"/>
      <c r="AL1184" s="102" t="n"/>
      <c r="AM1184" s="102" t="n"/>
      <c r="AN1184" s="102" t="n"/>
      <c r="AO1184" s="102" t="n"/>
      <c r="AP1184" s="102" t="n"/>
      <c r="AQ1184" s="102" t="n"/>
      <c r="AR1184" s="102" t="n"/>
    </row>
    <row r="1185">
      <c r="D1185" s="160" t="n"/>
      <c r="E1185" s="160" t="n"/>
      <c r="F1185" s="160" t="n"/>
      <c r="G1185" s="160" t="n"/>
      <c r="H1185" s="160" t="n"/>
      <c r="I1185" s="160" t="n"/>
      <c r="J1185" s="160" t="n"/>
      <c r="K1185" s="160" t="n"/>
      <c r="L1185" s="160" t="n"/>
      <c r="M1185" s="160" t="n"/>
      <c r="N1185" s="160" t="n"/>
      <c r="O1185" s="160" t="n"/>
      <c r="P1185" s="160" t="n"/>
      <c r="Q1185" s="160" t="n"/>
      <c r="R1185" s="160" t="n"/>
      <c r="S1185" s="160" t="n"/>
      <c r="T1185" s="160" t="n"/>
      <c r="U1185" s="160" t="n"/>
      <c r="V1185" s="160" t="n"/>
      <c r="W1185" s="160" t="n"/>
      <c r="X1185" s="160" t="n"/>
      <c r="Y1185" s="160" t="n"/>
      <c r="Z1185" s="160" t="n"/>
      <c r="AA1185" s="160" t="n"/>
      <c r="AB1185" s="160" t="n"/>
      <c r="AC1185" s="160" t="n"/>
      <c r="AD1185" s="160" t="n"/>
      <c r="AE1185" s="160" t="n"/>
      <c r="AF1185" s="160" t="n"/>
      <c r="AG1185" s="160" t="n"/>
      <c r="AH1185" s="160" t="n"/>
      <c r="AI1185" s="160" t="n"/>
      <c r="AJ1185" s="160" t="n"/>
      <c r="AK1185" s="160" t="n"/>
      <c r="AL1185" s="160" t="n"/>
      <c r="AM1185" s="160" t="n"/>
      <c r="AN1185" s="160" t="n"/>
      <c r="AO1185" s="160" t="n"/>
      <c r="AP1185" s="160" t="n"/>
      <c r="AQ1185" s="160" t="n"/>
      <c r="AR1185" s="160" t="n"/>
    </row>
    <row r="1188">
      <c r="A1188" s="2">
        <f>IF($A1181="","","   projections")</f>
        <v/>
      </c>
      <c r="B1188" s="158">
        <f>IF($A1181="",0,COUNT($E1189:$AR1189))</f>
        <v/>
      </c>
      <c r="C1188" s="159">
        <f>IF($B1188=0,0,MAX($E1189:$AR1189))</f>
        <v/>
      </c>
      <c r="D1188" s="101">
        <f>BDS($A1181,FLD_PROJ,"headers=y","startcol=1","endcol=3","dir=h")</f>
        <v/>
      </c>
      <c r="E1188" s="102" t="n"/>
      <c r="F1188" s="102" t="n"/>
      <c r="G1188" s="102" t="n"/>
      <c r="H1188" s="102" t="n"/>
      <c r="I1188" s="102" t="n"/>
      <c r="J1188" s="102" t="n"/>
      <c r="K1188" s="102" t="n"/>
      <c r="L1188" s="102" t="n"/>
      <c r="M1188" s="102" t="n"/>
      <c r="N1188" s="102" t="n"/>
      <c r="O1188" s="102" t="n"/>
      <c r="P1188" s="102" t="n"/>
      <c r="Q1188" s="102" t="n"/>
      <c r="R1188" s="102" t="n"/>
      <c r="S1188" s="102" t="n"/>
      <c r="T1188" s="102" t="n"/>
      <c r="U1188" s="102" t="n"/>
      <c r="V1188" s="102" t="n"/>
      <c r="W1188" s="102" t="n"/>
      <c r="X1188" s="102" t="n"/>
      <c r="Y1188" s="102" t="n"/>
      <c r="Z1188" s="102" t="n"/>
      <c r="AA1188" s="102" t="n"/>
      <c r="AB1188" s="102" t="n"/>
      <c r="AC1188" s="102" t="n"/>
      <c r="AD1188" s="102" t="n"/>
      <c r="AE1188" s="102" t="n"/>
      <c r="AF1188" s="102" t="n"/>
      <c r="AG1188" s="102" t="n"/>
      <c r="AH1188" s="102" t="n"/>
      <c r="AI1188" s="102" t="n"/>
      <c r="AJ1188" s="102" t="n"/>
      <c r="AK1188" s="102" t="n"/>
      <c r="AL1188" s="102" t="n"/>
      <c r="AM1188" s="102" t="n"/>
      <c r="AN1188" s="102" t="n"/>
      <c r="AO1188" s="102" t="n"/>
      <c r="AP1188" s="102" t="n"/>
      <c r="AQ1188" s="102" t="n"/>
      <c r="AR1188" s="102" t="n"/>
    </row>
    <row r="1189">
      <c r="D1189" s="102" t="n"/>
      <c r="E1189" s="102" t="n"/>
      <c r="F1189" s="102" t="n"/>
      <c r="G1189" s="102" t="n"/>
      <c r="H1189" s="102" t="n"/>
      <c r="I1189" s="102" t="n"/>
      <c r="J1189" s="102" t="n"/>
      <c r="K1189" s="102" t="n"/>
      <c r="L1189" s="102" t="n"/>
      <c r="M1189" s="102" t="n"/>
      <c r="N1189" s="102" t="n"/>
      <c r="O1189" s="102" t="n"/>
      <c r="P1189" s="102" t="n"/>
      <c r="Q1189" s="102" t="n"/>
      <c r="R1189" s="102" t="n"/>
      <c r="S1189" s="102" t="n"/>
      <c r="T1189" s="102" t="n"/>
      <c r="U1189" s="102" t="n"/>
      <c r="V1189" s="102" t="n"/>
      <c r="W1189" s="102" t="n"/>
      <c r="X1189" s="102" t="n"/>
      <c r="Y1189" s="102" t="n"/>
      <c r="Z1189" s="102" t="n"/>
      <c r="AA1189" s="102" t="n"/>
      <c r="AB1189" s="102" t="n"/>
      <c r="AC1189" s="102" t="n"/>
      <c r="AD1189" s="102" t="n"/>
      <c r="AE1189" s="102" t="n"/>
      <c r="AF1189" s="102" t="n"/>
      <c r="AG1189" s="102" t="n"/>
      <c r="AH1189" s="102" t="n"/>
      <c r="AI1189" s="102" t="n"/>
      <c r="AJ1189" s="102" t="n"/>
      <c r="AK1189" s="102" t="n"/>
      <c r="AL1189" s="102" t="n"/>
      <c r="AM1189" s="102" t="n"/>
      <c r="AN1189" s="102" t="n"/>
      <c r="AO1189" s="102" t="n"/>
      <c r="AP1189" s="102" t="n"/>
      <c r="AQ1189" s="102" t="n"/>
      <c r="AR1189" s="102" t="n"/>
    </row>
    <row r="1190">
      <c r="D1190" s="160" t="n"/>
      <c r="E1190" s="160" t="n"/>
      <c r="F1190" s="160" t="n"/>
      <c r="G1190" s="160" t="n"/>
      <c r="H1190" s="160" t="n"/>
      <c r="I1190" s="160" t="n"/>
      <c r="J1190" s="160" t="n"/>
      <c r="K1190" s="160" t="n"/>
      <c r="L1190" s="160" t="n"/>
      <c r="M1190" s="160" t="n"/>
      <c r="N1190" s="160" t="n"/>
      <c r="O1190" s="160" t="n"/>
      <c r="P1190" s="160" t="n"/>
      <c r="Q1190" s="160" t="n"/>
      <c r="R1190" s="160" t="n"/>
      <c r="S1190" s="160" t="n"/>
      <c r="T1190" s="160" t="n"/>
      <c r="U1190" s="160" t="n"/>
      <c r="V1190" s="160" t="n"/>
      <c r="W1190" s="160" t="n"/>
      <c r="X1190" s="160" t="n"/>
      <c r="Y1190" s="160" t="n"/>
      <c r="Z1190" s="160" t="n"/>
      <c r="AA1190" s="160" t="n"/>
      <c r="AB1190" s="160" t="n"/>
      <c r="AC1190" s="160" t="n"/>
      <c r="AD1190" s="160" t="n"/>
      <c r="AE1190" s="160" t="n"/>
      <c r="AF1190" s="160" t="n"/>
      <c r="AG1190" s="160" t="n"/>
      <c r="AH1190" s="160" t="n"/>
      <c r="AI1190" s="160" t="n"/>
      <c r="AJ1190" s="160" t="n"/>
      <c r="AK1190" s="160" t="n"/>
      <c r="AL1190" s="160" t="n"/>
      <c r="AM1190" s="160" t="n"/>
      <c r="AN1190" s="160" t="n"/>
      <c r="AO1190" s="160" t="n"/>
      <c r="AP1190" s="160" t="n"/>
      <c r="AQ1190" s="160" t="n"/>
      <c r="AR1190" s="160" t="n"/>
    </row>
    <row r="1192">
      <c r="A1192" s="8">
        <f>IF(HSTECH!$C$14="","",HSTECH!$C$14)</f>
        <v/>
      </c>
      <c r="B1192" s="158">
        <f>IF($A1192="",0,COUNT($E1193:$AR1193))</f>
        <v/>
      </c>
      <c r="C1192" s="159">
        <f>IF($B1192=0,0,MAX($E1193:$AR1193))</f>
        <v/>
      </c>
      <c r="D1192" s="101">
        <f>BDS($A1192,FLD_HIST,"headers=y","startcol=1","endcol=7","dir=h","DVD_START_DT",HIST_FROM,"DVD_END_DT",HIST_TO)</f>
        <v/>
      </c>
      <c r="E1192" s="102" t="n"/>
      <c r="F1192" s="102" t="n"/>
      <c r="G1192" s="102" t="n"/>
      <c r="H1192" s="102" t="n"/>
      <c r="I1192" s="102" t="n"/>
      <c r="J1192" s="102" t="n"/>
      <c r="K1192" s="102" t="n"/>
      <c r="L1192" s="102" t="n"/>
      <c r="M1192" s="102" t="n"/>
      <c r="N1192" s="102" t="n"/>
      <c r="O1192" s="102" t="n"/>
      <c r="P1192" s="102" t="n"/>
      <c r="Q1192" s="102" t="n"/>
      <c r="R1192" s="102" t="n"/>
      <c r="S1192" s="102" t="n"/>
      <c r="T1192" s="102" t="n"/>
      <c r="U1192" s="102" t="n"/>
      <c r="V1192" s="102" t="n"/>
      <c r="W1192" s="102" t="n"/>
      <c r="X1192" s="102" t="n"/>
      <c r="Y1192" s="102" t="n"/>
      <c r="Z1192" s="102" t="n"/>
      <c r="AA1192" s="102" t="n"/>
      <c r="AB1192" s="102" t="n"/>
      <c r="AC1192" s="102" t="n"/>
      <c r="AD1192" s="102" t="n"/>
      <c r="AE1192" s="102" t="n"/>
      <c r="AF1192" s="102" t="n"/>
      <c r="AG1192" s="102" t="n"/>
      <c r="AH1192" s="102" t="n"/>
      <c r="AI1192" s="102" t="n"/>
      <c r="AJ1192" s="102" t="n"/>
      <c r="AK1192" s="102" t="n"/>
      <c r="AL1192" s="102" t="n"/>
      <c r="AM1192" s="102" t="n"/>
      <c r="AN1192" s="102" t="n"/>
      <c r="AO1192" s="102" t="n"/>
      <c r="AP1192" s="102" t="n"/>
      <c r="AQ1192" s="102" t="n"/>
      <c r="AR1192" s="102" t="n"/>
    </row>
    <row r="1193">
      <c r="D1193" s="102" t="n"/>
      <c r="E1193" s="102" t="n"/>
      <c r="F1193" s="102" t="n"/>
      <c r="G1193" s="102" t="n"/>
      <c r="H1193" s="102" t="n"/>
      <c r="I1193" s="102" t="n"/>
      <c r="J1193" s="102" t="n"/>
      <c r="K1193" s="102" t="n"/>
      <c r="L1193" s="102" t="n"/>
      <c r="M1193" s="102" t="n"/>
      <c r="N1193" s="102" t="n"/>
      <c r="O1193" s="102" t="n"/>
      <c r="P1193" s="102" t="n"/>
      <c r="Q1193" s="102" t="n"/>
      <c r="R1193" s="102" t="n"/>
      <c r="S1193" s="102" t="n"/>
      <c r="T1193" s="102" t="n"/>
      <c r="U1193" s="102" t="n"/>
      <c r="V1193" s="102" t="n"/>
      <c r="W1193" s="102" t="n"/>
      <c r="X1193" s="102" t="n"/>
      <c r="Y1193" s="102" t="n"/>
      <c r="Z1193" s="102" t="n"/>
      <c r="AA1193" s="102" t="n"/>
      <c r="AB1193" s="102" t="n"/>
      <c r="AC1193" s="102" t="n"/>
      <c r="AD1193" s="102" t="n"/>
      <c r="AE1193" s="102" t="n"/>
      <c r="AF1193" s="102" t="n"/>
      <c r="AG1193" s="102" t="n"/>
      <c r="AH1193" s="102" t="n"/>
      <c r="AI1193" s="102" t="n"/>
      <c r="AJ1193" s="102" t="n"/>
      <c r="AK1193" s="102" t="n"/>
      <c r="AL1193" s="102" t="n"/>
      <c r="AM1193" s="102" t="n"/>
      <c r="AN1193" s="102" t="n"/>
      <c r="AO1193" s="102" t="n"/>
      <c r="AP1193" s="102" t="n"/>
      <c r="AQ1193" s="102" t="n"/>
      <c r="AR1193" s="102" t="n"/>
    </row>
    <row r="1194">
      <c r="D1194" s="102" t="n"/>
      <c r="E1194" s="102" t="n"/>
      <c r="F1194" s="102" t="n"/>
      <c r="G1194" s="102" t="n"/>
      <c r="H1194" s="102" t="n"/>
      <c r="I1194" s="102" t="n"/>
      <c r="J1194" s="102" t="n"/>
      <c r="K1194" s="102" t="n"/>
      <c r="L1194" s="102" t="n"/>
      <c r="M1194" s="102" t="n"/>
      <c r="N1194" s="102" t="n"/>
      <c r="O1194" s="102" t="n"/>
      <c r="P1194" s="102" t="n"/>
      <c r="Q1194" s="102" t="n"/>
      <c r="R1194" s="102" t="n"/>
      <c r="S1194" s="102" t="n"/>
      <c r="T1194" s="102" t="n"/>
      <c r="U1194" s="102" t="n"/>
      <c r="V1194" s="102" t="n"/>
      <c r="W1194" s="102" t="n"/>
      <c r="X1194" s="102" t="n"/>
      <c r="Y1194" s="102" t="n"/>
      <c r="Z1194" s="102" t="n"/>
      <c r="AA1194" s="102" t="n"/>
      <c r="AB1194" s="102" t="n"/>
      <c r="AC1194" s="102" t="n"/>
      <c r="AD1194" s="102" t="n"/>
      <c r="AE1194" s="102" t="n"/>
      <c r="AF1194" s="102" t="n"/>
      <c r="AG1194" s="102" t="n"/>
      <c r="AH1194" s="102" t="n"/>
      <c r="AI1194" s="102" t="n"/>
      <c r="AJ1194" s="102" t="n"/>
      <c r="AK1194" s="102" t="n"/>
      <c r="AL1194" s="102" t="n"/>
      <c r="AM1194" s="102" t="n"/>
      <c r="AN1194" s="102" t="n"/>
      <c r="AO1194" s="102" t="n"/>
      <c r="AP1194" s="102" t="n"/>
      <c r="AQ1194" s="102" t="n"/>
      <c r="AR1194" s="102" t="n"/>
    </row>
    <row r="1195">
      <c r="D1195" s="102" t="n"/>
      <c r="E1195" s="102" t="n"/>
      <c r="F1195" s="102" t="n"/>
      <c r="G1195" s="102" t="n"/>
      <c r="H1195" s="102" t="n"/>
      <c r="I1195" s="102" t="n"/>
      <c r="J1195" s="102" t="n"/>
      <c r="K1195" s="102" t="n"/>
      <c r="L1195" s="102" t="n"/>
      <c r="M1195" s="102" t="n"/>
      <c r="N1195" s="102" t="n"/>
      <c r="O1195" s="102" t="n"/>
      <c r="P1195" s="102" t="n"/>
      <c r="Q1195" s="102" t="n"/>
      <c r="R1195" s="102" t="n"/>
      <c r="S1195" s="102" t="n"/>
      <c r="T1195" s="102" t="n"/>
      <c r="U1195" s="102" t="n"/>
      <c r="V1195" s="102" t="n"/>
      <c r="W1195" s="102" t="n"/>
      <c r="X1195" s="102" t="n"/>
      <c r="Y1195" s="102" t="n"/>
      <c r="Z1195" s="102" t="n"/>
      <c r="AA1195" s="102" t="n"/>
      <c r="AB1195" s="102" t="n"/>
      <c r="AC1195" s="102" t="n"/>
      <c r="AD1195" s="102" t="n"/>
      <c r="AE1195" s="102" t="n"/>
      <c r="AF1195" s="102" t="n"/>
      <c r="AG1195" s="102" t="n"/>
      <c r="AH1195" s="102" t="n"/>
      <c r="AI1195" s="102" t="n"/>
      <c r="AJ1195" s="102" t="n"/>
      <c r="AK1195" s="102" t="n"/>
      <c r="AL1195" s="102" t="n"/>
      <c r="AM1195" s="102" t="n"/>
      <c r="AN1195" s="102" t="n"/>
      <c r="AO1195" s="102" t="n"/>
      <c r="AP1195" s="102" t="n"/>
      <c r="AQ1195" s="102" t="n"/>
      <c r="AR1195" s="102" t="n"/>
    </row>
    <row r="1196">
      <c r="D1196" s="160" t="n"/>
      <c r="E1196" s="160" t="n"/>
      <c r="F1196" s="160" t="n"/>
      <c r="G1196" s="160" t="n"/>
      <c r="H1196" s="160" t="n"/>
      <c r="I1196" s="160" t="n"/>
      <c r="J1196" s="160" t="n"/>
      <c r="K1196" s="160" t="n"/>
      <c r="L1196" s="160" t="n"/>
      <c r="M1196" s="160" t="n"/>
      <c r="N1196" s="160" t="n"/>
      <c r="O1196" s="160" t="n"/>
      <c r="P1196" s="160" t="n"/>
      <c r="Q1196" s="160" t="n"/>
      <c r="R1196" s="160" t="n"/>
      <c r="S1196" s="160" t="n"/>
      <c r="T1196" s="160" t="n"/>
      <c r="U1196" s="160" t="n"/>
      <c r="V1196" s="160" t="n"/>
      <c r="W1196" s="160" t="n"/>
      <c r="X1196" s="160" t="n"/>
      <c r="Y1196" s="160" t="n"/>
      <c r="Z1196" s="160" t="n"/>
      <c r="AA1196" s="160" t="n"/>
      <c r="AB1196" s="160" t="n"/>
      <c r="AC1196" s="160" t="n"/>
      <c r="AD1196" s="160" t="n"/>
      <c r="AE1196" s="160" t="n"/>
      <c r="AF1196" s="160" t="n"/>
      <c r="AG1196" s="160" t="n"/>
      <c r="AH1196" s="160" t="n"/>
      <c r="AI1196" s="160" t="n"/>
      <c r="AJ1196" s="160" t="n"/>
      <c r="AK1196" s="160" t="n"/>
      <c r="AL1196" s="160" t="n"/>
      <c r="AM1196" s="160" t="n"/>
      <c r="AN1196" s="160" t="n"/>
      <c r="AO1196" s="160" t="n"/>
      <c r="AP1196" s="160" t="n"/>
      <c r="AQ1196" s="160" t="n"/>
      <c r="AR1196" s="160" t="n"/>
    </row>
    <row r="1199">
      <c r="A1199" s="2">
        <f>IF($A1192="","","   projections")</f>
        <v/>
      </c>
      <c r="B1199" s="158">
        <f>IF($A1192="",0,COUNT($E1200:$AR1200))</f>
        <v/>
      </c>
      <c r="C1199" s="159">
        <f>IF($B1199=0,0,MAX($E1200:$AR1200))</f>
        <v/>
      </c>
      <c r="D1199" s="101">
        <f>BDS($A1192,FLD_PROJ,"headers=y","startcol=1","endcol=3","dir=h")</f>
        <v/>
      </c>
      <c r="E1199" s="102" t="n"/>
      <c r="F1199" s="102" t="n"/>
      <c r="G1199" s="102" t="n"/>
      <c r="H1199" s="102" t="n"/>
      <c r="I1199" s="102" t="n"/>
      <c r="J1199" s="102" t="n"/>
      <c r="K1199" s="102" t="n"/>
      <c r="L1199" s="102" t="n"/>
      <c r="M1199" s="102" t="n"/>
      <c r="N1199" s="102" t="n"/>
      <c r="O1199" s="102" t="n"/>
      <c r="P1199" s="102" t="n"/>
      <c r="Q1199" s="102" t="n"/>
      <c r="R1199" s="102" t="n"/>
      <c r="S1199" s="102" t="n"/>
      <c r="T1199" s="102" t="n"/>
      <c r="U1199" s="102" t="n"/>
      <c r="V1199" s="102" t="n"/>
      <c r="W1199" s="102" t="n"/>
      <c r="X1199" s="102" t="n"/>
      <c r="Y1199" s="102" t="n"/>
      <c r="Z1199" s="102" t="n"/>
      <c r="AA1199" s="102" t="n"/>
      <c r="AB1199" s="102" t="n"/>
      <c r="AC1199" s="102" t="n"/>
      <c r="AD1199" s="102" t="n"/>
      <c r="AE1199" s="102" t="n"/>
      <c r="AF1199" s="102" t="n"/>
      <c r="AG1199" s="102" t="n"/>
      <c r="AH1199" s="102" t="n"/>
      <c r="AI1199" s="102" t="n"/>
      <c r="AJ1199" s="102" t="n"/>
      <c r="AK1199" s="102" t="n"/>
      <c r="AL1199" s="102" t="n"/>
      <c r="AM1199" s="102" t="n"/>
      <c r="AN1199" s="102" t="n"/>
      <c r="AO1199" s="102" t="n"/>
      <c r="AP1199" s="102" t="n"/>
      <c r="AQ1199" s="102" t="n"/>
      <c r="AR1199" s="102" t="n"/>
    </row>
    <row r="1200">
      <c r="D1200" s="102" t="n"/>
      <c r="E1200" s="102" t="n"/>
      <c r="F1200" s="102" t="n"/>
      <c r="G1200" s="102" t="n"/>
      <c r="H1200" s="102" t="n"/>
      <c r="I1200" s="102" t="n"/>
      <c r="J1200" s="102" t="n"/>
      <c r="K1200" s="102" t="n"/>
      <c r="L1200" s="102" t="n"/>
      <c r="M1200" s="102" t="n"/>
      <c r="N1200" s="102" t="n"/>
      <c r="O1200" s="102" t="n"/>
      <c r="P1200" s="102" t="n"/>
      <c r="Q1200" s="102" t="n"/>
      <c r="R1200" s="102" t="n"/>
      <c r="S1200" s="102" t="n"/>
      <c r="T1200" s="102" t="n"/>
      <c r="U1200" s="102" t="n"/>
      <c r="V1200" s="102" t="n"/>
      <c r="W1200" s="102" t="n"/>
      <c r="X1200" s="102" t="n"/>
      <c r="Y1200" s="102" t="n"/>
      <c r="Z1200" s="102" t="n"/>
      <c r="AA1200" s="102" t="n"/>
      <c r="AB1200" s="102" t="n"/>
      <c r="AC1200" s="102" t="n"/>
      <c r="AD1200" s="102" t="n"/>
      <c r="AE1200" s="102" t="n"/>
      <c r="AF1200" s="102" t="n"/>
      <c r="AG1200" s="102" t="n"/>
      <c r="AH1200" s="102" t="n"/>
      <c r="AI1200" s="102" t="n"/>
      <c r="AJ1200" s="102" t="n"/>
      <c r="AK1200" s="102" t="n"/>
      <c r="AL1200" s="102" t="n"/>
      <c r="AM1200" s="102" t="n"/>
      <c r="AN1200" s="102" t="n"/>
      <c r="AO1200" s="102" t="n"/>
      <c r="AP1200" s="102" t="n"/>
      <c r="AQ1200" s="102" t="n"/>
      <c r="AR1200" s="102" t="n"/>
    </row>
    <row r="1201">
      <c r="D1201" s="160" t="n"/>
      <c r="E1201" s="160" t="n"/>
      <c r="F1201" s="160" t="n"/>
      <c r="G1201" s="160" t="n"/>
      <c r="H1201" s="160" t="n"/>
      <c r="I1201" s="160" t="n"/>
      <c r="J1201" s="160" t="n"/>
      <c r="K1201" s="160" t="n"/>
      <c r="L1201" s="160" t="n"/>
      <c r="M1201" s="160" t="n"/>
      <c r="N1201" s="160" t="n"/>
      <c r="O1201" s="160" t="n"/>
      <c r="P1201" s="160" t="n"/>
      <c r="Q1201" s="160" t="n"/>
      <c r="R1201" s="160" t="n"/>
      <c r="S1201" s="160" t="n"/>
      <c r="T1201" s="160" t="n"/>
      <c r="U1201" s="160" t="n"/>
      <c r="V1201" s="160" t="n"/>
      <c r="W1201" s="160" t="n"/>
      <c r="X1201" s="160" t="n"/>
      <c r="Y1201" s="160" t="n"/>
      <c r="Z1201" s="160" t="n"/>
      <c r="AA1201" s="160" t="n"/>
      <c r="AB1201" s="160" t="n"/>
      <c r="AC1201" s="160" t="n"/>
      <c r="AD1201" s="160" t="n"/>
      <c r="AE1201" s="160" t="n"/>
      <c r="AF1201" s="160" t="n"/>
      <c r="AG1201" s="160" t="n"/>
      <c r="AH1201" s="160" t="n"/>
      <c r="AI1201" s="160" t="n"/>
      <c r="AJ1201" s="160" t="n"/>
      <c r="AK1201" s="160" t="n"/>
      <c r="AL1201" s="160" t="n"/>
      <c r="AM1201" s="160" t="n"/>
      <c r="AN1201" s="160" t="n"/>
      <c r="AO1201" s="160" t="n"/>
      <c r="AP1201" s="160" t="n"/>
      <c r="AQ1201" s="160" t="n"/>
      <c r="AR1201" s="160" t="n"/>
    </row>
    <row r="1203">
      <c r="A1203" s="8">
        <f>IF(HSTECH!$C$15="","",HSTECH!$C$15)</f>
        <v/>
      </c>
      <c r="B1203" s="158">
        <f>IF($A1203="",0,COUNT($E1204:$AR1204))</f>
        <v/>
      </c>
      <c r="C1203" s="159">
        <f>IF($B1203=0,0,MAX($E1204:$AR1204))</f>
        <v/>
      </c>
      <c r="D1203" s="101">
        <f>BDS($A1203,FLD_HIST,"headers=y","startcol=1","endcol=7","dir=h","DVD_START_DT",HIST_FROM,"DVD_END_DT",HIST_TO)</f>
        <v/>
      </c>
      <c r="E1203" s="102" t="n"/>
      <c r="F1203" s="102" t="n"/>
      <c r="G1203" s="102" t="n"/>
      <c r="H1203" s="102" t="n"/>
      <c r="I1203" s="102" t="n"/>
      <c r="J1203" s="102" t="n"/>
      <c r="K1203" s="102" t="n"/>
      <c r="L1203" s="102" t="n"/>
      <c r="M1203" s="102" t="n"/>
      <c r="N1203" s="102" t="n"/>
      <c r="O1203" s="102" t="n"/>
      <c r="P1203" s="102" t="n"/>
      <c r="Q1203" s="102" t="n"/>
      <c r="R1203" s="102" t="n"/>
      <c r="S1203" s="102" t="n"/>
      <c r="T1203" s="102" t="n"/>
      <c r="U1203" s="102" t="n"/>
      <c r="V1203" s="102" t="n"/>
      <c r="W1203" s="102" t="n"/>
      <c r="X1203" s="102" t="n"/>
      <c r="Y1203" s="102" t="n"/>
      <c r="Z1203" s="102" t="n"/>
      <c r="AA1203" s="102" t="n"/>
      <c r="AB1203" s="102" t="n"/>
      <c r="AC1203" s="102" t="n"/>
      <c r="AD1203" s="102" t="n"/>
      <c r="AE1203" s="102" t="n"/>
      <c r="AF1203" s="102" t="n"/>
      <c r="AG1203" s="102" t="n"/>
      <c r="AH1203" s="102" t="n"/>
      <c r="AI1203" s="102" t="n"/>
      <c r="AJ1203" s="102" t="n"/>
      <c r="AK1203" s="102" t="n"/>
      <c r="AL1203" s="102" t="n"/>
      <c r="AM1203" s="102" t="n"/>
      <c r="AN1203" s="102" t="n"/>
      <c r="AO1203" s="102" t="n"/>
      <c r="AP1203" s="102" t="n"/>
      <c r="AQ1203" s="102" t="n"/>
      <c r="AR1203" s="102" t="n"/>
    </row>
    <row r="1204">
      <c r="D1204" s="102" t="n"/>
      <c r="E1204" s="102" t="n"/>
      <c r="F1204" s="102" t="n"/>
      <c r="G1204" s="102" t="n"/>
      <c r="H1204" s="102" t="n"/>
      <c r="I1204" s="102" t="n"/>
      <c r="J1204" s="102" t="n"/>
      <c r="K1204" s="102" t="n"/>
      <c r="L1204" s="102" t="n"/>
      <c r="M1204" s="102" t="n"/>
      <c r="N1204" s="102" t="n"/>
      <c r="O1204" s="102" t="n"/>
      <c r="P1204" s="102" t="n"/>
      <c r="Q1204" s="102" t="n"/>
      <c r="R1204" s="102" t="n"/>
      <c r="S1204" s="102" t="n"/>
      <c r="T1204" s="102" t="n"/>
      <c r="U1204" s="102" t="n"/>
      <c r="V1204" s="102" t="n"/>
      <c r="W1204" s="102" t="n"/>
      <c r="X1204" s="102" t="n"/>
      <c r="Y1204" s="102" t="n"/>
      <c r="Z1204" s="102" t="n"/>
      <c r="AA1204" s="102" t="n"/>
      <c r="AB1204" s="102" t="n"/>
      <c r="AC1204" s="102" t="n"/>
      <c r="AD1204" s="102" t="n"/>
      <c r="AE1204" s="102" t="n"/>
      <c r="AF1204" s="102" t="n"/>
      <c r="AG1204" s="102" t="n"/>
      <c r="AH1204" s="102" t="n"/>
      <c r="AI1204" s="102" t="n"/>
      <c r="AJ1204" s="102" t="n"/>
      <c r="AK1204" s="102" t="n"/>
      <c r="AL1204" s="102" t="n"/>
      <c r="AM1204" s="102" t="n"/>
      <c r="AN1204" s="102" t="n"/>
      <c r="AO1204" s="102" t="n"/>
      <c r="AP1204" s="102" t="n"/>
      <c r="AQ1204" s="102" t="n"/>
      <c r="AR1204" s="102" t="n"/>
    </row>
    <row r="1205">
      <c r="D1205" s="102" t="n"/>
      <c r="E1205" s="102" t="n"/>
      <c r="F1205" s="102" t="n"/>
      <c r="G1205" s="102" t="n"/>
      <c r="H1205" s="102" t="n"/>
      <c r="I1205" s="102" t="n"/>
      <c r="J1205" s="102" t="n"/>
      <c r="K1205" s="102" t="n"/>
      <c r="L1205" s="102" t="n"/>
      <c r="M1205" s="102" t="n"/>
      <c r="N1205" s="102" t="n"/>
      <c r="O1205" s="102" t="n"/>
      <c r="P1205" s="102" t="n"/>
      <c r="Q1205" s="102" t="n"/>
      <c r="R1205" s="102" t="n"/>
      <c r="S1205" s="102" t="n"/>
      <c r="T1205" s="102" t="n"/>
      <c r="U1205" s="102" t="n"/>
      <c r="V1205" s="102" t="n"/>
      <c r="W1205" s="102" t="n"/>
      <c r="X1205" s="102" t="n"/>
      <c r="Y1205" s="102" t="n"/>
      <c r="Z1205" s="102" t="n"/>
      <c r="AA1205" s="102" t="n"/>
      <c r="AB1205" s="102" t="n"/>
      <c r="AC1205" s="102" t="n"/>
      <c r="AD1205" s="102" t="n"/>
      <c r="AE1205" s="102" t="n"/>
      <c r="AF1205" s="102" t="n"/>
      <c r="AG1205" s="102" t="n"/>
      <c r="AH1205" s="102" t="n"/>
      <c r="AI1205" s="102" t="n"/>
      <c r="AJ1205" s="102" t="n"/>
      <c r="AK1205" s="102" t="n"/>
      <c r="AL1205" s="102" t="n"/>
      <c r="AM1205" s="102" t="n"/>
      <c r="AN1205" s="102" t="n"/>
      <c r="AO1205" s="102" t="n"/>
      <c r="AP1205" s="102" t="n"/>
      <c r="AQ1205" s="102" t="n"/>
      <c r="AR1205" s="102" t="n"/>
    </row>
    <row r="1206">
      <c r="D1206" s="102" t="n"/>
      <c r="E1206" s="102" t="n"/>
      <c r="F1206" s="102" t="n"/>
      <c r="G1206" s="102" t="n"/>
      <c r="H1206" s="102" t="n"/>
      <c r="I1206" s="102" t="n"/>
      <c r="J1206" s="102" t="n"/>
      <c r="K1206" s="102" t="n"/>
      <c r="L1206" s="102" t="n"/>
      <c r="M1206" s="102" t="n"/>
      <c r="N1206" s="102" t="n"/>
      <c r="O1206" s="102" t="n"/>
      <c r="P1206" s="102" t="n"/>
      <c r="Q1206" s="102" t="n"/>
      <c r="R1206" s="102" t="n"/>
      <c r="S1206" s="102" t="n"/>
      <c r="T1206" s="102" t="n"/>
      <c r="U1206" s="102" t="n"/>
      <c r="V1206" s="102" t="n"/>
      <c r="W1206" s="102" t="n"/>
      <c r="X1206" s="102" t="n"/>
      <c r="Y1206" s="102" t="n"/>
      <c r="Z1206" s="102" t="n"/>
      <c r="AA1206" s="102" t="n"/>
      <c r="AB1206" s="102" t="n"/>
      <c r="AC1206" s="102" t="n"/>
      <c r="AD1206" s="102" t="n"/>
      <c r="AE1206" s="102" t="n"/>
      <c r="AF1206" s="102" t="n"/>
      <c r="AG1206" s="102" t="n"/>
      <c r="AH1206" s="102" t="n"/>
      <c r="AI1206" s="102" t="n"/>
      <c r="AJ1206" s="102" t="n"/>
      <c r="AK1206" s="102" t="n"/>
      <c r="AL1206" s="102" t="n"/>
      <c r="AM1206" s="102" t="n"/>
      <c r="AN1206" s="102" t="n"/>
      <c r="AO1206" s="102" t="n"/>
      <c r="AP1206" s="102" t="n"/>
      <c r="AQ1206" s="102" t="n"/>
      <c r="AR1206" s="102" t="n"/>
    </row>
    <row r="1207">
      <c r="D1207" s="160" t="n"/>
      <c r="E1207" s="160" t="n"/>
      <c r="F1207" s="160" t="n"/>
      <c r="G1207" s="160" t="n"/>
      <c r="H1207" s="160" t="n"/>
      <c r="I1207" s="160" t="n"/>
      <c r="J1207" s="160" t="n"/>
      <c r="K1207" s="160" t="n"/>
      <c r="L1207" s="160" t="n"/>
      <c r="M1207" s="160" t="n"/>
      <c r="N1207" s="160" t="n"/>
      <c r="O1207" s="160" t="n"/>
      <c r="P1207" s="160" t="n"/>
      <c r="Q1207" s="160" t="n"/>
      <c r="R1207" s="160" t="n"/>
      <c r="S1207" s="160" t="n"/>
      <c r="T1207" s="160" t="n"/>
      <c r="U1207" s="160" t="n"/>
      <c r="V1207" s="160" t="n"/>
      <c r="W1207" s="160" t="n"/>
      <c r="X1207" s="160" t="n"/>
      <c r="Y1207" s="160" t="n"/>
      <c r="Z1207" s="160" t="n"/>
      <c r="AA1207" s="160" t="n"/>
      <c r="AB1207" s="160" t="n"/>
      <c r="AC1207" s="160" t="n"/>
      <c r="AD1207" s="160" t="n"/>
      <c r="AE1207" s="160" t="n"/>
      <c r="AF1207" s="160" t="n"/>
      <c r="AG1207" s="160" t="n"/>
      <c r="AH1207" s="160" t="n"/>
      <c r="AI1207" s="160" t="n"/>
      <c r="AJ1207" s="160" t="n"/>
      <c r="AK1207" s="160" t="n"/>
      <c r="AL1207" s="160" t="n"/>
      <c r="AM1207" s="160" t="n"/>
      <c r="AN1207" s="160" t="n"/>
      <c r="AO1207" s="160" t="n"/>
      <c r="AP1207" s="160" t="n"/>
      <c r="AQ1207" s="160" t="n"/>
      <c r="AR1207" s="160" t="n"/>
    </row>
    <row r="1210">
      <c r="A1210" s="2">
        <f>IF($A1203="","","   projections")</f>
        <v/>
      </c>
      <c r="B1210" s="158">
        <f>IF($A1203="",0,COUNT($E1211:$AR1211))</f>
        <v/>
      </c>
      <c r="C1210" s="159">
        <f>IF($B1210=0,0,MAX($E1211:$AR1211))</f>
        <v/>
      </c>
      <c r="D1210" s="101">
        <f>BDS($A1203,FLD_PROJ,"headers=y","startcol=1","endcol=3","dir=h")</f>
        <v/>
      </c>
      <c r="E1210" s="102" t="n"/>
      <c r="F1210" s="102" t="n"/>
      <c r="G1210" s="102" t="n"/>
      <c r="H1210" s="102" t="n"/>
      <c r="I1210" s="102" t="n"/>
      <c r="J1210" s="102" t="n"/>
      <c r="K1210" s="102" t="n"/>
      <c r="L1210" s="102" t="n"/>
      <c r="M1210" s="102" t="n"/>
      <c r="N1210" s="102" t="n"/>
      <c r="O1210" s="102" t="n"/>
      <c r="P1210" s="102" t="n"/>
      <c r="Q1210" s="102" t="n"/>
      <c r="R1210" s="102" t="n"/>
      <c r="S1210" s="102" t="n"/>
      <c r="T1210" s="102" t="n"/>
      <c r="U1210" s="102" t="n"/>
      <c r="V1210" s="102" t="n"/>
      <c r="W1210" s="102" t="n"/>
      <c r="X1210" s="102" t="n"/>
      <c r="Y1210" s="102" t="n"/>
      <c r="Z1210" s="102" t="n"/>
      <c r="AA1210" s="102" t="n"/>
      <c r="AB1210" s="102" t="n"/>
      <c r="AC1210" s="102" t="n"/>
      <c r="AD1210" s="102" t="n"/>
      <c r="AE1210" s="102" t="n"/>
      <c r="AF1210" s="102" t="n"/>
      <c r="AG1210" s="102" t="n"/>
      <c r="AH1210" s="102" t="n"/>
      <c r="AI1210" s="102" t="n"/>
      <c r="AJ1210" s="102" t="n"/>
      <c r="AK1210" s="102" t="n"/>
      <c r="AL1210" s="102" t="n"/>
      <c r="AM1210" s="102" t="n"/>
      <c r="AN1210" s="102" t="n"/>
      <c r="AO1210" s="102" t="n"/>
      <c r="AP1210" s="102" t="n"/>
      <c r="AQ1210" s="102" t="n"/>
      <c r="AR1210" s="102" t="n"/>
    </row>
    <row r="1211">
      <c r="D1211" s="102" t="n"/>
      <c r="E1211" s="102" t="n"/>
      <c r="F1211" s="102" t="n"/>
      <c r="G1211" s="102" t="n"/>
      <c r="H1211" s="102" t="n"/>
      <c r="I1211" s="102" t="n"/>
      <c r="J1211" s="102" t="n"/>
      <c r="K1211" s="102" t="n"/>
      <c r="L1211" s="102" t="n"/>
      <c r="M1211" s="102" t="n"/>
      <c r="N1211" s="102" t="n"/>
      <c r="O1211" s="102" t="n"/>
      <c r="P1211" s="102" t="n"/>
      <c r="Q1211" s="102" t="n"/>
      <c r="R1211" s="102" t="n"/>
      <c r="S1211" s="102" t="n"/>
      <c r="T1211" s="102" t="n"/>
      <c r="U1211" s="102" t="n"/>
      <c r="V1211" s="102" t="n"/>
      <c r="W1211" s="102" t="n"/>
      <c r="X1211" s="102" t="n"/>
      <c r="Y1211" s="102" t="n"/>
      <c r="Z1211" s="102" t="n"/>
      <c r="AA1211" s="102" t="n"/>
      <c r="AB1211" s="102" t="n"/>
      <c r="AC1211" s="102" t="n"/>
      <c r="AD1211" s="102" t="n"/>
      <c r="AE1211" s="102" t="n"/>
      <c r="AF1211" s="102" t="n"/>
      <c r="AG1211" s="102" t="n"/>
      <c r="AH1211" s="102" t="n"/>
      <c r="AI1211" s="102" t="n"/>
      <c r="AJ1211" s="102" t="n"/>
      <c r="AK1211" s="102" t="n"/>
      <c r="AL1211" s="102" t="n"/>
      <c r="AM1211" s="102" t="n"/>
      <c r="AN1211" s="102" t="n"/>
      <c r="AO1211" s="102" t="n"/>
      <c r="AP1211" s="102" t="n"/>
      <c r="AQ1211" s="102" t="n"/>
      <c r="AR1211" s="102" t="n"/>
    </row>
    <row r="1212">
      <c r="D1212" s="160" t="n"/>
      <c r="E1212" s="160" t="n"/>
      <c r="F1212" s="160" t="n"/>
      <c r="G1212" s="160" t="n"/>
      <c r="H1212" s="160" t="n"/>
      <c r="I1212" s="160" t="n"/>
      <c r="J1212" s="160" t="n"/>
      <c r="K1212" s="160" t="n"/>
      <c r="L1212" s="160" t="n"/>
      <c r="M1212" s="160" t="n"/>
      <c r="N1212" s="160" t="n"/>
      <c r="O1212" s="160" t="n"/>
      <c r="P1212" s="160" t="n"/>
      <c r="Q1212" s="160" t="n"/>
      <c r="R1212" s="160" t="n"/>
      <c r="S1212" s="160" t="n"/>
      <c r="T1212" s="160" t="n"/>
      <c r="U1212" s="160" t="n"/>
      <c r="V1212" s="160" t="n"/>
      <c r="W1212" s="160" t="n"/>
      <c r="X1212" s="160" t="n"/>
      <c r="Y1212" s="160" t="n"/>
      <c r="Z1212" s="160" t="n"/>
      <c r="AA1212" s="160" t="n"/>
      <c r="AB1212" s="160" t="n"/>
      <c r="AC1212" s="160" t="n"/>
      <c r="AD1212" s="160" t="n"/>
      <c r="AE1212" s="160" t="n"/>
      <c r="AF1212" s="160" t="n"/>
      <c r="AG1212" s="160" t="n"/>
      <c r="AH1212" s="160" t="n"/>
      <c r="AI1212" s="160" t="n"/>
      <c r="AJ1212" s="160" t="n"/>
      <c r="AK1212" s="160" t="n"/>
      <c r="AL1212" s="160" t="n"/>
      <c r="AM1212" s="160" t="n"/>
      <c r="AN1212" s="160" t="n"/>
      <c r="AO1212" s="160" t="n"/>
      <c r="AP1212" s="160" t="n"/>
      <c r="AQ1212" s="160" t="n"/>
      <c r="AR1212" s="160" t="n"/>
    </row>
    <row r="1214">
      <c r="A1214" s="8">
        <f>IF(HSTECH!$C$16="","",HSTECH!$C$16)</f>
        <v/>
      </c>
      <c r="B1214" s="158">
        <f>IF($A1214="",0,COUNT($E1215:$AR1215))</f>
        <v/>
      </c>
      <c r="C1214" s="159">
        <f>IF($B1214=0,0,MAX($E1215:$AR1215))</f>
        <v/>
      </c>
      <c r="D1214" s="101">
        <f>BDS($A1214,FLD_HIST,"headers=y","startcol=1","endcol=7","dir=h","DVD_START_DT",HIST_FROM,"DVD_END_DT",HIST_TO)</f>
        <v/>
      </c>
      <c r="E1214" s="102" t="n"/>
      <c r="F1214" s="102" t="n"/>
      <c r="G1214" s="102" t="n"/>
      <c r="H1214" s="102" t="n"/>
      <c r="I1214" s="102" t="n"/>
      <c r="J1214" s="102" t="n"/>
      <c r="K1214" s="102" t="n"/>
      <c r="L1214" s="102" t="n"/>
      <c r="M1214" s="102" t="n"/>
      <c r="N1214" s="102" t="n"/>
      <c r="O1214" s="102" t="n"/>
      <c r="P1214" s="102" t="n"/>
      <c r="Q1214" s="102" t="n"/>
      <c r="R1214" s="102" t="n"/>
      <c r="S1214" s="102" t="n"/>
      <c r="T1214" s="102" t="n"/>
      <c r="U1214" s="102" t="n"/>
      <c r="V1214" s="102" t="n"/>
      <c r="W1214" s="102" t="n"/>
      <c r="X1214" s="102" t="n"/>
      <c r="Y1214" s="102" t="n"/>
      <c r="Z1214" s="102" t="n"/>
      <c r="AA1214" s="102" t="n"/>
      <c r="AB1214" s="102" t="n"/>
      <c r="AC1214" s="102" t="n"/>
      <c r="AD1214" s="102" t="n"/>
      <c r="AE1214" s="102" t="n"/>
      <c r="AF1214" s="102" t="n"/>
      <c r="AG1214" s="102" t="n"/>
      <c r="AH1214" s="102" t="n"/>
      <c r="AI1214" s="102" t="n"/>
      <c r="AJ1214" s="102" t="n"/>
      <c r="AK1214" s="102" t="n"/>
      <c r="AL1214" s="102" t="n"/>
      <c r="AM1214" s="102" t="n"/>
      <c r="AN1214" s="102" t="n"/>
      <c r="AO1214" s="102" t="n"/>
      <c r="AP1214" s="102" t="n"/>
      <c r="AQ1214" s="102" t="n"/>
      <c r="AR1214" s="102" t="n"/>
    </row>
    <row r="1215">
      <c r="D1215" s="102" t="n"/>
      <c r="E1215" s="102" t="n"/>
      <c r="F1215" s="102" t="n"/>
      <c r="G1215" s="102" t="n"/>
      <c r="H1215" s="102" t="n"/>
      <c r="I1215" s="102" t="n"/>
      <c r="J1215" s="102" t="n"/>
      <c r="K1215" s="102" t="n"/>
      <c r="L1215" s="102" t="n"/>
      <c r="M1215" s="102" t="n"/>
      <c r="N1215" s="102" t="n"/>
      <c r="O1215" s="102" t="n"/>
      <c r="P1215" s="102" t="n"/>
      <c r="Q1215" s="102" t="n"/>
      <c r="R1215" s="102" t="n"/>
      <c r="S1215" s="102" t="n"/>
      <c r="T1215" s="102" t="n"/>
      <c r="U1215" s="102" t="n"/>
      <c r="V1215" s="102" t="n"/>
      <c r="W1215" s="102" t="n"/>
      <c r="X1215" s="102" t="n"/>
      <c r="Y1215" s="102" t="n"/>
      <c r="Z1215" s="102" t="n"/>
      <c r="AA1215" s="102" t="n"/>
      <c r="AB1215" s="102" t="n"/>
      <c r="AC1215" s="102" t="n"/>
      <c r="AD1215" s="102" t="n"/>
      <c r="AE1215" s="102" t="n"/>
      <c r="AF1215" s="102" t="n"/>
      <c r="AG1215" s="102" t="n"/>
      <c r="AH1215" s="102" t="n"/>
      <c r="AI1215" s="102" t="n"/>
      <c r="AJ1215" s="102" t="n"/>
      <c r="AK1215" s="102" t="n"/>
      <c r="AL1215" s="102" t="n"/>
      <c r="AM1215" s="102" t="n"/>
      <c r="AN1215" s="102" t="n"/>
      <c r="AO1215" s="102" t="n"/>
      <c r="AP1215" s="102" t="n"/>
      <c r="AQ1215" s="102" t="n"/>
      <c r="AR1215" s="102" t="n"/>
    </row>
    <row r="1216">
      <c r="D1216" s="102" t="n"/>
      <c r="E1216" s="102" t="n"/>
      <c r="F1216" s="102" t="n"/>
      <c r="G1216" s="102" t="n"/>
      <c r="H1216" s="102" t="n"/>
      <c r="I1216" s="102" t="n"/>
      <c r="J1216" s="102" t="n"/>
      <c r="K1216" s="102" t="n"/>
      <c r="L1216" s="102" t="n"/>
      <c r="M1216" s="102" t="n"/>
      <c r="N1216" s="102" t="n"/>
      <c r="O1216" s="102" t="n"/>
      <c r="P1216" s="102" t="n"/>
      <c r="Q1216" s="102" t="n"/>
      <c r="R1216" s="102" t="n"/>
      <c r="S1216" s="102" t="n"/>
      <c r="T1216" s="102" t="n"/>
      <c r="U1216" s="102" t="n"/>
      <c r="V1216" s="102" t="n"/>
      <c r="W1216" s="102" t="n"/>
      <c r="X1216" s="102" t="n"/>
      <c r="Y1216" s="102" t="n"/>
      <c r="Z1216" s="102" t="n"/>
      <c r="AA1216" s="102" t="n"/>
      <c r="AB1216" s="102" t="n"/>
      <c r="AC1216" s="102" t="n"/>
      <c r="AD1216" s="102" t="n"/>
      <c r="AE1216" s="102" t="n"/>
      <c r="AF1216" s="102" t="n"/>
      <c r="AG1216" s="102" t="n"/>
      <c r="AH1216" s="102" t="n"/>
      <c r="AI1216" s="102" t="n"/>
      <c r="AJ1216" s="102" t="n"/>
      <c r="AK1216" s="102" t="n"/>
      <c r="AL1216" s="102" t="n"/>
      <c r="AM1216" s="102" t="n"/>
      <c r="AN1216" s="102" t="n"/>
      <c r="AO1216" s="102" t="n"/>
      <c r="AP1216" s="102" t="n"/>
      <c r="AQ1216" s="102" t="n"/>
      <c r="AR1216" s="102" t="n"/>
    </row>
    <row r="1217">
      <c r="D1217" s="102" t="n"/>
      <c r="E1217" s="102" t="n"/>
      <c r="F1217" s="102" t="n"/>
      <c r="G1217" s="102" t="n"/>
      <c r="H1217" s="102" t="n"/>
      <c r="I1217" s="102" t="n"/>
      <c r="J1217" s="102" t="n"/>
      <c r="K1217" s="102" t="n"/>
      <c r="L1217" s="102" t="n"/>
      <c r="M1217" s="102" t="n"/>
      <c r="N1217" s="102" t="n"/>
      <c r="O1217" s="102" t="n"/>
      <c r="P1217" s="102" t="n"/>
      <c r="Q1217" s="102" t="n"/>
      <c r="R1217" s="102" t="n"/>
      <c r="S1217" s="102" t="n"/>
      <c r="T1217" s="102" t="n"/>
      <c r="U1217" s="102" t="n"/>
      <c r="V1217" s="102" t="n"/>
      <c r="W1217" s="102" t="n"/>
      <c r="X1217" s="102" t="n"/>
      <c r="Y1217" s="102" t="n"/>
      <c r="Z1217" s="102" t="n"/>
      <c r="AA1217" s="102" t="n"/>
      <c r="AB1217" s="102" t="n"/>
      <c r="AC1217" s="102" t="n"/>
      <c r="AD1217" s="102" t="n"/>
      <c r="AE1217" s="102" t="n"/>
      <c r="AF1217" s="102" t="n"/>
      <c r="AG1217" s="102" t="n"/>
      <c r="AH1217" s="102" t="n"/>
      <c r="AI1217" s="102" t="n"/>
      <c r="AJ1217" s="102" t="n"/>
      <c r="AK1217" s="102" t="n"/>
      <c r="AL1217" s="102" t="n"/>
      <c r="AM1217" s="102" t="n"/>
      <c r="AN1217" s="102" t="n"/>
      <c r="AO1217" s="102" t="n"/>
      <c r="AP1217" s="102" t="n"/>
      <c r="AQ1217" s="102" t="n"/>
      <c r="AR1217" s="102" t="n"/>
    </row>
    <row r="1218">
      <c r="D1218" s="160" t="n"/>
      <c r="E1218" s="160" t="n"/>
      <c r="F1218" s="160" t="n"/>
      <c r="G1218" s="160" t="n"/>
      <c r="H1218" s="160" t="n"/>
      <c r="I1218" s="160" t="n"/>
      <c r="J1218" s="160" t="n"/>
      <c r="K1218" s="160" t="n"/>
      <c r="L1218" s="160" t="n"/>
      <c r="M1218" s="160" t="n"/>
      <c r="N1218" s="160" t="n"/>
      <c r="O1218" s="160" t="n"/>
      <c r="P1218" s="160" t="n"/>
      <c r="Q1218" s="160" t="n"/>
      <c r="R1218" s="160" t="n"/>
      <c r="S1218" s="160" t="n"/>
      <c r="T1218" s="160" t="n"/>
      <c r="U1218" s="160" t="n"/>
      <c r="V1218" s="160" t="n"/>
      <c r="W1218" s="160" t="n"/>
      <c r="X1218" s="160" t="n"/>
      <c r="Y1218" s="160" t="n"/>
      <c r="Z1218" s="160" t="n"/>
      <c r="AA1218" s="160" t="n"/>
      <c r="AB1218" s="160" t="n"/>
      <c r="AC1218" s="160" t="n"/>
      <c r="AD1218" s="160" t="n"/>
      <c r="AE1218" s="160" t="n"/>
      <c r="AF1218" s="160" t="n"/>
      <c r="AG1218" s="160" t="n"/>
      <c r="AH1218" s="160" t="n"/>
      <c r="AI1218" s="160" t="n"/>
      <c r="AJ1218" s="160" t="n"/>
      <c r="AK1218" s="160" t="n"/>
      <c r="AL1218" s="160" t="n"/>
      <c r="AM1218" s="160" t="n"/>
      <c r="AN1218" s="160" t="n"/>
      <c r="AO1218" s="160" t="n"/>
      <c r="AP1218" s="160" t="n"/>
      <c r="AQ1218" s="160" t="n"/>
      <c r="AR1218" s="160" t="n"/>
    </row>
    <row r="1221">
      <c r="A1221" s="2">
        <f>IF($A1214="","","   projections")</f>
        <v/>
      </c>
      <c r="B1221" s="158">
        <f>IF($A1214="",0,COUNT($E1222:$AR1222))</f>
        <v/>
      </c>
      <c r="C1221" s="159">
        <f>IF($B1221=0,0,MAX($E1222:$AR1222))</f>
        <v/>
      </c>
      <c r="D1221" s="101">
        <f>BDS($A1214,FLD_PROJ,"headers=y","startcol=1","endcol=3","dir=h")</f>
        <v/>
      </c>
      <c r="E1221" s="102" t="n"/>
      <c r="F1221" s="102" t="n"/>
      <c r="G1221" s="102" t="n"/>
      <c r="H1221" s="102" t="n"/>
      <c r="I1221" s="102" t="n"/>
      <c r="J1221" s="102" t="n"/>
      <c r="K1221" s="102" t="n"/>
      <c r="L1221" s="102" t="n"/>
      <c r="M1221" s="102" t="n"/>
      <c r="N1221" s="102" t="n"/>
      <c r="O1221" s="102" t="n"/>
      <c r="P1221" s="102" t="n"/>
      <c r="Q1221" s="102" t="n"/>
      <c r="R1221" s="102" t="n"/>
      <c r="S1221" s="102" t="n"/>
      <c r="T1221" s="102" t="n"/>
      <c r="U1221" s="102" t="n"/>
      <c r="V1221" s="102" t="n"/>
      <c r="W1221" s="102" t="n"/>
      <c r="X1221" s="102" t="n"/>
      <c r="Y1221" s="102" t="n"/>
      <c r="Z1221" s="102" t="n"/>
      <c r="AA1221" s="102" t="n"/>
      <c r="AB1221" s="102" t="n"/>
      <c r="AC1221" s="102" t="n"/>
      <c r="AD1221" s="102" t="n"/>
      <c r="AE1221" s="102" t="n"/>
      <c r="AF1221" s="102" t="n"/>
      <c r="AG1221" s="102" t="n"/>
      <c r="AH1221" s="102" t="n"/>
      <c r="AI1221" s="102" t="n"/>
      <c r="AJ1221" s="102" t="n"/>
      <c r="AK1221" s="102" t="n"/>
      <c r="AL1221" s="102" t="n"/>
      <c r="AM1221" s="102" t="n"/>
      <c r="AN1221" s="102" t="n"/>
      <c r="AO1221" s="102" t="n"/>
      <c r="AP1221" s="102" t="n"/>
      <c r="AQ1221" s="102" t="n"/>
      <c r="AR1221" s="102" t="n"/>
    </row>
    <row r="1222">
      <c r="D1222" s="102" t="n"/>
      <c r="E1222" s="102" t="n"/>
      <c r="F1222" s="102" t="n"/>
      <c r="G1222" s="102" t="n"/>
      <c r="H1222" s="102" t="n"/>
      <c r="I1222" s="102" t="n"/>
      <c r="J1222" s="102" t="n"/>
      <c r="K1222" s="102" t="n"/>
      <c r="L1222" s="102" t="n"/>
      <c r="M1222" s="102" t="n"/>
      <c r="N1222" s="102" t="n"/>
      <c r="O1222" s="102" t="n"/>
      <c r="P1222" s="102" t="n"/>
      <c r="Q1222" s="102" t="n"/>
      <c r="R1222" s="102" t="n"/>
      <c r="S1222" s="102" t="n"/>
      <c r="T1222" s="102" t="n"/>
      <c r="U1222" s="102" t="n"/>
      <c r="V1222" s="102" t="n"/>
      <c r="W1222" s="102" t="n"/>
      <c r="X1222" s="102" t="n"/>
      <c r="Y1222" s="102" t="n"/>
      <c r="Z1222" s="102" t="n"/>
      <c r="AA1222" s="102" t="n"/>
      <c r="AB1222" s="102" t="n"/>
      <c r="AC1222" s="102" t="n"/>
      <c r="AD1222" s="102" t="n"/>
      <c r="AE1222" s="102" t="n"/>
      <c r="AF1222" s="102" t="n"/>
      <c r="AG1222" s="102" t="n"/>
      <c r="AH1222" s="102" t="n"/>
      <c r="AI1222" s="102" t="n"/>
      <c r="AJ1222" s="102" t="n"/>
      <c r="AK1222" s="102" t="n"/>
      <c r="AL1222" s="102" t="n"/>
      <c r="AM1222" s="102" t="n"/>
      <c r="AN1222" s="102" t="n"/>
      <c r="AO1222" s="102" t="n"/>
      <c r="AP1222" s="102" t="n"/>
      <c r="AQ1222" s="102" t="n"/>
      <c r="AR1222" s="102" t="n"/>
    </row>
    <row r="1223">
      <c r="D1223" s="160" t="n"/>
      <c r="E1223" s="160" t="n"/>
      <c r="F1223" s="160" t="n"/>
      <c r="G1223" s="160" t="n"/>
      <c r="H1223" s="160" t="n"/>
      <c r="I1223" s="160" t="n"/>
      <c r="J1223" s="160" t="n"/>
      <c r="K1223" s="160" t="n"/>
      <c r="L1223" s="160" t="n"/>
      <c r="M1223" s="160" t="n"/>
      <c r="N1223" s="160" t="n"/>
      <c r="O1223" s="160" t="n"/>
      <c r="P1223" s="160" t="n"/>
      <c r="Q1223" s="160" t="n"/>
      <c r="R1223" s="160" t="n"/>
      <c r="S1223" s="160" t="n"/>
      <c r="T1223" s="160" t="n"/>
      <c r="U1223" s="160" t="n"/>
      <c r="V1223" s="160" t="n"/>
      <c r="W1223" s="160" t="n"/>
      <c r="X1223" s="160" t="n"/>
      <c r="Y1223" s="160" t="n"/>
      <c r="Z1223" s="160" t="n"/>
      <c r="AA1223" s="160" t="n"/>
      <c r="AB1223" s="160" t="n"/>
      <c r="AC1223" s="160" t="n"/>
      <c r="AD1223" s="160" t="n"/>
      <c r="AE1223" s="160" t="n"/>
      <c r="AF1223" s="160" t="n"/>
      <c r="AG1223" s="160" t="n"/>
      <c r="AH1223" s="160" t="n"/>
      <c r="AI1223" s="160" t="n"/>
      <c r="AJ1223" s="160" t="n"/>
      <c r="AK1223" s="160" t="n"/>
      <c r="AL1223" s="160" t="n"/>
      <c r="AM1223" s="160" t="n"/>
      <c r="AN1223" s="160" t="n"/>
      <c r="AO1223" s="160" t="n"/>
      <c r="AP1223" s="160" t="n"/>
      <c r="AQ1223" s="160" t="n"/>
      <c r="AR1223" s="160" t="n"/>
    </row>
    <row r="1225">
      <c r="A1225" s="8">
        <f>IF(HSTECH!$C$17="","",HSTECH!$C$17)</f>
        <v/>
      </c>
      <c r="B1225" s="158">
        <f>IF($A1225="",0,COUNT($E1226:$AR1226))</f>
        <v/>
      </c>
      <c r="C1225" s="159">
        <f>IF($B1225=0,0,MAX($E1226:$AR1226))</f>
        <v/>
      </c>
      <c r="D1225" s="101">
        <f>BDS($A1225,FLD_HIST,"headers=y","startcol=1","endcol=7","dir=h","DVD_START_DT",HIST_FROM,"DVD_END_DT",HIST_TO)</f>
        <v/>
      </c>
      <c r="E1225" s="102" t="n"/>
      <c r="F1225" s="102" t="n"/>
      <c r="G1225" s="102" t="n"/>
      <c r="H1225" s="102" t="n"/>
      <c r="I1225" s="102" t="n"/>
      <c r="J1225" s="102" t="n"/>
      <c r="K1225" s="102" t="n"/>
      <c r="L1225" s="102" t="n"/>
      <c r="M1225" s="102" t="n"/>
      <c r="N1225" s="102" t="n"/>
      <c r="O1225" s="102" t="n"/>
      <c r="P1225" s="102" t="n"/>
      <c r="Q1225" s="102" t="n"/>
      <c r="R1225" s="102" t="n"/>
      <c r="S1225" s="102" t="n"/>
      <c r="T1225" s="102" t="n"/>
      <c r="U1225" s="102" t="n"/>
      <c r="V1225" s="102" t="n"/>
      <c r="W1225" s="102" t="n"/>
      <c r="X1225" s="102" t="n"/>
      <c r="Y1225" s="102" t="n"/>
      <c r="Z1225" s="102" t="n"/>
      <c r="AA1225" s="102" t="n"/>
      <c r="AB1225" s="102" t="n"/>
      <c r="AC1225" s="102" t="n"/>
      <c r="AD1225" s="102" t="n"/>
      <c r="AE1225" s="102" t="n"/>
      <c r="AF1225" s="102" t="n"/>
      <c r="AG1225" s="102" t="n"/>
      <c r="AH1225" s="102" t="n"/>
      <c r="AI1225" s="102" t="n"/>
      <c r="AJ1225" s="102" t="n"/>
      <c r="AK1225" s="102" t="n"/>
      <c r="AL1225" s="102" t="n"/>
      <c r="AM1225" s="102" t="n"/>
      <c r="AN1225" s="102" t="n"/>
      <c r="AO1225" s="102" t="n"/>
      <c r="AP1225" s="102" t="n"/>
      <c r="AQ1225" s="102" t="n"/>
      <c r="AR1225" s="102" t="n"/>
    </row>
    <row r="1226">
      <c r="D1226" s="102" t="n"/>
      <c r="E1226" s="102" t="n"/>
      <c r="F1226" s="102" t="n"/>
      <c r="G1226" s="102" t="n"/>
      <c r="H1226" s="102" t="n"/>
      <c r="I1226" s="102" t="n"/>
      <c r="J1226" s="102" t="n"/>
      <c r="K1226" s="102" t="n"/>
      <c r="L1226" s="102" t="n"/>
      <c r="M1226" s="102" t="n"/>
      <c r="N1226" s="102" t="n"/>
      <c r="O1226" s="102" t="n"/>
      <c r="P1226" s="102" t="n"/>
      <c r="Q1226" s="102" t="n"/>
      <c r="R1226" s="102" t="n"/>
      <c r="S1226" s="102" t="n"/>
      <c r="T1226" s="102" t="n"/>
      <c r="U1226" s="102" t="n"/>
      <c r="V1226" s="102" t="n"/>
      <c r="W1226" s="102" t="n"/>
      <c r="X1226" s="102" t="n"/>
      <c r="Y1226" s="102" t="n"/>
      <c r="Z1226" s="102" t="n"/>
      <c r="AA1226" s="102" t="n"/>
      <c r="AB1226" s="102" t="n"/>
      <c r="AC1226" s="102" t="n"/>
      <c r="AD1226" s="102" t="n"/>
      <c r="AE1226" s="102" t="n"/>
      <c r="AF1226" s="102" t="n"/>
      <c r="AG1226" s="102" t="n"/>
      <c r="AH1226" s="102" t="n"/>
      <c r="AI1226" s="102" t="n"/>
      <c r="AJ1226" s="102" t="n"/>
      <c r="AK1226" s="102" t="n"/>
      <c r="AL1226" s="102" t="n"/>
      <c r="AM1226" s="102" t="n"/>
      <c r="AN1226" s="102" t="n"/>
      <c r="AO1226" s="102" t="n"/>
      <c r="AP1226" s="102" t="n"/>
      <c r="AQ1226" s="102" t="n"/>
      <c r="AR1226" s="102" t="n"/>
    </row>
    <row r="1227">
      <c r="D1227" s="102" t="n"/>
      <c r="E1227" s="102" t="n"/>
      <c r="F1227" s="102" t="n"/>
      <c r="G1227" s="102" t="n"/>
      <c r="H1227" s="102" t="n"/>
      <c r="I1227" s="102" t="n"/>
      <c r="J1227" s="102" t="n"/>
      <c r="K1227" s="102" t="n"/>
      <c r="L1227" s="102" t="n"/>
      <c r="M1227" s="102" t="n"/>
      <c r="N1227" s="102" t="n"/>
      <c r="O1227" s="102" t="n"/>
      <c r="P1227" s="102" t="n"/>
      <c r="Q1227" s="102" t="n"/>
      <c r="R1227" s="102" t="n"/>
      <c r="S1227" s="102" t="n"/>
      <c r="T1227" s="102" t="n"/>
      <c r="U1227" s="102" t="n"/>
      <c r="V1227" s="102" t="n"/>
      <c r="W1227" s="102" t="n"/>
      <c r="X1227" s="102" t="n"/>
      <c r="Y1227" s="102" t="n"/>
      <c r="Z1227" s="102" t="n"/>
      <c r="AA1227" s="102" t="n"/>
      <c r="AB1227" s="102" t="n"/>
      <c r="AC1227" s="102" t="n"/>
      <c r="AD1227" s="102" t="n"/>
      <c r="AE1227" s="102" t="n"/>
      <c r="AF1227" s="102" t="n"/>
      <c r="AG1227" s="102" t="n"/>
      <c r="AH1227" s="102" t="n"/>
      <c r="AI1227" s="102" t="n"/>
      <c r="AJ1227" s="102" t="n"/>
      <c r="AK1227" s="102" t="n"/>
      <c r="AL1227" s="102" t="n"/>
      <c r="AM1227" s="102" t="n"/>
      <c r="AN1227" s="102" t="n"/>
      <c r="AO1227" s="102" t="n"/>
      <c r="AP1227" s="102" t="n"/>
      <c r="AQ1227" s="102" t="n"/>
      <c r="AR1227" s="102" t="n"/>
    </row>
    <row r="1228">
      <c r="D1228" s="102" t="n"/>
      <c r="E1228" s="102" t="n"/>
      <c r="F1228" s="102" t="n"/>
      <c r="G1228" s="102" t="n"/>
      <c r="H1228" s="102" t="n"/>
      <c r="I1228" s="102" t="n"/>
      <c r="J1228" s="102" t="n"/>
      <c r="K1228" s="102" t="n"/>
      <c r="L1228" s="102" t="n"/>
      <c r="M1228" s="102" t="n"/>
      <c r="N1228" s="102" t="n"/>
      <c r="O1228" s="102" t="n"/>
      <c r="P1228" s="102" t="n"/>
      <c r="Q1228" s="102" t="n"/>
      <c r="R1228" s="102" t="n"/>
      <c r="S1228" s="102" t="n"/>
      <c r="T1228" s="102" t="n"/>
      <c r="U1228" s="102" t="n"/>
      <c r="V1228" s="102" t="n"/>
      <c r="W1228" s="102" t="n"/>
      <c r="X1228" s="102" t="n"/>
      <c r="Y1228" s="102" t="n"/>
      <c r="Z1228" s="102" t="n"/>
      <c r="AA1228" s="102" t="n"/>
      <c r="AB1228" s="102" t="n"/>
      <c r="AC1228" s="102" t="n"/>
      <c r="AD1228" s="102" t="n"/>
      <c r="AE1228" s="102" t="n"/>
      <c r="AF1228" s="102" t="n"/>
      <c r="AG1228" s="102" t="n"/>
      <c r="AH1228" s="102" t="n"/>
      <c r="AI1228" s="102" t="n"/>
      <c r="AJ1228" s="102" t="n"/>
      <c r="AK1228" s="102" t="n"/>
      <c r="AL1228" s="102" t="n"/>
      <c r="AM1228" s="102" t="n"/>
      <c r="AN1228" s="102" t="n"/>
      <c r="AO1228" s="102" t="n"/>
      <c r="AP1228" s="102" t="n"/>
      <c r="AQ1228" s="102" t="n"/>
      <c r="AR1228" s="102" t="n"/>
    </row>
    <row r="1229">
      <c r="D1229" s="160" t="n"/>
      <c r="E1229" s="160" t="n"/>
      <c r="F1229" s="160" t="n"/>
      <c r="G1229" s="160" t="n"/>
      <c r="H1229" s="160" t="n"/>
      <c r="I1229" s="160" t="n"/>
      <c r="J1229" s="160" t="n"/>
      <c r="K1229" s="160" t="n"/>
      <c r="L1229" s="160" t="n"/>
      <c r="M1229" s="160" t="n"/>
      <c r="N1229" s="160" t="n"/>
      <c r="O1229" s="160" t="n"/>
      <c r="P1229" s="160" t="n"/>
      <c r="Q1229" s="160" t="n"/>
      <c r="R1229" s="160" t="n"/>
      <c r="S1229" s="160" t="n"/>
      <c r="T1229" s="160" t="n"/>
      <c r="U1229" s="160" t="n"/>
      <c r="V1229" s="160" t="n"/>
      <c r="W1229" s="160" t="n"/>
      <c r="X1229" s="160" t="n"/>
      <c r="Y1229" s="160" t="n"/>
      <c r="Z1229" s="160" t="n"/>
      <c r="AA1229" s="160" t="n"/>
      <c r="AB1229" s="160" t="n"/>
      <c r="AC1229" s="160" t="n"/>
      <c r="AD1229" s="160" t="n"/>
      <c r="AE1229" s="160" t="n"/>
      <c r="AF1229" s="160" t="n"/>
      <c r="AG1229" s="160" t="n"/>
      <c r="AH1229" s="160" t="n"/>
      <c r="AI1229" s="160" t="n"/>
      <c r="AJ1229" s="160" t="n"/>
      <c r="AK1229" s="160" t="n"/>
      <c r="AL1229" s="160" t="n"/>
      <c r="AM1229" s="160" t="n"/>
      <c r="AN1229" s="160" t="n"/>
      <c r="AO1229" s="160" t="n"/>
      <c r="AP1229" s="160" t="n"/>
      <c r="AQ1229" s="160" t="n"/>
      <c r="AR1229" s="160" t="n"/>
    </row>
    <row r="1232">
      <c r="A1232" s="2">
        <f>IF($A1225="","","   projections")</f>
        <v/>
      </c>
      <c r="B1232" s="158">
        <f>IF($A1225="",0,COUNT($E1233:$AR1233))</f>
        <v/>
      </c>
      <c r="C1232" s="159">
        <f>IF($B1232=0,0,MAX($E1233:$AR1233))</f>
        <v/>
      </c>
      <c r="D1232" s="101">
        <f>BDS($A1225,FLD_PROJ,"headers=y","startcol=1","endcol=3","dir=h")</f>
        <v/>
      </c>
      <c r="E1232" s="102" t="n"/>
      <c r="F1232" s="102" t="n"/>
      <c r="G1232" s="102" t="n"/>
      <c r="H1232" s="102" t="n"/>
      <c r="I1232" s="102" t="n"/>
      <c r="J1232" s="102" t="n"/>
      <c r="K1232" s="102" t="n"/>
      <c r="L1232" s="102" t="n"/>
      <c r="M1232" s="102" t="n"/>
      <c r="N1232" s="102" t="n"/>
      <c r="O1232" s="102" t="n"/>
      <c r="P1232" s="102" t="n"/>
      <c r="Q1232" s="102" t="n"/>
      <c r="R1232" s="102" t="n"/>
      <c r="S1232" s="102" t="n"/>
      <c r="T1232" s="102" t="n"/>
      <c r="U1232" s="102" t="n"/>
      <c r="V1232" s="102" t="n"/>
      <c r="W1232" s="102" t="n"/>
      <c r="X1232" s="102" t="n"/>
      <c r="Y1232" s="102" t="n"/>
      <c r="Z1232" s="102" t="n"/>
      <c r="AA1232" s="102" t="n"/>
      <c r="AB1232" s="102" t="n"/>
      <c r="AC1232" s="102" t="n"/>
      <c r="AD1232" s="102" t="n"/>
      <c r="AE1232" s="102" t="n"/>
      <c r="AF1232" s="102" t="n"/>
      <c r="AG1232" s="102" t="n"/>
      <c r="AH1232" s="102" t="n"/>
      <c r="AI1232" s="102" t="n"/>
      <c r="AJ1232" s="102" t="n"/>
      <c r="AK1232" s="102" t="n"/>
      <c r="AL1232" s="102" t="n"/>
      <c r="AM1232" s="102" t="n"/>
      <c r="AN1232" s="102" t="n"/>
      <c r="AO1232" s="102" t="n"/>
      <c r="AP1232" s="102" t="n"/>
      <c r="AQ1232" s="102" t="n"/>
      <c r="AR1232" s="102" t="n"/>
    </row>
    <row r="1233">
      <c r="D1233" s="102" t="n"/>
      <c r="E1233" s="102" t="n"/>
      <c r="F1233" s="102" t="n"/>
      <c r="G1233" s="102" t="n"/>
      <c r="H1233" s="102" t="n"/>
      <c r="I1233" s="102" t="n"/>
      <c r="J1233" s="102" t="n"/>
      <c r="K1233" s="102" t="n"/>
      <c r="L1233" s="102" t="n"/>
      <c r="M1233" s="102" t="n"/>
      <c r="N1233" s="102" t="n"/>
      <c r="O1233" s="102" t="n"/>
      <c r="P1233" s="102" t="n"/>
      <c r="Q1233" s="102" t="n"/>
      <c r="R1233" s="102" t="n"/>
      <c r="S1233" s="102" t="n"/>
      <c r="T1233" s="102" t="n"/>
      <c r="U1233" s="102" t="n"/>
      <c r="V1233" s="102" t="n"/>
      <c r="W1233" s="102" t="n"/>
      <c r="X1233" s="102" t="n"/>
      <c r="Y1233" s="102" t="n"/>
      <c r="Z1233" s="102" t="n"/>
      <c r="AA1233" s="102" t="n"/>
      <c r="AB1233" s="102" t="n"/>
      <c r="AC1233" s="102" t="n"/>
      <c r="AD1233" s="102" t="n"/>
      <c r="AE1233" s="102" t="n"/>
      <c r="AF1233" s="102" t="n"/>
      <c r="AG1233" s="102" t="n"/>
      <c r="AH1233" s="102" t="n"/>
      <c r="AI1233" s="102" t="n"/>
      <c r="AJ1233" s="102" t="n"/>
      <c r="AK1233" s="102" t="n"/>
      <c r="AL1233" s="102" t="n"/>
      <c r="AM1233" s="102" t="n"/>
      <c r="AN1233" s="102" t="n"/>
      <c r="AO1233" s="102" t="n"/>
      <c r="AP1233" s="102" t="n"/>
      <c r="AQ1233" s="102" t="n"/>
      <c r="AR1233" s="102" t="n"/>
    </row>
    <row r="1234">
      <c r="D1234" s="160" t="n"/>
      <c r="E1234" s="160" t="n"/>
      <c r="F1234" s="160" t="n"/>
      <c r="G1234" s="160" t="n"/>
      <c r="H1234" s="160" t="n"/>
      <c r="I1234" s="160" t="n"/>
      <c r="J1234" s="160" t="n"/>
      <c r="K1234" s="160" t="n"/>
      <c r="L1234" s="160" t="n"/>
      <c r="M1234" s="160" t="n"/>
      <c r="N1234" s="160" t="n"/>
      <c r="O1234" s="160" t="n"/>
      <c r="P1234" s="160" t="n"/>
      <c r="Q1234" s="160" t="n"/>
      <c r="R1234" s="160" t="n"/>
      <c r="S1234" s="160" t="n"/>
      <c r="T1234" s="160" t="n"/>
      <c r="U1234" s="160" t="n"/>
      <c r="V1234" s="160" t="n"/>
      <c r="W1234" s="160" t="n"/>
      <c r="X1234" s="160" t="n"/>
      <c r="Y1234" s="160" t="n"/>
      <c r="Z1234" s="160" t="n"/>
      <c r="AA1234" s="160" t="n"/>
      <c r="AB1234" s="160" t="n"/>
      <c r="AC1234" s="160" t="n"/>
      <c r="AD1234" s="160" t="n"/>
      <c r="AE1234" s="160" t="n"/>
      <c r="AF1234" s="160" t="n"/>
      <c r="AG1234" s="160" t="n"/>
      <c r="AH1234" s="160" t="n"/>
      <c r="AI1234" s="160" t="n"/>
      <c r="AJ1234" s="160" t="n"/>
      <c r="AK1234" s="160" t="n"/>
      <c r="AL1234" s="160" t="n"/>
      <c r="AM1234" s="160" t="n"/>
      <c r="AN1234" s="160" t="n"/>
      <c r="AO1234" s="160" t="n"/>
      <c r="AP1234" s="160" t="n"/>
      <c r="AQ1234" s="160" t="n"/>
      <c r="AR1234" s="160" t="n"/>
    </row>
    <row r="1236">
      <c r="A1236" s="8">
        <f>IF(HSTECH!$C$18="","",HSTECH!$C$18)</f>
        <v/>
      </c>
      <c r="B1236" s="158">
        <f>IF($A1236="",0,COUNT($E1237:$AR1237))</f>
        <v/>
      </c>
      <c r="C1236" s="159">
        <f>IF($B1236=0,0,MAX($E1237:$AR1237))</f>
        <v/>
      </c>
      <c r="D1236" s="101">
        <f>BDS($A1236,FLD_HIST,"headers=y","startcol=1","endcol=7","dir=h","DVD_START_DT",HIST_FROM,"DVD_END_DT",HIST_TO)</f>
        <v/>
      </c>
      <c r="E1236" s="102" t="n"/>
      <c r="F1236" s="102" t="n"/>
      <c r="G1236" s="102" t="n"/>
      <c r="H1236" s="102" t="n"/>
      <c r="I1236" s="102" t="n"/>
      <c r="J1236" s="102" t="n"/>
      <c r="K1236" s="102" t="n"/>
      <c r="L1236" s="102" t="n"/>
      <c r="M1236" s="102" t="n"/>
      <c r="N1236" s="102" t="n"/>
      <c r="O1236" s="102" t="n"/>
      <c r="P1236" s="102" t="n"/>
      <c r="Q1236" s="102" t="n"/>
      <c r="R1236" s="102" t="n"/>
      <c r="S1236" s="102" t="n"/>
      <c r="T1236" s="102" t="n"/>
      <c r="U1236" s="102" t="n"/>
      <c r="V1236" s="102" t="n"/>
      <c r="W1236" s="102" t="n"/>
      <c r="X1236" s="102" t="n"/>
      <c r="Y1236" s="102" t="n"/>
      <c r="Z1236" s="102" t="n"/>
      <c r="AA1236" s="102" t="n"/>
      <c r="AB1236" s="102" t="n"/>
      <c r="AC1236" s="102" t="n"/>
      <c r="AD1236" s="102" t="n"/>
      <c r="AE1236" s="102" t="n"/>
      <c r="AF1236" s="102" t="n"/>
      <c r="AG1236" s="102" t="n"/>
      <c r="AH1236" s="102" t="n"/>
      <c r="AI1236" s="102" t="n"/>
      <c r="AJ1236" s="102" t="n"/>
      <c r="AK1236" s="102" t="n"/>
      <c r="AL1236" s="102" t="n"/>
      <c r="AM1236" s="102" t="n"/>
      <c r="AN1236" s="102" t="n"/>
      <c r="AO1236" s="102" t="n"/>
      <c r="AP1236" s="102" t="n"/>
      <c r="AQ1236" s="102" t="n"/>
      <c r="AR1236" s="102" t="n"/>
    </row>
    <row r="1237">
      <c r="D1237" s="102" t="n"/>
      <c r="E1237" s="102" t="n"/>
      <c r="F1237" s="102" t="n"/>
      <c r="G1237" s="102" t="n"/>
      <c r="H1237" s="102" t="n"/>
      <c r="I1237" s="102" t="n"/>
      <c r="J1237" s="102" t="n"/>
      <c r="K1237" s="102" t="n"/>
      <c r="L1237" s="102" t="n"/>
      <c r="M1237" s="102" t="n"/>
      <c r="N1237" s="102" t="n"/>
      <c r="O1237" s="102" t="n"/>
      <c r="P1237" s="102" t="n"/>
      <c r="Q1237" s="102" t="n"/>
      <c r="R1237" s="102" t="n"/>
      <c r="S1237" s="102" t="n"/>
      <c r="T1237" s="102" t="n"/>
      <c r="U1237" s="102" t="n"/>
      <c r="V1237" s="102" t="n"/>
      <c r="W1237" s="102" t="n"/>
      <c r="X1237" s="102" t="n"/>
      <c r="Y1237" s="102" t="n"/>
      <c r="Z1237" s="102" t="n"/>
      <c r="AA1237" s="102" t="n"/>
      <c r="AB1237" s="102" t="n"/>
      <c r="AC1237" s="102" t="n"/>
      <c r="AD1237" s="102" t="n"/>
      <c r="AE1237" s="102" t="n"/>
      <c r="AF1237" s="102" t="n"/>
      <c r="AG1237" s="102" t="n"/>
      <c r="AH1237" s="102" t="n"/>
      <c r="AI1237" s="102" t="n"/>
      <c r="AJ1237" s="102" t="n"/>
      <c r="AK1237" s="102" t="n"/>
      <c r="AL1237" s="102" t="n"/>
      <c r="AM1237" s="102" t="n"/>
      <c r="AN1237" s="102" t="n"/>
      <c r="AO1237" s="102" t="n"/>
      <c r="AP1237" s="102" t="n"/>
      <c r="AQ1237" s="102" t="n"/>
      <c r="AR1237" s="102" t="n"/>
    </row>
    <row r="1238">
      <c r="D1238" s="102" t="n"/>
      <c r="E1238" s="102" t="n"/>
      <c r="F1238" s="102" t="n"/>
      <c r="G1238" s="102" t="n"/>
      <c r="H1238" s="102" t="n"/>
      <c r="I1238" s="102" t="n"/>
      <c r="J1238" s="102" t="n"/>
      <c r="K1238" s="102" t="n"/>
      <c r="L1238" s="102" t="n"/>
      <c r="M1238" s="102" t="n"/>
      <c r="N1238" s="102" t="n"/>
      <c r="O1238" s="102" t="n"/>
      <c r="P1238" s="102" t="n"/>
      <c r="Q1238" s="102" t="n"/>
      <c r="R1238" s="102" t="n"/>
      <c r="S1238" s="102" t="n"/>
      <c r="T1238" s="102" t="n"/>
      <c r="U1238" s="102" t="n"/>
      <c r="V1238" s="102" t="n"/>
      <c r="W1238" s="102" t="n"/>
      <c r="X1238" s="102" t="n"/>
      <c r="Y1238" s="102" t="n"/>
      <c r="Z1238" s="102" t="n"/>
      <c r="AA1238" s="102" t="n"/>
      <c r="AB1238" s="102" t="n"/>
      <c r="AC1238" s="102" t="n"/>
      <c r="AD1238" s="102" t="n"/>
      <c r="AE1238" s="102" t="n"/>
      <c r="AF1238" s="102" t="n"/>
      <c r="AG1238" s="102" t="n"/>
      <c r="AH1238" s="102" t="n"/>
      <c r="AI1238" s="102" t="n"/>
      <c r="AJ1238" s="102" t="n"/>
      <c r="AK1238" s="102" t="n"/>
      <c r="AL1238" s="102" t="n"/>
      <c r="AM1238" s="102" t="n"/>
      <c r="AN1238" s="102" t="n"/>
      <c r="AO1238" s="102" t="n"/>
      <c r="AP1238" s="102" t="n"/>
      <c r="AQ1238" s="102" t="n"/>
      <c r="AR1238" s="102" t="n"/>
    </row>
    <row r="1239">
      <c r="D1239" s="102" t="n"/>
      <c r="E1239" s="102" t="n"/>
      <c r="F1239" s="102" t="n"/>
      <c r="G1239" s="102" t="n"/>
      <c r="H1239" s="102" t="n"/>
      <c r="I1239" s="102" t="n"/>
      <c r="J1239" s="102" t="n"/>
      <c r="K1239" s="102" t="n"/>
      <c r="L1239" s="102" t="n"/>
      <c r="M1239" s="102" t="n"/>
      <c r="N1239" s="102" t="n"/>
      <c r="O1239" s="102" t="n"/>
      <c r="P1239" s="102" t="n"/>
      <c r="Q1239" s="102" t="n"/>
      <c r="R1239" s="102" t="n"/>
      <c r="S1239" s="102" t="n"/>
      <c r="T1239" s="102" t="n"/>
      <c r="U1239" s="102" t="n"/>
      <c r="V1239" s="102" t="n"/>
      <c r="W1239" s="102" t="n"/>
      <c r="X1239" s="102" t="n"/>
      <c r="Y1239" s="102" t="n"/>
      <c r="Z1239" s="102" t="n"/>
      <c r="AA1239" s="102" t="n"/>
      <c r="AB1239" s="102" t="n"/>
      <c r="AC1239" s="102" t="n"/>
      <c r="AD1239" s="102" t="n"/>
      <c r="AE1239" s="102" t="n"/>
      <c r="AF1239" s="102" t="n"/>
      <c r="AG1239" s="102" t="n"/>
      <c r="AH1239" s="102" t="n"/>
      <c r="AI1239" s="102" t="n"/>
      <c r="AJ1239" s="102" t="n"/>
      <c r="AK1239" s="102" t="n"/>
      <c r="AL1239" s="102" t="n"/>
      <c r="AM1239" s="102" t="n"/>
      <c r="AN1239" s="102" t="n"/>
      <c r="AO1239" s="102" t="n"/>
      <c r="AP1239" s="102" t="n"/>
      <c r="AQ1239" s="102" t="n"/>
      <c r="AR1239" s="102" t="n"/>
    </row>
    <row r="1240">
      <c r="D1240" s="160" t="n"/>
      <c r="E1240" s="160" t="n"/>
      <c r="F1240" s="160" t="n"/>
      <c r="G1240" s="160" t="n"/>
      <c r="H1240" s="160" t="n"/>
      <c r="I1240" s="160" t="n"/>
      <c r="J1240" s="160" t="n"/>
      <c r="K1240" s="160" t="n"/>
      <c r="L1240" s="160" t="n"/>
      <c r="M1240" s="160" t="n"/>
      <c r="N1240" s="160" t="n"/>
      <c r="O1240" s="160" t="n"/>
      <c r="P1240" s="160" t="n"/>
      <c r="Q1240" s="160" t="n"/>
      <c r="R1240" s="160" t="n"/>
      <c r="S1240" s="160" t="n"/>
      <c r="T1240" s="160" t="n"/>
      <c r="U1240" s="160" t="n"/>
      <c r="V1240" s="160" t="n"/>
      <c r="W1240" s="160" t="n"/>
      <c r="X1240" s="160" t="n"/>
      <c r="Y1240" s="160" t="n"/>
      <c r="Z1240" s="160" t="n"/>
      <c r="AA1240" s="160" t="n"/>
      <c r="AB1240" s="160" t="n"/>
      <c r="AC1240" s="160" t="n"/>
      <c r="AD1240" s="160" t="n"/>
      <c r="AE1240" s="160" t="n"/>
      <c r="AF1240" s="160" t="n"/>
      <c r="AG1240" s="160" t="n"/>
      <c r="AH1240" s="160" t="n"/>
      <c r="AI1240" s="160" t="n"/>
      <c r="AJ1240" s="160" t="n"/>
      <c r="AK1240" s="160" t="n"/>
      <c r="AL1240" s="160" t="n"/>
      <c r="AM1240" s="160" t="n"/>
      <c r="AN1240" s="160" t="n"/>
      <c r="AO1240" s="160" t="n"/>
      <c r="AP1240" s="160" t="n"/>
      <c r="AQ1240" s="160" t="n"/>
      <c r="AR1240" s="160" t="n"/>
    </row>
    <row r="1243">
      <c r="A1243" s="2">
        <f>IF($A1236="","","   projections")</f>
        <v/>
      </c>
      <c r="B1243" s="158">
        <f>IF($A1236="",0,COUNT($E1244:$AR1244))</f>
        <v/>
      </c>
      <c r="C1243" s="159">
        <f>IF($B1243=0,0,MAX($E1244:$AR1244))</f>
        <v/>
      </c>
      <c r="D1243" s="101">
        <f>BDS($A1236,FLD_PROJ,"headers=y","startcol=1","endcol=3","dir=h")</f>
        <v/>
      </c>
      <c r="E1243" s="102" t="n"/>
      <c r="F1243" s="102" t="n"/>
      <c r="G1243" s="102" t="n"/>
      <c r="H1243" s="102" t="n"/>
      <c r="I1243" s="102" t="n"/>
      <c r="J1243" s="102" t="n"/>
      <c r="K1243" s="102" t="n"/>
      <c r="L1243" s="102" t="n"/>
      <c r="M1243" s="102" t="n"/>
      <c r="N1243" s="102" t="n"/>
      <c r="O1243" s="102" t="n"/>
      <c r="P1243" s="102" t="n"/>
      <c r="Q1243" s="102" t="n"/>
      <c r="R1243" s="102" t="n"/>
      <c r="S1243" s="102" t="n"/>
      <c r="T1243" s="102" t="n"/>
      <c r="U1243" s="102" t="n"/>
      <c r="V1243" s="102" t="n"/>
      <c r="W1243" s="102" t="n"/>
      <c r="X1243" s="102" t="n"/>
      <c r="Y1243" s="102" t="n"/>
      <c r="Z1243" s="102" t="n"/>
      <c r="AA1243" s="102" t="n"/>
      <c r="AB1243" s="102" t="n"/>
      <c r="AC1243" s="102" t="n"/>
      <c r="AD1243" s="102" t="n"/>
      <c r="AE1243" s="102" t="n"/>
      <c r="AF1243" s="102" t="n"/>
      <c r="AG1243" s="102" t="n"/>
      <c r="AH1243" s="102" t="n"/>
      <c r="AI1243" s="102" t="n"/>
      <c r="AJ1243" s="102" t="n"/>
      <c r="AK1243" s="102" t="n"/>
      <c r="AL1243" s="102" t="n"/>
      <c r="AM1243" s="102" t="n"/>
      <c r="AN1243" s="102" t="n"/>
      <c r="AO1243" s="102" t="n"/>
      <c r="AP1243" s="102" t="n"/>
      <c r="AQ1243" s="102" t="n"/>
      <c r="AR1243" s="102" t="n"/>
    </row>
    <row r="1244">
      <c r="D1244" s="102" t="n"/>
      <c r="E1244" s="102" t="n"/>
      <c r="F1244" s="102" t="n"/>
      <c r="G1244" s="102" t="n"/>
      <c r="H1244" s="102" t="n"/>
      <c r="I1244" s="102" t="n"/>
      <c r="J1244" s="102" t="n"/>
      <c r="K1244" s="102" t="n"/>
      <c r="L1244" s="102" t="n"/>
      <c r="M1244" s="102" t="n"/>
      <c r="N1244" s="102" t="n"/>
      <c r="O1244" s="102" t="n"/>
      <c r="P1244" s="102" t="n"/>
      <c r="Q1244" s="102" t="n"/>
      <c r="R1244" s="102" t="n"/>
      <c r="S1244" s="102" t="n"/>
      <c r="T1244" s="102" t="n"/>
      <c r="U1244" s="102" t="n"/>
      <c r="V1244" s="102" t="n"/>
      <c r="W1244" s="102" t="n"/>
      <c r="X1244" s="102" t="n"/>
      <c r="Y1244" s="102" t="n"/>
      <c r="Z1244" s="102" t="n"/>
      <c r="AA1244" s="102" t="n"/>
      <c r="AB1244" s="102" t="n"/>
      <c r="AC1244" s="102" t="n"/>
      <c r="AD1244" s="102" t="n"/>
      <c r="AE1244" s="102" t="n"/>
      <c r="AF1244" s="102" t="n"/>
      <c r="AG1244" s="102" t="n"/>
      <c r="AH1244" s="102" t="n"/>
      <c r="AI1244" s="102" t="n"/>
      <c r="AJ1244" s="102" t="n"/>
      <c r="AK1244" s="102" t="n"/>
      <c r="AL1244" s="102" t="n"/>
      <c r="AM1244" s="102" t="n"/>
      <c r="AN1244" s="102" t="n"/>
      <c r="AO1244" s="102" t="n"/>
      <c r="AP1244" s="102" t="n"/>
      <c r="AQ1244" s="102" t="n"/>
      <c r="AR1244" s="102" t="n"/>
    </row>
    <row r="1245">
      <c r="D1245" s="160" t="n"/>
      <c r="E1245" s="160" t="n"/>
      <c r="F1245" s="160" t="n"/>
      <c r="G1245" s="160" t="n"/>
      <c r="H1245" s="160" t="n"/>
      <c r="I1245" s="160" t="n"/>
      <c r="J1245" s="160" t="n"/>
      <c r="K1245" s="160" t="n"/>
      <c r="L1245" s="160" t="n"/>
      <c r="M1245" s="160" t="n"/>
      <c r="N1245" s="160" t="n"/>
      <c r="O1245" s="160" t="n"/>
      <c r="P1245" s="160" t="n"/>
      <c r="Q1245" s="160" t="n"/>
      <c r="R1245" s="160" t="n"/>
      <c r="S1245" s="160" t="n"/>
      <c r="T1245" s="160" t="n"/>
      <c r="U1245" s="160" t="n"/>
      <c r="V1245" s="160" t="n"/>
      <c r="W1245" s="160" t="n"/>
      <c r="X1245" s="160" t="n"/>
      <c r="Y1245" s="160" t="n"/>
      <c r="Z1245" s="160" t="n"/>
      <c r="AA1245" s="160" t="n"/>
      <c r="AB1245" s="160" t="n"/>
      <c r="AC1245" s="160" t="n"/>
      <c r="AD1245" s="160" t="n"/>
      <c r="AE1245" s="160" t="n"/>
      <c r="AF1245" s="160" t="n"/>
      <c r="AG1245" s="160" t="n"/>
      <c r="AH1245" s="160" t="n"/>
      <c r="AI1245" s="160" t="n"/>
      <c r="AJ1245" s="160" t="n"/>
      <c r="AK1245" s="160" t="n"/>
      <c r="AL1245" s="160" t="n"/>
      <c r="AM1245" s="160" t="n"/>
      <c r="AN1245" s="160" t="n"/>
      <c r="AO1245" s="160" t="n"/>
      <c r="AP1245" s="160" t="n"/>
      <c r="AQ1245" s="160" t="n"/>
      <c r="AR1245" s="160" t="n"/>
    </row>
    <row r="1247">
      <c r="A1247" s="8">
        <f>IF(HSTECH!$C$19="","",HSTECH!$C$19)</f>
        <v/>
      </c>
      <c r="B1247" s="158">
        <f>IF($A1247="",0,COUNT($E1248:$AR1248))</f>
        <v/>
      </c>
      <c r="C1247" s="159">
        <f>IF($B1247=0,0,MAX($E1248:$AR1248))</f>
        <v/>
      </c>
      <c r="D1247" s="101">
        <f>BDS($A1247,FLD_HIST,"headers=y","startcol=1","endcol=7","dir=h","DVD_START_DT",HIST_FROM,"DVD_END_DT",HIST_TO)</f>
        <v/>
      </c>
      <c r="E1247" s="102" t="n"/>
      <c r="F1247" s="102" t="n"/>
      <c r="G1247" s="102" t="n"/>
      <c r="H1247" s="102" t="n"/>
      <c r="I1247" s="102" t="n"/>
      <c r="J1247" s="102" t="n"/>
      <c r="K1247" s="102" t="n"/>
      <c r="L1247" s="102" t="n"/>
      <c r="M1247" s="102" t="n"/>
      <c r="N1247" s="102" t="n"/>
      <c r="O1247" s="102" t="n"/>
      <c r="P1247" s="102" t="n"/>
      <c r="Q1247" s="102" t="n"/>
      <c r="R1247" s="102" t="n"/>
      <c r="S1247" s="102" t="n"/>
      <c r="T1247" s="102" t="n"/>
      <c r="U1247" s="102" t="n"/>
      <c r="V1247" s="102" t="n"/>
      <c r="W1247" s="102" t="n"/>
      <c r="X1247" s="102" t="n"/>
      <c r="Y1247" s="102" t="n"/>
      <c r="Z1247" s="102" t="n"/>
      <c r="AA1247" s="102" t="n"/>
      <c r="AB1247" s="102" t="n"/>
      <c r="AC1247" s="102" t="n"/>
      <c r="AD1247" s="102" t="n"/>
      <c r="AE1247" s="102" t="n"/>
      <c r="AF1247" s="102" t="n"/>
      <c r="AG1247" s="102" t="n"/>
      <c r="AH1247" s="102" t="n"/>
      <c r="AI1247" s="102" t="n"/>
      <c r="AJ1247" s="102" t="n"/>
      <c r="AK1247" s="102" t="n"/>
      <c r="AL1247" s="102" t="n"/>
      <c r="AM1247" s="102" t="n"/>
      <c r="AN1247" s="102" t="n"/>
      <c r="AO1247" s="102" t="n"/>
      <c r="AP1247" s="102" t="n"/>
      <c r="AQ1247" s="102" t="n"/>
      <c r="AR1247" s="102" t="n"/>
    </row>
    <row r="1248">
      <c r="D1248" s="102" t="n"/>
      <c r="E1248" s="102" t="n"/>
      <c r="F1248" s="102" t="n"/>
      <c r="G1248" s="102" t="n"/>
      <c r="H1248" s="102" t="n"/>
      <c r="I1248" s="102" t="n"/>
      <c r="J1248" s="102" t="n"/>
      <c r="K1248" s="102" t="n"/>
      <c r="L1248" s="102" t="n"/>
      <c r="M1248" s="102" t="n"/>
      <c r="N1248" s="102" t="n"/>
      <c r="O1248" s="102" t="n"/>
      <c r="P1248" s="102" t="n"/>
      <c r="Q1248" s="102" t="n"/>
      <c r="R1248" s="102" t="n"/>
      <c r="S1248" s="102" t="n"/>
      <c r="T1248" s="102" t="n"/>
      <c r="U1248" s="102" t="n"/>
      <c r="V1248" s="102" t="n"/>
      <c r="W1248" s="102" t="n"/>
      <c r="X1248" s="102" t="n"/>
      <c r="Y1248" s="102" t="n"/>
      <c r="Z1248" s="102" t="n"/>
      <c r="AA1248" s="102" t="n"/>
      <c r="AB1248" s="102" t="n"/>
      <c r="AC1248" s="102" t="n"/>
      <c r="AD1248" s="102" t="n"/>
      <c r="AE1248" s="102" t="n"/>
      <c r="AF1248" s="102" t="n"/>
      <c r="AG1248" s="102" t="n"/>
      <c r="AH1248" s="102" t="n"/>
      <c r="AI1248" s="102" t="n"/>
      <c r="AJ1248" s="102" t="n"/>
      <c r="AK1248" s="102" t="n"/>
      <c r="AL1248" s="102" t="n"/>
      <c r="AM1248" s="102" t="n"/>
      <c r="AN1248" s="102" t="n"/>
      <c r="AO1248" s="102" t="n"/>
      <c r="AP1248" s="102" t="n"/>
      <c r="AQ1248" s="102" t="n"/>
      <c r="AR1248" s="102" t="n"/>
    </row>
    <row r="1249">
      <c r="D1249" s="102" t="n"/>
      <c r="E1249" s="102" t="n"/>
      <c r="F1249" s="102" t="n"/>
      <c r="G1249" s="102" t="n"/>
      <c r="H1249" s="102" t="n"/>
      <c r="I1249" s="102" t="n"/>
      <c r="J1249" s="102" t="n"/>
      <c r="K1249" s="102" t="n"/>
      <c r="L1249" s="102" t="n"/>
      <c r="M1249" s="102" t="n"/>
      <c r="N1249" s="102" t="n"/>
      <c r="O1249" s="102" t="n"/>
      <c r="P1249" s="102" t="n"/>
      <c r="Q1249" s="102" t="n"/>
      <c r="R1249" s="102" t="n"/>
      <c r="S1249" s="102" t="n"/>
      <c r="T1249" s="102" t="n"/>
      <c r="U1249" s="102" t="n"/>
      <c r="V1249" s="102" t="n"/>
      <c r="W1249" s="102" t="n"/>
      <c r="X1249" s="102" t="n"/>
      <c r="Y1249" s="102" t="n"/>
      <c r="Z1249" s="102" t="n"/>
      <c r="AA1249" s="102" t="n"/>
      <c r="AB1249" s="102" t="n"/>
      <c r="AC1249" s="102" t="n"/>
      <c r="AD1249" s="102" t="n"/>
      <c r="AE1249" s="102" t="n"/>
      <c r="AF1249" s="102" t="n"/>
      <c r="AG1249" s="102" t="n"/>
      <c r="AH1249" s="102" t="n"/>
      <c r="AI1249" s="102" t="n"/>
      <c r="AJ1249" s="102" t="n"/>
      <c r="AK1249" s="102" t="n"/>
      <c r="AL1249" s="102" t="n"/>
      <c r="AM1249" s="102" t="n"/>
      <c r="AN1249" s="102" t="n"/>
      <c r="AO1249" s="102" t="n"/>
      <c r="AP1249" s="102" t="n"/>
      <c r="AQ1249" s="102" t="n"/>
      <c r="AR1249" s="102" t="n"/>
    </row>
    <row r="1250">
      <c r="D1250" s="102" t="n"/>
      <c r="E1250" s="102" t="n"/>
      <c r="F1250" s="102" t="n"/>
      <c r="G1250" s="102" t="n"/>
      <c r="H1250" s="102" t="n"/>
      <c r="I1250" s="102" t="n"/>
      <c r="J1250" s="102" t="n"/>
      <c r="K1250" s="102" t="n"/>
      <c r="L1250" s="102" t="n"/>
      <c r="M1250" s="102" t="n"/>
      <c r="N1250" s="102" t="n"/>
      <c r="O1250" s="102" t="n"/>
      <c r="P1250" s="102" t="n"/>
      <c r="Q1250" s="102" t="n"/>
      <c r="R1250" s="102" t="n"/>
      <c r="S1250" s="102" t="n"/>
      <c r="T1250" s="102" t="n"/>
      <c r="U1250" s="102" t="n"/>
      <c r="V1250" s="102" t="n"/>
      <c r="W1250" s="102" t="n"/>
      <c r="X1250" s="102" t="n"/>
      <c r="Y1250" s="102" t="n"/>
      <c r="Z1250" s="102" t="n"/>
      <c r="AA1250" s="102" t="n"/>
      <c r="AB1250" s="102" t="n"/>
      <c r="AC1250" s="102" t="n"/>
      <c r="AD1250" s="102" t="n"/>
      <c r="AE1250" s="102" t="n"/>
      <c r="AF1250" s="102" t="n"/>
      <c r="AG1250" s="102" t="n"/>
      <c r="AH1250" s="102" t="n"/>
      <c r="AI1250" s="102" t="n"/>
      <c r="AJ1250" s="102" t="n"/>
      <c r="AK1250" s="102" t="n"/>
      <c r="AL1250" s="102" t="n"/>
      <c r="AM1250" s="102" t="n"/>
      <c r="AN1250" s="102" t="n"/>
      <c r="AO1250" s="102" t="n"/>
      <c r="AP1250" s="102" t="n"/>
      <c r="AQ1250" s="102" t="n"/>
      <c r="AR1250" s="102" t="n"/>
    </row>
    <row r="1251">
      <c r="D1251" s="160" t="n"/>
      <c r="E1251" s="160" t="n"/>
      <c r="F1251" s="160" t="n"/>
      <c r="G1251" s="160" t="n"/>
      <c r="H1251" s="160" t="n"/>
      <c r="I1251" s="160" t="n"/>
      <c r="J1251" s="160" t="n"/>
      <c r="K1251" s="160" t="n"/>
      <c r="L1251" s="160" t="n"/>
      <c r="M1251" s="160" t="n"/>
      <c r="N1251" s="160" t="n"/>
      <c r="O1251" s="160" t="n"/>
      <c r="P1251" s="160" t="n"/>
      <c r="Q1251" s="160" t="n"/>
      <c r="R1251" s="160" t="n"/>
      <c r="S1251" s="160" t="n"/>
      <c r="T1251" s="160" t="n"/>
      <c r="U1251" s="160" t="n"/>
      <c r="V1251" s="160" t="n"/>
      <c r="W1251" s="160" t="n"/>
      <c r="X1251" s="160" t="n"/>
      <c r="Y1251" s="160" t="n"/>
      <c r="Z1251" s="160" t="n"/>
      <c r="AA1251" s="160" t="n"/>
      <c r="AB1251" s="160" t="n"/>
      <c r="AC1251" s="160" t="n"/>
      <c r="AD1251" s="160" t="n"/>
      <c r="AE1251" s="160" t="n"/>
      <c r="AF1251" s="160" t="n"/>
      <c r="AG1251" s="160" t="n"/>
      <c r="AH1251" s="160" t="n"/>
      <c r="AI1251" s="160" t="n"/>
      <c r="AJ1251" s="160" t="n"/>
      <c r="AK1251" s="160" t="n"/>
      <c r="AL1251" s="160" t="n"/>
      <c r="AM1251" s="160" t="n"/>
      <c r="AN1251" s="160" t="n"/>
      <c r="AO1251" s="160" t="n"/>
      <c r="AP1251" s="160" t="n"/>
      <c r="AQ1251" s="160" t="n"/>
      <c r="AR1251" s="160" t="n"/>
    </row>
    <row r="1254">
      <c r="A1254" s="2">
        <f>IF($A1247="","","   projections")</f>
        <v/>
      </c>
      <c r="B1254" s="158">
        <f>IF($A1247="",0,COUNT($E1255:$AR1255))</f>
        <v/>
      </c>
      <c r="C1254" s="159">
        <f>IF($B1254=0,0,MAX($E1255:$AR1255))</f>
        <v/>
      </c>
      <c r="D1254" s="101">
        <f>BDS($A1247,FLD_PROJ,"headers=y","startcol=1","endcol=3","dir=h")</f>
        <v/>
      </c>
      <c r="E1254" s="102" t="n"/>
      <c r="F1254" s="102" t="n"/>
      <c r="G1254" s="102" t="n"/>
      <c r="H1254" s="102" t="n"/>
      <c r="I1254" s="102" t="n"/>
      <c r="J1254" s="102" t="n"/>
      <c r="K1254" s="102" t="n"/>
      <c r="L1254" s="102" t="n"/>
      <c r="M1254" s="102" t="n"/>
      <c r="N1254" s="102" t="n"/>
      <c r="O1254" s="102" t="n"/>
      <c r="P1254" s="102" t="n"/>
      <c r="Q1254" s="102" t="n"/>
      <c r="R1254" s="102" t="n"/>
      <c r="S1254" s="102" t="n"/>
      <c r="T1254" s="102" t="n"/>
      <c r="U1254" s="102" t="n"/>
      <c r="V1254" s="102" t="n"/>
      <c r="W1254" s="102" t="n"/>
      <c r="X1254" s="102" t="n"/>
      <c r="Y1254" s="102" t="n"/>
      <c r="Z1254" s="102" t="n"/>
      <c r="AA1254" s="102" t="n"/>
      <c r="AB1254" s="102" t="n"/>
      <c r="AC1254" s="102" t="n"/>
      <c r="AD1254" s="102" t="n"/>
      <c r="AE1254" s="102" t="n"/>
      <c r="AF1254" s="102" t="n"/>
      <c r="AG1254" s="102" t="n"/>
      <c r="AH1254" s="102" t="n"/>
      <c r="AI1254" s="102" t="n"/>
      <c r="AJ1254" s="102" t="n"/>
      <c r="AK1254" s="102" t="n"/>
      <c r="AL1254" s="102" t="n"/>
      <c r="AM1254" s="102" t="n"/>
      <c r="AN1254" s="102" t="n"/>
      <c r="AO1254" s="102" t="n"/>
      <c r="AP1254" s="102" t="n"/>
      <c r="AQ1254" s="102" t="n"/>
      <c r="AR1254" s="102" t="n"/>
    </row>
    <row r="1255">
      <c r="D1255" s="102" t="n"/>
      <c r="E1255" s="102" t="n"/>
      <c r="F1255" s="102" t="n"/>
      <c r="G1255" s="102" t="n"/>
      <c r="H1255" s="102" t="n"/>
      <c r="I1255" s="102" t="n"/>
      <c r="J1255" s="102" t="n"/>
      <c r="K1255" s="102" t="n"/>
      <c r="L1255" s="102" t="n"/>
      <c r="M1255" s="102" t="n"/>
      <c r="N1255" s="102" t="n"/>
      <c r="O1255" s="102" t="n"/>
      <c r="P1255" s="102" t="n"/>
      <c r="Q1255" s="102" t="n"/>
      <c r="R1255" s="102" t="n"/>
      <c r="S1255" s="102" t="n"/>
      <c r="T1255" s="102" t="n"/>
      <c r="U1255" s="102" t="n"/>
      <c r="V1255" s="102" t="n"/>
      <c r="W1255" s="102" t="n"/>
      <c r="X1255" s="102" t="n"/>
      <c r="Y1255" s="102" t="n"/>
      <c r="Z1255" s="102" t="n"/>
      <c r="AA1255" s="102" t="n"/>
      <c r="AB1255" s="102" t="n"/>
      <c r="AC1255" s="102" t="n"/>
      <c r="AD1255" s="102" t="n"/>
      <c r="AE1255" s="102" t="n"/>
      <c r="AF1255" s="102" t="n"/>
      <c r="AG1255" s="102" t="n"/>
      <c r="AH1255" s="102" t="n"/>
      <c r="AI1255" s="102" t="n"/>
      <c r="AJ1255" s="102" t="n"/>
      <c r="AK1255" s="102" t="n"/>
      <c r="AL1255" s="102" t="n"/>
      <c r="AM1255" s="102" t="n"/>
      <c r="AN1255" s="102" t="n"/>
      <c r="AO1255" s="102" t="n"/>
      <c r="AP1255" s="102" t="n"/>
      <c r="AQ1255" s="102" t="n"/>
      <c r="AR1255" s="102" t="n"/>
    </row>
    <row r="1256">
      <c r="D1256" s="160" t="n"/>
      <c r="E1256" s="160" t="n"/>
      <c r="F1256" s="160" t="n"/>
      <c r="G1256" s="160" t="n"/>
      <c r="H1256" s="160" t="n"/>
      <c r="I1256" s="160" t="n"/>
      <c r="J1256" s="160" t="n"/>
      <c r="K1256" s="160" t="n"/>
      <c r="L1256" s="160" t="n"/>
      <c r="M1256" s="160" t="n"/>
      <c r="N1256" s="160" t="n"/>
      <c r="O1256" s="160" t="n"/>
      <c r="P1256" s="160" t="n"/>
      <c r="Q1256" s="160" t="n"/>
      <c r="R1256" s="160" t="n"/>
      <c r="S1256" s="160" t="n"/>
      <c r="T1256" s="160" t="n"/>
      <c r="U1256" s="160" t="n"/>
      <c r="V1256" s="160" t="n"/>
      <c r="W1256" s="160" t="n"/>
      <c r="X1256" s="160" t="n"/>
      <c r="Y1256" s="160" t="n"/>
      <c r="Z1256" s="160" t="n"/>
      <c r="AA1256" s="160" t="n"/>
      <c r="AB1256" s="160" t="n"/>
      <c r="AC1256" s="160" t="n"/>
      <c r="AD1256" s="160" t="n"/>
      <c r="AE1256" s="160" t="n"/>
      <c r="AF1256" s="160" t="n"/>
      <c r="AG1256" s="160" t="n"/>
      <c r="AH1256" s="160" t="n"/>
      <c r="AI1256" s="160" t="n"/>
      <c r="AJ1256" s="160" t="n"/>
      <c r="AK1256" s="160" t="n"/>
      <c r="AL1256" s="160" t="n"/>
      <c r="AM1256" s="160" t="n"/>
      <c r="AN1256" s="160" t="n"/>
      <c r="AO1256" s="160" t="n"/>
      <c r="AP1256" s="160" t="n"/>
      <c r="AQ1256" s="160" t="n"/>
      <c r="AR1256" s="160" t="n"/>
    </row>
    <row r="1258">
      <c r="A1258" s="8">
        <f>IF(HSTECH!$C$20="","",HSTECH!$C$20)</f>
        <v/>
      </c>
      <c r="B1258" s="158">
        <f>IF($A1258="",0,COUNT($E1259:$AR1259))</f>
        <v/>
      </c>
      <c r="C1258" s="159">
        <f>IF($B1258=0,0,MAX($E1259:$AR1259))</f>
        <v/>
      </c>
      <c r="D1258" s="101">
        <f>BDS($A1258,FLD_HIST,"headers=y","startcol=1","endcol=7","dir=h","DVD_START_DT",HIST_FROM,"DVD_END_DT",HIST_TO)</f>
        <v/>
      </c>
      <c r="E1258" s="102" t="n"/>
      <c r="F1258" s="102" t="n"/>
      <c r="G1258" s="102" t="n"/>
      <c r="H1258" s="102" t="n"/>
      <c r="I1258" s="102" t="n"/>
      <c r="J1258" s="102" t="n"/>
      <c r="K1258" s="102" t="n"/>
      <c r="L1258" s="102" t="n"/>
      <c r="M1258" s="102" t="n"/>
      <c r="N1258" s="102" t="n"/>
      <c r="O1258" s="102" t="n"/>
      <c r="P1258" s="102" t="n"/>
      <c r="Q1258" s="102" t="n"/>
      <c r="R1258" s="102" t="n"/>
      <c r="S1258" s="102" t="n"/>
      <c r="T1258" s="102" t="n"/>
      <c r="U1258" s="102" t="n"/>
      <c r="V1258" s="102" t="n"/>
      <c r="W1258" s="102" t="n"/>
      <c r="X1258" s="102" t="n"/>
      <c r="Y1258" s="102" t="n"/>
      <c r="Z1258" s="102" t="n"/>
      <c r="AA1258" s="102" t="n"/>
      <c r="AB1258" s="102" t="n"/>
      <c r="AC1258" s="102" t="n"/>
      <c r="AD1258" s="102" t="n"/>
      <c r="AE1258" s="102" t="n"/>
      <c r="AF1258" s="102" t="n"/>
      <c r="AG1258" s="102" t="n"/>
      <c r="AH1258" s="102" t="n"/>
      <c r="AI1258" s="102" t="n"/>
      <c r="AJ1258" s="102" t="n"/>
      <c r="AK1258" s="102" t="n"/>
      <c r="AL1258" s="102" t="n"/>
      <c r="AM1258" s="102" t="n"/>
      <c r="AN1258" s="102" t="n"/>
      <c r="AO1258" s="102" t="n"/>
      <c r="AP1258" s="102" t="n"/>
      <c r="AQ1258" s="102" t="n"/>
      <c r="AR1258" s="102" t="n"/>
    </row>
    <row r="1259">
      <c r="D1259" s="102" t="n"/>
      <c r="E1259" s="102" t="n"/>
      <c r="F1259" s="102" t="n"/>
      <c r="G1259" s="102" t="n"/>
      <c r="H1259" s="102" t="n"/>
      <c r="I1259" s="102" t="n"/>
      <c r="J1259" s="102" t="n"/>
      <c r="K1259" s="102" t="n"/>
      <c r="L1259" s="102" t="n"/>
      <c r="M1259" s="102" t="n"/>
      <c r="N1259" s="102" t="n"/>
      <c r="O1259" s="102" t="n"/>
      <c r="P1259" s="102" t="n"/>
      <c r="Q1259" s="102" t="n"/>
      <c r="R1259" s="102" t="n"/>
      <c r="S1259" s="102" t="n"/>
      <c r="T1259" s="102" t="n"/>
      <c r="U1259" s="102" t="n"/>
      <c r="V1259" s="102" t="n"/>
      <c r="W1259" s="102" t="n"/>
      <c r="X1259" s="102" t="n"/>
      <c r="Y1259" s="102" t="n"/>
      <c r="Z1259" s="102" t="n"/>
      <c r="AA1259" s="102" t="n"/>
      <c r="AB1259" s="102" t="n"/>
      <c r="AC1259" s="102" t="n"/>
      <c r="AD1259" s="102" t="n"/>
      <c r="AE1259" s="102" t="n"/>
      <c r="AF1259" s="102" t="n"/>
      <c r="AG1259" s="102" t="n"/>
      <c r="AH1259" s="102" t="n"/>
      <c r="AI1259" s="102" t="n"/>
      <c r="AJ1259" s="102" t="n"/>
      <c r="AK1259" s="102" t="n"/>
      <c r="AL1259" s="102" t="n"/>
      <c r="AM1259" s="102" t="n"/>
      <c r="AN1259" s="102" t="n"/>
      <c r="AO1259" s="102" t="n"/>
      <c r="AP1259" s="102" t="n"/>
      <c r="AQ1259" s="102" t="n"/>
      <c r="AR1259" s="102" t="n"/>
    </row>
    <row r="1260">
      <c r="D1260" s="102" t="n"/>
      <c r="E1260" s="102" t="n"/>
      <c r="F1260" s="102" t="n"/>
      <c r="G1260" s="102" t="n"/>
      <c r="H1260" s="102" t="n"/>
      <c r="I1260" s="102" t="n"/>
      <c r="J1260" s="102" t="n"/>
      <c r="K1260" s="102" t="n"/>
      <c r="L1260" s="102" t="n"/>
      <c r="M1260" s="102" t="n"/>
      <c r="N1260" s="102" t="n"/>
      <c r="O1260" s="102" t="n"/>
      <c r="P1260" s="102" t="n"/>
      <c r="Q1260" s="102" t="n"/>
      <c r="R1260" s="102" t="n"/>
      <c r="S1260" s="102" t="n"/>
      <c r="T1260" s="102" t="n"/>
      <c r="U1260" s="102" t="n"/>
      <c r="V1260" s="102" t="n"/>
      <c r="W1260" s="102" t="n"/>
      <c r="X1260" s="102" t="n"/>
      <c r="Y1260" s="102" t="n"/>
      <c r="Z1260" s="102" t="n"/>
      <c r="AA1260" s="102" t="n"/>
      <c r="AB1260" s="102" t="n"/>
      <c r="AC1260" s="102" t="n"/>
      <c r="AD1260" s="102" t="n"/>
      <c r="AE1260" s="102" t="n"/>
      <c r="AF1260" s="102" t="n"/>
      <c r="AG1260" s="102" t="n"/>
      <c r="AH1260" s="102" t="n"/>
      <c r="AI1260" s="102" t="n"/>
      <c r="AJ1260" s="102" t="n"/>
      <c r="AK1260" s="102" t="n"/>
      <c r="AL1260" s="102" t="n"/>
      <c r="AM1260" s="102" t="n"/>
      <c r="AN1260" s="102" t="n"/>
      <c r="AO1260" s="102" t="n"/>
      <c r="AP1260" s="102" t="n"/>
      <c r="AQ1260" s="102" t="n"/>
      <c r="AR1260" s="102" t="n"/>
    </row>
    <row r="1261">
      <c r="D1261" s="102" t="n"/>
      <c r="E1261" s="102" t="n"/>
      <c r="F1261" s="102" t="n"/>
      <c r="G1261" s="102" t="n"/>
      <c r="H1261" s="102" t="n"/>
      <c r="I1261" s="102" t="n"/>
      <c r="J1261" s="102" t="n"/>
      <c r="K1261" s="102" t="n"/>
      <c r="L1261" s="102" t="n"/>
      <c r="M1261" s="102" t="n"/>
      <c r="N1261" s="102" t="n"/>
      <c r="O1261" s="102" t="n"/>
      <c r="P1261" s="102" t="n"/>
      <c r="Q1261" s="102" t="n"/>
      <c r="R1261" s="102" t="n"/>
      <c r="S1261" s="102" t="n"/>
      <c r="T1261" s="102" t="n"/>
      <c r="U1261" s="102" t="n"/>
      <c r="V1261" s="102" t="n"/>
      <c r="W1261" s="102" t="n"/>
      <c r="X1261" s="102" t="n"/>
      <c r="Y1261" s="102" t="n"/>
      <c r="Z1261" s="102" t="n"/>
      <c r="AA1261" s="102" t="n"/>
      <c r="AB1261" s="102" t="n"/>
      <c r="AC1261" s="102" t="n"/>
      <c r="AD1261" s="102" t="n"/>
      <c r="AE1261" s="102" t="n"/>
      <c r="AF1261" s="102" t="n"/>
      <c r="AG1261" s="102" t="n"/>
      <c r="AH1261" s="102" t="n"/>
      <c r="AI1261" s="102" t="n"/>
      <c r="AJ1261" s="102" t="n"/>
      <c r="AK1261" s="102" t="n"/>
      <c r="AL1261" s="102" t="n"/>
      <c r="AM1261" s="102" t="n"/>
      <c r="AN1261" s="102" t="n"/>
      <c r="AO1261" s="102" t="n"/>
      <c r="AP1261" s="102" t="n"/>
      <c r="AQ1261" s="102" t="n"/>
      <c r="AR1261" s="102" t="n"/>
    </row>
    <row r="1262">
      <c r="D1262" s="160" t="n"/>
      <c r="E1262" s="160" t="n"/>
      <c r="F1262" s="160" t="n"/>
      <c r="G1262" s="160" t="n"/>
      <c r="H1262" s="160" t="n"/>
      <c r="I1262" s="160" t="n"/>
      <c r="J1262" s="160" t="n"/>
      <c r="K1262" s="160" t="n"/>
      <c r="L1262" s="160" t="n"/>
      <c r="M1262" s="160" t="n"/>
      <c r="N1262" s="160" t="n"/>
      <c r="O1262" s="160" t="n"/>
      <c r="P1262" s="160" t="n"/>
      <c r="Q1262" s="160" t="n"/>
      <c r="R1262" s="160" t="n"/>
      <c r="S1262" s="160" t="n"/>
      <c r="T1262" s="160" t="n"/>
      <c r="U1262" s="160" t="n"/>
      <c r="V1262" s="160" t="n"/>
      <c r="W1262" s="160" t="n"/>
      <c r="X1262" s="160" t="n"/>
      <c r="Y1262" s="160" t="n"/>
      <c r="Z1262" s="160" t="n"/>
      <c r="AA1262" s="160" t="n"/>
      <c r="AB1262" s="160" t="n"/>
      <c r="AC1262" s="160" t="n"/>
      <c r="AD1262" s="160" t="n"/>
      <c r="AE1262" s="160" t="n"/>
      <c r="AF1262" s="160" t="n"/>
      <c r="AG1262" s="160" t="n"/>
      <c r="AH1262" s="160" t="n"/>
      <c r="AI1262" s="160" t="n"/>
      <c r="AJ1262" s="160" t="n"/>
      <c r="AK1262" s="160" t="n"/>
      <c r="AL1262" s="160" t="n"/>
      <c r="AM1262" s="160" t="n"/>
      <c r="AN1262" s="160" t="n"/>
      <c r="AO1262" s="160" t="n"/>
      <c r="AP1262" s="160" t="n"/>
      <c r="AQ1262" s="160" t="n"/>
      <c r="AR1262" s="160" t="n"/>
    </row>
    <row r="1265">
      <c r="A1265" s="2">
        <f>IF($A1258="","","   projections")</f>
        <v/>
      </c>
      <c r="B1265" s="158">
        <f>IF($A1258="",0,COUNT($E1266:$AR1266))</f>
        <v/>
      </c>
      <c r="C1265" s="159">
        <f>IF($B1265=0,0,MAX($E1266:$AR1266))</f>
        <v/>
      </c>
      <c r="D1265" s="101">
        <f>BDS($A1258,FLD_PROJ,"headers=y","startcol=1","endcol=3","dir=h")</f>
        <v/>
      </c>
      <c r="E1265" s="102" t="n"/>
      <c r="F1265" s="102" t="n"/>
      <c r="G1265" s="102" t="n"/>
      <c r="H1265" s="102" t="n"/>
      <c r="I1265" s="102" t="n"/>
      <c r="J1265" s="102" t="n"/>
      <c r="K1265" s="102" t="n"/>
      <c r="L1265" s="102" t="n"/>
      <c r="M1265" s="102" t="n"/>
      <c r="N1265" s="102" t="n"/>
      <c r="O1265" s="102" t="n"/>
      <c r="P1265" s="102" t="n"/>
      <c r="Q1265" s="102" t="n"/>
      <c r="R1265" s="102" t="n"/>
      <c r="S1265" s="102" t="n"/>
      <c r="T1265" s="102" t="n"/>
      <c r="U1265" s="102" t="n"/>
      <c r="V1265" s="102" t="n"/>
      <c r="W1265" s="102" t="n"/>
      <c r="X1265" s="102" t="n"/>
      <c r="Y1265" s="102" t="n"/>
      <c r="Z1265" s="102" t="n"/>
      <c r="AA1265" s="102" t="n"/>
      <c r="AB1265" s="102" t="n"/>
      <c r="AC1265" s="102" t="n"/>
      <c r="AD1265" s="102" t="n"/>
      <c r="AE1265" s="102" t="n"/>
      <c r="AF1265" s="102" t="n"/>
      <c r="AG1265" s="102" t="n"/>
      <c r="AH1265" s="102" t="n"/>
      <c r="AI1265" s="102" t="n"/>
      <c r="AJ1265" s="102" t="n"/>
      <c r="AK1265" s="102" t="n"/>
      <c r="AL1265" s="102" t="n"/>
      <c r="AM1265" s="102" t="n"/>
      <c r="AN1265" s="102" t="n"/>
      <c r="AO1265" s="102" t="n"/>
      <c r="AP1265" s="102" t="n"/>
      <c r="AQ1265" s="102" t="n"/>
      <c r="AR1265" s="102" t="n"/>
    </row>
    <row r="1266">
      <c r="D1266" s="102" t="n"/>
      <c r="E1266" s="102" t="n"/>
      <c r="F1266" s="102" t="n"/>
      <c r="G1266" s="102" t="n"/>
      <c r="H1266" s="102" t="n"/>
      <c r="I1266" s="102" t="n"/>
      <c r="J1266" s="102" t="n"/>
      <c r="K1266" s="102" t="n"/>
      <c r="L1266" s="102" t="n"/>
      <c r="M1266" s="102" t="n"/>
      <c r="N1266" s="102" t="n"/>
      <c r="O1266" s="102" t="n"/>
      <c r="P1266" s="102" t="n"/>
      <c r="Q1266" s="102" t="n"/>
      <c r="R1266" s="102" t="n"/>
      <c r="S1266" s="102" t="n"/>
      <c r="T1266" s="102" t="n"/>
      <c r="U1266" s="102" t="n"/>
      <c r="V1266" s="102" t="n"/>
      <c r="W1266" s="102" t="n"/>
      <c r="X1266" s="102" t="n"/>
      <c r="Y1266" s="102" t="n"/>
      <c r="Z1266" s="102" t="n"/>
      <c r="AA1266" s="102" t="n"/>
      <c r="AB1266" s="102" t="n"/>
      <c r="AC1266" s="102" t="n"/>
      <c r="AD1266" s="102" t="n"/>
      <c r="AE1266" s="102" t="n"/>
      <c r="AF1266" s="102" t="n"/>
      <c r="AG1266" s="102" t="n"/>
      <c r="AH1266" s="102" t="n"/>
      <c r="AI1266" s="102" t="n"/>
      <c r="AJ1266" s="102" t="n"/>
      <c r="AK1266" s="102" t="n"/>
      <c r="AL1266" s="102" t="n"/>
      <c r="AM1266" s="102" t="n"/>
      <c r="AN1266" s="102" t="n"/>
      <c r="AO1266" s="102" t="n"/>
      <c r="AP1266" s="102" t="n"/>
      <c r="AQ1266" s="102" t="n"/>
      <c r="AR1266" s="102" t="n"/>
    </row>
    <row r="1267">
      <c r="D1267" s="160" t="n"/>
      <c r="E1267" s="160" t="n"/>
      <c r="F1267" s="160" t="n"/>
      <c r="G1267" s="160" t="n"/>
      <c r="H1267" s="160" t="n"/>
      <c r="I1267" s="160" t="n"/>
      <c r="J1267" s="160" t="n"/>
      <c r="K1267" s="160" t="n"/>
      <c r="L1267" s="160" t="n"/>
      <c r="M1267" s="160" t="n"/>
      <c r="N1267" s="160" t="n"/>
      <c r="O1267" s="160" t="n"/>
      <c r="P1267" s="160" t="n"/>
      <c r="Q1267" s="160" t="n"/>
      <c r="R1267" s="160" t="n"/>
      <c r="S1267" s="160" t="n"/>
      <c r="T1267" s="160" t="n"/>
      <c r="U1267" s="160" t="n"/>
      <c r="V1267" s="160" t="n"/>
      <c r="W1267" s="160" t="n"/>
      <c r="X1267" s="160" t="n"/>
      <c r="Y1267" s="160" t="n"/>
      <c r="Z1267" s="160" t="n"/>
      <c r="AA1267" s="160" t="n"/>
      <c r="AB1267" s="160" t="n"/>
      <c r="AC1267" s="160" t="n"/>
      <c r="AD1267" s="160" t="n"/>
      <c r="AE1267" s="160" t="n"/>
      <c r="AF1267" s="160" t="n"/>
      <c r="AG1267" s="160" t="n"/>
      <c r="AH1267" s="160" t="n"/>
      <c r="AI1267" s="160" t="n"/>
      <c r="AJ1267" s="160" t="n"/>
      <c r="AK1267" s="160" t="n"/>
      <c r="AL1267" s="160" t="n"/>
      <c r="AM1267" s="160" t="n"/>
      <c r="AN1267" s="160" t="n"/>
      <c r="AO1267" s="160" t="n"/>
      <c r="AP1267" s="160" t="n"/>
      <c r="AQ1267" s="160" t="n"/>
      <c r="AR1267" s="160" t="n"/>
    </row>
    <row r="1269">
      <c r="A1269" s="8">
        <f>IF(HSTECH!$C$21="","",HSTECH!$C$21)</f>
        <v/>
      </c>
      <c r="B1269" s="158">
        <f>IF($A1269="",0,COUNT($E1270:$AR1270))</f>
        <v/>
      </c>
      <c r="C1269" s="159">
        <f>IF($B1269=0,0,MAX($E1270:$AR1270))</f>
        <v/>
      </c>
      <c r="D1269" s="101">
        <f>BDS($A1269,FLD_HIST,"headers=y","startcol=1","endcol=7","dir=h","DVD_START_DT",HIST_FROM,"DVD_END_DT",HIST_TO)</f>
        <v/>
      </c>
      <c r="E1269" s="102" t="n"/>
      <c r="F1269" s="102" t="n"/>
      <c r="G1269" s="102" t="n"/>
      <c r="H1269" s="102" t="n"/>
      <c r="I1269" s="102" t="n"/>
      <c r="J1269" s="102" t="n"/>
      <c r="K1269" s="102" t="n"/>
      <c r="L1269" s="102" t="n"/>
      <c r="M1269" s="102" t="n"/>
      <c r="N1269" s="102" t="n"/>
      <c r="O1269" s="102" t="n"/>
      <c r="P1269" s="102" t="n"/>
      <c r="Q1269" s="102" t="n"/>
      <c r="R1269" s="102" t="n"/>
      <c r="S1269" s="102" t="n"/>
      <c r="T1269" s="102" t="n"/>
      <c r="U1269" s="102" t="n"/>
      <c r="V1269" s="102" t="n"/>
      <c r="W1269" s="102" t="n"/>
      <c r="X1269" s="102" t="n"/>
      <c r="Y1269" s="102" t="n"/>
      <c r="Z1269" s="102" t="n"/>
      <c r="AA1269" s="102" t="n"/>
      <c r="AB1269" s="102" t="n"/>
      <c r="AC1269" s="102" t="n"/>
      <c r="AD1269" s="102" t="n"/>
      <c r="AE1269" s="102" t="n"/>
      <c r="AF1269" s="102" t="n"/>
      <c r="AG1269" s="102" t="n"/>
      <c r="AH1269" s="102" t="n"/>
      <c r="AI1269" s="102" t="n"/>
      <c r="AJ1269" s="102" t="n"/>
      <c r="AK1269" s="102" t="n"/>
      <c r="AL1269" s="102" t="n"/>
      <c r="AM1269" s="102" t="n"/>
      <c r="AN1269" s="102" t="n"/>
      <c r="AO1269" s="102" t="n"/>
      <c r="AP1269" s="102" t="n"/>
      <c r="AQ1269" s="102" t="n"/>
      <c r="AR1269" s="102" t="n"/>
    </row>
    <row r="1270">
      <c r="D1270" s="102" t="n"/>
      <c r="E1270" s="102" t="n"/>
      <c r="F1270" s="102" t="n"/>
      <c r="G1270" s="102" t="n"/>
      <c r="H1270" s="102" t="n"/>
      <c r="I1270" s="102" t="n"/>
      <c r="J1270" s="102" t="n"/>
      <c r="K1270" s="102" t="n"/>
      <c r="L1270" s="102" t="n"/>
      <c r="M1270" s="102" t="n"/>
      <c r="N1270" s="102" t="n"/>
      <c r="O1270" s="102" t="n"/>
      <c r="P1270" s="102" t="n"/>
      <c r="Q1270" s="102" t="n"/>
      <c r="R1270" s="102" t="n"/>
      <c r="S1270" s="102" t="n"/>
      <c r="T1270" s="102" t="n"/>
      <c r="U1270" s="102" t="n"/>
      <c r="V1270" s="102" t="n"/>
      <c r="W1270" s="102" t="n"/>
      <c r="X1270" s="102" t="n"/>
      <c r="Y1270" s="102" t="n"/>
      <c r="Z1270" s="102" t="n"/>
      <c r="AA1270" s="102" t="n"/>
      <c r="AB1270" s="102" t="n"/>
      <c r="AC1270" s="102" t="n"/>
      <c r="AD1270" s="102" t="n"/>
      <c r="AE1270" s="102" t="n"/>
      <c r="AF1270" s="102" t="n"/>
      <c r="AG1270" s="102" t="n"/>
      <c r="AH1270" s="102" t="n"/>
      <c r="AI1270" s="102" t="n"/>
      <c r="AJ1270" s="102" t="n"/>
      <c r="AK1270" s="102" t="n"/>
      <c r="AL1270" s="102" t="n"/>
      <c r="AM1270" s="102" t="n"/>
      <c r="AN1270" s="102" t="n"/>
      <c r="AO1270" s="102" t="n"/>
      <c r="AP1270" s="102" t="n"/>
      <c r="AQ1270" s="102" t="n"/>
      <c r="AR1270" s="102" t="n"/>
    </row>
    <row r="1271">
      <c r="D1271" s="102" t="n"/>
      <c r="E1271" s="102" t="n"/>
      <c r="F1271" s="102" t="n"/>
      <c r="G1271" s="102" t="n"/>
      <c r="H1271" s="102" t="n"/>
      <c r="I1271" s="102" t="n"/>
      <c r="J1271" s="102" t="n"/>
      <c r="K1271" s="102" t="n"/>
      <c r="L1271" s="102" t="n"/>
      <c r="M1271" s="102" t="n"/>
      <c r="N1271" s="102" t="n"/>
      <c r="O1271" s="102" t="n"/>
      <c r="P1271" s="102" t="n"/>
      <c r="Q1271" s="102" t="n"/>
      <c r="R1271" s="102" t="n"/>
      <c r="S1271" s="102" t="n"/>
      <c r="T1271" s="102" t="n"/>
      <c r="U1271" s="102" t="n"/>
      <c r="V1271" s="102" t="n"/>
      <c r="W1271" s="102" t="n"/>
      <c r="X1271" s="102" t="n"/>
      <c r="Y1271" s="102" t="n"/>
      <c r="Z1271" s="102" t="n"/>
      <c r="AA1271" s="102" t="n"/>
      <c r="AB1271" s="102" t="n"/>
      <c r="AC1271" s="102" t="n"/>
      <c r="AD1271" s="102" t="n"/>
      <c r="AE1271" s="102" t="n"/>
      <c r="AF1271" s="102" t="n"/>
      <c r="AG1271" s="102" t="n"/>
      <c r="AH1271" s="102" t="n"/>
      <c r="AI1271" s="102" t="n"/>
      <c r="AJ1271" s="102" t="n"/>
      <c r="AK1271" s="102" t="n"/>
      <c r="AL1271" s="102" t="n"/>
      <c r="AM1271" s="102" t="n"/>
      <c r="AN1271" s="102" t="n"/>
      <c r="AO1271" s="102" t="n"/>
      <c r="AP1271" s="102" t="n"/>
      <c r="AQ1271" s="102" t="n"/>
      <c r="AR1271" s="102" t="n"/>
    </row>
    <row r="1272">
      <c r="D1272" s="102" t="n"/>
      <c r="E1272" s="102" t="n"/>
      <c r="F1272" s="102" t="n"/>
      <c r="G1272" s="102" t="n"/>
      <c r="H1272" s="102" t="n"/>
      <c r="I1272" s="102" t="n"/>
      <c r="J1272" s="102" t="n"/>
      <c r="K1272" s="102" t="n"/>
      <c r="L1272" s="102" t="n"/>
      <c r="M1272" s="102" t="n"/>
      <c r="N1272" s="102" t="n"/>
      <c r="O1272" s="102" t="n"/>
      <c r="P1272" s="102" t="n"/>
      <c r="Q1272" s="102" t="n"/>
      <c r="R1272" s="102" t="n"/>
      <c r="S1272" s="102" t="n"/>
      <c r="T1272" s="102" t="n"/>
      <c r="U1272" s="102" t="n"/>
      <c r="V1272" s="102" t="n"/>
      <c r="W1272" s="102" t="n"/>
      <c r="X1272" s="102" t="n"/>
      <c r="Y1272" s="102" t="n"/>
      <c r="Z1272" s="102" t="n"/>
      <c r="AA1272" s="102" t="n"/>
      <c r="AB1272" s="102" t="n"/>
      <c r="AC1272" s="102" t="n"/>
      <c r="AD1272" s="102" t="n"/>
      <c r="AE1272" s="102" t="n"/>
      <c r="AF1272" s="102" t="n"/>
      <c r="AG1272" s="102" t="n"/>
      <c r="AH1272" s="102" t="n"/>
      <c r="AI1272" s="102" t="n"/>
      <c r="AJ1272" s="102" t="n"/>
      <c r="AK1272" s="102" t="n"/>
      <c r="AL1272" s="102" t="n"/>
      <c r="AM1272" s="102" t="n"/>
      <c r="AN1272" s="102" t="n"/>
      <c r="AO1272" s="102" t="n"/>
      <c r="AP1272" s="102" t="n"/>
      <c r="AQ1272" s="102" t="n"/>
      <c r="AR1272" s="102" t="n"/>
    </row>
    <row r="1273">
      <c r="D1273" s="160" t="n"/>
      <c r="E1273" s="160" t="n"/>
      <c r="F1273" s="160" t="n"/>
      <c r="G1273" s="160" t="n"/>
      <c r="H1273" s="160" t="n"/>
      <c r="I1273" s="160" t="n"/>
      <c r="J1273" s="160" t="n"/>
      <c r="K1273" s="160" t="n"/>
      <c r="L1273" s="160" t="n"/>
      <c r="M1273" s="160" t="n"/>
      <c r="N1273" s="160" t="n"/>
      <c r="O1273" s="160" t="n"/>
      <c r="P1273" s="160" t="n"/>
      <c r="Q1273" s="160" t="n"/>
      <c r="R1273" s="160" t="n"/>
      <c r="S1273" s="160" t="n"/>
      <c r="T1273" s="160" t="n"/>
      <c r="U1273" s="160" t="n"/>
      <c r="V1273" s="160" t="n"/>
      <c r="W1273" s="160" t="n"/>
      <c r="X1273" s="160" t="n"/>
      <c r="Y1273" s="160" t="n"/>
      <c r="Z1273" s="160" t="n"/>
      <c r="AA1273" s="160" t="n"/>
      <c r="AB1273" s="160" t="n"/>
      <c r="AC1273" s="160" t="n"/>
      <c r="AD1273" s="160" t="n"/>
      <c r="AE1273" s="160" t="n"/>
      <c r="AF1273" s="160" t="n"/>
      <c r="AG1273" s="160" t="n"/>
      <c r="AH1273" s="160" t="n"/>
      <c r="AI1273" s="160" t="n"/>
      <c r="AJ1273" s="160" t="n"/>
      <c r="AK1273" s="160" t="n"/>
      <c r="AL1273" s="160" t="n"/>
      <c r="AM1273" s="160" t="n"/>
      <c r="AN1273" s="160" t="n"/>
      <c r="AO1273" s="160" t="n"/>
      <c r="AP1273" s="160" t="n"/>
      <c r="AQ1273" s="160" t="n"/>
      <c r="AR1273" s="160" t="n"/>
    </row>
    <row r="1276">
      <c r="A1276" s="2">
        <f>IF($A1269="","","   projections")</f>
        <v/>
      </c>
      <c r="B1276" s="158">
        <f>IF($A1269="",0,COUNT($E1277:$AR1277))</f>
        <v/>
      </c>
      <c r="C1276" s="159">
        <f>IF($B1276=0,0,MAX($E1277:$AR1277))</f>
        <v/>
      </c>
      <c r="D1276" s="101">
        <f>BDS($A1269,FLD_PROJ,"headers=y","startcol=1","endcol=3","dir=h")</f>
        <v/>
      </c>
      <c r="E1276" s="102" t="n"/>
      <c r="F1276" s="102" t="n"/>
      <c r="G1276" s="102" t="n"/>
      <c r="H1276" s="102" t="n"/>
      <c r="I1276" s="102" t="n"/>
      <c r="J1276" s="102" t="n"/>
      <c r="K1276" s="102" t="n"/>
      <c r="L1276" s="102" t="n"/>
      <c r="M1276" s="102" t="n"/>
      <c r="N1276" s="102" t="n"/>
      <c r="O1276" s="102" t="n"/>
      <c r="P1276" s="102" t="n"/>
      <c r="Q1276" s="102" t="n"/>
      <c r="R1276" s="102" t="n"/>
      <c r="S1276" s="102" t="n"/>
      <c r="T1276" s="102" t="n"/>
      <c r="U1276" s="102" t="n"/>
      <c r="V1276" s="102" t="n"/>
      <c r="W1276" s="102" t="n"/>
      <c r="X1276" s="102" t="n"/>
      <c r="Y1276" s="102" t="n"/>
      <c r="Z1276" s="102" t="n"/>
      <c r="AA1276" s="102" t="n"/>
      <c r="AB1276" s="102" t="n"/>
      <c r="AC1276" s="102" t="n"/>
      <c r="AD1276" s="102" t="n"/>
      <c r="AE1276" s="102" t="n"/>
      <c r="AF1276" s="102" t="n"/>
      <c r="AG1276" s="102" t="n"/>
      <c r="AH1276" s="102" t="n"/>
      <c r="AI1276" s="102" t="n"/>
      <c r="AJ1276" s="102" t="n"/>
      <c r="AK1276" s="102" t="n"/>
      <c r="AL1276" s="102" t="n"/>
      <c r="AM1276" s="102" t="n"/>
      <c r="AN1276" s="102" t="n"/>
      <c r="AO1276" s="102" t="n"/>
      <c r="AP1276" s="102" t="n"/>
      <c r="AQ1276" s="102" t="n"/>
      <c r="AR1276" s="102" t="n"/>
    </row>
    <row r="1277">
      <c r="D1277" s="102" t="n"/>
      <c r="E1277" s="102" t="n"/>
      <c r="F1277" s="102" t="n"/>
      <c r="G1277" s="102" t="n"/>
      <c r="H1277" s="102" t="n"/>
      <c r="I1277" s="102" t="n"/>
      <c r="J1277" s="102" t="n"/>
      <c r="K1277" s="102" t="n"/>
      <c r="L1277" s="102" t="n"/>
      <c r="M1277" s="102" t="n"/>
      <c r="N1277" s="102" t="n"/>
      <c r="O1277" s="102" t="n"/>
      <c r="P1277" s="102" t="n"/>
      <c r="Q1277" s="102" t="n"/>
      <c r="R1277" s="102" t="n"/>
      <c r="S1277" s="102" t="n"/>
      <c r="T1277" s="102" t="n"/>
      <c r="U1277" s="102" t="n"/>
      <c r="V1277" s="102" t="n"/>
      <c r="W1277" s="102" t="n"/>
      <c r="X1277" s="102" t="n"/>
      <c r="Y1277" s="102" t="n"/>
      <c r="Z1277" s="102" t="n"/>
      <c r="AA1277" s="102" t="n"/>
      <c r="AB1277" s="102" t="n"/>
      <c r="AC1277" s="102" t="n"/>
      <c r="AD1277" s="102" t="n"/>
      <c r="AE1277" s="102" t="n"/>
      <c r="AF1277" s="102" t="n"/>
      <c r="AG1277" s="102" t="n"/>
      <c r="AH1277" s="102" t="n"/>
      <c r="AI1277" s="102" t="n"/>
      <c r="AJ1277" s="102" t="n"/>
      <c r="AK1277" s="102" t="n"/>
      <c r="AL1277" s="102" t="n"/>
      <c r="AM1277" s="102" t="n"/>
      <c r="AN1277" s="102" t="n"/>
      <c r="AO1277" s="102" t="n"/>
      <c r="AP1277" s="102" t="n"/>
      <c r="AQ1277" s="102" t="n"/>
      <c r="AR1277" s="102" t="n"/>
    </row>
    <row r="1278">
      <c r="D1278" s="160" t="n"/>
      <c r="E1278" s="160" t="n"/>
      <c r="F1278" s="160" t="n"/>
      <c r="G1278" s="160" t="n"/>
      <c r="H1278" s="160" t="n"/>
      <c r="I1278" s="160" t="n"/>
      <c r="J1278" s="160" t="n"/>
      <c r="K1278" s="160" t="n"/>
      <c r="L1278" s="160" t="n"/>
      <c r="M1278" s="160" t="n"/>
      <c r="N1278" s="160" t="n"/>
      <c r="O1278" s="160" t="n"/>
      <c r="P1278" s="160" t="n"/>
      <c r="Q1278" s="160" t="n"/>
      <c r="R1278" s="160" t="n"/>
      <c r="S1278" s="160" t="n"/>
      <c r="T1278" s="160" t="n"/>
      <c r="U1278" s="160" t="n"/>
      <c r="V1278" s="160" t="n"/>
      <c r="W1278" s="160" t="n"/>
      <c r="X1278" s="160" t="n"/>
      <c r="Y1278" s="160" t="n"/>
      <c r="Z1278" s="160" t="n"/>
      <c r="AA1278" s="160" t="n"/>
      <c r="AB1278" s="160" t="n"/>
      <c r="AC1278" s="160" t="n"/>
      <c r="AD1278" s="160" t="n"/>
      <c r="AE1278" s="160" t="n"/>
      <c r="AF1278" s="160" t="n"/>
      <c r="AG1278" s="160" t="n"/>
      <c r="AH1278" s="160" t="n"/>
      <c r="AI1278" s="160" t="n"/>
      <c r="AJ1278" s="160" t="n"/>
      <c r="AK1278" s="160" t="n"/>
      <c r="AL1278" s="160" t="n"/>
      <c r="AM1278" s="160" t="n"/>
      <c r="AN1278" s="160" t="n"/>
      <c r="AO1278" s="160" t="n"/>
      <c r="AP1278" s="160" t="n"/>
      <c r="AQ1278" s="160" t="n"/>
      <c r="AR1278" s="160" t="n"/>
    </row>
    <row r="1280">
      <c r="A1280" s="8">
        <f>IF(HSTECH!$C$22="","",HSTECH!$C$22)</f>
        <v/>
      </c>
      <c r="B1280" s="158">
        <f>IF($A1280="",0,COUNT($E1281:$AR1281))</f>
        <v/>
      </c>
      <c r="C1280" s="159">
        <f>IF($B1280=0,0,MAX($E1281:$AR1281))</f>
        <v/>
      </c>
      <c r="D1280" s="101">
        <f>BDS($A1280,FLD_HIST,"headers=y","startcol=1","endcol=7","dir=h","DVD_START_DT",HIST_FROM,"DVD_END_DT",HIST_TO)</f>
        <v/>
      </c>
      <c r="E1280" s="102" t="n"/>
      <c r="F1280" s="102" t="n"/>
      <c r="G1280" s="102" t="n"/>
      <c r="H1280" s="102" t="n"/>
      <c r="I1280" s="102" t="n"/>
      <c r="J1280" s="102" t="n"/>
      <c r="K1280" s="102" t="n"/>
      <c r="L1280" s="102" t="n"/>
      <c r="M1280" s="102" t="n"/>
      <c r="N1280" s="102" t="n"/>
      <c r="O1280" s="102" t="n"/>
      <c r="P1280" s="102" t="n"/>
      <c r="Q1280" s="102" t="n"/>
      <c r="R1280" s="102" t="n"/>
      <c r="S1280" s="102" t="n"/>
      <c r="T1280" s="102" t="n"/>
      <c r="U1280" s="102" t="n"/>
      <c r="V1280" s="102" t="n"/>
      <c r="W1280" s="102" t="n"/>
      <c r="X1280" s="102" t="n"/>
      <c r="Y1280" s="102" t="n"/>
      <c r="Z1280" s="102" t="n"/>
      <c r="AA1280" s="102" t="n"/>
      <c r="AB1280" s="102" t="n"/>
      <c r="AC1280" s="102" t="n"/>
      <c r="AD1280" s="102" t="n"/>
      <c r="AE1280" s="102" t="n"/>
      <c r="AF1280" s="102" t="n"/>
      <c r="AG1280" s="102" t="n"/>
      <c r="AH1280" s="102" t="n"/>
      <c r="AI1280" s="102" t="n"/>
      <c r="AJ1280" s="102" t="n"/>
      <c r="AK1280" s="102" t="n"/>
      <c r="AL1280" s="102" t="n"/>
      <c r="AM1280" s="102" t="n"/>
      <c r="AN1280" s="102" t="n"/>
      <c r="AO1280" s="102" t="n"/>
      <c r="AP1280" s="102" t="n"/>
      <c r="AQ1280" s="102" t="n"/>
      <c r="AR1280" s="102" t="n"/>
    </row>
    <row r="1281">
      <c r="D1281" s="102" t="n"/>
      <c r="E1281" s="102" t="n"/>
      <c r="F1281" s="102" t="n"/>
      <c r="G1281" s="102" t="n"/>
      <c r="H1281" s="102" t="n"/>
      <c r="I1281" s="102" t="n"/>
      <c r="J1281" s="102" t="n"/>
      <c r="K1281" s="102" t="n"/>
      <c r="L1281" s="102" t="n"/>
      <c r="M1281" s="102" t="n"/>
      <c r="N1281" s="102" t="n"/>
      <c r="O1281" s="102" t="n"/>
      <c r="P1281" s="102" t="n"/>
      <c r="Q1281" s="102" t="n"/>
      <c r="R1281" s="102" t="n"/>
      <c r="S1281" s="102" t="n"/>
      <c r="T1281" s="102" t="n"/>
      <c r="U1281" s="102" t="n"/>
      <c r="V1281" s="102" t="n"/>
      <c r="W1281" s="102" t="n"/>
      <c r="X1281" s="102" t="n"/>
      <c r="Y1281" s="102" t="n"/>
      <c r="Z1281" s="102" t="n"/>
      <c r="AA1281" s="102" t="n"/>
      <c r="AB1281" s="102" t="n"/>
      <c r="AC1281" s="102" t="n"/>
      <c r="AD1281" s="102" t="n"/>
      <c r="AE1281" s="102" t="n"/>
      <c r="AF1281" s="102" t="n"/>
      <c r="AG1281" s="102" t="n"/>
      <c r="AH1281" s="102" t="n"/>
      <c r="AI1281" s="102" t="n"/>
      <c r="AJ1281" s="102" t="n"/>
      <c r="AK1281" s="102" t="n"/>
      <c r="AL1281" s="102" t="n"/>
      <c r="AM1281" s="102" t="n"/>
      <c r="AN1281" s="102" t="n"/>
      <c r="AO1281" s="102" t="n"/>
      <c r="AP1281" s="102" t="n"/>
      <c r="AQ1281" s="102" t="n"/>
      <c r="AR1281" s="102" t="n"/>
    </row>
    <row r="1282">
      <c r="D1282" s="102" t="n"/>
      <c r="E1282" s="102" t="n"/>
      <c r="F1282" s="102" t="n"/>
      <c r="G1282" s="102" t="n"/>
      <c r="H1282" s="102" t="n"/>
      <c r="I1282" s="102" t="n"/>
      <c r="J1282" s="102" t="n"/>
      <c r="K1282" s="102" t="n"/>
      <c r="L1282" s="102" t="n"/>
      <c r="M1282" s="102" t="n"/>
      <c r="N1282" s="102" t="n"/>
      <c r="O1282" s="102" t="n"/>
      <c r="P1282" s="102" t="n"/>
      <c r="Q1282" s="102" t="n"/>
      <c r="R1282" s="102" t="n"/>
      <c r="S1282" s="102" t="n"/>
      <c r="T1282" s="102" t="n"/>
      <c r="U1282" s="102" t="n"/>
      <c r="V1282" s="102" t="n"/>
      <c r="W1282" s="102" t="n"/>
      <c r="X1282" s="102" t="n"/>
      <c r="Y1282" s="102" t="n"/>
      <c r="Z1282" s="102" t="n"/>
      <c r="AA1282" s="102" t="n"/>
      <c r="AB1282" s="102" t="n"/>
      <c r="AC1282" s="102" t="n"/>
      <c r="AD1282" s="102" t="n"/>
      <c r="AE1282" s="102" t="n"/>
      <c r="AF1282" s="102" t="n"/>
      <c r="AG1282" s="102" t="n"/>
      <c r="AH1282" s="102" t="n"/>
      <c r="AI1282" s="102" t="n"/>
      <c r="AJ1282" s="102" t="n"/>
      <c r="AK1282" s="102" t="n"/>
      <c r="AL1282" s="102" t="n"/>
      <c r="AM1282" s="102" t="n"/>
      <c r="AN1282" s="102" t="n"/>
      <c r="AO1282" s="102" t="n"/>
      <c r="AP1282" s="102" t="n"/>
      <c r="AQ1282" s="102" t="n"/>
      <c r="AR1282" s="102" t="n"/>
    </row>
    <row r="1283">
      <c r="D1283" s="102" t="n"/>
      <c r="E1283" s="102" t="n"/>
      <c r="F1283" s="102" t="n"/>
      <c r="G1283" s="102" t="n"/>
      <c r="H1283" s="102" t="n"/>
      <c r="I1283" s="102" t="n"/>
      <c r="J1283" s="102" t="n"/>
      <c r="K1283" s="102" t="n"/>
      <c r="L1283" s="102" t="n"/>
      <c r="M1283" s="102" t="n"/>
      <c r="N1283" s="102" t="n"/>
      <c r="O1283" s="102" t="n"/>
      <c r="P1283" s="102" t="n"/>
      <c r="Q1283" s="102" t="n"/>
      <c r="R1283" s="102" t="n"/>
      <c r="S1283" s="102" t="n"/>
      <c r="T1283" s="102" t="n"/>
      <c r="U1283" s="102" t="n"/>
      <c r="V1283" s="102" t="n"/>
      <c r="W1283" s="102" t="n"/>
      <c r="X1283" s="102" t="n"/>
      <c r="Y1283" s="102" t="n"/>
      <c r="Z1283" s="102" t="n"/>
      <c r="AA1283" s="102" t="n"/>
      <c r="AB1283" s="102" t="n"/>
      <c r="AC1283" s="102" t="n"/>
      <c r="AD1283" s="102" t="n"/>
      <c r="AE1283" s="102" t="n"/>
      <c r="AF1283" s="102" t="n"/>
      <c r="AG1283" s="102" t="n"/>
      <c r="AH1283" s="102" t="n"/>
      <c r="AI1283" s="102" t="n"/>
      <c r="AJ1283" s="102" t="n"/>
      <c r="AK1283" s="102" t="n"/>
      <c r="AL1283" s="102" t="n"/>
      <c r="AM1283" s="102" t="n"/>
      <c r="AN1283" s="102" t="n"/>
      <c r="AO1283" s="102" t="n"/>
      <c r="AP1283" s="102" t="n"/>
      <c r="AQ1283" s="102" t="n"/>
      <c r="AR1283" s="102" t="n"/>
    </row>
    <row r="1284">
      <c r="D1284" s="160" t="n"/>
      <c r="E1284" s="160" t="n"/>
      <c r="F1284" s="160" t="n"/>
      <c r="G1284" s="160" t="n"/>
      <c r="H1284" s="160" t="n"/>
      <c r="I1284" s="160" t="n"/>
      <c r="J1284" s="160" t="n"/>
      <c r="K1284" s="160" t="n"/>
      <c r="L1284" s="160" t="n"/>
      <c r="M1284" s="160" t="n"/>
      <c r="N1284" s="160" t="n"/>
      <c r="O1284" s="160" t="n"/>
      <c r="P1284" s="160" t="n"/>
      <c r="Q1284" s="160" t="n"/>
      <c r="R1284" s="160" t="n"/>
      <c r="S1284" s="160" t="n"/>
      <c r="T1284" s="160" t="n"/>
      <c r="U1284" s="160" t="n"/>
      <c r="V1284" s="160" t="n"/>
      <c r="W1284" s="160" t="n"/>
      <c r="X1284" s="160" t="n"/>
      <c r="Y1284" s="160" t="n"/>
      <c r="Z1284" s="160" t="n"/>
      <c r="AA1284" s="160" t="n"/>
      <c r="AB1284" s="160" t="n"/>
      <c r="AC1284" s="160" t="n"/>
      <c r="AD1284" s="160" t="n"/>
      <c r="AE1284" s="160" t="n"/>
      <c r="AF1284" s="160" t="n"/>
      <c r="AG1284" s="160" t="n"/>
      <c r="AH1284" s="160" t="n"/>
      <c r="AI1284" s="160" t="n"/>
      <c r="AJ1284" s="160" t="n"/>
      <c r="AK1284" s="160" t="n"/>
      <c r="AL1284" s="160" t="n"/>
      <c r="AM1284" s="160" t="n"/>
      <c r="AN1284" s="160" t="n"/>
      <c r="AO1284" s="160" t="n"/>
      <c r="AP1284" s="160" t="n"/>
      <c r="AQ1284" s="160" t="n"/>
      <c r="AR1284" s="160" t="n"/>
    </row>
    <row r="1287">
      <c r="A1287" s="2">
        <f>IF($A1280="","","   projections")</f>
        <v/>
      </c>
      <c r="B1287" s="158">
        <f>IF($A1280="",0,COUNT($E1288:$AR1288))</f>
        <v/>
      </c>
      <c r="C1287" s="159">
        <f>IF($B1287=0,0,MAX($E1288:$AR1288))</f>
        <v/>
      </c>
      <c r="D1287" s="101">
        <f>BDS($A1280,FLD_PROJ,"headers=y","startcol=1","endcol=3","dir=h")</f>
        <v/>
      </c>
      <c r="E1287" s="102" t="n"/>
      <c r="F1287" s="102" t="n"/>
      <c r="G1287" s="102" t="n"/>
      <c r="H1287" s="102" t="n"/>
      <c r="I1287" s="102" t="n"/>
      <c r="J1287" s="102" t="n"/>
      <c r="K1287" s="102" t="n"/>
      <c r="L1287" s="102" t="n"/>
      <c r="M1287" s="102" t="n"/>
      <c r="N1287" s="102" t="n"/>
      <c r="O1287" s="102" t="n"/>
      <c r="P1287" s="102" t="n"/>
      <c r="Q1287" s="102" t="n"/>
      <c r="R1287" s="102" t="n"/>
      <c r="S1287" s="102" t="n"/>
      <c r="T1287" s="102" t="n"/>
      <c r="U1287" s="102" t="n"/>
      <c r="V1287" s="102" t="n"/>
      <c r="W1287" s="102" t="n"/>
      <c r="X1287" s="102" t="n"/>
      <c r="Y1287" s="102" t="n"/>
      <c r="Z1287" s="102" t="n"/>
      <c r="AA1287" s="102" t="n"/>
      <c r="AB1287" s="102" t="n"/>
      <c r="AC1287" s="102" t="n"/>
      <c r="AD1287" s="102" t="n"/>
      <c r="AE1287" s="102" t="n"/>
      <c r="AF1287" s="102" t="n"/>
      <c r="AG1287" s="102" t="n"/>
      <c r="AH1287" s="102" t="n"/>
      <c r="AI1287" s="102" t="n"/>
      <c r="AJ1287" s="102" t="n"/>
      <c r="AK1287" s="102" t="n"/>
      <c r="AL1287" s="102" t="n"/>
      <c r="AM1287" s="102" t="n"/>
      <c r="AN1287" s="102" t="n"/>
      <c r="AO1287" s="102" t="n"/>
      <c r="AP1287" s="102" t="n"/>
      <c r="AQ1287" s="102" t="n"/>
      <c r="AR1287" s="102" t="n"/>
    </row>
    <row r="1288">
      <c r="D1288" s="102" t="n"/>
      <c r="E1288" s="102" t="n"/>
      <c r="F1288" s="102" t="n"/>
      <c r="G1288" s="102" t="n"/>
      <c r="H1288" s="102" t="n"/>
      <c r="I1288" s="102" t="n"/>
      <c r="J1288" s="102" t="n"/>
      <c r="K1288" s="102" t="n"/>
      <c r="L1288" s="102" t="n"/>
      <c r="M1288" s="102" t="n"/>
      <c r="N1288" s="102" t="n"/>
      <c r="O1288" s="102" t="n"/>
      <c r="P1288" s="102" t="n"/>
      <c r="Q1288" s="102" t="n"/>
      <c r="R1288" s="102" t="n"/>
      <c r="S1288" s="102" t="n"/>
      <c r="T1288" s="102" t="n"/>
      <c r="U1288" s="102" t="n"/>
      <c r="V1288" s="102" t="n"/>
      <c r="W1288" s="102" t="n"/>
      <c r="X1288" s="102" t="n"/>
      <c r="Y1288" s="102" t="n"/>
      <c r="Z1288" s="102" t="n"/>
      <c r="AA1288" s="102" t="n"/>
      <c r="AB1288" s="102" t="n"/>
      <c r="AC1288" s="102" t="n"/>
      <c r="AD1288" s="102" t="n"/>
      <c r="AE1288" s="102" t="n"/>
      <c r="AF1288" s="102" t="n"/>
      <c r="AG1288" s="102" t="n"/>
      <c r="AH1288" s="102" t="n"/>
      <c r="AI1288" s="102" t="n"/>
      <c r="AJ1288" s="102" t="n"/>
      <c r="AK1288" s="102" t="n"/>
      <c r="AL1288" s="102" t="n"/>
      <c r="AM1288" s="102" t="n"/>
      <c r="AN1288" s="102" t="n"/>
      <c r="AO1288" s="102" t="n"/>
      <c r="AP1288" s="102" t="n"/>
      <c r="AQ1288" s="102" t="n"/>
      <c r="AR1288" s="102" t="n"/>
    </row>
    <row r="1289">
      <c r="D1289" s="160" t="n"/>
      <c r="E1289" s="160" t="n"/>
      <c r="F1289" s="160" t="n"/>
      <c r="G1289" s="160" t="n"/>
      <c r="H1289" s="160" t="n"/>
      <c r="I1289" s="160" t="n"/>
      <c r="J1289" s="160" t="n"/>
      <c r="K1289" s="160" t="n"/>
      <c r="L1289" s="160" t="n"/>
      <c r="M1289" s="160" t="n"/>
      <c r="N1289" s="160" t="n"/>
      <c r="O1289" s="160" t="n"/>
      <c r="P1289" s="160" t="n"/>
      <c r="Q1289" s="160" t="n"/>
      <c r="R1289" s="160" t="n"/>
      <c r="S1289" s="160" t="n"/>
      <c r="T1289" s="160" t="n"/>
      <c r="U1289" s="160" t="n"/>
      <c r="V1289" s="160" t="n"/>
      <c r="W1289" s="160" t="n"/>
      <c r="X1289" s="160" t="n"/>
      <c r="Y1289" s="160" t="n"/>
      <c r="Z1289" s="160" t="n"/>
      <c r="AA1289" s="160" t="n"/>
      <c r="AB1289" s="160" t="n"/>
      <c r="AC1289" s="160" t="n"/>
      <c r="AD1289" s="160" t="n"/>
      <c r="AE1289" s="160" t="n"/>
      <c r="AF1289" s="160" t="n"/>
      <c r="AG1289" s="160" t="n"/>
      <c r="AH1289" s="160" t="n"/>
      <c r="AI1289" s="160" t="n"/>
      <c r="AJ1289" s="160" t="n"/>
      <c r="AK1289" s="160" t="n"/>
      <c r="AL1289" s="160" t="n"/>
      <c r="AM1289" s="160" t="n"/>
      <c r="AN1289" s="160" t="n"/>
      <c r="AO1289" s="160" t="n"/>
      <c r="AP1289" s="160" t="n"/>
      <c r="AQ1289" s="160" t="n"/>
      <c r="AR1289" s="160" t="n"/>
    </row>
    <row r="1291">
      <c r="A1291" s="8">
        <f>IF(HSTECH!$C$23="","",HSTECH!$C$23)</f>
        <v/>
      </c>
      <c r="B1291" s="158">
        <f>IF($A1291="",0,COUNT($E1292:$AR1292))</f>
        <v/>
      </c>
      <c r="C1291" s="159">
        <f>IF($B1291=0,0,MAX($E1292:$AR1292))</f>
        <v/>
      </c>
      <c r="D1291" s="101">
        <f>BDS($A1291,FLD_HIST,"headers=y","startcol=1","endcol=7","dir=h","DVD_START_DT",HIST_FROM,"DVD_END_DT",HIST_TO)</f>
        <v/>
      </c>
      <c r="E1291" s="102" t="n"/>
      <c r="F1291" s="102" t="n"/>
      <c r="G1291" s="102" t="n"/>
      <c r="H1291" s="102" t="n"/>
      <c r="I1291" s="102" t="n"/>
      <c r="J1291" s="102" t="n"/>
      <c r="K1291" s="102" t="n"/>
      <c r="L1291" s="102" t="n"/>
      <c r="M1291" s="102" t="n"/>
      <c r="N1291" s="102" t="n"/>
      <c r="O1291" s="102" t="n"/>
      <c r="P1291" s="102" t="n"/>
      <c r="Q1291" s="102" t="n"/>
      <c r="R1291" s="102" t="n"/>
      <c r="S1291" s="102" t="n"/>
      <c r="T1291" s="102" t="n"/>
      <c r="U1291" s="102" t="n"/>
      <c r="V1291" s="102" t="n"/>
      <c r="W1291" s="102" t="n"/>
      <c r="X1291" s="102" t="n"/>
      <c r="Y1291" s="102" t="n"/>
      <c r="Z1291" s="102" t="n"/>
      <c r="AA1291" s="102" t="n"/>
      <c r="AB1291" s="102" t="n"/>
      <c r="AC1291" s="102" t="n"/>
      <c r="AD1291" s="102" t="n"/>
      <c r="AE1291" s="102" t="n"/>
      <c r="AF1291" s="102" t="n"/>
      <c r="AG1291" s="102" t="n"/>
      <c r="AH1291" s="102" t="n"/>
      <c r="AI1291" s="102" t="n"/>
      <c r="AJ1291" s="102" t="n"/>
      <c r="AK1291" s="102" t="n"/>
      <c r="AL1291" s="102" t="n"/>
      <c r="AM1291" s="102" t="n"/>
      <c r="AN1291" s="102" t="n"/>
      <c r="AO1291" s="102" t="n"/>
      <c r="AP1291" s="102" t="n"/>
      <c r="AQ1291" s="102" t="n"/>
      <c r="AR1291" s="102" t="n"/>
    </row>
    <row r="1292">
      <c r="D1292" s="102" t="n"/>
      <c r="E1292" s="102" t="n"/>
      <c r="F1292" s="102" t="n"/>
      <c r="G1292" s="102" t="n"/>
      <c r="H1292" s="102" t="n"/>
      <c r="I1292" s="102" t="n"/>
      <c r="J1292" s="102" t="n"/>
      <c r="K1292" s="102" t="n"/>
      <c r="L1292" s="102" t="n"/>
      <c r="M1292" s="102" t="n"/>
      <c r="N1292" s="102" t="n"/>
      <c r="O1292" s="102" t="n"/>
      <c r="P1292" s="102" t="n"/>
      <c r="Q1292" s="102" t="n"/>
      <c r="R1292" s="102" t="n"/>
      <c r="S1292" s="102" t="n"/>
      <c r="T1292" s="102" t="n"/>
      <c r="U1292" s="102" t="n"/>
      <c r="V1292" s="102" t="n"/>
      <c r="W1292" s="102" t="n"/>
      <c r="X1292" s="102" t="n"/>
      <c r="Y1292" s="102" t="n"/>
      <c r="Z1292" s="102" t="n"/>
      <c r="AA1292" s="102" t="n"/>
      <c r="AB1292" s="102" t="n"/>
      <c r="AC1292" s="102" t="n"/>
      <c r="AD1292" s="102" t="n"/>
      <c r="AE1292" s="102" t="n"/>
      <c r="AF1292" s="102" t="n"/>
      <c r="AG1292" s="102" t="n"/>
      <c r="AH1292" s="102" t="n"/>
      <c r="AI1292" s="102" t="n"/>
      <c r="AJ1292" s="102" t="n"/>
      <c r="AK1292" s="102" t="n"/>
      <c r="AL1292" s="102" t="n"/>
      <c r="AM1292" s="102" t="n"/>
      <c r="AN1292" s="102" t="n"/>
      <c r="AO1292" s="102" t="n"/>
      <c r="AP1292" s="102" t="n"/>
      <c r="AQ1292" s="102" t="n"/>
      <c r="AR1292" s="102" t="n"/>
    </row>
    <row r="1293">
      <c r="D1293" s="102" t="n"/>
      <c r="E1293" s="102" t="n"/>
      <c r="F1293" s="102" t="n"/>
      <c r="G1293" s="102" t="n"/>
      <c r="H1293" s="102" t="n"/>
      <c r="I1293" s="102" t="n"/>
      <c r="J1293" s="102" t="n"/>
      <c r="K1293" s="102" t="n"/>
      <c r="L1293" s="102" t="n"/>
      <c r="M1293" s="102" t="n"/>
      <c r="N1293" s="102" t="n"/>
      <c r="O1293" s="102" t="n"/>
      <c r="P1293" s="102" t="n"/>
      <c r="Q1293" s="102" t="n"/>
      <c r="R1293" s="102" t="n"/>
      <c r="S1293" s="102" t="n"/>
      <c r="T1293" s="102" t="n"/>
      <c r="U1293" s="102" t="n"/>
      <c r="V1293" s="102" t="n"/>
      <c r="W1293" s="102" t="n"/>
      <c r="X1293" s="102" t="n"/>
      <c r="Y1293" s="102" t="n"/>
      <c r="Z1293" s="102" t="n"/>
      <c r="AA1293" s="102" t="n"/>
      <c r="AB1293" s="102" t="n"/>
      <c r="AC1293" s="102" t="n"/>
      <c r="AD1293" s="102" t="n"/>
      <c r="AE1293" s="102" t="n"/>
      <c r="AF1293" s="102" t="n"/>
      <c r="AG1293" s="102" t="n"/>
      <c r="AH1293" s="102" t="n"/>
      <c r="AI1293" s="102" t="n"/>
      <c r="AJ1293" s="102" t="n"/>
      <c r="AK1293" s="102" t="n"/>
      <c r="AL1293" s="102" t="n"/>
      <c r="AM1293" s="102" t="n"/>
      <c r="AN1293" s="102" t="n"/>
      <c r="AO1293" s="102" t="n"/>
      <c r="AP1293" s="102" t="n"/>
      <c r="AQ1293" s="102" t="n"/>
      <c r="AR1293" s="102" t="n"/>
    </row>
    <row r="1294">
      <c r="D1294" s="102" t="n"/>
      <c r="E1294" s="102" t="n"/>
      <c r="F1294" s="102" t="n"/>
      <c r="G1294" s="102" t="n"/>
      <c r="H1294" s="102" t="n"/>
      <c r="I1294" s="102" t="n"/>
      <c r="J1294" s="102" t="n"/>
      <c r="K1294" s="102" t="n"/>
      <c r="L1294" s="102" t="n"/>
      <c r="M1294" s="102" t="n"/>
      <c r="N1294" s="102" t="n"/>
      <c r="O1294" s="102" t="n"/>
      <c r="P1294" s="102" t="n"/>
      <c r="Q1294" s="102" t="n"/>
      <c r="R1294" s="102" t="n"/>
      <c r="S1294" s="102" t="n"/>
      <c r="T1294" s="102" t="n"/>
      <c r="U1294" s="102" t="n"/>
      <c r="V1294" s="102" t="n"/>
      <c r="W1294" s="102" t="n"/>
      <c r="X1294" s="102" t="n"/>
      <c r="Y1294" s="102" t="n"/>
      <c r="Z1294" s="102" t="n"/>
      <c r="AA1294" s="102" t="n"/>
      <c r="AB1294" s="102" t="n"/>
      <c r="AC1294" s="102" t="n"/>
      <c r="AD1294" s="102" t="n"/>
      <c r="AE1294" s="102" t="n"/>
      <c r="AF1294" s="102" t="n"/>
      <c r="AG1294" s="102" t="n"/>
      <c r="AH1294" s="102" t="n"/>
      <c r="AI1294" s="102" t="n"/>
      <c r="AJ1294" s="102" t="n"/>
      <c r="AK1294" s="102" t="n"/>
      <c r="AL1294" s="102" t="n"/>
      <c r="AM1294" s="102" t="n"/>
      <c r="AN1294" s="102" t="n"/>
      <c r="AO1294" s="102" t="n"/>
      <c r="AP1294" s="102" t="n"/>
      <c r="AQ1294" s="102" t="n"/>
      <c r="AR1294" s="102" t="n"/>
    </row>
    <row r="1295">
      <c r="D1295" s="160" t="n"/>
      <c r="E1295" s="160" t="n"/>
      <c r="F1295" s="160" t="n"/>
      <c r="G1295" s="160" t="n"/>
      <c r="H1295" s="160" t="n"/>
      <c r="I1295" s="160" t="n"/>
      <c r="J1295" s="160" t="n"/>
      <c r="K1295" s="160" t="n"/>
      <c r="L1295" s="160" t="n"/>
      <c r="M1295" s="160" t="n"/>
      <c r="N1295" s="160" t="n"/>
      <c r="O1295" s="160" t="n"/>
      <c r="P1295" s="160" t="n"/>
      <c r="Q1295" s="160" t="n"/>
      <c r="R1295" s="160" t="n"/>
      <c r="S1295" s="160" t="n"/>
      <c r="T1295" s="160" t="n"/>
      <c r="U1295" s="160" t="n"/>
      <c r="V1295" s="160" t="n"/>
      <c r="W1295" s="160" t="n"/>
      <c r="X1295" s="160" t="n"/>
      <c r="Y1295" s="160" t="n"/>
      <c r="Z1295" s="160" t="n"/>
      <c r="AA1295" s="160" t="n"/>
      <c r="AB1295" s="160" t="n"/>
      <c r="AC1295" s="160" t="n"/>
      <c r="AD1295" s="160" t="n"/>
      <c r="AE1295" s="160" t="n"/>
      <c r="AF1295" s="160" t="n"/>
      <c r="AG1295" s="160" t="n"/>
      <c r="AH1295" s="160" t="n"/>
      <c r="AI1295" s="160" t="n"/>
      <c r="AJ1295" s="160" t="n"/>
      <c r="AK1295" s="160" t="n"/>
      <c r="AL1295" s="160" t="n"/>
      <c r="AM1295" s="160" t="n"/>
      <c r="AN1295" s="160" t="n"/>
      <c r="AO1295" s="160" t="n"/>
      <c r="AP1295" s="160" t="n"/>
      <c r="AQ1295" s="160" t="n"/>
      <c r="AR1295" s="160" t="n"/>
    </row>
    <row r="1298">
      <c r="A1298" s="2">
        <f>IF($A1291="","","   projections")</f>
        <v/>
      </c>
      <c r="B1298" s="158">
        <f>IF($A1291="",0,COUNT($E1299:$AR1299))</f>
        <v/>
      </c>
      <c r="C1298" s="159">
        <f>IF($B1298=0,0,MAX($E1299:$AR1299))</f>
        <v/>
      </c>
      <c r="D1298" s="101">
        <f>BDS($A1291,FLD_PROJ,"headers=y","startcol=1","endcol=3","dir=h")</f>
        <v/>
      </c>
      <c r="E1298" s="102" t="n"/>
      <c r="F1298" s="102" t="n"/>
      <c r="G1298" s="102" t="n"/>
      <c r="H1298" s="102" t="n"/>
      <c r="I1298" s="102" t="n"/>
      <c r="J1298" s="102" t="n"/>
      <c r="K1298" s="102" t="n"/>
      <c r="L1298" s="102" t="n"/>
      <c r="M1298" s="102" t="n"/>
      <c r="N1298" s="102" t="n"/>
      <c r="O1298" s="102" t="n"/>
      <c r="P1298" s="102" t="n"/>
      <c r="Q1298" s="102" t="n"/>
      <c r="R1298" s="102" t="n"/>
      <c r="S1298" s="102" t="n"/>
      <c r="T1298" s="102" t="n"/>
      <c r="U1298" s="102" t="n"/>
      <c r="V1298" s="102" t="n"/>
      <c r="W1298" s="102" t="n"/>
      <c r="X1298" s="102" t="n"/>
      <c r="Y1298" s="102" t="n"/>
      <c r="Z1298" s="102" t="n"/>
      <c r="AA1298" s="102" t="n"/>
      <c r="AB1298" s="102" t="n"/>
      <c r="AC1298" s="102" t="n"/>
      <c r="AD1298" s="102" t="n"/>
      <c r="AE1298" s="102" t="n"/>
      <c r="AF1298" s="102" t="n"/>
      <c r="AG1298" s="102" t="n"/>
      <c r="AH1298" s="102" t="n"/>
      <c r="AI1298" s="102" t="n"/>
      <c r="AJ1298" s="102" t="n"/>
      <c r="AK1298" s="102" t="n"/>
      <c r="AL1298" s="102" t="n"/>
      <c r="AM1298" s="102" t="n"/>
      <c r="AN1298" s="102" t="n"/>
      <c r="AO1298" s="102" t="n"/>
      <c r="AP1298" s="102" t="n"/>
      <c r="AQ1298" s="102" t="n"/>
      <c r="AR1298" s="102" t="n"/>
    </row>
    <row r="1299">
      <c r="D1299" s="102" t="n"/>
      <c r="E1299" s="102" t="n"/>
      <c r="F1299" s="102" t="n"/>
      <c r="G1299" s="102" t="n"/>
      <c r="H1299" s="102" t="n"/>
      <c r="I1299" s="102" t="n"/>
      <c r="J1299" s="102" t="n"/>
      <c r="K1299" s="102" t="n"/>
      <c r="L1299" s="102" t="n"/>
      <c r="M1299" s="102" t="n"/>
      <c r="N1299" s="102" t="n"/>
      <c r="O1299" s="102" t="n"/>
      <c r="P1299" s="102" t="n"/>
      <c r="Q1299" s="102" t="n"/>
      <c r="R1299" s="102" t="n"/>
      <c r="S1299" s="102" t="n"/>
      <c r="T1299" s="102" t="n"/>
      <c r="U1299" s="102" t="n"/>
      <c r="V1299" s="102" t="n"/>
      <c r="W1299" s="102" t="n"/>
      <c r="X1299" s="102" t="n"/>
      <c r="Y1299" s="102" t="n"/>
      <c r="Z1299" s="102" t="n"/>
      <c r="AA1299" s="102" t="n"/>
      <c r="AB1299" s="102" t="n"/>
      <c r="AC1299" s="102" t="n"/>
      <c r="AD1299" s="102" t="n"/>
      <c r="AE1299" s="102" t="n"/>
      <c r="AF1299" s="102" t="n"/>
      <c r="AG1299" s="102" t="n"/>
      <c r="AH1299" s="102" t="n"/>
      <c r="AI1299" s="102" t="n"/>
      <c r="AJ1299" s="102" t="n"/>
      <c r="AK1299" s="102" t="n"/>
      <c r="AL1299" s="102" t="n"/>
      <c r="AM1299" s="102" t="n"/>
      <c r="AN1299" s="102" t="n"/>
      <c r="AO1299" s="102" t="n"/>
      <c r="AP1299" s="102" t="n"/>
      <c r="AQ1299" s="102" t="n"/>
      <c r="AR1299" s="102" t="n"/>
    </row>
    <row r="1300">
      <c r="D1300" s="160" t="n"/>
      <c r="E1300" s="160" t="n"/>
      <c r="F1300" s="160" t="n"/>
      <c r="G1300" s="160" t="n"/>
      <c r="H1300" s="160" t="n"/>
      <c r="I1300" s="160" t="n"/>
      <c r="J1300" s="160" t="n"/>
      <c r="K1300" s="160" t="n"/>
      <c r="L1300" s="160" t="n"/>
      <c r="M1300" s="160" t="n"/>
      <c r="N1300" s="160" t="n"/>
      <c r="O1300" s="160" t="n"/>
      <c r="P1300" s="160" t="n"/>
      <c r="Q1300" s="160" t="n"/>
      <c r="R1300" s="160" t="n"/>
      <c r="S1300" s="160" t="n"/>
      <c r="T1300" s="160" t="n"/>
      <c r="U1300" s="160" t="n"/>
      <c r="V1300" s="160" t="n"/>
      <c r="W1300" s="160" t="n"/>
      <c r="X1300" s="160" t="n"/>
      <c r="Y1300" s="160" t="n"/>
      <c r="Z1300" s="160" t="n"/>
      <c r="AA1300" s="160" t="n"/>
      <c r="AB1300" s="160" t="n"/>
      <c r="AC1300" s="160" t="n"/>
      <c r="AD1300" s="160" t="n"/>
      <c r="AE1300" s="160" t="n"/>
      <c r="AF1300" s="160" t="n"/>
      <c r="AG1300" s="160" t="n"/>
      <c r="AH1300" s="160" t="n"/>
      <c r="AI1300" s="160" t="n"/>
      <c r="AJ1300" s="160" t="n"/>
      <c r="AK1300" s="160" t="n"/>
      <c r="AL1300" s="160" t="n"/>
      <c r="AM1300" s="160" t="n"/>
      <c r="AN1300" s="160" t="n"/>
      <c r="AO1300" s="160" t="n"/>
      <c r="AP1300" s="160" t="n"/>
      <c r="AQ1300" s="160" t="n"/>
      <c r="AR1300" s="160" t="n"/>
    </row>
    <row r="1302">
      <c r="A1302" s="8">
        <f>IF(HSTECH!$C$24="","",HSTECH!$C$24)</f>
        <v/>
      </c>
      <c r="B1302" s="158">
        <f>IF($A1302="",0,COUNT($E1303:$AR1303))</f>
        <v/>
      </c>
      <c r="C1302" s="159">
        <f>IF($B1302=0,0,MAX($E1303:$AR1303))</f>
        <v/>
      </c>
      <c r="D1302" s="101">
        <f>BDS($A1302,FLD_HIST,"headers=y","startcol=1","endcol=7","dir=h","DVD_START_DT",HIST_FROM,"DVD_END_DT",HIST_TO)</f>
        <v/>
      </c>
      <c r="E1302" s="102" t="n"/>
      <c r="F1302" s="102" t="n"/>
      <c r="G1302" s="102" t="n"/>
      <c r="H1302" s="102" t="n"/>
      <c r="I1302" s="102" t="n"/>
      <c r="J1302" s="102" t="n"/>
      <c r="K1302" s="102" t="n"/>
      <c r="L1302" s="102" t="n"/>
      <c r="M1302" s="102" t="n"/>
      <c r="N1302" s="102" t="n"/>
      <c r="O1302" s="102" t="n"/>
      <c r="P1302" s="102" t="n"/>
      <c r="Q1302" s="102" t="n"/>
      <c r="R1302" s="102" t="n"/>
      <c r="S1302" s="102" t="n"/>
      <c r="T1302" s="102" t="n"/>
      <c r="U1302" s="102" t="n"/>
      <c r="V1302" s="102" t="n"/>
      <c r="W1302" s="102" t="n"/>
      <c r="X1302" s="102" t="n"/>
      <c r="Y1302" s="102" t="n"/>
      <c r="Z1302" s="102" t="n"/>
      <c r="AA1302" s="102" t="n"/>
      <c r="AB1302" s="102" t="n"/>
      <c r="AC1302" s="102" t="n"/>
      <c r="AD1302" s="102" t="n"/>
      <c r="AE1302" s="102" t="n"/>
      <c r="AF1302" s="102" t="n"/>
      <c r="AG1302" s="102" t="n"/>
      <c r="AH1302" s="102" t="n"/>
      <c r="AI1302" s="102" t="n"/>
      <c r="AJ1302" s="102" t="n"/>
      <c r="AK1302" s="102" t="n"/>
      <c r="AL1302" s="102" t="n"/>
      <c r="AM1302" s="102" t="n"/>
      <c r="AN1302" s="102" t="n"/>
      <c r="AO1302" s="102" t="n"/>
      <c r="AP1302" s="102" t="n"/>
      <c r="AQ1302" s="102" t="n"/>
      <c r="AR1302" s="102" t="n"/>
    </row>
    <row r="1303">
      <c r="D1303" s="102" t="n"/>
      <c r="E1303" s="102" t="n"/>
      <c r="F1303" s="102" t="n"/>
      <c r="G1303" s="102" t="n"/>
      <c r="H1303" s="102" t="n"/>
      <c r="I1303" s="102" t="n"/>
      <c r="J1303" s="102" t="n"/>
      <c r="K1303" s="102" t="n"/>
      <c r="L1303" s="102" t="n"/>
      <c r="M1303" s="102" t="n"/>
      <c r="N1303" s="102" t="n"/>
      <c r="O1303" s="102" t="n"/>
      <c r="P1303" s="102" t="n"/>
      <c r="Q1303" s="102" t="n"/>
      <c r="R1303" s="102" t="n"/>
      <c r="S1303" s="102" t="n"/>
      <c r="T1303" s="102" t="n"/>
      <c r="U1303" s="102" t="n"/>
      <c r="V1303" s="102" t="n"/>
      <c r="W1303" s="102" t="n"/>
      <c r="X1303" s="102" t="n"/>
      <c r="Y1303" s="102" t="n"/>
      <c r="Z1303" s="102" t="n"/>
      <c r="AA1303" s="102" t="n"/>
      <c r="AB1303" s="102" t="n"/>
      <c r="AC1303" s="102" t="n"/>
      <c r="AD1303" s="102" t="n"/>
      <c r="AE1303" s="102" t="n"/>
      <c r="AF1303" s="102" t="n"/>
      <c r="AG1303" s="102" t="n"/>
      <c r="AH1303" s="102" t="n"/>
      <c r="AI1303" s="102" t="n"/>
      <c r="AJ1303" s="102" t="n"/>
      <c r="AK1303" s="102" t="n"/>
      <c r="AL1303" s="102" t="n"/>
      <c r="AM1303" s="102" t="n"/>
      <c r="AN1303" s="102" t="n"/>
      <c r="AO1303" s="102" t="n"/>
      <c r="AP1303" s="102" t="n"/>
      <c r="AQ1303" s="102" t="n"/>
      <c r="AR1303" s="102" t="n"/>
    </row>
    <row r="1304">
      <c r="D1304" s="102" t="n"/>
      <c r="E1304" s="102" t="n"/>
      <c r="F1304" s="102" t="n"/>
      <c r="G1304" s="102" t="n"/>
      <c r="H1304" s="102" t="n"/>
      <c r="I1304" s="102" t="n"/>
      <c r="J1304" s="102" t="n"/>
      <c r="K1304" s="102" t="n"/>
      <c r="L1304" s="102" t="n"/>
      <c r="M1304" s="102" t="n"/>
      <c r="N1304" s="102" t="n"/>
      <c r="O1304" s="102" t="n"/>
      <c r="P1304" s="102" t="n"/>
      <c r="Q1304" s="102" t="n"/>
      <c r="R1304" s="102" t="n"/>
      <c r="S1304" s="102" t="n"/>
      <c r="T1304" s="102" t="n"/>
      <c r="U1304" s="102" t="n"/>
      <c r="V1304" s="102" t="n"/>
      <c r="W1304" s="102" t="n"/>
      <c r="X1304" s="102" t="n"/>
      <c r="Y1304" s="102" t="n"/>
      <c r="Z1304" s="102" t="n"/>
      <c r="AA1304" s="102" t="n"/>
      <c r="AB1304" s="102" t="n"/>
      <c r="AC1304" s="102" t="n"/>
      <c r="AD1304" s="102" t="n"/>
      <c r="AE1304" s="102" t="n"/>
      <c r="AF1304" s="102" t="n"/>
      <c r="AG1304" s="102" t="n"/>
      <c r="AH1304" s="102" t="n"/>
      <c r="AI1304" s="102" t="n"/>
      <c r="AJ1304" s="102" t="n"/>
      <c r="AK1304" s="102" t="n"/>
      <c r="AL1304" s="102" t="n"/>
      <c r="AM1304" s="102" t="n"/>
      <c r="AN1304" s="102" t="n"/>
      <c r="AO1304" s="102" t="n"/>
      <c r="AP1304" s="102" t="n"/>
      <c r="AQ1304" s="102" t="n"/>
      <c r="AR1304" s="102" t="n"/>
    </row>
    <row r="1305">
      <c r="D1305" s="102" t="n"/>
      <c r="E1305" s="102" t="n"/>
      <c r="F1305" s="102" t="n"/>
      <c r="G1305" s="102" t="n"/>
      <c r="H1305" s="102" t="n"/>
      <c r="I1305" s="102" t="n"/>
      <c r="J1305" s="102" t="n"/>
      <c r="K1305" s="102" t="n"/>
      <c r="L1305" s="102" t="n"/>
      <c r="M1305" s="102" t="n"/>
      <c r="N1305" s="102" t="n"/>
      <c r="O1305" s="102" t="n"/>
      <c r="P1305" s="102" t="n"/>
      <c r="Q1305" s="102" t="n"/>
      <c r="R1305" s="102" t="n"/>
      <c r="S1305" s="102" t="n"/>
      <c r="T1305" s="102" t="n"/>
      <c r="U1305" s="102" t="n"/>
      <c r="V1305" s="102" t="n"/>
      <c r="W1305" s="102" t="n"/>
      <c r="X1305" s="102" t="n"/>
      <c r="Y1305" s="102" t="n"/>
      <c r="Z1305" s="102" t="n"/>
      <c r="AA1305" s="102" t="n"/>
      <c r="AB1305" s="102" t="n"/>
      <c r="AC1305" s="102" t="n"/>
      <c r="AD1305" s="102" t="n"/>
      <c r="AE1305" s="102" t="n"/>
      <c r="AF1305" s="102" t="n"/>
      <c r="AG1305" s="102" t="n"/>
      <c r="AH1305" s="102" t="n"/>
      <c r="AI1305" s="102" t="n"/>
      <c r="AJ1305" s="102" t="n"/>
      <c r="AK1305" s="102" t="n"/>
      <c r="AL1305" s="102" t="n"/>
      <c r="AM1305" s="102" t="n"/>
      <c r="AN1305" s="102" t="n"/>
      <c r="AO1305" s="102" t="n"/>
      <c r="AP1305" s="102" t="n"/>
      <c r="AQ1305" s="102" t="n"/>
      <c r="AR1305" s="102" t="n"/>
    </row>
    <row r="1306">
      <c r="D1306" s="160" t="n"/>
      <c r="E1306" s="160" t="n"/>
      <c r="F1306" s="160" t="n"/>
      <c r="G1306" s="160" t="n"/>
      <c r="H1306" s="160" t="n"/>
      <c r="I1306" s="160" t="n"/>
      <c r="J1306" s="160" t="n"/>
      <c r="K1306" s="160" t="n"/>
      <c r="L1306" s="160" t="n"/>
      <c r="M1306" s="160" t="n"/>
      <c r="N1306" s="160" t="n"/>
      <c r="O1306" s="160" t="n"/>
      <c r="P1306" s="160" t="n"/>
      <c r="Q1306" s="160" t="n"/>
      <c r="R1306" s="160" t="n"/>
      <c r="S1306" s="160" t="n"/>
      <c r="T1306" s="160" t="n"/>
      <c r="U1306" s="160" t="n"/>
      <c r="V1306" s="160" t="n"/>
      <c r="W1306" s="160" t="n"/>
      <c r="X1306" s="160" t="n"/>
      <c r="Y1306" s="160" t="n"/>
      <c r="Z1306" s="160" t="n"/>
      <c r="AA1306" s="160" t="n"/>
      <c r="AB1306" s="160" t="n"/>
      <c r="AC1306" s="160" t="n"/>
      <c r="AD1306" s="160" t="n"/>
      <c r="AE1306" s="160" t="n"/>
      <c r="AF1306" s="160" t="n"/>
      <c r="AG1306" s="160" t="n"/>
      <c r="AH1306" s="160" t="n"/>
      <c r="AI1306" s="160" t="n"/>
      <c r="AJ1306" s="160" t="n"/>
      <c r="AK1306" s="160" t="n"/>
      <c r="AL1306" s="160" t="n"/>
      <c r="AM1306" s="160" t="n"/>
      <c r="AN1306" s="160" t="n"/>
      <c r="AO1306" s="160" t="n"/>
      <c r="AP1306" s="160" t="n"/>
      <c r="AQ1306" s="160" t="n"/>
      <c r="AR1306" s="160" t="n"/>
    </row>
    <row r="1309">
      <c r="A1309" s="2">
        <f>IF($A1302="","","   projections")</f>
        <v/>
      </c>
      <c r="B1309" s="158">
        <f>IF($A1302="",0,COUNT($E1310:$AR1310))</f>
        <v/>
      </c>
      <c r="C1309" s="159">
        <f>IF($B1309=0,0,MAX($E1310:$AR1310))</f>
        <v/>
      </c>
      <c r="D1309" s="101">
        <f>BDS($A1302,FLD_PROJ,"headers=y","startcol=1","endcol=3","dir=h")</f>
        <v/>
      </c>
      <c r="E1309" s="102" t="n"/>
      <c r="F1309" s="102" t="n"/>
      <c r="G1309" s="102" t="n"/>
      <c r="H1309" s="102" t="n"/>
      <c r="I1309" s="102" t="n"/>
      <c r="J1309" s="102" t="n"/>
      <c r="K1309" s="102" t="n"/>
      <c r="L1309" s="102" t="n"/>
      <c r="M1309" s="102" t="n"/>
      <c r="N1309" s="102" t="n"/>
      <c r="O1309" s="102" t="n"/>
      <c r="P1309" s="102" t="n"/>
      <c r="Q1309" s="102" t="n"/>
      <c r="R1309" s="102" t="n"/>
      <c r="S1309" s="102" t="n"/>
      <c r="T1309" s="102" t="n"/>
      <c r="U1309" s="102" t="n"/>
      <c r="V1309" s="102" t="n"/>
      <c r="W1309" s="102" t="n"/>
      <c r="X1309" s="102" t="n"/>
      <c r="Y1309" s="102" t="n"/>
      <c r="Z1309" s="102" t="n"/>
      <c r="AA1309" s="102" t="n"/>
      <c r="AB1309" s="102" t="n"/>
      <c r="AC1309" s="102" t="n"/>
      <c r="AD1309" s="102" t="n"/>
      <c r="AE1309" s="102" t="n"/>
      <c r="AF1309" s="102" t="n"/>
      <c r="AG1309" s="102" t="n"/>
      <c r="AH1309" s="102" t="n"/>
      <c r="AI1309" s="102" t="n"/>
      <c r="AJ1309" s="102" t="n"/>
      <c r="AK1309" s="102" t="n"/>
      <c r="AL1309" s="102" t="n"/>
      <c r="AM1309" s="102" t="n"/>
      <c r="AN1309" s="102" t="n"/>
      <c r="AO1309" s="102" t="n"/>
      <c r="AP1309" s="102" t="n"/>
      <c r="AQ1309" s="102" t="n"/>
      <c r="AR1309" s="102" t="n"/>
    </row>
    <row r="1310">
      <c r="D1310" s="102" t="n"/>
      <c r="E1310" s="102" t="n"/>
      <c r="F1310" s="102" t="n"/>
      <c r="G1310" s="102" t="n"/>
      <c r="H1310" s="102" t="n"/>
      <c r="I1310" s="102" t="n"/>
      <c r="J1310" s="102" t="n"/>
      <c r="K1310" s="102" t="n"/>
      <c r="L1310" s="102" t="n"/>
      <c r="M1310" s="102" t="n"/>
      <c r="N1310" s="102" t="n"/>
      <c r="O1310" s="102" t="n"/>
      <c r="P1310" s="102" t="n"/>
      <c r="Q1310" s="102" t="n"/>
      <c r="R1310" s="102" t="n"/>
      <c r="S1310" s="102" t="n"/>
      <c r="T1310" s="102" t="n"/>
      <c r="U1310" s="102" t="n"/>
      <c r="V1310" s="102" t="n"/>
      <c r="W1310" s="102" t="n"/>
      <c r="X1310" s="102" t="n"/>
      <c r="Y1310" s="102" t="n"/>
      <c r="Z1310" s="102" t="n"/>
      <c r="AA1310" s="102" t="n"/>
      <c r="AB1310" s="102" t="n"/>
      <c r="AC1310" s="102" t="n"/>
      <c r="AD1310" s="102" t="n"/>
      <c r="AE1310" s="102" t="n"/>
      <c r="AF1310" s="102" t="n"/>
      <c r="AG1310" s="102" t="n"/>
      <c r="AH1310" s="102" t="n"/>
      <c r="AI1310" s="102" t="n"/>
      <c r="AJ1310" s="102" t="n"/>
      <c r="AK1310" s="102" t="n"/>
      <c r="AL1310" s="102" t="n"/>
      <c r="AM1310" s="102" t="n"/>
      <c r="AN1310" s="102" t="n"/>
      <c r="AO1310" s="102" t="n"/>
      <c r="AP1310" s="102" t="n"/>
      <c r="AQ1310" s="102" t="n"/>
      <c r="AR1310" s="102" t="n"/>
    </row>
    <row r="1311">
      <c r="D1311" s="160" t="n"/>
      <c r="E1311" s="160" t="n"/>
      <c r="F1311" s="160" t="n"/>
      <c r="G1311" s="160" t="n"/>
      <c r="H1311" s="160" t="n"/>
      <c r="I1311" s="160" t="n"/>
      <c r="J1311" s="160" t="n"/>
      <c r="K1311" s="160" t="n"/>
      <c r="L1311" s="160" t="n"/>
      <c r="M1311" s="160" t="n"/>
      <c r="N1311" s="160" t="n"/>
      <c r="O1311" s="160" t="n"/>
      <c r="P1311" s="160" t="n"/>
      <c r="Q1311" s="160" t="n"/>
      <c r="R1311" s="160" t="n"/>
      <c r="S1311" s="160" t="n"/>
      <c r="T1311" s="160" t="n"/>
      <c r="U1311" s="160" t="n"/>
      <c r="V1311" s="160" t="n"/>
      <c r="W1311" s="160" t="n"/>
      <c r="X1311" s="160" t="n"/>
      <c r="Y1311" s="160" t="n"/>
      <c r="Z1311" s="160" t="n"/>
      <c r="AA1311" s="160" t="n"/>
      <c r="AB1311" s="160" t="n"/>
      <c r="AC1311" s="160" t="n"/>
      <c r="AD1311" s="160" t="n"/>
      <c r="AE1311" s="160" t="n"/>
      <c r="AF1311" s="160" t="n"/>
      <c r="AG1311" s="160" t="n"/>
      <c r="AH1311" s="160" t="n"/>
      <c r="AI1311" s="160" t="n"/>
      <c r="AJ1311" s="160" t="n"/>
      <c r="AK1311" s="160" t="n"/>
      <c r="AL1311" s="160" t="n"/>
      <c r="AM1311" s="160" t="n"/>
      <c r="AN1311" s="160" t="n"/>
      <c r="AO1311" s="160" t="n"/>
      <c r="AP1311" s="160" t="n"/>
      <c r="AQ1311" s="160" t="n"/>
      <c r="AR1311" s="160" t="n"/>
    </row>
    <row r="1313">
      <c r="A1313" s="8">
        <f>IF(HSTECH!$C$25="","",HSTECH!$C$25)</f>
        <v/>
      </c>
      <c r="B1313" s="158">
        <f>IF($A1313="",0,COUNT($E1314:$AR1314))</f>
        <v/>
      </c>
      <c r="C1313" s="159">
        <f>IF($B1313=0,0,MAX($E1314:$AR1314))</f>
        <v/>
      </c>
      <c r="D1313" s="101">
        <f>BDS($A1313,FLD_HIST,"headers=y","startcol=1","endcol=7","dir=h","DVD_START_DT",HIST_FROM,"DVD_END_DT",HIST_TO)</f>
        <v/>
      </c>
      <c r="E1313" s="102" t="n"/>
      <c r="F1313" s="102" t="n"/>
      <c r="G1313" s="102" t="n"/>
      <c r="H1313" s="102" t="n"/>
      <c r="I1313" s="102" t="n"/>
      <c r="J1313" s="102" t="n"/>
      <c r="K1313" s="102" t="n"/>
      <c r="L1313" s="102" t="n"/>
      <c r="M1313" s="102" t="n"/>
      <c r="N1313" s="102" t="n"/>
      <c r="O1313" s="102" t="n"/>
      <c r="P1313" s="102" t="n"/>
      <c r="Q1313" s="102" t="n"/>
      <c r="R1313" s="102" t="n"/>
      <c r="S1313" s="102" t="n"/>
      <c r="T1313" s="102" t="n"/>
      <c r="U1313" s="102" t="n"/>
      <c r="V1313" s="102" t="n"/>
      <c r="W1313" s="102" t="n"/>
      <c r="X1313" s="102" t="n"/>
      <c r="Y1313" s="102" t="n"/>
      <c r="Z1313" s="102" t="n"/>
      <c r="AA1313" s="102" t="n"/>
      <c r="AB1313" s="102" t="n"/>
      <c r="AC1313" s="102" t="n"/>
      <c r="AD1313" s="102" t="n"/>
      <c r="AE1313" s="102" t="n"/>
      <c r="AF1313" s="102" t="n"/>
      <c r="AG1313" s="102" t="n"/>
      <c r="AH1313" s="102" t="n"/>
      <c r="AI1313" s="102" t="n"/>
      <c r="AJ1313" s="102" t="n"/>
      <c r="AK1313" s="102" t="n"/>
      <c r="AL1313" s="102" t="n"/>
      <c r="AM1313" s="102" t="n"/>
      <c r="AN1313" s="102" t="n"/>
      <c r="AO1313" s="102" t="n"/>
      <c r="AP1313" s="102" t="n"/>
      <c r="AQ1313" s="102" t="n"/>
      <c r="AR1313" s="102" t="n"/>
    </row>
    <row r="1314">
      <c r="D1314" s="102" t="n"/>
      <c r="E1314" s="102" t="n"/>
      <c r="F1314" s="102" t="n"/>
      <c r="G1314" s="102" t="n"/>
      <c r="H1314" s="102" t="n"/>
      <c r="I1314" s="102" t="n"/>
      <c r="J1314" s="102" t="n"/>
      <c r="K1314" s="102" t="n"/>
      <c r="L1314" s="102" t="n"/>
      <c r="M1314" s="102" t="n"/>
      <c r="N1314" s="102" t="n"/>
      <c r="O1314" s="102" t="n"/>
      <c r="P1314" s="102" t="n"/>
      <c r="Q1314" s="102" t="n"/>
      <c r="R1314" s="102" t="n"/>
      <c r="S1314" s="102" t="n"/>
      <c r="T1314" s="102" t="n"/>
      <c r="U1314" s="102" t="n"/>
      <c r="V1314" s="102" t="n"/>
      <c r="W1314" s="102" t="n"/>
      <c r="X1314" s="102" t="n"/>
      <c r="Y1314" s="102" t="n"/>
      <c r="Z1314" s="102" t="n"/>
      <c r="AA1314" s="102" t="n"/>
      <c r="AB1314" s="102" t="n"/>
      <c r="AC1314" s="102" t="n"/>
      <c r="AD1314" s="102" t="n"/>
      <c r="AE1314" s="102" t="n"/>
      <c r="AF1314" s="102" t="n"/>
      <c r="AG1314" s="102" t="n"/>
      <c r="AH1314" s="102" t="n"/>
      <c r="AI1314" s="102" t="n"/>
      <c r="AJ1314" s="102" t="n"/>
      <c r="AK1314" s="102" t="n"/>
      <c r="AL1314" s="102" t="n"/>
      <c r="AM1314" s="102" t="n"/>
      <c r="AN1314" s="102" t="n"/>
      <c r="AO1314" s="102" t="n"/>
      <c r="AP1314" s="102" t="n"/>
      <c r="AQ1314" s="102" t="n"/>
      <c r="AR1314" s="102" t="n"/>
    </row>
    <row r="1315">
      <c r="D1315" s="102" t="n"/>
      <c r="E1315" s="102" t="n"/>
      <c r="F1315" s="102" t="n"/>
      <c r="G1315" s="102" t="n"/>
      <c r="H1315" s="102" t="n"/>
      <c r="I1315" s="102" t="n"/>
      <c r="J1315" s="102" t="n"/>
      <c r="K1315" s="102" t="n"/>
      <c r="L1315" s="102" t="n"/>
      <c r="M1315" s="102" t="n"/>
      <c r="N1315" s="102" t="n"/>
      <c r="O1315" s="102" t="n"/>
      <c r="P1315" s="102" t="n"/>
      <c r="Q1315" s="102" t="n"/>
      <c r="R1315" s="102" t="n"/>
      <c r="S1315" s="102" t="n"/>
      <c r="T1315" s="102" t="n"/>
      <c r="U1315" s="102" t="n"/>
      <c r="V1315" s="102" t="n"/>
      <c r="W1315" s="102" t="n"/>
      <c r="X1315" s="102" t="n"/>
      <c r="Y1315" s="102" t="n"/>
      <c r="Z1315" s="102" t="n"/>
      <c r="AA1315" s="102" t="n"/>
      <c r="AB1315" s="102" t="n"/>
      <c r="AC1315" s="102" t="n"/>
      <c r="AD1315" s="102" t="n"/>
      <c r="AE1315" s="102" t="n"/>
      <c r="AF1315" s="102" t="n"/>
      <c r="AG1315" s="102" t="n"/>
      <c r="AH1315" s="102" t="n"/>
      <c r="AI1315" s="102" t="n"/>
      <c r="AJ1315" s="102" t="n"/>
      <c r="AK1315" s="102" t="n"/>
      <c r="AL1315" s="102" t="n"/>
      <c r="AM1315" s="102" t="n"/>
      <c r="AN1315" s="102" t="n"/>
      <c r="AO1315" s="102" t="n"/>
      <c r="AP1315" s="102" t="n"/>
      <c r="AQ1315" s="102" t="n"/>
      <c r="AR1315" s="102" t="n"/>
    </row>
    <row r="1316">
      <c r="D1316" s="102" t="n"/>
      <c r="E1316" s="102" t="n"/>
      <c r="F1316" s="102" t="n"/>
      <c r="G1316" s="102" t="n"/>
      <c r="H1316" s="102" t="n"/>
      <c r="I1316" s="102" t="n"/>
      <c r="J1316" s="102" t="n"/>
      <c r="K1316" s="102" t="n"/>
      <c r="L1316" s="102" t="n"/>
      <c r="M1316" s="102" t="n"/>
      <c r="N1316" s="102" t="n"/>
      <c r="O1316" s="102" t="n"/>
      <c r="P1316" s="102" t="n"/>
      <c r="Q1316" s="102" t="n"/>
      <c r="R1316" s="102" t="n"/>
      <c r="S1316" s="102" t="n"/>
      <c r="T1316" s="102" t="n"/>
      <c r="U1316" s="102" t="n"/>
      <c r="V1316" s="102" t="n"/>
      <c r="W1316" s="102" t="n"/>
      <c r="X1316" s="102" t="n"/>
      <c r="Y1316" s="102" t="n"/>
      <c r="Z1316" s="102" t="n"/>
      <c r="AA1316" s="102" t="n"/>
      <c r="AB1316" s="102" t="n"/>
      <c r="AC1316" s="102" t="n"/>
      <c r="AD1316" s="102" t="n"/>
      <c r="AE1316" s="102" t="n"/>
      <c r="AF1316" s="102" t="n"/>
      <c r="AG1316" s="102" t="n"/>
      <c r="AH1316" s="102" t="n"/>
      <c r="AI1316" s="102" t="n"/>
      <c r="AJ1316" s="102" t="n"/>
      <c r="AK1316" s="102" t="n"/>
      <c r="AL1316" s="102" t="n"/>
      <c r="AM1316" s="102" t="n"/>
      <c r="AN1316" s="102" t="n"/>
      <c r="AO1316" s="102" t="n"/>
      <c r="AP1316" s="102" t="n"/>
      <c r="AQ1316" s="102" t="n"/>
      <c r="AR1316" s="102" t="n"/>
    </row>
    <row r="1317">
      <c r="D1317" s="160" t="n"/>
      <c r="E1317" s="160" t="n"/>
      <c r="F1317" s="160" t="n"/>
      <c r="G1317" s="160" t="n"/>
      <c r="H1317" s="160" t="n"/>
      <c r="I1317" s="160" t="n"/>
      <c r="J1317" s="160" t="n"/>
      <c r="K1317" s="160" t="n"/>
      <c r="L1317" s="160" t="n"/>
      <c r="M1317" s="160" t="n"/>
      <c r="N1317" s="160" t="n"/>
      <c r="O1317" s="160" t="n"/>
      <c r="P1317" s="160" t="n"/>
      <c r="Q1317" s="160" t="n"/>
      <c r="R1317" s="160" t="n"/>
      <c r="S1317" s="160" t="n"/>
      <c r="T1317" s="160" t="n"/>
      <c r="U1317" s="160" t="n"/>
      <c r="V1317" s="160" t="n"/>
      <c r="W1317" s="160" t="n"/>
      <c r="X1317" s="160" t="n"/>
      <c r="Y1317" s="160" t="n"/>
      <c r="Z1317" s="160" t="n"/>
      <c r="AA1317" s="160" t="n"/>
      <c r="AB1317" s="160" t="n"/>
      <c r="AC1317" s="160" t="n"/>
      <c r="AD1317" s="160" t="n"/>
      <c r="AE1317" s="160" t="n"/>
      <c r="AF1317" s="160" t="n"/>
      <c r="AG1317" s="160" t="n"/>
      <c r="AH1317" s="160" t="n"/>
      <c r="AI1317" s="160" t="n"/>
      <c r="AJ1317" s="160" t="n"/>
      <c r="AK1317" s="160" t="n"/>
      <c r="AL1317" s="160" t="n"/>
      <c r="AM1317" s="160" t="n"/>
      <c r="AN1317" s="160" t="n"/>
      <c r="AO1317" s="160" t="n"/>
      <c r="AP1317" s="160" t="n"/>
      <c r="AQ1317" s="160" t="n"/>
      <c r="AR1317" s="160" t="n"/>
    </row>
    <row r="1320">
      <c r="A1320" s="2">
        <f>IF($A1313="","","   projections")</f>
        <v/>
      </c>
      <c r="B1320" s="158">
        <f>IF($A1313="",0,COUNT($E1321:$AR1321))</f>
        <v/>
      </c>
      <c r="C1320" s="159">
        <f>IF($B1320=0,0,MAX($E1321:$AR1321))</f>
        <v/>
      </c>
      <c r="D1320" s="101">
        <f>BDS($A1313,FLD_PROJ,"headers=y","startcol=1","endcol=3","dir=h")</f>
        <v/>
      </c>
      <c r="E1320" s="102" t="n"/>
      <c r="F1320" s="102" t="n"/>
      <c r="G1320" s="102" t="n"/>
      <c r="H1320" s="102" t="n"/>
      <c r="I1320" s="102" t="n"/>
      <c r="J1320" s="102" t="n"/>
      <c r="K1320" s="102" t="n"/>
      <c r="L1320" s="102" t="n"/>
      <c r="M1320" s="102" t="n"/>
      <c r="N1320" s="102" t="n"/>
      <c r="O1320" s="102" t="n"/>
      <c r="P1320" s="102" t="n"/>
      <c r="Q1320" s="102" t="n"/>
      <c r="R1320" s="102" t="n"/>
      <c r="S1320" s="102" t="n"/>
      <c r="T1320" s="102" t="n"/>
      <c r="U1320" s="102" t="n"/>
      <c r="V1320" s="102" t="n"/>
      <c r="W1320" s="102" t="n"/>
      <c r="X1320" s="102" t="n"/>
      <c r="Y1320" s="102" t="n"/>
      <c r="Z1320" s="102" t="n"/>
      <c r="AA1320" s="102" t="n"/>
      <c r="AB1320" s="102" t="n"/>
      <c r="AC1320" s="102" t="n"/>
      <c r="AD1320" s="102" t="n"/>
      <c r="AE1320" s="102" t="n"/>
      <c r="AF1320" s="102" t="n"/>
      <c r="AG1320" s="102" t="n"/>
      <c r="AH1320" s="102" t="n"/>
      <c r="AI1320" s="102" t="n"/>
      <c r="AJ1320" s="102" t="n"/>
      <c r="AK1320" s="102" t="n"/>
      <c r="AL1320" s="102" t="n"/>
      <c r="AM1320" s="102" t="n"/>
      <c r="AN1320" s="102" t="n"/>
      <c r="AO1320" s="102" t="n"/>
      <c r="AP1320" s="102" t="n"/>
      <c r="AQ1320" s="102" t="n"/>
      <c r="AR1320" s="102" t="n"/>
    </row>
    <row r="1321">
      <c r="D1321" s="102" t="n"/>
      <c r="E1321" s="102" t="n"/>
      <c r="F1321" s="102" t="n"/>
      <c r="G1321" s="102" t="n"/>
      <c r="H1321" s="102" t="n"/>
      <c r="I1321" s="102" t="n"/>
      <c r="J1321" s="102" t="n"/>
      <c r="K1321" s="102" t="n"/>
      <c r="L1321" s="102" t="n"/>
      <c r="M1321" s="102" t="n"/>
      <c r="N1321" s="102" t="n"/>
      <c r="O1321" s="102" t="n"/>
      <c r="P1321" s="102" t="n"/>
      <c r="Q1321" s="102" t="n"/>
      <c r="R1321" s="102" t="n"/>
      <c r="S1321" s="102" t="n"/>
      <c r="T1321" s="102" t="n"/>
      <c r="U1321" s="102" t="n"/>
      <c r="V1321" s="102" t="n"/>
      <c r="W1321" s="102" t="n"/>
      <c r="X1321" s="102" t="n"/>
      <c r="Y1321" s="102" t="n"/>
      <c r="Z1321" s="102" t="n"/>
      <c r="AA1321" s="102" t="n"/>
      <c r="AB1321" s="102" t="n"/>
      <c r="AC1321" s="102" t="n"/>
      <c r="AD1321" s="102" t="n"/>
      <c r="AE1321" s="102" t="n"/>
      <c r="AF1321" s="102" t="n"/>
      <c r="AG1321" s="102" t="n"/>
      <c r="AH1321" s="102" t="n"/>
      <c r="AI1321" s="102" t="n"/>
      <c r="AJ1321" s="102" t="n"/>
      <c r="AK1321" s="102" t="n"/>
      <c r="AL1321" s="102" t="n"/>
      <c r="AM1321" s="102" t="n"/>
      <c r="AN1321" s="102" t="n"/>
      <c r="AO1321" s="102" t="n"/>
      <c r="AP1321" s="102" t="n"/>
      <c r="AQ1321" s="102" t="n"/>
      <c r="AR1321" s="102" t="n"/>
    </row>
    <row r="1322">
      <c r="D1322" s="160" t="n"/>
      <c r="E1322" s="160" t="n"/>
      <c r="F1322" s="160" t="n"/>
      <c r="G1322" s="160" t="n"/>
      <c r="H1322" s="160" t="n"/>
      <c r="I1322" s="160" t="n"/>
      <c r="J1322" s="160" t="n"/>
      <c r="K1322" s="160" t="n"/>
      <c r="L1322" s="160" t="n"/>
      <c r="M1322" s="160" t="n"/>
      <c r="N1322" s="160" t="n"/>
      <c r="O1322" s="160" t="n"/>
      <c r="P1322" s="160" t="n"/>
      <c r="Q1322" s="160" t="n"/>
      <c r="R1322" s="160" t="n"/>
      <c r="S1322" s="160" t="n"/>
      <c r="T1322" s="160" t="n"/>
      <c r="U1322" s="160" t="n"/>
      <c r="V1322" s="160" t="n"/>
      <c r="W1322" s="160" t="n"/>
      <c r="X1322" s="160" t="n"/>
      <c r="Y1322" s="160" t="n"/>
      <c r="Z1322" s="160" t="n"/>
      <c r="AA1322" s="160" t="n"/>
      <c r="AB1322" s="160" t="n"/>
      <c r="AC1322" s="160" t="n"/>
      <c r="AD1322" s="160" t="n"/>
      <c r="AE1322" s="160" t="n"/>
      <c r="AF1322" s="160" t="n"/>
      <c r="AG1322" s="160" t="n"/>
      <c r="AH1322" s="160" t="n"/>
      <c r="AI1322" s="160" t="n"/>
      <c r="AJ1322" s="160" t="n"/>
      <c r="AK1322" s="160" t="n"/>
      <c r="AL1322" s="160" t="n"/>
      <c r="AM1322" s="160" t="n"/>
      <c r="AN1322" s="160" t="n"/>
      <c r="AO1322" s="160" t="n"/>
      <c r="AP1322" s="160" t="n"/>
      <c r="AQ1322" s="160" t="n"/>
      <c r="AR1322" s="160" t="n"/>
    </row>
    <row r="1324">
      <c r="A1324" s="8">
        <f>IF(HSTECH!$C$26="","",HSTECH!$C$26)</f>
        <v/>
      </c>
      <c r="B1324" s="158">
        <f>IF($A1324="",0,COUNT($E1325:$AR1325))</f>
        <v/>
      </c>
      <c r="C1324" s="159">
        <f>IF($B1324=0,0,MAX($E1325:$AR1325))</f>
        <v/>
      </c>
      <c r="D1324" s="101">
        <f>BDS($A1324,FLD_HIST,"headers=y","startcol=1","endcol=7","dir=h","DVD_START_DT",HIST_FROM,"DVD_END_DT",HIST_TO)</f>
        <v/>
      </c>
      <c r="E1324" s="102" t="n"/>
      <c r="F1324" s="102" t="n"/>
      <c r="G1324" s="102" t="n"/>
      <c r="H1324" s="102" t="n"/>
      <c r="I1324" s="102" t="n"/>
      <c r="J1324" s="102" t="n"/>
      <c r="K1324" s="102" t="n"/>
      <c r="L1324" s="102" t="n"/>
      <c r="M1324" s="102" t="n"/>
      <c r="N1324" s="102" t="n"/>
      <c r="O1324" s="102" t="n"/>
      <c r="P1324" s="102" t="n"/>
      <c r="Q1324" s="102" t="n"/>
      <c r="R1324" s="102" t="n"/>
      <c r="S1324" s="102" t="n"/>
      <c r="T1324" s="102" t="n"/>
      <c r="U1324" s="102" t="n"/>
      <c r="V1324" s="102" t="n"/>
      <c r="W1324" s="102" t="n"/>
      <c r="X1324" s="102" t="n"/>
      <c r="Y1324" s="102" t="n"/>
      <c r="Z1324" s="102" t="n"/>
      <c r="AA1324" s="102" t="n"/>
      <c r="AB1324" s="102" t="n"/>
      <c r="AC1324" s="102" t="n"/>
      <c r="AD1324" s="102" t="n"/>
      <c r="AE1324" s="102" t="n"/>
      <c r="AF1324" s="102" t="n"/>
      <c r="AG1324" s="102" t="n"/>
      <c r="AH1324" s="102" t="n"/>
      <c r="AI1324" s="102" t="n"/>
      <c r="AJ1324" s="102" t="n"/>
      <c r="AK1324" s="102" t="n"/>
      <c r="AL1324" s="102" t="n"/>
      <c r="AM1324" s="102" t="n"/>
      <c r="AN1324" s="102" t="n"/>
      <c r="AO1324" s="102" t="n"/>
      <c r="AP1324" s="102" t="n"/>
      <c r="AQ1324" s="102" t="n"/>
      <c r="AR1324" s="102" t="n"/>
    </row>
    <row r="1325">
      <c r="D1325" s="102" t="n"/>
      <c r="E1325" s="102" t="n"/>
      <c r="F1325" s="102" t="n"/>
      <c r="G1325" s="102" t="n"/>
      <c r="H1325" s="102" t="n"/>
      <c r="I1325" s="102" t="n"/>
      <c r="J1325" s="102" t="n"/>
      <c r="K1325" s="102" t="n"/>
      <c r="L1325" s="102" t="n"/>
      <c r="M1325" s="102" t="n"/>
      <c r="N1325" s="102" t="n"/>
      <c r="O1325" s="102" t="n"/>
      <c r="P1325" s="102" t="n"/>
      <c r="Q1325" s="102" t="n"/>
      <c r="R1325" s="102" t="n"/>
      <c r="S1325" s="102" t="n"/>
      <c r="T1325" s="102" t="n"/>
      <c r="U1325" s="102" t="n"/>
      <c r="V1325" s="102" t="n"/>
      <c r="W1325" s="102" t="n"/>
      <c r="X1325" s="102" t="n"/>
      <c r="Y1325" s="102" t="n"/>
      <c r="Z1325" s="102" t="n"/>
      <c r="AA1325" s="102" t="n"/>
      <c r="AB1325" s="102" t="n"/>
      <c r="AC1325" s="102" t="n"/>
      <c r="AD1325" s="102" t="n"/>
      <c r="AE1325" s="102" t="n"/>
      <c r="AF1325" s="102" t="n"/>
      <c r="AG1325" s="102" t="n"/>
      <c r="AH1325" s="102" t="n"/>
      <c r="AI1325" s="102" t="n"/>
      <c r="AJ1325" s="102" t="n"/>
      <c r="AK1325" s="102" t="n"/>
      <c r="AL1325" s="102" t="n"/>
      <c r="AM1325" s="102" t="n"/>
      <c r="AN1325" s="102" t="n"/>
      <c r="AO1325" s="102" t="n"/>
      <c r="AP1325" s="102" t="n"/>
      <c r="AQ1325" s="102" t="n"/>
      <c r="AR1325" s="102" t="n"/>
    </row>
    <row r="1326">
      <c r="D1326" s="102" t="n"/>
      <c r="E1326" s="102" t="n"/>
      <c r="F1326" s="102" t="n"/>
      <c r="G1326" s="102" t="n"/>
      <c r="H1326" s="102" t="n"/>
      <c r="I1326" s="102" t="n"/>
      <c r="J1326" s="102" t="n"/>
      <c r="K1326" s="102" t="n"/>
      <c r="L1326" s="102" t="n"/>
      <c r="M1326" s="102" t="n"/>
      <c r="N1326" s="102" t="n"/>
      <c r="O1326" s="102" t="n"/>
      <c r="P1326" s="102" t="n"/>
      <c r="Q1326" s="102" t="n"/>
      <c r="R1326" s="102" t="n"/>
      <c r="S1326" s="102" t="n"/>
      <c r="T1326" s="102" t="n"/>
      <c r="U1326" s="102" t="n"/>
      <c r="V1326" s="102" t="n"/>
      <c r="W1326" s="102" t="n"/>
      <c r="X1326" s="102" t="n"/>
      <c r="Y1326" s="102" t="n"/>
      <c r="Z1326" s="102" t="n"/>
      <c r="AA1326" s="102" t="n"/>
      <c r="AB1326" s="102" t="n"/>
      <c r="AC1326" s="102" t="n"/>
      <c r="AD1326" s="102" t="n"/>
      <c r="AE1326" s="102" t="n"/>
      <c r="AF1326" s="102" t="n"/>
      <c r="AG1326" s="102" t="n"/>
      <c r="AH1326" s="102" t="n"/>
      <c r="AI1326" s="102" t="n"/>
      <c r="AJ1326" s="102" t="n"/>
      <c r="AK1326" s="102" t="n"/>
      <c r="AL1326" s="102" t="n"/>
      <c r="AM1326" s="102" t="n"/>
      <c r="AN1326" s="102" t="n"/>
      <c r="AO1326" s="102" t="n"/>
      <c r="AP1326" s="102" t="n"/>
      <c r="AQ1326" s="102" t="n"/>
      <c r="AR1326" s="102" t="n"/>
    </row>
    <row r="1327">
      <c r="D1327" s="102" t="n"/>
      <c r="E1327" s="102" t="n"/>
      <c r="F1327" s="102" t="n"/>
      <c r="G1327" s="102" t="n"/>
      <c r="H1327" s="102" t="n"/>
      <c r="I1327" s="102" t="n"/>
      <c r="J1327" s="102" t="n"/>
      <c r="K1327" s="102" t="n"/>
      <c r="L1327" s="102" t="n"/>
      <c r="M1327" s="102" t="n"/>
      <c r="N1327" s="102" t="n"/>
      <c r="O1327" s="102" t="n"/>
      <c r="P1327" s="102" t="n"/>
      <c r="Q1327" s="102" t="n"/>
      <c r="R1327" s="102" t="n"/>
      <c r="S1327" s="102" t="n"/>
      <c r="T1327" s="102" t="n"/>
      <c r="U1327" s="102" t="n"/>
      <c r="V1327" s="102" t="n"/>
      <c r="W1327" s="102" t="n"/>
      <c r="X1327" s="102" t="n"/>
      <c r="Y1327" s="102" t="n"/>
      <c r="Z1327" s="102" t="n"/>
      <c r="AA1327" s="102" t="n"/>
      <c r="AB1327" s="102" t="n"/>
      <c r="AC1327" s="102" t="n"/>
      <c r="AD1327" s="102" t="n"/>
      <c r="AE1327" s="102" t="n"/>
      <c r="AF1327" s="102" t="n"/>
      <c r="AG1327" s="102" t="n"/>
      <c r="AH1327" s="102" t="n"/>
      <c r="AI1327" s="102" t="n"/>
      <c r="AJ1327" s="102" t="n"/>
      <c r="AK1327" s="102" t="n"/>
      <c r="AL1327" s="102" t="n"/>
      <c r="AM1327" s="102" t="n"/>
      <c r="AN1327" s="102" t="n"/>
      <c r="AO1327" s="102" t="n"/>
      <c r="AP1327" s="102" t="n"/>
      <c r="AQ1327" s="102" t="n"/>
      <c r="AR1327" s="102" t="n"/>
    </row>
    <row r="1328">
      <c r="D1328" s="160" t="n"/>
      <c r="E1328" s="160" t="n"/>
      <c r="F1328" s="160" t="n"/>
      <c r="G1328" s="160" t="n"/>
      <c r="H1328" s="160" t="n"/>
      <c r="I1328" s="160" t="n"/>
      <c r="J1328" s="160" t="n"/>
      <c r="K1328" s="160" t="n"/>
      <c r="L1328" s="160" t="n"/>
      <c r="M1328" s="160" t="n"/>
      <c r="N1328" s="160" t="n"/>
      <c r="O1328" s="160" t="n"/>
      <c r="P1328" s="160" t="n"/>
      <c r="Q1328" s="160" t="n"/>
      <c r="R1328" s="160" t="n"/>
      <c r="S1328" s="160" t="n"/>
      <c r="T1328" s="160" t="n"/>
      <c r="U1328" s="160" t="n"/>
      <c r="V1328" s="160" t="n"/>
      <c r="W1328" s="160" t="n"/>
      <c r="X1328" s="160" t="n"/>
      <c r="Y1328" s="160" t="n"/>
      <c r="Z1328" s="160" t="n"/>
      <c r="AA1328" s="160" t="n"/>
      <c r="AB1328" s="160" t="n"/>
      <c r="AC1328" s="160" t="n"/>
      <c r="AD1328" s="160" t="n"/>
      <c r="AE1328" s="160" t="n"/>
      <c r="AF1328" s="160" t="n"/>
      <c r="AG1328" s="160" t="n"/>
      <c r="AH1328" s="160" t="n"/>
      <c r="AI1328" s="160" t="n"/>
      <c r="AJ1328" s="160" t="n"/>
      <c r="AK1328" s="160" t="n"/>
      <c r="AL1328" s="160" t="n"/>
      <c r="AM1328" s="160" t="n"/>
      <c r="AN1328" s="160" t="n"/>
      <c r="AO1328" s="160" t="n"/>
      <c r="AP1328" s="160" t="n"/>
      <c r="AQ1328" s="160" t="n"/>
      <c r="AR1328" s="160" t="n"/>
    </row>
    <row r="1331">
      <c r="A1331" s="2">
        <f>IF($A1324="","","   projections")</f>
        <v/>
      </c>
      <c r="B1331" s="158">
        <f>IF($A1324="",0,COUNT($E1332:$AR1332))</f>
        <v/>
      </c>
      <c r="C1331" s="159">
        <f>IF($B1331=0,0,MAX($E1332:$AR1332))</f>
        <v/>
      </c>
      <c r="D1331" s="101">
        <f>BDS($A1324,FLD_PROJ,"headers=y","startcol=1","endcol=3","dir=h")</f>
        <v/>
      </c>
      <c r="E1331" s="102" t="n"/>
      <c r="F1331" s="102" t="n"/>
      <c r="G1331" s="102" t="n"/>
      <c r="H1331" s="102" t="n"/>
      <c r="I1331" s="102" t="n"/>
      <c r="J1331" s="102" t="n"/>
      <c r="K1331" s="102" t="n"/>
      <c r="L1331" s="102" t="n"/>
      <c r="M1331" s="102" t="n"/>
      <c r="N1331" s="102" t="n"/>
      <c r="O1331" s="102" t="n"/>
      <c r="P1331" s="102" t="n"/>
      <c r="Q1331" s="102" t="n"/>
      <c r="R1331" s="102" t="n"/>
      <c r="S1331" s="102" t="n"/>
      <c r="T1331" s="102" t="n"/>
      <c r="U1331" s="102" t="n"/>
      <c r="V1331" s="102" t="n"/>
      <c r="W1331" s="102" t="n"/>
      <c r="X1331" s="102" t="n"/>
      <c r="Y1331" s="102" t="n"/>
      <c r="Z1331" s="102" t="n"/>
      <c r="AA1331" s="102" t="n"/>
      <c r="AB1331" s="102" t="n"/>
      <c r="AC1331" s="102" t="n"/>
      <c r="AD1331" s="102" t="n"/>
      <c r="AE1331" s="102" t="n"/>
      <c r="AF1331" s="102" t="n"/>
      <c r="AG1331" s="102" t="n"/>
      <c r="AH1331" s="102" t="n"/>
      <c r="AI1331" s="102" t="n"/>
      <c r="AJ1331" s="102" t="n"/>
      <c r="AK1331" s="102" t="n"/>
      <c r="AL1331" s="102" t="n"/>
      <c r="AM1331" s="102" t="n"/>
      <c r="AN1331" s="102" t="n"/>
      <c r="AO1331" s="102" t="n"/>
      <c r="AP1331" s="102" t="n"/>
      <c r="AQ1331" s="102" t="n"/>
      <c r="AR1331" s="102" t="n"/>
    </row>
    <row r="1332">
      <c r="D1332" s="102" t="n"/>
      <c r="E1332" s="102" t="n"/>
      <c r="F1332" s="102" t="n"/>
      <c r="G1332" s="102" t="n"/>
      <c r="H1332" s="102" t="n"/>
      <c r="I1332" s="102" t="n"/>
      <c r="J1332" s="102" t="n"/>
      <c r="K1332" s="102" t="n"/>
      <c r="L1332" s="102" t="n"/>
      <c r="M1332" s="102" t="n"/>
      <c r="N1332" s="102" t="n"/>
      <c r="O1332" s="102" t="n"/>
      <c r="P1332" s="102" t="n"/>
      <c r="Q1332" s="102" t="n"/>
      <c r="R1332" s="102" t="n"/>
      <c r="S1332" s="102" t="n"/>
      <c r="T1332" s="102" t="n"/>
      <c r="U1332" s="102" t="n"/>
      <c r="V1332" s="102" t="n"/>
      <c r="W1332" s="102" t="n"/>
      <c r="X1332" s="102" t="n"/>
      <c r="Y1332" s="102" t="n"/>
      <c r="Z1332" s="102" t="n"/>
      <c r="AA1332" s="102" t="n"/>
      <c r="AB1332" s="102" t="n"/>
      <c r="AC1332" s="102" t="n"/>
      <c r="AD1332" s="102" t="n"/>
      <c r="AE1332" s="102" t="n"/>
      <c r="AF1332" s="102" t="n"/>
      <c r="AG1332" s="102" t="n"/>
      <c r="AH1332" s="102" t="n"/>
      <c r="AI1332" s="102" t="n"/>
      <c r="AJ1332" s="102" t="n"/>
      <c r="AK1332" s="102" t="n"/>
      <c r="AL1332" s="102" t="n"/>
      <c r="AM1332" s="102" t="n"/>
      <c r="AN1332" s="102" t="n"/>
      <c r="AO1332" s="102" t="n"/>
      <c r="AP1332" s="102" t="n"/>
      <c r="AQ1332" s="102" t="n"/>
      <c r="AR1332" s="102" t="n"/>
    </row>
    <row r="1333">
      <c r="D1333" s="160" t="n"/>
      <c r="E1333" s="160" t="n"/>
      <c r="F1333" s="160" t="n"/>
      <c r="G1333" s="160" t="n"/>
      <c r="H1333" s="160" t="n"/>
      <c r="I1333" s="160" t="n"/>
      <c r="J1333" s="160" t="n"/>
      <c r="K1333" s="160" t="n"/>
      <c r="L1333" s="160" t="n"/>
      <c r="M1333" s="160" t="n"/>
      <c r="N1333" s="160" t="n"/>
      <c r="O1333" s="160" t="n"/>
      <c r="P1333" s="160" t="n"/>
      <c r="Q1333" s="160" t="n"/>
      <c r="R1333" s="160" t="n"/>
      <c r="S1333" s="160" t="n"/>
      <c r="T1333" s="160" t="n"/>
      <c r="U1333" s="160" t="n"/>
      <c r="V1333" s="160" t="n"/>
      <c r="W1333" s="160" t="n"/>
      <c r="X1333" s="160" t="n"/>
      <c r="Y1333" s="160" t="n"/>
      <c r="Z1333" s="160" t="n"/>
      <c r="AA1333" s="160" t="n"/>
      <c r="AB1333" s="160" t="n"/>
      <c r="AC1333" s="160" t="n"/>
      <c r="AD1333" s="160" t="n"/>
      <c r="AE1333" s="160" t="n"/>
      <c r="AF1333" s="160" t="n"/>
      <c r="AG1333" s="160" t="n"/>
      <c r="AH1333" s="160" t="n"/>
      <c r="AI1333" s="160" t="n"/>
      <c r="AJ1333" s="160" t="n"/>
      <c r="AK1333" s="160" t="n"/>
      <c r="AL1333" s="160" t="n"/>
      <c r="AM1333" s="160" t="n"/>
      <c r="AN1333" s="160" t="n"/>
      <c r="AO1333" s="160" t="n"/>
      <c r="AP1333" s="160" t="n"/>
      <c r="AQ1333" s="160" t="n"/>
      <c r="AR1333" s="160" t="n"/>
    </row>
    <row r="1335">
      <c r="A1335" s="8">
        <f>IF(HSTECH!$C$27="","",HSTECH!$C$27)</f>
        <v/>
      </c>
      <c r="B1335" s="158">
        <f>IF($A1335="",0,COUNT($E1336:$AR1336))</f>
        <v/>
      </c>
      <c r="C1335" s="159">
        <f>IF($B1335=0,0,MAX($E1336:$AR1336))</f>
        <v/>
      </c>
      <c r="D1335" s="101">
        <f>BDS($A1335,FLD_HIST,"headers=y","startcol=1","endcol=7","dir=h","DVD_START_DT",HIST_FROM,"DVD_END_DT",HIST_TO)</f>
        <v/>
      </c>
      <c r="E1335" s="102" t="n"/>
      <c r="F1335" s="102" t="n"/>
      <c r="G1335" s="102" t="n"/>
      <c r="H1335" s="102" t="n"/>
      <c r="I1335" s="102" t="n"/>
      <c r="J1335" s="102" t="n"/>
      <c r="K1335" s="102" t="n"/>
      <c r="L1335" s="102" t="n"/>
      <c r="M1335" s="102" t="n"/>
      <c r="N1335" s="102" t="n"/>
      <c r="O1335" s="102" t="n"/>
      <c r="P1335" s="102" t="n"/>
      <c r="Q1335" s="102" t="n"/>
      <c r="R1335" s="102" t="n"/>
      <c r="S1335" s="102" t="n"/>
      <c r="T1335" s="102" t="n"/>
      <c r="U1335" s="102" t="n"/>
      <c r="V1335" s="102" t="n"/>
      <c r="W1335" s="102" t="n"/>
      <c r="X1335" s="102" t="n"/>
      <c r="Y1335" s="102" t="n"/>
      <c r="Z1335" s="102" t="n"/>
      <c r="AA1335" s="102" t="n"/>
      <c r="AB1335" s="102" t="n"/>
      <c r="AC1335" s="102" t="n"/>
      <c r="AD1335" s="102" t="n"/>
      <c r="AE1335" s="102" t="n"/>
      <c r="AF1335" s="102" t="n"/>
      <c r="AG1335" s="102" t="n"/>
      <c r="AH1335" s="102" t="n"/>
      <c r="AI1335" s="102" t="n"/>
      <c r="AJ1335" s="102" t="n"/>
      <c r="AK1335" s="102" t="n"/>
      <c r="AL1335" s="102" t="n"/>
      <c r="AM1335" s="102" t="n"/>
      <c r="AN1335" s="102" t="n"/>
      <c r="AO1335" s="102" t="n"/>
      <c r="AP1335" s="102" t="n"/>
      <c r="AQ1335" s="102" t="n"/>
      <c r="AR1335" s="102" t="n"/>
    </row>
    <row r="1336">
      <c r="D1336" s="102" t="n"/>
      <c r="E1336" s="102" t="n"/>
      <c r="F1336" s="102" t="n"/>
      <c r="G1336" s="102" t="n"/>
      <c r="H1336" s="102" t="n"/>
      <c r="I1336" s="102" t="n"/>
      <c r="J1336" s="102" t="n"/>
      <c r="K1336" s="102" t="n"/>
      <c r="L1336" s="102" t="n"/>
      <c r="M1336" s="102" t="n"/>
      <c r="N1336" s="102" t="n"/>
      <c r="O1336" s="102" t="n"/>
      <c r="P1336" s="102" t="n"/>
      <c r="Q1336" s="102" t="n"/>
      <c r="R1336" s="102" t="n"/>
      <c r="S1336" s="102" t="n"/>
      <c r="T1336" s="102" t="n"/>
      <c r="U1336" s="102" t="n"/>
      <c r="V1336" s="102" t="n"/>
      <c r="W1336" s="102" t="n"/>
      <c r="X1336" s="102" t="n"/>
      <c r="Y1336" s="102" t="n"/>
      <c r="Z1336" s="102" t="n"/>
      <c r="AA1336" s="102" t="n"/>
      <c r="AB1336" s="102" t="n"/>
      <c r="AC1336" s="102" t="n"/>
      <c r="AD1336" s="102" t="n"/>
      <c r="AE1336" s="102" t="n"/>
      <c r="AF1336" s="102" t="n"/>
      <c r="AG1336" s="102" t="n"/>
      <c r="AH1336" s="102" t="n"/>
      <c r="AI1336" s="102" t="n"/>
      <c r="AJ1336" s="102" t="n"/>
      <c r="AK1336" s="102" t="n"/>
      <c r="AL1336" s="102" t="n"/>
      <c r="AM1336" s="102" t="n"/>
      <c r="AN1336" s="102" t="n"/>
      <c r="AO1336" s="102" t="n"/>
      <c r="AP1336" s="102" t="n"/>
      <c r="AQ1336" s="102" t="n"/>
      <c r="AR1336" s="102" t="n"/>
    </row>
    <row r="1337">
      <c r="D1337" s="102" t="n"/>
      <c r="E1337" s="102" t="n"/>
      <c r="F1337" s="102" t="n"/>
      <c r="G1337" s="102" t="n"/>
      <c r="H1337" s="102" t="n"/>
      <c r="I1337" s="102" t="n"/>
      <c r="J1337" s="102" t="n"/>
      <c r="K1337" s="102" t="n"/>
      <c r="L1337" s="102" t="n"/>
      <c r="M1337" s="102" t="n"/>
      <c r="N1337" s="102" t="n"/>
      <c r="O1337" s="102" t="n"/>
      <c r="P1337" s="102" t="n"/>
      <c r="Q1337" s="102" t="n"/>
      <c r="R1337" s="102" t="n"/>
      <c r="S1337" s="102" t="n"/>
      <c r="T1337" s="102" t="n"/>
      <c r="U1337" s="102" t="n"/>
      <c r="V1337" s="102" t="n"/>
      <c r="W1337" s="102" t="n"/>
      <c r="X1337" s="102" t="n"/>
      <c r="Y1337" s="102" t="n"/>
      <c r="Z1337" s="102" t="n"/>
      <c r="AA1337" s="102" t="n"/>
      <c r="AB1337" s="102" t="n"/>
      <c r="AC1337" s="102" t="n"/>
      <c r="AD1337" s="102" t="n"/>
      <c r="AE1337" s="102" t="n"/>
      <c r="AF1337" s="102" t="n"/>
      <c r="AG1337" s="102" t="n"/>
      <c r="AH1337" s="102" t="n"/>
      <c r="AI1337" s="102" t="n"/>
      <c r="AJ1337" s="102" t="n"/>
      <c r="AK1337" s="102" t="n"/>
      <c r="AL1337" s="102" t="n"/>
      <c r="AM1337" s="102" t="n"/>
      <c r="AN1337" s="102" t="n"/>
      <c r="AO1337" s="102" t="n"/>
      <c r="AP1337" s="102" t="n"/>
      <c r="AQ1337" s="102" t="n"/>
      <c r="AR1337" s="102" t="n"/>
    </row>
    <row r="1338">
      <c r="D1338" s="102" t="n"/>
      <c r="E1338" s="102" t="n"/>
      <c r="F1338" s="102" t="n"/>
      <c r="G1338" s="102" t="n"/>
      <c r="H1338" s="102" t="n"/>
      <c r="I1338" s="102" t="n"/>
      <c r="J1338" s="102" t="n"/>
      <c r="K1338" s="102" t="n"/>
      <c r="L1338" s="102" t="n"/>
      <c r="M1338" s="102" t="n"/>
      <c r="N1338" s="102" t="n"/>
      <c r="O1338" s="102" t="n"/>
      <c r="P1338" s="102" t="n"/>
      <c r="Q1338" s="102" t="n"/>
      <c r="R1338" s="102" t="n"/>
      <c r="S1338" s="102" t="n"/>
      <c r="T1338" s="102" t="n"/>
      <c r="U1338" s="102" t="n"/>
      <c r="V1338" s="102" t="n"/>
      <c r="W1338" s="102" t="n"/>
      <c r="X1338" s="102" t="n"/>
      <c r="Y1338" s="102" t="n"/>
      <c r="Z1338" s="102" t="n"/>
      <c r="AA1338" s="102" t="n"/>
      <c r="AB1338" s="102" t="n"/>
      <c r="AC1338" s="102" t="n"/>
      <c r="AD1338" s="102" t="n"/>
      <c r="AE1338" s="102" t="n"/>
      <c r="AF1338" s="102" t="n"/>
      <c r="AG1338" s="102" t="n"/>
      <c r="AH1338" s="102" t="n"/>
      <c r="AI1338" s="102" t="n"/>
      <c r="AJ1338" s="102" t="n"/>
      <c r="AK1338" s="102" t="n"/>
      <c r="AL1338" s="102" t="n"/>
      <c r="AM1338" s="102" t="n"/>
      <c r="AN1338" s="102" t="n"/>
      <c r="AO1338" s="102" t="n"/>
      <c r="AP1338" s="102" t="n"/>
      <c r="AQ1338" s="102" t="n"/>
      <c r="AR1338" s="102" t="n"/>
    </row>
    <row r="1339">
      <c r="D1339" s="160" t="n"/>
      <c r="E1339" s="160" t="n"/>
      <c r="F1339" s="160" t="n"/>
      <c r="G1339" s="160" t="n"/>
      <c r="H1339" s="160" t="n"/>
      <c r="I1339" s="160" t="n"/>
      <c r="J1339" s="160" t="n"/>
      <c r="K1339" s="160" t="n"/>
      <c r="L1339" s="160" t="n"/>
      <c r="M1339" s="160" t="n"/>
      <c r="N1339" s="160" t="n"/>
      <c r="O1339" s="160" t="n"/>
      <c r="P1339" s="160" t="n"/>
      <c r="Q1339" s="160" t="n"/>
      <c r="R1339" s="160" t="n"/>
      <c r="S1339" s="160" t="n"/>
      <c r="T1339" s="160" t="n"/>
      <c r="U1339" s="160" t="n"/>
      <c r="V1339" s="160" t="n"/>
      <c r="W1339" s="160" t="n"/>
      <c r="X1339" s="160" t="n"/>
      <c r="Y1339" s="160" t="n"/>
      <c r="Z1339" s="160" t="n"/>
      <c r="AA1339" s="160" t="n"/>
      <c r="AB1339" s="160" t="n"/>
      <c r="AC1339" s="160" t="n"/>
      <c r="AD1339" s="160" t="n"/>
      <c r="AE1339" s="160" t="n"/>
      <c r="AF1339" s="160" t="n"/>
      <c r="AG1339" s="160" t="n"/>
      <c r="AH1339" s="160" t="n"/>
      <c r="AI1339" s="160" t="n"/>
      <c r="AJ1339" s="160" t="n"/>
      <c r="AK1339" s="160" t="n"/>
      <c r="AL1339" s="160" t="n"/>
      <c r="AM1339" s="160" t="n"/>
      <c r="AN1339" s="160" t="n"/>
      <c r="AO1339" s="160" t="n"/>
      <c r="AP1339" s="160" t="n"/>
      <c r="AQ1339" s="160" t="n"/>
      <c r="AR1339" s="160" t="n"/>
    </row>
    <row r="1342">
      <c r="A1342" s="2">
        <f>IF($A1335="","","   projections")</f>
        <v/>
      </c>
      <c r="B1342" s="158">
        <f>IF($A1335="",0,COUNT($E1343:$AR1343))</f>
        <v/>
      </c>
      <c r="C1342" s="159">
        <f>IF($B1342=0,0,MAX($E1343:$AR1343))</f>
        <v/>
      </c>
      <c r="D1342" s="101">
        <f>BDS($A1335,FLD_PROJ,"headers=y","startcol=1","endcol=3","dir=h")</f>
        <v/>
      </c>
      <c r="E1342" s="102" t="n"/>
      <c r="F1342" s="102" t="n"/>
      <c r="G1342" s="102" t="n"/>
      <c r="H1342" s="102" t="n"/>
      <c r="I1342" s="102" t="n"/>
      <c r="J1342" s="102" t="n"/>
      <c r="K1342" s="102" t="n"/>
      <c r="L1342" s="102" t="n"/>
      <c r="M1342" s="102" t="n"/>
      <c r="N1342" s="102" t="n"/>
      <c r="O1342" s="102" t="n"/>
      <c r="P1342" s="102" t="n"/>
      <c r="Q1342" s="102" t="n"/>
      <c r="R1342" s="102" t="n"/>
      <c r="S1342" s="102" t="n"/>
      <c r="T1342" s="102" t="n"/>
      <c r="U1342" s="102" t="n"/>
      <c r="V1342" s="102" t="n"/>
      <c r="W1342" s="102" t="n"/>
      <c r="X1342" s="102" t="n"/>
      <c r="Y1342" s="102" t="n"/>
      <c r="Z1342" s="102" t="n"/>
      <c r="AA1342" s="102" t="n"/>
      <c r="AB1342" s="102" t="n"/>
      <c r="AC1342" s="102" t="n"/>
      <c r="AD1342" s="102" t="n"/>
      <c r="AE1342" s="102" t="n"/>
      <c r="AF1342" s="102" t="n"/>
      <c r="AG1342" s="102" t="n"/>
      <c r="AH1342" s="102" t="n"/>
      <c r="AI1342" s="102" t="n"/>
      <c r="AJ1342" s="102" t="n"/>
      <c r="AK1342" s="102" t="n"/>
      <c r="AL1342" s="102" t="n"/>
      <c r="AM1342" s="102" t="n"/>
      <c r="AN1342" s="102" t="n"/>
      <c r="AO1342" s="102" t="n"/>
      <c r="AP1342" s="102" t="n"/>
      <c r="AQ1342" s="102" t="n"/>
      <c r="AR1342" s="102" t="n"/>
    </row>
    <row r="1343">
      <c r="D1343" s="102" t="n"/>
      <c r="E1343" s="102" t="n"/>
      <c r="F1343" s="102" t="n"/>
      <c r="G1343" s="102" t="n"/>
      <c r="H1343" s="102" t="n"/>
      <c r="I1343" s="102" t="n"/>
      <c r="J1343" s="102" t="n"/>
      <c r="K1343" s="102" t="n"/>
      <c r="L1343" s="102" t="n"/>
      <c r="M1343" s="102" t="n"/>
      <c r="N1343" s="102" t="n"/>
      <c r="O1343" s="102" t="n"/>
      <c r="P1343" s="102" t="n"/>
      <c r="Q1343" s="102" t="n"/>
      <c r="R1343" s="102" t="n"/>
      <c r="S1343" s="102" t="n"/>
      <c r="T1343" s="102" t="n"/>
      <c r="U1343" s="102" t="n"/>
      <c r="V1343" s="102" t="n"/>
      <c r="W1343" s="102" t="n"/>
      <c r="X1343" s="102" t="n"/>
      <c r="Y1343" s="102" t="n"/>
      <c r="Z1343" s="102" t="n"/>
      <c r="AA1343" s="102" t="n"/>
      <c r="AB1343" s="102" t="n"/>
      <c r="AC1343" s="102" t="n"/>
      <c r="AD1343" s="102" t="n"/>
      <c r="AE1343" s="102" t="n"/>
      <c r="AF1343" s="102" t="n"/>
      <c r="AG1343" s="102" t="n"/>
      <c r="AH1343" s="102" t="n"/>
      <c r="AI1343" s="102" t="n"/>
      <c r="AJ1343" s="102" t="n"/>
      <c r="AK1343" s="102" t="n"/>
      <c r="AL1343" s="102" t="n"/>
      <c r="AM1343" s="102" t="n"/>
      <c r="AN1343" s="102" t="n"/>
      <c r="AO1343" s="102" t="n"/>
      <c r="AP1343" s="102" t="n"/>
      <c r="AQ1343" s="102" t="n"/>
      <c r="AR1343" s="102" t="n"/>
    </row>
    <row r="1344">
      <c r="D1344" s="160" t="n"/>
      <c r="E1344" s="160" t="n"/>
      <c r="F1344" s="160" t="n"/>
      <c r="G1344" s="160" t="n"/>
      <c r="H1344" s="160" t="n"/>
      <c r="I1344" s="160" t="n"/>
      <c r="J1344" s="160" t="n"/>
      <c r="K1344" s="160" t="n"/>
      <c r="L1344" s="160" t="n"/>
      <c r="M1344" s="160" t="n"/>
      <c r="N1344" s="160" t="n"/>
      <c r="O1344" s="160" t="n"/>
      <c r="P1344" s="160" t="n"/>
      <c r="Q1344" s="160" t="n"/>
      <c r="R1344" s="160" t="n"/>
      <c r="S1344" s="160" t="n"/>
      <c r="T1344" s="160" t="n"/>
      <c r="U1344" s="160" t="n"/>
      <c r="V1344" s="160" t="n"/>
      <c r="W1344" s="160" t="n"/>
      <c r="X1344" s="160" t="n"/>
      <c r="Y1344" s="160" t="n"/>
      <c r="Z1344" s="160" t="n"/>
      <c r="AA1344" s="160" t="n"/>
      <c r="AB1344" s="160" t="n"/>
      <c r="AC1344" s="160" t="n"/>
      <c r="AD1344" s="160" t="n"/>
      <c r="AE1344" s="160" t="n"/>
      <c r="AF1344" s="160" t="n"/>
      <c r="AG1344" s="160" t="n"/>
      <c r="AH1344" s="160" t="n"/>
      <c r="AI1344" s="160" t="n"/>
      <c r="AJ1344" s="160" t="n"/>
      <c r="AK1344" s="160" t="n"/>
      <c r="AL1344" s="160" t="n"/>
      <c r="AM1344" s="160" t="n"/>
      <c r="AN1344" s="160" t="n"/>
      <c r="AO1344" s="160" t="n"/>
      <c r="AP1344" s="160" t="n"/>
      <c r="AQ1344" s="160" t="n"/>
      <c r="AR1344" s="160" t="n"/>
    </row>
    <row r="1346">
      <c r="A1346" s="8">
        <f>IF(HSTECH!$C$28="","",HSTECH!$C$28)</f>
        <v/>
      </c>
      <c r="B1346" s="158">
        <f>IF($A1346="",0,COUNT($E1347:$AR1347))</f>
        <v/>
      </c>
      <c r="C1346" s="159">
        <f>IF($B1346=0,0,MAX($E1347:$AR1347))</f>
        <v/>
      </c>
      <c r="D1346" s="101">
        <f>BDS($A1346,FLD_HIST,"headers=y","startcol=1","endcol=7","dir=h","DVD_START_DT",HIST_FROM,"DVD_END_DT",HIST_TO)</f>
        <v/>
      </c>
      <c r="E1346" s="102" t="n"/>
      <c r="F1346" s="102" t="n"/>
      <c r="G1346" s="102" t="n"/>
      <c r="H1346" s="102" t="n"/>
      <c r="I1346" s="102" t="n"/>
      <c r="J1346" s="102" t="n"/>
      <c r="K1346" s="102" t="n"/>
      <c r="L1346" s="102" t="n"/>
      <c r="M1346" s="102" t="n"/>
      <c r="N1346" s="102" t="n"/>
      <c r="O1346" s="102" t="n"/>
      <c r="P1346" s="102" t="n"/>
      <c r="Q1346" s="102" t="n"/>
      <c r="R1346" s="102" t="n"/>
      <c r="S1346" s="102" t="n"/>
      <c r="T1346" s="102" t="n"/>
      <c r="U1346" s="102" t="n"/>
      <c r="V1346" s="102" t="n"/>
      <c r="W1346" s="102" t="n"/>
      <c r="X1346" s="102" t="n"/>
      <c r="Y1346" s="102" t="n"/>
      <c r="Z1346" s="102" t="n"/>
      <c r="AA1346" s="102" t="n"/>
      <c r="AB1346" s="102" t="n"/>
      <c r="AC1346" s="102" t="n"/>
      <c r="AD1346" s="102" t="n"/>
      <c r="AE1346" s="102" t="n"/>
      <c r="AF1346" s="102" t="n"/>
      <c r="AG1346" s="102" t="n"/>
      <c r="AH1346" s="102" t="n"/>
      <c r="AI1346" s="102" t="n"/>
      <c r="AJ1346" s="102" t="n"/>
      <c r="AK1346" s="102" t="n"/>
      <c r="AL1346" s="102" t="n"/>
      <c r="AM1346" s="102" t="n"/>
      <c r="AN1346" s="102" t="n"/>
      <c r="AO1346" s="102" t="n"/>
      <c r="AP1346" s="102" t="n"/>
      <c r="AQ1346" s="102" t="n"/>
      <c r="AR1346" s="102" t="n"/>
    </row>
    <row r="1347">
      <c r="D1347" s="102" t="n"/>
      <c r="E1347" s="102" t="n"/>
      <c r="F1347" s="102" t="n"/>
      <c r="G1347" s="102" t="n"/>
      <c r="H1347" s="102" t="n"/>
      <c r="I1347" s="102" t="n"/>
      <c r="J1347" s="102" t="n"/>
      <c r="K1347" s="102" t="n"/>
      <c r="L1347" s="102" t="n"/>
      <c r="M1347" s="102" t="n"/>
      <c r="N1347" s="102" t="n"/>
      <c r="O1347" s="102" t="n"/>
      <c r="P1347" s="102" t="n"/>
      <c r="Q1347" s="102" t="n"/>
      <c r="R1347" s="102" t="n"/>
      <c r="S1347" s="102" t="n"/>
      <c r="T1347" s="102" t="n"/>
      <c r="U1347" s="102" t="n"/>
      <c r="V1347" s="102" t="n"/>
      <c r="W1347" s="102" t="n"/>
      <c r="X1347" s="102" t="n"/>
      <c r="Y1347" s="102" t="n"/>
      <c r="Z1347" s="102" t="n"/>
      <c r="AA1347" s="102" t="n"/>
      <c r="AB1347" s="102" t="n"/>
      <c r="AC1347" s="102" t="n"/>
      <c r="AD1347" s="102" t="n"/>
      <c r="AE1347" s="102" t="n"/>
      <c r="AF1347" s="102" t="n"/>
      <c r="AG1347" s="102" t="n"/>
      <c r="AH1347" s="102" t="n"/>
      <c r="AI1347" s="102" t="n"/>
      <c r="AJ1347" s="102" t="n"/>
      <c r="AK1347" s="102" t="n"/>
      <c r="AL1347" s="102" t="n"/>
      <c r="AM1347" s="102" t="n"/>
      <c r="AN1347" s="102" t="n"/>
      <c r="AO1347" s="102" t="n"/>
      <c r="AP1347" s="102" t="n"/>
      <c r="AQ1347" s="102" t="n"/>
      <c r="AR1347" s="102" t="n"/>
    </row>
    <row r="1348">
      <c r="D1348" s="102" t="n"/>
      <c r="E1348" s="102" t="n"/>
      <c r="F1348" s="102" t="n"/>
      <c r="G1348" s="102" t="n"/>
      <c r="H1348" s="102" t="n"/>
      <c r="I1348" s="102" t="n"/>
      <c r="J1348" s="102" t="n"/>
      <c r="K1348" s="102" t="n"/>
      <c r="L1348" s="102" t="n"/>
      <c r="M1348" s="102" t="n"/>
      <c r="N1348" s="102" t="n"/>
      <c r="O1348" s="102" t="n"/>
      <c r="P1348" s="102" t="n"/>
      <c r="Q1348" s="102" t="n"/>
      <c r="R1348" s="102" t="n"/>
      <c r="S1348" s="102" t="n"/>
      <c r="T1348" s="102" t="n"/>
      <c r="U1348" s="102" t="n"/>
      <c r="V1348" s="102" t="n"/>
      <c r="W1348" s="102" t="n"/>
      <c r="X1348" s="102" t="n"/>
      <c r="Y1348" s="102" t="n"/>
      <c r="Z1348" s="102" t="n"/>
      <c r="AA1348" s="102" t="n"/>
      <c r="AB1348" s="102" t="n"/>
      <c r="AC1348" s="102" t="n"/>
      <c r="AD1348" s="102" t="n"/>
      <c r="AE1348" s="102" t="n"/>
      <c r="AF1348" s="102" t="n"/>
      <c r="AG1348" s="102" t="n"/>
      <c r="AH1348" s="102" t="n"/>
      <c r="AI1348" s="102" t="n"/>
      <c r="AJ1348" s="102" t="n"/>
      <c r="AK1348" s="102" t="n"/>
      <c r="AL1348" s="102" t="n"/>
      <c r="AM1348" s="102" t="n"/>
      <c r="AN1348" s="102" t="n"/>
      <c r="AO1348" s="102" t="n"/>
      <c r="AP1348" s="102" t="n"/>
      <c r="AQ1348" s="102" t="n"/>
      <c r="AR1348" s="102" t="n"/>
    </row>
    <row r="1349">
      <c r="D1349" s="102" t="n"/>
      <c r="E1349" s="102" t="n"/>
      <c r="F1349" s="102" t="n"/>
      <c r="G1349" s="102" t="n"/>
      <c r="H1349" s="102" t="n"/>
      <c r="I1349" s="102" t="n"/>
      <c r="J1349" s="102" t="n"/>
      <c r="K1349" s="102" t="n"/>
      <c r="L1349" s="102" t="n"/>
      <c r="M1349" s="102" t="n"/>
      <c r="N1349" s="102" t="n"/>
      <c r="O1349" s="102" t="n"/>
      <c r="P1349" s="102" t="n"/>
      <c r="Q1349" s="102" t="n"/>
      <c r="R1349" s="102" t="n"/>
      <c r="S1349" s="102" t="n"/>
      <c r="T1349" s="102" t="n"/>
      <c r="U1349" s="102" t="n"/>
      <c r="V1349" s="102" t="n"/>
      <c r="W1349" s="102" t="n"/>
      <c r="X1349" s="102" t="n"/>
      <c r="Y1349" s="102" t="n"/>
      <c r="Z1349" s="102" t="n"/>
      <c r="AA1349" s="102" t="n"/>
      <c r="AB1349" s="102" t="n"/>
      <c r="AC1349" s="102" t="n"/>
      <c r="AD1349" s="102" t="n"/>
      <c r="AE1349" s="102" t="n"/>
      <c r="AF1349" s="102" t="n"/>
      <c r="AG1349" s="102" t="n"/>
      <c r="AH1349" s="102" t="n"/>
      <c r="AI1349" s="102" t="n"/>
      <c r="AJ1349" s="102" t="n"/>
      <c r="AK1349" s="102" t="n"/>
      <c r="AL1349" s="102" t="n"/>
      <c r="AM1349" s="102" t="n"/>
      <c r="AN1349" s="102" t="n"/>
      <c r="AO1349" s="102" t="n"/>
      <c r="AP1349" s="102" t="n"/>
      <c r="AQ1349" s="102" t="n"/>
      <c r="AR1349" s="102" t="n"/>
    </row>
    <row r="1350">
      <c r="D1350" s="160" t="n"/>
      <c r="E1350" s="160" t="n"/>
      <c r="F1350" s="160" t="n"/>
      <c r="G1350" s="160" t="n"/>
      <c r="H1350" s="160" t="n"/>
      <c r="I1350" s="160" t="n"/>
      <c r="J1350" s="160" t="n"/>
      <c r="K1350" s="160" t="n"/>
      <c r="L1350" s="160" t="n"/>
      <c r="M1350" s="160" t="n"/>
      <c r="N1350" s="160" t="n"/>
      <c r="O1350" s="160" t="n"/>
      <c r="P1350" s="160" t="n"/>
      <c r="Q1350" s="160" t="n"/>
      <c r="R1350" s="160" t="n"/>
      <c r="S1350" s="160" t="n"/>
      <c r="T1350" s="160" t="n"/>
      <c r="U1350" s="160" t="n"/>
      <c r="V1350" s="160" t="n"/>
      <c r="W1350" s="160" t="n"/>
      <c r="X1350" s="160" t="n"/>
      <c r="Y1350" s="160" t="n"/>
      <c r="Z1350" s="160" t="n"/>
      <c r="AA1350" s="160" t="n"/>
      <c r="AB1350" s="160" t="n"/>
      <c r="AC1350" s="160" t="n"/>
      <c r="AD1350" s="160" t="n"/>
      <c r="AE1350" s="160" t="n"/>
      <c r="AF1350" s="160" t="n"/>
      <c r="AG1350" s="160" t="n"/>
      <c r="AH1350" s="160" t="n"/>
      <c r="AI1350" s="160" t="n"/>
      <c r="AJ1350" s="160" t="n"/>
      <c r="AK1350" s="160" t="n"/>
      <c r="AL1350" s="160" t="n"/>
      <c r="AM1350" s="160" t="n"/>
      <c r="AN1350" s="160" t="n"/>
      <c r="AO1350" s="160" t="n"/>
      <c r="AP1350" s="160" t="n"/>
      <c r="AQ1350" s="160" t="n"/>
      <c r="AR1350" s="160" t="n"/>
    </row>
    <row r="1353">
      <c r="A1353" s="2">
        <f>IF($A1346="","","   projections")</f>
        <v/>
      </c>
      <c r="B1353" s="158">
        <f>IF($A1346="",0,COUNT($E1354:$AR1354))</f>
        <v/>
      </c>
      <c r="C1353" s="159">
        <f>IF($B1353=0,0,MAX($E1354:$AR1354))</f>
        <v/>
      </c>
      <c r="D1353" s="101">
        <f>BDS($A1346,FLD_PROJ,"headers=y","startcol=1","endcol=3","dir=h")</f>
        <v/>
      </c>
      <c r="E1353" s="102" t="n"/>
      <c r="F1353" s="102" t="n"/>
      <c r="G1353" s="102" t="n"/>
      <c r="H1353" s="102" t="n"/>
      <c r="I1353" s="102" t="n"/>
      <c r="J1353" s="102" t="n"/>
      <c r="K1353" s="102" t="n"/>
      <c r="L1353" s="102" t="n"/>
      <c r="M1353" s="102" t="n"/>
      <c r="N1353" s="102" t="n"/>
      <c r="O1353" s="102" t="n"/>
      <c r="P1353" s="102" t="n"/>
      <c r="Q1353" s="102" t="n"/>
      <c r="R1353" s="102" t="n"/>
      <c r="S1353" s="102" t="n"/>
      <c r="T1353" s="102" t="n"/>
      <c r="U1353" s="102" t="n"/>
      <c r="V1353" s="102" t="n"/>
      <c r="W1353" s="102" t="n"/>
      <c r="X1353" s="102" t="n"/>
      <c r="Y1353" s="102" t="n"/>
      <c r="Z1353" s="102" t="n"/>
      <c r="AA1353" s="102" t="n"/>
      <c r="AB1353" s="102" t="n"/>
      <c r="AC1353" s="102" t="n"/>
      <c r="AD1353" s="102" t="n"/>
      <c r="AE1353" s="102" t="n"/>
      <c r="AF1353" s="102" t="n"/>
      <c r="AG1353" s="102" t="n"/>
      <c r="AH1353" s="102" t="n"/>
      <c r="AI1353" s="102" t="n"/>
      <c r="AJ1353" s="102" t="n"/>
      <c r="AK1353" s="102" t="n"/>
      <c r="AL1353" s="102" t="n"/>
      <c r="AM1353" s="102" t="n"/>
      <c r="AN1353" s="102" t="n"/>
      <c r="AO1353" s="102" t="n"/>
      <c r="AP1353" s="102" t="n"/>
      <c r="AQ1353" s="102" t="n"/>
      <c r="AR1353" s="102" t="n"/>
    </row>
    <row r="1354">
      <c r="D1354" s="102" t="n"/>
      <c r="E1354" s="102" t="n"/>
      <c r="F1354" s="102" t="n"/>
      <c r="G1354" s="102" t="n"/>
      <c r="H1354" s="102" t="n"/>
      <c r="I1354" s="102" t="n"/>
      <c r="J1354" s="102" t="n"/>
      <c r="K1354" s="102" t="n"/>
      <c r="L1354" s="102" t="n"/>
      <c r="M1354" s="102" t="n"/>
      <c r="N1354" s="102" t="n"/>
      <c r="O1354" s="102" t="n"/>
      <c r="P1354" s="102" t="n"/>
      <c r="Q1354" s="102" t="n"/>
      <c r="R1354" s="102" t="n"/>
      <c r="S1354" s="102" t="n"/>
      <c r="T1354" s="102" t="n"/>
      <c r="U1354" s="102" t="n"/>
      <c r="V1354" s="102" t="n"/>
      <c r="W1354" s="102" t="n"/>
      <c r="X1354" s="102" t="n"/>
      <c r="Y1354" s="102" t="n"/>
      <c r="Z1354" s="102" t="n"/>
      <c r="AA1354" s="102" t="n"/>
      <c r="AB1354" s="102" t="n"/>
      <c r="AC1354" s="102" t="n"/>
      <c r="AD1354" s="102" t="n"/>
      <c r="AE1354" s="102" t="n"/>
      <c r="AF1354" s="102" t="n"/>
      <c r="AG1354" s="102" t="n"/>
      <c r="AH1354" s="102" t="n"/>
      <c r="AI1354" s="102" t="n"/>
      <c r="AJ1354" s="102" t="n"/>
      <c r="AK1354" s="102" t="n"/>
      <c r="AL1354" s="102" t="n"/>
      <c r="AM1354" s="102" t="n"/>
      <c r="AN1354" s="102" t="n"/>
      <c r="AO1354" s="102" t="n"/>
      <c r="AP1354" s="102" t="n"/>
      <c r="AQ1354" s="102" t="n"/>
      <c r="AR1354" s="102" t="n"/>
    </row>
    <row r="1355">
      <c r="D1355" s="160" t="n"/>
      <c r="E1355" s="160" t="n"/>
      <c r="F1355" s="160" t="n"/>
      <c r="G1355" s="160" t="n"/>
      <c r="H1355" s="160" t="n"/>
      <c r="I1355" s="160" t="n"/>
      <c r="J1355" s="160" t="n"/>
      <c r="K1355" s="160" t="n"/>
      <c r="L1355" s="160" t="n"/>
      <c r="M1355" s="160" t="n"/>
      <c r="N1355" s="160" t="n"/>
      <c r="O1355" s="160" t="n"/>
      <c r="P1355" s="160" t="n"/>
      <c r="Q1355" s="160" t="n"/>
      <c r="R1355" s="160" t="n"/>
      <c r="S1355" s="160" t="n"/>
      <c r="T1355" s="160" t="n"/>
      <c r="U1355" s="160" t="n"/>
      <c r="V1355" s="160" t="n"/>
      <c r="W1355" s="160" t="n"/>
      <c r="X1355" s="160" t="n"/>
      <c r="Y1355" s="160" t="n"/>
      <c r="Z1355" s="160" t="n"/>
      <c r="AA1355" s="160" t="n"/>
      <c r="AB1355" s="160" t="n"/>
      <c r="AC1355" s="160" t="n"/>
      <c r="AD1355" s="160" t="n"/>
      <c r="AE1355" s="160" t="n"/>
      <c r="AF1355" s="160" t="n"/>
      <c r="AG1355" s="160" t="n"/>
      <c r="AH1355" s="160" t="n"/>
      <c r="AI1355" s="160" t="n"/>
      <c r="AJ1355" s="160" t="n"/>
      <c r="AK1355" s="160" t="n"/>
      <c r="AL1355" s="160" t="n"/>
      <c r="AM1355" s="160" t="n"/>
      <c r="AN1355" s="160" t="n"/>
      <c r="AO1355" s="160" t="n"/>
      <c r="AP1355" s="160" t="n"/>
      <c r="AQ1355" s="160" t="n"/>
      <c r="AR1355" s="160" t="n"/>
    </row>
    <row r="1357">
      <c r="A1357" s="8">
        <f>IF(HSTECH!$C$29="","",HSTECH!$C$29)</f>
        <v/>
      </c>
      <c r="B1357" s="158">
        <f>IF($A1357="",0,COUNT($E1358:$AR1358))</f>
        <v/>
      </c>
      <c r="C1357" s="159">
        <f>IF($B1357=0,0,MAX($E1358:$AR1358))</f>
        <v/>
      </c>
      <c r="D1357" s="101">
        <f>BDS($A1357,FLD_HIST,"headers=y","startcol=1","endcol=7","dir=h","DVD_START_DT",HIST_FROM,"DVD_END_DT",HIST_TO)</f>
        <v/>
      </c>
      <c r="E1357" s="102" t="n"/>
      <c r="F1357" s="102" t="n"/>
      <c r="G1357" s="102" t="n"/>
      <c r="H1357" s="102" t="n"/>
      <c r="I1357" s="102" t="n"/>
      <c r="J1357" s="102" t="n"/>
      <c r="K1357" s="102" t="n"/>
      <c r="L1357" s="102" t="n"/>
      <c r="M1357" s="102" t="n"/>
      <c r="N1357" s="102" t="n"/>
      <c r="O1357" s="102" t="n"/>
      <c r="P1357" s="102" t="n"/>
      <c r="Q1357" s="102" t="n"/>
      <c r="R1357" s="102" t="n"/>
      <c r="S1357" s="102" t="n"/>
      <c r="T1357" s="102" t="n"/>
      <c r="U1357" s="102" t="n"/>
      <c r="V1357" s="102" t="n"/>
      <c r="W1357" s="102" t="n"/>
      <c r="X1357" s="102" t="n"/>
      <c r="Y1357" s="102" t="n"/>
      <c r="Z1357" s="102" t="n"/>
      <c r="AA1357" s="102" t="n"/>
      <c r="AB1357" s="102" t="n"/>
      <c r="AC1357" s="102" t="n"/>
      <c r="AD1357" s="102" t="n"/>
      <c r="AE1357" s="102" t="n"/>
      <c r="AF1357" s="102" t="n"/>
      <c r="AG1357" s="102" t="n"/>
      <c r="AH1357" s="102" t="n"/>
      <c r="AI1357" s="102" t="n"/>
      <c r="AJ1357" s="102" t="n"/>
      <c r="AK1357" s="102" t="n"/>
      <c r="AL1357" s="102" t="n"/>
      <c r="AM1357" s="102" t="n"/>
      <c r="AN1357" s="102" t="n"/>
      <c r="AO1357" s="102" t="n"/>
      <c r="AP1357" s="102" t="n"/>
      <c r="AQ1357" s="102" t="n"/>
      <c r="AR1357" s="102" t="n"/>
    </row>
    <row r="1358">
      <c r="D1358" s="102" t="n"/>
      <c r="E1358" s="102" t="n"/>
      <c r="F1358" s="102" t="n"/>
      <c r="G1358" s="102" t="n"/>
      <c r="H1358" s="102" t="n"/>
      <c r="I1358" s="102" t="n"/>
      <c r="J1358" s="102" t="n"/>
      <c r="K1358" s="102" t="n"/>
      <c r="L1358" s="102" t="n"/>
      <c r="M1358" s="102" t="n"/>
      <c r="N1358" s="102" t="n"/>
      <c r="O1358" s="102" t="n"/>
      <c r="P1358" s="102" t="n"/>
      <c r="Q1358" s="102" t="n"/>
      <c r="R1358" s="102" t="n"/>
      <c r="S1358" s="102" t="n"/>
      <c r="T1358" s="102" t="n"/>
      <c r="U1358" s="102" t="n"/>
      <c r="V1358" s="102" t="n"/>
      <c r="W1358" s="102" t="n"/>
      <c r="X1358" s="102" t="n"/>
      <c r="Y1358" s="102" t="n"/>
      <c r="Z1358" s="102" t="n"/>
      <c r="AA1358" s="102" t="n"/>
      <c r="AB1358" s="102" t="n"/>
      <c r="AC1358" s="102" t="n"/>
      <c r="AD1358" s="102" t="n"/>
      <c r="AE1358" s="102" t="n"/>
      <c r="AF1358" s="102" t="n"/>
      <c r="AG1358" s="102" t="n"/>
      <c r="AH1358" s="102" t="n"/>
      <c r="AI1358" s="102" t="n"/>
      <c r="AJ1358" s="102" t="n"/>
      <c r="AK1358" s="102" t="n"/>
      <c r="AL1358" s="102" t="n"/>
      <c r="AM1358" s="102" t="n"/>
      <c r="AN1358" s="102" t="n"/>
      <c r="AO1358" s="102" t="n"/>
      <c r="AP1358" s="102" t="n"/>
      <c r="AQ1358" s="102" t="n"/>
      <c r="AR1358" s="102" t="n"/>
    </row>
    <row r="1359">
      <c r="D1359" s="102" t="n"/>
      <c r="E1359" s="102" t="n"/>
      <c r="F1359" s="102" t="n"/>
      <c r="G1359" s="102" t="n"/>
      <c r="H1359" s="102" t="n"/>
      <c r="I1359" s="102" t="n"/>
      <c r="J1359" s="102" t="n"/>
      <c r="K1359" s="102" t="n"/>
      <c r="L1359" s="102" t="n"/>
      <c r="M1359" s="102" t="n"/>
      <c r="N1359" s="102" t="n"/>
      <c r="O1359" s="102" t="n"/>
      <c r="P1359" s="102" t="n"/>
      <c r="Q1359" s="102" t="n"/>
      <c r="R1359" s="102" t="n"/>
      <c r="S1359" s="102" t="n"/>
      <c r="T1359" s="102" t="n"/>
      <c r="U1359" s="102" t="n"/>
      <c r="V1359" s="102" t="n"/>
      <c r="W1359" s="102" t="n"/>
      <c r="X1359" s="102" t="n"/>
      <c r="Y1359" s="102" t="n"/>
      <c r="Z1359" s="102" t="n"/>
      <c r="AA1359" s="102" t="n"/>
      <c r="AB1359" s="102" t="n"/>
      <c r="AC1359" s="102" t="n"/>
      <c r="AD1359" s="102" t="n"/>
      <c r="AE1359" s="102" t="n"/>
      <c r="AF1359" s="102" t="n"/>
      <c r="AG1359" s="102" t="n"/>
      <c r="AH1359" s="102" t="n"/>
      <c r="AI1359" s="102" t="n"/>
      <c r="AJ1359" s="102" t="n"/>
      <c r="AK1359" s="102" t="n"/>
      <c r="AL1359" s="102" t="n"/>
      <c r="AM1359" s="102" t="n"/>
      <c r="AN1359" s="102" t="n"/>
      <c r="AO1359" s="102" t="n"/>
      <c r="AP1359" s="102" t="n"/>
      <c r="AQ1359" s="102" t="n"/>
      <c r="AR1359" s="102" t="n"/>
    </row>
    <row r="1360">
      <c r="D1360" s="102" t="n"/>
      <c r="E1360" s="102" t="n"/>
      <c r="F1360" s="102" t="n"/>
      <c r="G1360" s="102" t="n"/>
      <c r="H1360" s="102" t="n"/>
      <c r="I1360" s="102" t="n"/>
      <c r="J1360" s="102" t="n"/>
      <c r="K1360" s="102" t="n"/>
      <c r="L1360" s="102" t="n"/>
      <c r="M1360" s="102" t="n"/>
      <c r="N1360" s="102" t="n"/>
      <c r="O1360" s="102" t="n"/>
      <c r="P1360" s="102" t="n"/>
      <c r="Q1360" s="102" t="n"/>
      <c r="R1360" s="102" t="n"/>
      <c r="S1360" s="102" t="n"/>
      <c r="T1360" s="102" t="n"/>
      <c r="U1360" s="102" t="n"/>
      <c r="V1360" s="102" t="n"/>
      <c r="W1360" s="102" t="n"/>
      <c r="X1360" s="102" t="n"/>
      <c r="Y1360" s="102" t="n"/>
      <c r="Z1360" s="102" t="n"/>
      <c r="AA1360" s="102" t="n"/>
      <c r="AB1360" s="102" t="n"/>
      <c r="AC1360" s="102" t="n"/>
      <c r="AD1360" s="102" t="n"/>
      <c r="AE1360" s="102" t="n"/>
      <c r="AF1360" s="102" t="n"/>
      <c r="AG1360" s="102" t="n"/>
      <c r="AH1360" s="102" t="n"/>
      <c r="AI1360" s="102" t="n"/>
      <c r="AJ1360" s="102" t="n"/>
      <c r="AK1360" s="102" t="n"/>
      <c r="AL1360" s="102" t="n"/>
      <c r="AM1360" s="102" t="n"/>
      <c r="AN1360" s="102" t="n"/>
      <c r="AO1360" s="102" t="n"/>
      <c r="AP1360" s="102" t="n"/>
      <c r="AQ1360" s="102" t="n"/>
      <c r="AR1360" s="102" t="n"/>
    </row>
    <row r="1361">
      <c r="D1361" s="160" t="n"/>
      <c r="E1361" s="160" t="n"/>
      <c r="F1361" s="160" t="n"/>
      <c r="G1361" s="160" t="n"/>
      <c r="H1361" s="160" t="n"/>
      <c r="I1361" s="160" t="n"/>
      <c r="J1361" s="160" t="n"/>
      <c r="K1361" s="160" t="n"/>
      <c r="L1361" s="160" t="n"/>
      <c r="M1361" s="160" t="n"/>
      <c r="N1361" s="160" t="n"/>
      <c r="O1361" s="160" t="n"/>
      <c r="P1361" s="160" t="n"/>
      <c r="Q1361" s="160" t="n"/>
      <c r="R1361" s="160" t="n"/>
      <c r="S1361" s="160" t="n"/>
      <c r="T1361" s="160" t="n"/>
      <c r="U1361" s="160" t="n"/>
      <c r="V1361" s="160" t="n"/>
      <c r="W1361" s="160" t="n"/>
      <c r="X1361" s="160" t="n"/>
      <c r="Y1361" s="160" t="n"/>
      <c r="Z1361" s="160" t="n"/>
      <c r="AA1361" s="160" t="n"/>
      <c r="AB1361" s="160" t="n"/>
      <c r="AC1361" s="160" t="n"/>
      <c r="AD1361" s="160" t="n"/>
      <c r="AE1361" s="160" t="n"/>
      <c r="AF1361" s="160" t="n"/>
      <c r="AG1361" s="160" t="n"/>
      <c r="AH1361" s="160" t="n"/>
      <c r="AI1361" s="160" t="n"/>
      <c r="AJ1361" s="160" t="n"/>
      <c r="AK1361" s="160" t="n"/>
      <c r="AL1361" s="160" t="n"/>
      <c r="AM1361" s="160" t="n"/>
      <c r="AN1361" s="160" t="n"/>
      <c r="AO1361" s="160" t="n"/>
      <c r="AP1361" s="160" t="n"/>
      <c r="AQ1361" s="160" t="n"/>
      <c r="AR1361" s="160" t="n"/>
    </row>
    <row r="1364">
      <c r="A1364" s="2">
        <f>IF($A1357="","","   projections")</f>
        <v/>
      </c>
      <c r="B1364" s="158">
        <f>IF($A1357="",0,COUNT($E1365:$AR1365))</f>
        <v/>
      </c>
      <c r="C1364" s="159">
        <f>IF($B1364=0,0,MAX($E1365:$AR1365))</f>
        <v/>
      </c>
      <c r="D1364" s="101">
        <f>BDS($A1357,FLD_PROJ,"headers=y","startcol=1","endcol=3","dir=h")</f>
        <v/>
      </c>
      <c r="E1364" s="102" t="n"/>
      <c r="F1364" s="102" t="n"/>
      <c r="G1364" s="102" t="n"/>
      <c r="H1364" s="102" t="n"/>
      <c r="I1364" s="102" t="n"/>
      <c r="J1364" s="102" t="n"/>
      <c r="K1364" s="102" t="n"/>
      <c r="L1364" s="102" t="n"/>
      <c r="M1364" s="102" t="n"/>
      <c r="N1364" s="102" t="n"/>
      <c r="O1364" s="102" t="n"/>
      <c r="P1364" s="102" t="n"/>
      <c r="Q1364" s="102" t="n"/>
      <c r="R1364" s="102" t="n"/>
      <c r="S1364" s="102" t="n"/>
      <c r="T1364" s="102" t="n"/>
      <c r="U1364" s="102" t="n"/>
      <c r="V1364" s="102" t="n"/>
      <c r="W1364" s="102" t="n"/>
      <c r="X1364" s="102" t="n"/>
      <c r="Y1364" s="102" t="n"/>
      <c r="Z1364" s="102" t="n"/>
      <c r="AA1364" s="102" t="n"/>
      <c r="AB1364" s="102" t="n"/>
      <c r="AC1364" s="102" t="n"/>
      <c r="AD1364" s="102" t="n"/>
      <c r="AE1364" s="102" t="n"/>
      <c r="AF1364" s="102" t="n"/>
      <c r="AG1364" s="102" t="n"/>
      <c r="AH1364" s="102" t="n"/>
      <c r="AI1364" s="102" t="n"/>
      <c r="AJ1364" s="102" t="n"/>
      <c r="AK1364" s="102" t="n"/>
      <c r="AL1364" s="102" t="n"/>
      <c r="AM1364" s="102" t="n"/>
      <c r="AN1364" s="102" t="n"/>
      <c r="AO1364" s="102" t="n"/>
      <c r="AP1364" s="102" t="n"/>
      <c r="AQ1364" s="102" t="n"/>
      <c r="AR1364" s="102" t="n"/>
    </row>
    <row r="1365">
      <c r="D1365" s="102" t="n"/>
      <c r="E1365" s="102" t="n"/>
      <c r="F1365" s="102" t="n"/>
      <c r="G1365" s="102" t="n"/>
      <c r="H1365" s="102" t="n"/>
      <c r="I1365" s="102" t="n"/>
      <c r="J1365" s="102" t="n"/>
      <c r="K1365" s="102" t="n"/>
      <c r="L1365" s="102" t="n"/>
      <c r="M1365" s="102" t="n"/>
      <c r="N1365" s="102" t="n"/>
      <c r="O1365" s="102" t="n"/>
      <c r="P1365" s="102" t="n"/>
      <c r="Q1365" s="102" t="n"/>
      <c r="R1365" s="102" t="n"/>
      <c r="S1365" s="102" t="n"/>
      <c r="T1365" s="102" t="n"/>
      <c r="U1365" s="102" t="n"/>
      <c r="V1365" s="102" t="n"/>
      <c r="W1365" s="102" t="n"/>
      <c r="X1365" s="102" t="n"/>
      <c r="Y1365" s="102" t="n"/>
      <c r="Z1365" s="102" t="n"/>
      <c r="AA1365" s="102" t="n"/>
      <c r="AB1365" s="102" t="n"/>
      <c r="AC1365" s="102" t="n"/>
      <c r="AD1365" s="102" t="n"/>
      <c r="AE1365" s="102" t="n"/>
      <c r="AF1365" s="102" t="n"/>
      <c r="AG1365" s="102" t="n"/>
      <c r="AH1365" s="102" t="n"/>
      <c r="AI1365" s="102" t="n"/>
      <c r="AJ1365" s="102" t="n"/>
      <c r="AK1365" s="102" t="n"/>
      <c r="AL1365" s="102" t="n"/>
      <c r="AM1365" s="102" t="n"/>
      <c r="AN1365" s="102" t="n"/>
      <c r="AO1365" s="102" t="n"/>
      <c r="AP1365" s="102" t="n"/>
      <c r="AQ1365" s="102" t="n"/>
      <c r="AR1365" s="102" t="n"/>
    </row>
    <row r="1366">
      <c r="D1366" s="160" t="n"/>
      <c r="E1366" s="160" t="n"/>
      <c r="F1366" s="160" t="n"/>
      <c r="G1366" s="160" t="n"/>
      <c r="H1366" s="160" t="n"/>
      <c r="I1366" s="160" t="n"/>
      <c r="J1366" s="160" t="n"/>
      <c r="K1366" s="160" t="n"/>
      <c r="L1366" s="160" t="n"/>
      <c r="M1366" s="160" t="n"/>
      <c r="N1366" s="160" t="n"/>
      <c r="O1366" s="160" t="n"/>
      <c r="P1366" s="160" t="n"/>
      <c r="Q1366" s="160" t="n"/>
      <c r="R1366" s="160" t="n"/>
      <c r="S1366" s="160" t="n"/>
      <c r="T1366" s="160" t="n"/>
      <c r="U1366" s="160" t="n"/>
      <c r="V1366" s="160" t="n"/>
      <c r="W1366" s="160" t="n"/>
      <c r="X1366" s="160" t="n"/>
      <c r="Y1366" s="160" t="n"/>
      <c r="Z1366" s="160" t="n"/>
      <c r="AA1366" s="160" t="n"/>
      <c r="AB1366" s="160" t="n"/>
      <c r="AC1366" s="160" t="n"/>
      <c r="AD1366" s="160" t="n"/>
      <c r="AE1366" s="160" t="n"/>
      <c r="AF1366" s="160" t="n"/>
      <c r="AG1366" s="160" t="n"/>
      <c r="AH1366" s="160" t="n"/>
      <c r="AI1366" s="160" t="n"/>
      <c r="AJ1366" s="160" t="n"/>
      <c r="AK1366" s="160" t="n"/>
      <c r="AL1366" s="160" t="n"/>
      <c r="AM1366" s="160" t="n"/>
      <c r="AN1366" s="160" t="n"/>
      <c r="AO1366" s="160" t="n"/>
      <c r="AP1366" s="160" t="n"/>
      <c r="AQ1366" s="160" t="n"/>
      <c r="AR1366" s="160" t="n"/>
    </row>
    <row r="1368">
      <c r="A1368" s="8">
        <f>IF(HSTECH!$C$30="","",HSTECH!$C$30)</f>
        <v/>
      </c>
      <c r="B1368" s="158">
        <f>IF($A1368="",0,COUNT($E1369:$AR1369))</f>
        <v/>
      </c>
      <c r="C1368" s="159">
        <f>IF($B1368=0,0,MAX($E1369:$AR1369))</f>
        <v/>
      </c>
      <c r="D1368" s="101">
        <f>BDS($A1368,FLD_HIST,"headers=y","startcol=1","endcol=7","dir=h","DVD_START_DT",HIST_FROM,"DVD_END_DT",HIST_TO)</f>
        <v/>
      </c>
      <c r="E1368" s="102" t="n"/>
      <c r="F1368" s="102" t="n"/>
      <c r="G1368" s="102" t="n"/>
      <c r="H1368" s="102" t="n"/>
      <c r="I1368" s="102" t="n"/>
      <c r="J1368" s="102" t="n"/>
      <c r="K1368" s="102" t="n"/>
      <c r="L1368" s="102" t="n"/>
      <c r="M1368" s="102" t="n"/>
      <c r="N1368" s="102" t="n"/>
      <c r="O1368" s="102" t="n"/>
      <c r="P1368" s="102" t="n"/>
      <c r="Q1368" s="102" t="n"/>
      <c r="R1368" s="102" t="n"/>
      <c r="S1368" s="102" t="n"/>
      <c r="T1368" s="102" t="n"/>
      <c r="U1368" s="102" t="n"/>
      <c r="V1368" s="102" t="n"/>
      <c r="W1368" s="102" t="n"/>
      <c r="X1368" s="102" t="n"/>
      <c r="Y1368" s="102" t="n"/>
      <c r="Z1368" s="102" t="n"/>
      <c r="AA1368" s="102" t="n"/>
      <c r="AB1368" s="102" t="n"/>
      <c r="AC1368" s="102" t="n"/>
      <c r="AD1368" s="102" t="n"/>
      <c r="AE1368" s="102" t="n"/>
      <c r="AF1368" s="102" t="n"/>
      <c r="AG1368" s="102" t="n"/>
      <c r="AH1368" s="102" t="n"/>
      <c r="AI1368" s="102" t="n"/>
      <c r="AJ1368" s="102" t="n"/>
      <c r="AK1368" s="102" t="n"/>
      <c r="AL1368" s="102" t="n"/>
      <c r="AM1368" s="102" t="n"/>
      <c r="AN1368" s="102" t="n"/>
      <c r="AO1368" s="102" t="n"/>
      <c r="AP1368" s="102" t="n"/>
      <c r="AQ1368" s="102" t="n"/>
      <c r="AR1368" s="102" t="n"/>
    </row>
    <row r="1369">
      <c r="D1369" s="102" t="n"/>
      <c r="E1369" s="102" t="n"/>
      <c r="F1369" s="102" t="n"/>
      <c r="G1369" s="102" t="n"/>
      <c r="H1369" s="102" t="n"/>
      <c r="I1369" s="102" t="n"/>
      <c r="J1369" s="102" t="n"/>
      <c r="K1369" s="102" t="n"/>
      <c r="L1369" s="102" t="n"/>
      <c r="M1369" s="102" t="n"/>
      <c r="N1369" s="102" t="n"/>
      <c r="O1369" s="102" t="n"/>
      <c r="P1369" s="102" t="n"/>
      <c r="Q1369" s="102" t="n"/>
      <c r="R1369" s="102" t="n"/>
      <c r="S1369" s="102" t="n"/>
      <c r="T1369" s="102" t="n"/>
      <c r="U1369" s="102" t="n"/>
      <c r="V1369" s="102" t="n"/>
      <c r="W1369" s="102" t="n"/>
      <c r="X1369" s="102" t="n"/>
      <c r="Y1369" s="102" t="n"/>
      <c r="Z1369" s="102" t="n"/>
      <c r="AA1369" s="102" t="n"/>
      <c r="AB1369" s="102" t="n"/>
      <c r="AC1369" s="102" t="n"/>
      <c r="AD1369" s="102" t="n"/>
      <c r="AE1369" s="102" t="n"/>
      <c r="AF1369" s="102" t="n"/>
      <c r="AG1369" s="102" t="n"/>
      <c r="AH1369" s="102" t="n"/>
      <c r="AI1369" s="102" t="n"/>
      <c r="AJ1369" s="102" t="n"/>
      <c r="AK1369" s="102" t="n"/>
      <c r="AL1369" s="102" t="n"/>
      <c r="AM1369" s="102" t="n"/>
      <c r="AN1369" s="102" t="n"/>
      <c r="AO1369" s="102" t="n"/>
      <c r="AP1369" s="102" t="n"/>
      <c r="AQ1369" s="102" t="n"/>
      <c r="AR1369" s="102" t="n"/>
    </row>
    <row r="1370">
      <c r="D1370" s="102" t="n"/>
      <c r="E1370" s="102" t="n"/>
      <c r="F1370" s="102" t="n"/>
      <c r="G1370" s="102" t="n"/>
      <c r="H1370" s="102" t="n"/>
      <c r="I1370" s="102" t="n"/>
      <c r="J1370" s="102" t="n"/>
      <c r="K1370" s="102" t="n"/>
      <c r="L1370" s="102" t="n"/>
      <c r="M1370" s="102" t="n"/>
      <c r="N1370" s="102" t="n"/>
      <c r="O1370" s="102" t="n"/>
      <c r="P1370" s="102" t="n"/>
      <c r="Q1370" s="102" t="n"/>
      <c r="R1370" s="102" t="n"/>
      <c r="S1370" s="102" t="n"/>
      <c r="T1370" s="102" t="n"/>
      <c r="U1370" s="102" t="n"/>
      <c r="V1370" s="102" t="n"/>
      <c r="W1370" s="102" t="n"/>
      <c r="X1370" s="102" t="n"/>
      <c r="Y1370" s="102" t="n"/>
      <c r="Z1370" s="102" t="n"/>
      <c r="AA1370" s="102" t="n"/>
      <c r="AB1370" s="102" t="n"/>
      <c r="AC1370" s="102" t="n"/>
      <c r="AD1370" s="102" t="n"/>
      <c r="AE1370" s="102" t="n"/>
      <c r="AF1370" s="102" t="n"/>
      <c r="AG1370" s="102" t="n"/>
      <c r="AH1370" s="102" t="n"/>
      <c r="AI1370" s="102" t="n"/>
      <c r="AJ1370" s="102" t="n"/>
      <c r="AK1370" s="102" t="n"/>
      <c r="AL1370" s="102" t="n"/>
      <c r="AM1370" s="102" t="n"/>
      <c r="AN1370" s="102" t="n"/>
      <c r="AO1370" s="102" t="n"/>
      <c r="AP1370" s="102" t="n"/>
      <c r="AQ1370" s="102" t="n"/>
      <c r="AR1370" s="102" t="n"/>
    </row>
    <row r="1371">
      <c r="D1371" s="102" t="n"/>
      <c r="E1371" s="102" t="n"/>
      <c r="F1371" s="102" t="n"/>
      <c r="G1371" s="102" t="n"/>
      <c r="H1371" s="102" t="n"/>
      <c r="I1371" s="102" t="n"/>
      <c r="J1371" s="102" t="n"/>
      <c r="K1371" s="102" t="n"/>
      <c r="L1371" s="102" t="n"/>
      <c r="M1371" s="102" t="n"/>
      <c r="N1371" s="102" t="n"/>
      <c r="O1371" s="102" t="n"/>
      <c r="P1371" s="102" t="n"/>
      <c r="Q1371" s="102" t="n"/>
      <c r="R1371" s="102" t="n"/>
      <c r="S1371" s="102" t="n"/>
      <c r="T1371" s="102" t="n"/>
      <c r="U1371" s="102" t="n"/>
      <c r="V1371" s="102" t="n"/>
      <c r="W1371" s="102" t="n"/>
      <c r="X1371" s="102" t="n"/>
      <c r="Y1371" s="102" t="n"/>
      <c r="Z1371" s="102" t="n"/>
      <c r="AA1371" s="102" t="n"/>
      <c r="AB1371" s="102" t="n"/>
      <c r="AC1371" s="102" t="n"/>
      <c r="AD1371" s="102" t="n"/>
      <c r="AE1371" s="102" t="n"/>
      <c r="AF1371" s="102" t="n"/>
      <c r="AG1371" s="102" t="n"/>
      <c r="AH1371" s="102" t="n"/>
      <c r="AI1371" s="102" t="n"/>
      <c r="AJ1371" s="102" t="n"/>
      <c r="AK1371" s="102" t="n"/>
      <c r="AL1371" s="102" t="n"/>
      <c r="AM1371" s="102" t="n"/>
      <c r="AN1371" s="102" t="n"/>
      <c r="AO1371" s="102" t="n"/>
      <c r="AP1371" s="102" t="n"/>
      <c r="AQ1371" s="102" t="n"/>
      <c r="AR1371" s="102" t="n"/>
    </row>
    <row r="1372">
      <c r="D1372" s="160" t="n"/>
      <c r="E1372" s="160" t="n"/>
      <c r="F1372" s="160" t="n"/>
      <c r="G1372" s="160" t="n"/>
      <c r="H1372" s="160" t="n"/>
      <c r="I1372" s="160" t="n"/>
      <c r="J1372" s="160" t="n"/>
      <c r="K1372" s="160" t="n"/>
      <c r="L1372" s="160" t="n"/>
      <c r="M1372" s="160" t="n"/>
      <c r="N1372" s="160" t="n"/>
      <c r="O1372" s="160" t="n"/>
      <c r="P1372" s="160" t="n"/>
      <c r="Q1372" s="160" t="n"/>
      <c r="R1372" s="160" t="n"/>
      <c r="S1372" s="160" t="n"/>
      <c r="T1372" s="160" t="n"/>
      <c r="U1372" s="160" t="n"/>
      <c r="V1372" s="160" t="n"/>
      <c r="W1372" s="160" t="n"/>
      <c r="X1372" s="160" t="n"/>
      <c r="Y1372" s="160" t="n"/>
      <c r="Z1372" s="160" t="n"/>
      <c r="AA1372" s="160" t="n"/>
      <c r="AB1372" s="160" t="n"/>
      <c r="AC1372" s="160" t="n"/>
      <c r="AD1372" s="160" t="n"/>
      <c r="AE1372" s="160" t="n"/>
      <c r="AF1372" s="160" t="n"/>
      <c r="AG1372" s="160" t="n"/>
      <c r="AH1372" s="160" t="n"/>
      <c r="AI1372" s="160" t="n"/>
      <c r="AJ1372" s="160" t="n"/>
      <c r="AK1372" s="160" t="n"/>
      <c r="AL1372" s="160" t="n"/>
      <c r="AM1372" s="160" t="n"/>
      <c r="AN1372" s="160" t="n"/>
      <c r="AO1372" s="160" t="n"/>
      <c r="AP1372" s="160" t="n"/>
      <c r="AQ1372" s="160" t="n"/>
      <c r="AR1372" s="160" t="n"/>
    </row>
    <row r="1375">
      <c r="A1375" s="2">
        <f>IF($A1368="","","   projections")</f>
        <v/>
      </c>
      <c r="B1375" s="158">
        <f>IF($A1368="",0,COUNT($E1376:$AR1376))</f>
        <v/>
      </c>
      <c r="C1375" s="159">
        <f>IF($B1375=0,0,MAX($E1376:$AR1376))</f>
        <v/>
      </c>
      <c r="D1375" s="101">
        <f>BDS($A1368,FLD_PROJ,"headers=y","startcol=1","endcol=3","dir=h")</f>
        <v/>
      </c>
      <c r="E1375" s="102" t="n"/>
      <c r="F1375" s="102" t="n"/>
      <c r="G1375" s="102" t="n"/>
      <c r="H1375" s="102" t="n"/>
      <c r="I1375" s="102" t="n"/>
      <c r="J1375" s="102" t="n"/>
      <c r="K1375" s="102" t="n"/>
      <c r="L1375" s="102" t="n"/>
      <c r="M1375" s="102" t="n"/>
      <c r="N1375" s="102" t="n"/>
      <c r="O1375" s="102" t="n"/>
      <c r="P1375" s="102" t="n"/>
      <c r="Q1375" s="102" t="n"/>
      <c r="R1375" s="102" t="n"/>
      <c r="S1375" s="102" t="n"/>
      <c r="T1375" s="102" t="n"/>
      <c r="U1375" s="102" t="n"/>
      <c r="V1375" s="102" t="n"/>
      <c r="W1375" s="102" t="n"/>
      <c r="X1375" s="102" t="n"/>
      <c r="Y1375" s="102" t="n"/>
      <c r="Z1375" s="102" t="n"/>
      <c r="AA1375" s="102" t="n"/>
      <c r="AB1375" s="102" t="n"/>
      <c r="AC1375" s="102" t="n"/>
      <c r="AD1375" s="102" t="n"/>
      <c r="AE1375" s="102" t="n"/>
      <c r="AF1375" s="102" t="n"/>
      <c r="AG1375" s="102" t="n"/>
      <c r="AH1375" s="102" t="n"/>
      <c r="AI1375" s="102" t="n"/>
      <c r="AJ1375" s="102" t="n"/>
      <c r="AK1375" s="102" t="n"/>
      <c r="AL1375" s="102" t="n"/>
      <c r="AM1375" s="102" t="n"/>
      <c r="AN1375" s="102" t="n"/>
      <c r="AO1375" s="102" t="n"/>
      <c r="AP1375" s="102" t="n"/>
      <c r="AQ1375" s="102" t="n"/>
      <c r="AR1375" s="102" t="n"/>
    </row>
    <row r="1376">
      <c r="D1376" s="102" t="n"/>
      <c r="E1376" s="102" t="n"/>
      <c r="F1376" s="102" t="n"/>
      <c r="G1376" s="102" t="n"/>
      <c r="H1376" s="102" t="n"/>
      <c r="I1376" s="102" t="n"/>
      <c r="J1376" s="102" t="n"/>
      <c r="K1376" s="102" t="n"/>
      <c r="L1376" s="102" t="n"/>
      <c r="M1376" s="102" t="n"/>
      <c r="N1376" s="102" t="n"/>
      <c r="O1376" s="102" t="n"/>
      <c r="P1376" s="102" t="n"/>
      <c r="Q1376" s="102" t="n"/>
      <c r="R1376" s="102" t="n"/>
      <c r="S1376" s="102" t="n"/>
      <c r="T1376" s="102" t="n"/>
      <c r="U1376" s="102" t="n"/>
      <c r="V1376" s="102" t="n"/>
      <c r="W1376" s="102" t="n"/>
      <c r="X1376" s="102" t="n"/>
      <c r="Y1376" s="102" t="n"/>
      <c r="Z1376" s="102" t="n"/>
      <c r="AA1376" s="102" t="n"/>
      <c r="AB1376" s="102" t="n"/>
      <c r="AC1376" s="102" t="n"/>
      <c r="AD1376" s="102" t="n"/>
      <c r="AE1376" s="102" t="n"/>
      <c r="AF1376" s="102" t="n"/>
      <c r="AG1376" s="102" t="n"/>
      <c r="AH1376" s="102" t="n"/>
      <c r="AI1376" s="102" t="n"/>
      <c r="AJ1376" s="102" t="n"/>
      <c r="AK1376" s="102" t="n"/>
      <c r="AL1376" s="102" t="n"/>
      <c r="AM1376" s="102" t="n"/>
      <c r="AN1376" s="102" t="n"/>
      <c r="AO1376" s="102" t="n"/>
      <c r="AP1376" s="102" t="n"/>
      <c r="AQ1376" s="102" t="n"/>
      <c r="AR1376" s="102" t="n"/>
    </row>
    <row r="1377">
      <c r="D1377" s="160" t="n"/>
      <c r="E1377" s="160" t="n"/>
      <c r="F1377" s="160" t="n"/>
      <c r="G1377" s="160" t="n"/>
      <c r="H1377" s="160" t="n"/>
      <c r="I1377" s="160" t="n"/>
      <c r="J1377" s="160" t="n"/>
      <c r="K1377" s="160" t="n"/>
      <c r="L1377" s="160" t="n"/>
      <c r="M1377" s="160" t="n"/>
      <c r="N1377" s="160" t="n"/>
      <c r="O1377" s="160" t="n"/>
      <c r="P1377" s="160" t="n"/>
      <c r="Q1377" s="160" t="n"/>
      <c r="R1377" s="160" t="n"/>
      <c r="S1377" s="160" t="n"/>
      <c r="T1377" s="160" t="n"/>
      <c r="U1377" s="160" t="n"/>
      <c r="V1377" s="160" t="n"/>
      <c r="W1377" s="160" t="n"/>
      <c r="X1377" s="160" t="n"/>
      <c r="Y1377" s="160" t="n"/>
      <c r="Z1377" s="160" t="n"/>
      <c r="AA1377" s="160" t="n"/>
      <c r="AB1377" s="160" t="n"/>
      <c r="AC1377" s="160" t="n"/>
      <c r="AD1377" s="160" t="n"/>
      <c r="AE1377" s="160" t="n"/>
      <c r="AF1377" s="160" t="n"/>
      <c r="AG1377" s="160" t="n"/>
      <c r="AH1377" s="160" t="n"/>
      <c r="AI1377" s="160" t="n"/>
      <c r="AJ1377" s="160" t="n"/>
      <c r="AK1377" s="160" t="n"/>
      <c r="AL1377" s="160" t="n"/>
      <c r="AM1377" s="160" t="n"/>
      <c r="AN1377" s="160" t="n"/>
      <c r="AO1377" s="160" t="n"/>
      <c r="AP1377" s="160" t="n"/>
      <c r="AQ1377" s="160" t="n"/>
      <c r="AR1377" s="160" t="n"/>
    </row>
    <row r="1379">
      <c r="A1379" s="8">
        <f>IF(HSTECH!$C$31="","",HSTECH!$C$31)</f>
        <v/>
      </c>
      <c r="B1379" s="158">
        <f>IF($A1379="",0,COUNT($E1380:$AR1380))</f>
        <v/>
      </c>
      <c r="C1379" s="159">
        <f>IF($B1379=0,0,MAX($E1380:$AR1380))</f>
        <v/>
      </c>
      <c r="D1379" s="101">
        <f>BDS($A1379,FLD_HIST,"headers=y","startcol=1","endcol=7","dir=h","DVD_START_DT",HIST_FROM,"DVD_END_DT",HIST_TO)</f>
        <v/>
      </c>
      <c r="E1379" s="102" t="n"/>
      <c r="F1379" s="102" t="n"/>
      <c r="G1379" s="102" t="n"/>
      <c r="H1379" s="102" t="n"/>
      <c r="I1379" s="102" t="n"/>
      <c r="J1379" s="102" t="n"/>
      <c r="K1379" s="102" t="n"/>
      <c r="L1379" s="102" t="n"/>
      <c r="M1379" s="102" t="n"/>
      <c r="N1379" s="102" t="n"/>
      <c r="O1379" s="102" t="n"/>
      <c r="P1379" s="102" t="n"/>
      <c r="Q1379" s="102" t="n"/>
      <c r="R1379" s="102" t="n"/>
      <c r="S1379" s="102" t="n"/>
      <c r="T1379" s="102" t="n"/>
      <c r="U1379" s="102" t="n"/>
      <c r="V1379" s="102" t="n"/>
      <c r="W1379" s="102" t="n"/>
      <c r="X1379" s="102" t="n"/>
      <c r="Y1379" s="102" t="n"/>
      <c r="Z1379" s="102" t="n"/>
      <c r="AA1379" s="102" t="n"/>
      <c r="AB1379" s="102" t="n"/>
      <c r="AC1379" s="102" t="n"/>
      <c r="AD1379" s="102" t="n"/>
      <c r="AE1379" s="102" t="n"/>
      <c r="AF1379" s="102" t="n"/>
      <c r="AG1379" s="102" t="n"/>
      <c r="AH1379" s="102" t="n"/>
      <c r="AI1379" s="102" t="n"/>
      <c r="AJ1379" s="102" t="n"/>
      <c r="AK1379" s="102" t="n"/>
      <c r="AL1379" s="102" t="n"/>
      <c r="AM1379" s="102" t="n"/>
      <c r="AN1379" s="102" t="n"/>
      <c r="AO1379" s="102" t="n"/>
      <c r="AP1379" s="102" t="n"/>
      <c r="AQ1379" s="102" t="n"/>
      <c r="AR1379" s="102" t="n"/>
    </row>
    <row r="1380">
      <c r="D1380" s="102" t="n"/>
      <c r="E1380" s="102" t="n"/>
      <c r="F1380" s="102" t="n"/>
      <c r="G1380" s="102" t="n"/>
      <c r="H1380" s="102" t="n"/>
      <c r="I1380" s="102" t="n"/>
      <c r="J1380" s="102" t="n"/>
      <c r="K1380" s="102" t="n"/>
      <c r="L1380" s="102" t="n"/>
      <c r="M1380" s="102" t="n"/>
      <c r="N1380" s="102" t="n"/>
      <c r="O1380" s="102" t="n"/>
      <c r="P1380" s="102" t="n"/>
      <c r="Q1380" s="102" t="n"/>
      <c r="R1380" s="102" t="n"/>
      <c r="S1380" s="102" t="n"/>
      <c r="T1380" s="102" t="n"/>
      <c r="U1380" s="102" t="n"/>
      <c r="V1380" s="102" t="n"/>
      <c r="W1380" s="102" t="n"/>
      <c r="X1380" s="102" t="n"/>
      <c r="Y1380" s="102" t="n"/>
      <c r="Z1380" s="102" t="n"/>
      <c r="AA1380" s="102" t="n"/>
      <c r="AB1380" s="102" t="n"/>
      <c r="AC1380" s="102" t="n"/>
      <c r="AD1380" s="102" t="n"/>
      <c r="AE1380" s="102" t="n"/>
      <c r="AF1380" s="102" t="n"/>
      <c r="AG1380" s="102" t="n"/>
      <c r="AH1380" s="102" t="n"/>
      <c r="AI1380" s="102" t="n"/>
      <c r="AJ1380" s="102" t="n"/>
      <c r="AK1380" s="102" t="n"/>
      <c r="AL1380" s="102" t="n"/>
      <c r="AM1380" s="102" t="n"/>
      <c r="AN1380" s="102" t="n"/>
      <c r="AO1380" s="102" t="n"/>
      <c r="AP1380" s="102" t="n"/>
      <c r="AQ1380" s="102" t="n"/>
      <c r="AR1380" s="102" t="n"/>
    </row>
    <row r="1381">
      <c r="D1381" s="102" t="n"/>
      <c r="E1381" s="102" t="n"/>
      <c r="F1381" s="102" t="n"/>
      <c r="G1381" s="102" t="n"/>
      <c r="H1381" s="102" t="n"/>
      <c r="I1381" s="102" t="n"/>
      <c r="J1381" s="102" t="n"/>
      <c r="K1381" s="102" t="n"/>
      <c r="L1381" s="102" t="n"/>
      <c r="M1381" s="102" t="n"/>
      <c r="N1381" s="102" t="n"/>
      <c r="O1381" s="102" t="n"/>
      <c r="P1381" s="102" t="n"/>
      <c r="Q1381" s="102" t="n"/>
      <c r="R1381" s="102" t="n"/>
      <c r="S1381" s="102" t="n"/>
      <c r="T1381" s="102" t="n"/>
      <c r="U1381" s="102" t="n"/>
      <c r="V1381" s="102" t="n"/>
      <c r="W1381" s="102" t="n"/>
      <c r="X1381" s="102" t="n"/>
      <c r="Y1381" s="102" t="n"/>
      <c r="Z1381" s="102" t="n"/>
      <c r="AA1381" s="102" t="n"/>
      <c r="AB1381" s="102" t="n"/>
      <c r="AC1381" s="102" t="n"/>
      <c r="AD1381" s="102" t="n"/>
      <c r="AE1381" s="102" t="n"/>
      <c r="AF1381" s="102" t="n"/>
      <c r="AG1381" s="102" t="n"/>
      <c r="AH1381" s="102" t="n"/>
      <c r="AI1381" s="102" t="n"/>
      <c r="AJ1381" s="102" t="n"/>
      <c r="AK1381" s="102" t="n"/>
      <c r="AL1381" s="102" t="n"/>
      <c r="AM1381" s="102" t="n"/>
      <c r="AN1381" s="102" t="n"/>
      <c r="AO1381" s="102" t="n"/>
      <c r="AP1381" s="102" t="n"/>
      <c r="AQ1381" s="102" t="n"/>
      <c r="AR1381" s="102" t="n"/>
    </row>
    <row r="1382">
      <c r="D1382" s="102" t="n"/>
      <c r="E1382" s="102" t="n"/>
      <c r="F1382" s="102" t="n"/>
      <c r="G1382" s="102" t="n"/>
      <c r="H1382" s="102" t="n"/>
      <c r="I1382" s="102" t="n"/>
      <c r="J1382" s="102" t="n"/>
      <c r="K1382" s="102" t="n"/>
      <c r="L1382" s="102" t="n"/>
      <c r="M1382" s="102" t="n"/>
      <c r="N1382" s="102" t="n"/>
      <c r="O1382" s="102" t="n"/>
      <c r="P1382" s="102" t="n"/>
      <c r="Q1382" s="102" t="n"/>
      <c r="R1382" s="102" t="n"/>
      <c r="S1382" s="102" t="n"/>
      <c r="T1382" s="102" t="n"/>
      <c r="U1382" s="102" t="n"/>
      <c r="V1382" s="102" t="n"/>
      <c r="W1382" s="102" t="n"/>
      <c r="X1382" s="102" t="n"/>
      <c r="Y1382" s="102" t="n"/>
      <c r="Z1382" s="102" t="n"/>
      <c r="AA1382" s="102" t="n"/>
      <c r="AB1382" s="102" t="n"/>
      <c r="AC1382" s="102" t="n"/>
      <c r="AD1382" s="102" t="n"/>
      <c r="AE1382" s="102" t="n"/>
      <c r="AF1382" s="102" t="n"/>
      <c r="AG1382" s="102" t="n"/>
      <c r="AH1382" s="102" t="n"/>
      <c r="AI1382" s="102" t="n"/>
      <c r="AJ1382" s="102" t="n"/>
      <c r="AK1382" s="102" t="n"/>
      <c r="AL1382" s="102" t="n"/>
      <c r="AM1382" s="102" t="n"/>
      <c r="AN1382" s="102" t="n"/>
      <c r="AO1382" s="102" t="n"/>
      <c r="AP1382" s="102" t="n"/>
      <c r="AQ1382" s="102" t="n"/>
      <c r="AR1382" s="102" t="n"/>
    </row>
    <row r="1383">
      <c r="D1383" s="160" t="n"/>
      <c r="E1383" s="160" t="n"/>
      <c r="F1383" s="160" t="n"/>
      <c r="G1383" s="160" t="n"/>
      <c r="H1383" s="160" t="n"/>
      <c r="I1383" s="160" t="n"/>
      <c r="J1383" s="160" t="n"/>
      <c r="K1383" s="160" t="n"/>
      <c r="L1383" s="160" t="n"/>
      <c r="M1383" s="160" t="n"/>
      <c r="N1383" s="160" t="n"/>
      <c r="O1383" s="160" t="n"/>
      <c r="P1383" s="160" t="n"/>
      <c r="Q1383" s="160" t="n"/>
      <c r="R1383" s="160" t="n"/>
      <c r="S1383" s="160" t="n"/>
      <c r="T1383" s="160" t="n"/>
      <c r="U1383" s="160" t="n"/>
      <c r="V1383" s="160" t="n"/>
      <c r="W1383" s="160" t="n"/>
      <c r="X1383" s="160" t="n"/>
      <c r="Y1383" s="160" t="n"/>
      <c r="Z1383" s="160" t="n"/>
      <c r="AA1383" s="160" t="n"/>
      <c r="AB1383" s="160" t="n"/>
      <c r="AC1383" s="160" t="n"/>
      <c r="AD1383" s="160" t="n"/>
      <c r="AE1383" s="160" t="n"/>
      <c r="AF1383" s="160" t="n"/>
      <c r="AG1383" s="160" t="n"/>
      <c r="AH1383" s="160" t="n"/>
      <c r="AI1383" s="160" t="n"/>
      <c r="AJ1383" s="160" t="n"/>
      <c r="AK1383" s="160" t="n"/>
      <c r="AL1383" s="160" t="n"/>
      <c r="AM1383" s="160" t="n"/>
      <c r="AN1383" s="160" t="n"/>
      <c r="AO1383" s="160" t="n"/>
      <c r="AP1383" s="160" t="n"/>
      <c r="AQ1383" s="160" t="n"/>
      <c r="AR1383" s="160" t="n"/>
    </row>
    <row r="1386">
      <c r="A1386" s="2">
        <f>IF($A1379="","","   projections")</f>
        <v/>
      </c>
      <c r="B1386" s="158">
        <f>IF($A1379="",0,COUNT($E1387:$AR1387))</f>
        <v/>
      </c>
      <c r="C1386" s="159">
        <f>IF($B1386=0,0,MAX($E1387:$AR1387))</f>
        <v/>
      </c>
      <c r="D1386" s="101">
        <f>BDS($A1379,FLD_PROJ,"headers=y","startcol=1","endcol=3","dir=h")</f>
        <v/>
      </c>
      <c r="E1386" s="102" t="n"/>
      <c r="F1386" s="102" t="n"/>
      <c r="G1386" s="102" t="n"/>
      <c r="H1386" s="102" t="n"/>
      <c r="I1386" s="102" t="n"/>
      <c r="J1386" s="102" t="n"/>
      <c r="K1386" s="102" t="n"/>
      <c r="L1386" s="102" t="n"/>
      <c r="M1386" s="102" t="n"/>
      <c r="N1386" s="102" t="n"/>
      <c r="O1386" s="102" t="n"/>
      <c r="P1386" s="102" t="n"/>
      <c r="Q1386" s="102" t="n"/>
      <c r="R1386" s="102" t="n"/>
      <c r="S1386" s="102" t="n"/>
      <c r="T1386" s="102" t="n"/>
      <c r="U1386" s="102" t="n"/>
      <c r="V1386" s="102" t="n"/>
      <c r="W1386" s="102" t="n"/>
      <c r="X1386" s="102" t="n"/>
      <c r="Y1386" s="102" t="n"/>
      <c r="Z1386" s="102" t="n"/>
      <c r="AA1386" s="102" t="n"/>
      <c r="AB1386" s="102" t="n"/>
      <c r="AC1386" s="102" t="n"/>
      <c r="AD1386" s="102" t="n"/>
      <c r="AE1386" s="102" t="n"/>
      <c r="AF1386" s="102" t="n"/>
      <c r="AG1386" s="102" t="n"/>
      <c r="AH1386" s="102" t="n"/>
      <c r="AI1386" s="102" t="n"/>
      <c r="AJ1386" s="102" t="n"/>
      <c r="AK1386" s="102" t="n"/>
      <c r="AL1386" s="102" t="n"/>
      <c r="AM1386" s="102" t="n"/>
      <c r="AN1386" s="102" t="n"/>
      <c r="AO1386" s="102" t="n"/>
      <c r="AP1386" s="102" t="n"/>
      <c r="AQ1386" s="102" t="n"/>
      <c r="AR1386" s="102" t="n"/>
    </row>
    <row r="1387">
      <c r="D1387" s="102" t="n"/>
      <c r="E1387" s="102" t="n"/>
      <c r="F1387" s="102" t="n"/>
      <c r="G1387" s="102" t="n"/>
      <c r="H1387" s="102" t="n"/>
      <c r="I1387" s="102" t="n"/>
      <c r="J1387" s="102" t="n"/>
      <c r="K1387" s="102" t="n"/>
      <c r="L1387" s="102" t="n"/>
      <c r="M1387" s="102" t="n"/>
      <c r="N1387" s="102" t="n"/>
      <c r="O1387" s="102" t="n"/>
      <c r="P1387" s="102" t="n"/>
      <c r="Q1387" s="102" t="n"/>
      <c r="R1387" s="102" t="n"/>
      <c r="S1387" s="102" t="n"/>
      <c r="T1387" s="102" t="n"/>
      <c r="U1387" s="102" t="n"/>
      <c r="V1387" s="102" t="n"/>
      <c r="W1387" s="102" t="n"/>
      <c r="X1387" s="102" t="n"/>
      <c r="Y1387" s="102" t="n"/>
      <c r="Z1387" s="102" t="n"/>
      <c r="AA1387" s="102" t="n"/>
      <c r="AB1387" s="102" t="n"/>
      <c r="AC1387" s="102" t="n"/>
      <c r="AD1387" s="102" t="n"/>
      <c r="AE1387" s="102" t="n"/>
      <c r="AF1387" s="102" t="n"/>
      <c r="AG1387" s="102" t="n"/>
      <c r="AH1387" s="102" t="n"/>
      <c r="AI1387" s="102" t="n"/>
      <c r="AJ1387" s="102" t="n"/>
      <c r="AK1387" s="102" t="n"/>
      <c r="AL1387" s="102" t="n"/>
      <c r="AM1387" s="102" t="n"/>
      <c r="AN1387" s="102" t="n"/>
      <c r="AO1387" s="102" t="n"/>
      <c r="AP1387" s="102" t="n"/>
      <c r="AQ1387" s="102" t="n"/>
      <c r="AR1387" s="102" t="n"/>
    </row>
    <row r="1388">
      <c r="D1388" s="160" t="n"/>
      <c r="E1388" s="160" t="n"/>
      <c r="F1388" s="160" t="n"/>
      <c r="G1388" s="160" t="n"/>
      <c r="H1388" s="160" t="n"/>
      <c r="I1388" s="160" t="n"/>
      <c r="J1388" s="160" t="n"/>
      <c r="K1388" s="160" t="n"/>
      <c r="L1388" s="160" t="n"/>
      <c r="M1388" s="160" t="n"/>
      <c r="N1388" s="160" t="n"/>
      <c r="O1388" s="160" t="n"/>
      <c r="P1388" s="160" t="n"/>
      <c r="Q1388" s="160" t="n"/>
      <c r="R1388" s="160" t="n"/>
      <c r="S1388" s="160" t="n"/>
      <c r="T1388" s="160" t="n"/>
      <c r="U1388" s="160" t="n"/>
      <c r="V1388" s="160" t="n"/>
      <c r="W1388" s="160" t="n"/>
      <c r="X1388" s="160" t="n"/>
      <c r="Y1388" s="160" t="n"/>
      <c r="Z1388" s="160" t="n"/>
      <c r="AA1388" s="160" t="n"/>
      <c r="AB1388" s="160" t="n"/>
      <c r="AC1388" s="160" t="n"/>
      <c r="AD1388" s="160" t="n"/>
      <c r="AE1388" s="160" t="n"/>
      <c r="AF1388" s="160" t="n"/>
      <c r="AG1388" s="160" t="n"/>
      <c r="AH1388" s="160" t="n"/>
      <c r="AI1388" s="160" t="n"/>
      <c r="AJ1388" s="160" t="n"/>
      <c r="AK1388" s="160" t="n"/>
      <c r="AL1388" s="160" t="n"/>
      <c r="AM1388" s="160" t="n"/>
      <c r="AN1388" s="160" t="n"/>
      <c r="AO1388" s="160" t="n"/>
      <c r="AP1388" s="160" t="n"/>
      <c r="AQ1388" s="160" t="n"/>
      <c r="AR1388" s="160" t="n"/>
    </row>
    <row r="1390">
      <c r="A1390" s="8">
        <f>IF(HSTECH!$C$32="","",HSTECH!$C$32)</f>
        <v/>
      </c>
      <c r="B1390" s="158">
        <f>IF($A1390="",0,COUNT($E1391:$AR1391))</f>
        <v/>
      </c>
      <c r="C1390" s="159">
        <f>IF($B1390=0,0,MAX($E1391:$AR1391))</f>
        <v/>
      </c>
      <c r="D1390" s="101">
        <f>BDS($A1390,FLD_HIST,"headers=y","startcol=1","endcol=7","dir=h","DVD_START_DT",HIST_FROM,"DVD_END_DT",HIST_TO)</f>
        <v/>
      </c>
      <c r="E1390" s="102" t="n"/>
      <c r="F1390" s="102" t="n"/>
      <c r="G1390" s="102" t="n"/>
      <c r="H1390" s="102" t="n"/>
      <c r="I1390" s="102" t="n"/>
      <c r="J1390" s="102" t="n"/>
      <c r="K1390" s="102" t="n"/>
      <c r="L1390" s="102" t="n"/>
      <c r="M1390" s="102" t="n"/>
      <c r="N1390" s="102" t="n"/>
      <c r="O1390" s="102" t="n"/>
      <c r="P1390" s="102" t="n"/>
      <c r="Q1390" s="102" t="n"/>
      <c r="R1390" s="102" t="n"/>
      <c r="S1390" s="102" t="n"/>
      <c r="T1390" s="102" t="n"/>
      <c r="U1390" s="102" t="n"/>
      <c r="V1390" s="102" t="n"/>
      <c r="W1390" s="102" t="n"/>
      <c r="X1390" s="102" t="n"/>
      <c r="Y1390" s="102" t="n"/>
      <c r="Z1390" s="102" t="n"/>
      <c r="AA1390" s="102" t="n"/>
      <c r="AB1390" s="102" t="n"/>
      <c r="AC1390" s="102" t="n"/>
      <c r="AD1390" s="102" t="n"/>
      <c r="AE1390" s="102" t="n"/>
      <c r="AF1390" s="102" t="n"/>
      <c r="AG1390" s="102" t="n"/>
      <c r="AH1390" s="102" t="n"/>
      <c r="AI1390" s="102" t="n"/>
      <c r="AJ1390" s="102" t="n"/>
      <c r="AK1390" s="102" t="n"/>
      <c r="AL1390" s="102" t="n"/>
      <c r="AM1390" s="102" t="n"/>
      <c r="AN1390" s="102" t="n"/>
      <c r="AO1390" s="102" t="n"/>
      <c r="AP1390" s="102" t="n"/>
      <c r="AQ1390" s="102" t="n"/>
      <c r="AR1390" s="102" t="n"/>
    </row>
    <row r="1391">
      <c r="D1391" s="102" t="n"/>
      <c r="E1391" s="102" t="n"/>
      <c r="F1391" s="102" t="n"/>
      <c r="G1391" s="102" t="n"/>
      <c r="H1391" s="102" t="n"/>
      <c r="I1391" s="102" t="n"/>
      <c r="J1391" s="102" t="n"/>
      <c r="K1391" s="102" t="n"/>
      <c r="L1391" s="102" t="n"/>
      <c r="M1391" s="102" t="n"/>
      <c r="N1391" s="102" t="n"/>
      <c r="O1391" s="102" t="n"/>
      <c r="P1391" s="102" t="n"/>
      <c r="Q1391" s="102" t="n"/>
      <c r="R1391" s="102" t="n"/>
      <c r="S1391" s="102" t="n"/>
      <c r="T1391" s="102" t="n"/>
      <c r="U1391" s="102" t="n"/>
      <c r="V1391" s="102" t="n"/>
      <c r="W1391" s="102" t="n"/>
      <c r="X1391" s="102" t="n"/>
      <c r="Y1391" s="102" t="n"/>
      <c r="Z1391" s="102" t="n"/>
      <c r="AA1391" s="102" t="n"/>
      <c r="AB1391" s="102" t="n"/>
      <c r="AC1391" s="102" t="n"/>
      <c r="AD1391" s="102" t="n"/>
      <c r="AE1391" s="102" t="n"/>
      <c r="AF1391" s="102" t="n"/>
      <c r="AG1391" s="102" t="n"/>
      <c r="AH1391" s="102" t="n"/>
      <c r="AI1391" s="102" t="n"/>
      <c r="AJ1391" s="102" t="n"/>
      <c r="AK1391" s="102" t="n"/>
      <c r="AL1391" s="102" t="n"/>
      <c r="AM1391" s="102" t="n"/>
      <c r="AN1391" s="102" t="n"/>
      <c r="AO1391" s="102" t="n"/>
      <c r="AP1391" s="102" t="n"/>
      <c r="AQ1391" s="102" t="n"/>
      <c r="AR1391" s="102" t="n"/>
    </row>
    <row r="1392">
      <c r="D1392" s="102" t="n"/>
      <c r="E1392" s="102" t="n"/>
      <c r="F1392" s="102" t="n"/>
      <c r="G1392" s="102" t="n"/>
      <c r="H1392" s="102" t="n"/>
      <c r="I1392" s="102" t="n"/>
      <c r="J1392" s="102" t="n"/>
      <c r="K1392" s="102" t="n"/>
      <c r="L1392" s="102" t="n"/>
      <c r="M1392" s="102" t="n"/>
      <c r="N1392" s="102" t="n"/>
      <c r="O1392" s="102" t="n"/>
      <c r="P1392" s="102" t="n"/>
      <c r="Q1392" s="102" t="n"/>
      <c r="R1392" s="102" t="n"/>
      <c r="S1392" s="102" t="n"/>
      <c r="T1392" s="102" t="n"/>
      <c r="U1392" s="102" t="n"/>
      <c r="V1392" s="102" t="n"/>
      <c r="W1392" s="102" t="n"/>
      <c r="X1392" s="102" t="n"/>
      <c r="Y1392" s="102" t="n"/>
      <c r="Z1392" s="102" t="n"/>
      <c r="AA1392" s="102" t="n"/>
      <c r="AB1392" s="102" t="n"/>
      <c r="AC1392" s="102" t="n"/>
      <c r="AD1392" s="102" t="n"/>
      <c r="AE1392" s="102" t="n"/>
      <c r="AF1392" s="102" t="n"/>
      <c r="AG1392" s="102" t="n"/>
      <c r="AH1392" s="102" t="n"/>
      <c r="AI1392" s="102" t="n"/>
      <c r="AJ1392" s="102" t="n"/>
      <c r="AK1392" s="102" t="n"/>
      <c r="AL1392" s="102" t="n"/>
      <c r="AM1392" s="102" t="n"/>
      <c r="AN1392" s="102" t="n"/>
      <c r="AO1392" s="102" t="n"/>
      <c r="AP1392" s="102" t="n"/>
      <c r="AQ1392" s="102" t="n"/>
      <c r="AR1392" s="102" t="n"/>
    </row>
    <row r="1393">
      <c r="D1393" s="102" t="n"/>
      <c r="E1393" s="102" t="n"/>
      <c r="F1393" s="102" t="n"/>
      <c r="G1393" s="102" t="n"/>
      <c r="H1393" s="102" t="n"/>
      <c r="I1393" s="102" t="n"/>
      <c r="J1393" s="102" t="n"/>
      <c r="K1393" s="102" t="n"/>
      <c r="L1393" s="102" t="n"/>
      <c r="M1393" s="102" t="n"/>
      <c r="N1393" s="102" t="n"/>
      <c r="O1393" s="102" t="n"/>
      <c r="P1393" s="102" t="n"/>
      <c r="Q1393" s="102" t="n"/>
      <c r="R1393" s="102" t="n"/>
      <c r="S1393" s="102" t="n"/>
      <c r="T1393" s="102" t="n"/>
      <c r="U1393" s="102" t="n"/>
      <c r="V1393" s="102" t="n"/>
      <c r="W1393" s="102" t="n"/>
      <c r="X1393" s="102" t="n"/>
      <c r="Y1393" s="102" t="n"/>
      <c r="Z1393" s="102" t="n"/>
      <c r="AA1393" s="102" t="n"/>
      <c r="AB1393" s="102" t="n"/>
      <c r="AC1393" s="102" t="n"/>
      <c r="AD1393" s="102" t="n"/>
      <c r="AE1393" s="102" t="n"/>
      <c r="AF1393" s="102" t="n"/>
      <c r="AG1393" s="102" t="n"/>
      <c r="AH1393" s="102" t="n"/>
      <c r="AI1393" s="102" t="n"/>
      <c r="AJ1393" s="102" t="n"/>
      <c r="AK1393" s="102" t="n"/>
      <c r="AL1393" s="102" t="n"/>
      <c r="AM1393" s="102" t="n"/>
      <c r="AN1393" s="102" t="n"/>
      <c r="AO1393" s="102" t="n"/>
      <c r="AP1393" s="102" t="n"/>
      <c r="AQ1393" s="102" t="n"/>
      <c r="AR1393" s="102" t="n"/>
    </row>
    <row r="1394">
      <c r="D1394" s="160" t="n"/>
      <c r="E1394" s="160" t="n"/>
      <c r="F1394" s="160" t="n"/>
      <c r="G1394" s="160" t="n"/>
      <c r="H1394" s="160" t="n"/>
      <c r="I1394" s="160" t="n"/>
      <c r="J1394" s="160" t="n"/>
      <c r="K1394" s="160" t="n"/>
      <c r="L1394" s="160" t="n"/>
      <c r="M1394" s="160" t="n"/>
      <c r="N1394" s="160" t="n"/>
      <c r="O1394" s="160" t="n"/>
      <c r="P1394" s="160" t="n"/>
      <c r="Q1394" s="160" t="n"/>
      <c r="R1394" s="160" t="n"/>
      <c r="S1394" s="160" t="n"/>
      <c r="T1394" s="160" t="n"/>
      <c r="U1394" s="160" t="n"/>
      <c r="V1394" s="160" t="n"/>
      <c r="W1394" s="160" t="n"/>
      <c r="X1394" s="160" t="n"/>
      <c r="Y1394" s="160" t="n"/>
      <c r="Z1394" s="160" t="n"/>
      <c r="AA1394" s="160" t="n"/>
      <c r="AB1394" s="160" t="n"/>
      <c r="AC1394" s="160" t="n"/>
      <c r="AD1394" s="160" t="n"/>
      <c r="AE1394" s="160" t="n"/>
      <c r="AF1394" s="160" t="n"/>
      <c r="AG1394" s="160" t="n"/>
      <c r="AH1394" s="160" t="n"/>
      <c r="AI1394" s="160" t="n"/>
      <c r="AJ1394" s="160" t="n"/>
      <c r="AK1394" s="160" t="n"/>
      <c r="AL1394" s="160" t="n"/>
      <c r="AM1394" s="160" t="n"/>
      <c r="AN1394" s="160" t="n"/>
      <c r="AO1394" s="160" t="n"/>
      <c r="AP1394" s="160" t="n"/>
      <c r="AQ1394" s="160" t="n"/>
      <c r="AR1394" s="160" t="n"/>
    </row>
    <row r="1397">
      <c r="A1397" s="2">
        <f>IF($A1390="","","   projections")</f>
        <v/>
      </c>
      <c r="B1397" s="158">
        <f>IF($A1390="",0,COUNT($E1398:$AR1398))</f>
        <v/>
      </c>
      <c r="C1397" s="159">
        <f>IF($B1397=0,0,MAX($E1398:$AR1398))</f>
        <v/>
      </c>
      <c r="D1397" s="101">
        <f>BDS($A1390,FLD_PROJ,"headers=y","startcol=1","endcol=3","dir=h")</f>
        <v/>
      </c>
      <c r="E1397" s="102" t="n"/>
      <c r="F1397" s="102" t="n"/>
      <c r="G1397" s="102" t="n"/>
      <c r="H1397" s="102" t="n"/>
      <c r="I1397" s="102" t="n"/>
      <c r="J1397" s="102" t="n"/>
      <c r="K1397" s="102" t="n"/>
      <c r="L1397" s="102" t="n"/>
      <c r="M1397" s="102" t="n"/>
      <c r="N1397" s="102" t="n"/>
      <c r="O1397" s="102" t="n"/>
      <c r="P1397" s="102" t="n"/>
      <c r="Q1397" s="102" t="n"/>
      <c r="R1397" s="102" t="n"/>
      <c r="S1397" s="102" t="n"/>
      <c r="T1397" s="102" t="n"/>
      <c r="U1397" s="102" t="n"/>
      <c r="V1397" s="102" t="n"/>
      <c r="W1397" s="102" t="n"/>
      <c r="X1397" s="102" t="n"/>
      <c r="Y1397" s="102" t="n"/>
      <c r="Z1397" s="102" t="n"/>
      <c r="AA1397" s="102" t="n"/>
      <c r="AB1397" s="102" t="n"/>
      <c r="AC1397" s="102" t="n"/>
      <c r="AD1397" s="102" t="n"/>
      <c r="AE1397" s="102" t="n"/>
      <c r="AF1397" s="102" t="n"/>
      <c r="AG1397" s="102" t="n"/>
      <c r="AH1397" s="102" t="n"/>
      <c r="AI1397" s="102" t="n"/>
      <c r="AJ1397" s="102" t="n"/>
      <c r="AK1397" s="102" t="n"/>
      <c r="AL1397" s="102" t="n"/>
      <c r="AM1397" s="102" t="n"/>
      <c r="AN1397" s="102" t="n"/>
      <c r="AO1397" s="102" t="n"/>
      <c r="AP1397" s="102" t="n"/>
      <c r="AQ1397" s="102" t="n"/>
      <c r="AR1397" s="102" t="n"/>
    </row>
    <row r="1398">
      <c r="D1398" s="102" t="n"/>
      <c r="E1398" s="102" t="n"/>
      <c r="F1398" s="102" t="n"/>
      <c r="G1398" s="102" t="n"/>
      <c r="H1398" s="102" t="n"/>
      <c r="I1398" s="102" t="n"/>
      <c r="J1398" s="102" t="n"/>
      <c r="K1398" s="102" t="n"/>
      <c r="L1398" s="102" t="n"/>
      <c r="M1398" s="102" t="n"/>
      <c r="N1398" s="102" t="n"/>
      <c r="O1398" s="102" t="n"/>
      <c r="P1398" s="102" t="n"/>
      <c r="Q1398" s="102" t="n"/>
      <c r="R1398" s="102" t="n"/>
      <c r="S1398" s="102" t="n"/>
      <c r="T1398" s="102" t="n"/>
      <c r="U1398" s="102" t="n"/>
      <c r="V1398" s="102" t="n"/>
      <c r="W1398" s="102" t="n"/>
      <c r="X1398" s="102" t="n"/>
      <c r="Y1398" s="102" t="n"/>
      <c r="Z1398" s="102" t="n"/>
      <c r="AA1398" s="102" t="n"/>
      <c r="AB1398" s="102" t="n"/>
      <c r="AC1398" s="102" t="n"/>
      <c r="AD1398" s="102" t="n"/>
      <c r="AE1398" s="102" t="n"/>
      <c r="AF1398" s="102" t="n"/>
      <c r="AG1398" s="102" t="n"/>
      <c r="AH1398" s="102" t="n"/>
      <c r="AI1398" s="102" t="n"/>
      <c r="AJ1398" s="102" t="n"/>
      <c r="AK1398" s="102" t="n"/>
      <c r="AL1398" s="102" t="n"/>
      <c r="AM1398" s="102" t="n"/>
      <c r="AN1398" s="102" t="n"/>
      <c r="AO1398" s="102" t="n"/>
      <c r="AP1398" s="102" t="n"/>
      <c r="AQ1398" s="102" t="n"/>
      <c r="AR1398" s="102" t="n"/>
    </row>
    <row r="1399">
      <c r="D1399" s="160" t="n"/>
      <c r="E1399" s="160" t="n"/>
      <c r="F1399" s="160" t="n"/>
      <c r="G1399" s="160" t="n"/>
      <c r="H1399" s="160" t="n"/>
      <c r="I1399" s="160" t="n"/>
      <c r="J1399" s="160" t="n"/>
      <c r="K1399" s="160" t="n"/>
      <c r="L1399" s="160" t="n"/>
      <c r="M1399" s="160" t="n"/>
      <c r="N1399" s="160" t="n"/>
      <c r="O1399" s="160" t="n"/>
      <c r="P1399" s="160" t="n"/>
      <c r="Q1399" s="160" t="n"/>
      <c r="R1399" s="160" t="n"/>
      <c r="S1399" s="160" t="n"/>
      <c r="T1399" s="160" t="n"/>
      <c r="U1399" s="160" t="n"/>
      <c r="V1399" s="160" t="n"/>
      <c r="W1399" s="160" t="n"/>
      <c r="X1399" s="160" t="n"/>
      <c r="Y1399" s="160" t="n"/>
      <c r="Z1399" s="160" t="n"/>
      <c r="AA1399" s="160" t="n"/>
      <c r="AB1399" s="160" t="n"/>
      <c r="AC1399" s="160" t="n"/>
      <c r="AD1399" s="160" t="n"/>
      <c r="AE1399" s="160" t="n"/>
      <c r="AF1399" s="160" t="n"/>
      <c r="AG1399" s="160" t="n"/>
      <c r="AH1399" s="160" t="n"/>
      <c r="AI1399" s="160" t="n"/>
      <c r="AJ1399" s="160" t="n"/>
      <c r="AK1399" s="160" t="n"/>
      <c r="AL1399" s="160" t="n"/>
      <c r="AM1399" s="160" t="n"/>
      <c r="AN1399" s="160" t="n"/>
      <c r="AO1399" s="160" t="n"/>
      <c r="AP1399" s="160" t="n"/>
      <c r="AQ1399" s="160" t="n"/>
      <c r="AR1399" s="160" t="n"/>
    </row>
    <row r="1401">
      <c r="A1401" s="8">
        <f>IF(HSTECH!$C$33="","",HSTECH!$C$33)</f>
        <v/>
      </c>
      <c r="B1401" s="158">
        <f>IF($A1401="",0,COUNT($E1402:$AR1402))</f>
        <v/>
      </c>
      <c r="C1401" s="159">
        <f>IF($B1401=0,0,MAX($E1402:$AR1402))</f>
        <v/>
      </c>
      <c r="D1401" s="101">
        <f>BDS($A1401,FLD_HIST,"headers=y","startcol=1","endcol=7","dir=h","DVD_START_DT",HIST_FROM,"DVD_END_DT",HIST_TO)</f>
        <v/>
      </c>
      <c r="E1401" s="102" t="n"/>
      <c r="F1401" s="102" t="n"/>
      <c r="G1401" s="102" t="n"/>
      <c r="H1401" s="102" t="n"/>
      <c r="I1401" s="102" t="n"/>
      <c r="J1401" s="102" t="n"/>
      <c r="K1401" s="102" t="n"/>
      <c r="L1401" s="102" t="n"/>
      <c r="M1401" s="102" t="n"/>
      <c r="N1401" s="102" t="n"/>
      <c r="O1401" s="102" t="n"/>
      <c r="P1401" s="102" t="n"/>
      <c r="Q1401" s="102" t="n"/>
      <c r="R1401" s="102" t="n"/>
      <c r="S1401" s="102" t="n"/>
      <c r="T1401" s="102" t="n"/>
      <c r="U1401" s="102" t="n"/>
      <c r="V1401" s="102" t="n"/>
      <c r="W1401" s="102" t="n"/>
      <c r="X1401" s="102" t="n"/>
      <c r="Y1401" s="102" t="n"/>
      <c r="Z1401" s="102" t="n"/>
      <c r="AA1401" s="102" t="n"/>
      <c r="AB1401" s="102" t="n"/>
      <c r="AC1401" s="102" t="n"/>
      <c r="AD1401" s="102" t="n"/>
      <c r="AE1401" s="102" t="n"/>
      <c r="AF1401" s="102" t="n"/>
      <c r="AG1401" s="102" t="n"/>
      <c r="AH1401" s="102" t="n"/>
      <c r="AI1401" s="102" t="n"/>
      <c r="AJ1401" s="102" t="n"/>
      <c r="AK1401" s="102" t="n"/>
      <c r="AL1401" s="102" t="n"/>
      <c r="AM1401" s="102" t="n"/>
      <c r="AN1401" s="102" t="n"/>
      <c r="AO1401" s="102" t="n"/>
      <c r="AP1401" s="102" t="n"/>
      <c r="AQ1401" s="102" t="n"/>
      <c r="AR1401" s="102" t="n"/>
    </row>
    <row r="1402">
      <c r="D1402" s="102" t="n"/>
      <c r="E1402" s="102" t="n"/>
      <c r="F1402" s="102" t="n"/>
      <c r="G1402" s="102" t="n"/>
      <c r="H1402" s="102" t="n"/>
      <c r="I1402" s="102" t="n"/>
      <c r="J1402" s="102" t="n"/>
      <c r="K1402" s="102" t="n"/>
      <c r="L1402" s="102" t="n"/>
      <c r="M1402" s="102" t="n"/>
      <c r="N1402" s="102" t="n"/>
      <c r="O1402" s="102" t="n"/>
      <c r="P1402" s="102" t="n"/>
      <c r="Q1402" s="102" t="n"/>
      <c r="R1402" s="102" t="n"/>
      <c r="S1402" s="102" t="n"/>
      <c r="T1402" s="102" t="n"/>
      <c r="U1402" s="102" t="n"/>
      <c r="V1402" s="102" t="n"/>
      <c r="W1402" s="102" t="n"/>
      <c r="X1402" s="102" t="n"/>
      <c r="Y1402" s="102" t="n"/>
      <c r="Z1402" s="102" t="n"/>
      <c r="AA1402" s="102" t="n"/>
      <c r="AB1402" s="102" t="n"/>
      <c r="AC1402" s="102" t="n"/>
      <c r="AD1402" s="102" t="n"/>
      <c r="AE1402" s="102" t="n"/>
      <c r="AF1402" s="102" t="n"/>
      <c r="AG1402" s="102" t="n"/>
      <c r="AH1402" s="102" t="n"/>
      <c r="AI1402" s="102" t="n"/>
      <c r="AJ1402" s="102" t="n"/>
      <c r="AK1402" s="102" t="n"/>
      <c r="AL1402" s="102" t="n"/>
      <c r="AM1402" s="102" t="n"/>
      <c r="AN1402" s="102" t="n"/>
      <c r="AO1402" s="102" t="n"/>
      <c r="AP1402" s="102" t="n"/>
      <c r="AQ1402" s="102" t="n"/>
      <c r="AR1402" s="102" t="n"/>
    </row>
    <row r="1403">
      <c r="D1403" s="102" t="n"/>
      <c r="E1403" s="102" t="n"/>
      <c r="F1403" s="102" t="n"/>
      <c r="G1403" s="102" t="n"/>
      <c r="H1403" s="102" t="n"/>
      <c r="I1403" s="102" t="n"/>
      <c r="J1403" s="102" t="n"/>
      <c r="K1403" s="102" t="n"/>
      <c r="L1403" s="102" t="n"/>
      <c r="M1403" s="102" t="n"/>
      <c r="N1403" s="102" t="n"/>
      <c r="O1403" s="102" t="n"/>
      <c r="P1403" s="102" t="n"/>
      <c r="Q1403" s="102" t="n"/>
      <c r="R1403" s="102" t="n"/>
      <c r="S1403" s="102" t="n"/>
      <c r="T1403" s="102" t="n"/>
      <c r="U1403" s="102" t="n"/>
      <c r="V1403" s="102" t="n"/>
      <c r="W1403" s="102" t="n"/>
      <c r="X1403" s="102" t="n"/>
      <c r="Y1403" s="102" t="n"/>
      <c r="Z1403" s="102" t="n"/>
      <c r="AA1403" s="102" t="n"/>
      <c r="AB1403" s="102" t="n"/>
      <c r="AC1403" s="102" t="n"/>
      <c r="AD1403" s="102" t="n"/>
      <c r="AE1403" s="102" t="n"/>
      <c r="AF1403" s="102" t="n"/>
      <c r="AG1403" s="102" t="n"/>
      <c r="AH1403" s="102" t="n"/>
      <c r="AI1403" s="102" t="n"/>
      <c r="AJ1403" s="102" t="n"/>
      <c r="AK1403" s="102" t="n"/>
      <c r="AL1403" s="102" t="n"/>
      <c r="AM1403" s="102" t="n"/>
      <c r="AN1403" s="102" t="n"/>
      <c r="AO1403" s="102" t="n"/>
      <c r="AP1403" s="102" t="n"/>
      <c r="AQ1403" s="102" t="n"/>
      <c r="AR1403" s="102" t="n"/>
    </row>
    <row r="1404">
      <c r="D1404" s="102" t="n"/>
      <c r="E1404" s="102" t="n"/>
      <c r="F1404" s="102" t="n"/>
      <c r="G1404" s="102" t="n"/>
      <c r="H1404" s="102" t="n"/>
      <c r="I1404" s="102" t="n"/>
      <c r="J1404" s="102" t="n"/>
      <c r="K1404" s="102" t="n"/>
      <c r="L1404" s="102" t="n"/>
      <c r="M1404" s="102" t="n"/>
      <c r="N1404" s="102" t="n"/>
      <c r="O1404" s="102" t="n"/>
      <c r="P1404" s="102" t="n"/>
      <c r="Q1404" s="102" t="n"/>
      <c r="R1404" s="102" t="n"/>
      <c r="S1404" s="102" t="n"/>
      <c r="T1404" s="102" t="n"/>
      <c r="U1404" s="102" t="n"/>
      <c r="V1404" s="102" t="n"/>
      <c r="W1404" s="102" t="n"/>
      <c r="X1404" s="102" t="n"/>
      <c r="Y1404" s="102" t="n"/>
      <c r="Z1404" s="102" t="n"/>
      <c r="AA1404" s="102" t="n"/>
      <c r="AB1404" s="102" t="n"/>
      <c r="AC1404" s="102" t="n"/>
      <c r="AD1404" s="102" t="n"/>
      <c r="AE1404" s="102" t="n"/>
      <c r="AF1404" s="102" t="n"/>
      <c r="AG1404" s="102" t="n"/>
      <c r="AH1404" s="102" t="n"/>
      <c r="AI1404" s="102" t="n"/>
      <c r="AJ1404" s="102" t="n"/>
      <c r="AK1404" s="102" t="n"/>
      <c r="AL1404" s="102" t="n"/>
      <c r="AM1404" s="102" t="n"/>
      <c r="AN1404" s="102" t="n"/>
      <c r="AO1404" s="102" t="n"/>
      <c r="AP1404" s="102" t="n"/>
      <c r="AQ1404" s="102" t="n"/>
      <c r="AR1404" s="102" t="n"/>
    </row>
    <row r="1405">
      <c r="D1405" s="160" t="n"/>
      <c r="E1405" s="160" t="n"/>
      <c r="F1405" s="160" t="n"/>
      <c r="G1405" s="160" t="n"/>
      <c r="H1405" s="160" t="n"/>
      <c r="I1405" s="160" t="n"/>
      <c r="J1405" s="160" t="n"/>
      <c r="K1405" s="160" t="n"/>
      <c r="L1405" s="160" t="n"/>
      <c r="M1405" s="160" t="n"/>
      <c r="N1405" s="160" t="n"/>
      <c r="O1405" s="160" t="n"/>
      <c r="P1405" s="160" t="n"/>
      <c r="Q1405" s="160" t="n"/>
      <c r="R1405" s="160" t="n"/>
      <c r="S1405" s="160" t="n"/>
      <c r="T1405" s="160" t="n"/>
      <c r="U1405" s="160" t="n"/>
      <c r="V1405" s="160" t="n"/>
      <c r="W1405" s="160" t="n"/>
      <c r="X1405" s="160" t="n"/>
      <c r="Y1405" s="160" t="n"/>
      <c r="Z1405" s="160" t="n"/>
      <c r="AA1405" s="160" t="n"/>
      <c r="AB1405" s="160" t="n"/>
      <c r="AC1405" s="160" t="n"/>
      <c r="AD1405" s="160" t="n"/>
      <c r="AE1405" s="160" t="n"/>
      <c r="AF1405" s="160" t="n"/>
      <c r="AG1405" s="160" t="n"/>
      <c r="AH1405" s="160" t="n"/>
      <c r="AI1405" s="160" t="n"/>
      <c r="AJ1405" s="160" t="n"/>
      <c r="AK1405" s="160" t="n"/>
      <c r="AL1405" s="160" t="n"/>
      <c r="AM1405" s="160" t="n"/>
      <c r="AN1405" s="160" t="n"/>
      <c r="AO1405" s="160" t="n"/>
      <c r="AP1405" s="160" t="n"/>
      <c r="AQ1405" s="160" t="n"/>
      <c r="AR1405" s="160" t="n"/>
    </row>
    <row r="1408">
      <c r="A1408" s="2">
        <f>IF($A1401="","","   projections")</f>
        <v/>
      </c>
      <c r="B1408" s="158">
        <f>IF($A1401="",0,COUNT($E1409:$AR1409))</f>
        <v/>
      </c>
      <c r="C1408" s="159">
        <f>IF($B1408=0,0,MAX($E1409:$AR1409))</f>
        <v/>
      </c>
      <c r="D1408" s="101">
        <f>BDS($A1401,FLD_PROJ,"headers=y","startcol=1","endcol=3","dir=h")</f>
        <v/>
      </c>
      <c r="E1408" s="102" t="n"/>
      <c r="F1408" s="102" t="n"/>
      <c r="G1408" s="102" t="n"/>
      <c r="H1408" s="102" t="n"/>
      <c r="I1408" s="102" t="n"/>
      <c r="J1408" s="102" t="n"/>
      <c r="K1408" s="102" t="n"/>
      <c r="L1408" s="102" t="n"/>
      <c r="M1408" s="102" t="n"/>
      <c r="N1408" s="102" t="n"/>
      <c r="O1408" s="102" t="n"/>
      <c r="P1408" s="102" t="n"/>
      <c r="Q1408" s="102" t="n"/>
      <c r="R1408" s="102" t="n"/>
      <c r="S1408" s="102" t="n"/>
      <c r="T1408" s="102" t="n"/>
      <c r="U1408" s="102" t="n"/>
      <c r="V1408" s="102" t="n"/>
      <c r="W1408" s="102" t="n"/>
      <c r="X1408" s="102" t="n"/>
      <c r="Y1408" s="102" t="n"/>
      <c r="Z1408" s="102" t="n"/>
      <c r="AA1408" s="102" t="n"/>
      <c r="AB1408" s="102" t="n"/>
      <c r="AC1408" s="102" t="n"/>
      <c r="AD1408" s="102" t="n"/>
      <c r="AE1408" s="102" t="n"/>
      <c r="AF1408" s="102" t="n"/>
      <c r="AG1408" s="102" t="n"/>
      <c r="AH1408" s="102" t="n"/>
      <c r="AI1408" s="102" t="n"/>
      <c r="AJ1408" s="102" t="n"/>
      <c r="AK1408" s="102" t="n"/>
      <c r="AL1408" s="102" t="n"/>
      <c r="AM1408" s="102" t="n"/>
      <c r="AN1408" s="102" t="n"/>
      <c r="AO1408" s="102" t="n"/>
      <c r="AP1408" s="102" t="n"/>
      <c r="AQ1408" s="102" t="n"/>
      <c r="AR1408" s="102" t="n"/>
    </row>
    <row r="1409">
      <c r="D1409" s="102" t="n"/>
      <c r="E1409" s="102" t="n"/>
      <c r="F1409" s="102" t="n"/>
      <c r="G1409" s="102" t="n"/>
      <c r="H1409" s="102" t="n"/>
      <c r="I1409" s="102" t="n"/>
      <c r="J1409" s="102" t="n"/>
      <c r="K1409" s="102" t="n"/>
      <c r="L1409" s="102" t="n"/>
      <c r="M1409" s="102" t="n"/>
      <c r="N1409" s="102" t="n"/>
      <c r="O1409" s="102" t="n"/>
      <c r="P1409" s="102" t="n"/>
      <c r="Q1409" s="102" t="n"/>
      <c r="R1409" s="102" t="n"/>
      <c r="S1409" s="102" t="n"/>
      <c r="T1409" s="102" t="n"/>
      <c r="U1409" s="102" t="n"/>
      <c r="V1409" s="102" t="n"/>
      <c r="W1409" s="102" t="n"/>
      <c r="X1409" s="102" t="n"/>
      <c r="Y1409" s="102" t="n"/>
      <c r="Z1409" s="102" t="n"/>
      <c r="AA1409" s="102" t="n"/>
      <c r="AB1409" s="102" t="n"/>
      <c r="AC1409" s="102" t="n"/>
      <c r="AD1409" s="102" t="n"/>
      <c r="AE1409" s="102" t="n"/>
      <c r="AF1409" s="102" t="n"/>
      <c r="AG1409" s="102" t="n"/>
      <c r="AH1409" s="102" t="n"/>
      <c r="AI1409" s="102" t="n"/>
      <c r="AJ1409" s="102" t="n"/>
      <c r="AK1409" s="102" t="n"/>
      <c r="AL1409" s="102" t="n"/>
      <c r="AM1409" s="102" t="n"/>
      <c r="AN1409" s="102" t="n"/>
      <c r="AO1409" s="102" t="n"/>
      <c r="AP1409" s="102" t="n"/>
      <c r="AQ1409" s="102" t="n"/>
      <c r="AR1409" s="102" t="n"/>
    </row>
    <row r="1410">
      <c r="D1410" s="160" t="n"/>
      <c r="E1410" s="160" t="n"/>
      <c r="F1410" s="160" t="n"/>
      <c r="G1410" s="160" t="n"/>
      <c r="H1410" s="160" t="n"/>
      <c r="I1410" s="160" t="n"/>
      <c r="J1410" s="160" t="n"/>
      <c r="K1410" s="160" t="n"/>
      <c r="L1410" s="160" t="n"/>
      <c r="M1410" s="160" t="n"/>
      <c r="N1410" s="160" t="n"/>
      <c r="O1410" s="160" t="n"/>
      <c r="P1410" s="160" t="n"/>
      <c r="Q1410" s="160" t="n"/>
      <c r="R1410" s="160" t="n"/>
      <c r="S1410" s="160" t="n"/>
      <c r="T1410" s="160" t="n"/>
      <c r="U1410" s="160" t="n"/>
      <c r="V1410" s="160" t="n"/>
      <c r="W1410" s="160" t="n"/>
      <c r="X1410" s="160" t="n"/>
      <c r="Y1410" s="160" t="n"/>
      <c r="Z1410" s="160" t="n"/>
      <c r="AA1410" s="160" t="n"/>
      <c r="AB1410" s="160" t="n"/>
      <c r="AC1410" s="160" t="n"/>
      <c r="AD1410" s="160" t="n"/>
      <c r="AE1410" s="160" t="n"/>
      <c r="AF1410" s="160" t="n"/>
      <c r="AG1410" s="160" t="n"/>
      <c r="AH1410" s="160" t="n"/>
      <c r="AI1410" s="160" t="n"/>
      <c r="AJ1410" s="160" t="n"/>
      <c r="AK1410" s="160" t="n"/>
      <c r="AL1410" s="160" t="n"/>
      <c r="AM1410" s="160" t="n"/>
      <c r="AN1410" s="160" t="n"/>
      <c r="AO1410" s="160" t="n"/>
      <c r="AP1410" s="160" t="n"/>
      <c r="AQ1410" s="160" t="n"/>
      <c r="AR1410" s="160" t="n"/>
    </row>
    <row r="1412">
      <c r="A1412" s="8">
        <f>IF(HSTECH!$C$34="","",HSTECH!$C$34)</f>
        <v/>
      </c>
      <c r="B1412" s="158">
        <f>IF($A1412="",0,COUNT($E1413:$AR1413))</f>
        <v/>
      </c>
      <c r="C1412" s="159">
        <f>IF($B1412=0,0,MAX($E1413:$AR1413))</f>
        <v/>
      </c>
      <c r="D1412" s="101">
        <f>BDS($A1412,FLD_HIST,"headers=y","startcol=1","endcol=7","dir=h","DVD_START_DT",HIST_FROM,"DVD_END_DT",HIST_TO)</f>
        <v/>
      </c>
      <c r="E1412" s="102" t="n"/>
      <c r="F1412" s="102" t="n"/>
      <c r="G1412" s="102" t="n"/>
      <c r="H1412" s="102" t="n"/>
      <c r="I1412" s="102" t="n"/>
      <c r="J1412" s="102" t="n"/>
      <c r="K1412" s="102" t="n"/>
      <c r="L1412" s="102" t="n"/>
      <c r="M1412" s="102" t="n"/>
      <c r="N1412" s="102" t="n"/>
      <c r="O1412" s="102" t="n"/>
      <c r="P1412" s="102" t="n"/>
      <c r="Q1412" s="102" t="n"/>
      <c r="R1412" s="102" t="n"/>
      <c r="S1412" s="102" t="n"/>
      <c r="T1412" s="102" t="n"/>
      <c r="U1412" s="102" t="n"/>
      <c r="V1412" s="102" t="n"/>
      <c r="W1412" s="102" t="n"/>
      <c r="X1412" s="102" t="n"/>
      <c r="Y1412" s="102" t="n"/>
      <c r="Z1412" s="102" t="n"/>
      <c r="AA1412" s="102" t="n"/>
      <c r="AB1412" s="102" t="n"/>
      <c r="AC1412" s="102" t="n"/>
      <c r="AD1412" s="102" t="n"/>
      <c r="AE1412" s="102" t="n"/>
      <c r="AF1412" s="102" t="n"/>
      <c r="AG1412" s="102" t="n"/>
      <c r="AH1412" s="102" t="n"/>
      <c r="AI1412" s="102" t="n"/>
      <c r="AJ1412" s="102" t="n"/>
      <c r="AK1412" s="102" t="n"/>
      <c r="AL1412" s="102" t="n"/>
      <c r="AM1412" s="102" t="n"/>
      <c r="AN1412" s="102" t="n"/>
      <c r="AO1412" s="102" t="n"/>
      <c r="AP1412" s="102" t="n"/>
      <c r="AQ1412" s="102" t="n"/>
      <c r="AR1412" s="102" t="n"/>
    </row>
    <row r="1413">
      <c r="D1413" s="102" t="n"/>
      <c r="E1413" s="102" t="n"/>
      <c r="F1413" s="102" t="n"/>
      <c r="G1413" s="102" t="n"/>
      <c r="H1413" s="102" t="n"/>
      <c r="I1413" s="102" t="n"/>
      <c r="J1413" s="102" t="n"/>
      <c r="K1413" s="102" t="n"/>
      <c r="L1413" s="102" t="n"/>
      <c r="M1413" s="102" t="n"/>
      <c r="N1413" s="102" t="n"/>
      <c r="O1413" s="102" t="n"/>
      <c r="P1413" s="102" t="n"/>
      <c r="Q1413" s="102" t="n"/>
      <c r="R1413" s="102" t="n"/>
      <c r="S1413" s="102" t="n"/>
      <c r="T1413" s="102" t="n"/>
      <c r="U1413" s="102" t="n"/>
      <c r="V1413" s="102" t="n"/>
      <c r="W1413" s="102" t="n"/>
      <c r="X1413" s="102" t="n"/>
      <c r="Y1413" s="102" t="n"/>
      <c r="Z1413" s="102" t="n"/>
      <c r="AA1413" s="102" t="n"/>
      <c r="AB1413" s="102" t="n"/>
      <c r="AC1413" s="102" t="n"/>
      <c r="AD1413" s="102" t="n"/>
      <c r="AE1413" s="102" t="n"/>
      <c r="AF1413" s="102" t="n"/>
      <c r="AG1413" s="102" t="n"/>
      <c r="AH1413" s="102" t="n"/>
      <c r="AI1413" s="102" t="n"/>
      <c r="AJ1413" s="102" t="n"/>
      <c r="AK1413" s="102" t="n"/>
      <c r="AL1413" s="102" t="n"/>
      <c r="AM1413" s="102" t="n"/>
      <c r="AN1413" s="102" t="n"/>
      <c r="AO1413" s="102" t="n"/>
      <c r="AP1413" s="102" t="n"/>
      <c r="AQ1413" s="102" t="n"/>
      <c r="AR1413" s="102" t="n"/>
    </row>
    <row r="1414">
      <c r="D1414" s="102" t="n"/>
      <c r="E1414" s="102" t="n"/>
      <c r="F1414" s="102" t="n"/>
      <c r="G1414" s="102" t="n"/>
      <c r="H1414" s="102" t="n"/>
      <c r="I1414" s="102" t="n"/>
      <c r="J1414" s="102" t="n"/>
      <c r="K1414" s="102" t="n"/>
      <c r="L1414" s="102" t="n"/>
      <c r="M1414" s="102" t="n"/>
      <c r="N1414" s="102" t="n"/>
      <c r="O1414" s="102" t="n"/>
      <c r="P1414" s="102" t="n"/>
      <c r="Q1414" s="102" t="n"/>
      <c r="R1414" s="102" t="n"/>
      <c r="S1414" s="102" t="n"/>
      <c r="T1414" s="102" t="n"/>
      <c r="U1414" s="102" t="n"/>
      <c r="V1414" s="102" t="n"/>
      <c r="W1414" s="102" t="n"/>
      <c r="X1414" s="102" t="n"/>
      <c r="Y1414" s="102" t="n"/>
      <c r="Z1414" s="102" t="n"/>
      <c r="AA1414" s="102" t="n"/>
      <c r="AB1414" s="102" t="n"/>
      <c r="AC1414" s="102" t="n"/>
      <c r="AD1414" s="102" t="n"/>
      <c r="AE1414" s="102" t="n"/>
      <c r="AF1414" s="102" t="n"/>
      <c r="AG1414" s="102" t="n"/>
      <c r="AH1414" s="102" t="n"/>
      <c r="AI1414" s="102" t="n"/>
      <c r="AJ1414" s="102" t="n"/>
      <c r="AK1414" s="102" t="n"/>
      <c r="AL1414" s="102" t="n"/>
      <c r="AM1414" s="102" t="n"/>
      <c r="AN1414" s="102" t="n"/>
      <c r="AO1414" s="102" t="n"/>
      <c r="AP1414" s="102" t="n"/>
      <c r="AQ1414" s="102" t="n"/>
      <c r="AR1414" s="102" t="n"/>
    </row>
    <row r="1415">
      <c r="D1415" s="102" t="n"/>
      <c r="E1415" s="102" t="n"/>
      <c r="F1415" s="102" t="n"/>
      <c r="G1415" s="102" t="n"/>
      <c r="H1415" s="102" t="n"/>
      <c r="I1415" s="102" t="n"/>
      <c r="J1415" s="102" t="n"/>
      <c r="K1415" s="102" t="n"/>
      <c r="L1415" s="102" t="n"/>
      <c r="M1415" s="102" t="n"/>
      <c r="N1415" s="102" t="n"/>
      <c r="O1415" s="102" t="n"/>
      <c r="P1415" s="102" t="n"/>
      <c r="Q1415" s="102" t="n"/>
      <c r="R1415" s="102" t="n"/>
      <c r="S1415" s="102" t="n"/>
      <c r="T1415" s="102" t="n"/>
      <c r="U1415" s="102" t="n"/>
      <c r="V1415" s="102" t="n"/>
      <c r="W1415" s="102" t="n"/>
      <c r="X1415" s="102" t="n"/>
      <c r="Y1415" s="102" t="n"/>
      <c r="Z1415" s="102" t="n"/>
      <c r="AA1415" s="102" t="n"/>
      <c r="AB1415" s="102" t="n"/>
      <c r="AC1415" s="102" t="n"/>
      <c r="AD1415" s="102" t="n"/>
      <c r="AE1415" s="102" t="n"/>
      <c r="AF1415" s="102" t="n"/>
      <c r="AG1415" s="102" t="n"/>
      <c r="AH1415" s="102" t="n"/>
      <c r="AI1415" s="102" t="n"/>
      <c r="AJ1415" s="102" t="n"/>
      <c r="AK1415" s="102" t="n"/>
      <c r="AL1415" s="102" t="n"/>
      <c r="AM1415" s="102" t="n"/>
      <c r="AN1415" s="102" t="n"/>
      <c r="AO1415" s="102" t="n"/>
      <c r="AP1415" s="102" t="n"/>
      <c r="AQ1415" s="102" t="n"/>
      <c r="AR1415" s="102" t="n"/>
    </row>
    <row r="1416">
      <c r="D1416" s="160" t="n"/>
      <c r="E1416" s="160" t="n"/>
      <c r="F1416" s="160" t="n"/>
      <c r="G1416" s="160" t="n"/>
      <c r="H1416" s="160" t="n"/>
      <c r="I1416" s="160" t="n"/>
      <c r="J1416" s="160" t="n"/>
      <c r="K1416" s="160" t="n"/>
      <c r="L1416" s="160" t="n"/>
      <c r="M1416" s="160" t="n"/>
      <c r="N1416" s="160" t="n"/>
      <c r="O1416" s="160" t="n"/>
      <c r="P1416" s="160" t="n"/>
      <c r="Q1416" s="160" t="n"/>
      <c r="R1416" s="160" t="n"/>
      <c r="S1416" s="160" t="n"/>
      <c r="T1416" s="160" t="n"/>
      <c r="U1416" s="160" t="n"/>
      <c r="V1416" s="160" t="n"/>
      <c r="W1416" s="160" t="n"/>
      <c r="X1416" s="160" t="n"/>
      <c r="Y1416" s="160" t="n"/>
      <c r="Z1416" s="160" t="n"/>
      <c r="AA1416" s="160" t="n"/>
      <c r="AB1416" s="160" t="n"/>
      <c r="AC1416" s="160" t="n"/>
      <c r="AD1416" s="160" t="n"/>
      <c r="AE1416" s="160" t="n"/>
      <c r="AF1416" s="160" t="n"/>
      <c r="AG1416" s="160" t="n"/>
      <c r="AH1416" s="160" t="n"/>
      <c r="AI1416" s="160" t="n"/>
      <c r="AJ1416" s="160" t="n"/>
      <c r="AK1416" s="160" t="n"/>
      <c r="AL1416" s="160" t="n"/>
      <c r="AM1416" s="160" t="n"/>
      <c r="AN1416" s="160" t="n"/>
      <c r="AO1416" s="160" t="n"/>
      <c r="AP1416" s="160" t="n"/>
      <c r="AQ1416" s="160" t="n"/>
      <c r="AR1416" s="160" t="n"/>
    </row>
    <row r="1419">
      <c r="A1419" s="2">
        <f>IF($A1412="","","   projections")</f>
        <v/>
      </c>
      <c r="B1419" s="158">
        <f>IF($A1412="",0,COUNT($E1420:$AR1420))</f>
        <v/>
      </c>
      <c r="C1419" s="159">
        <f>IF($B1419=0,0,MAX($E1420:$AR1420))</f>
        <v/>
      </c>
      <c r="D1419" s="101">
        <f>BDS($A1412,FLD_PROJ,"headers=y","startcol=1","endcol=3","dir=h")</f>
        <v/>
      </c>
      <c r="E1419" s="102" t="n"/>
      <c r="F1419" s="102" t="n"/>
      <c r="G1419" s="102" t="n"/>
      <c r="H1419" s="102" t="n"/>
      <c r="I1419" s="102" t="n"/>
      <c r="J1419" s="102" t="n"/>
      <c r="K1419" s="102" t="n"/>
      <c r="L1419" s="102" t="n"/>
      <c r="M1419" s="102" t="n"/>
      <c r="N1419" s="102" t="n"/>
      <c r="O1419" s="102" t="n"/>
      <c r="P1419" s="102" t="n"/>
      <c r="Q1419" s="102" t="n"/>
      <c r="R1419" s="102" t="n"/>
      <c r="S1419" s="102" t="n"/>
      <c r="T1419" s="102" t="n"/>
      <c r="U1419" s="102" t="n"/>
      <c r="V1419" s="102" t="n"/>
      <c r="W1419" s="102" t="n"/>
      <c r="X1419" s="102" t="n"/>
      <c r="Y1419" s="102" t="n"/>
      <c r="Z1419" s="102" t="n"/>
      <c r="AA1419" s="102" t="n"/>
      <c r="AB1419" s="102" t="n"/>
      <c r="AC1419" s="102" t="n"/>
      <c r="AD1419" s="102" t="n"/>
      <c r="AE1419" s="102" t="n"/>
      <c r="AF1419" s="102" t="n"/>
      <c r="AG1419" s="102" t="n"/>
      <c r="AH1419" s="102" t="n"/>
      <c r="AI1419" s="102" t="n"/>
      <c r="AJ1419" s="102" t="n"/>
      <c r="AK1419" s="102" t="n"/>
      <c r="AL1419" s="102" t="n"/>
      <c r="AM1419" s="102" t="n"/>
      <c r="AN1419" s="102" t="n"/>
      <c r="AO1419" s="102" t="n"/>
      <c r="AP1419" s="102" t="n"/>
      <c r="AQ1419" s="102" t="n"/>
      <c r="AR1419" s="102" t="n"/>
    </row>
    <row r="1420">
      <c r="D1420" s="102" t="n"/>
      <c r="E1420" s="102" t="n"/>
      <c r="F1420" s="102" t="n"/>
      <c r="G1420" s="102" t="n"/>
      <c r="H1420" s="102" t="n"/>
      <c r="I1420" s="102" t="n"/>
      <c r="J1420" s="102" t="n"/>
      <c r="K1420" s="102" t="n"/>
      <c r="L1420" s="102" t="n"/>
      <c r="M1420" s="102" t="n"/>
      <c r="N1420" s="102" t="n"/>
      <c r="O1420" s="102" t="n"/>
      <c r="P1420" s="102" t="n"/>
      <c r="Q1420" s="102" t="n"/>
      <c r="R1420" s="102" t="n"/>
      <c r="S1420" s="102" t="n"/>
      <c r="T1420" s="102" t="n"/>
      <c r="U1420" s="102" t="n"/>
      <c r="V1420" s="102" t="n"/>
      <c r="W1420" s="102" t="n"/>
      <c r="X1420" s="102" t="n"/>
      <c r="Y1420" s="102" t="n"/>
      <c r="Z1420" s="102" t="n"/>
      <c r="AA1420" s="102" t="n"/>
      <c r="AB1420" s="102" t="n"/>
      <c r="AC1420" s="102" t="n"/>
      <c r="AD1420" s="102" t="n"/>
      <c r="AE1420" s="102" t="n"/>
      <c r="AF1420" s="102" t="n"/>
      <c r="AG1420" s="102" t="n"/>
      <c r="AH1420" s="102" t="n"/>
      <c r="AI1420" s="102" t="n"/>
      <c r="AJ1420" s="102" t="n"/>
      <c r="AK1420" s="102" t="n"/>
      <c r="AL1420" s="102" t="n"/>
      <c r="AM1420" s="102" t="n"/>
      <c r="AN1420" s="102" t="n"/>
      <c r="AO1420" s="102" t="n"/>
      <c r="AP1420" s="102" t="n"/>
      <c r="AQ1420" s="102" t="n"/>
      <c r="AR1420" s="102" t="n"/>
    </row>
    <row r="1421">
      <c r="D1421" s="160" t="n"/>
      <c r="E1421" s="160" t="n"/>
      <c r="F1421" s="160" t="n"/>
      <c r="G1421" s="160" t="n"/>
      <c r="H1421" s="160" t="n"/>
      <c r="I1421" s="160" t="n"/>
      <c r="J1421" s="160" t="n"/>
      <c r="K1421" s="160" t="n"/>
      <c r="L1421" s="160" t="n"/>
      <c r="M1421" s="160" t="n"/>
      <c r="N1421" s="160" t="n"/>
      <c r="O1421" s="160" t="n"/>
      <c r="P1421" s="160" t="n"/>
      <c r="Q1421" s="160" t="n"/>
      <c r="R1421" s="160" t="n"/>
      <c r="S1421" s="160" t="n"/>
      <c r="T1421" s="160" t="n"/>
      <c r="U1421" s="160" t="n"/>
      <c r="V1421" s="160" t="n"/>
      <c r="W1421" s="160" t="n"/>
      <c r="X1421" s="160" t="n"/>
      <c r="Y1421" s="160" t="n"/>
      <c r="Z1421" s="160" t="n"/>
      <c r="AA1421" s="160" t="n"/>
      <c r="AB1421" s="160" t="n"/>
      <c r="AC1421" s="160" t="n"/>
      <c r="AD1421" s="160" t="n"/>
      <c r="AE1421" s="160" t="n"/>
      <c r="AF1421" s="160" t="n"/>
      <c r="AG1421" s="160" t="n"/>
      <c r="AH1421" s="160" t="n"/>
      <c r="AI1421" s="160" t="n"/>
      <c r="AJ1421" s="160" t="n"/>
      <c r="AK1421" s="160" t="n"/>
      <c r="AL1421" s="160" t="n"/>
      <c r="AM1421" s="160" t="n"/>
      <c r="AN1421" s="160" t="n"/>
      <c r="AO1421" s="160" t="n"/>
      <c r="AP1421" s="160" t="n"/>
      <c r="AQ1421" s="160" t="n"/>
      <c r="AR1421" s="160" t="n"/>
    </row>
    <row r="1423">
      <c r="A1423" s="8">
        <f>IF(HSTECH!$C$35="","",HSTECH!$C$35)</f>
        <v/>
      </c>
      <c r="B1423" s="158">
        <f>IF($A1423="",0,COUNT($E1424:$AR1424))</f>
        <v/>
      </c>
      <c r="C1423" s="159">
        <f>IF($B1423=0,0,MAX($E1424:$AR1424))</f>
        <v/>
      </c>
      <c r="D1423" s="101">
        <f>BDS($A1423,FLD_HIST,"headers=y","startcol=1","endcol=7","dir=h","DVD_START_DT",HIST_FROM,"DVD_END_DT",HIST_TO)</f>
        <v/>
      </c>
      <c r="E1423" s="102" t="n"/>
      <c r="F1423" s="102" t="n"/>
      <c r="G1423" s="102" t="n"/>
      <c r="H1423" s="102" t="n"/>
      <c r="I1423" s="102" t="n"/>
      <c r="J1423" s="102" t="n"/>
      <c r="K1423" s="102" t="n"/>
      <c r="L1423" s="102" t="n"/>
      <c r="M1423" s="102" t="n"/>
      <c r="N1423" s="102" t="n"/>
      <c r="O1423" s="102" t="n"/>
      <c r="P1423" s="102" t="n"/>
      <c r="Q1423" s="102" t="n"/>
      <c r="R1423" s="102" t="n"/>
      <c r="S1423" s="102" t="n"/>
      <c r="T1423" s="102" t="n"/>
      <c r="U1423" s="102" t="n"/>
      <c r="V1423" s="102" t="n"/>
      <c r="W1423" s="102" t="n"/>
      <c r="X1423" s="102" t="n"/>
      <c r="Y1423" s="102" t="n"/>
      <c r="Z1423" s="102" t="n"/>
      <c r="AA1423" s="102" t="n"/>
      <c r="AB1423" s="102" t="n"/>
      <c r="AC1423" s="102" t="n"/>
      <c r="AD1423" s="102" t="n"/>
      <c r="AE1423" s="102" t="n"/>
      <c r="AF1423" s="102" t="n"/>
      <c r="AG1423" s="102" t="n"/>
      <c r="AH1423" s="102" t="n"/>
      <c r="AI1423" s="102" t="n"/>
      <c r="AJ1423" s="102" t="n"/>
      <c r="AK1423" s="102" t="n"/>
      <c r="AL1423" s="102" t="n"/>
      <c r="AM1423" s="102" t="n"/>
      <c r="AN1423" s="102" t="n"/>
      <c r="AO1423" s="102" t="n"/>
      <c r="AP1423" s="102" t="n"/>
      <c r="AQ1423" s="102" t="n"/>
      <c r="AR1423" s="102" t="n"/>
    </row>
    <row r="1424">
      <c r="D1424" s="102" t="n"/>
      <c r="E1424" s="102" t="n"/>
      <c r="F1424" s="102" t="n"/>
      <c r="G1424" s="102" t="n"/>
      <c r="H1424" s="102" t="n"/>
      <c r="I1424" s="102" t="n"/>
      <c r="J1424" s="102" t="n"/>
      <c r="K1424" s="102" t="n"/>
      <c r="L1424" s="102" t="n"/>
      <c r="M1424" s="102" t="n"/>
      <c r="N1424" s="102" t="n"/>
      <c r="O1424" s="102" t="n"/>
      <c r="P1424" s="102" t="n"/>
      <c r="Q1424" s="102" t="n"/>
      <c r="R1424" s="102" t="n"/>
      <c r="S1424" s="102" t="n"/>
      <c r="T1424" s="102" t="n"/>
      <c r="U1424" s="102" t="n"/>
      <c r="V1424" s="102" t="n"/>
      <c r="W1424" s="102" t="n"/>
      <c r="X1424" s="102" t="n"/>
      <c r="Y1424" s="102" t="n"/>
      <c r="Z1424" s="102" t="n"/>
      <c r="AA1424" s="102" t="n"/>
      <c r="AB1424" s="102" t="n"/>
      <c r="AC1424" s="102" t="n"/>
      <c r="AD1424" s="102" t="n"/>
      <c r="AE1424" s="102" t="n"/>
      <c r="AF1424" s="102" t="n"/>
      <c r="AG1424" s="102" t="n"/>
      <c r="AH1424" s="102" t="n"/>
      <c r="AI1424" s="102" t="n"/>
      <c r="AJ1424" s="102" t="n"/>
      <c r="AK1424" s="102" t="n"/>
      <c r="AL1424" s="102" t="n"/>
      <c r="AM1424" s="102" t="n"/>
      <c r="AN1424" s="102" t="n"/>
      <c r="AO1424" s="102" t="n"/>
      <c r="AP1424" s="102" t="n"/>
      <c r="AQ1424" s="102" t="n"/>
      <c r="AR1424" s="102" t="n"/>
    </row>
    <row r="1425">
      <c r="D1425" s="102" t="n"/>
      <c r="E1425" s="102" t="n"/>
      <c r="F1425" s="102" t="n"/>
      <c r="G1425" s="102" t="n"/>
      <c r="H1425" s="102" t="n"/>
      <c r="I1425" s="102" t="n"/>
      <c r="J1425" s="102" t="n"/>
      <c r="K1425" s="102" t="n"/>
      <c r="L1425" s="102" t="n"/>
      <c r="M1425" s="102" t="n"/>
      <c r="N1425" s="102" t="n"/>
      <c r="O1425" s="102" t="n"/>
      <c r="P1425" s="102" t="n"/>
      <c r="Q1425" s="102" t="n"/>
      <c r="R1425" s="102" t="n"/>
      <c r="S1425" s="102" t="n"/>
      <c r="T1425" s="102" t="n"/>
      <c r="U1425" s="102" t="n"/>
      <c r="V1425" s="102" t="n"/>
      <c r="W1425" s="102" t="n"/>
      <c r="X1425" s="102" t="n"/>
      <c r="Y1425" s="102" t="n"/>
      <c r="Z1425" s="102" t="n"/>
      <c r="AA1425" s="102" t="n"/>
      <c r="AB1425" s="102" t="n"/>
      <c r="AC1425" s="102" t="n"/>
      <c r="AD1425" s="102" t="n"/>
      <c r="AE1425" s="102" t="n"/>
      <c r="AF1425" s="102" t="n"/>
      <c r="AG1425" s="102" t="n"/>
      <c r="AH1425" s="102" t="n"/>
      <c r="AI1425" s="102" t="n"/>
      <c r="AJ1425" s="102" t="n"/>
      <c r="AK1425" s="102" t="n"/>
      <c r="AL1425" s="102" t="n"/>
      <c r="AM1425" s="102" t="n"/>
      <c r="AN1425" s="102" t="n"/>
      <c r="AO1425" s="102" t="n"/>
      <c r="AP1425" s="102" t="n"/>
      <c r="AQ1425" s="102" t="n"/>
      <c r="AR1425" s="102" t="n"/>
    </row>
    <row r="1426">
      <c r="D1426" s="102" t="n"/>
      <c r="E1426" s="102" t="n"/>
      <c r="F1426" s="102" t="n"/>
      <c r="G1426" s="102" t="n"/>
      <c r="H1426" s="102" t="n"/>
      <c r="I1426" s="102" t="n"/>
      <c r="J1426" s="102" t="n"/>
      <c r="K1426" s="102" t="n"/>
      <c r="L1426" s="102" t="n"/>
      <c r="M1426" s="102" t="n"/>
      <c r="N1426" s="102" t="n"/>
      <c r="O1426" s="102" t="n"/>
      <c r="P1426" s="102" t="n"/>
      <c r="Q1426" s="102" t="n"/>
      <c r="R1426" s="102" t="n"/>
      <c r="S1426" s="102" t="n"/>
      <c r="T1426" s="102" t="n"/>
      <c r="U1426" s="102" t="n"/>
      <c r="V1426" s="102" t="n"/>
      <c r="W1426" s="102" t="n"/>
      <c r="X1426" s="102" t="n"/>
      <c r="Y1426" s="102" t="n"/>
      <c r="Z1426" s="102" t="n"/>
      <c r="AA1426" s="102" t="n"/>
      <c r="AB1426" s="102" t="n"/>
      <c r="AC1426" s="102" t="n"/>
      <c r="AD1426" s="102" t="n"/>
      <c r="AE1426" s="102" t="n"/>
      <c r="AF1426" s="102" t="n"/>
      <c r="AG1426" s="102" t="n"/>
      <c r="AH1426" s="102" t="n"/>
      <c r="AI1426" s="102" t="n"/>
      <c r="AJ1426" s="102" t="n"/>
      <c r="AK1426" s="102" t="n"/>
      <c r="AL1426" s="102" t="n"/>
      <c r="AM1426" s="102" t="n"/>
      <c r="AN1426" s="102" t="n"/>
      <c r="AO1426" s="102" t="n"/>
      <c r="AP1426" s="102" t="n"/>
      <c r="AQ1426" s="102" t="n"/>
      <c r="AR1426" s="102" t="n"/>
    </row>
    <row r="1427">
      <c r="D1427" s="160" t="n"/>
      <c r="E1427" s="160" t="n"/>
      <c r="F1427" s="160" t="n"/>
      <c r="G1427" s="160" t="n"/>
      <c r="H1427" s="160" t="n"/>
      <c r="I1427" s="160" t="n"/>
      <c r="J1427" s="160" t="n"/>
      <c r="K1427" s="160" t="n"/>
      <c r="L1427" s="160" t="n"/>
      <c r="M1427" s="160" t="n"/>
      <c r="N1427" s="160" t="n"/>
      <c r="O1427" s="160" t="n"/>
      <c r="P1427" s="160" t="n"/>
      <c r="Q1427" s="160" t="n"/>
      <c r="R1427" s="160" t="n"/>
      <c r="S1427" s="160" t="n"/>
      <c r="T1427" s="160" t="n"/>
      <c r="U1427" s="160" t="n"/>
      <c r="V1427" s="160" t="n"/>
      <c r="W1427" s="160" t="n"/>
      <c r="X1427" s="160" t="n"/>
      <c r="Y1427" s="160" t="n"/>
      <c r="Z1427" s="160" t="n"/>
      <c r="AA1427" s="160" t="n"/>
      <c r="AB1427" s="160" t="n"/>
      <c r="AC1427" s="160" t="n"/>
      <c r="AD1427" s="160" t="n"/>
      <c r="AE1427" s="160" t="n"/>
      <c r="AF1427" s="160" t="n"/>
      <c r="AG1427" s="160" t="n"/>
      <c r="AH1427" s="160" t="n"/>
      <c r="AI1427" s="160" t="n"/>
      <c r="AJ1427" s="160" t="n"/>
      <c r="AK1427" s="160" t="n"/>
      <c r="AL1427" s="160" t="n"/>
      <c r="AM1427" s="160" t="n"/>
      <c r="AN1427" s="160" t="n"/>
      <c r="AO1427" s="160" t="n"/>
      <c r="AP1427" s="160" t="n"/>
      <c r="AQ1427" s="160" t="n"/>
      <c r="AR1427" s="160" t="n"/>
    </row>
    <row r="1430">
      <c r="A1430" s="2">
        <f>IF($A1423="","","   projections")</f>
        <v/>
      </c>
      <c r="B1430" s="158">
        <f>IF($A1423="",0,COUNT($E1431:$AR1431))</f>
        <v/>
      </c>
      <c r="C1430" s="159">
        <f>IF($B1430=0,0,MAX($E1431:$AR1431))</f>
        <v/>
      </c>
      <c r="D1430" s="101">
        <f>BDS($A1423,FLD_PROJ,"headers=y","startcol=1","endcol=3","dir=h")</f>
        <v/>
      </c>
      <c r="E1430" s="102" t="n"/>
      <c r="F1430" s="102" t="n"/>
      <c r="G1430" s="102" t="n"/>
      <c r="H1430" s="102" t="n"/>
      <c r="I1430" s="102" t="n"/>
      <c r="J1430" s="102" t="n"/>
      <c r="K1430" s="102" t="n"/>
      <c r="L1430" s="102" t="n"/>
      <c r="M1430" s="102" t="n"/>
      <c r="N1430" s="102" t="n"/>
      <c r="O1430" s="102" t="n"/>
      <c r="P1430" s="102" t="n"/>
      <c r="Q1430" s="102" t="n"/>
      <c r="R1430" s="102" t="n"/>
      <c r="S1430" s="102" t="n"/>
      <c r="T1430" s="102" t="n"/>
      <c r="U1430" s="102" t="n"/>
      <c r="V1430" s="102" t="n"/>
      <c r="W1430" s="102" t="n"/>
      <c r="X1430" s="102" t="n"/>
      <c r="Y1430" s="102" t="n"/>
      <c r="Z1430" s="102" t="n"/>
      <c r="AA1430" s="102" t="n"/>
      <c r="AB1430" s="102" t="n"/>
      <c r="AC1430" s="102" t="n"/>
      <c r="AD1430" s="102" t="n"/>
      <c r="AE1430" s="102" t="n"/>
      <c r="AF1430" s="102" t="n"/>
      <c r="AG1430" s="102" t="n"/>
      <c r="AH1430" s="102" t="n"/>
      <c r="AI1430" s="102" t="n"/>
      <c r="AJ1430" s="102" t="n"/>
      <c r="AK1430" s="102" t="n"/>
      <c r="AL1430" s="102" t="n"/>
      <c r="AM1430" s="102" t="n"/>
      <c r="AN1430" s="102" t="n"/>
      <c r="AO1430" s="102" t="n"/>
      <c r="AP1430" s="102" t="n"/>
      <c r="AQ1430" s="102" t="n"/>
      <c r="AR1430" s="102" t="n"/>
    </row>
    <row r="1431">
      <c r="D1431" s="102" t="n"/>
      <c r="E1431" s="102" t="n"/>
      <c r="F1431" s="102" t="n"/>
      <c r="G1431" s="102" t="n"/>
      <c r="H1431" s="102" t="n"/>
      <c r="I1431" s="102" t="n"/>
      <c r="J1431" s="102" t="n"/>
      <c r="K1431" s="102" t="n"/>
      <c r="L1431" s="102" t="n"/>
      <c r="M1431" s="102" t="n"/>
      <c r="N1431" s="102" t="n"/>
      <c r="O1431" s="102" t="n"/>
      <c r="P1431" s="102" t="n"/>
      <c r="Q1431" s="102" t="n"/>
      <c r="R1431" s="102" t="n"/>
      <c r="S1431" s="102" t="n"/>
      <c r="T1431" s="102" t="n"/>
      <c r="U1431" s="102" t="n"/>
      <c r="V1431" s="102" t="n"/>
      <c r="W1431" s="102" t="n"/>
      <c r="X1431" s="102" t="n"/>
      <c r="Y1431" s="102" t="n"/>
      <c r="Z1431" s="102" t="n"/>
      <c r="AA1431" s="102" t="n"/>
      <c r="AB1431" s="102" t="n"/>
      <c r="AC1431" s="102" t="n"/>
      <c r="AD1431" s="102" t="n"/>
      <c r="AE1431" s="102" t="n"/>
      <c r="AF1431" s="102" t="n"/>
      <c r="AG1431" s="102" t="n"/>
      <c r="AH1431" s="102" t="n"/>
      <c r="AI1431" s="102" t="n"/>
      <c r="AJ1431" s="102" t="n"/>
      <c r="AK1431" s="102" t="n"/>
      <c r="AL1431" s="102" t="n"/>
      <c r="AM1431" s="102" t="n"/>
      <c r="AN1431" s="102" t="n"/>
      <c r="AO1431" s="102" t="n"/>
      <c r="AP1431" s="102" t="n"/>
      <c r="AQ1431" s="102" t="n"/>
      <c r="AR1431" s="102" t="n"/>
    </row>
    <row r="1432">
      <c r="D1432" s="160" t="n"/>
      <c r="E1432" s="160" t="n"/>
      <c r="F1432" s="160" t="n"/>
      <c r="G1432" s="160" t="n"/>
      <c r="H1432" s="160" t="n"/>
      <c r="I1432" s="160" t="n"/>
      <c r="J1432" s="160" t="n"/>
      <c r="K1432" s="160" t="n"/>
      <c r="L1432" s="160" t="n"/>
      <c r="M1432" s="160" t="n"/>
      <c r="N1432" s="160" t="n"/>
      <c r="O1432" s="160" t="n"/>
      <c r="P1432" s="160" t="n"/>
      <c r="Q1432" s="160" t="n"/>
      <c r="R1432" s="160" t="n"/>
      <c r="S1432" s="160" t="n"/>
      <c r="T1432" s="160" t="n"/>
      <c r="U1432" s="160" t="n"/>
      <c r="V1432" s="160" t="n"/>
      <c r="W1432" s="160" t="n"/>
      <c r="X1432" s="160" t="n"/>
      <c r="Y1432" s="160" t="n"/>
      <c r="Z1432" s="160" t="n"/>
      <c r="AA1432" s="160" t="n"/>
      <c r="AB1432" s="160" t="n"/>
      <c r="AC1432" s="160" t="n"/>
      <c r="AD1432" s="160" t="n"/>
      <c r="AE1432" s="160" t="n"/>
      <c r="AF1432" s="160" t="n"/>
      <c r="AG1432" s="160" t="n"/>
      <c r="AH1432" s="160" t="n"/>
      <c r="AI1432" s="160" t="n"/>
      <c r="AJ1432" s="160" t="n"/>
      <c r="AK1432" s="160" t="n"/>
      <c r="AL1432" s="160" t="n"/>
      <c r="AM1432" s="160" t="n"/>
      <c r="AN1432" s="160" t="n"/>
      <c r="AO1432" s="160" t="n"/>
      <c r="AP1432" s="160" t="n"/>
      <c r="AQ1432" s="160" t="n"/>
      <c r="AR1432" s="160" t="n"/>
    </row>
    <row r="1434">
      <c r="A1434" s="8">
        <f>IF(HSTECH!$C$36="","",HSTECH!$C$36)</f>
        <v/>
      </c>
      <c r="B1434" s="158">
        <f>IF($A1434="",0,COUNT($E1435:$AR1435))</f>
        <v/>
      </c>
      <c r="C1434" s="159">
        <f>IF($B1434=0,0,MAX($E1435:$AR1435))</f>
        <v/>
      </c>
      <c r="D1434" s="101">
        <f>BDS($A1434,FLD_HIST,"headers=y","startcol=1","endcol=7","dir=h","DVD_START_DT",HIST_FROM,"DVD_END_DT",HIST_TO)</f>
        <v/>
      </c>
      <c r="E1434" s="102" t="n"/>
      <c r="F1434" s="102" t="n"/>
      <c r="G1434" s="102" t="n"/>
      <c r="H1434" s="102" t="n"/>
      <c r="I1434" s="102" t="n"/>
      <c r="J1434" s="102" t="n"/>
      <c r="K1434" s="102" t="n"/>
      <c r="L1434" s="102" t="n"/>
      <c r="M1434" s="102" t="n"/>
      <c r="N1434" s="102" t="n"/>
      <c r="O1434" s="102" t="n"/>
      <c r="P1434" s="102" t="n"/>
      <c r="Q1434" s="102" t="n"/>
      <c r="R1434" s="102" t="n"/>
      <c r="S1434" s="102" t="n"/>
      <c r="T1434" s="102" t="n"/>
      <c r="U1434" s="102" t="n"/>
      <c r="V1434" s="102" t="n"/>
      <c r="W1434" s="102" t="n"/>
      <c r="X1434" s="102" t="n"/>
      <c r="Y1434" s="102" t="n"/>
      <c r="Z1434" s="102" t="n"/>
      <c r="AA1434" s="102" t="n"/>
      <c r="AB1434" s="102" t="n"/>
      <c r="AC1434" s="102" t="n"/>
      <c r="AD1434" s="102" t="n"/>
      <c r="AE1434" s="102" t="n"/>
      <c r="AF1434" s="102" t="n"/>
      <c r="AG1434" s="102" t="n"/>
      <c r="AH1434" s="102" t="n"/>
      <c r="AI1434" s="102" t="n"/>
      <c r="AJ1434" s="102" t="n"/>
      <c r="AK1434" s="102" t="n"/>
      <c r="AL1434" s="102" t="n"/>
      <c r="AM1434" s="102" t="n"/>
      <c r="AN1434" s="102" t="n"/>
      <c r="AO1434" s="102" t="n"/>
      <c r="AP1434" s="102" t="n"/>
      <c r="AQ1434" s="102" t="n"/>
      <c r="AR1434" s="102" t="n"/>
    </row>
    <row r="1435">
      <c r="D1435" s="102" t="n"/>
      <c r="E1435" s="102" t="n"/>
      <c r="F1435" s="102" t="n"/>
      <c r="G1435" s="102" t="n"/>
      <c r="H1435" s="102" t="n"/>
      <c r="I1435" s="102" t="n"/>
      <c r="J1435" s="102" t="n"/>
      <c r="K1435" s="102" t="n"/>
      <c r="L1435" s="102" t="n"/>
      <c r="M1435" s="102" t="n"/>
      <c r="N1435" s="102" t="n"/>
      <c r="O1435" s="102" t="n"/>
      <c r="P1435" s="102" t="n"/>
      <c r="Q1435" s="102" t="n"/>
      <c r="R1435" s="102" t="n"/>
      <c r="S1435" s="102" t="n"/>
      <c r="T1435" s="102" t="n"/>
      <c r="U1435" s="102" t="n"/>
      <c r="V1435" s="102" t="n"/>
      <c r="W1435" s="102" t="n"/>
      <c r="X1435" s="102" t="n"/>
      <c r="Y1435" s="102" t="n"/>
      <c r="Z1435" s="102" t="n"/>
      <c r="AA1435" s="102" t="n"/>
      <c r="AB1435" s="102" t="n"/>
      <c r="AC1435" s="102" t="n"/>
      <c r="AD1435" s="102" t="n"/>
      <c r="AE1435" s="102" t="n"/>
      <c r="AF1435" s="102" t="n"/>
      <c r="AG1435" s="102" t="n"/>
      <c r="AH1435" s="102" t="n"/>
      <c r="AI1435" s="102" t="n"/>
      <c r="AJ1435" s="102" t="n"/>
      <c r="AK1435" s="102" t="n"/>
      <c r="AL1435" s="102" t="n"/>
      <c r="AM1435" s="102" t="n"/>
      <c r="AN1435" s="102" t="n"/>
      <c r="AO1435" s="102" t="n"/>
      <c r="AP1435" s="102" t="n"/>
      <c r="AQ1435" s="102" t="n"/>
      <c r="AR1435" s="102" t="n"/>
    </row>
    <row r="1436">
      <c r="D1436" s="102" t="n"/>
      <c r="E1436" s="102" t="n"/>
      <c r="F1436" s="102" t="n"/>
      <c r="G1436" s="102" t="n"/>
      <c r="H1436" s="102" t="n"/>
      <c r="I1436" s="102" t="n"/>
      <c r="J1436" s="102" t="n"/>
      <c r="K1436" s="102" t="n"/>
      <c r="L1436" s="102" t="n"/>
      <c r="M1436" s="102" t="n"/>
      <c r="N1436" s="102" t="n"/>
      <c r="O1436" s="102" t="n"/>
      <c r="P1436" s="102" t="n"/>
      <c r="Q1436" s="102" t="n"/>
      <c r="R1436" s="102" t="n"/>
      <c r="S1436" s="102" t="n"/>
      <c r="T1436" s="102" t="n"/>
      <c r="U1436" s="102" t="n"/>
      <c r="V1436" s="102" t="n"/>
      <c r="W1436" s="102" t="n"/>
      <c r="X1436" s="102" t="n"/>
      <c r="Y1436" s="102" t="n"/>
      <c r="Z1436" s="102" t="n"/>
      <c r="AA1436" s="102" t="n"/>
      <c r="AB1436" s="102" t="n"/>
      <c r="AC1436" s="102" t="n"/>
      <c r="AD1436" s="102" t="n"/>
      <c r="AE1436" s="102" t="n"/>
      <c r="AF1436" s="102" t="n"/>
      <c r="AG1436" s="102" t="n"/>
      <c r="AH1436" s="102" t="n"/>
      <c r="AI1436" s="102" t="n"/>
      <c r="AJ1436" s="102" t="n"/>
      <c r="AK1436" s="102" t="n"/>
      <c r="AL1436" s="102" t="n"/>
      <c r="AM1436" s="102" t="n"/>
      <c r="AN1436" s="102" t="n"/>
      <c r="AO1436" s="102" t="n"/>
      <c r="AP1436" s="102" t="n"/>
      <c r="AQ1436" s="102" t="n"/>
      <c r="AR1436" s="102" t="n"/>
    </row>
    <row r="1437">
      <c r="D1437" s="102" t="n"/>
      <c r="E1437" s="102" t="n"/>
      <c r="F1437" s="102" t="n"/>
      <c r="G1437" s="102" t="n"/>
      <c r="H1437" s="102" t="n"/>
      <c r="I1437" s="102" t="n"/>
      <c r="J1437" s="102" t="n"/>
      <c r="K1437" s="102" t="n"/>
      <c r="L1437" s="102" t="n"/>
      <c r="M1437" s="102" t="n"/>
      <c r="N1437" s="102" t="n"/>
      <c r="O1437" s="102" t="n"/>
      <c r="P1437" s="102" t="n"/>
      <c r="Q1437" s="102" t="n"/>
      <c r="R1437" s="102" t="n"/>
      <c r="S1437" s="102" t="n"/>
      <c r="T1437" s="102" t="n"/>
      <c r="U1437" s="102" t="n"/>
      <c r="V1437" s="102" t="n"/>
      <c r="W1437" s="102" t="n"/>
      <c r="X1437" s="102" t="n"/>
      <c r="Y1437" s="102" t="n"/>
      <c r="Z1437" s="102" t="n"/>
      <c r="AA1437" s="102" t="n"/>
      <c r="AB1437" s="102" t="n"/>
      <c r="AC1437" s="102" t="n"/>
      <c r="AD1437" s="102" t="n"/>
      <c r="AE1437" s="102" t="n"/>
      <c r="AF1437" s="102" t="n"/>
      <c r="AG1437" s="102" t="n"/>
      <c r="AH1437" s="102" t="n"/>
      <c r="AI1437" s="102" t="n"/>
      <c r="AJ1437" s="102" t="n"/>
      <c r="AK1437" s="102" t="n"/>
      <c r="AL1437" s="102" t="n"/>
      <c r="AM1437" s="102" t="n"/>
      <c r="AN1437" s="102" t="n"/>
      <c r="AO1437" s="102" t="n"/>
      <c r="AP1437" s="102" t="n"/>
      <c r="AQ1437" s="102" t="n"/>
      <c r="AR1437" s="102" t="n"/>
    </row>
    <row r="1438">
      <c r="D1438" s="160" t="n"/>
      <c r="E1438" s="160" t="n"/>
      <c r="F1438" s="160" t="n"/>
      <c r="G1438" s="160" t="n"/>
      <c r="H1438" s="160" t="n"/>
      <c r="I1438" s="160" t="n"/>
      <c r="J1438" s="160" t="n"/>
      <c r="K1438" s="160" t="n"/>
      <c r="L1438" s="160" t="n"/>
      <c r="M1438" s="160" t="n"/>
      <c r="N1438" s="160" t="n"/>
      <c r="O1438" s="160" t="n"/>
      <c r="P1438" s="160" t="n"/>
      <c r="Q1438" s="160" t="n"/>
      <c r="R1438" s="160" t="n"/>
      <c r="S1438" s="160" t="n"/>
      <c r="T1438" s="160" t="n"/>
      <c r="U1438" s="160" t="n"/>
      <c r="V1438" s="160" t="n"/>
      <c r="W1438" s="160" t="n"/>
      <c r="X1438" s="160" t="n"/>
      <c r="Y1438" s="160" t="n"/>
      <c r="Z1438" s="160" t="n"/>
      <c r="AA1438" s="160" t="n"/>
      <c r="AB1438" s="160" t="n"/>
      <c r="AC1438" s="160" t="n"/>
      <c r="AD1438" s="160" t="n"/>
      <c r="AE1438" s="160" t="n"/>
      <c r="AF1438" s="160" t="n"/>
      <c r="AG1438" s="160" t="n"/>
      <c r="AH1438" s="160" t="n"/>
      <c r="AI1438" s="160" t="n"/>
      <c r="AJ1438" s="160" t="n"/>
      <c r="AK1438" s="160" t="n"/>
      <c r="AL1438" s="160" t="n"/>
      <c r="AM1438" s="160" t="n"/>
      <c r="AN1438" s="160" t="n"/>
      <c r="AO1438" s="160" t="n"/>
      <c r="AP1438" s="160" t="n"/>
      <c r="AQ1438" s="160" t="n"/>
      <c r="AR1438" s="160" t="n"/>
    </row>
    <row r="1441">
      <c r="A1441" s="2">
        <f>IF($A1434="","","   projections")</f>
        <v/>
      </c>
      <c r="B1441" s="158">
        <f>IF($A1434="",0,COUNT($E1442:$AR1442))</f>
        <v/>
      </c>
      <c r="C1441" s="159">
        <f>IF($B1441=0,0,MAX($E1442:$AR1442))</f>
        <v/>
      </c>
      <c r="D1441" s="101">
        <f>BDS($A1434,FLD_PROJ,"headers=y","startcol=1","endcol=3","dir=h")</f>
        <v/>
      </c>
      <c r="E1441" s="102" t="n"/>
      <c r="F1441" s="102" t="n"/>
      <c r="G1441" s="102" t="n"/>
      <c r="H1441" s="102" t="n"/>
      <c r="I1441" s="102" t="n"/>
      <c r="J1441" s="102" t="n"/>
      <c r="K1441" s="102" t="n"/>
      <c r="L1441" s="102" t="n"/>
      <c r="M1441" s="102" t="n"/>
      <c r="N1441" s="102" t="n"/>
      <c r="O1441" s="102" t="n"/>
      <c r="P1441" s="102" t="n"/>
      <c r="Q1441" s="102" t="n"/>
      <c r="R1441" s="102" t="n"/>
      <c r="S1441" s="102" t="n"/>
      <c r="T1441" s="102" t="n"/>
      <c r="U1441" s="102" t="n"/>
      <c r="V1441" s="102" t="n"/>
      <c r="W1441" s="102" t="n"/>
      <c r="X1441" s="102" t="n"/>
      <c r="Y1441" s="102" t="n"/>
      <c r="Z1441" s="102" t="n"/>
      <c r="AA1441" s="102" t="n"/>
      <c r="AB1441" s="102" t="n"/>
      <c r="AC1441" s="102" t="n"/>
      <c r="AD1441" s="102" t="n"/>
      <c r="AE1441" s="102" t="n"/>
      <c r="AF1441" s="102" t="n"/>
      <c r="AG1441" s="102" t="n"/>
      <c r="AH1441" s="102" t="n"/>
      <c r="AI1441" s="102" t="n"/>
      <c r="AJ1441" s="102" t="n"/>
      <c r="AK1441" s="102" t="n"/>
      <c r="AL1441" s="102" t="n"/>
      <c r="AM1441" s="102" t="n"/>
      <c r="AN1441" s="102" t="n"/>
      <c r="AO1441" s="102" t="n"/>
      <c r="AP1441" s="102" t="n"/>
      <c r="AQ1441" s="102" t="n"/>
      <c r="AR1441" s="102" t="n"/>
    </row>
    <row r="1442">
      <c r="D1442" s="102" t="n"/>
      <c r="E1442" s="102" t="n"/>
      <c r="F1442" s="102" t="n"/>
      <c r="G1442" s="102" t="n"/>
      <c r="H1442" s="102" t="n"/>
      <c r="I1442" s="102" t="n"/>
      <c r="J1442" s="102" t="n"/>
      <c r="K1442" s="102" t="n"/>
      <c r="L1442" s="102" t="n"/>
      <c r="M1442" s="102" t="n"/>
      <c r="N1442" s="102" t="n"/>
      <c r="O1442" s="102" t="n"/>
      <c r="P1442" s="102" t="n"/>
      <c r="Q1442" s="102" t="n"/>
      <c r="R1442" s="102" t="n"/>
      <c r="S1442" s="102" t="n"/>
      <c r="T1442" s="102" t="n"/>
      <c r="U1442" s="102" t="n"/>
      <c r="V1442" s="102" t="n"/>
      <c r="W1442" s="102" t="n"/>
      <c r="X1442" s="102" t="n"/>
      <c r="Y1442" s="102" t="n"/>
      <c r="Z1442" s="102" t="n"/>
      <c r="AA1442" s="102" t="n"/>
      <c r="AB1442" s="102" t="n"/>
      <c r="AC1442" s="102" t="n"/>
      <c r="AD1442" s="102" t="n"/>
      <c r="AE1442" s="102" t="n"/>
      <c r="AF1442" s="102" t="n"/>
      <c r="AG1442" s="102" t="n"/>
      <c r="AH1442" s="102" t="n"/>
      <c r="AI1442" s="102" t="n"/>
      <c r="AJ1442" s="102" t="n"/>
      <c r="AK1442" s="102" t="n"/>
      <c r="AL1442" s="102" t="n"/>
      <c r="AM1442" s="102" t="n"/>
      <c r="AN1442" s="102" t="n"/>
      <c r="AO1442" s="102" t="n"/>
      <c r="AP1442" s="102" t="n"/>
      <c r="AQ1442" s="102" t="n"/>
      <c r="AR1442" s="102" t="n"/>
    </row>
    <row r="1443">
      <c r="D1443" s="160" t="n"/>
      <c r="E1443" s="160" t="n"/>
      <c r="F1443" s="160" t="n"/>
      <c r="G1443" s="160" t="n"/>
      <c r="H1443" s="160" t="n"/>
      <c r="I1443" s="160" t="n"/>
      <c r="J1443" s="160" t="n"/>
      <c r="K1443" s="160" t="n"/>
      <c r="L1443" s="160" t="n"/>
      <c r="M1443" s="160" t="n"/>
      <c r="N1443" s="160" t="n"/>
      <c r="O1443" s="160" t="n"/>
      <c r="P1443" s="160" t="n"/>
      <c r="Q1443" s="160" t="n"/>
      <c r="R1443" s="160" t="n"/>
      <c r="S1443" s="160" t="n"/>
      <c r="T1443" s="160" t="n"/>
      <c r="U1443" s="160" t="n"/>
      <c r="V1443" s="160" t="n"/>
      <c r="W1443" s="160" t="n"/>
      <c r="X1443" s="160" t="n"/>
      <c r="Y1443" s="160" t="n"/>
      <c r="Z1443" s="160" t="n"/>
      <c r="AA1443" s="160" t="n"/>
      <c r="AB1443" s="160" t="n"/>
      <c r="AC1443" s="160" t="n"/>
      <c r="AD1443" s="160" t="n"/>
      <c r="AE1443" s="160" t="n"/>
      <c r="AF1443" s="160" t="n"/>
      <c r="AG1443" s="160" t="n"/>
      <c r="AH1443" s="160" t="n"/>
      <c r="AI1443" s="160" t="n"/>
      <c r="AJ1443" s="160" t="n"/>
      <c r="AK1443" s="160" t="n"/>
      <c r="AL1443" s="160" t="n"/>
      <c r="AM1443" s="160" t="n"/>
      <c r="AN1443" s="160" t="n"/>
      <c r="AO1443" s="160" t="n"/>
      <c r="AP1443" s="160" t="n"/>
      <c r="AQ1443" s="160" t="n"/>
      <c r="AR1443" s="160" t="n"/>
    </row>
    <row r="1445">
      <c r="A1445" s="8">
        <f>IF(HSTECH!$C$37="","",HSTECH!$C$37)</f>
        <v/>
      </c>
      <c r="B1445" s="158">
        <f>IF($A1445="",0,COUNT($E1446:$AR1446))</f>
        <v/>
      </c>
      <c r="C1445" s="159">
        <f>IF($B1445=0,0,MAX($E1446:$AR1446))</f>
        <v/>
      </c>
      <c r="D1445" s="101">
        <f>BDS($A1445,FLD_HIST,"headers=y","startcol=1","endcol=7","dir=h","DVD_START_DT",HIST_FROM,"DVD_END_DT",HIST_TO)</f>
        <v/>
      </c>
      <c r="E1445" s="102" t="n"/>
      <c r="F1445" s="102" t="n"/>
      <c r="G1445" s="102" t="n"/>
      <c r="H1445" s="102" t="n"/>
      <c r="I1445" s="102" t="n"/>
      <c r="J1445" s="102" t="n"/>
      <c r="K1445" s="102" t="n"/>
      <c r="L1445" s="102" t="n"/>
      <c r="M1445" s="102" t="n"/>
      <c r="N1445" s="102" t="n"/>
      <c r="O1445" s="102" t="n"/>
      <c r="P1445" s="102" t="n"/>
      <c r="Q1445" s="102" t="n"/>
      <c r="R1445" s="102" t="n"/>
      <c r="S1445" s="102" t="n"/>
      <c r="T1445" s="102" t="n"/>
      <c r="U1445" s="102" t="n"/>
      <c r="V1445" s="102" t="n"/>
      <c r="W1445" s="102" t="n"/>
      <c r="X1445" s="102" t="n"/>
      <c r="Y1445" s="102" t="n"/>
      <c r="Z1445" s="102" t="n"/>
      <c r="AA1445" s="102" t="n"/>
      <c r="AB1445" s="102" t="n"/>
      <c r="AC1445" s="102" t="n"/>
      <c r="AD1445" s="102" t="n"/>
      <c r="AE1445" s="102" t="n"/>
      <c r="AF1445" s="102" t="n"/>
      <c r="AG1445" s="102" t="n"/>
      <c r="AH1445" s="102" t="n"/>
      <c r="AI1445" s="102" t="n"/>
      <c r="AJ1445" s="102" t="n"/>
      <c r="AK1445" s="102" t="n"/>
      <c r="AL1445" s="102" t="n"/>
      <c r="AM1445" s="102" t="n"/>
      <c r="AN1445" s="102" t="n"/>
      <c r="AO1445" s="102" t="n"/>
      <c r="AP1445" s="102" t="n"/>
      <c r="AQ1445" s="102" t="n"/>
      <c r="AR1445" s="102" t="n"/>
    </row>
    <row r="1446">
      <c r="D1446" s="102" t="n"/>
      <c r="E1446" s="102" t="n"/>
      <c r="F1446" s="102" t="n"/>
      <c r="G1446" s="102" t="n"/>
      <c r="H1446" s="102" t="n"/>
      <c r="I1446" s="102" t="n"/>
      <c r="J1446" s="102" t="n"/>
      <c r="K1446" s="102" t="n"/>
      <c r="L1446" s="102" t="n"/>
      <c r="M1446" s="102" t="n"/>
      <c r="N1446" s="102" t="n"/>
      <c r="O1446" s="102" t="n"/>
      <c r="P1446" s="102" t="n"/>
      <c r="Q1446" s="102" t="n"/>
      <c r="R1446" s="102" t="n"/>
      <c r="S1446" s="102" t="n"/>
      <c r="T1446" s="102" t="n"/>
      <c r="U1446" s="102" t="n"/>
      <c r="V1446" s="102" t="n"/>
      <c r="W1446" s="102" t="n"/>
      <c r="X1446" s="102" t="n"/>
      <c r="Y1446" s="102" t="n"/>
      <c r="Z1446" s="102" t="n"/>
      <c r="AA1446" s="102" t="n"/>
      <c r="AB1446" s="102" t="n"/>
      <c r="AC1446" s="102" t="n"/>
      <c r="AD1446" s="102" t="n"/>
      <c r="AE1446" s="102" t="n"/>
      <c r="AF1446" s="102" t="n"/>
      <c r="AG1446" s="102" t="n"/>
      <c r="AH1446" s="102" t="n"/>
      <c r="AI1446" s="102" t="n"/>
      <c r="AJ1446" s="102" t="n"/>
      <c r="AK1446" s="102" t="n"/>
      <c r="AL1446" s="102" t="n"/>
      <c r="AM1446" s="102" t="n"/>
      <c r="AN1446" s="102" t="n"/>
      <c r="AO1446" s="102" t="n"/>
      <c r="AP1446" s="102" t="n"/>
      <c r="AQ1446" s="102" t="n"/>
      <c r="AR1446" s="102" t="n"/>
    </row>
    <row r="1447">
      <c r="D1447" s="102" t="n"/>
      <c r="E1447" s="102" t="n"/>
      <c r="F1447" s="102" t="n"/>
      <c r="G1447" s="102" t="n"/>
      <c r="H1447" s="102" t="n"/>
      <c r="I1447" s="102" t="n"/>
      <c r="J1447" s="102" t="n"/>
      <c r="K1447" s="102" t="n"/>
      <c r="L1447" s="102" t="n"/>
      <c r="M1447" s="102" t="n"/>
      <c r="N1447" s="102" t="n"/>
      <c r="O1447" s="102" t="n"/>
      <c r="P1447" s="102" t="n"/>
      <c r="Q1447" s="102" t="n"/>
      <c r="R1447" s="102" t="n"/>
      <c r="S1447" s="102" t="n"/>
      <c r="T1447" s="102" t="n"/>
      <c r="U1447" s="102" t="n"/>
      <c r="V1447" s="102" t="n"/>
      <c r="W1447" s="102" t="n"/>
      <c r="X1447" s="102" t="n"/>
      <c r="Y1447" s="102" t="n"/>
      <c r="Z1447" s="102" t="n"/>
      <c r="AA1447" s="102" t="n"/>
      <c r="AB1447" s="102" t="n"/>
      <c r="AC1447" s="102" t="n"/>
      <c r="AD1447" s="102" t="n"/>
      <c r="AE1447" s="102" t="n"/>
      <c r="AF1447" s="102" t="n"/>
      <c r="AG1447" s="102" t="n"/>
      <c r="AH1447" s="102" t="n"/>
      <c r="AI1447" s="102" t="n"/>
      <c r="AJ1447" s="102" t="n"/>
      <c r="AK1447" s="102" t="n"/>
      <c r="AL1447" s="102" t="n"/>
      <c r="AM1447" s="102" t="n"/>
      <c r="AN1447" s="102" t="n"/>
      <c r="AO1447" s="102" t="n"/>
      <c r="AP1447" s="102" t="n"/>
      <c r="AQ1447" s="102" t="n"/>
      <c r="AR1447" s="102" t="n"/>
    </row>
    <row r="1448">
      <c r="D1448" s="102" t="n"/>
      <c r="E1448" s="102" t="n"/>
      <c r="F1448" s="102" t="n"/>
      <c r="G1448" s="102" t="n"/>
      <c r="H1448" s="102" t="n"/>
      <c r="I1448" s="102" t="n"/>
      <c r="J1448" s="102" t="n"/>
      <c r="K1448" s="102" t="n"/>
      <c r="L1448" s="102" t="n"/>
      <c r="M1448" s="102" t="n"/>
      <c r="N1448" s="102" t="n"/>
      <c r="O1448" s="102" t="n"/>
      <c r="P1448" s="102" t="n"/>
      <c r="Q1448" s="102" t="n"/>
      <c r="R1448" s="102" t="n"/>
      <c r="S1448" s="102" t="n"/>
      <c r="T1448" s="102" t="n"/>
      <c r="U1448" s="102" t="n"/>
      <c r="V1448" s="102" t="n"/>
      <c r="W1448" s="102" t="n"/>
      <c r="X1448" s="102" t="n"/>
      <c r="Y1448" s="102" t="n"/>
      <c r="Z1448" s="102" t="n"/>
      <c r="AA1448" s="102" t="n"/>
      <c r="AB1448" s="102" t="n"/>
      <c r="AC1448" s="102" t="n"/>
      <c r="AD1448" s="102" t="n"/>
      <c r="AE1448" s="102" t="n"/>
      <c r="AF1448" s="102" t="n"/>
      <c r="AG1448" s="102" t="n"/>
      <c r="AH1448" s="102" t="n"/>
      <c r="AI1448" s="102" t="n"/>
      <c r="AJ1448" s="102" t="n"/>
      <c r="AK1448" s="102" t="n"/>
      <c r="AL1448" s="102" t="n"/>
      <c r="AM1448" s="102" t="n"/>
      <c r="AN1448" s="102" t="n"/>
      <c r="AO1448" s="102" t="n"/>
      <c r="AP1448" s="102" t="n"/>
      <c r="AQ1448" s="102" t="n"/>
      <c r="AR1448" s="102" t="n"/>
    </row>
    <row r="1449">
      <c r="D1449" s="160" t="n"/>
      <c r="E1449" s="160" t="n"/>
      <c r="F1449" s="160" t="n"/>
      <c r="G1449" s="160" t="n"/>
      <c r="H1449" s="160" t="n"/>
      <c r="I1449" s="160" t="n"/>
      <c r="J1449" s="160" t="n"/>
      <c r="K1449" s="160" t="n"/>
      <c r="L1449" s="160" t="n"/>
      <c r="M1449" s="160" t="n"/>
      <c r="N1449" s="160" t="n"/>
      <c r="O1449" s="160" t="n"/>
      <c r="P1449" s="160" t="n"/>
      <c r="Q1449" s="160" t="n"/>
      <c r="R1449" s="160" t="n"/>
      <c r="S1449" s="160" t="n"/>
      <c r="T1449" s="160" t="n"/>
      <c r="U1449" s="160" t="n"/>
      <c r="V1449" s="160" t="n"/>
      <c r="W1449" s="160" t="n"/>
      <c r="X1449" s="160" t="n"/>
      <c r="Y1449" s="160" t="n"/>
      <c r="Z1449" s="160" t="n"/>
      <c r="AA1449" s="160" t="n"/>
      <c r="AB1449" s="160" t="n"/>
      <c r="AC1449" s="160" t="n"/>
      <c r="AD1449" s="160" t="n"/>
      <c r="AE1449" s="160" t="n"/>
      <c r="AF1449" s="160" t="n"/>
      <c r="AG1449" s="160" t="n"/>
      <c r="AH1449" s="160" t="n"/>
      <c r="AI1449" s="160" t="n"/>
      <c r="AJ1449" s="160" t="n"/>
      <c r="AK1449" s="160" t="n"/>
      <c r="AL1449" s="160" t="n"/>
      <c r="AM1449" s="160" t="n"/>
      <c r="AN1449" s="160" t="n"/>
      <c r="AO1449" s="160" t="n"/>
      <c r="AP1449" s="160" t="n"/>
      <c r="AQ1449" s="160" t="n"/>
      <c r="AR1449" s="160" t="n"/>
    </row>
    <row r="1452">
      <c r="A1452" s="2">
        <f>IF($A1445="","","   projections")</f>
        <v/>
      </c>
      <c r="B1452" s="158">
        <f>IF($A1445="",0,COUNT($E1453:$AR1453))</f>
        <v/>
      </c>
      <c r="C1452" s="159">
        <f>IF($B1452=0,0,MAX($E1453:$AR1453))</f>
        <v/>
      </c>
      <c r="D1452" s="101">
        <f>BDS($A1445,FLD_PROJ,"headers=y","startcol=1","endcol=3","dir=h")</f>
        <v/>
      </c>
      <c r="E1452" s="102" t="n"/>
      <c r="F1452" s="102" t="n"/>
      <c r="G1452" s="102" t="n"/>
      <c r="H1452" s="102" t="n"/>
      <c r="I1452" s="102" t="n"/>
      <c r="J1452" s="102" t="n"/>
      <c r="K1452" s="102" t="n"/>
      <c r="L1452" s="102" t="n"/>
      <c r="M1452" s="102" t="n"/>
      <c r="N1452" s="102" t="n"/>
      <c r="O1452" s="102" t="n"/>
      <c r="P1452" s="102" t="n"/>
      <c r="Q1452" s="102" t="n"/>
      <c r="R1452" s="102" t="n"/>
      <c r="S1452" s="102" t="n"/>
      <c r="T1452" s="102" t="n"/>
      <c r="U1452" s="102" t="n"/>
      <c r="V1452" s="102" t="n"/>
      <c r="W1452" s="102" t="n"/>
      <c r="X1452" s="102" t="n"/>
      <c r="Y1452" s="102" t="n"/>
      <c r="Z1452" s="102" t="n"/>
      <c r="AA1452" s="102" t="n"/>
      <c r="AB1452" s="102" t="n"/>
      <c r="AC1452" s="102" t="n"/>
      <c r="AD1452" s="102" t="n"/>
      <c r="AE1452" s="102" t="n"/>
      <c r="AF1452" s="102" t="n"/>
      <c r="AG1452" s="102" t="n"/>
      <c r="AH1452" s="102" t="n"/>
      <c r="AI1452" s="102" t="n"/>
      <c r="AJ1452" s="102" t="n"/>
      <c r="AK1452" s="102" t="n"/>
      <c r="AL1452" s="102" t="n"/>
      <c r="AM1452" s="102" t="n"/>
      <c r="AN1452" s="102" t="n"/>
      <c r="AO1452" s="102" t="n"/>
      <c r="AP1452" s="102" t="n"/>
      <c r="AQ1452" s="102" t="n"/>
      <c r="AR1452" s="102" t="n"/>
    </row>
    <row r="1453">
      <c r="D1453" s="102" t="n"/>
      <c r="E1453" s="102" t="n"/>
      <c r="F1453" s="102" t="n"/>
      <c r="G1453" s="102" t="n"/>
      <c r="H1453" s="102" t="n"/>
      <c r="I1453" s="102" t="n"/>
      <c r="J1453" s="102" t="n"/>
      <c r="K1453" s="102" t="n"/>
      <c r="L1453" s="102" t="n"/>
      <c r="M1453" s="102" t="n"/>
      <c r="N1453" s="102" t="n"/>
      <c r="O1453" s="102" t="n"/>
      <c r="P1453" s="102" t="n"/>
      <c r="Q1453" s="102" t="n"/>
      <c r="R1453" s="102" t="n"/>
      <c r="S1453" s="102" t="n"/>
      <c r="T1453" s="102" t="n"/>
      <c r="U1453" s="102" t="n"/>
      <c r="V1453" s="102" t="n"/>
      <c r="W1453" s="102" t="n"/>
      <c r="X1453" s="102" t="n"/>
      <c r="Y1453" s="102" t="n"/>
      <c r="Z1453" s="102" t="n"/>
      <c r="AA1453" s="102" t="n"/>
      <c r="AB1453" s="102" t="n"/>
      <c r="AC1453" s="102" t="n"/>
      <c r="AD1453" s="102" t="n"/>
      <c r="AE1453" s="102" t="n"/>
      <c r="AF1453" s="102" t="n"/>
      <c r="AG1453" s="102" t="n"/>
      <c r="AH1453" s="102" t="n"/>
      <c r="AI1453" s="102" t="n"/>
      <c r="AJ1453" s="102" t="n"/>
      <c r="AK1453" s="102" t="n"/>
      <c r="AL1453" s="102" t="n"/>
      <c r="AM1453" s="102" t="n"/>
      <c r="AN1453" s="102" t="n"/>
      <c r="AO1453" s="102" t="n"/>
      <c r="AP1453" s="102" t="n"/>
      <c r="AQ1453" s="102" t="n"/>
      <c r="AR1453" s="102" t="n"/>
    </row>
    <row r="1454">
      <c r="D1454" s="160" t="n"/>
      <c r="E1454" s="160" t="n"/>
      <c r="F1454" s="160" t="n"/>
      <c r="G1454" s="160" t="n"/>
      <c r="H1454" s="160" t="n"/>
      <c r="I1454" s="160" t="n"/>
      <c r="J1454" s="160" t="n"/>
      <c r="K1454" s="160" t="n"/>
      <c r="L1454" s="160" t="n"/>
      <c r="M1454" s="160" t="n"/>
      <c r="N1454" s="160" t="n"/>
      <c r="O1454" s="160" t="n"/>
      <c r="P1454" s="160" t="n"/>
      <c r="Q1454" s="160" t="n"/>
      <c r="R1454" s="160" t="n"/>
      <c r="S1454" s="160" t="n"/>
      <c r="T1454" s="160" t="n"/>
      <c r="U1454" s="160" t="n"/>
      <c r="V1454" s="160" t="n"/>
      <c r="W1454" s="160" t="n"/>
      <c r="X1454" s="160" t="n"/>
      <c r="Y1454" s="160" t="n"/>
      <c r="Z1454" s="160" t="n"/>
      <c r="AA1454" s="160" t="n"/>
      <c r="AB1454" s="160" t="n"/>
      <c r="AC1454" s="160" t="n"/>
      <c r="AD1454" s="160" t="n"/>
      <c r="AE1454" s="160" t="n"/>
      <c r="AF1454" s="160" t="n"/>
      <c r="AG1454" s="160" t="n"/>
      <c r="AH1454" s="160" t="n"/>
      <c r="AI1454" s="160" t="n"/>
      <c r="AJ1454" s="160" t="n"/>
      <c r="AK1454" s="160" t="n"/>
      <c r="AL1454" s="160" t="n"/>
      <c r="AM1454" s="160" t="n"/>
      <c r="AN1454" s="160" t="n"/>
      <c r="AO1454" s="160" t="n"/>
      <c r="AP1454" s="160" t="n"/>
      <c r="AQ1454" s="160" t="n"/>
      <c r="AR1454" s="160" t="n"/>
    </row>
    <row r="1456">
      <c r="A1456" s="8">
        <f>IF(HSTECH!$C$38="","",HSTECH!$C$38)</f>
        <v/>
      </c>
      <c r="B1456" s="158">
        <f>IF($A1456="",0,COUNT($E1457:$AR1457))</f>
        <v/>
      </c>
      <c r="C1456" s="159">
        <f>IF($B1456=0,0,MAX($E1457:$AR1457))</f>
        <v/>
      </c>
      <c r="D1456" s="101">
        <f>BDS($A1456,FLD_HIST,"headers=y","startcol=1","endcol=7","dir=h","DVD_START_DT",HIST_FROM,"DVD_END_DT",HIST_TO)</f>
        <v/>
      </c>
      <c r="E1456" s="102" t="n"/>
      <c r="F1456" s="102" t="n"/>
      <c r="G1456" s="102" t="n"/>
      <c r="H1456" s="102" t="n"/>
      <c r="I1456" s="102" t="n"/>
      <c r="J1456" s="102" t="n"/>
      <c r="K1456" s="102" t="n"/>
      <c r="L1456" s="102" t="n"/>
      <c r="M1456" s="102" t="n"/>
      <c r="N1456" s="102" t="n"/>
      <c r="O1456" s="102" t="n"/>
      <c r="P1456" s="102" t="n"/>
      <c r="Q1456" s="102" t="n"/>
      <c r="R1456" s="102" t="n"/>
      <c r="S1456" s="102" t="n"/>
      <c r="T1456" s="102" t="n"/>
      <c r="U1456" s="102" t="n"/>
      <c r="V1456" s="102" t="n"/>
      <c r="W1456" s="102" t="n"/>
      <c r="X1456" s="102" t="n"/>
      <c r="Y1456" s="102" t="n"/>
      <c r="Z1456" s="102" t="n"/>
      <c r="AA1456" s="102" t="n"/>
      <c r="AB1456" s="102" t="n"/>
      <c r="AC1456" s="102" t="n"/>
      <c r="AD1456" s="102" t="n"/>
      <c r="AE1456" s="102" t="n"/>
      <c r="AF1456" s="102" t="n"/>
      <c r="AG1456" s="102" t="n"/>
      <c r="AH1456" s="102" t="n"/>
      <c r="AI1456" s="102" t="n"/>
      <c r="AJ1456" s="102" t="n"/>
      <c r="AK1456" s="102" t="n"/>
      <c r="AL1456" s="102" t="n"/>
      <c r="AM1456" s="102" t="n"/>
      <c r="AN1456" s="102" t="n"/>
      <c r="AO1456" s="102" t="n"/>
      <c r="AP1456" s="102" t="n"/>
      <c r="AQ1456" s="102" t="n"/>
      <c r="AR1456" s="102" t="n"/>
    </row>
    <row r="1457">
      <c r="D1457" s="102" t="n"/>
      <c r="E1457" s="102" t="n"/>
      <c r="F1457" s="102" t="n"/>
      <c r="G1457" s="102" t="n"/>
      <c r="H1457" s="102" t="n"/>
      <c r="I1457" s="102" t="n"/>
      <c r="J1457" s="102" t="n"/>
      <c r="K1457" s="102" t="n"/>
      <c r="L1457" s="102" t="n"/>
      <c r="M1457" s="102" t="n"/>
      <c r="N1457" s="102" t="n"/>
      <c r="O1457" s="102" t="n"/>
      <c r="P1457" s="102" t="n"/>
      <c r="Q1457" s="102" t="n"/>
      <c r="R1457" s="102" t="n"/>
      <c r="S1457" s="102" t="n"/>
      <c r="T1457" s="102" t="n"/>
      <c r="U1457" s="102" t="n"/>
      <c r="V1457" s="102" t="n"/>
      <c r="W1457" s="102" t="n"/>
      <c r="X1457" s="102" t="n"/>
      <c r="Y1457" s="102" t="n"/>
      <c r="Z1457" s="102" t="n"/>
      <c r="AA1457" s="102" t="n"/>
      <c r="AB1457" s="102" t="n"/>
      <c r="AC1457" s="102" t="n"/>
      <c r="AD1457" s="102" t="n"/>
      <c r="AE1457" s="102" t="n"/>
      <c r="AF1457" s="102" t="n"/>
      <c r="AG1457" s="102" t="n"/>
      <c r="AH1457" s="102" t="n"/>
      <c r="AI1457" s="102" t="n"/>
      <c r="AJ1457" s="102" t="n"/>
      <c r="AK1457" s="102" t="n"/>
      <c r="AL1457" s="102" t="n"/>
      <c r="AM1457" s="102" t="n"/>
      <c r="AN1457" s="102" t="n"/>
      <c r="AO1457" s="102" t="n"/>
      <c r="AP1457" s="102" t="n"/>
      <c r="AQ1457" s="102" t="n"/>
      <c r="AR1457" s="102" t="n"/>
    </row>
    <row r="1458">
      <c r="D1458" s="102" t="n"/>
      <c r="E1458" s="102" t="n"/>
      <c r="F1458" s="102" t="n"/>
      <c r="G1458" s="102" t="n"/>
      <c r="H1458" s="102" t="n"/>
      <c r="I1458" s="102" t="n"/>
      <c r="J1458" s="102" t="n"/>
      <c r="K1458" s="102" t="n"/>
      <c r="L1458" s="102" t="n"/>
      <c r="M1458" s="102" t="n"/>
      <c r="N1458" s="102" t="n"/>
      <c r="O1458" s="102" t="n"/>
      <c r="P1458" s="102" t="n"/>
      <c r="Q1458" s="102" t="n"/>
      <c r="R1458" s="102" t="n"/>
      <c r="S1458" s="102" t="n"/>
      <c r="T1458" s="102" t="n"/>
      <c r="U1458" s="102" t="n"/>
      <c r="V1458" s="102" t="n"/>
      <c r="W1458" s="102" t="n"/>
      <c r="X1458" s="102" t="n"/>
      <c r="Y1458" s="102" t="n"/>
      <c r="Z1458" s="102" t="n"/>
      <c r="AA1458" s="102" t="n"/>
      <c r="AB1458" s="102" t="n"/>
      <c r="AC1458" s="102" t="n"/>
      <c r="AD1458" s="102" t="n"/>
      <c r="AE1458" s="102" t="n"/>
      <c r="AF1458" s="102" t="n"/>
      <c r="AG1458" s="102" t="n"/>
      <c r="AH1458" s="102" t="n"/>
      <c r="AI1458" s="102" t="n"/>
      <c r="AJ1458" s="102" t="n"/>
      <c r="AK1458" s="102" t="n"/>
      <c r="AL1458" s="102" t="n"/>
      <c r="AM1458" s="102" t="n"/>
      <c r="AN1458" s="102" t="n"/>
      <c r="AO1458" s="102" t="n"/>
      <c r="AP1458" s="102" t="n"/>
      <c r="AQ1458" s="102" t="n"/>
      <c r="AR1458" s="102" t="n"/>
    </row>
    <row r="1459">
      <c r="D1459" s="102" t="n"/>
      <c r="E1459" s="102" t="n"/>
      <c r="F1459" s="102" t="n"/>
      <c r="G1459" s="102" t="n"/>
      <c r="H1459" s="102" t="n"/>
      <c r="I1459" s="102" t="n"/>
      <c r="J1459" s="102" t="n"/>
      <c r="K1459" s="102" t="n"/>
      <c r="L1459" s="102" t="n"/>
      <c r="M1459" s="102" t="n"/>
      <c r="N1459" s="102" t="n"/>
      <c r="O1459" s="102" t="n"/>
      <c r="P1459" s="102" t="n"/>
      <c r="Q1459" s="102" t="n"/>
      <c r="R1459" s="102" t="n"/>
      <c r="S1459" s="102" t="n"/>
      <c r="T1459" s="102" t="n"/>
      <c r="U1459" s="102" t="n"/>
      <c r="V1459" s="102" t="n"/>
      <c r="W1459" s="102" t="n"/>
      <c r="X1459" s="102" t="n"/>
      <c r="Y1459" s="102" t="n"/>
      <c r="Z1459" s="102" t="n"/>
      <c r="AA1459" s="102" t="n"/>
      <c r="AB1459" s="102" t="n"/>
      <c r="AC1459" s="102" t="n"/>
      <c r="AD1459" s="102" t="n"/>
      <c r="AE1459" s="102" t="n"/>
      <c r="AF1459" s="102" t="n"/>
      <c r="AG1459" s="102" t="n"/>
      <c r="AH1459" s="102" t="n"/>
      <c r="AI1459" s="102" t="n"/>
      <c r="AJ1459" s="102" t="n"/>
      <c r="AK1459" s="102" t="n"/>
      <c r="AL1459" s="102" t="n"/>
      <c r="AM1459" s="102" t="n"/>
      <c r="AN1459" s="102" t="n"/>
      <c r="AO1459" s="102" t="n"/>
      <c r="AP1459" s="102" t="n"/>
      <c r="AQ1459" s="102" t="n"/>
      <c r="AR1459" s="102" t="n"/>
    </row>
    <row r="1460">
      <c r="D1460" s="160" t="n"/>
      <c r="E1460" s="160" t="n"/>
      <c r="F1460" s="160" t="n"/>
      <c r="G1460" s="160" t="n"/>
      <c r="H1460" s="160" t="n"/>
      <c r="I1460" s="160" t="n"/>
      <c r="J1460" s="160" t="n"/>
      <c r="K1460" s="160" t="n"/>
      <c r="L1460" s="160" t="n"/>
      <c r="M1460" s="160" t="n"/>
      <c r="N1460" s="160" t="n"/>
      <c r="O1460" s="160" t="n"/>
      <c r="P1460" s="160" t="n"/>
      <c r="Q1460" s="160" t="n"/>
      <c r="R1460" s="160" t="n"/>
      <c r="S1460" s="160" t="n"/>
      <c r="T1460" s="160" t="n"/>
      <c r="U1460" s="160" t="n"/>
      <c r="V1460" s="160" t="n"/>
      <c r="W1460" s="160" t="n"/>
      <c r="X1460" s="160" t="n"/>
      <c r="Y1460" s="160" t="n"/>
      <c r="Z1460" s="160" t="n"/>
      <c r="AA1460" s="160" t="n"/>
      <c r="AB1460" s="160" t="n"/>
      <c r="AC1460" s="160" t="n"/>
      <c r="AD1460" s="160" t="n"/>
      <c r="AE1460" s="160" t="n"/>
      <c r="AF1460" s="160" t="n"/>
      <c r="AG1460" s="160" t="n"/>
      <c r="AH1460" s="160" t="n"/>
      <c r="AI1460" s="160" t="n"/>
      <c r="AJ1460" s="160" t="n"/>
      <c r="AK1460" s="160" t="n"/>
      <c r="AL1460" s="160" t="n"/>
      <c r="AM1460" s="160" t="n"/>
      <c r="AN1460" s="160" t="n"/>
      <c r="AO1460" s="160" t="n"/>
      <c r="AP1460" s="160" t="n"/>
      <c r="AQ1460" s="160" t="n"/>
      <c r="AR1460" s="160" t="n"/>
    </row>
    <row r="1463">
      <c r="A1463" s="2">
        <f>IF($A1456="","","   projections")</f>
        <v/>
      </c>
      <c r="B1463" s="158">
        <f>IF($A1456="",0,COUNT($E1464:$AR1464))</f>
        <v/>
      </c>
      <c r="C1463" s="159">
        <f>IF($B1463=0,0,MAX($E1464:$AR1464))</f>
        <v/>
      </c>
      <c r="D1463" s="101">
        <f>BDS($A1456,FLD_PROJ,"headers=y","startcol=1","endcol=3","dir=h")</f>
        <v/>
      </c>
      <c r="E1463" s="102" t="n"/>
      <c r="F1463" s="102" t="n"/>
      <c r="G1463" s="102" t="n"/>
      <c r="H1463" s="102" t="n"/>
      <c r="I1463" s="102" t="n"/>
      <c r="J1463" s="102" t="n"/>
      <c r="K1463" s="102" t="n"/>
      <c r="L1463" s="102" t="n"/>
      <c r="M1463" s="102" t="n"/>
      <c r="N1463" s="102" t="n"/>
      <c r="O1463" s="102" t="n"/>
      <c r="P1463" s="102" t="n"/>
      <c r="Q1463" s="102" t="n"/>
      <c r="R1463" s="102" t="n"/>
      <c r="S1463" s="102" t="n"/>
      <c r="T1463" s="102" t="n"/>
      <c r="U1463" s="102" t="n"/>
      <c r="V1463" s="102" t="n"/>
      <c r="W1463" s="102" t="n"/>
      <c r="X1463" s="102" t="n"/>
      <c r="Y1463" s="102" t="n"/>
      <c r="Z1463" s="102" t="n"/>
      <c r="AA1463" s="102" t="n"/>
      <c r="AB1463" s="102" t="n"/>
      <c r="AC1463" s="102" t="n"/>
      <c r="AD1463" s="102" t="n"/>
      <c r="AE1463" s="102" t="n"/>
      <c r="AF1463" s="102" t="n"/>
      <c r="AG1463" s="102" t="n"/>
      <c r="AH1463" s="102" t="n"/>
      <c r="AI1463" s="102" t="n"/>
      <c r="AJ1463" s="102" t="n"/>
      <c r="AK1463" s="102" t="n"/>
      <c r="AL1463" s="102" t="n"/>
      <c r="AM1463" s="102" t="n"/>
      <c r="AN1463" s="102" t="n"/>
      <c r="AO1463" s="102" t="n"/>
      <c r="AP1463" s="102" t="n"/>
      <c r="AQ1463" s="102" t="n"/>
      <c r="AR1463" s="102" t="n"/>
    </row>
    <row r="1464">
      <c r="D1464" s="102" t="n"/>
      <c r="E1464" s="102" t="n"/>
      <c r="F1464" s="102" t="n"/>
      <c r="G1464" s="102" t="n"/>
      <c r="H1464" s="102" t="n"/>
      <c r="I1464" s="102" t="n"/>
      <c r="J1464" s="102" t="n"/>
      <c r="K1464" s="102" t="n"/>
      <c r="L1464" s="102" t="n"/>
      <c r="M1464" s="102" t="n"/>
      <c r="N1464" s="102" t="n"/>
      <c r="O1464" s="102" t="n"/>
      <c r="P1464" s="102" t="n"/>
      <c r="Q1464" s="102" t="n"/>
      <c r="R1464" s="102" t="n"/>
      <c r="S1464" s="102" t="n"/>
      <c r="T1464" s="102" t="n"/>
      <c r="U1464" s="102" t="n"/>
      <c r="V1464" s="102" t="n"/>
      <c r="W1464" s="102" t="n"/>
      <c r="X1464" s="102" t="n"/>
      <c r="Y1464" s="102" t="n"/>
      <c r="Z1464" s="102" t="n"/>
      <c r="AA1464" s="102" t="n"/>
      <c r="AB1464" s="102" t="n"/>
      <c r="AC1464" s="102" t="n"/>
      <c r="AD1464" s="102" t="n"/>
      <c r="AE1464" s="102" t="n"/>
      <c r="AF1464" s="102" t="n"/>
      <c r="AG1464" s="102" t="n"/>
      <c r="AH1464" s="102" t="n"/>
      <c r="AI1464" s="102" t="n"/>
      <c r="AJ1464" s="102" t="n"/>
      <c r="AK1464" s="102" t="n"/>
      <c r="AL1464" s="102" t="n"/>
      <c r="AM1464" s="102" t="n"/>
      <c r="AN1464" s="102" t="n"/>
      <c r="AO1464" s="102" t="n"/>
      <c r="AP1464" s="102" t="n"/>
      <c r="AQ1464" s="102" t="n"/>
      <c r="AR1464" s="102" t="n"/>
    </row>
    <row r="1465">
      <c r="D1465" s="160" t="n"/>
      <c r="E1465" s="160" t="n"/>
      <c r="F1465" s="160" t="n"/>
      <c r="G1465" s="160" t="n"/>
      <c r="H1465" s="160" t="n"/>
      <c r="I1465" s="160" t="n"/>
      <c r="J1465" s="160" t="n"/>
      <c r="K1465" s="160" t="n"/>
      <c r="L1465" s="160" t="n"/>
      <c r="M1465" s="160" t="n"/>
      <c r="N1465" s="160" t="n"/>
      <c r="O1465" s="160" t="n"/>
      <c r="P1465" s="160" t="n"/>
      <c r="Q1465" s="160" t="n"/>
      <c r="R1465" s="160" t="n"/>
      <c r="S1465" s="160" t="n"/>
      <c r="T1465" s="160" t="n"/>
      <c r="U1465" s="160" t="n"/>
      <c r="V1465" s="160" t="n"/>
      <c r="W1465" s="160" t="n"/>
      <c r="X1465" s="160" t="n"/>
      <c r="Y1465" s="160" t="n"/>
      <c r="Z1465" s="160" t="n"/>
      <c r="AA1465" s="160" t="n"/>
      <c r="AB1465" s="160" t="n"/>
      <c r="AC1465" s="160" t="n"/>
      <c r="AD1465" s="160" t="n"/>
      <c r="AE1465" s="160" t="n"/>
      <c r="AF1465" s="160" t="n"/>
      <c r="AG1465" s="160" t="n"/>
      <c r="AH1465" s="160" t="n"/>
      <c r="AI1465" s="160" t="n"/>
      <c r="AJ1465" s="160" t="n"/>
      <c r="AK1465" s="160" t="n"/>
      <c r="AL1465" s="160" t="n"/>
      <c r="AM1465" s="160" t="n"/>
      <c r="AN1465" s="160" t="n"/>
      <c r="AO1465" s="160" t="n"/>
      <c r="AP1465" s="160" t="n"/>
      <c r="AQ1465" s="160" t="n"/>
      <c r="AR1465" s="160" t="n"/>
    </row>
    <row r="1467">
      <c r="A1467" s="8">
        <f>IF(HSTECH!$C$39="","",HSTECH!$C$39)</f>
        <v/>
      </c>
      <c r="B1467" s="158">
        <f>IF($A1467="",0,COUNT($E1468:$AR1468))</f>
        <v/>
      </c>
      <c r="C1467" s="159">
        <f>IF($B1467=0,0,MAX($E1468:$AR1468))</f>
        <v/>
      </c>
      <c r="D1467" s="101">
        <f>BDS($A1467,FLD_HIST,"headers=y","startcol=1","endcol=7","dir=h","DVD_START_DT",HIST_FROM,"DVD_END_DT",HIST_TO)</f>
        <v/>
      </c>
      <c r="E1467" s="102" t="n"/>
      <c r="F1467" s="102" t="n"/>
      <c r="G1467" s="102" t="n"/>
      <c r="H1467" s="102" t="n"/>
      <c r="I1467" s="102" t="n"/>
      <c r="J1467" s="102" t="n"/>
      <c r="K1467" s="102" t="n"/>
      <c r="L1467" s="102" t="n"/>
      <c r="M1467" s="102" t="n"/>
      <c r="N1467" s="102" t="n"/>
      <c r="O1467" s="102" t="n"/>
      <c r="P1467" s="102" t="n"/>
      <c r="Q1467" s="102" t="n"/>
      <c r="R1467" s="102" t="n"/>
      <c r="S1467" s="102" t="n"/>
      <c r="T1467" s="102" t="n"/>
      <c r="U1467" s="102" t="n"/>
      <c r="V1467" s="102" t="n"/>
      <c r="W1467" s="102" t="n"/>
      <c r="X1467" s="102" t="n"/>
      <c r="Y1467" s="102" t="n"/>
      <c r="Z1467" s="102" t="n"/>
      <c r="AA1467" s="102" t="n"/>
      <c r="AB1467" s="102" t="n"/>
      <c r="AC1467" s="102" t="n"/>
      <c r="AD1467" s="102" t="n"/>
      <c r="AE1467" s="102" t="n"/>
      <c r="AF1467" s="102" t="n"/>
      <c r="AG1467" s="102" t="n"/>
      <c r="AH1467" s="102" t="n"/>
      <c r="AI1467" s="102" t="n"/>
      <c r="AJ1467" s="102" t="n"/>
      <c r="AK1467" s="102" t="n"/>
      <c r="AL1467" s="102" t="n"/>
      <c r="AM1467" s="102" t="n"/>
      <c r="AN1467" s="102" t="n"/>
      <c r="AO1467" s="102" t="n"/>
      <c r="AP1467" s="102" t="n"/>
      <c r="AQ1467" s="102" t="n"/>
      <c r="AR1467" s="102" t="n"/>
    </row>
    <row r="1468">
      <c r="D1468" s="102" t="n"/>
      <c r="E1468" s="102" t="n"/>
      <c r="F1468" s="102" t="n"/>
      <c r="G1468" s="102" t="n"/>
      <c r="H1468" s="102" t="n"/>
      <c r="I1468" s="102" t="n"/>
      <c r="J1468" s="102" t="n"/>
      <c r="K1468" s="102" t="n"/>
      <c r="L1468" s="102" t="n"/>
      <c r="M1468" s="102" t="n"/>
      <c r="N1468" s="102" t="n"/>
      <c r="O1468" s="102" t="n"/>
      <c r="P1468" s="102" t="n"/>
      <c r="Q1468" s="102" t="n"/>
      <c r="R1468" s="102" t="n"/>
      <c r="S1468" s="102" t="n"/>
      <c r="T1468" s="102" t="n"/>
      <c r="U1468" s="102" t="n"/>
      <c r="V1468" s="102" t="n"/>
      <c r="W1468" s="102" t="n"/>
      <c r="X1468" s="102" t="n"/>
      <c r="Y1468" s="102" t="n"/>
      <c r="Z1468" s="102" t="n"/>
      <c r="AA1468" s="102" t="n"/>
      <c r="AB1468" s="102" t="n"/>
      <c r="AC1468" s="102" t="n"/>
      <c r="AD1468" s="102" t="n"/>
      <c r="AE1468" s="102" t="n"/>
      <c r="AF1468" s="102" t="n"/>
      <c r="AG1468" s="102" t="n"/>
      <c r="AH1468" s="102" t="n"/>
      <c r="AI1468" s="102" t="n"/>
      <c r="AJ1468" s="102" t="n"/>
      <c r="AK1468" s="102" t="n"/>
      <c r="AL1468" s="102" t="n"/>
      <c r="AM1468" s="102" t="n"/>
      <c r="AN1468" s="102" t="n"/>
      <c r="AO1468" s="102" t="n"/>
      <c r="AP1468" s="102" t="n"/>
      <c r="AQ1468" s="102" t="n"/>
      <c r="AR1468" s="102" t="n"/>
    </row>
    <row r="1469">
      <c r="D1469" s="102" t="n"/>
      <c r="E1469" s="102" t="n"/>
      <c r="F1469" s="102" t="n"/>
      <c r="G1469" s="102" t="n"/>
      <c r="H1469" s="102" t="n"/>
      <c r="I1469" s="102" t="n"/>
      <c r="J1469" s="102" t="n"/>
      <c r="K1469" s="102" t="n"/>
      <c r="L1469" s="102" t="n"/>
      <c r="M1469" s="102" t="n"/>
      <c r="N1469" s="102" t="n"/>
      <c r="O1469" s="102" t="n"/>
      <c r="P1469" s="102" t="n"/>
      <c r="Q1469" s="102" t="n"/>
      <c r="R1469" s="102" t="n"/>
      <c r="S1469" s="102" t="n"/>
      <c r="T1469" s="102" t="n"/>
      <c r="U1469" s="102" t="n"/>
      <c r="V1469" s="102" t="n"/>
      <c r="W1469" s="102" t="n"/>
      <c r="X1469" s="102" t="n"/>
      <c r="Y1469" s="102" t="n"/>
      <c r="Z1469" s="102" t="n"/>
      <c r="AA1469" s="102" t="n"/>
      <c r="AB1469" s="102" t="n"/>
      <c r="AC1469" s="102" t="n"/>
      <c r="AD1469" s="102" t="n"/>
      <c r="AE1469" s="102" t="n"/>
      <c r="AF1469" s="102" t="n"/>
      <c r="AG1469" s="102" t="n"/>
      <c r="AH1469" s="102" t="n"/>
      <c r="AI1469" s="102" t="n"/>
      <c r="AJ1469" s="102" t="n"/>
      <c r="AK1469" s="102" t="n"/>
      <c r="AL1469" s="102" t="n"/>
      <c r="AM1469" s="102" t="n"/>
      <c r="AN1469" s="102" t="n"/>
      <c r="AO1469" s="102" t="n"/>
      <c r="AP1469" s="102" t="n"/>
      <c r="AQ1469" s="102" t="n"/>
      <c r="AR1469" s="102" t="n"/>
    </row>
    <row r="1470">
      <c r="D1470" s="102" t="n"/>
      <c r="E1470" s="102" t="n"/>
      <c r="F1470" s="102" t="n"/>
      <c r="G1470" s="102" t="n"/>
      <c r="H1470" s="102" t="n"/>
      <c r="I1470" s="102" t="n"/>
      <c r="J1470" s="102" t="n"/>
      <c r="K1470" s="102" t="n"/>
      <c r="L1470" s="102" t="n"/>
      <c r="M1470" s="102" t="n"/>
      <c r="N1470" s="102" t="n"/>
      <c r="O1470" s="102" t="n"/>
      <c r="P1470" s="102" t="n"/>
      <c r="Q1470" s="102" t="n"/>
      <c r="R1470" s="102" t="n"/>
      <c r="S1470" s="102" t="n"/>
      <c r="T1470" s="102" t="n"/>
      <c r="U1470" s="102" t="n"/>
      <c r="V1470" s="102" t="n"/>
      <c r="W1470" s="102" t="n"/>
      <c r="X1470" s="102" t="n"/>
      <c r="Y1470" s="102" t="n"/>
      <c r="Z1470" s="102" t="n"/>
      <c r="AA1470" s="102" t="n"/>
      <c r="AB1470" s="102" t="n"/>
      <c r="AC1470" s="102" t="n"/>
      <c r="AD1470" s="102" t="n"/>
      <c r="AE1470" s="102" t="n"/>
      <c r="AF1470" s="102" t="n"/>
      <c r="AG1470" s="102" t="n"/>
      <c r="AH1470" s="102" t="n"/>
      <c r="AI1470" s="102" t="n"/>
      <c r="AJ1470" s="102" t="n"/>
      <c r="AK1470" s="102" t="n"/>
      <c r="AL1470" s="102" t="n"/>
      <c r="AM1470" s="102" t="n"/>
      <c r="AN1470" s="102" t="n"/>
      <c r="AO1470" s="102" t="n"/>
      <c r="AP1470" s="102" t="n"/>
      <c r="AQ1470" s="102" t="n"/>
      <c r="AR1470" s="102" t="n"/>
    </row>
    <row r="1471">
      <c r="D1471" s="160" t="n"/>
      <c r="E1471" s="160" t="n"/>
      <c r="F1471" s="160" t="n"/>
      <c r="G1471" s="160" t="n"/>
      <c r="H1471" s="160" t="n"/>
      <c r="I1471" s="160" t="n"/>
      <c r="J1471" s="160" t="n"/>
      <c r="K1471" s="160" t="n"/>
      <c r="L1471" s="160" t="n"/>
      <c r="M1471" s="160" t="n"/>
      <c r="N1471" s="160" t="n"/>
      <c r="O1471" s="160" t="n"/>
      <c r="P1471" s="160" t="n"/>
      <c r="Q1471" s="160" t="n"/>
      <c r="R1471" s="160" t="n"/>
      <c r="S1471" s="160" t="n"/>
      <c r="T1471" s="160" t="n"/>
      <c r="U1471" s="160" t="n"/>
      <c r="V1471" s="160" t="n"/>
      <c r="W1471" s="160" t="n"/>
      <c r="X1471" s="160" t="n"/>
      <c r="Y1471" s="160" t="n"/>
      <c r="Z1471" s="160" t="n"/>
      <c r="AA1471" s="160" t="n"/>
      <c r="AB1471" s="160" t="n"/>
      <c r="AC1471" s="160" t="n"/>
      <c r="AD1471" s="160" t="n"/>
      <c r="AE1471" s="160" t="n"/>
      <c r="AF1471" s="160" t="n"/>
      <c r="AG1471" s="160" t="n"/>
      <c r="AH1471" s="160" t="n"/>
      <c r="AI1471" s="160" t="n"/>
      <c r="AJ1471" s="160" t="n"/>
      <c r="AK1471" s="160" t="n"/>
      <c r="AL1471" s="160" t="n"/>
      <c r="AM1471" s="160" t="n"/>
      <c r="AN1471" s="160" t="n"/>
      <c r="AO1471" s="160" t="n"/>
      <c r="AP1471" s="160" t="n"/>
      <c r="AQ1471" s="160" t="n"/>
      <c r="AR1471" s="160" t="n"/>
    </row>
    <row r="1474">
      <c r="A1474" s="2">
        <f>IF($A1467="","","   projections")</f>
        <v/>
      </c>
      <c r="B1474" s="158">
        <f>IF($A1467="",0,COUNT($E1475:$AR1475))</f>
        <v/>
      </c>
      <c r="C1474" s="159">
        <f>IF($B1474=0,0,MAX($E1475:$AR1475))</f>
        <v/>
      </c>
      <c r="D1474" s="101">
        <f>BDS($A1467,FLD_PROJ,"headers=y","startcol=1","endcol=3","dir=h")</f>
        <v/>
      </c>
      <c r="E1474" s="102" t="n"/>
      <c r="F1474" s="102" t="n"/>
      <c r="G1474" s="102" t="n"/>
      <c r="H1474" s="102" t="n"/>
      <c r="I1474" s="102" t="n"/>
      <c r="J1474" s="102" t="n"/>
      <c r="K1474" s="102" t="n"/>
      <c r="L1474" s="102" t="n"/>
      <c r="M1474" s="102" t="n"/>
      <c r="N1474" s="102" t="n"/>
      <c r="O1474" s="102" t="n"/>
      <c r="P1474" s="102" t="n"/>
      <c r="Q1474" s="102" t="n"/>
      <c r="R1474" s="102" t="n"/>
      <c r="S1474" s="102" t="n"/>
      <c r="T1474" s="102" t="n"/>
      <c r="U1474" s="102" t="n"/>
      <c r="V1474" s="102" t="n"/>
      <c r="W1474" s="102" t="n"/>
      <c r="X1474" s="102" t="n"/>
      <c r="Y1474" s="102" t="n"/>
      <c r="Z1474" s="102" t="n"/>
      <c r="AA1474" s="102" t="n"/>
      <c r="AB1474" s="102" t="n"/>
      <c r="AC1474" s="102" t="n"/>
      <c r="AD1474" s="102" t="n"/>
      <c r="AE1474" s="102" t="n"/>
      <c r="AF1474" s="102" t="n"/>
      <c r="AG1474" s="102" t="n"/>
      <c r="AH1474" s="102" t="n"/>
      <c r="AI1474" s="102" t="n"/>
      <c r="AJ1474" s="102" t="n"/>
      <c r="AK1474" s="102" t="n"/>
      <c r="AL1474" s="102" t="n"/>
      <c r="AM1474" s="102" t="n"/>
      <c r="AN1474" s="102" t="n"/>
      <c r="AO1474" s="102" t="n"/>
      <c r="AP1474" s="102" t="n"/>
      <c r="AQ1474" s="102" t="n"/>
      <c r="AR1474" s="102" t="n"/>
    </row>
    <row r="1475">
      <c r="D1475" s="102" t="n"/>
      <c r="E1475" s="102" t="n"/>
      <c r="F1475" s="102" t="n"/>
      <c r="G1475" s="102" t="n"/>
      <c r="H1475" s="102" t="n"/>
      <c r="I1475" s="102" t="n"/>
      <c r="J1475" s="102" t="n"/>
      <c r="K1475" s="102" t="n"/>
      <c r="L1475" s="102" t="n"/>
      <c r="M1475" s="102" t="n"/>
      <c r="N1475" s="102" t="n"/>
      <c r="O1475" s="102" t="n"/>
      <c r="P1475" s="102" t="n"/>
      <c r="Q1475" s="102" t="n"/>
      <c r="R1475" s="102" t="n"/>
      <c r="S1475" s="102" t="n"/>
      <c r="T1475" s="102" t="n"/>
      <c r="U1475" s="102" t="n"/>
      <c r="V1475" s="102" t="n"/>
      <c r="W1475" s="102" t="n"/>
      <c r="X1475" s="102" t="n"/>
      <c r="Y1475" s="102" t="n"/>
      <c r="Z1475" s="102" t="n"/>
      <c r="AA1475" s="102" t="n"/>
      <c r="AB1475" s="102" t="n"/>
      <c r="AC1475" s="102" t="n"/>
      <c r="AD1475" s="102" t="n"/>
      <c r="AE1475" s="102" t="n"/>
      <c r="AF1475" s="102" t="n"/>
      <c r="AG1475" s="102" t="n"/>
      <c r="AH1475" s="102" t="n"/>
      <c r="AI1475" s="102" t="n"/>
      <c r="AJ1475" s="102" t="n"/>
      <c r="AK1475" s="102" t="n"/>
      <c r="AL1475" s="102" t="n"/>
      <c r="AM1475" s="102" t="n"/>
      <c r="AN1475" s="102" t="n"/>
      <c r="AO1475" s="102" t="n"/>
      <c r="AP1475" s="102" t="n"/>
      <c r="AQ1475" s="102" t="n"/>
      <c r="AR1475" s="102" t="n"/>
    </row>
    <row r="1476">
      <c r="D1476" s="160" t="n"/>
      <c r="E1476" s="160" t="n"/>
      <c r="F1476" s="160" t="n"/>
      <c r="G1476" s="160" t="n"/>
      <c r="H1476" s="160" t="n"/>
      <c r="I1476" s="160" t="n"/>
      <c r="J1476" s="160" t="n"/>
      <c r="K1476" s="160" t="n"/>
      <c r="L1476" s="160" t="n"/>
      <c r="M1476" s="160" t="n"/>
      <c r="N1476" s="160" t="n"/>
      <c r="O1476" s="160" t="n"/>
      <c r="P1476" s="160" t="n"/>
      <c r="Q1476" s="160" t="n"/>
      <c r="R1476" s="160" t="n"/>
      <c r="S1476" s="160" t="n"/>
      <c r="T1476" s="160" t="n"/>
      <c r="U1476" s="160" t="n"/>
      <c r="V1476" s="160" t="n"/>
      <c r="W1476" s="160" t="n"/>
      <c r="X1476" s="160" t="n"/>
      <c r="Y1476" s="160" t="n"/>
      <c r="Z1476" s="160" t="n"/>
      <c r="AA1476" s="160" t="n"/>
      <c r="AB1476" s="160" t="n"/>
      <c r="AC1476" s="160" t="n"/>
      <c r="AD1476" s="160" t="n"/>
      <c r="AE1476" s="160" t="n"/>
      <c r="AF1476" s="160" t="n"/>
      <c r="AG1476" s="160" t="n"/>
      <c r="AH1476" s="160" t="n"/>
      <c r="AI1476" s="160" t="n"/>
      <c r="AJ1476" s="160" t="n"/>
      <c r="AK1476" s="160" t="n"/>
      <c r="AL1476" s="160" t="n"/>
      <c r="AM1476" s="160" t="n"/>
      <c r="AN1476" s="160" t="n"/>
      <c r="AO1476" s="160" t="n"/>
      <c r="AP1476" s="160" t="n"/>
      <c r="AQ1476" s="160" t="n"/>
      <c r="AR1476" s="160" t="n"/>
    </row>
    <row r="1478">
      <c r="A1478" s="8">
        <f>IF(HSTECH!$C$40="","",HSTECH!$C$40)</f>
        <v/>
      </c>
      <c r="B1478" s="158">
        <f>IF($A1478="",0,COUNT($E1479:$AR1479))</f>
        <v/>
      </c>
      <c r="C1478" s="159">
        <f>IF($B1478=0,0,MAX($E1479:$AR1479))</f>
        <v/>
      </c>
      <c r="D1478" s="101">
        <f>BDS($A1478,FLD_HIST,"headers=y","startcol=1","endcol=7","dir=h","DVD_START_DT",HIST_FROM,"DVD_END_DT",HIST_TO)</f>
        <v/>
      </c>
      <c r="E1478" s="102" t="n"/>
      <c r="F1478" s="102" t="n"/>
      <c r="G1478" s="102" t="n"/>
      <c r="H1478" s="102" t="n"/>
      <c r="I1478" s="102" t="n"/>
      <c r="J1478" s="102" t="n"/>
      <c r="K1478" s="102" t="n"/>
      <c r="L1478" s="102" t="n"/>
      <c r="M1478" s="102" t="n"/>
      <c r="N1478" s="102" t="n"/>
      <c r="O1478" s="102" t="n"/>
      <c r="P1478" s="102" t="n"/>
      <c r="Q1478" s="102" t="n"/>
      <c r="R1478" s="102" t="n"/>
      <c r="S1478" s="102" t="n"/>
      <c r="T1478" s="102" t="n"/>
      <c r="U1478" s="102" t="n"/>
      <c r="V1478" s="102" t="n"/>
      <c r="W1478" s="102" t="n"/>
      <c r="X1478" s="102" t="n"/>
      <c r="Y1478" s="102" t="n"/>
      <c r="Z1478" s="102" t="n"/>
      <c r="AA1478" s="102" t="n"/>
      <c r="AB1478" s="102" t="n"/>
      <c r="AC1478" s="102" t="n"/>
      <c r="AD1478" s="102" t="n"/>
      <c r="AE1478" s="102" t="n"/>
      <c r="AF1478" s="102" t="n"/>
      <c r="AG1478" s="102" t="n"/>
      <c r="AH1478" s="102" t="n"/>
      <c r="AI1478" s="102" t="n"/>
      <c r="AJ1478" s="102" t="n"/>
      <c r="AK1478" s="102" t="n"/>
      <c r="AL1478" s="102" t="n"/>
      <c r="AM1478" s="102" t="n"/>
      <c r="AN1478" s="102" t="n"/>
      <c r="AO1478" s="102" t="n"/>
      <c r="AP1478" s="102" t="n"/>
      <c r="AQ1478" s="102" t="n"/>
      <c r="AR1478" s="102" t="n"/>
    </row>
    <row r="1479">
      <c r="D1479" s="102" t="n"/>
      <c r="E1479" s="102" t="n"/>
      <c r="F1479" s="102" t="n"/>
      <c r="G1479" s="102" t="n"/>
      <c r="H1479" s="102" t="n"/>
      <c r="I1479" s="102" t="n"/>
      <c r="J1479" s="102" t="n"/>
      <c r="K1479" s="102" t="n"/>
      <c r="L1479" s="102" t="n"/>
      <c r="M1479" s="102" t="n"/>
      <c r="N1479" s="102" t="n"/>
      <c r="O1479" s="102" t="n"/>
      <c r="P1479" s="102" t="n"/>
      <c r="Q1479" s="102" t="n"/>
      <c r="R1479" s="102" t="n"/>
      <c r="S1479" s="102" t="n"/>
      <c r="T1479" s="102" t="n"/>
      <c r="U1479" s="102" t="n"/>
      <c r="V1479" s="102" t="n"/>
      <c r="W1479" s="102" t="n"/>
      <c r="X1479" s="102" t="n"/>
      <c r="Y1479" s="102" t="n"/>
      <c r="Z1479" s="102" t="n"/>
      <c r="AA1479" s="102" t="n"/>
      <c r="AB1479" s="102" t="n"/>
      <c r="AC1479" s="102" t="n"/>
      <c r="AD1479" s="102" t="n"/>
      <c r="AE1479" s="102" t="n"/>
      <c r="AF1479" s="102" t="n"/>
      <c r="AG1479" s="102" t="n"/>
      <c r="AH1479" s="102" t="n"/>
      <c r="AI1479" s="102" t="n"/>
      <c r="AJ1479" s="102" t="n"/>
      <c r="AK1479" s="102" t="n"/>
      <c r="AL1479" s="102" t="n"/>
      <c r="AM1479" s="102" t="n"/>
      <c r="AN1479" s="102" t="n"/>
      <c r="AO1479" s="102" t="n"/>
      <c r="AP1479" s="102" t="n"/>
      <c r="AQ1479" s="102" t="n"/>
      <c r="AR1479" s="102" t="n"/>
    </row>
    <row r="1480">
      <c r="D1480" s="102" t="n"/>
      <c r="E1480" s="102" t="n"/>
      <c r="F1480" s="102" t="n"/>
      <c r="G1480" s="102" t="n"/>
      <c r="H1480" s="102" t="n"/>
      <c r="I1480" s="102" t="n"/>
      <c r="J1480" s="102" t="n"/>
      <c r="K1480" s="102" t="n"/>
      <c r="L1480" s="102" t="n"/>
      <c r="M1480" s="102" t="n"/>
      <c r="N1480" s="102" t="n"/>
      <c r="O1480" s="102" t="n"/>
      <c r="P1480" s="102" t="n"/>
      <c r="Q1480" s="102" t="n"/>
      <c r="R1480" s="102" t="n"/>
      <c r="S1480" s="102" t="n"/>
      <c r="T1480" s="102" t="n"/>
      <c r="U1480" s="102" t="n"/>
      <c r="V1480" s="102" t="n"/>
      <c r="W1480" s="102" t="n"/>
      <c r="X1480" s="102" t="n"/>
      <c r="Y1480" s="102" t="n"/>
      <c r="Z1480" s="102" t="n"/>
      <c r="AA1480" s="102" t="n"/>
      <c r="AB1480" s="102" t="n"/>
      <c r="AC1480" s="102" t="n"/>
      <c r="AD1480" s="102" t="n"/>
      <c r="AE1480" s="102" t="n"/>
      <c r="AF1480" s="102" t="n"/>
      <c r="AG1480" s="102" t="n"/>
      <c r="AH1480" s="102" t="n"/>
      <c r="AI1480" s="102" t="n"/>
      <c r="AJ1480" s="102" t="n"/>
      <c r="AK1480" s="102" t="n"/>
      <c r="AL1480" s="102" t="n"/>
      <c r="AM1480" s="102" t="n"/>
      <c r="AN1480" s="102" t="n"/>
      <c r="AO1480" s="102" t="n"/>
      <c r="AP1480" s="102" t="n"/>
      <c r="AQ1480" s="102" t="n"/>
      <c r="AR1480" s="102" t="n"/>
    </row>
    <row r="1481">
      <c r="D1481" s="102" t="n"/>
      <c r="E1481" s="102" t="n"/>
      <c r="F1481" s="102" t="n"/>
      <c r="G1481" s="102" t="n"/>
      <c r="H1481" s="102" t="n"/>
      <c r="I1481" s="102" t="n"/>
      <c r="J1481" s="102" t="n"/>
      <c r="K1481" s="102" t="n"/>
      <c r="L1481" s="102" t="n"/>
      <c r="M1481" s="102" t="n"/>
      <c r="N1481" s="102" t="n"/>
      <c r="O1481" s="102" t="n"/>
      <c r="P1481" s="102" t="n"/>
      <c r="Q1481" s="102" t="n"/>
      <c r="R1481" s="102" t="n"/>
      <c r="S1481" s="102" t="n"/>
      <c r="T1481" s="102" t="n"/>
      <c r="U1481" s="102" t="n"/>
      <c r="V1481" s="102" t="n"/>
      <c r="W1481" s="102" t="n"/>
      <c r="X1481" s="102" t="n"/>
      <c r="Y1481" s="102" t="n"/>
      <c r="Z1481" s="102" t="n"/>
      <c r="AA1481" s="102" t="n"/>
      <c r="AB1481" s="102" t="n"/>
      <c r="AC1481" s="102" t="n"/>
      <c r="AD1481" s="102" t="n"/>
      <c r="AE1481" s="102" t="n"/>
      <c r="AF1481" s="102" t="n"/>
      <c r="AG1481" s="102" t="n"/>
      <c r="AH1481" s="102" t="n"/>
      <c r="AI1481" s="102" t="n"/>
      <c r="AJ1481" s="102" t="n"/>
      <c r="AK1481" s="102" t="n"/>
      <c r="AL1481" s="102" t="n"/>
      <c r="AM1481" s="102" t="n"/>
      <c r="AN1481" s="102" t="n"/>
      <c r="AO1481" s="102" t="n"/>
      <c r="AP1481" s="102" t="n"/>
      <c r="AQ1481" s="102" t="n"/>
      <c r="AR1481" s="102" t="n"/>
    </row>
    <row r="1482">
      <c r="D1482" s="160" t="n"/>
      <c r="E1482" s="160" t="n"/>
      <c r="F1482" s="160" t="n"/>
      <c r="G1482" s="160" t="n"/>
      <c r="H1482" s="160" t="n"/>
      <c r="I1482" s="160" t="n"/>
      <c r="J1482" s="160" t="n"/>
      <c r="K1482" s="160" t="n"/>
      <c r="L1482" s="160" t="n"/>
      <c r="M1482" s="160" t="n"/>
      <c r="N1482" s="160" t="n"/>
      <c r="O1482" s="160" t="n"/>
      <c r="P1482" s="160" t="n"/>
      <c r="Q1482" s="160" t="n"/>
      <c r="R1482" s="160" t="n"/>
      <c r="S1482" s="160" t="n"/>
      <c r="T1482" s="160" t="n"/>
      <c r="U1482" s="160" t="n"/>
      <c r="V1482" s="160" t="n"/>
      <c r="W1482" s="160" t="n"/>
      <c r="X1482" s="160" t="n"/>
      <c r="Y1482" s="160" t="n"/>
      <c r="Z1482" s="160" t="n"/>
      <c r="AA1482" s="160" t="n"/>
      <c r="AB1482" s="160" t="n"/>
      <c r="AC1482" s="160" t="n"/>
      <c r="AD1482" s="160" t="n"/>
      <c r="AE1482" s="160" t="n"/>
      <c r="AF1482" s="160" t="n"/>
      <c r="AG1482" s="160" t="n"/>
      <c r="AH1482" s="160" t="n"/>
      <c r="AI1482" s="160" t="n"/>
      <c r="AJ1482" s="160" t="n"/>
      <c r="AK1482" s="160" t="n"/>
      <c r="AL1482" s="160" t="n"/>
      <c r="AM1482" s="160" t="n"/>
      <c r="AN1482" s="160" t="n"/>
      <c r="AO1482" s="160" t="n"/>
      <c r="AP1482" s="160" t="n"/>
      <c r="AQ1482" s="160" t="n"/>
      <c r="AR1482" s="160" t="n"/>
    </row>
    <row r="1485">
      <c r="A1485" s="2">
        <f>IF($A1478="","","   projections")</f>
        <v/>
      </c>
      <c r="B1485" s="158">
        <f>IF($A1478="",0,COUNT($E1486:$AR1486))</f>
        <v/>
      </c>
      <c r="C1485" s="159">
        <f>IF($B1485=0,0,MAX($E1486:$AR1486))</f>
        <v/>
      </c>
      <c r="D1485" s="101">
        <f>BDS($A1478,FLD_PROJ,"headers=y","startcol=1","endcol=3","dir=h")</f>
        <v/>
      </c>
      <c r="E1485" s="102" t="n"/>
      <c r="F1485" s="102" t="n"/>
      <c r="G1485" s="102" t="n"/>
      <c r="H1485" s="102" t="n"/>
      <c r="I1485" s="102" t="n"/>
      <c r="J1485" s="102" t="n"/>
      <c r="K1485" s="102" t="n"/>
      <c r="L1485" s="102" t="n"/>
      <c r="M1485" s="102" t="n"/>
      <c r="N1485" s="102" t="n"/>
      <c r="O1485" s="102" t="n"/>
      <c r="P1485" s="102" t="n"/>
      <c r="Q1485" s="102" t="n"/>
      <c r="R1485" s="102" t="n"/>
      <c r="S1485" s="102" t="n"/>
      <c r="T1485" s="102" t="n"/>
      <c r="U1485" s="102" t="n"/>
      <c r="V1485" s="102" t="n"/>
      <c r="W1485" s="102" t="n"/>
      <c r="X1485" s="102" t="n"/>
      <c r="Y1485" s="102" t="n"/>
      <c r="Z1485" s="102" t="n"/>
      <c r="AA1485" s="102" t="n"/>
      <c r="AB1485" s="102" t="n"/>
      <c r="AC1485" s="102" t="n"/>
      <c r="AD1485" s="102" t="n"/>
      <c r="AE1485" s="102" t="n"/>
      <c r="AF1485" s="102" t="n"/>
      <c r="AG1485" s="102" t="n"/>
      <c r="AH1485" s="102" t="n"/>
      <c r="AI1485" s="102" t="n"/>
      <c r="AJ1485" s="102" t="n"/>
      <c r="AK1485" s="102" t="n"/>
      <c r="AL1485" s="102" t="n"/>
      <c r="AM1485" s="102" t="n"/>
      <c r="AN1485" s="102" t="n"/>
      <c r="AO1485" s="102" t="n"/>
      <c r="AP1485" s="102" t="n"/>
      <c r="AQ1485" s="102" t="n"/>
      <c r="AR1485" s="102" t="n"/>
    </row>
    <row r="1486">
      <c r="D1486" s="102" t="n"/>
      <c r="E1486" s="102" t="n"/>
      <c r="F1486" s="102" t="n"/>
      <c r="G1486" s="102" t="n"/>
      <c r="H1486" s="102" t="n"/>
      <c r="I1486" s="102" t="n"/>
      <c r="J1486" s="102" t="n"/>
      <c r="K1486" s="102" t="n"/>
      <c r="L1486" s="102" t="n"/>
      <c r="M1486" s="102" t="n"/>
      <c r="N1486" s="102" t="n"/>
      <c r="O1486" s="102" t="n"/>
      <c r="P1486" s="102" t="n"/>
      <c r="Q1486" s="102" t="n"/>
      <c r="R1486" s="102" t="n"/>
      <c r="S1486" s="102" t="n"/>
      <c r="T1486" s="102" t="n"/>
      <c r="U1486" s="102" t="n"/>
      <c r="V1486" s="102" t="n"/>
      <c r="W1486" s="102" t="n"/>
      <c r="X1486" s="102" t="n"/>
      <c r="Y1486" s="102" t="n"/>
      <c r="Z1486" s="102" t="n"/>
      <c r="AA1486" s="102" t="n"/>
      <c r="AB1486" s="102" t="n"/>
      <c r="AC1486" s="102" t="n"/>
      <c r="AD1486" s="102" t="n"/>
      <c r="AE1486" s="102" t="n"/>
      <c r="AF1486" s="102" t="n"/>
      <c r="AG1486" s="102" t="n"/>
      <c r="AH1486" s="102" t="n"/>
      <c r="AI1486" s="102" t="n"/>
      <c r="AJ1486" s="102" t="n"/>
      <c r="AK1486" s="102" t="n"/>
      <c r="AL1486" s="102" t="n"/>
      <c r="AM1486" s="102" t="n"/>
      <c r="AN1486" s="102" t="n"/>
      <c r="AO1486" s="102" t="n"/>
      <c r="AP1486" s="102" t="n"/>
      <c r="AQ1486" s="102" t="n"/>
      <c r="AR1486" s="102" t="n"/>
    </row>
    <row r="1487">
      <c r="D1487" s="160" t="n"/>
      <c r="E1487" s="160" t="n"/>
      <c r="F1487" s="160" t="n"/>
      <c r="G1487" s="160" t="n"/>
      <c r="H1487" s="160" t="n"/>
      <c r="I1487" s="160" t="n"/>
      <c r="J1487" s="160" t="n"/>
      <c r="K1487" s="160" t="n"/>
      <c r="L1487" s="160" t="n"/>
      <c r="M1487" s="160" t="n"/>
      <c r="N1487" s="160" t="n"/>
      <c r="O1487" s="160" t="n"/>
      <c r="P1487" s="160" t="n"/>
      <c r="Q1487" s="160" t="n"/>
      <c r="R1487" s="160" t="n"/>
      <c r="S1487" s="160" t="n"/>
      <c r="T1487" s="160" t="n"/>
      <c r="U1487" s="160" t="n"/>
      <c r="V1487" s="160" t="n"/>
      <c r="W1487" s="160" t="n"/>
      <c r="X1487" s="160" t="n"/>
      <c r="Y1487" s="160" t="n"/>
      <c r="Z1487" s="160" t="n"/>
      <c r="AA1487" s="160" t="n"/>
      <c r="AB1487" s="160" t="n"/>
      <c r="AC1487" s="160" t="n"/>
      <c r="AD1487" s="160" t="n"/>
      <c r="AE1487" s="160" t="n"/>
      <c r="AF1487" s="160" t="n"/>
      <c r="AG1487" s="160" t="n"/>
      <c r="AH1487" s="160" t="n"/>
      <c r="AI1487" s="160" t="n"/>
      <c r="AJ1487" s="160" t="n"/>
      <c r="AK1487" s="160" t="n"/>
      <c r="AL1487" s="160" t="n"/>
      <c r="AM1487" s="160" t="n"/>
      <c r="AN1487" s="160" t="n"/>
      <c r="AO1487" s="160" t="n"/>
      <c r="AP1487" s="160" t="n"/>
      <c r="AQ1487" s="160" t="n"/>
      <c r="AR1487" s="160" t="n"/>
    </row>
    <row r="1489">
      <c r="A1489" s="8">
        <f>IF(HSTECH!$C$41="","",HSTECH!$C$41)</f>
        <v/>
      </c>
      <c r="B1489" s="158">
        <f>IF($A1489="",0,COUNT($E1490:$AR1490))</f>
        <v/>
      </c>
      <c r="C1489" s="159">
        <f>IF($B1489=0,0,MAX($E1490:$AR1490))</f>
        <v/>
      </c>
      <c r="D1489" s="101">
        <f>BDS($A1489,FLD_HIST,"headers=y","startcol=1","endcol=7","dir=h","DVD_START_DT",HIST_FROM,"DVD_END_DT",HIST_TO)</f>
        <v/>
      </c>
      <c r="E1489" s="102" t="n"/>
      <c r="F1489" s="102" t="n"/>
      <c r="G1489" s="102" t="n"/>
      <c r="H1489" s="102" t="n"/>
      <c r="I1489" s="102" t="n"/>
      <c r="J1489" s="102" t="n"/>
      <c r="K1489" s="102" t="n"/>
      <c r="L1489" s="102" t="n"/>
      <c r="M1489" s="102" t="n"/>
      <c r="N1489" s="102" t="n"/>
      <c r="O1489" s="102" t="n"/>
      <c r="P1489" s="102" t="n"/>
      <c r="Q1489" s="102" t="n"/>
      <c r="R1489" s="102" t="n"/>
      <c r="S1489" s="102" t="n"/>
      <c r="T1489" s="102" t="n"/>
      <c r="U1489" s="102" t="n"/>
      <c r="V1489" s="102" t="n"/>
      <c r="W1489" s="102" t="n"/>
      <c r="X1489" s="102" t="n"/>
      <c r="Y1489" s="102" t="n"/>
      <c r="Z1489" s="102" t="n"/>
      <c r="AA1489" s="102" t="n"/>
      <c r="AB1489" s="102" t="n"/>
      <c r="AC1489" s="102" t="n"/>
      <c r="AD1489" s="102" t="n"/>
      <c r="AE1489" s="102" t="n"/>
      <c r="AF1489" s="102" t="n"/>
      <c r="AG1489" s="102" t="n"/>
      <c r="AH1489" s="102" t="n"/>
      <c r="AI1489" s="102" t="n"/>
      <c r="AJ1489" s="102" t="n"/>
      <c r="AK1489" s="102" t="n"/>
      <c r="AL1489" s="102" t="n"/>
      <c r="AM1489" s="102" t="n"/>
      <c r="AN1489" s="102" t="n"/>
      <c r="AO1489" s="102" t="n"/>
      <c r="AP1489" s="102" t="n"/>
      <c r="AQ1489" s="102" t="n"/>
      <c r="AR1489" s="102" t="n"/>
    </row>
    <row r="1490">
      <c r="D1490" s="102" t="n"/>
      <c r="E1490" s="102" t="n"/>
      <c r="F1490" s="102" t="n"/>
      <c r="G1490" s="102" t="n"/>
      <c r="H1490" s="102" t="n"/>
      <c r="I1490" s="102" t="n"/>
      <c r="J1490" s="102" t="n"/>
      <c r="K1490" s="102" t="n"/>
      <c r="L1490" s="102" t="n"/>
      <c r="M1490" s="102" t="n"/>
      <c r="N1490" s="102" t="n"/>
      <c r="O1490" s="102" t="n"/>
      <c r="P1490" s="102" t="n"/>
      <c r="Q1490" s="102" t="n"/>
      <c r="R1490" s="102" t="n"/>
      <c r="S1490" s="102" t="n"/>
      <c r="T1490" s="102" t="n"/>
      <c r="U1490" s="102" t="n"/>
      <c r="V1490" s="102" t="n"/>
      <c r="W1490" s="102" t="n"/>
      <c r="X1490" s="102" t="n"/>
      <c r="Y1490" s="102" t="n"/>
      <c r="Z1490" s="102" t="n"/>
      <c r="AA1490" s="102" t="n"/>
      <c r="AB1490" s="102" t="n"/>
      <c r="AC1490" s="102" t="n"/>
      <c r="AD1490" s="102" t="n"/>
      <c r="AE1490" s="102" t="n"/>
      <c r="AF1490" s="102" t="n"/>
      <c r="AG1490" s="102" t="n"/>
      <c r="AH1490" s="102" t="n"/>
      <c r="AI1490" s="102" t="n"/>
      <c r="AJ1490" s="102" t="n"/>
      <c r="AK1490" s="102" t="n"/>
      <c r="AL1490" s="102" t="n"/>
      <c r="AM1490" s="102" t="n"/>
      <c r="AN1490" s="102" t="n"/>
      <c r="AO1490" s="102" t="n"/>
      <c r="AP1490" s="102" t="n"/>
      <c r="AQ1490" s="102" t="n"/>
      <c r="AR1490" s="102" t="n"/>
    </row>
    <row r="1491">
      <c r="D1491" s="102" t="n"/>
      <c r="E1491" s="102" t="n"/>
      <c r="F1491" s="102" t="n"/>
      <c r="G1491" s="102" t="n"/>
      <c r="H1491" s="102" t="n"/>
      <c r="I1491" s="102" t="n"/>
      <c r="J1491" s="102" t="n"/>
      <c r="K1491" s="102" t="n"/>
      <c r="L1491" s="102" t="n"/>
      <c r="M1491" s="102" t="n"/>
      <c r="N1491" s="102" t="n"/>
      <c r="O1491" s="102" t="n"/>
      <c r="P1491" s="102" t="n"/>
      <c r="Q1491" s="102" t="n"/>
      <c r="R1491" s="102" t="n"/>
      <c r="S1491" s="102" t="n"/>
      <c r="T1491" s="102" t="n"/>
      <c r="U1491" s="102" t="n"/>
      <c r="V1491" s="102" t="n"/>
      <c r="W1491" s="102" t="n"/>
      <c r="X1491" s="102" t="n"/>
      <c r="Y1491" s="102" t="n"/>
      <c r="Z1491" s="102" t="n"/>
      <c r="AA1491" s="102" t="n"/>
      <c r="AB1491" s="102" t="n"/>
      <c r="AC1491" s="102" t="n"/>
      <c r="AD1491" s="102" t="n"/>
      <c r="AE1491" s="102" t="n"/>
      <c r="AF1491" s="102" t="n"/>
      <c r="AG1491" s="102" t="n"/>
      <c r="AH1491" s="102" t="n"/>
      <c r="AI1491" s="102" t="n"/>
      <c r="AJ1491" s="102" t="n"/>
      <c r="AK1491" s="102" t="n"/>
      <c r="AL1491" s="102" t="n"/>
      <c r="AM1491" s="102" t="n"/>
      <c r="AN1491" s="102" t="n"/>
      <c r="AO1491" s="102" t="n"/>
      <c r="AP1491" s="102" t="n"/>
      <c r="AQ1491" s="102" t="n"/>
      <c r="AR1491" s="102" t="n"/>
    </row>
    <row r="1492">
      <c r="D1492" s="102" t="n"/>
      <c r="E1492" s="102" t="n"/>
      <c r="F1492" s="102" t="n"/>
      <c r="G1492" s="102" t="n"/>
      <c r="H1492" s="102" t="n"/>
      <c r="I1492" s="102" t="n"/>
      <c r="J1492" s="102" t="n"/>
      <c r="K1492" s="102" t="n"/>
      <c r="L1492" s="102" t="n"/>
      <c r="M1492" s="102" t="n"/>
      <c r="N1492" s="102" t="n"/>
      <c r="O1492" s="102" t="n"/>
      <c r="P1492" s="102" t="n"/>
      <c r="Q1492" s="102" t="n"/>
      <c r="R1492" s="102" t="n"/>
      <c r="S1492" s="102" t="n"/>
      <c r="T1492" s="102" t="n"/>
      <c r="U1492" s="102" t="n"/>
      <c r="V1492" s="102" t="n"/>
      <c r="W1492" s="102" t="n"/>
      <c r="X1492" s="102" t="n"/>
      <c r="Y1492" s="102" t="n"/>
      <c r="Z1492" s="102" t="n"/>
      <c r="AA1492" s="102" t="n"/>
      <c r="AB1492" s="102" t="n"/>
      <c r="AC1492" s="102" t="n"/>
      <c r="AD1492" s="102" t="n"/>
      <c r="AE1492" s="102" t="n"/>
      <c r="AF1492" s="102" t="n"/>
      <c r="AG1492" s="102" t="n"/>
      <c r="AH1492" s="102" t="n"/>
      <c r="AI1492" s="102" t="n"/>
      <c r="AJ1492" s="102" t="n"/>
      <c r="AK1492" s="102" t="n"/>
      <c r="AL1492" s="102" t="n"/>
      <c r="AM1492" s="102" t="n"/>
      <c r="AN1492" s="102" t="n"/>
      <c r="AO1492" s="102" t="n"/>
      <c r="AP1492" s="102" t="n"/>
      <c r="AQ1492" s="102" t="n"/>
      <c r="AR1492" s="102" t="n"/>
    </row>
    <row r="1493">
      <c r="D1493" s="160" t="n"/>
      <c r="E1493" s="160" t="n"/>
      <c r="F1493" s="160" t="n"/>
      <c r="G1493" s="160" t="n"/>
      <c r="H1493" s="160" t="n"/>
      <c r="I1493" s="160" t="n"/>
      <c r="J1493" s="160" t="n"/>
      <c r="K1493" s="160" t="n"/>
      <c r="L1493" s="160" t="n"/>
      <c r="M1493" s="160" t="n"/>
      <c r="N1493" s="160" t="n"/>
      <c r="O1493" s="160" t="n"/>
      <c r="P1493" s="160" t="n"/>
      <c r="Q1493" s="160" t="n"/>
      <c r="R1493" s="160" t="n"/>
      <c r="S1493" s="160" t="n"/>
      <c r="T1493" s="160" t="n"/>
      <c r="U1493" s="160" t="n"/>
      <c r="V1493" s="160" t="n"/>
      <c r="W1493" s="160" t="n"/>
      <c r="X1493" s="160" t="n"/>
      <c r="Y1493" s="160" t="n"/>
      <c r="Z1493" s="160" t="n"/>
      <c r="AA1493" s="160" t="n"/>
      <c r="AB1493" s="160" t="n"/>
      <c r="AC1493" s="160" t="n"/>
      <c r="AD1493" s="160" t="n"/>
      <c r="AE1493" s="160" t="n"/>
      <c r="AF1493" s="160" t="n"/>
      <c r="AG1493" s="160" t="n"/>
      <c r="AH1493" s="160" t="n"/>
      <c r="AI1493" s="160" t="n"/>
      <c r="AJ1493" s="160" t="n"/>
      <c r="AK1493" s="160" t="n"/>
      <c r="AL1493" s="160" t="n"/>
      <c r="AM1493" s="160" t="n"/>
      <c r="AN1493" s="160" t="n"/>
      <c r="AO1493" s="160" t="n"/>
      <c r="AP1493" s="160" t="n"/>
      <c r="AQ1493" s="160" t="n"/>
      <c r="AR1493" s="160" t="n"/>
    </row>
    <row r="1496">
      <c r="A1496" s="2">
        <f>IF($A1489="","","   projections")</f>
        <v/>
      </c>
      <c r="B1496" s="158">
        <f>IF($A1489="",0,COUNT($E1497:$AR1497))</f>
        <v/>
      </c>
      <c r="C1496" s="159">
        <f>IF($B1496=0,0,MAX($E1497:$AR1497))</f>
        <v/>
      </c>
      <c r="D1496" s="101">
        <f>BDS($A1489,FLD_PROJ,"headers=y","startcol=1","endcol=3","dir=h")</f>
        <v/>
      </c>
      <c r="E1496" s="102" t="n"/>
      <c r="F1496" s="102" t="n"/>
      <c r="G1496" s="102" t="n"/>
      <c r="H1496" s="102" t="n"/>
      <c r="I1496" s="102" t="n"/>
      <c r="J1496" s="102" t="n"/>
      <c r="K1496" s="102" t="n"/>
      <c r="L1496" s="102" t="n"/>
      <c r="M1496" s="102" t="n"/>
      <c r="N1496" s="102" t="n"/>
      <c r="O1496" s="102" t="n"/>
      <c r="P1496" s="102" t="n"/>
      <c r="Q1496" s="102" t="n"/>
      <c r="R1496" s="102" t="n"/>
      <c r="S1496" s="102" t="n"/>
      <c r="T1496" s="102" t="n"/>
      <c r="U1496" s="102" t="n"/>
      <c r="V1496" s="102" t="n"/>
      <c r="W1496" s="102" t="n"/>
      <c r="X1496" s="102" t="n"/>
      <c r="Y1496" s="102" t="n"/>
      <c r="Z1496" s="102" t="n"/>
      <c r="AA1496" s="102" t="n"/>
      <c r="AB1496" s="102" t="n"/>
      <c r="AC1496" s="102" t="n"/>
      <c r="AD1496" s="102" t="n"/>
      <c r="AE1496" s="102" t="n"/>
      <c r="AF1496" s="102" t="n"/>
      <c r="AG1496" s="102" t="n"/>
      <c r="AH1496" s="102" t="n"/>
      <c r="AI1496" s="102" t="n"/>
      <c r="AJ1496" s="102" t="n"/>
      <c r="AK1496" s="102" t="n"/>
      <c r="AL1496" s="102" t="n"/>
      <c r="AM1496" s="102" t="n"/>
      <c r="AN1496" s="102" t="n"/>
      <c r="AO1496" s="102" t="n"/>
      <c r="AP1496" s="102" t="n"/>
      <c r="AQ1496" s="102" t="n"/>
      <c r="AR1496" s="102" t="n"/>
    </row>
    <row r="1497">
      <c r="D1497" s="102" t="n"/>
      <c r="E1497" s="102" t="n"/>
      <c r="F1497" s="102" t="n"/>
      <c r="G1497" s="102" t="n"/>
      <c r="H1497" s="102" t="n"/>
      <c r="I1497" s="102" t="n"/>
      <c r="J1497" s="102" t="n"/>
      <c r="K1497" s="102" t="n"/>
      <c r="L1497" s="102" t="n"/>
      <c r="M1497" s="102" t="n"/>
      <c r="N1497" s="102" t="n"/>
      <c r="O1497" s="102" t="n"/>
      <c r="P1497" s="102" t="n"/>
      <c r="Q1497" s="102" t="n"/>
      <c r="R1497" s="102" t="n"/>
      <c r="S1497" s="102" t="n"/>
      <c r="T1497" s="102" t="n"/>
      <c r="U1497" s="102" t="n"/>
      <c r="V1497" s="102" t="n"/>
      <c r="W1497" s="102" t="n"/>
      <c r="X1497" s="102" t="n"/>
      <c r="Y1497" s="102" t="n"/>
      <c r="Z1497" s="102" t="n"/>
      <c r="AA1497" s="102" t="n"/>
      <c r="AB1497" s="102" t="n"/>
      <c r="AC1497" s="102" t="n"/>
      <c r="AD1497" s="102" t="n"/>
      <c r="AE1497" s="102" t="n"/>
      <c r="AF1497" s="102" t="n"/>
      <c r="AG1497" s="102" t="n"/>
      <c r="AH1497" s="102" t="n"/>
      <c r="AI1497" s="102" t="n"/>
      <c r="AJ1497" s="102" t="n"/>
      <c r="AK1497" s="102" t="n"/>
      <c r="AL1497" s="102" t="n"/>
      <c r="AM1497" s="102" t="n"/>
      <c r="AN1497" s="102" t="n"/>
      <c r="AO1497" s="102" t="n"/>
      <c r="AP1497" s="102" t="n"/>
      <c r="AQ1497" s="102" t="n"/>
      <c r="AR1497" s="102" t="n"/>
    </row>
    <row r="1498">
      <c r="D1498" s="160" t="n"/>
      <c r="E1498" s="160" t="n"/>
      <c r="F1498" s="160" t="n"/>
      <c r="G1498" s="160" t="n"/>
      <c r="H1498" s="160" t="n"/>
      <c r="I1498" s="160" t="n"/>
      <c r="J1498" s="160" t="n"/>
      <c r="K1498" s="160" t="n"/>
      <c r="L1498" s="160" t="n"/>
      <c r="M1498" s="160" t="n"/>
      <c r="N1498" s="160" t="n"/>
      <c r="O1498" s="160" t="n"/>
      <c r="P1498" s="160" t="n"/>
      <c r="Q1498" s="160" t="n"/>
      <c r="R1498" s="160" t="n"/>
      <c r="S1498" s="160" t="n"/>
      <c r="T1498" s="160" t="n"/>
      <c r="U1498" s="160" t="n"/>
      <c r="V1498" s="160" t="n"/>
      <c r="W1498" s="160" t="n"/>
      <c r="X1498" s="160" t="n"/>
      <c r="Y1498" s="160" t="n"/>
      <c r="Z1498" s="160" t="n"/>
      <c r="AA1498" s="160" t="n"/>
      <c r="AB1498" s="160" t="n"/>
      <c r="AC1498" s="160" t="n"/>
      <c r="AD1498" s="160" t="n"/>
      <c r="AE1498" s="160" t="n"/>
      <c r="AF1498" s="160" t="n"/>
      <c r="AG1498" s="160" t="n"/>
      <c r="AH1498" s="160" t="n"/>
      <c r="AI1498" s="160" t="n"/>
      <c r="AJ1498" s="160" t="n"/>
      <c r="AK1498" s="160" t="n"/>
      <c r="AL1498" s="160" t="n"/>
      <c r="AM1498" s="160" t="n"/>
      <c r="AN1498" s="160" t="n"/>
      <c r="AO1498" s="160" t="n"/>
      <c r="AP1498" s="160" t="n"/>
      <c r="AQ1498" s="160" t="n"/>
      <c r="AR1498" s="160" t="n"/>
    </row>
    <row r="1500">
      <c r="A1500" s="8">
        <f>IF(HSTECH!$C$42="","",HSTECH!$C$42)</f>
        <v/>
      </c>
      <c r="B1500" s="158">
        <f>IF($A1500="",0,COUNT($E1501:$AR1501))</f>
        <v/>
      </c>
      <c r="C1500" s="159">
        <f>IF($B1500=0,0,MAX($E1501:$AR1501))</f>
        <v/>
      </c>
      <c r="D1500" s="101">
        <f>BDS($A1500,FLD_HIST,"headers=y","startcol=1","endcol=7","dir=h","DVD_START_DT",HIST_FROM,"DVD_END_DT",HIST_TO)</f>
        <v/>
      </c>
      <c r="E1500" s="102" t="n"/>
      <c r="F1500" s="102" t="n"/>
      <c r="G1500" s="102" t="n"/>
      <c r="H1500" s="102" t="n"/>
      <c r="I1500" s="102" t="n"/>
      <c r="J1500" s="102" t="n"/>
      <c r="K1500" s="102" t="n"/>
      <c r="L1500" s="102" t="n"/>
      <c r="M1500" s="102" t="n"/>
      <c r="N1500" s="102" t="n"/>
      <c r="O1500" s="102" t="n"/>
      <c r="P1500" s="102" t="n"/>
      <c r="Q1500" s="102" t="n"/>
      <c r="R1500" s="102" t="n"/>
      <c r="S1500" s="102" t="n"/>
      <c r="T1500" s="102" t="n"/>
      <c r="U1500" s="102" t="n"/>
      <c r="V1500" s="102" t="n"/>
      <c r="W1500" s="102" t="n"/>
      <c r="X1500" s="102" t="n"/>
      <c r="Y1500" s="102" t="n"/>
      <c r="Z1500" s="102" t="n"/>
      <c r="AA1500" s="102" t="n"/>
      <c r="AB1500" s="102" t="n"/>
      <c r="AC1500" s="102" t="n"/>
      <c r="AD1500" s="102" t="n"/>
      <c r="AE1500" s="102" t="n"/>
      <c r="AF1500" s="102" t="n"/>
      <c r="AG1500" s="102" t="n"/>
      <c r="AH1500" s="102" t="n"/>
      <c r="AI1500" s="102" t="n"/>
      <c r="AJ1500" s="102" t="n"/>
      <c r="AK1500" s="102" t="n"/>
      <c r="AL1500" s="102" t="n"/>
      <c r="AM1500" s="102" t="n"/>
      <c r="AN1500" s="102" t="n"/>
      <c r="AO1500" s="102" t="n"/>
      <c r="AP1500" s="102" t="n"/>
      <c r="AQ1500" s="102" t="n"/>
      <c r="AR1500" s="102" t="n"/>
    </row>
    <row r="1501">
      <c r="D1501" s="102" t="n"/>
      <c r="E1501" s="102" t="n"/>
      <c r="F1501" s="102" t="n"/>
      <c r="G1501" s="102" t="n"/>
      <c r="H1501" s="102" t="n"/>
      <c r="I1501" s="102" t="n"/>
      <c r="J1501" s="102" t="n"/>
      <c r="K1501" s="102" t="n"/>
      <c r="L1501" s="102" t="n"/>
      <c r="M1501" s="102" t="n"/>
      <c r="N1501" s="102" t="n"/>
      <c r="O1501" s="102" t="n"/>
      <c r="P1501" s="102" t="n"/>
      <c r="Q1501" s="102" t="n"/>
      <c r="R1501" s="102" t="n"/>
      <c r="S1501" s="102" t="n"/>
      <c r="T1501" s="102" t="n"/>
      <c r="U1501" s="102" t="n"/>
      <c r="V1501" s="102" t="n"/>
      <c r="W1501" s="102" t="n"/>
      <c r="X1501" s="102" t="n"/>
      <c r="Y1501" s="102" t="n"/>
      <c r="Z1501" s="102" t="n"/>
      <c r="AA1501" s="102" t="n"/>
      <c r="AB1501" s="102" t="n"/>
      <c r="AC1501" s="102" t="n"/>
      <c r="AD1501" s="102" t="n"/>
      <c r="AE1501" s="102" t="n"/>
      <c r="AF1501" s="102" t="n"/>
      <c r="AG1501" s="102" t="n"/>
      <c r="AH1501" s="102" t="n"/>
      <c r="AI1501" s="102" t="n"/>
      <c r="AJ1501" s="102" t="n"/>
      <c r="AK1501" s="102" t="n"/>
      <c r="AL1501" s="102" t="n"/>
      <c r="AM1501" s="102" t="n"/>
      <c r="AN1501" s="102" t="n"/>
      <c r="AO1501" s="102" t="n"/>
      <c r="AP1501" s="102" t="n"/>
      <c r="AQ1501" s="102" t="n"/>
      <c r="AR1501" s="102" t="n"/>
    </row>
    <row r="1502">
      <c r="D1502" s="102" t="n"/>
      <c r="E1502" s="102" t="n"/>
      <c r="F1502" s="102" t="n"/>
      <c r="G1502" s="102" t="n"/>
      <c r="H1502" s="102" t="n"/>
      <c r="I1502" s="102" t="n"/>
      <c r="J1502" s="102" t="n"/>
      <c r="K1502" s="102" t="n"/>
      <c r="L1502" s="102" t="n"/>
      <c r="M1502" s="102" t="n"/>
      <c r="N1502" s="102" t="n"/>
      <c r="O1502" s="102" t="n"/>
      <c r="P1502" s="102" t="n"/>
      <c r="Q1502" s="102" t="n"/>
      <c r="R1502" s="102" t="n"/>
      <c r="S1502" s="102" t="n"/>
      <c r="T1502" s="102" t="n"/>
      <c r="U1502" s="102" t="n"/>
      <c r="V1502" s="102" t="n"/>
      <c r="W1502" s="102" t="n"/>
      <c r="X1502" s="102" t="n"/>
      <c r="Y1502" s="102" t="n"/>
      <c r="Z1502" s="102" t="n"/>
      <c r="AA1502" s="102" t="n"/>
      <c r="AB1502" s="102" t="n"/>
      <c r="AC1502" s="102" t="n"/>
      <c r="AD1502" s="102" t="n"/>
      <c r="AE1502" s="102" t="n"/>
      <c r="AF1502" s="102" t="n"/>
      <c r="AG1502" s="102" t="n"/>
      <c r="AH1502" s="102" t="n"/>
      <c r="AI1502" s="102" t="n"/>
      <c r="AJ1502" s="102" t="n"/>
      <c r="AK1502" s="102" t="n"/>
      <c r="AL1502" s="102" t="n"/>
      <c r="AM1502" s="102" t="n"/>
      <c r="AN1502" s="102" t="n"/>
      <c r="AO1502" s="102" t="n"/>
      <c r="AP1502" s="102" t="n"/>
      <c r="AQ1502" s="102" t="n"/>
      <c r="AR1502" s="102" t="n"/>
    </row>
    <row r="1503">
      <c r="D1503" s="102" t="n"/>
      <c r="E1503" s="102" t="n"/>
      <c r="F1503" s="102" t="n"/>
      <c r="G1503" s="102" t="n"/>
      <c r="H1503" s="102" t="n"/>
      <c r="I1503" s="102" t="n"/>
      <c r="J1503" s="102" t="n"/>
      <c r="K1503" s="102" t="n"/>
      <c r="L1503" s="102" t="n"/>
      <c r="M1503" s="102" t="n"/>
      <c r="N1503" s="102" t="n"/>
      <c r="O1503" s="102" t="n"/>
      <c r="P1503" s="102" t="n"/>
      <c r="Q1503" s="102" t="n"/>
      <c r="R1503" s="102" t="n"/>
      <c r="S1503" s="102" t="n"/>
      <c r="T1503" s="102" t="n"/>
      <c r="U1503" s="102" t="n"/>
      <c r="V1503" s="102" t="n"/>
      <c r="W1503" s="102" t="n"/>
      <c r="X1503" s="102" t="n"/>
      <c r="Y1503" s="102" t="n"/>
      <c r="Z1503" s="102" t="n"/>
      <c r="AA1503" s="102" t="n"/>
      <c r="AB1503" s="102" t="n"/>
      <c r="AC1503" s="102" t="n"/>
      <c r="AD1503" s="102" t="n"/>
      <c r="AE1503" s="102" t="n"/>
      <c r="AF1503" s="102" t="n"/>
      <c r="AG1503" s="102" t="n"/>
      <c r="AH1503" s="102" t="n"/>
      <c r="AI1503" s="102" t="n"/>
      <c r="AJ1503" s="102" t="n"/>
      <c r="AK1503" s="102" t="n"/>
      <c r="AL1503" s="102" t="n"/>
      <c r="AM1503" s="102" t="n"/>
      <c r="AN1503" s="102" t="n"/>
      <c r="AO1503" s="102" t="n"/>
      <c r="AP1503" s="102" t="n"/>
      <c r="AQ1503" s="102" t="n"/>
      <c r="AR1503" s="102" t="n"/>
    </row>
    <row r="1504">
      <c r="D1504" s="160" t="n"/>
      <c r="E1504" s="160" t="n"/>
      <c r="F1504" s="160" t="n"/>
      <c r="G1504" s="160" t="n"/>
      <c r="H1504" s="160" t="n"/>
      <c r="I1504" s="160" t="n"/>
      <c r="J1504" s="160" t="n"/>
      <c r="K1504" s="160" t="n"/>
      <c r="L1504" s="160" t="n"/>
      <c r="M1504" s="160" t="n"/>
      <c r="N1504" s="160" t="n"/>
      <c r="O1504" s="160" t="n"/>
      <c r="P1504" s="160" t="n"/>
      <c r="Q1504" s="160" t="n"/>
      <c r="R1504" s="160" t="n"/>
      <c r="S1504" s="160" t="n"/>
      <c r="T1504" s="160" t="n"/>
      <c r="U1504" s="160" t="n"/>
      <c r="V1504" s="160" t="n"/>
      <c r="W1504" s="160" t="n"/>
      <c r="X1504" s="160" t="n"/>
      <c r="Y1504" s="160" t="n"/>
      <c r="Z1504" s="160" t="n"/>
      <c r="AA1504" s="160" t="n"/>
      <c r="AB1504" s="160" t="n"/>
      <c r="AC1504" s="160" t="n"/>
      <c r="AD1504" s="160" t="n"/>
      <c r="AE1504" s="160" t="n"/>
      <c r="AF1504" s="160" t="n"/>
      <c r="AG1504" s="160" t="n"/>
      <c r="AH1504" s="160" t="n"/>
      <c r="AI1504" s="160" t="n"/>
      <c r="AJ1504" s="160" t="n"/>
      <c r="AK1504" s="160" t="n"/>
      <c r="AL1504" s="160" t="n"/>
      <c r="AM1504" s="160" t="n"/>
      <c r="AN1504" s="160" t="n"/>
      <c r="AO1504" s="160" t="n"/>
      <c r="AP1504" s="160" t="n"/>
      <c r="AQ1504" s="160" t="n"/>
      <c r="AR1504" s="160" t="n"/>
    </row>
    <row r="1507">
      <c r="A1507" s="2">
        <f>IF($A1500="","","   projections")</f>
        <v/>
      </c>
      <c r="B1507" s="158">
        <f>IF($A1500="",0,COUNT($E1508:$AR1508))</f>
        <v/>
      </c>
      <c r="C1507" s="159">
        <f>IF($B1507=0,0,MAX($E1508:$AR1508))</f>
        <v/>
      </c>
      <c r="D1507" s="101">
        <f>BDS($A1500,FLD_PROJ,"headers=y","startcol=1","endcol=3","dir=h")</f>
        <v/>
      </c>
      <c r="E1507" s="102" t="n"/>
      <c r="F1507" s="102" t="n"/>
      <c r="G1507" s="102" t="n"/>
      <c r="H1507" s="102" t="n"/>
      <c r="I1507" s="102" t="n"/>
      <c r="J1507" s="102" t="n"/>
      <c r="K1507" s="102" t="n"/>
      <c r="L1507" s="102" t="n"/>
      <c r="M1507" s="102" t="n"/>
      <c r="N1507" s="102" t="n"/>
      <c r="O1507" s="102" t="n"/>
      <c r="P1507" s="102" t="n"/>
      <c r="Q1507" s="102" t="n"/>
      <c r="R1507" s="102" t="n"/>
      <c r="S1507" s="102" t="n"/>
      <c r="T1507" s="102" t="n"/>
      <c r="U1507" s="102" t="n"/>
      <c r="V1507" s="102" t="n"/>
      <c r="W1507" s="102" t="n"/>
      <c r="X1507" s="102" t="n"/>
      <c r="Y1507" s="102" t="n"/>
      <c r="Z1507" s="102" t="n"/>
      <c r="AA1507" s="102" t="n"/>
      <c r="AB1507" s="102" t="n"/>
      <c r="AC1507" s="102" t="n"/>
      <c r="AD1507" s="102" t="n"/>
      <c r="AE1507" s="102" t="n"/>
      <c r="AF1507" s="102" t="n"/>
      <c r="AG1507" s="102" t="n"/>
      <c r="AH1507" s="102" t="n"/>
      <c r="AI1507" s="102" t="n"/>
      <c r="AJ1507" s="102" t="n"/>
      <c r="AK1507" s="102" t="n"/>
      <c r="AL1507" s="102" t="n"/>
      <c r="AM1507" s="102" t="n"/>
      <c r="AN1507" s="102" t="n"/>
      <c r="AO1507" s="102" t="n"/>
      <c r="AP1507" s="102" t="n"/>
      <c r="AQ1507" s="102" t="n"/>
      <c r="AR1507" s="102" t="n"/>
    </row>
    <row r="1508">
      <c r="D1508" s="102" t="n"/>
      <c r="E1508" s="102" t="n"/>
      <c r="F1508" s="102" t="n"/>
      <c r="G1508" s="102" t="n"/>
      <c r="H1508" s="102" t="n"/>
      <c r="I1508" s="102" t="n"/>
      <c r="J1508" s="102" t="n"/>
      <c r="K1508" s="102" t="n"/>
      <c r="L1508" s="102" t="n"/>
      <c r="M1508" s="102" t="n"/>
      <c r="N1508" s="102" t="n"/>
      <c r="O1508" s="102" t="n"/>
      <c r="P1508" s="102" t="n"/>
      <c r="Q1508" s="102" t="n"/>
      <c r="R1508" s="102" t="n"/>
      <c r="S1508" s="102" t="n"/>
      <c r="T1508" s="102" t="n"/>
      <c r="U1508" s="102" t="n"/>
      <c r="V1508" s="102" t="n"/>
      <c r="W1508" s="102" t="n"/>
      <c r="X1508" s="102" t="n"/>
      <c r="Y1508" s="102" t="n"/>
      <c r="Z1508" s="102" t="n"/>
      <c r="AA1508" s="102" t="n"/>
      <c r="AB1508" s="102" t="n"/>
      <c r="AC1508" s="102" t="n"/>
      <c r="AD1508" s="102" t="n"/>
      <c r="AE1508" s="102" t="n"/>
      <c r="AF1508" s="102" t="n"/>
      <c r="AG1508" s="102" t="n"/>
      <c r="AH1508" s="102" t="n"/>
      <c r="AI1508" s="102" t="n"/>
      <c r="AJ1508" s="102" t="n"/>
      <c r="AK1508" s="102" t="n"/>
      <c r="AL1508" s="102" t="n"/>
      <c r="AM1508" s="102" t="n"/>
      <c r="AN1508" s="102" t="n"/>
      <c r="AO1508" s="102" t="n"/>
      <c r="AP1508" s="102" t="n"/>
      <c r="AQ1508" s="102" t="n"/>
      <c r="AR1508" s="102" t="n"/>
    </row>
    <row r="1509">
      <c r="D1509" s="160" t="n"/>
      <c r="E1509" s="160" t="n"/>
      <c r="F1509" s="160" t="n"/>
      <c r="G1509" s="160" t="n"/>
      <c r="H1509" s="160" t="n"/>
      <c r="I1509" s="160" t="n"/>
      <c r="J1509" s="160" t="n"/>
      <c r="K1509" s="160" t="n"/>
      <c r="L1509" s="160" t="n"/>
      <c r="M1509" s="160" t="n"/>
      <c r="N1509" s="160" t="n"/>
      <c r="O1509" s="160" t="n"/>
      <c r="P1509" s="160" t="n"/>
      <c r="Q1509" s="160" t="n"/>
      <c r="R1509" s="160" t="n"/>
      <c r="S1509" s="160" t="n"/>
      <c r="T1509" s="160" t="n"/>
      <c r="U1509" s="160" t="n"/>
      <c r="V1509" s="160" t="n"/>
      <c r="W1509" s="160" t="n"/>
      <c r="X1509" s="160" t="n"/>
      <c r="Y1509" s="160" t="n"/>
      <c r="Z1509" s="160" t="n"/>
      <c r="AA1509" s="160" t="n"/>
      <c r="AB1509" s="160" t="n"/>
      <c r="AC1509" s="160" t="n"/>
      <c r="AD1509" s="160" t="n"/>
      <c r="AE1509" s="160" t="n"/>
      <c r="AF1509" s="160" t="n"/>
      <c r="AG1509" s="160" t="n"/>
      <c r="AH1509" s="160" t="n"/>
      <c r="AI1509" s="160" t="n"/>
      <c r="AJ1509" s="160" t="n"/>
      <c r="AK1509" s="160" t="n"/>
      <c r="AL1509" s="160" t="n"/>
      <c r="AM1509" s="160" t="n"/>
      <c r="AN1509" s="160" t="n"/>
      <c r="AO1509" s="160" t="n"/>
      <c r="AP1509" s="160" t="n"/>
      <c r="AQ1509" s="160" t="n"/>
      <c r="AR1509" s="160" t="n"/>
    </row>
    <row r="1511">
      <c r="A1511" s="8">
        <f>IF(HSTECH!$C$43="","",HSTECH!$C$43)</f>
        <v/>
      </c>
      <c r="B1511" s="158">
        <f>IF($A1511="",0,COUNT($E1512:$AR1512))</f>
        <v/>
      </c>
      <c r="C1511" s="159">
        <f>IF($B1511=0,0,MAX($E1512:$AR1512))</f>
        <v/>
      </c>
      <c r="D1511" s="101">
        <f>BDS($A1511,FLD_HIST,"headers=y","startcol=1","endcol=7","dir=h","DVD_START_DT",HIST_FROM,"DVD_END_DT",HIST_TO)</f>
        <v/>
      </c>
      <c r="E1511" s="102" t="n"/>
      <c r="F1511" s="102" t="n"/>
      <c r="G1511" s="102" t="n"/>
      <c r="H1511" s="102" t="n"/>
      <c r="I1511" s="102" t="n"/>
      <c r="J1511" s="102" t="n"/>
      <c r="K1511" s="102" t="n"/>
      <c r="L1511" s="102" t="n"/>
      <c r="M1511" s="102" t="n"/>
      <c r="N1511" s="102" t="n"/>
      <c r="O1511" s="102" t="n"/>
      <c r="P1511" s="102" t="n"/>
      <c r="Q1511" s="102" t="n"/>
      <c r="R1511" s="102" t="n"/>
      <c r="S1511" s="102" t="n"/>
      <c r="T1511" s="102" t="n"/>
      <c r="U1511" s="102" t="n"/>
      <c r="V1511" s="102" t="n"/>
      <c r="W1511" s="102" t="n"/>
      <c r="X1511" s="102" t="n"/>
      <c r="Y1511" s="102" t="n"/>
      <c r="Z1511" s="102" t="n"/>
      <c r="AA1511" s="102" t="n"/>
      <c r="AB1511" s="102" t="n"/>
      <c r="AC1511" s="102" t="n"/>
      <c r="AD1511" s="102" t="n"/>
      <c r="AE1511" s="102" t="n"/>
      <c r="AF1511" s="102" t="n"/>
      <c r="AG1511" s="102" t="n"/>
      <c r="AH1511" s="102" t="n"/>
      <c r="AI1511" s="102" t="n"/>
      <c r="AJ1511" s="102" t="n"/>
      <c r="AK1511" s="102" t="n"/>
      <c r="AL1511" s="102" t="n"/>
      <c r="AM1511" s="102" t="n"/>
      <c r="AN1511" s="102" t="n"/>
      <c r="AO1511" s="102" t="n"/>
      <c r="AP1511" s="102" t="n"/>
      <c r="AQ1511" s="102" t="n"/>
      <c r="AR1511" s="102" t="n"/>
    </row>
    <row r="1512">
      <c r="D1512" s="102" t="n"/>
      <c r="E1512" s="102" t="n"/>
      <c r="F1512" s="102" t="n"/>
      <c r="G1512" s="102" t="n"/>
      <c r="H1512" s="102" t="n"/>
      <c r="I1512" s="102" t="n"/>
      <c r="J1512" s="102" t="n"/>
      <c r="K1512" s="102" t="n"/>
      <c r="L1512" s="102" t="n"/>
      <c r="M1512" s="102" t="n"/>
      <c r="N1512" s="102" t="n"/>
      <c r="O1512" s="102" t="n"/>
      <c r="P1512" s="102" t="n"/>
      <c r="Q1512" s="102" t="n"/>
      <c r="R1512" s="102" t="n"/>
      <c r="S1512" s="102" t="n"/>
      <c r="T1512" s="102" t="n"/>
      <c r="U1512" s="102" t="n"/>
      <c r="V1512" s="102" t="n"/>
      <c r="W1512" s="102" t="n"/>
      <c r="X1512" s="102" t="n"/>
      <c r="Y1512" s="102" t="n"/>
      <c r="Z1512" s="102" t="n"/>
      <c r="AA1512" s="102" t="n"/>
      <c r="AB1512" s="102" t="n"/>
      <c r="AC1512" s="102" t="n"/>
      <c r="AD1512" s="102" t="n"/>
      <c r="AE1512" s="102" t="n"/>
      <c r="AF1512" s="102" t="n"/>
      <c r="AG1512" s="102" t="n"/>
      <c r="AH1512" s="102" t="n"/>
      <c r="AI1512" s="102" t="n"/>
      <c r="AJ1512" s="102" t="n"/>
      <c r="AK1512" s="102" t="n"/>
      <c r="AL1512" s="102" t="n"/>
      <c r="AM1512" s="102" t="n"/>
      <c r="AN1512" s="102" t="n"/>
      <c r="AO1512" s="102" t="n"/>
      <c r="AP1512" s="102" t="n"/>
      <c r="AQ1512" s="102" t="n"/>
      <c r="AR1512" s="102" t="n"/>
    </row>
    <row r="1513">
      <c r="D1513" s="102" t="n"/>
      <c r="E1513" s="102" t="n"/>
      <c r="F1513" s="102" t="n"/>
      <c r="G1513" s="102" t="n"/>
      <c r="H1513" s="102" t="n"/>
      <c r="I1513" s="102" t="n"/>
      <c r="J1513" s="102" t="n"/>
      <c r="K1513" s="102" t="n"/>
      <c r="L1513" s="102" t="n"/>
      <c r="M1513" s="102" t="n"/>
      <c r="N1513" s="102" t="n"/>
      <c r="O1513" s="102" t="n"/>
      <c r="P1513" s="102" t="n"/>
      <c r="Q1513" s="102" t="n"/>
      <c r="R1513" s="102" t="n"/>
      <c r="S1513" s="102" t="n"/>
      <c r="T1513" s="102" t="n"/>
      <c r="U1513" s="102" t="n"/>
      <c r="V1513" s="102" t="n"/>
      <c r="W1513" s="102" t="n"/>
      <c r="X1513" s="102" t="n"/>
      <c r="Y1513" s="102" t="n"/>
      <c r="Z1513" s="102" t="n"/>
      <c r="AA1513" s="102" t="n"/>
      <c r="AB1513" s="102" t="n"/>
      <c r="AC1513" s="102" t="n"/>
      <c r="AD1513" s="102" t="n"/>
      <c r="AE1513" s="102" t="n"/>
      <c r="AF1513" s="102" t="n"/>
      <c r="AG1513" s="102" t="n"/>
      <c r="AH1513" s="102" t="n"/>
      <c r="AI1513" s="102" t="n"/>
      <c r="AJ1513" s="102" t="n"/>
      <c r="AK1513" s="102" t="n"/>
      <c r="AL1513" s="102" t="n"/>
      <c r="AM1513" s="102" t="n"/>
      <c r="AN1513" s="102" t="n"/>
      <c r="AO1513" s="102" t="n"/>
      <c r="AP1513" s="102" t="n"/>
      <c r="AQ1513" s="102" t="n"/>
      <c r="AR1513" s="102" t="n"/>
    </row>
    <row r="1514">
      <c r="D1514" s="102" t="n"/>
      <c r="E1514" s="102" t="n"/>
      <c r="F1514" s="102" t="n"/>
      <c r="G1514" s="102" t="n"/>
      <c r="H1514" s="102" t="n"/>
      <c r="I1514" s="102" t="n"/>
      <c r="J1514" s="102" t="n"/>
      <c r="K1514" s="102" t="n"/>
      <c r="L1514" s="102" t="n"/>
      <c r="M1514" s="102" t="n"/>
      <c r="N1514" s="102" t="n"/>
      <c r="O1514" s="102" t="n"/>
      <c r="P1514" s="102" t="n"/>
      <c r="Q1514" s="102" t="n"/>
      <c r="R1514" s="102" t="n"/>
      <c r="S1514" s="102" t="n"/>
      <c r="T1514" s="102" t="n"/>
      <c r="U1514" s="102" t="n"/>
      <c r="V1514" s="102" t="n"/>
      <c r="W1514" s="102" t="n"/>
      <c r="X1514" s="102" t="n"/>
      <c r="Y1514" s="102" t="n"/>
      <c r="Z1514" s="102" t="n"/>
      <c r="AA1514" s="102" t="n"/>
      <c r="AB1514" s="102" t="n"/>
      <c r="AC1514" s="102" t="n"/>
      <c r="AD1514" s="102" t="n"/>
      <c r="AE1514" s="102" t="n"/>
      <c r="AF1514" s="102" t="n"/>
      <c r="AG1514" s="102" t="n"/>
      <c r="AH1514" s="102" t="n"/>
      <c r="AI1514" s="102" t="n"/>
      <c r="AJ1514" s="102" t="n"/>
      <c r="AK1514" s="102" t="n"/>
      <c r="AL1514" s="102" t="n"/>
      <c r="AM1514" s="102" t="n"/>
      <c r="AN1514" s="102" t="n"/>
      <c r="AO1514" s="102" t="n"/>
      <c r="AP1514" s="102" t="n"/>
      <c r="AQ1514" s="102" t="n"/>
      <c r="AR1514" s="102" t="n"/>
    </row>
    <row r="1515">
      <c r="D1515" s="160" t="n"/>
      <c r="E1515" s="160" t="n"/>
      <c r="F1515" s="160" t="n"/>
      <c r="G1515" s="160" t="n"/>
      <c r="H1515" s="160" t="n"/>
      <c r="I1515" s="160" t="n"/>
      <c r="J1515" s="160" t="n"/>
      <c r="K1515" s="160" t="n"/>
      <c r="L1515" s="160" t="n"/>
      <c r="M1515" s="160" t="n"/>
      <c r="N1515" s="160" t="n"/>
      <c r="O1515" s="160" t="n"/>
      <c r="P1515" s="160" t="n"/>
      <c r="Q1515" s="160" t="n"/>
      <c r="R1515" s="160" t="n"/>
      <c r="S1515" s="160" t="n"/>
      <c r="T1515" s="160" t="n"/>
      <c r="U1515" s="160" t="n"/>
      <c r="V1515" s="160" t="n"/>
      <c r="W1515" s="160" t="n"/>
      <c r="X1515" s="160" t="n"/>
      <c r="Y1515" s="160" t="n"/>
      <c r="Z1515" s="160" t="n"/>
      <c r="AA1515" s="160" t="n"/>
      <c r="AB1515" s="160" t="n"/>
      <c r="AC1515" s="160" t="n"/>
      <c r="AD1515" s="160" t="n"/>
      <c r="AE1515" s="160" t="n"/>
      <c r="AF1515" s="160" t="n"/>
      <c r="AG1515" s="160" t="n"/>
      <c r="AH1515" s="160" t="n"/>
      <c r="AI1515" s="160" t="n"/>
      <c r="AJ1515" s="160" t="n"/>
      <c r="AK1515" s="160" t="n"/>
      <c r="AL1515" s="160" t="n"/>
      <c r="AM1515" s="160" t="n"/>
      <c r="AN1515" s="160" t="n"/>
      <c r="AO1515" s="160" t="n"/>
      <c r="AP1515" s="160" t="n"/>
      <c r="AQ1515" s="160" t="n"/>
      <c r="AR1515" s="160" t="n"/>
    </row>
    <row r="1518">
      <c r="A1518" s="2">
        <f>IF($A1511="","","   projections")</f>
        <v/>
      </c>
      <c r="B1518" s="158">
        <f>IF($A1511="",0,COUNT($E1519:$AR1519))</f>
        <v/>
      </c>
      <c r="C1518" s="159">
        <f>IF($B1518=0,0,MAX($E1519:$AR1519))</f>
        <v/>
      </c>
      <c r="D1518" s="101">
        <f>BDS($A1511,FLD_PROJ,"headers=y","startcol=1","endcol=3","dir=h")</f>
        <v/>
      </c>
      <c r="E1518" s="102" t="n"/>
      <c r="F1518" s="102" t="n"/>
      <c r="G1518" s="102" t="n"/>
      <c r="H1518" s="102" t="n"/>
      <c r="I1518" s="102" t="n"/>
      <c r="J1518" s="102" t="n"/>
      <c r="K1518" s="102" t="n"/>
      <c r="L1518" s="102" t="n"/>
      <c r="M1518" s="102" t="n"/>
      <c r="N1518" s="102" t="n"/>
      <c r="O1518" s="102" t="n"/>
      <c r="P1518" s="102" t="n"/>
      <c r="Q1518" s="102" t="n"/>
      <c r="R1518" s="102" t="n"/>
      <c r="S1518" s="102" t="n"/>
      <c r="T1518" s="102" t="n"/>
      <c r="U1518" s="102" t="n"/>
      <c r="V1518" s="102" t="n"/>
      <c r="W1518" s="102" t="n"/>
      <c r="X1518" s="102" t="n"/>
      <c r="Y1518" s="102" t="n"/>
      <c r="Z1518" s="102" t="n"/>
      <c r="AA1518" s="102" t="n"/>
      <c r="AB1518" s="102" t="n"/>
      <c r="AC1518" s="102" t="n"/>
      <c r="AD1518" s="102" t="n"/>
      <c r="AE1518" s="102" t="n"/>
      <c r="AF1518" s="102" t="n"/>
      <c r="AG1518" s="102" t="n"/>
      <c r="AH1518" s="102" t="n"/>
      <c r="AI1518" s="102" t="n"/>
      <c r="AJ1518" s="102" t="n"/>
      <c r="AK1518" s="102" t="n"/>
      <c r="AL1518" s="102" t="n"/>
      <c r="AM1518" s="102" t="n"/>
      <c r="AN1518" s="102" t="n"/>
      <c r="AO1518" s="102" t="n"/>
      <c r="AP1518" s="102" t="n"/>
      <c r="AQ1518" s="102" t="n"/>
      <c r="AR1518" s="102" t="n"/>
    </row>
    <row r="1519">
      <c r="D1519" s="102" t="n"/>
      <c r="E1519" s="102" t="n"/>
      <c r="F1519" s="102" t="n"/>
      <c r="G1519" s="102" t="n"/>
      <c r="H1519" s="102" t="n"/>
      <c r="I1519" s="102" t="n"/>
      <c r="J1519" s="102" t="n"/>
      <c r="K1519" s="102" t="n"/>
      <c r="L1519" s="102" t="n"/>
      <c r="M1519" s="102" t="n"/>
      <c r="N1519" s="102" t="n"/>
      <c r="O1519" s="102" t="n"/>
      <c r="P1519" s="102" t="n"/>
      <c r="Q1519" s="102" t="n"/>
      <c r="R1519" s="102" t="n"/>
      <c r="S1519" s="102" t="n"/>
      <c r="T1519" s="102" t="n"/>
      <c r="U1519" s="102" t="n"/>
      <c r="V1519" s="102" t="n"/>
      <c r="W1519" s="102" t="n"/>
      <c r="X1519" s="102" t="n"/>
      <c r="Y1519" s="102" t="n"/>
      <c r="Z1519" s="102" t="n"/>
      <c r="AA1519" s="102" t="n"/>
      <c r="AB1519" s="102" t="n"/>
      <c r="AC1519" s="102" t="n"/>
      <c r="AD1519" s="102" t="n"/>
      <c r="AE1519" s="102" t="n"/>
      <c r="AF1519" s="102" t="n"/>
      <c r="AG1519" s="102" t="n"/>
      <c r="AH1519" s="102" t="n"/>
      <c r="AI1519" s="102" t="n"/>
      <c r="AJ1519" s="102" t="n"/>
      <c r="AK1519" s="102" t="n"/>
      <c r="AL1519" s="102" t="n"/>
      <c r="AM1519" s="102" t="n"/>
      <c r="AN1519" s="102" t="n"/>
      <c r="AO1519" s="102" t="n"/>
      <c r="AP1519" s="102" t="n"/>
      <c r="AQ1519" s="102" t="n"/>
      <c r="AR1519" s="102" t="n"/>
    </row>
    <row r="1520">
      <c r="D1520" s="160" t="n"/>
      <c r="E1520" s="160" t="n"/>
      <c r="F1520" s="160" t="n"/>
      <c r="G1520" s="160" t="n"/>
      <c r="H1520" s="160" t="n"/>
      <c r="I1520" s="160" t="n"/>
      <c r="J1520" s="160" t="n"/>
      <c r="K1520" s="160" t="n"/>
      <c r="L1520" s="160" t="n"/>
      <c r="M1520" s="160" t="n"/>
      <c r="N1520" s="160" t="n"/>
      <c r="O1520" s="160" t="n"/>
      <c r="P1520" s="160" t="n"/>
      <c r="Q1520" s="160" t="n"/>
      <c r="R1520" s="160" t="n"/>
      <c r="S1520" s="160" t="n"/>
      <c r="T1520" s="160" t="n"/>
      <c r="U1520" s="160" t="n"/>
      <c r="V1520" s="160" t="n"/>
      <c r="W1520" s="160" t="n"/>
      <c r="X1520" s="160" t="n"/>
      <c r="Y1520" s="160" t="n"/>
      <c r="Z1520" s="160" t="n"/>
      <c r="AA1520" s="160" t="n"/>
      <c r="AB1520" s="160" t="n"/>
      <c r="AC1520" s="160" t="n"/>
      <c r="AD1520" s="160" t="n"/>
      <c r="AE1520" s="160" t="n"/>
      <c r="AF1520" s="160" t="n"/>
      <c r="AG1520" s="160" t="n"/>
      <c r="AH1520" s="160" t="n"/>
      <c r="AI1520" s="160" t="n"/>
      <c r="AJ1520" s="160" t="n"/>
      <c r="AK1520" s="160" t="n"/>
      <c r="AL1520" s="160" t="n"/>
      <c r="AM1520" s="160" t="n"/>
      <c r="AN1520" s="160" t="n"/>
      <c r="AO1520" s="160" t="n"/>
      <c r="AP1520" s="160" t="n"/>
      <c r="AQ1520" s="160" t="n"/>
      <c r="AR1520" s="160" t="n"/>
    </row>
    <row r="1522">
      <c r="A1522" s="8">
        <f>IF(HSTECH!$C$44="","",HSTECH!$C$44)</f>
        <v/>
      </c>
      <c r="B1522" s="158">
        <f>IF($A1522="",0,COUNT($E1523:$AR1523))</f>
        <v/>
      </c>
      <c r="C1522" s="159">
        <f>IF($B1522=0,0,MAX($E1523:$AR1523))</f>
        <v/>
      </c>
      <c r="D1522" s="101">
        <f>BDS($A1522,FLD_HIST,"headers=y","startcol=1","endcol=7","dir=h","DVD_START_DT",HIST_FROM,"DVD_END_DT",HIST_TO)</f>
        <v/>
      </c>
      <c r="E1522" s="102" t="n"/>
      <c r="F1522" s="102" t="n"/>
      <c r="G1522" s="102" t="n"/>
      <c r="H1522" s="102" t="n"/>
      <c r="I1522" s="102" t="n"/>
      <c r="J1522" s="102" t="n"/>
      <c r="K1522" s="102" t="n"/>
      <c r="L1522" s="102" t="n"/>
      <c r="M1522" s="102" t="n"/>
      <c r="N1522" s="102" t="n"/>
      <c r="O1522" s="102" t="n"/>
      <c r="P1522" s="102" t="n"/>
      <c r="Q1522" s="102" t="n"/>
      <c r="R1522" s="102" t="n"/>
      <c r="S1522" s="102" t="n"/>
      <c r="T1522" s="102" t="n"/>
      <c r="U1522" s="102" t="n"/>
      <c r="V1522" s="102" t="n"/>
      <c r="W1522" s="102" t="n"/>
      <c r="X1522" s="102" t="n"/>
      <c r="Y1522" s="102" t="n"/>
      <c r="Z1522" s="102" t="n"/>
      <c r="AA1522" s="102" t="n"/>
      <c r="AB1522" s="102" t="n"/>
      <c r="AC1522" s="102" t="n"/>
      <c r="AD1522" s="102" t="n"/>
      <c r="AE1522" s="102" t="n"/>
      <c r="AF1522" s="102" t="n"/>
      <c r="AG1522" s="102" t="n"/>
      <c r="AH1522" s="102" t="n"/>
      <c r="AI1522" s="102" t="n"/>
      <c r="AJ1522" s="102" t="n"/>
      <c r="AK1522" s="102" t="n"/>
      <c r="AL1522" s="102" t="n"/>
      <c r="AM1522" s="102" t="n"/>
      <c r="AN1522" s="102" t="n"/>
      <c r="AO1522" s="102" t="n"/>
      <c r="AP1522" s="102" t="n"/>
      <c r="AQ1522" s="102" t="n"/>
      <c r="AR1522" s="102" t="n"/>
    </row>
    <row r="1523">
      <c r="D1523" s="102" t="n"/>
      <c r="E1523" s="102" t="n"/>
      <c r="F1523" s="102" t="n"/>
      <c r="G1523" s="102" t="n"/>
      <c r="H1523" s="102" t="n"/>
      <c r="I1523" s="102" t="n"/>
      <c r="J1523" s="102" t="n"/>
      <c r="K1523" s="102" t="n"/>
      <c r="L1523" s="102" t="n"/>
      <c r="M1523" s="102" t="n"/>
      <c r="N1523" s="102" t="n"/>
      <c r="O1523" s="102" t="n"/>
      <c r="P1523" s="102" t="n"/>
      <c r="Q1523" s="102" t="n"/>
      <c r="R1523" s="102" t="n"/>
      <c r="S1523" s="102" t="n"/>
      <c r="T1523" s="102" t="n"/>
      <c r="U1523" s="102" t="n"/>
      <c r="V1523" s="102" t="n"/>
      <c r="W1523" s="102" t="n"/>
      <c r="X1523" s="102" t="n"/>
      <c r="Y1523" s="102" t="n"/>
      <c r="Z1523" s="102" t="n"/>
      <c r="AA1523" s="102" t="n"/>
      <c r="AB1523" s="102" t="n"/>
      <c r="AC1523" s="102" t="n"/>
      <c r="AD1523" s="102" t="n"/>
      <c r="AE1523" s="102" t="n"/>
      <c r="AF1523" s="102" t="n"/>
      <c r="AG1523" s="102" t="n"/>
      <c r="AH1523" s="102" t="n"/>
      <c r="AI1523" s="102" t="n"/>
      <c r="AJ1523" s="102" t="n"/>
      <c r="AK1523" s="102" t="n"/>
      <c r="AL1523" s="102" t="n"/>
      <c r="AM1523" s="102" t="n"/>
      <c r="AN1523" s="102" t="n"/>
      <c r="AO1523" s="102" t="n"/>
      <c r="AP1523" s="102" t="n"/>
      <c r="AQ1523" s="102" t="n"/>
      <c r="AR1523" s="102" t="n"/>
    </row>
    <row r="1524">
      <c r="D1524" s="102" t="n"/>
      <c r="E1524" s="102" t="n"/>
      <c r="F1524" s="102" t="n"/>
      <c r="G1524" s="102" t="n"/>
      <c r="H1524" s="102" t="n"/>
      <c r="I1524" s="102" t="n"/>
      <c r="J1524" s="102" t="n"/>
      <c r="K1524" s="102" t="n"/>
      <c r="L1524" s="102" t="n"/>
      <c r="M1524" s="102" t="n"/>
      <c r="N1524" s="102" t="n"/>
      <c r="O1524" s="102" t="n"/>
      <c r="P1524" s="102" t="n"/>
      <c r="Q1524" s="102" t="n"/>
      <c r="R1524" s="102" t="n"/>
      <c r="S1524" s="102" t="n"/>
      <c r="T1524" s="102" t="n"/>
      <c r="U1524" s="102" t="n"/>
      <c r="V1524" s="102" t="n"/>
      <c r="W1524" s="102" t="n"/>
      <c r="X1524" s="102" t="n"/>
      <c r="Y1524" s="102" t="n"/>
      <c r="Z1524" s="102" t="n"/>
      <c r="AA1524" s="102" t="n"/>
      <c r="AB1524" s="102" t="n"/>
      <c r="AC1524" s="102" t="n"/>
      <c r="AD1524" s="102" t="n"/>
      <c r="AE1524" s="102" t="n"/>
      <c r="AF1524" s="102" t="n"/>
      <c r="AG1524" s="102" t="n"/>
      <c r="AH1524" s="102" t="n"/>
      <c r="AI1524" s="102" t="n"/>
      <c r="AJ1524" s="102" t="n"/>
      <c r="AK1524" s="102" t="n"/>
      <c r="AL1524" s="102" t="n"/>
      <c r="AM1524" s="102" t="n"/>
      <c r="AN1524" s="102" t="n"/>
      <c r="AO1524" s="102" t="n"/>
      <c r="AP1524" s="102" t="n"/>
      <c r="AQ1524" s="102" t="n"/>
      <c r="AR1524" s="102" t="n"/>
    </row>
    <row r="1525">
      <c r="D1525" s="102" t="n"/>
      <c r="E1525" s="102" t="n"/>
      <c r="F1525" s="102" t="n"/>
      <c r="G1525" s="102" t="n"/>
      <c r="H1525" s="102" t="n"/>
      <c r="I1525" s="102" t="n"/>
      <c r="J1525" s="102" t="n"/>
      <c r="K1525" s="102" t="n"/>
      <c r="L1525" s="102" t="n"/>
      <c r="M1525" s="102" t="n"/>
      <c r="N1525" s="102" t="n"/>
      <c r="O1525" s="102" t="n"/>
      <c r="P1525" s="102" t="n"/>
      <c r="Q1525" s="102" t="n"/>
      <c r="R1525" s="102" t="n"/>
      <c r="S1525" s="102" t="n"/>
      <c r="T1525" s="102" t="n"/>
      <c r="U1525" s="102" t="n"/>
      <c r="V1525" s="102" t="n"/>
      <c r="W1525" s="102" t="n"/>
      <c r="X1525" s="102" t="n"/>
      <c r="Y1525" s="102" t="n"/>
      <c r="Z1525" s="102" t="n"/>
      <c r="AA1525" s="102" t="n"/>
      <c r="AB1525" s="102" t="n"/>
      <c r="AC1525" s="102" t="n"/>
      <c r="AD1525" s="102" t="n"/>
      <c r="AE1525" s="102" t="n"/>
      <c r="AF1525" s="102" t="n"/>
      <c r="AG1525" s="102" t="n"/>
      <c r="AH1525" s="102" t="n"/>
      <c r="AI1525" s="102" t="n"/>
      <c r="AJ1525" s="102" t="n"/>
      <c r="AK1525" s="102" t="n"/>
      <c r="AL1525" s="102" t="n"/>
      <c r="AM1525" s="102" t="n"/>
      <c r="AN1525" s="102" t="n"/>
      <c r="AO1525" s="102" t="n"/>
      <c r="AP1525" s="102" t="n"/>
      <c r="AQ1525" s="102" t="n"/>
      <c r="AR1525" s="102" t="n"/>
    </row>
    <row r="1526">
      <c r="D1526" s="160" t="n"/>
      <c r="E1526" s="160" t="n"/>
      <c r="F1526" s="160" t="n"/>
      <c r="G1526" s="160" t="n"/>
      <c r="H1526" s="160" t="n"/>
      <c r="I1526" s="160" t="n"/>
      <c r="J1526" s="160" t="n"/>
      <c r="K1526" s="160" t="n"/>
      <c r="L1526" s="160" t="n"/>
      <c r="M1526" s="160" t="n"/>
      <c r="N1526" s="160" t="n"/>
      <c r="O1526" s="160" t="n"/>
      <c r="P1526" s="160" t="n"/>
      <c r="Q1526" s="160" t="n"/>
      <c r="R1526" s="160" t="n"/>
      <c r="S1526" s="160" t="n"/>
      <c r="T1526" s="160" t="n"/>
      <c r="U1526" s="160" t="n"/>
      <c r="V1526" s="160" t="n"/>
      <c r="W1526" s="160" t="n"/>
      <c r="X1526" s="160" t="n"/>
      <c r="Y1526" s="160" t="n"/>
      <c r="Z1526" s="160" t="n"/>
      <c r="AA1526" s="160" t="n"/>
      <c r="AB1526" s="160" t="n"/>
      <c r="AC1526" s="160" t="n"/>
      <c r="AD1526" s="160" t="n"/>
      <c r="AE1526" s="160" t="n"/>
      <c r="AF1526" s="160" t="n"/>
      <c r="AG1526" s="160" t="n"/>
      <c r="AH1526" s="160" t="n"/>
      <c r="AI1526" s="160" t="n"/>
      <c r="AJ1526" s="160" t="n"/>
      <c r="AK1526" s="160" t="n"/>
      <c r="AL1526" s="160" t="n"/>
      <c r="AM1526" s="160" t="n"/>
      <c r="AN1526" s="160" t="n"/>
      <c r="AO1526" s="160" t="n"/>
      <c r="AP1526" s="160" t="n"/>
      <c r="AQ1526" s="160" t="n"/>
      <c r="AR1526" s="160" t="n"/>
    </row>
    <row r="1529">
      <c r="A1529" s="2">
        <f>IF($A1522="","","   projections")</f>
        <v/>
      </c>
      <c r="B1529" s="158">
        <f>IF($A1522="",0,COUNT($E1530:$AR1530))</f>
        <v/>
      </c>
      <c r="C1529" s="159">
        <f>IF($B1529=0,0,MAX($E1530:$AR1530))</f>
        <v/>
      </c>
      <c r="D1529" s="101">
        <f>BDS($A1522,FLD_PROJ,"headers=y","startcol=1","endcol=3","dir=h")</f>
        <v/>
      </c>
      <c r="E1529" s="102" t="n"/>
      <c r="F1529" s="102" t="n"/>
      <c r="G1529" s="102" t="n"/>
      <c r="H1529" s="102" t="n"/>
      <c r="I1529" s="102" t="n"/>
      <c r="J1529" s="102" t="n"/>
      <c r="K1529" s="102" t="n"/>
      <c r="L1529" s="102" t="n"/>
      <c r="M1529" s="102" t="n"/>
      <c r="N1529" s="102" t="n"/>
      <c r="O1529" s="102" t="n"/>
      <c r="P1529" s="102" t="n"/>
      <c r="Q1529" s="102" t="n"/>
      <c r="R1529" s="102" t="n"/>
      <c r="S1529" s="102" t="n"/>
      <c r="T1529" s="102" t="n"/>
      <c r="U1529" s="102" t="n"/>
      <c r="V1529" s="102" t="n"/>
      <c r="W1529" s="102" t="n"/>
      <c r="X1529" s="102" t="n"/>
      <c r="Y1529" s="102" t="n"/>
      <c r="Z1529" s="102" t="n"/>
      <c r="AA1529" s="102" t="n"/>
      <c r="AB1529" s="102" t="n"/>
      <c r="AC1529" s="102" t="n"/>
      <c r="AD1529" s="102" t="n"/>
      <c r="AE1529" s="102" t="n"/>
      <c r="AF1529" s="102" t="n"/>
      <c r="AG1529" s="102" t="n"/>
      <c r="AH1529" s="102" t="n"/>
      <c r="AI1529" s="102" t="n"/>
      <c r="AJ1529" s="102" t="n"/>
      <c r="AK1529" s="102" t="n"/>
      <c r="AL1529" s="102" t="n"/>
      <c r="AM1529" s="102" t="n"/>
      <c r="AN1529" s="102" t="n"/>
      <c r="AO1529" s="102" t="n"/>
      <c r="AP1529" s="102" t="n"/>
      <c r="AQ1529" s="102" t="n"/>
      <c r="AR1529" s="102" t="n"/>
    </row>
    <row r="1530">
      <c r="D1530" s="102" t="n"/>
      <c r="E1530" s="102" t="n"/>
      <c r="F1530" s="102" t="n"/>
      <c r="G1530" s="102" t="n"/>
      <c r="H1530" s="102" t="n"/>
      <c r="I1530" s="102" t="n"/>
      <c r="J1530" s="102" t="n"/>
      <c r="K1530" s="102" t="n"/>
      <c r="L1530" s="102" t="n"/>
      <c r="M1530" s="102" t="n"/>
      <c r="N1530" s="102" t="n"/>
      <c r="O1530" s="102" t="n"/>
      <c r="P1530" s="102" t="n"/>
      <c r="Q1530" s="102" t="n"/>
      <c r="R1530" s="102" t="n"/>
      <c r="S1530" s="102" t="n"/>
      <c r="T1530" s="102" t="n"/>
      <c r="U1530" s="102" t="n"/>
      <c r="V1530" s="102" t="n"/>
      <c r="W1530" s="102" t="n"/>
      <c r="X1530" s="102" t="n"/>
      <c r="Y1530" s="102" t="n"/>
      <c r="Z1530" s="102" t="n"/>
      <c r="AA1530" s="102" t="n"/>
      <c r="AB1530" s="102" t="n"/>
      <c r="AC1530" s="102" t="n"/>
      <c r="AD1530" s="102" t="n"/>
      <c r="AE1530" s="102" t="n"/>
      <c r="AF1530" s="102" t="n"/>
      <c r="AG1530" s="102" t="n"/>
      <c r="AH1530" s="102" t="n"/>
      <c r="AI1530" s="102" t="n"/>
      <c r="AJ1530" s="102" t="n"/>
      <c r="AK1530" s="102" t="n"/>
      <c r="AL1530" s="102" t="n"/>
      <c r="AM1530" s="102" t="n"/>
      <c r="AN1530" s="102" t="n"/>
      <c r="AO1530" s="102" t="n"/>
      <c r="AP1530" s="102" t="n"/>
      <c r="AQ1530" s="102" t="n"/>
      <c r="AR1530" s="102" t="n"/>
    </row>
    <row r="1531">
      <c r="D1531" s="160" t="n"/>
      <c r="E1531" s="160" t="n"/>
      <c r="F1531" s="160" t="n"/>
      <c r="G1531" s="160" t="n"/>
      <c r="H1531" s="160" t="n"/>
      <c r="I1531" s="160" t="n"/>
      <c r="J1531" s="160" t="n"/>
      <c r="K1531" s="160" t="n"/>
      <c r="L1531" s="160" t="n"/>
      <c r="M1531" s="160" t="n"/>
      <c r="N1531" s="160" t="n"/>
      <c r="O1531" s="160" t="n"/>
      <c r="P1531" s="160" t="n"/>
      <c r="Q1531" s="160" t="n"/>
      <c r="R1531" s="160" t="n"/>
      <c r="S1531" s="160" t="n"/>
      <c r="T1531" s="160" t="n"/>
      <c r="U1531" s="160" t="n"/>
      <c r="V1531" s="160" t="n"/>
      <c r="W1531" s="160" t="n"/>
      <c r="X1531" s="160" t="n"/>
      <c r="Y1531" s="160" t="n"/>
      <c r="Z1531" s="160" t="n"/>
      <c r="AA1531" s="160" t="n"/>
      <c r="AB1531" s="160" t="n"/>
      <c r="AC1531" s="160" t="n"/>
      <c r="AD1531" s="160" t="n"/>
      <c r="AE1531" s="160" t="n"/>
      <c r="AF1531" s="160" t="n"/>
      <c r="AG1531" s="160" t="n"/>
      <c r="AH1531" s="160" t="n"/>
      <c r="AI1531" s="160" t="n"/>
      <c r="AJ1531" s="160" t="n"/>
      <c r="AK1531" s="160" t="n"/>
      <c r="AL1531" s="160" t="n"/>
      <c r="AM1531" s="160" t="n"/>
      <c r="AN1531" s="160" t="n"/>
      <c r="AO1531" s="160" t="n"/>
      <c r="AP1531" s="160" t="n"/>
      <c r="AQ1531" s="160" t="n"/>
      <c r="AR1531" s="160" t="n"/>
    </row>
    <row r="1533">
      <c r="A1533" s="8">
        <f>IF(HSTECH!$C$45="","",HSTECH!$C$45)</f>
        <v/>
      </c>
      <c r="B1533" s="158">
        <f>IF($A1533="",0,COUNT($E1534:$AR1534))</f>
        <v/>
      </c>
      <c r="C1533" s="159">
        <f>IF($B1533=0,0,MAX($E1534:$AR1534))</f>
        <v/>
      </c>
      <c r="D1533" s="101">
        <f>BDS($A1533,FLD_HIST,"headers=y","startcol=1","endcol=7","dir=h","DVD_START_DT",HIST_FROM,"DVD_END_DT",HIST_TO)</f>
        <v/>
      </c>
      <c r="E1533" s="102" t="n"/>
      <c r="F1533" s="102" t="n"/>
      <c r="G1533" s="102" t="n"/>
      <c r="H1533" s="102" t="n"/>
      <c r="I1533" s="102" t="n"/>
      <c r="J1533" s="102" t="n"/>
      <c r="K1533" s="102" t="n"/>
      <c r="L1533" s="102" t="n"/>
      <c r="M1533" s="102" t="n"/>
      <c r="N1533" s="102" t="n"/>
      <c r="O1533" s="102" t="n"/>
      <c r="P1533" s="102" t="n"/>
      <c r="Q1533" s="102" t="n"/>
      <c r="R1533" s="102" t="n"/>
      <c r="S1533" s="102" t="n"/>
      <c r="T1533" s="102" t="n"/>
      <c r="U1533" s="102" t="n"/>
      <c r="V1533" s="102" t="n"/>
      <c r="W1533" s="102" t="n"/>
      <c r="X1533" s="102" t="n"/>
      <c r="Y1533" s="102" t="n"/>
      <c r="Z1533" s="102" t="n"/>
      <c r="AA1533" s="102" t="n"/>
      <c r="AB1533" s="102" t="n"/>
      <c r="AC1533" s="102" t="n"/>
      <c r="AD1533" s="102" t="n"/>
      <c r="AE1533" s="102" t="n"/>
      <c r="AF1533" s="102" t="n"/>
      <c r="AG1533" s="102" t="n"/>
      <c r="AH1533" s="102" t="n"/>
      <c r="AI1533" s="102" t="n"/>
      <c r="AJ1533" s="102" t="n"/>
      <c r="AK1533" s="102" t="n"/>
      <c r="AL1533" s="102" t="n"/>
      <c r="AM1533" s="102" t="n"/>
      <c r="AN1533" s="102" t="n"/>
      <c r="AO1533" s="102" t="n"/>
      <c r="AP1533" s="102" t="n"/>
      <c r="AQ1533" s="102" t="n"/>
      <c r="AR1533" s="102" t="n"/>
    </row>
    <row r="1534">
      <c r="D1534" s="102" t="n"/>
      <c r="E1534" s="102" t="n"/>
      <c r="F1534" s="102" t="n"/>
      <c r="G1534" s="102" t="n"/>
      <c r="H1534" s="102" t="n"/>
      <c r="I1534" s="102" t="n"/>
      <c r="J1534" s="102" t="n"/>
      <c r="K1534" s="102" t="n"/>
      <c r="L1534" s="102" t="n"/>
      <c r="M1534" s="102" t="n"/>
      <c r="N1534" s="102" t="n"/>
      <c r="O1534" s="102" t="n"/>
      <c r="P1534" s="102" t="n"/>
      <c r="Q1534" s="102" t="n"/>
      <c r="R1534" s="102" t="n"/>
      <c r="S1534" s="102" t="n"/>
      <c r="T1534" s="102" t="n"/>
      <c r="U1534" s="102" t="n"/>
      <c r="V1534" s="102" t="n"/>
      <c r="W1534" s="102" t="n"/>
      <c r="X1534" s="102" t="n"/>
      <c r="Y1534" s="102" t="n"/>
      <c r="Z1534" s="102" t="n"/>
      <c r="AA1534" s="102" t="n"/>
      <c r="AB1534" s="102" t="n"/>
      <c r="AC1534" s="102" t="n"/>
      <c r="AD1534" s="102" t="n"/>
      <c r="AE1534" s="102" t="n"/>
      <c r="AF1534" s="102" t="n"/>
      <c r="AG1534" s="102" t="n"/>
      <c r="AH1534" s="102" t="n"/>
      <c r="AI1534" s="102" t="n"/>
      <c r="AJ1534" s="102" t="n"/>
      <c r="AK1534" s="102" t="n"/>
      <c r="AL1534" s="102" t="n"/>
      <c r="AM1534" s="102" t="n"/>
      <c r="AN1534" s="102" t="n"/>
      <c r="AO1534" s="102" t="n"/>
      <c r="AP1534" s="102" t="n"/>
      <c r="AQ1534" s="102" t="n"/>
      <c r="AR1534" s="102" t="n"/>
    </row>
    <row r="1535">
      <c r="D1535" s="102" t="n"/>
      <c r="E1535" s="102" t="n"/>
      <c r="F1535" s="102" t="n"/>
      <c r="G1535" s="102" t="n"/>
      <c r="H1535" s="102" t="n"/>
      <c r="I1535" s="102" t="n"/>
      <c r="J1535" s="102" t="n"/>
      <c r="K1535" s="102" t="n"/>
      <c r="L1535" s="102" t="n"/>
      <c r="M1535" s="102" t="n"/>
      <c r="N1535" s="102" t="n"/>
      <c r="O1535" s="102" t="n"/>
      <c r="P1535" s="102" t="n"/>
      <c r="Q1535" s="102" t="n"/>
      <c r="R1535" s="102" t="n"/>
      <c r="S1535" s="102" t="n"/>
      <c r="T1535" s="102" t="n"/>
      <c r="U1535" s="102" t="n"/>
      <c r="V1535" s="102" t="n"/>
      <c r="W1535" s="102" t="n"/>
      <c r="X1535" s="102" t="n"/>
      <c r="Y1535" s="102" t="n"/>
      <c r="Z1535" s="102" t="n"/>
      <c r="AA1535" s="102" t="n"/>
      <c r="AB1535" s="102" t="n"/>
      <c r="AC1535" s="102" t="n"/>
      <c r="AD1535" s="102" t="n"/>
      <c r="AE1535" s="102" t="n"/>
      <c r="AF1535" s="102" t="n"/>
      <c r="AG1535" s="102" t="n"/>
      <c r="AH1535" s="102" t="n"/>
      <c r="AI1535" s="102" t="n"/>
      <c r="AJ1535" s="102" t="n"/>
      <c r="AK1535" s="102" t="n"/>
      <c r="AL1535" s="102" t="n"/>
      <c r="AM1535" s="102" t="n"/>
      <c r="AN1535" s="102" t="n"/>
      <c r="AO1535" s="102" t="n"/>
      <c r="AP1535" s="102" t="n"/>
      <c r="AQ1535" s="102" t="n"/>
      <c r="AR1535" s="102" t="n"/>
    </row>
    <row r="1536">
      <c r="D1536" s="102" t="n"/>
      <c r="E1536" s="102" t="n"/>
      <c r="F1536" s="102" t="n"/>
      <c r="G1536" s="102" t="n"/>
      <c r="H1536" s="102" t="n"/>
      <c r="I1536" s="102" t="n"/>
      <c r="J1536" s="102" t="n"/>
      <c r="K1536" s="102" t="n"/>
      <c r="L1536" s="102" t="n"/>
      <c r="M1536" s="102" t="n"/>
      <c r="N1536" s="102" t="n"/>
      <c r="O1536" s="102" t="n"/>
      <c r="P1536" s="102" t="n"/>
      <c r="Q1536" s="102" t="n"/>
      <c r="R1536" s="102" t="n"/>
      <c r="S1536" s="102" t="n"/>
      <c r="T1536" s="102" t="n"/>
      <c r="U1536" s="102" t="n"/>
      <c r="V1536" s="102" t="n"/>
      <c r="W1536" s="102" t="n"/>
      <c r="X1536" s="102" t="n"/>
      <c r="Y1536" s="102" t="n"/>
      <c r="Z1536" s="102" t="n"/>
      <c r="AA1536" s="102" t="n"/>
      <c r="AB1536" s="102" t="n"/>
      <c r="AC1536" s="102" t="n"/>
      <c r="AD1536" s="102" t="n"/>
      <c r="AE1536" s="102" t="n"/>
      <c r="AF1536" s="102" t="n"/>
      <c r="AG1536" s="102" t="n"/>
      <c r="AH1536" s="102" t="n"/>
      <c r="AI1536" s="102" t="n"/>
      <c r="AJ1536" s="102" t="n"/>
      <c r="AK1536" s="102" t="n"/>
      <c r="AL1536" s="102" t="n"/>
      <c r="AM1536" s="102" t="n"/>
      <c r="AN1536" s="102" t="n"/>
      <c r="AO1536" s="102" t="n"/>
      <c r="AP1536" s="102" t="n"/>
      <c r="AQ1536" s="102" t="n"/>
      <c r="AR1536" s="102" t="n"/>
    </row>
    <row r="1537">
      <c r="D1537" s="160" t="n"/>
      <c r="E1537" s="160" t="n"/>
      <c r="F1537" s="160" t="n"/>
      <c r="G1537" s="160" t="n"/>
      <c r="H1537" s="160" t="n"/>
      <c r="I1537" s="160" t="n"/>
      <c r="J1537" s="160" t="n"/>
      <c r="K1537" s="160" t="n"/>
      <c r="L1537" s="160" t="n"/>
      <c r="M1537" s="160" t="n"/>
      <c r="N1537" s="160" t="n"/>
      <c r="O1537" s="160" t="n"/>
      <c r="P1537" s="160" t="n"/>
      <c r="Q1537" s="160" t="n"/>
      <c r="R1537" s="160" t="n"/>
      <c r="S1537" s="160" t="n"/>
      <c r="T1537" s="160" t="n"/>
      <c r="U1537" s="160" t="n"/>
      <c r="V1537" s="160" t="n"/>
      <c r="W1537" s="160" t="n"/>
      <c r="X1537" s="160" t="n"/>
      <c r="Y1537" s="160" t="n"/>
      <c r="Z1537" s="160" t="n"/>
      <c r="AA1537" s="160" t="n"/>
      <c r="AB1537" s="160" t="n"/>
      <c r="AC1537" s="160" t="n"/>
      <c r="AD1537" s="160" t="n"/>
      <c r="AE1537" s="160" t="n"/>
      <c r="AF1537" s="160" t="n"/>
      <c r="AG1537" s="160" t="n"/>
      <c r="AH1537" s="160" t="n"/>
      <c r="AI1537" s="160" t="n"/>
      <c r="AJ1537" s="160" t="n"/>
      <c r="AK1537" s="160" t="n"/>
      <c r="AL1537" s="160" t="n"/>
      <c r="AM1537" s="160" t="n"/>
      <c r="AN1537" s="160" t="n"/>
      <c r="AO1537" s="160" t="n"/>
      <c r="AP1537" s="160" t="n"/>
      <c r="AQ1537" s="160" t="n"/>
      <c r="AR1537" s="160" t="n"/>
    </row>
    <row r="1540">
      <c r="A1540" s="2">
        <f>IF($A1533="","","   projections")</f>
        <v/>
      </c>
      <c r="B1540" s="158">
        <f>IF($A1533="",0,COUNT($E1541:$AR1541))</f>
        <v/>
      </c>
      <c r="C1540" s="159">
        <f>IF($B1540=0,0,MAX($E1541:$AR1541))</f>
        <v/>
      </c>
      <c r="D1540" s="101">
        <f>BDS($A1533,FLD_PROJ,"headers=y","startcol=1","endcol=3","dir=h")</f>
        <v/>
      </c>
      <c r="E1540" s="102" t="n"/>
      <c r="F1540" s="102" t="n"/>
      <c r="G1540" s="102" t="n"/>
      <c r="H1540" s="102" t="n"/>
      <c r="I1540" s="102" t="n"/>
      <c r="J1540" s="102" t="n"/>
      <c r="K1540" s="102" t="n"/>
      <c r="L1540" s="102" t="n"/>
      <c r="M1540" s="102" t="n"/>
      <c r="N1540" s="102" t="n"/>
      <c r="O1540" s="102" t="n"/>
      <c r="P1540" s="102" t="n"/>
      <c r="Q1540" s="102" t="n"/>
      <c r="R1540" s="102" t="n"/>
      <c r="S1540" s="102" t="n"/>
      <c r="T1540" s="102" t="n"/>
      <c r="U1540" s="102" t="n"/>
      <c r="V1540" s="102" t="n"/>
      <c r="W1540" s="102" t="n"/>
      <c r="X1540" s="102" t="n"/>
      <c r="Y1540" s="102" t="n"/>
      <c r="Z1540" s="102" t="n"/>
      <c r="AA1540" s="102" t="n"/>
      <c r="AB1540" s="102" t="n"/>
      <c r="AC1540" s="102" t="n"/>
      <c r="AD1540" s="102" t="n"/>
      <c r="AE1540" s="102" t="n"/>
      <c r="AF1540" s="102" t="n"/>
      <c r="AG1540" s="102" t="n"/>
      <c r="AH1540" s="102" t="n"/>
      <c r="AI1540" s="102" t="n"/>
      <c r="AJ1540" s="102" t="n"/>
      <c r="AK1540" s="102" t="n"/>
      <c r="AL1540" s="102" t="n"/>
      <c r="AM1540" s="102" t="n"/>
      <c r="AN1540" s="102" t="n"/>
      <c r="AO1540" s="102" t="n"/>
      <c r="AP1540" s="102" t="n"/>
      <c r="AQ1540" s="102" t="n"/>
      <c r="AR1540" s="102" t="n"/>
    </row>
    <row r="1541">
      <c r="D1541" s="102" t="n"/>
      <c r="E1541" s="102" t="n"/>
      <c r="F1541" s="102" t="n"/>
      <c r="G1541" s="102" t="n"/>
      <c r="H1541" s="102" t="n"/>
      <c r="I1541" s="102" t="n"/>
      <c r="J1541" s="102" t="n"/>
      <c r="K1541" s="102" t="n"/>
      <c r="L1541" s="102" t="n"/>
      <c r="M1541" s="102" t="n"/>
      <c r="N1541" s="102" t="n"/>
      <c r="O1541" s="102" t="n"/>
      <c r="P1541" s="102" t="n"/>
      <c r="Q1541" s="102" t="n"/>
      <c r="R1541" s="102" t="n"/>
      <c r="S1541" s="102" t="n"/>
      <c r="T1541" s="102" t="n"/>
      <c r="U1541" s="102" t="n"/>
      <c r="V1541" s="102" t="n"/>
      <c r="W1541" s="102" t="n"/>
      <c r="X1541" s="102" t="n"/>
      <c r="Y1541" s="102" t="n"/>
      <c r="Z1541" s="102" t="n"/>
      <c r="AA1541" s="102" t="n"/>
      <c r="AB1541" s="102" t="n"/>
      <c r="AC1541" s="102" t="n"/>
      <c r="AD1541" s="102" t="n"/>
      <c r="AE1541" s="102" t="n"/>
      <c r="AF1541" s="102" t="n"/>
      <c r="AG1541" s="102" t="n"/>
      <c r="AH1541" s="102" t="n"/>
      <c r="AI1541" s="102" t="n"/>
      <c r="AJ1541" s="102" t="n"/>
      <c r="AK1541" s="102" t="n"/>
      <c r="AL1541" s="102" t="n"/>
      <c r="AM1541" s="102" t="n"/>
      <c r="AN1541" s="102" t="n"/>
      <c r="AO1541" s="102" t="n"/>
      <c r="AP1541" s="102" t="n"/>
      <c r="AQ1541" s="102" t="n"/>
      <c r="AR1541" s="102" t="n"/>
    </row>
    <row r="1542">
      <c r="D1542" s="160" t="n"/>
      <c r="E1542" s="160" t="n"/>
      <c r="F1542" s="160" t="n"/>
      <c r="G1542" s="160" t="n"/>
      <c r="H1542" s="160" t="n"/>
      <c r="I1542" s="160" t="n"/>
      <c r="J1542" s="160" t="n"/>
      <c r="K1542" s="160" t="n"/>
      <c r="L1542" s="160" t="n"/>
      <c r="M1542" s="160" t="n"/>
      <c r="N1542" s="160" t="n"/>
      <c r="O1542" s="160" t="n"/>
      <c r="P1542" s="160" t="n"/>
      <c r="Q1542" s="160" t="n"/>
      <c r="R1542" s="160" t="n"/>
      <c r="S1542" s="160" t="n"/>
      <c r="T1542" s="160" t="n"/>
      <c r="U1542" s="160" t="n"/>
      <c r="V1542" s="160" t="n"/>
      <c r="W1542" s="160" t="n"/>
      <c r="X1542" s="160" t="n"/>
      <c r="Y1542" s="160" t="n"/>
      <c r="Z1542" s="160" t="n"/>
      <c r="AA1542" s="160" t="n"/>
      <c r="AB1542" s="160" t="n"/>
      <c r="AC1542" s="160" t="n"/>
      <c r="AD1542" s="160" t="n"/>
      <c r="AE1542" s="160" t="n"/>
      <c r="AF1542" s="160" t="n"/>
      <c r="AG1542" s="160" t="n"/>
      <c r="AH1542" s="160" t="n"/>
      <c r="AI1542" s="160" t="n"/>
      <c r="AJ1542" s="160" t="n"/>
      <c r="AK1542" s="160" t="n"/>
      <c r="AL1542" s="160" t="n"/>
      <c r="AM1542" s="160" t="n"/>
      <c r="AN1542" s="160" t="n"/>
      <c r="AO1542" s="160" t="n"/>
      <c r="AP1542" s="160" t="n"/>
      <c r="AQ1542" s="160" t="n"/>
      <c r="AR1542" s="160" t="n"/>
    </row>
    <row r="1544">
      <c r="A1544" s="8">
        <f>IF(HSTECH!$C$46="","",HSTECH!$C$46)</f>
        <v/>
      </c>
      <c r="B1544" s="158">
        <f>IF($A1544="",0,COUNT($E1545:$AR1545))</f>
        <v/>
      </c>
      <c r="C1544" s="159">
        <f>IF($B1544=0,0,MAX($E1545:$AR1545))</f>
        <v/>
      </c>
      <c r="D1544" s="101">
        <f>BDS($A1544,FLD_HIST,"headers=y","startcol=1","endcol=7","dir=h","DVD_START_DT",HIST_FROM,"DVD_END_DT",HIST_TO)</f>
        <v/>
      </c>
      <c r="E1544" s="102" t="n"/>
      <c r="F1544" s="102" t="n"/>
      <c r="G1544" s="102" t="n"/>
      <c r="H1544" s="102" t="n"/>
      <c r="I1544" s="102" t="n"/>
      <c r="J1544" s="102" t="n"/>
      <c r="K1544" s="102" t="n"/>
      <c r="L1544" s="102" t="n"/>
      <c r="M1544" s="102" t="n"/>
      <c r="N1544" s="102" t="n"/>
      <c r="O1544" s="102" t="n"/>
      <c r="P1544" s="102" t="n"/>
      <c r="Q1544" s="102" t="n"/>
      <c r="R1544" s="102" t="n"/>
      <c r="S1544" s="102" t="n"/>
      <c r="T1544" s="102" t="n"/>
      <c r="U1544" s="102" t="n"/>
      <c r="V1544" s="102" t="n"/>
      <c r="W1544" s="102" t="n"/>
      <c r="X1544" s="102" t="n"/>
      <c r="Y1544" s="102" t="n"/>
      <c r="Z1544" s="102" t="n"/>
      <c r="AA1544" s="102" t="n"/>
      <c r="AB1544" s="102" t="n"/>
      <c r="AC1544" s="102" t="n"/>
      <c r="AD1544" s="102" t="n"/>
      <c r="AE1544" s="102" t="n"/>
      <c r="AF1544" s="102" t="n"/>
      <c r="AG1544" s="102" t="n"/>
      <c r="AH1544" s="102" t="n"/>
      <c r="AI1544" s="102" t="n"/>
      <c r="AJ1544" s="102" t="n"/>
      <c r="AK1544" s="102" t="n"/>
      <c r="AL1544" s="102" t="n"/>
      <c r="AM1544" s="102" t="n"/>
      <c r="AN1544" s="102" t="n"/>
      <c r="AO1544" s="102" t="n"/>
      <c r="AP1544" s="102" t="n"/>
      <c r="AQ1544" s="102" t="n"/>
      <c r="AR1544" s="102" t="n"/>
    </row>
    <row r="1545">
      <c r="D1545" s="102" t="n"/>
      <c r="E1545" s="102" t="n"/>
      <c r="F1545" s="102" t="n"/>
      <c r="G1545" s="102" t="n"/>
      <c r="H1545" s="102" t="n"/>
      <c r="I1545" s="102" t="n"/>
      <c r="J1545" s="102" t="n"/>
      <c r="K1545" s="102" t="n"/>
      <c r="L1545" s="102" t="n"/>
      <c r="M1545" s="102" t="n"/>
      <c r="N1545" s="102" t="n"/>
      <c r="O1545" s="102" t="n"/>
      <c r="P1545" s="102" t="n"/>
      <c r="Q1545" s="102" t="n"/>
      <c r="R1545" s="102" t="n"/>
      <c r="S1545" s="102" t="n"/>
      <c r="T1545" s="102" t="n"/>
      <c r="U1545" s="102" t="n"/>
      <c r="V1545" s="102" t="n"/>
      <c r="W1545" s="102" t="n"/>
      <c r="X1545" s="102" t="n"/>
      <c r="Y1545" s="102" t="n"/>
      <c r="Z1545" s="102" t="n"/>
      <c r="AA1545" s="102" t="n"/>
      <c r="AB1545" s="102" t="n"/>
      <c r="AC1545" s="102" t="n"/>
      <c r="AD1545" s="102" t="n"/>
      <c r="AE1545" s="102" t="n"/>
      <c r="AF1545" s="102" t="n"/>
      <c r="AG1545" s="102" t="n"/>
      <c r="AH1545" s="102" t="n"/>
      <c r="AI1545" s="102" t="n"/>
      <c r="AJ1545" s="102" t="n"/>
      <c r="AK1545" s="102" t="n"/>
      <c r="AL1545" s="102" t="n"/>
      <c r="AM1545" s="102" t="n"/>
      <c r="AN1545" s="102" t="n"/>
      <c r="AO1545" s="102" t="n"/>
      <c r="AP1545" s="102" t="n"/>
      <c r="AQ1545" s="102" t="n"/>
      <c r="AR1545" s="102" t="n"/>
    </row>
    <row r="1546">
      <c r="D1546" s="102" t="n"/>
      <c r="E1546" s="102" t="n"/>
      <c r="F1546" s="102" t="n"/>
      <c r="G1546" s="102" t="n"/>
      <c r="H1546" s="102" t="n"/>
      <c r="I1546" s="102" t="n"/>
      <c r="J1546" s="102" t="n"/>
      <c r="K1546" s="102" t="n"/>
      <c r="L1546" s="102" t="n"/>
      <c r="M1546" s="102" t="n"/>
      <c r="N1546" s="102" t="n"/>
      <c r="O1546" s="102" t="n"/>
      <c r="P1546" s="102" t="n"/>
      <c r="Q1546" s="102" t="n"/>
      <c r="R1546" s="102" t="n"/>
      <c r="S1546" s="102" t="n"/>
      <c r="T1546" s="102" t="n"/>
      <c r="U1546" s="102" t="n"/>
      <c r="V1546" s="102" t="n"/>
      <c r="W1546" s="102" t="n"/>
      <c r="X1546" s="102" t="n"/>
      <c r="Y1546" s="102" t="n"/>
      <c r="Z1546" s="102" t="n"/>
      <c r="AA1546" s="102" t="n"/>
      <c r="AB1546" s="102" t="n"/>
      <c r="AC1546" s="102" t="n"/>
      <c r="AD1546" s="102" t="n"/>
      <c r="AE1546" s="102" t="n"/>
      <c r="AF1546" s="102" t="n"/>
      <c r="AG1546" s="102" t="n"/>
      <c r="AH1546" s="102" t="n"/>
      <c r="AI1546" s="102" t="n"/>
      <c r="AJ1546" s="102" t="n"/>
      <c r="AK1546" s="102" t="n"/>
      <c r="AL1546" s="102" t="n"/>
      <c r="AM1546" s="102" t="n"/>
      <c r="AN1546" s="102" t="n"/>
      <c r="AO1546" s="102" t="n"/>
      <c r="AP1546" s="102" t="n"/>
      <c r="AQ1546" s="102" t="n"/>
      <c r="AR1546" s="102" t="n"/>
    </row>
    <row r="1547">
      <c r="D1547" s="102" t="n"/>
      <c r="E1547" s="102" t="n"/>
      <c r="F1547" s="102" t="n"/>
      <c r="G1547" s="102" t="n"/>
      <c r="H1547" s="102" t="n"/>
      <c r="I1547" s="102" t="n"/>
      <c r="J1547" s="102" t="n"/>
      <c r="K1547" s="102" t="n"/>
      <c r="L1547" s="102" t="n"/>
      <c r="M1547" s="102" t="n"/>
      <c r="N1547" s="102" t="n"/>
      <c r="O1547" s="102" t="n"/>
      <c r="P1547" s="102" t="n"/>
      <c r="Q1547" s="102" t="n"/>
      <c r="R1547" s="102" t="n"/>
      <c r="S1547" s="102" t="n"/>
      <c r="T1547" s="102" t="n"/>
      <c r="U1547" s="102" t="n"/>
      <c r="V1547" s="102" t="n"/>
      <c r="W1547" s="102" t="n"/>
      <c r="X1547" s="102" t="n"/>
      <c r="Y1547" s="102" t="n"/>
      <c r="Z1547" s="102" t="n"/>
      <c r="AA1547" s="102" t="n"/>
      <c r="AB1547" s="102" t="n"/>
      <c r="AC1547" s="102" t="n"/>
      <c r="AD1547" s="102" t="n"/>
      <c r="AE1547" s="102" t="n"/>
      <c r="AF1547" s="102" t="n"/>
      <c r="AG1547" s="102" t="n"/>
      <c r="AH1547" s="102" t="n"/>
      <c r="AI1547" s="102" t="n"/>
      <c r="AJ1547" s="102" t="n"/>
      <c r="AK1547" s="102" t="n"/>
      <c r="AL1547" s="102" t="n"/>
      <c r="AM1547" s="102" t="n"/>
      <c r="AN1547" s="102" t="n"/>
      <c r="AO1547" s="102" t="n"/>
      <c r="AP1547" s="102" t="n"/>
      <c r="AQ1547" s="102" t="n"/>
      <c r="AR1547" s="102" t="n"/>
    </row>
    <row r="1548">
      <c r="D1548" s="160" t="n"/>
      <c r="E1548" s="160" t="n"/>
      <c r="F1548" s="160" t="n"/>
      <c r="G1548" s="160" t="n"/>
      <c r="H1548" s="160" t="n"/>
      <c r="I1548" s="160" t="n"/>
      <c r="J1548" s="160" t="n"/>
      <c r="K1548" s="160" t="n"/>
      <c r="L1548" s="160" t="n"/>
      <c r="M1548" s="160" t="n"/>
      <c r="N1548" s="160" t="n"/>
      <c r="O1548" s="160" t="n"/>
      <c r="P1548" s="160" t="n"/>
      <c r="Q1548" s="160" t="n"/>
      <c r="R1548" s="160" t="n"/>
      <c r="S1548" s="160" t="n"/>
      <c r="T1548" s="160" t="n"/>
      <c r="U1548" s="160" t="n"/>
      <c r="V1548" s="160" t="n"/>
      <c r="W1548" s="160" t="n"/>
      <c r="X1548" s="160" t="n"/>
      <c r="Y1548" s="160" t="n"/>
      <c r="Z1548" s="160" t="n"/>
      <c r="AA1548" s="160" t="n"/>
      <c r="AB1548" s="160" t="n"/>
      <c r="AC1548" s="160" t="n"/>
      <c r="AD1548" s="160" t="n"/>
      <c r="AE1548" s="160" t="n"/>
      <c r="AF1548" s="160" t="n"/>
      <c r="AG1548" s="160" t="n"/>
      <c r="AH1548" s="160" t="n"/>
      <c r="AI1548" s="160" t="n"/>
      <c r="AJ1548" s="160" t="n"/>
      <c r="AK1548" s="160" t="n"/>
      <c r="AL1548" s="160" t="n"/>
      <c r="AM1548" s="160" t="n"/>
      <c r="AN1548" s="160" t="n"/>
      <c r="AO1548" s="160" t="n"/>
      <c r="AP1548" s="160" t="n"/>
      <c r="AQ1548" s="160" t="n"/>
      <c r="AR1548" s="160" t="n"/>
    </row>
    <row r="1551">
      <c r="A1551" s="2">
        <f>IF($A1544="","","   projections")</f>
        <v/>
      </c>
      <c r="B1551" s="158">
        <f>IF($A1544="",0,COUNT($E1552:$AR1552))</f>
        <v/>
      </c>
      <c r="C1551" s="159">
        <f>IF($B1551=0,0,MAX($E1552:$AR1552))</f>
        <v/>
      </c>
      <c r="D1551" s="101">
        <f>BDS($A1544,FLD_PROJ,"headers=y","startcol=1","endcol=3","dir=h")</f>
        <v/>
      </c>
      <c r="E1551" s="102" t="n"/>
      <c r="F1551" s="102" t="n"/>
      <c r="G1551" s="102" t="n"/>
      <c r="H1551" s="102" t="n"/>
      <c r="I1551" s="102" t="n"/>
      <c r="J1551" s="102" t="n"/>
      <c r="K1551" s="102" t="n"/>
      <c r="L1551" s="102" t="n"/>
      <c r="M1551" s="102" t="n"/>
      <c r="N1551" s="102" t="n"/>
      <c r="O1551" s="102" t="n"/>
      <c r="P1551" s="102" t="n"/>
      <c r="Q1551" s="102" t="n"/>
      <c r="R1551" s="102" t="n"/>
      <c r="S1551" s="102" t="n"/>
      <c r="T1551" s="102" t="n"/>
      <c r="U1551" s="102" t="n"/>
      <c r="V1551" s="102" t="n"/>
      <c r="W1551" s="102" t="n"/>
      <c r="X1551" s="102" t="n"/>
      <c r="Y1551" s="102" t="n"/>
      <c r="Z1551" s="102" t="n"/>
      <c r="AA1551" s="102" t="n"/>
      <c r="AB1551" s="102" t="n"/>
      <c r="AC1551" s="102" t="n"/>
      <c r="AD1551" s="102" t="n"/>
      <c r="AE1551" s="102" t="n"/>
      <c r="AF1551" s="102" t="n"/>
      <c r="AG1551" s="102" t="n"/>
      <c r="AH1551" s="102" t="n"/>
      <c r="AI1551" s="102" t="n"/>
      <c r="AJ1551" s="102" t="n"/>
      <c r="AK1551" s="102" t="n"/>
      <c r="AL1551" s="102" t="n"/>
      <c r="AM1551" s="102" t="n"/>
      <c r="AN1551" s="102" t="n"/>
      <c r="AO1551" s="102" t="n"/>
      <c r="AP1551" s="102" t="n"/>
      <c r="AQ1551" s="102" t="n"/>
      <c r="AR1551" s="102" t="n"/>
    </row>
    <row r="1552">
      <c r="D1552" s="102" t="n"/>
      <c r="E1552" s="102" t="n"/>
      <c r="F1552" s="102" t="n"/>
      <c r="G1552" s="102" t="n"/>
      <c r="H1552" s="102" t="n"/>
      <c r="I1552" s="102" t="n"/>
      <c r="J1552" s="102" t="n"/>
      <c r="K1552" s="102" t="n"/>
      <c r="L1552" s="102" t="n"/>
      <c r="M1552" s="102" t="n"/>
      <c r="N1552" s="102" t="n"/>
      <c r="O1552" s="102" t="n"/>
      <c r="P1552" s="102" t="n"/>
      <c r="Q1552" s="102" t="n"/>
      <c r="R1552" s="102" t="n"/>
      <c r="S1552" s="102" t="n"/>
      <c r="T1552" s="102" t="n"/>
      <c r="U1552" s="102" t="n"/>
      <c r="V1552" s="102" t="n"/>
      <c r="W1552" s="102" t="n"/>
      <c r="X1552" s="102" t="n"/>
      <c r="Y1552" s="102" t="n"/>
      <c r="Z1552" s="102" t="n"/>
      <c r="AA1552" s="102" t="n"/>
      <c r="AB1552" s="102" t="n"/>
      <c r="AC1552" s="102" t="n"/>
      <c r="AD1552" s="102" t="n"/>
      <c r="AE1552" s="102" t="n"/>
      <c r="AF1552" s="102" t="n"/>
      <c r="AG1552" s="102" t="n"/>
      <c r="AH1552" s="102" t="n"/>
      <c r="AI1552" s="102" t="n"/>
      <c r="AJ1552" s="102" t="n"/>
      <c r="AK1552" s="102" t="n"/>
      <c r="AL1552" s="102" t="n"/>
      <c r="AM1552" s="102" t="n"/>
      <c r="AN1552" s="102" t="n"/>
      <c r="AO1552" s="102" t="n"/>
      <c r="AP1552" s="102" t="n"/>
      <c r="AQ1552" s="102" t="n"/>
      <c r="AR1552" s="102" t="n"/>
    </row>
    <row r="1553">
      <c r="D1553" s="160" t="n"/>
      <c r="E1553" s="160" t="n"/>
      <c r="F1553" s="160" t="n"/>
      <c r="G1553" s="160" t="n"/>
      <c r="H1553" s="160" t="n"/>
      <c r="I1553" s="160" t="n"/>
      <c r="J1553" s="160" t="n"/>
      <c r="K1553" s="160" t="n"/>
      <c r="L1553" s="160" t="n"/>
      <c r="M1553" s="160" t="n"/>
      <c r="N1553" s="160" t="n"/>
      <c r="O1553" s="160" t="n"/>
      <c r="P1553" s="160" t="n"/>
      <c r="Q1553" s="160" t="n"/>
      <c r="R1553" s="160" t="n"/>
      <c r="S1553" s="160" t="n"/>
      <c r="T1553" s="160" t="n"/>
      <c r="U1553" s="160" t="n"/>
      <c r="V1553" s="160" t="n"/>
      <c r="W1553" s="160" t="n"/>
      <c r="X1553" s="160" t="n"/>
      <c r="Y1553" s="160" t="n"/>
      <c r="Z1553" s="160" t="n"/>
      <c r="AA1553" s="160" t="n"/>
      <c r="AB1553" s="160" t="n"/>
      <c r="AC1553" s="160" t="n"/>
      <c r="AD1553" s="160" t="n"/>
      <c r="AE1553" s="160" t="n"/>
      <c r="AF1553" s="160" t="n"/>
      <c r="AG1553" s="160" t="n"/>
      <c r="AH1553" s="160" t="n"/>
      <c r="AI1553" s="160" t="n"/>
      <c r="AJ1553" s="160" t="n"/>
      <c r="AK1553" s="160" t="n"/>
      <c r="AL1553" s="160" t="n"/>
      <c r="AM1553" s="160" t="n"/>
      <c r="AN1553" s="160" t="n"/>
      <c r="AO1553" s="160" t="n"/>
      <c r="AP1553" s="160" t="n"/>
      <c r="AQ1553" s="160" t="n"/>
      <c r="AR1553" s="160" t="n"/>
    </row>
    <row r="1557">
      <c r="A1557" s="6" t="inlineStr">
        <is>
          <t>Hang Seng China Enterprises (HSCEI)</t>
        </is>
      </c>
      <c r="B1557" s="7" t="n"/>
      <c r="C1557" s="7" t="n"/>
      <c r="D1557" s="7" t="n"/>
      <c r="F1557" s="2">
        <f>SUMPRODUCT($B$1560:$B$2219)&amp;" events read   |   "&amp;COUNTA($AS$1560:$CF$2219)&amp;" beyond the window (must be 0)"</f>
        <v/>
      </c>
    </row>
    <row r="1558">
      <c r="A1558" s="23" t="inlineStr">
        <is>
          <t>Ticker</t>
        </is>
      </c>
      <c r="B1558" s="23" t="inlineStr">
        <is>
          <t>Events</t>
        </is>
      </c>
      <c r="C1558" s="23" t="inlineStr">
        <is>
          <t>Last ex</t>
        </is>
      </c>
      <c r="D1558" s="23" t="inlineStr">
        <is>
          <t>Bloomberg spill -&gt;</t>
        </is>
      </c>
    </row>
    <row r="1560">
      <c r="A1560" s="8">
        <f>IF(HSCEI!$C$7="","",HSCEI!$C$7)</f>
        <v/>
      </c>
      <c r="B1560" s="158">
        <f>IF($A1560="",0,COUNT($E1561:$AR1561))</f>
        <v/>
      </c>
      <c r="C1560" s="159">
        <f>IF($B1560=0,0,MAX($E1561:$AR1561))</f>
        <v/>
      </c>
      <c r="D1560" s="101">
        <f>BDS($A1560,FLD_HIST,"headers=y","startcol=1","endcol=7","dir=h","DVD_START_DT",HIST_FROM,"DVD_END_DT",HIST_TO)</f>
        <v/>
      </c>
      <c r="E1560" s="102" t="n"/>
      <c r="F1560" s="102" t="n"/>
      <c r="G1560" s="102" t="n"/>
      <c r="H1560" s="102" t="n"/>
      <c r="I1560" s="102" t="n"/>
      <c r="J1560" s="102" t="n"/>
      <c r="K1560" s="102" t="n"/>
      <c r="L1560" s="102" t="n"/>
      <c r="M1560" s="102" t="n"/>
      <c r="N1560" s="102" t="n"/>
      <c r="O1560" s="102" t="n"/>
      <c r="P1560" s="102" t="n"/>
      <c r="Q1560" s="102" t="n"/>
      <c r="R1560" s="102" t="n"/>
      <c r="S1560" s="102" t="n"/>
      <c r="T1560" s="102" t="n"/>
      <c r="U1560" s="102" t="n"/>
      <c r="V1560" s="102" t="n"/>
      <c r="W1560" s="102" t="n"/>
      <c r="X1560" s="102" t="n"/>
      <c r="Y1560" s="102" t="n"/>
      <c r="Z1560" s="102" t="n"/>
      <c r="AA1560" s="102" t="n"/>
      <c r="AB1560" s="102" t="n"/>
      <c r="AC1560" s="102" t="n"/>
      <c r="AD1560" s="102" t="n"/>
      <c r="AE1560" s="102" t="n"/>
      <c r="AF1560" s="102" t="n"/>
      <c r="AG1560" s="102" t="n"/>
      <c r="AH1560" s="102" t="n"/>
      <c r="AI1560" s="102" t="n"/>
      <c r="AJ1560" s="102" t="n"/>
      <c r="AK1560" s="102" t="n"/>
      <c r="AL1560" s="102" t="n"/>
      <c r="AM1560" s="102" t="n"/>
      <c r="AN1560" s="102" t="n"/>
      <c r="AO1560" s="102" t="n"/>
      <c r="AP1560" s="102" t="n"/>
      <c r="AQ1560" s="102" t="n"/>
      <c r="AR1560" s="102" t="n"/>
    </row>
    <row r="1561">
      <c r="D1561" s="102" t="n"/>
      <c r="E1561" s="102" t="n"/>
      <c r="F1561" s="102" t="n"/>
      <c r="G1561" s="102" t="n"/>
      <c r="H1561" s="102" t="n"/>
      <c r="I1561" s="102" t="n"/>
      <c r="J1561" s="102" t="n"/>
      <c r="K1561" s="102" t="n"/>
      <c r="L1561" s="102" t="n"/>
      <c r="M1561" s="102" t="n"/>
      <c r="N1561" s="102" t="n"/>
      <c r="O1561" s="102" t="n"/>
      <c r="P1561" s="102" t="n"/>
      <c r="Q1561" s="102" t="n"/>
      <c r="R1561" s="102" t="n"/>
      <c r="S1561" s="102" t="n"/>
      <c r="T1561" s="102" t="n"/>
      <c r="U1561" s="102" t="n"/>
      <c r="V1561" s="102" t="n"/>
      <c r="W1561" s="102" t="n"/>
      <c r="X1561" s="102" t="n"/>
      <c r="Y1561" s="102" t="n"/>
      <c r="Z1561" s="102" t="n"/>
      <c r="AA1561" s="102" t="n"/>
      <c r="AB1561" s="102" t="n"/>
      <c r="AC1561" s="102" t="n"/>
      <c r="AD1561" s="102" t="n"/>
      <c r="AE1561" s="102" t="n"/>
      <c r="AF1561" s="102" t="n"/>
      <c r="AG1561" s="102" t="n"/>
      <c r="AH1561" s="102" t="n"/>
      <c r="AI1561" s="102" t="n"/>
      <c r="AJ1561" s="102" t="n"/>
      <c r="AK1561" s="102" t="n"/>
      <c r="AL1561" s="102" t="n"/>
      <c r="AM1561" s="102" t="n"/>
      <c r="AN1561" s="102" t="n"/>
      <c r="AO1561" s="102" t="n"/>
      <c r="AP1561" s="102" t="n"/>
      <c r="AQ1561" s="102" t="n"/>
      <c r="AR1561" s="102" t="n"/>
    </row>
    <row r="1562">
      <c r="D1562" s="102" t="n"/>
      <c r="E1562" s="102" t="n"/>
      <c r="F1562" s="102" t="n"/>
      <c r="G1562" s="102" t="n"/>
      <c r="H1562" s="102" t="n"/>
      <c r="I1562" s="102" t="n"/>
      <c r="J1562" s="102" t="n"/>
      <c r="K1562" s="102" t="n"/>
      <c r="L1562" s="102" t="n"/>
      <c r="M1562" s="102" t="n"/>
      <c r="N1562" s="102" t="n"/>
      <c r="O1562" s="102" t="n"/>
      <c r="P1562" s="102" t="n"/>
      <c r="Q1562" s="102" t="n"/>
      <c r="R1562" s="102" t="n"/>
      <c r="S1562" s="102" t="n"/>
      <c r="T1562" s="102" t="n"/>
      <c r="U1562" s="102" t="n"/>
      <c r="V1562" s="102" t="n"/>
      <c r="W1562" s="102" t="n"/>
      <c r="X1562" s="102" t="n"/>
      <c r="Y1562" s="102" t="n"/>
      <c r="Z1562" s="102" t="n"/>
      <c r="AA1562" s="102" t="n"/>
      <c r="AB1562" s="102" t="n"/>
      <c r="AC1562" s="102" t="n"/>
      <c r="AD1562" s="102" t="n"/>
      <c r="AE1562" s="102" t="n"/>
      <c r="AF1562" s="102" t="n"/>
      <c r="AG1562" s="102" t="n"/>
      <c r="AH1562" s="102" t="n"/>
      <c r="AI1562" s="102" t="n"/>
      <c r="AJ1562" s="102" t="n"/>
      <c r="AK1562" s="102" t="n"/>
      <c r="AL1562" s="102" t="n"/>
      <c r="AM1562" s="102" t="n"/>
      <c r="AN1562" s="102" t="n"/>
      <c r="AO1562" s="102" t="n"/>
      <c r="AP1562" s="102" t="n"/>
      <c r="AQ1562" s="102" t="n"/>
      <c r="AR1562" s="102" t="n"/>
    </row>
    <row r="1563">
      <c r="D1563" s="102" t="n"/>
      <c r="E1563" s="102" t="n"/>
      <c r="F1563" s="102" t="n"/>
      <c r="G1563" s="102" t="n"/>
      <c r="H1563" s="102" t="n"/>
      <c r="I1563" s="102" t="n"/>
      <c r="J1563" s="102" t="n"/>
      <c r="K1563" s="102" t="n"/>
      <c r="L1563" s="102" t="n"/>
      <c r="M1563" s="102" t="n"/>
      <c r="N1563" s="102" t="n"/>
      <c r="O1563" s="102" t="n"/>
      <c r="P1563" s="102" t="n"/>
      <c r="Q1563" s="102" t="n"/>
      <c r="R1563" s="102" t="n"/>
      <c r="S1563" s="102" t="n"/>
      <c r="T1563" s="102" t="n"/>
      <c r="U1563" s="102" t="n"/>
      <c r="V1563" s="102" t="n"/>
      <c r="W1563" s="102" t="n"/>
      <c r="X1563" s="102" t="n"/>
      <c r="Y1563" s="102" t="n"/>
      <c r="Z1563" s="102" t="n"/>
      <c r="AA1563" s="102" t="n"/>
      <c r="AB1563" s="102" t="n"/>
      <c r="AC1563" s="102" t="n"/>
      <c r="AD1563" s="102" t="n"/>
      <c r="AE1563" s="102" t="n"/>
      <c r="AF1563" s="102" t="n"/>
      <c r="AG1563" s="102" t="n"/>
      <c r="AH1563" s="102" t="n"/>
      <c r="AI1563" s="102" t="n"/>
      <c r="AJ1563" s="102" t="n"/>
      <c r="AK1563" s="102" t="n"/>
      <c r="AL1563" s="102" t="n"/>
      <c r="AM1563" s="102" t="n"/>
      <c r="AN1563" s="102" t="n"/>
      <c r="AO1563" s="102" t="n"/>
      <c r="AP1563" s="102" t="n"/>
      <c r="AQ1563" s="102" t="n"/>
      <c r="AR1563" s="102" t="n"/>
    </row>
    <row r="1564">
      <c r="D1564" s="160" t="n"/>
      <c r="E1564" s="160" t="n"/>
      <c r="F1564" s="160" t="n"/>
      <c r="G1564" s="160" t="n"/>
      <c r="H1564" s="160" t="n"/>
      <c r="I1564" s="160" t="n"/>
      <c r="J1564" s="160" t="n"/>
      <c r="K1564" s="160" t="n"/>
      <c r="L1564" s="160" t="n"/>
      <c r="M1564" s="160" t="n"/>
      <c r="N1564" s="160" t="n"/>
      <c r="O1564" s="160" t="n"/>
      <c r="P1564" s="160" t="n"/>
      <c r="Q1564" s="160" t="n"/>
      <c r="R1564" s="160" t="n"/>
      <c r="S1564" s="160" t="n"/>
      <c r="T1564" s="160" t="n"/>
      <c r="U1564" s="160" t="n"/>
      <c r="V1564" s="160" t="n"/>
      <c r="W1564" s="160" t="n"/>
      <c r="X1564" s="160" t="n"/>
      <c r="Y1564" s="160" t="n"/>
      <c r="Z1564" s="160" t="n"/>
      <c r="AA1564" s="160" t="n"/>
      <c r="AB1564" s="160" t="n"/>
      <c r="AC1564" s="160" t="n"/>
      <c r="AD1564" s="160" t="n"/>
      <c r="AE1564" s="160" t="n"/>
      <c r="AF1564" s="160" t="n"/>
      <c r="AG1564" s="160" t="n"/>
      <c r="AH1564" s="160" t="n"/>
      <c r="AI1564" s="160" t="n"/>
      <c r="AJ1564" s="160" t="n"/>
      <c r="AK1564" s="160" t="n"/>
      <c r="AL1564" s="160" t="n"/>
      <c r="AM1564" s="160" t="n"/>
      <c r="AN1564" s="160" t="n"/>
      <c r="AO1564" s="160" t="n"/>
      <c r="AP1564" s="160" t="n"/>
      <c r="AQ1564" s="160" t="n"/>
      <c r="AR1564" s="160" t="n"/>
    </row>
    <row r="1567">
      <c r="A1567" s="2">
        <f>IF($A1560="","","   projections")</f>
        <v/>
      </c>
      <c r="B1567" s="158">
        <f>IF($A1560="",0,COUNT($E1568:$AR1568))</f>
        <v/>
      </c>
      <c r="C1567" s="159">
        <f>IF($B1567=0,0,MAX($E1568:$AR1568))</f>
        <v/>
      </c>
      <c r="D1567" s="101">
        <f>BDS($A1560,FLD_PROJ,"headers=y","startcol=1","endcol=3","dir=h")</f>
        <v/>
      </c>
      <c r="E1567" s="102" t="n"/>
      <c r="F1567" s="102" t="n"/>
      <c r="G1567" s="102" t="n"/>
      <c r="H1567" s="102" t="n"/>
      <c r="I1567" s="102" t="n"/>
      <c r="J1567" s="102" t="n"/>
      <c r="K1567" s="102" t="n"/>
      <c r="L1567" s="102" t="n"/>
      <c r="M1567" s="102" t="n"/>
      <c r="N1567" s="102" t="n"/>
      <c r="O1567" s="102" t="n"/>
      <c r="P1567" s="102" t="n"/>
      <c r="Q1567" s="102" t="n"/>
      <c r="R1567" s="102" t="n"/>
      <c r="S1567" s="102" t="n"/>
      <c r="T1567" s="102" t="n"/>
      <c r="U1567" s="102" t="n"/>
      <c r="V1567" s="102" t="n"/>
      <c r="W1567" s="102" t="n"/>
      <c r="X1567" s="102" t="n"/>
      <c r="Y1567" s="102" t="n"/>
      <c r="Z1567" s="102" t="n"/>
      <c r="AA1567" s="102" t="n"/>
      <c r="AB1567" s="102" t="n"/>
      <c r="AC1567" s="102" t="n"/>
      <c r="AD1567" s="102" t="n"/>
      <c r="AE1567" s="102" t="n"/>
      <c r="AF1567" s="102" t="n"/>
      <c r="AG1567" s="102" t="n"/>
      <c r="AH1567" s="102" t="n"/>
      <c r="AI1567" s="102" t="n"/>
      <c r="AJ1567" s="102" t="n"/>
      <c r="AK1567" s="102" t="n"/>
      <c r="AL1567" s="102" t="n"/>
      <c r="AM1567" s="102" t="n"/>
      <c r="AN1567" s="102" t="n"/>
      <c r="AO1567" s="102" t="n"/>
      <c r="AP1567" s="102" t="n"/>
      <c r="AQ1567" s="102" t="n"/>
      <c r="AR1567" s="102" t="n"/>
    </row>
    <row r="1568">
      <c r="D1568" s="102" t="n"/>
      <c r="E1568" s="102" t="n"/>
      <c r="F1568" s="102" t="n"/>
      <c r="G1568" s="102" t="n"/>
      <c r="H1568" s="102" t="n"/>
      <c r="I1568" s="102" t="n"/>
      <c r="J1568" s="102" t="n"/>
      <c r="K1568" s="102" t="n"/>
      <c r="L1568" s="102" t="n"/>
      <c r="M1568" s="102" t="n"/>
      <c r="N1568" s="102" t="n"/>
      <c r="O1568" s="102" t="n"/>
      <c r="P1568" s="102" t="n"/>
      <c r="Q1568" s="102" t="n"/>
      <c r="R1568" s="102" t="n"/>
      <c r="S1568" s="102" t="n"/>
      <c r="T1568" s="102" t="n"/>
      <c r="U1568" s="102" t="n"/>
      <c r="V1568" s="102" t="n"/>
      <c r="W1568" s="102" t="n"/>
      <c r="X1568" s="102" t="n"/>
      <c r="Y1568" s="102" t="n"/>
      <c r="Z1568" s="102" t="n"/>
      <c r="AA1568" s="102" t="n"/>
      <c r="AB1568" s="102" t="n"/>
      <c r="AC1568" s="102" t="n"/>
      <c r="AD1568" s="102" t="n"/>
      <c r="AE1568" s="102" t="n"/>
      <c r="AF1568" s="102" t="n"/>
      <c r="AG1568" s="102" t="n"/>
      <c r="AH1568" s="102" t="n"/>
      <c r="AI1568" s="102" t="n"/>
      <c r="AJ1568" s="102" t="n"/>
      <c r="AK1568" s="102" t="n"/>
      <c r="AL1568" s="102" t="n"/>
      <c r="AM1568" s="102" t="n"/>
      <c r="AN1568" s="102" t="n"/>
      <c r="AO1568" s="102" t="n"/>
      <c r="AP1568" s="102" t="n"/>
      <c r="AQ1568" s="102" t="n"/>
      <c r="AR1568" s="102" t="n"/>
    </row>
    <row r="1569">
      <c r="D1569" s="160" t="n"/>
      <c r="E1569" s="160" t="n"/>
      <c r="F1569" s="160" t="n"/>
      <c r="G1569" s="160" t="n"/>
      <c r="H1569" s="160" t="n"/>
      <c r="I1569" s="160" t="n"/>
      <c r="J1569" s="160" t="n"/>
      <c r="K1569" s="160" t="n"/>
      <c r="L1569" s="160" t="n"/>
      <c r="M1569" s="160" t="n"/>
      <c r="N1569" s="160" t="n"/>
      <c r="O1569" s="160" t="n"/>
      <c r="P1569" s="160" t="n"/>
      <c r="Q1569" s="160" t="n"/>
      <c r="R1569" s="160" t="n"/>
      <c r="S1569" s="160" t="n"/>
      <c r="T1569" s="160" t="n"/>
      <c r="U1569" s="160" t="n"/>
      <c r="V1569" s="160" t="n"/>
      <c r="W1569" s="160" t="n"/>
      <c r="X1569" s="160" t="n"/>
      <c r="Y1569" s="160" t="n"/>
      <c r="Z1569" s="160" t="n"/>
      <c r="AA1569" s="160" t="n"/>
      <c r="AB1569" s="160" t="n"/>
      <c r="AC1569" s="160" t="n"/>
      <c r="AD1569" s="160" t="n"/>
      <c r="AE1569" s="160" t="n"/>
      <c r="AF1569" s="160" t="n"/>
      <c r="AG1569" s="160" t="n"/>
      <c r="AH1569" s="160" t="n"/>
      <c r="AI1569" s="160" t="n"/>
      <c r="AJ1569" s="160" t="n"/>
      <c r="AK1569" s="160" t="n"/>
      <c r="AL1569" s="160" t="n"/>
      <c r="AM1569" s="160" t="n"/>
      <c r="AN1569" s="160" t="n"/>
      <c r="AO1569" s="160" t="n"/>
      <c r="AP1569" s="160" t="n"/>
      <c r="AQ1569" s="160" t="n"/>
      <c r="AR1569" s="160" t="n"/>
    </row>
    <row r="1571">
      <c r="A1571" s="8">
        <f>IF(HSCEI!$C$8="","",HSCEI!$C$8)</f>
        <v/>
      </c>
      <c r="B1571" s="158">
        <f>IF($A1571="",0,COUNT($E1572:$AR1572))</f>
        <v/>
      </c>
      <c r="C1571" s="159">
        <f>IF($B1571=0,0,MAX($E1572:$AR1572))</f>
        <v/>
      </c>
      <c r="D1571" s="101">
        <f>BDS($A1571,FLD_HIST,"headers=y","startcol=1","endcol=7","dir=h","DVD_START_DT",HIST_FROM,"DVD_END_DT",HIST_TO)</f>
        <v/>
      </c>
      <c r="E1571" s="102" t="n"/>
      <c r="F1571" s="102" t="n"/>
      <c r="G1571" s="102" t="n"/>
      <c r="H1571" s="102" t="n"/>
      <c r="I1571" s="102" t="n"/>
      <c r="J1571" s="102" t="n"/>
      <c r="K1571" s="102" t="n"/>
      <c r="L1571" s="102" t="n"/>
      <c r="M1571" s="102" t="n"/>
      <c r="N1571" s="102" t="n"/>
      <c r="O1571" s="102" t="n"/>
      <c r="P1571" s="102" t="n"/>
      <c r="Q1571" s="102" t="n"/>
      <c r="R1571" s="102" t="n"/>
      <c r="S1571" s="102" t="n"/>
      <c r="T1571" s="102" t="n"/>
      <c r="U1571" s="102" t="n"/>
      <c r="V1571" s="102" t="n"/>
      <c r="W1571" s="102" t="n"/>
      <c r="X1571" s="102" t="n"/>
      <c r="Y1571" s="102" t="n"/>
      <c r="Z1571" s="102" t="n"/>
      <c r="AA1571" s="102" t="n"/>
      <c r="AB1571" s="102" t="n"/>
      <c r="AC1571" s="102" t="n"/>
      <c r="AD1571" s="102" t="n"/>
      <c r="AE1571" s="102" t="n"/>
      <c r="AF1571" s="102" t="n"/>
      <c r="AG1571" s="102" t="n"/>
      <c r="AH1571" s="102" t="n"/>
      <c r="AI1571" s="102" t="n"/>
      <c r="AJ1571" s="102" t="n"/>
      <c r="AK1571" s="102" t="n"/>
      <c r="AL1571" s="102" t="n"/>
      <c r="AM1571" s="102" t="n"/>
      <c r="AN1571" s="102" t="n"/>
      <c r="AO1571" s="102" t="n"/>
      <c r="AP1571" s="102" t="n"/>
      <c r="AQ1571" s="102" t="n"/>
      <c r="AR1571" s="102" t="n"/>
    </row>
    <row r="1572">
      <c r="D1572" s="102" t="n"/>
      <c r="E1572" s="102" t="n"/>
      <c r="F1572" s="102" t="n"/>
      <c r="G1572" s="102" t="n"/>
      <c r="H1572" s="102" t="n"/>
      <c r="I1572" s="102" t="n"/>
      <c r="J1572" s="102" t="n"/>
      <c r="K1572" s="102" t="n"/>
      <c r="L1572" s="102" t="n"/>
      <c r="M1572" s="102" t="n"/>
      <c r="N1572" s="102" t="n"/>
      <c r="O1572" s="102" t="n"/>
      <c r="P1572" s="102" t="n"/>
      <c r="Q1572" s="102" t="n"/>
      <c r="R1572" s="102" t="n"/>
      <c r="S1572" s="102" t="n"/>
      <c r="T1572" s="102" t="n"/>
      <c r="U1572" s="102" t="n"/>
      <c r="V1572" s="102" t="n"/>
      <c r="W1572" s="102" t="n"/>
      <c r="X1572" s="102" t="n"/>
      <c r="Y1572" s="102" t="n"/>
      <c r="Z1572" s="102" t="n"/>
      <c r="AA1572" s="102" t="n"/>
      <c r="AB1572" s="102" t="n"/>
      <c r="AC1572" s="102" t="n"/>
      <c r="AD1572" s="102" t="n"/>
      <c r="AE1572" s="102" t="n"/>
      <c r="AF1572" s="102" t="n"/>
      <c r="AG1572" s="102" t="n"/>
      <c r="AH1572" s="102" t="n"/>
      <c r="AI1572" s="102" t="n"/>
      <c r="AJ1572" s="102" t="n"/>
      <c r="AK1572" s="102" t="n"/>
      <c r="AL1572" s="102" t="n"/>
      <c r="AM1572" s="102" t="n"/>
      <c r="AN1572" s="102" t="n"/>
      <c r="AO1572" s="102" t="n"/>
      <c r="AP1572" s="102" t="n"/>
      <c r="AQ1572" s="102" t="n"/>
      <c r="AR1572" s="102" t="n"/>
    </row>
    <row r="1573">
      <c r="D1573" s="102" t="n"/>
      <c r="E1573" s="102" t="n"/>
      <c r="F1573" s="102" t="n"/>
      <c r="G1573" s="102" t="n"/>
      <c r="H1573" s="102" t="n"/>
      <c r="I1573" s="102" t="n"/>
      <c r="J1573" s="102" t="n"/>
      <c r="K1573" s="102" t="n"/>
      <c r="L1573" s="102" t="n"/>
      <c r="M1573" s="102" t="n"/>
      <c r="N1573" s="102" t="n"/>
      <c r="O1573" s="102" t="n"/>
      <c r="P1573" s="102" t="n"/>
      <c r="Q1573" s="102" t="n"/>
      <c r="R1573" s="102" t="n"/>
      <c r="S1573" s="102" t="n"/>
      <c r="T1573" s="102" t="n"/>
      <c r="U1573" s="102" t="n"/>
      <c r="V1573" s="102" t="n"/>
      <c r="W1573" s="102" t="n"/>
      <c r="X1573" s="102" t="n"/>
      <c r="Y1573" s="102" t="n"/>
      <c r="Z1573" s="102" t="n"/>
      <c r="AA1573" s="102" t="n"/>
      <c r="AB1573" s="102" t="n"/>
      <c r="AC1573" s="102" t="n"/>
      <c r="AD1573" s="102" t="n"/>
      <c r="AE1573" s="102" t="n"/>
      <c r="AF1573" s="102" t="n"/>
      <c r="AG1573" s="102" t="n"/>
      <c r="AH1573" s="102" t="n"/>
      <c r="AI1573" s="102" t="n"/>
      <c r="AJ1573" s="102" t="n"/>
      <c r="AK1573" s="102" t="n"/>
      <c r="AL1573" s="102" t="n"/>
      <c r="AM1573" s="102" t="n"/>
      <c r="AN1573" s="102" t="n"/>
      <c r="AO1573" s="102" t="n"/>
      <c r="AP1573" s="102" t="n"/>
      <c r="AQ1573" s="102" t="n"/>
      <c r="AR1573" s="102" t="n"/>
    </row>
    <row r="1574">
      <c r="D1574" s="102" t="n"/>
      <c r="E1574" s="102" t="n"/>
      <c r="F1574" s="102" t="n"/>
      <c r="G1574" s="102" t="n"/>
      <c r="H1574" s="102" t="n"/>
      <c r="I1574" s="102" t="n"/>
      <c r="J1574" s="102" t="n"/>
      <c r="K1574" s="102" t="n"/>
      <c r="L1574" s="102" t="n"/>
      <c r="M1574" s="102" t="n"/>
      <c r="N1574" s="102" t="n"/>
      <c r="O1574" s="102" t="n"/>
      <c r="P1574" s="102" t="n"/>
      <c r="Q1574" s="102" t="n"/>
      <c r="R1574" s="102" t="n"/>
      <c r="S1574" s="102" t="n"/>
      <c r="T1574" s="102" t="n"/>
      <c r="U1574" s="102" t="n"/>
      <c r="V1574" s="102" t="n"/>
      <c r="W1574" s="102" t="n"/>
      <c r="X1574" s="102" t="n"/>
      <c r="Y1574" s="102" t="n"/>
      <c r="Z1574" s="102" t="n"/>
      <c r="AA1574" s="102" t="n"/>
      <c r="AB1574" s="102" t="n"/>
      <c r="AC1574" s="102" t="n"/>
      <c r="AD1574" s="102" t="n"/>
      <c r="AE1574" s="102" t="n"/>
      <c r="AF1574" s="102" t="n"/>
      <c r="AG1574" s="102" t="n"/>
      <c r="AH1574" s="102" t="n"/>
      <c r="AI1574" s="102" t="n"/>
      <c r="AJ1574" s="102" t="n"/>
      <c r="AK1574" s="102" t="n"/>
      <c r="AL1574" s="102" t="n"/>
      <c r="AM1574" s="102" t="n"/>
      <c r="AN1574" s="102" t="n"/>
      <c r="AO1574" s="102" t="n"/>
      <c r="AP1574" s="102" t="n"/>
      <c r="AQ1574" s="102" t="n"/>
      <c r="AR1574" s="102" t="n"/>
    </row>
    <row r="1575">
      <c r="D1575" s="160" t="n"/>
      <c r="E1575" s="160" t="n"/>
      <c r="F1575" s="160" t="n"/>
      <c r="G1575" s="160" t="n"/>
      <c r="H1575" s="160" t="n"/>
      <c r="I1575" s="160" t="n"/>
      <c r="J1575" s="160" t="n"/>
      <c r="K1575" s="160" t="n"/>
      <c r="L1575" s="160" t="n"/>
      <c r="M1575" s="160" t="n"/>
      <c r="N1575" s="160" t="n"/>
      <c r="O1575" s="160" t="n"/>
      <c r="P1575" s="160" t="n"/>
      <c r="Q1575" s="160" t="n"/>
      <c r="R1575" s="160" t="n"/>
      <c r="S1575" s="160" t="n"/>
      <c r="T1575" s="160" t="n"/>
      <c r="U1575" s="160" t="n"/>
      <c r="V1575" s="160" t="n"/>
      <c r="W1575" s="160" t="n"/>
      <c r="X1575" s="160" t="n"/>
      <c r="Y1575" s="160" t="n"/>
      <c r="Z1575" s="160" t="n"/>
      <c r="AA1575" s="160" t="n"/>
      <c r="AB1575" s="160" t="n"/>
      <c r="AC1575" s="160" t="n"/>
      <c r="AD1575" s="160" t="n"/>
      <c r="AE1575" s="160" t="n"/>
      <c r="AF1575" s="160" t="n"/>
      <c r="AG1575" s="160" t="n"/>
      <c r="AH1575" s="160" t="n"/>
      <c r="AI1575" s="160" t="n"/>
      <c r="AJ1575" s="160" t="n"/>
      <c r="AK1575" s="160" t="n"/>
      <c r="AL1575" s="160" t="n"/>
      <c r="AM1575" s="160" t="n"/>
      <c r="AN1575" s="160" t="n"/>
      <c r="AO1575" s="160" t="n"/>
      <c r="AP1575" s="160" t="n"/>
      <c r="AQ1575" s="160" t="n"/>
      <c r="AR1575" s="160" t="n"/>
    </row>
    <row r="1578">
      <c r="A1578" s="2">
        <f>IF($A1571="","","   projections")</f>
        <v/>
      </c>
      <c r="B1578" s="158">
        <f>IF($A1571="",0,COUNT($E1579:$AR1579))</f>
        <v/>
      </c>
      <c r="C1578" s="159">
        <f>IF($B1578=0,0,MAX($E1579:$AR1579))</f>
        <v/>
      </c>
      <c r="D1578" s="101">
        <f>BDS($A1571,FLD_PROJ,"headers=y","startcol=1","endcol=3","dir=h")</f>
        <v/>
      </c>
      <c r="E1578" s="102" t="n"/>
      <c r="F1578" s="102" t="n"/>
      <c r="G1578" s="102" t="n"/>
      <c r="H1578" s="102" t="n"/>
      <c r="I1578" s="102" t="n"/>
      <c r="J1578" s="102" t="n"/>
      <c r="K1578" s="102" t="n"/>
      <c r="L1578" s="102" t="n"/>
      <c r="M1578" s="102" t="n"/>
      <c r="N1578" s="102" t="n"/>
      <c r="O1578" s="102" t="n"/>
      <c r="P1578" s="102" t="n"/>
      <c r="Q1578" s="102" t="n"/>
      <c r="R1578" s="102" t="n"/>
      <c r="S1578" s="102" t="n"/>
      <c r="T1578" s="102" t="n"/>
      <c r="U1578" s="102" t="n"/>
      <c r="V1578" s="102" t="n"/>
      <c r="W1578" s="102" t="n"/>
      <c r="X1578" s="102" t="n"/>
      <c r="Y1578" s="102" t="n"/>
      <c r="Z1578" s="102" t="n"/>
      <c r="AA1578" s="102" t="n"/>
      <c r="AB1578" s="102" t="n"/>
      <c r="AC1578" s="102" t="n"/>
      <c r="AD1578" s="102" t="n"/>
      <c r="AE1578" s="102" t="n"/>
      <c r="AF1578" s="102" t="n"/>
      <c r="AG1578" s="102" t="n"/>
      <c r="AH1578" s="102" t="n"/>
      <c r="AI1578" s="102" t="n"/>
      <c r="AJ1578" s="102" t="n"/>
      <c r="AK1578" s="102" t="n"/>
      <c r="AL1578" s="102" t="n"/>
      <c r="AM1578" s="102" t="n"/>
      <c r="AN1578" s="102" t="n"/>
      <c r="AO1578" s="102" t="n"/>
      <c r="AP1578" s="102" t="n"/>
      <c r="AQ1578" s="102" t="n"/>
      <c r="AR1578" s="102" t="n"/>
    </row>
    <row r="1579">
      <c r="D1579" s="102" t="n"/>
      <c r="E1579" s="102" t="n"/>
      <c r="F1579" s="102" t="n"/>
      <c r="G1579" s="102" t="n"/>
      <c r="H1579" s="102" t="n"/>
      <c r="I1579" s="102" t="n"/>
      <c r="J1579" s="102" t="n"/>
      <c r="K1579" s="102" t="n"/>
      <c r="L1579" s="102" t="n"/>
      <c r="M1579" s="102" t="n"/>
      <c r="N1579" s="102" t="n"/>
      <c r="O1579" s="102" t="n"/>
      <c r="P1579" s="102" t="n"/>
      <c r="Q1579" s="102" t="n"/>
      <c r="R1579" s="102" t="n"/>
      <c r="S1579" s="102" t="n"/>
      <c r="T1579" s="102" t="n"/>
      <c r="U1579" s="102" t="n"/>
      <c r="V1579" s="102" t="n"/>
      <c r="W1579" s="102" t="n"/>
      <c r="X1579" s="102" t="n"/>
      <c r="Y1579" s="102" t="n"/>
      <c r="Z1579" s="102" t="n"/>
      <c r="AA1579" s="102" t="n"/>
      <c r="AB1579" s="102" t="n"/>
      <c r="AC1579" s="102" t="n"/>
      <c r="AD1579" s="102" t="n"/>
      <c r="AE1579" s="102" t="n"/>
      <c r="AF1579" s="102" t="n"/>
      <c r="AG1579" s="102" t="n"/>
      <c r="AH1579" s="102" t="n"/>
      <c r="AI1579" s="102" t="n"/>
      <c r="AJ1579" s="102" t="n"/>
      <c r="AK1579" s="102" t="n"/>
      <c r="AL1579" s="102" t="n"/>
      <c r="AM1579" s="102" t="n"/>
      <c r="AN1579" s="102" t="n"/>
      <c r="AO1579" s="102" t="n"/>
      <c r="AP1579" s="102" t="n"/>
      <c r="AQ1579" s="102" t="n"/>
      <c r="AR1579" s="102" t="n"/>
    </row>
    <row r="1580">
      <c r="D1580" s="160" t="n"/>
      <c r="E1580" s="160" t="n"/>
      <c r="F1580" s="160" t="n"/>
      <c r="G1580" s="160" t="n"/>
      <c r="H1580" s="160" t="n"/>
      <c r="I1580" s="160" t="n"/>
      <c r="J1580" s="160" t="n"/>
      <c r="K1580" s="160" t="n"/>
      <c r="L1580" s="160" t="n"/>
      <c r="M1580" s="160" t="n"/>
      <c r="N1580" s="160" t="n"/>
      <c r="O1580" s="160" t="n"/>
      <c r="P1580" s="160" t="n"/>
      <c r="Q1580" s="160" t="n"/>
      <c r="R1580" s="160" t="n"/>
      <c r="S1580" s="160" t="n"/>
      <c r="T1580" s="160" t="n"/>
      <c r="U1580" s="160" t="n"/>
      <c r="V1580" s="160" t="n"/>
      <c r="W1580" s="160" t="n"/>
      <c r="X1580" s="160" t="n"/>
      <c r="Y1580" s="160" t="n"/>
      <c r="Z1580" s="160" t="n"/>
      <c r="AA1580" s="160" t="n"/>
      <c r="AB1580" s="160" t="n"/>
      <c r="AC1580" s="160" t="n"/>
      <c r="AD1580" s="160" t="n"/>
      <c r="AE1580" s="160" t="n"/>
      <c r="AF1580" s="160" t="n"/>
      <c r="AG1580" s="160" t="n"/>
      <c r="AH1580" s="160" t="n"/>
      <c r="AI1580" s="160" t="n"/>
      <c r="AJ1580" s="160" t="n"/>
      <c r="AK1580" s="160" t="n"/>
      <c r="AL1580" s="160" t="n"/>
      <c r="AM1580" s="160" t="n"/>
      <c r="AN1580" s="160" t="n"/>
      <c r="AO1580" s="160" t="n"/>
      <c r="AP1580" s="160" t="n"/>
      <c r="AQ1580" s="160" t="n"/>
      <c r="AR1580" s="160" t="n"/>
    </row>
    <row r="1582">
      <c r="A1582" s="8">
        <f>IF(HSCEI!$C$9="","",HSCEI!$C$9)</f>
        <v/>
      </c>
      <c r="B1582" s="158">
        <f>IF($A1582="",0,COUNT($E1583:$AR1583))</f>
        <v/>
      </c>
      <c r="C1582" s="159">
        <f>IF($B1582=0,0,MAX($E1583:$AR1583))</f>
        <v/>
      </c>
      <c r="D1582" s="101">
        <f>BDS($A1582,FLD_HIST,"headers=y","startcol=1","endcol=7","dir=h","DVD_START_DT",HIST_FROM,"DVD_END_DT",HIST_TO)</f>
        <v/>
      </c>
      <c r="E1582" s="102" t="n"/>
      <c r="F1582" s="102" t="n"/>
      <c r="G1582" s="102" t="n"/>
      <c r="H1582" s="102" t="n"/>
      <c r="I1582" s="102" t="n"/>
      <c r="J1582" s="102" t="n"/>
      <c r="K1582" s="102" t="n"/>
      <c r="L1582" s="102" t="n"/>
      <c r="M1582" s="102" t="n"/>
      <c r="N1582" s="102" t="n"/>
      <c r="O1582" s="102" t="n"/>
      <c r="P1582" s="102" t="n"/>
      <c r="Q1582" s="102" t="n"/>
      <c r="R1582" s="102" t="n"/>
      <c r="S1582" s="102" t="n"/>
      <c r="T1582" s="102" t="n"/>
      <c r="U1582" s="102" t="n"/>
      <c r="V1582" s="102" t="n"/>
      <c r="W1582" s="102" t="n"/>
      <c r="X1582" s="102" t="n"/>
      <c r="Y1582" s="102" t="n"/>
      <c r="Z1582" s="102" t="n"/>
      <c r="AA1582" s="102" t="n"/>
      <c r="AB1582" s="102" t="n"/>
      <c r="AC1582" s="102" t="n"/>
      <c r="AD1582" s="102" t="n"/>
      <c r="AE1582" s="102" t="n"/>
      <c r="AF1582" s="102" t="n"/>
      <c r="AG1582" s="102" t="n"/>
      <c r="AH1582" s="102" t="n"/>
      <c r="AI1582" s="102" t="n"/>
      <c r="AJ1582" s="102" t="n"/>
      <c r="AK1582" s="102" t="n"/>
      <c r="AL1582" s="102" t="n"/>
      <c r="AM1582" s="102" t="n"/>
      <c r="AN1582" s="102" t="n"/>
      <c r="AO1582" s="102" t="n"/>
      <c r="AP1582" s="102" t="n"/>
      <c r="AQ1582" s="102" t="n"/>
      <c r="AR1582" s="102" t="n"/>
    </row>
    <row r="1583">
      <c r="D1583" s="102" t="n"/>
      <c r="E1583" s="102" t="n"/>
      <c r="F1583" s="102" t="n"/>
      <c r="G1583" s="102" t="n"/>
      <c r="H1583" s="102" t="n"/>
      <c r="I1583" s="102" t="n"/>
      <c r="J1583" s="102" t="n"/>
      <c r="K1583" s="102" t="n"/>
      <c r="L1583" s="102" t="n"/>
      <c r="M1583" s="102" t="n"/>
      <c r="N1583" s="102" t="n"/>
      <c r="O1583" s="102" t="n"/>
      <c r="P1583" s="102" t="n"/>
      <c r="Q1583" s="102" t="n"/>
      <c r="R1583" s="102" t="n"/>
      <c r="S1583" s="102" t="n"/>
      <c r="T1583" s="102" t="n"/>
      <c r="U1583" s="102" t="n"/>
      <c r="V1583" s="102" t="n"/>
      <c r="W1583" s="102" t="n"/>
      <c r="X1583" s="102" t="n"/>
      <c r="Y1583" s="102" t="n"/>
      <c r="Z1583" s="102" t="n"/>
      <c r="AA1583" s="102" t="n"/>
      <c r="AB1583" s="102" t="n"/>
      <c r="AC1583" s="102" t="n"/>
      <c r="AD1583" s="102" t="n"/>
      <c r="AE1583" s="102" t="n"/>
      <c r="AF1583" s="102" t="n"/>
      <c r="AG1583" s="102" t="n"/>
      <c r="AH1583" s="102" t="n"/>
      <c r="AI1583" s="102" t="n"/>
      <c r="AJ1583" s="102" t="n"/>
      <c r="AK1583" s="102" t="n"/>
      <c r="AL1583" s="102" t="n"/>
      <c r="AM1583" s="102" t="n"/>
      <c r="AN1583" s="102" t="n"/>
      <c r="AO1583" s="102" t="n"/>
      <c r="AP1583" s="102" t="n"/>
      <c r="AQ1583" s="102" t="n"/>
      <c r="AR1583" s="102" t="n"/>
    </row>
    <row r="1584">
      <c r="D1584" s="102" t="n"/>
      <c r="E1584" s="102" t="n"/>
      <c r="F1584" s="102" t="n"/>
      <c r="G1584" s="102" t="n"/>
      <c r="H1584" s="102" t="n"/>
      <c r="I1584" s="102" t="n"/>
      <c r="J1584" s="102" t="n"/>
      <c r="K1584" s="102" t="n"/>
      <c r="L1584" s="102" t="n"/>
      <c r="M1584" s="102" t="n"/>
      <c r="N1584" s="102" t="n"/>
      <c r="O1584" s="102" t="n"/>
      <c r="P1584" s="102" t="n"/>
      <c r="Q1584" s="102" t="n"/>
      <c r="R1584" s="102" t="n"/>
      <c r="S1584" s="102" t="n"/>
      <c r="T1584" s="102" t="n"/>
      <c r="U1584" s="102" t="n"/>
      <c r="V1584" s="102" t="n"/>
      <c r="W1584" s="102" t="n"/>
      <c r="X1584" s="102" t="n"/>
      <c r="Y1584" s="102" t="n"/>
      <c r="Z1584" s="102" t="n"/>
      <c r="AA1584" s="102" t="n"/>
      <c r="AB1584" s="102" t="n"/>
      <c r="AC1584" s="102" t="n"/>
      <c r="AD1584" s="102" t="n"/>
      <c r="AE1584" s="102" t="n"/>
      <c r="AF1584" s="102" t="n"/>
      <c r="AG1584" s="102" t="n"/>
      <c r="AH1584" s="102" t="n"/>
      <c r="AI1584" s="102" t="n"/>
      <c r="AJ1584" s="102" t="n"/>
      <c r="AK1584" s="102" t="n"/>
      <c r="AL1584" s="102" t="n"/>
      <c r="AM1584" s="102" t="n"/>
      <c r="AN1584" s="102" t="n"/>
      <c r="AO1584" s="102" t="n"/>
      <c r="AP1584" s="102" t="n"/>
      <c r="AQ1584" s="102" t="n"/>
      <c r="AR1584" s="102" t="n"/>
    </row>
    <row r="1585">
      <c r="D1585" s="102" t="n"/>
      <c r="E1585" s="102" t="n"/>
      <c r="F1585" s="102" t="n"/>
      <c r="G1585" s="102" t="n"/>
      <c r="H1585" s="102" t="n"/>
      <c r="I1585" s="102" t="n"/>
      <c r="J1585" s="102" t="n"/>
      <c r="K1585" s="102" t="n"/>
      <c r="L1585" s="102" t="n"/>
      <c r="M1585" s="102" t="n"/>
      <c r="N1585" s="102" t="n"/>
      <c r="O1585" s="102" t="n"/>
      <c r="P1585" s="102" t="n"/>
      <c r="Q1585" s="102" t="n"/>
      <c r="R1585" s="102" t="n"/>
      <c r="S1585" s="102" t="n"/>
      <c r="T1585" s="102" t="n"/>
      <c r="U1585" s="102" t="n"/>
      <c r="V1585" s="102" t="n"/>
      <c r="W1585" s="102" t="n"/>
      <c r="X1585" s="102" t="n"/>
      <c r="Y1585" s="102" t="n"/>
      <c r="Z1585" s="102" t="n"/>
      <c r="AA1585" s="102" t="n"/>
      <c r="AB1585" s="102" t="n"/>
      <c r="AC1585" s="102" t="n"/>
      <c r="AD1585" s="102" t="n"/>
      <c r="AE1585" s="102" t="n"/>
      <c r="AF1585" s="102" t="n"/>
      <c r="AG1585" s="102" t="n"/>
      <c r="AH1585" s="102" t="n"/>
      <c r="AI1585" s="102" t="n"/>
      <c r="AJ1585" s="102" t="n"/>
      <c r="AK1585" s="102" t="n"/>
      <c r="AL1585" s="102" t="n"/>
      <c r="AM1585" s="102" t="n"/>
      <c r="AN1585" s="102" t="n"/>
      <c r="AO1585" s="102" t="n"/>
      <c r="AP1585" s="102" t="n"/>
      <c r="AQ1585" s="102" t="n"/>
      <c r="AR1585" s="102" t="n"/>
    </row>
    <row r="1586">
      <c r="D1586" s="160" t="n"/>
      <c r="E1586" s="160" t="n"/>
      <c r="F1586" s="160" t="n"/>
      <c r="G1586" s="160" t="n"/>
      <c r="H1586" s="160" t="n"/>
      <c r="I1586" s="160" t="n"/>
      <c r="J1586" s="160" t="n"/>
      <c r="K1586" s="160" t="n"/>
      <c r="L1586" s="160" t="n"/>
      <c r="M1586" s="160" t="n"/>
      <c r="N1586" s="160" t="n"/>
      <c r="O1586" s="160" t="n"/>
      <c r="P1586" s="160" t="n"/>
      <c r="Q1586" s="160" t="n"/>
      <c r="R1586" s="160" t="n"/>
      <c r="S1586" s="160" t="n"/>
      <c r="T1586" s="160" t="n"/>
      <c r="U1586" s="160" t="n"/>
      <c r="V1586" s="160" t="n"/>
      <c r="W1586" s="160" t="n"/>
      <c r="X1586" s="160" t="n"/>
      <c r="Y1586" s="160" t="n"/>
      <c r="Z1586" s="160" t="n"/>
      <c r="AA1586" s="160" t="n"/>
      <c r="AB1586" s="160" t="n"/>
      <c r="AC1586" s="160" t="n"/>
      <c r="AD1586" s="160" t="n"/>
      <c r="AE1586" s="160" t="n"/>
      <c r="AF1586" s="160" t="n"/>
      <c r="AG1586" s="160" t="n"/>
      <c r="AH1586" s="160" t="n"/>
      <c r="AI1586" s="160" t="n"/>
      <c r="AJ1586" s="160" t="n"/>
      <c r="AK1586" s="160" t="n"/>
      <c r="AL1586" s="160" t="n"/>
      <c r="AM1586" s="160" t="n"/>
      <c r="AN1586" s="160" t="n"/>
      <c r="AO1586" s="160" t="n"/>
      <c r="AP1586" s="160" t="n"/>
      <c r="AQ1586" s="160" t="n"/>
      <c r="AR1586" s="160" t="n"/>
    </row>
    <row r="1589">
      <c r="A1589" s="2">
        <f>IF($A1582="","","   projections")</f>
        <v/>
      </c>
      <c r="B1589" s="158">
        <f>IF($A1582="",0,COUNT($E1590:$AR1590))</f>
        <v/>
      </c>
      <c r="C1589" s="159">
        <f>IF($B1589=0,0,MAX($E1590:$AR1590))</f>
        <v/>
      </c>
      <c r="D1589" s="101">
        <f>BDS($A1582,FLD_PROJ,"headers=y","startcol=1","endcol=3","dir=h")</f>
        <v/>
      </c>
      <c r="E1589" s="102" t="n"/>
      <c r="F1589" s="102" t="n"/>
      <c r="G1589" s="102" t="n"/>
      <c r="H1589" s="102" t="n"/>
      <c r="I1589" s="102" t="n"/>
      <c r="J1589" s="102" t="n"/>
      <c r="K1589" s="102" t="n"/>
      <c r="L1589" s="102" t="n"/>
      <c r="M1589" s="102" t="n"/>
      <c r="N1589" s="102" t="n"/>
      <c r="O1589" s="102" t="n"/>
      <c r="P1589" s="102" t="n"/>
      <c r="Q1589" s="102" t="n"/>
      <c r="R1589" s="102" t="n"/>
      <c r="S1589" s="102" t="n"/>
      <c r="T1589" s="102" t="n"/>
      <c r="U1589" s="102" t="n"/>
      <c r="V1589" s="102" t="n"/>
      <c r="W1589" s="102" t="n"/>
      <c r="X1589" s="102" t="n"/>
      <c r="Y1589" s="102" t="n"/>
      <c r="Z1589" s="102" t="n"/>
      <c r="AA1589" s="102" t="n"/>
      <c r="AB1589" s="102" t="n"/>
      <c r="AC1589" s="102" t="n"/>
      <c r="AD1589" s="102" t="n"/>
      <c r="AE1589" s="102" t="n"/>
      <c r="AF1589" s="102" t="n"/>
      <c r="AG1589" s="102" t="n"/>
      <c r="AH1589" s="102" t="n"/>
      <c r="AI1589" s="102" t="n"/>
      <c r="AJ1589" s="102" t="n"/>
      <c r="AK1589" s="102" t="n"/>
      <c r="AL1589" s="102" t="n"/>
      <c r="AM1589" s="102" t="n"/>
      <c r="AN1589" s="102" t="n"/>
      <c r="AO1589" s="102" t="n"/>
      <c r="AP1589" s="102" t="n"/>
      <c r="AQ1589" s="102" t="n"/>
      <c r="AR1589" s="102" t="n"/>
    </row>
    <row r="1590">
      <c r="D1590" s="102" t="n"/>
      <c r="E1590" s="102" t="n"/>
      <c r="F1590" s="102" t="n"/>
      <c r="G1590" s="102" t="n"/>
      <c r="H1590" s="102" t="n"/>
      <c r="I1590" s="102" t="n"/>
      <c r="J1590" s="102" t="n"/>
      <c r="K1590" s="102" t="n"/>
      <c r="L1590" s="102" t="n"/>
      <c r="M1590" s="102" t="n"/>
      <c r="N1590" s="102" t="n"/>
      <c r="O1590" s="102" t="n"/>
      <c r="P1590" s="102" t="n"/>
      <c r="Q1590" s="102" t="n"/>
      <c r="R1590" s="102" t="n"/>
      <c r="S1590" s="102" t="n"/>
      <c r="T1590" s="102" t="n"/>
      <c r="U1590" s="102" t="n"/>
      <c r="V1590" s="102" t="n"/>
      <c r="W1590" s="102" t="n"/>
      <c r="X1590" s="102" t="n"/>
      <c r="Y1590" s="102" t="n"/>
      <c r="Z1590" s="102" t="n"/>
      <c r="AA1590" s="102" t="n"/>
      <c r="AB1590" s="102" t="n"/>
      <c r="AC1590" s="102" t="n"/>
      <c r="AD1590" s="102" t="n"/>
      <c r="AE1590" s="102" t="n"/>
      <c r="AF1590" s="102" t="n"/>
      <c r="AG1590" s="102" t="n"/>
      <c r="AH1590" s="102" t="n"/>
      <c r="AI1590" s="102" t="n"/>
      <c r="AJ1590" s="102" t="n"/>
      <c r="AK1590" s="102" t="n"/>
      <c r="AL1590" s="102" t="n"/>
      <c r="AM1590" s="102" t="n"/>
      <c r="AN1590" s="102" t="n"/>
      <c r="AO1590" s="102" t="n"/>
      <c r="AP1590" s="102" t="n"/>
      <c r="AQ1590" s="102" t="n"/>
      <c r="AR1590" s="102" t="n"/>
    </row>
    <row r="1591">
      <c r="D1591" s="160" t="n"/>
      <c r="E1591" s="160" t="n"/>
      <c r="F1591" s="160" t="n"/>
      <c r="G1591" s="160" t="n"/>
      <c r="H1591" s="160" t="n"/>
      <c r="I1591" s="160" t="n"/>
      <c r="J1591" s="160" t="n"/>
      <c r="K1591" s="160" t="n"/>
      <c r="L1591" s="160" t="n"/>
      <c r="M1591" s="160" t="n"/>
      <c r="N1591" s="160" t="n"/>
      <c r="O1591" s="160" t="n"/>
      <c r="P1591" s="160" t="n"/>
      <c r="Q1591" s="160" t="n"/>
      <c r="R1591" s="160" t="n"/>
      <c r="S1591" s="160" t="n"/>
      <c r="T1591" s="160" t="n"/>
      <c r="U1591" s="160" t="n"/>
      <c r="V1591" s="160" t="n"/>
      <c r="W1591" s="160" t="n"/>
      <c r="X1591" s="160" t="n"/>
      <c r="Y1591" s="160" t="n"/>
      <c r="Z1591" s="160" t="n"/>
      <c r="AA1591" s="160" t="n"/>
      <c r="AB1591" s="160" t="n"/>
      <c r="AC1591" s="160" t="n"/>
      <c r="AD1591" s="160" t="n"/>
      <c r="AE1591" s="160" t="n"/>
      <c r="AF1591" s="160" t="n"/>
      <c r="AG1591" s="160" t="n"/>
      <c r="AH1591" s="160" t="n"/>
      <c r="AI1591" s="160" t="n"/>
      <c r="AJ1591" s="160" t="n"/>
      <c r="AK1591" s="160" t="n"/>
      <c r="AL1591" s="160" t="n"/>
      <c r="AM1591" s="160" t="n"/>
      <c r="AN1591" s="160" t="n"/>
      <c r="AO1591" s="160" t="n"/>
      <c r="AP1591" s="160" t="n"/>
      <c r="AQ1591" s="160" t="n"/>
      <c r="AR1591" s="160" t="n"/>
    </row>
    <row r="1593">
      <c r="A1593" s="8">
        <f>IF(HSCEI!$C$10="","",HSCEI!$C$10)</f>
        <v/>
      </c>
      <c r="B1593" s="158">
        <f>IF($A1593="",0,COUNT($E1594:$AR1594))</f>
        <v/>
      </c>
      <c r="C1593" s="159">
        <f>IF($B1593=0,0,MAX($E1594:$AR1594))</f>
        <v/>
      </c>
      <c r="D1593" s="101">
        <f>BDS($A1593,FLD_HIST,"headers=y","startcol=1","endcol=7","dir=h","DVD_START_DT",HIST_FROM,"DVD_END_DT",HIST_TO)</f>
        <v/>
      </c>
      <c r="E1593" s="102" t="n"/>
      <c r="F1593" s="102" t="n"/>
      <c r="G1593" s="102" t="n"/>
      <c r="H1593" s="102" t="n"/>
      <c r="I1593" s="102" t="n"/>
      <c r="J1593" s="102" t="n"/>
      <c r="K1593" s="102" t="n"/>
      <c r="L1593" s="102" t="n"/>
      <c r="M1593" s="102" t="n"/>
      <c r="N1593" s="102" t="n"/>
      <c r="O1593" s="102" t="n"/>
      <c r="P1593" s="102" t="n"/>
      <c r="Q1593" s="102" t="n"/>
      <c r="R1593" s="102" t="n"/>
      <c r="S1593" s="102" t="n"/>
      <c r="T1593" s="102" t="n"/>
      <c r="U1593" s="102" t="n"/>
      <c r="V1593" s="102" t="n"/>
      <c r="W1593" s="102" t="n"/>
      <c r="X1593" s="102" t="n"/>
      <c r="Y1593" s="102" t="n"/>
      <c r="Z1593" s="102" t="n"/>
      <c r="AA1593" s="102" t="n"/>
      <c r="AB1593" s="102" t="n"/>
      <c r="AC1593" s="102" t="n"/>
      <c r="AD1593" s="102" t="n"/>
      <c r="AE1593" s="102" t="n"/>
      <c r="AF1593" s="102" t="n"/>
      <c r="AG1593" s="102" t="n"/>
      <c r="AH1593" s="102" t="n"/>
      <c r="AI1593" s="102" t="n"/>
      <c r="AJ1593" s="102" t="n"/>
      <c r="AK1593" s="102" t="n"/>
      <c r="AL1593" s="102" t="n"/>
      <c r="AM1593" s="102" t="n"/>
      <c r="AN1593" s="102" t="n"/>
      <c r="AO1593" s="102" t="n"/>
      <c r="AP1593" s="102" t="n"/>
      <c r="AQ1593" s="102" t="n"/>
      <c r="AR1593" s="102" t="n"/>
    </row>
    <row r="1594">
      <c r="D1594" s="102" t="n"/>
      <c r="E1594" s="102" t="n"/>
      <c r="F1594" s="102" t="n"/>
      <c r="G1594" s="102" t="n"/>
      <c r="H1594" s="102" t="n"/>
      <c r="I1594" s="102" t="n"/>
      <c r="J1594" s="102" t="n"/>
      <c r="K1594" s="102" t="n"/>
      <c r="L1594" s="102" t="n"/>
      <c r="M1594" s="102" t="n"/>
      <c r="N1594" s="102" t="n"/>
      <c r="O1594" s="102" t="n"/>
      <c r="P1594" s="102" t="n"/>
      <c r="Q1594" s="102" t="n"/>
      <c r="R1594" s="102" t="n"/>
      <c r="S1594" s="102" t="n"/>
      <c r="T1594" s="102" t="n"/>
      <c r="U1594" s="102" t="n"/>
      <c r="V1594" s="102" t="n"/>
      <c r="W1594" s="102" t="n"/>
      <c r="X1594" s="102" t="n"/>
      <c r="Y1594" s="102" t="n"/>
      <c r="Z1594" s="102" t="n"/>
      <c r="AA1594" s="102" t="n"/>
      <c r="AB1594" s="102" t="n"/>
      <c r="AC1594" s="102" t="n"/>
      <c r="AD1594" s="102" t="n"/>
      <c r="AE1594" s="102" t="n"/>
      <c r="AF1594" s="102" t="n"/>
      <c r="AG1594" s="102" t="n"/>
      <c r="AH1594" s="102" t="n"/>
      <c r="AI1594" s="102" t="n"/>
      <c r="AJ1594" s="102" t="n"/>
      <c r="AK1594" s="102" t="n"/>
      <c r="AL1594" s="102" t="n"/>
      <c r="AM1594" s="102" t="n"/>
      <c r="AN1594" s="102" t="n"/>
      <c r="AO1594" s="102" t="n"/>
      <c r="AP1594" s="102" t="n"/>
      <c r="AQ1594" s="102" t="n"/>
      <c r="AR1594" s="102" t="n"/>
    </row>
    <row r="1595">
      <c r="D1595" s="102" t="n"/>
      <c r="E1595" s="102" t="n"/>
      <c r="F1595" s="102" t="n"/>
      <c r="G1595" s="102" t="n"/>
      <c r="H1595" s="102" t="n"/>
      <c r="I1595" s="102" t="n"/>
      <c r="J1595" s="102" t="n"/>
      <c r="K1595" s="102" t="n"/>
      <c r="L1595" s="102" t="n"/>
      <c r="M1595" s="102" t="n"/>
      <c r="N1595" s="102" t="n"/>
      <c r="O1595" s="102" t="n"/>
      <c r="P1595" s="102" t="n"/>
      <c r="Q1595" s="102" t="n"/>
      <c r="R1595" s="102" t="n"/>
      <c r="S1595" s="102" t="n"/>
      <c r="T1595" s="102" t="n"/>
      <c r="U1595" s="102" t="n"/>
      <c r="V1595" s="102" t="n"/>
      <c r="W1595" s="102" t="n"/>
      <c r="X1595" s="102" t="n"/>
      <c r="Y1595" s="102" t="n"/>
      <c r="Z1595" s="102" t="n"/>
      <c r="AA1595" s="102" t="n"/>
      <c r="AB1595" s="102" t="n"/>
      <c r="AC1595" s="102" t="n"/>
      <c r="AD1595" s="102" t="n"/>
      <c r="AE1595" s="102" t="n"/>
      <c r="AF1595" s="102" t="n"/>
      <c r="AG1595" s="102" t="n"/>
      <c r="AH1595" s="102" t="n"/>
      <c r="AI1595" s="102" t="n"/>
      <c r="AJ1595" s="102" t="n"/>
      <c r="AK1595" s="102" t="n"/>
      <c r="AL1595" s="102" t="n"/>
      <c r="AM1595" s="102" t="n"/>
      <c r="AN1595" s="102" t="n"/>
      <c r="AO1595" s="102" t="n"/>
      <c r="AP1595" s="102" t="n"/>
      <c r="AQ1595" s="102" t="n"/>
      <c r="AR1595" s="102" t="n"/>
    </row>
    <row r="1596">
      <c r="D1596" s="102" t="n"/>
      <c r="E1596" s="102" t="n"/>
      <c r="F1596" s="102" t="n"/>
      <c r="G1596" s="102" t="n"/>
      <c r="H1596" s="102" t="n"/>
      <c r="I1596" s="102" t="n"/>
      <c r="J1596" s="102" t="n"/>
      <c r="K1596" s="102" t="n"/>
      <c r="L1596" s="102" t="n"/>
      <c r="M1596" s="102" t="n"/>
      <c r="N1596" s="102" t="n"/>
      <c r="O1596" s="102" t="n"/>
      <c r="P1596" s="102" t="n"/>
      <c r="Q1596" s="102" t="n"/>
      <c r="R1596" s="102" t="n"/>
      <c r="S1596" s="102" t="n"/>
      <c r="T1596" s="102" t="n"/>
      <c r="U1596" s="102" t="n"/>
      <c r="V1596" s="102" t="n"/>
      <c r="W1596" s="102" t="n"/>
      <c r="X1596" s="102" t="n"/>
      <c r="Y1596" s="102" t="n"/>
      <c r="Z1596" s="102" t="n"/>
      <c r="AA1596" s="102" t="n"/>
      <c r="AB1596" s="102" t="n"/>
      <c r="AC1596" s="102" t="n"/>
      <c r="AD1596" s="102" t="n"/>
      <c r="AE1596" s="102" t="n"/>
      <c r="AF1596" s="102" t="n"/>
      <c r="AG1596" s="102" t="n"/>
      <c r="AH1596" s="102" t="n"/>
      <c r="AI1596" s="102" t="n"/>
      <c r="AJ1596" s="102" t="n"/>
      <c r="AK1596" s="102" t="n"/>
      <c r="AL1596" s="102" t="n"/>
      <c r="AM1596" s="102" t="n"/>
      <c r="AN1596" s="102" t="n"/>
      <c r="AO1596" s="102" t="n"/>
      <c r="AP1596" s="102" t="n"/>
      <c r="AQ1596" s="102" t="n"/>
      <c r="AR1596" s="102" t="n"/>
    </row>
    <row r="1597">
      <c r="D1597" s="160" t="n"/>
      <c r="E1597" s="160" t="n"/>
      <c r="F1597" s="160" t="n"/>
      <c r="G1597" s="160" t="n"/>
      <c r="H1597" s="160" t="n"/>
      <c r="I1597" s="160" t="n"/>
      <c r="J1597" s="160" t="n"/>
      <c r="K1597" s="160" t="n"/>
      <c r="L1597" s="160" t="n"/>
      <c r="M1597" s="160" t="n"/>
      <c r="N1597" s="160" t="n"/>
      <c r="O1597" s="160" t="n"/>
      <c r="P1597" s="160" t="n"/>
      <c r="Q1597" s="160" t="n"/>
      <c r="R1597" s="160" t="n"/>
      <c r="S1597" s="160" t="n"/>
      <c r="T1597" s="160" t="n"/>
      <c r="U1597" s="160" t="n"/>
      <c r="V1597" s="160" t="n"/>
      <c r="W1597" s="160" t="n"/>
      <c r="X1597" s="160" t="n"/>
      <c r="Y1597" s="160" t="n"/>
      <c r="Z1597" s="160" t="n"/>
      <c r="AA1597" s="160" t="n"/>
      <c r="AB1597" s="160" t="n"/>
      <c r="AC1597" s="160" t="n"/>
      <c r="AD1597" s="160" t="n"/>
      <c r="AE1597" s="160" t="n"/>
      <c r="AF1597" s="160" t="n"/>
      <c r="AG1597" s="160" t="n"/>
      <c r="AH1597" s="160" t="n"/>
      <c r="AI1597" s="160" t="n"/>
      <c r="AJ1597" s="160" t="n"/>
      <c r="AK1597" s="160" t="n"/>
      <c r="AL1597" s="160" t="n"/>
      <c r="AM1597" s="160" t="n"/>
      <c r="AN1597" s="160" t="n"/>
      <c r="AO1597" s="160" t="n"/>
      <c r="AP1597" s="160" t="n"/>
      <c r="AQ1597" s="160" t="n"/>
      <c r="AR1597" s="160" t="n"/>
    </row>
    <row r="1600">
      <c r="A1600" s="2">
        <f>IF($A1593="","","   projections")</f>
        <v/>
      </c>
      <c r="B1600" s="158">
        <f>IF($A1593="",0,COUNT($E1601:$AR1601))</f>
        <v/>
      </c>
      <c r="C1600" s="159">
        <f>IF($B1600=0,0,MAX($E1601:$AR1601))</f>
        <v/>
      </c>
      <c r="D1600" s="101">
        <f>BDS($A1593,FLD_PROJ,"headers=y","startcol=1","endcol=3","dir=h")</f>
        <v/>
      </c>
      <c r="E1600" s="102" t="n"/>
      <c r="F1600" s="102" t="n"/>
      <c r="G1600" s="102" t="n"/>
      <c r="H1600" s="102" t="n"/>
      <c r="I1600" s="102" t="n"/>
      <c r="J1600" s="102" t="n"/>
      <c r="K1600" s="102" t="n"/>
      <c r="L1600" s="102" t="n"/>
      <c r="M1600" s="102" t="n"/>
      <c r="N1600" s="102" t="n"/>
      <c r="O1600" s="102" t="n"/>
      <c r="P1600" s="102" t="n"/>
      <c r="Q1600" s="102" t="n"/>
      <c r="R1600" s="102" t="n"/>
      <c r="S1600" s="102" t="n"/>
      <c r="T1600" s="102" t="n"/>
      <c r="U1600" s="102" t="n"/>
      <c r="V1600" s="102" t="n"/>
      <c r="W1600" s="102" t="n"/>
      <c r="X1600" s="102" t="n"/>
      <c r="Y1600" s="102" t="n"/>
      <c r="Z1600" s="102" t="n"/>
      <c r="AA1600" s="102" t="n"/>
      <c r="AB1600" s="102" t="n"/>
      <c r="AC1600" s="102" t="n"/>
      <c r="AD1600" s="102" t="n"/>
      <c r="AE1600" s="102" t="n"/>
      <c r="AF1600" s="102" t="n"/>
      <c r="AG1600" s="102" t="n"/>
      <c r="AH1600" s="102" t="n"/>
      <c r="AI1600" s="102" t="n"/>
      <c r="AJ1600" s="102" t="n"/>
      <c r="AK1600" s="102" t="n"/>
      <c r="AL1600" s="102" t="n"/>
      <c r="AM1600" s="102" t="n"/>
      <c r="AN1600" s="102" t="n"/>
      <c r="AO1600" s="102" t="n"/>
      <c r="AP1600" s="102" t="n"/>
      <c r="AQ1600" s="102" t="n"/>
      <c r="AR1600" s="102" t="n"/>
    </row>
    <row r="1601">
      <c r="D1601" s="102" t="n"/>
      <c r="E1601" s="102" t="n"/>
      <c r="F1601" s="102" t="n"/>
      <c r="G1601" s="102" t="n"/>
      <c r="H1601" s="102" t="n"/>
      <c r="I1601" s="102" t="n"/>
      <c r="J1601" s="102" t="n"/>
      <c r="K1601" s="102" t="n"/>
      <c r="L1601" s="102" t="n"/>
      <c r="M1601" s="102" t="n"/>
      <c r="N1601" s="102" t="n"/>
      <c r="O1601" s="102" t="n"/>
      <c r="P1601" s="102" t="n"/>
      <c r="Q1601" s="102" t="n"/>
      <c r="R1601" s="102" t="n"/>
      <c r="S1601" s="102" t="n"/>
      <c r="T1601" s="102" t="n"/>
      <c r="U1601" s="102" t="n"/>
      <c r="V1601" s="102" t="n"/>
      <c r="W1601" s="102" t="n"/>
      <c r="X1601" s="102" t="n"/>
      <c r="Y1601" s="102" t="n"/>
      <c r="Z1601" s="102" t="n"/>
      <c r="AA1601" s="102" t="n"/>
      <c r="AB1601" s="102" t="n"/>
      <c r="AC1601" s="102" t="n"/>
      <c r="AD1601" s="102" t="n"/>
      <c r="AE1601" s="102" t="n"/>
      <c r="AF1601" s="102" t="n"/>
      <c r="AG1601" s="102" t="n"/>
      <c r="AH1601" s="102" t="n"/>
      <c r="AI1601" s="102" t="n"/>
      <c r="AJ1601" s="102" t="n"/>
      <c r="AK1601" s="102" t="n"/>
      <c r="AL1601" s="102" t="n"/>
      <c r="AM1601" s="102" t="n"/>
      <c r="AN1601" s="102" t="n"/>
      <c r="AO1601" s="102" t="n"/>
      <c r="AP1601" s="102" t="n"/>
      <c r="AQ1601" s="102" t="n"/>
      <c r="AR1601" s="102" t="n"/>
    </row>
    <row r="1602">
      <c r="D1602" s="160" t="n"/>
      <c r="E1602" s="160" t="n"/>
      <c r="F1602" s="160" t="n"/>
      <c r="G1602" s="160" t="n"/>
      <c r="H1602" s="160" t="n"/>
      <c r="I1602" s="160" t="n"/>
      <c r="J1602" s="160" t="n"/>
      <c r="K1602" s="160" t="n"/>
      <c r="L1602" s="160" t="n"/>
      <c r="M1602" s="160" t="n"/>
      <c r="N1602" s="160" t="n"/>
      <c r="O1602" s="160" t="n"/>
      <c r="P1602" s="160" t="n"/>
      <c r="Q1602" s="160" t="n"/>
      <c r="R1602" s="160" t="n"/>
      <c r="S1602" s="160" t="n"/>
      <c r="T1602" s="160" t="n"/>
      <c r="U1602" s="160" t="n"/>
      <c r="V1602" s="160" t="n"/>
      <c r="W1602" s="160" t="n"/>
      <c r="X1602" s="160" t="n"/>
      <c r="Y1602" s="160" t="n"/>
      <c r="Z1602" s="160" t="n"/>
      <c r="AA1602" s="160" t="n"/>
      <c r="AB1602" s="160" t="n"/>
      <c r="AC1602" s="160" t="n"/>
      <c r="AD1602" s="160" t="n"/>
      <c r="AE1602" s="160" t="n"/>
      <c r="AF1602" s="160" t="n"/>
      <c r="AG1602" s="160" t="n"/>
      <c r="AH1602" s="160" t="n"/>
      <c r="AI1602" s="160" t="n"/>
      <c r="AJ1602" s="160" t="n"/>
      <c r="AK1602" s="160" t="n"/>
      <c r="AL1602" s="160" t="n"/>
      <c r="AM1602" s="160" t="n"/>
      <c r="AN1602" s="160" t="n"/>
      <c r="AO1602" s="160" t="n"/>
      <c r="AP1602" s="160" t="n"/>
      <c r="AQ1602" s="160" t="n"/>
      <c r="AR1602" s="160" t="n"/>
    </row>
    <row r="1604">
      <c r="A1604" s="8">
        <f>IF(HSCEI!$C$11="","",HSCEI!$C$11)</f>
        <v/>
      </c>
      <c r="B1604" s="158">
        <f>IF($A1604="",0,COUNT($E1605:$AR1605))</f>
        <v/>
      </c>
      <c r="C1604" s="159">
        <f>IF($B1604=0,0,MAX($E1605:$AR1605))</f>
        <v/>
      </c>
      <c r="D1604" s="101">
        <f>BDS($A1604,FLD_HIST,"headers=y","startcol=1","endcol=7","dir=h","DVD_START_DT",HIST_FROM,"DVD_END_DT",HIST_TO)</f>
        <v/>
      </c>
      <c r="E1604" s="102" t="n"/>
      <c r="F1604" s="102" t="n"/>
      <c r="G1604" s="102" t="n"/>
      <c r="H1604" s="102" t="n"/>
      <c r="I1604" s="102" t="n"/>
      <c r="J1604" s="102" t="n"/>
      <c r="K1604" s="102" t="n"/>
      <c r="L1604" s="102" t="n"/>
      <c r="M1604" s="102" t="n"/>
      <c r="N1604" s="102" t="n"/>
      <c r="O1604" s="102" t="n"/>
      <c r="P1604" s="102" t="n"/>
      <c r="Q1604" s="102" t="n"/>
      <c r="R1604" s="102" t="n"/>
      <c r="S1604" s="102" t="n"/>
      <c r="T1604" s="102" t="n"/>
      <c r="U1604" s="102" t="n"/>
      <c r="V1604" s="102" t="n"/>
      <c r="W1604" s="102" t="n"/>
      <c r="X1604" s="102" t="n"/>
      <c r="Y1604" s="102" t="n"/>
      <c r="Z1604" s="102" t="n"/>
      <c r="AA1604" s="102" t="n"/>
      <c r="AB1604" s="102" t="n"/>
      <c r="AC1604" s="102" t="n"/>
      <c r="AD1604" s="102" t="n"/>
      <c r="AE1604" s="102" t="n"/>
      <c r="AF1604" s="102" t="n"/>
      <c r="AG1604" s="102" t="n"/>
      <c r="AH1604" s="102" t="n"/>
      <c r="AI1604" s="102" t="n"/>
      <c r="AJ1604" s="102" t="n"/>
      <c r="AK1604" s="102" t="n"/>
      <c r="AL1604" s="102" t="n"/>
      <c r="AM1604" s="102" t="n"/>
      <c r="AN1604" s="102" t="n"/>
      <c r="AO1604" s="102" t="n"/>
      <c r="AP1604" s="102" t="n"/>
      <c r="AQ1604" s="102" t="n"/>
      <c r="AR1604" s="102" t="n"/>
    </row>
    <row r="1605">
      <c r="D1605" s="102" t="n"/>
      <c r="E1605" s="102" t="n"/>
      <c r="F1605" s="102" t="n"/>
      <c r="G1605" s="102" t="n"/>
      <c r="H1605" s="102" t="n"/>
      <c r="I1605" s="102" t="n"/>
      <c r="J1605" s="102" t="n"/>
      <c r="K1605" s="102" t="n"/>
      <c r="L1605" s="102" t="n"/>
      <c r="M1605" s="102" t="n"/>
      <c r="N1605" s="102" t="n"/>
      <c r="O1605" s="102" t="n"/>
      <c r="P1605" s="102" t="n"/>
      <c r="Q1605" s="102" t="n"/>
      <c r="R1605" s="102" t="n"/>
      <c r="S1605" s="102" t="n"/>
      <c r="T1605" s="102" t="n"/>
      <c r="U1605" s="102" t="n"/>
      <c r="V1605" s="102" t="n"/>
      <c r="W1605" s="102" t="n"/>
      <c r="X1605" s="102" t="n"/>
      <c r="Y1605" s="102" t="n"/>
      <c r="Z1605" s="102" t="n"/>
      <c r="AA1605" s="102" t="n"/>
      <c r="AB1605" s="102" t="n"/>
      <c r="AC1605" s="102" t="n"/>
      <c r="AD1605" s="102" t="n"/>
      <c r="AE1605" s="102" t="n"/>
      <c r="AF1605" s="102" t="n"/>
      <c r="AG1605" s="102" t="n"/>
      <c r="AH1605" s="102" t="n"/>
      <c r="AI1605" s="102" t="n"/>
      <c r="AJ1605" s="102" t="n"/>
      <c r="AK1605" s="102" t="n"/>
      <c r="AL1605" s="102" t="n"/>
      <c r="AM1605" s="102" t="n"/>
      <c r="AN1605" s="102" t="n"/>
      <c r="AO1605" s="102" t="n"/>
      <c r="AP1605" s="102" t="n"/>
      <c r="AQ1605" s="102" t="n"/>
      <c r="AR1605" s="102" t="n"/>
    </row>
    <row r="1606">
      <c r="D1606" s="102" t="n"/>
      <c r="E1606" s="102" t="n"/>
      <c r="F1606" s="102" t="n"/>
      <c r="G1606" s="102" t="n"/>
      <c r="H1606" s="102" t="n"/>
      <c r="I1606" s="102" t="n"/>
      <c r="J1606" s="102" t="n"/>
      <c r="K1606" s="102" t="n"/>
      <c r="L1606" s="102" t="n"/>
      <c r="M1606" s="102" t="n"/>
      <c r="N1606" s="102" t="n"/>
      <c r="O1606" s="102" t="n"/>
      <c r="P1606" s="102" t="n"/>
      <c r="Q1606" s="102" t="n"/>
      <c r="R1606" s="102" t="n"/>
      <c r="S1606" s="102" t="n"/>
      <c r="T1606" s="102" t="n"/>
      <c r="U1606" s="102" t="n"/>
      <c r="V1606" s="102" t="n"/>
      <c r="W1606" s="102" t="n"/>
      <c r="X1606" s="102" t="n"/>
      <c r="Y1606" s="102" t="n"/>
      <c r="Z1606" s="102" t="n"/>
      <c r="AA1606" s="102" t="n"/>
      <c r="AB1606" s="102" t="n"/>
      <c r="AC1606" s="102" t="n"/>
      <c r="AD1606" s="102" t="n"/>
      <c r="AE1606" s="102" t="n"/>
      <c r="AF1606" s="102" t="n"/>
      <c r="AG1606" s="102" t="n"/>
      <c r="AH1606" s="102" t="n"/>
      <c r="AI1606" s="102" t="n"/>
      <c r="AJ1606" s="102" t="n"/>
      <c r="AK1606" s="102" t="n"/>
      <c r="AL1606" s="102" t="n"/>
      <c r="AM1606" s="102" t="n"/>
      <c r="AN1606" s="102" t="n"/>
      <c r="AO1606" s="102" t="n"/>
      <c r="AP1606" s="102" t="n"/>
      <c r="AQ1606" s="102" t="n"/>
      <c r="AR1606" s="102" t="n"/>
    </row>
    <row r="1607">
      <c r="D1607" s="102" t="n"/>
      <c r="E1607" s="102" t="n"/>
      <c r="F1607" s="102" t="n"/>
      <c r="G1607" s="102" t="n"/>
      <c r="H1607" s="102" t="n"/>
      <c r="I1607" s="102" t="n"/>
      <c r="J1607" s="102" t="n"/>
      <c r="K1607" s="102" t="n"/>
      <c r="L1607" s="102" t="n"/>
      <c r="M1607" s="102" t="n"/>
      <c r="N1607" s="102" t="n"/>
      <c r="O1607" s="102" t="n"/>
      <c r="P1607" s="102" t="n"/>
      <c r="Q1607" s="102" t="n"/>
      <c r="R1607" s="102" t="n"/>
      <c r="S1607" s="102" t="n"/>
      <c r="T1607" s="102" t="n"/>
      <c r="U1607" s="102" t="n"/>
      <c r="V1607" s="102" t="n"/>
      <c r="W1607" s="102" t="n"/>
      <c r="X1607" s="102" t="n"/>
      <c r="Y1607" s="102" t="n"/>
      <c r="Z1607" s="102" t="n"/>
      <c r="AA1607" s="102" t="n"/>
      <c r="AB1607" s="102" t="n"/>
      <c r="AC1607" s="102" t="n"/>
      <c r="AD1607" s="102" t="n"/>
      <c r="AE1607" s="102" t="n"/>
      <c r="AF1607" s="102" t="n"/>
      <c r="AG1607" s="102" t="n"/>
      <c r="AH1607" s="102" t="n"/>
      <c r="AI1607" s="102" t="n"/>
      <c r="AJ1607" s="102" t="n"/>
      <c r="AK1607" s="102" t="n"/>
      <c r="AL1607" s="102" t="n"/>
      <c r="AM1607" s="102" t="n"/>
      <c r="AN1607" s="102" t="n"/>
      <c r="AO1607" s="102" t="n"/>
      <c r="AP1607" s="102" t="n"/>
      <c r="AQ1607" s="102" t="n"/>
      <c r="AR1607" s="102" t="n"/>
    </row>
    <row r="1608">
      <c r="D1608" s="160" t="n"/>
      <c r="E1608" s="160" t="n"/>
      <c r="F1608" s="160" t="n"/>
      <c r="G1608" s="160" t="n"/>
      <c r="H1608" s="160" t="n"/>
      <c r="I1608" s="160" t="n"/>
      <c r="J1608" s="160" t="n"/>
      <c r="K1608" s="160" t="n"/>
      <c r="L1608" s="160" t="n"/>
      <c r="M1608" s="160" t="n"/>
      <c r="N1608" s="160" t="n"/>
      <c r="O1608" s="160" t="n"/>
      <c r="P1608" s="160" t="n"/>
      <c r="Q1608" s="160" t="n"/>
      <c r="R1608" s="160" t="n"/>
      <c r="S1608" s="160" t="n"/>
      <c r="T1608" s="160" t="n"/>
      <c r="U1608" s="160" t="n"/>
      <c r="V1608" s="160" t="n"/>
      <c r="W1608" s="160" t="n"/>
      <c r="X1608" s="160" t="n"/>
      <c r="Y1608" s="160" t="n"/>
      <c r="Z1608" s="160" t="n"/>
      <c r="AA1608" s="160" t="n"/>
      <c r="AB1608" s="160" t="n"/>
      <c r="AC1608" s="160" t="n"/>
      <c r="AD1608" s="160" t="n"/>
      <c r="AE1608" s="160" t="n"/>
      <c r="AF1608" s="160" t="n"/>
      <c r="AG1608" s="160" t="n"/>
      <c r="AH1608" s="160" t="n"/>
      <c r="AI1608" s="160" t="n"/>
      <c r="AJ1608" s="160" t="n"/>
      <c r="AK1608" s="160" t="n"/>
      <c r="AL1608" s="160" t="n"/>
      <c r="AM1608" s="160" t="n"/>
      <c r="AN1608" s="160" t="n"/>
      <c r="AO1608" s="160" t="n"/>
      <c r="AP1608" s="160" t="n"/>
      <c r="AQ1608" s="160" t="n"/>
      <c r="AR1608" s="160" t="n"/>
    </row>
    <row r="1611">
      <c r="A1611" s="2">
        <f>IF($A1604="","","   projections")</f>
        <v/>
      </c>
      <c r="B1611" s="158">
        <f>IF($A1604="",0,COUNT($E1612:$AR1612))</f>
        <v/>
      </c>
      <c r="C1611" s="159">
        <f>IF($B1611=0,0,MAX($E1612:$AR1612))</f>
        <v/>
      </c>
      <c r="D1611" s="101">
        <f>BDS($A1604,FLD_PROJ,"headers=y","startcol=1","endcol=3","dir=h")</f>
        <v/>
      </c>
      <c r="E1611" s="102" t="n"/>
      <c r="F1611" s="102" t="n"/>
      <c r="G1611" s="102" t="n"/>
      <c r="H1611" s="102" t="n"/>
      <c r="I1611" s="102" t="n"/>
      <c r="J1611" s="102" t="n"/>
      <c r="K1611" s="102" t="n"/>
      <c r="L1611" s="102" t="n"/>
      <c r="M1611" s="102" t="n"/>
      <c r="N1611" s="102" t="n"/>
      <c r="O1611" s="102" t="n"/>
      <c r="P1611" s="102" t="n"/>
      <c r="Q1611" s="102" t="n"/>
      <c r="R1611" s="102" t="n"/>
      <c r="S1611" s="102" t="n"/>
      <c r="T1611" s="102" t="n"/>
      <c r="U1611" s="102" t="n"/>
      <c r="V1611" s="102" t="n"/>
      <c r="W1611" s="102" t="n"/>
      <c r="X1611" s="102" t="n"/>
      <c r="Y1611" s="102" t="n"/>
      <c r="Z1611" s="102" t="n"/>
      <c r="AA1611" s="102" t="n"/>
      <c r="AB1611" s="102" t="n"/>
      <c r="AC1611" s="102" t="n"/>
      <c r="AD1611" s="102" t="n"/>
      <c r="AE1611" s="102" t="n"/>
      <c r="AF1611" s="102" t="n"/>
      <c r="AG1611" s="102" t="n"/>
      <c r="AH1611" s="102" t="n"/>
      <c r="AI1611" s="102" t="n"/>
      <c r="AJ1611" s="102" t="n"/>
      <c r="AK1611" s="102" t="n"/>
      <c r="AL1611" s="102" t="n"/>
      <c r="AM1611" s="102" t="n"/>
      <c r="AN1611" s="102" t="n"/>
      <c r="AO1611" s="102" t="n"/>
      <c r="AP1611" s="102" t="n"/>
      <c r="AQ1611" s="102" t="n"/>
      <c r="AR1611" s="102" t="n"/>
    </row>
    <row r="1612">
      <c r="D1612" s="102" t="n"/>
      <c r="E1612" s="102" t="n"/>
      <c r="F1612" s="102" t="n"/>
      <c r="G1612" s="102" t="n"/>
      <c r="H1612" s="102" t="n"/>
      <c r="I1612" s="102" t="n"/>
      <c r="J1612" s="102" t="n"/>
      <c r="K1612" s="102" t="n"/>
      <c r="L1612" s="102" t="n"/>
      <c r="M1612" s="102" t="n"/>
      <c r="N1612" s="102" t="n"/>
      <c r="O1612" s="102" t="n"/>
      <c r="P1612" s="102" t="n"/>
      <c r="Q1612" s="102" t="n"/>
      <c r="R1612" s="102" t="n"/>
      <c r="S1612" s="102" t="n"/>
      <c r="T1612" s="102" t="n"/>
      <c r="U1612" s="102" t="n"/>
      <c r="V1612" s="102" t="n"/>
      <c r="W1612" s="102" t="n"/>
      <c r="X1612" s="102" t="n"/>
      <c r="Y1612" s="102" t="n"/>
      <c r="Z1612" s="102" t="n"/>
      <c r="AA1612" s="102" t="n"/>
      <c r="AB1612" s="102" t="n"/>
      <c r="AC1612" s="102" t="n"/>
      <c r="AD1612" s="102" t="n"/>
      <c r="AE1612" s="102" t="n"/>
      <c r="AF1612" s="102" t="n"/>
      <c r="AG1612" s="102" t="n"/>
      <c r="AH1612" s="102" t="n"/>
      <c r="AI1612" s="102" t="n"/>
      <c r="AJ1612" s="102" t="n"/>
      <c r="AK1612" s="102" t="n"/>
      <c r="AL1612" s="102" t="n"/>
      <c r="AM1612" s="102" t="n"/>
      <c r="AN1612" s="102" t="n"/>
      <c r="AO1612" s="102" t="n"/>
      <c r="AP1612" s="102" t="n"/>
      <c r="AQ1612" s="102" t="n"/>
      <c r="AR1612" s="102" t="n"/>
    </row>
    <row r="1613">
      <c r="D1613" s="160" t="n"/>
      <c r="E1613" s="160" t="n"/>
      <c r="F1613" s="160" t="n"/>
      <c r="G1613" s="160" t="n"/>
      <c r="H1613" s="160" t="n"/>
      <c r="I1613" s="160" t="n"/>
      <c r="J1613" s="160" t="n"/>
      <c r="K1613" s="160" t="n"/>
      <c r="L1613" s="160" t="n"/>
      <c r="M1613" s="160" t="n"/>
      <c r="N1613" s="160" t="n"/>
      <c r="O1613" s="160" t="n"/>
      <c r="P1613" s="160" t="n"/>
      <c r="Q1613" s="160" t="n"/>
      <c r="R1613" s="160" t="n"/>
      <c r="S1613" s="160" t="n"/>
      <c r="T1613" s="160" t="n"/>
      <c r="U1613" s="160" t="n"/>
      <c r="V1613" s="160" t="n"/>
      <c r="W1613" s="160" t="n"/>
      <c r="X1613" s="160" t="n"/>
      <c r="Y1613" s="160" t="n"/>
      <c r="Z1613" s="160" t="n"/>
      <c r="AA1613" s="160" t="n"/>
      <c r="AB1613" s="160" t="n"/>
      <c r="AC1613" s="160" t="n"/>
      <c r="AD1613" s="160" t="n"/>
      <c r="AE1613" s="160" t="n"/>
      <c r="AF1613" s="160" t="n"/>
      <c r="AG1613" s="160" t="n"/>
      <c r="AH1613" s="160" t="n"/>
      <c r="AI1613" s="160" t="n"/>
      <c r="AJ1613" s="160" t="n"/>
      <c r="AK1613" s="160" t="n"/>
      <c r="AL1613" s="160" t="n"/>
      <c r="AM1613" s="160" t="n"/>
      <c r="AN1613" s="160" t="n"/>
      <c r="AO1613" s="160" t="n"/>
      <c r="AP1613" s="160" t="n"/>
      <c r="AQ1613" s="160" t="n"/>
      <c r="AR1613" s="160" t="n"/>
    </row>
    <row r="1615">
      <c r="A1615" s="8">
        <f>IF(HSCEI!$C$12="","",HSCEI!$C$12)</f>
        <v/>
      </c>
      <c r="B1615" s="158">
        <f>IF($A1615="",0,COUNT($E1616:$AR1616))</f>
        <v/>
      </c>
      <c r="C1615" s="159">
        <f>IF($B1615=0,0,MAX($E1616:$AR1616))</f>
        <v/>
      </c>
      <c r="D1615" s="101">
        <f>BDS($A1615,FLD_HIST,"headers=y","startcol=1","endcol=7","dir=h","DVD_START_DT",HIST_FROM,"DVD_END_DT",HIST_TO)</f>
        <v/>
      </c>
      <c r="E1615" s="102" t="n"/>
      <c r="F1615" s="102" t="n"/>
      <c r="G1615" s="102" t="n"/>
      <c r="H1615" s="102" t="n"/>
      <c r="I1615" s="102" t="n"/>
      <c r="J1615" s="102" t="n"/>
      <c r="K1615" s="102" t="n"/>
      <c r="L1615" s="102" t="n"/>
      <c r="M1615" s="102" t="n"/>
      <c r="N1615" s="102" t="n"/>
      <c r="O1615" s="102" t="n"/>
      <c r="P1615" s="102" t="n"/>
      <c r="Q1615" s="102" t="n"/>
      <c r="R1615" s="102" t="n"/>
      <c r="S1615" s="102" t="n"/>
      <c r="T1615" s="102" t="n"/>
      <c r="U1615" s="102" t="n"/>
      <c r="V1615" s="102" t="n"/>
      <c r="W1615" s="102" t="n"/>
      <c r="X1615" s="102" t="n"/>
      <c r="Y1615" s="102" t="n"/>
      <c r="Z1615" s="102" t="n"/>
      <c r="AA1615" s="102" t="n"/>
      <c r="AB1615" s="102" t="n"/>
      <c r="AC1615" s="102" t="n"/>
      <c r="AD1615" s="102" t="n"/>
      <c r="AE1615" s="102" t="n"/>
      <c r="AF1615" s="102" t="n"/>
      <c r="AG1615" s="102" t="n"/>
      <c r="AH1615" s="102" t="n"/>
      <c r="AI1615" s="102" t="n"/>
      <c r="AJ1615" s="102" t="n"/>
      <c r="AK1615" s="102" t="n"/>
      <c r="AL1615" s="102" t="n"/>
      <c r="AM1615" s="102" t="n"/>
      <c r="AN1615" s="102" t="n"/>
      <c r="AO1615" s="102" t="n"/>
      <c r="AP1615" s="102" t="n"/>
      <c r="AQ1615" s="102" t="n"/>
      <c r="AR1615" s="102" t="n"/>
    </row>
    <row r="1616">
      <c r="D1616" s="102" t="n"/>
      <c r="E1616" s="102" t="n"/>
      <c r="F1616" s="102" t="n"/>
      <c r="G1616" s="102" t="n"/>
      <c r="H1616" s="102" t="n"/>
      <c r="I1616" s="102" t="n"/>
      <c r="J1616" s="102" t="n"/>
      <c r="K1616" s="102" t="n"/>
      <c r="L1616" s="102" t="n"/>
      <c r="M1616" s="102" t="n"/>
      <c r="N1616" s="102" t="n"/>
      <c r="O1616" s="102" t="n"/>
      <c r="P1616" s="102" t="n"/>
      <c r="Q1616" s="102" t="n"/>
      <c r="R1616" s="102" t="n"/>
      <c r="S1616" s="102" t="n"/>
      <c r="T1616" s="102" t="n"/>
      <c r="U1616" s="102" t="n"/>
      <c r="V1616" s="102" t="n"/>
      <c r="W1616" s="102" t="n"/>
      <c r="X1616" s="102" t="n"/>
      <c r="Y1616" s="102" t="n"/>
      <c r="Z1616" s="102" t="n"/>
      <c r="AA1616" s="102" t="n"/>
      <c r="AB1616" s="102" t="n"/>
      <c r="AC1616" s="102" t="n"/>
      <c r="AD1616" s="102" t="n"/>
      <c r="AE1616" s="102" t="n"/>
      <c r="AF1616" s="102" t="n"/>
      <c r="AG1616" s="102" t="n"/>
      <c r="AH1616" s="102" t="n"/>
      <c r="AI1616" s="102" t="n"/>
      <c r="AJ1616" s="102" t="n"/>
      <c r="AK1616" s="102" t="n"/>
      <c r="AL1616" s="102" t="n"/>
      <c r="AM1616" s="102" t="n"/>
      <c r="AN1616" s="102" t="n"/>
      <c r="AO1616" s="102" t="n"/>
      <c r="AP1616" s="102" t="n"/>
      <c r="AQ1616" s="102" t="n"/>
      <c r="AR1616" s="102" t="n"/>
    </row>
    <row r="1617">
      <c r="D1617" s="102" t="n"/>
      <c r="E1617" s="102" t="n"/>
      <c r="F1617" s="102" t="n"/>
      <c r="G1617" s="102" t="n"/>
      <c r="H1617" s="102" t="n"/>
      <c r="I1617" s="102" t="n"/>
      <c r="J1617" s="102" t="n"/>
      <c r="K1617" s="102" t="n"/>
      <c r="L1617" s="102" t="n"/>
      <c r="M1617" s="102" t="n"/>
      <c r="N1617" s="102" t="n"/>
      <c r="O1617" s="102" t="n"/>
      <c r="P1617" s="102" t="n"/>
      <c r="Q1617" s="102" t="n"/>
      <c r="R1617" s="102" t="n"/>
      <c r="S1617" s="102" t="n"/>
      <c r="T1617" s="102" t="n"/>
      <c r="U1617" s="102" t="n"/>
      <c r="V1617" s="102" t="n"/>
      <c r="W1617" s="102" t="n"/>
      <c r="X1617" s="102" t="n"/>
      <c r="Y1617" s="102" t="n"/>
      <c r="Z1617" s="102" t="n"/>
      <c r="AA1617" s="102" t="n"/>
      <c r="AB1617" s="102" t="n"/>
      <c r="AC1617" s="102" t="n"/>
      <c r="AD1617" s="102" t="n"/>
      <c r="AE1617" s="102" t="n"/>
      <c r="AF1617" s="102" t="n"/>
      <c r="AG1617" s="102" t="n"/>
      <c r="AH1617" s="102" t="n"/>
      <c r="AI1617" s="102" t="n"/>
      <c r="AJ1617" s="102" t="n"/>
      <c r="AK1617" s="102" t="n"/>
      <c r="AL1617" s="102" t="n"/>
      <c r="AM1617" s="102" t="n"/>
      <c r="AN1617" s="102" t="n"/>
      <c r="AO1617" s="102" t="n"/>
      <c r="AP1617" s="102" t="n"/>
      <c r="AQ1617" s="102" t="n"/>
      <c r="AR1617" s="102" t="n"/>
    </row>
    <row r="1618">
      <c r="D1618" s="102" t="n"/>
      <c r="E1618" s="102" t="n"/>
      <c r="F1618" s="102" t="n"/>
      <c r="G1618" s="102" t="n"/>
      <c r="H1618" s="102" t="n"/>
      <c r="I1618" s="102" t="n"/>
      <c r="J1618" s="102" t="n"/>
      <c r="K1618" s="102" t="n"/>
      <c r="L1618" s="102" t="n"/>
      <c r="M1618" s="102" t="n"/>
      <c r="N1618" s="102" t="n"/>
      <c r="O1618" s="102" t="n"/>
      <c r="P1618" s="102" t="n"/>
      <c r="Q1618" s="102" t="n"/>
      <c r="R1618" s="102" t="n"/>
      <c r="S1618" s="102" t="n"/>
      <c r="T1618" s="102" t="n"/>
      <c r="U1618" s="102" t="n"/>
      <c r="V1618" s="102" t="n"/>
      <c r="W1618" s="102" t="n"/>
      <c r="X1618" s="102" t="n"/>
      <c r="Y1618" s="102" t="n"/>
      <c r="Z1618" s="102" t="n"/>
      <c r="AA1618" s="102" t="n"/>
      <c r="AB1618" s="102" t="n"/>
      <c r="AC1618" s="102" t="n"/>
      <c r="AD1618" s="102" t="n"/>
      <c r="AE1618" s="102" t="n"/>
      <c r="AF1618" s="102" t="n"/>
      <c r="AG1618" s="102" t="n"/>
      <c r="AH1618" s="102" t="n"/>
      <c r="AI1618" s="102" t="n"/>
      <c r="AJ1618" s="102" t="n"/>
      <c r="AK1618" s="102" t="n"/>
      <c r="AL1618" s="102" t="n"/>
      <c r="AM1618" s="102" t="n"/>
      <c r="AN1618" s="102" t="n"/>
      <c r="AO1618" s="102" t="n"/>
      <c r="AP1618" s="102" t="n"/>
      <c r="AQ1618" s="102" t="n"/>
      <c r="AR1618" s="102" t="n"/>
    </row>
    <row r="1619">
      <c r="D1619" s="160" t="n"/>
      <c r="E1619" s="160" t="n"/>
      <c r="F1619" s="160" t="n"/>
      <c r="G1619" s="160" t="n"/>
      <c r="H1619" s="160" t="n"/>
      <c r="I1619" s="160" t="n"/>
      <c r="J1619" s="160" t="n"/>
      <c r="K1619" s="160" t="n"/>
      <c r="L1619" s="160" t="n"/>
      <c r="M1619" s="160" t="n"/>
      <c r="N1619" s="160" t="n"/>
      <c r="O1619" s="160" t="n"/>
      <c r="P1619" s="160" t="n"/>
      <c r="Q1619" s="160" t="n"/>
      <c r="R1619" s="160" t="n"/>
      <c r="S1619" s="160" t="n"/>
      <c r="T1619" s="160" t="n"/>
      <c r="U1619" s="160" t="n"/>
      <c r="V1619" s="160" t="n"/>
      <c r="W1619" s="160" t="n"/>
      <c r="X1619" s="160" t="n"/>
      <c r="Y1619" s="160" t="n"/>
      <c r="Z1619" s="160" t="n"/>
      <c r="AA1619" s="160" t="n"/>
      <c r="AB1619" s="160" t="n"/>
      <c r="AC1619" s="160" t="n"/>
      <c r="AD1619" s="160" t="n"/>
      <c r="AE1619" s="160" t="n"/>
      <c r="AF1619" s="160" t="n"/>
      <c r="AG1619" s="160" t="n"/>
      <c r="AH1619" s="160" t="n"/>
      <c r="AI1619" s="160" t="n"/>
      <c r="AJ1619" s="160" t="n"/>
      <c r="AK1619" s="160" t="n"/>
      <c r="AL1619" s="160" t="n"/>
      <c r="AM1619" s="160" t="n"/>
      <c r="AN1619" s="160" t="n"/>
      <c r="AO1619" s="160" t="n"/>
      <c r="AP1619" s="160" t="n"/>
      <c r="AQ1619" s="160" t="n"/>
      <c r="AR1619" s="160" t="n"/>
    </row>
    <row r="1622">
      <c r="A1622" s="2">
        <f>IF($A1615="","","   projections")</f>
        <v/>
      </c>
      <c r="B1622" s="158">
        <f>IF($A1615="",0,COUNT($E1623:$AR1623))</f>
        <v/>
      </c>
      <c r="C1622" s="159">
        <f>IF($B1622=0,0,MAX($E1623:$AR1623))</f>
        <v/>
      </c>
      <c r="D1622" s="101">
        <f>BDS($A1615,FLD_PROJ,"headers=y","startcol=1","endcol=3","dir=h")</f>
        <v/>
      </c>
      <c r="E1622" s="102" t="n"/>
      <c r="F1622" s="102" t="n"/>
      <c r="G1622" s="102" t="n"/>
      <c r="H1622" s="102" t="n"/>
      <c r="I1622" s="102" t="n"/>
      <c r="J1622" s="102" t="n"/>
      <c r="K1622" s="102" t="n"/>
      <c r="L1622" s="102" t="n"/>
      <c r="M1622" s="102" t="n"/>
      <c r="N1622" s="102" t="n"/>
      <c r="O1622" s="102" t="n"/>
      <c r="P1622" s="102" t="n"/>
      <c r="Q1622" s="102" t="n"/>
      <c r="R1622" s="102" t="n"/>
      <c r="S1622" s="102" t="n"/>
      <c r="T1622" s="102" t="n"/>
      <c r="U1622" s="102" t="n"/>
      <c r="V1622" s="102" t="n"/>
      <c r="W1622" s="102" t="n"/>
      <c r="X1622" s="102" t="n"/>
      <c r="Y1622" s="102" t="n"/>
      <c r="Z1622" s="102" t="n"/>
      <c r="AA1622" s="102" t="n"/>
      <c r="AB1622" s="102" t="n"/>
      <c r="AC1622" s="102" t="n"/>
      <c r="AD1622" s="102" t="n"/>
      <c r="AE1622" s="102" t="n"/>
      <c r="AF1622" s="102" t="n"/>
      <c r="AG1622" s="102" t="n"/>
      <c r="AH1622" s="102" t="n"/>
      <c r="AI1622" s="102" t="n"/>
      <c r="AJ1622" s="102" t="n"/>
      <c r="AK1622" s="102" t="n"/>
      <c r="AL1622" s="102" t="n"/>
      <c r="AM1622" s="102" t="n"/>
      <c r="AN1622" s="102" t="n"/>
      <c r="AO1622" s="102" t="n"/>
      <c r="AP1622" s="102" t="n"/>
      <c r="AQ1622" s="102" t="n"/>
      <c r="AR1622" s="102" t="n"/>
    </row>
    <row r="1623">
      <c r="D1623" s="102" t="n"/>
      <c r="E1623" s="102" t="n"/>
      <c r="F1623" s="102" t="n"/>
      <c r="G1623" s="102" t="n"/>
      <c r="H1623" s="102" t="n"/>
      <c r="I1623" s="102" t="n"/>
      <c r="J1623" s="102" t="n"/>
      <c r="K1623" s="102" t="n"/>
      <c r="L1623" s="102" t="n"/>
      <c r="M1623" s="102" t="n"/>
      <c r="N1623" s="102" t="n"/>
      <c r="O1623" s="102" t="n"/>
      <c r="P1623" s="102" t="n"/>
      <c r="Q1623" s="102" t="n"/>
      <c r="R1623" s="102" t="n"/>
      <c r="S1623" s="102" t="n"/>
      <c r="T1623" s="102" t="n"/>
      <c r="U1623" s="102" t="n"/>
      <c r="V1623" s="102" t="n"/>
      <c r="W1623" s="102" t="n"/>
      <c r="X1623" s="102" t="n"/>
      <c r="Y1623" s="102" t="n"/>
      <c r="Z1623" s="102" t="n"/>
      <c r="AA1623" s="102" t="n"/>
      <c r="AB1623" s="102" t="n"/>
      <c r="AC1623" s="102" t="n"/>
      <c r="AD1623" s="102" t="n"/>
      <c r="AE1623" s="102" t="n"/>
      <c r="AF1623" s="102" t="n"/>
      <c r="AG1623" s="102" t="n"/>
      <c r="AH1623" s="102" t="n"/>
      <c r="AI1623" s="102" t="n"/>
      <c r="AJ1623" s="102" t="n"/>
      <c r="AK1623" s="102" t="n"/>
      <c r="AL1623" s="102" t="n"/>
      <c r="AM1623" s="102" t="n"/>
      <c r="AN1623" s="102" t="n"/>
      <c r="AO1623" s="102" t="n"/>
      <c r="AP1623" s="102" t="n"/>
      <c r="AQ1623" s="102" t="n"/>
      <c r="AR1623" s="102" t="n"/>
    </row>
    <row r="1624">
      <c r="D1624" s="160" t="n"/>
      <c r="E1624" s="160" t="n"/>
      <c r="F1624" s="160" t="n"/>
      <c r="G1624" s="160" t="n"/>
      <c r="H1624" s="160" t="n"/>
      <c r="I1624" s="160" t="n"/>
      <c r="J1624" s="160" t="n"/>
      <c r="K1624" s="160" t="n"/>
      <c r="L1624" s="160" t="n"/>
      <c r="M1624" s="160" t="n"/>
      <c r="N1624" s="160" t="n"/>
      <c r="O1624" s="160" t="n"/>
      <c r="P1624" s="160" t="n"/>
      <c r="Q1624" s="160" t="n"/>
      <c r="R1624" s="160" t="n"/>
      <c r="S1624" s="160" t="n"/>
      <c r="T1624" s="160" t="n"/>
      <c r="U1624" s="160" t="n"/>
      <c r="V1624" s="160" t="n"/>
      <c r="W1624" s="160" t="n"/>
      <c r="X1624" s="160" t="n"/>
      <c r="Y1624" s="160" t="n"/>
      <c r="Z1624" s="160" t="n"/>
      <c r="AA1624" s="160" t="n"/>
      <c r="AB1624" s="160" t="n"/>
      <c r="AC1624" s="160" t="n"/>
      <c r="AD1624" s="160" t="n"/>
      <c r="AE1624" s="160" t="n"/>
      <c r="AF1624" s="160" t="n"/>
      <c r="AG1624" s="160" t="n"/>
      <c r="AH1624" s="160" t="n"/>
      <c r="AI1624" s="160" t="n"/>
      <c r="AJ1624" s="160" t="n"/>
      <c r="AK1624" s="160" t="n"/>
      <c r="AL1624" s="160" t="n"/>
      <c r="AM1624" s="160" t="n"/>
      <c r="AN1624" s="160" t="n"/>
      <c r="AO1624" s="160" t="n"/>
      <c r="AP1624" s="160" t="n"/>
      <c r="AQ1624" s="160" t="n"/>
      <c r="AR1624" s="160" t="n"/>
    </row>
    <row r="1626">
      <c r="A1626" s="8">
        <f>IF(HSCEI!$C$13="","",HSCEI!$C$13)</f>
        <v/>
      </c>
      <c r="B1626" s="158">
        <f>IF($A1626="",0,COUNT($E1627:$AR1627))</f>
        <v/>
      </c>
      <c r="C1626" s="159">
        <f>IF($B1626=0,0,MAX($E1627:$AR1627))</f>
        <v/>
      </c>
      <c r="D1626" s="101">
        <f>BDS($A1626,FLD_HIST,"headers=y","startcol=1","endcol=7","dir=h","DVD_START_DT",HIST_FROM,"DVD_END_DT",HIST_TO)</f>
        <v/>
      </c>
      <c r="E1626" s="102" t="n"/>
      <c r="F1626" s="102" t="n"/>
      <c r="G1626" s="102" t="n"/>
      <c r="H1626" s="102" t="n"/>
      <c r="I1626" s="102" t="n"/>
      <c r="J1626" s="102" t="n"/>
      <c r="K1626" s="102" t="n"/>
      <c r="L1626" s="102" t="n"/>
      <c r="M1626" s="102" t="n"/>
      <c r="N1626" s="102" t="n"/>
      <c r="O1626" s="102" t="n"/>
      <c r="P1626" s="102" t="n"/>
      <c r="Q1626" s="102" t="n"/>
      <c r="R1626" s="102" t="n"/>
      <c r="S1626" s="102" t="n"/>
      <c r="T1626" s="102" t="n"/>
      <c r="U1626" s="102" t="n"/>
      <c r="V1626" s="102" t="n"/>
      <c r="W1626" s="102" t="n"/>
      <c r="X1626" s="102" t="n"/>
      <c r="Y1626" s="102" t="n"/>
      <c r="Z1626" s="102" t="n"/>
      <c r="AA1626" s="102" t="n"/>
      <c r="AB1626" s="102" t="n"/>
      <c r="AC1626" s="102" t="n"/>
      <c r="AD1626" s="102" t="n"/>
      <c r="AE1626" s="102" t="n"/>
      <c r="AF1626" s="102" t="n"/>
      <c r="AG1626" s="102" t="n"/>
      <c r="AH1626" s="102" t="n"/>
      <c r="AI1626" s="102" t="n"/>
      <c r="AJ1626" s="102" t="n"/>
      <c r="AK1626" s="102" t="n"/>
      <c r="AL1626" s="102" t="n"/>
      <c r="AM1626" s="102" t="n"/>
      <c r="AN1626" s="102" t="n"/>
      <c r="AO1626" s="102" t="n"/>
      <c r="AP1626" s="102" t="n"/>
      <c r="AQ1626" s="102" t="n"/>
      <c r="AR1626" s="102" t="n"/>
    </row>
    <row r="1627">
      <c r="D1627" s="102" t="n"/>
      <c r="E1627" s="102" t="n"/>
      <c r="F1627" s="102" t="n"/>
      <c r="G1627" s="102" t="n"/>
      <c r="H1627" s="102" t="n"/>
      <c r="I1627" s="102" t="n"/>
      <c r="J1627" s="102" t="n"/>
      <c r="K1627" s="102" t="n"/>
      <c r="L1627" s="102" t="n"/>
      <c r="M1627" s="102" t="n"/>
      <c r="N1627" s="102" t="n"/>
      <c r="O1627" s="102" t="n"/>
      <c r="P1627" s="102" t="n"/>
      <c r="Q1627" s="102" t="n"/>
      <c r="R1627" s="102" t="n"/>
      <c r="S1627" s="102" t="n"/>
      <c r="T1627" s="102" t="n"/>
      <c r="U1627" s="102" t="n"/>
      <c r="V1627" s="102" t="n"/>
      <c r="W1627" s="102" t="n"/>
      <c r="X1627" s="102" t="n"/>
      <c r="Y1627" s="102" t="n"/>
      <c r="Z1627" s="102" t="n"/>
      <c r="AA1627" s="102" t="n"/>
      <c r="AB1627" s="102" t="n"/>
      <c r="AC1627" s="102" t="n"/>
      <c r="AD1627" s="102" t="n"/>
      <c r="AE1627" s="102" t="n"/>
      <c r="AF1627" s="102" t="n"/>
      <c r="AG1627" s="102" t="n"/>
      <c r="AH1627" s="102" t="n"/>
      <c r="AI1627" s="102" t="n"/>
      <c r="AJ1627" s="102" t="n"/>
      <c r="AK1627" s="102" t="n"/>
      <c r="AL1627" s="102" t="n"/>
      <c r="AM1627" s="102" t="n"/>
      <c r="AN1627" s="102" t="n"/>
      <c r="AO1627" s="102" t="n"/>
      <c r="AP1627" s="102" t="n"/>
      <c r="AQ1627" s="102" t="n"/>
      <c r="AR1627" s="102" t="n"/>
    </row>
    <row r="1628">
      <c r="D1628" s="102" t="n"/>
      <c r="E1628" s="102" t="n"/>
      <c r="F1628" s="102" t="n"/>
      <c r="G1628" s="102" t="n"/>
      <c r="H1628" s="102" t="n"/>
      <c r="I1628" s="102" t="n"/>
      <c r="J1628" s="102" t="n"/>
      <c r="K1628" s="102" t="n"/>
      <c r="L1628" s="102" t="n"/>
      <c r="M1628" s="102" t="n"/>
      <c r="N1628" s="102" t="n"/>
      <c r="O1628" s="102" t="n"/>
      <c r="P1628" s="102" t="n"/>
      <c r="Q1628" s="102" t="n"/>
      <c r="R1628" s="102" t="n"/>
      <c r="S1628" s="102" t="n"/>
      <c r="T1628" s="102" t="n"/>
      <c r="U1628" s="102" t="n"/>
      <c r="V1628" s="102" t="n"/>
      <c r="W1628" s="102" t="n"/>
      <c r="X1628" s="102" t="n"/>
      <c r="Y1628" s="102" t="n"/>
      <c r="Z1628" s="102" t="n"/>
      <c r="AA1628" s="102" t="n"/>
      <c r="AB1628" s="102" t="n"/>
      <c r="AC1628" s="102" t="n"/>
      <c r="AD1628" s="102" t="n"/>
      <c r="AE1628" s="102" t="n"/>
      <c r="AF1628" s="102" t="n"/>
      <c r="AG1628" s="102" t="n"/>
      <c r="AH1628" s="102" t="n"/>
      <c r="AI1628" s="102" t="n"/>
      <c r="AJ1628" s="102" t="n"/>
      <c r="AK1628" s="102" t="n"/>
      <c r="AL1628" s="102" t="n"/>
      <c r="AM1628" s="102" t="n"/>
      <c r="AN1628" s="102" t="n"/>
      <c r="AO1628" s="102" t="n"/>
      <c r="AP1628" s="102" t="n"/>
      <c r="AQ1628" s="102" t="n"/>
      <c r="AR1628" s="102" t="n"/>
    </row>
    <row r="1629">
      <c r="D1629" s="102" t="n"/>
      <c r="E1629" s="102" t="n"/>
      <c r="F1629" s="102" t="n"/>
      <c r="G1629" s="102" t="n"/>
      <c r="H1629" s="102" t="n"/>
      <c r="I1629" s="102" t="n"/>
      <c r="J1629" s="102" t="n"/>
      <c r="K1629" s="102" t="n"/>
      <c r="L1629" s="102" t="n"/>
      <c r="M1629" s="102" t="n"/>
      <c r="N1629" s="102" t="n"/>
      <c r="O1629" s="102" t="n"/>
      <c r="P1629" s="102" t="n"/>
      <c r="Q1629" s="102" t="n"/>
      <c r="R1629" s="102" t="n"/>
      <c r="S1629" s="102" t="n"/>
      <c r="T1629" s="102" t="n"/>
      <c r="U1629" s="102" t="n"/>
      <c r="V1629" s="102" t="n"/>
      <c r="W1629" s="102" t="n"/>
      <c r="X1629" s="102" t="n"/>
      <c r="Y1629" s="102" t="n"/>
      <c r="Z1629" s="102" t="n"/>
      <c r="AA1629" s="102" t="n"/>
      <c r="AB1629" s="102" t="n"/>
      <c r="AC1629" s="102" t="n"/>
      <c r="AD1629" s="102" t="n"/>
      <c r="AE1629" s="102" t="n"/>
      <c r="AF1629" s="102" t="n"/>
      <c r="AG1629" s="102" t="n"/>
      <c r="AH1629" s="102" t="n"/>
      <c r="AI1629" s="102" t="n"/>
      <c r="AJ1629" s="102" t="n"/>
      <c r="AK1629" s="102" t="n"/>
      <c r="AL1629" s="102" t="n"/>
      <c r="AM1629" s="102" t="n"/>
      <c r="AN1629" s="102" t="n"/>
      <c r="AO1629" s="102" t="n"/>
      <c r="AP1629" s="102" t="n"/>
      <c r="AQ1629" s="102" t="n"/>
      <c r="AR1629" s="102" t="n"/>
    </row>
    <row r="1630">
      <c r="D1630" s="160" t="n"/>
      <c r="E1630" s="160" t="n"/>
      <c r="F1630" s="160" t="n"/>
      <c r="G1630" s="160" t="n"/>
      <c r="H1630" s="160" t="n"/>
      <c r="I1630" s="160" t="n"/>
      <c r="J1630" s="160" t="n"/>
      <c r="K1630" s="160" t="n"/>
      <c r="L1630" s="160" t="n"/>
      <c r="M1630" s="160" t="n"/>
      <c r="N1630" s="160" t="n"/>
      <c r="O1630" s="160" t="n"/>
      <c r="P1630" s="160" t="n"/>
      <c r="Q1630" s="160" t="n"/>
      <c r="R1630" s="160" t="n"/>
      <c r="S1630" s="160" t="n"/>
      <c r="T1630" s="160" t="n"/>
      <c r="U1630" s="160" t="n"/>
      <c r="V1630" s="160" t="n"/>
      <c r="W1630" s="160" t="n"/>
      <c r="X1630" s="160" t="n"/>
      <c r="Y1630" s="160" t="n"/>
      <c r="Z1630" s="160" t="n"/>
      <c r="AA1630" s="160" t="n"/>
      <c r="AB1630" s="160" t="n"/>
      <c r="AC1630" s="160" t="n"/>
      <c r="AD1630" s="160" t="n"/>
      <c r="AE1630" s="160" t="n"/>
      <c r="AF1630" s="160" t="n"/>
      <c r="AG1630" s="160" t="n"/>
      <c r="AH1630" s="160" t="n"/>
      <c r="AI1630" s="160" t="n"/>
      <c r="AJ1630" s="160" t="n"/>
      <c r="AK1630" s="160" t="n"/>
      <c r="AL1630" s="160" t="n"/>
      <c r="AM1630" s="160" t="n"/>
      <c r="AN1630" s="160" t="n"/>
      <c r="AO1630" s="160" t="n"/>
      <c r="AP1630" s="160" t="n"/>
      <c r="AQ1630" s="160" t="n"/>
      <c r="AR1630" s="160" t="n"/>
    </row>
    <row r="1633">
      <c r="A1633" s="2">
        <f>IF($A1626="","","   projections")</f>
        <v/>
      </c>
      <c r="B1633" s="158">
        <f>IF($A1626="",0,COUNT($E1634:$AR1634))</f>
        <v/>
      </c>
      <c r="C1633" s="159">
        <f>IF($B1633=0,0,MAX($E1634:$AR1634))</f>
        <v/>
      </c>
      <c r="D1633" s="101">
        <f>BDS($A1626,FLD_PROJ,"headers=y","startcol=1","endcol=3","dir=h")</f>
        <v/>
      </c>
      <c r="E1633" s="102" t="n"/>
      <c r="F1633" s="102" t="n"/>
      <c r="G1633" s="102" t="n"/>
      <c r="H1633" s="102" t="n"/>
      <c r="I1633" s="102" t="n"/>
      <c r="J1633" s="102" t="n"/>
      <c r="K1633" s="102" t="n"/>
      <c r="L1633" s="102" t="n"/>
      <c r="M1633" s="102" t="n"/>
      <c r="N1633" s="102" t="n"/>
      <c r="O1633" s="102" t="n"/>
      <c r="P1633" s="102" t="n"/>
      <c r="Q1633" s="102" t="n"/>
      <c r="R1633" s="102" t="n"/>
      <c r="S1633" s="102" t="n"/>
      <c r="T1633" s="102" t="n"/>
      <c r="U1633" s="102" t="n"/>
      <c r="V1633" s="102" t="n"/>
      <c r="W1633" s="102" t="n"/>
      <c r="X1633" s="102" t="n"/>
      <c r="Y1633" s="102" t="n"/>
      <c r="Z1633" s="102" t="n"/>
      <c r="AA1633" s="102" t="n"/>
      <c r="AB1633" s="102" t="n"/>
      <c r="AC1633" s="102" t="n"/>
      <c r="AD1633" s="102" t="n"/>
      <c r="AE1633" s="102" t="n"/>
      <c r="AF1633" s="102" t="n"/>
      <c r="AG1633" s="102" t="n"/>
      <c r="AH1633" s="102" t="n"/>
      <c r="AI1633" s="102" t="n"/>
      <c r="AJ1633" s="102" t="n"/>
      <c r="AK1633" s="102" t="n"/>
      <c r="AL1633" s="102" t="n"/>
      <c r="AM1633" s="102" t="n"/>
      <c r="AN1633" s="102" t="n"/>
      <c r="AO1633" s="102" t="n"/>
      <c r="AP1633" s="102" t="n"/>
      <c r="AQ1633" s="102" t="n"/>
      <c r="AR1633" s="102" t="n"/>
    </row>
    <row r="1634">
      <c r="D1634" s="102" t="n"/>
      <c r="E1634" s="102" t="n"/>
      <c r="F1634" s="102" t="n"/>
      <c r="G1634" s="102" t="n"/>
      <c r="H1634" s="102" t="n"/>
      <c r="I1634" s="102" t="n"/>
      <c r="J1634" s="102" t="n"/>
      <c r="K1634" s="102" t="n"/>
      <c r="L1634" s="102" t="n"/>
      <c r="M1634" s="102" t="n"/>
      <c r="N1634" s="102" t="n"/>
      <c r="O1634" s="102" t="n"/>
      <c r="P1634" s="102" t="n"/>
      <c r="Q1634" s="102" t="n"/>
      <c r="R1634" s="102" t="n"/>
      <c r="S1634" s="102" t="n"/>
      <c r="T1634" s="102" t="n"/>
      <c r="U1634" s="102" t="n"/>
      <c r="V1634" s="102" t="n"/>
      <c r="W1634" s="102" t="n"/>
      <c r="X1634" s="102" t="n"/>
      <c r="Y1634" s="102" t="n"/>
      <c r="Z1634" s="102" t="n"/>
      <c r="AA1634" s="102" t="n"/>
      <c r="AB1634" s="102" t="n"/>
      <c r="AC1634" s="102" t="n"/>
      <c r="AD1634" s="102" t="n"/>
      <c r="AE1634" s="102" t="n"/>
      <c r="AF1634" s="102" t="n"/>
      <c r="AG1634" s="102" t="n"/>
      <c r="AH1634" s="102" t="n"/>
      <c r="AI1634" s="102" t="n"/>
      <c r="AJ1634" s="102" t="n"/>
      <c r="AK1634" s="102" t="n"/>
      <c r="AL1634" s="102" t="n"/>
      <c r="AM1634" s="102" t="n"/>
      <c r="AN1634" s="102" t="n"/>
      <c r="AO1634" s="102" t="n"/>
      <c r="AP1634" s="102" t="n"/>
      <c r="AQ1634" s="102" t="n"/>
      <c r="AR1634" s="102" t="n"/>
    </row>
    <row r="1635">
      <c r="D1635" s="160" t="n"/>
      <c r="E1635" s="160" t="n"/>
      <c r="F1635" s="160" t="n"/>
      <c r="G1635" s="160" t="n"/>
      <c r="H1635" s="160" t="n"/>
      <c r="I1635" s="160" t="n"/>
      <c r="J1635" s="160" t="n"/>
      <c r="K1635" s="160" t="n"/>
      <c r="L1635" s="160" t="n"/>
      <c r="M1635" s="160" t="n"/>
      <c r="N1635" s="160" t="n"/>
      <c r="O1635" s="160" t="n"/>
      <c r="P1635" s="160" t="n"/>
      <c r="Q1635" s="160" t="n"/>
      <c r="R1635" s="160" t="n"/>
      <c r="S1635" s="160" t="n"/>
      <c r="T1635" s="160" t="n"/>
      <c r="U1635" s="160" t="n"/>
      <c r="V1635" s="160" t="n"/>
      <c r="W1635" s="160" t="n"/>
      <c r="X1635" s="160" t="n"/>
      <c r="Y1635" s="160" t="n"/>
      <c r="Z1635" s="160" t="n"/>
      <c r="AA1635" s="160" t="n"/>
      <c r="AB1635" s="160" t="n"/>
      <c r="AC1635" s="160" t="n"/>
      <c r="AD1635" s="160" t="n"/>
      <c r="AE1635" s="160" t="n"/>
      <c r="AF1635" s="160" t="n"/>
      <c r="AG1635" s="160" t="n"/>
      <c r="AH1635" s="160" t="n"/>
      <c r="AI1635" s="160" t="n"/>
      <c r="AJ1635" s="160" t="n"/>
      <c r="AK1635" s="160" t="n"/>
      <c r="AL1635" s="160" t="n"/>
      <c r="AM1635" s="160" t="n"/>
      <c r="AN1635" s="160" t="n"/>
      <c r="AO1635" s="160" t="n"/>
      <c r="AP1635" s="160" t="n"/>
      <c r="AQ1635" s="160" t="n"/>
      <c r="AR1635" s="160" t="n"/>
    </row>
    <row r="1637">
      <c r="A1637" s="8">
        <f>IF(HSCEI!$C$14="","",HSCEI!$C$14)</f>
        <v/>
      </c>
      <c r="B1637" s="158">
        <f>IF($A1637="",0,COUNT($E1638:$AR1638))</f>
        <v/>
      </c>
      <c r="C1637" s="159">
        <f>IF($B1637=0,0,MAX($E1638:$AR1638))</f>
        <v/>
      </c>
      <c r="D1637" s="101">
        <f>BDS($A1637,FLD_HIST,"headers=y","startcol=1","endcol=7","dir=h","DVD_START_DT",HIST_FROM,"DVD_END_DT",HIST_TO)</f>
        <v/>
      </c>
      <c r="E1637" s="102" t="n"/>
      <c r="F1637" s="102" t="n"/>
      <c r="G1637" s="102" t="n"/>
      <c r="H1637" s="102" t="n"/>
      <c r="I1637" s="102" t="n"/>
      <c r="J1637" s="102" t="n"/>
      <c r="K1637" s="102" t="n"/>
      <c r="L1637" s="102" t="n"/>
      <c r="M1637" s="102" t="n"/>
      <c r="N1637" s="102" t="n"/>
      <c r="O1637" s="102" t="n"/>
      <c r="P1637" s="102" t="n"/>
      <c r="Q1637" s="102" t="n"/>
      <c r="R1637" s="102" t="n"/>
      <c r="S1637" s="102" t="n"/>
      <c r="T1637" s="102" t="n"/>
      <c r="U1637" s="102" t="n"/>
      <c r="V1637" s="102" t="n"/>
      <c r="W1637" s="102" t="n"/>
      <c r="X1637" s="102" t="n"/>
      <c r="Y1637" s="102" t="n"/>
      <c r="Z1637" s="102" t="n"/>
      <c r="AA1637" s="102" t="n"/>
      <c r="AB1637" s="102" t="n"/>
      <c r="AC1637" s="102" t="n"/>
      <c r="AD1637" s="102" t="n"/>
      <c r="AE1637" s="102" t="n"/>
      <c r="AF1637" s="102" t="n"/>
      <c r="AG1637" s="102" t="n"/>
      <c r="AH1637" s="102" t="n"/>
      <c r="AI1637" s="102" t="n"/>
      <c r="AJ1637" s="102" t="n"/>
      <c r="AK1637" s="102" t="n"/>
      <c r="AL1637" s="102" t="n"/>
      <c r="AM1637" s="102" t="n"/>
      <c r="AN1637" s="102" t="n"/>
      <c r="AO1637" s="102" t="n"/>
      <c r="AP1637" s="102" t="n"/>
      <c r="AQ1637" s="102" t="n"/>
      <c r="AR1637" s="102" t="n"/>
    </row>
    <row r="1638">
      <c r="D1638" s="102" t="n"/>
      <c r="E1638" s="102" t="n"/>
      <c r="F1638" s="102" t="n"/>
      <c r="G1638" s="102" t="n"/>
      <c r="H1638" s="102" t="n"/>
      <c r="I1638" s="102" t="n"/>
      <c r="J1638" s="102" t="n"/>
      <c r="K1638" s="102" t="n"/>
      <c r="L1638" s="102" t="n"/>
      <c r="M1638" s="102" t="n"/>
      <c r="N1638" s="102" t="n"/>
      <c r="O1638" s="102" t="n"/>
      <c r="P1638" s="102" t="n"/>
      <c r="Q1638" s="102" t="n"/>
      <c r="R1638" s="102" t="n"/>
      <c r="S1638" s="102" t="n"/>
      <c r="T1638" s="102" t="n"/>
      <c r="U1638" s="102" t="n"/>
      <c r="V1638" s="102" t="n"/>
      <c r="W1638" s="102" t="n"/>
      <c r="X1638" s="102" t="n"/>
      <c r="Y1638" s="102" t="n"/>
      <c r="Z1638" s="102" t="n"/>
      <c r="AA1638" s="102" t="n"/>
      <c r="AB1638" s="102" t="n"/>
      <c r="AC1638" s="102" t="n"/>
      <c r="AD1638" s="102" t="n"/>
      <c r="AE1638" s="102" t="n"/>
      <c r="AF1638" s="102" t="n"/>
      <c r="AG1638" s="102" t="n"/>
      <c r="AH1638" s="102" t="n"/>
      <c r="AI1638" s="102" t="n"/>
      <c r="AJ1638" s="102" t="n"/>
      <c r="AK1638" s="102" t="n"/>
      <c r="AL1638" s="102" t="n"/>
      <c r="AM1638" s="102" t="n"/>
      <c r="AN1638" s="102" t="n"/>
      <c r="AO1638" s="102" t="n"/>
      <c r="AP1638" s="102" t="n"/>
      <c r="AQ1638" s="102" t="n"/>
      <c r="AR1638" s="102" t="n"/>
    </row>
    <row r="1639">
      <c r="D1639" s="102" t="n"/>
      <c r="E1639" s="102" t="n"/>
      <c r="F1639" s="102" t="n"/>
      <c r="G1639" s="102" t="n"/>
      <c r="H1639" s="102" t="n"/>
      <c r="I1639" s="102" t="n"/>
      <c r="J1639" s="102" t="n"/>
      <c r="K1639" s="102" t="n"/>
      <c r="L1639" s="102" t="n"/>
      <c r="M1639" s="102" t="n"/>
      <c r="N1639" s="102" t="n"/>
      <c r="O1639" s="102" t="n"/>
      <c r="P1639" s="102" t="n"/>
      <c r="Q1639" s="102" t="n"/>
      <c r="R1639" s="102" t="n"/>
      <c r="S1639" s="102" t="n"/>
      <c r="T1639" s="102" t="n"/>
      <c r="U1639" s="102" t="n"/>
      <c r="V1639" s="102" t="n"/>
      <c r="W1639" s="102" t="n"/>
      <c r="X1639" s="102" t="n"/>
      <c r="Y1639" s="102" t="n"/>
      <c r="Z1639" s="102" t="n"/>
      <c r="AA1639" s="102" t="n"/>
      <c r="AB1639" s="102" t="n"/>
      <c r="AC1639" s="102" t="n"/>
      <c r="AD1639" s="102" t="n"/>
      <c r="AE1639" s="102" t="n"/>
      <c r="AF1639" s="102" t="n"/>
      <c r="AG1639" s="102" t="n"/>
      <c r="AH1639" s="102" t="n"/>
      <c r="AI1639" s="102" t="n"/>
      <c r="AJ1639" s="102" t="n"/>
      <c r="AK1639" s="102" t="n"/>
      <c r="AL1639" s="102" t="n"/>
      <c r="AM1639" s="102" t="n"/>
      <c r="AN1639" s="102" t="n"/>
      <c r="AO1639" s="102" t="n"/>
      <c r="AP1639" s="102" t="n"/>
      <c r="AQ1639" s="102" t="n"/>
      <c r="AR1639" s="102" t="n"/>
    </row>
    <row r="1640">
      <c r="D1640" s="102" t="n"/>
      <c r="E1640" s="102" t="n"/>
      <c r="F1640" s="102" t="n"/>
      <c r="G1640" s="102" t="n"/>
      <c r="H1640" s="102" t="n"/>
      <c r="I1640" s="102" t="n"/>
      <c r="J1640" s="102" t="n"/>
      <c r="K1640" s="102" t="n"/>
      <c r="L1640" s="102" t="n"/>
      <c r="M1640" s="102" t="n"/>
      <c r="N1640" s="102" t="n"/>
      <c r="O1640" s="102" t="n"/>
      <c r="P1640" s="102" t="n"/>
      <c r="Q1640" s="102" t="n"/>
      <c r="R1640" s="102" t="n"/>
      <c r="S1640" s="102" t="n"/>
      <c r="T1640" s="102" t="n"/>
      <c r="U1640" s="102" t="n"/>
      <c r="V1640" s="102" t="n"/>
      <c r="W1640" s="102" t="n"/>
      <c r="X1640" s="102" t="n"/>
      <c r="Y1640" s="102" t="n"/>
      <c r="Z1640" s="102" t="n"/>
      <c r="AA1640" s="102" t="n"/>
      <c r="AB1640" s="102" t="n"/>
      <c r="AC1640" s="102" t="n"/>
      <c r="AD1640" s="102" t="n"/>
      <c r="AE1640" s="102" t="n"/>
      <c r="AF1640" s="102" t="n"/>
      <c r="AG1640" s="102" t="n"/>
      <c r="AH1640" s="102" t="n"/>
      <c r="AI1640" s="102" t="n"/>
      <c r="AJ1640" s="102" t="n"/>
      <c r="AK1640" s="102" t="n"/>
      <c r="AL1640" s="102" t="n"/>
      <c r="AM1640" s="102" t="n"/>
      <c r="AN1640" s="102" t="n"/>
      <c r="AO1640" s="102" t="n"/>
      <c r="AP1640" s="102" t="n"/>
      <c r="AQ1640" s="102" t="n"/>
      <c r="AR1640" s="102" t="n"/>
    </row>
    <row r="1641">
      <c r="D1641" s="160" t="n"/>
      <c r="E1641" s="160" t="n"/>
      <c r="F1641" s="160" t="n"/>
      <c r="G1641" s="160" t="n"/>
      <c r="H1641" s="160" t="n"/>
      <c r="I1641" s="160" t="n"/>
      <c r="J1641" s="160" t="n"/>
      <c r="K1641" s="160" t="n"/>
      <c r="L1641" s="160" t="n"/>
      <c r="M1641" s="160" t="n"/>
      <c r="N1641" s="160" t="n"/>
      <c r="O1641" s="160" t="n"/>
      <c r="P1641" s="160" t="n"/>
      <c r="Q1641" s="160" t="n"/>
      <c r="R1641" s="160" t="n"/>
      <c r="S1641" s="160" t="n"/>
      <c r="T1641" s="160" t="n"/>
      <c r="U1641" s="160" t="n"/>
      <c r="V1641" s="160" t="n"/>
      <c r="W1641" s="160" t="n"/>
      <c r="X1641" s="160" t="n"/>
      <c r="Y1641" s="160" t="n"/>
      <c r="Z1641" s="160" t="n"/>
      <c r="AA1641" s="160" t="n"/>
      <c r="AB1641" s="160" t="n"/>
      <c r="AC1641" s="160" t="n"/>
      <c r="AD1641" s="160" t="n"/>
      <c r="AE1641" s="160" t="n"/>
      <c r="AF1641" s="160" t="n"/>
      <c r="AG1641" s="160" t="n"/>
      <c r="AH1641" s="160" t="n"/>
      <c r="AI1641" s="160" t="n"/>
      <c r="AJ1641" s="160" t="n"/>
      <c r="AK1641" s="160" t="n"/>
      <c r="AL1641" s="160" t="n"/>
      <c r="AM1641" s="160" t="n"/>
      <c r="AN1641" s="160" t="n"/>
      <c r="AO1641" s="160" t="n"/>
      <c r="AP1641" s="160" t="n"/>
      <c r="AQ1641" s="160" t="n"/>
      <c r="AR1641" s="160" t="n"/>
    </row>
    <row r="1644">
      <c r="A1644" s="2">
        <f>IF($A1637="","","   projections")</f>
        <v/>
      </c>
      <c r="B1644" s="158">
        <f>IF($A1637="",0,COUNT($E1645:$AR1645))</f>
        <v/>
      </c>
      <c r="C1644" s="159">
        <f>IF($B1644=0,0,MAX($E1645:$AR1645))</f>
        <v/>
      </c>
      <c r="D1644" s="101">
        <f>BDS($A1637,FLD_PROJ,"headers=y","startcol=1","endcol=3","dir=h")</f>
        <v/>
      </c>
      <c r="E1644" s="102" t="n"/>
      <c r="F1644" s="102" t="n"/>
      <c r="G1644" s="102" t="n"/>
      <c r="H1644" s="102" t="n"/>
      <c r="I1644" s="102" t="n"/>
      <c r="J1644" s="102" t="n"/>
      <c r="K1644" s="102" t="n"/>
      <c r="L1644" s="102" t="n"/>
      <c r="M1644" s="102" t="n"/>
      <c r="N1644" s="102" t="n"/>
      <c r="O1644" s="102" t="n"/>
      <c r="P1644" s="102" t="n"/>
      <c r="Q1644" s="102" t="n"/>
      <c r="R1644" s="102" t="n"/>
      <c r="S1644" s="102" t="n"/>
      <c r="T1644" s="102" t="n"/>
      <c r="U1644" s="102" t="n"/>
      <c r="V1644" s="102" t="n"/>
      <c r="W1644" s="102" t="n"/>
      <c r="X1644" s="102" t="n"/>
      <c r="Y1644" s="102" t="n"/>
      <c r="Z1644" s="102" t="n"/>
      <c r="AA1644" s="102" t="n"/>
      <c r="AB1644" s="102" t="n"/>
      <c r="AC1644" s="102" t="n"/>
      <c r="AD1644" s="102" t="n"/>
      <c r="AE1644" s="102" t="n"/>
      <c r="AF1644" s="102" t="n"/>
      <c r="AG1644" s="102" t="n"/>
      <c r="AH1644" s="102" t="n"/>
      <c r="AI1644" s="102" t="n"/>
      <c r="AJ1644" s="102" t="n"/>
      <c r="AK1644" s="102" t="n"/>
      <c r="AL1644" s="102" t="n"/>
      <c r="AM1644" s="102" t="n"/>
      <c r="AN1644" s="102" t="n"/>
      <c r="AO1644" s="102" t="n"/>
      <c r="AP1644" s="102" t="n"/>
      <c r="AQ1644" s="102" t="n"/>
      <c r="AR1644" s="102" t="n"/>
    </row>
    <row r="1645">
      <c r="D1645" s="102" t="n"/>
      <c r="E1645" s="102" t="n"/>
      <c r="F1645" s="102" t="n"/>
      <c r="G1645" s="102" t="n"/>
      <c r="H1645" s="102" t="n"/>
      <c r="I1645" s="102" t="n"/>
      <c r="J1645" s="102" t="n"/>
      <c r="K1645" s="102" t="n"/>
      <c r="L1645" s="102" t="n"/>
      <c r="M1645" s="102" t="n"/>
      <c r="N1645" s="102" t="n"/>
      <c r="O1645" s="102" t="n"/>
      <c r="P1645" s="102" t="n"/>
      <c r="Q1645" s="102" t="n"/>
      <c r="R1645" s="102" t="n"/>
      <c r="S1645" s="102" t="n"/>
      <c r="T1645" s="102" t="n"/>
      <c r="U1645" s="102" t="n"/>
      <c r="V1645" s="102" t="n"/>
      <c r="W1645" s="102" t="n"/>
      <c r="X1645" s="102" t="n"/>
      <c r="Y1645" s="102" t="n"/>
      <c r="Z1645" s="102" t="n"/>
      <c r="AA1645" s="102" t="n"/>
      <c r="AB1645" s="102" t="n"/>
      <c r="AC1645" s="102" t="n"/>
      <c r="AD1645" s="102" t="n"/>
      <c r="AE1645" s="102" t="n"/>
      <c r="AF1645" s="102" t="n"/>
      <c r="AG1645" s="102" t="n"/>
      <c r="AH1645" s="102" t="n"/>
      <c r="AI1645" s="102" t="n"/>
      <c r="AJ1645" s="102" t="n"/>
      <c r="AK1645" s="102" t="n"/>
      <c r="AL1645" s="102" t="n"/>
      <c r="AM1645" s="102" t="n"/>
      <c r="AN1645" s="102" t="n"/>
      <c r="AO1645" s="102" t="n"/>
      <c r="AP1645" s="102" t="n"/>
      <c r="AQ1645" s="102" t="n"/>
      <c r="AR1645" s="102" t="n"/>
    </row>
    <row r="1646">
      <c r="D1646" s="160" t="n"/>
      <c r="E1646" s="160" t="n"/>
      <c r="F1646" s="160" t="n"/>
      <c r="G1646" s="160" t="n"/>
      <c r="H1646" s="160" t="n"/>
      <c r="I1646" s="160" t="n"/>
      <c r="J1646" s="160" t="n"/>
      <c r="K1646" s="160" t="n"/>
      <c r="L1646" s="160" t="n"/>
      <c r="M1646" s="160" t="n"/>
      <c r="N1646" s="160" t="n"/>
      <c r="O1646" s="160" t="n"/>
      <c r="P1646" s="160" t="n"/>
      <c r="Q1646" s="160" t="n"/>
      <c r="R1646" s="160" t="n"/>
      <c r="S1646" s="160" t="n"/>
      <c r="T1646" s="160" t="n"/>
      <c r="U1646" s="160" t="n"/>
      <c r="V1646" s="160" t="n"/>
      <c r="W1646" s="160" t="n"/>
      <c r="X1646" s="160" t="n"/>
      <c r="Y1646" s="160" t="n"/>
      <c r="Z1646" s="160" t="n"/>
      <c r="AA1646" s="160" t="n"/>
      <c r="AB1646" s="160" t="n"/>
      <c r="AC1646" s="160" t="n"/>
      <c r="AD1646" s="160" t="n"/>
      <c r="AE1646" s="160" t="n"/>
      <c r="AF1646" s="160" t="n"/>
      <c r="AG1646" s="160" t="n"/>
      <c r="AH1646" s="160" t="n"/>
      <c r="AI1646" s="160" t="n"/>
      <c r="AJ1646" s="160" t="n"/>
      <c r="AK1646" s="160" t="n"/>
      <c r="AL1646" s="160" t="n"/>
      <c r="AM1646" s="160" t="n"/>
      <c r="AN1646" s="160" t="n"/>
      <c r="AO1646" s="160" t="n"/>
      <c r="AP1646" s="160" t="n"/>
      <c r="AQ1646" s="160" t="n"/>
      <c r="AR1646" s="160" t="n"/>
    </row>
    <row r="1648">
      <c r="A1648" s="8">
        <f>IF(HSCEI!$C$15="","",HSCEI!$C$15)</f>
        <v/>
      </c>
      <c r="B1648" s="158">
        <f>IF($A1648="",0,COUNT($E1649:$AR1649))</f>
        <v/>
      </c>
      <c r="C1648" s="159">
        <f>IF($B1648=0,0,MAX($E1649:$AR1649))</f>
        <v/>
      </c>
      <c r="D1648" s="101">
        <f>BDS($A1648,FLD_HIST,"headers=y","startcol=1","endcol=7","dir=h","DVD_START_DT",HIST_FROM,"DVD_END_DT",HIST_TO)</f>
        <v/>
      </c>
      <c r="E1648" s="102" t="n"/>
      <c r="F1648" s="102" t="n"/>
      <c r="G1648" s="102" t="n"/>
      <c r="H1648" s="102" t="n"/>
      <c r="I1648" s="102" t="n"/>
      <c r="J1648" s="102" t="n"/>
      <c r="K1648" s="102" t="n"/>
      <c r="L1648" s="102" t="n"/>
      <c r="M1648" s="102" t="n"/>
      <c r="N1648" s="102" t="n"/>
      <c r="O1648" s="102" t="n"/>
      <c r="P1648" s="102" t="n"/>
      <c r="Q1648" s="102" t="n"/>
      <c r="R1648" s="102" t="n"/>
      <c r="S1648" s="102" t="n"/>
      <c r="T1648" s="102" t="n"/>
      <c r="U1648" s="102" t="n"/>
      <c r="V1648" s="102" t="n"/>
      <c r="W1648" s="102" t="n"/>
      <c r="X1648" s="102" t="n"/>
      <c r="Y1648" s="102" t="n"/>
      <c r="Z1648" s="102" t="n"/>
      <c r="AA1648" s="102" t="n"/>
      <c r="AB1648" s="102" t="n"/>
      <c r="AC1648" s="102" t="n"/>
      <c r="AD1648" s="102" t="n"/>
      <c r="AE1648" s="102" t="n"/>
      <c r="AF1648" s="102" t="n"/>
      <c r="AG1648" s="102" t="n"/>
      <c r="AH1648" s="102" t="n"/>
      <c r="AI1648" s="102" t="n"/>
      <c r="AJ1648" s="102" t="n"/>
      <c r="AK1648" s="102" t="n"/>
      <c r="AL1648" s="102" t="n"/>
      <c r="AM1648" s="102" t="n"/>
      <c r="AN1648" s="102" t="n"/>
      <c r="AO1648" s="102" t="n"/>
      <c r="AP1648" s="102" t="n"/>
      <c r="AQ1648" s="102" t="n"/>
      <c r="AR1648" s="102" t="n"/>
    </row>
    <row r="1649">
      <c r="D1649" s="102" t="n"/>
      <c r="E1649" s="102" t="n"/>
      <c r="F1649" s="102" t="n"/>
      <c r="G1649" s="102" t="n"/>
      <c r="H1649" s="102" t="n"/>
      <c r="I1649" s="102" t="n"/>
      <c r="J1649" s="102" t="n"/>
      <c r="K1649" s="102" t="n"/>
      <c r="L1649" s="102" t="n"/>
      <c r="M1649" s="102" t="n"/>
      <c r="N1649" s="102" t="n"/>
      <c r="O1649" s="102" t="n"/>
      <c r="P1649" s="102" t="n"/>
      <c r="Q1649" s="102" t="n"/>
      <c r="R1649" s="102" t="n"/>
      <c r="S1649" s="102" t="n"/>
      <c r="T1649" s="102" t="n"/>
      <c r="U1649" s="102" t="n"/>
      <c r="V1649" s="102" t="n"/>
      <c r="W1649" s="102" t="n"/>
      <c r="X1649" s="102" t="n"/>
      <c r="Y1649" s="102" t="n"/>
      <c r="Z1649" s="102" t="n"/>
      <c r="AA1649" s="102" t="n"/>
      <c r="AB1649" s="102" t="n"/>
      <c r="AC1649" s="102" t="n"/>
      <c r="AD1649" s="102" t="n"/>
      <c r="AE1649" s="102" t="n"/>
      <c r="AF1649" s="102" t="n"/>
      <c r="AG1649" s="102" t="n"/>
      <c r="AH1649" s="102" t="n"/>
      <c r="AI1649" s="102" t="n"/>
      <c r="AJ1649" s="102" t="n"/>
      <c r="AK1649" s="102" t="n"/>
      <c r="AL1649" s="102" t="n"/>
      <c r="AM1649" s="102" t="n"/>
      <c r="AN1649" s="102" t="n"/>
      <c r="AO1649" s="102" t="n"/>
      <c r="AP1649" s="102" t="n"/>
      <c r="AQ1649" s="102" t="n"/>
      <c r="AR1649" s="102" t="n"/>
    </row>
    <row r="1650">
      <c r="D1650" s="102" t="n"/>
      <c r="E1650" s="102" t="n"/>
      <c r="F1650" s="102" t="n"/>
      <c r="G1650" s="102" t="n"/>
      <c r="H1650" s="102" t="n"/>
      <c r="I1650" s="102" t="n"/>
      <c r="J1650" s="102" t="n"/>
      <c r="K1650" s="102" t="n"/>
      <c r="L1650" s="102" t="n"/>
      <c r="M1650" s="102" t="n"/>
      <c r="N1650" s="102" t="n"/>
      <c r="O1650" s="102" t="n"/>
      <c r="P1650" s="102" t="n"/>
      <c r="Q1650" s="102" t="n"/>
      <c r="R1650" s="102" t="n"/>
      <c r="S1650" s="102" t="n"/>
      <c r="T1650" s="102" t="n"/>
      <c r="U1650" s="102" t="n"/>
      <c r="V1650" s="102" t="n"/>
      <c r="W1650" s="102" t="n"/>
      <c r="X1650" s="102" t="n"/>
      <c r="Y1650" s="102" t="n"/>
      <c r="Z1650" s="102" t="n"/>
      <c r="AA1650" s="102" t="n"/>
      <c r="AB1650" s="102" t="n"/>
      <c r="AC1650" s="102" t="n"/>
      <c r="AD1650" s="102" t="n"/>
      <c r="AE1650" s="102" t="n"/>
      <c r="AF1650" s="102" t="n"/>
      <c r="AG1650" s="102" t="n"/>
      <c r="AH1650" s="102" t="n"/>
      <c r="AI1650" s="102" t="n"/>
      <c r="AJ1650" s="102" t="n"/>
      <c r="AK1650" s="102" t="n"/>
      <c r="AL1650" s="102" t="n"/>
      <c r="AM1650" s="102" t="n"/>
      <c r="AN1650" s="102" t="n"/>
      <c r="AO1650" s="102" t="n"/>
      <c r="AP1650" s="102" t="n"/>
      <c r="AQ1650" s="102" t="n"/>
      <c r="AR1650" s="102" t="n"/>
    </row>
    <row r="1651">
      <c r="D1651" s="102" t="n"/>
      <c r="E1651" s="102" t="n"/>
      <c r="F1651" s="102" t="n"/>
      <c r="G1651" s="102" t="n"/>
      <c r="H1651" s="102" t="n"/>
      <c r="I1651" s="102" t="n"/>
      <c r="J1651" s="102" t="n"/>
      <c r="K1651" s="102" t="n"/>
      <c r="L1651" s="102" t="n"/>
      <c r="M1651" s="102" t="n"/>
      <c r="N1651" s="102" t="n"/>
      <c r="O1651" s="102" t="n"/>
      <c r="P1651" s="102" t="n"/>
      <c r="Q1651" s="102" t="n"/>
      <c r="R1651" s="102" t="n"/>
      <c r="S1651" s="102" t="n"/>
      <c r="T1651" s="102" t="n"/>
      <c r="U1651" s="102" t="n"/>
      <c r="V1651" s="102" t="n"/>
      <c r="W1651" s="102" t="n"/>
      <c r="X1651" s="102" t="n"/>
      <c r="Y1651" s="102" t="n"/>
      <c r="Z1651" s="102" t="n"/>
      <c r="AA1651" s="102" t="n"/>
      <c r="AB1651" s="102" t="n"/>
      <c r="AC1651" s="102" t="n"/>
      <c r="AD1651" s="102" t="n"/>
      <c r="AE1651" s="102" t="n"/>
      <c r="AF1651" s="102" t="n"/>
      <c r="AG1651" s="102" t="n"/>
      <c r="AH1651" s="102" t="n"/>
      <c r="AI1651" s="102" t="n"/>
      <c r="AJ1651" s="102" t="n"/>
      <c r="AK1651" s="102" t="n"/>
      <c r="AL1651" s="102" t="n"/>
      <c r="AM1651" s="102" t="n"/>
      <c r="AN1651" s="102" t="n"/>
      <c r="AO1651" s="102" t="n"/>
      <c r="AP1651" s="102" t="n"/>
      <c r="AQ1651" s="102" t="n"/>
      <c r="AR1651" s="102" t="n"/>
    </row>
    <row r="1652">
      <c r="D1652" s="160" t="n"/>
      <c r="E1652" s="160" t="n"/>
      <c r="F1652" s="160" t="n"/>
      <c r="G1652" s="160" t="n"/>
      <c r="H1652" s="160" t="n"/>
      <c r="I1652" s="160" t="n"/>
      <c r="J1652" s="160" t="n"/>
      <c r="K1652" s="160" t="n"/>
      <c r="L1652" s="160" t="n"/>
      <c r="M1652" s="160" t="n"/>
      <c r="N1652" s="160" t="n"/>
      <c r="O1652" s="160" t="n"/>
      <c r="P1652" s="160" t="n"/>
      <c r="Q1652" s="160" t="n"/>
      <c r="R1652" s="160" t="n"/>
      <c r="S1652" s="160" t="n"/>
      <c r="T1652" s="160" t="n"/>
      <c r="U1652" s="160" t="n"/>
      <c r="V1652" s="160" t="n"/>
      <c r="W1652" s="160" t="n"/>
      <c r="X1652" s="160" t="n"/>
      <c r="Y1652" s="160" t="n"/>
      <c r="Z1652" s="160" t="n"/>
      <c r="AA1652" s="160" t="n"/>
      <c r="AB1652" s="160" t="n"/>
      <c r="AC1652" s="160" t="n"/>
      <c r="AD1652" s="160" t="n"/>
      <c r="AE1652" s="160" t="n"/>
      <c r="AF1652" s="160" t="n"/>
      <c r="AG1652" s="160" t="n"/>
      <c r="AH1652" s="160" t="n"/>
      <c r="AI1652" s="160" t="n"/>
      <c r="AJ1652" s="160" t="n"/>
      <c r="AK1652" s="160" t="n"/>
      <c r="AL1652" s="160" t="n"/>
      <c r="AM1652" s="160" t="n"/>
      <c r="AN1652" s="160" t="n"/>
      <c r="AO1652" s="160" t="n"/>
      <c r="AP1652" s="160" t="n"/>
      <c r="AQ1652" s="160" t="n"/>
      <c r="AR1652" s="160" t="n"/>
    </row>
    <row r="1655">
      <c r="A1655" s="2">
        <f>IF($A1648="","","   projections")</f>
        <v/>
      </c>
      <c r="B1655" s="158">
        <f>IF($A1648="",0,COUNT($E1656:$AR1656))</f>
        <v/>
      </c>
      <c r="C1655" s="159">
        <f>IF($B1655=0,0,MAX($E1656:$AR1656))</f>
        <v/>
      </c>
      <c r="D1655" s="101">
        <f>BDS($A1648,FLD_PROJ,"headers=y","startcol=1","endcol=3","dir=h")</f>
        <v/>
      </c>
      <c r="E1655" s="102" t="n"/>
      <c r="F1655" s="102" t="n"/>
      <c r="G1655" s="102" t="n"/>
      <c r="H1655" s="102" t="n"/>
      <c r="I1655" s="102" t="n"/>
      <c r="J1655" s="102" t="n"/>
      <c r="K1655" s="102" t="n"/>
      <c r="L1655" s="102" t="n"/>
      <c r="M1655" s="102" t="n"/>
      <c r="N1655" s="102" t="n"/>
      <c r="O1655" s="102" t="n"/>
      <c r="P1655" s="102" t="n"/>
      <c r="Q1655" s="102" t="n"/>
      <c r="R1655" s="102" t="n"/>
      <c r="S1655" s="102" t="n"/>
      <c r="T1655" s="102" t="n"/>
      <c r="U1655" s="102" t="n"/>
      <c r="V1655" s="102" t="n"/>
      <c r="W1655" s="102" t="n"/>
      <c r="X1655" s="102" t="n"/>
      <c r="Y1655" s="102" t="n"/>
      <c r="Z1655" s="102" t="n"/>
      <c r="AA1655" s="102" t="n"/>
      <c r="AB1655" s="102" t="n"/>
      <c r="AC1655" s="102" t="n"/>
      <c r="AD1655" s="102" t="n"/>
      <c r="AE1655" s="102" t="n"/>
      <c r="AF1655" s="102" t="n"/>
      <c r="AG1655" s="102" t="n"/>
      <c r="AH1655" s="102" t="n"/>
      <c r="AI1655" s="102" t="n"/>
      <c r="AJ1655" s="102" t="n"/>
      <c r="AK1655" s="102" t="n"/>
      <c r="AL1655" s="102" t="n"/>
      <c r="AM1655" s="102" t="n"/>
      <c r="AN1655" s="102" t="n"/>
      <c r="AO1655" s="102" t="n"/>
      <c r="AP1655" s="102" t="n"/>
      <c r="AQ1655" s="102" t="n"/>
      <c r="AR1655" s="102" t="n"/>
    </row>
    <row r="1656">
      <c r="D1656" s="102" t="n"/>
      <c r="E1656" s="102" t="n"/>
      <c r="F1656" s="102" t="n"/>
      <c r="G1656" s="102" t="n"/>
      <c r="H1656" s="102" t="n"/>
      <c r="I1656" s="102" t="n"/>
      <c r="J1656" s="102" t="n"/>
      <c r="K1656" s="102" t="n"/>
      <c r="L1656" s="102" t="n"/>
      <c r="M1656" s="102" t="n"/>
      <c r="N1656" s="102" t="n"/>
      <c r="O1656" s="102" t="n"/>
      <c r="P1656" s="102" t="n"/>
      <c r="Q1656" s="102" t="n"/>
      <c r="R1656" s="102" t="n"/>
      <c r="S1656" s="102" t="n"/>
      <c r="T1656" s="102" t="n"/>
      <c r="U1656" s="102" t="n"/>
      <c r="V1656" s="102" t="n"/>
      <c r="W1656" s="102" t="n"/>
      <c r="X1656" s="102" t="n"/>
      <c r="Y1656" s="102" t="n"/>
      <c r="Z1656" s="102" t="n"/>
      <c r="AA1656" s="102" t="n"/>
      <c r="AB1656" s="102" t="n"/>
      <c r="AC1656" s="102" t="n"/>
      <c r="AD1656" s="102" t="n"/>
      <c r="AE1656" s="102" t="n"/>
      <c r="AF1656" s="102" t="n"/>
      <c r="AG1656" s="102" t="n"/>
      <c r="AH1656" s="102" t="n"/>
      <c r="AI1656" s="102" t="n"/>
      <c r="AJ1656" s="102" t="n"/>
      <c r="AK1656" s="102" t="n"/>
      <c r="AL1656" s="102" t="n"/>
      <c r="AM1656" s="102" t="n"/>
      <c r="AN1656" s="102" t="n"/>
      <c r="AO1656" s="102" t="n"/>
      <c r="AP1656" s="102" t="n"/>
      <c r="AQ1656" s="102" t="n"/>
      <c r="AR1656" s="102" t="n"/>
    </row>
    <row r="1657">
      <c r="D1657" s="160" t="n"/>
      <c r="E1657" s="160" t="n"/>
      <c r="F1657" s="160" t="n"/>
      <c r="G1657" s="160" t="n"/>
      <c r="H1657" s="160" t="n"/>
      <c r="I1657" s="160" t="n"/>
      <c r="J1657" s="160" t="n"/>
      <c r="K1657" s="160" t="n"/>
      <c r="L1657" s="160" t="n"/>
      <c r="M1657" s="160" t="n"/>
      <c r="N1657" s="160" t="n"/>
      <c r="O1657" s="160" t="n"/>
      <c r="P1657" s="160" t="n"/>
      <c r="Q1657" s="160" t="n"/>
      <c r="R1657" s="160" t="n"/>
      <c r="S1657" s="160" t="n"/>
      <c r="T1657" s="160" t="n"/>
      <c r="U1657" s="160" t="n"/>
      <c r="V1657" s="160" t="n"/>
      <c r="W1657" s="160" t="n"/>
      <c r="X1657" s="160" t="n"/>
      <c r="Y1657" s="160" t="n"/>
      <c r="Z1657" s="160" t="n"/>
      <c r="AA1657" s="160" t="n"/>
      <c r="AB1657" s="160" t="n"/>
      <c r="AC1657" s="160" t="n"/>
      <c r="AD1657" s="160" t="n"/>
      <c r="AE1657" s="160" t="n"/>
      <c r="AF1657" s="160" t="n"/>
      <c r="AG1657" s="160" t="n"/>
      <c r="AH1657" s="160" t="n"/>
      <c r="AI1657" s="160" t="n"/>
      <c r="AJ1657" s="160" t="n"/>
      <c r="AK1657" s="160" t="n"/>
      <c r="AL1657" s="160" t="n"/>
      <c r="AM1657" s="160" t="n"/>
      <c r="AN1657" s="160" t="n"/>
      <c r="AO1657" s="160" t="n"/>
      <c r="AP1657" s="160" t="n"/>
      <c r="AQ1657" s="160" t="n"/>
      <c r="AR1657" s="160" t="n"/>
    </row>
    <row r="1659">
      <c r="A1659" s="8">
        <f>IF(HSCEI!$C$16="","",HSCEI!$C$16)</f>
        <v/>
      </c>
      <c r="B1659" s="158">
        <f>IF($A1659="",0,COUNT($E1660:$AR1660))</f>
        <v/>
      </c>
      <c r="C1659" s="159">
        <f>IF($B1659=0,0,MAX($E1660:$AR1660))</f>
        <v/>
      </c>
      <c r="D1659" s="101">
        <f>BDS($A1659,FLD_HIST,"headers=y","startcol=1","endcol=7","dir=h","DVD_START_DT",HIST_FROM,"DVD_END_DT",HIST_TO)</f>
        <v/>
      </c>
      <c r="E1659" s="102" t="n"/>
      <c r="F1659" s="102" t="n"/>
      <c r="G1659" s="102" t="n"/>
      <c r="H1659" s="102" t="n"/>
      <c r="I1659" s="102" t="n"/>
      <c r="J1659" s="102" t="n"/>
      <c r="K1659" s="102" t="n"/>
      <c r="L1659" s="102" t="n"/>
      <c r="M1659" s="102" t="n"/>
      <c r="N1659" s="102" t="n"/>
      <c r="O1659" s="102" t="n"/>
      <c r="P1659" s="102" t="n"/>
      <c r="Q1659" s="102" t="n"/>
      <c r="R1659" s="102" t="n"/>
      <c r="S1659" s="102" t="n"/>
      <c r="T1659" s="102" t="n"/>
      <c r="U1659" s="102" t="n"/>
      <c r="V1659" s="102" t="n"/>
      <c r="W1659" s="102" t="n"/>
      <c r="X1659" s="102" t="n"/>
      <c r="Y1659" s="102" t="n"/>
      <c r="Z1659" s="102" t="n"/>
      <c r="AA1659" s="102" t="n"/>
      <c r="AB1659" s="102" t="n"/>
      <c r="AC1659" s="102" t="n"/>
      <c r="AD1659" s="102" t="n"/>
      <c r="AE1659" s="102" t="n"/>
      <c r="AF1659" s="102" t="n"/>
      <c r="AG1659" s="102" t="n"/>
      <c r="AH1659" s="102" t="n"/>
      <c r="AI1659" s="102" t="n"/>
      <c r="AJ1659" s="102" t="n"/>
      <c r="AK1659" s="102" t="n"/>
      <c r="AL1659" s="102" t="n"/>
      <c r="AM1659" s="102" t="n"/>
      <c r="AN1659" s="102" t="n"/>
      <c r="AO1659" s="102" t="n"/>
      <c r="AP1659" s="102" t="n"/>
      <c r="AQ1659" s="102" t="n"/>
      <c r="AR1659" s="102" t="n"/>
    </row>
    <row r="1660">
      <c r="D1660" s="102" t="n"/>
      <c r="E1660" s="102" t="n"/>
      <c r="F1660" s="102" t="n"/>
      <c r="G1660" s="102" t="n"/>
      <c r="H1660" s="102" t="n"/>
      <c r="I1660" s="102" t="n"/>
      <c r="J1660" s="102" t="n"/>
      <c r="K1660" s="102" t="n"/>
      <c r="L1660" s="102" t="n"/>
      <c r="M1660" s="102" t="n"/>
      <c r="N1660" s="102" t="n"/>
      <c r="O1660" s="102" t="n"/>
      <c r="P1660" s="102" t="n"/>
      <c r="Q1660" s="102" t="n"/>
      <c r="R1660" s="102" t="n"/>
      <c r="S1660" s="102" t="n"/>
      <c r="T1660" s="102" t="n"/>
      <c r="U1660" s="102" t="n"/>
      <c r="V1660" s="102" t="n"/>
      <c r="W1660" s="102" t="n"/>
      <c r="X1660" s="102" t="n"/>
      <c r="Y1660" s="102" t="n"/>
      <c r="Z1660" s="102" t="n"/>
      <c r="AA1660" s="102" t="n"/>
      <c r="AB1660" s="102" t="n"/>
      <c r="AC1660" s="102" t="n"/>
      <c r="AD1660" s="102" t="n"/>
      <c r="AE1660" s="102" t="n"/>
      <c r="AF1660" s="102" t="n"/>
      <c r="AG1660" s="102" t="n"/>
      <c r="AH1660" s="102" t="n"/>
      <c r="AI1660" s="102" t="n"/>
      <c r="AJ1660" s="102" t="n"/>
      <c r="AK1660" s="102" t="n"/>
      <c r="AL1660" s="102" t="n"/>
      <c r="AM1660" s="102" t="n"/>
      <c r="AN1660" s="102" t="n"/>
      <c r="AO1660" s="102" t="n"/>
      <c r="AP1660" s="102" t="n"/>
      <c r="AQ1660" s="102" t="n"/>
      <c r="AR1660" s="102" t="n"/>
    </row>
    <row r="1661">
      <c r="D1661" s="102" t="n"/>
      <c r="E1661" s="102" t="n"/>
      <c r="F1661" s="102" t="n"/>
      <c r="G1661" s="102" t="n"/>
      <c r="H1661" s="102" t="n"/>
      <c r="I1661" s="102" t="n"/>
      <c r="J1661" s="102" t="n"/>
      <c r="K1661" s="102" t="n"/>
      <c r="L1661" s="102" t="n"/>
      <c r="M1661" s="102" t="n"/>
      <c r="N1661" s="102" t="n"/>
      <c r="O1661" s="102" t="n"/>
      <c r="P1661" s="102" t="n"/>
      <c r="Q1661" s="102" t="n"/>
      <c r="R1661" s="102" t="n"/>
      <c r="S1661" s="102" t="n"/>
      <c r="T1661" s="102" t="n"/>
      <c r="U1661" s="102" t="n"/>
      <c r="V1661" s="102" t="n"/>
      <c r="W1661" s="102" t="n"/>
      <c r="X1661" s="102" t="n"/>
      <c r="Y1661" s="102" t="n"/>
      <c r="Z1661" s="102" t="n"/>
      <c r="AA1661" s="102" t="n"/>
      <c r="AB1661" s="102" t="n"/>
      <c r="AC1661" s="102" t="n"/>
      <c r="AD1661" s="102" t="n"/>
      <c r="AE1661" s="102" t="n"/>
      <c r="AF1661" s="102" t="n"/>
      <c r="AG1661" s="102" t="n"/>
      <c r="AH1661" s="102" t="n"/>
      <c r="AI1661" s="102" t="n"/>
      <c r="AJ1661" s="102" t="n"/>
      <c r="AK1661" s="102" t="n"/>
      <c r="AL1661" s="102" t="n"/>
      <c r="AM1661" s="102" t="n"/>
      <c r="AN1661" s="102" t="n"/>
      <c r="AO1661" s="102" t="n"/>
      <c r="AP1661" s="102" t="n"/>
      <c r="AQ1661" s="102" t="n"/>
      <c r="AR1661" s="102" t="n"/>
    </row>
    <row r="1662">
      <c r="D1662" s="102" t="n"/>
      <c r="E1662" s="102" t="n"/>
      <c r="F1662" s="102" t="n"/>
      <c r="G1662" s="102" t="n"/>
      <c r="H1662" s="102" t="n"/>
      <c r="I1662" s="102" t="n"/>
      <c r="J1662" s="102" t="n"/>
      <c r="K1662" s="102" t="n"/>
      <c r="L1662" s="102" t="n"/>
      <c r="M1662" s="102" t="n"/>
      <c r="N1662" s="102" t="n"/>
      <c r="O1662" s="102" t="n"/>
      <c r="P1662" s="102" t="n"/>
      <c r="Q1662" s="102" t="n"/>
      <c r="R1662" s="102" t="n"/>
      <c r="S1662" s="102" t="n"/>
      <c r="T1662" s="102" t="n"/>
      <c r="U1662" s="102" t="n"/>
      <c r="V1662" s="102" t="n"/>
      <c r="W1662" s="102" t="n"/>
      <c r="X1662" s="102" t="n"/>
      <c r="Y1662" s="102" t="n"/>
      <c r="Z1662" s="102" t="n"/>
      <c r="AA1662" s="102" t="n"/>
      <c r="AB1662" s="102" t="n"/>
      <c r="AC1662" s="102" t="n"/>
      <c r="AD1662" s="102" t="n"/>
      <c r="AE1662" s="102" t="n"/>
      <c r="AF1662" s="102" t="n"/>
      <c r="AG1662" s="102" t="n"/>
      <c r="AH1662" s="102" t="n"/>
      <c r="AI1662" s="102" t="n"/>
      <c r="AJ1662" s="102" t="n"/>
      <c r="AK1662" s="102" t="n"/>
      <c r="AL1662" s="102" t="n"/>
      <c r="AM1662" s="102" t="n"/>
      <c r="AN1662" s="102" t="n"/>
      <c r="AO1662" s="102" t="n"/>
      <c r="AP1662" s="102" t="n"/>
      <c r="AQ1662" s="102" t="n"/>
      <c r="AR1662" s="102" t="n"/>
    </row>
    <row r="1663">
      <c r="D1663" s="160" t="n"/>
      <c r="E1663" s="160" t="n"/>
      <c r="F1663" s="160" t="n"/>
      <c r="G1663" s="160" t="n"/>
      <c r="H1663" s="160" t="n"/>
      <c r="I1663" s="160" t="n"/>
      <c r="J1663" s="160" t="n"/>
      <c r="K1663" s="160" t="n"/>
      <c r="L1663" s="160" t="n"/>
      <c r="M1663" s="160" t="n"/>
      <c r="N1663" s="160" t="n"/>
      <c r="O1663" s="160" t="n"/>
      <c r="P1663" s="160" t="n"/>
      <c r="Q1663" s="160" t="n"/>
      <c r="R1663" s="160" t="n"/>
      <c r="S1663" s="160" t="n"/>
      <c r="T1663" s="160" t="n"/>
      <c r="U1663" s="160" t="n"/>
      <c r="V1663" s="160" t="n"/>
      <c r="W1663" s="160" t="n"/>
      <c r="X1663" s="160" t="n"/>
      <c r="Y1663" s="160" t="n"/>
      <c r="Z1663" s="160" t="n"/>
      <c r="AA1663" s="160" t="n"/>
      <c r="AB1663" s="160" t="n"/>
      <c r="AC1663" s="160" t="n"/>
      <c r="AD1663" s="160" t="n"/>
      <c r="AE1663" s="160" t="n"/>
      <c r="AF1663" s="160" t="n"/>
      <c r="AG1663" s="160" t="n"/>
      <c r="AH1663" s="160" t="n"/>
      <c r="AI1663" s="160" t="n"/>
      <c r="AJ1663" s="160" t="n"/>
      <c r="AK1663" s="160" t="n"/>
      <c r="AL1663" s="160" t="n"/>
      <c r="AM1663" s="160" t="n"/>
      <c r="AN1663" s="160" t="n"/>
      <c r="AO1663" s="160" t="n"/>
      <c r="AP1663" s="160" t="n"/>
      <c r="AQ1663" s="160" t="n"/>
      <c r="AR1663" s="160" t="n"/>
    </row>
    <row r="1666">
      <c r="A1666" s="2">
        <f>IF($A1659="","","   projections")</f>
        <v/>
      </c>
      <c r="B1666" s="158">
        <f>IF($A1659="",0,COUNT($E1667:$AR1667))</f>
        <v/>
      </c>
      <c r="C1666" s="159">
        <f>IF($B1666=0,0,MAX($E1667:$AR1667))</f>
        <v/>
      </c>
      <c r="D1666" s="101">
        <f>BDS($A1659,FLD_PROJ,"headers=y","startcol=1","endcol=3","dir=h")</f>
        <v/>
      </c>
      <c r="E1666" s="102" t="n"/>
      <c r="F1666" s="102" t="n"/>
      <c r="G1666" s="102" t="n"/>
      <c r="H1666" s="102" t="n"/>
      <c r="I1666" s="102" t="n"/>
      <c r="J1666" s="102" t="n"/>
      <c r="K1666" s="102" t="n"/>
      <c r="L1666" s="102" t="n"/>
      <c r="M1666" s="102" t="n"/>
      <c r="N1666" s="102" t="n"/>
      <c r="O1666" s="102" t="n"/>
      <c r="P1666" s="102" t="n"/>
      <c r="Q1666" s="102" t="n"/>
      <c r="R1666" s="102" t="n"/>
      <c r="S1666" s="102" t="n"/>
      <c r="T1666" s="102" t="n"/>
      <c r="U1666" s="102" t="n"/>
      <c r="V1666" s="102" t="n"/>
      <c r="W1666" s="102" t="n"/>
      <c r="X1666" s="102" t="n"/>
      <c r="Y1666" s="102" t="n"/>
      <c r="Z1666" s="102" t="n"/>
      <c r="AA1666" s="102" t="n"/>
      <c r="AB1666" s="102" t="n"/>
      <c r="AC1666" s="102" t="n"/>
      <c r="AD1666" s="102" t="n"/>
      <c r="AE1666" s="102" t="n"/>
      <c r="AF1666" s="102" t="n"/>
      <c r="AG1666" s="102" t="n"/>
      <c r="AH1666" s="102" t="n"/>
      <c r="AI1666" s="102" t="n"/>
      <c r="AJ1666" s="102" t="n"/>
      <c r="AK1666" s="102" t="n"/>
      <c r="AL1666" s="102" t="n"/>
      <c r="AM1666" s="102" t="n"/>
      <c r="AN1666" s="102" t="n"/>
      <c r="AO1666" s="102" t="n"/>
      <c r="AP1666" s="102" t="n"/>
      <c r="AQ1666" s="102" t="n"/>
      <c r="AR1666" s="102" t="n"/>
    </row>
    <row r="1667">
      <c r="D1667" s="102" t="n"/>
      <c r="E1667" s="102" t="n"/>
      <c r="F1667" s="102" t="n"/>
      <c r="G1667" s="102" t="n"/>
      <c r="H1667" s="102" t="n"/>
      <c r="I1667" s="102" t="n"/>
      <c r="J1667" s="102" t="n"/>
      <c r="K1667" s="102" t="n"/>
      <c r="L1667" s="102" t="n"/>
      <c r="M1667" s="102" t="n"/>
      <c r="N1667" s="102" t="n"/>
      <c r="O1667" s="102" t="n"/>
      <c r="P1667" s="102" t="n"/>
      <c r="Q1667" s="102" t="n"/>
      <c r="R1667" s="102" t="n"/>
      <c r="S1667" s="102" t="n"/>
      <c r="T1667" s="102" t="n"/>
      <c r="U1667" s="102" t="n"/>
      <c r="V1667" s="102" t="n"/>
      <c r="W1667" s="102" t="n"/>
      <c r="X1667" s="102" t="n"/>
      <c r="Y1667" s="102" t="n"/>
      <c r="Z1667" s="102" t="n"/>
      <c r="AA1667" s="102" t="n"/>
      <c r="AB1667" s="102" t="n"/>
      <c r="AC1667" s="102" t="n"/>
      <c r="AD1667" s="102" t="n"/>
      <c r="AE1667" s="102" t="n"/>
      <c r="AF1667" s="102" t="n"/>
      <c r="AG1667" s="102" t="n"/>
      <c r="AH1667" s="102" t="n"/>
      <c r="AI1667" s="102" t="n"/>
      <c r="AJ1667" s="102" t="n"/>
      <c r="AK1667" s="102" t="n"/>
      <c r="AL1667" s="102" t="n"/>
      <c r="AM1667" s="102" t="n"/>
      <c r="AN1667" s="102" t="n"/>
      <c r="AO1667" s="102" t="n"/>
      <c r="AP1667" s="102" t="n"/>
      <c r="AQ1667" s="102" t="n"/>
      <c r="AR1667" s="102" t="n"/>
    </row>
    <row r="1668">
      <c r="D1668" s="160" t="n"/>
      <c r="E1668" s="160" t="n"/>
      <c r="F1668" s="160" t="n"/>
      <c r="G1668" s="160" t="n"/>
      <c r="H1668" s="160" t="n"/>
      <c r="I1668" s="160" t="n"/>
      <c r="J1668" s="160" t="n"/>
      <c r="K1668" s="160" t="n"/>
      <c r="L1668" s="160" t="n"/>
      <c r="M1668" s="160" t="n"/>
      <c r="N1668" s="160" t="n"/>
      <c r="O1668" s="160" t="n"/>
      <c r="P1668" s="160" t="n"/>
      <c r="Q1668" s="160" t="n"/>
      <c r="R1668" s="160" t="n"/>
      <c r="S1668" s="160" t="n"/>
      <c r="T1668" s="160" t="n"/>
      <c r="U1668" s="160" t="n"/>
      <c r="V1668" s="160" t="n"/>
      <c r="W1668" s="160" t="n"/>
      <c r="X1668" s="160" t="n"/>
      <c r="Y1668" s="160" t="n"/>
      <c r="Z1668" s="160" t="n"/>
      <c r="AA1668" s="160" t="n"/>
      <c r="AB1668" s="160" t="n"/>
      <c r="AC1668" s="160" t="n"/>
      <c r="AD1668" s="160" t="n"/>
      <c r="AE1668" s="160" t="n"/>
      <c r="AF1668" s="160" t="n"/>
      <c r="AG1668" s="160" t="n"/>
      <c r="AH1668" s="160" t="n"/>
      <c r="AI1668" s="160" t="n"/>
      <c r="AJ1668" s="160" t="n"/>
      <c r="AK1668" s="160" t="n"/>
      <c r="AL1668" s="160" t="n"/>
      <c r="AM1668" s="160" t="n"/>
      <c r="AN1668" s="160" t="n"/>
      <c r="AO1668" s="160" t="n"/>
      <c r="AP1668" s="160" t="n"/>
      <c r="AQ1668" s="160" t="n"/>
      <c r="AR1668" s="160" t="n"/>
    </row>
    <row r="1670">
      <c r="A1670" s="8">
        <f>IF(HSCEI!$C$17="","",HSCEI!$C$17)</f>
        <v/>
      </c>
      <c r="B1670" s="158">
        <f>IF($A1670="",0,COUNT($E1671:$AR1671))</f>
        <v/>
      </c>
      <c r="C1670" s="159">
        <f>IF($B1670=0,0,MAX($E1671:$AR1671))</f>
        <v/>
      </c>
      <c r="D1670" s="101">
        <f>BDS($A1670,FLD_HIST,"headers=y","startcol=1","endcol=7","dir=h","DVD_START_DT",HIST_FROM,"DVD_END_DT",HIST_TO)</f>
        <v/>
      </c>
      <c r="E1670" s="102" t="n"/>
      <c r="F1670" s="102" t="n"/>
      <c r="G1670" s="102" t="n"/>
      <c r="H1670" s="102" t="n"/>
      <c r="I1670" s="102" t="n"/>
      <c r="J1670" s="102" t="n"/>
      <c r="K1670" s="102" t="n"/>
      <c r="L1670" s="102" t="n"/>
      <c r="M1670" s="102" t="n"/>
      <c r="N1670" s="102" t="n"/>
      <c r="O1670" s="102" t="n"/>
      <c r="P1670" s="102" t="n"/>
      <c r="Q1670" s="102" t="n"/>
      <c r="R1670" s="102" t="n"/>
      <c r="S1670" s="102" t="n"/>
      <c r="T1670" s="102" t="n"/>
      <c r="U1670" s="102" t="n"/>
      <c r="V1670" s="102" t="n"/>
      <c r="W1670" s="102" t="n"/>
      <c r="X1670" s="102" t="n"/>
      <c r="Y1670" s="102" t="n"/>
      <c r="Z1670" s="102" t="n"/>
      <c r="AA1670" s="102" t="n"/>
      <c r="AB1670" s="102" t="n"/>
      <c r="AC1670" s="102" t="n"/>
      <c r="AD1670" s="102" t="n"/>
      <c r="AE1670" s="102" t="n"/>
      <c r="AF1670" s="102" t="n"/>
      <c r="AG1670" s="102" t="n"/>
      <c r="AH1670" s="102" t="n"/>
      <c r="AI1670" s="102" t="n"/>
      <c r="AJ1670" s="102" t="n"/>
      <c r="AK1670" s="102" t="n"/>
      <c r="AL1670" s="102" t="n"/>
      <c r="AM1670" s="102" t="n"/>
      <c r="AN1670" s="102" t="n"/>
      <c r="AO1670" s="102" t="n"/>
      <c r="AP1670" s="102" t="n"/>
      <c r="AQ1670" s="102" t="n"/>
      <c r="AR1670" s="102" t="n"/>
    </row>
    <row r="1671">
      <c r="D1671" s="102" t="n"/>
      <c r="E1671" s="102" t="n"/>
      <c r="F1671" s="102" t="n"/>
      <c r="G1671" s="102" t="n"/>
      <c r="H1671" s="102" t="n"/>
      <c r="I1671" s="102" t="n"/>
      <c r="J1671" s="102" t="n"/>
      <c r="K1671" s="102" t="n"/>
      <c r="L1671" s="102" t="n"/>
      <c r="M1671" s="102" t="n"/>
      <c r="N1671" s="102" t="n"/>
      <c r="O1671" s="102" t="n"/>
      <c r="P1671" s="102" t="n"/>
      <c r="Q1671" s="102" t="n"/>
      <c r="R1671" s="102" t="n"/>
      <c r="S1671" s="102" t="n"/>
      <c r="T1671" s="102" t="n"/>
      <c r="U1671" s="102" t="n"/>
      <c r="V1671" s="102" t="n"/>
      <c r="W1671" s="102" t="n"/>
      <c r="X1671" s="102" t="n"/>
      <c r="Y1671" s="102" t="n"/>
      <c r="Z1671" s="102" t="n"/>
      <c r="AA1671" s="102" t="n"/>
      <c r="AB1671" s="102" t="n"/>
      <c r="AC1671" s="102" t="n"/>
      <c r="AD1671" s="102" t="n"/>
      <c r="AE1671" s="102" t="n"/>
      <c r="AF1671" s="102" t="n"/>
      <c r="AG1671" s="102" t="n"/>
      <c r="AH1671" s="102" t="n"/>
      <c r="AI1671" s="102" t="n"/>
      <c r="AJ1671" s="102" t="n"/>
      <c r="AK1671" s="102" t="n"/>
      <c r="AL1671" s="102" t="n"/>
      <c r="AM1671" s="102" t="n"/>
      <c r="AN1671" s="102" t="n"/>
      <c r="AO1671" s="102" t="n"/>
      <c r="AP1671" s="102" t="n"/>
      <c r="AQ1671" s="102" t="n"/>
      <c r="AR1671" s="102" t="n"/>
    </row>
    <row r="1672">
      <c r="D1672" s="102" t="n"/>
      <c r="E1672" s="102" t="n"/>
      <c r="F1672" s="102" t="n"/>
      <c r="G1672" s="102" t="n"/>
      <c r="H1672" s="102" t="n"/>
      <c r="I1672" s="102" t="n"/>
      <c r="J1672" s="102" t="n"/>
      <c r="K1672" s="102" t="n"/>
      <c r="L1672" s="102" t="n"/>
      <c r="M1672" s="102" t="n"/>
      <c r="N1672" s="102" t="n"/>
      <c r="O1672" s="102" t="n"/>
      <c r="P1672" s="102" t="n"/>
      <c r="Q1672" s="102" t="n"/>
      <c r="R1672" s="102" t="n"/>
      <c r="S1672" s="102" t="n"/>
      <c r="T1672" s="102" t="n"/>
      <c r="U1672" s="102" t="n"/>
      <c r="V1672" s="102" t="n"/>
      <c r="W1672" s="102" t="n"/>
      <c r="X1672" s="102" t="n"/>
      <c r="Y1672" s="102" t="n"/>
      <c r="Z1672" s="102" t="n"/>
      <c r="AA1672" s="102" t="n"/>
      <c r="AB1672" s="102" t="n"/>
      <c r="AC1672" s="102" t="n"/>
      <c r="AD1672" s="102" t="n"/>
      <c r="AE1672" s="102" t="n"/>
      <c r="AF1672" s="102" t="n"/>
      <c r="AG1672" s="102" t="n"/>
      <c r="AH1672" s="102" t="n"/>
      <c r="AI1672" s="102" t="n"/>
      <c r="AJ1672" s="102" t="n"/>
      <c r="AK1672" s="102" t="n"/>
      <c r="AL1672" s="102" t="n"/>
      <c r="AM1672" s="102" t="n"/>
      <c r="AN1672" s="102" t="n"/>
      <c r="AO1672" s="102" t="n"/>
      <c r="AP1672" s="102" t="n"/>
      <c r="AQ1672" s="102" t="n"/>
      <c r="AR1672" s="102" t="n"/>
    </row>
    <row r="1673">
      <c r="D1673" s="102" t="n"/>
      <c r="E1673" s="102" t="n"/>
      <c r="F1673" s="102" t="n"/>
      <c r="G1673" s="102" t="n"/>
      <c r="H1673" s="102" t="n"/>
      <c r="I1673" s="102" t="n"/>
      <c r="J1673" s="102" t="n"/>
      <c r="K1673" s="102" t="n"/>
      <c r="L1673" s="102" t="n"/>
      <c r="M1673" s="102" t="n"/>
      <c r="N1673" s="102" t="n"/>
      <c r="O1673" s="102" t="n"/>
      <c r="P1673" s="102" t="n"/>
      <c r="Q1673" s="102" t="n"/>
      <c r="R1673" s="102" t="n"/>
      <c r="S1673" s="102" t="n"/>
      <c r="T1673" s="102" t="n"/>
      <c r="U1673" s="102" t="n"/>
      <c r="V1673" s="102" t="n"/>
      <c r="W1673" s="102" t="n"/>
      <c r="X1673" s="102" t="n"/>
      <c r="Y1673" s="102" t="n"/>
      <c r="Z1673" s="102" t="n"/>
      <c r="AA1673" s="102" t="n"/>
      <c r="AB1673" s="102" t="n"/>
      <c r="AC1673" s="102" t="n"/>
      <c r="AD1673" s="102" t="n"/>
      <c r="AE1673" s="102" t="n"/>
      <c r="AF1673" s="102" t="n"/>
      <c r="AG1673" s="102" t="n"/>
      <c r="AH1673" s="102" t="n"/>
      <c r="AI1673" s="102" t="n"/>
      <c r="AJ1673" s="102" t="n"/>
      <c r="AK1673" s="102" t="n"/>
      <c r="AL1673" s="102" t="n"/>
      <c r="AM1673" s="102" t="n"/>
      <c r="AN1673" s="102" t="n"/>
      <c r="AO1673" s="102" t="n"/>
      <c r="AP1673" s="102" t="n"/>
      <c r="AQ1673" s="102" t="n"/>
      <c r="AR1673" s="102" t="n"/>
    </row>
    <row r="1674">
      <c r="D1674" s="160" t="n"/>
      <c r="E1674" s="160" t="n"/>
      <c r="F1674" s="160" t="n"/>
      <c r="G1674" s="160" t="n"/>
      <c r="H1674" s="160" t="n"/>
      <c r="I1674" s="160" t="n"/>
      <c r="J1674" s="160" t="n"/>
      <c r="K1674" s="160" t="n"/>
      <c r="L1674" s="160" t="n"/>
      <c r="M1674" s="160" t="n"/>
      <c r="N1674" s="160" t="n"/>
      <c r="O1674" s="160" t="n"/>
      <c r="P1674" s="160" t="n"/>
      <c r="Q1674" s="160" t="n"/>
      <c r="R1674" s="160" t="n"/>
      <c r="S1674" s="160" t="n"/>
      <c r="T1674" s="160" t="n"/>
      <c r="U1674" s="160" t="n"/>
      <c r="V1674" s="160" t="n"/>
      <c r="W1674" s="160" t="n"/>
      <c r="X1674" s="160" t="n"/>
      <c r="Y1674" s="160" t="n"/>
      <c r="Z1674" s="160" t="n"/>
      <c r="AA1674" s="160" t="n"/>
      <c r="AB1674" s="160" t="n"/>
      <c r="AC1674" s="160" t="n"/>
      <c r="AD1674" s="160" t="n"/>
      <c r="AE1674" s="160" t="n"/>
      <c r="AF1674" s="160" t="n"/>
      <c r="AG1674" s="160" t="n"/>
      <c r="AH1674" s="160" t="n"/>
      <c r="AI1674" s="160" t="n"/>
      <c r="AJ1674" s="160" t="n"/>
      <c r="AK1674" s="160" t="n"/>
      <c r="AL1674" s="160" t="n"/>
      <c r="AM1674" s="160" t="n"/>
      <c r="AN1674" s="160" t="n"/>
      <c r="AO1674" s="160" t="n"/>
      <c r="AP1674" s="160" t="n"/>
      <c r="AQ1674" s="160" t="n"/>
      <c r="AR1674" s="160" t="n"/>
    </row>
    <row r="1677">
      <c r="A1677" s="2">
        <f>IF($A1670="","","   projections")</f>
        <v/>
      </c>
      <c r="B1677" s="158">
        <f>IF($A1670="",0,COUNT($E1678:$AR1678))</f>
        <v/>
      </c>
      <c r="C1677" s="159">
        <f>IF($B1677=0,0,MAX($E1678:$AR1678))</f>
        <v/>
      </c>
      <c r="D1677" s="101">
        <f>BDS($A1670,FLD_PROJ,"headers=y","startcol=1","endcol=3","dir=h")</f>
        <v/>
      </c>
      <c r="E1677" s="102" t="n"/>
      <c r="F1677" s="102" t="n"/>
      <c r="G1677" s="102" t="n"/>
      <c r="H1677" s="102" t="n"/>
      <c r="I1677" s="102" t="n"/>
      <c r="J1677" s="102" t="n"/>
      <c r="K1677" s="102" t="n"/>
      <c r="L1677" s="102" t="n"/>
      <c r="M1677" s="102" t="n"/>
      <c r="N1677" s="102" t="n"/>
      <c r="O1677" s="102" t="n"/>
      <c r="P1677" s="102" t="n"/>
      <c r="Q1677" s="102" t="n"/>
      <c r="R1677" s="102" t="n"/>
      <c r="S1677" s="102" t="n"/>
      <c r="T1677" s="102" t="n"/>
      <c r="U1677" s="102" t="n"/>
      <c r="V1677" s="102" t="n"/>
      <c r="W1677" s="102" t="n"/>
      <c r="X1677" s="102" t="n"/>
      <c r="Y1677" s="102" t="n"/>
      <c r="Z1677" s="102" t="n"/>
      <c r="AA1677" s="102" t="n"/>
      <c r="AB1677" s="102" t="n"/>
      <c r="AC1677" s="102" t="n"/>
      <c r="AD1677" s="102" t="n"/>
      <c r="AE1677" s="102" t="n"/>
      <c r="AF1677" s="102" t="n"/>
      <c r="AG1677" s="102" t="n"/>
      <c r="AH1677" s="102" t="n"/>
      <c r="AI1677" s="102" t="n"/>
      <c r="AJ1677" s="102" t="n"/>
      <c r="AK1677" s="102" t="n"/>
      <c r="AL1677" s="102" t="n"/>
      <c r="AM1677" s="102" t="n"/>
      <c r="AN1677" s="102" t="n"/>
      <c r="AO1677" s="102" t="n"/>
      <c r="AP1677" s="102" t="n"/>
      <c r="AQ1677" s="102" t="n"/>
      <c r="AR1677" s="102" t="n"/>
    </row>
    <row r="1678">
      <c r="D1678" s="102" t="n"/>
      <c r="E1678" s="102" t="n"/>
      <c r="F1678" s="102" t="n"/>
      <c r="G1678" s="102" t="n"/>
      <c r="H1678" s="102" t="n"/>
      <c r="I1678" s="102" t="n"/>
      <c r="J1678" s="102" t="n"/>
      <c r="K1678" s="102" t="n"/>
      <c r="L1678" s="102" t="n"/>
      <c r="M1678" s="102" t="n"/>
      <c r="N1678" s="102" t="n"/>
      <c r="O1678" s="102" t="n"/>
      <c r="P1678" s="102" t="n"/>
      <c r="Q1678" s="102" t="n"/>
      <c r="R1678" s="102" t="n"/>
      <c r="S1678" s="102" t="n"/>
      <c r="T1678" s="102" t="n"/>
      <c r="U1678" s="102" t="n"/>
      <c r="V1678" s="102" t="n"/>
      <c r="W1678" s="102" t="n"/>
      <c r="X1678" s="102" t="n"/>
      <c r="Y1678" s="102" t="n"/>
      <c r="Z1678" s="102" t="n"/>
      <c r="AA1678" s="102" t="n"/>
      <c r="AB1678" s="102" t="n"/>
      <c r="AC1678" s="102" t="n"/>
      <c r="AD1678" s="102" t="n"/>
      <c r="AE1678" s="102" t="n"/>
      <c r="AF1678" s="102" t="n"/>
      <c r="AG1678" s="102" t="n"/>
      <c r="AH1678" s="102" t="n"/>
      <c r="AI1678" s="102" t="n"/>
      <c r="AJ1678" s="102" t="n"/>
      <c r="AK1678" s="102" t="n"/>
      <c r="AL1678" s="102" t="n"/>
      <c r="AM1678" s="102" t="n"/>
      <c r="AN1678" s="102" t="n"/>
      <c r="AO1678" s="102" t="n"/>
      <c r="AP1678" s="102" t="n"/>
      <c r="AQ1678" s="102" t="n"/>
      <c r="AR1678" s="102" t="n"/>
    </row>
    <row r="1679">
      <c r="D1679" s="160" t="n"/>
      <c r="E1679" s="160" t="n"/>
      <c r="F1679" s="160" t="n"/>
      <c r="G1679" s="160" t="n"/>
      <c r="H1679" s="160" t="n"/>
      <c r="I1679" s="160" t="n"/>
      <c r="J1679" s="160" t="n"/>
      <c r="K1679" s="160" t="n"/>
      <c r="L1679" s="160" t="n"/>
      <c r="M1679" s="160" t="n"/>
      <c r="N1679" s="160" t="n"/>
      <c r="O1679" s="160" t="n"/>
      <c r="P1679" s="160" t="n"/>
      <c r="Q1679" s="160" t="n"/>
      <c r="R1679" s="160" t="n"/>
      <c r="S1679" s="160" t="n"/>
      <c r="T1679" s="160" t="n"/>
      <c r="U1679" s="160" t="n"/>
      <c r="V1679" s="160" t="n"/>
      <c r="W1679" s="160" t="n"/>
      <c r="X1679" s="160" t="n"/>
      <c r="Y1679" s="160" t="n"/>
      <c r="Z1679" s="160" t="n"/>
      <c r="AA1679" s="160" t="n"/>
      <c r="AB1679" s="160" t="n"/>
      <c r="AC1679" s="160" t="n"/>
      <c r="AD1679" s="160" t="n"/>
      <c r="AE1679" s="160" t="n"/>
      <c r="AF1679" s="160" t="n"/>
      <c r="AG1679" s="160" t="n"/>
      <c r="AH1679" s="160" t="n"/>
      <c r="AI1679" s="160" t="n"/>
      <c r="AJ1679" s="160" t="n"/>
      <c r="AK1679" s="160" t="n"/>
      <c r="AL1679" s="160" t="n"/>
      <c r="AM1679" s="160" t="n"/>
      <c r="AN1679" s="160" t="n"/>
      <c r="AO1679" s="160" t="n"/>
      <c r="AP1679" s="160" t="n"/>
      <c r="AQ1679" s="160" t="n"/>
      <c r="AR1679" s="160" t="n"/>
    </row>
    <row r="1681">
      <c r="A1681" s="8">
        <f>IF(HSCEI!$C$18="","",HSCEI!$C$18)</f>
        <v/>
      </c>
      <c r="B1681" s="158">
        <f>IF($A1681="",0,COUNT($E1682:$AR1682))</f>
        <v/>
      </c>
      <c r="C1681" s="159">
        <f>IF($B1681=0,0,MAX($E1682:$AR1682))</f>
        <v/>
      </c>
      <c r="D1681" s="101">
        <f>BDS($A1681,FLD_HIST,"headers=y","startcol=1","endcol=7","dir=h","DVD_START_DT",HIST_FROM,"DVD_END_DT",HIST_TO)</f>
        <v/>
      </c>
      <c r="E1681" s="102" t="n"/>
      <c r="F1681" s="102" t="n"/>
      <c r="G1681" s="102" t="n"/>
      <c r="H1681" s="102" t="n"/>
      <c r="I1681" s="102" t="n"/>
      <c r="J1681" s="102" t="n"/>
      <c r="K1681" s="102" t="n"/>
      <c r="L1681" s="102" t="n"/>
      <c r="M1681" s="102" t="n"/>
      <c r="N1681" s="102" t="n"/>
      <c r="O1681" s="102" t="n"/>
      <c r="P1681" s="102" t="n"/>
      <c r="Q1681" s="102" t="n"/>
      <c r="R1681" s="102" t="n"/>
      <c r="S1681" s="102" t="n"/>
      <c r="T1681" s="102" t="n"/>
      <c r="U1681" s="102" t="n"/>
      <c r="V1681" s="102" t="n"/>
      <c r="W1681" s="102" t="n"/>
      <c r="X1681" s="102" t="n"/>
      <c r="Y1681" s="102" t="n"/>
      <c r="Z1681" s="102" t="n"/>
      <c r="AA1681" s="102" t="n"/>
      <c r="AB1681" s="102" t="n"/>
      <c r="AC1681" s="102" t="n"/>
      <c r="AD1681" s="102" t="n"/>
      <c r="AE1681" s="102" t="n"/>
      <c r="AF1681" s="102" t="n"/>
      <c r="AG1681" s="102" t="n"/>
      <c r="AH1681" s="102" t="n"/>
      <c r="AI1681" s="102" t="n"/>
      <c r="AJ1681" s="102" t="n"/>
      <c r="AK1681" s="102" t="n"/>
      <c r="AL1681" s="102" t="n"/>
      <c r="AM1681" s="102" t="n"/>
      <c r="AN1681" s="102" t="n"/>
      <c r="AO1681" s="102" t="n"/>
      <c r="AP1681" s="102" t="n"/>
      <c r="AQ1681" s="102" t="n"/>
      <c r="AR1681" s="102" t="n"/>
    </row>
    <row r="1682">
      <c r="D1682" s="102" t="n"/>
      <c r="E1682" s="102" t="n"/>
      <c r="F1682" s="102" t="n"/>
      <c r="G1682" s="102" t="n"/>
      <c r="H1682" s="102" t="n"/>
      <c r="I1682" s="102" t="n"/>
      <c r="J1682" s="102" t="n"/>
      <c r="K1682" s="102" t="n"/>
      <c r="L1682" s="102" t="n"/>
      <c r="M1682" s="102" t="n"/>
      <c r="N1682" s="102" t="n"/>
      <c r="O1682" s="102" t="n"/>
      <c r="P1682" s="102" t="n"/>
      <c r="Q1682" s="102" t="n"/>
      <c r="R1682" s="102" t="n"/>
      <c r="S1682" s="102" t="n"/>
      <c r="T1682" s="102" t="n"/>
      <c r="U1682" s="102" t="n"/>
      <c r="V1682" s="102" t="n"/>
      <c r="W1682" s="102" t="n"/>
      <c r="X1682" s="102" t="n"/>
      <c r="Y1682" s="102" t="n"/>
      <c r="Z1682" s="102" t="n"/>
      <c r="AA1682" s="102" t="n"/>
      <c r="AB1682" s="102" t="n"/>
      <c r="AC1682" s="102" t="n"/>
      <c r="AD1682" s="102" t="n"/>
      <c r="AE1682" s="102" t="n"/>
      <c r="AF1682" s="102" t="n"/>
      <c r="AG1682" s="102" t="n"/>
      <c r="AH1682" s="102" t="n"/>
      <c r="AI1682" s="102" t="n"/>
      <c r="AJ1682" s="102" t="n"/>
      <c r="AK1682" s="102" t="n"/>
      <c r="AL1682" s="102" t="n"/>
      <c r="AM1682" s="102" t="n"/>
      <c r="AN1682" s="102" t="n"/>
      <c r="AO1682" s="102" t="n"/>
      <c r="AP1682" s="102" t="n"/>
      <c r="AQ1682" s="102" t="n"/>
      <c r="AR1682" s="102" t="n"/>
    </row>
    <row r="1683">
      <c r="D1683" s="102" t="n"/>
      <c r="E1683" s="102" t="n"/>
      <c r="F1683" s="102" t="n"/>
      <c r="G1683" s="102" t="n"/>
      <c r="H1683" s="102" t="n"/>
      <c r="I1683" s="102" t="n"/>
      <c r="J1683" s="102" t="n"/>
      <c r="K1683" s="102" t="n"/>
      <c r="L1683" s="102" t="n"/>
      <c r="M1683" s="102" t="n"/>
      <c r="N1683" s="102" t="n"/>
      <c r="O1683" s="102" t="n"/>
      <c r="P1683" s="102" t="n"/>
      <c r="Q1683" s="102" t="n"/>
      <c r="R1683" s="102" t="n"/>
      <c r="S1683" s="102" t="n"/>
      <c r="T1683" s="102" t="n"/>
      <c r="U1683" s="102" t="n"/>
      <c r="V1683" s="102" t="n"/>
      <c r="W1683" s="102" t="n"/>
      <c r="X1683" s="102" t="n"/>
      <c r="Y1683" s="102" t="n"/>
      <c r="Z1683" s="102" t="n"/>
      <c r="AA1683" s="102" t="n"/>
      <c r="AB1683" s="102" t="n"/>
      <c r="AC1683" s="102" t="n"/>
      <c r="AD1683" s="102" t="n"/>
      <c r="AE1683" s="102" t="n"/>
      <c r="AF1683" s="102" t="n"/>
      <c r="AG1683" s="102" t="n"/>
      <c r="AH1683" s="102" t="n"/>
      <c r="AI1683" s="102" t="n"/>
      <c r="AJ1683" s="102" t="n"/>
      <c r="AK1683" s="102" t="n"/>
      <c r="AL1683" s="102" t="n"/>
      <c r="AM1683" s="102" t="n"/>
      <c r="AN1683" s="102" t="n"/>
      <c r="AO1683" s="102" t="n"/>
      <c r="AP1683" s="102" t="n"/>
      <c r="AQ1683" s="102" t="n"/>
      <c r="AR1683" s="102" t="n"/>
    </row>
    <row r="1684">
      <c r="D1684" s="102" t="n"/>
      <c r="E1684" s="102" t="n"/>
      <c r="F1684" s="102" t="n"/>
      <c r="G1684" s="102" t="n"/>
      <c r="H1684" s="102" t="n"/>
      <c r="I1684" s="102" t="n"/>
      <c r="J1684" s="102" t="n"/>
      <c r="K1684" s="102" t="n"/>
      <c r="L1684" s="102" t="n"/>
      <c r="M1684" s="102" t="n"/>
      <c r="N1684" s="102" t="n"/>
      <c r="O1684" s="102" t="n"/>
      <c r="P1684" s="102" t="n"/>
      <c r="Q1684" s="102" t="n"/>
      <c r="R1684" s="102" t="n"/>
      <c r="S1684" s="102" t="n"/>
      <c r="T1684" s="102" t="n"/>
      <c r="U1684" s="102" t="n"/>
      <c r="V1684" s="102" t="n"/>
      <c r="W1684" s="102" t="n"/>
      <c r="X1684" s="102" t="n"/>
      <c r="Y1684" s="102" t="n"/>
      <c r="Z1684" s="102" t="n"/>
      <c r="AA1684" s="102" t="n"/>
      <c r="AB1684" s="102" t="n"/>
      <c r="AC1684" s="102" t="n"/>
      <c r="AD1684" s="102" t="n"/>
      <c r="AE1684" s="102" t="n"/>
      <c r="AF1684" s="102" t="n"/>
      <c r="AG1684" s="102" t="n"/>
      <c r="AH1684" s="102" t="n"/>
      <c r="AI1684" s="102" t="n"/>
      <c r="AJ1684" s="102" t="n"/>
      <c r="AK1684" s="102" t="n"/>
      <c r="AL1684" s="102" t="n"/>
      <c r="AM1684" s="102" t="n"/>
      <c r="AN1684" s="102" t="n"/>
      <c r="AO1684" s="102" t="n"/>
      <c r="AP1684" s="102" t="n"/>
      <c r="AQ1684" s="102" t="n"/>
      <c r="AR1684" s="102" t="n"/>
    </row>
    <row r="1685">
      <c r="D1685" s="160" t="n"/>
      <c r="E1685" s="160" t="n"/>
      <c r="F1685" s="160" t="n"/>
      <c r="G1685" s="160" t="n"/>
      <c r="H1685" s="160" t="n"/>
      <c r="I1685" s="160" t="n"/>
      <c r="J1685" s="160" t="n"/>
      <c r="K1685" s="160" t="n"/>
      <c r="L1685" s="160" t="n"/>
      <c r="M1685" s="160" t="n"/>
      <c r="N1685" s="160" t="n"/>
      <c r="O1685" s="160" t="n"/>
      <c r="P1685" s="160" t="n"/>
      <c r="Q1685" s="160" t="n"/>
      <c r="R1685" s="160" t="n"/>
      <c r="S1685" s="160" t="n"/>
      <c r="T1685" s="160" t="n"/>
      <c r="U1685" s="160" t="n"/>
      <c r="V1685" s="160" t="n"/>
      <c r="W1685" s="160" t="n"/>
      <c r="X1685" s="160" t="n"/>
      <c r="Y1685" s="160" t="n"/>
      <c r="Z1685" s="160" t="n"/>
      <c r="AA1685" s="160" t="n"/>
      <c r="AB1685" s="160" t="n"/>
      <c r="AC1685" s="160" t="n"/>
      <c r="AD1685" s="160" t="n"/>
      <c r="AE1685" s="160" t="n"/>
      <c r="AF1685" s="160" t="n"/>
      <c r="AG1685" s="160" t="n"/>
      <c r="AH1685" s="160" t="n"/>
      <c r="AI1685" s="160" t="n"/>
      <c r="AJ1685" s="160" t="n"/>
      <c r="AK1685" s="160" t="n"/>
      <c r="AL1685" s="160" t="n"/>
      <c r="AM1685" s="160" t="n"/>
      <c r="AN1685" s="160" t="n"/>
      <c r="AO1685" s="160" t="n"/>
      <c r="AP1685" s="160" t="n"/>
      <c r="AQ1685" s="160" t="n"/>
      <c r="AR1685" s="160" t="n"/>
    </row>
    <row r="1688">
      <c r="A1688" s="2">
        <f>IF($A1681="","","   projections")</f>
        <v/>
      </c>
      <c r="B1688" s="158">
        <f>IF($A1681="",0,COUNT($E1689:$AR1689))</f>
        <v/>
      </c>
      <c r="C1688" s="159">
        <f>IF($B1688=0,0,MAX($E1689:$AR1689))</f>
        <v/>
      </c>
      <c r="D1688" s="101">
        <f>BDS($A1681,FLD_PROJ,"headers=y","startcol=1","endcol=3","dir=h")</f>
        <v/>
      </c>
      <c r="E1688" s="102" t="n"/>
      <c r="F1688" s="102" t="n"/>
      <c r="G1688" s="102" t="n"/>
      <c r="H1688" s="102" t="n"/>
      <c r="I1688" s="102" t="n"/>
      <c r="J1688" s="102" t="n"/>
      <c r="K1688" s="102" t="n"/>
      <c r="L1688" s="102" t="n"/>
      <c r="M1688" s="102" t="n"/>
      <c r="N1688" s="102" t="n"/>
      <c r="O1688" s="102" t="n"/>
      <c r="P1688" s="102" t="n"/>
      <c r="Q1688" s="102" t="n"/>
      <c r="R1688" s="102" t="n"/>
      <c r="S1688" s="102" t="n"/>
      <c r="T1688" s="102" t="n"/>
      <c r="U1688" s="102" t="n"/>
      <c r="V1688" s="102" t="n"/>
      <c r="W1688" s="102" t="n"/>
      <c r="X1688" s="102" t="n"/>
      <c r="Y1688" s="102" t="n"/>
      <c r="Z1688" s="102" t="n"/>
      <c r="AA1688" s="102" t="n"/>
      <c r="AB1688" s="102" t="n"/>
      <c r="AC1688" s="102" t="n"/>
      <c r="AD1688" s="102" t="n"/>
      <c r="AE1688" s="102" t="n"/>
      <c r="AF1688" s="102" t="n"/>
      <c r="AG1688" s="102" t="n"/>
      <c r="AH1688" s="102" t="n"/>
      <c r="AI1688" s="102" t="n"/>
      <c r="AJ1688" s="102" t="n"/>
      <c r="AK1688" s="102" t="n"/>
      <c r="AL1688" s="102" t="n"/>
      <c r="AM1688" s="102" t="n"/>
      <c r="AN1688" s="102" t="n"/>
      <c r="AO1688" s="102" t="n"/>
      <c r="AP1688" s="102" t="n"/>
      <c r="AQ1688" s="102" t="n"/>
      <c r="AR1688" s="102" t="n"/>
    </row>
    <row r="1689">
      <c r="D1689" s="102" t="n"/>
      <c r="E1689" s="102" t="n"/>
      <c r="F1689" s="102" t="n"/>
      <c r="G1689" s="102" t="n"/>
      <c r="H1689" s="102" t="n"/>
      <c r="I1689" s="102" t="n"/>
      <c r="J1689" s="102" t="n"/>
      <c r="K1689" s="102" t="n"/>
      <c r="L1689" s="102" t="n"/>
      <c r="M1689" s="102" t="n"/>
      <c r="N1689" s="102" t="n"/>
      <c r="O1689" s="102" t="n"/>
      <c r="P1689" s="102" t="n"/>
      <c r="Q1689" s="102" t="n"/>
      <c r="R1689" s="102" t="n"/>
      <c r="S1689" s="102" t="n"/>
      <c r="T1689" s="102" t="n"/>
      <c r="U1689" s="102" t="n"/>
      <c r="V1689" s="102" t="n"/>
      <c r="W1689" s="102" t="n"/>
      <c r="X1689" s="102" t="n"/>
      <c r="Y1689" s="102" t="n"/>
      <c r="Z1689" s="102" t="n"/>
      <c r="AA1689" s="102" t="n"/>
      <c r="AB1689" s="102" t="n"/>
      <c r="AC1689" s="102" t="n"/>
      <c r="AD1689" s="102" t="n"/>
      <c r="AE1689" s="102" t="n"/>
      <c r="AF1689" s="102" t="n"/>
      <c r="AG1689" s="102" t="n"/>
      <c r="AH1689" s="102" t="n"/>
      <c r="AI1689" s="102" t="n"/>
      <c r="AJ1689" s="102" t="n"/>
      <c r="AK1689" s="102" t="n"/>
      <c r="AL1689" s="102" t="n"/>
      <c r="AM1689" s="102" t="n"/>
      <c r="AN1689" s="102" t="n"/>
      <c r="AO1689" s="102" t="n"/>
      <c r="AP1689" s="102" t="n"/>
      <c r="AQ1689" s="102" t="n"/>
      <c r="AR1689" s="102" t="n"/>
    </row>
    <row r="1690">
      <c r="D1690" s="160" t="n"/>
      <c r="E1690" s="160" t="n"/>
      <c r="F1690" s="160" t="n"/>
      <c r="G1690" s="160" t="n"/>
      <c r="H1690" s="160" t="n"/>
      <c r="I1690" s="160" t="n"/>
      <c r="J1690" s="160" t="n"/>
      <c r="K1690" s="160" t="n"/>
      <c r="L1690" s="160" t="n"/>
      <c r="M1690" s="160" t="n"/>
      <c r="N1690" s="160" t="n"/>
      <c r="O1690" s="160" t="n"/>
      <c r="P1690" s="160" t="n"/>
      <c r="Q1690" s="160" t="n"/>
      <c r="R1690" s="160" t="n"/>
      <c r="S1690" s="160" t="n"/>
      <c r="T1690" s="160" t="n"/>
      <c r="U1690" s="160" t="n"/>
      <c r="V1690" s="160" t="n"/>
      <c r="W1690" s="160" t="n"/>
      <c r="X1690" s="160" t="n"/>
      <c r="Y1690" s="160" t="n"/>
      <c r="Z1690" s="160" t="n"/>
      <c r="AA1690" s="160" t="n"/>
      <c r="AB1690" s="160" t="n"/>
      <c r="AC1690" s="160" t="n"/>
      <c r="AD1690" s="160" t="n"/>
      <c r="AE1690" s="160" t="n"/>
      <c r="AF1690" s="160" t="n"/>
      <c r="AG1690" s="160" t="n"/>
      <c r="AH1690" s="160" t="n"/>
      <c r="AI1690" s="160" t="n"/>
      <c r="AJ1690" s="160" t="n"/>
      <c r="AK1690" s="160" t="n"/>
      <c r="AL1690" s="160" t="n"/>
      <c r="AM1690" s="160" t="n"/>
      <c r="AN1690" s="160" t="n"/>
      <c r="AO1690" s="160" t="n"/>
      <c r="AP1690" s="160" t="n"/>
      <c r="AQ1690" s="160" t="n"/>
      <c r="AR1690" s="160" t="n"/>
    </row>
    <row r="1692">
      <c r="A1692" s="8">
        <f>IF(HSCEI!$C$19="","",HSCEI!$C$19)</f>
        <v/>
      </c>
      <c r="B1692" s="158">
        <f>IF($A1692="",0,COUNT($E1693:$AR1693))</f>
        <v/>
      </c>
      <c r="C1692" s="159">
        <f>IF($B1692=0,0,MAX($E1693:$AR1693))</f>
        <v/>
      </c>
      <c r="D1692" s="101">
        <f>BDS($A1692,FLD_HIST,"headers=y","startcol=1","endcol=7","dir=h","DVD_START_DT",HIST_FROM,"DVD_END_DT",HIST_TO)</f>
        <v/>
      </c>
      <c r="E1692" s="102" t="n"/>
      <c r="F1692" s="102" t="n"/>
      <c r="G1692" s="102" t="n"/>
      <c r="H1692" s="102" t="n"/>
      <c r="I1692" s="102" t="n"/>
      <c r="J1692" s="102" t="n"/>
      <c r="K1692" s="102" t="n"/>
      <c r="L1692" s="102" t="n"/>
      <c r="M1692" s="102" t="n"/>
      <c r="N1692" s="102" t="n"/>
      <c r="O1692" s="102" t="n"/>
      <c r="P1692" s="102" t="n"/>
      <c r="Q1692" s="102" t="n"/>
      <c r="R1692" s="102" t="n"/>
      <c r="S1692" s="102" t="n"/>
      <c r="T1692" s="102" t="n"/>
      <c r="U1692" s="102" t="n"/>
      <c r="V1692" s="102" t="n"/>
      <c r="W1692" s="102" t="n"/>
      <c r="X1692" s="102" t="n"/>
      <c r="Y1692" s="102" t="n"/>
      <c r="Z1692" s="102" t="n"/>
      <c r="AA1692" s="102" t="n"/>
      <c r="AB1692" s="102" t="n"/>
      <c r="AC1692" s="102" t="n"/>
      <c r="AD1692" s="102" t="n"/>
      <c r="AE1692" s="102" t="n"/>
      <c r="AF1692" s="102" t="n"/>
      <c r="AG1692" s="102" t="n"/>
      <c r="AH1692" s="102" t="n"/>
      <c r="AI1692" s="102" t="n"/>
      <c r="AJ1692" s="102" t="n"/>
      <c r="AK1692" s="102" t="n"/>
      <c r="AL1692" s="102" t="n"/>
      <c r="AM1692" s="102" t="n"/>
      <c r="AN1692" s="102" t="n"/>
      <c r="AO1692" s="102" t="n"/>
      <c r="AP1692" s="102" t="n"/>
      <c r="AQ1692" s="102" t="n"/>
      <c r="AR1692" s="102" t="n"/>
    </row>
    <row r="1693">
      <c r="D1693" s="102" t="n"/>
      <c r="E1693" s="102" t="n"/>
      <c r="F1693" s="102" t="n"/>
      <c r="G1693" s="102" t="n"/>
      <c r="H1693" s="102" t="n"/>
      <c r="I1693" s="102" t="n"/>
      <c r="J1693" s="102" t="n"/>
      <c r="K1693" s="102" t="n"/>
      <c r="L1693" s="102" t="n"/>
      <c r="M1693" s="102" t="n"/>
      <c r="N1693" s="102" t="n"/>
      <c r="O1693" s="102" t="n"/>
      <c r="P1693" s="102" t="n"/>
      <c r="Q1693" s="102" t="n"/>
      <c r="R1693" s="102" t="n"/>
      <c r="S1693" s="102" t="n"/>
      <c r="T1693" s="102" t="n"/>
      <c r="U1693" s="102" t="n"/>
      <c r="V1693" s="102" t="n"/>
      <c r="W1693" s="102" t="n"/>
      <c r="X1693" s="102" t="n"/>
      <c r="Y1693" s="102" t="n"/>
      <c r="Z1693" s="102" t="n"/>
      <c r="AA1693" s="102" t="n"/>
      <c r="AB1693" s="102" t="n"/>
      <c r="AC1693" s="102" t="n"/>
      <c r="AD1693" s="102" t="n"/>
      <c r="AE1693" s="102" t="n"/>
      <c r="AF1693" s="102" t="n"/>
      <c r="AG1693" s="102" t="n"/>
      <c r="AH1693" s="102" t="n"/>
      <c r="AI1693" s="102" t="n"/>
      <c r="AJ1693" s="102" t="n"/>
      <c r="AK1693" s="102" t="n"/>
      <c r="AL1693" s="102" t="n"/>
      <c r="AM1693" s="102" t="n"/>
      <c r="AN1693" s="102" t="n"/>
      <c r="AO1693" s="102" t="n"/>
      <c r="AP1693" s="102" t="n"/>
      <c r="AQ1693" s="102" t="n"/>
      <c r="AR1693" s="102" t="n"/>
    </row>
    <row r="1694">
      <c r="D1694" s="102" t="n"/>
      <c r="E1694" s="102" t="n"/>
      <c r="F1694" s="102" t="n"/>
      <c r="G1694" s="102" t="n"/>
      <c r="H1694" s="102" t="n"/>
      <c r="I1694" s="102" t="n"/>
      <c r="J1694" s="102" t="n"/>
      <c r="K1694" s="102" t="n"/>
      <c r="L1694" s="102" t="n"/>
      <c r="M1694" s="102" t="n"/>
      <c r="N1694" s="102" t="n"/>
      <c r="O1694" s="102" t="n"/>
      <c r="P1694" s="102" t="n"/>
      <c r="Q1694" s="102" t="n"/>
      <c r="R1694" s="102" t="n"/>
      <c r="S1694" s="102" t="n"/>
      <c r="T1694" s="102" t="n"/>
      <c r="U1694" s="102" t="n"/>
      <c r="V1694" s="102" t="n"/>
      <c r="W1694" s="102" t="n"/>
      <c r="X1694" s="102" t="n"/>
      <c r="Y1694" s="102" t="n"/>
      <c r="Z1694" s="102" t="n"/>
      <c r="AA1694" s="102" t="n"/>
      <c r="AB1694" s="102" t="n"/>
      <c r="AC1694" s="102" t="n"/>
      <c r="AD1694" s="102" t="n"/>
      <c r="AE1694" s="102" t="n"/>
      <c r="AF1694" s="102" t="n"/>
      <c r="AG1694" s="102" t="n"/>
      <c r="AH1694" s="102" t="n"/>
      <c r="AI1694" s="102" t="n"/>
      <c r="AJ1694" s="102" t="n"/>
      <c r="AK1694" s="102" t="n"/>
      <c r="AL1694" s="102" t="n"/>
      <c r="AM1694" s="102" t="n"/>
      <c r="AN1694" s="102" t="n"/>
      <c r="AO1694" s="102" t="n"/>
      <c r="AP1694" s="102" t="n"/>
      <c r="AQ1694" s="102" t="n"/>
      <c r="AR1694" s="102" t="n"/>
    </row>
    <row r="1695">
      <c r="D1695" s="102" t="n"/>
      <c r="E1695" s="102" t="n"/>
      <c r="F1695" s="102" t="n"/>
      <c r="G1695" s="102" t="n"/>
      <c r="H1695" s="102" t="n"/>
      <c r="I1695" s="102" t="n"/>
      <c r="J1695" s="102" t="n"/>
      <c r="K1695" s="102" t="n"/>
      <c r="L1695" s="102" t="n"/>
      <c r="M1695" s="102" t="n"/>
      <c r="N1695" s="102" t="n"/>
      <c r="O1695" s="102" t="n"/>
      <c r="P1695" s="102" t="n"/>
      <c r="Q1695" s="102" t="n"/>
      <c r="R1695" s="102" t="n"/>
      <c r="S1695" s="102" t="n"/>
      <c r="T1695" s="102" t="n"/>
      <c r="U1695" s="102" t="n"/>
      <c r="V1695" s="102" t="n"/>
      <c r="W1695" s="102" t="n"/>
      <c r="X1695" s="102" t="n"/>
      <c r="Y1695" s="102" t="n"/>
      <c r="Z1695" s="102" t="n"/>
      <c r="AA1695" s="102" t="n"/>
      <c r="AB1695" s="102" t="n"/>
      <c r="AC1695" s="102" t="n"/>
      <c r="AD1695" s="102" t="n"/>
      <c r="AE1695" s="102" t="n"/>
      <c r="AF1695" s="102" t="n"/>
      <c r="AG1695" s="102" t="n"/>
      <c r="AH1695" s="102" t="n"/>
      <c r="AI1695" s="102" t="n"/>
      <c r="AJ1695" s="102" t="n"/>
      <c r="AK1695" s="102" t="n"/>
      <c r="AL1695" s="102" t="n"/>
      <c r="AM1695" s="102" t="n"/>
      <c r="AN1695" s="102" t="n"/>
      <c r="AO1695" s="102" t="n"/>
      <c r="AP1695" s="102" t="n"/>
      <c r="AQ1695" s="102" t="n"/>
      <c r="AR1695" s="102" t="n"/>
    </row>
    <row r="1696">
      <c r="D1696" s="160" t="n"/>
      <c r="E1696" s="160" t="n"/>
      <c r="F1696" s="160" t="n"/>
      <c r="G1696" s="160" t="n"/>
      <c r="H1696" s="160" t="n"/>
      <c r="I1696" s="160" t="n"/>
      <c r="J1696" s="160" t="n"/>
      <c r="K1696" s="160" t="n"/>
      <c r="L1696" s="160" t="n"/>
      <c r="M1696" s="160" t="n"/>
      <c r="N1696" s="160" t="n"/>
      <c r="O1696" s="160" t="n"/>
      <c r="P1696" s="160" t="n"/>
      <c r="Q1696" s="160" t="n"/>
      <c r="R1696" s="160" t="n"/>
      <c r="S1696" s="160" t="n"/>
      <c r="T1696" s="160" t="n"/>
      <c r="U1696" s="160" t="n"/>
      <c r="V1696" s="160" t="n"/>
      <c r="W1696" s="160" t="n"/>
      <c r="X1696" s="160" t="n"/>
      <c r="Y1696" s="160" t="n"/>
      <c r="Z1696" s="160" t="n"/>
      <c r="AA1696" s="160" t="n"/>
      <c r="AB1696" s="160" t="n"/>
      <c r="AC1696" s="160" t="n"/>
      <c r="AD1696" s="160" t="n"/>
      <c r="AE1696" s="160" t="n"/>
      <c r="AF1696" s="160" t="n"/>
      <c r="AG1696" s="160" t="n"/>
      <c r="AH1696" s="160" t="n"/>
      <c r="AI1696" s="160" t="n"/>
      <c r="AJ1696" s="160" t="n"/>
      <c r="AK1696" s="160" t="n"/>
      <c r="AL1696" s="160" t="n"/>
      <c r="AM1696" s="160" t="n"/>
      <c r="AN1696" s="160" t="n"/>
      <c r="AO1696" s="160" t="n"/>
      <c r="AP1696" s="160" t="n"/>
      <c r="AQ1696" s="160" t="n"/>
      <c r="AR1696" s="160" t="n"/>
    </row>
    <row r="1699">
      <c r="A1699" s="2">
        <f>IF($A1692="","","   projections")</f>
        <v/>
      </c>
      <c r="B1699" s="158">
        <f>IF($A1692="",0,COUNT($E1700:$AR1700))</f>
        <v/>
      </c>
      <c r="C1699" s="159">
        <f>IF($B1699=0,0,MAX($E1700:$AR1700))</f>
        <v/>
      </c>
      <c r="D1699" s="101">
        <f>BDS($A1692,FLD_PROJ,"headers=y","startcol=1","endcol=3","dir=h")</f>
        <v/>
      </c>
      <c r="E1699" s="102" t="n"/>
      <c r="F1699" s="102" t="n"/>
      <c r="G1699" s="102" t="n"/>
      <c r="H1699" s="102" t="n"/>
      <c r="I1699" s="102" t="n"/>
      <c r="J1699" s="102" t="n"/>
      <c r="K1699" s="102" t="n"/>
      <c r="L1699" s="102" t="n"/>
      <c r="M1699" s="102" t="n"/>
      <c r="N1699" s="102" t="n"/>
      <c r="O1699" s="102" t="n"/>
      <c r="P1699" s="102" t="n"/>
      <c r="Q1699" s="102" t="n"/>
      <c r="R1699" s="102" t="n"/>
      <c r="S1699" s="102" t="n"/>
      <c r="T1699" s="102" t="n"/>
      <c r="U1699" s="102" t="n"/>
      <c r="V1699" s="102" t="n"/>
      <c r="W1699" s="102" t="n"/>
      <c r="X1699" s="102" t="n"/>
      <c r="Y1699" s="102" t="n"/>
      <c r="Z1699" s="102" t="n"/>
      <c r="AA1699" s="102" t="n"/>
      <c r="AB1699" s="102" t="n"/>
      <c r="AC1699" s="102" t="n"/>
      <c r="AD1699" s="102" t="n"/>
      <c r="AE1699" s="102" t="n"/>
      <c r="AF1699" s="102" t="n"/>
      <c r="AG1699" s="102" t="n"/>
      <c r="AH1699" s="102" t="n"/>
      <c r="AI1699" s="102" t="n"/>
      <c r="AJ1699" s="102" t="n"/>
      <c r="AK1699" s="102" t="n"/>
      <c r="AL1699" s="102" t="n"/>
      <c r="AM1699" s="102" t="n"/>
      <c r="AN1699" s="102" t="n"/>
      <c r="AO1699" s="102" t="n"/>
      <c r="AP1699" s="102" t="n"/>
      <c r="AQ1699" s="102" t="n"/>
      <c r="AR1699" s="102" t="n"/>
    </row>
    <row r="1700">
      <c r="D1700" s="102" t="n"/>
      <c r="E1700" s="102" t="n"/>
      <c r="F1700" s="102" t="n"/>
      <c r="G1700" s="102" t="n"/>
      <c r="H1700" s="102" t="n"/>
      <c r="I1700" s="102" t="n"/>
      <c r="J1700" s="102" t="n"/>
      <c r="K1700" s="102" t="n"/>
      <c r="L1700" s="102" t="n"/>
      <c r="M1700" s="102" t="n"/>
      <c r="N1700" s="102" t="n"/>
      <c r="O1700" s="102" t="n"/>
      <c r="P1700" s="102" t="n"/>
      <c r="Q1700" s="102" t="n"/>
      <c r="R1700" s="102" t="n"/>
      <c r="S1700" s="102" t="n"/>
      <c r="T1700" s="102" t="n"/>
      <c r="U1700" s="102" t="n"/>
      <c r="V1700" s="102" t="n"/>
      <c r="W1700" s="102" t="n"/>
      <c r="X1700" s="102" t="n"/>
      <c r="Y1700" s="102" t="n"/>
      <c r="Z1700" s="102" t="n"/>
      <c r="AA1700" s="102" t="n"/>
      <c r="AB1700" s="102" t="n"/>
      <c r="AC1700" s="102" t="n"/>
      <c r="AD1700" s="102" t="n"/>
      <c r="AE1700" s="102" t="n"/>
      <c r="AF1700" s="102" t="n"/>
      <c r="AG1700" s="102" t="n"/>
      <c r="AH1700" s="102" t="n"/>
      <c r="AI1700" s="102" t="n"/>
      <c r="AJ1700" s="102" t="n"/>
      <c r="AK1700" s="102" t="n"/>
      <c r="AL1700" s="102" t="n"/>
      <c r="AM1700" s="102" t="n"/>
      <c r="AN1700" s="102" t="n"/>
      <c r="AO1700" s="102" t="n"/>
      <c r="AP1700" s="102" t="n"/>
      <c r="AQ1700" s="102" t="n"/>
      <c r="AR1700" s="102" t="n"/>
    </row>
    <row r="1701">
      <c r="D1701" s="160" t="n"/>
      <c r="E1701" s="160" t="n"/>
      <c r="F1701" s="160" t="n"/>
      <c r="G1701" s="160" t="n"/>
      <c r="H1701" s="160" t="n"/>
      <c r="I1701" s="160" t="n"/>
      <c r="J1701" s="160" t="n"/>
      <c r="K1701" s="160" t="n"/>
      <c r="L1701" s="160" t="n"/>
      <c r="M1701" s="160" t="n"/>
      <c r="N1701" s="160" t="n"/>
      <c r="O1701" s="160" t="n"/>
      <c r="P1701" s="160" t="n"/>
      <c r="Q1701" s="160" t="n"/>
      <c r="R1701" s="160" t="n"/>
      <c r="S1701" s="160" t="n"/>
      <c r="T1701" s="160" t="n"/>
      <c r="U1701" s="160" t="n"/>
      <c r="V1701" s="160" t="n"/>
      <c r="W1701" s="160" t="n"/>
      <c r="X1701" s="160" t="n"/>
      <c r="Y1701" s="160" t="n"/>
      <c r="Z1701" s="160" t="n"/>
      <c r="AA1701" s="160" t="n"/>
      <c r="AB1701" s="160" t="n"/>
      <c r="AC1701" s="160" t="n"/>
      <c r="AD1701" s="160" t="n"/>
      <c r="AE1701" s="160" t="n"/>
      <c r="AF1701" s="160" t="n"/>
      <c r="AG1701" s="160" t="n"/>
      <c r="AH1701" s="160" t="n"/>
      <c r="AI1701" s="160" t="n"/>
      <c r="AJ1701" s="160" t="n"/>
      <c r="AK1701" s="160" t="n"/>
      <c r="AL1701" s="160" t="n"/>
      <c r="AM1701" s="160" t="n"/>
      <c r="AN1701" s="160" t="n"/>
      <c r="AO1701" s="160" t="n"/>
      <c r="AP1701" s="160" t="n"/>
      <c r="AQ1701" s="160" t="n"/>
      <c r="AR1701" s="160" t="n"/>
    </row>
    <row r="1703">
      <c r="A1703" s="8">
        <f>IF(HSCEI!$C$20="","",HSCEI!$C$20)</f>
        <v/>
      </c>
      <c r="B1703" s="158">
        <f>IF($A1703="",0,COUNT($E1704:$AR1704))</f>
        <v/>
      </c>
      <c r="C1703" s="159">
        <f>IF($B1703=0,0,MAX($E1704:$AR1704))</f>
        <v/>
      </c>
      <c r="D1703" s="101">
        <f>BDS($A1703,FLD_HIST,"headers=y","startcol=1","endcol=7","dir=h","DVD_START_DT",HIST_FROM,"DVD_END_DT",HIST_TO)</f>
        <v/>
      </c>
      <c r="E1703" s="102" t="n"/>
      <c r="F1703" s="102" t="n"/>
      <c r="G1703" s="102" t="n"/>
      <c r="H1703" s="102" t="n"/>
      <c r="I1703" s="102" t="n"/>
      <c r="J1703" s="102" t="n"/>
      <c r="K1703" s="102" t="n"/>
      <c r="L1703" s="102" t="n"/>
      <c r="M1703" s="102" t="n"/>
      <c r="N1703" s="102" t="n"/>
      <c r="O1703" s="102" t="n"/>
      <c r="P1703" s="102" t="n"/>
      <c r="Q1703" s="102" t="n"/>
      <c r="R1703" s="102" t="n"/>
      <c r="S1703" s="102" t="n"/>
      <c r="T1703" s="102" t="n"/>
      <c r="U1703" s="102" t="n"/>
      <c r="V1703" s="102" t="n"/>
      <c r="W1703" s="102" t="n"/>
      <c r="X1703" s="102" t="n"/>
      <c r="Y1703" s="102" t="n"/>
      <c r="Z1703" s="102" t="n"/>
      <c r="AA1703" s="102" t="n"/>
      <c r="AB1703" s="102" t="n"/>
      <c r="AC1703" s="102" t="n"/>
      <c r="AD1703" s="102" t="n"/>
      <c r="AE1703" s="102" t="n"/>
      <c r="AF1703" s="102" t="n"/>
      <c r="AG1703" s="102" t="n"/>
      <c r="AH1703" s="102" t="n"/>
      <c r="AI1703" s="102" t="n"/>
      <c r="AJ1703" s="102" t="n"/>
      <c r="AK1703" s="102" t="n"/>
      <c r="AL1703" s="102" t="n"/>
      <c r="AM1703" s="102" t="n"/>
      <c r="AN1703" s="102" t="n"/>
      <c r="AO1703" s="102" t="n"/>
      <c r="AP1703" s="102" t="n"/>
      <c r="AQ1703" s="102" t="n"/>
      <c r="AR1703" s="102" t="n"/>
    </row>
    <row r="1704">
      <c r="D1704" s="102" t="n"/>
      <c r="E1704" s="102" t="n"/>
      <c r="F1704" s="102" t="n"/>
      <c r="G1704" s="102" t="n"/>
      <c r="H1704" s="102" t="n"/>
      <c r="I1704" s="102" t="n"/>
      <c r="J1704" s="102" t="n"/>
      <c r="K1704" s="102" t="n"/>
      <c r="L1704" s="102" t="n"/>
      <c r="M1704" s="102" t="n"/>
      <c r="N1704" s="102" t="n"/>
      <c r="O1704" s="102" t="n"/>
      <c r="P1704" s="102" t="n"/>
      <c r="Q1704" s="102" t="n"/>
      <c r="R1704" s="102" t="n"/>
      <c r="S1704" s="102" t="n"/>
      <c r="T1704" s="102" t="n"/>
      <c r="U1704" s="102" t="n"/>
      <c r="V1704" s="102" t="n"/>
      <c r="W1704" s="102" t="n"/>
      <c r="X1704" s="102" t="n"/>
      <c r="Y1704" s="102" t="n"/>
      <c r="Z1704" s="102" t="n"/>
      <c r="AA1704" s="102" t="n"/>
      <c r="AB1704" s="102" t="n"/>
      <c r="AC1704" s="102" t="n"/>
      <c r="AD1704" s="102" t="n"/>
      <c r="AE1704" s="102" t="n"/>
      <c r="AF1704" s="102" t="n"/>
      <c r="AG1704" s="102" t="n"/>
      <c r="AH1704" s="102" t="n"/>
      <c r="AI1704" s="102" t="n"/>
      <c r="AJ1704" s="102" t="n"/>
      <c r="AK1704" s="102" t="n"/>
      <c r="AL1704" s="102" t="n"/>
      <c r="AM1704" s="102" t="n"/>
      <c r="AN1704" s="102" t="n"/>
      <c r="AO1704" s="102" t="n"/>
      <c r="AP1704" s="102" t="n"/>
      <c r="AQ1704" s="102" t="n"/>
      <c r="AR1704" s="102" t="n"/>
    </row>
    <row r="1705">
      <c r="D1705" s="102" t="n"/>
      <c r="E1705" s="102" t="n"/>
      <c r="F1705" s="102" t="n"/>
      <c r="G1705" s="102" t="n"/>
      <c r="H1705" s="102" t="n"/>
      <c r="I1705" s="102" t="n"/>
      <c r="J1705" s="102" t="n"/>
      <c r="K1705" s="102" t="n"/>
      <c r="L1705" s="102" t="n"/>
      <c r="M1705" s="102" t="n"/>
      <c r="N1705" s="102" t="n"/>
      <c r="O1705" s="102" t="n"/>
      <c r="P1705" s="102" t="n"/>
      <c r="Q1705" s="102" t="n"/>
      <c r="R1705" s="102" t="n"/>
      <c r="S1705" s="102" t="n"/>
      <c r="T1705" s="102" t="n"/>
      <c r="U1705" s="102" t="n"/>
      <c r="V1705" s="102" t="n"/>
      <c r="W1705" s="102" t="n"/>
      <c r="X1705" s="102" t="n"/>
      <c r="Y1705" s="102" t="n"/>
      <c r="Z1705" s="102" t="n"/>
      <c r="AA1705" s="102" t="n"/>
      <c r="AB1705" s="102" t="n"/>
      <c r="AC1705" s="102" t="n"/>
      <c r="AD1705" s="102" t="n"/>
      <c r="AE1705" s="102" t="n"/>
      <c r="AF1705" s="102" t="n"/>
      <c r="AG1705" s="102" t="n"/>
      <c r="AH1705" s="102" t="n"/>
      <c r="AI1705" s="102" t="n"/>
      <c r="AJ1705" s="102" t="n"/>
      <c r="AK1705" s="102" t="n"/>
      <c r="AL1705" s="102" t="n"/>
      <c r="AM1705" s="102" t="n"/>
      <c r="AN1705" s="102" t="n"/>
      <c r="AO1705" s="102" t="n"/>
      <c r="AP1705" s="102" t="n"/>
      <c r="AQ1705" s="102" t="n"/>
      <c r="AR1705" s="102" t="n"/>
    </row>
    <row r="1706">
      <c r="D1706" s="102" t="n"/>
      <c r="E1706" s="102" t="n"/>
      <c r="F1706" s="102" t="n"/>
      <c r="G1706" s="102" t="n"/>
      <c r="H1706" s="102" t="n"/>
      <c r="I1706" s="102" t="n"/>
      <c r="J1706" s="102" t="n"/>
      <c r="K1706" s="102" t="n"/>
      <c r="L1706" s="102" t="n"/>
      <c r="M1706" s="102" t="n"/>
      <c r="N1706" s="102" t="n"/>
      <c r="O1706" s="102" t="n"/>
      <c r="P1706" s="102" t="n"/>
      <c r="Q1706" s="102" t="n"/>
      <c r="R1706" s="102" t="n"/>
      <c r="S1706" s="102" t="n"/>
      <c r="T1706" s="102" t="n"/>
      <c r="U1706" s="102" t="n"/>
      <c r="V1706" s="102" t="n"/>
      <c r="W1706" s="102" t="n"/>
      <c r="X1706" s="102" t="n"/>
      <c r="Y1706" s="102" t="n"/>
      <c r="Z1706" s="102" t="n"/>
      <c r="AA1706" s="102" t="n"/>
      <c r="AB1706" s="102" t="n"/>
      <c r="AC1706" s="102" t="n"/>
      <c r="AD1706" s="102" t="n"/>
      <c r="AE1706" s="102" t="n"/>
      <c r="AF1706" s="102" t="n"/>
      <c r="AG1706" s="102" t="n"/>
      <c r="AH1706" s="102" t="n"/>
      <c r="AI1706" s="102" t="n"/>
      <c r="AJ1706" s="102" t="n"/>
      <c r="AK1706" s="102" t="n"/>
      <c r="AL1706" s="102" t="n"/>
      <c r="AM1706" s="102" t="n"/>
      <c r="AN1706" s="102" t="n"/>
      <c r="AO1706" s="102" t="n"/>
      <c r="AP1706" s="102" t="n"/>
      <c r="AQ1706" s="102" t="n"/>
      <c r="AR1706" s="102" t="n"/>
    </row>
    <row r="1707">
      <c r="D1707" s="160" t="n"/>
      <c r="E1707" s="160" t="n"/>
      <c r="F1707" s="160" t="n"/>
      <c r="G1707" s="160" t="n"/>
      <c r="H1707" s="160" t="n"/>
      <c r="I1707" s="160" t="n"/>
      <c r="J1707" s="160" t="n"/>
      <c r="K1707" s="160" t="n"/>
      <c r="L1707" s="160" t="n"/>
      <c r="M1707" s="160" t="n"/>
      <c r="N1707" s="160" t="n"/>
      <c r="O1707" s="160" t="n"/>
      <c r="P1707" s="160" t="n"/>
      <c r="Q1707" s="160" t="n"/>
      <c r="R1707" s="160" t="n"/>
      <c r="S1707" s="160" t="n"/>
      <c r="T1707" s="160" t="n"/>
      <c r="U1707" s="160" t="n"/>
      <c r="V1707" s="160" t="n"/>
      <c r="W1707" s="160" t="n"/>
      <c r="X1707" s="160" t="n"/>
      <c r="Y1707" s="160" t="n"/>
      <c r="Z1707" s="160" t="n"/>
      <c r="AA1707" s="160" t="n"/>
      <c r="AB1707" s="160" t="n"/>
      <c r="AC1707" s="160" t="n"/>
      <c r="AD1707" s="160" t="n"/>
      <c r="AE1707" s="160" t="n"/>
      <c r="AF1707" s="160" t="n"/>
      <c r="AG1707" s="160" t="n"/>
      <c r="AH1707" s="160" t="n"/>
      <c r="AI1707" s="160" t="n"/>
      <c r="AJ1707" s="160" t="n"/>
      <c r="AK1707" s="160" t="n"/>
      <c r="AL1707" s="160" t="n"/>
      <c r="AM1707" s="160" t="n"/>
      <c r="AN1707" s="160" t="n"/>
      <c r="AO1707" s="160" t="n"/>
      <c r="AP1707" s="160" t="n"/>
      <c r="AQ1707" s="160" t="n"/>
      <c r="AR1707" s="160" t="n"/>
    </row>
    <row r="1710">
      <c r="A1710" s="2">
        <f>IF($A1703="","","   projections")</f>
        <v/>
      </c>
      <c r="B1710" s="158">
        <f>IF($A1703="",0,COUNT($E1711:$AR1711))</f>
        <v/>
      </c>
      <c r="C1710" s="159">
        <f>IF($B1710=0,0,MAX($E1711:$AR1711))</f>
        <v/>
      </c>
      <c r="D1710" s="101">
        <f>BDS($A1703,FLD_PROJ,"headers=y","startcol=1","endcol=3","dir=h")</f>
        <v/>
      </c>
      <c r="E1710" s="102" t="n"/>
      <c r="F1710" s="102" t="n"/>
      <c r="G1710" s="102" t="n"/>
      <c r="H1710" s="102" t="n"/>
      <c r="I1710" s="102" t="n"/>
      <c r="J1710" s="102" t="n"/>
      <c r="K1710" s="102" t="n"/>
      <c r="L1710" s="102" t="n"/>
      <c r="M1710" s="102" t="n"/>
      <c r="N1710" s="102" t="n"/>
      <c r="O1710" s="102" t="n"/>
      <c r="P1710" s="102" t="n"/>
      <c r="Q1710" s="102" t="n"/>
      <c r="R1710" s="102" t="n"/>
      <c r="S1710" s="102" t="n"/>
      <c r="T1710" s="102" t="n"/>
      <c r="U1710" s="102" t="n"/>
      <c r="V1710" s="102" t="n"/>
      <c r="W1710" s="102" t="n"/>
      <c r="X1710" s="102" t="n"/>
      <c r="Y1710" s="102" t="n"/>
      <c r="Z1710" s="102" t="n"/>
      <c r="AA1710" s="102" t="n"/>
      <c r="AB1710" s="102" t="n"/>
      <c r="AC1710" s="102" t="n"/>
      <c r="AD1710" s="102" t="n"/>
      <c r="AE1710" s="102" t="n"/>
      <c r="AF1710" s="102" t="n"/>
      <c r="AG1710" s="102" t="n"/>
      <c r="AH1710" s="102" t="n"/>
      <c r="AI1710" s="102" t="n"/>
      <c r="AJ1710" s="102" t="n"/>
      <c r="AK1710" s="102" t="n"/>
      <c r="AL1710" s="102" t="n"/>
      <c r="AM1710" s="102" t="n"/>
      <c r="AN1710" s="102" t="n"/>
      <c r="AO1710" s="102" t="n"/>
      <c r="AP1710" s="102" t="n"/>
      <c r="AQ1710" s="102" t="n"/>
      <c r="AR1710" s="102" t="n"/>
    </row>
    <row r="1711">
      <c r="D1711" s="102" t="n"/>
      <c r="E1711" s="102" t="n"/>
      <c r="F1711" s="102" t="n"/>
      <c r="G1711" s="102" t="n"/>
      <c r="H1711" s="102" t="n"/>
      <c r="I1711" s="102" t="n"/>
      <c r="J1711" s="102" t="n"/>
      <c r="K1711" s="102" t="n"/>
      <c r="L1711" s="102" t="n"/>
      <c r="M1711" s="102" t="n"/>
      <c r="N1711" s="102" t="n"/>
      <c r="O1711" s="102" t="n"/>
      <c r="P1711" s="102" t="n"/>
      <c r="Q1711" s="102" t="n"/>
      <c r="R1711" s="102" t="n"/>
      <c r="S1711" s="102" t="n"/>
      <c r="T1711" s="102" t="n"/>
      <c r="U1711" s="102" t="n"/>
      <c r="V1711" s="102" t="n"/>
      <c r="W1711" s="102" t="n"/>
      <c r="X1711" s="102" t="n"/>
      <c r="Y1711" s="102" t="n"/>
      <c r="Z1711" s="102" t="n"/>
      <c r="AA1711" s="102" t="n"/>
      <c r="AB1711" s="102" t="n"/>
      <c r="AC1711" s="102" t="n"/>
      <c r="AD1711" s="102" t="n"/>
      <c r="AE1711" s="102" t="n"/>
      <c r="AF1711" s="102" t="n"/>
      <c r="AG1711" s="102" t="n"/>
      <c r="AH1711" s="102" t="n"/>
      <c r="AI1711" s="102" t="n"/>
      <c r="AJ1711" s="102" t="n"/>
      <c r="AK1711" s="102" t="n"/>
      <c r="AL1711" s="102" t="n"/>
      <c r="AM1711" s="102" t="n"/>
      <c r="AN1711" s="102" t="n"/>
      <c r="AO1711" s="102" t="n"/>
      <c r="AP1711" s="102" t="n"/>
      <c r="AQ1711" s="102" t="n"/>
      <c r="AR1711" s="102" t="n"/>
    </row>
    <row r="1712">
      <c r="D1712" s="160" t="n"/>
      <c r="E1712" s="160" t="n"/>
      <c r="F1712" s="160" t="n"/>
      <c r="G1712" s="160" t="n"/>
      <c r="H1712" s="160" t="n"/>
      <c r="I1712" s="160" t="n"/>
      <c r="J1712" s="160" t="n"/>
      <c r="K1712" s="160" t="n"/>
      <c r="L1712" s="160" t="n"/>
      <c r="M1712" s="160" t="n"/>
      <c r="N1712" s="160" t="n"/>
      <c r="O1712" s="160" t="n"/>
      <c r="P1712" s="160" t="n"/>
      <c r="Q1712" s="160" t="n"/>
      <c r="R1712" s="160" t="n"/>
      <c r="S1712" s="160" t="n"/>
      <c r="T1712" s="160" t="n"/>
      <c r="U1712" s="160" t="n"/>
      <c r="V1712" s="160" t="n"/>
      <c r="W1712" s="160" t="n"/>
      <c r="X1712" s="160" t="n"/>
      <c r="Y1712" s="160" t="n"/>
      <c r="Z1712" s="160" t="n"/>
      <c r="AA1712" s="160" t="n"/>
      <c r="AB1712" s="160" t="n"/>
      <c r="AC1712" s="160" t="n"/>
      <c r="AD1712" s="160" t="n"/>
      <c r="AE1712" s="160" t="n"/>
      <c r="AF1712" s="160" t="n"/>
      <c r="AG1712" s="160" t="n"/>
      <c r="AH1712" s="160" t="n"/>
      <c r="AI1712" s="160" t="n"/>
      <c r="AJ1712" s="160" t="n"/>
      <c r="AK1712" s="160" t="n"/>
      <c r="AL1712" s="160" t="n"/>
      <c r="AM1712" s="160" t="n"/>
      <c r="AN1712" s="160" t="n"/>
      <c r="AO1712" s="160" t="n"/>
      <c r="AP1712" s="160" t="n"/>
      <c r="AQ1712" s="160" t="n"/>
      <c r="AR1712" s="160" t="n"/>
    </row>
    <row r="1714">
      <c r="A1714" s="8">
        <f>IF(HSCEI!$C$21="","",HSCEI!$C$21)</f>
        <v/>
      </c>
      <c r="B1714" s="158">
        <f>IF($A1714="",0,COUNT($E1715:$AR1715))</f>
        <v/>
      </c>
      <c r="C1714" s="159">
        <f>IF($B1714=0,0,MAX($E1715:$AR1715))</f>
        <v/>
      </c>
      <c r="D1714" s="101">
        <f>BDS($A1714,FLD_HIST,"headers=y","startcol=1","endcol=7","dir=h","DVD_START_DT",HIST_FROM,"DVD_END_DT",HIST_TO)</f>
        <v/>
      </c>
      <c r="E1714" s="102" t="n"/>
      <c r="F1714" s="102" t="n"/>
      <c r="G1714" s="102" t="n"/>
      <c r="H1714" s="102" t="n"/>
      <c r="I1714" s="102" t="n"/>
      <c r="J1714" s="102" t="n"/>
      <c r="K1714" s="102" t="n"/>
      <c r="L1714" s="102" t="n"/>
      <c r="M1714" s="102" t="n"/>
      <c r="N1714" s="102" t="n"/>
      <c r="O1714" s="102" t="n"/>
      <c r="P1714" s="102" t="n"/>
      <c r="Q1714" s="102" t="n"/>
      <c r="R1714" s="102" t="n"/>
      <c r="S1714" s="102" t="n"/>
      <c r="T1714" s="102" t="n"/>
      <c r="U1714" s="102" t="n"/>
      <c r="V1714" s="102" t="n"/>
      <c r="W1714" s="102" t="n"/>
      <c r="X1714" s="102" t="n"/>
      <c r="Y1714" s="102" t="n"/>
      <c r="Z1714" s="102" t="n"/>
      <c r="AA1714" s="102" t="n"/>
      <c r="AB1714" s="102" t="n"/>
      <c r="AC1714" s="102" t="n"/>
      <c r="AD1714" s="102" t="n"/>
      <c r="AE1714" s="102" t="n"/>
      <c r="AF1714" s="102" t="n"/>
      <c r="AG1714" s="102" t="n"/>
      <c r="AH1714" s="102" t="n"/>
      <c r="AI1714" s="102" t="n"/>
      <c r="AJ1714" s="102" t="n"/>
      <c r="AK1714" s="102" t="n"/>
      <c r="AL1714" s="102" t="n"/>
      <c r="AM1714" s="102" t="n"/>
      <c r="AN1714" s="102" t="n"/>
      <c r="AO1714" s="102" t="n"/>
      <c r="AP1714" s="102" t="n"/>
      <c r="AQ1714" s="102" t="n"/>
      <c r="AR1714" s="102" t="n"/>
    </row>
    <row r="1715">
      <c r="D1715" s="102" t="n"/>
      <c r="E1715" s="102" t="n"/>
      <c r="F1715" s="102" t="n"/>
      <c r="G1715" s="102" t="n"/>
      <c r="H1715" s="102" t="n"/>
      <c r="I1715" s="102" t="n"/>
      <c r="J1715" s="102" t="n"/>
      <c r="K1715" s="102" t="n"/>
      <c r="L1715" s="102" t="n"/>
      <c r="M1715" s="102" t="n"/>
      <c r="N1715" s="102" t="n"/>
      <c r="O1715" s="102" t="n"/>
      <c r="P1715" s="102" t="n"/>
      <c r="Q1715" s="102" t="n"/>
      <c r="R1715" s="102" t="n"/>
      <c r="S1715" s="102" t="n"/>
      <c r="T1715" s="102" t="n"/>
      <c r="U1715" s="102" t="n"/>
      <c r="V1715" s="102" t="n"/>
      <c r="W1715" s="102" t="n"/>
      <c r="X1715" s="102" t="n"/>
      <c r="Y1715" s="102" t="n"/>
      <c r="Z1715" s="102" t="n"/>
      <c r="AA1715" s="102" t="n"/>
      <c r="AB1715" s="102" t="n"/>
      <c r="AC1715" s="102" t="n"/>
      <c r="AD1715" s="102" t="n"/>
      <c r="AE1715" s="102" t="n"/>
      <c r="AF1715" s="102" t="n"/>
      <c r="AG1715" s="102" t="n"/>
      <c r="AH1715" s="102" t="n"/>
      <c r="AI1715" s="102" t="n"/>
      <c r="AJ1715" s="102" t="n"/>
      <c r="AK1715" s="102" t="n"/>
      <c r="AL1715" s="102" t="n"/>
      <c r="AM1715" s="102" t="n"/>
      <c r="AN1715" s="102" t="n"/>
      <c r="AO1715" s="102" t="n"/>
      <c r="AP1715" s="102" t="n"/>
      <c r="AQ1715" s="102" t="n"/>
      <c r="AR1715" s="102" t="n"/>
    </row>
    <row r="1716">
      <c r="D1716" s="102" t="n"/>
      <c r="E1716" s="102" t="n"/>
      <c r="F1716" s="102" t="n"/>
      <c r="G1716" s="102" t="n"/>
      <c r="H1716" s="102" t="n"/>
      <c r="I1716" s="102" t="n"/>
      <c r="J1716" s="102" t="n"/>
      <c r="K1716" s="102" t="n"/>
      <c r="L1716" s="102" t="n"/>
      <c r="M1716" s="102" t="n"/>
      <c r="N1716" s="102" t="n"/>
      <c r="O1716" s="102" t="n"/>
      <c r="P1716" s="102" t="n"/>
      <c r="Q1716" s="102" t="n"/>
      <c r="R1716" s="102" t="n"/>
      <c r="S1716" s="102" t="n"/>
      <c r="T1716" s="102" t="n"/>
      <c r="U1716" s="102" t="n"/>
      <c r="V1716" s="102" t="n"/>
      <c r="W1716" s="102" t="n"/>
      <c r="X1716" s="102" t="n"/>
      <c r="Y1716" s="102" t="n"/>
      <c r="Z1716" s="102" t="n"/>
      <c r="AA1716" s="102" t="n"/>
      <c r="AB1716" s="102" t="n"/>
      <c r="AC1716" s="102" t="n"/>
      <c r="AD1716" s="102" t="n"/>
      <c r="AE1716" s="102" t="n"/>
      <c r="AF1716" s="102" t="n"/>
      <c r="AG1716" s="102" t="n"/>
      <c r="AH1716" s="102" t="n"/>
      <c r="AI1716" s="102" t="n"/>
      <c r="AJ1716" s="102" t="n"/>
      <c r="AK1716" s="102" t="n"/>
      <c r="AL1716" s="102" t="n"/>
      <c r="AM1716" s="102" t="n"/>
      <c r="AN1716" s="102" t="n"/>
      <c r="AO1716" s="102" t="n"/>
      <c r="AP1716" s="102" t="n"/>
      <c r="AQ1716" s="102" t="n"/>
      <c r="AR1716" s="102" t="n"/>
    </row>
    <row r="1717">
      <c r="D1717" s="102" t="n"/>
      <c r="E1717" s="102" t="n"/>
      <c r="F1717" s="102" t="n"/>
      <c r="G1717" s="102" t="n"/>
      <c r="H1717" s="102" t="n"/>
      <c r="I1717" s="102" t="n"/>
      <c r="J1717" s="102" t="n"/>
      <c r="K1717" s="102" t="n"/>
      <c r="L1717" s="102" t="n"/>
      <c r="M1717" s="102" t="n"/>
      <c r="N1717" s="102" t="n"/>
      <c r="O1717" s="102" t="n"/>
      <c r="P1717" s="102" t="n"/>
      <c r="Q1717" s="102" t="n"/>
      <c r="R1717" s="102" t="n"/>
      <c r="S1717" s="102" t="n"/>
      <c r="T1717" s="102" t="n"/>
      <c r="U1717" s="102" t="n"/>
      <c r="V1717" s="102" t="n"/>
      <c r="W1717" s="102" t="n"/>
      <c r="X1717" s="102" t="n"/>
      <c r="Y1717" s="102" t="n"/>
      <c r="Z1717" s="102" t="n"/>
      <c r="AA1717" s="102" t="n"/>
      <c r="AB1717" s="102" t="n"/>
      <c r="AC1717" s="102" t="n"/>
      <c r="AD1717" s="102" t="n"/>
      <c r="AE1717" s="102" t="n"/>
      <c r="AF1717" s="102" t="n"/>
      <c r="AG1717" s="102" t="n"/>
      <c r="AH1717" s="102" t="n"/>
      <c r="AI1717" s="102" t="n"/>
      <c r="AJ1717" s="102" t="n"/>
      <c r="AK1717" s="102" t="n"/>
      <c r="AL1717" s="102" t="n"/>
      <c r="AM1717" s="102" t="n"/>
      <c r="AN1717" s="102" t="n"/>
      <c r="AO1717" s="102" t="n"/>
      <c r="AP1717" s="102" t="n"/>
      <c r="AQ1717" s="102" t="n"/>
      <c r="AR1717" s="102" t="n"/>
    </row>
    <row r="1718">
      <c r="D1718" s="160" t="n"/>
      <c r="E1718" s="160" t="n"/>
      <c r="F1718" s="160" t="n"/>
      <c r="G1718" s="160" t="n"/>
      <c r="H1718" s="160" t="n"/>
      <c r="I1718" s="160" t="n"/>
      <c r="J1718" s="160" t="n"/>
      <c r="K1718" s="160" t="n"/>
      <c r="L1718" s="160" t="n"/>
      <c r="M1718" s="160" t="n"/>
      <c r="N1718" s="160" t="n"/>
      <c r="O1718" s="160" t="n"/>
      <c r="P1718" s="160" t="n"/>
      <c r="Q1718" s="160" t="n"/>
      <c r="R1718" s="160" t="n"/>
      <c r="S1718" s="160" t="n"/>
      <c r="T1718" s="160" t="n"/>
      <c r="U1718" s="160" t="n"/>
      <c r="V1718" s="160" t="n"/>
      <c r="W1718" s="160" t="n"/>
      <c r="X1718" s="160" t="n"/>
      <c r="Y1718" s="160" t="n"/>
      <c r="Z1718" s="160" t="n"/>
      <c r="AA1718" s="160" t="n"/>
      <c r="AB1718" s="160" t="n"/>
      <c r="AC1718" s="160" t="n"/>
      <c r="AD1718" s="160" t="n"/>
      <c r="AE1718" s="160" t="n"/>
      <c r="AF1718" s="160" t="n"/>
      <c r="AG1718" s="160" t="n"/>
      <c r="AH1718" s="160" t="n"/>
      <c r="AI1718" s="160" t="n"/>
      <c r="AJ1718" s="160" t="n"/>
      <c r="AK1718" s="160" t="n"/>
      <c r="AL1718" s="160" t="n"/>
      <c r="AM1718" s="160" t="n"/>
      <c r="AN1718" s="160" t="n"/>
      <c r="AO1718" s="160" t="n"/>
      <c r="AP1718" s="160" t="n"/>
      <c r="AQ1718" s="160" t="n"/>
      <c r="AR1718" s="160" t="n"/>
    </row>
    <row r="1721">
      <c r="A1721" s="2">
        <f>IF($A1714="","","   projections")</f>
        <v/>
      </c>
      <c r="B1721" s="158">
        <f>IF($A1714="",0,COUNT($E1722:$AR1722))</f>
        <v/>
      </c>
      <c r="C1721" s="159">
        <f>IF($B1721=0,0,MAX($E1722:$AR1722))</f>
        <v/>
      </c>
      <c r="D1721" s="101">
        <f>BDS($A1714,FLD_PROJ,"headers=y","startcol=1","endcol=3","dir=h")</f>
        <v/>
      </c>
      <c r="E1721" s="102" t="n"/>
      <c r="F1721" s="102" t="n"/>
      <c r="G1721" s="102" t="n"/>
      <c r="H1721" s="102" t="n"/>
      <c r="I1721" s="102" t="n"/>
      <c r="J1721" s="102" t="n"/>
      <c r="K1721" s="102" t="n"/>
      <c r="L1721" s="102" t="n"/>
      <c r="M1721" s="102" t="n"/>
      <c r="N1721" s="102" t="n"/>
      <c r="O1721" s="102" t="n"/>
      <c r="P1721" s="102" t="n"/>
      <c r="Q1721" s="102" t="n"/>
      <c r="R1721" s="102" t="n"/>
      <c r="S1721" s="102" t="n"/>
      <c r="T1721" s="102" t="n"/>
      <c r="U1721" s="102" t="n"/>
      <c r="V1721" s="102" t="n"/>
      <c r="W1721" s="102" t="n"/>
      <c r="X1721" s="102" t="n"/>
      <c r="Y1721" s="102" t="n"/>
      <c r="Z1721" s="102" t="n"/>
      <c r="AA1721" s="102" t="n"/>
      <c r="AB1721" s="102" t="n"/>
      <c r="AC1721" s="102" t="n"/>
      <c r="AD1721" s="102" t="n"/>
      <c r="AE1721" s="102" t="n"/>
      <c r="AF1721" s="102" t="n"/>
      <c r="AG1721" s="102" t="n"/>
      <c r="AH1721" s="102" t="n"/>
      <c r="AI1721" s="102" t="n"/>
      <c r="AJ1721" s="102" t="n"/>
      <c r="AK1721" s="102" t="n"/>
      <c r="AL1721" s="102" t="n"/>
      <c r="AM1721" s="102" t="n"/>
      <c r="AN1721" s="102" t="n"/>
      <c r="AO1721" s="102" t="n"/>
      <c r="AP1721" s="102" t="n"/>
      <c r="AQ1721" s="102" t="n"/>
      <c r="AR1721" s="102" t="n"/>
    </row>
    <row r="1722">
      <c r="D1722" s="102" t="n"/>
      <c r="E1722" s="102" t="n"/>
      <c r="F1722" s="102" t="n"/>
      <c r="G1722" s="102" t="n"/>
      <c r="H1722" s="102" t="n"/>
      <c r="I1722" s="102" t="n"/>
      <c r="J1722" s="102" t="n"/>
      <c r="K1722" s="102" t="n"/>
      <c r="L1722" s="102" t="n"/>
      <c r="M1722" s="102" t="n"/>
      <c r="N1722" s="102" t="n"/>
      <c r="O1722" s="102" t="n"/>
      <c r="P1722" s="102" t="n"/>
      <c r="Q1722" s="102" t="n"/>
      <c r="R1722" s="102" t="n"/>
      <c r="S1722" s="102" t="n"/>
      <c r="T1722" s="102" t="n"/>
      <c r="U1722" s="102" t="n"/>
      <c r="V1722" s="102" t="n"/>
      <c r="W1722" s="102" t="n"/>
      <c r="X1722" s="102" t="n"/>
      <c r="Y1722" s="102" t="n"/>
      <c r="Z1722" s="102" t="n"/>
      <c r="AA1722" s="102" t="n"/>
      <c r="AB1722" s="102" t="n"/>
      <c r="AC1722" s="102" t="n"/>
      <c r="AD1722" s="102" t="n"/>
      <c r="AE1722" s="102" t="n"/>
      <c r="AF1722" s="102" t="n"/>
      <c r="AG1722" s="102" t="n"/>
      <c r="AH1722" s="102" t="n"/>
      <c r="AI1722" s="102" t="n"/>
      <c r="AJ1722" s="102" t="n"/>
      <c r="AK1722" s="102" t="n"/>
      <c r="AL1722" s="102" t="n"/>
      <c r="AM1722" s="102" t="n"/>
      <c r="AN1722" s="102" t="n"/>
      <c r="AO1722" s="102" t="n"/>
      <c r="AP1722" s="102" t="n"/>
      <c r="AQ1722" s="102" t="n"/>
      <c r="AR1722" s="102" t="n"/>
    </row>
    <row r="1723">
      <c r="D1723" s="160" t="n"/>
      <c r="E1723" s="160" t="n"/>
      <c r="F1723" s="160" t="n"/>
      <c r="G1723" s="160" t="n"/>
      <c r="H1723" s="160" t="n"/>
      <c r="I1723" s="160" t="n"/>
      <c r="J1723" s="160" t="n"/>
      <c r="K1723" s="160" t="n"/>
      <c r="L1723" s="160" t="n"/>
      <c r="M1723" s="160" t="n"/>
      <c r="N1723" s="160" t="n"/>
      <c r="O1723" s="160" t="n"/>
      <c r="P1723" s="160" t="n"/>
      <c r="Q1723" s="160" t="n"/>
      <c r="R1723" s="160" t="n"/>
      <c r="S1723" s="160" t="n"/>
      <c r="T1723" s="160" t="n"/>
      <c r="U1723" s="160" t="n"/>
      <c r="V1723" s="160" t="n"/>
      <c r="W1723" s="160" t="n"/>
      <c r="X1723" s="160" t="n"/>
      <c r="Y1723" s="160" t="n"/>
      <c r="Z1723" s="160" t="n"/>
      <c r="AA1723" s="160" t="n"/>
      <c r="AB1723" s="160" t="n"/>
      <c r="AC1723" s="160" t="n"/>
      <c r="AD1723" s="160" t="n"/>
      <c r="AE1723" s="160" t="n"/>
      <c r="AF1723" s="160" t="n"/>
      <c r="AG1723" s="160" t="n"/>
      <c r="AH1723" s="160" t="n"/>
      <c r="AI1723" s="160" t="n"/>
      <c r="AJ1723" s="160" t="n"/>
      <c r="AK1723" s="160" t="n"/>
      <c r="AL1723" s="160" t="n"/>
      <c r="AM1723" s="160" t="n"/>
      <c r="AN1723" s="160" t="n"/>
      <c r="AO1723" s="160" t="n"/>
      <c r="AP1723" s="160" t="n"/>
      <c r="AQ1723" s="160" t="n"/>
      <c r="AR1723" s="160" t="n"/>
    </row>
    <row r="1725">
      <c r="A1725" s="8">
        <f>IF(HSCEI!$C$22="","",HSCEI!$C$22)</f>
        <v/>
      </c>
      <c r="B1725" s="158">
        <f>IF($A1725="",0,COUNT($E1726:$AR1726))</f>
        <v/>
      </c>
      <c r="C1725" s="159">
        <f>IF($B1725=0,0,MAX($E1726:$AR1726))</f>
        <v/>
      </c>
      <c r="D1725" s="101">
        <f>BDS($A1725,FLD_HIST,"headers=y","startcol=1","endcol=7","dir=h","DVD_START_DT",HIST_FROM,"DVD_END_DT",HIST_TO)</f>
        <v/>
      </c>
      <c r="E1725" s="102" t="n"/>
      <c r="F1725" s="102" t="n"/>
      <c r="G1725" s="102" t="n"/>
      <c r="H1725" s="102" t="n"/>
      <c r="I1725" s="102" t="n"/>
      <c r="J1725" s="102" t="n"/>
      <c r="K1725" s="102" t="n"/>
      <c r="L1725" s="102" t="n"/>
      <c r="M1725" s="102" t="n"/>
      <c r="N1725" s="102" t="n"/>
      <c r="O1725" s="102" t="n"/>
      <c r="P1725" s="102" t="n"/>
      <c r="Q1725" s="102" t="n"/>
      <c r="R1725" s="102" t="n"/>
      <c r="S1725" s="102" t="n"/>
      <c r="T1725" s="102" t="n"/>
      <c r="U1725" s="102" t="n"/>
      <c r="V1725" s="102" t="n"/>
      <c r="W1725" s="102" t="n"/>
      <c r="X1725" s="102" t="n"/>
      <c r="Y1725" s="102" t="n"/>
      <c r="Z1725" s="102" t="n"/>
      <c r="AA1725" s="102" t="n"/>
      <c r="AB1725" s="102" t="n"/>
      <c r="AC1725" s="102" t="n"/>
      <c r="AD1725" s="102" t="n"/>
      <c r="AE1725" s="102" t="n"/>
      <c r="AF1725" s="102" t="n"/>
      <c r="AG1725" s="102" t="n"/>
      <c r="AH1725" s="102" t="n"/>
      <c r="AI1725" s="102" t="n"/>
      <c r="AJ1725" s="102" t="n"/>
      <c r="AK1725" s="102" t="n"/>
      <c r="AL1725" s="102" t="n"/>
      <c r="AM1725" s="102" t="n"/>
      <c r="AN1725" s="102" t="n"/>
      <c r="AO1725" s="102" t="n"/>
      <c r="AP1725" s="102" t="n"/>
      <c r="AQ1725" s="102" t="n"/>
      <c r="AR1725" s="102" t="n"/>
    </row>
    <row r="1726">
      <c r="D1726" s="102" t="n"/>
      <c r="E1726" s="102" t="n"/>
      <c r="F1726" s="102" t="n"/>
      <c r="G1726" s="102" t="n"/>
      <c r="H1726" s="102" t="n"/>
      <c r="I1726" s="102" t="n"/>
      <c r="J1726" s="102" t="n"/>
      <c r="K1726" s="102" t="n"/>
      <c r="L1726" s="102" t="n"/>
      <c r="M1726" s="102" t="n"/>
      <c r="N1726" s="102" t="n"/>
      <c r="O1726" s="102" t="n"/>
      <c r="P1726" s="102" t="n"/>
      <c r="Q1726" s="102" t="n"/>
      <c r="R1726" s="102" t="n"/>
      <c r="S1726" s="102" t="n"/>
      <c r="T1726" s="102" t="n"/>
      <c r="U1726" s="102" t="n"/>
      <c r="V1726" s="102" t="n"/>
      <c r="W1726" s="102" t="n"/>
      <c r="X1726" s="102" t="n"/>
      <c r="Y1726" s="102" t="n"/>
      <c r="Z1726" s="102" t="n"/>
      <c r="AA1726" s="102" t="n"/>
      <c r="AB1726" s="102" t="n"/>
      <c r="AC1726" s="102" t="n"/>
      <c r="AD1726" s="102" t="n"/>
      <c r="AE1726" s="102" t="n"/>
      <c r="AF1726" s="102" t="n"/>
      <c r="AG1726" s="102" t="n"/>
      <c r="AH1726" s="102" t="n"/>
      <c r="AI1726" s="102" t="n"/>
      <c r="AJ1726" s="102" t="n"/>
      <c r="AK1726" s="102" t="n"/>
      <c r="AL1726" s="102" t="n"/>
      <c r="AM1726" s="102" t="n"/>
      <c r="AN1726" s="102" t="n"/>
      <c r="AO1726" s="102" t="n"/>
      <c r="AP1726" s="102" t="n"/>
      <c r="AQ1726" s="102" t="n"/>
      <c r="AR1726" s="102" t="n"/>
    </row>
    <row r="1727">
      <c r="D1727" s="102" t="n"/>
      <c r="E1727" s="102" t="n"/>
      <c r="F1727" s="102" t="n"/>
      <c r="G1727" s="102" t="n"/>
      <c r="H1727" s="102" t="n"/>
      <c r="I1727" s="102" t="n"/>
      <c r="J1727" s="102" t="n"/>
      <c r="K1727" s="102" t="n"/>
      <c r="L1727" s="102" t="n"/>
      <c r="M1727" s="102" t="n"/>
      <c r="N1727" s="102" t="n"/>
      <c r="O1727" s="102" t="n"/>
      <c r="P1727" s="102" t="n"/>
      <c r="Q1727" s="102" t="n"/>
      <c r="R1727" s="102" t="n"/>
      <c r="S1727" s="102" t="n"/>
      <c r="T1727" s="102" t="n"/>
      <c r="U1727" s="102" t="n"/>
      <c r="V1727" s="102" t="n"/>
      <c r="W1727" s="102" t="n"/>
      <c r="X1727" s="102" t="n"/>
      <c r="Y1727" s="102" t="n"/>
      <c r="Z1727" s="102" t="n"/>
      <c r="AA1727" s="102" t="n"/>
      <c r="AB1727" s="102" t="n"/>
      <c r="AC1727" s="102" t="n"/>
      <c r="AD1727" s="102" t="n"/>
      <c r="AE1727" s="102" t="n"/>
      <c r="AF1727" s="102" t="n"/>
      <c r="AG1727" s="102" t="n"/>
      <c r="AH1727" s="102" t="n"/>
      <c r="AI1727" s="102" t="n"/>
      <c r="AJ1727" s="102" t="n"/>
      <c r="AK1727" s="102" t="n"/>
      <c r="AL1727" s="102" t="n"/>
      <c r="AM1727" s="102" t="n"/>
      <c r="AN1727" s="102" t="n"/>
      <c r="AO1727" s="102" t="n"/>
      <c r="AP1727" s="102" t="n"/>
      <c r="AQ1727" s="102" t="n"/>
      <c r="AR1727" s="102" t="n"/>
    </row>
    <row r="1728">
      <c r="D1728" s="102" t="n"/>
      <c r="E1728" s="102" t="n"/>
      <c r="F1728" s="102" t="n"/>
      <c r="G1728" s="102" t="n"/>
      <c r="H1728" s="102" t="n"/>
      <c r="I1728" s="102" t="n"/>
      <c r="J1728" s="102" t="n"/>
      <c r="K1728" s="102" t="n"/>
      <c r="L1728" s="102" t="n"/>
      <c r="M1728" s="102" t="n"/>
      <c r="N1728" s="102" t="n"/>
      <c r="O1728" s="102" t="n"/>
      <c r="P1728" s="102" t="n"/>
      <c r="Q1728" s="102" t="n"/>
      <c r="R1728" s="102" t="n"/>
      <c r="S1728" s="102" t="n"/>
      <c r="T1728" s="102" t="n"/>
      <c r="U1728" s="102" t="n"/>
      <c r="V1728" s="102" t="n"/>
      <c r="W1728" s="102" t="n"/>
      <c r="X1728" s="102" t="n"/>
      <c r="Y1728" s="102" t="n"/>
      <c r="Z1728" s="102" t="n"/>
      <c r="AA1728" s="102" t="n"/>
      <c r="AB1728" s="102" t="n"/>
      <c r="AC1728" s="102" t="n"/>
      <c r="AD1728" s="102" t="n"/>
      <c r="AE1728" s="102" t="n"/>
      <c r="AF1728" s="102" t="n"/>
      <c r="AG1728" s="102" t="n"/>
      <c r="AH1728" s="102" t="n"/>
      <c r="AI1728" s="102" t="n"/>
      <c r="AJ1728" s="102" t="n"/>
      <c r="AK1728" s="102" t="n"/>
      <c r="AL1728" s="102" t="n"/>
      <c r="AM1728" s="102" t="n"/>
      <c r="AN1728" s="102" t="n"/>
      <c r="AO1728" s="102" t="n"/>
      <c r="AP1728" s="102" t="n"/>
      <c r="AQ1728" s="102" t="n"/>
      <c r="AR1728" s="102" t="n"/>
    </row>
    <row r="1729">
      <c r="D1729" s="160" t="n"/>
      <c r="E1729" s="160" t="n"/>
      <c r="F1729" s="160" t="n"/>
      <c r="G1729" s="160" t="n"/>
      <c r="H1729" s="160" t="n"/>
      <c r="I1729" s="160" t="n"/>
      <c r="J1729" s="160" t="n"/>
      <c r="K1729" s="160" t="n"/>
      <c r="L1729" s="160" t="n"/>
      <c r="M1729" s="160" t="n"/>
      <c r="N1729" s="160" t="n"/>
      <c r="O1729" s="160" t="n"/>
      <c r="P1729" s="160" t="n"/>
      <c r="Q1729" s="160" t="n"/>
      <c r="R1729" s="160" t="n"/>
      <c r="S1729" s="160" t="n"/>
      <c r="T1729" s="160" t="n"/>
      <c r="U1729" s="160" t="n"/>
      <c r="V1729" s="160" t="n"/>
      <c r="W1729" s="160" t="n"/>
      <c r="X1729" s="160" t="n"/>
      <c r="Y1729" s="160" t="n"/>
      <c r="Z1729" s="160" t="n"/>
      <c r="AA1729" s="160" t="n"/>
      <c r="AB1729" s="160" t="n"/>
      <c r="AC1729" s="160" t="n"/>
      <c r="AD1729" s="160" t="n"/>
      <c r="AE1729" s="160" t="n"/>
      <c r="AF1729" s="160" t="n"/>
      <c r="AG1729" s="160" t="n"/>
      <c r="AH1729" s="160" t="n"/>
      <c r="AI1729" s="160" t="n"/>
      <c r="AJ1729" s="160" t="n"/>
      <c r="AK1729" s="160" t="n"/>
      <c r="AL1729" s="160" t="n"/>
      <c r="AM1729" s="160" t="n"/>
      <c r="AN1729" s="160" t="n"/>
      <c r="AO1729" s="160" t="n"/>
      <c r="AP1729" s="160" t="n"/>
      <c r="AQ1729" s="160" t="n"/>
      <c r="AR1729" s="160" t="n"/>
    </row>
    <row r="1732">
      <c r="A1732" s="2">
        <f>IF($A1725="","","   projections")</f>
        <v/>
      </c>
      <c r="B1732" s="158">
        <f>IF($A1725="",0,COUNT($E1733:$AR1733))</f>
        <v/>
      </c>
      <c r="C1732" s="159">
        <f>IF($B1732=0,0,MAX($E1733:$AR1733))</f>
        <v/>
      </c>
      <c r="D1732" s="101">
        <f>BDS($A1725,FLD_PROJ,"headers=y","startcol=1","endcol=3","dir=h")</f>
        <v/>
      </c>
      <c r="E1732" s="102" t="n"/>
      <c r="F1732" s="102" t="n"/>
      <c r="G1732" s="102" t="n"/>
      <c r="H1732" s="102" t="n"/>
      <c r="I1732" s="102" t="n"/>
      <c r="J1732" s="102" t="n"/>
      <c r="K1732" s="102" t="n"/>
      <c r="L1732" s="102" t="n"/>
      <c r="M1732" s="102" t="n"/>
      <c r="N1732" s="102" t="n"/>
      <c r="O1732" s="102" t="n"/>
      <c r="P1732" s="102" t="n"/>
      <c r="Q1732" s="102" t="n"/>
      <c r="R1732" s="102" t="n"/>
      <c r="S1732" s="102" t="n"/>
      <c r="T1732" s="102" t="n"/>
      <c r="U1732" s="102" t="n"/>
      <c r="V1732" s="102" t="n"/>
      <c r="W1732" s="102" t="n"/>
      <c r="X1732" s="102" t="n"/>
      <c r="Y1732" s="102" t="n"/>
      <c r="Z1732" s="102" t="n"/>
      <c r="AA1732" s="102" t="n"/>
      <c r="AB1732" s="102" t="n"/>
      <c r="AC1732" s="102" t="n"/>
      <c r="AD1732" s="102" t="n"/>
      <c r="AE1732" s="102" t="n"/>
      <c r="AF1732" s="102" t="n"/>
      <c r="AG1732" s="102" t="n"/>
      <c r="AH1732" s="102" t="n"/>
      <c r="AI1732" s="102" t="n"/>
      <c r="AJ1732" s="102" t="n"/>
      <c r="AK1732" s="102" t="n"/>
      <c r="AL1732" s="102" t="n"/>
      <c r="AM1732" s="102" t="n"/>
      <c r="AN1732" s="102" t="n"/>
      <c r="AO1732" s="102" t="n"/>
      <c r="AP1732" s="102" t="n"/>
      <c r="AQ1732" s="102" t="n"/>
      <c r="AR1732" s="102" t="n"/>
    </row>
    <row r="1733">
      <c r="D1733" s="102" t="n"/>
      <c r="E1733" s="102" t="n"/>
      <c r="F1733" s="102" t="n"/>
      <c r="G1733" s="102" t="n"/>
      <c r="H1733" s="102" t="n"/>
      <c r="I1733" s="102" t="n"/>
      <c r="J1733" s="102" t="n"/>
      <c r="K1733" s="102" t="n"/>
      <c r="L1733" s="102" t="n"/>
      <c r="M1733" s="102" t="n"/>
      <c r="N1733" s="102" t="n"/>
      <c r="O1733" s="102" t="n"/>
      <c r="P1733" s="102" t="n"/>
      <c r="Q1733" s="102" t="n"/>
      <c r="R1733" s="102" t="n"/>
      <c r="S1733" s="102" t="n"/>
      <c r="T1733" s="102" t="n"/>
      <c r="U1733" s="102" t="n"/>
      <c r="V1733" s="102" t="n"/>
      <c r="W1733" s="102" t="n"/>
      <c r="X1733" s="102" t="n"/>
      <c r="Y1733" s="102" t="n"/>
      <c r="Z1733" s="102" t="n"/>
      <c r="AA1733" s="102" t="n"/>
      <c r="AB1733" s="102" t="n"/>
      <c r="AC1733" s="102" t="n"/>
      <c r="AD1733" s="102" t="n"/>
      <c r="AE1733" s="102" t="n"/>
      <c r="AF1733" s="102" t="n"/>
      <c r="AG1733" s="102" t="n"/>
      <c r="AH1733" s="102" t="n"/>
      <c r="AI1733" s="102" t="n"/>
      <c r="AJ1733" s="102" t="n"/>
      <c r="AK1733" s="102" t="n"/>
      <c r="AL1733" s="102" t="n"/>
      <c r="AM1733" s="102" t="n"/>
      <c r="AN1733" s="102" t="n"/>
      <c r="AO1733" s="102" t="n"/>
      <c r="AP1733" s="102" t="n"/>
      <c r="AQ1733" s="102" t="n"/>
      <c r="AR1733" s="102" t="n"/>
    </row>
    <row r="1734">
      <c r="D1734" s="160" t="n"/>
      <c r="E1734" s="160" t="n"/>
      <c r="F1734" s="160" t="n"/>
      <c r="G1734" s="160" t="n"/>
      <c r="H1734" s="160" t="n"/>
      <c r="I1734" s="160" t="n"/>
      <c r="J1734" s="160" t="n"/>
      <c r="K1734" s="160" t="n"/>
      <c r="L1734" s="160" t="n"/>
      <c r="M1734" s="160" t="n"/>
      <c r="N1734" s="160" t="n"/>
      <c r="O1734" s="160" t="n"/>
      <c r="P1734" s="160" t="n"/>
      <c r="Q1734" s="160" t="n"/>
      <c r="R1734" s="160" t="n"/>
      <c r="S1734" s="160" t="n"/>
      <c r="T1734" s="160" t="n"/>
      <c r="U1734" s="160" t="n"/>
      <c r="V1734" s="160" t="n"/>
      <c r="W1734" s="160" t="n"/>
      <c r="X1734" s="160" t="n"/>
      <c r="Y1734" s="160" t="n"/>
      <c r="Z1734" s="160" t="n"/>
      <c r="AA1734" s="160" t="n"/>
      <c r="AB1734" s="160" t="n"/>
      <c r="AC1734" s="160" t="n"/>
      <c r="AD1734" s="160" t="n"/>
      <c r="AE1734" s="160" t="n"/>
      <c r="AF1734" s="160" t="n"/>
      <c r="AG1734" s="160" t="n"/>
      <c r="AH1734" s="160" t="n"/>
      <c r="AI1734" s="160" t="n"/>
      <c r="AJ1734" s="160" t="n"/>
      <c r="AK1734" s="160" t="n"/>
      <c r="AL1734" s="160" t="n"/>
      <c r="AM1734" s="160" t="n"/>
      <c r="AN1734" s="160" t="n"/>
      <c r="AO1734" s="160" t="n"/>
      <c r="AP1734" s="160" t="n"/>
      <c r="AQ1734" s="160" t="n"/>
      <c r="AR1734" s="160" t="n"/>
    </row>
    <row r="1736">
      <c r="A1736" s="8">
        <f>IF(HSCEI!$C$23="","",HSCEI!$C$23)</f>
        <v/>
      </c>
      <c r="B1736" s="158">
        <f>IF($A1736="",0,COUNT($E1737:$AR1737))</f>
        <v/>
      </c>
      <c r="C1736" s="159">
        <f>IF($B1736=0,0,MAX($E1737:$AR1737))</f>
        <v/>
      </c>
      <c r="D1736" s="101">
        <f>BDS($A1736,FLD_HIST,"headers=y","startcol=1","endcol=7","dir=h","DVD_START_DT",HIST_FROM,"DVD_END_DT",HIST_TO)</f>
        <v/>
      </c>
      <c r="E1736" s="102" t="n"/>
      <c r="F1736" s="102" t="n"/>
      <c r="G1736" s="102" t="n"/>
      <c r="H1736" s="102" t="n"/>
      <c r="I1736" s="102" t="n"/>
      <c r="J1736" s="102" t="n"/>
      <c r="K1736" s="102" t="n"/>
      <c r="L1736" s="102" t="n"/>
      <c r="M1736" s="102" t="n"/>
      <c r="N1736" s="102" t="n"/>
      <c r="O1736" s="102" t="n"/>
      <c r="P1736" s="102" t="n"/>
      <c r="Q1736" s="102" t="n"/>
      <c r="R1736" s="102" t="n"/>
      <c r="S1736" s="102" t="n"/>
      <c r="T1736" s="102" t="n"/>
      <c r="U1736" s="102" t="n"/>
      <c r="V1736" s="102" t="n"/>
      <c r="W1736" s="102" t="n"/>
      <c r="X1736" s="102" t="n"/>
      <c r="Y1736" s="102" t="n"/>
      <c r="Z1736" s="102" t="n"/>
      <c r="AA1736" s="102" t="n"/>
      <c r="AB1736" s="102" t="n"/>
      <c r="AC1736" s="102" t="n"/>
      <c r="AD1736" s="102" t="n"/>
      <c r="AE1736" s="102" t="n"/>
      <c r="AF1736" s="102" t="n"/>
      <c r="AG1736" s="102" t="n"/>
      <c r="AH1736" s="102" t="n"/>
      <c r="AI1736" s="102" t="n"/>
      <c r="AJ1736" s="102" t="n"/>
      <c r="AK1736" s="102" t="n"/>
      <c r="AL1736" s="102" t="n"/>
      <c r="AM1736" s="102" t="n"/>
      <c r="AN1736" s="102" t="n"/>
      <c r="AO1736" s="102" t="n"/>
      <c r="AP1736" s="102" t="n"/>
      <c r="AQ1736" s="102" t="n"/>
      <c r="AR1736" s="102" t="n"/>
    </row>
    <row r="1737">
      <c r="D1737" s="102" t="n"/>
      <c r="E1737" s="102" t="n"/>
      <c r="F1737" s="102" t="n"/>
      <c r="G1737" s="102" t="n"/>
      <c r="H1737" s="102" t="n"/>
      <c r="I1737" s="102" t="n"/>
      <c r="J1737" s="102" t="n"/>
      <c r="K1737" s="102" t="n"/>
      <c r="L1737" s="102" t="n"/>
      <c r="M1737" s="102" t="n"/>
      <c r="N1737" s="102" t="n"/>
      <c r="O1737" s="102" t="n"/>
      <c r="P1737" s="102" t="n"/>
      <c r="Q1737" s="102" t="n"/>
      <c r="R1737" s="102" t="n"/>
      <c r="S1737" s="102" t="n"/>
      <c r="T1737" s="102" t="n"/>
      <c r="U1737" s="102" t="n"/>
      <c r="V1737" s="102" t="n"/>
      <c r="W1737" s="102" t="n"/>
      <c r="X1737" s="102" t="n"/>
      <c r="Y1737" s="102" t="n"/>
      <c r="Z1737" s="102" t="n"/>
      <c r="AA1737" s="102" t="n"/>
      <c r="AB1737" s="102" t="n"/>
      <c r="AC1737" s="102" t="n"/>
      <c r="AD1737" s="102" t="n"/>
      <c r="AE1737" s="102" t="n"/>
      <c r="AF1737" s="102" t="n"/>
      <c r="AG1737" s="102" t="n"/>
      <c r="AH1737" s="102" t="n"/>
      <c r="AI1737" s="102" t="n"/>
      <c r="AJ1737" s="102" t="n"/>
      <c r="AK1737" s="102" t="n"/>
      <c r="AL1737" s="102" t="n"/>
      <c r="AM1737" s="102" t="n"/>
      <c r="AN1737" s="102" t="n"/>
      <c r="AO1737" s="102" t="n"/>
      <c r="AP1737" s="102" t="n"/>
      <c r="AQ1737" s="102" t="n"/>
      <c r="AR1737" s="102" t="n"/>
    </row>
    <row r="1738">
      <c r="D1738" s="102" t="n"/>
      <c r="E1738" s="102" t="n"/>
      <c r="F1738" s="102" t="n"/>
      <c r="G1738" s="102" t="n"/>
      <c r="H1738" s="102" t="n"/>
      <c r="I1738" s="102" t="n"/>
      <c r="J1738" s="102" t="n"/>
      <c r="K1738" s="102" t="n"/>
      <c r="L1738" s="102" t="n"/>
      <c r="M1738" s="102" t="n"/>
      <c r="N1738" s="102" t="n"/>
      <c r="O1738" s="102" t="n"/>
      <c r="P1738" s="102" t="n"/>
      <c r="Q1738" s="102" t="n"/>
      <c r="R1738" s="102" t="n"/>
      <c r="S1738" s="102" t="n"/>
      <c r="T1738" s="102" t="n"/>
      <c r="U1738" s="102" t="n"/>
      <c r="V1738" s="102" t="n"/>
      <c r="W1738" s="102" t="n"/>
      <c r="X1738" s="102" t="n"/>
      <c r="Y1738" s="102" t="n"/>
      <c r="Z1738" s="102" t="n"/>
      <c r="AA1738" s="102" t="n"/>
      <c r="AB1738" s="102" t="n"/>
      <c r="AC1738" s="102" t="n"/>
      <c r="AD1738" s="102" t="n"/>
      <c r="AE1738" s="102" t="n"/>
      <c r="AF1738" s="102" t="n"/>
      <c r="AG1738" s="102" t="n"/>
      <c r="AH1738" s="102" t="n"/>
      <c r="AI1738" s="102" t="n"/>
      <c r="AJ1738" s="102" t="n"/>
      <c r="AK1738" s="102" t="n"/>
      <c r="AL1738" s="102" t="n"/>
      <c r="AM1738" s="102" t="n"/>
      <c r="AN1738" s="102" t="n"/>
      <c r="AO1738" s="102" t="n"/>
      <c r="AP1738" s="102" t="n"/>
      <c r="AQ1738" s="102" t="n"/>
      <c r="AR1738" s="102" t="n"/>
    </row>
    <row r="1739">
      <c r="D1739" s="102" t="n"/>
      <c r="E1739" s="102" t="n"/>
      <c r="F1739" s="102" t="n"/>
      <c r="G1739" s="102" t="n"/>
      <c r="H1739" s="102" t="n"/>
      <c r="I1739" s="102" t="n"/>
      <c r="J1739" s="102" t="n"/>
      <c r="K1739" s="102" t="n"/>
      <c r="L1739" s="102" t="n"/>
      <c r="M1739" s="102" t="n"/>
      <c r="N1739" s="102" t="n"/>
      <c r="O1739" s="102" t="n"/>
      <c r="P1739" s="102" t="n"/>
      <c r="Q1739" s="102" t="n"/>
      <c r="R1739" s="102" t="n"/>
      <c r="S1739" s="102" t="n"/>
      <c r="T1739" s="102" t="n"/>
      <c r="U1739" s="102" t="n"/>
      <c r="V1739" s="102" t="n"/>
      <c r="W1739" s="102" t="n"/>
      <c r="X1739" s="102" t="n"/>
      <c r="Y1739" s="102" t="n"/>
      <c r="Z1739" s="102" t="n"/>
      <c r="AA1739" s="102" t="n"/>
      <c r="AB1739" s="102" t="n"/>
      <c r="AC1739" s="102" t="n"/>
      <c r="AD1739" s="102" t="n"/>
      <c r="AE1739" s="102" t="n"/>
      <c r="AF1739" s="102" t="n"/>
      <c r="AG1739" s="102" t="n"/>
      <c r="AH1739" s="102" t="n"/>
      <c r="AI1739" s="102" t="n"/>
      <c r="AJ1739" s="102" t="n"/>
      <c r="AK1739" s="102" t="n"/>
      <c r="AL1739" s="102" t="n"/>
      <c r="AM1739" s="102" t="n"/>
      <c r="AN1739" s="102" t="n"/>
      <c r="AO1739" s="102" t="n"/>
      <c r="AP1739" s="102" t="n"/>
      <c r="AQ1739" s="102" t="n"/>
      <c r="AR1739" s="102" t="n"/>
    </row>
    <row r="1740">
      <c r="D1740" s="160" t="n"/>
      <c r="E1740" s="160" t="n"/>
      <c r="F1740" s="160" t="n"/>
      <c r="G1740" s="160" t="n"/>
      <c r="H1740" s="160" t="n"/>
      <c r="I1740" s="160" t="n"/>
      <c r="J1740" s="160" t="n"/>
      <c r="K1740" s="160" t="n"/>
      <c r="L1740" s="160" t="n"/>
      <c r="M1740" s="160" t="n"/>
      <c r="N1740" s="160" t="n"/>
      <c r="O1740" s="160" t="n"/>
      <c r="P1740" s="160" t="n"/>
      <c r="Q1740" s="160" t="n"/>
      <c r="R1740" s="160" t="n"/>
      <c r="S1740" s="160" t="n"/>
      <c r="T1740" s="160" t="n"/>
      <c r="U1740" s="160" t="n"/>
      <c r="V1740" s="160" t="n"/>
      <c r="W1740" s="160" t="n"/>
      <c r="X1740" s="160" t="n"/>
      <c r="Y1740" s="160" t="n"/>
      <c r="Z1740" s="160" t="n"/>
      <c r="AA1740" s="160" t="n"/>
      <c r="AB1740" s="160" t="n"/>
      <c r="AC1740" s="160" t="n"/>
      <c r="AD1740" s="160" t="n"/>
      <c r="AE1740" s="160" t="n"/>
      <c r="AF1740" s="160" t="n"/>
      <c r="AG1740" s="160" t="n"/>
      <c r="AH1740" s="160" t="n"/>
      <c r="AI1740" s="160" t="n"/>
      <c r="AJ1740" s="160" t="n"/>
      <c r="AK1740" s="160" t="n"/>
      <c r="AL1740" s="160" t="n"/>
      <c r="AM1740" s="160" t="n"/>
      <c r="AN1740" s="160" t="n"/>
      <c r="AO1740" s="160" t="n"/>
      <c r="AP1740" s="160" t="n"/>
      <c r="AQ1740" s="160" t="n"/>
      <c r="AR1740" s="160" t="n"/>
    </row>
    <row r="1743">
      <c r="A1743" s="2">
        <f>IF($A1736="","","   projections")</f>
        <v/>
      </c>
      <c r="B1743" s="158">
        <f>IF($A1736="",0,COUNT($E1744:$AR1744))</f>
        <v/>
      </c>
      <c r="C1743" s="159">
        <f>IF($B1743=0,0,MAX($E1744:$AR1744))</f>
        <v/>
      </c>
      <c r="D1743" s="101">
        <f>BDS($A1736,FLD_PROJ,"headers=y","startcol=1","endcol=3","dir=h")</f>
        <v/>
      </c>
      <c r="E1743" s="102" t="n"/>
      <c r="F1743" s="102" t="n"/>
      <c r="G1743" s="102" t="n"/>
      <c r="H1743" s="102" t="n"/>
      <c r="I1743" s="102" t="n"/>
      <c r="J1743" s="102" t="n"/>
      <c r="K1743" s="102" t="n"/>
      <c r="L1743" s="102" t="n"/>
      <c r="M1743" s="102" t="n"/>
      <c r="N1743" s="102" t="n"/>
      <c r="O1743" s="102" t="n"/>
      <c r="P1743" s="102" t="n"/>
      <c r="Q1743" s="102" t="n"/>
      <c r="R1743" s="102" t="n"/>
      <c r="S1743" s="102" t="n"/>
      <c r="T1743" s="102" t="n"/>
      <c r="U1743" s="102" t="n"/>
      <c r="V1743" s="102" t="n"/>
      <c r="W1743" s="102" t="n"/>
      <c r="X1743" s="102" t="n"/>
      <c r="Y1743" s="102" t="n"/>
      <c r="Z1743" s="102" t="n"/>
      <c r="AA1743" s="102" t="n"/>
      <c r="AB1743" s="102" t="n"/>
      <c r="AC1743" s="102" t="n"/>
      <c r="AD1743" s="102" t="n"/>
      <c r="AE1743" s="102" t="n"/>
      <c r="AF1743" s="102" t="n"/>
      <c r="AG1743" s="102" t="n"/>
      <c r="AH1743" s="102" t="n"/>
      <c r="AI1743" s="102" t="n"/>
      <c r="AJ1743" s="102" t="n"/>
      <c r="AK1743" s="102" t="n"/>
      <c r="AL1743" s="102" t="n"/>
      <c r="AM1743" s="102" t="n"/>
      <c r="AN1743" s="102" t="n"/>
      <c r="AO1743" s="102" t="n"/>
      <c r="AP1743" s="102" t="n"/>
      <c r="AQ1743" s="102" t="n"/>
      <c r="AR1743" s="102" t="n"/>
    </row>
    <row r="1744">
      <c r="D1744" s="102" t="n"/>
      <c r="E1744" s="102" t="n"/>
      <c r="F1744" s="102" t="n"/>
      <c r="G1744" s="102" t="n"/>
      <c r="H1744" s="102" t="n"/>
      <c r="I1744" s="102" t="n"/>
      <c r="J1744" s="102" t="n"/>
      <c r="K1744" s="102" t="n"/>
      <c r="L1744" s="102" t="n"/>
      <c r="M1744" s="102" t="n"/>
      <c r="N1744" s="102" t="n"/>
      <c r="O1744" s="102" t="n"/>
      <c r="P1744" s="102" t="n"/>
      <c r="Q1744" s="102" t="n"/>
      <c r="R1744" s="102" t="n"/>
      <c r="S1744" s="102" t="n"/>
      <c r="T1744" s="102" t="n"/>
      <c r="U1744" s="102" t="n"/>
      <c r="V1744" s="102" t="n"/>
      <c r="W1744" s="102" t="n"/>
      <c r="X1744" s="102" t="n"/>
      <c r="Y1744" s="102" t="n"/>
      <c r="Z1744" s="102" t="n"/>
      <c r="AA1744" s="102" t="n"/>
      <c r="AB1744" s="102" t="n"/>
      <c r="AC1744" s="102" t="n"/>
      <c r="AD1744" s="102" t="n"/>
      <c r="AE1744" s="102" t="n"/>
      <c r="AF1744" s="102" t="n"/>
      <c r="AG1744" s="102" t="n"/>
      <c r="AH1744" s="102" t="n"/>
      <c r="AI1744" s="102" t="n"/>
      <c r="AJ1744" s="102" t="n"/>
      <c r="AK1744" s="102" t="n"/>
      <c r="AL1744" s="102" t="n"/>
      <c r="AM1744" s="102" t="n"/>
      <c r="AN1744" s="102" t="n"/>
      <c r="AO1744" s="102" t="n"/>
      <c r="AP1744" s="102" t="n"/>
      <c r="AQ1744" s="102" t="n"/>
      <c r="AR1744" s="102" t="n"/>
    </row>
    <row r="1745">
      <c r="D1745" s="160" t="n"/>
      <c r="E1745" s="160" t="n"/>
      <c r="F1745" s="160" t="n"/>
      <c r="G1745" s="160" t="n"/>
      <c r="H1745" s="160" t="n"/>
      <c r="I1745" s="160" t="n"/>
      <c r="J1745" s="160" t="n"/>
      <c r="K1745" s="160" t="n"/>
      <c r="L1745" s="160" t="n"/>
      <c r="M1745" s="160" t="n"/>
      <c r="N1745" s="160" t="n"/>
      <c r="O1745" s="160" t="n"/>
      <c r="P1745" s="160" t="n"/>
      <c r="Q1745" s="160" t="n"/>
      <c r="R1745" s="160" t="n"/>
      <c r="S1745" s="160" t="n"/>
      <c r="T1745" s="160" t="n"/>
      <c r="U1745" s="160" t="n"/>
      <c r="V1745" s="160" t="n"/>
      <c r="W1745" s="160" t="n"/>
      <c r="X1745" s="160" t="n"/>
      <c r="Y1745" s="160" t="n"/>
      <c r="Z1745" s="160" t="n"/>
      <c r="AA1745" s="160" t="n"/>
      <c r="AB1745" s="160" t="n"/>
      <c r="AC1745" s="160" t="n"/>
      <c r="AD1745" s="160" t="n"/>
      <c r="AE1745" s="160" t="n"/>
      <c r="AF1745" s="160" t="n"/>
      <c r="AG1745" s="160" t="n"/>
      <c r="AH1745" s="160" t="n"/>
      <c r="AI1745" s="160" t="n"/>
      <c r="AJ1745" s="160" t="n"/>
      <c r="AK1745" s="160" t="n"/>
      <c r="AL1745" s="160" t="n"/>
      <c r="AM1745" s="160" t="n"/>
      <c r="AN1745" s="160" t="n"/>
      <c r="AO1745" s="160" t="n"/>
      <c r="AP1745" s="160" t="n"/>
      <c r="AQ1745" s="160" t="n"/>
      <c r="AR1745" s="160" t="n"/>
    </row>
    <row r="1747">
      <c r="A1747" s="8">
        <f>IF(HSCEI!$C$24="","",HSCEI!$C$24)</f>
        <v/>
      </c>
      <c r="B1747" s="158">
        <f>IF($A1747="",0,COUNT($E1748:$AR1748))</f>
        <v/>
      </c>
      <c r="C1747" s="159">
        <f>IF($B1747=0,0,MAX($E1748:$AR1748))</f>
        <v/>
      </c>
      <c r="D1747" s="101">
        <f>BDS($A1747,FLD_HIST,"headers=y","startcol=1","endcol=7","dir=h","DVD_START_DT",HIST_FROM,"DVD_END_DT",HIST_TO)</f>
        <v/>
      </c>
      <c r="E1747" s="102" t="n"/>
      <c r="F1747" s="102" t="n"/>
      <c r="G1747" s="102" t="n"/>
      <c r="H1747" s="102" t="n"/>
      <c r="I1747" s="102" t="n"/>
      <c r="J1747" s="102" t="n"/>
      <c r="K1747" s="102" t="n"/>
      <c r="L1747" s="102" t="n"/>
      <c r="M1747" s="102" t="n"/>
      <c r="N1747" s="102" t="n"/>
      <c r="O1747" s="102" t="n"/>
      <c r="P1747" s="102" t="n"/>
      <c r="Q1747" s="102" t="n"/>
      <c r="R1747" s="102" t="n"/>
      <c r="S1747" s="102" t="n"/>
      <c r="T1747" s="102" t="n"/>
      <c r="U1747" s="102" t="n"/>
      <c r="V1747" s="102" t="n"/>
      <c r="W1747" s="102" t="n"/>
      <c r="X1747" s="102" t="n"/>
      <c r="Y1747" s="102" t="n"/>
      <c r="Z1747" s="102" t="n"/>
      <c r="AA1747" s="102" t="n"/>
      <c r="AB1747" s="102" t="n"/>
      <c r="AC1747" s="102" t="n"/>
      <c r="AD1747" s="102" t="n"/>
      <c r="AE1747" s="102" t="n"/>
      <c r="AF1747" s="102" t="n"/>
      <c r="AG1747" s="102" t="n"/>
      <c r="AH1747" s="102" t="n"/>
      <c r="AI1747" s="102" t="n"/>
      <c r="AJ1747" s="102" t="n"/>
      <c r="AK1747" s="102" t="n"/>
      <c r="AL1747" s="102" t="n"/>
      <c r="AM1747" s="102" t="n"/>
      <c r="AN1747" s="102" t="n"/>
      <c r="AO1747" s="102" t="n"/>
      <c r="AP1747" s="102" t="n"/>
      <c r="AQ1747" s="102" t="n"/>
      <c r="AR1747" s="102" t="n"/>
    </row>
    <row r="1748">
      <c r="D1748" s="102" t="n"/>
      <c r="E1748" s="102" t="n"/>
      <c r="F1748" s="102" t="n"/>
      <c r="G1748" s="102" t="n"/>
      <c r="H1748" s="102" t="n"/>
      <c r="I1748" s="102" t="n"/>
      <c r="J1748" s="102" t="n"/>
      <c r="K1748" s="102" t="n"/>
      <c r="L1748" s="102" t="n"/>
      <c r="M1748" s="102" t="n"/>
      <c r="N1748" s="102" t="n"/>
      <c r="O1748" s="102" t="n"/>
      <c r="P1748" s="102" t="n"/>
      <c r="Q1748" s="102" t="n"/>
      <c r="R1748" s="102" t="n"/>
      <c r="S1748" s="102" t="n"/>
      <c r="T1748" s="102" t="n"/>
      <c r="U1748" s="102" t="n"/>
      <c r="V1748" s="102" t="n"/>
      <c r="W1748" s="102" t="n"/>
      <c r="X1748" s="102" t="n"/>
      <c r="Y1748" s="102" t="n"/>
      <c r="Z1748" s="102" t="n"/>
      <c r="AA1748" s="102" t="n"/>
      <c r="AB1748" s="102" t="n"/>
      <c r="AC1748" s="102" t="n"/>
      <c r="AD1748" s="102" t="n"/>
      <c r="AE1748" s="102" t="n"/>
      <c r="AF1748" s="102" t="n"/>
      <c r="AG1748" s="102" t="n"/>
      <c r="AH1748" s="102" t="n"/>
      <c r="AI1748" s="102" t="n"/>
      <c r="AJ1748" s="102" t="n"/>
      <c r="AK1748" s="102" t="n"/>
      <c r="AL1748" s="102" t="n"/>
      <c r="AM1748" s="102" t="n"/>
      <c r="AN1748" s="102" t="n"/>
      <c r="AO1748" s="102" t="n"/>
      <c r="AP1748" s="102" t="n"/>
      <c r="AQ1748" s="102" t="n"/>
      <c r="AR1748" s="102" t="n"/>
    </row>
    <row r="1749">
      <c r="D1749" s="102" t="n"/>
      <c r="E1749" s="102" t="n"/>
      <c r="F1749" s="102" t="n"/>
      <c r="G1749" s="102" t="n"/>
      <c r="H1749" s="102" t="n"/>
      <c r="I1749" s="102" t="n"/>
      <c r="J1749" s="102" t="n"/>
      <c r="K1749" s="102" t="n"/>
      <c r="L1749" s="102" t="n"/>
      <c r="M1749" s="102" t="n"/>
      <c r="N1749" s="102" t="n"/>
      <c r="O1749" s="102" t="n"/>
      <c r="P1749" s="102" t="n"/>
      <c r="Q1749" s="102" t="n"/>
      <c r="R1749" s="102" t="n"/>
      <c r="S1749" s="102" t="n"/>
      <c r="T1749" s="102" t="n"/>
      <c r="U1749" s="102" t="n"/>
      <c r="V1749" s="102" t="n"/>
      <c r="W1749" s="102" t="n"/>
      <c r="X1749" s="102" t="n"/>
      <c r="Y1749" s="102" t="n"/>
      <c r="Z1749" s="102" t="n"/>
      <c r="AA1749" s="102" t="n"/>
      <c r="AB1749" s="102" t="n"/>
      <c r="AC1749" s="102" t="n"/>
      <c r="AD1749" s="102" t="n"/>
      <c r="AE1749" s="102" t="n"/>
      <c r="AF1749" s="102" t="n"/>
      <c r="AG1749" s="102" t="n"/>
      <c r="AH1749" s="102" t="n"/>
      <c r="AI1749" s="102" t="n"/>
      <c r="AJ1749" s="102" t="n"/>
      <c r="AK1749" s="102" t="n"/>
      <c r="AL1749" s="102" t="n"/>
      <c r="AM1749" s="102" t="n"/>
      <c r="AN1749" s="102" t="n"/>
      <c r="AO1749" s="102" t="n"/>
      <c r="AP1749" s="102" t="n"/>
      <c r="AQ1749" s="102" t="n"/>
      <c r="AR1749" s="102" t="n"/>
    </row>
    <row r="1750">
      <c r="D1750" s="102" t="n"/>
      <c r="E1750" s="102" t="n"/>
      <c r="F1750" s="102" t="n"/>
      <c r="G1750" s="102" t="n"/>
      <c r="H1750" s="102" t="n"/>
      <c r="I1750" s="102" t="n"/>
      <c r="J1750" s="102" t="n"/>
      <c r="K1750" s="102" t="n"/>
      <c r="L1750" s="102" t="n"/>
      <c r="M1750" s="102" t="n"/>
      <c r="N1750" s="102" t="n"/>
      <c r="O1750" s="102" t="n"/>
      <c r="P1750" s="102" t="n"/>
      <c r="Q1750" s="102" t="n"/>
      <c r="R1750" s="102" t="n"/>
      <c r="S1750" s="102" t="n"/>
      <c r="T1750" s="102" t="n"/>
      <c r="U1750" s="102" t="n"/>
      <c r="V1750" s="102" t="n"/>
      <c r="W1750" s="102" t="n"/>
      <c r="X1750" s="102" t="n"/>
      <c r="Y1750" s="102" t="n"/>
      <c r="Z1750" s="102" t="n"/>
      <c r="AA1750" s="102" t="n"/>
      <c r="AB1750" s="102" t="n"/>
      <c r="AC1750" s="102" t="n"/>
      <c r="AD1750" s="102" t="n"/>
      <c r="AE1750" s="102" t="n"/>
      <c r="AF1750" s="102" t="n"/>
      <c r="AG1750" s="102" t="n"/>
      <c r="AH1750" s="102" t="n"/>
      <c r="AI1750" s="102" t="n"/>
      <c r="AJ1750" s="102" t="n"/>
      <c r="AK1750" s="102" t="n"/>
      <c r="AL1750" s="102" t="n"/>
      <c r="AM1750" s="102" t="n"/>
      <c r="AN1750" s="102" t="n"/>
      <c r="AO1750" s="102" t="n"/>
      <c r="AP1750" s="102" t="n"/>
      <c r="AQ1750" s="102" t="n"/>
      <c r="AR1750" s="102" t="n"/>
    </row>
    <row r="1751">
      <c r="D1751" s="160" t="n"/>
      <c r="E1751" s="160" t="n"/>
      <c r="F1751" s="160" t="n"/>
      <c r="G1751" s="160" t="n"/>
      <c r="H1751" s="160" t="n"/>
      <c r="I1751" s="160" t="n"/>
      <c r="J1751" s="160" t="n"/>
      <c r="K1751" s="160" t="n"/>
      <c r="L1751" s="160" t="n"/>
      <c r="M1751" s="160" t="n"/>
      <c r="N1751" s="160" t="n"/>
      <c r="O1751" s="160" t="n"/>
      <c r="P1751" s="160" t="n"/>
      <c r="Q1751" s="160" t="n"/>
      <c r="R1751" s="160" t="n"/>
      <c r="S1751" s="160" t="n"/>
      <c r="T1751" s="160" t="n"/>
      <c r="U1751" s="160" t="n"/>
      <c r="V1751" s="160" t="n"/>
      <c r="W1751" s="160" t="n"/>
      <c r="X1751" s="160" t="n"/>
      <c r="Y1751" s="160" t="n"/>
      <c r="Z1751" s="160" t="n"/>
      <c r="AA1751" s="160" t="n"/>
      <c r="AB1751" s="160" t="n"/>
      <c r="AC1751" s="160" t="n"/>
      <c r="AD1751" s="160" t="n"/>
      <c r="AE1751" s="160" t="n"/>
      <c r="AF1751" s="160" t="n"/>
      <c r="AG1751" s="160" t="n"/>
      <c r="AH1751" s="160" t="n"/>
      <c r="AI1751" s="160" t="n"/>
      <c r="AJ1751" s="160" t="n"/>
      <c r="AK1751" s="160" t="n"/>
      <c r="AL1751" s="160" t="n"/>
      <c r="AM1751" s="160" t="n"/>
      <c r="AN1751" s="160" t="n"/>
      <c r="AO1751" s="160" t="n"/>
      <c r="AP1751" s="160" t="n"/>
      <c r="AQ1751" s="160" t="n"/>
      <c r="AR1751" s="160" t="n"/>
    </row>
    <row r="1754">
      <c r="A1754" s="2">
        <f>IF($A1747="","","   projections")</f>
        <v/>
      </c>
      <c r="B1754" s="158">
        <f>IF($A1747="",0,COUNT($E1755:$AR1755))</f>
        <v/>
      </c>
      <c r="C1754" s="159">
        <f>IF($B1754=0,0,MAX($E1755:$AR1755))</f>
        <v/>
      </c>
      <c r="D1754" s="101">
        <f>BDS($A1747,FLD_PROJ,"headers=y","startcol=1","endcol=3","dir=h")</f>
        <v/>
      </c>
      <c r="E1754" s="102" t="n"/>
      <c r="F1754" s="102" t="n"/>
      <c r="G1754" s="102" t="n"/>
      <c r="H1754" s="102" t="n"/>
      <c r="I1754" s="102" t="n"/>
      <c r="J1754" s="102" t="n"/>
      <c r="K1754" s="102" t="n"/>
      <c r="L1754" s="102" t="n"/>
      <c r="M1754" s="102" t="n"/>
      <c r="N1754" s="102" t="n"/>
      <c r="O1754" s="102" t="n"/>
      <c r="P1754" s="102" t="n"/>
      <c r="Q1754" s="102" t="n"/>
      <c r="R1754" s="102" t="n"/>
      <c r="S1754" s="102" t="n"/>
      <c r="T1754" s="102" t="n"/>
      <c r="U1754" s="102" t="n"/>
      <c r="V1754" s="102" t="n"/>
      <c r="W1754" s="102" t="n"/>
      <c r="X1754" s="102" t="n"/>
      <c r="Y1754" s="102" t="n"/>
      <c r="Z1754" s="102" t="n"/>
      <c r="AA1754" s="102" t="n"/>
      <c r="AB1754" s="102" t="n"/>
      <c r="AC1754" s="102" t="n"/>
      <c r="AD1754" s="102" t="n"/>
      <c r="AE1754" s="102" t="n"/>
      <c r="AF1754" s="102" t="n"/>
      <c r="AG1754" s="102" t="n"/>
      <c r="AH1754" s="102" t="n"/>
      <c r="AI1754" s="102" t="n"/>
      <c r="AJ1754" s="102" t="n"/>
      <c r="AK1754" s="102" t="n"/>
      <c r="AL1754" s="102" t="n"/>
      <c r="AM1754" s="102" t="n"/>
      <c r="AN1754" s="102" t="n"/>
      <c r="AO1754" s="102" t="n"/>
      <c r="AP1754" s="102" t="n"/>
      <c r="AQ1754" s="102" t="n"/>
      <c r="AR1754" s="102" t="n"/>
    </row>
    <row r="1755">
      <c r="D1755" s="102" t="n"/>
      <c r="E1755" s="102" t="n"/>
      <c r="F1755" s="102" t="n"/>
      <c r="G1755" s="102" t="n"/>
      <c r="H1755" s="102" t="n"/>
      <c r="I1755" s="102" t="n"/>
      <c r="J1755" s="102" t="n"/>
      <c r="K1755" s="102" t="n"/>
      <c r="L1755" s="102" t="n"/>
      <c r="M1755" s="102" t="n"/>
      <c r="N1755" s="102" t="n"/>
      <c r="O1755" s="102" t="n"/>
      <c r="P1755" s="102" t="n"/>
      <c r="Q1755" s="102" t="n"/>
      <c r="R1755" s="102" t="n"/>
      <c r="S1755" s="102" t="n"/>
      <c r="T1755" s="102" t="n"/>
      <c r="U1755" s="102" t="n"/>
      <c r="V1755" s="102" t="n"/>
      <c r="W1755" s="102" t="n"/>
      <c r="X1755" s="102" t="n"/>
      <c r="Y1755" s="102" t="n"/>
      <c r="Z1755" s="102" t="n"/>
      <c r="AA1755" s="102" t="n"/>
      <c r="AB1755" s="102" t="n"/>
      <c r="AC1755" s="102" t="n"/>
      <c r="AD1755" s="102" t="n"/>
      <c r="AE1755" s="102" t="n"/>
      <c r="AF1755" s="102" t="n"/>
      <c r="AG1755" s="102" t="n"/>
      <c r="AH1755" s="102" t="n"/>
      <c r="AI1755" s="102" t="n"/>
      <c r="AJ1755" s="102" t="n"/>
      <c r="AK1755" s="102" t="n"/>
      <c r="AL1755" s="102" t="n"/>
      <c r="AM1755" s="102" t="n"/>
      <c r="AN1755" s="102" t="n"/>
      <c r="AO1755" s="102" t="n"/>
      <c r="AP1755" s="102" t="n"/>
      <c r="AQ1755" s="102" t="n"/>
      <c r="AR1755" s="102" t="n"/>
    </row>
    <row r="1756">
      <c r="D1756" s="160" t="n"/>
      <c r="E1756" s="160" t="n"/>
      <c r="F1756" s="160" t="n"/>
      <c r="G1756" s="160" t="n"/>
      <c r="H1756" s="160" t="n"/>
      <c r="I1756" s="160" t="n"/>
      <c r="J1756" s="160" t="n"/>
      <c r="K1756" s="160" t="n"/>
      <c r="L1756" s="160" t="n"/>
      <c r="M1756" s="160" t="n"/>
      <c r="N1756" s="160" t="n"/>
      <c r="O1756" s="160" t="n"/>
      <c r="P1756" s="160" t="n"/>
      <c r="Q1756" s="160" t="n"/>
      <c r="R1756" s="160" t="n"/>
      <c r="S1756" s="160" t="n"/>
      <c r="T1756" s="160" t="n"/>
      <c r="U1756" s="160" t="n"/>
      <c r="V1756" s="160" t="n"/>
      <c r="W1756" s="160" t="n"/>
      <c r="X1756" s="160" t="n"/>
      <c r="Y1756" s="160" t="n"/>
      <c r="Z1756" s="160" t="n"/>
      <c r="AA1756" s="160" t="n"/>
      <c r="AB1756" s="160" t="n"/>
      <c r="AC1756" s="160" t="n"/>
      <c r="AD1756" s="160" t="n"/>
      <c r="AE1756" s="160" t="n"/>
      <c r="AF1756" s="160" t="n"/>
      <c r="AG1756" s="160" t="n"/>
      <c r="AH1756" s="160" t="n"/>
      <c r="AI1756" s="160" t="n"/>
      <c r="AJ1756" s="160" t="n"/>
      <c r="AK1756" s="160" t="n"/>
      <c r="AL1756" s="160" t="n"/>
      <c r="AM1756" s="160" t="n"/>
      <c r="AN1756" s="160" t="n"/>
      <c r="AO1756" s="160" t="n"/>
      <c r="AP1756" s="160" t="n"/>
      <c r="AQ1756" s="160" t="n"/>
      <c r="AR1756" s="160" t="n"/>
    </row>
    <row r="1758">
      <c r="A1758" s="8">
        <f>IF(HSCEI!$C$25="","",HSCEI!$C$25)</f>
        <v/>
      </c>
      <c r="B1758" s="158">
        <f>IF($A1758="",0,COUNT($E1759:$AR1759))</f>
        <v/>
      </c>
      <c r="C1758" s="159">
        <f>IF($B1758=0,0,MAX($E1759:$AR1759))</f>
        <v/>
      </c>
      <c r="D1758" s="101">
        <f>BDS($A1758,FLD_HIST,"headers=y","startcol=1","endcol=7","dir=h","DVD_START_DT",HIST_FROM,"DVD_END_DT",HIST_TO)</f>
        <v/>
      </c>
      <c r="E1758" s="102" t="n"/>
      <c r="F1758" s="102" t="n"/>
      <c r="G1758" s="102" t="n"/>
      <c r="H1758" s="102" t="n"/>
      <c r="I1758" s="102" t="n"/>
      <c r="J1758" s="102" t="n"/>
      <c r="K1758" s="102" t="n"/>
      <c r="L1758" s="102" t="n"/>
      <c r="M1758" s="102" t="n"/>
      <c r="N1758" s="102" t="n"/>
      <c r="O1758" s="102" t="n"/>
      <c r="P1758" s="102" t="n"/>
      <c r="Q1758" s="102" t="n"/>
      <c r="R1758" s="102" t="n"/>
      <c r="S1758" s="102" t="n"/>
      <c r="T1758" s="102" t="n"/>
      <c r="U1758" s="102" t="n"/>
      <c r="V1758" s="102" t="n"/>
      <c r="W1758" s="102" t="n"/>
      <c r="X1758" s="102" t="n"/>
      <c r="Y1758" s="102" t="n"/>
      <c r="Z1758" s="102" t="n"/>
      <c r="AA1758" s="102" t="n"/>
      <c r="AB1758" s="102" t="n"/>
      <c r="AC1758" s="102" t="n"/>
      <c r="AD1758" s="102" t="n"/>
      <c r="AE1758" s="102" t="n"/>
      <c r="AF1758" s="102" t="n"/>
      <c r="AG1758" s="102" t="n"/>
      <c r="AH1758" s="102" t="n"/>
      <c r="AI1758" s="102" t="n"/>
      <c r="AJ1758" s="102" t="n"/>
      <c r="AK1758" s="102" t="n"/>
      <c r="AL1758" s="102" t="n"/>
      <c r="AM1758" s="102" t="n"/>
      <c r="AN1758" s="102" t="n"/>
      <c r="AO1758" s="102" t="n"/>
      <c r="AP1758" s="102" t="n"/>
      <c r="AQ1758" s="102" t="n"/>
      <c r="AR1758" s="102" t="n"/>
    </row>
    <row r="1759">
      <c r="D1759" s="102" t="n"/>
      <c r="E1759" s="102" t="n"/>
      <c r="F1759" s="102" t="n"/>
      <c r="G1759" s="102" t="n"/>
      <c r="H1759" s="102" t="n"/>
      <c r="I1759" s="102" t="n"/>
      <c r="J1759" s="102" t="n"/>
      <c r="K1759" s="102" t="n"/>
      <c r="L1759" s="102" t="n"/>
      <c r="M1759" s="102" t="n"/>
      <c r="N1759" s="102" t="n"/>
      <c r="O1759" s="102" t="n"/>
      <c r="P1759" s="102" t="n"/>
      <c r="Q1759" s="102" t="n"/>
      <c r="R1759" s="102" t="n"/>
      <c r="S1759" s="102" t="n"/>
      <c r="T1759" s="102" t="n"/>
      <c r="U1759" s="102" t="n"/>
      <c r="V1759" s="102" t="n"/>
      <c r="W1759" s="102" t="n"/>
      <c r="X1759" s="102" t="n"/>
      <c r="Y1759" s="102" t="n"/>
      <c r="Z1759" s="102" t="n"/>
      <c r="AA1759" s="102" t="n"/>
      <c r="AB1759" s="102" t="n"/>
      <c r="AC1759" s="102" t="n"/>
      <c r="AD1759" s="102" t="n"/>
      <c r="AE1759" s="102" t="n"/>
      <c r="AF1759" s="102" t="n"/>
      <c r="AG1759" s="102" t="n"/>
      <c r="AH1759" s="102" t="n"/>
      <c r="AI1759" s="102" t="n"/>
      <c r="AJ1759" s="102" t="n"/>
      <c r="AK1759" s="102" t="n"/>
      <c r="AL1759" s="102" t="n"/>
      <c r="AM1759" s="102" t="n"/>
      <c r="AN1759" s="102" t="n"/>
      <c r="AO1759" s="102" t="n"/>
      <c r="AP1759" s="102" t="n"/>
      <c r="AQ1759" s="102" t="n"/>
      <c r="AR1759" s="102" t="n"/>
    </row>
    <row r="1760">
      <c r="D1760" s="102" t="n"/>
      <c r="E1760" s="102" t="n"/>
      <c r="F1760" s="102" t="n"/>
      <c r="G1760" s="102" t="n"/>
      <c r="H1760" s="102" t="n"/>
      <c r="I1760" s="102" t="n"/>
      <c r="J1760" s="102" t="n"/>
      <c r="K1760" s="102" t="n"/>
      <c r="L1760" s="102" t="n"/>
      <c r="M1760" s="102" t="n"/>
      <c r="N1760" s="102" t="n"/>
      <c r="O1760" s="102" t="n"/>
      <c r="P1760" s="102" t="n"/>
      <c r="Q1760" s="102" t="n"/>
      <c r="R1760" s="102" t="n"/>
      <c r="S1760" s="102" t="n"/>
      <c r="T1760" s="102" t="n"/>
      <c r="U1760" s="102" t="n"/>
      <c r="V1760" s="102" t="n"/>
      <c r="W1760" s="102" t="n"/>
      <c r="X1760" s="102" t="n"/>
      <c r="Y1760" s="102" t="n"/>
      <c r="Z1760" s="102" t="n"/>
      <c r="AA1760" s="102" t="n"/>
      <c r="AB1760" s="102" t="n"/>
      <c r="AC1760" s="102" t="n"/>
      <c r="AD1760" s="102" t="n"/>
      <c r="AE1760" s="102" t="n"/>
      <c r="AF1760" s="102" t="n"/>
      <c r="AG1760" s="102" t="n"/>
      <c r="AH1760" s="102" t="n"/>
      <c r="AI1760" s="102" t="n"/>
      <c r="AJ1760" s="102" t="n"/>
      <c r="AK1760" s="102" t="n"/>
      <c r="AL1760" s="102" t="n"/>
      <c r="AM1760" s="102" t="n"/>
      <c r="AN1760" s="102" t="n"/>
      <c r="AO1760" s="102" t="n"/>
      <c r="AP1760" s="102" t="n"/>
      <c r="AQ1760" s="102" t="n"/>
      <c r="AR1760" s="102" t="n"/>
    </row>
    <row r="1761">
      <c r="D1761" s="102" t="n"/>
      <c r="E1761" s="102" t="n"/>
      <c r="F1761" s="102" t="n"/>
      <c r="G1761" s="102" t="n"/>
      <c r="H1761" s="102" t="n"/>
      <c r="I1761" s="102" t="n"/>
      <c r="J1761" s="102" t="n"/>
      <c r="K1761" s="102" t="n"/>
      <c r="L1761" s="102" t="n"/>
      <c r="M1761" s="102" t="n"/>
      <c r="N1761" s="102" t="n"/>
      <c r="O1761" s="102" t="n"/>
      <c r="P1761" s="102" t="n"/>
      <c r="Q1761" s="102" t="n"/>
      <c r="R1761" s="102" t="n"/>
      <c r="S1761" s="102" t="n"/>
      <c r="T1761" s="102" t="n"/>
      <c r="U1761" s="102" t="n"/>
      <c r="V1761" s="102" t="n"/>
      <c r="W1761" s="102" t="n"/>
      <c r="X1761" s="102" t="n"/>
      <c r="Y1761" s="102" t="n"/>
      <c r="Z1761" s="102" t="n"/>
      <c r="AA1761" s="102" t="n"/>
      <c r="AB1761" s="102" t="n"/>
      <c r="AC1761" s="102" t="n"/>
      <c r="AD1761" s="102" t="n"/>
      <c r="AE1761" s="102" t="n"/>
      <c r="AF1761" s="102" t="n"/>
      <c r="AG1761" s="102" t="n"/>
      <c r="AH1761" s="102" t="n"/>
      <c r="AI1761" s="102" t="n"/>
      <c r="AJ1761" s="102" t="n"/>
      <c r="AK1761" s="102" t="n"/>
      <c r="AL1761" s="102" t="n"/>
      <c r="AM1761" s="102" t="n"/>
      <c r="AN1761" s="102" t="n"/>
      <c r="AO1761" s="102" t="n"/>
      <c r="AP1761" s="102" t="n"/>
      <c r="AQ1761" s="102" t="n"/>
      <c r="AR1761" s="102" t="n"/>
    </row>
    <row r="1762">
      <c r="D1762" s="160" t="n"/>
      <c r="E1762" s="160" t="n"/>
      <c r="F1762" s="160" t="n"/>
      <c r="G1762" s="160" t="n"/>
      <c r="H1762" s="160" t="n"/>
      <c r="I1762" s="160" t="n"/>
      <c r="J1762" s="160" t="n"/>
      <c r="K1762" s="160" t="n"/>
      <c r="L1762" s="160" t="n"/>
      <c r="M1762" s="160" t="n"/>
      <c r="N1762" s="160" t="n"/>
      <c r="O1762" s="160" t="n"/>
      <c r="P1762" s="160" t="n"/>
      <c r="Q1762" s="160" t="n"/>
      <c r="R1762" s="160" t="n"/>
      <c r="S1762" s="160" t="n"/>
      <c r="T1762" s="160" t="n"/>
      <c r="U1762" s="160" t="n"/>
      <c r="V1762" s="160" t="n"/>
      <c r="W1762" s="160" t="n"/>
      <c r="X1762" s="160" t="n"/>
      <c r="Y1762" s="160" t="n"/>
      <c r="Z1762" s="160" t="n"/>
      <c r="AA1762" s="160" t="n"/>
      <c r="AB1762" s="160" t="n"/>
      <c r="AC1762" s="160" t="n"/>
      <c r="AD1762" s="160" t="n"/>
      <c r="AE1762" s="160" t="n"/>
      <c r="AF1762" s="160" t="n"/>
      <c r="AG1762" s="160" t="n"/>
      <c r="AH1762" s="160" t="n"/>
      <c r="AI1762" s="160" t="n"/>
      <c r="AJ1762" s="160" t="n"/>
      <c r="AK1762" s="160" t="n"/>
      <c r="AL1762" s="160" t="n"/>
      <c r="AM1762" s="160" t="n"/>
      <c r="AN1762" s="160" t="n"/>
      <c r="AO1762" s="160" t="n"/>
      <c r="AP1762" s="160" t="n"/>
      <c r="AQ1762" s="160" t="n"/>
      <c r="AR1762" s="160" t="n"/>
    </row>
    <row r="1765">
      <c r="A1765" s="2">
        <f>IF($A1758="","","   projections")</f>
        <v/>
      </c>
      <c r="B1765" s="158">
        <f>IF($A1758="",0,COUNT($E1766:$AR1766))</f>
        <v/>
      </c>
      <c r="C1765" s="159">
        <f>IF($B1765=0,0,MAX($E1766:$AR1766))</f>
        <v/>
      </c>
      <c r="D1765" s="101">
        <f>BDS($A1758,FLD_PROJ,"headers=y","startcol=1","endcol=3","dir=h")</f>
        <v/>
      </c>
      <c r="E1765" s="102" t="n"/>
      <c r="F1765" s="102" t="n"/>
      <c r="G1765" s="102" t="n"/>
      <c r="H1765" s="102" t="n"/>
      <c r="I1765" s="102" t="n"/>
      <c r="J1765" s="102" t="n"/>
      <c r="K1765" s="102" t="n"/>
      <c r="L1765" s="102" t="n"/>
      <c r="M1765" s="102" t="n"/>
      <c r="N1765" s="102" t="n"/>
      <c r="O1765" s="102" t="n"/>
      <c r="P1765" s="102" t="n"/>
      <c r="Q1765" s="102" t="n"/>
      <c r="R1765" s="102" t="n"/>
      <c r="S1765" s="102" t="n"/>
      <c r="T1765" s="102" t="n"/>
      <c r="U1765" s="102" t="n"/>
      <c r="V1765" s="102" t="n"/>
      <c r="W1765" s="102" t="n"/>
      <c r="X1765" s="102" t="n"/>
      <c r="Y1765" s="102" t="n"/>
      <c r="Z1765" s="102" t="n"/>
      <c r="AA1765" s="102" t="n"/>
      <c r="AB1765" s="102" t="n"/>
      <c r="AC1765" s="102" t="n"/>
      <c r="AD1765" s="102" t="n"/>
      <c r="AE1765" s="102" t="n"/>
      <c r="AF1765" s="102" t="n"/>
      <c r="AG1765" s="102" t="n"/>
      <c r="AH1765" s="102" t="n"/>
      <c r="AI1765" s="102" t="n"/>
      <c r="AJ1765" s="102" t="n"/>
      <c r="AK1765" s="102" t="n"/>
      <c r="AL1765" s="102" t="n"/>
      <c r="AM1765" s="102" t="n"/>
      <c r="AN1765" s="102" t="n"/>
      <c r="AO1765" s="102" t="n"/>
      <c r="AP1765" s="102" t="n"/>
      <c r="AQ1765" s="102" t="n"/>
      <c r="AR1765" s="102" t="n"/>
    </row>
    <row r="1766">
      <c r="D1766" s="102" t="n"/>
      <c r="E1766" s="102" t="n"/>
      <c r="F1766" s="102" t="n"/>
      <c r="G1766" s="102" t="n"/>
      <c r="H1766" s="102" t="n"/>
      <c r="I1766" s="102" t="n"/>
      <c r="J1766" s="102" t="n"/>
      <c r="K1766" s="102" t="n"/>
      <c r="L1766" s="102" t="n"/>
      <c r="M1766" s="102" t="n"/>
      <c r="N1766" s="102" t="n"/>
      <c r="O1766" s="102" t="n"/>
      <c r="P1766" s="102" t="n"/>
      <c r="Q1766" s="102" t="n"/>
      <c r="R1766" s="102" t="n"/>
      <c r="S1766" s="102" t="n"/>
      <c r="T1766" s="102" t="n"/>
      <c r="U1766" s="102" t="n"/>
      <c r="V1766" s="102" t="n"/>
      <c r="W1766" s="102" t="n"/>
      <c r="X1766" s="102" t="n"/>
      <c r="Y1766" s="102" t="n"/>
      <c r="Z1766" s="102" t="n"/>
      <c r="AA1766" s="102" t="n"/>
      <c r="AB1766" s="102" t="n"/>
      <c r="AC1766" s="102" t="n"/>
      <c r="AD1766" s="102" t="n"/>
      <c r="AE1766" s="102" t="n"/>
      <c r="AF1766" s="102" t="n"/>
      <c r="AG1766" s="102" t="n"/>
      <c r="AH1766" s="102" t="n"/>
      <c r="AI1766" s="102" t="n"/>
      <c r="AJ1766" s="102" t="n"/>
      <c r="AK1766" s="102" t="n"/>
      <c r="AL1766" s="102" t="n"/>
      <c r="AM1766" s="102" t="n"/>
      <c r="AN1766" s="102" t="n"/>
      <c r="AO1766" s="102" t="n"/>
      <c r="AP1766" s="102" t="n"/>
      <c r="AQ1766" s="102" t="n"/>
      <c r="AR1766" s="102" t="n"/>
    </row>
    <row r="1767">
      <c r="D1767" s="160" t="n"/>
      <c r="E1767" s="160" t="n"/>
      <c r="F1767" s="160" t="n"/>
      <c r="G1767" s="160" t="n"/>
      <c r="H1767" s="160" t="n"/>
      <c r="I1767" s="160" t="n"/>
      <c r="J1767" s="160" t="n"/>
      <c r="K1767" s="160" t="n"/>
      <c r="L1767" s="160" t="n"/>
      <c r="M1767" s="160" t="n"/>
      <c r="N1767" s="160" t="n"/>
      <c r="O1767" s="160" t="n"/>
      <c r="P1767" s="160" t="n"/>
      <c r="Q1767" s="160" t="n"/>
      <c r="R1767" s="160" t="n"/>
      <c r="S1767" s="160" t="n"/>
      <c r="T1767" s="160" t="n"/>
      <c r="U1767" s="160" t="n"/>
      <c r="V1767" s="160" t="n"/>
      <c r="W1767" s="160" t="n"/>
      <c r="X1767" s="160" t="n"/>
      <c r="Y1767" s="160" t="n"/>
      <c r="Z1767" s="160" t="n"/>
      <c r="AA1767" s="160" t="n"/>
      <c r="AB1767" s="160" t="n"/>
      <c r="AC1767" s="160" t="n"/>
      <c r="AD1767" s="160" t="n"/>
      <c r="AE1767" s="160" t="n"/>
      <c r="AF1767" s="160" t="n"/>
      <c r="AG1767" s="160" t="n"/>
      <c r="AH1767" s="160" t="n"/>
      <c r="AI1767" s="160" t="n"/>
      <c r="AJ1767" s="160" t="n"/>
      <c r="AK1767" s="160" t="n"/>
      <c r="AL1767" s="160" t="n"/>
      <c r="AM1767" s="160" t="n"/>
      <c r="AN1767" s="160" t="n"/>
      <c r="AO1767" s="160" t="n"/>
      <c r="AP1767" s="160" t="n"/>
      <c r="AQ1767" s="160" t="n"/>
      <c r="AR1767" s="160" t="n"/>
    </row>
    <row r="1769">
      <c r="A1769" s="8">
        <f>IF(HSCEI!$C$26="","",HSCEI!$C$26)</f>
        <v/>
      </c>
      <c r="B1769" s="158">
        <f>IF($A1769="",0,COUNT($E1770:$AR1770))</f>
        <v/>
      </c>
      <c r="C1769" s="159">
        <f>IF($B1769=0,0,MAX($E1770:$AR1770))</f>
        <v/>
      </c>
      <c r="D1769" s="101">
        <f>BDS($A1769,FLD_HIST,"headers=y","startcol=1","endcol=7","dir=h","DVD_START_DT",HIST_FROM,"DVD_END_DT",HIST_TO)</f>
        <v/>
      </c>
      <c r="E1769" s="102" t="n"/>
      <c r="F1769" s="102" t="n"/>
      <c r="G1769" s="102" t="n"/>
      <c r="H1769" s="102" t="n"/>
      <c r="I1769" s="102" t="n"/>
      <c r="J1769" s="102" t="n"/>
      <c r="K1769" s="102" t="n"/>
      <c r="L1769" s="102" t="n"/>
      <c r="M1769" s="102" t="n"/>
      <c r="N1769" s="102" t="n"/>
      <c r="O1769" s="102" t="n"/>
      <c r="P1769" s="102" t="n"/>
      <c r="Q1769" s="102" t="n"/>
      <c r="R1769" s="102" t="n"/>
      <c r="S1769" s="102" t="n"/>
      <c r="T1769" s="102" t="n"/>
      <c r="U1769" s="102" t="n"/>
      <c r="V1769" s="102" t="n"/>
      <c r="W1769" s="102" t="n"/>
      <c r="X1769" s="102" t="n"/>
      <c r="Y1769" s="102" t="n"/>
      <c r="Z1769" s="102" t="n"/>
      <c r="AA1769" s="102" t="n"/>
      <c r="AB1769" s="102" t="n"/>
      <c r="AC1769" s="102" t="n"/>
      <c r="AD1769" s="102" t="n"/>
      <c r="AE1769" s="102" t="n"/>
      <c r="AF1769" s="102" t="n"/>
      <c r="AG1769" s="102" t="n"/>
      <c r="AH1769" s="102" t="n"/>
      <c r="AI1769" s="102" t="n"/>
      <c r="AJ1769" s="102" t="n"/>
      <c r="AK1769" s="102" t="n"/>
      <c r="AL1769" s="102" t="n"/>
      <c r="AM1769" s="102" t="n"/>
      <c r="AN1769" s="102" t="n"/>
      <c r="AO1769" s="102" t="n"/>
      <c r="AP1769" s="102" t="n"/>
      <c r="AQ1769" s="102" t="n"/>
      <c r="AR1769" s="102" t="n"/>
    </row>
    <row r="1770">
      <c r="D1770" s="102" t="n"/>
      <c r="E1770" s="102" t="n"/>
      <c r="F1770" s="102" t="n"/>
      <c r="G1770" s="102" t="n"/>
      <c r="H1770" s="102" t="n"/>
      <c r="I1770" s="102" t="n"/>
      <c r="J1770" s="102" t="n"/>
      <c r="K1770" s="102" t="n"/>
      <c r="L1770" s="102" t="n"/>
      <c r="M1770" s="102" t="n"/>
      <c r="N1770" s="102" t="n"/>
      <c r="O1770" s="102" t="n"/>
      <c r="P1770" s="102" t="n"/>
      <c r="Q1770" s="102" t="n"/>
      <c r="R1770" s="102" t="n"/>
      <c r="S1770" s="102" t="n"/>
      <c r="T1770" s="102" t="n"/>
      <c r="U1770" s="102" t="n"/>
      <c r="V1770" s="102" t="n"/>
      <c r="W1770" s="102" t="n"/>
      <c r="X1770" s="102" t="n"/>
      <c r="Y1770" s="102" t="n"/>
      <c r="Z1770" s="102" t="n"/>
      <c r="AA1770" s="102" t="n"/>
      <c r="AB1770" s="102" t="n"/>
      <c r="AC1770" s="102" t="n"/>
      <c r="AD1770" s="102" t="n"/>
      <c r="AE1770" s="102" t="n"/>
      <c r="AF1770" s="102" t="n"/>
      <c r="AG1770" s="102" t="n"/>
      <c r="AH1770" s="102" t="n"/>
      <c r="AI1770" s="102" t="n"/>
      <c r="AJ1770" s="102" t="n"/>
      <c r="AK1770" s="102" t="n"/>
      <c r="AL1770" s="102" t="n"/>
      <c r="AM1770" s="102" t="n"/>
      <c r="AN1770" s="102" t="n"/>
      <c r="AO1770" s="102" t="n"/>
      <c r="AP1770" s="102" t="n"/>
      <c r="AQ1770" s="102" t="n"/>
      <c r="AR1770" s="102" t="n"/>
    </row>
    <row r="1771">
      <c r="D1771" s="102" t="n"/>
      <c r="E1771" s="102" t="n"/>
      <c r="F1771" s="102" t="n"/>
      <c r="G1771" s="102" t="n"/>
      <c r="H1771" s="102" t="n"/>
      <c r="I1771" s="102" t="n"/>
      <c r="J1771" s="102" t="n"/>
      <c r="K1771" s="102" t="n"/>
      <c r="L1771" s="102" t="n"/>
      <c r="M1771" s="102" t="n"/>
      <c r="N1771" s="102" t="n"/>
      <c r="O1771" s="102" t="n"/>
      <c r="P1771" s="102" t="n"/>
      <c r="Q1771" s="102" t="n"/>
      <c r="R1771" s="102" t="n"/>
      <c r="S1771" s="102" t="n"/>
      <c r="T1771" s="102" t="n"/>
      <c r="U1771" s="102" t="n"/>
      <c r="V1771" s="102" t="n"/>
      <c r="W1771" s="102" t="n"/>
      <c r="X1771" s="102" t="n"/>
      <c r="Y1771" s="102" t="n"/>
      <c r="Z1771" s="102" t="n"/>
      <c r="AA1771" s="102" t="n"/>
      <c r="AB1771" s="102" t="n"/>
      <c r="AC1771" s="102" t="n"/>
      <c r="AD1771" s="102" t="n"/>
      <c r="AE1771" s="102" t="n"/>
      <c r="AF1771" s="102" t="n"/>
      <c r="AG1771" s="102" t="n"/>
      <c r="AH1771" s="102" t="n"/>
      <c r="AI1771" s="102" t="n"/>
      <c r="AJ1771" s="102" t="n"/>
      <c r="AK1771" s="102" t="n"/>
      <c r="AL1771" s="102" t="n"/>
      <c r="AM1771" s="102" t="n"/>
      <c r="AN1771" s="102" t="n"/>
      <c r="AO1771" s="102" t="n"/>
      <c r="AP1771" s="102" t="n"/>
      <c r="AQ1771" s="102" t="n"/>
      <c r="AR1771" s="102" t="n"/>
    </row>
    <row r="1772">
      <c r="D1772" s="102" t="n"/>
      <c r="E1772" s="102" t="n"/>
      <c r="F1772" s="102" t="n"/>
      <c r="G1772" s="102" t="n"/>
      <c r="H1772" s="102" t="n"/>
      <c r="I1772" s="102" t="n"/>
      <c r="J1772" s="102" t="n"/>
      <c r="K1772" s="102" t="n"/>
      <c r="L1772" s="102" t="n"/>
      <c r="M1772" s="102" t="n"/>
      <c r="N1772" s="102" t="n"/>
      <c r="O1772" s="102" t="n"/>
      <c r="P1772" s="102" t="n"/>
      <c r="Q1772" s="102" t="n"/>
      <c r="R1772" s="102" t="n"/>
      <c r="S1772" s="102" t="n"/>
      <c r="T1772" s="102" t="n"/>
      <c r="U1772" s="102" t="n"/>
      <c r="V1772" s="102" t="n"/>
      <c r="W1772" s="102" t="n"/>
      <c r="X1772" s="102" t="n"/>
      <c r="Y1772" s="102" t="n"/>
      <c r="Z1772" s="102" t="n"/>
      <c r="AA1772" s="102" t="n"/>
      <c r="AB1772" s="102" t="n"/>
      <c r="AC1772" s="102" t="n"/>
      <c r="AD1772" s="102" t="n"/>
      <c r="AE1772" s="102" t="n"/>
      <c r="AF1772" s="102" t="n"/>
      <c r="AG1772" s="102" t="n"/>
      <c r="AH1772" s="102" t="n"/>
      <c r="AI1772" s="102" t="n"/>
      <c r="AJ1772" s="102" t="n"/>
      <c r="AK1772" s="102" t="n"/>
      <c r="AL1772" s="102" t="n"/>
      <c r="AM1772" s="102" t="n"/>
      <c r="AN1772" s="102" t="n"/>
      <c r="AO1772" s="102" t="n"/>
      <c r="AP1772" s="102" t="n"/>
      <c r="AQ1772" s="102" t="n"/>
      <c r="AR1772" s="102" t="n"/>
    </row>
    <row r="1773">
      <c r="D1773" s="160" t="n"/>
      <c r="E1773" s="160" t="n"/>
      <c r="F1773" s="160" t="n"/>
      <c r="G1773" s="160" t="n"/>
      <c r="H1773" s="160" t="n"/>
      <c r="I1773" s="160" t="n"/>
      <c r="J1773" s="160" t="n"/>
      <c r="K1773" s="160" t="n"/>
      <c r="L1773" s="160" t="n"/>
      <c r="M1773" s="160" t="n"/>
      <c r="N1773" s="160" t="n"/>
      <c r="O1773" s="160" t="n"/>
      <c r="P1773" s="160" t="n"/>
      <c r="Q1773" s="160" t="n"/>
      <c r="R1773" s="160" t="n"/>
      <c r="S1773" s="160" t="n"/>
      <c r="T1773" s="160" t="n"/>
      <c r="U1773" s="160" t="n"/>
      <c r="V1773" s="160" t="n"/>
      <c r="W1773" s="160" t="n"/>
      <c r="X1773" s="160" t="n"/>
      <c r="Y1773" s="160" t="n"/>
      <c r="Z1773" s="160" t="n"/>
      <c r="AA1773" s="160" t="n"/>
      <c r="AB1773" s="160" t="n"/>
      <c r="AC1773" s="160" t="n"/>
      <c r="AD1773" s="160" t="n"/>
      <c r="AE1773" s="160" t="n"/>
      <c r="AF1773" s="160" t="n"/>
      <c r="AG1773" s="160" t="n"/>
      <c r="AH1773" s="160" t="n"/>
      <c r="AI1773" s="160" t="n"/>
      <c r="AJ1773" s="160" t="n"/>
      <c r="AK1773" s="160" t="n"/>
      <c r="AL1773" s="160" t="n"/>
      <c r="AM1773" s="160" t="n"/>
      <c r="AN1773" s="160" t="n"/>
      <c r="AO1773" s="160" t="n"/>
      <c r="AP1773" s="160" t="n"/>
      <c r="AQ1773" s="160" t="n"/>
      <c r="AR1773" s="160" t="n"/>
    </row>
    <row r="1776">
      <c r="A1776" s="2">
        <f>IF($A1769="","","   projections")</f>
        <v/>
      </c>
      <c r="B1776" s="158">
        <f>IF($A1769="",0,COUNT($E1777:$AR1777))</f>
        <v/>
      </c>
      <c r="C1776" s="159">
        <f>IF($B1776=0,0,MAX($E1777:$AR1777))</f>
        <v/>
      </c>
      <c r="D1776" s="101">
        <f>BDS($A1769,FLD_PROJ,"headers=y","startcol=1","endcol=3","dir=h")</f>
        <v/>
      </c>
      <c r="E1776" s="102" t="n"/>
      <c r="F1776" s="102" t="n"/>
      <c r="G1776" s="102" t="n"/>
      <c r="H1776" s="102" t="n"/>
      <c r="I1776" s="102" t="n"/>
      <c r="J1776" s="102" t="n"/>
      <c r="K1776" s="102" t="n"/>
      <c r="L1776" s="102" t="n"/>
      <c r="M1776" s="102" t="n"/>
      <c r="N1776" s="102" t="n"/>
      <c r="O1776" s="102" t="n"/>
      <c r="P1776" s="102" t="n"/>
      <c r="Q1776" s="102" t="n"/>
      <c r="R1776" s="102" t="n"/>
      <c r="S1776" s="102" t="n"/>
      <c r="T1776" s="102" t="n"/>
      <c r="U1776" s="102" t="n"/>
      <c r="V1776" s="102" t="n"/>
      <c r="W1776" s="102" t="n"/>
      <c r="X1776" s="102" t="n"/>
      <c r="Y1776" s="102" t="n"/>
      <c r="Z1776" s="102" t="n"/>
      <c r="AA1776" s="102" t="n"/>
      <c r="AB1776" s="102" t="n"/>
      <c r="AC1776" s="102" t="n"/>
      <c r="AD1776" s="102" t="n"/>
      <c r="AE1776" s="102" t="n"/>
      <c r="AF1776" s="102" t="n"/>
      <c r="AG1776" s="102" t="n"/>
      <c r="AH1776" s="102" t="n"/>
      <c r="AI1776" s="102" t="n"/>
      <c r="AJ1776" s="102" t="n"/>
      <c r="AK1776" s="102" t="n"/>
      <c r="AL1776" s="102" t="n"/>
      <c r="AM1776" s="102" t="n"/>
      <c r="AN1776" s="102" t="n"/>
      <c r="AO1776" s="102" t="n"/>
      <c r="AP1776" s="102" t="n"/>
      <c r="AQ1776" s="102" t="n"/>
      <c r="AR1776" s="102" t="n"/>
    </row>
    <row r="1777">
      <c r="D1777" s="102" t="n"/>
      <c r="E1777" s="102" t="n"/>
      <c r="F1777" s="102" t="n"/>
      <c r="G1777" s="102" t="n"/>
      <c r="H1777" s="102" t="n"/>
      <c r="I1777" s="102" t="n"/>
      <c r="J1777" s="102" t="n"/>
      <c r="K1777" s="102" t="n"/>
      <c r="L1777" s="102" t="n"/>
      <c r="M1777" s="102" t="n"/>
      <c r="N1777" s="102" t="n"/>
      <c r="O1777" s="102" t="n"/>
      <c r="P1777" s="102" t="n"/>
      <c r="Q1777" s="102" t="n"/>
      <c r="R1777" s="102" t="n"/>
      <c r="S1777" s="102" t="n"/>
      <c r="T1777" s="102" t="n"/>
      <c r="U1777" s="102" t="n"/>
      <c r="V1777" s="102" t="n"/>
      <c r="W1777" s="102" t="n"/>
      <c r="X1777" s="102" t="n"/>
      <c r="Y1777" s="102" t="n"/>
      <c r="Z1777" s="102" t="n"/>
      <c r="AA1777" s="102" t="n"/>
      <c r="AB1777" s="102" t="n"/>
      <c r="AC1777" s="102" t="n"/>
      <c r="AD1777" s="102" t="n"/>
      <c r="AE1777" s="102" t="n"/>
      <c r="AF1777" s="102" t="n"/>
      <c r="AG1777" s="102" t="n"/>
      <c r="AH1777" s="102" t="n"/>
      <c r="AI1777" s="102" t="n"/>
      <c r="AJ1777" s="102" t="n"/>
      <c r="AK1777" s="102" t="n"/>
      <c r="AL1777" s="102" t="n"/>
      <c r="AM1777" s="102" t="n"/>
      <c r="AN1777" s="102" t="n"/>
      <c r="AO1777" s="102" t="n"/>
      <c r="AP1777" s="102" t="n"/>
      <c r="AQ1777" s="102" t="n"/>
      <c r="AR1777" s="102" t="n"/>
    </row>
    <row r="1778">
      <c r="D1778" s="160" t="n"/>
      <c r="E1778" s="160" t="n"/>
      <c r="F1778" s="160" t="n"/>
      <c r="G1778" s="160" t="n"/>
      <c r="H1778" s="160" t="n"/>
      <c r="I1778" s="160" t="n"/>
      <c r="J1778" s="160" t="n"/>
      <c r="K1778" s="160" t="n"/>
      <c r="L1778" s="160" t="n"/>
      <c r="M1778" s="160" t="n"/>
      <c r="N1778" s="160" t="n"/>
      <c r="O1778" s="160" t="n"/>
      <c r="P1778" s="160" t="n"/>
      <c r="Q1778" s="160" t="n"/>
      <c r="R1778" s="160" t="n"/>
      <c r="S1778" s="160" t="n"/>
      <c r="T1778" s="160" t="n"/>
      <c r="U1778" s="160" t="n"/>
      <c r="V1778" s="160" t="n"/>
      <c r="W1778" s="160" t="n"/>
      <c r="X1778" s="160" t="n"/>
      <c r="Y1778" s="160" t="n"/>
      <c r="Z1778" s="160" t="n"/>
      <c r="AA1778" s="160" t="n"/>
      <c r="AB1778" s="160" t="n"/>
      <c r="AC1778" s="160" t="n"/>
      <c r="AD1778" s="160" t="n"/>
      <c r="AE1778" s="160" t="n"/>
      <c r="AF1778" s="160" t="n"/>
      <c r="AG1778" s="160" t="n"/>
      <c r="AH1778" s="160" t="n"/>
      <c r="AI1778" s="160" t="n"/>
      <c r="AJ1778" s="160" t="n"/>
      <c r="AK1778" s="160" t="n"/>
      <c r="AL1778" s="160" t="n"/>
      <c r="AM1778" s="160" t="n"/>
      <c r="AN1778" s="160" t="n"/>
      <c r="AO1778" s="160" t="n"/>
      <c r="AP1778" s="160" t="n"/>
      <c r="AQ1778" s="160" t="n"/>
      <c r="AR1778" s="160" t="n"/>
    </row>
    <row r="1780">
      <c r="A1780" s="8">
        <f>IF(HSCEI!$C$27="","",HSCEI!$C$27)</f>
        <v/>
      </c>
      <c r="B1780" s="158">
        <f>IF($A1780="",0,COUNT($E1781:$AR1781))</f>
        <v/>
      </c>
      <c r="C1780" s="159">
        <f>IF($B1780=0,0,MAX($E1781:$AR1781))</f>
        <v/>
      </c>
      <c r="D1780" s="101">
        <f>BDS($A1780,FLD_HIST,"headers=y","startcol=1","endcol=7","dir=h","DVD_START_DT",HIST_FROM,"DVD_END_DT",HIST_TO)</f>
        <v/>
      </c>
      <c r="E1780" s="102" t="n"/>
      <c r="F1780" s="102" t="n"/>
      <c r="G1780" s="102" t="n"/>
      <c r="H1780" s="102" t="n"/>
      <c r="I1780" s="102" t="n"/>
      <c r="J1780" s="102" t="n"/>
      <c r="K1780" s="102" t="n"/>
      <c r="L1780" s="102" t="n"/>
      <c r="M1780" s="102" t="n"/>
      <c r="N1780" s="102" t="n"/>
      <c r="O1780" s="102" t="n"/>
      <c r="P1780" s="102" t="n"/>
      <c r="Q1780" s="102" t="n"/>
      <c r="R1780" s="102" t="n"/>
      <c r="S1780" s="102" t="n"/>
      <c r="T1780" s="102" t="n"/>
      <c r="U1780" s="102" t="n"/>
      <c r="V1780" s="102" t="n"/>
      <c r="W1780" s="102" t="n"/>
      <c r="X1780" s="102" t="n"/>
      <c r="Y1780" s="102" t="n"/>
      <c r="Z1780" s="102" t="n"/>
      <c r="AA1780" s="102" t="n"/>
      <c r="AB1780" s="102" t="n"/>
      <c r="AC1780" s="102" t="n"/>
      <c r="AD1780" s="102" t="n"/>
      <c r="AE1780" s="102" t="n"/>
      <c r="AF1780" s="102" t="n"/>
      <c r="AG1780" s="102" t="n"/>
      <c r="AH1780" s="102" t="n"/>
      <c r="AI1780" s="102" t="n"/>
      <c r="AJ1780" s="102" t="n"/>
      <c r="AK1780" s="102" t="n"/>
      <c r="AL1780" s="102" t="n"/>
      <c r="AM1780" s="102" t="n"/>
      <c r="AN1780" s="102" t="n"/>
      <c r="AO1780" s="102" t="n"/>
      <c r="AP1780" s="102" t="n"/>
      <c r="AQ1780" s="102" t="n"/>
      <c r="AR1780" s="102" t="n"/>
    </row>
    <row r="1781">
      <c r="D1781" s="102" t="n"/>
      <c r="E1781" s="102" t="n"/>
      <c r="F1781" s="102" t="n"/>
      <c r="G1781" s="102" t="n"/>
      <c r="H1781" s="102" t="n"/>
      <c r="I1781" s="102" t="n"/>
      <c r="J1781" s="102" t="n"/>
      <c r="K1781" s="102" t="n"/>
      <c r="L1781" s="102" t="n"/>
      <c r="M1781" s="102" t="n"/>
      <c r="N1781" s="102" t="n"/>
      <c r="O1781" s="102" t="n"/>
      <c r="P1781" s="102" t="n"/>
      <c r="Q1781" s="102" t="n"/>
      <c r="R1781" s="102" t="n"/>
      <c r="S1781" s="102" t="n"/>
      <c r="T1781" s="102" t="n"/>
      <c r="U1781" s="102" t="n"/>
      <c r="V1781" s="102" t="n"/>
      <c r="W1781" s="102" t="n"/>
      <c r="X1781" s="102" t="n"/>
      <c r="Y1781" s="102" t="n"/>
      <c r="Z1781" s="102" t="n"/>
      <c r="AA1781" s="102" t="n"/>
      <c r="AB1781" s="102" t="n"/>
      <c r="AC1781" s="102" t="n"/>
      <c r="AD1781" s="102" t="n"/>
      <c r="AE1781" s="102" t="n"/>
      <c r="AF1781" s="102" t="n"/>
      <c r="AG1781" s="102" t="n"/>
      <c r="AH1781" s="102" t="n"/>
      <c r="AI1781" s="102" t="n"/>
      <c r="AJ1781" s="102" t="n"/>
      <c r="AK1781" s="102" t="n"/>
      <c r="AL1781" s="102" t="n"/>
      <c r="AM1781" s="102" t="n"/>
      <c r="AN1781" s="102" t="n"/>
      <c r="AO1781" s="102" t="n"/>
      <c r="AP1781" s="102" t="n"/>
      <c r="AQ1781" s="102" t="n"/>
      <c r="AR1781" s="102" t="n"/>
    </row>
    <row r="1782">
      <c r="D1782" s="102" t="n"/>
      <c r="E1782" s="102" t="n"/>
      <c r="F1782" s="102" t="n"/>
      <c r="G1782" s="102" t="n"/>
      <c r="H1782" s="102" t="n"/>
      <c r="I1782" s="102" t="n"/>
      <c r="J1782" s="102" t="n"/>
      <c r="K1782" s="102" t="n"/>
      <c r="L1782" s="102" t="n"/>
      <c r="M1782" s="102" t="n"/>
      <c r="N1782" s="102" t="n"/>
      <c r="O1782" s="102" t="n"/>
      <c r="P1782" s="102" t="n"/>
      <c r="Q1782" s="102" t="n"/>
      <c r="R1782" s="102" t="n"/>
      <c r="S1782" s="102" t="n"/>
      <c r="T1782" s="102" t="n"/>
      <c r="U1782" s="102" t="n"/>
      <c r="V1782" s="102" t="n"/>
      <c r="W1782" s="102" t="n"/>
      <c r="X1782" s="102" t="n"/>
      <c r="Y1782" s="102" t="n"/>
      <c r="Z1782" s="102" t="n"/>
      <c r="AA1782" s="102" t="n"/>
      <c r="AB1782" s="102" t="n"/>
      <c r="AC1782" s="102" t="n"/>
      <c r="AD1782" s="102" t="n"/>
      <c r="AE1782" s="102" t="n"/>
      <c r="AF1782" s="102" t="n"/>
      <c r="AG1782" s="102" t="n"/>
      <c r="AH1782" s="102" t="n"/>
      <c r="AI1782" s="102" t="n"/>
      <c r="AJ1782" s="102" t="n"/>
      <c r="AK1782" s="102" t="n"/>
      <c r="AL1782" s="102" t="n"/>
      <c r="AM1782" s="102" t="n"/>
      <c r="AN1782" s="102" t="n"/>
      <c r="AO1782" s="102" t="n"/>
      <c r="AP1782" s="102" t="n"/>
      <c r="AQ1782" s="102" t="n"/>
      <c r="AR1782" s="102" t="n"/>
    </row>
    <row r="1783">
      <c r="D1783" s="102" t="n"/>
      <c r="E1783" s="102" t="n"/>
      <c r="F1783" s="102" t="n"/>
      <c r="G1783" s="102" t="n"/>
      <c r="H1783" s="102" t="n"/>
      <c r="I1783" s="102" t="n"/>
      <c r="J1783" s="102" t="n"/>
      <c r="K1783" s="102" t="n"/>
      <c r="L1783" s="102" t="n"/>
      <c r="M1783" s="102" t="n"/>
      <c r="N1783" s="102" t="n"/>
      <c r="O1783" s="102" t="n"/>
      <c r="P1783" s="102" t="n"/>
      <c r="Q1783" s="102" t="n"/>
      <c r="R1783" s="102" t="n"/>
      <c r="S1783" s="102" t="n"/>
      <c r="T1783" s="102" t="n"/>
      <c r="U1783" s="102" t="n"/>
      <c r="V1783" s="102" t="n"/>
      <c r="W1783" s="102" t="n"/>
      <c r="X1783" s="102" t="n"/>
      <c r="Y1783" s="102" t="n"/>
      <c r="Z1783" s="102" t="n"/>
      <c r="AA1783" s="102" t="n"/>
      <c r="AB1783" s="102" t="n"/>
      <c r="AC1783" s="102" t="n"/>
      <c r="AD1783" s="102" t="n"/>
      <c r="AE1783" s="102" t="n"/>
      <c r="AF1783" s="102" t="n"/>
      <c r="AG1783" s="102" t="n"/>
      <c r="AH1783" s="102" t="n"/>
      <c r="AI1783" s="102" t="n"/>
      <c r="AJ1783" s="102" t="n"/>
      <c r="AK1783" s="102" t="n"/>
      <c r="AL1783" s="102" t="n"/>
      <c r="AM1783" s="102" t="n"/>
      <c r="AN1783" s="102" t="n"/>
      <c r="AO1783" s="102" t="n"/>
      <c r="AP1783" s="102" t="n"/>
      <c r="AQ1783" s="102" t="n"/>
      <c r="AR1783" s="102" t="n"/>
    </row>
    <row r="1784">
      <c r="D1784" s="160" t="n"/>
      <c r="E1784" s="160" t="n"/>
      <c r="F1784" s="160" t="n"/>
      <c r="G1784" s="160" t="n"/>
      <c r="H1784" s="160" t="n"/>
      <c r="I1784" s="160" t="n"/>
      <c r="J1784" s="160" t="n"/>
      <c r="K1784" s="160" t="n"/>
      <c r="L1784" s="160" t="n"/>
      <c r="M1784" s="160" t="n"/>
      <c r="N1784" s="160" t="n"/>
      <c r="O1784" s="160" t="n"/>
      <c r="P1784" s="160" t="n"/>
      <c r="Q1784" s="160" t="n"/>
      <c r="R1784" s="160" t="n"/>
      <c r="S1784" s="160" t="n"/>
      <c r="T1784" s="160" t="n"/>
      <c r="U1784" s="160" t="n"/>
      <c r="V1784" s="160" t="n"/>
      <c r="W1784" s="160" t="n"/>
      <c r="X1784" s="160" t="n"/>
      <c r="Y1784" s="160" t="n"/>
      <c r="Z1784" s="160" t="n"/>
      <c r="AA1784" s="160" t="n"/>
      <c r="AB1784" s="160" t="n"/>
      <c r="AC1784" s="160" t="n"/>
      <c r="AD1784" s="160" t="n"/>
      <c r="AE1784" s="160" t="n"/>
      <c r="AF1784" s="160" t="n"/>
      <c r="AG1784" s="160" t="n"/>
      <c r="AH1784" s="160" t="n"/>
      <c r="AI1784" s="160" t="n"/>
      <c r="AJ1784" s="160" t="n"/>
      <c r="AK1784" s="160" t="n"/>
      <c r="AL1784" s="160" t="n"/>
      <c r="AM1784" s="160" t="n"/>
      <c r="AN1784" s="160" t="n"/>
      <c r="AO1784" s="160" t="n"/>
      <c r="AP1784" s="160" t="n"/>
      <c r="AQ1784" s="160" t="n"/>
      <c r="AR1784" s="160" t="n"/>
    </row>
    <row r="1787">
      <c r="A1787" s="2">
        <f>IF($A1780="","","   projections")</f>
        <v/>
      </c>
      <c r="B1787" s="158">
        <f>IF($A1780="",0,COUNT($E1788:$AR1788))</f>
        <v/>
      </c>
      <c r="C1787" s="159">
        <f>IF($B1787=0,0,MAX($E1788:$AR1788))</f>
        <v/>
      </c>
      <c r="D1787" s="101">
        <f>BDS($A1780,FLD_PROJ,"headers=y","startcol=1","endcol=3","dir=h")</f>
        <v/>
      </c>
      <c r="E1787" s="102" t="n"/>
      <c r="F1787" s="102" t="n"/>
      <c r="G1787" s="102" t="n"/>
      <c r="H1787" s="102" t="n"/>
      <c r="I1787" s="102" t="n"/>
      <c r="J1787" s="102" t="n"/>
      <c r="K1787" s="102" t="n"/>
      <c r="L1787" s="102" t="n"/>
      <c r="M1787" s="102" t="n"/>
      <c r="N1787" s="102" t="n"/>
      <c r="O1787" s="102" t="n"/>
      <c r="P1787" s="102" t="n"/>
      <c r="Q1787" s="102" t="n"/>
      <c r="R1787" s="102" t="n"/>
      <c r="S1787" s="102" t="n"/>
      <c r="T1787" s="102" t="n"/>
      <c r="U1787" s="102" t="n"/>
      <c r="V1787" s="102" t="n"/>
      <c r="W1787" s="102" t="n"/>
      <c r="X1787" s="102" t="n"/>
      <c r="Y1787" s="102" t="n"/>
      <c r="Z1787" s="102" t="n"/>
      <c r="AA1787" s="102" t="n"/>
      <c r="AB1787" s="102" t="n"/>
      <c r="AC1787" s="102" t="n"/>
      <c r="AD1787" s="102" t="n"/>
      <c r="AE1787" s="102" t="n"/>
      <c r="AF1787" s="102" t="n"/>
      <c r="AG1787" s="102" t="n"/>
      <c r="AH1787" s="102" t="n"/>
      <c r="AI1787" s="102" t="n"/>
      <c r="AJ1787" s="102" t="n"/>
      <c r="AK1787" s="102" t="n"/>
      <c r="AL1787" s="102" t="n"/>
      <c r="AM1787" s="102" t="n"/>
      <c r="AN1787" s="102" t="n"/>
      <c r="AO1787" s="102" t="n"/>
      <c r="AP1787" s="102" t="n"/>
      <c r="AQ1787" s="102" t="n"/>
      <c r="AR1787" s="102" t="n"/>
    </row>
    <row r="1788">
      <c r="D1788" s="102" t="n"/>
      <c r="E1788" s="102" t="n"/>
      <c r="F1788" s="102" t="n"/>
      <c r="G1788" s="102" t="n"/>
      <c r="H1788" s="102" t="n"/>
      <c r="I1788" s="102" t="n"/>
      <c r="J1788" s="102" t="n"/>
      <c r="K1788" s="102" t="n"/>
      <c r="L1788" s="102" t="n"/>
      <c r="M1788" s="102" t="n"/>
      <c r="N1788" s="102" t="n"/>
      <c r="O1788" s="102" t="n"/>
      <c r="P1788" s="102" t="n"/>
      <c r="Q1788" s="102" t="n"/>
      <c r="R1788" s="102" t="n"/>
      <c r="S1788" s="102" t="n"/>
      <c r="T1788" s="102" t="n"/>
      <c r="U1788" s="102" t="n"/>
      <c r="V1788" s="102" t="n"/>
      <c r="W1788" s="102" t="n"/>
      <c r="X1788" s="102" t="n"/>
      <c r="Y1788" s="102" t="n"/>
      <c r="Z1788" s="102" t="n"/>
      <c r="AA1788" s="102" t="n"/>
      <c r="AB1788" s="102" t="n"/>
      <c r="AC1788" s="102" t="n"/>
      <c r="AD1788" s="102" t="n"/>
      <c r="AE1788" s="102" t="n"/>
      <c r="AF1788" s="102" t="n"/>
      <c r="AG1788" s="102" t="n"/>
      <c r="AH1788" s="102" t="n"/>
      <c r="AI1788" s="102" t="n"/>
      <c r="AJ1788" s="102" t="n"/>
      <c r="AK1788" s="102" t="n"/>
      <c r="AL1788" s="102" t="n"/>
      <c r="AM1788" s="102" t="n"/>
      <c r="AN1788" s="102" t="n"/>
      <c r="AO1788" s="102" t="n"/>
      <c r="AP1788" s="102" t="n"/>
      <c r="AQ1788" s="102" t="n"/>
      <c r="AR1788" s="102" t="n"/>
    </row>
    <row r="1789">
      <c r="D1789" s="160" t="n"/>
      <c r="E1789" s="160" t="n"/>
      <c r="F1789" s="160" t="n"/>
      <c r="G1789" s="160" t="n"/>
      <c r="H1789" s="160" t="n"/>
      <c r="I1789" s="160" t="n"/>
      <c r="J1789" s="160" t="n"/>
      <c r="K1789" s="160" t="n"/>
      <c r="L1789" s="160" t="n"/>
      <c r="M1789" s="160" t="n"/>
      <c r="N1789" s="160" t="n"/>
      <c r="O1789" s="160" t="n"/>
      <c r="P1789" s="160" t="n"/>
      <c r="Q1789" s="160" t="n"/>
      <c r="R1789" s="160" t="n"/>
      <c r="S1789" s="160" t="n"/>
      <c r="T1789" s="160" t="n"/>
      <c r="U1789" s="160" t="n"/>
      <c r="V1789" s="160" t="n"/>
      <c r="W1789" s="160" t="n"/>
      <c r="X1789" s="160" t="n"/>
      <c r="Y1789" s="160" t="n"/>
      <c r="Z1789" s="160" t="n"/>
      <c r="AA1789" s="160" t="n"/>
      <c r="AB1789" s="160" t="n"/>
      <c r="AC1789" s="160" t="n"/>
      <c r="AD1789" s="160" t="n"/>
      <c r="AE1789" s="160" t="n"/>
      <c r="AF1789" s="160" t="n"/>
      <c r="AG1789" s="160" t="n"/>
      <c r="AH1789" s="160" t="n"/>
      <c r="AI1789" s="160" t="n"/>
      <c r="AJ1789" s="160" t="n"/>
      <c r="AK1789" s="160" t="n"/>
      <c r="AL1789" s="160" t="n"/>
      <c r="AM1789" s="160" t="n"/>
      <c r="AN1789" s="160" t="n"/>
      <c r="AO1789" s="160" t="n"/>
      <c r="AP1789" s="160" t="n"/>
      <c r="AQ1789" s="160" t="n"/>
      <c r="AR1789" s="160" t="n"/>
    </row>
    <row r="1791">
      <c r="A1791" s="8">
        <f>IF(HSCEI!$C$28="","",HSCEI!$C$28)</f>
        <v/>
      </c>
      <c r="B1791" s="158">
        <f>IF($A1791="",0,COUNT($E1792:$AR1792))</f>
        <v/>
      </c>
      <c r="C1791" s="159">
        <f>IF($B1791=0,0,MAX($E1792:$AR1792))</f>
        <v/>
      </c>
      <c r="D1791" s="101">
        <f>BDS($A1791,FLD_HIST,"headers=y","startcol=1","endcol=7","dir=h","DVD_START_DT",HIST_FROM,"DVD_END_DT",HIST_TO)</f>
        <v/>
      </c>
      <c r="E1791" s="102" t="n"/>
      <c r="F1791" s="102" t="n"/>
      <c r="G1791" s="102" t="n"/>
      <c r="H1791" s="102" t="n"/>
      <c r="I1791" s="102" t="n"/>
      <c r="J1791" s="102" t="n"/>
      <c r="K1791" s="102" t="n"/>
      <c r="L1791" s="102" t="n"/>
      <c r="M1791" s="102" t="n"/>
      <c r="N1791" s="102" t="n"/>
      <c r="O1791" s="102" t="n"/>
      <c r="P1791" s="102" t="n"/>
      <c r="Q1791" s="102" t="n"/>
      <c r="R1791" s="102" t="n"/>
      <c r="S1791" s="102" t="n"/>
      <c r="T1791" s="102" t="n"/>
      <c r="U1791" s="102" t="n"/>
      <c r="V1791" s="102" t="n"/>
      <c r="W1791" s="102" t="n"/>
      <c r="X1791" s="102" t="n"/>
      <c r="Y1791" s="102" t="n"/>
      <c r="Z1791" s="102" t="n"/>
      <c r="AA1791" s="102" t="n"/>
      <c r="AB1791" s="102" t="n"/>
      <c r="AC1791" s="102" t="n"/>
      <c r="AD1791" s="102" t="n"/>
      <c r="AE1791" s="102" t="n"/>
      <c r="AF1791" s="102" t="n"/>
      <c r="AG1791" s="102" t="n"/>
      <c r="AH1791" s="102" t="n"/>
      <c r="AI1791" s="102" t="n"/>
      <c r="AJ1791" s="102" t="n"/>
      <c r="AK1791" s="102" t="n"/>
      <c r="AL1791" s="102" t="n"/>
      <c r="AM1791" s="102" t="n"/>
      <c r="AN1791" s="102" t="n"/>
      <c r="AO1791" s="102" t="n"/>
      <c r="AP1791" s="102" t="n"/>
      <c r="AQ1791" s="102" t="n"/>
      <c r="AR1791" s="102" t="n"/>
    </row>
    <row r="1792">
      <c r="D1792" s="102" t="n"/>
      <c r="E1792" s="102" t="n"/>
      <c r="F1792" s="102" t="n"/>
      <c r="G1792" s="102" t="n"/>
      <c r="H1792" s="102" t="n"/>
      <c r="I1792" s="102" t="n"/>
      <c r="J1792" s="102" t="n"/>
      <c r="K1792" s="102" t="n"/>
      <c r="L1792" s="102" t="n"/>
      <c r="M1792" s="102" t="n"/>
      <c r="N1792" s="102" t="n"/>
      <c r="O1792" s="102" t="n"/>
      <c r="P1792" s="102" t="n"/>
      <c r="Q1792" s="102" t="n"/>
      <c r="R1792" s="102" t="n"/>
      <c r="S1792" s="102" t="n"/>
      <c r="T1792" s="102" t="n"/>
      <c r="U1792" s="102" t="n"/>
      <c r="V1792" s="102" t="n"/>
      <c r="W1792" s="102" t="n"/>
      <c r="X1792" s="102" t="n"/>
      <c r="Y1792" s="102" t="n"/>
      <c r="Z1792" s="102" t="n"/>
      <c r="AA1792" s="102" t="n"/>
      <c r="AB1792" s="102" t="n"/>
      <c r="AC1792" s="102" t="n"/>
      <c r="AD1792" s="102" t="n"/>
      <c r="AE1792" s="102" t="n"/>
      <c r="AF1792" s="102" t="n"/>
      <c r="AG1792" s="102" t="n"/>
      <c r="AH1792" s="102" t="n"/>
      <c r="AI1792" s="102" t="n"/>
      <c r="AJ1792" s="102" t="n"/>
      <c r="AK1792" s="102" t="n"/>
      <c r="AL1792" s="102" t="n"/>
      <c r="AM1792" s="102" t="n"/>
      <c r="AN1792" s="102" t="n"/>
      <c r="AO1792" s="102" t="n"/>
      <c r="AP1792" s="102" t="n"/>
      <c r="AQ1792" s="102" t="n"/>
      <c r="AR1792" s="102" t="n"/>
    </row>
    <row r="1793">
      <c r="D1793" s="102" t="n"/>
      <c r="E1793" s="102" t="n"/>
      <c r="F1793" s="102" t="n"/>
      <c r="G1793" s="102" t="n"/>
      <c r="H1793" s="102" t="n"/>
      <c r="I1793" s="102" t="n"/>
      <c r="J1793" s="102" t="n"/>
      <c r="K1793" s="102" t="n"/>
      <c r="L1793" s="102" t="n"/>
      <c r="M1793" s="102" t="n"/>
      <c r="N1793" s="102" t="n"/>
      <c r="O1793" s="102" t="n"/>
      <c r="P1793" s="102" t="n"/>
      <c r="Q1793" s="102" t="n"/>
      <c r="R1793" s="102" t="n"/>
      <c r="S1793" s="102" t="n"/>
      <c r="T1793" s="102" t="n"/>
      <c r="U1793" s="102" t="n"/>
      <c r="V1793" s="102" t="n"/>
      <c r="W1793" s="102" t="n"/>
      <c r="X1793" s="102" t="n"/>
      <c r="Y1793" s="102" t="n"/>
      <c r="Z1793" s="102" t="n"/>
      <c r="AA1793" s="102" t="n"/>
      <c r="AB1793" s="102" t="n"/>
      <c r="AC1793" s="102" t="n"/>
      <c r="AD1793" s="102" t="n"/>
      <c r="AE1793" s="102" t="n"/>
      <c r="AF1793" s="102" t="n"/>
      <c r="AG1793" s="102" t="n"/>
      <c r="AH1793" s="102" t="n"/>
      <c r="AI1793" s="102" t="n"/>
      <c r="AJ1793" s="102" t="n"/>
      <c r="AK1793" s="102" t="n"/>
      <c r="AL1793" s="102" t="n"/>
      <c r="AM1793" s="102" t="n"/>
      <c r="AN1793" s="102" t="n"/>
      <c r="AO1793" s="102" t="n"/>
      <c r="AP1793" s="102" t="n"/>
      <c r="AQ1793" s="102" t="n"/>
      <c r="AR1793" s="102" t="n"/>
    </row>
    <row r="1794">
      <c r="D1794" s="102" t="n"/>
      <c r="E1794" s="102" t="n"/>
      <c r="F1794" s="102" t="n"/>
      <c r="G1794" s="102" t="n"/>
      <c r="H1794" s="102" t="n"/>
      <c r="I1794" s="102" t="n"/>
      <c r="J1794" s="102" t="n"/>
      <c r="K1794" s="102" t="n"/>
      <c r="L1794" s="102" t="n"/>
      <c r="M1794" s="102" t="n"/>
      <c r="N1794" s="102" t="n"/>
      <c r="O1794" s="102" t="n"/>
      <c r="P1794" s="102" t="n"/>
      <c r="Q1794" s="102" t="n"/>
      <c r="R1794" s="102" t="n"/>
      <c r="S1794" s="102" t="n"/>
      <c r="T1794" s="102" t="n"/>
      <c r="U1794" s="102" t="n"/>
      <c r="V1794" s="102" t="n"/>
      <c r="W1794" s="102" t="n"/>
      <c r="X1794" s="102" t="n"/>
      <c r="Y1794" s="102" t="n"/>
      <c r="Z1794" s="102" t="n"/>
      <c r="AA1794" s="102" t="n"/>
      <c r="AB1794" s="102" t="n"/>
      <c r="AC1794" s="102" t="n"/>
      <c r="AD1794" s="102" t="n"/>
      <c r="AE1794" s="102" t="n"/>
      <c r="AF1794" s="102" t="n"/>
      <c r="AG1794" s="102" t="n"/>
      <c r="AH1794" s="102" t="n"/>
      <c r="AI1794" s="102" t="n"/>
      <c r="AJ1794" s="102" t="n"/>
      <c r="AK1794" s="102" t="n"/>
      <c r="AL1794" s="102" t="n"/>
      <c r="AM1794" s="102" t="n"/>
      <c r="AN1794" s="102" t="n"/>
      <c r="AO1794" s="102" t="n"/>
      <c r="AP1794" s="102" t="n"/>
      <c r="AQ1794" s="102" t="n"/>
      <c r="AR1794" s="102" t="n"/>
    </row>
    <row r="1795">
      <c r="D1795" s="160" t="n"/>
      <c r="E1795" s="160" t="n"/>
      <c r="F1795" s="160" t="n"/>
      <c r="G1795" s="160" t="n"/>
      <c r="H1795" s="160" t="n"/>
      <c r="I1795" s="160" t="n"/>
      <c r="J1795" s="160" t="n"/>
      <c r="K1795" s="160" t="n"/>
      <c r="L1795" s="160" t="n"/>
      <c r="M1795" s="160" t="n"/>
      <c r="N1795" s="160" t="n"/>
      <c r="O1795" s="160" t="n"/>
      <c r="P1795" s="160" t="n"/>
      <c r="Q1795" s="160" t="n"/>
      <c r="R1795" s="160" t="n"/>
      <c r="S1795" s="160" t="n"/>
      <c r="T1795" s="160" t="n"/>
      <c r="U1795" s="160" t="n"/>
      <c r="V1795" s="160" t="n"/>
      <c r="W1795" s="160" t="n"/>
      <c r="X1795" s="160" t="n"/>
      <c r="Y1795" s="160" t="n"/>
      <c r="Z1795" s="160" t="n"/>
      <c r="AA1795" s="160" t="n"/>
      <c r="AB1795" s="160" t="n"/>
      <c r="AC1795" s="160" t="n"/>
      <c r="AD1795" s="160" t="n"/>
      <c r="AE1795" s="160" t="n"/>
      <c r="AF1795" s="160" t="n"/>
      <c r="AG1795" s="160" t="n"/>
      <c r="AH1795" s="160" t="n"/>
      <c r="AI1795" s="160" t="n"/>
      <c r="AJ1795" s="160" t="n"/>
      <c r="AK1795" s="160" t="n"/>
      <c r="AL1795" s="160" t="n"/>
      <c r="AM1795" s="160" t="n"/>
      <c r="AN1795" s="160" t="n"/>
      <c r="AO1795" s="160" t="n"/>
      <c r="AP1795" s="160" t="n"/>
      <c r="AQ1795" s="160" t="n"/>
      <c r="AR1795" s="160" t="n"/>
    </row>
    <row r="1798">
      <c r="A1798" s="2">
        <f>IF($A1791="","","   projections")</f>
        <v/>
      </c>
      <c r="B1798" s="158">
        <f>IF($A1791="",0,COUNT($E1799:$AR1799))</f>
        <v/>
      </c>
      <c r="C1798" s="159">
        <f>IF($B1798=0,0,MAX($E1799:$AR1799))</f>
        <v/>
      </c>
      <c r="D1798" s="101">
        <f>BDS($A1791,FLD_PROJ,"headers=y","startcol=1","endcol=3","dir=h")</f>
        <v/>
      </c>
      <c r="E1798" s="102" t="n"/>
      <c r="F1798" s="102" t="n"/>
      <c r="G1798" s="102" t="n"/>
      <c r="H1798" s="102" t="n"/>
      <c r="I1798" s="102" t="n"/>
      <c r="J1798" s="102" t="n"/>
      <c r="K1798" s="102" t="n"/>
      <c r="L1798" s="102" t="n"/>
      <c r="M1798" s="102" t="n"/>
      <c r="N1798" s="102" t="n"/>
      <c r="O1798" s="102" t="n"/>
      <c r="P1798" s="102" t="n"/>
      <c r="Q1798" s="102" t="n"/>
      <c r="R1798" s="102" t="n"/>
      <c r="S1798" s="102" t="n"/>
      <c r="T1798" s="102" t="n"/>
      <c r="U1798" s="102" t="n"/>
      <c r="V1798" s="102" t="n"/>
      <c r="W1798" s="102" t="n"/>
      <c r="X1798" s="102" t="n"/>
      <c r="Y1798" s="102" t="n"/>
      <c r="Z1798" s="102" t="n"/>
      <c r="AA1798" s="102" t="n"/>
      <c r="AB1798" s="102" t="n"/>
      <c r="AC1798" s="102" t="n"/>
      <c r="AD1798" s="102" t="n"/>
      <c r="AE1798" s="102" t="n"/>
      <c r="AF1798" s="102" t="n"/>
      <c r="AG1798" s="102" t="n"/>
      <c r="AH1798" s="102" t="n"/>
      <c r="AI1798" s="102" t="n"/>
      <c r="AJ1798" s="102" t="n"/>
      <c r="AK1798" s="102" t="n"/>
      <c r="AL1798" s="102" t="n"/>
      <c r="AM1798" s="102" t="n"/>
      <c r="AN1798" s="102" t="n"/>
      <c r="AO1798" s="102" t="n"/>
      <c r="AP1798" s="102" t="n"/>
      <c r="AQ1798" s="102" t="n"/>
      <c r="AR1798" s="102" t="n"/>
    </row>
    <row r="1799">
      <c r="D1799" s="102" t="n"/>
      <c r="E1799" s="102" t="n"/>
      <c r="F1799" s="102" t="n"/>
      <c r="G1799" s="102" t="n"/>
      <c r="H1799" s="102" t="n"/>
      <c r="I1799" s="102" t="n"/>
      <c r="J1799" s="102" t="n"/>
      <c r="K1799" s="102" t="n"/>
      <c r="L1799" s="102" t="n"/>
      <c r="M1799" s="102" t="n"/>
      <c r="N1799" s="102" t="n"/>
      <c r="O1799" s="102" t="n"/>
      <c r="P1799" s="102" t="n"/>
      <c r="Q1799" s="102" t="n"/>
      <c r="R1799" s="102" t="n"/>
      <c r="S1799" s="102" t="n"/>
      <c r="T1799" s="102" t="n"/>
      <c r="U1799" s="102" t="n"/>
      <c r="V1799" s="102" t="n"/>
      <c r="W1799" s="102" t="n"/>
      <c r="X1799" s="102" t="n"/>
      <c r="Y1799" s="102" t="n"/>
      <c r="Z1799" s="102" t="n"/>
      <c r="AA1799" s="102" t="n"/>
      <c r="AB1799" s="102" t="n"/>
      <c r="AC1799" s="102" t="n"/>
      <c r="AD1799" s="102" t="n"/>
      <c r="AE1799" s="102" t="n"/>
      <c r="AF1799" s="102" t="n"/>
      <c r="AG1799" s="102" t="n"/>
      <c r="AH1799" s="102" t="n"/>
      <c r="AI1799" s="102" t="n"/>
      <c r="AJ1799" s="102" t="n"/>
      <c r="AK1799" s="102" t="n"/>
      <c r="AL1799" s="102" t="n"/>
      <c r="AM1799" s="102" t="n"/>
      <c r="AN1799" s="102" t="n"/>
      <c r="AO1799" s="102" t="n"/>
      <c r="AP1799" s="102" t="n"/>
      <c r="AQ1799" s="102" t="n"/>
      <c r="AR1799" s="102" t="n"/>
    </row>
    <row r="1800">
      <c r="D1800" s="160" t="n"/>
      <c r="E1800" s="160" t="n"/>
      <c r="F1800" s="160" t="n"/>
      <c r="G1800" s="160" t="n"/>
      <c r="H1800" s="160" t="n"/>
      <c r="I1800" s="160" t="n"/>
      <c r="J1800" s="160" t="n"/>
      <c r="K1800" s="160" t="n"/>
      <c r="L1800" s="160" t="n"/>
      <c r="M1800" s="160" t="n"/>
      <c r="N1800" s="160" t="n"/>
      <c r="O1800" s="160" t="n"/>
      <c r="P1800" s="160" t="n"/>
      <c r="Q1800" s="160" t="n"/>
      <c r="R1800" s="160" t="n"/>
      <c r="S1800" s="160" t="n"/>
      <c r="T1800" s="160" t="n"/>
      <c r="U1800" s="160" t="n"/>
      <c r="V1800" s="160" t="n"/>
      <c r="W1800" s="160" t="n"/>
      <c r="X1800" s="160" t="n"/>
      <c r="Y1800" s="160" t="n"/>
      <c r="Z1800" s="160" t="n"/>
      <c r="AA1800" s="160" t="n"/>
      <c r="AB1800" s="160" t="n"/>
      <c r="AC1800" s="160" t="n"/>
      <c r="AD1800" s="160" t="n"/>
      <c r="AE1800" s="160" t="n"/>
      <c r="AF1800" s="160" t="n"/>
      <c r="AG1800" s="160" t="n"/>
      <c r="AH1800" s="160" t="n"/>
      <c r="AI1800" s="160" t="n"/>
      <c r="AJ1800" s="160" t="n"/>
      <c r="AK1800" s="160" t="n"/>
      <c r="AL1800" s="160" t="n"/>
      <c r="AM1800" s="160" t="n"/>
      <c r="AN1800" s="160" t="n"/>
      <c r="AO1800" s="160" t="n"/>
      <c r="AP1800" s="160" t="n"/>
      <c r="AQ1800" s="160" t="n"/>
      <c r="AR1800" s="160" t="n"/>
    </row>
    <row r="1802">
      <c r="A1802" s="8">
        <f>IF(HSCEI!$C$29="","",HSCEI!$C$29)</f>
        <v/>
      </c>
      <c r="B1802" s="158">
        <f>IF($A1802="",0,COUNT($E1803:$AR1803))</f>
        <v/>
      </c>
      <c r="C1802" s="159">
        <f>IF($B1802=0,0,MAX($E1803:$AR1803))</f>
        <v/>
      </c>
      <c r="D1802" s="101">
        <f>BDS($A1802,FLD_HIST,"headers=y","startcol=1","endcol=7","dir=h","DVD_START_DT",HIST_FROM,"DVD_END_DT",HIST_TO)</f>
        <v/>
      </c>
      <c r="E1802" s="102" t="n"/>
      <c r="F1802" s="102" t="n"/>
      <c r="G1802" s="102" t="n"/>
      <c r="H1802" s="102" t="n"/>
      <c r="I1802" s="102" t="n"/>
      <c r="J1802" s="102" t="n"/>
      <c r="K1802" s="102" t="n"/>
      <c r="L1802" s="102" t="n"/>
      <c r="M1802" s="102" t="n"/>
      <c r="N1802" s="102" t="n"/>
      <c r="O1802" s="102" t="n"/>
      <c r="P1802" s="102" t="n"/>
      <c r="Q1802" s="102" t="n"/>
      <c r="R1802" s="102" t="n"/>
      <c r="S1802" s="102" t="n"/>
      <c r="T1802" s="102" t="n"/>
      <c r="U1802" s="102" t="n"/>
      <c r="V1802" s="102" t="n"/>
      <c r="W1802" s="102" t="n"/>
      <c r="X1802" s="102" t="n"/>
      <c r="Y1802" s="102" t="n"/>
      <c r="Z1802" s="102" t="n"/>
      <c r="AA1802" s="102" t="n"/>
      <c r="AB1802" s="102" t="n"/>
      <c r="AC1802" s="102" t="n"/>
      <c r="AD1802" s="102" t="n"/>
      <c r="AE1802" s="102" t="n"/>
      <c r="AF1802" s="102" t="n"/>
      <c r="AG1802" s="102" t="n"/>
      <c r="AH1802" s="102" t="n"/>
      <c r="AI1802" s="102" t="n"/>
      <c r="AJ1802" s="102" t="n"/>
      <c r="AK1802" s="102" t="n"/>
      <c r="AL1802" s="102" t="n"/>
      <c r="AM1802" s="102" t="n"/>
      <c r="AN1802" s="102" t="n"/>
      <c r="AO1802" s="102" t="n"/>
      <c r="AP1802" s="102" t="n"/>
      <c r="AQ1802" s="102" t="n"/>
      <c r="AR1802" s="102" t="n"/>
    </row>
    <row r="1803">
      <c r="D1803" s="102" t="n"/>
      <c r="E1803" s="102" t="n"/>
      <c r="F1803" s="102" t="n"/>
      <c r="G1803" s="102" t="n"/>
      <c r="H1803" s="102" t="n"/>
      <c r="I1803" s="102" t="n"/>
      <c r="J1803" s="102" t="n"/>
      <c r="K1803" s="102" t="n"/>
      <c r="L1803" s="102" t="n"/>
      <c r="M1803" s="102" t="n"/>
      <c r="N1803" s="102" t="n"/>
      <c r="O1803" s="102" t="n"/>
      <c r="P1803" s="102" t="n"/>
      <c r="Q1803" s="102" t="n"/>
      <c r="R1803" s="102" t="n"/>
      <c r="S1803" s="102" t="n"/>
      <c r="T1803" s="102" t="n"/>
      <c r="U1803" s="102" t="n"/>
      <c r="V1803" s="102" t="n"/>
      <c r="W1803" s="102" t="n"/>
      <c r="X1803" s="102" t="n"/>
      <c r="Y1803" s="102" t="n"/>
      <c r="Z1803" s="102" t="n"/>
      <c r="AA1803" s="102" t="n"/>
      <c r="AB1803" s="102" t="n"/>
      <c r="AC1803" s="102" t="n"/>
      <c r="AD1803" s="102" t="n"/>
      <c r="AE1803" s="102" t="n"/>
      <c r="AF1803" s="102" t="n"/>
      <c r="AG1803" s="102" t="n"/>
      <c r="AH1803" s="102" t="n"/>
      <c r="AI1803" s="102" t="n"/>
      <c r="AJ1803" s="102" t="n"/>
      <c r="AK1803" s="102" t="n"/>
      <c r="AL1803" s="102" t="n"/>
      <c r="AM1803" s="102" t="n"/>
      <c r="AN1803" s="102" t="n"/>
      <c r="AO1803" s="102" t="n"/>
      <c r="AP1803" s="102" t="n"/>
      <c r="AQ1803" s="102" t="n"/>
      <c r="AR1803" s="102" t="n"/>
    </row>
    <row r="1804">
      <c r="D1804" s="102" t="n"/>
      <c r="E1804" s="102" t="n"/>
      <c r="F1804" s="102" t="n"/>
      <c r="G1804" s="102" t="n"/>
      <c r="H1804" s="102" t="n"/>
      <c r="I1804" s="102" t="n"/>
      <c r="J1804" s="102" t="n"/>
      <c r="K1804" s="102" t="n"/>
      <c r="L1804" s="102" t="n"/>
      <c r="M1804" s="102" t="n"/>
      <c r="N1804" s="102" t="n"/>
      <c r="O1804" s="102" t="n"/>
      <c r="P1804" s="102" t="n"/>
      <c r="Q1804" s="102" t="n"/>
      <c r="R1804" s="102" t="n"/>
      <c r="S1804" s="102" t="n"/>
      <c r="T1804" s="102" t="n"/>
      <c r="U1804" s="102" t="n"/>
      <c r="V1804" s="102" t="n"/>
      <c r="W1804" s="102" t="n"/>
      <c r="X1804" s="102" t="n"/>
      <c r="Y1804" s="102" t="n"/>
      <c r="Z1804" s="102" t="n"/>
      <c r="AA1804" s="102" t="n"/>
      <c r="AB1804" s="102" t="n"/>
      <c r="AC1804" s="102" t="n"/>
      <c r="AD1804" s="102" t="n"/>
      <c r="AE1804" s="102" t="n"/>
      <c r="AF1804" s="102" t="n"/>
      <c r="AG1804" s="102" t="n"/>
      <c r="AH1804" s="102" t="n"/>
      <c r="AI1804" s="102" t="n"/>
      <c r="AJ1804" s="102" t="n"/>
      <c r="AK1804" s="102" t="n"/>
      <c r="AL1804" s="102" t="n"/>
      <c r="AM1804" s="102" t="n"/>
      <c r="AN1804" s="102" t="n"/>
      <c r="AO1804" s="102" t="n"/>
      <c r="AP1804" s="102" t="n"/>
      <c r="AQ1804" s="102" t="n"/>
      <c r="AR1804" s="102" t="n"/>
    </row>
    <row r="1805">
      <c r="D1805" s="102" t="n"/>
      <c r="E1805" s="102" t="n"/>
      <c r="F1805" s="102" t="n"/>
      <c r="G1805" s="102" t="n"/>
      <c r="H1805" s="102" t="n"/>
      <c r="I1805" s="102" t="n"/>
      <c r="J1805" s="102" t="n"/>
      <c r="K1805" s="102" t="n"/>
      <c r="L1805" s="102" t="n"/>
      <c r="M1805" s="102" t="n"/>
      <c r="N1805" s="102" t="n"/>
      <c r="O1805" s="102" t="n"/>
      <c r="P1805" s="102" t="n"/>
      <c r="Q1805" s="102" t="n"/>
      <c r="R1805" s="102" t="n"/>
      <c r="S1805" s="102" t="n"/>
      <c r="T1805" s="102" t="n"/>
      <c r="U1805" s="102" t="n"/>
      <c r="V1805" s="102" t="n"/>
      <c r="W1805" s="102" t="n"/>
      <c r="X1805" s="102" t="n"/>
      <c r="Y1805" s="102" t="n"/>
      <c r="Z1805" s="102" t="n"/>
      <c r="AA1805" s="102" t="n"/>
      <c r="AB1805" s="102" t="n"/>
      <c r="AC1805" s="102" t="n"/>
      <c r="AD1805" s="102" t="n"/>
      <c r="AE1805" s="102" t="n"/>
      <c r="AF1805" s="102" t="n"/>
      <c r="AG1805" s="102" t="n"/>
      <c r="AH1805" s="102" t="n"/>
      <c r="AI1805" s="102" t="n"/>
      <c r="AJ1805" s="102" t="n"/>
      <c r="AK1805" s="102" t="n"/>
      <c r="AL1805" s="102" t="n"/>
      <c r="AM1805" s="102" t="n"/>
      <c r="AN1805" s="102" t="n"/>
      <c r="AO1805" s="102" t="n"/>
      <c r="AP1805" s="102" t="n"/>
      <c r="AQ1805" s="102" t="n"/>
      <c r="AR1805" s="102" t="n"/>
    </row>
    <row r="1806">
      <c r="D1806" s="160" t="n"/>
      <c r="E1806" s="160" t="n"/>
      <c r="F1806" s="160" t="n"/>
      <c r="G1806" s="160" t="n"/>
      <c r="H1806" s="160" t="n"/>
      <c r="I1806" s="160" t="n"/>
      <c r="J1806" s="160" t="n"/>
      <c r="K1806" s="160" t="n"/>
      <c r="L1806" s="160" t="n"/>
      <c r="M1806" s="160" t="n"/>
      <c r="N1806" s="160" t="n"/>
      <c r="O1806" s="160" t="n"/>
      <c r="P1806" s="160" t="n"/>
      <c r="Q1806" s="160" t="n"/>
      <c r="R1806" s="160" t="n"/>
      <c r="S1806" s="160" t="n"/>
      <c r="T1806" s="160" t="n"/>
      <c r="U1806" s="160" t="n"/>
      <c r="V1806" s="160" t="n"/>
      <c r="W1806" s="160" t="n"/>
      <c r="X1806" s="160" t="n"/>
      <c r="Y1806" s="160" t="n"/>
      <c r="Z1806" s="160" t="n"/>
      <c r="AA1806" s="160" t="n"/>
      <c r="AB1806" s="160" t="n"/>
      <c r="AC1806" s="160" t="n"/>
      <c r="AD1806" s="160" t="n"/>
      <c r="AE1806" s="160" t="n"/>
      <c r="AF1806" s="160" t="n"/>
      <c r="AG1806" s="160" t="n"/>
      <c r="AH1806" s="160" t="n"/>
      <c r="AI1806" s="160" t="n"/>
      <c r="AJ1806" s="160" t="n"/>
      <c r="AK1806" s="160" t="n"/>
      <c r="AL1806" s="160" t="n"/>
      <c r="AM1806" s="160" t="n"/>
      <c r="AN1806" s="160" t="n"/>
      <c r="AO1806" s="160" t="n"/>
      <c r="AP1806" s="160" t="n"/>
      <c r="AQ1806" s="160" t="n"/>
      <c r="AR1806" s="160" t="n"/>
    </row>
    <row r="1809">
      <c r="A1809" s="2">
        <f>IF($A1802="","","   projections")</f>
        <v/>
      </c>
      <c r="B1809" s="158">
        <f>IF($A1802="",0,COUNT($E1810:$AR1810))</f>
        <v/>
      </c>
      <c r="C1809" s="159">
        <f>IF($B1809=0,0,MAX($E1810:$AR1810))</f>
        <v/>
      </c>
      <c r="D1809" s="101">
        <f>BDS($A1802,FLD_PROJ,"headers=y","startcol=1","endcol=3","dir=h")</f>
        <v/>
      </c>
      <c r="E1809" s="102" t="n"/>
      <c r="F1809" s="102" t="n"/>
      <c r="G1809" s="102" t="n"/>
      <c r="H1809" s="102" t="n"/>
      <c r="I1809" s="102" t="n"/>
      <c r="J1809" s="102" t="n"/>
      <c r="K1809" s="102" t="n"/>
      <c r="L1809" s="102" t="n"/>
      <c r="M1809" s="102" t="n"/>
      <c r="N1809" s="102" t="n"/>
      <c r="O1809" s="102" t="n"/>
      <c r="P1809" s="102" t="n"/>
      <c r="Q1809" s="102" t="n"/>
      <c r="R1809" s="102" t="n"/>
      <c r="S1809" s="102" t="n"/>
      <c r="T1809" s="102" t="n"/>
      <c r="U1809" s="102" t="n"/>
      <c r="V1809" s="102" t="n"/>
      <c r="W1809" s="102" t="n"/>
      <c r="X1809" s="102" t="n"/>
      <c r="Y1809" s="102" t="n"/>
      <c r="Z1809" s="102" t="n"/>
      <c r="AA1809" s="102" t="n"/>
      <c r="AB1809" s="102" t="n"/>
      <c r="AC1809" s="102" t="n"/>
      <c r="AD1809" s="102" t="n"/>
      <c r="AE1809" s="102" t="n"/>
      <c r="AF1809" s="102" t="n"/>
      <c r="AG1809" s="102" t="n"/>
      <c r="AH1809" s="102" t="n"/>
      <c r="AI1809" s="102" t="n"/>
      <c r="AJ1809" s="102" t="n"/>
      <c r="AK1809" s="102" t="n"/>
      <c r="AL1809" s="102" t="n"/>
      <c r="AM1809" s="102" t="n"/>
      <c r="AN1809" s="102" t="n"/>
      <c r="AO1809" s="102" t="n"/>
      <c r="AP1809" s="102" t="n"/>
      <c r="AQ1809" s="102" t="n"/>
      <c r="AR1809" s="102" t="n"/>
    </row>
    <row r="1810">
      <c r="D1810" s="102" t="n"/>
      <c r="E1810" s="102" t="n"/>
      <c r="F1810" s="102" t="n"/>
      <c r="G1810" s="102" t="n"/>
      <c r="H1810" s="102" t="n"/>
      <c r="I1810" s="102" t="n"/>
      <c r="J1810" s="102" t="n"/>
      <c r="K1810" s="102" t="n"/>
      <c r="L1810" s="102" t="n"/>
      <c r="M1810" s="102" t="n"/>
      <c r="N1810" s="102" t="n"/>
      <c r="O1810" s="102" t="n"/>
      <c r="P1810" s="102" t="n"/>
      <c r="Q1810" s="102" t="n"/>
      <c r="R1810" s="102" t="n"/>
      <c r="S1810" s="102" t="n"/>
      <c r="T1810" s="102" t="n"/>
      <c r="U1810" s="102" t="n"/>
      <c r="V1810" s="102" t="n"/>
      <c r="W1810" s="102" t="n"/>
      <c r="X1810" s="102" t="n"/>
      <c r="Y1810" s="102" t="n"/>
      <c r="Z1810" s="102" t="n"/>
      <c r="AA1810" s="102" t="n"/>
      <c r="AB1810" s="102" t="n"/>
      <c r="AC1810" s="102" t="n"/>
      <c r="AD1810" s="102" t="n"/>
      <c r="AE1810" s="102" t="n"/>
      <c r="AF1810" s="102" t="n"/>
      <c r="AG1810" s="102" t="n"/>
      <c r="AH1810" s="102" t="n"/>
      <c r="AI1810" s="102" t="n"/>
      <c r="AJ1810" s="102" t="n"/>
      <c r="AK1810" s="102" t="n"/>
      <c r="AL1810" s="102" t="n"/>
      <c r="AM1810" s="102" t="n"/>
      <c r="AN1810" s="102" t="n"/>
      <c r="AO1810" s="102" t="n"/>
      <c r="AP1810" s="102" t="n"/>
      <c r="AQ1810" s="102" t="n"/>
      <c r="AR1810" s="102" t="n"/>
    </row>
    <row r="1811">
      <c r="D1811" s="160" t="n"/>
      <c r="E1811" s="160" t="n"/>
      <c r="F1811" s="160" t="n"/>
      <c r="G1811" s="160" t="n"/>
      <c r="H1811" s="160" t="n"/>
      <c r="I1811" s="160" t="n"/>
      <c r="J1811" s="160" t="n"/>
      <c r="K1811" s="160" t="n"/>
      <c r="L1811" s="160" t="n"/>
      <c r="M1811" s="160" t="n"/>
      <c r="N1811" s="160" t="n"/>
      <c r="O1811" s="160" t="n"/>
      <c r="P1811" s="160" t="n"/>
      <c r="Q1811" s="160" t="n"/>
      <c r="R1811" s="160" t="n"/>
      <c r="S1811" s="160" t="n"/>
      <c r="T1811" s="160" t="n"/>
      <c r="U1811" s="160" t="n"/>
      <c r="V1811" s="160" t="n"/>
      <c r="W1811" s="160" t="n"/>
      <c r="X1811" s="160" t="n"/>
      <c r="Y1811" s="160" t="n"/>
      <c r="Z1811" s="160" t="n"/>
      <c r="AA1811" s="160" t="n"/>
      <c r="AB1811" s="160" t="n"/>
      <c r="AC1811" s="160" t="n"/>
      <c r="AD1811" s="160" t="n"/>
      <c r="AE1811" s="160" t="n"/>
      <c r="AF1811" s="160" t="n"/>
      <c r="AG1811" s="160" t="n"/>
      <c r="AH1811" s="160" t="n"/>
      <c r="AI1811" s="160" t="n"/>
      <c r="AJ1811" s="160" t="n"/>
      <c r="AK1811" s="160" t="n"/>
      <c r="AL1811" s="160" t="n"/>
      <c r="AM1811" s="160" t="n"/>
      <c r="AN1811" s="160" t="n"/>
      <c r="AO1811" s="160" t="n"/>
      <c r="AP1811" s="160" t="n"/>
      <c r="AQ1811" s="160" t="n"/>
      <c r="AR1811" s="160" t="n"/>
    </row>
    <row r="1813">
      <c r="A1813" s="8">
        <f>IF(HSCEI!$C$30="","",HSCEI!$C$30)</f>
        <v/>
      </c>
      <c r="B1813" s="158">
        <f>IF($A1813="",0,COUNT($E1814:$AR1814))</f>
        <v/>
      </c>
      <c r="C1813" s="159">
        <f>IF($B1813=0,0,MAX($E1814:$AR1814))</f>
        <v/>
      </c>
      <c r="D1813" s="101">
        <f>BDS($A1813,FLD_HIST,"headers=y","startcol=1","endcol=7","dir=h","DVD_START_DT",HIST_FROM,"DVD_END_DT",HIST_TO)</f>
        <v/>
      </c>
      <c r="E1813" s="102" t="n"/>
      <c r="F1813" s="102" t="n"/>
      <c r="G1813" s="102" t="n"/>
      <c r="H1813" s="102" t="n"/>
      <c r="I1813" s="102" t="n"/>
      <c r="J1813" s="102" t="n"/>
      <c r="K1813" s="102" t="n"/>
      <c r="L1813" s="102" t="n"/>
      <c r="M1813" s="102" t="n"/>
      <c r="N1813" s="102" t="n"/>
      <c r="O1813" s="102" t="n"/>
      <c r="P1813" s="102" t="n"/>
      <c r="Q1813" s="102" t="n"/>
      <c r="R1813" s="102" t="n"/>
      <c r="S1813" s="102" t="n"/>
      <c r="T1813" s="102" t="n"/>
      <c r="U1813" s="102" t="n"/>
      <c r="V1813" s="102" t="n"/>
      <c r="W1813" s="102" t="n"/>
      <c r="X1813" s="102" t="n"/>
      <c r="Y1813" s="102" t="n"/>
      <c r="Z1813" s="102" t="n"/>
      <c r="AA1813" s="102" t="n"/>
      <c r="AB1813" s="102" t="n"/>
      <c r="AC1813" s="102" t="n"/>
      <c r="AD1813" s="102" t="n"/>
      <c r="AE1813" s="102" t="n"/>
      <c r="AF1813" s="102" t="n"/>
      <c r="AG1813" s="102" t="n"/>
      <c r="AH1813" s="102" t="n"/>
      <c r="AI1813" s="102" t="n"/>
      <c r="AJ1813" s="102" t="n"/>
      <c r="AK1813" s="102" t="n"/>
      <c r="AL1813" s="102" t="n"/>
      <c r="AM1813" s="102" t="n"/>
      <c r="AN1813" s="102" t="n"/>
      <c r="AO1813" s="102" t="n"/>
      <c r="AP1813" s="102" t="n"/>
      <c r="AQ1813" s="102" t="n"/>
      <c r="AR1813" s="102" t="n"/>
    </row>
    <row r="1814">
      <c r="D1814" s="102" t="n"/>
      <c r="E1814" s="102" t="n"/>
      <c r="F1814" s="102" t="n"/>
      <c r="G1814" s="102" t="n"/>
      <c r="H1814" s="102" t="n"/>
      <c r="I1814" s="102" t="n"/>
      <c r="J1814" s="102" t="n"/>
      <c r="K1814" s="102" t="n"/>
      <c r="L1814" s="102" t="n"/>
      <c r="M1814" s="102" t="n"/>
      <c r="N1814" s="102" t="n"/>
      <c r="O1814" s="102" t="n"/>
      <c r="P1814" s="102" t="n"/>
      <c r="Q1814" s="102" t="n"/>
      <c r="R1814" s="102" t="n"/>
      <c r="S1814" s="102" t="n"/>
      <c r="T1814" s="102" t="n"/>
      <c r="U1814" s="102" t="n"/>
      <c r="V1814" s="102" t="n"/>
      <c r="W1814" s="102" t="n"/>
      <c r="X1814" s="102" t="n"/>
      <c r="Y1814" s="102" t="n"/>
      <c r="Z1814" s="102" t="n"/>
      <c r="AA1814" s="102" t="n"/>
      <c r="AB1814" s="102" t="n"/>
      <c r="AC1814" s="102" t="n"/>
      <c r="AD1814" s="102" t="n"/>
      <c r="AE1814" s="102" t="n"/>
      <c r="AF1814" s="102" t="n"/>
      <c r="AG1814" s="102" t="n"/>
      <c r="AH1814" s="102" t="n"/>
      <c r="AI1814" s="102" t="n"/>
      <c r="AJ1814" s="102" t="n"/>
      <c r="AK1814" s="102" t="n"/>
      <c r="AL1814" s="102" t="n"/>
      <c r="AM1814" s="102" t="n"/>
      <c r="AN1814" s="102" t="n"/>
      <c r="AO1814" s="102" t="n"/>
      <c r="AP1814" s="102" t="n"/>
      <c r="AQ1814" s="102" t="n"/>
      <c r="AR1814" s="102" t="n"/>
    </row>
    <row r="1815">
      <c r="D1815" s="102" t="n"/>
      <c r="E1815" s="102" t="n"/>
      <c r="F1815" s="102" t="n"/>
      <c r="G1815" s="102" t="n"/>
      <c r="H1815" s="102" t="n"/>
      <c r="I1815" s="102" t="n"/>
      <c r="J1815" s="102" t="n"/>
      <c r="K1815" s="102" t="n"/>
      <c r="L1815" s="102" t="n"/>
      <c r="M1815" s="102" t="n"/>
      <c r="N1815" s="102" t="n"/>
      <c r="O1815" s="102" t="n"/>
      <c r="P1815" s="102" t="n"/>
      <c r="Q1815" s="102" t="n"/>
      <c r="R1815" s="102" t="n"/>
      <c r="S1815" s="102" t="n"/>
      <c r="T1815" s="102" t="n"/>
      <c r="U1815" s="102" t="n"/>
      <c r="V1815" s="102" t="n"/>
      <c r="W1815" s="102" t="n"/>
      <c r="X1815" s="102" t="n"/>
      <c r="Y1815" s="102" t="n"/>
      <c r="Z1815" s="102" t="n"/>
      <c r="AA1815" s="102" t="n"/>
      <c r="AB1815" s="102" t="n"/>
      <c r="AC1815" s="102" t="n"/>
      <c r="AD1815" s="102" t="n"/>
      <c r="AE1815" s="102" t="n"/>
      <c r="AF1815" s="102" t="n"/>
      <c r="AG1815" s="102" t="n"/>
      <c r="AH1815" s="102" t="n"/>
      <c r="AI1815" s="102" t="n"/>
      <c r="AJ1815" s="102" t="n"/>
      <c r="AK1815" s="102" t="n"/>
      <c r="AL1815" s="102" t="n"/>
      <c r="AM1815" s="102" t="n"/>
      <c r="AN1815" s="102" t="n"/>
      <c r="AO1815" s="102" t="n"/>
      <c r="AP1815" s="102" t="n"/>
      <c r="AQ1815" s="102" t="n"/>
      <c r="AR1815" s="102" t="n"/>
    </row>
    <row r="1816">
      <c r="D1816" s="102" t="n"/>
      <c r="E1816" s="102" t="n"/>
      <c r="F1816" s="102" t="n"/>
      <c r="G1816" s="102" t="n"/>
      <c r="H1816" s="102" t="n"/>
      <c r="I1816" s="102" t="n"/>
      <c r="J1816" s="102" t="n"/>
      <c r="K1816" s="102" t="n"/>
      <c r="L1816" s="102" t="n"/>
      <c r="M1816" s="102" t="n"/>
      <c r="N1816" s="102" t="n"/>
      <c r="O1816" s="102" t="n"/>
      <c r="P1816" s="102" t="n"/>
      <c r="Q1816" s="102" t="n"/>
      <c r="R1816" s="102" t="n"/>
      <c r="S1816" s="102" t="n"/>
      <c r="T1816" s="102" t="n"/>
      <c r="U1816" s="102" t="n"/>
      <c r="V1816" s="102" t="n"/>
      <c r="W1816" s="102" t="n"/>
      <c r="X1816" s="102" t="n"/>
      <c r="Y1816" s="102" t="n"/>
      <c r="Z1816" s="102" t="n"/>
      <c r="AA1816" s="102" t="n"/>
      <c r="AB1816" s="102" t="n"/>
      <c r="AC1816" s="102" t="n"/>
      <c r="AD1816" s="102" t="n"/>
      <c r="AE1816" s="102" t="n"/>
      <c r="AF1816" s="102" t="n"/>
      <c r="AG1816" s="102" t="n"/>
      <c r="AH1816" s="102" t="n"/>
      <c r="AI1816" s="102" t="n"/>
      <c r="AJ1816" s="102" t="n"/>
      <c r="AK1816" s="102" t="n"/>
      <c r="AL1816" s="102" t="n"/>
      <c r="AM1816" s="102" t="n"/>
      <c r="AN1816" s="102" t="n"/>
      <c r="AO1816" s="102" t="n"/>
      <c r="AP1816" s="102" t="n"/>
      <c r="AQ1816" s="102" t="n"/>
      <c r="AR1816" s="102" t="n"/>
    </row>
    <row r="1817">
      <c r="D1817" s="160" t="n"/>
      <c r="E1817" s="160" t="n"/>
      <c r="F1817" s="160" t="n"/>
      <c r="G1817" s="160" t="n"/>
      <c r="H1817" s="160" t="n"/>
      <c r="I1817" s="160" t="n"/>
      <c r="J1817" s="160" t="n"/>
      <c r="K1817" s="160" t="n"/>
      <c r="L1817" s="160" t="n"/>
      <c r="M1817" s="160" t="n"/>
      <c r="N1817" s="160" t="n"/>
      <c r="O1817" s="160" t="n"/>
      <c r="P1817" s="160" t="n"/>
      <c r="Q1817" s="160" t="n"/>
      <c r="R1817" s="160" t="n"/>
      <c r="S1817" s="160" t="n"/>
      <c r="T1817" s="160" t="n"/>
      <c r="U1817" s="160" t="n"/>
      <c r="V1817" s="160" t="n"/>
      <c r="W1817" s="160" t="n"/>
      <c r="X1817" s="160" t="n"/>
      <c r="Y1817" s="160" t="n"/>
      <c r="Z1817" s="160" t="n"/>
      <c r="AA1817" s="160" t="n"/>
      <c r="AB1817" s="160" t="n"/>
      <c r="AC1817" s="160" t="n"/>
      <c r="AD1817" s="160" t="n"/>
      <c r="AE1817" s="160" t="n"/>
      <c r="AF1817" s="160" t="n"/>
      <c r="AG1817" s="160" t="n"/>
      <c r="AH1817" s="160" t="n"/>
      <c r="AI1817" s="160" t="n"/>
      <c r="AJ1817" s="160" t="n"/>
      <c r="AK1817" s="160" t="n"/>
      <c r="AL1817" s="160" t="n"/>
      <c r="AM1817" s="160" t="n"/>
      <c r="AN1817" s="160" t="n"/>
      <c r="AO1817" s="160" t="n"/>
      <c r="AP1817" s="160" t="n"/>
      <c r="AQ1817" s="160" t="n"/>
      <c r="AR1817" s="160" t="n"/>
    </row>
    <row r="1820">
      <c r="A1820" s="2">
        <f>IF($A1813="","","   projections")</f>
        <v/>
      </c>
      <c r="B1820" s="158">
        <f>IF($A1813="",0,COUNT($E1821:$AR1821))</f>
        <v/>
      </c>
      <c r="C1820" s="159">
        <f>IF($B1820=0,0,MAX($E1821:$AR1821))</f>
        <v/>
      </c>
      <c r="D1820" s="101">
        <f>BDS($A1813,FLD_PROJ,"headers=y","startcol=1","endcol=3","dir=h")</f>
        <v/>
      </c>
      <c r="E1820" s="102" t="n"/>
      <c r="F1820" s="102" t="n"/>
      <c r="G1820" s="102" t="n"/>
      <c r="H1820" s="102" t="n"/>
      <c r="I1820" s="102" t="n"/>
      <c r="J1820" s="102" t="n"/>
      <c r="K1820" s="102" t="n"/>
      <c r="L1820" s="102" t="n"/>
      <c r="M1820" s="102" t="n"/>
      <c r="N1820" s="102" t="n"/>
      <c r="O1820" s="102" t="n"/>
      <c r="P1820" s="102" t="n"/>
      <c r="Q1820" s="102" t="n"/>
      <c r="R1820" s="102" t="n"/>
      <c r="S1820" s="102" t="n"/>
      <c r="T1820" s="102" t="n"/>
      <c r="U1820" s="102" t="n"/>
      <c r="V1820" s="102" t="n"/>
      <c r="W1820" s="102" t="n"/>
      <c r="X1820" s="102" t="n"/>
      <c r="Y1820" s="102" t="n"/>
      <c r="Z1820" s="102" t="n"/>
      <c r="AA1820" s="102" t="n"/>
      <c r="AB1820" s="102" t="n"/>
      <c r="AC1820" s="102" t="n"/>
      <c r="AD1820" s="102" t="n"/>
      <c r="AE1820" s="102" t="n"/>
      <c r="AF1820" s="102" t="n"/>
      <c r="AG1820" s="102" t="n"/>
      <c r="AH1820" s="102" t="n"/>
      <c r="AI1820" s="102" t="n"/>
      <c r="AJ1820" s="102" t="n"/>
      <c r="AK1820" s="102" t="n"/>
      <c r="AL1820" s="102" t="n"/>
      <c r="AM1820" s="102" t="n"/>
      <c r="AN1820" s="102" t="n"/>
      <c r="AO1820" s="102" t="n"/>
      <c r="AP1820" s="102" t="n"/>
      <c r="AQ1820" s="102" t="n"/>
      <c r="AR1820" s="102" t="n"/>
    </row>
    <row r="1821">
      <c r="D1821" s="102" t="n"/>
      <c r="E1821" s="102" t="n"/>
      <c r="F1821" s="102" t="n"/>
      <c r="G1821" s="102" t="n"/>
      <c r="H1821" s="102" t="n"/>
      <c r="I1821" s="102" t="n"/>
      <c r="J1821" s="102" t="n"/>
      <c r="K1821" s="102" t="n"/>
      <c r="L1821" s="102" t="n"/>
      <c r="M1821" s="102" t="n"/>
      <c r="N1821" s="102" t="n"/>
      <c r="O1821" s="102" t="n"/>
      <c r="P1821" s="102" t="n"/>
      <c r="Q1821" s="102" t="n"/>
      <c r="R1821" s="102" t="n"/>
      <c r="S1821" s="102" t="n"/>
      <c r="T1821" s="102" t="n"/>
      <c r="U1821" s="102" t="n"/>
      <c r="V1821" s="102" t="n"/>
      <c r="W1821" s="102" t="n"/>
      <c r="X1821" s="102" t="n"/>
      <c r="Y1821" s="102" t="n"/>
      <c r="Z1821" s="102" t="n"/>
      <c r="AA1821" s="102" t="n"/>
      <c r="AB1821" s="102" t="n"/>
      <c r="AC1821" s="102" t="n"/>
      <c r="AD1821" s="102" t="n"/>
      <c r="AE1821" s="102" t="n"/>
      <c r="AF1821" s="102" t="n"/>
      <c r="AG1821" s="102" t="n"/>
      <c r="AH1821" s="102" t="n"/>
      <c r="AI1821" s="102" t="n"/>
      <c r="AJ1821" s="102" t="n"/>
      <c r="AK1821" s="102" t="n"/>
      <c r="AL1821" s="102" t="n"/>
      <c r="AM1821" s="102" t="n"/>
      <c r="AN1821" s="102" t="n"/>
      <c r="AO1821" s="102" t="n"/>
      <c r="AP1821" s="102" t="n"/>
      <c r="AQ1821" s="102" t="n"/>
      <c r="AR1821" s="102" t="n"/>
    </row>
    <row r="1822">
      <c r="D1822" s="160" t="n"/>
      <c r="E1822" s="160" t="n"/>
      <c r="F1822" s="160" t="n"/>
      <c r="G1822" s="160" t="n"/>
      <c r="H1822" s="160" t="n"/>
      <c r="I1822" s="160" t="n"/>
      <c r="J1822" s="160" t="n"/>
      <c r="K1822" s="160" t="n"/>
      <c r="L1822" s="160" t="n"/>
      <c r="M1822" s="160" t="n"/>
      <c r="N1822" s="160" t="n"/>
      <c r="O1822" s="160" t="n"/>
      <c r="P1822" s="160" t="n"/>
      <c r="Q1822" s="160" t="n"/>
      <c r="R1822" s="160" t="n"/>
      <c r="S1822" s="160" t="n"/>
      <c r="T1822" s="160" t="n"/>
      <c r="U1822" s="160" t="n"/>
      <c r="V1822" s="160" t="n"/>
      <c r="W1822" s="160" t="n"/>
      <c r="X1822" s="160" t="n"/>
      <c r="Y1822" s="160" t="n"/>
      <c r="Z1822" s="160" t="n"/>
      <c r="AA1822" s="160" t="n"/>
      <c r="AB1822" s="160" t="n"/>
      <c r="AC1822" s="160" t="n"/>
      <c r="AD1822" s="160" t="n"/>
      <c r="AE1822" s="160" t="n"/>
      <c r="AF1822" s="160" t="n"/>
      <c r="AG1822" s="160" t="n"/>
      <c r="AH1822" s="160" t="n"/>
      <c r="AI1822" s="160" t="n"/>
      <c r="AJ1822" s="160" t="n"/>
      <c r="AK1822" s="160" t="n"/>
      <c r="AL1822" s="160" t="n"/>
      <c r="AM1822" s="160" t="n"/>
      <c r="AN1822" s="160" t="n"/>
      <c r="AO1822" s="160" t="n"/>
      <c r="AP1822" s="160" t="n"/>
      <c r="AQ1822" s="160" t="n"/>
      <c r="AR1822" s="160" t="n"/>
    </row>
    <row r="1824">
      <c r="A1824" s="8">
        <f>IF(HSCEI!$C$31="","",HSCEI!$C$31)</f>
        <v/>
      </c>
      <c r="B1824" s="158">
        <f>IF($A1824="",0,COUNT($E1825:$AR1825))</f>
        <v/>
      </c>
      <c r="C1824" s="159">
        <f>IF($B1824=0,0,MAX($E1825:$AR1825))</f>
        <v/>
      </c>
      <c r="D1824" s="101">
        <f>BDS($A1824,FLD_HIST,"headers=y","startcol=1","endcol=7","dir=h","DVD_START_DT",HIST_FROM,"DVD_END_DT",HIST_TO)</f>
        <v/>
      </c>
      <c r="E1824" s="102" t="n"/>
      <c r="F1824" s="102" t="n"/>
      <c r="G1824" s="102" t="n"/>
      <c r="H1824" s="102" t="n"/>
      <c r="I1824" s="102" t="n"/>
      <c r="J1824" s="102" t="n"/>
      <c r="K1824" s="102" t="n"/>
      <c r="L1824" s="102" t="n"/>
      <c r="M1824" s="102" t="n"/>
      <c r="N1824" s="102" t="n"/>
      <c r="O1824" s="102" t="n"/>
      <c r="P1824" s="102" t="n"/>
      <c r="Q1824" s="102" t="n"/>
      <c r="R1824" s="102" t="n"/>
      <c r="S1824" s="102" t="n"/>
      <c r="T1824" s="102" t="n"/>
      <c r="U1824" s="102" t="n"/>
      <c r="V1824" s="102" t="n"/>
      <c r="W1824" s="102" t="n"/>
      <c r="X1824" s="102" t="n"/>
      <c r="Y1824" s="102" t="n"/>
      <c r="Z1824" s="102" t="n"/>
      <c r="AA1824" s="102" t="n"/>
      <c r="AB1824" s="102" t="n"/>
      <c r="AC1824" s="102" t="n"/>
      <c r="AD1824" s="102" t="n"/>
      <c r="AE1824" s="102" t="n"/>
      <c r="AF1824" s="102" t="n"/>
      <c r="AG1824" s="102" t="n"/>
      <c r="AH1824" s="102" t="n"/>
      <c r="AI1824" s="102" t="n"/>
      <c r="AJ1824" s="102" t="n"/>
      <c r="AK1824" s="102" t="n"/>
      <c r="AL1824" s="102" t="n"/>
      <c r="AM1824" s="102" t="n"/>
      <c r="AN1824" s="102" t="n"/>
      <c r="AO1824" s="102" t="n"/>
      <c r="AP1824" s="102" t="n"/>
      <c r="AQ1824" s="102" t="n"/>
      <c r="AR1824" s="102" t="n"/>
    </row>
    <row r="1825">
      <c r="D1825" s="102" t="n"/>
      <c r="E1825" s="102" t="n"/>
      <c r="F1825" s="102" t="n"/>
      <c r="G1825" s="102" t="n"/>
      <c r="H1825" s="102" t="n"/>
      <c r="I1825" s="102" t="n"/>
      <c r="J1825" s="102" t="n"/>
      <c r="K1825" s="102" t="n"/>
      <c r="L1825" s="102" t="n"/>
      <c r="M1825" s="102" t="n"/>
      <c r="N1825" s="102" t="n"/>
      <c r="O1825" s="102" t="n"/>
      <c r="P1825" s="102" t="n"/>
      <c r="Q1825" s="102" t="n"/>
      <c r="R1825" s="102" t="n"/>
      <c r="S1825" s="102" t="n"/>
      <c r="T1825" s="102" t="n"/>
      <c r="U1825" s="102" t="n"/>
      <c r="V1825" s="102" t="n"/>
      <c r="W1825" s="102" t="n"/>
      <c r="X1825" s="102" t="n"/>
      <c r="Y1825" s="102" t="n"/>
      <c r="Z1825" s="102" t="n"/>
      <c r="AA1825" s="102" t="n"/>
      <c r="AB1825" s="102" t="n"/>
      <c r="AC1825" s="102" t="n"/>
      <c r="AD1825" s="102" t="n"/>
      <c r="AE1825" s="102" t="n"/>
      <c r="AF1825" s="102" t="n"/>
      <c r="AG1825" s="102" t="n"/>
      <c r="AH1825" s="102" t="n"/>
      <c r="AI1825" s="102" t="n"/>
      <c r="AJ1825" s="102" t="n"/>
      <c r="AK1825" s="102" t="n"/>
      <c r="AL1825" s="102" t="n"/>
      <c r="AM1825" s="102" t="n"/>
      <c r="AN1825" s="102" t="n"/>
      <c r="AO1825" s="102" t="n"/>
      <c r="AP1825" s="102" t="n"/>
      <c r="AQ1825" s="102" t="n"/>
      <c r="AR1825" s="102" t="n"/>
    </row>
    <row r="1826">
      <c r="D1826" s="102" t="n"/>
      <c r="E1826" s="102" t="n"/>
      <c r="F1826" s="102" t="n"/>
      <c r="G1826" s="102" t="n"/>
      <c r="H1826" s="102" t="n"/>
      <c r="I1826" s="102" t="n"/>
      <c r="J1826" s="102" t="n"/>
      <c r="K1826" s="102" t="n"/>
      <c r="L1826" s="102" t="n"/>
      <c r="M1826" s="102" t="n"/>
      <c r="N1826" s="102" t="n"/>
      <c r="O1826" s="102" t="n"/>
      <c r="P1826" s="102" t="n"/>
      <c r="Q1826" s="102" t="n"/>
      <c r="R1826" s="102" t="n"/>
      <c r="S1826" s="102" t="n"/>
      <c r="T1826" s="102" t="n"/>
      <c r="U1826" s="102" t="n"/>
      <c r="V1826" s="102" t="n"/>
      <c r="W1826" s="102" t="n"/>
      <c r="X1826" s="102" t="n"/>
      <c r="Y1826" s="102" t="n"/>
      <c r="Z1826" s="102" t="n"/>
      <c r="AA1826" s="102" t="n"/>
      <c r="AB1826" s="102" t="n"/>
      <c r="AC1826" s="102" t="n"/>
      <c r="AD1826" s="102" t="n"/>
      <c r="AE1826" s="102" t="n"/>
      <c r="AF1826" s="102" t="n"/>
      <c r="AG1826" s="102" t="n"/>
      <c r="AH1826" s="102" t="n"/>
      <c r="AI1826" s="102" t="n"/>
      <c r="AJ1826" s="102" t="n"/>
      <c r="AK1826" s="102" t="n"/>
      <c r="AL1826" s="102" t="n"/>
      <c r="AM1826" s="102" t="n"/>
      <c r="AN1826" s="102" t="n"/>
      <c r="AO1826" s="102" t="n"/>
      <c r="AP1826" s="102" t="n"/>
      <c r="AQ1826" s="102" t="n"/>
      <c r="AR1826" s="102" t="n"/>
    </row>
    <row r="1827">
      <c r="D1827" s="102" t="n"/>
      <c r="E1827" s="102" t="n"/>
      <c r="F1827" s="102" t="n"/>
      <c r="G1827" s="102" t="n"/>
      <c r="H1827" s="102" t="n"/>
      <c r="I1827" s="102" t="n"/>
      <c r="J1827" s="102" t="n"/>
      <c r="K1827" s="102" t="n"/>
      <c r="L1827" s="102" t="n"/>
      <c r="M1827" s="102" t="n"/>
      <c r="N1827" s="102" t="n"/>
      <c r="O1827" s="102" t="n"/>
      <c r="P1827" s="102" t="n"/>
      <c r="Q1827" s="102" t="n"/>
      <c r="R1827" s="102" t="n"/>
      <c r="S1827" s="102" t="n"/>
      <c r="T1827" s="102" t="n"/>
      <c r="U1827" s="102" t="n"/>
      <c r="V1827" s="102" t="n"/>
      <c r="W1827" s="102" t="n"/>
      <c r="X1827" s="102" t="n"/>
      <c r="Y1827" s="102" t="n"/>
      <c r="Z1827" s="102" t="n"/>
      <c r="AA1827" s="102" t="n"/>
      <c r="AB1827" s="102" t="n"/>
      <c r="AC1827" s="102" t="n"/>
      <c r="AD1827" s="102" t="n"/>
      <c r="AE1827" s="102" t="n"/>
      <c r="AF1827" s="102" t="n"/>
      <c r="AG1827" s="102" t="n"/>
      <c r="AH1827" s="102" t="n"/>
      <c r="AI1827" s="102" t="n"/>
      <c r="AJ1827" s="102" t="n"/>
      <c r="AK1827" s="102" t="n"/>
      <c r="AL1827" s="102" t="n"/>
      <c r="AM1827" s="102" t="n"/>
      <c r="AN1827" s="102" t="n"/>
      <c r="AO1827" s="102" t="n"/>
      <c r="AP1827" s="102" t="n"/>
      <c r="AQ1827" s="102" t="n"/>
      <c r="AR1827" s="102" t="n"/>
    </row>
    <row r="1828">
      <c r="D1828" s="160" t="n"/>
      <c r="E1828" s="160" t="n"/>
      <c r="F1828" s="160" t="n"/>
      <c r="G1828" s="160" t="n"/>
      <c r="H1828" s="160" t="n"/>
      <c r="I1828" s="160" t="n"/>
      <c r="J1828" s="160" t="n"/>
      <c r="K1828" s="160" t="n"/>
      <c r="L1828" s="160" t="n"/>
      <c r="M1828" s="160" t="n"/>
      <c r="N1828" s="160" t="n"/>
      <c r="O1828" s="160" t="n"/>
      <c r="P1828" s="160" t="n"/>
      <c r="Q1828" s="160" t="n"/>
      <c r="R1828" s="160" t="n"/>
      <c r="S1828" s="160" t="n"/>
      <c r="T1828" s="160" t="n"/>
      <c r="U1828" s="160" t="n"/>
      <c r="V1828" s="160" t="n"/>
      <c r="W1828" s="160" t="n"/>
      <c r="X1828" s="160" t="n"/>
      <c r="Y1828" s="160" t="n"/>
      <c r="Z1828" s="160" t="n"/>
      <c r="AA1828" s="160" t="n"/>
      <c r="AB1828" s="160" t="n"/>
      <c r="AC1828" s="160" t="n"/>
      <c r="AD1828" s="160" t="n"/>
      <c r="AE1828" s="160" t="n"/>
      <c r="AF1828" s="160" t="n"/>
      <c r="AG1828" s="160" t="n"/>
      <c r="AH1828" s="160" t="n"/>
      <c r="AI1828" s="160" t="n"/>
      <c r="AJ1828" s="160" t="n"/>
      <c r="AK1828" s="160" t="n"/>
      <c r="AL1828" s="160" t="n"/>
      <c r="AM1828" s="160" t="n"/>
      <c r="AN1828" s="160" t="n"/>
      <c r="AO1828" s="160" t="n"/>
      <c r="AP1828" s="160" t="n"/>
      <c r="AQ1828" s="160" t="n"/>
      <c r="AR1828" s="160" t="n"/>
    </row>
    <row r="1831">
      <c r="A1831" s="2">
        <f>IF($A1824="","","   projections")</f>
        <v/>
      </c>
      <c r="B1831" s="158">
        <f>IF($A1824="",0,COUNT($E1832:$AR1832))</f>
        <v/>
      </c>
      <c r="C1831" s="159">
        <f>IF($B1831=0,0,MAX($E1832:$AR1832))</f>
        <v/>
      </c>
      <c r="D1831" s="101">
        <f>BDS($A1824,FLD_PROJ,"headers=y","startcol=1","endcol=3","dir=h")</f>
        <v/>
      </c>
      <c r="E1831" s="102" t="n"/>
      <c r="F1831" s="102" t="n"/>
      <c r="G1831" s="102" t="n"/>
      <c r="H1831" s="102" t="n"/>
      <c r="I1831" s="102" t="n"/>
      <c r="J1831" s="102" t="n"/>
      <c r="K1831" s="102" t="n"/>
      <c r="L1831" s="102" t="n"/>
      <c r="M1831" s="102" t="n"/>
      <c r="N1831" s="102" t="n"/>
      <c r="O1831" s="102" t="n"/>
      <c r="P1831" s="102" t="n"/>
      <c r="Q1831" s="102" t="n"/>
      <c r="R1831" s="102" t="n"/>
      <c r="S1831" s="102" t="n"/>
      <c r="T1831" s="102" t="n"/>
      <c r="U1831" s="102" t="n"/>
      <c r="V1831" s="102" t="n"/>
      <c r="W1831" s="102" t="n"/>
      <c r="X1831" s="102" t="n"/>
      <c r="Y1831" s="102" t="n"/>
      <c r="Z1831" s="102" t="n"/>
      <c r="AA1831" s="102" t="n"/>
      <c r="AB1831" s="102" t="n"/>
      <c r="AC1831" s="102" t="n"/>
      <c r="AD1831" s="102" t="n"/>
      <c r="AE1831" s="102" t="n"/>
      <c r="AF1831" s="102" t="n"/>
      <c r="AG1831" s="102" t="n"/>
      <c r="AH1831" s="102" t="n"/>
      <c r="AI1831" s="102" t="n"/>
      <c r="AJ1831" s="102" t="n"/>
      <c r="AK1831" s="102" t="n"/>
      <c r="AL1831" s="102" t="n"/>
      <c r="AM1831" s="102" t="n"/>
      <c r="AN1831" s="102" t="n"/>
      <c r="AO1831" s="102" t="n"/>
      <c r="AP1831" s="102" t="n"/>
      <c r="AQ1831" s="102" t="n"/>
      <c r="AR1831" s="102" t="n"/>
    </row>
    <row r="1832">
      <c r="D1832" s="102" t="n"/>
      <c r="E1832" s="102" t="n"/>
      <c r="F1832" s="102" t="n"/>
      <c r="G1832" s="102" t="n"/>
      <c r="H1832" s="102" t="n"/>
      <c r="I1832" s="102" t="n"/>
      <c r="J1832" s="102" t="n"/>
      <c r="K1832" s="102" t="n"/>
      <c r="L1832" s="102" t="n"/>
      <c r="M1832" s="102" t="n"/>
      <c r="N1832" s="102" t="n"/>
      <c r="O1832" s="102" t="n"/>
      <c r="P1832" s="102" t="n"/>
      <c r="Q1832" s="102" t="n"/>
      <c r="R1832" s="102" t="n"/>
      <c r="S1832" s="102" t="n"/>
      <c r="T1832" s="102" t="n"/>
      <c r="U1832" s="102" t="n"/>
      <c r="V1832" s="102" t="n"/>
      <c r="W1832" s="102" t="n"/>
      <c r="X1832" s="102" t="n"/>
      <c r="Y1832" s="102" t="n"/>
      <c r="Z1832" s="102" t="n"/>
      <c r="AA1832" s="102" t="n"/>
      <c r="AB1832" s="102" t="n"/>
      <c r="AC1832" s="102" t="n"/>
      <c r="AD1832" s="102" t="n"/>
      <c r="AE1832" s="102" t="n"/>
      <c r="AF1832" s="102" t="n"/>
      <c r="AG1832" s="102" t="n"/>
      <c r="AH1832" s="102" t="n"/>
      <c r="AI1832" s="102" t="n"/>
      <c r="AJ1832" s="102" t="n"/>
      <c r="AK1832" s="102" t="n"/>
      <c r="AL1832" s="102" t="n"/>
      <c r="AM1832" s="102" t="n"/>
      <c r="AN1832" s="102" t="n"/>
      <c r="AO1832" s="102" t="n"/>
      <c r="AP1832" s="102" t="n"/>
      <c r="AQ1832" s="102" t="n"/>
      <c r="AR1832" s="102" t="n"/>
    </row>
    <row r="1833">
      <c r="D1833" s="160" t="n"/>
      <c r="E1833" s="160" t="n"/>
      <c r="F1833" s="160" t="n"/>
      <c r="G1833" s="160" t="n"/>
      <c r="H1833" s="160" t="n"/>
      <c r="I1833" s="160" t="n"/>
      <c r="J1833" s="160" t="n"/>
      <c r="K1833" s="160" t="n"/>
      <c r="L1833" s="160" t="n"/>
      <c r="M1833" s="160" t="n"/>
      <c r="N1833" s="160" t="n"/>
      <c r="O1833" s="160" t="n"/>
      <c r="P1833" s="160" t="n"/>
      <c r="Q1833" s="160" t="n"/>
      <c r="R1833" s="160" t="n"/>
      <c r="S1833" s="160" t="n"/>
      <c r="T1833" s="160" t="n"/>
      <c r="U1833" s="160" t="n"/>
      <c r="V1833" s="160" t="n"/>
      <c r="W1833" s="160" t="n"/>
      <c r="X1833" s="160" t="n"/>
      <c r="Y1833" s="160" t="n"/>
      <c r="Z1833" s="160" t="n"/>
      <c r="AA1833" s="160" t="n"/>
      <c r="AB1833" s="160" t="n"/>
      <c r="AC1833" s="160" t="n"/>
      <c r="AD1833" s="160" t="n"/>
      <c r="AE1833" s="160" t="n"/>
      <c r="AF1833" s="160" t="n"/>
      <c r="AG1833" s="160" t="n"/>
      <c r="AH1833" s="160" t="n"/>
      <c r="AI1833" s="160" t="n"/>
      <c r="AJ1833" s="160" t="n"/>
      <c r="AK1833" s="160" t="n"/>
      <c r="AL1833" s="160" t="n"/>
      <c r="AM1833" s="160" t="n"/>
      <c r="AN1833" s="160" t="n"/>
      <c r="AO1833" s="160" t="n"/>
      <c r="AP1833" s="160" t="n"/>
      <c r="AQ1833" s="160" t="n"/>
      <c r="AR1833" s="160" t="n"/>
    </row>
    <row r="1835">
      <c r="A1835" s="8">
        <f>IF(HSCEI!$C$32="","",HSCEI!$C$32)</f>
        <v/>
      </c>
      <c r="B1835" s="158">
        <f>IF($A1835="",0,COUNT($E1836:$AR1836))</f>
        <v/>
      </c>
      <c r="C1835" s="159">
        <f>IF($B1835=0,0,MAX($E1836:$AR1836))</f>
        <v/>
      </c>
      <c r="D1835" s="101">
        <f>BDS($A1835,FLD_HIST,"headers=y","startcol=1","endcol=7","dir=h","DVD_START_DT",HIST_FROM,"DVD_END_DT",HIST_TO)</f>
        <v/>
      </c>
      <c r="E1835" s="102" t="n"/>
      <c r="F1835" s="102" t="n"/>
      <c r="G1835" s="102" t="n"/>
      <c r="H1835" s="102" t="n"/>
      <c r="I1835" s="102" t="n"/>
      <c r="J1835" s="102" t="n"/>
      <c r="K1835" s="102" t="n"/>
      <c r="L1835" s="102" t="n"/>
      <c r="M1835" s="102" t="n"/>
      <c r="N1835" s="102" t="n"/>
      <c r="O1835" s="102" t="n"/>
      <c r="P1835" s="102" t="n"/>
      <c r="Q1835" s="102" t="n"/>
      <c r="R1835" s="102" t="n"/>
      <c r="S1835" s="102" t="n"/>
      <c r="T1835" s="102" t="n"/>
      <c r="U1835" s="102" t="n"/>
      <c r="V1835" s="102" t="n"/>
      <c r="W1835" s="102" t="n"/>
      <c r="X1835" s="102" t="n"/>
      <c r="Y1835" s="102" t="n"/>
      <c r="Z1835" s="102" t="n"/>
      <c r="AA1835" s="102" t="n"/>
      <c r="AB1835" s="102" t="n"/>
      <c r="AC1835" s="102" t="n"/>
      <c r="AD1835" s="102" t="n"/>
      <c r="AE1835" s="102" t="n"/>
      <c r="AF1835" s="102" t="n"/>
      <c r="AG1835" s="102" t="n"/>
      <c r="AH1835" s="102" t="n"/>
      <c r="AI1835" s="102" t="n"/>
      <c r="AJ1835" s="102" t="n"/>
      <c r="AK1835" s="102" t="n"/>
      <c r="AL1835" s="102" t="n"/>
      <c r="AM1835" s="102" t="n"/>
      <c r="AN1835" s="102" t="n"/>
      <c r="AO1835" s="102" t="n"/>
      <c r="AP1835" s="102" t="n"/>
      <c r="AQ1835" s="102" t="n"/>
      <c r="AR1835" s="102" t="n"/>
    </row>
    <row r="1836">
      <c r="D1836" s="102" t="n"/>
      <c r="E1836" s="102" t="n"/>
      <c r="F1836" s="102" t="n"/>
      <c r="G1836" s="102" t="n"/>
      <c r="H1836" s="102" t="n"/>
      <c r="I1836" s="102" t="n"/>
      <c r="J1836" s="102" t="n"/>
      <c r="K1836" s="102" t="n"/>
      <c r="L1836" s="102" t="n"/>
      <c r="M1836" s="102" t="n"/>
      <c r="N1836" s="102" t="n"/>
      <c r="O1836" s="102" t="n"/>
      <c r="P1836" s="102" t="n"/>
      <c r="Q1836" s="102" t="n"/>
      <c r="R1836" s="102" t="n"/>
      <c r="S1836" s="102" t="n"/>
      <c r="T1836" s="102" t="n"/>
      <c r="U1836" s="102" t="n"/>
      <c r="V1836" s="102" t="n"/>
      <c r="W1836" s="102" t="n"/>
      <c r="X1836" s="102" t="n"/>
      <c r="Y1836" s="102" t="n"/>
      <c r="Z1836" s="102" t="n"/>
      <c r="AA1836" s="102" t="n"/>
      <c r="AB1836" s="102" t="n"/>
      <c r="AC1836" s="102" t="n"/>
      <c r="AD1836" s="102" t="n"/>
      <c r="AE1836" s="102" t="n"/>
      <c r="AF1836" s="102" t="n"/>
      <c r="AG1836" s="102" t="n"/>
      <c r="AH1836" s="102" t="n"/>
      <c r="AI1836" s="102" t="n"/>
      <c r="AJ1836" s="102" t="n"/>
      <c r="AK1836" s="102" t="n"/>
      <c r="AL1836" s="102" t="n"/>
      <c r="AM1836" s="102" t="n"/>
      <c r="AN1836" s="102" t="n"/>
      <c r="AO1836" s="102" t="n"/>
      <c r="AP1836" s="102" t="n"/>
      <c r="AQ1836" s="102" t="n"/>
      <c r="AR1836" s="102" t="n"/>
    </row>
    <row r="1837">
      <c r="D1837" s="102" t="n"/>
      <c r="E1837" s="102" t="n"/>
      <c r="F1837" s="102" t="n"/>
      <c r="G1837" s="102" t="n"/>
      <c r="H1837" s="102" t="n"/>
      <c r="I1837" s="102" t="n"/>
      <c r="J1837" s="102" t="n"/>
      <c r="K1837" s="102" t="n"/>
      <c r="L1837" s="102" t="n"/>
      <c r="M1837" s="102" t="n"/>
      <c r="N1837" s="102" t="n"/>
      <c r="O1837" s="102" t="n"/>
      <c r="P1837" s="102" t="n"/>
      <c r="Q1837" s="102" t="n"/>
      <c r="R1837" s="102" t="n"/>
      <c r="S1837" s="102" t="n"/>
      <c r="T1837" s="102" t="n"/>
      <c r="U1837" s="102" t="n"/>
      <c r="V1837" s="102" t="n"/>
      <c r="W1837" s="102" t="n"/>
      <c r="X1837" s="102" t="n"/>
      <c r="Y1837" s="102" t="n"/>
      <c r="Z1837" s="102" t="n"/>
      <c r="AA1837" s="102" t="n"/>
      <c r="AB1837" s="102" t="n"/>
      <c r="AC1837" s="102" t="n"/>
      <c r="AD1837" s="102" t="n"/>
      <c r="AE1837" s="102" t="n"/>
      <c r="AF1837" s="102" t="n"/>
      <c r="AG1837" s="102" t="n"/>
      <c r="AH1837" s="102" t="n"/>
      <c r="AI1837" s="102" t="n"/>
      <c r="AJ1837" s="102" t="n"/>
      <c r="AK1837" s="102" t="n"/>
      <c r="AL1837" s="102" t="n"/>
      <c r="AM1837" s="102" t="n"/>
      <c r="AN1837" s="102" t="n"/>
      <c r="AO1837" s="102" t="n"/>
      <c r="AP1837" s="102" t="n"/>
      <c r="AQ1837" s="102" t="n"/>
      <c r="AR1837" s="102" t="n"/>
    </row>
    <row r="1838">
      <c r="D1838" s="102" t="n"/>
      <c r="E1838" s="102" t="n"/>
      <c r="F1838" s="102" t="n"/>
      <c r="G1838" s="102" t="n"/>
      <c r="H1838" s="102" t="n"/>
      <c r="I1838" s="102" t="n"/>
      <c r="J1838" s="102" t="n"/>
      <c r="K1838" s="102" t="n"/>
      <c r="L1838" s="102" t="n"/>
      <c r="M1838" s="102" t="n"/>
      <c r="N1838" s="102" t="n"/>
      <c r="O1838" s="102" t="n"/>
      <c r="P1838" s="102" t="n"/>
      <c r="Q1838" s="102" t="n"/>
      <c r="R1838" s="102" t="n"/>
      <c r="S1838" s="102" t="n"/>
      <c r="T1838" s="102" t="n"/>
      <c r="U1838" s="102" t="n"/>
      <c r="V1838" s="102" t="n"/>
      <c r="W1838" s="102" t="n"/>
      <c r="X1838" s="102" t="n"/>
      <c r="Y1838" s="102" t="n"/>
      <c r="Z1838" s="102" t="n"/>
      <c r="AA1838" s="102" t="n"/>
      <c r="AB1838" s="102" t="n"/>
      <c r="AC1838" s="102" t="n"/>
      <c r="AD1838" s="102" t="n"/>
      <c r="AE1838" s="102" t="n"/>
      <c r="AF1838" s="102" t="n"/>
      <c r="AG1838" s="102" t="n"/>
      <c r="AH1838" s="102" t="n"/>
      <c r="AI1838" s="102" t="n"/>
      <c r="AJ1838" s="102" t="n"/>
      <c r="AK1838" s="102" t="n"/>
      <c r="AL1838" s="102" t="n"/>
      <c r="AM1838" s="102" t="n"/>
      <c r="AN1838" s="102" t="n"/>
      <c r="AO1838" s="102" t="n"/>
      <c r="AP1838" s="102" t="n"/>
      <c r="AQ1838" s="102" t="n"/>
      <c r="AR1838" s="102" t="n"/>
    </row>
    <row r="1839">
      <c r="D1839" s="160" t="n"/>
      <c r="E1839" s="160" t="n"/>
      <c r="F1839" s="160" t="n"/>
      <c r="G1839" s="160" t="n"/>
      <c r="H1839" s="160" t="n"/>
      <c r="I1839" s="160" t="n"/>
      <c r="J1839" s="160" t="n"/>
      <c r="K1839" s="160" t="n"/>
      <c r="L1839" s="160" t="n"/>
      <c r="M1839" s="160" t="n"/>
      <c r="N1839" s="160" t="n"/>
      <c r="O1839" s="160" t="n"/>
      <c r="P1839" s="160" t="n"/>
      <c r="Q1839" s="160" t="n"/>
      <c r="R1839" s="160" t="n"/>
      <c r="S1839" s="160" t="n"/>
      <c r="T1839" s="160" t="n"/>
      <c r="U1839" s="160" t="n"/>
      <c r="V1839" s="160" t="n"/>
      <c r="W1839" s="160" t="n"/>
      <c r="X1839" s="160" t="n"/>
      <c r="Y1839" s="160" t="n"/>
      <c r="Z1839" s="160" t="n"/>
      <c r="AA1839" s="160" t="n"/>
      <c r="AB1839" s="160" t="n"/>
      <c r="AC1839" s="160" t="n"/>
      <c r="AD1839" s="160" t="n"/>
      <c r="AE1839" s="160" t="n"/>
      <c r="AF1839" s="160" t="n"/>
      <c r="AG1839" s="160" t="n"/>
      <c r="AH1839" s="160" t="n"/>
      <c r="AI1839" s="160" t="n"/>
      <c r="AJ1839" s="160" t="n"/>
      <c r="AK1839" s="160" t="n"/>
      <c r="AL1839" s="160" t="n"/>
      <c r="AM1839" s="160" t="n"/>
      <c r="AN1839" s="160" t="n"/>
      <c r="AO1839" s="160" t="n"/>
      <c r="AP1839" s="160" t="n"/>
      <c r="AQ1839" s="160" t="n"/>
      <c r="AR1839" s="160" t="n"/>
    </row>
    <row r="1842">
      <c r="A1842" s="2">
        <f>IF($A1835="","","   projections")</f>
        <v/>
      </c>
      <c r="B1842" s="158">
        <f>IF($A1835="",0,COUNT($E1843:$AR1843))</f>
        <v/>
      </c>
      <c r="C1842" s="159">
        <f>IF($B1842=0,0,MAX($E1843:$AR1843))</f>
        <v/>
      </c>
      <c r="D1842" s="101">
        <f>BDS($A1835,FLD_PROJ,"headers=y","startcol=1","endcol=3","dir=h")</f>
        <v/>
      </c>
      <c r="E1842" s="102" t="n"/>
      <c r="F1842" s="102" t="n"/>
      <c r="G1842" s="102" t="n"/>
      <c r="H1842" s="102" t="n"/>
      <c r="I1842" s="102" t="n"/>
      <c r="J1842" s="102" t="n"/>
      <c r="K1842" s="102" t="n"/>
      <c r="L1842" s="102" t="n"/>
      <c r="M1842" s="102" t="n"/>
      <c r="N1842" s="102" t="n"/>
      <c r="O1842" s="102" t="n"/>
      <c r="P1842" s="102" t="n"/>
      <c r="Q1842" s="102" t="n"/>
      <c r="R1842" s="102" t="n"/>
      <c r="S1842" s="102" t="n"/>
      <c r="T1842" s="102" t="n"/>
      <c r="U1842" s="102" t="n"/>
      <c r="V1842" s="102" t="n"/>
      <c r="W1842" s="102" t="n"/>
      <c r="X1842" s="102" t="n"/>
      <c r="Y1842" s="102" t="n"/>
      <c r="Z1842" s="102" t="n"/>
      <c r="AA1842" s="102" t="n"/>
      <c r="AB1842" s="102" t="n"/>
      <c r="AC1842" s="102" t="n"/>
      <c r="AD1842" s="102" t="n"/>
      <c r="AE1842" s="102" t="n"/>
      <c r="AF1842" s="102" t="n"/>
      <c r="AG1842" s="102" t="n"/>
      <c r="AH1842" s="102" t="n"/>
      <c r="AI1842" s="102" t="n"/>
      <c r="AJ1842" s="102" t="n"/>
      <c r="AK1842" s="102" t="n"/>
      <c r="AL1842" s="102" t="n"/>
      <c r="AM1842" s="102" t="n"/>
      <c r="AN1842" s="102" t="n"/>
      <c r="AO1842" s="102" t="n"/>
      <c r="AP1842" s="102" t="n"/>
      <c r="AQ1842" s="102" t="n"/>
      <c r="AR1842" s="102" t="n"/>
    </row>
    <row r="1843">
      <c r="D1843" s="102" t="n"/>
      <c r="E1843" s="102" t="n"/>
      <c r="F1843" s="102" t="n"/>
      <c r="G1843" s="102" t="n"/>
      <c r="H1843" s="102" t="n"/>
      <c r="I1843" s="102" t="n"/>
      <c r="J1843" s="102" t="n"/>
      <c r="K1843" s="102" t="n"/>
      <c r="L1843" s="102" t="n"/>
      <c r="M1843" s="102" t="n"/>
      <c r="N1843" s="102" t="n"/>
      <c r="O1843" s="102" t="n"/>
      <c r="P1843" s="102" t="n"/>
      <c r="Q1843" s="102" t="n"/>
      <c r="R1843" s="102" t="n"/>
      <c r="S1843" s="102" t="n"/>
      <c r="T1843" s="102" t="n"/>
      <c r="U1843" s="102" t="n"/>
      <c r="V1843" s="102" t="n"/>
      <c r="W1843" s="102" t="n"/>
      <c r="X1843" s="102" t="n"/>
      <c r="Y1843" s="102" t="n"/>
      <c r="Z1843" s="102" t="n"/>
      <c r="AA1843" s="102" t="n"/>
      <c r="AB1843" s="102" t="n"/>
      <c r="AC1843" s="102" t="n"/>
      <c r="AD1843" s="102" t="n"/>
      <c r="AE1843" s="102" t="n"/>
      <c r="AF1843" s="102" t="n"/>
      <c r="AG1843" s="102" t="n"/>
      <c r="AH1843" s="102" t="n"/>
      <c r="AI1843" s="102" t="n"/>
      <c r="AJ1843" s="102" t="n"/>
      <c r="AK1843" s="102" t="n"/>
      <c r="AL1843" s="102" t="n"/>
      <c r="AM1843" s="102" t="n"/>
      <c r="AN1843" s="102" t="n"/>
      <c r="AO1843" s="102" t="n"/>
      <c r="AP1843" s="102" t="n"/>
      <c r="AQ1843" s="102" t="n"/>
      <c r="AR1843" s="102" t="n"/>
    </row>
    <row r="1844">
      <c r="D1844" s="160" t="n"/>
      <c r="E1844" s="160" t="n"/>
      <c r="F1844" s="160" t="n"/>
      <c r="G1844" s="160" t="n"/>
      <c r="H1844" s="160" t="n"/>
      <c r="I1844" s="160" t="n"/>
      <c r="J1844" s="160" t="n"/>
      <c r="K1844" s="160" t="n"/>
      <c r="L1844" s="160" t="n"/>
      <c r="M1844" s="160" t="n"/>
      <c r="N1844" s="160" t="n"/>
      <c r="O1844" s="160" t="n"/>
      <c r="P1844" s="160" t="n"/>
      <c r="Q1844" s="160" t="n"/>
      <c r="R1844" s="160" t="n"/>
      <c r="S1844" s="160" t="n"/>
      <c r="T1844" s="160" t="n"/>
      <c r="U1844" s="160" t="n"/>
      <c r="V1844" s="160" t="n"/>
      <c r="W1844" s="160" t="n"/>
      <c r="X1844" s="160" t="n"/>
      <c r="Y1844" s="160" t="n"/>
      <c r="Z1844" s="160" t="n"/>
      <c r="AA1844" s="160" t="n"/>
      <c r="AB1844" s="160" t="n"/>
      <c r="AC1844" s="160" t="n"/>
      <c r="AD1844" s="160" t="n"/>
      <c r="AE1844" s="160" t="n"/>
      <c r="AF1844" s="160" t="n"/>
      <c r="AG1844" s="160" t="n"/>
      <c r="AH1844" s="160" t="n"/>
      <c r="AI1844" s="160" t="n"/>
      <c r="AJ1844" s="160" t="n"/>
      <c r="AK1844" s="160" t="n"/>
      <c r="AL1844" s="160" t="n"/>
      <c r="AM1844" s="160" t="n"/>
      <c r="AN1844" s="160" t="n"/>
      <c r="AO1844" s="160" t="n"/>
      <c r="AP1844" s="160" t="n"/>
      <c r="AQ1844" s="160" t="n"/>
      <c r="AR1844" s="160" t="n"/>
    </row>
    <row r="1846">
      <c r="A1846" s="8">
        <f>IF(HSCEI!$C$33="","",HSCEI!$C$33)</f>
        <v/>
      </c>
      <c r="B1846" s="158">
        <f>IF($A1846="",0,COUNT($E1847:$AR1847))</f>
        <v/>
      </c>
      <c r="C1846" s="159">
        <f>IF($B1846=0,0,MAX($E1847:$AR1847))</f>
        <v/>
      </c>
      <c r="D1846" s="101">
        <f>BDS($A1846,FLD_HIST,"headers=y","startcol=1","endcol=7","dir=h","DVD_START_DT",HIST_FROM,"DVD_END_DT",HIST_TO)</f>
        <v/>
      </c>
      <c r="E1846" s="102" t="n"/>
      <c r="F1846" s="102" t="n"/>
      <c r="G1846" s="102" t="n"/>
      <c r="H1846" s="102" t="n"/>
      <c r="I1846" s="102" t="n"/>
      <c r="J1846" s="102" t="n"/>
      <c r="K1846" s="102" t="n"/>
      <c r="L1846" s="102" t="n"/>
      <c r="M1846" s="102" t="n"/>
      <c r="N1846" s="102" t="n"/>
      <c r="O1846" s="102" t="n"/>
      <c r="P1846" s="102" t="n"/>
      <c r="Q1846" s="102" t="n"/>
      <c r="R1846" s="102" t="n"/>
      <c r="S1846" s="102" t="n"/>
      <c r="T1846" s="102" t="n"/>
      <c r="U1846" s="102" t="n"/>
      <c r="V1846" s="102" t="n"/>
      <c r="W1846" s="102" t="n"/>
      <c r="X1846" s="102" t="n"/>
      <c r="Y1846" s="102" t="n"/>
      <c r="Z1846" s="102" t="n"/>
      <c r="AA1846" s="102" t="n"/>
      <c r="AB1846" s="102" t="n"/>
      <c r="AC1846" s="102" t="n"/>
      <c r="AD1846" s="102" t="n"/>
      <c r="AE1846" s="102" t="n"/>
      <c r="AF1846" s="102" t="n"/>
      <c r="AG1846" s="102" t="n"/>
      <c r="AH1846" s="102" t="n"/>
      <c r="AI1846" s="102" t="n"/>
      <c r="AJ1846" s="102" t="n"/>
      <c r="AK1846" s="102" t="n"/>
      <c r="AL1846" s="102" t="n"/>
      <c r="AM1846" s="102" t="n"/>
      <c r="AN1846" s="102" t="n"/>
      <c r="AO1846" s="102" t="n"/>
      <c r="AP1846" s="102" t="n"/>
      <c r="AQ1846" s="102" t="n"/>
      <c r="AR1846" s="102" t="n"/>
    </row>
    <row r="1847">
      <c r="D1847" s="102" t="n"/>
      <c r="E1847" s="102" t="n"/>
      <c r="F1847" s="102" t="n"/>
      <c r="G1847" s="102" t="n"/>
      <c r="H1847" s="102" t="n"/>
      <c r="I1847" s="102" t="n"/>
      <c r="J1847" s="102" t="n"/>
      <c r="K1847" s="102" t="n"/>
      <c r="L1847" s="102" t="n"/>
      <c r="M1847" s="102" t="n"/>
      <c r="N1847" s="102" t="n"/>
      <c r="O1847" s="102" t="n"/>
      <c r="P1847" s="102" t="n"/>
      <c r="Q1847" s="102" t="n"/>
      <c r="R1847" s="102" t="n"/>
      <c r="S1847" s="102" t="n"/>
      <c r="T1847" s="102" t="n"/>
      <c r="U1847" s="102" t="n"/>
      <c r="V1847" s="102" t="n"/>
      <c r="W1847" s="102" t="n"/>
      <c r="X1847" s="102" t="n"/>
      <c r="Y1847" s="102" t="n"/>
      <c r="Z1847" s="102" t="n"/>
      <c r="AA1847" s="102" t="n"/>
      <c r="AB1847" s="102" t="n"/>
      <c r="AC1847" s="102" t="n"/>
      <c r="AD1847" s="102" t="n"/>
      <c r="AE1847" s="102" t="n"/>
      <c r="AF1847" s="102" t="n"/>
      <c r="AG1847" s="102" t="n"/>
      <c r="AH1847" s="102" t="n"/>
      <c r="AI1847" s="102" t="n"/>
      <c r="AJ1847" s="102" t="n"/>
      <c r="AK1847" s="102" t="n"/>
      <c r="AL1847" s="102" t="n"/>
      <c r="AM1847" s="102" t="n"/>
      <c r="AN1847" s="102" t="n"/>
      <c r="AO1847" s="102" t="n"/>
      <c r="AP1847" s="102" t="n"/>
      <c r="AQ1847" s="102" t="n"/>
      <c r="AR1847" s="102" t="n"/>
    </row>
    <row r="1848">
      <c r="D1848" s="102" t="n"/>
      <c r="E1848" s="102" t="n"/>
      <c r="F1848" s="102" t="n"/>
      <c r="G1848" s="102" t="n"/>
      <c r="H1848" s="102" t="n"/>
      <c r="I1848" s="102" t="n"/>
      <c r="J1848" s="102" t="n"/>
      <c r="K1848" s="102" t="n"/>
      <c r="L1848" s="102" t="n"/>
      <c r="M1848" s="102" t="n"/>
      <c r="N1848" s="102" t="n"/>
      <c r="O1848" s="102" t="n"/>
      <c r="P1848" s="102" t="n"/>
      <c r="Q1848" s="102" t="n"/>
      <c r="R1848" s="102" t="n"/>
      <c r="S1848" s="102" t="n"/>
      <c r="T1848" s="102" t="n"/>
      <c r="U1848" s="102" t="n"/>
      <c r="V1848" s="102" t="n"/>
      <c r="W1848" s="102" t="n"/>
      <c r="X1848" s="102" t="n"/>
      <c r="Y1848" s="102" t="n"/>
      <c r="Z1848" s="102" t="n"/>
      <c r="AA1848" s="102" t="n"/>
      <c r="AB1848" s="102" t="n"/>
      <c r="AC1848" s="102" t="n"/>
      <c r="AD1848" s="102" t="n"/>
      <c r="AE1848" s="102" t="n"/>
      <c r="AF1848" s="102" t="n"/>
      <c r="AG1848" s="102" t="n"/>
      <c r="AH1848" s="102" t="n"/>
      <c r="AI1848" s="102" t="n"/>
      <c r="AJ1848" s="102" t="n"/>
      <c r="AK1848" s="102" t="n"/>
      <c r="AL1848" s="102" t="n"/>
      <c r="AM1848" s="102" t="n"/>
      <c r="AN1848" s="102" t="n"/>
      <c r="AO1848" s="102" t="n"/>
      <c r="AP1848" s="102" t="n"/>
      <c r="AQ1848" s="102" t="n"/>
      <c r="AR1848" s="102" t="n"/>
    </row>
    <row r="1849">
      <c r="D1849" s="102" t="n"/>
      <c r="E1849" s="102" t="n"/>
      <c r="F1849" s="102" t="n"/>
      <c r="G1849" s="102" t="n"/>
      <c r="H1849" s="102" t="n"/>
      <c r="I1849" s="102" t="n"/>
      <c r="J1849" s="102" t="n"/>
      <c r="K1849" s="102" t="n"/>
      <c r="L1849" s="102" t="n"/>
      <c r="M1849" s="102" t="n"/>
      <c r="N1849" s="102" t="n"/>
      <c r="O1849" s="102" t="n"/>
      <c r="P1849" s="102" t="n"/>
      <c r="Q1849" s="102" t="n"/>
      <c r="R1849" s="102" t="n"/>
      <c r="S1849" s="102" t="n"/>
      <c r="T1849" s="102" t="n"/>
      <c r="U1849" s="102" t="n"/>
      <c r="V1849" s="102" t="n"/>
      <c r="W1849" s="102" t="n"/>
      <c r="X1849" s="102" t="n"/>
      <c r="Y1849" s="102" t="n"/>
      <c r="Z1849" s="102" t="n"/>
      <c r="AA1849" s="102" t="n"/>
      <c r="AB1849" s="102" t="n"/>
      <c r="AC1849" s="102" t="n"/>
      <c r="AD1849" s="102" t="n"/>
      <c r="AE1849" s="102" t="n"/>
      <c r="AF1849" s="102" t="n"/>
      <c r="AG1849" s="102" t="n"/>
      <c r="AH1849" s="102" t="n"/>
      <c r="AI1849" s="102" t="n"/>
      <c r="AJ1849" s="102" t="n"/>
      <c r="AK1849" s="102" t="n"/>
      <c r="AL1849" s="102" t="n"/>
      <c r="AM1849" s="102" t="n"/>
      <c r="AN1849" s="102" t="n"/>
      <c r="AO1849" s="102" t="n"/>
      <c r="AP1849" s="102" t="n"/>
      <c r="AQ1849" s="102" t="n"/>
      <c r="AR1849" s="102" t="n"/>
    </row>
    <row r="1850">
      <c r="D1850" s="160" t="n"/>
      <c r="E1850" s="160" t="n"/>
      <c r="F1850" s="160" t="n"/>
      <c r="G1850" s="160" t="n"/>
      <c r="H1850" s="160" t="n"/>
      <c r="I1850" s="160" t="n"/>
      <c r="J1850" s="160" t="n"/>
      <c r="K1850" s="160" t="n"/>
      <c r="L1850" s="160" t="n"/>
      <c r="M1850" s="160" t="n"/>
      <c r="N1850" s="160" t="n"/>
      <c r="O1850" s="160" t="n"/>
      <c r="P1850" s="160" t="n"/>
      <c r="Q1850" s="160" t="n"/>
      <c r="R1850" s="160" t="n"/>
      <c r="S1850" s="160" t="n"/>
      <c r="T1850" s="160" t="n"/>
      <c r="U1850" s="160" t="n"/>
      <c r="V1850" s="160" t="n"/>
      <c r="W1850" s="160" t="n"/>
      <c r="X1850" s="160" t="n"/>
      <c r="Y1850" s="160" t="n"/>
      <c r="Z1850" s="160" t="n"/>
      <c r="AA1850" s="160" t="n"/>
      <c r="AB1850" s="160" t="n"/>
      <c r="AC1850" s="160" t="n"/>
      <c r="AD1850" s="160" t="n"/>
      <c r="AE1850" s="160" t="n"/>
      <c r="AF1850" s="160" t="n"/>
      <c r="AG1850" s="160" t="n"/>
      <c r="AH1850" s="160" t="n"/>
      <c r="AI1850" s="160" t="n"/>
      <c r="AJ1850" s="160" t="n"/>
      <c r="AK1850" s="160" t="n"/>
      <c r="AL1850" s="160" t="n"/>
      <c r="AM1850" s="160" t="n"/>
      <c r="AN1850" s="160" t="n"/>
      <c r="AO1850" s="160" t="n"/>
      <c r="AP1850" s="160" t="n"/>
      <c r="AQ1850" s="160" t="n"/>
      <c r="AR1850" s="160" t="n"/>
    </row>
    <row r="1853">
      <c r="A1853" s="2">
        <f>IF($A1846="","","   projections")</f>
        <v/>
      </c>
      <c r="B1853" s="158">
        <f>IF($A1846="",0,COUNT($E1854:$AR1854))</f>
        <v/>
      </c>
      <c r="C1853" s="159">
        <f>IF($B1853=0,0,MAX($E1854:$AR1854))</f>
        <v/>
      </c>
      <c r="D1853" s="101">
        <f>BDS($A1846,FLD_PROJ,"headers=y","startcol=1","endcol=3","dir=h")</f>
        <v/>
      </c>
      <c r="E1853" s="102" t="n"/>
      <c r="F1853" s="102" t="n"/>
      <c r="G1853" s="102" t="n"/>
      <c r="H1853" s="102" t="n"/>
      <c r="I1853" s="102" t="n"/>
      <c r="J1853" s="102" t="n"/>
      <c r="K1853" s="102" t="n"/>
      <c r="L1853" s="102" t="n"/>
      <c r="M1853" s="102" t="n"/>
      <c r="N1853" s="102" t="n"/>
      <c r="O1853" s="102" t="n"/>
      <c r="P1853" s="102" t="n"/>
      <c r="Q1853" s="102" t="n"/>
      <c r="R1853" s="102" t="n"/>
      <c r="S1853" s="102" t="n"/>
      <c r="T1853" s="102" t="n"/>
      <c r="U1853" s="102" t="n"/>
      <c r="V1853" s="102" t="n"/>
      <c r="W1853" s="102" t="n"/>
      <c r="X1853" s="102" t="n"/>
      <c r="Y1853" s="102" t="n"/>
      <c r="Z1853" s="102" t="n"/>
      <c r="AA1853" s="102" t="n"/>
      <c r="AB1853" s="102" t="n"/>
      <c r="AC1853" s="102" t="n"/>
      <c r="AD1853" s="102" t="n"/>
      <c r="AE1853" s="102" t="n"/>
      <c r="AF1853" s="102" t="n"/>
      <c r="AG1853" s="102" t="n"/>
      <c r="AH1853" s="102" t="n"/>
      <c r="AI1853" s="102" t="n"/>
      <c r="AJ1853" s="102" t="n"/>
      <c r="AK1853" s="102" t="n"/>
      <c r="AL1853" s="102" t="n"/>
      <c r="AM1853" s="102" t="n"/>
      <c r="AN1853" s="102" t="n"/>
      <c r="AO1853" s="102" t="n"/>
      <c r="AP1853" s="102" t="n"/>
      <c r="AQ1853" s="102" t="n"/>
      <c r="AR1853" s="102" t="n"/>
    </row>
    <row r="1854">
      <c r="D1854" s="102" t="n"/>
      <c r="E1854" s="102" t="n"/>
      <c r="F1854" s="102" t="n"/>
      <c r="G1854" s="102" t="n"/>
      <c r="H1854" s="102" t="n"/>
      <c r="I1854" s="102" t="n"/>
      <c r="J1854" s="102" t="n"/>
      <c r="K1854" s="102" t="n"/>
      <c r="L1854" s="102" t="n"/>
      <c r="M1854" s="102" t="n"/>
      <c r="N1854" s="102" t="n"/>
      <c r="O1854" s="102" t="n"/>
      <c r="P1854" s="102" t="n"/>
      <c r="Q1854" s="102" t="n"/>
      <c r="R1854" s="102" t="n"/>
      <c r="S1854" s="102" t="n"/>
      <c r="T1854" s="102" t="n"/>
      <c r="U1854" s="102" t="n"/>
      <c r="V1854" s="102" t="n"/>
      <c r="W1854" s="102" t="n"/>
      <c r="X1854" s="102" t="n"/>
      <c r="Y1854" s="102" t="n"/>
      <c r="Z1854" s="102" t="n"/>
      <c r="AA1854" s="102" t="n"/>
      <c r="AB1854" s="102" t="n"/>
      <c r="AC1854" s="102" t="n"/>
      <c r="AD1854" s="102" t="n"/>
      <c r="AE1854" s="102" t="n"/>
      <c r="AF1854" s="102" t="n"/>
      <c r="AG1854" s="102" t="n"/>
      <c r="AH1854" s="102" t="n"/>
      <c r="AI1854" s="102" t="n"/>
      <c r="AJ1854" s="102" t="n"/>
      <c r="AK1854" s="102" t="n"/>
      <c r="AL1854" s="102" t="n"/>
      <c r="AM1854" s="102" t="n"/>
      <c r="AN1854" s="102" t="n"/>
      <c r="AO1854" s="102" t="n"/>
      <c r="AP1854" s="102" t="n"/>
      <c r="AQ1854" s="102" t="n"/>
      <c r="AR1854" s="102" t="n"/>
    </row>
    <row r="1855">
      <c r="D1855" s="160" t="n"/>
      <c r="E1855" s="160" t="n"/>
      <c r="F1855" s="160" t="n"/>
      <c r="G1855" s="160" t="n"/>
      <c r="H1855" s="160" t="n"/>
      <c r="I1855" s="160" t="n"/>
      <c r="J1855" s="160" t="n"/>
      <c r="K1855" s="160" t="n"/>
      <c r="L1855" s="160" t="n"/>
      <c r="M1855" s="160" t="n"/>
      <c r="N1855" s="160" t="n"/>
      <c r="O1855" s="160" t="n"/>
      <c r="P1855" s="160" t="n"/>
      <c r="Q1855" s="160" t="n"/>
      <c r="R1855" s="160" t="n"/>
      <c r="S1855" s="160" t="n"/>
      <c r="T1855" s="160" t="n"/>
      <c r="U1855" s="160" t="n"/>
      <c r="V1855" s="160" t="n"/>
      <c r="W1855" s="160" t="n"/>
      <c r="X1855" s="160" t="n"/>
      <c r="Y1855" s="160" t="n"/>
      <c r="Z1855" s="160" t="n"/>
      <c r="AA1855" s="160" t="n"/>
      <c r="AB1855" s="160" t="n"/>
      <c r="AC1855" s="160" t="n"/>
      <c r="AD1855" s="160" t="n"/>
      <c r="AE1855" s="160" t="n"/>
      <c r="AF1855" s="160" t="n"/>
      <c r="AG1855" s="160" t="n"/>
      <c r="AH1855" s="160" t="n"/>
      <c r="AI1855" s="160" t="n"/>
      <c r="AJ1855" s="160" t="n"/>
      <c r="AK1855" s="160" t="n"/>
      <c r="AL1855" s="160" t="n"/>
      <c r="AM1855" s="160" t="n"/>
      <c r="AN1855" s="160" t="n"/>
      <c r="AO1855" s="160" t="n"/>
      <c r="AP1855" s="160" t="n"/>
      <c r="AQ1855" s="160" t="n"/>
      <c r="AR1855" s="160" t="n"/>
    </row>
    <row r="1857">
      <c r="A1857" s="8">
        <f>IF(HSCEI!$C$34="","",HSCEI!$C$34)</f>
        <v/>
      </c>
      <c r="B1857" s="158">
        <f>IF($A1857="",0,COUNT($E1858:$AR1858))</f>
        <v/>
      </c>
      <c r="C1857" s="159">
        <f>IF($B1857=0,0,MAX($E1858:$AR1858))</f>
        <v/>
      </c>
      <c r="D1857" s="101">
        <f>BDS($A1857,FLD_HIST,"headers=y","startcol=1","endcol=7","dir=h","DVD_START_DT",HIST_FROM,"DVD_END_DT",HIST_TO)</f>
        <v/>
      </c>
      <c r="E1857" s="102" t="n"/>
      <c r="F1857" s="102" t="n"/>
      <c r="G1857" s="102" t="n"/>
      <c r="H1857" s="102" t="n"/>
      <c r="I1857" s="102" t="n"/>
      <c r="J1857" s="102" t="n"/>
      <c r="K1857" s="102" t="n"/>
      <c r="L1857" s="102" t="n"/>
      <c r="M1857" s="102" t="n"/>
      <c r="N1857" s="102" t="n"/>
      <c r="O1857" s="102" t="n"/>
      <c r="P1857" s="102" t="n"/>
      <c r="Q1857" s="102" t="n"/>
      <c r="R1857" s="102" t="n"/>
      <c r="S1857" s="102" t="n"/>
      <c r="T1857" s="102" t="n"/>
      <c r="U1857" s="102" t="n"/>
      <c r="V1857" s="102" t="n"/>
      <c r="W1857" s="102" t="n"/>
      <c r="X1857" s="102" t="n"/>
      <c r="Y1857" s="102" t="n"/>
      <c r="Z1857" s="102" t="n"/>
      <c r="AA1857" s="102" t="n"/>
      <c r="AB1857" s="102" t="n"/>
      <c r="AC1857" s="102" t="n"/>
      <c r="AD1857" s="102" t="n"/>
      <c r="AE1857" s="102" t="n"/>
      <c r="AF1857" s="102" t="n"/>
      <c r="AG1857" s="102" t="n"/>
      <c r="AH1857" s="102" t="n"/>
      <c r="AI1857" s="102" t="n"/>
      <c r="AJ1857" s="102" t="n"/>
      <c r="AK1857" s="102" t="n"/>
      <c r="AL1857" s="102" t="n"/>
      <c r="AM1857" s="102" t="n"/>
      <c r="AN1857" s="102" t="n"/>
      <c r="AO1857" s="102" t="n"/>
      <c r="AP1857" s="102" t="n"/>
      <c r="AQ1857" s="102" t="n"/>
      <c r="AR1857" s="102" t="n"/>
    </row>
    <row r="1858">
      <c r="D1858" s="102" t="n"/>
      <c r="E1858" s="102" t="n"/>
      <c r="F1858" s="102" t="n"/>
      <c r="G1858" s="102" t="n"/>
      <c r="H1858" s="102" t="n"/>
      <c r="I1858" s="102" t="n"/>
      <c r="J1858" s="102" t="n"/>
      <c r="K1858" s="102" t="n"/>
      <c r="L1858" s="102" t="n"/>
      <c r="M1858" s="102" t="n"/>
      <c r="N1858" s="102" t="n"/>
      <c r="O1858" s="102" t="n"/>
      <c r="P1858" s="102" t="n"/>
      <c r="Q1858" s="102" t="n"/>
      <c r="R1858" s="102" t="n"/>
      <c r="S1858" s="102" t="n"/>
      <c r="T1858" s="102" t="n"/>
      <c r="U1858" s="102" t="n"/>
      <c r="V1858" s="102" t="n"/>
      <c r="W1858" s="102" t="n"/>
      <c r="X1858" s="102" t="n"/>
      <c r="Y1858" s="102" t="n"/>
      <c r="Z1858" s="102" t="n"/>
      <c r="AA1858" s="102" t="n"/>
      <c r="AB1858" s="102" t="n"/>
      <c r="AC1858" s="102" t="n"/>
      <c r="AD1858" s="102" t="n"/>
      <c r="AE1858" s="102" t="n"/>
      <c r="AF1858" s="102" t="n"/>
      <c r="AG1858" s="102" t="n"/>
      <c r="AH1858" s="102" t="n"/>
      <c r="AI1858" s="102" t="n"/>
      <c r="AJ1858" s="102" t="n"/>
      <c r="AK1858" s="102" t="n"/>
      <c r="AL1858" s="102" t="n"/>
      <c r="AM1858" s="102" t="n"/>
      <c r="AN1858" s="102" t="n"/>
      <c r="AO1858" s="102" t="n"/>
      <c r="AP1858" s="102" t="n"/>
      <c r="AQ1858" s="102" t="n"/>
      <c r="AR1858" s="102" t="n"/>
    </row>
    <row r="1859">
      <c r="D1859" s="102" t="n"/>
      <c r="E1859" s="102" t="n"/>
      <c r="F1859" s="102" t="n"/>
      <c r="G1859" s="102" t="n"/>
      <c r="H1859" s="102" t="n"/>
      <c r="I1859" s="102" t="n"/>
      <c r="J1859" s="102" t="n"/>
      <c r="K1859" s="102" t="n"/>
      <c r="L1859" s="102" t="n"/>
      <c r="M1859" s="102" t="n"/>
      <c r="N1859" s="102" t="n"/>
      <c r="O1859" s="102" t="n"/>
      <c r="P1859" s="102" t="n"/>
      <c r="Q1859" s="102" t="n"/>
      <c r="R1859" s="102" t="n"/>
      <c r="S1859" s="102" t="n"/>
      <c r="T1859" s="102" t="n"/>
      <c r="U1859" s="102" t="n"/>
      <c r="V1859" s="102" t="n"/>
      <c r="W1859" s="102" t="n"/>
      <c r="X1859" s="102" t="n"/>
      <c r="Y1859" s="102" t="n"/>
      <c r="Z1859" s="102" t="n"/>
      <c r="AA1859" s="102" t="n"/>
      <c r="AB1859" s="102" t="n"/>
      <c r="AC1859" s="102" t="n"/>
      <c r="AD1859" s="102" t="n"/>
      <c r="AE1859" s="102" t="n"/>
      <c r="AF1859" s="102" t="n"/>
      <c r="AG1859" s="102" t="n"/>
      <c r="AH1859" s="102" t="n"/>
      <c r="AI1859" s="102" t="n"/>
      <c r="AJ1859" s="102" t="n"/>
      <c r="AK1859" s="102" t="n"/>
      <c r="AL1859" s="102" t="n"/>
      <c r="AM1859" s="102" t="n"/>
      <c r="AN1859" s="102" t="n"/>
      <c r="AO1859" s="102" t="n"/>
      <c r="AP1859" s="102" t="n"/>
      <c r="AQ1859" s="102" t="n"/>
      <c r="AR1859" s="102" t="n"/>
    </row>
    <row r="1860">
      <c r="D1860" s="102" t="n"/>
      <c r="E1860" s="102" t="n"/>
      <c r="F1860" s="102" t="n"/>
      <c r="G1860" s="102" t="n"/>
      <c r="H1860" s="102" t="n"/>
      <c r="I1860" s="102" t="n"/>
      <c r="J1860" s="102" t="n"/>
      <c r="K1860" s="102" t="n"/>
      <c r="L1860" s="102" t="n"/>
      <c r="M1860" s="102" t="n"/>
      <c r="N1860" s="102" t="n"/>
      <c r="O1860" s="102" t="n"/>
      <c r="P1860" s="102" t="n"/>
      <c r="Q1860" s="102" t="n"/>
      <c r="R1860" s="102" t="n"/>
      <c r="S1860" s="102" t="n"/>
      <c r="T1860" s="102" t="n"/>
      <c r="U1860" s="102" t="n"/>
      <c r="V1860" s="102" t="n"/>
      <c r="W1860" s="102" t="n"/>
      <c r="X1860" s="102" t="n"/>
      <c r="Y1860" s="102" t="n"/>
      <c r="Z1860" s="102" t="n"/>
      <c r="AA1860" s="102" t="n"/>
      <c r="AB1860" s="102" t="n"/>
      <c r="AC1860" s="102" t="n"/>
      <c r="AD1860" s="102" t="n"/>
      <c r="AE1860" s="102" t="n"/>
      <c r="AF1860" s="102" t="n"/>
      <c r="AG1860" s="102" t="n"/>
      <c r="AH1860" s="102" t="n"/>
      <c r="AI1860" s="102" t="n"/>
      <c r="AJ1860" s="102" t="n"/>
      <c r="AK1860" s="102" t="n"/>
      <c r="AL1860" s="102" t="n"/>
      <c r="AM1860" s="102" t="n"/>
      <c r="AN1860" s="102" t="n"/>
      <c r="AO1860" s="102" t="n"/>
      <c r="AP1860" s="102" t="n"/>
      <c r="AQ1860" s="102" t="n"/>
      <c r="AR1860" s="102" t="n"/>
    </row>
    <row r="1861">
      <c r="D1861" s="160" t="n"/>
      <c r="E1861" s="160" t="n"/>
      <c r="F1861" s="160" t="n"/>
      <c r="G1861" s="160" t="n"/>
      <c r="H1861" s="160" t="n"/>
      <c r="I1861" s="160" t="n"/>
      <c r="J1861" s="160" t="n"/>
      <c r="K1861" s="160" t="n"/>
      <c r="L1861" s="160" t="n"/>
      <c r="M1861" s="160" t="n"/>
      <c r="N1861" s="160" t="n"/>
      <c r="O1861" s="160" t="n"/>
      <c r="P1861" s="160" t="n"/>
      <c r="Q1861" s="160" t="n"/>
      <c r="R1861" s="160" t="n"/>
      <c r="S1861" s="160" t="n"/>
      <c r="T1861" s="160" t="n"/>
      <c r="U1861" s="160" t="n"/>
      <c r="V1861" s="160" t="n"/>
      <c r="W1861" s="160" t="n"/>
      <c r="X1861" s="160" t="n"/>
      <c r="Y1861" s="160" t="n"/>
      <c r="Z1861" s="160" t="n"/>
      <c r="AA1861" s="160" t="n"/>
      <c r="AB1861" s="160" t="n"/>
      <c r="AC1861" s="160" t="n"/>
      <c r="AD1861" s="160" t="n"/>
      <c r="AE1861" s="160" t="n"/>
      <c r="AF1861" s="160" t="n"/>
      <c r="AG1861" s="160" t="n"/>
      <c r="AH1861" s="160" t="n"/>
      <c r="AI1861" s="160" t="n"/>
      <c r="AJ1861" s="160" t="n"/>
      <c r="AK1861" s="160" t="n"/>
      <c r="AL1861" s="160" t="n"/>
      <c r="AM1861" s="160" t="n"/>
      <c r="AN1861" s="160" t="n"/>
      <c r="AO1861" s="160" t="n"/>
      <c r="AP1861" s="160" t="n"/>
      <c r="AQ1861" s="160" t="n"/>
      <c r="AR1861" s="160" t="n"/>
    </row>
    <row r="1864">
      <c r="A1864" s="2">
        <f>IF($A1857="","","   projections")</f>
        <v/>
      </c>
      <c r="B1864" s="158">
        <f>IF($A1857="",0,COUNT($E1865:$AR1865))</f>
        <v/>
      </c>
      <c r="C1864" s="159">
        <f>IF($B1864=0,0,MAX($E1865:$AR1865))</f>
        <v/>
      </c>
      <c r="D1864" s="101">
        <f>BDS($A1857,FLD_PROJ,"headers=y","startcol=1","endcol=3","dir=h")</f>
        <v/>
      </c>
      <c r="E1864" s="102" t="n"/>
      <c r="F1864" s="102" t="n"/>
      <c r="G1864" s="102" t="n"/>
      <c r="H1864" s="102" t="n"/>
      <c r="I1864" s="102" t="n"/>
      <c r="J1864" s="102" t="n"/>
      <c r="K1864" s="102" t="n"/>
      <c r="L1864" s="102" t="n"/>
      <c r="M1864" s="102" t="n"/>
      <c r="N1864" s="102" t="n"/>
      <c r="O1864" s="102" t="n"/>
      <c r="P1864" s="102" t="n"/>
      <c r="Q1864" s="102" t="n"/>
      <c r="R1864" s="102" t="n"/>
      <c r="S1864" s="102" t="n"/>
      <c r="T1864" s="102" t="n"/>
      <c r="U1864" s="102" t="n"/>
      <c r="V1864" s="102" t="n"/>
      <c r="W1864" s="102" t="n"/>
      <c r="X1864" s="102" t="n"/>
      <c r="Y1864" s="102" t="n"/>
      <c r="Z1864" s="102" t="n"/>
      <c r="AA1864" s="102" t="n"/>
      <c r="AB1864" s="102" t="n"/>
      <c r="AC1864" s="102" t="n"/>
      <c r="AD1864" s="102" t="n"/>
      <c r="AE1864" s="102" t="n"/>
      <c r="AF1864" s="102" t="n"/>
      <c r="AG1864" s="102" t="n"/>
      <c r="AH1864" s="102" t="n"/>
      <c r="AI1864" s="102" t="n"/>
      <c r="AJ1864" s="102" t="n"/>
      <c r="AK1864" s="102" t="n"/>
      <c r="AL1864" s="102" t="n"/>
      <c r="AM1864" s="102" t="n"/>
      <c r="AN1864" s="102" t="n"/>
      <c r="AO1864" s="102" t="n"/>
      <c r="AP1864" s="102" t="n"/>
      <c r="AQ1864" s="102" t="n"/>
      <c r="AR1864" s="102" t="n"/>
    </row>
    <row r="1865">
      <c r="D1865" s="102" t="n"/>
      <c r="E1865" s="102" t="n"/>
      <c r="F1865" s="102" t="n"/>
      <c r="G1865" s="102" t="n"/>
      <c r="H1865" s="102" t="n"/>
      <c r="I1865" s="102" t="n"/>
      <c r="J1865" s="102" t="n"/>
      <c r="K1865" s="102" t="n"/>
      <c r="L1865" s="102" t="n"/>
      <c r="M1865" s="102" t="n"/>
      <c r="N1865" s="102" t="n"/>
      <c r="O1865" s="102" t="n"/>
      <c r="P1865" s="102" t="n"/>
      <c r="Q1865" s="102" t="n"/>
      <c r="R1865" s="102" t="n"/>
      <c r="S1865" s="102" t="n"/>
      <c r="T1865" s="102" t="n"/>
      <c r="U1865" s="102" t="n"/>
      <c r="V1865" s="102" t="n"/>
      <c r="W1865" s="102" t="n"/>
      <c r="X1865" s="102" t="n"/>
      <c r="Y1865" s="102" t="n"/>
      <c r="Z1865" s="102" t="n"/>
      <c r="AA1865" s="102" t="n"/>
      <c r="AB1865" s="102" t="n"/>
      <c r="AC1865" s="102" t="n"/>
      <c r="AD1865" s="102" t="n"/>
      <c r="AE1865" s="102" t="n"/>
      <c r="AF1865" s="102" t="n"/>
      <c r="AG1865" s="102" t="n"/>
      <c r="AH1865" s="102" t="n"/>
      <c r="AI1865" s="102" t="n"/>
      <c r="AJ1865" s="102" t="n"/>
      <c r="AK1865" s="102" t="n"/>
      <c r="AL1865" s="102" t="n"/>
      <c r="AM1865" s="102" t="n"/>
      <c r="AN1865" s="102" t="n"/>
      <c r="AO1865" s="102" t="n"/>
      <c r="AP1865" s="102" t="n"/>
      <c r="AQ1865" s="102" t="n"/>
      <c r="AR1865" s="102" t="n"/>
    </row>
    <row r="1866">
      <c r="D1866" s="160" t="n"/>
      <c r="E1866" s="160" t="n"/>
      <c r="F1866" s="160" t="n"/>
      <c r="G1866" s="160" t="n"/>
      <c r="H1866" s="160" t="n"/>
      <c r="I1866" s="160" t="n"/>
      <c r="J1866" s="160" t="n"/>
      <c r="K1866" s="160" t="n"/>
      <c r="L1866" s="160" t="n"/>
      <c r="M1866" s="160" t="n"/>
      <c r="N1866" s="160" t="n"/>
      <c r="O1866" s="160" t="n"/>
      <c r="P1866" s="160" t="n"/>
      <c r="Q1866" s="160" t="n"/>
      <c r="R1866" s="160" t="n"/>
      <c r="S1866" s="160" t="n"/>
      <c r="T1866" s="160" t="n"/>
      <c r="U1866" s="160" t="n"/>
      <c r="V1866" s="160" t="n"/>
      <c r="W1866" s="160" t="n"/>
      <c r="X1866" s="160" t="n"/>
      <c r="Y1866" s="160" t="n"/>
      <c r="Z1866" s="160" t="n"/>
      <c r="AA1866" s="160" t="n"/>
      <c r="AB1866" s="160" t="n"/>
      <c r="AC1866" s="160" t="n"/>
      <c r="AD1866" s="160" t="n"/>
      <c r="AE1866" s="160" t="n"/>
      <c r="AF1866" s="160" t="n"/>
      <c r="AG1866" s="160" t="n"/>
      <c r="AH1866" s="160" t="n"/>
      <c r="AI1866" s="160" t="n"/>
      <c r="AJ1866" s="160" t="n"/>
      <c r="AK1866" s="160" t="n"/>
      <c r="AL1866" s="160" t="n"/>
      <c r="AM1866" s="160" t="n"/>
      <c r="AN1866" s="160" t="n"/>
      <c r="AO1866" s="160" t="n"/>
      <c r="AP1866" s="160" t="n"/>
      <c r="AQ1866" s="160" t="n"/>
      <c r="AR1866" s="160" t="n"/>
    </row>
    <row r="1868">
      <c r="A1868" s="8">
        <f>IF(HSCEI!$C$35="","",HSCEI!$C$35)</f>
        <v/>
      </c>
      <c r="B1868" s="158">
        <f>IF($A1868="",0,COUNT($E1869:$AR1869))</f>
        <v/>
      </c>
      <c r="C1868" s="159">
        <f>IF($B1868=0,0,MAX($E1869:$AR1869))</f>
        <v/>
      </c>
      <c r="D1868" s="101">
        <f>BDS($A1868,FLD_HIST,"headers=y","startcol=1","endcol=7","dir=h","DVD_START_DT",HIST_FROM,"DVD_END_DT",HIST_TO)</f>
        <v/>
      </c>
      <c r="E1868" s="102" t="n"/>
      <c r="F1868" s="102" t="n"/>
      <c r="G1868" s="102" t="n"/>
      <c r="H1868" s="102" t="n"/>
      <c r="I1868" s="102" t="n"/>
      <c r="J1868" s="102" t="n"/>
      <c r="K1868" s="102" t="n"/>
      <c r="L1868" s="102" t="n"/>
      <c r="M1868" s="102" t="n"/>
      <c r="N1868" s="102" t="n"/>
      <c r="O1868" s="102" t="n"/>
      <c r="P1868" s="102" t="n"/>
      <c r="Q1868" s="102" t="n"/>
      <c r="R1868" s="102" t="n"/>
      <c r="S1868" s="102" t="n"/>
      <c r="T1868" s="102" t="n"/>
      <c r="U1868" s="102" t="n"/>
      <c r="V1868" s="102" t="n"/>
      <c r="W1868" s="102" t="n"/>
      <c r="X1868" s="102" t="n"/>
      <c r="Y1868" s="102" t="n"/>
      <c r="Z1868" s="102" t="n"/>
      <c r="AA1868" s="102" t="n"/>
      <c r="AB1868" s="102" t="n"/>
      <c r="AC1868" s="102" t="n"/>
      <c r="AD1868" s="102" t="n"/>
      <c r="AE1868" s="102" t="n"/>
      <c r="AF1868" s="102" t="n"/>
      <c r="AG1868" s="102" t="n"/>
      <c r="AH1868" s="102" t="n"/>
      <c r="AI1868" s="102" t="n"/>
      <c r="AJ1868" s="102" t="n"/>
      <c r="AK1868" s="102" t="n"/>
      <c r="AL1868" s="102" t="n"/>
      <c r="AM1868" s="102" t="n"/>
      <c r="AN1868" s="102" t="n"/>
      <c r="AO1868" s="102" t="n"/>
      <c r="AP1868" s="102" t="n"/>
      <c r="AQ1868" s="102" t="n"/>
      <c r="AR1868" s="102" t="n"/>
    </row>
    <row r="1869">
      <c r="D1869" s="102" t="n"/>
      <c r="E1869" s="102" t="n"/>
      <c r="F1869" s="102" t="n"/>
      <c r="G1869" s="102" t="n"/>
      <c r="H1869" s="102" t="n"/>
      <c r="I1869" s="102" t="n"/>
      <c r="J1869" s="102" t="n"/>
      <c r="K1869" s="102" t="n"/>
      <c r="L1869" s="102" t="n"/>
      <c r="M1869" s="102" t="n"/>
      <c r="N1869" s="102" t="n"/>
      <c r="O1869" s="102" t="n"/>
      <c r="P1869" s="102" t="n"/>
      <c r="Q1869" s="102" t="n"/>
      <c r="R1869" s="102" t="n"/>
      <c r="S1869" s="102" t="n"/>
      <c r="T1869" s="102" t="n"/>
      <c r="U1869" s="102" t="n"/>
      <c r="V1869" s="102" t="n"/>
      <c r="W1869" s="102" t="n"/>
      <c r="X1869" s="102" t="n"/>
      <c r="Y1869" s="102" t="n"/>
      <c r="Z1869" s="102" t="n"/>
      <c r="AA1869" s="102" t="n"/>
      <c r="AB1869" s="102" t="n"/>
      <c r="AC1869" s="102" t="n"/>
      <c r="AD1869" s="102" t="n"/>
      <c r="AE1869" s="102" t="n"/>
      <c r="AF1869" s="102" t="n"/>
      <c r="AG1869" s="102" t="n"/>
      <c r="AH1869" s="102" t="n"/>
      <c r="AI1869" s="102" t="n"/>
      <c r="AJ1869" s="102" t="n"/>
      <c r="AK1869" s="102" t="n"/>
      <c r="AL1869" s="102" t="n"/>
      <c r="AM1869" s="102" t="n"/>
      <c r="AN1869" s="102" t="n"/>
      <c r="AO1869" s="102" t="n"/>
      <c r="AP1869" s="102" t="n"/>
      <c r="AQ1869" s="102" t="n"/>
      <c r="AR1869" s="102" t="n"/>
    </row>
    <row r="1870">
      <c r="D1870" s="102" t="n"/>
      <c r="E1870" s="102" t="n"/>
      <c r="F1870" s="102" t="n"/>
      <c r="G1870" s="102" t="n"/>
      <c r="H1870" s="102" t="n"/>
      <c r="I1870" s="102" t="n"/>
      <c r="J1870" s="102" t="n"/>
      <c r="K1870" s="102" t="n"/>
      <c r="L1870" s="102" t="n"/>
      <c r="M1870" s="102" t="n"/>
      <c r="N1870" s="102" t="n"/>
      <c r="O1870" s="102" t="n"/>
      <c r="P1870" s="102" t="n"/>
      <c r="Q1870" s="102" t="n"/>
      <c r="R1870" s="102" t="n"/>
      <c r="S1870" s="102" t="n"/>
      <c r="T1870" s="102" t="n"/>
      <c r="U1870" s="102" t="n"/>
      <c r="V1870" s="102" t="n"/>
      <c r="W1870" s="102" t="n"/>
      <c r="X1870" s="102" t="n"/>
      <c r="Y1870" s="102" t="n"/>
      <c r="Z1870" s="102" t="n"/>
      <c r="AA1870" s="102" t="n"/>
      <c r="AB1870" s="102" t="n"/>
      <c r="AC1870" s="102" t="n"/>
      <c r="AD1870" s="102" t="n"/>
      <c r="AE1870" s="102" t="n"/>
      <c r="AF1870" s="102" t="n"/>
      <c r="AG1870" s="102" t="n"/>
      <c r="AH1870" s="102" t="n"/>
      <c r="AI1870" s="102" t="n"/>
      <c r="AJ1870" s="102" t="n"/>
      <c r="AK1870" s="102" t="n"/>
      <c r="AL1870" s="102" t="n"/>
      <c r="AM1870" s="102" t="n"/>
      <c r="AN1870" s="102" t="n"/>
      <c r="AO1870" s="102" t="n"/>
      <c r="AP1870" s="102" t="n"/>
      <c r="AQ1870" s="102" t="n"/>
      <c r="AR1870" s="102" t="n"/>
    </row>
    <row r="1871">
      <c r="D1871" s="102" t="n"/>
      <c r="E1871" s="102" t="n"/>
      <c r="F1871" s="102" t="n"/>
      <c r="G1871" s="102" t="n"/>
      <c r="H1871" s="102" t="n"/>
      <c r="I1871" s="102" t="n"/>
      <c r="J1871" s="102" t="n"/>
      <c r="K1871" s="102" t="n"/>
      <c r="L1871" s="102" t="n"/>
      <c r="M1871" s="102" t="n"/>
      <c r="N1871" s="102" t="n"/>
      <c r="O1871" s="102" t="n"/>
      <c r="P1871" s="102" t="n"/>
      <c r="Q1871" s="102" t="n"/>
      <c r="R1871" s="102" t="n"/>
      <c r="S1871" s="102" t="n"/>
      <c r="T1871" s="102" t="n"/>
      <c r="U1871" s="102" t="n"/>
      <c r="V1871" s="102" t="n"/>
      <c r="W1871" s="102" t="n"/>
      <c r="X1871" s="102" t="n"/>
      <c r="Y1871" s="102" t="n"/>
      <c r="Z1871" s="102" t="n"/>
      <c r="AA1871" s="102" t="n"/>
      <c r="AB1871" s="102" t="n"/>
      <c r="AC1871" s="102" t="n"/>
      <c r="AD1871" s="102" t="n"/>
      <c r="AE1871" s="102" t="n"/>
      <c r="AF1871" s="102" t="n"/>
      <c r="AG1871" s="102" t="n"/>
      <c r="AH1871" s="102" t="n"/>
      <c r="AI1871" s="102" t="n"/>
      <c r="AJ1871" s="102" t="n"/>
      <c r="AK1871" s="102" t="n"/>
      <c r="AL1871" s="102" t="n"/>
      <c r="AM1871" s="102" t="n"/>
      <c r="AN1871" s="102" t="n"/>
      <c r="AO1871" s="102" t="n"/>
      <c r="AP1871" s="102" t="n"/>
      <c r="AQ1871" s="102" t="n"/>
      <c r="AR1871" s="102" t="n"/>
    </row>
    <row r="1872">
      <c r="D1872" s="160" t="n"/>
      <c r="E1872" s="160" t="n"/>
      <c r="F1872" s="160" t="n"/>
      <c r="G1872" s="160" t="n"/>
      <c r="H1872" s="160" t="n"/>
      <c r="I1872" s="160" t="n"/>
      <c r="J1872" s="160" t="n"/>
      <c r="K1872" s="160" t="n"/>
      <c r="L1872" s="160" t="n"/>
      <c r="M1872" s="160" t="n"/>
      <c r="N1872" s="160" t="n"/>
      <c r="O1872" s="160" t="n"/>
      <c r="P1872" s="160" t="n"/>
      <c r="Q1872" s="160" t="n"/>
      <c r="R1872" s="160" t="n"/>
      <c r="S1872" s="160" t="n"/>
      <c r="T1872" s="160" t="n"/>
      <c r="U1872" s="160" t="n"/>
      <c r="V1872" s="160" t="n"/>
      <c r="W1872" s="160" t="n"/>
      <c r="X1872" s="160" t="n"/>
      <c r="Y1872" s="160" t="n"/>
      <c r="Z1872" s="160" t="n"/>
      <c r="AA1872" s="160" t="n"/>
      <c r="AB1872" s="160" t="n"/>
      <c r="AC1872" s="160" t="n"/>
      <c r="AD1872" s="160" t="n"/>
      <c r="AE1872" s="160" t="n"/>
      <c r="AF1872" s="160" t="n"/>
      <c r="AG1872" s="160" t="n"/>
      <c r="AH1872" s="160" t="n"/>
      <c r="AI1872" s="160" t="n"/>
      <c r="AJ1872" s="160" t="n"/>
      <c r="AK1872" s="160" t="n"/>
      <c r="AL1872" s="160" t="n"/>
      <c r="AM1872" s="160" t="n"/>
      <c r="AN1872" s="160" t="n"/>
      <c r="AO1872" s="160" t="n"/>
      <c r="AP1872" s="160" t="n"/>
      <c r="AQ1872" s="160" t="n"/>
      <c r="AR1872" s="160" t="n"/>
    </row>
    <row r="1875">
      <c r="A1875" s="2">
        <f>IF($A1868="","","   projections")</f>
        <v/>
      </c>
      <c r="B1875" s="158">
        <f>IF($A1868="",0,COUNT($E1876:$AR1876))</f>
        <v/>
      </c>
      <c r="C1875" s="159">
        <f>IF($B1875=0,0,MAX($E1876:$AR1876))</f>
        <v/>
      </c>
      <c r="D1875" s="101">
        <f>BDS($A1868,FLD_PROJ,"headers=y","startcol=1","endcol=3","dir=h")</f>
        <v/>
      </c>
      <c r="E1875" s="102" t="n"/>
      <c r="F1875" s="102" t="n"/>
      <c r="G1875" s="102" t="n"/>
      <c r="H1875" s="102" t="n"/>
      <c r="I1875" s="102" t="n"/>
      <c r="J1875" s="102" t="n"/>
      <c r="K1875" s="102" t="n"/>
      <c r="L1875" s="102" t="n"/>
      <c r="M1875" s="102" t="n"/>
      <c r="N1875" s="102" t="n"/>
      <c r="O1875" s="102" t="n"/>
      <c r="P1875" s="102" t="n"/>
      <c r="Q1875" s="102" t="n"/>
      <c r="R1875" s="102" t="n"/>
      <c r="S1875" s="102" t="n"/>
      <c r="T1875" s="102" t="n"/>
      <c r="U1875" s="102" t="n"/>
      <c r="V1875" s="102" t="n"/>
      <c r="W1875" s="102" t="n"/>
      <c r="X1875" s="102" t="n"/>
      <c r="Y1875" s="102" t="n"/>
      <c r="Z1875" s="102" t="n"/>
      <c r="AA1875" s="102" t="n"/>
      <c r="AB1875" s="102" t="n"/>
      <c r="AC1875" s="102" t="n"/>
      <c r="AD1875" s="102" t="n"/>
      <c r="AE1875" s="102" t="n"/>
      <c r="AF1875" s="102" t="n"/>
      <c r="AG1875" s="102" t="n"/>
      <c r="AH1875" s="102" t="n"/>
      <c r="AI1875" s="102" t="n"/>
      <c r="AJ1875" s="102" t="n"/>
      <c r="AK1875" s="102" t="n"/>
      <c r="AL1875" s="102" t="n"/>
      <c r="AM1875" s="102" t="n"/>
      <c r="AN1875" s="102" t="n"/>
      <c r="AO1875" s="102" t="n"/>
      <c r="AP1875" s="102" t="n"/>
      <c r="AQ1875" s="102" t="n"/>
      <c r="AR1875" s="102" t="n"/>
    </row>
    <row r="1876">
      <c r="D1876" s="102" t="n"/>
      <c r="E1876" s="102" t="n"/>
      <c r="F1876" s="102" t="n"/>
      <c r="G1876" s="102" t="n"/>
      <c r="H1876" s="102" t="n"/>
      <c r="I1876" s="102" t="n"/>
      <c r="J1876" s="102" t="n"/>
      <c r="K1876" s="102" t="n"/>
      <c r="L1876" s="102" t="n"/>
      <c r="M1876" s="102" t="n"/>
      <c r="N1876" s="102" t="n"/>
      <c r="O1876" s="102" t="n"/>
      <c r="P1876" s="102" t="n"/>
      <c r="Q1876" s="102" t="n"/>
      <c r="R1876" s="102" t="n"/>
      <c r="S1876" s="102" t="n"/>
      <c r="T1876" s="102" t="n"/>
      <c r="U1876" s="102" t="n"/>
      <c r="V1876" s="102" t="n"/>
      <c r="W1876" s="102" t="n"/>
      <c r="X1876" s="102" t="n"/>
      <c r="Y1876" s="102" t="n"/>
      <c r="Z1876" s="102" t="n"/>
      <c r="AA1876" s="102" t="n"/>
      <c r="AB1876" s="102" t="n"/>
      <c r="AC1876" s="102" t="n"/>
      <c r="AD1876" s="102" t="n"/>
      <c r="AE1876" s="102" t="n"/>
      <c r="AF1876" s="102" t="n"/>
      <c r="AG1876" s="102" t="n"/>
      <c r="AH1876" s="102" t="n"/>
      <c r="AI1876" s="102" t="n"/>
      <c r="AJ1876" s="102" t="n"/>
      <c r="AK1876" s="102" t="n"/>
      <c r="AL1876" s="102" t="n"/>
      <c r="AM1876" s="102" t="n"/>
      <c r="AN1876" s="102" t="n"/>
      <c r="AO1876" s="102" t="n"/>
      <c r="AP1876" s="102" t="n"/>
      <c r="AQ1876" s="102" t="n"/>
      <c r="AR1876" s="102" t="n"/>
    </row>
    <row r="1877">
      <c r="D1877" s="160" t="n"/>
      <c r="E1877" s="160" t="n"/>
      <c r="F1877" s="160" t="n"/>
      <c r="G1877" s="160" t="n"/>
      <c r="H1877" s="160" t="n"/>
      <c r="I1877" s="160" t="n"/>
      <c r="J1877" s="160" t="n"/>
      <c r="K1877" s="160" t="n"/>
      <c r="L1877" s="160" t="n"/>
      <c r="M1877" s="160" t="n"/>
      <c r="N1877" s="160" t="n"/>
      <c r="O1877" s="160" t="n"/>
      <c r="P1877" s="160" t="n"/>
      <c r="Q1877" s="160" t="n"/>
      <c r="R1877" s="160" t="n"/>
      <c r="S1877" s="160" t="n"/>
      <c r="T1877" s="160" t="n"/>
      <c r="U1877" s="160" t="n"/>
      <c r="V1877" s="160" t="n"/>
      <c r="W1877" s="160" t="n"/>
      <c r="X1877" s="160" t="n"/>
      <c r="Y1877" s="160" t="n"/>
      <c r="Z1877" s="160" t="n"/>
      <c r="AA1877" s="160" t="n"/>
      <c r="AB1877" s="160" t="n"/>
      <c r="AC1877" s="160" t="n"/>
      <c r="AD1877" s="160" t="n"/>
      <c r="AE1877" s="160" t="n"/>
      <c r="AF1877" s="160" t="n"/>
      <c r="AG1877" s="160" t="n"/>
      <c r="AH1877" s="160" t="n"/>
      <c r="AI1877" s="160" t="n"/>
      <c r="AJ1877" s="160" t="n"/>
      <c r="AK1877" s="160" t="n"/>
      <c r="AL1877" s="160" t="n"/>
      <c r="AM1877" s="160" t="n"/>
      <c r="AN1877" s="160" t="n"/>
      <c r="AO1877" s="160" t="n"/>
      <c r="AP1877" s="160" t="n"/>
      <c r="AQ1877" s="160" t="n"/>
      <c r="AR1877" s="160" t="n"/>
    </row>
    <row r="1879">
      <c r="A1879" s="8">
        <f>IF(HSCEI!$C$36="","",HSCEI!$C$36)</f>
        <v/>
      </c>
      <c r="B1879" s="158">
        <f>IF($A1879="",0,COUNT($E1880:$AR1880))</f>
        <v/>
      </c>
      <c r="C1879" s="159">
        <f>IF($B1879=0,0,MAX($E1880:$AR1880))</f>
        <v/>
      </c>
      <c r="D1879" s="101">
        <f>BDS($A1879,FLD_HIST,"headers=y","startcol=1","endcol=7","dir=h","DVD_START_DT",HIST_FROM,"DVD_END_DT",HIST_TO)</f>
        <v/>
      </c>
      <c r="E1879" s="102" t="n"/>
      <c r="F1879" s="102" t="n"/>
      <c r="G1879" s="102" t="n"/>
      <c r="H1879" s="102" t="n"/>
      <c r="I1879" s="102" t="n"/>
      <c r="J1879" s="102" t="n"/>
      <c r="K1879" s="102" t="n"/>
      <c r="L1879" s="102" t="n"/>
      <c r="M1879" s="102" t="n"/>
      <c r="N1879" s="102" t="n"/>
      <c r="O1879" s="102" t="n"/>
      <c r="P1879" s="102" t="n"/>
      <c r="Q1879" s="102" t="n"/>
      <c r="R1879" s="102" t="n"/>
      <c r="S1879" s="102" t="n"/>
      <c r="T1879" s="102" t="n"/>
      <c r="U1879" s="102" t="n"/>
      <c r="V1879" s="102" t="n"/>
      <c r="W1879" s="102" t="n"/>
      <c r="X1879" s="102" t="n"/>
      <c r="Y1879" s="102" t="n"/>
      <c r="Z1879" s="102" t="n"/>
      <c r="AA1879" s="102" t="n"/>
      <c r="AB1879" s="102" t="n"/>
      <c r="AC1879" s="102" t="n"/>
      <c r="AD1879" s="102" t="n"/>
      <c r="AE1879" s="102" t="n"/>
      <c r="AF1879" s="102" t="n"/>
      <c r="AG1879" s="102" t="n"/>
      <c r="AH1879" s="102" t="n"/>
      <c r="AI1879" s="102" t="n"/>
      <c r="AJ1879" s="102" t="n"/>
      <c r="AK1879" s="102" t="n"/>
      <c r="AL1879" s="102" t="n"/>
      <c r="AM1879" s="102" t="n"/>
      <c r="AN1879" s="102" t="n"/>
      <c r="AO1879" s="102" t="n"/>
      <c r="AP1879" s="102" t="n"/>
      <c r="AQ1879" s="102" t="n"/>
      <c r="AR1879" s="102" t="n"/>
    </row>
    <row r="1880">
      <c r="D1880" s="102" t="n"/>
      <c r="E1880" s="102" t="n"/>
      <c r="F1880" s="102" t="n"/>
      <c r="G1880" s="102" t="n"/>
      <c r="H1880" s="102" t="n"/>
      <c r="I1880" s="102" t="n"/>
      <c r="J1880" s="102" t="n"/>
      <c r="K1880" s="102" t="n"/>
      <c r="L1880" s="102" t="n"/>
      <c r="M1880" s="102" t="n"/>
      <c r="N1880" s="102" t="n"/>
      <c r="O1880" s="102" t="n"/>
      <c r="P1880" s="102" t="n"/>
      <c r="Q1880" s="102" t="n"/>
      <c r="R1880" s="102" t="n"/>
      <c r="S1880" s="102" t="n"/>
      <c r="T1880" s="102" t="n"/>
      <c r="U1880" s="102" t="n"/>
      <c r="V1880" s="102" t="n"/>
      <c r="W1880" s="102" t="n"/>
      <c r="X1880" s="102" t="n"/>
      <c r="Y1880" s="102" t="n"/>
      <c r="Z1880" s="102" t="n"/>
      <c r="AA1880" s="102" t="n"/>
      <c r="AB1880" s="102" t="n"/>
      <c r="AC1880" s="102" t="n"/>
      <c r="AD1880" s="102" t="n"/>
      <c r="AE1880" s="102" t="n"/>
      <c r="AF1880" s="102" t="n"/>
      <c r="AG1880" s="102" t="n"/>
      <c r="AH1880" s="102" t="n"/>
      <c r="AI1880" s="102" t="n"/>
      <c r="AJ1880" s="102" t="n"/>
      <c r="AK1880" s="102" t="n"/>
      <c r="AL1880" s="102" t="n"/>
      <c r="AM1880" s="102" t="n"/>
      <c r="AN1880" s="102" t="n"/>
      <c r="AO1880" s="102" t="n"/>
      <c r="AP1880" s="102" t="n"/>
      <c r="AQ1880" s="102" t="n"/>
      <c r="AR1880" s="102" t="n"/>
    </row>
    <row r="1881">
      <c r="D1881" s="102" t="n"/>
      <c r="E1881" s="102" t="n"/>
      <c r="F1881" s="102" t="n"/>
      <c r="G1881" s="102" t="n"/>
      <c r="H1881" s="102" t="n"/>
      <c r="I1881" s="102" t="n"/>
      <c r="J1881" s="102" t="n"/>
      <c r="K1881" s="102" t="n"/>
      <c r="L1881" s="102" t="n"/>
      <c r="M1881" s="102" t="n"/>
      <c r="N1881" s="102" t="n"/>
      <c r="O1881" s="102" t="n"/>
      <c r="P1881" s="102" t="n"/>
      <c r="Q1881" s="102" t="n"/>
      <c r="R1881" s="102" t="n"/>
      <c r="S1881" s="102" t="n"/>
      <c r="T1881" s="102" t="n"/>
      <c r="U1881" s="102" t="n"/>
      <c r="V1881" s="102" t="n"/>
      <c r="W1881" s="102" t="n"/>
      <c r="X1881" s="102" t="n"/>
      <c r="Y1881" s="102" t="n"/>
      <c r="Z1881" s="102" t="n"/>
      <c r="AA1881" s="102" t="n"/>
      <c r="AB1881" s="102" t="n"/>
      <c r="AC1881" s="102" t="n"/>
      <c r="AD1881" s="102" t="n"/>
      <c r="AE1881" s="102" t="n"/>
      <c r="AF1881" s="102" t="n"/>
      <c r="AG1881" s="102" t="n"/>
      <c r="AH1881" s="102" t="n"/>
      <c r="AI1881" s="102" t="n"/>
      <c r="AJ1881" s="102" t="n"/>
      <c r="AK1881" s="102" t="n"/>
      <c r="AL1881" s="102" t="n"/>
      <c r="AM1881" s="102" t="n"/>
      <c r="AN1881" s="102" t="n"/>
      <c r="AO1881" s="102" t="n"/>
      <c r="AP1881" s="102" t="n"/>
      <c r="AQ1881" s="102" t="n"/>
      <c r="AR1881" s="102" t="n"/>
    </row>
    <row r="1882">
      <c r="D1882" s="102" t="n"/>
      <c r="E1882" s="102" t="n"/>
      <c r="F1882" s="102" t="n"/>
      <c r="G1882" s="102" t="n"/>
      <c r="H1882" s="102" t="n"/>
      <c r="I1882" s="102" t="n"/>
      <c r="J1882" s="102" t="n"/>
      <c r="K1882" s="102" t="n"/>
      <c r="L1882" s="102" t="n"/>
      <c r="M1882" s="102" t="n"/>
      <c r="N1882" s="102" t="n"/>
      <c r="O1882" s="102" t="n"/>
      <c r="P1882" s="102" t="n"/>
      <c r="Q1882" s="102" t="n"/>
      <c r="R1882" s="102" t="n"/>
      <c r="S1882" s="102" t="n"/>
      <c r="T1882" s="102" t="n"/>
      <c r="U1882" s="102" t="n"/>
      <c r="V1882" s="102" t="n"/>
      <c r="W1882" s="102" t="n"/>
      <c r="X1882" s="102" t="n"/>
      <c r="Y1882" s="102" t="n"/>
      <c r="Z1882" s="102" t="n"/>
      <c r="AA1882" s="102" t="n"/>
      <c r="AB1882" s="102" t="n"/>
      <c r="AC1882" s="102" t="n"/>
      <c r="AD1882" s="102" t="n"/>
      <c r="AE1882" s="102" t="n"/>
      <c r="AF1882" s="102" t="n"/>
      <c r="AG1882" s="102" t="n"/>
      <c r="AH1882" s="102" t="n"/>
      <c r="AI1882" s="102" t="n"/>
      <c r="AJ1882" s="102" t="n"/>
      <c r="AK1882" s="102" t="n"/>
      <c r="AL1882" s="102" t="n"/>
      <c r="AM1882" s="102" t="n"/>
      <c r="AN1882" s="102" t="n"/>
      <c r="AO1882" s="102" t="n"/>
      <c r="AP1882" s="102" t="n"/>
      <c r="AQ1882" s="102" t="n"/>
      <c r="AR1882" s="102" t="n"/>
    </row>
    <row r="1883">
      <c r="D1883" s="160" t="n"/>
      <c r="E1883" s="160" t="n"/>
      <c r="F1883" s="160" t="n"/>
      <c r="G1883" s="160" t="n"/>
      <c r="H1883" s="160" t="n"/>
      <c r="I1883" s="160" t="n"/>
      <c r="J1883" s="160" t="n"/>
      <c r="K1883" s="160" t="n"/>
      <c r="L1883" s="160" t="n"/>
      <c r="M1883" s="160" t="n"/>
      <c r="N1883" s="160" t="n"/>
      <c r="O1883" s="160" t="n"/>
      <c r="P1883" s="160" t="n"/>
      <c r="Q1883" s="160" t="n"/>
      <c r="R1883" s="160" t="n"/>
      <c r="S1883" s="160" t="n"/>
      <c r="T1883" s="160" t="n"/>
      <c r="U1883" s="160" t="n"/>
      <c r="V1883" s="160" t="n"/>
      <c r="W1883" s="160" t="n"/>
      <c r="X1883" s="160" t="n"/>
      <c r="Y1883" s="160" t="n"/>
      <c r="Z1883" s="160" t="n"/>
      <c r="AA1883" s="160" t="n"/>
      <c r="AB1883" s="160" t="n"/>
      <c r="AC1883" s="160" t="n"/>
      <c r="AD1883" s="160" t="n"/>
      <c r="AE1883" s="160" t="n"/>
      <c r="AF1883" s="160" t="n"/>
      <c r="AG1883" s="160" t="n"/>
      <c r="AH1883" s="160" t="n"/>
      <c r="AI1883" s="160" t="n"/>
      <c r="AJ1883" s="160" t="n"/>
      <c r="AK1883" s="160" t="n"/>
      <c r="AL1883" s="160" t="n"/>
      <c r="AM1883" s="160" t="n"/>
      <c r="AN1883" s="160" t="n"/>
      <c r="AO1883" s="160" t="n"/>
      <c r="AP1883" s="160" t="n"/>
      <c r="AQ1883" s="160" t="n"/>
      <c r="AR1883" s="160" t="n"/>
    </row>
    <row r="1886">
      <c r="A1886" s="2">
        <f>IF($A1879="","","   projections")</f>
        <v/>
      </c>
      <c r="B1886" s="158">
        <f>IF($A1879="",0,COUNT($E1887:$AR1887))</f>
        <v/>
      </c>
      <c r="C1886" s="159">
        <f>IF($B1886=0,0,MAX($E1887:$AR1887))</f>
        <v/>
      </c>
      <c r="D1886" s="101">
        <f>BDS($A1879,FLD_PROJ,"headers=y","startcol=1","endcol=3","dir=h")</f>
        <v/>
      </c>
      <c r="E1886" s="102" t="n"/>
      <c r="F1886" s="102" t="n"/>
      <c r="G1886" s="102" t="n"/>
      <c r="H1886" s="102" t="n"/>
      <c r="I1886" s="102" t="n"/>
      <c r="J1886" s="102" t="n"/>
      <c r="K1886" s="102" t="n"/>
      <c r="L1886" s="102" t="n"/>
      <c r="M1886" s="102" t="n"/>
      <c r="N1886" s="102" t="n"/>
      <c r="O1886" s="102" t="n"/>
      <c r="P1886" s="102" t="n"/>
      <c r="Q1886" s="102" t="n"/>
      <c r="R1886" s="102" t="n"/>
      <c r="S1886" s="102" t="n"/>
      <c r="T1886" s="102" t="n"/>
      <c r="U1886" s="102" t="n"/>
      <c r="V1886" s="102" t="n"/>
      <c r="W1886" s="102" t="n"/>
      <c r="X1886" s="102" t="n"/>
      <c r="Y1886" s="102" t="n"/>
      <c r="Z1886" s="102" t="n"/>
      <c r="AA1886" s="102" t="n"/>
      <c r="AB1886" s="102" t="n"/>
      <c r="AC1886" s="102" t="n"/>
      <c r="AD1886" s="102" t="n"/>
      <c r="AE1886" s="102" t="n"/>
      <c r="AF1886" s="102" t="n"/>
      <c r="AG1886" s="102" t="n"/>
      <c r="AH1886" s="102" t="n"/>
      <c r="AI1886" s="102" t="n"/>
      <c r="AJ1886" s="102" t="n"/>
      <c r="AK1886" s="102" t="n"/>
      <c r="AL1886" s="102" t="n"/>
      <c r="AM1886" s="102" t="n"/>
      <c r="AN1886" s="102" t="n"/>
      <c r="AO1886" s="102" t="n"/>
      <c r="AP1886" s="102" t="n"/>
      <c r="AQ1886" s="102" t="n"/>
      <c r="AR1886" s="102" t="n"/>
    </row>
    <row r="1887">
      <c r="D1887" s="102" t="n"/>
      <c r="E1887" s="102" t="n"/>
      <c r="F1887" s="102" t="n"/>
      <c r="G1887" s="102" t="n"/>
      <c r="H1887" s="102" t="n"/>
      <c r="I1887" s="102" t="n"/>
      <c r="J1887" s="102" t="n"/>
      <c r="K1887" s="102" t="n"/>
      <c r="L1887" s="102" t="n"/>
      <c r="M1887" s="102" t="n"/>
      <c r="N1887" s="102" t="n"/>
      <c r="O1887" s="102" t="n"/>
      <c r="P1887" s="102" t="n"/>
      <c r="Q1887" s="102" t="n"/>
      <c r="R1887" s="102" t="n"/>
      <c r="S1887" s="102" t="n"/>
      <c r="T1887" s="102" t="n"/>
      <c r="U1887" s="102" t="n"/>
      <c r="V1887" s="102" t="n"/>
      <c r="W1887" s="102" t="n"/>
      <c r="X1887" s="102" t="n"/>
      <c r="Y1887" s="102" t="n"/>
      <c r="Z1887" s="102" t="n"/>
      <c r="AA1887" s="102" t="n"/>
      <c r="AB1887" s="102" t="n"/>
      <c r="AC1887" s="102" t="n"/>
      <c r="AD1887" s="102" t="n"/>
      <c r="AE1887" s="102" t="n"/>
      <c r="AF1887" s="102" t="n"/>
      <c r="AG1887" s="102" t="n"/>
      <c r="AH1887" s="102" t="n"/>
      <c r="AI1887" s="102" t="n"/>
      <c r="AJ1887" s="102" t="n"/>
      <c r="AK1887" s="102" t="n"/>
      <c r="AL1887" s="102" t="n"/>
      <c r="AM1887" s="102" t="n"/>
      <c r="AN1887" s="102" t="n"/>
      <c r="AO1887" s="102" t="n"/>
      <c r="AP1887" s="102" t="n"/>
      <c r="AQ1887" s="102" t="n"/>
      <c r="AR1887" s="102" t="n"/>
    </row>
    <row r="1888">
      <c r="D1888" s="160" t="n"/>
      <c r="E1888" s="160" t="n"/>
      <c r="F1888" s="160" t="n"/>
      <c r="G1888" s="160" t="n"/>
      <c r="H1888" s="160" t="n"/>
      <c r="I1888" s="160" t="n"/>
      <c r="J1888" s="160" t="n"/>
      <c r="K1888" s="160" t="n"/>
      <c r="L1888" s="160" t="n"/>
      <c r="M1888" s="160" t="n"/>
      <c r="N1888" s="160" t="n"/>
      <c r="O1888" s="160" t="n"/>
      <c r="P1888" s="160" t="n"/>
      <c r="Q1888" s="160" t="n"/>
      <c r="R1888" s="160" t="n"/>
      <c r="S1888" s="160" t="n"/>
      <c r="T1888" s="160" t="n"/>
      <c r="U1888" s="160" t="n"/>
      <c r="V1888" s="160" t="n"/>
      <c r="W1888" s="160" t="n"/>
      <c r="X1888" s="160" t="n"/>
      <c r="Y1888" s="160" t="n"/>
      <c r="Z1888" s="160" t="n"/>
      <c r="AA1888" s="160" t="n"/>
      <c r="AB1888" s="160" t="n"/>
      <c r="AC1888" s="160" t="n"/>
      <c r="AD1888" s="160" t="n"/>
      <c r="AE1888" s="160" t="n"/>
      <c r="AF1888" s="160" t="n"/>
      <c r="AG1888" s="160" t="n"/>
      <c r="AH1888" s="160" t="n"/>
      <c r="AI1888" s="160" t="n"/>
      <c r="AJ1888" s="160" t="n"/>
      <c r="AK1888" s="160" t="n"/>
      <c r="AL1888" s="160" t="n"/>
      <c r="AM1888" s="160" t="n"/>
      <c r="AN1888" s="160" t="n"/>
      <c r="AO1888" s="160" t="n"/>
      <c r="AP1888" s="160" t="n"/>
      <c r="AQ1888" s="160" t="n"/>
      <c r="AR1888" s="160" t="n"/>
    </row>
    <row r="1890">
      <c r="A1890" s="8">
        <f>IF(HSCEI!$C$37="","",HSCEI!$C$37)</f>
        <v/>
      </c>
      <c r="B1890" s="158">
        <f>IF($A1890="",0,COUNT($E1891:$AR1891))</f>
        <v/>
      </c>
      <c r="C1890" s="159">
        <f>IF($B1890=0,0,MAX($E1891:$AR1891))</f>
        <v/>
      </c>
      <c r="D1890" s="101">
        <f>BDS($A1890,FLD_HIST,"headers=y","startcol=1","endcol=7","dir=h","DVD_START_DT",HIST_FROM,"DVD_END_DT",HIST_TO)</f>
        <v/>
      </c>
      <c r="E1890" s="102" t="n"/>
      <c r="F1890" s="102" t="n"/>
      <c r="G1890" s="102" t="n"/>
      <c r="H1890" s="102" t="n"/>
      <c r="I1890" s="102" t="n"/>
      <c r="J1890" s="102" t="n"/>
      <c r="K1890" s="102" t="n"/>
      <c r="L1890" s="102" t="n"/>
      <c r="M1890" s="102" t="n"/>
      <c r="N1890" s="102" t="n"/>
      <c r="O1890" s="102" t="n"/>
      <c r="P1890" s="102" t="n"/>
      <c r="Q1890" s="102" t="n"/>
      <c r="R1890" s="102" t="n"/>
      <c r="S1890" s="102" t="n"/>
      <c r="T1890" s="102" t="n"/>
      <c r="U1890" s="102" t="n"/>
      <c r="V1890" s="102" t="n"/>
      <c r="W1890" s="102" t="n"/>
      <c r="X1890" s="102" t="n"/>
      <c r="Y1890" s="102" t="n"/>
      <c r="Z1890" s="102" t="n"/>
      <c r="AA1890" s="102" t="n"/>
      <c r="AB1890" s="102" t="n"/>
      <c r="AC1890" s="102" t="n"/>
      <c r="AD1890" s="102" t="n"/>
      <c r="AE1890" s="102" t="n"/>
      <c r="AF1890" s="102" t="n"/>
      <c r="AG1890" s="102" t="n"/>
      <c r="AH1890" s="102" t="n"/>
      <c r="AI1890" s="102" t="n"/>
      <c r="AJ1890" s="102" t="n"/>
      <c r="AK1890" s="102" t="n"/>
      <c r="AL1890" s="102" t="n"/>
      <c r="AM1890" s="102" t="n"/>
      <c r="AN1890" s="102" t="n"/>
      <c r="AO1890" s="102" t="n"/>
      <c r="AP1890" s="102" t="n"/>
      <c r="AQ1890" s="102" t="n"/>
      <c r="AR1890" s="102" t="n"/>
    </row>
    <row r="1891">
      <c r="D1891" s="102" t="n"/>
      <c r="E1891" s="102" t="n"/>
      <c r="F1891" s="102" t="n"/>
      <c r="G1891" s="102" t="n"/>
      <c r="H1891" s="102" t="n"/>
      <c r="I1891" s="102" t="n"/>
      <c r="J1891" s="102" t="n"/>
      <c r="K1891" s="102" t="n"/>
      <c r="L1891" s="102" t="n"/>
      <c r="M1891" s="102" t="n"/>
      <c r="N1891" s="102" t="n"/>
      <c r="O1891" s="102" t="n"/>
      <c r="P1891" s="102" t="n"/>
      <c r="Q1891" s="102" t="n"/>
      <c r="R1891" s="102" t="n"/>
      <c r="S1891" s="102" t="n"/>
      <c r="T1891" s="102" t="n"/>
      <c r="U1891" s="102" t="n"/>
      <c r="V1891" s="102" t="n"/>
      <c r="W1891" s="102" t="n"/>
      <c r="X1891" s="102" t="n"/>
      <c r="Y1891" s="102" t="n"/>
      <c r="Z1891" s="102" t="n"/>
      <c r="AA1891" s="102" t="n"/>
      <c r="AB1891" s="102" t="n"/>
      <c r="AC1891" s="102" t="n"/>
      <c r="AD1891" s="102" t="n"/>
      <c r="AE1891" s="102" t="n"/>
      <c r="AF1891" s="102" t="n"/>
      <c r="AG1891" s="102" t="n"/>
      <c r="AH1891" s="102" t="n"/>
      <c r="AI1891" s="102" t="n"/>
      <c r="AJ1891" s="102" t="n"/>
      <c r="AK1891" s="102" t="n"/>
      <c r="AL1891" s="102" t="n"/>
      <c r="AM1891" s="102" t="n"/>
      <c r="AN1891" s="102" t="n"/>
      <c r="AO1891" s="102" t="n"/>
      <c r="AP1891" s="102" t="n"/>
      <c r="AQ1891" s="102" t="n"/>
      <c r="AR1891" s="102" t="n"/>
    </row>
    <row r="1892">
      <c r="D1892" s="102" t="n"/>
      <c r="E1892" s="102" t="n"/>
      <c r="F1892" s="102" t="n"/>
      <c r="G1892" s="102" t="n"/>
      <c r="H1892" s="102" t="n"/>
      <c r="I1892" s="102" t="n"/>
      <c r="J1892" s="102" t="n"/>
      <c r="K1892" s="102" t="n"/>
      <c r="L1892" s="102" t="n"/>
      <c r="M1892" s="102" t="n"/>
      <c r="N1892" s="102" t="n"/>
      <c r="O1892" s="102" t="n"/>
      <c r="P1892" s="102" t="n"/>
      <c r="Q1892" s="102" t="n"/>
      <c r="R1892" s="102" t="n"/>
      <c r="S1892" s="102" t="n"/>
      <c r="T1892" s="102" t="n"/>
      <c r="U1892" s="102" t="n"/>
      <c r="V1892" s="102" t="n"/>
      <c r="W1892" s="102" t="n"/>
      <c r="X1892" s="102" t="n"/>
      <c r="Y1892" s="102" t="n"/>
      <c r="Z1892" s="102" t="n"/>
      <c r="AA1892" s="102" t="n"/>
      <c r="AB1892" s="102" t="n"/>
      <c r="AC1892" s="102" t="n"/>
      <c r="AD1892" s="102" t="n"/>
      <c r="AE1892" s="102" t="n"/>
      <c r="AF1892" s="102" t="n"/>
      <c r="AG1892" s="102" t="n"/>
      <c r="AH1892" s="102" t="n"/>
      <c r="AI1892" s="102" t="n"/>
      <c r="AJ1892" s="102" t="n"/>
      <c r="AK1892" s="102" t="n"/>
      <c r="AL1892" s="102" t="n"/>
      <c r="AM1892" s="102" t="n"/>
      <c r="AN1892" s="102" t="n"/>
      <c r="AO1892" s="102" t="n"/>
      <c r="AP1892" s="102" t="n"/>
      <c r="AQ1892" s="102" t="n"/>
      <c r="AR1892" s="102" t="n"/>
    </row>
    <row r="1893">
      <c r="D1893" s="102" t="n"/>
      <c r="E1893" s="102" t="n"/>
      <c r="F1893" s="102" t="n"/>
      <c r="G1893" s="102" t="n"/>
      <c r="H1893" s="102" t="n"/>
      <c r="I1893" s="102" t="n"/>
      <c r="J1893" s="102" t="n"/>
      <c r="K1893" s="102" t="n"/>
      <c r="L1893" s="102" t="n"/>
      <c r="M1893" s="102" t="n"/>
      <c r="N1893" s="102" t="n"/>
      <c r="O1893" s="102" t="n"/>
      <c r="P1893" s="102" t="n"/>
      <c r="Q1893" s="102" t="n"/>
      <c r="R1893" s="102" t="n"/>
      <c r="S1893" s="102" t="n"/>
      <c r="T1893" s="102" t="n"/>
      <c r="U1893" s="102" t="n"/>
      <c r="V1893" s="102" t="n"/>
      <c r="W1893" s="102" t="n"/>
      <c r="X1893" s="102" t="n"/>
      <c r="Y1893" s="102" t="n"/>
      <c r="Z1893" s="102" t="n"/>
      <c r="AA1893" s="102" t="n"/>
      <c r="AB1893" s="102" t="n"/>
      <c r="AC1893" s="102" t="n"/>
      <c r="AD1893" s="102" t="n"/>
      <c r="AE1893" s="102" t="n"/>
      <c r="AF1893" s="102" t="n"/>
      <c r="AG1893" s="102" t="n"/>
      <c r="AH1893" s="102" t="n"/>
      <c r="AI1893" s="102" t="n"/>
      <c r="AJ1893" s="102" t="n"/>
      <c r="AK1893" s="102" t="n"/>
      <c r="AL1893" s="102" t="n"/>
      <c r="AM1893" s="102" t="n"/>
      <c r="AN1893" s="102" t="n"/>
      <c r="AO1893" s="102" t="n"/>
      <c r="AP1893" s="102" t="n"/>
      <c r="AQ1893" s="102" t="n"/>
      <c r="AR1893" s="102" t="n"/>
    </row>
    <row r="1894">
      <c r="D1894" s="160" t="n"/>
      <c r="E1894" s="160" t="n"/>
      <c r="F1894" s="160" t="n"/>
      <c r="G1894" s="160" t="n"/>
      <c r="H1894" s="160" t="n"/>
      <c r="I1894" s="160" t="n"/>
      <c r="J1894" s="160" t="n"/>
      <c r="K1894" s="160" t="n"/>
      <c r="L1894" s="160" t="n"/>
      <c r="M1894" s="160" t="n"/>
      <c r="N1894" s="160" t="n"/>
      <c r="O1894" s="160" t="n"/>
      <c r="P1894" s="160" t="n"/>
      <c r="Q1894" s="160" t="n"/>
      <c r="R1894" s="160" t="n"/>
      <c r="S1894" s="160" t="n"/>
      <c r="T1894" s="160" t="n"/>
      <c r="U1894" s="160" t="n"/>
      <c r="V1894" s="160" t="n"/>
      <c r="W1894" s="160" t="n"/>
      <c r="X1894" s="160" t="n"/>
      <c r="Y1894" s="160" t="n"/>
      <c r="Z1894" s="160" t="n"/>
      <c r="AA1894" s="160" t="n"/>
      <c r="AB1894" s="160" t="n"/>
      <c r="AC1894" s="160" t="n"/>
      <c r="AD1894" s="160" t="n"/>
      <c r="AE1894" s="160" t="n"/>
      <c r="AF1894" s="160" t="n"/>
      <c r="AG1894" s="160" t="n"/>
      <c r="AH1894" s="160" t="n"/>
      <c r="AI1894" s="160" t="n"/>
      <c r="AJ1894" s="160" t="n"/>
      <c r="AK1894" s="160" t="n"/>
      <c r="AL1894" s="160" t="n"/>
      <c r="AM1894" s="160" t="n"/>
      <c r="AN1894" s="160" t="n"/>
      <c r="AO1894" s="160" t="n"/>
      <c r="AP1894" s="160" t="n"/>
      <c r="AQ1894" s="160" t="n"/>
      <c r="AR1894" s="160" t="n"/>
    </row>
    <row r="1897">
      <c r="A1897" s="2">
        <f>IF($A1890="","","   projections")</f>
        <v/>
      </c>
      <c r="B1897" s="158">
        <f>IF($A1890="",0,COUNT($E1898:$AR1898))</f>
        <v/>
      </c>
      <c r="C1897" s="159">
        <f>IF($B1897=0,0,MAX($E1898:$AR1898))</f>
        <v/>
      </c>
      <c r="D1897" s="101">
        <f>BDS($A1890,FLD_PROJ,"headers=y","startcol=1","endcol=3","dir=h")</f>
        <v/>
      </c>
      <c r="E1897" s="102" t="n"/>
      <c r="F1897" s="102" t="n"/>
      <c r="G1897" s="102" t="n"/>
      <c r="H1897" s="102" t="n"/>
      <c r="I1897" s="102" t="n"/>
      <c r="J1897" s="102" t="n"/>
      <c r="K1897" s="102" t="n"/>
      <c r="L1897" s="102" t="n"/>
      <c r="M1897" s="102" t="n"/>
      <c r="N1897" s="102" t="n"/>
      <c r="O1897" s="102" t="n"/>
      <c r="P1897" s="102" t="n"/>
      <c r="Q1897" s="102" t="n"/>
      <c r="R1897" s="102" t="n"/>
      <c r="S1897" s="102" t="n"/>
      <c r="T1897" s="102" t="n"/>
      <c r="U1897" s="102" t="n"/>
      <c r="V1897" s="102" t="n"/>
      <c r="W1897" s="102" t="n"/>
      <c r="X1897" s="102" t="n"/>
      <c r="Y1897" s="102" t="n"/>
      <c r="Z1897" s="102" t="n"/>
      <c r="AA1897" s="102" t="n"/>
      <c r="AB1897" s="102" t="n"/>
      <c r="AC1897" s="102" t="n"/>
      <c r="AD1897" s="102" t="n"/>
      <c r="AE1897" s="102" t="n"/>
      <c r="AF1897" s="102" t="n"/>
      <c r="AG1897" s="102" t="n"/>
      <c r="AH1897" s="102" t="n"/>
      <c r="AI1897" s="102" t="n"/>
      <c r="AJ1897" s="102" t="n"/>
      <c r="AK1897" s="102" t="n"/>
      <c r="AL1897" s="102" t="n"/>
      <c r="AM1897" s="102" t="n"/>
      <c r="AN1897" s="102" t="n"/>
      <c r="AO1897" s="102" t="n"/>
      <c r="AP1897" s="102" t="n"/>
      <c r="AQ1897" s="102" t="n"/>
      <c r="AR1897" s="102" t="n"/>
    </row>
    <row r="1898">
      <c r="D1898" s="102" t="n"/>
      <c r="E1898" s="102" t="n"/>
      <c r="F1898" s="102" t="n"/>
      <c r="G1898" s="102" t="n"/>
      <c r="H1898" s="102" t="n"/>
      <c r="I1898" s="102" t="n"/>
      <c r="J1898" s="102" t="n"/>
      <c r="K1898" s="102" t="n"/>
      <c r="L1898" s="102" t="n"/>
      <c r="M1898" s="102" t="n"/>
      <c r="N1898" s="102" t="n"/>
      <c r="O1898" s="102" t="n"/>
      <c r="P1898" s="102" t="n"/>
      <c r="Q1898" s="102" t="n"/>
      <c r="R1898" s="102" t="n"/>
      <c r="S1898" s="102" t="n"/>
      <c r="T1898" s="102" t="n"/>
      <c r="U1898" s="102" t="n"/>
      <c r="V1898" s="102" t="n"/>
      <c r="W1898" s="102" t="n"/>
      <c r="X1898" s="102" t="n"/>
      <c r="Y1898" s="102" t="n"/>
      <c r="Z1898" s="102" t="n"/>
      <c r="AA1898" s="102" t="n"/>
      <c r="AB1898" s="102" t="n"/>
      <c r="AC1898" s="102" t="n"/>
      <c r="AD1898" s="102" t="n"/>
      <c r="AE1898" s="102" t="n"/>
      <c r="AF1898" s="102" t="n"/>
      <c r="AG1898" s="102" t="n"/>
      <c r="AH1898" s="102" t="n"/>
      <c r="AI1898" s="102" t="n"/>
      <c r="AJ1898" s="102" t="n"/>
      <c r="AK1898" s="102" t="n"/>
      <c r="AL1898" s="102" t="n"/>
      <c r="AM1898" s="102" t="n"/>
      <c r="AN1898" s="102" t="n"/>
      <c r="AO1898" s="102" t="n"/>
      <c r="AP1898" s="102" t="n"/>
      <c r="AQ1898" s="102" t="n"/>
      <c r="AR1898" s="102" t="n"/>
    </row>
    <row r="1899">
      <c r="D1899" s="160" t="n"/>
      <c r="E1899" s="160" t="n"/>
      <c r="F1899" s="160" t="n"/>
      <c r="G1899" s="160" t="n"/>
      <c r="H1899" s="160" t="n"/>
      <c r="I1899" s="160" t="n"/>
      <c r="J1899" s="160" t="n"/>
      <c r="K1899" s="160" t="n"/>
      <c r="L1899" s="160" t="n"/>
      <c r="M1899" s="160" t="n"/>
      <c r="N1899" s="160" t="n"/>
      <c r="O1899" s="160" t="n"/>
      <c r="P1899" s="160" t="n"/>
      <c r="Q1899" s="160" t="n"/>
      <c r="R1899" s="160" t="n"/>
      <c r="S1899" s="160" t="n"/>
      <c r="T1899" s="160" t="n"/>
      <c r="U1899" s="160" t="n"/>
      <c r="V1899" s="160" t="n"/>
      <c r="W1899" s="160" t="n"/>
      <c r="X1899" s="160" t="n"/>
      <c r="Y1899" s="160" t="n"/>
      <c r="Z1899" s="160" t="n"/>
      <c r="AA1899" s="160" t="n"/>
      <c r="AB1899" s="160" t="n"/>
      <c r="AC1899" s="160" t="n"/>
      <c r="AD1899" s="160" t="n"/>
      <c r="AE1899" s="160" t="n"/>
      <c r="AF1899" s="160" t="n"/>
      <c r="AG1899" s="160" t="n"/>
      <c r="AH1899" s="160" t="n"/>
      <c r="AI1899" s="160" t="n"/>
      <c r="AJ1899" s="160" t="n"/>
      <c r="AK1899" s="160" t="n"/>
      <c r="AL1899" s="160" t="n"/>
      <c r="AM1899" s="160" t="n"/>
      <c r="AN1899" s="160" t="n"/>
      <c r="AO1899" s="160" t="n"/>
      <c r="AP1899" s="160" t="n"/>
      <c r="AQ1899" s="160" t="n"/>
      <c r="AR1899" s="160" t="n"/>
    </row>
    <row r="1901">
      <c r="A1901" s="8">
        <f>IF(HSCEI!$C$38="","",HSCEI!$C$38)</f>
        <v/>
      </c>
      <c r="B1901" s="158">
        <f>IF($A1901="",0,COUNT($E1902:$AR1902))</f>
        <v/>
      </c>
      <c r="C1901" s="159">
        <f>IF($B1901=0,0,MAX($E1902:$AR1902))</f>
        <v/>
      </c>
      <c r="D1901" s="101">
        <f>BDS($A1901,FLD_HIST,"headers=y","startcol=1","endcol=7","dir=h","DVD_START_DT",HIST_FROM,"DVD_END_DT",HIST_TO)</f>
        <v/>
      </c>
      <c r="E1901" s="102" t="n"/>
      <c r="F1901" s="102" t="n"/>
      <c r="G1901" s="102" t="n"/>
      <c r="H1901" s="102" t="n"/>
      <c r="I1901" s="102" t="n"/>
      <c r="J1901" s="102" t="n"/>
      <c r="K1901" s="102" t="n"/>
      <c r="L1901" s="102" t="n"/>
      <c r="M1901" s="102" t="n"/>
      <c r="N1901" s="102" t="n"/>
      <c r="O1901" s="102" t="n"/>
      <c r="P1901" s="102" t="n"/>
      <c r="Q1901" s="102" t="n"/>
      <c r="R1901" s="102" t="n"/>
      <c r="S1901" s="102" t="n"/>
      <c r="T1901" s="102" t="n"/>
      <c r="U1901" s="102" t="n"/>
      <c r="V1901" s="102" t="n"/>
      <c r="W1901" s="102" t="n"/>
      <c r="X1901" s="102" t="n"/>
      <c r="Y1901" s="102" t="n"/>
      <c r="Z1901" s="102" t="n"/>
      <c r="AA1901" s="102" t="n"/>
      <c r="AB1901" s="102" t="n"/>
      <c r="AC1901" s="102" t="n"/>
      <c r="AD1901" s="102" t="n"/>
      <c r="AE1901" s="102" t="n"/>
      <c r="AF1901" s="102" t="n"/>
      <c r="AG1901" s="102" t="n"/>
      <c r="AH1901" s="102" t="n"/>
      <c r="AI1901" s="102" t="n"/>
      <c r="AJ1901" s="102" t="n"/>
      <c r="AK1901" s="102" t="n"/>
      <c r="AL1901" s="102" t="n"/>
      <c r="AM1901" s="102" t="n"/>
      <c r="AN1901" s="102" t="n"/>
      <c r="AO1901" s="102" t="n"/>
      <c r="AP1901" s="102" t="n"/>
      <c r="AQ1901" s="102" t="n"/>
      <c r="AR1901" s="102" t="n"/>
    </row>
    <row r="1902">
      <c r="D1902" s="102" t="n"/>
      <c r="E1902" s="102" t="n"/>
      <c r="F1902" s="102" t="n"/>
      <c r="G1902" s="102" t="n"/>
      <c r="H1902" s="102" t="n"/>
      <c r="I1902" s="102" t="n"/>
      <c r="J1902" s="102" t="n"/>
      <c r="K1902" s="102" t="n"/>
      <c r="L1902" s="102" t="n"/>
      <c r="M1902" s="102" t="n"/>
      <c r="N1902" s="102" t="n"/>
      <c r="O1902" s="102" t="n"/>
      <c r="P1902" s="102" t="n"/>
      <c r="Q1902" s="102" t="n"/>
      <c r="R1902" s="102" t="n"/>
      <c r="S1902" s="102" t="n"/>
      <c r="T1902" s="102" t="n"/>
      <c r="U1902" s="102" t="n"/>
      <c r="V1902" s="102" t="n"/>
      <c r="W1902" s="102" t="n"/>
      <c r="X1902" s="102" t="n"/>
      <c r="Y1902" s="102" t="n"/>
      <c r="Z1902" s="102" t="n"/>
      <c r="AA1902" s="102" t="n"/>
      <c r="AB1902" s="102" t="n"/>
      <c r="AC1902" s="102" t="n"/>
      <c r="AD1902" s="102" t="n"/>
      <c r="AE1902" s="102" t="n"/>
      <c r="AF1902" s="102" t="n"/>
      <c r="AG1902" s="102" t="n"/>
      <c r="AH1902" s="102" t="n"/>
      <c r="AI1902" s="102" t="n"/>
      <c r="AJ1902" s="102" t="n"/>
      <c r="AK1902" s="102" t="n"/>
      <c r="AL1902" s="102" t="n"/>
      <c r="AM1902" s="102" t="n"/>
      <c r="AN1902" s="102" t="n"/>
      <c r="AO1902" s="102" t="n"/>
      <c r="AP1902" s="102" t="n"/>
      <c r="AQ1902" s="102" t="n"/>
      <c r="AR1902" s="102" t="n"/>
    </row>
    <row r="1903">
      <c r="D1903" s="102" t="n"/>
      <c r="E1903" s="102" t="n"/>
      <c r="F1903" s="102" t="n"/>
      <c r="G1903" s="102" t="n"/>
      <c r="H1903" s="102" t="n"/>
      <c r="I1903" s="102" t="n"/>
      <c r="J1903" s="102" t="n"/>
      <c r="K1903" s="102" t="n"/>
      <c r="L1903" s="102" t="n"/>
      <c r="M1903" s="102" t="n"/>
      <c r="N1903" s="102" t="n"/>
      <c r="O1903" s="102" t="n"/>
      <c r="P1903" s="102" t="n"/>
      <c r="Q1903" s="102" t="n"/>
      <c r="R1903" s="102" t="n"/>
      <c r="S1903" s="102" t="n"/>
      <c r="T1903" s="102" t="n"/>
      <c r="U1903" s="102" t="n"/>
      <c r="V1903" s="102" t="n"/>
      <c r="W1903" s="102" t="n"/>
      <c r="X1903" s="102" t="n"/>
      <c r="Y1903" s="102" t="n"/>
      <c r="Z1903" s="102" t="n"/>
      <c r="AA1903" s="102" t="n"/>
      <c r="AB1903" s="102" t="n"/>
      <c r="AC1903" s="102" t="n"/>
      <c r="AD1903" s="102" t="n"/>
      <c r="AE1903" s="102" t="n"/>
      <c r="AF1903" s="102" t="n"/>
      <c r="AG1903" s="102" t="n"/>
      <c r="AH1903" s="102" t="n"/>
      <c r="AI1903" s="102" t="n"/>
      <c r="AJ1903" s="102" t="n"/>
      <c r="AK1903" s="102" t="n"/>
      <c r="AL1903" s="102" t="n"/>
      <c r="AM1903" s="102" t="n"/>
      <c r="AN1903" s="102" t="n"/>
      <c r="AO1903" s="102" t="n"/>
      <c r="AP1903" s="102" t="n"/>
      <c r="AQ1903" s="102" t="n"/>
      <c r="AR1903" s="102" t="n"/>
    </row>
    <row r="1904">
      <c r="D1904" s="102" t="n"/>
      <c r="E1904" s="102" t="n"/>
      <c r="F1904" s="102" t="n"/>
      <c r="G1904" s="102" t="n"/>
      <c r="H1904" s="102" t="n"/>
      <c r="I1904" s="102" t="n"/>
      <c r="J1904" s="102" t="n"/>
      <c r="K1904" s="102" t="n"/>
      <c r="L1904" s="102" t="n"/>
      <c r="M1904" s="102" t="n"/>
      <c r="N1904" s="102" t="n"/>
      <c r="O1904" s="102" t="n"/>
      <c r="P1904" s="102" t="n"/>
      <c r="Q1904" s="102" t="n"/>
      <c r="R1904" s="102" t="n"/>
      <c r="S1904" s="102" t="n"/>
      <c r="T1904" s="102" t="n"/>
      <c r="U1904" s="102" t="n"/>
      <c r="V1904" s="102" t="n"/>
      <c r="W1904" s="102" t="n"/>
      <c r="X1904" s="102" t="n"/>
      <c r="Y1904" s="102" t="n"/>
      <c r="Z1904" s="102" t="n"/>
      <c r="AA1904" s="102" t="n"/>
      <c r="AB1904" s="102" t="n"/>
      <c r="AC1904" s="102" t="n"/>
      <c r="AD1904" s="102" t="n"/>
      <c r="AE1904" s="102" t="n"/>
      <c r="AF1904" s="102" t="n"/>
      <c r="AG1904" s="102" t="n"/>
      <c r="AH1904" s="102" t="n"/>
      <c r="AI1904" s="102" t="n"/>
      <c r="AJ1904" s="102" t="n"/>
      <c r="AK1904" s="102" t="n"/>
      <c r="AL1904" s="102" t="n"/>
      <c r="AM1904" s="102" t="n"/>
      <c r="AN1904" s="102" t="n"/>
      <c r="AO1904" s="102" t="n"/>
      <c r="AP1904" s="102" t="n"/>
      <c r="AQ1904" s="102" t="n"/>
      <c r="AR1904" s="102" t="n"/>
    </row>
    <row r="1905">
      <c r="D1905" s="160" t="n"/>
      <c r="E1905" s="160" t="n"/>
      <c r="F1905" s="160" t="n"/>
      <c r="G1905" s="160" t="n"/>
      <c r="H1905" s="160" t="n"/>
      <c r="I1905" s="160" t="n"/>
      <c r="J1905" s="160" t="n"/>
      <c r="K1905" s="160" t="n"/>
      <c r="L1905" s="160" t="n"/>
      <c r="M1905" s="160" t="n"/>
      <c r="N1905" s="160" t="n"/>
      <c r="O1905" s="160" t="n"/>
      <c r="P1905" s="160" t="n"/>
      <c r="Q1905" s="160" t="n"/>
      <c r="R1905" s="160" t="n"/>
      <c r="S1905" s="160" t="n"/>
      <c r="T1905" s="160" t="n"/>
      <c r="U1905" s="160" t="n"/>
      <c r="V1905" s="160" t="n"/>
      <c r="W1905" s="160" t="n"/>
      <c r="X1905" s="160" t="n"/>
      <c r="Y1905" s="160" t="n"/>
      <c r="Z1905" s="160" t="n"/>
      <c r="AA1905" s="160" t="n"/>
      <c r="AB1905" s="160" t="n"/>
      <c r="AC1905" s="160" t="n"/>
      <c r="AD1905" s="160" t="n"/>
      <c r="AE1905" s="160" t="n"/>
      <c r="AF1905" s="160" t="n"/>
      <c r="AG1905" s="160" t="n"/>
      <c r="AH1905" s="160" t="n"/>
      <c r="AI1905" s="160" t="n"/>
      <c r="AJ1905" s="160" t="n"/>
      <c r="AK1905" s="160" t="n"/>
      <c r="AL1905" s="160" t="n"/>
      <c r="AM1905" s="160" t="n"/>
      <c r="AN1905" s="160" t="n"/>
      <c r="AO1905" s="160" t="n"/>
      <c r="AP1905" s="160" t="n"/>
      <c r="AQ1905" s="160" t="n"/>
      <c r="AR1905" s="160" t="n"/>
    </row>
    <row r="1908">
      <c r="A1908" s="2">
        <f>IF($A1901="","","   projections")</f>
        <v/>
      </c>
      <c r="B1908" s="158">
        <f>IF($A1901="",0,COUNT($E1909:$AR1909))</f>
        <v/>
      </c>
      <c r="C1908" s="159">
        <f>IF($B1908=0,0,MAX($E1909:$AR1909))</f>
        <v/>
      </c>
      <c r="D1908" s="101">
        <f>BDS($A1901,FLD_PROJ,"headers=y","startcol=1","endcol=3","dir=h")</f>
        <v/>
      </c>
      <c r="E1908" s="102" t="n"/>
      <c r="F1908" s="102" t="n"/>
      <c r="G1908" s="102" t="n"/>
      <c r="H1908" s="102" t="n"/>
      <c r="I1908" s="102" t="n"/>
      <c r="J1908" s="102" t="n"/>
      <c r="K1908" s="102" t="n"/>
      <c r="L1908" s="102" t="n"/>
      <c r="M1908" s="102" t="n"/>
      <c r="N1908" s="102" t="n"/>
      <c r="O1908" s="102" t="n"/>
      <c r="P1908" s="102" t="n"/>
      <c r="Q1908" s="102" t="n"/>
      <c r="R1908" s="102" t="n"/>
      <c r="S1908" s="102" t="n"/>
      <c r="T1908" s="102" t="n"/>
      <c r="U1908" s="102" t="n"/>
      <c r="V1908" s="102" t="n"/>
      <c r="W1908" s="102" t="n"/>
      <c r="X1908" s="102" t="n"/>
      <c r="Y1908" s="102" t="n"/>
      <c r="Z1908" s="102" t="n"/>
      <c r="AA1908" s="102" t="n"/>
      <c r="AB1908" s="102" t="n"/>
      <c r="AC1908" s="102" t="n"/>
      <c r="AD1908" s="102" t="n"/>
      <c r="AE1908" s="102" t="n"/>
      <c r="AF1908" s="102" t="n"/>
      <c r="AG1908" s="102" t="n"/>
      <c r="AH1908" s="102" t="n"/>
      <c r="AI1908" s="102" t="n"/>
      <c r="AJ1908" s="102" t="n"/>
      <c r="AK1908" s="102" t="n"/>
      <c r="AL1908" s="102" t="n"/>
      <c r="AM1908" s="102" t="n"/>
      <c r="AN1908" s="102" t="n"/>
      <c r="AO1908" s="102" t="n"/>
      <c r="AP1908" s="102" t="n"/>
      <c r="AQ1908" s="102" t="n"/>
      <c r="AR1908" s="102" t="n"/>
    </row>
    <row r="1909">
      <c r="D1909" s="102" t="n"/>
      <c r="E1909" s="102" t="n"/>
      <c r="F1909" s="102" t="n"/>
      <c r="G1909" s="102" t="n"/>
      <c r="H1909" s="102" t="n"/>
      <c r="I1909" s="102" t="n"/>
      <c r="J1909" s="102" t="n"/>
      <c r="K1909" s="102" t="n"/>
      <c r="L1909" s="102" t="n"/>
      <c r="M1909" s="102" t="n"/>
      <c r="N1909" s="102" t="n"/>
      <c r="O1909" s="102" t="n"/>
      <c r="P1909" s="102" t="n"/>
      <c r="Q1909" s="102" t="n"/>
      <c r="R1909" s="102" t="n"/>
      <c r="S1909" s="102" t="n"/>
      <c r="T1909" s="102" t="n"/>
      <c r="U1909" s="102" t="n"/>
      <c r="V1909" s="102" t="n"/>
      <c r="W1909" s="102" t="n"/>
      <c r="X1909" s="102" t="n"/>
      <c r="Y1909" s="102" t="n"/>
      <c r="Z1909" s="102" t="n"/>
      <c r="AA1909" s="102" t="n"/>
      <c r="AB1909" s="102" t="n"/>
      <c r="AC1909" s="102" t="n"/>
      <c r="AD1909" s="102" t="n"/>
      <c r="AE1909" s="102" t="n"/>
      <c r="AF1909" s="102" t="n"/>
      <c r="AG1909" s="102" t="n"/>
      <c r="AH1909" s="102" t="n"/>
      <c r="AI1909" s="102" t="n"/>
      <c r="AJ1909" s="102" t="n"/>
      <c r="AK1909" s="102" t="n"/>
      <c r="AL1909" s="102" t="n"/>
      <c r="AM1909" s="102" t="n"/>
      <c r="AN1909" s="102" t="n"/>
      <c r="AO1909" s="102" t="n"/>
      <c r="AP1909" s="102" t="n"/>
      <c r="AQ1909" s="102" t="n"/>
      <c r="AR1909" s="102" t="n"/>
    </row>
    <row r="1910">
      <c r="D1910" s="160" t="n"/>
      <c r="E1910" s="160" t="n"/>
      <c r="F1910" s="160" t="n"/>
      <c r="G1910" s="160" t="n"/>
      <c r="H1910" s="160" t="n"/>
      <c r="I1910" s="160" t="n"/>
      <c r="J1910" s="160" t="n"/>
      <c r="K1910" s="160" t="n"/>
      <c r="L1910" s="160" t="n"/>
      <c r="M1910" s="160" t="n"/>
      <c r="N1910" s="160" t="n"/>
      <c r="O1910" s="160" t="n"/>
      <c r="P1910" s="160" t="n"/>
      <c r="Q1910" s="160" t="n"/>
      <c r="R1910" s="160" t="n"/>
      <c r="S1910" s="160" t="n"/>
      <c r="T1910" s="160" t="n"/>
      <c r="U1910" s="160" t="n"/>
      <c r="V1910" s="160" t="n"/>
      <c r="W1910" s="160" t="n"/>
      <c r="X1910" s="160" t="n"/>
      <c r="Y1910" s="160" t="n"/>
      <c r="Z1910" s="160" t="n"/>
      <c r="AA1910" s="160" t="n"/>
      <c r="AB1910" s="160" t="n"/>
      <c r="AC1910" s="160" t="n"/>
      <c r="AD1910" s="160" t="n"/>
      <c r="AE1910" s="160" t="n"/>
      <c r="AF1910" s="160" t="n"/>
      <c r="AG1910" s="160" t="n"/>
      <c r="AH1910" s="160" t="n"/>
      <c r="AI1910" s="160" t="n"/>
      <c r="AJ1910" s="160" t="n"/>
      <c r="AK1910" s="160" t="n"/>
      <c r="AL1910" s="160" t="n"/>
      <c r="AM1910" s="160" t="n"/>
      <c r="AN1910" s="160" t="n"/>
      <c r="AO1910" s="160" t="n"/>
      <c r="AP1910" s="160" t="n"/>
      <c r="AQ1910" s="160" t="n"/>
      <c r="AR1910" s="160" t="n"/>
    </row>
    <row r="1912">
      <c r="A1912" s="8">
        <f>IF(HSCEI!$C$39="","",HSCEI!$C$39)</f>
        <v/>
      </c>
      <c r="B1912" s="158">
        <f>IF($A1912="",0,COUNT($E1913:$AR1913))</f>
        <v/>
      </c>
      <c r="C1912" s="159">
        <f>IF($B1912=0,0,MAX($E1913:$AR1913))</f>
        <v/>
      </c>
      <c r="D1912" s="101">
        <f>BDS($A1912,FLD_HIST,"headers=y","startcol=1","endcol=7","dir=h","DVD_START_DT",HIST_FROM,"DVD_END_DT",HIST_TO)</f>
        <v/>
      </c>
      <c r="E1912" s="102" t="n"/>
      <c r="F1912" s="102" t="n"/>
      <c r="G1912" s="102" t="n"/>
      <c r="H1912" s="102" t="n"/>
      <c r="I1912" s="102" t="n"/>
      <c r="J1912" s="102" t="n"/>
      <c r="K1912" s="102" t="n"/>
      <c r="L1912" s="102" t="n"/>
      <c r="M1912" s="102" t="n"/>
      <c r="N1912" s="102" t="n"/>
      <c r="O1912" s="102" t="n"/>
      <c r="P1912" s="102" t="n"/>
      <c r="Q1912" s="102" t="n"/>
      <c r="R1912" s="102" t="n"/>
      <c r="S1912" s="102" t="n"/>
      <c r="T1912" s="102" t="n"/>
      <c r="U1912" s="102" t="n"/>
      <c r="V1912" s="102" t="n"/>
      <c r="W1912" s="102" t="n"/>
      <c r="X1912" s="102" t="n"/>
      <c r="Y1912" s="102" t="n"/>
      <c r="Z1912" s="102" t="n"/>
      <c r="AA1912" s="102" t="n"/>
      <c r="AB1912" s="102" t="n"/>
      <c r="AC1912" s="102" t="n"/>
      <c r="AD1912" s="102" t="n"/>
      <c r="AE1912" s="102" t="n"/>
      <c r="AF1912" s="102" t="n"/>
      <c r="AG1912" s="102" t="n"/>
      <c r="AH1912" s="102" t="n"/>
      <c r="AI1912" s="102" t="n"/>
      <c r="AJ1912" s="102" t="n"/>
      <c r="AK1912" s="102" t="n"/>
      <c r="AL1912" s="102" t="n"/>
      <c r="AM1912" s="102" t="n"/>
      <c r="AN1912" s="102" t="n"/>
      <c r="AO1912" s="102" t="n"/>
      <c r="AP1912" s="102" t="n"/>
      <c r="AQ1912" s="102" t="n"/>
      <c r="AR1912" s="102" t="n"/>
    </row>
    <row r="1913">
      <c r="D1913" s="102" t="n"/>
      <c r="E1913" s="102" t="n"/>
      <c r="F1913" s="102" t="n"/>
      <c r="G1913" s="102" t="n"/>
      <c r="H1913" s="102" t="n"/>
      <c r="I1913" s="102" t="n"/>
      <c r="J1913" s="102" t="n"/>
      <c r="K1913" s="102" t="n"/>
      <c r="L1913" s="102" t="n"/>
      <c r="M1913" s="102" t="n"/>
      <c r="N1913" s="102" t="n"/>
      <c r="O1913" s="102" t="n"/>
      <c r="P1913" s="102" t="n"/>
      <c r="Q1913" s="102" t="n"/>
      <c r="R1913" s="102" t="n"/>
      <c r="S1913" s="102" t="n"/>
      <c r="T1913" s="102" t="n"/>
      <c r="U1913" s="102" t="n"/>
      <c r="V1913" s="102" t="n"/>
      <c r="W1913" s="102" t="n"/>
      <c r="X1913" s="102" t="n"/>
      <c r="Y1913" s="102" t="n"/>
      <c r="Z1913" s="102" t="n"/>
      <c r="AA1913" s="102" t="n"/>
      <c r="AB1913" s="102" t="n"/>
      <c r="AC1913" s="102" t="n"/>
      <c r="AD1913" s="102" t="n"/>
      <c r="AE1913" s="102" t="n"/>
      <c r="AF1913" s="102" t="n"/>
      <c r="AG1913" s="102" t="n"/>
      <c r="AH1913" s="102" t="n"/>
      <c r="AI1913" s="102" t="n"/>
      <c r="AJ1913" s="102" t="n"/>
      <c r="AK1913" s="102" t="n"/>
      <c r="AL1913" s="102" t="n"/>
      <c r="AM1913" s="102" t="n"/>
      <c r="AN1913" s="102" t="n"/>
      <c r="AO1913" s="102" t="n"/>
      <c r="AP1913" s="102" t="n"/>
      <c r="AQ1913" s="102" t="n"/>
      <c r="AR1913" s="102" t="n"/>
    </row>
    <row r="1914">
      <c r="D1914" s="102" t="n"/>
      <c r="E1914" s="102" t="n"/>
      <c r="F1914" s="102" t="n"/>
      <c r="G1914" s="102" t="n"/>
      <c r="H1914" s="102" t="n"/>
      <c r="I1914" s="102" t="n"/>
      <c r="J1914" s="102" t="n"/>
      <c r="K1914" s="102" t="n"/>
      <c r="L1914" s="102" t="n"/>
      <c r="M1914" s="102" t="n"/>
      <c r="N1914" s="102" t="n"/>
      <c r="O1914" s="102" t="n"/>
      <c r="P1914" s="102" t="n"/>
      <c r="Q1914" s="102" t="n"/>
      <c r="R1914" s="102" t="n"/>
      <c r="S1914" s="102" t="n"/>
      <c r="T1914" s="102" t="n"/>
      <c r="U1914" s="102" t="n"/>
      <c r="V1914" s="102" t="n"/>
      <c r="W1914" s="102" t="n"/>
      <c r="X1914" s="102" t="n"/>
      <c r="Y1914" s="102" t="n"/>
      <c r="Z1914" s="102" t="n"/>
      <c r="AA1914" s="102" t="n"/>
      <c r="AB1914" s="102" t="n"/>
      <c r="AC1914" s="102" t="n"/>
      <c r="AD1914" s="102" t="n"/>
      <c r="AE1914" s="102" t="n"/>
      <c r="AF1914" s="102" t="n"/>
      <c r="AG1914" s="102" t="n"/>
      <c r="AH1914" s="102" t="n"/>
      <c r="AI1914" s="102" t="n"/>
      <c r="AJ1914" s="102" t="n"/>
      <c r="AK1914" s="102" t="n"/>
      <c r="AL1914" s="102" t="n"/>
      <c r="AM1914" s="102" t="n"/>
      <c r="AN1914" s="102" t="n"/>
      <c r="AO1914" s="102" t="n"/>
      <c r="AP1914" s="102" t="n"/>
      <c r="AQ1914" s="102" t="n"/>
      <c r="AR1914" s="102" t="n"/>
    </row>
    <row r="1915">
      <c r="D1915" s="102" t="n"/>
      <c r="E1915" s="102" t="n"/>
      <c r="F1915" s="102" t="n"/>
      <c r="G1915" s="102" t="n"/>
      <c r="H1915" s="102" t="n"/>
      <c r="I1915" s="102" t="n"/>
      <c r="J1915" s="102" t="n"/>
      <c r="K1915" s="102" t="n"/>
      <c r="L1915" s="102" t="n"/>
      <c r="M1915" s="102" t="n"/>
      <c r="N1915" s="102" t="n"/>
      <c r="O1915" s="102" t="n"/>
      <c r="P1915" s="102" t="n"/>
      <c r="Q1915" s="102" t="n"/>
      <c r="R1915" s="102" t="n"/>
      <c r="S1915" s="102" t="n"/>
      <c r="T1915" s="102" t="n"/>
      <c r="U1915" s="102" t="n"/>
      <c r="V1915" s="102" t="n"/>
      <c r="W1915" s="102" t="n"/>
      <c r="X1915" s="102" t="n"/>
      <c r="Y1915" s="102" t="n"/>
      <c r="Z1915" s="102" t="n"/>
      <c r="AA1915" s="102" t="n"/>
      <c r="AB1915" s="102" t="n"/>
      <c r="AC1915" s="102" t="n"/>
      <c r="AD1915" s="102" t="n"/>
      <c r="AE1915" s="102" t="n"/>
      <c r="AF1915" s="102" t="n"/>
      <c r="AG1915" s="102" t="n"/>
      <c r="AH1915" s="102" t="n"/>
      <c r="AI1915" s="102" t="n"/>
      <c r="AJ1915" s="102" t="n"/>
      <c r="AK1915" s="102" t="n"/>
      <c r="AL1915" s="102" t="n"/>
      <c r="AM1915" s="102" t="n"/>
      <c r="AN1915" s="102" t="n"/>
      <c r="AO1915" s="102" t="n"/>
      <c r="AP1915" s="102" t="n"/>
      <c r="AQ1915" s="102" t="n"/>
      <c r="AR1915" s="102" t="n"/>
    </row>
    <row r="1916">
      <c r="D1916" s="160" t="n"/>
      <c r="E1916" s="160" t="n"/>
      <c r="F1916" s="160" t="n"/>
      <c r="G1916" s="160" t="n"/>
      <c r="H1916" s="160" t="n"/>
      <c r="I1916" s="160" t="n"/>
      <c r="J1916" s="160" t="n"/>
      <c r="K1916" s="160" t="n"/>
      <c r="L1916" s="160" t="n"/>
      <c r="M1916" s="160" t="n"/>
      <c r="N1916" s="160" t="n"/>
      <c r="O1916" s="160" t="n"/>
      <c r="P1916" s="160" t="n"/>
      <c r="Q1916" s="160" t="n"/>
      <c r="R1916" s="160" t="n"/>
      <c r="S1916" s="160" t="n"/>
      <c r="T1916" s="160" t="n"/>
      <c r="U1916" s="160" t="n"/>
      <c r="V1916" s="160" t="n"/>
      <c r="W1916" s="160" t="n"/>
      <c r="X1916" s="160" t="n"/>
      <c r="Y1916" s="160" t="n"/>
      <c r="Z1916" s="160" t="n"/>
      <c r="AA1916" s="160" t="n"/>
      <c r="AB1916" s="160" t="n"/>
      <c r="AC1916" s="160" t="n"/>
      <c r="AD1916" s="160" t="n"/>
      <c r="AE1916" s="160" t="n"/>
      <c r="AF1916" s="160" t="n"/>
      <c r="AG1916" s="160" t="n"/>
      <c r="AH1916" s="160" t="n"/>
      <c r="AI1916" s="160" t="n"/>
      <c r="AJ1916" s="160" t="n"/>
      <c r="AK1916" s="160" t="n"/>
      <c r="AL1916" s="160" t="n"/>
      <c r="AM1916" s="160" t="n"/>
      <c r="AN1916" s="160" t="n"/>
      <c r="AO1916" s="160" t="n"/>
      <c r="AP1916" s="160" t="n"/>
      <c r="AQ1916" s="160" t="n"/>
      <c r="AR1916" s="160" t="n"/>
    </row>
    <row r="1919">
      <c r="A1919" s="2">
        <f>IF($A1912="","","   projections")</f>
        <v/>
      </c>
      <c r="B1919" s="158">
        <f>IF($A1912="",0,COUNT($E1920:$AR1920))</f>
        <v/>
      </c>
      <c r="C1919" s="159">
        <f>IF($B1919=0,0,MAX($E1920:$AR1920))</f>
        <v/>
      </c>
      <c r="D1919" s="101">
        <f>BDS($A1912,FLD_PROJ,"headers=y","startcol=1","endcol=3","dir=h")</f>
        <v/>
      </c>
      <c r="E1919" s="102" t="n"/>
      <c r="F1919" s="102" t="n"/>
      <c r="G1919" s="102" t="n"/>
      <c r="H1919" s="102" t="n"/>
      <c r="I1919" s="102" t="n"/>
      <c r="J1919" s="102" t="n"/>
      <c r="K1919" s="102" t="n"/>
      <c r="L1919" s="102" t="n"/>
      <c r="M1919" s="102" t="n"/>
      <c r="N1919" s="102" t="n"/>
      <c r="O1919" s="102" t="n"/>
      <c r="P1919" s="102" t="n"/>
      <c r="Q1919" s="102" t="n"/>
      <c r="R1919" s="102" t="n"/>
      <c r="S1919" s="102" t="n"/>
      <c r="T1919" s="102" t="n"/>
      <c r="U1919" s="102" t="n"/>
      <c r="V1919" s="102" t="n"/>
      <c r="W1919" s="102" t="n"/>
      <c r="X1919" s="102" t="n"/>
      <c r="Y1919" s="102" t="n"/>
      <c r="Z1919" s="102" t="n"/>
      <c r="AA1919" s="102" t="n"/>
      <c r="AB1919" s="102" t="n"/>
      <c r="AC1919" s="102" t="n"/>
      <c r="AD1919" s="102" t="n"/>
      <c r="AE1919" s="102" t="n"/>
      <c r="AF1919" s="102" t="n"/>
      <c r="AG1919" s="102" t="n"/>
      <c r="AH1919" s="102" t="n"/>
      <c r="AI1919" s="102" t="n"/>
      <c r="AJ1919" s="102" t="n"/>
      <c r="AK1919" s="102" t="n"/>
      <c r="AL1919" s="102" t="n"/>
      <c r="AM1919" s="102" t="n"/>
      <c r="AN1919" s="102" t="n"/>
      <c r="AO1919" s="102" t="n"/>
      <c r="AP1919" s="102" t="n"/>
      <c r="AQ1919" s="102" t="n"/>
      <c r="AR1919" s="102" t="n"/>
    </row>
    <row r="1920">
      <c r="D1920" s="102" t="n"/>
      <c r="E1920" s="102" t="n"/>
      <c r="F1920" s="102" t="n"/>
      <c r="G1920" s="102" t="n"/>
      <c r="H1920" s="102" t="n"/>
      <c r="I1920" s="102" t="n"/>
      <c r="J1920" s="102" t="n"/>
      <c r="K1920" s="102" t="n"/>
      <c r="L1920" s="102" t="n"/>
      <c r="M1920" s="102" t="n"/>
      <c r="N1920" s="102" t="n"/>
      <c r="O1920" s="102" t="n"/>
      <c r="P1920" s="102" t="n"/>
      <c r="Q1920" s="102" t="n"/>
      <c r="R1920" s="102" t="n"/>
      <c r="S1920" s="102" t="n"/>
      <c r="T1920" s="102" t="n"/>
      <c r="U1920" s="102" t="n"/>
      <c r="V1920" s="102" t="n"/>
      <c r="W1920" s="102" t="n"/>
      <c r="X1920" s="102" t="n"/>
      <c r="Y1920" s="102" t="n"/>
      <c r="Z1920" s="102" t="n"/>
      <c r="AA1920" s="102" t="n"/>
      <c r="AB1920" s="102" t="n"/>
      <c r="AC1920" s="102" t="n"/>
      <c r="AD1920" s="102" t="n"/>
      <c r="AE1920" s="102" t="n"/>
      <c r="AF1920" s="102" t="n"/>
      <c r="AG1920" s="102" t="n"/>
      <c r="AH1920" s="102" t="n"/>
      <c r="AI1920" s="102" t="n"/>
      <c r="AJ1920" s="102" t="n"/>
      <c r="AK1920" s="102" t="n"/>
      <c r="AL1920" s="102" t="n"/>
      <c r="AM1920" s="102" t="n"/>
      <c r="AN1920" s="102" t="n"/>
      <c r="AO1920" s="102" t="n"/>
      <c r="AP1920" s="102" t="n"/>
      <c r="AQ1920" s="102" t="n"/>
      <c r="AR1920" s="102" t="n"/>
    </row>
    <row r="1921">
      <c r="D1921" s="160" t="n"/>
      <c r="E1921" s="160" t="n"/>
      <c r="F1921" s="160" t="n"/>
      <c r="G1921" s="160" t="n"/>
      <c r="H1921" s="160" t="n"/>
      <c r="I1921" s="160" t="n"/>
      <c r="J1921" s="160" t="n"/>
      <c r="K1921" s="160" t="n"/>
      <c r="L1921" s="160" t="n"/>
      <c r="M1921" s="160" t="n"/>
      <c r="N1921" s="160" t="n"/>
      <c r="O1921" s="160" t="n"/>
      <c r="P1921" s="160" t="n"/>
      <c r="Q1921" s="160" t="n"/>
      <c r="R1921" s="160" t="n"/>
      <c r="S1921" s="160" t="n"/>
      <c r="T1921" s="160" t="n"/>
      <c r="U1921" s="160" t="n"/>
      <c r="V1921" s="160" t="n"/>
      <c r="W1921" s="160" t="n"/>
      <c r="X1921" s="160" t="n"/>
      <c r="Y1921" s="160" t="n"/>
      <c r="Z1921" s="160" t="n"/>
      <c r="AA1921" s="160" t="n"/>
      <c r="AB1921" s="160" t="n"/>
      <c r="AC1921" s="160" t="n"/>
      <c r="AD1921" s="160" t="n"/>
      <c r="AE1921" s="160" t="n"/>
      <c r="AF1921" s="160" t="n"/>
      <c r="AG1921" s="160" t="n"/>
      <c r="AH1921" s="160" t="n"/>
      <c r="AI1921" s="160" t="n"/>
      <c r="AJ1921" s="160" t="n"/>
      <c r="AK1921" s="160" t="n"/>
      <c r="AL1921" s="160" t="n"/>
      <c r="AM1921" s="160" t="n"/>
      <c r="AN1921" s="160" t="n"/>
      <c r="AO1921" s="160" t="n"/>
      <c r="AP1921" s="160" t="n"/>
      <c r="AQ1921" s="160" t="n"/>
      <c r="AR1921" s="160" t="n"/>
    </row>
    <row r="1923">
      <c r="A1923" s="8">
        <f>IF(HSCEI!$C$40="","",HSCEI!$C$40)</f>
        <v/>
      </c>
      <c r="B1923" s="158">
        <f>IF($A1923="",0,COUNT($E1924:$AR1924))</f>
        <v/>
      </c>
      <c r="C1923" s="159">
        <f>IF($B1923=0,0,MAX($E1924:$AR1924))</f>
        <v/>
      </c>
      <c r="D1923" s="101">
        <f>BDS($A1923,FLD_HIST,"headers=y","startcol=1","endcol=7","dir=h","DVD_START_DT",HIST_FROM,"DVD_END_DT",HIST_TO)</f>
        <v/>
      </c>
      <c r="E1923" s="102" t="n"/>
      <c r="F1923" s="102" t="n"/>
      <c r="G1923" s="102" t="n"/>
      <c r="H1923" s="102" t="n"/>
      <c r="I1923" s="102" t="n"/>
      <c r="J1923" s="102" t="n"/>
      <c r="K1923" s="102" t="n"/>
      <c r="L1923" s="102" t="n"/>
      <c r="M1923" s="102" t="n"/>
      <c r="N1923" s="102" t="n"/>
      <c r="O1923" s="102" t="n"/>
      <c r="P1923" s="102" t="n"/>
      <c r="Q1923" s="102" t="n"/>
      <c r="R1923" s="102" t="n"/>
      <c r="S1923" s="102" t="n"/>
      <c r="T1923" s="102" t="n"/>
      <c r="U1923" s="102" t="n"/>
      <c r="V1923" s="102" t="n"/>
      <c r="W1923" s="102" t="n"/>
      <c r="X1923" s="102" t="n"/>
      <c r="Y1923" s="102" t="n"/>
      <c r="Z1923" s="102" t="n"/>
      <c r="AA1923" s="102" t="n"/>
      <c r="AB1923" s="102" t="n"/>
      <c r="AC1923" s="102" t="n"/>
      <c r="AD1923" s="102" t="n"/>
      <c r="AE1923" s="102" t="n"/>
      <c r="AF1923" s="102" t="n"/>
      <c r="AG1923" s="102" t="n"/>
      <c r="AH1923" s="102" t="n"/>
      <c r="AI1923" s="102" t="n"/>
      <c r="AJ1923" s="102" t="n"/>
      <c r="AK1923" s="102" t="n"/>
      <c r="AL1923" s="102" t="n"/>
      <c r="AM1923" s="102" t="n"/>
      <c r="AN1923" s="102" t="n"/>
      <c r="AO1923" s="102" t="n"/>
      <c r="AP1923" s="102" t="n"/>
      <c r="AQ1923" s="102" t="n"/>
      <c r="AR1923" s="102" t="n"/>
    </row>
    <row r="1924">
      <c r="D1924" s="102" t="n"/>
      <c r="E1924" s="102" t="n"/>
      <c r="F1924" s="102" t="n"/>
      <c r="G1924" s="102" t="n"/>
      <c r="H1924" s="102" t="n"/>
      <c r="I1924" s="102" t="n"/>
      <c r="J1924" s="102" t="n"/>
      <c r="K1924" s="102" t="n"/>
      <c r="L1924" s="102" t="n"/>
      <c r="M1924" s="102" t="n"/>
      <c r="N1924" s="102" t="n"/>
      <c r="O1924" s="102" t="n"/>
      <c r="P1924" s="102" t="n"/>
      <c r="Q1924" s="102" t="n"/>
      <c r="R1924" s="102" t="n"/>
      <c r="S1924" s="102" t="n"/>
      <c r="T1924" s="102" t="n"/>
      <c r="U1924" s="102" t="n"/>
      <c r="V1924" s="102" t="n"/>
      <c r="W1924" s="102" t="n"/>
      <c r="X1924" s="102" t="n"/>
      <c r="Y1924" s="102" t="n"/>
      <c r="Z1924" s="102" t="n"/>
      <c r="AA1924" s="102" t="n"/>
      <c r="AB1924" s="102" t="n"/>
      <c r="AC1924" s="102" t="n"/>
      <c r="AD1924" s="102" t="n"/>
      <c r="AE1924" s="102" t="n"/>
      <c r="AF1924" s="102" t="n"/>
      <c r="AG1924" s="102" t="n"/>
      <c r="AH1924" s="102" t="n"/>
      <c r="AI1924" s="102" t="n"/>
      <c r="AJ1924" s="102" t="n"/>
      <c r="AK1924" s="102" t="n"/>
      <c r="AL1924" s="102" t="n"/>
      <c r="AM1924" s="102" t="n"/>
      <c r="AN1924" s="102" t="n"/>
      <c r="AO1924" s="102" t="n"/>
      <c r="AP1924" s="102" t="n"/>
      <c r="AQ1924" s="102" t="n"/>
      <c r="AR1924" s="102" t="n"/>
    </row>
    <row r="1925">
      <c r="D1925" s="102" t="n"/>
      <c r="E1925" s="102" t="n"/>
      <c r="F1925" s="102" t="n"/>
      <c r="G1925" s="102" t="n"/>
      <c r="H1925" s="102" t="n"/>
      <c r="I1925" s="102" t="n"/>
      <c r="J1925" s="102" t="n"/>
      <c r="K1925" s="102" t="n"/>
      <c r="L1925" s="102" t="n"/>
      <c r="M1925" s="102" t="n"/>
      <c r="N1925" s="102" t="n"/>
      <c r="O1925" s="102" t="n"/>
      <c r="P1925" s="102" t="n"/>
      <c r="Q1925" s="102" t="n"/>
      <c r="R1925" s="102" t="n"/>
      <c r="S1925" s="102" t="n"/>
      <c r="T1925" s="102" t="n"/>
      <c r="U1925" s="102" t="n"/>
      <c r="V1925" s="102" t="n"/>
      <c r="W1925" s="102" t="n"/>
      <c r="X1925" s="102" t="n"/>
      <c r="Y1925" s="102" t="n"/>
      <c r="Z1925" s="102" t="n"/>
      <c r="AA1925" s="102" t="n"/>
      <c r="AB1925" s="102" t="n"/>
      <c r="AC1925" s="102" t="n"/>
      <c r="AD1925" s="102" t="n"/>
      <c r="AE1925" s="102" t="n"/>
      <c r="AF1925" s="102" t="n"/>
      <c r="AG1925" s="102" t="n"/>
      <c r="AH1925" s="102" t="n"/>
      <c r="AI1925" s="102" t="n"/>
      <c r="AJ1925" s="102" t="n"/>
      <c r="AK1925" s="102" t="n"/>
      <c r="AL1925" s="102" t="n"/>
      <c r="AM1925" s="102" t="n"/>
      <c r="AN1925" s="102" t="n"/>
      <c r="AO1925" s="102" t="n"/>
      <c r="AP1925" s="102" t="n"/>
      <c r="AQ1925" s="102" t="n"/>
      <c r="AR1925" s="102" t="n"/>
    </row>
    <row r="1926">
      <c r="D1926" s="102" t="n"/>
      <c r="E1926" s="102" t="n"/>
      <c r="F1926" s="102" t="n"/>
      <c r="G1926" s="102" t="n"/>
      <c r="H1926" s="102" t="n"/>
      <c r="I1926" s="102" t="n"/>
      <c r="J1926" s="102" t="n"/>
      <c r="K1926" s="102" t="n"/>
      <c r="L1926" s="102" t="n"/>
      <c r="M1926" s="102" t="n"/>
      <c r="N1926" s="102" t="n"/>
      <c r="O1926" s="102" t="n"/>
      <c r="P1926" s="102" t="n"/>
      <c r="Q1926" s="102" t="n"/>
      <c r="R1926" s="102" t="n"/>
      <c r="S1926" s="102" t="n"/>
      <c r="T1926" s="102" t="n"/>
      <c r="U1926" s="102" t="n"/>
      <c r="V1926" s="102" t="n"/>
      <c r="W1926" s="102" t="n"/>
      <c r="X1926" s="102" t="n"/>
      <c r="Y1926" s="102" t="n"/>
      <c r="Z1926" s="102" t="n"/>
      <c r="AA1926" s="102" t="n"/>
      <c r="AB1926" s="102" t="n"/>
      <c r="AC1926" s="102" t="n"/>
      <c r="AD1926" s="102" t="n"/>
      <c r="AE1926" s="102" t="n"/>
      <c r="AF1926" s="102" t="n"/>
      <c r="AG1926" s="102" t="n"/>
      <c r="AH1926" s="102" t="n"/>
      <c r="AI1926" s="102" t="n"/>
      <c r="AJ1926" s="102" t="n"/>
      <c r="AK1926" s="102" t="n"/>
      <c r="AL1926" s="102" t="n"/>
      <c r="AM1926" s="102" t="n"/>
      <c r="AN1926" s="102" t="n"/>
      <c r="AO1926" s="102" t="n"/>
      <c r="AP1926" s="102" t="n"/>
      <c r="AQ1926" s="102" t="n"/>
      <c r="AR1926" s="102" t="n"/>
    </row>
    <row r="1927">
      <c r="D1927" s="160" t="n"/>
      <c r="E1927" s="160" t="n"/>
      <c r="F1927" s="160" t="n"/>
      <c r="G1927" s="160" t="n"/>
      <c r="H1927" s="160" t="n"/>
      <c r="I1927" s="160" t="n"/>
      <c r="J1927" s="160" t="n"/>
      <c r="K1927" s="160" t="n"/>
      <c r="L1927" s="160" t="n"/>
      <c r="M1927" s="160" t="n"/>
      <c r="N1927" s="160" t="n"/>
      <c r="O1927" s="160" t="n"/>
      <c r="P1927" s="160" t="n"/>
      <c r="Q1927" s="160" t="n"/>
      <c r="R1927" s="160" t="n"/>
      <c r="S1927" s="160" t="n"/>
      <c r="T1927" s="160" t="n"/>
      <c r="U1927" s="160" t="n"/>
      <c r="V1927" s="160" t="n"/>
      <c r="W1927" s="160" t="n"/>
      <c r="X1927" s="160" t="n"/>
      <c r="Y1927" s="160" t="n"/>
      <c r="Z1927" s="160" t="n"/>
      <c r="AA1927" s="160" t="n"/>
      <c r="AB1927" s="160" t="n"/>
      <c r="AC1927" s="160" t="n"/>
      <c r="AD1927" s="160" t="n"/>
      <c r="AE1927" s="160" t="n"/>
      <c r="AF1927" s="160" t="n"/>
      <c r="AG1927" s="160" t="n"/>
      <c r="AH1927" s="160" t="n"/>
      <c r="AI1927" s="160" t="n"/>
      <c r="AJ1927" s="160" t="n"/>
      <c r="AK1927" s="160" t="n"/>
      <c r="AL1927" s="160" t="n"/>
      <c r="AM1927" s="160" t="n"/>
      <c r="AN1927" s="160" t="n"/>
      <c r="AO1927" s="160" t="n"/>
      <c r="AP1927" s="160" t="n"/>
      <c r="AQ1927" s="160" t="n"/>
      <c r="AR1927" s="160" t="n"/>
    </row>
    <row r="1930">
      <c r="A1930" s="2">
        <f>IF($A1923="","","   projections")</f>
        <v/>
      </c>
      <c r="B1930" s="158">
        <f>IF($A1923="",0,COUNT($E1931:$AR1931))</f>
        <v/>
      </c>
      <c r="C1930" s="159">
        <f>IF($B1930=0,0,MAX($E1931:$AR1931))</f>
        <v/>
      </c>
      <c r="D1930" s="101">
        <f>BDS($A1923,FLD_PROJ,"headers=y","startcol=1","endcol=3","dir=h")</f>
        <v/>
      </c>
      <c r="E1930" s="102" t="n"/>
      <c r="F1930" s="102" t="n"/>
      <c r="G1930" s="102" t="n"/>
      <c r="H1930" s="102" t="n"/>
      <c r="I1930" s="102" t="n"/>
      <c r="J1930" s="102" t="n"/>
      <c r="K1930" s="102" t="n"/>
      <c r="L1930" s="102" t="n"/>
      <c r="M1930" s="102" t="n"/>
      <c r="N1930" s="102" t="n"/>
      <c r="O1930" s="102" t="n"/>
      <c r="P1930" s="102" t="n"/>
      <c r="Q1930" s="102" t="n"/>
      <c r="R1930" s="102" t="n"/>
      <c r="S1930" s="102" t="n"/>
      <c r="T1930" s="102" t="n"/>
      <c r="U1930" s="102" t="n"/>
      <c r="V1930" s="102" t="n"/>
      <c r="W1930" s="102" t="n"/>
      <c r="X1930" s="102" t="n"/>
      <c r="Y1930" s="102" t="n"/>
      <c r="Z1930" s="102" t="n"/>
      <c r="AA1930" s="102" t="n"/>
      <c r="AB1930" s="102" t="n"/>
      <c r="AC1930" s="102" t="n"/>
      <c r="AD1930" s="102" t="n"/>
      <c r="AE1930" s="102" t="n"/>
      <c r="AF1930" s="102" t="n"/>
      <c r="AG1930" s="102" t="n"/>
      <c r="AH1930" s="102" t="n"/>
      <c r="AI1930" s="102" t="n"/>
      <c r="AJ1930" s="102" t="n"/>
      <c r="AK1930" s="102" t="n"/>
      <c r="AL1930" s="102" t="n"/>
      <c r="AM1930" s="102" t="n"/>
      <c r="AN1930" s="102" t="n"/>
      <c r="AO1930" s="102" t="n"/>
      <c r="AP1930" s="102" t="n"/>
      <c r="AQ1930" s="102" t="n"/>
      <c r="AR1930" s="102" t="n"/>
    </row>
    <row r="1931">
      <c r="D1931" s="102" t="n"/>
      <c r="E1931" s="102" t="n"/>
      <c r="F1931" s="102" t="n"/>
      <c r="G1931" s="102" t="n"/>
      <c r="H1931" s="102" t="n"/>
      <c r="I1931" s="102" t="n"/>
      <c r="J1931" s="102" t="n"/>
      <c r="K1931" s="102" t="n"/>
      <c r="L1931" s="102" t="n"/>
      <c r="M1931" s="102" t="n"/>
      <c r="N1931" s="102" t="n"/>
      <c r="O1931" s="102" t="n"/>
      <c r="P1931" s="102" t="n"/>
      <c r="Q1931" s="102" t="n"/>
      <c r="R1931" s="102" t="n"/>
      <c r="S1931" s="102" t="n"/>
      <c r="T1931" s="102" t="n"/>
      <c r="U1931" s="102" t="n"/>
      <c r="V1931" s="102" t="n"/>
      <c r="W1931" s="102" t="n"/>
      <c r="X1931" s="102" t="n"/>
      <c r="Y1931" s="102" t="n"/>
      <c r="Z1931" s="102" t="n"/>
      <c r="AA1931" s="102" t="n"/>
      <c r="AB1931" s="102" t="n"/>
      <c r="AC1931" s="102" t="n"/>
      <c r="AD1931" s="102" t="n"/>
      <c r="AE1931" s="102" t="n"/>
      <c r="AF1931" s="102" t="n"/>
      <c r="AG1931" s="102" t="n"/>
      <c r="AH1931" s="102" t="n"/>
      <c r="AI1931" s="102" t="n"/>
      <c r="AJ1931" s="102" t="n"/>
      <c r="AK1931" s="102" t="n"/>
      <c r="AL1931" s="102" t="n"/>
      <c r="AM1931" s="102" t="n"/>
      <c r="AN1931" s="102" t="n"/>
      <c r="AO1931" s="102" t="n"/>
      <c r="AP1931" s="102" t="n"/>
      <c r="AQ1931" s="102" t="n"/>
      <c r="AR1931" s="102" t="n"/>
    </row>
    <row r="1932">
      <c r="D1932" s="160" t="n"/>
      <c r="E1932" s="160" t="n"/>
      <c r="F1932" s="160" t="n"/>
      <c r="G1932" s="160" t="n"/>
      <c r="H1932" s="160" t="n"/>
      <c r="I1932" s="160" t="n"/>
      <c r="J1932" s="160" t="n"/>
      <c r="K1932" s="160" t="n"/>
      <c r="L1932" s="160" t="n"/>
      <c r="M1932" s="160" t="n"/>
      <c r="N1932" s="160" t="n"/>
      <c r="O1932" s="160" t="n"/>
      <c r="P1932" s="160" t="n"/>
      <c r="Q1932" s="160" t="n"/>
      <c r="R1932" s="160" t="n"/>
      <c r="S1932" s="160" t="n"/>
      <c r="T1932" s="160" t="n"/>
      <c r="U1932" s="160" t="n"/>
      <c r="V1932" s="160" t="n"/>
      <c r="W1932" s="160" t="n"/>
      <c r="X1932" s="160" t="n"/>
      <c r="Y1932" s="160" t="n"/>
      <c r="Z1932" s="160" t="n"/>
      <c r="AA1932" s="160" t="n"/>
      <c r="AB1932" s="160" t="n"/>
      <c r="AC1932" s="160" t="n"/>
      <c r="AD1932" s="160" t="n"/>
      <c r="AE1932" s="160" t="n"/>
      <c r="AF1932" s="160" t="n"/>
      <c r="AG1932" s="160" t="n"/>
      <c r="AH1932" s="160" t="n"/>
      <c r="AI1932" s="160" t="n"/>
      <c r="AJ1932" s="160" t="n"/>
      <c r="AK1932" s="160" t="n"/>
      <c r="AL1932" s="160" t="n"/>
      <c r="AM1932" s="160" t="n"/>
      <c r="AN1932" s="160" t="n"/>
      <c r="AO1932" s="160" t="n"/>
      <c r="AP1932" s="160" t="n"/>
      <c r="AQ1932" s="160" t="n"/>
      <c r="AR1932" s="160" t="n"/>
    </row>
    <row r="1934">
      <c r="A1934" s="8">
        <f>IF(HSCEI!$C$41="","",HSCEI!$C$41)</f>
        <v/>
      </c>
      <c r="B1934" s="158">
        <f>IF($A1934="",0,COUNT($E1935:$AR1935))</f>
        <v/>
      </c>
      <c r="C1934" s="159">
        <f>IF($B1934=0,0,MAX($E1935:$AR1935))</f>
        <v/>
      </c>
      <c r="D1934" s="101">
        <f>BDS($A1934,FLD_HIST,"headers=y","startcol=1","endcol=7","dir=h","DVD_START_DT",HIST_FROM,"DVD_END_DT",HIST_TO)</f>
        <v/>
      </c>
      <c r="E1934" s="102" t="n"/>
      <c r="F1934" s="102" t="n"/>
      <c r="G1934" s="102" t="n"/>
      <c r="H1934" s="102" t="n"/>
      <c r="I1934" s="102" t="n"/>
      <c r="J1934" s="102" t="n"/>
      <c r="K1934" s="102" t="n"/>
      <c r="L1934" s="102" t="n"/>
      <c r="M1934" s="102" t="n"/>
      <c r="N1934" s="102" t="n"/>
      <c r="O1934" s="102" t="n"/>
      <c r="P1934" s="102" t="n"/>
      <c r="Q1934" s="102" t="n"/>
      <c r="R1934" s="102" t="n"/>
      <c r="S1934" s="102" t="n"/>
      <c r="T1934" s="102" t="n"/>
      <c r="U1934" s="102" t="n"/>
      <c r="V1934" s="102" t="n"/>
      <c r="W1934" s="102" t="n"/>
      <c r="X1934" s="102" t="n"/>
      <c r="Y1934" s="102" t="n"/>
      <c r="Z1934" s="102" t="n"/>
      <c r="AA1934" s="102" t="n"/>
      <c r="AB1934" s="102" t="n"/>
      <c r="AC1934" s="102" t="n"/>
      <c r="AD1934" s="102" t="n"/>
      <c r="AE1934" s="102" t="n"/>
      <c r="AF1934" s="102" t="n"/>
      <c r="AG1934" s="102" t="n"/>
      <c r="AH1934" s="102" t="n"/>
      <c r="AI1934" s="102" t="n"/>
      <c r="AJ1934" s="102" t="n"/>
      <c r="AK1934" s="102" t="n"/>
      <c r="AL1934" s="102" t="n"/>
      <c r="AM1934" s="102" t="n"/>
      <c r="AN1934" s="102" t="n"/>
      <c r="AO1934" s="102" t="n"/>
      <c r="AP1934" s="102" t="n"/>
      <c r="AQ1934" s="102" t="n"/>
      <c r="AR1934" s="102" t="n"/>
    </row>
    <row r="1935">
      <c r="D1935" s="102" t="n"/>
      <c r="E1935" s="102" t="n"/>
      <c r="F1935" s="102" t="n"/>
      <c r="G1935" s="102" t="n"/>
      <c r="H1935" s="102" t="n"/>
      <c r="I1935" s="102" t="n"/>
      <c r="J1935" s="102" t="n"/>
      <c r="K1935" s="102" t="n"/>
      <c r="L1935" s="102" t="n"/>
      <c r="M1935" s="102" t="n"/>
      <c r="N1935" s="102" t="n"/>
      <c r="O1935" s="102" t="n"/>
      <c r="P1935" s="102" t="n"/>
      <c r="Q1935" s="102" t="n"/>
      <c r="R1935" s="102" t="n"/>
      <c r="S1935" s="102" t="n"/>
      <c r="T1935" s="102" t="n"/>
      <c r="U1935" s="102" t="n"/>
      <c r="V1935" s="102" t="n"/>
      <c r="W1935" s="102" t="n"/>
      <c r="X1935" s="102" t="n"/>
      <c r="Y1935" s="102" t="n"/>
      <c r="Z1935" s="102" t="n"/>
      <c r="AA1935" s="102" t="n"/>
      <c r="AB1935" s="102" t="n"/>
      <c r="AC1935" s="102" t="n"/>
      <c r="AD1935" s="102" t="n"/>
      <c r="AE1935" s="102" t="n"/>
      <c r="AF1935" s="102" t="n"/>
      <c r="AG1935" s="102" t="n"/>
      <c r="AH1935" s="102" t="n"/>
      <c r="AI1935" s="102" t="n"/>
      <c r="AJ1935" s="102" t="n"/>
      <c r="AK1935" s="102" t="n"/>
      <c r="AL1935" s="102" t="n"/>
      <c r="AM1935" s="102" t="n"/>
      <c r="AN1935" s="102" t="n"/>
      <c r="AO1935" s="102" t="n"/>
      <c r="AP1935" s="102" t="n"/>
      <c r="AQ1935" s="102" t="n"/>
      <c r="AR1935" s="102" t="n"/>
    </row>
    <row r="1936">
      <c r="D1936" s="102" t="n"/>
      <c r="E1936" s="102" t="n"/>
      <c r="F1936" s="102" t="n"/>
      <c r="G1936" s="102" t="n"/>
      <c r="H1936" s="102" t="n"/>
      <c r="I1936" s="102" t="n"/>
      <c r="J1936" s="102" t="n"/>
      <c r="K1936" s="102" t="n"/>
      <c r="L1936" s="102" t="n"/>
      <c r="M1936" s="102" t="n"/>
      <c r="N1936" s="102" t="n"/>
      <c r="O1936" s="102" t="n"/>
      <c r="P1936" s="102" t="n"/>
      <c r="Q1936" s="102" t="n"/>
      <c r="R1936" s="102" t="n"/>
      <c r="S1936" s="102" t="n"/>
      <c r="T1936" s="102" t="n"/>
      <c r="U1936" s="102" t="n"/>
      <c r="V1936" s="102" t="n"/>
      <c r="W1936" s="102" t="n"/>
      <c r="X1936" s="102" t="n"/>
      <c r="Y1936" s="102" t="n"/>
      <c r="Z1936" s="102" t="n"/>
      <c r="AA1936" s="102" t="n"/>
      <c r="AB1936" s="102" t="n"/>
      <c r="AC1936" s="102" t="n"/>
      <c r="AD1936" s="102" t="n"/>
      <c r="AE1936" s="102" t="n"/>
      <c r="AF1936" s="102" t="n"/>
      <c r="AG1936" s="102" t="n"/>
      <c r="AH1936" s="102" t="n"/>
      <c r="AI1936" s="102" t="n"/>
      <c r="AJ1936" s="102" t="n"/>
      <c r="AK1936" s="102" t="n"/>
      <c r="AL1936" s="102" t="n"/>
      <c r="AM1936" s="102" t="n"/>
      <c r="AN1936" s="102" t="n"/>
      <c r="AO1936" s="102" t="n"/>
      <c r="AP1936" s="102" t="n"/>
      <c r="AQ1936" s="102" t="n"/>
      <c r="AR1936" s="102" t="n"/>
    </row>
    <row r="1937">
      <c r="D1937" s="102" t="n"/>
      <c r="E1937" s="102" t="n"/>
      <c r="F1937" s="102" t="n"/>
      <c r="G1937" s="102" t="n"/>
      <c r="H1937" s="102" t="n"/>
      <c r="I1937" s="102" t="n"/>
      <c r="J1937" s="102" t="n"/>
      <c r="K1937" s="102" t="n"/>
      <c r="L1937" s="102" t="n"/>
      <c r="M1937" s="102" t="n"/>
      <c r="N1937" s="102" t="n"/>
      <c r="O1937" s="102" t="n"/>
      <c r="P1937" s="102" t="n"/>
      <c r="Q1937" s="102" t="n"/>
      <c r="R1937" s="102" t="n"/>
      <c r="S1937" s="102" t="n"/>
      <c r="T1937" s="102" t="n"/>
      <c r="U1937" s="102" t="n"/>
      <c r="V1937" s="102" t="n"/>
      <c r="W1937" s="102" t="n"/>
      <c r="X1937" s="102" t="n"/>
      <c r="Y1937" s="102" t="n"/>
      <c r="Z1937" s="102" t="n"/>
      <c r="AA1937" s="102" t="n"/>
      <c r="AB1937" s="102" t="n"/>
      <c r="AC1937" s="102" t="n"/>
      <c r="AD1937" s="102" t="n"/>
      <c r="AE1937" s="102" t="n"/>
      <c r="AF1937" s="102" t="n"/>
      <c r="AG1937" s="102" t="n"/>
      <c r="AH1937" s="102" t="n"/>
      <c r="AI1937" s="102" t="n"/>
      <c r="AJ1937" s="102" t="n"/>
      <c r="AK1937" s="102" t="n"/>
      <c r="AL1937" s="102" t="n"/>
      <c r="AM1937" s="102" t="n"/>
      <c r="AN1937" s="102" t="n"/>
      <c r="AO1937" s="102" t="n"/>
      <c r="AP1937" s="102" t="n"/>
      <c r="AQ1937" s="102" t="n"/>
      <c r="AR1937" s="102" t="n"/>
    </row>
    <row r="1938">
      <c r="D1938" s="160" t="n"/>
      <c r="E1938" s="160" t="n"/>
      <c r="F1938" s="160" t="n"/>
      <c r="G1938" s="160" t="n"/>
      <c r="H1938" s="160" t="n"/>
      <c r="I1938" s="160" t="n"/>
      <c r="J1938" s="160" t="n"/>
      <c r="K1938" s="160" t="n"/>
      <c r="L1938" s="160" t="n"/>
      <c r="M1938" s="160" t="n"/>
      <c r="N1938" s="160" t="n"/>
      <c r="O1938" s="160" t="n"/>
      <c r="P1938" s="160" t="n"/>
      <c r="Q1938" s="160" t="n"/>
      <c r="R1938" s="160" t="n"/>
      <c r="S1938" s="160" t="n"/>
      <c r="T1938" s="160" t="n"/>
      <c r="U1938" s="160" t="n"/>
      <c r="V1938" s="160" t="n"/>
      <c r="W1938" s="160" t="n"/>
      <c r="X1938" s="160" t="n"/>
      <c r="Y1938" s="160" t="n"/>
      <c r="Z1938" s="160" t="n"/>
      <c r="AA1938" s="160" t="n"/>
      <c r="AB1938" s="160" t="n"/>
      <c r="AC1938" s="160" t="n"/>
      <c r="AD1938" s="160" t="n"/>
      <c r="AE1938" s="160" t="n"/>
      <c r="AF1938" s="160" t="n"/>
      <c r="AG1938" s="160" t="n"/>
      <c r="AH1938" s="160" t="n"/>
      <c r="AI1938" s="160" t="n"/>
      <c r="AJ1938" s="160" t="n"/>
      <c r="AK1938" s="160" t="n"/>
      <c r="AL1938" s="160" t="n"/>
      <c r="AM1938" s="160" t="n"/>
      <c r="AN1938" s="160" t="n"/>
      <c r="AO1938" s="160" t="n"/>
      <c r="AP1938" s="160" t="n"/>
      <c r="AQ1938" s="160" t="n"/>
      <c r="AR1938" s="160" t="n"/>
    </row>
    <row r="1941">
      <c r="A1941" s="2">
        <f>IF($A1934="","","   projections")</f>
        <v/>
      </c>
      <c r="B1941" s="158">
        <f>IF($A1934="",0,COUNT($E1942:$AR1942))</f>
        <v/>
      </c>
      <c r="C1941" s="159">
        <f>IF($B1941=0,0,MAX($E1942:$AR1942))</f>
        <v/>
      </c>
      <c r="D1941" s="101">
        <f>BDS($A1934,FLD_PROJ,"headers=y","startcol=1","endcol=3","dir=h")</f>
        <v/>
      </c>
      <c r="E1941" s="102" t="n"/>
      <c r="F1941" s="102" t="n"/>
      <c r="G1941" s="102" t="n"/>
      <c r="H1941" s="102" t="n"/>
      <c r="I1941" s="102" t="n"/>
      <c r="J1941" s="102" t="n"/>
      <c r="K1941" s="102" t="n"/>
      <c r="L1941" s="102" t="n"/>
      <c r="M1941" s="102" t="n"/>
      <c r="N1941" s="102" t="n"/>
      <c r="O1941" s="102" t="n"/>
      <c r="P1941" s="102" t="n"/>
      <c r="Q1941" s="102" t="n"/>
      <c r="R1941" s="102" t="n"/>
      <c r="S1941" s="102" t="n"/>
      <c r="T1941" s="102" t="n"/>
      <c r="U1941" s="102" t="n"/>
      <c r="V1941" s="102" t="n"/>
      <c r="W1941" s="102" t="n"/>
      <c r="X1941" s="102" t="n"/>
      <c r="Y1941" s="102" t="n"/>
      <c r="Z1941" s="102" t="n"/>
      <c r="AA1941" s="102" t="n"/>
      <c r="AB1941" s="102" t="n"/>
      <c r="AC1941" s="102" t="n"/>
      <c r="AD1941" s="102" t="n"/>
      <c r="AE1941" s="102" t="n"/>
      <c r="AF1941" s="102" t="n"/>
      <c r="AG1941" s="102" t="n"/>
      <c r="AH1941" s="102" t="n"/>
      <c r="AI1941" s="102" t="n"/>
      <c r="AJ1941" s="102" t="n"/>
      <c r="AK1941" s="102" t="n"/>
      <c r="AL1941" s="102" t="n"/>
      <c r="AM1941" s="102" t="n"/>
      <c r="AN1941" s="102" t="n"/>
      <c r="AO1941" s="102" t="n"/>
      <c r="AP1941" s="102" t="n"/>
      <c r="AQ1941" s="102" t="n"/>
      <c r="AR1941" s="102" t="n"/>
    </row>
    <row r="1942">
      <c r="D1942" s="102" t="n"/>
      <c r="E1942" s="102" t="n"/>
      <c r="F1942" s="102" t="n"/>
      <c r="G1942" s="102" t="n"/>
      <c r="H1942" s="102" t="n"/>
      <c r="I1942" s="102" t="n"/>
      <c r="J1942" s="102" t="n"/>
      <c r="K1942" s="102" t="n"/>
      <c r="L1942" s="102" t="n"/>
      <c r="M1942" s="102" t="n"/>
      <c r="N1942" s="102" t="n"/>
      <c r="O1942" s="102" t="n"/>
      <c r="P1942" s="102" t="n"/>
      <c r="Q1942" s="102" t="n"/>
      <c r="R1942" s="102" t="n"/>
      <c r="S1942" s="102" t="n"/>
      <c r="T1942" s="102" t="n"/>
      <c r="U1942" s="102" t="n"/>
      <c r="V1942" s="102" t="n"/>
      <c r="W1942" s="102" t="n"/>
      <c r="X1942" s="102" t="n"/>
      <c r="Y1942" s="102" t="n"/>
      <c r="Z1942" s="102" t="n"/>
      <c r="AA1942" s="102" t="n"/>
      <c r="AB1942" s="102" t="n"/>
      <c r="AC1942" s="102" t="n"/>
      <c r="AD1942" s="102" t="n"/>
      <c r="AE1942" s="102" t="n"/>
      <c r="AF1942" s="102" t="n"/>
      <c r="AG1942" s="102" t="n"/>
      <c r="AH1942" s="102" t="n"/>
      <c r="AI1942" s="102" t="n"/>
      <c r="AJ1942" s="102" t="n"/>
      <c r="AK1942" s="102" t="n"/>
      <c r="AL1942" s="102" t="n"/>
      <c r="AM1942" s="102" t="n"/>
      <c r="AN1942" s="102" t="n"/>
      <c r="AO1942" s="102" t="n"/>
      <c r="AP1942" s="102" t="n"/>
      <c r="AQ1942" s="102" t="n"/>
      <c r="AR1942" s="102" t="n"/>
    </row>
    <row r="1943">
      <c r="D1943" s="160" t="n"/>
      <c r="E1943" s="160" t="n"/>
      <c r="F1943" s="160" t="n"/>
      <c r="G1943" s="160" t="n"/>
      <c r="H1943" s="160" t="n"/>
      <c r="I1943" s="160" t="n"/>
      <c r="J1943" s="160" t="n"/>
      <c r="K1943" s="160" t="n"/>
      <c r="L1943" s="160" t="n"/>
      <c r="M1943" s="160" t="n"/>
      <c r="N1943" s="160" t="n"/>
      <c r="O1943" s="160" t="n"/>
      <c r="P1943" s="160" t="n"/>
      <c r="Q1943" s="160" t="n"/>
      <c r="R1943" s="160" t="n"/>
      <c r="S1943" s="160" t="n"/>
      <c r="T1943" s="160" t="n"/>
      <c r="U1943" s="160" t="n"/>
      <c r="V1943" s="160" t="n"/>
      <c r="W1943" s="160" t="n"/>
      <c r="X1943" s="160" t="n"/>
      <c r="Y1943" s="160" t="n"/>
      <c r="Z1943" s="160" t="n"/>
      <c r="AA1943" s="160" t="n"/>
      <c r="AB1943" s="160" t="n"/>
      <c r="AC1943" s="160" t="n"/>
      <c r="AD1943" s="160" t="n"/>
      <c r="AE1943" s="160" t="n"/>
      <c r="AF1943" s="160" t="n"/>
      <c r="AG1943" s="160" t="n"/>
      <c r="AH1943" s="160" t="n"/>
      <c r="AI1943" s="160" t="n"/>
      <c r="AJ1943" s="160" t="n"/>
      <c r="AK1943" s="160" t="n"/>
      <c r="AL1943" s="160" t="n"/>
      <c r="AM1943" s="160" t="n"/>
      <c r="AN1943" s="160" t="n"/>
      <c r="AO1943" s="160" t="n"/>
      <c r="AP1943" s="160" t="n"/>
      <c r="AQ1943" s="160" t="n"/>
      <c r="AR1943" s="160" t="n"/>
    </row>
    <row r="1945">
      <c r="A1945" s="8">
        <f>IF(HSCEI!$C$42="","",HSCEI!$C$42)</f>
        <v/>
      </c>
      <c r="B1945" s="158">
        <f>IF($A1945="",0,COUNT($E1946:$AR1946))</f>
        <v/>
      </c>
      <c r="C1945" s="159">
        <f>IF($B1945=0,0,MAX($E1946:$AR1946))</f>
        <v/>
      </c>
      <c r="D1945" s="101">
        <f>BDS($A1945,FLD_HIST,"headers=y","startcol=1","endcol=7","dir=h","DVD_START_DT",HIST_FROM,"DVD_END_DT",HIST_TO)</f>
        <v/>
      </c>
      <c r="E1945" s="102" t="n"/>
      <c r="F1945" s="102" t="n"/>
      <c r="G1945" s="102" t="n"/>
      <c r="H1945" s="102" t="n"/>
      <c r="I1945" s="102" t="n"/>
      <c r="J1945" s="102" t="n"/>
      <c r="K1945" s="102" t="n"/>
      <c r="L1945" s="102" t="n"/>
      <c r="M1945" s="102" t="n"/>
      <c r="N1945" s="102" t="n"/>
      <c r="O1945" s="102" t="n"/>
      <c r="P1945" s="102" t="n"/>
      <c r="Q1945" s="102" t="n"/>
      <c r="R1945" s="102" t="n"/>
      <c r="S1945" s="102" t="n"/>
      <c r="T1945" s="102" t="n"/>
      <c r="U1945" s="102" t="n"/>
      <c r="V1945" s="102" t="n"/>
      <c r="W1945" s="102" t="n"/>
      <c r="X1945" s="102" t="n"/>
      <c r="Y1945" s="102" t="n"/>
      <c r="Z1945" s="102" t="n"/>
      <c r="AA1945" s="102" t="n"/>
      <c r="AB1945" s="102" t="n"/>
      <c r="AC1945" s="102" t="n"/>
      <c r="AD1945" s="102" t="n"/>
      <c r="AE1945" s="102" t="n"/>
      <c r="AF1945" s="102" t="n"/>
      <c r="AG1945" s="102" t="n"/>
      <c r="AH1945" s="102" t="n"/>
      <c r="AI1945" s="102" t="n"/>
      <c r="AJ1945" s="102" t="n"/>
      <c r="AK1945" s="102" t="n"/>
      <c r="AL1945" s="102" t="n"/>
      <c r="AM1945" s="102" t="n"/>
      <c r="AN1945" s="102" t="n"/>
      <c r="AO1945" s="102" t="n"/>
      <c r="AP1945" s="102" t="n"/>
      <c r="AQ1945" s="102" t="n"/>
      <c r="AR1945" s="102" t="n"/>
    </row>
    <row r="1946">
      <c r="D1946" s="102" t="n"/>
      <c r="E1946" s="102" t="n"/>
      <c r="F1946" s="102" t="n"/>
      <c r="G1946" s="102" t="n"/>
      <c r="H1946" s="102" t="n"/>
      <c r="I1946" s="102" t="n"/>
      <c r="J1946" s="102" t="n"/>
      <c r="K1946" s="102" t="n"/>
      <c r="L1946" s="102" t="n"/>
      <c r="M1946" s="102" t="n"/>
      <c r="N1946" s="102" t="n"/>
      <c r="O1946" s="102" t="n"/>
      <c r="P1946" s="102" t="n"/>
      <c r="Q1946" s="102" t="n"/>
      <c r="R1946" s="102" t="n"/>
      <c r="S1946" s="102" t="n"/>
      <c r="T1946" s="102" t="n"/>
      <c r="U1946" s="102" t="n"/>
      <c r="V1946" s="102" t="n"/>
      <c r="W1946" s="102" t="n"/>
      <c r="X1946" s="102" t="n"/>
      <c r="Y1946" s="102" t="n"/>
      <c r="Z1946" s="102" t="n"/>
      <c r="AA1946" s="102" t="n"/>
      <c r="AB1946" s="102" t="n"/>
      <c r="AC1946" s="102" t="n"/>
      <c r="AD1946" s="102" t="n"/>
      <c r="AE1946" s="102" t="n"/>
      <c r="AF1946" s="102" t="n"/>
      <c r="AG1946" s="102" t="n"/>
      <c r="AH1946" s="102" t="n"/>
      <c r="AI1946" s="102" t="n"/>
      <c r="AJ1946" s="102" t="n"/>
      <c r="AK1946" s="102" t="n"/>
      <c r="AL1946" s="102" t="n"/>
      <c r="AM1946" s="102" t="n"/>
      <c r="AN1946" s="102" t="n"/>
      <c r="AO1946" s="102" t="n"/>
      <c r="AP1946" s="102" t="n"/>
      <c r="AQ1946" s="102" t="n"/>
      <c r="AR1946" s="102" t="n"/>
    </row>
    <row r="1947">
      <c r="D1947" s="102" t="n"/>
      <c r="E1947" s="102" t="n"/>
      <c r="F1947" s="102" t="n"/>
      <c r="G1947" s="102" t="n"/>
      <c r="H1947" s="102" t="n"/>
      <c r="I1947" s="102" t="n"/>
      <c r="J1947" s="102" t="n"/>
      <c r="K1947" s="102" t="n"/>
      <c r="L1947" s="102" t="n"/>
      <c r="M1947" s="102" t="n"/>
      <c r="N1947" s="102" t="n"/>
      <c r="O1947" s="102" t="n"/>
      <c r="P1947" s="102" t="n"/>
      <c r="Q1947" s="102" t="n"/>
      <c r="R1947" s="102" t="n"/>
      <c r="S1947" s="102" t="n"/>
      <c r="T1947" s="102" t="n"/>
      <c r="U1947" s="102" t="n"/>
      <c r="V1947" s="102" t="n"/>
      <c r="W1947" s="102" t="n"/>
      <c r="X1947" s="102" t="n"/>
      <c r="Y1947" s="102" t="n"/>
      <c r="Z1947" s="102" t="n"/>
      <c r="AA1947" s="102" t="n"/>
      <c r="AB1947" s="102" t="n"/>
      <c r="AC1947" s="102" t="n"/>
      <c r="AD1947" s="102" t="n"/>
      <c r="AE1947" s="102" t="n"/>
      <c r="AF1947" s="102" t="n"/>
      <c r="AG1947" s="102" t="n"/>
      <c r="AH1947" s="102" t="n"/>
      <c r="AI1947" s="102" t="n"/>
      <c r="AJ1947" s="102" t="n"/>
      <c r="AK1947" s="102" t="n"/>
      <c r="AL1947" s="102" t="n"/>
      <c r="AM1947" s="102" t="n"/>
      <c r="AN1947" s="102" t="n"/>
      <c r="AO1947" s="102" t="n"/>
      <c r="AP1947" s="102" t="n"/>
      <c r="AQ1947" s="102" t="n"/>
      <c r="AR1947" s="102" t="n"/>
    </row>
    <row r="1948">
      <c r="D1948" s="102" t="n"/>
      <c r="E1948" s="102" t="n"/>
      <c r="F1948" s="102" t="n"/>
      <c r="G1948" s="102" t="n"/>
      <c r="H1948" s="102" t="n"/>
      <c r="I1948" s="102" t="n"/>
      <c r="J1948" s="102" t="n"/>
      <c r="K1948" s="102" t="n"/>
      <c r="L1948" s="102" t="n"/>
      <c r="M1948" s="102" t="n"/>
      <c r="N1948" s="102" t="n"/>
      <c r="O1948" s="102" t="n"/>
      <c r="P1948" s="102" t="n"/>
      <c r="Q1948" s="102" t="n"/>
      <c r="R1948" s="102" t="n"/>
      <c r="S1948" s="102" t="n"/>
      <c r="T1948" s="102" t="n"/>
      <c r="U1948" s="102" t="n"/>
      <c r="V1948" s="102" t="n"/>
      <c r="W1948" s="102" t="n"/>
      <c r="X1948" s="102" t="n"/>
      <c r="Y1948" s="102" t="n"/>
      <c r="Z1948" s="102" t="n"/>
      <c r="AA1948" s="102" t="n"/>
      <c r="AB1948" s="102" t="n"/>
      <c r="AC1948" s="102" t="n"/>
      <c r="AD1948" s="102" t="n"/>
      <c r="AE1948" s="102" t="n"/>
      <c r="AF1948" s="102" t="n"/>
      <c r="AG1948" s="102" t="n"/>
      <c r="AH1948" s="102" t="n"/>
      <c r="AI1948" s="102" t="n"/>
      <c r="AJ1948" s="102" t="n"/>
      <c r="AK1948" s="102" t="n"/>
      <c r="AL1948" s="102" t="n"/>
      <c r="AM1948" s="102" t="n"/>
      <c r="AN1948" s="102" t="n"/>
      <c r="AO1948" s="102" t="n"/>
      <c r="AP1948" s="102" t="n"/>
      <c r="AQ1948" s="102" t="n"/>
      <c r="AR1948" s="102" t="n"/>
    </row>
    <row r="1949">
      <c r="D1949" s="160" t="n"/>
      <c r="E1949" s="160" t="n"/>
      <c r="F1949" s="160" t="n"/>
      <c r="G1949" s="160" t="n"/>
      <c r="H1949" s="160" t="n"/>
      <c r="I1949" s="160" t="n"/>
      <c r="J1949" s="160" t="n"/>
      <c r="K1949" s="160" t="n"/>
      <c r="L1949" s="160" t="n"/>
      <c r="M1949" s="160" t="n"/>
      <c r="N1949" s="160" t="n"/>
      <c r="O1949" s="160" t="n"/>
      <c r="P1949" s="160" t="n"/>
      <c r="Q1949" s="160" t="n"/>
      <c r="R1949" s="160" t="n"/>
      <c r="S1949" s="160" t="n"/>
      <c r="T1949" s="160" t="n"/>
      <c r="U1949" s="160" t="n"/>
      <c r="V1949" s="160" t="n"/>
      <c r="W1949" s="160" t="n"/>
      <c r="X1949" s="160" t="n"/>
      <c r="Y1949" s="160" t="n"/>
      <c r="Z1949" s="160" t="n"/>
      <c r="AA1949" s="160" t="n"/>
      <c r="AB1949" s="160" t="n"/>
      <c r="AC1949" s="160" t="n"/>
      <c r="AD1949" s="160" t="n"/>
      <c r="AE1949" s="160" t="n"/>
      <c r="AF1949" s="160" t="n"/>
      <c r="AG1949" s="160" t="n"/>
      <c r="AH1949" s="160" t="n"/>
      <c r="AI1949" s="160" t="n"/>
      <c r="AJ1949" s="160" t="n"/>
      <c r="AK1949" s="160" t="n"/>
      <c r="AL1949" s="160" t="n"/>
      <c r="AM1949" s="160" t="n"/>
      <c r="AN1949" s="160" t="n"/>
      <c r="AO1949" s="160" t="n"/>
      <c r="AP1949" s="160" t="n"/>
      <c r="AQ1949" s="160" t="n"/>
      <c r="AR1949" s="160" t="n"/>
    </row>
    <row r="1952">
      <c r="A1952" s="2">
        <f>IF($A1945="","","   projections")</f>
        <v/>
      </c>
      <c r="B1952" s="158">
        <f>IF($A1945="",0,COUNT($E1953:$AR1953))</f>
        <v/>
      </c>
      <c r="C1952" s="159">
        <f>IF($B1952=0,0,MAX($E1953:$AR1953))</f>
        <v/>
      </c>
      <c r="D1952" s="101">
        <f>BDS($A1945,FLD_PROJ,"headers=y","startcol=1","endcol=3","dir=h")</f>
        <v/>
      </c>
      <c r="E1952" s="102" t="n"/>
      <c r="F1952" s="102" t="n"/>
      <c r="G1952" s="102" t="n"/>
      <c r="H1952" s="102" t="n"/>
      <c r="I1952" s="102" t="n"/>
      <c r="J1952" s="102" t="n"/>
      <c r="K1952" s="102" t="n"/>
      <c r="L1952" s="102" t="n"/>
      <c r="M1952" s="102" t="n"/>
      <c r="N1952" s="102" t="n"/>
      <c r="O1952" s="102" t="n"/>
      <c r="P1952" s="102" t="n"/>
      <c r="Q1952" s="102" t="n"/>
      <c r="R1952" s="102" t="n"/>
      <c r="S1952" s="102" t="n"/>
      <c r="T1952" s="102" t="n"/>
      <c r="U1952" s="102" t="n"/>
      <c r="V1952" s="102" t="n"/>
      <c r="W1952" s="102" t="n"/>
      <c r="X1952" s="102" t="n"/>
      <c r="Y1952" s="102" t="n"/>
      <c r="Z1952" s="102" t="n"/>
      <c r="AA1952" s="102" t="n"/>
      <c r="AB1952" s="102" t="n"/>
      <c r="AC1952" s="102" t="n"/>
      <c r="AD1952" s="102" t="n"/>
      <c r="AE1952" s="102" t="n"/>
      <c r="AF1952" s="102" t="n"/>
      <c r="AG1952" s="102" t="n"/>
      <c r="AH1952" s="102" t="n"/>
      <c r="AI1952" s="102" t="n"/>
      <c r="AJ1952" s="102" t="n"/>
      <c r="AK1952" s="102" t="n"/>
      <c r="AL1952" s="102" t="n"/>
      <c r="AM1952" s="102" t="n"/>
      <c r="AN1952" s="102" t="n"/>
      <c r="AO1952" s="102" t="n"/>
      <c r="AP1952" s="102" t="n"/>
      <c r="AQ1952" s="102" t="n"/>
      <c r="AR1952" s="102" t="n"/>
    </row>
    <row r="1953">
      <c r="D1953" s="102" t="n"/>
      <c r="E1953" s="102" t="n"/>
      <c r="F1953" s="102" t="n"/>
      <c r="G1953" s="102" t="n"/>
      <c r="H1953" s="102" t="n"/>
      <c r="I1953" s="102" t="n"/>
      <c r="J1953" s="102" t="n"/>
      <c r="K1953" s="102" t="n"/>
      <c r="L1953" s="102" t="n"/>
      <c r="M1953" s="102" t="n"/>
      <c r="N1953" s="102" t="n"/>
      <c r="O1953" s="102" t="n"/>
      <c r="P1953" s="102" t="n"/>
      <c r="Q1953" s="102" t="n"/>
      <c r="R1953" s="102" t="n"/>
      <c r="S1953" s="102" t="n"/>
      <c r="T1953" s="102" t="n"/>
      <c r="U1953" s="102" t="n"/>
      <c r="V1953" s="102" t="n"/>
      <c r="W1953" s="102" t="n"/>
      <c r="X1953" s="102" t="n"/>
      <c r="Y1953" s="102" t="n"/>
      <c r="Z1953" s="102" t="n"/>
      <c r="AA1953" s="102" t="n"/>
      <c r="AB1953" s="102" t="n"/>
      <c r="AC1953" s="102" t="n"/>
      <c r="AD1953" s="102" t="n"/>
      <c r="AE1953" s="102" t="n"/>
      <c r="AF1953" s="102" t="n"/>
      <c r="AG1953" s="102" t="n"/>
      <c r="AH1953" s="102" t="n"/>
      <c r="AI1953" s="102" t="n"/>
      <c r="AJ1953" s="102" t="n"/>
      <c r="AK1953" s="102" t="n"/>
      <c r="AL1953" s="102" t="n"/>
      <c r="AM1953" s="102" t="n"/>
      <c r="AN1953" s="102" t="n"/>
      <c r="AO1953" s="102" t="n"/>
      <c r="AP1953" s="102" t="n"/>
      <c r="AQ1953" s="102" t="n"/>
      <c r="AR1953" s="102" t="n"/>
    </row>
    <row r="1954">
      <c r="D1954" s="160" t="n"/>
      <c r="E1954" s="160" t="n"/>
      <c r="F1954" s="160" t="n"/>
      <c r="G1954" s="160" t="n"/>
      <c r="H1954" s="160" t="n"/>
      <c r="I1954" s="160" t="n"/>
      <c r="J1954" s="160" t="n"/>
      <c r="K1954" s="160" t="n"/>
      <c r="L1954" s="160" t="n"/>
      <c r="M1954" s="160" t="n"/>
      <c r="N1954" s="160" t="n"/>
      <c r="O1954" s="160" t="n"/>
      <c r="P1954" s="160" t="n"/>
      <c r="Q1954" s="160" t="n"/>
      <c r="R1954" s="160" t="n"/>
      <c r="S1954" s="160" t="n"/>
      <c r="T1954" s="160" t="n"/>
      <c r="U1954" s="160" t="n"/>
      <c r="V1954" s="160" t="n"/>
      <c r="W1954" s="160" t="n"/>
      <c r="X1954" s="160" t="n"/>
      <c r="Y1954" s="160" t="n"/>
      <c r="Z1954" s="160" t="n"/>
      <c r="AA1954" s="160" t="n"/>
      <c r="AB1954" s="160" t="n"/>
      <c r="AC1954" s="160" t="n"/>
      <c r="AD1954" s="160" t="n"/>
      <c r="AE1954" s="160" t="n"/>
      <c r="AF1954" s="160" t="n"/>
      <c r="AG1954" s="160" t="n"/>
      <c r="AH1954" s="160" t="n"/>
      <c r="AI1954" s="160" t="n"/>
      <c r="AJ1954" s="160" t="n"/>
      <c r="AK1954" s="160" t="n"/>
      <c r="AL1954" s="160" t="n"/>
      <c r="AM1954" s="160" t="n"/>
      <c r="AN1954" s="160" t="n"/>
      <c r="AO1954" s="160" t="n"/>
      <c r="AP1954" s="160" t="n"/>
      <c r="AQ1954" s="160" t="n"/>
      <c r="AR1954" s="160" t="n"/>
    </row>
    <row r="1956">
      <c r="A1956" s="8">
        <f>IF(HSCEI!$C$43="","",HSCEI!$C$43)</f>
        <v/>
      </c>
      <c r="B1956" s="158">
        <f>IF($A1956="",0,COUNT($E1957:$AR1957))</f>
        <v/>
      </c>
      <c r="C1956" s="159">
        <f>IF($B1956=0,0,MAX($E1957:$AR1957))</f>
        <v/>
      </c>
      <c r="D1956" s="101">
        <f>BDS($A1956,FLD_HIST,"headers=y","startcol=1","endcol=7","dir=h","DVD_START_DT",HIST_FROM,"DVD_END_DT",HIST_TO)</f>
        <v/>
      </c>
      <c r="E1956" s="102" t="n"/>
      <c r="F1956" s="102" t="n"/>
      <c r="G1956" s="102" t="n"/>
      <c r="H1956" s="102" t="n"/>
      <c r="I1956" s="102" t="n"/>
      <c r="J1956" s="102" t="n"/>
      <c r="K1956" s="102" t="n"/>
      <c r="L1956" s="102" t="n"/>
      <c r="M1956" s="102" t="n"/>
      <c r="N1956" s="102" t="n"/>
      <c r="O1956" s="102" t="n"/>
      <c r="P1956" s="102" t="n"/>
      <c r="Q1956" s="102" t="n"/>
      <c r="R1956" s="102" t="n"/>
      <c r="S1956" s="102" t="n"/>
      <c r="T1956" s="102" t="n"/>
      <c r="U1956" s="102" t="n"/>
      <c r="V1956" s="102" t="n"/>
      <c r="W1956" s="102" t="n"/>
      <c r="X1956" s="102" t="n"/>
      <c r="Y1956" s="102" t="n"/>
      <c r="Z1956" s="102" t="n"/>
      <c r="AA1956" s="102" t="n"/>
      <c r="AB1956" s="102" t="n"/>
      <c r="AC1956" s="102" t="n"/>
      <c r="AD1956" s="102" t="n"/>
      <c r="AE1956" s="102" t="n"/>
      <c r="AF1956" s="102" t="n"/>
      <c r="AG1956" s="102" t="n"/>
      <c r="AH1956" s="102" t="n"/>
      <c r="AI1956" s="102" t="n"/>
      <c r="AJ1956" s="102" t="n"/>
      <c r="AK1956" s="102" t="n"/>
      <c r="AL1956" s="102" t="n"/>
      <c r="AM1956" s="102" t="n"/>
      <c r="AN1956" s="102" t="n"/>
      <c r="AO1956" s="102" t="n"/>
      <c r="AP1956" s="102" t="n"/>
      <c r="AQ1956" s="102" t="n"/>
      <c r="AR1956" s="102" t="n"/>
    </row>
    <row r="1957">
      <c r="D1957" s="102" t="n"/>
      <c r="E1957" s="102" t="n"/>
      <c r="F1957" s="102" t="n"/>
      <c r="G1957" s="102" t="n"/>
      <c r="H1957" s="102" t="n"/>
      <c r="I1957" s="102" t="n"/>
      <c r="J1957" s="102" t="n"/>
      <c r="K1957" s="102" t="n"/>
      <c r="L1957" s="102" t="n"/>
      <c r="M1957" s="102" t="n"/>
      <c r="N1957" s="102" t="n"/>
      <c r="O1957" s="102" t="n"/>
      <c r="P1957" s="102" t="n"/>
      <c r="Q1957" s="102" t="n"/>
      <c r="R1957" s="102" t="n"/>
      <c r="S1957" s="102" t="n"/>
      <c r="T1957" s="102" t="n"/>
      <c r="U1957" s="102" t="n"/>
      <c r="V1957" s="102" t="n"/>
      <c r="W1957" s="102" t="n"/>
      <c r="X1957" s="102" t="n"/>
      <c r="Y1957" s="102" t="n"/>
      <c r="Z1957" s="102" t="n"/>
      <c r="AA1957" s="102" t="n"/>
      <c r="AB1957" s="102" t="n"/>
      <c r="AC1957" s="102" t="n"/>
      <c r="AD1957" s="102" t="n"/>
      <c r="AE1957" s="102" t="n"/>
      <c r="AF1957" s="102" t="n"/>
      <c r="AG1957" s="102" t="n"/>
      <c r="AH1957" s="102" t="n"/>
      <c r="AI1957" s="102" t="n"/>
      <c r="AJ1957" s="102" t="n"/>
      <c r="AK1957" s="102" t="n"/>
      <c r="AL1957" s="102" t="n"/>
      <c r="AM1957" s="102" t="n"/>
      <c r="AN1957" s="102" t="n"/>
      <c r="AO1957" s="102" t="n"/>
      <c r="AP1957" s="102" t="n"/>
      <c r="AQ1957" s="102" t="n"/>
      <c r="AR1957" s="102" t="n"/>
    </row>
    <row r="1958">
      <c r="D1958" s="102" t="n"/>
      <c r="E1958" s="102" t="n"/>
      <c r="F1958" s="102" t="n"/>
      <c r="G1958" s="102" t="n"/>
      <c r="H1958" s="102" t="n"/>
      <c r="I1958" s="102" t="n"/>
      <c r="J1958" s="102" t="n"/>
      <c r="K1958" s="102" t="n"/>
      <c r="L1958" s="102" t="n"/>
      <c r="M1958" s="102" t="n"/>
      <c r="N1958" s="102" t="n"/>
      <c r="O1958" s="102" t="n"/>
      <c r="P1958" s="102" t="n"/>
      <c r="Q1958" s="102" t="n"/>
      <c r="R1958" s="102" t="n"/>
      <c r="S1958" s="102" t="n"/>
      <c r="T1958" s="102" t="n"/>
      <c r="U1958" s="102" t="n"/>
      <c r="V1958" s="102" t="n"/>
      <c r="W1958" s="102" t="n"/>
      <c r="X1958" s="102" t="n"/>
      <c r="Y1958" s="102" t="n"/>
      <c r="Z1958" s="102" t="n"/>
      <c r="AA1958" s="102" t="n"/>
      <c r="AB1958" s="102" t="n"/>
      <c r="AC1958" s="102" t="n"/>
      <c r="AD1958" s="102" t="n"/>
      <c r="AE1958" s="102" t="n"/>
      <c r="AF1958" s="102" t="n"/>
      <c r="AG1958" s="102" t="n"/>
      <c r="AH1958" s="102" t="n"/>
      <c r="AI1958" s="102" t="n"/>
      <c r="AJ1958" s="102" t="n"/>
      <c r="AK1958" s="102" t="n"/>
      <c r="AL1958" s="102" t="n"/>
      <c r="AM1958" s="102" t="n"/>
      <c r="AN1958" s="102" t="n"/>
      <c r="AO1958" s="102" t="n"/>
      <c r="AP1958" s="102" t="n"/>
      <c r="AQ1958" s="102" t="n"/>
      <c r="AR1958" s="102" t="n"/>
    </row>
    <row r="1959">
      <c r="D1959" s="102" t="n"/>
      <c r="E1959" s="102" t="n"/>
      <c r="F1959" s="102" t="n"/>
      <c r="G1959" s="102" t="n"/>
      <c r="H1959" s="102" t="n"/>
      <c r="I1959" s="102" t="n"/>
      <c r="J1959" s="102" t="n"/>
      <c r="K1959" s="102" t="n"/>
      <c r="L1959" s="102" t="n"/>
      <c r="M1959" s="102" t="n"/>
      <c r="N1959" s="102" t="n"/>
      <c r="O1959" s="102" t="n"/>
      <c r="P1959" s="102" t="n"/>
      <c r="Q1959" s="102" t="n"/>
      <c r="R1959" s="102" t="n"/>
      <c r="S1959" s="102" t="n"/>
      <c r="T1959" s="102" t="n"/>
      <c r="U1959" s="102" t="n"/>
      <c r="V1959" s="102" t="n"/>
      <c r="W1959" s="102" t="n"/>
      <c r="X1959" s="102" t="n"/>
      <c r="Y1959" s="102" t="n"/>
      <c r="Z1959" s="102" t="n"/>
      <c r="AA1959" s="102" t="n"/>
      <c r="AB1959" s="102" t="n"/>
      <c r="AC1959" s="102" t="n"/>
      <c r="AD1959" s="102" t="n"/>
      <c r="AE1959" s="102" t="n"/>
      <c r="AF1959" s="102" t="n"/>
      <c r="AG1959" s="102" t="n"/>
      <c r="AH1959" s="102" t="n"/>
      <c r="AI1959" s="102" t="n"/>
      <c r="AJ1959" s="102" t="n"/>
      <c r="AK1959" s="102" t="n"/>
      <c r="AL1959" s="102" t="n"/>
      <c r="AM1959" s="102" t="n"/>
      <c r="AN1959" s="102" t="n"/>
      <c r="AO1959" s="102" t="n"/>
      <c r="AP1959" s="102" t="n"/>
      <c r="AQ1959" s="102" t="n"/>
      <c r="AR1959" s="102" t="n"/>
    </row>
    <row r="1960">
      <c r="D1960" s="160" t="n"/>
      <c r="E1960" s="160" t="n"/>
      <c r="F1960" s="160" t="n"/>
      <c r="G1960" s="160" t="n"/>
      <c r="H1960" s="160" t="n"/>
      <c r="I1960" s="160" t="n"/>
      <c r="J1960" s="160" t="n"/>
      <c r="K1960" s="160" t="n"/>
      <c r="L1960" s="160" t="n"/>
      <c r="M1960" s="160" t="n"/>
      <c r="N1960" s="160" t="n"/>
      <c r="O1960" s="160" t="n"/>
      <c r="P1960" s="160" t="n"/>
      <c r="Q1960" s="160" t="n"/>
      <c r="R1960" s="160" t="n"/>
      <c r="S1960" s="160" t="n"/>
      <c r="T1960" s="160" t="n"/>
      <c r="U1960" s="160" t="n"/>
      <c r="V1960" s="160" t="n"/>
      <c r="W1960" s="160" t="n"/>
      <c r="X1960" s="160" t="n"/>
      <c r="Y1960" s="160" t="n"/>
      <c r="Z1960" s="160" t="n"/>
      <c r="AA1960" s="160" t="n"/>
      <c r="AB1960" s="160" t="n"/>
      <c r="AC1960" s="160" t="n"/>
      <c r="AD1960" s="160" t="n"/>
      <c r="AE1960" s="160" t="n"/>
      <c r="AF1960" s="160" t="n"/>
      <c r="AG1960" s="160" t="n"/>
      <c r="AH1960" s="160" t="n"/>
      <c r="AI1960" s="160" t="n"/>
      <c r="AJ1960" s="160" t="n"/>
      <c r="AK1960" s="160" t="n"/>
      <c r="AL1960" s="160" t="n"/>
      <c r="AM1960" s="160" t="n"/>
      <c r="AN1960" s="160" t="n"/>
      <c r="AO1960" s="160" t="n"/>
      <c r="AP1960" s="160" t="n"/>
      <c r="AQ1960" s="160" t="n"/>
      <c r="AR1960" s="160" t="n"/>
    </row>
    <row r="1963">
      <c r="A1963" s="2">
        <f>IF($A1956="","","   projections")</f>
        <v/>
      </c>
      <c r="B1963" s="158">
        <f>IF($A1956="",0,COUNT($E1964:$AR1964))</f>
        <v/>
      </c>
      <c r="C1963" s="159">
        <f>IF($B1963=0,0,MAX($E1964:$AR1964))</f>
        <v/>
      </c>
      <c r="D1963" s="101">
        <f>BDS($A1956,FLD_PROJ,"headers=y","startcol=1","endcol=3","dir=h")</f>
        <v/>
      </c>
      <c r="E1963" s="102" t="n"/>
      <c r="F1963" s="102" t="n"/>
      <c r="G1963" s="102" t="n"/>
      <c r="H1963" s="102" t="n"/>
      <c r="I1963" s="102" t="n"/>
      <c r="J1963" s="102" t="n"/>
      <c r="K1963" s="102" t="n"/>
      <c r="L1963" s="102" t="n"/>
      <c r="M1963" s="102" t="n"/>
      <c r="N1963" s="102" t="n"/>
      <c r="O1963" s="102" t="n"/>
      <c r="P1963" s="102" t="n"/>
      <c r="Q1963" s="102" t="n"/>
      <c r="R1963" s="102" t="n"/>
      <c r="S1963" s="102" t="n"/>
      <c r="T1963" s="102" t="n"/>
      <c r="U1963" s="102" t="n"/>
      <c r="V1963" s="102" t="n"/>
      <c r="W1963" s="102" t="n"/>
      <c r="X1963" s="102" t="n"/>
      <c r="Y1963" s="102" t="n"/>
      <c r="Z1963" s="102" t="n"/>
      <c r="AA1963" s="102" t="n"/>
      <c r="AB1963" s="102" t="n"/>
      <c r="AC1963" s="102" t="n"/>
      <c r="AD1963" s="102" t="n"/>
      <c r="AE1963" s="102" t="n"/>
      <c r="AF1963" s="102" t="n"/>
      <c r="AG1963" s="102" t="n"/>
      <c r="AH1963" s="102" t="n"/>
      <c r="AI1963" s="102" t="n"/>
      <c r="AJ1963" s="102" t="n"/>
      <c r="AK1963" s="102" t="n"/>
      <c r="AL1963" s="102" t="n"/>
      <c r="AM1963" s="102" t="n"/>
      <c r="AN1963" s="102" t="n"/>
      <c r="AO1963" s="102" t="n"/>
      <c r="AP1963" s="102" t="n"/>
      <c r="AQ1963" s="102" t="n"/>
      <c r="AR1963" s="102" t="n"/>
    </row>
    <row r="1964">
      <c r="D1964" s="102" t="n"/>
      <c r="E1964" s="102" t="n"/>
      <c r="F1964" s="102" t="n"/>
      <c r="G1964" s="102" t="n"/>
      <c r="H1964" s="102" t="n"/>
      <c r="I1964" s="102" t="n"/>
      <c r="J1964" s="102" t="n"/>
      <c r="K1964" s="102" t="n"/>
      <c r="L1964" s="102" t="n"/>
      <c r="M1964" s="102" t="n"/>
      <c r="N1964" s="102" t="n"/>
      <c r="O1964" s="102" t="n"/>
      <c r="P1964" s="102" t="n"/>
      <c r="Q1964" s="102" t="n"/>
      <c r="R1964" s="102" t="n"/>
      <c r="S1964" s="102" t="n"/>
      <c r="T1964" s="102" t="n"/>
      <c r="U1964" s="102" t="n"/>
      <c r="V1964" s="102" t="n"/>
      <c r="W1964" s="102" t="n"/>
      <c r="X1964" s="102" t="n"/>
      <c r="Y1964" s="102" t="n"/>
      <c r="Z1964" s="102" t="n"/>
      <c r="AA1964" s="102" t="n"/>
      <c r="AB1964" s="102" t="n"/>
      <c r="AC1964" s="102" t="n"/>
      <c r="AD1964" s="102" t="n"/>
      <c r="AE1964" s="102" t="n"/>
      <c r="AF1964" s="102" t="n"/>
      <c r="AG1964" s="102" t="n"/>
      <c r="AH1964" s="102" t="n"/>
      <c r="AI1964" s="102" t="n"/>
      <c r="AJ1964" s="102" t="n"/>
      <c r="AK1964" s="102" t="n"/>
      <c r="AL1964" s="102" t="n"/>
      <c r="AM1964" s="102" t="n"/>
      <c r="AN1964" s="102" t="n"/>
      <c r="AO1964" s="102" t="n"/>
      <c r="AP1964" s="102" t="n"/>
      <c r="AQ1964" s="102" t="n"/>
      <c r="AR1964" s="102" t="n"/>
    </row>
    <row r="1965">
      <c r="D1965" s="160" t="n"/>
      <c r="E1965" s="160" t="n"/>
      <c r="F1965" s="160" t="n"/>
      <c r="G1965" s="160" t="n"/>
      <c r="H1965" s="160" t="n"/>
      <c r="I1965" s="160" t="n"/>
      <c r="J1965" s="160" t="n"/>
      <c r="K1965" s="160" t="n"/>
      <c r="L1965" s="160" t="n"/>
      <c r="M1965" s="160" t="n"/>
      <c r="N1965" s="160" t="n"/>
      <c r="O1965" s="160" t="n"/>
      <c r="P1965" s="160" t="n"/>
      <c r="Q1965" s="160" t="n"/>
      <c r="R1965" s="160" t="n"/>
      <c r="S1965" s="160" t="n"/>
      <c r="T1965" s="160" t="n"/>
      <c r="U1965" s="160" t="n"/>
      <c r="V1965" s="160" t="n"/>
      <c r="W1965" s="160" t="n"/>
      <c r="X1965" s="160" t="n"/>
      <c r="Y1965" s="160" t="n"/>
      <c r="Z1965" s="160" t="n"/>
      <c r="AA1965" s="160" t="n"/>
      <c r="AB1965" s="160" t="n"/>
      <c r="AC1965" s="160" t="n"/>
      <c r="AD1965" s="160" t="n"/>
      <c r="AE1965" s="160" t="n"/>
      <c r="AF1965" s="160" t="n"/>
      <c r="AG1965" s="160" t="n"/>
      <c r="AH1965" s="160" t="n"/>
      <c r="AI1965" s="160" t="n"/>
      <c r="AJ1965" s="160" t="n"/>
      <c r="AK1965" s="160" t="n"/>
      <c r="AL1965" s="160" t="n"/>
      <c r="AM1965" s="160" t="n"/>
      <c r="AN1965" s="160" t="n"/>
      <c r="AO1965" s="160" t="n"/>
      <c r="AP1965" s="160" t="n"/>
      <c r="AQ1965" s="160" t="n"/>
      <c r="AR1965" s="160" t="n"/>
    </row>
    <row r="1967">
      <c r="A1967" s="8">
        <f>IF(HSCEI!$C$44="","",HSCEI!$C$44)</f>
        <v/>
      </c>
      <c r="B1967" s="158">
        <f>IF($A1967="",0,COUNT($E1968:$AR1968))</f>
        <v/>
      </c>
      <c r="C1967" s="159">
        <f>IF($B1967=0,0,MAX($E1968:$AR1968))</f>
        <v/>
      </c>
      <c r="D1967" s="101">
        <f>BDS($A1967,FLD_HIST,"headers=y","startcol=1","endcol=7","dir=h","DVD_START_DT",HIST_FROM,"DVD_END_DT",HIST_TO)</f>
        <v/>
      </c>
      <c r="E1967" s="102" t="n"/>
      <c r="F1967" s="102" t="n"/>
      <c r="G1967" s="102" t="n"/>
      <c r="H1967" s="102" t="n"/>
      <c r="I1967" s="102" t="n"/>
      <c r="J1967" s="102" t="n"/>
      <c r="K1967" s="102" t="n"/>
      <c r="L1967" s="102" t="n"/>
      <c r="M1967" s="102" t="n"/>
      <c r="N1967" s="102" t="n"/>
      <c r="O1967" s="102" t="n"/>
      <c r="P1967" s="102" t="n"/>
      <c r="Q1967" s="102" t="n"/>
      <c r="R1967" s="102" t="n"/>
      <c r="S1967" s="102" t="n"/>
      <c r="T1967" s="102" t="n"/>
      <c r="U1967" s="102" t="n"/>
      <c r="V1967" s="102" t="n"/>
      <c r="W1967" s="102" t="n"/>
      <c r="X1967" s="102" t="n"/>
      <c r="Y1967" s="102" t="n"/>
      <c r="Z1967" s="102" t="n"/>
      <c r="AA1967" s="102" t="n"/>
      <c r="AB1967" s="102" t="n"/>
      <c r="AC1967" s="102" t="n"/>
      <c r="AD1967" s="102" t="n"/>
      <c r="AE1967" s="102" t="n"/>
      <c r="AF1967" s="102" t="n"/>
      <c r="AG1967" s="102" t="n"/>
      <c r="AH1967" s="102" t="n"/>
      <c r="AI1967" s="102" t="n"/>
      <c r="AJ1967" s="102" t="n"/>
      <c r="AK1967" s="102" t="n"/>
      <c r="AL1967" s="102" t="n"/>
      <c r="AM1967" s="102" t="n"/>
      <c r="AN1967" s="102" t="n"/>
      <c r="AO1967" s="102" t="n"/>
      <c r="AP1967" s="102" t="n"/>
      <c r="AQ1967" s="102" t="n"/>
      <c r="AR1967" s="102" t="n"/>
    </row>
    <row r="1968">
      <c r="D1968" s="102" t="n"/>
      <c r="E1968" s="102" t="n"/>
      <c r="F1968" s="102" t="n"/>
      <c r="G1968" s="102" t="n"/>
      <c r="H1968" s="102" t="n"/>
      <c r="I1968" s="102" t="n"/>
      <c r="J1968" s="102" t="n"/>
      <c r="K1968" s="102" t="n"/>
      <c r="L1968" s="102" t="n"/>
      <c r="M1968" s="102" t="n"/>
      <c r="N1968" s="102" t="n"/>
      <c r="O1968" s="102" t="n"/>
      <c r="P1968" s="102" t="n"/>
      <c r="Q1968" s="102" t="n"/>
      <c r="R1968" s="102" t="n"/>
      <c r="S1968" s="102" t="n"/>
      <c r="T1968" s="102" t="n"/>
      <c r="U1968" s="102" t="n"/>
      <c r="V1968" s="102" t="n"/>
      <c r="W1968" s="102" t="n"/>
      <c r="X1968" s="102" t="n"/>
      <c r="Y1968" s="102" t="n"/>
      <c r="Z1968" s="102" t="n"/>
      <c r="AA1968" s="102" t="n"/>
      <c r="AB1968" s="102" t="n"/>
      <c r="AC1968" s="102" t="n"/>
      <c r="AD1968" s="102" t="n"/>
      <c r="AE1968" s="102" t="n"/>
      <c r="AF1968" s="102" t="n"/>
      <c r="AG1968" s="102" t="n"/>
      <c r="AH1968" s="102" t="n"/>
      <c r="AI1968" s="102" t="n"/>
      <c r="AJ1968" s="102" t="n"/>
      <c r="AK1968" s="102" t="n"/>
      <c r="AL1968" s="102" t="n"/>
      <c r="AM1968" s="102" t="n"/>
      <c r="AN1968" s="102" t="n"/>
      <c r="AO1968" s="102" t="n"/>
      <c r="AP1968" s="102" t="n"/>
      <c r="AQ1968" s="102" t="n"/>
      <c r="AR1968" s="102" t="n"/>
    </row>
    <row r="1969">
      <c r="D1969" s="102" t="n"/>
      <c r="E1969" s="102" t="n"/>
      <c r="F1969" s="102" t="n"/>
      <c r="G1969" s="102" t="n"/>
      <c r="H1969" s="102" t="n"/>
      <c r="I1969" s="102" t="n"/>
      <c r="J1969" s="102" t="n"/>
      <c r="K1969" s="102" t="n"/>
      <c r="L1969" s="102" t="n"/>
      <c r="M1969" s="102" t="n"/>
      <c r="N1969" s="102" t="n"/>
      <c r="O1969" s="102" t="n"/>
      <c r="P1969" s="102" t="n"/>
      <c r="Q1969" s="102" t="n"/>
      <c r="R1969" s="102" t="n"/>
      <c r="S1969" s="102" t="n"/>
      <c r="T1969" s="102" t="n"/>
      <c r="U1969" s="102" t="n"/>
      <c r="V1969" s="102" t="n"/>
      <c r="W1969" s="102" t="n"/>
      <c r="X1969" s="102" t="n"/>
      <c r="Y1969" s="102" t="n"/>
      <c r="Z1969" s="102" t="n"/>
      <c r="AA1969" s="102" t="n"/>
      <c r="AB1969" s="102" t="n"/>
      <c r="AC1969" s="102" t="n"/>
      <c r="AD1969" s="102" t="n"/>
      <c r="AE1969" s="102" t="n"/>
      <c r="AF1969" s="102" t="n"/>
      <c r="AG1969" s="102" t="n"/>
      <c r="AH1969" s="102" t="n"/>
      <c r="AI1969" s="102" t="n"/>
      <c r="AJ1969" s="102" t="n"/>
      <c r="AK1969" s="102" t="n"/>
      <c r="AL1969" s="102" t="n"/>
      <c r="AM1969" s="102" t="n"/>
      <c r="AN1969" s="102" t="n"/>
      <c r="AO1969" s="102" t="n"/>
      <c r="AP1969" s="102" t="n"/>
      <c r="AQ1969" s="102" t="n"/>
      <c r="AR1969" s="102" t="n"/>
    </row>
    <row r="1970">
      <c r="D1970" s="102" t="n"/>
      <c r="E1970" s="102" t="n"/>
      <c r="F1970" s="102" t="n"/>
      <c r="G1970" s="102" t="n"/>
      <c r="H1970" s="102" t="n"/>
      <c r="I1970" s="102" t="n"/>
      <c r="J1970" s="102" t="n"/>
      <c r="K1970" s="102" t="n"/>
      <c r="L1970" s="102" t="n"/>
      <c r="M1970" s="102" t="n"/>
      <c r="N1970" s="102" t="n"/>
      <c r="O1970" s="102" t="n"/>
      <c r="P1970" s="102" t="n"/>
      <c r="Q1970" s="102" t="n"/>
      <c r="R1970" s="102" t="n"/>
      <c r="S1970" s="102" t="n"/>
      <c r="T1970" s="102" t="n"/>
      <c r="U1970" s="102" t="n"/>
      <c r="V1970" s="102" t="n"/>
      <c r="W1970" s="102" t="n"/>
      <c r="X1970" s="102" t="n"/>
      <c r="Y1970" s="102" t="n"/>
      <c r="Z1970" s="102" t="n"/>
      <c r="AA1970" s="102" t="n"/>
      <c r="AB1970" s="102" t="n"/>
      <c r="AC1970" s="102" t="n"/>
      <c r="AD1970" s="102" t="n"/>
      <c r="AE1970" s="102" t="n"/>
      <c r="AF1970" s="102" t="n"/>
      <c r="AG1970" s="102" t="n"/>
      <c r="AH1970" s="102" t="n"/>
      <c r="AI1970" s="102" t="n"/>
      <c r="AJ1970" s="102" t="n"/>
      <c r="AK1970" s="102" t="n"/>
      <c r="AL1970" s="102" t="n"/>
      <c r="AM1970" s="102" t="n"/>
      <c r="AN1970" s="102" t="n"/>
      <c r="AO1970" s="102" t="n"/>
      <c r="AP1970" s="102" t="n"/>
      <c r="AQ1970" s="102" t="n"/>
      <c r="AR1970" s="102" t="n"/>
    </row>
    <row r="1971">
      <c r="D1971" s="160" t="n"/>
      <c r="E1971" s="160" t="n"/>
      <c r="F1971" s="160" t="n"/>
      <c r="G1971" s="160" t="n"/>
      <c r="H1971" s="160" t="n"/>
      <c r="I1971" s="160" t="n"/>
      <c r="J1971" s="160" t="n"/>
      <c r="K1971" s="160" t="n"/>
      <c r="L1971" s="160" t="n"/>
      <c r="M1971" s="160" t="n"/>
      <c r="N1971" s="160" t="n"/>
      <c r="O1971" s="160" t="n"/>
      <c r="P1971" s="160" t="n"/>
      <c r="Q1971" s="160" t="n"/>
      <c r="R1971" s="160" t="n"/>
      <c r="S1971" s="160" t="n"/>
      <c r="T1971" s="160" t="n"/>
      <c r="U1971" s="160" t="n"/>
      <c r="V1971" s="160" t="n"/>
      <c r="W1971" s="160" t="n"/>
      <c r="X1971" s="160" t="n"/>
      <c r="Y1971" s="160" t="n"/>
      <c r="Z1971" s="160" t="n"/>
      <c r="AA1971" s="160" t="n"/>
      <c r="AB1971" s="160" t="n"/>
      <c r="AC1971" s="160" t="n"/>
      <c r="AD1971" s="160" t="n"/>
      <c r="AE1971" s="160" t="n"/>
      <c r="AF1971" s="160" t="n"/>
      <c r="AG1971" s="160" t="n"/>
      <c r="AH1971" s="160" t="n"/>
      <c r="AI1971" s="160" t="n"/>
      <c r="AJ1971" s="160" t="n"/>
      <c r="AK1971" s="160" t="n"/>
      <c r="AL1971" s="160" t="n"/>
      <c r="AM1971" s="160" t="n"/>
      <c r="AN1971" s="160" t="n"/>
      <c r="AO1971" s="160" t="n"/>
      <c r="AP1971" s="160" t="n"/>
      <c r="AQ1971" s="160" t="n"/>
      <c r="AR1971" s="160" t="n"/>
    </row>
    <row r="1974">
      <c r="A1974" s="2">
        <f>IF($A1967="","","   projections")</f>
        <v/>
      </c>
      <c r="B1974" s="158">
        <f>IF($A1967="",0,COUNT($E1975:$AR1975))</f>
        <v/>
      </c>
      <c r="C1974" s="159">
        <f>IF($B1974=0,0,MAX($E1975:$AR1975))</f>
        <v/>
      </c>
      <c r="D1974" s="101">
        <f>BDS($A1967,FLD_PROJ,"headers=y","startcol=1","endcol=3","dir=h")</f>
        <v/>
      </c>
      <c r="E1974" s="102" t="n"/>
      <c r="F1974" s="102" t="n"/>
      <c r="G1974" s="102" t="n"/>
      <c r="H1974" s="102" t="n"/>
      <c r="I1974" s="102" t="n"/>
      <c r="J1974" s="102" t="n"/>
      <c r="K1974" s="102" t="n"/>
      <c r="L1974" s="102" t="n"/>
      <c r="M1974" s="102" t="n"/>
      <c r="N1974" s="102" t="n"/>
      <c r="O1974" s="102" t="n"/>
      <c r="P1974" s="102" t="n"/>
      <c r="Q1974" s="102" t="n"/>
      <c r="R1974" s="102" t="n"/>
      <c r="S1974" s="102" t="n"/>
      <c r="T1974" s="102" t="n"/>
      <c r="U1974" s="102" t="n"/>
      <c r="V1974" s="102" t="n"/>
      <c r="W1974" s="102" t="n"/>
      <c r="X1974" s="102" t="n"/>
      <c r="Y1974" s="102" t="n"/>
      <c r="Z1974" s="102" t="n"/>
      <c r="AA1974" s="102" t="n"/>
      <c r="AB1974" s="102" t="n"/>
      <c r="AC1974" s="102" t="n"/>
      <c r="AD1974" s="102" t="n"/>
      <c r="AE1974" s="102" t="n"/>
      <c r="AF1974" s="102" t="n"/>
      <c r="AG1974" s="102" t="n"/>
      <c r="AH1974" s="102" t="n"/>
      <c r="AI1974" s="102" t="n"/>
      <c r="AJ1974" s="102" t="n"/>
      <c r="AK1974" s="102" t="n"/>
      <c r="AL1974" s="102" t="n"/>
      <c r="AM1974" s="102" t="n"/>
      <c r="AN1974" s="102" t="n"/>
      <c r="AO1974" s="102" t="n"/>
      <c r="AP1974" s="102" t="n"/>
      <c r="AQ1974" s="102" t="n"/>
      <c r="AR1974" s="102" t="n"/>
    </row>
    <row r="1975">
      <c r="D1975" s="102" t="n"/>
      <c r="E1975" s="102" t="n"/>
      <c r="F1975" s="102" t="n"/>
      <c r="G1975" s="102" t="n"/>
      <c r="H1975" s="102" t="n"/>
      <c r="I1975" s="102" t="n"/>
      <c r="J1975" s="102" t="n"/>
      <c r="K1975" s="102" t="n"/>
      <c r="L1975" s="102" t="n"/>
      <c r="M1975" s="102" t="n"/>
      <c r="N1975" s="102" t="n"/>
      <c r="O1975" s="102" t="n"/>
      <c r="P1975" s="102" t="n"/>
      <c r="Q1975" s="102" t="n"/>
      <c r="R1975" s="102" t="n"/>
      <c r="S1975" s="102" t="n"/>
      <c r="T1975" s="102" t="n"/>
      <c r="U1975" s="102" t="n"/>
      <c r="V1975" s="102" t="n"/>
      <c r="W1975" s="102" t="n"/>
      <c r="X1975" s="102" t="n"/>
      <c r="Y1975" s="102" t="n"/>
      <c r="Z1975" s="102" t="n"/>
      <c r="AA1975" s="102" t="n"/>
      <c r="AB1975" s="102" t="n"/>
      <c r="AC1975" s="102" t="n"/>
      <c r="AD1975" s="102" t="n"/>
      <c r="AE1975" s="102" t="n"/>
      <c r="AF1975" s="102" t="n"/>
      <c r="AG1975" s="102" t="n"/>
      <c r="AH1975" s="102" t="n"/>
      <c r="AI1975" s="102" t="n"/>
      <c r="AJ1975" s="102" t="n"/>
      <c r="AK1975" s="102" t="n"/>
      <c r="AL1975" s="102" t="n"/>
      <c r="AM1975" s="102" t="n"/>
      <c r="AN1975" s="102" t="n"/>
      <c r="AO1975" s="102" t="n"/>
      <c r="AP1975" s="102" t="n"/>
      <c r="AQ1975" s="102" t="n"/>
      <c r="AR1975" s="102" t="n"/>
    </row>
    <row r="1976">
      <c r="D1976" s="160" t="n"/>
      <c r="E1976" s="160" t="n"/>
      <c r="F1976" s="160" t="n"/>
      <c r="G1976" s="160" t="n"/>
      <c r="H1976" s="160" t="n"/>
      <c r="I1976" s="160" t="n"/>
      <c r="J1976" s="160" t="n"/>
      <c r="K1976" s="160" t="n"/>
      <c r="L1976" s="160" t="n"/>
      <c r="M1976" s="160" t="n"/>
      <c r="N1976" s="160" t="n"/>
      <c r="O1976" s="160" t="n"/>
      <c r="P1976" s="160" t="n"/>
      <c r="Q1976" s="160" t="n"/>
      <c r="R1976" s="160" t="n"/>
      <c r="S1976" s="160" t="n"/>
      <c r="T1976" s="160" t="n"/>
      <c r="U1976" s="160" t="n"/>
      <c r="V1976" s="160" t="n"/>
      <c r="W1976" s="160" t="n"/>
      <c r="X1976" s="160" t="n"/>
      <c r="Y1976" s="160" t="n"/>
      <c r="Z1976" s="160" t="n"/>
      <c r="AA1976" s="160" t="n"/>
      <c r="AB1976" s="160" t="n"/>
      <c r="AC1976" s="160" t="n"/>
      <c r="AD1976" s="160" t="n"/>
      <c r="AE1976" s="160" t="n"/>
      <c r="AF1976" s="160" t="n"/>
      <c r="AG1976" s="160" t="n"/>
      <c r="AH1976" s="160" t="n"/>
      <c r="AI1976" s="160" t="n"/>
      <c r="AJ1976" s="160" t="n"/>
      <c r="AK1976" s="160" t="n"/>
      <c r="AL1976" s="160" t="n"/>
      <c r="AM1976" s="160" t="n"/>
      <c r="AN1976" s="160" t="n"/>
      <c r="AO1976" s="160" t="n"/>
      <c r="AP1976" s="160" t="n"/>
      <c r="AQ1976" s="160" t="n"/>
      <c r="AR1976" s="160" t="n"/>
    </row>
    <row r="1978">
      <c r="A1978" s="8">
        <f>IF(HSCEI!$C$45="","",HSCEI!$C$45)</f>
        <v/>
      </c>
      <c r="B1978" s="158">
        <f>IF($A1978="",0,COUNT($E1979:$AR1979))</f>
        <v/>
      </c>
      <c r="C1978" s="159">
        <f>IF($B1978=0,0,MAX($E1979:$AR1979))</f>
        <v/>
      </c>
      <c r="D1978" s="101">
        <f>BDS($A1978,FLD_HIST,"headers=y","startcol=1","endcol=7","dir=h","DVD_START_DT",HIST_FROM,"DVD_END_DT",HIST_TO)</f>
        <v/>
      </c>
      <c r="E1978" s="102" t="n"/>
      <c r="F1978" s="102" t="n"/>
      <c r="G1978" s="102" t="n"/>
      <c r="H1978" s="102" t="n"/>
      <c r="I1978" s="102" t="n"/>
      <c r="J1978" s="102" t="n"/>
      <c r="K1978" s="102" t="n"/>
      <c r="L1978" s="102" t="n"/>
      <c r="M1978" s="102" t="n"/>
      <c r="N1978" s="102" t="n"/>
      <c r="O1978" s="102" t="n"/>
      <c r="P1978" s="102" t="n"/>
      <c r="Q1978" s="102" t="n"/>
      <c r="R1978" s="102" t="n"/>
      <c r="S1978" s="102" t="n"/>
      <c r="T1978" s="102" t="n"/>
      <c r="U1978" s="102" t="n"/>
      <c r="V1978" s="102" t="n"/>
      <c r="W1978" s="102" t="n"/>
      <c r="X1978" s="102" t="n"/>
      <c r="Y1978" s="102" t="n"/>
      <c r="Z1978" s="102" t="n"/>
      <c r="AA1978" s="102" t="n"/>
      <c r="AB1978" s="102" t="n"/>
      <c r="AC1978" s="102" t="n"/>
      <c r="AD1978" s="102" t="n"/>
      <c r="AE1978" s="102" t="n"/>
      <c r="AF1978" s="102" t="n"/>
      <c r="AG1978" s="102" t="n"/>
      <c r="AH1978" s="102" t="n"/>
      <c r="AI1978" s="102" t="n"/>
      <c r="AJ1978" s="102" t="n"/>
      <c r="AK1978" s="102" t="n"/>
      <c r="AL1978" s="102" t="n"/>
      <c r="AM1978" s="102" t="n"/>
      <c r="AN1978" s="102" t="n"/>
      <c r="AO1978" s="102" t="n"/>
      <c r="AP1978" s="102" t="n"/>
      <c r="AQ1978" s="102" t="n"/>
      <c r="AR1978" s="102" t="n"/>
    </row>
    <row r="1979">
      <c r="D1979" s="102" t="n"/>
      <c r="E1979" s="102" t="n"/>
      <c r="F1979" s="102" t="n"/>
      <c r="G1979" s="102" t="n"/>
      <c r="H1979" s="102" t="n"/>
      <c r="I1979" s="102" t="n"/>
      <c r="J1979" s="102" t="n"/>
      <c r="K1979" s="102" t="n"/>
      <c r="L1979" s="102" t="n"/>
      <c r="M1979" s="102" t="n"/>
      <c r="N1979" s="102" t="n"/>
      <c r="O1979" s="102" t="n"/>
      <c r="P1979" s="102" t="n"/>
      <c r="Q1979" s="102" t="n"/>
      <c r="R1979" s="102" t="n"/>
      <c r="S1979" s="102" t="n"/>
      <c r="T1979" s="102" t="n"/>
      <c r="U1979" s="102" t="n"/>
      <c r="V1979" s="102" t="n"/>
      <c r="W1979" s="102" t="n"/>
      <c r="X1979" s="102" t="n"/>
      <c r="Y1979" s="102" t="n"/>
      <c r="Z1979" s="102" t="n"/>
      <c r="AA1979" s="102" t="n"/>
      <c r="AB1979" s="102" t="n"/>
      <c r="AC1979" s="102" t="n"/>
      <c r="AD1979" s="102" t="n"/>
      <c r="AE1979" s="102" t="n"/>
      <c r="AF1979" s="102" t="n"/>
      <c r="AG1979" s="102" t="n"/>
      <c r="AH1979" s="102" t="n"/>
      <c r="AI1979" s="102" t="n"/>
      <c r="AJ1979" s="102" t="n"/>
      <c r="AK1979" s="102" t="n"/>
      <c r="AL1979" s="102" t="n"/>
      <c r="AM1979" s="102" t="n"/>
      <c r="AN1979" s="102" t="n"/>
      <c r="AO1979" s="102" t="n"/>
      <c r="AP1979" s="102" t="n"/>
      <c r="AQ1979" s="102" t="n"/>
      <c r="AR1979" s="102" t="n"/>
    </row>
    <row r="1980">
      <c r="D1980" s="102" t="n"/>
      <c r="E1980" s="102" t="n"/>
      <c r="F1980" s="102" t="n"/>
      <c r="G1980" s="102" t="n"/>
      <c r="H1980" s="102" t="n"/>
      <c r="I1980" s="102" t="n"/>
      <c r="J1980" s="102" t="n"/>
      <c r="K1980" s="102" t="n"/>
      <c r="L1980" s="102" t="n"/>
      <c r="M1980" s="102" t="n"/>
      <c r="N1980" s="102" t="n"/>
      <c r="O1980" s="102" t="n"/>
      <c r="P1980" s="102" t="n"/>
      <c r="Q1980" s="102" t="n"/>
      <c r="R1980" s="102" t="n"/>
      <c r="S1980" s="102" t="n"/>
      <c r="T1980" s="102" t="n"/>
      <c r="U1980" s="102" t="n"/>
      <c r="V1980" s="102" t="n"/>
      <c r="W1980" s="102" t="n"/>
      <c r="X1980" s="102" t="n"/>
      <c r="Y1980" s="102" t="n"/>
      <c r="Z1980" s="102" t="n"/>
      <c r="AA1980" s="102" t="n"/>
      <c r="AB1980" s="102" t="n"/>
      <c r="AC1980" s="102" t="n"/>
      <c r="AD1980" s="102" t="n"/>
      <c r="AE1980" s="102" t="n"/>
      <c r="AF1980" s="102" t="n"/>
      <c r="AG1980" s="102" t="n"/>
      <c r="AH1980" s="102" t="n"/>
      <c r="AI1980" s="102" t="n"/>
      <c r="AJ1980" s="102" t="n"/>
      <c r="AK1980" s="102" t="n"/>
      <c r="AL1980" s="102" t="n"/>
      <c r="AM1980" s="102" t="n"/>
      <c r="AN1980" s="102" t="n"/>
      <c r="AO1980" s="102" t="n"/>
      <c r="AP1980" s="102" t="n"/>
      <c r="AQ1980" s="102" t="n"/>
      <c r="AR1980" s="102" t="n"/>
    </row>
    <row r="1981">
      <c r="D1981" s="102" t="n"/>
      <c r="E1981" s="102" t="n"/>
      <c r="F1981" s="102" t="n"/>
      <c r="G1981" s="102" t="n"/>
      <c r="H1981" s="102" t="n"/>
      <c r="I1981" s="102" t="n"/>
      <c r="J1981" s="102" t="n"/>
      <c r="K1981" s="102" t="n"/>
      <c r="L1981" s="102" t="n"/>
      <c r="M1981" s="102" t="n"/>
      <c r="N1981" s="102" t="n"/>
      <c r="O1981" s="102" t="n"/>
      <c r="P1981" s="102" t="n"/>
      <c r="Q1981" s="102" t="n"/>
      <c r="R1981" s="102" t="n"/>
      <c r="S1981" s="102" t="n"/>
      <c r="T1981" s="102" t="n"/>
      <c r="U1981" s="102" t="n"/>
      <c r="V1981" s="102" t="n"/>
      <c r="W1981" s="102" t="n"/>
      <c r="X1981" s="102" t="n"/>
      <c r="Y1981" s="102" t="n"/>
      <c r="Z1981" s="102" t="n"/>
      <c r="AA1981" s="102" t="n"/>
      <c r="AB1981" s="102" t="n"/>
      <c r="AC1981" s="102" t="n"/>
      <c r="AD1981" s="102" t="n"/>
      <c r="AE1981" s="102" t="n"/>
      <c r="AF1981" s="102" t="n"/>
      <c r="AG1981" s="102" t="n"/>
      <c r="AH1981" s="102" t="n"/>
      <c r="AI1981" s="102" t="n"/>
      <c r="AJ1981" s="102" t="n"/>
      <c r="AK1981" s="102" t="n"/>
      <c r="AL1981" s="102" t="n"/>
      <c r="AM1981" s="102" t="n"/>
      <c r="AN1981" s="102" t="n"/>
      <c r="AO1981" s="102" t="n"/>
      <c r="AP1981" s="102" t="n"/>
      <c r="AQ1981" s="102" t="n"/>
      <c r="AR1981" s="102" t="n"/>
    </row>
    <row r="1982">
      <c r="D1982" s="160" t="n"/>
      <c r="E1982" s="160" t="n"/>
      <c r="F1982" s="160" t="n"/>
      <c r="G1982" s="160" t="n"/>
      <c r="H1982" s="160" t="n"/>
      <c r="I1982" s="160" t="n"/>
      <c r="J1982" s="160" t="n"/>
      <c r="K1982" s="160" t="n"/>
      <c r="L1982" s="160" t="n"/>
      <c r="M1982" s="160" t="n"/>
      <c r="N1982" s="160" t="n"/>
      <c r="O1982" s="160" t="n"/>
      <c r="P1982" s="160" t="n"/>
      <c r="Q1982" s="160" t="n"/>
      <c r="R1982" s="160" t="n"/>
      <c r="S1982" s="160" t="n"/>
      <c r="T1982" s="160" t="n"/>
      <c r="U1982" s="160" t="n"/>
      <c r="V1982" s="160" t="n"/>
      <c r="W1982" s="160" t="n"/>
      <c r="X1982" s="160" t="n"/>
      <c r="Y1982" s="160" t="n"/>
      <c r="Z1982" s="160" t="n"/>
      <c r="AA1982" s="160" t="n"/>
      <c r="AB1982" s="160" t="n"/>
      <c r="AC1982" s="160" t="n"/>
      <c r="AD1982" s="160" t="n"/>
      <c r="AE1982" s="160" t="n"/>
      <c r="AF1982" s="160" t="n"/>
      <c r="AG1982" s="160" t="n"/>
      <c r="AH1982" s="160" t="n"/>
      <c r="AI1982" s="160" t="n"/>
      <c r="AJ1982" s="160" t="n"/>
      <c r="AK1982" s="160" t="n"/>
      <c r="AL1982" s="160" t="n"/>
      <c r="AM1982" s="160" t="n"/>
      <c r="AN1982" s="160" t="n"/>
      <c r="AO1982" s="160" t="n"/>
      <c r="AP1982" s="160" t="n"/>
      <c r="AQ1982" s="160" t="n"/>
      <c r="AR1982" s="160" t="n"/>
    </row>
    <row r="1985">
      <c r="A1985" s="2">
        <f>IF($A1978="","","   projections")</f>
        <v/>
      </c>
      <c r="B1985" s="158">
        <f>IF($A1978="",0,COUNT($E1986:$AR1986))</f>
        <v/>
      </c>
      <c r="C1985" s="159">
        <f>IF($B1985=0,0,MAX($E1986:$AR1986))</f>
        <v/>
      </c>
      <c r="D1985" s="101">
        <f>BDS($A1978,FLD_PROJ,"headers=y","startcol=1","endcol=3","dir=h")</f>
        <v/>
      </c>
      <c r="E1985" s="102" t="n"/>
      <c r="F1985" s="102" t="n"/>
      <c r="G1985" s="102" t="n"/>
      <c r="H1985" s="102" t="n"/>
      <c r="I1985" s="102" t="n"/>
      <c r="J1985" s="102" t="n"/>
      <c r="K1985" s="102" t="n"/>
      <c r="L1985" s="102" t="n"/>
      <c r="M1985" s="102" t="n"/>
      <c r="N1985" s="102" t="n"/>
      <c r="O1985" s="102" t="n"/>
      <c r="P1985" s="102" t="n"/>
      <c r="Q1985" s="102" t="n"/>
      <c r="R1985" s="102" t="n"/>
      <c r="S1985" s="102" t="n"/>
      <c r="T1985" s="102" t="n"/>
      <c r="U1985" s="102" t="n"/>
      <c r="V1985" s="102" t="n"/>
      <c r="W1985" s="102" t="n"/>
      <c r="X1985" s="102" t="n"/>
      <c r="Y1985" s="102" t="n"/>
      <c r="Z1985" s="102" t="n"/>
      <c r="AA1985" s="102" t="n"/>
      <c r="AB1985" s="102" t="n"/>
      <c r="AC1985" s="102" t="n"/>
      <c r="AD1985" s="102" t="n"/>
      <c r="AE1985" s="102" t="n"/>
      <c r="AF1985" s="102" t="n"/>
      <c r="AG1985" s="102" t="n"/>
      <c r="AH1985" s="102" t="n"/>
      <c r="AI1985" s="102" t="n"/>
      <c r="AJ1985" s="102" t="n"/>
      <c r="AK1985" s="102" t="n"/>
      <c r="AL1985" s="102" t="n"/>
      <c r="AM1985" s="102" t="n"/>
      <c r="AN1985" s="102" t="n"/>
      <c r="AO1985" s="102" t="n"/>
      <c r="AP1985" s="102" t="n"/>
      <c r="AQ1985" s="102" t="n"/>
      <c r="AR1985" s="102" t="n"/>
    </row>
    <row r="1986">
      <c r="D1986" s="102" t="n"/>
      <c r="E1986" s="102" t="n"/>
      <c r="F1986" s="102" t="n"/>
      <c r="G1986" s="102" t="n"/>
      <c r="H1986" s="102" t="n"/>
      <c r="I1986" s="102" t="n"/>
      <c r="J1986" s="102" t="n"/>
      <c r="K1986" s="102" t="n"/>
      <c r="L1986" s="102" t="n"/>
      <c r="M1986" s="102" t="n"/>
      <c r="N1986" s="102" t="n"/>
      <c r="O1986" s="102" t="n"/>
      <c r="P1986" s="102" t="n"/>
      <c r="Q1986" s="102" t="n"/>
      <c r="R1986" s="102" t="n"/>
      <c r="S1986" s="102" t="n"/>
      <c r="T1986" s="102" t="n"/>
      <c r="U1986" s="102" t="n"/>
      <c r="V1986" s="102" t="n"/>
      <c r="W1986" s="102" t="n"/>
      <c r="X1986" s="102" t="n"/>
      <c r="Y1986" s="102" t="n"/>
      <c r="Z1986" s="102" t="n"/>
      <c r="AA1986" s="102" t="n"/>
      <c r="AB1986" s="102" t="n"/>
      <c r="AC1986" s="102" t="n"/>
      <c r="AD1986" s="102" t="n"/>
      <c r="AE1986" s="102" t="n"/>
      <c r="AF1986" s="102" t="n"/>
      <c r="AG1986" s="102" t="n"/>
      <c r="AH1986" s="102" t="n"/>
      <c r="AI1986" s="102" t="n"/>
      <c r="AJ1986" s="102" t="n"/>
      <c r="AK1986" s="102" t="n"/>
      <c r="AL1986" s="102" t="n"/>
      <c r="AM1986" s="102" t="n"/>
      <c r="AN1986" s="102" t="n"/>
      <c r="AO1986" s="102" t="n"/>
      <c r="AP1986" s="102" t="n"/>
      <c r="AQ1986" s="102" t="n"/>
      <c r="AR1986" s="102" t="n"/>
    </row>
    <row r="1987">
      <c r="D1987" s="160" t="n"/>
      <c r="E1987" s="160" t="n"/>
      <c r="F1987" s="160" t="n"/>
      <c r="G1987" s="160" t="n"/>
      <c r="H1987" s="160" t="n"/>
      <c r="I1987" s="160" t="n"/>
      <c r="J1987" s="160" t="n"/>
      <c r="K1987" s="160" t="n"/>
      <c r="L1987" s="160" t="n"/>
      <c r="M1987" s="160" t="n"/>
      <c r="N1987" s="160" t="n"/>
      <c r="O1987" s="160" t="n"/>
      <c r="P1987" s="160" t="n"/>
      <c r="Q1987" s="160" t="n"/>
      <c r="R1987" s="160" t="n"/>
      <c r="S1987" s="160" t="n"/>
      <c r="T1987" s="160" t="n"/>
      <c r="U1987" s="160" t="n"/>
      <c r="V1987" s="160" t="n"/>
      <c r="W1987" s="160" t="n"/>
      <c r="X1987" s="160" t="n"/>
      <c r="Y1987" s="160" t="n"/>
      <c r="Z1987" s="160" t="n"/>
      <c r="AA1987" s="160" t="n"/>
      <c r="AB1987" s="160" t="n"/>
      <c r="AC1987" s="160" t="n"/>
      <c r="AD1987" s="160" t="n"/>
      <c r="AE1987" s="160" t="n"/>
      <c r="AF1987" s="160" t="n"/>
      <c r="AG1987" s="160" t="n"/>
      <c r="AH1987" s="160" t="n"/>
      <c r="AI1987" s="160" t="n"/>
      <c r="AJ1987" s="160" t="n"/>
      <c r="AK1987" s="160" t="n"/>
      <c r="AL1987" s="160" t="n"/>
      <c r="AM1987" s="160" t="n"/>
      <c r="AN1987" s="160" t="n"/>
      <c r="AO1987" s="160" t="n"/>
      <c r="AP1987" s="160" t="n"/>
      <c r="AQ1987" s="160" t="n"/>
      <c r="AR1987" s="160" t="n"/>
    </row>
    <row r="1989">
      <c r="A1989" s="8">
        <f>IF(HSCEI!$C$46="","",HSCEI!$C$46)</f>
        <v/>
      </c>
      <c r="B1989" s="158">
        <f>IF($A1989="",0,COUNT($E1990:$AR1990))</f>
        <v/>
      </c>
      <c r="C1989" s="159">
        <f>IF($B1989=0,0,MAX($E1990:$AR1990))</f>
        <v/>
      </c>
      <c r="D1989" s="101">
        <f>BDS($A1989,FLD_HIST,"headers=y","startcol=1","endcol=7","dir=h","DVD_START_DT",HIST_FROM,"DVD_END_DT",HIST_TO)</f>
        <v/>
      </c>
      <c r="E1989" s="102" t="n"/>
      <c r="F1989" s="102" t="n"/>
      <c r="G1989" s="102" t="n"/>
      <c r="H1989" s="102" t="n"/>
      <c r="I1989" s="102" t="n"/>
      <c r="J1989" s="102" t="n"/>
      <c r="K1989" s="102" t="n"/>
      <c r="L1989" s="102" t="n"/>
      <c r="M1989" s="102" t="n"/>
      <c r="N1989" s="102" t="n"/>
      <c r="O1989" s="102" t="n"/>
      <c r="P1989" s="102" t="n"/>
      <c r="Q1989" s="102" t="n"/>
      <c r="R1989" s="102" t="n"/>
      <c r="S1989" s="102" t="n"/>
      <c r="T1989" s="102" t="n"/>
      <c r="U1989" s="102" t="n"/>
      <c r="V1989" s="102" t="n"/>
      <c r="W1989" s="102" t="n"/>
      <c r="X1989" s="102" t="n"/>
      <c r="Y1989" s="102" t="n"/>
      <c r="Z1989" s="102" t="n"/>
      <c r="AA1989" s="102" t="n"/>
      <c r="AB1989" s="102" t="n"/>
      <c r="AC1989" s="102" t="n"/>
      <c r="AD1989" s="102" t="n"/>
      <c r="AE1989" s="102" t="n"/>
      <c r="AF1989" s="102" t="n"/>
      <c r="AG1989" s="102" t="n"/>
      <c r="AH1989" s="102" t="n"/>
      <c r="AI1989" s="102" t="n"/>
      <c r="AJ1989" s="102" t="n"/>
      <c r="AK1989" s="102" t="n"/>
      <c r="AL1989" s="102" t="n"/>
      <c r="AM1989" s="102" t="n"/>
      <c r="AN1989" s="102" t="n"/>
      <c r="AO1989" s="102" t="n"/>
      <c r="AP1989" s="102" t="n"/>
      <c r="AQ1989" s="102" t="n"/>
      <c r="AR1989" s="102" t="n"/>
    </row>
    <row r="1990">
      <c r="D1990" s="102" t="n"/>
      <c r="E1990" s="102" t="n"/>
      <c r="F1990" s="102" t="n"/>
      <c r="G1990" s="102" t="n"/>
      <c r="H1990" s="102" t="n"/>
      <c r="I1990" s="102" t="n"/>
      <c r="J1990" s="102" t="n"/>
      <c r="K1990" s="102" t="n"/>
      <c r="L1990" s="102" t="n"/>
      <c r="M1990" s="102" t="n"/>
      <c r="N1990" s="102" t="n"/>
      <c r="O1990" s="102" t="n"/>
      <c r="P1990" s="102" t="n"/>
      <c r="Q1990" s="102" t="n"/>
      <c r="R1990" s="102" t="n"/>
      <c r="S1990" s="102" t="n"/>
      <c r="T1990" s="102" t="n"/>
      <c r="U1990" s="102" t="n"/>
      <c r="V1990" s="102" t="n"/>
      <c r="W1990" s="102" t="n"/>
      <c r="X1990" s="102" t="n"/>
      <c r="Y1990" s="102" t="n"/>
      <c r="Z1990" s="102" t="n"/>
      <c r="AA1990" s="102" t="n"/>
      <c r="AB1990" s="102" t="n"/>
      <c r="AC1990" s="102" t="n"/>
      <c r="AD1990" s="102" t="n"/>
      <c r="AE1990" s="102" t="n"/>
      <c r="AF1990" s="102" t="n"/>
      <c r="AG1990" s="102" t="n"/>
      <c r="AH1990" s="102" t="n"/>
      <c r="AI1990" s="102" t="n"/>
      <c r="AJ1990" s="102" t="n"/>
      <c r="AK1990" s="102" t="n"/>
      <c r="AL1990" s="102" t="n"/>
      <c r="AM1990" s="102" t="n"/>
      <c r="AN1990" s="102" t="n"/>
      <c r="AO1990" s="102" t="n"/>
      <c r="AP1990" s="102" t="n"/>
      <c r="AQ1990" s="102" t="n"/>
      <c r="AR1990" s="102" t="n"/>
    </row>
    <row r="1991">
      <c r="D1991" s="102" t="n"/>
      <c r="E1991" s="102" t="n"/>
      <c r="F1991" s="102" t="n"/>
      <c r="G1991" s="102" t="n"/>
      <c r="H1991" s="102" t="n"/>
      <c r="I1991" s="102" t="n"/>
      <c r="J1991" s="102" t="n"/>
      <c r="K1991" s="102" t="n"/>
      <c r="L1991" s="102" t="n"/>
      <c r="M1991" s="102" t="n"/>
      <c r="N1991" s="102" t="n"/>
      <c r="O1991" s="102" t="n"/>
      <c r="P1991" s="102" t="n"/>
      <c r="Q1991" s="102" t="n"/>
      <c r="R1991" s="102" t="n"/>
      <c r="S1991" s="102" t="n"/>
      <c r="T1991" s="102" t="n"/>
      <c r="U1991" s="102" t="n"/>
      <c r="V1991" s="102" t="n"/>
      <c r="W1991" s="102" t="n"/>
      <c r="X1991" s="102" t="n"/>
      <c r="Y1991" s="102" t="n"/>
      <c r="Z1991" s="102" t="n"/>
      <c r="AA1991" s="102" t="n"/>
      <c r="AB1991" s="102" t="n"/>
      <c r="AC1991" s="102" t="n"/>
      <c r="AD1991" s="102" t="n"/>
      <c r="AE1991" s="102" t="n"/>
      <c r="AF1991" s="102" t="n"/>
      <c r="AG1991" s="102" t="n"/>
      <c r="AH1991" s="102" t="n"/>
      <c r="AI1991" s="102" t="n"/>
      <c r="AJ1991" s="102" t="n"/>
      <c r="AK1991" s="102" t="n"/>
      <c r="AL1991" s="102" t="n"/>
      <c r="AM1991" s="102" t="n"/>
      <c r="AN1991" s="102" t="n"/>
      <c r="AO1991" s="102" t="n"/>
      <c r="AP1991" s="102" t="n"/>
      <c r="AQ1991" s="102" t="n"/>
      <c r="AR1991" s="102" t="n"/>
    </row>
    <row r="1992">
      <c r="D1992" s="102" t="n"/>
      <c r="E1992" s="102" t="n"/>
      <c r="F1992" s="102" t="n"/>
      <c r="G1992" s="102" t="n"/>
      <c r="H1992" s="102" t="n"/>
      <c r="I1992" s="102" t="n"/>
      <c r="J1992" s="102" t="n"/>
      <c r="K1992" s="102" t="n"/>
      <c r="L1992" s="102" t="n"/>
      <c r="M1992" s="102" t="n"/>
      <c r="N1992" s="102" t="n"/>
      <c r="O1992" s="102" t="n"/>
      <c r="P1992" s="102" t="n"/>
      <c r="Q1992" s="102" t="n"/>
      <c r="R1992" s="102" t="n"/>
      <c r="S1992" s="102" t="n"/>
      <c r="T1992" s="102" t="n"/>
      <c r="U1992" s="102" t="n"/>
      <c r="V1992" s="102" t="n"/>
      <c r="W1992" s="102" t="n"/>
      <c r="X1992" s="102" t="n"/>
      <c r="Y1992" s="102" t="n"/>
      <c r="Z1992" s="102" t="n"/>
      <c r="AA1992" s="102" t="n"/>
      <c r="AB1992" s="102" t="n"/>
      <c r="AC1992" s="102" t="n"/>
      <c r="AD1992" s="102" t="n"/>
      <c r="AE1992" s="102" t="n"/>
      <c r="AF1992" s="102" t="n"/>
      <c r="AG1992" s="102" t="n"/>
      <c r="AH1992" s="102" t="n"/>
      <c r="AI1992" s="102" t="n"/>
      <c r="AJ1992" s="102" t="n"/>
      <c r="AK1992" s="102" t="n"/>
      <c r="AL1992" s="102" t="n"/>
      <c r="AM1992" s="102" t="n"/>
      <c r="AN1992" s="102" t="n"/>
      <c r="AO1992" s="102" t="n"/>
      <c r="AP1992" s="102" t="n"/>
      <c r="AQ1992" s="102" t="n"/>
      <c r="AR1992" s="102" t="n"/>
    </row>
    <row r="1993">
      <c r="D1993" s="160" t="n"/>
      <c r="E1993" s="160" t="n"/>
      <c r="F1993" s="160" t="n"/>
      <c r="G1993" s="160" t="n"/>
      <c r="H1993" s="160" t="n"/>
      <c r="I1993" s="160" t="n"/>
      <c r="J1993" s="160" t="n"/>
      <c r="K1993" s="160" t="n"/>
      <c r="L1993" s="160" t="n"/>
      <c r="M1993" s="160" t="n"/>
      <c r="N1993" s="160" t="n"/>
      <c r="O1993" s="160" t="n"/>
      <c r="P1993" s="160" t="n"/>
      <c r="Q1993" s="160" t="n"/>
      <c r="R1993" s="160" t="n"/>
      <c r="S1993" s="160" t="n"/>
      <c r="T1993" s="160" t="n"/>
      <c r="U1993" s="160" t="n"/>
      <c r="V1993" s="160" t="n"/>
      <c r="W1993" s="160" t="n"/>
      <c r="X1993" s="160" t="n"/>
      <c r="Y1993" s="160" t="n"/>
      <c r="Z1993" s="160" t="n"/>
      <c r="AA1993" s="160" t="n"/>
      <c r="AB1993" s="160" t="n"/>
      <c r="AC1993" s="160" t="n"/>
      <c r="AD1993" s="160" t="n"/>
      <c r="AE1993" s="160" t="n"/>
      <c r="AF1993" s="160" t="n"/>
      <c r="AG1993" s="160" t="n"/>
      <c r="AH1993" s="160" t="n"/>
      <c r="AI1993" s="160" t="n"/>
      <c r="AJ1993" s="160" t="n"/>
      <c r="AK1993" s="160" t="n"/>
      <c r="AL1993" s="160" t="n"/>
      <c r="AM1993" s="160" t="n"/>
      <c r="AN1993" s="160" t="n"/>
      <c r="AO1993" s="160" t="n"/>
      <c r="AP1993" s="160" t="n"/>
      <c r="AQ1993" s="160" t="n"/>
      <c r="AR1993" s="160" t="n"/>
    </row>
    <row r="1996">
      <c r="A1996" s="2">
        <f>IF($A1989="","","   projections")</f>
        <v/>
      </c>
      <c r="B1996" s="158">
        <f>IF($A1989="",0,COUNT($E1997:$AR1997))</f>
        <v/>
      </c>
      <c r="C1996" s="159">
        <f>IF($B1996=0,0,MAX($E1997:$AR1997))</f>
        <v/>
      </c>
      <c r="D1996" s="101">
        <f>BDS($A1989,FLD_PROJ,"headers=y","startcol=1","endcol=3","dir=h")</f>
        <v/>
      </c>
      <c r="E1996" s="102" t="n"/>
      <c r="F1996" s="102" t="n"/>
      <c r="G1996" s="102" t="n"/>
      <c r="H1996" s="102" t="n"/>
      <c r="I1996" s="102" t="n"/>
      <c r="J1996" s="102" t="n"/>
      <c r="K1996" s="102" t="n"/>
      <c r="L1996" s="102" t="n"/>
      <c r="M1996" s="102" t="n"/>
      <c r="N1996" s="102" t="n"/>
      <c r="O1996" s="102" t="n"/>
      <c r="P1996" s="102" t="n"/>
      <c r="Q1996" s="102" t="n"/>
      <c r="R1996" s="102" t="n"/>
      <c r="S1996" s="102" t="n"/>
      <c r="T1996" s="102" t="n"/>
      <c r="U1996" s="102" t="n"/>
      <c r="V1996" s="102" t="n"/>
      <c r="W1996" s="102" t="n"/>
      <c r="X1996" s="102" t="n"/>
      <c r="Y1996" s="102" t="n"/>
      <c r="Z1996" s="102" t="n"/>
      <c r="AA1996" s="102" t="n"/>
      <c r="AB1996" s="102" t="n"/>
      <c r="AC1996" s="102" t="n"/>
      <c r="AD1996" s="102" t="n"/>
      <c r="AE1996" s="102" t="n"/>
      <c r="AF1996" s="102" t="n"/>
      <c r="AG1996" s="102" t="n"/>
      <c r="AH1996" s="102" t="n"/>
      <c r="AI1996" s="102" t="n"/>
      <c r="AJ1996" s="102" t="n"/>
      <c r="AK1996" s="102" t="n"/>
      <c r="AL1996" s="102" t="n"/>
      <c r="AM1996" s="102" t="n"/>
      <c r="AN1996" s="102" t="n"/>
      <c r="AO1996" s="102" t="n"/>
      <c r="AP1996" s="102" t="n"/>
      <c r="AQ1996" s="102" t="n"/>
      <c r="AR1996" s="102" t="n"/>
    </row>
    <row r="1997">
      <c r="D1997" s="102" t="n"/>
      <c r="E1997" s="102" t="n"/>
      <c r="F1997" s="102" t="n"/>
      <c r="G1997" s="102" t="n"/>
      <c r="H1997" s="102" t="n"/>
      <c r="I1997" s="102" t="n"/>
      <c r="J1997" s="102" t="n"/>
      <c r="K1997" s="102" t="n"/>
      <c r="L1997" s="102" t="n"/>
      <c r="M1997" s="102" t="n"/>
      <c r="N1997" s="102" t="n"/>
      <c r="O1997" s="102" t="n"/>
      <c r="P1997" s="102" t="n"/>
      <c r="Q1997" s="102" t="n"/>
      <c r="R1997" s="102" t="n"/>
      <c r="S1997" s="102" t="n"/>
      <c r="T1997" s="102" t="n"/>
      <c r="U1997" s="102" t="n"/>
      <c r="V1997" s="102" t="n"/>
      <c r="W1997" s="102" t="n"/>
      <c r="X1997" s="102" t="n"/>
      <c r="Y1997" s="102" t="n"/>
      <c r="Z1997" s="102" t="n"/>
      <c r="AA1997" s="102" t="n"/>
      <c r="AB1997" s="102" t="n"/>
      <c r="AC1997" s="102" t="n"/>
      <c r="AD1997" s="102" t="n"/>
      <c r="AE1997" s="102" t="n"/>
      <c r="AF1997" s="102" t="n"/>
      <c r="AG1997" s="102" t="n"/>
      <c r="AH1997" s="102" t="n"/>
      <c r="AI1997" s="102" t="n"/>
      <c r="AJ1997" s="102" t="n"/>
      <c r="AK1997" s="102" t="n"/>
      <c r="AL1997" s="102" t="n"/>
      <c r="AM1997" s="102" t="n"/>
      <c r="AN1997" s="102" t="n"/>
      <c r="AO1997" s="102" t="n"/>
      <c r="AP1997" s="102" t="n"/>
      <c r="AQ1997" s="102" t="n"/>
      <c r="AR1997" s="102" t="n"/>
    </row>
    <row r="1998">
      <c r="D1998" s="160" t="n"/>
      <c r="E1998" s="160" t="n"/>
      <c r="F1998" s="160" t="n"/>
      <c r="G1998" s="160" t="n"/>
      <c r="H1998" s="160" t="n"/>
      <c r="I1998" s="160" t="n"/>
      <c r="J1998" s="160" t="n"/>
      <c r="K1998" s="160" t="n"/>
      <c r="L1998" s="160" t="n"/>
      <c r="M1998" s="160" t="n"/>
      <c r="N1998" s="160" t="n"/>
      <c r="O1998" s="160" t="n"/>
      <c r="P1998" s="160" t="n"/>
      <c r="Q1998" s="160" t="n"/>
      <c r="R1998" s="160" t="n"/>
      <c r="S1998" s="160" t="n"/>
      <c r="T1998" s="160" t="n"/>
      <c r="U1998" s="160" t="n"/>
      <c r="V1998" s="160" t="n"/>
      <c r="W1998" s="160" t="n"/>
      <c r="X1998" s="160" t="n"/>
      <c r="Y1998" s="160" t="n"/>
      <c r="Z1998" s="160" t="n"/>
      <c r="AA1998" s="160" t="n"/>
      <c r="AB1998" s="160" t="n"/>
      <c r="AC1998" s="160" t="n"/>
      <c r="AD1998" s="160" t="n"/>
      <c r="AE1998" s="160" t="n"/>
      <c r="AF1998" s="160" t="n"/>
      <c r="AG1998" s="160" t="n"/>
      <c r="AH1998" s="160" t="n"/>
      <c r="AI1998" s="160" t="n"/>
      <c r="AJ1998" s="160" t="n"/>
      <c r="AK1998" s="160" t="n"/>
      <c r="AL1998" s="160" t="n"/>
      <c r="AM1998" s="160" t="n"/>
      <c r="AN1998" s="160" t="n"/>
      <c r="AO1998" s="160" t="n"/>
      <c r="AP1998" s="160" t="n"/>
      <c r="AQ1998" s="160" t="n"/>
      <c r="AR1998" s="160" t="n"/>
    </row>
    <row r="2000">
      <c r="A2000" s="8">
        <f>IF(HSCEI!$C$47="","",HSCEI!$C$47)</f>
        <v/>
      </c>
      <c r="B2000" s="158">
        <f>IF($A2000="",0,COUNT($E2001:$AR2001))</f>
        <v/>
      </c>
      <c r="C2000" s="159">
        <f>IF($B2000=0,0,MAX($E2001:$AR2001))</f>
        <v/>
      </c>
      <c r="D2000" s="101">
        <f>BDS($A2000,FLD_HIST,"headers=y","startcol=1","endcol=7","dir=h","DVD_START_DT",HIST_FROM,"DVD_END_DT",HIST_TO)</f>
        <v/>
      </c>
      <c r="E2000" s="102" t="n"/>
      <c r="F2000" s="102" t="n"/>
      <c r="G2000" s="102" t="n"/>
      <c r="H2000" s="102" t="n"/>
      <c r="I2000" s="102" t="n"/>
      <c r="J2000" s="102" t="n"/>
      <c r="K2000" s="102" t="n"/>
      <c r="L2000" s="102" t="n"/>
      <c r="M2000" s="102" t="n"/>
      <c r="N2000" s="102" t="n"/>
      <c r="O2000" s="102" t="n"/>
      <c r="P2000" s="102" t="n"/>
      <c r="Q2000" s="102" t="n"/>
      <c r="R2000" s="102" t="n"/>
      <c r="S2000" s="102" t="n"/>
      <c r="T2000" s="102" t="n"/>
      <c r="U2000" s="102" t="n"/>
      <c r="V2000" s="102" t="n"/>
      <c r="W2000" s="102" t="n"/>
      <c r="X2000" s="102" t="n"/>
      <c r="Y2000" s="102" t="n"/>
      <c r="Z2000" s="102" t="n"/>
      <c r="AA2000" s="102" t="n"/>
      <c r="AB2000" s="102" t="n"/>
      <c r="AC2000" s="102" t="n"/>
      <c r="AD2000" s="102" t="n"/>
      <c r="AE2000" s="102" t="n"/>
      <c r="AF2000" s="102" t="n"/>
      <c r="AG2000" s="102" t="n"/>
      <c r="AH2000" s="102" t="n"/>
      <c r="AI2000" s="102" t="n"/>
      <c r="AJ2000" s="102" t="n"/>
      <c r="AK2000" s="102" t="n"/>
      <c r="AL2000" s="102" t="n"/>
      <c r="AM2000" s="102" t="n"/>
      <c r="AN2000" s="102" t="n"/>
      <c r="AO2000" s="102" t="n"/>
      <c r="AP2000" s="102" t="n"/>
      <c r="AQ2000" s="102" t="n"/>
      <c r="AR2000" s="102" t="n"/>
    </row>
    <row r="2001">
      <c r="D2001" s="102" t="n"/>
      <c r="E2001" s="102" t="n"/>
      <c r="F2001" s="102" t="n"/>
      <c r="G2001" s="102" t="n"/>
      <c r="H2001" s="102" t="n"/>
      <c r="I2001" s="102" t="n"/>
      <c r="J2001" s="102" t="n"/>
      <c r="K2001" s="102" t="n"/>
      <c r="L2001" s="102" t="n"/>
      <c r="M2001" s="102" t="n"/>
      <c r="N2001" s="102" t="n"/>
      <c r="O2001" s="102" t="n"/>
      <c r="P2001" s="102" t="n"/>
      <c r="Q2001" s="102" t="n"/>
      <c r="R2001" s="102" t="n"/>
      <c r="S2001" s="102" t="n"/>
      <c r="T2001" s="102" t="n"/>
      <c r="U2001" s="102" t="n"/>
      <c r="V2001" s="102" t="n"/>
      <c r="W2001" s="102" t="n"/>
      <c r="X2001" s="102" t="n"/>
      <c r="Y2001" s="102" t="n"/>
      <c r="Z2001" s="102" t="n"/>
      <c r="AA2001" s="102" t="n"/>
      <c r="AB2001" s="102" t="n"/>
      <c r="AC2001" s="102" t="n"/>
      <c r="AD2001" s="102" t="n"/>
      <c r="AE2001" s="102" t="n"/>
      <c r="AF2001" s="102" t="n"/>
      <c r="AG2001" s="102" t="n"/>
      <c r="AH2001" s="102" t="n"/>
      <c r="AI2001" s="102" t="n"/>
      <c r="AJ2001" s="102" t="n"/>
      <c r="AK2001" s="102" t="n"/>
      <c r="AL2001" s="102" t="n"/>
      <c r="AM2001" s="102" t="n"/>
      <c r="AN2001" s="102" t="n"/>
      <c r="AO2001" s="102" t="n"/>
      <c r="AP2001" s="102" t="n"/>
      <c r="AQ2001" s="102" t="n"/>
      <c r="AR2001" s="102" t="n"/>
    </row>
    <row r="2002">
      <c r="D2002" s="102" t="n"/>
      <c r="E2002" s="102" t="n"/>
      <c r="F2002" s="102" t="n"/>
      <c r="G2002" s="102" t="n"/>
      <c r="H2002" s="102" t="n"/>
      <c r="I2002" s="102" t="n"/>
      <c r="J2002" s="102" t="n"/>
      <c r="K2002" s="102" t="n"/>
      <c r="L2002" s="102" t="n"/>
      <c r="M2002" s="102" t="n"/>
      <c r="N2002" s="102" t="n"/>
      <c r="O2002" s="102" t="n"/>
      <c r="P2002" s="102" t="n"/>
      <c r="Q2002" s="102" t="n"/>
      <c r="R2002" s="102" t="n"/>
      <c r="S2002" s="102" t="n"/>
      <c r="T2002" s="102" t="n"/>
      <c r="U2002" s="102" t="n"/>
      <c r="V2002" s="102" t="n"/>
      <c r="W2002" s="102" t="n"/>
      <c r="X2002" s="102" t="n"/>
      <c r="Y2002" s="102" t="n"/>
      <c r="Z2002" s="102" t="n"/>
      <c r="AA2002" s="102" t="n"/>
      <c r="AB2002" s="102" t="n"/>
      <c r="AC2002" s="102" t="n"/>
      <c r="AD2002" s="102" t="n"/>
      <c r="AE2002" s="102" t="n"/>
      <c r="AF2002" s="102" t="n"/>
      <c r="AG2002" s="102" t="n"/>
      <c r="AH2002" s="102" t="n"/>
      <c r="AI2002" s="102" t="n"/>
      <c r="AJ2002" s="102" t="n"/>
      <c r="AK2002" s="102" t="n"/>
      <c r="AL2002" s="102" t="n"/>
      <c r="AM2002" s="102" t="n"/>
      <c r="AN2002" s="102" t="n"/>
      <c r="AO2002" s="102" t="n"/>
      <c r="AP2002" s="102" t="n"/>
      <c r="AQ2002" s="102" t="n"/>
      <c r="AR2002" s="102" t="n"/>
    </row>
    <row r="2003">
      <c r="D2003" s="102" t="n"/>
      <c r="E2003" s="102" t="n"/>
      <c r="F2003" s="102" t="n"/>
      <c r="G2003" s="102" t="n"/>
      <c r="H2003" s="102" t="n"/>
      <c r="I2003" s="102" t="n"/>
      <c r="J2003" s="102" t="n"/>
      <c r="K2003" s="102" t="n"/>
      <c r="L2003" s="102" t="n"/>
      <c r="M2003" s="102" t="n"/>
      <c r="N2003" s="102" t="n"/>
      <c r="O2003" s="102" t="n"/>
      <c r="P2003" s="102" t="n"/>
      <c r="Q2003" s="102" t="n"/>
      <c r="R2003" s="102" t="n"/>
      <c r="S2003" s="102" t="n"/>
      <c r="T2003" s="102" t="n"/>
      <c r="U2003" s="102" t="n"/>
      <c r="V2003" s="102" t="n"/>
      <c r="W2003" s="102" t="n"/>
      <c r="X2003" s="102" t="n"/>
      <c r="Y2003" s="102" t="n"/>
      <c r="Z2003" s="102" t="n"/>
      <c r="AA2003" s="102" t="n"/>
      <c r="AB2003" s="102" t="n"/>
      <c r="AC2003" s="102" t="n"/>
      <c r="AD2003" s="102" t="n"/>
      <c r="AE2003" s="102" t="n"/>
      <c r="AF2003" s="102" t="n"/>
      <c r="AG2003" s="102" t="n"/>
      <c r="AH2003" s="102" t="n"/>
      <c r="AI2003" s="102" t="n"/>
      <c r="AJ2003" s="102" t="n"/>
      <c r="AK2003" s="102" t="n"/>
      <c r="AL2003" s="102" t="n"/>
      <c r="AM2003" s="102" t="n"/>
      <c r="AN2003" s="102" t="n"/>
      <c r="AO2003" s="102" t="n"/>
      <c r="AP2003" s="102" t="n"/>
      <c r="AQ2003" s="102" t="n"/>
      <c r="AR2003" s="102" t="n"/>
    </row>
    <row r="2004">
      <c r="D2004" s="160" t="n"/>
      <c r="E2004" s="160" t="n"/>
      <c r="F2004" s="160" t="n"/>
      <c r="G2004" s="160" t="n"/>
      <c r="H2004" s="160" t="n"/>
      <c r="I2004" s="160" t="n"/>
      <c r="J2004" s="160" t="n"/>
      <c r="K2004" s="160" t="n"/>
      <c r="L2004" s="160" t="n"/>
      <c r="M2004" s="160" t="n"/>
      <c r="N2004" s="160" t="n"/>
      <c r="O2004" s="160" t="n"/>
      <c r="P2004" s="160" t="n"/>
      <c r="Q2004" s="160" t="n"/>
      <c r="R2004" s="160" t="n"/>
      <c r="S2004" s="160" t="n"/>
      <c r="T2004" s="160" t="n"/>
      <c r="U2004" s="160" t="n"/>
      <c r="V2004" s="160" t="n"/>
      <c r="W2004" s="160" t="n"/>
      <c r="X2004" s="160" t="n"/>
      <c r="Y2004" s="160" t="n"/>
      <c r="Z2004" s="160" t="n"/>
      <c r="AA2004" s="160" t="n"/>
      <c r="AB2004" s="160" t="n"/>
      <c r="AC2004" s="160" t="n"/>
      <c r="AD2004" s="160" t="n"/>
      <c r="AE2004" s="160" t="n"/>
      <c r="AF2004" s="160" t="n"/>
      <c r="AG2004" s="160" t="n"/>
      <c r="AH2004" s="160" t="n"/>
      <c r="AI2004" s="160" t="n"/>
      <c r="AJ2004" s="160" t="n"/>
      <c r="AK2004" s="160" t="n"/>
      <c r="AL2004" s="160" t="n"/>
      <c r="AM2004" s="160" t="n"/>
      <c r="AN2004" s="160" t="n"/>
      <c r="AO2004" s="160" t="n"/>
      <c r="AP2004" s="160" t="n"/>
      <c r="AQ2004" s="160" t="n"/>
      <c r="AR2004" s="160" t="n"/>
    </row>
    <row r="2007">
      <c r="A2007" s="2">
        <f>IF($A2000="","","   projections")</f>
        <v/>
      </c>
      <c r="B2007" s="158">
        <f>IF($A2000="",0,COUNT($E2008:$AR2008))</f>
        <v/>
      </c>
      <c r="C2007" s="159">
        <f>IF($B2007=0,0,MAX($E2008:$AR2008))</f>
        <v/>
      </c>
      <c r="D2007" s="101">
        <f>BDS($A2000,FLD_PROJ,"headers=y","startcol=1","endcol=3","dir=h")</f>
        <v/>
      </c>
      <c r="E2007" s="102" t="n"/>
      <c r="F2007" s="102" t="n"/>
      <c r="G2007" s="102" t="n"/>
      <c r="H2007" s="102" t="n"/>
      <c r="I2007" s="102" t="n"/>
      <c r="J2007" s="102" t="n"/>
      <c r="K2007" s="102" t="n"/>
      <c r="L2007" s="102" t="n"/>
      <c r="M2007" s="102" t="n"/>
      <c r="N2007" s="102" t="n"/>
      <c r="O2007" s="102" t="n"/>
      <c r="P2007" s="102" t="n"/>
      <c r="Q2007" s="102" t="n"/>
      <c r="R2007" s="102" t="n"/>
      <c r="S2007" s="102" t="n"/>
      <c r="T2007" s="102" t="n"/>
      <c r="U2007" s="102" t="n"/>
      <c r="V2007" s="102" t="n"/>
      <c r="W2007" s="102" t="n"/>
      <c r="X2007" s="102" t="n"/>
      <c r="Y2007" s="102" t="n"/>
      <c r="Z2007" s="102" t="n"/>
      <c r="AA2007" s="102" t="n"/>
      <c r="AB2007" s="102" t="n"/>
      <c r="AC2007" s="102" t="n"/>
      <c r="AD2007" s="102" t="n"/>
      <c r="AE2007" s="102" t="n"/>
      <c r="AF2007" s="102" t="n"/>
      <c r="AG2007" s="102" t="n"/>
      <c r="AH2007" s="102" t="n"/>
      <c r="AI2007" s="102" t="n"/>
      <c r="AJ2007" s="102" t="n"/>
      <c r="AK2007" s="102" t="n"/>
      <c r="AL2007" s="102" t="n"/>
      <c r="AM2007" s="102" t="n"/>
      <c r="AN2007" s="102" t="n"/>
      <c r="AO2007" s="102" t="n"/>
      <c r="AP2007" s="102" t="n"/>
      <c r="AQ2007" s="102" t="n"/>
      <c r="AR2007" s="102" t="n"/>
    </row>
    <row r="2008">
      <c r="D2008" s="102" t="n"/>
      <c r="E2008" s="102" t="n"/>
      <c r="F2008" s="102" t="n"/>
      <c r="G2008" s="102" t="n"/>
      <c r="H2008" s="102" t="n"/>
      <c r="I2008" s="102" t="n"/>
      <c r="J2008" s="102" t="n"/>
      <c r="K2008" s="102" t="n"/>
      <c r="L2008" s="102" t="n"/>
      <c r="M2008" s="102" t="n"/>
      <c r="N2008" s="102" t="n"/>
      <c r="O2008" s="102" t="n"/>
      <c r="P2008" s="102" t="n"/>
      <c r="Q2008" s="102" t="n"/>
      <c r="R2008" s="102" t="n"/>
      <c r="S2008" s="102" t="n"/>
      <c r="T2008" s="102" t="n"/>
      <c r="U2008" s="102" t="n"/>
      <c r="V2008" s="102" t="n"/>
      <c r="W2008" s="102" t="n"/>
      <c r="X2008" s="102" t="n"/>
      <c r="Y2008" s="102" t="n"/>
      <c r="Z2008" s="102" t="n"/>
      <c r="AA2008" s="102" t="n"/>
      <c r="AB2008" s="102" t="n"/>
      <c r="AC2008" s="102" t="n"/>
      <c r="AD2008" s="102" t="n"/>
      <c r="AE2008" s="102" t="n"/>
      <c r="AF2008" s="102" t="n"/>
      <c r="AG2008" s="102" t="n"/>
      <c r="AH2008" s="102" t="n"/>
      <c r="AI2008" s="102" t="n"/>
      <c r="AJ2008" s="102" t="n"/>
      <c r="AK2008" s="102" t="n"/>
      <c r="AL2008" s="102" t="n"/>
      <c r="AM2008" s="102" t="n"/>
      <c r="AN2008" s="102" t="n"/>
      <c r="AO2008" s="102" t="n"/>
      <c r="AP2008" s="102" t="n"/>
      <c r="AQ2008" s="102" t="n"/>
      <c r="AR2008" s="102" t="n"/>
    </row>
    <row r="2009">
      <c r="D2009" s="160" t="n"/>
      <c r="E2009" s="160" t="n"/>
      <c r="F2009" s="160" t="n"/>
      <c r="G2009" s="160" t="n"/>
      <c r="H2009" s="160" t="n"/>
      <c r="I2009" s="160" t="n"/>
      <c r="J2009" s="160" t="n"/>
      <c r="K2009" s="160" t="n"/>
      <c r="L2009" s="160" t="n"/>
      <c r="M2009" s="160" t="n"/>
      <c r="N2009" s="160" t="n"/>
      <c r="O2009" s="160" t="n"/>
      <c r="P2009" s="160" t="n"/>
      <c r="Q2009" s="160" t="n"/>
      <c r="R2009" s="160" t="n"/>
      <c r="S2009" s="160" t="n"/>
      <c r="T2009" s="160" t="n"/>
      <c r="U2009" s="160" t="n"/>
      <c r="V2009" s="160" t="n"/>
      <c r="W2009" s="160" t="n"/>
      <c r="X2009" s="160" t="n"/>
      <c r="Y2009" s="160" t="n"/>
      <c r="Z2009" s="160" t="n"/>
      <c r="AA2009" s="160" t="n"/>
      <c r="AB2009" s="160" t="n"/>
      <c r="AC2009" s="160" t="n"/>
      <c r="AD2009" s="160" t="n"/>
      <c r="AE2009" s="160" t="n"/>
      <c r="AF2009" s="160" t="n"/>
      <c r="AG2009" s="160" t="n"/>
      <c r="AH2009" s="160" t="n"/>
      <c r="AI2009" s="160" t="n"/>
      <c r="AJ2009" s="160" t="n"/>
      <c r="AK2009" s="160" t="n"/>
      <c r="AL2009" s="160" t="n"/>
      <c r="AM2009" s="160" t="n"/>
      <c r="AN2009" s="160" t="n"/>
      <c r="AO2009" s="160" t="n"/>
      <c r="AP2009" s="160" t="n"/>
      <c r="AQ2009" s="160" t="n"/>
      <c r="AR2009" s="160" t="n"/>
    </row>
    <row r="2011">
      <c r="A2011" s="8">
        <f>IF(HSCEI!$C$48="","",HSCEI!$C$48)</f>
        <v/>
      </c>
      <c r="B2011" s="158">
        <f>IF($A2011="",0,COUNT($E2012:$AR2012))</f>
        <v/>
      </c>
      <c r="C2011" s="159">
        <f>IF($B2011=0,0,MAX($E2012:$AR2012))</f>
        <v/>
      </c>
      <c r="D2011" s="101">
        <f>BDS($A2011,FLD_HIST,"headers=y","startcol=1","endcol=7","dir=h","DVD_START_DT",HIST_FROM,"DVD_END_DT",HIST_TO)</f>
        <v/>
      </c>
      <c r="E2011" s="102" t="n"/>
      <c r="F2011" s="102" t="n"/>
      <c r="G2011" s="102" t="n"/>
      <c r="H2011" s="102" t="n"/>
      <c r="I2011" s="102" t="n"/>
      <c r="J2011" s="102" t="n"/>
      <c r="K2011" s="102" t="n"/>
      <c r="L2011" s="102" t="n"/>
      <c r="M2011" s="102" t="n"/>
      <c r="N2011" s="102" t="n"/>
      <c r="O2011" s="102" t="n"/>
      <c r="P2011" s="102" t="n"/>
      <c r="Q2011" s="102" t="n"/>
      <c r="R2011" s="102" t="n"/>
      <c r="S2011" s="102" t="n"/>
      <c r="T2011" s="102" t="n"/>
      <c r="U2011" s="102" t="n"/>
      <c r="V2011" s="102" t="n"/>
      <c r="W2011" s="102" t="n"/>
      <c r="X2011" s="102" t="n"/>
      <c r="Y2011" s="102" t="n"/>
      <c r="Z2011" s="102" t="n"/>
      <c r="AA2011" s="102" t="n"/>
      <c r="AB2011" s="102" t="n"/>
      <c r="AC2011" s="102" t="n"/>
      <c r="AD2011" s="102" t="n"/>
      <c r="AE2011" s="102" t="n"/>
      <c r="AF2011" s="102" t="n"/>
      <c r="AG2011" s="102" t="n"/>
      <c r="AH2011" s="102" t="n"/>
      <c r="AI2011" s="102" t="n"/>
      <c r="AJ2011" s="102" t="n"/>
      <c r="AK2011" s="102" t="n"/>
      <c r="AL2011" s="102" t="n"/>
      <c r="AM2011" s="102" t="n"/>
      <c r="AN2011" s="102" t="n"/>
      <c r="AO2011" s="102" t="n"/>
      <c r="AP2011" s="102" t="n"/>
      <c r="AQ2011" s="102" t="n"/>
      <c r="AR2011" s="102" t="n"/>
    </row>
    <row r="2012">
      <c r="D2012" s="102" t="n"/>
      <c r="E2012" s="102" t="n"/>
      <c r="F2012" s="102" t="n"/>
      <c r="G2012" s="102" t="n"/>
      <c r="H2012" s="102" t="n"/>
      <c r="I2012" s="102" t="n"/>
      <c r="J2012" s="102" t="n"/>
      <c r="K2012" s="102" t="n"/>
      <c r="L2012" s="102" t="n"/>
      <c r="M2012" s="102" t="n"/>
      <c r="N2012" s="102" t="n"/>
      <c r="O2012" s="102" t="n"/>
      <c r="P2012" s="102" t="n"/>
      <c r="Q2012" s="102" t="n"/>
      <c r="R2012" s="102" t="n"/>
      <c r="S2012" s="102" t="n"/>
      <c r="T2012" s="102" t="n"/>
      <c r="U2012" s="102" t="n"/>
      <c r="V2012" s="102" t="n"/>
      <c r="W2012" s="102" t="n"/>
      <c r="X2012" s="102" t="n"/>
      <c r="Y2012" s="102" t="n"/>
      <c r="Z2012" s="102" t="n"/>
      <c r="AA2012" s="102" t="n"/>
      <c r="AB2012" s="102" t="n"/>
      <c r="AC2012" s="102" t="n"/>
      <c r="AD2012" s="102" t="n"/>
      <c r="AE2012" s="102" t="n"/>
      <c r="AF2012" s="102" t="n"/>
      <c r="AG2012" s="102" t="n"/>
      <c r="AH2012" s="102" t="n"/>
      <c r="AI2012" s="102" t="n"/>
      <c r="AJ2012" s="102" t="n"/>
      <c r="AK2012" s="102" t="n"/>
      <c r="AL2012" s="102" t="n"/>
      <c r="AM2012" s="102" t="n"/>
      <c r="AN2012" s="102" t="n"/>
      <c r="AO2012" s="102" t="n"/>
      <c r="AP2012" s="102" t="n"/>
      <c r="AQ2012" s="102" t="n"/>
      <c r="AR2012" s="102" t="n"/>
    </row>
    <row r="2013">
      <c r="D2013" s="102" t="n"/>
      <c r="E2013" s="102" t="n"/>
      <c r="F2013" s="102" t="n"/>
      <c r="G2013" s="102" t="n"/>
      <c r="H2013" s="102" t="n"/>
      <c r="I2013" s="102" t="n"/>
      <c r="J2013" s="102" t="n"/>
      <c r="K2013" s="102" t="n"/>
      <c r="L2013" s="102" t="n"/>
      <c r="M2013" s="102" t="n"/>
      <c r="N2013" s="102" t="n"/>
      <c r="O2013" s="102" t="n"/>
      <c r="P2013" s="102" t="n"/>
      <c r="Q2013" s="102" t="n"/>
      <c r="R2013" s="102" t="n"/>
      <c r="S2013" s="102" t="n"/>
      <c r="T2013" s="102" t="n"/>
      <c r="U2013" s="102" t="n"/>
      <c r="V2013" s="102" t="n"/>
      <c r="W2013" s="102" t="n"/>
      <c r="X2013" s="102" t="n"/>
      <c r="Y2013" s="102" t="n"/>
      <c r="Z2013" s="102" t="n"/>
      <c r="AA2013" s="102" t="n"/>
      <c r="AB2013" s="102" t="n"/>
      <c r="AC2013" s="102" t="n"/>
      <c r="AD2013" s="102" t="n"/>
      <c r="AE2013" s="102" t="n"/>
      <c r="AF2013" s="102" t="n"/>
      <c r="AG2013" s="102" t="n"/>
      <c r="AH2013" s="102" t="n"/>
      <c r="AI2013" s="102" t="n"/>
      <c r="AJ2013" s="102" t="n"/>
      <c r="AK2013" s="102" t="n"/>
      <c r="AL2013" s="102" t="n"/>
      <c r="AM2013" s="102" t="n"/>
      <c r="AN2013" s="102" t="n"/>
      <c r="AO2013" s="102" t="n"/>
      <c r="AP2013" s="102" t="n"/>
      <c r="AQ2013" s="102" t="n"/>
      <c r="AR2013" s="102" t="n"/>
    </row>
    <row r="2014">
      <c r="D2014" s="102" t="n"/>
      <c r="E2014" s="102" t="n"/>
      <c r="F2014" s="102" t="n"/>
      <c r="G2014" s="102" t="n"/>
      <c r="H2014" s="102" t="n"/>
      <c r="I2014" s="102" t="n"/>
      <c r="J2014" s="102" t="n"/>
      <c r="K2014" s="102" t="n"/>
      <c r="L2014" s="102" t="n"/>
      <c r="M2014" s="102" t="n"/>
      <c r="N2014" s="102" t="n"/>
      <c r="O2014" s="102" t="n"/>
      <c r="P2014" s="102" t="n"/>
      <c r="Q2014" s="102" t="n"/>
      <c r="R2014" s="102" t="n"/>
      <c r="S2014" s="102" t="n"/>
      <c r="T2014" s="102" t="n"/>
      <c r="U2014" s="102" t="n"/>
      <c r="V2014" s="102" t="n"/>
      <c r="W2014" s="102" t="n"/>
      <c r="X2014" s="102" t="n"/>
      <c r="Y2014" s="102" t="n"/>
      <c r="Z2014" s="102" t="n"/>
      <c r="AA2014" s="102" t="n"/>
      <c r="AB2014" s="102" t="n"/>
      <c r="AC2014" s="102" t="n"/>
      <c r="AD2014" s="102" t="n"/>
      <c r="AE2014" s="102" t="n"/>
      <c r="AF2014" s="102" t="n"/>
      <c r="AG2014" s="102" t="n"/>
      <c r="AH2014" s="102" t="n"/>
      <c r="AI2014" s="102" t="n"/>
      <c r="AJ2014" s="102" t="n"/>
      <c r="AK2014" s="102" t="n"/>
      <c r="AL2014" s="102" t="n"/>
      <c r="AM2014" s="102" t="n"/>
      <c r="AN2014" s="102" t="n"/>
      <c r="AO2014" s="102" t="n"/>
      <c r="AP2014" s="102" t="n"/>
      <c r="AQ2014" s="102" t="n"/>
      <c r="AR2014" s="102" t="n"/>
    </row>
    <row r="2015">
      <c r="D2015" s="160" t="n"/>
      <c r="E2015" s="160" t="n"/>
      <c r="F2015" s="160" t="n"/>
      <c r="G2015" s="160" t="n"/>
      <c r="H2015" s="160" t="n"/>
      <c r="I2015" s="160" t="n"/>
      <c r="J2015" s="160" t="n"/>
      <c r="K2015" s="160" t="n"/>
      <c r="L2015" s="160" t="n"/>
      <c r="M2015" s="160" t="n"/>
      <c r="N2015" s="160" t="n"/>
      <c r="O2015" s="160" t="n"/>
      <c r="P2015" s="160" t="n"/>
      <c r="Q2015" s="160" t="n"/>
      <c r="R2015" s="160" t="n"/>
      <c r="S2015" s="160" t="n"/>
      <c r="T2015" s="160" t="n"/>
      <c r="U2015" s="160" t="n"/>
      <c r="V2015" s="160" t="n"/>
      <c r="W2015" s="160" t="n"/>
      <c r="X2015" s="160" t="n"/>
      <c r="Y2015" s="160" t="n"/>
      <c r="Z2015" s="160" t="n"/>
      <c r="AA2015" s="160" t="n"/>
      <c r="AB2015" s="160" t="n"/>
      <c r="AC2015" s="160" t="n"/>
      <c r="AD2015" s="160" t="n"/>
      <c r="AE2015" s="160" t="n"/>
      <c r="AF2015" s="160" t="n"/>
      <c r="AG2015" s="160" t="n"/>
      <c r="AH2015" s="160" t="n"/>
      <c r="AI2015" s="160" t="n"/>
      <c r="AJ2015" s="160" t="n"/>
      <c r="AK2015" s="160" t="n"/>
      <c r="AL2015" s="160" t="n"/>
      <c r="AM2015" s="160" t="n"/>
      <c r="AN2015" s="160" t="n"/>
      <c r="AO2015" s="160" t="n"/>
      <c r="AP2015" s="160" t="n"/>
      <c r="AQ2015" s="160" t="n"/>
      <c r="AR2015" s="160" t="n"/>
    </row>
    <row r="2018">
      <c r="A2018" s="2">
        <f>IF($A2011="","","   projections")</f>
        <v/>
      </c>
      <c r="B2018" s="158">
        <f>IF($A2011="",0,COUNT($E2019:$AR2019))</f>
        <v/>
      </c>
      <c r="C2018" s="159">
        <f>IF($B2018=0,0,MAX($E2019:$AR2019))</f>
        <v/>
      </c>
      <c r="D2018" s="101">
        <f>BDS($A2011,FLD_PROJ,"headers=y","startcol=1","endcol=3","dir=h")</f>
        <v/>
      </c>
      <c r="E2018" s="102" t="n"/>
      <c r="F2018" s="102" t="n"/>
      <c r="G2018" s="102" t="n"/>
      <c r="H2018" s="102" t="n"/>
      <c r="I2018" s="102" t="n"/>
      <c r="J2018" s="102" t="n"/>
      <c r="K2018" s="102" t="n"/>
      <c r="L2018" s="102" t="n"/>
      <c r="M2018" s="102" t="n"/>
      <c r="N2018" s="102" t="n"/>
      <c r="O2018" s="102" t="n"/>
      <c r="P2018" s="102" t="n"/>
      <c r="Q2018" s="102" t="n"/>
      <c r="R2018" s="102" t="n"/>
      <c r="S2018" s="102" t="n"/>
      <c r="T2018" s="102" t="n"/>
      <c r="U2018" s="102" t="n"/>
      <c r="V2018" s="102" t="n"/>
      <c r="W2018" s="102" t="n"/>
      <c r="X2018" s="102" t="n"/>
      <c r="Y2018" s="102" t="n"/>
      <c r="Z2018" s="102" t="n"/>
      <c r="AA2018" s="102" t="n"/>
      <c r="AB2018" s="102" t="n"/>
      <c r="AC2018" s="102" t="n"/>
      <c r="AD2018" s="102" t="n"/>
      <c r="AE2018" s="102" t="n"/>
      <c r="AF2018" s="102" t="n"/>
      <c r="AG2018" s="102" t="n"/>
      <c r="AH2018" s="102" t="n"/>
      <c r="AI2018" s="102" t="n"/>
      <c r="AJ2018" s="102" t="n"/>
      <c r="AK2018" s="102" t="n"/>
      <c r="AL2018" s="102" t="n"/>
      <c r="AM2018" s="102" t="n"/>
      <c r="AN2018" s="102" t="n"/>
      <c r="AO2018" s="102" t="n"/>
      <c r="AP2018" s="102" t="n"/>
      <c r="AQ2018" s="102" t="n"/>
      <c r="AR2018" s="102" t="n"/>
    </row>
    <row r="2019">
      <c r="D2019" s="102" t="n"/>
      <c r="E2019" s="102" t="n"/>
      <c r="F2019" s="102" t="n"/>
      <c r="G2019" s="102" t="n"/>
      <c r="H2019" s="102" t="n"/>
      <c r="I2019" s="102" t="n"/>
      <c r="J2019" s="102" t="n"/>
      <c r="K2019" s="102" t="n"/>
      <c r="L2019" s="102" t="n"/>
      <c r="M2019" s="102" t="n"/>
      <c r="N2019" s="102" t="n"/>
      <c r="O2019" s="102" t="n"/>
      <c r="P2019" s="102" t="n"/>
      <c r="Q2019" s="102" t="n"/>
      <c r="R2019" s="102" t="n"/>
      <c r="S2019" s="102" t="n"/>
      <c r="T2019" s="102" t="n"/>
      <c r="U2019" s="102" t="n"/>
      <c r="V2019" s="102" t="n"/>
      <c r="W2019" s="102" t="n"/>
      <c r="X2019" s="102" t="n"/>
      <c r="Y2019" s="102" t="n"/>
      <c r="Z2019" s="102" t="n"/>
      <c r="AA2019" s="102" t="n"/>
      <c r="AB2019" s="102" t="n"/>
      <c r="AC2019" s="102" t="n"/>
      <c r="AD2019" s="102" t="n"/>
      <c r="AE2019" s="102" t="n"/>
      <c r="AF2019" s="102" t="n"/>
      <c r="AG2019" s="102" t="n"/>
      <c r="AH2019" s="102" t="n"/>
      <c r="AI2019" s="102" t="n"/>
      <c r="AJ2019" s="102" t="n"/>
      <c r="AK2019" s="102" t="n"/>
      <c r="AL2019" s="102" t="n"/>
      <c r="AM2019" s="102" t="n"/>
      <c r="AN2019" s="102" t="n"/>
      <c r="AO2019" s="102" t="n"/>
      <c r="AP2019" s="102" t="n"/>
      <c r="AQ2019" s="102" t="n"/>
      <c r="AR2019" s="102" t="n"/>
    </row>
    <row r="2020">
      <c r="D2020" s="160" t="n"/>
      <c r="E2020" s="160" t="n"/>
      <c r="F2020" s="160" t="n"/>
      <c r="G2020" s="160" t="n"/>
      <c r="H2020" s="160" t="n"/>
      <c r="I2020" s="160" t="n"/>
      <c r="J2020" s="160" t="n"/>
      <c r="K2020" s="160" t="n"/>
      <c r="L2020" s="160" t="n"/>
      <c r="M2020" s="160" t="n"/>
      <c r="N2020" s="160" t="n"/>
      <c r="O2020" s="160" t="n"/>
      <c r="P2020" s="160" t="n"/>
      <c r="Q2020" s="160" t="n"/>
      <c r="R2020" s="160" t="n"/>
      <c r="S2020" s="160" t="n"/>
      <c r="T2020" s="160" t="n"/>
      <c r="U2020" s="160" t="n"/>
      <c r="V2020" s="160" t="n"/>
      <c r="W2020" s="160" t="n"/>
      <c r="X2020" s="160" t="n"/>
      <c r="Y2020" s="160" t="n"/>
      <c r="Z2020" s="160" t="n"/>
      <c r="AA2020" s="160" t="n"/>
      <c r="AB2020" s="160" t="n"/>
      <c r="AC2020" s="160" t="n"/>
      <c r="AD2020" s="160" t="n"/>
      <c r="AE2020" s="160" t="n"/>
      <c r="AF2020" s="160" t="n"/>
      <c r="AG2020" s="160" t="n"/>
      <c r="AH2020" s="160" t="n"/>
      <c r="AI2020" s="160" t="n"/>
      <c r="AJ2020" s="160" t="n"/>
      <c r="AK2020" s="160" t="n"/>
      <c r="AL2020" s="160" t="n"/>
      <c r="AM2020" s="160" t="n"/>
      <c r="AN2020" s="160" t="n"/>
      <c r="AO2020" s="160" t="n"/>
      <c r="AP2020" s="160" t="n"/>
      <c r="AQ2020" s="160" t="n"/>
      <c r="AR2020" s="160" t="n"/>
    </row>
    <row r="2022">
      <c r="A2022" s="8">
        <f>IF(HSCEI!$C$49="","",HSCEI!$C$49)</f>
        <v/>
      </c>
      <c r="B2022" s="158">
        <f>IF($A2022="",0,COUNT($E2023:$AR2023))</f>
        <v/>
      </c>
      <c r="C2022" s="159">
        <f>IF($B2022=0,0,MAX($E2023:$AR2023))</f>
        <v/>
      </c>
      <c r="D2022" s="101">
        <f>BDS($A2022,FLD_HIST,"headers=y","startcol=1","endcol=7","dir=h","DVD_START_DT",HIST_FROM,"DVD_END_DT",HIST_TO)</f>
        <v/>
      </c>
      <c r="E2022" s="102" t="n"/>
      <c r="F2022" s="102" t="n"/>
      <c r="G2022" s="102" t="n"/>
      <c r="H2022" s="102" t="n"/>
      <c r="I2022" s="102" t="n"/>
      <c r="J2022" s="102" t="n"/>
      <c r="K2022" s="102" t="n"/>
      <c r="L2022" s="102" t="n"/>
      <c r="M2022" s="102" t="n"/>
      <c r="N2022" s="102" t="n"/>
      <c r="O2022" s="102" t="n"/>
      <c r="P2022" s="102" t="n"/>
      <c r="Q2022" s="102" t="n"/>
      <c r="R2022" s="102" t="n"/>
      <c r="S2022" s="102" t="n"/>
      <c r="T2022" s="102" t="n"/>
      <c r="U2022" s="102" t="n"/>
      <c r="V2022" s="102" t="n"/>
      <c r="W2022" s="102" t="n"/>
      <c r="X2022" s="102" t="n"/>
      <c r="Y2022" s="102" t="n"/>
      <c r="Z2022" s="102" t="n"/>
      <c r="AA2022" s="102" t="n"/>
      <c r="AB2022" s="102" t="n"/>
      <c r="AC2022" s="102" t="n"/>
      <c r="AD2022" s="102" t="n"/>
      <c r="AE2022" s="102" t="n"/>
      <c r="AF2022" s="102" t="n"/>
      <c r="AG2022" s="102" t="n"/>
      <c r="AH2022" s="102" t="n"/>
      <c r="AI2022" s="102" t="n"/>
      <c r="AJ2022" s="102" t="n"/>
      <c r="AK2022" s="102" t="n"/>
      <c r="AL2022" s="102" t="n"/>
      <c r="AM2022" s="102" t="n"/>
      <c r="AN2022" s="102" t="n"/>
      <c r="AO2022" s="102" t="n"/>
      <c r="AP2022" s="102" t="n"/>
      <c r="AQ2022" s="102" t="n"/>
      <c r="AR2022" s="102" t="n"/>
    </row>
    <row r="2023">
      <c r="D2023" s="102" t="n"/>
      <c r="E2023" s="102" t="n"/>
      <c r="F2023" s="102" t="n"/>
      <c r="G2023" s="102" t="n"/>
      <c r="H2023" s="102" t="n"/>
      <c r="I2023" s="102" t="n"/>
      <c r="J2023" s="102" t="n"/>
      <c r="K2023" s="102" t="n"/>
      <c r="L2023" s="102" t="n"/>
      <c r="M2023" s="102" t="n"/>
      <c r="N2023" s="102" t="n"/>
      <c r="O2023" s="102" t="n"/>
      <c r="P2023" s="102" t="n"/>
      <c r="Q2023" s="102" t="n"/>
      <c r="R2023" s="102" t="n"/>
      <c r="S2023" s="102" t="n"/>
      <c r="T2023" s="102" t="n"/>
      <c r="U2023" s="102" t="n"/>
      <c r="V2023" s="102" t="n"/>
      <c r="W2023" s="102" t="n"/>
      <c r="X2023" s="102" t="n"/>
      <c r="Y2023" s="102" t="n"/>
      <c r="Z2023" s="102" t="n"/>
      <c r="AA2023" s="102" t="n"/>
      <c r="AB2023" s="102" t="n"/>
      <c r="AC2023" s="102" t="n"/>
      <c r="AD2023" s="102" t="n"/>
      <c r="AE2023" s="102" t="n"/>
      <c r="AF2023" s="102" t="n"/>
      <c r="AG2023" s="102" t="n"/>
      <c r="AH2023" s="102" t="n"/>
      <c r="AI2023" s="102" t="n"/>
      <c r="AJ2023" s="102" t="n"/>
      <c r="AK2023" s="102" t="n"/>
      <c r="AL2023" s="102" t="n"/>
      <c r="AM2023" s="102" t="n"/>
      <c r="AN2023" s="102" t="n"/>
      <c r="AO2023" s="102" t="n"/>
      <c r="AP2023" s="102" t="n"/>
      <c r="AQ2023" s="102" t="n"/>
      <c r="AR2023" s="102" t="n"/>
    </row>
    <row r="2024">
      <c r="D2024" s="102" t="n"/>
      <c r="E2024" s="102" t="n"/>
      <c r="F2024" s="102" t="n"/>
      <c r="G2024" s="102" t="n"/>
      <c r="H2024" s="102" t="n"/>
      <c r="I2024" s="102" t="n"/>
      <c r="J2024" s="102" t="n"/>
      <c r="K2024" s="102" t="n"/>
      <c r="L2024" s="102" t="n"/>
      <c r="M2024" s="102" t="n"/>
      <c r="N2024" s="102" t="n"/>
      <c r="O2024" s="102" t="n"/>
      <c r="P2024" s="102" t="n"/>
      <c r="Q2024" s="102" t="n"/>
      <c r="R2024" s="102" t="n"/>
      <c r="S2024" s="102" t="n"/>
      <c r="T2024" s="102" t="n"/>
      <c r="U2024" s="102" t="n"/>
      <c r="V2024" s="102" t="n"/>
      <c r="W2024" s="102" t="n"/>
      <c r="X2024" s="102" t="n"/>
      <c r="Y2024" s="102" t="n"/>
      <c r="Z2024" s="102" t="n"/>
      <c r="AA2024" s="102" t="n"/>
      <c r="AB2024" s="102" t="n"/>
      <c r="AC2024" s="102" t="n"/>
      <c r="AD2024" s="102" t="n"/>
      <c r="AE2024" s="102" t="n"/>
      <c r="AF2024" s="102" t="n"/>
      <c r="AG2024" s="102" t="n"/>
      <c r="AH2024" s="102" t="n"/>
      <c r="AI2024" s="102" t="n"/>
      <c r="AJ2024" s="102" t="n"/>
      <c r="AK2024" s="102" t="n"/>
      <c r="AL2024" s="102" t="n"/>
      <c r="AM2024" s="102" t="n"/>
      <c r="AN2024" s="102" t="n"/>
      <c r="AO2024" s="102" t="n"/>
      <c r="AP2024" s="102" t="n"/>
      <c r="AQ2024" s="102" t="n"/>
      <c r="AR2024" s="102" t="n"/>
    </row>
    <row r="2025">
      <c r="D2025" s="102" t="n"/>
      <c r="E2025" s="102" t="n"/>
      <c r="F2025" s="102" t="n"/>
      <c r="G2025" s="102" t="n"/>
      <c r="H2025" s="102" t="n"/>
      <c r="I2025" s="102" t="n"/>
      <c r="J2025" s="102" t="n"/>
      <c r="K2025" s="102" t="n"/>
      <c r="L2025" s="102" t="n"/>
      <c r="M2025" s="102" t="n"/>
      <c r="N2025" s="102" t="n"/>
      <c r="O2025" s="102" t="n"/>
      <c r="P2025" s="102" t="n"/>
      <c r="Q2025" s="102" t="n"/>
      <c r="R2025" s="102" t="n"/>
      <c r="S2025" s="102" t="n"/>
      <c r="T2025" s="102" t="n"/>
      <c r="U2025" s="102" t="n"/>
      <c r="V2025" s="102" t="n"/>
      <c r="W2025" s="102" t="n"/>
      <c r="X2025" s="102" t="n"/>
      <c r="Y2025" s="102" t="n"/>
      <c r="Z2025" s="102" t="n"/>
      <c r="AA2025" s="102" t="n"/>
      <c r="AB2025" s="102" t="n"/>
      <c r="AC2025" s="102" t="n"/>
      <c r="AD2025" s="102" t="n"/>
      <c r="AE2025" s="102" t="n"/>
      <c r="AF2025" s="102" t="n"/>
      <c r="AG2025" s="102" t="n"/>
      <c r="AH2025" s="102" t="n"/>
      <c r="AI2025" s="102" t="n"/>
      <c r="AJ2025" s="102" t="n"/>
      <c r="AK2025" s="102" t="n"/>
      <c r="AL2025" s="102" t="n"/>
      <c r="AM2025" s="102" t="n"/>
      <c r="AN2025" s="102" t="n"/>
      <c r="AO2025" s="102" t="n"/>
      <c r="AP2025" s="102" t="n"/>
      <c r="AQ2025" s="102" t="n"/>
      <c r="AR2025" s="102" t="n"/>
    </row>
    <row r="2026">
      <c r="D2026" s="160" t="n"/>
      <c r="E2026" s="160" t="n"/>
      <c r="F2026" s="160" t="n"/>
      <c r="G2026" s="160" t="n"/>
      <c r="H2026" s="160" t="n"/>
      <c r="I2026" s="160" t="n"/>
      <c r="J2026" s="160" t="n"/>
      <c r="K2026" s="160" t="n"/>
      <c r="L2026" s="160" t="n"/>
      <c r="M2026" s="160" t="n"/>
      <c r="N2026" s="160" t="n"/>
      <c r="O2026" s="160" t="n"/>
      <c r="P2026" s="160" t="n"/>
      <c r="Q2026" s="160" t="n"/>
      <c r="R2026" s="160" t="n"/>
      <c r="S2026" s="160" t="n"/>
      <c r="T2026" s="160" t="n"/>
      <c r="U2026" s="160" t="n"/>
      <c r="V2026" s="160" t="n"/>
      <c r="W2026" s="160" t="n"/>
      <c r="X2026" s="160" t="n"/>
      <c r="Y2026" s="160" t="n"/>
      <c r="Z2026" s="160" t="n"/>
      <c r="AA2026" s="160" t="n"/>
      <c r="AB2026" s="160" t="n"/>
      <c r="AC2026" s="160" t="n"/>
      <c r="AD2026" s="160" t="n"/>
      <c r="AE2026" s="160" t="n"/>
      <c r="AF2026" s="160" t="n"/>
      <c r="AG2026" s="160" t="n"/>
      <c r="AH2026" s="160" t="n"/>
      <c r="AI2026" s="160" t="n"/>
      <c r="AJ2026" s="160" t="n"/>
      <c r="AK2026" s="160" t="n"/>
      <c r="AL2026" s="160" t="n"/>
      <c r="AM2026" s="160" t="n"/>
      <c r="AN2026" s="160" t="n"/>
      <c r="AO2026" s="160" t="n"/>
      <c r="AP2026" s="160" t="n"/>
      <c r="AQ2026" s="160" t="n"/>
      <c r="AR2026" s="160" t="n"/>
    </row>
    <row r="2029">
      <c r="A2029" s="2">
        <f>IF($A2022="","","   projections")</f>
        <v/>
      </c>
      <c r="B2029" s="158">
        <f>IF($A2022="",0,COUNT($E2030:$AR2030))</f>
        <v/>
      </c>
      <c r="C2029" s="159">
        <f>IF($B2029=0,0,MAX($E2030:$AR2030))</f>
        <v/>
      </c>
      <c r="D2029" s="101">
        <f>BDS($A2022,FLD_PROJ,"headers=y","startcol=1","endcol=3","dir=h")</f>
        <v/>
      </c>
      <c r="E2029" s="102" t="n"/>
      <c r="F2029" s="102" t="n"/>
      <c r="G2029" s="102" t="n"/>
      <c r="H2029" s="102" t="n"/>
      <c r="I2029" s="102" t="n"/>
      <c r="J2029" s="102" t="n"/>
      <c r="K2029" s="102" t="n"/>
      <c r="L2029" s="102" t="n"/>
      <c r="M2029" s="102" t="n"/>
      <c r="N2029" s="102" t="n"/>
      <c r="O2029" s="102" t="n"/>
      <c r="P2029" s="102" t="n"/>
      <c r="Q2029" s="102" t="n"/>
      <c r="R2029" s="102" t="n"/>
      <c r="S2029" s="102" t="n"/>
      <c r="T2029" s="102" t="n"/>
      <c r="U2029" s="102" t="n"/>
      <c r="V2029" s="102" t="n"/>
      <c r="W2029" s="102" t="n"/>
      <c r="X2029" s="102" t="n"/>
      <c r="Y2029" s="102" t="n"/>
      <c r="Z2029" s="102" t="n"/>
      <c r="AA2029" s="102" t="n"/>
      <c r="AB2029" s="102" t="n"/>
      <c r="AC2029" s="102" t="n"/>
      <c r="AD2029" s="102" t="n"/>
      <c r="AE2029" s="102" t="n"/>
      <c r="AF2029" s="102" t="n"/>
      <c r="AG2029" s="102" t="n"/>
      <c r="AH2029" s="102" t="n"/>
      <c r="AI2029" s="102" t="n"/>
      <c r="AJ2029" s="102" t="n"/>
      <c r="AK2029" s="102" t="n"/>
      <c r="AL2029" s="102" t="n"/>
      <c r="AM2029" s="102" t="n"/>
      <c r="AN2029" s="102" t="n"/>
      <c r="AO2029" s="102" t="n"/>
      <c r="AP2029" s="102" t="n"/>
      <c r="AQ2029" s="102" t="n"/>
      <c r="AR2029" s="102" t="n"/>
    </row>
    <row r="2030">
      <c r="D2030" s="102" t="n"/>
      <c r="E2030" s="102" t="n"/>
      <c r="F2030" s="102" t="n"/>
      <c r="G2030" s="102" t="n"/>
      <c r="H2030" s="102" t="n"/>
      <c r="I2030" s="102" t="n"/>
      <c r="J2030" s="102" t="n"/>
      <c r="K2030" s="102" t="n"/>
      <c r="L2030" s="102" t="n"/>
      <c r="M2030" s="102" t="n"/>
      <c r="N2030" s="102" t="n"/>
      <c r="O2030" s="102" t="n"/>
      <c r="P2030" s="102" t="n"/>
      <c r="Q2030" s="102" t="n"/>
      <c r="R2030" s="102" t="n"/>
      <c r="S2030" s="102" t="n"/>
      <c r="T2030" s="102" t="n"/>
      <c r="U2030" s="102" t="n"/>
      <c r="V2030" s="102" t="n"/>
      <c r="W2030" s="102" t="n"/>
      <c r="X2030" s="102" t="n"/>
      <c r="Y2030" s="102" t="n"/>
      <c r="Z2030" s="102" t="n"/>
      <c r="AA2030" s="102" t="n"/>
      <c r="AB2030" s="102" t="n"/>
      <c r="AC2030" s="102" t="n"/>
      <c r="AD2030" s="102" t="n"/>
      <c r="AE2030" s="102" t="n"/>
      <c r="AF2030" s="102" t="n"/>
      <c r="AG2030" s="102" t="n"/>
      <c r="AH2030" s="102" t="n"/>
      <c r="AI2030" s="102" t="n"/>
      <c r="AJ2030" s="102" t="n"/>
      <c r="AK2030" s="102" t="n"/>
      <c r="AL2030" s="102" t="n"/>
      <c r="AM2030" s="102" t="n"/>
      <c r="AN2030" s="102" t="n"/>
      <c r="AO2030" s="102" t="n"/>
      <c r="AP2030" s="102" t="n"/>
      <c r="AQ2030" s="102" t="n"/>
      <c r="AR2030" s="102" t="n"/>
    </row>
    <row r="2031">
      <c r="D2031" s="160" t="n"/>
      <c r="E2031" s="160" t="n"/>
      <c r="F2031" s="160" t="n"/>
      <c r="G2031" s="160" t="n"/>
      <c r="H2031" s="160" t="n"/>
      <c r="I2031" s="160" t="n"/>
      <c r="J2031" s="160" t="n"/>
      <c r="K2031" s="160" t="n"/>
      <c r="L2031" s="160" t="n"/>
      <c r="M2031" s="160" t="n"/>
      <c r="N2031" s="160" t="n"/>
      <c r="O2031" s="160" t="n"/>
      <c r="P2031" s="160" t="n"/>
      <c r="Q2031" s="160" t="n"/>
      <c r="R2031" s="160" t="n"/>
      <c r="S2031" s="160" t="n"/>
      <c r="T2031" s="160" t="n"/>
      <c r="U2031" s="160" t="n"/>
      <c r="V2031" s="160" t="n"/>
      <c r="W2031" s="160" t="n"/>
      <c r="X2031" s="160" t="n"/>
      <c r="Y2031" s="160" t="n"/>
      <c r="Z2031" s="160" t="n"/>
      <c r="AA2031" s="160" t="n"/>
      <c r="AB2031" s="160" t="n"/>
      <c r="AC2031" s="160" t="n"/>
      <c r="AD2031" s="160" t="n"/>
      <c r="AE2031" s="160" t="n"/>
      <c r="AF2031" s="160" t="n"/>
      <c r="AG2031" s="160" t="n"/>
      <c r="AH2031" s="160" t="n"/>
      <c r="AI2031" s="160" t="n"/>
      <c r="AJ2031" s="160" t="n"/>
      <c r="AK2031" s="160" t="n"/>
      <c r="AL2031" s="160" t="n"/>
      <c r="AM2031" s="160" t="n"/>
      <c r="AN2031" s="160" t="n"/>
      <c r="AO2031" s="160" t="n"/>
      <c r="AP2031" s="160" t="n"/>
      <c r="AQ2031" s="160" t="n"/>
      <c r="AR2031" s="160" t="n"/>
    </row>
    <row r="2033">
      <c r="A2033" s="8">
        <f>IF(HSCEI!$C$50="","",HSCEI!$C$50)</f>
        <v/>
      </c>
      <c r="B2033" s="158">
        <f>IF($A2033="",0,COUNT($E2034:$AR2034))</f>
        <v/>
      </c>
      <c r="C2033" s="159">
        <f>IF($B2033=0,0,MAX($E2034:$AR2034))</f>
        <v/>
      </c>
      <c r="D2033" s="101">
        <f>BDS($A2033,FLD_HIST,"headers=y","startcol=1","endcol=7","dir=h","DVD_START_DT",HIST_FROM,"DVD_END_DT",HIST_TO)</f>
        <v/>
      </c>
      <c r="E2033" s="102" t="n"/>
      <c r="F2033" s="102" t="n"/>
      <c r="G2033" s="102" t="n"/>
      <c r="H2033" s="102" t="n"/>
      <c r="I2033" s="102" t="n"/>
      <c r="J2033" s="102" t="n"/>
      <c r="K2033" s="102" t="n"/>
      <c r="L2033" s="102" t="n"/>
      <c r="M2033" s="102" t="n"/>
      <c r="N2033" s="102" t="n"/>
      <c r="O2033" s="102" t="n"/>
      <c r="P2033" s="102" t="n"/>
      <c r="Q2033" s="102" t="n"/>
      <c r="R2033" s="102" t="n"/>
      <c r="S2033" s="102" t="n"/>
      <c r="T2033" s="102" t="n"/>
      <c r="U2033" s="102" t="n"/>
      <c r="V2033" s="102" t="n"/>
      <c r="W2033" s="102" t="n"/>
      <c r="X2033" s="102" t="n"/>
      <c r="Y2033" s="102" t="n"/>
      <c r="Z2033" s="102" t="n"/>
      <c r="AA2033" s="102" t="n"/>
      <c r="AB2033" s="102" t="n"/>
      <c r="AC2033" s="102" t="n"/>
      <c r="AD2033" s="102" t="n"/>
      <c r="AE2033" s="102" t="n"/>
      <c r="AF2033" s="102" t="n"/>
      <c r="AG2033" s="102" t="n"/>
      <c r="AH2033" s="102" t="n"/>
      <c r="AI2033" s="102" t="n"/>
      <c r="AJ2033" s="102" t="n"/>
      <c r="AK2033" s="102" t="n"/>
      <c r="AL2033" s="102" t="n"/>
      <c r="AM2033" s="102" t="n"/>
      <c r="AN2033" s="102" t="n"/>
      <c r="AO2033" s="102" t="n"/>
      <c r="AP2033" s="102" t="n"/>
      <c r="AQ2033" s="102" t="n"/>
      <c r="AR2033" s="102" t="n"/>
    </row>
    <row r="2034">
      <c r="D2034" s="102" t="n"/>
      <c r="E2034" s="102" t="n"/>
      <c r="F2034" s="102" t="n"/>
      <c r="G2034" s="102" t="n"/>
      <c r="H2034" s="102" t="n"/>
      <c r="I2034" s="102" t="n"/>
      <c r="J2034" s="102" t="n"/>
      <c r="K2034" s="102" t="n"/>
      <c r="L2034" s="102" t="n"/>
      <c r="M2034" s="102" t="n"/>
      <c r="N2034" s="102" t="n"/>
      <c r="O2034" s="102" t="n"/>
      <c r="P2034" s="102" t="n"/>
      <c r="Q2034" s="102" t="n"/>
      <c r="R2034" s="102" t="n"/>
      <c r="S2034" s="102" t="n"/>
      <c r="T2034" s="102" t="n"/>
      <c r="U2034" s="102" t="n"/>
      <c r="V2034" s="102" t="n"/>
      <c r="W2034" s="102" t="n"/>
      <c r="X2034" s="102" t="n"/>
      <c r="Y2034" s="102" t="n"/>
      <c r="Z2034" s="102" t="n"/>
      <c r="AA2034" s="102" t="n"/>
      <c r="AB2034" s="102" t="n"/>
      <c r="AC2034" s="102" t="n"/>
      <c r="AD2034" s="102" t="n"/>
      <c r="AE2034" s="102" t="n"/>
      <c r="AF2034" s="102" t="n"/>
      <c r="AG2034" s="102" t="n"/>
      <c r="AH2034" s="102" t="n"/>
      <c r="AI2034" s="102" t="n"/>
      <c r="AJ2034" s="102" t="n"/>
      <c r="AK2034" s="102" t="n"/>
      <c r="AL2034" s="102" t="n"/>
      <c r="AM2034" s="102" t="n"/>
      <c r="AN2034" s="102" t="n"/>
      <c r="AO2034" s="102" t="n"/>
      <c r="AP2034" s="102" t="n"/>
      <c r="AQ2034" s="102" t="n"/>
      <c r="AR2034" s="102" t="n"/>
    </row>
    <row r="2035">
      <c r="D2035" s="102" t="n"/>
      <c r="E2035" s="102" t="n"/>
      <c r="F2035" s="102" t="n"/>
      <c r="G2035" s="102" t="n"/>
      <c r="H2035" s="102" t="n"/>
      <c r="I2035" s="102" t="n"/>
      <c r="J2035" s="102" t="n"/>
      <c r="K2035" s="102" t="n"/>
      <c r="L2035" s="102" t="n"/>
      <c r="M2035" s="102" t="n"/>
      <c r="N2035" s="102" t="n"/>
      <c r="O2035" s="102" t="n"/>
      <c r="P2035" s="102" t="n"/>
      <c r="Q2035" s="102" t="n"/>
      <c r="R2035" s="102" t="n"/>
      <c r="S2035" s="102" t="n"/>
      <c r="T2035" s="102" t="n"/>
      <c r="U2035" s="102" t="n"/>
      <c r="V2035" s="102" t="n"/>
      <c r="W2035" s="102" t="n"/>
      <c r="X2035" s="102" t="n"/>
      <c r="Y2035" s="102" t="n"/>
      <c r="Z2035" s="102" t="n"/>
      <c r="AA2035" s="102" t="n"/>
      <c r="AB2035" s="102" t="n"/>
      <c r="AC2035" s="102" t="n"/>
      <c r="AD2035" s="102" t="n"/>
      <c r="AE2035" s="102" t="n"/>
      <c r="AF2035" s="102" t="n"/>
      <c r="AG2035" s="102" t="n"/>
      <c r="AH2035" s="102" t="n"/>
      <c r="AI2035" s="102" t="n"/>
      <c r="AJ2035" s="102" t="n"/>
      <c r="AK2035" s="102" t="n"/>
      <c r="AL2035" s="102" t="n"/>
      <c r="AM2035" s="102" t="n"/>
      <c r="AN2035" s="102" t="n"/>
      <c r="AO2035" s="102" t="n"/>
      <c r="AP2035" s="102" t="n"/>
      <c r="AQ2035" s="102" t="n"/>
      <c r="AR2035" s="102" t="n"/>
    </row>
    <row r="2036">
      <c r="D2036" s="102" t="n"/>
      <c r="E2036" s="102" t="n"/>
      <c r="F2036" s="102" t="n"/>
      <c r="G2036" s="102" t="n"/>
      <c r="H2036" s="102" t="n"/>
      <c r="I2036" s="102" t="n"/>
      <c r="J2036" s="102" t="n"/>
      <c r="K2036" s="102" t="n"/>
      <c r="L2036" s="102" t="n"/>
      <c r="M2036" s="102" t="n"/>
      <c r="N2036" s="102" t="n"/>
      <c r="O2036" s="102" t="n"/>
      <c r="P2036" s="102" t="n"/>
      <c r="Q2036" s="102" t="n"/>
      <c r="R2036" s="102" t="n"/>
      <c r="S2036" s="102" t="n"/>
      <c r="T2036" s="102" t="n"/>
      <c r="U2036" s="102" t="n"/>
      <c r="V2036" s="102" t="n"/>
      <c r="W2036" s="102" t="n"/>
      <c r="X2036" s="102" t="n"/>
      <c r="Y2036" s="102" t="n"/>
      <c r="Z2036" s="102" t="n"/>
      <c r="AA2036" s="102" t="n"/>
      <c r="AB2036" s="102" t="n"/>
      <c r="AC2036" s="102" t="n"/>
      <c r="AD2036" s="102" t="n"/>
      <c r="AE2036" s="102" t="n"/>
      <c r="AF2036" s="102" t="n"/>
      <c r="AG2036" s="102" t="n"/>
      <c r="AH2036" s="102" t="n"/>
      <c r="AI2036" s="102" t="n"/>
      <c r="AJ2036" s="102" t="n"/>
      <c r="AK2036" s="102" t="n"/>
      <c r="AL2036" s="102" t="n"/>
      <c r="AM2036" s="102" t="n"/>
      <c r="AN2036" s="102" t="n"/>
      <c r="AO2036" s="102" t="n"/>
      <c r="AP2036" s="102" t="n"/>
      <c r="AQ2036" s="102" t="n"/>
      <c r="AR2036" s="102" t="n"/>
    </row>
    <row r="2037">
      <c r="D2037" s="160" t="n"/>
      <c r="E2037" s="160" t="n"/>
      <c r="F2037" s="160" t="n"/>
      <c r="G2037" s="160" t="n"/>
      <c r="H2037" s="160" t="n"/>
      <c r="I2037" s="160" t="n"/>
      <c r="J2037" s="160" t="n"/>
      <c r="K2037" s="160" t="n"/>
      <c r="L2037" s="160" t="n"/>
      <c r="M2037" s="160" t="n"/>
      <c r="N2037" s="160" t="n"/>
      <c r="O2037" s="160" t="n"/>
      <c r="P2037" s="160" t="n"/>
      <c r="Q2037" s="160" t="n"/>
      <c r="R2037" s="160" t="n"/>
      <c r="S2037" s="160" t="n"/>
      <c r="T2037" s="160" t="n"/>
      <c r="U2037" s="160" t="n"/>
      <c r="V2037" s="160" t="n"/>
      <c r="W2037" s="160" t="n"/>
      <c r="X2037" s="160" t="n"/>
      <c r="Y2037" s="160" t="n"/>
      <c r="Z2037" s="160" t="n"/>
      <c r="AA2037" s="160" t="n"/>
      <c r="AB2037" s="160" t="n"/>
      <c r="AC2037" s="160" t="n"/>
      <c r="AD2037" s="160" t="n"/>
      <c r="AE2037" s="160" t="n"/>
      <c r="AF2037" s="160" t="n"/>
      <c r="AG2037" s="160" t="n"/>
      <c r="AH2037" s="160" t="n"/>
      <c r="AI2037" s="160" t="n"/>
      <c r="AJ2037" s="160" t="n"/>
      <c r="AK2037" s="160" t="n"/>
      <c r="AL2037" s="160" t="n"/>
      <c r="AM2037" s="160" t="n"/>
      <c r="AN2037" s="160" t="n"/>
      <c r="AO2037" s="160" t="n"/>
      <c r="AP2037" s="160" t="n"/>
      <c r="AQ2037" s="160" t="n"/>
      <c r="AR2037" s="160" t="n"/>
    </row>
    <row r="2040">
      <c r="A2040" s="2">
        <f>IF($A2033="","","   projections")</f>
        <v/>
      </c>
      <c r="B2040" s="158">
        <f>IF($A2033="",0,COUNT($E2041:$AR2041))</f>
        <v/>
      </c>
      <c r="C2040" s="159">
        <f>IF($B2040=0,0,MAX($E2041:$AR2041))</f>
        <v/>
      </c>
      <c r="D2040" s="101">
        <f>BDS($A2033,FLD_PROJ,"headers=y","startcol=1","endcol=3","dir=h")</f>
        <v/>
      </c>
      <c r="E2040" s="102" t="n"/>
      <c r="F2040" s="102" t="n"/>
      <c r="G2040" s="102" t="n"/>
      <c r="H2040" s="102" t="n"/>
      <c r="I2040" s="102" t="n"/>
      <c r="J2040" s="102" t="n"/>
      <c r="K2040" s="102" t="n"/>
      <c r="L2040" s="102" t="n"/>
      <c r="M2040" s="102" t="n"/>
      <c r="N2040" s="102" t="n"/>
      <c r="O2040" s="102" t="n"/>
      <c r="P2040" s="102" t="n"/>
      <c r="Q2040" s="102" t="n"/>
      <c r="R2040" s="102" t="n"/>
      <c r="S2040" s="102" t="n"/>
      <c r="T2040" s="102" t="n"/>
      <c r="U2040" s="102" t="n"/>
      <c r="V2040" s="102" t="n"/>
      <c r="W2040" s="102" t="n"/>
      <c r="X2040" s="102" t="n"/>
      <c r="Y2040" s="102" t="n"/>
      <c r="Z2040" s="102" t="n"/>
      <c r="AA2040" s="102" t="n"/>
      <c r="AB2040" s="102" t="n"/>
      <c r="AC2040" s="102" t="n"/>
      <c r="AD2040" s="102" t="n"/>
      <c r="AE2040" s="102" t="n"/>
      <c r="AF2040" s="102" t="n"/>
      <c r="AG2040" s="102" t="n"/>
      <c r="AH2040" s="102" t="n"/>
      <c r="AI2040" s="102" t="n"/>
      <c r="AJ2040" s="102" t="n"/>
      <c r="AK2040" s="102" t="n"/>
      <c r="AL2040" s="102" t="n"/>
      <c r="AM2040" s="102" t="n"/>
      <c r="AN2040" s="102" t="n"/>
      <c r="AO2040" s="102" t="n"/>
      <c r="AP2040" s="102" t="n"/>
      <c r="AQ2040" s="102" t="n"/>
      <c r="AR2040" s="102" t="n"/>
    </row>
    <row r="2041">
      <c r="D2041" s="102" t="n"/>
      <c r="E2041" s="102" t="n"/>
      <c r="F2041" s="102" t="n"/>
      <c r="G2041" s="102" t="n"/>
      <c r="H2041" s="102" t="n"/>
      <c r="I2041" s="102" t="n"/>
      <c r="J2041" s="102" t="n"/>
      <c r="K2041" s="102" t="n"/>
      <c r="L2041" s="102" t="n"/>
      <c r="M2041" s="102" t="n"/>
      <c r="N2041" s="102" t="n"/>
      <c r="O2041" s="102" t="n"/>
      <c r="P2041" s="102" t="n"/>
      <c r="Q2041" s="102" t="n"/>
      <c r="R2041" s="102" t="n"/>
      <c r="S2041" s="102" t="n"/>
      <c r="T2041" s="102" t="n"/>
      <c r="U2041" s="102" t="n"/>
      <c r="V2041" s="102" t="n"/>
      <c r="W2041" s="102" t="n"/>
      <c r="X2041" s="102" t="n"/>
      <c r="Y2041" s="102" t="n"/>
      <c r="Z2041" s="102" t="n"/>
      <c r="AA2041" s="102" t="n"/>
      <c r="AB2041" s="102" t="n"/>
      <c r="AC2041" s="102" t="n"/>
      <c r="AD2041" s="102" t="n"/>
      <c r="AE2041" s="102" t="n"/>
      <c r="AF2041" s="102" t="n"/>
      <c r="AG2041" s="102" t="n"/>
      <c r="AH2041" s="102" t="n"/>
      <c r="AI2041" s="102" t="n"/>
      <c r="AJ2041" s="102" t="n"/>
      <c r="AK2041" s="102" t="n"/>
      <c r="AL2041" s="102" t="n"/>
      <c r="AM2041" s="102" t="n"/>
      <c r="AN2041" s="102" t="n"/>
      <c r="AO2041" s="102" t="n"/>
      <c r="AP2041" s="102" t="n"/>
      <c r="AQ2041" s="102" t="n"/>
      <c r="AR2041" s="102" t="n"/>
    </row>
    <row r="2042">
      <c r="D2042" s="160" t="n"/>
      <c r="E2042" s="160" t="n"/>
      <c r="F2042" s="160" t="n"/>
      <c r="G2042" s="160" t="n"/>
      <c r="H2042" s="160" t="n"/>
      <c r="I2042" s="160" t="n"/>
      <c r="J2042" s="160" t="n"/>
      <c r="K2042" s="160" t="n"/>
      <c r="L2042" s="160" t="n"/>
      <c r="M2042" s="160" t="n"/>
      <c r="N2042" s="160" t="n"/>
      <c r="O2042" s="160" t="n"/>
      <c r="P2042" s="160" t="n"/>
      <c r="Q2042" s="160" t="n"/>
      <c r="R2042" s="160" t="n"/>
      <c r="S2042" s="160" t="n"/>
      <c r="T2042" s="160" t="n"/>
      <c r="U2042" s="160" t="n"/>
      <c r="V2042" s="160" t="n"/>
      <c r="W2042" s="160" t="n"/>
      <c r="X2042" s="160" t="n"/>
      <c r="Y2042" s="160" t="n"/>
      <c r="Z2042" s="160" t="n"/>
      <c r="AA2042" s="160" t="n"/>
      <c r="AB2042" s="160" t="n"/>
      <c r="AC2042" s="160" t="n"/>
      <c r="AD2042" s="160" t="n"/>
      <c r="AE2042" s="160" t="n"/>
      <c r="AF2042" s="160" t="n"/>
      <c r="AG2042" s="160" t="n"/>
      <c r="AH2042" s="160" t="n"/>
      <c r="AI2042" s="160" t="n"/>
      <c r="AJ2042" s="160" t="n"/>
      <c r="AK2042" s="160" t="n"/>
      <c r="AL2042" s="160" t="n"/>
      <c r="AM2042" s="160" t="n"/>
      <c r="AN2042" s="160" t="n"/>
      <c r="AO2042" s="160" t="n"/>
      <c r="AP2042" s="160" t="n"/>
      <c r="AQ2042" s="160" t="n"/>
      <c r="AR2042" s="160" t="n"/>
    </row>
    <row r="2044">
      <c r="A2044" s="8">
        <f>IF(HSCEI!$C$51="","",HSCEI!$C$51)</f>
        <v/>
      </c>
      <c r="B2044" s="158">
        <f>IF($A2044="",0,COUNT($E2045:$AR2045))</f>
        <v/>
      </c>
      <c r="C2044" s="159">
        <f>IF($B2044=0,0,MAX($E2045:$AR2045))</f>
        <v/>
      </c>
      <c r="D2044" s="101">
        <f>BDS($A2044,FLD_HIST,"headers=y","startcol=1","endcol=7","dir=h","DVD_START_DT",HIST_FROM,"DVD_END_DT",HIST_TO)</f>
        <v/>
      </c>
      <c r="E2044" s="102" t="n"/>
      <c r="F2044" s="102" t="n"/>
      <c r="G2044" s="102" t="n"/>
      <c r="H2044" s="102" t="n"/>
      <c r="I2044" s="102" t="n"/>
      <c r="J2044" s="102" t="n"/>
      <c r="K2044" s="102" t="n"/>
      <c r="L2044" s="102" t="n"/>
      <c r="M2044" s="102" t="n"/>
      <c r="N2044" s="102" t="n"/>
      <c r="O2044" s="102" t="n"/>
      <c r="P2044" s="102" t="n"/>
      <c r="Q2044" s="102" t="n"/>
      <c r="R2044" s="102" t="n"/>
      <c r="S2044" s="102" t="n"/>
      <c r="T2044" s="102" t="n"/>
      <c r="U2044" s="102" t="n"/>
      <c r="V2044" s="102" t="n"/>
      <c r="W2044" s="102" t="n"/>
      <c r="X2044" s="102" t="n"/>
      <c r="Y2044" s="102" t="n"/>
      <c r="Z2044" s="102" t="n"/>
      <c r="AA2044" s="102" t="n"/>
      <c r="AB2044" s="102" t="n"/>
      <c r="AC2044" s="102" t="n"/>
      <c r="AD2044" s="102" t="n"/>
      <c r="AE2044" s="102" t="n"/>
      <c r="AF2044" s="102" t="n"/>
      <c r="AG2044" s="102" t="n"/>
      <c r="AH2044" s="102" t="n"/>
      <c r="AI2044" s="102" t="n"/>
      <c r="AJ2044" s="102" t="n"/>
      <c r="AK2044" s="102" t="n"/>
      <c r="AL2044" s="102" t="n"/>
      <c r="AM2044" s="102" t="n"/>
      <c r="AN2044" s="102" t="n"/>
      <c r="AO2044" s="102" t="n"/>
      <c r="AP2044" s="102" t="n"/>
      <c r="AQ2044" s="102" t="n"/>
      <c r="AR2044" s="102" t="n"/>
    </row>
    <row r="2045">
      <c r="D2045" s="102" t="n"/>
      <c r="E2045" s="102" t="n"/>
      <c r="F2045" s="102" t="n"/>
      <c r="G2045" s="102" t="n"/>
      <c r="H2045" s="102" t="n"/>
      <c r="I2045" s="102" t="n"/>
      <c r="J2045" s="102" t="n"/>
      <c r="K2045" s="102" t="n"/>
      <c r="L2045" s="102" t="n"/>
      <c r="M2045" s="102" t="n"/>
      <c r="N2045" s="102" t="n"/>
      <c r="O2045" s="102" t="n"/>
      <c r="P2045" s="102" t="n"/>
      <c r="Q2045" s="102" t="n"/>
      <c r="R2045" s="102" t="n"/>
      <c r="S2045" s="102" t="n"/>
      <c r="T2045" s="102" t="n"/>
      <c r="U2045" s="102" t="n"/>
      <c r="V2045" s="102" t="n"/>
      <c r="W2045" s="102" t="n"/>
      <c r="X2045" s="102" t="n"/>
      <c r="Y2045" s="102" t="n"/>
      <c r="Z2045" s="102" t="n"/>
      <c r="AA2045" s="102" t="n"/>
      <c r="AB2045" s="102" t="n"/>
      <c r="AC2045" s="102" t="n"/>
      <c r="AD2045" s="102" t="n"/>
      <c r="AE2045" s="102" t="n"/>
      <c r="AF2045" s="102" t="n"/>
      <c r="AG2045" s="102" t="n"/>
      <c r="AH2045" s="102" t="n"/>
      <c r="AI2045" s="102" t="n"/>
      <c r="AJ2045" s="102" t="n"/>
      <c r="AK2045" s="102" t="n"/>
      <c r="AL2045" s="102" t="n"/>
      <c r="AM2045" s="102" t="n"/>
      <c r="AN2045" s="102" t="n"/>
      <c r="AO2045" s="102" t="n"/>
      <c r="AP2045" s="102" t="n"/>
      <c r="AQ2045" s="102" t="n"/>
      <c r="AR2045" s="102" t="n"/>
    </row>
    <row r="2046">
      <c r="D2046" s="102" t="n"/>
      <c r="E2046" s="102" t="n"/>
      <c r="F2046" s="102" t="n"/>
      <c r="G2046" s="102" t="n"/>
      <c r="H2046" s="102" t="n"/>
      <c r="I2046" s="102" t="n"/>
      <c r="J2046" s="102" t="n"/>
      <c r="K2046" s="102" t="n"/>
      <c r="L2046" s="102" t="n"/>
      <c r="M2046" s="102" t="n"/>
      <c r="N2046" s="102" t="n"/>
      <c r="O2046" s="102" t="n"/>
      <c r="P2046" s="102" t="n"/>
      <c r="Q2046" s="102" t="n"/>
      <c r="R2046" s="102" t="n"/>
      <c r="S2046" s="102" t="n"/>
      <c r="T2046" s="102" t="n"/>
      <c r="U2046" s="102" t="n"/>
      <c r="V2046" s="102" t="n"/>
      <c r="W2046" s="102" t="n"/>
      <c r="X2046" s="102" t="n"/>
      <c r="Y2046" s="102" t="n"/>
      <c r="Z2046" s="102" t="n"/>
      <c r="AA2046" s="102" t="n"/>
      <c r="AB2046" s="102" t="n"/>
      <c r="AC2046" s="102" t="n"/>
      <c r="AD2046" s="102" t="n"/>
      <c r="AE2046" s="102" t="n"/>
      <c r="AF2046" s="102" t="n"/>
      <c r="AG2046" s="102" t="n"/>
      <c r="AH2046" s="102" t="n"/>
      <c r="AI2046" s="102" t="n"/>
      <c r="AJ2046" s="102" t="n"/>
      <c r="AK2046" s="102" t="n"/>
      <c r="AL2046" s="102" t="n"/>
      <c r="AM2046" s="102" t="n"/>
      <c r="AN2046" s="102" t="n"/>
      <c r="AO2046" s="102" t="n"/>
      <c r="AP2046" s="102" t="n"/>
      <c r="AQ2046" s="102" t="n"/>
      <c r="AR2046" s="102" t="n"/>
    </row>
    <row r="2047">
      <c r="D2047" s="102" t="n"/>
      <c r="E2047" s="102" t="n"/>
      <c r="F2047" s="102" t="n"/>
      <c r="G2047" s="102" t="n"/>
      <c r="H2047" s="102" t="n"/>
      <c r="I2047" s="102" t="n"/>
      <c r="J2047" s="102" t="n"/>
      <c r="K2047" s="102" t="n"/>
      <c r="L2047" s="102" t="n"/>
      <c r="M2047" s="102" t="n"/>
      <c r="N2047" s="102" t="n"/>
      <c r="O2047" s="102" t="n"/>
      <c r="P2047" s="102" t="n"/>
      <c r="Q2047" s="102" t="n"/>
      <c r="R2047" s="102" t="n"/>
      <c r="S2047" s="102" t="n"/>
      <c r="T2047" s="102" t="n"/>
      <c r="U2047" s="102" t="n"/>
      <c r="V2047" s="102" t="n"/>
      <c r="W2047" s="102" t="n"/>
      <c r="X2047" s="102" t="n"/>
      <c r="Y2047" s="102" t="n"/>
      <c r="Z2047" s="102" t="n"/>
      <c r="AA2047" s="102" t="n"/>
      <c r="AB2047" s="102" t="n"/>
      <c r="AC2047" s="102" t="n"/>
      <c r="AD2047" s="102" t="n"/>
      <c r="AE2047" s="102" t="n"/>
      <c r="AF2047" s="102" t="n"/>
      <c r="AG2047" s="102" t="n"/>
      <c r="AH2047" s="102" t="n"/>
      <c r="AI2047" s="102" t="n"/>
      <c r="AJ2047" s="102" t="n"/>
      <c r="AK2047" s="102" t="n"/>
      <c r="AL2047" s="102" t="n"/>
      <c r="AM2047" s="102" t="n"/>
      <c r="AN2047" s="102" t="n"/>
      <c r="AO2047" s="102" t="n"/>
      <c r="AP2047" s="102" t="n"/>
      <c r="AQ2047" s="102" t="n"/>
      <c r="AR2047" s="102" t="n"/>
    </row>
    <row r="2048">
      <c r="D2048" s="160" t="n"/>
      <c r="E2048" s="160" t="n"/>
      <c r="F2048" s="160" t="n"/>
      <c r="G2048" s="160" t="n"/>
      <c r="H2048" s="160" t="n"/>
      <c r="I2048" s="160" t="n"/>
      <c r="J2048" s="160" t="n"/>
      <c r="K2048" s="160" t="n"/>
      <c r="L2048" s="160" t="n"/>
      <c r="M2048" s="160" t="n"/>
      <c r="N2048" s="160" t="n"/>
      <c r="O2048" s="160" t="n"/>
      <c r="P2048" s="160" t="n"/>
      <c r="Q2048" s="160" t="n"/>
      <c r="R2048" s="160" t="n"/>
      <c r="S2048" s="160" t="n"/>
      <c r="T2048" s="160" t="n"/>
      <c r="U2048" s="160" t="n"/>
      <c r="V2048" s="160" t="n"/>
      <c r="W2048" s="160" t="n"/>
      <c r="X2048" s="160" t="n"/>
      <c r="Y2048" s="160" t="n"/>
      <c r="Z2048" s="160" t="n"/>
      <c r="AA2048" s="160" t="n"/>
      <c r="AB2048" s="160" t="n"/>
      <c r="AC2048" s="160" t="n"/>
      <c r="AD2048" s="160" t="n"/>
      <c r="AE2048" s="160" t="n"/>
      <c r="AF2048" s="160" t="n"/>
      <c r="AG2048" s="160" t="n"/>
      <c r="AH2048" s="160" t="n"/>
      <c r="AI2048" s="160" t="n"/>
      <c r="AJ2048" s="160" t="n"/>
      <c r="AK2048" s="160" t="n"/>
      <c r="AL2048" s="160" t="n"/>
      <c r="AM2048" s="160" t="n"/>
      <c r="AN2048" s="160" t="n"/>
      <c r="AO2048" s="160" t="n"/>
      <c r="AP2048" s="160" t="n"/>
      <c r="AQ2048" s="160" t="n"/>
      <c r="AR2048" s="160" t="n"/>
    </row>
    <row r="2051">
      <c r="A2051" s="2">
        <f>IF($A2044="","","   projections")</f>
        <v/>
      </c>
      <c r="B2051" s="158">
        <f>IF($A2044="",0,COUNT($E2052:$AR2052))</f>
        <v/>
      </c>
      <c r="C2051" s="159">
        <f>IF($B2051=0,0,MAX($E2052:$AR2052))</f>
        <v/>
      </c>
      <c r="D2051" s="101">
        <f>BDS($A2044,FLD_PROJ,"headers=y","startcol=1","endcol=3","dir=h")</f>
        <v/>
      </c>
      <c r="E2051" s="102" t="n"/>
      <c r="F2051" s="102" t="n"/>
      <c r="G2051" s="102" t="n"/>
      <c r="H2051" s="102" t="n"/>
      <c r="I2051" s="102" t="n"/>
      <c r="J2051" s="102" t="n"/>
      <c r="K2051" s="102" t="n"/>
      <c r="L2051" s="102" t="n"/>
      <c r="M2051" s="102" t="n"/>
      <c r="N2051" s="102" t="n"/>
      <c r="O2051" s="102" t="n"/>
      <c r="P2051" s="102" t="n"/>
      <c r="Q2051" s="102" t="n"/>
      <c r="R2051" s="102" t="n"/>
      <c r="S2051" s="102" t="n"/>
      <c r="T2051" s="102" t="n"/>
      <c r="U2051" s="102" t="n"/>
      <c r="V2051" s="102" t="n"/>
      <c r="W2051" s="102" t="n"/>
      <c r="X2051" s="102" t="n"/>
      <c r="Y2051" s="102" t="n"/>
      <c r="Z2051" s="102" t="n"/>
      <c r="AA2051" s="102" t="n"/>
      <c r="AB2051" s="102" t="n"/>
      <c r="AC2051" s="102" t="n"/>
      <c r="AD2051" s="102" t="n"/>
      <c r="AE2051" s="102" t="n"/>
      <c r="AF2051" s="102" t="n"/>
      <c r="AG2051" s="102" t="n"/>
      <c r="AH2051" s="102" t="n"/>
      <c r="AI2051" s="102" t="n"/>
      <c r="AJ2051" s="102" t="n"/>
      <c r="AK2051" s="102" t="n"/>
      <c r="AL2051" s="102" t="n"/>
      <c r="AM2051" s="102" t="n"/>
      <c r="AN2051" s="102" t="n"/>
      <c r="AO2051" s="102" t="n"/>
      <c r="AP2051" s="102" t="n"/>
      <c r="AQ2051" s="102" t="n"/>
      <c r="AR2051" s="102" t="n"/>
    </row>
    <row r="2052">
      <c r="D2052" s="102" t="n"/>
      <c r="E2052" s="102" t="n"/>
      <c r="F2052" s="102" t="n"/>
      <c r="G2052" s="102" t="n"/>
      <c r="H2052" s="102" t="n"/>
      <c r="I2052" s="102" t="n"/>
      <c r="J2052" s="102" t="n"/>
      <c r="K2052" s="102" t="n"/>
      <c r="L2052" s="102" t="n"/>
      <c r="M2052" s="102" t="n"/>
      <c r="N2052" s="102" t="n"/>
      <c r="O2052" s="102" t="n"/>
      <c r="P2052" s="102" t="n"/>
      <c r="Q2052" s="102" t="n"/>
      <c r="R2052" s="102" t="n"/>
      <c r="S2052" s="102" t="n"/>
      <c r="T2052" s="102" t="n"/>
      <c r="U2052" s="102" t="n"/>
      <c r="V2052" s="102" t="n"/>
      <c r="W2052" s="102" t="n"/>
      <c r="X2052" s="102" t="n"/>
      <c r="Y2052" s="102" t="n"/>
      <c r="Z2052" s="102" t="n"/>
      <c r="AA2052" s="102" t="n"/>
      <c r="AB2052" s="102" t="n"/>
      <c r="AC2052" s="102" t="n"/>
      <c r="AD2052" s="102" t="n"/>
      <c r="AE2052" s="102" t="n"/>
      <c r="AF2052" s="102" t="n"/>
      <c r="AG2052" s="102" t="n"/>
      <c r="AH2052" s="102" t="n"/>
      <c r="AI2052" s="102" t="n"/>
      <c r="AJ2052" s="102" t="n"/>
      <c r="AK2052" s="102" t="n"/>
      <c r="AL2052" s="102" t="n"/>
      <c r="AM2052" s="102" t="n"/>
      <c r="AN2052" s="102" t="n"/>
      <c r="AO2052" s="102" t="n"/>
      <c r="AP2052" s="102" t="n"/>
      <c r="AQ2052" s="102" t="n"/>
      <c r="AR2052" s="102" t="n"/>
    </row>
    <row r="2053">
      <c r="D2053" s="160" t="n"/>
      <c r="E2053" s="160" t="n"/>
      <c r="F2053" s="160" t="n"/>
      <c r="G2053" s="160" t="n"/>
      <c r="H2053" s="160" t="n"/>
      <c r="I2053" s="160" t="n"/>
      <c r="J2053" s="160" t="n"/>
      <c r="K2053" s="160" t="n"/>
      <c r="L2053" s="160" t="n"/>
      <c r="M2053" s="160" t="n"/>
      <c r="N2053" s="160" t="n"/>
      <c r="O2053" s="160" t="n"/>
      <c r="P2053" s="160" t="n"/>
      <c r="Q2053" s="160" t="n"/>
      <c r="R2053" s="160" t="n"/>
      <c r="S2053" s="160" t="n"/>
      <c r="T2053" s="160" t="n"/>
      <c r="U2053" s="160" t="n"/>
      <c r="V2053" s="160" t="n"/>
      <c r="W2053" s="160" t="n"/>
      <c r="X2053" s="160" t="n"/>
      <c r="Y2053" s="160" t="n"/>
      <c r="Z2053" s="160" t="n"/>
      <c r="AA2053" s="160" t="n"/>
      <c r="AB2053" s="160" t="n"/>
      <c r="AC2053" s="160" t="n"/>
      <c r="AD2053" s="160" t="n"/>
      <c r="AE2053" s="160" t="n"/>
      <c r="AF2053" s="160" t="n"/>
      <c r="AG2053" s="160" t="n"/>
      <c r="AH2053" s="160" t="n"/>
      <c r="AI2053" s="160" t="n"/>
      <c r="AJ2053" s="160" t="n"/>
      <c r="AK2053" s="160" t="n"/>
      <c r="AL2053" s="160" t="n"/>
      <c r="AM2053" s="160" t="n"/>
      <c r="AN2053" s="160" t="n"/>
      <c r="AO2053" s="160" t="n"/>
      <c r="AP2053" s="160" t="n"/>
      <c r="AQ2053" s="160" t="n"/>
      <c r="AR2053" s="160" t="n"/>
    </row>
    <row r="2055">
      <c r="A2055" s="8">
        <f>IF(HSCEI!$C$52="","",HSCEI!$C$52)</f>
        <v/>
      </c>
      <c r="B2055" s="158">
        <f>IF($A2055="",0,COUNT($E2056:$AR2056))</f>
        <v/>
      </c>
      <c r="C2055" s="159">
        <f>IF($B2055=0,0,MAX($E2056:$AR2056))</f>
        <v/>
      </c>
      <c r="D2055" s="101">
        <f>BDS($A2055,FLD_HIST,"headers=y","startcol=1","endcol=7","dir=h","DVD_START_DT",HIST_FROM,"DVD_END_DT",HIST_TO)</f>
        <v/>
      </c>
      <c r="E2055" s="102" t="n"/>
      <c r="F2055" s="102" t="n"/>
      <c r="G2055" s="102" t="n"/>
      <c r="H2055" s="102" t="n"/>
      <c r="I2055" s="102" t="n"/>
      <c r="J2055" s="102" t="n"/>
      <c r="K2055" s="102" t="n"/>
      <c r="L2055" s="102" t="n"/>
      <c r="M2055" s="102" t="n"/>
      <c r="N2055" s="102" t="n"/>
      <c r="O2055" s="102" t="n"/>
      <c r="P2055" s="102" t="n"/>
      <c r="Q2055" s="102" t="n"/>
      <c r="R2055" s="102" t="n"/>
      <c r="S2055" s="102" t="n"/>
      <c r="T2055" s="102" t="n"/>
      <c r="U2055" s="102" t="n"/>
      <c r="V2055" s="102" t="n"/>
      <c r="W2055" s="102" t="n"/>
      <c r="X2055" s="102" t="n"/>
      <c r="Y2055" s="102" t="n"/>
      <c r="Z2055" s="102" t="n"/>
      <c r="AA2055" s="102" t="n"/>
      <c r="AB2055" s="102" t="n"/>
      <c r="AC2055" s="102" t="n"/>
      <c r="AD2055" s="102" t="n"/>
      <c r="AE2055" s="102" t="n"/>
      <c r="AF2055" s="102" t="n"/>
      <c r="AG2055" s="102" t="n"/>
      <c r="AH2055" s="102" t="n"/>
      <c r="AI2055" s="102" t="n"/>
      <c r="AJ2055" s="102" t="n"/>
      <c r="AK2055" s="102" t="n"/>
      <c r="AL2055" s="102" t="n"/>
      <c r="AM2055" s="102" t="n"/>
      <c r="AN2055" s="102" t="n"/>
      <c r="AO2055" s="102" t="n"/>
      <c r="AP2055" s="102" t="n"/>
      <c r="AQ2055" s="102" t="n"/>
      <c r="AR2055" s="102" t="n"/>
    </row>
    <row r="2056">
      <c r="D2056" s="102" t="n"/>
      <c r="E2056" s="102" t="n"/>
      <c r="F2056" s="102" t="n"/>
      <c r="G2056" s="102" t="n"/>
      <c r="H2056" s="102" t="n"/>
      <c r="I2056" s="102" t="n"/>
      <c r="J2056" s="102" t="n"/>
      <c r="K2056" s="102" t="n"/>
      <c r="L2056" s="102" t="n"/>
      <c r="M2056" s="102" t="n"/>
      <c r="N2056" s="102" t="n"/>
      <c r="O2056" s="102" t="n"/>
      <c r="P2056" s="102" t="n"/>
      <c r="Q2056" s="102" t="n"/>
      <c r="R2056" s="102" t="n"/>
      <c r="S2056" s="102" t="n"/>
      <c r="T2056" s="102" t="n"/>
      <c r="U2056" s="102" t="n"/>
      <c r="V2056" s="102" t="n"/>
      <c r="W2056" s="102" t="n"/>
      <c r="X2056" s="102" t="n"/>
      <c r="Y2056" s="102" t="n"/>
      <c r="Z2056" s="102" t="n"/>
      <c r="AA2056" s="102" t="n"/>
      <c r="AB2056" s="102" t="n"/>
      <c r="AC2056" s="102" t="n"/>
      <c r="AD2056" s="102" t="n"/>
      <c r="AE2056" s="102" t="n"/>
      <c r="AF2056" s="102" t="n"/>
      <c r="AG2056" s="102" t="n"/>
      <c r="AH2056" s="102" t="n"/>
      <c r="AI2056" s="102" t="n"/>
      <c r="AJ2056" s="102" t="n"/>
      <c r="AK2056" s="102" t="n"/>
      <c r="AL2056" s="102" t="n"/>
      <c r="AM2056" s="102" t="n"/>
      <c r="AN2056" s="102" t="n"/>
      <c r="AO2056" s="102" t="n"/>
      <c r="AP2056" s="102" t="n"/>
      <c r="AQ2056" s="102" t="n"/>
      <c r="AR2056" s="102" t="n"/>
    </row>
    <row r="2057">
      <c r="D2057" s="102" t="n"/>
      <c r="E2057" s="102" t="n"/>
      <c r="F2057" s="102" t="n"/>
      <c r="G2057" s="102" t="n"/>
      <c r="H2057" s="102" t="n"/>
      <c r="I2057" s="102" t="n"/>
      <c r="J2057" s="102" t="n"/>
      <c r="K2057" s="102" t="n"/>
      <c r="L2057" s="102" t="n"/>
      <c r="M2057" s="102" t="n"/>
      <c r="N2057" s="102" t="n"/>
      <c r="O2057" s="102" t="n"/>
      <c r="P2057" s="102" t="n"/>
      <c r="Q2057" s="102" t="n"/>
      <c r="R2057" s="102" t="n"/>
      <c r="S2057" s="102" t="n"/>
      <c r="T2057" s="102" t="n"/>
      <c r="U2057" s="102" t="n"/>
      <c r="V2057" s="102" t="n"/>
      <c r="W2057" s="102" t="n"/>
      <c r="X2057" s="102" t="n"/>
      <c r="Y2057" s="102" t="n"/>
      <c r="Z2057" s="102" t="n"/>
      <c r="AA2057" s="102" t="n"/>
      <c r="AB2057" s="102" t="n"/>
      <c r="AC2057" s="102" t="n"/>
      <c r="AD2057" s="102" t="n"/>
      <c r="AE2057" s="102" t="n"/>
      <c r="AF2057" s="102" t="n"/>
      <c r="AG2057" s="102" t="n"/>
      <c r="AH2057" s="102" t="n"/>
      <c r="AI2057" s="102" t="n"/>
      <c r="AJ2057" s="102" t="n"/>
      <c r="AK2057" s="102" t="n"/>
      <c r="AL2057" s="102" t="n"/>
      <c r="AM2057" s="102" t="n"/>
      <c r="AN2057" s="102" t="n"/>
      <c r="AO2057" s="102" t="n"/>
      <c r="AP2057" s="102" t="n"/>
      <c r="AQ2057" s="102" t="n"/>
      <c r="AR2057" s="102" t="n"/>
    </row>
    <row r="2058">
      <c r="D2058" s="102" t="n"/>
      <c r="E2058" s="102" t="n"/>
      <c r="F2058" s="102" t="n"/>
      <c r="G2058" s="102" t="n"/>
      <c r="H2058" s="102" t="n"/>
      <c r="I2058" s="102" t="n"/>
      <c r="J2058" s="102" t="n"/>
      <c r="K2058" s="102" t="n"/>
      <c r="L2058" s="102" t="n"/>
      <c r="M2058" s="102" t="n"/>
      <c r="N2058" s="102" t="n"/>
      <c r="O2058" s="102" t="n"/>
      <c r="P2058" s="102" t="n"/>
      <c r="Q2058" s="102" t="n"/>
      <c r="R2058" s="102" t="n"/>
      <c r="S2058" s="102" t="n"/>
      <c r="T2058" s="102" t="n"/>
      <c r="U2058" s="102" t="n"/>
      <c r="V2058" s="102" t="n"/>
      <c r="W2058" s="102" t="n"/>
      <c r="X2058" s="102" t="n"/>
      <c r="Y2058" s="102" t="n"/>
      <c r="Z2058" s="102" t="n"/>
      <c r="AA2058" s="102" t="n"/>
      <c r="AB2058" s="102" t="n"/>
      <c r="AC2058" s="102" t="n"/>
      <c r="AD2058" s="102" t="n"/>
      <c r="AE2058" s="102" t="n"/>
      <c r="AF2058" s="102" t="n"/>
      <c r="AG2058" s="102" t="n"/>
      <c r="AH2058" s="102" t="n"/>
      <c r="AI2058" s="102" t="n"/>
      <c r="AJ2058" s="102" t="n"/>
      <c r="AK2058" s="102" t="n"/>
      <c r="AL2058" s="102" t="n"/>
      <c r="AM2058" s="102" t="n"/>
      <c r="AN2058" s="102" t="n"/>
      <c r="AO2058" s="102" t="n"/>
      <c r="AP2058" s="102" t="n"/>
      <c r="AQ2058" s="102" t="n"/>
      <c r="AR2058" s="102" t="n"/>
    </row>
    <row r="2059">
      <c r="D2059" s="160" t="n"/>
      <c r="E2059" s="160" t="n"/>
      <c r="F2059" s="160" t="n"/>
      <c r="G2059" s="160" t="n"/>
      <c r="H2059" s="160" t="n"/>
      <c r="I2059" s="160" t="n"/>
      <c r="J2059" s="160" t="n"/>
      <c r="K2059" s="160" t="n"/>
      <c r="L2059" s="160" t="n"/>
      <c r="M2059" s="160" t="n"/>
      <c r="N2059" s="160" t="n"/>
      <c r="O2059" s="160" t="n"/>
      <c r="P2059" s="160" t="n"/>
      <c r="Q2059" s="160" t="n"/>
      <c r="R2059" s="160" t="n"/>
      <c r="S2059" s="160" t="n"/>
      <c r="T2059" s="160" t="n"/>
      <c r="U2059" s="160" t="n"/>
      <c r="V2059" s="160" t="n"/>
      <c r="W2059" s="160" t="n"/>
      <c r="X2059" s="160" t="n"/>
      <c r="Y2059" s="160" t="n"/>
      <c r="Z2059" s="160" t="n"/>
      <c r="AA2059" s="160" t="n"/>
      <c r="AB2059" s="160" t="n"/>
      <c r="AC2059" s="160" t="n"/>
      <c r="AD2059" s="160" t="n"/>
      <c r="AE2059" s="160" t="n"/>
      <c r="AF2059" s="160" t="n"/>
      <c r="AG2059" s="160" t="n"/>
      <c r="AH2059" s="160" t="n"/>
      <c r="AI2059" s="160" t="n"/>
      <c r="AJ2059" s="160" t="n"/>
      <c r="AK2059" s="160" t="n"/>
      <c r="AL2059" s="160" t="n"/>
      <c r="AM2059" s="160" t="n"/>
      <c r="AN2059" s="160" t="n"/>
      <c r="AO2059" s="160" t="n"/>
      <c r="AP2059" s="160" t="n"/>
      <c r="AQ2059" s="160" t="n"/>
      <c r="AR2059" s="160" t="n"/>
    </row>
    <row r="2062">
      <c r="A2062" s="2">
        <f>IF($A2055="","","   projections")</f>
        <v/>
      </c>
      <c r="B2062" s="158">
        <f>IF($A2055="",0,COUNT($E2063:$AR2063))</f>
        <v/>
      </c>
      <c r="C2062" s="159">
        <f>IF($B2062=0,0,MAX($E2063:$AR2063))</f>
        <v/>
      </c>
      <c r="D2062" s="101">
        <f>BDS($A2055,FLD_PROJ,"headers=y","startcol=1","endcol=3","dir=h")</f>
        <v/>
      </c>
      <c r="E2062" s="102" t="n"/>
      <c r="F2062" s="102" t="n"/>
      <c r="G2062" s="102" t="n"/>
      <c r="H2062" s="102" t="n"/>
      <c r="I2062" s="102" t="n"/>
      <c r="J2062" s="102" t="n"/>
      <c r="K2062" s="102" t="n"/>
      <c r="L2062" s="102" t="n"/>
      <c r="M2062" s="102" t="n"/>
      <c r="N2062" s="102" t="n"/>
      <c r="O2062" s="102" t="n"/>
      <c r="P2062" s="102" t="n"/>
      <c r="Q2062" s="102" t="n"/>
      <c r="R2062" s="102" t="n"/>
      <c r="S2062" s="102" t="n"/>
      <c r="T2062" s="102" t="n"/>
      <c r="U2062" s="102" t="n"/>
      <c r="V2062" s="102" t="n"/>
      <c r="W2062" s="102" t="n"/>
      <c r="X2062" s="102" t="n"/>
      <c r="Y2062" s="102" t="n"/>
      <c r="Z2062" s="102" t="n"/>
      <c r="AA2062" s="102" t="n"/>
      <c r="AB2062" s="102" t="n"/>
      <c r="AC2062" s="102" t="n"/>
      <c r="AD2062" s="102" t="n"/>
      <c r="AE2062" s="102" t="n"/>
      <c r="AF2062" s="102" t="n"/>
      <c r="AG2062" s="102" t="n"/>
      <c r="AH2062" s="102" t="n"/>
      <c r="AI2062" s="102" t="n"/>
      <c r="AJ2062" s="102" t="n"/>
      <c r="AK2062" s="102" t="n"/>
      <c r="AL2062" s="102" t="n"/>
      <c r="AM2062" s="102" t="n"/>
      <c r="AN2062" s="102" t="n"/>
      <c r="AO2062" s="102" t="n"/>
      <c r="AP2062" s="102" t="n"/>
      <c r="AQ2062" s="102" t="n"/>
      <c r="AR2062" s="102" t="n"/>
    </row>
    <row r="2063">
      <c r="D2063" s="102" t="n"/>
      <c r="E2063" s="102" t="n"/>
      <c r="F2063" s="102" t="n"/>
      <c r="G2063" s="102" t="n"/>
      <c r="H2063" s="102" t="n"/>
      <c r="I2063" s="102" t="n"/>
      <c r="J2063" s="102" t="n"/>
      <c r="K2063" s="102" t="n"/>
      <c r="L2063" s="102" t="n"/>
      <c r="M2063" s="102" t="n"/>
      <c r="N2063" s="102" t="n"/>
      <c r="O2063" s="102" t="n"/>
      <c r="P2063" s="102" t="n"/>
      <c r="Q2063" s="102" t="n"/>
      <c r="R2063" s="102" t="n"/>
      <c r="S2063" s="102" t="n"/>
      <c r="T2063" s="102" t="n"/>
      <c r="U2063" s="102" t="n"/>
      <c r="V2063" s="102" t="n"/>
      <c r="W2063" s="102" t="n"/>
      <c r="X2063" s="102" t="n"/>
      <c r="Y2063" s="102" t="n"/>
      <c r="Z2063" s="102" t="n"/>
      <c r="AA2063" s="102" t="n"/>
      <c r="AB2063" s="102" t="n"/>
      <c r="AC2063" s="102" t="n"/>
      <c r="AD2063" s="102" t="n"/>
      <c r="AE2063" s="102" t="n"/>
      <c r="AF2063" s="102" t="n"/>
      <c r="AG2063" s="102" t="n"/>
      <c r="AH2063" s="102" t="n"/>
      <c r="AI2063" s="102" t="n"/>
      <c r="AJ2063" s="102" t="n"/>
      <c r="AK2063" s="102" t="n"/>
      <c r="AL2063" s="102" t="n"/>
      <c r="AM2063" s="102" t="n"/>
      <c r="AN2063" s="102" t="n"/>
      <c r="AO2063" s="102" t="n"/>
      <c r="AP2063" s="102" t="n"/>
      <c r="AQ2063" s="102" t="n"/>
      <c r="AR2063" s="102" t="n"/>
    </row>
    <row r="2064">
      <c r="D2064" s="160" t="n"/>
      <c r="E2064" s="160" t="n"/>
      <c r="F2064" s="160" t="n"/>
      <c r="G2064" s="160" t="n"/>
      <c r="H2064" s="160" t="n"/>
      <c r="I2064" s="160" t="n"/>
      <c r="J2064" s="160" t="n"/>
      <c r="K2064" s="160" t="n"/>
      <c r="L2064" s="160" t="n"/>
      <c r="M2064" s="160" t="n"/>
      <c r="N2064" s="160" t="n"/>
      <c r="O2064" s="160" t="n"/>
      <c r="P2064" s="160" t="n"/>
      <c r="Q2064" s="160" t="n"/>
      <c r="R2064" s="160" t="n"/>
      <c r="S2064" s="160" t="n"/>
      <c r="T2064" s="160" t="n"/>
      <c r="U2064" s="160" t="n"/>
      <c r="V2064" s="160" t="n"/>
      <c r="W2064" s="160" t="n"/>
      <c r="X2064" s="160" t="n"/>
      <c r="Y2064" s="160" t="n"/>
      <c r="Z2064" s="160" t="n"/>
      <c r="AA2064" s="160" t="n"/>
      <c r="AB2064" s="160" t="n"/>
      <c r="AC2064" s="160" t="n"/>
      <c r="AD2064" s="160" t="n"/>
      <c r="AE2064" s="160" t="n"/>
      <c r="AF2064" s="160" t="n"/>
      <c r="AG2064" s="160" t="n"/>
      <c r="AH2064" s="160" t="n"/>
      <c r="AI2064" s="160" t="n"/>
      <c r="AJ2064" s="160" t="n"/>
      <c r="AK2064" s="160" t="n"/>
      <c r="AL2064" s="160" t="n"/>
      <c r="AM2064" s="160" t="n"/>
      <c r="AN2064" s="160" t="n"/>
      <c r="AO2064" s="160" t="n"/>
      <c r="AP2064" s="160" t="n"/>
      <c r="AQ2064" s="160" t="n"/>
      <c r="AR2064" s="160" t="n"/>
    </row>
    <row r="2066">
      <c r="A2066" s="8">
        <f>IF(HSCEI!$C$53="","",HSCEI!$C$53)</f>
        <v/>
      </c>
      <c r="B2066" s="158">
        <f>IF($A2066="",0,COUNT($E2067:$AR2067))</f>
        <v/>
      </c>
      <c r="C2066" s="159">
        <f>IF($B2066=0,0,MAX($E2067:$AR2067))</f>
        <v/>
      </c>
      <c r="D2066" s="101">
        <f>BDS($A2066,FLD_HIST,"headers=y","startcol=1","endcol=7","dir=h","DVD_START_DT",HIST_FROM,"DVD_END_DT",HIST_TO)</f>
        <v/>
      </c>
      <c r="E2066" s="102" t="n"/>
      <c r="F2066" s="102" t="n"/>
      <c r="G2066" s="102" t="n"/>
      <c r="H2066" s="102" t="n"/>
      <c r="I2066" s="102" t="n"/>
      <c r="J2066" s="102" t="n"/>
      <c r="K2066" s="102" t="n"/>
      <c r="L2066" s="102" t="n"/>
      <c r="M2066" s="102" t="n"/>
      <c r="N2066" s="102" t="n"/>
      <c r="O2066" s="102" t="n"/>
      <c r="P2066" s="102" t="n"/>
      <c r="Q2066" s="102" t="n"/>
      <c r="R2066" s="102" t="n"/>
      <c r="S2066" s="102" t="n"/>
      <c r="T2066" s="102" t="n"/>
      <c r="U2066" s="102" t="n"/>
      <c r="V2066" s="102" t="n"/>
      <c r="W2066" s="102" t="n"/>
      <c r="X2066" s="102" t="n"/>
      <c r="Y2066" s="102" t="n"/>
      <c r="Z2066" s="102" t="n"/>
      <c r="AA2066" s="102" t="n"/>
      <c r="AB2066" s="102" t="n"/>
      <c r="AC2066" s="102" t="n"/>
      <c r="AD2066" s="102" t="n"/>
      <c r="AE2066" s="102" t="n"/>
      <c r="AF2066" s="102" t="n"/>
      <c r="AG2066" s="102" t="n"/>
      <c r="AH2066" s="102" t="n"/>
      <c r="AI2066" s="102" t="n"/>
      <c r="AJ2066" s="102" t="n"/>
      <c r="AK2066" s="102" t="n"/>
      <c r="AL2066" s="102" t="n"/>
      <c r="AM2066" s="102" t="n"/>
      <c r="AN2066" s="102" t="n"/>
      <c r="AO2066" s="102" t="n"/>
      <c r="AP2066" s="102" t="n"/>
      <c r="AQ2066" s="102" t="n"/>
      <c r="AR2066" s="102" t="n"/>
    </row>
    <row r="2067">
      <c r="D2067" s="102" t="n"/>
      <c r="E2067" s="102" t="n"/>
      <c r="F2067" s="102" t="n"/>
      <c r="G2067" s="102" t="n"/>
      <c r="H2067" s="102" t="n"/>
      <c r="I2067" s="102" t="n"/>
      <c r="J2067" s="102" t="n"/>
      <c r="K2067" s="102" t="n"/>
      <c r="L2067" s="102" t="n"/>
      <c r="M2067" s="102" t="n"/>
      <c r="N2067" s="102" t="n"/>
      <c r="O2067" s="102" t="n"/>
      <c r="P2067" s="102" t="n"/>
      <c r="Q2067" s="102" t="n"/>
      <c r="R2067" s="102" t="n"/>
      <c r="S2067" s="102" t="n"/>
      <c r="T2067" s="102" t="n"/>
      <c r="U2067" s="102" t="n"/>
      <c r="V2067" s="102" t="n"/>
      <c r="W2067" s="102" t="n"/>
      <c r="X2067" s="102" t="n"/>
      <c r="Y2067" s="102" t="n"/>
      <c r="Z2067" s="102" t="n"/>
      <c r="AA2067" s="102" t="n"/>
      <c r="AB2067" s="102" t="n"/>
      <c r="AC2067" s="102" t="n"/>
      <c r="AD2067" s="102" t="n"/>
      <c r="AE2067" s="102" t="n"/>
      <c r="AF2067" s="102" t="n"/>
      <c r="AG2067" s="102" t="n"/>
      <c r="AH2067" s="102" t="n"/>
      <c r="AI2067" s="102" t="n"/>
      <c r="AJ2067" s="102" t="n"/>
      <c r="AK2067" s="102" t="n"/>
      <c r="AL2067" s="102" t="n"/>
      <c r="AM2067" s="102" t="n"/>
      <c r="AN2067" s="102" t="n"/>
      <c r="AO2067" s="102" t="n"/>
      <c r="AP2067" s="102" t="n"/>
      <c r="AQ2067" s="102" t="n"/>
      <c r="AR2067" s="102" t="n"/>
    </row>
    <row r="2068">
      <c r="D2068" s="102" t="n"/>
      <c r="E2068" s="102" t="n"/>
      <c r="F2068" s="102" t="n"/>
      <c r="G2068" s="102" t="n"/>
      <c r="H2068" s="102" t="n"/>
      <c r="I2068" s="102" t="n"/>
      <c r="J2068" s="102" t="n"/>
      <c r="K2068" s="102" t="n"/>
      <c r="L2068" s="102" t="n"/>
      <c r="M2068" s="102" t="n"/>
      <c r="N2068" s="102" t="n"/>
      <c r="O2068" s="102" t="n"/>
      <c r="P2068" s="102" t="n"/>
      <c r="Q2068" s="102" t="n"/>
      <c r="R2068" s="102" t="n"/>
      <c r="S2068" s="102" t="n"/>
      <c r="T2068" s="102" t="n"/>
      <c r="U2068" s="102" t="n"/>
      <c r="V2068" s="102" t="n"/>
      <c r="W2068" s="102" t="n"/>
      <c r="X2068" s="102" t="n"/>
      <c r="Y2068" s="102" t="n"/>
      <c r="Z2068" s="102" t="n"/>
      <c r="AA2068" s="102" t="n"/>
      <c r="AB2068" s="102" t="n"/>
      <c r="AC2068" s="102" t="n"/>
      <c r="AD2068" s="102" t="n"/>
      <c r="AE2068" s="102" t="n"/>
      <c r="AF2068" s="102" t="n"/>
      <c r="AG2068" s="102" t="n"/>
      <c r="AH2068" s="102" t="n"/>
      <c r="AI2068" s="102" t="n"/>
      <c r="AJ2068" s="102" t="n"/>
      <c r="AK2068" s="102" t="n"/>
      <c r="AL2068" s="102" t="n"/>
      <c r="AM2068" s="102" t="n"/>
      <c r="AN2068" s="102" t="n"/>
      <c r="AO2068" s="102" t="n"/>
      <c r="AP2068" s="102" t="n"/>
      <c r="AQ2068" s="102" t="n"/>
      <c r="AR2068" s="102" t="n"/>
    </row>
    <row r="2069">
      <c r="D2069" s="102" t="n"/>
      <c r="E2069" s="102" t="n"/>
      <c r="F2069" s="102" t="n"/>
      <c r="G2069" s="102" t="n"/>
      <c r="H2069" s="102" t="n"/>
      <c r="I2069" s="102" t="n"/>
      <c r="J2069" s="102" t="n"/>
      <c r="K2069" s="102" t="n"/>
      <c r="L2069" s="102" t="n"/>
      <c r="M2069" s="102" t="n"/>
      <c r="N2069" s="102" t="n"/>
      <c r="O2069" s="102" t="n"/>
      <c r="P2069" s="102" t="n"/>
      <c r="Q2069" s="102" t="n"/>
      <c r="R2069" s="102" t="n"/>
      <c r="S2069" s="102" t="n"/>
      <c r="T2069" s="102" t="n"/>
      <c r="U2069" s="102" t="n"/>
      <c r="V2069" s="102" t="n"/>
      <c r="W2069" s="102" t="n"/>
      <c r="X2069" s="102" t="n"/>
      <c r="Y2069" s="102" t="n"/>
      <c r="Z2069" s="102" t="n"/>
      <c r="AA2069" s="102" t="n"/>
      <c r="AB2069" s="102" t="n"/>
      <c r="AC2069" s="102" t="n"/>
      <c r="AD2069" s="102" t="n"/>
      <c r="AE2069" s="102" t="n"/>
      <c r="AF2069" s="102" t="n"/>
      <c r="AG2069" s="102" t="n"/>
      <c r="AH2069" s="102" t="n"/>
      <c r="AI2069" s="102" t="n"/>
      <c r="AJ2069" s="102" t="n"/>
      <c r="AK2069" s="102" t="n"/>
      <c r="AL2069" s="102" t="n"/>
      <c r="AM2069" s="102" t="n"/>
      <c r="AN2069" s="102" t="n"/>
      <c r="AO2069" s="102" t="n"/>
      <c r="AP2069" s="102" t="n"/>
      <c r="AQ2069" s="102" t="n"/>
      <c r="AR2069" s="102" t="n"/>
    </row>
    <row r="2070">
      <c r="D2070" s="160" t="n"/>
      <c r="E2070" s="160" t="n"/>
      <c r="F2070" s="160" t="n"/>
      <c r="G2070" s="160" t="n"/>
      <c r="H2070" s="160" t="n"/>
      <c r="I2070" s="160" t="n"/>
      <c r="J2070" s="160" t="n"/>
      <c r="K2070" s="160" t="n"/>
      <c r="L2070" s="160" t="n"/>
      <c r="M2070" s="160" t="n"/>
      <c r="N2070" s="160" t="n"/>
      <c r="O2070" s="160" t="n"/>
      <c r="P2070" s="160" t="n"/>
      <c r="Q2070" s="160" t="n"/>
      <c r="R2070" s="160" t="n"/>
      <c r="S2070" s="160" t="n"/>
      <c r="T2070" s="160" t="n"/>
      <c r="U2070" s="160" t="n"/>
      <c r="V2070" s="160" t="n"/>
      <c r="W2070" s="160" t="n"/>
      <c r="X2070" s="160" t="n"/>
      <c r="Y2070" s="160" t="n"/>
      <c r="Z2070" s="160" t="n"/>
      <c r="AA2070" s="160" t="n"/>
      <c r="AB2070" s="160" t="n"/>
      <c r="AC2070" s="160" t="n"/>
      <c r="AD2070" s="160" t="n"/>
      <c r="AE2070" s="160" t="n"/>
      <c r="AF2070" s="160" t="n"/>
      <c r="AG2070" s="160" t="n"/>
      <c r="AH2070" s="160" t="n"/>
      <c r="AI2070" s="160" t="n"/>
      <c r="AJ2070" s="160" t="n"/>
      <c r="AK2070" s="160" t="n"/>
      <c r="AL2070" s="160" t="n"/>
      <c r="AM2070" s="160" t="n"/>
      <c r="AN2070" s="160" t="n"/>
      <c r="AO2070" s="160" t="n"/>
      <c r="AP2070" s="160" t="n"/>
      <c r="AQ2070" s="160" t="n"/>
      <c r="AR2070" s="160" t="n"/>
    </row>
    <row r="2073">
      <c r="A2073" s="2">
        <f>IF($A2066="","","   projections")</f>
        <v/>
      </c>
      <c r="B2073" s="158">
        <f>IF($A2066="",0,COUNT($E2074:$AR2074))</f>
        <v/>
      </c>
      <c r="C2073" s="159">
        <f>IF($B2073=0,0,MAX($E2074:$AR2074))</f>
        <v/>
      </c>
      <c r="D2073" s="101">
        <f>BDS($A2066,FLD_PROJ,"headers=y","startcol=1","endcol=3","dir=h")</f>
        <v/>
      </c>
      <c r="E2073" s="102" t="n"/>
      <c r="F2073" s="102" t="n"/>
      <c r="G2073" s="102" t="n"/>
      <c r="H2073" s="102" t="n"/>
      <c r="I2073" s="102" t="n"/>
      <c r="J2073" s="102" t="n"/>
      <c r="K2073" s="102" t="n"/>
      <c r="L2073" s="102" t="n"/>
      <c r="M2073" s="102" t="n"/>
      <c r="N2073" s="102" t="n"/>
      <c r="O2073" s="102" t="n"/>
      <c r="P2073" s="102" t="n"/>
      <c r="Q2073" s="102" t="n"/>
      <c r="R2073" s="102" t="n"/>
      <c r="S2073" s="102" t="n"/>
      <c r="T2073" s="102" t="n"/>
      <c r="U2073" s="102" t="n"/>
      <c r="V2073" s="102" t="n"/>
      <c r="W2073" s="102" t="n"/>
      <c r="X2073" s="102" t="n"/>
      <c r="Y2073" s="102" t="n"/>
      <c r="Z2073" s="102" t="n"/>
      <c r="AA2073" s="102" t="n"/>
      <c r="AB2073" s="102" t="n"/>
      <c r="AC2073" s="102" t="n"/>
      <c r="AD2073" s="102" t="n"/>
      <c r="AE2073" s="102" t="n"/>
      <c r="AF2073" s="102" t="n"/>
      <c r="AG2073" s="102" t="n"/>
      <c r="AH2073" s="102" t="n"/>
      <c r="AI2073" s="102" t="n"/>
      <c r="AJ2073" s="102" t="n"/>
      <c r="AK2073" s="102" t="n"/>
      <c r="AL2073" s="102" t="n"/>
      <c r="AM2073" s="102" t="n"/>
      <c r="AN2073" s="102" t="n"/>
      <c r="AO2073" s="102" t="n"/>
      <c r="AP2073" s="102" t="n"/>
      <c r="AQ2073" s="102" t="n"/>
      <c r="AR2073" s="102" t="n"/>
    </row>
    <row r="2074">
      <c r="D2074" s="102" t="n"/>
      <c r="E2074" s="102" t="n"/>
      <c r="F2074" s="102" t="n"/>
      <c r="G2074" s="102" t="n"/>
      <c r="H2074" s="102" t="n"/>
      <c r="I2074" s="102" t="n"/>
      <c r="J2074" s="102" t="n"/>
      <c r="K2074" s="102" t="n"/>
      <c r="L2074" s="102" t="n"/>
      <c r="M2074" s="102" t="n"/>
      <c r="N2074" s="102" t="n"/>
      <c r="O2074" s="102" t="n"/>
      <c r="P2074" s="102" t="n"/>
      <c r="Q2074" s="102" t="n"/>
      <c r="R2074" s="102" t="n"/>
      <c r="S2074" s="102" t="n"/>
      <c r="T2074" s="102" t="n"/>
      <c r="U2074" s="102" t="n"/>
      <c r="V2074" s="102" t="n"/>
      <c r="W2074" s="102" t="n"/>
      <c r="X2074" s="102" t="n"/>
      <c r="Y2074" s="102" t="n"/>
      <c r="Z2074" s="102" t="n"/>
      <c r="AA2074" s="102" t="n"/>
      <c r="AB2074" s="102" t="n"/>
      <c r="AC2074" s="102" t="n"/>
      <c r="AD2074" s="102" t="n"/>
      <c r="AE2074" s="102" t="n"/>
      <c r="AF2074" s="102" t="n"/>
      <c r="AG2074" s="102" t="n"/>
      <c r="AH2074" s="102" t="n"/>
      <c r="AI2074" s="102" t="n"/>
      <c r="AJ2074" s="102" t="n"/>
      <c r="AK2074" s="102" t="n"/>
      <c r="AL2074" s="102" t="n"/>
      <c r="AM2074" s="102" t="n"/>
      <c r="AN2074" s="102" t="n"/>
      <c r="AO2074" s="102" t="n"/>
      <c r="AP2074" s="102" t="n"/>
      <c r="AQ2074" s="102" t="n"/>
      <c r="AR2074" s="102" t="n"/>
    </row>
    <row r="2075">
      <c r="D2075" s="160" t="n"/>
      <c r="E2075" s="160" t="n"/>
      <c r="F2075" s="160" t="n"/>
      <c r="G2075" s="160" t="n"/>
      <c r="H2075" s="160" t="n"/>
      <c r="I2075" s="160" t="n"/>
      <c r="J2075" s="160" t="n"/>
      <c r="K2075" s="160" t="n"/>
      <c r="L2075" s="160" t="n"/>
      <c r="M2075" s="160" t="n"/>
      <c r="N2075" s="160" t="n"/>
      <c r="O2075" s="160" t="n"/>
      <c r="P2075" s="160" t="n"/>
      <c r="Q2075" s="160" t="n"/>
      <c r="R2075" s="160" t="n"/>
      <c r="S2075" s="160" t="n"/>
      <c r="T2075" s="160" t="n"/>
      <c r="U2075" s="160" t="n"/>
      <c r="V2075" s="160" t="n"/>
      <c r="W2075" s="160" t="n"/>
      <c r="X2075" s="160" t="n"/>
      <c r="Y2075" s="160" t="n"/>
      <c r="Z2075" s="160" t="n"/>
      <c r="AA2075" s="160" t="n"/>
      <c r="AB2075" s="160" t="n"/>
      <c r="AC2075" s="160" t="n"/>
      <c r="AD2075" s="160" t="n"/>
      <c r="AE2075" s="160" t="n"/>
      <c r="AF2075" s="160" t="n"/>
      <c r="AG2075" s="160" t="n"/>
      <c r="AH2075" s="160" t="n"/>
      <c r="AI2075" s="160" t="n"/>
      <c r="AJ2075" s="160" t="n"/>
      <c r="AK2075" s="160" t="n"/>
      <c r="AL2075" s="160" t="n"/>
      <c r="AM2075" s="160" t="n"/>
      <c r="AN2075" s="160" t="n"/>
      <c r="AO2075" s="160" t="n"/>
      <c r="AP2075" s="160" t="n"/>
      <c r="AQ2075" s="160" t="n"/>
      <c r="AR2075" s="160" t="n"/>
    </row>
    <row r="2077">
      <c r="A2077" s="8">
        <f>IF(HSCEI!$C$54="","",HSCEI!$C$54)</f>
        <v/>
      </c>
      <c r="B2077" s="158">
        <f>IF($A2077="",0,COUNT($E2078:$AR2078))</f>
        <v/>
      </c>
      <c r="C2077" s="159">
        <f>IF($B2077=0,0,MAX($E2078:$AR2078))</f>
        <v/>
      </c>
      <c r="D2077" s="101">
        <f>BDS($A2077,FLD_HIST,"headers=y","startcol=1","endcol=7","dir=h","DVD_START_DT",HIST_FROM,"DVD_END_DT",HIST_TO)</f>
        <v/>
      </c>
      <c r="E2077" s="102" t="n"/>
      <c r="F2077" s="102" t="n"/>
      <c r="G2077" s="102" t="n"/>
      <c r="H2077" s="102" t="n"/>
      <c r="I2077" s="102" t="n"/>
      <c r="J2077" s="102" t="n"/>
      <c r="K2077" s="102" t="n"/>
      <c r="L2077" s="102" t="n"/>
      <c r="M2077" s="102" t="n"/>
      <c r="N2077" s="102" t="n"/>
      <c r="O2077" s="102" t="n"/>
      <c r="P2077" s="102" t="n"/>
      <c r="Q2077" s="102" t="n"/>
      <c r="R2077" s="102" t="n"/>
      <c r="S2077" s="102" t="n"/>
      <c r="T2077" s="102" t="n"/>
      <c r="U2077" s="102" t="n"/>
      <c r="V2077" s="102" t="n"/>
      <c r="W2077" s="102" t="n"/>
      <c r="X2077" s="102" t="n"/>
      <c r="Y2077" s="102" t="n"/>
      <c r="Z2077" s="102" t="n"/>
      <c r="AA2077" s="102" t="n"/>
      <c r="AB2077" s="102" t="n"/>
      <c r="AC2077" s="102" t="n"/>
      <c r="AD2077" s="102" t="n"/>
      <c r="AE2077" s="102" t="n"/>
      <c r="AF2077" s="102" t="n"/>
      <c r="AG2077" s="102" t="n"/>
      <c r="AH2077" s="102" t="n"/>
      <c r="AI2077" s="102" t="n"/>
      <c r="AJ2077" s="102" t="n"/>
      <c r="AK2077" s="102" t="n"/>
      <c r="AL2077" s="102" t="n"/>
      <c r="AM2077" s="102" t="n"/>
      <c r="AN2077" s="102" t="n"/>
      <c r="AO2077" s="102" t="n"/>
      <c r="AP2077" s="102" t="n"/>
      <c r="AQ2077" s="102" t="n"/>
      <c r="AR2077" s="102" t="n"/>
    </row>
    <row r="2078">
      <c r="D2078" s="102" t="n"/>
      <c r="E2078" s="102" t="n"/>
      <c r="F2078" s="102" t="n"/>
      <c r="G2078" s="102" t="n"/>
      <c r="H2078" s="102" t="n"/>
      <c r="I2078" s="102" t="n"/>
      <c r="J2078" s="102" t="n"/>
      <c r="K2078" s="102" t="n"/>
      <c r="L2078" s="102" t="n"/>
      <c r="M2078" s="102" t="n"/>
      <c r="N2078" s="102" t="n"/>
      <c r="O2078" s="102" t="n"/>
      <c r="P2078" s="102" t="n"/>
      <c r="Q2078" s="102" t="n"/>
      <c r="R2078" s="102" t="n"/>
      <c r="S2078" s="102" t="n"/>
      <c r="T2078" s="102" t="n"/>
      <c r="U2078" s="102" t="n"/>
      <c r="V2078" s="102" t="n"/>
      <c r="W2078" s="102" t="n"/>
      <c r="X2078" s="102" t="n"/>
      <c r="Y2078" s="102" t="n"/>
      <c r="Z2078" s="102" t="n"/>
      <c r="AA2078" s="102" t="n"/>
      <c r="AB2078" s="102" t="n"/>
      <c r="AC2078" s="102" t="n"/>
      <c r="AD2078" s="102" t="n"/>
      <c r="AE2078" s="102" t="n"/>
      <c r="AF2078" s="102" t="n"/>
      <c r="AG2078" s="102" t="n"/>
      <c r="AH2078" s="102" t="n"/>
      <c r="AI2078" s="102" t="n"/>
      <c r="AJ2078" s="102" t="n"/>
      <c r="AK2078" s="102" t="n"/>
      <c r="AL2078" s="102" t="n"/>
      <c r="AM2078" s="102" t="n"/>
      <c r="AN2078" s="102" t="n"/>
      <c r="AO2078" s="102" t="n"/>
      <c r="AP2078" s="102" t="n"/>
      <c r="AQ2078" s="102" t="n"/>
      <c r="AR2078" s="102" t="n"/>
    </row>
    <row r="2079">
      <c r="D2079" s="102" t="n"/>
      <c r="E2079" s="102" t="n"/>
      <c r="F2079" s="102" t="n"/>
      <c r="G2079" s="102" t="n"/>
      <c r="H2079" s="102" t="n"/>
      <c r="I2079" s="102" t="n"/>
      <c r="J2079" s="102" t="n"/>
      <c r="K2079" s="102" t="n"/>
      <c r="L2079" s="102" t="n"/>
      <c r="M2079" s="102" t="n"/>
      <c r="N2079" s="102" t="n"/>
      <c r="O2079" s="102" t="n"/>
      <c r="P2079" s="102" t="n"/>
      <c r="Q2079" s="102" t="n"/>
      <c r="R2079" s="102" t="n"/>
      <c r="S2079" s="102" t="n"/>
      <c r="T2079" s="102" t="n"/>
      <c r="U2079" s="102" t="n"/>
      <c r="V2079" s="102" t="n"/>
      <c r="W2079" s="102" t="n"/>
      <c r="X2079" s="102" t="n"/>
      <c r="Y2079" s="102" t="n"/>
      <c r="Z2079" s="102" t="n"/>
      <c r="AA2079" s="102" t="n"/>
      <c r="AB2079" s="102" t="n"/>
      <c r="AC2079" s="102" t="n"/>
      <c r="AD2079" s="102" t="n"/>
      <c r="AE2079" s="102" t="n"/>
      <c r="AF2079" s="102" t="n"/>
      <c r="AG2079" s="102" t="n"/>
      <c r="AH2079" s="102" t="n"/>
      <c r="AI2079" s="102" t="n"/>
      <c r="AJ2079" s="102" t="n"/>
      <c r="AK2079" s="102" t="n"/>
      <c r="AL2079" s="102" t="n"/>
      <c r="AM2079" s="102" t="n"/>
      <c r="AN2079" s="102" t="n"/>
      <c r="AO2079" s="102" t="n"/>
      <c r="AP2079" s="102" t="n"/>
      <c r="AQ2079" s="102" t="n"/>
      <c r="AR2079" s="102" t="n"/>
    </row>
    <row r="2080">
      <c r="D2080" s="102" t="n"/>
      <c r="E2080" s="102" t="n"/>
      <c r="F2080" s="102" t="n"/>
      <c r="G2080" s="102" t="n"/>
      <c r="H2080" s="102" t="n"/>
      <c r="I2080" s="102" t="n"/>
      <c r="J2080" s="102" t="n"/>
      <c r="K2080" s="102" t="n"/>
      <c r="L2080" s="102" t="n"/>
      <c r="M2080" s="102" t="n"/>
      <c r="N2080" s="102" t="n"/>
      <c r="O2080" s="102" t="n"/>
      <c r="P2080" s="102" t="n"/>
      <c r="Q2080" s="102" t="n"/>
      <c r="R2080" s="102" t="n"/>
      <c r="S2080" s="102" t="n"/>
      <c r="T2080" s="102" t="n"/>
      <c r="U2080" s="102" t="n"/>
      <c r="V2080" s="102" t="n"/>
      <c r="W2080" s="102" t="n"/>
      <c r="X2080" s="102" t="n"/>
      <c r="Y2080" s="102" t="n"/>
      <c r="Z2080" s="102" t="n"/>
      <c r="AA2080" s="102" t="n"/>
      <c r="AB2080" s="102" t="n"/>
      <c r="AC2080" s="102" t="n"/>
      <c r="AD2080" s="102" t="n"/>
      <c r="AE2080" s="102" t="n"/>
      <c r="AF2080" s="102" t="n"/>
      <c r="AG2080" s="102" t="n"/>
      <c r="AH2080" s="102" t="n"/>
      <c r="AI2080" s="102" t="n"/>
      <c r="AJ2080" s="102" t="n"/>
      <c r="AK2080" s="102" t="n"/>
      <c r="AL2080" s="102" t="n"/>
      <c r="AM2080" s="102" t="n"/>
      <c r="AN2080" s="102" t="n"/>
      <c r="AO2080" s="102" t="n"/>
      <c r="AP2080" s="102" t="n"/>
      <c r="AQ2080" s="102" t="n"/>
      <c r="AR2080" s="102" t="n"/>
    </row>
    <row r="2081">
      <c r="D2081" s="160" t="n"/>
      <c r="E2081" s="160" t="n"/>
      <c r="F2081" s="160" t="n"/>
      <c r="G2081" s="160" t="n"/>
      <c r="H2081" s="160" t="n"/>
      <c r="I2081" s="160" t="n"/>
      <c r="J2081" s="160" t="n"/>
      <c r="K2081" s="160" t="n"/>
      <c r="L2081" s="160" t="n"/>
      <c r="M2081" s="160" t="n"/>
      <c r="N2081" s="160" t="n"/>
      <c r="O2081" s="160" t="n"/>
      <c r="P2081" s="160" t="n"/>
      <c r="Q2081" s="160" t="n"/>
      <c r="R2081" s="160" t="n"/>
      <c r="S2081" s="160" t="n"/>
      <c r="T2081" s="160" t="n"/>
      <c r="U2081" s="160" t="n"/>
      <c r="V2081" s="160" t="n"/>
      <c r="W2081" s="160" t="n"/>
      <c r="X2081" s="160" t="n"/>
      <c r="Y2081" s="160" t="n"/>
      <c r="Z2081" s="160" t="n"/>
      <c r="AA2081" s="160" t="n"/>
      <c r="AB2081" s="160" t="n"/>
      <c r="AC2081" s="160" t="n"/>
      <c r="AD2081" s="160" t="n"/>
      <c r="AE2081" s="160" t="n"/>
      <c r="AF2081" s="160" t="n"/>
      <c r="AG2081" s="160" t="n"/>
      <c r="AH2081" s="160" t="n"/>
      <c r="AI2081" s="160" t="n"/>
      <c r="AJ2081" s="160" t="n"/>
      <c r="AK2081" s="160" t="n"/>
      <c r="AL2081" s="160" t="n"/>
      <c r="AM2081" s="160" t="n"/>
      <c r="AN2081" s="160" t="n"/>
      <c r="AO2081" s="160" t="n"/>
      <c r="AP2081" s="160" t="n"/>
      <c r="AQ2081" s="160" t="n"/>
      <c r="AR2081" s="160" t="n"/>
    </row>
    <row r="2084">
      <c r="A2084" s="2">
        <f>IF($A2077="","","   projections")</f>
        <v/>
      </c>
      <c r="B2084" s="158">
        <f>IF($A2077="",0,COUNT($E2085:$AR2085))</f>
        <v/>
      </c>
      <c r="C2084" s="159">
        <f>IF($B2084=0,0,MAX($E2085:$AR2085))</f>
        <v/>
      </c>
      <c r="D2084" s="101">
        <f>BDS($A2077,FLD_PROJ,"headers=y","startcol=1","endcol=3","dir=h")</f>
        <v/>
      </c>
      <c r="E2084" s="102" t="n"/>
      <c r="F2084" s="102" t="n"/>
      <c r="G2084" s="102" t="n"/>
      <c r="H2084" s="102" t="n"/>
      <c r="I2084" s="102" t="n"/>
      <c r="J2084" s="102" t="n"/>
      <c r="K2084" s="102" t="n"/>
      <c r="L2084" s="102" t="n"/>
      <c r="M2084" s="102" t="n"/>
      <c r="N2084" s="102" t="n"/>
      <c r="O2084" s="102" t="n"/>
      <c r="P2084" s="102" t="n"/>
      <c r="Q2084" s="102" t="n"/>
      <c r="R2084" s="102" t="n"/>
      <c r="S2084" s="102" t="n"/>
      <c r="T2084" s="102" t="n"/>
      <c r="U2084" s="102" t="n"/>
      <c r="V2084" s="102" t="n"/>
      <c r="W2084" s="102" t="n"/>
      <c r="X2084" s="102" t="n"/>
      <c r="Y2084" s="102" t="n"/>
      <c r="Z2084" s="102" t="n"/>
      <c r="AA2084" s="102" t="n"/>
      <c r="AB2084" s="102" t="n"/>
      <c r="AC2084" s="102" t="n"/>
      <c r="AD2084" s="102" t="n"/>
      <c r="AE2084" s="102" t="n"/>
      <c r="AF2084" s="102" t="n"/>
      <c r="AG2084" s="102" t="n"/>
      <c r="AH2084" s="102" t="n"/>
      <c r="AI2084" s="102" t="n"/>
      <c r="AJ2084" s="102" t="n"/>
      <c r="AK2084" s="102" t="n"/>
      <c r="AL2084" s="102" t="n"/>
      <c r="AM2084" s="102" t="n"/>
      <c r="AN2084" s="102" t="n"/>
      <c r="AO2084" s="102" t="n"/>
      <c r="AP2084" s="102" t="n"/>
      <c r="AQ2084" s="102" t="n"/>
      <c r="AR2084" s="102" t="n"/>
    </row>
    <row r="2085">
      <c r="D2085" s="102" t="n"/>
      <c r="E2085" s="102" t="n"/>
      <c r="F2085" s="102" t="n"/>
      <c r="G2085" s="102" t="n"/>
      <c r="H2085" s="102" t="n"/>
      <c r="I2085" s="102" t="n"/>
      <c r="J2085" s="102" t="n"/>
      <c r="K2085" s="102" t="n"/>
      <c r="L2085" s="102" t="n"/>
      <c r="M2085" s="102" t="n"/>
      <c r="N2085" s="102" t="n"/>
      <c r="O2085" s="102" t="n"/>
      <c r="P2085" s="102" t="n"/>
      <c r="Q2085" s="102" t="n"/>
      <c r="R2085" s="102" t="n"/>
      <c r="S2085" s="102" t="n"/>
      <c r="T2085" s="102" t="n"/>
      <c r="U2085" s="102" t="n"/>
      <c r="V2085" s="102" t="n"/>
      <c r="W2085" s="102" t="n"/>
      <c r="X2085" s="102" t="n"/>
      <c r="Y2085" s="102" t="n"/>
      <c r="Z2085" s="102" t="n"/>
      <c r="AA2085" s="102" t="n"/>
      <c r="AB2085" s="102" t="n"/>
      <c r="AC2085" s="102" t="n"/>
      <c r="AD2085" s="102" t="n"/>
      <c r="AE2085" s="102" t="n"/>
      <c r="AF2085" s="102" t="n"/>
      <c r="AG2085" s="102" t="n"/>
      <c r="AH2085" s="102" t="n"/>
      <c r="AI2085" s="102" t="n"/>
      <c r="AJ2085" s="102" t="n"/>
      <c r="AK2085" s="102" t="n"/>
      <c r="AL2085" s="102" t="n"/>
      <c r="AM2085" s="102" t="n"/>
      <c r="AN2085" s="102" t="n"/>
      <c r="AO2085" s="102" t="n"/>
      <c r="AP2085" s="102" t="n"/>
      <c r="AQ2085" s="102" t="n"/>
      <c r="AR2085" s="102" t="n"/>
    </row>
    <row r="2086">
      <c r="D2086" s="160" t="n"/>
      <c r="E2086" s="160" t="n"/>
      <c r="F2086" s="160" t="n"/>
      <c r="G2086" s="160" t="n"/>
      <c r="H2086" s="160" t="n"/>
      <c r="I2086" s="160" t="n"/>
      <c r="J2086" s="160" t="n"/>
      <c r="K2086" s="160" t="n"/>
      <c r="L2086" s="160" t="n"/>
      <c r="M2086" s="160" t="n"/>
      <c r="N2086" s="160" t="n"/>
      <c r="O2086" s="160" t="n"/>
      <c r="P2086" s="160" t="n"/>
      <c r="Q2086" s="160" t="n"/>
      <c r="R2086" s="160" t="n"/>
      <c r="S2086" s="160" t="n"/>
      <c r="T2086" s="160" t="n"/>
      <c r="U2086" s="160" t="n"/>
      <c r="V2086" s="160" t="n"/>
      <c r="W2086" s="160" t="n"/>
      <c r="X2086" s="160" t="n"/>
      <c r="Y2086" s="160" t="n"/>
      <c r="Z2086" s="160" t="n"/>
      <c r="AA2086" s="160" t="n"/>
      <c r="AB2086" s="160" t="n"/>
      <c r="AC2086" s="160" t="n"/>
      <c r="AD2086" s="160" t="n"/>
      <c r="AE2086" s="160" t="n"/>
      <c r="AF2086" s="160" t="n"/>
      <c r="AG2086" s="160" t="n"/>
      <c r="AH2086" s="160" t="n"/>
      <c r="AI2086" s="160" t="n"/>
      <c r="AJ2086" s="160" t="n"/>
      <c r="AK2086" s="160" t="n"/>
      <c r="AL2086" s="160" t="n"/>
      <c r="AM2086" s="160" t="n"/>
      <c r="AN2086" s="160" t="n"/>
      <c r="AO2086" s="160" t="n"/>
      <c r="AP2086" s="160" t="n"/>
      <c r="AQ2086" s="160" t="n"/>
      <c r="AR2086" s="160" t="n"/>
    </row>
    <row r="2088">
      <c r="A2088" s="8">
        <f>IF(HSCEI!$C$55="","",HSCEI!$C$55)</f>
        <v/>
      </c>
      <c r="B2088" s="158">
        <f>IF($A2088="",0,COUNT($E2089:$AR2089))</f>
        <v/>
      </c>
      <c r="C2088" s="159">
        <f>IF($B2088=0,0,MAX($E2089:$AR2089))</f>
        <v/>
      </c>
      <c r="D2088" s="101">
        <f>BDS($A2088,FLD_HIST,"headers=y","startcol=1","endcol=7","dir=h","DVD_START_DT",HIST_FROM,"DVD_END_DT",HIST_TO)</f>
        <v/>
      </c>
      <c r="E2088" s="102" t="n"/>
      <c r="F2088" s="102" t="n"/>
      <c r="G2088" s="102" t="n"/>
      <c r="H2088" s="102" t="n"/>
      <c r="I2088" s="102" t="n"/>
      <c r="J2088" s="102" t="n"/>
      <c r="K2088" s="102" t="n"/>
      <c r="L2088" s="102" t="n"/>
      <c r="M2088" s="102" t="n"/>
      <c r="N2088" s="102" t="n"/>
      <c r="O2088" s="102" t="n"/>
      <c r="P2088" s="102" t="n"/>
      <c r="Q2088" s="102" t="n"/>
      <c r="R2088" s="102" t="n"/>
      <c r="S2088" s="102" t="n"/>
      <c r="T2088" s="102" t="n"/>
      <c r="U2088" s="102" t="n"/>
      <c r="V2088" s="102" t="n"/>
      <c r="W2088" s="102" t="n"/>
      <c r="X2088" s="102" t="n"/>
      <c r="Y2088" s="102" t="n"/>
      <c r="Z2088" s="102" t="n"/>
      <c r="AA2088" s="102" t="n"/>
      <c r="AB2088" s="102" t="n"/>
      <c r="AC2088" s="102" t="n"/>
      <c r="AD2088" s="102" t="n"/>
      <c r="AE2088" s="102" t="n"/>
      <c r="AF2088" s="102" t="n"/>
      <c r="AG2088" s="102" t="n"/>
      <c r="AH2088" s="102" t="n"/>
      <c r="AI2088" s="102" t="n"/>
      <c r="AJ2088" s="102" t="n"/>
      <c r="AK2088" s="102" t="n"/>
      <c r="AL2088" s="102" t="n"/>
      <c r="AM2088" s="102" t="n"/>
      <c r="AN2088" s="102" t="n"/>
      <c r="AO2088" s="102" t="n"/>
      <c r="AP2088" s="102" t="n"/>
      <c r="AQ2088" s="102" t="n"/>
      <c r="AR2088" s="102" t="n"/>
    </row>
    <row r="2089">
      <c r="D2089" s="102" t="n"/>
      <c r="E2089" s="102" t="n"/>
      <c r="F2089" s="102" t="n"/>
      <c r="G2089" s="102" t="n"/>
      <c r="H2089" s="102" t="n"/>
      <c r="I2089" s="102" t="n"/>
      <c r="J2089" s="102" t="n"/>
      <c r="K2089" s="102" t="n"/>
      <c r="L2089" s="102" t="n"/>
      <c r="M2089" s="102" t="n"/>
      <c r="N2089" s="102" t="n"/>
      <c r="O2089" s="102" t="n"/>
      <c r="P2089" s="102" t="n"/>
      <c r="Q2089" s="102" t="n"/>
      <c r="R2089" s="102" t="n"/>
      <c r="S2089" s="102" t="n"/>
      <c r="T2089" s="102" t="n"/>
      <c r="U2089" s="102" t="n"/>
      <c r="V2089" s="102" t="n"/>
      <c r="W2089" s="102" t="n"/>
      <c r="X2089" s="102" t="n"/>
      <c r="Y2089" s="102" t="n"/>
      <c r="Z2089" s="102" t="n"/>
      <c r="AA2089" s="102" t="n"/>
      <c r="AB2089" s="102" t="n"/>
      <c r="AC2089" s="102" t="n"/>
      <c r="AD2089" s="102" t="n"/>
      <c r="AE2089" s="102" t="n"/>
      <c r="AF2089" s="102" t="n"/>
      <c r="AG2089" s="102" t="n"/>
      <c r="AH2089" s="102" t="n"/>
      <c r="AI2089" s="102" t="n"/>
      <c r="AJ2089" s="102" t="n"/>
      <c r="AK2089" s="102" t="n"/>
      <c r="AL2089" s="102" t="n"/>
      <c r="AM2089" s="102" t="n"/>
      <c r="AN2089" s="102" t="n"/>
      <c r="AO2089" s="102" t="n"/>
      <c r="AP2089" s="102" t="n"/>
      <c r="AQ2089" s="102" t="n"/>
      <c r="AR2089" s="102" t="n"/>
    </row>
    <row r="2090">
      <c r="D2090" s="102" t="n"/>
      <c r="E2090" s="102" t="n"/>
      <c r="F2090" s="102" t="n"/>
      <c r="G2090" s="102" t="n"/>
      <c r="H2090" s="102" t="n"/>
      <c r="I2090" s="102" t="n"/>
      <c r="J2090" s="102" t="n"/>
      <c r="K2090" s="102" t="n"/>
      <c r="L2090" s="102" t="n"/>
      <c r="M2090" s="102" t="n"/>
      <c r="N2090" s="102" t="n"/>
      <c r="O2090" s="102" t="n"/>
      <c r="P2090" s="102" t="n"/>
      <c r="Q2090" s="102" t="n"/>
      <c r="R2090" s="102" t="n"/>
      <c r="S2090" s="102" t="n"/>
      <c r="T2090" s="102" t="n"/>
      <c r="U2090" s="102" t="n"/>
      <c r="V2090" s="102" t="n"/>
      <c r="W2090" s="102" t="n"/>
      <c r="X2090" s="102" t="n"/>
      <c r="Y2090" s="102" t="n"/>
      <c r="Z2090" s="102" t="n"/>
      <c r="AA2090" s="102" t="n"/>
      <c r="AB2090" s="102" t="n"/>
      <c r="AC2090" s="102" t="n"/>
      <c r="AD2090" s="102" t="n"/>
      <c r="AE2090" s="102" t="n"/>
      <c r="AF2090" s="102" t="n"/>
      <c r="AG2090" s="102" t="n"/>
      <c r="AH2090" s="102" t="n"/>
      <c r="AI2090" s="102" t="n"/>
      <c r="AJ2090" s="102" t="n"/>
      <c r="AK2090" s="102" t="n"/>
      <c r="AL2090" s="102" t="n"/>
      <c r="AM2090" s="102" t="n"/>
      <c r="AN2090" s="102" t="n"/>
      <c r="AO2090" s="102" t="n"/>
      <c r="AP2090" s="102" t="n"/>
      <c r="AQ2090" s="102" t="n"/>
      <c r="AR2090" s="102" t="n"/>
    </row>
    <row r="2091">
      <c r="D2091" s="102" t="n"/>
      <c r="E2091" s="102" t="n"/>
      <c r="F2091" s="102" t="n"/>
      <c r="G2091" s="102" t="n"/>
      <c r="H2091" s="102" t="n"/>
      <c r="I2091" s="102" t="n"/>
      <c r="J2091" s="102" t="n"/>
      <c r="K2091" s="102" t="n"/>
      <c r="L2091" s="102" t="n"/>
      <c r="M2091" s="102" t="n"/>
      <c r="N2091" s="102" t="n"/>
      <c r="O2091" s="102" t="n"/>
      <c r="P2091" s="102" t="n"/>
      <c r="Q2091" s="102" t="n"/>
      <c r="R2091" s="102" t="n"/>
      <c r="S2091" s="102" t="n"/>
      <c r="T2091" s="102" t="n"/>
      <c r="U2091" s="102" t="n"/>
      <c r="V2091" s="102" t="n"/>
      <c r="W2091" s="102" t="n"/>
      <c r="X2091" s="102" t="n"/>
      <c r="Y2091" s="102" t="n"/>
      <c r="Z2091" s="102" t="n"/>
      <c r="AA2091" s="102" t="n"/>
      <c r="AB2091" s="102" t="n"/>
      <c r="AC2091" s="102" t="n"/>
      <c r="AD2091" s="102" t="n"/>
      <c r="AE2091" s="102" t="n"/>
      <c r="AF2091" s="102" t="n"/>
      <c r="AG2091" s="102" t="n"/>
      <c r="AH2091" s="102" t="n"/>
      <c r="AI2091" s="102" t="n"/>
      <c r="AJ2091" s="102" t="n"/>
      <c r="AK2091" s="102" t="n"/>
      <c r="AL2091" s="102" t="n"/>
      <c r="AM2091" s="102" t="n"/>
      <c r="AN2091" s="102" t="n"/>
      <c r="AO2091" s="102" t="n"/>
      <c r="AP2091" s="102" t="n"/>
      <c r="AQ2091" s="102" t="n"/>
      <c r="AR2091" s="102" t="n"/>
    </row>
    <row r="2092">
      <c r="D2092" s="160" t="n"/>
      <c r="E2092" s="160" t="n"/>
      <c r="F2092" s="160" t="n"/>
      <c r="G2092" s="160" t="n"/>
      <c r="H2092" s="160" t="n"/>
      <c r="I2092" s="160" t="n"/>
      <c r="J2092" s="160" t="n"/>
      <c r="K2092" s="160" t="n"/>
      <c r="L2092" s="160" t="n"/>
      <c r="M2092" s="160" t="n"/>
      <c r="N2092" s="160" t="n"/>
      <c r="O2092" s="160" t="n"/>
      <c r="P2092" s="160" t="n"/>
      <c r="Q2092" s="160" t="n"/>
      <c r="R2092" s="160" t="n"/>
      <c r="S2092" s="160" t="n"/>
      <c r="T2092" s="160" t="n"/>
      <c r="U2092" s="160" t="n"/>
      <c r="V2092" s="160" t="n"/>
      <c r="W2092" s="160" t="n"/>
      <c r="X2092" s="160" t="n"/>
      <c r="Y2092" s="160" t="n"/>
      <c r="Z2092" s="160" t="n"/>
      <c r="AA2092" s="160" t="n"/>
      <c r="AB2092" s="160" t="n"/>
      <c r="AC2092" s="160" t="n"/>
      <c r="AD2092" s="160" t="n"/>
      <c r="AE2092" s="160" t="n"/>
      <c r="AF2092" s="160" t="n"/>
      <c r="AG2092" s="160" t="n"/>
      <c r="AH2092" s="160" t="n"/>
      <c r="AI2092" s="160" t="n"/>
      <c r="AJ2092" s="160" t="n"/>
      <c r="AK2092" s="160" t="n"/>
      <c r="AL2092" s="160" t="n"/>
      <c r="AM2092" s="160" t="n"/>
      <c r="AN2092" s="160" t="n"/>
      <c r="AO2092" s="160" t="n"/>
      <c r="AP2092" s="160" t="n"/>
      <c r="AQ2092" s="160" t="n"/>
      <c r="AR2092" s="160" t="n"/>
    </row>
    <row r="2095">
      <c r="A2095" s="2">
        <f>IF($A2088="","","   projections")</f>
        <v/>
      </c>
      <c r="B2095" s="158">
        <f>IF($A2088="",0,COUNT($E2096:$AR2096))</f>
        <v/>
      </c>
      <c r="C2095" s="159">
        <f>IF($B2095=0,0,MAX($E2096:$AR2096))</f>
        <v/>
      </c>
      <c r="D2095" s="101">
        <f>BDS($A2088,FLD_PROJ,"headers=y","startcol=1","endcol=3","dir=h")</f>
        <v/>
      </c>
      <c r="E2095" s="102" t="n"/>
      <c r="F2095" s="102" t="n"/>
      <c r="G2095" s="102" t="n"/>
      <c r="H2095" s="102" t="n"/>
      <c r="I2095" s="102" t="n"/>
      <c r="J2095" s="102" t="n"/>
      <c r="K2095" s="102" t="n"/>
      <c r="L2095" s="102" t="n"/>
      <c r="M2095" s="102" t="n"/>
      <c r="N2095" s="102" t="n"/>
      <c r="O2095" s="102" t="n"/>
      <c r="P2095" s="102" t="n"/>
      <c r="Q2095" s="102" t="n"/>
      <c r="R2095" s="102" t="n"/>
      <c r="S2095" s="102" t="n"/>
      <c r="T2095" s="102" t="n"/>
      <c r="U2095" s="102" t="n"/>
      <c r="V2095" s="102" t="n"/>
      <c r="W2095" s="102" t="n"/>
      <c r="X2095" s="102" t="n"/>
      <c r="Y2095" s="102" t="n"/>
      <c r="Z2095" s="102" t="n"/>
      <c r="AA2095" s="102" t="n"/>
      <c r="AB2095" s="102" t="n"/>
      <c r="AC2095" s="102" t="n"/>
      <c r="AD2095" s="102" t="n"/>
      <c r="AE2095" s="102" t="n"/>
      <c r="AF2095" s="102" t="n"/>
      <c r="AG2095" s="102" t="n"/>
      <c r="AH2095" s="102" t="n"/>
      <c r="AI2095" s="102" t="n"/>
      <c r="AJ2095" s="102" t="n"/>
      <c r="AK2095" s="102" t="n"/>
      <c r="AL2095" s="102" t="n"/>
      <c r="AM2095" s="102" t="n"/>
      <c r="AN2095" s="102" t="n"/>
      <c r="AO2095" s="102" t="n"/>
      <c r="AP2095" s="102" t="n"/>
      <c r="AQ2095" s="102" t="n"/>
      <c r="AR2095" s="102" t="n"/>
    </row>
    <row r="2096">
      <c r="D2096" s="102" t="n"/>
      <c r="E2096" s="102" t="n"/>
      <c r="F2096" s="102" t="n"/>
      <c r="G2096" s="102" t="n"/>
      <c r="H2096" s="102" t="n"/>
      <c r="I2096" s="102" t="n"/>
      <c r="J2096" s="102" t="n"/>
      <c r="K2096" s="102" t="n"/>
      <c r="L2096" s="102" t="n"/>
      <c r="M2096" s="102" t="n"/>
      <c r="N2096" s="102" t="n"/>
      <c r="O2096" s="102" t="n"/>
      <c r="P2096" s="102" t="n"/>
      <c r="Q2096" s="102" t="n"/>
      <c r="R2096" s="102" t="n"/>
      <c r="S2096" s="102" t="n"/>
      <c r="T2096" s="102" t="n"/>
      <c r="U2096" s="102" t="n"/>
      <c r="V2096" s="102" t="n"/>
      <c r="W2096" s="102" t="n"/>
      <c r="X2096" s="102" t="n"/>
      <c r="Y2096" s="102" t="n"/>
      <c r="Z2096" s="102" t="n"/>
      <c r="AA2096" s="102" t="n"/>
      <c r="AB2096" s="102" t="n"/>
      <c r="AC2096" s="102" t="n"/>
      <c r="AD2096" s="102" t="n"/>
      <c r="AE2096" s="102" t="n"/>
      <c r="AF2096" s="102" t="n"/>
      <c r="AG2096" s="102" t="n"/>
      <c r="AH2096" s="102" t="n"/>
      <c r="AI2096" s="102" t="n"/>
      <c r="AJ2096" s="102" t="n"/>
      <c r="AK2096" s="102" t="n"/>
      <c r="AL2096" s="102" t="n"/>
      <c r="AM2096" s="102" t="n"/>
      <c r="AN2096" s="102" t="n"/>
      <c r="AO2096" s="102" t="n"/>
      <c r="AP2096" s="102" t="n"/>
      <c r="AQ2096" s="102" t="n"/>
      <c r="AR2096" s="102" t="n"/>
    </row>
    <row r="2097">
      <c r="D2097" s="160" t="n"/>
      <c r="E2097" s="160" t="n"/>
      <c r="F2097" s="160" t="n"/>
      <c r="G2097" s="160" t="n"/>
      <c r="H2097" s="160" t="n"/>
      <c r="I2097" s="160" t="n"/>
      <c r="J2097" s="160" t="n"/>
      <c r="K2097" s="160" t="n"/>
      <c r="L2097" s="160" t="n"/>
      <c r="M2097" s="160" t="n"/>
      <c r="N2097" s="160" t="n"/>
      <c r="O2097" s="160" t="n"/>
      <c r="P2097" s="160" t="n"/>
      <c r="Q2097" s="160" t="n"/>
      <c r="R2097" s="160" t="n"/>
      <c r="S2097" s="160" t="n"/>
      <c r="T2097" s="160" t="n"/>
      <c r="U2097" s="160" t="n"/>
      <c r="V2097" s="160" t="n"/>
      <c r="W2097" s="160" t="n"/>
      <c r="X2097" s="160" t="n"/>
      <c r="Y2097" s="160" t="n"/>
      <c r="Z2097" s="160" t="n"/>
      <c r="AA2097" s="160" t="n"/>
      <c r="AB2097" s="160" t="n"/>
      <c r="AC2097" s="160" t="n"/>
      <c r="AD2097" s="160" t="n"/>
      <c r="AE2097" s="160" t="n"/>
      <c r="AF2097" s="160" t="n"/>
      <c r="AG2097" s="160" t="n"/>
      <c r="AH2097" s="160" t="n"/>
      <c r="AI2097" s="160" t="n"/>
      <c r="AJ2097" s="160" t="n"/>
      <c r="AK2097" s="160" t="n"/>
      <c r="AL2097" s="160" t="n"/>
      <c r="AM2097" s="160" t="n"/>
      <c r="AN2097" s="160" t="n"/>
      <c r="AO2097" s="160" t="n"/>
      <c r="AP2097" s="160" t="n"/>
      <c r="AQ2097" s="160" t="n"/>
      <c r="AR2097" s="160" t="n"/>
    </row>
    <row r="2099">
      <c r="A2099" s="8">
        <f>IF(HSCEI!$C$56="","",HSCEI!$C$56)</f>
        <v/>
      </c>
      <c r="B2099" s="158">
        <f>IF($A2099="",0,COUNT($E2100:$AR2100))</f>
        <v/>
      </c>
      <c r="C2099" s="159">
        <f>IF($B2099=0,0,MAX($E2100:$AR2100))</f>
        <v/>
      </c>
      <c r="D2099" s="101">
        <f>BDS($A2099,FLD_HIST,"headers=y","startcol=1","endcol=7","dir=h","DVD_START_DT",HIST_FROM,"DVD_END_DT",HIST_TO)</f>
        <v/>
      </c>
      <c r="E2099" s="102" t="n"/>
      <c r="F2099" s="102" t="n"/>
      <c r="G2099" s="102" t="n"/>
      <c r="H2099" s="102" t="n"/>
      <c r="I2099" s="102" t="n"/>
      <c r="J2099" s="102" t="n"/>
      <c r="K2099" s="102" t="n"/>
      <c r="L2099" s="102" t="n"/>
      <c r="M2099" s="102" t="n"/>
      <c r="N2099" s="102" t="n"/>
      <c r="O2099" s="102" t="n"/>
      <c r="P2099" s="102" t="n"/>
      <c r="Q2099" s="102" t="n"/>
      <c r="R2099" s="102" t="n"/>
      <c r="S2099" s="102" t="n"/>
      <c r="T2099" s="102" t="n"/>
      <c r="U2099" s="102" t="n"/>
      <c r="V2099" s="102" t="n"/>
      <c r="W2099" s="102" t="n"/>
      <c r="X2099" s="102" t="n"/>
      <c r="Y2099" s="102" t="n"/>
      <c r="Z2099" s="102" t="n"/>
      <c r="AA2099" s="102" t="n"/>
      <c r="AB2099" s="102" t="n"/>
      <c r="AC2099" s="102" t="n"/>
      <c r="AD2099" s="102" t="n"/>
      <c r="AE2099" s="102" t="n"/>
      <c r="AF2099" s="102" t="n"/>
      <c r="AG2099" s="102" t="n"/>
      <c r="AH2099" s="102" t="n"/>
      <c r="AI2099" s="102" t="n"/>
      <c r="AJ2099" s="102" t="n"/>
      <c r="AK2099" s="102" t="n"/>
      <c r="AL2099" s="102" t="n"/>
      <c r="AM2099" s="102" t="n"/>
      <c r="AN2099" s="102" t="n"/>
      <c r="AO2099" s="102" t="n"/>
      <c r="AP2099" s="102" t="n"/>
      <c r="AQ2099" s="102" t="n"/>
      <c r="AR2099" s="102" t="n"/>
    </row>
    <row r="2100">
      <c r="D2100" s="102" t="n"/>
      <c r="E2100" s="102" t="n"/>
      <c r="F2100" s="102" t="n"/>
      <c r="G2100" s="102" t="n"/>
      <c r="H2100" s="102" t="n"/>
      <c r="I2100" s="102" t="n"/>
      <c r="J2100" s="102" t="n"/>
      <c r="K2100" s="102" t="n"/>
      <c r="L2100" s="102" t="n"/>
      <c r="M2100" s="102" t="n"/>
      <c r="N2100" s="102" t="n"/>
      <c r="O2100" s="102" t="n"/>
      <c r="P2100" s="102" t="n"/>
      <c r="Q2100" s="102" t="n"/>
      <c r="R2100" s="102" t="n"/>
      <c r="S2100" s="102" t="n"/>
      <c r="T2100" s="102" t="n"/>
      <c r="U2100" s="102" t="n"/>
      <c r="V2100" s="102" t="n"/>
      <c r="W2100" s="102" t="n"/>
      <c r="X2100" s="102" t="n"/>
      <c r="Y2100" s="102" t="n"/>
      <c r="Z2100" s="102" t="n"/>
      <c r="AA2100" s="102" t="n"/>
      <c r="AB2100" s="102" t="n"/>
      <c r="AC2100" s="102" t="n"/>
      <c r="AD2100" s="102" t="n"/>
      <c r="AE2100" s="102" t="n"/>
      <c r="AF2100" s="102" t="n"/>
      <c r="AG2100" s="102" t="n"/>
      <c r="AH2100" s="102" t="n"/>
      <c r="AI2100" s="102" t="n"/>
      <c r="AJ2100" s="102" t="n"/>
      <c r="AK2100" s="102" t="n"/>
      <c r="AL2100" s="102" t="n"/>
      <c r="AM2100" s="102" t="n"/>
      <c r="AN2100" s="102" t="n"/>
      <c r="AO2100" s="102" t="n"/>
      <c r="AP2100" s="102" t="n"/>
      <c r="AQ2100" s="102" t="n"/>
      <c r="AR2100" s="102" t="n"/>
    </row>
    <row r="2101">
      <c r="D2101" s="102" t="n"/>
      <c r="E2101" s="102" t="n"/>
      <c r="F2101" s="102" t="n"/>
      <c r="G2101" s="102" t="n"/>
      <c r="H2101" s="102" t="n"/>
      <c r="I2101" s="102" t="n"/>
      <c r="J2101" s="102" t="n"/>
      <c r="K2101" s="102" t="n"/>
      <c r="L2101" s="102" t="n"/>
      <c r="M2101" s="102" t="n"/>
      <c r="N2101" s="102" t="n"/>
      <c r="O2101" s="102" t="n"/>
      <c r="P2101" s="102" t="n"/>
      <c r="Q2101" s="102" t="n"/>
      <c r="R2101" s="102" t="n"/>
      <c r="S2101" s="102" t="n"/>
      <c r="T2101" s="102" t="n"/>
      <c r="U2101" s="102" t="n"/>
      <c r="V2101" s="102" t="n"/>
      <c r="W2101" s="102" t="n"/>
      <c r="X2101" s="102" t="n"/>
      <c r="Y2101" s="102" t="n"/>
      <c r="Z2101" s="102" t="n"/>
      <c r="AA2101" s="102" t="n"/>
      <c r="AB2101" s="102" t="n"/>
      <c r="AC2101" s="102" t="n"/>
      <c r="AD2101" s="102" t="n"/>
      <c r="AE2101" s="102" t="n"/>
      <c r="AF2101" s="102" t="n"/>
      <c r="AG2101" s="102" t="n"/>
      <c r="AH2101" s="102" t="n"/>
      <c r="AI2101" s="102" t="n"/>
      <c r="AJ2101" s="102" t="n"/>
      <c r="AK2101" s="102" t="n"/>
      <c r="AL2101" s="102" t="n"/>
      <c r="AM2101" s="102" t="n"/>
      <c r="AN2101" s="102" t="n"/>
      <c r="AO2101" s="102" t="n"/>
      <c r="AP2101" s="102" t="n"/>
      <c r="AQ2101" s="102" t="n"/>
      <c r="AR2101" s="102" t="n"/>
    </row>
    <row r="2102">
      <c r="D2102" s="102" t="n"/>
      <c r="E2102" s="102" t="n"/>
      <c r="F2102" s="102" t="n"/>
      <c r="G2102" s="102" t="n"/>
      <c r="H2102" s="102" t="n"/>
      <c r="I2102" s="102" t="n"/>
      <c r="J2102" s="102" t="n"/>
      <c r="K2102" s="102" t="n"/>
      <c r="L2102" s="102" t="n"/>
      <c r="M2102" s="102" t="n"/>
      <c r="N2102" s="102" t="n"/>
      <c r="O2102" s="102" t="n"/>
      <c r="P2102" s="102" t="n"/>
      <c r="Q2102" s="102" t="n"/>
      <c r="R2102" s="102" t="n"/>
      <c r="S2102" s="102" t="n"/>
      <c r="T2102" s="102" t="n"/>
      <c r="U2102" s="102" t="n"/>
      <c r="V2102" s="102" t="n"/>
      <c r="W2102" s="102" t="n"/>
      <c r="X2102" s="102" t="n"/>
      <c r="Y2102" s="102" t="n"/>
      <c r="Z2102" s="102" t="n"/>
      <c r="AA2102" s="102" t="n"/>
      <c r="AB2102" s="102" t="n"/>
      <c r="AC2102" s="102" t="n"/>
      <c r="AD2102" s="102" t="n"/>
      <c r="AE2102" s="102" t="n"/>
      <c r="AF2102" s="102" t="n"/>
      <c r="AG2102" s="102" t="n"/>
      <c r="AH2102" s="102" t="n"/>
      <c r="AI2102" s="102" t="n"/>
      <c r="AJ2102" s="102" t="n"/>
      <c r="AK2102" s="102" t="n"/>
      <c r="AL2102" s="102" t="n"/>
      <c r="AM2102" s="102" t="n"/>
      <c r="AN2102" s="102" t="n"/>
      <c r="AO2102" s="102" t="n"/>
      <c r="AP2102" s="102" t="n"/>
      <c r="AQ2102" s="102" t="n"/>
      <c r="AR2102" s="102" t="n"/>
    </row>
    <row r="2103">
      <c r="D2103" s="160" t="n"/>
      <c r="E2103" s="160" t="n"/>
      <c r="F2103" s="160" t="n"/>
      <c r="G2103" s="160" t="n"/>
      <c r="H2103" s="160" t="n"/>
      <c r="I2103" s="160" t="n"/>
      <c r="J2103" s="160" t="n"/>
      <c r="K2103" s="160" t="n"/>
      <c r="L2103" s="160" t="n"/>
      <c r="M2103" s="160" t="n"/>
      <c r="N2103" s="160" t="n"/>
      <c r="O2103" s="160" t="n"/>
      <c r="P2103" s="160" t="n"/>
      <c r="Q2103" s="160" t="n"/>
      <c r="R2103" s="160" t="n"/>
      <c r="S2103" s="160" t="n"/>
      <c r="T2103" s="160" t="n"/>
      <c r="U2103" s="160" t="n"/>
      <c r="V2103" s="160" t="n"/>
      <c r="W2103" s="160" t="n"/>
      <c r="X2103" s="160" t="n"/>
      <c r="Y2103" s="160" t="n"/>
      <c r="Z2103" s="160" t="n"/>
      <c r="AA2103" s="160" t="n"/>
      <c r="AB2103" s="160" t="n"/>
      <c r="AC2103" s="160" t="n"/>
      <c r="AD2103" s="160" t="n"/>
      <c r="AE2103" s="160" t="n"/>
      <c r="AF2103" s="160" t="n"/>
      <c r="AG2103" s="160" t="n"/>
      <c r="AH2103" s="160" t="n"/>
      <c r="AI2103" s="160" t="n"/>
      <c r="AJ2103" s="160" t="n"/>
      <c r="AK2103" s="160" t="n"/>
      <c r="AL2103" s="160" t="n"/>
      <c r="AM2103" s="160" t="n"/>
      <c r="AN2103" s="160" t="n"/>
      <c r="AO2103" s="160" t="n"/>
      <c r="AP2103" s="160" t="n"/>
      <c r="AQ2103" s="160" t="n"/>
      <c r="AR2103" s="160" t="n"/>
    </row>
    <row r="2106">
      <c r="A2106" s="2">
        <f>IF($A2099="","","   projections")</f>
        <v/>
      </c>
      <c r="B2106" s="158">
        <f>IF($A2099="",0,COUNT($E2107:$AR2107))</f>
        <v/>
      </c>
      <c r="C2106" s="159">
        <f>IF($B2106=0,0,MAX($E2107:$AR2107))</f>
        <v/>
      </c>
      <c r="D2106" s="101">
        <f>BDS($A2099,FLD_PROJ,"headers=y","startcol=1","endcol=3","dir=h")</f>
        <v/>
      </c>
      <c r="E2106" s="102" t="n"/>
      <c r="F2106" s="102" t="n"/>
      <c r="G2106" s="102" t="n"/>
      <c r="H2106" s="102" t="n"/>
      <c r="I2106" s="102" t="n"/>
      <c r="J2106" s="102" t="n"/>
      <c r="K2106" s="102" t="n"/>
      <c r="L2106" s="102" t="n"/>
      <c r="M2106" s="102" t="n"/>
      <c r="N2106" s="102" t="n"/>
      <c r="O2106" s="102" t="n"/>
      <c r="P2106" s="102" t="n"/>
      <c r="Q2106" s="102" t="n"/>
      <c r="R2106" s="102" t="n"/>
      <c r="S2106" s="102" t="n"/>
      <c r="T2106" s="102" t="n"/>
      <c r="U2106" s="102" t="n"/>
      <c r="V2106" s="102" t="n"/>
      <c r="W2106" s="102" t="n"/>
      <c r="X2106" s="102" t="n"/>
      <c r="Y2106" s="102" t="n"/>
      <c r="Z2106" s="102" t="n"/>
      <c r="AA2106" s="102" t="n"/>
      <c r="AB2106" s="102" t="n"/>
      <c r="AC2106" s="102" t="n"/>
      <c r="AD2106" s="102" t="n"/>
      <c r="AE2106" s="102" t="n"/>
      <c r="AF2106" s="102" t="n"/>
      <c r="AG2106" s="102" t="n"/>
      <c r="AH2106" s="102" t="n"/>
      <c r="AI2106" s="102" t="n"/>
      <c r="AJ2106" s="102" t="n"/>
      <c r="AK2106" s="102" t="n"/>
      <c r="AL2106" s="102" t="n"/>
      <c r="AM2106" s="102" t="n"/>
      <c r="AN2106" s="102" t="n"/>
      <c r="AO2106" s="102" t="n"/>
      <c r="AP2106" s="102" t="n"/>
      <c r="AQ2106" s="102" t="n"/>
      <c r="AR2106" s="102" t="n"/>
    </row>
    <row r="2107">
      <c r="D2107" s="102" t="n"/>
      <c r="E2107" s="102" t="n"/>
      <c r="F2107" s="102" t="n"/>
      <c r="G2107" s="102" t="n"/>
      <c r="H2107" s="102" t="n"/>
      <c r="I2107" s="102" t="n"/>
      <c r="J2107" s="102" t="n"/>
      <c r="K2107" s="102" t="n"/>
      <c r="L2107" s="102" t="n"/>
      <c r="M2107" s="102" t="n"/>
      <c r="N2107" s="102" t="n"/>
      <c r="O2107" s="102" t="n"/>
      <c r="P2107" s="102" t="n"/>
      <c r="Q2107" s="102" t="n"/>
      <c r="R2107" s="102" t="n"/>
      <c r="S2107" s="102" t="n"/>
      <c r="T2107" s="102" t="n"/>
      <c r="U2107" s="102" t="n"/>
      <c r="V2107" s="102" t="n"/>
      <c r="W2107" s="102" t="n"/>
      <c r="X2107" s="102" t="n"/>
      <c r="Y2107" s="102" t="n"/>
      <c r="Z2107" s="102" t="n"/>
      <c r="AA2107" s="102" t="n"/>
      <c r="AB2107" s="102" t="n"/>
      <c r="AC2107" s="102" t="n"/>
      <c r="AD2107" s="102" t="n"/>
      <c r="AE2107" s="102" t="n"/>
      <c r="AF2107" s="102" t="n"/>
      <c r="AG2107" s="102" t="n"/>
      <c r="AH2107" s="102" t="n"/>
      <c r="AI2107" s="102" t="n"/>
      <c r="AJ2107" s="102" t="n"/>
      <c r="AK2107" s="102" t="n"/>
      <c r="AL2107" s="102" t="n"/>
      <c r="AM2107" s="102" t="n"/>
      <c r="AN2107" s="102" t="n"/>
      <c r="AO2107" s="102" t="n"/>
      <c r="AP2107" s="102" t="n"/>
      <c r="AQ2107" s="102" t="n"/>
      <c r="AR2107" s="102" t="n"/>
    </row>
    <row r="2108">
      <c r="D2108" s="160" t="n"/>
      <c r="E2108" s="160" t="n"/>
      <c r="F2108" s="160" t="n"/>
      <c r="G2108" s="160" t="n"/>
      <c r="H2108" s="160" t="n"/>
      <c r="I2108" s="160" t="n"/>
      <c r="J2108" s="160" t="n"/>
      <c r="K2108" s="160" t="n"/>
      <c r="L2108" s="160" t="n"/>
      <c r="M2108" s="160" t="n"/>
      <c r="N2108" s="160" t="n"/>
      <c r="O2108" s="160" t="n"/>
      <c r="P2108" s="160" t="n"/>
      <c r="Q2108" s="160" t="n"/>
      <c r="R2108" s="160" t="n"/>
      <c r="S2108" s="160" t="n"/>
      <c r="T2108" s="160" t="n"/>
      <c r="U2108" s="160" t="n"/>
      <c r="V2108" s="160" t="n"/>
      <c r="W2108" s="160" t="n"/>
      <c r="X2108" s="160" t="n"/>
      <c r="Y2108" s="160" t="n"/>
      <c r="Z2108" s="160" t="n"/>
      <c r="AA2108" s="160" t="n"/>
      <c r="AB2108" s="160" t="n"/>
      <c r="AC2108" s="160" t="n"/>
      <c r="AD2108" s="160" t="n"/>
      <c r="AE2108" s="160" t="n"/>
      <c r="AF2108" s="160" t="n"/>
      <c r="AG2108" s="160" t="n"/>
      <c r="AH2108" s="160" t="n"/>
      <c r="AI2108" s="160" t="n"/>
      <c r="AJ2108" s="160" t="n"/>
      <c r="AK2108" s="160" t="n"/>
      <c r="AL2108" s="160" t="n"/>
      <c r="AM2108" s="160" t="n"/>
      <c r="AN2108" s="160" t="n"/>
      <c r="AO2108" s="160" t="n"/>
      <c r="AP2108" s="160" t="n"/>
      <c r="AQ2108" s="160" t="n"/>
      <c r="AR2108" s="160" t="n"/>
    </row>
    <row r="2110">
      <c r="A2110" s="8">
        <f>IF(HSCEI!$C$57="","",HSCEI!$C$57)</f>
        <v/>
      </c>
      <c r="B2110" s="158">
        <f>IF($A2110="",0,COUNT($E2111:$AR2111))</f>
        <v/>
      </c>
      <c r="C2110" s="159">
        <f>IF($B2110=0,0,MAX($E2111:$AR2111))</f>
        <v/>
      </c>
      <c r="D2110" s="101">
        <f>BDS($A2110,FLD_HIST,"headers=y","startcol=1","endcol=7","dir=h","DVD_START_DT",HIST_FROM,"DVD_END_DT",HIST_TO)</f>
        <v/>
      </c>
      <c r="E2110" s="102" t="n"/>
      <c r="F2110" s="102" t="n"/>
      <c r="G2110" s="102" t="n"/>
      <c r="H2110" s="102" t="n"/>
      <c r="I2110" s="102" t="n"/>
      <c r="J2110" s="102" t="n"/>
      <c r="K2110" s="102" t="n"/>
      <c r="L2110" s="102" t="n"/>
      <c r="M2110" s="102" t="n"/>
      <c r="N2110" s="102" t="n"/>
      <c r="O2110" s="102" t="n"/>
      <c r="P2110" s="102" t="n"/>
      <c r="Q2110" s="102" t="n"/>
      <c r="R2110" s="102" t="n"/>
      <c r="S2110" s="102" t="n"/>
      <c r="T2110" s="102" t="n"/>
      <c r="U2110" s="102" t="n"/>
      <c r="V2110" s="102" t="n"/>
      <c r="W2110" s="102" t="n"/>
      <c r="X2110" s="102" t="n"/>
      <c r="Y2110" s="102" t="n"/>
      <c r="Z2110" s="102" t="n"/>
      <c r="AA2110" s="102" t="n"/>
      <c r="AB2110" s="102" t="n"/>
      <c r="AC2110" s="102" t="n"/>
      <c r="AD2110" s="102" t="n"/>
      <c r="AE2110" s="102" t="n"/>
      <c r="AF2110" s="102" t="n"/>
      <c r="AG2110" s="102" t="n"/>
      <c r="AH2110" s="102" t="n"/>
      <c r="AI2110" s="102" t="n"/>
      <c r="AJ2110" s="102" t="n"/>
      <c r="AK2110" s="102" t="n"/>
      <c r="AL2110" s="102" t="n"/>
      <c r="AM2110" s="102" t="n"/>
      <c r="AN2110" s="102" t="n"/>
      <c r="AO2110" s="102" t="n"/>
      <c r="AP2110" s="102" t="n"/>
      <c r="AQ2110" s="102" t="n"/>
      <c r="AR2110" s="102" t="n"/>
    </row>
    <row r="2111">
      <c r="D2111" s="102" t="n"/>
      <c r="E2111" s="102" t="n"/>
      <c r="F2111" s="102" t="n"/>
      <c r="G2111" s="102" t="n"/>
      <c r="H2111" s="102" t="n"/>
      <c r="I2111" s="102" t="n"/>
      <c r="J2111" s="102" t="n"/>
      <c r="K2111" s="102" t="n"/>
      <c r="L2111" s="102" t="n"/>
      <c r="M2111" s="102" t="n"/>
      <c r="N2111" s="102" t="n"/>
      <c r="O2111" s="102" t="n"/>
      <c r="P2111" s="102" t="n"/>
      <c r="Q2111" s="102" t="n"/>
      <c r="R2111" s="102" t="n"/>
      <c r="S2111" s="102" t="n"/>
      <c r="T2111" s="102" t="n"/>
      <c r="U2111" s="102" t="n"/>
      <c r="V2111" s="102" t="n"/>
      <c r="W2111" s="102" t="n"/>
      <c r="X2111" s="102" t="n"/>
      <c r="Y2111" s="102" t="n"/>
      <c r="Z2111" s="102" t="n"/>
      <c r="AA2111" s="102" t="n"/>
      <c r="AB2111" s="102" t="n"/>
      <c r="AC2111" s="102" t="n"/>
      <c r="AD2111" s="102" t="n"/>
      <c r="AE2111" s="102" t="n"/>
      <c r="AF2111" s="102" t="n"/>
      <c r="AG2111" s="102" t="n"/>
      <c r="AH2111" s="102" t="n"/>
      <c r="AI2111" s="102" t="n"/>
      <c r="AJ2111" s="102" t="n"/>
      <c r="AK2111" s="102" t="n"/>
      <c r="AL2111" s="102" t="n"/>
      <c r="AM2111" s="102" t="n"/>
      <c r="AN2111" s="102" t="n"/>
      <c r="AO2111" s="102" t="n"/>
      <c r="AP2111" s="102" t="n"/>
      <c r="AQ2111" s="102" t="n"/>
      <c r="AR2111" s="102" t="n"/>
    </row>
    <row r="2112">
      <c r="D2112" s="102" t="n"/>
      <c r="E2112" s="102" t="n"/>
      <c r="F2112" s="102" t="n"/>
      <c r="G2112" s="102" t="n"/>
      <c r="H2112" s="102" t="n"/>
      <c r="I2112" s="102" t="n"/>
      <c r="J2112" s="102" t="n"/>
      <c r="K2112" s="102" t="n"/>
      <c r="L2112" s="102" t="n"/>
      <c r="M2112" s="102" t="n"/>
      <c r="N2112" s="102" t="n"/>
      <c r="O2112" s="102" t="n"/>
      <c r="P2112" s="102" t="n"/>
      <c r="Q2112" s="102" t="n"/>
      <c r="R2112" s="102" t="n"/>
      <c r="S2112" s="102" t="n"/>
      <c r="T2112" s="102" t="n"/>
      <c r="U2112" s="102" t="n"/>
      <c r="V2112" s="102" t="n"/>
      <c r="W2112" s="102" t="n"/>
      <c r="X2112" s="102" t="n"/>
      <c r="Y2112" s="102" t="n"/>
      <c r="Z2112" s="102" t="n"/>
      <c r="AA2112" s="102" t="n"/>
      <c r="AB2112" s="102" t="n"/>
      <c r="AC2112" s="102" t="n"/>
      <c r="AD2112" s="102" t="n"/>
      <c r="AE2112" s="102" t="n"/>
      <c r="AF2112" s="102" t="n"/>
      <c r="AG2112" s="102" t="n"/>
      <c r="AH2112" s="102" t="n"/>
      <c r="AI2112" s="102" t="n"/>
      <c r="AJ2112" s="102" t="n"/>
      <c r="AK2112" s="102" t="n"/>
      <c r="AL2112" s="102" t="n"/>
      <c r="AM2112" s="102" t="n"/>
      <c r="AN2112" s="102" t="n"/>
      <c r="AO2112" s="102" t="n"/>
      <c r="AP2112" s="102" t="n"/>
      <c r="AQ2112" s="102" t="n"/>
      <c r="AR2112" s="102" t="n"/>
    </row>
    <row r="2113">
      <c r="D2113" s="102" t="n"/>
      <c r="E2113" s="102" t="n"/>
      <c r="F2113" s="102" t="n"/>
      <c r="G2113" s="102" t="n"/>
      <c r="H2113" s="102" t="n"/>
      <c r="I2113" s="102" t="n"/>
      <c r="J2113" s="102" t="n"/>
      <c r="K2113" s="102" t="n"/>
      <c r="L2113" s="102" t="n"/>
      <c r="M2113" s="102" t="n"/>
      <c r="N2113" s="102" t="n"/>
      <c r="O2113" s="102" t="n"/>
      <c r="P2113" s="102" t="n"/>
      <c r="Q2113" s="102" t="n"/>
      <c r="R2113" s="102" t="n"/>
      <c r="S2113" s="102" t="n"/>
      <c r="T2113" s="102" t="n"/>
      <c r="U2113" s="102" t="n"/>
      <c r="V2113" s="102" t="n"/>
      <c r="W2113" s="102" t="n"/>
      <c r="X2113" s="102" t="n"/>
      <c r="Y2113" s="102" t="n"/>
      <c r="Z2113" s="102" t="n"/>
      <c r="AA2113" s="102" t="n"/>
      <c r="AB2113" s="102" t="n"/>
      <c r="AC2113" s="102" t="n"/>
      <c r="AD2113" s="102" t="n"/>
      <c r="AE2113" s="102" t="n"/>
      <c r="AF2113" s="102" t="n"/>
      <c r="AG2113" s="102" t="n"/>
      <c r="AH2113" s="102" t="n"/>
      <c r="AI2113" s="102" t="n"/>
      <c r="AJ2113" s="102" t="n"/>
      <c r="AK2113" s="102" t="n"/>
      <c r="AL2113" s="102" t="n"/>
      <c r="AM2113" s="102" t="n"/>
      <c r="AN2113" s="102" t="n"/>
      <c r="AO2113" s="102" t="n"/>
      <c r="AP2113" s="102" t="n"/>
      <c r="AQ2113" s="102" t="n"/>
      <c r="AR2113" s="102" t="n"/>
    </row>
    <row r="2114">
      <c r="D2114" s="160" t="n"/>
      <c r="E2114" s="160" t="n"/>
      <c r="F2114" s="160" t="n"/>
      <c r="G2114" s="160" t="n"/>
      <c r="H2114" s="160" t="n"/>
      <c r="I2114" s="160" t="n"/>
      <c r="J2114" s="160" t="n"/>
      <c r="K2114" s="160" t="n"/>
      <c r="L2114" s="160" t="n"/>
      <c r="M2114" s="160" t="n"/>
      <c r="N2114" s="160" t="n"/>
      <c r="O2114" s="160" t="n"/>
      <c r="P2114" s="160" t="n"/>
      <c r="Q2114" s="160" t="n"/>
      <c r="R2114" s="160" t="n"/>
      <c r="S2114" s="160" t="n"/>
      <c r="T2114" s="160" t="n"/>
      <c r="U2114" s="160" t="n"/>
      <c r="V2114" s="160" t="n"/>
      <c r="W2114" s="160" t="n"/>
      <c r="X2114" s="160" t="n"/>
      <c r="Y2114" s="160" t="n"/>
      <c r="Z2114" s="160" t="n"/>
      <c r="AA2114" s="160" t="n"/>
      <c r="AB2114" s="160" t="n"/>
      <c r="AC2114" s="160" t="n"/>
      <c r="AD2114" s="160" t="n"/>
      <c r="AE2114" s="160" t="n"/>
      <c r="AF2114" s="160" t="n"/>
      <c r="AG2114" s="160" t="n"/>
      <c r="AH2114" s="160" t="n"/>
      <c r="AI2114" s="160" t="n"/>
      <c r="AJ2114" s="160" t="n"/>
      <c r="AK2114" s="160" t="n"/>
      <c r="AL2114" s="160" t="n"/>
      <c r="AM2114" s="160" t="n"/>
      <c r="AN2114" s="160" t="n"/>
      <c r="AO2114" s="160" t="n"/>
      <c r="AP2114" s="160" t="n"/>
      <c r="AQ2114" s="160" t="n"/>
      <c r="AR2114" s="160" t="n"/>
    </row>
    <row r="2117">
      <c r="A2117" s="2">
        <f>IF($A2110="","","   projections")</f>
        <v/>
      </c>
      <c r="B2117" s="158">
        <f>IF($A2110="",0,COUNT($E2118:$AR2118))</f>
        <v/>
      </c>
      <c r="C2117" s="159">
        <f>IF($B2117=0,0,MAX($E2118:$AR2118))</f>
        <v/>
      </c>
      <c r="D2117" s="101">
        <f>BDS($A2110,FLD_PROJ,"headers=y","startcol=1","endcol=3","dir=h")</f>
        <v/>
      </c>
      <c r="E2117" s="102" t="n"/>
      <c r="F2117" s="102" t="n"/>
      <c r="G2117" s="102" t="n"/>
      <c r="H2117" s="102" t="n"/>
      <c r="I2117" s="102" t="n"/>
      <c r="J2117" s="102" t="n"/>
      <c r="K2117" s="102" t="n"/>
      <c r="L2117" s="102" t="n"/>
      <c r="M2117" s="102" t="n"/>
      <c r="N2117" s="102" t="n"/>
      <c r="O2117" s="102" t="n"/>
      <c r="P2117" s="102" t="n"/>
      <c r="Q2117" s="102" t="n"/>
      <c r="R2117" s="102" t="n"/>
      <c r="S2117" s="102" t="n"/>
      <c r="T2117" s="102" t="n"/>
      <c r="U2117" s="102" t="n"/>
      <c r="V2117" s="102" t="n"/>
      <c r="W2117" s="102" t="n"/>
      <c r="X2117" s="102" t="n"/>
      <c r="Y2117" s="102" t="n"/>
      <c r="Z2117" s="102" t="n"/>
      <c r="AA2117" s="102" t="n"/>
      <c r="AB2117" s="102" t="n"/>
      <c r="AC2117" s="102" t="n"/>
      <c r="AD2117" s="102" t="n"/>
      <c r="AE2117" s="102" t="n"/>
      <c r="AF2117" s="102" t="n"/>
      <c r="AG2117" s="102" t="n"/>
      <c r="AH2117" s="102" t="n"/>
      <c r="AI2117" s="102" t="n"/>
      <c r="AJ2117" s="102" t="n"/>
      <c r="AK2117" s="102" t="n"/>
      <c r="AL2117" s="102" t="n"/>
      <c r="AM2117" s="102" t="n"/>
      <c r="AN2117" s="102" t="n"/>
      <c r="AO2117" s="102" t="n"/>
      <c r="AP2117" s="102" t="n"/>
      <c r="AQ2117" s="102" t="n"/>
      <c r="AR2117" s="102" t="n"/>
    </row>
    <row r="2118">
      <c r="D2118" s="102" t="n"/>
      <c r="E2118" s="102" t="n"/>
      <c r="F2118" s="102" t="n"/>
      <c r="G2118" s="102" t="n"/>
      <c r="H2118" s="102" t="n"/>
      <c r="I2118" s="102" t="n"/>
      <c r="J2118" s="102" t="n"/>
      <c r="K2118" s="102" t="n"/>
      <c r="L2118" s="102" t="n"/>
      <c r="M2118" s="102" t="n"/>
      <c r="N2118" s="102" t="n"/>
      <c r="O2118" s="102" t="n"/>
      <c r="P2118" s="102" t="n"/>
      <c r="Q2118" s="102" t="n"/>
      <c r="R2118" s="102" t="n"/>
      <c r="S2118" s="102" t="n"/>
      <c r="T2118" s="102" t="n"/>
      <c r="U2118" s="102" t="n"/>
      <c r="V2118" s="102" t="n"/>
      <c r="W2118" s="102" t="n"/>
      <c r="X2118" s="102" t="n"/>
      <c r="Y2118" s="102" t="n"/>
      <c r="Z2118" s="102" t="n"/>
      <c r="AA2118" s="102" t="n"/>
      <c r="AB2118" s="102" t="n"/>
      <c r="AC2118" s="102" t="n"/>
      <c r="AD2118" s="102" t="n"/>
      <c r="AE2118" s="102" t="n"/>
      <c r="AF2118" s="102" t="n"/>
      <c r="AG2118" s="102" t="n"/>
      <c r="AH2118" s="102" t="n"/>
      <c r="AI2118" s="102" t="n"/>
      <c r="AJ2118" s="102" t="n"/>
      <c r="AK2118" s="102" t="n"/>
      <c r="AL2118" s="102" t="n"/>
      <c r="AM2118" s="102" t="n"/>
      <c r="AN2118" s="102" t="n"/>
      <c r="AO2118" s="102" t="n"/>
      <c r="AP2118" s="102" t="n"/>
      <c r="AQ2118" s="102" t="n"/>
      <c r="AR2118" s="102" t="n"/>
    </row>
    <row r="2119">
      <c r="D2119" s="160" t="n"/>
      <c r="E2119" s="160" t="n"/>
      <c r="F2119" s="160" t="n"/>
      <c r="G2119" s="160" t="n"/>
      <c r="H2119" s="160" t="n"/>
      <c r="I2119" s="160" t="n"/>
      <c r="J2119" s="160" t="n"/>
      <c r="K2119" s="160" t="n"/>
      <c r="L2119" s="160" t="n"/>
      <c r="M2119" s="160" t="n"/>
      <c r="N2119" s="160" t="n"/>
      <c r="O2119" s="160" t="n"/>
      <c r="P2119" s="160" t="n"/>
      <c r="Q2119" s="160" t="n"/>
      <c r="R2119" s="160" t="n"/>
      <c r="S2119" s="160" t="n"/>
      <c r="T2119" s="160" t="n"/>
      <c r="U2119" s="160" t="n"/>
      <c r="V2119" s="160" t="n"/>
      <c r="W2119" s="160" t="n"/>
      <c r="X2119" s="160" t="n"/>
      <c r="Y2119" s="160" t="n"/>
      <c r="Z2119" s="160" t="n"/>
      <c r="AA2119" s="160" t="n"/>
      <c r="AB2119" s="160" t="n"/>
      <c r="AC2119" s="160" t="n"/>
      <c r="AD2119" s="160" t="n"/>
      <c r="AE2119" s="160" t="n"/>
      <c r="AF2119" s="160" t="n"/>
      <c r="AG2119" s="160" t="n"/>
      <c r="AH2119" s="160" t="n"/>
      <c r="AI2119" s="160" t="n"/>
      <c r="AJ2119" s="160" t="n"/>
      <c r="AK2119" s="160" t="n"/>
      <c r="AL2119" s="160" t="n"/>
      <c r="AM2119" s="160" t="n"/>
      <c r="AN2119" s="160" t="n"/>
      <c r="AO2119" s="160" t="n"/>
      <c r="AP2119" s="160" t="n"/>
      <c r="AQ2119" s="160" t="n"/>
      <c r="AR2119" s="160" t="n"/>
    </row>
    <row r="2121">
      <c r="A2121" s="8">
        <f>IF(HSCEI!$C$58="","",HSCEI!$C$58)</f>
        <v/>
      </c>
      <c r="B2121" s="158">
        <f>IF($A2121="",0,COUNT($E2122:$AR2122))</f>
        <v/>
      </c>
      <c r="C2121" s="159">
        <f>IF($B2121=0,0,MAX($E2122:$AR2122))</f>
        <v/>
      </c>
      <c r="D2121" s="101">
        <f>BDS($A2121,FLD_HIST,"headers=y","startcol=1","endcol=7","dir=h","DVD_START_DT",HIST_FROM,"DVD_END_DT",HIST_TO)</f>
        <v/>
      </c>
      <c r="E2121" s="102" t="n"/>
      <c r="F2121" s="102" t="n"/>
      <c r="G2121" s="102" t="n"/>
      <c r="H2121" s="102" t="n"/>
      <c r="I2121" s="102" t="n"/>
      <c r="J2121" s="102" t="n"/>
      <c r="K2121" s="102" t="n"/>
      <c r="L2121" s="102" t="n"/>
      <c r="M2121" s="102" t="n"/>
      <c r="N2121" s="102" t="n"/>
      <c r="O2121" s="102" t="n"/>
      <c r="P2121" s="102" t="n"/>
      <c r="Q2121" s="102" t="n"/>
      <c r="R2121" s="102" t="n"/>
      <c r="S2121" s="102" t="n"/>
      <c r="T2121" s="102" t="n"/>
      <c r="U2121" s="102" t="n"/>
      <c r="V2121" s="102" t="n"/>
      <c r="W2121" s="102" t="n"/>
      <c r="X2121" s="102" t="n"/>
      <c r="Y2121" s="102" t="n"/>
      <c r="Z2121" s="102" t="n"/>
      <c r="AA2121" s="102" t="n"/>
      <c r="AB2121" s="102" t="n"/>
      <c r="AC2121" s="102" t="n"/>
      <c r="AD2121" s="102" t="n"/>
      <c r="AE2121" s="102" t="n"/>
      <c r="AF2121" s="102" t="n"/>
      <c r="AG2121" s="102" t="n"/>
      <c r="AH2121" s="102" t="n"/>
      <c r="AI2121" s="102" t="n"/>
      <c r="AJ2121" s="102" t="n"/>
      <c r="AK2121" s="102" t="n"/>
      <c r="AL2121" s="102" t="n"/>
      <c r="AM2121" s="102" t="n"/>
      <c r="AN2121" s="102" t="n"/>
      <c r="AO2121" s="102" t="n"/>
      <c r="AP2121" s="102" t="n"/>
      <c r="AQ2121" s="102" t="n"/>
      <c r="AR2121" s="102" t="n"/>
    </row>
    <row r="2122">
      <c r="D2122" s="102" t="n"/>
      <c r="E2122" s="102" t="n"/>
      <c r="F2122" s="102" t="n"/>
      <c r="G2122" s="102" t="n"/>
      <c r="H2122" s="102" t="n"/>
      <c r="I2122" s="102" t="n"/>
      <c r="J2122" s="102" t="n"/>
      <c r="K2122" s="102" t="n"/>
      <c r="L2122" s="102" t="n"/>
      <c r="M2122" s="102" t="n"/>
      <c r="N2122" s="102" t="n"/>
      <c r="O2122" s="102" t="n"/>
      <c r="P2122" s="102" t="n"/>
      <c r="Q2122" s="102" t="n"/>
      <c r="R2122" s="102" t="n"/>
      <c r="S2122" s="102" t="n"/>
      <c r="T2122" s="102" t="n"/>
      <c r="U2122" s="102" t="n"/>
      <c r="V2122" s="102" t="n"/>
      <c r="W2122" s="102" t="n"/>
      <c r="X2122" s="102" t="n"/>
      <c r="Y2122" s="102" t="n"/>
      <c r="Z2122" s="102" t="n"/>
      <c r="AA2122" s="102" t="n"/>
      <c r="AB2122" s="102" t="n"/>
      <c r="AC2122" s="102" t="n"/>
      <c r="AD2122" s="102" t="n"/>
      <c r="AE2122" s="102" t="n"/>
      <c r="AF2122" s="102" t="n"/>
      <c r="AG2122" s="102" t="n"/>
      <c r="AH2122" s="102" t="n"/>
      <c r="AI2122" s="102" t="n"/>
      <c r="AJ2122" s="102" t="n"/>
      <c r="AK2122" s="102" t="n"/>
      <c r="AL2122" s="102" t="n"/>
      <c r="AM2122" s="102" t="n"/>
      <c r="AN2122" s="102" t="n"/>
      <c r="AO2122" s="102" t="n"/>
      <c r="AP2122" s="102" t="n"/>
      <c r="AQ2122" s="102" t="n"/>
      <c r="AR2122" s="102" t="n"/>
    </row>
    <row r="2123">
      <c r="D2123" s="102" t="n"/>
      <c r="E2123" s="102" t="n"/>
      <c r="F2123" s="102" t="n"/>
      <c r="G2123" s="102" t="n"/>
      <c r="H2123" s="102" t="n"/>
      <c r="I2123" s="102" t="n"/>
      <c r="J2123" s="102" t="n"/>
      <c r="K2123" s="102" t="n"/>
      <c r="L2123" s="102" t="n"/>
      <c r="M2123" s="102" t="n"/>
      <c r="N2123" s="102" t="n"/>
      <c r="O2123" s="102" t="n"/>
      <c r="P2123" s="102" t="n"/>
      <c r="Q2123" s="102" t="n"/>
      <c r="R2123" s="102" t="n"/>
      <c r="S2123" s="102" t="n"/>
      <c r="T2123" s="102" t="n"/>
      <c r="U2123" s="102" t="n"/>
      <c r="V2123" s="102" t="n"/>
      <c r="W2123" s="102" t="n"/>
      <c r="X2123" s="102" t="n"/>
      <c r="Y2123" s="102" t="n"/>
      <c r="Z2123" s="102" t="n"/>
      <c r="AA2123" s="102" t="n"/>
      <c r="AB2123" s="102" t="n"/>
      <c r="AC2123" s="102" t="n"/>
      <c r="AD2123" s="102" t="n"/>
      <c r="AE2123" s="102" t="n"/>
      <c r="AF2123" s="102" t="n"/>
      <c r="AG2123" s="102" t="n"/>
      <c r="AH2123" s="102" t="n"/>
      <c r="AI2123" s="102" t="n"/>
      <c r="AJ2123" s="102" t="n"/>
      <c r="AK2123" s="102" t="n"/>
      <c r="AL2123" s="102" t="n"/>
      <c r="AM2123" s="102" t="n"/>
      <c r="AN2123" s="102" t="n"/>
      <c r="AO2123" s="102" t="n"/>
      <c r="AP2123" s="102" t="n"/>
      <c r="AQ2123" s="102" t="n"/>
      <c r="AR2123" s="102" t="n"/>
    </row>
    <row r="2124">
      <c r="D2124" s="102" t="n"/>
      <c r="E2124" s="102" t="n"/>
      <c r="F2124" s="102" t="n"/>
      <c r="G2124" s="102" t="n"/>
      <c r="H2124" s="102" t="n"/>
      <c r="I2124" s="102" t="n"/>
      <c r="J2124" s="102" t="n"/>
      <c r="K2124" s="102" t="n"/>
      <c r="L2124" s="102" t="n"/>
      <c r="M2124" s="102" t="n"/>
      <c r="N2124" s="102" t="n"/>
      <c r="O2124" s="102" t="n"/>
      <c r="P2124" s="102" t="n"/>
      <c r="Q2124" s="102" t="n"/>
      <c r="R2124" s="102" t="n"/>
      <c r="S2124" s="102" t="n"/>
      <c r="T2124" s="102" t="n"/>
      <c r="U2124" s="102" t="n"/>
      <c r="V2124" s="102" t="n"/>
      <c r="W2124" s="102" t="n"/>
      <c r="X2124" s="102" t="n"/>
      <c r="Y2124" s="102" t="n"/>
      <c r="Z2124" s="102" t="n"/>
      <c r="AA2124" s="102" t="n"/>
      <c r="AB2124" s="102" t="n"/>
      <c r="AC2124" s="102" t="n"/>
      <c r="AD2124" s="102" t="n"/>
      <c r="AE2124" s="102" t="n"/>
      <c r="AF2124" s="102" t="n"/>
      <c r="AG2124" s="102" t="n"/>
      <c r="AH2124" s="102" t="n"/>
      <c r="AI2124" s="102" t="n"/>
      <c r="AJ2124" s="102" t="n"/>
      <c r="AK2124" s="102" t="n"/>
      <c r="AL2124" s="102" t="n"/>
      <c r="AM2124" s="102" t="n"/>
      <c r="AN2124" s="102" t="n"/>
      <c r="AO2124" s="102" t="n"/>
      <c r="AP2124" s="102" t="n"/>
      <c r="AQ2124" s="102" t="n"/>
      <c r="AR2124" s="102" t="n"/>
    </row>
    <row r="2125">
      <c r="D2125" s="160" t="n"/>
      <c r="E2125" s="160" t="n"/>
      <c r="F2125" s="160" t="n"/>
      <c r="G2125" s="160" t="n"/>
      <c r="H2125" s="160" t="n"/>
      <c r="I2125" s="160" t="n"/>
      <c r="J2125" s="160" t="n"/>
      <c r="K2125" s="160" t="n"/>
      <c r="L2125" s="160" t="n"/>
      <c r="M2125" s="160" t="n"/>
      <c r="N2125" s="160" t="n"/>
      <c r="O2125" s="160" t="n"/>
      <c r="P2125" s="160" t="n"/>
      <c r="Q2125" s="160" t="n"/>
      <c r="R2125" s="160" t="n"/>
      <c r="S2125" s="160" t="n"/>
      <c r="T2125" s="160" t="n"/>
      <c r="U2125" s="160" t="n"/>
      <c r="V2125" s="160" t="n"/>
      <c r="W2125" s="160" t="n"/>
      <c r="X2125" s="160" t="n"/>
      <c r="Y2125" s="160" t="n"/>
      <c r="Z2125" s="160" t="n"/>
      <c r="AA2125" s="160" t="n"/>
      <c r="AB2125" s="160" t="n"/>
      <c r="AC2125" s="160" t="n"/>
      <c r="AD2125" s="160" t="n"/>
      <c r="AE2125" s="160" t="n"/>
      <c r="AF2125" s="160" t="n"/>
      <c r="AG2125" s="160" t="n"/>
      <c r="AH2125" s="160" t="n"/>
      <c r="AI2125" s="160" t="n"/>
      <c r="AJ2125" s="160" t="n"/>
      <c r="AK2125" s="160" t="n"/>
      <c r="AL2125" s="160" t="n"/>
      <c r="AM2125" s="160" t="n"/>
      <c r="AN2125" s="160" t="n"/>
      <c r="AO2125" s="160" t="n"/>
      <c r="AP2125" s="160" t="n"/>
      <c r="AQ2125" s="160" t="n"/>
      <c r="AR2125" s="160" t="n"/>
    </row>
    <row r="2128">
      <c r="A2128" s="2">
        <f>IF($A2121="","","   projections")</f>
        <v/>
      </c>
      <c r="B2128" s="158">
        <f>IF($A2121="",0,COUNT($E2129:$AR2129))</f>
        <v/>
      </c>
      <c r="C2128" s="159">
        <f>IF($B2128=0,0,MAX($E2129:$AR2129))</f>
        <v/>
      </c>
      <c r="D2128" s="101">
        <f>BDS($A2121,FLD_PROJ,"headers=y","startcol=1","endcol=3","dir=h")</f>
        <v/>
      </c>
      <c r="E2128" s="102" t="n"/>
      <c r="F2128" s="102" t="n"/>
      <c r="G2128" s="102" t="n"/>
      <c r="H2128" s="102" t="n"/>
      <c r="I2128" s="102" t="n"/>
      <c r="J2128" s="102" t="n"/>
      <c r="K2128" s="102" t="n"/>
      <c r="L2128" s="102" t="n"/>
      <c r="M2128" s="102" t="n"/>
      <c r="N2128" s="102" t="n"/>
      <c r="O2128" s="102" t="n"/>
      <c r="P2128" s="102" t="n"/>
      <c r="Q2128" s="102" t="n"/>
      <c r="R2128" s="102" t="n"/>
      <c r="S2128" s="102" t="n"/>
      <c r="T2128" s="102" t="n"/>
      <c r="U2128" s="102" t="n"/>
      <c r="V2128" s="102" t="n"/>
      <c r="W2128" s="102" t="n"/>
      <c r="X2128" s="102" t="n"/>
      <c r="Y2128" s="102" t="n"/>
      <c r="Z2128" s="102" t="n"/>
      <c r="AA2128" s="102" t="n"/>
      <c r="AB2128" s="102" t="n"/>
      <c r="AC2128" s="102" t="n"/>
      <c r="AD2128" s="102" t="n"/>
      <c r="AE2128" s="102" t="n"/>
      <c r="AF2128" s="102" t="n"/>
      <c r="AG2128" s="102" t="n"/>
      <c r="AH2128" s="102" t="n"/>
      <c r="AI2128" s="102" t="n"/>
      <c r="AJ2128" s="102" t="n"/>
      <c r="AK2128" s="102" t="n"/>
      <c r="AL2128" s="102" t="n"/>
      <c r="AM2128" s="102" t="n"/>
      <c r="AN2128" s="102" t="n"/>
      <c r="AO2128" s="102" t="n"/>
      <c r="AP2128" s="102" t="n"/>
      <c r="AQ2128" s="102" t="n"/>
      <c r="AR2128" s="102" t="n"/>
    </row>
    <row r="2129">
      <c r="D2129" s="102" t="n"/>
      <c r="E2129" s="102" t="n"/>
      <c r="F2129" s="102" t="n"/>
      <c r="G2129" s="102" t="n"/>
      <c r="H2129" s="102" t="n"/>
      <c r="I2129" s="102" t="n"/>
      <c r="J2129" s="102" t="n"/>
      <c r="K2129" s="102" t="n"/>
      <c r="L2129" s="102" t="n"/>
      <c r="M2129" s="102" t="n"/>
      <c r="N2129" s="102" t="n"/>
      <c r="O2129" s="102" t="n"/>
      <c r="P2129" s="102" t="n"/>
      <c r="Q2129" s="102" t="n"/>
      <c r="R2129" s="102" t="n"/>
      <c r="S2129" s="102" t="n"/>
      <c r="T2129" s="102" t="n"/>
      <c r="U2129" s="102" t="n"/>
      <c r="V2129" s="102" t="n"/>
      <c r="W2129" s="102" t="n"/>
      <c r="X2129" s="102" t="n"/>
      <c r="Y2129" s="102" t="n"/>
      <c r="Z2129" s="102" t="n"/>
      <c r="AA2129" s="102" t="n"/>
      <c r="AB2129" s="102" t="n"/>
      <c r="AC2129" s="102" t="n"/>
      <c r="AD2129" s="102" t="n"/>
      <c r="AE2129" s="102" t="n"/>
      <c r="AF2129" s="102" t="n"/>
      <c r="AG2129" s="102" t="n"/>
      <c r="AH2129" s="102" t="n"/>
      <c r="AI2129" s="102" t="n"/>
      <c r="AJ2129" s="102" t="n"/>
      <c r="AK2129" s="102" t="n"/>
      <c r="AL2129" s="102" t="n"/>
      <c r="AM2129" s="102" t="n"/>
      <c r="AN2129" s="102" t="n"/>
      <c r="AO2129" s="102" t="n"/>
      <c r="AP2129" s="102" t="n"/>
      <c r="AQ2129" s="102" t="n"/>
      <c r="AR2129" s="102" t="n"/>
    </row>
    <row r="2130">
      <c r="D2130" s="160" t="n"/>
      <c r="E2130" s="160" t="n"/>
      <c r="F2130" s="160" t="n"/>
      <c r="G2130" s="160" t="n"/>
      <c r="H2130" s="160" t="n"/>
      <c r="I2130" s="160" t="n"/>
      <c r="J2130" s="160" t="n"/>
      <c r="K2130" s="160" t="n"/>
      <c r="L2130" s="160" t="n"/>
      <c r="M2130" s="160" t="n"/>
      <c r="N2130" s="160" t="n"/>
      <c r="O2130" s="160" t="n"/>
      <c r="P2130" s="160" t="n"/>
      <c r="Q2130" s="160" t="n"/>
      <c r="R2130" s="160" t="n"/>
      <c r="S2130" s="160" t="n"/>
      <c r="T2130" s="160" t="n"/>
      <c r="U2130" s="160" t="n"/>
      <c r="V2130" s="160" t="n"/>
      <c r="W2130" s="160" t="n"/>
      <c r="X2130" s="160" t="n"/>
      <c r="Y2130" s="160" t="n"/>
      <c r="Z2130" s="160" t="n"/>
      <c r="AA2130" s="160" t="n"/>
      <c r="AB2130" s="160" t="n"/>
      <c r="AC2130" s="160" t="n"/>
      <c r="AD2130" s="160" t="n"/>
      <c r="AE2130" s="160" t="n"/>
      <c r="AF2130" s="160" t="n"/>
      <c r="AG2130" s="160" t="n"/>
      <c r="AH2130" s="160" t="n"/>
      <c r="AI2130" s="160" t="n"/>
      <c r="AJ2130" s="160" t="n"/>
      <c r="AK2130" s="160" t="n"/>
      <c r="AL2130" s="160" t="n"/>
      <c r="AM2130" s="160" t="n"/>
      <c r="AN2130" s="160" t="n"/>
      <c r="AO2130" s="160" t="n"/>
      <c r="AP2130" s="160" t="n"/>
      <c r="AQ2130" s="160" t="n"/>
      <c r="AR2130" s="160" t="n"/>
    </row>
    <row r="2132">
      <c r="A2132" s="8">
        <f>IF(HSCEI!$C$59="","",HSCEI!$C$59)</f>
        <v/>
      </c>
      <c r="B2132" s="158">
        <f>IF($A2132="",0,COUNT($E2133:$AR2133))</f>
        <v/>
      </c>
      <c r="C2132" s="159">
        <f>IF($B2132=0,0,MAX($E2133:$AR2133))</f>
        <v/>
      </c>
      <c r="D2132" s="101">
        <f>BDS($A2132,FLD_HIST,"headers=y","startcol=1","endcol=7","dir=h","DVD_START_DT",HIST_FROM,"DVD_END_DT",HIST_TO)</f>
        <v/>
      </c>
      <c r="E2132" s="102" t="n"/>
      <c r="F2132" s="102" t="n"/>
      <c r="G2132" s="102" t="n"/>
      <c r="H2132" s="102" t="n"/>
      <c r="I2132" s="102" t="n"/>
      <c r="J2132" s="102" t="n"/>
      <c r="K2132" s="102" t="n"/>
      <c r="L2132" s="102" t="n"/>
      <c r="M2132" s="102" t="n"/>
      <c r="N2132" s="102" t="n"/>
      <c r="O2132" s="102" t="n"/>
      <c r="P2132" s="102" t="n"/>
      <c r="Q2132" s="102" t="n"/>
      <c r="R2132" s="102" t="n"/>
      <c r="S2132" s="102" t="n"/>
      <c r="T2132" s="102" t="n"/>
      <c r="U2132" s="102" t="n"/>
      <c r="V2132" s="102" t="n"/>
      <c r="W2132" s="102" t="n"/>
      <c r="X2132" s="102" t="n"/>
      <c r="Y2132" s="102" t="n"/>
      <c r="Z2132" s="102" t="n"/>
      <c r="AA2132" s="102" t="n"/>
      <c r="AB2132" s="102" t="n"/>
      <c r="AC2132" s="102" t="n"/>
      <c r="AD2132" s="102" t="n"/>
      <c r="AE2132" s="102" t="n"/>
      <c r="AF2132" s="102" t="n"/>
      <c r="AG2132" s="102" t="n"/>
      <c r="AH2132" s="102" t="n"/>
      <c r="AI2132" s="102" t="n"/>
      <c r="AJ2132" s="102" t="n"/>
      <c r="AK2132" s="102" t="n"/>
      <c r="AL2132" s="102" t="n"/>
      <c r="AM2132" s="102" t="n"/>
      <c r="AN2132" s="102" t="n"/>
      <c r="AO2132" s="102" t="n"/>
      <c r="AP2132" s="102" t="n"/>
      <c r="AQ2132" s="102" t="n"/>
      <c r="AR2132" s="102" t="n"/>
    </row>
    <row r="2133">
      <c r="D2133" s="102" t="n"/>
      <c r="E2133" s="102" t="n"/>
      <c r="F2133" s="102" t="n"/>
      <c r="G2133" s="102" t="n"/>
      <c r="H2133" s="102" t="n"/>
      <c r="I2133" s="102" t="n"/>
      <c r="J2133" s="102" t="n"/>
      <c r="K2133" s="102" t="n"/>
      <c r="L2133" s="102" t="n"/>
      <c r="M2133" s="102" t="n"/>
      <c r="N2133" s="102" t="n"/>
      <c r="O2133" s="102" t="n"/>
      <c r="P2133" s="102" t="n"/>
      <c r="Q2133" s="102" t="n"/>
      <c r="R2133" s="102" t="n"/>
      <c r="S2133" s="102" t="n"/>
      <c r="T2133" s="102" t="n"/>
      <c r="U2133" s="102" t="n"/>
      <c r="V2133" s="102" t="n"/>
      <c r="W2133" s="102" t="n"/>
      <c r="X2133" s="102" t="n"/>
      <c r="Y2133" s="102" t="n"/>
      <c r="Z2133" s="102" t="n"/>
      <c r="AA2133" s="102" t="n"/>
      <c r="AB2133" s="102" t="n"/>
      <c r="AC2133" s="102" t="n"/>
      <c r="AD2133" s="102" t="n"/>
      <c r="AE2133" s="102" t="n"/>
      <c r="AF2133" s="102" t="n"/>
      <c r="AG2133" s="102" t="n"/>
      <c r="AH2133" s="102" t="n"/>
      <c r="AI2133" s="102" t="n"/>
      <c r="AJ2133" s="102" t="n"/>
      <c r="AK2133" s="102" t="n"/>
      <c r="AL2133" s="102" t="n"/>
      <c r="AM2133" s="102" t="n"/>
      <c r="AN2133" s="102" t="n"/>
      <c r="AO2133" s="102" t="n"/>
      <c r="AP2133" s="102" t="n"/>
      <c r="AQ2133" s="102" t="n"/>
      <c r="AR2133" s="102" t="n"/>
    </row>
    <row r="2134">
      <c r="D2134" s="102" t="n"/>
      <c r="E2134" s="102" t="n"/>
      <c r="F2134" s="102" t="n"/>
      <c r="G2134" s="102" t="n"/>
      <c r="H2134" s="102" t="n"/>
      <c r="I2134" s="102" t="n"/>
      <c r="J2134" s="102" t="n"/>
      <c r="K2134" s="102" t="n"/>
      <c r="L2134" s="102" t="n"/>
      <c r="M2134" s="102" t="n"/>
      <c r="N2134" s="102" t="n"/>
      <c r="O2134" s="102" t="n"/>
      <c r="P2134" s="102" t="n"/>
      <c r="Q2134" s="102" t="n"/>
      <c r="R2134" s="102" t="n"/>
      <c r="S2134" s="102" t="n"/>
      <c r="T2134" s="102" t="n"/>
      <c r="U2134" s="102" t="n"/>
      <c r="V2134" s="102" t="n"/>
      <c r="W2134" s="102" t="n"/>
      <c r="X2134" s="102" t="n"/>
      <c r="Y2134" s="102" t="n"/>
      <c r="Z2134" s="102" t="n"/>
      <c r="AA2134" s="102" t="n"/>
      <c r="AB2134" s="102" t="n"/>
      <c r="AC2134" s="102" t="n"/>
      <c r="AD2134" s="102" t="n"/>
      <c r="AE2134" s="102" t="n"/>
      <c r="AF2134" s="102" t="n"/>
      <c r="AG2134" s="102" t="n"/>
      <c r="AH2134" s="102" t="n"/>
      <c r="AI2134" s="102" t="n"/>
      <c r="AJ2134" s="102" t="n"/>
      <c r="AK2134" s="102" t="n"/>
      <c r="AL2134" s="102" t="n"/>
      <c r="AM2134" s="102" t="n"/>
      <c r="AN2134" s="102" t="n"/>
      <c r="AO2134" s="102" t="n"/>
      <c r="AP2134" s="102" t="n"/>
      <c r="AQ2134" s="102" t="n"/>
      <c r="AR2134" s="102" t="n"/>
    </row>
    <row r="2135">
      <c r="D2135" s="102" t="n"/>
      <c r="E2135" s="102" t="n"/>
      <c r="F2135" s="102" t="n"/>
      <c r="G2135" s="102" t="n"/>
      <c r="H2135" s="102" t="n"/>
      <c r="I2135" s="102" t="n"/>
      <c r="J2135" s="102" t="n"/>
      <c r="K2135" s="102" t="n"/>
      <c r="L2135" s="102" t="n"/>
      <c r="M2135" s="102" t="n"/>
      <c r="N2135" s="102" t="n"/>
      <c r="O2135" s="102" t="n"/>
      <c r="P2135" s="102" t="n"/>
      <c r="Q2135" s="102" t="n"/>
      <c r="R2135" s="102" t="n"/>
      <c r="S2135" s="102" t="n"/>
      <c r="T2135" s="102" t="n"/>
      <c r="U2135" s="102" t="n"/>
      <c r="V2135" s="102" t="n"/>
      <c r="W2135" s="102" t="n"/>
      <c r="X2135" s="102" t="n"/>
      <c r="Y2135" s="102" t="n"/>
      <c r="Z2135" s="102" t="n"/>
      <c r="AA2135" s="102" t="n"/>
      <c r="AB2135" s="102" t="n"/>
      <c r="AC2135" s="102" t="n"/>
      <c r="AD2135" s="102" t="n"/>
      <c r="AE2135" s="102" t="n"/>
      <c r="AF2135" s="102" t="n"/>
      <c r="AG2135" s="102" t="n"/>
      <c r="AH2135" s="102" t="n"/>
      <c r="AI2135" s="102" t="n"/>
      <c r="AJ2135" s="102" t="n"/>
      <c r="AK2135" s="102" t="n"/>
      <c r="AL2135" s="102" t="n"/>
      <c r="AM2135" s="102" t="n"/>
      <c r="AN2135" s="102" t="n"/>
      <c r="AO2135" s="102" t="n"/>
      <c r="AP2135" s="102" t="n"/>
      <c r="AQ2135" s="102" t="n"/>
      <c r="AR2135" s="102" t="n"/>
    </row>
    <row r="2136">
      <c r="D2136" s="160" t="n"/>
      <c r="E2136" s="160" t="n"/>
      <c r="F2136" s="160" t="n"/>
      <c r="G2136" s="160" t="n"/>
      <c r="H2136" s="160" t="n"/>
      <c r="I2136" s="160" t="n"/>
      <c r="J2136" s="160" t="n"/>
      <c r="K2136" s="160" t="n"/>
      <c r="L2136" s="160" t="n"/>
      <c r="M2136" s="160" t="n"/>
      <c r="N2136" s="160" t="n"/>
      <c r="O2136" s="160" t="n"/>
      <c r="P2136" s="160" t="n"/>
      <c r="Q2136" s="160" t="n"/>
      <c r="R2136" s="160" t="n"/>
      <c r="S2136" s="160" t="n"/>
      <c r="T2136" s="160" t="n"/>
      <c r="U2136" s="160" t="n"/>
      <c r="V2136" s="160" t="n"/>
      <c r="W2136" s="160" t="n"/>
      <c r="X2136" s="160" t="n"/>
      <c r="Y2136" s="160" t="n"/>
      <c r="Z2136" s="160" t="n"/>
      <c r="AA2136" s="160" t="n"/>
      <c r="AB2136" s="160" t="n"/>
      <c r="AC2136" s="160" t="n"/>
      <c r="AD2136" s="160" t="n"/>
      <c r="AE2136" s="160" t="n"/>
      <c r="AF2136" s="160" t="n"/>
      <c r="AG2136" s="160" t="n"/>
      <c r="AH2136" s="160" t="n"/>
      <c r="AI2136" s="160" t="n"/>
      <c r="AJ2136" s="160" t="n"/>
      <c r="AK2136" s="160" t="n"/>
      <c r="AL2136" s="160" t="n"/>
      <c r="AM2136" s="160" t="n"/>
      <c r="AN2136" s="160" t="n"/>
      <c r="AO2136" s="160" t="n"/>
      <c r="AP2136" s="160" t="n"/>
      <c r="AQ2136" s="160" t="n"/>
      <c r="AR2136" s="160" t="n"/>
    </row>
    <row r="2139">
      <c r="A2139" s="2">
        <f>IF($A2132="","","   projections")</f>
        <v/>
      </c>
      <c r="B2139" s="158">
        <f>IF($A2132="",0,COUNT($E2140:$AR2140))</f>
        <v/>
      </c>
      <c r="C2139" s="159">
        <f>IF($B2139=0,0,MAX($E2140:$AR2140))</f>
        <v/>
      </c>
      <c r="D2139" s="101">
        <f>BDS($A2132,FLD_PROJ,"headers=y","startcol=1","endcol=3","dir=h")</f>
        <v/>
      </c>
      <c r="E2139" s="102" t="n"/>
      <c r="F2139" s="102" t="n"/>
      <c r="G2139" s="102" t="n"/>
      <c r="H2139" s="102" t="n"/>
      <c r="I2139" s="102" t="n"/>
      <c r="J2139" s="102" t="n"/>
      <c r="K2139" s="102" t="n"/>
      <c r="L2139" s="102" t="n"/>
      <c r="M2139" s="102" t="n"/>
      <c r="N2139" s="102" t="n"/>
      <c r="O2139" s="102" t="n"/>
      <c r="P2139" s="102" t="n"/>
      <c r="Q2139" s="102" t="n"/>
      <c r="R2139" s="102" t="n"/>
      <c r="S2139" s="102" t="n"/>
      <c r="T2139" s="102" t="n"/>
      <c r="U2139" s="102" t="n"/>
      <c r="V2139" s="102" t="n"/>
      <c r="W2139" s="102" t="n"/>
      <c r="X2139" s="102" t="n"/>
      <c r="Y2139" s="102" t="n"/>
      <c r="Z2139" s="102" t="n"/>
      <c r="AA2139" s="102" t="n"/>
      <c r="AB2139" s="102" t="n"/>
      <c r="AC2139" s="102" t="n"/>
      <c r="AD2139" s="102" t="n"/>
      <c r="AE2139" s="102" t="n"/>
      <c r="AF2139" s="102" t="n"/>
      <c r="AG2139" s="102" t="n"/>
      <c r="AH2139" s="102" t="n"/>
      <c r="AI2139" s="102" t="n"/>
      <c r="AJ2139" s="102" t="n"/>
      <c r="AK2139" s="102" t="n"/>
      <c r="AL2139" s="102" t="n"/>
      <c r="AM2139" s="102" t="n"/>
      <c r="AN2139" s="102" t="n"/>
      <c r="AO2139" s="102" t="n"/>
      <c r="AP2139" s="102" t="n"/>
      <c r="AQ2139" s="102" t="n"/>
      <c r="AR2139" s="102" t="n"/>
    </row>
    <row r="2140">
      <c r="D2140" s="102" t="n"/>
      <c r="E2140" s="102" t="n"/>
      <c r="F2140" s="102" t="n"/>
      <c r="G2140" s="102" t="n"/>
      <c r="H2140" s="102" t="n"/>
      <c r="I2140" s="102" t="n"/>
      <c r="J2140" s="102" t="n"/>
      <c r="K2140" s="102" t="n"/>
      <c r="L2140" s="102" t="n"/>
      <c r="M2140" s="102" t="n"/>
      <c r="N2140" s="102" t="n"/>
      <c r="O2140" s="102" t="n"/>
      <c r="P2140" s="102" t="n"/>
      <c r="Q2140" s="102" t="n"/>
      <c r="R2140" s="102" t="n"/>
      <c r="S2140" s="102" t="n"/>
      <c r="T2140" s="102" t="n"/>
      <c r="U2140" s="102" t="n"/>
      <c r="V2140" s="102" t="n"/>
      <c r="W2140" s="102" t="n"/>
      <c r="X2140" s="102" t="n"/>
      <c r="Y2140" s="102" t="n"/>
      <c r="Z2140" s="102" t="n"/>
      <c r="AA2140" s="102" t="n"/>
      <c r="AB2140" s="102" t="n"/>
      <c r="AC2140" s="102" t="n"/>
      <c r="AD2140" s="102" t="n"/>
      <c r="AE2140" s="102" t="n"/>
      <c r="AF2140" s="102" t="n"/>
      <c r="AG2140" s="102" t="n"/>
      <c r="AH2140" s="102" t="n"/>
      <c r="AI2140" s="102" t="n"/>
      <c r="AJ2140" s="102" t="n"/>
      <c r="AK2140" s="102" t="n"/>
      <c r="AL2140" s="102" t="n"/>
      <c r="AM2140" s="102" t="n"/>
      <c r="AN2140" s="102" t="n"/>
      <c r="AO2140" s="102" t="n"/>
      <c r="AP2140" s="102" t="n"/>
      <c r="AQ2140" s="102" t="n"/>
      <c r="AR2140" s="102" t="n"/>
    </row>
    <row r="2141">
      <c r="D2141" s="160" t="n"/>
      <c r="E2141" s="160" t="n"/>
      <c r="F2141" s="160" t="n"/>
      <c r="G2141" s="160" t="n"/>
      <c r="H2141" s="160" t="n"/>
      <c r="I2141" s="160" t="n"/>
      <c r="J2141" s="160" t="n"/>
      <c r="K2141" s="160" t="n"/>
      <c r="L2141" s="160" t="n"/>
      <c r="M2141" s="160" t="n"/>
      <c r="N2141" s="160" t="n"/>
      <c r="O2141" s="160" t="n"/>
      <c r="P2141" s="160" t="n"/>
      <c r="Q2141" s="160" t="n"/>
      <c r="R2141" s="160" t="n"/>
      <c r="S2141" s="160" t="n"/>
      <c r="T2141" s="160" t="n"/>
      <c r="U2141" s="160" t="n"/>
      <c r="V2141" s="160" t="n"/>
      <c r="W2141" s="160" t="n"/>
      <c r="X2141" s="160" t="n"/>
      <c r="Y2141" s="160" t="n"/>
      <c r="Z2141" s="160" t="n"/>
      <c r="AA2141" s="160" t="n"/>
      <c r="AB2141" s="160" t="n"/>
      <c r="AC2141" s="160" t="n"/>
      <c r="AD2141" s="160" t="n"/>
      <c r="AE2141" s="160" t="n"/>
      <c r="AF2141" s="160" t="n"/>
      <c r="AG2141" s="160" t="n"/>
      <c r="AH2141" s="160" t="n"/>
      <c r="AI2141" s="160" t="n"/>
      <c r="AJ2141" s="160" t="n"/>
      <c r="AK2141" s="160" t="n"/>
      <c r="AL2141" s="160" t="n"/>
      <c r="AM2141" s="160" t="n"/>
      <c r="AN2141" s="160" t="n"/>
      <c r="AO2141" s="160" t="n"/>
      <c r="AP2141" s="160" t="n"/>
      <c r="AQ2141" s="160" t="n"/>
      <c r="AR2141" s="160" t="n"/>
    </row>
    <row r="2143">
      <c r="A2143" s="8">
        <f>IF(HSCEI!$C$60="","",HSCEI!$C$60)</f>
        <v/>
      </c>
      <c r="B2143" s="158">
        <f>IF($A2143="",0,COUNT($E2144:$AR2144))</f>
        <v/>
      </c>
      <c r="C2143" s="159">
        <f>IF($B2143=0,0,MAX($E2144:$AR2144))</f>
        <v/>
      </c>
      <c r="D2143" s="101">
        <f>BDS($A2143,FLD_HIST,"headers=y","startcol=1","endcol=7","dir=h","DVD_START_DT",HIST_FROM,"DVD_END_DT",HIST_TO)</f>
        <v/>
      </c>
      <c r="E2143" s="102" t="n"/>
      <c r="F2143" s="102" t="n"/>
      <c r="G2143" s="102" t="n"/>
      <c r="H2143" s="102" t="n"/>
      <c r="I2143" s="102" t="n"/>
      <c r="J2143" s="102" t="n"/>
      <c r="K2143" s="102" t="n"/>
      <c r="L2143" s="102" t="n"/>
      <c r="M2143" s="102" t="n"/>
      <c r="N2143" s="102" t="n"/>
      <c r="O2143" s="102" t="n"/>
      <c r="P2143" s="102" t="n"/>
      <c r="Q2143" s="102" t="n"/>
      <c r="R2143" s="102" t="n"/>
      <c r="S2143" s="102" t="n"/>
      <c r="T2143" s="102" t="n"/>
      <c r="U2143" s="102" t="n"/>
      <c r="V2143" s="102" t="n"/>
      <c r="W2143" s="102" t="n"/>
      <c r="X2143" s="102" t="n"/>
      <c r="Y2143" s="102" t="n"/>
      <c r="Z2143" s="102" t="n"/>
      <c r="AA2143" s="102" t="n"/>
      <c r="AB2143" s="102" t="n"/>
      <c r="AC2143" s="102" t="n"/>
      <c r="AD2143" s="102" t="n"/>
      <c r="AE2143" s="102" t="n"/>
      <c r="AF2143" s="102" t="n"/>
      <c r="AG2143" s="102" t="n"/>
      <c r="AH2143" s="102" t="n"/>
      <c r="AI2143" s="102" t="n"/>
      <c r="AJ2143" s="102" t="n"/>
      <c r="AK2143" s="102" t="n"/>
      <c r="AL2143" s="102" t="n"/>
      <c r="AM2143" s="102" t="n"/>
      <c r="AN2143" s="102" t="n"/>
      <c r="AO2143" s="102" t="n"/>
      <c r="AP2143" s="102" t="n"/>
      <c r="AQ2143" s="102" t="n"/>
      <c r="AR2143" s="102" t="n"/>
    </row>
    <row r="2144">
      <c r="D2144" s="102" t="n"/>
      <c r="E2144" s="102" t="n"/>
      <c r="F2144" s="102" t="n"/>
      <c r="G2144" s="102" t="n"/>
      <c r="H2144" s="102" t="n"/>
      <c r="I2144" s="102" t="n"/>
      <c r="J2144" s="102" t="n"/>
      <c r="K2144" s="102" t="n"/>
      <c r="L2144" s="102" t="n"/>
      <c r="M2144" s="102" t="n"/>
      <c r="N2144" s="102" t="n"/>
      <c r="O2144" s="102" t="n"/>
      <c r="P2144" s="102" t="n"/>
      <c r="Q2144" s="102" t="n"/>
      <c r="R2144" s="102" t="n"/>
      <c r="S2144" s="102" t="n"/>
      <c r="T2144" s="102" t="n"/>
      <c r="U2144" s="102" t="n"/>
      <c r="V2144" s="102" t="n"/>
      <c r="W2144" s="102" t="n"/>
      <c r="X2144" s="102" t="n"/>
      <c r="Y2144" s="102" t="n"/>
      <c r="Z2144" s="102" t="n"/>
      <c r="AA2144" s="102" t="n"/>
      <c r="AB2144" s="102" t="n"/>
      <c r="AC2144" s="102" t="n"/>
      <c r="AD2144" s="102" t="n"/>
      <c r="AE2144" s="102" t="n"/>
      <c r="AF2144" s="102" t="n"/>
      <c r="AG2144" s="102" t="n"/>
      <c r="AH2144" s="102" t="n"/>
      <c r="AI2144" s="102" t="n"/>
      <c r="AJ2144" s="102" t="n"/>
      <c r="AK2144" s="102" t="n"/>
      <c r="AL2144" s="102" t="n"/>
      <c r="AM2144" s="102" t="n"/>
      <c r="AN2144" s="102" t="n"/>
      <c r="AO2144" s="102" t="n"/>
      <c r="AP2144" s="102" t="n"/>
      <c r="AQ2144" s="102" t="n"/>
      <c r="AR2144" s="102" t="n"/>
    </row>
    <row r="2145">
      <c r="D2145" s="102" t="n"/>
      <c r="E2145" s="102" t="n"/>
      <c r="F2145" s="102" t="n"/>
      <c r="G2145" s="102" t="n"/>
      <c r="H2145" s="102" t="n"/>
      <c r="I2145" s="102" t="n"/>
      <c r="J2145" s="102" t="n"/>
      <c r="K2145" s="102" t="n"/>
      <c r="L2145" s="102" t="n"/>
      <c r="M2145" s="102" t="n"/>
      <c r="N2145" s="102" t="n"/>
      <c r="O2145" s="102" t="n"/>
      <c r="P2145" s="102" t="n"/>
      <c r="Q2145" s="102" t="n"/>
      <c r="R2145" s="102" t="n"/>
      <c r="S2145" s="102" t="n"/>
      <c r="T2145" s="102" t="n"/>
      <c r="U2145" s="102" t="n"/>
      <c r="V2145" s="102" t="n"/>
      <c r="W2145" s="102" t="n"/>
      <c r="X2145" s="102" t="n"/>
      <c r="Y2145" s="102" t="n"/>
      <c r="Z2145" s="102" t="n"/>
      <c r="AA2145" s="102" t="n"/>
      <c r="AB2145" s="102" t="n"/>
      <c r="AC2145" s="102" t="n"/>
      <c r="AD2145" s="102" t="n"/>
      <c r="AE2145" s="102" t="n"/>
      <c r="AF2145" s="102" t="n"/>
      <c r="AG2145" s="102" t="n"/>
      <c r="AH2145" s="102" t="n"/>
      <c r="AI2145" s="102" t="n"/>
      <c r="AJ2145" s="102" t="n"/>
      <c r="AK2145" s="102" t="n"/>
      <c r="AL2145" s="102" t="n"/>
      <c r="AM2145" s="102" t="n"/>
      <c r="AN2145" s="102" t="n"/>
      <c r="AO2145" s="102" t="n"/>
      <c r="AP2145" s="102" t="n"/>
      <c r="AQ2145" s="102" t="n"/>
      <c r="AR2145" s="102" t="n"/>
    </row>
    <row r="2146">
      <c r="D2146" s="102" t="n"/>
      <c r="E2146" s="102" t="n"/>
      <c r="F2146" s="102" t="n"/>
      <c r="G2146" s="102" t="n"/>
      <c r="H2146" s="102" t="n"/>
      <c r="I2146" s="102" t="n"/>
      <c r="J2146" s="102" t="n"/>
      <c r="K2146" s="102" t="n"/>
      <c r="L2146" s="102" t="n"/>
      <c r="M2146" s="102" t="n"/>
      <c r="N2146" s="102" t="n"/>
      <c r="O2146" s="102" t="n"/>
      <c r="P2146" s="102" t="n"/>
      <c r="Q2146" s="102" t="n"/>
      <c r="R2146" s="102" t="n"/>
      <c r="S2146" s="102" t="n"/>
      <c r="T2146" s="102" t="n"/>
      <c r="U2146" s="102" t="n"/>
      <c r="V2146" s="102" t="n"/>
      <c r="W2146" s="102" t="n"/>
      <c r="X2146" s="102" t="n"/>
      <c r="Y2146" s="102" t="n"/>
      <c r="Z2146" s="102" t="n"/>
      <c r="AA2146" s="102" t="n"/>
      <c r="AB2146" s="102" t="n"/>
      <c r="AC2146" s="102" t="n"/>
      <c r="AD2146" s="102" t="n"/>
      <c r="AE2146" s="102" t="n"/>
      <c r="AF2146" s="102" t="n"/>
      <c r="AG2146" s="102" t="n"/>
      <c r="AH2146" s="102" t="n"/>
      <c r="AI2146" s="102" t="n"/>
      <c r="AJ2146" s="102" t="n"/>
      <c r="AK2146" s="102" t="n"/>
      <c r="AL2146" s="102" t="n"/>
      <c r="AM2146" s="102" t="n"/>
      <c r="AN2146" s="102" t="n"/>
      <c r="AO2146" s="102" t="n"/>
      <c r="AP2146" s="102" t="n"/>
      <c r="AQ2146" s="102" t="n"/>
      <c r="AR2146" s="102" t="n"/>
    </row>
    <row r="2147">
      <c r="D2147" s="160" t="n"/>
      <c r="E2147" s="160" t="n"/>
      <c r="F2147" s="160" t="n"/>
      <c r="G2147" s="160" t="n"/>
      <c r="H2147" s="160" t="n"/>
      <c r="I2147" s="160" t="n"/>
      <c r="J2147" s="160" t="n"/>
      <c r="K2147" s="160" t="n"/>
      <c r="L2147" s="160" t="n"/>
      <c r="M2147" s="160" t="n"/>
      <c r="N2147" s="160" t="n"/>
      <c r="O2147" s="160" t="n"/>
      <c r="P2147" s="160" t="n"/>
      <c r="Q2147" s="160" t="n"/>
      <c r="R2147" s="160" t="n"/>
      <c r="S2147" s="160" t="n"/>
      <c r="T2147" s="160" t="n"/>
      <c r="U2147" s="160" t="n"/>
      <c r="V2147" s="160" t="n"/>
      <c r="W2147" s="160" t="n"/>
      <c r="X2147" s="160" t="n"/>
      <c r="Y2147" s="160" t="n"/>
      <c r="Z2147" s="160" t="n"/>
      <c r="AA2147" s="160" t="n"/>
      <c r="AB2147" s="160" t="n"/>
      <c r="AC2147" s="160" t="n"/>
      <c r="AD2147" s="160" t="n"/>
      <c r="AE2147" s="160" t="n"/>
      <c r="AF2147" s="160" t="n"/>
      <c r="AG2147" s="160" t="n"/>
      <c r="AH2147" s="160" t="n"/>
      <c r="AI2147" s="160" t="n"/>
      <c r="AJ2147" s="160" t="n"/>
      <c r="AK2147" s="160" t="n"/>
      <c r="AL2147" s="160" t="n"/>
      <c r="AM2147" s="160" t="n"/>
      <c r="AN2147" s="160" t="n"/>
      <c r="AO2147" s="160" t="n"/>
      <c r="AP2147" s="160" t="n"/>
      <c r="AQ2147" s="160" t="n"/>
      <c r="AR2147" s="160" t="n"/>
    </row>
    <row r="2150">
      <c r="A2150" s="2">
        <f>IF($A2143="","","   projections")</f>
        <v/>
      </c>
      <c r="B2150" s="158">
        <f>IF($A2143="",0,COUNT($E2151:$AR2151))</f>
        <v/>
      </c>
      <c r="C2150" s="159">
        <f>IF($B2150=0,0,MAX($E2151:$AR2151))</f>
        <v/>
      </c>
      <c r="D2150" s="101">
        <f>BDS($A2143,FLD_PROJ,"headers=y","startcol=1","endcol=3","dir=h")</f>
        <v/>
      </c>
      <c r="E2150" s="102" t="n"/>
      <c r="F2150" s="102" t="n"/>
      <c r="G2150" s="102" t="n"/>
      <c r="H2150" s="102" t="n"/>
      <c r="I2150" s="102" t="n"/>
      <c r="J2150" s="102" t="n"/>
      <c r="K2150" s="102" t="n"/>
      <c r="L2150" s="102" t="n"/>
      <c r="M2150" s="102" t="n"/>
      <c r="N2150" s="102" t="n"/>
      <c r="O2150" s="102" t="n"/>
      <c r="P2150" s="102" t="n"/>
      <c r="Q2150" s="102" t="n"/>
      <c r="R2150" s="102" t="n"/>
      <c r="S2150" s="102" t="n"/>
      <c r="T2150" s="102" t="n"/>
      <c r="U2150" s="102" t="n"/>
      <c r="V2150" s="102" t="n"/>
      <c r="W2150" s="102" t="n"/>
      <c r="X2150" s="102" t="n"/>
      <c r="Y2150" s="102" t="n"/>
      <c r="Z2150" s="102" t="n"/>
      <c r="AA2150" s="102" t="n"/>
      <c r="AB2150" s="102" t="n"/>
      <c r="AC2150" s="102" t="n"/>
      <c r="AD2150" s="102" t="n"/>
      <c r="AE2150" s="102" t="n"/>
      <c r="AF2150" s="102" t="n"/>
      <c r="AG2150" s="102" t="n"/>
      <c r="AH2150" s="102" t="n"/>
      <c r="AI2150" s="102" t="n"/>
      <c r="AJ2150" s="102" t="n"/>
      <c r="AK2150" s="102" t="n"/>
      <c r="AL2150" s="102" t="n"/>
      <c r="AM2150" s="102" t="n"/>
      <c r="AN2150" s="102" t="n"/>
      <c r="AO2150" s="102" t="n"/>
      <c r="AP2150" s="102" t="n"/>
      <c r="AQ2150" s="102" t="n"/>
      <c r="AR2150" s="102" t="n"/>
    </row>
    <row r="2151">
      <c r="D2151" s="102" t="n"/>
      <c r="E2151" s="102" t="n"/>
      <c r="F2151" s="102" t="n"/>
      <c r="G2151" s="102" t="n"/>
      <c r="H2151" s="102" t="n"/>
      <c r="I2151" s="102" t="n"/>
      <c r="J2151" s="102" t="n"/>
      <c r="K2151" s="102" t="n"/>
      <c r="L2151" s="102" t="n"/>
      <c r="M2151" s="102" t="n"/>
      <c r="N2151" s="102" t="n"/>
      <c r="O2151" s="102" t="n"/>
      <c r="P2151" s="102" t="n"/>
      <c r="Q2151" s="102" t="n"/>
      <c r="R2151" s="102" t="n"/>
      <c r="S2151" s="102" t="n"/>
      <c r="T2151" s="102" t="n"/>
      <c r="U2151" s="102" t="n"/>
      <c r="V2151" s="102" t="n"/>
      <c r="W2151" s="102" t="n"/>
      <c r="X2151" s="102" t="n"/>
      <c r="Y2151" s="102" t="n"/>
      <c r="Z2151" s="102" t="n"/>
      <c r="AA2151" s="102" t="n"/>
      <c r="AB2151" s="102" t="n"/>
      <c r="AC2151" s="102" t="n"/>
      <c r="AD2151" s="102" t="n"/>
      <c r="AE2151" s="102" t="n"/>
      <c r="AF2151" s="102" t="n"/>
      <c r="AG2151" s="102" t="n"/>
      <c r="AH2151" s="102" t="n"/>
      <c r="AI2151" s="102" t="n"/>
      <c r="AJ2151" s="102" t="n"/>
      <c r="AK2151" s="102" t="n"/>
      <c r="AL2151" s="102" t="n"/>
      <c r="AM2151" s="102" t="n"/>
      <c r="AN2151" s="102" t="n"/>
      <c r="AO2151" s="102" t="n"/>
      <c r="AP2151" s="102" t="n"/>
      <c r="AQ2151" s="102" t="n"/>
      <c r="AR2151" s="102" t="n"/>
    </row>
    <row r="2152">
      <c r="D2152" s="160" t="n"/>
      <c r="E2152" s="160" t="n"/>
      <c r="F2152" s="160" t="n"/>
      <c r="G2152" s="160" t="n"/>
      <c r="H2152" s="160" t="n"/>
      <c r="I2152" s="160" t="n"/>
      <c r="J2152" s="160" t="n"/>
      <c r="K2152" s="160" t="n"/>
      <c r="L2152" s="160" t="n"/>
      <c r="M2152" s="160" t="n"/>
      <c r="N2152" s="160" t="n"/>
      <c r="O2152" s="160" t="n"/>
      <c r="P2152" s="160" t="n"/>
      <c r="Q2152" s="160" t="n"/>
      <c r="R2152" s="160" t="n"/>
      <c r="S2152" s="160" t="n"/>
      <c r="T2152" s="160" t="n"/>
      <c r="U2152" s="160" t="n"/>
      <c r="V2152" s="160" t="n"/>
      <c r="W2152" s="160" t="n"/>
      <c r="X2152" s="160" t="n"/>
      <c r="Y2152" s="160" t="n"/>
      <c r="Z2152" s="160" t="n"/>
      <c r="AA2152" s="160" t="n"/>
      <c r="AB2152" s="160" t="n"/>
      <c r="AC2152" s="160" t="n"/>
      <c r="AD2152" s="160" t="n"/>
      <c r="AE2152" s="160" t="n"/>
      <c r="AF2152" s="160" t="n"/>
      <c r="AG2152" s="160" t="n"/>
      <c r="AH2152" s="160" t="n"/>
      <c r="AI2152" s="160" t="n"/>
      <c r="AJ2152" s="160" t="n"/>
      <c r="AK2152" s="160" t="n"/>
      <c r="AL2152" s="160" t="n"/>
      <c r="AM2152" s="160" t="n"/>
      <c r="AN2152" s="160" t="n"/>
      <c r="AO2152" s="160" t="n"/>
      <c r="AP2152" s="160" t="n"/>
      <c r="AQ2152" s="160" t="n"/>
      <c r="AR2152" s="160" t="n"/>
    </row>
    <row r="2154">
      <c r="A2154" s="8">
        <f>IF(HSCEI!$C$61="","",HSCEI!$C$61)</f>
        <v/>
      </c>
      <c r="B2154" s="158">
        <f>IF($A2154="",0,COUNT($E2155:$AR2155))</f>
        <v/>
      </c>
      <c r="C2154" s="159">
        <f>IF($B2154=0,0,MAX($E2155:$AR2155))</f>
        <v/>
      </c>
      <c r="D2154" s="101">
        <f>BDS($A2154,FLD_HIST,"headers=y","startcol=1","endcol=7","dir=h","DVD_START_DT",HIST_FROM,"DVD_END_DT",HIST_TO)</f>
        <v/>
      </c>
      <c r="E2154" s="102" t="n"/>
      <c r="F2154" s="102" t="n"/>
      <c r="G2154" s="102" t="n"/>
      <c r="H2154" s="102" t="n"/>
      <c r="I2154" s="102" t="n"/>
      <c r="J2154" s="102" t="n"/>
      <c r="K2154" s="102" t="n"/>
      <c r="L2154" s="102" t="n"/>
      <c r="M2154" s="102" t="n"/>
      <c r="N2154" s="102" t="n"/>
      <c r="O2154" s="102" t="n"/>
      <c r="P2154" s="102" t="n"/>
      <c r="Q2154" s="102" t="n"/>
      <c r="R2154" s="102" t="n"/>
      <c r="S2154" s="102" t="n"/>
      <c r="T2154" s="102" t="n"/>
      <c r="U2154" s="102" t="n"/>
      <c r="V2154" s="102" t="n"/>
      <c r="W2154" s="102" t="n"/>
      <c r="X2154" s="102" t="n"/>
      <c r="Y2154" s="102" t="n"/>
      <c r="Z2154" s="102" t="n"/>
      <c r="AA2154" s="102" t="n"/>
      <c r="AB2154" s="102" t="n"/>
      <c r="AC2154" s="102" t="n"/>
      <c r="AD2154" s="102" t="n"/>
      <c r="AE2154" s="102" t="n"/>
      <c r="AF2154" s="102" t="n"/>
      <c r="AG2154" s="102" t="n"/>
      <c r="AH2154" s="102" t="n"/>
      <c r="AI2154" s="102" t="n"/>
      <c r="AJ2154" s="102" t="n"/>
      <c r="AK2154" s="102" t="n"/>
      <c r="AL2154" s="102" t="n"/>
      <c r="AM2154" s="102" t="n"/>
      <c r="AN2154" s="102" t="n"/>
      <c r="AO2154" s="102" t="n"/>
      <c r="AP2154" s="102" t="n"/>
      <c r="AQ2154" s="102" t="n"/>
      <c r="AR2154" s="102" t="n"/>
    </row>
    <row r="2155">
      <c r="D2155" s="102" t="n"/>
      <c r="E2155" s="102" t="n"/>
      <c r="F2155" s="102" t="n"/>
      <c r="G2155" s="102" t="n"/>
      <c r="H2155" s="102" t="n"/>
      <c r="I2155" s="102" t="n"/>
      <c r="J2155" s="102" t="n"/>
      <c r="K2155" s="102" t="n"/>
      <c r="L2155" s="102" t="n"/>
      <c r="M2155" s="102" t="n"/>
      <c r="N2155" s="102" t="n"/>
      <c r="O2155" s="102" t="n"/>
      <c r="P2155" s="102" t="n"/>
      <c r="Q2155" s="102" t="n"/>
      <c r="R2155" s="102" t="n"/>
      <c r="S2155" s="102" t="n"/>
      <c r="T2155" s="102" t="n"/>
      <c r="U2155" s="102" t="n"/>
      <c r="V2155" s="102" t="n"/>
      <c r="W2155" s="102" t="n"/>
      <c r="X2155" s="102" t="n"/>
      <c r="Y2155" s="102" t="n"/>
      <c r="Z2155" s="102" t="n"/>
      <c r="AA2155" s="102" t="n"/>
      <c r="AB2155" s="102" t="n"/>
      <c r="AC2155" s="102" t="n"/>
      <c r="AD2155" s="102" t="n"/>
      <c r="AE2155" s="102" t="n"/>
      <c r="AF2155" s="102" t="n"/>
      <c r="AG2155" s="102" t="n"/>
      <c r="AH2155" s="102" t="n"/>
      <c r="AI2155" s="102" t="n"/>
      <c r="AJ2155" s="102" t="n"/>
      <c r="AK2155" s="102" t="n"/>
      <c r="AL2155" s="102" t="n"/>
      <c r="AM2155" s="102" t="n"/>
      <c r="AN2155" s="102" t="n"/>
      <c r="AO2155" s="102" t="n"/>
      <c r="AP2155" s="102" t="n"/>
      <c r="AQ2155" s="102" t="n"/>
      <c r="AR2155" s="102" t="n"/>
    </row>
    <row r="2156">
      <c r="D2156" s="102" t="n"/>
      <c r="E2156" s="102" t="n"/>
      <c r="F2156" s="102" t="n"/>
      <c r="G2156" s="102" t="n"/>
      <c r="H2156" s="102" t="n"/>
      <c r="I2156" s="102" t="n"/>
      <c r="J2156" s="102" t="n"/>
      <c r="K2156" s="102" t="n"/>
      <c r="L2156" s="102" t="n"/>
      <c r="M2156" s="102" t="n"/>
      <c r="N2156" s="102" t="n"/>
      <c r="O2156" s="102" t="n"/>
      <c r="P2156" s="102" t="n"/>
      <c r="Q2156" s="102" t="n"/>
      <c r="R2156" s="102" t="n"/>
      <c r="S2156" s="102" t="n"/>
      <c r="T2156" s="102" t="n"/>
      <c r="U2156" s="102" t="n"/>
      <c r="V2156" s="102" t="n"/>
      <c r="W2156" s="102" t="n"/>
      <c r="X2156" s="102" t="n"/>
      <c r="Y2156" s="102" t="n"/>
      <c r="Z2156" s="102" t="n"/>
      <c r="AA2156" s="102" t="n"/>
      <c r="AB2156" s="102" t="n"/>
      <c r="AC2156" s="102" t="n"/>
      <c r="AD2156" s="102" t="n"/>
      <c r="AE2156" s="102" t="n"/>
      <c r="AF2156" s="102" t="n"/>
      <c r="AG2156" s="102" t="n"/>
      <c r="AH2156" s="102" t="n"/>
      <c r="AI2156" s="102" t="n"/>
      <c r="AJ2156" s="102" t="n"/>
      <c r="AK2156" s="102" t="n"/>
      <c r="AL2156" s="102" t="n"/>
      <c r="AM2156" s="102" t="n"/>
      <c r="AN2156" s="102" t="n"/>
      <c r="AO2156" s="102" t="n"/>
      <c r="AP2156" s="102" t="n"/>
      <c r="AQ2156" s="102" t="n"/>
      <c r="AR2156" s="102" t="n"/>
    </row>
    <row r="2157">
      <c r="D2157" s="102" t="n"/>
      <c r="E2157" s="102" t="n"/>
      <c r="F2157" s="102" t="n"/>
      <c r="G2157" s="102" t="n"/>
      <c r="H2157" s="102" t="n"/>
      <c r="I2157" s="102" t="n"/>
      <c r="J2157" s="102" t="n"/>
      <c r="K2157" s="102" t="n"/>
      <c r="L2157" s="102" t="n"/>
      <c r="M2157" s="102" t="n"/>
      <c r="N2157" s="102" t="n"/>
      <c r="O2157" s="102" t="n"/>
      <c r="P2157" s="102" t="n"/>
      <c r="Q2157" s="102" t="n"/>
      <c r="R2157" s="102" t="n"/>
      <c r="S2157" s="102" t="n"/>
      <c r="T2157" s="102" t="n"/>
      <c r="U2157" s="102" t="n"/>
      <c r="V2157" s="102" t="n"/>
      <c r="W2157" s="102" t="n"/>
      <c r="X2157" s="102" t="n"/>
      <c r="Y2157" s="102" t="n"/>
      <c r="Z2157" s="102" t="n"/>
      <c r="AA2157" s="102" t="n"/>
      <c r="AB2157" s="102" t="n"/>
      <c r="AC2157" s="102" t="n"/>
      <c r="AD2157" s="102" t="n"/>
      <c r="AE2157" s="102" t="n"/>
      <c r="AF2157" s="102" t="n"/>
      <c r="AG2157" s="102" t="n"/>
      <c r="AH2157" s="102" t="n"/>
      <c r="AI2157" s="102" t="n"/>
      <c r="AJ2157" s="102" t="n"/>
      <c r="AK2157" s="102" t="n"/>
      <c r="AL2157" s="102" t="n"/>
      <c r="AM2157" s="102" t="n"/>
      <c r="AN2157" s="102" t="n"/>
      <c r="AO2157" s="102" t="n"/>
      <c r="AP2157" s="102" t="n"/>
      <c r="AQ2157" s="102" t="n"/>
      <c r="AR2157" s="102" t="n"/>
    </row>
    <row r="2158">
      <c r="D2158" s="160" t="n"/>
      <c r="E2158" s="160" t="n"/>
      <c r="F2158" s="160" t="n"/>
      <c r="G2158" s="160" t="n"/>
      <c r="H2158" s="160" t="n"/>
      <c r="I2158" s="160" t="n"/>
      <c r="J2158" s="160" t="n"/>
      <c r="K2158" s="160" t="n"/>
      <c r="L2158" s="160" t="n"/>
      <c r="M2158" s="160" t="n"/>
      <c r="N2158" s="160" t="n"/>
      <c r="O2158" s="160" t="n"/>
      <c r="P2158" s="160" t="n"/>
      <c r="Q2158" s="160" t="n"/>
      <c r="R2158" s="160" t="n"/>
      <c r="S2158" s="160" t="n"/>
      <c r="T2158" s="160" t="n"/>
      <c r="U2158" s="160" t="n"/>
      <c r="V2158" s="160" t="n"/>
      <c r="W2158" s="160" t="n"/>
      <c r="X2158" s="160" t="n"/>
      <c r="Y2158" s="160" t="n"/>
      <c r="Z2158" s="160" t="n"/>
      <c r="AA2158" s="160" t="n"/>
      <c r="AB2158" s="160" t="n"/>
      <c r="AC2158" s="160" t="n"/>
      <c r="AD2158" s="160" t="n"/>
      <c r="AE2158" s="160" t="n"/>
      <c r="AF2158" s="160" t="n"/>
      <c r="AG2158" s="160" t="n"/>
      <c r="AH2158" s="160" t="n"/>
      <c r="AI2158" s="160" t="n"/>
      <c r="AJ2158" s="160" t="n"/>
      <c r="AK2158" s="160" t="n"/>
      <c r="AL2158" s="160" t="n"/>
      <c r="AM2158" s="160" t="n"/>
      <c r="AN2158" s="160" t="n"/>
      <c r="AO2158" s="160" t="n"/>
      <c r="AP2158" s="160" t="n"/>
      <c r="AQ2158" s="160" t="n"/>
      <c r="AR2158" s="160" t="n"/>
    </row>
    <row r="2161">
      <c r="A2161" s="2">
        <f>IF($A2154="","","   projections")</f>
        <v/>
      </c>
      <c r="B2161" s="158">
        <f>IF($A2154="",0,COUNT($E2162:$AR2162))</f>
        <v/>
      </c>
      <c r="C2161" s="159">
        <f>IF($B2161=0,0,MAX($E2162:$AR2162))</f>
        <v/>
      </c>
      <c r="D2161" s="101">
        <f>BDS($A2154,FLD_PROJ,"headers=y","startcol=1","endcol=3","dir=h")</f>
        <v/>
      </c>
      <c r="E2161" s="102" t="n"/>
      <c r="F2161" s="102" t="n"/>
      <c r="G2161" s="102" t="n"/>
      <c r="H2161" s="102" t="n"/>
      <c r="I2161" s="102" t="n"/>
      <c r="J2161" s="102" t="n"/>
      <c r="K2161" s="102" t="n"/>
      <c r="L2161" s="102" t="n"/>
      <c r="M2161" s="102" t="n"/>
      <c r="N2161" s="102" t="n"/>
      <c r="O2161" s="102" t="n"/>
      <c r="P2161" s="102" t="n"/>
      <c r="Q2161" s="102" t="n"/>
      <c r="R2161" s="102" t="n"/>
      <c r="S2161" s="102" t="n"/>
      <c r="T2161" s="102" t="n"/>
      <c r="U2161" s="102" t="n"/>
      <c r="V2161" s="102" t="n"/>
      <c r="W2161" s="102" t="n"/>
      <c r="X2161" s="102" t="n"/>
      <c r="Y2161" s="102" t="n"/>
      <c r="Z2161" s="102" t="n"/>
      <c r="AA2161" s="102" t="n"/>
      <c r="AB2161" s="102" t="n"/>
      <c r="AC2161" s="102" t="n"/>
      <c r="AD2161" s="102" t="n"/>
      <c r="AE2161" s="102" t="n"/>
      <c r="AF2161" s="102" t="n"/>
      <c r="AG2161" s="102" t="n"/>
      <c r="AH2161" s="102" t="n"/>
      <c r="AI2161" s="102" t="n"/>
      <c r="AJ2161" s="102" t="n"/>
      <c r="AK2161" s="102" t="n"/>
      <c r="AL2161" s="102" t="n"/>
      <c r="AM2161" s="102" t="n"/>
      <c r="AN2161" s="102" t="n"/>
      <c r="AO2161" s="102" t="n"/>
      <c r="AP2161" s="102" t="n"/>
      <c r="AQ2161" s="102" t="n"/>
      <c r="AR2161" s="102" t="n"/>
    </row>
    <row r="2162">
      <c r="D2162" s="102" t="n"/>
      <c r="E2162" s="102" t="n"/>
      <c r="F2162" s="102" t="n"/>
      <c r="G2162" s="102" t="n"/>
      <c r="H2162" s="102" t="n"/>
      <c r="I2162" s="102" t="n"/>
      <c r="J2162" s="102" t="n"/>
      <c r="K2162" s="102" t="n"/>
      <c r="L2162" s="102" t="n"/>
      <c r="M2162" s="102" t="n"/>
      <c r="N2162" s="102" t="n"/>
      <c r="O2162" s="102" t="n"/>
      <c r="P2162" s="102" t="n"/>
      <c r="Q2162" s="102" t="n"/>
      <c r="R2162" s="102" t="n"/>
      <c r="S2162" s="102" t="n"/>
      <c r="T2162" s="102" t="n"/>
      <c r="U2162" s="102" t="n"/>
      <c r="V2162" s="102" t="n"/>
      <c r="W2162" s="102" t="n"/>
      <c r="X2162" s="102" t="n"/>
      <c r="Y2162" s="102" t="n"/>
      <c r="Z2162" s="102" t="n"/>
      <c r="AA2162" s="102" t="n"/>
      <c r="AB2162" s="102" t="n"/>
      <c r="AC2162" s="102" t="n"/>
      <c r="AD2162" s="102" t="n"/>
      <c r="AE2162" s="102" t="n"/>
      <c r="AF2162" s="102" t="n"/>
      <c r="AG2162" s="102" t="n"/>
      <c r="AH2162" s="102" t="n"/>
      <c r="AI2162" s="102" t="n"/>
      <c r="AJ2162" s="102" t="n"/>
      <c r="AK2162" s="102" t="n"/>
      <c r="AL2162" s="102" t="n"/>
      <c r="AM2162" s="102" t="n"/>
      <c r="AN2162" s="102" t="n"/>
      <c r="AO2162" s="102" t="n"/>
      <c r="AP2162" s="102" t="n"/>
      <c r="AQ2162" s="102" t="n"/>
      <c r="AR2162" s="102" t="n"/>
    </row>
    <row r="2163">
      <c r="D2163" s="160" t="n"/>
      <c r="E2163" s="160" t="n"/>
      <c r="F2163" s="160" t="n"/>
      <c r="G2163" s="160" t="n"/>
      <c r="H2163" s="160" t="n"/>
      <c r="I2163" s="160" t="n"/>
      <c r="J2163" s="160" t="n"/>
      <c r="K2163" s="160" t="n"/>
      <c r="L2163" s="160" t="n"/>
      <c r="M2163" s="160" t="n"/>
      <c r="N2163" s="160" t="n"/>
      <c r="O2163" s="160" t="n"/>
      <c r="P2163" s="160" t="n"/>
      <c r="Q2163" s="160" t="n"/>
      <c r="R2163" s="160" t="n"/>
      <c r="S2163" s="160" t="n"/>
      <c r="T2163" s="160" t="n"/>
      <c r="U2163" s="160" t="n"/>
      <c r="V2163" s="160" t="n"/>
      <c r="W2163" s="160" t="n"/>
      <c r="X2163" s="160" t="n"/>
      <c r="Y2163" s="160" t="n"/>
      <c r="Z2163" s="160" t="n"/>
      <c r="AA2163" s="160" t="n"/>
      <c r="AB2163" s="160" t="n"/>
      <c r="AC2163" s="160" t="n"/>
      <c r="AD2163" s="160" t="n"/>
      <c r="AE2163" s="160" t="n"/>
      <c r="AF2163" s="160" t="n"/>
      <c r="AG2163" s="160" t="n"/>
      <c r="AH2163" s="160" t="n"/>
      <c r="AI2163" s="160" t="n"/>
      <c r="AJ2163" s="160" t="n"/>
      <c r="AK2163" s="160" t="n"/>
      <c r="AL2163" s="160" t="n"/>
      <c r="AM2163" s="160" t="n"/>
      <c r="AN2163" s="160" t="n"/>
      <c r="AO2163" s="160" t="n"/>
      <c r="AP2163" s="160" t="n"/>
      <c r="AQ2163" s="160" t="n"/>
      <c r="AR2163" s="160" t="n"/>
    </row>
    <row r="2165">
      <c r="A2165" s="8">
        <f>IF(HSCEI!$C$62="","",HSCEI!$C$62)</f>
        <v/>
      </c>
      <c r="B2165" s="158">
        <f>IF($A2165="",0,COUNT($E2166:$AR2166))</f>
        <v/>
      </c>
      <c r="C2165" s="159">
        <f>IF($B2165=0,0,MAX($E2166:$AR2166))</f>
        <v/>
      </c>
      <c r="D2165" s="101">
        <f>BDS($A2165,FLD_HIST,"headers=y","startcol=1","endcol=7","dir=h","DVD_START_DT",HIST_FROM,"DVD_END_DT",HIST_TO)</f>
        <v/>
      </c>
      <c r="E2165" s="102" t="n"/>
      <c r="F2165" s="102" t="n"/>
      <c r="G2165" s="102" t="n"/>
      <c r="H2165" s="102" t="n"/>
      <c r="I2165" s="102" t="n"/>
      <c r="J2165" s="102" t="n"/>
      <c r="K2165" s="102" t="n"/>
      <c r="L2165" s="102" t="n"/>
      <c r="M2165" s="102" t="n"/>
      <c r="N2165" s="102" t="n"/>
      <c r="O2165" s="102" t="n"/>
      <c r="P2165" s="102" t="n"/>
      <c r="Q2165" s="102" t="n"/>
      <c r="R2165" s="102" t="n"/>
      <c r="S2165" s="102" t="n"/>
      <c r="T2165" s="102" t="n"/>
      <c r="U2165" s="102" t="n"/>
      <c r="V2165" s="102" t="n"/>
      <c r="W2165" s="102" t="n"/>
      <c r="X2165" s="102" t="n"/>
      <c r="Y2165" s="102" t="n"/>
      <c r="Z2165" s="102" t="n"/>
      <c r="AA2165" s="102" t="n"/>
      <c r="AB2165" s="102" t="n"/>
      <c r="AC2165" s="102" t="n"/>
      <c r="AD2165" s="102" t="n"/>
      <c r="AE2165" s="102" t="n"/>
      <c r="AF2165" s="102" t="n"/>
      <c r="AG2165" s="102" t="n"/>
      <c r="AH2165" s="102" t="n"/>
      <c r="AI2165" s="102" t="n"/>
      <c r="AJ2165" s="102" t="n"/>
      <c r="AK2165" s="102" t="n"/>
      <c r="AL2165" s="102" t="n"/>
      <c r="AM2165" s="102" t="n"/>
      <c r="AN2165" s="102" t="n"/>
      <c r="AO2165" s="102" t="n"/>
      <c r="AP2165" s="102" t="n"/>
      <c r="AQ2165" s="102" t="n"/>
      <c r="AR2165" s="102" t="n"/>
    </row>
    <row r="2166">
      <c r="D2166" s="102" t="n"/>
      <c r="E2166" s="102" t="n"/>
      <c r="F2166" s="102" t="n"/>
      <c r="G2166" s="102" t="n"/>
      <c r="H2166" s="102" t="n"/>
      <c r="I2166" s="102" t="n"/>
      <c r="J2166" s="102" t="n"/>
      <c r="K2166" s="102" t="n"/>
      <c r="L2166" s="102" t="n"/>
      <c r="M2166" s="102" t="n"/>
      <c r="N2166" s="102" t="n"/>
      <c r="O2166" s="102" t="n"/>
      <c r="P2166" s="102" t="n"/>
      <c r="Q2166" s="102" t="n"/>
      <c r="R2166" s="102" t="n"/>
      <c r="S2166" s="102" t="n"/>
      <c r="T2166" s="102" t="n"/>
      <c r="U2166" s="102" t="n"/>
      <c r="V2166" s="102" t="n"/>
      <c r="W2166" s="102" t="n"/>
      <c r="X2166" s="102" t="n"/>
      <c r="Y2166" s="102" t="n"/>
      <c r="Z2166" s="102" t="n"/>
      <c r="AA2166" s="102" t="n"/>
      <c r="AB2166" s="102" t="n"/>
      <c r="AC2166" s="102" t="n"/>
      <c r="AD2166" s="102" t="n"/>
      <c r="AE2166" s="102" t="n"/>
      <c r="AF2166" s="102" t="n"/>
      <c r="AG2166" s="102" t="n"/>
      <c r="AH2166" s="102" t="n"/>
      <c r="AI2166" s="102" t="n"/>
      <c r="AJ2166" s="102" t="n"/>
      <c r="AK2166" s="102" t="n"/>
      <c r="AL2166" s="102" t="n"/>
      <c r="AM2166" s="102" t="n"/>
      <c r="AN2166" s="102" t="n"/>
      <c r="AO2166" s="102" t="n"/>
      <c r="AP2166" s="102" t="n"/>
      <c r="AQ2166" s="102" t="n"/>
      <c r="AR2166" s="102" t="n"/>
    </row>
    <row r="2167">
      <c r="D2167" s="102" t="n"/>
      <c r="E2167" s="102" t="n"/>
      <c r="F2167" s="102" t="n"/>
      <c r="G2167" s="102" t="n"/>
      <c r="H2167" s="102" t="n"/>
      <c r="I2167" s="102" t="n"/>
      <c r="J2167" s="102" t="n"/>
      <c r="K2167" s="102" t="n"/>
      <c r="L2167" s="102" t="n"/>
      <c r="M2167" s="102" t="n"/>
      <c r="N2167" s="102" t="n"/>
      <c r="O2167" s="102" t="n"/>
      <c r="P2167" s="102" t="n"/>
      <c r="Q2167" s="102" t="n"/>
      <c r="R2167" s="102" t="n"/>
      <c r="S2167" s="102" t="n"/>
      <c r="T2167" s="102" t="n"/>
      <c r="U2167" s="102" t="n"/>
      <c r="V2167" s="102" t="n"/>
      <c r="W2167" s="102" t="n"/>
      <c r="X2167" s="102" t="n"/>
      <c r="Y2167" s="102" t="n"/>
      <c r="Z2167" s="102" t="n"/>
      <c r="AA2167" s="102" t="n"/>
      <c r="AB2167" s="102" t="n"/>
      <c r="AC2167" s="102" t="n"/>
      <c r="AD2167" s="102" t="n"/>
      <c r="AE2167" s="102" t="n"/>
      <c r="AF2167" s="102" t="n"/>
      <c r="AG2167" s="102" t="n"/>
      <c r="AH2167" s="102" t="n"/>
      <c r="AI2167" s="102" t="n"/>
      <c r="AJ2167" s="102" t="n"/>
      <c r="AK2167" s="102" t="n"/>
      <c r="AL2167" s="102" t="n"/>
      <c r="AM2167" s="102" t="n"/>
      <c r="AN2167" s="102" t="n"/>
      <c r="AO2167" s="102" t="n"/>
      <c r="AP2167" s="102" t="n"/>
      <c r="AQ2167" s="102" t="n"/>
      <c r="AR2167" s="102" t="n"/>
    </row>
    <row r="2168">
      <c r="D2168" s="102" t="n"/>
      <c r="E2168" s="102" t="n"/>
      <c r="F2168" s="102" t="n"/>
      <c r="G2168" s="102" t="n"/>
      <c r="H2168" s="102" t="n"/>
      <c r="I2168" s="102" t="n"/>
      <c r="J2168" s="102" t="n"/>
      <c r="K2168" s="102" t="n"/>
      <c r="L2168" s="102" t="n"/>
      <c r="M2168" s="102" t="n"/>
      <c r="N2168" s="102" t="n"/>
      <c r="O2168" s="102" t="n"/>
      <c r="P2168" s="102" t="n"/>
      <c r="Q2168" s="102" t="n"/>
      <c r="R2168" s="102" t="n"/>
      <c r="S2168" s="102" t="n"/>
      <c r="T2168" s="102" t="n"/>
      <c r="U2168" s="102" t="n"/>
      <c r="V2168" s="102" t="n"/>
      <c r="W2168" s="102" t="n"/>
      <c r="X2168" s="102" t="n"/>
      <c r="Y2168" s="102" t="n"/>
      <c r="Z2168" s="102" t="n"/>
      <c r="AA2168" s="102" t="n"/>
      <c r="AB2168" s="102" t="n"/>
      <c r="AC2168" s="102" t="n"/>
      <c r="AD2168" s="102" t="n"/>
      <c r="AE2168" s="102" t="n"/>
      <c r="AF2168" s="102" t="n"/>
      <c r="AG2168" s="102" t="n"/>
      <c r="AH2168" s="102" t="n"/>
      <c r="AI2168" s="102" t="n"/>
      <c r="AJ2168" s="102" t="n"/>
      <c r="AK2168" s="102" t="n"/>
      <c r="AL2168" s="102" t="n"/>
      <c r="AM2168" s="102" t="n"/>
      <c r="AN2168" s="102" t="n"/>
      <c r="AO2168" s="102" t="n"/>
      <c r="AP2168" s="102" t="n"/>
      <c r="AQ2168" s="102" t="n"/>
      <c r="AR2168" s="102" t="n"/>
    </row>
    <row r="2169">
      <c r="D2169" s="160" t="n"/>
      <c r="E2169" s="160" t="n"/>
      <c r="F2169" s="160" t="n"/>
      <c r="G2169" s="160" t="n"/>
      <c r="H2169" s="160" t="n"/>
      <c r="I2169" s="160" t="n"/>
      <c r="J2169" s="160" t="n"/>
      <c r="K2169" s="160" t="n"/>
      <c r="L2169" s="160" t="n"/>
      <c r="M2169" s="160" t="n"/>
      <c r="N2169" s="160" t="n"/>
      <c r="O2169" s="160" t="n"/>
      <c r="P2169" s="160" t="n"/>
      <c r="Q2169" s="160" t="n"/>
      <c r="R2169" s="160" t="n"/>
      <c r="S2169" s="160" t="n"/>
      <c r="T2169" s="160" t="n"/>
      <c r="U2169" s="160" t="n"/>
      <c r="V2169" s="160" t="n"/>
      <c r="W2169" s="160" t="n"/>
      <c r="X2169" s="160" t="n"/>
      <c r="Y2169" s="160" t="n"/>
      <c r="Z2169" s="160" t="n"/>
      <c r="AA2169" s="160" t="n"/>
      <c r="AB2169" s="160" t="n"/>
      <c r="AC2169" s="160" t="n"/>
      <c r="AD2169" s="160" t="n"/>
      <c r="AE2169" s="160" t="n"/>
      <c r="AF2169" s="160" t="n"/>
      <c r="AG2169" s="160" t="n"/>
      <c r="AH2169" s="160" t="n"/>
      <c r="AI2169" s="160" t="n"/>
      <c r="AJ2169" s="160" t="n"/>
      <c r="AK2169" s="160" t="n"/>
      <c r="AL2169" s="160" t="n"/>
      <c r="AM2169" s="160" t="n"/>
      <c r="AN2169" s="160" t="n"/>
      <c r="AO2169" s="160" t="n"/>
      <c r="AP2169" s="160" t="n"/>
      <c r="AQ2169" s="160" t="n"/>
      <c r="AR2169" s="160" t="n"/>
    </row>
    <row r="2172">
      <c r="A2172" s="2">
        <f>IF($A2165="","","   projections")</f>
        <v/>
      </c>
      <c r="B2172" s="158">
        <f>IF($A2165="",0,COUNT($E2173:$AR2173))</f>
        <v/>
      </c>
      <c r="C2172" s="159">
        <f>IF($B2172=0,0,MAX($E2173:$AR2173))</f>
        <v/>
      </c>
      <c r="D2172" s="101">
        <f>BDS($A2165,FLD_PROJ,"headers=y","startcol=1","endcol=3","dir=h")</f>
        <v/>
      </c>
      <c r="E2172" s="102" t="n"/>
      <c r="F2172" s="102" t="n"/>
      <c r="G2172" s="102" t="n"/>
      <c r="H2172" s="102" t="n"/>
      <c r="I2172" s="102" t="n"/>
      <c r="J2172" s="102" t="n"/>
      <c r="K2172" s="102" t="n"/>
      <c r="L2172" s="102" t="n"/>
      <c r="M2172" s="102" t="n"/>
      <c r="N2172" s="102" t="n"/>
      <c r="O2172" s="102" t="n"/>
      <c r="P2172" s="102" t="n"/>
      <c r="Q2172" s="102" t="n"/>
      <c r="R2172" s="102" t="n"/>
      <c r="S2172" s="102" t="n"/>
      <c r="T2172" s="102" t="n"/>
      <c r="U2172" s="102" t="n"/>
      <c r="V2172" s="102" t="n"/>
      <c r="W2172" s="102" t="n"/>
      <c r="X2172" s="102" t="n"/>
      <c r="Y2172" s="102" t="n"/>
      <c r="Z2172" s="102" t="n"/>
      <c r="AA2172" s="102" t="n"/>
      <c r="AB2172" s="102" t="n"/>
      <c r="AC2172" s="102" t="n"/>
      <c r="AD2172" s="102" t="n"/>
      <c r="AE2172" s="102" t="n"/>
      <c r="AF2172" s="102" t="n"/>
      <c r="AG2172" s="102" t="n"/>
      <c r="AH2172" s="102" t="n"/>
      <c r="AI2172" s="102" t="n"/>
      <c r="AJ2172" s="102" t="n"/>
      <c r="AK2172" s="102" t="n"/>
      <c r="AL2172" s="102" t="n"/>
      <c r="AM2172" s="102" t="n"/>
      <c r="AN2172" s="102" t="n"/>
      <c r="AO2172" s="102" t="n"/>
      <c r="AP2172" s="102" t="n"/>
      <c r="AQ2172" s="102" t="n"/>
      <c r="AR2172" s="102" t="n"/>
    </row>
    <row r="2173">
      <c r="D2173" s="102" t="n"/>
      <c r="E2173" s="102" t="n"/>
      <c r="F2173" s="102" t="n"/>
      <c r="G2173" s="102" t="n"/>
      <c r="H2173" s="102" t="n"/>
      <c r="I2173" s="102" t="n"/>
      <c r="J2173" s="102" t="n"/>
      <c r="K2173" s="102" t="n"/>
      <c r="L2173" s="102" t="n"/>
      <c r="M2173" s="102" t="n"/>
      <c r="N2173" s="102" t="n"/>
      <c r="O2173" s="102" t="n"/>
      <c r="P2173" s="102" t="n"/>
      <c r="Q2173" s="102" t="n"/>
      <c r="R2173" s="102" t="n"/>
      <c r="S2173" s="102" t="n"/>
      <c r="T2173" s="102" t="n"/>
      <c r="U2173" s="102" t="n"/>
      <c r="V2173" s="102" t="n"/>
      <c r="W2173" s="102" t="n"/>
      <c r="X2173" s="102" t="n"/>
      <c r="Y2173" s="102" t="n"/>
      <c r="Z2173" s="102" t="n"/>
      <c r="AA2173" s="102" t="n"/>
      <c r="AB2173" s="102" t="n"/>
      <c r="AC2173" s="102" t="n"/>
      <c r="AD2173" s="102" t="n"/>
      <c r="AE2173" s="102" t="n"/>
      <c r="AF2173" s="102" t="n"/>
      <c r="AG2173" s="102" t="n"/>
      <c r="AH2173" s="102" t="n"/>
      <c r="AI2173" s="102" t="n"/>
      <c r="AJ2173" s="102" t="n"/>
      <c r="AK2173" s="102" t="n"/>
      <c r="AL2173" s="102" t="n"/>
      <c r="AM2173" s="102" t="n"/>
      <c r="AN2173" s="102" t="n"/>
      <c r="AO2173" s="102" t="n"/>
      <c r="AP2173" s="102" t="n"/>
      <c r="AQ2173" s="102" t="n"/>
      <c r="AR2173" s="102" t="n"/>
    </row>
    <row r="2174">
      <c r="D2174" s="160" t="n"/>
      <c r="E2174" s="160" t="n"/>
      <c r="F2174" s="160" t="n"/>
      <c r="G2174" s="160" t="n"/>
      <c r="H2174" s="160" t="n"/>
      <c r="I2174" s="160" t="n"/>
      <c r="J2174" s="160" t="n"/>
      <c r="K2174" s="160" t="n"/>
      <c r="L2174" s="160" t="n"/>
      <c r="M2174" s="160" t="n"/>
      <c r="N2174" s="160" t="n"/>
      <c r="O2174" s="160" t="n"/>
      <c r="P2174" s="160" t="n"/>
      <c r="Q2174" s="160" t="n"/>
      <c r="R2174" s="160" t="n"/>
      <c r="S2174" s="160" t="n"/>
      <c r="T2174" s="160" t="n"/>
      <c r="U2174" s="160" t="n"/>
      <c r="V2174" s="160" t="n"/>
      <c r="W2174" s="160" t="n"/>
      <c r="X2174" s="160" t="n"/>
      <c r="Y2174" s="160" t="n"/>
      <c r="Z2174" s="160" t="n"/>
      <c r="AA2174" s="160" t="n"/>
      <c r="AB2174" s="160" t="n"/>
      <c r="AC2174" s="160" t="n"/>
      <c r="AD2174" s="160" t="n"/>
      <c r="AE2174" s="160" t="n"/>
      <c r="AF2174" s="160" t="n"/>
      <c r="AG2174" s="160" t="n"/>
      <c r="AH2174" s="160" t="n"/>
      <c r="AI2174" s="160" t="n"/>
      <c r="AJ2174" s="160" t="n"/>
      <c r="AK2174" s="160" t="n"/>
      <c r="AL2174" s="160" t="n"/>
      <c r="AM2174" s="160" t="n"/>
      <c r="AN2174" s="160" t="n"/>
      <c r="AO2174" s="160" t="n"/>
      <c r="AP2174" s="160" t="n"/>
      <c r="AQ2174" s="160" t="n"/>
      <c r="AR2174" s="160" t="n"/>
    </row>
    <row r="2176">
      <c r="A2176" s="8">
        <f>IF(HSCEI!$C$63="","",HSCEI!$C$63)</f>
        <v/>
      </c>
      <c r="B2176" s="158">
        <f>IF($A2176="",0,COUNT($E2177:$AR2177))</f>
        <v/>
      </c>
      <c r="C2176" s="159">
        <f>IF($B2176=0,0,MAX($E2177:$AR2177))</f>
        <v/>
      </c>
      <c r="D2176" s="101">
        <f>BDS($A2176,FLD_HIST,"headers=y","startcol=1","endcol=7","dir=h","DVD_START_DT",HIST_FROM,"DVD_END_DT",HIST_TO)</f>
        <v/>
      </c>
      <c r="E2176" s="102" t="n"/>
      <c r="F2176" s="102" t="n"/>
      <c r="G2176" s="102" t="n"/>
      <c r="H2176" s="102" t="n"/>
      <c r="I2176" s="102" t="n"/>
      <c r="J2176" s="102" t="n"/>
      <c r="K2176" s="102" t="n"/>
      <c r="L2176" s="102" t="n"/>
      <c r="M2176" s="102" t="n"/>
      <c r="N2176" s="102" t="n"/>
      <c r="O2176" s="102" t="n"/>
      <c r="P2176" s="102" t="n"/>
      <c r="Q2176" s="102" t="n"/>
      <c r="R2176" s="102" t="n"/>
      <c r="S2176" s="102" t="n"/>
      <c r="T2176" s="102" t="n"/>
      <c r="U2176" s="102" t="n"/>
      <c r="V2176" s="102" t="n"/>
      <c r="W2176" s="102" t="n"/>
      <c r="X2176" s="102" t="n"/>
      <c r="Y2176" s="102" t="n"/>
      <c r="Z2176" s="102" t="n"/>
      <c r="AA2176" s="102" t="n"/>
      <c r="AB2176" s="102" t="n"/>
      <c r="AC2176" s="102" t="n"/>
      <c r="AD2176" s="102" t="n"/>
      <c r="AE2176" s="102" t="n"/>
      <c r="AF2176" s="102" t="n"/>
      <c r="AG2176" s="102" t="n"/>
      <c r="AH2176" s="102" t="n"/>
      <c r="AI2176" s="102" t="n"/>
      <c r="AJ2176" s="102" t="n"/>
      <c r="AK2176" s="102" t="n"/>
      <c r="AL2176" s="102" t="n"/>
      <c r="AM2176" s="102" t="n"/>
      <c r="AN2176" s="102" t="n"/>
      <c r="AO2176" s="102" t="n"/>
      <c r="AP2176" s="102" t="n"/>
      <c r="AQ2176" s="102" t="n"/>
      <c r="AR2176" s="102" t="n"/>
    </row>
    <row r="2177">
      <c r="D2177" s="102" t="n"/>
      <c r="E2177" s="102" t="n"/>
      <c r="F2177" s="102" t="n"/>
      <c r="G2177" s="102" t="n"/>
      <c r="H2177" s="102" t="n"/>
      <c r="I2177" s="102" t="n"/>
      <c r="J2177" s="102" t="n"/>
      <c r="K2177" s="102" t="n"/>
      <c r="L2177" s="102" t="n"/>
      <c r="M2177" s="102" t="n"/>
      <c r="N2177" s="102" t="n"/>
      <c r="O2177" s="102" t="n"/>
      <c r="P2177" s="102" t="n"/>
      <c r="Q2177" s="102" t="n"/>
      <c r="R2177" s="102" t="n"/>
      <c r="S2177" s="102" t="n"/>
      <c r="T2177" s="102" t="n"/>
      <c r="U2177" s="102" t="n"/>
      <c r="V2177" s="102" t="n"/>
      <c r="W2177" s="102" t="n"/>
      <c r="X2177" s="102" t="n"/>
      <c r="Y2177" s="102" t="n"/>
      <c r="Z2177" s="102" t="n"/>
      <c r="AA2177" s="102" t="n"/>
      <c r="AB2177" s="102" t="n"/>
      <c r="AC2177" s="102" t="n"/>
      <c r="AD2177" s="102" t="n"/>
      <c r="AE2177" s="102" t="n"/>
      <c r="AF2177" s="102" t="n"/>
      <c r="AG2177" s="102" t="n"/>
      <c r="AH2177" s="102" t="n"/>
      <c r="AI2177" s="102" t="n"/>
      <c r="AJ2177" s="102" t="n"/>
      <c r="AK2177" s="102" t="n"/>
      <c r="AL2177" s="102" t="n"/>
      <c r="AM2177" s="102" t="n"/>
      <c r="AN2177" s="102" t="n"/>
      <c r="AO2177" s="102" t="n"/>
      <c r="AP2177" s="102" t="n"/>
      <c r="AQ2177" s="102" t="n"/>
      <c r="AR2177" s="102" t="n"/>
    </row>
    <row r="2178">
      <c r="D2178" s="102" t="n"/>
      <c r="E2178" s="102" t="n"/>
      <c r="F2178" s="102" t="n"/>
      <c r="G2178" s="102" t="n"/>
      <c r="H2178" s="102" t="n"/>
      <c r="I2178" s="102" t="n"/>
      <c r="J2178" s="102" t="n"/>
      <c r="K2178" s="102" t="n"/>
      <c r="L2178" s="102" t="n"/>
      <c r="M2178" s="102" t="n"/>
      <c r="N2178" s="102" t="n"/>
      <c r="O2178" s="102" t="n"/>
      <c r="P2178" s="102" t="n"/>
      <c r="Q2178" s="102" t="n"/>
      <c r="R2178" s="102" t="n"/>
      <c r="S2178" s="102" t="n"/>
      <c r="T2178" s="102" t="n"/>
      <c r="U2178" s="102" t="n"/>
      <c r="V2178" s="102" t="n"/>
      <c r="W2178" s="102" t="n"/>
      <c r="X2178" s="102" t="n"/>
      <c r="Y2178" s="102" t="n"/>
      <c r="Z2178" s="102" t="n"/>
      <c r="AA2178" s="102" t="n"/>
      <c r="AB2178" s="102" t="n"/>
      <c r="AC2178" s="102" t="n"/>
      <c r="AD2178" s="102" t="n"/>
      <c r="AE2178" s="102" t="n"/>
      <c r="AF2178" s="102" t="n"/>
      <c r="AG2178" s="102" t="n"/>
      <c r="AH2178" s="102" t="n"/>
      <c r="AI2178" s="102" t="n"/>
      <c r="AJ2178" s="102" t="n"/>
      <c r="AK2178" s="102" t="n"/>
      <c r="AL2178" s="102" t="n"/>
      <c r="AM2178" s="102" t="n"/>
      <c r="AN2178" s="102" t="n"/>
      <c r="AO2178" s="102" t="n"/>
      <c r="AP2178" s="102" t="n"/>
      <c r="AQ2178" s="102" t="n"/>
      <c r="AR2178" s="102" t="n"/>
    </row>
    <row r="2179">
      <c r="D2179" s="102" t="n"/>
      <c r="E2179" s="102" t="n"/>
      <c r="F2179" s="102" t="n"/>
      <c r="G2179" s="102" t="n"/>
      <c r="H2179" s="102" t="n"/>
      <c r="I2179" s="102" t="n"/>
      <c r="J2179" s="102" t="n"/>
      <c r="K2179" s="102" t="n"/>
      <c r="L2179" s="102" t="n"/>
      <c r="M2179" s="102" t="n"/>
      <c r="N2179" s="102" t="n"/>
      <c r="O2179" s="102" t="n"/>
      <c r="P2179" s="102" t="n"/>
      <c r="Q2179" s="102" t="n"/>
      <c r="R2179" s="102" t="n"/>
      <c r="S2179" s="102" t="n"/>
      <c r="T2179" s="102" t="n"/>
      <c r="U2179" s="102" t="n"/>
      <c r="V2179" s="102" t="n"/>
      <c r="W2179" s="102" t="n"/>
      <c r="X2179" s="102" t="n"/>
      <c r="Y2179" s="102" t="n"/>
      <c r="Z2179" s="102" t="n"/>
      <c r="AA2179" s="102" t="n"/>
      <c r="AB2179" s="102" t="n"/>
      <c r="AC2179" s="102" t="n"/>
      <c r="AD2179" s="102" t="n"/>
      <c r="AE2179" s="102" t="n"/>
      <c r="AF2179" s="102" t="n"/>
      <c r="AG2179" s="102" t="n"/>
      <c r="AH2179" s="102" t="n"/>
      <c r="AI2179" s="102" t="n"/>
      <c r="AJ2179" s="102" t="n"/>
      <c r="AK2179" s="102" t="n"/>
      <c r="AL2179" s="102" t="n"/>
      <c r="AM2179" s="102" t="n"/>
      <c r="AN2179" s="102" t="n"/>
      <c r="AO2179" s="102" t="n"/>
      <c r="AP2179" s="102" t="n"/>
      <c r="AQ2179" s="102" t="n"/>
      <c r="AR2179" s="102" t="n"/>
    </row>
    <row r="2180">
      <c r="D2180" s="160" t="n"/>
      <c r="E2180" s="160" t="n"/>
      <c r="F2180" s="160" t="n"/>
      <c r="G2180" s="160" t="n"/>
      <c r="H2180" s="160" t="n"/>
      <c r="I2180" s="160" t="n"/>
      <c r="J2180" s="160" t="n"/>
      <c r="K2180" s="160" t="n"/>
      <c r="L2180" s="160" t="n"/>
      <c r="M2180" s="160" t="n"/>
      <c r="N2180" s="160" t="n"/>
      <c r="O2180" s="160" t="n"/>
      <c r="P2180" s="160" t="n"/>
      <c r="Q2180" s="160" t="n"/>
      <c r="R2180" s="160" t="n"/>
      <c r="S2180" s="160" t="n"/>
      <c r="T2180" s="160" t="n"/>
      <c r="U2180" s="160" t="n"/>
      <c r="V2180" s="160" t="n"/>
      <c r="W2180" s="160" t="n"/>
      <c r="X2180" s="160" t="n"/>
      <c r="Y2180" s="160" t="n"/>
      <c r="Z2180" s="160" t="n"/>
      <c r="AA2180" s="160" t="n"/>
      <c r="AB2180" s="160" t="n"/>
      <c r="AC2180" s="160" t="n"/>
      <c r="AD2180" s="160" t="n"/>
      <c r="AE2180" s="160" t="n"/>
      <c r="AF2180" s="160" t="n"/>
      <c r="AG2180" s="160" t="n"/>
      <c r="AH2180" s="160" t="n"/>
      <c r="AI2180" s="160" t="n"/>
      <c r="AJ2180" s="160" t="n"/>
      <c r="AK2180" s="160" t="n"/>
      <c r="AL2180" s="160" t="n"/>
      <c r="AM2180" s="160" t="n"/>
      <c r="AN2180" s="160" t="n"/>
      <c r="AO2180" s="160" t="n"/>
      <c r="AP2180" s="160" t="n"/>
      <c r="AQ2180" s="160" t="n"/>
      <c r="AR2180" s="160" t="n"/>
    </row>
    <row r="2183">
      <c r="A2183" s="2">
        <f>IF($A2176="","","   projections")</f>
        <v/>
      </c>
      <c r="B2183" s="158">
        <f>IF($A2176="",0,COUNT($E2184:$AR2184))</f>
        <v/>
      </c>
      <c r="C2183" s="159">
        <f>IF($B2183=0,0,MAX($E2184:$AR2184))</f>
        <v/>
      </c>
      <c r="D2183" s="101">
        <f>BDS($A2176,FLD_PROJ,"headers=y","startcol=1","endcol=3","dir=h")</f>
        <v/>
      </c>
      <c r="E2183" s="102" t="n"/>
      <c r="F2183" s="102" t="n"/>
      <c r="G2183" s="102" t="n"/>
      <c r="H2183" s="102" t="n"/>
      <c r="I2183" s="102" t="n"/>
      <c r="J2183" s="102" t="n"/>
      <c r="K2183" s="102" t="n"/>
      <c r="L2183" s="102" t="n"/>
      <c r="M2183" s="102" t="n"/>
      <c r="N2183" s="102" t="n"/>
      <c r="O2183" s="102" t="n"/>
      <c r="P2183" s="102" t="n"/>
      <c r="Q2183" s="102" t="n"/>
      <c r="R2183" s="102" t="n"/>
      <c r="S2183" s="102" t="n"/>
      <c r="T2183" s="102" t="n"/>
      <c r="U2183" s="102" t="n"/>
      <c r="V2183" s="102" t="n"/>
      <c r="W2183" s="102" t="n"/>
      <c r="X2183" s="102" t="n"/>
      <c r="Y2183" s="102" t="n"/>
      <c r="Z2183" s="102" t="n"/>
      <c r="AA2183" s="102" t="n"/>
      <c r="AB2183" s="102" t="n"/>
      <c r="AC2183" s="102" t="n"/>
      <c r="AD2183" s="102" t="n"/>
      <c r="AE2183" s="102" t="n"/>
      <c r="AF2183" s="102" t="n"/>
      <c r="AG2183" s="102" t="n"/>
      <c r="AH2183" s="102" t="n"/>
      <c r="AI2183" s="102" t="n"/>
      <c r="AJ2183" s="102" t="n"/>
      <c r="AK2183" s="102" t="n"/>
      <c r="AL2183" s="102" t="n"/>
      <c r="AM2183" s="102" t="n"/>
      <c r="AN2183" s="102" t="n"/>
      <c r="AO2183" s="102" t="n"/>
      <c r="AP2183" s="102" t="n"/>
      <c r="AQ2183" s="102" t="n"/>
      <c r="AR2183" s="102" t="n"/>
    </row>
    <row r="2184">
      <c r="D2184" s="102" t="n"/>
      <c r="E2184" s="102" t="n"/>
      <c r="F2184" s="102" t="n"/>
      <c r="G2184" s="102" t="n"/>
      <c r="H2184" s="102" t="n"/>
      <c r="I2184" s="102" t="n"/>
      <c r="J2184" s="102" t="n"/>
      <c r="K2184" s="102" t="n"/>
      <c r="L2184" s="102" t="n"/>
      <c r="M2184" s="102" t="n"/>
      <c r="N2184" s="102" t="n"/>
      <c r="O2184" s="102" t="n"/>
      <c r="P2184" s="102" t="n"/>
      <c r="Q2184" s="102" t="n"/>
      <c r="R2184" s="102" t="n"/>
      <c r="S2184" s="102" t="n"/>
      <c r="T2184" s="102" t="n"/>
      <c r="U2184" s="102" t="n"/>
      <c r="V2184" s="102" t="n"/>
      <c r="W2184" s="102" t="n"/>
      <c r="X2184" s="102" t="n"/>
      <c r="Y2184" s="102" t="n"/>
      <c r="Z2184" s="102" t="n"/>
      <c r="AA2184" s="102" t="n"/>
      <c r="AB2184" s="102" t="n"/>
      <c r="AC2184" s="102" t="n"/>
      <c r="AD2184" s="102" t="n"/>
      <c r="AE2184" s="102" t="n"/>
      <c r="AF2184" s="102" t="n"/>
      <c r="AG2184" s="102" t="n"/>
      <c r="AH2184" s="102" t="n"/>
      <c r="AI2184" s="102" t="n"/>
      <c r="AJ2184" s="102" t="n"/>
      <c r="AK2184" s="102" t="n"/>
      <c r="AL2184" s="102" t="n"/>
      <c r="AM2184" s="102" t="n"/>
      <c r="AN2184" s="102" t="n"/>
      <c r="AO2184" s="102" t="n"/>
      <c r="AP2184" s="102" t="n"/>
      <c r="AQ2184" s="102" t="n"/>
      <c r="AR2184" s="102" t="n"/>
    </row>
    <row r="2185">
      <c r="D2185" s="160" t="n"/>
      <c r="E2185" s="160" t="n"/>
      <c r="F2185" s="160" t="n"/>
      <c r="G2185" s="160" t="n"/>
      <c r="H2185" s="160" t="n"/>
      <c r="I2185" s="160" t="n"/>
      <c r="J2185" s="160" t="n"/>
      <c r="K2185" s="160" t="n"/>
      <c r="L2185" s="160" t="n"/>
      <c r="M2185" s="160" t="n"/>
      <c r="N2185" s="160" t="n"/>
      <c r="O2185" s="160" t="n"/>
      <c r="P2185" s="160" t="n"/>
      <c r="Q2185" s="160" t="n"/>
      <c r="R2185" s="160" t="n"/>
      <c r="S2185" s="160" t="n"/>
      <c r="T2185" s="160" t="n"/>
      <c r="U2185" s="160" t="n"/>
      <c r="V2185" s="160" t="n"/>
      <c r="W2185" s="160" t="n"/>
      <c r="X2185" s="160" t="n"/>
      <c r="Y2185" s="160" t="n"/>
      <c r="Z2185" s="160" t="n"/>
      <c r="AA2185" s="160" t="n"/>
      <c r="AB2185" s="160" t="n"/>
      <c r="AC2185" s="160" t="n"/>
      <c r="AD2185" s="160" t="n"/>
      <c r="AE2185" s="160" t="n"/>
      <c r="AF2185" s="160" t="n"/>
      <c r="AG2185" s="160" t="n"/>
      <c r="AH2185" s="160" t="n"/>
      <c r="AI2185" s="160" t="n"/>
      <c r="AJ2185" s="160" t="n"/>
      <c r="AK2185" s="160" t="n"/>
      <c r="AL2185" s="160" t="n"/>
      <c r="AM2185" s="160" t="n"/>
      <c r="AN2185" s="160" t="n"/>
      <c r="AO2185" s="160" t="n"/>
      <c r="AP2185" s="160" t="n"/>
      <c r="AQ2185" s="160" t="n"/>
      <c r="AR2185" s="160" t="n"/>
    </row>
    <row r="2187">
      <c r="A2187" s="8">
        <f>IF(HSCEI!$C$64="","",HSCEI!$C$64)</f>
        <v/>
      </c>
      <c r="B2187" s="158">
        <f>IF($A2187="",0,COUNT($E2188:$AR2188))</f>
        <v/>
      </c>
      <c r="C2187" s="159">
        <f>IF($B2187=0,0,MAX($E2188:$AR2188))</f>
        <v/>
      </c>
      <c r="D2187" s="101">
        <f>BDS($A2187,FLD_HIST,"headers=y","startcol=1","endcol=7","dir=h","DVD_START_DT",HIST_FROM,"DVD_END_DT",HIST_TO)</f>
        <v/>
      </c>
      <c r="E2187" s="102" t="n"/>
      <c r="F2187" s="102" t="n"/>
      <c r="G2187" s="102" t="n"/>
      <c r="H2187" s="102" t="n"/>
      <c r="I2187" s="102" t="n"/>
      <c r="J2187" s="102" t="n"/>
      <c r="K2187" s="102" t="n"/>
      <c r="L2187" s="102" t="n"/>
      <c r="M2187" s="102" t="n"/>
      <c r="N2187" s="102" t="n"/>
      <c r="O2187" s="102" t="n"/>
      <c r="P2187" s="102" t="n"/>
      <c r="Q2187" s="102" t="n"/>
      <c r="R2187" s="102" t="n"/>
      <c r="S2187" s="102" t="n"/>
      <c r="T2187" s="102" t="n"/>
      <c r="U2187" s="102" t="n"/>
      <c r="V2187" s="102" t="n"/>
      <c r="W2187" s="102" t="n"/>
      <c r="X2187" s="102" t="n"/>
      <c r="Y2187" s="102" t="n"/>
      <c r="Z2187" s="102" t="n"/>
      <c r="AA2187" s="102" t="n"/>
      <c r="AB2187" s="102" t="n"/>
      <c r="AC2187" s="102" t="n"/>
      <c r="AD2187" s="102" t="n"/>
      <c r="AE2187" s="102" t="n"/>
      <c r="AF2187" s="102" t="n"/>
      <c r="AG2187" s="102" t="n"/>
      <c r="AH2187" s="102" t="n"/>
      <c r="AI2187" s="102" t="n"/>
      <c r="AJ2187" s="102" t="n"/>
      <c r="AK2187" s="102" t="n"/>
      <c r="AL2187" s="102" t="n"/>
      <c r="AM2187" s="102" t="n"/>
      <c r="AN2187" s="102" t="n"/>
      <c r="AO2187" s="102" t="n"/>
      <c r="AP2187" s="102" t="n"/>
      <c r="AQ2187" s="102" t="n"/>
      <c r="AR2187" s="102" t="n"/>
    </row>
    <row r="2188">
      <c r="D2188" s="102" t="n"/>
      <c r="E2188" s="102" t="n"/>
      <c r="F2188" s="102" t="n"/>
      <c r="G2188" s="102" t="n"/>
      <c r="H2188" s="102" t="n"/>
      <c r="I2188" s="102" t="n"/>
      <c r="J2188" s="102" t="n"/>
      <c r="K2188" s="102" t="n"/>
      <c r="L2188" s="102" t="n"/>
      <c r="M2188" s="102" t="n"/>
      <c r="N2188" s="102" t="n"/>
      <c r="O2188" s="102" t="n"/>
      <c r="P2188" s="102" t="n"/>
      <c r="Q2188" s="102" t="n"/>
      <c r="R2188" s="102" t="n"/>
      <c r="S2188" s="102" t="n"/>
      <c r="T2188" s="102" t="n"/>
      <c r="U2188" s="102" t="n"/>
      <c r="V2188" s="102" t="n"/>
      <c r="W2188" s="102" t="n"/>
      <c r="X2188" s="102" t="n"/>
      <c r="Y2188" s="102" t="n"/>
      <c r="Z2188" s="102" t="n"/>
      <c r="AA2188" s="102" t="n"/>
      <c r="AB2188" s="102" t="n"/>
      <c r="AC2188" s="102" t="n"/>
      <c r="AD2188" s="102" t="n"/>
      <c r="AE2188" s="102" t="n"/>
      <c r="AF2188" s="102" t="n"/>
      <c r="AG2188" s="102" t="n"/>
      <c r="AH2188" s="102" t="n"/>
      <c r="AI2188" s="102" t="n"/>
      <c r="AJ2188" s="102" t="n"/>
      <c r="AK2188" s="102" t="n"/>
      <c r="AL2188" s="102" t="n"/>
      <c r="AM2188" s="102" t="n"/>
      <c r="AN2188" s="102" t="n"/>
      <c r="AO2188" s="102" t="n"/>
      <c r="AP2188" s="102" t="n"/>
      <c r="AQ2188" s="102" t="n"/>
      <c r="AR2188" s="102" t="n"/>
    </row>
    <row r="2189">
      <c r="D2189" s="102" t="n"/>
      <c r="E2189" s="102" t="n"/>
      <c r="F2189" s="102" t="n"/>
      <c r="G2189" s="102" t="n"/>
      <c r="H2189" s="102" t="n"/>
      <c r="I2189" s="102" t="n"/>
      <c r="J2189" s="102" t="n"/>
      <c r="K2189" s="102" t="n"/>
      <c r="L2189" s="102" t="n"/>
      <c r="M2189" s="102" t="n"/>
      <c r="N2189" s="102" t="n"/>
      <c r="O2189" s="102" t="n"/>
      <c r="P2189" s="102" t="n"/>
      <c r="Q2189" s="102" t="n"/>
      <c r="R2189" s="102" t="n"/>
      <c r="S2189" s="102" t="n"/>
      <c r="T2189" s="102" t="n"/>
      <c r="U2189" s="102" t="n"/>
      <c r="V2189" s="102" t="n"/>
      <c r="W2189" s="102" t="n"/>
      <c r="X2189" s="102" t="n"/>
      <c r="Y2189" s="102" t="n"/>
      <c r="Z2189" s="102" t="n"/>
      <c r="AA2189" s="102" t="n"/>
      <c r="AB2189" s="102" t="n"/>
      <c r="AC2189" s="102" t="n"/>
      <c r="AD2189" s="102" t="n"/>
      <c r="AE2189" s="102" t="n"/>
      <c r="AF2189" s="102" t="n"/>
      <c r="AG2189" s="102" t="n"/>
      <c r="AH2189" s="102" t="n"/>
      <c r="AI2189" s="102" t="n"/>
      <c r="AJ2189" s="102" t="n"/>
      <c r="AK2189" s="102" t="n"/>
      <c r="AL2189" s="102" t="n"/>
      <c r="AM2189" s="102" t="n"/>
      <c r="AN2189" s="102" t="n"/>
      <c r="AO2189" s="102" t="n"/>
      <c r="AP2189" s="102" t="n"/>
      <c r="AQ2189" s="102" t="n"/>
      <c r="AR2189" s="102" t="n"/>
    </row>
    <row r="2190">
      <c r="D2190" s="102" t="n"/>
      <c r="E2190" s="102" t="n"/>
      <c r="F2190" s="102" t="n"/>
      <c r="G2190" s="102" t="n"/>
      <c r="H2190" s="102" t="n"/>
      <c r="I2190" s="102" t="n"/>
      <c r="J2190" s="102" t="n"/>
      <c r="K2190" s="102" t="n"/>
      <c r="L2190" s="102" t="n"/>
      <c r="M2190" s="102" t="n"/>
      <c r="N2190" s="102" t="n"/>
      <c r="O2190" s="102" t="n"/>
      <c r="P2190" s="102" t="n"/>
      <c r="Q2190" s="102" t="n"/>
      <c r="R2190" s="102" t="n"/>
      <c r="S2190" s="102" t="n"/>
      <c r="T2190" s="102" t="n"/>
      <c r="U2190" s="102" t="n"/>
      <c r="V2190" s="102" t="n"/>
      <c r="W2190" s="102" t="n"/>
      <c r="X2190" s="102" t="n"/>
      <c r="Y2190" s="102" t="n"/>
      <c r="Z2190" s="102" t="n"/>
      <c r="AA2190" s="102" t="n"/>
      <c r="AB2190" s="102" t="n"/>
      <c r="AC2190" s="102" t="n"/>
      <c r="AD2190" s="102" t="n"/>
      <c r="AE2190" s="102" t="n"/>
      <c r="AF2190" s="102" t="n"/>
      <c r="AG2190" s="102" t="n"/>
      <c r="AH2190" s="102" t="n"/>
      <c r="AI2190" s="102" t="n"/>
      <c r="AJ2190" s="102" t="n"/>
      <c r="AK2190" s="102" t="n"/>
      <c r="AL2190" s="102" t="n"/>
      <c r="AM2190" s="102" t="n"/>
      <c r="AN2190" s="102" t="n"/>
      <c r="AO2190" s="102" t="n"/>
      <c r="AP2190" s="102" t="n"/>
      <c r="AQ2190" s="102" t="n"/>
      <c r="AR2190" s="102" t="n"/>
    </row>
    <row r="2191">
      <c r="D2191" s="160" t="n"/>
      <c r="E2191" s="160" t="n"/>
      <c r="F2191" s="160" t="n"/>
      <c r="G2191" s="160" t="n"/>
      <c r="H2191" s="160" t="n"/>
      <c r="I2191" s="160" t="n"/>
      <c r="J2191" s="160" t="n"/>
      <c r="K2191" s="160" t="n"/>
      <c r="L2191" s="160" t="n"/>
      <c r="M2191" s="160" t="n"/>
      <c r="N2191" s="160" t="n"/>
      <c r="O2191" s="160" t="n"/>
      <c r="P2191" s="160" t="n"/>
      <c r="Q2191" s="160" t="n"/>
      <c r="R2191" s="160" t="n"/>
      <c r="S2191" s="160" t="n"/>
      <c r="T2191" s="160" t="n"/>
      <c r="U2191" s="160" t="n"/>
      <c r="V2191" s="160" t="n"/>
      <c r="W2191" s="160" t="n"/>
      <c r="X2191" s="160" t="n"/>
      <c r="Y2191" s="160" t="n"/>
      <c r="Z2191" s="160" t="n"/>
      <c r="AA2191" s="160" t="n"/>
      <c r="AB2191" s="160" t="n"/>
      <c r="AC2191" s="160" t="n"/>
      <c r="AD2191" s="160" t="n"/>
      <c r="AE2191" s="160" t="n"/>
      <c r="AF2191" s="160" t="n"/>
      <c r="AG2191" s="160" t="n"/>
      <c r="AH2191" s="160" t="n"/>
      <c r="AI2191" s="160" t="n"/>
      <c r="AJ2191" s="160" t="n"/>
      <c r="AK2191" s="160" t="n"/>
      <c r="AL2191" s="160" t="n"/>
      <c r="AM2191" s="160" t="n"/>
      <c r="AN2191" s="160" t="n"/>
      <c r="AO2191" s="160" t="n"/>
      <c r="AP2191" s="160" t="n"/>
      <c r="AQ2191" s="160" t="n"/>
      <c r="AR2191" s="160" t="n"/>
    </row>
    <row r="2194">
      <c r="A2194" s="2">
        <f>IF($A2187="","","   projections")</f>
        <v/>
      </c>
      <c r="B2194" s="158">
        <f>IF($A2187="",0,COUNT($E2195:$AR2195))</f>
        <v/>
      </c>
      <c r="C2194" s="159">
        <f>IF($B2194=0,0,MAX($E2195:$AR2195))</f>
        <v/>
      </c>
      <c r="D2194" s="101">
        <f>BDS($A2187,FLD_PROJ,"headers=y","startcol=1","endcol=3","dir=h")</f>
        <v/>
      </c>
      <c r="E2194" s="102" t="n"/>
      <c r="F2194" s="102" t="n"/>
      <c r="G2194" s="102" t="n"/>
      <c r="H2194" s="102" t="n"/>
      <c r="I2194" s="102" t="n"/>
      <c r="J2194" s="102" t="n"/>
      <c r="K2194" s="102" t="n"/>
      <c r="L2194" s="102" t="n"/>
      <c r="M2194" s="102" t="n"/>
      <c r="N2194" s="102" t="n"/>
      <c r="O2194" s="102" t="n"/>
      <c r="P2194" s="102" t="n"/>
      <c r="Q2194" s="102" t="n"/>
      <c r="R2194" s="102" t="n"/>
      <c r="S2194" s="102" t="n"/>
      <c r="T2194" s="102" t="n"/>
      <c r="U2194" s="102" t="n"/>
      <c r="V2194" s="102" t="n"/>
      <c r="W2194" s="102" t="n"/>
      <c r="X2194" s="102" t="n"/>
      <c r="Y2194" s="102" t="n"/>
      <c r="Z2194" s="102" t="n"/>
      <c r="AA2194" s="102" t="n"/>
      <c r="AB2194" s="102" t="n"/>
      <c r="AC2194" s="102" t="n"/>
      <c r="AD2194" s="102" t="n"/>
      <c r="AE2194" s="102" t="n"/>
      <c r="AF2194" s="102" t="n"/>
      <c r="AG2194" s="102" t="n"/>
      <c r="AH2194" s="102" t="n"/>
      <c r="AI2194" s="102" t="n"/>
      <c r="AJ2194" s="102" t="n"/>
      <c r="AK2194" s="102" t="n"/>
      <c r="AL2194" s="102" t="n"/>
      <c r="AM2194" s="102" t="n"/>
      <c r="AN2194" s="102" t="n"/>
      <c r="AO2194" s="102" t="n"/>
      <c r="AP2194" s="102" t="n"/>
      <c r="AQ2194" s="102" t="n"/>
      <c r="AR2194" s="102" t="n"/>
    </row>
    <row r="2195">
      <c r="D2195" s="102" t="n"/>
      <c r="E2195" s="102" t="n"/>
      <c r="F2195" s="102" t="n"/>
      <c r="G2195" s="102" t="n"/>
      <c r="H2195" s="102" t="n"/>
      <c r="I2195" s="102" t="n"/>
      <c r="J2195" s="102" t="n"/>
      <c r="K2195" s="102" t="n"/>
      <c r="L2195" s="102" t="n"/>
      <c r="M2195" s="102" t="n"/>
      <c r="N2195" s="102" t="n"/>
      <c r="O2195" s="102" t="n"/>
      <c r="P2195" s="102" t="n"/>
      <c r="Q2195" s="102" t="n"/>
      <c r="R2195" s="102" t="n"/>
      <c r="S2195" s="102" t="n"/>
      <c r="T2195" s="102" t="n"/>
      <c r="U2195" s="102" t="n"/>
      <c r="V2195" s="102" t="n"/>
      <c r="W2195" s="102" t="n"/>
      <c r="X2195" s="102" t="n"/>
      <c r="Y2195" s="102" t="n"/>
      <c r="Z2195" s="102" t="n"/>
      <c r="AA2195" s="102" t="n"/>
      <c r="AB2195" s="102" t="n"/>
      <c r="AC2195" s="102" t="n"/>
      <c r="AD2195" s="102" t="n"/>
      <c r="AE2195" s="102" t="n"/>
      <c r="AF2195" s="102" t="n"/>
      <c r="AG2195" s="102" t="n"/>
      <c r="AH2195" s="102" t="n"/>
      <c r="AI2195" s="102" t="n"/>
      <c r="AJ2195" s="102" t="n"/>
      <c r="AK2195" s="102" t="n"/>
      <c r="AL2195" s="102" t="n"/>
      <c r="AM2195" s="102" t="n"/>
      <c r="AN2195" s="102" t="n"/>
      <c r="AO2195" s="102" t="n"/>
      <c r="AP2195" s="102" t="n"/>
      <c r="AQ2195" s="102" t="n"/>
      <c r="AR2195" s="102" t="n"/>
    </row>
    <row r="2196">
      <c r="D2196" s="160" t="n"/>
      <c r="E2196" s="160" t="n"/>
      <c r="F2196" s="160" t="n"/>
      <c r="G2196" s="160" t="n"/>
      <c r="H2196" s="160" t="n"/>
      <c r="I2196" s="160" t="n"/>
      <c r="J2196" s="160" t="n"/>
      <c r="K2196" s="160" t="n"/>
      <c r="L2196" s="160" t="n"/>
      <c r="M2196" s="160" t="n"/>
      <c r="N2196" s="160" t="n"/>
      <c r="O2196" s="160" t="n"/>
      <c r="P2196" s="160" t="n"/>
      <c r="Q2196" s="160" t="n"/>
      <c r="R2196" s="160" t="n"/>
      <c r="S2196" s="160" t="n"/>
      <c r="T2196" s="160" t="n"/>
      <c r="U2196" s="160" t="n"/>
      <c r="V2196" s="160" t="n"/>
      <c r="W2196" s="160" t="n"/>
      <c r="X2196" s="160" t="n"/>
      <c r="Y2196" s="160" t="n"/>
      <c r="Z2196" s="160" t="n"/>
      <c r="AA2196" s="160" t="n"/>
      <c r="AB2196" s="160" t="n"/>
      <c r="AC2196" s="160" t="n"/>
      <c r="AD2196" s="160" t="n"/>
      <c r="AE2196" s="160" t="n"/>
      <c r="AF2196" s="160" t="n"/>
      <c r="AG2196" s="160" t="n"/>
      <c r="AH2196" s="160" t="n"/>
      <c r="AI2196" s="160" t="n"/>
      <c r="AJ2196" s="160" t="n"/>
      <c r="AK2196" s="160" t="n"/>
      <c r="AL2196" s="160" t="n"/>
      <c r="AM2196" s="160" t="n"/>
      <c r="AN2196" s="160" t="n"/>
      <c r="AO2196" s="160" t="n"/>
      <c r="AP2196" s="160" t="n"/>
      <c r="AQ2196" s="160" t="n"/>
      <c r="AR2196" s="160" t="n"/>
    </row>
    <row r="2198">
      <c r="A2198" s="8">
        <f>IF(HSCEI!$C$65="","",HSCEI!$C$65)</f>
        <v/>
      </c>
      <c r="B2198" s="158">
        <f>IF($A2198="",0,COUNT($E2199:$AR2199))</f>
        <v/>
      </c>
      <c r="C2198" s="159">
        <f>IF($B2198=0,0,MAX($E2199:$AR2199))</f>
        <v/>
      </c>
      <c r="D2198" s="101">
        <f>BDS($A2198,FLD_HIST,"headers=y","startcol=1","endcol=7","dir=h","DVD_START_DT",HIST_FROM,"DVD_END_DT",HIST_TO)</f>
        <v/>
      </c>
      <c r="E2198" s="102" t="n"/>
      <c r="F2198" s="102" t="n"/>
      <c r="G2198" s="102" t="n"/>
      <c r="H2198" s="102" t="n"/>
      <c r="I2198" s="102" t="n"/>
      <c r="J2198" s="102" t="n"/>
      <c r="K2198" s="102" t="n"/>
      <c r="L2198" s="102" t="n"/>
      <c r="M2198" s="102" t="n"/>
      <c r="N2198" s="102" t="n"/>
      <c r="O2198" s="102" t="n"/>
      <c r="P2198" s="102" t="n"/>
      <c r="Q2198" s="102" t="n"/>
      <c r="R2198" s="102" t="n"/>
      <c r="S2198" s="102" t="n"/>
      <c r="T2198" s="102" t="n"/>
      <c r="U2198" s="102" t="n"/>
      <c r="V2198" s="102" t="n"/>
      <c r="W2198" s="102" t="n"/>
      <c r="X2198" s="102" t="n"/>
      <c r="Y2198" s="102" t="n"/>
      <c r="Z2198" s="102" t="n"/>
      <c r="AA2198" s="102" t="n"/>
      <c r="AB2198" s="102" t="n"/>
      <c r="AC2198" s="102" t="n"/>
      <c r="AD2198" s="102" t="n"/>
      <c r="AE2198" s="102" t="n"/>
      <c r="AF2198" s="102" t="n"/>
      <c r="AG2198" s="102" t="n"/>
      <c r="AH2198" s="102" t="n"/>
      <c r="AI2198" s="102" t="n"/>
      <c r="AJ2198" s="102" t="n"/>
      <c r="AK2198" s="102" t="n"/>
      <c r="AL2198" s="102" t="n"/>
      <c r="AM2198" s="102" t="n"/>
      <c r="AN2198" s="102" t="n"/>
      <c r="AO2198" s="102" t="n"/>
      <c r="AP2198" s="102" t="n"/>
      <c r="AQ2198" s="102" t="n"/>
      <c r="AR2198" s="102" t="n"/>
    </row>
    <row r="2199">
      <c r="D2199" s="102" t="n"/>
      <c r="E2199" s="102" t="n"/>
      <c r="F2199" s="102" t="n"/>
      <c r="G2199" s="102" t="n"/>
      <c r="H2199" s="102" t="n"/>
      <c r="I2199" s="102" t="n"/>
      <c r="J2199" s="102" t="n"/>
      <c r="K2199" s="102" t="n"/>
      <c r="L2199" s="102" t="n"/>
      <c r="M2199" s="102" t="n"/>
      <c r="N2199" s="102" t="n"/>
      <c r="O2199" s="102" t="n"/>
      <c r="P2199" s="102" t="n"/>
      <c r="Q2199" s="102" t="n"/>
      <c r="R2199" s="102" t="n"/>
      <c r="S2199" s="102" t="n"/>
      <c r="T2199" s="102" t="n"/>
      <c r="U2199" s="102" t="n"/>
      <c r="V2199" s="102" t="n"/>
      <c r="W2199" s="102" t="n"/>
      <c r="X2199" s="102" t="n"/>
      <c r="Y2199" s="102" t="n"/>
      <c r="Z2199" s="102" t="n"/>
      <c r="AA2199" s="102" t="n"/>
      <c r="AB2199" s="102" t="n"/>
      <c r="AC2199" s="102" t="n"/>
      <c r="AD2199" s="102" t="n"/>
      <c r="AE2199" s="102" t="n"/>
      <c r="AF2199" s="102" t="n"/>
      <c r="AG2199" s="102" t="n"/>
      <c r="AH2199" s="102" t="n"/>
      <c r="AI2199" s="102" t="n"/>
      <c r="AJ2199" s="102" t="n"/>
      <c r="AK2199" s="102" t="n"/>
      <c r="AL2199" s="102" t="n"/>
      <c r="AM2199" s="102" t="n"/>
      <c r="AN2199" s="102" t="n"/>
      <c r="AO2199" s="102" t="n"/>
      <c r="AP2199" s="102" t="n"/>
      <c r="AQ2199" s="102" t="n"/>
      <c r="AR2199" s="102" t="n"/>
    </row>
    <row r="2200">
      <c r="D2200" s="102" t="n"/>
      <c r="E2200" s="102" t="n"/>
      <c r="F2200" s="102" t="n"/>
      <c r="G2200" s="102" t="n"/>
      <c r="H2200" s="102" t="n"/>
      <c r="I2200" s="102" t="n"/>
      <c r="J2200" s="102" t="n"/>
      <c r="K2200" s="102" t="n"/>
      <c r="L2200" s="102" t="n"/>
      <c r="M2200" s="102" t="n"/>
      <c r="N2200" s="102" t="n"/>
      <c r="O2200" s="102" t="n"/>
      <c r="P2200" s="102" t="n"/>
      <c r="Q2200" s="102" t="n"/>
      <c r="R2200" s="102" t="n"/>
      <c r="S2200" s="102" t="n"/>
      <c r="T2200" s="102" t="n"/>
      <c r="U2200" s="102" t="n"/>
      <c r="V2200" s="102" t="n"/>
      <c r="W2200" s="102" t="n"/>
      <c r="X2200" s="102" t="n"/>
      <c r="Y2200" s="102" t="n"/>
      <c r="Z2200" s="102" t="n"/>
      <c r="AA2200" s="102" t="n"/>
      <c r="AB2200" s="102" t="n"/>
      <c r="AC2200" s="102" t="n"/>
      <c r="AD2200" s="102" t="n"/>
      <c r="AE2200" s="102" t="n"/>
      <c r="AF2200" s="102" t="n"/>
      <c r="AG2200" s="102" t="n"/>
      <c r="AH2200" s="102" t="n"/>
      <c r="AI2200" s="102" t="n"/>
      <c r="AJ2200" s="102" t="n"/>
      <c r="AK2200" s="102" t="n"/>
      <c r="AL2200" s="102" t="n"/>
      <c r="AM2200" s="102" t="n"/>
      <c r="AN2200" s="102" t="n"/>
      <c r="AO2200" s="102" t="n"/>
      <c r="AP2200" s="102" t="n"/>
      <c r="AQ2200" s="102" t="n"/>
      <c r="AR2200" s="102" t="n"/>
    </row>
    <row r="2201">
      <c r="D2201" s="102" t="n"/>
      <c r="E2201" s="102" t="n"/>
      <c r="F2201" s="102" t="n"/>
      <c r="G2201" s="102" t="n"/>
      <c r="H2201" s="102" t="n"/>
      <c r="I2201" s="102" t="n"/>
      <c r="J2201" s="102" t="n"/>
      <c r="K2201" s="102" t="n"/>
      <c r="L2201" s="102" t="n"/>
      <c r="M2201" s="102" t="n"/>
      <c r="N2201" s="102" t="n"/>
      <c r="O2201" s="102" t="n"/>
      <c r="P2201" s="102" t="n"/>
      <c r="Q2201" s="102" t="n"/>
      <c r="R2201" s="102" t="n"/>
      <c r="S2201" s="102" t="n"/>
      <c r="T2201" s="102" t="n"/>
      <c r="U2201" s="102" t="n"/>
      <c r="V2201" s="102" t="n"/>
      <c r="W2201" s="102" t="n"/>
      <c r="X2201" s="102" t="n"/>
      <c r="Y2201" s="102" t="n"/>
      <c r="Z2201" s="102" t="n"/>
      <c r="AA2201" s="102" t="n"/>
      <c r="AB2201" s="102" t="n"/>
      <c r="AC2201" s="102" t="n"/>
      <c r="AD2201" s="102" t="n"/>
      <c r="AE2201" s="102" t="n"/>
      <c r="AF2201" s="102" t="n"/>
      <c r="AG2201" s="102" t="n"/>
      <c r="AH2201" s="102" t="n"/>
      <c r="AI2201" s="102" t="n"/>
      <c r="AJ2201" s="102" t="n"/>
      <c r="AK2201" s="102" t="n"/>
      <c r="AL2201" s="102" t="n"/>
      <c r="AM2201" s="102" t="n"/>
      <c r="AN2201" s="102" t="n"/>
      <c r="AO2201" s="102" t="n"/>
      <c r="AP2201" s="102" t="n"/>
      <c r="AQ2201" s="102" t="n"/>
      <c r="AR2201" s="102" t="n"/>
    </row>
    <row r="2202">
      <c r="D2202" s="160" t="n"/>
      <c r="E2202" s="160" t="n"/>
      <c r="F2202" s="160" t="n"/>
      <c r="G2202" s="160" t="n"/>
      <c r="H2202" s="160" t="n"/>
      <c r="I2202" s="160" t="n"/>
      <c r="J2202" s="160" t="n"/>
      <c r="K2202" s="160" t="n"/>
      <c r="L2202" s="160" t="n"/>
      <c r="M2202" s="160" t="n"/>
      <c r="N2202" s="160" t="n"/>
      <c r="O2202" s="160" t="n"/>
      <c r="P2202" s="160" t="n"/>
      <c r="Q2202" s="160" t="n"/>
      <c r="R2202" s="160" t="n"/>
      <c r="S2202" s="160" t="n"/>
      <c r="T2202" s="160" t="n"/>
      <c r="U2202" s="160" t="n"/>
      <c r="V2202" s="160" t="n"/>
      <c r="W2202" s="160" t="n"/>
      <c r="X2202" s="160" t="n"/>
      <c r="Y2202" s="160" t="n"/>
      <c r="Z2202" s="160" t="n"/>
      <c r="AA2202" s="160" t="n"/>
      <c r="AB2202" s="160" t="n"/>
      <c r="AC2202" s="160" t="n"/>
      <c r="AD2202" s="160" t="n"/>
      <c r="AE2202" s="160" t="n"/>
      <c r="AF2202" s="160" t="n"/>
      <c r="AG2202" s="160" t="n"/>
      <c r="AH2202" s="160" t="n"/>
      <c r="AI2202" s="160" t="n"/>
      <c r="AJ2202" s="160" t="n"/>
      <c r="AK2202" s="160" t="n"/>
      <c r="AL2202" s="160" t="n"/>
      <c r="AM2202" s="160" t="n"/>
      <c r="AN2202" s="160" t="n"/>
      <c r="AO2202" s="160" t="n"/>
      <c r="AP2202" s="160" t="n"/>
      <c r="AQ2202" s="160" t="n"/>
      <c r="AR2202" s="160" t="n"/>
    </row>
    <row r="2205">
      <c r="A2205" s="2">
        <f>IF($A2198="","","   projections")</f>
        <v/>
      </c>
      <c r="B2205" s="158">
        <f>IF($A2198="",0,COUNT($E2206:$AR2206))</f>
        <v/>
      </c>
      <c r="C2205" s="159">
        <f>IF($B2205=0,0,MAX($E2206:$AR2206))</f>
        <v/>
      </c>
      <c r="D2205" s="101">
        <f>BDS($A2198,FLD_PROJ,"headers=y","startcol=1","endcol=3","dir=h")</f>
        <v/>
      </c>
      <c r="E2205" s="102" t="n"/>
      <c r="F2205" s="102" t="n"/>
      <c r="G2205" s="102" t="n"/>
      <c r="H2205" s="102" t="n"/>
      <c r="I2205" s="102" t="n"/>
      <c r="J2205" s="102" t="n"/>
      <c r="K2205" s="102" t="n"/>
      <c r="L2205" s="102" t="n"/>
      <c r="M2205" s="102" t="n"/>
      <c r="N2205" s="102" t="n"/>
      <c r="O2205" s="102" t="n"/>
      <c r="P2205" s="102" t="n"/>
      <c r="Q2205" s="102" t="n"/>
      <c r="R2205" s="102" t="n"/>
      <c r="S2205" s="102" t="n"/>
      <c r="T2205" s="102" t="n"/>
      <c r="U2205" s="102" t="n"/>
      <c r="V2205" s="102" t="n"/>
      <c r="W2205" s="102" t="n"/>
      <c r="X2205" s="102" t="n"/>
      <c r="Y2205" s="102" t="n"/>
      <c r="Z2205" s="102" t="n"/>
      <c r="AA2205" s="102" t="n"/>
      <c r="AB2205" s="102" t="n"/>
      <c r="AC2205" s="102" t="n"/>
      <c r="AD2205" s="102" t="n"/>
      <c r="AE2205" s="102" t="n"/>
      <c r="AF2205" s="102" t="n"/>
      <c r="AG2205" s="102" t="n"/>
      <c r="AH2205" s="102" t="n"/>
      <c r="AI2205" s="102" t="n"/>
      <c r="AJ2205" s="102" t="n"/>
      <c r="AK2205" s="102" t="n"/>
      <c r="AL2205" s="102" t="n"/>
      <c r="AM2205" s="102" t="n"/>
      <c r="AN2205" s="102" t="n"/>
      <c r="AO2205" s="102" t="n"/>
      <c r="AP2205" s="102" t="n"/>
      <c r="AQ2205" s="102" t="n"/>
      <c r="AR2205" s="102" t="n"/>
    </row>
    <row r="2206">
      <c r="D2206" s="102" t="n"/>
      <c r="E2206" s="102" t="n"/>
      <c r="F2206" s="102" t="n"/>
      <c r="G2206" s="102" t="n"/>
      <c r="H2206" s="102" t="n"/>
      <c r="I2206" s="102" t="n"/>
      <c r="J2206" s="102" t="n"/>
      <c r="K2206" s="102" t="n"/>
      <c r="L2206" s="102" t="n"/>
      <c r="M2206" s="102" t="n"/>
      <c r="N2206" s="102" t="n"/>
      <c r="O2206" s="102" t="n"/>
      <c r="P2206" s="102" t="n"/>
      <c r="Q2206" s="102" t="n"/>
      <c r="R2206" s="102" t="n"/>
      <c r="S2206" s="102" t="n"/>
      <c r="T2206" s="102" t="n"/>
      <c r="U2206" s="102" t="n"/>
      <c r="V2206" s="102" t="n"/>
      <c r="W2206" s="102" t="n"/>
      <c r="X2206" s="102" t="n"/>
      <c r="Y2206" s="102" t="n"/>
      <c r="Z2206" s="102" t="n"/>
      <c r="AA2206" s="102" t="n"/>
      <c r="AB2206" s="102" t="n"/>
      <c r="AC2206" s="102" t="n"/>
      <c r="AD2206" s="102" t="n"/>
      <c r="AE2206" s="102" t="n"/>
      <c r="AF2206" s="102" t="n"/>
      <c r="AG2206" s="102" t="n"/>
      <c r="AH2206" s="102" t="n"/>
      <c r="AI2206" s="102" t="n"/>
      <c r="AJ2206" s="102" t="n"/>
      <c r="AK2206" s="102" t="n"/>
      <c r="AL2206" s="102" t="n"/>
      <c r="AM2206" s="102" t="n"/>
      <c r="AN2206" s="102" t="n"/>
      <c r="AO2206" s="102" t="n"/>
      <c r="AP2206" s="102" t="n"/>
      <c r="AQ2206" s="102" t="n"/>
      <c r="AR2206" s="102" t="n"/>
    </row>
    <row r="2207">
      <c r="D2207" s="160" t="n"/>
      <c r="E2207" s="160" t="n"/>
      <c r="F2207" s="160" t="n"/>
      <c r="G2207" s="160" t="n"/>
      <c r="H2207" s="160" t="n"/>
      <c r="I2207" s="160" t="n"/>
      <c r="J2207" s="160" t="n"/>
      <c r="K2207" s="160" t="n"/>
      <c r="L2207" s="160" t="n"/>
      <c r="M2207" s="160" t="n"/>
      <c r="N2207" s="160" t="n"/>
      <c r="O2207" s="160" t="n"/>
      <c r="P2207" s="160" t="n"/>
      <c r="Q2207" s="160" t="n"/>
      <c r="R2207" s="160" t="n"/>
      <c r="S2207" s="160" t="n"/>
      <c r="T2207" s="160" t="n"/>
      <c r="U2207" s="160" t="n"/>
      <c r="V2207" s="160" t="n"/>
      <c r="W2207" s="160" t="n"/>
      <c r="X2207" s="160" t="n"/>
      <c r="Y2207" s="160" t="n"/>
      <c r="Z2207" s="160" t="n"/>
      <c r="AA2207" s="160" t="n"/>
      <c r="AB2207" s="160" t="n"/>
      <c r="AC2207" s="160" t="n"/>
      <c r="AD2207" s="160" t="n"/>
      <c r="AE2207" s="160" t="n"/>
      <c r="AF2207" s="160" t="n"/>
      <c r="AG2207" s="160" t="n"/>
      <c r="AH2207" s="160" t="n"/>
      <c r="AI2207" s="160" t="n"/>
      <c r="AJ2207" s="160" t="n"/>
      <c r="AK2207" s="160" t="n"/>
      <c r="AL2207" s="160" t="n"/>
      <c r="AM2207" s="160" t="n"/>
      <c r="AN2207" s="160" t="n"/>
      <c r="AO2207" s="160" t="n"/>
      <c r="AP2207" s="160" t="n"/>
      <c r="AQ2207" s="160" t="n"/>
      <c r="AR2207" s="160" t="n"/>
    </row>
    <row r="2209">
      <c r="A2209" s="8">
        <f>IF(HSCEI!$C$66="","",HSCEI!$C$66)</f>
        <v/>
      </c>
      <c r="B2209" s="158">
        <f>IF($A2209="",0,COUNT($E2210:$AR2210))</f>
        <v/>
      </c>
      <c r="C2209" s="159">
        <f>IF($B2209=0,0,MAX($E2210:$AR2210))</f>
        <v/>
      </c>
      <c r="D2209" s="101">
        <f>BDS($A2209,FLD_HIST,"headers=y","startcol=1","endcol=7","dir=h","DVD_START_DT",HIST_FROM,"DVD_END_DT",HIST_TO)</f>
        <v/>
      </c>
      <c r="E2209" s="102" t="n"/>
      <c r="F2209" s="102" t="n"/>
      <c r="G2209" s="102" t="n"/>
      <c r="H2209" s="102" t="n"/>
      <c r="I2209" s="102" t="n"/>
      <c r="J2209" s="102" t="n"/>
      <c r="K2209" s="102" t="n"/>
      <c r="L2209" s="102" t="n"/>
      <c r="M2209" s="102" t="n"/>
      <c r="N2209" s="102" t="n"/>
      <c r="O2209" s="102" t="n"/>
      <c r="P2209" s="102" t="n"/>
      <c r="Q2209" s="102" t="n"/>
      <c r="R2209" s="102" t="n"/>
      <c r="S2209" s="102" t="n"/>
      <c r="T2209" s="102" t="n"/>
      <c r="U2209" s="102" t="n"/>
      <c r="V2209" s="102" t="n"/>
      <c r="W2209" s="102" t="n"/>
      <c r="X2209" s="102" t="n"/>
      <c r="Y2209" s="102" t="n"/>
      <c r="Z2209" s="102" t="n"/>
      <c r="AA2209" s="102" t="n"/>
      <c r="AB2209" s="102" t="n"/>
      <c r="AC2209" s="102" t="n"/>
      <c r="AD2209" s="102" t="n"/>
      <c r="AE2209" s="102" t="n"/>
      <c r="AF2209" s="102" t="n"/>
      <c r="AG2209" s="102" t="n"/>
      <c r="AH2209" s="102" t="n"/>
      <c r="AI2209" s="102" t="n"/>
      <c r="AJ2209" s="102" t="n"/>
      <c r="AK2209" s="102" t="n"/>
      <c r="AL2209" s="102" t="n"/>
      <c r="AM2209" s="102" t="n"/>
      <c r="AN2209" s="102" t="n"/>
      <c r="AO2209" s="102" t="n"/>
      <c r="AP2209" s="102" t="n"/>
      <c r="AQ2209" s="102" t="n"/>
      <c r="AR2209" s="102" t="n"/>
    </row>
    <row r="2210">
      <c r="D2210" s="102" t="n"/>
      <c r="E2210" s="102" t="n"/>
      <c r="F2210" s="102" t="n"/>
      <c r="G2210" s="102" t="n"/>
      <c r="H2210" s="102" t="n"/>
      <c r="I2210" s="102" t="n"/>
      <c r="J2210" s="102" t="n"/>
      <c r="K2210" s="102" t="n"/>
      <c r="L2210" s="102" t="n"/>
      <c r="M2210" s="102" t="n"/>
      <c r="N2210" s="102" t="n"/>
      <c r="O2210" s="102" t="n"/>
      <c r="P2210" s="102" t="n"/>
      <c r="Q2210" s="102" t="n"/>
      <c r="R2210" s="102" t="n"/>
      <c r="S2210" s="102" t="n"/>
      <c r="T2210" s="102" t="n"/>
      <c r="U2210" s="102" t="n"/>
      <c r="V2210" s="102" t="n"/>
      <c r="W2210" s="102" t="n"/>
      <c r="X2210" s="102" t="n"/>
      <c r="Y2210" s="102" t="n"/>
      <c r="Z2210" s="102" t="n"/>
      <c r="AA2210" s="102" t="n"/>
      <c r="AB2210" s="102" t="n"/>
      <c r="AC2210" s="102" t="n"/>
      <c r="AD2210" s="102" t="n"/>
      <c r="AE2210" s="102" t="n"/>
      <c r="AF2210" s="102" t="n"/>
      <c r="AG2210" s="102" t="n"/>
      <c r="AH2210" s="102" t="n"/>
      <c r="AI2210" s="102" t="n"/>
      <c r="AJ2210" s="102" t="n"/>
      <c r="AK2210" s="102" t="n"/>
      <c r="AL2210" s="102" t="n"/>
      <c r="AM2210" s="102" t="n"/>
      <c r="AN2210" s="102" t="n"/>
      <c r="AO2210" s="102" t="n"/>
      <c r="AP2210" s="102" t="n"/>
      <c r="AQ2210" s="102" t="n"/>
      <c r="AR2210" s="102" t="n"/>
    </row>
    <row r="2211">
      <c r="D2211" s="102" t="n"/>
      <c r="E2211" s="102" t="n"/>
      <c r="F2211" s="102" t="n"/>
      <c r="G2211" s="102" t="n"/>
      <c r="H2211" s="102" t="n"/>
      <c r="I2211" s="102" t="n"/>
      <c r="J2211" s="102" t="n"/>
      <c r="K2211" s="102" t="n"/>
      <c r="L2211" s="102" t="n"/>
      <c r="M2211" s="102" t="n"/>
      <c r="N2211" s="102" t="n"/>
      <c r="O2211" s="102" t="n"/>
      <c r="P2211" s="102" t="n"/>
      <c r="Q2211" s="102" t="n"/>
      <c r="R2211" s="102" t="n"/>
      <c r="S2211" s="102" t="n"/>
      <c r="T2211" s="102" t="n"/>
      <c r="U2211" s="102" t="n"/>
      <c r="V2211" s="102" t="n"/>
      <c r="W2211" s="102" t="n"/>
      <c r="X2211" s="102" t="n"/>
      <c r="Y2211" s="102" t="n"/>
      <c r="Z2211" s="102" t="n"/>
      <c r="AA2211" s="102" t="n"/>
      <c r="AB2211" s="102" t="n"/>
      <c r="AC2211" s="102" t="n"/>
      <c r="AD2211" s="102" t="n"/>
      <c r="AE2211" s="102" t="n"/>
      <c r="AF2211" s="102" t="n"/>
      <c r="AG2211" s="102" t="n"/>
      <c r="AH2211" s="102" t="n"/>
      <c r="AI2211" s="102" t="n"/>
      <c r="AJ2211" s="102" t="n"/>
      <c r="AK2211" s="102" t="n"/>
      <c r="AL2211" s="102" t="n"/>
      <c r="AM2211" s="102" t="n"/>
      <c r="AN2211" s="102" t="n"/>
      <c r="AO2211" s="102" t="n"/>
      <c r="AP2211" s="102" t="n"/>
      <c r="AQ2211" s="102" t="n"/>
      <c r="AR2211" s="102" t="n"/>
    </row>
    <row r="2212">
      <c r="D2212" s="102" t="n"/>
      <c r="E2212" s="102" t="n"/>
      <c r="F2212" s="102" t="n"/>
      <c r="G2212" s="102" t="n"/>
      <c r="H2212" s="102" t="n"/>
      <c r="I2212" s="102" t="n"/>
      <c r="J2212" s="102" t="n"/>
      <c r="K2212" s="102" t="n"/>
      <c r="L2212" s="102" t="n"/>
      <c r="M2212" s="102" t="n"/>
      <c r="N2212" s="102" t="n"/>
      <c r="O2212" s="102" t="n"/>
      <c r="P2212" s="102" t="n"/>
      <c r="Q2212" s="102" t="n"/>
      <c r="R2212" s="102" t="n"/>
      <c r="S2212" s="102" t="n"/>
      <c r="T2212" s="102" t="n"/>
      <c r="U2212" s="102" t="n"/>
      <c r="V2212" s="102" t="n"/>
      <c r="W2212" s="102" t="n"/>
      <c r="X2212" s="102" t="n"/>
      <c r="Y2212" s="102" t="n"/>
      <c r="Z2212" s="102" t="n"/>
      <c r="AA2212" s="102" t="n"/>
      <c r="AB2212" s="102" t="n"/>
      <c r="AC2212" s="102" t="n"/>
      <c r="AD2212" s="102" t="n"/>
      <c r="AE2212" s="102" t="n"/>
      <c r="AF2212" s="102" t="n"/>
      <c r="AG2212" s="102" t="n"/>
      <c r="AH2212" s="102" t="n"/>
      <c r="AI2212" s="102" t="n"/>
      <c r="AJ2212" s="102" t="n"/>
      <c r="AK2212" s="102" t="n"/>
      <c r="AL2212" s="102" t="n"/>
      <c r="AM2212" s="102" t="n"/>
      <c r="AN2212" s="102" t="n"/>
      <c r="AO2212" s="102" t="n"/>
      <c r="AP2212" s="102" t="n"/>
      <c r="AQ2212" s="102" t="n"/>
      <c r="AR2212" s="102" t="n"/>
    </row>
    <row r="2213">
      <c r="D2213" s="160" t="n"/>
      <c r="E2213" s="160" t="n"/>
      <c r="F2213" s="160" t="n"/>
      <c r="G2213" s="160" t="n"/>
      <c r="H2213" s="160" t="n"/>
      <c r="I2213" s="160" t="n"/>
      <c r="J2213" s="160" t="n"/>
      <c r="K2213" s="160" t="n"/>
      <c r="L2213" s="160" t="n"/>
      <c r="M2213" s="160" t="n"/>
      <c r="N2213" s="160" t="n"/>
      <c r="O2213" s="160" t="n"/>
      <c r="P2213" s="160" t="n"/>
      <c r="Q2213" s="160" t="n"/>
      <c r="R2213" s="160" t="n"/>
      <c r="S2213" s="160" t="n"/>
      <c r="T2213" s="160" t="n"/>
      <c r="U2213" s="160" t="n"/>
      <c r="V2213" s="160" t="n"/>
      <c r="W2213" s="160" t="n"/>
      <c r="X2213" s="160" t="n"/>
      <c r="Y2213" s="160" t="n"/>
      <c r="Z2213" s="160" t="n"/>
      <c r="AA2213" s="160" t="n"/>
      <c r="AB2213" s="160" t="n"/>
      <c r="AC2213" s="160" t="n"/>
      <c r="AD2213" s="160" t="n"/>
      <c r="AE2213" s="160" t="n"/>
      <c r="AF2213" s="160" t="n"/>
      <c r="AG2213" s="160" t="n"/>
      <c r="AH2213" s="160" t="n"/>
      <c r="AI2213" s="160" t="n"/>
      <c r="AJ2213" s="160" t="n"/>
      <c r="AK2213" s="160" t="n"/>
      <c r="AL2213" s="160" t="n"/>
      <c r="AM2213" s="160" t="n"/>
      <c r="AN2213" s="160" t="n"/>
      <c r="AO2213" s="160" t="n"/>
      <c r="AP2213" s="160" t="n"/>
      <c r="AQ2213" s="160" t="n"/>
      <c r="AR2213" s="160" t="n"/>
    </row>
    <row r="2216">
      <c r="A2216" s="2">
        <f>IF($A2209="","","   projections")</f>
        <v/>
      </c>
      <c r="B2216" s="158">
        <f>IF($A2209="",0,COUNT($E2217:$AR2217))</f>
        <v/>
      </c>
      <c r="C2216" s="159">
        <f>IF($B2216=0,0,MAX($E2217:$AR2217))</f>
        <v/>
      </c>
      <c r="D2216" s="101">
        <f>BDS($A2209,FLD_PROJ,"headers=y","startcol=1","endcol=3","dir=h")</f>
        <v/>
      </c>
      <c r="E2216" s="102" t="n"/>
      <c r="F2216" s="102" t="n"/>
      <c r="G2216" s="102" t="n"/>
      <c r="H2216" s="102" t="n"/>
      <c r="I2216" s="102" t="n"/>
      <c r="J2216" s="102" t="n"/>
      <c r="K2216" s="102" t="n"/>
      <c r="L2216" s="102" t="n"/>
      <c r="M2216" s="102" t="n"/>
      <c r="N2216" s="102" t="n"/>
      <c r="O2216" s="102" t="n"/>
      <c r="P2216" s="102" t="n"/>
      <c r="Q2216" s="102" t="n"/>
      <c r="R2216" s="102" t="n"/>
      <c r="S2216" s="102" t="n"/>
      <c r="T2216" s="102" t="n"/>
      <c r="U2216" s="102" t="n"/>
      <c r="V2216" s="102" t="n"/>
      <c r="W2216" s="102" t="n"/>
      <c r="X2216" s="102" t="n"/>
      <c r="Y2216" s="102" t="n"/>
      <c r="Z2216" s="102" t="n"/>
      <c r="AA2216" s="102" t="n"/>
      <c r="AB2216" s="102" t="n"/>
      <c r="AC2216" s="102" t="n"/>
      <c r="AD2216" s="102" t="n"/>
      <c r="AE2216" s="102" t="n"/>
      <c r="AF2216" s="102" t="n"/>
      <c r="AG2216" s="102" t="n"/>
      <c r="AH2216" s="102" t="n"/>
      <c r="AI2216" s="102" t="n"/>
      <c r="AJ2216" s="102" t="n"/>
      <c r="AK2216" s="102" t="n"/>
      <c r="AL2216" s="102" t="n"/>
      <c r="AM2216" s="102" t="n"/>
      <c r="AN2216" s="102" t="n"/>
      <c r="AO2216" s="102" t="n"/>
      <c r="AP2216" s="102" t="n"/>
      <c r="AQ2216" s="102" t="n"/>
      <c r="AR2216" s="102" t="n"/>
    </row>
    <row r="2217">
      <c r="D2217" s="102" t="n"/>
      <c r="E2217" s="102" t="n"/>
      <c r="F2217" s="102" t="n"/>
      <c r="G2217" s="102" t="n"/>
      <c r="H2217" s="102" t="n"/>
      <c r="I2217" s="102" t="n"/>
      <c r="J2217" s="102" t="n"/>
      <c r="K2217" s="102" t="n"/>
      <c r="L2217" s="102" t="n"/>
      <c r="M2217" s="102" t="n"/>
      <c r="N2217" s="102" t="n"/>
      <c r="O2217" s="102" t="n"/>
      <c r="P2217" s="102" t="n"/>
      <c r="Q2217" s="102" t="n"/>
      <c r="R2217" s="102" t="n"/>
      <c r="S2217" s="102" t="n"/>
      <c r="T2217" s="102" t="n"/>
      <c r="U2217" s="102" t="n"/>
      <c r="V2217" s="102" t="n"/>
      <c r="W2217" s="102" t="n"/>
      <c r="X2217" s="102" t="n"/>
      <c r="Y2217" s="102" t="n"/>
      <c r="Z2217" s="102" t="n"/>
      <c r="AA2217" s="102" t="n"/>
      <c r="AB2217" s="102" t="n"/>
      <c r="AC2217" s="102" t="n"/>
      <c r="AD2217" s="102" t="n"/>
      <c r="AE2217" s="102" t="n"/>
      <c r="AF2217" s="102" t="n"/>
      <c r="AG2217" s="102" t="n"/>
      <c r="AH2217" s="102" t="n"/>
      <c r="AI2217" s="102" t="n"/>
      <c r="AJ2217" s="102" t="n"/>
      <c r="AK2217" s="102" t="n"/>
      <c r="AL2217" s="102" t="n"/>
      <c r="AM2217" s="102" t="n"/>
      <c r="AN2217" s="102" t="n"/>
      <c r="AO2217" s="102" t="n"/>
      <c r="AP2217" s="102" t="n"/>
      <c r="AQ2217" s="102" t="n"/>
      <c r="AR2217" s="102" t="n"/>
    </row>
    <row r="2218">
      <c r="D2218" s="160" t="n"/>
      <c r="E2218" s="160" t="n"/>
      <c r="F2218" s="160" t="n"/>
      <c r="G2218" s="160" t="n"/>
      <c r="H2218" s="160" t="n"/>
      <c r="I2218" s="160" t="n"/>
      <c r="J2218" s="160" t="n"/>
      <c r="K2218" s="160" t="n"/>
      <c r="L2218" s="160" t="n"/>
      <c r="M2218" s="160" t="n"/>
      <c r="N2218" s="160" t="n"/>
      <c r="O2218" s="160" t="n"/>
      <c r="P2218" s="160" t="n"/>
      <c r="Q2218" s="160" t="n"/>
      <c r="R2218" s="160" t="n"/>
      <c r="S2218" s="160" t="n"/>
      <c r="T2218" s="160" t="n"/>
      <c r="U2218" s="160" t="n"/>
      <c r="V2218" s="160" t="n"/>
      <c r="W2218" s="160" t="n"/>
      <c r="X2218" s="160" t="n"/>
      <c r="Y2218" s="160" t="n"/>
      <c r="Z2218" s="160" t="n"/>
      <c r="AA2218" s="160" t="n"/>
      <c r="AB2218" s="160" t="n"/>
      <c r="AC2218" s="160" t="n"/>
      <c r="AD2218" s="160" t="n"/>
      <c r="AE2218" s="160" t="n"/>
      <c r="AF2218" s="160" t="n"/>
      <c r="AG2218" s="160" t="n"/>
      <c r="AH2218" s="160" t="n"/>
      <c r="AI2218" s="160" t="n"/>
      <c r="AJ2218" s="160" t="n"/>
      <c r="AK2218" s="160" t="n"/>
      <c r="AL2218" s="160" t="n"/>
      <c r="AM2218" s="160" t="n"/>
      <c r="AN2218" s="160" t="n"/>
      <c r="AO2218" s="160" t="n"/>
      <c r="AP2218" s="160" t="n"/>
      <c r="AQ2218" s="160" t="n"/>
      <c r="AR2218" s="160" t="n"/>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B1:K121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16" customWidth="1" min="3" max="3"/>
    <col width="11" customWidth="1" min="4" max="4"/>
    <col width="10" customWidth="1" min="5" max="5"/>
    <col width="3" customWidth="1" min="6" max="6"/>
    <col width="11" customWidth="1" min="7" max="7"/>
    <col width="10" customWidth="1" min="8" max="8"/>
    <col width="3" customWidth="1" min="9" max="9"/>
    <col width="11" customWidth="1" min="10" max="10"/>
    <col width="10" customWidth="1" min="11" max="11"/>
  </cols>
  <sheetData>
    <row r="1">
      <c r="B1" s="1" t="inlineStr">
        <is>
          <t>FUND HISTORY - PER-STOCK 5-YEAR PULLS.  ENGINE TAB: NEVER EDIT.</t>
        </is>
      </c>
    </row>
    <row r="2">
      <c r="B2" s="2" t="inlineStr">
        <is>
          <t>Per stock: net debt/equity (BDH) and buyback yield (BQL). Fundamentals matches on the YEAR in the date column, so row order never matters.</t>
        </is>
      </c>
    </row>
    <row r="4">
      <c r="B4" s="2" t="inlineStr">
        <is>
          <t>BQL dates argument</t>
        </is>
      </c>
      <c r="C4" s="22">
        <f>"dates=range("&amp;TEXT(DATE(YEAR_Y-4,12,31),"yyyy-mm-dd")&amp;","&amp;TEXT(DATE(YEAR_Y-1,12,31),"yyyy-mm-dd")&amp;",frq=y)"</f>
        <v/>
      </c>
      <c r="D4" s="20" t="n"/>
      <c r="E4" s="21" t="n"/>
    </row>
    <row r="6">
      <c r="B6" s="6" t="inlineStr">
        <is>
          <t>Hang Seng Index (HSI)</t>
        </is>
      </c>
      <c r="C6" s="7" t="n"/>
      <c r="D6" s="10">
        <f>IF(COUNT($D$8:$D$607)&gt;0,"BDH shape OK - dates in column D",IF(COUNT($E$8:$E$607)&gt;0,"CHECK: BDH returned values but NO date column - tell Claude","BDH: nothing pulled yet"))</f>
        <v/>
      </c>
      <c r="E6" s="7" t="n"/>
      <c r="F6" s="7" t="n"/>
      <c r="G6" s="10">
        <f>IF(COUNT($G$8:$G$607)&gt;0,"BQL shape OK - dates in column G",IF(COUNT($H$8:$H$607)&gt;0,"CHECK: BQL returned values but NO date column - tell Claude","BQL: nothing pulled yet"))</f>
        <v/>
      </c>
      <c r="H6" s="7" t="n"/>
      <c r="J6" s="2">
        <f>IF(COUNT($J$8:$J$607)&gt;0,"PX shape OK - dates in column J",IF(COUNT($K$8:$K$607)&gt;0,"CHECK: PX returned values but NO date column - tell Claude","PX: nothing pulled yet"))</f>
        <v/>
      </c>
    </row>
    <row r="7">
      <c r="D7" s="2" t="inlineStr">
        <is>
          <t>net debt/equity (BDH)</t>
        </is>
      </c>
      <c r="G7" s="2" t="inlineStr">
        <is>
          <t>buyback yield (BQL)</t>
        </is>
      </c>
      <c r="J7" s="2" t="inlineStr">
        <is>
          <t>year-end price (BDH)</t>
        </is>
      </c>
    </row>
    <row r="8">
      <c r="B8" s="2">
        <f>IF(HSI!$C$7="","",HSI!$C$7)</f>
        <v/>
      </c>
      <c r="C8" s="2">
        <f>IF(PULL_FUND="N","",IF(HSI!$C$7="","",HSI!$C$7))</f>
        <v/>
      </c>
      <c r="D8" s="104">
        <f>BDH($C8,NDE_FIELD,"-5AY","","Per=Y","cols=2;rows=5")</f>
        <v/>
      </c>
      <c r="E8" s="105" t="n"/>
      <c r="G8" s="104">
        <f>BQL($C8,BUYBACK_QUERY,$C$4,"fill=prev","showheaders=f","showids=f")</f>
        <v/>
      </c>
      <c r="H8" s="105" t="n"/>
      <c r="J8" s="104">
        <f>BDH($C8,"PX_LAST","-5AY","","Per=Y","cols=2;rows=5")</f>
        <v/>
      </c>
      <c r="K8" s="106" t="n"/>
    </row>
    <row r="9">
      <c r="D9" s="102" t="n"/>
      <c r="E9" s="105" t="n"/>
      <c r="G9" s="102" t="n"/>
      <c r="H9" s="105" t="n"/>
      <c r="J9" s="102" t="n"/>
      <c r="K9" s="106" t="n"/>
    </row>
    <row r="10">
      <c r="D10" s="102" t="n"/>
      <c r="E10" s="105" t="n"/>
      <c r="G10" s="102" t="n"/>
      <c r="H10" s="105" t="n"/>
      <c r="J10" s="102" t="n"/>
      <c r="K10" s="106" t="n"/>
    </row>
    <row r="11">
      <c r="D11" s="102" t="n"/>
      <c r="E11" s="105" t="n"/>
      <c r="G11" s="102" t="n"/>
      <c r="H11" s="105" t="n"/>
      <c r="J11" s="102" t="n"/>
      <c r="K11" s="106" t="n"/>
    </row>
    <row r="12">
      <c r="D12" s="102" t="n"/>
      <c r="E12" s="105" t="n"/>
      <c r="G12" s="102" t="n"/>
      <c r="H12" s="105" t="n"/>
      <c r="J12" s="102" t="n"/>
      <c r="K12" s="106" t="n"/>
    </row>
    <row r="14">
      <c r="B14" s="2">
        <f>IF(HSI!$C$8="","",HSI!$C$8)</f>
        <v/>
      </c>
      <c r="C14" s="2">
        <f>IF(PULL_FUND="N","",IF(HSI!$C$8="","",HSI!$C$8))</f>
        <v/>
      </c>
      <c r="D14" s="104">
        <f>BDH($C14,NDE_FIELD,"-5AY","","Per=Y","cols=2;rows=5")</f>
        <v/>
      </c>
      <c r="E14" s="105" t="n"/>
      <c r="G14" s="104">
        <f>BQL($C14,BUYBACK_QUERY,$C$4,"fill=prev","showheaders=f","showids=f")</f>
        <v/>
      </c>
      <c r="H14" s="105" t="n"/>
      <c r="J14" s="104">
        <f>BDH($C14,"PX_LAST","-5AY","","Per=Y","cols=2;rows=5")</f>
        <v/>
      </c>
      <c r="K14" s="106" t="n"/>
    </row>
    <row r="15">
      <c r="D15" s="102" t="n"/>
      <c r="E15" s="105" t="n"/>
      <c r="G15" s="102" t="n"/>
      <c r="H15" s="105" t="n"/>
      <c r="J15" s="102" t="n"/>
      <c r="K15" s="106" t="n"/>
    </row>
    <row r="16">
      <c r="D16" s="102" t="n"/>
      <c r="E16" s="105" t="n"/>
      <c r="G16" s="102" t="n"/>
      <c r="H16" s="105" t="n"/>
      <c r="J16" s="102" t="n"/>
      <c r="K16" s="106" t="n"/>
    </row>
    <row r="17">
      <c r="D17" s="102" t="n"/>
      <c r="E17" s="105" t="n"/>
      <c r="G17" s="102" t="n"/>
      <c r="H17" s="105" t="n"/>
      <c r="J17" s="102" t="n"/>
      <c r="K17" s="106" t="n"/>
    </row>
    <row r="18">
      <c r="D18" s="102" t="n"/>
      <c r="E18" s="105" t="n"/>
      <c r="G18" s="102" t="n"/>
      <c r="H18" s="105" t="n"/>
      <c r="J18" s="102" t="n"/>
      <c r="K18" s="106" t="n"/>
    </row>
    <row r="20">
      <c r="B20" s="2">
        <f>IF(HSI!$C$9="","",HSI!$C$9)</f>
        <v/>
      </c>
      <c r="C20" s="2">
        <f>IF(PULL_FUND="N","",IF(HSI!$C$9="","",HSI!$C$9))</f>
        <v/>
      </c>
      <c r="D20" s="104">
        <f>BDH($C20,NDE_FIELD,"-5AY","","Per=Y","cols=2;rows=5")</f>
        <v/>
      </c>
      <c r="E20" s="105" t="n"/>
      <c r="G20" s="104">
        <f>BQL($C20,BUYBACK_QUERY,$C$4,"fill=prev","showheaders=f","showids=f")</f>
        <v/>
      </c>
      <c r="H20" s="105" t="n"/>
      <c r="J20" s="104">
        <f>BDH($C20,"PX_LAST","-5AY","","Per=Y","cols=2;rows=5")</f>
        <v/>
      </c>
      <c r="K20" s="106" t="n"/>
    </row>
    <row r="21">
      <c r="D21" s="102" t="n"/>
      <c r="E21" s="105" t="n"/>
      <c r="G21" s="102" t="n"/>
      <c r="H21" s="105" t="n"/>
      <c r="J21" s="102" t="n"/>
      <c r="K21" s="106" t="n"/>
    </row>
    <row r="22">
      <c r="D22" s="102" t="n"/>
      <c r="E22" s="105" t="n"/>
      <c r="G22" s="102" t="n"/>
      <c r="H22" s="105" t="n"/>
      <c r="J22" s="102" t="n"/>
      <c r="K22" s="106" t="n"/>
    </row>
    <row r="23">
      <c r="D23" s="102" t="n"/>
      <c r="E23" s="105" t="n"/>
      <c r="G23" s="102" t="n"/>
      <c r="H23" s="105" t="n"/>
      <c r="J23" s="102" t="n"/>
      <c r="K23" s="106" t="n"/>
    </row>
    <row r="24">
      <c r="D24" s="102" t="n"/>
      <c r="E24" s="105" t="n"/>
      <c r="G24" s="102" t="n"/>
      <c r="H24" s="105" t="n"/>
      <c r="J24" s="102" t="n"/>
      <c r="K24" s="106" t="n"/>
    </row>
    <row r="26">
      <c r="B26" s="2">
        <f>IF(HSI!$C$10="","",HSI!$C$10)</f>
        <v/>
      </c>
      <c r="C26" s="2">
        <f>IF(PULL_FUND="N","",IF(HSI!$C$10="","",HSI!$C$10))</f>
        <v/>
      </c>
      <c r="D26" s="104">
        <f>BDH($C26,NDE_FIELD,"-5AY","","Per=Y","cols=2;rows=5")</f>
        <v/>
      </c>
      <c r="E26" s="105" t="n"/>
      <c r="G26" s="104">
        <f>BQL($C26,BUYBACK_QUERY,$C$4,"fill=prev","showheaders=f","showids=f")</f>
        <v/>
      </c>
      <c r="H26" s="105" t="n"/>
      <c r="J26" s="104">
        <f>BDH($C26,"PX_LAST","-5AY","","Per=Y","cols=2;rows=5")</f>
        <v/>
      </c>
      <c r="K26" s="106" t="n"/>
    </row>
    <row r="27">
      <c r="D27" s="102" t="n"/>
      <c r="E27" s="105" t="n"/>
      <c r="G27" s="102" t="n"/>
      <c r="H27" s="105" t="n"/>
      <c r="J27" s="102" t="n"/>
      <c r="K27" s="106" t="n"/>
    </row>
    <row r="28">
      <c r="D28" s="102" t="n"/>
      <c r="E28" s="105" t="n"/>
      <c r="G28" s="102" t="n"/>
      <c r="H28" s="105" t="n"/>
      <c r="J28" s="102" t="n"/>
      <c r="K28" s="106" t="n"/>
    </row>
    <row r="29">
      <c r="D29" s="102" t="n"/>
      <c r="E29" s="105" t="n"/>
      <c r="G29" s="102" t="n"/>
      <c r="H29" s="105" t="n"/>
      <c r="J29" s="102" t="n"/>
      <c r="K29" s="106" t="n"/>
    </row>
    <row r="30">
      <c r="D30" s="102" t="n"/>
      <c r="E30" s="105" t="n"/>
      <c r="G30" s="102" t="n"/>
      <c r="H30" s="105" t="n"/>
      <c r="J30" s="102" t="n"/>
      <c r="K30" s="106" t="n"/>
    </row>
    <row r="32">
      <c r="B32" s="2">
        <f>IF(HSI!$C$11="","",HSI!$C$11)</f>
        <v/>
      </c>
      <c r="C32" s="2">
        <f>IF(PULL_FUND="N","",IF(HSI!$C$11="","",HSI!$C$11))</f>
        <v/>
      </c>
      <c r="D32" s="104">
        <f>BDH($C32,NDE_FIELD,"-5AY","","Per=Y","cols=2;rows=5")</f>
        <v/>
      </c>
      <c r="E32" s="105" t="n"/>
      <c r="G32" s="104">
        <f>BQL($C32,BUYBACK_QUERY,$C$4,"fill=prev","showheaders=f","showids=f")</f>
        <v/>
      </c>
      <c r="H32" s="105" t="n"/>
      <c r="J32" s="104">
        <f>BDH($C32,"PX_LAST","-5AY","","Per=Y","cols=2;rows=5")</f>
        <v/>
      </c>
      <c r="K32" s="106" t="n"/>
    </row>
    <row r="33">
      <c r="D33" s="102" t="n"/>
      <c r="E33" s="105" t="n"/>
      <c r="G33" s="102" t="n"/>
      <c r="H33" s="105" t="n"/>
      <c r="J33" s="102" t="n"/>
      <c r="K33" s="106" t="n"/>
    </row>
    <row r="34">
      <c r="D34" s="102" t="n"/>
      <c r="E34" s="105" t="n"/>
      <c r="G34" s="102" t="n"/>
      <c r="H34" s="105" t="n"/>
      <c r="J34" s="102" t="n"/>
      <c r="K34" s="106" t="n"/>
    </row>
    <row r="35">
      <c r="D35" s="102" t="n"/>
      <c r="E35" s="105" t="n"/>
      <c r="G35" s="102" t="n"/>
      <c r="H35" s="105" t="n"/>
      <c r="J35" s="102" t="n"/>
      <c r="K35" s="106" t="n"/>
    </row>
    <row r="36">
      <c r="D36" s="102" t="n"/>
      <c r="E36" s="105" t="n"/>
      <c r="G36" s="102" t="n"/>
      <c r="H36" s="105" t="n"/>
      <c r="J36" s="102" t="n"/>
      <c r="K36" s="106" t="n"/>
    </row>
    <row r="38">
      <c r="B38" s="2">
        <f>IF(HSI!$C$12="","",HSI!$C$12)</f>
        <v/>
      </c>
      <c r="C38" s="2">
        <f>IF(PULL_FUND="N","",IF(HSI!$C$12="","",HSI!$C$12))</f>
        <v/>
      </c>
      <c r="D38" s="104">
        <f>BDH($C38,NDE_FIELD,"-5AY","","Per=Y","cols=2;rows=5")</f>
        <v/>
      </c>
      <c r="E38" s="105" t="n"/>
      <c r="G38" s="104">
        <f>BQL($C38,BUYBACK_QUERY,$C$4,"fill=prev","showheaders=f","showids=f")</f>
        <v/>
      </c>
      <c r="H38" s="105" t="n"/>
      <c r="J38" s="104">
        <f>BDH($C38,"PX_LAST","-5AY","","Per=Y","cols=2;rows=5")</f>
        <v/>
      </c>
      <c r="K38" s="106" t="n"/>
    </row>
    <row r="39">
      <c r="D39" s="102" t="n"/>
      <c r="E39" s="105" t="n"/>
      <c r="G39" s="102" t="n"/>
      <c r="H39" s="105" t="n"/>
      <c r="J39" s="102" t="n"/>
      <c r="K39" s="106" t="n"/>
    </row>
    <row r="40">
      <c r="D40" s="102" t="n"/>
      <c r="E40" s="105" t="n"/>
      <c r="G40" s="102" t="n"/>
      <c r="H40" s="105" t="n"/>
      <c r="J40" s="102" t="n"/>
      <c r="K40" s="106" t="n"/>
    </row>
    <row r="41">
      <c r="D41" s="102" t="n"/>
      <c r="E41" s="105" t="n"/>
      <c r="G41" s="102" t="n"/>
      <c r="H41" s="105" t="n"/>
      <c r="J41" s="102" t="n"/>
      <c r="K41" s="106" t="n"/>
    </row>
    <row r="42">
      <c r="D42" s="102" t="n"/>
      <c r="E42" s="105" t="n"/>
      <c r="G42" s="102" t="n"/>
      <c r="H42" s="105" t="n"/>
      <c r="J42" s="102" t="n"/>
      <c r="K42" s="106" t="n"/>
    </row>
    <row r="44">
      <c r="B44" s="2">
        <f>IF(HSI!$C$13="","",HSI!$C$13)</f>
        <v/>
      </c>
      <c r="C44" s="2">
        <f>IF(PULL_FUND="N","",IF(HSI!$C$13="","",HSI!$C$13))</f>
        <v/>
      </c>
      <c r="D44" s="104">
        <f>BDH($C44,NDE_FIELD,"-5AY","","Per=Y","cols=2;rows=5")</f>
        <v/>
      </c>
      <c r="E44" s="105" t="n"/>
      <c r="G44" s="104">
        <f>BQL($C44,BUYBACK_QUERY,$C$4,"fill=prev","showheaders=f","showids=f")</f>
        <v/>
      </c>
      <c r="H44" s="105" t="n"/>
      <c r="J44" s="104">
        <f>BDH($C44,"PX_LAST","-5AY","","Per=Y","cols=2;rows=5")</f>
        <v/>
      </c>
      <c r="K44" s="106" t="n"/>
    </row>
    <row r="45">
      <c r="D45" s="102" t="n"/>
      <c r="E45" s="105" t="n"/>
      <c r="G45" s="102" t="n"/>
      <c r="H45" s="105" t="n"/>
      <c r="J45" s="102" t="n"/>
      <c r="K45" s="106" t="n"/>
    </row>
    <row r="46">
      <c r="D46" s="102" t="n"/>
      <c r="E46" s="105" t="n"/>
      <c r="G46" s="102" t="n"/>
      <c r="H46" s="105" t="n"/>
      <c r="J46" s="102" t="n"/>
      <c r="K46" s="106" t="n"/>
    </row>
    <row r="47">
      <c r="D47" s="102" t="n"/>
      <c r="E47" s="105" t="n"/>
      <c r="G47" s="102" t="n"/>
      <c r="H47" s="105" t="n"/>
      <c r="J47" s="102" t="n"/>
      <c r="K47" s="106" t="n"/>
    </row>
    <row r="48">
      <c r="D48" s="102" t="n"/>
      <c r="E48" s="105" t="n"/>
      <c r="G48" s="102" t="n"/>
      <c r="H48" s="105" t="n"/>
      <c r="J48" s="102" t="n"/>
      <c r="K48" s="106" t="n"/>
    </row>
    <row r="50">
      <c r="B50" s="2">
        <f>IF(HSI!$C$14="","",HSI!$C$14)</f>
        <v/>
      </c>
      <c r="C50" s="2">
        <f>IF(PULL_FUND="N","",IF(HSI!$C$14="","",HSI!$C$14))</f>
        <v/>
      </c>
      <c r="D50" s="104">
        <f>BDH($C50,NDE_FIELD,"-5AY","","Per=Y","cols=2;rows=5")</f>
        <v/>
      </c>
      <c r="E50" s="105" t="n"/>
      <c r="G50" s="104">
        <f>BQL($C50,BUYBACK_QUERY,$C$4,"fill=prev","showheaders=f","showids=f")</f>
        <v/>
      </c>
      <c r="H50" s="105" t="n"/>
      <c r="J50" s="104">
        <f>BDH($C50,"PX_LAST","-5AY","","Per=Y","cols=2;rows=5")</f>
        <v/>
      </c>
      <c r="K50" s="106" t="n"/>
    </row>
    <row r="51">
      <c r="D51" s="102" t="n"/>
      <c r="E51" s="105" t="n"/>
      <c r="G51" s="102" t="n"/>
      <c r="H51" s="105" t="n"/>
      <c r="J51" s="102" t="n"/>
      <c r="K51" s="106" t="n"/>
    </row>
    <row r="52">
      <c r="D52" s="102" t="n"/>
      <c r="E52" s="105" t="n"/>
      <c r="G52" s="102" t="n"/>
      <c r="H52" s="105" t="n"/>
      <c r="J52" s="102" t="n"/>
      <c r="K52" s="106" t="n"/>
    </row>
    <row r="53">
      <c r="D53" s="102" t="n"/>
      <c r="E53" s="105" t="n"/>
      <c r="G53" s="102" t="n"/>
      <c r="H53" s="105" t="n"/>
      <c r="J53" s="102" t="n"/>
      <c r="K53" s="106" t="n"/>
    </row>
    <row r="54">
      <c r="D54" s="102" t="n"/>
      <c r="E54" s="105" t="n"/>
      <c r="G54" s="102" t="n"/>
      <c r="H54" s="105" t="n"/>
      <c r="J54" s="102" t="n"/>
      <c r="K54" s="106" t="n"/>
    </row>
    <row r="56">
      <c r="B56" s="2">
        <f>IF(HSI!$C$15="","",HSI!$C$15)</f>
        <v/>
      </c>
      <c r="C56" s="2">
        <f>IF(PULL_FUND="N","",IF(HSI!$C$15="","",HSI!$C$15))</f>
        <v/>
      </c>
      <c r="D56" s="104">
        <f>BDH($C56,NDE_FIELD,"-5AY","","Per=Y","cols=2;rows=5")</f>
        <v/>
      </c>
      <c r="E56" s="105" t="n"/>
      <c r="G56" s="104">
        <f>BQL($C56,BUYBACK_QUERY,$C$4,"fill=prev","showheaders=f","showids=f")</f>
        <v/>
      </c>
      <c r="H56" s="105" t="n"/>
      <c r="J56" s="104">
        <f>BDH($C56,"PX_LAST","-5AY","","Per=Y","cols=2;rows=5")</f>
        <v/>
      </c>
      <c r="K56" s="106" t="n"/>
    </row>
    <row r="57">
      <c r="D57" s="102" t="n"/>
      <c r="E57" s="105" t="n"/>
      <c r="G57" s="102" t="n"/>
      <c r="H57" s="105" t="n"/>
      <c r="J57" s="102" t="n"/>
      <c r="K57" s="106" t="n"/>
    </row>
    <row r="58">
      <c r="D58" s="102" t="n"/>
      <c r="E58" s="105" t="n"/>
      <c r="G58" s="102" t="n"/>
      <c r="H58" s="105" t="n"/>
      <c r="J58" s="102" t="n"/>
      <c r="K58" s="106" t="n"/>
    </row>
    <row r="59">
      <c r="D59" s="102" t="n"/>
      <c r="E59" s="105" t="n"/>
      <c r="G59" s="102" t="n"/>
      <c r="H59" s="105" t="n"/>
      <c r="J59" s="102" t="n"/>
      <c r="K59" s="106" t="n"/>
    </row>
    <row r="60">
      <c r="D60" s="102" t="n"/>
      <c r="E60" s="105" t="n"/>
      <c r="G60" s="102" t="n"/>
      <c r="H60" s="105" t="n"/>
      <c r="J60" s="102" t="n"/>
      <c r="K60" s="106" t="n"/>
    </row>
    <row r="62">
      <c r="B62" s="2">
        <f>IF(HSI!$C$16="","",HSI!$C$16)</f>
        <v/>
      </c>
      <c r="C62" s="2">
        <f>IF(PULL_FUND="N","",IF(HSI!$C$16="","",HSI!$C$16))</f>
        <v/>
      </c>
      <c r="D62" s="104">
        <f>BDH($C62,NDE_FIELD,"-5AY","","Per=Y","cols=2;rows=5")</f>
        <v/>
      </c>
      <c r="E62" s="105" t="n"/>
      <c r="G62" s="104">
        <f>BQL($C62,BUYBACK_QUERY,$C$4,"fill=prev","showheaders=f","showids=f")</f>
        <v/>
      </c>
      <c r="H62" s="105" t="n"/>
      <c r="J62" s="104">
        <f>BDH($C62,"PX_LAST","-5AY","","Per=Y","cols=2;rows=5")</f>
        <v/>
      </c>
      <c r="K62" s="106" t="n"/>
    </row>
    <row r="63">
      <c r="D63" s="102" t="n"/>
      <c r="E63" s="105" t="n"/>
      <c r="G63" s="102" t="n"/>
      <c r="H63" s="105" t="n"/>
      <c r="J63" s="102" t="n"/>
      <c r="K63" s="106" t="n"/>
    </row>
    <row r="64">
      <c r="D64" s="102" t="n"/>
      <c r="E64" s="105" t="n"/>
      <c r="G64" s="102" t="n"/>
      <c r="H64" s="105" t="n"/>
      <c r="J64" s="102" t="n"/>
      <c r="K64" s="106" t="n"/>
    </row>
    <row r="65">
      <c r="D65" s="102" t="n"/>
      <c r="E65" s="105" t="n"/>
      <c r="G65" s="102" t="n"/>
      <c r="H65" s="105" t="n"/>
      <c r="J65" s="102" t="n"/>
      <c r="K65" s="106" t="n"/>
    </row>
    <row r="66">
      <c r="D66" s="102" t="n"/>
      <c r="E66" s="105" t="n"/>
      <c r="G66" s="102" t="n"/>
      <c r="H66" s="105" t="n"/>
      <c r="J66" s="102" t="n"/>
      <c r="K66" s="106" t="n"/>
    </row>
    <row r="68">
      <c r="B68" s="2">
        <f>IF(HSI!$C$17="","",HSI!$C$17)</f>
        <v/>
      </c>
      <c r="C68" s="2">
        <f>IF(PULL_FUND="N","",IF(HSI!$C$17="","",HSI!$C$17))</f>
        <v/>
      </c>
      <c r="D68" s="104">
        <f>BDH($C68,NDE_FIELD,"-5AY","","Per=Y","cols=2;rows=5")</f>
        <v/>
      </c>
      <c r="E68" s="105" t="n"/>
      <c r="G68" s="104">
        <f>BQL($C68,BUYBACK_QUERY,$C$4,"fill=prev","showheaders=f","showids=f")</f>
        <v/>
      </c>
      <c r="H68" s="105" t="n"/>
      <c r="J68" s="104">
        <f>BDH($C68,"PX_LAST","-5AY","","Per=Y","cols=2;rows=5")</f>
        <v/>
      </c>
      <c r="K68" s="106" t="n"/>
    </row>
    <row r="69">
      <c r="D69" s="102" t="n"/>
      <c r="E69" s="105" t="n"/>
      <c r="G69" s="102" t="n"/>
      <c r="H69" s="105" t="n"/>
      <c r="J69" s="102" t="n"/>
      <c r="K69" s="106" t="n"/>
    </row>
    <row r="70">
      <c r="D70" s="102" t="n"/>
      <c r="E70" s="105" t="n"/>
      <c r="G70" s="102" t="n"/>
      <c r="H70" s="105" t="n"/>
      <c r="J70" s="102" t="n"/>
      <c r="K70" s="106" t="n"/>
    </row>
    <row r="71">
      <c r="D71" s="102" t="n"/>
      <c r="E71" s="105" t="n"/>
      <c r="G71" s="102" t="n"/>
      <c r="H71" s="105" t="n"/>
      <c r="J71" s="102" t="n"/>
      <c r="K71" s="106" t="n"/>
    </row>
    <row r="72">
      <c r="D72" s="102" t="n"/>
      <c r="E72" s="105" t="n"/>
      <c r="G72" s="102" t="n"/>
      <c r="H72" s="105" t="n"/>
      <c r="J72" s="102" t="n"/>
      <c r="K72" s="106" t="n"/>
    </row>
    <row r="74">
      <c r="B74" s="2">
        <f>IF(HSI!$C$18="","",HSI!$C$18)</f>
        <v/>
      </c>
      <c r="C74" s="2">
        <f>IF(PULL_FUND="N","",IF(HSI!$C$18="","",HSI!$C$18))</f>
        <v/>
      </c>
      <c r="D74" s="104">
        <f>BDH($C74,NDE_FIELD,"-5AY","","Per=Y","cols=2;rows=5")</f>
        <v/>
      </c>
      <c r="E74" s="105" t="n"/>
      <c r="G74" s="104">
        <f>BQL($C74,BUYBACK_QUERY,$C$4,"fill=prev","showheaders=f","showids=f")</f>
        <v/>
      </c>
      <c r="H74" s="105" t="n"/>
      <c r="J74" s="104">
        <f>BDH($C74,"PX_LAST","-5AY","","Per=Y","cols=2;rows=5")</f>
        <v/>
      </c>
      <c r="K74" s="106" t="n"/>
    </row>
    <row r="75">
      <c r="D75" s="102" t="n"/>
      <c r="E75" s="105" t="n"/>
      <c r="G75" s="102" t="n"/>
      <c r="H75" s="105" t="n"/>
      <c r="J75" s="102" t="n"/>
      <c r="K75" s="106" t="n"/>
    </row>
    <row r="76">
      <c r="D76" s="102" t="n"/>
      <c r="E76" s="105" t="n"/>
      <c r="G76" s="102" t="n"/>
      <c r="H76" s="105" t="n"/>
      <c r="J76" s="102" t="n"/>
      <c r="K76" s="106" t="n"/>
    </row>
    <row r="77">
      <c r="D77" s="102" t="n"/>
      <c r="E77" s="105" t="n"/>
      <c r="G77" s="102" t="n"/>
      <c r="H77" s="105" t="n"/>
      <c r="J77" s="102" t="n"/>
      <c r="K77" s="106" t="n"/>
    </row>
    <row r="78">
      <c r="D78" s="102" t="n"/>
      <c r="E78" s="105" t="n"/>
      <c r="G78" s="102" t="n"/>
      <c r="H78" s="105" t="n"/>
      <c r="J78" s="102" t="n"/>
      <c r="K78" s="106" t="n"/>
    </row>
    <row r="80">
      <c r="B80" s="2">
        <f>IF(HSI!$C$19="","",HSI!$C$19)</f>
        <v/>
      </c>
      <c r="C80" s="2">
        <f>IF(PULL_FUND="N","",IF(HSI!$C$19="","",HSI!$C$19))</f>
        <v/>
      </c>
      <c r="D80" s="104">
        <f>BDH($C80,NDE_FIELD,"-5AY","","Per=Y","cols=2;rows=5")</f>
        <v/>
      </c>
      <c r="E80" s="105" t="n"/>
      <c r="G80" s="104">
        <f>BQL($C80,BUYBACK_QUERY,$C$4,"fill=prev","showheaders=f","showids=f")</f>
        <v/>
      </c>
      <c r="H80" s="105" t="n"/>
      <c r="J80" s="104">
        <f>BDH($C80,"PX_LAST","-5AY","","Per=Y","cols=2;rows=5")</f>
        <v/>
      </c>
      <c r="K80" s="106" t="n"/>
    </row>
    <row r="81">
      <c r="D81" s="102" t="n"/>
      <c r="E81" s="105" t="n"/>
      <c r="G81" s="102" t="n"/>
      <c r="H81" s="105" t="n"/>
      <c r="J81" s="102" t="n"/>
      <c r="K81" s="106" t="n"/>
    </row>
    <row r="82">
      <c r="D82" s="102" t="n"/>
      <c r="E82" s="105" t="n"/>
      <c r="G82" s="102" t="n"/>
      <c r="H82" s="105" t="n"/>
      <c r="J82" s="102" t="n"/>
      <c r="K82" s="106" t="n"/>
    </row>
    <row r="83">
      <c r="D83" s="102" t="n"/>
      <c r="E83" s="105" t="n"/>
      <c r="G83" s="102" t="n"/>
      <c r="H83" s="105" t="n"/>
      <c r="J83" s="102" t="n"/>
      <c r="K83" s="106" t="n"/>
    </row>
    <row r="84">
      <c r="D84" s="102" t="n"/>
      <c r="E84" s="105" t="n"/>
      <c r="G84" s="102" t="n"/>
      <c r="H84" s="105" t="n"/>
      <c r="J84" s="102" t="n"/>
      <c r="K84" s="106" t="n"/>
    </row>
    <row r="86">
      <c r="B86" s="2">
        <f>IF(HSI!$C$20="","",HSI!$C$20)</f>
        <v/>
      </c>
      <c r="C86" s="2">
        <f>IF(PULL_FUND="N","",IF(HSI!$C$20="","",HSI!$C$20))</f>
        <v/>
      </c>
      <c r="D86" s="104">
        <f>BDH($C86,NDE_FIELD,"-5AY","","Per=Y","cols=2;rows=5")</f>
        <v/>
      </c>
      <c r="E86" s="105" t="n"/>
      <c r="G86" s="104">
        <f>BQL($C86,BUYBACK_QUERY,$C$4,"fill=prev","showheaders=f","showids=f")</f>
        <v/>
      </c>
      <c r="H86" s="105" t="n"/>
      <c r="J86" s="104">
        <f>BDH($C86,"PX_LAST","-5AY","","Per=Y","cols=2;rows=5")</f>
        <v/>
      </c>
      <c r="K86" s="106" t="n"/>
    </row>
    <row r="87">
      <c r="D87" s="102" t="n"/>
      <c r="E87" s="105" t="n"/>
      <c r="G87" s="102" t="n"/>
      <c r="H87" s="105" t="n"/>
      <c r="J87" s="102" t="n"/>
      <c r="K87" s="106" t="n"/>
    </row>
    <row r="88">
      <c r="D88" s="102" t="n"/>
      <c r="E88" s="105" t="n"/>
      <c r="G88" s="102" t="n"/>
      <c r="H88" s="105" t="n"/>
      <c r="J88" s="102" t="n"/>
      <c r="K88" s="106" t="n"/>
    </row>
    <row r="89">
      <c r="D89" s="102" t="n"/>
      <c r="E89" s="105" t="n"/>
      <c r="G89" s="102" t="n"/>
      <c r="H89" s="105" t="n"/>
      <c r="J89" s="102" t="n"/>
      <c r="K89" s="106" t="n"/>
    </row>
    <row r="90">
      <c r="D90" s="102" t="n"/>
      <c r="E90" s="105" t="n"/>
      <c r="G90" s="102" t="n"/>
      <c r="H90" s="105" t="n"/>
      <c r="J90" s="102" t="n"/>
      <c r="K90" s="106" t="n"/>
    </row>
    <row r="92">
      <c r="B92" s="2">
        <f>IF(HSI!$C$21="","",HSI!$C$21)</f>
        <v/>
      </c>
      <c r="C92" s="2">
        <f>IF(PULL_FUND="N","",IF(HSI!$C$21="","",HSI!$C$21))</f>
        <v/>
      </c>
      <c r="D92" s="104">
        <f>BDH($C92,NDE_FIELD,"-5AY","","Per=Y","cols=2;rows=5")</f>
        <v/>
      </c>
      <c r="E92" s="105" t="n"/>
      <c r="G92" s="104">
        <f>BQL($C92,BUYBACK_QUERY,$C$4,"fill=prev","showheaders=f","showids=f")</f>
        <v/>
      </c>
      <c r="H92" s="105" t="n"/>
      <c r="J92" s="104">
        <f>BDH($C92,"PX_LAST","-5AY","","Per=Y","cols=2;rows=5")</f>
        <v/>
      </c>
      <c r="K92" s="106" t="n"/>
    </row>
    <row r="93">
      <c r="D93" s="102" t="n"/>
      <c r="E93" s="105" t="n"/>
      <c r="G93" s="102" t="n"/>
      <c r="H93" s="105" t="n"/>
      <c r="J93" s="102" t="n"/>
      <c r="K93" s="106" t="n"/>
    </row>
    <row r="94">
      <c r="D94" s="102" t="n"/>
      <c r="E94" s="105" t="n"/>
      <c r="G94" s="102" t="n"/>
      <c r="H94" s="105" t="n"/>
      <c r="J94" s="102" t="n"/>
      <c r="K94" s="106" t="n"/>
    </row>
    <row r="95">
      <c r="D95" s="102" t="n"/>
      <c r="E95" s="105" t="n"/>
      <c r="G95" s="102" t="n"/>
      <c r="H95" s="105" t="n"/>
      <c r="J95" s="102" t="n"/>
      <c r="K95" s="106" t="n"/>
    </row>
    <row r="96">
      <c r="D96" s="102" t="n"/>
      <c r="E96" s="105" t="n"/>
      <c r="G96" s="102" t="n"/>
      <c r="H96" s="105" t="n"/>
      <c r="J96" s="102" t="n"/>
      <c r="K96" s="106" t="n"/>
    </row>
    <row r="98">
      <c r="B98" s="2">
        <f>IF(HSI!$C$22="","",HSI!$C$22)</f>
        <v/>
      </c>
      <c r="C98" s="2">
        <f>IF(PULL_FUND="N","",IF(HSI!$C$22="","",HSI!$C$22))</f>
        <v/>
      </c>
      <c r="D98" s="104">
        <f>BDH($C98,NDE_FIELD,"-5AY","","Per=Y","cols=2;rows=5")</f>
        <v/>
      </c>
      <c r="E98" s="105" t="n"/>
      <c r="G98" s="104">
        <f>BQL($C98,BUYBACK_QUERY,$C$4,"fill=prev","showheaders=f","showids=f")</f>
        <v/>
      </c>
      <c r="H98" s="105" t="n"/>
      <c r="J98" s="104">
        <f>BDH($C98,"PX_LAST","-5AY","","Per=Y","cols=2;rows=5")</f>
        <v/>
      </c>
      <c r="K98" s="106" t="n"/>
    </row>
    <row r="99">
      <c r="D99" s="102" t="n"/>
      <c r="E99" s="105" t="n"/>
      <c r="G99" s="102" t="n"/>
      <c r="H99" s="105" t="n"/>
      <c r="J99" s="102" t="n"/>
      <c r="K99" s="106" t="n"/>
    </row>
    <row r="100">
      <c r="D100" s="102" t="n"/>
      <c r="E100" s="105" t="n"/>
      <c r="G100" s="102" t="n"/>
      <c r="H100" s="105" t="n"/>
      <c r="J100" s="102" t="n"/>
      <c r="K100" s="106" t="n"/>
    </row>
    <row r="101">
      <c r="D101" s="102" t="n"/>
      <c r="E101" s="105" t="n"/>
      <c r="G101" s="102" t="n"/>
      <c r="H101" s="105" t="n"/>
      <c r="J101" s="102" t="n"/>
      <c r="K101" s="106" t="n"/>
    </row>
    <row r="102">
      <c r="D102" s="102" t="n"/>
      <c r="E102" s="105" t="n"/>
      <c r="G102" s="102" t="n"/>
      <c r="H102" s="105" t="n"/>
      <c r="J102" s="102" t="n"/>
      <c r="K102" s="106" t="n"/>
    </row>
    <row r="104">
      <c r="B104" s="2">
        <f>IF(HSI!$C$23="","",HSI!$C$23)</f>
        <v/>
      </c>
      <c r="C104" s="2">
        <f>IF(PULL_FUND="N","",IF(HSI!$C$23="","",HSI!$C$23))</f>
        <v/>
      </c>
      <c r="D104" s="104">
        <f>BDH($C104,NDE_FIELD,"-5AY","","Per=Y","cols=2;rows=5")</f>
        <v/>
      </c>
      <c r="E104" s="105" t="n"/>
      <c r="G104" s="104">
        <f>BQL($C104,BUYBACK_QUERY,$C$4,"fill=prev","showheaders=f","showids=f")</f>
        <v/>
      </c>
      <c r="H104" s="105" t="n"/>
      <c r="J104" s="104">
        <f>BDH($C104,"PX_LAST","-5AY","","Per=Y","cols=2;rows=5")</f>
        <v/>
      </c>
      <c r="K104" s="106" t="n"/>
    </row>
    <row r="105">
      <c r="D105" s="102" t="n"/>
      <c r="E105" s="105" t="n"/>
      <c r="G105" s="102" t="n"/>
      <c r="H105" s="105" t="n"/>
      <c r="J105" s="102" t="n"/>
      <c r="K105" s="106" t="n"/>
    </row>
    <row r="106">
      <c r="D106" s="102" t="n"/>
      <c r="E106" s="105" t="n"/>
      <c r="G106" s="102" t="n"/>
      <c r="H106" s="105" t="n"/>
      <c r="J106" s="102" t="n"/>
      <c r="K106" s="106" t="n"/>
    </row>
    <row r="107">
      <c r="D107" s="102" t="n"/>
      <c r="E107" s="105" t="n"/>
      <c r="G107" s="102" t="n"/>
      <c r="H107" s="105" t="n"/>
      <c r="J107" s="102" t="n"/>
      <c r="K107" s="106" t="n"/>
    </row>
    <row r="108">
      <c r="D108" s="102" t="n"/>
      <c r="E108" s="105" t="n"/>
      <c r="G108" s="102" t="n"/>
      <c r="H108" s="105" t="n"/>
      <c r="J108" s="102" t="n"/>
      <c r="K108" s="106" t="n"/>
    </row>
    <row r="110">
      <c r="B110" s="2">
        <f>IF(HSI!$C$24="","",HSI!$C$24)</f>
        <v/>
      </c>
      <c r="C110" s="2">
        <f>IF(PULL_FUND="N","",IF(HSI!$C$24="","",HSI!$C$24))</f>
        <v/>
      </c>
      <c r="D110" s="104">
        <f>BDH($C110,NDE_FIELD,"-5AY","","Per=Y","cols=2;rows=5")</f>
        <v/>
      </c>
      <c r="E110" s="105" t="n"/>
      <c r="G110" s="104">
        <f>BQL($C110,BUYBACK_QUERY,$C$4,"fill=prev","showheaders=f","showids=f")</f>
        <v/>
      </c>
      <c r="H110" s="105" t="n"/>
      <c r="J110" s="104">
        <f>BDH($C110,"PX_LAST","-5AY","","Per=Y","cols=2;rows=5")</f>
        <v/>
      </c>
      <c r="K110" s="106" t="n"/>
    </row>
    <row r="111">
      <c r="D111" s="102" t="n"/>
      <c r="E111" s="105" t="n"/>
      <c r="G111" s="102" t="n"/>
      <c r="H111" s="105" t="n"/>
      <c r="J111" s="102" t="n"/>
      <c r="K111" s="106" t="n"/>
    </row>
    <row r="112">
      <c r="D112" s="102" t="n"/>
      <c r="E112" s="105" t="n"/>
      <c r="G112" s="102" t="n"/>
      <c r="H112" s="105" t="n"/>
      <c r="J112" s="102" t="n"/>
      <c r="K112" s="106" t="n"/>
    </row>
    <row r="113">
      <c r="D113" s="102" t="n"/>
      <c r="E113" s="105" t="n"/>
      <c r="G113" s="102" t="n"/>
      <c r="H113" s="105" t="n"/>
      <c r="J113" s="102" t="n"/>
      <c r="K113" s="106" t="n"/>
    </row>
    <row r="114">
      <c r="D114" s="102" t="n"/>
      <c r="E114" s="105" t="n"/>
      <c r="G114" s="102" t="n"/>
      <c r="H114" s="105" t="n"/>
      <c r="J114" s="102" t="n"/>
      <c r="K114" s="106" t="n"/>
    </row>
    <row r="116">
      <c r="B116" s="2">
        <f>IF(HSI!$C$25="","",HSI!$C$25)</f>
        <v/>
      </c>
      <c r="C116" s="2">
        <f>IF(PULL_FUND="N","",IF(HSI!$C$25="","",HSI!$C$25))</f>
        <v/>
      </c>
      <c r="D116" s="104">
        <f>BDH($C116,NDE_FIELD,"-5AY","","Per=Y","cols=2;rows=5")</f>
        <v/>
      </c>
      <c r="E116" s="105" t="n"/>
      <c r="G116" s="104">
        <f>BQL($C116,BUYBACK_QUERY,$C$4,"fill=prev","showheaders=f","showids=f")</f>
        <v/>
      </c>
      <c r="H116" s="105" t="n"/>
      <c r="J116" s="104">
        <f>BDH($C116,"PX_LAST","-5AY","","Per=Y","cols=2;rows=5")</f>
        <v/>
      </c>
      <c r="K116" s="106" t="n"/>
    </row>
    <row r="117">
      <c r="D117" s="102" t="n"/>
      <c r="E117" s="105" t="n"/>
      <c r="G117" s="102" t="n"/>
      <c r="H117" s="105" t="n"/>
      <c r="J117" s="102" t="n"/>
      <c r="K117" s="106" t="n"/>
    </row>
    <row r="118">
      <c r="D118" s="102" t="n"/>
      <c r="E118" s="105" t="n"/>
      <c r="G118" s="102" t="n"/>
      <c r="H118" s="105" t="n"/>
      <c r="J118" s="102" t="n"/>
      <c r="K118" s="106" t="n"/>
    </row>
    <row r="119">
      <c r="D119" s="102" t="n"/>
      <c r="E119" s="105" t="n"/>
      <c r="G119" s="102" t="n"/>
      <c r="H119" s="105" t="n"/>
      <c r="J119" s="102" t="n"/>
      <c r="K119" s="106" t="n"/>
    </row>
    <row r="120">
      <c r="D120" s="102" t="n"/>
      <c r="E120" s="105" t="n"/>
      <c r="G120" s="102" t="n"/>
      <c r="H120" s="105" t="n"/>
      <c r="J120" s="102" t="n"/>
      <c r="K120" s="106" t="n"/>
    </row>
    <row r="122">
      <c r="B122" s="2">
        <f>IF(HSI!$C$26="","",HSI!$C$26)</f>
        <v/>
      </c>
      <c r="C122" s="2">
        <f>IF(PULL_FUND="N","",IF(HSI!$C$26="","",HSI!$C$26))</f>
        <v/>
      </c>
      <c r="D122" s="104">
        <f>BDH($C122,NDE_FIELD,"-5AY","","Per=Y","cols=2;rows=5")</f>
        <v/>
      </c>
      <c r="E122" s="105" t="n"/>
      <c r="G122" s="104">
        <f>BQL($C122,BUYBACK_QUERY,$C$4,"fill=prev","showheaders=f","showids=f")</f>
        <v/>
      </c>
      <c r="H122" s="105" t="n"/>
      <c r="J122" s="104">
        <f>BDH($C122,"PX_LAST","-5AY","","Per=Y","cols=2;rows=5")</f>
        <v/>
      </c>
      <c r="K122" s="106" t="n"/>
    </row>
    <row r="123">
      <c r="D123" s="102" t="n"/>
      <c r="E123" s="105" t="n"/>
      <c r="G123" s="102" t="n"/>
      <c r="H123" s="105" t="n"/>
      <c r="J123" s="102" t="n"/>
      <c r="K123" s="106" t="n"/>
    </row>
    <row r="124">
      <c r="D124" s="102" t="n"/>
      <c r="E124" s="105" t="n"/>
      <c r="G124" s="102" t="n"/>
      <c r="H124" s="105" t="n"/>
      <c r="J124" s="102" t="n"/>
      <c r="K124" s="106" t="n"/>
    </row>
    <row r="125">
      <c r="D125" s="102" t="n"/>
      <c r="E125" s="105" t="n"/>
      <c r="G125" s="102" t="n"/>
      <c r="H125" s="105" t="n"/>
      <c r="J125" s="102" t="n"/>
      <c r="K125" s="106" t="n"/>
    </row>
    <row r="126">
      <c r="D126" s="102" t="n"/>
      <c r="E126" s="105" t="n"/>
      <c r="G126" s="102" t="n"/>
      <c r="H126" s="105" t="n"/>
      <c r="J126" s="102" t="n"/>
      <c r="K126" s="106" t="n"/>
    </row>
    <row r="128">
      <c r="B128" s="2">
        <f>IF(HSI!$C$27="","",HSI!$C$27)</f>
        <v/>
      </c>
      <c r="C128" s="2">
        <f>IF(PULL_FUND="N","",IF(HSI!$C$27="","",HSI!$C$27))</f>
        <v/>
      </c>
      <c r="D128" s="104">
        <f>BDH($C128,NDE_FIELD,"-5AY","","Per=Y","cols=2;rows=5")</f>
        <v/>
      </c>
      <c r="E128" s="105" t="n"/>
      <c r="G128" s="104">
        <f>BQL($C128,BUYBACK_QUERY,$C$4,"fill=prev","showheaders=f","showids=f")</f>
        <v/>
      </c>
      <c r="H128" s="105" t="n"/>
      <c r="J128" s="104">
        <f>BDH($C128,"PX_LAST","-5AY","","Per=Y","cols=2;rows=5")</f>
        <v/>
      </c>
      <c r="K128" s="106" t="n"/>
    </row>
    <row r="129">
      <c r="D129" s="102" t="n"/>
      <c r="E129" s="105" t="n"/>
      <c r="G129" s="102" t="n"/>
      <c r="H129" s="105" t="n"/>
      <c r="J129" s="102" t="n"/>
      <c r="K129" s="106" t="n"/>
    </row>
    <row r="130">
      <c r="D130" s="102" t="n"/>
      <c r="E130" s="105" t="n"/>
      <c r="G130" s="102" t="n"/>
      <c r="H130" s="105" t="n"/>
      <c r="J130" s="102" t="n"/>
      <c r="K130" s="106" t="n"/>
    </row>
    <row r="131">
      <c r="D131" s="102" t="n"/>
      <c r="E131" s="105" t="n"/>
      <c r="G131" s="102" t="n"/>
      <c r="H131" s="105" t="n"/>
      <c r="J131" s="102" t="n"/>
      <c r="K131" s="106" t="n"/>
    </row>
    <row r="132">
      <c r="D132" s="102" t="n"/>
      <c r="E132" s="105" t="n"/>
      <c r="G132" s="102" t="n"/>
      <c r="H132" s="105" t="n"/>
      <c r="J132" s="102" t="n"/>
      <c r="K132" s="106" t="n"/>
    </row>
    <row r="134">
      <c r="B134" s="2">
        <f>IF(HSI!$C$28="","",HSI!$C$28)</f>
        <v/>
      </c>
      <c r="C134" s="2">
        <f>IF(PULL_FUND="N","",IF(HSI!$C$28="","",HSI!$C$28))</f>
        <v/>
      </c>
      <c r="D134" s="104">
        <f>BDH($C134,NDE_FIELD,"-5AY","","Per=Y","cols=2;rows=5")</f>
        <v/>
      </c>
      <c r="E134" s="105" t="n"/>
      <c r="G134" s="104">
        <f>BQL($C134,BUYBACK_QUERY,$C$4,"fill=prev","showheaders=f","showids=f")</f>
        <v/>
      </c>
      <c r="H134" s="105" t="n"/>
      <c r="J134" s="104">
        <f>BDH($C134,"PX_LAST","-5AY","","Per=Y","cols=2;rows=5")</f>
        <v/>
      </c>
      <c r="K134" s="106" t="n"/>
    </row>
    <row r="135">
      <c r="D135" s="102" t="n"/>
      <c r="E135" s="105" t="n"/>
      <c r="G135" s="102" t="n"/>
      <c r="H135" s="105" t="n"/>
      <c r="J135" s="102" t="n"/>
      <c r="K135" s="106" t="n"/>
    </row>
    <row r="136">
      <c r="D136" s="102" t="n"/>
      <c r="E136" s="105" t="n"/>
      <c r="G136" s="102" t="n"/>
      <c r="H136" s="105" t="n"/>
      <c r="J136" s="102" t="n"/>
      <c r="K136" s="106" t="n"/>
    </row>
    <row r="137">
      <c r="D137" s="102" t="n"/>
      <c r="E137" s="105" t="n"/>
      <c r="G137" s="102" t="n"/>
      <c r="H137" s="105" t="n"/>
      <c r="J137" s="102" t="n"/>
      <c r="K137" s="106" t="n"/>
    </row>
    <row r="138">
      <c r="D138" s="102" t="n"/>
      <c r="E138" s="105" t="n"/>
      <c r="G138" s="102" t="n"/>
      <c r="H138" s="105" t="n"/>
      <c r="J138" s="102" t="n"/>
      <c r="K138" s="106" t="n"/>
    </row>
    <row r="140">
      <c r="B140" s="2">
        <f>IF(HSI!$C$29="","",HSI!$C$29)</f>
        <v/>
      </c>
      <c r="C140" s="2">
        <f>IF(PULL_FUND="N","",IF(HSI!$C$29="","",HSI!$C$29))</f>
        <v/>
      </c>
      <c r="D140" s="104">
        <f>BDH($C140,NDE_FIELD,"-5AY","","Per=Y","cols=2;rows=5")</f>
        <v/>
      </c>
      <c r="E140" s="105" t="n"/>
      <c r="G140" s="104">
        <f>BQL($C140,BUYBACK_QUERY,$C$4,"fill=prev","showheaders=f","showids=f")</f>
        <v/>
      </c>
      <c r="H140" s="105" t="n"/>
      <c r="J140" s="104">
        <f>BDH($C140,"PX_LAST","-5AY","","Per=Y","cols=2;rows=5")</f>
        <v/>
      </c>
      <c r="K140" s="106" t="n"/>
    </row>
    <row r="141">
      <c r="D141" s="102" t="n"/>
      <c r="E141" s="105" t="n"/>
      <c r="G141" s="102" t="n"/>
      <c r="H141" s="105" t="n"/>
      <c r="J141" s="102" t="n"/>
      <c r="K141" s="106" t="n"/>
    </row>
    <row r="142">
      <c r="D142" s="102" t="n"/>
      <c r="E142" s="105" t="n"/>
      <c r="G142" s="102" t="n"/>
      <c r="H142" s="105" t="n"/>
      <c r="J142" s="102" t="n"/>
      <c r="K142" s="106" t="n"/>
    </row>
    <row r="143">
      <c r="D143" s="102" t="n"/>
      <c r="E143" s="105" t="n"/>
      <c r="G143" s="102" t="n"/>
      <c r="H143" s="105" t="n"/>
      <c r="J143" s="102" t="n"/>
      <c r="K143" s="106" t="n"/>
    </row>
    <row r="144">
      <c r="D144" s="102" t="n"/>
      <c r="E144" s="105" t="n"/>
      <c r="G144" s="102" t="n"/>
      <c r="H144" s="105" t="n"/>
      <c r="J144" s="102" t="n"/>
      <c r="K144" s="106" t="n"/>
    </row>
    <row r="146">
      <c r="B146" s="2">
        <f>IF(HSI!$C$30="","",HSI!$C$30)</f>
        <v/>
      </c>
      <c r="C146" s="2">
        <f>IF(PULL_FUND="N","",IF(HSI!$C$30="","",HSI!$C$30))</f>
        <v/>
      </c>
      <c r="D146" s="104">
        <f>BDH($C146,NDE_FIELD,"-5AY","","Per=Y","cols=2;rows=5")</f>
        <v/>
      </c>
      <c r="E146" s="105" t="n"/>
      <c r="G146" s="104">
        <f>BQL($C146,BUYBACK_QUERY,$C$4,"fill=prev","showheaders=f","showids=f")</f>
        <v/>
      </c>
      <c r="H146" s="105" t="n"/>
      <c r="J146" s="104">
        <f>BDH($C146,"PX_LAST","-5AY","","Per=Y","cols=2;rows=5")</f>
        <v/>
      </c>
      <c r="K146" s="106" t="n"/>
    </row>
    <row r="147">
      <c r="D147" s="102" t="n"/>
      <c r="E147" s="105" t="n"/>
      <c r="G147" s="102" t="n"/>
      <c r="H147" s="105" t="n"/>
      <c r="J147" s="102" t="n"/>
      <c r="K147" s="106" t="n"/>
    </row>
    <row r="148">
      <c r="D148" s="102" t="n"/>
      <c r="E148" s="105" t="n"/>
      <c r="G148" s="102" t="n"/>
      <c r="H148" s="105" t="n"/>
      <c r="J148" s="102" t="n"/>
      <c r="K148" s="106" t="n"/>
    </row>
    <row r="149">
      <c r="D149" s="102" t="n"/>
      <c r="E149" s="105" t="n"/>
      <c r="G149" s="102" t="n"/>
      <c r="H149" s="105" t="n"/>
      <c r="J149" s="102" t="n"/>
      <c r="K149" s="106" t="n"/>
    </row>
    <row r="150">
      <c r="D150" s="102" t="n"/>
      <c r="E150" s="105" t="n"/>
      <c r="G150" s="102" t="n"/>
      <c r="H150" s="105" t="n"/>
      <c r="J150" s="102" t="n"/>
      <c r="K150" s="106" t="n"/>
    </row>
    <row r="152">
      <c r="B152" s="2">
        <f>IF(HSI!$C$31="","",HSI!$C$31)</f>
        <v/>
      </c>
      <c r="C152" s="2">
        <f>IF(PULL_FUND="N","",IF(HSI!$C$31="","",HSI!$C$31))</f>
        <v/>
      </c>
      <c r="D152" s="104">
        <f>BDH($C152,NDE_FIELD,"-5AY","","Per=Y","cols=2;rows=5")</f>
        <v/>
      </c>
      <c r="E152" s="105" t="n"/>
      <c r="G152" s="104">
        <f>BQL($C152,BUYBACK_QUERY,$C$4,"fill=prev","showheaders=f","showids=f")</f>
        <v/>
      </c>
      <c r="H152" s="105" t="n"/>
      <c r="J152" s="104">
        <f>BDH($C152,"PX_LAST","-5AY","","Per=Y","cols=2;rows=5")</f>
        <v/>
      </c>
      <c r="K152" s="106" t="n"/>
    </row>
    <row r="153">
      <c r="D153" s="102" t="n"/>
      <c r="E153" s="105" t="n"/>
      <c r="G153" s="102" t="n"/>
      <c r="H153" s="105" t="n"/>
      <c r="J153" s="102" t="n"/>
      <c r="K153" s="106" t="n"/>
    </row>
    <row r="154">
      <c r="D154" s="102" t="n"/>
      <c r="E154" s="105" t="n"/>
      <c r="G154" s="102" t="n"/>
      <c r="H154" s="105" t="n"/>
      <c r="J154" s="102" t="n"/>
      <c r="K154" s="106" t="n"/>
    </row>
    <row r="155">
      <c r="D155" s="102" t="n"/>
      <c r="E155" s="105" t="n"/>
      <c r="G155" s="102" t="n"/>
      <c r="H155" s="105" t="n"/>
      <c r="J155" s="102" t="n"/>
      <c r="K155" s="106" t="n"/>
    </row>
    <row r="156">
      <c r="D156" s="102" t="n"/>
      <c r="E156" s="105" t="n"/>
      <c r="G156" s="102" t="n"/>
      <c r="H156" s="105" t="n"/>
      <c r="J156" s="102" t="n"/>
      <c r="K156" s="106" t="n"/>
    </row>
    <row r="158">
      <c r="B158" s="2">
        <f>IF(HSI!$C$32="","",HSI!$C$32)</f>
        <v/>
      </c>
      <c r="C158" s="2">
        <f>IF(PULL_FUND="N","",IF(HSI!$C$32="","",HSI!$C$32))</f>
        <v/>
      </c>
      <c r="D158" s="104">
        <f>BDH($C158,NDE_FIELD,"-5AY","","Per=Y","cols=2;rows=5")</f>
        <v/>
      </c>
      <c r="E158" s="105" t="n"/>
      <c r="G158" s="104">
        <f>BQL($C158,BUYBACK_QUERY,$C$4,"fill=prev","showheaders=f","showids=f")</f>
        <v/>
      </c>
      <c r="H158" s="105" t="n"/>
      <c r="J158" s="104">
        <f>BDH($C158,"PX_LAST","-5AY","","Per=Y","cols=2;rows=5")</f>
        <v/>
      </c>
      <c r="K158" s="106" t="n"/>
    </row>
    <row r="159">
      <c r="D159" s="102" t="n"/>
      <c r="E159" s="105" t="n"/>
      <c r="G159" s="102" t="n"/>
      <c r="H159" s="105" t="n"/>
      <c r="J159" s="102" t="n"/>
      <c r="K159" s="106" t="n"/>
    </row>
    <row r="160">
      <c r="D160" s="102" t="n"/>
      <c r="E160" s="105" t="n"/>
      <c r="G160" s="102" t="n"/>
      <c r="H160" s="105" t="n"/>
      <c r="J160" s="102" t="n"/>
      <c r="K160" s="106" t="n"/>
    </row>
    <row r="161">
      <c r="D161" s="102" t="n"/>
      <c r="E161" s="105" t="n"/>
      <c r="G161" s="102" t="n"/>
      <c r="H161" s="105" t="n"/>
      <c r="J161" s="102" t="n"/>
      <c r="K161" s="106" t="n"/>
    </row>
    <row r="162">
      <c r="D162" s="102" t="n"/>
      <c r="E162" s="105" t="n"/>
      <c r="G162" s="102" t="n"/>
      <c r="H162" s="105" t="n"/>
      <c r="J162" s="102" t="n"/>
      <c r="K162" s="106" t="n"/>
    </row>
    <row r="164">
      <c r="B164" s="2">
        <f>IF(HSI!$C$33="","",HSI!$C$33)</f>
        <v/>
      </c>
      <c r="C164" s="2">
        <f>IF(PULL_FUND="N","",IF(HSI!$C$33="","",HSI!$C$33))</f>
        <v/>
      </c>
      <c r="D164" s="104">
        <f>BDH($C164,NDE_FIELD,"-5AY","","Per=Y","cols=2;rows=5")</f>
        <v/>
      </c>
      <c r="E164" s="105" t="n"/>
      <c r="G164" s="104">
        <f>BQL($C164,BUYBACK_QUERY,$C$4,"fill=prev","showheaders=f","showids=f")</f>
        <v/>
      </c>
      <c r="H164" s="105" t="n"/>
      <c r="J164" s="104">
        <f>BDH($C164,"PX_LAST","-5AY","","Per=Y","cols=2;rows=5")</f>
        <v/>
      </c>
      <c r="K164" s="106" t="n"/>
    </row>
    <row r="165">
      <c r="D165" s="102" t="n"/>
      <c r="E165" s="105" t="n"/>
      <c r="G165" s="102" t="n"/>
      <c r="H165" s="105" t="n"/>
      <c r="J165" s="102" t="n"/>
      <c r="K165" s="106" t="n"/>
    </row>
    <row r="166">
      <c r="D166" s="102" t="n"/>
      <c r="E166" s="105" t="n"/>
      <c r="G166" s="102" t="n"/>
      <c r="H166" s="105" t="n"/>
      <c r="J166" s="102" t="n"/>
      <c r="K166" s="106" t="n"/>
    </row>
    <row r="167">
      <c r="D167" s="102" t="n"/>
      <c r="E167" s="105" t="n"/>
      <c r="G167" s="102" t="n"/>
      <c r="H167" s="105" t="n"/>
      <c r="J167" s="102" t="n"/>
      <c r="K167" s="106" t="n"/>
    </row>
    <row r="168">
      <c r="D168" s="102" t="n"/>
      <c r="E168" s="105" t="n"/>
      <c r="G168" s="102" t="n"/>
      <c r="H168" s="105" t="n"/>
      <c r="J168" s="102" t="n"/>
      <c r="K168" s="106" t="n"/>
    </row>
    <row r="170">
      <c r="B170" s="2">
        <f>IF(HSI!$C$34="","",HSI!$C$34)</f>
        <v/>
      </c>
      <c r="C170" s="2">
        <f>IF(PULL_FUND="N","",IF(HSI!$C$34="","",HSI!$C$34))</f>
        <v/>
      </c>
      <c r="D170" s="104">
        <f>BDH($C170,NDE_FIELD,"-5AY","","Per=Y","cols=2;rows=5")</f>
        <v/>
      </c>
      <c r="E170" s="105" t="n"/>
      <c r="G170" s="104">
        <f>BQL($C170,BUYBACK_QUERY,$C$4,"fill=prev","showheaders=f","showids=f")</f>
        <v/>
      </c>
      <c r="H170" s="105" t="n"/>
      <c r="J170" s="104">
        <f>BDH($C170,"PX_LAST","-5AY","","Per=Y","cols=2;rows=5")</f>
        <v/>
      </c>
      <c r="K170" s="106" t="n"/>
    </row>
    <row r="171">
      <c r="D171" s="102" t="n"/>
      <c r="E171" s="105" t="n"/>
      <c r="G171" s="102" t="n"/>
      <c r="H171" s="105" t="n"/>
      <c r="J171" s="102" t="n"/>
      <c r="K171" s="106" t="n"/>
    </row>
    <row r="172">
      <c r="D172" s="102" t="n"/>
      <c r="E172" s="105" t="n"/>
      <c r="G172" s="102" t="n"/>
      <c r="H172" s="105" t="n"/>
      <c r="J172" s="102" t="n"/>
      <c r="K172" s="106" t="n"/>
    </row>
    <row r="173">
      <c r="D173" s="102" t="n"/>
      <c r="E173" s="105" t="n"/>
      <c r="G173" s="102" t="n"/>
      <c r="H173" s="105" t="n"/>
      <c r="J173" s="102" t="n"/>
      <c r="K173" s="106" t="n"/>
    </row>
    <row r="174">
      <c r="D174" s="102" t="n"/>
      <c r="E174" s="105" t="n"/>
      <c r="G174" s="102" t="n"/>
      <c r="H174" s="105" t="n"/>
      <c r="J174" s="102" t="n"/>
      <c r="K174" s="106" t="n"/>
    </row>
    <row r="176">
      <c r="B176" s="2">
        <f>IF(HSI!$C$35="","",HSI!$C$35)</f>
        <v/>
      </c>
      <c r="C176" s="2">
        <f>IF(PULL_FUND="N","",IF(HSI!$C$35="","",HSI!$C$35))</f>
        <v/>
      </c>
      <c r="D176" s="104">
        <f>BDH($C176,NDE_FIELD,"-5AY","","Per=Y","cols=2;rows=5")</f>
        <v/>
      </c>
      <c r="E176" s="105" t="n"/>
      <c r="G176" s="104">
        <f>BQL($C176,BUYBACK_QUERY,$C$4,"fill=prev","showheaders=f","showids=f")</f>
        <v/>
      </c>
      <c r="H176" s="105" t="n"/>
      <c r="J176" s="104">
        <f>BDH($C176,"PX_LAST","-5AY","","Per=Y","cols=2;rows=5")</f>
        <v/>
      </c>
      <c r="K176" s="106" t="n"/>
    </row>
    <row r="177">
      <c r="D177" s="102" t="n"/>
      <c r="E177" s="105" t="n"/>
      <c r="G177" s="102" t="n"/>
      <c r="H177" s="105" t="n"/>
      <c r="J177" s="102" t="n"/>
      <c r="K177" s="106" t="n"/>
    </row>
    <row r="178">
      <c r="D178" s="102" t="n"/>
      <c r="E178" s="105" t="n"/>
      <c r="G178" s="102" t="n"/>
      <c r="H178" s="105" t="n"/>
      <c r="J178" s="102" t="n"/>
      <c r="K178" s="106" t="n"/>
    </row>
    <row r="179">
      <c r="D179" s="102" t="n"/>
      <c r="E179" s="105" t="n"/>
      <c r="G179" s="102" t="n"/>
      <c r="H179" s="105" t="n"/>
      <c r="J179" s="102" t="n"/>
      <c r="K179" s="106" t="n"/>
    </row>
    <row r="180">
      <c r="D180" s="102" t="n"/>
      <c r="E180" s="105" t="n"/>
      <c r="G180" s="102" t="n"/>
      <c r="H180" s="105" t="n"/>
      <c r="J180" s="102" t="n"/>
      <c r="K180" s="106" t="n"/>
    </row>
    <row r="182">
      <c r="B182" s="2">
        <f>IF(HSI!$C$36="","",HSI!$C$36)</f>
        <v/>
      </c>
      <c r="C182" s="2">
        <f>IF(PULL_FUND="N","",IF(HSI!$C$36="","",HSI!$C$36))</f>
        <v/>
      </c>
      <c r="D182" s="104">
        <f>BDH($C182,NDE_FIELD,"-5AY","","Per=Y","cols=2;rows=5")</f>
        <v/>
      </c>
      <c r="E182" s="105" t="n"/>
      <c r="G182" s="104">
        <f>BQL($C182,BUYBACK_QUERY,$C$4,"fill=prev","showheaders=f","showids=f")</f>
        <v/>
      </c>
      <c r="H182" s="105" t="n"/>
      <c r="J182" s="104">
        <f>BDH($C182,"PX_LAST","-5AY","","Per=Y","cols=2;rows=5")</f>
        <v/>
      </c>
      <c r="K182" s="106" t="n"/>
    </row>
    <row r="183">
      <c r="D183" s="102" t="n"/>
      <c r="E183" s="105" t="n"/>
      <c r="G183" s="102" t="n"/>
      <c r="H183" s="105" t="n"/>
      <c r="J183" s="102" t="n"/>
      <c r="K183" s="106" t="n"/>
    </row>
    <row r="184">
      <c r="D184" s="102" t="n"/>
      <c r="E184" s="105" t="n"/>
      <c r="G184" s="102" t="n"/>
      <c r="H184" s="105" t="n"/>
      <c r="J184" s="102" t="n"/>
      <c r="K184" s="106" t="n"/>
    </row>
    <row r="185">
      <c r="D185" s="102" t="n"/>
      <c r="E185" s="105" t="n"/>
      <c r="G185" s="102" t="n"/>
      <c r="H185" s="105" t="n"/>
      <c r="J185" s="102" t="n"/>
      <c r="K185" s="106" t="n"/>
    </row>
    <row r="186">
      <c r="D186" s="102" t="n"/>
      <c r="E186" s="105" t="n"/>
      <c r="G186" s="102" t="n"/>
      <c r="H186" s="105" t="n"/>
      <c r="J186" s="102" t="n"/>
      <c r="K186" s="106" t="n"/>
    </row>
    <row r="188">
      <c r="B188" s="2">
        <f>IF(HSI!$C$37="","",HSI!$C$37)</f>
        <v/>
      </c>
      <c r="C188" s="2">
        <f>IF(PULL_FUND="N","",IF(HSI!$C$37="","",HSI!$C$37))</f>
        <v/>
      </c>
      <c r="D188" s="104">
        <f>BDH($C188,NDE_FIELD,"-5AY","","Per=Y","cols=2;rows=5")</f>
        <v/>
      </c>
      <c r="E188" s="105" t="n"/>
      <c r="G188" s="104">
        <f>BQL($C188,BUYBACK_QUERY,$C$4,"fill=prev","showheaders=f","showids=f")</f>
        <v/>
      </c>
      <c r="H188" s="105" t="n"/>
      <c r="J188" s="104">
        <f>BDH($C188,"PX_LAST","-5AY","","Per=Y","cols=2;rows=5")</f>
        <v/>
      </c>
      <c r="K188" s="106" t="n"/>
    </row>
    <row r="189">
      <c r="D189" s="102" t="n"/>
      <c r="E189" s="105" t="n"/>
      <c r="G189" s="102" t="n"/>
      <c r="H189" s="105" t="n"/>
      <c r="J189" s="102" t="n"/>
      <c r="K189" s="106" t="n"/>
    </row>
    <row r="190">
      <c r="D190" s="102" t="n"/>
      <c r="E190" s="105" t="n"/>
      <c r="G190" s="102" t="n"/>
      <c r="H190" s="105" t="n"/>
      <c r="J190" s="102" t="n"/>
      <c r="K190" s="106" t="n"/>
    </row>
    <row r="191">
      <c r="D191" s="102" t="n"/>
      <c r="E191" s="105" t="n"/>
      <c r="G191" s="102" t="n"/>
      <c r="H191" s="105" t="n"/>
      <c r="J191" s="102" t="n"/>
      <c r="K191" s="106" t="n"/>
    </row>
    <row r="192">
      <c r="D192" s="102" t="n"/>
      <c r="E192" s="105" t="n"/>
      <c r="G192" s="102" t="n"/>
      <c r="H192" s="105" t="n"/>
      <c r="J192" s="102" t="n"/>
      <c r="K192" s="106" t="n"/>
    </row>
    <row r="194">
      <c r="B194" s="2">
        <f>IF(HSI!$C$38="","",HSI!$C$38)</f>
        <v/>
      </c>
      <c r="C194" s="2">
        <f>IF(PULL_FUND="N","",IF(HSI!$C$38="","",HSI!$C$38))</f>
        <v/>
      </c>
      <c r="D194" s="104">
        <f>BDH($C194,NDE_FIELD,"-5AY","","Per=Y","cols=2;rows=5")</f>
        <v/>
      </c>
      <c r="E194" s="105" t="n"/>
      <c r="G194" s="104">
        <f>BQL($C194,BUYBACK_QUERY,$C$4,"fill=prev","showheaders=f","showids=f")</f>
        <v/>
      </c>
      <c r="H194" s="105" t="n"/>
      <c r="J194" s="104">
        <f>BDH($C194,"PX_LAST","-5AY","","Per=Y","cols=2;rows=5")</f>
        <v/>
      </c>
      <c r="K194" s="106" t="n"/>
    </row>
    <row r="195">
      <c r="D195" s="102" t="n"/>
      <c r="E195" s="105" t="n"/>
      <c r="G195" s="102" t="n"/>
      <c r="H195" s="105" t="n"/>
      <c r="J195" s="102" t="n"/>
      <c r="K195" s="106" t="n"/>
    </row>
    <row r="196">
      <c r="D196" s="102" t="n"/>
      <c r="E196" s="105" t="n"/>
      <c r="G196" s="102" t="n"/>
      <c r="H196" s="105" t="n"/>
      <c r="J196" s="102" t="n"/>
      <c r="K196" s="106" t="n"/>
    </row>
    <row r="197">
      <c r="D197" s="102" t="n"/>
      <c r="E197" s="105" t="n"/>
      <c r="G197" s="102" t="n"/>
      <c r="H197" s="105" t="n"/>
      <c r="J197" s="102" t="n"/>
      <c r="K197" s="106" t="n"/>
    </row>
    <row r="198">
      <c r="D198" s="102" t="n"/>
      <c r="E198" s="105" t="n"/>
      <c r="G198" s="102" t="n"/>
      <c r="H198" s="105" t="n"/>
      <c r="J198" s="102" t="n"/>
      <c r="K198" s="106" t="n"/>
    </row>
    <row r="200">
      <c r="B200" s="2">
        <f>IF(HSI!$C$39="","",HSI!$C$39)</f>
        <v/>
      </c>
      <c r="C200" s="2">
        <f>IF(PULL_FUND="N","",IF(HSI!$C$39="","",HSI!$C$39))</f>
        <v/>
      </c>
      <c r="D200" s="104">
        <f>BDH($C200,NDE_FIELD,"-5AY","","Per=Y","cols=2;rows=5")</f>
        <v/>
      </c>
      <c r="E200" s="105" t="n"/>
      <c r="G200" s="104">
        <f>BQL($C200,BUYBACK_QUERY,$C$4,"fill=prev","showheaders=f","showids=f")</f>
        <v/>
      </c>
      <c r="H200" s="105" t="n"/>
      <c r="J200" s="104">
        <f>BDH($C200,"PX_LAST","-5AY","","Per=Y","cols=2;rows=5")</f>
        <v/>
      </c>
      <c r="K200" s="106" t="n"/>
    </row>
    <row r="201">
      <c r="D201" s="102" t="n"/>
      <c r="E201" s="105" t="n"/>
      <c r="G201" s="102" t="n"/>
      <c r="H201" s="105" t="n"/>
      <c r="J201" s="102" t="n"/>
      <c r="K201" s="106" t="n"/>
    </row>
    <row r="202">
      <c r="D202" s="102" t="n"/>
      <c r="E202" s="105" t="n"/>
      <c r="G202" s="102" t="n"/>
      <c r="H202" s="105" t="n"/>
      <c r="J202" s="102" t="n"/>
      <c r="K202" s="106" t="n"/>
    </row>
    <row r="203">
      <c r="D203" s="102" t="n"/>
      <c r="E203" s="105" t="n"/>
      <c r="G203" s="102" t="n"/>
      <c r="H203" s="105" t="n"/>
      <c r="J203" s="102" t="n"/>
      <c r="K203" s="106" t="n"/>
    </row>
    <row r="204">
      <c r="D204" s="102" t="n"/>
      <c r="E204" s="105" t="n"/>
      <c r="G204" s="102" t="n"/>
      <c r="H204" s="105" t="n"/>
      <c r="J204" s="102" t="n"/>
      <c r="K204" s="106" t="n"/>
    </row>
    <row r="206">
      <c r="B206" s="2">
        <f>IF(HSI!$C$40="","",HSI!$C$40)</f>
        <v/>
      </c>
      <c r="C206" s="2">
        <f>IF(PULL_FUND="N","",IF(HSI!$C$40="","",HSI!$C$40))</f>
        <v/>
      </c>
      <c r="D206" s="104">
        <f>BDH($C206,NDE_FIELD,"-5AY","","Per=Y","cols=2;rows=5")</f>
        <v/>
      </c>
      <c r="E206" s="105" t="n"/>
      <c r="G206" s="104">
        <f>BQL($C206,BUYBACK_QUERY,$C$4,"fill=prev","showheaders=f","showids=f")</f>
        <v/>
      </c>
      <c r="H206" s="105" t="n"/>
      <c r="J206" s="104">
        <f>BDH($C206,"PX_LAST","-5AY","","Per=Y","cols=2;rows=5")</f>
        <v/>
      </c>
      <c r="K206" s="106" t="n"/>
    </row>
    <row r="207">
      <c r="D207" s="102" t="n"/>
      <c r="E207" s="105" t="n"/>
      <c r="G207" s="102" t="n"/>
      <c r="H207" s="105" t="n"/>
      <c r="J207" s="102" t="n"/>
      <c r="K207" s="106" t="n"/>
    </row>
    <row r="208">
      <c r="D208" s="102" t="n"/>
      <c r="E208" s="105" t="n"/>
      <c r="G208" s="102" t="n"/>
      <c r="H208" s="105" t="n"/>
      <c r="J208" s="102" t="n"/>
      <c r="K208" s="106" t="n"/>
    </row>
    <row r="209">
      <c r="D209" s="102" t="n"/>
      <c r="E209" s="105" t="n"/>
      <c r="G209" s="102" t="n"/>
      <c r="H209" s="105" t="n"/>
      <c r="J209" s="102" t="n"/>
      <c r="K209" s="106" t="n"/>
    </row>
    <row r="210">
      <c r="D210" s="102" t="n"/>
      <c r="E210" s="105" t="n"/>
      <c r="G210" s="102" t="n"/>
      <c r="H210" s="105" t="n"/>
      <c r="J210" s="102" t="n"/>
      <c r="K210" s="106" t="n"/>
    </row>
    <row r="212">
      <c r="B212" s="2">
        <f>IF(HSI!$C$41="","",HSI!$C$41)</f>
        <v/>
      </c>
      <c r="C212" s="2">
        <f>IF(PULL_FUND="N","",IF(HSI!$C$41="","",HSI!$C$41))</f>
        <v/>
      </c>
      <c r="D212" s="104">
        <f>BDH($C212,NDE_FIELD,"-5AY","","Per=Y","cols=2;rows=5")</f>
        <v/>
      </c>
      <c r="E212" s="105" t="n"/>
      <c r="G212" s="104">
        <f>BQL($C212,BUYBACK_QUERY,$C$4,"fill=prev","showheaders=f","showids=f")</f>
        <v/>
      </c>
      <c r="H212" s="105" t="n"/>
      <c r="J212" s="104">
        <f>BDH($C212,"PX_LAST","-5AY","","Per=Y","cols=2;rows=5")</f>
        <v/>
      </c>
      <c r="K212" s="106" t="n"/>
    </row>
    <row r="213">
      <c r="D213" s="102" t="n"/>
      <c r="E213" s="105" t="n"/>
      <c r="G213" s="102" t="n"/>
      <c r="H213" s="105" t="n"/>
      <c r="J213" s="102" t="n"/>
      <c r="K213" s="106" t="n"/>
    </row>
    <row r="214">
      <c r="D214" s="102" t="n"/>
      <c r="E214" s="105" t="n"/>
      <c r="G214" s="102" t="n"/>
      <c r="H214" s="105" t="n"/>
      <c r="J214" s="102" t="n"/>
      <c r="K214" s="106" t="n"/>
    </row>
    <row r="215">
      <c r="D215" s="102" t="n"/>
      <c r="E215" s="105" t="n"/>
      <c r="G215" s="102" t="n"/>
      <c r="H215" s="105" t="n"/>
      <c r="J215" s="102" t="n"/>
      <c r="K215" s="106" t="n"/>
    </row>
    <row r="216">
      <c r="D216" s="102" t="n"/>
      <c r="E216" s="105" t="n"/>
      <c r="G216" s="102" t="n"/>
      <c r="H216" s="105" t="n"/>
      <c r="J216" s="102" t="n"/>
      <c r="K216" s="106" t="n"/>
    </row>
    <row r="218">
      <c r="B218" s="2">
        <f>IF(HSI!$C$42="","",HSI!$C$42)</f>
        <v/>
      </c>
      <c r="C218" s="2">
        <f>IF(PULL_FUND="N","",IF(HSI!$C$42="","",HSI!$C$42))</f>
        <v/>
      </c>
      <c r="D218" s="104">
        <f>BDH($C218,NDE_FIELD,"-5AY","","Per=Y","cols=2;rows=5")</f>
        <v/>
      </c>
      <c r="E218" s="105" t="n"/>
      <c r="G218" s="104">
        <f>BQL($C218,BUYBACK_QUERY,$C$4,"fill=prev","showheaders=f","showids=f")</f>
        <v/>
      </c>
      <c r="H218" s="105" t="n"/>
      <c r="J218" s="104">
        <f>BDH($C218,"PX_LAST","-5AY","","Per=Y","cols=2;rows=5")</f>
        <v/>
      </c>
      <c r="K218" s="106" t="n"/>
    </row>
    <row r="219">
      <c r="D219" s="102" t="n"/>
      <c r="E219" s="105" t="n"/>
      <c r="G219" s="102" t="n"/>
      <c r="H219" s="105" t="n"/>
      <c r="J219" s="102" t="n"/>
      <c r="K219" s="106" t="n"/>
    </row>
    <row r="220">
      <c r="D220" s="102" t="n"/>
      <c r="E220" s="105" t="n"/>
      <c r="G220" s="102" t="n"/>
      <c r="H220" s="105" t="n"/>
      <c r="J220" s="102" t="n"/>
      <c r="K220" s="106" t="n"/>
    </row>
    <row r="221">
      <c r="D221" s="102" t="n"/>
      <c r="E221" s="105" t="n"/>
      <c r="G221" s="102" t="n"/>
      <c r="H221" s="105" t="n"/>
      <c r="J221" s="102" t="n"/>
      <c r="K221" s="106" t="n"/>
    </row>
    <row r="222">
      <c r="D222" s="102" t="n"/>
      <c r="E222" s="105" t="n"/>
      <c r="G222" s="102" t="n"/>
      <c r="H222" s="105" t="n"/>
      <c r="J222" s="102" t="n"/>
      <c r="K222" s="106" t="n"/>
    </row>
    <row r="224">
      <c r="B224" s="2">
        <f>IF(HSI!$C$43="","",HSI!$C$43)</f>
        <v/>
      </c>
      <c r="C224" s="2">
        <f>IF(PULL_FUND="N","",IF(HSI!$C$43="","",HSI!$C$43))</f>
        <v/>
      </c>
      <c r="D224" s="104">
        <f>BDH($C224,NDE_FIELD,"-5AY","","Per=Y","cols=2;rows=5")</f>
        <v/>
      </c>
      <c r="E224" s="105" t="n"/>
      <c r="G224" s="104">
        <f>BQL($C224,BUYBACK_QUERY,$C$4,"fill=prev","showheaders=f","showids=f")</f>
        <v/>
      </c>
      <c r="H224" s="105" t="n"/>
      <c r="J224" s="104">
        <f>BDH($C224,"PX_LAST","-5AY","","Per=Y","cols=2;rows=5")</f>
        <v/>
      </c>
      <c r="K224" s="106" t="n"/>
    </row>
    <row r="225">
      <c r="D225" s="102" t="n"/>
      <c r="E225" s="105" t="n"/>
      <c r="G225" s="102" t="n"/>
      <c r="H225" s="105" t="n"/>
      <c r="J225" s="102" t="n"/>
      <c r="K225" s="106" t="n"/>
    </row>
    <row r="226">
      <c r="D226" s="102" t="n"/>
      <c r="E226" s="105" t="n"/>
      <c r="G226" s="102" t="n"/>
      <c r="H226" s="105" t="n"/>
      <c r="J226" s="102" t="n"/>
      <c r="K226" s="106" t="n"/>
    </row>
    <row r="227">
      <c r="D227" s="102" t="n"/>
      <c r="E227" s="105" t="n"/>
      <c r="G227" s="102" t="n"/>
      <c r="H227" s="105" t="n"/>
      <c r="J227" s="102" t="n"/>
      <c r="K227" s="106" t="n"/>
    </row>
    <row r="228">
      <c r="D228" s="102" t="n"/>
      <c r="E228" s="105" t="n"/>
      <c r="G228" s="102" t="n"/>
      <c r="H228" s="105" t="n"/>
      <c r="J228" s="102" t="n"/>
      <c r="K228" s="106" t="n"/>
    </row>
    <row r="230">
      <c r="B230" s="2">
        <f>IF(HSI!$C$44="","",HSI!$C$44)</f>
        <v/>
      </c>
      <c r="C230" s="2">
        <f>IF(PULL_FUND="N","",IF(HSI!$C$44="","",HSI!$C$44))</f>
        <v/>
      </c>
      <c r="D230" s="104">
        <f>BDH($C230,NDE_FIELD,"-5AY","","Per=Y","cols=2;rows=5")</f>
        <v/>
      </c>
      <c r="E230" s="105" t="n"/>
      <c r="G230" s="104">
        <f>BQL($C230,BUYBACK_QUERY,$C$4,"fill=prev","showheaders=f","showids=f")</f>
        <v/>
      </c>
      <c r="H230" s="105" t="n"/>
      <c r="J230" s="104">
        <f>BDH($C230,"PX_LAST","-5AY","","Per=Y","cols=2;rows=5")</f>
        <v/>
      </c>
      <c r="K230" s="106" t="n"/>
    </row>
    <row r="231">
      <c r="D231" s="102" t="n"/>
      <c r="E231" s="105" t="n"/>
      <c r="G231" s="102" t="n"/>
      <c r="H231" s="105" t="n"/>
      <c r="J231" s="102" t="n"/>
      <c r="K231" s="106" t="n"/>
    </row>
    <row r="232">
      <c r="D232" s="102" t="n"/>
      <c r="E232" s="105" t="n"/>
      <c r="G232" s="102" t="n"/>
      <c r="H232" s="105" t="n"/>
      <c r="J232" s="102" t="n"/>
      <c r="K232" s="106" t="n"/>
    </row>
    <row r="233">
      <c r="D233" s="102" t="n"/>
      <c r="E233" s="105" t="n"/>
      <c r="G233" s="102" t="n"/>
      <c r="H233" s="105" t="n"/>
      <c r="J233" s="102" t="n"/>
      <c r="K233" s="106" t="n"/>
    </row>
    <row r="234">
      <c r="D234" s="102" t="n"/>
      <c r="E234" s="105" t="n"/>
      <c r="G234" s="102" t="n"/>
      <c r="H234" s="105" t="n"/>
      <c r="J234" s="102" t="n"/>
      <c r="K234" s="106" t="n"/>
    </row>
    <row r="236">
      <c r="B236" s="2">
        <f>IF(HSI!$C$45="","",HSI!$C$45)</f>
        <v/>
      </c>
      <c r="C236" s="2">
        <f>IF(PULL_FUND="N","",IF(HSI!$C$45="","",HSI!$C$45))</f>
        <v/>
      </c>
      <c r="D236" s="104">
        <f>BDH($C236,NDE_FIELD,"-5AY","","Per=Y","cols=2;rows=5")</f>
        <v/>
      </c>
      <c r="E236" s="105" t="n"/>
      <c r="G236" s="104">
        <f>BQL($C236,BUYBACK_QUERY,$C$4,"fill=prev","showheaders=f","showids=f")</f>
        <v/>
      </c>
      <c r="H236" s="105" t="n"/>
      <c r="J236" s="104">
        <f>BDH($C236,"PX_LAST","-5AY","","Per=Y","cols=2;rows=5")</f>
        <v/>
      </c>
      <c r="K236" s="106" t="n"/>
    </row>
    <row r="237">
      <c r="D237" s="102" t="n"/>
      <c r="E237" s="105" t="n"/>
      <c r="G237" s="102" t="n"/>
      <c r="H237" s="105" t="n"/>
      <c r="J237" s="102" t="n"/>
      <c r="K237" s="106" t="n"/>
    </row>
    <row r="238">
      <c r="D238" s="102" t="n"/>
      <c r="E238" s="105" t="n"/>
      <c r="G238" s="102" t="n"/>
      <c r="H238" s="105" t="n"/>
      <c r="J238" s="102" t="n"/>
      <c r="K238" s="106" t="n"/>
    </row>
    <row r="239">
      <c r="D239" s="102" t="n"/>
      <c r="E239" s="105" t="n"/>
      <c r="G239" s="102" t="n"/>
      <c r="H239" s="105" t="n"/>
      <c r="J239" s="102" t="n"/>
      <c r="K239" s="106" t="n"/>
    </row>
    <row r="240">
      <c r="D240" s="102" t="n"/>
      <c r="E240" s="105" t="n"/>
      <c r="G240" s="102" t="n"/>
      <c r="H240" s="105" t="n"/>
      <c r="J240" s="102" t="n"/>
      <c r="K240" s="106" t="n"/>
    </row>
    <row r="242">
      <c r="B242" s="2">
        <f>IF(HSI!$C$46="","",HSI!$C$46)</f>
        <v/>
      </c>
      <c r="C242" s="2">
        <f>IF(PULL_FUND="N","",IF(HSI!$C$46="","",HSI!$C$46))</f>
        <v/>
      </c>
      <c r="D242" s="104">
        <f>BDH($C242,NDE_FIELD,"-5AY","","Per=Y","cols=2;rows=5")</f>
        <v/>
      </c>
      <c r="E242" s="105" t="n"/>
      <c r="G242" s="104">
        <f>BQL($C242,BUYBACK_QUERY,$C$4,"fill=prev","showheaders=f","showids=f")</f>
        <v/>
      </c>
      <c r="H242" s="105" t="n"/>
      <c r="J242" s="104">
        <f>BDH($C242,"PX_LAST","-5AY","","Per=Y","cols=2;rows=5")</f>
        <v/>
      </c>
      <c r="K242" s="106" t="n"/>
    </row>
    <row r="243">
      <c r="D243" s="102" t="n"/>
      <c r="E243" s="105" t="n"/>
      <c r="G243" s="102" t="n"/>
      <c r="H243" s="105" t="n"/>
      <c r="J243" s="102" t="n"/>
      <c r="K243" s="106" t="n"/>
    </row>
    <row r="244">
      <c r="D244" s="102" t="n"/>
      <c r="E244" s="105" t="n"/>
      <c r="G244" s="102" t="n"/>
      <c r="H244" s="105" t="n"/>
      <c r="J244" s="102" t="n"/>
      <c r="K244" s="106" t="n"/>
    </row>
    <row r="245">
      <c r="D245" s="102" t="n"/>
      <c r="E245" s="105" t="n"/>
      <c r="G245" s="102" t="n"/>
      <c r="H245" s="105" t="n"/>
      <c r="J245" s="102" t="n"/>
      <c r="K245" s="106" t="n"/>
    </row>
    <row r="246">
      <c r="D246" s="102" t="n"/>
      <c r="E246" s="105" t="n"/>
      <c r="G246" s="102" t="n"/>
      <c r="H246" s="105" t="n"/>
      <c r="J246" s="102" t="n"/>
      <c r="K246" s="106" t="n"/>
    </row>
    <row r="248">
      <c r="B248" s="2">
        <f>IF(HSI!$C$47="","",HSI!$C$47)</f>
        <v/>
      </c>
      <c r="C248" s="2">
        <f>IF(PULL_FUND="N","",IF(HSI!$C$47="","",HSI!$C$47))</f>
        <v/>
      </c>
      <c r="D248" s="104">
        <f>BDH($C248,NDE_FIELD,"-5AY","","Per=Y","cols=2;rows=5")</f>
        <v/>
      </c>
      <c r="E248" s="105" t="n"/>
      <c r="G248" s="104">
        <f>BQL($C248,BUYBACK_QUERY,$C$4,"fill=prev","showheaders=f","showids=f")</f>
        <v/>
      </c>
      <c r="H248" s="105" t="n"/>
      <c r="J248" s="104">
        <f>BDH($C248,"PX_LAST","-5AY","","Per=Y","cols=2;rows=5")</f>
        <v/>
      </c>
      <c r="K248" s="106" t="n"/>
    </row>
    <row r="249">
      <c r="D249" s="102" t="n"/>
      <c r="E249" s="105" t="n"/>
      <c r="G249" s="102" t="n"/>
      <c r="H249" s="105" t="n"/>
      <c r="J249" s="102" t="n"/>
      <c r="K249" s="106" t="n"/>
    </row>
    <row r="250">
      <c r="D250" s="102" t="n"/>
      <c r="E250" s="105" t="n"/>
      <c r="G250" s="102" t="n"/>
      <c r="H250" s="105" t="n"/>
      <c r="J250" s="102" t="n"/>
      <c r="K250" s="106" t="n"/>
    </row>
    <row r="251">
      <c r="D251" s="102" t="n"/>
      <c r="E251" s="105" t="n"/>
      <c r="G251" s="102" t="n"/>
      <c r="H251" s="105" t="n"/>
      <c r="J251" s="102" t="n"/>
      <c r="K251" s="106" t="n"/>
    </row>
    <row r="252">
      <c r="D252" s="102" t="n"/>
      <c r="E252" s="105" t="n"/>
      <c r="G252" s="102" t="n"/>
      <c r="H252" s="105" t="n"/>
      <c r="J252" s="102" t="n"/>
      <c r="K252" s="106" t="n"/>
    </row>
    <row r="254">
      <c r="B254" s="2">
        <f>IF(HSI!$C$48="","",HSI!$C$48)</f>
        <v/>
      </c>
      <c r="C254" s="2">
        <f>IF(PULL_FUND="N","",IF(HSI!$C$48="","",HSI!$C$48))</f>
        <v/>
      </c>
      <c r="D254" s="104">
        <f>BDH($C254,NDE_FIELD,"-5AY","","Per=Y","cols=2;rows=5")</f>
        <v/>
      </c>
      <c r="E254" s="105" t="n"/>
      <c r="G254" s="104">
        <f>BQL($C254,BUYBACK_QUERY,$C$4,"fill=prev","showheaders=f","showids=f")</f>
        <v/>
      </c>
      <c r="H254" s="105" t="n"/>
      <c r="J254" s="104">
        <f>BDH($C254,"PX_LAST","-5AY","","Per=Y","cols=2;rows=5")</f>
        <v/>
      </c>
      <c r="K254" s="106" t="n"/>
    </row>
    <row r="255">
      <c r="D255" s="102" t="n"/>
      <c r="E255" s="105" t="n"/>
      <c r="G255" s="102" t="n"/>
      <c r="H255" s="105" t="n"/>
      <c r="J255" s="102" t="n"/>
      <c r="K255" s="106" t="n"/>
    </row>
    <row r="256">
      <c r="D256" s="102" t="n"/>
      <c r="E256" s="105" t="n"/>
      <c r="G256" s="102" t="n"/>
      <c r="H256" s="105" t="n"/>
      <c r="J256" s="102" t="n"/>
      <c r="K256" s="106" t="n"/>
    </row>
    <row r="257">
      <c r="D257" s="102" t="n"/>
      <c r="E257" s="105" t="n"/>
      <c r="G257" s="102" t="n"/>
      <c r="H257" s="105" t="n"/>
      <c r="J257" s="102" t="n"/>
      <c r="K257" s="106" t="n"/>
    </row>
    <row r="258">
      <c r="D258" s="102" t="n"/>
      <c r="E258" s="105" t="n"/>
      <c r="G258" s="102" t="n"/>
      <c r="H258" s="105" t="n"/>
      <c r="J258" s="102" t="n"/>
      <c r="K258" s="106" t="n"/>
    </row>
    <row r="260">
      <c r="B260" s="2">
        <f>IF(HSI!$C$49="","",HSI!$C$49)</f>
        <v/>
      </c>
      <c r="C260" s="2">
        <f>IF(PULL_FUND="N","",IF(HSI!$C$49="","",HSI!$C$49))</f>
        <v/>
      </c>
      <c r="D260" s="104">
        <f>BDH($C260,NDE_FIELD,"-5AY","","Per=Y","cols=2;rows=5")</f>
        <v/>
      </c>
      <c r="E260" s="105" t="n"/>
      <c r="G260" s="104">
        <f>BQL($C260,BUYBACK_QUERY,$C$4,"fill=prev","showheaders=f","showids=f")</f>
        <v/>
      </c>
      <c r="H260" s="105" t="n"/>
      <c r="J260" s="104">
        <f>BDH($C260,"PX_LAST","-5AY","","Per=Y","cols=2;rows=5")</f>
        <v/>
      </c>
      <c r="K260" s="106" t="n"/>
    </row>
    <row r="261">
      <c r="D261" s="102" t="n"/>
      <c r="E261" s="105" t="n"/>
      <c r="G261" s="102" t="n"/>
      <c r="H261" s="105" t="n"/>
      <c r="J261" s="102" t="n"/>
      <c r="K261" s="106" t="n"/>
    </row>
    <row r="262">
      <c r="D262" s="102" t="n"/>
      <c r="E262" s="105" t="n"/>
      <c r="G262" s="102" t="n"/>
      <c r="H262" s="105" t="n"/>
      <c r="J262" s="102" t="n"/>
      <c r="K262" s="106" t="n"/>
    </row>
    <row r="263">
      <c r="D263" s="102" t="n"/>
      <c r="E263" s="105" t="n"/>
      <c r="G263" s="102" t="n"/>
      <c r="H263" s="105" t="n"/>
      <c r="J263" s="102" t="n"/>
      <c r="K263" s="106" t="n"/>
    </row>
    <row r="264">
      <c r="D264" s="102" t="n"/>
      <c r="E264" s="105" t="n"/>
      <c r="G264" s="102" t="n"/>
      <c r="H264" s="105" t="n"/>
      <c r="J264" s="102" t="n"/>
      <c r="K264" s="106" t="n"/>
    </row>
    <row r="266">
      <c r="B266" s="2">
        <f>IF(HSI!$C$50="","",HSI!$C$50)</f>
        <v/>
      </c>
      <c r="C266" s="2">
        <f>IF(PULL_FUND="N","",IF(HSI!$C$50="","",HSI!$C$50))</f>
        <v/>
      </c>
      <c r="D266" s="104">
        <f>BDH($C266,NDE_FIELD,"-5AY","","Per=Y","cols=2;rows=5")</f>
        <v/>
      </c>
      <c r="E266" s="105" t="n"/>
      <c r="G266" s="104">
        <f>BQL($C266,BUYBACK_QUERY,$C$4,"fill=prev","showheaders=f","showids=f")</f>
        <v/>
      </c>
      <c r="H266" s="105" t="n"/>
      <c r="J266" s="104">
        <f>BDH($C266,"PX_LAST","-5AY","","Per=Y","cols=2;rows=5")</f>
        <v/>
      </c>
      <c r="K266" s="106" t="n"/>
    </row>
    <row r="267">
      <c r="D267" s="102" t="n"/>
      <c r="E267" s="105" t="n"/>
      <c r="G267" s="102" t="n"/>
      <c r="H267" s="105" t="n"/>
      <c r="J267" s="102" t="n"/>
      <c r="K267" s="106" t="n"/>
    </row>
    <row r="268">
      <c r="D268" s="102" t="n"/>
      <c r="E268" s="105" t="n"/>
      <c r="G268" s="102" t="n"/>
      <c r="H268" s="105" t="n"/>
      <c r="J268" s="102" t="n"/>
      <c r="K268" s="106" t="n"/>
    </row>
    <row r="269">
      <c r="D269" s="102" t="n"/>
      <c r="E269" s="105" t="n"/>
      <c r="G269" s="102" t="n"/>
      <c r="H269" s="105" t="n"/>
      <c r="J269" s="102" t="n"/>
      <c r="K269" s="106" t="n"/>
    </row>
    <row r="270">
      <c r="D270" s="102" t="n"/>
      <c r="E270" s="105" t="n"/>
      <c r="G270" s="102" t="n"/>
      <c r="H270" s="105" t="n"/>
      <c r="J270" s="102" t="n"/>
      <c r="K270" s="106" t="n"/>
    </row>
    <row r="272">
      <c r="B272" s="2">
        <f>IF(HSI!$C$51="","",HSI!$C$51)</f>
        <v/>
      </c>
      <c r="C272" s="2">
        <f>IF(PULL_FUND="N","",IF(HSI!$C$51="","",HSI!$C$51))</f>
        <v/>
      </c>
      <c r="D272" s="104">
        <f>BDH($C272,NDE_FIELD,"-5AY","","Per=Y","cols=2;rows=5")</f>
        <v/>
      </c>
      <c r="E272" s="105" t="n"/>
      <c r="G272" s="104">
        <f>BQL($C272,BUYBACK_QUERY,$C$4,"fill=prev","showheaders=f","showids=f")</f>
        <v/>
      </c>
      <c r="H272" s="105" t="n"/>
      <c r="J272" s="104">
        <f>BDH($C272,"PX_LAST","-5AY","","Per=Y","cols=2;rows=5")</f>
        <v/>
      </c>
      <c r="K272" s="106" t="n"/>
    </row>
    <row r="273">
      <c r="D273" s="102" t="n"/>
      <c r="E273" s="105" t="n"/>
      <c r="G273" s="102" t="n"/>
      <c r="H273" s="105" t="n"/>
      <c r="J273" s="102" t="n"/>
      <c r="K273" s="106" t="n"/>
    </row>
    <row r="274">
      <c r="D274" s="102" t="n"/>
      <c r="E274" s="105" t="n"/>
      <c r="G274" s="102" t="n"/>
      <c r="H274" s="105" t="n"/>
      <c r="J274" s="102" t="n"/>
      <c r="K274" s="106" t="n"/>
    </row>
    <row r="275">
      <c r="D275" s="102" t="n"/>
      <c r="E275" s="105" t="n"/>
      <c r="G275" s="102" t="n"/>
      <c r="H275" s="105" t="n"/>
      <c r="J275" s="102" t="n"/>
      <c r="K275" s="106" t="n"/>
    </row>
    <row r="276">
      <c r="D276" s="102" t="n"/>
      <c r="E276" s="105" t="n"/>
      <c r="G276" s="102" t="n"/>
      <c r="H276" s="105" t="n"/>
      <c r="J276" s="102" t="n"/>
      <c r="K276" s="106" t="n"/>
    </row>
    <row r="278">
      <c r="B278" s="2">
        <f>IF(HSI!$C$52="","",HSI!$C$52)</f>
        <v/>
      </c>
      <c r="C278" s="2">
        <f>IF(PULL_FUND="N","",IF(HSI!$C$52="","",HSI!$C$52))</f>
        <v/>
      </c>
      <c r="D278" s="104">
        <f>BDH($C278,NDE_FIELD,"-5AY","","Per=Y","cols=2;rows=5")</f>
        <v/>
      </c>
      <c r="E278" s="105" t="n"/>
      <c r="G278" s="104">
        <f>BQL($C278,BUYBACK_QUERY,$C$4,"fill=prev","showheaders=f","showids=f")</f>
        <v/>
      </c>
      <c r="H278" s="105" t="n"/>
      <c r="J278" s="104">
        <f>BDH($C278,"PX_LAST","-5AY","","Per=Y","cols=2;rows=5")</f>
        <v/>
      </c>
      <c r="K278" s="106" t="n"/>
    </row>
    <row r="279">
      <c r="D279" s="102" t="n"/>
      <c r="E279" s="105" t="n"/>
      <c r="G279" s="102" t="n"/>
      <c r="H279" s="105" t="n"/>
      <c r="J279" s="102" t="n"/>
      <c r="K279" s="106" t="n"/>
    </row>
    <row r="280">
      <c r="D280" s="102" t="n"/>
      <c r="E280" s="105" t="n"/>
      <c r="G280" s="102" t="n"/>
      <c r="H280" s="105" t="n"/>
      <c r="J280" s="102" t="n"/>
      <c r="K280" s="106" t="n"/>
    </row>
    <row r="281">
      <c r="D281" s="102" t="n"/>
      <c r="E281" s="105" t="n"/>
      <c r="G281" s="102" t="n"/>
      <c r="H281" s="105" t="n"/>
      <c r="J281" s="102" t="n"/>
      <c r="K281" s="106" t="n"/>
    </row>
    <row r="282">
      <c r="D282" s="102" t="n"/>
      <c r="E282" s="105" t="n"/>
      <c r="G282" s="102" t="n"/>
      <c r="H282" s="105" t="n"/>
      <c r="J282" s="102" t="n"/>
      <c r="K282" s="106" t="n"/>
    </row>
    <row r="284">
      <c r="B284" s="2">
        <f>IF(HSI!$C$53="","",HSI!$C$53)</f>
        <v/>
      </c>
      <c r="C284" s="2">
        <f>IF(PULL_FUND="N","",IF(HSI!$C$53="","",HSI!$C$53))</f>
        <v/>
      </c>
      <c r="D284" s="104">
        <f>BDH($C284,NDE_FIELD,"-5AY","","Per=Y","cols=2;rows=5")</f>
        <v/>
      </c>
      <c r="E284" s="105" t="n"/>
      <c r="G284" s="104">
        <f>BQL($C284,BUYBACK_QUERY,$C$4,"fill=prev","showheaders=f","showids=f")</f>
        <v/>
      </c>
      <c r="H284" s="105" t="n"/>
      <c r="J284" s="104">
        <f>BDH($C284,"PX_LAST","-5AY","","Per=Y","cols=2;rows=5")</f>
        <v/>
      </c>
      <c r="K284" s="106" t="n"/>
    </row>
    <row r="285">
      <c r="D285" s="102" t="n"/>
      <c r="E285" s="105" t="n"/>
      <c r="G285" s="102" t="n"/>
      <c r="H285" s="105" t="n"/>
      <c r="J285" s="102" t="n"/>
      <c r="K285" s="106" t="n"/>
    </row>
    <row r="286">
      <c r="D286" s="102" t="n"/>
      <c r="E286" s="105" t="n"/>
      <c r="G286" s="102" t="n"/>
      <c r="H286" s="105" t="n"/>
      <c r="J286" s="102" t="n"/>
      <c r="K286" s="106" t="n"/>
    </row>
    <row r="287">
      <c r="D287" s="102" t="n"/>
      <c r="E287" s="105" t="n"/>
      <c r="G287" s="102" t="n"/>
      <c r="H287" s="105" t="n"/>
      <c r="J287" s="102" t="n"/>
      <c r="K287" s="106" t="n"/>
    </row>
    <row r="288">
      <c r="D288" s="102" t="n"/>
      <c r="E288" s="105" t="n"/>
      <c r="G288" s="102" t="n"/>
      <c r="H288" s="105" t="n"/>
      <c r="J288" s="102" t="n"/>
      <c r="K288" s="106" t="n"/>
    </row>
    <row r="290">
      <c r="B290" s="2">
        <f>IF(HSI!$C$54="","",HSI!$C$54)</f>
        <v/>
      </c>
      <c r="C290" s="2">
        <f>IF(PULL_FUND="N","",IF(HSI!$C$54="","",HSI!$C$54))</f>
        <v/>
      </c>
      <c r="D290" s="104">
        <f>BDH($C290,NDE_FIELD,"-5AY","","Per=Y","cols=2;rows=5")</f>
        <v/>
      </c>
      <c r="E290" s="105" t="n"/>
      <c r="G290" s="104">
        <f>BQL($C290,BUYBACK_QUERY,$C$4,"fill=prev","showheaders=f","showids=f")</f>
        <v/>
      </c>
      <c r="H290" s="105" t="n"/>
      <c r="J290" s="104">
        <f>BDH($C290,"PX_LAST","-5AY","","Per=Y","cols=2;rows=5")</f>
        <v/>
      </c>
      <c r="K290" s="106" t="n"/>
    </row>
    <row r="291">
      <c r="D291" s="102" t="n"/>
      <c r="E291" s="105" t="n"/>
      <c r="G291" s="102" t="n"/>
      <c r="H291" s="105" t="n"/>
      <c r="J291" s="102" t="n"/>
      <c r="K291" s="106" t="n"/>
    </row>
    <row r="292">
      <c r="D292" s="102" t="n"/>
      <c r="E292" s="105" t="n"/>
      <c r="G292" s="102" t="n"/>
      <c r="H292" s="105" t="n"/>
      <c r="J292" s="102" t="n"/>
      <c r="K292" s="106" t="n"/>
    </row>
    <row r="293">
      <c r="D293" s="102" t="n"/>
      <c r="E293" s="105" t="n"/>
      <c r="G293" s="102" t="n"/>
      <c r="H293" s="105" t="n"/>
      <c r="J293" s="102" t="n"/>
      <c r="K293" s="106" t="n"/>
    </row>
    <row r="294">
      <c r="D294" s="102" t="n"/>
      <c r="E294" s="105" t="n"/>
      <c r="G294" s="102" t="n"/>
      <c r="H294" s="105" t="n"/>
      <c r="J294" s="102" t="n"/>
      <c r="K294" s="106" t="n"/>
    </row>
    <row r="296">
      <c r="B296" s="2">
        <f>IF(HSI!$C$55="","",HSI!$C$55)</f>
        <v/>
      </c>
      <c r="C296" s="2">
        <f>IF(PULL_FUND="N","",IF(HSI!$C$55="","",HSI!$C$55))</f>
        <v/>
      </c>
      <c r="D296" s="104">
        <f>BDH($C296,NDE_FIELD,"-5AY","","Per=Y","cols=2;rows=5")</f>
        <v/>
      </c>
      <c r="E296" s="105" t="n"/>
      <c r="G296" s="104">
        <f>BQL($C296,BUYBACK_QUERY,$C$4,"fill=prev","showheaders=f","showids=f")</f>
        <v/>
      </c>
      <c r="H296" s="105" t="n"/>
      <c r="J296" s="104">
        <f>BDH($C296,"PX_LAST","-5AY","","Per=Y","cols=2;rows=5")</f>
        <v/>
      </c>
      <c r="K296" s="106" t="n"/>
    </row>
    <row r="297">
      <c r="D297" s="102" t="n"/>
      <c r="E297" s="105" t="n"/>
      <c r="G297" s="102" t="n"/>
      <c r="H297" s="105" t="n"/>
      <c r="J297" s="102" t="n"/>
      <c r="K297" s="106" t="n"/>
    </row>
    <row r="298">
      <c r="D298" s="102" t="n"/>
      <c r="E298" s="105" t="n"/>
      <c r="G298" s="102" t="n"/>
      <c r="H298" s="105" t="n"/>
      <c r="J298" s="102" t="n"/>
      <c r="K298" s="106" t="n"/>
    </row>
    <row r="299">
      <c r="D299" s="102" t="n"/>
      <c r="E299" s="105" t="n"/>
      <c r="G299" s="102" t="n"/>
      <c r="H299" s="105" t="n"/>
      <c r="J299" s="102" t="n"/>
      <c r="K299" s="106" t="n"/>
    </row>
    <row r="300">
      <c r="D300" s="102" t="n"/>
      <c r="E300" s="105" t="n"/>
      <c r="G300" s="102" t="n"/>
      <c r="H300" s="105" t="n"/>
      <c r="J300" s="102" t="n"/>
      <c r="K300" s="106" t="n"/>
    </row>
    <row r="302">
      <c r="B302" s="2">
        <f>IF(HSI!$C$56="","",HSI!$C$56)</f>
        <v/>
      </c>
      <c r="C302" s="2">
        <f>IF(PULL_FUND="N","",IF(HSI!$C$56="","",HSI!$C$56))</f>
        <v/>
      </c>
      <c r="D302" s="104">
        <f>BDH($C302,NDE_FIELD,"-5AY","","Per=Y","cols=2;rows=5")</f>
        <v/>
      </c>
      <c r="E302" s="105" t="n"/>
      <c r="G302" s="104">
        <f>BQL($C302,BUYBACK_QUERY,$C$4,"fill=prev","showheaders=f","showids=f")</f>
        <v/>
      </c>
      <c r="H302" s="105" t="n"/>
      <c r="J302" s="104">
        <f>BDH($C302,"PX_LAST","-5AY","","Per=Y","cols=2;rows=5")</f>
        <v/>
      </c>
      <c r="K302" s="106" t="n"/>
    </row>
    <row r="303">
      <c r="D303" s="102" t="n"/>
      <c r="E303" s="105" t="n"/>
      <c r="G303" s="102" t="n"/>
      <c r="H303" s="105" t="n"/>
      <c r="J303" s="102" t="n"/>
      <c r="K303" s="106" t="n"/>
    </row>
    <row r="304">
      <c r="D304" s="102" t="n"/>
      <c r="E304" s="105" t="n"/>
      <c r="G304" s="102" t="n"/>
      <c r="H304" s="105" t="n"/>
      <c r="J304" s="102" t="n"/>
      <c r="K304" s="106" t="n"/>
    </row>
    <row r="305">
      <c r="D305" s="102" t="n"/>
      <c r="E305" s="105" t="n"/>
      <c r="G305" s="102" t="n"/>
      <c r="H305" s="105" t="n"/>
      <c r="J305" s="102" t="n"/>
      <c r="K305" s="106" t="n"/>
    </row>
    <row r="306">
      <c r="D306" s="102" t="n"/>
      <c r="E306" s="105" t="n"/>
      <c r="G306" s="102" t="n"/>
      <c r="H306" s="105" t="n"/>
      <c r="J306" s="102" t="n"/>
      <c r="K306" s="106" t="n"/>
    </row>
    <row r="308">
      <c r="B308" s="2">
        <f>IF(HSI!$C$57="","",HSI!$C$57)</f>
        <v/>
      </c>
      <c r="C308" s="2">
        <f>IF(PULL_FUND="N","",IF(HSI!$C$57="","",HSI!$C$57))</f>
        <v/>
      </c>
      <c r="D308" s="104">
        <f>BDH($C308,NDE_FIELD,"-5AY","","Per=Y","cols=2;rows=5")</f>
        <v/>
      </c>
      <c r="E308" s="105" t="n"/>
      <c r="G308" s="104">
        <f>BQL($C308,BUYBACK_QUERY,$C$4,"fill=prev","showheaders=f","showids=f")</f>
        <v/>
      </c>
      <c r="H308" s="105" t="n"/>
      <c r="J308" s="104">
        <f>BDH($C308,"PX_LAST","-5AY","","Per=Y","cols=2;rows=5")</f>
        <v/>
      </c>
      <c r="K308" s="106" t="n"/>
    </row>
    <row r="309">
      <c r="D309" s="102" t="n"/>
      <c r="E309" s="105" t="n"/>
      <c r="G309" s="102" t="n"/>
      <c r="H309" s="105" t="n"/>
      <c r="J309" s="102" t="n"/>
      <c r="K309" s="106" t="n"/>
    </row>
    <row r="310">
      <c r="D310" s="102" t="n"/>
      <c r="E310" s="105" t="n"/>
      <c r="G310" s="102" t="n"/>
      <c r="H310" s="105" t="n"/>
      <c r="J310" s="102" t="n"/>
      <c r="K310" s="106" t="n"/>
    </row>
    <row r="311">
      <c r="D311" s="102" t="n"/>
      <c r="E311" s="105" t="n"/>
      <c r="G311" s="102" t="n"/>
      <c r="H311" s="105" t="n"/>
      <c r="J311" s="102" t="n"/>
      <c r="K311" s="106" t="n"/>
    </row>
    <row r="312">
      <c r="D312" s="102" t="n"/>
      <c r="E312" s="105" t="n"/>
      <c r="G312" s="102" t="n"/>
      <c r="H312" s="105" t="n"/>
      <c r="J312" s="102" t="n"/>
      <c r="K312" s="106" t="n"/>
    </row>
    <row r="314">
      <c r="B314" s="2">
        <f>IF(HSI!$C$58="","",HSI!$C$58)</f>
        <v/>
      </c>
      <c r="C314" s="2">
        <f>IF(PULL_FUND="N","",IF(HSI!$C$58="","",HSI!$C$58))</f>
        <v/>
      </c>
      <c r="D314" s="104">
        <f>BDH($C314,NDE_FIELD,"-5AY","","Per=Y","cols=2;rows=5")</f>
        <v/>
      </c>
      <c r="E314" s="105" t="n"/>
      <c r="G314" s="104">
        <f>BQL($C314,BUYBACK_QUERY,$C$4,"fill=prev","showheaders=f","showids=f")</f>
        <v/>
      </c>
      <c r="H314" s="105" t="n"/>
      <c r="J314" s="104">
        <f>BDH($C314,"PX_LAST","-5AY","","Per=Y","cols=2;rows=5")</f>
        <v/>
      </c>
      <c r="K314" s="106" t="n"/>
    </row>
    <row r="315">
      <c r="D315" s="102" t="n"/>
      <c r="E315" s="105" t="n"/>
      <c r="G315" s="102" t="n"/>
      <c r="H315" s="105" t="n"/>
      <c r="J315" s="102" t="n"/>
      <c r="K315" s="106" t="n"/>
    </row>
    <row r="316">
      <c r="D316" s="102" t="n"/>
      <c r="E316" s="105" t="n"/>
      <c r="G316" s="102" t="n"/>
      <c r="H316" s="105" t="n"/>
      <c r="J316" s="102" t="n"/>
      <c r="K316" s="106" t="n"/>
    </row>
    <row r="317">
      <c r="D317" s="102" t="n"/>
      <c r="E317" s="105" t="n"/>
      <c r="G317" s="102" t="n"/>
      <c r="H317" s="105" t="n"/>
      <c r="J317" s="102" t="n"/>
      <c r="K317" s="106" t="n"/>
    </row>
    <row r="318">
      <c r="D318" s="102" t="n"/>
      <c r="E318" s="105" t="n"/>
      <c r="G318" s="102" t="n"/>
      <c r="H318" s="105" t="n"/>
      <c r="J318" s="102" t="n"/>
      <c r="K318" s="106" t="n"/>
    </row>
    <row r="320">
      <c r="B320" s="2">
        <f>IF(HSI!$C$59="","",HSI!$C$59)</f>
        <v/>
      </c>
      <c r="C320" s="2">
        <f>IF(PULL_FUND="N","",IF(HSI!$C$59="","",HSI!$C$59))</f>
        <v/>
      </c>
      <c r="D320" s="104">
        <f>BDH($C320,NDE_FIELD,"-5AY","","Per=Y","cols=2;rows=5")</f>
        <v/>
      </c>
      <c r="E320" s="105" t="n"/>
      <c r="G320" s="104">
        <f>BQL($C320,BUYBACK_QUERY,$C$4,"fill=prev","showheaders=f","showids=f")</f>
        <v/>
      </c>
      <c r="H320" s="105" t="n"/>
      <c r="J320" s="104">
        <f>BDH($C320,"PX_LAST","-5AY","","Per=Y","cols=2;rows=5")</f>
        <v/>
      </c>
      <c r="K320" s="106" t="n"/>
    </row>
    <row r="321">
      <c r="D321" s="102" t="n"/>
      <c r="E321" s="105" t="n"/>
      <c r="G321" s="102" t="n"/>
      <c r="H321" s="105" t="n"/>
      <c r="J321" s="102" t="n"/>
      <c r="K321" s="106" t="n"/>
    </row>
    <row r="322">
      <c r="D322" s="102" t="n"/>
      <c r="E322" s="105" t="n"/>
      <c r="G322" s="102" t="n"/>
      <c r="H322" s="105" t="n"/>
      <c r="J322" s="102" t="n"/>
      <c r="K322" s="106" t="n"/>
    </row>
    <row r="323">
      <c r="D323" s="102" t="n"/>
      <c r="E323" s="105" t="n"/>
      <c r="G323" s="102" t="n"/>
      <c r="H323" s="105" t="n"/>
      <c r="J323" s="102" t="n"/>
      <c r="K323" s="106" t="n"/>
    </row>
    <row r="324">
      <c r="D324" s="102" t="n"/>
      <c r="E324" s="105" t="n"/>
      <c r="G324" s="102" t="n"/>
      <c r="H324" s="105" t="n"/>
      <c r="J324" s="102" t="n"/>
      <c r="K324" s="106" t="n"/>
    </row>
    <row r="326">
      <c r="B326" s="2">
        <f>IF(HSI!$C$60="","",HSI!$C$60)</f>
        <v/>
      </c>
      <c r="C326" s="2">
        <f>IF(PULL_FUND="N","",IF(HSI!$C$60="","",HSI!$C$60))</f>
        <v/>
      </c>
      <c r="D326" s="104">
        <f>BDH($C326,NDE_FIELD,"-5AY","","Per=Y","cols=2;rows=5")</f>
        <v/>
      </c>
      <c r="E326" s="105" t="n"/>
      <c r="G326" s="104">
        <f>BQL($C326,BUYBACK_QUERY,$C$4,"fill=prev","showheaders=f","showids=f")</f>
        <v/>
      </c>
      <c r="H326" s="105" t="n"/>
      <c r="J326" s="104">
        <f>BDH($C326,"PX_LAST","-5AY","","Per=Y","cols=2;rows=5")</f>
        <v/>
      </c>
      <c r="K326" s="106" t="n"/>
    </row>
    <row r="327">
      <c r="D327" s="102" t="n"/>
      <c r="E327" s="105" t="n"/>
      <c r="G327" s="102" t="n"/>
      <c r="H327" s="105" t="n"/>
      <c r="J327" s="102" t="n"/>
      <c r="K327" s="106" t="n"/>
    </row>
    <row r="328">
      <c r="D328" s="102" t="n"/>
      <c r="E328" s="105" t="n"/>
      <c r="G328" s="102" t="n"/>
      <c r="H328" s="105" t="n"/>
      <c r="J328" s="102" t="n"/>
      <c r="K328" s="106" t="n"/>
    </row>
    <row r="329">
      <c r="D329" s="102" t="n"/>
      <c r="E329" s="105" t="n"/>
      <c r="G329" s="102" t="n"/>
      <c r="H329" s="105" t="n"/>
      <c r="J329" s="102" t="n"/>
      <c r="K329" s="106" t="n"/>
    </row>
    <row r="330">
      <c r="D330" s="102" t="n"/>
      <c r="E330" s="105" t="n"/>
      <c r="G330" s="102" t="n"/>
      <c r="H330" s="105" t="n"/>
      <c r="J330" s="102" t="n"/>
      <c r="K330" s="106" t="n"/>
    </row>
    <row r="332">
      <c r="B332" s="2">
        <f>IF(HSI!$C$61="","",HSI!$C$61)</f>
        <v/>
      </c>
      <c r="C332" s="2">
        <f>IF(PULL_FUND="N","",IF(HSI!$C$61="","",HSI!$C$61))</f>
        <v/>
      </c>
      <c r="D332" s="104">
        <f>BDH($C332,NDE_FIELD,"-5AY","","Per=Y","cols=2;rows=5")</f>
        <v/>
      </c>
      <c r="E332" s="105" t="n"/>
      <c r="G332" s="104">
        <f>BQL($C332,BUYBACK_QUERY,$C$4,"fill=prev","showheaders=f","showids=f")</f>
        <v/>
      </c>
      <c r="H332" s="105" t="n"/>
      <c r="J332" s="104">
        <f>BDH($C332,"PX_LAST","-5AY","","Per=Y","cols=2;rows=5")</f>
        <v/>
      </c>
      <c r="K332" s="106" t="n"/>
    </row>
    <row r="333">
      <c r="D333" s="102" t="n"/>
      <c r="E333" s="105" t="n"/>
      <c r="G333" s="102" t="n"/>
      <c r="H333" s="105" t="n"/>
      <c r="J333" s="102" t="n"/>
      <c r="K333" s="106" t="n"/>
    </row>
    <row r="334">
      <c r="D334" s="102" t="n"/>
      <c r="E334" s="105" t="n"/>
      <c r="G334" s="102" t="n"/>
      <c r="H334" s="105" t="n"/>
      <c r="J334" s="102" t="n"/>
      <c r="K334" s="106" t="n"/>
    </row>
    <row r="335">
      <c r="D335" s="102" t="n"/>
      <c r="E335" s="105" t="n"/>
      <c r="G335" s="102" t="n"/>
      <c r="H335" s="105" t="n"/>
      <c r="J335" s="102" t="n"/>
      <c r="K335" s="106" t="n"/>
    </row>
    <row r="336">
      <c r="D336" s="102" t="n"/>
      <c r="E336" s="105" t="n"/>
      <c r="G336" s="102" t="n"/>
      <c r="H336" s="105" t="n"/>
      <c r="J336" s="102" t="n"/>
      <c r="K336" s="106" t="n"/>
    </row>
    <row r="338">
      <c r="B338" s="2">
        <f>IF(HSI!$C$62="","",HSI!$C$62)</f>
        <v/>
      </c>
      <c r="C338" s="2">
        <f>IF(PULL_FUND="N","",IF(HSI!$C$62="","",HSI!$C$62))</f>
        <v/>
      </c>
      <c r="D338" s="104">
        <f>BDH($C338,NDE_FIELD,"-5AY","","Per=Y","cols=2;rows=5")</f>
        <v/>
      </c>
      <c r="E338" s="105" t="n"/>
      <c r="G338" s="104">
        <f>BQL($C338,BUYBACK_QUERY,$C$4,"fill=prev","showheaders=f","showids=f")</f>
        <v/>
      </c>
      <c r="H338" s="105" t="n"/>
      <c r="J338" s="104">
        <f>BDH($C338,"PX_LAST","-5AY","","Per=Y","cols=2;rows=5")</f>
        <v/>
      </c>
      <c r="K338" s="106" t="n"/>
    </row>
    <row r="339">
      <c r="D339" s="102" t="n"/>
      <c r="E339" s="105" t="n"/>
      <c r="G339" s="102" t="n"/>
      <c r="H339" s="105" t="n"/>
      <c r="J339" s="102" t="n"/>
      <c r="K339" s="106" t="n"/>
    </row>
    <row r="340">
      <c r="D340" s="102" t="n"/>
      <c r="E340" s="105" t="n"/>
      <c r="G340" s="102" t="n"/>
      <c r="H340" s="105" t="n"/>
      <c r="J340" s="102" t="n"/>
      <c r="K340" s="106" t="n"/>
    </row>
    <row r="341">
      <c r="D341" s="102" t="n"/>
      <c r="E341" s="105" t="n"/>
      <c r="G341" s="102" t="n"/>
      <c r="H341" s="105" t="n"/>
      <c r="J341" s="102" t="n"/>
      <c r="K341" s="106" t="n"/>
    </row>
    <row r="342">
      <c r="D342" s="102" t="n"/>
      <c r="E342" s="105" t="n"/>
      <c r="G342" s="102" t="n"/>
      <c r="H342" s="105" t="n"/>
      <c r="J342" s="102" t="n"/>
      <c r="K342" s="106" t="n"/>
    </row>
    <row r="344">
      <c r="B344" s="2">
        <f>IF(HSI!$C$63="","",HSI!$C$63)</f>
        <v/>
      </c>
      <c r="C344" s="2">
        <f>IF(PULL_FUND="N","",IF(HSI!$C$63="","",HSI!$C$63))</f>
        <v/>
      </c>
      <c r="D344" s="104">
        <f>BDH($C344,NDE_FIELD,"-5AY","","Per=Y","cols=2;rows=5")</f>
        <v/>
      </c>
      <c r="E344" s="105" t="n"/>
      <c r="G344" s="104">
        <f>BQL($C344,BUYBACK_QUERY,$C$4,"fill=prev","showheaders=f","showids=f")</f>
        <v/>
      </c>
      <c r="H344" s="105" t="n"/>
      <c r="J344" s="104">
        <f>BDH($C344,"PX_LAST","-5AY","","Per=Y","cols=2;rows=5")</f>
        <v/>
      </c>
      <c r="K344" s="106" t="n"/>
    </row>
    <row r="345">
      <c r="D345" s="102" t="n"/>
      <c r="E345" s="105" t="n"/>
      <c r="G345" s="102" t="n"/>
      <c r="H345" s="105" t="n"/>
      <c r="J345" s="102" t="n"/>
      <c r="K345" s="106" t="n"/>
    </row>
    <row r="346">
      <c r="D346" s="102" t="n"/>
      <c r="E346" s="105" t="n"/>
      <c r="G346" s="102" t="n"/>
      <c r="H346" s="105" t="n"/>
      <c r="J346" s="102" t="n"/>
      <c r="K346" s="106" t="n"/>
    </row>
    <row r="347">
      <c r="D347" s="102" t="n"/>
      <c r="E347" s="105" t="n"/>
      <c r="G347" s="102" t="n"/>
      <c r="H347" s="105" t="n"/>
      <c r="J347" s="102" t="n"/>
      <c r="K347" s="106" t="n"/>
    </row>
    <row r="348">
      <c r="D348" s="102" t="n"/>
      <c r="E348" s="105" t="n"/>
      <c r="G348" s="102" t="n"/>
      <c r="H348" s="105" t="n"/>
      <c r="J348" s="102" t="n"/>
      <c r="K348" s="106" t="n"/>
    </row>
    <row r="350">
      <c r="B350" s="2">
        <f>IF(HSI!$C$64="","",HSI!$C$64)</f>
        <v/>
      </c>
      <c r="C350" s="2">
        <f>IF(PULL_FUND="N","",IF(HSI!$C$64="","",HSI!$C$64))</f>
        <v/>
      </c>
      <c r="D350" s="104">
        <f>BDH($C350,NDE_FIELD,"-5AY","","Per=Y","cols=2;rows=5")</f>
        <v/>
      </c>
      <c r="E350" s="105" t="n"/>
      <c r="G350" s="104">
        <f>BQL($C350,BUYBACK_QUERY,$C$4,"fill=prev","showheaders=f","showids=f")</f>
        <v/>
      </c>
      <c r="H350" s="105" t="n"/>
      <c r="J350" s="104">
        <f>BDH($C350,"PX_LAST","-5AY","","Per=Y","cols=2;rows=5")</f>
        <v/>
      </c>
      <c r="K350" s="106" t="n"/>
    </row>
    <row r="351">
      <c r="D351" s="102" t="n"/>
      <c r="E351" s="105" t="n"/>
      <c r="G351" s="102" t="n"/>
      <c r="H351" s="105" t="n"/>
      <c r="J351" s="102" t="n"/>
      <c r="K351" s="106" t="n"/>
    </row>
    <row r="352">
      <c r="D352" s="102" t="n"/>
      <c r="E352" s="105" t="n"/>
      <c r="G352" s="102" t="n"/>
      <c r="H352" s="105" t="n"/>
      <c r="J352" s="102" t="n"/>
      <c r="K352" s="106" t="n"/>
    </row>
    <row r="353">
      <c r="D353" s="102" t="n"/>
      <c r="E353" s="105" t="n"/>
      <c r="G353" s="102" t="n"/>
      <c r="H353" s="105" t="n"/>
      <c r="J353" s="102" t="n"/>
      <c r="K353" s="106" t="n"/>
    </row>
    <row r="354">
      <c r="D354" s="102" t="n"/>
      <c r="E354" s="105" t="n"/>
      <c r="G354" s="102" t="n"/>
      <c r="H354" s="105" t="n"/>
      <c r="J354" s="102" t="n"/>
      <c r="K354" s="106" t="n"/>
    </row>
    <row r="356">
      <c r="B356" s="2">
        <f>IF(HSI!$C$65="","",HSI!$C$65)</f>
        <v/>
      </c>
      <c r="C356" s="2">
        <f>IF(PULL_FUND="N","",IF(HSI!$C$65="","",HSI!$C$65))</f>
        <v/>
      </c>
      <c r="D356" s="104">
        <f>BDH($C356,NDE_FIELD,"-5AY","","Per=Y","cols=2;rows=5")</f>
        <v/>
      </c>
      <c r="E356" s="105" t="n"/>
      <c r="G356" s="104">
        <f>BQL($C356,BUYBACK_QUERY,$C$4,"fill=prev","showheaders=f","showids=f")</f>
        <v/>
      </c>
      <c r="H356" s="105" t="n"/>
      <c r="J356" s="104">
        <f>BDH($C356,"PX_LAST","-5AY","","Per=Y","cols=2;rows=5")</f>
        <v/>
      </c>
      <c r="K356" s="106" t="n"/>
    </row>
    <row r="357">
      <c r="D357" s="102" t="n"/>
      <c r="E357" s="105" t="n"/>
      <c r="G357" s="102" t="n"/>
      <c r="H357" s="105" t="n"/>
      <c r="J357" s="102" t="n"/>
      <c r="K357" s="106" t="n"/>
    </row>
    <row r="358">
      <c r="D358" s="102" t="n"/>
      <c r="E358" s="105" t="n"/>
      <c r="G358" s="102" t="n"/>
      <c r="H358" s="105" t="n"/>
      <c r="J358" s="102" t="n"/>
      <c r="K358" s="106" t="n"/>
    </row>
    <row r="359">
      <c r="D359" s="102" t="n"/>
      <c r="E359" s="105" t="n"/>
      <c r="G359" s="102" t="n"/>
      <c r="H359" s="105" t="n"/>
      <c r="J359" s="102" t="n"/>
      <c r="K359" s="106" t="n"/>
    </row>
    <row r="360">
      <c r="D360" s="102" t="n"/>
      <c r="E360" s="105" t="n"/>
      <c r="G360" s="102" t="n"/>
      <c r="H360" s="105" t="n"/>
      <c r="J360" s="102" t="n"/>
      <c r="K360" s="106" t="n"/>
    </row>
    <row r="362">
      <c r="B362" s="2">
        <f>IF(HSI!$C$66="","",HSI!$C$66)</f>
        <v/>
      </c>
      <c r="C362" s="2">
        <f>IF(PULL_FUND="N","",IF(HSI!$C$66="","",HSI!$C$66))</f>
        <v/>
      </c>
      <c r="D362" s="104">
        <f>BDH($C362,NDE_FIELD,"-5AY","","Per=Y","cols=2;rows=5")</f>
        <v/>
      </c>
      <c r="E362" s="105" t="n"/>
      <c r="G362" s="104">
        <f>BQL($C362,BUYBACK_QUERY,$C$4,"fill=prev","showheaders=f","showids=f")</f>
        <v/>
      </c>
      <c r="H362" s="105" t="n"/>
      <c r="J362" s="104">
        <f>BDH($C362,"PX_LAST","-5AY","","Per=Y","cols=2;rows=5")</f>
        <v/>
      </c>
      <c r="K362" s="106" t="n"/>
    </row>
    <row r="363">
      <c r="D363" s="102" t="n"/>
      <c r="E363" s="105" t="n"/>
      <c r="G363" s="102" t="n"/>
      <c r="H363" s="105" t="n"/>
      <c r="J363" s="102" t="n"/>
      <c r="K363" s="106" t="n"/>
    </row>
    <row r="364">
      <c r="D364" s="102" t="n"/>
      <c r="E364" s="105" t="n"/>
      <c r="G364" s="102" t="n"/>
      <c r="H364" s="105" t="n"/>
      <c r="J364" s="102" t="n"/>
      <c r="K364" s="106" t="n"/>
    </row>
    <row r="365">
      <c r="D365" s="102" t="n"/>
      <c r="E365" s="105" t="n"/>
      <c r="G365" s="102" t="n"/>
      <c r="H365" s="105" t="n"/>
      <c r="J365" s="102" t="n"/>
      <c r="K365" s="106" t="n"/>
    </row>
    <row r="366">
      <c r="D366" s="102" t="n"/>
      <c r="E366" s="105" t="n"/>
      <c r="G366" s="102" t="n"/>
      <c r="H366" s="105" t="n"/>
      <c r="J366" s="102" t="n"/>
      <c r="K366" s="106" t="n"/>
    </row>
    <row r="368">
      <c r="B368" s="2">
        <f>IF(HSI!$C$67="","",HSI!$C$67)</f>
        <v/>
      </c>
      <c r="C368" s="2">
        <f>IF(PULL_FUND="N","",IF(HSI!$C$67="","",HSI!$C$67))</f>
        <v/>
      </c>
      <c r="D368" s="104">
        <f>BDH($C368,NDE_FIELD,"-5AY","","Per=Y","cols=2;rows=5")</f>
        <v/>
      </c>
      <c r="E368" s="105" t="n"/>
      <c r="G368" s="104">
        <f>BQL($C368,BUYBACK_QUERY,$C$4,"fill=prev","showheaders=f","showids=f")</f>
        <v/>
      </c>
      <c r="H368" s="105" t="n"/>
      <c r="J368" s="104">
        <f>BDH($C368,"PX_LAST","-5AY","","Per=Y","cols=2;rows=5")</f>
        <v/>
      </c>
      <c r="K368" s="106" t="n"/>
    </row>
    <row r="369">
      <c r="D369" s="102" t="n"/>
      <c r="E369" s="105" t="n"/>
      <c r="G369" s="102" t="n"/>
      <c r="H369" s="105" t="n"/>
      <c r="J369" s="102" t="n"/>
      <c r="K369" s="106" t="n"/>
    </row>
    <row r="370">
      <c r="D370" s="102" t="n"/>
      <c r="E370" s="105" t="n"/>
      <c r="G370" s="102" t="n"/>
      <c r="H370" s="105" t="n"/>
      <c r="J370" s="102" t="n"/>
      <c r="K370" s="106" t="n"/>
    </row>
    <row r="371">
      <c r="D371" s="102" t="n"/>
      <c r="E371" s="105" t="n"/>
      <c r="G371" s="102" t="n"/>
      <c r="H371" s="105" t="n"/>
      <c r="J371" s="102" t="n"/>
      <c r="K371" s="106" t="n"/>
    </row>
    <row r="372">
      <c r="D372" s="102" t="n"/>
      <c r="E372" s="105" t="n"/>
      <c r="G372" s="102" t="n"/>
      <c r="H372" s="105" t="n"/>
      <c r="J372" s="102" t="n"/>
      <c r="K372" s="106" t="n"/>
    </row>
    <row r="374">
      <c r="B374" s="2">
        <f>IF(HSI!$C$68="","",HSI!$C$68)</f>
        <v/>
      </c>
      <c r="C374" s="2">
        <f>IF(PULL_FUND="N","",IF(HSI!$C$68="","",HSI!$C$68))</f>
        <v/>
      </c>
      <c r="D374" s="104">
        <f>BDH($C374,NDE_FIELD,"-5AY","","Per=Y","cols=2;rows=5")</f>
        <v/>
      </c>
      <c r="E374" s="105" t="n"/>
      <c r="G374" s="104">
        <f>BQL($C374,BUYBACK_QUERY,$C$4,"fill=prev","showheaders=f","showids=f")</f>
        <v/>
      </c>
      <c r="H374" s="105" t="n"/>
      <c r="J374" s="104">
        <f>BDH($C374,"PX_LAST","-5AY","","Per=Y","cols=2;rows=5")</f>
        <v/>
      </c>
      <c r="K374" s="106" t="n"/>
    </row>
    <row r="375">
      <c r="D375" s="102" t="n"/>
      <c r="E375" s="105" t="n"/>
      <c r="G375" s="102" t="n"/>
      <c r="H375" s="105" t="n"/>
      <c r="J375" s="102" t="n"/>
      <c r="K375" s="106" t="n"/>
    </row>
    <row r="376">
      <c r="D376" s="102" t="n"/>
      <c r="E376" s="105" t="n"/>
      <c r="G376" s="102" t="n"/>
      <c r="H376" s="105" t="n"/>
      <c r="J376" s="102" t="n"/>
      <c r="K376" s="106" t="n"/>
    </row>
    <row r="377">
      <c r="D377" s="102" t="n"/>
      <c r="E377" s="105" t="n"/>
      <c r="G377" s="102" t="n"/>
      <c r="H377" s="105" t="n"/>
      <c r="J377" s="102" t="n"/>
      <c r="K377" s="106" t="n"/>
    </row>
    <row r="378">
      <c r="D378" s="102" t="n"/>
      <c r="E378" s="105" t="n"/>
      <c r="G378" s="102" t="n"/>
      <c r="H378" s="105" t="n"/>
      <c r="J378" s="102" t="n"/>
      <c r="K378" s="106" t="n"/>
    </row>
    <row r="380">
      <c r="B380" s="2">
        <f>IF(HSI!$C$69="","",HSI!$C$69)</f>
        <v/>
      </c>
      <c r="C380" s="2">
        <f>IF(PULL_FUND="N","",IF(HSI!$C$69="","",HSI!$C$69))</f>
        <v/>
      </c>
      <c r="D380" s="104">
        <f>BDH($C380,NDE_FIELD,"-5AY","","Per=Y","cols=2;rows=5")</f>
        <v/>
      </c>
      <c r="E380" s="105" t="n"/>
      <c r="G380" s="104">
        <f>BQL($C380,BUYBACK_QUERY,$C$4,"fill=prev","showheaders=f","showids=f")</f>
        <v/>
      </c>
      <c r="H380" s="105" t="n"/>
      <c r="J380" s="104">
        <f>BDH($C380,"PX_LAST","-5AY","","Per=Y","cols=2;rows=5")</f>
        <v/>
      </c>
      <c r="K380" s="106" t="n"/>
    </row>
    <row r="381">
      <c r="D381" s="102" t="n"/>
      <c r="E381" s="105" t="n"/>
      <c r="G381" s="102" t="n"/>
      <c r="H381" s="105" t="n"/>
      <c r="J381" s="102" t="n"/>
      <c r="K381" s="106" t="n"/>
    </row>
    <row r="382">
      <c r="D382" s="102" t="n"/>
      <c r="E382" s="105" t="n"/>
      <c r="G382" s="102" t="n"/>
      <c r="H382" s="105" t="n"/>
      <c r="J382" s="102" t="n"/>
      <c r="K382" s="106" t="n"/>
    </row>
    <row r="383">
      <c r="D383" s="102" t="n"/>
      <c r="E383" s="105" t="n"/>
      <c r="G383" s="102" t="n"/>
      <c r="H383" s="105" t="n"/>
      <c r="J383" s="102" t="n"/>
      <c r="K383" s="106" t="n"/>
    </row>
    <row r="384">
      <c r="D384" s="102" t="n"/>
      <c r="E384" s="105" t="n"/>
      <c r="G384" s="102" t="n"/>
      <c r="H384" s="105" t="n"/>
      <c r="J384" s="102" t="n"/>
      <c r="K384" s="106" t="n"/>
    </row>
    <row r="386">
      <c r="B386" s="2">
        <f>IF(HSI!$C$70="","",HSI!$C$70)</f>
        <v/>
      </c>
      <c r="C386" s="2">
        <f>IF(PULL_FUND="N","",IF(HSI!$C$70="","",HSI!$C$70))</f>
        <v/>
      </c>
      <c r="D386" s="104">
        <f>BDH($C386,NDE_FIELD,"-5AY","","Per=Y","cols=2;rows=5")</f>
        <v/>
      </c>
      <c r="E386" s="105" t="n"/>
      <c r="G386" s="104">
        <f>BQL($C386,BUYBACK_QUERY,$C$4,"fill=prev","showheaders=f","showids=f")</f>
        <v/>
      </c>
      <c r="H386" s="105" t="n"/>
      <c r="J386" s="104">
        <f>BDH($C386,"PX_LAST","-5AY","","Per=Y","cols=2;rows=5")</f>
        <v/>
      </c>
      <c r="K386" s="106" t="n"/>
    </row>
    <row r="387">
      <c r="D387" s="102" t="n"/>
      <c r="E387" s="105" t="n"/>
      <c r="G387" s="102" t="n"/>
      <c r="H387" s="105" t="n"/>
      <c r="J387" s="102" t="n"/>
      <c r="K387" s="106" t="n"/>
    </row>
    <row r="388">
      <c r="D388" s="102" t="n"/>
      <c r="E388" s="105" t="n"/>
      <c r="G388" s="102" t="n"/>
      <c r="H388" s="105" t="n"/>
      <c r="J388" s="102" t="n"/>
      <c r="K388" s="106" t="n"/>
    </row>
    <row r="389">
      <c r="D389" s="102" t="n"/>
      <c r="E389" s="105" t="n"/>
      <c r="G389" s="102" t="n"/>
      <c r="H389" s="105" t="n"/>
      <c r="J389" s="102" t="n"/>
      <c r="K389" s="106" t="n"/>
    </row>
    <row r="390">
      <c r="D390" s="102" t="n"/>
      <c r="E390" s="105" t="n"/>
      <c r="G390" s="102" t="n"/>
      <c r="H390" s="105" t="n"/>
      <c r="J390" s="102" t="n"/>
      <c r="K390" s="106" t="n"/>
    </row>
    <row r="392">
      <c r="B392" s="2">
        <f>IF(HSI!$C$71="","",HSI!$C$71)</f>
        <v/>
      </c>
      <c r="C392" s="2">
        <f>IF(PULL_FUND="N","",IF(HSI!$C$71="","",HSI!$C$71))</f>
        <v/>
      </c>
      <c r="D392" s="104">
        <f>BDH($C392,NDE_FIELD,"-5AY","","Per=Y","cols=2;rows=5")</f>
        <v/>
      </c>
      <c r="E392" s="105" t="n"/>
      <c r="G392" s="104">
        <f>BQL($C392,BUYBACK_QUERY,$C$4,"fill=prev","showheaders=f","showids=f")</f>
        <v/>
      </c>
      <c r="H392" s="105" t="n"/>
      <c r="J392" s="104">
        <f>BDH($C392,"PX_LAST","-5AY","","Per=Y","cols=2;rows=5")</f>
        <v/>
      </c>
      <c r="K392" s="106" t="n"/>
    </row>
    <row r="393">
      <c r="D393" s="102" t="n"/>
      <c r="E393" s="105" t="n"/>
      <c r="G393" s="102" t="n"/>
      <c r="H393" s="105" t="n"/>
      <c r="J393" s="102" t="n"/>
      <c r="K393" s="106" t="n"/>
    </row>
    <row r="394">
      <c r="D394" s="102" t="n"/>
      <c r="E394" s="105" t="n"/>
      <c r="G394" s="102" t="n"/>
      <c r="H394" s="105" t="n"/>
      <c r="J394" s="102" t="n"/>
      <c r="K394" s="106" t="n"/>
    </row>
    <row r="395">
      <c r="D395" s="102" t="n"/>
      <c r="E395" s="105" t="n"/>
      <c r="G395" s="102" t="n"/>
      <c r="H395" s="105" t="n"/>
      <c r="J395" s="102" t="n"/>
      <c r="K395" s="106" t="n"/>
    </row>
    <row r="396">
      <c r="D396" s="102" t="n"/>
      <c r="E396" s="105" t="n"/>
      <c r="G396" s="102" t="n"/>
      <c r="H396" s="105" t="n"/>
      <c r="J396" s="102" t="n"/>
      <c r="K396" s="106" t="n"/>
    </row>
    <row r="398">
      <c r="B398" s="2">
        <f>IF(HSI!$C$72="","",HSI!$C$72)</f>
        <v/>
      </c>
      <c r="C398" s="2">
        <f>IF(PULL_FUND="N","",IF(HSI!$C$72="","",HSI!$C$72))</f>
        <v/>
      </c>
      <c r="D398" s="104">
        <f>BDH($C398,NDE_FIELD,"-5AY","","Per=Y","cols=2;rows=5")</f>
        <v/>
      </c>
      <c r="E398" s="105" t="n"/>
      <c r="G398" s="104">
        <f>BQL($C398,BUYBACK_QUERY,$C$4,"fill=prev","showheaders=f","showids=f")</f>
        <v/>
      </c>
      <c r="H398" s="105" t="n"/>
      <c r="J398" s="104">
        <f>BDH($C398,"PX_LAST","-5AY","","Per=Y","cols=2;rows=5")</f>
        <v/>
      </c>
      <c r="K398" s="106" t="n"/>
    </row>
    <row r="399">
      <c r="D399" s="102" t="n"/>
      <c r="E399" s="105" t="n"/>
      <c r="G399" s="102" t="n"/>
      <c r="H399" s="105" t="n"/>
      <c r="J399" s="102" t="n"/>
      <c r="K399" s="106" t="n"/>
    </row>
    <row r="400">
      <c r="D400" s="102" t="n"/>
      <c r="E400" s="105" t="n"/>
      <c r="G400" s="102" t="n"/>
      <c r="H400" s="105" t="n"/>
      <c r="J400" s="102" t="n"/>
      <c r="K400" s="106" t="n"/>
    </row>
    <row r="401">
      <c r="D401" s="102" t="n"/>
      <c r="E401" s="105" t="n"/>
      <c r="G401" s="102" t="n"/>
      <c r="H401" s="105" t="n"/>
      <c r="J401" s="102" t="n"/>
      <c r="K401" s="106" t="n"/>
    </row>
    <row r="402">
      <c r="D402" s="102" t="n"/>
      <c r="E402" s="105" t="n"/>
      <c r="G402" s="102" t="n"/>
      <c r="H402" s="105" t="n"/>
      <c r="J402" s="102" t="n"/>
      <c r="K402" s="106" t="n"/>
    </row>
    <row r="404">
      <c r="B404" s="2">
        <f>IF(HSI!$C$73="","",HSI!$C$73)</f>
        <v/>
      </c>
      <c r="C404" s="2">
        <f>IF(PULL_FUND="N","",IF(HSI!$C$73="","",HSI!$C$73))</f>
        <v/>
      </c>
      <c r="D404" s="104">
        <f>BDH($C404,NDE_FIELD,"-5AY","","Per=Y","cols=2;rows=5")</f>
        <v/>
      </c>
      <c r="E404" s="105" t="n"/>
      <c r="G404" s="104">
        <f>BQL($C404,BUYBACK_QUERY,$C$4,"fill=prev","showheaders=f","showids=f")</f>
        <v/>
      </c>
      <c r="H404" s="105" t="n"/>
      <c r="J404" s="104">
        <f>BDH($C404,"PX_LAST","-5AY","","Per=Y","cols=2;rows=5")</f>
        <v/>
      </c>
      <c r="K404" s="106" t="n"/>
    </row>
    <row r="405">
      <c r="D405" s="102" t="n"/>
      <c r="E405" s="105" t="n"/>
      <c r="G405" s="102" t="n"/>
      <c r="H405" s="105" t="n"/>
      <c r="J405" s="102" t="n"/>
      <c r="K405" s="106" t="n"/>
    </row>
    <row r="406">
      <c r="D406" s="102" t="n"/>
      <c r="E406" s="105" t="n"/>
      <c r="G406" s="102" t="n"/>
      <c r="H406" s="105" t="n"/>
      <c r="J406" s="102" t="n"/>
      <c r="K406" s="106" t="n"/>
    </row>
    <row r="407">
      <c r="D407" s="102" t="n"/>
      <c r="E407" s="105" t="n"/>
      <c r="G407" s="102" t="n"/>
      <c r="H407" s="105" t="n"/>
      <c r="J407" s="102" t="n"/>
      <c r="K407" s="106" t="n"/>
    </row>
    <row r="408">
      <c r="D408" s="102" t="n"/>
      <c r="E408" s="105" t="n"/>
      <c r="G408" s="102" t="n"/>
      <c r="H408" s="105" t="n"/>
      <c r="J408" s="102" t="n"/>
      <c r="K408" s="106" t="n"/>
    </row>
    <row r="410">
      <c r="B410" s="2">
        <f>IF(HSI!$C$74="","",HSI!$C$74)</f>
        <v/>
      </c>
      <c r="C410" s="2">
        <f>IF(PULL_FUND="N","",IF(HSI!$C$74="","",HSI!$C$74))</f>
        <v/>
      </c>
      <c r="D410" s="104">
        <f>BDH($C410,NDE_FIELD,"-5AY","","Per=Y","cols=2;rows=5")</f>
        <v/>
      </c>
      <c r="E410" s="105" t="n"/>
      <c r="G410" s="104">
        <f>BQL($C410,BUYBACK_QUERY,$C$4,"fill=prev","showheaders=f","showids=f")</f>
        <v/>
      </c>
      <c r="H410" s="105" t="n"/>
      <c r="J410" s="104">
        <f>BDH($C410,"PX_LAST","-5AY","","Per=Y","cols=2;rows=5")</f>
        <v/>
      </c>
      <c r="K410" s="106" t="n"/>
    </row>
    <row r="411">
      <c r="D411" s="102" t="n"/>
      <c r="E411" s="105" t="n"/>
      <c r="G411" s="102" t="n"/>
      <c r="H411" s="105" t="n"/>
      <c r="J411" s="102" t="n"/>
      <c r="K411" s="106" t="n"/>
    </row>
    <row r="412">
      <c r="D412" s="102" t="n"/>
      <c r="E412" s="105" t="n"/>
      <c r="G412" s="102" t="n"/>
      <c r="H412" s="105" t="n"/>
      <c r="J412" s="102" t="n"/>
      <c r="K412" s="106" t="n"/>
    </row>
    <row r="413">
      <c r="D413" s="102" t="n"/>
      <c r="E413" s="105" t="n"/>
      <c r="G413" s="102" t="n"/>
      <c r="H413" s="105" t="n"/>
      <c r="J413" s="102" t="n"/>
      <c r="K413" s="106" t="n"/>
    </row>
    <row r="414">
      <c r="D414" s="102" t="n"/>
      <c r="E414" s="105" t="n"/>
      <c r="G414" s="102" t="n"/>
      <c r="H414" s="105" t="n"/>
      <c r="J414" s="102" t="n"/>
      <c r="K414" s="106" t="n"/>
    </row>
    <row r="416">
      <c r="B416" s="2">
        <f>IF(HSI!$C$75="","",HSI!$C$75)</f>
        <v/>
      </c>
      <c r="C416" s="2">
        <f>IF(PULL_FUND="N","",IF(HSI!$C$75="","",HSI!$C$75))</f>
        <v/>
      </c>
      <c r="D416" s="104">
        <f>BDH($C416,NDE_FIELD,"-5AY","","Per=Y","cols=2;rows=5")</f>
        <v/>
      </c>
      <c r="E416" s="105" t="n"/>
      <c r="G416" s="104">
        <f>BQL($C416,BUYBACK_QUERY,$C$4,"fill=prev","showheaders=f","showids=f")</f>
        <v/>
      </c>
      <c r="H416" s="105" t="n"/>
      <c r="J416" s="104">
        <f>BDH($C416,"PX_LAST","-5AY","","Per=Y","cols=2;rows=5")</f>
        <v/>
      </c>
      <c r="K416" s="106" t="n"/>
    </row>
    <row r="417">
      <c r="D417" s="102" t="n"/>
      <c r="E417" s="105" t="n"/>
      <c r="G417" s="102" t="n"/>
      <c r="H417" s="105" t="n"/>
      <c r="J417" s="102" t="n"/>
      <c r="K417" s="106" t="n"/>
    </row>
    <row r="418">
      <c r="D418" s="102" t="n"/>
      <c r="E418" s="105" t="n"/>
      <c r="G418" s="102" t="n"/>
      <c r="H418" s="105" t="n"/>
      <c r="J418" s="102" t="n"/>
      <c r="K418" s="106" t="n"/>
    </row>
    <row r="419">
      <c r="D419" s="102" t="n"/>
      <c r="E419" s="105" t="n"/>
      <c r="G419" s="102" t="n"/>
      <c r="H419" s="105" t="n"/>
      <c r="J419" s="102" t="n"/>
      <c r="K419" s="106" t="n"/>
    </row>
    <row r="420">
      <c r="D420" s="102" t="n"/>
      <c r="E420" s="105" t="n"/>
      <c r="G420" s="102" t="n"/>
      <c r="H420" s="105" t="n"/>
      <c r="J420" s="102" t="n"/>
      <c r="K420" s="106" t="n"/>
    </row>
    <row r="422">
      <c r="B422" s="2">
        <f>IF(HSI!$C$76="","",HSI!$C$76)</f>
        <v/>
      </c>
      <c r="C422" s="2">
        <f>IF(PULL_FUND="N","",IF(HSI!$C$76="","",HSI!$C$76))</f>
        <v/>
      </c>
      <c r="D422" s="104">
        <f>BDH($C422,NDE_FIELD,"-5AY","","Per=Y","cols=2;rows=5")</f>
        <v/>
      </c>
      <c r="E422" s="105" t="n"/>
      <c r="G422" s="104">
        <f>BQL($C422,BUYBACK_QUERY,$C$4,"fill=prev","showheaders=f","showids=f")</f>
        <v/>
      </c>
      <c r="H422" s="105" t="n"/>
      <c r="J422" s="104">
        <f>BDH($C422,"PX_LAST","-5AY","","Per=Y","cols=2;rows=5")</f>
        <v/>
      </c>
      <c r="K422" s="106" t="n"/>
    </row>
    <row r="423">
      <c r="D423" s="102" t="n"/>
      <c r="E423" s="105" t="n"/>
      <c r="G423" s="102" t="n"/>
      <c r="H423" s="105" t="n"/>
      <c r="J423" s="102" t="n"/>
      <c r="K423" s="106" t="n"/>
    </row>
    <row r="424">
      <c r="D424" s="102" t="n"/>
      <c r="E424" s="105" t="n"/>
      <c r="G424" s="102" t="n"/>
      <c r="H424" s="105" t="n"/>
      <c r="J424" s="102" t="n"/>
      <c r="K424" s="106" t="n"/>
    </row>
    <row r="425">
      <c r="D425" s="102" t="n"/>
      <c r="E425" s="105" t="n"/>
      <c r="G425" s="102" t="n"/>
      <c r="H425" s="105" t="n"/>
      <c r="J425" s="102" t="n"/>
      <c r="K425" s="106" t="n"/>
    </row>
    <row r="426">
      <c r="D426" s="102" t="n"/>
      <c r="E426" s="105" t="n"/>
      <c r="G426" s="102" t="n"/>
      <c r="H426" s="105" t="n"/>
      <c r="J426" s="102" t="n"/>
      <c r="K426" s="106" t="n"/>
    </row>
    <row r="428">
      <c r="B428" s="2">
        <f>IF(HSI!$C$77="","",HSI!$C$77)</f>
        <v/>
      </c>
      <c r="C428" s="2">
        <f>IF(PULL_FUND="N","",IF(HSI!$C$77="","",HSI!$C$77))</f>
        <v/>
      </c>
      <c r="D428" s="104">
        <f>BDH($C428,NDE_FIELD,"-5AY","","Per=Y","cols=2;rows=5")</f>
        <v/>
      </c>
      <c r="E428" s="105" t="n"/>
      <c r="G428" s="104">
        <f>BQL($C428,BUYBACK_QUERY,$C$4,"fill=prev","showheaders=f","showids=f")</f>
        <v/>
      </c>
      <c r="H428" s="105" t="n"/>
      <c r="J428" s="104">
        <f>BDH($C428,"PX_LAST","-5AY","","Per=Y","cols=2;rows=5")</f>
        <v/>
      </c>
      <c r="K428" s="106" t="n"/>
    </row>
    <row r="429">
      <c r="D429" s="102" t="n"/>
      <c r="E429" s="105" t="n"/>
      <c r="G429" s="102" t="n"/>
      <c r="H429" s="105" t="n"/>
      <c r="J429" s="102" t="n"/>
      <c r="K429" s="106" t="n"/>
    </row>
    <row r="430">
      <c r="D430" s="102" t="n"/>
      <c r="E430" s="105" t="n"/>
      <c r="G430" s="102" t="n"/>
      <c r="H430" s="105" t="n"/>
      <c r="J430" s="102" t="n"/>
      <c r="K430" s="106" t="n"/>
    </row>
    <row r="431">
      <c r="D431" s="102" t="n"/>
      <c r="E431" s="105" t="n"/>
      <c r="G431" s="102" t="n"/>
      <c r="H431" s="105" t="n"/>
      <c r="J431" s="102" t="n"/>
      <c r="K431" s="106" t="n"/>
    </row>
    <row r="432">
      <c r="D432" s="102" t="n"/>
      <c r="E432" s="105" t="n"/>
      <c r="G432" s="102" t="n"/>
      <c r="H432" s="105" t="n"/>
      <c r="J432" s="102" t="n"/>
      <c r="K432" s="106" t="n"/>
    </row>
    <row r="434">
      <c r="B434" s="2">
        <f>IF(HSI!$C$78="","",HSI!$C$78)</f>
        <v/>
      </c>
      <c r="C434" s="2">
        <f>IF(PULL_FUND="N","",IF(HSI!$C$78="","",HSI!$C$78))</f>
        <v/>
      </c>
      <c r="D434" s="104">
        <f>BDH($C434,NDE_FIELD,"-5AY","","Per=Y","cols=2;rows=5")</f>
        <v/>
      </c>
      <c r="E434" s="105" t="n"/>
      <c r="G434" s="104">
        <f>BQL($C434,BUYBACK_QUERY,$C$4,"fill=prev","showheaders=f","showids=f")</f>
        <v/>
      </c>
      <c r="H434" s="105" t="n"/>
      <c r="J434" s="104">
        <f>BDH($C434,"PX_LAST","-5AY","","Per=Y","cols=2;rows=5")</f>
        <v/>
      </c>
      <c r="K434" s="106" t="n"/>
    </row>
    <row r="435">
      <c r="D435" s="102" t="n"/>
      <c r="E435" s="105" t="n"/>
      <c r="G435" s="102" t="n"/>
      <c r="H435" s="105" t="n"/>
      <c r="J435" s="102" t="n"/>
      <c r="K435" s="106" t="n"/>
    </row>
    <row r="436">
      <c r="D436" s="102" t="n"/>
      <c r="E436" s="105" t="n"/>
      <c r="G436" s="102" t="n"/>
      <c r="H436" s="105" t="n"/>
      <c r="J436" s="102" t="n"/>
      <c r="K436" s="106" t="n"/>
    </row>
    <row r="437">
      <c r="D437" s="102" t="n"/>
      <c r="E437" s="105" t="n"/>
      <c r="G437" s="102" t="n"/>
      <c r="H437" s="105" t="n"/>
      <c r="J437" s="102" t="n"/>
      <c r="K437" s="106" t="n"/>
    </row>
    <row r="438">
      <c r="D438" s="102" t="n"/>
      <c r="E438" s="105" t="n"/>
      <c r="G438" s="102" t="n"/>
      <c r="H438" s="105" t="n"/>
      <c r="J438" s="102" t="n"/>
      <c r="K438" s="106" t="n"/>
    </row>
    <row r="440">
      <c r="B440" s="2">
        <f>IF(HSI!$C$79="","",HSI!$C$79)</f>
        <v/>
      </c>
      <c r="C440" s="2">
        <f>IF(PULL_FUND="N","",IF(HSI!$C$79="","",HSI!$C$79))</f>
        <v/>
      </c>
      <c r="D440" s="104">
        <f>BDH($C440,NDE_FIELD,"-5AY","","Per=Y","cols=2;rows=5")</f>
        <v/>
      </c>
      <c r="E440" s="105" t="n"/>
      <c r="G440" s="104">
        <f>BQL($C440,BUYBACK_QUERY,$C$4,"fill=prev","showheaders=f","showids=f")</f>
        <v/>
      </c>
      <c r="H440" s="105" t="n"/>
      <c r="J440" s="104">
        <f>BDH($C440,"PX_LAST","-5AY","","Per=Y","cols=2;rows=5")</f>
        <v/>
      </c>
      <c r="K440" s="106" t="n"/>
    </row>
    <row r="441">
      <c r="D441" s="102" t="n"/>
      <c r="E441" s="105" t="n"/>
      <c r="G441" s="102" t="n"/>
      <c r="H441" s="105" t="n"/>
      <c r="J441" s="102" t="n"/>
      <c r="K441" s="106" t="n"/>
    </row>
    <row r="442">
      <c r="D442" s="102" t="n"/>
      <c r="E442" s="105" t="n"/>
      <c r="G442" s="102" t="n"/>
      <c r="H442" s="105" t="n"/>
      <c r="J442" s="102" t="n"/>
      <c r="K442" s="106" t="n"/>
    </row>
    <row r="443">
      <c r="D443" s="102" t="n"/>
      <c r="E443" s="105" t="n"/>
      <c r="G443" s="102" t="n"/>
      <c r="H443" s="105" t="n"/>
      <c r="J443" s="102" t="n"/>
      <c r="K443" s="106" t="n"/>
    </row>
    <row r="444">
      <c r="D444" s="102" t="n"/>
      <c r="E444" s="105" t="n"/>
      <c r="G444" s="102" t="n"/>
      <c r="H444" s="105" t="n"/>
      <c r="J444" s="102" t="n"/>
      <c r="K444" s="106" t="n"/>
    </row>
    <row r="446">
      <c r="B446" s="2">
        <f>IF(HSI!$C$80="","",HSI!$C$80)</f>
        <v/>
      </c>
      <c r="C446" s="2">
        <f>IF(PULL_FUND="N","",IF(HSI!$C$80="","",HSI!$C$80))</f>
        <v/>
      </c>
      <c r="D446" s="104">
        <f>BDH($C446,NDE_FIELD,"-5AY","","Per=Y","cols=2;rows=5")</f>
        <v/>
      </c>
      <c r="E446" s="105" t="n"/>
      <c r="G446" s="104">
        <f>BQL($C446,BUYBACK_QUERY,$C$4,"fill=prev","showheaders=f","showids=f")</f>
        <v/>
      </c>
      <c r="H446" s="105" t="n"/>
      <c r="J446" s="104">
        <f>BDH($C446,"PX_LAST","-5AY","","Per=Y","cols=2;rows=5")</f>
        <v/>
      </c>
      <c r="K446" s="106" t="n"/>
    </row>
    <row r="447">
      <c r="D447" s="102" t="n"/>
      <c r="E447" s="105" t="n"/>
      <c r="G447" s="102" t="n"/>
      <c r="H447" s="105" t="n"/>
      <c r="J447" s="102" t="n"/>
      <c r="K447" s="106" t="n"/>
    </row>
    <row r="448">
      <c r="D448" s="102" t="n"/>
      <c r="E448" s="105" t="n"/>
      <c r="G448" s="102" t="n"/>
      <c r="H448" s="105" t="n"/>
      <c r="J448" s="102" t="n"/>
      <c r="K448" s="106" t="n"/>
    </row>
    <row r="449">
      <c r="D449" s="102" t="n"/>
      <c r="E449" s="105" t="n"/>
      <c r="G449" s="102" t="n"/>
      <c r="H449" s="105" t="n"/>
      <c r="J449" s="102" t="n"/>
      <c r="K449" s="106" t="n"/>
    </row>
    <row r="450">
      <c r="D450" s="102" t="n"/>
      <c r="E450" s="105" t="n"/>
      <c r="G450" s="102" t="n"/>
      <c r="H450" s="105" t="n"/>
      <c r="J450" s="102" t="n"/>
      <c r="K450" s="106" t="n"/>
    </row>
    <row r="452">
      <c r="B452" s="2">
        <f>IF(HSI!$C$81="","",HSI!$C$81)</f>
        <v/>
      </c>
      <c r="C452" s="2">
        <f>IF(PULL_FUND="N","",IF(HSI!$C$81="","",HSI!$C$81))</f>
        <v/>
      </c>
      <c r="D452" s="104">
        <f>BDH($C452,NDE_FIELD,"-5AY","","Per=Y","cols=2;rows=5")</f>
        <v/>
      </c>
      <c r="E452" s="105" t="n"/>
      <c r="G452" s="104">
        <f>BQL($C452,BUYBACK_QUERY,$C$4,"fill=prev","showheaders=f","showids=f")</f>
        <v/>
      </c>
      <c r="H452" s="105" t="n"/>
      <c r="J452" s="104">
        <f>BDH($C452,"PX_LAST","-5AY","","Per=Y","cols=2;rows=5")</f>
        <v/>
      </c>
      <c r="K452" s="106" t="n"/>
    </row>
    <row r="453">
      <c r="D453" s="102" t="n"/>
      <c r="E453" s="105" t="n"/>
      <c r="G453" s="102" t="n"/>
      <c r="H453" s="105" t="n"/>
      <c r="J453" s="102" t="n"/>
      <c r="K453" s="106" t="n"/>
    </row>
    <row r="454">
      <c r="D454" s="102" t="n"/>
      <c r="E454" s="105" t="n"/>
      <c r="G454" s="102" t="n"/>
      <c r="H454" s="105" t="n"/>
      <c r="J454" s="102" t="n"/>
      <c r="K454" s="106" t="n"/>
    </row>
    <row r="455">
      <c r="D455" s="102" t="n"/>
      <c r="E455" s="105" t="n"/>
      <c r="G455" s="102" t="n"/>
      <c r="H455" s="105" t="n"/>
      <c r="J455" s="102" t="n"/>
      <c r="K455" s="106" t="n"/>
    </row>
    <row r="456">
      <c r="D456" s="102" t="n"/>
      <c r="E456" s="105" t="n"/>
      <c r="G456" s="102" t="n"/>
      <c r="H456" s="105" t="n"/>
      <c r="J456" s="102" t="n"/>
      <c r="K456" s="106" t="n"/>
    </row>
    <row r="458">
      <c r="B458" s="2">
        <f>IF(HSI!$C$82="","",HSI!$C$82)</f>
        <v/>
      </c>
      <c r="C458" s="2">
        <f>IF(PULL_FUND="N","",IF(HSI!$C$82="","",HSI!$C$82))</f>
        <v/>
      </c>
      <c r="D458" s="104">
        <f>BDH($C458,NDE_FIELD,"-5AY","","Per=Y","cols=2;rows=5")</f>
        <v/>
      </c>
      <c r="E458" s="105" t="n"/>
      <c r="G458" s="104">
        <f>BQL($C458,BUYBACK_QUERY,$C$4,"fill=prev","showheaders=f","showids=f")</f>
        <v/>
      </c>
      <c r="H458" s="105" t="n"/>
      <c r="J458" s="104">
        <f>BDH($C458,"PX_LAST","-5AY","","Per=Y","cols=2;rows=5")</f>
        <v/>
      </c>
      <c r="K458" s="106" t="n"/>
    </row>
    <row r="459">
      <c r="D459" s="102" t="n"/>
      <c r="E459" s="105" t="n"/>
      <c r="G459" s="102" t="n"/>
      <c r="H459" s="105" t="n"/>
      <c r="J459" s="102" t="n"/>
      <c r="K459" s="106" t="n"/>
    </row>
    <row r="460">
      <c r="D460" s="102" t="n"/>
      <c r="E460" s="105" t="n"/>
      <c r="G460" s="102" t="n"/>
      <c r="H460" s="105" t="n"/>
      <c r="J460" s="102" t="n"/>
      <c r="K460" s="106" t="n"/>
    </row>
    <row r="461">
      <c r="D461" s="102" t="n"/>
      <c r="E461" s="105" t="n"/>
      <c r="G461" s="102" t="n"/>
      <c r="H461" s="105" t="n"/>
      <c r="J461" s="102" t="n"/>
      <c r="K461" s="106" t="n"/>
    </row>
    <row r="462">
      <c r="D462" s="102" t="n"/>
      <c r="E462" s="105" t="n"/>
      <c r="G462" s="102" t="n"/>
      <c r="H462" s="105" t="n"/>
      <c r="J462" s="102" t="n"/>
      <c r="K462" s="106" t="n"/>
    </row>
    <row r="464">
      <c r="B464" s="2">
        <f>IF(HSI!$C$83="","",HSI!$C$83)</f>
        <v/>
      </c>
      <c r="C464" s="2">
        <f>IF(PULL_FUND="N","",IF(HSI!$C$83="","",HSI!$C$83))</f>
        <v/>
      </c>
      <c r="D464" s="104">
        <f>BDH($C464,NDE_FIELD,"-5AY","","Per=Y","cols=2;rows=5")</f>
        <v/>
      </c>
      <c r="E464" s="105" t="n"/>
      <c r="G464" s="104">
        <f>BQL($C464,BUYBACK_QUERY,$C$4,"fill=prev","showheaders=f","showids=f")</f>
        <v/>
      </c>
      <c r="H464" s="105" t="n"/>
      <c r="J464" s="104">
        <f>BDH($C464,"PX_LAST","-5AY","","Per=Y","cols=2;rows=5")</f>
        <v/>
      </c>
      <c r="K464" s="106" t="n"/>
    </row>
    <row r="465">
      <c r="D465" s="102" t="n"/>
      <c r="E465" s="105" t="n"/>
      <c r="G465" s="102" t="n"/>
      <c r="H465" s="105" t="n"/>
      <c r="J465" s="102" t="n"/>
      <c r="K465" s="106" t="n"/>
    </row>
    <row r="466">
      <c r="D466" s="102" t="n"/>
      <c r="E466" s="105" t="n"/>
      <c r="G466" s="102" t="n"/>
      <c r="H466" s="105" t="n"/>
      <c r="J466" s="102" t="n"/>
      <c r="K466" s="106" t="n"/>
    </row>
    <row r="467">
      <c r="D467" s="102" t="n"/>
      <c r="E467" s="105" t="n"/>
      <c r="G467" s="102" t="n"/>
      <c r="H467" s="105" t="n"/>
      <c r="J467" s="102" t="n"/>
      <c r="K467" s="106" t="n"/>
    </row>
    <row r="468">
      <c r="D468" s="102" t="n"/>
      <c r="E468" s="105" t="n"/>
      <c r="G468" s="102" t="n"/>
      <c r="H468" s="105" t="n"/>
      <c r="J468" s="102" t="n"/>
      <c r="K468" s="106" t="n"/>
    </row>
    <row r="470">
      <c r="B470" s="2">
        <f>IF(HSI!$C$84="","",HSI!$C$84)</f>
        <v/>
      </c>
      <c r="C470" s="2">
        <f>IF(PULL_FUND="N","",IF(HSI!$C$84="","",HSI!$C$84))</f>
        <v/>
      </c>
      <c r="D470" s="104">
        <f>BDH($C470,NDE_FIELD,"-5AY","","Per=Y","cols=2;rows=5")</f>
        <v/>
      </c>
      <c r="E470" s="105" t="n"/>
      <c r="G470" s="104">
        <f>BQL($C470,BUYBACK_QUERY,$C$4,"fill=prev","showheaders=f","showids=f")</f>
        <v/>
      </c>
      <c r="H470" s="105" t="n"/>
      <c r="J470" s="104">
        <f>BDH($C470,"PX_LAST","-5AY","","Per=Y","cols=2;rows=5")</f>
        <v/>
      </c>
      <c r="K470" s="106" t="n"/>
    </row>
    <row r="471">
      <c r="D471" s="102" t="n"/>
      <c r="E471" s="105" t="n"/>
      <c r="G471" s="102" t="n"/>
      <c r="H471" s="105" t="n"/>
      <c r="J471" s="102" t="n"/>
      <c r="K471" s="106" t="n"/>
    </row>
    <row r="472">
      <c r="D472" s="102" t="n"/>
      <c r="E472" s="105" t="n"/>
      <c r="G472" s="102" t="n"/>
      <c r="H472" s="105" t="n"/>
      <c r="J472" s="102" t="n"/>
      <c r="K472" s="106" t="n"/>
    </row>
    <row r="473">
      <c r="D473" s="102" t="n"/>
      <c r="E473" s="105" t="n"/>
      <c r="G473" s="102" t="n"/>
      <c r="H473" s="105" t="n"/>
      <c r="J473" s="102" t="n"/>
      <c r="K473" s="106" t="n"/>
    </row>
    <row r="474">
      <c r="D474" s="102" t="n"/>
      <c r="E474" s="105" t="n"/>
      <c r="G474" s="102" t="n"/>
      <c r="H474" s="105" t="n"/>
      <c r="J474" s="102" t="n"/>
      <c r="K474" s="106" t="n"/>
    </row>
    <row r="476">
      <c r="B476" s="2">
        <f>IF(HSI!$C$85="","",HSI!$C$85)</f>
        <v/>
      </c>
      <c r="C476" s="2">
        <f>IF(PULL_FUND="N","",IF(HSI!$C$85="","",HSI!$C$85))</f>
        <v/>
      </c>
      <c r="D476" s="104">
        <f>BDH($C476,NDE_FIELD,"-5AY","","Per=Y","cols=2;rows=5")</f>
        <v/>
      </c>
      <c r="E476" s="105" t="n"/>
      <c r="G476" s="104">
        <f>BQL($C476,BUYBACK_QUERY,$C$4,"fill=prev","showheaders=f","showids=f")</f>
        <v/>
      </c>
      <c r="H476" s="105" t="n"/>
      <c r="J476" s="104">
        <f>BDH($C476,"PX_LAST","-5AY","","Per=Y","cols=2;rows=5")</f>
        <v/>
      </c>
      <c r="K476" s="106" t="n"/>
    </row>
    <row r="477">
      <c r="D477" s="102" t="n"/>
      <c r="E477" s="105" t="n"/>
      <c r="G477" s="102" t="n"/>
      <c r="H477" s="105" t="n"/>
      <c r="J477" s="102" t="n"/>
      <c r="K477" s="106" t="n"/>
    </row>
    <row r="478">
      <c r="D478" s="102" t="n"/>
      <c r="E478" s="105" t="n"/>
      <c r="G478" s="102" t="n"/>
      <c r="H478" s="105" t="n"/>
      <c r="J478" s="102" t="n"/>
      <c r="K478" s="106" t="n"/>
    </row>
    <row r="479">
      <c r="D479" s="102" t="n"/>
      <c r="E479" s="105" t="n"/>
      <c r="G479" s="102" t="n"/>
      <c r="H479" s="105" t="n"/>
      <c r="J479" s="102" t="n"/>
      <c r="K479" s="106" t="n"/>
    </row>
    <row r="480">
      <c r="D480" s="102" t="n"/>
      <c r="E480" s="105" t="n"/>
      <c r="G480" s="102" t="n"/>
      <c r="H480" s="105" t="n"/>
      <c r="J480" s="102" t="n"/>
      <c r="K480" s="106" t="n"/>
    </row>
    <row r="482">
      <c r="B482" s="2">
        <f>IF(HSI!$C$86="","",HSI!$C$86)</f>
        <v/>
      </c>
      <c r="C482" s="2">
        <f>IF(PULL_FUND="N","",IF(HSI!$C$86="","",HSI!$C$86))</f>
        <v/>
      </c>
      <c r="D482" s="104">
        <f>BDH($C482,NDE_FIELD,"-5AY","","Per=Y","cols=2;rows=5")</f>
        <v/>
      </c>
      <c r="E482" s="105" t="n"/>
      <c r="G482" s="104">
        <f>BQL($C482,BUYBACK_QUERY,$C$4,"fill=prev","showheaders=f","showids=f")</f>
        <v/>
      </c>
      <c r="H482" s="105" t="n"/>
      <c r="J482" s="104">
        <f>BDH($C482,"PX_LAST","-5AY","","Per=Y","cols=2;rows=5")</f>
        <v/>
      </c>
      <c r="K482" s="106" t="n"/>
    </row>
    <row r="483">
      <c r="D483" s="102" t="n"/>
      <c r="E483" s="105" t="n"/>
      <c r="G483" s="102" t="n"/>
      <c r="H483" s="105" t="n"/>
      <c r="J483" s="102" t="n"/>
      <c r="K483" s="106" t="n"/>
    </row>
    <row r="484">
      <c r="D484" s="102" t="n"/>
      <c r="E484" s="105" t="n"/>
      <c r="G484" s="102" t="n"/>
      <c r="H484" s="105" t="n"/>
      <c r="J484" s="102" t="n"/>
      <c r="K484" s="106" t="n"/>
    </row>
    <row r="485">
      <c r="D485" s="102" t="n"/>
      <c r="E485" s="105" t="n"/>
      <c r="G485" s="102" t="n"/>
      <c r="H485" s="105" t="n"/>
      <c r="J485" s="102" t="n"/>
      <c r="K485" s="106" t="n"/>
    </row>
    <row r="486">
      <c r="D486" s="102" t="n"/>
      <c r="E486" s="105" t="n"/>
      <c r="G486" s="102" t="n"/>
      <c r="H486" s="105" t="n"/>
      <c r="J486" s="102" t="n"/>
      <c r="K486" s="106" t="n"/>
    </row>
    <row r="488">
      <c r="B488" s="2">
        <f>IF(HSI!$C$87="","",HSI!$C$87)</f>
        <v/>
      </c>
      <c r="C488" s="2">
        <f>IF(PULL_FUND="N","",IF(HSI!$C$87="","",HSI!$C$87))</f>
        <v/>
      </c>
      <c r="D488" s="104">
        <f>BDH($C488,NDE_FIELD,"-5AY","","Per=Y","cols=2;rows=5")</f>
        <v/>
      </c>
      <c r="E488" s="105" t="n"/>
      <c r="G488" s="104">
        <f>BQL($C488,BUYBACK_QUERY,$C$4,"fill=prev","showheaders=f","showids=f")</f>
        <v/>
      </c>
      <c r="H488" s="105" t="n"/>
      <c r="J488" s="104">
        <f>BDH($C488,"PX_LAST","-5AY","","Per=Y","cols=2;rows=5")</f>
        <v/>
      </c>
      <c r="K488" s="106" t="n"/>
    </row>
    <row r="489">
      <c r="D489" s="102" t="n"/>
      <c r="E489" s="105" t="n"/>
      <c r="G489" s="102" t="n"/>
      <c r="H489" s="105" t="n"/>
      <c r="J489" s="102" t="n"/>
      <c r="K489" s="106" t="n"/>
    </row>
    <row r="490">
      <c r="D490" s="102" t="n"/>
      <c r="E490" s="105" t="n"/>
      <c r="G490" s="102" t="n"/>
      <c r="H490" s="105" t="n"/>
      <c r="J490" s="102" t="n"/>
      <c r="K490" s="106" t="n"/>
    </row>
    <row r="491">
      <c r="D491" s="102" t="n"/>
      <c r="E491" s="105" t="n"/>
      <c r="G491" s="102" t="n"/>
      <c r="H491" s="105" t="n"/>
      <c r="J491" s="102" t="n"/>
      <c r="K491" s="106" t="n"/>
    </row>
    <row r="492">
      <c r="D492" s="102" t="n"/>
      <c r="E492" s="105" t="n"/>
      <c r="G492" s="102" t="n"/>
      <c r="H492" s="105" t="n"/>
      <c r="J492" s="102" t="n"/>
      <c r="K492" s="106" t="n"/>
    </row>
    <row r="494">
      <c r="B494" s="2">
        <f>IF(HSI!$C$88="","",HSI!$C$88)</f>
        <v/>
      </c>
      <c r="C494" s="2">
        <f>IF(PULL_FUND="N","",IF(HSI!$C$88="","",HSI!$C$88))</f>
        <v/>
      </c>
      <c r="D494" s="104">
        <f>BDH($C494,NDE_FIELD,"-5AY","","Per=Y","cols=2;rows=5")</f>
        <v/>
      </c>
      <c r="E494" s="105" t="n"/>
      <c r="G494" s="104">
        <f>BQL($C494,BUYBACK_QUERY,$C$4,"fill=prev","showheaders=f","showids=f")</f>
        <v/>
      </c>
      <c r="H494" s="105" t="n"/>
      <c r="J494" s="104">
        <f>BDH($C494,"PX_LAST","-5AY","","Per=Y","cols=2;rows=5")</f>
        <v/>
      </c>
      <c r="K494" s="106" t="n"/>
    </row>
    <row r="495">
      <c r="D495" s="102" t="n"/>
      <c r="E495" s="105" t="n"/>
      <c r="G495" s="102" t="n"/>
      <c r="H495" s="105" t="n"/>
      <c r="J495" s="102" t="n"/>
      <c r="K495" s="106" t="n"/>
    </row>
    <row r="496">
      <c r="D496" s="102" t="n"/>
      <c r="E496" s="105" t="n"/>
      <c r="G496" s="102" t="n"/>
      <c r="H496" s="105" t="n"/>
      <c r="J496" s="102" t="n"/>
      <c r="K496" s="106" t="n"/>
    </row>
    <row r="497">
      <c r="D497" s="102" t="n"/>
      <c r="E497" s="105" t="n"/>
      <c r="G497" s="102" t="n"/>
      <c r="H497" s="105" t="n"/>
      <c r="J497" s="102" t="n"/>
      <c r="K497" s="106" t="n"/>
    </row>
    <row r="498">
      <c r="D498" s="102" t="n"/>
      <c r="E498" s="105" t="n"/>
      <c r="G498" s="102" t="n"/>
      <c r="H498" s="105" t="n"/>
      <c r="J498" s="102" t="n"/>
      <c r="K498" s="106" t="n"/>
    </row>
    <row r="500">
      <c r="B500" s="2">
        <f>IF(HSI!$C$89="","",HSI!$C$89)</f>
        <v/>
      </c>
      <c r="C500" s="2">
        <f>IF(PULL_FUND="N","",IF(HSI!$C$89="","",HSI!$C$89))</f>
        <v/>
      </c>
      <c r="D500" s="104">
        <f>BDH($C500,NDE_FIELD,"-5AY","","Per=Y","cols=2;rows=5")</f>
        <v/>
      </c>
      <c r="E500" s="105" t="n"/>
      <c r="G500" s="104">
        <f>BQL($C500,BUYBACK_QUERY,$C$4,"fill=prev","showheaders=f","showids=f")</f>
        <v/>
      </c>
      <c r="H500" s="105" t="n"/>
      <c r="J500" s="104">
        <f>BDH($C500,"PX_LAST","-5AY","","Per=Y","cols=2;rows=5")</f>
        <v/>
      </c>
      <c r="K500" s="106" t="n"/>
    </row>
    <row r="501">
      <c r="D501" s="102" t="n"/>
      <c r="E501" s="105" t="n"/>
      <c r="G501" s="102" t="n"/>
      <c r="H501" s="105" t="n"/>
      <c r="J501" s="102" t="n"/>
      <c r="K501" s="106" t="n"/>
    </row>
    <row r="502">
      <c r="D502" s="102" t="n"/>
      <c r="E502" s="105" t="n"/>
      <c r="G502" s="102" t="n"/>
      <c r="H502" s="105" t="n"/>
      <c r="J502" s="102" t="n"/>
      <c r="K502" s="106" t="n"/>
    </row>
    <row r="503">
      <c r="D503" s="102" t="n"/>
      <c r="E503" s="105" t="n"/>
      <c r="G503" s="102" t="n"/>
      <c r="H503" s="105" t="n"/>
      <c r="J503" s="102" t="n"/>
      <c r="K503" s="106" t="n"/>
    </row>
    <row r="504">
      <c r="D504" s="102" t="n"/>
      <c r="E504" s="105" t="n"/>
      <c r="G504" s="102" t="n"/>
      <c r="H504" s="105" t="n"/>
      <c r="J504" s="102" t="n"/>
      <c r="K504" s="106" t="n"/>
    </row>
    <row r="506">
      <c r="B506" s="2">
        <f>IF(HSI!$C$90="","",HSI!$C$90)</f>
        <v/>
      </c>
      <c r="C506" s="2">
        <f>IF(PULL_FUND="N","",IF(HSI!$C$90="","",HSI!$C$90))</f>
        <v/>
      </c>
      <c r="D506" s="104">
        <f>BDH($C506,NDE_FIELD,"-5AY","","Per=Y","cols=2;rows=5")</f>
        <v/>
      </c>
      <c r="E506" s="105" t="n"/>
      <c r="G506" s="104">
        <f>BQL($C506,BUYBACK_QUERY,$C$4,"fill=prev","showheaders=f","showids=f")</f>
        <v/>
      </c>
      <c r="H506" s="105" t="n"/>
      <c r="J506" s="104">
        <f>BDH($C506,"PX_LAST","-5AY","","Per=Y","cols=2;rows=5")</f>
        <v/>
      </c>
      <c r="K506" s="106" t="n"/>
    </row>
    <row r="507">
      <c r="D507" s="102" t="n"/>
      <c r="E507" s="105" t="n"/>
      <c r="G507" s="102" t="n"/>
      <c r="H507" s="105" t="n"/>
      <c r="J507" s="102" t="n"/>
      <c r="K507" s="106" t="n"/>
    </row>
    <row r="508">
      <c r="D508" s="102" t="n"/>
      <c r="E508" s="105" t="n"/>
      <c r="G508" s="102" t="n"/>
      <c r="H508" s="105" t="n"/>
      <c r="J508" s="102" t="n"/>
      <c r="K508" s="106" t="n"/>
    </row>
    <row r="509">
      <c r="D509" s="102" t="n"/>
      <c r="E509" s="105" t="n"/>
      <c r="G509" s="102" t="n"/>
      <c r="H509" s="105" t="n"/>
      <c r="J509" s="102" t="n"/>
      <c r="K509" s="106" t="n"/>
    </row>
    <row r="510">
      <c r="D510" s="102" t="n"/>
      <c r="E510" s="105" t="n"/>
      <c r="G510" s="102" t="n"/>
      <c r="H510" s="105" t="n"/>
      <c r="J510" s="102" t="n"/>
      <c r="K510" s="106" t="n"/>
    </row>
    <row r="512">
      <c r="B512" s="2">
        <f>IF(HSI!$C$91="","",HSI!$C$91)</f>
        <v/>
      </c>
      <c r="C512" s="2">
        <f>IF(PULL_FUND="N","",IF(HSI!$C$91="","",HSI!$C$91))</f>
        <v/>
      </c>
      <c r="D512" s="104">
        <f>BDH($C512,NDE_FIELD,"-5AY","","Per=Y","cols=2;rows=5")</f>
        <v/>
      </c>
      <c r="E512" s="105" t="n"/>
      <c r="G512" s="104">
        <f>BQL($C512,BUYBACK_QUERY,$C$4,"fill=prev","showheaders=f","showids=f")</f>
        <v/>
      </c>
      <c r="H512" s="105" t="n"/>
      <c r="J512" s="104">
        <f>BDH($C512,"PX_LAST","-5AY","","Per=Y","cols=2;rows=5")</f>
        <v/>
      </c>
      <c r="K512" s="106" t="n"/>
    </row>
    <row r="513">
      <c r="D513" s="102" t="n"/>
      <c r="E513" s="105" t="n"/>
      <c r="G513" s="102" t="n"/>
      <c r="H513" s="105" t="n"/>
      <c r="J513" s="102" t="n"/>
      <c r="K513" s="106" t="n"/>
    </row>
    <row r="514">
      <c r="D514" s="102" t="n"/>
      <c r="E514" s="105" t="n"/>
      <c r="G514" s="102" t="n"/>
      <c r="H514" s="105" t="n"/>
      <c r="J514" s="102" t="n"/>
      <c r="K514" s="106" t="n"/>
    </row>
    <row r="515">
      <c r="D515" s="102" t="n"/>
      <c r="E515" s="105" t="n"/>
      <c r="G515" s="102" t="n"/>
      <c r="H515" s="105" t="n"/>
      <c r="J515" s="102" t="n"/>
      <c r="K515" s="106" t="n"/>
    </row>
    <row r="516">
      <c r="D516" s="102" t="n"/>
      <c r="E516" s="105" t="n"/>
      <c r="G516" s="102" t="n"/>
      <c r="H516" s="105" t="n"/>
      <c r="J516" s="102" t="n"/>
      <c r="K516" s="106" t="n"/>
    </row>
    <row r="518">
      <c r="B518" s="2">
        <f>IF(HSI!$C$92="","",HSI!$C$92)</f>
        <v/>
      </c>
      <c r="C518" s="2">
        <f>IF(PULL_FUND="N","",IF(HSI!$C$92="","",HSI!$C$92))</f>
        <v/>
      </c>
      <c r="D518" s="104">
        <f>BDH($C518,NDE_FIELD,"-5AY","","Per=Y","cols=2;rows=5")</f>
        <v/>
      </c>
      <c r="E518" s="105" t="n"/>
      <c r="G518" s="104">
        <f>BQL($C518,BUYBACK_QUERY,$C$4,"fill=prev","showheaders=f","showids=f")</f>
        <v/>
      </c>
      <c r="H518" s="105" t="n"/>
      <c r="J518" s="104">
        <f>BDH($C518,"PX_LAST","-5AY","","Per=Y","cols=2;rows=5")</f>
        <v/>
      </c>
      <c r="K518" s="106" t="n"/>
    </row>
    <row r="519">
      <c r="D519" s="102" t="n"/>
      <c r="E519" s="105" t="n"/>
      <c r="G519" s="102" t="n"/>
      <c r="H519" s="105" t="n"/>
      <c r="J519" s="102" t="n"/>
      <c r="K519" s="106" t="n"/>
    </row>
    <row r="520">
      <c r="D520" s="102" t="n"/>
      <c r="E520" s="105" t="n"/>
      <c r="G520" s="102" t="n"/>
      <c r="H520" s="105" t="n"/>
      <c r="J520" s="102" t="n"/>
      <c r="K520" s="106" t="n"/>
    </row>
    <row r="521">
      <c r="D521" s="102" t="n"/>
      <c r="E521" s="105" t="n"/>
      <c r="G521" s="102" t="n"/>
      <c r="H521" s="105" t="n"/>
      <c r="J521" s="102" t="n"/>
      <c r="K521" s="106" t="n"/>
    </row>
    <row r="522">
      <c r="D522" s="102" t="n"/>
      <c r="E522" s="105" t="n"/>
      <c r="G522" s="102" t="n"/>
      <c r="H522" s="105" t="n"/>
      <c r="J522" s="102" t="n"/>
      <c r="K522" s="106" t="n"/>
    </row>
    <row r="524">
      <c r="B524" s="2">
        <f>IF(HSI!$C$93="","",HSI!$C$93)</f>
        <v/>
      </c>
      <c r="C524" s="2">
        <f>IF(PULL_FUND="N","",IF(HSI!$C$93="","",HSI!$C$93))</f>
        <v/>
      </c>
      <c r="D524" s="104">
        <f>BDH($C524,NDE_FIELD,"-5AY","","Per=Y","cols=2;rows=5")</f>
        <v/>
      </c>
      <c r="E524" s="105" t="n"/>
      <c r="G524" s="104">
        <f>BQL($C524,BUYBACK_QUERY,$C$4,"fill=prev","showheaders=f","showids=f")</f>
        <v/>
      </c>
      <c r="H524" s="105" t="n"/>
      <c r="J524" s="104">
        <f>BDH($C524,"PX_LAST","-5AY","","Per=Y","cols=2;rows=5")</f>
        <v/>
      </c>
      <c r="K524" s="106" t="n"/>
    </row>
    <row r="525">
      <c r="D525" s="102" t="n"/>
      <c r="E525" s="105" t="n"/>
      <c r="G525" s="102" t="n"/>
      <c r="H525" s="105" t="n"/>
      <c r="J525" s="102" t="n"/>
      <c r="K525" s="106" t="n"/>
    </row>
    <row r="526">
      <c r="D526" s="102" t="n"/>
      <c r="E526" s="105" t="n"/>
      <c r="G526" s="102" t="n"/>
      <c r="H526" s="105" t="n"/>
      <c r="J526" s="102" t="n"/>
      <c r="K526" s="106" t="n"/>
    </row>
    <row r="527">
      <c r="D527" s="102" t="n"/>
      <c r="E527" s="105" t="n"/>
      <c r="G527" s="102" t="n"/>
      <c r="H527" s="105" t="n"/>
      <c r="J527" s="102" t="n"/>
      <c r="K527" s="106" t="n"/>
    </row>
    <row r="528">
      <c r="D528" s="102" t="n"/>
      <c r="E528" s="105" t="n"/>
      <c r="G528" s="102" t="n"/>
      <c r="H528" s="105" t="n"/>
      <c r="J528" s="102" t="n"/>
      <c r="K528" s="106" t="n"/>
    </row>
    <row r="530">
      <c r="B530" s="2">
        <f>IF(HSI!$C$94="","",HSI!$C$94)</f>
        <v/>
      </c>
      <c r="C530" s="2">
        <f>IF(PULL_FUND="N","",IF(HSI!$C$94="","",HSI!$C$94))</f>
        <v/>
      </c>
      <c r="D530" s="104">
        <f>BDH($C530,NDE_FIELD,"-5AY","","Per=Y","cols=2;rows=5")</f>
        <v/>
      </c>
      <c r="E530" s="105" t="n"/>
      <c r="G530" s="104">
        <f>BQL($C530,BUYBACK_QUERY,$C$4,"fill=prev","showheaders=f","showids=f")</f>
        <v/>
      </c>
      <c r="H530" s="105" t="n"/>
      <c r="J530" s="104">
        <f>BDH($C530,"PX_LAST","-5AY","","Per=Y","cols=2;rows=5")</f>
        <v/>
      </c>
      <c r="K530" s="106" t="n"/>
    </row>
    <row r="531">
      <c r="D531" s="102" t="n"/>
      <c r="E531" s="105" t="n"/>
      <c r="G531" s="102" t="n"/>
      <c r="H531" s="105" t="n"/>
      <c r="J531" s="102" t="n"/>
      <c r="K531" s="106" t="n"/>
    </row>
    <row r="532">
      <c r="D532" s="102" t="n"/>
      <c r="E532" s="105" t="n"/>
      <c r="G532" s="102" t="n"/>
      <c r="H532" s="105" t="n"/>
      <c r="J532" s="102" t="n"/>
      <c r="K532" s="106" t="n"/>
    </row>
    <row r="533">
      <c r="D533" s="102" t="n"/>
      <c r="E533" s="105" t="n"/>
      <c r="G533" s="102" t="n"/>
      <c r="H533" s="105" t="n"/>
      <c r="J533" s="102" t="n"/>
      <c r="K533" s="106" t="n"/>
    </row>
    <row r="534">
      <c r="D534" s="102" t="n"/>
      <c r="E534" s="105" t="n"/>
      <c r="G534" s="102" t="n"/>
      <c r="H534" s="105" t="n"/>
      <c r="J534" s="102" t="n"/>
      <c r="K534" s="106" t="n"/>
    </row>
    <row r="536">
      <c r="B536" s="2">
        <f>IF(HSI!$C$95="","",HSI!$C$95)</f>
        <v/>
      </c>
      <c r="C536" s="2">
        <f>IF(PULL_FUND="N","",IF(HSI!$C$95="","",HSI!$C$95))</f>
        <v/>
      </c>
      <c r="D536" s="104">
        <f>BDH($C536,NDE_FIELD,"-5AY","","Per=Y","cols=2;rows=5")</f>
        <v/>
      </c>
      <c r="E536" s="105" t="n"/>
      <c r="G536" s="104">
        <f>BQL($C536,BUYBACK_QUERY,$C$4,"fill=prev","showheaders=f","showids=f")</f>
        <v/>
      </c>
      <c r="H536" s="105" t="n"/>
      <c r="J536" s="104">
        <f>BDH($C536,"PX_LAST","-5AY","","Per=Y","cols=2;rows=5")</f>
        <v/>
      </c>
      <c r="K536" s="106" t="n"/>
    </row>
    <row r="537">
      <c r="D537" s="102" t="n"/>
      <c r="E537" s="105" t="n"/>
      <c r="G537" s="102" t="n"/>
      <c r="H537" s="105" t="n"/>
      <c r="J537" s="102" t="n"/>
      <c r="K537" s="106" t="n"/>
    </row>
    <row r="538">
      <c r="D538" s="102" t="n"/>
      <c r="E538" s="105" t="n"/>
      <c r="G538" s="102" t="n"/>
      <c r="H538" s="105" t="n"/>
      <c r="J538" s="102" t="n"/>
      <c r="K538" s="106" t="n"/>
    </row>
    <row r="539">
      <c r="D539" s="102" t="n"/>
      <c r="E539" s="105" t="n"/>
      <c r="G539" s="102" t="n"/>
      <c r="H539" s="105" t="n"/>
      <c r="J539" s="102" t="n"/>
      <c r="K539" s="106" t="n"/>
    </row>
    <row r="540">
      <c r="D540" s="102" t="n"/>
      <c r="E540" s="105" t="n"/>
      <c r="G540" s="102" t="n"/>
      <c r="H540" s="105" t="n"/>
      <c r="J540" s="102" t="n"/>
      <c r="K540" s="106" t="n"/>
    </row>
    <row r="542">
      <c r="B542" s="2">
        <f>IF(HSI!$C$96="","",HSI!$C$96)</f>
        <v/>
      </c>
      <c r="C542" s="2">
        <f>IF(PULL_FUND="N","",IF(HSI!$C$96="","",HSI!$C$96))</f>
        <v/>
      </c>
      <c r="D542" s="104">
        <f>BDH($C542,NDE_FIELD,"-5AY","","Per=Y","cols=2;rows=5")</f>
        <v/>
      </c>
      <c r="E542" s="105" t="n"/>
      <c r="G542" s="104">
        <f>BQL($C542,BUYBACK_QUERY,$C$4,"fill=prev","showheaders=f","showids=f")</f>
        <v/>
      </c>
      <c r="H542" s="105" t="n"/>
      <c r="J542" s="104">
        <f>BDH($C542,"PX_LAST","-5AY","","Per=Y","cols=2;rows=5")</f>
        <v/>
      </c>
      <c r="K542" s="106" t="n"/>
    </row>
    <row r="543">
      <c r="D543" s="102" t="n"/>
      <c r="E543" s="105" t="n"/>
      <c r="G543" s="102" t="n"/>
      <c r="H543" s="105" t="n"/>
      <c r="J543" s="102" t="n"/>
      <c r="K543" s="106" t="n"/>
    </row>
    <row r="544">
      <c r="D544" s="102" t="n"/>
      <c r="E544" s="105" t="n"/>
      <c r="G544" s="102" t="n"/>
      <c r="H544" s="105" t="n"/>
      <c r="J544" s="102" t="n"/>
      <c r="K544" s="106" t="n"/>
    </row>
    <row r="545">
      <c r="D545" s="102" t="n"/>
      <c r="E545" s="105" t="n"/>
      <c r="G545" s="102" t="n"/>
      <c r="H545" s="105" t="n"/>
      <c r="J545" s="102" t="n"/>
      <c r="K545" s="106" t="n"/>
    </row>
    <row r="546">
      <c r="D546" s="102" t="n"/>
      <c r="E546" s="105" t="n"/>
      <c r="G546" s="102" t="n"/>
      <c r="H546" s="105" t="n"/>
      <c r="J546" s="102" t="n"/>
      <c r="K546" s="106" t="n"/>
    </row>
    <row r="548">
      <c r="B548" s="2">
        <f>IF(HSI!$C$97="","",HSI!$C$97)</f>
        <v/>
      </c>
      <c r="C548" s="2">
        <f>IF(PULL_FUND="N","",IF(HSI!$C$97="","",HSI!$C$97))</f>
        <v/>
      </c>
      <c r="D548" s="104">
        <f>BDH($C548,NDE_FIELD,"-5AY","","Per=Y","cols=2;rows=5")</f>
        <v/>
      </c>
      <c r="E548" s="105" t="n"/>
      <c r="G548" s="104">
        <f>BQL($C548,BUYBACK_QUERY,$C$4,"fill=prev","showheaders=f","showids=f")</f>
        <v/>
      </c>
      <c r="H548" s="105" t="n"/>
      <c r="J548" s="104">
        <f>BDH($C548,"PX_LAST","-5AY","","Per=Y","cols=2;rows=5")</f>
        <v/>
      </c>
      <c r="K548" s="106" t="n"/>
    </row>
    <row r="549">
      <c r="D549" s="102" t="n"/>
      <c r="E549" s="105" t="n"/>
      <c r="G549" s="102" t="n"/>
      <c r="H549" s="105" t="n"/>
      <c r="J549" s="102" t="n"/>
      <c r="K549" s="106" t="n"/>
    </row>
    <row r="550">
      <c r="D550" s="102" t="n"/>
      <c r="E550" s="105" t="n"/>
      <c r="G550" s="102" t="n"/>
      <c r="H550" s="105" t="n"/>
      <c r="J550" s="102" t="n"/>
      <c r="K550" s="106" t="n"/>
    </row>
    <row r="551">
      <c r="D551" s="102" t="n"/>
      <c r="E551" s="105" t="n"/>
      <c r="G551" s="102" t="n"/>
      <c r="H551" s="105" t="n"/>
      <c r="J551" s="102" t="n"/>
      <c r="K551" s="106" t="n"/>
    </row>
    <row r="552">
      <c r="D552" s="102" t="n"/>
      <c r="E552" s="105" t="n"/>
      <c r="G552" s="102" t="n"/>
      <c r="H552" s="105" t="n"/>
      <c r="J552" s="102" t="n"/>
      <c r="K552" s="106" t="n"/>
    </row>
    <row r="554">
      <c r="B554" s="2">
        <f>IF(HSI!$C$98="","",HSI!$C$98)</f>
        <v/>
      </c>
      <c r="C554" s="2">
        <f>IF(PULL_FUND="N","",IF(HSI!$C$98="","",HSI!$C$98))</f>
        <v/>
      </c>
      <c r="D554" s="104">
        <f>BDH($C554,NDE_FIELD,"-5AY","","Per=Y","cols=2;rows=5")</f>
        <v/>
      </c>
      <c r="E554" s="105" t="n"/>
      <c r="G554" s="104">
        <f>BQL($C554,BUYBACK_QUERY,$C$4,"fill=prev","showheaders=f","showids=f")</f>
        <v/>
      </c>
      <c r="H554" s="105" t="n"/>
      <c r="J554" s="104">
        <f>BDH($C554,"PX_LAST","-5AY","","Per=Y","cols=2;rows=5")</f>
        <v/>
      </c>
      <c r="K554" s="106" t="n"/>
    </row>
    <row r="555">
      <c r="D555" s="102" t="n"/>
      <c r="E555" s="105" t="n"/>
      <c r="G555" s="102" t="n"/>
      <c r="H555" s="105" t="n"/>
      <c r="J555" s="102" t="n"/>
      <c r="K555" s="106" t="n"/>
    </row>
    <row r="556">
      <c r="D556" s="102" t="n"/>
      <c r="E556" s="105" t="n"/>
      <c r="G556" s="102" t="n"/>
      <c r="H556" s="105" t="n"/>
      <c r="J556" s="102" t="n"/>
      <c r="K556" s="106" t="n"/>
    </row>
    <row r="557">
      <c r="D557" s="102" t="n"/>
      <c r="E557" s="105" t="n"/>
      <c r="G557" s="102" t="n"/>
      <c r="H557" s="105" t="n"/>
      <c r="J557" s="102" t="n"/>
      <c r="K557" s="106" t="n"/>
    </row>
    <row r="558">
      <c r="D558" s="102" t="n"/>
      <c r="E558" s="105" t="n"/>
      <c r="G558" s="102" t="n"/>
      <c r="H558" s="105" t="n"/>
      <c r="J558" s="102" t="n"/>
      <c r="K558" s="106" t="n"/>
    </row>
    <row r="560">
      <c r="B560" s="2">
        <f>IF(HSI!$C$99="","",HSI!$C$99)</f>
        <v/>
      </c>
      <c r="C560" s="2">
        <f>IF(PULL_FUND="N","",IF(HSI!$C$99="","",HSI!$C$99))</f>
        <v/>
      </c>
      <c r="D560" s="104">
        <f>BDH($C560,NDE_FIELD,"-5AY","","Per=Y","cols=2;rows=5")</f>
        <v/>
      </c>
      <c r="E560" s="105" t="n"/>
      <c r="G560" s="104">
        <f>BQL($C560,BUYBACK_QUERY,$C$4,"fill=prev","showheaders=f","showids=f")</f>
        <v/>
      </c>
      <c r="H560" s="105" t="n"/>
      <c r="J560" s="104">
        <f>BDH($C560,"PX_LAST","-5AY","","Per=Y","cols=2;rows=5")</f>
        <v/>
      </c>
      <c r="K560" s="106" t="n"/>
    </row>
    <row r="561">
      <c r="D561" s="102" t="n"/>
      <c r="E561" s="105" t="n"/>
      <c r="G561" s="102" t="n"/>
      <c r="H561" s="105" t="n"/>
      <c r="J561" s="102" t="n"/>
      <c r="K561" s="106" t="n"/>
    </row>
    <row r="562">
      <c r="D562" s="102" t="n"/>
      <c r="E562" s="105" t="n"/>
      <c r="G562" s="102" t="n"/>
      <c r="H562" s="105" t="n"/>
      <c r="J562" s="102" t="n"/>
      <c r="K562" s="106" t="n"/>
    </row>
    <row r="563">
      <c r="D563" s="102" t="n"/>
      <c r="E563" s="105" t="n"/>
      <c r="G563" s="102" t="n"/>
      <c r="H563" s="105" t="n"/>
      <c r="J563" s="102" t="n"/>
      <c r="K563" s="106" t="n"/>
    </row>
    <row r="564">
      <c r="D564" s="102" t="n"/>
      <c r="E564" s="105" t="n"/>
      <c r="G564" s="102" t="n"/>
      <c r="H564" s="105" t="n"/>
      <c r="J564" s="102" t="n"/>
      <c r="K564" s="106" t="n"/>
    </row>
    <row r="566">
      <c r="B566" s="2">
        <f>IF(HSI!$C$100="","",HSI!$C$100)</f>
        <v/>
      </c>
      <c r="C566" s="2">
        <f>IF(PULL_FUND="N","",IF(HSI!$C$100="","",HSI!$C$100))</f>
        <v/>
      </c>
      <c r="D566" s="104">
        <f>BDH($C566,NDE_FIELD,"-5AY","","Per=Y","cols=2;rows=5")</f>
        <v/>
      </c>
      <c r="E566" s="105" t="n"/>
      <c r="G566" s="104">
        <f>BQL($C566,BUYBACK_QUERY,$C$4,"fill=prev","showheaders=f","showids=f")</f>
        <v/>
      </c>
      <c r="H566" s="105" t="n"/>
      <c r="J566" s="104">
        <f>BDH($C566,"PX_LAST","-5AY","","Per=Y","cols=2;rows=5")</f>
        <v/>
      </c>
      <c r="K566" s="106" t="n"/>
    </row>
    <row r="567">
      <c r="D567" s="102" t="n"/>
      <c r="E567" s="105" t="n"/>
      <c r="G567" s="102" t="n"/>
      <c r="H567" s="105" t="n"/>
      <c r="J567" s="102" t="n"/>
      <c r="K567" s="106" t="n"/>
    </row>
    <row r="568">
      <c r="D568" s="102" t="n"/>
      <c r="E568" s="105" t="n"/>
      <c r="G568" s="102" t="n"/>
      <c r="H568" s="105" t="n"/>
      <c r="J568" s="102" t="n"/>
      <c r="K568" s="106" t="n"/>
    </row>
    <row r="569">
      <c r="D569" s="102" t="n"/>
      <c r="E569" s="105" t="n"/>
      <c r="G569" s="102" t="n"/>
      <c r="H569" s="105" t="n"/>
      <c r="J569" s="102" t="n"/>
      <c r="K569" s="106" t="n"/>
    </row>
    <row r="570">
      <c r="D570" s="102" t="n"/>
      <c r="E570" s="105" t="n"/>
      <c r="G570" s="102" t="n"/>
      <c r="H570" s="105" t="n"/>
      <c r="J570" s="102" t="n"/>
      <c r="K570" s="106" t="n"/>
    </row>
    <row r="572">
      <c r="B572" s="2">
        <f>IF(HSI!$C$101="","",HSI!$C$101)</f>
        <v/>
      </c>
      <c r="C572" s="2">
        <f>IF(PULL_FUND="N","",IF(HSI!$C$101="","",HSI!$C$101))</f>
        <v/>
      </c>
      <c r="D572" s="104">
        <f>BDH($C572,NDE_FIELD,"-5AY","","Per=Y","cols=2;rows=5")</f>
        <v/>
      </c>
      <c r="E572" s="105" t="n"/>
      <c r="G572" s="104">
        <f>BQL($C572,BUYBACK_QUERY,$C$4,"fill=prev","showheaders=f","showids=f")</f>
        <v/>
      </c>
      <c r="H572" s="105" t="n"/>
      <c r="J572" s="104">
        <f>BDH($C572,"PX_LAST","-5AY","","Per=Y","cols=2;rows=5")</f>
        <v/>
      </c>
      <c r="K572" s="106" t="n"/>
    </row>
    <row r="573">
      <c r="D573" s="102" t="n"/>
      <c r="E573" s="105" t="n"/>
      <c r="G573" s="102" t="n"/>
      <c r="H573" s="105" t="n"/>
      <c r="J573" s="102" t="n"/>
      <c r="K573" s="106" t="n"/>
    </row>
    <row r="574">
      <c r="D574" s="102" t="n"/>
      <c r="E574" s="105" t="n"/>
      <c r="G574" s="102" t="n"/>
      <c r="H574" s="105" t="n"/>
      <c r="J574" s="102" t="n"/>
      <c r="K574" s="106" t="n"/>
    </row>
    <row r="575">
      <c r="D575" s="102" t="n"/>
      <c r="E575" s="105" t="n"/>
      <c r="G575" s="102" t="n"/>
      <c r="H575" s="105" t="n"/>
      <c r="J575" s="102" t="n"/>
      <c r="K575" s="106" t="n"/>
    </row>
    <row r="576">
      <c r="D576" s="102" t="n"/>
      <c r="E576" s="105" t="n"/>
      <c r="G576" s="102" t="n"/>
      <c r="H576" s="105" t="n"/>
      <c r="J576" s="102" t="n"/>
      <c r="K576" s="106" t="n"/>
    </row>
    <row r="578">
      <c r="B578" s="2">
        <f>IF(HSI!$C$102="","",HSI!$C$102)</f>
        <v/>
      </c>
      <c r="C578" s="2">
        <f>IF(PULL_FUND="N","",IF(HSI!$C$102="","",HSI!$C$102))</f>
        <v/>
      </c>
      <c r="D578" s="104">
        <f>BDH($C578,NDE_FIELD,"-5AY","","Per=Y","cols=2;rows=5")</f>
        <v/>
      </c>
      <c r="E578" s="105" t="n"/>
      <c r="G578" s="104">
        <f>BQL($C578,BUYBACK_QUERY,$C$4,"fill=prev","showheaders=f","showids=f")</f>
        <v/>
      </c>
      <c r="H578" s="105" t="n"/>
      <c r="J578" s="104">
        <f>BDH($C578,"PX_LAST","-5AY","","Per=Y","cols=2;rows=5")</f>
        <v/>
      </c>
      <c r="K578" s="106" t="n"/>
    </row>
    <row r="579">
      <c r="D579" s="102" t="n"/>
      <c r="E579" s="105" t="n"/>
      <c r="G579" s="102" t="n"/>
      <c r="H579" s="105" t="n"/>
      <c r="J579" s="102" t="n"/>
      <c r="K579" s="106" t="n"/>
    </row>
    <row r="580">
      <c r="D580" s="102" t="n"/>
      <c r="E580" s="105" t="n"/>
      <c r="G580" s="102" t="n"/>
      <c r="H580" s="105" t="n"/>
      <c r="J580" s="102" t="n"/>
      <c r="K580" s="106" t="n"/>
    </row>
    <row r="581">
      <c r="D581" s="102" t="n"/>
      <c r="E581" s="105" t="n"/>
      <c r="G581" s="102" t="n"/>
      <c r="H581" s="105" t="n"/>
      <c r="J581" s="102" t="n"/>
      <c r="K581" s="106" t="n"/>
    </row>
    <row r="582">
      <c r="D582" s="102" t="n"/>
      <c r="E582" s="105" t="n"/>
      <c r="G582" s="102" t="n"/>
      <c r="H582" s="105" t="n"/>
      <c r="J582" s="102" t="n"/>
      <c r="K582" s="106" t="n"/>
    </row>
    <row r="584">
      <c r="B584" s="2">
        <f>IF(HSI!$C$103="","",HSI!$C$103)</f>
        <v/>
      </c>
      <c r="C584" s="2">
        <f>IF(PULL_FUND="N","",IF(HSI!$C$103="","",HSI!$C$103))</f>
        <v/>
      </c>
      <c r="D584" s="104">
        <f>BDH($C584,NDE_FIELD,"-5AY","","Per=Y","cols=2;rows=5")</f>
        <v/>
      </c>
      <c r="E584" s="105" t="n"/>
      <c r="G584" s="104">
        <f>BQL($C584,BUYBACK_QUERY,$C$4,"fill=prev","showheaders=f","showids=f")</f>
        <v/>
      </c>
      <c r="H584" s="105" t="n"/>
      <c r="J584" s="104">
        <f>BDH($C584,"PX_LAST","-5AY","","Per=Y","cols=2;rows=5")</f>
        <v/>
      </c>
      <c r="K584" s="106" t="n"/>
    </row>
    <row r="585">
      <c r="D585" s="102" t="n"/>
      <c r="E585" s="105" t="n"/>
      <c r="G585" s="102" t="n"/>
      <c r="H585" s="105" t="n"/>
      <c r="J585" s="102" t="n"/>
      <c r="K585" s="106" t="n"/>
    </row>
    <row r="586">
      <c r="D586" s="102" t="n"/>
      <c r="E586" s="105" t="n"/>
      <c r="G586" s="102" t="n"/>
      <c r="H586" s="105" t="n"/>
      <c r="J586" s="102" t="n"/>
      <c r="K586" s="106" t="n"/>
    </row>
    <row r="587">
      <c r="D587" s="102" t="n"/>
      <c r="E587" s="105" t="n"/>
      <c r="G587" s="102" t="n"/>
      <c r="H587" s="105" t="n"/>
      <c r="J587" s="102" t="n"/>
      <c r="K587" s="106" t="n"/>
    </row>
    <row r="588">
      <c r="D588" s="102" t="n"/>
      <c r="E588" s="105" t="n"/>
      <c r="G588" s="102" t="n"/>
      <c r="H588" s="105" t="n"/>
      <c r="J588" s="102" t="n"/>
      <c r="K588" s="106" t="n"/>
    </row>
    <row r="590">
      <c r="B590" s="2">
        <f>IF(HSI!$C$104="","",HSI!$C$104)</f>
        <v/>
      </c>
      <c r="C590" s="2">
        <f>IF(PULL_FUND="N","",IF(HSI!$C$104="","",HSI!$C$104))</f>
        <v/>
      </c>
      <c r="D590" s="104">
        <f>BDH($C590,NDE_FIELD,"-5AY","","Per=Y","cols=2;rows=5")</f>
        <v/>
      </c>
      <c r="E590" s="105" t="n"/>
      <c r="G590" s="104">
        <f>BQL($C590,BUYBACK_QUERY,$C$4,"fill=prev","showheaders=f","showids=f")</f>
        <v/>
      </c>
      <c r="H590" s="105" t="n"/>
      <c r="J590" s="104">
        <f>BDH($C590,"PX_LAST","-5AY","","Per=Y","cols=2;rows=5")</f>
        <v/>
      </c>
      <c r="K590" s="106" t="n"/>
    </row>
    <row r="591">
      <c r="D591" s="102" t="n"/>
      <c r="E591" s="105" t="n"/>
      <c r="G591" s="102" t="n"/>
      <c r="H591" s="105" t="n"/>
      <c r="J591" s="102" t="n"/>
      <c r="K591" s="106" t="n"/>
    </row>
    <row r="592">
      <c r="D592" s="102" t="n"/>
      <c r="E592" s="105" t="n"/>
      <c r="G592" s="102" t="n"/>
      <c r="H592" s="105" t="n"/>
      <c r="J592" s="102" t="n"/>
      <c r="K592" s="106" t="n"/>
    </row>
    <row r="593">
      <c r="D593" s="102" t="n"/>
      <c r="E593" s="105" t="n"/>
      <c r="G593" s="102" t="n"/>
      <c r="H593" s="105" t="n"/>
      <c r="J593" s="102" t="n"/>
      <c r="K593" s="106" t="n"/>
    </row>
    <row r="594">
      <c r="D594" s="102" t="n"/>
      <c r="E594" s="105" t="n"/>
      <c r="G594" s="102" t="n"/>
      <c r="H594" s="105" t="n"/>
      <c r="J594" s="102" t="n"/>
      <c r="K594" s="106" t="n"/>
    </row>
    <row r="596">
      <c r="B596" s="2">
        <f>IF(HSI!$C$105="","",HSI!$C$105)</f>
        <v/>
      </c>
      <c r="C596" s="2">
        <f>IF(PULL_FUND="N","",IF(HSI!$C$105="","",HSI!$C$105))</f>
        <v/>
      </c>
      <c r="D596" s="104">
        <f>BDH($C596,NDE_FIELD,"-5AY","","Per=Y","cols=2;rows=5")</f>
        <v/>
      </c>
      <c r="E596" s="105" t="n"/>
      <c r="G596" s="104">
        <f>BQL($C596,BUYBACK_QUERY,$C$4,"fill=prev","showheaders=f","showids=f")</f>
        <v/>
      </c>
      <c r="H596" s="105" t="n"/>
      <c r="J596" s="104">
        <f>BDH($C596,"PX_LAST","-5AY","","Per=Y","cols=2;rows=5")</f>
        <v/>
      </c>
      <c r="K596" s="106" t="n"/>
    </row>
    <row r="597">
      <c r="D597" s="102" t="n"/>
      <c r="E597" s="105" t="n"/>
      <c r="G597" s="102" t="n"/>
      <c r="H597" s="105" t="n"/>
      <c r="J597" s="102" t="n"/>
      <c r="K597" s="106" t="n"/>
    </row>
    <row r="598">
      <c r="D598" s="102" t="n"/>
      <c r="E598" s="105" t="n"/>
      <c r="G598" s="102" t="n"/>
      <c r="H598" s="105" t="n"/>
      <c r="J598" s="102" t="n"/>
      <c r="K598" s="106" t="n"/>
    </row>
    <row r="599">
      <c r="D599" s="102" t="n"/>
      <c r="E599" s="105" t="n"/>
      <c r="G599" s="102" t="n"/>
      <c r="H599" s="105" t="n"/>
      <c r="J599" s="102" t="n"/>
      <c r="K599" s="106" t="n"/>
    </row>
    <row r="600">
      <c r="D600" s="102" t="n"/>
      <c r="E600" s="105" t="n"/>
      <c r="G600" s="102" t="n"/>
      <c r="H600" s="105" t="n"/>
      <c r="J600" s="102" t="n"/>
      <c r="K600" s="106" t="n"/>
    </row>
    <row r="602">
      <c r="B602" s="2">
        <f>IF(HSI!$C$106="","",HSI!$C$106)</f>
        <v/>
      </c>
      <c r="C602" s="2">
        <f>IF(PULL_FUND="N","",IF(HSI!$C$106="","",HSI!$C$106))</f>
        <v/>
      </c>
      <c r="D602" s="104">
        <f>BDH($C602,NDE_FIELD,"-5AY","","Per=Y","cols=2;rows=5")</f>
        <v/>
      </c>
      <c r="E602" s="105" t="n"/>
      <c r="G602" s="104">
        <f>BQL($C602,BUYBACK_QUERY,$C$4,"fill=prev","showheaders=f","showids=f")</f>
        <v/>
      </c>
      <c r="H602" s="105" t="n"/>
      <c r="J602" s="104">
        <f>BDH($C602,"PX_LAST","-5AY","","Per=Y","cols=2;rows=5")</f>
        <v/>
      </c>
      <c r="K602" s="106" t="n"/>
    </row>
    <row r="603">
      <c r="D603" s="102" t="n"/>
      <c r="E603" s="105" t="n"/>
      <c r="G603" s="102" t="n"/>
      <c r="H603" s="105" t="n"/>
      <c r="J603" s="102" t="n"/>
      <c r="K603" s="106" t="n"/>
    </row>
    <row r="604">
      <c r="D604" s="102" t="n"/>
      <c r="E604" s="105" t="n"/>
      <c r="G604" s="102" t="n"/>
      <c r="H604" s="105" t="n"/>
      <c r="J604" s="102" t="n"/>
      <c r="K604" s="106" t="n"/>
    </row>
    <row r="605">
      <c r="D605" s="102" t="n"/>
      <c r="E605" s="105" t="n"/>
      <c r="G605" s="102" t="n"/>
      <c r="H605" s="105" t="n"/>
      <c r="J605" s="102" t="n"/>
      <c r="K605" s="106" t="n"/>
    </row>
    <row r="606">
      <c r="D606" s="102" t="n"/>
      <c r="E606" s="105" t="n"/>
      <c r="G606" s="102" t="n"/>
      <c r="H606" s="105" t="n"/>
      <c r="J606" s="102" t="n"/>
      <c r="K606" s="106" t="n"/>
    </row>
    <row r="610">
      <c r="B610" s="6" t="inlineStr">
        <is>
          <t>Hang Seng TECH Index (HSTECH)</t>
        </is>
      </c>
      <c r="C610" s="7" t="n"/>
      <c r="D610" s="10">
        <f>IF(COUNT($D$612:$D$851)&gt;0,"BDH shape OK - dates in column D",IF(COUNT($E$612:$E$851)&gt;0,"CHECK: BDH returned values but NO date column - tell Claude","BDH: nothing pulled yet"))</f>
        <v/>
      </c>
      <c r="E610" s="7" t="n"/>
      <c r="F610" s="7" t="n"/>
      <c r="G610" s="10">
        <f>IF(COUNT($G$612:$G$851)&gt;0,"BQL shape OK - dates in column G",IF(COUNT($H$612:$H$851)&gt;0,"CHECK: BQL returned values but NO date column - tell Claude","BQL: nothing pulled yet"))</f>
        <v/>
      </c>
      <c r="H610" s="7" t="n"/>
      <c r="J610" s="2">
        <f>IF(COUNT($J$612:$J$851)&gt;0,"PX shape OK - dates in column J",IF(COUNT($K$612:$K$851)&gt;0,"CHECK: PX returned values but NO date column - tell Claude","PX: nothing pulled yet"))</f>
        <v/>
      </c>
    </row>
    <row r="611">
      <c r="D611" s="2" t="inlineStr">
        <is>
          <t>net debt/equity (BDH)</t>
        </is>
      </c>
      <c r="G611" s="2" t="inlineStr">
        <is>
          <t>buyback yield (BQL)</t>
        </is>
      </c>
      <c r="J611" s="2" t="inlineStr">
        <is>
          <t>year-end price (BDH)</t>
        </is>
      </c>
    </row>
    <row r="612">
      <c r="B612" s="2">
        <f>IF(HSTECH!$C$7="","",HSTECH!$C$7)</f>
        <v/>
      </c>
      <c r="C612" s="2">
        <f>IF(PULL_FUND="N","",IF(HSTECH!$C$7="","",HSTECH!$C$7))</f>
        <v/>
      </c>
      <c r="D612" s="104">
        <f>BDH($C612,NDE_FIELD,"-5AY","","Per=Y","cols=2;rows=5")</f>
        <v/>
      </c>
      <c r="E612" s="105" t="n"/>
      <c r="G612" s="104">
        <f>BQL($C612,BUYBACK_QUERY,$C$4,"fill=prev","showheaders=f","showids=f")</f>
        <v/>
      </c>
      <c r="H612" s="105" t="n"/>
      <c r="J612" s="104">
        <f>BDH($C612,"PX_LAST","-5AY","","Per=Y","cols=2;rows=5")</f>
        <v/>
      </c>
      <c r="K612" s="106" t="n"/>
    </row>
    <row r="613">
      <c r="D613" s="102" t="n"/>
      <c r="E613" s="105" t="n"/>
      <c r="G613" s="102" t="n"/>
      <c r="H613" s="105" t="n"/>
      <c r="J613" s="102" t="n"/>
      <c r="K613" s="106" t="n"/>
    </row>
    <row r="614">
      <c r="D614" s="102" t="n"/>
      <c r="E614" s="105" t="n"/>
      <c r="G614" s="102" t="n"/>
      <c r="H614" s="105" t="n"/>
      <c r="J614" s="102" t="n"/>
      <c r="K614" s="106" t="n"/>
    </row>
    <row r="615">
      <c r="D615" s="102" t="n"/>
      <c r="E615" s="105" t="n"/>
      <c r="G615" s="102" t="n"/>
      <c r="H615" s="105" t="n"/>
      <c r="J615" s="102" t="n"/>
      <c r="K615" s="106" t="n"/>
    </row>
    <row r="616">
      <c r="D616" s="102" t="n"/>
      <c r="E616" s="105" t="n"/>
      <c r="G616" s="102" t="n"/>
      <c r="H616" s="105" t="n"/>
      <c r="J616" s="102" t="n"/>
      <c r="K616" s="106" t="n"/>
    </row>
    <row r="618">
      <c r="B618" s="2">
        <f>IF(HSTECH!$C$8="","",HSTECH!$C$8)</f>
        <v/>
      </c>
      <c r="C618" s="2">
        <f>IF(PULL_FUND="N","",IF(HSTECH!$C$8="","",HSTECH!$C$8))</f>
        <v/>
      </c>
      <c r="D618" s="104">
        <f>BDH($C618,NDE_FIELD,"-5AY","","Per=Y","cols=2;rows=5")</f>
        <v/>
      </c>
      <c r="E618" s="105" t="n"/>
      <c r="G618" s="104">
        <f>BQL($C618,BUYBACK_QUERY,$C$4,"fill=prev","showheaders=f","showids=f")</f>
        <v/>
      </c>
      <c r="H618" s="105" t="n"/>
      <c r="J618" s="104">
        <f>BDH($C618,"PX_LAST","-5AY","","Per=Y","cols=2;rows=5")</f>
        <v/>
      </c>
      <c r="K618" s="106" t="n"/>
    </row>
    <row r="619">
      <c r="D619" s="102" t="n"/>
      <c r="E619" s="105" t="n"/>
      <c r="G619" s="102" t="n"/>
      <c r="H619" s="105" t="n"/>
      <c r="J619" s="102" t="n"/>
      <c r="K619" s="106" t="n"/>
    </row>
    <row r="620">
      <c r="D620" s="102" t="n"/>
      <c r="E620" s="105" t="n"/>
      <c r="G620" s="102" t="n"/>
      <c r="H620" s="105" t="n"/>
      <c r="J620" s="102" t="n"/>
      <c r="K620" s="106" t="n"/>
    </row>
    <row r="621">
      <c r="D621" s="102" t="n"/>
      <c r="E621" s="105" t="n"/>
      <c r="G621" s="102" t="n"/>
      <c r="H621" s="105" t="n"/>
      <c r="J621" s="102" t="n"/>
      <c r="K621" s="106" t="n"/>
    </row>
    <row r="622">
      <c r="D622" s="102" t="n"/>
      <c r="E622" s="105" t="n"/>
      <c r="G622" s="102" t="n"/>
      <c r="H622" s="105" t="n"/>
      <c r="J622" s="102" t="n"/>
      <c r="K622" s="106" t="n"/>
    </row>
    <row r="624">
      <c r="B624" s="2">
        <f>IF(HSTECH!$C$9="","",HSTECH!$C$9)</f>
        <v/>
      </c>
      <c r="C624" s="2">
        <f>IF(PULL_FUND="N","",IF(HSTECH!$C$9="","",HSTECH!$C$9))</f>
        <v/>
      </c>
      <c r="D624" s="104">
        <f>BDH($C624,NDE_FIELD,"-5AY","","Per=Y","cols=2;rows=5")</f>
        <v/>
      </c>
      <c r="E624" s="105" t="n"/>
      <c r="G624" s="104">
        <f>BQL($C624,BUYBACK_QUERY,$C$4,"fill=prev","showheaders=f","showids=f")</f>
        <v/>
      </c>
      <c r="H624" s="105" t="n"/>
      <c r="J624" s="104">
        <f>BDH($C624,"PX_LAST","-5AY","","Per=Y","cols=2;rows=5")</f>
        <v/>
      </c>
      <c r="K624" s="106" t="n"/>
    </row>
    <row r="625">
      <c r="D625" s="102" t="n"/>
      <c r="E625" s="105" t="n"/>
      <c r="G625" s="102" t="n"/>
      <c r="H625" s="105" t="n"/>
      <c r="J625" s="102" t="n"/>
      <c r="K625" s="106" t="n"/>
    </row>
    <row r="626">
      <c r="D626" s="102" t="n"/>
      <c r="E626" s="105" t="n"/>
      <c r="G626" s="102" t="n"/>
      <c r="H626" s="105" t="n"/>
      <c r="J626" s="102" t="n"/>
      <c r="K626" s="106" t="n"/>
    </row>
    <row r="627">
      <c r="D627" s="102" t="n"/>
      <c r="E627" s="105" t="n"/>
      <c r="G627" s="102" t="n"/>
      <c r="H627" s="105" t="n"/>
      <c r="J627" s="102" t="n"/>
      <c r="K627" s="106" t="n"/>
    </row>
    <row r="628">
      <c r="D628" s="102" t="n"/>
      <c r="E628" s="105" t="n"/>
      <c r="G628" s="102" t="n"/>
      <c r="H628" s="105" t="n"/>
      <c r="J628" s="102" t="n"/>
      <c r="K628" s="106" t="n"/>
    </row>
    <row r="630">
      <c r="B630" s="2">
        <f>IF(HSTECH!$C$10="","",HSTECH!$C$10)</f>
        <v/>
      </c>
      <c r="C630" s="2">
        <f>IF(PULL_FUND="N","",IF(HSTECH!$C$10="","",HSTECH!$C$10))</f>
        <v/>
      </c>
      <c r="D630" s="104">
        <f>BDH($C630,NDE_FIELD,"-5AY","","Per=Y","cols=2;rows=5")</f>
        <v/>
      </c>
      <c r="E630" s="105" t="n"/>
      <c r="G630" s="104">
        <f>BQL($C630,BUYBACK_QUERY,$C$4,"fill=prev","showheaders=f","showids=f")</f>
        <v/>
      </c>
      <c r="H630" s="105" t="n"/>
      <c r="J630" s="104">
        <f>BDH($C630,"PX_LAST","-5AY","","Per=Y","cols=2;rows=5")</f>
        <v/>
      </c>
      <c r="K630" s="106" t="n"/>
    </row>
    <row r="631">
      <c r="D631" s="102" t="n"/>
      <c r="E631" s="105" t="n"/>
      <c r="G631" s="102" t="n"/>
      <c r="H631" s="105" t="n"/>
      <c r="J631" s="102" t="n"/>
      <c r="K631" s="106" t="n"/>
    </row>
    <row r="632">
      <c r="D632" s="102" t="n"/>
      <c r="E632" s="105" t="n"/>
      <c r="G632" s="102" t="n"/>
      <c r="H632" s="105" t="n"/>
      <c r="J632" s="102" t="n"/>
      <c r="K632" s="106" t="n"/>
    </row>
    <row r="633">
      <c r="D633" s="102" t="n"/>
      <c r="E633" s="105" t="n"/>
      <c r="G633" s="102" t="n"/>
      <c r="H633" s="105" t="n"/>
      <c r="J633" s="102" t="n"/>
      <c r="K633" s="106" t="n"/>
    </row>
    <row r="634">
      <c r="D634" s="102" t="n"/>
      <c r="E634" s="105" t="n"/>
      <c r="G634" s="102" t="n"/>
      <c r="H634" s="105" t="n"/>
      <c r="J634" s="102" t="n"/>
      <c r="K634" s="106" t="n"/>
    </row>
    <row r="636">
      <c r="B636" s="2">
        <f>IF(HSTECH!$C$11="","",HSTECH!$C$11)</f>
        <v/>
      </c>
      <c r="C636" s="2">
        <f>IF(PULL_FUND="N","",IF(HSTECH!$C$11="","",HSTECH!$C$11))</f>
        <v/>
      </c>
      <c r="D636" s="104">
        <f>BDH($C636,NDE_FIELD,"-5AY","","Per=Y","cols=2;rows=5")</f>
        <v/>
      </c>
      <c r="E636" s="105" t="n"/>
      <c r="G636" s="104">
        <f>BQL($C636,BUYBACK_QUERY,$C$4,"fill=prev","showheaders=f","showids=f")</f>
        <v/>
      </c>
      <c r="H636" s="105" t="n"/>
      <c r="J636" s="104">
        <f>BDH($C636,"PX_LAST","-5AY","","Per=Y","cols=2;rows=5")</f>
        <v/>
      </c>
      <c r="K636" s="106" t="n"/>
    </row>
    <row r="637">
      <c r="D637" s="102" t="n"/>
      <c r="E637" s="105" t="n"/>
      <c r="G637" s="102" t="n"/>
      <c r="H637" s="105" t="n"/>
      <c r="J637" s="102" t="n"/>
      <c r="K637" s="106" t="n"/>
    </row>
    <row r="638">
      <c r="D638" s="102" t="n"/>
      <c r="E638" s="105" t="n"/>
      <c r="G638" s="102" t="n"/>
      <c r="H638" s="105" t="n"/>
      <c r="J638" s="102" t="n"/>
      <c r="K638" s="106" t="n"/>
    </row>
    <row r="639">
      <c r="D639" s="102" t="n"/>
      <c r="E639" s="105" t="n"/>
      <c r="G639" s="102" t="n"/>
      <c r="H639" s="105" t="n"/>
      <c r="J639" s="102" t="n"/>
      <c r="K639" s="106" t="n"/>
    </row>
    <row r="640">
      <c r="D640" s="102" t="n"/>
      <c r="E640" s="105" t="n"/>
      <c r="G640" s="102" t="n"/>
      <c r="H640" s="105" t="n"/>
      <c r="J640" s="102" t="n"/>
      <c r="K640" s="106" t="n"/>
    </row>
    <row r="642">
      <c r="B642" s="2">
        <f>IF(HSTECH!$C$12="","",HSTECH!$C$12)</f>
        <v/>
      </c>
      <c r="C642" s="2">
        <f>IF(PULL_FUND="N","",IF(HSTECH!$C$12="","",HSTECH!$C$12))</f>
        <v/>
      </c>
      <c r="D642" s="104">
        <f>BDH($C642,NDE_FIELD,"-5AY","","Per=Y","cols=2;rows=5")</f>
        <v/>
      </c>
      <c r="E642" s="105" t="n"/>
      <c r="G642" s="104">
        <f>BQL($C642,BUYBACK_QUERY,$C$4,"fill=prev","showheaders=f","showids=f")</f>
        <v/>
      </c>
      <c r="H642" s="105" t="n"/>
      <c r="J642" s="104">
        <f>BDH($C642,"PX_LAST","-5AY","","Per=Y","cols=2;rows=5")</f>
        <v/>
      </c>
      <c r="K642" s="106" t="n"/>
    </row>
    <row r="643">
      <c r="D643" s="102" t="n"/>
      <c r="E643" s="105" t="n"/>
      <c r="G643" s="102" t="n"/>
      <c r="H643" s="105" t="n"/>
      <c r="J643" s="102" t="n"/>
      <c r="K643" s="106" t="n"/>
    </row>
    <row r="644">
      <c r="D644" s="102" t="n"/>
      <c r="E644" s="105" t="n"/>
      <c r="G644" s="102" t="n"/>
      <c r="H644" s="105" t="n"/>
      <c r="J644" s="102" t="n"/>
      <c r="K644" s="106" t="n"/>
    </row>
    <row r="645">
      <c r="D645" s="102" t="n"/>
      <c r="E645" s="105" t="n"/>
      <c r="G645" s="102" t="n"/>
      <c r="H645" s="105" t="n"/>
      <c r="J645" s="102" t="n"/>
      <c r="K645" s="106" t="n"/>
    </row>
    <row r="646">
      <c r="D646" s="102" t="n"/>
      <c r="E646" s="105" t="n"/>
      <c r="G646" s="102" t="n"/>
      <c r="H646" s="105" t="n"/>
      <c r="J646" s="102" t="n"/>
      <c r="K646" s="106" t="n"/>
    </row>
    <row r="648">
      <c r="B648" s="2">
        <f>IF(HSTECH!$C$13="","",HSTECH!$C$13)</f>
        <v/>
      </c>
      <c r="C648" s="2">
        <f>IF(PULL_FUND="N","",IF(HSTECH!$C$13="","",HSTECH!$C$13))</f>
        <v/>
      </c>
      <c r="D648" s="104">
        <f>BDH($C648,NDE_FIELD,"-5AY","","Per=Y","cols=2;rows=5")</f>
        <v/>
      </c>
      <c r="E648" s="105" t="n"/>
      <c r="G648" s="104">
        <f>BQL($C648,BUYBACK_QUERY,$C$4,"fill=prev","showheaders=f","showids=f")</f>
        <v/>
      </c>
      <c r="H648" s="105" t="n"/>
      <c r="J648" s="104">
        <f>BDH($C648,"PX_LAST","-5AY","","Per=Y","cols=2;rows=5")</f>
        <v/>
      </c>
      <c r="K648" s="106" t="n"/>
    </row>
    <row r="649">
      <c r="D649" s="102" t="n"/>
      <c r="E649" s="105" t="n"/>
      <c r="G649" s="102" t="n"/>
      <c r="H649" s="105" t="n"/>
      <c r="J649" s="102" t="n"/>
      <c r="K649" s="106" t="n"/>
    </row>
    <row r="650">
      <c r="D650" s="102" t="n"/>
      <c r="E650" s="105" t="n"/>
      <c r="G650" s="102" t="n"/>
      <c r="H650" s="105" t="n"/>
      <c r="J650" s="102" t="n"/>
      <c r="K650" s="106" t="n"/>
    </row>
    <row r="651">
      <c r="D651" s="102" t="n"/>
      <c r="E651" s="105" t="n"/>
      <c r="G651" s="102" t="n"/>
      <c r="H651" s="105" t="n"/>
      <c r="J651" s="102" t="n"/>
      <c r="K651" s="106" t="n"/>
    </row>
    <row r="652">
      <c r="D652" s="102" t="n"/>
      <c r="E652" s="105" t="n"/>
      <c r="G652" s="102" t="n"/>
      <c r="H652" s="105" t="n"/>
      <c r="J652" s="102" t="n"/>
      <c r="K652" s="106" t="n"/>
    </row>
    <row r="654">
      <c r="B654" s="2">
        <f>IF(HSTECH!$C$14="","",HSTECH!$C$14)</f>
        <v/>
      </c>
      <c r="C654" s="2">
        <f>IF(PULL_FUND="N","",IF(HSTECH!$C$14="","",HSTECH!$C$14))</f>
        <v/>
      </c>
      <c r="D654" s="104">
        <f>BDH($C654,NDE_FIELD,"-5AY","","Per=Y","cols=2;rows=5")</f>
        <v/>
      </c>
      <c r="E654" s="105" t="n"/>
      <c r="G654" s="104">
        <f>BQL($C654,BUYBACK_QUERY,$C$4,"fill=prev","showheaders=f","showids=f")</f>
        <v/>
      </c>
      <c r="H654" s="105" t="n"/>
      <c r="J654" s="104">
        <f>BDH($C654,"PX_LAST","-5AY","","Per=Y","cols=2;rows=5")</f>
        <v/>
      </c>
      <c r="K654" s="106" t="n"/>
    </row>
    <row r="655">
      <c r="D655" s="102" t="n"/>
      <c r="E655" s="105" t="n"/>
      <c r="G655" s="102" t="n"/>
      <c r="H655" s="105" t="n"/>
      <c r="J655" s="102" t="n"/>
      <c r="K655" s="106" t="n"/>
    </row>
    <row r="656">
      <c r="D656" s="102" t="n"/>
      <c r="E656" s="105" t="n"/>
      <c r="G656" s="102" t="n"/>
      <c r="H656" s="105" t="n"/>
      <c r="J656" s="102" t="n"/>
      <c r="K656" s="106" t="n"/>
    </row>
    <row r="657">
      <c r="D657" s="102" t="n"/>
      <c r="E657" s="105" t="n"/>
      <c r="G657" s="102" t="n"/>
      <c r="H657" s="105" t="n"/>
      <c r="J657" s="102" t="n"/>
      <c r="K657" s="106" t="n"/>
    </row>
    <row r="658">
      <c r="D658" s="102" t="n"/>
      <c r="E658" s="105" t="n"/>
      <c r="G658" s="102" t="n"/>
      <c r="H658" s="105" t="n"/>
      <c r="J658" s="102" t="n"/>
      <c r="K658" s="106" t="n"/>
    </row>
    <row r="660">
      <c r="B660" s="2">
        <f>IF(HSTECH!$C$15="","",HSTECH!$C$15)</f>
        <v/>
      </c>
      <c r="C660" s="2">
        <f>IF(PULL_FUND="N","",IF(HSTECH!$C$15="","",HSTECH!$C$15))</f>
        <v/>
      </c>
      <c r="D660" s="104">
        <f>BDH($C660,NDE_FIELD,"-5AY","","Per=Y","cols=2;rows=5")</f>
        <v/>
      </c>
      <c r="E660" s="105" t="n"/>
      <c r="G660" s="104">
        <f>BQL($C660,BUYBACK_QUERY,$C$4,"fill=prev","showheaders=f","showids=f")</f>
        <v/>
      </c>
      <c r="H660" s="105" t="n"/>
      <c r="J660" s="104">
        <f>BDH($C660,"PX_LAST","-5AY","","Per=Y","cols=2;rows=5")</f>
        <v/>
      </c>
      <c r="K660" s="106" t="n"/>
    </row>
    <row r="661">
      <c r="D661" s="102" t="n"/>
      <c r="E661" s="105" t="n"/>
      <c r="G661" s="102" t="n"/>
      <c r="H661" s="105" t="n"/>
      <c r="J661" s="102" t="n"/>
      <c r="K661" s="106" t="n"/>
    </row>
    <row r="662">
      <c r="D662" s="102" t="n"/>
      <c r="E662" s="105" t="n"/>
      <c r="G662" s="102" t="n"/>
      <c r="H662" s="105" t="n"/>
      <c r="J662" s="102" t="n"/>
      <c r="K662" s="106" t="n"/>
    </row>
    <row r="663">
      <c r="D663" s="102" t="n"/>
      <c r="E663" s="105" t="n"/>
      <c r="G663" s="102" t="n"/>
      <c r="H663" s="105" t="n"/>
      <c r="J663" s="102" t="n"/>
      <c r="K663" s="106" t="n"/>
    </row>
    <row r="664">
      <c r="D664" s="102" t="n"/>
      <c r="E664" s="105" t="n"/>
      <c r="G664" s="102" t="n"/>
      <c r="H664" s="105" t="n"/>
      <c r="J664" s="102" t="n"/>
      <c r="K664" s="106" t="n"/>
    </row>
    <row r="666">
      <c r="B666" s="2">
        <f>IF(HSTECH!$C$16="","",HSTECH!$C$16)</f>
        <v/>
      </c>
      <c r="C666" s="2">
        <f>IF(PULL_FUND="N","",IF(HSTECH!$C$16="","",HSTECH!$C$16))</f>
        <v/>
      </c>
      <c r="D666" s="104">
        <f>BDH($C666,NDE_FIELD,"-5AY","","Per=Y","cols=2;rows=5")</f>
        <v/>
      </c>
      <c r="E666" s="105" t="n"/>
      <c r="G666" s="104">
        <f>BQL($C666,BUYBACK_QUERY,$C$4,"fill=prev","showheaders=f","showids=f")</f>
        <v/>
      </c>
      <c r="H666" s="105" t="n"/>
      <c r="J666" s="104">
        <f>BDH($C666,"PX_LAST","-5AY","","Per=Y","cols=2;rows=5")</f>
        <v/>
      </c>
      <c r="K666" s="106" t="n"/>
    </row>
    <row r="667">
      <c r="D667" s="102" t="n"/>
      <c r="E667" s="105" t="n"/>
      <c r="G667" s="102" t="n"/>
      <c r="H667" s="105" t="n"/>
      <c r="J667" s="102" t="n"/>
      <c r="K667" s="106" t="n"/>
    </row>
    <row r="668">
      <c r="D668" s="102" t="n"/>
      <c r="E668" s="105" t="n"/>
      <c r="G668" s="102" t="n"/>
      <c r="H668" s="105" t="n"/>
      <c r="J668" s="102" t="n"/>
      <c r="K668" s="106" t="n"/>
    </row>
    <row r="669">
      <c r="D669" s="102" t="n"/>
      <c r="E669" s="105" t="n"/>
      <c r="G669" s="102" t="n"/>
      <c r="H669" s="105" t="n"/>
      <c r="J669" s="102" t="n"/>
      <c r="K669" s="106" t="n"/>
    </row>
    <row r="670">
      <c r="D670" s="102" t="n"/>
      <c r="E670" s="105" t="n"/>
      <c r="G670" s="102" t="n"/>
      <c r="H670" s="105" t="n"/>
      <c r="J670" s="102" t="n"/>
      <c r="K670" s="106" t="n"/>
    </row>
    <row r="672">
      <c r="B672" s="2">
        <f>IF(HSTECH!$C$17="","",HSTECH!$C$17)</f>
        <v/>
      </c>
      <c r="C672" s="2">
        <f>IF(PULL_FUND="N","",IF(HSTECH!$C$17="","",HSTECH!$C$17))</f>
        <v/>
      </c>
      <c r="D672" s="104">
        <f>BDH($C672,NDE_FIELD,"-5AY","","Per=Y","cols=2;rows=5")</f>
        <v/>
      </c>
      <c r="E672" s="105" t="n"/>
      <c r="G672" s="104">
        <f>BQL($C672,BUYBACK_QUERY,$C$4,"fill=prev","showheaders=f","showids=f")</f>
        <v/>
      </c>
      <c r="H672" s="105" t="n"/>
      <c r="J672" s="104">
        <f>BDH($C672,"PX_LAST","-5AY","","Per=Y","cols=2;rows=5")</f>
        <v/>
      </c>
      <c r="K672" s="106" t="n"/>
    </row>
    <row r="673">
      <c r="D673" s="102" t="n"/>
      <c r="E673" s="105" t="n"/>
      <c r="G673" s="102" t="n"/>
      <c r="H673" s="105" t="n"/>
      <c r="J673" s="102" t="n"/>
      <c r="K673" s="106" t="n"/>
    </row>
    <row r="674">
      <c r="D674" s="102" t="n"/>
      <c r="E674" s="105" t="n"/>
      <c r="G674" s="102" t="n"/>
      <c r="H674" s="105" t="n"/>
      <c r="J674" s="102" t="n"/>
      <c r="K674" s="106" t="n"/>
    </row>
    <row r="675">
      <c r="D675" s="102" t="n"/>
      <c r="E675" s="105" t="n"/>
      <c r="G675" s="102" t="n"/>
      <c r="H675" s="105" t="n"/>
      <c r="J675" s="102" t="n"/>
      <c r="K675" s="106" t="n"/>
    </row>
    <row r="676">
      <c r="D676" s="102" t="n"/>
      <c r="E676" s="105" t="n"/>
      <c r="G676" s="102" t="n"/>
      <c r="H676" s="105" t="n"/>
      <c r="J676" s="102" t="n"/>
      <c r="K676" s="106" t="n"/>
    </row>
    <row r="678">
      <c r="B678" s="2">
        <f>IF(HSTECH!$C$18="","",HSTECH!$C$18)</f>
        <v/>
      </c>
      <c r="C678" s="2">
        <f>IF(PULL_FUND="N","",IF(HSTECH!$C$18="","",HSTECH!$C$18))</f>
        <v/>
      </c>
      <c r="D678" s="104">
        <f>BDH($C678,NDE_FIELD,"-5AY","","Per=Y","cols=2;rows=5")</f>
        <v/>
      </c>
      <c r="E678" s="105" t="n"/>
      <c r="G678" s="104">
        <f>BQL($C678,BUYBACK_QUERY,$C$4,"fill=prev","showheaders=f","showids=f")</f>
        <v/>
      </c>
      <c r="H678" s="105" t="n"/>
      <c r="J678" s="104">
        <f>BDH($C678,"PX_LAST","-5AY","","Per=Y","cols=2;rows=5")</f>
        <v/>
      </c>
      <c r="K678" s="106" t="n"/>
    </row>
    <row r="679">
      <c r="D679" s="102" t="n"/>
      <c r="E679" s="105" t="n"/>
      <c r="G679" s="102" t="n"/>
      <c r="H679" s="105" t="n"/>
      <c r="J679" s="102" t="n"/>
      <c r="K679" s="106" t="n"/>
    </row>
    <row r="680">
      <c r="D680" s="102" t="n"/>
      <c r="E680" s="105" t="n"/>
      <c r="G680" s="102" t="n"/>
      <c r="H680" s="105" t="n"/>
      <c r="J680" s="102" t="n"/>
      <c r="K680" s="106" t="n"/>
    </row>
    <row r="681">
      <c r="D681" s="102" t="n"/>
      <c r="E681" s="105" t="n"/>
      <c r="G681" s="102" t="n"/>
      <c r="H681" s="105" t="n"/>
      <c r="J681" s="102" t="n"/>
      <c r="K681" s="106" t="n"/>
    </row>
    <row r="682">
      <c r="D682" s="102" t="n"/>
      <c r="E682" s="105" t="n"/>
      <c r="G682" s="102" t="n"/>
      <c r="H682" s="105" t="n"/>
      <c r="J682" s="102" t="n"/>
      <c r="K682" s="106" t="n"/>
    </row>
    <row r="684">
      <c r="B684" s="2">
        <f>IF(HSTECH!$C$19="","",HSTECH!$C$19)</f>
        <v/>
      </c>
      <c r="C684" s="2">
        <f>IF(PULL_FUND="N","",IF(HSTECH!$C$19="","",HSTECH!$C$19))</f>
        <v/>
      </c>
      <c r="D684" s="104">
        <f>BDH($C684,NDE_FIELD,"-5AY","","Per=Y","cols=2;rows=5")</f>
        <v/>
      </c>
      <c r="E684" s="105" t="n"/>
      <c r="G684" s="104">
        <f>BQL($C684,BUYBACK_QUERY,$C$4,"fill=prev","showheaders=f","showids=f")</f>
        <v/>
      </c>
      <c r="H684" s="105" t="n"/>
      <c r="J684" s="104">
        <f>BDH($C684,"PX_LAST","-5AY","","Per=Y","cols=2;rows=5")</f>
        <v/>
      </c>
      <c r="K684" s="106" t="n"/>
    </row>
    <row r="685">
      <c r="D685" s="102" t="n"/>
      <c r="E685" s="105" t="n"/>
      <c r="G685" s="102" t="n"/>
      <c r="H685" s="105" t="n"/>
      <c r="J685" s="102" t="n"/>
      <c r="K685" s="106" t="n"/>
    </row>
    <row r="686">
      <c r="D686" s="102" t="n"/>
      <c r="E686" s="105" t="n"/>
      <c r="G686" s="102" t="n"/>
      <c r="H686" s="105" t="n"/>
      <c r="J686" s="102" t="n"/>
      <c r="K686" s="106" t="n"/>
    </row>
    <row r="687">
      <c r="D687" s="102" t="n"/>
      <c r="E687" s="105" t="n"/>
      <c r="G687" s="102" t="n"/>
      <c r="H687" s="105" t="n"/>
      <c r="J687" s="102" t="n"/>
      <c r="K687" s="106" t="n"/>
    </row>
    <row r="688">
      <c r="D688" s="102" t="n"/>
      <c r="E688" s="105" t="n"/>
      <c r="G688" s="102" t="n"/>
      <c r="H688" s="105" t="n"/>
      <c r="J688" s="102" t="n"/>
      <c r="K688" s="106" t="n"/>
    </row>
    <row r="690">
      <c r="B690" s="2">
        <f>IF(HSTECH!$C$20="","",HSTECH!$C$20)</f>
        <v/>
      </c>
      <c r="C690" s="2">
        <f>IF(PULL_FUND="N","",IF(HSTECH!$C$20="","",HSTECH!$C$20))</f>
        <v/>
      </c>
      <c r="D690" s="104">
        <f>BDH($C690,NDE_FIELD,"-5AY","","Per=Y","cols=2;rows=5")</f>
        <v/>
      </c>
      <c r="E690" s="105" t="n"/>
      <c r="G690" s="104">
        <f>BQL($C690,BUYBACK_QUERY,$C$4,"fill=prev","showheaders=f","showids=f")</f>
        <v/>
      </c>
      <c r="H690" s="105" t="n"/>
      <c r="J690" s="104">
        <f>BDH($C690,"PX_LAST","-5AY","","Per=Y","cols=2;rows=5")</f>
        <v/>
      </c>
      <c r="K690" s="106" t="n"/>
    </row>
    <row r="691">
      <c r="D691" s="102" t="n"/>
      <c r="E691" s="105" t="n"/>
      <c r="G691" s="102" t="n"/>
      <c r="H691" s="105" t="n"/>
      <c r="J691" s="102" t="n"/>
      <c r="K691" s="106" t="n"/>
    </row>
    <row r="692">
      <c r="D692" s="102" t="n"/>
      <c r="E692" s="105" t="n"/>
      <c r="G692" s="102" t="n"/>
      <c r="H692" s="105" t="n"/>
      <c r="J692" s="102" t="n"/>
      <c r="K692" s="106" t="n"/>
    </row>
    <row r="693">
      <c r="D693" s="102" t="n"/>
      <c r="E693" s="105" t="n"/>
      <c r="G693" s="102" t="n"/>
      <c r="H693" s="105" t="n"/>
      <c r="J693" s="102" t="n"/>
      <c r="K693" s="106" t="n"/>
    </row>
    <row r="694">
      <c r="D694" s="102" t="n"/>
      <c r="E694" s="105" t="n"/>
      <c r="G694" s="102" t="n"/>
      <c r="H694" s="105" t="n"/>
      <c r="J694" s="102" t="n"/>
      <c r="K694" s="106" t="n"/>
    </row>
    <row r="696">
      <c r="B696" s="2">
        <f>IF(HSTECH!$C$21="","",HSTECH!$C$21)</f>
        <v/>
      </c>
      <c r="C696" s="2">
        <f>IF(PULL_FUND="N","",IF(HSTECH!$C$21="","",HSTECH!$C$21))</f>
        <v/>
      </c>
      <c r="D696" s="104">
        <f>BDH($C696,NDE_FIELD,"-5AY","","Per=Y","cols=2;rows=5")</f>
        <v/>
      </c>
      <c r="E696" s="105" t="n"/>
      <c r="G696" s="104">
        <f>BQL($C696,BUYBACK_QUERY,$C$4,"fill=prev","showheaders=f","showids=f")</f>
        <v/>
      </c>
      <c r="H696" s="105" t="n"/>
      <c r="J696" s="104">
        <f>BDH($C696,"PX_LAST","-5AY","","Per=Y","cols=2;rows=5")</f>
        <v/>
      </c>
      <c r="K696" s="106" t="n"/>
    </row>
    <row r="697">
      <c r="D697" s="102" t="n"/>
      <c r="E697" s="105" t="n"/>
      <c r="G697" s="102" t="n"/>
      <c r="H697" s="105" t="n"/>
      <c r="J697" s="102" t="n"/>
      <c r="K697" s="106" t="n"/>
    </row>
    <row r="698">
      <c r="D698" s="102" t="n"/>
      <c r="E698" s="105" t="n"/>
      <c r="G698" s="102" t="n"/>
      <c r="H698" s="105" t="n"/>
      <c r="J698" s="102" t="n"/>
      <c r="K698" s="106" t="n"/>
    </row>
    <row r="699">
      <c r="D699" s="102" t="n"/>
      <c r="E699" s="105" t="n"/>
      <c r="G699" s="102" t="n"/>
      <c r="H699" s="105" t="n"/>
      <c r="J699" s="102" t="n"/>
      <c r="K699" s="106" t="n"/>
    </row>
    <row r="700">
      <c r="D700" s="102" t="n"/>
      <c r="E700" s="105" t="n"/>
      <c r="G700" s="102" t="n"/>
      <c r="H700" s="105" t="n"/>
      <c r="J700" s="102" t="n"/>
      <c r="K700" s="106" t="n"/>
    </row>
    <row r="702">
      <c r="B702" s="2">
        <f>IF(HSTECH!$C$22="","",HSTECH!$C$22)</f>
        <v/>
      </c>
      <c r="C702" s="2">
        <f>IF(PULL_FUND="N","",IF(HSTECH!$C$22="","",HSTECH!$C$22))</f>
        <v/>
      </c>
      <c r="D702" s="104">
        <f>BDH($C702,NDE_FIELD,"-5AY","","Per=Y","cols=2;rows=5")</f>
        <v/>
      </c>
      <c r="E702" s="105" t="n"/>
      <c r="G702" s="104">
        <f>BQL($C702,BUYBACK_QUERY,$C$4,"fill=prev","showheaders=f","showids=f")</f>
        <v/>
      </c>
      <c r="H702" s="105" t="n"/>
      <c r="J702" s="104">
        <f>BDH($C702,"PX_LAST","-5AY","","Per=Y","cols=2;rows=5")</f>
        <v/>
      </c>
      <c r="K702" s="106" t="n"/>
    </row>
    <row r="703">
      <c r="D703" s="102" t="n"/>
      <c r="E703" s="105" t="n"/>
      <c r="G703" s="102" t="n"/>
      <c r="H703" s="105" t="n"/>
      <c r="J703" s="102" t="n"/>
      <c r="K703" s="106" t="n"/>
    </row>
    <row r="704">
      <c r="D704" s="102" t="n"/>
      <c r="E704" s="105" t="n"/>
      <c r="G704" s="102" t="n"/>
      <c r="H704" s="105" t="n"/>
      <c r="J704" s="102" t="n"/>
      <c r="K704" s="106" t="n"/>
    </row>
    <row r="705">
      <c r="D705" s="102" t="n"/>
      <c r="E705" s="105" t="n"/>
      <c r="G705" s="102" t="n"/>
      <c r="H705" s="105" t="n"/>
      <c r="J705" s="102" t="n"/>
      <c r="K705" s="106" t="n"/>
    </row>
    <row r="706">
      <c r="D706" s="102" t="n"/>
      <c r="E706" s="105" t="n"/>
      <c r="G706" s="102" t="n"/>
      <c r="H706" s="105" t="n"/>
      <c r="J706" s="102" t="n"/>
      <c r="K706" s="106" t="n"/>
    </row>
    <row r="708">
      <c r="B708" s="2">
        <f>IF(HSTECH!$C$23="","",HSTECH!$C$23)</f>
        <v/>
      </c>
      <c r="C708" s="2">
        <f>IF(PULL_FUND="N","",IF(HSTECH!$C$23="","",HSTECH!$C$23))</f>
        <v/>
      </c>
      <c r="D708" s="104">
        <f>BDH($C708,NDE_FIELD,"-5AY","","Per=Y","cols=2;rows=5")</f>
        <v/>
      </c>
      <c r="E708" s="105" t="n"/>
      <c r="G708" s="104">
        <f>BQL($C708,BUYBACK_QUERY,$C$4,"fill=prev","showheaders=f","showids=f")</f>
        <v/>
      </c>
      <c r="H708" s="105" t="n"/>
      <c r="J708" s="104">
        <f>BDH($C708,"PX_LAST","-5AY","","Per=Y","cols=2;rows=5")</f>
        <v/>
      </c>
      <c r="K708" s="106" t="n"/>
    </row>
    <row r="709">
      <c r="D709" s="102" t="n"/>
      <c r="E709" s="105" t="n"/>
      <c r="G709" s="102" t="n"/>
      <c r="H709" s="105" t="n"/>
      <c r="J709" s="102" t="n"/>
      <c r="K709" s="106" t="n"/>
    </row>
    <row r="710">
      <c r="D710" s="102" t="n"/>
      <c r="E710" s="105" t="n"/>
      <c r="G710" s="102" t="n"/>
      <c r="H710" s="105" t="n"/>
      <c r="J710" s="102" t="n"/>
      <c r="K710" s="106" t="n"/>
    </row>
    <row r="711">
      <c r="D711" s="102" t="n"/>
      <c r="E711" s="105" t="n"/>
      <c r="G711" s="102" t="n"/>
      <c r="H711" s="105" t="n"/>
      <c r="J711" s="102" t="n"/>
      <c r="K711" s="106" t="n"/>
    </row>
    <row r="712">
      <c r="D712" s="102" t="n"/>
      <c r="E712" s="105" t="n"/>
      <c r="G712" s="102" t="n"/>
      <c r="H712" s="105" t="n"/>
      <c r="J712" s="102" t="n"/>
      <c r="K712" s="106" t="n"/>
    </row>
    <row r="714">
      <c r="B714" s="2">
        <f>IF(HSTECH!$C$24="","",HSTECH!$C$24)</f>
        <v/>
      </c>
      <c r="C714" s="2">
        <f>IF(PULL_FUND="N","",IF(HSTECH!$C$24="","",HSTECH!$C$24))</f>
        <v/>
      </c>
      <c r="D714" s="104">
        <f>BDH($C714,NDE_FIELD,"-5AY","","Per=Y","cols=2;rows=5")</f>
        <v/>
      </c>
      <c r="E714" s="105" t="n"/>
      <c r="G714" s="104">
        <f>BQL($C714,BUYBACK_QUERY,$C$4,"fill=prev","showheaders=f","showids=f")</f>
        <v/>
      </c>
      <c r="H714" s="105" t="n"/>
      <c r="J714" s="104">
        <f>BDH($C714,"PX_LAST","-5AY","","Per=Y","cols=2;rows=5")</f>
        <v/>
      </c>
      <c r="K714" s="106" t="n"/>
    </row>
    <row r="715">
      <c r="D715" s="102" t="n"/>
      <c r="E715" s="105" t="n"/>
      <c r="G715" s="102" t="n"/>
      <c r="H715" s="105" t="n"/>
      <c r="J715" s="102" t="n"/>
      <c r="K715" s="106" t="n"/>
    </row>
    <row r="716">
      <c r="D716" s="102" t="n"/>
      <c r="E716" s="105" t="n"/>
      <c r="G716" s="102" t="n"/>
      <c r="H716" s="105" t="n"/>
      <c r="J716" s="102" t="n"/>
      <c r="K716" s="106" t="n"/>
    </row>
    <row r="717">
      <c r="D717" s="102" t="n"/>
      <c r="E717" s="105" t="n"/>
      <c r="G717" s="102" t="n"/>
      <c r="H717" s="105" t="n"/>
      <c r="J717" s="102" t="n"/>
      <c r="K717" s="106" t="n"/>
    </row>
    <row r="718">
      <c r="D718" s="102" t="n"/>
      <c r="E718" s="105" t="n"/>
      <c r="G718" s="102" t="n"/>
      <c r="H718" s="105" t="n"/>
      <c r="J718" s="102" t="n"/>
      <c r="K718" s="106" t="n"/>
    </row>
    <row r="720">
      <c r="B720" s="2">
        <f>IF(HSTECH!$C$25="","",HSTECH!$C$25)</f>
        <v/>
      </c>
      <c r="C720" s="2">
        <f>IF(PULL_FUND="N","",IF(HSTECH!$C$25="","",HSTECH!$C$25))</f>
        <v/>
      </c>
      <c r="D720" s="104">
        <f>BDH($C720,NDE_FIELD,"-5AY","","Per=Y","cols=2;rows=5")</f>
        <v/>
      </c>
      <c r="E720" s="105" t="n"/>
      <c r="G720" s="104">
        <f>BQL($C720,BUYBACK_QUERY,$C$4,"fill=prev","showheaders=f","showids=f")</f>
        <v/>
      </c>
      <c r="H720" s="105" t="n"/>
      <c r="J720" s="104">
        <f>BDH($C720,"PX_LAST","-5AY","","Per=Y","cols=2;rows=5")</f>
        <v/>
      </c>
      <c r="K720" s="106" t="n"/>
    </row>
    <row r="721">
      <c r="D721" s="102" t="n"/>
      <c r="E721" s="105" t="n"/>
      <c r="G721" s="102" t="n"/>
      <c r="H721" s="105" t="n"/>
      <c r="J721" s="102" t="n"/>
      <c r="K721" s="106" t="n"/>
    </row>
    <row r="722">
      <c r="D722" s="102" t="n"/>
      <c r="E722" s="105" t="n"/>
      <c r="G722" s="102" t="n"/>
      <c r="H722" s="105" t="n"/>
      <c r="J722" s="102" t="n"/>
      <c r="K722" s="106" t="n"/>
    </row>
    <row r="723">
      <c r="D723" s="102" t="n"/>
      <c r="E723" s="105" t="n"/>
      <c r="G723" s="102" t="n"/>
      <c r="H723" s="105" t="n"/>
      <c r="J723" s="102" t="n"/>
      <c r="K723" s="106" t="n"/>
    </row>
    <row r="724">
      <c r="D724" s="102" t="n"/>
      <c r="E724" s="105" t="n"/>
      <c r="G724" s="102" t="n"/>
      <c r="H724" s="105" t="n"/>
      <c r="J724" s="102" t="n"/>
      <c r="K724" s="106" t="n"/>
    </row>
    <row r="726">
      <c r="B726" s="2">
        <f>IF(HSTECH!$C$26="","",HSTECH!$C$26)</f>
        <v/>
      </c>
      <c r="C726" s="2">
        <f>IF(PULL_FUND="N","",IF(HSTECH!$C$26="","",HSTECH!$C$26))</f>
        <v/>
      </c>
      <c r="D726" s="104">
        <f>BDH($C726,NDE_FIELD,"-5AY","","Per=Y","cols=2;rows=5")</f>
        <v/>
      </c>
      <c r="E726" s="105" t="n"/>
      <c r="G726" s="104">
        <f>BQL($C726,BUYBACK_QUERY,$C$4,"fill=prev","showheaders=f","showids=f")</f>
        <v/>
      </c>
      <c r="H726" s="105" t="n"/>
      <c r="J726" s="104">
        <f>BDH($C726,"PX_LAST","-5AY","","Per=Y","cols=2;rows=5")</f>
        <v/>
      </c>
      <c r="K726" s="106" t="n"/>
    </row>
    <row r="727">
      <c r="D727" s="102" t="n"/>
      <c r="E727" s="105" t="n"/>
      <c r="G727" s="102" t="n"/>
      <c r="H727" s="105" t="n"/>
      <c r="J727" s="102" t="n"/>
      <c r="K727" s="106" t="n"/>
    </row>
    <row r="728">
      <c r="D728" s="102" t="n"/>
      <c r="E728" s="105" t="n"/>
      <c r="G728" s="102" t="n"/>
      <c r="H728" s="105" t="n"/>
      <c r="J728" s="102" t="n"/>
      <c r="K728" s="106" t="n"/>
    </row>
    <row r="729">
      <c r="D729" s="102" t="n"/>
      <c r="E729" s="105" t="n"/>
      <c r="G729" s="102" t="n"/>
      <c r="H729" s="105" t="n"/>
      <c r="J729" s="102" t="n"/>
      <c r="K729" s="106" t="n"/>
    </row>
    <row r="730">
      <c r="D730" s="102" t="n"/>
      <c r="E730" s="105" t="n"/>
      <c r="G730" s="102" t="n"/>
      <c r="H730" s="105" t="n"/>
      <c r="J730" s="102" t="n"/>
      <c r="K730" s="106" t="n"/>
    </row>
    <row r="732">
      <c r="B732" s="2">
        <f>IF(HSTECH!$C$27="","",HSTECH!$C$27)</f>
        <v/>
      </c>
      <c r="C732" s="2">
        <f>IF(PULL_FUND="N","",IF(HSTECH!$C$27="","",HSTECH!$C$27))</f>
        <v/>
      </c>
      <c r="D732" s="104">
        <f>BDH($C732,NDE_FIELD,"-5AY","","Per=Y","cols=2;rows=5")</f>
        <v/>
      </c>
      <c r="E732" s="105" t="n"/>
      <c r="G732" s="104">
        <f>BQL($C732,BUYBACK_QUERY,$C$4,"fill=prev","showheaders=f","showids=f")</f>
        <v/>
      </c>
      <c r="H732" s="105" t="n"/>
      <c r="J732" s="104">
        <f>BDH($C732,"PX_LAST","-5AY","","Per=Y","cols=2;rows=5")</f>
        <v/>
      </c>
      <c r="K732" s="106" t="n"/>
    </row>
    <row r="733">
      <c r="D733" s="102" t="n"/>
      <c r="E733" s="105" t="n"/>
      <c r="G733" s="102" t="n"/>
      <c r="H733" s="105" t="n"/>
      <c r="J733" s="102" t="n"/>
      <c r="K733" s="106" t="n"/>
    </row>
    <row r="734">
      <c r="D734" s="102" t="n"/>
      <c r="E734" s="105" t="n"/>
      <c r="G734" s="102" t="n"/>
      <c r="H734" s="105" t="n"/>
      <c r="J734" s="102" t="n"/>
      <c r="K734" s="106" t="n"/>
    </row>
    <row r="735">
      <c r="D735" s="102" t="n"/>
      <c r="E735" s="105" t="n"/>
      <c r="G735" s="102" t="n"/>
      <c r="H735" s="105" t="n"/>
      <c r="J735" s="102" t="n"/>
      <c r="K735" s="106" t="n"/>
    </row>
    <row r="736">
      <c r="D736" s="102" t="n"/>
      <c r="E736" s="105" t="n"/>
      <c r="G736" s="102" t="n"/>
      <c r="H736" s="105" t="n"/>
      <c r="J736" s="102" t="n"/>
      <c r="K736" s="106" t="n"/>
    </row>
    <row r="738">
      <c r="B738" s="2">
        <f>IF(HSTECH!$C$28="","",HSTECH!$C$28)</f>
        <v/>
      </c>
      <c r="C738" s="2">
        <f>IF(PULL_FUND="N","",IF(HSTECH!$C$28="","",HSTECH!$C$28))</f>
        <v/>
      </c>
      <c r="D738" s="104">
        <f>BDH($C738,NDE_FIELD,"-5AY","","Per=Y","cols=2;rows=5")</f>
        <v/>
      </c>
      <c r="E738" s="105" t="n"/>
      <c r="G738" s="104">
        <f>BQL($C738,BUYBACK_QUERY,$C$4,"fill=prev","showheaders=f","showids=f")</f>
        <v/>
      </c>
      <c r="H738" s="105" t="n"/>
      <c r="J738" s="104">
        <f>BDH($C738,"PX_LAST","-5AY","","Per=Y","cols=2;rows=5")</f>
        <v/>
      </c>
      <c r="K738" s="106" t="n"/>
    </row>
    <row r="739">
      <c r="D739" s="102" t="n"/>
      <c r="E739" s="105" t="n"/>
      <c r="G739" s="102" t="n"/>
      <c r="H739" s="105" t="n"/>
      <c r="J739" s="102" t="n"/>
      <c r="K739" s="106" t="n"/>
    </row>
    <row r="740">
      <c r="D740" s="102" t="n"/>
      <c r="E740" s="105" t="n"/>
      <c r="G740" s="102" t="n"/>
      <c r="H740" s="105" t="n"/>
      <c r="J740" s="102" t="n"/>
      <c r="K740" s="106" t="n"/>
    </row>
    <row r="741">
      <c r="D741" s="102" t="n"/>
      <c r="E741" s="105" t="n"/>
      <c r="G741" s="102" t="n"/>
      <c r="H741" s="105" t="n"/>
      <c r="J741" s="102" t="n"/>
      <c r="K741" s="106" t="n"/>
    </row>
    <row r="742">
      <c r="D742" s="102" t="n"/>
      <c r="E742" s="105" t="n"/>
      <c r="G742" s="102" t="n"/>
      <c r="H742" s="105" t="n"/>
      <c r="J742" s="102" t="n"/>
      <c r="K742" s="106" t="n"/>
    </row>
    <row r="744">
      <c r="B744" s="2">
        <f>IF(HSTECH!$C$29="","",HSTECH!$C$29)</f>
        <v/>
      </c>
      <c r="C744" s="2">
        <f>IF(PULL_FUND="N","",IF(HSTECH!$C$29="","",HSTECH!$C$29))</f>
        <v/>
      </c>
      <c r="D744" s="104">
        <f>BDH($C744,NDE_FIELD,"-5AY","","Per=Y","cols=2;rows=5")</f>
        <v/>
      </c>
      <c r="E744" s="105" t="n"/>
      <c r="G744" s="104">
        <f>BQL($C744,BUYBACK_QUERY,$C$4,"fill=prev","showheaders=f","showids=f")</f>
        <v/>
      </c>
      <c r="H744" s="105" t="n"/>
      <c r="J744" s="104">
        <f>BDH($C744,"PX_LAST","-5AY","","Per=Y","cols=2;rows=5")</f>
        <v/>
      </c>
      <c r="K744" s="106" t="n"/>
    </row>
    <row r="745">
      <c r="D745" s="102" t="n"/>
      <c r="E745" s="105" t="n"/>
      <c r="G745" s="102" t="n"/>
      <c r="H745" s="105" t="n"/>
      <c r="J745" s="102" t="n"/>
      <c r="K745" s="106" t="n"/>
    </row>
    <row r="746">
      <c r="D746" s="102" t="n"/>
      <c r="E746" s="105" t="n"/>
      <c r="G746" s="102" t="n"/>
      <c r="H746" s="105" t="n"/>
      <c r="J746" s="102" t="n"/>
      <c r="K746" s="106" t="n"/>
    </row>
    <row r="747">
      <c r="D747" s="102" t="n"/>
      <c r="E747" s="105" t="n"/>
      <c r="G747" s="102" t="n"/>
      <c r="H747" s="105" t="n"/>
      <c r="J747" s="102" t="n"/>
      <c r="K747" s="106" t="n"/>
    </row>
    <row r="748">
      <c r="D748" s="102" t="n"/>
      <c r="E748" s="105" t="n"/>
      <c r="G748" s="102" t="n"/>
      <c r="H748" s="105" t="n"/>
      <c r="J748" s="102" t="n"/>
      <c r="K748" s="106" t="n"/>
    </row>
    <row r="750">
      <c r="B750" s="2">
        <f>IF(HSTECH!$C$30="","",HSTECH!$C$30)</f>
        <v/>
      </c>
      <c r="C750" s="2">
        <f>IF(PULL_FUND="N","",IF(HSTECH!$C$30="","",HSTECH!$C$30))</f>
        <v/>
      </c>
      <c r="D750" s="104">
        <f>BDH($C750,NDE_FIELD,"-5AY","","Per=Y","cols=2;rows=5")</f>
        <v/>
      </c>
      <c r="E750" s="105" t="n"/>
      <c r="G750" s="104">
        <f>BQL($C750,BUYBACK_QUERY,$C$4,"fill=prev","showheaders=f","showids=f")</f>
        <v/>
      </c>
      <c r="H750" s="105" t="n"/>
      <c r="J750" s="104">
        <f>BDH($C750,"PX_LAST","-5AY","","Per=Y","cols=2;rows=5")</f>
        <v/>
      </c>
      <c r="K750" s="106" t="n"/>
    </row>
    <row r="751">
      <c r="D751" s="102" t="n"/>
      <c r="E751" s="105" t="n"/>
      <c r="G751" s="102" t="n"/>
      <c r="H751" s="105" t="n"/>
      <c r="J751" s="102" t="n"/>
      <c r="K751" s="106" t="n"/>
    </row>
    <row r="752">
      <c r="D752" s="102" t="n"/>
      <c r="E752" s="105" t="n"/>
      <c r="G752" s="102" t="n"/>
      <c r="H752" s="105" t="n"/>
      <c r="J752" s="102" t="n"/>
      <c r="K752" s="106" t="n"/>
    </row>
    <row r="753">
      <c r="D753" s="102" t="n"/>
      <c r="E753" s="105" t="n"/>
      <c r="G753" s="102" t="n"/>
      <c r="H753" s="105" t="n"/>
      <c r="J753" s="102" t="n"/>
      <c r="K753" s="106" t="n"/>
    </row>
    <row r="754">
      <c r="D754" s="102" t="n"/>
      <c r="E754" s="105" t="n"/>
      <c r="G754" s="102" t="n"/>
      <c r="H754" s="105" t="n"/>
      <c r="J754" s="102" t="n"/>
      <c r="K754" s="106" t="n"/>
    </row>
    <row r="756">
      <c r="B756" s="2">
        <f>IF(HSTECH!$C$31="","",HSTECH!$C$31)</f>
        <v/>
      </c>
      <c r="C756" s="2">
        <f>IF(PULL_FUND="N","",IF(HSTECH!$C$31="","",HSTECH!$C$31))</f>
        <v/>
      </c>
      <c r="D756" s="104">
        <f>BDH($C756,NDE_FIELD,"-5AY","","Per=Y","cols=2;rows=5")</f>
        <v/>
      </c>
      <c r="E756" s="105" t="n"/>
      <c r="G756" s="104">
        <f>BQL($C756,BUYBACK_QUERY,$C$4,"fill=prev","showheaders=f","showids=f")</f>
        <v/>
      </c>
      <c r="H756" s="105" t="n"/>
      <c r="J756" s="104">
        <f>BDH($C756,"PX_LAST","-5AY","","Per=Y","cols=2;rows=5")</f>
        <v/>
      </c>
      <c r="K756" s="106" t="n"/>
    </row>
    <row r="757">
      <c r="D757" s="102" t="n"/>
      <c r="E757" s="105" t="n"/>
      <c r="G757" s="102" t="n"/>
      <c r="H757" s="105" t="n"/>
      <c r="J757" s="102" t="n"/>
      <c r="K757" s="106" t="n"/>
    </row>
    <row r="758">
      <c r="D758" s="102" t="n"/>
      <c r="E758" s="105" t="n"/>
      <c r="G758" s="102" t="n"/>
      <c r="H758" s="105" t="n"/>
      <c r="J758" s="102" t="n"/>
      <c r="K758" s="106" t="n"/>
    </row>
    <row r="759">
      <c r="D759" s="102" t="n"/>
      <c r="E759" s="105" t="n"/>
      <c r="G759" s="102" t="n"/>
      <c r="H759" s="105" t="n"/>
      <c r="J759" s="102" t="n"/>
      <c r="K759" s="106" t="n"/>
    </row>
    <row r="760">
      <c r="D760" s="102" t="n"/>
      <c r="E760" s="105" t="n"/>
      <c r="G760" s="102" t="n"/>
      <c r="H760" s="105" t="n"/>
      <c r="J760" s="102" t="n"/>
      <c r="K760" s="106" t="n"/>
    </row>
    <row r="762">
      <c r="B762" s="2">
        <f>IF(HSTECH!$C$32="","",HSTECH!$C$32)</f>
        <v/>
      </c>
      <c r="C762" s="2">
        <f>IF(PULL_FUND="N","",IF(HSTECH!$C$32="","",HSTECH!$C$32))</f>
        <v/>
      </c>
      <c r="D762" s="104">
        <f>BDH($C762,NDE_FIELD,"-5AY","","Per=Y","cols=2;rows=5")</f>
        <v/>
      </c>
      <c r="E762" s="105" t="n"/>
      <c r="G762" s="104">
        <f>BQL($C762,BUYBACK_QUERY,$C$4,"fill=prev","showheaders=f","showids=f")</f>
        <v/>
      </c>
      <c r="H762" s="105" t="n"/>
      <c r="J762" s="104">
        <f>BDH($C762,"PX_LAST","-5AY","","Per=Y","cols=2;rows=5")</f>
        <v/>
      </c>
      <c r="K762" s="106" t="n"/>
    </row>
    <row r="763">
      <c r="D763" s="102" t="n"/>
      <c r="E763" s="105" t="n"/>
      <c r="G763" s="102" t="n"/>
      <c r="H763" s="105" t="n"/>
      <c r="J763" s="102" t="n"/>
      <c r="K763" s="106" t="n"/>
    </row>
    <row r="764">
      <c r="D764" s="102" t="n"/>
      <c r="E764" s="105" t="n"/>
      <c r="G764" s="102" t="n"/>
      <c r="H764" s="105" t="n"/>
      <c r="J764" s="102" t="n"/>
      <c r="K764" s="106" t="n"/>
    </row>
    <row r="765">
      <c r="D765" s="102" t="n"/>
      <c r="E765" s="105" t="n"/>
      <c r="G765" s="102" t="n"/>
      <c r="H765" s="105" t="n"/>
      <c r="J765" s="102" t="n"/>
      <c r="K765" s="106" t="n"/>
    </row>
    <row r="766">
      <c r="D766" s="102" t="n"/>
      <c r="E766" s="105" t="n"/>
      <c r="G766" s="102" t="n"/>
      <c r="H766" s="105" t="n"/>
      <c r="J766" s="102" t="n"/>
      <c r="K766" s="106" t="n"/>
    </row>
    <row r="768">
      <c r="B768" s="2">
        <f>IF(HSTECH!$C$33="","",HSTECH!$C$33)</f>
        <v/>
      </c>
      <c r="C768" s="2">
        <f>IF(PULL_FUND="N","",IF(HSTECH!$C$33="","",HSTECH!$C$33))</f>
        <v/>
      </c>
      <c r="D768" s="104">
        <f>BDH($C768,NDE_FIELD,"-5AY","","Per=Y","cols=2;rows=5")</f>
        <v/>
      </c>
      <c r="E768" s="105" t="n"/>
      <c r="G768" s="104">
        <f>BQL($C768,BUYBACK_QUERY,$C$4,"fill=prev","showheaders=f","showids=f")</f>
        <v/>
      </c>
      <c r="H768" s="105" t="n"/>
      <c r="J768" s="104">
        <f>BDH($C768,"PX_LAST","-5AY","","Per=Y","cols=2;rows=5")</f>
        <v/>
      </c>
      <c r="K768" s="106" t="n"/>
    </row>
    <row r="769">
      <c r="D769" s="102" t="n"/>
      <c r="E769" s="105" t="n"/>
      <c r="G769" s="102" t="n"/>
      <c r="H769" s="105" t="n"/>
      <c r="J769" s="102" t="n"/>
      <c r="K769" s="106" t="n"/>
    </row>
    <row r="770">
      <c r="D770" s="102" t="n"/>
      <c r="E770" s="105" t="n"/>
      <c r="G770" s="102" t="n"/>
      <c r="H770" s="105" t="n"/>
      <c r="J770" s="102" t="n"/>
      <c r="K770" s="106" t="n"/>
    </row>
    <row r="771">
      <c r="D771" s="102" t="n"/>
      <c r="E771" s="105" t="n"/>
      <c r="G771" s="102" t="n"/>
      <c r="H771" s="105" t="n"/>
      <c r="J771" s="102" t="n"/>
      <c r="K771" s="106" t="n"/>
    </row>
    <row r="772">
      <c r="D772" s="102" t="n"/>
      <c r="E772" s="105" t="n"/>
      <c r="G772" s="102" t="n"/>
      <c r="H772" s="105" t="n"/>
      <c r="J772" s="102" t="n"/>
      <c r="K772" s="106" t="n"/>
    </row>
    <row r="774">
      <c r="B774" s="2">
        <f>IF(HSTECH!$C$34="","",HSTECH!$C$34)</f>
        <v/>
      </c>
      <c r="C774" s="2">
        <f>IF(PULL_FUND="N","",IF(HSTECH!$C$34="","",HSTECH!$C$34))</f>
        <v/>
      </c>
      <c r="D774" s="104">
        <f>BDH($C774,NDE_FIELD,"-5AY","","Per=Y","cols=2;rows=5")</f>
        <v/>
      </c>
      <c r="E774" s="105" t="n"/>
      <c r="G774" s="104">
        <f>BQL($C774,BUYBACK_QUERY,$C$4,"fill=prev","showheaders=f","showids=f")</f>
        <v/>
      </c>
      <c r="H774" s="105" t="n"/>
      <c r="J774" s="104">
        <f>BDH($C774,"PX_LAST","-5AY","","Per=Y","cols=2;rows=5")</f>
        <v/>
      </c>
      <c r="K774" s="106" t="n"/>
    </row>
    <row r="775">
      <c r="D775" s="102" t="n"/>
      <c r="E775" s="105" t="n"/>
      <c r="G775" s="102" t="n"/>
      <c r="H775" s="105" t="n"/>
      <c r="J775" s="102" t="n"/>
      <c r="K775" s="106" t="n"/>
    </row>
    <row r="776">
      <c r="D776" s="102" t="n"/>
      <c r="E776" s="105" t="n"/>
      <c r="G776" s="102" t="n"/>
      <c r="H776" s="105" t="n"/>
      <c r="J776" s="102" t="n"/>
      <c r="K776" s="106" t="n"/>
    </row>
    <row r="777">
      <c r="D777" s="102" t="n"/>
      <c r="E777" s="105" t="n"/>
      <c r="G777" s="102" t="n"/>
      <c r="H777" s="105" t="n"/>
      <c r="J777" s="102" t="n"/>
      <c r="K777" s="106" t="n"/>
    </row>
    <row r="778">
      <c r="D778" s="102" t="n"/>
      <c r="E778" s="105" t="n"/>
      <c r="G778" s="102" t="n"/>
      <c r="H778" s="105" t="n"/>
      <c r="J778" s="102" t="n"/>
      <c r="K778" s="106" t="n"/>
    </row>
    <row r="780">
      <c r="B780" s="2">
        <f>IF(HSTECH!$C$35="","",HSTECH!$C$35)</f>
        <v/>
      </c>
      <c r="C780" s="2">
        <f>IF(PULL_FUND="N","",IF(HSTECH!$C$35="","",HSTECH!$C$35))</f>
        <v/>
      </c>
      <c r="D780" s="104">
        <f>BDH($C780,NDE_FIELD,"-5AY","","Per=Y","cols=2;rows=5")</f>
        <v/>
      </c>
      <c r="E780" s="105" t="n"/>
      <c r="G780" s="104">
        <f>BQL($C780,BUYBACK_QUERY,$C$4,"fill=prev","showheaders=f","showids=f")</f>
        <v/>
      </c>
      <c r="H780" s="105" t="n"/>
      <c r="J780" s="104">
        <f>BDH($C780,"PX_LAST","-5AY","","Per=Y","cols=2;rows=5")</f>
        <v/>
      </c>
      <c r="K780" s="106" t="n"/>
    </row>
    <row r="781">
      <c r="D781" s="102" t="n"/>
      <c r="E781" s="105" t="n"/>
      <c r="G781" s="102" t="n"/>
      <c r="H781" s="105" t="n"/>
      <c r="J781" s="102" t="n"/>
      <c r="K781" s="106" t="n"/>
    </row>
    <row r="782">
      <c r="D782" s="102" t="n"/>
      <c r="E782" s="105" t="n"/>
      <c r="G782" s="102" t="n"/>
      <c r="H782" s="105" t="n"/>
      <c r="J782" s="102" t="n"/>
      <c r="K782" s="106" t="n"/>
    </row>
    <row r="783">
      <c r="D783" s="102" t="n"/>
      <c r="E783" s="105" t="n"/>
      <c r="G783" s="102" t="n"/>
      <c r="H783" s="105" t="n"/>
      <c r="J783" s="102" t="n"/>
      <c r="K783" s="106" t="n"/>
    </row>
    <row r="784">
      <c r="D784" s="102" t="n"/>
      <c r="E784" s="105" t="n"/>
      <c r="G784" s="102" t="n"/>
      <c r="H784" s="105" t="n"/>
      <c r="J784" s="102" t="n"/>
      <c r="K784" s="106" t="n"/>
    </row>
    <row r="786">
      <c r="B786" s="2">
        <f>IF(HSTECH!$C$36="","",HSTECH!$C$36)</f>
        <v/>
      </c>
      <c r="C786" s="2">
        <f>IF(PULL_FUND="N","",IF(HSTECH!$C$36="","",HSTECH!$C$36))</f>
        <v/>
      </c>
      <c r="D786" s="104">
        <f>BDH($C786,NDE_FIELD,"-5AY","","Per=Y","cols=2;rows=5")</f>
        <v/>
      </c>
      <c r="E786" s="105" t="n"/>
      <c r="G786" s="104">
        <f>BQL($C786,BUYBACK_QUERY,$C$4,"fill=prev","showheaders=f","showids=f")</f>
        <v/>
      </c>
      <c r="H786" s="105" t="n"/>
      <c r="J786" s="104">
        <f>BDH($C786,"PX_LAST","-5AY","","Per=Y","cols=2;rows=5")</f>
        <v/>
      </c>
      <c r="K786" s="106" t="n"/>
    </row>
    <row r="787">
      <c r="D787" s="102" t="n"/>
      <c r="E787" s="105" t="n"/>
      <c r="G787" s="102" t="n"/>
      <c r="H787" s="105" t="n"/>
      <c r="J787" s="102" t="n"/>
      <c r="K787" s="106" t="n"/>
    </row>
    <row r="788">
      <c r="D788" s="102" t="n"/>
      <c r="E788" s="105" t="n"/>
      <c r="G788" s="102" t="n"/>
      <c r="H788" s="105" t="n"/>
      <c r="J788" s="102" t="n"/>
      <c r="K788" s="106" t="n"/>
    </row>
    <row r="789">
      <c r="D789" s="102" t="n"/>
      <c r="E789" s="105" t="n"/>
      <c r="G789" s="102" t="n"/>
      <c r="H789" s="105" t="n"/>
      <c r="J789" s="102" t="n"/>
      <c r="K789" s="106" t="n"/>
    </row>
    <row r="790">
      <c r="D790" s="102" t="n"/>
      <c r="E790" s="105" t="n"/>
      <c r="G790" s="102" t="n"/>
      <c r="H790" s="105" t="n"/>
      <c r="J790" s="102" t="n"/>
      <c r="K790" s="106" t="n"/>
    </row>
    <row r="792">
      <c r="B792" s="2">
        <f>IF(HSTECH!$C$37="","",HSTECH!$C$37)</f>
        <v/>
      </c>
      <c r="C792" s="2">
        <f>IF(PULL_FUND="N","",IF(HSTECH!$C$37="","",HSTECH!$C$37))</f>
        <v/>
      </c>
      <c r="D792" s="104">
        <f>BDH($C792,NDE_FIELD,"-5AY","","Per=Y","cols=2;rows=5")</f>
        <v/>
      </c>
      <c r="E792" s="105" t="n"/>
      <c r="G792" s="104">
        <f>BQL($C792,BUYBACK_QUERY,$C$4,"fill=prev","showheaders=f","showids=f")</f>
        <v/>
      </c>
      <c r="H792" s="105" t="n"/>
      <c r="J792" s="104">
        <f>BDH($C792,"PX_LAST","-5AY","","Per=Y","cols=2;rows=5")</f>
        <v/>
      </c>
      <c r="K792" s="106" t="n"/>
    </row>
    <row r="793">
      <c r="D793" s="102" t="n"/>
      <c r="E793" s="105" t="n"/>
      <c r="G793" s="102" t="n"/>
      <c r="H793" s="105" t="n"/>
      <c r="J793" s="102" t="n"/>
      <c r="K793" s="106" t="n"/>
    </row>
    <row r="794">
      <c r="D794" s="102" t="n"/>
      <c r="E794" s="105" t="n"/>
      <c r="G794" s="102" t="n"/>
      <c r="H794" s="105" t="n"/>
      <c r="J794" s="102" t="n"/>
      <c r="K794" s="106" t="n"/>
    </row>
    <row r="795">
      <c r="D795" s="102" t="n"/>
      <c r="E795" s="105" t="n"/>
      <c r="G795" s="102" t="n"/>
      <c r="H795" s="105" t="n"/>
      <c r="J795" s="102" t="n"/>
      <c r="K795" s="106" t="n"/>
    </row>
    <row r="796">
      <c r="D796" s="102" t="n"/>
      <c r="E796" s="105" t="n"/>
      <c r="G796" s="102" t="n"/>
      <c r="H796" s="105" t="n"/>
      <c r="J796" s="102" t="n"/>
      <c r="K796" s="106" t="n"/>
    </row>
    <row r="798">
      <c r="B798" s="2">
        <f>IF(HSTECH!$C$38="","",HSTECH!$C$38)</f>
        <v/>
      </c>
      <c r="C798" s="2">
        <f>IF(PULL_FUND="N","",IF(HSTECH!$C$38="","",HSTECH!$C$38))</f>
        <v/>
      </c>
      <c r="D798" s="104">
        <f>BDH($C798,NDE_FIELD,"-5AY","","Per=Y","cols=2;rows=5")</f>
        <v/>
      </c>
      <c r="E798" s="105" t="n"/>
      <c r="G798" s="104">
        <f>BQL($C798,BUYBACK_QUERY,$C$4,"fill=prev","showheaders=f","showids=f")</f>
        <v/>
      </c>
      <c r="H798" s="105" t="n"/>
      <c r="J798" s="104">
        <f>BDH($C798,"PX_LAST","-5AY","","Per=Y","cols=2;rows=5")</f>
        <v/>
      </c>
      <c r="K798" s="106" t="n"/>
    </row>
    <row r="799">
      <c r="D799" s="102" t="n"/>
      <c r="E799" s="105" t="n"/>
      <c r="G799" s="102" t="n"/>
      <c r="H799" s="105" t="n"/>
      <c r="J799" s="102" t="n"/>
      <c r="K799" s="106" t="n"/>
    </row>
    <row r="800">
      <c r="D800" s="102" t="n"/>
      <c r="E800" s="105" t="n"/>
      <c r="G800" s="102" t="n"/>
      <c r="H800" s="105" t="n"/>
      <c r="J800" s="102" t="n"/>
      <c r="K800" s="106" t="n"/>
    </row>
    <row r="801">
      <c r="D801" s="102" t="n"/>
      <c r="E801" s="105" t="n"/>
      <c r="G801" s="102" t="n"/>
      <c r="H801" s="105" t="n"/>
      <c r="J801" s="102" t="n"/>
      <c r="K801" s="106" t="n"/>
    </row>
    <row r="802">
      <c r="D802" s="102" t="n"/>
      <c r="E802" s="105" t="n"/>
      <c r="G802" s="102" t="n"/>
      <c r="H802" s="105" t="n"/>
      <c r="J802" s="102" t="n"/>
      <c r="K802" s="106" t="n"/>
    </row>
    <row r="804">
      <c r="B804" s="2">
        <f>IF(HSTECH!$C$39="","",HSTECH!$C$39)</f>
        <v/>
      </c>
      <c r="C804" s="2">
        <f>IF(PULL_FUND="N","",IF(HSTECH!$C$39="","",HSTECH!$C$39))</f>
        <v/>
      </c>
      <c r="D804" s="104">
        <f>BDH($C804,NDE_FIELD,"-5AY","","Per=Y","cols=2;rows=5")</f>
        <v/>
      </c>
      <c r="E804" s="105" t="n"/>
      <c r="G804" s="104">
        <f>BQL($C804,BUYBACK_QUERY,$C$4,"fill=prev","showheaders=f","showids=f")</f>
        <v/>
      </c>
      <c r="H804" s="105" t="n"/>
      <c r="J804" s="104">
        <f>BDH($C804,"PX_LAST","-5AY","","Per=Y","cols=2;rows=5")</f>
        <v/>
      </c>
      <c r="K804" s="106" t="n"/>
    </row>
    <row r="805">
      <c r="D805" s="102" t="n"/>
      <c r="E805" s="105" t="n"/>
      <c r="G805" s="102" t="n"/>
      <c r="H805" s="105" t="n"/>
      <c r="J805" s="102" t="n"/>
      <c r="K805" s="106" t="n"/>
    </row>
    <row r="806">
      <c r="D806" s="102" t="n"/>
      <c r="E806" s="105" t="n"/>
      <c r="G806" s="102" t="n"/>
      <c r="H806" s="105" t="n"/>
      <c r="J806" s="102" t="n"/>
      <c r="K806" s="106" t="n"/>
    </row>
    <row r="807">
      <c r="D807" s="102" t="n"/>
      <c r="E807" s="105" t="n"/>
      <c r="G807" s="102" t="n"/>
      <c r="H807" s="105" t="n"/>
      <c r="J807" s="102" t="n"/>
      <c r="K807" s="106" t="n"/>
    </row>
    <row r="808">
      <c r="D808" s="102" t="n"/>
      <c r="E808" s="105" t="n"/>
      <c r="G808" s="102" t="n"/>
      <c r="H808" s="105" t="n"/>
      <c r="J808" s="102" t="n"/>
      <c r="K808" s="106" t="n"/>
    </row>
    <row r="810">
      <c r="B810" s="2">
        <f>IF(HSTECH!$C$40="","",HSTECH!$C$40)</f>
        <v/>
      </c>
      <c r="C810" s="2">
        <f>IF(PULL_FUND="N","",IF(HSTECH!$C$40="","",HSTECH!$C$40))</f>
        <v/>
      </c>
      <c r="D810" s="104">
        <f>BDH($C810,NDE_FIELD,"-5AY","","Per=Y","cols=2;rows=5")</f>
        <v/>
      </c>
      <c r="E810" s="105" t="n"/>
      <c r="G810" s="104">
        <f>BQL($C810,BUYBACK_QUERY,$C$4,"fill=prev","showheaders=f","showids=f")</f>
        <v/>
      </c>
      <c r="H810" s="105" t="n"/>
      <c r="J810" s="104">
        <f>BDH($C810,"PX_LAST","-5AY","","Per=Y","cols=2;rows=5")</f>
        <v/>
      </c>
      <c r="K810" s="106" t="n"/>
    </row>
    <row r="811">
      <c r="D811" s="102" t="n"/>
      <c r="E811" s="105" t="n"/>
      <c r="G811" s="102" t="n"/>
      <c r="H811" s="105" t="n"/>
      <c r="J811" s="102" t="n"/>
      <c r="K811" s="106" t="n"/>
    </row>
    <row r="812">
      <c r="D812" s="102" t="n"/>
      <c r="E812" s="105" t="n"/>
      <c r="G812" s="102" t="n"/>
      <c r="H812" s="105" t="n"/>
      <c r="J812" s="102" t="n"/>
      <c r="K812" s="106" t="n"/>
    </row>
    <row r="813">
      <c r="D813" s="102" t="n"/>
      <c r="E813" s="105" t="n"/>
      <c r="G813" s="102" t="n"/>
      <c r="H813" s="105" t="n"/>
      <c r="J813" s="102" t="n"/>
      <c r="K813" s="106" t="n"/>
    </row>
    <row r="814">
      <c r="D814" s="102" t="n"/>
      <c r="E814" s="105" t="n"/>
      <c r="G814" s="102" t="n"/>
      <c r="H814" s="105" t="n"/>
      <c r="J814" s="102" t="n"/>
      <c r="K814" s="106" t="n"/>
    </row>
    <row r="816">
      <c r="B816" s="2">
        <f>IF(HSTECH!$C$41="","",HSTECH!$C$41)</f>
        <v/>
      </c>
      <c r="C816" s="2">
        <f>IF(PULL_FUND="N","",IF(HSTECH!$C$41="","",HSTECH!$C$41))</f>
        <v/>
      </c>
      <c r="D816" s="104">
        <f>BDH($C816,NDE_FIELD,"-5AY","","Per=Y","cols=2;rows=5")</f>
        <v/>
      </c>
      <c r="E816" s="105" t="n"/>
      <c r="G816" s="104">
        <f>BQL($C816,BUYBACK_QUERY,$C$4,"fill=prev","showheaders=f","showids=f")</f>
        <v/>
      </c>
      <c r="H816" s="105" t="n"/>
      <c r="J816" s="104">
        <f>BDH($C816,"PX_LAST","-5AY","","Per=Y","cols=2;rows=5")</f>
        <v/>
      </c>
      <c r="K816" s="106" t="n"/>
    </row>
    <row r="817">
      <c r="D817" s="102" t="n"/>
      <c r="E817" s="105" t="n"/>
      <c r="G817" s="102" t="n"/>
      <c r="H817" s="105" t="n"/>
      <c r="J817" s="102" t="n"/>
      <c r="K817" s="106" t="n"/>
    </row>
    <row r="818">
      <c r="D818" s="102" t="n"/>
      <c r="E818" s="105" t="n"/>
      <c r="G818" s="102" t="n"/>
      <c r="H818" s="105" t="n"/>
      <c r="J818" s="102" t="n"/>
      <c r="K818" s="106" t="n"/>
    </row>
    <row r="819">
      <c r="D819" s="102" t="n"/>
      <c r="E819" s="105" t="n"/>
      <c r="G819" s="102" t="n"/>
      <c r="H819" s="105" t="n"/>
      <c r="J819" s="102" t="n"/>
      <c r="K819" s="106" t="n"/>
    </row>
    <row r="820">
      <c r="D820" s="102" t="n"/>
      <c r="E820" s="105" t="n"/>
      <c r="G820" s="102" t="n"/>
      <c r="H820" s="105" t="n"/>
      <c r="J820" s="102" t="n"/>
      <c r="K820" s="106" t="n"/>
    </row>
    <row r="822">
      <c r="B822" s="2">
        <f>IF(HSTECH!$C$42="","",HSTECH!$C$42)</f>
        <v/>
      </c>
      <c r="C822" s="2">
        <f>IF(PULL_FUND="N","",IF(HSTECH!$C$42="","",HSTECH!$C$42))</f>
        <v/>
      </c>
      <c r="D822" s="104">
        <f>BDH($C822,NDE_FIELD,"-5AY","","Per=Y","cols=2;rows=5")</f>
        <v/>
      </c>
      <c r="E822" s="105" t="n"/>
      <c r="G822" s="104">
        <f>BQL($C822,BUYBACK_QUERY,$C$4,"fill=prev","showheaders=f","showids=f")</f>
        <v/>
      </c>
      <c r="H822" s="105" t="n"/>
      <c r="J822" s="104">
        <f>BDH($C822,"PX_LAST","-5AY","","Per=Y","cols=2;rows=5")</f>
        <v/>
      </c>
      <c r="K822" s="106" t="n"/>
    </row>
    <row r="823">
      <c r="D823" s="102" t="n"/>
      <c r="E823" s="105" t="n"/>
      <c r="G823" s="102" t="n"/>
      <c r="H823" s="105" t="n"/>
      <c r="J823" s="102" t="n"/>
      <c r="K823" s="106" t="n"/>
    </row>
    <row r="824">
      <c r="D824" s="102" t="n"/>
      <c r="E824" s="105" t="n"/>
      <c r="G824" s="102" t="n"/>
      <c r="H824" s="105" t="n"/>
      <c r="J824" s="102" t="n"/>
      <c r="K824" s="106" t="n"/>
    </row>
    <row r="825">
      <c r="D825" s="102" t="n"/>
      <c r="E825" s="105" t="n"/>
      <c r="G825" s="102" t="n"/>
      <c r="H825" s="105" t="n"/>
      <c r="J825" s="102" t="n"/>
      <c r="K825" s="106" t="n"/>
    </row>
    <row r="826">
      <c r="D826" s="102" t="n"/>
      <c r="E826" s="105" t="n"/>
      <c r="G826" s="102" t="n"/>
      <c r="H826" s="105" t="n"/>
      <c r="J826" s="102" t="n"/>
      <c r="K826" s="106" t="n"/>
    </row>
    <row r="828">
      <c r="B828" s="2">
        <f>IF(HSTECH!$C$43="","",HSTECH!$C$43)</f>
        <v/>
      </c>
      <c r="C828" s="2">
        <f>IF(PULL_FUND="N","",IF(HSTECH!$C$43="","",HSTECH!$C$43))</f>
        <v/>
      </c>
      <c r="D828" s="104">
        <f>BDH($C828,NDE_FIELD,"-5AY","","Per=Y","cols=2;rows=5")</f>
        <v/>
      </c>
      <c r="E828" s="105" t="n"/>
      <c r="G828" s="104">
        <f>BQL($C828,BUYBACK_QUERY,$C$4,"fill=prev","showheaders=f","showids=f")</f>
        <v/>
      </c>
      <c r="H828" s="105" t="n"/>
      <c r="J828" s="104">
        <f>BDH($C828,"PX_LAST","-5AY","","Per=Y","cols=2;rows=5")</f>
        <v/>
      </c>
      <c r="K828" s="106" t="n"/>
    </row>
    <row r="829">
      <c r="D829" s="102" t="n"/>
      <c r="E829" s="105" t="n"/>
      <c r="G829" s="102" t="n"/>
      <c r="H829" s="105" t="n"/>
      <c r="J829" s="102" t="n"/>
      <c r="K829" s="106" t="n"/>
    </row>
    <row r="830">
      <c r="D830" s="102" t="n"/>
      <c r="E830" s="105" t="n"/>
      <c r="G830" s="102" t="n"/>
      <c r="H830" s="105" t="n"/>
      <c r="J830" s="102" t="n"/>
      <c r="K830" s="106" t="n"/>
    </row>
    <row r="831">
      <c r="D831" s="102" t="n"/>
      <c r="E831" s="105" t="n"/>
      <c r="G831" s="102" t="n"/>
      <c r="H831" s="105" t="n"/>
      <c r="J831" s="102" t="n"/>
      <c r="K831" s="106" t="n"/>
    </row>
    <row r="832">
      <c r="D832" s="102" t="n"/>
      <c r="E832" s="105" t="n"/>
      <c r="G832" s="102" t="n"/>
      <c r="H832" s="105" t="n"/>
      <c r="J832" s="102" t="n"/>
      <c r="K832" s="106" t="n"/>
    </row>
    <row r="834">
      <c r="B834" s="2">
        <f>IF(HSTECH!$C$44="","",HSTECH!$C$44)</f>
        <v/>
      </c>
      <c r="C834" s="2">
        <f>IF(PULL_FUND="N","",IF(HSTECH!$C$44="","",HSTECH!$C$44))</f>
        <v/>
      </c>
      <c r="D834" s="104">
        <f>BDH($C834,NDE_FIELD,"-5AY","","Per=Y","cols=2;rows=5")</f>
        <v/>
      </c>
      <c r="E834" s="105" t="n"/>
      <c r="G834" s="104">
        <f>BQL($C834,BUYBACK_QUERY,$C$4,"fill=prev","showheaders=f","showids=f")</f>
        <v/>
      </c>
      <c r="H834" s="105" t="n"/>
      <c r="J834" s="104">
        <f>BDH($C834,"PX_LAST","-5AY","","Per=Y","cols=2;rows=5")</f>
        <v/>
      </c>
      <c r="K834" s="106" t="n"/>
    </row>
    <row r="835">
      <c r="D835" s="102" t="n"/>
      <c r="E835" s="105" t="n"/>
      <c r="G835" s="102" t="n"/>
      <c r="H835" s="105" t="n"/>
      <c r="J835" s="102" t="n"/>
      <c r="K835" s="106" t="n"/>
    </row>
    <row r="836">
      <c r="D836" s="102" t="n"/>
      <c r="E836" s="105" t="n"/>
      <c r="G836" s="102" t="n"/>
      <c r="H836" s="105" t="n"/>
      <c r="J836" s="102" t="n"/>
      <c r="K836" s="106" t="n"/>
    </row>
    <row r="837">
      <c r="D837" s="102" t="n"/>
      <c r="E837" s="105" t="n"/>
      <c r="G837" s="102" t="n"/>
      <c r="H837" s="105" t="n"/>
      <c r="J837" s="102" t="n"/>
      <c r="K837" s="106" t="n"/>
    </row>
    <row r="838">
      <c r="D838" s="102" t="n"/>
      <c r="E838" s="105" t="n"/>
      <c r="G838" s="102" t="n"/>
      <c r="H838" s="105" t="n"/>
      <c r="J838" s="102" t="n"/>
      <c r="K838" s="106" t="n"/>
    </row>
    <row r="840">
      <c r="B840" s="2">
        <f>IF(HSTECH!$C$45="","",HSTECH!$C$45)</f>
        <v/>
      </c>
      <c r="C840" s="2">
        <f>IF(PULL_FUND="N","",IF(HSTECH!$C$45="","",HSTECH!$C$45))</f>
        <v/>
      </c>
      <c r="D840" s="104">
        <f>BDH($C840,NDE_FIELD,"-5AY","","Per=Y","cols=2;rows=5")</f>
        <v/>
      </c>
      <c r="E840" s="105" t="n"/>
      <c r="G840" s="104">
        <f>BQL($C840,BUYBACK_QUERY,$C$4,"fill=prev","showheaders=f","showids=f")</f>
        <v/>
      </c>
      <c r="H840" s="105" t="n"/>
      <c r="J840" s="104">
        <f>BDH($C840,"PX_LAST","-5AY","","Per=Y","cols=2;rows=5")</f>
        <v/>
      </c>
      <c r="K840" s="106" t="n"/>
    </row>
    <row r="841">
      <c r="D841" s="102" t="n"/>
      <c r="E841" s="105" t="n"/>
      <c r="G841" s="102" t="n"/>
      <c r="H841" s="105" t="n"/>
      <c r="J841" s="102" t="n"/>
      <c r="K841" s="106" t="n"/>
    </row>
    <row r="842">
      <c r="D842" s="102" t="n"/>
      <c r="E842" s="105" t="n"/>
      <c r="G842" s="102" t="n"/>
      <c r="H842" s="105" t="n"/>
      <c r="J842" s="102" t="n"/>
      <c r="K842" s="106" t="n"/>
    </row>
    <row r="843">
      <c r="D843" s="102" t="n"/>
      <c r="E843" s="105" t="n"/>
      <c r="G843" s="102" t="n"/>
      <c r="H843" s="105" t="n"/>
      <c r="J843" s="102" t="n"/>
      <c r="K843" s="106" t="n"/>
    </row>
    <row r="844">
      <c r="D844" s="102" t="n"/>
      <c r="E844" s="105" t="n"/>
      <c r="G844" s="102" t="n"/>
      <c r="H844" s="105" t="n"/>
      <c r="J844" s="102" t="n"/>
      <c r="K844" s="106" t="n"/>
    </row>
    <row r="846">
      <c r="B846" s="2">
        <f>IF(HSTECH!$C$46="","",HSTECH!$C$46)</f>
        <v/>
      </c>
      <c r="C846" s="2">
        <f>IF(PULL_FUND="N","",IF(HSTECH!$C$46="","",HSTECH!$C$46))</f>
        <v/>
      </c>
      <c r="D846" s="104">
        <f>BDH($C846,NDE_FIELD,"-5AY","","Per=Y","cols=2;rows=5")</f>
        <v/>
      </c>
      <c r="E846" s="105" t="n"/>
      <c r="G846" s="104">
        <f>BQL($C846,BUYBACK_QUERY,$C$4,"fill=prev","showheaders=f","showids=f")</f>
        <v/>
      </c>
      <c r="H846" s="105" t="n"/>
      <c r="J846" s="104">
        <f>BDH($C846,"PX_LAST","-5AY","","Per=Y","cols=2;rows=5")</f>
        <v/>
      </c>
      <c r="K846" s="106" t="n"/>
    </row>
    <row r="847">
      <c r="D847" s="102" t="n"/>
      <c r="E847" s="105" t="n"/>
      <c r="G847" s="102" t="n"/>
      <c r="H847" s="105" t="n"/>
      <c r="J847" s="102" t="n"/>
      <c r="K847" s="106" t="n"/>
    </row>
    <row r="848">
      <c r="D848" s="102" t="n"/>
      <c r="E848" s="105" t="n"/>
      <c r="G848" s="102" t="n"/>
      <c r="H848" s="105" t="n"/>
      <c r="J848" s="102" t="n"/>
      <c r="K848" s="106" t="n"/>
    </row>
    <row r="849">
      <c r="D849" s="102" t="n"/>
      <c r="E849" s="105" t="n"/>
      <c r="G849" s="102" t="n"/>
      <c r="H849" s="105" t="n"/>
      <c r="J849" s="102" t="n"/>
      <c r="K849" s="106" t="n"/>
    </row>
    <row r="850">
      <c r="D850" s="102" t="n"/>
      <c r="E850" s="105" t="n"/>
      <c r="G850" s="102" t="n"/>
      <c r="H850" s="105" t="n"/>
      <c r="J850" s="102" t="n"/>
      <c r="K850" s="106" t="n"/>
    </row>
    <row r="854">
      <c r="B854" s="6" t="inlineStr">
        <is>
          <t>Hang Seng China Enterprises (HSCEI)</t>
        </is>
      </c>
      <c r="C854" s="7" t="n"/>
      <c r="D854" s="10">
        <f>IF(COUNT($D$856:$D$1215)&gt;0,"BDH shape OK - dates in column D",IF(COUNT($E$856:$E$1215)&gt;0,"CHECK: BDH returned values but NO date column - tell Claude","BDH: nothing pulled yet"))</f>
        <v/>
      </c>
      <c r="E854" s="7" t="n"/>
      <c r="F854" s="7" t="n"/>
      <c r="G854" s="10">
        <f>IF(COUNT($G$856:$G$1215)&gt;0,"BQL shape OK - dates in column G",IF(COUNT($H$856:$H$1215)&gt;0,"CHECK: BQL returned values but NO date column - tell Claude","BQL: nothing pulled yet"))</f>
        <v/>
      </c>
      <c r="H854" s="7" t="n"/>
      <c r="J854" s="2">
        <f>IF(COUNT($J$856:$J$1215)&gt;0,"PX shape OK - dates in column J",IF(COUNT($K$856:$K$1215)&gt;0,"CHECK: PX returned values but NO date column - tell Claude","PX: nothing pulled yet"))</f>
        <v/>
      </c>
    </row>
    <row r="855">
      <c r="D855" s="2" t="inlineStr">
        <is>
          <t>net debt/equity (BDH)</t>
        </is>
      </c>
      <c r="G855" s="2" t="inlineStr">
        <is>
          <t>buyback yield (BQL)</t>
        </is>
      </c>
      <c r="J855" s="2" t="inlineStr">
        <is>
          <t>year-end price (BDH)</t>
        </is>
      </c>
    </row>
    <row r="856">
      <c r="B856" s="2">
        <f>IF(HSCEI!$C$7="","",HSCEI!$C$7)</f>
        <v/>
      </c>
      <c r="C856" s="2">
        <f>IF(PULL_FUND="N","",IF(HSCEI!$C$7="","",HSCEI!$C$7))</f>
        <v/>
      </c>
      <c r="D856" s="104">
        <f>BDH($C856,NDE_FIELD,"-5AY","","Per=Y","cols=2;rows=5")</f>
        <v/>
      </c>
      <c r="E856" s="105" t="n"/>
      <c r="G856" s="104">
        <f>BQL($C856,BUYBACK_QUERY,$C$4,"fill=prev","showheaders=f","showids=f")</f>
        <v/>
      </c>
      <c r="H856" s="105" t="n"/>
      <c r="J856" s="104">
        <f>BDH($C856,"PX_LAST","-5AY","","Per=Y","cols=2;rows=5")</f>
        <v/>
      </c>
      <c r="K856" s="106" t="n"/>
    </row>
    <row r="857">
      <c r="D857" s="102" t="n"/>
      <c r="E857" s="105" t="n"/>
      <c r="G857" s="102" t="n"/>
      <c r="H857" s="105" t="n"/>
      <c r="J857" s="102" t="n"/>
      <c r="K857" s="106" t="n"/>
    </row>
    <row r="858">
      <c r="D858" s="102" t="n"/>
      <c r="E858" s="105" t="n"/>
      <c r="G858" s="102" t="n"/>
      <c r="H858" s="105" t="n"/>
      <c r="J858" s="102" t="n"/>
      <c r="K858" s="106" t="n"/>
    </row>
    <row r="859">
      <c r="D859" s="102" t="n"/>
      <c r="E859" s="105" t="n"/>
      <c r="G859" s="102" t="n"/>
      <c r="H859" s="105" t="n"/>
      <c r="J859" s="102" t="n"/>
      <c r="K859" s="106" t="n"/>
    </row>
    <row r="860">
      <c r="D860" s="102" t="n"/>
      <c r="E860" s="105" t="n"/>
      <c r="G860" s="102" t="n"/>
      <c r="H860" s="105" t="n"/>
      <c r="J860" s="102" t="n"/>
      <c r="K860" s="106" t="n"/>
    </row>
    <row r="862">
      <c r="B862" s="2">
        <f>IF(HSCEI!$C$8="","",HSCEI!$C$8)</f>
        <v/>
      </c>
      <c r="C862" s="2">
        <f>IF(PULL_FUND="N","",IF(HSCEI!$C$8="","",HSCEI!$C$8))</f>
        <v/>
      </c>
      <c r="D862" s="104">
        <f>BDH($C862,NDE_FIELD,"-5AY","","Per=Y","cols=2;rows=5")</f>
        <v/>
      </c>
      <c r="E862" s="105" t="n"/>
      <c r="G862" s="104">
        <f>BQL($C862,BUYBACK_QUERY,$C$4,"fill=prev","showheaders=f","showids=f")</f>
        <v/>
      </c>
      <c r="H862" s="105" t="n"/>
      <c r="J862" s="104">
        <f>BDH($C862,"PX_LAST","-5AY","","Per=Y","cols=2;rows=5")</f>
        <v/>
      </c>
      <c r="K862" s="106" t="n"/>
    </row>
    <row r="863">
      <c r="D863" s="102" t="n"/>
      <c r="E863" s="105" t="n"/>
      <c r="G863" s="102" t="n"/>
      <c r="H863" s="105" t="n"/>
      <c r="J863" s="102" t="n"/>
      <c r="K863" s="106" t="n"/>
    </row>
    <row r="864">
      <c r="D864" s="102" t="n"/>
      <c r="E864" s="105" t="n"/>
      <c r="G864" s="102" t="n"/>
      <c r="H864" s="105" t="n"/>
      <c r="J864" s="102" t="n"/>
      <c r="K864" s="106" t="n"/>
    </row>
    <row r="865">
      <c r="D865" s="102" t="n"/>
      <c r="E865" s="105" t="n"/>
      <c r="G865" s="102" t="n"/>
      <c r="H865" s="105" t="n"/>
      <c r="J865" s="102" t="n"/>
      <c r="K865" s="106" t="n"/>
    </row>
    <row r="866">
      <c r="D866" s="102" t="n"/>
      <c r="E866" s="105" t="n"/>
      <c r="G866" s="102" t="n"/>
      <c r="H866" s="105" t="n"/>
      <c r="J866" s="102" t="n"/>
      <c r="K866" s="106" t="n"/>
    </row>
    <row r="868">
      <c r="B868" s="2">
        <f>IF(HSCEI!$C$9="","",HSCEI!$C$9)</f>
        <v/>
      </c>
      <c r="C868" s="2">
        <f>IF(PULL_FUND="N","",IF(HSCEI!$C$9="","",HSCEI!$C$9))</f>
        <v/>
      </c>
      <c r="D868" s="104">
        <f>BDH($C868,NDE_FIELD,"-5AY","","Per=Y","cols=2;rows=5")</f>
        <v/>
      </c>
      <c r="E868" s="105" t="n"/>
      <c r="G868" s="104">
        <f>BQL($C868,BUYBACK_QUERY,$C$4,"fill=prev","showheaders=f","showids=f")</f>
        <v/>
      </c>
      <c r="H868" s="105" t="n"/>
      <c r="J868" s="104">
        <f>BDH($C868,"PX_LAST","-5AY","","Per=Y","cols=2;rows=5")</f>
        <v/>
      </c>
      <c r="K868" s="106" t="n"/>
    </row>
    <row r="869">
      <c r="D869" s="102" t="n"/>
      <c r="E869" s="105" t="n"/>
      <c r="G869" s="102" t="n"/>
      <c r="H869" s="105" t="n"/>
      <c r="J869" s="102" t="n"/>
      <c r="K869" s="106" t="n"/>
    </row>
    <row r="870">
      <c r="D870" s="102" t="n"/>
      <c r="E870" s="105" t="n"/>
      <c r="G870" s="102" t="n"/>
      <c r="H870" s="105" t="n"/>
      <c r="J870" s="102" t="n"/>
      <c r="K870" s="106" t="n"/>
    </row>
    <row r="871">
      <c r="D871" s="102" t="n"/>
      <c r="E871" s="105" t="n"/>
      <c r="G871" s="102" t="n"/>
      <c r="H871" s="105" t="n"/>
      <c r="J871" s="102" t="n"/>
      <c r="K871" s="106" t="n"/>
    </row>
    <row r="872">
      <c r="D872" s="102" t="n"/>
      <c r="E872" s="105" t="n"/>
      <c r="G872" s="102" t="n"/>
      <c r="H872" s="105" t="n"/>
      <c r="J872" s="102" t="n"/>
      <c r="K872" s="106" t="n"/>
    </row>
    <row r="874">
      <c r="B874" s="2">
        <f>IF(HSCEI!$C$10="","",HSCEI!$C$10)</f>
        <v/>
      </c>
      <c r="C874" s="2">
        <f>IF(PULL_FUND="N","",IF(HSCEI!$C$10="","",HSCEI!$C$10))</f>
        <v/>
      </c>
      <c r="D874" s="104">
        <f>BDH($C874,NDE_FIELD,"-5AY","","Per=Y","cols=2;rows=5")</f>
        <v/>
      </c>
      <c r="E874" s="105" t="n"/>
      <c r="G874" s="104">
        <f>BQL($C874,BUYBACK_QUERY,$C$4,"fill=prev","showheaders=f","showids=f")</f>
        <v/>
      </c>
      <c r="H874" s="105" t="n"/>
      <c r="J874" s="104">
        <f>BDH($C874,"PX_LAST","-5AY","","Per=Y","cols=2;rows=5")</f>
        <v/>
      </c>
      <c r="K874" s="106" t="n"/>
    </row>
    <row r="875">
      <c r="D875" s="102" t="n"/>
      <c r="E875" s="105" t="n"/>
      <c r="G875" s="102" t="n"/>
      <c r="H875" s="105" t="n"/>
      <c r="J875" s="102" t="n"/>
      <c r="K875" s="106" t="n"/>
    </row>
    <row r="876">
      <c r="D876" s="102" t="n"/>
      <c r="E876" s="105" t="n"/>
      <c r="G876" s="102" t="n"/>
      <c r="H876" s="105" t="n"/>
      <c r="J876" s="102" t="n"/>
      <c r="K876" s="106" t="n"/>
    </row>
    <row r="877">
      <c r="D877" s="102" t="n"/>
      <c r="E877" s="105" t="n"/>
      <c r="G877" s="102" t="n"/>
      <c r="H877" s="105" t="n"/>
      <c r="J877" s="102" t="n"/>
      <c r="K877" s="106" t="n"/>
    </row>
    <row r="878">
      <c r="D878" s="102" t="n"/>
      <c r="E878" s="105" t="n"/>
      <c r="G878" s="102" t="n"/>
      <c r="H878" s="105" t="n"/>
      <c r="J878" s="102" t="n"/>
      <c r="K878" s="106" t="n"/>
    </row>
    <row r="880">
      <c r="B880" s="2">
        <f>IF(HSCEI!$C$11="","",HSCEI!$C$11)</f>
        <v/>
      </c>
      <c r="C880" s="2">
        <f>IF(PULL_FUND="N","",IF(HSCEI!$C$11="","",HSCEI!$C$11))</f>
        <v/>
      </c>
      <c r="D880" s="104">
        <f>BDH($C880,NDE_FIELD,"-5AY","","Per=Y","cols=2;rows=5")</f>
        <v/>
      </c>
      <c r="E880" s="105" t="n"/>
      <c r="G880" s="104">
        <f>BQL($C880,BUYBACK_QUERY,$C$4,"fill=prev","showheaders=f","showids=f")</f>
        <v/>
      </c>
      <c r="H880" s="105" t="n"/>
      <c r="J880" s="104">
        <f>BDH($C880,"PX_LAST","-5AY","","Per=Y","cols=2;rows=5")</f>
        <v/>
      </c>
      <c r="K880" s="106" t="n"/>
    </row>
    <row r="881">
      <c r="D881" s="102" t="n"/>
      <c r="E881" s="105" t="n"/>
      <c r="G881" s="102" t="n"/>
      <c r="H881" s="105" t="n"/>
      <c r="J881" s="102" t="n"/>
      <c r="K881" s="106" t="n"/>
    </row>
    <row r="882">
      <c r="D882" s="102" t="n"/>
      <c r="E882" s="105" t="n"/>
      <c r="G882" s="102" t="n"/>
      <c r="H882" s="105" t="n"/>
      <c r="J882" s="102" t="n"/>
      <c r="K882" s="106" t="n"/>
    </row>
    <row r="883">
      <c r="D883" s="102" t="n"/>
      <c r="E883" s="105" t="n"/>
      <c r="G883" s="102" t="n"/>
      <c r="H883" s="105" t="n"/>
      <c r="J883" s="102" t="n"/>
      <c r="K883" s="106" t="n"/>
    </row>
    <row r="884">
      <c r="D884" s="102" t="n"/>
      <c r="E884" s="105" t="n"/>
      <c r="G884" s="102" t="n"/>
      <c r="H884" s="105" t="n"/>
      <c r="J884" s="102" t="n"/>
      <c r="K884" s="106" t="n"/>
    </row>
    <row r="886">
      <c r="B886" s="2">
        <f>IF(HSCEI!$C$12="","",HSCEI!$C$12)</f>
        <v/>
      </c>
      <c r="C886" s="2">
        <f>IF(PULL_FUND="N","",IF(HSCEI!$C$12="","",HSCEI!$C$12))</f>
        <v/>
      </c>
      <c r="D886" s="104">
        <f>BDH($C886,NDE_FIELD,"-5AY","","Per=Y","cols=2;rows=5")</f>
        <v/>
      </c>
      <c r="E886" s="105" t="n"/>
      <c r="G886" s="104">
        <f>BQL($C886,BUYBACK_QUERY,$C$4,"fill=prev","showheaders=f","showids=f")</f>
        <v/>
      </c>
      <c r="H886" s="105" t="n"/>
      <c r="J886" s="104">
        <f>BDH($C886,"PX_LAST","-5AY","","Per=Y","cols=2;rows=5")</f>
        <v/>
      </c>
      <c r="K886" s="106" t="n"/>
    </row>
    <row r="887">
      <c r="D887" s="102" t="n"/>
      <c r="E887" s="105" t="n"/>
      <c r="G887" s="102" t="n"/>
      <c r="H887" s="105" t="n"/>
      <c r="J887" s="102" t="n"/>
      <c r="K887" s="106" t="n"/>
    </row>
    <row r="888">
      <c r="D888" s="102" t="n"/>
      <c r="E888" s="105" t="n"/>
      <c r="G888" s="102" t="n"/>
      <c r="H888" s="105" t="n"/>
      <c r="J888" s="102" t="n"/>
      <c r="K888" s="106" t="n"/>
    </row>
    <row r="889">
      <c r="D889" s="102" t="n"/>
      <c r="E889" s="105" t="n"/>
      <c r="G889" s="102" t="n"/>
      <c r="H889" s="105" t="n"/>
      <c r="J889" s="102" t="n"/>
      <c r="K889" s="106" t="n"/>
    </row>
    <row r="890">
      <c r="D890" s="102" t="n"/>
      <c r="E890" s="105" t="n"/>
      <c r="G890" s="102" t="n"/>
      <c r="H890" s="105" t="n"/>
      <c r="J890" s="102" t="n"/>
      <c r="K890" s="106" t="n"/>
    </row>
    <row r="892">
      <c r="B892" s="2">
        <f>IF(HSCEI!$C$13="","",HSCEI!$C$13)</f>
        <v/>
      </c>
      <c r="C892" s="2">
        <f>IF(PULL_FUND="N","",IF(HSCEI!$C$13="","",HSCEI!$C$13))</f>
        <v/>
      </c>
      <c r="D892" s="104">
        <f>BDH($C892,NDE_FIELD,"-5AY","","Per=Y","cols=2;rows=5")</f>
        <v/>
      </c>
      <c r="E892" s="105" t="n"/>
      <c r="G892" s="104">
        <f>BQL($C892,BUYBACK_QUERY,$C$4,"fill=prev","showheaders=f","showids=f")</f>
        <v/>
      </c>
      <c r="H892" s="105" t="n"/>
      <c r="J892" s="104">
        <f>BDH($C892,"PX_LAST","-5AY","","Per=Y","cols=2;rows=5")</f>
        <v/>
      </c>
      <c r="K892" s="106" t="n"/>
    </row>
    <row r="893">
      <c r="D893" s="102" t="n"/>
      <c r="E893" s="105" t="n"/>
      <c r="G893" s="102" t="n"/>
      <c r="H893" s="105" t="n"/>
      <c r="J893" s="102" t="n"/>
      <c r="K893" s="106" t="n"/>
    </row>
    <row r="894">
      <c r="D894" s="102" t="n"/>
      <c r="E894" s="105" t="n"/>
      <c r="G894" s="102" t="n"/>
      <c r="H894" s="105" t="n"/>
      <c r="J894" s="102" t="n"/>
      <c r="K894" s="106" t="n"/>
    </row>
    <row r="895">
      <c r="D895" s="102" t="n"/>
      <c r="E895" s="105" t="n"/>
      <c r="G895" s="102" t="n"/>
      <c r="H895" s="105" t="n"/>
      <c r="J895" s="102" t="n"/>
      <c r="K895" s="106" t="n"/>
    </row>
    <row r="896">
      <c r="D896" s="102" t="n"/>
      <c r="E896" s="105" t="n"/>
      <c r="G896" s="102" t="n"/>
      <c r="H896" s="105" t="n"/>
      <c r="J896" s="102" t="n"/>
      <c r="K896" s="106" t="n"/>
    </row>
    <row r="898">
      <c r="B898" s="2">
        <f>IF(HSCEI!$C$14="","",HSCEI!$C$14)</f>
        <v/>
      </c>
      <c r="C898" s="2">
        <f>IF(PULL_FUND="N","",IF(HSCEI!$C$14="","",HSCEI!$C$14))</f>
        <v/>
      </c>
      <c r="D898" s="104">
        <f>BDH($C898,NDE_FIELD,"-5AY","","Per=Y","cols=2;rows=5")</f>
        <v/>
      </c>
      <c r="E898" s="105" t="n"/>
      <c r="G898" s="104">
        <f>BQL($C898,BUYBACK_QUERY,$C$4,"fill=prev","showheaders=f","showids=f")</f>
        <v/>
      </c>
      <c r="H898" s="105" t="n"/>
      <c r="J898" s="104">
        <f>BDH($C898,"PX_LAST","-5AY","","Per=Y","cols=2;rows=5")</f>
        <v/>
      </c>
      <c r="K898" s="106" t="n"/>
    </row>
    <row r="899">
      <c r="D899" s="102" t="n"/>
      <c r="E899" s="105" t="n"/>
      <c r="G899" s="102" t="n"/>
      <c r="H899" s="105" t="n"/>
      <c r="J899" s="102" t="n"/>
      <c r="K899" s="106" t="n"/>
    </row>
    <row r="900">
      <c r="D900" s="102" t="n"/>
      <c r="E900" s="105" t="n"/>
      <c r="G900" s="102" t="n"/>
      <c r="H900" s="105" t="n"/>
      <c r="J900" s="102" t="n"/>
      <c r="K900" s="106" t="n"/>
    </row>
    <row r="901">
      <c r="D901" s="102" t="n"/>
      <c r="E901" s="105" t="n"/>
      <c r="G901" s="102" t="n"/>
      <c r="H901" s="105" t="n"/>
      <c r="J901" s="102" t="n"/>
      <c r="K901" s="106" t="n"/>
    </row>
    <row r="902">
      <c r="D902" s="102" t="n"/>
      <c r="E902" s="105" t="n"/>
      <c r="G902" s="102" t="n"/>
      <c r="H902" s="105" t="n"/>
      <c r="J902" s="102" t="n"/>
      <c r="K902" s="106" t="n"/>
    </row>
    <row r="904">
      <c r="B904" s="2">
        <f>IF(HSCEI!$C$15="","",HSCEI!$C$15)</f>
        <v/>
      </c>
      <c r="C904" s="2">
        <f>IF(PULL_FUND="N","",IF(HSCEI!$C$15="","",HSCEI!$C$15))</f>
        <v/>
      </c>
      <c r="D904" s="104">
        <f>BDH($C904,NDE_FIELD,"-5AY","","Per=Y","cols=2;rows=5")</f>
        <v/>
      </c>
      <c r="E904" s="105" t="n"/>
      <c r="G904" s="104">
        <f>BQL($C904,BUYBACK_QUERY,$C$4,"fill=prev","showheaders=f","showids=f")</f>
        <v/>
      </c>
      <c r="H904" s="105" t="n"/>
      <c r="J904" s="104">
        <f>BDH($C904,"PX_LAST","-5AY","","Per=Y","cols=2;rows=5")</f>
        <v/>
      </c>
      <c r="K904" s="106" t="n"/>
    </row>
    <row r="905">
      <c r="D905" s="102" t="n"/>
      <c r="E905" s="105" t="n"/>
      <c r="G905" s="102" t="n"/>
      <c r="H905" s="105" t="n"/>
      <c r="J905" s="102" t="n"/>
      <c r="K905" s="106" t="n"/>
    </row>
    <row r="906">
      <c r="D906" s="102" t="n"/>
      <c r="E906" s="105" t="n"/>
      <c r="G906" s="102" t="n"/>
      <c r="H906" s="105" t="n"/>
      <c r="J906" s="102" t="n"/>
      <c r="K906" s="106" t="n"/>
    </row>
    <row r="907">
      <c r="D907" s="102" t="n"/>
      <c r="E907" s="105" t="n"/>
      <c r="G907" s="102" t="n"/>
      <c r="H907" s="105" t="n"/>
      <c r="J907" s="102" t="n"/>
      <c r="K907" s="106" t="n"/>
    </row>
    <row r="908">
      <c r="D908" s="102" t="n"/>
      <c r="E908" s="105" t="n"/>
      <c r="G908" s="102" t="n"/>
      <c r="H908" s="105" t="n"/>
      <c r="J908" s="102" t="n"/>
      <c r="K908" s="106" t="n"/>
    </row>
    <row r="910">
      <c r="B910" s="2">
        <f>IF(HSCEI!$C$16="","",HSCEI!$C$16)</f>
        <v/>
      </c>
      <c r="C910" s="2">
        <f>IF(PULL_FUND="N","",IF(HSCEI!$C$16="","",HSCEI!$C$16))</f>
        <v/>
      </c>
      <c r="D910" s="104">
        <f>BDH($C910,NDE_FIELD,"-5AY","","Per=Y","cols=2;rows=5")</f>
        <v/>
      </c>
      <c r="E910" s="105" t="n"/>
      <c r="G910" s="104">
        <f>BQL($C910,BUYBACK_QUERY,$C$4,"fill=prev","showheaders=f","showids=f")</f>
        <v/>
      </c>
      <c r="H910" s="105" t="n"/>
      <c r="J910" s="104">
        <f>BDH($C910,"PX_LAST","-5AY","","Per=Y","cols=2;rows=5")</f>
        <v/>
      </c>
      <c r="K910" s="106" t="n"/>
    </row>
    <row r="911">
      <c r="D911" s="102" t="n"/>
      <c r="E911" s="105" t="n"/>
      <c r="G911" s="102" t="n"/>
      <c r="H911" s="105" t="n"/>
      <c r="J911" s="102" t="n"/>
      <c r="K911" s="106" t="n"/>
    </row>
    <row r="912">
      <c r="D912" s="102" t="n"/>
      <c r="E912" s="105" t="n"/>
      <c r="G912" s="102" t="n"/>
      <c r="H912" s="105" t="n"/>
      <c r="J912" s="102" t="n"/>
      <c r="K912" s="106" t="n"/>
    </row>
    <row r="913">
      <c r="D913" s="102" t="n"/>
      <c r="E913" s="105" t="n"/>
      <c r="G913" s="102" t="n"/>
      <c r="H913" s="105" t="n"/>
      <c r="J913" s="102" t="n"/>
      <c r="K913" s="106" t="n"/>
    </row>
    <row r="914">
      <c r="D914" s="102" t="n"/>
      <c r="E914" s="105" t="n"/>
      <c r="G914" s="102" t="n"/>
      <c r="H914" s="105" t="n"/>
      <c r="J914" s="102" t="n"/>
      <c r="K914" s="106" t="n"/>
    </row>
    <row r="916">
      <c r="B916" s="2">
        <f>IF(HSCEI!$C$17="","",HSCEI!$C$17)</f>
        <v/>
      </c>
      <c r="C916" s="2">
        <f>IF(PULL_FUND="N","",IF(HSCEI!$C$17="","",HSCEI!$C$17))</f>
        <v/>
      </c>
      <c r="D916" s="104">
        <f>BDH($C916,NDE_FIELD,"-5AY","","Per=Y","cols=2;rows=5")</f>
        <v/>
      </c>
      <c r="E916" s="105" t="n"/>
      <c r="G916" s="104">
        <f>BQL($C916,BUYBACK_QUERY,$C$4,"fill=prev","showheaders=f","showids=f")</f>
        <v/>
      </c>
      <c r="H916" s="105" t="n"/>
      <c r="J916" s="104">
        <f>BDH($C916,"PX_LAST","-5AY","","Per=Y","cols=2;rows=5")</f>
        <v/>
      </c>
      <c r="K916" s="106" t="n"/>
    </row>
    <row r="917">
      <c r="D917" s="102" t="n"/>
      <c r="E917" s="105" t="n"/>
      <c r="G917" s="102" t="n"/>
      <c r="H917" s="105" t="n"/>
      <c r="J917" s="102" t="n"/>
      <c r="K917" s="106" t="n"/>
    </row>
    <row r="918">
      <c r="D918" s="102" t="n"/>
      <c r="E918" s="105" t="n"/>
      <c r="G918" s="102" t="n"/>
      <c r="H918" s="105" t="n"/>
      <c r="J918" s="102" t="n"/>
      <c r="K918" s="106" t="n"/>
    </row>
    <row r="919">
      <c r="D919" s="102" t="n"/>
      <c r="E919" s="105" t="n"/>
      <c r="G919" s="102" t="n"/>
      <c r="H919" s="105" t="n"/>
      <c r="J919" s="102" t="n"/>
      <c r="K919" s="106" t="n"/>
    </row>
    <row r="920">
      <c r="D920" s="102" t="n"/>
      <c r="E920" s="105" t="n"/>
      <c r="G920" s="102" t="n"/>
      <c r="H920" s="105" t="n"/>
      <c r="J920" s="102" t="n"/>
      <c r="K920" s="106" t="n"/>
    </row>
    <row r="922">
      <c r="B922" s="2">
        <f>IF(HSCEI!$C$18="","",HSCEI!$C$18)</f>
        <v/>
      </c>
      <c r="C922" s="2">
        <f>IF(PULL_FUND="N","",IF(HSCEI!$C$18="","",HSCEI!$C$18))</f>
        <v/>
      </c>
      <c r="D922" s="104">
        <f>BDH($C922,NDE_FIELD,"-5AY","","Per=Y","cols=2;rows=5")</f>
        <v/>
      </c>
      <c r="E922" s="105" t="n"/>
      <c r="G922" s="104">
        <f>BQL($C922,BUYBACK_QUERY,$C$4,"fill=prev","showheaders=f","showids=f")</f>
        <v/>
      </c>
      <c r="H922" s="105" t="n"/>
      <c r="J922" s="104">
        <f>BDH($C922,"PX_LAST","-5AY","","Per=Y","cols=2;rows=5")</f>
        <v/>
      </c>
      <c r="K922" s="106" t="n"/>
    </row>
    <row r="923">
      <c r="D923" s="102" t="n"/>
      <c r="E923" s="105" t="n"/>
      <c r="G923" s="102" t="n"/>
      <c r="H923" s="105" t="n"/>
      <c r="J923" s="102" t="n"/>
      <c r="K923" s="106" t="n"/>
    </row>
    <row r="924">
      <c r="D924" s="102" t="n"/>
      <c r="E924" s="105" t="n"/>
      <c r="G924" s="102" t="n"/>
      <c r="H924" s="105" t="n"/>
      <c r="J924" s="102" t="n"/>
      <c r="K924" s="106" t="n"/>
    </row>
    <row r="925">
      <c r="D925" s="102" t="n"/>
      <c r="E925" s="105" t="n"/>
      <c r="G925" s="102" t="n"/>
      <c r="H925" s="105" t="n"/>
      <c r="J925" s="102" t="n"/>
      <c r="K925" s="106" t="n"/>
    </row>
    <row r="926">
      <c r="D926" s="102" t="n"/>
      <c r="E926" s="105" t="n"/>
      <c r="G926" s="102" t="n"/>
      <c r="H926" s="105" t="n"/>
      <c r="J926" s="102" t="n"/>
      <c r="K926" s="106" t="n"/>
    </row>
    <row r="928">
      <c r="B928" s="2">
        <f>IF(HSCEI!$C$19="","",HSCEI!$C$19)</f>
        <v/>
      </c>
      <c r="C928" s="2">
        <f>IF(PULL_FUND="N","",IF(HSCEI!$C$19="","",HSCEI!$C$19))</f>
        <v/>
      </c>
      <c r="D928" s="104">
        <f>BDH($C928,NDE_FIELD,"-5AY","","Per=Y","cols=2;rows=5")</f>
        <v/>
      </c>
      <c r="E928" s="105" t="n"/>
      <c r="G928" s="104">
        <f>BQL($C928,BUYBACK_QUERY,$C$4,"fill=prev","showheaders=f","showids=f")</f>
        <v/>
      </c>
      <c r="H928" s="105" t="n"/>
      <c r="J928" s="104">
        <f>BDH($C928,"PX_LAST","-5AY","","Per=Y","cols=2;rows=5")</f>
        <v/>
      </c>
      <c r="K928" s="106" t="n"/>
    </row>
    <row r="929">
      <c r="D929" s="102" t="n"/>
      <c r="E929" s="105" t="n"/>
      <c r="G929" s="102" t="n"/>
      <c r="H929" s="105" t="n"/>
      <c r="J929" s="102" t="n"/>
      <c r="K929" s="106" t="n"/>
    </row>
    <row r="930">
      <c r="D930" s="102" t="n"/>
      <c r="E930" s="105" t="n"/>
      <c r="G930" s="102" t="n"/>
      <c r="H930" s="105" t="n"/>
      <c r="J930" s="102" t="n"/>
      <c r="K930" s="106" t="n"/>
    </row>
    <row r="931">
      <c r="D931" s="102" t="n"/>
      <c r="E931" s="105" t="n"/>
      <c r="G931" s="102" t="n"/>
      <c r="H931" s="105" t="n"/>
      <c r="J931" s="102" t="n"/>
      <c r="K931" s="106" t="n"/>
    </row>
    <row r="932">
      <c r="D932" s="102" t="n"/>
      <c r="E932" s="105" t="n"/>
      <c r="G932" s="102" t="n"/>
      <c r="H932" s="105" t="n"/>
      <c r="J932" s="102" t="n"/>
      <c r="K932" s="106" t="n"/>
    </row>
    <row r="934">
      <c r="B934" s="2">
        <f>IF(HSCEI!$C$20="","",HSCEI!$C$20)</f>
        <v/>
      </c>
      <c r="C934" s="2">
        <f>IF(PULL_FUND="N","",IF(HSCEI!$C$20="","",HSCEI!$C$20))</f>
        <v/>
      </c>
      <c r="D934" s="104">
        <f>BDH($C934,NDE_FIELD,"-5AY","","Per=Y","cols=2;rows=5")</f>
        <v/>
      </c>
      <c r="E934" s="105" t="n"/>
      <c r="G934" s="104">
        <f>BQL($C934,BUYBACK_QUERY,$C$4,"fill=prev","showheaders=f","showids=f")</f>
        <v/>
      </c>
      <c r="H934" s="105" t="n"/>
      <c r="J934" s="104">
        <f>BDH($C934,"PX_LAST","-5AY","","Per=Y","cols=2;rows=5")</f>
        <v/>
      </c>
      <c r="K934" s="106" t="n"/>
    </row>
    <row r="935">
      <c r="D935" s="102" t="n"/>
      <c r="E935" s="105" t="n"/>
      <c r="G935" s="102" t="n"/>
      <c r="H935" s="105" t="n"/>
      <c r="J935" s="102" t="n"/>
      <c r="K935" s="106" t="n"/>
    </row>
    <row r="936">
      <c r="D936" s="102" t="n"/>
      <c r="E936" s="105" t="n"/>
      <c r="G936" s="102" t="n"/>
      <c r="H936" s="105" t="n"/>
      <c r="J936" s="102" t="n"/>
      <c r="K936" s="106" t="n"/>
    </row>
    <row r="937">
      <c r="D937" s="102" t="n"/>
      <c r="E937" s="105" t="n"/>
      <c r="G937" s="102" t="n"/>
      <c r="H937" s="105" t="n"/>
      <c r="J937" s="102" t="n"/>
      <c r="K937" s="106" t="n"/>
    </row>
    <row r="938">
      <c r="D938" s="102" t="n"/>
      <c r="E938" s="105" t="n"/>
      <c r="G938" s="102" t="n"/>
      <c r="H938" s="105" t="n"/>
      <c r="J938" s="102" t="n"/>
      <c r="K938" s="106" t="n"/>
    </row>
    <row r="940">
      <c r="B940" s="2">
        <f>IF(HSCEI!$C$21="","",HSCEI!$C$21)</f>
        <v/>
      </c>
      <c r="C940" s="2">
        <f>IF(PULL_FUND="N","",IF(HSCEI!$C$21="","",HSCEI!$C$21))</f>
        <v/>
      </c>
      <c r="D940" s="104">
        <f>BDH($C940,NDE_FIELD,"-5AY","","Per=Y","cols=2;rows=5")</f>
        <v/>
      </c>
      <c r="E940" s="105" t="n"/>
      <c r="G940" s="104">
        <f>BQL($C940,BUYBACK_QUERY,$C$4,"fill=prev","showheaders=f","showids=f")</f>
        <v/>
      </c>
      <c r="H940" s="105" t="n"/>
      <c r="J940" s="104">
        <f>BDH($C940,"PX_LAST","-5AY","","Per=Y","cols=2;rows=5")</f>
        <v/>
      </c>
      <c r="K940" s="106" t="n"/>
    </row>
    <row r="941">
      <c r="D941" s="102" t="n"/>
      <c r="E941" s="105" t="n"/>
      <c r="G941" s="102" t="n"/>
      <c r="H941" s="105" t="n"/>
      <c r="J941" s="102" t="n"/>
      <c r="K941" s="106" t="n"/>
    </row>
    <row r="942">
      <c r="D942" s="102" t="n"/>
      <c r="E942" s="105" t="n"/>
      <c r="G942" s="102" t="n"/>
      <c r="H942" s="105" t="n"/>
      <c r="J942" s="102" t="n"/>
      <c r="K942" s="106" t="n"/>
    </row>
    <row r="943">
      <c r="D943" s="102" t="n"/>
      <c r="E943" s="105" t="n"/>
      <c r="G943" s="102" t="n"/>
      <c r="H943" s="105" t="n"/>
      <c r="J943" s="102" t="n"/>
      <c r="K943" s="106" t="n"/>
    </row>
    <row r="944">
      <c r="D944" s="102" t="n"/>
      <c r="E944" s="105" t="n"/>
      <c r="G944" s="102" t="n"/>
      <c r="H944" s="105" t="n"/>
      <c r="J944" s="102" t="n"/>
      <c r="K944" s="106" t="n"/>
    </row>
    <row r="946">
      <c r="B946" s="2">
        <f>IF(HSCEI!$C$22="","",HSCEI!$C$22)</f>
        <v/>
      </c>
      <c r="C946" s="2">
        <f>IF(PULL_FUND="N","",IF(HSCEI!$C$22="","",HSCEI!$C$22))</f>
        <v/>
      </c>
      <c r="D946" s="104">
        <f>BDH($C946,NDE_FIELD,"-5AY","","Per=Y","cols=2;rows=5")</f>
        <v/>
      </c>
      <c r="E946" s="105" t="n"/>
      <c r="G946" s="104">
        <f>BQL($C946,BUYBACK_QUERY,$C$4,"fill=prev","showheaders=f","showids=f")</f>
        <v/>
      </c>
      <c r="H946" s="105" t="n"/>
      <c r="J946" s="104">
        <f>BDH($C946,"PX_LAST","-5AY","","Per=Y","cols=2;rows=5")</f>
        <v/>
      </c>
      <c r="K946" s="106" t="n"/>
    </row>
    <row r="947">
      <c r="D947" s="102" t="n"/>
      <c r="E947" s="105" t="n"/>
      <c r="G947" s="102" t="n"/>
      <c r="H947" s="105" t="n"/>
      <c r="J947" s="102" t="n"/>
      <c r="K947" s="106" t="n"/>
    </row>
    <row r="948">
      <c r="D948" s="102" t="n"/>
      <c r="E948" s="105" t="n"/>
      <c r="G948" s="102" t="n"/>
      <c r="H948" s="105" t="n"/>
      <c r="J948" s="102" t="n"/>
      <c r="K948" s="106" t="n"/>
    </row>
    <row r="949">
      <c r="D949" s="102" t="n"/>
      <c r="E949" s="105" t="n"/>
      <c r="G949" s="102" t="n"/>
      <c r="H949" s="105" t="n"/>
      <c r="J949" s="102" t="n"/>
      <c r="K949" s="106" t="n"/>
    </row>
    <row r="950">
      <c r="D950" s="102" t="n"/>
      <c r="E950" s="105" t="n"/>
      <c r="G950" s="102" t="n"/>
      <c r="H950" s="105" t="n"/>
      <c r="J950" s="102" t="n"/>
      <c r="K950" s="106" t="n"/>
    </row>
    <row r="952">
      <c r="B952" s="2">
        <f>IF(HSCEI!$C$23="","",HSCEI!$C$23)</f>
        <v/>
      </c>
      <c r="C952" s="2">
        <f>IF(PULL_FUND="N","",IF(HSCEI!$C$23="","",HSCEI!$C$23))</f>
        <v/>
      </c>
      <c r="D952" s="104">
        <f>BDH($C952,NDE_FIELD,"-5AY","","Per=Y","cols=2;rows=5")</f>
        <v/>
      </c>
      <c r="E952" s="105" t="n"/>
      <c r="G952" s="104">
        <f>BQL($C952,BUYBACK_QUERY,$C$4,"fill=prev","showheaders=f","showids=f")</f>
        <v/>
      </c>
      <c r="H952" s="105" t="n"/>
      <c r="J952" s="104">
        <f>BDH($C952,"PX_LAST","-5AY","","Per=Y","cols=2;rows=5")</f>
        <v/>
      </c>
      <c r="K952" s="106" t="n"/>
    </row>
    <row r="953">
      <c r="D953" s="102" t="n"/>
      <c r="E953" s="105" t="n"/>
      <c r="G953" s="102" t="n"/>
      <c r="H953" s="105" t="n"/>
      <c r="J953" s="102" t="n"/>
      <c r="K953" s="106" t="n"/>
    </row>
    <row r="954">
      <c r="D954" s="102" t="n"/>
      <c r="E954" s="105" t="n"/>
      <c r="G954" s="102" t="n"/>
      <c r="H954" s="105" t="n"/>
      <c r="J954" s="102" t="n"/>
      <c r="K954" s="106" t="n"/>
    </row>
    <row r="955">
      <c r="D955" s="102" t="n"/>
      <c r="E955" s="105" t="n"/>
      <c r="G955" s="102" t="n"/>
      <c r="H955" s="105" t="n"/>
      <c r="J955" s="102" t="n"/>
      <c r="K955" s="106" t="n"/>
    </row>
    <row r="956">
      <c r="D956" s="102" t="n"/>
      <c r="E956" s="105" t="n"/>
      <c r="G956" s="102" t="n"/>
      <c r="H956" s="105" t="n"/>
      <c r="J956" s="102" t="n"/>
      <c r="K956" s="106" t="n"/>
    </row>
    <row r="958">
      <c r="B958" s="2">
        <f>IF(HSCEI!$C$24="","",HSCEI!$C$24)</f>
        <v/>
      </c>
      <c r="C958" s="2">
        <f>IF(PULL_FUND="N","",IF(HSCEI!$C$24="","",HSCEI!$C$24))</f>
        <v/>
      </c>
      <c r="D958" s="104">
        <f>BDH($C958,NDE_FIELD,"-5AY","","Per=Y","cols=2;rows=5")</f>
        <v/>
      </c>
      <c r="E958" s="105" t="n"/>
      <c r="G958" s="104">
        <f>BQL($C958,BUYBACK_QUERY,$C$4,"fill=prev","showheaders=f","showids=f")</f>
        <v/>
      </c>
      <c r="H958" s="105" t="n"/>
      <c r="J958" s="104">
        <f>BDH($C958,"PX_LAST","-5AY","","Per=Y","cols=2;rows=5")</f>
        <v/>
      </c>
      <c r="K958" s="106" t="n"/>
    </row>
    <row r="959">
      <c r="D959" s="102" t="n"/>
      <c r="E959" s="105" t="n"/>
      <c r="G959" s="102" t="n"/>
      <c r="H959" s="105" t="n"/>
      <c r="J959" s="102" t="n"/>
      <c r="K959" s="106" t="n"/>
    </row>
    <row r="960">
      <c r="D960" s="102" t="n"/>
      <c r="E960" s="105" t="n"/>
      <c r="G960" s="102" t="n"/>
      <c r="H960" s="105" t="n"/>
      <c r="J960" s="102" t="n"/>
      <c r="K960" s="106" t="n"/>
    </row>
    <row r="961">
      <c r="D961" s="102" t="n"/>
      <c r="E961" s="105" t="n"/>
      <c r="G961" s="102" t="n"/>
      <c r="H961" s="105" t="n"/>
      <c r="J961" s="102" t="n"/>
      <c r="K961" s="106" t="n"/>
    </row>
    <row r="962">
      <c r="D962" s="102" t="n"/>
      <c r="E962" s="105" t="n"/>
      <c r="G962" s="102" t="n"/>
      <c r="H962" s="105" t="n"/>
      <c r="J962" s="102" t="n"/>
      <c r="K962" s="106" t="n"/>
    </row>
    <row r="964">
      <c r="B964" s="2">
        <f>IF(HSCEI!$C$25="","",HSCEI!$C$25)</f>
        <v/>
      </c>
      <c r="C964" s="2">
        <f>IF(PULL_FUND="N","",IF(HSCEI!$C$25="","",HSCEI!$C$25))</f>
        <v/>
      </c>
      <c r="D964" s="104">
        <f>BDH($C964,NDE_FIELD,"-5AY","","Per=Y","cols=2;rows=5")</f>
        <v/>
      </c>
      <c r="E964" s="105" t="n"/>
      <c r="G964" s="104">
        <f>BQL($C964,BUYBACK_QUERY,$C$4,"fill=prev","showheaders=f","showids=f")</f>
        <v/>
      </c>
      <c r="H964" s="105" t="n"/>
      <c r="J964" s="104">
        <f>BDH($C964,"PX_LAST","-5AY","","Per=Y","cols=2;rows=5")</f>
        <v/>
      </c>
      <c r="K964" s="106" t="n"/>
    </row>
    <row r="965">
      <c r="D965" s="102" t="n"/>
      <c r="E965" s="105" t="n"/>
      <c r="G965" s="102" t="n"/>
      <c r="H965" s="105" t="n"/>
      <c r="J965" s="102" t="n"/>
      <c r="K965" s="106" t="n"/>
    </row>
    <row r="966">
      <c r="D966" s="102" t="n"/>
      <c r="E966" s="105" t="n"/>
      <c r="G966" s="102" t="n"/>
      <c r="H966" s="105" t="n"/>
      <c r="J966" s="102" t="n"/>
      <c r="K966" s="106" t="n"/>
    </row>
    <row r="967">
      <c r="D967" s="102" t="n"/>
      <c r="E967" s="105" t="n"/>
      <c r="G967" s="102" t="n"/>
      <c r="H967" s="105" t="n"/>
      <c r="J967" s="102" t="n"/>
      <c r="K967" s="106" t="n"/>
    </row>
    <row r="968">
      <c r="D968" s="102" t="n"/>
      <c r="E968" s="105" t="n"/>
      <c r="G968" s="102" t="n"/>
      <c r="H968" s="105" t="n"/>
      <c r="J968" s="102" t="n"/>
      <c r="K968" s="106" t="n"/>
    </row>
    <row r="970">
      <c r="B970" s="2">
        <f>IF(HSCEI!$C$26="","",HSCEI!$C$26)</f>
        <v/>
      </c>
      <c r="C970" s="2">
        <f>IF(PULL_FUND="N","",IF(HSCEI!$C$26="","",HSCEI!$C$26))</f>
        <v/>
      </c>
      <c r="D970" s="104">
        <f>BDH($C970,NDE_FIELD,"-5AY","","Per=Y","cols=2;rows=5")</f>
        <v/>
      </c>
      <c r="E970" s="105" t="n"/>
      <c r="G970" s="104">
        <f>BQL($C970,BUYBACK_QUERY,$C$4,"fill=prev","showheaders=f","showids=f")</f>
        <v/>
      </c>
      <c r="H970" s="105" t="n"/>
      <c r="J970" s="104">
        <f>BDH($C970,"PX_LAST","-5AY","","Per=Y","cols=2;rows=5")</f>
        <v/>
      </c>
      <c r="K970" s="106" t="n"/>
    </row>
    <row r="971">
      <c r="D971" s="102" t="n"/>
      <c r="E971" s="105" t="n"/>
      <c r="G971" s="102" t="n"/>
      <c r="H971" s="105" t="n"/>
      <c r="J971" s="102" t="n"/>
      <c r="K971" s="106" t="n"/>
    </row>
    <row r="972">
      <c r="D972" s="102" t="n"/>
      <c r="E972" s="105" t="n"/>
      <c r="G972" s="102" t="n"/>
      <c r="H972" s="105" t="n"/>
      <c r="J972" s="102" t="n"/>
      <c r="K972" s="106" t="n"/>
    </row>
    <row r="973">
      <c r="D973" s="102" t="n"/>
      <c r="E973" s="105" t="n"/>
      <c r="G973" s="102" t="n"/>
      <c r="H973" s="105" t="n"/>
      <c r="J973" s="102" t="n"/>
      <c r="K973" s="106" t="n"/>
    </row>
    <row r="974">
      <c r="D974" s="102" t="n"/>
      <c r="E974" s="105" t="n"/>
      <c r="G974" s="102" t="n"/>
      <c r="H974" s="105" t="n"/>
      <c r="J974" s="102" t="n"/>
      <c r="K974" s="106" t="n"/>
    </row>
    <row r="976">
      <c r="B976" s="2">
        <f>IF(HSCEI!$C$27="","",HSCEI!$C$27)</f>
        <v/>
      </c>
      <c r="C976" s="2">
        <f>IF(PULL_FUND="N","",IF(HSCEI!$C$27="","",HSCEI!$C$27))</f>
        <v/>
      </c>
      <c r="D976" s="104">
        <f>BDH($C976,NDE_FIELD,"-5AY","","Per=Y","cols=2;rows=5")</f>
        <v/>
      </c>
      <c r="E976" s="105" t="n"/>
      <c r="G976" s="104">
        <f>BQL($C976,BUYBACK_QUERY,$C$4,"fill=prev","showheaders=f","showids=f")</f>
        <v/>
      </c>
      <c r="H976" s="105" t="n"/>
      <c r="J976" s="104">
        <f>BDH($C976,"PX_LAST","-5AY","","Per=Y","cols=2;rows=5")</f>
        <v/>
      </c>
      <c r="K976" s="106" t="n"/>
    </row>
    <row r="977">
      <c r="D977" s="102" t="n"/>
      <c r="E977" s="105" t="n"/>
      <c r="G977" s="102" t="n"/>
      <c r="H977" s="105" t="n"/>
      <c r="J977" s="102" t="n"/>
      <c r="K977" s="106" t="n"/>
    </row>
    <row r="978">
      <c r="D978" s="102" t="n"/>
      <c r="E978" s="105" t="n"/>
      <c r="G978" s="102" t="n"/>
      <c r="H978" s="105" t="n"/>
      <c r="J978" s="102" t="n"/>
      <c r="K978" s="106" t="n"/>
    </row>
    <row r="979">
      <c r="D979" s="102" t="n"/>
      <c r="E979" s="105" t="n"/>
      <c r="G979" s="102" t="n"/>
      <c r="H979" s="105" t="n"/>
      <c r="J979" s="102" t="n"/>
      <c r="K979" s="106" t="n"/>
    </row>
    <row r="980">
      <c r="D980" s="102" t="n"/>
      <c r="E980" s="105" t="n"/>
      <c r="G980" s="102" t="n"/>
      <c r="H980" s="105" t="n"/>
      <c r="J980" s="102" t="n"/>
      <c r="K980" s="106" t="n"/>
    </row>
    <row r="982">
      <c r="B982" s="2">
        <f>IF(HSCEI!$C$28="","",HSCEI!$C$28)</f>
        <v/>
      </c>
      <c r="C982" s="2">
        <f>IF(PULL_FUND="N","",IF(HSCEI!$C$28="","",HSCEI!$C$28))</f>
        <v/>
      </c>
      <c r="D982" s="104">
        <f>BDH($C982,NDE_FIELD,"-5AY","","Per=Y","cols=2;rows=5")</f>
        <v/>
      </c>
      <c r="E982" s="105" t="n"/>
      <c r="G982" s="104">
        <f>BQL($C982,BUYBACK_QUERY,$C$4,"fill=prev","showheaders=f","showids=f")</f>
        <v/>
      </c>
      <c r="H982" s="105" t="n"/>
      <c r="J982" s="104">
        <f>BDH($C982,"PX_LAST","-5AY","","Per=Y","cols=2;rows=5")</f>
        <v/>
      </c>
      <c r="K982" s="106" t="n"/>
    </row>
    <row r="983">
      <c r="D983" s="102" t="n"/>
      <c r="E983" s="105" t="n"/>
      <c r="G983" s="102" t="n"/>
      <c r="H983" s="105" t="n"/>
      <c r="J983" s="102" t="n"/>
      <c r="K983" s="106" t="n"/>
    </row>
    <row r="984">
      <c r="D984" s="102" t="n"/>
      <c r="E984" s="105" t="n"/>
      <c r="G984" s="102" t="n"/>
      <c r="H984" s="105" t="n"/>
      <c r="J984" s="102" t="n"/>
      <c r="K984" s="106" t="n"/>
    </row>
    <row r="985">
      <c r="D985" s="102" t="n"/>
      <c r="E985" s="105" t="n"/>
      <c r="G985" s="102" t="n"/>
      <c r="H985" s="105" t="n"/>
      <c r="J985" s="102" t="n"/>
      <c r="K985" s="106" t="n"/>
    </row>
    <row r="986">
      <c r="D986" s="102" t="n"/>
      <c r="E986" s="105" t="n"/>
      <c r="G986" s="102" t="n"/>
      <c r="H986" s="105" t="n"/>
      <c r="J986" s="102" t="n"/>
      <c r="K986" s="106" t="n"/>
    </row>
    <row r="988">
      <c r="B988" s="2">
        <f>IF(HSCEI!$C$29="","",HSCEI!$C$29)</f>
        <v/>
      </c>
      <c r="C988" s="2">
        <f>IF(PULL_FUND="N","",IF(HSCEI!$C$29="","",HSCEI!$C$29))</f>
        <v/>
      </c>
      <c r="D988" s="104">
        <f>BDH($C988,NDE_FIELD,"-5AY","","Per=Y","cols=2;rows=5")</f>
        <v/>
      </c>
      <c r="E988" s="105" t="n"/>
      <c r="G988" s="104">
        <f>BQL($C988,BUYBACK_QUERY,$C$4,"fill=prev","showheaders=f","showids=f")</f>
        <v/>
      </c>
      <c r="H988" s="105" t="n"/>
      <c r="J988" s="104">
        <f>BDH($C988,"PX_LAST","-5AY","","Per=Y","cols=2;rows=5")</f>
        <v/>
      </c>
      <c r="K988" s="106" t="n"/>
    </row>
    <row r="989">
      <c r="D989" s="102" t="n"/>
      <c r="E989" s="105" t="n"/>
      <c r="G989" s="102" t="n"/>
      <c r="H989" s="105" t="n"/>
      <c r="J989" s="102" t="n"/>
      <c r="K989" s="106" t="n"/>
    </row>
    <row r="990">
      <c r="D990" s="102" t="n"/>
      <c r="E990" s="105" t="n"/>
      <c r="G990" s="102" t="n"/>
      <c r="H990" s="105" t="n"/>
      <c r="J990" s="102" t="n"/>
      <c r="K990" s="106" t="n"/>
    </row>
    <row r="991">
      <c r="D991" s="102" t="n"/>
      <c r="E991" s="105" t="n"/>
      <c r="G991" s="102" t="n"/>
      <c r="H991" s="105" t="n"/>
      <c r="J991" s="102" t="n"/>
      <c r="K991" s="106" t="n"/>
    </row>
    <row r="992">
      <c r="D992" s="102" t="n"/>
      <c r="E992" s="105" t="n"/>
      <c r="G992" s="102" t="n"/>
      <c r="H992" s="105" t="n"/>
      <c r="J992" s="102" t="n"/>
      <c r="K992" s="106" t="n"/>
    </row>
    <row r="994">
      <c r="B994" s="2">
        <f>IF(HSCEI!$C$30="","",HSCEI!$C$30)</f>
        <v/>
      </c>
      <c r="C994" s="2">
        <f>IF(PULL_FUND="N","",IF(HSCEI!$C$30="","",HSCEI!$C$30))</f>
        <v/>
      </c>
      <c r="D994" s="104">
        <f>BDH($C994,NDE_FIELD,"-5AY","","Per=Y","cols=2;rows=5")</f>
        <v/>
      </c>
      <c r="E994" s="105" t="n"/>
      <c r="G994" s="104">
        <f>BQL($C994,BUYBACK_QUERY,$C$4,"fill=prev","showheaders=f","showids=f")</f>
        <v/>
      </c>
      <c r="H994" s="105" t="n"/>
      <c r="J994" s="104">
        <f>BDH($C994,"PX_LAST","-5AY","","Per=Y","cols=2;rows=5")</f>
        <v/>
      </c>
      <c r="K994" s="106" t="n"/>
    </row>
    <row r="995">
      <c r="D995" s="102" t="n"/>
      <c r="E995" s="105" t="n"/>
      <c r="G995" s="102" t="n"/>
      <c r="H995" s="105" t="n"/>
      <c r="J995" s="102" t="n"/>
      <c r="K995" s="106" t="n"/>
    </row>
    <row r="996">
      <c r="D996" s="102" t="n"/>
      <c r="E996" s="105" t="n"/>
      <c r="G996" s="102" t="n"/>
      <c r="H996" s="105" t="n"/>
      <c r="J996" s="102" t="n"/>
      <c r="K996" s="106" t="n"/>
    </row>
    <row r="997">
      <c r="D997" s="102" t="n"/>
      <c r="E997" s="105" t="n"/>
      <c r="G997" s="102" t="n"/>
      <c r="H997" s="105" t="n"/>
      <c r="J997" s="102" t="n"/>
      <c r="K997" s="106" t="n"/>
    </row>
    <row r="998">
      <c r="D998" s="102" t="n"/>
      <c r="E998" s="105" t="n"/>
      <c r="G998" s="102" t="n"/>
      <c r="H998" s="105" t="n"/>
      <c r="J998" s="102" t="n"/>
      <c r="K998" s="106" t="n"/>
    </row>
    <row r="1000">
      <c r="B1000" s="2">
        <f>IF(HSCEI!$C$31="","",HSCEI!$C$31)</f>
        <v/>
      </c>
      <c r="C1000" s="2">
        <f>IF(PULL_FUND="N","",IF(HSCEI!$C$31="","",HSCEI!$C$31))</f>
        <v/>
      </c>
      <c r="D1000" s="104">
        <f>BDH($C1000,NDE_FIELD,"-5AY","","Per=Y","cols=2;rows=5")</f>
        <v/>
      </c>
      <c r="E1000" s="105" t="n"/>
      <c r="G1000" s="104">
        <f>BQL($C1000,BUYBACK_QUERY,$C$4,"fill=prev","showheaders=f","showids=f")</f>
        <v/>
      </c>
      <c r="H1000" s="105" t="n"/>
      <c r="J1000" s="104">
        <f>BDH($C1000,"PX_LAST","-5AY","","Per=Y","cols=2;rows=5")</f>
        <v/>
      </c>
      <c r="K1000" s="106" t="n"/>
    </row>
    <row r="1001">
      <c r="D1001" s="102" t="n"/>
      <c r="E1001" s="105" t="n"/>
      <c r="G1001" s="102" t="n"/>
      <c r="H1001" s="105" t="n"/>
      <c r="J1001" s="102" t="n"/>
      <c r="K1001" s="106" t="n"/>
    </row>
    <row r="1002">
      <c r="D1002" s="102" t="n"/>
      <c r="E1002" s="105" t="n"/>
      <c r="G1002" s="102" t="n"/>
      <c r="H1002" s="105" t="n"/>
      <c r="J1002" s="102" t="n"/>
      <c r="K1002" s="106" t="n"/>
    </row>
    <row r="1003">
      <c r="D1003" s="102" t="n"/>
      <c r="E1003" s="105" t="n"/>
      <c r="G1003" s="102" t="n"/>
      <c r="H1003" s="105" t="n"/>
      <c r="J1003" s="102" t="n"/>
      <c r="K1003" s="106" t="n"/>
    </row>
    <row r="1004">
      <c r="D1004" s="102" t="n"/>
      <c r="E1004" s="105" t="n"/>
      <c r="G1004" s="102" t="n"/>
      <c r="H1004" s="105" t="n"/>
      <c r="J1004" s="102" t="n"/>
      <c r="K1004" s="106" t="n"/>
    </row>
    <row r="1006">
      <c r="B1006" s="2">
        <f>IF(HSCEI!$C$32="","",HSCEI!$C$32)</f>
        <v/>
      </c>
      <c r="C1006" s="2">
        <f>IF(PULL_FUND="N","",IF(HSCEI!$C$32="","",HSCEI!$C$32))</f>
        <v/>
      </c>
      <c r="D1006" s="104">
        <f>BDH($C1006,NDE_FIELD,"-5AY","","Per=Y","cols=2;rows=5")</f>
        <v/>
      </c>
      <c r="E1006" s="105" t="n"/>
      <c r="G1006" s="104">
        <f>BQL($C1006,BUYBACK_QUERY,$C$4,"fill=prev","showheaders=f","showids=f")</f>
        <v/>
      </c>
      <c r="H1006" s="105" t="n"/>
      <c r="J1006" s="104">
        <f>BDH($C1006,"PX_LAST","-5AY","","Per=Y","cols=2;rows=5")</f>
        <v/>
      </c>
      <c r="K1006" s="106" t="n"/>
    </row>
    <row r="1007">
      <c r="D1007" s="102" t="n"/>
      <c r="E1007" s="105" t="n"/>
      <c r="G1007" s="102" t="n"/>
      <c r="H1007" s="105" t="n"/>
      <c r="J1007" s="102" t="n"/>
      <c r="K1007" s="106" t="n"/>
    </row>
    <row r="1008">
      <c r="D1008" s="102" t="n"/>
      <c r="E1008" s="105" t="n"/>
      <c r="G1008" s="102" t="n"/>
      <c r="H1008" s="105" t="n"/>
      <c r="J1008" s="102" t="n"/>
      <c r="K1008" s="106" t="n"/>
    </row>
    <row r="1009">
      <c r="D1009" s="102" t="n"/>
      <c r="E1009" s="105" t="n"/>
      <c r="G1009" s="102" t="n"/>
      <c r="H1009" s="105" t="n"/>
      <c r="J1009" s="102" t="n"/>
      <c r="K1009" s="106" t="n"/>
    </row>
    <row r="1010">
      <c r="D1010" s="102" t="n"/>
      <c r="E1010" s="105" t="n"/>
      <c r="G1010" s="102" t="n"/>
      <c r="H1010" s="105" t="n"/>
      <c r="J1010" s="102" t="n"/>
      <c r="K1010" s="106" t="n"/>
    </row>
    <row r="1012">
      <c r="B1012" s="2">
        <f>IF(HSCEI!$C$33="","",HSCEI!$C$33)</f>
        <v/>
      </c>
      <c r="C1012" s="2">
        <f>IF(PULL_FUND="N","",IF(HSCEI!$C$33="","",HSCEI!$C$33))</f>
        <v/>
      </c>
      <c r="D1012" s="104">
        <f>BDH($C1012,NDE_FIELD,"-5AY","","Per=Y","cols=2;rows=5")</f>
        <v/>
      </c>
      <c r="E1012" s="105" t="n"/>
      <c r="G1012" s="104">
        <f>BQL($C1012,BUYBACK_QUERY,$C$4,"fill=prev","showheaders=f","showids=f")</f>
        <v/>
      </c>
      <c r="H1012" s="105" t="n"/>
      <c r="J1012" s="104">
        <f>BDH($C1012,"PX_LAST","-5AY","","Per=Y","cols=2;rows=5")</f>
        <v/>
      </c>
      <c r="K1012" s="106" t="n"/>
    </row>
    <row r="1013">
      <c r="D1013" s="102" t="n"/>
      <c r="E1013" s="105" t="n"/>
      <c r="G1013" s="102" t="n"/>
      <c r="H1013" s="105" t="n"/>
      <c r="J1013" s="102" t="n"/>
      <c r="K1013" s="106" t="n"/>
    </row>
    <row r="1014">
      <c r="D1014" s="102" t="n"/>
      <c r="E1014" s="105" t="n"/>
      <c r="G1014" s="102" t="n"/>
      <c r="H1014" s="105" t="n"/>
      <c r="J1014" s="102" t="n"/>
      <c r="K1014" s="106" t="n"/>
    </row>
    <row r="1015">
      <c r="D1015" s="102" t="n"/>
      <c r="E1015" s="105" t="n"/>
      <c r="G1015" s="102" t="n"/>
      <c r="H1015" s="105" t="n"/>
      <c r="J1015" s="102" t="n"/>
      <c r="K1015" s="106" t="n"/>
    </row>
    <row r="1016">
      <c r="D1016" s="102" t="n"/>
      <c r="E1016" s="105" t="n"/>
      <c r="G1016" s="102" t="n"/>
      <c r="H1016" s="105" t="n"/>
      <c r="J1016" s="102" t="n"/>
      <c r="K1016" s="106" t="n"/>
    </row>
    <row r="1018">
      <c r="B1018" s="2">
        <f>IF(HSCEI!$C$34="","",HSCEI!$C$34)</f>
        <v/>
      </c>
      <c r="C1018" s="2">
        <f>IF(PULL_FUND="N","",IF(HSCEI!$C$34="","",HSCEI!$C$34))</f>
        <v/>
      </c>
      <c r="D1018" s="104">
        <f>BDH($C1018,NDE_FIELD,"-5AY","","Per=Y","cols=2;rows=5")</f>
        <v/>
      </c>
      <c r="E1018" s="105" t="n"/>
      <c r="G1018" s="104">
        <f>BQL($C1018,BUYBACK_QUERY,$C$4,"fill=prev","showheaders=f","showids=f")</f>
        <v/>
      </c>
      <c r="H1018" s="105" t="n"/>
      <c r="J1018" s="104">
        <f>BDH($C1018,"PX_LAST","-5AY","","Per=Y","cols=2;rows=5")</f>
        <v/>
      </c>
      <c r="K1018" s="106" t="n"/>
    </row>
    <row r="1019">
      <c r="D1019" s="102" t="n"/>
      <c r="E1019" s="105" t="n"/>
      <c r="G1019" s="102" t="n"/>
      <c r="H1019" s="105" t="n"/>
      <c r="J1019" s="102" t="n"/>
      <c r="K1019" s="106" t="n"/>
    </row>
    <row r="1020">
      <c r="D1020" s="102" t="n"/>
      <c r="E1020" s="105" t="n"/>
      <c r="G1020" s="102" t="n"/>
      <c r="H1020" s="105" t="n"/>
      <c r="J1020" s="102" t="n"/>
      <c r="K1020" s="106" t="n"/>
    </row>
    <row r="1021">
      <c r="D1021" s="102" t="n"/>
      <c r="E1021" s="105" t="n"/>
      <c r="G1021" s="102" t="n"/>
      <c r="H1021" s="105" t="n"/>
      <c r="J1021" s="102" t="n"/>
      <c r="K1021" s="106" t="n"/>
    </row>
    <row r="1022">
      <c r="D1022" s="102" t="n"/>
      <c r="E1022" s="105" t="n"/>
      <c r="G1022" s="102" t="n"/>
      <c r="H1022" s="105" t="n"/>
      <c r="J1022" s="102" t="n"/>
      <c r="K1022" s="106" t="n"/>
    </row>
    <row r="1024">
      <c r="B1024" s="2">
        <f>IF(HSCEI!$C$35="","",HSCEI!$C$35)</f>
        <v/>
      </c>
      <c r="C1024" s="2">
        <f>IF(PULL_FUND="N","",IF(HSCEI!$C$35="","",HSCEI!$C$35))</f>
        <v/>
      </c>
      <c r="D1024" s="104">
        <f>BDH($C1024,NDE_FIELD,"-5AY","","Per=Y","cols=2;rows=5")</f>
        <v/>
      </c>
      <c r="E1024" s="105" t="n"/>
      <c r="G1024" s="104">
        <f>BQL($C1024,BUYBACK_QUERY,$C$4,"fill=prev","showheaders=f","showids=f")</f>
        <v/>
      </c>
      <c r="H1024" s="105" t="n"/>
      <c r="J1024" s="104">
        <f>BDH($C1024,"PX_LAST","-5AY","","Per=Y","cols=2;rows=5")</f>
        <v/>
      </c>
      <c r="K1024" s="106" t="n"/>
    </row>
    <row r="1025">
      <c r="D1025" s="102" t="n"/>
      <c r="E1025" s="105" t="n"/>
      <c r="G1025" s="102" t="n"/>
      <c r="H1025" s="105" t="n"/>
      <c r="J1025" s="102" t="n"/>
      <c r="K1025" s="106" t="n"/>
    </row>
    <row r="1026">
      <c r="D1026" s="102" t="n"/>
      <c r="E1026" s="105" t="n"/>
      <c r="G1026" s="102" t="n"/>
      <c r="H1026" s="105" t="n"/>
      <c r="J1026" s="102" t="n"/>
      <c r="K1026" s="106" t="n"/>
    </row>
    <row r="1027">
      <c r="D1027" s="102" t="n"/>
      <c r="E1027" s="105" t="n"/>
      <c r="G1027" s="102" t="n"/>
      <c r="H1027" s="105" t="n"/>
      <c r="J1027" s="102" t="n"/>
      <c r="K1027" s="106" t="n"/>
    </row>
    <row r="1028">
      <c r="D1028" s="102" t="n"/>
      <c r="E1028" s="105" t="n"/>
      <c r="G1028" s="102" t="n"/>
      <c r="H1028" s="105" t="n"/>
      <c r="J1028" s="102" t="n"/>
      <c r="K1028" s="106" t="n"/>
    </row>
    <row r="1030">
      <c r="B1030" s="2">
        <f>IF(HSCEI!$C$36="","",HSCEI!$C$36)</f>
        <v/>
      </c>
      <c r="C1030" s="2">
        <f>IF(PULL_FUND="N","",IF(HSCEI!$C$36="","",HSCEI!$C$36))</f>
        <v/>
      </c>
      <c r="D1030" s="104">
        <f>BDH($C1030,NDE_FIELD,"-5AY","","Per=Y","cols=2;rows=5")</f>
        <v/>
      </c>
      <c r="E1030" s="105" t="n"/>
      <c r="G1030" s="104">
        <f>BQL($C1030,BUYBACK_QUERY,$C$4,"fill=prev","showheaders=f","showids=f")</f>
        <v/>
      </c>
      <c r="H1030" s="105" t="n"/>
      <c r="J1030" s="104">
        <f>BDH($C1030,"PX_LAST","-5AY","","Per=Y","cols=2;rows=5")</f>
        <v/>
      </c>
      <c r="K1030" s="106" t="n"/>
    </row>
    <row r="1031">
      <c r="D1031" s="102" t="n"/>
      <c r="E1031" s="105" t="n"/>
      <c r="G1031" s="102" t="n"/>
      <c r="H1031" s="105" t="n"/>
      <c r="J1031" s="102" t="n"/>
      <c r="K1031" s="106" t="n"/>
    </row>
    <row r="1032">
      <c r="D1032" s="102" t="n"/>
      <c r="E1032" s="105" t="n"/>
      <c r="G1032" s="102" t="n"/>
      <c r="H1032" s="105" t="n"/>
      <c r="J1032" s="102" t="n"/>
      <c r="K1032" s="106" t="n"/>
    </row>
    <row r="1033">
      <c r="D1033" s="102" t="n"/>
      <c r="E1033" s="105" t="n"/>
      <c r="G1033" s="102" t="n"/>
      <c r="H1033" s="105" t="n"/>
      <c r="J1033" s="102" t="n"/>
      <c r="K1033" s="106" t="n"/>
    </row>
    <row r="1034">
      <c r="D1034" s="102" t="n"/>
      <c r="E1034" s="105" t="n"/>
      <c r="G1034" s="102" t="n"/>
      <c r="H1034" s="105" t="n"/>
      <c r="J1034" s="102" t="n"/>
      <c r="K1034" s="106" t="n"/>
    </row>
    <row r="1036">
      <c r="B1036" s="2">
        <f>IF(HSCEI!$C$37="","",HSCEI!$C$37)</f>
        <v/>
      </c>
      <c r="C1036" s="2">
        <f>IF(PULL_FUND="N","",IF(HSCEI!$C$37="","",HSCEI!$C$37))</f>
        <v/>
      </c>
      <c r="D1036" s="104">
        <f>BDH($C1036,NDE_FIELD,"-5AY","","Per=Y","cols=2;rows=5")</f>
        <v/>
      </c>
      <c r="E1036" s="105" t="n"/>
      <c r="G1036" s="104">
        <f>BQL($C1036,BUYBACK_QUERY,$C$4,"fill=prev","showheaders=f","showids=f")</f>
        <v/>
      </c>
      <c r="H1036" s="105" t="n"/>
      <c r="J1036" s="104">
        <f>BDH($C1036,"PX_LAST","-5AY","","Per=Y","cols=2;rows=5")</f>
        <v/>
      </c>
      <c r="K1036" s="106" t="n"/>
    </row>
    <row r="1037">
      <c r="D1037" s="102" t="n"/>
      <c r="E1037" s="105" t="n"/>
      <c r="G1037" s="102" t="n"/>
      <c r="H1037" s="105" t="n"/>
      <c r="J1037" s="102" t="n"/>
      <c r="K1037" s="106" t="n"/>
    </row>
    <row r="1038">
      <c r="D1038" s="102" t="n"/>
      <c r="E1038" s="105" t="n"/>
      <c r="G1038" s="102" t="n"/>
      <c r="H1038" s="105" t="n"/>
      <c r="J1038" s="102" t="n"/>
      <c r="K1038" s="106" t="n"/>
    </row>
    <row r="1039">
      <c r="D1039" s="102" t="n"/>
      <c r="E1039" s="105" t="n"/>
      <c r="G1039" s="102" t="n"/>
      <c r="H1039" s="105" t="n"/>
      <c r="J1039" s="102" t="n"/>
      <c r="K1039" s="106" t="n"/>
    </row>
    <row r="1040">
      <c r="D1040" s="102" t="n"/>
      <c r="E1040" s="105" t="n"/>
      <c r="G1040" s="102" t="n"/>
      <c r="H1040" s="105" t="n"/>
      <c r="J1040" s="102" t="n"/>
      <c r="K1040" s="106" t="n"/>
    </row>
    <row r="1042">
      <c r="B1042" s="2">
        <f>IF(HSCEI!$C$38="","",HSCEI!$C$38)</f>
        <v/>
      </c>
      <c r="C1042" s="2">
        <f>IF(PULL_FUND="N","",IF(HSCEI!$C$38="","",HSCEI!$C$38))</f>
        <v/>
      </c>
      <c r="D1042" s="104">
        <f>BDH($C1042,NDE_FIELD,"-5AY","","Per=Y","cols=2;rows=5")</f>
        <v/>
      </c>
      <c r="E1042" s="105" t="n"/>
      <c r="G1042" s="104">
        <f>BQL($C1042,BUYBACK_QUERY,$C$4,"fill=prev","showheaders=f","showids=f")</f>
        <v/>
      </c>
      <c r="H1042" s="105" t="n"/>
      <c r="J1042" s="104">
        <f>BDH($C1042,"PX_LAST","-5AY","","Per=Y","cols=2;rows=5")</f>
        <v/>
      </c>
      <c r="K1042" s="106" t="n"/>
    </row>
    <row r="1043">
      <c r="D1043" s="102" t="n"/>
      <c r="E1043" s="105" t="n"/>
      <c r="G1043" s="102" t="n"/>
      <c r="H1043" s="105" t="n"/>
      <c r="J1043" s="102" t="n"/>
      <c r="K1043" s="106" t="n"/>
    </row>
    <row r="1044">
      <c r="D1044" s="102" t="n"/>
      <c r="E1044" s="105" t="n"/>
      <c r="G1044" s="102" t="n"/>
      <c r="H1044" s="105" t="n"/>
      <c r="J1044" s="102" t="n"/>
      <c r="K1044" s="106" t="n"/>
    </row>
    <row r="1045">
      <c r="D1045" s="102" t="n"/>
      <c r="E1045" s="105" t="n"/>
      <c r="G1045" s="102" t="n"/>
      <c r="H1045" s="105" t="n"/>
      <c r="J1045" s="102" t="n"/>
      <c r="K1045" s="106" t="n"/>
    </row>
    <row r="1046">
      <c r="D1046" s="102" t="n"/>
      <c r="E1046" s="105" t="n"/>
      <c r="G1046" s="102" t="n"/>
      <c r="H1046" s="105" t="n"/>
      <c r="J1046" s="102" t="n"/>
      <c r="K1046" s="106" t="n"/>
    </row>
    <row r="1048">
      <c r="B1048" s="2">
        <f>IF(HSCEI!$C$39="","",HSCEI!$C$39)</f>
        <v/>
      </c>
      <c r="C1048" s="2">
        <f>IF(PULL_FUND="N","",IF(HSCEI!$C$39="","",HSCEI!$C$39))</f>
        <v/>
      </c>
      <c r="D1048" s="104">
        <f>BDH($C1048,NDE_FIELD,"-5AY","","Per=Y","cols=2;rows=5")</f>
        <v/>
      </c>
      <c r="E1048" s="105" t="n"/>
      <c r="G1048" s="104">
        <f>BQL($C1048,BUYBACK_QUERY,$C$4,"fill=prev","showheaders=f","showids=f")</f>
        <v/>
      </c>
      <c r="H1048" s="105" t="n"/>
      <c r="J1048" s="104">
        <f>BDH($C1048,"PX_LAST","-5AY","","Per=Y","cols=2;rows=5")</f>
        <v/>
      </c>
      <c r="K1048" s="106" t="n"/>
    </row>
    <row r="1049">
      <c r="D1049" s="102" t="n"/>
      <c r="E1049" s="105" t="n"/>
      <c r="G1049" s="102" t="n"/>
      <c r="H1049" s="105" t="n"/>
      <c r="J1049" s="102" t="n"/>
      <c r="K1049" s="106" t="n"/>
    </row>
    <row r="1050">
      <c r="D1050" s="102" t="n"/>
      <c r="E1050" s="105" t="n"/>
      <c r="G1050" s="102" t="n"/>
      <c r="H1050" s="105" t="n"/>
      <c r="J1050" s="102" t="n"/>
      <c r="K1050" s="106" t="n"/>
    </row>
    <row r="1051">
      <c r="D1051" s="102" t="n"/>
      <c r="E1051" s="105" t="n"/>
      <c r="G1051" s="102" t="n"/>
      <c r="H1051" s="105" t="n"/>
      <c r="J1051" s="102" t="n"/>
      <c r="K1051" s="106" t="n"/>
    </row>
    <row r="1052">
      <c r="D1052" s="102" t="n"/>
      <c r="E1052" s="105" t="n"/>
      <c r="G1052" s="102" t="n"/>
      <c r="H1052" s="105" t="n"/>
      <c r="J1052" s="102" t="n"/>
      <c r="K1052" s="106" t="n"/>
    </row>
    <row r="1054">
      <c r="B1054" s="2">
        <f>IF(HSCEI!$C$40="","",HSCEI!$C$40)</f>
        <v/>
      </c>
      <c r="C1054" s="2">
        <f>IF(PULL_FUND="N","",IF(HSCEI!$C$40="","",HSCEI!$C$40))</f>
        <v/>
      </c>
      <c r="D1054" s="104">
        <f>BDH($C1054,NDE_FIELD,"-5AY","","Per=Y","cols=2;rows=5")</f>
        <v/>
      </c>
      <c r="E1054" s="105" t="n"/>
      <c r="G1054" s="104">
        <f>BQL($C1054,BUYBACK_QUERY,$C$4,"fill=prev","showheaders=f","showids=f")</f>
        <v/>
      </c>
      <c r="H1054" s="105" t="n"/>
      <c r="J1054" s="104">
        <f>BDH($C1054,"PX_LAST","-5AY","","Per=Y","cols=2;rows=5")</f>
        <v/>
      </c>
      <c r="K1054" s="106" t="n"/>
    </row>
    <row r="1055">
      <c r="D1055" s="102" t="n"/>
      <c r="E1055" s="105" t="n"/>
      <c r="G1055" s="102" t="n"/>
      <c r="H1055" s="105" t="n"/>
      <c r="J1055" s="102" t="n"/>
      <c r="K1055" s="106" t="n"/>
    </row>
    <row r="1056">
      <c r="D1056" s="102" t="n"/>
      <c r="E1056" s="105" t="n"/>
      <c r="G1056" s="102" t="n"/>
      <c r="H1056" s="105" t="n"/>
      <c r="J1056" s="102" t="n"/>
      <c r="K1056" s="106" t="n"/>
    </row>
    <row r="1057">
      <c r="D1057" s="102" t="n"/>
      <c r="E1057" s="105" t="n"/>
      <c r="G1057" s="102" t="n"/>
      <c r="H1057" s="105" t="n"/>
      <c r="J1057" s="102" t="n"/>
      <c r="K1057" s="106" t="n"/>
    </row>
    <row r="1058">
      <c r="D1058" s="102" t="n"/>
      <c r="E1058" s="105" t="n"/>
      <c r="G1058" s="102" t="n"/>
      <c r="H1058" s="105" t="n"/>
      <c r="J1058" s="102" t="n"/>
      <c r="K1058" s="106" t="n"/>
    </row>
    <row r="1060">
      <c r="B1060" s="2">
        <f>IF(HSCEI!$C$41="","",HSCEI!$C$41)</f>
        <v/>
      </c>
      <c r="C1060" s="2">
        <f>IF(PULL_FUND="N","",IF(HSCEI!$C$41="","",HSCEI!$C$41))</f>
        <v/>
      </c>
      <c r="D1060" s="104">
        <f>BDH($C1060,NDE_FIELD,"-5AY","","Per=Y","cols=2;rows=5")</f>
        <v/>
      </c>
      <c r="E1060" s="105" t="n"/>
      <c r="G1060" s="104">
        <f>BQL($C1060,BUYBACK_QUERY,$C$4,"fill=prev","showheaders=f","showids=f")</f>
        <v/>
      </c>
      <c r="H1060" s="105" t="n"/>
      <c r="J1060" s="104">
        <f>BDH($C1060,"PX_LAST","-5AY","","Per=Y","cols=2;rows=5")</f>
        <v/>
      </c>
      <c r="K1060" s="106" t="n"/>
    </row>
    <row r="1061">
      <c r="D1061" s="102" t="n"/>
      <c r="E1061" s="105" t="n"/>
      <c r="G1061" s="102" t="n"/>
      <c r="H1061" s="105" t="n"/>
      <c r="J1061" s="102" t="n"/>
      <c r="K1061" s="106" t="n"/>
    </row>
    <row r="1062">
      <c r="D1062" s="102" t="n"/>
      <c r="E1062" s="105" t="n"/>
      <c r="G1062" s="102" t="n"/>
      <c r="H1062" s="105" t="n"/>
      <c r="J1062" s="102" t="n"/>
      <c r="K1062" s="106" t="n"/>
    </row>
    <row r="1063">
      <c r="D1063" s="102" t="n"/>
      <c r="E1063" s="105" t="n"/>
      <c r="G1063" s="102" t="n"/>
      <c r="H1063" s="105" t="n"/>
      <c r="J1063" s="102" t="n"/>
      <c r="K1063" s="106" t="n"/>
    </row>
    <row r="1064">
      <c r="D1064" s="102" t="n"/>
      <c r="E1064" s="105" t="n"/>
      <c r="G1064" s="102" t="n"/>
      <c r="H1064" s="105" t="n"/>
      <c r="J1064" s="102" t="n"/>
      <c r="K1064" s="106" t="n"/>
    </row>
    <row r="1066">
      <c r="B1066" s="2">
        <f>IF(HSCEI!$C$42="","",HSCEI!$C$42)</f>
        <v/>
      </c>
      <c r="C1066" s="2">
        <f>IF(PULL_FUND="N","",IF(HSCEI!$C$42="","",HSCEI!$C$42))</f>
        <v/>
      </c>
      <c r="D1066" s="104">
        <f>BDH($C1066,NDE_FIELD,"-5AY","","Per=Y","cols=2;rows=5")</f>
        <v/>
      </c>
      <c r="E1066" s="105" t="n"/>
      <c r="G1066" s="104">
        <f>BQL($C1066,BUYBACK_QUERY,$C$4,"fill=prev","showheaders=f","showids=f")</f>
        <v/>
      </c>
      <c r="H1066" s="105" t="n"/>
      <c r="J1066" s="104">
        <f>BDH($C1066,"PX_LAST","-5AY","","Per=Y","cols=2;rows=5")</f>
        <v/>
      </c>
      <c r="K1066" s="106" t="n"/>
    </row>
    <row r="1067">
      <c r="D1067" s="102" t="n"/>
      <c r="E1067" s="105" t="n"/>
      <c r="G1067" s="102" t="n"/>
      <c r="H1067" s="105" t="n"/>
      <c r="J1067" s="102" t="n"/>
      <c r="K1067" s="106" t="n"/>
    </row>
    <row r="1068">
      <c r="D1068" s="102" t="n"/>
      <c r="E1068" s="105" t="n"/>
      <c r="G1068" s="102" t="n"/>
      <c r="H1068" s="105" t="n"/>
      <c r="J1068" s="102" t="n"/>
      <c r="K1068" s="106" t="n"/>
    </row>
    <row r="1069">
      <c r="D1069" s="102" t="n"/>
      <c r="E1069" s="105" t="n"/>
      <c r="G1069" s="102" t="n"/>
      <c r="H1069" s="105" t="n"/>
      <c r="J1069" s="102" t="n"/>
      <c r="K1069" s="106" t="n"/>
    </row>
    <row r="1070">
      <c r="D1070" s="102" t="n"/>
      <c r="E1070" s="105" t="n"/>
      <c r="G1070" s="102" t="n"/>
      <c r="H1070" s="105" t="n"/>
      <c r="J1070" s="102" t="n"/>
      <c r="K1070" s="106" t="n"/>
    </row>
    <row r="1072">
      <c r="B1072" s="2">
        <f>IF(HSCEI!$C$43="","",HSCEI!$C$43)</f>
        <v/>
      </c>
      <c r="C1072" s="2">
        <f>IF(PULL_FUND="N","",IF(HSCEI!$C$43="","",HSCEI!$C$43))</f>
        <v/>
      </c>
      <c r="D1072" s="104">
        <f>BDH($C1072,NDE_FIELD,"-5AY","","Per=Y","cols=2;rows=5")</f>
        <v/>
      </c>
      <c r="E1072" s="105" t="n"/>
      <c r="G1072" s="104">
        <f>BQL($C1072,BUYBACK_QUERY,$C$4,"fill=prev","showheaders=f","showids=f")</f>
        <v/>
      </c>
      <c r="H1072" s="105" t="n"/>
      <c r="J1072" s="104">
        <f>BDH($C1072,"PX_LAST","-5AY","","Per=Y","cols=2;rows=5")</f>
        <v/>
      </c>
      <c r="K1072" s="106" t="n"/>
    </row>
    <row r="1073">
      <c r="D1073" s="102" t="n"/>
      <c r="E1073" s="105" t="n"/>
      <c r="G1073" s="102" t="n"/>
      <c r="H1073" s="105" t="n"/>
      <c r="J1073" s="102" t="n"/>
      <c r="K1073" s="106" t="n"/>
    </row>
    <row r="1074">
      <c r="D1074" s="102" t="n"/>
      <c r="E1074" s="105" t="n"/>
      <c r="G1074" s="102" t="n"/>
      <c r="H1074" s="105" t="n"/>
      <c r="J1074" s="102" t="n"/>
      <c r="K1074" s="106" t="n"/>
    </row>
    <row r="1075">
      <c r="D1075" s="102" t="n"/>
      <c r="E1075" s="105" t="n"/>
      <c r="G1075" s="102" t="n"/>
      <c r="H1075" s="105" t="n"/>
      <c r="J1075" s="102" t="n"/>
      <c r="K1075" s="106" t="n"/>
    </row>
    <row r="1076">
      <c r="D1076" s="102" t="n"/>
      <c r="E1076" s="105" t="n"/>
      <c r="G1076" s="102" t="n"/>
      <c r="H1076" s="105" t="n"/>
      <c r="J1076" s="102" t="n"/>
      <c r="K1076" s="106" t="n"/>
    </row>
    <row r="1078">
      <c r="B1078" s="2">
        <f>IF(HSCEI!$C$44="","",HSCEI!$C$44)</f>
        <v/>
      </c>
      <c r="C1078" s="2">
        <f>IF(PULL_FUND="N","",IF(HSCEI!$C$44="","",HSCEI!$C$44))</f>
        <v/>
      </c>
      <c r="D1078" s="104">
        <f>BDH($C1078,NDE_FIELD,"-5AY","","Per=Y","cols=2;rows=5")</f>
        <v/>
      </c>
      <c r="E1078" s="105" t="n"/>
      <c r="G1078" s="104">
        <f>BQL($C1078,BUYBACK_QUERY,$C$4,"fill=prev","showheaders=f","showids=f")</f>
        <v/>
      </c>
      <c r="H1078" s="105" t="n"/>
      <c r="J1078" s="104">
        <f>BDH($C1078,"PX_LAST","-5AY","","Per=Y","cols=2;rows=5")</f>
        <v/>
      </c>
      <c r="K1078" s="106" t="n"/>
    </row>
    <row r="1079">
      <c r="D1079" s="102" t="n"/>
      <c r="E1079" s="105" t="n"/>
      <c r="G1079" s="102" t="n"/>
      <c r="H1079" s="105" t="n"/>
      <c r="J1079" s="102" t="n"/>
      <c r="K1079" s="106" t="n"/>
    </row>
    <row r="1080">
      <c r="D1080" s="102" t="n"/>
      <c r="E1080" s="105" t="n"/>
      <c r="G1080" s="102" t="n"/>
      <c r="H1080" s="105" t="n"/>
      <c r="J1080" s="102" t="n"/>
      <c r="K1080" s="106" t="n"/>
    </row>
    <row r="1081">
      <c r="D1081" s="102" t="n"/>
      <c r="E1081" s="105" t="n"/>
      <c r="G1081" s="102" t="n"/>
      <c r="H1081" s="105" t="n"/>
      <c r="J1081" s="102" t="n"/>
      <c r="K1081" s="106" t="n"/>
    </row>
    <row r="1082">
      <c r="D1082" s="102" t="n"/>
      <c r="E1082" s="105" t="n"/>
      <c r="G1082" s="102" t="n"/>
      <c r="H1082" s="105" t="n"/>
      <c r="J1082" s="102" t="n"/>
      <c r="K1082" s="106" t="n"/>
    </row>
    <row r="1084">
      <c r="B1084" s="2">
        <f>IF(HSCEI!$C$45="","",HSCEI!$C$45)</f>
        <v/>
      </c>
      <c r="C1084" s="2">
        <f>IF(PULL_FUND="N","",IF(HSCEI!$C$45="","",HSCEI!$C$45))</f>
        <v/>
      </c>
      <c r="D1084" s="104">
        <f>BDH($C1084,NDE_FIELD,"-5AY","","Per=Y","cols=2;rows=5")</f>
        <v/>
      </c>
      <c r="E1084" s="105" t="n"/>
      <c r="G1084" s="104">
        <f>BQL($C1084,BUYBACK_QUERY,$C$4,"fill=prev","showheaders=f","showids=f")</f>
        <v/>
      </c>
      <c r="H1084" s="105" t="n"/>
      <c r="J1084" s="104">
        <f>BDH($C1084,"PX_LAST","-5AY","","Per=Y","cols=2;rows=5")</f>
        <v/>
      </c>
      <c r="K1084" s="106" t="n"/>
    </row>
    <row r="1085">
      <c r="D1085" s="102" t="n"/>
      <c r="E1085" s="105" t="n"/>
      <c r="G1085" s="102" t="n"/>
      <c r="H1085" s="105" t="n"/>
      <c r="J1085" s="102" t="n"/>
      <c r="K1085" s="106" t="n"/>
    </row>
    <row r="1086">
      <c r="D1086" s="102" t="n"/>
      <c r="E1086" s="105" t="n"/>
      <c r="G1086" s="102" t="n"/>
      <c r="H1086" s="105" t="n"/>
      <c r="J1086" s="102" t="n"/>
      <c r="K1086" s="106" t="n"/>
    </row>
    <row r="1087">
      <c r="D1087" s="102" t="n"/>
      <c r="E1087" s="105" t="n"/>
      <c r="G1087" s="102" t="n"/>
      <c r="H1087" s="105" t="n"/>
      <c r="J1087" s="102" t="n"/>
      <c r="K1087" s="106" t="n"/>
    </row>
    <row r="1088">
      <c r="D1088" s="102" t="n"/>
      <c r="E1088" s="105" t="n"/>
      <c r="G1088" s="102" t="n"/>
      <c r="H1088" s="105" t="n"/>
      <c r="J1088" s="102" t="n"/>
      <c r="K1088" s="106" t="n"/>
    </row>
    <row r="1090">
      <c r="B1090" s="2">
        <f>IF(HSCEI!$C$46="","",HSCEI!$C$46)</f>
        <v/>
      </c>
      <c r="C1090" s="2">
        <f>IF(PULL_FUND="N","",IF(HSCEI!$C$46="","",HSCEI!$C$46))</f>
        <v/>
      </c>
      <c r="D1090" s="104">
        <f>BDH($C1090,NDE_FIELD,"-5AY","","Per=Y","cols=2;rows=5")</f>
        <v/>
      </c>
      <c r="E1090" s="105" t="n"/>
      <c r="G1090" s="104">
        <f>BQL($C1090,BUYBACK_QUERY,$C$4,"fill=prev","showheaders=f","showids=f")</f>
        <v/>
      </c>
      <c r="H1090" s="105" t="n"/>
      <c r="J1090" s="104">
        <f>BDH($C1090,"PX_LAST","-5AY","","Per=Y","cols=2;rows=5")</f>
        <v/>
      </c>
      <c r="K1090" s="106" t="n"/>
    </row>
    <row r="1091">
      <c r="D1091" s="102" t="n"/>
      <c r="E1091" s="105" t="n"/>
      <c r="G1091" s="102" t="n"/>
      <c r="H1091" s="105" t="n"/>
      <c r="J1091" s="102" t="n"/>
      <c r="K1091" s="106" t="n"/>
    </row>
    <row r="1092">
      <c r="D1092" s="102" t="n"/>
      <c r="E1092" s="105" t="n"/>
      <c r="G1092" s="102" t="n"/>
      <c r="H1092" s="105" t="n"/>
      <c r="J1092" s="102" t="n"/>
      <c r="K1092" s="106" t="n"/>
    </row>
    <row r="1093">
      <c r="D1093" s="102" t="n"/>
      <c r="E1093" s="105" t="n"/>
      <c r="G1093" s="102" t="n"/>
      <c r="H1093" s="105" t="n"/>
      <c r="J1093" s="102" t="n"/>
      <c r="K1093" s="106" t="n"/>
    </row>
    <row r="1094">
      <c r="D1094" s="102" t="n"/>
      <c r="E1094" s="105" t="n"/>
      <c r="G1094" s="102" t="n"/>
      <c r="H1094" s="105" t="n"/>
      <c r="J1094" s="102" t="n"/>
      <c r="K1094" s="106" t="n"/>
    </row>
    <row r="1096">
      <c r="B1096" s="2">
        <f>IF(HSCEI!$C$47="","",HSCEI!$C$47)</f>
        <v/>
      </c>
      <c r="C1096" s="2">
        <f>IF(PULL_FUND="N","",IF(HSCEI!$C$47="","",HSCEI!$C$47))</f>
        <v/>
      </c>
      <c r="D1096" s="104">
        <f>BDH($C1096,NDE_FIELD,"-5AY","","Per=Y","cols=2;rows=5")</f>
        <v/>
      </c>
      <c r="E1096" s="105" t="n"/>
      <c r="G1096" s="104">
        <f>BQL($C1096,BUYBACK_QUERY,$C$4,"fill=prev","showheaders=f","showids=f")</f>
        <v/>
      </c>
      <c r="H1096" s="105" t="n"/>
      <c r="J1096" s="104">
        <f>BDH($C1096,"PX_LAST","-5AY","","Per=Y","cols=2;rows=5")</f>
        <v/>
      </c>
      <c r="K1096" s="106" t="n"/>
    </row>
    <row r="1097">
      <c r="D1097" s="102" t="n"/>
      <c r="E1097" s="105" t="n"/>
      <c r="G1097" s="102" t="n"/>
      <c r="H1097" s="105" t="n"/>
      <c r="J1097" s="102" t="n"/>
      <c r="K1097" s="106" t="n"/>
    </row>
    <row r="1098">
      <c r="D1098" s="102" t="n"/>
      <c r="E1098" s="105" t="n"/>
      <c r="G1098" s="102" t="n"/>
      <c r="H1098" s="105" t="n"/>
      <c r="J1098" s="102" t="n"/>
      <c r="K1098" s="106" t="n"/>
    </row>
    <row r="1099">
      <c r="D1099" s="102" t="n"/>
      <c r="E1099" s="105" t="n"/>
      <c r="G1099" s="102" t="n"/>
      <c r="H1099" s="105" t="n"/>
      <c r="J1099" s="102" t="n"/>
      <c r="K1099" s="106" t="n"/>
    </row>
    <row r="1100">
      <c r="D1100" s="102" t="n"/>
      <c r="E1100" s="105" t="n"/>
      <c r="G1100" s="102" t="n"/>
      <c r="H1100" s="105" t="n"/>
      <c r="J1100" s="102" t="n"/>
      <c r="K1100" s="106" t="n"/>
    </row>
    <row r="1102">
      <c r="B1102" s="2">
        <f>IF(HSCEI!$C$48="","",HSCEI!$C$48)</f>
        <v/>
      </c>
      <c r="C1102" s="2">
        <f>IF(PULL_FUND="N","",IF(HSCEI!$C$48="","",HSCEI!$C$48))</f>
        <v/>
      </c>
      <c r="D1102" s="104">
        <f>BDH($C1102,NDE_FIELD,"-5AY","","Per=Y","cols=2;rows=5")</f>
        <v/>
      </c>
      <c r="E1102" s="105" t="n"/>
      <c r="G1102" s="104">
        <f>BQL($C1102,BUYBACK_QUERY,$C$4,"fill=prev","showheaders=f","showids=f")</f>
        <v/>
      </c>
      <c r="H1102" s="105" t="n"/>
      <c r="J1102" s="104">
        <f>BDH($C1102,"PX_LAST","-5AY","","Per=Y","cols=2;rows=5")</f>
        <v/>
      </c>
      <c r="K1102" s="106" t="n"/>
    </row>
    <row r="1103">
      <c r="D1103" s="102" t="n"/>
      <c r="E1103" s="105" t="n"/>
      <c r="G1103" s="102" t="n"/>
      <c r="H1103" s="105" t="n"/>
      <c r="J1103" s="102" t="n"/>
      <c r="K1103" s="106" t="n"/>
    </row>
    <row r="1104">
      <c r="D1104" s="102" t="n"/>
      <c r="E1104" s="105" t="n"/>
      <c r="G1104" s="102" t="n"/>
      <c r="H1104" s="105" t="n"/>
      <c r="J1104" s="102" t="n"/>
      <c r="K1104" s="106" t="n"/>
    </row>
    <row r="1105">
      <c r="D1105" s="102" t="n"/>
      <c r="E1105" s="105" t="n"/>
      <c r="G1105" s="102" t="n"/>
      <c r="H1105" s="105" t="n"/>
      <c r="J1105" s="102" t="n"/>
      <c r="K1105" s="106" t="n"/>
    </row>
    <row r="1106">
      <c r="D1106" s="102" t="n"/>
      <c r="E1106" s="105" t="n"/>
      <c r="G1106" s="102" t="n"/>
      <c r="H1106" s="105" t="n"/>
      <c r="J1106" s="102" t="n"/>
      <c r="K1106" s="106" t="n"/>
    </row>
    <row r="1108">
      <c r="B1108" s="2">
        <f>IF(HSCEI!$C$49="","",HSCEI!$C$49)</f>
        <v/>
      </c>
      <c r="C1108" s="2">
        <f>IF(PULL_FUND="N","",IF(HSCEI!$C$49="","",HSCEI!$C$49))</f>
        <v/>
      </c>
      <c r="D1108" s="104">
        <f>BDH($C1108,NDE_FIELD,"-5AY","","Per=Y","cols=2;rows=5")</f>
        <v/>
      </c>
      <c r="E1108" s="105" t="n"/>
      <c r="G1108" s="104">
        <f>BQL($C1108,BUYBACK_QUERY,$C$4,"fill=prev","showheaders=f","showids=f")</f>
        <v/>
      </c>
      <c r="H1108" s="105" t="n"/>
      <c r="J1108" s="104">
        <f>BDH($C1108,"PX_LAST","-5AY","","Per=Y","cols=2;rows=5")</f>
        <v/>
      </c>
      <c r="K1108" s="106" t="n"/>
    </row>
    <row r="1109">
      <c r="D1109" s="102" t="n"/>
      <c r="E1109" s="105" t="n"/>
      <c r="G1109" s="102" t="n"/>
      <c r="H1109" s="105" t="n"/>
      <c r="J1109" s="102" t="n"/>
      <c r="K1109" s="106" t="n"/>
    </row>
    <row r="1110">
      <c r="D1110" s="102" t="n"/>
      <c r="E1110" s="105" t="n"/>
      <c r="G1110" s="102" t="n"/>
      <c r="H1110" s="105" t="n"/>
      <c r="J1110" s="102" t="n"/>
      <c r="K1110" s="106" t="n"/>
    </row>
    <row r="1111">
      <c r="D1111" s="102" t="n"/>
      <c r="E1111" s="105" t="n"/>
      <c r="G1111" s="102" t="n"/>
      <c r="H1111" s="105" t="n"/>
      <c r="J1111" s="102" t="n"/>
      <c r="K1111" s="106" t="n"/>
    </row>
    <row r="1112">
      <c r="D1112" s="102" t="n"/>
      <c r="E1112" s="105" t="n"/>
      <c r="G1112" s="102" t="n"/>
      <c r="H1112" s="105" t="n"/>
      <c r="J1112" s="102" t="n"/>
      <c r="K1112" s="106" t="n"/>
    </row>
    <row r="1114">
      <c r="B1114" s="2">
        <f>IF(HSCEI!$C$50="","",HSCEI!$C$50)</f>
        <v/>
      </c>
      <c r="C1114" s="2">
        <f>IF(PULL_FUND="N","",IF(HSCEI!$C$50="","",HSCEI!$C$50))</f>
        <v/>
      </c>
      <c r="D1114" s="104">
        <f>BDH($C1114,NDE_FIELD,"-5AY","","Per=Y","cols=2;rows=5")</f>
        <v/>
      </c>
      <c r="E1114" s="105" t="n"/>
      <c r="G1114" s="104">
        <f>BQL($C1114,BUYBACK_QUERY,$C$4,"fill=prev","showheaders=f","showids=f")</f>
        <v/>
      </c>
      <c r="H1114" s="105" t="n"/>
      <c r="J1114" s="104">
        <f>BDH($C1114,"PX_LAST","-5AY","","Per=Y","cols=2;rows=5")</f>
        <v/>
      </c>
      <c r="K1114" s="106" t="n"/>
    </row>
    <row r="1115">
      <c r="D1115" s="102" t="n"/>
      <c r="E1115" s="105" t="n"/>
      <c r="G1115" s="102" t="n"/>
      <c r="H1115" s="105" t="n"/>
      <c r="J1115" s="102" t="n"/>
      <c r="K1115" s="106" t="n"/>
    </row>
    <row r="1116">
      <c r="D1116" s="102" t="n"/>
      <c r="E1116" s="105" t="n"/>
      <c r="G1116" s="102" t="n"/>
      <c r="H1116" s="105" t="n"/>
      <c r="J1116" s="102" t="n"/>
      <c r="K1116" s="106" t="n"/>
    </row>
    <row r="1117">
      <c r="D1117" s="102" t="n"/>
      <c r="E1117" s="105" t="n"/>
      <c r="G1117" s="102" t="n"/>
      <c r="H1117" s="105" t="n"/>
      <c r="J1117" s="102" t="n"/>
      <c r="K1117" s="106" t="n"/>
    </row>
    <row r="1118">
      <c r="D1118" s="102" t="n"/>
      <c r="E1118" s="105" t="n"/>
      <c r="G1118" s="102" t="n"/>
      <c r="H1118" s="105" t="n"/>
      <c r="J1118" s="102" t="n"/>
      <c r="K1118" s="106" t="n"/>
    </row>
    <row r="1120">
      <c r="B1120" s="2">
        <f>IF(HSCEI!$C$51="","",HSCEI!$C$51)</f>
        <v/>
      </c>
      <c r="C1120" s="2">
        <f>IF(PULL_FUND="N","",IF(HSCEI!$C$51="","",HSCEI!$C$51))</f>
        <v/>
      </c>
      <c r="D1120" s="104">
        <f>BDH($C1120,NDE_FIELD,"-5AY","","Per=Y","cols=2;rows=5")</f>
        <v/>
      </c>
      <c r="E1120" s="105" t="n"/>
      <c r="G1120" s="104">
        <f>BQL($C1120,BUYBACK_QUERY,$C$4,"fill=prev","showheaders=f","showids=f")</f>
        <v/>
      </c>
      <c r="H1120" s="105" t="n"/>
      <c r="J1120" s="104">
        <f>BDH($C1120,"PX_LAST","-5AY","","Per=Y","cols=2;rows=5")</f>
        <v/>
      </c>
      <c r="K1120" s="106" t="n"/>
    </row>
    <row r="1121">
      <c r="D1121" s="102" t="n"/>
      <c r="E1121" s="105" t="n"/>
      <c r="G1121" s="102" t="n"/>
      <c r="H1121" s="105" t="n"/>
      <c r="J1121" s="102" t="n"/>
      <c r="K1121" s="106" t="n"/>
    </row>
    <row r="1122">
      <c r="D1122" s="102" t="n"/>
      <c r="E1122" s="105" t="n"/>
      <c r="G1122" s="102" t="n"/>
      <c r="H1122" s="105" t="n"/>
      <c r="J1122" s="102" t="n"/>
      <c r="K1122" s="106" t="n"/>
    </row>
    <row r="1123">
      <c r="D1123" s="102" t="n"/>
      <c r="E1123" s="105" t="n"/>
      <c r="G1123" s="102" t="n"/>
      <c r="H1123" s="105" t="n"/>
      <c r="J1123" s="102" t="n"/>
      <c r="K1123" s="106" t="n"/>
    </row>
    <row r="1124">
      <c r="D1124" s="102" t="n"/>
      <c r="E1124" s="105" t="n"/>
      <c r="G1124" s="102" t="n"/>
      <c r="H1124" s="105" t="n"/>
      <c r="J1124" s="102" t="n"/>
      <c r="K1124" s="106" t="n"/>
    </row>
    <row r="1126">
      <c r="B1126" s="2">
        <f>IF(HSCEI!$C$52="","",HSCEI!$C$52)</f>
        <v/>
      </c>
      <c r="C1126" s="2">
        <f>IF(PULL_FUND="N","",IF(HSCEI!$C$52="","",HSCEI!$C$52))</f>
        <v/>
      </c>
      <c r="D1126" s="104">
        <f>BDH($C1126,NDE_FIELD,"-5AY","","Per=Y","cols=2;rows=5")</f>
        <v/>
      </c>
      <c r="E1126" s="105" t="n"/>
      <c r="G1126" s="104">
        <f>BQL($C1126,BUYBACK_QUERY,$C$4,"fill=prev","showheaders=f","showids=f")</f>
        <v/>
      </c>
      <c r="H1126" s="105" t="n"/>
      <c r="J1126" s="104">
        <f>BDH($C1126,"PX_LAST","-5AY","","Per=Y","cols=2;rows=5")</f>
        <v/>
      </c>
      <c r="K1126" s="106" t="n"/>
    </row>
    <row r="1127">
      <c r="D1127" s="102" t="n"/>
      <c r="E1127" s="105" t="n"/>
      <c r="G1127" s="102" t="n"/>
      <c r="H1127" s="105" t="n"/>
      <c r="J1127" s="102" t="n"/>
      <c r="K1127" s="106" t="n"/>
    </row>
    <row r="1128">
      <c r="D1128" s="102" t="n"/>
      <c r="E1128" s="105" t="n"/>
      <c r="G1128" s="102" t="n"/>
      <c r="H1128" s="105" t="n"/>
      <c r="J1128" s="102" t="n"/>
      <c r="K1128" s="106" t="n"/>
    </row>
    <row r="1129">
      <c r="D1129" s="102" t="n"/>
      <c r="E1129" s="105" t="n"/>
      <c r="G1129" s="102" t="n"/>
      <c r="H1129" s="105" t="n"/>
      <c r="J1129" s="102" t="n"/>
      <c r="K1129" s="106" t="n"/>
    </row>
    <row r="1130">
      <c r="D1130" s="102" t="n"/>
      <c r="E1130" s="105" t="n"/>
      <c r="G1130" s="102" t="n"/>
      <c r="H1130" s="105" t="n"/>
      <c r="J1130" s="102" t="n"/>
      <c r="K1130" s="106" t="n"/>
    </row>
    <row r="1132">
      <c r="B1132" s="2">
        <f>IF(HSCEI!$C$53="","",HSCEI!$C$53)</f>
        <v/>
      </c>
      <c r="C1132" s="2">
        <f>IF(PULL_FUND="N","",IF(HSCEI!$C$53="","",HSCEI!$C$53))</f>
        <v/>
      </c>
      <c r="D1132" s="104">
        <f>BDH($C1132,NDE_FIELD,"-5AY","","Per=Y","cols=2;rows=5")</f>
        <v/>
      </c>
      <c r="E1132" s="105" t="n"/>
      <c r="G1132" s="104">
        <f>BQL($C1132,BUYBACK_QUERY,$C$4,"fill=prev","showheaders=f","showids=f")</f>
        <v/>
      </c>
      <c r="H1132" s="105" t="n"/>
      <c r="J1132" s="104">
        <f>BDH($C1132,"PX_LAST","-5AY","","Per=Y","cols=2;rows=5")</f>
        <v/>
      </c>
      <c r="K1132" s="106" t="n"/>
    </row>
    <row r="1133">
      <c r="D1133" s="102" t="n"/>
      <c r="E1133" s="105" t="n"/>
      <c r="G1133" s="102" t="n"/>
      <c r="H1133" s="105" t="n"/>
      <c r="J1133" s="102" t="n"/>
      <c r="K1133" s="106" t="n"/>
    </row>
    <row r="1134">
      <c r="D1134" s="102" t="n"/>
      <c r="E1134" s="105" t="n"/>
      <c r="G1134" s="102" t="n"/>
      <c r="H1134" s="105" t="n"/>
      <c r="J1134" s="102" t="n"/>
      <c r="K1134" s="106" t="n"/>
    </row>
    <row r="1135">
      <c r="D1135" s="102" t="n"/>
      <c r="E1135" s="105" t="n"/>
      <c r="G1135" s="102" t="n"/>
      <c r="H1135" s="105" t="n"/>
      <c r="J1135" s="102" t="n"/>
      <c r="K1135" s="106" t="n"/>
    </row>
    <row r="1136">
      <c r="D1136" s="102" t="n"/>
      <c r="E1136" s="105" t="n"/>
      <c r="G1136" s="102" t="n"/>
      <c r="H1136" s="105" t="n"/>
      <c r="J1136" s="102" t="n"/>
      <c r="K1136" s="106" t="n"/>
    </row>
    <row r="1138">
      <c r="B1138" s="2">
        <f>IF(HSCEI!$C$54="","",HSCEI!$C$54)</f>
        <v/>
      </c>
      <c r="C1138" s="2">
        <f>IF(PULL_FUND="N","",IF(HSCEI!$C$54="","",HSCEI!$C$54))</f>
        <v/>
      </c>
      <c r="D1138" s="104">
        <f>BDH($C1138,NDE_FIELD,"-5AY","","Per=Y","cols=2;rows=5")</f>
        <v/>
      </c>
      <c r="E1138" s="105" t="n"/>
      <c r="G1138" s="104">
        <f>BQL($C1138,BUYBACK_QUERY,$C$4,"fill=prev","showheaders=f","showids=f")</f>
        <v/>
      </c>
      <c r="H1138" s="105" t="n"/>
      <c r="J1138" s="104">
        <f>BDH($C1138,"PX_LAST","-5AY","","Per=Y","cols=2;rows=5")</f>
        <v/>
      </c>
      <c r="K1138" s="106" t="n"/>
    </row>
    <row r="1139">
      <c r="D1139" s="102" t="n"/>
      <c r="E1139" s="105" t="n"/>
      <c r="G1139" s="102" t="n"/>
      <c r="H1139" s="105" t="n"/>
      <c r="J1139" s="102" t="n"/>
      <c r="K1139" s="106" t="n"/>
    </row>
    <row r="1140">
      <c r="D1140" s="102" t="n"/>
      <c r="E1140" s="105" t="n"/>
      <c r="G1140" s="102" t="n"/>
      <c r="H1140" s="105" t="n"/>
      <c r="J1140" s="102" t="n"/>
      <c r="K1140" s="106" t="n"/>
    </row>
    <row r="1141">
      <c r="D1141" s="102" t="n"/>
      <c r="E1141" s="105" t="n"/>
      <c r="G1141" s="102" t="n"/>
      <c r="H1141" s="105" t="n"/>
      <c r="J1141" s="102" t="n"/>
      <c r="K1141" s="106" t="n"/>
    </row>
    <row r="1142">
      <c r="D1142" s="102" t="n"/>
      <c r="E1142" s="105" t="n"/>
      <c r="G1142" s="102" t="n"/>
      <c r="H1142" s="105" t="n"/>
      <c r="J1142" s="102" t="n"/>
      <c r="K1142" s="106" t="n"/>
    </row>
    <row r="1144">
      <c r="B1144" s="2">
        <f>IF(HSCEI!$C$55="","",HSCEI!$C$55)</f>
        <v/>
      </c>
      <c r="C1144" s="2">
        <f>IF(PULL_FUND="N","",IF(HSCEI!$C$55="","",HSCEI!$C$55))</f>
        <v/>
      </c>
      <c r="D1144" s="104">
        <f>BDH($C1144,NDE_FIELD,"-5AY","","Per=Y","cols=2;rows=5")</f>
        <v/>
      </c>
      <c r="E1144" s="105" t="n"/>
      <c r="G1144" s="104">
        <f>BQL($C1144,BUYBACK_QUERY,$C$4,"fill=prev","showheaders=f","showids=f")</f>
        <v/>
      </c>
      <c r="H1144" s="105" t="n"/>
      <c r="J1144" s="104">
        <f>BDH($C1144,"PX_LAST","-5AY","","Per=Y","cols=2;rows=5")</f>
        <v/>
      </c>
      <c r="K1144" s="106" t="n"/>
    </row>
    <row r="1145">
      <c r="D1145" s="102" t="n"/>
      <c r="E1145" s="105" t="n"/>
      <c r="G1145" s="102" t="n"/>
      <c r="H1145" s="105" t="n"/>
      <c r="J1145" s="102" t="n"/>
      <c r="K1145" s="106" t="n"/>
    </row>
    <row r="1146">
      <c r="D1146" s="102" t="n"/>
      <c r="E1146" s="105" t="n"/>
      <c r="G1146" s="102" t="n"/>
      <c r="H1146" s="105" t="n"/>
      <c r="J1146" s="102" t="n"/>
      <c r="K1146" s="106" t="n"/>
    </row>
    <row r="1147">
      <c r="D1147" s="102" t="n"/>
      <c r="E1147" s="105" t="n"/>
      <c r="G1147" s="102" t="n"/>
      <c r="H1147" s="105" t="n"/>
      <c r="J1147" s="102" t="n"/>
      <c r="K1147" s="106" t="n"/>
    </row>
    <row r="1148">
      <c r="D1148" s="102" t="n"/>
      <c r="E1148" s="105" t="n"/>
      <c r="G1148" s="102" t="n"/>
      <c r="H1148" s="105" t="n"/>
      <c r="J1148" s="102" t="n"/>
      <c r="K1148" s="106" t="n"/>
    </row>
    <row r="1150">
      <c r="B1150" s="2">
        <f>IF(HSCEI!$C$56="","",HSCEI!$C$56)</f>
        <v/>
      </c>
      <c r="C1150" s="2">
        <f>IF(PULL_FUND="N","",IF(HSCEI!$C$56="","",HSCEI!$C$56))</f>
        <v/>
      </c>
      <c r="D1150" s="104">
        <f>BDH($C1150,NDE_FIELD,"-5AY","","Per=Y","cols=2;rows=5")</f>
        <v/>
      </c>
      <c r="E1150" s="105" t="n"/>
      <c r="G1150" s="104">
        <f>BQL($C1150,BUYBACK_QUERY,$C$4,"fill=prev","showheaders=f","showids=f")</f>
        <v/>
      </c>
      <c r="H1150" s="105" t="n"/>
      <c r="J1150" s="104">
        <f>BDH($C1150,"PX_LAST","-5AY","","Per=Y","cols=2;rows=5")</f>
        <v/>
      </c>
      <c r="K1150" s="106" t="n"/>
    </row>
    <row r="1151">
      <c r="D1151" s="102" t="n"/>
      <c r="E1151" s="105" t="n"/>
      <c r="G1151" s="102" t="n"/>
      <c r="H1151" s="105" t="n"/>
      <c r="J1151" s="102" t="n"/>
      <c r="K1151" s="106" t="n"/>
    </row>
    <row r="1152">
      <c r="D1152" s="102" t="n"/>
      <c r="E1152" s="105" t="n"/>
      <c r="G1152" s="102" t="n"/>
      <c r="H1152" s="105" t="n"/>
      <c r="J1152" s="102" t="n"/>
      <c r="K1152" s="106" t="n"/>
    </row>
    <row r="1153">
      <c r="D1153" s="102" t="n"/>
      <c r="E1153" s="105" t="n"/>
      <c r="G1153" s="102" t="n"/>
      <c r="H1153" s="105" t="n"/>
      <c r="J1153" s="102" t="n"/>
      <c r="K1153" s="106" t="n"/>
    </row>
    <row r="1154">
      <c r="D1154" s="102" t="n"/>
      <c r="E1154" s="105" t="n"/>
      <c r="G1154" s="102" t="n"/>
      <c r="H1154" s="105" t="n"/>
      <c r="J1154" s="102" t="n"/>
      <c r="K1154" s="106" t="n"/>
    </row>
    <row r="1156">
      <c r="B1156" s="2">
        <f>IF(HSCEI!$C$57="","",HSCEI!$C$57)</f>
        <v/>
      </c>
      <c r="C1156" s="2">
        <f>IF(PULL_FUND="N","",IF(HSCEI!$C$57="","",HSCEI!$C$57))</f>
        <v/>
      </c>
      <c r="D1156" s="104">
        <f>BDH($C1156,NDE_FIELD,"-5AY","","Per=Y","cols=2;rows=5")</f>
        <v/>
      </c>
      <c r="E1156" s="105" t="n"/>
      <c r="G1156" s="104">
        <f>BQL($C1156,BUYBACK_QUERY,$C$4,"fill=prev","showheaders=f","showids=f")</f>
        <v/>
      </c>
      <c r="H1156" s="105" t="n"/>
      <c r="J1156" s="104">
        <f>BDH($C1156,"PX_LAST","-5AY","","Per=Y","cols=2;rows=5")</f>
        <v/>
      </c>
      <c r="K1156" s="106" t="n"/>
    </row>
    <row r="1157">
      <c r="D1157" s="102" t="n"/>
      <c r="E1157" s="105" t="n"/>
      <c r="G1157" s="102" t="n"/>
      <c r="H1157" s="105" t="n"/>
      <c r="J1157" s="102" t="n"/>
      <c r="K1157" s="106" t="n"/>
    </row>
    <row r="1158">
      <c r="D1158" s="102" t="n"/>
      <c r="E1158" s="105" t="n"/>
      <c r="G1158" s="102" t="n"/>
      <c r="H1158" s="105" t="n"/>
      <c r="J1158" s="102" t="n"/>
      <c r="K1158" s="106" t="n"/>
    </row>
    <row r="1159">
      <c r="D1159" s="102" t="n"/>
      <c r="E1159" s="105" t="n"/>
      <c r="G1159" s="102" t="n"/>
      <c r="H1159" s="105" t="n"/>
      <c r="J1159" s="102" t="n"/>
      <c r="K1159" s="106" t="n"/>
    </row>
    <row r="1160">
      <c r="D1160" s="102" t="n"/>
      <c r="E1160" s="105" t="n"/>
      <c r="G1160" s="102" t="n"/>
      <c r="H1160" s="105" t="n"/>
      <c r="J1160" s="102" t="n"/>
      <c r="K1160" s="106" t="n"/>
    </row>
    <row r="1162">
      <c r="B1162" s="2">
        <f>IF(HSCEI!$C$58="","",HSCEI!$C$58)</f>
        <v/>
      </c>
      <c r="C1162" s="2">
        <f>IF(PULL_FUND="N","",IF(HSCEI!$C$58="","",HSCEI!$C$58))</f>
        <v/>
      </c>
      <c r="D1162" s="104">
        <f>BDH($C1162,NDE_FIELD,"-5AY","","Per=Y","cols=2;rows=5")</f>
        <v/>
      </c>
      <c r="E1162" s="105" t="n"/>
      <c r="G1162" s="104">
        <f>BQL($C1162,BUYBACK_QUERY,$C$4,"fill=prev","showheaders=f","showids=f")</f>
        <v/>
      </c>
      <c r="H1162" s="105" t="n"/>
      <c r="J1162" s="104">
        <f>BDH($C1162,"PX_LAST","-5AY","","Per=Y","cols=2;rows=5")</f>
        <v/>
      </c>
      <c r="K1162" s="106" t="n"/>
    </row>
    <row r="1163">
      <c r="D1163" s="102" t="n"/>
      <c r="E1163" s="105" t="n"/>
      <c r="G1163" s="102" t="n"/>
      <c r="H1163" s="105" t="n"/>
      <c r="J1163" s="102" t="n"/>
      <c r="K1163" s="106" t="n"/>
    </row>
    <row r="1164">
      <c r="D1164" s="102" t="n"/>
      <c r="E1164" s="105" t="n"/>
      <c r="G1164" s="102" t="n"/>
      <c r="H1164" s="105" t="n"/>
      <c r="J1164" s="102" t="n"/>
      <c r="K1164" s="106" t="n"/>
    </row>
    <row r="1165">
      <c r="D1165" s="102" t="n"/>
      <c r="E1165" s="105" t="n"/>
      <c r="G1165" s="102" t="n"/>
      <c r="H1165" s="105" t="n"/>
      <c r="J1165" s="102" t="n"/>
      <c r="K1165" s="106" t="n"/>
    </row>
    <row r="1166">
      <c r="D1166" s="102" t="n"/>
      <c r="E1166" s="105" t="n"/>
      <c r="G1166" s="102" t="n"/>
      <c r="H1166" s="105" t="n"/>
      <c r="J1166" s="102" t="n"/>
      <c r="K1166" s="106" t="n"/>
    </row>
    <row r="1168">
      <c r="B1168" s="2">
        <f>IF(HSCEI!$C$59="","",HSCEI!$C$59)</f>
        <v/>
      </c>
      <c r="C1168" s="2">
        <f>IF(PULL_FUND="N","",IF(HSCEI!$C$59="","",HSCEI!$C$59))</f>
        <v/>
      </c>
      <c r="D1168" s="104">
        <f>BDH($C1168,NDE_FIELD,"-5AY","","Per=Y","cols=2;rows=5")</f>
        <v/>
      </c>
      <c r="E1168" s="105" t="n"/>
      <c r="G1168" s="104">
        <f>BQL($C1168,BUYBACK_QUERY,$C$4,"fill=prev","showheaders=f","showids=f")</f>
        <v/>
      </c>
      <c r="H1168" s="105" t="n"/>
      <c r="J1168" s="104">
        <f>BDH($C1168,"PX_LAST","-5AY","","Per=Y","cols=2;rows=5")</f>
        <v/>
      </c>
      <c r="K1168" s="106" t="n"/>
    </row>
    <row r="1169">
      <c r="D1169" s="102" t="n"/>
      <c r="E1169" s="105" t="n"/>
      <c r="G1169" s="102" t="n"/>
      <c r="H1169" s="105" t="n"/>
      <c r="J1169" s="102" t="n"/>
      <c r="K1169" s="106" t="n"/>
    </row>
    <row r="1170">
      <c r="D1170" s="102" t="n"/>
      <c r="E1170" s="105" t="n"/>
      <c r="G1170" s="102" t="n"/>
      <c r="H1170" s="105" t="n"/>
      <c r="J1170" s="102" t="n"/>
      <c r="K1170" s="106" t="n"/>
    </row>
    <row r="1171">
      <c r="D1171" s="102" t="n"/>
      <c r="E1171" s="105" t="n"/>
      <c r="G1171" s="102" t="n"/>
      <c r="H1171" s="105" t="n"/>
      <c r="J1171" s="102" t="n"/>
      <c r="K1171" s="106" t="n"/>
    </row>
    <row r="1172">
      <c r="D1172" s="102" t="n"/>
      <c r="E1172" s="105" t="n"/>
      <c r="G1172" s="102" t="n"/>
      <c r="H1172" s="105" t="n"/>
      <c r="J1172" s="102" t="n"/>
      <c r="K1172" s="106" t="n"/>
    </row>
    <row r="1174">
      <c r="B1174" s="2">
        <f>IF(HSCEI!$C$60="","",HSCEI!$C$60)</f>
        <v/>
      </c>
      <c r="C1174" s="2">
        <f>IF(PULL_FUND="N","",IF(HSCEI!$C$60="","",HSCEI!$C$60))</f>
        <v/>
      </c>
      <c r="D1174" s="104">
        <f>BDH($C1174,NDE_FIELD,"-5AY","","Per=Y","cols=2;rows=5")</f>
        <v/>
      </c>
      <c r="E1174" s="105" t="n"/>
      <c r="G1174" s="104">
        <f>BQL($C1174,BUYBACK_QUERY,$C$4,"fill=prev","showheaders=f","showids=f")</f>
        <v/>
      </c>
      <c r="H1174" s="105" t="n"/>
      <c r="J1174" s="104">
        <f>BDH($C1174,"PX_LAST","-5AY","","Per=Y","cols=2;rows=5")</f>
        <v/>
      </c>
      <c r="K1174" s="106" t="n"/>
    </row>
    <row r="1175">
      <c r="D1175" s="102" t="n"/>
      <c r="E1175" s="105" t="n"/>
      <c r="G1175" s="102" t="n"/>
      <c r="H1175" s="105" t="n"/>
      <c r="J1175" s="102" t="n"/>
      <c r="K1175" s="106" t="n"/>
    </row>
    <row r="1176">
      <c r="D1176" s="102" t="n"/>
      <c r="E1176" s="105" t="n"/>
      <c r="G1176" s="102" t="n"/>
      <c r="H1176" s="105" t="n"/>
      <c r="J1176" s="102" t="n"/>
      <c r="K1176" s="106" t="n"/>
    </row>
    <row r="1177">
      <c r="D1177" s="102" t="n"/>
      <c r="E1177" s="105" t="n"/>
      <c r="G1177" s="102" t="n"/>
      <c r="H1177" s="105" t="n"/>
      <c r="J1177" s="102" t="n"/>
      <c r="K1177" s="106" t="n"/>
    </row>
    <row r="1178">
      <c r="D1178" s="102" t="n"/>
      <c r="E1178" s="105" t="n"/>
      <c r="G1178" s="102" t="n"/>
      <c r="H1178" s="105" t="n"/>
      <c r="J1178" s="102" t="n"/>
      <c r="K1178" s="106" t="n"/>
    </row>
    <row r="1180">
      <c r="B1180" s="2">
        <f>IF(HSCEI!$C$61="","",HSCEI!$C$61)</f>
        <v/>
      </c>
      <c r="C1180" s="2">
        <f>IF(PULL_FUND="N","",IF(HSCEI!$C$61="","",HSCEI!$C$61))</f>
        <v/>
      </c>
      <c r="D1180" s="104">
        <f>BDH($C1180,NDE_FIELD,"-5AY","","Per=Y","cols=2;rows=5")</f>
        <v/>
      </c>
      <c r="E1180" s="105" t="n"/>
      <c r="G1180" s="104">
        <f>BQL($C1180,BUYBACK_QUERY,$C$4,"fill=prev","showheaders=f","showids=f")</f>
        <v/>
      </c>
      <c r="H1180" s="105" t="n"/>
      <c r="J1180" s="104">
        <f>BDH($C1180,"PX_LAST","-5AY","","Per=Y","cols=2;rows=5")</f>
        <v/>
      </c>
      <c r="K1180" s="106" t="n"/>
    </row>
    <row r="1181">
      <c r="D1181" s="102" t="n"/>
      <c r="E1181" s="105" t="n"/>
      <c r="G1181" s="102" t="n"/>
      <c r="H1181" s="105" t="n"/>
      <c r="J1181" s="102" t="n"/>
      <c r="K1181" s="106" t="n"/>
    </row>
    <row r="1182">
      <c r="D1182" s="102" t="n"/>
      <c r="E1182" s="105" t="n"/>
      <c r="G1182" s="102" t="n"/>
      <c r="H1182" s="105" t="n"/>
      <c r="J1182" s="102" t="n"/>
      <c r="K1182" s="106" t="n"/>
    </row>
    <row r="1183">
      <c r="D1183" s="102" t="n"/>
      <c r="E1183" s="105" t="n"/>
      <c r="G1183" s="102" t="n"/>
      <c r="H1183" s="105" t="n"/>
      <c r="J1183" s="102" t="n"/>
      <c r="K1183" s="106" t="n"/>
    </row>
    <row r="1184">
      <c r="D1184" s="102" t="n"/>
      <c r="E1184" s="105" t="n"/>
      <c r="G1184" s="102" t="n"/>
      <c r="H1184" s="105" t="n"/>
      <c r="J1184" s="102" t="n"/>
      <c r="K1184" s="106" t="n"/>
    </row>
    <row r="1186">
      <c r="B1186" s="2">
        <f>IF(HSCEI!$C$62="","",HSCEI!$C$62)</f>
        <v/>
      </c>
      <c r="C1186" s="2">
        <f>IF(PULL_FUND="N","",IF(HSCEI!$C$62="","",HSCEI!$C$62))</f>
        <v/>
      </c>
      <c r="D1186" s="104">
        <f>BDH($C1186,NDE_FIELD,"-5AY","","Per=Y","cols=2;rows=5")</f>
        <v/>
      </c>
      <c r="E1186" s="105" t="n"/>
      <c r="G1186" s="104">
        <f>BQL($C1186,BUYBACK_QUERY,$C$4,"fill=prev","showheaders=f","showids=f")</f>
        <v/>
      </c>
      <c r="H1186" s="105" t="n"/>
      <c r="J1186" s="104">
        <f>BDH($C1186,"PX_LAST","-5AY","","Per=Y","cols=2;rows=5")</f>
        <v/>
      </c>
      <c r="K1186" s="106" t="n"/>
    </row>
    <row r="1187">
      <c r="D1187" s="102" t="n"/>
      <c r="E1187" s="105" t="n"/>
      <c r="G1187" s="102" t="n"/>
      <c r="H1187" s="105" t="n"/>
      <c r="J1187" s="102" t="n"/>
      <c r="K1187" s="106" t="n"/>
    </row>
    <row r="1188">
      <c r="D1188" s="102" t="n"/>
      <c r="E1188" s="105" t="n"/>
      <c r="G1188" s="102" t="n"/>
      <c r="H1188" s="105" t="n"/>
      <c r="J1188" s="102" t="n"/>
      <c r="K1188" s="106" t="n"/>
    </row>
    <row r="1189">
      <c r="D1189" s="102" t="n"/>
      <c r="E1189" s="105" t="n"/>
      <c r="G1189" s="102" t="n"/>
      <c r="H1189" s="105" t="n"/>
      <c r="J1189" s="102" t="n"/>
      <c r="K1189" s="106" t="n"/>
    </row>
    <row r="1190">
      <c r="D1190" s="102" t="n"/>
      <c r="E1190" s="105" t="n"/>
      <c r="G1190" s="102" t="n"/>
      <c r="H1190" s="105" t="n"/>
      <c r="J1190" s="102" t="n"/>
      <c r="K1190" s="106" t="n"/>
    </row>
    <row r="1192">
      <c r="B1192" s="2">
        <f>IF(HSCEI!$C$63="","",HSCEI!$C$63)</f>
        <v/>
      </c>
      <c r="C1192" s="2">
        <f>IF(PULL_FUND="N","",IF(HSCEI!$C$63="","",HSCEI!$C$63))</f>
        <v/>
      </c>
      <c r="D1192" s="104">
        <f>BDH($C1192,NDE_FIELD,"-5AY","","Per=Y","cols=2;rows=5")</f>
        <v/>
      </c>
      <c r="E1192" s="105" t="n"/>
      <c r="G1192" s="104">
        <f>BQL($C1192,BUYBACK_QUERY,$C$4,"fill=prev","showheaders=f","showids=f")</f>
        <v/>
      </c>
      <c r="H1192" s="105" t="n"/>
      <c r="J1192" s="104">
        <f>BDH($C1192,"PX_LAST","-5AY","","Per=Y","cols=2;rows=5")</f>
        <v/>
      </c>
      <c r="K1192" s="106" t="n"/>
    </row>
    <row r="1193">
      <c r="D1193" s="102" t="n"/>
      <c r="E1193" s="105" t="n"/>
      <c r="G1193" s="102" t="n"/>
      <c r="H1193" s="105" t="n"/>
      <c r="J1193" s="102" t="n"/>
      <c r="K1193" s="106" t="n"/>
    </row>
    <row r="1194">
      <c r="D1194" s="102" t="n"/>
      <c r="E1194" s="105" t="n"/>
      <c r="G1194" s="102" t="n"/>
      <c r="H1194" s="105" t="n"/>
      <c r="J1194" s="102" t="n"/>
      <c r="K1194" s="106" t="n"/>
    </row>
    <row r="1195">
      <c r="D1195" s="102" t="n"/>
      <c r="E1195" s="105" t="n"/>
      <c r="G1195" s="102" t="n"/>
      <c r="H1195" s="105" t="n"/>
      <c r="J1195" s="102" t="n"/>
      <c r="K1195" s="106" t="n"/>
    </row>
    <row r="1196">
      <c r="D1196" s="102" t="n"/>
      <c r="E1196" s="105" t="n"/>
      <c r="G1196" s="102" t="n"/>
      <c r="H1196" s="105" t="n"/>
      <c r="J1196" s="102" t="n"/>
      <c r="K1196" s="106" t="n"/>
    </row>
    <row r="1198">
      <c r="B1198" s="2">
        <f>IF(HSCEI!$C$64="","",HSCEI!$C$64)</f>
        <v/>
      </c>
      <c r="C1198" s="2">
        <f>IF(PULL_FUND="N","",IF(HSCEI!$C$64="","",HSCEI!$C$64))</f>
        <v/>
      </c>
      <c r="D1198" s="104">
        <f>BDH($C1198,NDE_FIELD,"-5AY","","Per=Y","cols=2;rows=5")</f>
        <v/>
      </c>
      <c r="E1198" s="105" t="n"/>
      <c r="G1198" s="104">
        <f>BQL($C1198,BUYBACK_QUERY,$C$4,"fill=prev","showheaders=f","showids=f")</f>
        <v/>
      </c>
      <c r="H1198" s="105" t="n"/>
      <c r="J1198" s="104">
        <f>BDH($C1198,"PX_LAST","-5AY","","Per=Y","cols=2;rows=5")</f>
        <v/>
      </c>
      <c r="K1198" s="106" t="n"/>
    </row>
    <row r="1199">
      <c r="D1199" s="102" t="n"/>
      <c r="E1199" s="105" t="n"/>
      <c r="G1199" s="102" t="n"/>
      <c r="H1199" s="105" t="n"/>
      <c r="J1199" s="102" t="n"/>
      <c r="K1199" s="106" t="n"/>
    </row>
    <row r="1200">
      <c r="D1200" s="102" t="n"/>
      <c r="E1200" s="105" t="n"/>
      <c r="G1200" s="102" t="n"/>
      <c r="H1200" s="105" t="n"/>
      <c r="J1200" s="102" t="n"/>
      <c r="K1200" s="106" t="n"/>
    </row>
    <row r="1201">
      <c r="D1201" s="102" t="n"/>
      <c r="E1201" s="105" t="n"/>
      <c r="G1201" s="102" t="n"/>
      <c r="H1201" s="105" t="n"/>
      <c r="J1201" s="102" t="n"/>
      <c r="K1201" s="106" t="n"/>
    </row>
    <row r="1202">
      <c r="D1202" s="102" t="n"/>
      <c r="E1202" s="105" t="n"/>
      <c r="G1202" s="102" t="n"/>
      <c r="H1202" s="105" t="n"/>
      <c r="J1202" s="102" t="n"/>
      <c r="K1202" s="106" t="n"/>
    </row>
    <row r="1204">
      <c r="B1204" s="2">
        <f>IF(HSCEI!$C$65="","",HSCEI!$C$65)</f>
        <v/>
      </c>
      <c r="C1204" s="2">
        <f>IF(PULL_FUND="N","",IF(HSCEI!$C$65="","",HSCEI!$C$65))</f>
        <v/>
      </c>
      <c r="D1204" s="104">
        <f>BDH($C1204,NDE_FIELD,"-5AY","","Per=Y","cols=2;rows=5")</f>
        <v/>
      </c>
      <c r="E1204" s="105" t="n"/>
      <c r="G1204" s="104">
        <f>BQL($C1204,BUYBACK_QUERY,$C$4,"fill=prev","showheaders=f","showids=f")</f>
        <v/>
      </c>
      <c r="H1204" s="105" t="n"/>
      <c r="J1204" s="104">
        <f>BDH($C1204,"PX_LAST","-5AY","","Per=Y","cols=2;rows=5")</f>
        <v/>
      </c>
      <c r="K1204" s="106" t="n"/>
    </row>
    <row r="1205">
      <c r="D1205" s="102" t="n"/>
      <c r="E1205" s="105" t="n"/>
      <c r="G1205" s="102" t="n"/>
      <c r="H1205" s="105" t="n"/>
      <c r="J1205" s="102" t="n"/>
      <c r="K1205" s="106" t="n"/>
    </row>
    <row r="1206">
      <c r="D1206" s="102" t="n"/>
      <c r="E1206" s="105" t="n"/>
      <c r="G1206" s="102" t="n"/>
      <c r="H1206" s="105" t="n"/>
      <c r="J1206" s="102" t="n"/>
      <c r="K1206" s="106" t="n"/>
    </row>
    <row r="1207">
      <c r="D1207" s="102" t="n"/>
      <c r="E1207" s="105" t="n"/>
      <c r="G1207" s="102" t="n"/>
      <c r="H1207" s="105" t="n"/>
      <c r="J1207" s="102" t="n"/>
      <c r="K1207" s="106" t="n"/>
    </row>
    <row r="1208">
      <c r="D1208" s="102" t="n"/>
      <c r="E1208" s="105" t="n"/>
      <c r="G1208" s="102" t="n"/>
      <c r="H1208" s="105" t="n"/>
      <c r="J1208" s="102" t="n"/>
      <c r="K1208" s="106" t="n"/>
    </row>
    <row r="1210">
      <c r="B1210" s="2">
        <f>IF(HSCEI!$C$66="","",HSCEI!$C$66)</f>
        <v/>
      </c>
      <c r="C1210" s="2">
        <f>IF(PULL_FUND="N","",IF(HSCEI!$C$66="","",HSCEI!$C$66))</f>
        <v/>
      </c>
      <c r="D1210" s="104">
        <f>BDH($C1210,NDE_FIELD,"-5AY","","Per=Y","cols=2;rows=5")</f>
        <v/>
      </c>
      <c r="E1210" s="105" t="n"/>
      <c r="G1210" s="104">
        <f>BQL($C1210,BUYBACK_QUERY,$C$4,"fill=prev","showheaders=f","showids=f")</f>
        <v/>
      </c>
      <c r="H1210" s="105" t="n"/>
      <c r="J1210" s="104">
        <f>BDH($C1210,"PX_LAST","-5AY","","Per=Y","cols=2;rows=5")</f>
        <v/>
      </c>
      <c r="K1210" s="106" t="n"/>
    </row>
    <row r="1211">
      <c r="D1211" s="102" t="n"/>
      <c r="E1211" s="105" t="n"/>
      <c r="G1211" s="102" t="n"/>
      <c r="H1211" s="105" t="n"/>
      <c r="J1211" s="102" t="n"/>
      <c r="K1211" s="106" t="n"/>
    </row>
    <row r="1212">
      <c r="D1212" s="102" t="n"/>
      <c r="E1212" s="105" t="n"/>
      <c r="G1212" s="102" t="n"/>
      <c r="H1212" s="105" t="n"/>
      <c r="J1212" s="102" t="n"/>
      <c r="K1212" s="106" t="n"/>
    </row>
    <row r="1213">
      <c r="D1213" s="102" t="n"/>
      <c r="E1213" s="105" t="n"/>
      <c r="G1213" s="102" t="n"/>
      <c r="H1213" s="105" t="n"/>
      <c r="J1213" s="102" t="n"/>
      <c r="K1213" s="106" t="n"/>
    </row>
    <row r="1214">
      <c r="D1214" s="102" t="n"/>
      <c r="E1214" s="105" t="n"/>
      <c r="G1214" s="102" t="n"/>
      <c r="H1214" s="105" t="n"/>
      <c r="J1214" s="102" t="n"/>
      <c r="K1214" s="106" t="n"/>
    </row>
  </sheetData>
  <mergeCells count="1">
    <mergeCell ref="C4:E4"/>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B1:GQ219"/>
  <sheetViews>
    <sheetView workbookViewId="0">
      <selection activeCell="A1" sqref="A1"/>
    </sheetView>
  </sheetViews>
  <sheetFormatPr baseColWidth="8" defaultRowHeight="15"/>
  <cols>
    <col width="3" customWidth="1" min="1" max="1"/>
    <col width="17"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 width="6" customWidth="1" min="36" max="36"/>
    <col width="6" customWidth="1" min="37" max="37"/>
    <col width="6" customWidth="1" min="38" max="38"/>
    <col width="6" customWidth="1" min="39" max="39"/>
    <col width="6" customWidth="1" min="40" max="40"/>
    <col width="6" customWidth="1" min="41" max="41"/>
    <col width="6"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6" customWidth="1" min="52" max="52"/>
    <col width="6" customWidth="1" min="53" max="53"/>
    <col width="6" customWidth="1" min="54" max="54"/>
    <col width="6" customWidth="1" min="55" max="55"/>
    <col width="6" customWidth="1" min="56" max="56"/>
    <col width="6" customWidth="1" min="57" max="57"/>
    <col width="6" customWidth="1" min="58" max="58"/>
    <col width="6" customWidth="1" min="59" max="59"/>
    <col width="6" customWidth="1" min="60" max="60"/>
    <col width="6" customWidth="1" min="61" max="61"/>
    <col width="6" customWidth="1" min="62" max="62"/>
    <col width="6" customWidth="1" min="63" max="63"/>
    <col width="6" customWidth="1" min="64" max="64"/>
    <col width="6" customWidth="1" min="65" max="65"/>
    <col width="6" customWidth="1" min="66" max="66"/>
    <col width="6" customWidth="1" min="67" max="67"/>
    <col width="6" customWidth="1" min="69" max="69"/>
    <col width="6" customWidth="1" min="70" max="70"/>
    <col width="6" customWidth="1" min="71" max="71"/>
    <col width="6" customWidth="1" min="72" max="72"/>
    <col width="6" customWidth="1" min="73" max="73"/>
    <col width="6" customWidth="1" min="74" max="74"/>
    <col width="6" customWidth="1" min="75" max="75"/>
    <col width="6" customWidth="1" min="76" max="76"/>
    <col width="6" customWidth="1" min="77" max="77"/>
    <col width="6" customWidth="1" min="78" max="78"/>
    <col width="6" customWidth="1" min="79" max="79"/>
    <col width="6" customWidth="1" min="80" max="80"/>
    <col width="6" customWidth="1" min="81" max="81"/>
    <col width="6" customWidth="1" min="82" max="82"/>
    <col width="6" customWidth="1" min="83" max="83"/>
    <col width="6" customWidth="1" min="84" max="84"/>
    <col width="6" customWidth="1" min="85" max="85"/>
    <col width="6" customWidth="1" min="86" max="86"/>
    <col width="6" customWidth="1" min="87" max="87"/>
    <col width="6" customWidth="1" min="88" max="88"/>
    <col width="6" customWidth="1" min="89" max="89"/>
    <col width="6" customWidth="1" min="90" max="90"/>
    <col width="6" customWidth="1" min="91" max="91"/>
    <col width="6" customWidth="1" min="92" max="92"/>
    <col width="6" customWidth="1" min="93" max="93"/>
    <col width="6" customWidth="1" min="94" max="94"/>
    <col width="6" customWidth="1" min="95" max="95"/>
    <col width="6" customWidth="1" min="96" max="96"/>
    <col width="6" customWidth="1" min="97" max="97"/>
    <col width="6" customWidth="1" min="98" max="98"/>
    <col width="6" customWidth="1" min="99" max="99"/>
    <col width="6" customWidth="1" min="100" max="100"/>
    <col width="6" customWidth="1" min="101" max="101"/>
    <col width="6" customWidth="1" min="102" max="102"/>
    <col width="6" customWidth="1" min="103" max="103"/>
    <col width="6" customWidth="1" min="104" max="104"/>
    <col width="6" customWidth="1" min="105" max="105"/>
    <col width="6" customWidth="1" min="106" max="106"/>
    <col width="6" customWidth="1" min="107" max="107"/>
    <col width="6" customWidth="1" min="108" max="108"/>
    <col width="6" customWidth="1" min="109" max="109"/>
    <col width="6" customWidth="1" min="110" max="110"/>
    <col width="6" customWidth="1" min="111" max="111"/>
    <col width="6" customWidth="1" min="112" max="112"/>
    <col width="6" customWidth="1" min="113" max="113"/>
    <col width="6" customWidth="1" min="114" max="114"/>
    <col width="6" customWidth="1" min="115" max="115"/>
    <col width="6" customWidth="1" min="116" max="116"/>
    <col width="6" customWidth="1" min="117" max="117"/>
    <col width="6" customWidth="1" min="118" max="118"/>
    <col width="6" customWidth="1" min="119" max="119"/>
    <col width="6" customWidth="1" min="120" max="120"/>
    <col width="6" customWidth="1" min="121" max="121"/>
    <col width="6" customWidth="1" min="122" max="122"/>
    <col width="6" customWidth="1" min="123" max="123"/>
    <col width="6" customWidth="1" min="124" max="124"/>
    <col width="6" customWidth="1" min="125" max="125"/>
    <col width="6" customWidth="1" min="126" max="126"/>
    <col width="6" customWidth="1" min="127" max="127"/>
    <col width="6" customWidth="1" min="128" max="128"/>
    <col width="6" customWidth="1" min="129" max="129"/>
    <col width="6" customWidth="1" min="130" max="130"/>
    <col width="6" customWidth="1" min="131" max="131"/>
    <col width="6" customWidth="1" min="132" max="132"/>
    <col width="6" customWidth="1" min="133" max="133"/>
    <col width="3" customWidth="1" min="135" max="135"/>
    <col width="3" customWidth="1" min="136" max="136"/>
    <col width="3" customWidth="1" min="137" max="137"/>
    <col width="3" customWidth="1" min="138" max="138"/>
    <col width="3" customWidth="1" min="139" max="139"/>
    <col width="3" customWidth="1" min="140" max="140"/>
    <col width="3" customWidth="1" min="141" max="141"/>
    <col width="3" customWidth="1" min="142" max="142"/>
    <col width="3" customWidth="1" min="143" max="143"/>
    <col width="3" customWidth="1" min="144" max="144"/>
    <col width="3" customWidth="1" min="145" max="145"/>
    <col width="3" customWidth="1" min="146" max="146"/>
    <col width="3" customWidth="1" min="147" max="147"/>
    <col width="3" customWidth="1" min="148" max="148"/>
    <col width="3" customWidth="1" min="149" max="149"/>
    <col width="3" customWidth="1" min="150" max="150"/>
    <col width="3" customWidth="1" min="151" max="151"/>
    <col width="3" customWidth="1" min="152" max="152"/>
    <col width="3" customWidth="1" min="153" max="153"/>
    <col width="3" customWidth="1" min="154" max="154"/>
    <col width="3" customWidth="1" min="155" max="155"/>
    <col width="3" customWidth="1" min="156" max="156"/>
    <col width="3" customWidth="1" min="157" max="157"/>
    <col width="3" customWidth="1" min="158" max="158"/>
    <col width="3" customWidth="1" min="159" max="159"/>
    <col width="3" customWidth="1" min="160" max="160"/>
    <col width="3" customWidth="1" min="161" max="161"/>
    <col width="3" customWidth="1" min="162" max="162"/>
    <col width="3" customWidth="1" min="163" max="163"/>
    <col width="3" customWidth="1" min="164" max="164"/>
    <col width="3" customWidth="1" min="165" max="165"/>
    <col width="3" customWidth="1" min="166" max="166"/>
    <col width="3" customWidth="1" min="167" max="167"/>
    <col width="3" customWidth="1" min="168" max="168"/>
    <col width="3" customWidth="1" min="169" max="169"/>
    <col width="3" customWidth="1" min="170" max="170"/>
    <col width="3" customWidth="1" min="171" max="171"/>
    <col width="3" customWidth="1" min="172" max="172"/>
    <col width="3" customWidth="1" min="173" max="173"/>
    <col width="3" customWidth="1" min="174" max="174"/>
    <col width="3" customWidth="1" min="175" max="175"/>
    <col width="3" customWidth="1" min="176" max="176"/>
    <col width="3" customWidth="1" min="177" max="177"/>
    <col width="3" customWidth="1" min="178" max="178"/>
    <col width="3" customWidth="1" min="179" max="179"/>
    <col width="3" customWidth="1" min="180" max="180"/>
    <col width="3" customWidth="1" min="181" max="181"/>
    <col width="3" customWidth="1" min="182" max="182"/>
    <col width="3" customWidth="1" min="183" max="183"/>
    <col width="3" customWidth="1" min="184" max="184"/>
    <col width="3" customWidth="1" min="185" max="185"/>
    <col width="3" customWidth="1" min="186" max="186"/>
    <col width="3" customWidth="1" min="187" max="187"/>
    <col width="3" customWidth="1" min="188" max="188"/>
    <col width="3" customWidth="1" min="189" max="189"/>
    <col width="3" customWidth="1" min="190" max="190"/>
    <col width="3" customWidth="1" min="191" max="191"/>
    <col width="3" customWidth="1" min="192" max="192"/>
    <col width="3" customWidth="1" min="193" max="193"/>
    <col width="3" customWidth="1" min="194" max="194"/>
    <col width="3" customWidth="1" min="195" max="195"/>
    <col width="3" customWidth="1" min="196" max="196"/>
    <col width="3" customWidth="1" min="197" max="197"/>
    <col width="3" customWidth="1" min="198" max="198"/>
    <col width="3" customWidth="1" min="199" max="199"/>
  </cols>
  <sheetData>
    <row r="1">
      <c r="B1" s="1" t="inlineStr">
        <is>
          <t>EVENT GRIDS - THE ENGINE BEHIND PENDING AND FLOW.  NEVER EDIT.</t>
        </is>
      </c>
    </row>
    <row r="2">
      <c r="B2" s="2" t="inlineStr">
        <is>
          <t>One row per stock, one column per event: DPS grid, points grid, then packed codes (blank on purpose) that let Pending sort by date and Flow sum a single day.</t>
        </is>
      </c>
    </row>
    <row r="3">
      <c r="B3" s="2" t="inlineStr">
        <is>
          <t>Packed code = ex-date x 1e9 + has-amount x 1e8 + special x 1e7 + announced x 1e6 + stock number x 1000 + slot. Paste any code into the decoder to read it back.</t>
        </is>
      </c>
    </row>
    <row r="4">
      <c r="B4" s="2" t="inlineStr">
        <is>
          <t>Reads: Dvd Calendar + the data tabs.  Feeds: Pending and Flow.  The decoder's stock # counts down each index section here (column B names it); slot &lt;= the history width means a paid dividend, above it a projection.</t>
        </is>
      </c>
    </row>
    <row r="5">
      <c r="B5" s="2" t="inlineStr">
        <is>
          <t>Window from</t>
        </is>
      </c>
      <c r="D5" s="125">
        <f>MIN(WIN_FROM,VAL_DATE)</f>
        <v/>
      </c>
      <c r="F5" s="3" t="inlineStr">
        <is>
          <t>DECODER - paste a code:</t>
        </is>
      </c>
      <c r="H5" s="18" t="n"/>
    </row>
    <row r="6">
      <c r="B6" s="2" t="inlineStr">
        <is>
          <t>Window to</t>
        </is>
      </c>
      <c r="D6" s="125">
        <f>MAX(WIN_TO,HORIZON_DT)</f>
        <v/>
      </c>
      <c r="F6" s="2" t="inlineStr">
        <is>
          <t>date / stock # / slot</t>
        </is>
      </c>
      <c r="H6" s="113">
        <f>IF($H$5="","",INT($H$5/1000000000))</f>
        <v/>
      </c>
      <c r="I6" s="108">
        <f>IF($H$5="","",INT(($H$5-INT($H$5/1000000)*1000000)/1000))</f>
        <v/>
      </c>
      <c r="J6" s="108">
        <f>IF($H$5="","",$H$5-INT($H$5/1000)*1000)</f>
        <v/>
      </c>
    </row>
    <row r="7">
      <c r="B7" s="2" t="inlineStr">
        <is>
          <t>Valuation (serial)</t>
        </is>
      </c>
      <c r="D7" s="109">
        <f>N(VAL_DATE)</f>
        <v/>
      </c>
      <c r="F7" s="2" t="inlineStr">
        <is>
          <t>amount? / special? / announced?</t>
        </is>
      </c>
      <c r="H7" s="108">
        <f>IF($H$5="","",INT(($H$5-INT($H$5/1000000000)*1000000000)/100000000))</f>
        <v/>
      </c>
      <c r="I7" s="108">
        <f>IF($H$5="","",INT(($H$5-INT($H$5/100000000)*100000000)/10000000))</f>
        <v/>
      </c>
      <c r="J7" s="108">
        <f>IF($H$5="","",INT(($H$5-INT($H$5/10000000)*10000000)/1000000))</f>
        <v/>
      </c>
    </row>
    <row r="8">
      <c r="B8" s="2" t="inlineStr">
        <is>
          <t>Realized counts to</t>
        </is>
      </c>
      <c r="D8" s="125">
        <f>MIN(VAL_DATE,WIN_TO)</f>
        <v/>
      </c>
    </row>
    <row r="9">
      <c r="B9" s="2" t="inlineStr">
        <is>
          <t>Projected counts after</t>
        </is>
      </c>
      <c r="D9" s="125">
        <f>MAX(VAL_DATE,WIN_FROM-1)</f>
        <v/>
      </c>
    </row>
    <row r="10">
      <c r="B10" s="6" t="inlineStr">
        <is>
          <t>Hang Seng Index (HSI)  -  DPS per event  (slots 1-40 history, 41-65 projections)</t>
        </is>
      </c>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7" t="n"/>
      <c r="BL10" s="7" t="n"/>
      <c r="BM10" s="7" t="n"/>
      <c r="BN10" s="7" t="n"/>
      <c r="BO10" s="7" t="n"/>
      <c r="BQ10" s="6" t="inlineStr">
        <is>
          <t>index points per event</t>
        </is>
      </c>
      <c r="BR10" s="7" t="n"/>
      <c r="BS10" s="7" t="n"/>
      <c r="BT10" s="7" t="n"/>
      <c r="BU10" s="7" t="n"/>
      <c r="BV10" s="7" t="n"/>
      <c r="BW10" s="7" t="n"/>
      <c r="BX10" s="7" t="n"/>
      <c r="BY10" s="7" t="n"/>
      <c r="BZ10" s="7" t="n"/>
      <c r="CA10" s="7" t="n"/>
      <c r="CB10" s="7" t="n"/>
      <c r="CC10" s="7" t="n"/>
      <c r="CD10" s="7" t="n"/>
      <c r="CE10" s="7" t="n"/>
      <c r="CF10" s="7" t="n"/>
      <c r="CG10" s="7" t="n"/>
      <c r="CH10" s="7" t="n"/>
      <c r="CI10" s="7" t="n"/>
      <c r="CJ10" s="7" t="n"/>
      <c r="CK10" s="7" t="n"/>
      <c r="CL10" s="7" t="n"/>
      <c r="CM10" s="7" t="n"/>
      <c r="CN10" s="7" t="n"/>
      <c r="CO10" s="7" t="n"/>
      <c r="CP10" s="7" t="n"/>
      <c r="CQ10" s="7" t="n"/>
      <c r="CR10" s="7" t="n"/>
      <c r="CS10" s="7" t="n"/>
      <c r="CT10" s="7" t="n"/>
      <c r="CU10" s="7" t="n"/>
      <c r="CV10" s="7" t="n"/>
      <c r="CW10" s="7" t="n"/>
      <c r="CX10" s="7" t="n"/>
      <c r="CY10" s="7" t="n"/>
      <c r="CZ10" s="7" t="n"/>
      <c r="DA10" s="7" t="n"/>
      <c r="DB10" s="7" t="n"/>
      <c r="DC10" s="7" t="n"/>
      <c r="DD10" s="7" t="n"/>
      <c r="DE10" s="7" t="n"/>
      <c r="DF10" s="7" t="n"/>
      <c r="DG10" s="7" t="n"/>
      <c r="DH10" s="7" t="n"/>
      <c r="DI10" s="7" t="n"/>
      <c r="DJ10" s="7" t="n"/>
      <c r="DK10" s="7" t="n"/>
      <c r="DL10" s="7" t="n"/>
      <c r="DM10" s="7" t="n"/>
      <c r="DN10" s="7" t="n"/>
      <c r="DO10" s="7" t="n"/>
      <c r="DP10" s="7" t="n"/>
      <c r="DQ10" s="7" t="n"/>
      <c r="DR10" s="7" t="n"/>
      <c r="DS10" s="7" t="n"/>
      <c r="DT10" s="7" t="n"/>
      <c r="DU10" s="7" t="n"/>
      <c r="DV10" s="7" t="n"/>
      <c r="DW10" s="7" t="n"/>
      <c r="DX10" s="7" t="n"/>
      <c r="DY10" s="7" t="n"/>
      <c r="DZ10" s="7" t="n"/>
      <c r="EA10" s="7" t="n"/>
      <c r="EB10" s="7" t="n"/>
      <c r="EC10" s="7" t="n"/>
      <c r="EE10" s="6" t="inlineStr">
        <is>
          <t>packed codes (blank on purpose - use the decoder)</t>
        </is>
      </c>
      <c r="EF10" s="7" t="n"/>
      <c r="EG10" s="7" t="n"/>
      <c r="EH10" s="7" t="n"/>
      <c r="EI10" s="7" t="n"/>
      <c r="EJ10" s="7" t="n"/>
      <c r="EK10" s="7" t="n"/>
      <c r="EL10" s="7" t="n"/>
      <c r="EM10" s="7" t="n"/>
      <c r="EN10" s="7" t="n"/>
      <c r="EO10" s="7" t="n"/>
      <c r="EP10" s="7" t="n"/>
      <c r="EQ10" s="7" t="n"/>
      <c r="ER10" s="7" t="n"/>
      <c r="ES10" s="7" t="n"/>
      <c r="ET10" s="7" t="n"/>
      <c r="EU10" s="7" t="n"/>
      <c r="EV10" s="7" t="n"/>
      <c r="EW10" s="7" t="n"/>
      <c r="EX10" s="7" t="n"/>
      <c r="EY10" s="7" t="n"/>
      <c r="EZ10" s="7" t="n"/>
      <c r="FA10" s="7" t="n"/>
      <c r="FB10" s="7" t="n"/>
      <c r="FC10" s="7" t="n"/>
      <c r="FD10" s="7" t="n"/>
      <c r="FE10" s="7" t="n"/>
      <c r="FF10" s="7" t="n"/>
      <c r="FG10" s="7" t="n"/>
      <c r="FH10" s="7" t="n"/>
      <c r="FI10" s="7" t="n"/>
      <c r="FJ10" s="7" t="n"/>
      <c r="FK10" s="7" t="n"/>
      <c r="FL10" s="7" t="n"/>
      <c r="FM10" s="7" t="n"/>
      <c r="FN10" s="7" t="n"/>
      <c r="FO10" s="7" t="n"/>
      <c r="FP10" s="7" t="n"/>
      <c r="FQ10" s="7" t="n"/>
      <c r="FR10" s="7" t="n"/>
      <c r="FS10" s="7" t="n"/>
      <c r="FT10" s="7" t="n"/>
      <c r="FU10" s="7" t="n"/>
      <c r="FV10" s="7" t="n"/>
      <c r="FW10" s="7" t="n"/>
      <c r="FX10" s="7" t="n"/>
      <c r="FY10" s="7" t="n"/>
      <c r="FZ10" s="7" t="n"/>
      <c r="GA10" s="7" t="n"/>
      <c r="GB10" s="7" t="n"/>
      <c r="GC10" s="7" t="n"/>
      <c r="GD10" s="7" t="n"/>
      <c r="GE10" s="7" t="n"/>
      <c r="GF10" s="7" t="n"/>
      <c r="GG10" s="7" t="n"/>
      <c r="GH10" s="7" t="n"/>
      <c r="GI10" s="7" t="n"/>
      <c r="GJ10" s="7" t="n"/>
      <c r="GK10" s="7" t="n"/>
      <c r="GL10" s="7" t="n"/>
      <c r="GM10" s="7" t="n"/>
      <c r="GN10" s="7" t="n"/>
      <c r="GO10" s="7" t="n"/>
      <c r="GP10" s="7" t="n"/>
      <c r="GQ10" s="7" t="n"/>
    </row>
    <row r="12">
      <c r="B12" s="2">
        <f>IF(HSI!$C$7="","",HSI!$C$7)</f>
        <v/>
      </c>
      <c r="C12" s="161">
        <f>IF(EE12="","",IF(ISNUMBER('Dvd Calendar'!$E$14)=FALSE,"",IF((('Dvd Calendar'!$E$16=TYPE1)*(TYPE1&lt;&gt;"")+('Dvd Calendar'!$E$16=TYPE2)*(TYPE2&lt;&gt;"")+('Dvd Calendar'!$E$16=TYPE3)*(TYPE3&lt;&gt;"")+('Dvd Calendar'!$E$16=TYPE4)*(TYPE4&lt;&gt;"")+('Dvd Calendar'!$E$16=SPECIAL_LBL)*(INC_SPECIALS="Y"))=0,"",'Dvd Calendar'!$E$14)))</f>
        <v/>
      </c>
      <c r="D12" s="161">
        <f>IF(EF12="","",IF(ISNUMBER('Dvd Calendar'!$F$14)=FALSE,"",IF((('Dvd Calendar'!$F$16=TYPE1)*(TYPE1&lt;&gt;"")+('Dvd Calendar'!$F$16=TYPE2)*(TYPE2&lt;&gt;"")+('Dvd Calendar'!$F$16=TYPE3)*(TYPE3&lt;&gt;"")+('Dvd Calendar'!$F$16=TYPE4)*(TYPE4&lt;&gt;"")+('Dvd Calendar'!$F$16=SPECIAL_LBL)*(INC_SPECIALS="Y"))=0,"",'Dvd Calendar'!$F$14)))</f>
        <v/>
      </c>
      <c r="E12" s="161">
        <f>IF(EG12="","",IF(ISNUMBER('Dvd Calendar'!$G$14)=FALSE,"",IF((('Dvd Calendar'!$G$16=TYPE1)*(TYPE1&lt;&gt;"")+('Dvd Calendar'!$G$16=TYPE2)*(TYPE2&lt;&gt;"")+('Dvd Calendar'!$G$16=TYPE3)*(TYPE3&lt;&gt;"")+('Dvd Calendar'!$G$16=TYPE4)*(TYPE4&lt;&gt;"")+('Dvd Calendar'!$G$16=SPECIAL_LBL)*(INC_SPECIALS="Y"))=0,"",'Dvd Calendar'!$G$14)))</f>
        <v/>
      </c>
      <c r="F12" s="161">
        <f>IF(EH12="","",IF(ISNUMBER('Dvd Calendar'!$H$14)=FALSE,"",IF((('Dvd Calendar'!$H$16=TYPE1)*(TYPE1&lt;&gt;"")+('Dvd Calendar'!$H$16=TYPE2)*(TYPE2&lt;&gt;"")+('Dvd Calendar'!$H$16=TYPE3)*(TYPE3&lt;&gt;"")+('Dvd Calendar'!$H$16=TYPE4)*(TYPE4&lt;&gt;"")+('Dvd Calendar'!$H$16=SPECIAL_LBL)*(INC_SPECIALS="Y"))=0,"",'Dvd Calendar'!$H$14)))</f>
        <v/>
      </c>
      <c r="G12" s="161">
        <f>IF(EI12="","",IF(ISNUMBER('Dvd Calendar'!$I$14)=FALSE,"",IF((('Dvd Calendar'!$I$16=TYPE1)*(TYPE1&lt;&gt;"")+('Dvd Calendar'!$I$16=TYPE2)*(TYPE2&lt;&gt;"")+('Dvd Calendar'!$I$16=TYPE3)*(TYPE3&lt;&gt;"")+('Dvd Calendar'!$I$16=TYPE4)*(TYPE4&lt;&gt;"")+('Dvd Calendar'!$I$16=SPECIAL_LBL)*(INC_SPECIALS="Y"))=0,"",'Dvd Calendar'!$I$14)))</f>
        <v/>
      </c>
      <c r="H12" s="161">
        <f>IF(EJ12="","",IF(ISNUMBER('Dvd Calendar'!$J$14)=FALSE,"",IF((('Dvd Calendar'!$J$16=TYPE1)*(TYPE1&lt;&gt;"")+('Dvd Calendar'!$J$16=TYPE2)*(TYPE2&lt;&gt;"")+('Dvd Calendar'!$J$16=TYPE3)*(TYPE3&lt;&gt;"")+('Dvd Calendar'!$J$16=TYPE4)*(TYPE4&lt;&gt;"")+('Dvd Calendar'!$J$16=SPECIAL_LBL)*(INC_SPECIALS="Y"))=0,"",'Dvd Calendar'!$J$14)))</f>
        <v/>
      </c>
      <c r="I12" s="161">
        <f>IF(EK12="","",IF(ISNUMBER('Dvd Calendar'!$K$14)=FALSE,"",IF((('Dvd Calendar'!$K$16=TYPE1)*(TYPE1&lt;&gt;"")+('Dvd Calendar'!$K$16=TYPE2)*(TYPE2&lt;&gt;"")+('Dvd Calendar'!$K$16=TYPE3)*(TYPE3&lt;&gt;"")+('Dvd Calendar'!$K$16=TYPE4)*(TYPE4&lt;&gt;"")+('Dvd Calendar'!$K$16=SPECIAL_LBL)*(INC_SPECIALS="Y"))=0,"",'Dvd Calendar'!$K$14)))</f>
        <v/>
      </c>
      <c r="J12" s="161">
        <f>IF(EL12="","",IF(ISNUMBER('Dvd Calendar'!$L$14)=FALSE,"",IF((('Dvd Calendar'!$L$16=TYPE1)*(TYPE1&lt;&gt;"")+('Dvd Calendar'!$L$16=TYPE2)*(TYPE2&lt;&gt;"")+('Dvd Calendar'!$L$16=TYPE3)*(TYPE3&lt;&gt;"")+('Dvd Calendar'!$L$16=TYPE4)*(TYPE4&lt;&gt;"")+('Dvd Calendar'!$L$16=SPECIAL_LBL)*(INC_SPECIALS="Y"))=0,"",'Dvd Calendar'!$L$14)))</f>
        <v/>
      </c>
      <c r="K12" s="161">
        <f>IF(EM12="","",IF(ISNUMBER('Dvd Calendar'!$M$14)=FALSE,"",IF((('Dvd Calendar'!$M$16=TYPE1)*(TYPE1&lt;&gt;"")+('Dvd Calendar'!$M$16=TYPE2)*(TYPE2&lt;&gt;"")+('Dvd Calendar'!$M$16=TYPE3)*(TYPE3&lt;&gt;"")+('Dvd Calendar'!$M$16=TYPE4)*(TYPE4&lt;&gt;"")+('Dvd Calendar'!$M$16=SPECIAL_LBL)*(INC_SPECIALS="Y"))=0,"",'Dvd Calendar'!$M$14)))</f>
        <v/>
      </c>
      <c r="L12" s="161">
        <f>IF(EN12="","",IF(ISNUMBER('Dvd Calendar'!$N$14)=FALSE,"",IF((('Dvd Calendar'!$N$16=TYPE1)*(TYPE1&lt;&gt;"")+('Dvd Calendar'!$N$16=TYPE2)*(TYPE2&lt;&gt;"")+('Dvd Calendar'!$N$16=TYPE3)*(TYPE3&lt;&gt;"")+('Dvd Calendar'!$N$16=TYPE4)*(TYPE4&lt;&gt;"")+('Dvd Calendar'!$N$16=SPECIAL_LBL)*(INC_SPECIALS="Y"))=0,"",'Dvd Calendar'!$N$14)))</f>
        <v/>
      </c>
      <c r="M12" s="161">
        <f>IF(EO12="","",IF(ISNUMBER('Dvd Calendar'!$O$14)=FALSE,"",IF((('Dvd Calendar'!$O$16=TYPE1)*(TYPE1&lt;&gt;"")+('Dvd Calendar'!$O$16=TYPE2)*(TYPE2&lt;&gt;"")+('Dvd Calendar'!$O$16=TYPE3)*(TYPE3&lt;&gt;"")+('Dvd Calendar'!$O$16=TYPE4)*(TYPE4&lt;&gt;"")+('Dvd Calendar'!$O$16=SPECIAL_LBL)*(INC_SPECIALS="Y"))=0,"",'Dvd Calendar'!$O$14)))</f>
        <v/>
      </c>
      <c r="N12" s="161">
        <f>IF(EP12="","",IF(ISNUMBER('Dvd Calendar'!$P$14)=FALSE,"",IF((('Dvd Calendar'!$P$16=TYPE1)*(TYPE1&lt;&gt;"")+('Dvd Calendar'!$P$16=TYPE2)*(TYPE2&lt;&gt;"")+('Dvd Calendar'!$P$16=TYPE3)*(TYPE3&lt;&gt;"")+('Dvd Calendar'!$P$16=TYPE4)*(TYPE4&lt;&gt;"")+('Dvd Calendar'!$P$16=SPECIAL_LBL)*(INC_SPECIALS="Y"))=0,"",'Dvd Calendar'!$P$14)))</f>
        <v/>
      </c>
      <c r="O12" s="161">
        <f>IF(EQ12="","",IF(ISNUMBER('Dvd Calendar'!$Q$14)=FALSE,"",IF((('Dvd Calendar'!$Q$16=TYPE1)*(TYPE1&lt;&gt;"")+('Dvd Calendar'!$Q$16=TYPE2)*(TYPE2&lt;&gt;"")+('Dvd Calendar'!$Q$16=TYPE3)*(TYPE3&lt;&gt;"")+('Dvd Calendar'!$Q$16=TYPE4)*(TYPE4&lt;&gt;"")+('Dvd Calendar'!$Q$16=SPECIAL_LBL)*(INC_SPECIALS="Y"))=0,"",'Dvd Calendar'!$Q$14)))</f>
        <v/>
      </c>
      <c r="P12" s="161">
        <f>IF(ER12="","",IF(ISNUMBER('Dvd Calendar'!$R$14)=FALSE,"",IF((('Dvd Calendar'!$R$16=TYPE1)*(TYPE1&lt;&gt;"")+('Dvd Calendar'!$R$16=TYPE2)*(TYPE2&lt;&gt;"")+('Dvd Calendar'!$R$16=TYPE3)*(TYPE3&lt;&gt;"")+('Dvd Calendar'!$R$16=TYPE4)*(TYPE4&lt;&gt;"")+('Dvd Calendar'!$R$16=SPECIAL_LBL)*(INC_SPECIALS="Y"))=0,"",'Dvd Calendar'!$R$14)))</f>
        <v/>
      </c>
      <c r="Q12" s="161">
        <f>IF(ES12="","",IF(ISNUMBER('Dvd Calendar'!$S$14)=FALSE,"",IF((('Dvd Calendar'!$S$16=TYPE1)*(TYPE1&lt;&gt;"")+('Dvd Calendar'!$S$16=TYPE2)*(TYPE2&lt;&gt;"")+('Dvd Calendar'!$S$16=TYPE3)*(TYPE3&lt;&gt;"")+('Dvd Calendar'!$S$16=TYPE4)*(TYPE4&lt;&gt;"")+('Dvd Calendar'!$S$16=SPECIAL_LBL)*(INC_SPECIALS="Y"))=0,"",'Dvd Calendar'!$S$14)))</f>
        <v/>
      </c>
      <c r="R12" s="161">
        <f>IF(ET12="","",IF(ISNUMBER('Dvd Calendar'!$T$14)=FALSE,"",IF((('Dvd Calendar'!$T$16=TYPE1)*(TYPE1&lt;&gt;"")+('Dvd Calendar'!$T$16=TYPE2)*(TYPE2&lt;&gt;"")+('Dvd Calendar'!$T$16=TYPE3)*(TYPE3&lt;&gt;"")+('Dvd Calendar'!$T$16=TYPE4)*(TYPE4&lt;&gt;"")+('Dvd Calendar'!$T$16=SPECIAL_LBL)*(INC_SPECIALS="Y"))=0,"",'Dvd Calendar'!$T$14)))</f>
        <v/>
      </c>
      <c r="S12" s="161">
        <f>IF(EU12="","",IF(ISNUMBER('Dvd Calendar'!$U$14)=FALSE,"",IF((('Dvd Calendar'!$U$16=TYPE1)*(TYPE1&lt;&gt;"")+('Dvd Calendar'!$U$16=TYPE2)*(TYPE2&lt;&gt;"")+('Dvd Calendar'!$U$16=TYPE3)*(TYPE3&lt;&gt;"")+('Dvd Calendar'!$U$16=TYPE4)*(TYPE4&lt;&gt;"")+('Dvd Calendar'!$U$16=SPECIAL_LBL)*(INC_SPECIALS="Y"))=0,"",'Dvd Calendar'!$U$14)))</f>
        <v/>
      </c>
      <c r="T12" s="161">
        <f>IF(EV12="","",IF(ISNUMBER('Dvd Calendar'!$V$14)=FALSE,"",IF((('Dvd Calendar'!$V$16=TYPE1)*(TYPE1&lt;&gt;"")+('Dvd Calendar'!$V$16=TYPE2)*(TYPE2&lt;&gt;"")+('Dvd Calendar'!$V$16=TYPE3)*(TYPE3&lt;&gt;"")+('Dvd Calendar'!$V$16=TYPE4)*(TYPE4&lt;&gt;"")+('Dvd Calendar'!$V$16=SPECIAL_LBL)*(INC_SPECIALS="Y"))=0,"",'Dvd Calendar'!$V$14)))</f>
        <v/>
      </c>
      <c r="U12" s="161">
        <f>IF(EW12="","",IF(ISNUMBER('Dvd Calendar'!$W$14)=FALSE,"",IF((('Dvd Calendar'!$W$16=TYPE1)*(TYPE1&lt;&gt;"")+('Dvd Calendar'!$W$16=TYPE2)*(TYPE2&lt;&gt;"")+('Dvd Calendar'!$W$16=TYPE3)*(TYPE3&lt;&gt;"")+('Dvd Calendar'!$W$16=TYPE4)*(TYPE4&lt;&gt;"")+('Dvd Calendar'!$W$16=SPECIAL_LBL)*(INC_SPECIALS="Y"))=0,"",'Dvd Calendar'!$W$14)))</f>
        <v/>
      </c>
      <c r="V12" s="161">
        <f>IF(EX12="","",IF(ISNUMBER('Dvd Calendar'!$X$14)=FALSE,"",IF((('Dvd Calendar'!$X$16=TYPE1)*(TYPE1&lt;&gt;"")+('Dvd Calendar'!$X$16=TYPE2)*(TYPE2&lt;&gt;"")+('Dvd Calendar'!$X$16=TYPE3)*(TYPE3&lt;&gt;"")+('Dvd Calendar'!$X$16=TYPE4)*(TYPE4&lt;&gt;"")+('Dvd Calendar'!$X$16=SPECIAL_LBL)*(INC_SPECIALS="Y"))=0,"",'Dvd Calendar'!$X$14)))</f>
        <v/>
      </c>
      <c r="W12" s="161">
        <f>IF(EY12="","",IF(ISNUMBER('Dvd Calendar'!$Y$14)=FALSE,"",IF((('Dvd Calendar'!$Y$16=TYPE1)*(TYPE1&lt;&gt;"")+('Dvd Calendar'!$Y$16=TYPE2)*(TYPE2&lt;&gt;"")+('Dvd Calendar'!$Y$16=TYPE3)*(TYPE3&lt;&gt;"")+('Dvd Calendar'!$Y$16=TYPE4)*(TYPE4&lt;&gt;"")+('Dvd Calendar'!$Y$16=SPECIAL_LBL)*(INC_SPECIALS="Y"))=0,"",'Dvd Calendar'!$Y$14)))</f>
        <v/>
      </c>
      <c r="X12" s="161">
        <f>IF(EZ12="","",IF(ISNUMBER('Dvd Calendar'!$Z$14)=FALSE,"",IF((('Dvd Calendar'!$Z$16=TYPE1)*(TYPE1&lt;&gt;"")+('Dvd Calendar'!$Z$16=TYPE2)*(TYPE2&lt;&gt;"")+('Dvd Calendar'!$Z$16=TYPE3)*(TYPE3&lt;&gt;"")+('Dvd Calendar'!$Z$16=TYPE4)*(TYPE4&lt;&gt;"")+('Dvd Calendar'!$Z$16=SPECIAL_LBL)*(INC_SPECIALS="Y"))=0,"",'Dvd Calendar'!$Z$14)))</f>
        <v/>
      </c>
      <c r="Y12" s="161">
        <f>IF(FA12="","",IF(ISNUMBER('Dvd Calendar'!$AA$14)=FALSE,"",IF((('Dvd Calendar'!$AA$16=TYPE1)*(TYPE1&lt;&gt;"")+('Dvd Calendar'!$AA$16=TYPE2)*(TYPE2&lt;&gt;"")+('Dvd Calendar'!$AA$16=TYPE3)*(TYPE3&lt;&gt;"")+('Dvd Calendar'!$AA$16=TYPE4)*(TYPE4&lt;&gt;"")+('Dvd Calendar'!$AA$16=SPECIAL_LBL)*(INC_SPECIALS="Y"))=0,"",'Dvd Calendar'!$AA$14)))</f>
        <v/>
      </c>
      <c r="Z12" s="161">
        <f>IF(FB12="","",IF(ISNUMBER('Dvd Calendar'!$AB$14)=FALSE,"",IF((('Dvd Calendar'!$AB$16=TYPE1)*(TYPE1&lt;&gt;"")+('Dvd Calendar'!$AB$16=TYPE2)*(TYPE2&lt;&gt;"")+('Dvd Calendar'!$AB$16=TYPE3)*(TYPE3&lt;&gt;"")+('Dvd Calendar'!$AB$16=TYPE4)*(TYPE4&lt;&gt;"")+('Dvd Calendar'!$AB$16=SPECIAL_LBL)*(INC_SPECIALS="Y"))=0,"",'Dvd Calendar'!$AB$14)))</f>
        <v/>
      </c>
      <c r="AA12" s="161">
        <f>IF(FC12="","",IF(ISNUMBER('Dvd Calendar'!$AC$14)=FALSE,"",IF((('Dvd Calendar'!$AC$16=TYPE1)*(TYPE1&lt;&gt;"")+('Dvd Calendar'!$AC$16=TYPE2)*(TYPE2&lt;&gt;"")+('Dvd Calendar'!$AC$16=TYPE3)*(TYPE3&lt;&gt;"")+('Dvd Calendar'!$AC$16=TYPE4)*(TYPE4&lt;&gt;"")+('Dvd Calendar'!$AC$16=SPECIAL_LBL)*(INC_SPECIALS="Y"))=0,"",'Dvd Calendar'!$AC$14)))</f>
        <v/>
      </c>
      <c r="AB12" s="161">
        <f>IF(FD12="","",IF(ISNUMBER('Dvd Calendar'!$AD$14)=FALSE,"",IF((('Dvd Calendar'!$AD$16=TYPE1)*(TYPE1&lt;&gt;"")+('Dvd Calendar'!$AD$16=TYPE2)*(TYPE2&lt;&gt;"")+('Dvd Calendar'!$AD$16=TYPE3)*(TYPE3&lt;&gt;"")+('Dvd Calendar'!$AD$16=TYPE4)*(TYPE4&lt;&gt;"")+('Dvd Calendar'!$AD$16=SPECIAL_LBL)*(INC_SPECIALS="Y"))=0,"",'Dvd Calendar'!$AD$14)))</f>
        <v/>
      </c>
      <c r="AC12" s="161">
        <f>IF(FE12="","",IF(ISNUMBER('Dvd Calendar'!$AE$14)=FALSE,"",IF((('Dvd Calendar'!$AE$16=TYPE1)*(TYPE1&lt;&gt;"")+('Dvd Calendar'!$AE$16=TYPE2)*(TYPE2&lt;&gt;"")+('Dvd Calendar'!$AE$16=TYPE3)*(TYPE3&lt;&gt;"")+('Dvd Calendar'!$AE$16=TYPE4)*(TYPE4&lt;&gt;"")+('Dvd Calendar'!$AE$16=SPECIAL_LBL)*(INC_SPECIALS="Y"))=0,"",'Dvd Calendar'!$AE$14)))</f>
        <v/>
      </c>
      <c r="AD12" s="161">
        <f>IF(FF12="","",IF(ISNUMBER('Dvd Calendar'!$AF$14)=FALSE,"",IF((('Dvd Calendar'!$AF$16=TYPE1)*(TYPE1&lt;&gt;"")+('Dvd Calendar'!$AF$16=TYPE2)*(TYPE2&lt;&gt;"")+('Dvd Calendar'!$AF$16=TYPE3)*(TYPE3&lt;&gt;"")+('Dvd Calendar'!$AF$16=TYPE4)*(TYPE4&lt;&gt;"")+('Dvd Calendar'!$AF$16=SPECIAL_LBL)*(INC_SPECIALS="Y"))=0,"",'Dvd Calendar'!$AF$14)))</f>
        <v/>
      </c>
      <c r="AE12" s="161">
        <f>IF(FG12="","",IF(ISNUMBER('Dvd Calendar'!$AG$14)=FALSE,"",IF((('Dvd Calendar'!$AG$16=TYPE1)*(TYPE1&lt;&gt;"")+('Dvd Calendar'!$AG$16=TYPE2)*(TYPE2&lt;&gt;"")+('Dvd Calendar'!$AG$16=TYPE3)*(TYPE3&lt;&gt;"")+('Dvd Calendar'!$AG$16=TYPE4)*(TYPE4&lt;&gt;"")+('Dvd Calendar'!$AG$16=SPECIAL_LBL)*(INC_SPECIALS="Y"))=0,"",'Dvd Calendar'!$AG$14)))</f>
        <v/>
      </c>
      <c r="AF12" s="161">
        <f>IF(FH12="","",IF(ISNUMBER('Dvd Calendar'!$AH$14)=FALSE,"",IF((('Dvd Calendar'!$AH$16=TYPE1)*(TYPE1&lt;&gt;"")+('Dvd Calendar'!$AH$16=TYPE2)*(TYPE2&lt;&gt;"")+('Dvd Calendar'!$AH$16=TYPE3)*(TYPE3&lt;&gt;"")+('Dvd Calendar'!$AH$16=TYPE4)*(TYPE4&lt;&gt;"")+('Dvd Calendar'!$AH$16=SPECIAL_LBL)*(INC_SPECIALS="Y"))=0,"",'Dvd Calendar'!$AH$14)))</f>
        <v/>
      </c>
      <c r="AG12" s="161">
        <f>IF(FI12="","",IF(ISNUMBER('Dvd Calendar'!$AI$14)=FALSE,"",IF((('Dvd Calendar'!$AI$16=TYPE1)*(TYPE1&lt;&gt;"")+('Dvd Calendar'!$AI$16=TYPE2)*(TYPE2&lt;&gt;"")+('Dvd Calendar'!$AI$16=TYPE3)*(TYPE3&lt;&gt;"")+('Dvd Calendar'!$AI$16=TYPE4)*(TYPE4&lt;&gt;"")+('Dvd Calendar'!$AI$16=SPECIAL_LBL)*(INC_SPECIALS="Y"))=0,"",'Dvd Calendar'!$AI$14)))</f>
        <v/>
      </c>
      <c r="AH12" s="161">
        <f>IF(FJ12="","",IF(ISNUMBER('Dvd Calendar'!$AJ$14)=FALSE,"",IF((('Dvd Calendar'!$AJ$16=TYPE1)*(TYPE1&lt;&gt;"")+('Dvd Calendar'!$AJ$16=TYPE2)*(TYPE2&lt;&gt;"")+('Dvd Calendar'!$AJ$16=TYPE3)*(TYPE3&lt;&gt;"")+('Dvd Calendar'!$AJ$16=TYPE4)*(TYPE4&lt;&gt;"")+('Dvd Calendar'!$AJ$16=SPECIAL_LBL)*(INC_SPECIALS="Y"))=0,"",'Dvd Calendar'!$AJ$14)))</f>
        <v/>
      </c>
      <c r="AI12" s="161">
        <f>IF(FK12="","",IF(ISNUMBER('Dvd Calendar'!$AK$14)=FALSE,"",IF((('Dvd Calendar'!$AK$16=TYPE1)*(TYPE1&lt;&gt;"")+('Dvd Calendar'!$AK$16=TYPE2)*(TYPE2&lt;&gt;"")+('Dvd Calendar'!$AK$16=TYPE3)*(TYPE3&lt;&gt;"")+('Dvd Calendar'!$AK$16=TYPE4)*(TYPE4&lt;&gt;"")+('Dvd Calendar'!$AK$16=SPECIAL_LBL)*(INC_SPECIALS="Y"))=0,"",'Dvd Calendar'!$AK$14)))</f>
        <v/>
      </c>
      <c r="AJ12" s="161">
        <f>IF(FL12="","",IF(ISNUMBER('Dvd Calendar'!$AL$14)=FALSE,"",IF((('Dvd Calendar'!$AL$16=TYPE1)*(TYPE1&lt;&gt;"")+('Dvd Calendar'!$AL$16=TYPE2)*(TYPE2&lt;&gt;"")+('Dvd Calendar'!$AL$16=TYPE3)*(TYPE3&lt;&gt;"")+('Dvd Calendar'!$AL$16=TYPE4)*(TYPE4&lt;&gt;"")+('Dvd Calendar'!$AL$16=SPECIAL_LBL)*(INC_SPECIALS="Y"))=0,"",'Dvd Calendar'!$AL$14)))</f>
        <v/>
      </c>
      <c r="AK12" s="161">
        <f>IF(FM12="","",IF(ISNUMBER('Dvd Calendar'!$AM$14)=FALSE,"",IF((('Dvd Calendar'!$AM$16=TYPE1)*(TYPE1&lt;&gt;"")+('Dvd Calendar'!$AM$16=TYPE2)*(TYPE2&lt;&gt;"")+('Dvd Calendar'!$AM$16=TYPE3)*(TYPE3&lt;&gt;"")+('Dvd Calendar'!$AM$16=TYPE4)*(TYPE4&lt;&gt;"")+('Dvd Calendar'!$AM$16=SPECIAL_LBL)*(INC_SPECIALS="Y"))=0,"",'Dvd Calendar'!$AM$14)))</f>
        <v/>
      </c>
      <c r="AL12" s="161">
        <f>IF(FN12="","",IF(ISNUMBER('Dvd Calendar'!$AN$14)=FALSE,"",IF((('Dvd Calendar'!$AN$16=TYPE1)*(TYPE1&lt;&gt;"")+('Dvd Calendar'!$AN$16=TYPE2)*(TYPE2&lt;&gt;"")+('Dvd Calendar'!$AN$16=TYPE3)*(TYPE3&lt;&gt;"")+('Dvd Calendar'!$AN$16=TYPE4)*(TYPE4&lt;&gt;"")+('Dvd Calendar'!$AN$16=SPECIAL_LBL)*(INC_SPECIALS="Y"))=0,"",'Dvd Calendar'!$AN$14)))</f>
        <v/>
      </c>
      <c r="AM12" s="161">
        <f>IF(FO12="","",IF(ISNUMBER('Dvd Calendar'!$AO$14)=FALSE,"",IF((('Dvd Calendar'!$AO$16=TYPE1)*(TYPE1&lt;&gt;"")+('Dvd Calendar'!$AO$16=TYPE2)*(TYPE2&lt;&gt;"")+('Dvd Calendar'!$AO$16=TYPE3)*(TYPE3&lt;&gt;"")+('Dvd Calendar'!$AO$16=TYPE4)*(TYPE4&lt;&gt;"")+('Dvd Calendar'!$AO$16=SPECIAL_LBL)*(INC_SPECIALS="Y"))=0,"",'Dvd Calendar'!$AO$14)))</f>
        <v/>
      </c>
      <c r="AN12" s="161">
        <f>IF(FP12="","",IF(ISNUMBER('Dvd Calendar'!$AP$14)=FALSE,"",IF((('Dvd Calendar'!$AP$16=TYPE1)*(TYPE1&lt;&gt;"")+('Dvd Calendar'!$AP$16=TYPE2)*(TYPE2&lt;&gt;"")+('Dvd Calendar'!$AP$16=TYPE3)*(TYPE3&lt;&gt;"")+('Dvd Calendar'!$AP$16=TYPE4)*(TYPE4&lt;&gt;"")+('Dvd Calendar'!$AP$16=SPECIAL_LBL)*(INC_SPECIALS="Y"))=0,"",'Dvd Calendar'!$AP$14)))</f>
        <v/>
      </c>
      <c r="AO12" s="161">
        <f>IF(FQ12="","",IF(ISNUMBER('Dvd Calendar'!$AQ$14)=FALSE,"",IF((('Dvd Calendar'!$AQ$16=TYPE1)*(TYPE1&lt;&gt;"")+('Dvd Calendar'!$AQ$16=TYPE2)*(TYPE2&lt;&gt;"")+('Dvd Calendar'!$AQ$16=TYPE3)*(TYPE3&lt;&gt;"")+('Dvd Calendar'!$AQ$16=TYPE4)*(TYPE4&lt;&gt;"")+('Dvd Calendar'!$AQ$16=SPECIAL_LBL)*(INC_SPECIALS="Y"))=0,"",'Dvd Calendar'!$AQ$14)))</f>
        <v/>
      </c>
      <c r="AP12" s="161">
        <f>IF(FR12="","",IF(ISNUMBER('Dvd Calendar'!$AR$14)=FALSE,"",IF((('Dvd Calendar'!$AR$16=TYPE1)*(TYPE1&lt;&gt;"")+('Dvd Calendar'!$AR$16=TYPE2)*(TYPE2&lt;&gt;"")+('Dvd Calendar'!$AR$16=TYPE3)*(TYPE3&lt;&gt;"")+('Dvd Calendar'!$AR$16=TYPE4)*(TYPE4&lt;&gt;"")+('Dvd Calendar'!$AR$16=SPECIAL_LBL)*(INC_SPECIALS="Y"))=0,"",'Dvd Calendar'!$AR$14)))</f>
        <v/>
      </c>
      <c r="AQ12" s="161">
        <f>IF(FS12="","",IF(ISNUMBER('Dvd Calendar'!$E$19)=FALSE,"",'Dvd Calendar'!$E$19))</f>
        <v/>
      </c>
      <c r="AR12" s="161">
        <f>IF(FT12="","",IF(ISNUMBER('Dvd Calendar'!$F$19)=FALSE,"",'Dvd Calendar'!$F$19))</f>
        <v/>
      </c>
      <c r="AS12" s="161">
        <f>IF(FU12="","",IF(ISNUMBER('Dvd Calendar'!$G$19)=FALSE,"",'Dvd Calendar'!$G$19))</f>
        <v/>
      </c>
      <c r="AT12" s="161">
        <f>IF(FV12="","",IF(ISNUMBER('Dvd Calendar'!$H$19)=FALSE,"",'Dvd Calendar'!$H$19))</f>
        <v/>
      </c>
      <c r="AU12" s="161">
        <f>IF(FW12="","",IF(ISNUMBER('Dvd Calendar'!$I$19)=FALSE,"",'Dvd Calendar'!$I$19))</f>
        <v/>
      </c>
      <c r="AV12" s="161">
        <f>IF(FX12="","",IF(ISNUMBER('Dvd Calendar'!$J$19)=FALSE,"",'Dvd Calendar'!$J$19))</f>
        <v/>
      </c>
      <c r="AW12" s="161">
        <f>IF(FY12="","",IF(ISNUMBER('Dvd Calendar'!$K$19)=FALSE,"",'Dvd Calendar'!$K$19))</f>
        <v/>
      </c>
      <c r="AX12" s="161">
        <f>IF(FZ12="","",IF(ISNUMBER('Dvd Calendar'!$L$19)=FALSE,"",'Dvd Calendar'!$L$19))</f>
        <v/>
      </c>
      <c r="AY12" s="161">
        <f>IF(GA12="","",IF(ISNUMBER('Dvd Calendar'!$M$19)=FALSE,"",'Dvd Calendar'!$M$19))</f>
        <v/>
      </c>
      <c r="AZ12" s="161">
        <f>IF(GB12="","",IF(ISNUMBER('Dvd Calendar'!$N$19)=FALSE,"",'Dvd Calendar'!$N$19))</f>
        <v/>
      </c>
      <c r="BA12" s="161">
        <f>IF(GC12="","",IF(ISNUMBER('Dvd Calendar'!$O$19)=FALSE,"",'Dvd Calendar'!$O$19))</f>
        <v/>
      </c>
      <c r="BB12" s="161">
        <f>IF(GD12="","",IF(ISNUMBER('Dvd Calendar'!$P$19)=FALSE,"",'Dvd Calendar'!$P$19))</f>
        <v/>
      </c>
      <c r="BC12" s="161">
        <f>IF(GE12="","",IF(ISNUMBER('Dvd Calendar'!$Q$19)=FALSE,"",'Dvd Calendar'!$Q$19))</f>
        <v/>
      </c>
      <c r="BD12" s="161">
        <f>IF(GF12="","",IF(ISNUMBER('Dvd Calendar'!$R$19)=FALSE,"",'Dvd Calendar'!$R$19))</f>
        <v/>
      </c>
      <c r="BE12" s="161">
        <f>IF(GG12="","",IF(ISNUMBER('Dvd Calendar'!$S$19)=FALSE,"",'Dvd Calendar'!$S$19))</f>
        <v/>
      </c>
      <c r="BF12" s="161">
        <f>IF(GH12="","",IF(ISNUMBER('Dvd Calendar'!$T$19)=FALSE,"",'Dvd Calendar'!$T$19))</f>
        <v/>
      </c>
      <c r="BG12" s="161">
        <f>IF(GI12="","",IF(ISNUMBER('Dvd Calendar'!$U$19)=FALSE,"",'Dvd Calendar'!$U$19))</f>
        <v/>
      </c>
      <c r="BH12" s="161">
        <f>IF(GJ12="","",IF(ISNUMBER('Dvd Calendar'!$V$19)=FALSE,"",'Dvd Calendar'!$V$19))</f>
        <v/>
      </c>
      <c r="BI12" s="161">
        <f>IF(GK12="","",IF(ISNUMBER('Dvd Calendar'!$W$19)=FALSE,"",'Dvd Calendar'!$W$19))</f>
        <v/>
      </c>
      <c r="BJ12" s="161">
        <f>IF(GL12="","",IF(ISNUMBER('Dvd Calendar'!$X$19)=FALSE,"",'Dvd Calendar'!$X$19))</f>
        <v/>
      </c>
      <c r="BK12" s="161">
        <f>IF(GM12="","",IF(ISNUMBER('Dvd Calendar'!$Y$19)=FALSE,"",'Dvd Calendar'!$Y$19))</f>
        <v/>
      </c>
      <c r="BL12" s="161">
        <f>IF(GN12="","",IF(ISNUMBER('Dvd Calendar'!$Z$19)=FALSE,"",'Dvd Calendar'!$Z$19))</f>
        <v/>
      </c>
      <c r="BM12" s="161">
        <f>IF(GO12="","",IF(ISNUMBER('Dvd Calendar'!$AA$19)=FALSE,"",'Dvd Calendar'!$AA$19))</f>
        <v/>
      </c>
      <c r="BN12" s="161">
        <f>IF(GP12="","",IF(ISNUMBER('Dvd Calendar'!$AB$19)=FALSE,"",'Dvd Calendar'!$AB$19))</f>
        <v/>
      </c>
      <c r="BO12" s="161">
        <f>IF(GQ12="","",IF(ISNUMBER('Dvd Calendar'!$AC$19)=FALSE,"",'Dvd Calendar'!$AC$19))</f>
        <v/>
      </c>
      <c r="BQ12" s="161">
        <f>IF(C12="","",IFERROR(C12*HSI!$B$7*HSI!$G$7/HSI!$B$3,""))</f>
        <v/>
      </c>
      <c r="BR12" s="161">
        <f>IF(D12="","",IFERROR(D12*HSI!$B$7*HSI!$G$7/HSI!$B$3,""))</f>
        <v/>
      </c>
      <c r="BS12" s="161">
        <f>IF(E12="","",IFERROR(E12*HSI!$B$7*HSI!$G$7/HSI!$B$3,""))</f>
        <v/>
      </c>
      <c r="BT12" s="161">
        <f>IF(F12="","",IFERROR(F12*HSI!$B$7*HSI!$G$7/HSI!$B$3,""))</f>
        <v/>
      </c>
      <c r="BU12" s="161">
        <f>IF(G12="","",IFERROR(G12*HSI!$B$7*HSI!$G$7/HSI!$B$3,""))</f>
        <v/>
      </c>
      <c r="BV12" s="161">
        <f>IF(H12="","",IFERROR(H12*HSI!$B$7*HSI!$G$7/HSI!$B$3,""))</f>
        <v/>
      </c>
      <c r="BW12" s="161">
        <f>IF(I12="","",IFERROR(I12*HSI!$B$7*HSI!$G$7/HSI!$B$3,""))</f>
        <v/>
      </c>
      <c r="BX12" s="161">
        <f>IF(J12="","",IFERROR(J12*HSI!$B$7*HSI!$G$7/HSI!$B$3,""))</f>
        <v/>
      </c>
      <c r="BY12" s="161">
        <f>IF(K12="","",IFERROR(K12*HSI!$B$7*HSI!$G$7/HSI!$B$3,""))</f>
        <v/>
      </c>
      <c r="BZ12" s="161">
        <f>IF(L12="","",IFERROR(L12*HSI!$B$7*HSI!$G$7/HSI!$B$3,""))</f>
        <v/>
      </c>
      <c r="CA12" s="161">
        <f>IF(M12="","",IFERROR(M12*HSI!$B$7*HSI!$G$7/HSI!$B$3,""))</f>
        <v/>
      </c>
      <c r="CB12" s="161">
        <f>IF(N12="","",IFERROR(N12*HSI!$B$7*HSI!$G$7/HSI!$B$3,""))</f>
        <v/>
      </c>
      <c r="CC12" s="161">
        <f>IF(O12="","",IFERROR(O12*HSI!$B$7*HSI!$G$7/HSI!$B$3,""))</f>
        <v/>
      </c>
      <c r="CD12" s="161">
        <f>IF(P12="","",IFERROR(P12*HSI!$B$7*HSI!$G$7/HSI!$B$3,""))</f>
        <v/>
      </c>
      <c r="CE12" s="161">
        <f>IF(Q12="","",IFERROR(Q12*HSI!$B$7*HSI!$G$7/HSI!$B$3,""))</f>
        <v/>
      </c>
      <c r="CF12" s="161">
        <f>IF(R12="","",IFERROR(R12*HSI!$B$7*HSI!$G$7/HSI!$B$3,""))</f>
        <v/>
      </c>
      <c r="CG12" s="161">
        <f>IF(S12="","",IFERROR(S12*HSI!$B$7*HSI!$G$7/HSI!$B$3,""))</f>
        <v/>
      </c>
      <c r="CH12" s="161">
        <f>IF(T12="","",IFERROR(T12*HSI!$B$7*HSI!$G$7/HSI!$B$3,""))</f>
        <v/>
      </c>
      <c r="CI12" s="161">
        <f>IF(U12="","",IFERROR(U12*HSI!$B$7*HSI!$G$7/HSI!$B$3,""))</f>
        <v/>
      </c>
      <c r="CJ12" s="161">
        <f>IF(V12="","",IFERROR(V12*HSI!$B$7*HSI!$G$7/HSI!$B$3,""))</f>
        <v/>
      </c>
      <c r="CK12" s="161">
        <f>IF(W12="","",IFERROR(W12*HSI!$B$7*HSI!$G$7/HSI!$B$3,""))</f>
        <v/>
      </c>
      <c r="CL12" s="161">
        <f>IF(X12="","",IFERROR(X12*HSI!$B$7*HSI!$G$7/HSI!$B$3,""))</f>
        <v/>
      </c>
      <c r="CM12" s="161">
        <f>IF(Y12="","",IFERROR(Y12*HSI!$B$7*HSI!$G$7/HSI!$B$3,""))</f>
        <v/>
      </c>
      <c r="CN12" s="161">
        <f>IF(Z12="","",IFERROR(Z12*HSI!$B$7*HSI!$G$7/HSI!$B$3,""))</f>
        <v/>
      </c>
      <c r="CO12" s="161">
        <f>IF(AA12="","",IFERROR(AA12*HSI!$B$7*HSI!$G$7/HSI!$B$3,""))</f>
        <v/>
      </c>
      <c r="CP12" s="161">
        <f>IF(AB12="","",IFERROR(AB12*HSI!$B$7*HSI!$G$7/HSI!$B$3,""))</f>
        <v/>
      </c>
      <c r="CQ12" s="161">
        <f>IF(AC12="","",IFERROR(AC12*HSI!$B$7*HSI!$G$7/HSI!$B$3,""))</f>
        <v/>
      </c>
      <c r="CR12" s="161">
        <f>IF(AD12="","",IFERROR(AD12*HSI!$B$7*HSI!$G$7/HSI!$B$3,""))</f>
        <v/>
      </c>
      <c r="CS12" s="161">
        <f>IF(AE12="","",IFERROR(AE12*HSI!$B$7*HSI!$G$7/HSI!$B$3,""))</f>
        <v/>
      </c>
      <c r="CT12" s="161">
        <f>IF(AF12="","",IFERROR(AF12*HSI!$B$7*HSI!$G$7/HSI!$B$3,""))</f>
        <v/>
      </c>
      <c r="CU12" s="161">
        <f>IF(AG12="","",IFERROR(AG12*HSI!$B$7*HSI!$G$7/HSI!$B$3,""))</f>
        <v/>
      </c>
      <c r="CV12" s="161">
        <f>IF(AH12="","",IFERROR(AH12*HSI!$B$7*HSI!$G$7/HSI!$B$3,""))</f>
        <v/>
      </c>
      <c r="CW12" s="161">
        <f>IF(AI12="","",IFERROR(AI12*HSI!$B$7*HSI!$G$7/HSI!$B$3,""))</f>
        <v/>
      </c>
      <c r="CX12" s="161">
        <f>IF(AJ12="","",IFERROR(AJ12*HSI!$B$7*HSI!$G$7/HSI!$B$3,""))</f>
        <v/>
      </c>
      <c r="CY12" s="161">
        <f>IF(AK12="","",IFERROR(AK12*HSI!$B$7*HSI!$G$7/HSI!$B$3,""))</f>
        <v/>
      </c>
      <c r="CZ12" s="161">
        <f>IF(AL12="","",IFERROR(AL12*HSI!$B$7*HSI!$G$7/HSI!$B$3,""))</f>
        <v/>
      </c>
      <c r="DA12" s="161">
        <f>IF(AM12="","",IFERROR(AM12*HSI!$B$7*HSI!$G$7/HSI!$B$3,""))</f>
        <v/>
      </c>
      <c r="DB12" s="161">
        <f>IF(AN12="","",IFERROR(AN12*HSI!$B$7*HSI!$G$7/HSI!$B$3,""))</f>
        <v/>
      </c>
      <c r="DC12" s="161">
        <f>IF(AO12="","",IFERROR(AO12*HSI!$B$7*HSI!$G$7/HSI!$B$3,""))</f>
        <v/>
      </c>
      <c r="DD12" s="161">
        <f>IF(AP12="","",IFERROR(AP12*HSI!$B$7*HSI!$G$7/HSI!$B$3,""))</f>
        <v/>
      </c>
      <c r="DE12" s="161">
        <f>IF(AQ12="","",IFERROR(AQ12*HSI!$B$7*HSI!$G$7/HSI!$B$3,""))</f>
        <v/>
      </c>
      <c r="DF12" s="161">
        <f>IF(AR12="","",IFERROR(AR12*HSI!$B$7*HSI!$G$7/HSI!$B$3,""))</f>
        <v/>
      </c>
      <c r="DG12" s="161">
        <f>IF(AS12="","",IFERROR(AS12*HSI!$B$7*HSI!$G$7/HSI!$B$3,""))</f>
        <v/>
      </c>
      <c r="DH12" s="161">
        <f>IF(AT12="","",IFERROR(AT12*HSI!$B$7*HSI!$G$7/HSI!$B$3,""))</f>
        <v/>
      </c>
      <c r="DI12" s="161">
        <f>IF(AU12="","",IFERROR(AU12*HSI!$B$7*HSI!$G$7/HSI!$B$3,""))</f>
        <v/>
      </c>
      <c r="DJ12" s="161">
        <f>IF(AV12="","",IFERROR(AV12*HSI!$B$7*HSI!$G$7/HSI!$B$3,""))</f>
        <v/>
      </c>
      <c r="DK12" s="161">
        <f>IF(AW12="","",IFERROR(AW12*HSI!$B$7*HSI!$G$7/HSI!$B$3,""))</f>
        <v/>
      </c>
      <c r="DL12" s="161">
        <f>IF(AX12="","",IFERROR(AX12*HSI!$B$7*HSI!$G$7/HSI!$B$3,""))</f>
        <v/>
      </c>
      <c r="DM12" s="161">
        <f>IF(AY12="","",IFERROR(AY12*HSI!$B$7*HSI!$G$7/HSI!$B$3,""))</f>
        <v/>
      </c>
      <c r="DN12" s="161">
        <f>IF(AZ12="","",IFERROR(AZ12*HSI!$B$7*HSI!$G$7/HSI!$B$3,""))</f>
        <v/>
      </c>
      <c r="DO12" s="161">
        <f>IF(BA12="","",IFERROR(BA12*HSI!$B$7*HSI!$G$7/HSI!$B$3,""))</f>
        <v/>
      </c>
      <c r="DP12" s="161">
        <f>IF(BB12="","",IFERROR(BB12*HSI!$B$7*HSI!$G$7/HSI!$B$3,""))</f>
        <v/>
      </c>
      <c r="DQ12" s="161">
        <f>IF(BC12="","",IFERROR(BC12*HSI!$B$7*HSI!$G$7/HSI!$B$3,""))</f>
        <v/>
      </c>
      <c r="DR12" s="161">
        <f>IF(BD12="","",IFERROR(BD12*HSI!$B$7*HSI!$G$7/HSI!$B$3,""))</f>
        <v/>
      </c>
      <c r="DS12" s="161">
        <f>IF(BE12="","",IFERROR(BE12*HSI!$B$7*HSI!$G$7/HSI!$B$3,""))</f>
        <v/>
      </c>
      <c r="DT12" s="161">
        <f>IF(BF12="","",IFERROR(BF12*HSI!$B$7*HSI!$G$7/HSI!$B$3,""))</f>
        <v/>
      </c>
      <c r="DU12" s="161">
        <f>IF(BG12="","",IFERROR(BG12*HSI!$B$7*HSI!$G$7/HSI!$B$3,""))</f>
        <v/>
      </c>
      <c r="DV12" s="161">
        <f>IF(BH12="","",IFERROR(BH12*HSI!$B$7*HSI!$G$7/HSI!$B$3,""))</f>
        <v/>
      </c>
      <c r="DW12" s="161">
        <f>IF(BI12="","",IFERROR(BI12*HSI!$B$7*HSI!$G$7/HSI!$B$3,""))</f>
        <v/>
      </c>
      <c r="DX12" s="161">
        <f>IF(BJ12="","",IFERROR(BJ12*HSI!$B$7*HSI!$G$7/HSI!$B$3,""))</f>
        <v/>
      </c>
      <c r="DY12" s="161">
        <f>IF(BK12="","",IFERROR(BK12*HSI!$B$7*HSI!$G$7/HSI!$B$3,""))</f>
        <v/>
      </c>
      <c r="DZ12" s="161">
        <f>IF(BL12="","",IFERROR(BL12*HSI!$B$7*HSI!$G$7/HSI!$B$3,""))</f>
        <v/>
      </c>
      <c r="EA12" s="161">
        <f>IF(BM12="","",IFERROR(BM12*HSI!$B$7*HSI!$G$7/HSI!$B$3,""))</f>
        <v/>
      </c>
      <c r="EB12" s="161">
        <f>IF(BN12="","",IFERROR(BN12*HSI!$B$7*HSI!$G$7/HSI!$B$3,""))</f>
        <v/>
      </c>
      <c r="EC12" s="161">
        <f>IF(BO12="","",IFERROR(BO12*HSI!$B$7*HSI!$G$7/HSI!$B$3,""))</f>
        <v/>
      </c>
      <c r="EE12" s="121">
        <f>IF(N('Dvd Calendar'!$E$11)=0,"",IF(('Dvd Calendar'!$E$11&gt;=GRID_FROM)*('Dvd Calendar'!$E$11&lt;=GRID_TO)*((('Dvd Calendar'!$E$11&lt;=VAL_DATE)+(COUNTIF('Dvd Calendar'!$E$18:$AR$18,'Dvd Calendar'!$E$11)=0))&gt;0)=0,"",'Dvd Calendar'!$E$11*1000000000+ISNUMBER('Dvd Calendar'!$E$14)*100000000+('Dvd Calendar'!$E$16=SPECIAL_LBL)*10000000+(N('Dvd Calendar'!$E$10)&gt;0)*(N('Dvd Calendar'!$E$10)&lt;=VAL_SERIAL)*1000000+1*1000+1))</f>
        <v/>
      </c>
      <c r="EF12" s="121">
        <f>IF(N('Dvd Calendar'!$F$11)=0,"",IF(('Dvd Calendar'!$F$11&gt;=GRID_FROM)*('Dvd Calendar'!$F$11&lt;=GRID_TO)*((('Dvd Calendar'!$F$11&lt;=VAL_DATE)+(COUNTIF('Dvd Calendar'!$E$18:$AR$18,'Dvd Calendar'!$F$11)=0))&gt;0)=0,"",'Dvd Calendar'!$F$11*1000000000+ISNUMBER('Dvd Calendar'!$F$14)*100000000+('Dvd Calendar'!$F$16=SPECIAL_LBL)*10000000+(N('Dvd Calendar'!$F$10)&gt;0)*(N('Dvd Calendar'!$F$10)&lt;=VAL_SERIAL)*1000000+1*1000+2))</f>
        <v/>
      </c>
      <c r="EG12" s="121">
        <f>IF(N('Dvd Calendar'!$G$11)=0,"",IF(('Dvd Calendar'!$G$11&gt;=GRID_FROM)*('Dvd Calendar'!$G$11&lt;=GRID_TO)*((('Dvd Calendar'!$G$11&lt;=VAL_DATE)+(COUNTIF('Dvd Calendar'!$E$18:$AR$18,'Dvd Calendar'!$G$11)=0))&gt;0)=0,"",'Dvd Calendar'!$G$11*1000000000+ISNUMBER('Dvd Calendar'!$G$14)*100000000+('Dvd Calendar'!$G$16=SPECIAL_LBL)*10000000+(N('Dvd Calendar'!$G$10)&gt;0)*(N('Dvd Calendar'!$G$10)&lt;=VAL_SERIAL)*1000000+1*1000+3))</f>
        <v/>
      </c>
      <c r="EH12" s="121">
        <f>IF(N('Dvd Calendar'!$H$11)=0,"",IF(('Dvd Calendar'!$H$11&gt;=GRID_FROM)*('Dvd Calendar'!$H$11&lt;=GRID_TO)*((('Dvd Calendar'!$H$11&lt;=VAL_DATE)+(COUNTIF('Dvd Calendar'!$E$18:$AR$18,'Dvd Calendar'!$H$11)=0))&gt;0)=0,"",'Dvd Calendar'!$H$11*1000000000+ISNUMBER('Dvd Calendar'!$H$14)*100000000+('Dvd Calendar'!$H$16=SPECIAL_LBL)*10000000+(N('Dvd Calendar'!$H$10)&gt;0)*(N('Dvd Calendar'!$H$10)&lt;=VAL_SERIAL)*1000000+1*1000+4))</f>
        <v/>
      </c>
      <c r="EI12" s="121">
        <f>IF(N('Dvd Calendar'!$I$11)=0,"",IF(('Dvd Calendar'!$I$11&gt;=GRID_FROM)*('Dvd Calendar'!$I$11&lt;=GRID_TO)*((('Dvd Calendar'!$I$11&lt;=VAL_DATE)+(COUNTIF('Dvd Calendar'!$E$18:$AR$18,'Dvd Calendar'!$I$11)=0))&gt;0)=0,"",'Dvd Calendar'!$I$11*1000000000+ISNUMBER('Dvd Calendar'!$I$14)*100000000+('Dvd Calendar'!$I$16=SPECIAL_LBL)*10000000+(N('Dvd Calendar'!$I$10)&gt;0)*(N('Dvd Calendar'!$I$10)&lt;=VAL_SERIAL)*1000000+1*1000+5))</f>
        <v/>
      </c>
      <c r="EJ12" s="121">
        <f>IF(N('Dvd Calendar'!$J$11)=0,"",IF(('Dvd Calendar'!$J$11&gt;=GRID_FROM)*('Dvd Calendar'!$J$11&lt;=GRID_TO)*((('Dvd Calendar'!$J$11&lt;=VAL_DATE)+(COUNTIF('Dvd Calendar'!$E$18:$AR$18,'Dvd Calendar'!$J$11)=0))&gt;0)=0,"",'Dvd Calendar'!$J$11*1000000000+ISNUMBER('Dvd Calendar'!$J$14)*100000000+('Dvd Calendar'!$J$16=SPECIAL_LBL)*10000000+(N('Dvd Calendar'!$J$10)&gt;0)*(N('Dvd Calendar'!$J$10)&lt;=VAL_SERIAL)*1000000+1*1000+6))</f>
        <v/>
      </c>
      <c r="EK12" s="121">
        <f>IF(N('Dvd Calendar'!$K$11)=0,"",IF(('Dvd Calendar'!$K$11&gt;=GRID_FROM)*('Dvd Calendar'!$K$11&lt;=GRID_TO)*((('Dvd Calendar'!$K$11&lt;=VAL_DATE)+(COUNTIF('Dvd Calendar'!$E$18:$AR$18,'Dvd Calendar'!$K$11)=0))&gt;0)=0,"",'Dvd Calendar'!$K$11*1000000000+ISNUMBER('Dvd Calendar'!$K$14)*100000000+('Dvd Calendar'!$K$16=SPECIAL_LBL)*10000000+(N('Dvd Calendar'!$K$10)&gt;0)*(N('Dvd Calendar'!$K$10)&lt;=VAL_SERIAL)*1000000+1*1000+7))</f>
        <v/>
      </c>
      <c r="EL12" s="121">
        <f>IF(N('Dvd Calendar'!$L$11)=0,"",IF(('Dvd Calendar'!$L$11&gt;=GRID_FROM)*('Dvd Calendar'!$L$11&lt;=GRID_TO)*((('Dvd Calendar'!$L$11&lt;=VAL_DATE)+(COUNTIF('Dvd Calendar'!$E$18:$AR$18,'Dvd Calendar'!$L$11)=0))&gt;0)=0,"",'Dvd Calendar'!$L$11*1000000000+ISNUMBER('Dvd Calendar'!$L$14)*100000000+('Dvd Calendar'!$L$16=SPECIAL_LBL)*10000000+(N('Dvd Calendar'!$L$10)&gt;0)*(N('Dvd Calendar'!$L$10)&lt;=VAL_SERIAL)*1000000+1*1000+8))</f>
        <v/>
      </c>
      <c r="EM12" s="121">
        <f>IF(N('Dvd Calendar'!$M$11)=0,"",IF(('Dvd Calendar'!$M$11&gt;=GRID_FROM)*('Dvd Calendar'!$M$11&lt;=GRID_TO)*((('Dvd Calendar'!$M$11&lt;=VAL_DATE)+(COUNTIF('Dvd Calendar'!$E$18:$AR$18,'Dvd Calendar'!$M$11)=0))&gt;0)=0,"",'Dvd Calendar'!$M$11*1000000000+ISNUMBER('Dvd Calendar'!$M$14)*100000000+('Dvd Calendar'!$M$16=SPECIAL_LBL)*10000000+(N('Dvd Calendar'!$M$10)&gt;0)*(N('Dvd Calendar'!$M$10)&lt;=VAL_SERIAL)*1000000+1*1000+9))</f>
        <v/>
      </c>
      <c r="EN12" s="121">
        <f>IF(N('Dvd Calendar'!$N$11)=0,"",IF(('Dvd Calendar'!$N$11&gt;=GRID_FROM)*('Dvd Calendar'!$N$11&lt;=GRID_TO)*((('Dvd Calendar'!$N$11&lt;=VAL_DATE)+(COUNTIF('Dvd Calendar'!$E$18:$AR$18,'Dvd Calendar'!$N$11)=0))&gt;0)=0,"",'Dvd Calendar'!$N$11*1000000000+ISNUMBER('Dvd Calendar'!$N$14)*100000000+('Dvd Calendar'!$N$16=SPECIAL_LBL)*10000000+(N('Dvd Calendar'!$N$10)&gt;0)*(N('Dvd Calendar'!$N$10)&lt;=VAL_SERIAL)*1000000+1*1000+10))</f>
        <v/>
      </c>
      <c r="EO12" s="121">
        <f>IF(N('Dvd Calendar'!$O$11)=0,"",IF(('Dvd Calendar'!$O$11&gt;=GRID_FROM)*('Dvd Calendar'!$O$11&lt;=GRID_TO)*((('Dvd Calendar'!$O$11&lt;=VAL_DATE)+(COUNTIF('Dvd Calendar'!$E$18:$AR$18,'Dvd Calendar'!$O$11)=0))&gt;0)=0,"",'Dvd Calendar'!$O$11*1000000000+ISNUMBER('Dvd Calendar'!$O$14)*100000000+('Dvd Calendar'!$O$16=SPECIAL_LBL)*10000000+(N('Dvd Calendar'!$O$10)&gt;0)*(N('Dvd Calendar'!$O$10)&lt;=VAL_SERIAL)*1000000+1*1000+11))</f>
        <v/>
      </c>
      <c r="EP12" s="121">
        <f>IF(N('Dvd Calendar'!$P$11)=0,"",IF(('Dvd Calendar'!$P$11&gt;=GRID_FROM)*('Dvd Calendar'!$P$11&lt;=GRID_TO)*((('Dvd Calendar'!$P$11&lt;=VAL_DATE)+(COUNTIF('Dvd Calendar'!$E$18:$AR$18,'Dvd Calendar'!$P$11)=0))&gt;0)=0,"",'Dvd Calendar'!$P$11*1000000000+ISNUMBER('Dvd Calendar'!$P$14)*100000000+('Dvd Calendar'!$P$16=SPECIAL_LBL)*10000000+(N('Dvd Calendar'!$P$10)&gt;0)*(N('Dvd Calendar'!$P$10)&lt;=VAL_SERIAL)*1000000+1*1000+12))</f>
        <v/>
      </c>
      <c r="EQ12" s="121">
        <f>IF(N('Dvd Calendar'!$Q$11)=0,"",IF(('Dvd Calendar'!$Q$11&gt;=GRID_FROM)*('Dvd Calendar'!$Q$11&lt;=GRID_TO)*((('Dvd Calendar'!$Q$11&lt;=VAL_DATE)+(COUNTIF('Dvd Calendar'!$E$18:$AR$18,'Dvd Calendar'!$Q$11)=0))&gt;0)=0,"",'Dvd Calendar'!$Q$11*1000000000+ISNUMBER('Dvd Calendar'!$Q$14)*100000000+('Dvd Calendar'!$Q$16=SPECIAL_LBL)*10000000+(N('Dvd Calendar'!$Q$10)&gt;0)*(N('Dvd Calendar'!$Q$10)&lt;=VAL_SERIAL)*1000000+1*1000+13))</f>
        <v/>
      </c>
      <c r="ER12" s="121">
        <f>IF(N('Dvd Calendar'!$R$11)=0,"",IF(('Dvd Calendar'!$R$11&gt;=GRID_FROM)*('Dvd Calendar'!$R$11&lt;=GRID_TO)*((('Dvd Calendar'!$R$11&lt;=VAL_DATE)+(COUNTIF('Dvd Calendar'!$E$18:$AR$18,'Dvd Calendar'!$R$11)=0))&gt;0)=0,"",'Dvd Calendar'!$R$11*1000000000+ISNUMBER('Dvd Calendar'!$R$14)*100000000+('Dvd Calendar'!$R$16=SPECIAL_LBL)*10000000+(N('Dvd Calendar'!$R$10)&gt;0)*(N('Dvd Calendar'!$R$10)&lt;=VAL_SERIAL)*1000000+1*1000+14))</f>
        <v/>
      </c>
      <c r="ES12" s="121">
        <f>IF(N('Dvd Calendar'!$S$11)=0,"",IF(('Dvd Calendar'!$S$11&gt;=GRID_FROM)*('Dvd Calendar'!$S$11&lt;=GRID_TO)*((('Dvd Calendar'!$S$11&lt;=VAL_DATE)+(COUNTIF('Dvd Calendar'!$E$18:$AR$18,'Dvd Calendar'!$S$11)=0))&gt;0)=0,"",'Dvd Calendar'!$S$11*1000000000+ISNUMBER('Dvd Calendar'!$S$14)*100000000+('Dvd Calendar'!$S$16=SPECIAL_LBL)*10000000+(N('Dvd Calendar'!$S$10)&gt;0)*(N('Dvd Calendar'!$S$10)&lt;=VAL_SERIAL)*1000000+1*1000+15))</f>
        <v/>
      </c>
      <c r="ET12" s="121">
        <f>IF(N('Dvd Calendar'!$T$11)=0,"",IF(('Dvd Calendar'!$T$11&gt;=GRID_FROM)*('Dvd Calendar'!$T$11&lt;=GRID_TO)*((('Dvd Calendar'!$T$11&lt;=VAL_DATE)+(COUNTIF('Dvd Calendar'!$E$18:$AR$18,'Dvd Calendar'!$T$11)=0))&gt;0)=0,"",'Dvd Calendar'!$T$11*1000000000+ISNUMBER('Dvd Calendar'!$T$14)*100000000+('Dvd Calendar'!$T$16=SPECIAL_LBL)*10000000+(N('Dvd Calendar'!$T$10)&gt;0)*(N('Dvd Calendar'!$T$10)&lt;=VAL_SERIAL)*1000000+1*1000+16))</f>
        <v/>
      </c>
      <c r="EU12" s="121">
        <f>IF(N('Dvd Calendar'!$U$11)=0,"",IF(('Dvd Calendar'!$U$11&gt;=GRID_FROM)*('Dvd Calendar'!$U$11&lt;=GRID_TO)*((('Dvd Calendar'!$U$11&lt;=VAL_DATE)+(COUNTIF('Dvd Calendar'!$E$18:$AR$18,'Dvd Calendar'!$U$11)=0))&gt;0)=0,"",'Dvd Calendar'!$U$11*1000000000+ISNUMBER('Dvd Calendar'!$U$14)*100000000+('Dvd Calendar'!$U$16=SPECIAL_LBL)*10000000+(N('Dvd Calendar'!$U$10)&gt;0)*(N('Dvd Calendar'!$U$10)&lt;=VAL_SERIAL)*1000000+1*1000+17))</f>
        <v/>
      </c>
      <c r="EV12" s="121">
        <f>IF(N('Dvd Calendar'!$V$11)=0,"",IF(('Dvd Calendar'!$V$11&gt;=GRID_FROM)*('Dvd Calendar'!$V$11&lt;=GRID_TO)*((('Dvd Calendar'!$V$11&lt;=VAL_DATE)+(COUNTIF('Dvd Calendar'!$E$18:$AR$18,'Dvd Calendar'!$V$11)=0))&gt;0)=0,"",'Dvd Calendar'!$V$11*1000000000+ISNUMBER('Dvd Calendar'!$V$14)*100000000+('Dvd Calendar'!$V$16=SPECIAL_LBL)*10000000+(N('Dvd Calendar'!$V$10)&gt;0)*(N('Dvd Calendar'!$V$10)&lt;=VAL_SERIAL)*1000000+1*1000+18))</f>
        <v/>
      </c>
      <c r="EW12" s="121">
        <f>IF(N('Dvd Calendar'!$W$11)=0,"",IF(('Dvd Calendar'!$W$11&gt;=GRID_FROM)*('Dvd Calendar'!$W$11&lt;=GRID_TO)*((('Dvd Calendar'!$W$11&lt;=VAL_DATE)+(COUNTIF('Dvd Calendar'!$E$18:$AR$18,'Dvd Calendar'!$W$11)=0))&gt;0)=0,"",'Dvd Calendar'!$W$11*1000000000+ISNUMBER('Dvd Calendar'!$W$14)*100000000+('Dvd Calendar'!$W$16=SPECIAL_LBL)*10000000+(N('Dvd Calendar'!$W$10)&gt;0)*(N('Dvd Calendar'!$W$10)&lt;=VAL_SERIAL)*1000000+1*1000+19))</f>
        <v/>
      </c>
      <c r="EX12" s="121">
        <f>IF(N('Dvd Calendar'!$X$11)=0,"",IF(('Dvd Calendar'!$X$11&gt;=GRID_FROM)*('Dvd Calendar'!$X$11&lt;=GRID_TO)*((('Dvd Calendar'!$X$11&lt;=VAL_DATE)+(COUNTIF('Dvd Calendar'!$E$18:$AR$18,'Dvd Calendar'!$X$11)=0))&gt;0)=0,"",'Dvd Calendar'!$X$11*1000000000+ISNUMBER('Dvd Calendar'!$X$14)*100000000+('Dvd Calendar'!$X$16=SPECIAL_LBL)*10000000+(N('Dvd Calendar'!$X$10)&gt;0)*(N('Dvd Calendar'!$X$10)&lt;=VAL_SERIAL)*1000000+1*1000+20))</f>
        <v/>
      </c>
      <c r="EY12" s="121">
        <f>IF(N('Dvd Calendar'!$Y$11)=0,"",IF(('Dvd Calendar'!$Y$11&gt;=GRID_FROM)*('Dvd Calendar'!$Y$11&lt;=GRID_TO)*((('Dvd Calendar'!$Y$11&lt;=VAL_DATE)+(COUNTIF('Dvd Calendar'!$E$18:$AR$18,'Dvd Calendar'!$Y$11)=0))&gt;0)=0,"",'Dvd Calendar'!$Y$11*1000000000+ISNUMBER('Dvd Calendar'!$Y$14)*100000000+('Dvd Calendar'!$Y$16=SPECIAL_LBL)*10000000+(N('Dvd Calendar'!$Y$10)&gt;0)*(N('Dvd Calendar'!$Y$10)&lt;=VAL_SERIAL)*1000000+1*1000+21))</f>
        <v/>
      </c>
      <c r="EZ12" s="121">
        <f>IF(N('Dvd Calendar'!$Z$11)=0,"",IF(('Dvd Calendar'!$Z$11&gt;=GRID_FROM)*('Dvd Calendar'!$Z$11&lt;=GRID_TO)*((('Dvd Calendar'!$Z$11&lt;=VAL_DATE)+(COUNTIF('Dvd Calendar'!$E$18:$AR$18,'Dvd Calendar'!$Z$11)=0))&gt;0)=0,"",'Dvd Calendar'!$Z$11*1000000000+ISNUMBER('Dvd Calendar'!$Z$14)*100000000+('Dvd Calendar'!$Z$16=SPECIAL_LBL)*10000000+(N('Dvd Calendar'!$Z$10)&gt;0)*(N('Dvd Calendar'!$Z$10)&lt;=VAL_SERIAL)*1000000+1*1000+22))</f>
        <v/>
      </c>
      <c r="FA12" s="121">
        <f>IF(N('Dvd Calendar'!$AA$11)=0,"",IF(('Dvd Calendar'!$AA$11&gt;=GRID_FROM)*('Dvd Calendar'!$AA$11&lt;=GRID_TO)*((('Dvd Calendar'!$AA$11&lt;=VAL_DATE)+(COUNTIF('Dvd Calendar'!$E$18:$AR$18,'Dvd Calendar'!$AA$11)=0))&gt;0)=0,"",'Dvd Calendar'!$AA$11*1000000000+ISNUMBER('Dvd Calendar'!$AA$14)*100000000+('Dvd Calendar'!$AA$16=SPECIAL_LBL)*10000000+(N('Dvd Calendar'!$AA$10)&gt;0)*(N('Dvd Calendar'!$AA$10)&lt;=VAL_SERIAL)*1000000+1*1000+23))</f>
        <v/>
      </c>
      <c r="FB12" s="121">
        <f>IF(N('Dvd Calendar'!$AB$11)=0,"",IF(('Dvd Calendar'!$AB$11&gt;=GRID_FROM)*('Dvd Calendar'!$AB$11&lt;=GRID_TO)*((('Dvd Calendar'!$AB$11&lt;=VAL_DATE)+(COUNTIF('Dvd Calendar'!$E$18:$AR$18,'Dvd Calendar'!$AB$11)=0))&gt;0)=0,"",'Dvd Calendar'!$AB$11*1000000000+ISNUMBER('Dvd Calendar'!$AB$14)*100000000+('Dvd Calendar'!$AB$16=SPECIAL_LBL)*10000000+(N('Dvd Calendar'!$AB$10)&gt;0)*(N('Dvd Calendar'!$AB$10)&lt;=VAL_SERIAL)*1000000+1*1000+24))</f>
        <v/>
      </c>
      <c r="FC12" s="121">
        <f>IF(N('Dvd Calendar'!$AC$11)=0,"",IF(('Dvd Calendar'!$AC$11&gt;=GRID_FROM)*('Dvd Calendar'!$AC$11&lt;=GRID_TO)*((('Dvd Calendar'!$AC$11&lt;=VAL_DATE)+(COUNTIF('Dvd Calendar'!$E$18:$AR$18,'Dvd Calendar'!$AC$11)=0))&gt;0)=0,"",'Dvd Calendar'!$AC$11*1000000000+ISNUMBER('Dvd Calendar'!$AC$14)*100000000+('Dvd Calendar'!$AC$16=SPECIAL_LBL)*10000000+(N('Dvd Calendar'!$AC$10)&gt;0)*(N('Dvd Calendar'!$AC$10)&lt;=VAL_SERIAL)*1000000+1*1000+25))</f>
        <v/>
      </c>
      <c r="FD12" s="121">
        <f>IF(N('Dvd Calendar'!$AD$11)=0,"",IF(('Dvd Calendar'!$AD$11&gt;=GRID_FROM)*('Dvd Calendar'!$AD$11&lt;=GRID_TO)*((('Dvd Calendar'!$AD$11&lt;=VAL_DATE)+(COUNTIF('Dvd Calendar'!$E$18:$AR$18,'Dvd Calendar'!$AD$11)=0))&gt;0)=0,"",'Dvd Calendar'!$AD$11*1000000000+ISNUMBER('Dvd Calendar'!$AD$14)*100000000+('Dvd Calendar'!$AD$16=SPECIAL_LBL)*10000000+(N('Dvd Calendar'!$AD$10)&gt;0)*(N('Dvd Calendar'!$AD$10)&lt;=VAL_SERIAL)*1000000+1*1000+26))</f>
        <v/>
      </c>
      <c r="FE12" s="121">
        <f>IF(N('Dvd Calendar'!$AE$11)=0,"",IF(('Dvd Calendar'!$AE$11&gt;=GRID_FROM)*('Dvd Calendar'!$AE$11&lt;=GRID_TO)*((('Dvd Calendar'!$AE$11&lt;=VAL_DATE)+(COUNTIF('Dvd Calendar'!$E$18:$AR$18,'Dvd Calendar'!$AE$11)=0))&gt;0)=0,"",'Dvd Calendar'!$AE$11*1000000000+ISNUMBER('Dvd Calendar'!$AE$14)*100000000+('Dvd Calendar'!$AE$16=SPECIAL_LBL)*10000000+(N('Dvd Calendar'!$AE$10)&gt;0)*(N('Dvd Calendar'!$AE$10)&lt;=VAL_SERIAL)*1000000+1*1000+27))</f>
        <v/>
      </c>
      <c r="FF12" s="121">
        <f>IF(N('Dvd Calendar'!$AF$11)=0,"",IF(('Dvd Calendar'!$AF$11&gt;=GRID_FROM)*('Dvd Calendar'!$AF$11&lt;=GRID_TO)*((('Dvd Calendar'!$AF$11&lt;=VAL_DATE)+(COUNTIF('Dvd Calendar'!$E$18:$AR$18,'Dvd Calendar'!$AF$11)=0))&gt;0)=0,"",'Dvd Calendar'!$AF$11*1000000000+ISNUMBER('Dvd Calendar'!$AF$14)*100000000+('Dvd Calendar'!$AF$16=SPECIAL_LBL)*10000000+(N('Dvd Calendar'!$AF$10)&gt;0)*(N('Dvd Calendar'!$AF$10)&lt;=VAL_SERIAL)*1000000+1*1000+28))</f>
        <v/>
      </c>
      <c r="FG12" s="121">
        <f>IF(N('Dvd Calendar'!$AG$11)=0,"",IF(('Dvd Calendar'!$AG$11&gt;=GRID_FROM)*('Dvd Calendar'!$AG$11&lt;=GRID_TO)*((('Dvd Calendar'!$AG$11&lt;=VAL_DATE)+(COUNTIF('Dvd Calendar'!$E$18:$AR$18,'Dvd Calendar'!$AG$11)=0))&gt;0)=0,"",'Dvd Calendar'!$AG$11*1000000000+ISNUMBER('Dvd Calendar'!$AG$14)*100000000+('Dvd Calendar'!$AG$16=SPECIAL_LBL)*10000000+(N('Dvd Calendar'!$AG$10)&gt;0)*(N('Dvd Calendar'!$AG$10)&lt;=VAL_SERIAL)*1000000+1*1000+29))</f>
        <v/>
      </c>
      <c r="FH12" s="121">
        <f>IF(N('Dvd Calendar'!$AH$11)=0,"",IF(('Dvd Calendar'!$AH$11&gt;=GRID_FROM)*('Dvd Calendar'!$AH$11&lt;=GRID_TO)*((('Dvd Calendar'!$AH$11&lt;=VAL_DATE)+(COUNTIF('Dvd Calendar'!$E$18:$AR$18,'Dvd Calendar'!$AH$11)=0))&gt;0)=0,"",'Dvd Calendar'!$AH$11*1000000000+ISNUMBER('Dvd Calendar'!$AH$14)*100000000+('Dvd Calendar'!$AH$16=SPECIAL_LBL)*10000000+(N('Dvd Calendar'!$AH$10)&gt;0)*(N('Dvd Calendar'!$AH$10)&lt;=VAL_SERIAL)*1000000+1*1000+30))</f>
        <v/>
      </c>
      <c r="FI12" s="121">
        <f>IF(N('Dvd Calendar'!$AI$11)=0,"",IF(('Dvd Calendar'!$AI$11&gt;=GRID_FROM)*('Dvd Calendar'!$AI$11&lt;=GRID_TO)*((('Dvd Calendar'!$AI$11&lt;=VAL_DATE)+(COUNTIF('Dvd Calendar'!$E$18:$AR$18,'Dvd Calendar'!$AI$11)=0))&gt;0)=0,"",'Dvd Calendar'!$AI$11*1000000000+ISNUMBER('Dvd Calendar'!$AI$14)*100000000+('Dvd Calendar'!$AI$16=SPECIAL_LBL)*10000000+(N('Dvd Calendar'!$AI$10)&gt;0)*(N('Dvd Calendar'!$AI$10)&lt;=VAL_SERIAL)*1000000+1*1000+31))</f>
        <v/>
      </c>
      <c r="FJ12" s="121">
        <f>IF(N('Dvd Calendar'!$AJ$11)=0,"",IF(('Dvd Calendar'!$AJ$11&gt;=GRID_FROM)*('Dvd Calendar'!$AJ$11&lt;=GRID_TO)*((('Dvd Calendar'!$AJ$11&lt;=VAL_DATE)+(COUNTIF('Dvd Calendar'!$E$18:$AR$18,'Dvd Calendar'!$AJ$11)=0))&gt;0)=0,"",'Dvd Calendar'!$AJ$11*1000000000+ISNUMBER('Dvd Calendar'!$AJ$14)*100000000+('Dvd Calendar'!$AJ$16=SPECIAL_LBL)*10000000+(N('Dvd Calendar'!$AJ$10)&gt;0)*(N('Dvd Calendar'!$AJ$10)&lt;=VAL_SERIAL)*1000000+1*1000+32))</f>
        <v/>
      </c>
      <c r="FK12" s="121">
        <f>IF(N('Dvd Calendar'!$AK$11)=0,"",IF(('Dvd Calendar'!$AK$11&gt;=GRID_FROM)*('Dvd Calendar'!$AK$11&lt;=GRID_TO)*((('Dvd Calendar'!$AK$11&lt;=VAL_DATE)+(COUNTIF('Dvd Calendar'!$E$18:$AR$18,'Dvd Calendar'!$AK$11)=0))&gt;0)=0,"",'Dvd Calendar'!$AK$11*1000000000+ISNUMBER('Dvd Calendar'!$AK$14)*100000000+('Dvd Calendar'!$AK$16=SPECIAL_LBL)*10000000+(N('Dvd Calendar'!$AK$10)&gt;0)*(N('Dvd Calendar'!$AK$10)&lt;=VAL_SERIAL)*1000000+1*1000+33))</f>
        <v/>
      </c>
      <c r="FL12" s="121">
        <f>IF(N('Dvd Calendar'!$AL$11)=0,"",IF(('Dvd Calendar'!$AL$11&gt;=GRID_FROM)*('Dvd Calendar'!$AL$11&lt;=GRID_TO)*((('Dvd Calendar'!$AL$11&lt;=VAL_DATE)+(COUNTIF('Dvd Calendar'!$E$18:$AR$18,'Dvd Calendar'!$AL$11)=0))&gt;0)=0,"",'Dvd Calendar'!$AL$11*1000000000+ISNUMBER('Dvd Calendar'!$AL$14)*100000000+('Dvd Calendar'!$AL$16=SPECIAL_LBL)*10000000+(N('Dvd Calendar'!$AL$10)&gt;0)*(N('Dvd Calendar'!$AL$10)&lt;=VAL_SERIAL)*1000000+1*1000+34))</f>
        <v/>
      </c>
      <c r="FM12" s="121">
        <f>IF(N('Dvd Calendar'!$AM$11)=0,"",IF(('Dvd Calendar'!$AM$11&gt;=GRID_FROM)*('Dvd Calendar'!$AM$11&lt;=GRID_TO)*((('Dvd Calendar'!$AM$11&lt;=VAL_DATE)+(COUNTIF('Dvd Calendar'!$E$18:$AR$18,'Dvd Calendar'!$AM$11)=0))&gt;0)=0,"",'Dvd Calendar'!$AM$11*1000000000+ISNUMBER('Dvd Calendar'!$AM$14)*100000000+('Dvd Calendar'!$AM$16=SPECIAL_LBL)*10000000+(N('Dvd Calendar'!$AM$10)&gt;0)*(N('Dvd Calendar'!$AM$10)&lt;=VAL_SERIAL)*1000000+1*1000+35))</f>
        <v/>
      </c>
      <c r="FN12" s="121">
        <f>IF(N('Dvd Calendar'!$AN$11)=0,"",IF(('Dvd Calendar'!$AN$11&gt;=GRID_FROM)*('Dvd Calendar'!$AN$11&lt;=GRID_TO)*((('Dvd Calendar'!$AN$11&lt;=VAL_DATE)+(COUNTIF('Dvd Calendar'!$E$18:$AR$18,'Dvd Calendar'!$AN$11)=0))&gt;0)=0,"",'Dvd Calendar'!$AN$11*1000000000+ISNUMBER('Dvd Calendar'!$AN$14)*100000000+('Dvd Calendar'!$AN$16=SPECIAL_LBL)*10000000+(N('Dvd Calendar'!$AN$10)&gt;0)*(N('Dvd Calendar'!$AN$10)&lt;=VAL_SERIAL)*1000000+1*1000+36))</f>
        <v/>
      </c>
      <c r="FO12" s="121">
        <f>IF(N('Dvd Calendar'!$AO$11)=0,"",IF(('Dvd Calendar'!$AO$11&gt;=GRID_FROM)*('Dvd Calendar'!$AO$11&lt;=GRID_TO)*((('Dvd Calendar'!$AO$11&lt;=VAL_DATE)+(COUNTIF('Dvd Calendar'!$E$18:$AR$18,'Dvd Calendar'!$AO$11)=0))&gt;0)=0,"",'Dvd Calendar'!$AO$11*1000000000+ISNUMBER('Dvd Calendar'!$AO$14)*100000000+('Dvd Calendar'!$AO$16=SPECIAL_LBL)*10000000+(N('Dvd Calendar'!$AO$10)&gt;0)*(N('Dvd Calendar'!$AO$10)&lt;=VAL_SERIAL)*1000000+1*1000+37))</f>
        <v/>
      </c>
      <c r="FP12" s="121">
        <f>IF(N('Dvd Calendar'!$AP$11)=0,"",IF(('Dvd Calendar'!$AP$11&gt;=GRID_FROM)*('Dvd Calendar'!$AP$11&lt;=GRID_TO)*((('Dvd Calendar'!$AP$11&lt;=VAL_DATE)+(COUNTIF('Dvd Calendar'!$E$18:$AR$18,'Dvd Calendar'!$AP$11)=0))&gt;0)=0,"",'Dvd Calendar'!$AP$11*1000000000+ISNUMBER('Dvd Calendar'!$AP$14)*100000000+('Dvd Calendar'!$AP$16=SPECIAL_LBL)*10000000+(N('Dvd Calendar'!$AP$10)&gt;0)*(N('Dvd Calendar'!$AP$10)&lt;=VAL_SERIAL)*1000000+1*1000+38))</f>
        <v/>
      </c>
      <c r="FQ12" s="121">
        <f>IF(N('Dvd Calendar'!$AQ$11)=0,"",IF(('Dvd Calendar'!$AQ$11&gt;=GRID_FROM)*('Dvd Calendar'!$AQ$11&lt;=GRID_TO)*((('Dvd Calendar'!$AQ$11&lt;=VAL_DATE)+(COUNTIF('Dvd Calendar'!$E$18:$AR$18,'Dvd Calendar'!$AQ$11)=0))&gt;0)=0,"",'Dvd Calendar'!$AQ$11*1000000000+ISNUMBER('Dvd Calendar'!$AQ$14)*100000000+('Dvd Calendar'!$AQ$16=SPECIAL_LBL)*10000000+(N('Dvd Calendar'!$AQ$10)&gt;0)*(N('Dvd Calendar'!$AQ$10)&lt;=VAL_SERIAL)*1000000+1*1000+39))</f>
        <v/>
      </c>
      <c r="FR12" s="121">
        <f>IF(N('Dvd Calendar'!$AR$11)=0,"",IF(('Dvd Calendar'!$AR$11&gt;=GRID_FROM)*('Dvd Calendar'!$AR$11&lt;=GRID_TO)*((('Dvd Calendar'!$AR$11&lt;=VAL_DATE)+(COUNTIF('Dvd Calendar'!$E$18:$AR$18,'Dvd Calendar'!$AR$11)=0))&gt;0)=0,"",'Dvd Calendar'!$AR$11*1000000000+ISNUMBER('Dvd Calendar'!$AR$14)*100000000+('Dvd Calendar'!$AR$16=SPECIAL_LBL)*10000000+(N('Dvd Calendar'!$AR$10)&gt;0)*(N('Dvd Calendar'!$AR$10)&lt;=VAL_SERIAL)*1000000+1*1000+40))</f>
        <v/>
      </c>
      <c r="FS12" s="121">
        <f>IF(N('Dvd Calendar'!$E$18)=0,"",IF(('Dvd Calendar'!$E$18&gt;=GRID_FROM)*('Dvd Calendar'!$E$18&lt;=GRID_TO)*('Dvd Calendar'!$E$18&gt;VAL_DATE)=0,"",'Dvd Calendar'!$E$18*1000000000+ISNUMBER('Dvd Calendar'!$E$19)*100000000+0*10000000+(N('Dvd Calendar'!$E$17)&gt;0)*(N('Dvd Calendar'!$E$17)&lt;=VAL_SERIAL)*1000000+1*1000+41))</f>
        <v/>
      </c>
      <c r="FT12" s="121">
        <f>IF(N('Dvd Calendar'!$F$18)=0,"",IF(('Dvd Calendar'!$F$18&gt;=GRID_FROM)*('Dvd Calendar'!$F$18&lt;=GRID_TO)*('Dvd Calendar'!$F$18&gt;VAL_DATE)=0,"",'Dvd Calendar'!$F$18*1000000000+ISNUMBER('Dvd Calendar'!$F$19)*100000000+0*10000000+(N('Dvd Calendar'!$F$17)&gt;0)*(N('Dvd Calendar'!$F$17)&lt;=VAL_SERIAL)*1000000+1*1000+42))</f>
        <v/>
      </c>
      <c r="FU12" s="121">
        <f>IF(N('Dvd Calendar'!$G$18)=0,"",IF(('Dvd Calendar'!$G$18&gt;=GRID_FROM)*('Dvd Calendar'!$G$18&lt;=GRID_TO)*('Dvd Calendar'!$G$18&gt;VAL_DATE)=0,"",'Dvd Calendar'!$G$18*1000000000+ISNUMBER('Dvd Calendar'!$G$19)*100000000+0*10000000+(N('Dvd Calendar'!$G$17)&gt;0)*(N('Dvd Calendar'!$G$17)&lt;=VAL_SERIAL)*1000000+1*1000+43))</f>
        <v/>
      </c>
      <c r="FV12" s="121">
        <f>IF(N('Dvd Calendar'!$H$18)=0,"",IF(('Dvd Calendar'!$H$18&gt;=GRID_FROM)*('Dvd Calendar'!$H$18&lt;=GRID_TO)*('Dvd Calendar'!$H$18&gt;VAL_DATE)=0,"",'Dvd Calendar'!$H$18*1000000000+ISNUMBER('Dvd Calendar'!$H$19)*100000000+0*10000000+(N('Dvd Calendar'!$H$17)&gt;0)*(N('Dvd Calendar'!$H$17)&lt;=VAL_SERIAL)*1000000+1*1000+44))</f>
        <v/>
      </c>
      <c r="FW12" s="121">
        <f>IF(N('Dvd Calendar'!$I$18)=0,"",IF(('Dvd Calendar'!$I$18&gt;=GRID_FROM)*('Dvd Calendar'!$I$18&lt;=GRID_TO)*('Dvd Calendar'!$I$18&gt;VAL_DATE)=0,"",'Dvd Calendar'!$I$18*1000000000+ISNUMBER('Dvd Calendar'!$I$19)*100000000+0*10000000+(N('Dvd Calendar'!$I$17)&gt;0)*(N('Dvd Calendar'!$I$17)&lt;=VAL_SERIAL)*1000000+1*1000+45))</f>
        <v/>
      </c>
      <c r="FX12" s="121">
        <f>IF(N('Dvd Calendar'!$J$18)=0,"",IF(('Dvd Calendar'!$J$18&gt;=GRID_FROM)*('Dvd Calendar'!$J$18&lt;=GRID_TO)*('Dvd Calendar'!$J$18&gt;VAL_DATE)=0,"",'Dvd Calendar'!$J$18*1000000000+ISNUMBER('Dvd Calendar'!$J$19)*100000000+0*10000000+(N('Dvd Calendar'!$J$17)&gt;0)*(N('Dvd Calendar'!$J$17)&lt;=VAL_SERIAL)*1000000+1*1000+46))</f>
        <v/>
      </c>
      <c r="FY12" s="121">
        <f>IF(N('Dvd Calendar'!$K$18)=0,"",IF(('Dvd Calendar'!$K$18&gt;=GRID_FROM)*('Dvd Calendar'!$K$18&lt;=GRID_TO)*('Dvd Calendar'!$K$18&gt;VAL_DATE)=0,"",'Dvd Calendar'!$K$18*1000000000+ISNUMBER('Dvd Calendar'!$K$19)*100000000+0*10000000+(N('Dvd Calendar'!$K$17)&gt;0)*(N('Dvd Calendar'!$K$17)&lt;=VAL_SERIAL)*1000000+1*1000+47))</f>
        <v/>
      </c>
      <c r="FZ12" s="121">
        <f>IF(N('Dvd Calendar'!$L$18)=0,"",IF(('Dvd Calendar'!$L$18&gt;=GRID_FROM)*('Dvd Calendar'!$L$18&lt;=GRID_TO)*('Dvd Calendar'!$L$18&gt;VAL_DATE)=0,"",'Dvd Calendar'!$L$18*1000000000+ISNUMBER('Dvd Calendar'!$L$19)*100000000+0*10000000+(N('Dvd Calendar'!$L$17)&gt;0)*(N('Dvd Calendar'!$L$17)&lt;=VAL_SERIAL)*1000000+1*1000+48))</f>
        <v/>
      </c>
      <c r="GA12" s="121">
        <f>IF(N('Dvd Calendar'!$M$18)=0,"",IF(('Dvd Calendar'!$M$18&gt;=GRID_FROM)*('Dvd Calendar'!$M$18&lt;=GRID_TO)*('Dvd Calendar'!$M$18&gt;VAL_DATE)=0,"",'Dvd Calendar'!$M$18*1000000000+ISNUMBER('Dvd Calendar'!$M$19)*100000000+0*10000000+(N('Dvd Calendar'!$M$17)&gt;0)*(N('Dvd Calendar'!$M$17)&lt;=VAL_SERIAL)*1000000+1*1000+49))</f>
        <v/>
      </c>
      <c r="GB12" s="121">
        <f>IF(N('Dvd Calendar'!$N$18)=0,"",IF(('Dvd Calendar'!$N$18&gt;=GRID_FROM)*('Dvd Calendar'!$N$18&lt;=GRID_TO)*('Dvd Calendar'!$N$18&gt;VAL_DATE)=0,"",'Dvd Calendar'!$N$18*1000000000+ISNUMBER('Dvd Calendar'!$N$19)*100000000+0*10000000+(N('Dvd Calendar'!$N$17)&gt;0)*(N('Dvd Calendar'!$N$17)&lt;=VAL_SERIAL)*1000000+1*1000+50))</f>
        <v/>
      </c>
      <c r="GC12" s="121">
        <f>IF(N('Dvd Calendar'!$O$18)=0,"",IF(('Dvd Calendar'!$O$18&gt;=GRID_FROM)*('Dvd Calendar'!$O$18&lt;=GRID_TO)*('Dvd Calendar'!$O$18&gt;VAL_DATE)=0,"",'Dvd Calendar'!$O$18*1000000000+ISNUMBER('Dvd Calendar'!$O$19)*100000000+0*10000000+(N('Dvd Calendar'!$O$17)&gt;0)*(N('Dvd Calendar'!$O$17)&lt;=VAL_SERIAL)*1000000+1*1000+51))</f>
        <v/>
      </c>
      <c r="GD12" s="121">
        <f>IF(N('Dvd Calendar'!$P$18)=0,"",IF(('Dvd Calendar'!$P$18&gt;=GRID_FROM)*('Dvd Calendar'!$P$18&lt;=GRID_TO)*('Dvd Calendar'!$P$18&gt;VAL_DATE)=0,"",'Dvd Calendar'!$P$18*1000000000+ISNUMBER('Dvd Calendar'!$P$19)*100000000+0*10000000+(N('Dvd Calendar'!$P$17)&gt;0)*(N('Dvd Calendar'!$P$17)&lt;=VAL_SERIAL)*1000000+1*1000+52))</f>
        <v/>
      </c>
      <c r="GE12" s="121">
        <f>IF(N('Dvd Calendar'!$Q$18)=0,"",IF(('Dvd Calendar'!$Q$18&gt;=GRID_FROM)*('Dvd Calendar'!$Q$18&lt;=GRID_TO)*('Dvd Calendar'!$Q$18&gt;VAL_DATE)=0,"",'Dvd Calendar'!$Q$18*1000000000+ISNUMBER('Dvd Calendar'!$Q$19)*100000000+0*10000000+(N('Dvd Calendar'!$Q$17)&gt;0)*(N('Dvd Calendar'!$Q$17)&lt;=VAL_SERIAL)*1000000+1*1000+53))</f>
        <v/>
      </c>
      <c r="GF12" s="121">
        <f>IF(N('Dvd Calendar'!$R$18)=0,"",IF(('Dvd Calendar'!$R$18&gt;=GRID_FROM)*('Dvd Calendar'!$R$18&lt;=GRID_TO)*('Dvd Calendar'!$R$18&gt;VAL_DATE)=0,"",'Dvd Calendar'!$R$18*1000000000+ISNUMBER('Dvd Calendar'!$R$19)*100000000+0*10000000+(N('Dvd Calendar'!$R$17)&gt;0)*(N('Dvd Calendar'!$R$17)&lt;=VAL_SERIAL)*1000000+1*1000+54))</f>
        <v/>
      </c>
      <c r="GG12" s="121">
        <f>IF(N('Dvd Calendar'!$S$18)=0,"",IF(('Dvd Calendar'!$S$18&gt;=GRID_FROM)*('Dvd Calendar'!$S$18&lt;=GRID_TO)*('Dvd Calendar'!$S$18&gt;VAL_DATE)=0,"",'Dvd Calendar'!$S$18*1000000000+ISNUMBER('Dvd Calendar'!$S$19)*100000000+0*10000000+(N('Dvd Calendar'!$S$17)&gt;0)*(N('Dvd Calendar'!$S$17)&lt;=VAL_SERIAL)*1000000+1*1000+55))</f>
        <v/>
      </c>
      <c r="GH12" s="121">
        <f>IF(N('Dvd Calendar'!$T$18)=0,"",IF(('Dvd Calendar'!$T$18&gt;=GRID_FROM)*('Dvd Calendar'!$T$18&lt;=GRID_TO)*('Dvd Calendar'!$T$18&gt;VAL_DATE)=0,"",'Dvd Calendar'!$T$18*1000000000+ISNUMBER('Dvd Calendar'!$T$19)*100000000+0*10000000+(N('Dvd Calendar'!$T$17)&gt;0)*(N('Dvd Calendar'!$T$17)&lt;=VAL_SERIAL)*1000000+1*1000+56))</f>
        <v/>
      </c>
      <c r="GI12" s="121">
        <f>IF(N('Dvd Calendar'!$U$18)=0,"",IF(('Dvd Calendar'!$U$18&gt;=GRID_FROM)*('Dvd Calendar'!$U$18&lt;=GRID_TO)*('Dvd Calendar'!$U$18&gt;VAL_DATE)=0,"",'Dvd Calendar'!$U$18*1000000000+ISNUMBER('Dvd Calendar'!$U$19)*100000000+0*10000000+(N('Dvd Calendar'!$U$17)&gt;0)*(N('Dvd Calendar'!$U$17)&lt;=VAL_SERIAL)*1000000+1*1000+57))</f>
        <v/>
      </c>
      <c r="GJ12" s="121">
        <f>IF(N('Dvd Calendar'!$V$18)=0,"",IF(('Dvd Calendar'!$V$18&gt;=GRID_FROM)*('Dvd Calendar'!$V$18&lt;=GRID_TO)*('Dvd Calendar'!$V$18&gt;VAL_DATE)=0,"",'Dvd Calendar'!$V$18*1000000000+ISNUMBER('Dvd Calendar'!$V$19)*100000000+0*10000000+(N('Dvd Calendar'!$V$17)&gt;0)*(N('Dvd Calendar'!$V$17)&lt;=VAL_SERIAL)*1000000+1*1000+58))</f>
        <v/>
      </c>
      <c r="GK12" s="121">
        <f>IF(N('Dvd Calendar'!$W$18)=0,"",IF(('Dvd Calendar'!$W$18&gt;=GRID_FROM)*('Dvd Calendar'!$W$18&lt;=GRID_TO)*('Dvd Calendar'!$W$18&gt;VAL_DATE)=0,"",'Dvd Calendar'!$W$18*1000000000+ISNUMBER('Dvd Calendar'!$W$19)*100000000+0*10000000+(N('Dvd Calendar'!$W$17)&gt;0)*(N('Dvd Calendar'!$W$17)&lt;=VAL_SERIAL)*1000000+1*1000+59))</f>
        <v/>
      </c>
      <c r="GL12" s="121">
        <f>IF(N('Dvd Calendar'!$X$18)=0,"",IF(('Dvd Calendar'!$X$18&gt;=GRID_FROM)*('Dvd Calendar'!$X$18&lt;=GRID_TO)*('Dvd Calendar'!$X$18&gt;VAL_DATE)=0,"",'Dvd Calendar'!$X$18*1000000000+ISNUMBER('Dvd Calendar'!$X$19)*100000000+0*10000000+(N('Dvd Calendar'!$X$17)&gt;0)*(N('Dvd Calendar'!$X$17)&lt;=VAL_SERIAL)*1000000+1*1000+60))</f>
        <v/>
      </c>
      <c r="GM12" s="121">
        <f>IF(N('Dvd Calendar'!$Y$18)=0,"",IF(('Dvd Calendar'!$Y$18&gt;=GRID_FROM)*('Dvd Calendar'!$Y$18&lt;=GRID_TO)*('Dvd Calendar'!$Y$18&gt;VAL_DATE)=0,"",'Dvd Calendar'!$Y$18*1000000000+ISNUMBER('Dvd Calendar'!$Y$19)*100000000+0*10000000+(N('Dvd Calendar'!$Y$17)&gt;0)*(N('Dvd Calendar'!$Y$17)&lt;=VAL_SERIAL)*1000000+1*1000+61))</f>
        <v/>
      </c>
      <c r="GN12" s="121">
        <f>IF(N('Dvd Calendar'!$Z$18)=0,"",IF(('Dvd Calendar'!$Z$18&gt;=GRID_FROM)*('Dvd Calendar'!$Z$18&lt;=GRID_TO)*('Dvd Calendar'!$Z$18&gt;VAL_DATE)=0,"",'Dvd Calendar'!$Z$18*1000000000+ISNUMBER('Dvd Calendar'!$Z$19)*100000000+0*10000000+(N('Dvd Calendar'!$Z$17)&gt;0)*(N('Dvd Calendar'!$Z$17)&lt;=VAL_SERIAL)*1000000+1*1000+62))</f>
        <v/>
      </c>
      <c r="GO12" s="121">
        <f>IF(N('Dvd Calendar'!$AA$18)=0,"",IF(('Dvd Calendar'!$AA$18&gt;=GRID_FROM)*('Dvd Calendar'!$AA$18&lt;=GRID_TO)*('Dvd Calendar'!$AA$18&gt;VAL_DATE)=0,"",'Dvd Calendar'!$AA$18*1000000000+ISNUMBER('Dvd Calendar'!$AA$19)*100000000+0*10000000+(N('Dvd Calendar'!$AA$17)&gt;0)*(N('Dvd Calendar'!$AA$17)&lt;=VAL_SERIAL)*1000000+1*1000+63))</f>
        <v/>
      </c>
      <c r="GP12" s="121">
        <f>IF(N('Dvd Calendar'!$AB$18)=0,"",IF(('Dvd Calendar'!$AB$18&gt;=GRID_FROM)*('Dvd Calendar'!$AB$18&lt;=GRID_TO)*('Dvd Calendar'!$AB$18&gt;VAL_DATE)=0,"",'Dvd Calendar'!$AB$18*1000000000+ISNUMBER('Dvd Calendar'!$AB$19)*100000000+0*10000000+(N('Dvd Calendar'!$AB$17)&gt;0)*(N('Dvd Calendar'!$AB$17)&lt;=VAL_SERIAL)*1000000+1*1000+64))</f>
        <v/>
      </c>
      <c r="GQ12" s="121">
        <f>IF(N('Dvd Calendar'!$AC$18)=0,"",IF(('Dvd Calendar'!$AC$18&gt;=GRID_FROM)*('Dvd Calendar'!$AC$18&lt;=GRID_TO)*('Dvd Calendar'!$AC$18&gt;VAL_DATE)=0,"",'Dvd Calendar'!$AC$18*1000000000+ISNUMBER('Dvd Calendar'!$AC$19)*100000000+0*10000000+(N('Dvd Calendar'!$AC$17)&gt;0)*(N('Dvd Calendar'!$AC$17)&lt;=VAL_SERIAL)*1000000+1*1000+65))</f>
        <v/>
      </c>
    </row>
    <row r="13">
      <c r="B13" s="2">
        <f>IF(HSI!$C$8="","",HSI!$C$8)</f>
        <v/>
      </c>
      <c r="C13" s="161">
        <f>IF(EE13="","",IF(ISNUMBER('Dvd Calendar'!$E$25)=FALSE,"",IF((('Dvd Calendar'!$E$27=TYPE1)*(TYPE1&lt;&gt;"")+('Dvd Calendar'!$E$27=TYPE2)*(TYPE2&lt;&gt;"")+('Dvd Calendar'!$E$27=TYPE3)*(TYPE3&lt;&gt;"")+('Dvd Calendar'!$E$27=TYPE4)*(TYPE4&lt;&gt;"")+('Dvd Calendar'!$E$27=SPECIAL_LBL)*(INC_SPECIALS="Y"))=0,"",'Dvd Calendar'!$E$25)))</f>
        <v/>
      </c>
      <c r="D13" s="161">
        <f>IF(EF13="","",IF(ISNUMBER('Dvd Calendar'!$F$25)=FALSE,"",IF((('Dvd Calendar'!$F$27=TYPE1)*(TYPE1&lt;&gt;"")+('Dvd Calendar'!$F$27=TYPE2)*(TYPE2&lt;&gt;"")+('Dvd Calendar'!$F$27=TYPE3)*(TYPE3&lt;&gt;"")+('Dvd Calendar'!$F$27=TYPE4)*(TYPE4&lt;&gt;"")+('Dvd Calendar'!$F$27=SPECIAL_LBL)*(INC_SPECIALS="Y"))=0,"",'Dvd Calendar'!$F$25)))</f>
        <v/>
      </c>
      <c r="E13" s="161">
        <f>IF(EG13="","",IF(ISNUMBER('Dvd Calendar'!$G$25)=FALSE,"",IF((('Dvd Calendar'!$G$27=TYPE1)*(TYPE1&lt;&gt;"")+('Dvd Calendar'!$G$27=TYPE2)*(TYPE2&lt;&gt;"")+('Dvd Calendar'!$G$27=TYPE3)*(TYPE3&lt;&gt;"")+('Dvd Calendar'!$G$27=TYPE4)*(TYPE4&lt;&gt;"")+('Dvd Calendar'!$G$27=SPECIAL_LBL)*(INC_SPECIALS="Y"))=0,"",'Dvd Calendar'!$G$25)))</f>
        <v/>
      </c>
      <c r="F13" s="161">
        <f>IF(EH13="","",IF(ISNUMBER('Dvd Calendar'!$H$25)=FALSE,"",IF((('Dvd Calendar'!$H$27=TYPE1)*(TYPE1&lt;&gt;"")+('Dvd Calendar'!$H$27=TYPE2)*(TYPE2&lt;&gt;"")+('Dvd Calendar'!$H$27=TYPE3)*(TYPE3&lt;&gt;"")+('Dvd Calendar'!$H$27=TYPE4)*(TYPE4&lt;&gt;"")+('Dvd Calendar'!$H$27=SPECIAL_LBL)*(INC_SPECIALS="Y"))=0,"",'Dvd Calendar'!$H$25)))</f>
        <v/>
      </c>
      <c r="G13" s="161">
        <f>IF(EI13="","",IF(ISNUMBER('Dvd Calendar'!$I$25)=FALSE,"",IF((('Dvd Calendar'!$I$27=TYPE1)*(TYPE1&lt;&gt;"")+('Dvd Calendar'!$I$27=TYPE2)*(TYPE2&lt;&gt;"")+('Dvd Calendar'!$I$27=TYPE3)*(TYPE3&lt;&gt;"")+('Dvd Calendar'!$I$27=TYPE4)*(TYPE4&lt;&gt;"")+('Dvd Calendar'!$I$27=SPECIAL_LBL)*(INC_SPECIALS="Y"))=0,"",'Dvd Calendar'!$I$25)))</f>
        <v/>
      </c>
      <c r="H13" s="161">
        <f>IF(EJ13="","",IF(ISNUMBER('Dvd Calendar'!$J$25)=FALSE,"",IF((('Dvd Calendar'!$J$27=TYPE1)*(TYPE1&lt;&gt;"")+('Dvd Calendar'!$J$27=TYPE2)*(TYPE2&lt;&gt;"")+('Dvd Calendar'!$J$27=TYPE3)*(TYPE3&lt;&gt;"")+('Dvd Calendar'!$J$27=TYPE4)*(TYPE4&lt;&gt;"")+('Dvd Calendar'!$J$27=SPECIAL_LBL)*(INC_SPECIALS="Y"))=0,"",'Dvd Calendar'!$J$25)))</f>
        <v/>
      </c>
      <c r="I13" s="161">
        <f>IF(EK13="","",IF(ISNUMBER('Dvd Calendar'!$K$25)=FALSE,"",IF((('Dvd Calendar'!$K$27=TYPE1)*(TYPE1&lt;&gt;"")+('Dvd Calendar'!$K$27=TYPE2)*(TYPE2&lt;&gt;"")+('Dvd Calendar'!$K$27=TYPE3)*(TYPE3&lt;&gt;"")+('Dvd Calendar'!$K$27=TYPE4)*(TYPE4&lt;&gt;"")+('Dvd Calendar'!$K$27=SPECIAL_LBL)*(INC_SPECIALS="Y"))=0,"",'Dvd Calendar'!$K$25)))</f>
        <v/>
      </c>
      <c r="J13" s="161">
        <f>IF(EL13="","",IF(ISNUMBER('Dvd Calendar'!$L$25)=FALSE,"",IF((('Dvd Calendar'!$L$27=TYPE1)*(TYPE1&lt;&gt;"")+('Dvd Calendar'!$L$27=TYPE2)*(TYPE2&lt;&gt;"")+('Dvd Calendar'!$L$27=TYPE3)*(TYPE3&lt;&gt;"")+('Dvd Calendar'!$L$27=TYPE4)*(TYPE4&lt;&gt;"")+('Dvd Calendar'!$L$27=SPECIAL_LBL)*(INC_SPECIALS="Y"))=0,"",'Dvd Calendar'!$L$25)))</f>
        <v/>
      </c>
      <c r="K13" s="161">
        <f>IF(EM13="","",IF(ISNUMBER('Dvd Calendar'!$M$25)=FALSE,"",IF((('Dvd Calendar'!$M$27=TYPE1)*(TYPE1&lt;&gt;"")+('Dvd Calendar'!$M$27=TYPE2)*(TYPE2&lt;&gt;"")+('Dvd Calendar'!$M$27=TYPE3)*(TYPE3&lt;&gt;"")+('Dvd Calendar'!$M$27=TYPE4)*(TYPE4&lt;&gt;"")+('Dvd Calendar'!$M$27=SPECIAL_LBL)*(INC_SPECIALS="Y"))=0,"",'Dvd Calendar'!$M$25)))</f>
        <v/>
      </c>
      <c r="L13" s="161">
        <f>IF(EN13="","",IF(ISNUMBER('Dvd Calendar'!$N$25)=FALSE,"",IF((('Dvd Calendar'!$N$27=TYPE1)*(TYPE1&lt;&gt;"")+('Dvd Calendar'!$N$27=TYPE2)*(TYPE2&lt;&gt;"")+('Dvd Calendar'!$N$27=TYPE3)*(TYPE3&lt;&gt;"")+('Dvd Calendar'!$N$27=TYPE4)*(TYPE4&lt;&gt;"")+('Dvd Calendar'!$N$27=SPECIAL_LBL)*(INC_SPECIALS="Y"))=0,"",'Dvd Calendar'!$N$25)))</f>
        <v/>
      </c>
      <c r="M13" s="161">
        <f>IF(EO13="","",IF(ISNUMBER('Dvd Calendar'!$O$25)=FALSE,"",IF((('Dvd Calendar'!$O$27=TYPE1)*(TYPE1&lt;&gt;"")+('Dvd Calendar'!$O$27=TYPE2)*(TYPE2&lt;&gt;"")+('Dvd Calendar'!$O$27=TYPE3)*(TYPE3&lt;&gt;"")+('Dvd Calendar'!$O$27=TYPE4)*(TYPE4&lt;&gt;"")+('Dvd Calendar'!$O$27=SPECIAL_LBL)*(INC_SPECIALS="Y"))=0,"",'Dvd Calendar'!$O$25)))</f>
        <v/>
      </c>
      <c r="N13" s="161">
        <f>IF(EP13="","",IF(ISNUMBER('Dvd Calendar'!$P$25)=FALSE,"",IF((('Dvd Calendar'!$P$27=TYPE1)*(TYPE1&lt;&gt;"")+('Dvd Calendar'!$P$27=TYPE2)*(TYPE2&lt;&gt;"")+('Dvd Calendar'!$P$27=TYPE3)*(TYPE3&lt;&gt;"")+('Dvd Calendar'!$P$27=TYPE4)*(TYPE4&lt;&gt;"")+('Dvd Calendar'!$P$27=SPECIAL_LBL)*(INC_SPECIALS="Y"))=0,"",'Dvd Calendar'!$P$25)))</f>
        <v/>
      </c>
      <c r="O13" s="161">
        <f>IF(EQ13="","",IF(ISNUMBER('Dvd Calendar'!$Q$25)=FALSE,"",IF((('Dvd Calendar'!$Q$27=TYPE1)*(TYPE1&lt;&gt;"")+('Dvd Calendar'!$Q$27=TYPE2)*(TYPE2&lt;&gt;"")+('Dvd Calendar'!$Q$27=TYPE3)*(TYPE3&lt;&gt;"")+('Dvd Calendar'!$Q$27=TYPE4)*(TYPE4&lt;&gt;"")+('Dvd Calendar'!$Q$27=SPECIAL_LBL)*(INC_SPECIALS="Y"))=0,"",'Dvd Calendar'!$Q$25)))</f>
        <v/>
      </c>
      <c r="P13" s="161">
        <f>IF(ER13="","",IF(ISNUMBER('Dvd Calendar'!$R$25)=FALSE,"",IF((('Dvd Calendar'!$R$27=TYPE1)*(TYPE1&lt;&gt;"")+('Dvd Calendar'!$R$27=TYPE2)*(TYPE2&lt;&gt;"")+('Dvd Calendar'!$R$27=TYPE3)*(TYPE3&lt;&gt;"")+('Dvd Calendar'!$R$27=TYPE4)*(TYPE4&lt;&gt;"")+('Dvd Calendar'!$R$27=SPECIAL_LBL)*(INC_SPECIALS="Y"))=0,"",'Dvd Calendar'!$R$25)))</f>
        <v/>
      </c>
      <c r="Q13" s="161">
        <f>IF(ES13="","",IF(ISNUMBER('Dvd Calendar'!$S$25)=FALSE,"",IF((('Dvd Calendar'!$S$27=TYPE1)*(TYPE1&lt;&gt;"")+('Dvd Calendar'!$S$27=TYPE2)*(TYPE2&lt;&gt;"")+('Dvd Calendar'!$S$27=TYPE3)*(TYPE3&lt;&gt;"")+('Dvd Calendar'!$S$27=TYPE4)*(TYPE4&lt;&gt;"")+('Dvd Calendar'!$S$27=SPECIAL_LBL)*(INC_SPECIALS="Y"))=0,"",'Dvd Calendar'!$S$25)))</f>
        <v/>
      </c>
      <c r="R13" s="161">
        <f>IF(ET13="","",IF(ISNUMBER('Dvd Calendar'!$T$25)=FALSE,"",IF((('Dvd Calendar'!$T$27=TYPE1)*(TYPE1&lt;&gt;"")+('Dvd Calendar'!$T$27=TYPE2)*(TYPE2&lt;&gt;"")+('Dvd Calendar'!$T$27=TYPE3)*(TYPE3&lt;&gt;"")+('Dvd Calendar'!$T$27=TYPE4)*(TYPE4&lt;&gt;"")+('Dvd Calendar'!$T$27=SPECIAL_LBL)*(INC_SPECIALS="Y"))=0,"",'Dvd Calendar'!$T$25)))</f>
        <v/>
      </c>
      <c r="S13" s="161">
        <f>IF(EU13="","",IF(ISNUMBER('Dvd Calendar'!$U$25)=FALSE,"",IF((('Dvd Calendar'!$U$27=TYPE1)*(TYPE1&lt;&gt;"")+('Dvd Calendar'!$U$27=TYPE2)*(TYPE2&lt;&gt;"")+('Dvd Calendar'!$U$27=TYPE3)*(TYPE3&lt;&gt;"")+('Dvd Calendar'!$U$27=TYPE4)*(TYPE4&lt;&gt;"")+('Dvd Calendar'!$U$27=SPECIAL_LBL)*(INC_SPECIALS="Y"))=0,"",'Dvd Calendar'!$U$25)))</f>
        <v/>
      </c>
      <c r="T13" s="161">
        <f>IF(EV13="","",IF(ISNUMBER('Dvd Calendar'!$V$25)=FALSE,"",IF((('Dvd Calendar'!$V$27=TYPE1)*(TYPE1&lt;&gt;"")+('Dvd Calendar'!$V$27=TYPE2)*(TYPE2&lt;&gt;"")+('Dvd Calendar'!$V$27=TYPE3)*(TYPE3&lt;&gt;"")+('Dvd Calendar'!$V$27=TYPE4)*(TYPE4&lt;&gt;"")+('Dvd Calendar'!$V$27=SPECIAL_LBL)*(INC_SPECIALS="Y"))=0,"",'Dvd Calendar'!$V$25)))</f>
        <v/>
      </c>
      <c r="U13" s="161">
        <f>IF(EW13="","",IF(ISNUMBER('Dvd Calendar'!$W$25)=FALSE,"",IF((('Dvd Calendar'!$W$27=TYPE1)*(TYPE1&lt;&gt;"")+('Dvd Calendar'!$W$27=TYPE2)*(TYPE2&lt;&gt;"")+('Dvd Calendar'!$W$27=TYPE3)*(TYPE3&lt;&gt;"")+('Dvd Calendar'!$W$27=TYPE4)*(TYPE4&lt;&gt;"")+('Dvd Calendar'!$W$27=SPECIAL_LBL)*(INC_SPECIALS="Y"))=0,"",'Dvd Calendar'!$W$25)))</f>
        <v/>
      </c>
      <c r="V13" s="161">
        <f>IF(EX13="","",IF(ISNUMBER('Dvd Calendar'!$X$25)=FALSE,"",IF((('Dvd Calendar'!$X$27=TYPE1)*(TYPE1&lt;&gt;"")+('Dvd Calendar'!$X$27=TYPE2)*(TYPE2&lt;&gt;"")+('Dvd Calendar'!$X$27=TYPE3)*(TYPE3&lt;&gt;"")+('Dvd Calendar'!$X$27=TYPE4)*(TYPE4&lt;&gt;"")+('Dvd Calendar'!$X$27=SPECIAL_LBL)*(INC_SPECIALS="Y"))=0,"",'Dvd Calendar'!$X$25)))</f>
        <v/>
      </c>
      <c r="W13" s="161">
        <f>IF(EY13="","",IF(ISNUMBER('Dvd Calendar'!$Y$25)=FALSE,"",IF((('Dvd Calendar'!$Y$27=TYPE1)*(TYPE1&lt;&gt;"")+('Dvd Calendar'!$Y$27=TYPE2)*(TYPE2&lt;&gt;"")+('Dvd Calendar'!$Y$27=TYPE3)*(TYPE3&lt;&gt;"")+('Dvd Calendar'!$Y$27=TYPE4)*(TYPE4&lt;&gt;"")+('Dvd Calendar'!$Y$27=SPECIAL_LBL)*(INC_SPECIALS="Y"))=0,"",'Dvd Calendar'!$Y$25)))</f>
        <v/>
      </c>
      <c r="X13" s="161">
        <f>IF(EZ13="","",IF(ISNUMBER('Dvd Calendar'!$Z$25)=FALSE,"",IF((('Dvd Calendar'!$Z$27=TYPE1)*(TYPE1&lt;&gt;"")+('Dvd Calendar'!$Z$27=TYPE2)*(TYPE2&lt;&gt;"")+('Dvd Calendar'!$Z$27=TYPE3)*(TYPE3&lt;&gt;"")+('Dvd Calendar'!$Z$27=TYPE4)*(TYPE4&lt;&gt;"")+('Dvd Calendar'!$Z$27=SPECIAL_LBL)*(INC_SPECIALS="Y"))=0,"",'Dvd Calendar'!$Z$25)))</f>
        <v/>
      </c>
      <c r="Y13" s="161">
        <f>IF(FA13="","",IF(ISNUMBER('Dvd Calendar'!$AA$25)=FALSE,"",IF((('Dvd Calendar'!$AA$27=TYPE1)*(TYPE1&lt;&gt;"")+('Dvd Calendar'!$AA$27=TYPE2)*(TYPE2&lt;&gt;"")+('Dvd Calendar'!$AA$27=TYPE3)*(TYPE3&lt;&gt;"")+('Dvd Calendar'!$AA$27=TYPE4)*(TYPE4&lt;&gt;"")+('Dvd Calendar'!$AA$27=SPECIAL_LBL)*(INC_SPECIALS="Y"))=0,"",'Dvd Calendar'!$AA$25)))</f>
        <v/>
      </c>
      <c r="Z13" s="161">
        <f>IF(FB13="","",IF(ISNUMBER('Dvd Calendar'!$AB$25)=FALSE,"",IF((('Dvd Calendar'!$AB$27=TYPE1)*(TYPE1&lt;&gt;"")+('Dvd Calendar'!$AB$27=TYPE2)*(TYPE2&lt;&gt;"")+('Dvd Calendar'!$AB$27=TYPE3)*(TYPE3&lt;&gt;"")+('Dvd Calendar'!$AB$27=TYPE4)*(TYPE4&lt;&gt;"")+('Dvd Calendar'!$AB$27=SPECIAL_LBL)*(INC_SPECIALS="Y"))=0,"",'Dvd Calendar'!$AB$25)))</f>
        <v/>
      </c>
      <c r="AA13" s="161">
        <f>IF(FC13="","",IF(ISNUMBER('Dvd Calendar'!$AC$25)=FALSE,"",IF((('Dvd Calendar'!$AC$27=TYPE1)*(TYPE1&lt;&gt;"")+('Dvd Calendar'!$AC$27=TYPE2)*(TYPE2&lt;&gt;"")+('Dvd Calendar'!$AC$27=TYPE3)*(TYPE3&lt;&gt;"")+('Dvd Calendar'!$AC$27=TYPE4)*(TYPE4&lt;&gt;"")+('Dvd Calendar'!$AC$27=SPECIAL_LBL)*(INC_SPECIALS="Y"))=0,"",'Dvd Calendar'!$AC$25)))</f>
        <v/>
      </c>
      <c r="AB13" s="161">
        <f>IF(FD13="","",IF(ISNUMBER('Dvd Calendar'!$AD$25)=FALSE,"",IF((('Dvd Calendar'!$AD$27=TYPE1)*(TYPE1&lt;&gt;"")+('Dvd Calendar'!$AD$27=TYPE2)*(TYPE2&lt;&gt;"")+('Dvd Calendar'!$AD$27=TYPE3)*(TYPE3&lt;&gt;"")+('Dvd Calendar'!$AD$27=TYPE4)*(TYPE4&lt;&gt;"")+('Dvd Calendar'!$AD$27=SPECIAL_LBL)*(INC_SPECIALS="Y"))=0,"",'Dvd Calendar'!$AD$25)))</f>
        <v/>
      </c>
      <c r="AC13" s="161">
        <f>IF(FE13="","",IF(ISNUMBER('Dvd Calendar'!$AE$25)=FALSE,"",IF((('Dvd Calendar'!$AE$27=TYPE1)*(TYPE1&lt;&gt;"")+('Dvd Calendar'!$AE$27=TYPE2)*(TYPE2&lt;&gt;"")+('Dvd Calendar'!$AE$27=TYPE3)*(TYPE3&lt;&gt;"")+('Dvd Calendar'!$AE$27=TYPE4)*(TYPE4&lt;&gt;"")+('Dvd Calendar'!$AE$27=SPECIAL_LBL)*(INC_SPECIALS="Y"))=0,"",'Dvd Calendar'!$AE$25)))</f>
        <v/>
      </c>
      <c r="AD13" s="161">
        <f>IF(FF13="","",IF(ISNUMBER('Dvd Calendar'!$AF$25)=FALSE,"",IF((('Dvd Calendar'!$AF$27=TYPE1)*(TYPE1&lt;&gt;"")+('Dvd Calendar'!$AF$27=TYPE2)*(TYPE2&lt;&gt;"")+('Dvd Calendar'!$AF$27=TYPE3)*(TYPE3&lt;&gt;"")+('Dvd Calendar'!$AF$27=TYPE4)*(TYPE4&lt;&gt;"")+('Dvd Calendar'!$AF$27=SPECIAL_LBL)*(INC_SPECIALS="Y"))=0,"",'Dvd Calendar'!$AF$25)))</f>
        <v/>
      </c>
      <c r="AE13" s="161">
        <f>IF(FG13="","",IF(ISNUMBER('Dvd Calendar'!$AG$25)=FALSE,"",IF((('Dvd Calendar'!$AG$27=TYPE1)*(TYPE1&lt;&gt;"")+('Dvd Calendar'!$AG$27=TYPE2)*(TYPE2&lt;&gt;"")+('Dvd Calendar'!$AG$27=TYPE3)*(TYPE3&lt;&gt;"")+('Dvd Calendar'!$AG$27=TYPE4)*(TYPE4&lt;&gt;"")+('Dvd Calendar'!$AG$27=SPECIAL_LBL)*(INC_SPECIALS="Y"))=0,"",'Dvd Calendar'!$AG$25)))</f>
        <v/>
      </c>
      <c r="AF13" s="161">
        <f>IF(FH13="","",IF(ISNUMBER('Dvd Calendar'!$AH$25)=FALSE,"",IF((('Dvd Calendar'!$AH$27=TYPE1)*(TYPE1&lt;&gt;"")+('Dvd Calendar'!$AH$27=TYPE2)*(TYPE2&lt;&gt;"")+('Dvd Calendar'!$AH$27=TYPE3)*(TYPE3&lt;&gt;"")+('Dvd Calendar'!$AH$27=TYPE4)*(TYPE4&lt;&gt;"")+('Dvd Calendar'!$AH$27=SPECIAL_LBL)*(INC_SPECIALS="Y"))=0,"",'Dvd Calendar'!$AH$25)))</f>
        <v/>
      </c>
      <c r="AG13" s="161">
        <f>IF(FI13="","",IF(ISNUMBER('Dvd Calendar'!$AI$25)=FALSE,"",IF((('Dvd Calendar'!$AI$27=TYPE1)*(TYPE1&lt;&gt;"")+('Dvd Calendar'!$AI$27=TYPE2)*(TYPE2&lt;&gt;"")+('Dvd Calendar'!$AI$27=TYPE3)*(TYPE3&lt;&gt;"")+('Dvd Calendar'!$AI$27=TYPE4)*(TYPE4&lt;&gt;"")+('Dvd Calendar'!$AI$27=SPECIAL_LBL)*(INC_SPECIALS="Y"))=0,"",'Dvd Calendar'!$AI$25)))</f>
        <v/>
      </c>
      <c r="AH13" s="161">
        <f>IF(FJ13="","",IF(ISNUMBER('Dvd Calendar'!$AJ$25)=FALSE,"",IF((('Dvd Calendar'!$AJ$27=TYPE1)*(TYPE1&lt;&gt;"")+('Dvd Calendar'!$AJ$27=TYPE2)*(TYPE2&lt;&gt;"")+('Dvd Calendar'!$AJ$27=TYPE3)*(TYPE3&lt;&gt;"")+('Dvd Calendar'!$AJ$27=TYPE4)*(TYPE4&lt;&gt;"")+('Dvd Calendar'!$AJ$27=SPECIAL_LBL)*(INC_SPECIALS="Y"))=0,"",'Dvd Calendar'!$AJ$25)))</f>
        <v/>
      </c>
      <c r="AI13" s="161">
        <f>IF(FK13="","",IF(ISNUMBER('Dvd Calendar'!$AK$25)=FALSE,"",IF((('Dvd Calendar'!$AK$27=TYPE1)*(TYPE1&lt;&gt;"")+('Dvd Calendar'!$AK$27=TYPE2)*(TYPE2&lt;&gt;"")+('Dvd Calendar'!$AK$27=TYPE3)*(TYPE3&lt;&gt;"")+('Dvd Calendar'!$AK$27=TYPE4)*(TYPE4&lt;&gt;"")+('Dvd Calendar'!$AK$27=SPECIAL_LBL)*(INC_SPECIALS="Y"))=0,"",'Dvd Calendar'!$AK$25)))</f>
        <v/>
      </c>
      <c r="AJ13" s="161">
        <f>IF(FL13="","",IF(ISNUMBER('Dvd Calendar'!$AL$25)=FALSE,"",IF((('Dvd Calendar'!$AL$27=TYPE1)*(TYPE1&lt;&gt;"")+('Dvd Calendar'!$AL$27=TYPE2)*(TYPE2&lt;&gt;"")+('Dvd Calendar'!$AL$27=TYPE3)*(TYPE3&lt;&gt;"")+('Dvd Calendar'!$AL$27=TYPE4)*(TYPE4&lt;&gt;"")+('Dvd Calendar'!$AL$27=SPECIAL_LBL)*(INC_SPECIALS="Y"))=0,"",'Dvd Calendar'!$AL$25)))</f>
        <v/>
      </c>
      <c r="AK13" s="161">
        <f>IF(FM13="","",IF(ISNUMBER('Dvd Calendar'!$AM$25)=FALSE,"",IF((('Dvd Calendar'!$AM$27=TYPE1)*(TYPE1&lt;&gt;"")+('Dvd Calendar'!$AM$27=TYPE2)*(TYPE2&lt;&gt;"")+('Dvd Calendar'!$AM$27=TYPE3)*(TYPE3&lt;&gt;"")+('Dvd Calendar'!$AM$27=TYPE4)*(TYPE4&lt;&gt;"")+('Dvd Calendar'!$AM$27=SPECIAL_LBL)*(INC_SPECIALS="Y"))=0,"",'Dvd Calendar'!$AM$25)))</f>
        <v/>
      </c>
      <c r="AL13" s="161">
        <f>IF(FN13="","",IF(ISNUMBER('Dvd Calendar'!$AN$25)=FALSE,"",IF((('Dvd Calendar'!$AN$27=TYPE1)*(TYPE1&lt;&gt;"")+('Dvd Calendar'!$AN$27=TYPE2)*(TYPE2&lt;&gt;"")+('Dvd Calendar'!$AN$27=TYPE3)*(TYPE3&lt;&gt;"")+('Dvd Calendar'!$AN$27=TYPE4)*(TYPE4&lt;&gt;"")+('Dvd Calendar'!$AN$27=SPECIAL_LBL)*(INC_SPECIALS="Y"))=0,"",'Dvd Calendar'!$AN$25)))</f>
        <v/>
      </c>
      <c r="AM13" s="161">
        <f>IF(FO13="","",IF(ISNUMBER('Dvd Calendar'!$AO$25)=FALSE,"",IF((('Dvd Calendar'!$AO$27=TYPE1)*(TYPE1&lt;&gt;"")+('Dvd Calendar'!$AO$27=TYPE2)*(TYPE2&lt;&gt;"")+('Dvd Calendar'!$AO$27=TYPE3)*(TYPE3&lt;&gt;"")+('Dvd Calendar'!$AO$27=TYPE4)*(TYPE4&lt;&gt;"")+('Dvd Calendar'!$AO$27=SPECIAL_LBL)*(INC_SPECIALS="Y"))=0,"",'Dvd Calendar'!$AO$25)))</f>
        <v/>
      </c>
      <c r="AN13" s="161">
        <f>IF(FP13="","",IF(ISNUMBER('Dvd Calendar'!$AP$25)=FALSE,"",IF((('Dvd Calendar'!$AP$27=TYPE1)*(TYPE1&lt;&gt;"")+('Dvd Calendar'!$AP$27=TYPE2)*(TYPE2&lt;&gt;"")+('Dvd Calendar'!$AP$27=TYPE3)*(TYPE3&lt;&gt;"")+('Dvd Calendar'!$AP$27=TYPE4)*(TYPE4&lt;&gt;"")+('Dvd Calendar'!$AP$27=SPECIAL_LBL)*(INC_SPECIALS="Y"))=0,"",'Dvd Calendar'!$AP$25)))</f>
        <v/>
      </c>
      <c r="AO13" s="161">
        <f>IF(FQ13="","",IF(ISNUMBER('Dvd Calendar'!$AQ$25)=FALSE,"",IF((('Dvd Calendar'!$AQ$27=TYPE1)*(TYPE1&lt;&gt;"")+('Dvd Calendar'!$AQ$27=TYPE2)*(TYPE2&lt;&gt;"")+('Dvd Calendar'!$AQ$27=TYPE3)*(TYPE3&lt;&gt;"")+('Dvd Calendar'!$AQ$27=TYPE4)*(TYPE4&lt;&gt;"")+('Dvd Calendar'!$AQ$27=SPECIAL_LBL)*(INC_SPECIALS="Y"))=0,"",'Dvd Calendar'!$AQ$25)))</f>
        <v/>
      </c>
      <c r="AP13" s="161">
        <f>IF(FR13="","",IF(ISNUMBER('Dvd Calendar'!$AR$25)=FALSE,"",IF((('Dvd Calendar'!$AR$27=TYPE1)*(TYPE1&lt;&gt;"")+('Dvd Calendar'!$AR$27=TYPE2)*(TYPE2&lt;&gt;"")+('Dvd Calendar'!$AR$27=TYPE3)*(TYPE3&lt;&gt;"")+('Dvd Calendar'!$AR$27=TYPE4)*(TYPE4&lt;&gt;"")+('Dvd Calendar'!$AR$27=SPECIAL_LBL)*(INC_SPECIALS="Y"))=0,"",'Dvd Calendar'!$AR$25)))</f>
        <v/>
      </c>
      <c r="AQ13" s="161">
        <f>IF(FS13="","",IF(ISNUMBER('Dvd Calendar'!$E$30)=FALSE,"",'Dvd Calendar'!$E$30))</f>
        <v/>
      </c>
      <c r="AR13" s="161">
        <f>IF(FT13="","",IF(ISNUMBER('Dvd Calendar'!$F$30)=FALSE,"",'Dvd Calendar'!$F$30))</f>
        <v/>
      </c>
      <c r="AS13" s="161">
        <f>IF(FU13="","",IF(ISNUMBER('Dvd Calendar'!$G$30)=FALSE,"",'Dvd Calendar'!$G$30))</f>
        <v/>
      </c>
      <c r="AT13" s="161">
        <f>IF(FV13="","",IF(ISNUMBER('Dvd Calendar'!$H$30)=FALSE,"",'Dvd Calendar'!$H$30))</f>
        <v/>
      </c>
      <c r="AU13" s="161">
        <f>IF(FW13="","",IF(ISNUMBER('Dvd Calendar'!$I$30)=FALSE,"",'Dvd Calendar'!$I$30))</f>
        <v/>
      </c>
      <c r="AV13" s="161">
        <f>IF(FX13="","",IF(ISNUMBER('Dvd Calendar'!$J$30)=FALSE,"",'Dvd Calendar'!$J$30))</f>
        <v/>
      </c>
      <c r="AW13" s="161">
        <f>IF(FY13="","",IF(ISNUMBER('Dvd Calendar'!$K$30)=FALSE,"",'Dvd Calendar'!$K$30))</f>
        <v/>
      </c>
      <c r="AX13" s="161">
        <f>IF(FZ13="","",IF(ISNUMBER('Dvd Calendar'!$L$30)=FALSE,"",'Dvd Calendar'!$L$30))</f>
        <v/>
      </c>
      <c r="AY13" s="161">
        <f>IF(GA13="","",IF(ISNUMBER('Dvd Calendar'!$M$30)=FALSE,"",'Dvd Calendar'!$M$30))</f>
        <v/>
      </c>
      <c r="AZ13" s="161">
        <f>IF(GB13="","",IF(ISNUMBER('Dvd Calendar'!$N$30)=FALSE,"",'Dvd Calendar'!$N$30))</f>
        <v/>
      </c>
      <c r="BA13" s="161">
        <f>IF(GC13="","",IF(ISNUMBER('Dvd Calendar'!$O$30)=FALSE,"",'Dvd Calendar'!$O$30))</f>
        <v/>
      </c>
      <c r="BB13" s="161">
        <f>IF(GD13="","",IF(ISNUMBER('Dvd Calendar'!$P$30)=FALSE,"",'Dvd Calendar'!$P$30))</f>
        <v/>
      </c>
      <c r="BC13" s="161">
        <f>IF(GE13="","",IF(ISNUMBER('Dvd Calendar'!$Q$30)=FALSE,"",'Dvd Calendar'!$Q$30))</f>
        <v/>
      </c>
      <c r="BD13" s="161">
        <f>IF(GF13="","",IF(ISNUMBER('Dvd Calendar'!$R$30)=FALSE,"",'Dvd Calendar'!$R$30))</f>
        <v/>
      </c>
      <c r="BE13" s="161">
        <f>IF(GG13="","",IF(ISNUMBER('Dvd Calendar'!$S$30)=FALSE,"",'Dvd Calendar'!$S$30))</f>
        <v/>
      </c>
      <c r="BF13" s="161">
        <f>IF(GH13="","",IF(ISNUMBER('Dvd Calendar'!$T$30)=FALSE,"",'Dvd Calendar'!$T$30))</f>
        <v/>
      </c>
      <c r="BG13" s="161">
        <f>IF(GI13="","",IF(ISNUMBER('Dvd Calendar'!$U$30)=FALSE,"",'Dvd Calendar'!$U$30))</f>
        <v/>
      </c>
      <c r="BH13" s="161">
        <f>IF(GJ13="","",IF(ISNUMBER('Dvd Calendar'!$V$30)=FALSE,"",'Dvd Calendar'!$V$30))</f>
        <v/>
      </c>
      <c r="BI13" s="161">
        <f>IF(GK13="","",IF(ISNUMBER('Dvd Calendar'!$W$30)=FALSE,"",'Dvd Calendar'!$W$30))</f>
        <v/>
      </c>
      <c r="BJ13" s="161">
        <f>IF(GL13="","",IF(ISNUMBER('Dvd Calendar'!$X$30)=FALSE,"",'Dvd Calendar'!$X$30))</f>
        <v/>
      </c>
      <c r="BK13" s="161">
        <f>IF(GM13="","",IF(ISNUMBER('Dvd Calendar'!$Y$30)=FALSE,"",'Dvd Calendar'!$Y$30))</f>
        <v/>
      </c>
      <c r="BL13" s="161">
        <f>IF(GN13="","",IF(ISNUMBER('Dvd Calendar'!$Z$30)=FALSE,"",'Dvd Calendar'!$Z$30))</f>
        <v/>
      </c>
      <c r="BM13" s="161">
        <f>IF(GO13="","",IF(ISNUMBER('Dvd Calendar'!$AA$30)=FALSE,"",'Dvd Calendar'!$AA$30))</f>
        <v/>
      </c>
      <c r="BN13" s="161">
        <f>IF(GP13="","",IF(ISNUMBER('Dvd Calendar'!$AB$30)=FALSE,"",'Dvd Calendar'!$AB$30))</f>
        <v/>
      </c>
      <c r="BO13" s="161">
        <f>IF(GQ13="","",IF(ISNUMBER('Dvd Calendar'!$AC$30)=FALSE,"",'Dvd Calendar'!$AC$30))</f>
        <v/>
      </c>
      <c r="BQ13" s="161">
        <f>IF(C13="","",IFERROR(C13*HSI!$B$8*HSI!$G$8/HSI!$B$3,""))</f>
        <v/>
      </c>
      <c r="BR13" s="161">
        <f>IF(D13="","",IFERROR(D13*HSI!$B$8*HSI!$G$8/HSI!$B$3,""))</f>
        <v/>
      </c>
      <c r="BS13" s="161">
        <f>IF(E13="","",IFERROR(E13*HSI!$B$8*HSI!$G$8/HSI!$B$3,""))</f>
        <v/>
      </c>
      <c r="BT13" s="161">
        <f>IF(F13="","",IFERROR(F13*HSI!$B$8*HSI!$G$8/HSI!$B$3,""))</f>
        <v/>
      </c>
      <c r="BU13" s="161">
        <f>IF(G13="","",IFERROR(G13*HSI!$B$8*HSI!$G$8/HSI!$B$3,""))</f>
        <v/>
      </c>
      <c r="BV13" s="161">
        <f>IF(H13="","",IFERROR(H13*HSI!$B$8*HSI!$G$8/HSI!$B$3,""))</f>
        <v/>
      </c>
      <c r="BW13" s="161">
        <f>IF(I13="","",IFERROR(I13*HSI!$B$8*HSI!$G$8/HSI!$B$3,""))</f>
        <v/>
      </c>
      <c r="BX13" s="161">
        <f>IF(J13="","",IFERROR(J13*HSI!$B$8*HSI!$G$8/HSI!$B$3,""))</f>
        <v/>
      </c>
      <c r="BY13" s="161">
        <f>IF(K13="","",IFERROR(K13*HSI!$B$8*HSI!$G$8/HSI!$B$3,""))</f>
        <v/>
      </c>
      <c r="BZ13" s="161">
        <f>IF(L13="","",IFERROR(L13*HSI!$B$8*HSI!$G$8/HSI!$B$3,""))</f>
        <v/>
      </c>
      <c r="CA13" s="161">
        <f>IF(M13="","",IFERROR(M13*HSI!$B$8*HSI!$G$8/HSI!$B$3,""))</f>
        <v/>
      </c>
      <c r="CB13" s="161">
        <f>IF(N13="","",IFERROR(N13*HSI!$B$8*HSI!$G$8/HSI!$B$3,""))</f>
        <v/>
      </c>
      <c r="CC13" s="161">
        <f>IF(O13="","",IFERROR(O13*HSI!$B$8*HSI!$G$8/HSI!$B$3,""))</f>
        <v/>
      </c>
      <c r="CD13" s="161">
        <f>IF(P13="","",IFERROR(P13*HSI!$B$8*HSI!$G$8/HSI!$B$3,""))</f>
        <v/>
      </c>
      <c r="CE13" s="161">
        <f>IF(Q13="","",IFERROR(Q13*HSI!$B$8*HSI!$G$8/HSI!$B$3,""))</f>
        <v/>
      </c>
      <c r="CF13" s="161">
        <f>IF(R13="","",IFERROR(R13*HSI!$B$8*HSI!$G$8/HSI!$B$3,""))</f>
        <v/>
      </c>
      <c r="CG13" s="161">
        <f>IF(S13="","",IFERROR(S13*HSI!$B$8*HSI!$G$8/HSI!$B$3,""))</f>
        <v/>
      </c>
      <c r="CH13" s="161">
        <f>IF(T13="","",IFERROR(T13*HSI!$B$8*HSI!$G$8/HSI!$B$3,""))</f>
        <v/>
      </c>
      <c r="CI13" s="161">
        <f>IF(U13="","",IFERROR(U13*HSI!$B$8*HSI!$G$8/HSI!$B$3,""))</f>
        <v/>
      </c>
      <c r="CJ13" s="161">
        <f>IF(V13="","",IFERROR(V13*HSI!$B$8*HSI!$G$8/HSI!$B$3,""))</f>
        <v/>
      </c>
      <c r="CK13" s="161">
        <f>IF(W13="","",IFERROR(W13*HSI!$B$8*HSI!$G$8/HSI!$B$3,""))</f>
        <v/>
      </c>
      <c r="CL13" s="161">
        <f>IF(X13="","",IFERROR(X13*HSI!$B$8*HSI!$G$8/HSI!$B$3,""))</f>
        <v/>
      </c>
      <c r="CM13" s="161">
        <f>IF(Y13="","",IFERROR(Y13*HSI!$B$8*HSI!$G$8/HSI!$B$3,""))</f>
        <v/>
      </c>
      <c r="CN13" s="161">
        <f>IF(Z13="","",IFERROR(Z13*HSI!$B$8*HSI!$G$8/HSI!$B$3,""))</f>
        <v/>
      </c>
      <c r="CO13" s="161">
        <f>IF(AA13="","",IFERROR(AA13*HSI!$B$8*HSI!$G$8/HSI!$B$3,""))</f>
        <v/>
      </c>
      <c r="CP13" s="161">
        <f>IF(AB13="","",IFERROR(AB13*HSI!$B$8*HSI!$G$8/HSI!$B$3,""))</f>
        <v/>
      </c>
      <c r="CQ13" s="161">
        <f>IF(AC13="","",IFERROR(AC13*HSI!$B$8*HSI!$G$8/HSI!$B$3,""))</f>
        <v/>
      </c>
      <c r="CR13" s="161">
        <f>IF(AD13="","",IFERROR(AD13*HSI!$B$8*HSI!$G$8/HSI!$B$3,""))</f>
        <v/>
      </c>
      <c r="CS13" s="161">
        <f>IF(AE13="","",IFERROR(AE13*HSI!$B$8*HSI!$G$8/HSI!$B$3,""))</f>
        <v/>
      </c>
      <c r="CT13" s="161">
        <f>IF(AF13="","",IFERROR(AF13*HSI!$B$8*HSI!$G$8/HSI!$B$3,""))</f>
        <v/>
      </c>
      <c r="CU13" s="161">
        <f>IF(AG13="","",IFERROR(AG13*HSI!$B$8*HSI!$G$8/HSI!$B$3,""))</f>
        <v/>
      </c>
      <c r="CV13" s="161">
        <f>IF(AH13="","",IFERROR(AH13*HSI!$B$8*HSI!$G$8/HSI!$B$3,""))</f>
        <v/>
      </c>
      <c r="CW13" s="161">
        <f>IF(AI13="","",IFERROR(AI13*HSI!$B$8*HSI!$G$8/HSI!$B$3,""))</f>
        <v/>
      </c>
      <c r="CX13" s="161">
        <f>IF(AJ13="","",IFERROR(AJ13*HSI!$B$8*HSI!$G$8/HSI!$B$3,""))</f>
        <v/>
      </c>
      <c r="CY13" s="161">
        <f>IF(AK13="","",IFERROR(AK13*HSI!$B$8*HSI!$G$8/HSI!$B$3,""))</f>
        <v/>
      </c>
      <c r="CZ13" s="161">
        <f>IF(AL13="","",IFERROR(AL13*HSI!$B$8*HSI!$G$8/HSI!$B$3,""))</f>
        <v/>
      </c>
      <c r="DA13" s="161">
        <f>IF(AM13="","",IFERROR(AM13*HSI!$B$8*HSI!$G$8/HSI!$B$3,""))</f>
        <v/>
      </c>
      <c r="DB13" s="161">
        <f>IF(AN13="","",IFERROR(AN13*HSI!$B$8*HSI!$G$8/HSI!$B$3,""))</f>
        <v/>
      </c>
      <c r="DC13" s="161">
        <f>IF(AO13="","",IFERROR(AO13*HSI!$B$8*HSI!$G$8/HSI!$B$3,""))</f>
        <v/>
      </c>
      <c r="DD13" s="161">
        <f>IF(AP13="","",IFERROR(AP13*HSI!$B$8*HSI!$G$8/HSI!$B$3,""))</f>
        <v/>
      </c>
      <c r="DE13" s="161">
        <f>IF(AQ13="","",IFERROR(AQ13*HSI!$B$8*HSI!$G$8/HSI!$B$3,""))</f>
        <v/>
      </c>
      <c r="DF13" s="161">
        <f>IF(AR13="","",IFERROR(AR13*HSI!$B$8*HSI!$G$8/HSI!$B$3,""))</f>
        <v/>
      </c>
      <c r="DG13" s="161">
        <f>IF(AS13="","",IFERROR(AS13*HSI!$B$8*HSI!$G$8/HSI!$B$3,""))</f>
        <v/>
      </c>
      <c r="DH13" s="161">
        <f>IF(AT13="","",IFERROR(AT13*HSI!$B$8*HSI!$G$8/HSI!$B$3,""))</f>
        <v/>
      </c>
      <c r="DI13" s="161">
        <f>IF(AU13="","",IFERROR(AU13*HSI!$B$8*HSI!$G$8/HSI!$B$3,""))</f>
        <v/>
      </c>
      <c r="DJ13" s="161">
        <f>IF(AV13="","",IFERROR(AV13*HSI!$B$8*HSI!$G$8/HSI!$B$3,""))</f>
        <v/>
      </c>
      <c r="DK13" s="161">
        <f>IF(AW13="","",IFERROR(AW13*HSI!$B$8*HSI!$G$8/HSI!$B$3,""))</f>
        <v/>
      </c>
      <c r="DL13" s="161">
        <f>IF(AX13="","",IFERROR(AX13*HSI!$B$8*HSI!$G$8/HSI!$B$3,""))</f>
        <v/>
      </c>
      <c r="DM13" s="161">
        <f>IF(AY13="","",IFERROR(AY13*HSI!$B$8*HSI!$G$8/HSI!$B$3,""))</f>
        <v/>
      </c>
      <c r="DN13" s="161">
        <f>IF(AZ13="","",IFERROR(AZ13*HSI!$B$8*HSI!$G$8/HSI!$B$3,""))</f>
        <v/>
      </c>
      <c r="DO13" s="161">
        <f>IF(BA13="","",IFERROR(BA13*HSI!$B$8*HSI!$G$8/HSI!$B$3,""))</f>
        <v/>
      </c>
      <c r="DP13" s="161">
        <f>IF(BB13="","",IFERROR(BB13*HSI!$B$8*HSI!$G$8/HSI!$B$3,""))</f>
        <v/>
      </c>
      <c r="DQ13" s="161">
        <f>IF(BC13="","",IFERROR(BC13*HSI!$B$8*HSI!$G$8/HSI!$B$3,""))</f>
        <v/>
      </c>
      <c r="DR13" s="161">
        <f>IF(BD13="","",IFERROR(BD13*HSI!$B$8*HSI!$G$8/HSI!$B$3,""))</f>
        <v/>
      </c>
      <c r="DS13" s="161">
        <f>IF(BE13="","",IFERROR(BE13*HSI!$B$8*HSI!$G$8/HSI!$B$3,""))</f>
        <v/>
      </c>
      <c r="DT13" s="161">
        <f>IF(BF13="","",IFERROR(BF13*HSI!$B$8*HSI!$G$8/HSI!$B$3,""))</f>
        <v/>
      </c>
      <c r="DU13" s="161">
        <f>IF(BG13="","",IFERROR(BG13*HSI!$B$8*HSI!$G$8/HSI!$B$3,""))</f>
        <v/>
      </c>
      <c r="DV13" s="161">
        <f>IF(BH13="","",IFERROR(BH13*HSI!$B$8*HSI!$G$8/HSI!$B$3,""))</f>
        <v/>
      </c>
      <c r="DW13" s="161">
        <f>IF(BI13="","",IFERROR(BI13*HSI!$B$8*HSI!$G$8/HSI!$B$3,""))</f>
        <v/>
      </c>
      <c r="DX13" s="161">
        <f>IF(BJ13="","",IFERROR(BJ13*HSI!$B$8*HSI!$G$8/HSI!$B$3,""))</f>
        <v/>
      </c>
      <c r="DY13" s="161">
        <f>IF(BK13="","",IFERROR(BK13*HSI!$B$8*HSI!$G$8/HSI!$B$3,""))</f>
        <v/>
      </c>
      <c r="DZ13" s="161">
        <f>IF(BL13="","",IFERROR(BL13*HSI!$B$8*HSI!$G$8/HSI!$B$3,""))</f>
        <v/>
      </c>
      <c r="EA13" s="161">
        <f>IF(BM13="","",IFERROR(BM13*HSI!$B$8*HSI!$G$8/HSI!$B$3,""))</f>
        <v/>
      </c>
      <c r="EB13" s="161">
        <f>IF(BN13="","",IFERROR(BN13*HSI!$B$8*HSI!$G$8/HSI!$B$3,""))</f>
        <v/>
      </c>
      <c r="EC13" s="161">
        <f>IF(BO13="","",IFERROR(BO13*HSI!$B$8*HSI!$G$8/HSI!$B$3,""))</f>
        <v/>
      </c>
      <c r="EE13" s="121">
        <f>IF(N('Dvd Calendar'!$E$22)=0,"",IF(('Dvd Calendar'!$E$22&gt;=GRID_FROM)*('Dvd Calendar'!$E$22&lt;=GRID_TO)*((('Dvd Calendar'!$E$22&lt;=VAL_DATE)+(COUNTIF('Dvd Calendar'!$E$29:$AR$29,'Dvd Calendar'!$E$22)=0))&gt;0)=0,"",'Dvd Calendar'!$E$22*1000000000+ISNUMBER('Dvd Calendar'!$E$25)*100000000+('Dvd Calendar'!$E$27=SPECIAL_LBL)*10000000+(N('Dvd Calendar'!$E$21)&gt;0)*(N('Dvd Calendar'!$E$21)&lt;=VAL_SERIAL)*1000000+2*1000+1))</f>
        <v/>
      </c>
      <c r="EF13" s="121">
        <f>IF(N('Dvd Calendar'!$F$22)=0,"",IF(('Dvd Calendar'!$F$22&gt;=GRID_FROM)*('Dvd Calendar'!$F$22&lt;=GRID_TO)*((('Dvd Calendar'!$F$22&lt;=VAL_DATE)+(COUNTIF('Dvd Calendar'!$E$29:$AR$29,'Dvd Calendar'!$F$22)=0))&gt;0)=0,"",'Dvd Calendar'!$F$22*1000000000+ISNUMBER('Dvd Calendar'!$F$25)*100000000+('Dvd Calendar'!$F$27=SPECIAL_LBL)*10000000+(N('Dvd Calendar'!$F$21)&gt;0)*(N('Dvd Calendar'!$F$21)&lt;=VAL_SERIAL)*1000000+2*1000+2))</f>
        <v/>
      </c>
      <c r="EG13" s="121">
        <f>IF(N('Dvd Calendar'!$G$22)=0,"",IF(('Dvd Calendar'!$G$22&gt;=GRID_FROM)*('Dvd Calendar'!$G$22&lt;=GRID_TO)*((('Dvd Calendar'!$G$22&lt;=VAL_DATE)+(COUNTIF('Dvd Calendar'!$E$29:$AR$29,'Dvd Calendar'!$G$22)=0))&gt;0)=0,"",'Dvd Calendar'!$G$22*1000000000+ISNUMBER('Dvd Calendar'!$G$25)*100000000+('Dvd Calendar'!$G$27=SPECIAL_LBL)*10000000+(N('Dvd Calendar'!$G$21)&gt;0)*(N('Dvd Calendar'!$G$21)&lt;=VAL_SERIAL)*1000000+2*1000+3))</f>
        <v/>
      </c>
      <c r="EH13" s="121">
        <f>IF(N('Dvd Calendar'!$H$22)=0,"",IF(('Dvd Calendar'!$H$22&gt;=GRID_FROM)*('Dvd Calendar'!$H$22&lt;=GRID_TO)*((('Dvd Calendar'!$H$22&lt;=VAL_DATE)+(COUNTIF('Dvd Calendar'!$E$29:$AR$29,'Dvd Calendar'!$H$22)=0))&gt;0)=0,"",'Dvd Calendar'!$H$22*1000000000+ISNUMBER('Dvd Calendar'!$H$25)*100000000+('Dvd Calendar'!$H$27=SPECIAL_LBL)*10000000+(N('Dvd Calendar'!$H$21)&gt;0)*(N('Dvd Calendar'!$H$21)&lt;=VAL_SERIAL)*1000000+2*1000+4))</f>
        <v/>
      </c>
      <c r="EI13" s="121">
        <f>IF(N('Dvd Calendar'!$I$22)=0,"",IF(('Dvd Calendar'!$I$22&gt;=GRID_FROM)*('Dvd Calendar'!$I$22&lt;=GRID_TO)*((('Dvd Calendar'!$I$22&lt;=VAL_DATE)+(COUNTIF('Dvd Calendar'!$E$29:$AR$29,'Dvd Calendar'!$I$22)=0))&gt;0)=0,"",'Dvd Calendar'!$I$22*1000000000+ISNUMBER('Dvd Calendar'!$I$25)*100000000+('Dvd Calendar'!$I$27=SPECIAL_LBL)*10000000+(N('Dvd Calendar'!$I$21)&gt;0)*(N('Dvd Calendar'!$I$21)&lt;=VAL_SERIAL)*1000000+2*1000+5))</f>
        <v/>
      </c>
      <c r="EJ13" s="121">
        <f>IF(N('Dvd Calendar'!$J$22)=0,"",IF(('Dvd Calendar'!$J$22&gt;=GRID_FROM)*('Dvd Calendar'!$J$22&lt;=GRID_TO)*((('Dvd Calendar'!$J$22&lt;=VAL_DATE)+(COUNTIF('Dvd Calendar'!$E$29:$AR$29,'Dvd Calendar'!$J$22)=0))&gt;0)=0,"",'Dvd Calendar'!$J$22*1000000000+ISNUMBER('Dvd Calendar'!$J$25)*100000000+('Dvd Calendar'!$J$27=SPECIAL_LBL)*10000000+(N('Dvd Calendar'!$J$21)&gt;0)*(N('Dvd Calendar'!$J$21)&lt;=VAL_SERIAL)*1000000+2*1000+6))</f>
        <v/>
      </c>
      <c r="EK13" s="121">
        <f>IF(N('Dvd Calendar'!$K$22)=0,"",IF(('Dvd Calendar'!$K$22&gt;=GRID_FROM)*('Dvd Calendar'!$K$22&lt;=GRID_TO)*((('Dvd Calendar'!$K$22&lt;=VAL_DATE)+(COUNTIF('Dvd Calendar'!$E$29:$AR$29,'Dvd Calendar'!$K$22)=0))&gt;0)=0,"",'Dvd Calendar'!$K$22*1000000000+ISNUMBER('Dvd Calendar'!$K$25)*100000000+('Dvd Calendar'!$K$27=SPECIAL_LBL)*10000000+(N('Dvd Calendar'!$K$21)&gt;0)*(N('Dvd Calendar'!$K$21)&lt;=VAL_SERIAL)*1000000+2*1000+7))</f>
        <v/>
      </c>
      <c r="EL13" s="121">
        <f>IF(N('Dvd Calendar'!$L$22)=0,"",IF(('Dvd Calendar'!$L$22&gt;=GRID_FROM)*('Dvd Calendar'!$L$22&lt;=GRID_TO)*((('Dvd Calendar'!$L$22&lt;=VAL_DATE)+(COUNTIF('Dvd Calendar'!$E$29:$AR$29,'Dvd Calendar'!$L$22)=0))&gt;0)=0,"",'Dvd Calendar'!$L$22*1000000000+ISNUMBER('Dvd Calendar'!$L$25)*100000000+('Dvd Calendar'!$L$27=SPECIAL_LBL)*10000000+(N('Dvd Calendar'!$L$21)&gt;0)*(N('Dvd Calendar'!$L$21)&lt;=VAL_SERIAL)*1000000+2*1000+8))</f>
        <v/>
      </c>
      <c r="EM13" s="121">
        <f>IF(N('Dvd Calendar'!$M$22)=0,"",IF(('Dvd Calendar'!$M$22&gt;=GRID_FROM)*('Dvd Calendar'!$M$22&lt;=GRID_TO)*((('Dvd Calendar'!$M$22&lt;=VAL_DATE)+(COUNTIF('Dvd Calendar'!$E$29:$AR$29,'Dvd Calendar'!$M$22)=0))&gt;0)=0,"",'Dvd Calendar'!$M$22*1000000000+ISNUMBER('Dvd Calendar'!$M$25)*100000000+('Dvd Calendar'!$M$27=SPECIAL_LBL)*10000000+(N('Dvd Calendar'!$M$21)&gt;0)*(N('Dvd Calendar'!$M$21)&lt;=VAL_SERIAL)*1000000+2*1000+9))</f>
        <v/>
      </c>
      <c r="EN13" s="121">
        <f>IF(N('Dvd Calendar'!$N$22)=0,"",IF(('Dvd Calendar'!$N$22&gt;=GRID_FROM)*('Dvd Calendar'!$N$22&lt;=GRID_TO)*((('Dvd Calendar'!$N$22&lt;=VAL_DATE)+(COUNTIF('Dvd Calendar'!$E$29:$AR$29,'Dvd Calendar'!$N$22)=0))&gt;0)=0,"",'Dvd Calendar'!$N$22*1000000000+ISNUMBER('Dvd Calendar'!$N$25)*100000000+('Dvd Calendar'!$N$27=SPECIAL_LBL)*10000000+(N('Dvd Calendar'!$N$21)&gt;0)*(N('Dvd Calendar'!$N$21)&lt;=VAL_SERIAL)*1000000+2*1000+10))</f>
        <v/>
      </c>
      <c r="EO13" s="121">
        <f>IF(N('Dvd Calendar'!$O$22)=0,"",IF(('Dvd Calendar'!$O$22&gt;=GRID_FROM)*('Dvd Calendar'!$O$22&lt;=GRID_TO)*((('Dvd Calendar'!$O$22&lt;=VAL_DATE)+(COUNTIF('Dvd Calendar'!$E$29:$AR$29,'Dvd Calendar'!$O$22)=0))&gt;0)=0,"",'Dvd Calendar'!$O$22*1000000000+ISNUMBER('Dvd Calendar'!$O$25)*100000000+('Dvd Calendar'!$O$27=SPECIAL_LBL)*10000000+(N('Dvd Calendar'!$O$21)&gt;0)*(N('Dvd Calendar'!$O$21)&lt;=VAL_SERIAL)*1000000+2*1000+11))</f>
        <v/>
      </c>
      <c r="EP13" s="121">
        <f>IF(N('Dvd Calendar'!$P$22)=0,"",IF(('Dvd Calendar'!$P$22&gt;=GRID_FROM)*('Dvd Calendar'!$P$22&lt;=GRID_TO)*((('Dvd Calendar'!$P$22&lt;=VAL_DATE)+(COUNTIF('Dvd Calendar'!$E$29:$AR$29,'Dvd Calendar'!$P$22)=0))&gt;0)=0,"",'Dvd Calendar'!$P$22*1000000000+ISNUMBER('Dvd Calendar'!$P$25)*100000000+('Dvd Calendar'!$P$27=SPECIAL_LBL)*10000000+(N('Dvd Calendar'!$P$21)&gt;0)*(N('Dvd Calendar'!$P$21)&lt;=VAL_SERIAL)*1000000+2*1000+12))</f>
        <v/>
      </c>
      <c r="EQ13" s="121">
        <f>IF(N('Dvd Calendar'!$Q$22)=0,"",IF(('Dvd Calendar'!$Q$22&gt;=GRID_FROM)*('Dvd Calendar'!$Q$22&lt;=GRID_TO)*((('Dvd Calendar'!$Q$22&lt;=VAL_DATE)+(COUNTIF('Dvd Calendar'!$E$29:$AR$29,'Dvd Calendar'!$Q$22)=0))&gt;0)=0,"",'Dvd Calendar'!$Q$22*1000000000+ISNUMBER('Dvd Calendar'!$Q$25)*100000000+('Dvd Calendar'!$Q$27=SPECIAL_LBL)*10000000+(N('Dvd Calendar'!$Q$21)&gt;0)*(N('Dvd Calendar'!$Q$21)&lt;=VAL_SERIAL)*1000000+2*1000+13))</f>
        <v/>
      </c>
      <c r="ER13" s="121">
        <f>IF(N('Dvd Calendar'!$R$22)=0,"",IF(('Dvd Calendar'!$R$22&gt;=GRID_FROM)*('Dvd Calendar'!$R$22&lt;=GRID_TO)*((('Dvd Calendar'!$R$22&lt;=VAL_DATE)+(COUNTIF('Dvd Calendar'!$E$29:$AR$29,'Dvd Calendar'!$R$22)=0))&gt;0)=0,"",'Dvd Calendar'!$R$22*1000000000+ISNUMBER('Dvd Calendar'!$R$25)*100000000+('Dvd Calendar'!$R$27=SPECIAL_LBL)*10000000+(N('Dvd Calendar'!$R$21)&gt;0)*(N('Dvd Calendar'!$R$21)&lt;=VAL_SERIAL)*1000000+2*1000+14))</f>
        <v/>
      </c>
      <c r="ES13" s="121">
        <f>IF(N('Dvd Calendar'!$S$22)=0,"",IF(('Dvd Calendar'!$S$22&gt;=GRID_FROM)*('Dvd Calendar'!$S$22&lt;=GRID_TO)*((('Dvd Calendar'!$S$22&lt;=VAL_DATE)+(COUNTIF('Dvd Calendar'!$E$29:$AR$29,'Dvd Calendar'!$S$22)=0))&gt;0)=0,"",'Dvd Calendar'!$S$22*1000000000+ISNUMBER('Dvd Calendar'!$S$25)*100000000+('Dvd Calendar'!$S$27=SPECIAL_LBL)*10000000+(N('Dvd Calendar'!$S$21)&gt;0)*(N('Dvd Calendar'!$S$21)&lt;=VAL_SERIAL)*1000000+2*1000+15))</f>
        <v/>
      </c>
      <c r="ET13" s="121">
        <f>IF(N('Dvd Calendar'!$T$22)=0,"",IF(('Dvd Calendar'!$T$22&gt;=GRID_FROM)*('Dvd Calendar'!$T$22&lt;=GRID_TO)*((('Dvd Calendar'!$T$22&lt;=VAL_DATE)+(COUNTIF('Dvd Calendar'!$E$29:$AR$29,'Dvd Calendar'!$T$22)=0))&gt;0)=0,"",'Dvd Calendar'!$T$22*1000000000+ISNUMBER('Dvd Calendar'!$T$25)*100000000+('Dvd Calendar'!$T$27=SPECIAL_LBL)*10000000+(N('Dvd Calendar'!$T$21)&gt;0)*(N('Dvd Calendar'!$T$21)&lt;=VAL_SERIAL)*1000000+2*1000+16))</f>
        <v/>
      </c>
      <c r="EU13" s="121">
        <f>IF(N('Dvd Calendar'!$U$22)=0,"",IF(('Dvd Calendar'!$U$22&gt;=GRID_FROM)*('Dvd Calendar'!$U$22&lt;=GRID_TO)*((('Dvd Calendar'!$U$22&lt;=VAL_DATE)+(COUNTIF('Dvd Calendar'!$E$29:$AR$29,'Dvd Calendar'!$U$22)=0))&gt;0)=0,"",'Dvd Calendar'!$U$22*1000000000+ISNUMBER('Dvd Calendar'!$U$25)*100000000+('Dvd Calendar'!$U$27=SPECIAL_LBL)*10000000+(N('Dvd Calendar'!$U$21)&gt;0)*(N('Dvd Calendar'!$U$21)&lt;=VAL_SERIAL)*1000000+2*1000+17))</f>
        <v/>
      </c>
      <c r="EV13" s="121">
        <f>IF(N('Dvd Calendar'!$V$22)=0,"",IF(('Dvd Calendar'!$V$22&gt;=GRID_FROM)*('Dvd Calendar'!$V$22&lt;=GRID_TO)*((('Dvd Calendar'!$V$22&lt;=VAL_DATE)+(COUNTIF('Dvd Calendar'!$E$29:$AR$29,'Dvd Calendar'!$V$22)=0))&gt;0)=0,"",'Dvd Calendar'!$V$22*1000000000+ISNUMBER('Dvd Calendar'!$V$25)*100000000+('Dvd Calendar'!$V$27=SPECIAL_LBL)*10000000+(N('Dvd Calendar'!$V$21)&gt;0)*(N('Dvd Calendar'!$V$21)&lt;=VAL_SERIAL)*1000000+2*1000+18))</f>
        <v/>
      </c>
      <c r="EW13" s="121">
        <f>IF(N('Dvd Calendar'!$W$22)=0,"",IF(('Dvd Calendar'!$W$22&gt;=GRID_FROM)*('Dvd Calendar'!$W$22&lt;=GRID_TO)*((('Dvd Calendar'!$W$22&lt;=VAL_DATE)+(COUNTIF('Dvd Calendar'!$E$29:$AR$29,'Dvd Calendar'!$W$22)=0))&gt;0)=0,"",'Dvd Calendar'!$W$22*1000000000+ISNUMBER('Dvd Calendar'!$W$25)*100000000+('Dvd Calendar'!$W$27=SPECIAL_LBL)*10000000+(N('Dvd Calendar'!$W$21)&gt;0)*(N('Dvd Calendar'!$W$21)&lt;=VAL_SERIAL)*1000000+2*1000+19))</f>
        <v/>
      </c>
      <c r="EX13" s="121">
        <f>IF(N('Dvd Calendar'!$X$22)=0,"",IF(('Dvd Calendar'!$X$22&gt;=GRID_FROM)*('Dvd Calendar'!$X$22&lt;=GRID_TO)*((('Dvd Calendar'!$X$22&lt;=VAL_DATE)+(COUNTIF('Dvd Calendar'!$E$29:$AR$29,'Dvd Calendar'!$X$22)=0))&gt;0)=0,"",'Dvd Calendar'!$X$22*1000000000+ISNUMBER('Dvd Calendar'!$X$25)*100000000+('Dvd Calendar'!$X$27=SPECIAL_LBL)*10000000+(N('Dvd Calendar'!$X$21)&gt;0)*(N('Dvd Calendar'!$X$21)&lt;=VAL_SERIAL)*1000000+2*1000+20))</f>
        <v/>
      </c>
      <c r="EY13" s="121">
        <f>IF(N('Dvd Calendar'!$Y$22)=0,"",IF(('Dvd Calendar'!$Y$22&gt;=GRID_FROM)*('Dvd Calendar'!$Y$22&lt;=GRID_TO)*((('Dvd Calendar'!$Y$22&lt;=VAL_DATE)+(COUNTIF('Dvd Calendar'!$E$29:$AR$29,'Dvd Calendar'!$Y$22)=0))&gt;0)=0,"",'Dvd Calendar'!$Y$22*1000000000+ISNUMBER('Dvd Calendar'!$Y$25)*100000000+('Dvd Calendar'!$Y$27=SPECIAL_LBL)*10000000+(N('Dvd Calendar'!$Y$21)&gt;0)*(N('Dvd Calendar'!$Y$21)&lt;=VAL_SERIAL)*1000000+2*1000+21))</f>
        <v/>
      </c>
      <c r="EZ13" s="121">
        <f>IF(N('Dvd Calendar'!$Z$22)=0,"",IF(('Dvd Calendar'!$Z$22&gt;=GRID_FROM)*('Dvd Calendar'!$Z$22&lt;=GRID_TO)*((('Dvd Calendar'!$Z$22&lt;=VAL_DATE)+(COUNTIF('Dvd Calendar'!$E$29:$AR$29,'Dvd Calendar'!$Z$22)=0))&gt;0)=0,"",'Dvd Calendar'!$Z$22*1000000000+ISNUMBER('Dvd Calendar'!$Z$25)*100000000+('Dvd Calendar'!$Z$27=SPECIAL_LBL)*10000000+(N('Dvd Calendar'!$Z$21)&gt;0)*(N('Dvd Calendar'!$Z$21)&lt;=VAL_SERIAL)*1000000+2*1000+22))</f>
        <v/>
      </c>
      <c r="FA13" s="121">
        <f>IF(N('Dvd Calendar'!$AA$22)=0,"",IF(('Dvd Calendar'!$AA$22&gt;=GRID_FROM)*('Dvd Calendar'!$AA$22&lt;=GRID_TO)*((('Dvd Calendar'!$AA$22&lt;=VAL_DATE)+(COUNTIF('Dvd Calendar'!$E$29:$AR$29,'Dvd Calendar'!$AA$22)=0))&gt;0)=0,"",'Dvd Calendar'!$AA$22*1000000000+ISNUMBER('Dvd Calendar'!$AA$25)*100000000+('Dvd Calendar'!$AA$27=SPECIAL_LBL)*10000000+(N('Dvd Calendar'!$AA$21)&gt;0)*(N('Dvd Calendar'!$AA$21)&lt;=VAL_SERIAL)*1000000+2*1000+23))</f>
        <v/>
      </c>
      <c r="FB13" s="121">
        <f>IF(N('Dvd Calendar'!$AB$22)=0,"",IF(('Dvd Calendar'!$AB$22&gt;=GRID_FROM)*('Dvd Calendar'!$AB$22&lt;=GRID_TO)*((('Dvd Calendar'!$AB$22&lt;=VAL_DATE)+(COUNTIF('Dvd Calendar'!$E$29:$AR$29,'Dvd Calendar'!$AB$22)=0))&gt;0)=0,"",'Dvd Calendar'!$AB$22*1000000000+ISNUMBER('Dvd Calendar'!$AB$25)*100000000+('Dvd Calendar'!$AB$27=SPECIAL_LBL)*10000000+(N('Dvd Calendar'!$AB$21)&gt;0)*(N('Dvd Calendar'!$AB$21)&lt;=VAL_SERIAL)*1000000+2*1000+24))</f>
        <v/>
      </c>
      <c r="FC13" s="121">
        <f>IF(N('Dvd Calendar'!$AC$22)=0,"",IF(('Dvd Calendar'!$AC$22&gt;=GRID_FROM)*('Dvd Calendar'!$AC$22&lt;=GRID_TO)*((('Dvd Calendar'!$AC$22&lt;=VAL_DATE)+(COUNTIF('Dvd Calendar'!$E$29:$AR$29,'Dvd Calendar'!$AC$22)=0))&gt;0)=0,"",'Dvd Calendar'!$AC$22*1000000000+ISNUMBER('Dvd Calendar'!$AC$25)*100000000+('Dvd Calendar'!$AC$27=SPECIAL_LBL)*10000000+(N('Dvd Calendar'!$AC$21)&gt;0)*(N('Dvd Calendar'!$AC$21)&lt;=VAL_SERIAL)*1000000+2*1000+25))</f>
        <v/>
      </c>
      <c r="FD13" s="121">
        <f>IF(N('Dvd Calendar'!$AD$22)=0,"",IF(('Dvd Calendar'!$AD$22&gt;=GRID_FROM)*('Dvd Calendar'!$AD$22&lt;=GRID_TO)*((('Dvd Calendar'!$AD$22&lt;=VAL_DATE)+(COUNTIF('Dvd Calendar'!$E$29:$AR$29,'Dvd Calendar'!$AD$22)=0))&gt;0)=0,"",'Dvd Calendar'!$AD$22*1000000000+ISNUMBER('Dvd Calendar'!$AD$25)*100000000+('Dvd Calendar'!$AD$27=SPECIAL_LBL)*10000000+(N('Dvd Calendar'!$AD$21)&gt;0)*(N('Dvd Calendar'!$AD$21)&lt;=VAL_SERIAL)*1000000+2*1000+26))</f>
        <v/>
      </c>
      <c r="FE13" s="121">
        <f>IF(N('Dvd Calendar'!$AE$22)=0,"",IF(('Dvd Calendar'!$AE$22&gt;=GRID_FROM)*('Dvd Calendar'!$AE$22&lt;=GRID_TO)*((('Dvd Calendar'!$AE$22&lt;=VAL_DATE)+(COUNTIF('Dvd Calendar'!$E$29:$AR$29,'Dvd Calendar'!$AE$22)=0))&gt;0)=0,"",'Dvd Calendar'!$AE$22*1000000000+ISNUMBER('Dvd Calendar'!$AE$25)*100000000+('Dvd Calendar'!$AE$27=SPECIAL_LBL)*10000000+(N('Dvd Calendar'!$AE$21)&gt;0)*(N('Dvd Calendar'!$AE$21)&lt;=VAL_SERIAL)*1000000+2*1000+27))</f>
        <v/>
      </c>
      <c r="FF13" s="121">
        <f>IF(N('Dvd Calendar'!$AF$22)=0,"",IF(('Dvd Calendar'!$AF$22&gt;=GRID_FROM)*('Dvd Calendar'!$AF$22&lt;=GRID_TO)*((('Dvd Calendar'!$AF$22&lt;=VAL_DATE)+(COUNTIF('Dvd Calendar'!$E$29:$AR$29,'Dvd Calendar'!$AF$22)=0))&gt;0)=0,"",'Dvd Calendar'!$AF$22*1000000000+ISNUMBER('Dvd Calendar'!$AF$25)*100000000+('Dvd Calendar'!$AF$27=SPECIAL_LBL)*10000000+(N('Dvd Calendar'!$AF$21)&gt;0)*(N('Dvd Calendar'!$AF$21)&lt;=VAL_SERIAL)*1000000+2*1000+28))</f>
        <v/>
      </c>
      <c r="FG13" s="121">
        <f>IF(N('Dvd Calendar'!$AG$22)=0,"",IF(('Dvd Calendar'!$AG$22&gt;=GRID_FROM)*('Dvd Calendar'!$AG$22&lt;=GRID_TO)*((('Dvd Calendar'!$AG$22&lt;=VAL_DATE)+(COUNTIF('Dvd Calendar'!$E$29:$AR$29,'Dvd Calendar'!$AG$22)=0))&gt;0)=0,"",'Dvd Calendar'!$AG$22*1000000000+ISNUMBER('Dvd Calendar'!$AG$25)*100000000+('Dvd Calendar'!$AG$27=SPECIAL_LBL)*10000000+(N('Dvd Calendar'!$AG$21)&gt;0)*(N('Dvd Calendar'!$AG$21)&lt;=VAL_SERIAL)*1000000+2*1000+29))</f>
        <v/>
      </c>
      <c r="FH13" s="121">
        <f>IF(N('Dvd Calendar'!$AH$22)=0,"",IF(('Dvd Calendar'!$AH$22&gt;=GRID_FROM)*('Dvd Calendar'!$AH$22&lt;=GRID_TO)*((('Dvd Calendar'!$AH$22&lt;=VAL_DATE)+(COUNTIF('Dvd Calendar'!$E$29:$AR$29,'Dvd Calendar'!$AH$22)=0))&gt;0)=0,"",'Dvd Calendar'!$AH$22*1000000000+ISNUMBER('Dvd Calendar'!$AH$25)*100000000+('Dvd Calendar'!$AH$27=SPECIAL_LBL)*10000000+(N('Dvd Calendar'!$AH$21)&gt;0)*(N('Dvd Calendar'!$AH$21)&lt;=VAL_SERIAL)*1000000+2*1000+30))</f>
        <v/>
      </c>
      <c r="FI13" s="121">
        <f>IF(N('Dvd Calendar'!$AI$22)=0,"",IF(('Dvd Calendar'!$AI$22&gt;=GRID_FROM)*('Dvd Calendar'!$AI$22&lt;=GRID_TO)*((('Dvd Calendar'!$AI$22&lt;=VAL_DATE)+(COUNTIF('Dvd Calendar'!$E$29:$AR$29,'Dvd Calendar'!$AI$22)=0))&gt;0)=0,"",'Dvd Calendar'!$AI$22*1000000000+ISNUMBER('Dvd Calendar'!$AI$25)*100000000+('Dvd Calendar'!$AI$27=SPECIAL_LBL)*10000000+(N('Dvd Calendar'!$AI$21)&gt;0)*(N('Dvd Calendar'!$AI$21)&lt;=VAL_SERIAL)*1000000+2*1000+31))</f>
        <v/>
      </c>
      <c r="FJ13" s="121">
        <f>IF(N('Dvd Calendar'!$AJ$22)=0,"",IF(('Dvd Calendar'!$AJ$22&gt;=GRID_FROM)*('Dvd Calendar'!$AJ$22&lt;=GRID_TO)*((('Dvd Calendar'!$AJ$22&lt;=VAL_DATE)+(COUNTIF('Dvd Calendar'!$E$29:$AR$29,'Dvd Calendar'!$AJ$22)=0))&gt;0)=0,"",'Dvd Calendar'!$AJ$22*1000000000+ISNUMBER('Dvd Calendar'!$AJ$25)*100000000+('Dvd Calendar'!$AJ$27=SPECIAL_LBL)*10000000+(N('Dvd Calendar'!$AJ$21)&gt;0)*(N('Dvd Calendar'!$AJ$21)&lt;=VAL_SERIAL)*1000000+2*1000+32))</f>
        <v/>
      </c>
      <c r="FK13" s="121">
        <f>IF(N('Dvd Calendar'!$AK$22)=0,"",IF(('Dvd Calendar'!$AK$22&gt;=GRID_FROM)*('Dvd Calendar'!$AK$22&lt;=GRID_TO)*((('Dvd Calendar'!$AK$22&lt;=VAL_DATE)+(COUNTIF('Dvd Calendar'!$E$29:$AR$29,'Dvd Calendar'!$AK$22)=0))&gt;0)=0,"",'Dvd Calendar'!$AK$22*1000000000+ISNUMBER('Dvd Calendar'!$AK$25)*100000000+('Dvd Calendar'!$AK$27=SPECIAL_LBL)*10000000+(N('Dvd Calendar'!$AK$21)&gt;0)*(N('Dvd Calendar'!$AK$21)&lt;=VAL_SERIAL)*1000000+2*1000+33))</f>
        <v/>
      </c>
      <c r="FL13" s="121">
        <f>IF(N('Dvd Calendar'!$AL$22)=0,"",IF(('Dvd Calendar'!$AL$22&gt;=GRID_FROM)*('Dvd Calendar'!$AL$22&lt;=GRID_TO)*((('Dvd Calendar'!$AL$22&lt;=VAL_DATE)+(COUNTIF('Dvd Calendar'!$E$29:$AR$29,'Dvd Calendar'!$AL$22)=0))&gt;0)=0,"",'Dvd Calendar'!$AL$22*1000000000+ISNUMBER('Dvd Calendar'!$AL$25)*100000000+('Dvd Calendar'!$AL$27=SPECIAL_LBL)*10000000+(N('Dvd Calendar'!$AL$21)&gt;0)*(N('Dvd Calendar'!$AL$21)&lt;=VAL_SERIAL)*1000000+2*1000+34))</f>
        <v/>
      </c>
      <c r="FM13" s="121">
        <f>IF(N('Dvd Calendar'!$AM$22)=0,"",IF(('Dvd Calendar'!$AM$22&gt;=GRID_FROM)*('Dvd Calendar'!$AM$22&lt;=GRID_TO)*((('Dvd Calendar'!$AM$22&lt;=VAL_DATE)+(COUNTIF('Dvd Calendar'!$E$29:$AR$29,'Dvd Calendar'!$AM$22)=0))&gt;0)=0,"",'Dvd Calendar'!$AM$22*1000000000+ISNUMBER('Dvd Calendar'!$AM$25)*100000000+('Dvd Calendar'!$AM$27=SPECIAL_LBL)*10000000+(N('Dvd Calendar'!$AM$21)&gt;0)*(N('Dvd Calendar'!$AM$21)&lt;=VAL_SERIAL)*1000000+2*1000+35))</f>
        <v/>
      </c>
      <c r="FN13" s="121">
        <f>IF(N('Dvd Calendar'!$AN$22)=0,"",IF(('Dvd Calendar'!$AN$22&gt;=GRID_FROM)*('Dvd Calendar'!$AN$22&lt;=GRID_TO)*((('Dvd Calendar'!$AN$22&lt;=VAL_DATE)+(COUNTIF('Dvd Calendar'!$E$29:$AR$29,'Dvd Calendar'!$AN$22)=0))&gt;0)=0,"",'Dvd Calendar'!$AN$22*1000000000+ISNUMBER('Dvd Calendar'!$AN$25)*100000000+('Dvd Calendar'!$AN$27=SPECIAL_LBL)*10000000+(N('Dvd Calendar'!$AN$21)&gt;0)*(N('Dvd Calendar'!$AN$21)&lt;=VAL_SERIAL)*1000000+2*1000+36))</f>
        <v/>
      </c>
      <c r="FO13" s="121">
        <f>IF(N('Dvd Calendar'!$AO$22)=0,"",IF(('Dvd Calendar'!$AO$22&gt;=GRID_FROM)*('Dvd Calendar'!$AO$22&lt;=GRID_TO)*((('Dvd Calendar'!$AO$22&lt;=VAL_DATE)+(COUNTIF('Dvd Calendar'!$E$29:$AR$29,'Dvd Calendar'!$AO$22)=0))&gt;0)=0,"",'Dvd Calendar'!$AO$22*1000000000+ISNUMBER('Dvd Calendar'!$AO$25)*100000000+('Dvd Calendar'!$AO$27=SPECIAL_LBL)*10000000+(N('Dvd Calendar'!$AO$21)&gt;0)*(N('Dvd Calendar'!$AO$21)&lt;=VAL_SERIAL)*1000000+2*1000+37))</f>
        <v/>
      </c>
      <c r="FP13" s="121">
        <f>IF(N('Dvd Calendar'!$AP$22)=0,"",IF(('Dvd Calendar'!$AP$22&gt;=GRID_FROM)*('Dvd Calendar'!$AP$22&lt;=GRID_TO)*((('Dvd Calendar'!$AP$22&lt;=VAL_DATE)+(COUNTIF('Dvd Calendar'!$E$29:$AR$29,'Dvd Calendar'!$AP$22)=0))&gt;0)=0,"",'Dvd Calendar'!$AP$22*1000000000+ISNUMBER('Dvd Calendar'!$AP$25)*100000000+('Dvd Calendar'!$AP$27=SPECIAL_LBL)*10000000+(N('Dvd Calendar'!$AP$21)&gt;0)*(N('Dvd Calendar'!$AP$21)&lt;=VAL_SERIAL)*1000000+2*1000+38))</f>
        <v/>
      </c>
      <c r="FQ13" s="121">
        <f>IF(N('Dvd Calendar'!$AQ$22)=0,"",IF(('Dvd Calendar'!$AQ$22&gt;=GRID_FROM)*('Dvd Calendar'!$AQ$22&lt;=GRID_TO)*((('Dvd Calendar'!$AQ$22&lt;=VAL_DATE)+(COUNTIF('Dvd Calendar'!$E$29:$AR$29,'Dvd Calendar'!$AQ$22)=0))&gt;0)=0,"",'Dvd Calendar'!$AQ$22*1000000000+ISNUMBER('Dvd Calendar'!$AQ$25)*100000000+('Dvd Calendar'!$AQ$27=SPECIAL_LBL)*10000000+(N('Dvd Calendar'!$AQ$21)&gt;0)*(N('Dvd Calendar'!$AQ$21)&lt;=VAL_SERIAL)*1000000+2*1000+39))</f>
        <v/>
      </c>
      <c r="FR13" s="121">
        <f>IF(N('Dvd Calendar'!$AR$22)=0,"",IF(('Dvd Calendar'!$AR$22&gt;=GRID_FROM)*('Dvd Calendar'!$AR$22&lt;=GRID_TO)*((('Dvd Calendar'!$AR$22&lt;=VAL_DATE)+(COUNTIF('Dvd Calendar'!$E$29:$AR$29,'Dvd Calendar'!$AR$22)=0))&gt;0)=0,"",'Dvd Calendar'!$AR$22*1000000000+ISNUMBER('Dvd Calendar'!$AR$25)*100000000+('Dvd Calendar'!$AR$27=SPECIAL_LBL)*10000000+(N('Dvd Calendar'!$AR$21)&gt;0)*(N('Dvd Calendar'!$AR$21)&lt;=VAL_SERIAL)*1000000+2*1000+40))</f>
        <v/>
      </c>
      <c r="FS13" s="121">
        <f>IF(N('Dvd Calendar'!$E$29)=0,"",IF(('Dvd Calendar'!$E$29&gt;=GRID_FROM)*('Dvd Calendar'!$E$29&lt;=GRID_TO)*('Dvd Calendar'!$E$29&gt;VAL_DATE)=0,"",'Dvd Calendar'!$E$29*1000000000+ISNUMBER('Dvd Calendar'!$E$30)*100000000+0*10000000+(N('Dvd Calendar'!$E$28)&gt;0)*(N('Dvd Calendar'!$E$28)&lt;=VAL_SERIAL)*1000000+2*1000+41))</f>
        <v/>
      </c>
      <c r="FT13" s="121">
        <f>IF(N('Dvd Calendar'!$F$29)=0,"",IF(('Dvd Calendar'!$F$29&gt;=GRID_FROM)*('Dvd Calendar'!$F$29&lt;=GRID_TO)*('Dvd Calendar'!$F$29&gt;VAL_DATE)=0,"",'Dvd Calendar'!$F$29*1000000000+ISNUMBER('Dvd Calendar'!$F$30)*100000000+0*10000000+(N('Dvd Calendar'!$F$28)&gt;0)*(N('Dvd Calendar'!$F$28)&lt;=VAL_SERIAL)*1000000+2*1000+42))</f>
        <v/>
      </c>
      <c r="FU13" s="121">
        <f>IF(N('Dvd Calendar'!$G$29)=0,"",IF(('Dvd Calendar'!$G$29&gt;=GRID_FROM)*('Dvd Calendar'!$G$29&lt;=GRID_TO)*('Dvd Calendar'!$G$29&gt;VAL_DATE)=0,"",'Dvd Calendar'!$G$29*1000000000+ISNUMBER('Dvd Calendar'!$G$30)*100000000+0*10000000+(N('Dvd Calendar'!$G$28)&gt;0)*(N('Dvd Calendar'!$G$28)&lt;=VAL_SERIAL)*1000000+2*1000+43))</f>
        <v/>
      </c>
      <c r="FV13" s="121">
        <f>IF(N('Dvd Calendar'!$H$29)=0,"",IF(('Dvd Calendar'!$H$29&gt;=GRID_FROM)*('Dvd Calendar'!$H$29&lt;=GRID_TO)*('Dvd Calendar'!$H$29&gt;VAL_DATE)=0,"",'Dvd Calendar'!$H$29*1000000000+ISNUMBER('Dvd Calendar'!$H$30)*100000000+0*10000000+(N('Dvd Calendar'!$H$28)&gt;0)*(N('Dvd Calendar'!$H$28)&lt;=VAL_SERIAL)*1000000+2*1000+44))</f>
        <v/>
      </c>
      <c r="FW13" s="121">
        <f>IF(N('Dvd Calendar'!$I$29)=0,"",IF(('Dvd Calendar'!$I$29&gt;=GRID_FROM)*('Dvd Calendar'!$I$29&lt;=GRID_TO)*('Dvd Calendar'!$I$29&gt;VAL_DATE)=0,"",'Dvd Calendar'!$I$29*1000000000+ISNUMBER('Dvd Calendar'!$I$30)*100000000+0*10000000+(N('Dvd Calendar'!$I$28)&gt;0)*(N('Dvd Calendar'!$I$28)&lt;=VAL_SERIAL)*1000000+2*1000+45))</f>
        <v/>
      </c>
      <c r="FX13" s="121">
        <f>IF(N('Dvd Calendar'!$J$29)=0,"",IF(('Dvd Calendar'!$J$29&gt;=GRID_FROM)*('Dvd Calendar'!$J$29&lt;=GRID_TO)*('Dvd Calendar'!$J$29&gt;VAL_DATE)=0,"",'Dvd Calendar'!$J$29*1000000000+ISNUMBER('Dvd Calendar'!$J$30)*100000000+0*10000000+(N('Dvd Calendar'!$J$28)&gt;0)*(N('Dvd Calendar'!$J$28)&lt;=VAL_SERIAL)*1000000+2*1000+46))</f>
        <v/>
      </c>
      <c r="FY13" s="121">
        <f>IF(N('Dvd Calendar'!$K$29)=0,"",IF(('Dvd Calendar'!$K$29&gt;=GRID_FROM)*('Dvd Calendar'!$K$29&lt;=GRID_TO)*('Dvd Calendar'!$K$29&gt;VAL_DATE)=0,"",'Dvd Calendar'!$K$29*1000000000+ISNUMBER('Dvd Calendar'!$K$30)*100000000+0*10000000+(N('Dvd Calendar'!$K$28)&gt;0)*(N('Dvd Calendar'!$K$28)&lt;=VAL_SERIAL)*1000000+2*1000+47))</f>
        <v/>
      </c>
      <c r="FZ13" s="121">
        <f>IF(N('Dvd Calendar'!$L$29)=0,"",IF(('Dvd Calendar'!$L$29&gt;=GRID_FROM)*('Dvd Calendar'!$L$29&lt;=GRID_TO)*('Dvd Calendar'!$L$29&gt;VAL_DATE)=0,"",'Dvd Calendar'!$L$29*1000000000+ISNUMBER('Dvd Calendar'!$L$30)*100000000+0*10000000+(N('Dvd Calendar'!$L$28)&gt;0)*(N('Dvd Calendar'!$L$28)&lt;=VAL_SERIAL)*1000000+2*1000+48))</f>
        <v/>
      </c>
      <c r="GA13" s="121">
        <f>IF(N('Dvd Calendar'!$M$29)=0,"",IF(('Dvd Calendar'!$M$29&gt;=GRID_FROM)*('Dvd Calendar'!$M$29&lt;=GRID_TO)*('Dvd Calendar'!$M$29&gt;VAL_DATE)=0,"",'Dvd Calendar'!$M$29*1000000000+ISNUMBER('Dvd Calendar'!$M$30)*100000000+0*10000000+(N('Dvd Calendar'!$M$28)&gt;0)*(N('Dvd Calendar'!$M$28)&lt;=VAL_SERIAL)*1000000+2*1000+49))</f>
        <v/>
      </c>
      <c r="GB13" s="121">
        <f>IF(N('Dvd Calendar'!$N$29)=0,"",IF(('Dvd Calendar'!$N$29&gt;=GRID_FROM)*('Dvd Calendar'!$N$29&lt;=GRID_TO)*('Dvd Calendar'!$N$29&gt;VAL_DATE)=0,"",'Dvd Calendar'!$N$29*1000000000+ISNUMBER('Dvd Calendar'!$N$30)*100000000+0*10000000+(N('Dvd Calendar'!$N$28)&gt;0)*(N('Dvd Calendar'!$N$28)&lt;=VAL_SERIAL)*1000000+2*1000+50))</f>
        <v/>
      </c>
      <c r="GC13" s="121">
        <f>IF(N('Dvd Calendar'!$O$29)=0,"",IF(('Dvd Calendar'!$O$29&gt;=GRID_FROM)*('Dvd Calendar'!$O$29&lt;=GRID_TO)*('Dvd Calendar'!$O$29&gt;VAL_DATE)=0,"",'Dvd Calendar'!$O$29*1000000000+ISNUMBER('Dvd Calendar'!$O$30)*100000000+0*10000000+(N('Dvd Calendar'!$O$28)&gt;0)*(N('Dvd Calendar'!$O$28)&lt;=VAL_SERIAL)*1000000+2*1000+51))</f>
        <v/>
      </c>
      <c r="GD13" s="121">
        <f>IF(N('Dvd Calendar'!$P$29)=0,"",IF(('Dvd Calendar'!$P$29&gt;=GRID_FROM)*('Dvd Calendar'!$P$29&lt;=GRID_TO)*('Dvd Calendar'!$P$29&gt;VAL_DATE)=0,"",'Dvd Calendar'!$P$29*1000000000+ISNUMBER('Dvd Calendar'!$P$30)*100000000+0*10000000+(N('Dvd Calendar'!$P$28)&gt;0)*(N('Dvd Calendar'!$P$28)&lt;=VAL_SERIAL)*1000000+2*1000+52))</f>
        <v/>
      </c>
      <c r="GE13" s="121">
        <f>IF(N('Dvd Calendar'!$Q$29)=0,"",IF(('Dvd Calendar'!$Q$29&gt;=GRID_FROM)*('Dvd Calendar'!$Q$29&lt;=GRID_TO)*('Dvd Calendar'!$Q$29&gt;VAL_DATE)=0,"",'Dvd Calendar'!$Q$29*1000000000+ISNUMBER('Dvd Calendar'!$Q$30)*100000000+0*10000000+(N('Dvd Calendar'!$Q$28)&gt;0)*(N('Dvd Calendar'!$Q$28)&lt;=VAL_SERIAL)*1000000+2*1000+53))</f>
        <v/>
      </c>
      <c r="GF13" s="121">
        <f>IF(N('Dvd Calendar'!$R$29)=0,"",IF(('Dvd Calendar'!$R$29&gt;=GRID_FROM)*('Dvd Calendar'!$R$29&lt;=GRID_TO)*('Dvd Calendar'!$R$29&gt;VAL_DATE)=0,"",'Dvd Calendar'!$R$29*1000000000+ISNUMBER('Dvd Calendar'!$R$30)*100000000+0*10000000+(N('Dvd Calendar'!$R$28)&gt;0)*(N('Dvd Calendar'!$R$28)&lt;=VAL_SERIAL)*1000000+2*1000+54))</f>
        <v/>
      </c>
      <c r="GG13" s="121">
        <f>IF(N('Dvd Calendar'!$S$29)=0,"",IF(('Dvd Calendar'!$S$29&gt;=GRID_FROM)*('Dvd Calendar'!$S$29&lt;=GRID_TO)*('Dvd Calendar'!$S$29&gt;VAL_DATE)=0,"",'Dvd Calendar'!$S$29*1000000000+ISNUMBER('Dvd Calendar'!$S$30)*100000000+0*10000000+(N('Dvd Calendar'!$S$28)&gt;0)*(N('Dvd Calendar'!$S$28)&lt;=VAL_SERIAL)*1000000+2*1000+55))</f>
        <v/>
      </c>
      <c r="GH13" s="121">
        <f>IF(N('Dvd Calendar'!$T$29)=0,"",IF(('Dvd Calendar'!$T$29&gt;=GRID_FROM)*('Dvd Calendar'!$T$29&lt;=GRID_TO)*('Dvd Calendar'!$T$29&gt;VAL_DATE)=0,"",'Dvd Calendar'!$T$29*1000000000+ISNUMBER('Dvd Calendar'!$T$30)*100000000+0*10000000+(N('Dvd Calendar'!$T$28)&gt;0)*(N('Dvd Calendar'!$T$28)&lt;=VAL_SERIAL)*1000000+2*1000+56))</f>
        <v/>
      </c>
      <c r="GI13" s="121">
        <f>IF(N('Dvd Calendar'!$U$29)=0,"",IF(('Dvd Calendar'!$U$29&gt;=GRID_FROM)*('Dvd Calendar'!$U$29&lt;=GRID_TO)*('Dvd Calendar'!$U$29&gt;VAL_DATE)=0,"",'Dvd Calendar'!$U$29*1000000000+ISNUMBER('Dvd Calendar'!$U$30)*100000000+0*10000000+(N('Dvd Calendar'!$U$28)&gt;0)*(N('Dvd Calendar'!$U$28)&lt;=VAL_SERIAL)*1000000+2*1000+57))</f>
        <v/>
      </c>
      <c r="GJ13" s="121">
        <f>IF(N('Dvd Calendar'!$V$29)=0,"",IF(('Dvd Calendar'!$V$29&gt;=GRID_FROM)*('Dvd Calendar'!$V$29&lt;=GRID_TO)*('Dvd Calendar'!$V$29&gt;VAL_DATE)=0,"",'Dvd Calendar'!$V$29*1000000000+ISNUMBER('Dvd Calendar'!$V$30)*100000000+0*10000000+(N('Dvd Calendar'!$V$28)&gt;0)*(N('Dvd Calendar'!$V$28)&lt;=VAL_SERIAL)*1000000+2*1000+58))</f>
        <v/>
      </c>
      <c r="GK13" s="121">
        <f>IF(N('Dvd Calendar'!$W$29)=0,"",IF(('Dvd Calendar'!$W$29&gt;=GRID_FROM)*('Dvd Calendar'!$W$29&lt;=GRID_TO)*('Dvd Calendar'!$W$29&gt;VAL_DATE)=0,"",'Dvd Calendar'!$W$29*1000000000+ISNUMBER('Dvd Calendar'!$W$30)*100000000+0*10000000+(N('Dvd Calendar'!$W$28)&gt;0)*(N('Dvd Calendar'!$W$28)&lt;=VAL_SERIAL)*1000000+2*1000+59))</f>
        <v/>
      </c>
      <c r="GL13" s="121">
        <f>IF(N('Dvd Calendar'!$X$29)=0,"",IF(('Dvd Calendar'!$X$29&gt;=GRID_FROM)*('Dvd Calendar'!$X$29&lt;=GRID_TO)*('Dvd Calendar'!$X$29&gt;VAL_DATE)=0,"",'Dvd Calendar'!$X$29*1000000000+ISNUMBER('Dvd Calendar'!$X$30)*100000000+0*10000000+(N('Dvd Calendar'!$X$28)&gt;0)*(N('Dvd Calendar'!$X$28)&lt;=VAL_SERIAL)*1000000+2*1000+60))</f>
        <v/>
      </c>
      <c r="GM13" s="121">
        <f>IF(N('Dvd Calendar'!$Y$29)=0,"",IF(('Dvd Calendar'!$Y$29&gt;=GRID_FROM)*('Dvd Calendar'!$Y$29&lt;=GRID_TO)*('Dvd Calendar'!$Y$29&gt;VAL_DATE)=0,"",'Dvd Calendar'!$Y$29*1000000000+ISNUMBER('Dvd Calendar'!$Y$30)*100000000+0*10000000+(N('Dvd Calendar'!$Y$28)&gt;0)*(N('Dvd Calendar'!$Y$28)&lt;=VAL_SERIAL)*1000000+2*1000+61))</f>
        <v/>
      </c>
      <c r="GN13" s="121">
        <f>IF(N('Dvd Calendar'!$Z$29)=0,"",IF(('Dvd Calendar'!$Z$29&gt;=GRID_FROM)*('Dvd Calendar'!$Z$29&lt;=GRID_TO)*('Dvd Calendar'!$Z$29&gt;VAL_DATE)=0,"",'Dvd Calendar'!$Z$29*1000000000+ISNUMBER('Dvd Calendar'!$Z$30)*100000000+0*10000000+(N('Dvd Calendar'!$Z$28)&gt;0)*(N('Dvd Calendar'!$Z$28)&lt;=VAL_SERIAL)*1000000+2*1000+62))</f>
        <v/>
      </c>
      <c r="GO13" s="121">
        <f>IF(N('Dvd Calendar'!$AA$29)=0,"",IF(('Dvd Calendar'!$AA$29&gt;=GRID_FROM)*('Dvd Calendar'!$AA$29&lt;=GRID_TO)*('Dvd Calendar'!$AA$29&gt;VAL_DATE)=0,"",'Dvd Calendar'!$AA$29*1000000000+ISNUMBER('Dvd Calendar'!$AA$30)*100000000+0*10000000+(N('Dvd Calendar'!$AA$28)&gt;0)*(N('Dvd Calendar'!$AA$28)&lt;=VAL_SERIAL)*1000000+2*1000+63))</f>
        <v/>
      </c>
      <c r="GP13" s="121">
        <f>IF(N('Dvd Calendar'!$AB$29)=0,"",IF(('Dvd Calendar'!$AB$29&gt;=GRID_FROM)*('Dvd Calendar'!$AB$29&lt;=GRID_TO)*('Dvd Calendar'!$AB$29&gt;VAL_DATE)=0,"",'Dvd Calendar'!$AB$29*1000000000+ISNUMBER('Dvd Calendar'!$AB$30)*100000000+0*10000000+(N('Dvd Calendar'!$AB$28)&gt;0)*(N('Dvd Calendar'!$AB$28)&lt;=VAL_SERIAL)*1000000+2*1000+64))</f>
        <v/>
      </c>
      <c r="GQ13" s="121">
        <f>IF(N('Dvd Calendar'!$AC$29)=0,"",IF(('Dvd Calendar'!$AC$29&gt;=GRID_FROM)*('Dvd Calendar'!$AC$29&lt;=GRID_TO)*('Dvd Calendar'!$AC$29&gt;VAL_DATE)=0,"",'Dvd Calendar'!$AC$29*1000000000+ISNUMBER('Dvd Calendar'!$AC$30)*100000000+0*10000000+(N('Dvd Calendar'!$AC$28)&gt;0)*(N('Dvd Calendar'!$AC$28)&lt;=VAL_SERIAL)*1000000+2*1000+65))</f>
        <v/>
      </c>
    </row>
    <row r="14">
      <c r="B14" s="2">
        <f>IF(HSI!$C$9="","",HSI!$C$9)</f>
        <v/>
      </c>
      <c r="C14" s="161">
        <f>IF(EE14="","",IF(ISNUMBER('Dvd Calendar'!$E$36)=FALSE,"",IF((('Dvd Calendar'!$E$38=TYPE1)*(TYPE1&lt;&gt;"")+('Dvd Calendar'!$E$38=TYPE2)*(TYPE2&lt;&gt;"")+('Dvd Calendar'!$E$38=TYPE3)*(TYPE3&lt;&gt;"")+('Dvd Calendar'!$E$38=TYPE4)*(TYPE4&lt;&gt;"")+('Dvd Calendar'!$E$38=SPECIAL_LBL)*(INC_SPECIALS="Y"))=0,"",'Dvd Calendar'!$E$36)))</f>
        <v/>
      </c>
      <c r="D14" s="161">
        <f>IF(EF14="","",IF(ISNUMBER('Dvd Calendar'!$F$36)=FALSE,"",IF((('Dvd Calendar'!$F$38=TYPE1)*(TYPE1&lt;&gt;"")+('Dvd Calendar'!$F$38=TYPE2)*(TYPE2&lt;&gt;"")+('Dvd Calendar'!$F$38=TYPE3)*(TYPE3&lt;&gt;"")+('Dvd Calendar'!$F$38=TYPE4)*(TYPE4&lt;&gt;"")+('Dvd Calendar'!$F$38=SPECIAL_LBL)*(INC_SPECIALS="Y"))=0,"",'Dvd Calendar'!$F$36)))</f>
        <v/>
      </c>
      <c r="E14" s="161">
        <f>IF(EG14="","",IF(ISNUMBER('Dvd Calendar'!$G$36)=FALSE,"",IF((('Dvd Calendar'!$G$38=TYPE1)*(TYPE1&lt;&gt;"")+('Dvd Calendar'!$G$38=TYPE2)*(TYPE2&lt;&gt;"")+('Dvd Calendar'!$G$38=TYPE3)*(TYPE3&lt;&gt;"")+('Dvd Calendar'!$G$38=TYPE4)*(TYPE4&lt;&gt;"")+('Dvd Calendar'!$G$38=SPECIAL_LBL)*(INC_SPECIALS="Y"))=0,"",'Dvd Calendar'!$G$36)))</f>
        <v/>
      </c>
      <c r="F14" s="161">
        <f>IF(EH14="","",IF(ISNUMBER('Dvd Calendar'!$H$36)=FALSE,"",IF((('Dvd Calendar'!$H$38=TYPE1)*(TYPE1&lt;&gt;"")+('Dvd Calendar'!$H$38=TYPE2)*(TYPE2&lt;&gt;"")+('Dvd Calendar'!$H$38=TYPE3)*(TYPE3&lt;&gt;"")+('Dvd Calendar'!$H$38=TYPE4)*(TYPE4&lt;&gt;"")+('Dvd Calendar'!$H$38=SPECIAL_LBL)*(INC_SPECIALS="Y"))=0,"",'Dvd Calendar'!$H$36)))</f>
        <v/>
      </c>
      <c r="G14" s="161">
        <f>IF(EI14="","",IF(ISNUMBER('Dvd Calendar'!$I$36)=FALSE,"",IF((('Dvd Calendar'!$I$38=TYPE1)*(TYPE1&lt;&gt;"")+('Dvd Calendar'!$I$38=TYPE2)*(TYPE2&lt;&gt;"")+('Dvd Calendar'!$I$38=TYPE3)*(TYPE3&lt;&gt;"")+('Dvd Calendar'!$I$38=TYPE4)*(TYPE4&lt;&gt;"")+('Dvd Calendar'!$I$38=SPECIAL_LBL)*(INC_SPECIALS="Y"))=0,"",'Dvd Calendar'!$I$36)))</f>
        <v/>
      </c>
      <c r="H14" s="161">
        <f>IF(EJ14="","",IF(ISNUMBER('Dvd Calendar'!$J$36)=FALSE,"",IF((('Dvd Calendar'!$J$38=TYPE1)*(TYPE1&lt;&gt;"")+('Dvd Calendar'!$J$38=TYPE2)*(TYPE2&lt;&gt;"")+('Dvd Calendar'!$J$38=TYPE3)*(TYPE3&lt;&gt;"")+('Dvd Calendar'!$J$38=TYPE4)*(TYPE4&lt;&gt;"")+('Dvd Calendar'!$J$38=SPECIAL_LBL)*(INC_SPECIALS="Y"))=0,"",'Dvd Calendar'!$J$36)))</f>
        <v/>
      </c>
      <c r="I14" s="161">
        <f>IF(EK14="","",IF(ISNUMBER('Dvd Calendar'!$K$36)=FALSE,"",IF((('Dvd Calendar'!$K$38=TYPE1)*(TYPE1&lt;&gt;"")+('Dvd Calendar'!$K$38=TYPE2)*(TYPE2&lt;&gt;"")+('Dvd Calendar'!$K$38=TYPE3)*(TYPE3&lt;&gt;"")+('Dvd Calendar'!$K$38=TYPE4)*(TYPE4&lt;&gt;"")+('Dvd Calendar'!$K$38=SPECIAL_LBL)*(INC_SPECIALS="Y"))=0,"",'Dvd Calendar'!$K$36)))</f>
        <v/>
      </c>
      <c r="J14" s="161">
        <f>IF(EL14="","",IF(ISNUMBER('Dvd Calendar'!$L$36)=FALSE,"",IF((('Dvd Calendar'!$L$38=TYPE1)*(TYPE1&lt;&gt;"")+('Dvd Calendar'!$L$38=TYPE2)*(TYPE2&lt;&gt;"")+('Dvd Calendar'!$L$38=TYPE3)*(TYPE3&lt;&gt;"")+('Dvd Calendar'!$L$38=TYPE4)*(TYPE4&lt;&gt;"")+('Dvd Calendar'!$L$38=SPECIAL_LBL)*(INC_SPECIALS="Y"))=0,"",'Dvd Calendar'!$L$36)))</f>
        <v/>
      </c>
      <c r="K14" s="161">
        <f>IF(EM14="","",IF(ISNUMBER('Dvd Calendar'!$M$36)=FALSE,"",IF((('Dvd Calendar'!$M$38=TYPE1)*(TYPE1&lt;&gt;"")+('Dvd Calendar'!$M$38=TYPE2)*(TYPE2&lt;&gt;"")+('Dvd Calendar'!$M$38=TYPE3)*(TYPE3&lt;&gt;"")+('Dvd Calendar'!$M$38=TYPE4)*(TYPE4&lt;&gt;"")+('Dvd Calendar'!$M$38=SPECIAL_LBL)*(INC_SPECIALS="Y"))=0,"",'Dvd Calendar'!$M$36)))</f>
        <v/>
      </c>
      <c r="L14" s="161">
        <f>IF(EN14="","",IF(ISNUMBER('Dvd Calendar'!$N$36)=FALSE,"",IF((('Dvd Calendar'!$N$38=TYPE1)*(TYPE1&lt;&gt;"")+('Dvd Calendar'!$N$38=TYPE2)*(TYPE2&lt;&gt;"")+('Dvd Calendar'!$N$38=TYPE3)*(TYPE3&lt;&gt;"")+('Dvd Calendar'!$N$38=TYPE4)*(TYPE4&lt;&gt;"")+('Dvd Calendar'!$N$38=SPECIAL_LBL)*(INC_SPECIALS="Y"))=0,"",'Dvd Calendar'!$N$36)))</f>
        <v/>
      </c>
      <c r="M14" s="161">
        <f>IF(EO14="","",IF(ISNUMBER('Dvd Calendar'!$O$36)=FALSE,"",IF((('Dvd Calendar'!$O$38=TYPE1)*(TYPE1&lt;&gt;"")+('Dvd Calendar'!$O$38=TYPE2)*(TYPE2&lt;&gt;"")+('Dvd Calendar'!$O$38=TYPE3)*(TYPE3&lt;&gt;"")+('Dvd Calendar'!$O$38=TYPE4)*(TYPE4&lt;&gt;"")+('Dvd Calendar'!$O$38=SPECIAL_LBL)*(INC_SPECIALS="Y"))=0,"",'Dvd Calendar'!$O$36)))</f>
        <v/>
      </c>
      <c r="N14" s="161">
        <f>IF(EP14="","",IF(ISNUMBER('Dvd Calendar'!$P$36)=FALSE,"",IF((('Dvd Calendar'!$P$38=TYPE1)*(TYPE1&lt;&gt;"")+('Dvd Calendar'!$P$38=TYPE2)*(TYPE2&lt;&gt;"")+('Dvd Calendar'!$P$38=TYPE3)*(TYPE3&lt;&gt;"")+('Dvd Calendar'!$P$38=TYPE4)*(TYPE4&lt;&gt;"")+('Dvd Calendar'!$P$38=SPECIAL_LBL)*(INC_SPECIALS="Y"))=0,"",'Dvd Calendar'!$P$36)))</f>
        <v/>
      </c>
      <c r="O14" s="161">
        <f>IF(EQ14="","",IF(ISNUMBER('Dvd Calendar'!$Q$36)=FALSE,"",IF((('Dvd Calendar'!$Q$38=TYPE1)*(TYPE1&lt;&gt;"")+('Dvd Calendar'!$Q$38=TYPE2)*(TYPE2&lt;&gt;"")+('Dvd Calendar'!$Q$38=TYPE3)*(TYPE3&lt;&gt;"")+('Dvd Calendar'!$Q$38=TYPE4)*(TYPE4&lt;&gt;"")+('Dvd Calendar'!$Q$38=SPECIAL_LBL)*(INC_SPECIALS="Y"))=0,"",'Dvd Calendar'!$Q$36)))</f>
        <v/>
      </c>
      <c r="P14" s="161">
        <f>IF(ER14="","",IF(ISNUMBER('Dvd Calendar'!$R$36)=FALSE,"",IF((('Dvd Calendar'!$R$38=TYPE1)*(TYPE1&lt;&gt;"")+('Dvd Calendar'!$R$38=TYPE2)*(TYPE2&lt;&gt;"")+('Dvd Calendar'!$R$38=TYPE3)*(TYPE3&lt;&gt;"")+('Dvd Calendar'!$R$38=TYPE4)*(TYPE4&lt;&gt;"")+('Dvd Calendar'!$R$38=SPECIAL_LBL)*(INC_SPECIALS="Y"))=0,"",'Dvd Calendar'!$R$36)))</f>
        <v/>
      </c>
      <c r="Q14" s="161">
        <f>IF(ES14="","",IF(ISNUMBER('Dvd Calendar'!$S$36)=FALSE,"",IF((('Dvd Calendar'!$S$38=TYPE1)*(TYPE1&lt;&gt;"")+('Dvd Calendar'!$S$38=TYPE2)*(TYPE2&lt;&gt;"")+('Dvd Calendar'!$S$38=TYPE3)*(TYPE3&lt;&gt;"")+('Dvd Calendar'!$S$38=TYPE4)*(TYPE4&lt;&gt;"")+('Dvd Calendar'!$S$38=SPECIAL_LBL)*(INC_SPECIALS="Y"))=0,"",'Dvd Calendar'!$S$36)))</f>
        <v/>
      </c>
      <c r="R14" s="161">
        <f>IF(ET14="","",IF(ISNUMBER('Dvd Calendar'!$T$36)=FALSE,"",IF((('Dvd Calendar'!$T$38=TYPE1)*(TYPE1&lt;&gt;"")+('Dvd Calendar'!$T$38=TYPE2)*(TYPE2&lt;&gt;"")+('Dvd Calendar'!$T$38=TYPE3)*(TYPE3&lt;&gt;"")+('Dvd Calendar'!$T$38=TYPE4)*(TYPE4&lt;&gt;"")+('Dvd Calendar'!$T$38=SPECIAL_LBL)*(INC_SPECIALS="Y"))=0,"",'Dvd Calendar'!$T$36)))</f>
        <v/>
      </c>
      <c r="S14" s="161">
        <f>IF(EU14="","",IF(ISNUMBER('Dvd Calendar'!$U$36)=FALSE,"",IF((('Dvd Calendar'!$U$38=TYPE1)*(TYPE1&lt;&gt;"")+('Dvd Calendar'!$U$38=TYPE2)*(TYPE2&lt;&gt;"")+('Dvd Calendar'!$U$38=TYPE3)*(TYPE3&lt;&gt;"")+('Dvd Calendar'!$U$38=TYPE4)*(TYPE4&lt;&gt;"")+('Dvd Calendar'!$U$38=SPECIAL_LBL)*(INC_SPECIALS="Y"))=0,"",'Dvd Calendar'!$U$36)))</f>
        <v/>
      </c>
      <c r="T14" s="161">
        <f>IF(EV14="","",IF(ISNUMBER('Dvd Calendar'!$V$36)=FALSE,"",IF((('Dvd Calendar'!$V$38=TYPE1)*(TYPE1&lt;&gt;"")+('Dvd Calendar'!$V$38=TYPE2)*(TYPE2&lt;&gt;"")+('Dvd Calendar'!$V$38=TYPE3)*(TYPE3&lt;&gt;"")+('Dvd Calendar'!$V$38=TYPE4)*(TYPE4&lt;&gt;"")+('Dvd Calendar'!$V$38=SPECIAL_LBL)*(INC_SPECIALS="Y"))=0,"",'Dvd Calendar'!$V$36)))</f>
        <v/>
      </c>
      <c r="U14" s="161">
        <f>IF(EW14="","",IF(ISNUMBER('Dvd Calendar'!$W$36)=FALSE,"",IF((('Dvd Calendar'!$W$38=TYPE1)*(TYPE1&lt;&gt;"")+('Dvd Calendar'!$W$38=TYPE2)*(TYPE2&lt;&gt;"")+('Dvd Calendar'!$W$38=TYPE3)*(TYPE3&lt;&gt;"")+('Dvd Calendar'!$W$38=TYPE4)*(TYPE4&lt;&gt;"")+('Dvd Calendar'!$W$38=SPECIAL_LBL)*(INC_SPECIALS="Y"))=0,"",'Dvd Calendar'!$W$36)))</f>
        <v/>
      </c>
      <c r="V14" s="161">
        <f>IF(EX14="","",IF(ISNUMBER('Dvd Calendar'!$X$36)=FALSE,"",IF((('Dvd Calendar'!$X$38=TYPE1)*(TYPE1&lt;&gt;"")+('Dvd Calendar'!$X$38=TYPE2)*(TYPE2&lt;&gt;"")+('Dvd Calendar'!$X$38=TYPE3)*(TYPE3&lt;&gt;"")+('Dvd Calendar'!$X$38=TYPE4)*(TYPE4&lt;&gt;"")+('Dvd Calendar'!$X$38=SPECIAL_LBL)*(INC_SPECIALS="Y"))=0,"",'Dvd Calendar'!$X$36)))</f>
        <v/>
      </c>
      <c r="W14" s="161">
        <f>IF(EY14="","",IF(ISNUMBER('Dvd Calendar'!$Y$36)=FALSE,"",IF((('Dvd Calendar'!$Y$38=TYPE1)*(TYPE1&lt;&gt;"")+('Dvd Calendar'!$Y$38=TYPE2)*(TYPE2&lt;&gt;"")+('Dvd Calendar'!$Y$38=TYPE3)*(TYPE3&lt;&gt;"")+('Dvd Calendar'!$Y$38=TYPE4)*(TYPE4&lt;&gt;"")+('Dvd Calendar'!$Y$38=SPECIAL_LBL)*(INC_SPECIALS="Y"))=0,"",'Dvd Calendar'!$Y$36)))</f>
        <v/>
      </c>
      <c r="X14" s="161">
        <f>IF(EZ14="","",IF(ISNUMBER('Dvd Calendar'!$Z$36)=FALSE,"",IF((('Dvd Calendar'!$Z$38=TYPE1)*(TYPE1&lt;&gt;"")+('Dvd Calendar'!$Z$38=TYPE2)*(TYPE2&lt;&gt;"")+('Dvd Calendar'!$Z$38=TYPE3)*(TYPE3&lt;&gt;"")+('Dvd Calendar'!$Z$38=TYPE4)*(TYPE4&lt;&gt;"")+('Dvd Calendar'!$Z$38=SPECIAL_LBL)*(INC_SPECIALS="Y"))=0,"",'Dvd Calendar'!$Z$36)))</f>
        <v/>
      </c>
      <c r="Y14" s="161">
        <f>IF(FA14="","",IF(ISNUMBER('Dvd Calendar'!$AA$36)=FALSE,"",IF((('Dvd Calendar'!$AA$38=TYPE1)*(TYPE1&lt;&gt;"")+('Dvd Calendar'!$AA$38=TYPE2)*(TYPE2&lt;&gt;"")+('Dvd Calendar'!$AA$38=TYPE3)*(TYPE3&lt;&gt;"")+('Dvd Calendar'!$AA$38=TYPE4)*(TYPE4&lt;&gt;"")+('Dvd Calendar'!$AA$38=SPECIAL_LBL)*(INC_SPECIALS="Y"))=0,"",'Dvd Calendar'!$AA$36)))</f>
        <v/>
      </c>
      <c r="Z14" s="161">
        <f>IF(FB14="","",IF(ISNUMBER('Dvd Calendar'!$AB$36)=FALSE,"",IF((('Dvd Calendar'!$AB$38=TYPE1)*(TYPE1&lt;&gt;"")+('Dvd Calendar'!$AB$38=TYPE2)*(TYPE2&lt;&gt;"")+('Dvd Calendar'!$AB$38=TYPE3)*(TYPE3&lt;&gt;"")+('Dvd Calendar'!$AB$38=TYPE4)*(TYPE4&lt;&gt;"")+('Dvd Calendar'!$AB$38=SPECIAL_LBL)*(INC_SPECIALS="Y"))=0,"",'Dvd Calendar'!$AB$36)))</f>
        <v/>
      </c>
      <c r="AA14" s="161">
        <f>IF(FC14="","",IF(ISNUMBER('Dvd Calendar'!$AC$36)=FALSE,"",IF((('Dvd Calendar'!$AC$38=TYPE1)*(TYPE1&lt;&gt;"")+('Dvd Calendar'!$AC$38=TYPE2)*(TYPE2&lt;&gt;"")+('Dvd Calendar'!$AC$38=TYPE3)*(TYPE3&lt;&gt;"")+('Dvd Calendar'!$AC$38=TYPE4)*(TYPE4&lt;&gt;"")+('Dvd Calendar'!$AC$38=SPECIAL_LBL)*(INC_SPECIALS="Y"))=0,"",'Dvd Calendar'!$AC$36)))</f>
        <v/>
      </c>
      <c r="AB14" s="161">
        <f>IF(FD14="","",IF(ISNUMBER('Dvd Calendar'!$AD$36)=FALSE,"",IF((('Dvd Calendar'!$AD$38=TYPE1)*(TYPE1&lt;&gt;"")+('Dvd Calendar'!$AD$38=TYPE2)*(TYPE2&lt;&gt;"")+('Dvd Calendar'!$AD$38=TYPE3)*(TYPE3&lt;&gt;"")+('Dvd Calendar'!$AD$38=TYPE4)*(TYPE4&lt;&gt;"")+('Dvd Calendar'!$AD$38=SPECIAL_LBL)*(INC_SPECIALS="Y"))=0,"",'Dvd Calendar'!$AD$36)))</f>
        <v/>
      </c>
      <c r="AC14" s="161">
        <f>IF(FE14="","",IF(ISNUMBER('Dvd Calendar'!$AE$36)=FALSE,"",IF((('Dvd Calendar'!$AE$38=TYPE1)*(TYPE1&lt;&gt;"")+('Dvd Calendar'!$AE$38=TYPE2)*(TYPE2&lt;&gt;"")+('Dvd Calendar'!$AE$38=TYPE3)*(TYPE3&lt;&gt;"")+('Dvd Calendar'!$AE$38=TYPE4)*(TYPE4&lt;&gt;"")+('Dvd Calendar'!$AE$38=SPECIAL_LBL)*(INC_SPECIALS="Y"))=0,"",'Dvd Calendar'!$AE$36)))</f>
        <v/>
      </c>
      <c r="AD14" s="161">
        <f>IF(FF14="","",IF(ISNUMBER('Dvd Calendar'!$AF$36)=FALSE,"",IF((('Dvd Calendar'!$AF$38=TYPE1)*(TYPE1&lt;&gt;"")+('Dvd Calendar'!$AF$38=TYPE2)*(TYPE2&lt;&gt;"")+('Dvd Calendar'!$AF$38=TYPE3)*(TYPE3&lt;&gt;"")+('Dvd Calendar'!$AF$38=TYPE4)*(TYPE4&lt;&gt;"")+('Dvd Calendar'!$AF$38=SPECIAL_LBL)*(INC_SPECIALS="Y"))=0,"",'Dvd Calendar'!$AF$36)))</f>
        <v/>
      </c>
      <c r="AE14" s="161">
        <f>IF(FG14="","",IF(ISNUMBER('Dvd Calendar'!$AG$36)=FALSE,"",IF((('Dvd Calendar'!$AG$38=TYPE1)*(TYPE1&lt;&gt;"")+('Dvd Calendar'!$AG$38=TYPE2)*(TYPE2&lt;&gt;"")+('Dvd Calendar'!$AG$38=TYPE3)*(TYPE3&lt;&gt;"")+('Dvd Calendar'!$AG$38=TYPE4)*(TYPE4&lt;&gt;"")+('Dvd Calendar'!$AG$38=SPECIAL_LBL)*(INC_SPECIALS="Y"))=0,"",'Dvd Calendar'!$AG$36)))</f>
        <v/>
      </c>
      <c r="AF14" s="161">
        <f>IF(FH14="","",IF(ISNUMBER('Dvd Calendar'!$AH$36)=FALSE,"",IF((('Dvd Calendar'!$AH$38=TYPE1)*(TYPE1&lt;&gt;"")+('Dvd Calendar'!$AH$38=TYPE2)*(TYPE2&lt;&gt;"")+('Dvd Calendar'!$AH$38=TYPE3)*(TYPE3&lt;&gt;"")+('Dvd Calendar'!$AH$38=TYPE4)*(TYPE4&lt;&gt;"")+('Dvd Calendar'!$AH$38=SPECIAL_LBL)*(INC_SPECIALS="Y"))=0,"",'Dvd Calendar'!$AH$36)))</f>
        <v/>
      </c>
      <c r="AG14" s="161">
        <f>IF(FI14="","",IF(ISNUMBER('Dvd Calendar'!$AI$36)=FALSE,"",IF((('Dvd Calendar'!$AI$38=TYPE1)*(TYPE1&lt;&gt;"")+('Dvd Calendar'!$AI$38=TYPE2)*(TYPE2&lt;&gt;"")+('Dvd Calendar'!$AI$38=TYPE3)*(TYPE3&lt;&gt;"")+('Dvd Calendar'!$AI$38=TYPE4)*(TYPE4&lt;&gt;"")+('Dvd Calendar'!$AI$38=SPECIAL_LBL)*(INC_SPECIALS="Y"))=0,"",'Dvd Calendar'!$AI$36)))</f>
        <v/>
      </c>
      <c r="AH14" s="161">
        <f>IF(FJ14="","",IF(ISNUMBER('Dvd Calendar'!$AJ$36)=FALSE,"",IF((('Dvd Calendar'!$AJ$38=TYPE1)*(TYPE1&lt;&gt;"")+('Dvd Calendar'!$AJ$38=TYPE2)*(TYPE2&lt;&gt;"")+('Dvd Calendar'!$AJ$38=TYPE3)*(TYPE3&lt;&gt;"")+('Dvd Calendar'!$AJ$38=TYPE4)*(TYPE4&lt;&gt;"")+('Dvd Calendar'!$AJ$38=SPECIAL_LBL)*(INC_SPECIALS="Y"))=0,"",'Dvd Calendar'!$AJ$36)))</f>
        <v/>
      </c>
      <c r="AI14" s="161">
        <f>IF(FK14="","",IF(ISNUMBER('Dvd Calendar'!$AK$36)=FALSE,"",IF((('Dvd Calendar'!$AK$38=TYPE1)*(TYPE1&lt;&gt;"")+('Dvd Calendar'!$AK$38=TYPE2)*(TYPE2&lt;&gt;"")+('Dvd Calendar'!$AK$38=TYPE3)*(TYPE3&lt;&gt;"")+('Dvd Calendar'!$AK$38=TYPE4)*(TYPE4&lt;&gt;"")+('Dvd Calendar'!$AK$38=SPECIAL_LBL)*(INC_SPECIALS="Y"))=0,"",'Dvd Calendar'!$AK$36)))</f>
        <v/>
      </c>
      <c r="AJ14" s="161">
        <f>IF(FL14="","",IF(ISNUMBER('Dvd Calendar'!$AL$36)=FALSE,"",IF((('Dvd Calendar'!$AL$38=TYPE1)*(TYPE1&lt;&gt;"")+('Dvd Calendar'!$AL$38=TYPE2)*(TYPE2&lt;&gt;"")+('Dvd Calendar'!$AL$38=TYPE3)*(TYPE3&lt;&gt;"")+('Dvd Calendar'!$AL$38=TYPE4)*(TYPE4&lt;&gt;"")+('Dvd Calendar'!$AL$38=SPECIAL_LBL)*(INC_SPECIALS="Y"))=0,"",'Dvd Calendar'!$AL$36)))</f>
        <v/>
      </c>
      <c r="AK14" s="161">
        <f>IF(FM14="","",IF(ISNUMBER('Dvd Calendar'!$AM$36)=FALSE,"",IF((('Dvd Calendar'!$AM$38=TYPE1)*(TYPE1&lt;&gt;"")+('Dvd Calendar'!$AM$38=TYPE2)*(TYPE2&lt;&gt;"")+('Dvd Calendar'!$AM$38=TYPE3)*(TYPE3&lt;&gt;"")+('Dvd Calendar'!$AM$38=TYPE4)*(TYPE4&lt;&gt;"")+('Dvd Calendar'!$AM$38=SPECIAL_LBL)*(INC_SPECIALS="Y"))=0,"",'Dvd Calendar'!$AM$36)))</f>
        <v/>
      </c>
      <c r="AL14" s="161">
        <f>IF(FN14="","",IF(ISNUMBER('Dvd Calendar'!$AN$36)=FALSE,"",IF((('Dvd Calendar'!$AN$38=TYPE1)*(TYPE1&lt;&gt;"")+('Dvd Calendar'!$AN$38=TYPE2)*(TYPE2&lt;&gt;"")+('Dvd Calendar'!$AN$38=TYPE3)*(TYPE3&lt;&gt;"")+('Dvd Calendar'!$AN$38=TYPE4)*(TYPE4&lt;&gt;"")+('Dvd Calendar'!$AN$38=SPECIAL_LBL)*(INC_SPECIALS="Y"))=0,"",'Dvd Calendar'!$AN$36)))</f>
        <v/>
      </c>
      <c r="AM14" s="161">
        <f>IF(FO14="","",IF(ISNUMBER('Dvd Calendar'!$AO$36)=FALSE,"",IF((('Dvd Calendar'!$AO$38=TYPE1)*(TYPE1&lt;&gt;"")+('Dvd Calendar'!$AO$38=TYPE2)*(TYPE2&lt;&gt;"")+('Dvd Calendar'!$AO$38=TYPE3)*(TYPE3&lt;&gt;"")+('Dvd Calendar'!$AO$38=TYPE4)*(TYPE4&lt;&gt;"")+('Dvd Calendar'!$AO$38=SPECIAL_LBL)*(INC_SPECIALS="Y"))=0,"",'Dvd Calendar'!$AO$36)))</f>
        <v/>
      </c>
      <c r="AN14" s="161">
        <f>IF(FP14="","",IF(ISNUMBER('Dvd Calendar'!$AP$36)=FALSE,"",IF((('Dvd Calendar'!$AP$38=TYPE1)*(TYPE1&lt;&gt;"")+('Dvd Calendar'!$AP$38=TYPE2)*(TYPE2&lt;&gt;"")+('Dvd Calendar'!$AP$38=TYPE3)*(TYPE3&lt;&gt;"")+('Dvd Calendar'!$AP$38=TYPE4)*(TYPE4&lt;&gt;"")+('Dvd Calendar'!$AP$38=SPECIAL_LBL)*(INC_SPECIALS="Y"))=0,"",'Dvd Calendar'!$AP$36)))</f>
        <v/>
      </c>
      <c r="AO14" s="161">
        <f>IF(FQ14="","",IF(ISNUMBER('Dvd Calendar'!$AQ$36)=FALSE,"",IF((('Dvd Calendar'!$AQ$38=TYPE1)*(TYPE1&lt;&gt;"")+('Dvd Calendar'!$AQ$38=TYPE2)*(TYPE2&lt;&gt;"")+('Dvd Calendar'!$AQ$38=TYPE3)*(TYPE3&lt;&gt;"")+('Dvd Calendar'!$AQ$38=TYPE4)*(TYPE4&lt;&gt;"")+('Dvd Calendar'!$AQ$38=SPECIAL_LBL)*(INC_SPECIALS="Y"))=0,"",'Dvd Calendar'!$AQ$36)))</f>
        <v/>
      </c>
      <c r="AP14" s="161">
        <f>IF(FR14="","",IF(ISNUMBER('Dvd Calendar'!$AR$36)=FALSE,"",IF((('Dvd Calendar'!$AR$38=TYPE1)*(TYPE1&lt;&gt;"")+('Dvd Calendar'!$AR$38=TYPE2)*(TYPE2&lt;&gt;"")+('Dvd Calendar'!$AR$38=TYPE3)*(TYPE3&lt;&gt;"")+('Dvd Calendar'!$AR$38=TYPE4)*(TYPE4&lt;&gt;"")+('Dvd Calendar'!$AR$38=SPECIAL_LBL)*(INC_SPECIALS="Y"))=0,"",'Dvd Calendar'!$AR$36)))</f>
        <v/>
      </c>
      <c r="AQ14" s="161">
        <f>IF(FS14="","",IF(ISNUMBER('Dvd Calendar'!$E$41)=FALSE,"",'Dvd Calendar'!$E$41))</f>
        <v/>
      </c>
      <c r="AR14" s="161">
        <f>IF(FT14="","",IF(ISNUMBER('Dvd Calendar'!$F$41)=FALSE,"",'Dvd Calendar'!$F$41))</f>
        <v/>
      </c>
      <c r="AS14" s="161">
        <f>IF(FU14="","",IF(ISNUMBER('Dvd Calendar'!$G$41)=FALSE,"",'Dvd Calendar'!$G$41))</f>
        <v/>
      </c>
      <c r="AT14" s="161">
        <f>IF(FV14="","",IF(ISNUMBER('Dvd Calendar'!$H$41)=FALSE,"",'Dvd Calendar'!$H$41))</f>
        <v/>
      </c>
      <c r="AU14" s="161">
        <f>IF(FW14="","",IF(ISNUMBER('Dvd Calendar'!$I$41)=FALSE,"",'Dvd Calendar'!$I$41))</f>
        <v/>
      </c>
      <c r="AV14" s="161">
        <f>IF(FX14="","",IF(ISNUMBER('Dvd Calendar'!$J$41)=FALSE,"",'Dvd Calendar'!$J$41))</f>
        <v/>
      </c>
      <c r="AW14" s="161">
        <f>IF(FY14="","",IF(ISNUMBER('Dvd Calendar'!$K$41)=FALSE,"",'Dvd Calendar'!$K$41))</f>
        <v/>
      </c>
      <c r="AX14" s="161">
        <f>IF(FZ14="","",IF(ISNUMBER('Dvd Calendar'!$L$41)=FALSE,"",'Dvd Calendar'!$L$41))</f>
        <v/>
      </c>
      <c r="AY14" s="161">
        <f>IF(GA14="","",IF(ISNUMBER('Dvd Calendar'!$M$41)=FALSE,"",'Dvd Calendar'!$M$41))</f>
        <v/>
      </c>
      <c r="AZ14" s="161">
        <f>IF(GB14="","",IF(ISNUMBER('Dvd Calendar'!$N$41)=FALSE,"",'Dvd Calendar'!$N$41))</f>
        <v/>
      </c>
      <c r="BA14" s="161">
        <f>IF(GC14="","",IF(ISNUMBER('Dvd Calendar'!$O$41)=FALSE,"",'Dvd Calendar'!$O$41))</f>
        <v/>
      </c>
      <c r="BB14" s="161">
        <f>IF(GD14="","",IF(ISNUMBER('Dvd Calendar'!$P$41)=FALSE,"",'Dvd Calendar'!$P$41))</f>
        <v/>
      </c>
      <c r="BC14" s="161">
        <f>IF(GE14="","",IF(ISNUMBER('Dvd Calendar'!$Q$41)=FALSE,"",'Dvd Calendar'!$Q$41))</f>
        <v/>
      </c>
      <c r="BD14" s="161">
        <f>IF(GF14="","",IF(ISNUMBER('Dvd Calendar'!$R$41)=FALSE,"",'Dvd Calendar'!$R$41))</f>
        <v/>
      </c>
      <c r="BE14" s="161">
        <f>IF(GG14="","",IF(ISNUMBER('Dvd Calendar'!$S$41)=FALSE,"",'Dvd Calendar'!$S$41))</f>
        <v/>
      </c>
      <c r="BF14" s="161">
        <f>IF(GH14="","",IF(ISNUMBER('Dvd Calendar'!$T$41)=FALSE,"",'Dvd Calendar'!$T$41))</f>
        <v/>
      </c>
      <c r="BG14" s="161">
        <f>IF(GI14="","",IF(ISNUMBER('Dvd Calendar'!$U$41)=FALSE,"",'Dvd Calendar'!$U$41))</f>
        <v/>
      </c>
      <c r="BH14" s="161">
        <f>IF(GJ14="","",IF(ISNUMBER('Dvd Calendar'!$V$41)=FALSE,"",'Dvd Calendar'!$V$41))</f>
        <v/>
      </c>
      <c r="BI14" s="161">
        <f>IF(GK14="","",IF(ISNUMBER('Dvd Calendar'!$W$41)=FALSE,"",'Dvd Calendar'!$W$41))</f>
        <v/>
      </c>
      <c r="BJ14" s="161">
        <f>IF(GL14="","",IF(ISNUMBER('Dvd Calendar'!$X$41)=FALSE,"",'Dvd Calendar'!$X$41))</f>
        <v/>
      </c>
      <c r="BK14" s="161">
        <f>IF(GM14="","",IF(ISNUMBER('Dvd Calendar'!$Y$41)=FALSE,"",'Dvd Calendar'!$Y$41))</f>
        <v/>
      </c>
      <c r="BL14" s="161">
        <f>IF(GN14="","",IF(ISNUMBER('Dvd Calendar'!$Z$41)=FALSE,"",'Dvd Calendar'!$Z$41))</f>
        <v/>
      </c>
      <c r="BM14" s="161">
        <f>IF(GO14="","",IF(ISNUMBER('Dvd Calendar'!$AA$41)=FALSE,"",'Dvd Calendar'!$AA$41))</f>
        <v/>
      </c>
      <c r="BN14" s="161">
        <f>IF(GP14="","",IF(ISNUMBER('Dvd Calendar'!$AB$41)=FALSE,"",'Dvd Calendar'!$AB$41))</f>
        <v/>
      </c>
      <c r="BO14" s="161">
        <f>IF(GQ14="","",IF(ISNUMBER('Dvd Calendar'!$AC$41)=FALSE,"",'Dvd Calendar'!$AC$41))</f>
        <v/>
      </c>
      <c r="BQ14" s="161">
        <f>IF(C14="","",IFERROR(C14*HSI!$B$9*HSI!$G$9/HSI!$B$3,""))</f>
        <v/>
      </c>
      <c r="BR14" s="161">
        <f>IF(D14="","",IFERROR(D14*HSI!$B$9*HSI!$G$9/HSI!$B$3,""))</f>
        <v/>
      </c>
      <c r="BS14" s="161">
        <f>IF(E14="","",IFERROR(E14*HSI!$B$9*HSI!$G$9/HSI!$B$3,""))</f>
        <v/>
      </c>
      <c r="BT14" s="161">
        <f>IF(F14="","",IFERROR(F14*HSI!$B$9*HSI!$G$9/HSI!$B$3,""))</f>
        <v/>
      </c>
      <c r="BU14" s="161">
        <f>IF(G14="","",IFERROR(G14*HSI!$B$9*HSI!$G$9/HSI!$B$3,""))</f>
        <v/>
      </c>
      <c r="BV14" s="161">
        <f>IF(H14="","",IFERROR(H14*HSI!$B$9*HSI!$G$9/HSI!$B$3,""))</f>
        <v/>
      </c>
      <c r="BW14" s="161">
        <f>IF(I14="","",IFERROR(I14*HSI!$B$9*HSI!$G$9/HSI!$B$3,""))</f>
        <v/>
      </c>
      <c r="BX14" s="161">
        <f>IF(J14="","",IFERROR(J14*HSI!$B$9*HSI!$G$9/HSI!$B$3,""))</f>
        <v/>
      </c>
      <c r="BY14" s="161">
        <f>IF(K14="","",IFERROR(K14*HSI!$B$9*HSI!$G$9/HSI!$B$3,""))</f>
        <v/>
      </c>
      <c r="BZ14" s="161">
        <f>IF(L14="","",IFERROR(L14*HSI!$B$9*HSI!$G$9/HSI!$B$3,""))</f>
        <v/>
      </c>
      <c r="CA14" s="161">
        <f>IF(M14="","",IFERROR(M14*HSI!$B$9*HSI!$G$9/HSI!$B$3,""))</f>
        <v/>
      </c>
      <c r="CB14" s="161">
        <f>IF(N14="","",IFERROR(N14*HSI!$B$9*HSI!$G$9/HSI!$B$3,""))</f>
        <v/>
      </c>
      <c r="CC14" s="161">
        <f>IF(O14="","",IFERROR(O14*HSI!$B$9*HSI!$G$9/HSI!$B$3,""))</f>
        <v/>
      </c>
      <c r="CD14" s="161">
        <f>IF(P14="","",IFERROR(P14*HSI!$B$9*HSI!$G$9/HSI!$B$3,""))</f>
        <v/>
      </c>
      <c r="CE14" s="161">
        <f>IF(Q14="","",IFERROR(Q14*HSI!$B$9*HSI!$G$9/HSI!$B$3,""))</f>
        <v/>
      </c>
      <c r="CF14" s="161">
        <f>IF(R14="","",IFERROR(R14*HSI!$B$9*HSI!$G$9/HSI!$B$3,""))</f>
        <v/>
      </c>
      <c r="CG14" s="161">
        <f>IF(S14="","",IFERROR(S14*HSI!$B$9*HSI!$G$9/HSI!$B$3,""))</f>
        <v/>
      </c>
      <c r="CH14" s="161">
        <f>IF(T14="","",IFERROR(T14*HSI!$B$9*HSI!$G$9/HSI!$B$3,""))</f>
        <v/>
      </c>
      <c r="CI14" s="161">
        <f>IF(U14="","",IFERROR(U14*HSI!$B$9*HSI!$G$9/HSI!$B$3,""))</f>
        <v/>
      </c>
      <c r="CJ14" s="161">
        <f>IF(V14="","",IFERROR(V14*HSI!$B$9*HSI!$G$9/HSI!$B$3,""))</f>
        <v/>
      </c>
      <c r="CK14" s="161">
        <f>IF(W14="","",IFERROR(W14*HSI!$B$9*HSI!$G$9/HSI!$B$3,""))</f>
        <v/>
      </c>
      <c r="CL14" s="161">
        <f>IF(X14="","",IFERROR(X14*HSI!$B$9*HSI!$G$9/HSI!$B$3,""))</f>
        <v/>
      </c>
      <c r="CM14" s="161">
        <f>IF(Y14="","",IFERROR(Y14*HSI!$B$9*HSI!$G$9/HSI!$B$3,""))</f>
        <v/>
      </c>
      <c r="CN14" s="161">
        <f>IF(Z14="","",IFERROR(Z14*HSI!$B$9*HSI!$G$9/HSI!$B$3,""))</f>
        <v/>
      </c>
      <c r="CO14" s="161">
        <f>IF(AA14="","",IFERROR(AA14*HSI!$B$9*HSI!$G$9/HSI!$B$3,""))</f>
        <v/>
      </c>
      <c r="CP14" s="161">
        <f>IF(AB14="","",IFERROR(AB14*HSI!$B$9*HSI!$G$9/HSI!$B$3,""))</f>
        <v/>
      </c>
      <c r="CQ14" s="161">
        <f>IF(AC14="","",IFERROR(AC14*HSI!$B$9*HSI!$G$9/HSI!$B$3,""))</f>
        <v/>
      </c>
      <c r="CR14" s="161">
        <f>IF(AD14="","",IFERROR(AD14*HSI!$B$9*HSI!$G$9/HSI!$B$3,""))</f>
        <v/>
      </c>
      <c r="CS14" s="161">
        <f>IF(AE14="","",IFERROR(AE14*HSI!$B$9*HSI!$G$9/HSI!$B$3,""))</f>
        <v/>
      </c>
      <c r="CT14" s="161">
        <f>IF(AF14="","",IFERROR(AF14*HSI!$B$9*HSI!$G$9/HSI!$B$3,""))</f>
        <v/>
      </c>
      <c r="CU14" s="161">
        <f>IF(AG14="","",IFERROR(AG14*HSI!$B$9*HSI!$G$9/HSI!$B$3,""))</f>
        <v/>
      </c>
      <c r="CV14" s="161">
        <f>IF(AH14="","",IFERROR(AH14*HSI!$B$9*HSI!$G$9/HSI!$B$3,""))</f>
        <v/>
      </c>
      <c r="CW14" s="161">
        <f>IF(AI14="","",IFERROR(AI14*HSI!$B$9*HSI!$G$9/HSI!$B$3,""))</f>
        <v/>
      </c>
      <c r="CX14" s="161">
        <f>IF(AJ14="","",IFERROR(AJ14*HSI!$B$9*HSI!$G$9/HSI!$B$3,""))</f>
        <v/>
      </c>
      <c r="CY14" s="161">
        <f>IF(AK14="","",IFERROR(AK14*HSI!$B$9*HSI!$G$9/HSI!$B$3,""))</f>
        <v/>
      </c>
      <c r="CZ14" s="161">
        <f>IF(AL14="","",IFERROR(AL14*HSI!$B$9*HSI!$G$9/HSI!$B$3,""))</f>
        <v/>
      </c>
      <c r="DA14" s="161">
        <f>IF(AM14="","",IFERROR(AM14*HSI!$B$9*HSI!$G$9/HSI!$B$3,""))</f>
        <v/>
      </c>
      <c r="DB14" s="161">
        <f>IF(AN14="","",IFERROR(AN14*HSI!$B$9*HSI!$G$9/HSI!$B$3,""))</f>
        <v/>
      </c>
      <c r="DC14" s="161">
        <f>IF(AO14="","",IFERROR(AO14*HSI!$B$9*HSI!$G$9/HSI!$B$3,""))</f>
        <v/>
      </c>
      <c r="DD14" s="161">
        <f>IF(AP14="","",IFERROR(AP14*HSI!$B$9*HSI!$G$9/HSI!$B$3,""))</f>
        <v/>
      </c>
      <c r="DE14" s="161">
        <f>IF(AQ14="","",IFERROR(AQ14*HSI!$B$9*HSI!$G$9/HSI!$B$3,""))</f>
        <v/>
      </c>
      <c r="DF14" s="161">
        <f>IF(AR14="","",IFERROR(AR14*HSI!$B$9*HSI!$G$9/HSI!$B$3,""))</f>
        <v/>
      </c>
      <c r="DG14" s="161">
        <f>IF(AS14="","",IFERROR(AS14*HSI!$B$9*HSI!$G$9/HSI!$B$3,""))</f>
        <v/>
      </c>
      <c r="DH14" s="161">
        <f>IF(AT14="","",IFERROR(AT14*HSI!$B$9*HSI!$G$9/HSI!$B$3,""))</f>
        <v/>
      </c>
      <c r="DI14" s="161">
        <f>IF(AU14="","",IFERROR(AU14*HSI!$B$9*HSI!$G$9/HSI!$B$3,""))</f>
        <v/>
      </c>
      <c r="DJ14" s="161">
        <f>IF(AV14="","",IFERROR(AV14*HSI!$B$9*HSI!$G$9/HSI!$B$3,""))</f>
        <v/>
      </c>
      <c r="DK14" s="161">
        <f>IF(AW14="","",IFERROR(AW14*HSI!$B$9*HSI!$G$9/HSI!$B$3,""))</f>
        <v/>
      </c>
      <c r="DL14" s="161">
        <f>IF(AX14="","",IFERROR(AX14*HSI!$B$9*HSI!$G$9/HSI!$B$3,""))</f>
        <v/>
      </c>
      <c r="DM14" s="161">
        <f>IF(AY14="","",IFERROR(AY14*HSI!$B$9*HSI!$G$9/HSI!$B$3,""))</f>
        <v/>
      </c>
      <c r="DN14" s="161">
        <f>IF(AZ14="","",IFERROR(AZ14*HSI!$B$9*HSI!$G$9/HSI!$B$3,""))</f>
        <v/>
      </c>
      <c r="DO14" s="161">
        <f>IF(BA14="","",IFERROR(BA14*HSI!$B$9*HSI!$G$9/HSI!$B$3,""))</f>
        <v/>
      </c>
      <c r="DP14" s="161">
        <f>IF(BB14="","",IFERROR(BB14*HSI!$B$9*HSI!$G$9/HSI!$B$3,""))</f>
        <v/>
      </c>
      <c r="DQ14" s="161">
        <f>IF(BC14="","",IFERROR(BC14*HSI!$B$9*HSI!$G$9/HSI!$B$3,""))</f>
        <v/>
      </c>
      <c r="DR14" s="161">
        <f>IF(BD14="","",IFERROR(BD14*HSI!$B$9*HSI!$G$9/HSI!$B$3,""))</f>
        <v/>
      </c>
      <c r="DS14" s="161">
        <f>IF(BE14="","",IFERROR(BE14*HSI!$B$9*HSI!$G$9/HSI!$B$3,""))</f>
        <v/>
      </c>
      <c r="DT14" s="161">
        <f>IF(BF14="","",IFERROR(BF14*HSI!$B$9*HSI!$G$9/HSI!$B$3,""))</f>
        <v/>
      </c>
      <c r="DU14" s="161">
        <f>IF(BG14="","",IFERROR(BG14*HSI!$B$9*HSI!$G$9/HSI!$B$3,""))</f>
        <v/>
      </c>
      <c r="DV14" s="161">
        <f>IF(BH14="","",IFERROR(BH14*HSI!$B$9*HSI!$G$9/HSI!$B$3,""))</f>
        <v/>
      </c>
      <c r="DW14" s="161">
        <f>IF(BI14="","",IFERROR(BI14*HSI!$B$9*HSI!$G$9/HSI!$B$3,""))</f>
        <v/>
      </c>
      <c r="DX14" s="161">
        <f>IF(BJ14="","",IFERROR(BJ14*HSI!$B$9*HSI!$G$9/HSI!$B$3,""))</f>
        <v/>
      </c>
      <c r="DY14" s="161">
        <f>IF(BK14="","",IFERROR(BK14*HSI!$B$9*HSI!$G$9/HSI!$B$3,""))</f>
        <v/>
      </c>
      <c r="DZ14" s="161">
        <f>IF(BL14="","",IFERROR(BL14*HSI!$B$9*HSI!$G$9/HSI!$B$3,""))</f>
        <v/>
      </c>
      <c r="EA14" s="161">
        <f>IF(BM14="","",IFERROR(BM14*HSI!$B$9*HSI!$G$9/HSI!$B$3,""))</f>
        <v/>
      </c>
      <c r="EB14" s="161">
        <f>IF(BN14="","",IFERROR(BN14*HSI!$B$9*HSI!$G$9/HSI!$B$3,""))</f>
        <v/>
      </c>
      <c r="EC14" s="161">
        <f>IF(BO14="","",IFERROR(BO14*HSI!$B$9*HSI!$G$9/HSI!$B$3,""))</f>
        <v/>
      </c>
      <c r="EE14" s="121">
        <f>IF(N('Dvd Calendar'!$E$33)=0,"",IF(('Dvd Calendar'!$E$33&gt;=GRID_FROM)*('Dvd Calendar'!$E$33&lt;=GRID_TO)*((('Dvd Calendar'!$E$33&lt;=VAL_DATE)+(COUNTIF('Dvd Calendar'!$E$40:$AR$40,'Dvd Calendar'!$E$33)=0))&gt;0)=0,"",'Dvd Calendar'!$E$33*1000000000+ISNUMBER('Dvd Calendar'!$E$36)*100000000+('Dvd Calendar'!$E$38=SPECIAL_LBL)*10000000+(N('Dvd Calendar'!$E$32)&gt;0)*(N('Dvd Calendar'!$E$32)&lt;=VAL_SERIAL)*1000000+3*1000+1))</f>
        <v/>
      </c>
      <c r="EF14" s="121">
        <f>IF(N('Dvd Calendar'!$F$33)=0,"",IF(('Dvd Calendar'!$F$33&gt;=GRID_FROM)*('Dvd Calendar'!$F$33&lt;=GRID_TO)*((('Dvd Calendar'!$F$33&lt;=VAL_DATE)+(COUNTIF('Dvd Calendar'!$E$40:$AR$40,'Dvd Calendar'!$F$33)=0))&gt;0)=0,"",'Dvd Calendar'!$F$33*1000000000+ISNUMBER('Dvd Calendar'!$F$36)*100000000+('Dvd Calendar'!$F$38=SPECIAL_LBL)*10000000+(N('Dvd Calendar'!$F$32)&gt;0)*(N('Dvd Calendar'!$F$32)&lt;=VAL_SERIAL)*1000000+3*1000+2))</f>
        <v/>
      </c>
      <c r="EG14" s="121">
        <f>IF(N('Dvd Calendar'!$G$33)=0,"",IF(('Dvd Calendar'!$G$33&gt;=GRID_FROM)*('Dvd Calendar'!$G$33&lt;=GRID_TO)*((('Dvd Calendar'!$G$33&lt;=VAL_DATE)+(COUNTIF('Dvd Calendar'!$E$40:$AR$40,'Dvd Calendar'!$G$33)=0))&gt;0)=0,"",'Dvd Calendar'!$G$33*1000000000+ISNUMBER('Dvd Calendar'!$G$36)*100000000+('Dvd Calendar'!$G$38=SPECIAL_LBL)*10000000+(N('Dvd Calendar'!$G$32)&gt;0)*(N('Dvd Calendar'!$G$32)&lt;=VAL_SERIAL)*1000000+3*1000+3))</f>
        <v/>
      </c>
      <c r="EH14" s="121">
        <f>IF(N('Dvd Calendar'!$H$33)=0,"",IF(('Dvd Calendar'!$H$33&gt;=GRID_FROM)*('Dvd Calendar'!$H$33&lt;=GRID_TO)*((('Dvd Calendar'!$H$33&lt;=VAL_DATE)+(COUNTIF('Dvd Calendar'!$E$40:$AR$40,'Dvd Calendar'!$H$33)=0))&gt;0)=0,"",'Dvd Calendar'!$H$33*1000000000+ISNUMBER('Dvd Calendar'!$H$36)*100000000+('Dvd Calendar'!$H$38=SPECIAL_LBL)*10000000+(N('Dvd Calendar'!$H$32)&gt;0)*(N('Dvd Calendar'!$H$32)&lt;=VAL_SERIAL)*1000000+3*1000+4))</f>
        <v/>
      </c>
      <c r="EI14" s="121">
        <f>IF(N('Dvd Calendar'!$I$33)=0,"",IF(('Dvd Calendar'!$I$33&gt;=GRID_FROM)*('Dvd Calendar'!$I$33&lt;=GRID_TO)*((('Dvd Calendar'!$I$33&lt;=VAL_DATE)+(COUNTIF('Dvd Calendar'!$E$40:$AR$40,'Dvd Calendar'!$I$33)=0))&gt;0)=0,"",'Dvd Calendar'!$I$33*1000000000+ISNUMBER('Dvd Calendar'!$I$36)*100000000+('Dvd Calendar'!$I$38=SPECIAL_LBL)*10000000+(N('Dvd Calendar'!$I$32)&gt;0)*(N('Dvd Calendar'!$I$32)&lt;=VAL_SERIAL)*1000000+3*1000+5))</f>
        <v/>
      </c>
      <c r="EJ14" s="121">
        <f>IF(N('Dvd Calendar'!$J$33)=0,"",IF(('Dvd Calendar'!$J$33&gt;=GRID_FROM)*('Dvd Calendar'!$J$33&lt;=GRID_TO)*((('Dvd Calendar'!$J$33&lt;=VAL_DATE)+(COUNTIF('Dvd Calendar'!$E$40:$AR$40,'Dvd Calendar'!$J$33)=0))&gt;0)=0,"",'Dvd Calendar'!$J$33*1000000000+ISNUMBER('Dvd Calendar'!$J$36)*100000000+('Dvd Calendar'!$J$38=SPECIAL_LBL)*10000000+(N('Dvd Calendar'!$J$32)&gt;0)*(N('Dvd Calendar'!$J$32)&lt;=VAL_SERIAL)*1000000+3*1000+6))</f>
        <v/>
      </c>
      <c r="EK14" s="121">
        <f>IF(N('Dvd Calendar'!$K$33)=0,"",IF(('Dvd Calendar'!$K$33&gt;=GRID_FROM)*('Dvd Calendar'!$K$33&lt;=GRID_TO)*((('Dvd Calendar'!$K$33&lt;=VAL_DATE)+(COUNTIF('Dvd Calendar'!$E$40:$AR$40,'Dvd Calendar'!$K$33)=0))&gt;0)=0,"",'Dvd Calendar'!$K$33*1000000000+ISNUMBER('Dvd Calendar'!$K$36)*100000000+('Dvd Calendar'!$K$38=SPECIAL_LBL)*10000000+(N('Dvd Calendar'!$K$32)&gt;0)*(N('Dvd Calendar'!$K$32)&lt;=VAL_SERIAL)*1000000+3*1000+7))</f>
        <v/>
      </c>
      <c r="EL14" s="121">
        <f>IF(N('Dvd Calendar'!$L$33)=0,"",IF(('Dvd Calendar'!$L$33&gt;=GRID_FROM)*('Dvd Calendar'!$L$33&lt;=GRID_TO)*((('Dvd Calendar'!$L$33&lt;=VAL_DATE)+(COUNTIF('Dvd Calendar'!$E$40:$AR$40,'Dvd Calendar'!$L$33)=0))&gt;0)=0,"",'Dvd Calendar'!$L$33*1000000000+ISNUMBER('Dvd Calendar'!$L$36)*100000000+('Dvd Calendar'!$L$38=SPECIAL_LBL)*10000000+(N('Dvd Calendar'!$L$32)&gt;0)*(N('Dvd Calendar'!$L$32)&lt;=VAL_SERIAL)*1000000+3*1000+8))</f>
        <v/>
      </c>
      <c r="EM14" s="121">
        <f>IF(N('Dvd Calendar'!$M$33)=0,"",IF(('Dvd Calendar'!$M$33&gt;=GRID_FROM)*('Dvd Calendar'!$M$33&lt;=GRID_TO)*((('Dvd Calendar'!$M$33&lt;=VAL_DATE)+(COUNTIF('Dvd Calendar'!$E$40:$AR$40,'Dvd Calendar'!$M$33)=0))&gt;0)=0,"",'Dvd Calendar'!$M$33*1000000000+ISNUMBER('Dvd Calendar'!$M$36)*100000000+('Dvd Calendar'!$M$38=SPECIAL_LBL)*10000000+(N('Dvd Calendar'!$M$32)&gt;0)*(N('Dvd Calendar'!$M$32)&lt;=VAL_SERIAL)*1000000+3*1000+9))</f>
        <v/>
      </c>
      <c r="EN14" s="121">
        <f>IF(N('Dvd Calendar'!$N$33)=0,"",IF(('Dvd Calendar'!$N$33&gt;=GRID_FROM)*('Dvd Calendar'!$N$33&lt;=GRID_TO)*((('Dvd Calendar'!$N$33&lt;=VAL_DATE)+(COUNTIF('Dvd Calendar'!$E$40:$AR$40,'Dvd Calendar'!$N$33)=0))&gt;0)=0,"",'Dvd Calendar'!$N$33*1000000000+ISNUMBER('Dvd Calendar'!$N$36)*100000000+('Dvd Calendar'!$N$38=SPECIAL_LBL)*10000000+(N('Dvd Calendar'!$N$32)&gt;0)*(N('Dvd Calendar'!$N$32)&lt;=VAL_SERIAL)*1000000+3*1000+10))</f>
        <v/>
      </c>
      <c r="EO14" s="121">
        <f>IF(N('Dvd Calendar'!$O$33)=0,"",IF(('Dvd Calendar'!$O$33&gt;=GRID_FROM)*('Dvd Calendar'!$O$33&lt;=GRID_TO)*((('Dvd Calendar'!$O$33&lt;=VAL_DATE)+(COUNTIF('Dvd Calendar'!$E$40:$AR$40,'Dvd Calendar'!$O$33)=0))&gt;0)=0,"",'Dvd Calendar'!$O$33*1000000000+ISNUMBER('Dvd Calendar'!$O$36)*100000000+('Dvd Calendar'!$O$38=SPECIAL_LBL)*10000000+(N('Dvd Calendar'!$O$32)&gt;0)*(N('Dvd Calendar'!$O$32)&lt;=VAL_SERIAL)*1000000+3*1000+11))</f>
        <v/>
      </c>
      <c r="EP14" s="121">
        <f>IF(N('Dvd Calendar'!$P$33)=0,"",IF(('Dvd Calendar'!$P$33&gt;=GRID_FROM)*('Dvd Calendar'!$P$33&lt;=GRID_TO)*((('Dvd Calendar'!$P$33&lt;=VAL_DATE)+(COUNTIF('Dvd Calendar'!$E$40:$AR$40,'Dvd Calendar'!$P$33)=0))&gt;0)=0,"",'Dvd Calendar'!$P$33*1000000000+ISNUMBER('Dvd Calendar'!$P$36)*100000000+('Dvd Calendar'!$P$38=SPECIAL_LBL)*10000000+(N('Dvd Calendar'!$P$32)&gt;0)*(N('Dvd Calendar'!$P$32)&lt;=VAL_SERIAL)*1000000+3*1000+12))</f>
        <v/>
      </c>
      <c r="EQ14" s="121">
        <f>IF(N('Dvd Calendar'!$Q$33)=0,"",IF(('Dvd Calendar'!$Q$33&gt;=GRID_FROM)*('Dvd Calendar'!$Q$33&lt;=GRID_TO)*((('Dvd Calendar'!$Q$33&lt;=VAL_DATE)+(COUNTIF('Dvd Calendar'!$E$40:$AR$40,'Dvd Calendar'!$Q$33)=0))&gt;0)=0,"",'Dvd Calendar'!$Q$33*1000000000+ISNUMBER('Dvd Calendar'!$Q$36)*100000000+('Dvd Calendar'!$Q$38=SPECIAL_LBL)*10000000+(N('Dvd Calendar'!$Q$32)&gt;0)*(N('Dvd Calendar'!$Q$32)&lt;=VAL_SERIAL)*1000000+3*1000+13))</f>
        <v/>
      </c>
      <c r="ER14" s="121">
        <f>IF(N('Dvd Calendar'!$R$33)=0,"",IF(('Dvd Calendar'!$R$33&gt;=GRID_FROM)*('Dvd Calendar'!$R$33&lt;=GRID_TO)*((('Dvd Calendar'!$R$33&lt;=VAL_DATE)+(COUNTIF('Dvd Calendar'!$E$40:$AR$40,'Dvd Calendar'!$R$33)=0))&gt;0)=0,"",'Dvd Calendar'!$R$33*1000000000+ISNUMBER('Dvd Calendar'!$R$36)*100000000+('Dvd Calendar'!$R$38=SPECIAL_LBL)*10000000+(N('Dvd Calendar'!$R$32)&gt;0)*(N('Dvd Calendar'!$R$32)&lt;=VAL_SERIAL)*1000000+3*1000+14))</f>
        <v/>
      </c>
      <c r="ES14" s="121">
        <f>IF(N('Dvd Calendar'!$S$33)=0,"",IF(('Dvd Calendar'!$S$33&gt;=GRID_FROM)*('Dvd Calendar'!$S$33&lt;=GRID_TO)*((('Dvd Calendar'!$S$33&lt;=VAL_DATE)+(COUNTIF('Dvd Calendar'!$E$40:$AR$40,'Dvd Calendar'!$S$33)=0))&gt;0)=0,"",'Dvd Calendar'!$S$33*1000000000+ISNUMBER('Dvd Calendar'!$S$36)*100000000+('Dvd Calendar'!$S$38=SPECIAL_LBL)*10000000+(N('Dvd Calendar'!$S$32)&gt;0)*(N('Dvd Calendar'!$S$32)&lt;=VAL_SERIAL)*1000000+3*1000+15))</f>
        <v/>
      </c>
      <c r="ET14" s="121">
        <f>IF(N('Dvd Calendar'!$T$33)=0,"",IF(('Dvd Calendar'!$T$33&gt;=GRID_FROM)*('Dvd Calendar'!$T$33&lt;=GRID_TO)*((('Dvd Calendar'!$T$33&lt;=VAL_DATE)+(COUNTIF('Dvd Calendar'!$E$40:$AR$40,'Dvd Calendar'!$T$33)=0))&gt;0)=0,"",'Dvd Calendar'!$T$33*1000000000+ISNUMBER('Dvd Calendar'!$T$36)*100000000+('Dvd Calendar'!$T$38=SPECIAL_LBL)*10000000+(N('Dvd Calendar'!$T$32)&gt;0)*(N('Dvd Calendar'!$T$32)&lt;=VAL_SERIAL)*1000000+3*1000+16))</f>
        <v/>
      </c>
      <c r="EU14" s="121">
        <f>IF(N('Dvd Calendar'!$U$33)=0,"",IF(('Dvd Calendar'!$U$33&gt;=GRID_FROM)*('Dvd Calendar'!$U$33&lt;=GRID_TO)*((('Dvd Calendar'!$U$33&lt;=VAL_DATE)+(COUNTIF('Dvd Calendar'!$E$40:$AR$40,'Dvd Calendar'!$U$33)=0))&gt;0)=0,"",'Dvd Calendar'!$U$33*1000000000+ISNUMBER('Dvd Calendar'!$U$36)*100000000+('Dvd Calendar'!$U$38=SPECIAL_LBL)*10000000+(N('Dvd Calendar'!$U$32)&gt;0)*(N('Dvd Calendar'!$U$32)&lt;=VAL_SERIAL)*1000000+3*1000+17))</f>
        <v/>
      </c>
      <c r="EV14" s="121">
        <f>IF(N('Dvd Calendar'!$V$33)=0,"",IF(('Dvd Calendar'!$V$33&gt;=GRID_FROM)*('Dvd Calendar'!$V$33&lt;=GRID_TO)*((('Dvd Calendar'!$V$33&lt;=VAL_DATE)+(COUNTIF('Dvd Calendar'!$E$40:$AR$40,'Dvd Calendar'!$V$33)=0))&gt;0)=0,"",'Dvd Calendar'!$V$33*1000000000+ISNUMBER('Dvd Calendar'!$V$36)*100000000+('Dvd Calendar'!$V$38=SPECIAL_LBL)*10000000+(N('Dvd Calendar'!$V$32)&gt;0)*(N('Dvd Calendar'!$V$32)&lt;=VAL_SERIAL)*1000000+3*1000+18))</f>
        <v/>
      </c>
      <c r="EW14" s="121">
        <f>IF(N('Dvd Calendar'!$W$33)=0,"",IF(('Dvd Calendar'!$W$33&gt;=GRID_FROM)*('Dvd Calendar'!$W$33&lt;=GRID_TO)*((('Dvd Calendar'!$W$33&lt;=VAL_DATE)+(COUNTIF('Dvd Calendar'!$E$40:$AR$40,'Dvd Calendar'!$W$33)=0))&gt;0)=0,"",'Dvd Calendar'!$W$33*1000000000+ISNUMBER('Dvd Calendar'!$W$36)*100000000+('Dvd Calendar'!$W$38=SPECIAL_LBL)*10000000+(N('Dvd Calendar'!$W$32)&gt;0)*(N('Dvd Calendar'!$W$32)&lt;=VAL_SERIAL)*1000000+3*1000+19))</f>
        <v/>
      </c>
      <c r="EX14" s="121">
        <f>IF(N('Dvd Calendar'!$X$33)=0,"",IF(('Dvd Calendar'!$X$33&gt;=GRID_FROM)*('Dvd Calendar'!$X$33&lt;=GRID_TO)*((('Dvd Calendar'!$X$33&lt;=VAL_DATE)+(COUNTIF('Dvd Calendar'!$E$40:$AR$40,'Dvd Calendar'!$X$33)=0))&gt;0)=0,"",'Dvd Calendar'!$X$33*1000000000+ISNUMBER('Dvd Calendar'!$X$36)*100000000+('Dvd Calendar'!$X$38=SPECIAL_LBL)*10000000+(N('Dvd Calendar'!$X$32)&gt;0)*(N('Dvd Calendar'!$X$32)&lt;=VAL_SERIAL)*1000000+3*1000+20))</f>
        <v/>
      </c>
      <c r="EY14" s="121">
        <f>IF(N('Dvd Calendar'!$Y$33)=0,"",IF(('Dvd Calendar'!$Y$33&gt;=GRID_FROM)*('Dvd Calendar'!$Y$33&lt;=GRID_TO)*((('Dvd Calendar'!$Y$33&lt;=VAL_DATE)+(COUNTIF('Dvd Calendar'!$E$40:$AR$40,'Dvd Calendar'!$Y$33)=0))&gt;0)=0,"",'Dvd Calendar'!$Y$33*1000000000+ISNUMBER('Dvd Calendar'!$Y$36)*100000000+('Dvd Calendar'!$Y$38=SPECIAL_LBL)*10000000+(N('Dvd Calendar'!$Y$32)&gt;0)*(N('Dvd Calendar'!$Y$32)&lt;=VAL_SERIAL)*1000000+3*1000+21))</f>
        <v/>
      </c>
      <c r="EZ14" s="121">
        <f>IF(N('Dvd Calendar'!$Z$33)=0,"",IF(('Dvd Calendar'!$Z$33&gt;=GRID_FROM)*('Dvd Calendar'!$Z$33&lt;=GRID_TO)*((('Dvd Calendar'!$Z$33&lt;=VAL_DATE)+(COUNTIF('Dvd Calendar'!$E$40:$AR$40,'Dvd Calendar'!$Z$33)=0))&gt;0)=0,"",'Dvd Calendar'!$Z$33*1000000000+ISNUMBER('Dvd Calendar'!$Z$36)*100000000+('Dvd Calendar'!$Z$38=SPECIAL_LBL)*10000000+(N('Dvd Calendar'!$Z$32)&gt;0)*(N('Dvd Calendar'!$Z$32)&lt;=VAL_SERIAL)*1000000+3*1000+22))</f>
        <v/>
      </c>
      <c r="FA14" s="121">
        <f>IF(N('Dvd Calendar'!$AA$33)=0,"",IF(('Dvd Calendar'!$AA$33&gt;=GRID_FROM)*('Dvd Calendar'!$AA$33&lt;=GRID_TO)*((('Dvd Calendar'!$AA$33&lt;=VAL_DATE)+(COUNTIF('Dvd Calendar'!$E$40:$AR$40,'Dvd Calendar'!$AA$33)=0))&gt;0)=0,"",'Dvd Calendar'!$AA$33*1000000000+ISNUMBER('Dvd Calendar'!$AA$36)*100000000+('Dvd Calendar'!$AA$38=SPECIAL_LBL)*10000000+(N('Dvd Calendar'!$AA$32)&gt;0)*(N('Dvd Calendar'!$AA$32)&lt;=VAL_SERIAL)*1000000+3*1000+23))</f>
        <v/>
      </c>
      <c r="FB14" s="121">
        <f>IF(N('Dvd Calendar'!$AB$33)=0,"",IF(('Dvd Calendar'!$AB$33&gt;=GRID_FROM)*('Dvd Calendar'!$AB$33&lt;=GRID_TO)*((('Dvd Calendar'!$AB$33&lt;=VAL_DATE)+(COUNTIF('Dvd Calendar'!$E$40:$AR$40,'Dvd Calendar'!$AB$33)=0))&gt;0)=0,"",'Dvd Calendar'!$AB$33*1000000000+ISNUMBER('Dvd Calendar'!$AB$36)*100000000+('Dvd Calendar'!$AB$38=SPECIAL_LBL)*10000000+(N('Dvd Calendar'!$AB$32)&gt;0)*(N('Dvd Calendar'!$AB$32)&lt;=VAL_SERIAL)*1000000+3*1000+24))</f>
        <v/>
      </c>
      <c r="FC14" s="121">
        <f>IF(N('Dvd Calendar'!$AC$33)=0,"",IF(('Dvd Calendar'!$AC$33&gt;=GRID_FROM)*('Dvd Calendar'!$AC$33&lt;=GRID_TO)*((('Dvd Calendar'!$AC$33&lt;=VAL_DATE)+(COUNTIF('Dvd Calendar'!$E$40:$AR$40,'Dvd Calendar'!$AC$33)=0))&gt;0)=0,"",'Dvd Calendar'!$AC$33*1000000000+ISNUMBER('Dvd Calendar'!$AC$36)*100000000+('Dvd Calendar'!$AC$38=SPECIAL_LBL)*10000000+(N('Dvd Calendar'!$AC$32)&gt;0)*(N('Dvd Calendar'!$AC$32)&lt;=VAL_SERIAL)*1000000+3*1000+25))</f>
        <v/>
      </c>
      <c r="FD14" s="121">
        <f>IF(N('Dvd Calendar'!$AD$33)=0,"",IF(('Dvd Calendar'!$AD$33&gt;=GRID_FROM)*('Dvd Calendar'!$AD$33&lt;=GRID_TO)*((('Dvd Calendar'!$AD$33&lt;=VAL_DATE)+(COUNTIF('Dvd Calendar'!$E$40:$AR$40,'Dvd Calendar'!$AD$33)=0))&gt;0)=0,"",'Dvd Calendar'!$AD$33*1000000000+ISNUMBER('Dvd Calendar'!$AD$36)*100000000+('Dvd Calendar'!$AD$38=SPECIAL_LBL)*10000000+(N('Dvd Calendar'!$AD$32)&gt;0)*(N('Dvd Calendar'!$AD$32)&lt;=VAL_SERIAL)*1000000+3*1000+26))</f>
        <v/>
      </c>
      <c r="FE14" s="121">
        <f>IF(N('Dvd Calendar'!$AE$33)=0,"",IF(('Dvd Calendar'!$AE$33&gt;=GRID_FROM)*('Dvd Calendar'!$AE$33&lt;=GRID_TO)*((('Dvd Calendar'!$AE$33&lt;=VAL_DATE)+(COUNTIF('Dvd Calendar'!$E$40:$AR$40,'Dvd Calendar'!$AE$33)=0))&gt;0)=0,"",'Dvd Calendar'!$AE$33*1000000000+ISNUMBER('Dvd Calendar'!$AE$36)*100000000+('Dvd Calendar'!$AE$38=SPECIAL_LBL)*10000000+(N('Dvd Calendar'!$AE$32)&gt;0)*(N('Dvd Calendar'!$AE$32)&lt;=VAL_SERIAL)*1000000+3*1000+27))</f>
        <v/>
      </c>
      <c r="FF14" s="121">
        <f>IF(N('Dvd Calendar'!$AF$33)=0,"",IF(('Dvd Calendar'!$AF$33&gt;=GRID_FROM)*('Dvd Calendar'!$AF$33&lt;=GRID_TO)*((('Dvd Calendar'!$AF$33&lt;=VAL_DATE)+(COUNTIF('Dvd Calendar'!$E$40:$AR$40,'Dvd Calendar'!$AF$33)=0))&gt;0)=0,"",'Dvd Calendar'!$AF$33*1000000000+ISNUMBER('Dvd Calendar'!$AF$36)*100000000+('Dvd Calendar'!$AF$38=SPECIAL_LBL)*10000000+(N('Dvd Calendar'!$AF$32)&gt;0)*(N('Dvd Calendar'!$AF$32)&lt;=VAL_SERIAL)*1000000+3*1000+28))</f>
        <v/>
      </c>
      <c r="FG14" s="121">
        <f>IF(N('Dvd Calendar'!$AG$33)=0,"",IF(('Dvd Calendar'!$AG$33&gt;=GRID_FROM)*('Dvd Calendar'!$AG$33&lt;=GRID_TO)*((('Dvd Calendar'!$AG$33&lt;=VAL_DATE)+(COUNTIF('Dvd Calendar'!$E$40:$AR$40,'Dvd Calendar'!$AG$33)=0))&gt;0)=0,"",'Dvd Calendar'!$AG$33*1000000000+ISNUMBER('Dvd Calendar'!$AG$36)*100000000+('Dvd Calendar'!$AG$38=SPECIAL_LBL)*10000000+(N('Dvd Calendar'!$AG$32)&gt;0)*(N('Dvd Calendar'!$AG$32)&lt;=VAL_SERIAL)*1000000+3*1000+29))</f>
        <v/>
      </c>
      <c r="FH14" s="121">
        <f>IF(N('Dvd Calendar'!$AH$33)=0,"",IF(('Dvd Calendar'!$AH$33&gt;=GRID_FROM)*('Dvd Calendar'!$AH$33&lt;=GRID_TO)*((('Dvd Calendar'!$AH$33&lt;=VAL_DATE)+(COUNTIF('Dvd Calendar'!$E$40:$AR$40,'Dvd Calendar'!$AH$33)=0))&gt;0)=0,"",'Dvd Calendar'!$AH$33*1000000000+ISNUMBER('Dvd Calendar'!$AH$36)*100000000+('Dvd Calendar'!$AH$38=SPECIAL_LBL)*10000000+(N('Dvd Calendar'!$AH$32)&gt;0)*(N('Dvd Calendar'!$AH$32)&lt;=VAL_SERIAL)*1000000+3*1000+30))</f>
        <v/>
      </c>
      <c r="FI14" s="121">
        <f>IF(N('Dvd Calendar'!$AI$33)=0,"",IF(('Dvd Calendar'!$AI$33&gt;=GRID_FROM)*('Dvd Calendar'!$AI$33&lt;=GRID_TO)*((('Dvd Calendar'!$AI$33&lt;=VAL_DATE)+(COUNTIF('Dvd Calendar'!$E$40:$AR$40,'Dvd Calendar'!$AI$33)=0))&gt;0)=0,"",'Dvd Calendar'!$AI$33*1000000000+ISNUMBER('Dvd Calendar'!$AI$36)*100000000+('Dvd Calendar'!$AI$38=SPECIAL_LBL)*10000000+(N('Dvd Calendar'!$AI$32)&gt;0)*(N('Dvd Calendar'!$AI$32)&lt;=VAL_SERIAL)*1000000+3*1000+31))</f>
        <v/>
      </c>
      <c r="FJ14" s="121">
        <f>IF(N('Dvd Calendar'!$AJ$33)=0,"",IF(('Dvd Calendar'!$AJ$33&gt;=GRID_FROM)*('Dvd Calendar'!$AJ$33&lt;=GRID_TO)*((('Dvd Calendar'!$AJ$33&lt;=VAL_DATE)+(COUNTIF('Dvd Calendar'!$E$40:$AR$40,'Dvd Calendar'!$AJ$33)=0))&gt;0)=0,"",'Dvd Calendar'!$AJ$33*1000000000+ISNUMBER('Dvd Calendar'!$AJ$36)*100000000+('Dvd Calendar'!$AJ$38=SPECIAL_LBL)*10000000+(N('Dvd Calendar'!$AJ$32)&gt;0)*(N('Dvd Calendar'!$AJ$32)&lt;=VAL_SERIAL)*1000000+3*1000+32))</f>
        <v/>
      </c>
      <c r="FK14" s="121">
        <f>IF(N('Dvd Calendar'!$AK$33)=0,"",IF(('Dvd Calendar'!$AK$33&gt;=GRID_FROM)*('Dvd Calendar'!$AK$33&lt;=GRID_TO)*((('Dvd Calendar'!$AK$33&lt;=VAL_DATE)+(COUNTIF('Dvd Calendar'!$E$40:$AR$40,'Dvd Calendar'!$AK$33)=0))&gt;0)=0,"",'Dvd Calendar'!$AK$33*1000000000+ISNUMBER('Dvd Calendar'!$AK$36)*100000000+('Dvd Calendar'!$AK$38=SPECIAL_LBL)*10000000+(N('Dvd Calendar'!$AK$32)&gt;0)*(N('Dvd Calendar'!$AK$32)&lt;=VAL_SERIAL)*1000000+3*1000+33))</f>
        <v/>
      </c>
      <c r="FL14" s="121">
        <f>IF(N('Dvd Calendar'!$AL$33)=0,"",IF(('Dvd Calendar'!$AL$33&gt;=GRID_FROM)*('Dvd Calendar'!$AL$33&lt;=GRID_TO)*((('Dvd Calendar'!$AL$33&lt;=VAL_DATE)+(COUNTIF('Dvd Calendar'!$E$40:$AR$40,'Dvd Calendar'!$AL$33)=0))&gt;0)=0,"",'Dvd Calendar'!$AL$33*1000000000+ISNUMBER('Dvd Calendar'!$AL$36)*100000000+('Dvd Calendar'!$AL$38=SPECIAL_LBL)*10000000+(N('Dvd Calendar'!$AL$32)&gt;0)*(N('Dvd Calendar'!$AL$32)&lt;=VAL_SERIAL)*1000000+3*1000+34))</f>
        <v/>
      </c>
      <c r="FM14" s="121">
        <f>IF(N('Dvd Calendar'!$AM$33)=0,"",IF(('Dvd Calendar'!$AM$33&gt;=GRID_FROM)*('Dvd Calendar'!$AM$33&lt;=GRID_TO)*((('Dvd Calendar'!$AM$33&lt;=VAL_DATE)+(COUNTIF('Dvd Calendar'!$E$40:$AR$40,'Dvd Calendar'!$AM$33)=0))&gt;0)=0,"",'Dvd Calendar'!$AM$33*1000000000+ISNUMBER('Dvd Calendar'!$AM$36)*100000000+('Dvd Calendar'!$AM$38=SPECIAL_LBL)*10000000+(N('Dvd Calendar'!$AM$32)&gt;0)*(N('Dvd Calendar'!$AM$32)&lt;=VAL_SERIAL)*1000000+3*1000+35))</f>
        <v/>
      </c>
      <c r="FN14" s="121">
        <f>IF(N('Dvd Calendar'!$AN$33)=0,"",IF(('Dvd Calendar'!$AN$33&gt;=GRID_FROM)*('Dvd Calendar'!$AN$33&lt;=GRID_TO)*((('Dvd Calendar'!$AN$33&lt;=VAL_DATE)+(COUNTIF('Dvd Calendar'!$E$40:$AR$40,'Dvd Calendar'!$AN$33)=0))&gt;0)=0,"",'Dvd Calendar'!$AN$33*1000000000+ISNUMBER('Dvd Calendar'!$AN$36)*100000000+('Dvd Calendar'!$AN$38=SPECIAL_LBL)*10000000+(N('Dvd Calendar'!$AN$32)&gt;0)*(N('Dvd Calendar'!$AN$32)&lt;=VAL_SERIAL)*1000000+3*1000+36))</f>
        <v/>
      </c>
      <c r="FO14" s="121">
        <f>IF(N('Dvd Calendar'!$AO$33)=0,"",IF(('Dvd Calendar'!$AO$33&gt;=GRID_FROM)*('Dvd Calendar'!$AO$33&lt;=GRID_TO)*((('Dvd Calendar'!$AO$33&lt;=VAL_DATE)+(COUNTIF('Dvd Calendar'!$E$40:$AR$40,'Dvd Calendar'!$AO$33)=0))&gt;0)=0,"",'Dvd Calendar'!$AO$33*1000000000+ISNUMBER('Dvd Calendar'!$AO$36)*100000000+('Dvd Calendar'!$AO$38=SPECIAL_LBL)*10000000+(N('Dvd Calendar'!$AO$32)&gt;0)*(N('Dvd Calendar'!$AO$32)&lt;=VAL_SERIAL)*1000000+3*1000+37))</f>
        <v/>
      </c>
      <c r="FP14" s="121">
        <f>IF(N('Dvd Calendar'!$AP$33)=0,"",IF(('Dvd Calendar'!$AP$33&gt;=GRID_FROM)*('Dvd Calendar'!$AP$33&lt;=GRID_TO)*((('Dvd Calendar'!$AP$33&lt;=VAL_DATE)+(COUNTIF('Dvd Calendar'!$E$40:$AR$40,'Dvd Calendar'!$AP$33)=0))&gt;0)=0,"",'Dvd Calendar'!$AP$33*1000000000+ISNUMBER('Dvd Calendar'!$AP$36)*100000000+('Dvd Calendar'!$AP$38=SPECIAL_LBL)*10000000+(N('Dvd Calendar'!$AP$32)&gt;0)*(N('Dvd Calendar'!$AP$32)&lt;=VAL_SERIAL)*1000000+3*1000+38))</f>
        <v/>
      </c>
      <c r="FQ14" s="121">
        <f>IF(N('Dvd Calendar'!$AQ$33)=0,"",IF(('Dvd Calendar'!$AQ$33&gt;=GRID_FROM)*('Dvd Calendar'!$AQ$33&lt;=GRID_TO)*((('Dvd Calendar'!$AQ$33&lt;=VAL_DATE)+(COUNTIF('Dvd Calendar'!$E$40:$AR$40,'Dvd Calendar'!$AQ$33)=0))&gt;0)=0,"",'Dvd Calendar'!$AQ$33*1000000000+ISNUMBER('Dvd Calendar'!$AQ$36)*100000000+('Dvd Calendar'!$AQ$38=SPECIAL_LBL)*10000000+(N('Dvd Calendar'!$AQ$32)&gt;0)*(N('Dvd Calendar'!$AQ$32)&lt;=VAL_SERIAL)*1000000+3*1000+39))</f>
        <v/>
      </c>
      <c r="FR14" s="121">
        <f>IF(N('Dvd Calendar'!$AR$33)=0,"",IF(('Dvd Calendar'!$AR$33&gt;=GRID_FROM)*('Dvd Calendar'!$AR$33&lt;=GRID_TO)*((('Dvd Calendar'!$AR$33&lt;=VAL_DATE)+(COUNTIF('Dvd Calendar'!$E$40:$AR$40,'Dvd Calendar'!$AR$33)=0))&gt;0)=0,"",'Dvd Calendar'!$AR$33*1000000000+ISNUMBER('Dvd Calendar'!$AR$36)*100000000+('Dvd Calendar'!$AR$38=SPECIAL_LBL)*10000000+(N('Dvd Calendar'!$AR$32)&gt;0)*(N('Dvd Calendar'!$AR$32)&lt;=VAL_SERIAL)*1000000+3*1000+40))</f>
        <v/>
      </c>
      <c r="FS14" s="121">
        <f>IF(N('Dvd Calendar'!$E$40)=0,"",IF(('Dvd Calendar'!$E$40&gt;=GRID_FROM)*('Dvd Calendar'!$E$40&lt;=GRID_TO)*('Dvd Calendar'!$E$40&gt;VAL_DATE)=0,"",'Dvd Calendar'!$E$40*1000000000+ISNUMBER('Dvd Calendar'!$E$41)*100000000+0*10000000+(N('Dvd Calendar'!$E$39)&gt;0)*(N('Dvd Calendar'!$E$39)&lt;=VAL_SERIAL)*1000000+3*1000+41))</f>
        <v/>
      </c>
      <c r="FT14" s="121">
        <f>IF(N('Dvd Calendar'!$F$40)=0,"",IF(('Dvd Calendar'!$F$40&gt;=GRID_FROM)*('Dvd Calendar'!$F$40&lt;=GRID_TO)*('Dvd Calendar'!$F$40&gt;VAL_DATE)=0,"",'Dvd Calendar'!$F$40*1000000000+ISNUMBER('Dvd Calendar'!$F$41)*100000000+0*10000000+(N('Dvd Calendar'!$F$39)&gt;0)*(N('Dvd Calendar'!$F$39)&lt;=VAL_SERIAL)*1000000+3*1000+42))</f>
        <v/>
      </c>
      <c r="FU14" s="121">
        <f>IF(N('Dvd Calendar'!$G$40)=0,"",IF(('Dvd Calendar'!$G$40&gt;=GRID_FROM)*('Dvd Calendar'!$G$40&lt;=GRID_TO)*('Dvd Calendar'!$G$40&gt;VAL_DATE)=0,"",'Dvd Calendar'!$G$40*1000000000+ISNUMBER('Dvd Calendar'!$G$41)*100000000+0*10000000+(N('Dvd Calendar'!$G$39)&gt;0)*(N('Dvd Calendar'!$G$39)&lt;=VAL_SERIAL)*1000000+3*1000+43))</f>
        <v/>
      </c>
      <c r="FV14" s="121">
        <f>IF(N('Dvd Calendar'!$H$40)=0,"",IF(('Dvd Calendar'!$H$40&gt;=GRID_FROM)*('Dvd Calendar'!$H$40&lt;=GRID_TO)*('Dvd Calendar'!$H$40&gt;VAL_DATE)=0,"",'Dvd Calendar'!$H$40*1000000000+ISNUMBER('Dvd Calendar'!$H$41)*100000000+0*10000000+(N('Dvd Calendar'!$H$39)&gt;0)*(N('Dvd Calendar'!$H$39)&lt;=VAL_SERIAL)*1000000+3*1000+44))</f>
        <v/>
      </c>
      <c r="FW14" s="121">
        <f>IF(N('Dvd Calendar'!$I$40)=0,"",IF(('Dvd Calendar'!$I$40&gt;=GRID_FROM)*('Dvd Calendar'!$I$40&lt;=GRID_TO)*('Dvd Calendar'!$I$40&gt;VAL_DATE)=0,"",'Dvd Calendar'!$I$40*1000000000+ISNUMBER('Dvd Calendar'!$I$41)*100000000+0*10000000+(N('Dvd Calendar'!$I$39)&gt;0)*(N('Dvd Calendar'!$I$39)&lt;=VAL_SERIAL)*1000000+3*1000+45))</f>
        <v/>
      </c>
      <c r="FX14" s="121">
        <f>IF(N('Dvd Calendar'!$J$40)=0,"",IF(('Dvd Calendar'!$J$40&gt;=GRID_FROM)*('Dvd Calendar'!$J$40&lt;=GRID_TO)*('Dvd Calendar'!$J$40&gt;VAL_DATE)=0,"",'Dvd Calendar'!$J$40*1000000000+ISNUMBER('Dvd Calendar'!$J$41)*100000000+0*10000000+(N('Dvd Calendar'!$J$39)&gt;0)*(N('Dvd Calendar'!$J$39)&lt;=VAL_SERIAL)*1000000+3*1000+46))</f>
        <v/>
      </c>
      <c r="FY14" s="121">
        <f>IF(N('Dvd Calendar'!$K$40)=0,"",IF(('Dvd Calendar'!$K$40&gt;=GRID_FROM)*('Dvd Calendar'!$K$40&lt;=GRID_TO)*('Dvd Calendar'!$K$40&gt;VAL_DATE)=0,"",'Dvd Calendar'!$K$40*1000000000+ISNUMBER('Dvd Calendar'!$K$41)*100000000+0*10000000+(N('Dvd Calendar'!$K$39)&gt;0)*(N('Dvd Calendar'!$K$39)&lt;=VAL_SERIAL)*1000000+3*1000+47))</f>
        <v/>
      </c>
      <c r="FZ14" s="121">
        <f>IF(N('Dvd Calendar'!$L$40)=0,"",IF(('Dvd Calendar'!$L$40&gt;=GRID_FROM)*('Dvd Calendar'!$L$40&lt;=GRID_TO)*('Dvd Calendar'!$L$40&gt;VAL_DATE)=0,"",'Dvd Calendar'!$L$40*1000000000+ISNUMBER('Dvd Calendar'!$L$41)*100000000+0*10000000+(N('Dvd Calendar'!$L$39)&gt;0)*(N('Dvd Calendar'!$L$39)&lt;=VAL_SERIAL)*1000000+3*1000+48))</f>
        <v/>
      </c>
      <c r="GA14" s="121">
        <f>IF(N('Dvd Calendar'!$M$40)=0,"",IF(('Dvd Calendar'!$M$40&gt;=GRID_FROM)*('Dvd Calendar'!$M$40&lt;=GRID_TO)*('Dvd Calendar'!$M$40&gt;VAL_DATE)=0,"",'Dvd Calendar'!$M$40*1000000000+ISNUMBER('Dvd Calendar'!$M$41)*100000000+0*10000000+(N('Dvd Calendar'!$M$39)&gt;0)*(N('Dvd Calendar'!$M$39)&lt;=VAL_SERIAL)*1000000+3*1000+49))</f>
        <v/>
      </c>
      <c r="GB14" s="121">
        <f>IF(N('Dvd Calendar'!$N$40)=0,"",IF(('Dvd Calendar'!$N$40&gt;=GRID_FROM)*('Dvd Calendar'!$N$40&lt;=GRID_TO)*('Dvd Calendar'!$N$40&gt;VAL_DATE)=0,"",'Dvd Calendar'!$N$40*1000000000+ISNUMBER('Dvd Calendar'!$N$41)*100000000+0*10000000+(N('Dvd Calendar'!$N$39)&gt;0)*(N('Dvd Calendar'!$N$39)&lt;=VAL_SERIAL)*1000000+3*1000+50))</f>
        <v/>
      </c>
      <c r="GC14" s="121">
        <f>IF(N('Dvd Calendar'!$O$40)=0,"",IF(('Dvd Calendar'!$O$40&gt;=GRID_FROM)*('Dvd Calendar'!$O$40&lt;=GRID_TO)*('Dvd Calendar'!$O$40&gt;VAL_DATE)=0,"",'Dvd Calendar'!$O$40*1000000000+ISNUMBER('Dvd Calendar'!$O$41)*100000000+0*10000000+(N('Dvd Calendar'!$O$39)&gt;0)*(N('Dvd Calendar'!$O$39)&lt;=VAL_SERIAL)*1000000+3*1000+51))</f>
        <v/>
      </c>
      <c r="GD14" s="121">
        <f>IF(N('Dvd Calendar'!$P$40)=0,"",IF(('Dvd Calendar'!$P$40&gt;=GRID_FROM)*('Dvd Calendar'!$P$40&lt;=GRID_TO)*('Dvd Calendar'!$P$40&gt;VAL_DATE)=0,"",'Dvd Calendar'!$P$40*1000000000+ISNUMBER('Dvd Calendar'!$P$41)*100000000+0*10000000+(N('Dvd Calendar'!$P$39)&gt;0)*(N('Dvd Calendar'!$P$39)&lt;=VAL_SERIAL)*1000000+3*1000+52))</f>
        <v/>
      </c>
      <c r="GE14" s="121">
        <f>IF(N('Dvd Calendar'!$Q$40)=0,"",IF(('Dvd Calendar'!$Q$40&gt;=GRID_FROM)*('Dvd Calendar'!$Q$40&lt;=GRID_TO)*('Dvd Calendar'!$Q$40&gt;VAL_DATE)=0,"",'Dvd Calendar'!$Q$40*1000000000+ISNUMBER('Dvd Calendar'!$Q$41)*100000000+0*10000000+(N('Dvd Calendar'!$Q$39)&gt;0)*(N('Dvd Calendar'!$Q$39)&lt;=VAL_SERIAL)*1000000+3*1000+53))</f>
        <v/>
      </c>
      <c r="GF14" s="121">
        <f>IF(N('Dvd Calendar'!$R$40)=0,"",IF(('Dvd Calendar'!$R$40&gt;=GRID_FROM)*('Dvd Calendar'!$R$40&lt;=GRID_TO)*('Dvd Calendar'!$R$40&gt;VAL_DATE)=0,"",'Dvd Calendar'!$R$40*1000000000+ISNUMBER('Dvd Calendar'!$R$41)*100000000+0*10000000+(N('Dvd Calendar'!$R$39)&gt;0)*(N('Dvd Calendar'!$R$39)&lt;=VAL_SERIAL)*1000000+3*1000+54))</f>
        <v/>
      </c>
      <c r="GG14" s="121">
        <f>IF(N('Dvd Calendar'!$S$40)=0,"",IF(('Dvd Calendar'!$S$40&gt;=GRID_FROM)*('Dvd Calendar'!$S$40&lt;=GRID_TO)*('Dvd Calendar'!$S$40&gt;VAL_DATE)=0,"",'Dvd Calendar'!$S$40*1000000000+ISNUMBER('Dvd Calendar'!$S$41)*100000000+0*10000000+(N('Dvd Calendar'!$S$39)&gt;0)*(N('Dvd Calendar'!$S$39)&lt;=VAL_SERIAL)*1000000+3*1000+55))</f>
        <v/>
      </c>
      <c r="GH14" s="121">
        <f>IF(N('Dvd Calendar'!$T$40)=0,"",IF(('Dvd Calendar'!$T$40&gt;=GRID_FROM)*('Dvd Calendar'!$T$40&lt;=GRID_TO)*('Dvd Calendar'!$T$40&gt;VAL_DATE)=0,"",'Dvd Calendar'!$T$40*1000000000+ISNUMBER('Dvd Calendar'!$T$41)*100000000+0*10000000+(N('Dvd Calendar'!$T$39)&gt;0)*(N('Dvd Calendar'!$T$39)&lt;=VAL_SERIAL)*1000000+3*1000+56))</f>
        <v/>
      </c>
      <c r="GI14" s="121">
        <f>IF(N('Dvd Calendar'!$U$40)=0,"",IF(('Dvd Calendar'!$U$40&gt;=GRID_FROM)*('Dvd Calendar'!$U$40&lt;=GRID_TO)*('Dvd Calendar'!$U$40&gt;VAL_DATE)=0,"",'Dvd Calendar'!$U$40*1000000000+ISNUMBER('Dvd Calendar'!$U$41)*100000000+0*10000000+(N('Dvd Calendar'!$U$39)&gt;0)*(N('Dvd Calendar'!$U$39)&lt;=VAL_SERIAL)*1000000+3*1000+57))</f>
        <v/>
      </c>
      <c r="GJ14" s="121">
        <f>IF(N('Dvd Calendar'!$V$40)=0,"",IF(('Dvd Calendar'!$V$40&gt;=GRID_FROM)*('Dvd Calendar'!$V$40&lt;=GRID_TO)*('Dvd Calendar'!$V$40&gt;VAL_DATE)=0,"",'Dvd Calendar'!$V$40*1000000000+ISNUMBER('Dvd Calendar'!$V$41)*100000000+0*10000000+(N('Dvd Calendar'!$V$39)&gt;0)*(N('Dvd Calendar'!$V$39)&lt;=VAL_SERIAL)*1000000+3*1000+58))</f>
        <v/>
      </c>
      <c r="GK14" s="121">
        <f>IF(N('Dvd Calendar'!$W$40)=0,"",IF(('Dvd Calendar'!$W$40&gt;=GRID_FROM)*('Dvd Calendar'!$W$40&lt;=GRID_TO)*('Dvd Calendar'!$W$40&gt;VAL_DATE)=0,"",'Dvd Calendar'!$W$40*1000000000+ISNUMBER('Dvd Calendar'!$W$41)*100000000+0*10000000+(N('Dvd Calendar'!$W$39)&gt;0)*(N('Dvd Calendar'!$W$39)&lt;=VAL_SERIAL)*1000000+3*1000+59))</f>
        <v/>
      </c>
      <c r="GL14" s="121">
        <f>IF(N('Dvd Calendar'!$X$40)=0,"",IF(('Dvd Calendar'!$X$40&gt;=GRID_FROM)*('Dvd Calendar'!$X$40&lt;=GRID_TO)*('Dvd Calendar'!$X$40&gt;VAL_DATE)=0,"",'Dvd Calendar'!$X$40*1000000000+ISNUMBER('Dvd Calendar'!$X$41)*100000000+0*10000000+(N('Dvd Calendar'!$X$39)&gt;0)*(N('Dvd Calendar'!$X$39)&lt;=VAL_SERIAL)*1000000+3*1000+60))</f>
        <v/>
      </c>
      <c r="GM14" s="121">
        <f>IF(N('Dvd Calendar'!$Y$40)=0,"",IF(('Dvd Calendar'!$Y$40&gt;=GRID_FROM)*('Dvd Calendar'!$Y$40&lt;=GRID_TO)*('Dvd Calendar'!$Y$40&gt;VAL_DATE)=0,"",'Dvd Calendar'!$Y$40*1000000000+ISNUMBER('Dvd Calendar'!$Y$41)*100000000+0*10000000+(N('Dvd Calendar'!$Y$39)&gt;0)*(N('Dvd Calendar'!$Y$39)&lt;=VAL_SERIAL)*1000000+3*1000+61))</f>
        <v/>
      </c>
      <c r="GN14" s="121">
        <f>IF(N('Dvd Calendar'!$Z$40)=0,"",IF(('Dvd Calendar'!$Z$40&gt;=GRID_FROM)*('Dvd Calendar'!$Z$40&lt;=GRID_TO)*('Dvd Calendar'!$Z$40&gt;VAL_DATE)=0,"",'Dvd Calendar'!$Z$40*1000000000+ISNUMBER('Dvd Calendar'!$Z$41)*100000000+0*10000000+(N('Dvd Calendar'!$Z$39)&gt;0)*(N('Dvd Calendar'!$Z$39)&lt;=VAL_SERIAL)*1000000+3*1000+62))</f>
        <v/>
      </c>
      <c r="GO14" s="121">
        <f>IF(N('Dvd Calendar'!$AA$40)=0,"",IF(('Dvd Calendar'!$AA$40&gt;=GRID_FROM)*('Dvd Calendar'!$AA$40&lt;=GRID_TO)*('Dvd Calendar'!$AA$40&gt;VAL_DATE)=0,"",'Dvd Calendar'!$AA$40*1000000000+ISNUMBER('Dvd Calendar'!$AA$41)*100000000+0*10000000+(N('Dvd Calendar'!$AA$39)&gt;0)*(N('Dvd Calendar'!$AA$39)&lt;=VAL_SERIAL)*1000000+3*1000+63))</f>
        <v/>
      </c>
      <c r="GP14" s="121">
        <f>IF(N('Dvd Calendar'!$AB$40)=0,"",IF(('Dvd Calendar'!$AB$40&gt;=GRID_FROM)*('Dvd Calendar'!$AB$40&lt;=GRID_TO)*('Dvd Calendar'!$AB$40&gt;VAL_DATE)=0,"",'Dvd Calendar'!$AB$40*1000000000+ISNUMBER('Dvd Calendar'!$AB$41)*100000000+0*10000000+(N('Dvd Calendar'!$AB$39)&gt;0)*(N('Dvd Calendar'!$AB$39)&lt;=VAL_SERIAL)*1000000+3*1000+64))</f>
        <v/>
      </c>
      <c r="GQ14" s="121">
        <f>IF(N('Dvd Calendar'!$AC$40)=0,"",IF(('Dvd Calendar'!$AC$40&gt;=GRID_FROM)*('Dvd Calendar'!$AC$40&lt;=GRID_TO)*('Dvd Calendar'!$AC$40&gt;VAL_DATE)=0,"",'Dvd Calendar'!$AC$40*1000000000+ISNUMBER('Dvd Calendar'!$AC$41)*100000000+0*10000000+(N('Dvd Calendar'!$AC$39)&gt;0)*(N('Dvd Calendar'!$AC$39)&lt;=VAL_SERIAL)*1000000+3*1000+65))</f>
        <v/>
      </c>
    </row>
    <row r="15">
      <c r="B15" s="2">
        <f>IF(HSI!$C$10="","",HSI!$C$10)</f>
        <v/>
      </c>
      <c r="C15" s="161">
        <f>IF(EE15="","",IF(ISNUMBER('Dvd Calendar'!$E$47)=FALSE,"",IF((('Dvd Calendar'!$E$49=TYPE1)*(TYPE1&lt;&gt;"")+('Dvd Calendar'!$E$49=TYPE2)*(TYPE2&lt;&gt;"")+('Dvd Calendar'!$E$49=TYPE3)*(TYPE3&lt;&gt;"")+('Dvd Calendar'!$E$49=TYPE4)*(TYPE4&lt;&gt;"")+('Dvd Calendar'!$E$49=SPECIAL_LBL)*(INC_SPECIALS="Y"))=0,"",'Dvd Calendar'!$E$47)))</f>
        <v/>
      </c>
      <c r="D15" s="161">
        <f>IF(EF15="","",IF(ISNUMBER('Dvd Calendar'!$F$47)=FALSE,"",IF((('Dvd Calendar'!$F$49=TYPE1)*(TYPE1&lt;&gt;"")+('Dvd Calendar'!$F$49=TYPE2)*(TYPE2&lt;&gt;"")+('Dvd Calendar'!$F$49=TYPE3)*(TYPE3&lt;&gt;"")+('Dvd Calendar'!$F$49=TYPE4)*(TYPE4&lt;&gt;"")+('Dvd Calendar'!$F$49=SPECIAL_LBL)*(INC_SPECIALS="Y"))=0,"",'Dvd Calendar'!$F$47)))</f>
        <v/>
      </c>
      <c r="E15" s="161">
        <f>IF(EG15="","",IF(ISNUMBER('Dvd Calendar'!$G$47)=FALSE,"",IF((('Dvd Calendar'!$G$49=TYPE1)*(TYPE1&lt;&gt;"")+('Dvd Calendar'!$G$49=TYPE2)*(TYPE2&lt;&gt;"")+('Dvd Calendar'!$G$49=TYPE3)*(TYPE3&lt;&gt;"")+('Dvd Calendar'!$G$49=TYPE4)*(TYPE4&lt;&gt;"")+('Dvd Calendar'!$G$49=SPECIAL_LBL)*(INC_SPECIALS="Y"))=0,"",'Dvd Calendar'!$G$47)))</f>
        <v/>
      </c>
      <c r="F15" s="161">
        <f>IF(EH15="","",IF(ISNUMBER('Dvd Calendar'!$H$47)=FALSE,"",IF((('Dvd Calendar'!$H$49=TYPE1)*(TYPE1&lt;&gt;"")+('Dvd Calendar'!$H$49=TYPE2)*(TYPE2&lt;&gt;"")+('Dvd Calendar'!$H$49=TYPE3)*(TYPE3&lt;&gt;"")+('Dvd Calendar'!$H$49=TYPE4)*(TYPE4&lt;&gt;"")+('Dvd Calendar'!$H$49=SPECIAL_LBL)*(INC_SPECIALS="Y"))=0,"",'Dvd Calendar'!$H$47)))</f>
        <v/>
      </c>
      <c r="G15" s="161">
        <f>IF(EI15="","",IF(ISNUMBER('Dvd Calendar'!$I$47)=FALSE,"",IF((('Dvd Calendar'!$I$49=TYPE1)*(TYPE1&lt;&gt;"")+('Dvd Calendar'!$I$49=TYPE2)*(TYPE2&lt;&gt;"")+('Dvd Calendar'!$I$49=TYPE3)*(TYPE3&lt;&gt;"")+('Dvd Calendar'!$I$49=TYPE4)*(TYPE4&lt;&gt;"")+('Dvd Calendar'!$I$49=SPECIAL_LBL)*(INC_SPECIALS="Y"))=0,"",'Dvd Calendar'!$I$47)))</f>
        <v/>
      </c>
      <c r="H15" s="161">
        <f>IF(EJ15="","",IF(ISNUMBER('Dvd Calendar'!$J$47)=FALSE,"",IF((('Dvd Calendar'!$J$49=TYPE1)*(TYPE1&lt;&gt;"")+('Dvd Calendar'!$J$49=TYPE2)*(TYPE2&lt;&gt;"")+('Dvd Calendar'!$J$49=TYPE3)*(TYPE3&lt;&gt;"")+('Dvd Calendar'!$J$49=TYPE4)*(TYPE4&lt;&gt;"")+('Dvd Calendar'!$J$49=SPECIAL_LBL)*(INC_SPECIALS="Y"))=0,"",'Dvd Calendar'!$J$47)))</f>
        <v/>
      </c>
      <c r="I15" s="161">
        <f>IF(EK15="","",IF(ISNUMBER('Dvd Calendar'!$K$47)=FALSE,"",IF((('Dvd Calendar'!$K$49=TYPE1)*(TYPE1&lt;&gt;"")+('Dvd Calendar'!$K$49=TYPE2)*(TYPE2&lt;&gt;"")+('Dvd Calendar'!$K$49=TYPE3)*(TYPE3&lt;&gt;"")+('Dvd Calendar'!$K$49=TYPE4)*(TYPE4&lt;&gt;"")+('Dvd Calendar'!$K$49=SPECIAL_LBL)*(INC_SPECIALS="Y"))=0,"",'Dvd Calendar'!$K$47)))</f>
        <v/>
      </c>
      <c r="J15" s="161">
        <f>IF(EL15="","",IF(ISNUMBER('Dvd Calendar'!$L$47)=FALSE,"",IF((('Dvd Calendar'!$L$49=TYPE1)*(TYPE1&lt;&gt;"")+('Dvd Calendar'!$L$49=TYPE2)*(TYPE2&lt;&gt;"")+('Dvd Calendar'!$L$49=TYPE3)*(TYPE3&lt;&gt;"")+('Dvd Calendar'!$L$49=TYPE4)*(TYPE4&lt;&gt;"")+('Dvd Calendar'!$L$49=SPECIAL_LBL)*(INC_SPECIALS="Y"))=0,"",'Dvd Calendar'!$L$47)))</f>
        <v/>
      </c>
      <c r="K15" s="161">
        <f>IF(EM15="","",IF(ISNUMBER('Dvd Calendar'!$M$47)=FALSE,"",IF((('Dvd Calendar'!$M$49=TYPE1)*(TYPE1&lt;&gt;"")+('Dvd Calendar'!$M$49=TYPE2)*(TYPE2&lt;&gt;"")+('Dvd Calendar'!$M$49=TYPE3)*(TYPE3&lt;&gt;"")+('Dvd Calendar'!$M$49=TYPE4)*(TYPE4&lt;&gt;"")+('Dvd Calendar'!$M$49=SPECIAL_LBL)*(INC_SPECIALS="Y"))=0,"",'Dvd Calendar'!$M$47)))</f>
        <v/>
      </c>
      <c r="L15" s="161">
        <f>IF(EN15="","",IF(ISNUMBER('Dvd Calendar'!$N$47)=FALSE,"",IF((('Dvd Calendar'!$N$49=TYPE1)*(TYPE1&lt;&gt;"")+('Dvd Calendar'!$N$49=TYPE2)*(TYPE2&lt;&gt;"")+('Dvd Calendar'!$N$49=TYPE3)*(TYPE3&lt;&gt;"")+('Dvd Calendar'!$N$49=TYPE4)*(TYPE4&lt;&gt;"")+('Dvd Calendar'!$N$49=SPECIAL_LBL)*(INC_SPECIALS="Y"))=0,"",'Dvd Calendar'!$N$47)))</f>
        <v/>
      </c>
      <c r="M15" s="161">
        <f>IF(EO15="","",IF(ISNUMBER('Dvd Calendar'!$O$47)=FALSE,"",IF((('Dvd Calendar'!$O$49=TYPE1)*(TYPE1&lt;&gt;"")+('Dvd Calendar'!$O$49=TYPE2)*(TYPE2&lt;&gt;"")+('Dvd Calendar'!$O$49=TYPE3)*(TYPE3&lt;&gt;"")+('Dvd Calendar'!$O$49=TYPE4)*(TYPE4&lt;&gt;"")+('Dvd Calendar'!$O$49=SPECIAL_LBL)*(INC_SPECIALS="Y"))=0,"",'Dvd Calendar'!$O$47)))</f>
        <v/>
      </c>
      <c r="N15" s="161">
        <f>IF(EP15="","",IF(ISNUMBER('Dvd Calendar'!$P$47)=FALSE,"",IF((('Dvd Calendar'!$P$49=TYPE1)*(TYPE1&lt;&gt;"")+('Dvd Calendar'!$P$49=TYPE2)*(TYPE2&lt;&gt;"")+('Dvd Calendar'!$P$49=TYPE3)*(TYPE3&lt;&gt;"")+('Dvd Calendar'!$P$49=TYPE4)*(TYPE4&lt;&gt;"")+('Dvd Calendar'!$P$49=SPECIAL_LBL)*(INC_SPECIALS="Y"))=0,"",'Dvd Calendar'!$P$47)))</f>
        <v/>
      </c>
      <c r="O15" s="161">
        <f>IF(EQ15="","",IF(ISNUMBER('Dvd Calendar'!$Q$47)=FALSE,"",IF((('Dvd Calendar'!$Q$49=TYPE1)*(TYPE1&lt;&gt;"")+('Dvd Calendar'!$Q$49=TYPE2)*(TYPE2&lt;&gt;"")+('Dvd Calendar'!$Q$49=TYPE3)*(TYPE3&lt;&gt;"")+('Dvd Calendar'!$Q$49=TYPE4)*(TYPE4&lt;&gt;"")+('Dvd Calendar'!$Q$49=SPECIAL_LBL)*(INC_SPECIALS="Y"))=0,"",'Dvd Calendar'!$Q$47)))</f>
        <v/>
      </c>
      <c r="P15" s="161">
        <f>IF(ER15="","",IF(ISNUMBER('Dvd Calendar'!$R$47)=FALSE,"",IF((('Dvd Calendar'!$R$49=TYPE1)*(TYPE1&lt;&gt;"")+('Dvd Calendar'!$R$49=TYPE2)*(TYPE2&lt;&gt;"")+('Dvd Calendar'!$R$49=TYPE3)*(TYPE3&lt;&gt;"")+('Dvd Calendar'!$R$49=TYPE4)*(TYPE4&lt;&gt;"")+('Dvd Calendar'!$R$49=SPECIAL_LBL)*(INC_SPECIALS="Y"))=0,"",'Dvd Calendar'!$R$47)))</f>
        <v/>
      </c>
      <c r="Q15" s="161">
        <f>IF(ES15="","",IF(ISNUMBER('Dvd Calendar'!$S$47)=FALSE,"",IF((('Dvd Calendar'!$S$49=TYPE1)*(TYPE1&lt;&gt;"")+('Dvd Calendar'!$S$49=TYPE2)*(TYPE2&lt;&gt;"")+('Dvd Calendar'!$S$49=TYPE3)*(TYPE3&lt;&gt;"")+('Dvd Calendar'!$S$49=TYPE4)*(TYPE4&lt;&gt;"")+('Dvd Calendar'!$S$49=SPECIAL_LBL)*(INC_SPECIALS="Y"))=0,"",'Dvd Calendar'!$S$47)))</f>
        <v/>
      </c>
      <c r="R15" s="161">
        <f>IF(ET15="","",IF(ISNUMBER('Dvd Calendar'!$T$47)=FALSE,"",IF((('Dvd Calendar'!$T$49=TYPE1)*(TYPE1&lt;&gt;"")+('Dvd Calendar'!$T$49=TYPE2)*(TYPE2&lt;&gt;"")+('Dvd Calendar'!$T$49=TYPE3)*(TYPE3&lt;&gt;"")+('Dvd Calendar'!$T$49=TYPE4)*(TYPE4&lt;&gt;"")+('Dvd Calendar'!$T$49=SPECIAL_LBL)*(INC_SPECIALS="Y"))=0,"",'Dvd Calendar'!$T$47)))</f>
        <v/>
      </c>
      <c r="S15" s="161">
        <f>IF(EU15="","",IF(ISNUMBER('Dvd Calendar'!$U$47)=FALSE,"",IF((('Dvd Calendar'!$U$49=TYPE1)*(TYPE1&lt;&gt;"")+('Dvd Calendar'!$U$49=TYPE2)*(TYPE2&lt;&gt;"")+('Dvd Calendar'!$U$49=TYPE3)*(TYPE3&lt;&gt;"")+('Dvd Calendar'!$U$49=TYPE4)*(TYPE4&lt;&gt;"")+('Dvd Calendar'!$U$49=SPECIAL_LBL)*(INC_SPECIALS="Y"))=0,"",'Dvd Calendar'!$U$47)))</f>
        <v/>
      </c>
      <c r="T15" s="161">
        <f>IF(EV15="","",IF(ISNUMBER('Dvd Calendar'!$V$47)=FALSE,"",IF((('Dvd Calendar'!$V$49=TYPE1)*(TYPE1&lt;&gt;"")+('Dvd Calendar'!$V$49=TYPE2)*(TYPE2&lt;&gt;"")+('Dvd Calendar'!$V$49=TYPE3)*(TYPE3&lt;&gt;"")+('Dvd Calendar'!$V$49=TYPE4)*(TYPE4&lt;&gt;"")+('Dvd Calendar'!$V$49=SPECIAL_LBL)*(INC_SPECIALS="Y"))=0,"",'Dvd Calendar'!$V$47)))</f>
        <v/>
      </c>
      <c r="U15" s="161">
        <f>IF(EW15="","",IF(ISNUMBER('Dvd Calendar'!$W$47)=FALSE,"",IF((('Dvd Calendar'!$W$49=TYPE1)*(TYPE1&lt;&gt;"")+('Dvd Calendar'!$W$49=TYPE2)*(TYPE2&lt;&gt;"")+('Dvd Calendar'!$W$49=TYPE3)*(TYPE3&lt;&gt;"")+('Dvd Calendar'!$W$49=TYPE4)*(TYPE4&lt;&gt;"")+('Dvd Calendar'!$W$49=SPECIAL_LBL)*(INC_SPECIALS="Y"))=0,"",'Dvd Calendar'!$W$47)))</f>
        <v/>
      </c>
      <c r="V15" s="161">
        <f>IF(EX15="","",IF(ISNUMBER('Dvd Calendar'!$X$47)=FALSE,"",IF((('Dvd Calendar'!$X$49=TYPE1)*(TYPE1&lt;&gt;"")+('Dvd Calendar'!$X$49=TYPE2)*(TYPE2&lt;&gt;"")+('Dvd Calendar'!$X$49=TYPE3)*(TYPE3&lt;&gt;"")+('Dvd Calendar'!$X$49=TYPE4)*(TYPE4&lt;&gt;"")+('Dvd Calendar'!$X$49=SPECIAL_LBL)*(INC_SPECIALS="Y"))=0,"",'Dvd Calendar'!$X$47)))</f>
        <v/>
      </c>
      <c r="W15" s="161">
        <f>IF(EY15="","",IF(ISNUMBER('Dvd Calendar'!$Y$47)=FALSE,"",IF((('Dvd Calendar'!$Y$49=TYPE1)*(TYPE1&lt;&gt;"")+('Dvd Calendar'!$Y$49=TYPE2)*(TYPE2&lt;&gt;"")+('Dvd Calendar'!$Y$49=TYPE3)*(TYPE3&lt;&gt;"")+('Dvd Calendar'!$Y$49=TYPE4)*(TYPE4&lt;&gt;"")+('Dvd Calendar'!$Y$49=SPECIAL_LBL)*(INC_SPECIALS="Y"))=0,"",'Dvd Calendar'!$Y$47)))</f>
        <v/>
      </c>
      <c r="X15" s="161">
        <f>IF(EZ15="","",IF(ISNUMBER('Dvd Calendar'!$Z$47)=FALSE,"",IF((('Dvd Calendar'!$Z$49=TYPE1)*(TYPE1&lt;&gt;"")+('Dvd Calendar'!$Z$49=TYPE2)*(TYPE2&lt;&gt;"")+('Dvd Calendar'!$Z$49=TYPE3)*(TYPE3&lt;&gt;"")+('Dvd Calendar'!$Z$49=TYPE4)*(TYPE4&lt;&gt;"")+('Dvd Calendar'!$Z$49=SPECIAL_LBL)*(INC_SPECIALS="Y"))=0,"",'Dvd Calendar'!$Z$47)))</f>
        <v/>
      </c>
      <c r="Y15" s="161">
        <f>IF(FA15="","",IF(ISNUMBER('Dvd Calendar'!$AA$47)=FALSE,"",IF((('Dvd Calendar'!$AA$49=TYPE1)*(TYPE1&lt;&gt;"")+('Dvd Calendar'!$AA$49=TYPE2)*(TYPE2&lt;&gt;"")+('Dvd Calendar'!$AA$49=TYPE3)*(TYPE3&lt;&gt;"")+('Dvd Calendar'!$AA$49=TYPE4)*(TYPE4&lt;&gt;"")+('Dvd Calendar'!$AA$49=SPECIAL_LBL)*(INC_SPECIALS="Y"))=0,"",'Dvd Calendar'!$AA$47)))</f>
        <v/>
      </c>
      <c r="Z15" s="161">
        <f>IF(FB15="","",IF(ISNUMBER('Dvd Calendar'!$AB$47)=FALSE,"",IF((('Dvd Calendar'!$AB$49=TYPE1)*(TYPE1&lt;&gt;"")+('Dvd Calendar'!$AB$49=TYPE2)*(TYPE2&lt;&gt;"")+('Dvd Calendar'!$AB$49=TYPE3)*(TYPE3&lt;&gt;"")+('Dvd Calendar'!$AB$49=TYPE4)*(TYPE4&lt;&gt;"")+('Dvd Calendar'!$AB$49=SPECIAL_LBL)*(INC_SPECIALS="Y"))=0,"",'Dvd Calendar'!$AB$47)))</f>
        <v/>
      </c>
      <c r="AA15" s="161">
        <f>IF(FC15="","",IF(ISNUMBER('Dvd Calendar'!$AC$47)=FALSE,"",IF((('Dvd Calendar'!$AC$49=TYPE1)*(TYPE1&lt;&gt;"")+('Dvd Calendar'!$AC$49=TYPE2)*(TYPE2&lt;&gt;"")+('Dvd Calendar'!$AC$49=TYPE3)*(TYPE3&lt;&gt;"")+('Dvd Calendar'!$AC$49=TYPE4)*(TYPE4&lt;&gt;"")+('Dvd Calendar'!$AC$49=SPECIAL_LBL)*(INC_SPECIALS="Y"))=0,"",'Dvd Calendar'!$AC$47)))</f>
        <v/>
      </c>
      <c r="AB15" s="161">
        <f>IF(FD15="","",IF(ISNUMBER('Dvd Calendar'!$AD$47)=FALSE,"",IF((('Dvd Calendar'!$AD$49=TYPE1)*(TYPE1&lt;&gt;"")+('Dvd Calendar'!$AD$49=TYPE2)*(TYPE2&lt;&gt;"")+('Dvd Calendar'!$AD$49=TYPE3)*(TYPE3&lt;&gt;"")+('Dvd Calendar'!$AD$49=TYPE4)*(TYPE4&lt;&gt;"")+('Dvd Calendar'!$AD$49=SPECIAL_LBL)*(INC_SPECIALS="Y"))=0,"",'Dvd Calendar'!$AD$47)))</f>
        <v/>
      </c>
      <c r="AC15" s="161">
        <f>IF(FE15="","",IF(ISNUMBER('Dvd Calendar'!$AE$47)=FALSE,"",IF((('Dvd Calendar'!$AE$49=TYPE1)*(TYPE1&lt;&gt;"")+('Dvd Calendar'!$AE$49=TYPE2)*(TYPE2&lt;&gt;"")+('Dvd Calendar'!$AE$49=TYPE3)*(TYPE3&lt;&gt;"")+('Dvd Calendar'!$AE$49=TYPE4)*(TYPE4&lt;&gt;"")+('Dvd Calendar'!$AE$49=SPECIAL_LBL)*(INC_SPECIALS="Y"))=0,"",'Dvd Calendar'!$AE$47)))</f>
        <v/>
      </c>
      <c r="AD15" s="161">
        <f>IF(FF15="","",IF(ISNUMBER('Dvd Calendar'!$AF$47)=FALSE,"",IF((('Dvd Calendar'!$AF$49=TYPE1)*(TYPE1&lt;&gt;"")+('Dvd Calendar'!$AF$49=TYPE2)*(TYPE2&lt;&gt;"")+('Dvd Calendar'!$AF$49=TYPE3)*(TYPE3&lt;&gt;"")+('Dvd Calendar'!$AF$49=TYPE4)*(TYPE4&lt;&gt;"")+('Dvd Calendar'!$AF$49=SPECIAL_LBL)*(INC_SPECIALS="Y"))=0,"",'Dvd Calendar'!$AF$47)))</f>
        <v/>
      </c>
      <c r="AE15" s="161">
        <f>IF(FG15="","",IF(ISNUMBER('Dvd Calendar'!$AG$47)=FALSE,"",IF((('Dvd Calendar'!$AG$49=TYPE1)*(TYPE1&lt;&gt;"")+('Dvd Calendar'!$AG$49=TYPE2)*(TYPE2&lt;&gt;"")+('Dvd Calendar'!$AG$49=TYPE3)*(TYPE3&lt;&gt;"")+('Dvd Calendar'!$AG$49=TYPE4)*(TYPE4&lt;&gt;"")+('Dvd Calendar'!$AG$49=SPECIAL_LBL)*(INC_SPECIALS="Y"))=0,"",'Dvd Calendar'!$AG$47)))</f>
        <v/>
      </c>
      <c r="AF15" s="161">
        <f>IF(FH15="","",IF(ISNUMBER('Dvd Calendar'!$AH$47)=FALSE,"",IF((('Dvd Calendar'!$AH$49=TYPE1)*(TYPE1&lt;&gt;"")+('Dvd Calendar'!$AH$49=TYPE2)*(TYPE2&lt;&gt;"")+('Dvd Calendar'!$AH$49=TYPE3)*(TYPE3&lt;&gt;"")+('Dvd Calendar'!$AH$49=TYPE4)*(TYPE4&lt;&gt;"")+('Dvd Calendar'!$AH$49=SPECIAL_LBL)*(INC_SPECIALS="Y"))=0,"",'Dvd Calendar'!$AH$47)))</f>
        <v/>
      </c>
      <c r="AG15" s="161">
        <f>IF(FI15="","",IF(ISNUMBER('Dvd Calendar'!$AI$47)=FALSE,"",IF((('Dvd Calendar'!$AI$49=TYPE1)*(TYPE1&lt;&gt;"")+('Dvd Calendar'!$AI$49=TYPE2)*(TYPE2&lt;&gt;"")+('Dvd Calendar'!$AI$49=TYPE3)*(TYPE3&lt;&gt;"")+('Dvd Calendar'!$AI$49=TYPE4)*(TYPE4&lt;&gt;"")+('Dvd Calendar'!$AI$49=SPECIAL_LBL)*(INC_SPECIALS="Y"))=0,"",'Dvd Calendar'!$AI$47)))</f>
        <v/>
      </c>
      <c r="AH15" s="161">
        <f>IF(FJ15="","",IF(ISNUMBER('Dvd Calendar'!$AJ$47)=FALSE,"",IF((('Dvd Calendar'!$AJ$49=TYPE1)*(TYPE1&lt;&gt;"")+('Dvd Calendar'!$AJ$49=TYPE2)*(TYPE2&lt;&gt;"")+('Dvd Calendar'!$AJ$49=TYPE3)*(TYPE3&lt;&gt;"")+('Dvd Calendar'!$AJ$49=TYPE4)*(TYPE4&lt;&gt;"")+('Dvd Calendar'!$AJ$49=SPECIAL_LBL)*(INC_SPECIALS="Y"))=0,"",'Dvd Calendar'!$AJ$47)))</f>
        <v/>
      </c>
      <c r="AI15" s="161">
        <f>IF(FK15="","",IF(ISNUMBER('Dvd Calendar'!$AK$47)=FALSE,"",IF((('Dvd Calendar'!$AK$49=TYPE1)*(TYPE1&lt;&gt;"")+('Dvd Calendar'!$AK$49=TYPE2)*(TYPE2&lt;&gt;"")+('Dvd Calendar'!$AK$49=TYPE3)*(TYPE3&lt;&gt;"")+('Dvd Calendar'!$AK$49=TYPE4)*(TYPE4&lt;&gt;"")+('Dvd Calendar'!$AK$49=SPECIAL_LBL)*(INC_SPECIALS="Y"))=0,"",'Dvd Calendar'!$AK$47)))</f>
        <v/>
      </c>
      <c r="AJ15" s="161">
        <f>IF(FL15="","",IF(ISNUMBER('Dvd Calendar'!$AL$47)=FALSE,"",IF((('Dvd Calendar'!$AL$49=TYPE1)*(TYPE1&lt;&gt;"")+('Dvd Calendar'!$AL$49=TYPE2)*(TYPE2&lt;&gt;"")+('Dvd Calendar'!$AL$49=TYPE3)*(TYPE3&lt;&gt;"")+('Dvd Calendar'!$AL$49=TYPE4)*(TYPE4&lt;&gt;"")+('Dvd Calendar'!$AL$49=SPECIAL_LBL)*(INC_SPECIALS="Y"))=0,"",'Dvd Calendar'!$AL$47)))</f>
        <v/>
      </c>
      <c r="AK15" s="161">
        <f>IF(FM15="","",IF(ISNUMBER('Dvd Calendar'!$AM$47)=FALSE,"",IF((('Dvd Calendar'!$AM$49=TYPE1)*(TYPE1&lt;&gt;"")+('Dvd Calendar'!$AM$49=TYPE2)*(TYPE2&lt;&gt;"")+('Dvd Calendar'!$AM$49=TYPE3)*(TYPE3&lt;&gt;"")+('Dvd Calendar'!$AM$49=TYPE4)*(TYPE4&lt;&gt;"")+('Dvd Calendar'!$AM$49=SPECIAL_LBL)*(INC_SPECIALS="Y"))=0,"",'Dvd Calendar'!$AM$47)))</f>
        <v/>
      </c>
      <c r="AL15" s="161">
        <f>IF(FN15="","",IF(ISNUMBER('Dvd Calendar'!$AN$47)=FALSE,"",IF((('Dvd Calendar'!$AN$49=TYPE1)*(TYPE1&lt;&gt;"")+('Dvd Calendar'!$AN$49=TYPE2)*(TYPE2&lt;&gt;"")+('Dvd Calendar'!$AN$49=TYPE3)*(TYPE3&lt;&gt;"")+('Dvd Calendar'!$AN$49=TYPE4)*(TYPE4&lt;&gt;"")+('Dvd Calendar'!$AN$49=SPECIAL_LBL)*(INC_SPECIALS="Y"))=0,"",'Dvd Calendar'!$AN$47)))</f>
        <v/>
      </c>
      <c r="AM15" s="161">
        <f>IF(FO15="","",IF(ISNUMBER('Dvd Calendar'!$AO$47)=FALSE,"",IF((('Dvd Calendar'!$AO$49=TYPE1)*(TYPE1&lt;&gt;"")+('Dvd Calendar'!$AO$49=TYPE2)*(TYPE2&lt;&gt;"")+('Dvd Calendar'!$AO$49=TYPE3)*(TYPE3&lt;&gt;"")+('Dvd Calendar'!$AO$49=TYPE4)*(TYPE4&lt;&gt;"")+('Dvd Calendar'!$AO$49=SPECIAL_LBL)*(INC_SPECIALS="Y"))=0,"",'Dvd Calendar'!$AO$47)))</f>
        <v/>
      </c>
      <c r="AN15" s="161">
        <f>IF(FP15="","",IF(ISNUMBER('Dvd Calendar'!$AP$47)=FALSE,"",IF((('Dvd Calendar'!$AP$49=TYPE1)*(TYPE1&lt;&gt;"")+('Dvd Calendar'!$AP$49=TYPE2)*(TYPE2&lt;&gt;"")+('Dvd Calendar'!$AP$49=TYPE3)*(TYPE3&lt;&gt;"")+('Dvd Calendar'!$AP$49=TYPE4)*(TYPE4&lt;&gt;"")+('Dvd Calendar'!$AP$49=SPECIAL_LBL)*(INC_SPECIALS="Y"))=0,"",'Dvd Calendar'!$AP$47)))</f>
        <v/>
      </c>
      <c r="AO15" s="161">
        <f>IF(FQ15="","",IF(ISNUMBER('Dvd Calendar'!$AQ$47)=FALSE,"",IF((('Dvd Calendar'!$AQ$49=TYPE1)*(TYPE1&lt;&gt;"")+('Dvd Calendar'!$AQ$49=TYPE2)*(TYPE2&lt;&gt;"")+('Dvd Calendar'!$AQ$49=TYPE3)*(TYPE3&lt;&gt;"")+('Dvd Calendar'!$AQ$49=TYPE4)*(TYPE4&lt;&gt;"")+('Dvd Calendar'!$AQ$49=SPECIAL_LBL)*(INC_SPECIALS="Y"))=0,"",'Dvd Calendar'!$AQ$47)))</f>
        <v/>
      </c>
      <c r="AP15" s="161">
        <f>IF(FR15="","",IF(ISNUMBER('Dvd Calendar'!$AR$47)=FALSE,"",IF((('Dvd Calendar'!$AR$49=TYPE1)*(TYPE1&lt;&gt;"")+('Dvd Calendar'!$AR$49=TYPE2)*(TYPE2&lt;&gt;"")+('Dvd Calendar'!$AR$49=TYPE3)*(TYPE3&lt;&gt;"")+('Dvd Calendar'!$AR$49=TYPE4)*(TYPE4&lt;&gt;"")+('Dvd Calendar'!$AR$49=SPECIAL_LBL)*(INC_SPECIALS="Y"))=0,"",'Dvd Calendar'!$AR$47)))</f>
        <v/>
      </c>
      <c r="AQ15" s="161">
        <f>IF(FS15="","",IF(ISNUMBER('Dvd Calendar'!$E$52)=FALSE,"",'Dvd Calendar'!$E$52))</f>
        <v/>
      </c>
      <c r="AR15" s="161">
        <f>IF(FT15="","",IF(ISNUMBER('Dvd Calendar'!$F$52)=FALSE,"",'Dvd Calendar'!$F$52))</f>
        <v/>
      </c>
      <c r="AS15" s="161">
        <f>IF(FU15="","",IF(ISNUMBER('Dvd Calendar'!$G$52)=FALSE,"",'Dvd Calendar'!$G$52))</f>
        <v/>
      </c>
      <c r="AT15" s="161">
        <f>IF(FV15="","",IF(ISNUMBER('Dvd Calendar'!$H$52)=FALSE,"",'Dvd Calendar'!$H$52))</f>
        <v/>
      </c>
      <c r="AU15" s="161">
        <f>IF(FW15="","",IF(ISNUMBER('Dvd Calendar'!$I$52)=FALSE,"",'Dvd Calendar'!$I$52))</f>
        <v/>
      </c>
      <c r="AV15" s="161">
        <f>IF(FX15="","",IF(ISNUMBER('Dvd Calendar'!$J$52)=FALSE,"",'Dvd Calendar'!$J$52))</f>
        <v/>
      </c>
      <c r="AW15" s="161">
        <f>IF(FY15="","",IF(ISNUMBER('Dvd Calendar'!$K$52)=FALSE,"",'Dvd Calendar'!$K$52))</f>
        <v/>
      </c>
      <c r="AX15" s="161">
        <f>IF(FZ15="","",IF(ISNUMBER('Dvd Calendar'!$L$52)=FALSE,"",'Dvd Calendar'!$L$52))</f>
        <v/>
      </c>
      <c r="AY15" s="161">
        <f>IF(GA15="","",IF(ISNUMBER('Dvd Calendar'!$M$52)=FALSE,"",'Dvd Calendar'!$M$52))</f>
        <v/>
      </c>
      <c r="AZ15" s="161">
        <f>IF(GB15="","",IF(ISNUMBER('Dvd Calendar'!$N$52)=FALSE,"",'Dvd Calendar'!$N$52))</f>
        <v/>
      </c>
      <c r="BA15" s="161">
        <f>IF(GC15="","",IF(ISNUMBER('Dvd Calendar'!$O$52)=FALSE,"",'Dvd Calendar'!$O$52))</f>
        <v/>
      </c>
      <c r="BB15" s="161">
        <f>IF(GD15="","",IF(ISNUMBER('Dvd Calendar'!$P$52)=FALSE,"",'Dvd Calendar'!$P$52))</f>
        <v/>
      </c>
      <c r="BC15" s="161">
        <f>IF(GE15="","",IF(ISNUMBER('Dvd Calendar'!$Q$52)=FALSE,"",'Dvd Calendar'!$Q$52))</f>
        <v/>
      </c>
      <c r="BD15" s="161">
        <f>IF(GF15="","",IF(ISNUMBER('Dvd Calendar'!$R$52)=FALSE,"",'Dvd Calendar'!$R$52))</f>
        <v/>
      </c>
      <c r="BE15" s="161">
        <f>IF(GG15="","",IF(ISNUMBER('Dvd Calendar'!$S$52)=FALSE,"",'Dvd Calendar'!$S$52))</f>
        <v/>
      </c>
      <c r="BF15" s="161">
        <f>IF(GH15="","",IF(ISNUMBER('Dvd Calendar'!$T$52)=FALSE,"",'Dvd Calendar'!$T$52))</f>
        <v/>
      </c>
      <c r="BG15" s="161">
        <f>IF(GI15="","",IF(ISNUMBER('Dvd Calendar'!$U$52)=FALSE,"",'Dvd Calendar'!$U$52))</f>
        <v/>
      </c>
      <c r="BH15" s="161">
        <f>IF(GJ15="","",IF(ISNUMBER('Dvd Calendar'!$V$52)=FALSE,"",'Dvd Calendar'!$V$52))</f>
        <v/>
      </c>
      <c r="BI15" s="161">
        <f>IF(GK15="","",IF(ISNUMBER('Dvd Calendar'!$W$52)=FALSE,"",'Dvd Calendar'!$W$52))</f>
        <v/>
      </c>
      <c r="BJ15" s="161">
        <f>IF(GL15="","",IF(ISNUMBER('Dvd Calendar'!$X$52)=FALSE,"",'Dvd Calendar'!$X$52))</f>
        <v/>
      </c>
      <c r="BK15" s="161">
        <f>IF(GM15="","",IF(ISNUMBER('Dvd Calendar'!$Y$52)=FALSE,"",'Dvd Calendar'!$Y$52))</f>
        <v/>
      </c>
      <c r="BL15" s="161">
        <f>IF(GN15="","",IF(ISNUMBER('Dvd Calendar'!$Z$52)=FALSE,"",'Dvd Calendar'!$Z$52))</f>
        <v/>
      </c>
      <c r="BM15" s="161">
        <f>IF(GO15="","",IF(ISNUMBER('Dvd Calendar'!$AA$52)=FALSE,"",'Dvd Calendar'!$AA$52))</f>
        <v/>
      </c>
      <c r="BN15" s="161">
        <f>IF(GP15="","",IF(ISNUMBER('Dvd Calendar'!$AB$52)=FALSE,"",'Dvd Calendar'!$AB$52))</f>
        <v/>
      </c>
      <c r="BO15" s="161">
        <f>IF(GQ15="","",IF(ISNUMBER('Dvd Calendar'!$AC$52)=FALSE,"",'Dvd Calendar'!$AC$52))</f>
        <v/>
      </c>
      <c r="BQ15" s="161">
        <f>IF(C15="","",IFERROR(C15*HSI!$B$10*HSI!$G$10/HSI!$B$3,""))</f>
        <v/>
      </c>
      <c r="BR15" s="161">
        <f>IF(D15="","",IFERROR(D15*HSI!$B$10*HSI!$G$10/HSI!$B$3,""))</f>
        <v/>
      </c>
      <c r="BS15" s="161">
        <f>IF(E15="","",IFERROR(E15*HSI!$B$10*HSI!$G$10/HSI!$B$3,""))</f>
        <v/>
      </c>
      <c r="BT15" s="161">
        <f>IF(F15="","",IFERROR(F15*HSI!$B$10*HSI!$G$10/HSI!$B$3,""))</f>
        <v/>
      </c>
      <c r="BU15" s="161">
        <f>IF(G15="","",IFERROR(G15*HSI!$B$10*HSI!$G$10/HSI!$B$3,""))</f>
        <v/>
      </c>
      <c r="BV15" s="161">
        <f>IF(H15="","",IFERROR(H15*HSI!$B$10*HSI!$G$10/HSI!$B$3,""))</f>
        <v/>
      </c>
      <c r="BW15" s="161">
        <f>IF(I15="","",IFERROR(I15*HSI!$B$10*HSI!$G$10/HSI!$B$3,""))</f>
        <v/>
      </c>
      <c r="BX15" s="161">
        <f>IF(J15="","",IFERROR(J15*HSI!$B$10*HSI!$G$10/HSI!$B$3,""))</f>
        <v/>
      </c>
      <c r="BY15" s="161">
        <f>IF(K15="","",IFERROR(K15*HSI!$B$10*HSI!$G$10/HSI!$B$3,""))</f>
        <v/>
      </c>
      <c r="BZ15" s="161">
        <f>IF(L15="","",IFERROR(L15*HSI!$B$10*HSI!$G$10/HSI!$B$3,""))</f>
        <v/>
      </c>
      <c r="CA15" s="161">
        <f>IF(M15="","",IFERROR(M15*HSI!$B$10*HSI!$G$10/HSI!$B$3,""))</f>
        <v/>
      </c>
      <c r="CB15" s="161">
        <f>IF(N15="","",IFERROR(N15*HSI!$B$10*HSI!$G$10/HSI!$B$3,""))</f>
        <v/>
      </c>
      <c r="CC15" s="161">
        <f>IF(O15="","",IFERROR(O15*HSI!$B$10*HSI!$G$10/HSI!$B$3,""))</f>
        <v/>
      </c>
      <c r="CD15" s="161">
        <f>IF(P15="","",IFERROR(P15*HSI!$B$10*HSI!$G$10/HSI!$B$3,""))</f>
        <v/>
      </c>
      <c r="CE15" s="161">
        <f>IF(Q15="","",IFERROR(Q15*HSI!$B$10*HSI!$G$10/HSI!$B$3,""))</f>
        <v/>
      </c>
      <c r="CF15" s="161">
        <f>IF(R15="","",IFERROR(R15*HSI!$B$10*HSI!$G$10/HSI!$B$3,""))</f>
        <v/>
      </c>
      <c r="CG15" s="161">
        <f>IF(S15="","",IFERROR(S15*HSI!$B$10*HSI!$G$10/HSI!$B$3,""))</f>
        <v/>
      </c>
      <c r="CH15" s="161">
        <f>IF(T15="","",IFERROR(T15*HSI!$B$10*HSI!$G$10/HSI!$B$3,""))</f>
        <v/>
      </c>
      <c r="CI15" s="161">
        <f>IF(U15="","",IFERROR(U15*HSI!$B$10*HSI!$G$10/HSI!$B$3,""))</f>
        <v/>
      </c>
      <c r="CJ15" s="161">
        <f>IF(V15="","",IFERROR(V15*HSI!$B$10*HSI!$G$10/HSI!$B$3,""))</f>
        <v/>
      </c>
      <c r="CK15" s="161">
        <f>IF(W15="","",IFERROR(W15*HSI!$B$10*HSI!$G$10/HSI!$B$3,""))</f>
        <v/>
      </c>
      <c r="CL15" s="161">
        <f>IF(X15="","",IFERROR(X15*HSI!$B$10*HSI!$G$10/HSI!$B$3,""))</f>
        <v/>
      </c>
      <c r="CM15" s="161">
        <f>IF(Y15="","",IFERROR(Y15*HSI!$B$10*HSI!$G$10/HSI!$B$3,""))</f>
        <v/>
      </c>
      <c r="CN15" s="161">
        <f>IF(Z15="","",IFERROR(Z15*HSI!$B$10*HSI!$G$10/HSI!$B$3,""))</f>
        <v/>
      </c>
      <c r="CO15" s="161">
        <f>IF(AA15="","",IFERROR(AA15*HSI!$B$10*HSI!$G$10/HSI!$B$3,""))</f>
        <v/>
      </c>
      <c r="CP15" s="161">
        <f>IF(AB15="","",IFERROR(AB15*HSI!$B$10*HSI!$G$10/HSI!$B$3,""))</f>
        <v/>
      </c>
      <c r="CQ15" s="161">
        <f>IF(AC15="","",IFERROR(AC15*HSI!$B$10*HSI!$G$10/HSI!$B$3,""))</f>
        <v/>
      </c>
      <c r="CR15" s="161">
        <f>IF(AD15="","",IFERROR(AD15*HSI!$B$10*HSI!$G$10/HSI!$B$3,""))</f>
        <v/>
      </c>
      <c r="CS15" s="161">
        <f>IF(AE15="","",IFERROR(AE15*HSI!$B$10*HSI!$G$10/HSI!$B$3,""))</f>
        <v/>
      </c>
      <c r="CT15" s="161">
        <f>IF(AF15="","",IFERROR(AF15*HSI!$B$10*HSI!$G$10/HSI!$B$3,""))</f>
        <v/>
      </c>
      <c r="CU15" s="161">
        <f>IF(AG15="","",IFERROR(AG15*HSI!$B$10*HSI!$G$10/HSI!$B$3,""))</f>
        <v/>
      </c>
      <c r="CV15" s="161">
        <f>IF(AH15="","",IFERROR(AH15*HSI!$B$10*HSI!$G$10/HSI!$B$3,""))</f>
        <v/>
      </c>
      <c r="CW15" s="161">
        <f>IF(AI15="","",IFERROR(AI15*HSI!$B$10*HSI!$G$10/HSI!$B$3,""))</f>
        <v/>
      </c>
      <c r="CX15" s="161">
        <f>IF(AJ15="","",IFERROR(AJ15*HSI!$B$10*HSI!$G$10/HSI!$B$3,""))</f>
        <v/>
      </c>
      <c r="CY15" s="161">
        <f>IF(AK15="","",IFERROR(AK15*HSI!$B$10*HSI!$G$10/HSI!$B$3,""))</f>
        <v/>
      </c>
      <c r="CZ15" s="161">
        <f>IF(AL15="","",IFERROR(AL15*HSI!$B$10*HSI!$G$10/HSI!$B$3,""))</f>
        <v/>
      </c>
      <c r="DA15" s="161">
        <f>IF(AM15="","",IFERROR(AM15*HSI!$B$10*HSI!$G$10/HSI!$B$3,""))</f>
        <v/>
      </c>
      <c r="DB15" s="161">
        <f>IF(AN15="","",IFERROR(AN15*HSI!$B$10*HSI!$G$10/HSI!$B$3,""))</f>
        <v/>
      </c>
      <c r="DC15" s="161">
        <f>IF(AO15="","",IFERROR(AO15*HSI!$B$10*HSI!$G$10/HSI!$B$3,""))</f>
        <v/>
      </c>
      <c r="DD15" s="161">
        <f>IF(AP15="","",IFERROR(AP15*HSI!$B$10*HSI!$G$10/HSI!$B$3,""))</f>
        <v/>
      </c>
      <c r="DE15" s="161">
        <f>IF(AQ15="","",IFERROR(AQ15*HSI!$B$10*HSI!$G$10/HSI!$B$3,""))</f>
        <v/>
      </c>
      <c r="DF15" s="161">
        <f>IF(AR15="","",IFERROR(AR15*HSI!$B$10*HSI!$G$10/HSI!$B$3,""))</f>
        <v/>
      </c>
      <c r="DG15" s="161">
        <f>IF(AS15="","",IFERROR(AS15*HSI!$B$10*HSI!$G$10/HSI!$B$3,""))</f>
        <v/>
      </c>
      <c r="DH15" s="161">
        <f>IF(AT15="","",IFERROR(AT15*HSI!$B$10*HSI!$G$10/HSI!$B$3,""))</f>
        <v/>
      </c>
      <c r="DI15" s="161">
        <f>IF(AU15="","",IFERROR(AU15*HSI!$B$10*HSI!$G$10/HSI!$B$3,""))</f>
        <v/>
      </c>
      <c r="DJ15" s="161">
        <f>IF(AV15="","",IFERROR(AV15*HSI!$B$10*HSI!$G$10/HSI!$B$3,""))</f>
        <v/>
      </c>
      <c r="DK15" s="161">
        <f>IF(AW15="","",IFERROR(AW15*HSI!$B$10*HSI!$G$10/HSI!$B$3,""))</f>
        <v/>
      </c>
      <c r="DL15" s="161">
        <f>IF(AX15="","",IFERROR(AX15*HSI!$B$10*HSI!$G$10/HSI!$B$3,""))</f>
        <v/>
      </c>
      <c r="DM15" s="161">
        <f>IF(AY15="","",IFERROR(AY15*HSI!$B$10*HSI!$G$10/HSI!$B$3,""))</f>
        <v/>
      </c>
      <c r="DN15" s="161">
        <f>IF(AZ15="","",IFERROR(AZ15*HSI!$B$10*HSI!$G$10/HSI!$B$3,""))</f>
        <v/>
      </c>
      <c r="DO15" s="161">
        <f>IF(BA15="","",IFERROR(BA15*HSI!$B$10*HSI!$G$10/HSI!$B$3,""))</f>
        <v/>
      </c>
      <c r="DP15" s="161">
        <f>IF(BB15="","",IFERROR(BB15*HSI!$B$10*HSI!$G$10/HSI!$B$3,""))</f>
        <v/>
      </c>
      <c r="DQ15" s="161">
        <f>IF(BC15="","",IFERROR(BC15*HSI!$B$10*HSI!$G$10/HSI!$B$3,""))</f>
        <v/>
      </c>
      <c r="DR15" s="161">
        <f>IF(BD15="","",IFERROR(BD15*HSI!$B$10*HSI!$G$10/HSI!$B$3,""))</f>
        <v/>
      </c>
      <c r="DS15" s="161">
        <f>IF(BE15="","",IFERROR(BE15*HSI!$B$10*HSI!$G$10/HSI!$B$3,""))</f>
        <v/>
      </c>
      <c r="DT15" s="161">
        <f>IF(BF15="","",IFERROR(BF15*HSI!$B$10*HSI!$G$10/HSI!$B$3,""))</f>
        <v/>
      </c>
      <c r="DU15" s="161">
        <f>IF(BG15="","",IFERROR(BG15*HSI!$B$10*HSI!$G$10/HSI!$B$3,""))</f>
        <v/>
      </c>
      <c r="DV15" s="161">
        <f>IF(BH15="","",IFERROR(BH15*HSI!$B$10*HSI!$G$10/HSI!$B$3,""))</f>
        <v/>
      </c>
      <c r="DW15" s="161">
        <f>IF(BI15="","",IFERROR(BI15*HSI!$B$10*HSI!$G$10/HSI!$B$3,""))</f>
        <v/>
      </c>
      <c r="DX15" s="161">
        <f>IF(BJ15="","",IFERROR(BJ15*HSI!$B$10*HSI!$G$10/HSI!$B$3,""))</f>
        <v/>
      </c>
      <c r="DY15" s="161">
        <f>IF(BK15="","",IFERROR(BK15*HSI!$B$10*HSI!$G$10/HSI!$B$3,""))</f>
        <v/>
      </c>
      <c r="DZ15" s="161">
        <f>IF(BL15="","",IFERROR(BL15*HSI!$B$10*HSI!$G$10/HSI!$B$3,""))</f>
        <v/>
      </c>
      <c r="EA15" s="161">
        <f>IF(BM15="","",IFERROR(BM15*HSI!$B$10*HSI!$G$10/HSI!$B$3,""))</f>
        <v/>
      </c>
      <c r="EB15" s="161">
        <f>IF(BN15="","",IFERROR(BN15*HSI!$B$10*HSI!$G$10/HSI!$B$3,""))</f>
        <v/>
      </c>
      <c r="EC15" s="161">
        <f>IF(BO15="","",IFERROR(BO15*HSI!$B$10*HSI!$G$10/HSI!$B$3,""))</f>
        <v/>
      </c>
      <c r="EE15" s="121">
        <f>IF(N('Dvd Calendar'!$E$44)=0,"",IF(('Dvd Calendar'!$E$44&gt;=GRID_FROM)*('Dvd Calendar'!$E$44&lt;=GRID_TO)*((('Dvd Calendar'!$E$44&lt;=VAL_DATE)+(COUNTIF('Dvd Calendar'!$E$51:$AR$51,'Dvd Calendar'!$E$44)=0))&gt;0)=0,"",'Dvd Calendar'!$E$44*1000000000+ISNUMBER('Dvd Calendar'!$E$47)*100000000+('Dvd Calendar'!$E$49=SPECIAL_LBL)*10000000+(N('Dvd Calendar'!$E$43)&gt;0)*(N('Dvd Calendar'!$E$43)&lt;=VAL_SERIAL)*1000000+4*1000+1))</f>
        <v/>
      </c>
      <c r="EF15" s="121">
        <f>IF(N('Dvd Calendar'!$F$44)=0,"",IF(('Dvd Calendar'!$F$44&gt;=GRID_FROM)*('Dvd Calendar'!$F$44&lt;=GRID_TO)*((('Dvd Calendar'!$F$44&lt;=VAL_DATE)+(COUNTIF('Dvd Calendar'!$E$51:$AR$51,'Dvd Calendar'!$F$44)=0))&gt;0)=0,"",'Dvd Calendar'!$F$44*1000000000+ISNUMBER('Dvd Calendar'!$F$47)*100000000+('Dvd Calendar'!$F$49=SPECIAL_LBL)*10000000+(N('Dvd Calendar'!$F$43)&gt;0)*(N('Dvd Calendar'!$F$43)&lt;=VAL_SERIAL)*1000000+4*1000+2))</f>
        <v/>
      </c>
      <c r="EG15" s="121">
        <f>IF(N('Dvd Calendar'!$G$44)=0,"",IF(('Dvd Calendar'!$G$44&gt;=GRID_FROM)*('Dvd Calendar'!$G$44&lt;=GRID_TO)*((('Dvd Calendar'!$G$44&lt;=VAL_DATE)+(COUNTIF('Dvd Calendar'!$E$51:$AR$51,'Dvd Calendar'!$G$44)=0))&gt;0)=0,"",'Dvd Calendar'!$G$44*1000000000+ISNUMBER('Dvd Calendar'!$G$47)*100000000+('Dvd Calendar'!$G$49=SPECIAL_LBL)*10000000+(N('Dvd Calendar'!$G$43)&gt;0)*(N('Dvd Calendar'!$G$43)&lt;=VAL_SERIAL)*1000000+4*1000+3))</f>
        <v/>
      </c>
      <c r="EH15" s="121">
        <f>IF(N('Dvd Calendar'!$H$44)=0,"",IF(('Dvd Calendar'!$H$44&gt;=GRID_FROM)*('Dvd Calendar'!$H$44&lt;=GRID_TO)*((('Dvd Calendar'!$H$44&lt;=VAL_DATE)+(COUNTIF('Dvd Calendar'!$E$51:$AR$51,'Dvd Calendar'!$H$44)=0))&gt;0)=0,"",'Dvd Calendar'!$H$44*1000000000+ISNUMBER('Dvd Calendar'!$H$47)*100000000+('Dvd Calendar'!$H$49=SPECIAL_LBL)*10000000+(N('Dvd Calendar'!$H$43)&gt;0)*(N('Dvd Calendar'!$H$43)&lt;=VAL_SERIAL)*1000000+4*1000+4))</f>
        <v/>
      </c>
      <c r="EI15" s="121">
        <f>IF(N('Dvd Calendar'!$I$44)=0,"",IF(('Dvd Calendar'!$I$44&gt;=GRID_FROM)*('Dvd Calendar'!$I$44&lt;=GRID_TO)*((('Dvd Calendar'!$I$44&lt;=VAL_DATE)+(COUNTIF('Dvd Calendar'!$E$51:$AR$51,'Dvd Calendar'!$I$44)=0))&gt;0)=0,"",'Dvd Calendar'!$I$44*1000000000+ISNUMBER('Dvd Calendar'!$I$47)*100000000+('Dvd Calendar'!$I$49=SPECIAL_LBL)*10000000+(N('Dvd Calendar'!$I$43)&gt;0)*(N('Dvd Calendar'!$I$43)&lt;=VAL_SERIAL)*1000000+4*1000+5))</f>
        <v/>
      </c>
      <c r="EJ15" s="121">
        <f>IF(N('Dvd Calendar'!$J$44)=0,"",IF(('Dvd Calendar'!$J$44&gt;=GRID_FROM)*('Dvd Calendar'!$J$44&lt;=GRID_TO)*((('Dvd Calendar'!$J$44&lt;=VAL_DATE)+(COUNTIF('Dvd Calendar'!$E$51:$AR$51,'Dvd Calendar'!$J$44)=0))&gt;0)=0,"",'Dvd Calendar'!$J$44*1000000000+ISNUMBER('Dvd Calendar'!$J$47)*100000000+('Dvd Calendar'!$J$49=SPECIAL_LBL)*10000000+(N('Dvd Calendar'!$J$43)&gt;0)*(N('Dvd Calendar'!$J$43)&lt;=VAL_SERIAL)*1000000+4*1000+6))</f>
        <v/>
      </c>
      <c r="EK15" s="121">
        <f>IF(N('Dvd Calendar'!$K$44)=0,"",IF(('Dvd Calendar'!$K$44&gt;=GRID_FROM)*('Dvd Calendar'!$K$44&lt;=GRID_TO)*((('Dvd Calendar'!$K$44&lt;=VAL_DATE)+(COUNTIF('Dvd Calendar'!$E$51:$AR$51,'Dvd Calendar'!$K$44)=0))&gt;0)=0,"",'Dvd Calendar'!$K$44*1000000000+ISNUMBER('Dvd Calendar'!$K$47)*100000000+('Dvd Calendar'!$K$49=SPECIAL_LBL)*10000000+(N('Dvd Calendar'!$K$43)&gt;0)*(N('Dvd Calendar'!$K$43)&lt;=VAL_SERIAL)*1000000+4*1000+7))</f>
        <v/>
      </c>
      <c r="EL15" s="121">
        <f>IF(N('Dvd Calendar'!$L$44)=0,"",IF(('Dvd Calendar'!$L$44&gt;=GRID_FROM)*('Dvd Calendar'!$L$44&lt;=GRID_TO)*((('Dvd Calendar'!$L$44&lt;=VAL_DATE)+(COUNTIF('Dvd Calendar'!$E$51:$AR$51,'Dvd Calendar'!$L$44)=0))&gt;0)=0,"",'Dvd Calendar'!$L$44*1000000000+ISNUMBER('Dvd Calendar'!$L$47)*100000000+('Dvd Calendar'!$L$49=SPECIAL_LBL)*10000000+(N('Dvd Calendar'!$L$43)&gt;0)*(N('Dvd Calendar'!$L$43)&lt;=VAL_SERIAL)*1000000+4*1000+8))</f>
        <v/>
      </c>
      <c r="EM15" s="121">
        <f>IF(N('Dvd Calendar'!$M$44)=0,"",IF(('Dvd Calendar'!$M$44&gt;=GRID_FROM)*('Dvd Calendar'!$M$44&lt;=GRID_TO)*((('Dvd Calendar'!$M$44&lt;=VAL_DATE)+(COUNTIF('Dvd Calendar'!$E$51:$AR$51,'Dvd Calendar'!$M$44)=0))&gt;0)=0,"",'Dvd Calendar'!$M$44*1000000000+ISNUMBER('Dvd Calendar'!$M$47)*100000000+('Dvd Calendar'!$M$49=SPECIAL_LBL)*10000000+(N('Dvd Calendar'!$M$43)&gt;0)*(N('Dvd Calendar'!$M$43)&lt;=VAL_SERIAL)*1000000+4*1000+9))</f>
        <v/>
      </c>
      <c r="EN15" s="121">
        <f>IF(N('Dvd Calendar'!$N$44)=0,"",IF(('Dvd Calendar'!$N$44&gt;=GRID_FROM)*('Dvd Calendar'!$N$44&lt;=GRID_TO)*((('Dvd Calendar'!$N$44&lt;=VAL_DATE)+(COUNTIF('Dvd Calendar'!$E$51:$AR$51,'Dvd Calendar'!$N$44)=0))&gt;0)=0,"",'Dvd Calendar'!$N$44*1000000000+ISNUMBER('Dvd Calendar'!$N$47)*100000000+('Dvd Calendar'!$N$49=SPECIAL_LBL)*10000000+(N('Dvd Calendar'!$N$43)&gt;0)*(N('Dvd Calendar'!$N$43)&lt;=VAL_SERIAL)*1000000+4*1000+10))</f>
        <v/>
      </c>
      <c r="EO15" s="121">
        <f>IF(N('Dvd Calendar'!$O$44)=0,"",IF(('Dvd Calendar'!$O$44&gt;=GRID_FROM)*('Dvd Calendar'!$O$44&lt;=GRID_TO)*((('Dvd Calendar'!$O$44&lt;=VAL_DATE)+(COUNTIF('Dvd Calendar'!$E$51:$AR$51,'Dvd Calendar'!$O$44)=0))&gt;0)=0,"",'Dvd Calendar'!$O$44*1000000000+ISNUMBER('Dvd Calendar'!$O$47)*100000000+('Dvd Calendar'!$O$49=SPECIAL_LBL)*10000000+(N('Dvd Calendar'!$O$43)&gt;0)*(N('Dvd Calendar'!$O$43)&lt;=VAL_SERIAL)*1000000+4*1000+11))</f>
        <v/>
      </c>
      <c r="EP15" s="121">
        <f>IF(N('Dvd Calendar'!$P$44)=0,"",IF(('Dvd Calendar'!$P$44&gt;=GRID_FROM)*('Dvd Calendar'!$P$44&lt;=GRID_TO)*((('Dvd Calendar'!$P$44&lt;=VAL_DATE)+(COUNTIF('Dvd Calendar'!$E$51:$AR$51,'Dvd Calendar'!$P$44)=0))&gt;0)=0,"",'Dvd Calendar'!$P$44*1000000000+ISNUMBER('Dvd Calendar'!$P$47)*100000000+('Dvd Calendar'!$P$49=SPECIAL_LBL)*10000000+(N('Dvd Calendar'!$P$43)&gt;0)*(N('Dvd Calendar'!$P$43)&lt;=VAL_SERIAL)*1000000+4*1000+12))</f>
        <v/>
      </c>
      <c r="EQ15" s="121">
        <f>IF(N('Dvd Calendar'!$Q$44)=0,"",IF(('Dvd Calendar'!$Q$44&gt;=GRID_FROM)*('Dvd Calendar'!$Q$44&lt;=GRID_TO)*((('Dvd Calendar'!$Q$44&lt;=VAL_DATE)+(COUNTIF('Dvd Calendar'!$E$51:$AR$51,'Dvd Calendar'!$Q$44)=0))&gt;0)=0,"",'Dvd Calendar'!$Q$44*1000000000+ISNUMBER('Dvd Calendar'!$Q$47)*100000000+('Dvd Calendar'!$Q$49=SPECIAL_LBL)*10000000+(N('Dvd Calendar'!$Q$43)&gt;0)*(N('Dvd Calendar'!$Q$43)&lt;=VAL_SERIAL)*1000000+4*1000+13))</f>
        <v/>
      </c>
      <c r="ER15" s="121">
        <f>IF(N('Dvd Calendar'!$R$44)=0,"",IF(('Dvd Calendar'!$R$44&gt;=GRID_FROM)*('Dvd Calendar'!$R$44&lt;=GRID_TO)*((('Dvd Calendar'!$R$44&lt;=VAL_DATE)+(COUNTIF('Dvd Calendar'!$E$51:$AR$51,'Dvd Calendar'!$R$44)=0))&gt;0)=0,"",'Dvd Calendar'!$R$44*1000000000+ISNUMBER('Dvd Calendar'!$R$47)*100000000+('Dvd Calendar'!$R$49=SPECIAL_LBL)*10000000+(N('Dvd Calendar'!$R$43)&gt;0)*(N('Dvd Calendar'!$R$43)&lt;=VAL_SERIAL)*1000000+4*1000+14))</f>
        <v/>
      </c>
      <c r="ES15" s="121">
        <f>IF(N('Dvd Calendar'!$S$44)=0,"",IF(('Dvd Calendar'!$S$44&gt;=GRID_FROM)*('Dvd Calendar'!$S$44&lt;=GRID_TO)*((('Dvd Calendar'!$S$44&lt;=VAL_DATE)+(COUNTIF('Dvd Calendar'!$E$51:$AR$51,'Dvd Calendar'!$S$44)=0))&gt;0)=0,"",'Dvd Calendar'!$S$44*1000000000+ISNUMBER('Dvd Calendar'!$S$47)*100000000+('Dvd Calendar'!$S$49=SPECIAL_LBL)*10000000+(N('Dvd Calendar'!$S$43)&gt;0)*(N('Dvd Calendar'!$S$43)&lt;=VAL_SERIAL)*1000000+4*1000+15))</f>
        <v/>
      </c>
      <c r="ET15" s="121">
        <f>IF(N('Dvd Calendar'!$T$44)=0,"",IF(('Dvd Calendar'!$T$44&gt;=GRID_FROM)*('Dvd Calendar'!$T$44&lt;=GRID_TO)*((('Dvd Calendar'!$T$44&lt;=VAL_DATE)+(COUNTIF('Dvd Calendar'!$E$51:$AR$51,'Dvd Calendar'!$T$44)=0))&gt;0)=0,"",'Dvd Calendar'!$T$44*1000000000+ISNUMBER('Dvd Calendar'!$T$47)*100000000+('Dvd Calendar'!$T$49=SPECIAL_LBL)*10000000+(N('Dvd Calendar'!$T$43)&gt;0)*(N('Dvd Calendar'!$T$43)&lt;=VAL_SERIAL)*1000000+4*1000+16))</f>
        <v/>
      </c>
      <c r="EU15" s="121">
        <f>IF(N('Dvd Calendar'!$U$44)=0,"",IF(('Dvd Calendar'!$U$44&gt;=GRID_FROM)*('Dvd Calendar'!$U$44&lt;=GRID_TO)*((('Dvd Calendar'!$U$44&lt;=VAL_DATE)+(COUNTIF('Dvd Calendar'!$E$51:$AR$51,'Dvd Calendar'!$U$44)=0))&gt;0)=0,"",'Dvd Calendar'!$U$44*1000000000+ISNUMBER('Dvd Calendar'!$U$47)*100000000+('Dvd Calendar'!$U$49=SPECIAL_LBL)*10000000+(N('Dvd Calendar'!$U$43)&gt;0)*(N('Dvd Calendar'!$U$43)&lt;=VAL_SERIAL)*1000000+4*1000+17))</f>
        <v/>
      </c>
      <c r="EV15" s="121">
        <f>IF(N('Dvd Calendar'!$V$44)=0,"",IF(('Dvd Calendar'!$V$44&gt;=GRID_FROM)*('Dvd Calendar'!$V$44&lt;=GRID_TO)*((('Dvd Calendar'!$V$44&lt;=VAL_DATE)+(COUNTIF('Dvd Calendar'!$E$51:$AR$51,'Dvd Calendar'!$V$44)=0))&gt;0)=0,"",'Dvd Calendar'!$V$44*1000000000+ISNUMBER('Dvd Calendar'!$V$47)*100000000+('Dvd Calendar'!$V$49=SPECIAL_LBL)*10000000+(N('Dvd Calendar'!$V$43)&gt;0)*(N('Dvd Calendar'!$V$43)&lt;=VAL_SERIAL)*1000000+4*1000+18))</f>
        <v/>
      </c>
      <c r="EW15" s="121">
        <f>IF(N('Dvd Calendar'!$W$44)=0,"",IF(('Dvd Calendar'!$W$44&gt;=GRID_FROM)*('Dvd Calendar'!$W$44&lt;=GRID_TO)*((('Dvd Calendar'!$W$44&lt;=VAL_DATE)+(COUNTIF('Dvd Calendar'!$E$51:$AR$51,'Dvd Calendar'!$W$44)=0))&gt;0)=0,"",'Dvd Calendar'!$W$44*1000000000+ISNUMBER('Dvd Calendar'!$W$47)*100000000+('Dvd Calendar'!$W$49=SPECIAL_LBL)*10000000+(N('Dvd Calendar'!$W$43)&gt;0)*(N('Dvd Calendar'!$W$43)&lt;=VAL_SERIAL)*1000000+4*1000+19))</f>
        <v/>
      </c>
      <c r="EX15" s="121">
        <f>IF(N('Dvd Calendar'!$X$44)=0,"",IF(('Dvd Calendar'!$X$44&gt;=GRID_FROM)*('Dvd Calendar'!$X$44&lt;=GRID_TO)*((('Dvd Calendar'!$X$44&lt;=VAL_DATE)+(COUNTIF('Dvd Calendar'!$E$51:$AR$51,'Dvd Calendar'!$X$44)=0))&gt;0)=0,"",'Dvd Calendar'!$X$44*1000000000+ISNUMBER('Dvd Calendar'!$X$47)*100000000+('Dvd Calendar'!$X$49=SPECIAL_LBL)*10000000+(N('Dvd Calendar'!$X$43)&gt;0)*(N('Dvd Calendar'!$X$43)&lt;=VAL_SERIAL)*1000000+4*1000+20))</f>
        <v/>
      </c>
      <c r="EY15" s="121">
        <f>IF(N('Dvd Calendar'!$Y$44)=0,"",IF(('Dvd Calendar'!$Y$44&gt;=GRID_FROM)*('Dvd Calendar'!$Y$44&lt;=GRID_TO)*((('Dvd Calendar'!$Y$44&lt;=VAL_DATE)+(COUNTIF('Dvd Calendar'!$E$51:$AR$51,'Dvd Calendar'!$Y$44)=0))&gt;0)=0,"",'Dvd Calendar'!$Y$44*1000000000+ISNUMBER('Dvd Calendar'!$Y$47)*100000000+('Dvd Calendar'!$Y$49=SPECIAL_LBL)*10000000+(N('Dvd Calendar'!$Y$43)&gt;0)*(N('Dvd Calendar'!$Y$43)&lt;=VAL_SERIAL)*1000000+4*1000+21))</f>
        <v/>
      </c>
      <c r="EZ15" s="121">
        <f>IF(N('Dvd Calendar'!$Z$44)=0,"",IF(('Dvd Calendar'!$Z$44&gt;=GRID_FROM)*('Dvd Calendar'!$Z$44&lt;=GRID_TO)*((('Dvd Calendar'!$Z$44&lt;=VAL_DATE)+(COUNTIF('Dvd Calendar'!$E$51:$AR$51,'Dvd Calendar'!$Z$44)=0))&gt;0)=0,"",'Dvd Calendar'!$Z$44*1000000000+ISNUMBER('Dvd Calendar'!$Z$47)*100000000+('Dvd Calendar'!$Z$49=SPECIAL_LBL)*10000000+(N('Dvd Calendar'!$Z$43)&gt;0)*(N('Dvd Calendar'!$Z$43)&lt;=VAL_SERIAL)*1000000+4*1000+22))</f>
        <v/>
      </c>
      <c r="FA15" s="121">
        <f>IF(N('Dvd Calendar'!$AA$44)=0,"",IF(('Dvd Calendar'!$AA$44&gt;=GRID_FROM)*('Dvd Calendar'!$AA$44&lt;=GRID_TO)*((('Dvd Calendar'!$AA$44&lt;=VAL_DATE)+(COUNTIF('Dvd Calendar'!$E$51:$AR$51,'Dvd Calendar'!$AA$44)=0))&gt;0)=0,"",'Dvd Calendar'!$AA$44*1000000000+ISNUMBER('Dvd Calendar'!$AA$47)*100000000+('Dvd Calendar'!$AA$49=SPECIAL_LBL)*10000000+(N('Dvd Calendar'!$AA$43)&gt;0)*(N('Dvd Calendar'!$AA$43)&lt;=VAL_SERIAL)*1000000+4*1000+23))</f>
        <v/>
      </c>
      <c r="FB15" s="121">
        <f>IF(N('Dvd Calendar'!$AB$44)=0,"",IF(('Dvd Calendar'!$AB$44&gt;=GRID_FROM)*('Dvd Calendar'!$AB$44&lt;=GRID_TO)*((('Dvd Calendar'!$AB$44&lt;=VAL_DATE)+(COUNTIF('Dvd Calendar'!$E$51:$AR$51,'Dvd Calendar'!$AB$44)=0))&gt;0)=0,"",'Dvd Calendar'!$AB$44*1000000000+ISNUMBER('Dvd Calendar'!$AB$47)*100000000+('Dvd Calendar'!$AB$49=SPECIAL_LBL)*10000000+(N('Dvd Calendar'!$AB$43)&gt;0)*(N('Dvd Calendar'!$AB$43)&lt;=VAL_SERIAL)*1000000+4*1000+24))</f>
        <v/>
      </c>
      <c r="FC15" s="121">
        <f>IF(N('Dvd Calendar'!$AC$44)=0,"",IF(('Dvd Calendar'!$AC$44&gt;=GRID_FROM)*('Dvd Calendar'!$AC$44&lt;=GRID_TO)*((('Dvd Calendar'!$AC$44&lt;=VAL_DATE)+(COUNTIF('Dvd Calendar'!$E$51:$AR$51,'Dvd Calendar'!$AC$44)=0))&gt;0)=0,"",'Dvd Calendar'!$AC$44*1000000000+ISNUMBER('Dvd Calendar'!$AC$47)*100000000+('Dvd Calendar'!$AC$49=SPECIAL_LBL)*10000000+(N('Dvd Calendar'!$AC$43)&gt;0)*(N('Dvd Calendar'!$AC$43)&lt;=VAL_SERIAL)*1000000+4*1000+25))</f>
        <v/>
      </c>
      <c r="FD15" s="121">
        <f>IF(N('Dvd Calendar'!$AD$44)=0,"",IF(('Dvd Calendar'!$AD$44&gt;=GRID_FROM)*('Dvd Calendar'!$AD$44&lt;=GRID_TO)*((('Dvd Calendar'!$AD$44&lt;=VAL_DATE)+(COUNTIF('Dvd Calendar'!$E$51:$AR$51,'Dvd Calendar'!$AD$44)=0))&gt;0)=0,"",'Dvd Calendar'!$AD$44*1000000000+ISNUMBER('Dvd Calendar'!$AD$47)*100000000+('Dvd Calendar'!$AD$49=SPECIAL_LBL)*10000000+(N('Dvd Calendar'!$AD$43)&gt;0)*(N('Dvd Calendar'!$AD$43)&lt;=VAL_SERIAL)*1000000+4*1000+26))</f>
        <v/>
      </c>
      <c r="FE15" s="121">
        <f>IF(N('Dvd Calendar'!$AE$44)=0,"",IF(('Dvd Calendar'!$AE$44&gt;=GRID_FROM)*('Dvd Calendar'!$AE$44&lt;=GRID_TO)*((('Dvd Calendar'!$AE$44&lt;=VAL_DATE)+(COUNTIF('Dvd Calendar'!$E$51:$AR$51,'Dvd Calendar'!$AE$44)=0))&gt;0)=0,"",'Dvd Calendar'!$AE$44*1000000000+ISNUMBER('Dvd Calendar'!$AE$47)*100000000+('Dvd Calendar'!$AE$49=SPECIAL_LBL)*10000000+(N('Dvd Calendar'!$AE$43)&gt;0)*(N('Dvd Calendar'!$AE$43)&lt;=VAL_SERIAL)*1000000+4*1000+27))</f>
        <v/>
      </c>
      <c r="FF15" s="121">
        <f>IF(N('Dvd Calendar'!$AF$44)=0,"",IF(('Dvd Calendar'!$AF$44&gt;=GRID_FROM)*('Dvd Calendar'!$AF$44&lt;=GRID_TO)*((('Dvd Calendar'!$AF$44&lt;=VAL_DATE)+(COUNTIF('Dvd Calendar'!$E$51:$AR$51,'Dvd Calendar'!$AF$44)=0))&gt;0)=0,"",'Dvd Calendar'!$AF$44*1000000000+ISNUMBER('Dvd Calendar'!$AF$47)*100000000+('Dvd Calendar'!$AF$49=SPECIAL_LBL)*10000000+(N('Dvd Calendar'!$AF$43)&gt;0)*(N('Dvd Calendar'!$AF$43)&lt;=VAL_SERIAL)*1000000+4*1000+28))</f>
        <v/>
      </c>
      <c r="FG15" s="121">
        <f>IF(N('Dvd Calendar'!$AG$44)=0,"",IF(('Dvd Calendar'!$AG$44&gt;=GRID_FROM)*('Dvd Calendar'!$AG$44&lt;=GRID_TO)*((('Dvd Calendar'!$AG$44&lt;=VAL_DATE)+(COUNTIF('Dvd Calendar'!$E$51:$AR$51,'Dvd Calendar'!$AG$44)=0))&gt;0)=0,"",'Dvd Calendar'!$AG$44*1000000000+ISNUMBER('Dvd Calendar'!$AG$47)*100000000+('Dvd Calendar'!$AG$49=SPECIAL_LBL)*10000000+(N('Dvd Calendar'!$AG$43)&gt;0)*(N('Dvd Calendar'!$AG$43)&lt;=VAL_SERIAL)*1000000+4*1000+29))</f>
        <v/>
      </c>
      <c r="FH15" s="121">
        <f>IF(N('Dvd Calendar'!$AH$44)=0,"",IF(('Dvd Calendar'!$AH$44&gt;=GRID_FROM)*('Dvd Calendar'!$AH$44&lt;=GRID_TO)*((('Dvd Calendar'!$AH$44&lt;=VAL_DATE)+(COUNTIF('Dvd Calendar'!$E$51:$AR$51,'Dvd Calendar'!$AH$44)=0))&gt;0)=0,"",'Dvd Calendar'!$AH$44*1000000000+ISNUMBER('Dvd Calendar'!$AH$47)*100000000+('Dvd Calendar'!$AH$49=SPECIAL_LBL)*10000000+(N('Dvd Calendar'!$AH$43)&gt;0)*(N('Dvd Calendar'!$AH$43)&lt;=VAL_SERIAL)*1000000+4*1000+30))</f>
        <v/>
      </c>
      <c r="FI15" s="121">
        <f>IF(N('Dvd Calendar'!$AI$44)=0,"",IF(('Dvd Calendar'!$AI$44&gt;=GRID_FROM)*('Dvd Calendar'!$AI$44&lt;=GRID_TO)*((('Dvd Calendar'!$AI$44&lt;=VAL_DATE)+(COUNTIF('Dvd Calendar'!$E$51:$AR$51,'Dvd Calendar'!$AI$44)=0))&gt;0)=0,"",'Dvd Calendar'!$AI$44*1000000000+ISNUMBER('Dvd Calendar'!$AI$47)*100000000+('Dvd Calendar'!$AI$49=SPECIAL_LBL)*10000000+(N('Dvd Calendar'!$AI$43)&gt;0)*(N('Dvd Calendar'!$AI$43)&lt;=VAL_SERIAL)*1000000+4*1000+31))</f>
        <v/>
      </c>
      <c r="FJ15" s="121">
        <f>IF(N('Dvd Calendar'!$AJ$44)=0,"",IF(('Dvd Calendar'!$AJ$44&gt;=GRID_FROM)*('Dvd Calendar'!$AJ$44&lt;=GRID_TO)*((('Dvd Calendar'!$AJ$44&lt;=VAL_DATE)+(COUNTIF('Dvd Calendar'!$E$51:$AR$51,'Dvd Calendar'!$AJ$44)=0))&gt;0)=0,"",'Dvd Calendar'!$AJ$44*1000000000+ISNUMBER('Dvd Calendar'!$AJ$47)*100000000+('Dvd Calendar'!$AJ$49=SPECIAL_LBL)*10000000+(N('Dvd Calendar'!$AJ$43)&gt;0)*(N('Dvd Calendar'!$AJ$43)&lt;=VAL_SERIAL)*1000000+4*1000+32))</f>
        <v/>
      </c>
      <c r="FK15" s="121">
        <f>IF(N('Dvd Calendar'!$AK$44)=0,"",IF(('Dvd Calendar'!$AK$44&gt;=GRID_FROM)*('Dvd Calendar'!$AK$44&lt;=GRID_TO)*((('Dvd Calendar'!$AK$44&lt;=VAL_DATE)+(COUNTIF('Dvd Calendar'!$E$51:$AR$51,'Dvd Calendar'!$AK$44)=0))&gt;0)=0,"",'Dvd Calendar'!$AK$44*1000000000+ISNUMBER('Dvd Calendar'!$AK$47)*100000000+('Dvd Calendar'!$AK$49=SPECIAL_LBL)*10000000+(N('Dvd Calendar'!$AK$43)&gt;0)*(N('Dvd Calendar'!$AK$43)&lt;=VAL_SERIAL)*1000000+4*1000+33))</f>
        <v/>
      </c>
      <c r="FL15" s="121">
        <f>IF(N('Dvd Calendar'!$AL$44)=0,"",IF(('Dvd Calendar'!$AL$44&gt;=GRID_FROM)*('Dvd Calendar'!$AL$44&lt;=GRID_TO)*((('Dvd Calendar'!$AL$44&lt;=VAL_DATE)+(COUNTIF('Dvd Calendar'!$E$51:$AR$51,'Dvd Calendar'!$AL$44)=0))&gt;0)=0,"",'Dvd Calendar'!$AL$44*1000000000+ISNUMBER('Dvd Calendar'!$AL$47)*100000000+('Dvd Calendar'!$AL$49=SPECIAL_LBL)*10000000+(N('Dvd Calendar'!$AL$43)&gt;0)*(N('Dvd Calendar'!$AL$43)&lt;=VAL_SERIAL)*1000000+4*1000+34))</f>
        <v/>
      </c>
      <c r="FM15" s="121">
        <f>IF(N('Dvd Calendar'!$AM$44)=0,"",IF(('Dvd Calendar'!$AM$44&gt;=GRID_FROM)*('Dvd Calendar'!$AM$44&lt;=GRID_TO)*((('Dvd Calendar'!$AM$44&lt;=VAL_DATE)+(COUNTIF('Dvd Calendar'!$E$51:$AR$51,'Dvd Calendar'!$AM$44)=0))&gt;0)=0,"",'Dvd Calendar'!$AM$44*1000000000+ISNUMBER('Dvd Calendar'!$AM$47)*100000000+('Dvd Calendar'!$AM$49=SPECIAL_LBL)*10000000+(N('Dvd Calendar'!$AM$43)&gt;0)*(N('Dvd Calendar'!$AM$43)&lt;=VAL_SERIAL)*1000000+4*1000+35))</f>
        <v/>
      </c>
      <c r="FN15" s="121">
        <f>IF(N('Dvd Calendar'!$AN$44)=0,"",IF(('Dvd Calendar'!$AN$44&gt;=GRID_FROM)*('Dvd Calendar'!$AN$44&lt;=GRID_TO)*((('Dvd Calendar'!$AN$44&lt;=VAL_DATE)+(COUNTIF('Dvd Calendar'!$E$51:$AR$51,'Dvd Calendar'!$AN$44)=0))&gt;0)=0,"",'Dvd Calendar'!$AN$44*1000000000+ISNUMBER('Dvd Calendar'!$AN$47)*100000000+('Dvd Calendar'!$AN$49=SPECIAL_LBL)*10000000+(N('Dvd Calendar'!$AN$43)&gt;0)*(N('Dvd Calendar'!$AN$43)&lt;=VAL_SERIAL)*1000000+4*1000+36))</f>
        <v/>
      </c>
      <c r="FO15" s="121">
        <f>IF(N('Dvd Calendar'!$AO$44)=0,"",IF(('Dvd Calendar'!$AO$44&gt;=GRID_FROM)*('Dvd Calendar'!$AO$44&lt;=GRID_TO)*((('Dvd Calendar'!$AO$44&lt;=VAL_DATE)+(COUNTIF('Dvd Calendar'!$E$51:$AR$51,'Dvd Calendar'!$AO$44)=0))&gt;0)=0,"",'Dvd Calendar'!$AO$44*1000000000+ISNUMBER('Dvd Calendar'!$AO$47)*100000000+('Dvd Calendar'!$AO$49=SPECIAL_LBL)*10000000+(N('Dvd Calendar'!$AO$43)&gt;0)*(N('Dvd Calendar'!$AO$43)&lt;=VAL_SERIAL)*1000000+4*1000+37))</f>
        <v/>
      </c>
      <c r="FP15" s="121">
        <f>IF(N('Dvd Calendar'!$AP$44)=0,"",IF(('Dvd Calendar'!$AP$44&gt;=GRID_FROM)*('Dvd Calendar'!$AP$44&lt;=GRID_TO)*((('Dvd Calendar'!$AP$44&lt;=VAL_DATE)+(COUNTIF('Dvd Calendar'!$E$51:$AR$51,'Dvd Calendar'!$AP$44)=0))&gt;0)=0,"",'Dvd Calendar'!$AP$44*1000000000+ISNUMBER('Dvd Calendar'!$AP$47)*100000000+('Dvd Calendar'!$AP$49=SPECIAL_LBL)*10000000+(N('Dvd Calendar'!$AP$43)&gt;0)*(N('Dvd Calendar'!$AP$43)&lt;=VAL_SERIAL)*1000000+4*1000+38))</f>
        <v/>
      </c>
      <c r="FQ15" s="121">
        <f>IF(N('Dvd Calendar'!$AQ$44)=0,"",IF(('Dvd Calendar'!$AQ$44&gt;=GRID_FROM)*('Dvd Calendar'!$AQ$44&lt;=GRID_TO)*((('Dvd Calendar'!$AQ$44&lt;=VAL_DATE)+(COUNTIF('Dvd Calendar'!$E$51:$AR$51,'Dvd Calendar'!$AQ$44)=0))&gt;0)=0,"",'Dvd Calendar'!$AQ$44*1000000000+ISNUMBER('Dvd Calendar'!$AQ$47)*100000000+('Dvd Calendar'!$AQ$49=SPECIAL_LBL)*10000000+(N('Dvd Calendar'!$AQ$43)&gt;0)*(N('Dvd Calendar'!$AQ$43)&lt;=VAL_SERIAL)*1000000+4*1000+39))</f>
        <v/>
      </c>
      <c r="FR15" s="121">
        <f>IF(N('Dvd Calendar'!$AR$44)=0,"",IF(('Dvd Calendar'!$AR$44&gt;=GRID_FROM)*('Dvd Calendar'!$AR$44&lt;=GRID_TO)*((('Dvd Calendar'!$AR$44&lt;=VAL_DATE)+(COUNTIF('Dvd Calendar'!$E$51:$AR$51,'Dvd Calendar'!$AR$44)=0))&gt;0)=0,"",'Dvd Calendar'!$AR$44*1000000000+ISNUMBER('Dvd Calendar'!$AR$47)*100000000+('Dvd Calendar'!$AR$49=SPECIAL_LBL)*10000000+(N('Dvd Calendar'!$AR$43)&gt;0)*(N('Dvd Calendar'!$AR$43)&lt;=VAL_SERIAL)*1000000+4*1000+40))</f>
        <v/>
      </c>
      <c r="FS15" s="121">
        <f>IF(N('Dvd Calendar'!$E$51)=0,"",IF(('Dvd Calendar'!$E$51&gt;=GRID_FROM)*('Dvd Calendar'!$E$51&lt;=GRID_TO)*('Dvd Calendar'!$E$51&gt;VAL_DATE)=0,"",'Dvd Calendar'!$E$51*1000000000+ISNUMBER('Dvd Calendar'!$E$52)*100000000+0*10000000+(N('Dvd Calendar'!$E$50)&gt;0)*(N('Dvd Calendar'!$E$50)&lt;=VAL_SERIAL)*1000000+4*1000+41))</f>
        <v/>
      </c>
      <c r="FT15" s="121">
        <f>IF(N('Dvd Calendar'!$F$51)=0,"",IF(('Dvd Calendar'!$F$51&gt;=GRID_FROM)*('Dvd Calendar'!$F$51&lt;=GRID_TO)*('Dvd Calendar'!$F$51&gt;VAL_DATE)=0,"",'Dvd Calendar'!$F$51*1000000000+ISNUMBER('Dvd Calendar'!$F$52)*100000000+0*10000000+(N('Dvd Calendar'!$F$50)&gt;0)*(N('Dvd Calendar'!$F$50)&lt;=VAL_SERIAL)*1000000+4*1000+42))</f>
        <v/>
      </c>
      <c r="FU15" s="121">
        <f>IF(N('Dvd Calendar'!$G$51)=0,"",IF(('Dvd Calendar'!$G$51&gt;=GRID_FROM)*('Dvd Calendar'!$G$51&lt;=GRID_TO)*('Dvd Calendar'!$G$51&gt;VAL_DATE)=0,"",'Dvd Calendar'!$G$51*1000000000+ISNUMBER('Dvd Calendar'!$G$52)*100000000+0*10000000+(N('Dvd Calendar'!$G$50)&gt;0)*(N('Dvd Calendar'!$G$50)&lt;=VAL_SERIAL)*1000000+4*1000+43))</f>
        <v/>
      </c>
      <c r="FV15" s="121">
        <f>IF(N('Dvd Calendar'!$H$51)=0,"",IF(('Dvd Calendar'!$H$51&gt;=GRID_FROM)*('Dvd Calendar'!$H$51&lt;=GRID_TO)*('Dvd Calendar'!$H$51&gt;VAL_DATE)=0,"",'Dvd Calendar'!$H$51*1000000000+ISNUMBER('Dvd Calendar'!$H$52)*100000000+0*10000000+(N('Dvd Calendar'!$H$50)&gt;0)*(N('Dvd Calendar'!$H$50)&lt;=VAL_SERIAL)*1000000+4*1000+44))</f>
        <v/>
      </c>
      <c r="FW15" s="121">
        <f>IF(N('Dvd Calendar'!$I$51)=0,"",IF(('Dvd Calendar'!$I$51&gt;=GRID_FROM)*('Dvd Calendar'!$I$51&lt;=GRID_TO)*('Dvd Calendar'!$I$51&gt;VAL_DATE)=0,"",'Dvd Calendar'!$I$51*1000000000+ISNUMBER('Dvd Calendar'!$I$52)*100000000+0*10000000+(N('Dvd Calendar'!$I$50)&gt;0)*(N('Dvd Calendar'!$I$50)&lt;=VAL_SERIAL)*1000000+4*1000+45))</f>
        <v/>
      </c>
      <c r="FX15" s="121">
        <f>IF(N('Dvd Calendar'!$J$51)=0,"",IF(('Dvd Calendar'!$J$51&gt;=GRID_FROM)*('Dvd Calendar'!$J$51&lt;=GRID_TO)*('Dvd Calendar'!$J$51&gt;VAL_DATE)=0,"",'Dvd Calendar'!$J$51*1000000000+ISNUMBER('Dvd Calendar'!$J$52)*100000000+0*10000000+(N('Dvd Calendar'!$J$50)&gt;0)*(N('Dvd Calendar'!$J$50)&lt;=VAL_SERIAL)*1000000+4*1000+46))</f>
        <v/>
      </c>
      <c r="FY15" s="121">
        <f>IF(N('Dvd Calendar'!$K$51)=0,"",IF(('Dvd Calendar'!$K$51&gt;=GRID_FROM)*('Dvd Calendar'!$K$51&lt;=GRID_TO)*('Dvd Calendar'!$K$51&gt;VAL_DATE)=0,"",'Dvd Calendar'!$K$51*1000000000+ISNUMBER('Dvd Calendar'!$K$52)*100000000+0*10000000+(N('Dvd Calendar'!$K$50)&gt;0)*(N('Dvd Calendar'!$K$50)&lt;=VAL_SERIAL)*1000000+4*1000+47))</f>
        <v/>
      </c>
      <c r="FZ15" s="121">
        <f>IF(N('Dvd Calendar'!$L$51)=0,"",IF(('Dvd Calendar'!$L$51&gt;=GRID_FROM)*('Dvd Calendar'!$L$51&lt;=GRID_TO)*('Dvd Calendar'!$L$51&gt;VAL_DATE)=0,"",'Dvd Calendar'!$L$51*1000000000+ISNUMBER('Dvd Calendar'!$L$52)*100000000+0*10000000+(N('Dvd Calendar'!$L$50)&gt;0)*(N('Dvd Calendar'!$L$50)&lt;=VAL_SERIAL)*1000000+4*1000+48))</f>
        <v/>
      </c>
      <c r="GA15" s="121">
        <f>IF(N('Dvd Calendar'!$M$51)=0,"",IF(('Dvd Calendar'!$M$51&gt;=GRID_FROM)*('Dvd Calendar'!$M$51&lt;=GRID_TO)*('Dvd Calendar'!$M$51&gt;VAL_DATE)=0,"",'Dvd Calendar'!$M$51*1000000000+ISNUMBER('Dvd Calendar'!$M$52)*100000000+0*10000000+(N('Dvd Calendar'!$M$50)&gt;0)*(N('Dvd Calendar'!$M$50)&lt;=VAL_SERIAL)*1000000+4*1000+49))</f>
        <v/>
      </c>
      <c r="GB15" s="121">
        <f>IF(N('Dvd Calendar'!$N$51)=0,"",IF(('Dvd Calendar'!$N$51&gt;=GRID_FROM)*('Dvd Calendar'!$N$51&lt;=GRID_TO)*('Dvd Calendar'!$N$51&gt;VAL_DATE)=0,"",'Dvd Calendar'!$N$51*1000000000+ISNUMBER('Dvd Calendar'!$N$52)*100000000+0*10000000+(N('Dvd Calendar'!$N$50)&gt;0)*(N('Dvd Calendar'!$N$50)&lt;=VAL_SERIAL)*1000000+4*1000+50))</f>
        <v/>
      </c>
      <c r="GC15" s="121">
        <f>IF(N('Dvd Calendar'!$O$51)=0,"",IF(('Dvd Calendar'!$O$51&gt;=GRID_FROM)*('Dvd Calendar'!$O$51&lt;=GRID_TO)*('Dvd Calendar'!$O$51&gt;VAL_DATE)=0,"",'Dvd Calendar'!$O$51*1000000000+ISNUMBER('Dvd Calendar'!$O$52)*100000000+0*10000000+(N('Dvd Calendar'!$O$50)&gt;0)*(N('Dvd Calendar'!$O$50)&lt;=VAL_SERIAL)*1000000+4*1000+51))</f>
        <v/>
      </c>
      <c r="GD15" s="121">
        <f>IF(N('Dvd Calendar'!$P$51)=0,"",IF(('Dvd Calendar'!$P$51&gt;=GRID_FROM)*('Dvd Calendar'!$P$51&lt;=GRID_TO)*('Dvd Calendar'!$P$51&gt;VAL_DATE)=0,"",'Dvd Calendar'!$P$51*1000000000+ISNUMBER('Dvd Calendar'!$P$52)*100000000+0*10000000+(N('Dvd Calendar'!$P$50)&gt;0)*(N('Dvd Calendar'!$P$50)&lt;=VAL_SERIAL)*1000000+4*1000+52))</f>
        <v/>
      </c>
      <c r="GE15" s="121">
        <f>IF(N('Dvd Calendar'!$Q$51)=0,"",IF(('Dvd Calendar'!$Q$51&gt;=GRID_FROM)*('Dvd Calendar'!$Q$51&lt;=GRID_TO)*('Dvd Calendar'!$Q$51&gt;VAL_DATE)=0,"",'Dvd Calendar'!$Q$51*1000000000+ISNUMBER('Dvd Calendar'!$Q$52)*100000000+0*10000000+(N('Dvd Calendar'!$Q$50)&gt;0)*(N('Dvd Calendar'!$Q$50)&lt;=VAL_SERIAL)*1000000+4*1000+53))</f>
        <v/>
      </c>
      <c r="GF15" s="121">
        <f>IF(N('Dvd Calendar'!$R$51)=0,"",IF(('Dvd Calendar'!$R$51&gt;=GRID_FROM)*('Dvd Calendar'!$R$51&lt;=GRID_TO)*('Dvd Calendar'!$R$51&gt;VAL_DATE)=0,"",'Dvd Calendar'!$R$51*1000000000+ISNUMBER('Dvd Calendar'!$R$52)*100000000+0*10000000+(N('Dvd Calendar'!$R$50)&gt;0)*(N('Dvd Calendar'!$R$50)&lt;=VAL_SERIAL)*1000000+4*1000+54))</f>
        <v/>
      </c>
      <c r="GG15" s="121">
        <f>IF(N('Dvd Calendar'!$S$51)=0,"",IF(('Dvd Calendar'!$S$51&gt;=GRID_FROM)*('Dvd Calendar'!$S$51&lt;=GRID_TO)*('Dvd Calendar'!$S$51&gt;VAL_DATE)=0,"",'Dvd Calendar'!$S$51*1000000000+ISNUMBER('Dvd Calendar'!$S$52)*100000000+0*10000000+(N('Dvd Calendar'!$S$50)&gt;0)*(N('Dvd Calendar'!$S$50)&lt;=VAL_SERIAL)*1000000+4*1000+55))</f>
        <v/>
      </c>
      <c r="GH15" s="121">
        <f>IF(N('Dvd Calendar'!$T$51)=0,"",IF(('Dvd Calendar'!$T$51&gt;=GRID_FROM)*('Dvd Calendar'!$T$51&lt;=GRID_TO)*('Dvd Calendar'!$T$51&gt;VAL_DATE)=0,"",'Dvd Calendar'!$T$51*1000000000+ISNUMBER('Dvd Calendar'!$T$52)*100000000+0*10000000+(N('Dvd Calendar'!$T$50)&gt;0)*(N('Dvd Calendar'!$T$50)&lt;=VAL_SERIAL)*1000000+4*1000+56))</f>
        <v/>
      </c>
      <c r="GI15" s="121">
        <f>IF(N('Dvd Calendar'!$U$51)=0,"",IF(('Dvd Calendar'!$U$51&gt;=GRID_FROM)*('Dvd Calendar'!$U$51&lt;=GRID_TO)*('Dvd Calendar'!$U$51&gt;VAL_DATE)=0,"",'Dvd Calendar'!$U$51*1000000000+ISNUMBER('Dvd Calendar'!$U$52)*100000000+0*10000000+(N('Dvd Calendar'!$U$50)&gt;0)*(N('Dvd Calendar'!$U$50)&lt;=VAL_SERIAL)*1000000+4*1000+57))</f>
        <v/>
      </c>
      <c r="GJ15" s="121">
        <f>IF(N('Dvd Calendar'!$V$51)=0,"",IF(('Dvd Calendar'!$V$51&gt;=GRID_FROM)*('Dvd Calendar'!$V$51&lt;=GRID_TO)*('Dvd Calendar'!$V$51&gt;VAL_DATE)=0,"",'Dvd Calendar'!$V$51*1000000000+ISNUMBER('Dvd Calendar'!$V$52)*100000000+0*10000000+(N('Dvd Calendar'!$V$50)&gt;0)*(N('Dvd Calendar'!$V$50)&lt;=VAL_SERIAL)*1000000+4*1000+58))</f>
        <v/>
      </c>
      <c r="GK15" s="121">
        <f>IF(N('Dvd Calendar'!$W$51)=0,"",IF(('Dvd Calendar'!$W$51&gt;=GRID_FROM)*('Dvd Calendar'!$W$51&lt;=GRID_TO)*('Dvd Calendar'!$W$51&gt;VAL_DATE)=0,"",'Dvd Calendar'!$W$51*1000000000+ISNUMBER('Dvd Calendar'!$W$52)*100000000+0*10000000+(N('Dvd Calendar'!$W$50)&gt;0)*(N('Dvd Calendar'!$W$50)&lt;=VAL_SERIAL)*1000000+4*1000+59))</f>
        <v/>
      </c>
      <c r="GL15" s="121">
        <f>IF(N('Dvd Calendar'!$X$51)=0,"",IF(('Dvd Calendar'!$X$51&gt;=GRID_FROM)*('Dvd Calendar'!$X$51&lt;=GRID_TO)*('Dvd Calendar'!$X$51&gt;VAL_DATE)=0,"",'Dvd Calendar'!$X$51*1000000000+ISNUMBER('Dvd Calendar'!$X$52)*100000000+0*10000000+(N('Dvd Calendar'!$X$50)&gt;0)*(N('Dvd Calendar'!$X$50)&lt;=VAL_SERIAL)*1000000+4*1000+60))</f>
        <v/>
      </c>
      <c r="GM15" s="121">
        <f>IF(N('Dvd Calendar'!$Y$51)=0,"",IF(('Dvd Calendar'!$Y$51&gt;=GRID_FROM)*('Dvd Calendar'!$Y$51&lt;=GRID_TO)*('Dvd Calendar'!$Y$51&gt;VAL_DATE)=0,"",'Dvd Calendar'!$Y$51*1000000000+ISNUMBER('Dvd Calendar'!$Y$52)*100000000+0*10000000+(N('Dvd Calendar'!$Y$50)&gt;0)*(N('Dvd Calendar'!$Y$50)&lt;=VAL_SERIAL)*1000000+4*1000+61))</f>
        <v/>
      </c>
      <c r="GN15" s="121">
        <f>IF(N('Dvd Calendar'!$Z$51)=0,"",IF(('Dvd Calendar'!$Z$51&gt;=GRID_FROM)*('Dvd Calendar'!$Z$51&lt;=GRID_TO)*('Dvd Calendar'!$Z$51&gt;VAL_DATE)=0,"",'Dvd Calendar'!$Z$51*1000000000+ISNUMBER('Dvd Calendar'!$Z$52)*100000000+0*10000000+(N('Dvd Calendar'!$Z$50)&gt;0)*(N('Dvd Calendar'!$Z$50)&lt;=VAL_SERIAL)*1000000+4*1000+62))</f>
        <v/>
      </c>
      <c r="GO15" s="121">
        <f>IF(N('Dvd Calendar'!$AA$51)=0,"",IF(('Dvd Calendar'!$AA$51&gt;=GRID_FROM)*('Dvd Calendar'!$AA$51&lt;=GRID_TO)*('Dvd Calendar'!$AA$51&gt;VAL_DATE)=0,"",'Dvd Calendar'!$AA$51*1000000000+ISNUMBER('Dvd Calendar'!$AA$52)*100000000+0*10000000+(N('Dvd Calendar'!$AA$50)&gt;0)*(N('Dvd Calendar'!$AA$50)&lt;=VAL_SERIAL)*1000000+4*1000+63))</f>
        <v/>
      </c>
      <c r="GP15" s="121">
        <f>IF(N('Dvd Calendar'!$AB$51)=0,"",IF(('Dvd Calendar'!$AB$51&gt;=GRID_FROM)*('Dvd Calendar'!$AB$51&lt;=GRID_TO)*('Dvd Calendar'!$AB$51&gt;VAL_DATE)=0,"",'Dvd Calendar'!$AB$51*1000000000+ISNUMBER('Dvd Calendar'!$AB$52)*100000000+0*10000000+(N('Dvd Calendar'!$AB$50)&gt;0)*(N('Dvd Calendar'!$AB$50)&lt;=VAL_SERIAL)*1000000+4*1000+64))</f>
        <v/>
      </c>
      <c r="GQ15" s="121">
        <f>IF(N('Dvd Calendar'!$AC$51)=0,"",IF(('Dvd Calendar'!$AC$51&gt;=GRID_FROM)*('Dvd Calendar'!$AC$51&lt;=GRID_TO)*('Dvd Calendar'!$AC$51&gt;VAL_DATE)=0,"",'Dvd Calendar'!$AC$51*1000000000+ISNUMBER('Dvd Calendar'!$AC$52)*100000000+0*10000000+(N('Dvd Calendar'!$AC$50)&gt;0)*(N('Dvd Calendar'!$AC$50)&lt;=VAL_SERIAL)*1000000+4*1000+65))</f>
        <v/>
      </c>
    </row>
    <row r="16">
      <c r="B16" s="2">
        <f>IF(HSI!$C$11="","",HSI!$C$11)</f>
        <v/>
      </c>
      <c r="C16" s="161">
        <f>IF(EE16="","",IF(ISNUMBER('Dvd Calendar'!$E$58)=FALSE,"",IF((('Dvd Calendar'!$E$60=TYPE1)*(TYPE1&lt;&gt;"")+('Dvd Calendar'!$E$60=TYPE2)*(TYPE2&lt;&gt;"")+('Dvd Calendar'!$E$60=TYPE3)*(TYPE3&lt;&gt;"")+('Dvd Calendar'!$E$60=TYPE4)*(TYPE4&lt;&gt;"")+('Dvd Calendar'!$E$60=SPECIAL_LBL)*(INC_SPECIALS="Y"))=0,"",'Dvd Calendar'!$E$58)))</f>
        <v/>
      </c>
      <c r="D16" s="161">
        <f>IF(EF16="","",IF(ISNUMBER('Dvd Calendar'!$F$58)=FALSE,"",IF((('Dvd Calendar'!$F$60=TYPE1)*(TYPE1&lt;&gt;"")+('Dvd Calendar'!$F$60=TYPE2)*(TYPE2&lt;&gt;"")+('Dvd Calendar'!$F$60=TYPE3)*(TYPE3&lt;&gt;"")+('Dvd Calendar'!$F$60=TYPE4)*(TYPE4&lt;&gt;"")+('Dvd Calendar'!$F$60=SPECIAL_LBL)*(INC_SPECIALS="Y"))=0,"",'Dvd Calendar'!$F$58)))</f>
        <v/>
      </c>
      <c r="E16" s="161">
        <f>IF(EG16="","",IF(ISNUMBER('Dvd Calendar'!$G$58)=FALSE,"",IF((('Dvd Calendar'!$G$60=TYPE1)*(TYPE1&lt;&gt;"")+('Dvd Calendar'!$G$60=TYPE2)*(TYPE2&lt;&gt;"")+('Dvd Calendar'!$G$60=TYPE3)*(TYPE3&lt;&gt;"")+('Dvd Calendar'!$G$60=TYPE4)*(TYPE4&lt;&gt;"")+('Dvd Calendar'!$G$60=SPECIAL_LBL)*(INC_SPECIALS="Y"))=0,"",'Dvd Calendar'!$G$58)))</f>
        <v/>
      </c>
      <c r="F16" s="161">
        <f>IF(EH16="","",IF(ISNUMBER('Dvd Calendar'!$H$58)=FALSE,"",IF((('Dvd Calendar'!$H$60=TYPE1)*(TYPE1&lt;&gt;"")+('Dvd Calendar'!$H$60=TYPE2)*(TYPE2&lt;&gt;"")+('Dvd Calendar'!$H$60=TYPE3)*(TYPE3&lt;&gt;"")+('Dvd Calendar'!$H$60=TYPE4)*(TYPE4&lt;&gt;"")+('Dvd Calendar'!$H$60=SPECIAL_LBL)*(INC_SPECIALS="Y"))=0,"",'Dvd Calendar'!$H$58)))</f>
        <v/>
      </c>
      <c r="G16" s="161">
        <f>IF(EI16="","",IF(ISNUMBER('Dvd Calendar'!$I$58)=FALSE,"",IF((('Dvd Calendar'!$I$60=TYPE1)*(TYPE1&lt;&gt;"")+('Dvd Calendar'!$I$60=TYPE2)*(TYPE2&lt;&gt;"")+('Dvd Calendar'!$I$60=TYPE3)*(TYPE3&lt;&gt;"")+('Dvd Calendar'!$I$60=TYPE4)*(TYPE4&lt;&gt;"")+('Dvd Calendar'!$I$60=SPECIAL_LBL)*(INC_SPECIALS="Y"))=0,"",'Dvd Calendar'!$I$58)))</f>
        <v/>
      </c>
      <c r="H16" s="161">
        <f>IF(EJ16="","",IF(ISNUMBER('Dvd Calendar'!$J$58)=FALSE,"",IF((('Dvd Calendar'!$J$60=TYPE1)*(TYPE1&lt;&gt;"")+('Dvd Calendar'!$J$60=TYPE2)*(TYPE2&lt;&gt;"")+('Dvd Calendar'!$J$60=TYPE3)*(TYPE3&lt;&gt;"")+('Dvd Calendar'!$J$60=TYPE4)*(TYPE4&lt;&gt;"")+('Dvd Calendar'!$J$60=SPECIAL_LBL)*(INC_SPECIALS="Y"))=0,"",'Dvd Calendar'!$J$58)))</f>
        <v/>
      </c>
      <c r="I16" s="161">
        <f>IF(EK16="","",IF(ISNUMBER('Dvd Calendar'!$K$58)=FALSE,"",IF((('Dvd Calendar'!$K$60=TYPE1)*(TYPE1&lt;&gt;"")+('Dvd Calendar'!$K$60=TYPE2)*(TYPE2&lt;&gt;"")+('Dvd Calendar'!$K$60=TYPE3)*(TYPE3&lt;&gt;"")+('Dvd Calendar'!$K$60=TYPE4)*(TYPE4&lt;&gt;"")+('Dvd Calendar'!$K$60=SPECIAL_LBL)*(INC_SPECIALS="Y"))=0,"",'Dvd Calendar'!$K$58)))</f>
        <v/>
      </c>
      <c r="J16" s="161">
        <f>IF(EL16="","",IF(ISNUMBER('Dvd Calendar'!$L$58)=FALSE,"",IF((('Dvd Calendar'!$L$60=TYPE1)*(TYPE1&lt;&gt;"")+('Dvd Calendar'!$L$60=TYPE2)*(TYPE2&lt;&gt;"")+('Dvd Calendar'!$L$60=TYPE3)*(TYPE3&lt;&gt;"")+('Dvd Calendar'!$L$60=TYPE4)*(TYPE4&lt;&gt;"")+('Dvd Calendar'!$L$60=SPECIAL_LBL)*(INC_SPECIALS="Y"))=0,"",'Dvd Calendar'!$L$58)))</f>
        <v/>
      </c>
      <c r="K16" s="161">
        <f>IF(EM16="","",IF(ISNUMBER('Dvd Calendar'!$M$58)=FALSE,"",IF((('Dvd Calendar'!$M$60=TYPE1)*(TYPE1&lt;&gt;"")+('Dvd Calendar'!$M$60=TYPE2)*(TYPE2&lt;&gt;"")+('Dvd Calendar'!$M$60=TYPE3)*(TYPE3&lt;&gt;"")+('Dvd Calendar'!$M$60=TYPE4)*(TYPE4&lt;&gt;"")+('Dvd Calendar'!$M$60=SPECIAL_LBL)*(INC_SPECIALS="Y"))=0,"",'Dvd Calendar'!$M$58)))</f>
        <v/>
      </c>
      <c r="L16" s="161">
        <f>IF(EN16="","",IF(ISNUMBER('Dvd Calendar'!$N$58)=FALSE,"",IF((('Dvd Calendar'!$N$60=TYPE1)*(TYPE1&lt;&gt;"")+('Dvd Calendar'!$N$60=TYPE2)*(TYPE2&lt;&gt;"")+('Dvd Calendar'!$N$60=TYPE3)*(TYPE3&lt;&gt;"")+('Dvd Calendar'!$N$60=TYPE4)*(TYPE4&lt;&gt;"")+('Dvd Calendar'!$N$60=SPECIAL_LBL)*(INC_SPECIALS="Y"))=0,"",'Dvd Calendar'!$N$58)))</f>
        <v/>
      </c>
      <c r="M16" s="161">
        <f>IF(EO16="","",IF(ISNUMBER('Dvd Calendar'!$O$58)=FALSE,"",IF((('Dvd Calendar'!$O$60=TYPE1)*(TYPE1&lt;&gt;"")+('Dvd Calendar'!$O$60=TYPE2)*(TYPE2&lt;&gt;"")+('Dvd Calendar'!$O$60=TYPE3)*(TYPE3&lt;&gt;"")+('Dvd Calendar'!$O$60=TYPE4)*(TYPE4&lt;&gt;"")+('Dvd Calendar'!$O$60=SPECIAL_LBL)*(INC_SPECIALS="Y"))=0,"",'Dvd Calendar'!$O$58)))</f>
        <v/>
      </c>
      <c r="N16" s="161">
        <f>IF(EP16="","",IF(ISNUMBER('Dvd Calendar'!$P$58)=FALSE,"",IF((('Dvd Calendar'!$P$60=TYPE1)*(TYPE1&lt;&gt;"")+('Dvd Calendar'!$P$60=TYPE2)*(TYPE2&lt;&gt;"")+('Dvd Calendar'!$P$60=TYPE3)*(TYPE3&lt;&gt;"")+('Dvd Calendar'!$P$60=TYPE4)*(TYPE4&lt;&gt;"")+('Dvd Calendar'!$P$60=SPECIAL_LBL)*(INC_SPECIALS="Y"))=0,"",'Dvd Calendar'!$P$58)))</f>
        <v/>
      </c>
      <c r="O16" s="161">
        <f>IF(EQ16="","",IF(ISNUMBER('Dvd Calendar'!$Q$58)=FALSE,"",IF((('Dvd Calendar'!$Q$60=TYPE1)*(TYPE1&lt;&gt;"")+('Dvd Calendar'!$Q$60=TYPE2)*(TYPE2&lt;&gt;"")+('Dvd Calendar'!$Q$60=TYPE3)*(TYPE3&lt;&gt;"")+('Dvd Calendar'!$Q$60=TYPE4)*(TYPE4&lt;&gt;"")+('Dvd Calendar'!$Q$60=SPECIAL_LBL)*(INC_SPECIALS="Y"))=0,"",'Dvd Calendar'!$Q$58)))</f>
        <v/>
      </c>
      <c r="P16" s="161">
        <f>IF(ER16="","",IF(ISNUMBER('Dvd Calendar'!$R$58)=FALSE,"",IF((('Dvd Calendar'!$R$60=TYPE1)*(TYPE1&lt;&gt;"")+('Dvd Calendar'!$R$60=TYPE2)*(TYPE2&lt;&gt;"")+('Dvd Calendar'!$R$60=TYPE3)*(TYPE3&lt;&gt;"")+('Dvd Calendar'!$R$60=TYPE4)*(TYPE4&lt;&gt;"")+('Dvd Calendar'!$R$60=SPECIAL_LBL)*(INC_SPECIALS="Y"))=0,"",'Dvd Calendar'!$R$58)))</f>
        <v/>
      </c>
      <c r="Q16" s="161">
        <f>IF(ES16="","",IF(ISNUMBER('Dvd Calendar'!$S$58)=FALSE,"",IF((('Dvd Calendar'!$S$60=TYPE1)*(TYPE1&lt;&gt;"")+('Dvd Calendar'!$S$60=TYPE2)*(TYPE2&lt;&gt;"")+('Dvd Calendar'!$S$60=TYPE3)*(TYPE3&lt;&gt;"")+('Dvd Calendar'!$S$60=TYPE4)*(TYPE4&lt;&gt;"")+('Dvd Calendar'!$S$60=SPECIAL_LBL)*(INC_SPECIALS="Y"))=0,"",'Dvd Calendar'!$S$58)))</f>
        <v/>
      </c>
      <c r="R16" s="161">
        <f>IF(ET16="","",IF(ISNUMBER('Dvd Calendar'!$T$58)=FALSE,"",IF((('Dvd Calendar'!$T$60=TYPE1)*(TYPE1&lt;&gt;"")+('Dvd Calendar'!$T$60=TYPE2)*(TYPE2&lt;&gt;"")+('Dvd Calendar'!$T$60=TYPE3)*(TYPE3&lt;&gt;"")+('Dvd Calendar'!$T$60=TYPE4)*(TYPE4&lt;&gt;"")+('Dvd Calendar'!$T$60=SPECIAL_LBL)*(INC_SPECIALS="Y"))=0,"",'Dvd Calendar'!$T$58)))</f>
        <v/>
      </c>
      <c r="S16" s="161">
        <f>IF(EU16="","",IF(ISNUMBER('Dvd Calendar'!$U$58)=FALSE,"",IF((('Dvd Calendar'!$U$60=TYPE1)*(TYPE1&lt;&gt;"")+('Dvd Calendar'!$U$60=TYPE2)*(TYPE2&lt;&gt;"")+('Dvd Calendar'!$U$60=TYPE3)*(TYPE3&lt;&gt;"")+('Dvd Calendar'!$U$60=TYPE4)*(TYPE4&lt;&gt;"")+('Dvd Calendar'!$U$60=SPECIAL_LBL)*(INC_SPECIALS="Y"))=0,"",'Dvd Calendar'!$U$58)))</f>
        <v/>
      </c>
      <c r="T16" s="161">
        <f>IF(EV16="","",IF(ISNUMBER('Dvd Calendar'!$V$58)=FALSE,"",IF((('Dvd Calendar'!$V$60=TYPE1)*(TYPE1&lt;&gt;"")+('Dvd Calendar'!$V$60=TYPE2)*(TYPE2&lt;&gt;"")+('Dvd Calendar'!$V$60=TYPE3)*(TYPE3&lt;&gt;"")+('Dvd Calendar'!$V$60=TYPE4)*(TYPE4&lt;&gt;"")+('Dvd Calendar'!$V$60=SPECIAL_LBL)*(INC_SPECIALS="Y"))=0,"",'Dvd Calendar'!$V$58)))</f>
        <v/>
      </c>
      <c r="U16" s="161">
        <f>IF(EW16="","",IF(ISNUMBER('Dvd Calendar'!$W$58)=FALSE,"",IF((('Dvd Calendar'!$W$60=TYPE1)*(TYPE1&lt;&gt;"")+('Dvd Calendar'!$W$60=TYPE2)*(TYPE2&lt;&gt;"")+('Dvd Calendar'!$W$60=TYPE3)*(TYPE3&lt;&gt;"")+('Dvd Calendar'!$W$60=TYPE4)*(TYPE4&lt;&gt;"")+('Dvd Calendar'!$W$60=SPECIAL_LBL)*(INC_SPECIALS="Y"))=0,"",'Dvd Calendar'!$W$58)))</f>
        <v/>
      </c>
      <c r="V16" s="161">
        <f>IF(EX16="","",IF(ISNUMBER('Dvd Calendar'!$X$58)=FALSE,"",IF((('Dvd Calendar'!$X$60=TYPE1)*(TYPE1&lt;&gt;"")+('Dvd Calendar'!$X$60=TYPE2)*(TYPE2&lt;&gt;"")+('Dvd Calendar'!$X$60=TYPE3)*(TYPE3&lt;&gt;"")+('Dvd Calendar'!$X$60=TYPE4)*(TYPE4&lt;&gt;"")+('Dvd Calendar'!$X$60=SPECIAL_LBL)*(INC_SPECIALS="Y"))=0,"",'Dvd Calendar'!$X$58)))</f>
        <v/>
      </c>
      <c r="W16" s="161">
        <f>IF(EY16="","",IF(ISNUMBER('Dvd Calendar'!$Y$58)=FALSE,"",IF((('Dvd Calendar'!$Y$60=TYPE1)*(TYPE1&lt;&gt;"")+('Dvd Calendar'!$Y$60=TYPE2)*(TYPE2&lt;&gt;"")+('Dvd Calendar'!$Y$60=TYPE3)*(TYPE3&lt;&gt;"")+('Dvd Calendar'!$Y$60=TYPE4)*(TYPE4&lt;&gt;"")+('Dvd Calendar'!$Y$60=SPECIAL_LBL)*(INC_SPECIALS="Y"))=0,"",'Dvd Calendar'!$Y$58)))</f>
        <v/>
      </c>
      <c r="X16" s="161">
        <f>IF(EZ16="","",IF(ISNUMBER('Dvd Calendar'!$Z$58)=FALSE,"",IF((('Dvd Calendar'!$Z$60=TYPE1)*(TYPE1&lt;&gt;"")+('Dvd Calendar'!$Z$60=TYPE2)*(TYPE2&lt;&gt;"")+('Dvd Calendar'!$Z$60=TYPE3)*(TYPE3&lt;&gt;"")+('Dvd Calendar'!$Z$60=TYPE4)*(TYPE4&lt;&gt;"")+('Dvd Calendar'!$Z$60=SPECIAL_LBL)*(INC_SPECIALS="Y"))=0,"",'Dvd Calendar'!$Z$58)))</f>
        <v/>
      </c>
      <c r="Y16" s="161">
        <f>IF(FA16="","",IF(ISNUMBER('Dvd Calendar'!$AA$58)=FALSE,"",IF((('Dvd Calendar'!$AA$60=TYPE1)*(TYPE1&lt;&gt;"")+('Dvd Calendar'!$AA$60=TYPE2)*(TYPE2&lt;&gt;"")+('Dvd Calendar'!$AA$60=TYPE3)*(TYPE3&lt;&gt;"")+('Dvd Calendar'!$AA$60=TYPE4)*(TYPE4&lt;&gt;"")+('Dvd Calendar'!$AA$60=SPECIAL_LBL)*(INC_SPECIALS="Y"))=0,"",'Dvd Calendar'!$AA$58)))</f>
        <v/>
      </c>
      <c r="Z16" s="161">
        <f>IF(FB16="","",IF(ISNUMBER('Dvd Calendar'!$AB$58)=FALSE,"",IF((('Dvd Calendar'!$AB$60=TYPE1)*(TYPE1&lt;&gt;"")+('Dvd Calendar'!$AB$60=TYPE2)*(TYPE2&lt;&gt;"")+('Dvd Calendar'!$AB$60=TYPE3)*(TYPE3&lt;&gt;"")+('Dvd Calendar'!$AB$60=TYPE4)*(TYPE4&lt;&gt;"")+('Dvd Calendar'!$AB$60=SPECIAL_LBL)*(INC_SPECIALS="Y"))=0,"",'Dvd Calendar'!$AB$58)))</f>
        <v/>
      </c>
      <c r="AA16" s="161">
        <f>IF(FC16="","",IF(ISNUMBER('Dvd Calendar'!$AC$58)=FALSE,"",IF((('Dvd Calendar'!$AC$60=TYPE1)*(TYPE1&lt;&gt;"")+('Dvd Calendar'!$AC$60=TYPE2)*(TYPE2&lt;&gt;"")+('Dvd Calendar'!$AC$60=TYPE3)*(TYPE3&lt;&gt;"")+('Dvd Calendar'!$AC$60=TYPE4)*(TYPE4&lt;&gt;"")+('Dvd Calendar'!$AC$60=SPECIAL_LBL)*(INC_SPECIALS="Y"))=0,"",'Dvd Calendar'!$AC$58)))</f>
        <v/>
      </c>
      <c r="AB16" s="161">
        <f>IF(FD16="","",IF(ISNUMBER('Dvd Calendar'!$AD$58)=FALSE,"",IF((('Dvd Calendar'!$AD$60=TYPE1)*(TYPE1&lt;&gt;"")+('Dvd Calendar'!$AD$60=TYPE2)*(TYPE2&lt;&gt;"")+('Dvd Calendar'!$AD$60=TYPE3)*(TYPE3&lt;&gt;"")+('Dvd Calendar'!$AD$60=TYPE4)*(TYPE4&lt;&gt;"")+('Dvd Calendar'!$AD$60=SPECIAL_LBL)*(INC_SPECIALS="Y"))=0,"",'Dvd Calendar'!$AD$58)))</f>
        <v/>
      </c>
      <c r="AC16" s="161">
        <f>IF(FE16="","",IF(ISNUMBER('Dvd Calendar'!$AE$58)=FALSE,"",IF((('Dvd Calendar'!$AE$60=TYPE1)*(TYPE1&lt;&gt;"")+('Dvd Calendar'!$AE$60=TYPE2)*(TYPE2&lt;&gt;"")+('Dvd Calendar'!$AE$60=TYPE3)*(TYPE3&lt;&gt;"")+('Dvd Calendar'!$AE$60=TYPE4)*(TYPE4&lt;&gt;"")+('Dvd Calendar'!$AE$60=SPECIAL_LBL)*(INC_SPECIALS="Y"))=0,"",'Dvd Calendar'!$AE$58)))</f>
        <v/>
      </c>
      <c r="AD16" s="161">
        <f>IF(FF16="","",IF(ISNUMBER('Dvd Calendar'!$AF$58)=FALSE,"",IF((('Dvd Calendar'!$AF$60=TYPE1)*(TYPE1&lt;&gt;"")+('Dvd Calendar'!$AF$60=TYPE2)*(TYPE2&lt;&gt;"")+('Dvd Calendar'!$AF$60=TYPE3)*(TYPE3&lt;&gt;"")+('Dvd Calendar'!$AF$60=TYPE4)*(TYPE4&lt;&gt;"")+('Dvd Calendar'!$AF$60=SPECIAL_LBL)*(INC_SPECIALS="Y"))=0,"",'Dvd Calendar'!$AF$58)))</f>
        <v/>
      </c>
      <c r="AE16" s="161">
        <f>IF(FG16="","",IF(ISNUMBER('Dvd Calendar'!$AG$58)=FALSE,"",IF((('Dvd Calendar'!$AG$60=TYPE1)*(TYPE1&lt;&gt;"")+('Dvd Calendar'!$AG$60=TYPE2)*(TYPE2&lt;&gt;"")+('Dvd Calendar'!$AG$60=TYPE3)*(TYPE3&lt;&gt;"")+('Dvd Calendar'!$AG$60=TYPE4)*(TYPE4&lt;&gt;"")+('Dvd Calendar'!$AG$60=SPECIAL_LBL)*(INC_SPECIALS="Y"))=0,"",'Dvd Calendar'!$AG$58)))</f>
        <v/>
      </c>
      <c r="AF16" s="161">
        <f>IF(FH16="","",IF(ISNUMBER('Dvd Calendar'!$AH$58)=FALSE,"",IF((('Dvd Calendar'!$AH$60=TYPE1)*(TYPE1&lt;&gt;"")+('Dvd Calendar'!$AH$60=TYPE2)*(TYPE2&lt;&gt;"")+('Dvd Calendar'!$AH$60=TYPE3)*(TYPE3&lt;&gt;"")+('Dvd Calendar'!$AH$60=TYPE4)*(TYPE4&lt;&gt;"")+('Dvd Calendar'!$AH$60=SPECIAL_LBL)*(INC_SPECIALS="Y"))=0,"",'Dvd Calendar'!$AH$58)))</f>
        <v/>
      </c>
      <c r="AG16" s="161">
        <f>IF(FI16="","",IF(ISNUMBER('Dvd Calendar'!$AI$58)=FALSE,"",IF((('Dvd Calendar'!$AI$60=TYPE1)*(TYPE1&lt;&gt;"")+('Dvd Calendar'!$AI$60=TYPE2)*(TYPE2&lt;&gt;"")+('Dvd Calendar'!$AI$60=TYPE3)*(TYPE3&lt;&gt;"")+('Dvd Calendar'!$AI$60=TYPE4)*(TYPE4&lt;&gt;"")+('Dvd Calendar'!$AI$60=SPECIAL_LBL)*(INC_SPECIALS="Y"))=0,"",'Dvd Calendar'!$AI$58)))</f>
        <v/>
      </c>
      <c r="AH16" s="161">
        <f>IF(FJ16="","",IF(ISNUMBER('Dvd Calendar'!$AJ$58)=FALSE,"",IF((('Dvd Calendar'!$AJ$60=TYPE1)*(TYPE1&lt;&gt;"")+('Dvd Calendar'!$AJ$60=TYPE2)*(TYPE2&lt;&gt;"")+('Dvd Calendar'!$AJ$60=TYPE3)*(TYPE3&lt;&gt;"")+('Dvd Calendar'!$AJ$60=TYPE4)*(TYPE4&lt;&gt;"")+('Dvd Calendar'!$AJ$60=SPECIAL_LBL)*(INC_SPECIALS="Y"))=0,"",'Dvd Calendar'!$AJ$58)))</f>
        <v/>
      </c>
      <c r="AI16" s="161">
        <f>IF(FK16="","",IF(ISNUMBER('Dvd Calendar'!$AK$58)=FALSE,"",IF((('Dvd Calendar'!$AK$60=TYPE1)*(TYPE1&lt;&gt;"")+('Dvd Calendar'!$AK$60=TYPE2)*(TYPE2&lt;&gt;"")+('Dvd Calendar'!$AK$60=TYPE3)*(TYPE3&lt;&gt;"")+('Dvd Calendar'!$AK$60=TYPE4)*(TYPE4&lt;&gt;"")+('Dvd Calendar'!$AK$60=SPECIAL_LBL)*(INC_SPECIALS="Y"))=0,"",'Dvd Calendar'!$AK$58)))</f>
        <v/>
      </c>
      <c r="AJ16" s="161">
        <f>IF(FL16="","",IF(ISNUMBER('Dvd Calendar'!$AL$58)=FALSE,"",IF((('Dvd Calendar'!$AL$60=TYPE1)*(TYPE1&lt;&gt;"")+('Dvd Calendar'!$AL$60=TYPE2)*(TYPE2&lt;&gt;"")+('Dvd Calendar'!$AL$60=TYPE3)*(TYPE3&lt;&gt;"")+('Dvd Calendar'!$AL$60=TYPE4)*(TYPE4&lt;&gt;"")+('Dvd Calendar'!$AL$60=SPECIAL_LBL)*(INC_SPECIALS="Y"))=0,"",'Dvd Calendar'!$AL$58)))</f>
        <v/>
      </c>
      <c r="AK16" s="161">
        <f>IF(FM16="","",IF(ISNUMBER('Dvd Calendar'!$AM$58)=FALSE,"",IF((('Dvd Calendar'!$AM$60=TYPE1)*(TYPE1&lt;&gt;"")+('Dvd Calendar'!$AM$60=TYPE2)*(TYPE2&lt;&gt;"")+('Dvd Calendar'!$AM$60=TYPE3)*(TYPE3&lt;&gt;"")+('Dvd Calendar'!$AM$60=TYPE4)*(TYPE4&lt;&gt;"")+('Dvd Calendar'!$AM$60=SPECIAL_LBL)*(INC_SPECIALS="Y"))=0,"",'Dvd Calendar'!$AM$58)))</f>
        <v/>
      </c>
      <c r="AL16" s="161">
        <f>IF(FN16="","",IF(ISNUMBER('Dvd Calendar'!$AN$58)=FALSE,"",IF((('Dvd Calendar'!$AN$60=TYPE1)*(TYPE1&lt;&gt;"")+('Dvd Calendar'!$AN$60=TYPE2)*(TYPE2&lt;&gt;"")+('Dvd Calendar'!$AN$60=TYPE3)*(TYPE3&lt;&gt;"")+('Dvd Calendar'!$AN$60=TYPE4)*(TYPE4&lt;&gt;"")+('Dvd Calendar'!$AN$60=SPECIAL_LBL)*(INC_SPECIALS="Y"))=0,"",'Dvd Calendar'!$AN$58)))</f>
        <v/>
      </c>
      <c r="AM16" s="161">
        <f>IF(FO16="","",IF(ISNUMBER('Dvd Calendar'!$AO$58)=FALSE,"",IF((('Dvd Calendar'!$AO$60=TYPE1)*(TYPE1&lt;&gt;"")+('Dvd Calendar'!$AO$60=TYPE2)*(TYPE2&lt;&gt;"")+('Dvd Calendar'!$AO$60=TYPE3)*(TYPE3&lt;&gt;"")+('Dvd Calendar'!$AO$60=TYPE4)*(TYPE4&lt;&gt;"")+('Dvd Calendar'!$AO$60=SPECIAL_LBL)*(INC_SPECIALS="Y"))=0,"",'Dvd Calendar'!$AO$58)))</f>
        <v/>
      </c>
      <c r="AN16" s="161">
        <f>IF(FP16="","",IF(ISNUMBER('Dvd Calendar'!$AP$58)=FALSE,"",IF((('Dvd Calendar'!$AP$60=TYPE1)*(TYPE1&lt;&gt;"")+('Dvd Calendar'!$AP$60=TYPE2)*(TYPE2&lt;&gt;"")+('Dvd Calendar'!$AP$60=TYPE3)*(TYPE3&lt;&gt;"")+('Dvd Calendar'!$AP$60=TYPE4)*(TYPE4&lt;&gt;"")+('Dvd Calendar'!$AP$60=SPECIAL_LBL)*(INC_SPECIALS="Y"))=0,"",'Dvd Calendar'!$AP$58)))</f>
        <v/>
      </c>
      <c r="AO16" s="161">
        <f>IF(FQ16="","",IF(ISNUMBER('Dvd Calendar'!$AQ$58)=FALSE,"",IF((('Dvd Calendar'!$AQ$60=TYPE1)*(TYPE1&lt;&gt;"")+('Dvd Calendar'!$AQ$60=TYPE2)*(TYPE2&lt;&gt;"")+('Dvd Calendar'!$AQ$60=TYPE3)*(TYPE3&lt;&gt;"")+('Dvd Calendar'!$AQ$60=TYPE4)*(TYPE4&lt;&gt;"")+('Dvd Calendar'!$AQ$60=SPECIAL_LBL)*(INC_SPECIALS="Y"))=0,"",'Dvd Calendar'!$AQ$58)))</f>
        <v/>
      </c>
      <c r="AP16" s="161">
        <f>IF(FR16="","",IF(ISNUMBER('Dvd Calendar'!$AR$58)=FALSE,"",IF((('Dvd Calendar'!$AR$60=TYPE1)*(TYPE1&lt;&gt;"")+('Dvd Calendar'!$AR$60=TYPE2)*(TYPE2&lt;&gt;"")+('Dvd Calendar'!$AR$60=TYPE3)*(TYPE3&lt;&gt;"")+('Dvd Calendar'!$AR$60=TYPE4)*(TYPE4&lt;&gt;"")+('Dvd Calendar'!$AR$60=SPECIAL_LBL)*(INC_SPECIALS="Y"))=0,"",'Dvd Calendar'!$AR$58)))</f>
        <v/>
      </c>
      <c r="AQ16" s="161">
        <f>IF(FS16="","",IF(ISNUMBER('Dvd Calendar'!$E$63)=FALSE,"",'Dvd Calendar'!$E$63))</f>
        <v/>
      </c>
      <c r="AR16" s="161">
        <f>IF(FT16="","",IF(ISNUMBER('Dvd Calendar'!$F$63)=FALSE,"",'Dvd Calendar'!$F$63))</f>
        <v/>
      </c>
      <c r="AS16" s="161">
        <f>IF(FU16="","",IF(ISNUMBER('Dvd Calendar'!$G$63)=FALSE,"",'Dvd Calendar'!$G$63))</f>
        <v/>
      </c>
      <c r="AT16" s="161">
        <f>IF(FV16="","",IF(ISNUMBER('Dvd Calendar'!$H$63)=FALSE,"",'Dvd Calendar'!$H$63))</f>
        <v/>
      </c>
      <c r="AU16" s="161">
        <f>IF(FW16="","",IF(ISNUMBER('Dvd Calendar'!$I$63)=FALSE,"",'Dvd Calendar'!$I$63))</f>
        <v/>
      </c>
      <c r="AV16" s="161">
        <f>IF(FX16="","",IF(ISNUMBER('Dvd Calendar'!$J$63)=FALSE,"",'Dvd Calendar'!$J$63))</f>
        <v/>
      </c>
      <c r="AW16" s="161">
        <f>IF(FY16="","",IF(ISNUMBER('Dvd Calendar'!$K$63)=FALSE,"",'Dvd Calendar'!$K$63))</f>
        <v/>
      </c>
      <c r="AX16" s="161">
        <f>IF(FZ16="","",IF(ISNUMBER('Dvd Calendar'!$L$63)=FALSE,"",'Dvd Calendar'!$L$63))</f>
        <v/>
      </c>
      <c r="AY16" s="161">
        <f>IF(GA16="","",IF(ISNUMBER('Dvd Calendar'!$M$63)=FALSE,"",'Dvd Calendar'!$M$63))</f>
        <v/>
      </c>
      <c r="AZ16" s="161">
        <f>IF(GB16="","",IF(ISNUMBER('Dvd Calendar'!$N$63)=FALSE,"",'Dvd Calendar'!$N$63))</f>
        <v/>
      </c>
      <c r="BA16" s="161">
        <f>IF(GC16="","",IF(ISNUMBER('Dvd Calendar'!$O$63)=FALSE,"",'Dvd Calendar'!$O$63))</f>
        <v/>
      </c>
      <c r="BB16" s="161">
        <f>IF(GD16="","",IF(ISNUMBER('Dvd Calendar'!$P$63)=FALSE,"",'Dvd Calendar'!$P$63))</f>
        <v/>
      </c>
      <c r="BC16" s="161">
        <f>IF(GE16="","",IF(ISNUMBER('Dvd Calendar'!$Q$63)=FALSE,"",'Dvd Calendar'!$Q$63))</f>
        <v/>
      </c>
      <c r="BD16" s="161">
        <f>IF(GF16="","",IF(ISNUMBER('Dvd Calendar'!$R$63)=FALSE,"",'Dvd Calendar'!$R$63))</f>
        <v/>
      </c>
      <c r="BE16" s="161">
        <f>IF(GG16="","",IF(ISNUMBER('Dvd Calendar'!$S$63)=FALSE,"",'Dvd Calendar'!$S$63))</f>
        <v/>
      </c>
      <c r="BF16" s="161">
        <f>IF(GH16="","",IF(ISNUMBER('Dvd Calendar'!$T$63)=FALSE,"",'Dvd Calendar'!$T$63))</f>
        <v/>
      </c>
      <c r="BG16" s="161">
        <f>IF(GI16="","",IF(ISNUMBER('Dvd Calendar'!$U$63)=FALSE,"",'Dvd Calendar'!$U$63))</f>
        <v/>
      </c>
      <c r="BH16" s="161">
        <f>IF(GJ16="","",IF(ISNUMBER('Dvd Calendar'!$V$63)=FALSE,"",'Dvd Calendar'!$V$63))</f>
        <v/>
      </c>
      <c r="BI16" s="161">
        <f>IF(GK16="","",IF(ISNUMBER('Dvd Calendar'!$W$63)=FALSE,"",'Dvd Calendar'!$W$63))</f>
        <v/>
      </c>
      <c r="BJ16" s="161">
        <f>IF(GL16="","",IF(ISNUMBER('Dvd Calendar'!$X$63)=FALSE,"",'Dvd Calendar'!$X$63))</f>
        <v/>
      </c>
      <c r="BK16" s="161">
        <f>IF(GM16="","",IF(ISNUMBER('Dvd Calendar'!$Y$63)=FALSE,"",'Dvd Calendar'!$Y$63))</f>
        <v/>
      </c>
      <c r="BL16" s="161">
        <f>IF(GN16="","",IF(ISNUMBER('Dvd Calendar'!$Z$63)=FALSE,"",'Dvd Calendar'!$Z$63))</f>
        <v/>
      </c>
      <c r="BM16" s="161">
        <f>IF(GO16="","",IF(ISNUMBER('Dvd Calendar'!$AA$63)=FALSE,"",'Dvd Calendar'!$AA$63))</f>
        <v/>
      </c>
      <c r="BN16" s="161">
        <f>IF(GP16="","",IF(ISNUMBER('Dvd Calendar'!$AB$63)=FALSE,"",'Dvd Calendar'!$AB$63))</f>
        <v/>
      </c>
      <c r="BO16" s="161">
        <f>IF(GQ16="","",IF(ISNUMBER('Dvd Calendar'!$AC$63)=FALSE,"",'Dvd Calendar'!$AC$63))</f>
        <v/>
      </c>
      <c r="BQ16" s="161">
        <f>IF(C16="","",IFERROR(C16*HSI!$B$11*HSI!$G$11/HSI!$B$3,""))</f>
        <v/>
      </c>
      <c r="BR16" s="161">
        <f>IF(D16="","",IFERROR(D16*HSI!$B$11*HSI!$G$11/HSI!$B$3,""))</f>
        <v/>
      </c>
      <c r="BS16" s="161">
        <f>IF(E16="","",IFERROR(E16*HSI!$B$11*HSI!$G$11/HSI!$B$3,""))</f>
        <v/>
      </c>
      <c r="BT16" s="161">
        <f>IF(F16="","",IFERROR(F16*HSI!$B$11*HSI!$G$11/HSI!$B$3,""))</f>
        <v/>
      </c>
      <c r="BU16" s="161">
        <f>IF(G16="","",IFERROR(G16*HSI!$B$11*HSI!$G$11/HSI!$B$3,""))</f>
        <v/>
      </c>
      <c r="BV16" s="161">
        <f>IF(H16="","",IFERROR(H16*HSI!$B$11*HSI!$G$11/HSI!$B$3,""))</f>
        <v/>
      </c>
      <c r="BW16" s="161">
        <f>IF(I16="","",IFERROR(I16*HSI!$B$11*HSI!$G$11/HSI!$B$3,""))</f>
        <v/>
      </c>
      <c r="BX16" s="161">
        <f>IF(J16="","",IFERROR(J16*HSI!$B$11*HSI!$G$11/HSI!$B$3,""))</f>
        <v/>
      </c>
      <c r="BY16" s="161">
        <f>IF(K16="","",IFERROR(K16*HSI!$B$11*HSI!$G$11/HSI!$B$3,""))</f>
        <v/>
      </c>
      <c r="BZ16" s="161">
        <f>IF(L16="","",IFERROR(L16*HSI!$B$11*HSI!$G$11/HSI!$B$3,""))</f>
        <v/>
      </c>
      <c r="CA16" s="161">
        <f>IF(M16="","",IFERROR(M16*HSI!$B$11*HSI!$G$11/HSI!$B$3,""))</f>
        <v/>
      </c>
      <c r="CB16" s="161">
        <f>IF(N16="","",IFERROR(N16*HSI!$B$11*HSI!$G$11/HSI!$B$3,""))</f>
        <v/>
      </c>
      <c r="CC16" s="161">
        <f>IF(O16="","",IFERROR(O16*HSI!$B$11*HSI!$G$11/HSI!$B$3,""))</f>
        <v/>
      </c>
      <c r="CD16" s="161">
        <f>IF(P16="","",IFERROR(P16*HSI!$B$11*HSI!$G$11/HSI!$B$3,""))</f>
        <v/>
      </c>
      <c r="CE16" s="161">
        <f>IF(Q16="","",IFERROR(Q16*HSI!$B$11*HSI!$G$11/HSI!$B$3,""))</f>
        <v/>
      </c>
      <c r="CF16" s="161">
        <f>IF(R16="","",IFERROR(R16*HSI!$B$11*HSI!$G$11/HSI!$B$3,""))</f>
        <v/>
      </c>
      <c r="CG16" s="161">
        <f>IF(S16="","",IFERROR(S16*HSI!$B$11*HSI!$G$11/HSI!$B$3,""))</f>
        <v/>
      </c>
      <c r="CH16" s="161">
        <f>IF(T16="","",IFERROR(T16*HSI!$B$11*HSI!$G$11/HSI!$B$3,""))</f>
        <v/>
      </c>
      <c r="CI16" s="161">
        <f>IF(U16="","",IFERROR(U16*HSI!$B$11*HSI!$G$11/HSI!$B$3,""))</f>
        <v/>
      </c>
      <c r="CJ16" s="161">
        <f>IF(V16="","",IFERROR(V16*HSI!$B$11*HSI!$G$11/HSI!$B$3,""))</f>
        <v/>
      </c>
      <c r="CK16" s="161">
        <f>IF(W16="","",IFERROR(W16*HSI!$B$11*HSI!$G$11/HSI!$B$3,""))</f>
        <v/>
      </c>
      <c r="CL16" s="161">
        <f>IF(X16="","",IFERROR(X16*HSI!$B$11*HSI!$G$11/HSI!$B$3,""))</f>
        <v/>
      </c>
      <c r="CM16" s="161">
        <f>IF(Y16="","",IFERROR(Y16*HSI!$B$11*HSI!$G$11/HSI!$B$3,""))</f>
        <v/>
      </c>
      <c r="CN16" s="161">
        <f>IF(Z16="","",IFERROR(Z16*HSI!$B$11*HSI!$G$11/HSI!$B$3,""))</f>
        <v/>
      </c>
      <c r="CO16" s="161">
        <f>IF(AA16="","",IFERROR(AA16*HSI!$B$11*HSI!$G$11/HSI!$B$3,""))</f>
        <v/>
      </c>
      <c r="CP16" s="161">
        <f>IF(AB16="","",IFERROR(AB16*HSI!$B$11*HSI!$G$11/HSI!$B$3,""))</f>
        <v/>
      </c>
      <c r="CQ16" s="161">
        <f>IF(AC16="","",IFERROR(AC16*HSI!$B$11*HSI!$G$11/HSI!$B$3,""))</f>
        <v/>
      </c>
      <c r="CR16" s="161">
        <f>IF(AD16="","",IFERROR(AD16*HSI!$B$11*HSI!$G$11/HSI!$B$3,""))</f>
        <v/>
      </c>
      <c r="CS16" s="161">
        <f>IF(AE16="","",IFERROR(AE16*HSI!$B$11*HSI!$G$11/HSI!$B$3,""))</f>
        <v/>
      </c>
      <c r="CT16" s="161">
        <f>IF(AF16="","",IFERROR(AF16*HSI!$B$11*HSI!$G$11/HSI!$B$3,""))</f>
        <v/>
      </c>
      <c r="CU16" s="161">
        <f>IF(AG16="","",IFERROR(AG16*HSI!$B$11*HSI!$G$11/HSI!$B$3,""))</f>
        <v/>
      </c>
      <c r="CV16" s="161">
        <f>IF(AH16="","",IFERROR(AH16*HSI!$B$11*HSI!$G$11/HSI!$B$3,""))</f>
        <v/>
      </c>
      <c r="CW16" s="161">
        <f>IF(AI16="","",IFERROR(AI16*HSI!$B$11*HSI!$G$11/HSI!$B$3,""))</f>
        <v/>
      </c>
      <c r="CX16" s="161">
        <f>IF(AJ16="","",IFERROR(AJ16*HSI!$B$11*HSI!$G$11/HSI!$B$3,""))</f>
        <v/>
      </c>
      <c r="CY16" s="161">
        <f>IF(AK16="","",IFERROR(AK16*HSI!$B$11*HSI!$G$11/HSI!$B$3,""))</f>
        <v/>
      </c>
      <c r="CZ16" s="161">
        <f>IF(AL16="","",IFERROR(AL16*HSI!$B$11*HSI!$G$11/HSI!$B$3,""))</f>
        <v/>
      </c>
      <c r="DA16" s="161">
        <f>IF(AM16="","",IFERROR(AM16*HSI!$B$11*HSI!$G$11/HSI!$B$3,""))</f>
        <v/>
      </c>
      <c r="DB16" s="161">
        <f>IF(AN16="","",IFERROR(AN16*HSI!$B$11*HSI!$G$11/HSI!$B$3,""))</f>
        <v/>
      </c>
      <c r="DC16" s="161">
        <f>IF(AO16="","",IFERROR(AO16*HSI!$B$11*HSI!$G$11/HSI!$B$3,""))</f>
        <v/>
      </c>
      <c r="DD16" s="161">
        <f>IF(AP16="","",IFERROR(AP16*HSI!$B$11*HSI!$G$11/HSI!$B$3,""))</f>
        <v/>
      </c>
      <c r="DE16" s="161">
        <f>IF(AQ16="","",IFERROR(AQ16*HSI!$B$11*HSI!$G$11/HSI!$B$3,""))</f>
        <v/>
      </c>
      <c r="DF16" s="161">
        <f>IF(AR16="","",IFERROR(AR16*HSI!$B$11*HSI!$G$11/HSI!$B$3,""))</f>
        <v/>
      </c>
      <c r="DG16" s="161">
        <f>IF(AS16="","",IFERROR(AS16*HSI!$B$11*HSI!$G$11/HSI!$B$3,""))</f>
        <v/>
      </c>
      <c r="DH16" s="161">
        <f>IF(AT16="","",IFERROR(AT16*HSI!$B$11*HSI!$G$11/HSI!$B$3,""))</f>
        <v/>
      </c>
      <c r="DI16" s="161">
        <f>IF(AU16="","",IFERROR(AU16*HSI!$B$11*HSI!$G$11/HSI!$B$3,""))</f>
        <v/>
      </c>
      <c r="DJ16" s="161">
        <f>IF(AV16="","",IFERROR(AV16*HSI!$B$11*HSI!$G$11/HSI!$B$3,""))</f>
        <v/>
      </c>
      <c r="DK16" s="161">
        <f>IF(AW16="","",IFERROR(AW16*HSI!$B$11*HSI!$G$11/HSI!$B$3,""))</f>
        <v/>
      </c>
      <c r="DL16" s="161">
        <f>IF(AX16="","",IFERROR(AX16*HSI!$B$11*HSI!$G$11/HSI!$B$3,""))</f>
        <v/>
      </c>
      <c r="DM16" s="161">
        <f>IF(AY16="","",IFERROR(AY16*HSI!$B$11*HSI!$G$11/HSI!$B$3,""))</f>
        <v/>
      </c>
      <c r="DN16" s="161">
        <f>IF(AZ16="","",IFERROR(AZ16*HSI!$B$11*HSI!$G$11/HSI!$B$3,""))</f>
        <v/>
      </c>
      <c r="DO16" s="161">
        <f>IF(BA16="","",IFERROR(BA16*HSI!$B$11*HSI!$G$11/HSI!$B$3,""))</f>
        <v/>
      </c>
      <c r="DP16" s="161">
        <f>IF(BB16="","",IFERROR(BB16*HSI!$B$11*HSI!$G$11/HSI!$B$3,""))</f>
        <v/>
      </c>
      <c r="DQ16" s="161">
        <f>IF(BC16="","",IFERROR(BC16*HSI!$B$11*HSI!$G$11/HSI!$B$3,""))</f>
        <v/>
      </c>
      <c r="DR16" s="161">
        <f>IF(BD16="","",IFERROR(BD16*HSI!$B$11*HSI!$G$11/HSI!$B$3,""))</f>
        <v/>
      </c>
      <c r="DS16" s="161">
        <f>IF(BE16="","",IFERROR(BE16*HSI!$B$11*HSI!$G$11/HSI!$B$3,""))</f>
        <v/>
      </c>
      <c r="DT16" s="161">
        <f>IF(BF16="","",IFERROR(BF16*HSI!$B$11*HSI!$G$11/HSI!$B$3,""))</f>
        <v/>
      </c>
      <c r="DU16" s="161">
        <f>IF(BG16="","",IFERROR(BG16*HSI!$B$11*HSI!$G$11/HSI!$B$3,""))</f>
        <v/>
      </c>
      <c r="DV16" s="161">
        <f>IF(BH16="","",IFERROR(BH16*HSI!$B$11*HSI!$G$11/HSI!$B$3,""))</f>
        <v/>
      </c>
      <c r="DW16" s="161">
        <f>IF(BI16="","",IFERROR(BI16*HSI!$B$11*HSI!$G$11/HSI!$B$3,""))</f>
        <v/>
      </c>
      <c r="DX16" s="161">
        <f>IF(BJ16="","",IFERROR(BJ16*HSI!$B$11*HSI!$G$11/HSI!$B$3,""))</f>
        <v/>
      </c>
      <c r="DY16" s="161">
        <f>IF(BK16="","",IFERROR(BK16*HSI!$B$11*HSI!$G$11/HSI!$B$3,""))</f>
        <v/>
      </c>
      <c r="DZ16" s="161">
        <f>IF(BL16="","",IFERROR(BL16*HSI!$B$11*HSI!$G$11/HSI!$B$3,""))</f>
        <v/>
      </c>
      <c r="EA16" s="161">
        <f>IF(BM16="","",IFERROR(BM16*HSI!$B$11*HSI!$G$11/HSI!$B$3,""))</f>
        <v/>
      </c>
      <c r="EB16" s="161">
        <f>IF(BN16="","",IFERROR(BN16*HSI!$B$11*HSI!$G$11/HSI!$B$3,""))</f>
        <v/>
      </c>
      <c r="EC16" s="161">
        <f>IF(BO16="","",IFERROR(BO16*HSI!$B$11*HSI!$G$11/HSI!$B$3,""))</f>
        <v/>
      </c>
      <c r="EE16" s="121">
        <f>IF(N('Dvd Calendar'!$E$55)=0,"",IF(('Dvd Calendar'!$E$55&gt;=GRID_FROM)*('Dvd Calendar'!$E$55&lt;=GRID_TO)*((('Dvd Calendar'!$E$55&lt;=VAL_DATE)+(COUNTIF('Dvd Calendar'!$E$62:$AR$62,'Dvd Calendar'!$E$55)=0))&gt;0)=0,"",'Dvd Calendar'!$E$55*1000000000+ISNUMBER('Dvd Calendar'!$E$58)*100000000+('Dvd Calendar'!$E$60=SPECIAL_LBL)*10000000+(N('Dvd Calendar'!$E$54)&gt;0)*(N('Dvd Calendar'!$E$54)&lt;=VAL_SERIAL)*1000000+5*1000+1))</f>
        <v/>
      </c>
      <c r="EF16" s="121">
        <f>IF(N('Dvd Calendar'!$F$55)=0,"",IF(('Dvd Calendar'!$F$55&gt;=GRID_FROM)*('Dvd Calendar'!$F$55&lt;=GRID_TO)*((('Dvd Calendar'!$F$55&lt;=VAL_DATE)+(COUNTIF('Dvd Calendar'!$E$62:$AR$62,'Dvd Calendar'!$F$55)=0))&gt;0)=0,"",'Dvd Calendar'!$F$55*1000000000+ISNUMBER('Dvd Calendar'!$F$58)*100000000+('Dvd Calendar'!$F$60=SPECIAL_LBL)*10000000+(N('Dvd Calendar'!$F$54)&gt;0)*(N('Dvd Calendar'!$F$54)&lt;=VAL_SERIAL)*1000000+5*1000+2))</f>
        <v/>
      </c>
      <c r="EG16" s="121">
        <f>IF(N('Dvd Calendar'!$G$55)=0,"",IF(('Dvd Calendar'!$G$55&gt;=GRID_FROM)*('Dvd Calendar'!$G$55&lt;=GRID_TO)*((('Dvd Calendar'!$G$55&lt;=VAL_DATE)+(COUNTIF('Dvd Calendar'!$E$62:$AR$62,'Dvd Calendar'!$G$55)=0))&gt;0)=0,"",'Dvd Calendar'!$G$55*1000000000+ISNUMBER('Dvd Calendar'!$G$58)*100000000+('Dvd Calendar'!$G$60=SPECIAL_LBL)*10000000+(N('Dvd Calendar'!$G$54)&gt;0)*(N('Dvd Calendar'!$G$54)&lt;=VAL_SERIAL)*1000000+5*1000+3))</f>
        <v/>
      </c>
      <c r="EH16" s="121">
        <f>IF(N('Dvd Calendar'!$H$55)=0,"",IF(('Dvd Calendar'!$H$55&gt;=GRID_FROM)*('Dvd Calendar'!$H$55&lt;=GRID_TO)*((('Dvd Calendar'!$H$55&lt;=VAL_DATE)+(COUNTIF('Dvd Calendar'!$E$62:$AR$62,'Dvd Calendar'!$H$55)=0))&gt;0)=0,"",'Dvd Calendar'!$H$55*1000000000+ISNUMBER('Dvd Calendar'!$H$58)*100000000+('Dvd Calendar'!$H$60=SPECIAL_LBL)*10000000+(N('Dvd Calendar'!$H$54)&gt;0)*(N('Dvd Calendar'!$H$54)&lt;=VAL_SERIAL)*1000000+5*1000+4))</f>
        <v/>
      </c>
      <c r="EI16" s="121">
        <f>IF(N('Dvd Calendar'!$I$55)=0,"",IF(('Dvd Calendar'!$I$55&gt;=GRID_FROM)*('Dvd Calendar'!$I$55&lt;=GRID_TO)*((('Dvd Calendar'!$I$55&lt;=VAL_DATE)+(COUNTIF('Dvd Calendar'!$E$62:$AR$62,'Dvd Calendar'!$I$55)=0))&gt;0)=0,"",'Dvd Calendar'!$I$55*1000000000+ISNUMBER('Dvd Calendar'!$I$58)*100000000+('Dvd Calendar'!$I$60=SPECIAL_LBL)*10000000+(N('Dvd Calendar'!$I$54)&gt;0)*(N('Dvd Calendar'!$I$54)&lt;=VAL_SERIAL)*1000000+5*1000+5))</f>
        <v/>
      </c>
      <c r="EJ16" s="121">
        <f>IF(N('Dvd Calendar'!$J$55)=0,"",IF(('Dvd Calendar'!$J$55&gt;=GRID_FROM)*('Dvd Calendar'!$J$55&lt;=GRID_TO)*((('Dvd Calendar'!$J$55&lt;=VAL_DATE)+(COUNTIF('Dvd Calendar'!$E$62:$AR$62,'Dvd Calendar'!$J$55)=0))&gt;0)=0,"",'Dvd Calendar'!$J$55*1000000000+ISNUMBER('Dvd Calendar'!$J$58)*100000000+('Dvd Calendar'!$J$60=SPECIAL_LBL)*10000000+(N('Dvd Calendar'!$J$54)&gt;0)*(N('Dvd Calendar'!$J$54)&lt;=VAL_SERIAL)*1000000+5*1000+6))</f>
        <v/>
      </c>
      <c r="EK16" s="121">
        <f>IF(N('Dvd Calendar'!$K$55)=0,"",IF(('Dvd Calendar'!$K$55&gt;=GRID_FROM)*('Dvd Calendar'!$K$55&lt;=GRID_TO)*((('Dvd Calendar'!$K$55&lt;=VAL_DATE)+(COUNTIF('Dvd Calendar'!$E$62:$AR$62,'Dvd Calendar'!$K$55)=0))&gt;0)=0,"",'Dvd Calendar'!$K$55*1000000000+ISNUMBER('Dvd Calendar'!$K$58)*100000000+('Dvd Calendar'!$K$60=SPECIAL_LBL)*10000000+(N('Dvd Calendar'!$K$54)&gt;0)*(N('Dvd Calendar'!$K$54)&lt;=VAL_SERIAL)*1000000+5*1000+7))</f>
        <v/>
      </c>
      <c r="EL16" s="121">
        <f>IF(N('Dvd Calendar'!$L$55)=0,"",IF(('Dvd Calendar'!$L$55&gt;=GRID_FROM)*('Dvd Calendar'!$L$55&lt;=GRID_TO)*((('Dvd Calendar'!$L$55&lt;=VAL_DATE)+(COUNTIF('Dvd Calendar'!$E$62:$AR$62,'Dvd Calendar'!$L$55)=0))&gt;0)=0,"",'Dvd Calendar'!$L$55*1000000000+ISNUMBER('Dvd Calendar'!$L$58)*100000000+('Dvd Calendar'!$L$60=SPECIAL_LBL)*10000000+(N('Dvd Calendar'!$L$54)&gt;0)*(N('Dvd Calendar'!$L$54)&lt;=VAL_SERIAL)*1000000+5*1000+8))</f>
        <v/>
      </c>
      <c r="EM16" s="121">
        <f>IF(N('Dvd Calendar'!$M$55)=0,"",IF(('Dvd Calendar'!$M$55&gt;=GRID_FROM)*('Dvd Calendar'!$M$55&lt;=GRID_TO)*((('Dvd Calendar'!$M$55&lt;=VAL_DATE)+(COUNTIF('Dvd Calendar'!$E$62:$AR$62,'Dvd Calendar'!$M$55)=0))&gt;0)=0,"",'Dvd Calendar'!$M$55*1000000000+ISNUMBER('Dvd Calendar'!$M$58)*100000000+('Dvd Calendar'!$M$60=SPECIAL_LBL)*10000000+(N('Dvd Calendar'!$M$54)&gt;0)*(N('Dvd Calendar'!$M$54)&lt;=VAL_SERIAL)*1000000+5*1000+9))</f>
        <v/>
      </c>
      <c r="EN16" s="121">
        <f>IF(N('Dvd Calendar'!$N$55)=0,"",IF(('Dvd Calendar'!$N$55&gt;=GRID_FROM)*('Dvd Calendar'!$N$55&lt;=GRID_TO)*((('Dvd Calendar'!$N$55&lt;=VAL_DATE)+(COUNTIF('Dvd Calendar'!$E$62:$AR$62,'Dvd Calendar'!$N$55)=0))&gt;0)=0,"",'Dvd Calendar'!$N$55*1000000000+ISNUMBER('Dvd Calendar'!$N$58)*100000000+('Dvd Calendar'!$N$60=SPECIAL_LBL)*10000000+(N('Dvd Calendar'!$N$54)&gt;0)*(N('Dvd Calendar'!$N$54)&lt;=VAL_SERIAL)*1000000+5*1000+10))</f>
        <v/>
      </c>
      <c r="EO16" s="121">
        <f>IF(N('Dvd Calendar'!$O$55)=0,"",IF(('Dvd Calendar'!$O$55&gt;=GRID_FROM)*('Dvd Calendar'!$O$55&lt;=GRID_TO)*((('Dvd Calendar'!$O$55&lt;=VAL_DATE)+(COUNTIF('Dvd Calendar'!$E$62:$AR$62,'Dvd Calendar'!$O$55)=0))&gt;0)=0,"",'Dvd Calendar'!$O$55*1000000000+ISNUMBER('Dvd Calendar'!$O$58)*100000000+('Dvd Calendar'!$O$60=SPECIAL_LBL)*10000000+(N('Dvd Calendar'!$O$54)&gt;0)*(N('Dvd Calendar'!$O$54)&lt;=VAL_SERIAL)*1000000+5*1000+11))</f>
        <v/>
      </c>
      <c r="EP16" s="121">
        <f>IF(N('Dvd Calendar'!$P$55)=0,"",IF(('Dvd Calendar'!$P$55&gt;=GRID_FROM)*('Dvd Calendar'!$P$55&lt;=GRID_TO)*((('Dvd Calendar'!$P$55&lt;=VAL_DATE)+(COUNTIF('Dvd Calendar'!$E$62:$AR$62,'Dvd Calendar'!$P$55)=0))&gt;0)=0,"",'Dvd Calendar'!$P$55*1000000000+ISNUMBER('Dvd Calendar'!$P$58)*100000000+('Dvd Calendar'!$P$60=SPECIAL_LBL)*10000000+(N('Dvd Calendar'!$P$54)&gt;0)*(N('Dvd Calendar'!$P$54)&lt;=VAL_SERIAL)*1000000+5*1000+12))</f>
        <v/>
      </c>
      <c r="EQ16" s="121">
        <f>IF(N('Dvd Calendar'!$Q$55)=0,"",IF(('Dvd Calendar'!$Q$55&gt;=GRID_FROM)*('Dvd Calendar'!$Q$55&lt;=GRID_TO)*((('Dvd Calendar'!$Q$55&lt;=VAL_DATE)+(COUNTIF('Dvd Calendar'!$E$62:$AR$62,'Dvd Calendar'!$Q$55)=0))&gt;0)=0,"",'Dvd Calendar'!$Q$55*1000000000+ISNUMBER('Dvd Calendar'!$Q$58)*100000000+('Dvd Calendar'!$Q$60=SPECIAL_LBL)*10000000+(N('Dvd Calendar'!$Q$54)&gt;0)*(N('Dvd Calendar'!$Q$54)&lt;=VAL_SERIAL)*1000000+5*1000+13))</f>
        <v/>
      </c>
      <c r="ER16" s="121">
        <f>IF(N('Dvd Calendar'!$R$55)=0,"",IF(('Dvd Calendar'!$R$55&gt;=GRID_FROM)*('Dvd Calendar'!$R$55&lt;=GRID_TO)*((('Dvd Calendar'!$R$55&lt;=VAL_DATE)+(COUNTIF('Dvd Calendar'!$E$62:$AR$62,'Dvd Calendar'!$R$55)=0))&gt;0)=0,"",'Dvd Calendar'!$R$55*1000000000+ISNUMBER('Dvd Calendar'!$R$58)*100000000+('Dvd Calendar'!$R$60=SPECIAL_LBL)*10000000+(N('Dvd Calendar'!$R$54)&gt;0)*(N('Dvd Calendar'!$R$54)&lt;=VAL_SERIAL)*1000000+5*1000+14))</f>
        <v/>
      </c>
      <c r="ES16" s="121">
        <f>IF(N('Dvd Calendar'!$S$55)=0,"",IF(('Dvd Calendar'!$S$55&gt;=GRID_FROM)*('Dvd Calendar'!$S$55&lt;=GRID_TO)*((('Dvd Calendar'!$S$55&lt;=VAL_DATE)+(COUNTIF('Dvd Calendar'!$E$62:$AR$62,'Dvd Calendar'!$S$55)=0))&gt;0)=0,"",'Dvd Calendar'!$S$55*1000000000+ISNUMBER('Dvd Calendar'!$S$58)*100000000+('Dvd Calendar'!$S$60=SPECIAL_LBL)*10000000+(N('Dvd Calendar'!$S$54)&gt;0)*(N('Dvd Calendar'!$S$54)&lt;=VAL_SERIAL)*1000000+5*1000+15))</f>
        <v/>
      </c>
      <c r="ET16" s="121">
        <f>IF(N('Dvd Calendar'!$T$55)=0,"",IF(('Dvd Calendar'!$T$55&gt;=GRID_FROM)*('Dvd Calendar'!$T$55&lt;=GRID_TO)*((('Dvd Calendar'!$T$55&lt;=VAL_DATE)+(COUNTIF('Dvd Calendar'!$E$62:$AR$62,'Dvd Calendar'!$T$55)=0))&gt;0)=0,"",'Dvd Calendar'!$T$55*1000000000+ISNUMBER('Dvd Calendar'!$T$58)*100000000+('Dvd Calendar'!$T$60=SPECIAL_LBL)*10000000+(N('Dvd Calendar'!$T$54)&gt;0)*(N('Dvd Calendar'!$T$54)&lt;=VAL_SERIAL)*1000000+5*1000+16))</f>
        <v/>
      </c>
      <c r="EU16" s="121">
        <f>IF(N('Dvd Calendar'!$U$55)=0,"",IF(('Dvd Calendar'!$U$55&gt;=GRID_FROM)*('Dvd Calendar'!$U$55&lt;=GRID_TO)*((('Dvd Calendar'!$U$55&lt;=VAL_DATE)+(COUNTIF('Dvd Calendar'!$E$62:$AR$62,'Dvd Calendar'!$U$55)=0))&gt;0)=0,"",'Dvd Calendar'!$U$55*1000000000+ISNUMBER('Dvd Calendar'!$U$58)*100000000+('Dvd Calendar'!$U$60=SPECIAL_LBL)*10000000+(N('Dvd Calendar'!$U$54)&gt;0)*(N('Dvd Calendar'!$U$54)&lt;=VAL_SERIAL)*1000000+5*1000+17))</f>
        <v/>
      </c>
      <c r="EV16" s="121">
        <f>IF(N('Dvd Calendar'!$V$55)=0,"",IF(('Dvd Calendar'!$V$55&gt;=GRID_FROM)*('Dvd Calendar'!$V$55&lt;=GRID_TO)*((('Dvd Calendar'!$V$55&lt;=VAL_DATE)+(COUNTIF('Dvd Calendar'!$E$62:$AR$62,'Dvd Calendar'!$V$55)=0))&gt;0)=0,"",'Dvd Calendar'!$V$55*1000000000+ISNUMBER('Dvd Calendar'!$V$58)*100000000+('Dvd Calendar'!$V$60=SPECIAL_LBL)*10000000+(N('Dvd Calendar'!$V$54)&gt;0)*(N('Dvd Calendar'!$V$54)&lt;=VAL_SERIAL)*1000000+5*1000+18))</f>
        <v/>
      </c>
      <c r="EW16" s="121">
        <f>IF(N('Dvd Calendar'!$W$55)=0,"",IF(('Dvd Calendar'!$W$55&gt;=GRID_FROM)*('Dvd Calendar'!$W$55&lt;=GRID_TO)*((('Dvd Calendar'!$W$55&lt;=VAL_DATE)+(COUNTIF('Dvd Calendar'!$E$62:$AR$62,'Dvd Calendar'!$W$55)=0))&gt;0)=0,"",'Dvd Calendar'!$W$55*1000000000+ISNUMBER('Dvd Calendar'!$W$58)*100000000+('Dvd Calendar'!$W$60=SPECIAL_LBL)*10000000+(N('Dvd Calendar'!$W$54)&gt;0)*(N('Dvd Calendar'!$W$54)&lt;=VAL_SERIAL)*1000000+5*1000+19))</f>
        <v/>
      </c>
      <c r="EX16" s="121">
        <f>IF(N('Dvd Calendar'!$X$55)=0,"",IF(('Dvd Calendar'!$X$55&gt;=GRID_FROM)*('Dvd Calendar'!$X$55&lt;=GRID_TO)*((('Dvd Calendar'!$X$55&lt;=VAL_DATE)+(COUNTIF('Dvd Calendar'!$E$62:$AR$62,'Dvd Calendar'!$X$55)=0))&gt;0)=0,"",'Dvd Calendar'!$X$55*1000000000+ISNUMBER('Dvd Calendar'!$X$58)*100000000+('Dvd Calendar'!$X$60=SPECIAL_LBL)*10000000+(N('Dvd Calendar'!$X$54)&gt;0)*(N('Dvd Calendar'!$X$54)&lt;=VAL_SERIAL)*1000000+5*1000+20))</f>
        <v/>
      </c>
      <c r="EY16" s="121">
        <f>IF(N('Dvd Calendar'!$Y$55)=0,"",IF(('Dvd Calendar'!$Y$55&gt;=GRID_FROM)*('Dvd Calendar'!$Y$55&lt;=GRID_TO)*((('Dvd Calendar'!$Y$55&lt;=VAL_DATE)+(COUNTIF('Dvd Calendar'!$E$62:$AR$62,'Dvd Calendar'!$Y$55)=0))&gt;0)=0,"",'Dvd Calendar'!$Y$55*1000000000+ISNUMBER('Dvd Calendar'!$Y$58)*100000000+('Dvd Calendar'!$Y$60=SPECIAL_LBL)*10000000+(N('Dvd Calendar'!$Y$54)&gt;0)*(N('Dvd Calendar'!$Y$54)&lt;=VAL_SERIAL)*1000000+5*1000+21))</f>
        <v/>
      </c>
      <c r="EZ16" s="121">
        <f>IF(N('Dvd Calendar'!$Z$55)=0,"",IF(('Dvd Calendar'!$Z$55&gt;=GRID_FROM)*('Dvd Calendar'!$Z$55&lt;=GRID_TO)*((('Dvd Calendar'!$Z$55&lt;=VAL_DATE)+(COUNTIF('Dvd Calendar'!$E$62:$AR$62,'Dvd Calendar'!$Z$55)=0))&gt;0)=0,"",'Dvd Calendar'!$Z$55*1000000000+ISNUMBER('Dvd Calendar'!$Z$58)*100000000+('Dvd Calendar'!$Z$60=SPECIAL_LBL)*10000000+(N('Dvd Calendar'!$Z$54)&gt;0)*(N('Dvd Calendar'!$Z$54)&lt;=VAL_SERIAL)*1000000+5*1000+22))</f>
        <v/>
      </c>
      <c r="FA16" s="121">
        <f>IF(N('Dvd Calendar'!$AA$55)=0,"",IF(('Dvd Calendar'!$AA$55&gt;=GRID_FROM)*('Dvd Calendar'!$AA$55&lt;=GRID_TO)*((('Dvd Calendar'!$AA$55&lt;=VAL_DATE)+(COUNTIF('Dvd Calendar'!$E$62:$AR$62,'Dvd Calendar'!$AA$55)=0))&gt;0)=0,"",'Dvd Calendar'!$AA$55*1000000000+ISNUMBER('Dvd Calendar'!$AA$58)*100000000+('Dvd Calendar'!$AA$60=SPECIAL_LBL)*10000000+(N('Dvd Calendar'!$AA$54)&gt;0)*(N('Dvd Calendar'!$AA$54)&lt;=VAL_SERIAL)*1000000+5*1000+23))</f>
        <v/>
      </c>
      <c r="FB16" s="121">
        <f>IF(N('Dvd Calendar'!$AB$55)=0,"",IF(('Dvd Calendar'!$AB$55&gt;=GRID_FROM)*('Dvd Calendar'!$AB$55&lt;=GRID_TO)*((('Dvd Calendar'!$AB$55&lt;=VAL_DATE)+(COUNTIF('Dvd Calendar'!$E$62:$AR$62,'Dvd Calendar'!$AB$55)=0))&gt;0)=0,"",'Dvd Calendar'!$AB$55*1000000000+ISNUMBER('Dvd Calendar'!$AB$58)*100000000+('Dvd Calendar'!$AB$60=SPECIAL_LBL)*10000000+(N('Dvd Calendar'!$AB$54)&gt;0)*(N('Dvd Calendar'!$AB$54)&lt;=VAL_SERIAL)*1000000+5*1000+24))</f>
        <v/>
      </c>
      <c r="FC16" s="121">
        <f>IF(N('Dvd Calendar'!$AC$55)=0,"",IF(('Dvd Calendar'!$AC$55&gt;=GRID_FROM)*('Dvd Calendar'!$AC$55&lt;=GRID_TO)*((('Dvd Calendar'!$AC$55&lt;=VAL_DATE)+(COUNTIF('Dvd Calendar'!$E$62:$AR$62,'Dvd Calendar'!$AC$55)=0))&gt;0)=0,"",'Dvd Calendar'!$AC$55*1000000000+ISNUMBER('Dvd Calendar'!$AC$58)*100000000+('Dvd Calendar'!$AC$60=SPECIAL_LBL)*10000000+(N('Dvd Calendar'!$AC$54)&gt;0)*(N('Dvd Calendar'!$AC$54)&lt;=VAL_SERIAL)*1000000+5*1000+25))</f>
        <v/>
      </c>
      <c r="FD16" s="121">
        <f>IF(N('Dvd Calendar'!$AD$55)=0,"",IF(('Dvd Calendar'!$AD$55&gt;=GRID_FROM)*('Dvd Calendar'!$AD$55&lt;=GRID_TO)*((('Dvd Calendar'!$AD$55&lt;=VAL_DATE)+(COUNTIF('Dvd Calendar'!$E$62:$AR$62,'Dvd Calendar'!$AD$55)=0))&gt;0)=0,"",'Dvd Calendar'!$AD$55*1000000000+ISNUMBER('Dvd Calendar'!$AD$58)*100000000+('Dvd Calendar'!$AD$60=SPECIAL_LBL)*10000000+(N('Dvd Calendar'!$AD$54)&gt;0)*(N('Dvd Calendar'!$AD$54)&lt;=VAL_SERIAL)*1000000+5*1000+26))</f>
        <v/>
      </c>
      <c r="FE16" s="121">
        <f>IF(N('Dvd Calendar'!$AE$55)=0,"",IF(('Dvd Calendar'!$AE$55&gt;=GRID_FROM)*('Dvd Calendar'!$AE$55&lt;=GRID_TO)*((('Dvd Calendar'!$AE$55&lt;=VAL_DATE)+(COUNTIF('Dvd Calendar'!$E$62:$AR$62,'Dvd Calendar'!$AE$55)=0))&gt;0)=0,"",'Dvd Calendar'!$AE$55*1000000000+ISNUMBER('Dvd Calendar'!$AE$58)*100000000+('Dvd Calendar'!$AE$60=SPECIAL_LBL)*10000000+(N('Dvd Calendar'!$AE$54)&gt;0)*(N('Dvd Calendar'!$AE$54)&lt;=VAL_SERIAL)*1000000+5*1000+27))</f>
        <v/>
      </c>
      <c r="FF16" s="121">
        <f>IF(N('Dvd Calendar'!$AF$55)=0,"",IF(('Dvd Calendar'!$AF$55&gt;=GRID_FROM)*('Dvd Calendar'!$AF$55&lt;=GRID_TO)*((('Dvd Calendar'!$AF$55&lt;=VAL_DATE)+(COUNTIF('Dvd Calendar'!$E$62:$AR$62,'Dvd Calendar'!$AF$55)=0))&gt;0)=0,"",'Dvd Calendar'!$AF$55*1000000000+ISNUMBER('Dvd Calendar'!$AF$58)*100000000+('Dvd Calendar'!$AF$60=SPECIAL_LBL)*10000000+(N('Dvd Calendar'!$AF$54)&gt;0)*(N('Dvd Calendar'!$AF$54)&lt;=VAL_SERIAL)*1000000+5*1000+28))</f>
        <v/>
      </c>
      <c r="FG16" s="121">
        <f>IF(N('Dvd Calendar'!$AG$55)=0,"",IF(('Dvd Calendar'!$AG$55&gt;=GRID_FROM)*('Dvd Calendar'!$AG$55&lt;=GRID_TO)*((('Dvd Calendar'!$AG$55&lt;=VAL_DATE)+(COUNTIF('Dvd Calendar'!$E$62:$AR$62,'Dvd Calendar'!$AG$55)=0))&gt;0)=0,"",'Dvd Calendar'!$AG$55*1000000000+ISNUMBER('Dvd Calendar'!$AG$58)*100000000+('Dvd Calendar'!$AG$60=SPECIAL_LBL)*10000000+(N('Dvd Calendar'!$AG$54)&gt;0)*(N('Dvd Calendar'!$AG$54)&lt;=VAL_SERIAL)*1000000+5*1000+29))</f>
        <v/>
      </c>
      <c r="FH16" s="121">
        <f>IF(N('Dvd Calendar'!$AH$55)=0,"",IF(('Dvd Calendar'!$AH$55&gt;=GRID_FROM)*('Dvd Calendar'!$AH$55&lt;=GRID_TO)*((('Dvd Calendar'!$AH$55&lt;=VAL_DATE)+(COUNTIF('Dvd Calendar'!$E$62:$AR$62,'Dvd Calendar'!$AH$55)=0))&gt;0)=0,"",'Dvd Calendar'!$AH$55*1000000000+ISNUMBER('Dvd Calendar'!$AH$58)*100000000+('Dvd Calendar'!$AH$60=SPECIAL_LBL)*10000000+(N('Dvd Calendar'!$AH$54)&gt;0)*(N('Dvd Calendar'!$AH$54)&lt;=VAL_SERIAL)*1000000+5*1000+30))</f>
        <v/>
      </c>
      <c r="FI16" s="121">
        <f>IF(N('Dvd Calendar'!$AI$55)=0,"",IF(('Dvd Calendar'!$AI$55&gt;=GRID_FROM)*('Dvd Calendar'!$AI$55&lt;=GRID_TO)*((('Dvd Calendar'!$AI$55&lt;=VAL_DATE)+(COUNTIF('Dvd Calendar'!$E$62:$AR$62,'Dvd Calendar'!$AI$55)=0))&gt;0)=0,"",'Dvd Calendar'!$AI$55*1000000000+ISNUMBER('Dvd Calendar'!$AI$58)*100000000+('Dvd Calendar'!$AI$60=SPECIAL_LBL)*10000000+(N('Dvd Calendar'!$AI$54)&gt;0)*(N('Dvd Calendar'!$AI$54)&lt;=VAL_SERIAL)*1000000+5*1000+31))</f>
        <v/>
      </c>
      <c r="FJ16" s="121">
        <f>IF(N('Dvd Calendar'!$AJ$55)=0,"",IF(('Dvd Calendar'!$AJ$55&gt;=GRID_FROM)*('Dvd Calendar'!$AJ$55&lt;=GRID_TO)*((('Dvd Calendar'!$AJ$55&lt;=VAL_DATE)+(COUNTIF('Dvd Calendar'!$E$62:$AR$62,'Dvd Calendar'!$AJ$55)=0))&gt;0)=0,"",'Dvd Calendar'!$AJ$55*1000000000+ISNUMBER('Dvd Calendar'!$AJ$58)*100000000+('Dvd Calendar'!$AJ$60=SPECIAL_LBL)*10000000+(N('Dvd Calendar'!$AJ$54)&gt;0)*(N('Dvd Calendar'!$AJ$54)&lt;=VAL_SERIAL)*1000000+5*1000+32))</f>
        <v/>
      </c>
      <c r="FK16" s="121">
        <f>IF(N('Dvd Calendar'!$AK$55)=0,"",IF(('Dvd Calendar'!$AK$55&gt;=GRID_FROM)*('Dvd Calendar'!$AK$55&lt;=GRID_TO)*((('Dvd Calendar'!$AK$55&lt;=VAL_DATE)+(COUNTIF('Dvd Calendar'!$E$62:$AR$62,'Dvd Calendar'!$AK$55)=0))&gt;0)=0,"",'Dvd Calendar'!$AK$55*1000000000+ISNUMBER('Dvd Calendar'!$AK$58)*100000000+('Dvd Calendar'!$AK$60=SPECIAL_LBL)*10000000+(N('Dvd Calendar'!$AK$54)&gt;0)*(N('Dvd Calendar'!$AK$54)&lt;=VAL_SERIAL)*1000000+5*1000+33))</f>
        <v/>
      </c>
      <c r="FL16" s="121">
        <f>IF(N('Dvd Calendar'!$AL$55)=0,"",IF(('Dvd Calendar'!$AL$55&gt;=GRID_FROM)*('Dvd Calendar'!$AL$55&lt;=GRID_TO)*((('Dvd Calendar'!$AL$55&lt;=VAL_DATE)+(COUNTIF('Dvd Calendar'!$E$62:$AR$62,'Dvd Calendar'!$AL$55)=0))&gt;0)=0,"",'Dvd Calendar'!$AL$55*1000000000+ISNUMBER('Dvd Calendar'!$AL$58)*100000000+('Dvd Calendar'!$AL$60=SPECIAL_LBL)*10000000+(N('Dvd Calendar'!$AL$54)&gt;0)*(N('Dvd Calendar'!$AL$54)&lt;=VAL_SERIAL)*1000000+5*1000+34))</f>
        <v/>
      </c>
      <c r="FM16" s="121">
        <f>IF(N('Dvd Calendar'!$AM$55)=0,"",IF(('Dvd Calendar'!$AM$55&gt;=GRID_FROM)*('Dvd Calendar'!$AM$55&lt;=GRID_TO)*((('Dvd Calendar'!$AM$55&lt;=VAL_DATE)+(COUNTIF('Dvd Calendar'!$E$62:$AR$62,'Dvd Calendar'!$AM$55)=0))&gt;0)=0,"",'Dvd Calendar'!$AM$55*1000000000+ISNUMBER('Dvd Calendar'!$AM$58)*100000000+('Dvd Calendar'!$AM$60=SPECIAL_LBL)*10000000+(N('Dvd Calendar'!$AM$54)&gt;0)*(N('Dvd Calendar'!$AM$54)&lt;=VAL_SERIAL)*1000000+5*1000+35))</f>
        <v/>
      </c>
      <c r="FN16" s="121">
        <f>IF(N('Dvd Calendar'!$AN$55)=0,"",IF(('Dvd Calendar'!$AN$55&gt;=GRID_FROM)*('Dvd Calendar'!$AN$55&lt;=GRID_TO)*((('Dvd Calendar'!$AN$55&lt;=VAL_DATE)+(COUNTIF('Dvd Calendar'!$E$62:$AR$62,'Dvd Calendar'!$AN$55)=0))&gt;0)=0,"",'Dvd Calendar'!$AN$55*1000000000+ISNUMBER('Dvd Calendar'!$AN$58)*100000000+('Dvd Calendar'!$AN$60=SPECIAL_LBL)*10000000+(N('Dvd Calendar'!$AN$54)&gt;0)*(N('Dvd Calendar'!$AN$54)&lt;=VAL_SERIAL)*1000000+5*1000+36))</f>
        <v/>
      </c>
      <c r="FO16" s="121">
        <f>IF(N('Dvd Calendar'!$AO$55)=0,"",IF(('Dvd Calendar'!$AO$55&gt;=GRID_FROM)*('Dvd Calendar'!$AO$55&lt;=GRID_TO)*((('Dvd Calendar'!$AO$55&lt;=VAL_DATE)+(COUNTIF('Dvd Calendar'!$E$62:$AR$62,'Dvd Calendar'!$AO$55)=0))&gt;0)=0,"",'Dvd Calendar'!$AO$55*1000000000+ISNUMBER('Dvd Calendar'!$AO$58)*100000000+('Dvd Calendar'!$AO$60=SPECIAL_LBL)*10000000+(N('Dvd Calendar'!$AO$54)&gt;0)*(N('Dvd Calendar'!$AO$54)&lt;=VAL_SERIAL)*1000000+5*1000+37))</f>
        <v/>
      </c>
      <c r="FP16" s="121">
        <f>IF(N('Dvd Calendar'!$AP$55)=0,"",IF(('Dvd Calendar'!$AP$55&gt;=GRID_FROM)*('Dvd Calendar'!$AP$55&lt;=GRID_TO)*((('Dvd Calendar'!$AP$55&lt;=VAL_DATE)+(COUNTIF('Dvd Calendar'!$E$62:$AR$62,'Dvd Calendar'!$AP$55)=0))&gt;0)=0,"",'Dvd Calendar'!$AP$55*1000000000+ISNUMBER('Dvd Calendar'!$AP$58)*100000000+('Dvd Calendar'!$AP$60=SPECIAL_LBL)*10000000+(N('Dvd Calendar'!$AP$54)&gt;0)*(N('Dvd Calendar'!$AP$54)&lt;=VAL_SERIAL)*1000000+5*1000+38))</f>
        <v/>
      </c>
      <c r="FQ16" s="121">
        <f>IF(N('Dvd Calendar'!$AQ$55)=0,"",IF(('Dvd Calendar'!$AQ$55&gt;=GRID_FROM)*('Dvd Calendar'!$AQ$55&lt;=GRID_TO)*((('Dvd Calendar'!$AQ$55&lt;=VAL_DATE)+(COUNTIF('Dvd Calendar'!$E$62:$AR$62,'Dvd Calendar'!$AQ$55)=0))&gt;0)=0,"",'Dvd Calendar'!$AQ$55*1000000000+ISNUMBER('Dvd Calendar'!$AQ$58)*100000000+('Dvd Calendar'!$AQ$60=SPECIAL_LBL)*10000000+(N('Dvd Calendar'!$AQ$54)&gt;0)*(N('Dvd Calendar'!$AQ$54)&lt;=VAL_SERIAL)*1000000+5*1000+39))</f>
        <v/>
      </c>
      <c r="FR16" s="121">
        <f>IF(N('Dvd Calendar'!$AR$55)=0,"",IF(('Dvd Calendar'!$AR$55&gt;=GRID_FROM)*('Dvd Calendar'!$AR$55&lt;=GRID_TO)*((('Dvd Calendar'!$AR$55&lt;=VAL_DATE)+(COUNTIF('Dvd Calendar'!$E$62:$AR$62,'Dvd Calendar'!$AR$55)=0))&gt;0)=0,"",'Dvd Calendar'!$AR$55*1000000000+ISNUMBER('Dvd Calendar'!$AR$58)*100000000+('Dvd Calendar'!$AR$60=SPECIAL_LBL)*10000000+(N('Dvd Calendar'!$AR$54)&gt;0)*(N('Dvd Calendar'!$AR$54)&lt;=VAL_SERIAL)*1000000+5*1000+40))</f>
        <v/>
      </c>
      <c r="FS16" s="121">
        <f>IF(N('Dvd Calendar'!$E$62)=0,"",IF(('Dvd Calendar'!$E$62&gt;=GRID_FROM)*('Dvd Calendar'!$E$62&lt;=GRID_TO)*('Dvd Calendar'!$E$62&gt;VAL_DATE)=0,"",'Dvd Calendar'!$E$62*1000000000+ISNUMBER('Dvd Calendar'!$E$63)*100000000+0*10000000+(N('Dvd Calendar'!$E$61)&gt;0)*(N('Dvd Calendar'!$E$61)&lt;=VAL_SERIAL)*1000000+5*1000+41))</f>
        <v/>
      </c>
      <c r="FT16" s="121">
        <f>IF(N('Dvd Calendar'!$F$62)=0,"",IF(('Dvd Calendar'!$F$62&gt;=GRID_FROM)*('Dvd Calendar'!$F$62&lt;=GRID_TO)*('Dvd Calendar'!$F$62&gt;VAL_DATE)=0,"",'Dvd Calendar'!$F$62*1000000000+ISNUMBER('Dvd Calendar'!$F$63)*100000000+0*10000000+(N('Dvd Calendar'!$F$61)&gt;0)*(N('Dvd Calendar'!$F$61)&lt;=VAL_SERIAL)*1000000+5*1000+42))</f>
        <v/>
      </c>
      <c r="FU16" s="121">
        <f>IF(N('Dvd Calendar'!$G$62)=0,"",IF(('Dvd Calendar'!$G$62&gt;=GRID_FROM)*('Dvd Calendar'!$G$62&lt;=GRID_TO)*('Dvd Calendar'!$G$62&gt;VAL_DATE)=0,"",'Dvd Calendar'!$G$62*1000000000+ISNUMBER('Dvd Calendar'!$G$63)*100000000+0*10000000+(N('Dvd Calendar'!$G$61)&gt;0)*(N('Dvd Calendar'!$G$61)&lt;=VAL_SERIAL)*1000000+5*1000+43))</f>
        <v/>
      </c>
      <c r="FV16" s="121">
        <f>IF(N('Dvd Calendar'!$H$62)=0,"",IF(('Dvd Calendar'!$H$62&gt;=GRID_FROM)*('Dvd Calendar'!$H$62&lt;=GRID_TO)*('Dvd Calendar'!$H$62&gt;VAL_DATE)=0,"",'Dvd Calendar'!$H$62*1000000000+ISNUMBER('Dvd Calendar'!$H$63)*100000000+0*10000000+(N('Dvd Calendar'!$H$61)&gt;0)*(N('Dvd Calendar'!$H$61)&lt;=VAL_SERIAL)*1000000+5*1000+44))</f>
        <v/>
      </c>
      <c r="FW16" s="121">
        <f>IF(N('Dvd Calendar'!$I$62)=0,"",IF(('Dvd Calendar'!$I$62&gt;=GRID_FROM)*('Dvd Calendar'!$I$62&lt;=GRID_TO)*('Dvd Calendar'!$I$62&gt;VAL_DATE)=0,"",'Dvd Calendar'!$I$62*1000000000+ISNUMBER('Dvd Calendar'!$I$63)*100000000+0*10000000+(N('Dvd Calendar'!$I$61)&gt;0)*(N('Dvd Calendar'!$I$61)&lt;=VAL_SERIAL)*1000000+5*1000+45))</f>
        <v/>
      </c>
      <c r="FX16" s="121">
        <f>IF(N('Dvd Calendar'!$J$62)=0,"",IF(('Dvd Calendar'!$J$62&gt;=GRID_FROM)*('Dvd Calendar'!$J$62&lt;=GRID_TO)*('Dvd Calendar'!$J$62&gt;VAL_DATE)=0,"",'Dvd Calendar'!$J$62*1000000000+ISNUMBER('Dvd Calendar'!$J$63)*100000000+0*10000000+(N('Dvd Calendar'!$J$61)&gt;0)*(N('Dvd Calendar'!$J$61)&lt;=VAL_SERIAL)*1000000+5*1000+46))</f>
        <v/>
      </c>
      <c r="FY16" s="121">
        <f>IF(N('Dvd Calendar'!$K$62)=0,"",IF(('Dvd Calendar'!$K$62&gt;=GRID_FROM)*('Dvd Calendar'!$K$62&lt;=GRID_TO)*('Dvd Calendar'!$K$62&gt;VAL_DATE)=0,"",'Dvd Calendar'!$K$62*1000000000+ISNUMBER('Dvd Calendar'!$K$63)*100000000+0*10000000+(N('Dvd Calendar'!$K$61)&gt;0)*(N('Dvd Calendar'!$K$61)&lt;=VAL_SERIAL)*1000000+5*1000+47))</f>
        <v/>
      </c>
      <c r="FZ16" s="121">
        <f>IF(N('Dvd Calendar'!$L$62)=0,"",IF(('Dvd Calendar'!$L$62&gt;=GRID_FROM)*('Dvd Calendar'!$L$62&lt;=GRID_TO)*('Dvd Calendar'!$L$62&gt;VAL_DATE)=0,"",'Dvd Calendar'!$L$62*1000000000+ISNUMBER('Dvd Calendar'!$L$63)*100000000+0*10000000+(N('Dvd Calendar'!$L$61)&gt;0)*(N('Dvd Calendar'!$L$61)&lt;=VAL_SERIAL)*1000000+5*1000+48))</f>
        <v/>
      </c>
      <c r="GA16" s="121">
        <f>IF(N('Dvd Calendar'!$M$62)=0,"",IF(('Dvd Calendar'!$M$62&gt;=GRID_FROM)*('Dvd Calendar'!$M$62&lt;=GRID_TO)*('Dvd Calendar'!$M$62&gt;VAL_DATE)=0,"",'Dvd Calendar'!$M$62*1000000000+ISNUMBER('Dvd Calendar'!$M$63)*100000000+0*10000000+(N('Dvd Calendar'!$M$61)&gt;0)*(N('Dvd Calendar'!$M$61)&lt;=VAL_SERIAL)*1000000+5*1000+49))</f>
        <v/>
      </c>
      <c r="GB16" s="121">
        <f>IF(N('Dvd Calendar'!$N$62)=0,"",IF(('Dvd Calendar'!$N$62&gt;=GRID_FROM)*('Dvd Calendar'!$N$62&lt;=GRID_TO)*('Dvd Calendar'!$N$62&gt;VAL_DATE)=0,"",'Dvd Calendar'!$N$62*1000000000+ISNUMBER('Dvd Calendar'!$N$63)*100000000+0*10000000+(N('Dvd Calendar'!$N$61)&gt;0)*(N('Dvd Calendar'!$N$61)&lt;=VAL_SERIAL)*1000000+5*1000+50))</f>
        <v/>
      </c>
      <c r="GC16" s="121">
        <f>IF(N('Dvd Calendar'!$O$62)=0,"",IF(('Dvd Calendar'!$O$62&gt;=GRID_FROM)*('Dvd Calendar'!$O$62&lt;=GRID_TO)*('Dvd Calendar'!$O$62&gt;VAL_DATE)=0,"",'Dvd Calendar'!$O$62*1000000000+ISNUMBER('Dvd Calendar'!$O$63)*100000000+0*10000000+(N('Dvd Calendar'!$O$61)&gt;0)*(N('Dvd Calendar'!$O$61)&lt;=VAL_SERIAL)*1000000+5*1000+51))</f>
        <v/>
      </c>
      <c r="GD16" s="121">
        <f>IF(N('Dvd Calendar'!$P$62)=0,"",IF(('Dvd Calendar'!$P$62&gt;=GRID_FROM)*('Dvd Calendar'!$P$62&lt;=GRID_TO)*('Dvd Calendar'!$P$62&gt;VAL_DATE)=0,"",'Dvd Calendar'!$P$62*1000000000+ISNUMBER('Dvd Calendar'!$P$63)*100000000+0*10000000+(N('Dvd Calendar'!$P$61)&gt;0)*(N('Dvd Calendar'!$P$61)&lt;=VAL_SERIAL)*1000000+5*1000+52))</f>
        <v/>
      </c>
      <c r="GE16" s="121">
        <f>IF(N('Dvd Calendar'!$Q$62)=0,"",IF(('Dvd Calendar'!$Q$62&gt;=GRID_FROM)*('Dvd Calendar'!$Q$62&lt;=GRID_TO)*('Dvd Calendar'!$Q$62&gt;VAL_DATE)=0,"",'Dvd Calendar'!$Q$62*1000000000+ISNUMBER('Dvd Calendar'!$Q$63)*100000000+0*10000000+(N('Dvd Calendar'!$Q$61)&gt;0)*(N('Dvd Calendar'!$Q$61)&lt;=VAL_SERIAL)*1000000+5*1000+53))</f>
        <v/>
      </c>
      <c r="GF16" s="121">
        <f>IF(N('Dvd Calendar'!$R$62)=0,"",IF(('Dvd Calendar'!$R$62&gt;=GRID_FROM)*('Dvd Calendar'!$R$62&lt;=GRID_TO)*('Dvd Calendar'!$R$62&gt;VAL_DATE)=0,"",'Dvd Calendar'!$R$62*1000000000+ISNUMBER('Dvd Calendar'!$R$63)*100000000+0*10000000+(N('Dvd Calendar'!$R$61)&gt;0)*(N('Dvd Calendar'!$R$61)&lt;=VAL_SERIAL)*1000000+5*1000+54))</f>
        <v/>
      </c>
      <c r="GG16" s="121">
        <f>IF(N('Dvd Calendar'!$S$62)=0,"",IF(('Dvd Calendar'!$S$62&gt;=GRID_FROM)*('Dvd Calendar'!$S$62&lt;=GRID_TO)*('Dvd Calendar'!$S$62&gt;VAL_DATE)=0,"",'Dvd Calendar'!$S$62*1000000000+ISNUMBER('Dvd Calendar'!$S$63)*100000000+0*10000000+(N('Dvd Calendar'!$S$61)&gt;0)*(N('Dvd Calendar'!$S$61)&lt;=VAL_SERIAL)*1000000+5*1000+55))</f>
        <v/>
      </c>
      <c r="GH16" s="121">
        <f>IF(N('Dvd Calendar'!$T$62)=0,"",IF(('Dvd Calendar'!$T$62&gt;=GRID_FROM)*('Dvd Calendar'!$T$62&lt;=GRID_TO)*('Dvd Calendar'!$T$62&gt;VAL_DATE)=0,"",'Dvd Calendar'!$T$62*1000000000+ISNUMBER('Dvd Calendar'!$T$63)*100000000+0*10000000+(N('Dvd Calendar'!$T$61)&gt;0)*(N('Dvd Calendar'!$T$61)&lt;=VAL_SERIAL)*1000000+5*1000+56))</f>
        <v/>
      </c>
      <c r="GI16" s="121">
        <f>IF(N('Dvd Calendar'!$U$62)=0,"",IF(('Dvd Calendar'!$U$62&gt;=GRID_FROM)*('Dvd Calendar'!$U$62&lt;=GRID_TO)*('Dvd Calendar'!$U$62&gt;VAL_DATE)=0,"",'Dvd Calendar'!$U$62*1000000000+ISNUMBER('Dvd Calendar'!$U$63)*100000000+0*10000000+(N('Dvd Calendar'!$U$61)&gt;0)*(N('Dvd Calendar'!$U$61)&lt;=VAL_SERIAL)*1000000+5*1000+57))</f>
        <v/>
      </c>
      <c r="GJ16" s="121">
        <f>IF(N('Dvd Calendar'!$V$62)=0,"",IF(('Dvd Calendar'!$V$62&gt;=GRID_FROM)*('Dvd Calendar'!$V$62&lt;=GRID_TO)*('Dvd Calendar'!$V$62&gt;VAL_DATE)=0,"",'Dvd Calendar'!$V$62*1000000000+ISNUMBER('Dvd Calendar'!$V$63)*100000000+0*10000000+(N('Dvd Calendar'!$V$61)&gt;0)*(N('Dvd Calendar'!$V$61)&lt;=VAL_SERIAL)*1000000+5*1000+58))</f>
        <v/>
      </c>
      <c r="GK16" s="121">
        <f>IF(N('Dvd Calendar'!$W$62)=0,"",IF(('Dvd Calendar'!$W$62&gt;=GRID_FROM)*('Dvd Calendar'!$W$62&lt;=GRID_TO)*('Dvd Calendar'!$W$62&gt;VAL_DATE)=0,"",'Dvd Calendar'!$W$62*1000000000+ISNUMBER('Dvd Calendar'!$W$63)*100000000+0*10000000+(N('Dvd Calendar'!$W$61)&gt;0)*(N('Dvd Calendar'!$W$61)&lt;=VAL_SERIAL)*1000000+5*1000+59))</f>
        <v/>
      </c>
      <c r="GL16" s="121">
        <f>IF(N('Dvd Calendar'!$X$62)=0,"",IF(('Dvd Calendar'!$X$62&gt;=GRID_FROM)*('Dvd Calendar'!$X$62&lt;=GRID_TO)*('Dvd Calendar'!$X$62&gt;VAL_DATE)=0,"",'Dvd Calendar'!$X$62*1000000000+ISNUMBER('Dvd Calendar'!$X$63)*100000000+0*10000000+(N('Dvd Calendar'!$X$61)&gt;0)*(N('Dvd Calendar'!$X$61)&lt;=VAL_SERIAL)*1000000+5*1000+60))</f>
        <v/>
      </c>
      <c r="GM16" s="121">
        <f>IF(N('Dvd Calendar'!$Y$62)=0,"",IF(('Dvd Calendar'!$Y$62&gt;=GRID_FROM)*('Dvd Calendar'!$Y$62&lt;=GRID_TO)*('Dvd Calendar'!$Y$62&gt;VAL_DATE)=0,"",'Dvd Calendar'!$Y$62*1000000000+ISNUMBER('Dvd Calendar'!$Y$63)*100000000+0*10000000+(N('Dvd Calendar'!$Y$61)&gt;0)*(N('Dvd Calendar'!$Y$61)&lt;=VAL_SERIAL)*1000000+5*1000+61))</f>
        <v/>
      </c>
      <c r="GN16" s="121">
        <f>IF(N('Dvd Calendar'!$Z$62)=0,"",IF(('Dvd Calendar'!$Z$62&gt;=GRID_FROM)*('Dvd Calendar'!$Z$62&lt;=GRID_TO)*('Dvd Calendar'!$Z$62&gt;VAL_DATE)=0,"",'Dvd Calendar'!$Z$62*1000000000+ISNUMBER('Dvd Calendar'!$Z$63)*100000000+0*10000000+(N('Dvd Calendar'!$Z$61)&gt;0)*(N('Dvd Calendar'!$Z$61)&lt;=VAL_SERIAL)*1000000+5*1000+62))</f>
        <v/>
      </c>
      <c r="GO16" s="121">
        <f>IF(N('Dvd Calendar'!$AA$62)=0,"",IF(('Dvd Calendar'!$AA$62&gt;=GRID_FROM)*('Dvd Calendar'!$AA$62&lt;=GRID_TO)*('Dvd Calendar'!$AA$62&gt;VAL_DATE)=0,"",'Dvd Calendar'!$AA$62*1000000000+ISNUMBER('Dvd Calendar'!$AA$63)*100000000+0*10000000+(N('Dvd Calendar'!$AA$61)&gt;0)*(N('Dvd Calendar'!$AA$61)&lt;=VAL_SERIAL)*1000000+5*1000+63))</f>
        <v/>
      </c>
      <c r="GP16" s="121">
        <f>IF(N('Dvd Calendar'!$AB$62)=0,"",IF(('Dvd Calendar'!$AB$62&gt;=GRID_FROM)*('Dvd Calendar'!$AB$62&lt;=GRID_TO)*('Dvd Calendar'!$AB$62&gt;VAL_DATE)=0,"",'Dvd Calendar'!$AB$62*1000000000+ISNUMBER('Dvd Calendar'!$AB$63)*100000000+0*10000000+(N('Dvd Calendar'!$AB$61)&gt;0)*(N('Dvd Calendar'!$AB$61)&lt;=VAL_SERIAL)*1000000+5*1000+64))</f>
        <v/>
      </c>
      <c r="GQ16" s="121">
        <f>IF(N('Dvd Calendar'!$AC$62)=0,"",IF(('Dvd Calendar'!$AC$62&gt;=GRID_FROM)*('Dvd Calendar'!$AC$62&lt;=GRID_TO)*('Dvd Calendar'!$AC$62&gt;VAL_DATE)=0,"",'Dvd Calendar'!$AC$62*1000000000+ISNUMBER('Dvd Calendar'!$AC$63)*100000000+0*10000000+(N('Dvd Calendar'!$AC$61)&gt;0)*(N('Dvd Calendar'!$AC$61)&lt;=VAL_SERIAL)*1000000+5*1000+65))</f>
        <v/>
      </c>
    </row>
    <row r="17">
      <c r="B17" s="2">
        <f>IF(HSI!$C$12="","",HSI!$C$12)</f>
        <v/>
      </c>
      <c r="C17" s="161">
        <f>IF(EE17="","",IF(ISNUMBER('Dvd Calendar'!$E$69)=FALSE,"",IF((('Dvd Calendar'!$E$71=TYPE1)*(TYPE1&lt;&gt;"")+('Dvd Calendar'!$E$71=TYPE2)*(TYPE2&lt;&gt;"")+('Dvd Calendar'!$E$71=TYPE3)*(TYPE3&lt;&gt;"")+('Dvd Calendar'!$E$71=TYPE4)*(TYPE4&lt;&gt;"")+('Dvd Calendar'!$E$71=SPECIAL_LBL)*(INC_SPECIALS="Y"))=0,"",'Dvd Calendar'!$E$69)))</f>
        <v/>
      </c>
      <c r="D17" s="161">
        <f>IF(EF17="","",IF(ISNUMBER('Dvd Calendar'!$F$69)=FALSE,"",IF((('Dvd Calendar'!$F$71=TYPE1)*(TYPE1&lt;&gt;"")+('Dvd Calendar'!$F$71=TYPE2)*(TYPE2&lt;&gt;"")+('Dvd Calendar'!$F$71=TYPE3)*(TYPE3&lt;&gt;"")+('Dvd Calendar'!$F$71=TYPE4)*(TYPE4&lt;&gt;"")+('Dvd Calendar'!$F$71=SPECIAL_LBL)*(INC_SPECIALS="Y"))=0,"",'Dvd Calendar'!$F$69)))</f>
        <v/>
      </c>
      <c r="E17" s="161">
        <f>IF(EG17="","",IF(ISNUMBER('Dvd Calendar'!$G$69)=FALSE,"",IF((('Dvd Calendar'!$G$71=TYPE1)*(TYPE1&lt;&gt;"")+('Dvd Calendar'!$G$71=TYPE2)*(TYPE2&lt;&gt;"")+('Dvd Calendar'!$G$71=TYPE3)*(TYPE3&lt;&gt;"")+('Dvd Calendar'!$G$71=TYPE4)*(TYPE4&lt;&gt;"")+('Dvd Calendar'!$G$71=SPECIAL_LBL)*(INC_SPECIALS="Y"))=0,"",'Dvd Calendar'!$G$69)))</f>
        <v/>
      </c>
      <c r="F17" s="161">
        <f>IF(EH17="","",IF(ISNUMBER('Dvd Calendar'!$H$69)=FALSE,"",IF((('Dvd Calendar'!$H$71=TYPE1)*(TYPE1&lt;&gt;"")+('Dvd Calendar'!$H$71=TYPE2)*(TYPE2&lt;&gt;"")+('Dvd Calendar'!$H$71=TYPE3)*(TYPE3&lt;&gt;"")+('Dvd Calendar'!$H$71=TYPE4)*(TYPE4&lt;&gt;"")+('Dvd Calendar'!$H$71=SPECIAL_LBL)*(INC_SPECIALS="Y"))=0,"",'Dvd Calendar'!$H$69)))</f>
        <v/>
      </c>
      <c r="G17" s="161">
        <f>IF(EI17="","",IF(ISNUMBER('Dvd Calendar'!$I$69)=FALSE,"",IF((('Dvd Calendar'!$I$71=TYPE1)*(TYPE1&lt;&gt;"")+('Dvd Calendar'!$I$71=TYPE2)*(TYPE2&lt;&gt;"")+('Dvd Calendar'!$I$71=TYPE3)*(TYPE3&lt;&gt;"")+('Dvd Calendar'!$I$71=TYPE4)*(TYPE4&lt;&gt;"")+('Dvd Calendar'!$I$71=SPECIAL_LBL)*(INC_SPECIALS="Y"))=0,"",'Dvd Calendar'!$I$69)))</f>
        <v/>
      </c>
      <c r="H17" s="161">
        <f>IF(EJ17="","",IF(ISNUMBER('Dvd Calendar'!$J$69)=FALSE,"",IF((('Dvd Calendar'!$J$71=TYPE1)*(TYPE1&lt;&gt;"")+('Dvd Calendar'!$J$71=TYPE2)*(TYPE2&lt;&gt;"")+('Dvd Calendar'!$J$71=TYPE3)*(TYPE3&lt;&gt;"")+('Dvd Calendar'!$J$71=TYPE4)*(TYPE4&lt;&gt;"")+('Dvd Calendar'!$J$71=SPECIAL_LBL)*(INC_SPECIALS="Y"))=0,"",'Dvd Calendar'!$J$69)))</f>
        <v/>
      </c>
      <c r="I17" s="161">
        <f>IF(EK17="","",IF(ISNUMBER('Dvd Calendar'!$K$69)=FALSE,"",IF((('Dvd Calendar'!$K$71=TYPE1)*(TYPE1&lt;&gt;"")+('Dvd Calendar'!$K$71=TYPE2)*(TYPE2&lt;&gt;"")+('Dvd Calendar'!$K$71=TYPE3)*(TYPE3&lt;&gt;"")+('Dvd Calendar'!$K$71=TYPE4)*(TYPE4&lt;&gt;"")+('Dvd Calendar'!$K$71=SPECIAL_LBL)*(INC_SPECIALS="Y"))=0,"",'Dvd Calendar'!$K$69)))</f>
        <v/>
      </c>
      <c r="J17" s="161">
        <f>IF(EL17="","",IF(ISNUMBER('Dvd Calendar'!$L$69)=FALSE,"",IF((('Dvd Calendar'!$L$71=TYPE1)*(TYPE1&lt;&gt;"")+('Dvd Calendar'!$L$71=TYPE2)*(TYPE2&lt;&gt;"")+('Dvd Calendar'!$L$71=TYPE3)*(TYPE3&lt;&gt;"")+('Dvd Calendar'!$L$71=TYPE4)*(TYPE4&lt;&gt;"")+('Dvd Calendar'!$L$71=SPECIAL_LBL)*(INC_SPECIALS="Y"))=0,"",'Dvd Calendar'!$L$69)))</f>
        <v/>
      </c>
      <c r="K17" s="161">
        <f>IF(EM17="","",IF(ISNUMBER('Dvd Calendar'!$M$69)=FALSE,"",IF((('Dvd Calendar'!$M$71=TYPE1)*(TYPE1&lt;&gt;"")+('Dvd Calendar'!$M$71=TYPE2)*(TYPE2&lt;&gt;"")+('Dvd Calendar'!$M$71=TYPE3)*(TYPE3&lt;&gt;"")+('Dvd Calendar'!$M$71=TYPE4)*(TYPE4&lt;&gt;"")+('Dvd Calendar'!$M$71=SPECIAL_LBL)*(INC_SPECIALS="Y"))=0,"",'Dvd Calendar'!$M$69)))</f>
        <v/>
      </c>
      <c r="L17" s="161">
        <f>IF(EN17="","",IF(ISNUMBER('Dvd Calendar'!$N$69)=FALSE,"",IF((('Dvd Calendar'!$N$71=TYPE1)*(TYPE1&lt;&gt;"")+('Dvd Calendar'!$N$71=TYPE2)*(TYPE2&lt;&gt;"")+('Dvd Calendar'!$N$71=TYPE3)*(TYPE3&lt;&gt;"")+('Dvd Calendar'!$N$71=TYPE4)*(TYPE4&lt;&gt;"")+('Dvd Calendar'!$N$71=SPECIAL_LBL)*(INC_SPECIALS="Y"))=0,"",'Dvd Calendar'!$N$69)))</f>
        <v/>
      </c>
      <c r="M17" s="161">
        <f>IF(EO17="","",IF(ISNUMBER('Dvd Calendar'!$O$69)=FALSE,"",IF((('Dvd Calendar'!$O$71=TYPE1)*(TYPE1&lt;&gt;"")+('Dvd Calendar'!$O$71=TYPE2)*(TYPE2&lt;&gt;"")+('Dvd Calendar'!$O$71=TYPE3)*(TYPE3&lt;&gt;"")+('Dvd Calendar'!$O$71=TYPE4)*(TYPE4&lt;&gt;"")+('Dvd Calendar'!$O$71=SPECIAL_LBL)*(INC_SPECIALS="Y"))=0,"",'Dvd Calendar'!$O$69)))</f>
        <v/>
      </c>
      <c r="N17" s="161">
        <f>IF(EP17="","",IF(ISNUMBER('Dvd Calendar'!$P$69)=FALSE,"",IF((('Dvd Calendar'!$P$71=TYPE1)*(TYPE1&lt;&gt;"")+('Dvd Calendar'!$P$71=TYPE2)*(TYPE2&lt;&gt;"")+('Dvd Calendar'!$P$71=TYPE3)*(TYPE3&lt;&gt;"")+('Dvd Calendar'!$P$71=TYPE4)*(TYPE4&lt;&gt;"")+('Dvd Calendar'!$P$71=SPECIAL_LBL)*(INC_SPECIALS="Y"))=0,"",'Dvd Calendar'!$P$69)))</f>
        <v/>
      </c>
      <c r="O17" s="161">
        <f>IF(EQ17="","",IF(ISNUMBER('Dvd Calendar'!$Q$69)=FALSE,"",IF((('Dvd Calendar'!$Q$71=TYPE1)*(TYPE1&lt;&gt;"")+('Dvd Calendar'!$Q$71=TYPE2)*(TYPE2&lt;&gt;"")+('Dvd Calendar'!$Q$71=TYPE3)*(TYPE3&lt;&gt;"")+('Dvd Calendar'!$Q$71=TYPE4)*(TYPE4&lt;&gt;"")+('Dvd Calendar'!$Q$71=SPECIAL_LBL)*(INC_SPECIALS="Y"))=0,"",'Dvd Calendar'!$Q$69)))</f>
        <v/>
      </c>
      <c r="P17" s="161">
        <f>IF(ER17="","",IF(ISNUMBER('Dvd Calendar'!$R$69)=FALSE,"",IF((('Dvd Calendar'!$R$71=TYPE1)*(TYPE1&lt;&gt;"")+('Dvd Calendar'!$R$71=TYPE2)*(TYPE2&lt;&gt;"")+('Dvd Calendar'!$R$71=TYPE3)*(TYPE3&lt;&gt;"")+('Dvd Calendar'!$R$71=TYPE4)*(TYPE4&lt;&gt;"")+('Dvd Calendar'!$R$71=SPECIAL_LBL)*(INC_SPECIALS="Y"))=0,"",'Dvd Calendar'!$R$69)))</f>
        <v/>
      </c>
      <c r="Q17" s="161">
        <f>IF(ES17="","",IF(ISNUMBER('Dvd Calendar'!$S$69)=FALSE,"",IF((('Dvd Calendar'!$S$71=TYPE1)*(TYPE1&lt;&gt;"")+('Dvd Calendar'!$S$71=TYPE2)*(TYPE2&lt;&gt;"")+('Dvd Calendar'!$S$71=TYPE3)*(TYPE3&lt;&gt;"")+('Dvd Calendar'!$S$71=TYPE4)*(TYPE4&lt;&gt;"")+('Dvd Calendar'!$S$71=SPECIAL_LBL)*(INC_SPECIALS="Y"))=0,"",'Dvd Calendar'!$S$69)))</f>
        <v/>
      </c>
      <c r="R17" s="161">
        <f>IF(ET17="","",IF(ISNUMBER('Dvd Calendar'!$T$69)=FALSE,"",IF((('Dvd Calendar'!$T$71=TYPE1)*(TYPE1&lt;&gt;"")+('Dvd Calendar'!$T$71=TYPE2)*(TYPE2&lt;&gt;"")+('Dvd Calendar'!$T$71=TYPE3)*(TYPE3&lt;&gt;"")+('Dvd Calendar'!$T$71=TYPE4)*(TYPE4&lt;&gt;"")+('Dvd Calendar'!$T$71=SPECIAL_LBL)*(INC_SPECIALS="Y"))=0,"",'Dvd Calendar'!$T$69)))</f>
        <v/>
      </c>
      <c r="S17" s="161">
        <f>IF(EU17="","",IF(ISNUMBER('Dvd Calendar'!$U$69)=FALSE,"",IF((('Dvd Calendar'!$U$71=TYPE1)*(TYPE1&lt;&gt;"")+('Dvd Calendar'!$U$71=TYPE2)*(TYPE2&lt;&gt;"")+('Dvd Calendar'!$U$71=TYPE3)*(TYPE3&lt;&gt;"")+('Dvd Calendar'!$U$71=TYPE4)*(TYPE4&lt;&gt;"")+('Dvd Calendar'!$U$71=SPECIAL_LBL)*(INC_SPECIALS="Y"))=0,"",'Dvd Calendar'!$U$69)))</f>
        <v/>
      </c>
      <c r="T17" s="161">
        <f>IF(EV17="","",IF(ISNUMBER('Dvd Calendar'!$V$69)=FALSE,"",IF((('Dvd Calendar'!$V$71=TYPE1)*(TYPE1&lt;&gt;"")+('Dvd Calendar'!$V$71=TYPE2)*(TYPE2&lt;&gt;"")+('Dvd Calendar'!$V$71=TYPE3)*(TYPE3&lt;&gt;"")+('Dvd Calendar'!$V$71=TYPE4)*(TYPE4&lt;&gt;"")+('Dvd Calendar'!$V$71=SPECIAL_LBL)*(INC_SPECIALS="Y"))=0,"",'Dvd Calendar'!$V$69)))</f>
        <v/>
      </c>
      <c r="U17" s="161">
        <f>IF(EW17="","",IF(ISNUMBER('Dvd Calendar'!$W$69)=FALSE,"",IF((('Dvd Calendar'!$W$71=TYPE1)*(TYPE1&lt;&gt;"")+('Dvd Calendar'!$W$71=TYPE2)*(TYPE2&lt;&gt;"")+('Dvd Calendar'!$W$71=TYPE3)*(TYPE3&lt;&gt;"")+('Dvd Calendar'!$W$71=TYPE4)*(TYPE4&lt;&gt;"")+('Dvd Calendar'!$W$71=SPECIAL_LBL)*(INC_SPECIALS="Y"))=0,"",'Dvd Calendar'!$W$69)))</f>
        <v/>
      </c>
      <c r="V17" s="161">
        <f>IF(EX17="","",IF(ISNUMBER('Dvd Calendar'!$X$69)=FALSE,"",IF((('Dvd Calendar'!$X$71=TYPE1)*(TYPE1&lt;&gt;"")+('Dvd Calendar'!$X$71=TYPE2)*(TYPE2&lt;&gt;"")+('Dvd Calendar'!$X$71=TYPE3)*(TYPE3&lt;&gt;"")+('Dvd Calendar'!$X$71=TYPE4)*(TYPE4&lt;&gt;"")+('Dvd Calendar'!$X$71=SPECIAL_LBL)*(INC_SPECIALS="Y"))=0,"",'Dvd Calendar'!$X$69)))</f>
        <v/>
      </c>
      <c r="W17" s="161">
        <f>IF(EY17="","",IF(ISNUMBER('Dvd Calendar'!$Y$69)=FALSE,"",IF((('Dvd Calendar'!$Y$71=TYPE1)*(TYPE1&lt;&gt;"")+('Dvd Calendar'!$Y$71=TYPE2)*(TYPE2&lt;&gt;"")+('Dvd Calendar'!$Y$71=TYPE3)*(TYPE3&lt;&gt;"")+('Dvd Calendar'!$Y$71=TYPE4)*(TYPE4&lt;&gt;"")+('Dvd Calendar'!$Y$71=SPECIAL_LBL)*(INC_SPECIALS="Y"))=0,"",'Dvd Calendar'!$Y$69)))</f>
        <v/>
      </c>
      <c r="X17" s="161">
        <f>IF(EZ17="","",IF(ISNUMBER('Dvd Calendar'!$Z$69)=FALSE,"",IF((('Dvd Calendar'!$Z$71=TYPE1)*(TYPE1&lt;&gt;"")+('Dvd Calendar'!$Z$71=TYPE2)*(TYPE2&lt;&gt;"")+('Dvd Calendar'!$Z$71=TYPE3)*(TYPE3&lt;&gt;"")+('Dvd Calendar'!$Z$71=TYPE4)*(TYPE4&lt;&gt;"")+('Dvd Calendar'!$Z$71=SPECIAL_LBL)*(INC_SPECIALS="Y"))=0,"",'Dvd Calendar'!$Z$69)))</f>
        <v/>
      </c>
      <c r="Y17" s="161">
        <f>IF(FA17="","",IF(ISNUMBER('Dvd Calendar'!$AA$69)=FALSE,"",IF((('Dvd Calendar'!$AA$71=TYPE1)*(TYPE1&lt;&gt;"")+('Dvd Calendar'!$AA$71=TYPE2)*(TYPE2&lt;&gt;"")+('Dvd Calendar'!$AA$71=TYPE3)*(TYPE3&lt;&gt;"")+('Dvd Calendar'!$AA$71=TYPE4)*(TYPE4&lt;&gt;"")+('Dvd Calendar'!$AA$71=SPECIAL_LBL)*(INC_SPECIALS="Y"))=0,"",'Dvd Calendar'!$AA$69)))</f>
        <v/>
      </c>
      <c r="Z17" s="161">
        <f>IF(FB17="","",IF(ISNUMBER('Dvd Calendar'!$AB$69)=FALSE,"",IF((('Dvd Calendar'!$AB$71=TYPE1)*(TYPE1&lt;&gt;"")+('Dvd Calendar'!$AB$71=TYPE2)*(TYPE2&lt;&gt;"")+('Dvd Calendar'!$AB$71=TYPE3)*(TYPE3&lt;&gt;"")+('Dvd Calendar'!$AB$71=TYPE4)*(TYPE4&lt;&gt;"")+('Dvd Calendar'!$AB$71=SPECIAL_LBL)*(INC_SPECIALS="Y"))=0,"",'Dvd Calendar'!$AB$69)))</f>
        <v/>
      </c>
      <c r="AA17" s="161">
        <f>IF(FC17="","",IF(ISNUMBER('Dvd Calendar'!$AC$69)=FALSE,"",IF((('Dvd Calendar'!$AC$71=TYPE1)*(TYPE1&lt;&gt;"")+('Dvd Calendar'!$AC$71=TYPE2)*(TYPE2&lt;&gt;"")+('Dvd Calendar'!$AC$71=TYPE3)*(TYPE3&lt;&gt;"")+('Dvd Calendar'!$AC$71=TYPE4)*(TYPE4&lt;&gt;"")+('Dvd Calendar'!$AC$71=SPECIAL_LBL)*(INC_SPECIALS="Y"))=0,"",'Dvd Calendar'!$AC$69)))</f>
        <v/>
      </c>
      <c r="AB17" s="161">
        <f>IF(FD17="","",IF(ISNUMBER('Dvd Calendar'!$AD$69)=FALSE,"",IF((('Dvd Calendar'!$AD$71=TYPE1)*(TYPE1&lt;&gt;"")+('Dvd Calendar'!$AD$71=TYPE2)*(TYPE2&lt;&gt;"")+('Dvd Calendar'!$AD$71=TYPE3)*(TYPE3&lt;&gt;"")+('Dvd Calendar'!$AD$71=TYPE4)*(TYPE4&lt;&gt;"")+('Dvd Calendar'!$AD$71=SPECIAL_LBL)*(INC_SPECIALS="Y"))=0,"",'Dvd Calendar'!$AD$69)))</f>
        <v/>
      </c>
      <c r="AC17" s="161">
        <f>IF(FE17="","",IF(ISNUMBER('Dvd Calendar'!$AE$69)=FALSE,"",IF((('Dvd Calendar'!$AE$71=TYPE1)*(TYPE1&lt;&gt;"")+('Dvd Calendar'!$AE$71=TYPE2)*(TYPE2&lt;&gt;"")+('Dvd Calendar'!$AE$71=TYPE3)*(TYPE3&lt;&gt;"")+('Dvd Calendar'!$AE$71=TYPE4)*(TYPE4&lt;&gt;"")+('Dvd Calendar'!$AE$71=SPECIAL_LBL)*(INC_SPECIALS="Y"))=0,"",'Dvd Calendar'!$AE$69)))</f>
        <v/>
      </c>
      <c r="AD17" s="161">
        <f>IF(FF17="","",IF(ISNUMBER('Dvd Calendar'!$AF$69)=FALSE,"",IF((('Dvd Calendar'!$AF$71=TYPE1)*(TYPE1&lt;&gt;"")+('Dvd Calendar'!$AF$71=TYPE2)*(TYPE2&lt;&gt;"")+('Dvd Calendar'!$AF$71=TYPE3)*(TYPE3&lt;&gt;"")+('Dvd Calendar'!$AF$71=TYPE4)*(TYPE4&lt;&gt;"")+('Dvd Calendar'!$AF$71=SPECIAL_LBL)*(INC_SPECIALS="Y"))=0,"",'Dvd Calendar'!$AF$69)))</f>
        <v/>
      </c>
      <c r="AE17" s="161">
        <f>IF(FG17="","",IF(ISNUMBER('Dvd Calendar'!$AG$69)=FALSE,"",IF((('Dvd Calendar'!$AG$71=TYPE1)*(TYPE1&lt;&gt;"")+('Dvd Calendar'!$AG$71=TYPE2)*(TYPE2&lt;&gt;"")+('Dvd Calendar'!$AG$71=TYPE3)*(TYPE3&lt;&gt;"")+('Dvd Calendar'!$AG$71=TYPE4)*(TYPE4&lt;&gt;"")+('Dvd Calendar'!$AG$71=SPECIAL_LBL)*(INC_SPECIALS="Y"))=0,"",'Dvd Calendar'!$AG$69)))</f>
        <v/>
      </c>
      <c r="AF17" s="161">
        <f>IF(FH17="","",IF(ISNUMBER('Dvd Calendar'!$AH$69)=FALSE,"",IF((('Dvd Calendar'!$AH$71=TYPE1)*(TYPE1&lt;&gt;"")+('Dvd Calendar'!$AH$71=TYPE2)*(TYPE2&lt;&gt;"")+('Dvd Calendar'!$AH$71=TYPE3)*(TYPE3&lt;&gt;"")+('Dvd Calendar'!$AH$71=TYPE4)*(TYPE4&lt;&gt;"")+('Dvd Calendar'!$AH$71=SPECIAL_LBL)*(INC_SPECIALS="Y"))=0,"",'Dvd Calendar'!$AH$69)))</f>
        <v/>
      </c>
      <c r="AG17" s="161">
        <f>IF(FI17="","",IF(ISNUMBER('Dvd Calendar'!$AI$69)=FALSE,"",IF((('Dvd Calendar'!$AI$71=TYPE1)*(TYPE1&lt;&gt;"")+('Dvd Calendar'!$AI$71=TYPE2)*(TYPE2&lt;&gt;"")+('Dvd Calendar'!$AI$71=TYPE3)*(TYPE3&lt;&gt;"")+('Dvd Calendar'!$AI$71=TYPE4)*(TYPE4&lt;&gt;"")+('Dvd Calendar'!$AI$71=SPECIAL_LBL)*(INC_SPECIALS="Y"))=0,"",'Dvd Calendar'!$AI$69)))</f>
        <v/>
      </c>
      <c r="AH17" s="161">
        <f>IF(FJ17="","",IF(ISNUMBER('Dvd Calendar'!$AJ$69)=FALSE,"",IF((('Dvd Calendar'!$AJ$71=TYPE1)*(TYPE1&lt;&gt;"")+('Dvd Calendar'!$AJ$71=TYPE2)*(TYPE2&lt;&gt;"")+('Dvd Calendar'!$AJ$71=TYPE3)*(TYPE3&lt;&gt;"")+('Dvd Calendar'!$AJ$71=TYPE4)*(TYPE4&lt;&gt;"")+('Dvd Calendar'!$AJ$71=SPECIAL_LBL)*(INC_SPECIALS="Y"))=0,"",'Dvd Calendar'!$AJ$69)))</f>
        <v/>
      </c>
      <c r="AI17" s="161">
        <f>IF(FK17="","",IF(ISNUMBER('Dvd Calendar'!$AK$69)=FALSE,"",IF((('Dvd Calendar'!$AK$71=TYPE1)*(TYPE1&lt;&gt;"")+('Dvd Calendar'!$AK$71=TYPE2)*(TYPE2&lt;&gt;"")+('Dvd Calendar'!$AK$71=TYPE3)*(TYPE3&lt;&gt;"")+('Dvd Calendar'!$AK$71=TYPE4)*(TYPE4&lt;&gt;"")+('Dvd Calendar'!$AK$71=SPECIAL_LBL)*(INC_SPECIALS="Y"))=0,"",'Dvd Calendar'!$AK$69)))</f>
        <v/>
      </c>
      <c r="AJ17" s="161">
        <f>IF(FL17="","",IF(ISNUMBER('Dvd Calendar'!$AL$69)=FALSE,"",IF((('Dvd Calendar'!$AL$71=TYPE1)*(TYPE1&lt;&gt;"")+('Dvd Calendar'!$AL$71=TYPE2)*(TYPE2&lt;&gt;"")+('Dvd Calendar'!$AL$71=TYPE3)*(TYPE3&lt;&gt;"")+('Dvd Calendar'!$AL$71=TYPE4)*(TYPE4&lt;&gt;"")+('Dvd Calendar'!$AL$71=SPECIAL_LBL)*(INC_SPECIALS="Y"))=0,"",'Dvd Calendar'!$AL$69)))</f>
        <v/>
      </c>
      <c r="AK17" s="161">
        <f>IF(FM17="","",IF(ISNUMBER('Dvd Calendar'!$AM$69)=FALSE,"",IF((('Dvd Calendar'!$AM$71=TYPE1)*(TYPE1&lt;&gt;"")+('Dvd Calendar'!$AM$71=TYPE2)*(TYPE2&lt;&gt;"")+('Dvd Calendar'!$AM$71=TYPE3)*(TYPE3&lt;&gt;"")+('Dvd Calendar'!$AM$71=TYPE4)*(TYPE4&lt;&gt;"")+('Dvd Calendar'!$AM$71=SPECIAL_LBL)*(INC_SPECIALS="Y"))=0,"",'Dvd Calendar'!$AM$69)))</f>
        <v/>
      </c>
      <c r="AL17" s="161">
        <f>IF(FN17="","",IF(ISNUMBER('Dvd Calendar'!$AN$69)=FALSE,"",IF((('Dvd Calendar'!$AN$71=TYPE1)*(TYPE1&lt;&gt;"")+('Dvd Calendar'!$AN$71=TYPE2)*(TYPE2&lt;&gt;"")+('Dvd Calendar'!$AN$71=TYPE3)*(TYPE3&lt;&gt;"")+('Dvd Calendar'!$AN$71=TYPE4)*(TYPE4&lt;&gt;"")+('Dvd Calendar'!$AN$71=SPECIAL_LBL)*(INC_SPECIALS="Y"))=0,"",'Dvd Calendar'!$AN$69)))</f>
        <v/>
      </c>
      <c r="AM17" s="161">
        <f>IF(FO17="","",IF(ISNUMBER('Dvd Calendar'!$AO$69)=FALSE,"",IF((('Dvd Calendar'!$AO$71=TYPE1)*(TYPE1&lt;&gt;"")+('Dvd Calendar'!$AO$71=TYPE2)*(TYPE2&lt;&gt;"")+('Dvd Calendar'!$AO$71=TYPE3)*(TYPE3&lt;&gt;"")+('Dvd Calendar'!$AO$71=TYPE4)*(TYPE4&lt;&gt;"")+('Dvd Calendar'!$AO$71=SPECIAL_LBL)*(INC_SPECIALS="Y"))=0,"",'Dvd Calendar'!$AO$69)))</f>
        <v/>
      </c>
      <c r="AN17" s="161">
        <f>IF(FP17="","",IF(ISNUMBER('Dvd Calendar'!$AP$69)=FALSE,"",IF((('Dvd Calendar'!$AP$71=TYPE1)*(TYPE1&lt;&gt;"")+('Dvd Calendar'!$AP$71=TYPE2)*(TYPE2&lt;&gt;"")+('Dvd Calendar'!$AP$71=TYPE3)*(TYPE3&lt;&gt;"")+('Dvd Calendar'!$AP$71=TYPE4)*(TYPE4&lt;&gt;"")+('Dvd Calendar'!$AP$71=SPECIAL_LBL)*(INC_SPECIALS="Y"))=0,"",'Dvd Calendar'!$AP$69)))</f>
        <v/>
      </c>
      <c r="AO17" s="161">
        <f>IF(FQ17="","",IF(ISNUMBER('Dvd Calendar'!$AQ$69)=FALSE,"",IF((('Dvd Calendar'!$AQ$71=TYPE1)*(TYPE1&lt;&gt;"")+('Dvd Calendar'!$AQ$71=TYPE2)*(TYPE2&lt;&gt;"")+('Dvd Calendar'!$AQ$71=TYPE3)*(TYPE3&lt;&gt;"")+('Dvd Calendar'!$AQ$71=TYPE4)*(TYPE4&lt;&gt;"")+('Dvd Calendar'!$AQ$71=SPECIAL_LBL)*(INC_SPECIALS="Y"))=0,"",'Dvd Calendar'!$AQ$69)))</f>
        <v/>
      </c>
      <c r="AP17" s="161">
        <f>IF(FR17="","",IF(ISNUMBER('Dvd Calendar'!$AR$69)=FALSE,"",IF((('Dvd Calendar'!$AR$71=TYPE1)*(TYPE1&lt;&gt;"")+('Dvd Calendar'!$AR$71=TYPE2)*(TYPE2&lt;&gt;"")+('Dvd Calendar'!$AR$71=TYPE3)*(TYPE3&lt;&gt;"")+('Dvd Calendar'!$AR$71=TYPE4)*(TYPE4&lt;&gt;"")+('Dvd Calendar'!$AR$71=SPECIAL_LBL)*(INC_SPECIALS="Y"))=0,"",'Dvd Calendar'!$AR$69)))</f>
        <v/>
      </c>
      <c r="AQ17" s="161">
        <f>IF(FS17="","",IF(ISNUMBER('Dvd Calendar'!$E$74)=FALSE,"",'Dvd Calendar'!$E$74))</f>
        <v/>
      </c>
      <c r="AR17" s="161">
        <f>IF(FT17="","",IF(ISNUMBER('Dvd Calendar'!$F$74)=FALSE,"",'Dvd Calendar'!$F$74))</f>
        <v/>
      </c>
      <c r="AS17" s="161">
        <f>IF(FU17="","",IF(ISNUMBER('Dvd Calendar'!$G$74)=FALSE,"",'Dvd Calendar'!$G$74))</f>
        <v/>
      </c>
      <c r="AT17" s="161">
        <f>IF(FV17="","",IF(ISNUMBER('Dvd Calendar'!$H$74)=FALSE,"",'Dvd Calendar'!$H$74))</f>
        <v/>
      </c>
      <c r="AU17" s="161">
        <f>IF(FW17="","",IF(ISNUMBER('Dvd Calendar'!$I$74)=FALSE,"",'Dvd Calendar'!$I$74))</f>
        <v/>
      </c>
      <c r="AV17" s="161">
        <f>IF(FX17="","",IF(ISNUMBER('Dvd Calendar'!$J$74)=FALSE,"",'Dvd Calendar'!$J$74))</f>
        <v/>
      </c>
      <c r="AW17" s="161">
        <f>IF(FY17="","",IF(ISNUMBER('Dvd Calendar'!$K$74)=FALSE,"",'Dvd Calendar'!$K$74))</f>
        <v/>
      </c>
      <c r="AX17" s="161">
        <f>IF(FZ17="","",IF(ISNUMBER('Dvd Calendar'!$L$74)=FALSE,"",'Dvd Calendar'!$L$74))</f>
        <v/>
      </c>
      <c r="AY17" s="161">
        <f>IF(GA17="","",IF(ISNUMBER('Dvd Calendar'!$M$74)=FALSE,"",'Dvd Calendar'!$M$74))</f>
        <v/>
      </c>
      <c r="AZ17" s="161">
        <f>IF(GB17="","",IF(ISNUMBER('Dvd Calendar'!$N$74)=FALSE,"",'Dvd Calendar'!$N$74))</f>
        <v/>
      </c>
      <c r="BA17" s="161">
        <f>IF(GC17="","",IF(ISNUMBER('Dvd Calendar'!$O$74)=FALSE,"",'Dvd Calendar'!$O$74))</f>
        <v/>
      </c>
      <c r="BB17" s="161">
        <f>IF(GD17="","",IF(ISNUMBER('Dvd Calendar'!$P$74)=FALSE,"",'Dvd Calendar'!$P$74))</f>
        <v/>
      </c>
      <c r="BC17" s="161">
        <f>IF(GE17="","",IF(ISNUMBER('Dvd Calendar'!$Q$74)=FALSE,"",'Dvd Calendar'!$Q$74))</f>
        <v/>
      </c>
      <c r="BD17" s="161">
        <f>IF(GF17="","",IF(ISNUMBER('Dvd Calendar'!$R$74)=FALSE,"",'Dvd Calendar'!$R$74))</f>
        <v/>
      </c>
      <c r="BE17" s="161">
        <f>IF(GG17="","",IF(ISNUMBER('Dvd Calendar'!$S$74)=FALSE,"",'Dvd Calendar'!$S$74))</f>
        <v/>
      </c>
      <c r="BF17" s="161">
        <f>IF(GH17="","",IF(ISNUMBER('Dvd Calendar'!$T$74)=FALSE,"",'Dvd Calendar'!$T$74))</f>
        <v/>
      </c>
      <c r="BG17" s="161">
        <f>IF(GI17="","",IF(ISNUMBER('Dvd Calendar'!$U$74)=FALSE,"",'Dvd Calendar'!$U$74))</f>
        <v/>
      </c>
      <c r="BH17" s="161">
        <f>IF(GJ17="","",IF(ISNUMBER('Dvd Calendar'!$V$74)=FALSE,"",'Dvd Calendar'!$V$74))</f>
        <v/>
      </c>
      <c r="BI17" s="161">
        <f>IF(GK17="","",IF(ISNUMBER('Dvd Calendar'!$W$74)=FALSE,"",'Dvd Calendar'!$W$74))</f>
        <v/>
      </c>
      <c r="BJ17" s="161">
        <f>IF(GL17="","",IF(ISNUMBER('Dvd Calendar'!$X$74)=FALSE,"",'Dvd Calendar'!$X$74))</f>
        <v/>
      </c>
      <c r="BK17" s="161">
        <f>IF(GM17="","",IF(ISNUMBER('Dvd Calendar'!$Y$74)=FALSE,"",'Dvd Calendar'!$Y$74))</f>
        <v/>
      </c>
      <c r="BL17" s="161">
        <f>IF(GN17="","",IF(ISNUMBER('Dvd Calendar'!$Z$74)=FALSE,"",'Dvd Calendar'!$Z$74))</f>
        <v/>
      </c>
      <c r="BM17" s="161">
        <f>IF(GO17="","",IF(ISNUMBER('Dvd Calendar'!$AA$74)=FALSE,"",'Dvd Calendar'!$AA$74))</f>
        <v/>
      </c>
      <c r="BN17" s="161">
        <f>IF(GP17="","",IF(ISNUMBER('Dvd Calendar'!$AB$74)=FALSE,"",'Dvd Calendar'!$AB$74))</f>
        <v/>
      </c>
      <c r="BO17" s="161">
        <f>IF(GQ17="","",IF(ISNUMBER('Dvd Calendar'!$AC$74)=FALSE,"",'Dvd Calendar'!$AC$74))</f>
        <v/>
      </c>
      <c r="BQ17" s="161">
        <f>IF(C17="","",IFERROR(C17*HSI!$B$12*HSI!$G$12/HSI!$B$3,""))</f>
        <v/>
      </c>
      <c r="BR17" s="161">
        <f>IF(D17="","",IFERROR(D17*HSI!$B$12*HSI!$G$12/HSI!$B$3,""))</f>
        <v/>
      </c>
      <c r="BS17" s="161">
        <f>IF(E17="","",IFERROR(E17*HSI!$B$12*HSI!$G$12/HSI!$B$3,""))</f>
        <v/>
      </c>
      <c r="BT17" s="161">
        <f>IF(F17="","",IFERROR(F17*HSI!$B$12*HSI!$G$12/HSI!$B$3,""))</f>
        <v/>
      </c>
      <c r="BU17" s="161">
        <f>IF(G17="","",IFERROR(G17*HSI!$B$12*HSI!$G$12/HSI!$B$3,""))</f>
        <v/>
      </c>
      <c r="BV17" s="161">
        <f>IF(H17="","",IFERROR(H17*HSI!$B$12*HSI!$G$12/HSI!$B$3,""))</f>
        <v/>
      </c>
      <c r="BW17" s="161">
        <f>IF(I17="","",IFERROR(I17*HSI!$B$12*HSI!$G$12/HSI!$B$3,""))</f>
        <v/>
      </c>
      <c r="BX17" s="161">
        <f>IF(J17="","",IFERROR(J17*HSI!$B$12*HSI!$G$12/HSI!$B$3,""))</f>
        <v/>
      </c>
      <c r="BY17" s="161">
        <f>IF(K17="","",IFERROR(K17*HSI!$B$12*HSI!$G$12/HSI!$B$3,""))</f>
        <v/>
      </c>
      <c r="BZ17" s="161">
        <f>IF(L17="","",IFERROR(L17*HSI!$B$12*HSI!$G$12/HSI!$B$3,""))</f>
        <v/>
      </c>
      <c r="CA17" s="161">
        <f>IF(M17="","",IFERROR(M17*HSI!$B$12*HSI!$G$12/HSI!$B$3,""))</f>
        <v/>
      </c>
      <c r="CB17" s="161">
        <f>IF(N17="","",IFERROR(N17*HSI!$B$12*HSI!$G$12/HSI!$B$3,""))</f>
        <v/>
      </c>
      <c r="CC17" s="161">
        <f>IF(O17="","",IFERROR(O17*HSI!$B$12*HSI!$G$12/HSI!$B$3,""))</f>
        <v/>
      </c>
      <c r="CD17" s="161">
        <f>IF(P17="","",IFERROR(P17*HSI!$B$12*HSI!$G$12/HSI!$B$3,""))</f>
        <v/>
      </c>
      <c r="CE17" s="161">
        <f>IF(Q17="","",IFERROR(Q17*HSI!$B$12*HSI!$G$12/HSI!$B$3,""))</f>
        <v/>
      </c>
      <c r="CF17" s="161">
        <f>IF(R17="","",IFERROR(R17*HSI!$B$12*HSI!$G$12/HSI!$B$3,""))</f>
        <v/>
      </c>
      <c r="CG17" s="161">
        <f>IF(S17="","",IFERROR(S17*HSI!$B$12*HSI!$G$12/HSI!$B$3,""))</f>
        <v/>
      </c>
      <c r="CH17" s="161">
        <f>IF(T17="","",IFERROR(T17*HSI!$B$12*HSI!$G$12/HSI!$B$3,""))</f>
        <v/>
      </c>
      <c r="CI17" s="161">
        <f>IF(U17="","",IFERROR(U17*HSI!$B$12*HSI!$G$12/HSI!$B$3,""))</f>
        <v/>
      </c>
      <c r="CJ17" s="161">
        <f>IF(V17="","",IFERROR(V17*HSI!$B$12*HSI!$G$12/HSI!$B$3,""))</f>
        <v/>
      </c>
      <c r="CK17" s="161">
        <f>IF(W17="","",IFERROR(W17*HSI!$B$12*HSI!$G$12/HSI!$B$3,""))</f>
        <v/>
      </c>
      <c r="CL17" s="161">
        <f>IF(X17="","",IFERROR(X17*HSI!$B$12*HSI!$G$12/HSI!$B$3,""))</f>
        <v/>
      </c>
      <c r="CM17" s="161">
        <f>IF(Y17="","",IFERROR(Y17*HSI!$B$12*HSI!$G$12/HSI!$B$3,""))</f>
        <v/>
      </c>
      <c r="CN17" s="161">
        <f>IF(Z17="","",IFERROR(Z17*HSI!$B$12*HSI!$G$12/HSI!$B$3,""))</f>
        <v/>
      </c>
      <c r="CO17" s="161">
        <f>IF(AA17="","",IFERROR(AA17*HSI!$B$12*HSI!$G$12/HSI!$B$3,""))</f>
        <v/>
      </c>
      <c r="CP17" s="161">
        <f>IF(AB17="","",IFERROR(AB17*HSI!$B$12*HSI!$G$12/HSI!$B$3,""))</f>
        <v/>
      </c>
      <c r="CQ17" s="161">
        <f>IF(AC17="","",IFERROR(AC17*HSI!$B$12*HSI!$G$12/HSI!$B$3,""))</f>
        <v/>
      </c>
      <c r="CR17" s="161">
        <f>IF(AD17="","",IFERROR(AD17*HSI!$B$12*HSI!$G$12/HSI!$B$3,""))</f>
        <v/>
      </c>
      <c r="CS17" s="161">
        <f>IF(AE17="","",IFERROR(AE17*HSI!$B$12*HSI!$G$12/HSI!$B$3,""))</f>
        <v/>
      </c>
      <c r="CT17" s="161">
        <f>IF(AF17="","",IFERROR(AF17*HSI!$B$12*HSI!$G$12/HSI!$B$3,""))</f>
        <v/>
      </c>
      <c r="CU17" s="161">
        <f>IF(AG17="","",IFERROR(AG17*HSI!$B$12*HSI!$G$12/HSI!$B$3,""))</f>
        <v/>
      </c>
      <c r="CV17" s="161">
        <f>IF(AH17="","",IFERROR(AH17*HSI!$B$12*HSI!$G$12/HSI!$B$3,""))</f>
        <v/>
      </c>
      <c r="CW17" s="161">
        <f>IF(AI17="","",IFERROR(AI17*HSI!$B$12*HSI!$G$12/HSI!$B$3,""))</f>
        <v/>
      </c>
      <c r="CX17" s="161">
        <f>IF(AJ17="","",IFERROR(AJ17*HSI!$B$12*HSI!$G$12/HSI!$B$3,""))</f>
        <v/>
      </c>
      <c r="CY17" s="161">
        <f>IF(AK17="","",IFERROR(AK17*HSI!$B$12*HSI!$G$12/HSI!$B$3,""))</f>
        <v/>
      </c>
      <c r="CZ17" s="161">
        <f>IF(AL17="","",IFERROR(AL17*HSI!$B$12*HSI!$G$12/HSI!$B$3,""))</f>
        <v/>
      </c>
      <c r="DA17" s="161">
        <f>IF(AM17="","",IFERROR(AM17*HSI!$B$12*HSI!$G$12/HSI!$B$3,""))</f>
        <v/>
      </c>
      <c r="DB17" s="161">
        <f>IF(AN17="","",IFERROR(AN17*HSI!$B$12*HSI!$G$12/HSI!$B$3,""))</f>
        <v/>
      </c>
      <c r="DC17" s="161">
        <f>IF(AO17="","",IFERROR(AO17*HSI!$B$12*HSI!$G$12/HSI!$B$3,""))</f>
        <v/>
      </c>
      <c r="DD17" s="161">
        <f>IF(AP17="","",IFERROR(AP17*HSI!$B$12*HSI!$G$12/HSI!$B$3,""))</f>
        <v/>
      </c>
      <c r="DE17" s="161">
        <f>IF(AQ17="","",IFERROR(AQ17*HSI!$B$12*HSI!$G$12/HSI!$B$3,""))</f>
        <v/>
      </c>
      <c r="DF17" s="161">
        <f>IF(AR17="","",IFERROR(AR17*HSI!$B$12*HSI!$G$12/HSI!$B$3,""))</f>
        <v/>
      </c>
      <c r="DG17" s="161">
        <f>IF(AS17="","",IFERROR(AS17*HSI!$B$12*HSI!$G$12/HSI!$B$3,""))</f>
        <v/>
      </c>
      <c r="DH17" s="161">
        <f>IF(AT17="","",IFERROR(AT17*HSI!$B$12*HSI!$G$12/HSI!$B$3,""))</f>
        <v/>
      </c>
      <c r="DI17" s="161">
        <f>IF(AU17="","",IFERROR(AU17*HSI!$B$12*HSI!$G$12/HSI!$B$3,""))</f>
        <v/>
      </c>
      <c r="DJ17" s="161">
        <f>IF(AV17="","",IFERROR(AV17*HSI!$B$12*HSI!$G$12/HSI!$B$3,""))</f>
        <v/>
      </c>
      <c r="DK17" s="161">
        <f>IF(AW17="","",IFERROR(AW17*HSI!$B$12*HSI!$G$12/HSI!$B$3,""))</f>
        <v/>
      </c>
      <c r="DL17" s="161">
        <f>IF(AX17="","",IFERROR(AX17*HSI!$B$12*HSI!$G$12/HSI!$B$3,""))</f>
        <v/>
      </c>
      <c r="DM17" s="161">
        <f>IF(AY17="","",IFERROR(AY17*HSI!$B$12*HSI!$G$12/HSI!$B$3,""))</f>
        <v/>
      </c>
      <c r="DN17" s="161">
        <f>IF(AZ17="","",IFERROR(AZ17*HSI!$B$12*HSI!$G$12/HSI!$B$3,""))</f>
        <v/>
      </c>
      <c r="DO17" s="161">
        <f>IF(BA17="","",IFERROR(BA17*HSI!$B$12*HSI!$G$12/HSI!$B$3,""))</f>
        <v/>
      </c>
      <c r="DP17" s="161">
        <f>IF(BB17="","",IFERROR(BB17*HSI!$B$12*HSI!$G$12/HSI!$B$3,""))</f>
        <v/>
      </c>
      <c r="DQ17" s="161">
        <f>IF(BC17="","",IFERROR(BC17*HSI!$B$12*HSI!$G$12/HSI!$B$3,""))</f>
        <v/>
      </c>
      <c r="DR17" s="161">
        <f>IF(BD17="","",IFERROR(BD17*HSI!$B$12*HSI!$G$12/HSI!$B$3,""))</f>
        <v/>
      </c>
      <c r="DS17" s="161">
        <f>IF(BE17="","",IFERROR(BE17*HSI!$B$12*HSI!$G$12/HSI!$B$3,""))</f>
        <v/>
      </c>
      <c r="DT17" s="161">
        <f>IF(BF17="","",IFERROR(BF17*HSI!$B$12*HSI!$G$12/HSI!$B$3,""))</f>
        <v/>
      </c>
      <c r="DU17" s="161">
        <f>IF(BG17="","",IFERROR(BG17*HSI!$B$12*HSI!$G$12/HSI!$B$3,""))</f>
        <v/>
      </c>
      <c r="DV17" s="161">
        <f>IF(BH17="","",IFERROR(BH17*HSI!$B$12*HSI!$G$12/HSI!$B$3,""))</f>
        <v/>
      </c>
      <c r="DW17" s="161">
        <f>IF(BI17="","",IFERROR(BI17*HSI!$B$12*HSI!$G$12/HSI!$B$3,""))</f>
        <v/>
      </c>
      <c r="DX17" s="161">
        <f>IF(BJ17="","",IFERROR(BJ17*HSI!$B$12*HSI!$G$12/HSI!$B$3,""))</f>
        <v/>
      </c>
      <c r="DY17" s="161">
        <f>IF(BK17="","",IFERROR(BK17*HSI!$B$12*HSI!$G$12/HSI!$B$3,""))</f>
        <v/>
      </c>
      <c r="DZ17" s="161">
        <f>IF(BL17="","",IFERROR(BL17*HSI!$B$12*HSI!$G$12/HSI!$B$3,""))</f>
        <v/>
      </c>
      <c r="EA17" s="161">
        <f>IF(BM17="","",IFERROR(BM17*HSI!$B$12*HSI!$G$12/HSI!$B$3,""))</f>
        <v/>
      </c>
      <c r="EB17" s="161">
        <f>IF(BN17="","",IFERROR(BN17*HSI!$B$12*HSI!$G$12/HSI!$B$3,""))</f>
        <v/>
      </c>
      <c r="EC17" s="161">
        <f>IF(BO17="","",IFERROR(BO17*HSI!$B$12*HSI!$G$12/HSI!$B$3,""))</f>
        <v/>
      </c>
      <c r="EE17" s="121">
        <f>IF(N('Dvd Calendar'!$E$66)=0,"",IF(('Dvd Calendar'!$E$66&gt;=GRID_FROM)*('Dvd Calendar'!$E$66&lt;=GRID_TO)*((('Dvd Calendar'!$E$66&lt;=VAL_DATE)+(COUNTIF('Dvd Calendar'!$E$73:$AR$73,'Dvd Calendar'!$E$66)=0))&gt;0)=0,"",'Dvd Calendar'!$E$66*1000000000+ISNUMBER('Dvd Calendar'!$E$69)*100000000+('Dvd Calendar'!$E$71=SPECIAL_LBL)*10000000+(N('Dvd Calendar'!$E$65)&gt;0)*(N('Dvd Calendar'!$E$65)&lt;=VAL_SERIAL)*1000000+6*1000+1))</f>
        <v/>
      </c>
      <c r="EF17" s="121">
        <f>IF(N('Dvd Calendar'!$F$66)=0,"",IF(('Dvd Calendar'!$F$66&gt;=GRID_FROM)*('Dvd Calendar'!$F$66&lt;=GRID_TO)*((('Dvd Calendar'!$F$66&lt;=VAL_DATE)+(COUNTIF('Dvd Calendar'!$E$73:$AR$73,'Dvd Calendar'!$F$66)=0))&gt;0)=0,"",'Dvd Calendar'!$F$66*1000000000+ISNUMBER('Dvd Calendar'!$F$69)*100000000+('Dvd Calendar'!$F$71=SPECIAL_LBL)*10000000+(N('Dvd Calendar'!$F$65)&gt;0)*(N('Dvd Calendar'!$F$65)&lt;=VAL_SERIAL)*1000000+6*1000+2))</f>
        <v/>
      </c>
      <c r="EG17" s="121">
        <f>IF(N('Dvd Calendar'!$G$66)=0,"",IF(('Dvd Calendar'!$G$66&gt;=GRID_FROM)*('Dvd Calendar'!$G$66&lt;=GRID_TO)*((('Dvd Calendar'!$G$66&lt;=VAL_DATE)+(COUNTIF('Dvd Calendar'!$E$73:$AR$73,'Dvd Calendar'!$G$66)=0))&gt;0)=0,"",'Dvd Calendar'!$G$66*1000000000+ISNUMBER('Dvd Calendar'!$G$69)*100000000+('Dvd Calendar'!$G$71=SPECIAL_LBL)*10000000+(N('Dvd Calendar'!$G$65)&gt;0)*(N('Dvd Calendar'!$G$65)&lt;=VAL_SERIAL)*1000000+6*1000+3))</f>
        <v/>
      </c>
      <c r="EH17" s="121">
        <f>IF(N('Dvd Calendar'!$H$66)=0,"",IF(('Dvd Calendar'!$H$66&gt;=GRID_FROM)*('Dvd Calendar'!$H$66&lt;=GRID_TO)*((('Dvd Calendar'!$H$66&lt;=VAL_DATE)+(COUNTIF('Dvd Calendar'!$E$73:$AR$73,'Dvd Calendar'!$H$66)=0))&gt;0)=0,"",'Dvd Calendar'!$H$66*1000000000+ISNUMBER('Dvd Calendar'!$H$69)*100000000+('Dvd Calendar'!$H$71=SPECIAL_LBL)*10000000+(N('Dvd Calendar'!$H$65)&gt;0)*(N('Dvd Calendar'!$H$65)&lt;=VAL_SERIAL)*1000000+6*1000+4))</f>
        <v/>
      </c>
      <c r="EI17" s="121">
        <f>IF(N('Dvd Calendar'!$I$66)=0,"",IF(('Dvd Calendar'!$I$66&gt;=GRID_FROM)*('Dvd Calendar'!$I$66&lt;=GRID_TO)*((('Dvd Calendar'!$I$66&lt;=VAL_DATE)+(COUNTIF('Dvd Calendar'!$E$73:$AR$73,'Dvd Calendar'!$I$66)=0))&gt;0)=0,"",'Dvd Calendar'!$I$66*1000000000+ISNUMBER('Dvd Calendar'!$I$69)*100000000+('Dvd Calendar'!$I$71=SPECIAL_LBL)*10000000+(N('Dvd Calendar'!$I$65)&gt;0)*(N('Dvd Calendar'!$I$65)&lt;=VAL_SERIAL)*1000000+6*1000+5))</f>
        <v/>
      </c>
      <c r="EJ17" s="121">
        <f>IF(N('Dvd Calendar'!$J$66)=0,"",IF(('Dvd Calendar'!$J$66&gt;=GRID_FROM)*('Dvd Calendar'!$J$66&lt;=GRID_TO)*((('Dvd Calendar'!$J$66&lt;=VAL_DATE)+(COUNTIF('Dvd Calendar'!$E$73:$AR$73,'Dvd Calendar'!$J$66)=0))&gt;0)=0,"",'Dvd Calendar'!$J$66*1000000000+ISNUMBER('Dvd Calendar'!$J$69)*100000000+('Dvd Calendar'!$J$71=SPECIAL_LBL)*10000000+(N('Dvd Calendar'!$J$65)&gt;0)*(N('Dvd Calendar'!$J$65)&lt;=VAL_SERIAL)*1000000+6*1000+6))</f>
        <v/>
      </c>
      <c r="EK17" s="121">
        <f>IF(N('Dvd Calendar'!$K$66)=0,"",IF(('Dvd Calendar'!$K$66&gt;=GRID_FROM)*('Dvd Calendar'!$K$66&lt;=GRID_TO)*((('Dvd Calendar'!$K$66&lt;=VAL_DATE)+(COUNTIF('Dvd Calendar'!$E$73:$AR$73,'Dvd Calendar'!$K$66)=0))&gt;0)=0,"",'Dvd Calendar'!$K$66*1000000000+ISNUMBER('Dvd Calendar'!$K$69)*100000000+('Dvd Calendar'!$K$71=SPECIAL_LBL)*10000000+(N('Dvd Calendar'!$K$65)&gt;0)*(N('Dvd Calendar'!$K$65)&lt;=VAL_SERIAL)*1000000+6*1000+7))</f>
        <v/>
      </c>
      <c r="EL17" s="121">
        <f>IF(N('Dvd Calendar'!$L$66)=0,"",IF(('Dvd Calendar'!$L$66&gt;=GRID_FROM)*('Dvd Calendar'!$L$66&lt;=GRID_TO)*((('Dvd Calendar'!$L$66&lt;=VAL_DATE)+(COUNTIF('Dvd Calendar'!$E$73:$AR$73,'Dvd Calendar'!$L$66)=0))&gt;0)=0,"",'Dvd Calendar'!$L$66*1000000000+ISNUMBER('Dvd Calendar'!$L$69)*100000000+('Dvd Calendar'!$L$71=SPECIAL_LBL)*10000000+(N('Dvd Calendar'!$L$65)&gt;0)*(N('Dvd Calendar'!$L$65)&lt;=VAL_SERIAL)*1000000+6*1000+8))</f>
        <v/>
      </c>
      <c r="EM17" s="121">
        <f>IF(N('Dvd Calendar'!$M$66)=0,"",IF(('Dvd Calendar'!$M$66&gt;=GRID_FROM)*('Dvd Calendar'!$M$66&lt;=GRID_TO)*((('Dvd Calendar'!$M$66&lt;=VAL_DATE)+(COUNTIF('Dvd Calendar'!$E$73:$AR$73,'Dvd Calendar'!$M$66)=0))&gt;0)=0,"",'Dvd Calendar'!$M$66*1000000000+ISNUMBER('Dvd Calendar'!$M$69)*100000000+('Dvd Calendar'!$M$71=SPECIAL_LBL)*10000000+(N('Dvd Calendar'!$M$65)&gt;0)*(N('Dvd Calendar'!$M$65)&lt;=VAL_SERIAL)*1000000+6*1000+9))</f>
        <v/>
      </c>
      <c r="EN17" s="121">
        <f>IF(N('Dvd Calendar'!$N$66)=0,"",IF(('Dvd Calendar'!$N$66&gt;=GRID_FROM)*('Dvd Calendar'!$N$66&lt;=GRID_TO)*((('Dvd Calendar'!$N$66&lt;=VAL_DATE)+(COUNTIF('Dvd Calendar'!$E$73:$AR$73,'Dvd Calendar'!$N$66)=0))&gt;0)=0,"",'Dvd Calendar'!$N$66*1000000000+ISNUMBER('Dvd Calendar'!$N$69)*100000000+('Dvd Calendar'!$N$71=SPECIAL_LBL)*10000000+(N('Dvd Calendar'!$N$65)&gt;0)*(N('Dvd Calendar'!$N$65)&lt;=VAL_SERIAL)*1000000+6*1000+10))</f>
        <v/>
      </c>
      <c r="EO17" s="121">
        <f>IF(N('Dvd Calendar'!$O$66)=0,"",IF(('Dvd Calendar'!$O$66&gt;=GRID_FROM)*('Dvd Calendar'!$O$66&lt;=GRID_TO)*((('Dvd Calendar'!$O$66&lt;=VAL_DATE)+(COUNTIF('Dvd Calendar'!$E$73:$AR$73,'Dvd Calendar'!$O$66)=0))&gt;0)=0,"",'Dvd Calendar'!$O$66*1000000000+ISNUMBER('Dvd Calendar'!$O$69)*100000000+('Dvd Calendar'!$O$71=SPECIAL_LBL)*10000000+(N('Dvd Calendar'!$O$65)&gt;0)*(N('Dvd Calendar'!$O$65)&lt;=VAL_SERIAL)*1000000+6*1000+11))</f>
        <v/>
      </c>
      <c r="EP17" s="121">
        <f>IF(N('Dvd Calendar'!$P$66)=0,"",IF(('Dvd Calendar'!$P$66&gt;=GRID_FROM)*('Dvd Calendar'!$P$66&lt;=GRID_TO)*((('Dvd Calendar'!$P$66&lt;=VAL_DATE)+(COUNTIF('Dvd Calendar'!$E$73:$AR$73,'Dvd Calendar'!$P$66)=0))&gt;0)=0,"",'Dvd Calendar'!$P$66*1000000000+ISNUMBER('Dvd Calendar'!$P$69)*100000000+('Dvd Calendar'!$P$71=SPECIAL_LBL)*10000000+(N('Dvd Calendar'!$P$65)&gt;0)*(N('Dvd Calendar'!$P$65)&lt;=VAL_SERIAL)*1000000+6*1000+12))</f>
        <v/>
      </c>
      <c r="EQ17" s="121">
        <f>IF(N('Dvd Calendar'!$Q$66)=0,"",IF(('Dvd Calendar'!$Q$66&gt;=GRID_FROM)*('Dvd Calendar'!$Q$66&lt;=GRID_TO)*((('Dvd Calendar'!$Q$66&lt;=VAL_DATE)+(COUNTIF('Dvd Calendar'!$E$73:$AR$73,'Dvd Calendar'!$Q$66)=0))&gt;0)=0,"",'Dvd Calendar'!$Q$66*1000000000+ISNUMBER('Dvd Calendar'!$Q$69)*100000000+('Dvd Calendar'!$Q$71=SPECIAL_LBL)*10000000+(N('Dvd Calendar'!$Q$65)&gt;0)*(N('Dvd Calendar'!$Q$65)&lt;=VAL_SERIAL)*1000000+6*1000+13))</f>
        <v/>
      </c>
      <c r="ER17" s="121">
        <f>IF(N('Dvd Calendar'!$R$66)=0,"",IF(('Dvd Calendar'!$R$66&gt;=GRID_FROM)*('Dvd Calendar'!$R$66&lt;=GRID_TO)*((('Dvd Calendar'!$R$66&lt;=VAL_DATE)+(COUNTIF('Dvd Calendar'!$E$73:$AR$73,'Dvd Calendar'!$R$66)=0))&gt;0)=0,"",'Dvd Calendar'!$R$66*1000000000+ISNUMBER('Dvd Calendar'!$R$69)*100000000+('Dvd Calendar'!$R$71=SPECIAL_LBL)*10000000+(N('Dvd Calendar'!$R$65)&gt;0)*(N('Dvd Calendar'!$R$65)&lt;=VAL_SERIAL)*1000000+6*1000+14))</f>
        <v/>
      </c>
      <c r="ES17" s="121">
        <f>IF(N('Dvd Calendar'!$S$66)=0,"",IF(('Dvd Calendar'!$S$66&gt;=GRID_FROM)*('Dvd Calendar'!$S$66&lt;=GRID_TO)*((('Dvd Calendar'!$S$66&lt;=VAL_DATE)+(COUNTIF('Dvd Calendar'!$E$73:$AR$73,'Dvd Calendar'!$S$66)=0))&gt;0)=0,"",'Dvd Calendar'!$S$66*1000000000+ISNUMBER('Dvd Calendar'!$S$69)*100000000+('Dvd Calendar'!$S$71=SPECIAL_LBL)*10000000+(N('Dvd Calendar'!$S$65)&gt;0)*(N('Dvd Calendar'!$S$65)&lt;=VAL_SERIAL)*1000000+6*1000+15))</f>
        <v/>
      </c>
      <c r="ET17" s="121">
        <f>IF(N('Dvd Calendar'!$T$66)=0,"",IF(('Dvd Calendar'!$T$66&gt;=GRID_FROM)*('Dvd Calendar'!$T$66&lt;=GRID_TO)*((('Dvd Calendar'!$T$66&lt;=VAL_DATE)+(COUNTIF('Dvd Calendar'!$E$73:$AR$73,'Dvd Calendar'!$T$66)=0))&gt;0)=0,"",'Dvd Calendar'!$T$66*1000000000+ISNUMBER('Dvd Calendar'!$T$69)*100000000+('Dvd Calendar'!$T$71=SPECIAL_LBL)*10000000+(N('Dvd Calendar'!$T$65)&gt;0)*(N('Dvd Calendar'!$T$65)&lt;=VAL_SERIAL)*1000000+6*1000+16))</f>
        <v/>
      </c>
      <c r="EU17" s="121">
        <f>IF(N('Dvd Calendar'!$U$66)=0,"",IF(('Dvd Calendar'!$U$66&gt;=GRID_FROM)*('Dvd Calendar'!$U$66&lt;=GRID_TO)*((('Dvd Calendar'!$U$66&lt;=VAL_DATE)+(COUNTIF('Dvd Calendar'!$E$73:$AR$73,'Dvd Calendar'!$U$66)=0))&gt;0)=0,"",'Dvd Calendar'!$U$66*1000000000+ISNUMBER('Dvd Calendar'!$U$69)*100000000+('Dvd Calendar'!$U$71=SPECIAL_LBL)*10000000+(N('Dvd Calendar'!$U$65)&gt;0)*(N('Dvd Calendar'!$U$65)&lt;=VAL_SERIAL)*1000000+6*1000+17))</f>
        <v/>
      </c>
      <c r="EV17" s="121">
        <f>IF(N('Dvd Calendar'!$V$66)=0,"",IF(('Dvd Calendar'!$V$66&gt;=GRID_FROM)*('Dvd Calendar'!$V$66&lt;=GRID_TO)*((('Dvd Calendar'!$V$66&lt;=VAL_DATE)+(COUNTIF('Dvd Calendar'!$E$73:$AR$73,'Dvd Calendar'!$V$66)=0))&gt;0)=0,"",'Dvd Calendar'!$V$66*1000000000+ISNUMBER('Dvd Calendar'!$V$69)*100000000+('Dvd Calendar'!$V$71=SPECIAL_LBL)*10000000+(N('Dvd Calendar'!$V$65)&gt;0)*(N('Dvd Calendar'!$V$65)&lt;=VAL_SERIAL)*1000000+6*1000+18))</f>
        <v/>
      </c>
      <c r="EW17" s="121">
        <f>IF(N('Dvd Calendar'!$W$66)=0,"",IF(('Dvd Calendar'!$W$66&gt;=GRID_FROM)*('Dvd Calendar'!$W$66&lt;=GRID_TO)*((('Dvd Calendar'!$W$66&lt;=VAL_DATE)+(COUNTIF('Dvd Calendar'!$E$73:$AR$73,'Dvd Calendar'!$W$66)=0))&gt;0)=0,"",'Dvd Calendar'!$W$66*1000000000+ISNUMBER('Dvd Calendar'!$W$69)*100000000+('Dvd Calendar'!$W$71=SPECIAL_LBL)*10000000+(N('Dvd Calendar'!$W$65)&gt;0)*(N('Dvd Calendar'!$W$65)&lt;=VAL_SERIAL)*1000000+6*1000+19))</f>
        <v/>
      </c>
      <c r="EX17" s="121">
        <f>IF(N('Dvd Calendar'!$X$66)=0,"",IF(('Dvd Calendar'!$X$66&gt;=GRID_FROM)*('Dvd Calendar'!$X$66&lt;=GRID_TO)*((('Dvd Calendar'!$X$66&lt;=VAL_DATE)+(COUNTIF('Dvd Calendar'!$E$73:$AR$73,'Dvd Calendar'!$X$66)=0))&gt;0)=0,"",'Dvd Calendar'!$X$66*1000000000+ISNUMBER('Dvd Calendar'!$X$69)*100000000+('Dvd Calendar'!$X$71=SPECIAL_LBL)*10000000+(N('Dvd Calendar'!$X$65)&gt;0)*(N('Dvd Calendar'!$X$65)&lt;=VAL_SERIAL)*1000000+6*1000+20))</f>
        <v/>
      </c>
      <c r="EY17" s="121">
        <f>IF(N('Dvd Calendar'!$Y$66)=0,"",IF(('Dvd Calendar'!$Y$66&gt;=GRID_FROM)*('Dvd Calendar'!$Y$66&lt;=GRID_TO)*((('Dvd Calendar'!$Y$66&lt;=VAL_DATE)+(COUNTIF('Dvd Calendar'!$E$73:$AR$73,'Dvd Calendar'!$Y$66)=0))&gt;0)=0,"",'Dvd Calendar'!$Y$66*1000000000+ISNUMBER('Dvd Calendar'!$Y$69)*100000000+('Dvd Calendar'!$Y$71=SPECIAL_LBL)*10000000+(N('Dvd Calendar'!$Y$65)&gt;0)*(N('Dvd Calendar'!$Y$65)&lt;=VAL_SERIAL)*1000000+6*1000+21))</f>
        <v/>
      </c>
      <c r="EZ17" s="121">
        <f>IF(N('Dvd Calendar'!$Z$66)=0,"",IF(('Dvd Calendar'!$Z$66&gt;=GRID_FROM)*('Dvd Calendar'!$Z$66&lt;=GRID_TO)*((('Dvd Calendar'!$Z$66&lt;=VAL_DATE)+(COUNTIF('Dvd Calendar'!$E$73:$AR$73,'Dvd Calendar'!$Z$66)=0))&gt;0)=0,"",'Dvd Calendar'!$Z$66*1000000000+ISNUMBER('Dvd Calendar'!$Z$69)*100000000+('Dvd Calendar'!$Z$71=SPECIAL_LBL)*10000000+(N('Dvd Calendar'!$Z$65)&gt;0)*(N('Dvd Calendar'!$Z$65)&lt;=VAL_SERIAL)*1000000+6*1000+22))</f>
        <v/>
      </c>
      <c r="FA17" s="121">
        <f>IF(N('Dvd Calendar'!$AA$66)=0,"",IF(('Dvd Calendar'!$AA$66&gt;=GRID_FROM)*('Dvd Calendar'!$AA$66&lt;=GRID_TO)*((('Dvd Calendar'!$AA$66&lt;=VAL_DATE)+(COUNTIF('Dvd Calendar'!$E$73:$AR$73,'Dvd Calendar'!$AA$66)=0))&gt;0)=0,"",'Dvd Calendar'!$AA$66*1000000000+ISNUMBER('Dvd Calendar'!$AA$69)*100000000+('Dvd Calendar'!$AA$71=SPECIAL_LBL)*10000000+(N('Dvd Calendar'!$AA$65)&gt;0)*(N('Dvd Calendar'!$AA$65)&lt;=VAL_SERIAL)*1000000+6*1000+23))</f>
        <v/>
      </c>
      <c r="FB17" s="121">
        <f>IF(N('Dvd Calendar'!$AB$66)=0,"",IF(('Dvd Calendar'!$AB$66&gt;=GRID_FROM)*('Dvd Calendar'!$AB$66&lt;=GRID_TO)*((('Dvd Calendar'!$AB$66&lt;=VAL_DATE)+(COUNTIF('Dvd Calendar'!$E$73:$AR$73,'Dvd Calendar'!$AB$66)=0))&gt;0)=0,"",'Dvd Calendar'!$AB$66*1000000000+ISNUMBER('Dvd Calendar'!$AB$69)*100000000+('Dvd Calendar'!$AB$71=SPECIAL_LBL)*10000000+(N('Dvd Calendar'!$AB$65)&gt;0)*(N('Dvd Calendar'!$AB$65)&lt;=VAL_SERIAL)*1000000+6*1000+24))</f>
        <v/>
      </c>
      <c r="FC17" s="121">
        <f>IF(N('Dvd Calendar'!$AC$66)=0,"",IF(('Dvd Calendar'!$AC$66&gt;=GRID_FROM)*('Dvd Calendar'!$AC$66&lt;=GRID_TO)*((('Dvd Calendar'!$AC$66&lt;=VAL_DATE)+(COUNTIF('Dvd Calendar'!$E$73:$AR$73,'Dvd Calendar'!$AC$66)=0))&gt;0)=0,"",'Dvd Calendar'!$AC$66*1000000000+ISNUMBER('Dvd Calendar'!$AC$69)*100000000+('Dvd Calendar'!$AC$71=SPECIAL_LBL)*10000000+(N('Dvd Calendar'!$AC$65)&gt;0)*(N('Dvd Calendar'!$AC$65)&lt;=VAL_SERIAL)*1000000+6*1000+25))</f>
        <v/>
      </c>
      <c r="FD17" s="121">
        <f>IF(N('Dvd Calendar'!$AD$66)=0,"",IF(('Dvd Calendar'!$AD$66&gt;=GRID_FROM)*('Dvd Calendar'!$AD$66&lt;=GRID_TO)*((('Dvd Calendar'!$AD$66&lt;=VAL_DATE)+(COUNTIF('Dvd Calendar'!$E$73:$AR$73,'Dvd Calendar'!$AD$66)=0))&gt;0)=0,"",'Dvd Calendar'!$AD$66*1000000000+ISNUMBER('Dvd Calendar'!$AD$69)*100000000+('Dvd Calendar'!$AD$71=SPECIAL_LBL)*10000000+(N('Dvd Calendar'!$AD$65)&gt;0)*(N('Dvd Calendar'!$AD$65)&lt;=VAL_SERIAL)*1000000+6*1000+26))</f>
        <v/>
      </c>
      <c r="FE17" s="121">
        <f>IF(N('Dvd Calendar'!$AE$66)=0,"",IF(('Dvd Calendar'!$AE$66&gt;=GRID_FROM)*('Dvd Calendar'!$AE$66&lt;=GRID_TO)*((('Dvd Calendar'!$AE$66&lt;=VAL_DATE)+(COUNTIF('Dvd Calendar'!$E$73:$AR$73,'Dvd Calendar'!$AE$66)=0))&gt;0)=0,"",'Dvd Calendar'!$AE$66*1000000000+ISNUMBER('Dvd Calendar'!$AE$69)*100000000+('Dvd Calendar'!$AE$71=SPECIAL_LBL)*10000000+(N('Dvd Calendar'!$AE$65)&gt;0)*(N('Dvd Calendar'!$AE$65)&lt;=VAL_SERIAL)*1000000+6*1000+27))</f>
        <v/>
      </c>
      <c r="FF17" s="121">
        <f>IF(N('Dvd Calendar'!$AF$66)=0,"",IF(('Dvd Calendar'!$AF$66&gt;=GRID_FROM)*('Dvd Calendar'!$AF$66&lt;=GRID_TO)*((('Dvd Calendar'!$AF$66&lt;=VAL_DATE)+(COUNTIF('Dvd Calendar'!$E$73:$AR$73,'Dvd Calendar'!$AF$66)=0))&gt;0)=0,"",'Dvd Calendar'!$AF$66*1000000000+ISNUMBER('Dvd Calendar'!$AF$69)*100000000+('Dvd Calendar'!$AF$71=SPECIAL_LBL)*10000000+(N('Dvd Calendar'!$AF$65)&gt;0)*(N('Dvd Calendar'!$AF$65)&lt;=VAL_SERIAL)*1000000+6*1000+28))</f>
        <v/>
      </c>
      <c r="FG17" s="121">
        <f>IF(N('Dvd Calendar'!$AG$66)=0,"",IF(('Dvd Calendar'!$AG$66&gt;=GRID_FROM)*('Dvd Calendar'!$AG$66&lt;=GRID_TO)*((('Dvd Calendar'!$AG$66&lt;=VAL_DATE)+(COUNTIF('Dvd Calendar'!$E$73:$AR$73,'Dvd Calendar'!$AG$66)=0))&gt;0)=0,"",'Dvd Calendar'!$AG$66*1000000000+ISNUMBER('Dvd Calendar'!$AG$69)*100000000+('Dvd Calendar'!$AG$71=SPECIAL_LBL)*10000000+(N('Dvd Calendar'!$AG$65)&gt;0)*(N('Dvd Calendar'!$AG$65)&lt;=VAL_SERIAL)*1000000+6*1000+29))</f>
        <v/>
      </c>
      <c r="FH17" s="121">
        <f>IF(N('Dvd Calendar'!$AH$66)=0,"",IF(('Dvd Calendar'!$AH$66&gt;=GRID_FROM)*('Dvd Calendar'!$AH$66&lt;=GRID_TO)*((('Dvd Calendar'!$AH$66&lt;=VAL_DATE)+(COUNTIF('Dvd Calendar'!$E$73:$AR$73,'Dvd Calendar'!$AH$66)=0))&gt;0)=0,"",'Dvd Calendar'!$AH$66*1000000000+ISNUMBER('Dvd Calendar'!$AH$69)*100000000+('Dvd Calendar'!$AH$71=SPECIAL_LBL)*10000000+(N('Dvd Calendar'!$AH$65)&gt;0)*(N('Dvd Calendar'!$AH$65)&lt;=VAL_SERIAL)*1000000+6*1000+30))</f>
        <v/>
      </c>
      <c r="FI17" s="121">
        <f>IF(N('Dvd Calendar'!$AI$66)=0,"",IF(('Dvd Calendar'!$AI$66&gt;=GRID_FROM)*('Dvd Calendar'!$AI$66&lt;=GRID_TO)*((('Dvd Calendar'!$AI$66&lt;=VAL_DATE)+(COUNTIF('Dvd Calendar'!$E$73:$AR$73,'Dvd Calendar'!$AI$66)=0))&gt;0)=0,"",'Dvd Calendar'!$AI$66*1000000000+ISNUMBER('Dvd Calendar'!$AI$69)*100000000+('Dvd Calendar'!$AI$71=SPECIAL_LBL)*10000000+(N('Dvd Calendar'!$AI$65)&gt;0)*(N('Dvd Calendar'!$AI$65)&lt;=VAL_SERIAL)*1000000+6*1000+31))</f>
        <v/>
      </c>
      <c r="FJ17" s="121">
        <f>IF(N('Dvd Calendar'!$AJ$66)=0,"",IF(('Dvd Calendar'!$AJ$66&gt;=GRID_FROM)*('Dvd Calendar'!$AJ$66&lt;=GRID_TO)*((('Dvd Calendar'!$AJ$66&lt;=VAL_DATE)+(COUNTIF('Dvd Calendar'!$E$73:$AR$73,'Dvd Calendar'!$AJ$66)=0))&gt;0)=0,"",'Dvd Calendar'!$AJ$66*1000000000+ISNUMBER('Dvd Calendar'!$AJ$69)*100000000+('Dvd Calendar'!$AJ$71=SPECIAL_LBL)*10000000+(N('Dvd Calendar'!$AJ$65)&gt;0)*(N('Dvd Calendar'!$AJ$65)&lt;=VAL_SERIAL)*1000000+6*1000+32))</f>
        <v/>
      </c>
      <c r="FK17" s="121">
        <f>IF(N('Dvd Calendar'!$AK$66)=0,"",IF(('Dvd Calendar'!$AK$66&gt;=GRID_FROM)*('Dvd Calendar'!$AK$66&lt;=GRID_TO)*((('Dvd Calendar'!$AK$66&lt;=VAL_DATE)+(COUNTIF('Dvd Calendar'!$E$73:$AR$73,'Dvd Calendar'!$AK$66)=0))&gt;0)=0,"",'Dvd Calendar'!$AK$66*1000000000+ISNUMBER('Dvd Calendar'!$AK$69)*100000000+('Dvd Calendar'!$AK$71=SPECIAL_LBL)*10000000+(N('Dvd Calendar'!$AK$65)&gt;0)*(N('Dvd Calendar'!$AK$65)&lt;=VAL_SERIAL)*1000000+6*1000+33))</f>
        <v/>
      </c>
      <c r="FL17" s="121">
        <f>IF(N('Dvd Calendar'!$AL$66)=0,"",IF(('Dvd Calendar'!$AL$66&gt;=GRID_FROM)*('Dvd Calendar'!$AL$66&lt;=GRID_TO)*((('Dvd Calendar'!$AL$66&lt;=VAL_DATE)+(COUNTIF('Dvd Calendar'!$E$73:$AR$73,'Dvd Calendar'!$AL$66)=0))&gt;0)=0,"",'Dvd Calendar'!$AL$66*1000000000+ISNUMBER('Dvd Calendar'!$AL$69)*100000000+('Dvd Calendar'!$AL$71=SPECIAL_LBL)*10000000+(N('Dvd Calendar'!$AL$65)&gt;0)*(N('Dvd Calendar'!$AL$65)&lt;=VAL_SERIAL)*1000000+6*1000+34))</f>
        <v/>
      </c>
      <c r="FM17" s="121">
        <f>IF(N('Dvd Calendar'!$AM$66)=0,"",IF(('Dvd Calendar'!$AM$66&gt;=GRID_FROM)*('Dvd Calendar'!$AM$66&lt;=GRID_TO)*((('Dvd Calendar'!$AM$66&lt;=VAL_DATE)+(COUNTIF('Dvd Calendar'!$E$73:$AR$73,'Dvd Calendar'!$AM$66)=0))&gt;0)=0,"",'Dvd Calendar'!$AM$66*1000000000+ISNUMBER('Dvd Calendar'!$AM$69)*100000000+('Dvd Calendar'!$AM$71=SPECIAL_LBL)*10000000+(N('Dvd Calendar'!$AM$65)&gt;0)*(N('Dvd Calendar'!$AM$65)&lt;=VAL_SERIAL)*1000000+6*1000+35))</f>
        <v/>
      </c>
      <c r="FN17" s="121">
        <f>IF(N('Dvd Calendar'!$AN$66)=0,"",IF(('Dvd Calendar'!$AN$66&gt;=GRID_FROM)*('Dvd Calendar'!$AN$66&lt;=GRID_TO)*((('Dvd Calendar'!$AN$66&lt;=VAL_DATE)+(COUNTIF('Dvd Calendar'!$E$73:$AR$73,'Dvd Calendar'!$AN$66)=0))&gt;0)=0,"",'Dvd Calendar'!$AN$66*1000000000+ISNUMBER('Dvd Calendar'!$AN$69)*100000000+('Dvd Calendar'!$AN$71=SPECIAL_LBL)*10000000+(N('Dvd Calendar'!$AN$65)&gt;0)*(N('Dvd Calendar'!$AN$65)&lt;=VAL_SERIAL)*1000000+6*1000+36))</f>
        <v/>
      </c>
      <c r="FO17" s="121">
        <f>IF(N('Dvd Calendar'!$AO$66)=0,"",IF(('Dvd Calendar'!$AO$66&gt;=GRID_FROM)*('Dvd Calendar'!$AO$66&lt;=GRID_TO)*((('Dvd Calendar'!$AO$66&lt;=VAL_DATE)+(COUNTIF('Dvd Calendar'!$E$73:$AR$73,'Dvd Calendar'!$AO$66)=0))&gt;0)=0,"",'Dvd Calendar'!$AO$66*1000000000+ISNUMBER('Dvd Calendar'!$AO$69)*100000000+('Dvd Calendar'!$AO$71=SPECIAL_LBL)*10000000+(N('Dvd Calendar'!$AO$65)&gt;0)*(N('Dvd Calendar'!$AO$65)&lt;=VAL_SERIAL)*1000000+6*1000+37))</f>
        <v/>
      </c>
      <c r="FP17" s="121">
        <f>IF(N('Dvd Calendar'!$AP$66)=0,"",IF(('Dvd Calendar'!$AP$66&gt;=GRID_FROM)*('Dvd Calendar'!$AP$66&lt;=GRID_TO)*((('Dvd Calendar'!$AP$66&lt;=VAL_DATE)+(COUNTIF('Dvd Calendar'!$E$73:$AR$73,'Dvd Calendar'!$AP$66)=0))&gt;0)=0,"",'Dvd Calendar'!$AP$66*1000000000+ISNUMBER('Dvd Calendar'!$AP$69)*100000000+('Dvd Calendar'!$AP$71=SPECIAL_LBL)*10000000+(N('Dvd Calendar'!$AP$65)&gt;0)*(N('Dvd Calendar'!$AP$65)&lt;=VAL_SERIAL)*1000000+6*1000+38))</f>
        <v/>
      </c>
      <c r="FQ17" s="121">
        <f>IF(N('Dvd Calendar'!$AQ$66)=0,"",IF(('Dvd Calendar'!$AQ$66&gt;=GRID_FROM)*('Dvd Calendar'!$AQ$66&lt;=GRID_TO)*((('Dvd Calendar'!$AQ$66&lt;=VAL_DATE)+(COUNTIF('Dvd Calendar'!$E$73:$AR$73,'Dvd Calendar'!$AQ$66)=0))&gt;0)=0,"",'Dvd Calendar'!$AQ$66*1000000000+ISNUMBER('Dvd Calendar'!$AQ$69)*100000000+('Dvd Calendar'!$AQ$71=SPECIAL_LBL)*10000000+(N('Dvd Calendar'!$AQ$65)&gt;0)*(N('Dvd Calendar'!$AQ$65)&lt;=VAL_SERIAL)*1000000+6*1000+39))</f>
        <v/>
      </c>
      <c r="FR17" s="121">
        <f>IF(N('Dvd Calendar'!$AR$66)=0,"",IF(('Dvd Calendar'!$AR$66&gt;=GRID_FROM)*('Dvd Calendar'!$AR$66&lt;=GRID_TO)*((('Dvd Calendar'!$AR$66&lt;=VAL_DATE)+(COUNTIF('Dvd Calendar'!$E$73:$AR$73,'Dvd Calendar'!$AR$66)=0))&gt;0)=0,"",'Dvd Calendar'!$AR$66*1000000000+ISNUMBER('Dvd Calendar'!$AR$69)*100000000+('Dvd Calendar'!$AR$71=SPECIAL_LBL)*10000000+(N('Dvd Calendar'!$AR$65)&gt;0)*(N('Dvd Calendar'!$AR$65)&lt;=VAL_SERIAL)*1000000+6*1000+40))</f>
        <v/>
      </c>
      <c r="FS17" s="121">
        <f>IF(N('Dvd Calendar'!$E$73)=0,"",IF(('Dvd Calendar'!$E$73&gt;=GRID_FROM)*('Dvd Calendar'!$E$73&lt;=GRID_TO)*('Dvd Calendar'!$E$73&gt;VAL_DATE)=0,"",'Dvd Calendar'!$E$73*1000000000+ISNUMBER('Dvd Calendar'!$E$74)*100000000+0*10000000+(N('Dvd Calendar'!$E$72)&gt;0)*(N('Dvd Calendar'!$E$72)&lt;=VAL_SERIAL)*1000000+6*1000+41))</f>
        <v/>
      </c>
      <c r="FT17" s="121">
        <f>IF(N('Dvd Calendar'!$F$73)=0,"",IF(('Dvd Calendar'!$F$73&gt;=GRID_FROM)*('Dvd Calendar'!$F$73&lt;=GRID_TO)*('Dvd Calendar'!$F$73&gt;VAL_DATE)=0,"",'Dvd Calendar'!$F$73*1000000000+ISNUMBER('Dvd Calendar'!$F$74)*100000000+0*10000000+(N('Dvd Calendar'!$F$72)&gt;0)*(N('Dvd Calendar'!$F$72)&lt;=VAL_SERIAL)*1000000+6*1000+42))</f>
        <v/>
      </c>
      <c r="FU17" s="121">
        <f>IF(N('Dvd Calendar'!$G$73)=0,"",IF(('Dvd Calendar'!$G$73&gt;=GRID_FROM)*('Dvd Calendar'!$G$73&lt;=GRID_TO)*('Dvd Calendar'!$G$73&gt;VAL_DATE)=0,"",'Dvd Calendar'!$G$73*1000000000+ISNUMBER('Dvd Calendar'!$G$74)*100000000+0*10000000+(N('Dvd Calendar'!$G$72)&gt;0)*(N('Dvd Calendar'!$G$72)&lt;=VAL_SERIAL)*1000000+6*1000+43))</f>
        <v/>
      </c>
      <c r="FV17" s="121">
        <f>IF(N('Dvd Calendar'!$H$73)=0,"",IF(('Dvd Calendar'!$H$73&gt;=GRID_FROM)*('Dvd Calendar'!$H$73&lt;=GRID_TO)*('Dvd Calendar'!$H$73&gt;VAL_DATE)=0,"",'Dvd Calendar'!$H$73*1000000000+ISNUMBER('Dvd Calendar'!$H$74)*100000000+0*10000000+(N('Dvd Calendar'!$H$72)&gt;0)*(N('Dvd Calendar'!$H$72)&lt;=VAL_SERIAL)*1000000+6*1000+44))</f>
        <v/>
      </c>
      <c r="FW17" s="121">
        <f>IF(N('Dvd Calendar'!$I$73)=0,"",IF(('Dvd Calendar'!$I$73&gt;=GRID_FROM)*('Dvd Calendar'!$I$73&lt;=GRID_TO)*('Dvd Calendar'!$I$73&gt;VAL_DATE)=0,"",'Dvd Calendar'!$I$73*1000000000+ISNUMBER('Dvd Calendar'!$I$74)*100000000+0*10000000+(N('Dvd Calendar'!$I$72)&gt;0)*(N('Dvd Calendar'!$I$72)&lt;=VAL_SERIAL)*1000000+6*1000+45))</f>
        <v/>
      </c>
      <c r="FX17" s="121">
        <f>IF(N('Dvd Calendar'!$J$73)=0,"",IF(('Dvd Calendar'!$J$73&gt;=GRID_FROM)*('Dvd Calendar'!$J$73&lt;=GRID_TO)*('Dvd Calendar'!$J$73&gt;VAL_DATE)=0,"",'Dvd Calendar'!$J$73*1000000000+ISNUMBER('Dvd Calendar'!$J$74)*100000000+0*10000000+(N('Dvd Calendar'!$J$72)&gt;0)*(N('Dvd Calendar'!$J$72)&lt;=VAL_SERIAL)*1000000+6*1000+46))</f>
        <v/>
      </c>
      <c r="FY17" s="121">
        <f>IF(N('Dvd Calendar'!$K$73)=0,"",IF(('Dvd Calendar'!$K$73&gt;=GRID_FROM)*('Dvd Calendar'!$K$73&lt;=GRID_TO)*('Dvd Calendar'!$K$73&gt;VAL_DATE)=0,"",'Dvd Calendar'!$K$73*1000000000+ISNUMBER('Dvd Calendar'!$K$74)*100000000+0*10000000+(N('Dvd Calendar'!$K$72)&gt;0)*(N('Dvd Calendar'!$K$72)&lt;=VAL_SERIAL)*1000000+6*1000+47))</f>
        <v/>
      </c>
      <c r="FZ17" s="121">
        <f>IF(N('Dvd Calendar'!$L$73)=0,"",IF(('Dvd Calendar'!$L$73&gt;=GRID_FROM)*('Dvd Calendar'!$L$73&lt;=GRID_TO)*('Dvd Calendar'!$L$73&gt;VAL_DATE)=0,"",'Dvd Calendar'!$L$73*1000000000+ISNUMBER('Dvd Calendar'!$L$74)*100000000+0*10000000+(N('Dvd Calendar'!$L$72)&gt;0)*(N('Dvd Calendar'!$L$72)&lt;=VAL_SERIAL)*1000000+6*1000+48))</f>
        <v/>
      </c>
      <c r="GA17" s="121">
        <f>IF(N('Dvd Calendar'!$M$73)=0,"",IF(('Dvd Calendar'!$M$73&gt;=GRID_FROM)*('Dvd Calendar'!$M$73&lt;=GRID_TO)*('Dvd Calendar'!$M$73&gt;VAL_DATE)=0,"",'Dvd Calendar'!$M$73*1000000000+ISNUMBER('Dvd Calendar'!$M$74)*100000000+0*10000000+(N('Dvd Calendar'!$M$72)&gt;0)*(N('Dvd Calendar'!$M$72)&lt;=VAL_SERIAL)*1000000+6*1000+49))</f>
        <v/>
      </c>
      <c r="GB17" s="121">
        <f>IF(N('Dvd Calendar'!$N$73)=0,"",IF(('Dvd Calendar'!$N$73&gt;=GRID_FROM)*('Dvd Calendar'!$N$73&lt;=GRID_TO)*('Dvd Calendar'!$N$73&gt;VAL_DATE)=0,"",'Dvd Calendar'!$N$73*1000000000+ISNUMBER('Dvd Calendar'!$N$74)*100000000+0*10000000+(N('Dvd Calendar'!$N$72)&gt;0)*(N('Dvd Calendar'!$N$72)&lt;=VAL_SERIAL)*1000000+6*1000+50))</f>
        <v/>
      </c>
      <c r="GC17" s="121">
        <f>IF(N('Dvd Calendar'!$O$73)=0,"",IF(('Dvd Calendar'!$O$73&gt;=GRID_FROM)*('Dvd Calendar'!$O$73&lt;=GRID_TO)*('Dvd Calendar'!$O$73&gt;VAL_DATE)=0,"",'Dvd Calendar'!$O$73*1000000000+ISNUMBER('Dvd Calendar'!$O$74)*100000000+0*10000000+(N('Dvd Calendar'!$O$72)&gt;0)*(N('Dvd Calendar'!$O$72)&lt;=VAL_SERIAL)*1000000+6*1000+51))</f>
        <v/>
      </c>
      <c r="GD17" s="121">
        <f>IF(N('Dvd Calendar'!$P$73)=0,"",IF(('Dvd Calendar'!$P$73&gt;=GRID_FROM)*('Dvd Calendar'!$P$73&lt;=GRID_TO)*('Dvd Calendar'!$P$73&gt;VAL_DATE)=0,"",'Dvd Calendar'!$P$73*1000000000+ISNUMBER('Dvd Calendar'!$P$74)*100000000+0*10000000+(N('Dvd Calendar'!$P$72)&gt;0)*(N('Dvd Calendar'!$P$72)&lt;=VAL_SERIAL)*1000000+6*1000+52))</f>
        <v/>
      </c>
      <c r="GE17" s="121">
        <f>IF(N('Dvd Calendar'!$Q$73)=0,"",IF(('Dvd Calendar'!$Q$73&gt;=GRID_FROM)*('Dvd Calendar'!$Q$73&lt;=GRID_TO)*('Dvd Calendar'!$Q$73&gt;VAL_DATE)=0,"",'Dvd Calendar'!$Q$73*1000000000+ISNUMBER('Dvd Calendar'!$Q$74)*100000000+0*10000000+(N('Dvd Calendar'!$Q$72)&gt;0)*(N('Dvd Calendar'!$Q$72)&lt;=VAL_SERIAL)*1000000+6*1000+53))</f>
        <v/>
      </c>
      <c r="GF17" s="121">
        <f>IF(N('Dvd Calendar'!$R$73)=0,"",IF(('Dvd Calendar'!$R$73&gt;=GRID_FROM)*('Dvd Calendar'!$R$73&lt;=GRID_TO)*('Dvd Calendar'!$R$73&gt;VAL_DATE)=0,"",'Dvd Calendar'!$R$73*1000000000+ISNUMBER('Dvd Calendar'!$R$74)*100000000+0*10000000+(N('Dvd Calendar'!$R$72)&gt;0)*(N('Dvd Calendar'!$R$72)&lt;=VAL_SERIAL)*1000000+6*1000+54))</f>
        <v/>
      </c>
      <c r="GG17" s="121">
        <f>IF(N('Dvd Calendar'!$S$73)=0,"",IF(('Dvd Calendar'!$S$73&gt;=GRID_FROM)*('Dvd Calendar'!$S$73&lt;=GRID_TO)*('Dvd Calendar'!$S$73&gt;VAL_DATE)=0,"",'Dvd Calendar'!$S$73*1000000000+ISNUMBER('Dvd Calendar'!$S$74)*100000000+0*10000000+(N('Dvd Calendar'!$S$72)&gt;0)*(N('Dvd Calendar'!$S$72)&lt;=VAL_SERIAL)*1000000+6*1000+55))</f>
        <v/>
      </c>
      <c r="GH17" s="121">
        <f>IF(N('Dvd Calendar'!$T$73)=0,"",IF(('Dvd Calendar'!$T$73&gt;=GRID_FROM)*('Dvd Calendar'!$T$73&lt;=GRID_TO)*('Dvd Calendar'!$T$73&gt;VAL_DATE)=0,"",'Dvd Calendar'!$T$73*1000000000+ISNUMBER('Dvd Calendar'!$T$74)*100000000+0*10000000+(N('Dvd Calendar'!$T$72)&gt;0)*(N('Dvd Calendar'!$T$72)&lt;=VAL_SERIAL)*1000000+6*1000+56))</f>
        <v/>
      </c>
      <c r="GI17" s="121">
        <f>IF(N('Dvd Calendar'!$U$73)=0,"",IF(('Dvd Calendar'!$U$73&gt;=GRID_FROM)*('Dvd Calendar'!$U$73&lt;=GRID_TO)*('Dvd Calendar'!$U$73&gt;VAL_DATE)=0,"",'Dvd Calendar'!$U$73*1000000000+ISNUMBER('Dvd Calendar'!$U$74)*100000000+0*10000000+(N('Dvd Calendar'!$U$72)&gt;0)*(N('Dvd Calendar'!$U$72)&lt;=VAL_SERIAL)*1000000+6*1000+57))</f>
        <v/>
      </c>
      <c r="GJ17" s="121">
        <f>IF(N('Dvd Calendar'!$V$73)=0,"",IF(('Dvd Calendar'!$V$73&gt;=GRID_FROM)*('Dvd Calendar'!$V$73&lt;=GRID_TO)*('Dvd Calendar'!$V$73&gt;VAL_DATE)=0,"",'Dvd Calendar'!$V$73*1000000000+ISNUMBER('Dvd Calendar'!$V$74)*100000000+0*10000000+(N('Dvd Calendar'!$V$72)&gt;0)*(N('Dvd Calendar'!$V$72)&lt;=VAL_SERIAL)*1000000+6*1000+58))</f>
        <v/>
      </c>
      <c r="GK17" s="121">
        <f>IF(N('Dvd Calendar'!$W$73)=0,"",IF(('Dvd Calendar'!$W$73&gt;=GRID_FROM)*('Dvd Calendar'!$W$73&lt;=GRID_TO)*('Dvd Calendar'!$W$73&gt;VAL_DATE)=0,"",'Dvd Calendar'!$W$73*1000000000+ISNUMBER('Dvd Calendar'!$W$74)*100000000+0*10000000+(N('Dvd Calendar'!$W$72)&gt;0)*(N('Dvd Calendar'!$W$72)&lt;=VAL_SERIAL)*1000000+6*1000+59))</f>
        <v/>
      </c>
      <c r="GL17" s="121">
        <f>IF(N('Dvd Calendar'!$X$73)=0,"",IF(('Dvd Calendar'!$X$73&gt;=GRID_FROM)*('Dvd Calendar'!$X$73&lt;=GRID_TO)*('Dvd Calendar'!$X$73&gt;VAL_DATE)=0,"",'Dvd Calendar'!$X$73*1000000000+ISNUMBER('Dvd Calendar'!$X$74)*100000000+0*10000000+(N('Dvd Calendar'!$X$72)&gt;0)*(N('Dvd Calendar'!$X$72)&lt;=VAL_SERIAL)*1000000+6*1000+60))</f>
        <v/>
      </c>
      <c r="GM17" s="121">
        <f>IF(N('Dvd Calendar'!$Y$73)=0,"",IF(('Dvd Calendar'!$Y$73&gt;=GRID_FROM)*('Dvd Calendar'!$Y$73&lt;=GRID_TO)*('Dvd Calendar'!$Y$73&gt;VAL_DATE)=0,"",'Dvd Calendar'!$Y$73*1000000000+ISNUMBER('Dvd Calendar'!$Y$74)*100000000+0*10000000+(N('Dvd Calendar'!$Y$72)&gt;0)*(N('Dvd Calendar'!$Y$72)&lt;=VAL_SERIAL)*1000000+6*1000+61))</f>
        <v/>
      </c>
      <c r="GN17" s="121">
        <f>IF(N('Dvd Calendar'!$Z$73)=0,"",IF(('Dvd Calendar'!$Z$73&gt;=GRID_FROM)*('Dvd Calendar'!$Z$73&lt;=GRID_TO)*('Dvd Calendar'!$Z$73&gt;VAL_DATE)=0,"",'Dvd Calendar'!$Z$73*1000000000+ISNUMBER('Dvd Calendar'!$Z$74)*100000000+0*10000000+(N('Dvd Calendar'!$Z$72)&gt;0)*(N('Dvd Calendar'!$Z$72)&lt;=VAL_SERIAL)*1000000+6*1000+62))</f>
        <v/>
      </c>
      <c r="GO17" s="121">
        <f>IF(N('Dvd Calendar'!$AA$73)=0,"",IF(('Dvd Calendar'!$AA$73&gt;=GRID_FROM)*('Dvd Calendar'!$AA$73&lt;=GRID_TO)*('Dvd Calendar'!$AA$73&gt;VAL_DATE)=0,"",'Dvd Calendar'!$AA$73*1000000000+ISNUMBER('Dvd Calendar'!$AA$74)*100000000+0*10000000+(N('Dvd Calendar'!$AA$72)&gt;0)*(N('Dvd Calendar'!$AA$72)&lt;=VAL_SERIAL)*1000000+6*1000+63))</f>
        <v/>
      </c>
      <c r="GP17" s="121">
        <f>IF(N('Dvd Calendar'!$AB$73)=0,"",IF(('Dvd Calendar'!$AB$73&gt;=GRID_FROM)*('Dvd Calendar'!$AB$73&lt;=GRID_TO)*('Dvd Calendar'!$AB$73&gt;VAL_DATE)=0,"",'Dvd Calendar'!$AB$73*1000000000+ISNUMBER('Dvd Calendar'!$AB$74)*100000000+0*10000000+(N('Dvd Calendar'!$AB$72)&gt;0)*(N('Dvd Calendar'!$AB$72)&lt;=VAL_SERIAL)*1000000+6*1000+64))</f>
        <v/>
      </c>
      <c r="GQ17" s="121">
        <f>IF(N('Dvd Calendar'!$AC$73)=0,"",IF(('Dvd Calendar'!$AC$73&gt;=GRID_FROM)*('Dvd Calendar'!$AC$73&lt;=GRID_TO)*('Dvd Calendar'!$AC$73&gt;VAL_DATE)=0,"",'Dvd Calendar'!$AC$73*1000000000+ISNUMBER('Dvd Calendar'!$AC$74)*100000000+0*10000000+(N('Dvd Calendar'!$AC$72)&gt;0)*(N('Dvd Calendar'!$AC$72)&lt;=VAL_SERIAL)*1000000+6*1000+65))</f>
        <v/>
      </c>
    </row>
    <row r="18">
      <c r="B18" s="2">
        <f>IF(HSI!$C$13="","",HSI!$C$13)</f>
        <v/>
      </c>
      <c r="C18" s="161">
        <f>IF(EE18="","",IF(ISNUMBER('Dvd Calendar'!$E$80)=FALSE,"",IF((('Dvd Calendar'!$E$82=TYPE1)*(TYPE1&lt;&gt;"")+('Dvd Calendar'!$E$82=TYPE2)*(TYPE2&lt;&gt;"")+('Dvd Calendar'!$E$82=TYPE3)*(TYPE3&lt;&gt;"")+('Dvd Calendar'!$E$82=TYPE4)*(TYPE4&lt;&gt;"")+('Dvd Calendar'!$E$82=SPECIAL_LBL)*(INC_SPECIALS="Y"))=0,"",'Dvd Calendar'!$E$80)))</f>
        <v/>
      </c>
      <c r="D18" s="161">
        <f>IF(EF18="","",IF(ISNUMBER('Dvd Calendar'!$F$80)=FALSE,"",IF((('Dvd Calendar'!$F$82=TYPE1)*(TYPE1&lt;&gt;"")+('Dvd Calendar'!$F$82=TYPE2)*(TYPE2&lt;&gt;"")+('Dvd Calendar'!$F$82=TYPE3)*(TYPE3&lt;&gt;"")+('Dvd Calendar'!$F$82=TYPE4)*(TYPE4&lt;&gt;"")+('Dvd Calendar'!$F$82=SPECIAL_LBL)*(INC_SPECIALS="Y"))=0,"",'Dvd Calendar'!$F$80)))</f>
        <v/>
      </c>
      <c r="E18" s="161">
        <f>IF(EG18="","",IF(ISNUMBER('Dvd Calendar'!$G$80)=FALSE,"",IF((('Dvd Calendar'!$G$82=TYPE1)*(TYPE1&lt;&gt;"")+('Dvd Calendar'!$G$82=TYPE2)*(TYPE2&lt;&gt;"")+('Dvd Calendar'!$G$82=TYPE3)*(TYPE3&lt;&gt;"")+('Dvd Calendar'!$G$82=TYPE4)*(TYPE4&lt;&gt;"")+('Dvd Calendar'!$G$82=SPECIAL_LBL)*(INC_SPECIALS="Y"))=0,"",'Dvd Calendar'!$G$80)))</f>
        <v/>
      </c>
      <c r="F18" s="161">
        <f>IF(EH18="","",IF(ISNUMBER('Dvd Calendar'!$H$80)=FALSE,"",IF((('Dvd Calendar'!$H$82=TYPE1)*(TYPE1&lt;&gt;"")+('Dvd Calendar'!$H$82=TYPE2)*(TYPE2&lt;&gt;"")+('Dvd Calendar'!$H$82=TYPE3)*(TYPE3&lt;&gt;"")+('Dvd Calendar'!$H$82=TYPE4)*(TYPE4&lt;&gt;"")+('Dvd Calendar'!$H$82=SPECIAL_LBL)*(INC_SPECIALS="Y"))=0,"",'Dvd Calendar'!$H$80)))</f>
        <v/>
      </c>
      <c r="G18" s="161">
        <f>IF(EI18="","",IF(ISNUMBER('Dvd Calendar'!$I$80)=FALSE,"",IF((('Dvd Calendar'!$I$82=TYPE1)*(TYPE1&lt;&gt;"")+('Dvd Calendar'!$I$82=TYPE2)*(TYPE2&lt;&gt;"")+('Dvd Calendar'!$I$82=TYPE3)*(TYPE3&lt;&gt;"")+('Dvd Calendar'!$I$82=TYPE4)*(TYPE4&lt;&gt;"")+('Dvd Calendar'!$I$82=SPECIAL_LBL)*(INC_SPECIALS="Y"))=0,"",'Dvd Calendar'!$I$80)))</f>
        <v/>
      </c>
      <c r="H18" s="161">
        <f>IF(EJ18="","",IF(ISNUMBER('Dvd Calendar'!$J$80)=FALSE,"",IF((('Dvd Calendar'!$J$82=TYPE1)*(TYPE1&lt;&gt;"")+('Dvd Calendar'!$J$82=TYPE2)*(TYPE2&lt;&gt;"")+('Dvd Calendar'!$J$82=TYPE3)*(TYPE3&lt;&gt;"")+('Dvd Calendar'!$J$82=TYPE4)*(TYPE4&lt;&gt;"")+('Dvd Calendar'!$J$82=SPECIAL_LBL)*(INC_SPECIALS="Y"))=0,"",'Dvd Calendar'!$J$80)))</f>
        <v/>
      </c>
      <c r="I18" s="161">
        <f>IF(EK18="","",IF(ISNUMBER('Dvd Calendar'!$K$80)=FALSE,"",IF((('Dvd Calendar'!$K$82=TYPE1)*(TYPE1&lt;&gt;"")+('Dvd Calendar'!$K$82=TYPE2)*(TYPE2&lt;&gt;"")+('Dvd Calendar'!$K$82=TYPE3)*(TYPE3&lt;&gt;"")+('Dvd Calendar'!$K$82=TYPE4)*(TYPE4&lt;&gt;"")+('Dvd Calendar'!$K$82=SPECIAL_LBL)*(INC_SPECIALS="Y"))=0,"",'Dvd Calendar'!$K$80)))</f>
        <v/>
      </c>
      <c r="J18" s="161">
        <f>IF(EL18="","",IF(ISNUMBER('Dvd Calendar'!$L$80)=FALSE,"",IF((('Dvd Calendar'!$L$82=TYPE1)*(TYPE1&lt;&gt;"")+('Dvd Calendar'!$L$82=TYPE2)*(TYPE2&lt;&gt;"")+('Dvd Calendar'!$L$82=TYPE3)*(TYPE3&lt;&gt;"")+('Dvd Calendar'!$L$82=TYPE4)*(TYPE4&lt;&gt;"")+('Dvd Calendar'!$L$82=SPECIAL_LBL)*(INC_SPECIALS="Y"))=0,"",'Dvd Calendar'!$L$80)))</f>
        <v/>
      </c>
      <c r="K18" s="161">
        <f>IF(EM18="","",IF(ISNUMBER('Dvd Calendar'!$M$80)=FALSE,"",IF((('Dvd Calendar'!$M$82=TYPE1)*(TYPE1&lt;&gt;"")+('Dvd Calendar'!$M$82=TYPE2)*(TYPE2&lt;&gt;"")+('Dvd Calendar'!$M$82=TYPE3)*(TYPE3&lt;&gt;"")+('Dvd Calendar'!$M$82=TYPE4)*(TYPE4&lt;&gt;"")+('Dvd Calendar'!$M$82=SPECIAL_LBL)*(INC_SPECIALS="Y"))=0,"",'Dvd Calendar'!$M$80)))</f>
        <v/>
      </c>
      <c r="L18" s="161">
        <f>IF(EN18="","",IF(ISNUMBER('Dvd Calendar'!$N$80)=FALSE,"",IF((('Dvd Calendar'!$N$82=TYPE1)*(TYPE1&lt;&gt;"")+('Dvd Calendar'!$N$82=TYPE2)*(TYPE2&lt;&gt;"")+('Dvd Calendar'!$N$82=TYPE3)*(TYPE3&lt;&gt;"")+('Dvd Calendar'!$N$82=TYPE4)*(TYPE4&lt;&gt;"")+('Dvd Calendar'!$N$82=SPECIAL_LBL)*(INC_SPECIALS="Y"))=0,"",'Dvd Calendar'!$N$80)))</f>
        <v/>
      </c>
      <c r="M18" s="161">
        <f>IF(EO18="","",IF(ISNUMBER('Dvd Calendar'!$O$80)=FALSE,"",IF((('Dvd Calendar'!$O$82=TYPE1)*(TYPE1&lt;&gt;"")+('Dvd Calendar'!$O$82=TYPE2)*(TYPE2&lt;&gt;"")+('Dvd Calendar'!$O$82=TYPE3)*(TYPE3&lt;&gt;"")+('Dvd Calendar'!$O$82=TYPE4)*(TYPE4&lt;&gt;"")+('Dvd Calendar'!$O$82=SPECIAL_LBL)*(INC_SPECIALS="Y"))=0,"",'Dvd Calendar'!$O$80)))</f>
        <v/>
      </c>
      <c r="N18" s="161">
        <f>IF(EP18="","",IF(ISNUMBER('Dvd Calendar'!$P$80)=FALSE,"",IF((('Dvd Calendar'!$P$82=TYPE1)*(TYPE1&lt;&gt;"")+('Dvd Calendar'!$P$82=TYPE2)*(TYPE2&lt;&gt;"")+('Dvd Calendar'!$P$82=TYPE3)*(TYPE3&lt;&gt;"")+('Dvd Calendar'!$P$82=TYPE4)*(TYPE4&lt;&gt;"")+('Dvd Calendar'!$P$82=SPECIAL_LBL)*(INC_SPECIALS="Y"))=0,"",'Dvd Calendar'!$P$80)))</f>
        <v/>
      </c>
      <c r="O18" s="161">
        <f>IF(EQ18="","",IF(ISNUMBER('Dvd Calendar'!$Q$80)=FALSE,"",IF((('Dvd Calendar'!$Q$82=TYPE1)*(TYPE1&lt;&gt;"")+('Dvd Calendar'!$Q$82=TYPE2)*(TYPE2&lt;&gt;"")+('Dvd Calendar'!$Q$82=TYPE3)*(TYPE3&lt;&gt;"")+('Dvd Calendar'!$Q$82=TYPE4)*(TYPE4&lt;&gt;"")+('Dvd Calendar'!$Q$82=SPECIAL_LBL)*(INC_SPECIALS="Y"))=0,"",'Dvd Calendar'!$Q$80)))</f>
        <v/>
      </c>
      <c r="P18" s="161">
        <f>IF(ER18="","",IF(ISNUMBER('Dvd Calendar'!$R$80)=FALSE,"",IF((('Dvd Calendar'!$R$82=TYPE1)*(TYPE1&lt;&gt;"")+('Dvd Calendar'!$R$82=TYPE2)*(TYPE2&lt;&gt;"")+('Dvd Calendar'!$R$82=TYPE3)*(TYPE3&lt;&gt;"")+('Dvd Calendar'!$R$82=TYPE4)*(TYPE4&lt;&gt;"")+('Dvd Calendar'!$R$82=SPECIAL_LBL)*(INC_SPECIALS="Y"))=0,"",'Dvd Calendar'!$R$80)))</f>
        <v/>
      </c>
      <c r="Q18" s="161">
        <f>IF(ES18="","",IF(ISNUMBER('Dvd Calendar'!$S$80)=FALSE,"",IF((('Dvd Calendar'!$S$82=TYPE1)*(TYPE1&lt;&gt;"")+('Dvd Calendar'!$S$82=TYPE2)*(TYPE2&lt;&gt;"")+('Dvd Calendar'!$S$82=TYPE3)*(TYPE3&lt;&gt;"")+('Dvd Calendar'!$S$82=TYPE4)*(TYPE4&lt;&gt;"")+('Dvd Calendar'!$S$82=SPECIAL_LBL)*(INC_SPECIALS="Y"))=0,"",'Dvd Calendar'!$S$80)))</f>
        <v/>
      </c>
      <c r="R18" s="161">
        <f>IF(ET18="","",IF(ISNUMBER('Dvd Calendar'!$T$80)=FALSE,"",IF((('Dvd Calendar'!$T$82=TYPE1)*(TYPE1&lt;&gt;"")+('Dvd Calendar'!$T$82=TYPE2)*(TYPE2&lt;&gt;"")+('Dvd Calendar'!$T$82=TYPE3)*(TYPE3&lt;&gt;"")+('Dvd Calendar'!$T$82=TYPE4)*(TYPE4&lt;&gt;"")+('Dvd Calendar'!$T$82=SPECIAL_LBL)*(INC_SPECIALS="Y"))=0,"",'Dvd Calendar'!$T$80)))</f>
        <v/>
      </c>
      <c r="S18" s="161">
        <f>IF(EU18="","",IF(ISNUMBER('Dvd Calendar'!$U$80)=FALSE,"",IF((('Dvd Calendar'!$U$82=TYPE1)*(TYPE1&lt;&gt;"")+('Dvd Calendar'!$U$82=TYPE2)*(TYPE2&lt;&gt;"")+('Dvd Calendar'!$U$82=TYPE3)*(TYPE3&lt;&gt;"")+('Dvd Calendar'!$U$82=TYPE4)*(TYPE4&lt;&gt;"")+('Dvd Calendar'!$U$82=SPECIAL_LBL)*(INC_SPECIALS="Y"))=0,"",'Dvd Calendar'!$U$80)))</f>
        <v/>
      </c>
      <c r="T18" s="161">
        <f>IF(EV18="","",IF(ISNUMBER('Dvd Calendar'!$V$80)=FALSE,"",IF((('Dvd Calendar'!$V$82=TYPE1)*(TYPE1&lt;&gt;"")+('Dvd Calendar'!$V$82=TYPE2)*(TYPE2&lt;&gt;"")+('Dvd Calendar'!$V$82=TYPE3)*(TYPE3&lt;&gt;"")+('Dvd Calendar'!$V$82=TYPE4)*(TYPE4&lt;&gt;"")+('Dvd Calendar'!$V$82=SPECIAL_LBL)*(INC_SPECIALS="Y"))=0,"",'Dvd Calendar'!$V$80)))</f>
        <v/>
      </c>
      <c r="U18" s="161">
        <f>IF(EW18="","",IF(ISNUMBER('Dvd Calendar'!$W$80)=FALSE,"",IF((('Dvd Calendar'!$W$82=TYPE1)*(TYPE1&lt;&gt;"")+('Dvd Calendar'!$W$82=TYPE2)*(TYPE2&lt;&gt;"")+('Dvd Calendar'!$W$82=TYPE3)*(TYPE3&lt;&gt;"")+('Dvd Calendar'!$W$82=TYPE4)*(TYPE4&lt;&gt;"")+('Dvd Calendar'!$W$82=SPECIAL_LBL)*(INC_SPECIALS="Y"))=0,"",'Dvd Calendar'!$W$80)))</f>
        <v/>
      </c>
      <c r="V18" s="161">
        <f>IF(EX18="","",IF(ISNUMBER('Dvd Calendar'!$X$80)=FALSE,"",IF((('Dvd Calendar'!$X$82=TYPE1)*(TYPE1&lt;&gt;"")+('Dvd Calendar'!$X$82=TYPE2)*(TYPE2&lt;&gt;"")+('Dvd Calendar'!$X$82=TYPE3)*(TYPE3&lt;&gt;"")+('Dvd Calendar'!$X$82=TYPE4)*(TYPE4&lt;&gt;"")+('Dvd Calendar'!$X$82=SPECIAL_LBL)*(INC_SPECIALS="Y"))=0,"",'Dvd Calendar'!$X$80)))</f>
        <v/>
      </c>
      <c r="W18" s="161">
        <f>IF(EY18="","",IF(ISNUMBER('Dvd Calendar'!$Y$80)=FALSE,"",IF((('Dvd Calendar'!$Y$82=TYPE1)*(TYPE1&lt;&gt;"")+('Dvd Calendar'!$Y$82=TYPE2)*(TYPE2&lt;&gt;"")+('Dvd Calendar'!$Y$82=TYPE3)*(TYPE3&lt;&gt;"")+('Dvd Calendar'!$Y$82=TYPE4)*(TYPE4&lt;&gt;"")+('Dvd Calendar'!$Y$82=SPECIAL_LBL)*(INC_SPECIALS="Y"))=0,"",'Dvd Calendar'!$Y$80)))</f>
        <v/>
      </c>
      <c r="X18" s="161">
        <f>IF(EZ18="","",IF(ISNUMBER('Dvd Calendar'!$Z$80)=FALSE,"",IF((('Dvd Calendar'!$Z$82=TYPE1)*(TYPE1&lt;&gt;"")+('Dvd Calendar'!$Z$82=TYPE2)*(TYPE2&lt;&gt;"")+('Dvd Calendar'!$Z$82=TYPE3)*(TYPE3&lt;&gt;"")+('Dvd Calendar'!$Z$82=TYPE4)*(TYPE4&lt;&gt;"")+('Dvd Calendar'!$Z$82=SPECIAL_LBL)*(INC_SPECIALS="Y"))=0,"",'Dvd Calendar'!$Z$80)))</f>
        <v/>
      </c>
      <c r="Y18" s="161">
        <f>IF(FA18="","",IF(ISNUMBER('Dvd Calendar'!$AA$80)=FALSE,"",IF((('Dvd Calendar'!$AA$82=TYPE1)*(TYPE1&lt;&gt;"")+('Dvd Calendar'!$AA$82=TYPE2)*(TYPE2&lt;&gt;"")+('Dvd Calendar'!$AA$82=TYPE3)*(TYPE3&lt;&gt;"")+('Dvd Calendar'!$AA$82=TYPE4)*(TYPE4&lt;&gt;"")+('Dvd Calendar'!$AA$82=SPECIAL_LBL)*(INC_SPECIALS="Y"))=0,"",'Dvd Calendar'!$AA$80)))</f>
        <v/>
      </c>
      <c r="Z18" s="161">
        <f>IF(FB18="","",IF(ISNUMBER('Dvd Calendar'!$AB$80)=FALSE,"",IF((('Dvd Calendar'!$AB$82=TYPE1)*(TYPE1&lt;&gt;"")+('Dvd Calendar'!$AB$82=TYPE2)*(TYPE2&lt;&gt;"")+('Dvd Calendar'!$AB$82=TYPE3)*(TYPE3&lt;&gt;"")+('Dvd Calendar'!$AB$82=TYPE4)*(TYPE4&lt;&gt;"")+('Dvd Calendar'!$AB$82=SPECIAL_LBL)*(INC_SPECIALS="Y"))=0,"",'Dvd Calendar'!$AB$80)))</f>
        <v/>
      </c>
      <c r="AA18" s="161">
        <f>IF(FC18="","",IF(ISNUMBER('Dvd Calendar'!$AC$80)=FALSE,"",IF((('Dvd Calendar'!$AC$82=TYPE1)*(TYPE1&lt;&gt;"")+('Dvd Calendar'!$AC$82=TYPE2)*(TYPE2&lt;&gt;"")+('Dvd Calendar'!$AC$82=TYPE3)*(TYPE3&lt;&gt;"")+('Dvd Calendar'!$AC$82=TYPE4)*(TYPE4&lt;&gt;"")+('Dvd Calendar'!$AC$82=SPECIAL_LBL)*(INC_SPECIALS="Y"))=0,"",'Dvd Calendar'!$AC$80)))</f>
        <v/>
      </c>
      <c r="AB18" s="161">
        <f>IF(FD18="","",IF(ISNUMBER('Dvd Calendar'!$AD$80)=FALSE,"",IF((('Dvd Calendar'!$AD$82=TYPE1)*(TYPE1&lt;&gt;"")+('Dvd Calendar'!$AD$82=TYPE2)*(TYPE2&lt;&gt;"")+('Dvd Calendar'!$AD$82=TYPE3)*(TYPE3&lt;&gt;"")+('Dvd Calendar'!$AD$82=TYPE4)*(TYPE4&lt;&gt;"")+('Dvd Calendar'!$AD$82=SPECIAL_LBL)*(INC_SPECIALS="Y"))=0,"",'Dvd Calendar'!$AD$80)))</f>
        <v/>
      </c>
      <c r="AC18" s="161">
        <f>IF(FE18="","",IF(ISNUMBER('Dvd Calendar'!$AE$80)=FALSE,"",IF((('Dvd Calendar'!$AE$82=TYPE1)*(TYPE1&lt;&gt;"")+('Dvd Calendar'!$AE$82=TYPE2)*(TYPE2&lt;&gt;"")+('Dvd Calendar'!$AE$82=TYPE3)*(TYPE3&lt;&gt;"")+('Dvd Calendar'!$AE$82=TYPE4)*(TYPE4&lt;&gt;"")+('Dvd Calendar'!$AE$82=SPECIAL_LBL)*(INC_SPECIALS="Y"))=0,"",'Dvd Calendar'!$AE$80)))</f>
        <v/>
      </c>
      <c r="AD18" s="161">
        <f>IF(FF18="","",IF(ISNUMBER('Dvd Calendar'!$AF$80)=FALSE,"",IF((('Dvd Calendar'!$AF$82=TYPE1)*(TYPE1&lt;&gt;"")+('Dvd Calendar'!$AF$82=TYPE2)*(TYPE2&lt;&gt;"")+('Dvd Calendar'!$AF$82=TYPE3)*(TYPE3&lt;&gt;"")+('Dvd Calendar'!$AF$82=TYPE4)*(TYPE4&lt;&gt;"")+('Dvd Calendar'!$AF$82=SPECIAL_LBL)*(INC_SPECIALS="Y"))=0,"",'Dvd Calendar'!$AF$80)))</f>
        <v/>
      </c>
      <c r="AE18" s="161">
        <f>IF(FG18="","",IF(ISNUMBER('Dvd Calendar'!$AG$80)=FALSE,"",IF((('Dvd Calendar'!$AG$82=TYPE1)*(TYPE1&lt;&gt;"")+('Dvd Calendar'!$AG$82=TYPE2)*(TYPE2&lt;&gt;"")+('Dvd Calendar'!$AG$82=TYPE3)*(TYPE3&lt;&gt;"")+('Dvd Calendar'!$AG$82=TYPE4)*(TYPE4&lt;&gt;"")+('Dvd Calendar'!$AG$82=SPECIAL_LBL)*(INC_SPECIALS="Y"))=0,"",'Dvd Calendar'!$AG$80)))</f>
        <v/>
      </c>
      <c r="AF18" s="161">
        <f>IF(FH18="","",IF(ISNUMBER('Dvd Calendar'!$AH$80)=FALSE,"",IF((('Dvd Calendar'!$AH$82=TYPE1)*(TYPE1&lt;&gt;"")+('Dvd Calendar'!$AH$82=TYPE2)*(TYPE2&lt;&gt;"")+('Dvd Calendar'!$AH$82=TYPE3)*(TYPE3&lt;&gt;"")+('Dvd Calendar'!$AH$82=TYPE4)*(TYPE4&lt;&gt;"")+('Dvd Calendar'!$AH$82=SPECIAL_LBL)*(INC_SPECIALS="Y"))=0,"",'Dvd Calendar'!$AH$80)))</f>
        <v/>
      </c>
      <c r="AG18" s="161">
        <f>IF(FI18="","",IF(ISNUMBER('Dvd Calendar'!$AI$80)=FALSE,"",IF((('Dvd Calendar'!$AI$82=TYPE1)*(TYPE1&lt;&gt;"")+('Dvd Calendar'!$AI$82=TYPE2)*(TYPE2&lt;&gt;"")+('Dvd Calendar'!$AI$82=TYPE3)*(TYPE3&lt;&gt;"")+('Dvd Calendar'!$AI$82=TYPE4)*(TYPE4&lt;&gt;"")+('Dvd Calendar'!$AI$82=SPECIAL_LBL)*(INC_SPECIALS="Y"))=0,"",'Dvd Calendar'!$AI$80)))</f>
        <v/>
      </c>
      <c r="AH18" s="161">
        <f>IF(FJ18="","",IF(ISNUMBER('Dvd Calendar'!$AJ$80)=FALSE,"",IF((('Dvd Calendar'!$AJ$82=TYPE1)*(TYPE1&lt;&gt;"")+('Dvd Calendar'!$AJ$82=TYPE2)*(TYPE2&lt;&gt;"")+('Dvd Calendar'!$AJ$82=TYPE3)*(TYPE3&lt;&gt;"")+('Dvd Calendar'!$AJ$82=TYPE4)*(TYPE4&lt;&gt;"")+('Dvd Calendar'!$AJ$82=SPECIAL_LBL)*(INC_SPECIALS="Y"))=0,"",'Dvd Calendar'!$AJ$80)))</f>
        <v/>
      </c>
      <c r="AI18" s="161">
        <f>IF(FK18="","",IF(ISNUMBER('Dvd Calendar'!$AK$80)=FALSE,"",IF((('Dvd Calendar'!$AK$82=TYPE1)*(TYPE1&lt;&gt;"")+('Dvd Calendar'!$AK$82=TYPE2)*(TYPE2&lt;&gt;"")+('Dvd Calendar'!$AK$82=TYPE3)*(TYPE3&lt;&gt;"")+('Dvd Calendar'!$AK$82=TYPE4)*(TYPE4&lt;&gt;"")+('Dvd Calendar'!$AK$82=SPECIAL_LBL)*(INC_SPECIALS="Y"))=0,"",'Dvd Calendar'!$AK$80)))</f>
        <v/>
      </c>
      <c r="AJ18" s="161">
        <f>IF(FL18="","",IF(ISNUMBER('Dvd Calendar'!$AL$80)=FALSE,"",IF((('Dvd Calendar'!$AL$82=TYPE1)*(TYPE1&lt;&gt;"")+('Dvd Calendar'!$AL$82=TYPE2)*(TYPE2&lt;&gt;"")+('Dvd Calendar'!$AL$82=TYPE3)*(TYPE3&lt;&gt;"")+('Dvd Calendar'!$AL$82=TYPE4)*(TYPE4&lt;&gt;"")+('Dvd Calendar'!$AL$82=SPECIAL_LBL)*(INC_SPECIALS="Y"))=0,"",'Dvd Calendar'!$AL$80)))</f>
        <v/>
      </c>
      <c r="AK18" s="161">
        <f>IF(FM18="","",IF(ISNUMBER('Dvd Calendar'!$AM$80)=FALSE,"",IF((('Dvd Calendar'!$AM$82=TYPE1)*(TYPE1&lt;&gt;"")+('Dvd Calendar'!$AM$82=TYPE2)*(TYPE2&lt;&gt;"")+('Dvd Calendar'!$AM$82=TYPE3)*(TYPE3&lt;&gt;"")+('Dvd Calendar'!$AM$82=TYPE4)*(TYPE4&lt;&gt;"")+('Dvd Calendar'!$AM$82=SPECIAL_LBL)*(INC_SPECIALS="Y"))=0,"",'Dvd Calendar'!$AM$80)))</f>
        <v/>
      </c>
      <c r="AL18" s="161">
        <f>IF(FN18="","",IF(ISNUMBER('Dvd Calendar'!$AN$80)=FALSE,"",IF((('Dvd Calendar'!$AN$82=TYPE1)*(TYPE1&lt;&gt;"")+('Dvd Calendar'!$AN$82=TYPE2)*(TYPE2&lt;&gt;"")+('Dvd Calendar'!$AN$82=TYPE3)*(TYPE3&lt;&gt;"")+('Dvd Calendar'!$AN$82=TYPE4)*(TYPE4&lt;&gt;"")+('Dvd Calendar'!$AN$82=SPECIAL_LBL)*(INC_SPECIALS="Y"))=0,"",'Dvd Calendar'!$AN$80)))</f>
        <v/>
      </c>
      <c r="AM18" s="161">
        <f>IF(FO18="","",IF(ISNUMBER('Dvd Calendar'!$AO$80)=FALSE,"",IF((('Dvd Calendar'!$AO$82=TYPE1)*(TYPE1&lt;&gt;"")+('Dvd Calendar'!$AO$82=TYPE2)*(TYPE2&lt;&gt;"")+('Dvd Calendar'!$AO$82=TYPE3)*(TYPE3&lt;&gt;"")+('Dvd Calendar'!$AO$82=TYPE4)*(TYPE4&lt;&gt;"")+('Dvd Calendar'!$AO$82=SPECIAL_LBL)*(INC_SPECIALS="Y"))=0,"",'Dvd Calendar'!$AO$80)))</f>
        <v/>
      </c>
      <c r="AN18" s="161">
        <f>IF(FP18="","",IF(ISNUMBER('Dvd Calendar'!$AP$80)=FALSE,"",IF((('Dvd Calendar'!$AP$82=TYPE1)*(TYPE1&lt;&gt;"")+('Dvd Calendar'!$AP$82=TYPE2)*(TYPE2&lt;&gt;"")+('Dvd Calendar'!$AP$82=TYPE3)*(TYPE3&lt;&gt;"")+('Dvd Calendar'!$AP$82=TYPE4)*(TYPE4&lt;&gt;"")+('Dvd Calendar'!$AP$82=SPECIAL_LBL)*(INC_SPECIALS="Y"))=0,"",'Dvd Calendar'!$AP$80)))</f>
        <v/>
      </c>
      <c r="AO18" s="161">
        <f>IF(FQ18="","",IF(ISNUMBER('Dvd Calendar'!$AQ$80)=FALSE,"",IF((('Dvd Calendar'!$AQ$82=TYPE1)*(TYPE1&lt;&gt;"")+('Dvd Calendar'!$AQ$82=TYPE2)*(TYPE2&lt;&gt;"")+('Dvd Calendar'!$AQ$82=TYPE3)*(TYPE3&lt;&gt;"")+('Dvd Calendar'!$AQ$82=TYPE4)*(TYPE4&lt;&gt;"")+('Dvd Calendar'!$AQ$82=SPECIAL_LBL)*(INC_SPECIALS="Y"))=0,"",'Dvd Calendar'!$AQ$80)))</f>
        <v/>
      </c>
      <c r="AP18" s="161">
        <f>IF(FR18="","",IF(ISNUMBER('Dvd Calendar'!$AR$80)=FALSE,"",IF((('Dvd Calendar'!$AR$82=TYPE1)*(TYPE1&lt;&gt;"")+('Dvd Calendar'!$AR$82=TYPE2)*(TYPE2&lt;&gt;"")+('Dvd Calendar'!$AR$82=TYPE3)*(TYPE3&lt;&gt;"")+('Dvd Calendar'!$AR$82=TYPE4)*(TYPE4&lt;&gt;"")+('Dvd Calendar'!$AR$82=SPECIAL_LBL)*(INC_SPECIALS="Y"))=0,"",'Dvd Calendar'!$AR$80)))</f>
        <v/>
      </c>
      <c r="AQ18" s="161">
        <f>IF(FS18="","",IF(ISNUMBER('Dvd Calendar'!$E$85)=FALSE,"",'Dvd Calendar'!$E$85))</f>
        <v/>
      </c>
      <c r="AR18" s="161">
        <f>IF(FT18="","",IF(ISNUMBER('Dvd Calendar'!$F$85)=FALSE,"",'Dvd Calendar'!$F$85))</f>
        <v/>
      </c>
      <c r="AS18" s="161">
        <f>IF(FU18="","",IF(ISNUMBER('Dvd Calendar'!$G$85)=FALSE,"",'Dvd Calendar'!$G$85))</f>
        <v/>
      </c>
      <c r="AT18" s="161">
        <f>IF(FV18="","",IF(ISNUMBER('Dvd Calendar'!$H$85)=FALSE,"",'Dvd Calendar'!$H$85))</f>
        <v/>
      </c>
      <c r="AU18" s="161">
        <f>IF(FW18="","",IF(ISNUMBER('Dvd Calendar'!$I$85)=FALSE,"",'Dvd Calendar'!$I$85))</f>
        <v/>
      </c>
      <c r="AV18" s="161">
        <f>IF(FX18="","",IF(ISNUMBER('Dvd Calendar'!$J$85)=FALSE,"",'Dvd Calendar'!$J$85))</f>
        <v/>
      </c>
      <c r="AW18" s="161">
        <f>IF(FY18="","",IF(ISNUMBER('Dvd Calendar'!$K$85)=FALSE,"",'Dvd Calendar'!$K$85))</f>
        <v/>
      </c>
      <c r="AX18" s="161">
        <f>IF(FZ18="","",IF(ISNUMBER('Dvd Calendar'!$L$85)=FALSE,"",'Dvd Calendar'!$L$85))</f>
        <v/>
      </c>
      <c r="AY18" s="161">
        <f>IF(GA18="","",IF(ISNUMBER('Dvd Calendar'!$M$85)=FALSE,"",'Dvd Calendar'!$M$85))</f>
        <v/>
      </c>
      <c r="AZ18" s="161">
        <f>IF(GB18="","",IF(ISNUMBER('Dvd Calendar'!$N$85)=FALSE,"",'Dvd Calendar'!$N$85))</f>
        <v/>
      </c>
      <c r="BA18" s="161">
        <f>IF(GC18="","",IF(ISNUMBER('Dvd Calendar'!$O$85)=FALSE,"",'Dvd Calendar'!$O$85))</f>
        <v/>
      </c>
      <c r="BB18" s="161">
        <f>IF(GD18="","",IF(ISNUMBER('Dvd Calendar'!$P$85)=FALSE,"",'Dvd Calendar'!$P$85))</f>
        <v/>
      </c>
      <c r="BC18" s="161">
        <f>IF(GE18="","",IF(ISNUMBER('Dvd Calendar'!$Q$85)=FALSE,"",'Dvd Calendar'!$Q$85))</f>
        <v/>
      </c>
      <c r="BD18" s="161">
        <f>IF(GF18="","",IF(ISNUMBER('Dvd Calendar'!$R$85)=FALSE,"",'Dvd Calendar'!$R$85))</f>
        <v/>
      </c>
      <c r="BE18" s="161">
        <f>IF(GG18="","",IF(ISNUMBER('Dvd Calendar'!$S$85)=FALSE,"",'Dvd Calendar'!$S$85))</f>
        <v/>
      </c>
      <c r="BF18" s="161">
        <f>IF(GH18="","",IF(ISNUMBER('Dvd Calendar'!$T$85)=FALSE,"",'Dvd Calendar'!$T$85))</f>
        <v/>
      </c>
      <c r="BG18" s="161">
        <f>IF(GI18="","",IF(ISNUMBER('Dvd Calendar'!$U$85)=FALSE,"",'Dvd Calendar'!$U$85))</f>
        <v/>
      </c>
      <c r="BH18" s="161">
        <f>IF(GJ18="","",IF(ISNUMBER('Dvd Calendar'!$V$85)=FALSE,"",'Dvd Calendar'!$V$85))</f>
        <v/>
      </c>
      <c r="BI18" s="161">
        <f>IF(GK18="","",IF(ISNUMBER('Dvd Calendar'!$W$85)=FALSE,"",'Dvd Calendar'!$W$85))</f>
        <v/>
      </c>
      <c r="BJ18" s="161">
        <f>IF(GL18="","",IF(ISNUMBER('Dvd Calendar'!$X$85)=FALSE,"",'Dvd Calendar'!$X$85))</f>
        <v/>
      </c>
      <c r="BK18" s="161">
        <f>IF(GM18="","",IF(ISNUMBER('Dvd Calendar'!$Y$85)=FALSE,"",'Dvd Calendar'!$Y$85))</f>
        <v/>
      </c>
      <c r="BL18" s="161">
        <f>IF(GN18="","",IF(ISNUMBER('Dvd Calendar'!$Z$85)=FALSE,"",'Dvd Calendar'!$Z$85))</f>
        <v/>
      </c>
      <c r="BM18" s="161">
        <f>IF(GO18="","",IF(ISNUMBER('Dvd Calendar'!$AA$85)=FALSE,"",'Dvd Calendar'!$AA$85))</f>
        <v/>
      </c>
      <c r="BN18" s="161">
        <f>IF(GP18="","",IF(ISNUMBER('Dvd Calendar'!$AB$85)=FALSE,"",'Dvd Calendar'!$AB$85))</f>
        <v/>
      </c>
      <c r="BO18" s="161">
        <f>IF(GQ18="","",IF(ISNUMBER('Dvd Calendar'!$AC$85)=FALSE,"",'Dvd Calendar'!$AC$85))</f>
        <v/>
      </c>
      <c r="BQ18" s="161">
        <f>IF(C18="","",IFERROR(C18*HSI!$B$13*HSI!$G$13/HSI!$B$3,""))</f>
        <v/>
      </c>
      <c r="BR18" s="161">
        <f>IF(D18="","",IFERROR(D18*HSI!$B$13*HSI!$G$13/HSI!$B$3,""))</f>
        <v/>
      </c>
      <c r="BS18" s="161">
        <f>IF(E18="","",IFERROR(E18*HSI!$B$13*HSI!$G$13/HSI!$B$3,""))</f>
        <v/>
      </c>
      <c r="BT18" s="161">
        <f>IF(F18="","",IFERROR(F18*HSI!$B$13*HSI!$G$13/HSI!$B$3,""))</f>
        <v/>
      </c>
      <c r="BU18" s="161">
        <f>IF(G18="","",IFERROR(G18*HSI!$B$13*HSI!$G$13/HSI!$B$3,""))</f>
        <v/>
      </c>
      <c r="BV18" s="161">
        <f>IF(H18="","",IFERROR(H18*HSI!$B$13*HSI!$G$13/HSI!$B$3,""))</f>
        <v/>
      </c>
      <c r="BW18" s="161">
        <f>IF(I18="","",IFERROR(I18*HSI!$B$13*HSI!$G$13/HSI!$B$3,""))</f>
        <v/>
      </c>
      <c r="BX18" s="161">
        <f>IF(J18="","",IFERROR(J18*HSI!$B$13*HSI!$G$13/HSI!$B$3,""))</f>
        <v/>
      </c>
      <c r="BY18" s="161">
        <f>IF(K18="","",IFERROR(K18*HSI!$B$13*HSI!$G$13/HSI!$B$3,""))</f>
        <v/>
      </c>
      <c r="BZ18" s="161">
        <f>IF(L18="","",IFERROR(L18*HSI!$B$13*HSI!$G$13/HSI!$B$3,""))</f>
        <v/>
      </c>
      <c r="CA18" s="161">
        <f>IF(M18="","",IFERROR(M18*HSI!$B$13*HSI!$G$13/HSI!$B$3,""))</f>
        <v/>
      </c>
      <c r="CB18" s="161">
        <f>IF(N18="","",IFERROR(N18*HSI!$B$13*HSI!$G$13/HSI!$B$3,""))</f>
        <v/>
      </c>
      <c r="CC18" s="161">
        <f>IF(O18="","",IFERROR(O18*HSI!$B$13*HSI!$G$13/HSI!$B$3,""))</f>
        <v/>
      </c>
      <c r="CD18" s="161">
        <f>IF(P18="","",IFERROR(P18*HSI!$B$13*HSI!$G$13/HSI!$B$3,""))</f>
        <v/>
      </c>
      <c r="CE18" s="161">
        <f>IF(Q18="","",IFERROR(Q18*HSI!$B$13*HSI!$G$13/HSI!$B$3,""))</f>
        <v/>
      </c>
      <c r="CF18" s="161">
        <f>IF(R18="","",IFERROR(R18*HSI!$B$13*HSI!$G$13/HSI!$B$3,""))</f>
        <v/>
      </c>
      <c r="CG18" s="161">
        <f>IF(S18="","",IFERROR(S18*HSI!$B$13*HSI!$G$13/HSI!$B$3,""))</f>
        <v/>
      </c>
      <c r="CH18" s="161">
        <f>IF(T18="","",IFERROR(T18*HSI!$B$13*HSI!$G$13/HSI!$B$3,""))</f>
        <v/>
      </c>
      <c r="CI18" s="161">
        <f>IF(U18="","",IFERROR(U18*HSI!$B$13*HSI!$G$13/HSI!$B$3,""))</f>
        <v/>
      </c>
      <c r="CJ18" s="161">
        <f>IF(V18="","",IFERROR(V18*HSI!$B$13*HSI!$G$13/HSI!$B$3,""))</f>
        <v/>
      </c>
      <c r="CK18" s="161">
        <f>IF(W18="","",IFERROR(W18*HSI!$B$13*HSI!$G$13/HSI!$B$3,""))</f>
        <v/>
      </c>
      <c r="CL18" s="161">
        <f>IF(X18="","",IFERROR(X18*HSI!$B$13*HSI!$G$13/HSI!$B$3,""))</f>
        <v/>
      </c>
      <c r="CM18" s="161">
        <f>IF(Y18="","",IFERROR(Y18*HSI!$B$13*HSI!$G$13/HSI!$B$3,""))</f>
        <v/>
      </c>
      <c r="CN18" s="161">
        <f>IF(Z18="","",IFERROR(Z18*HSI!$B$13*HSI!$G$13/HSI!$B$3,""))</f>
        <v/>
      </c>
      <c r="CO18" s="161">
        <f>IF(AA18="","",IFERROR(AA18*HSI!$B$13*HSI!$G$13/HSI!$B$3,""))</f>
        <v/>
      </c>
      <c r="CP18" s="161">
        <f>IF(AB18="","",IFERROR(AB18*HSI!$B$13*HSI!$G$13/HSI!$B$3,""))</f>
        <v/>
      </c>
      <c r="CQ18" s="161">
        <f>IF(AC18="","",IFERROR(AC18*HSI!$B$13*HSI!$G$13/HSI!$B$3,""))</f>
        <v/>
      </c>
      <c r="CR18" s="161">
        <f>IF(AD18="","",IFERROR(AD18*HSI!$B$13*HSI!$G$13/HSI!$B$3,""))</f>
        <v/>
      </c>
      <c r="CS18" s="161">
        <f>IF(AE18="","",IFERROR(AE18*HSI!$B$13*HSI!$G$13/HSI!$B$3,""))</f>
        <v/>
      </c>
      <c r="CT18" s="161">
        <f>IF(AF18="","",IFERROR(AF18*HSI!$B$13*HSI!$G$13/HSI!$B$3,""))</f>
        <v/>
      </c>
      <c r="CU18" s="161">
        <f>IF(AG18="","",IFERROR(AG18*HSI!$B$13*HSI!$G$13/HSI!$B$3,""))</f>
        <v/>
      </c>
      <c r="CV18" s="161">
        <f>IF(AH18="","",IFERROR(AH18*HSI!$B$13*HSI!$G$13/HSI!$B$3,""))</f>
        <v/>
      </c>
      <c r="CW18" s="161">
        <f>IF(AI18="","",IFERROR(AI18*HSI!$B$13*HSI!$G$13/HSI!$B$3,""))</f>
        <v/>
      </c>
      <c r="CX18" s="161">
        <f>IF(AJ18="","",IFERROR(AJ18*HSI!$B$13*HSI!$G$13/HSI!$B$3,""))</f>
        <v/>
      </c>
      <c r="CY18" s="161">
        <f>IF(AK18="","",IFERROR(AK18*HSI!$B$13*HSI!$G$13/HSI!$B$3,""))</f>
        <v/>
      </c>
      <c r="CZ18" s="161">
        <f>IF(AL18="","",IFERROR(AL18*HSI!$B$13*HSI!$G$13/HSI!$B$3,""))</f>
        <v/>
      </c>
      <c r="DA18" s="161">
        <f>IF(AM18="","",IFERROR(AM18*HSI!$B$13*HSI!$G$13/HSI!$B$3,""))</f>
        <v/>
      </c>
      <c r="DB18" s="161">
        <f>IF(AN18="","",IFERROR(AN18*HSI!$B$13*HSI!$G$13/HSI!$B$3,""))</f>
        <v/>
      </c>
      <c r="DC18" s="161">
        <f>IF(AO18="","",IFERROR(AO18*HSI!$B$13*HSI!$G$13/HSI!$B$3,""))</f>
        <v/>
      </c>
      <c r="DD18" s="161">
        <f>IF(AP18="","",IFERROR(AP18*HSI!$B$13*HSI!$G$13/HSI!$B$3,""))</f>
        <v/>
      </c>
      <c r="DE18" s="161">
        <f>IF(AQ18="","",IFERROR(AQ18*HSI!$B$13*HSI!$G$13/HSI!$B$3,""))</f>
        <v/>
      </c>
      <c r="DF18" s="161">
        <f>IF(AR18="","",IFERROR(AR18*HSI!$B$13*HSI!$G$13/HSI!$B$3,""))</f>
        <v/>
      </c>
      <c r="DG18" s="161">
        <f>IF(AS18="","",IFERROR(AS18*HSI!$B$13*HSI!$G$13/HSI!$B$3,""))</f>
        <v/>
      </c>
      <c r="DH18" s="161">
        <f>IF(AT18="","",IFERROR(AT18*HSI!$B$13*HSI!$G$13/HSI!$B$3,""))</f>
        <v/>
      </c>
      <c r="DI18" s="161">
        <f>IF(AU18="","",IFERROR(AU18*HSI!$B$13*HSI!$G$13/HSI!$B$3,""))</f>
        <v/>
      </c>
      <c r="DJ18" s="161">
        <f>IF(AV18="","",IFERROR(AV18*HSI!$B$13*HSI!$G$13/HSI!$B$3,""))</f>
        <v/>
      </c>
      <c r="DK18" s="161">
        <f>IF(AW18="","",IFERROR(AW18*HSI!$B$13*HSI!$G$13/HSI!$B$3,""))</f>
        <v/>
      </c>
      <c r="DL18" s="161">
        <f>IF(AX18="","",IFERROR(AX18*HSI!$B$13*HSI!$G$13/HSI!$B$3,""))</f>
        <v/>
      </c>
      <c r="DM18" s="161">
        <f>IF(AY18="","",IFERROR(AY18*HSI!$B$13*HSI!$G$13/HSI!$B$3,""))</f>
        <v/>
      </c>
      <c r="DN18" s="161">
        <f>IF(AZ18="","",IFERROR(AZ18*HSI!$B$13*HSI!$G$13/HSI!$B$3,""))</f>
        <v/>
      </c>
      <c r="DO18" s="161">
        <f>IF(BA18="","",IFERROR(BA18*HSI!$B$13*HSI!$G$13/HSI!$B$3,""))</f>
        <v/>
      </c>
      <c r="DP18" s="161">
        <f>IF(BB18="","",IFERROR(BB18*HSI!$B$13*HSI!$G$13/HSI!$B$3,""))</f>
        <v/>
      </c>
      <c r="DQ18" s="161">
        <f>IF(BC18="","",IFERROR(BC18*HSI!$B$13*HSI!$G$13/HSI!$B$3,""))</f>
        <v/>
      </c>
      <c r="DR18" s="161">
        <f>IF(BD18="","",IFERROR(BD18*HSI!$B$13*HSI!$G$13/HSI!$B$3,""))</f>
        <v/>
      </c>
      <c r="DS18" s="161">
        <f>IF(BE18="","",IFERROR(BE18*HSI!$B$13*HSI!$G$13/HSI!$B$3,""))</f>
        <v/>
      </c>
      <c r="DT18" s="161">
        <f>IF(BF18="","",IFERROR(BF18*HSI!$B$13*HSI!$G$13/HSI!$B$3,""))</f>
        <v/>
      </c>
      <c r="DU18" s="161">
        <f>IF(BG18="","",IFERROR(BG18*HSI!$B$13*HSI!$G$13/HSI!$B$3,""))</f>
        <v/>
      </c>
      <c r="DV18" s="161">
        <f>IF(BH18="","",IFERROR(BH18*HSI!$B$13*HSI!$G$13/HSI!$B$3,""))</f>
        <v/>
      </c>
      <c r="DW18" s="161">
        <f>IF(BI18="","",IFERROR(BI18*HSI!$B$13*HSI!$G$13/HSI!$B$3,""))</f>
        <v/>
      </c>
      <c r="DX18" s="161">
        <f>IF(BJ18="","",IFERROR(BJ18*HSI!$B$13*HSI!$G$13/HSI!$B$3,""))</f>
        <v/>
      </c>
      <c r="DY18" s="161">
        <f>IF(BK18="","",IFERROR(BK18*HSI!$B$13*HSI!$G$13/HSI!$B$3,""))</f>
        <v/>
      </c>
      <c r="DZ18" s="161">
        <f>IF(BL18="","",IFERROR(BL18*HSI!$B$13*HSI!$G$13/HSI!$B$3,""))</f>
        <v/>
      </c>
      <c r="EA18" s="161">
        <f>IF(BM18="","",IFERROR(BM18*HSI!$B$13*HSI!$G$13/HSI!$B$3,""))</f>
        <v/>
      </c>
      <c r="EB18" s="161">
        <f>IF(BN18="","",IFERROR(BN18*HSI!$B$13*HSI!$G$13/HSI!$B$3,""))</f>
        <v/>
      </c>
      <c r="EC18" s="161">
        <f>IF(BO18="","",IFERROR(BO18*HSI!$B$13*HSI!$G$13/HSI!$B$3,""))</f>
        <v/>
      </c>
      <c r="EE18" s="121">
        <f>IF(N('Dvd Calendar'!$E$77)=0,"",IF(('Dvd Calendar'!$E$77&gt;=GRID_FROM)*('Dvd Calendar'!$E$77&lt;=GRID_TO)*((('Dvd Calendar'!$E$77&lt;=VAL_DATE)+(COUNTIF('Dvd Calendar'!$E$84:$AR$84,'Dvd Calendar'!$E$77)=0))&gt;0)=0,"",'Dvd Calendar'!$E$77*1000000000+ISNUMBER('Dvd Calendar'!$E$80)*100000000+('Dvd Calendar'!$E$82=SPECIAL_LBL)*10000000+(N('Dvd Calendar'!$E$76)&gt;0)*(N('Dvd Calendar'!$E$76)&lt;=VAL_SERIAL)*1000000+7*1000+1))</f>
        <v/>
      </c>
      <c r="EF18" s="121">
        <f>IF(N('Dvd Calendar'!$F$77)=0,"",IF(('Dvd Calendar'!$F$77&gt;=GRID_FROM)*('Dvd Calendar'!$F$77&lt;=GRID_TO)*((('Dvd Calendar'!$F$77&lt;=VAL_DATE)+(COUNTIF('Dvd Calendar'!$E$84:$AR$84,'Dvd Calendar'!$F$77)=0))&gt;0)=0,"",'Dvd Calendar'!$F$77*1000000000+ISNUMBER('Dvd Calendar'!$F$80)*100000000+('Dvd Calendar'!$F$82=SPECIAL_LBL)*10000000+(N('Dvd Calendar'!$F$76)&gt;0)*(N('Dvd Calendar'!$F$76)&lt;=VAL_SERIAL)*1000000+7*1000+2))</f>
        <v/>
      </c>
      <c r="EG18" s="121">
        <f>IF(N('Dvd Calendar'!$G$77)=0,"",IF(('Dvd Calendar'!$G$77&gt;=GRID_FROM)*('Dvd Calendar'!$G$77&lt;=GRID_TO)*((('Dvd Calendar'!$G$77&lt;=VAL_DATE)+(COUNTIF('Dvd Calendar'!$E$84:$AR$84,'Dvd Calendar'!$G$77)=0))&gt;0)=0,"",'Dvd Calendar'!$G$77*1000000000+ISNUMBER('Dvd Calendar'!$G$80)*100000000+('Dvd Calendar'!$G$82=SPECIAL_LBL)*10000000+(N('Dvd Calendar'!$G$76)&gt;0)*(N('Dvd Calendar'!$G$76)&lt;=VAL_SERIAL)*1000000+7*1000+3))</f>
        <v/>
      </c>
      <c r="EH18" s="121">
        <f>IF(N('Dvd Calendar'!$H$77)=0,"",IF(('Dvd Calendar'!$H$77&gt;=GRID_FROM)*('Dvd Calendar'!$H$77&lt;=GRID_TO)*((('Dvd Calendar'!$H$77&lt;=VAL_DATE)+(COUNTIF('Dvd Calendar'!$E$84:$AR$84,'Dvd Calendar'!$H$77)=0))&gt;0)=0,"",'Dvd Calendar'!$H$77*1000000000+ISNUMBER('Dvd Calendar'!$H$80)*100000000+('Dvd Calendar'!$H$82=SPECIAL_LBL)*10000000+(N('Dvd Calendar'!$H$76)&gt;0)*(N('Dvd Calendar'!$H$76)&lt;=VAL_SERIAL)*1000000+7*1000+4))</f>
        <v/>
      </c>
      <c r="EI18" s="121">
        <f>IF(N('Dvd Calendar'!$I$77)=0,"",IF(('Dvd Calendar'!$I$77&gt;=GRID_FROM)*('Dvd Calendar'!$I$77&lt;=GRID_TO)*((('Dvd Calendar'!$I$77&lt;=VAL_DATE)+(COUNTIF('Dvd Calendar'!$E$84:$AR$84,'Dvd Calendar'!$I$77)=0))&gt;0)=0,"",'Dvd Calendar'!$I$77*1000000000+ISNUMBER('Dvd Calendar'!$I$80)*100000000+('Dvd Calendar'!$I$82=SPECIAL_LBL)*10000000+(N('Dvd Calendar'!$I$76)&gt;0)*(N('Dvd Calendar'!$I$76)&lt;=VAL_SERIAL)*1000000+7*1000+5))</f>
        <v/>
      </c>
      <c r="EJ18" s="121">
        <f>IF(N('Dvd Calendar'!$J$77)=0,"",IF(('Dvd Calendar'!$J$77&gt;=GRID_FROM)*('Dvd Calendar'!$J$77&lt;=GRID_TO)*((('Dvd Calendar'!$J$77&lt;=VAL_DATE)+(COUNTIF('Dvd Calendar'!$E$84:$AR$84,'Dvd Calendar'!$J$77)=0))&gt;0)=0,"",'Dvd Calendar'!$J$77*1000000000+ISNUMBER('Dvd Calendar'!$J$80)*100000000+('Dvd Calendar'!$J$82=SPECIAL_LBL)*10000000+(N('Dvd Calendar'!$J$76)&gt;0)*(N('Dvd Calendar'!$J$76)&lt;=VAL_SERIAL)*1000000+7*1000+6))</f>
        <v/>
      </c>
      <c r="EK18" s="121">
        <f>IF(N('Dvd Calendar'!$K$77)=0,"",IF(('Dvd Calendar'!$K$77&gt;=GRID_FROM)*('Dvd Calendar'!$K$77&lt;=GRID_TO)*((('Dvd Calendar'!$K$77&lt;=VAL_DATE)+(COUNTIF('Dvd Calendar'!$E$84:$AR$84,'Dvd Calendar'!$K$77)=0))&gt;0)=0,"",'Dvd Calendar'!$K$77*1000000000+ISNUMBER('Dvd Calendar'!$K$80)*100000000+('Dvd Calendar'!$K$82=SPECIAL_LBL)*10000000+(N('Dvd Calendar'!$K$76)&gt;0)*(N('Dvd Calendar'!$K$76)&lt;=VAL_SERIAL)*1000000+7*1000+7))</f>
        <v/>
      </c>
      <c r="EL18" s="121">
        <f>IF(N('Dvd Calendar'!$L$77)=0,"",IF(('Dvd Calendar'!$L$77&gt;=GRID_FROM)*('Dvd Calendar'!$L$77&lt;=GRID_TO)*((('Dvd Calendar'!$L$77&lt;=VAL_DATE)+(COUNTIF('Dvd Calendar'!$E$84:$AR$84,'Dvd Calendar'!$L$77)=0))&gt;0)=0,"",'Dvd Calendar'!$L$77*1000000000+ISNUMBER('Dvd Calendar'!$L$80)*100000000+('Dvd Calendar'!$L$82=SPECIAL_LBL)*10000000+(N('Dvd Calendar'!$L$76)&gt;0)*(N('Dvd Calendar'!$L$76)&lt;=VAL_SERIAL)*1000000+7*1000+8))</f>
        <v/>
      </c>
      <c r="EM18" s="121">
        <f>IF(N('Dvd Calendar'!$M$77)=0,"",IF(('Dvd Calendar'!$M$77&gt;=GRID_FROM)*('Dvd Calendar'!$M$77&lt;=GRID_TO)*((('Dvd Calendar'!$M$77&lt;=VAL_DATE)+(COUNTIF('Dvd Calendar'!$E$84:$AR$84,'Dvd Calendar'!$M$77)=0))&gt;0)=0,"",'Dvd Calendar'!$M$77*1000000000+ISNUMBER('Dvd Calendar'!$M$80)*100000000+('Dvd Calendar'!$M$82=SPECIAL_LBL)*10000000+(N('Dvd Calendar'!$M$76)&gt;0)*(N('Dvd Calendar'!$M$76)&lt;=VAL_SERIAL)*1000000+7*1000+9))</f>
        <v/>
      </c>
      <c r="EN18" s="121">
        <f>IF(N('Dvd Calendar'!$N$77)=0,"",IF(('Dvd Calendar'!$N$77&gt;=GRID_FROM)*('Dvd Calendar'!$N$77&lt;=GRID_TO)*((('Dvd Calendar'!$N$77&lt;=VAL_DATE)+(COUNTIF('Dvd Calendar'!$E$84:$AR$84,'Dvd Calendar'!$N$77)=0))&gt;0)=0,"",'Dvd Calendar'!$N$77*1000000000+ISNUMBER('Dvd Calendar'!$N$80)*100000000+('Dvd Calendar'!$N$82=SPECIAL_LBL)*10000000+(N('Dvd Calendar'!$N$76)&gt;0)*(N('Dvd Calendar'!$N$76)&lt;=VAL_SERIAL)*1000000+7*1000+10))</f>
        <v/>
      </c>
      <c r="EO18" s="121">
        <f>IF(N('Dvd Calendar'!$O$77)=0,"",IF(('Dvd Calendar'!$O$77&gt;=GRID_FROM)*('Dvd Calendar'!$O$77&lt;=GRID_TO)*((('Dvd Calendar'!$O$77&lt;=VAL_DATE)+(COUNTIF('Dvd Calendar'!$E$84:$AR$84,'Dvd Calendar'!$O$77)=0))&gt;0)=0,"",'Dvd Calendar'!$O$77*1000000000+ISNUMBER('Dvd Calendar'!$O$80)*100000000+('Dvd Calendar'!$O$82=SPECIAL_LBL)*10000000+(N('Dvd Calendar'!$O$76)&gt;0)*(N('Dvd Calendar'!$O$76)&lt;=VAL_SERIAL)*1000000+7*1000+11))</f>
        <v/>
      </c>
      <c r="EP18" s="121">
        <f>IF(N('Dvd Calendar'!$P$77)=0,"",IF(('Dvd Calendar'!$P$77&gt;=GRID_FROM)*('Dvd Calendar'!$P$77&lt;=GRID_TO)*((('Dvd Calendar'!$P$77&lt;=VAL_DATE)+(COUNTIF('Dvd Calendar'!$E$84:$AR$84,'Dvd Calendar'!$P$77)=0))&gt;0)=0,"",'Dvd Calendar'!$P$77*1000000000+ISNUMBER('Dvd Calendar'!$P$80)*100000000+('Dvd Calendar'!$P$82=SPECIAL_LBL)*10000000+(N('Dvd Calendar'!$P$76)&gt;0)*(N('Dvd Calendar'!$P$76)&lt;=VAL_SERIAL)*1000000+7*1000+12))</f>
        <v/>
      </c>
      <c r="EQ18" s="121">
        <f>IF(N('Dvd Calendar'!$Q$77)=0,"",IF(('Dvd Calendar'!$Q$77&gt;=GRID_FROM)*('Dvd Calendar'!$Q$77&lt;=GRID_TO)*((('Dvd Calendar'!$Q$77&lt;=VAL_DATE)+(COUNTIF('Dvd Calendar'!$E$84:$AR$84,'Dvd Calendar'!$Q$77)=0))&gt;0)=0,"",'Dvd Calendar'!$Q$77*1000000000+ISNUMBER('Dvd Calendar'!$Q$80)*100000000+('Dvd Calendar'!$Q$82=SPECIAL_LBL)*10000000+(N('Dvd Calendar'!$Q$76)&gt;0)*(N('Dvd Calendar'!$Q$76)&lt;=VAL_SERIAL)*1000000+7*1000+13))</f>
        <v/>
      </c>
      <c r="ER18" s="121">
        <f>IF(N('Dvd Calendar'!$R$77)=0,"",IF(('Dvd Calendar'!$R$77&gt;=GRID_FROM)*('Dvd Calendar'!$R$77&lt;=GRID_TO)*((('Dvd Calendar'!$R$77&lt;=VAL_DATE)+(COUNTIF('Dvd Calendar'!$E$84:$AR$84,'Dvd Calendar'!$R$77)=0))&gt;0)=0,"",'Dvd Calendar'!$R$77*1000000000+ISNUMBER('Dvd Calendar'!$R$80)*100000000+('Dvd Calendar'!$R$82=SPECIAL_LBL)*10000000+(N('Dvd Calendar'!$R$76)&gt;0)*(N('Dvd Calendar'!$R$76)&lt;=VAL_SERIAL)*1000000+7*1000+14))</f>
        <v/>
      </c>
      <c r="ES18" s="121">
        <f>IF(N('Dvd Calendar'!$S$77)=0,"",IF(('Dvd Calendar'!$S$77&gt;=GRID_FROM)*('Dvd Calendar'!$S$77&lt;=GRID_TO)*((('Dvd Calendar'!$S$77&lt;=VAL_DATE)+(COUNTIF('Dvd Calendar'!$E$84:$AR$84,'Dvd Calendar'!$S$77)=0))&gt;0)=0,"",'Dvd Calendar'!$S$77*1000000000+ISNUMBER('Dvd Calendar'!$S$80)*100000000+('Dvd Calendar'!$S$82=SPECIAL_LBL)*10000000+(N('Dvd Calendar'!$S$76)&gt;0)*(N('Dvd Calendar'!$S$76)&lt;=VAL_SERIAL)*1000000+7*1000+15))</f>
        <v/>
      </c>
      <c r="ET18" s="121">
        <f>IF(N('Dvd Calendar'!$T$77)=0,"",IF(('Dvd Calendar'!$T$77&gt;=GRID_FROM)*('Dvd Calendar'!$T$77&lt;=GRID_TO)*((('Dvd Calendar'!$T$77&lt;=VAL_DATE)+(COUNTIF('Dvd Calendar'!$E$84:$AR$84,'Dvd Calendar'!$T$77)=0))&gt;0)=0,"",'Dvd Calendar'!$T$77*1000000000+ISNUMBER('Dvd Calendar'!$T$80)*100000000+('Dvd Calendar'!$T$82=SPECIAL_LBL)*10000000+(N('Dvd Calendar'!$T$76)&gt;0)*(N('Dvd Calendar'!$T$76)&lt;=VAL_SERIAL)*1000000+7*1000+16))</f>
        <v/>
      </c>
      <c r="EU18" s="121">
        <f>IF(N('Dvd Calendar'!$U$77)=0,"",IF(('Dvd Calendar'!$U$77&gt;=GRID_FROM)*('Dvd Calendar'!$U$77&lt;=GRID_TO)*((('Dvd Calendar'!$U$77&lt;=VAL_DATE)+(COUNTIF('Dvd Calendar'!$E$84:$AR$84,'Dvd Calendar'!$U$77)=0))&gt;0)=0,"",'Dvd Calendar'!$U$77*1000000000+ISNUMBER('Dvd Calendar'!$U$80)*100000000+('Dvd Calendar'!$U$82=SPECIAL_LBL)*10000000+(N('Dvd Calendar'!$U$76)&gt;0)*(N('Dvd Calendar'!$U$76)&lt;=VAL_SERIAL)*1000000+7*1000+17))</f>
        <v/>
      </c>
      <c r="EV18" s="121">
        <f>IF(N('Dvd Calendar'!$V$77)=0,"",IF(('Dvd Calendar'!$V$77&gt;=GRID_FROM)*('Dvd Calendar'!$V$77&lt;=GRID_TO)*((('Dvd Calendar'!$V$77&lt;=VAL_DATE)+(COUNTIF('Dvd Calendar'!$E$84:$AR$84,'Dvd Calendar'!$V$77)=0))&gt;0)=0,"",'Dvd Calendar'!$V$77*1000000000+ISNUMBER('Dvd Calendar'!$V$80)*100000000+('Dvd Calendar'!$V$82=SPECIAL_LBL)*10000000+(N('Dvd Calendar'!$V$76)&gt;0)*(N('Dvd Calendar'!$V$76)&lt;=VAL_SERIAL)*1000000+7*1000+18))</f>
        <v/>
      </c>
      <c r="EW18" s="121">
        <f>IF(N('Dvd Calendar'!$W$77)=0,"",IF(('Dvd Calendar'!$W$77&gt;=GRID_FROM)*('Dvd Calendar'!$W$77&lt;=GRID_TO)*((('Dvd Calendar'!$W$77&lt;=VAL_DATE)+(COUNTIF('Dvd Calendar'!$E$84:$AR$84,'Dvd Calendar'!$W$77)=0))&gt;0)=0,"",'Dvd Calendar'!$W$77*1000000000+ISNUMBER('Dvd Calendar'!$W$80)*100000000+('Dvd Calendar'!$W$82=SPECIAL_LBL)*10000000+(N('Dvd Calendar'!$W$76)&gt;0)*(N('Dvd Calendar'!$W$76)&lt;=VAL_SERIAL)*1000000+7*1000+19))</f>
        <v/>
      </c>
      <c r="EX18" s="121">
        <f>IF(N('Dvd Calendar'!$X$77)=0,"",IF(('Dvd Calendar'!$X$77&gt;=GRID_FROM)*('Dvd Calendar'!$X$77&lt;=GRID_TO)*((('Dvd Calendar'!$X$77&lt;=VAL_DATE)+(COUNTIF('Dvd Calendar'!$E$84:$AR$84,'Dvd Calendar'!$X$77)=0))&gt;0)=0,"",'Dvd Calendar'!$X$77*1000000000+ISNUMBER('Dvd Calendar'!$X$80)*100000000+('Dvd Calendar'!$X$82=SPECIAL_LBL)*10000000+(N('Dvd Calendar'!$X$76)&gt;0)*(N('Dvd Calendar'!$X$76)&lt;=VAL_SERIAL)*1000000+7*1000+20))</f>
        <v/>
      </c>
      <c r="EY18" s="121">
        <f>IF(N('Dvd Calendar'!$Y$77)=0,"",IF(('Dvd Calendar'!$Y$77&gt;=GRID_FROM)*('Dvd Calendar'!$Y$77&lt;=GRID_TO)*((('Dvd Calendar'!$Y$77&lt;=VAL_DATE)+(COUNTIF('Dvd Calendar'!$E$84:$AR$84,'Dvd Calendar'!$Y$77)=0))&gt;0)=0,"",'Dvd Calendar'!$Y$77*1000000000+ISNUMBER('Dvd Calendar'!$Y$80)*100000000+('Dvd Calendar'!$Y$82=SPECIAL_LBL)*10000000+(N('Dvd Calendar'!$Y$76)&gt;0)*(N('Dvd Calendar'!$Y$76)&lt;=VAL_SERIAL)*1000000+7*1000+21))</f>
        <v/>
      </c>
      <c r="EZ18" s="121">
        <f>IF(N('Dvd Calendar'!$Z$77)=0,"",IF(('Dvd Calendar'!$Z$77&gt;=GRID_FROM)*('Dvd Calendar'!$Z$77&lt;=GRID_TO)*((('Dvd Calendar'!$Z$77&lt;=VAL_DATE)+(COUNTIF('Dvd Calendar'!$E$84:$AR$84,'Dvd Calendar'!$Z$77)=0))&gt;0)=0,"",'Dvd Calendar'!$Z$77*1000000000+ISNUMBER('Dvd Calendar'!$Z$80)*100000000+('Dvd Calendar'!$Z$82=SPECIAL_LBL)*10000000+(N('Dvd Calendar'!$Z$76)&gt;0)*(N('Dvd Calendar'!$Z$76)&lt;=VAL_SERIAL)*1000000+7*1000+22))</f>
        <v/>
      </c>
      <c r="FA18" s="121">
        <f>IF(N('Dvd Calendar'!$AA$77)=0,"",IF(('Dvd Calendar'!$AA$77&gt;=GRID_FROM)*('Dvd Calendar'!$AA$77&lt;=GRID_TO)*((('Dvd Calendar'!$AA$77&lt;=VAL_DATE)+(COUNTIF('Dvd Calendar'!$E$84:$AR$84,'Dvd Calendar'!$AA$77)=0))&gt;0)=0,"",'Dvd Calendar'!$AA$77*1000000000+ISNUMBER('Dvd Calendar'!$AA$80)*100000000+('Dvd Calendar'!$AA$82=SPECIAL_LBL)*10000000+(N('Dvd Calendar'!$AA$76)&gt;0)*(N('Dvd Calendar'!$AA$76)&lt;=VAL_SERIAL)*1000000+7*1000+23))</f>
        <v/>
      </c>
      <c r="FB18" s="121">
        <f>IF(N('Dvd Calendar'!$AB$77)=0,"",IF(('Dvd Calendar'!$AB$77&gt;=GRID_FROM)*('Dvd Calendar'!$AB$77&lt;=GRID_TO)*((('Dvd Calendar'!$AB$77&lt;=VAL_DATE)+(COUNTIF('Dvd Calendar'!$E$84:$AR$84,'Dvd Calendar'!$AB$77)=0))&gt;0)=0,"",'Dvd Calendar'!$AB$77*1000000000+ISNUMBER('Dvd Calendar'!$AB$80)*100000000+('Dvd Calendar'!$AB$82=SPECIAL_LBL)*10000000+(N('Dvd Calendar'!$AB$76)&gt;0)*(N('Dvd Calendar'!$AB$76)&lt;=VAL_SERIAL)*1000000+7*1000+24))</f>
        <v/>
      </c>
      <c r="FC18" s="121">
        <f>IF(N('Dvd Calendar'!$AC$77)=0,"",IF(('Dvd Calendar'!$AC$77&gt;=GRID_FROM)*('Dvd Calendar'!$AC$77&lt;=GRID_TO)*((('Dvd Calendar'!$AC$77&lt;=VAL_DATE)+(COUNTIF('Dvd Calendar'!$E$84:$AR$84,'Dvd Calendar'!$AC$77)=0))&gt;0)=0,"",'Dvd Calendar'!$AC$77*1000000000+ISNUMBER('Dvd Calendar'!$AC$80)*100000000+('Dvd Calendar'!$AC$82=SPECIAL_LBL)*10000000+(N('Dvd Calendar'!$AC$76)&gt;0)*(N('Dvd Calendar'!$AC$76)&lt;=VAL_SERIAL)*1000000+7*1000+25))</f>
        <v/>
      </c>
      <c r="FD18" s="121">
        <f>IF(N('Dvd Calendar'!$AD$77)=0,"",IF(('Dvd Calendar'!$AD$77&gt;=GRID_FROM)*('Dvd Calendar'!$AD$77&lt;=GRID_TO)*((('Dvd Calendar'!$AD$77&lt;=VAL_DATE)+(COUNTIF('Dvd Calendar'!$E$84:$AR$84,'Dvd Calendar'!$AD$77)=0))&gt;0)=0,"",'Dvd Calendar'!$AD$77*1000000000+ISNUMBER('Dvd Calendar'!$AD$80)*100000000+('Dvd Calendar'!$AD$82=SPECIAL_LBL)*10000000+(N('Dvd Calendar'!$AD$76)&gt;0)*(N('Dvd Calendar'!$AD$76)&lt;=VAL_SERIAL)*1000000+7*1000+26))</f>
        <v/>
      </c>
      <c r="FE18" s="121">
        <f>IF(N('Dvd Calendar'!$AE$77)=0,"",IF(('Dvd Calendar'!$AE$77&gt;=GRID_FROM)*('Dvd Calendar'!$AE$77&lt;=GRID_TO)*((('Dvd Calendar'!$AE$77&lt;=VAL_DATE)+(COUNTIF('Dvd Calendar'!$E$84:$AR$84,'Dvd Calendar'!$AE$77)=0))&gt;0)=0,"",'Dvd Calendar'!$AE$77*1000000000+ISNUMBER('Dvd Calendar'!$AE$80)*100000000+('Dvd Calendar'!$AE$82=SPECIAL_LBL)*10000000+(N('Dvd Calendar'!$AE$76)&gt;0)*(N('Dvd Calendar'!$AE$76)&lt;=VAL_SERIAL)*1000000+7*1000+27))</f>
        <v/>
      </c>
      <c r="FF18" s="121">
        <f>IF(N('Dvd Calendar'!$AF$77)=0,"",IF(('Dvd Calendar'!$AF$77&gt;=GRID_FROM)*('Dvd Calendar'!$AF$77&lt;=GRID_TO)*((('Dvd Calendar'!$AF$77&lt;=VAL_DATE)+(COUNTIF('Dvd Calendar'!$E$84:$AR$84,'Dvd Calendar'!$AF$77)=0))&gt;0)=0,"",'Dvd Calendar'!$AF$77*1000000000+ISNUMBER('Dvd Calendar'!$AF$80)*100000000+('Dvd Calendar'!$AF$82=SPECIAL_LBL)*10000000+(N('Dvd Calendar'!$AF$76)&gt;0)*(N('Dvd Calendar'!$AF$76)&lt;=VAL_SERIAL)*1000000+7*1000+28))</f>
        <v/>
      </c>
      <c r="FG18" s="121">
        <f>IF(N('Dvd Calendar'!$AG$77)=0,"",IF(('Dvd Calendar'!$AG$77&gt;=GRID_FROM)*('Dvd Calendar'!$AG$77&lt;=GRID_TO)*((('Dvd Calendar'!$AG$77&lt;=VAL_DATE)+(COUNTIF('Dvd Calendar'!$E$84:$AR$84,'Dvd Calendar'!$AG$77)=0))&gt;0)=0,"",'Dvd Calendar'!$AG$77*1000000000+ISNUMBER('Dvd Calendar'!$AG$80)*100000000+('Dvd Calendar'!$AG$82=SPECIAL_LBL)*10000000+(N('Dvd Calendar'!$AG$76)&gt;0)*(N('Dvd Calendar'!$AG$76)&lt;=VAL_SERIAL)*1000000+7*1000+29))</f>
        <v/>
      </c>
      <c r="FH18" s="121">
        <f>IF(N('Dvd Calendar'!$AH$77)=0,"",IF(('Dvd Calendar'!$AH$77&gt;=GRID_FROM)*('Dvd Calendar'!$AH$77&lt;=GRID_TO)*((('Dvd Calendar'!$AH$77&lt;=VAL_DATE)+(COUNTIF('Dvd Calendar'!$E$84:$AR$84,'Dvd Calendar'!$AH$77)=0))&gt;0)=0,"",'Dvd Calendar'!$AH$77*1000000000+ISNUMBER('Dvd Calendar'!$AH$80)*100000000+('Dvd Calendar'!$AH$82=SPECIAL_LBL)*10000000+(N('Dvd Calendar'!$AH$76)&gt;0)*(N('Dvd Calendar'!$AH$76)&lt;=VAL_SERIAL)*1000000+7*1000+30))</f>
        <v/>
      </c>
      <c r="FI18" s="121">
        <f>IF(N('Dvd Calendar'!$AI$77)=0,"",IF(('Dvd Calendar'!$AI$77&gt;=GRID_FROM)*('Dvd Calendar'!$AI$77&lt;=GRID_TO)*((('Dvd Calendar'!$AI$77&lt;=VAL_DATE)+(COUNTIF('Dvd Calendar'!$E$84:$AR$84,'Dvd Calendar'!$AI$77)=0))&gt;0)=0,"",'Dvd Calendar'!$AI$77*1000000000+ISNUMBER('Dvd Calendar'!$AI$80)*100000000+('Dvd Calendar'!$AI$82=SPECIAL_LBL)*10000000+(N('Dvd Calendar'!$AI$76)&gt;0)*(N('Dvd Calendar'!$AI$76)&lt;=VAL_SERIAL)*1000000+7*1000+31))</f>
        <v/>
      </c>
      <c r="FJ18" s="121">
        <f>IF(N('Dvd Calendar'!$AJ$77)=0,"",IF(('Dvd Calendar'!$AJ$77&gt;=GRID_FROM)*('Dvd Calendar'!$AJ$77&lt;=GRID_TO)*((('Dvd Calendar'!$AJ$77&lt;=VAL_DATE)+(COUNTIF('Dvd Calendar'!$E$84:$AR$84,'Dvd Calendar'!$AJ$77)=0))&gt;0)=0,"",'Dvd Calendar'!$AJ$77*1000000000+ISNUMBER('Dvd Calendar'!$AJ$80)*100000000+('Dvd Calendar'!$AJ$82=SPECIAL_LBL)*10000000+(N('Dvd Calendar'!$AJ$76)&gt;0)*(N('Dvd Calendar'!$AJ$76)&lt;=VAL_SERIAL)*1000000+7*1000+32))</f>
        <v/>
      </c>
      <c r="FK18" s="121">
        <f>IF(N('Dvd Calendar'!$AK$77)=0,"",IF(('Dvd Calendar'!$AK$77&gt;=GRID_FROM)*('Dvd Calendar'!$AK$77&lt;=GRID_TO)*((('Dvd Calendar'!$AK$77&lt;=VAL_DATE)+(COUNTIF('Dvd Calendar'!$E$84:$AR$84,'Dvd Calendar'!$AK$77)=0))&gt;0)=0,"",'Dvd Calendar'!$AK$77*1000000000+ISNUMBER('Dvd Calendar'!$AK$80)*100000000+('Dvd Calendar'!$AK$82=SPECIAL_LBL)*10000000+(N('Dvd Calendar'!$AK$76)&gt;0)*(N('Dvd Calendar'!$AK$76)&lt;=VAL_SERIAL)*1000000+7*1000+33))</f>
        <v/>
      </c>
      <c r="FL18" s="121">
        <f>IF(N('Dvd Calendar'!$AL$77)=0,"",IF(('Dvd Calendar'!$AL$77&gt;=GRID_FROM)*('Dvd Calendar'!$AL$77&lt;=GRID_TO)*((('Dvd Calendar'!$AL$77&lt;=VAL_DATE)+(COUNTIF('Dvd Calendar'!$E$84:$AR$84,'Dvd Calendar'!$AL$77)=0))&gt;0)=0,"",'Dvd Calendar'!$AL$77*1000000000+ISNUMBER('Dvd Calendar'!$AL$80)*100000000+('Dvd Calendar'!$AL$82=SPECIAL_LBL)*10000000+(N('Dvd Calendar'!$AL$76)&gt;0)*(N('Dvd Calendar'!$AL$76)&lt;=VAL_SERIAL)*1000000+7*1000+34))</f>
        <v/>
      </c>
      <c r="FM18" s="121">
        <f>IF(N('Dvd Calendar'!$AM$77)=0,"",IF(('Dvd Calendar'!$AM$77&gt;=GRID_FROM)*('Dvd Calendar'!$AM$77&lt;=GRID_TO)*((('Dvd Calendar'!$AM$77&lt;=VAL_DATE)+(COUNTIF('Dvd Calendar'!$E$84:$AR$84,'Dvd Calendar'!$AM$77)=0))&gt;0)=0,"",'Dvd Calendar'!$AM$77*1000000000+ISNUMBER('Dvd Calendar'!$AM$80)*100000000+('Dvd Calendar'!$AM$82=SPECIAL_LBL)*10000000+(N('Dvd Calendar'!$AM$76)&gt;0)*(N('Dvd Calendar'!$AM$76)&lt;=VAL_SERIAL)*1000000+7*1000+35))</f>
        <v/>
      </c>
      <c r="FN18" s="121">
        <f>IF(N('Dvd Calendar'!$AN$77)=0,"",IF(('Dvd Calendar'!$AN$77&gt;=GRID_FROM)*('Dvd Calendar'!$AN$77&lt;=GRID_TO)*((('Dvd Calendar'!$AN$77&lt;=VAL_DATE)+(COUNTIF('Dvd Calendar'!$E$84:$AR$84,'Dvd Calendar'!$AN$77)=0))&gt;0)=0,"",'Dvd Calendar'!$AN$77*1000000000+ISNUMBER('Dvd Calendar'!$AN$80)*100000000+('Dvd Calendar'!$AN$82=SPECIAL_LBL)*10000000+(N('Dvd Calendar'!$AN$76)&gt;0)*(N('Dvd Calendar'!$AN$76)&lt;=VAL_SERIAL)*1000000+7*1000+36))</f>
        <v/>
      </c>
      <c r="FO18" s="121">
        <f>IF(N('Dvd Calendar'!$AO$77)=0,"",IF(('Dvd Calendar'!$AO$77&gt;=GRID_FROM)*('Dvd Calendar'!$AO$77&lt;=GRID_TO)*((('Dvd Calendar'!$AO$77&lt;=VAL_DATE)+(COUNTIF('Dvd Calendar'!$E$84:$AR$84,'Dvd Calendar'!$AO$77)=0))&gt;0)=0,"",'Dvd Calendar'!$AO$77*1000000000+ISNUMBER('Dvd Calendar'!$AO$80)*100000000+('Dvd Calendar'!$AO$82=SPECIAL_LBL)*10000000+(N('Dvd Calendar'!$AO$76)&gt;0)*(N('Dvd Calendar'!$AO$76)&lt;=VAL_SERIAL)*1000000+7*1000+37))</f>
        <v/>
      </c>
      <c r="FP18" s="121">
        <f>IF(N('Dvd Calendar'!$AP$77)=0,"",IF(('Dvd Calendar'!$AP$77&gt;=GRID_FROM)*('Dvd Calendar'!$AP$77&lt;=GRID_TO)*((('Dvd Calendar'!$AP$77&lt;=VAL_DATE)+(COUNTIF('Dvd Calendar'!$E$84:$AR$84,'Dvd Calendar'!$AP$77)=0))&gt;0)=0,"",'Dvd Calendar'!$AP$77*1000000000+ISNUMBER('Dvd Calendar'!$AP$80)*100000000+('Dvd Calendar'!$AP$82=SPECIAL_LBL)*10000000+(N('Dvd Calendar'!$AP$76)&gt;0)*(N('Dvd Calendar'!$AP$76)&lt;=VAL_SERIAL)*1000000+7*1000+38))</f>
        <v/>
      </c>
      <c r="FQ18" s="121">
        <f>IF(N('Dvd Calendar'!$AQ$77)=0,"",IF(('Dvd Calendar'!$AQ$77&gt;=GRID_FROM)*('Dvd Calendar'!$AQ$77&lt;=GRID_TO)*((('Dvd Calendar'!$AQ$77&lt;=VAL_DATE)+(COUNTIF('Dvd Calendar'!$E$84:$AR$84,'Dvd Calendar'!$AQ$77)=0))&gt;0)=0,"",'Dvd Calendar'!$AQ$77*1000000000+ISNUMBER('Dvd Calendar'!$AQ$80)*100000000+('Dvd Calendar'!$AQ$82=SPECIAL_LBL)*10000000+(N('Dvd Calendar'!$AQ$76)&gt;0)*(N('Dvd Calendar'!$AQ$76)&lt;=VAL_SERIAL)*1000000+7*1000+39))</f>
        <v/>
      </c>
      <c r="FR18" s="121">
        <f>IF(N('Dvd Calendar'!$AR$77)=0,"",IF(('Dvd Calendar'!$AR$77&gt;=GRID_FROM)*('Dvd Calendar'!$AR$77&lt;=GRID_TO)*((('Dvd Calendar'!$AR$77&lt;=VAL_DATE)+(COUNTIF('Dvd Calendar'!$E$84:$AR$84,'Dvd Calendar'!$AR$77)=0))&gt;0)=0,"",'Dvd Calendar'!$AR$77*1000000000+ISNUMBER('Dvd Calendar'!$AR$80)*100000000+('Dvd Calendar'!$AR$82=SPECIAL_LBL)*10000000+(N('Dvd Calendar'!$AR$76)&gt;0)*(N('Dvd Calendar'!$AR$76)&lt;=VAL_SERIAL)*1000000+7*1000+40))</f>
        <v/>
      </c>
      <c r="FS18" s="121">
        <f>IF(N('Dvd Calendar'!$E$84)=0,"",IF(('Dvd Calendar'!$E$84&gt;=GRID_FROM)*('Dvd Calendar'!$E$84&lt;=GRID_TO)*('Dvd Calendar'!$E$84&gt;VAL_DATE)=0,"",'Dvd Calendar'!$E$84*1000000000+ISNUMBER('Dvd Calendar'!$E$85)*100000000+0*10000000+(N('Dvd Calendar'!$E$83)&gt;0)*(N('Dvd Calendar'!$E$83)&lt;=VAL_SERIAL)*1000000+7*1000+41))</f>
        <v/>
      </c>
      <c r="FT18" s="121">
        <f>IF(N('Dvd Calendar'!$F$84)=0,"",IF(('Dvd Calendar'!$F$84&gt;=GRID_FROM)*('Dvd Calendar'!$F$84&lt;=GRID_TO)*('Dvd Calendar'!$F$84&gt;VAL_DATE)=0,"",'Dvd Calendar'!$F$84*1000000000+ISNUMBER('Dvd Calendar'!$F$85)*100000000+0*10000000+(N('Dvd Calendar'!$F$83)&gt;0)*(N('Dvd Calendar'!$F$83)&lt;=VAL_SERIAL)*1000000+7*1000+42))</f>
        <v/>
      </c>
      <c r="FU18" s="121">
        <f>IF(N('Dvd Calendar'!$G$84)=0,"",IF(('Dvd Calendar'!$G$84&gt;=GRID_FROM)*('Dvd Calendar'!$G$84&lt;=GRID_TO)*('Dvd Calendar'!$G$84&gt;VAL_DATE)=0,"",'Dvd Calendar'!$G$84*1000000000+ISNUMBER('Dvd Calendar'!$G$85)*100000000+0*10000000+(N('Dvd Calendar'!$G$83)&gt;0)*(N('Dvd Calendar'!$G$83)&lt;=VAL_SERIAL)*1000000+7*1000+43))</f>
        <v/>
      </c>
      <c r="FV18" s="121">
        <f>IF(N('Dvd Calendar'!$H$84)=0,"",IF(('Dvd Calendar'!$H$84&gt;=GRID_FROM)*('Dvd Calendar'!$H$84&lt;=GRID_TO)*('Dvd Calendar'!$H$84&gt;VAL_DATE)=0,"",'Dvd Calendar'!$H$84*1000000000+ISNUMBER('Dvd Calendar'!$H$85)*100000000+0*10000000+(N('Dvd Calendar'!$H$83)&gt;0)*(N('Dvd Calendar'!$H$83)&lt;=VAL_SERIAL)*1000000+7*1000+44))</f>
        <v/>
      </c>
      <c r="FW18" s="121">
        <f>IF(N('Dvd Calendar'!$I$84)=0,"",IF(('Dvd Calendar'!$I$84&gt;=GRID_FROM)*('Dvd Calendar'!$I$84&lt;=GRID_TO)*('Dvd Calendar'!$I$84&gt;VAL_DATE)=0,"",'Dvd Calendar'!$I$84*1000000000+ISNUMBER('Dvd Calendar'!$I$85)*100000000+0*10000000+(N('Dvd Calendar'!$I$83)&gt;0)*(N('Dvd Calendar'!$I$83)&lt;=VAL_SERIAL)*1000000+7*1000+45))</f>
        <v/>
      </c>
      <c r="FX18" s="121">
        <f>IF(N('Dvd Calendar'!$J$84)=0,"",IF(('Dvd Calendar'!$J$84&gt;=GRID_FROM)*('Dvd Calendar'!$J$84&lt;=GRID_TO)*('Dvd Calendar'!$J$84&gt;VAL_DATE)=0,"",'Dvd Calendar'!$J$84*1000000000+ISNUMBER('Dvd Calendar'!$J$85)*100000000+0*10000000+(N('Dvd Calendar'!$J$83)&gt;0)*(N('Dvd Calendar'!$J$83)&lt;=VAL_SERIAL)*1000000+7*1000+46))</f>
        <v/>
      </c>
      <c r="FY18" s="121">
        <f>IF(N('Dvd Calendar'!$K$84)=0,"",IF(('Dvd Calendar'!$K$84&gt;=GRID_FROM)*('Dvd Calendar'!$K$84&lt;=GRID_TO)*('Dvd Calendar'!$K$84&gt;VAL_DATE)=0,"",'Dvd Calendar'!$K$84*1000000000+ISNUMBER('Dvd Calendar'!$K$85)*100000000+0*10000000+(N('Dvd Calendar'!$K$83)&gt;0)*(N('Dvd Calendar'!$K$83)&lt;=VAL_SERIAL)*1000000+7*1000+47))</f>
        <v/>
      </c>
      <c r="FZ18" s="121">
        <f>IF(N('Dvd Calendar'!$L$84)=0,"",IF(('Dvd Calendar'!$L$84&gt;=GRID_FROM)*('Dvd Calendar'!$L$84&lt;=GRID_TO)*('Dvd Calendar'!$L$84&gt;VAL_DATE)=0,"",'Dvd Calendar'!$L$84*1000000000+ISNUMBER('Dvd Calendar'!$L$85)*100000000+0*10000000+(N('Dvd Calendar'!$L$83)&gt;0)*(N('Dvd Calendar'!$L$83)&lt;=VAL_SERIAL)*1000000+7*1000+48))</f>
        <v/>
      </c>
      <c r="GA18" s="121">
        <f>IF(N('Dvd Calendar'!$M$84)=0,"",IF(('Dvd Calendar'!$M$84&gt;=GRID_FROM)*('Dvd Calendar'!$M$84&lt;=GRID_TO)*('Dvd Calendar'!$M$84&gt;VAL_DATE)=0,"",'Dvd Calendar'!$M$84*1000000000+ISNUMBER('Dvd Calendar'!$M$85)*100000000+0*10000000+(N('Dvd Calendar'!$M$83)&gt;0)*(N('Dvd Calendar'!$M$83)&lt;=VAL_SERIAL)*1000000+7*1000+49))</f>
        <v/>
      </c>
      <c r="GB18" s="121">
        <f>IF(N('Dvd Calendar'!$N$84)=0,"",IF(('Dvd Calendar'!$N$84&gt;=GRID_FROM)*('Dvd Calendar'!$N$84&lt;=GRID_TO)*('Dvd Calendar'!$N$84&gt;VAL_DATE)=0,"",'Dvd Calendar'!$N$84*1000000000+ISNUMBER('Dvd Calendar'!$N$85)*100000000+0*10000000+(N('Dvd Calendar'!$N$83)&gt;0)*(N('Dvd Calendar'!$N$83)&lt;=VAL_SERIAL)*1000000+7*1000+50))</f>
        <v/>
      </c>
      <c r="GC18" s="121">
        <f>IF(N('Dvd Calendar'!$O$84)=0,"",IF(('Dvd Calendar'!$O$84&gt;=GRID_FROM)*('Dvd Calendar'!$O$84&lt;=GRID_TO)*('Dvd Calendar'!$O$84&gt;VAL_DATE)=0,"",'Dvd Calendar'!$O$84*1000000000+ISNUMBER('Dvd Calendar'!$O$85)*100000000+0*10000000+(N('Dvd Calendar'!$O$83)&gt;0)*(N('Dvd Calendar'!$O$83)&lt;=VAL_SERIAL)*1000000+7*1000+51))</f>
        <v/>
      </c>
      <c r="GD18" s="121">
        <f>IF(N('Dvd Calendar'!$P$84)=0,"",IF(('Dvd Calendar'!$P$84&gt;=GRID_FROM)*('Dvd Calendar'!$P$84&lt;=GRID_TO)*('Dvd Calendar'!$P$84&gt;VAL_DATE)=0,"",'Dvd Calendar'!$P$84*1000000000+ISNUMBER('Dvd Calendar'!$P$85)*100000000+0*10000000+(N('Dvd Calendar'!$P$83)&gt;0)*(N('Dvd Calendar'!$P$83)&lt;=VAL_SERIAL)*1000000+7*1000+52))</f>
        <v/>
      </c>
      <c r="GE18" s="121">
        <f>IF(N('Dvd Calendar'!$Q$84)=0,"",IF(('Dvd Calendar'!$Q$84&gt;=GRID_FROM)*('Dvd Calendar'!$Q$84&lt;=GRID_TO)*('Dvd Calendar'!$Q$84&gt;VAL_DATE)=0,"",'Dvd Calendar'!$Q$84*1000000000+ISNUMBER('Dvd Calendar'!$Q$85)*100000000+0*10000000+(N('Dvd Calendar'!$Q$83)&gt;0)*(N('Dvd Calendar'!$Q$83)&lt;=VAL_SERIAL)*1000000+7*1000+53))</f>
        <v/>
      </c>
      <c r="GF18" s="121">
        <f>IF(N('Dvd Calendar'!$R$84)=0,"",IF(('Dvd Calendar'!$R$84&gt;=GRID_FROM)*('Dvd Calendar'!$R$84&lt;=GRID_TO)*('Dvd Calendar'!$R$84&gt;VAL_DATE)=0,"",'Dvd Calendar'!$R$84*1000000000+ISNUMBER('Dvd Calendar'!$R$85)*100000000+0*10000000+(N('Dvd Calendar'!$R$83)&gt;0)*(N('Dvd Calendar'!$R$83)&lt;=VAL_SERIAL)*1000000+7*1000+54))</f>
        <v/>
      </c>
      <c r="GG18" s="121">
        <f>IF(N('Dvd Calendar'!$S$84)=0,"",IF(('Dvd Calendar'!$S$84&gt;=GRID_FROM)*('Dvd Calendar'!$S$84&lt;=GRID_TO)*('Dvd Calendar'!$S$84&gt;VAL_DATE)=0,"",'Dvd Calendar'!$S$84*1000000000+ISNUMBER('Dvd Calendar'!$S$85)*100000000+0*10000000+(N('Dvd Calendar'!$S$83)&gt;0)*(N('Dvd Calendar'!$S$83)&lt;=VAL_SERIAL)*1000000+7*1000+55))</f>
        <v/>
      </c>
      <c r="GH18" s="121">
        <f>IF(N('Dvd Calendar'!$T$84)=0,"",IF(('Dvd Calendar'!$T$84&gt;=GRID_FROM)*('Dvd Calendar'!$T$84&lt;=GRID_TO)*('Dvd Calendar'!$T$84&gt;VAL_DATE)=0,"",'Dvd Calendar'!$T$84*1000000000+ISNUMBER('Dvd Calendar'!$T$85)*100000000+0*10000000+(N('Dvd Calendar'!$T$83)&gt;0)*(N('Dvd Calendar'!$T$83)&lt;=VAL_SERIAL)*1000000+7*1000+56))</f>
        <v/>
      </c>
      <c r="GI18" s="121">
        <f>IF(N('Dvd Calendar'!$U$84)=0,"",IF(('Dvd Calendar'!$U$84&gt;=GRID_FROM)*('Dvd Calendar'!$U$84&lt;=GRID_TO)*('Dvd Calendar'!$U$84&gt;VAL_DATE)=0,"",'Dvd Calendar'!$U$84*1000000000+ISNUMBER('Dvd Calendar'!$U$85)*100000000+0*10000000+(N('Dvd Calendar'!$U$83)&gt;0)*(N('Dvd Calendar'!$U$83)&lt;=VAL_SERIAL)*1000000+7*1000+57))</f>
        <v/>
      </c>
      <c r="GJ18" s="121">
        <f>IF(N('Dvd Calendar'!$V$84)=0,"",IF(('Dvd Calendar'!$V$84&gt;=GRID_FROM)*('Dvd Calendar'!$V$84&lt;=GRID_TO)*('Dvd Calendar'!$V$84&gt;VAL_DATE)=0,"",'Dvd Calendar'!$V$84*1000000000+ISNUMBER('Dvd Calendar'!$V$85)*100000000+0*10000000+(N('Dvd Calendar'!$V$83)&gt;0)*(N('Dvd Calendar'!$V$83)&lt;=VAL_SERIAL)*1000000+7*1000+58))</f>
        <v/>
      </c>
      <c r="GK18" s="121">
        <f>IF(N('Dvd Calendar'!$W$84)=0,"",IF(('Dvd Calendar'!$W$84&gt;=GRID_FROM)*('Dvd Calendar'!$W$84&lt;=GRID_TO)*('Dvd Calendar'!$W$84&gt;VAL_DATE)=0,"",'Dvd Calendar'!$W$84*1000000000+ISNUMBER('Dvd Calendar'!$W$85)*100000000+0*10000000+(N('Dvd Calendar'!$W$83)&gt;0)*(N('Dvd Calendar'!$W$83)&lt;=VAL_SERIAL)*1000000+7*1000+59))</f>
        <v/>
      </c>
      <c r="GL18" s="121">
        <f>IF(N('Dvd Calendar'!$X$84)=0,"",IF(('Dvd Calendar'!$X$84&gt;=GRID_FROM)*('Dvd Calendar'!$X$84&lt;=GRID_TO)*('Dvd Calendar'!$X$84&gt;VAL_DATE)=0,"",'Dvd Calendar'!$X$84*1000000000+ISNUMBER('Dvd Calendar'!$X$85)*100000000+0*10000000+(N('Dvd Calendar'!$X$83)&gt;0)*(N('Dvd Calendar'!$X$83)&lt;=VAL_SERIAL)*1000000+7*1000+60))</f>
        <v/>
      </c>
      <c r="GM18" s="121">
        <f>IF(N('Dvd Calendar'!$Y$84)=0,"",IF(('Dvd Calendar'!$Y$84&gt;=GRID_FROM)*('Dvd Calendar'!$Y$84&lt;=GRID_TO)*('Dvd Calendar'!$Y$84&gt;VAL_DATE)=0,"",'Dvd Calendar'!$Y$84*1000000000+ISNUMBER('Dvd Calendar'!$Y$85)*100000000+0*10000000+(N('Dvd Calendar'!$Y$83)&gt;0)*(N('Dvd Calendar'!$Y$83)&lt;=VAL_SERIAL)*1000000+7*1000+61))</f>
        <v/>
      </c>
      <c r="GN18" s="121">
        <f>IF(N('Dvd Calendar'!$Z$84)=0,"",IF(('Dvd Calendar'!$Z$84&gt;=GRID_FROM)*('Dvd Calendar'!$Z$84&lt;=GRID_TO)*('Dvd Calendar'!$Z$84&gt;VAL_DATE)=0,"",'Dvd Calendar'!$Z$84*1000000000+ISNUMBER('Dvd Calendar'!$Z$85)*100000000+0*10000000+(N('Dvd Calendar'!$Z$83)&gt;0)*(N('Dvd Calendar'!$Z$83)&lt;=VAL_SERIAL)*1000000+7*1000+62))</f>
        <v/>
      </c>
      <c r="GO18" s="121">
        <f>IF(N('Dvd Calendar'!$AA$84)=0,"",IF(('Dvd Calendar'!$AA$84&gt;=GRID_FROM)*('Dvd Calendar'!$AA$84&lt;=GRID_TO)*('Dvd Calendar'!$AA$84&gt;VAL_DATE)=0,"",'Dvd Calendar'!$AA$84*1000000000+ISNUMBER('Dvd Calendar'!$AA$85)*100000000+0*10000000+(N('Dvd Calendar'!$AA$83)&gt;0)*(N('Dvd Calendar'!$AA$83)&lt;=VAL_SERIAL)*1000000+7*1000+63))</f>
        <v/>
      </c>
      <c r="GP18" s="121">
        <f>IF(N('Dvd Calendar'!$AB$84)=0,"",IF(('Dvd Calendar'!$AB$84&gt;=GRID_FROM)*('Dvd Calendar'!$AB$84&lt;=GRID_TO)*('Dvd Calendar'!$AB$84&gt;VAL_DATE)=0,"",'Dvd Calendar'!$AB$84*1000000000+ISNUMBER('Dvd Calendar'!$AB$85)*100000000+0*10000000+(N('Dvd Calendar'!$AB$83)&gt;0)*(N('Dvd Calendar'!$AB$83)&lt;=VAL_SERIAL)*1000000+7*1000+64))</f>
        <v/>
      </c>
      <c r="GQ18" s="121">
        <f>IF(N('Dvd Calendar'!$AC$84)=0,"",IF(('Dvd Calendar'!$AC$84&gt;=GRID_FROM)*('Dvd Calendar'!$AC$84&lt;=GRID_TO)*('Dvd Calendar'!$AC$84&gt;VAL_DATE)=0,"",'Dvd Calendar'!$AC$84*1000000000+ISNUMBER('Dvd Calendar'!$AC$85)*100000000+0*10000000+(N('Dvd Calendar'!$AC$83)&gt;0)*(N('Dvd Calendar'!$AC$83)&lt;=VAL_SERIAL)*1000000+7*1000+65))</f>
        <v/>
      </c>
    </row>
    <row r="19">
      <c r="B19" s="2">
        <f>IF(HSI!$C$14="","",HSI!$C$14)</f>
        <v/>
      </c>
      <c r="C19" s="161">
        <f>IF(EE19="","",IF(ISNUMBER('Dvd Calendar'!$E$91)=FALSE,"",IF((('Dvd Calendar'!$E$93=TYPE1)*(TYPE1&lt;&gt;"")+('Dvd Calendar'!$E$93=TYPE2)*(TYPE2&lt;&gt;"")+('Dvd Calendar'!$E$93=TYPE3)*(TYPE3&lt;&gt;"")+('Dvd Calendar'!$E$93=TYPE4)*(TYPE4&lt;&gt;"")+('Dvd Calendar'!$E$93=SPECIAL_LBL)*(INC_SPECIALS="Y"))=0,"",'Dvd Calendar'!$E$91)))</f>
        <v/>
      </c>
      <c r="D19" s="161">
        <f>IF(EF19="","",IF(ISNUMBER('Dvd Calendar'!$F$91)=FALSE,"",IF((('Dvd Calendar'!$F$93=TYPE1)*(TYPE1&lt;&gt;"")+('Dvd Calendar'!$F$93=TYPE2)*(TYPE2&lt;&gt;"")+('Dvd Calendar'!$F$93=TYPE3)*(TYPE3&lt;&gt;"")+('Dvd Calendar'!$F$93=TYPE4)*(TYPE4&lt;&gt;"")+('Dvd Calendar'!$F$93=SPECIAL_LBL)*(INC_SPECIALS="Y"))=0,"",'Dvd Calendar'!$F$91)))</f>
        <v/>
      </c>
      <c r="E19" s="161">
        <f>IF(EG19="","",IF(ISNUMBER('Dvd Calendar'!$G$91)=FALSE,"",IF((('Dvd Calendar'!$G$93=TYPE1)*(TYPE1&lt;&gt;"")+('Dvd Calendar'!$G$93=TYPE2)*(TYPE2&lt;&gt;"")+('Dvd Calendar'!$G$93=TYPE3)*(TYPE3&lt;&gt;"")+('Dvd Calendar'!$G$93=TYPE4)*(TYPE4&lt;&gt;"")+('Dvd Calendar'!$G$93=SPECIAL_LBL)*(INC_SPECIALS="Y"))=0,"",'Dvd Calendar'!$G$91)))</f>
        <v/>
      </c>
      <c r="F19" s="161">
        <f>IF(EH19="","",IF(ISNUMBER('Dvd Calendar'!$H$91)=FALSE,"",IF((('Dvd Calendar'!$H$93=TYPE1)*(TYPE1&lt;&gt;"")+('Dvd Calendar'!$H$93=TYPE2)*(TYPE2&lt;&gt;"")+('Dvd Calendar'!$H$93=TYPE3)*(TYPE3&lt;&gt;"")+('Dvd Calendar'!$H$93=TYPE4)*(TYPE4&lt;&gt;"")+('Dvd Calendar'!$H$93=SPECIAL_LBL)*(INC_SPECIALS="Y"))=0,"",'Dvd Calendar'!$H$91)))</f>
        <v/>
      </c>
      <c r="G19" s="161">
        <f>IF(EI19="","",IF(ISNUMBER('Dvd Calendar'!$I$91)=FALSE,"",IF((('Dvd Calendar'!$I$93=TYPE1)*(TYPE1&lt;&gt;"")+('Dvd Calendar'!$I$93=TYPE2)*(TYPE2&lt;&gt;"")+('Dvd Calendar'!$I$93=TYPE3)*(TYPE3&lt;&gt;"")+('Dvd Calendar'!$I$93=TYPE4)*(TYPE4&lt;&gt;"")+('Dvd Calendar'!$I$93=SPECIAL_LBL)*(INC_SPECIALS="Y"))=0,"",'Dvd Calendar'!$I$91)))</f>
        <v/>
      </c>
      <c r="H19" s="161">
        <f>IF(EJ19="","",IF(ISNUMBER('Dvd Calendar'!$J$91)=FALSE,"",IF((('Dvd Calendar'!$J$93=TYPE1)*(TYPE1&lt;&gt;"")+('Dvd Calendar'!$J$93=TYPE2)*(TYPE2&lt;&gt;"")+('Dvd Calendar'!$J$93=TYPE3)*(TYPE3&lt;&gt;"")+('Dvd Calendar'!$J$93=TYPE4)*(TYPE4&lt;&gt;"")+('Dvd Calendar'!$J$93=SPECIAL_LBL)*(INC_SPECIALS="Y"))=0,"",'Dvd Calendar'!$J$91)))</f>
        <v/>
      </c>
      <c r="I19" s="161">
        <f>IF(EK19="","",IF(ISNUMBER('Dvd Calendar'!$K$91)=FALSE,"",IF((('Dvd Calendar'!$K$93=TYPE1)*(TYPE1&lt;&gt;"")+('Dvd Calendar'!$K$93=TYPE2)*(TYPE2&lt;&gt;"")+('Dvd Calendar'!$K$93=TYPE3)*(TYPE3&lt;&gt;"")+('Dvd Calendar'!$K$93=TYPE4)*(TYPE4&lt;&gt;"")+('Dvd Calendar'!$K$93=SPECIAL_LBL)*(INC_SPECIALS="Y"))=0,"",'Dvd Calendar'!$K$91)))</f>
        <v/>
      </c>
      <c r="J19" s="161">
        <f>IF(EL19="","",IF(ISNUMBER('Dvd Calendar'!$L$91)=FALSE,"",IF((('Dvd Calendar'!$L$93=TYPE1)*(TYPE1&lt;&gt;"")+('Dvd Calendar'!$L$93=TYPE2)*(TYPE2&lt;&gt;"")+('Dvd Calendar'!$L$93=TYPE3)*(TYPE3&lt;&gt;"")+('Dvd Calendar'!$L$93=TYPE4)*(TYPE4&lt;&gt;"")+('Dvd Calendar'!$L$93=SPECIAL_LBL)*(INC_SPECIALS="Y"))=0,"",'Dvd Calendar'!$L$91)))</f>
        <v/>
      </c>
      <c r="K19" s="161">
        <f>IF(EM19="","",IF(ISNUMBER('Dvd Calendar'!$M$91)=FALSE,"",IF((('Dvd Calendar'!$M$93=TYPE1)*(TYPE1&lt;&gt;"")+('Dvd Calendar'!$M$93=TYPE2)*(TYPE2&lt;&gt;"")+('Dvd Calendar'!$M$93=TYPE3)*(TYPE3&lt;&gt;"")+('Dvd Calendar'!$M$93=TYPE4)*(TYPE4&lt;&gt;"")+('Dvd Calendar'!$M$93=SPECIAL_LBL)*(INC_SPECIALS="Y"))=0,"",'Dvd Calendar'!$M$91)))</f>
        <v/>
      </c>
      <c r="L19" s="161">
        <f>IF(EN19="","",IF(ISNUMBER('Dvd Calendar'!$N$91)=FALSE,"",IF((('Dvd Calendar'!$N$93=TYPE1)*(TYPE1&lt;&gt;"")+('Dvd Calendar'!$N$93=TYPE2)*(TYPE2&lt;&gt;"")+('Dvd Calendar'!$N$93=TYPE3)*(TYPE3&lt;&gt;"")+('Dvd Calendar'!$N$93=TYPE4)*(TYPE4&lt;&gt;"")+('Dvd Calendar'!$N$93=SPECIAL_LBL)*(INC_SPECIALS="Y"))=0,"",'Dvd Calendar'!$N$91)))</f>
        <v/>
      </c>
      <c r="M19" s="161">
        <f>IF(EO19="","",IF(ISNUMBER('Dvd Calendar'!$O$91)=FALSE,"",IF((('Dvd Calendar'!$O$93=TYPE1)*(TYPE1&lt;&gt;"")+('Dvd Calendar'!$O$93=TYPE2)*(TYPE2&lt;&gt;"")+('Dvd Calendar'!$O$93=TYPE3)*(TYPE3&lt;&gt;"")+('Dvd Calendar'!$O$93=TYPE4)*(TYPE4&lt;&gt;"")+('Dvd Calendar'!$O$93=SPECIAL_LBL)*(INC_SPECIALS="Y"))=0,"",'Dvd Calendar'!$O$91)))</f>
        <v/>
      </c>
      <c r="N19" s="161">
        <f>IF(EP19="","",IF(ISNUMBER('Dvd Calendar'!$P$91)=FALSE,"",IF((('Dvd Calendar'!$P$93=TYPE1)*(TYPE1&lt;&gt;"")+('Dvd Calendar'!$P$93=TYPE2)*(TYPE2&lt;&gt;"")+('Dvd Calendar'!$P$93=TYPE3)*(TYPE3&lt;&gt;"")+('Dvd Calendar'!$P$93=TYPE4)*(TYPE4&lt;&gt;"")+('Dvd Calendar'!$P$93=SPECIAL_LBL)*(INC_SPECIALS="Y"))=0,"",'Dvd Calendar'!$P$91)))</f>
        <v/>
      </c>
      <c r="O19" s="161">
        <f>IF(EQ19="","",IF(ISNUMBER('Dvd Calendar'!$Q$91)=FALSE,"",IF((('Dvd Calendar'!$Q$93=TYPE1)*(TYPE1&lt;&gt;"")+('Dvd Calendar'!$Q$93=TYPE2)*(TYPE2&lt;&gt;"")+('Dvd Calendar'!$Q$93=TYPE3)*(TYPE3&lt;&gt;"")+('Dvd Calendar'!$Q$93=TYPE4)*(TYPE4&lt;&gt;"")+('Dvd Calendar'!$Q$93=SPECIAL_LBL)*(INC_SPECIALS="Y"))=0,"",'Dvd Calendar'!$Q$91)))</f>
        <v/>
      </c>
      <c r="P19" s="161">
        <f>IF(ER19="","",IF(ISNUMBER('Dvd Calendar'!$R$91)=FALSE,"",IF((('Dvd Calendar'!$R$93=TYPE1)*(TYPE1&lt;&gt;"")+('Dvd Calendar'!$R$93=TYPE2)*(TYPE2&lt;&gt;"")+('Dvd Calendar'!$R$93=TYPE3)*(TYPE3&lt;&gt;"")+('Dvd Calendar'!$R$93=TYPE4)*(TYPE4&lt;&gt;"")+('Dvd Calendar'!$R$93=SPECIAL_LBL)*(INC_SPECIALS="Y"))=0,"",'Dvd Calendar'!$R$91)))</f>
        <v/>
      </c>
      <c r="Q19" s="161">
        <f>IF(ES19="","",IF(ISNUMBER('Dvd Calendar'!$S$91)=FALSE,"",IF((('Dvd Calendar'!$S$93=TYPE1)*(TYPE1&lt;&gt;"")+('Dvd Calendar'!$S$93=TYPE2)*(TYPE2&lt;&gt;"")+('Dvd Calendar'!$S$93=TYPE3)*(TYPE3&lt;&gt;"")+('Dvd Calendar'!$S$93=TYPE4)*(TYPE4&lt;&gt;"")+('Dvd Calendar'!$S$93=SPECIAL_LBL)*(INC_SPECIALS="Y"))=0,"",'Dvd Calendar'!$S$91)))</f>
        <v/>
      </c>
      <c r="R19" s="161">
        <f>IF(ET19="","",IF(ISNUMBER('Dvd Calendar'!$T$91)=FALSE,"",IF((('Dvd Calendar'!$T$93=TYPE1)*(TYPE1&lt;&gt;"")+('Dvd Calendar'!$T$93=TYPE2)*(TYPE2&lt;&gt;"")+('Dvd Calendar'!$T$93=TYPE3)*(TYPE3&lt;&gt;"")+('Dvd Calendar'!$T$93=TYPE4)*(TYPE4&lt;&gt;"")+('Dvd Calendar'!$T$93=SPECIAL_LBL)*(INC_SPECIALS="Y"))=0,"",'Dvd Calendar'!$T$91)))</f>
        <v/>
      </c>
      <c r="S19" s="161">
        <f>IF(EU19="","",IF(ISNUMBER('Dvd Calendar'!$U$91)=FALSE,"",IF((('Dvd Calendar'!$U$93=TYPE1)*(TYPE1&lt;&gt;"")+('Dvd Calendar'!$U$93=TYPE2)*(TYPE2&lt;&gt;"")+('Dvd Calendar'!$U$93=TYPE3)*(TYPE3&lt;&gt;"")+('Dvd Calendar'!$U$93=TYPE4)*(TYPE4&lt;&gt;"")+('Dvd Calendar'!$U$93=SPECIAL_LBL)*(INC_SPECIALS="Y"))=0,"",'Dvd Calendar'!$U$91)))</f>
        <v/>
      </c>
      <c r="T19" s="161">
        <f>IF(EV19="","",IF(ISNUMBER('Dvd Calendar'!$V$91)=FALSE,"",IF((('Dvd Calendar'!$V$93=TYPE1)*(TYPE1&lt;&gt;"")+('Dvd Calendar'!$V$93=TYPE2)*(TYPE2&lt;&gt;"")+('Dvd Calendar'!$V$93=TYPE3)*(TYPE3&lt;&gt;"")+('Dvd Calendar'!$V$93=TYPE4)*(TYPE4&lt;&gt;"")+('Dvd Calendar'!$V$93=SPECIAL_LBL)*(INC_SPECIALS="Y"))=0,"",'Dvd Calendar'!$V$91)))</f>
        <v/>
      </c>
      <c r="U19" s="161">
        <f>IF(EW19="","",IF(ISNUMBER('Dvd Calendar'!$W$91)=FALSE,"",IF((('Dvd Calendar'!$W$93=TYPE1)*(TYPE1&lt;&gt;"")+('Dvd Calendar'!$W$93=TYPE2)*(TYPE2&lt;&gt;"")+('Dvd Calendar'!$W$93=TYPE3)*(TYPE3&lt;&gt;"")+('Dvd Calendar'!$W$93=TYPE4)*(TYPE4&lt;&gt;"")+('Dvd Calendar'!$W$93=SPECIAL_LBL)*(INC_SPECIALS="Y"))=0,"",'Dvd Calendar'!$W$91)))</f>
        <v/>
      </c>
      <c r="V19" s="161">
        <f>IF(EX19="","",IF(ISNUMBER('Dvd Calendar'!$X$91)=FALSE,"",IF((('Dvd Calendar'!$X$93=TYPE1)*(TYPE1&lt;&gt;"")+('Dvd Calendar'!$X$93=TYPE2)*(TYPE2&lt;&gt;"")+('Dvd Calendar'!$X$93=TYPE3)*(TYPE3&lt;&gt;"")+('Dvd Calendar'!$X$93=TYPE4)*(TYPE4&lt;&gt;"")+('Dvd Calendar'!$X$93=SPECIAL_LBL)*(INC_SPECIALS="Y"))=0,"",'Dvd Calendar'!$X$91)))</f>
        <v/>
      </c>
      <c r="W19" s="161">
        <f>IF(EY19="","",IF(ISNUMBER('Dvd Calendar'!$Y$91)=FALSE,"",IF((('Dvd Calendar'!$Y$93=TYPE1)*(TYPE1&lt;&gt;"")+('Dvd Calendar'!$Y$93=TYPE2)*(TYPE2&lt;&gt;"")+('Dvd Calendar'!$Y$93=TYPE3)*(TYPE3&lt;&gt;"")+('Dvd Calendar'!$Y$93=TYPE4)*(TYPE4&lt;&gt;"")+('Dvd Calendar'!$Y$93=SPECIAL_LBL)*(INC_SPECIALS="Y"))=0,"",'Dvd Calendar'!$Y$91)))</f>
        <v/>
      </c>
      <c r="X19" s="161">
        <f>IF(EZ19="","",IF(ISNUMBER('Dvd Calendar'!$Z$91)=FALSE,"",IF((('Dvd Calendar'!$Z$93=TYPE1)*(TYPE1&lt;&gt;"")+('Dvd Calendar'!$Z$93=TYPE2)*(TYPE2&lt;&gt;"")+('Dvd Calendar'!$Z$93=TYPE3)*(TYPE3&lt;&gt;"")+('Dvd Calendar'!$Z$93=TYPE4)*(TYPE4&lt;&gt;"")+('Dvd Calendar'!$Z$93=SPECIAL_LBL)*(INC_SPECIALS="Y"))=0,"",'Dvd Calendar'!$Z$91)))</f>
        <v/>
      </c>
      <c r="Y19" s="161">
        <f>IF(FA19="","",IF(ISNUMBER('Dvd Calendar'!$AA$91)=FALSE,"",IF((('Dvd Calendar'!$AA$93=TYPE1)*(TYPE1&lt;&gt;"")+('Dvd Calendar'!$AA$93=TYPE2)*(TYPE2&lt;&gt;"")+('Dvd Calendar'!$AA$93=TYPE3)*(TYPE3&lt;&gt;"")+('Dvd Calendar'!$AA$93=TYPE4)*(TYPE4&lt;&gt;"")+('Dvd Calendar'!$AA$93=SPECIAL_LBL)*(INC_SPECIALS="Y"))=0,"",'Dvd Calendar'!$AA$91)))</f>
        <v/>
      </c>
      <c r="Z19" s="161">
        <f>IF(FB19="","",IF(ISNUMBER('Dvd Calendar'!$AB$91)=FALSE,"",IF((('Dvd Calendar'!$AB$93=TYPE1)*(TYPE1&lt;&gt;"")+('Dvd Calendar'!$AB$93=TYPE2)*(TYPE2&lt;&gt;"")+('Dvd Calendar'!$AB$93=TYPE3)*(TYPE3&lt;&gt;"")+('Dvd Calendar'!$AB$93=TYPE4)*(TYPE4&lt;&gt;"")+('Dvd Calendar'!$AB$93=SPECIAL_LBL)*(INC_SPECIALS="Y"))=0,"",'Dvd Calendar'!$AB$91)))</f>
        <v/>
      </c>
      <c r="AA19" s="161">
        <f>IF(FC19="","",IF(ISNUMBER('Dvd Calendar'!$AC$91)=FALSE,"",IF((('Dvd Calendar'!$AC$93=TYPE1)*(TYPE1&lt;&gt;"")+('Dvd Calendar'!$AC$93=TYPE2)*(TYPE2&lt;&gt;"")+('Dvd Calendar'!$AC$93=TYPE3)*(TYPE3&lt;&gt;"")+('Dvd Calendar'!$AC$93=TYPE4)*(TYPE4&lt;&gt;"")+('Dvd Calendar'!$AC$93=SPECIAL_LBL)*(INC_SPECIALS="Y"))=0,"",'Dvd Calendar'!$AC$91)))</f>
        <v/>
      </c>
      <c r="AB19" s="161">
        <f>IF(FD19="","",IF(ISNUMBER('Dvd Calendar'!$AD$91)=FALSE,"",IF((('Dvd Calendar'!$AD$93=TYPE1)*(TYPE1&lt;&gt;"")+('Dvd Calendar'!$AD$93=TYPE2)*(TYPE2&lt;&gt;"")+('Dvd Calendar'!$AD$93=TYPE3)*(TYPE3&lt;&gt;"")+('Dvd Calendar'!$AD$93=TYPE4)*(TYPE4&lt;&gt;"")+('Dvd Calendar'!$AD$93=SPECIAL_LBL)*(INC_SPECIALS="Y"))=0,"",'Dvd Calendar'!$AD$91)))</f>
        <v/>
      </c>
      <c r="AC19" s="161">
        <f>IF(FE19="","",IF(ISNUMBER('Dvd Calendar'!$AE$91)=FALSE,"",IF((('Dvd Calendar'!$AE$93=TYPE1)*(TYPE1&lt;&gt;"")+('Dvd Calendar'!$AE$93=TYPE2)*(TYPE2&lt;&gt;"")+('Dvd Calendar'!$AE$93=TYPE3)*(TYPE3&lt;&gt;"")+('Dvd Calendar'!$AE$93=TYPE4)*(TYPE4&lt;&gt;"")+('Dvd Calendar'!$AE$93=SPECIAL_LBL)*(INC_SPECIALS="Y"))=0,"",'Dvd Calendar'!$AE$91)))</f>
        <v/>
      </c>
      <c r="AD19" s="161">
        <f>IF(FF19="","",IF(ISNUMBER('Dvd Calendar'!$AF$91)=FALSE,"",IF((('Dvd Calendar'!$AF$93=TYPE1)*(TYPE1&lt;&gt;"")+('Dvd Calendar'!$AF$93=TYPE2)*(TYPE2&lt;&gt;"")+('Dvd Calendar'!$AF$93=TYPE3)*(TYPE3&lt;&gt;"")+('Dvd Calendar'!$AF$93=TYPE4)*(TYPE4&lt;&gt;"")+('Dvd Calendar'!$AF$93=SPECIAL_LBL)*(INC_SPECIALS="Y"))=0,"",'Dvd Calendar'!$AF$91)))</f>
        <v/>
      </c>
      <c r="AE19" s="161">
        <f>IF(FG19="","",IF(ISNUMBER('Dvd Calendar'!$AG$91)=FALSE,"",IF((('Dvd Calendar'!$AG$93=TYPE1)*(TYPE1&lt;&gt;"")+('Dvd Calendar'!$AG$93=TYPE2)*(TYPE2&lt;&gt;"")+('Dvd Calendar'!$AG$93=TYPE3)*(TYPE3&lt;&gt;"")+('Dvd Calendar'!$AG$93=TYPE4)*(TYPE4&lt;&gt;"")+('Dvd Calendar'!$AG$93=SPECIAL_LBL)*(INC_SPECIALS="Y"))=0,"",'Dvd Calendar'!$AG$91)))</f>
        <v/>
      </c>
      <c r="AF19" s="161">
        <f>IF(FH19="","",IF(ISNUMBER('Dvd Calendar'!$AH$91)=FALSE,"",IF((('Dvd Calendar'!$AH$93=TYPE1)*(TYPE1&lt;&gt;"")+('Dvd Calendar'!$AH$93=TYPE2)*(TYPE2&lt;&gt;"")+('Dvd Calendar'!$AH$93=TYPE3)*(TYPE3&lt;&gt;"")+('Dvd Calendar'!$AH$93=TYPE4)*(TYPE4&lt;&gt;"")+('Dvd Calendar'!$AH$93=SPECIAL_LBL)*(INC_SPECIALS="Y"))=0,"",'Dvd Calendar'!$AH$91)))</f>
        <v/>
      </c>
      <c r="AG19" s="161">
        <f>IF(FI19="","",IF(ISNUMBER('Dvd Calendar'!$AI$91)=FALSE,"",IF((('Dvd Calendar'!$AI$93=TYPE1)*(TYPE1&lt;&gt;"")+('Dvd Calendar'!$AI$93=TYPE2)*(TYPE2&lt;&gt;"")+('Dvd Calendar'!$AI$93=TYPE3)*(TYPE3&lt;&gt;"")+('Dvd Calendar'!$AI$93=TYPE4)*(TYPE4&lt;&gt;"")+('Dvd Calendar'!$AI$93=SPECIAL_LBL)*(INC_SPECIALS="Y"))=0,"",'Dvd Calendar'!$AI$91)))</f>
        <v/>
      </c>
      <c r="AH19" s="161">
        <f>IF(FJ19="","",IF(ISNUMBER('Dvd Calendar'!$AJ$91)=FALSE,"",IF((('Dvd Calendar'!$AJ$93=TYPE1)*(TYPE1&lt;&gt;"")+('Dvd Calendar'!$AJ$93=TYPE2)*(TYPE2&lt;&gt;"")+('Dvd Calendar'!$AJ$93=TYPE3)*(TYPE3&lt;&gt;"")+('Dvd Calendar'!$AJ$93=TYPE4)*(TYPE4&lt;&gt;"")+('Dvd Calendar'!$AJ$93=SPECIAL_LBL)*(INC_SPECIALS="Y"))=0,"",'Dvd Calendar'!$AJ$91)))</f>
        <v/>
      </c>
      <c r="AI19" s="161">
        <f>IF(FK19="","",IF(ISNUMBER('Dvd Calendar'!$AK$91)=FALSE,"",IF((('Dvd Calendar'!$AK$93=TYPE1)*(TYPE1&lt;&gt;"")+('Dvd Calendar'!$AK$93=TYPE2)*(TYPE2&lt;&gt;"")+('Dvd Calendar'!$AK$93=TYPE3)*(TYPE3&lt;&gt;"")+('Dvd Calendar'!$AK$93=TYPE4)*(TYPE4&lt;&gt;"")+('Dvd Calendar'!$AK$93=SPECIAL_LBL)*(INC_SPECIALS="Y"))=0,"",'Dvd Calendar'!$AK$91)))</f>
        <v/>
      </c>
      <c r="AJ19" s="161">
        <f>IF(FL19="","",IF(ISNUMBER('Dvd Calendar'!$AL$91)=FALSE,"",IF((('Dvd Calendar'!$AL$93=TYPE1)*(TYPE1&lt;&gt;"")+('Dvd Calendar'!$AL$93=TYPE2)*(TYPE2&lt;&gt;"")+('Dvd Calendar'!$AL$93=TYPE3)*(TYPE3&lt;&gt;"")+('Dvd Calendar'!$AL$93=TYPE4)*(TYPE4&lt;&gt;"")+('Dvd Calendar'!$AL$93=SPECIAL_LBL)*(INC_SPECIALS="Y"))=0,"",'Dvd Calendar'!$AL$91)))</f>
        <v/>
      </c>
      <c r="AK19" s="161">
        <f>IF(FM19="","",IF(ISNUMBER('Dvd Calendar'!$AM$91)=FALSE,"",IF((('Dvd Calendar'!$AM$93=TYPE1)*(TYPE1&lt;&gt;"")+('Dvd Calendar'!$AM$93=TYPE2)*(TYPE2&lt;&gt;"")+('Dvd Calendar'!$AM$93=TYPE3)*(TYPE3&lt;&gt;"")+('Dvd Calendar'!$AM$93=TYPE4)*(TYPE4&lt;&gt;"")+('Dvd Calendar'!$AM$93=SPECIAL_LBL)*(INC_SPECIALS="Y"))=0,"",'Dvd Calendar'!$AM$91)))</f>
        <v/>
      </c>
      <c r="AL19" s="161">
        <f>IF(FN19="","",IF(ISNUMBER('Dvd Calendar'!$AN$91)=FALSE,"",IF((('Dvd Calendar'!$AN$93=TYPE1)*(TYPE1&lt;&gt;"")+('Dvd Calendar'!$AN$93=TYPE2)*(TYPE2&lt;&gt;"")+('Dvd Calendar'!$AN$93=TYPE3)*(TYPE3&lt;&gt;"")+('Dvd Calendar'!$AN$93=TYPE4)*(TYPE4&lt;&gt;"")+('Dvd Calendar'!$AN$93=SPECIAL_LBL)*(INC_SPECIALS="Y"))=0,"",'Dvd Calendar'!$AN$91)))</f>
        <v/>
      </c>
      <c r="AM19" s="161">
        <f>IF(FO19="","",IF(ISNUMBER('Dvd Calendar'!$AO$91)=FALSE,"",IF((('Dvd Calendar'!$AO$93=TYPE1)*(TYPE1&lt;&gt;"")+('Dvd Calendar'!$AO$93=TYPE2)*(TYPE2&lt;&gt;"")+('Dvd Calendar'!$AO$93=TYPE3)*(TYPE3&lt;&gt;"")+('Dvd Calendar'!$AO$93=TYPE4)*(TYPE4&lt;&gt;"")+('Dvd Calendar'!$AO$93=SPECIAL_LBL)*(INC_SPECIALS="Y"))=0,"",'Dvd Calendar'!$AO$91)))</f>
        <v/>
      </c>
      <c r="AN19" s="161">
        <f>IF(FP19="","",IF(ISNUMBER('Dvd Calendar'!$AP$91)=FALSE,"",IF((('Dvd Calendar'!$AP$93=TYPE1)*(TYPE1&lt;&gt;"")+('Dvd Calendar'!$AP$93=TYPE2)*(TYPE2&lt;&gt;"")+('Dvd Calendar'!$AP$93=TYPE3)*(TYPE3&lt;&gt;"")+('Dvd Calendar'!$AP$93=TYPE4)*(TYPE4&lt;&gt;"")+('Dvd Calendar'!$AP$93=SPECIAL_LBL)*(INC_SPECIALS="Y"))=0,"",'Dvd Calendar'!$AP$91)))</f>
        <v/>
      </c>
      <c r="AO19" s="161">
        <f>IF(FQ19="","",IF(ISNUMBER('Dvd Calendar'!$AQ$91)=FALSE,"",IF((('Dvd Calendar'!$AQ$93=TYPE1)*(TYPE1&lt;&gt;"")+('Dvd Calendar'!$AQ$93=TYPE2)*(TYPE2&lt;&gt;"")+('Dvd Calendar'!$AQ$93=TYPE3)*(TYPE3&lt;&gt;"")+('Dvd Calendar'!$AQ$93=TYPE4)*(TYPE4&lt;&gt;"")+('Dvd Calendar'!$AQ$93=SPECIAL_LBL)*(INC_SPECIALS="Y"))=0,"",'Dvd Calendar'!$AQ$91)))</f>
        <v/>
      </c>
      <c r="AP19" s="161">
        <f>IF(FR19="","",IF(ISNUMBER('Dvd Calendar'!$AR$91)=FALSE,"",IF((('Dvd Calendar'!$AR$93=TYPE1)*(TYPE1&lt;&gt;"")+('Dvd Calendar'!$AR$93=TYPE2)*(TYPE2&lt;&gt;"")+('Dvd Calendar'!$AR$93=TYPE3)*(TYPE3&lt;&gt;"")+('Dvd Calendar'!$AR$93=TYPE4)*(TYPE4&lt;&gt;"")+('Dvd Calendar'!$AR$93=SPECIAL_LBL)*(INC_SPECIALS="Y"))=0,"",'Dvd Calendar'!$AR$91)))</f>
        <v/>
      </c>
      <c r="AQ19" s="161">
        <f>IF(FS19="","",IF(ISNUMBER('Dvd Calendar'!$E$96)=FALSE,"",'Dvd Calendar'!$E$96))</f>
        <v/>
      </c>
      <c r="AR19" s="161">
        <f>IF(FT19="","",IF(ISNUMBER('Dvd Calendar'!$F$96)=FALSE,"",'Dvd Calendar'!$F$96))</f>
        <v/>
      </c>
      <c r="AS19" s="161">
        <f>IF(FU19="","",IF(ISNUMBER('Dvd Calendar'!$G$96)=FALSE,"",'Dvd Calendar'!$G$96))</f>
        <v/>
      </c>
      <c r="AT19" s="161">
        <f>IF(FV19="","",IF(ISNUMBER('Dvd Calendar'!$H$96)=FALSE,"",'Dvd Calendar'!$H$96))</f>
        <v/>
      </c>
      <c r="AU19" s="161">
        <f>IF(FW19="","",IF(ISNUMBER('Dvd Calendar'!$I$96)=FALSE,"",'Dvd Calendar'!$I$96))</f>
        <v/>
      </c>
      <c r="AV19" s="161">
        <f>IF(FX19="","",IF(ISNUMBER('Dvd Calendar'!$J$96)=FALSE,"",'Dvd Calendar'!$J$96))</f>
        <v/>
      </c>
      <c r="AW19" s="161">
        <f>IF(FY19="","",IF(ISNUMBER('Dvd Calendar'!$K$96)=FALSE,"",'Dvd Calendar'!$K$96))</f>
        <v/>
      </c>
      <c r="AX19" s="161">
        <f>IF(FZ19="","",IF(ISNUMBER('Dvd Calendar'!$L$96)=FALSE,"",'Dvd Calendar'!$L$96))</f>
        <v/>
      </c>
      <c r="AY19" s="161">
        <f>IF(GA19="","",IF(ISNUMBER('Dvd Calendar'!$M$96)=FALSE,"",'Dvd Calendar'!$M$96))</f>
        <v/>
      </c>
      <c r="AZ19" s="161">
        <f>IF(GB19="","",IF(ISNUMBER('Dvd Calendar'!$N$96)=FALSE,"",'Dvd Calendar'!$N$96))</f>
        <v/>
      </c>
      <c r="BA19" s="161">
        <f>IF(GC19="","",IF(ISNUMBER('Dvd Calendar'!$O$96)=FALSE,"",'Dvd Calendar'!$O$96))</f>
        <v/>
      </c>
      <c r="BB19" s="161">
        <f>IF(GD19="","",IF(ISNUMBER('Dvd Calendar'!$P$96)=FALSE,"",'Dvd Calendar'!$P$96))</f>
        <v/>
      </c>
      <c r="BC19" s="161">
        <f>IF(GE19="","",IF(ISNUMBER('Dvd Calendar'!$Q$96)=FALSE,"",'Dvd Calendar'!$Q$96))</f>
        <v/>
      </c>
      <c r="BD19" s="161">
        <f>IF(GF19="","",IF(ISNUMBER('Dvd Calendar'!$R$96)=FALSE,"",'Dvd Calendar'!$R$96))</f>
        <v/>
      </c>
      <c r="BE19" s="161">
        <f>IF(GG19="","",IF(ISNUMBER('Dvd Calendar'!$S$96)=FALSE,"",'Dvd Calendar'!$S$96))</f>
        <v/>
      </c>
      <c r="BF19" s="161">
        <f>IF(GH19="","",IF(ISNUMBER('Dvd Calendar'!$T$96)=FALSE,"",'Dvd Calendar'!$T$96))</f>
        <v/>
      </c>
      <c r="BG19" s="161">
        <f>IF(GI19="","",IF(ISNUMBER('Dvd Calendar'!$U$96)=FALSE,"",'Dvd Calendar'!$U$96))</f>
        <v/>
      </c>
      <c r="BH19" s="161">
        <f>IF(GJ19="","",IF(ISNUMBER('Dvd Calendar'!$V$96)=FALSE,"",'Dvd Calendar'!$V$96))</f>
        <v/>
      </c>
      <c r="BI19" s="161">
        <f>IF(GK19="","",IF(ISNUMBER('Dvd Calendar'!$W$96)=FALSE,"",'Dvd Calendar'!$W$96))</f>
        <v/>
      </c>
      <c r="BJ19" s="161">
        <f>IF(GL19="","",IF(ISNUMBER('Dvd Calendar'!$X$96)=FALSE,"",'Dvd Calendar'!$X$96))</f>
        <v/>
      </c>
      <c r="BK19" s="161">
        <f>IF(GM19="","",IF(ISNUMBER('Dvd Calendar'!$Y$96)=FALSE,"",'Dvd Calendar'!$Y$96))</f>
        <v/>
      </c>
      <c r="BL19" s="161">
        <f>IF(GN19="","",IF(ISNUMBER('Dvd Calendar'!$Z$96)=FALSE,"",'Dvd Calendar'!$Z$96))</f>
        <v/>
      </c>
      <c r="BM19" s="161">
        <f>IF(GO19="","",IF(ISNUMBER('Dvd Calendar'!$AA$96)=FALSE,"",'Dvd Calendar'!$AA$96))</f>
        <v/>
      </c>
      <c r="BN19" s="161">
        <f>IF(GP19="","",IF(ISNUMBER('Dvd Calendar'!$AB$96)=FALSE,"",'Dvd Calendar'!$AB$96))</f>
        <v/>
      </c>
      <c r="BO19" s="161">
        <f>IF(GQ19="","",IF(ISNUMBER('Dvd Calendar'!$AC$96)=FALSE,"",'Dvd Calendar'!$AC$96))</f>
        <v/>
      </c>
      <c r="BQ19" s="161">
        <f>IF(C19="","",IFERROR(C19*HSI!$B$14*HSI!$G$14/HSI!$B$3,""))</f>
        <v/>
      </c>
      <c r="BR19" s="161">
        <f>IF(D19="","",IFERROR(D19*HSI!$B$14*HSI!$G$14/HSI!$B$3,""))</f>
        <v/>
      </c>
      <c r="BS19" s="161">
        <f>IF(E19="","",IFERROR(E19*HSI!$B$14*HSI!$G$14/HSI!$B$3,""))</f>
        <v/>
      </c>
      <c r="BT19" s="161">
        <f>IF(F19="","",IFERROR(F19*HSI!$B$14*HSI!$G$14/HSI!$B$3,""))</f>
        <v/>
      </c>
      <c r="BU19" s="161">
        <f>IF(G19="","",IFERROR(G19*HSI!$B$14*HSI!$G$14/HSI!$B$3,""))</f>
        <v/>
      </c>
      <c r="BV19" s="161">
        <f>IF(H19="","",IFERROR(H19*HSI!$B$14*HSI!$G$14/HSI!$B$3,""))</f>
        <v/>
      </c>
      <c r="BW19" s="161">
        <f>IF(I19="","",IFERROR(I19*HSI!$B$14*HSI!$G$14/HSI!$B$3,""))</f>
        <v/>
      </c>
      <c r="BX19" s="161">
        <f>IF(J19="","",IFERROR(J19*HSI!$B$14*HSI!$G$14/HSI!$B$3,""))</f>
        <v/>
      </c>
      <c r="BY19" s="161">
        <f>IF(K19="","",IFERROR(K19*HSI!$B$14*HSI!$G$14/HSI!$B$3,""))</f>
        <v/>
      </c>
      <c r="BZ19" s="161">
        <f>IF(L19="","",IFERROR(L19*HSI!$B$14*HSI!$G$14/HSI!$B$3,""))</f>
        <v/>
      </c>
      <c r="CA19" s="161">
        <f>IF(M19="","",IFERROR(M19*HSI!$B$14*HSI!$G$14/HSI!$B$3,""))</f>
        <v/>
      </c>
      <c r="CB19" s="161">
        <f>IF(N19="","",IFERROR(N19*HSI!$B$14*HSI!$G$14/HSI!$B$3,""))</f>
        <v/>
      </c>
      <c r="CC19" s="161">
        <f>IF(O19="","",IFERROR(O19*HSI!$B$14*HSI!$G$14/HSI!$B$3,""))</f>
        <v/>
      </c>
      <c r="CD19" s="161">
        <f>IF(P19="","",IFERROR(P19*HSI!$B$14*HSI!$G$14/HSI!$B$3,""))</f>
        <v/>
      </c>
      <c r="CE19" s="161">
        <f>IF(Q19="","",IFERROR(Q19*HSI!$B$14*HSI!$G$14/HSI!$B$3,""))</f>
        <v/>
      </c>
      <c r="CF19" s="161">
        <f>IF(R19="","",IFERROR(R19*HSI!$B$14*HSI!$G$14/HSI!$B$3,""))</f>
        <v/>
      </c>
      <c r="CG19" s="161">
        <f>IF(S19="","",IFERROR(S19*HSI!$B$14*HSI!$G$14/HSI!$B$3,""))</f>
        <v/>
      </c>
      <c r="CH19" s="161">
        <f>IF(T19="","",IFERROR(T19*HSI!$B$14*HSI!$G$14/HSI!$B$3,""))</f>
        <v/>
      </c>
      <c r="CI19" s="161">
        <f>IF(U19="","",IFERROR(U19*HSI!$B$14*HSI!$G$14/HSI!$B$3,""))</f>
        <v/>
      </c>
      <c r="CJ19" s="161">
        <f>IF(V19="","",IFERROR(V19*HSI!$B$14*HSI!$G$14/HSI!$B$3,""))</f>
        <v/>
      </c>
      <c r="CK19" s="161">
        <f>IF(W19="","",IFERROR(W19*HSI!$B$14*HSI!$G$14/HSI!$B$3,""))</f>
        <v/>
      </c>
      <c r="CL19" s="161">
        <f>IF(X19="","",IFERROR(X19*HSI!$B$14*HSI!$G$14/HSI!$B$3,""))</f>
        <v/>
      </c>
      <c r="CM19" s="161">
        <f>IF(Y19="","",IFERROR(Y19*HSI!$B$14*HSI!$G$14/HSI!$B$3,""))</f>
        <v/>
      </c>
      <c r="CN19" s="161">
        <f>IF(Z19="","",IFERROR(Z19*HSI!$B$14*HSI!$G$14/HSI!$B$3,""))</f>
        <v/>
      </c>
      <c r="CO19" s="161">
        <f>IF(AA19="","",IFERROR(AA19*HSI!$B$14*HSI!$G$14/HSI!$B$3,""))</f>
        <v/>
      </c>
      <c r="CP19" s="161">
        <f>IF(AB19="","",IFERROR(AB19*HSI!$B$14*HSI!$G$14/HSI!$B$3,""))</f>
        <v/>
      </c>
      <c r="CQ19" s="161">
        <f>IF(AC19="","",IFERROR(AC19*HSI!$B$14*HSI!$G$14/HSI!$B$3,""))</f>
        <v/>
      </c>
      <c r="CR19" s="161">
        <f>IF(AD19="","",IFERROR(AD19*HSI!$B$14*HSI!$G$14/HSI!$B$3,""))</f>
        <v/>
      </c>
      <c r="CS19" s="161">
        <f>IF(AE19="","",IFERROR(AE19*HSI!$B$14*HSI!$G$14/HSI!$B$3,""))</f>
        <v/>
      </c>
      <c r="CT19" s="161">
        <f>IF(AF19="","",IFERROR(AF19*HSI!$B$14*HSI!$G$14/HSI!$B$3,""))</f>
        <v/>
      </c>
      <c r="CU19" s="161">
        <f>IF(AG19="","",IFERROR(AG19*HSI!$B$14*HSI!$G$14/HSI!$B$3,""))</f>
        <v/>
      </c>
      <c r="CV19" s="161">
        <f>IF(AH19="","",IFERROR(AH19*HSI!$B$14*HSI!$G$14/HSI!$B$3,""))</f>
        <v/>
      </c>
      <c r="CW19" s="161">
        <f>IF(AI19="","",IFERROR(AI19*HSI!$B$14*HSI!$G$14/HSI!$B$3,""))</f>
        <v/>
      </c>
      <c r="CX19" s="161">
        <f>IF(AJ19="","",IFERROR(AJ19*HSI!$B$14*HSI!$G$14/HSI!$B$3,""))</f>
        <v/>
      </c>
      <c r="CY19" s="161">
        <f>IF(AK19="","",IFERROR(AK19*HSI!$B$14*HSI!$G$14/HSI!$B$3,""))</f>
        <v/>
      </c>
      <c r="CZ19" s="161">
        <f>IF(AL19="","",IFERROR(AL19*HSI!$B$14*HSI!$G$14/HSI!$B$3,""))</f>
        <v/>
      </c>
      <c r="DA19" s="161">
        <f>IF(AM19="","",IFERROR(AM19*HSI!$B$14*HSI!$G$14/HSI!$B$3,""))</f>
        <v/>
      </c>
      <c r="DB19" s="161">
        <f>IF(AN19="","",IFERROR(AN19*HSI!$B$14*HSI!$G$14/HSI!$B$3,""))</f>
        <v/>
      </c>
      <c r="DC19" s="161">
        <f>IF(AO19="","",IFERROR(AO19*HSI!$B$14*HSI!$G$14/HSI!$B$3,""))</f>
        <v/>
      </c>
      <c r="DD19" s="161">
        <f>IF(AP19="","",IFERROR(AP19*HSI!$B$14*HSI!$G$14/HSI!$B$3,""))</f>
        <v/>
      </c>
      <c r="DE19" s="161">
        <f>IF(AQ19="","",IFERROR(AQ19*HSI!$B$14*HSI!$G$14/HSI!$B$3,""))</f>
        <v/>
      </c>
      <c r="DF19" s="161">
        <f>IF(AR19="","",IFERROR(AR19*HSI!$B$14*HSI!$G$14/HSI!$B$3,""))</f>
        <v/>
      </c>
      <c r="DG19" s="161">
        <f>IF(AS19="","",IFERROR(AS19*HSI!$B$14*HSI!$G$14/HSI!$B$3,""))</f>
        <v/>
      </c>
      <c r="DH19" s="161">
        <f>IF(AT19="","",IFERROR(AT19*HSI!$B$14*HSI!$G$14/HSI!$B$3,""))</f>
        <v/>
      </c>
      <c r="DI19" s="161">
        <f>IF(AU19="","",IFERROR(AU19*HSI!$B$14*HSI!$G$14/HSI!$B$3,""))</f>
        <v/>
      </c>
      <c r="DJ19" s="161">
        <f>IF(AV19="","",IFERROR(AV19*HSI!$B$14*HSI!$G$14/HSI!$B$3,""))</f>
        <v/>
      </c>
      <c r="DK19" s="161">
        <f>IF(AW19="","",IFERROR(AW19*HSI!$B$14*HSI!$G$14/HSI!$B$3,""))</f>
        <v/>
      </c>
      <c r="DL19" s="161">
        <f>IF(AX19="","",IFERROR(AX19*HSI!$B$14*HSI!$G$14/HSI!$B$3,""))</f>
        <v/>
      </c>
      <c r="DM19" s="161">
        <f>IF(AY19="","",IFERROR(AY19*HSI!$B$14*HSI!$G$14/HSI!$B$3,""))</f>
        <v/>
      </c>
      <c r="DN19" s="161">
        <f>IF(AZ19="","",IFERROR(AZ19*HSI!$B$14*HSI!$G$14/HSI!$B$3,""))</f>
        <v/>
      </c>
      <c r="DO19" s="161">
        <f>IF(BA19="","",IFERROR(BA19*HSI!$B$14*HSI!$G$14/HSI!$B$3,""))</f>
        <v/>
      </c>
      <c r="DP19" s="161">
        <f>IF(BB19="","",IFERROR(BB19*HSI!$B$14*HSI!$G$14/HSI!$B$3,""))</f>
        <v/>
      </c>
      <c r="DQ19" s="161">
        <f>IF(BC19="","",IFERROR(BC19*HSI!$B$14*HSI!$G$14/HSI!$B$3,""))</f>
        <v/>
      </c>
      <c r="DR19" s="161">
        <f>IF(BD19="","",IFERROR(BD19*HSI!$B$14*HSI!$G$14/HSI!$B$3,""))</f>
        <v/>
      </c>
      <c r="DS19" s="161">
        <f>IF(BE19="","",IFERROR(BE19*HSI!$B$14*HSI!$G$14/HSI!$B$3,""))</f>
        <v/>
      </c>
      <c r="DT19" s="161">
        <f>IF(BF19="","",IFERROR(BF19*HSI!$B$14*HSI!$G$14/HSI!$B$3,""))</f>
        <v/>
      </c>
      <c r="DU19" s="161">
        <f>IF(BG19="","",IFERROR(BG19*HSI!$B$14*HSI!$G$14/HSI!$B$3,""))</f>
        <v/>
      </c>
      <c r="DV19" s="161">
        <f>IF(BH19="","",IFERROR(BH19*HSI!$B$14*HSI!$G$14/HSI!$B$3,""))</f>
        <v/>
      </c>
      <c r="DW19" s="161">
        <f>IF(BI19="","",IFERROR(BI19*HSI!$B$14*HSI!$G$14/HSI!$B$3,""))</f>
        <v/>
      </c>
      <c r="DX19" s="161">
        <f>IF(BJ19="","",IFERROR(BJ19*HSI!$B$14*HSI!$G$14/HSI!$B$3,""))</f>
        <v/>
      </c>
      <c r="DY19" s="161">
        <f>IF(BK19="","",IFERROR(BK19*HSI!$B$14*HSI!$G$14/HSI!$B$3,""))</f>
        <v/>
      </c>
      <c r="DZ19" s="161">
        <f>IF(BL19="","",IFERROR(BL19*HSI!$B$14*HSI!$G$14/HSI!$B$3,""))</f>
        <v/>
      </c>
      <c r="EA19" s="161">
        <f>IF(BM19="","",IFERROR(BM19*HSI!$B$14*HSI!$G$14/HSI!$B$3,""))</f>
        <v/>
      </c>
      <c r="EB19" s="161">
        <f>IF(BN19="","",IFERROR(BN19*HSI!$B$14*HSI!$G$14/HSI!$B$3,""))</f>
        <v/>
      </c>
      <c r="EC19" s="161">
        <f>IF(BO19="","",IFERROR(BO19*HSI!$B$14*HSI!$G$14/HSI!$B$3,""))</f>
        <v/>
      </c>
      <c r="EE19" s="121">
        <f>IF(N('Dvd Calendar'!$E$88)=0,"",IF(('Dvd Calendar'!$E$88&gt;=GRID_FROM)*('Dvd Calendar'!$E$88&lt;=GRID_TO)*((('Dvd Calendar'!$E$88&lt;=VAL_DATE)+(COUNTIF('Dvd Calendar'!$E$95:$AR$95,'Dvd Calendar'!$E$88)=0))&gt;0)=0,"",'Dvd Calendar'!$E$88*1000000000+ISNUMBER('Dvd Calendar'!$E$91)*100000000+('Dvd Calendar'!$E$93=SPECIAL_LBL)*10000000+(N('Dvd Calendar'!$E$87)&gt;0)*(N('Dvd Calendar'!$E$87)&lt;=VAL_SERIAL)*1000000+8*1000+1))</f>
        <v/>
      </c>
      <c r="EF19" s="121">
        <f>IF(N('Dvd Calendar'!$F$88)=0,"",IF(('Dvd Calendar'!$F$88&gt;=GRID_FROM)*('Dvd Calendar'!$F$88&lt;=GRID_TO)*((('Dvd Calendar'!$F$88&lt;=VAL_DATE)+(COUNTIF('Dvd Calendar'!$E$95:$AR$95,'Dvd Calendar'!$F$88)=0))&gt;0)=0,"",'Dvd Calendar'!$F$88*1000000000+ISNUMBER('Dvd Calendar'!$F$91)*100000000+('Dvd Calendar'!$F$93=SPECIAL_LBL)*10000000+(N('Dvd Calendar'!$F$87)&gt;0)*(N('Dvd Calendar'!$F$87)&lt;=VAL_SERIAL)*1000000+8*1000+2))</f>
        <v/>
      </c>
      <c r="EG19" s="121">
        <f>IF(N('Dvd Calendar'!$G$88)=0,"",IF(('Dvd Calendar'!$G$88&gt;=GRID_FROM)*('Dvd Calendar'!$G$88&lt;=GRID_TO)*((('Dvd Calendar'!$G$88&lt;=VAL_DATE)+(COUNTIF('Dvd Calendar'!$E$95:$AR$95,'Dvd Calendar'!$G$88)=0))&gt;0)=0,"",'Dvd Calendar'!$G$88*1000000000+ISNUMBER('Dvd Calendar'!$G$91)*100000000+('Dvd Calendar'!$G$93=SPECIAL_LBL)*10000000+(N('Dvd Calendar'!$G$87)&gt;0)*(N('Dvd Calendar'!$G$87)&lt;=VAL_SERIAL)*1000000+8*1000+3))</f>
        <v/>
      </c>
      <c r="EH19" s="121">
        <f>IF(N('Dvd Calendar'!$H$88)=0,"",IF(('Dvd Calendar'!$H$88&gt;=GRID_FROM)*('Dvd Calendar'!$H$88&lt;=GRID_TO)*((('Dvd Calendar'!$H$88&lt;=VAL_DATE)+(COUNTIF('Dvd Calendar'!$E$95:$AR$95,'Dvd Calendar'!$H$88)=0))&gt;0)=0,"",'Dvd Calendar'!$H$88*1000000000+ISNUMBER('Dvd Calendar'!$H$91)*100000000+('Dvd Calendar'!$H$93=SPECIAL_LBL)*10000000+(N('Dvd Calendar'!$H$87)&gt;0)*(N('Dvd Calendar'!$H$87)&lt;=VAL_SERIAL)*1000000+8*1000+4))</f>
        <v/>
      </c>
      <c r="EI19" s="121">
        <f>IF(N('Dvd Calendar'!$I$88)=0,"",IF(('Dvd Calendar'!$I$88&gt;=GRID_FROM)*('Dvd Calendar'!$I$88&lt;=GRID_TO)*((('Dvd Calendar'!$I$88&lt;=VAL_DATE)+(COUNTIF('Dvd Calendar'!$E$95:$AR$95,'Dvd Calendar'!$I$88)=0))&gt;0)=0,"",'Dvd Calendar'!$I$88*1000000000+ISNUMBER('Dvd Calendar'!$I$91)*100000000+('Dvd Calendar'!$I$93=SPECIAL_LBL)*10000000+(N('Dvd Calendar'!$I$87)&gt;0)*(N('Dvd Calendar'!$I$87)&lt;=VAL_SERIAL)*1000000+8*1000+5))</f>
        <v/>
      </c>
      <c r="EJ19" s="121">
        <f>IF(N('Dvd Calendar'!$J$88)=0,"",IF(('Dvd Calendar'!$J$88&gt;=GRID_FROM)*('Dvd Calendar'!$J$88&lt;=GRID_TO)*((('Dvd Calendar'!$J$88&lt;=VAL_DATE)+(COUNTIF('Dvd Calendar'!$E$95:$AR$95,'Dvd Calendar'!$J$88)=0))&gt;0)=0,"",'Dvd Calendar'!$J$88*1000000000+ISNUMBER('Dvd Calendar'!$J$91)*100000000+('Dvd Calendar'!$J$93=SPECIAL_LBL)*10000000+(N('Dvd Calendar'!$J$87)&gt;0)*(N('Dvd Calendar'!$J$87)&lt;=VAL_SERIAL)*1000000+8*1000+6))</f>
        <v/>
      </c>
      <c r="EK19" s="121">
        <f>IF(N('Dvd Calendar'!$K$88)=0,"",IF(('Dvd Calendar'!$K$88&gt;=GRID_FROM)*('Dvd Calendar'!$K$88&lt;=GRID_TO)*((('Dvd Calendar'!$K$88&lt;=VAL_DATE)+(COUNTIF('Dvd Calendar'!$E$95:$AR$95,'Dvd Calendar'!$K$88)=0))&gt;0)=0,"",'Dvd Calendar'!$K$88*1000000000+ISNUMBER('Dvd Calendar'!$K$91)*100000000+('Dvd Calendar'!$K$93=SPECIAL_LBL)*10000000+(N('Dvd Calendar'!$K$87)&gt;0)*(N('Dvd Calendar'!$K$87)&lt;=VAL_SERIAL)*1000000+8*1000+7))</f>
        <v/>
      </c>
      <c r="EL19" s="121">
        <f>IF(N('Dvd Calendar'!$L$88)=0,"",IF(('Dvd Calendar'!$L$88&gt;=GRID_FROM)*('Dvd Calendar'!$L$88&lt;=GRID_TO)*((('Dvd Calendar'!$L$88&lt;=VAL_DATE)+(COUNTIF('Dvd Calendar'!$E$95:$AR$95,'Dvd Calendar'!$L$88)=0))&gt;0)=0,"",'Dvd Calendar'!$L$88*1000000000+ISNUMBER('Dvd Calendar'!$L$91)*100000000+('Dvd Calendar'!$L$93=SPECIAL_LBL)*10000000+(N('Dvd Calendar'!$L$87)&gt;0)*(N('Dvd Calendar'!$L$87)&lt;=VAL_SERIAL)*1000000+8*1000+8))</f>
        <v/>
      </c>
      <c r="EM19" s="121">
        <f>IF(N('Dvd Calendar'!$M$88)=0,"",IF(('Dvd Calendar'!$M$88&gt;=GRID_FROM)*('Dvd Calendar'!$M$88&lt;=GRID_TO)*((('Dvd Calendar'!$M$88&lt;=VAL_DATE)+(COUNTIF('Dvd Calendar'!$E$95:$AR$95,'Dvd Calendar'!$M$88)=0))&gt;0)=0,"",'Dvd Calendar'!$M$88*1000000000+ISNUMBER('Dvd Calendar'!$M$91)*100000000+('Dvd Calendar'!$M$93=SPECIAL_LBL)*10000000+(N('Dvd Calendar'!$M$87)&gt;0)*(N('Dvd Calendar'!$M$87)&lt;=VAL_SERIAL)*1000000+8*1000+9))</f>
        <v/>
      </c>
      <c r="EN19" s="121">
        <f>IF(N('Dvd Calendar'!$N$88)=0,"",IF(('Dvd Calendar'!$N$88&gt;=GRID_FROM)*('Dvd Calendar'!$N$88&lt;=GRID_TO)*((('Dvd Calendar'!$N$88&lt;=VAL_DATE)+(COUNTIF('Dvd Calendar'!$E$95:$AR$95,'Dvd Calendar'!$N$88)=0))&gt;0)=0,"",'Dvd Calendar'!$N$88*1000000000+ISNUMBER('Dvd Calendar'!$N$91)*100000000+('Dvd Calendar'!$N$93=SPECIAL_LBL)*10000000+(N('Dvd Calendar'!$N$87)&gt;0)*(N('Dvd Calendar'!$N$87)&lt;=VAL_SERIAL)*1000000+8*1000+10))</f>
        <v/>
      </c>
      <c r="EO19" s="121">
        <f>IF(N('Dvd Calendar'!$O$88)=0,"",IF(('Dvd Calendar'!$O$88&gt;=GRID_FROM)*('Dvd Calendar'!$O$88&lt;=GRID_TO)*((('Dvd Calendar'!$O$88&lt;=VAL_DATE)+(COUNTIF('Dvd Calendar'!$E$95:$AR$95,'Dvd Calendar'!$O$88)=0))&gt;0)=0,"",'Dvd Calendar'!$O$88*1000000000+ISNUMBER('Dvd Calendar'!$O$91)*100000000+('Dvd Calendar'!$O$93=SPECIAL_LBL)*10000000+(N('Dvd Calendar'!$O$87)&gt;0)*(N('Dvd Calendar'!$O$87)&lt;=VAL_SERIAL)*1000000+8*1000+11))</f>
        <v/>
      </c>
      <c r="EP19" s="121">
        <f>IF(N('Dvd Calendar'!$P$88)=0,"",IF(('Dvd Calendar'!$P$88&gt;=GRID_FROM)*('Dvd Calendar'!$P$88&lt;=GRID_TO)*((('Dvd Calendar'!$P$88&lt;=VAL_DATE)+(COUNTIF('Dvd Calendar'!$E$95:$AR$95,'Dvd Calendar'!$P$88)=0))&gt;0)=0,"",'Dvd Calendar'!$P$88*1000000000+ISNUMBER('Dvd Calendar'!$P$91)*100000000+('Dvd Calendar'!$P$93=SPECIAL_LBL)*10000000+(N('Dvd Calendar'!$P$87)&gt;0)*(N('Dvd Calendar'!$P$87)&lt;=VAL_SERIAL)*1000000+8*1000+12))</f>
        <v/>
      </c>
      <c r="EQ19" s="121">
        <f>IF(N('Dvd Calendar'!$Q$88)=0,"",IF(('Dvd Calendar'!$Q$88&gt;=GRID_FROM)*('Dvd Calendar'!$Q$88&lt;=GRID_TO)*((('Dvd Calendar'!$Q$88&lt;=VAL_DATE)+(COUNTIF('Dvd Calendar'!$E$95:$AR$95,'Dvd Calendar'!$Q$88)=0))&gt;0)=0,"",'Dvd Calendar'!$Q$88*1000000000+ISNUMBER('Dvd Calendar'!$Q$91)*100000000+('Dvd Calendar'!$Q$93=SPECIAL_LBL)*10000000+(N('Dvd Calendar'!$Q$87)&gt;0)*(N('Dvd Calendar'!$Q$87)&lt;=VAL_SERIAL)*1000000+8*1000+13))</f>
        <v/>
      </c>
      <c r="ER19" s="121">
        <f>IF(N('Dvd Calendar'!$R$88)=0,"",IF(('Dvd Calendar'!$R$88&gt;=GRID_FROM)*('Dvd Calendar'!$R$88&lt;=GRID_TO)*((('Dvd Calendar'!$R$88&lt;=VAL_DATE)+(COUNTIF('Dvd Calendar'!$E$95:$AR$95,'Dvd Calendar'!$R$88)=0))&gt;0)=0,"",'Dvd Calendar'!$R$88*1000000000+ISNUMBER('Dvd Calendar'!$R$91)*100000000+('Dvd Calendar'!$R$93=SPECIAL_LBL)*10000000+(N('Dvd Calendar'!$R$87)&gt;0)*(N('Dvd Calendar'!$R$87)&lt;=VAL_SERIAL)*1000000+8*1000+14))</f>
        <v/>
      </c>
      <c r="ES19" s="121">
        <f>IF(N('Dvd Calendar'!$S$88)=0,"",IF(('Dvd Calendar'!$S$88&gt;=GRID_FROM)*('Dvd Calendar'!$S$88&lt;=GRID_TO)*((('Dvd Calendar'!$S$88&lt;=VAL_DATE)+(COUNTIF('Dvd Calendar'!$E$95:$AR$95,'Dvd Calendar'!$S$88)=0))&gt;0)=0,"",'Dvd Calendar'!$S$88*1000000000+ISNUMBER('Dvd Calendar'!$S$91)*100000000+('Dvd Calendar'!$S$93=SPECIAL_LBL)*10000000+(N('Dvd Calendar'!$S$87)&gt;0)*(N('Dvd Calendar'!$S$87)&lt;=VAL_SERIAL)*1000000+8*1000+15))</f>
        <v/>
      </c>
      <c r="ET19" s="121">
        <f>IF(N('Dvd Calendar'!$T$88)=0,"",IF(('Dvd Calendar'!$T$88&gt;=GRID_FROM)*('Dvd Calendar'!$T$88&lt;=GRID_TO)*((('Dvd Calendar'!$T$88&lt;=VAL_DATE)+(COUNTIF('Dvd Calendar'!$E$95:$AR$95,'Dvd Calendar'!$T$88)=0))&gt;0)=0,"",'Dvd Calendar'!$T$88*1000000000+ISNUMBER('Dvd Calendar'!$T$91)*100000000+('Dvd Calendar'!$T$93=SPECIAL_LBL)*10000000+(N('Dvd Calendar'!$T$87)&gt;0)*(N('Dvd Calendar'!$T$87)&lt;=VAL_SERIAL)*1000000+8*1000+16))</f>
        <v/>
      </c>
      <c r="EU19" s="121">
        <f>IF(N('Dvd Calendar'!$U$88)=0,"",IF(('Dvd Calendar'!$U$88&gt;=GRID_FROM)*('Dvd Calendar'!$U$88&lt;=GRID_TO)*((('Dvd Calendar'!$U$88&lt;=VAL_DATE)+(COUNTIF('Dvd Calendar'!$E$95:$AR$95,'Dvd Calendar'!$U$88)=0))&gt;0)=0,"",'Dvd Calendar'!$U$88*1000000000+ISNUMBER('Dvd Calendar'!$U$91)*100000000+('Dvd Calendar'!$U$93=SPECIAL_LBL)*10000000+(N('Dvd Calendar'!$U$87)&gt;0)*(N('Dvd Calendar'!$U$87)&lt;=VAL_SERIAL)*1000000+8*1000+17))</f>
        <v/>
      </c>
      <c r="EV19" s="121">
        <f>IF(N('Dvd Calendar'!$V$88)=0,"",IF(('Dvd Calendar'!$V$88&gt;=GRID_FROM)*('Dvd Calendar'!$V$88&lt;=GRID_TO)*((('Dvd Calendar'!$V$88&lt;=VAL_DATE)+(COUNTIF('Dvd Calendar'!$E$95:$AR$95,'Dvd Calendar'!$V$88)=0))&gt;0)=0,"",'Dvd Calendar'!$V$88*1000000000+ISNUMBER('Dvd Calendar'!$V$91)*100000000+('Dvd Calendar'!$V$93=SPECIAL_LBL)*10000000+(N('Dvd Calendar'!$V$87)&gt;0)*(N('Dvd Calendar'!$V$87)&lt;=VAL_SERIAL)*1000000+8*1000+18))</f>
        <v/>
      </c>
      <c r="EW19" s="121">
        <f>IF(N('Dvd Calendar'!$W$88)=0,"",IF(('Dvd Calendar'!$W$88&gt;=GRID_FROM)*('Dvd Calendar'!$W$88&lt;=GRID_TO)*((('Dvd Calendar'!$W$88&lt;=VAL_DATE)+(COUNTIF('Dvd Calendar'!$E$95:$AR$95,'Dvd Calendar'!$W$88)=0))&gt;0)=0,"",'Dvd Calendar'!$W$88*1000000000+ISNUMBER('Dvd Calendar'!$W$91)*100000000+('Dvd Calendar'!$W$93=SPECIAL_LBL)*10000000+(N('Dvd Calendar'!$W$87)&gt;0)*(N('Dvd Calendar'!$W$87)&lt;=VAL_SERIAL)*1000000+8*1000+19))</f>
        <v/>
      </c>
      <c r="EX19" s="121">
        <f>IF(N('Dvd Calendar'!$X$88)=0,"",IF(('Dvd Calendar'!$X$88&gt;=GRID_FROM)*('Dvd Calendar'!$X$88&lt;=GRID_TO)*((('Dvd Calendar'!$X$88&lt;=VAL_DATE)+(COUNTIF('Dvd Calendar'!$E$95:$AR$95,'Dvd Calendar'!$X$88)=0))&gt;0)=0,"",'Dvd Calendar'!$X$88*1000000000+ISNUMBER('Dvd Calendar'!$X$91)*100000000+('Dvd Calendar'!$X$93=SPECIAL_LBL)*10000000+(N('Dvd Calendar'!$X$87)&gt;0)*(N('Dvd Calendar'!$X$87)&lt;=VAL_SERIAL)*1000000+8*1000+20))</f>
        <v/>
      </c>
      <c r="EY19" s="121">
        <f>IF(N('Dvd Calendar'!$Y$88)=0,"",IF(('Dvd Calendar'!$Y$88&gt;=GRID_FROM)*('Dvd Calendar'!$Y$88&lt;=GRID_TO)*((('Dvd Calendar'!$Y$88&lt;=VAL_DATE)+(COUNTIF('Dvd Calendar'!$E$95:$AR$95,'Dvd Calendar'!$Y$88)=0))&gt;0)=0,"",'Dvd Calendar'!$Y$88*1000000000+ISNUMBER('Dvd Calendar'!$Y$91)*100000000+('Dvd Calendar'!$Y$93=SPECIAL_LBL)*10000000+(N('Dvd Calendar'!$Y$87)&gt;0)*(N('Dvd Calendar'!$Y$87)&lt;=VAL_SERIAL)*1000000+8*1000+21))</f>
        <v/>
      </c>
      <c r="EZ19" s="121">
        <f>IF(N('Dvd Calendar'!$Z$88)=0,"",IF(('Dvd Calendar'!$Z$88&gt;=GRID_FROM)*('Dvd Calendar'!$Z$88&lt;=GRID_TO)*((('Dvd Calendar'!$Z$88&lt;=VAL_DATE)+(COUNTIF('Dvd Calendar'!$E$95:$AR$95,'Dvd Calendar'!$Z$88)=0))&gt;0)=0,"",'Dvd Calendar'!$Z$88*1000000000+ISNUMBER('Dvd Calendar'!$Z$91)*100000000+('Dvd Calendar'!$Z$93=SPECIAL_LBL)*10000000+(N('Dvd Calendar'!$Z$87)&gt;0)*(N('Dvd Calendar'!$Z$87)&lt;=VAL_SERIAL)*1000000+8*1000+22))</f>
        <v/>
      </c>
      <c r="FA19" s="121">
        <f>IF(N('Dvd Calendar'!$AA$88)=0,"",IF(('Dvd Calendar'!$AA$88&gt;=GRID_FROM)*('Dvd Calendar'!$AA$88&lt;=GRID_TO)*((('Dvd Calendar'!$AA$88&lt;=VAL_DATE)+(COUNTIF('Dvd Calendar'!$E$95:$AR$95,'Dvd Calendar'!$AA$88)=0))&gt;0)=0,"",'Dvd Calendar'!$AA$88*1000000000+ISNUMBER('Dvd Calendar'!$AA$91)*100000000+('Dvd Calendar'!$AA$93=SPECIAL_LBL)*10000000+(N('Dvd Calendar'!$AA$87)&gt;0)*(N('Dvd Calendar'!$AA$87)&lt;=VAL_SERIAL)*1000000+8*1000+23))</f>
        <v/>
      </c>
      <c r="FB19" s="121">
        <f>IF(N('Dvd Calendar'!$AB$88)=0,"",IF(('Dvd Calendar'!$AB$88&gt;=GRID_FROM)*('Dvd Calendar'!$AB$88&lt;=GRID_TO)*((('Dvd Calendar'!$AB$88&lt;=VAL_DATE)+(COUNTIF('Dvd Calendar'!$E$95:$AR$95,'Dvd Calendar'!$AB$88)=0))&gt;0)=0,"",'Dvd Calendar'!$AB$88*1000000000+ISNUMBER('Dvd Calendar'!$AB$91)*100000000+('Dvd Calendar'!$AB$93=SPECIAL_LBL)*10000000+(N('Dvd Calendar'!$AB$87)&gt;0)*(N('Dvd Calendar'!$AB$87)&lt;=VAL_SERIAL)*1000000+8*1000+24))</f>
        <v/>
      </c>
      <c r="FC19" s="121">
        <f>IF(N('Dvd Calendar'!$AC$88)=0,"",IF(('Dvd Calendar'!$AC$88&gt;=GRID_FROM)*('Dvd Calendar'!$AC$88&lt;=GRID_TO)*((('Dvd Calendar'!$AC$88&lt;=VAL_DATE)+(COUNTIF('Dvd Calendar'!$E$95:$AR$95,'Dvd Calendar'!$AC$88)=0))&gt;0)=0,"",'Dvd Calendar'!$AC$88*1000000000+ISNUMBER('Dvd Calendar'!$AC$91)*100000000+('Dvd Calendar'!$AC$93=SPECIAL_LBL)*10000000+(N('Dvd Calendar'!$AC$87)&gt;0)*(N('Dvd Calendar'!$AC$87)&lt;=VAL_SERIAL)*1000000+8*1000+25))</f>
        <v/>
      </c>
      <c r="FD19" s="121">
        <f>IF(N('Dvd Calendar'!$AD$88)=0,"",IF(('Dvd Calendar'!$AD$88&gt;=GRID_FROM)*('Dvd Calendar'!$AD$88&lt;=GRID_TO)*((('Dvd Calendar'!$AD$88&lt;=VAL_DATE)+(COUNTIF('Dvd Calendar'!$E$95:$AR$95,'Dvd Calendar'!$AD$88)=0))&gt;0)=0,"",'Dvd Calendar'!$AD$88*1000000000+ISNUMBER('Dvd Calendar'!$AD$91)*100000000+('Dvd Calendar'!$AD$93=SPECIAL_LBL)*10000000+(N('Dvd Calendar'!$AD$87)&gt;0)*(N('Dvd Calendar'!$AD$87)&lt;=VAL_SERIAL)*1000000+8*1000+26))</f>
        <v/>
      </c>
      <c r="FE19" s="121">
        <f>IF(N('Dvd Calendar'!$AE$88)=0,"",IF(('Dvd Calendar'!$AE$88&gt;=GRID_FROM)*('Dvd Calendar'!$AE$88&lt;=GRID_TO)*((('Dvd Calendar'!$AE$88&lt;=VAL_DATE)+(COUNTIF('Dvd Calendar'!$E$95:$AR$95,'Dvd Calendar'!$AE$88)=0))&gt;0)=0,"",'Dvd Calendar'!$AE$88*1000000000+ISNUMBER('Dvd Calendar'!$AE$91)*100000000+('Dvd Calendar'!$AE$93=SPECIAL_LBL)*10000000+(N('Dvd Calendar'!$AE$87)&gt;0)*(N('Dvd Calendar'!$AE$87)&lt;=VAL_SERIAL)*1000000+8*1000+27))</f>
        <v/>
      </c>
      <c r="FF19" s="121">
        <f>IF(N('Dvd Calendar'!$AF$88)=0,"",IF(('Dvd Calendar'!$AF$88&gt;=GRID_FROM)*('Dvd Calendar'!$AF$88&lt;=GRID_TO)*((('Dvd Calendar'!$AF$88&lt;=VAL_DATE)+(COUNTIF('Dvd Calendar'!$E$95:$AR$95,'Dvd Calendar'!$AF$88)=0))&gt;0)=0,"",'Dvd Calendar'!$AF$88*1000000000+ISNUMBER('Dvd Calendar'!$AF$91)*100000000+('Dvd Calendar'!$AF$93=SPECIAL_LBL)*10000000+(N('Dvd Calendar'!$AF$87)&gt;0)*(N('Dvd Calendar'!$AF$87)&lt;=VAL_SERIAL)*1000000+8*1000+28))</f>
        <v/>
      </c>
      <c r="FG19" s="121">
        <f>IF(N('Dvd Calendar'!$AG$88)=0,"",IF(('Dvd Calendar'!$AG$88&gt;=GRID_FROM)*('Dvd Calendar'!$AG$88&lt;=GRID_TO)*((('Dvd Calendar'!$AG$88&lt;=VAL_DATE)+(COUNTIF('Dvd Calendar'!$E$95:$AR$95,'Dvd Calendar'!$AG$88)=0))&gt;0)=0,"",'Dvd Calendar'!$AG$88*1000000000+ISNUMBER('Dvd Calendar'!$AG$91)*100000000+('Dvd Calendar'!$AG$93=SPECIAL_LBL)*10000000+(N('Dvd Calendar'!$AG$87)&gt;0)*(N('Dvd Calendar'!$AG$87)&lt;=VAL_SERIAL)*1000000+8*1000+29))</f>
        <v/>
      </c>
      <c r="FH19" s="121">
        <f>IF(N('Dvd Calendar'!$AH$88)=0,"",IF(('Dvd Calendar'!$AH$88&gt;=GRID_FROM)*('Dvd Calendar'!$AH$88&lt;=GRID_TO)*((('Dvd Calendar'!$AH$88&lt;=VAL_DATE)+(COUNTIF('Dvd Calendar'!$E$95:$AR$95,'Dvd Calendar'!$AH$88)=0))&gt;0)=0,"",'Dvd Calendar'!$AH$88*1000000000+ISNUMBER('Dvd Calendar'!$AH$91)*100000000+('Dvd Calendar'!$AH$93=SPECIAL_LBL)*10000000+(N('Dvd Calendar'!$AH$87)&gt;0)*(N('Dvd Calendar'!$AH$87)&lt;=VAL_SERIAL)*1000000+8*1000+30))</f>
        <v/>
      </c>
      <c r="FI19" s="121">
        <f>IF(N('Dvd Calendar'!$AI$88)=0,"",IF(('Dvd Calendar'!$AI$88&gt;=GRID_FROM)*('Dvd Calendar'!$AI$88&lt;=GRID_TO)*((('Dvd Calendar'!$AI$88&lt;=VAL_DATE)+(COUNTIF('Dvd Calendar'!$E$95:$AR$95,'Dvd Calendar'!$AI$88)=0))&gt;0)=0,"",'Dvd Calendar'!$AI$88*1000000000+ISNUMBER('Dvd Calendar'!$AI$91)*100000000+('Dvd Calendar'!$AI$93=SPECIAL_LBL)*10000000+(N('Dvd Calendar'!$AI$87)&gt;0)*(N('Dvd Calendar'!$AI$87)&lt;=VAL_SERIAL)*1000000+8*1000+31))</f>
        <v/>
      </c>
      <c r="FJ19" s="121">
        <f>IF(N('Dvd Calendar'!$AJ$88)=0,"",IF(('Dvd Calendar'!$AJ$88&gt;=GRID_FROM)*('Dvd Calendar'!$AJ$88&lt;=GRID_TO)*((('Dvd Calendar'!$AJ$88&lt;=VAL_DATE)+(COUNTIF('Dvd Calendar'!$E$95:$AR$95,'Dvd Calendar'!$AJ$88)=0))&gt;0)=0,"",'Dvd Calendar'!$AJ$88*1000000000+ISNUMBER('Dvd Calendar'!$AJ$91)*100000000+('Dvd Calendar'!$AJ$93=SPECIAL_LBL)*10000000+(N('Dvd Calendar'!$AJ$87)&gt;0)*(N('Dvd Calendar'!$AJ$87)&lt;=VAL_SERIAL)*1000000+8*1000+32))</f>
        <v/>
      </c>
      <c r="FK19" s="121">
        <f>IF(N('Dvd Calendar'!$AK$88)=0,"",IF(('Dvd Calendar'!$AK$88&gt;=GRID_FROM)*('Dvd Calendar'!$AK$88&lt;=GRID_TO)*((('Dvd Calendar'!$AK$88&lt;=VAL_DATE)+(COUNTIF('Dvd Calendar'!$E$95:$AR$95,'Dvd Calendar'!$AK$88)=0))&gt;0)=0,"",'Dvd Calendar'!$AK$88*1000000000+ISNUMBER('Dvd Calendar'!$AK$91)*100000000+('Dvd Calendar'!$AK$93=SPECIAL_LBL)*10000000+(N('Dvd Calendar'!$AK$87)&gt;0)*(N('Dvd Calendar'!$AK$87)&lt;=VAL_SERIAL)*1000000+8*1000+33))</f>
        <v/>
      </c>
      <c r="FL19" s="121">
        <f>IF(N('Dvd Calendar'!$AL$88)=0,"",IF(('Dvd Calendar'!$AL$88&gt;=GRID_FROM)*('Dvd Calendar'!$AL$88&lt;=GRID_TO)*((('Dvd Calendar'!$AL$88&lt;=VAL_DATE)+(COUNTIF('Dvd Calendar'!$E$95:$AR$95,'Dvd Calendar'!$AL$88)=0))&gt;0)=0,"",'Dvd Calendar'!$AL$88*1000000000+ISNUMBER('Dvd Calendar'!$AL$91)*100000000+('Dvd Calendar'!$AL$93=SPECIAL_LBL)*10000000+(N('Dvd Calendar'!$AL$87)&gt;0)*(N('Dvd Calendar'!$AL$87)&lt;=VAL_SERIAL)*1000000+8*1000+34))</f>
        <v/>
      </c>
      <c r="FM19" s="121">
        <f>IF(N('Dvd Calendar'!$AM$88)=0,"",IF(('Dvd Calendar'!$AM$88&gt;=GRID_FROM)*('Dvd Calendar'!$AM$88&lt;=GRID_TO)*((('Dvd Calendar'!$AM$88&lt;=VAL_DATE)+(COUNTIF('Dvd Calendar'!$E$95:$AR$95,'Dvd Calendar'!$AM$88)=0))&gt;0)=0,"",'Dvd Calendar'!$AM$88*1000000000+ISNUMBER('Dvd Calendar'!$AM$91)*100000000+('Dvd Calendar'!$AM$93=SPECIAL_LBL)*10000000+(N('Dvd Calendar'!$AM$87)&gt;0)*(N('Dvd Calendar'!$AM$87)&lt;=VAL_SERIAL)*1000000+8*1000+35))</f>
        <v/>
      </c>
      <c r="FN19" s="121">
        <f>IF(N('Dvd Calendar'!$AN$88)=0,"",IF(('Dvd Calendar'!$AN$88&gt;=GRID_FROM)*('Dvd Calendar'!$AN$88&lt;=GRID_TO)*((('Dvd Calendar'!$AN$88&lt;=VAL_DATE)+(COUNTIF('Dvd Calendar'!$E$95:$AR$95,'Dvd Calendar'!$AN$88)=0))&gt;0)=0,"",'Dvd Calendar'!$AN$88*1000000000+ISNUMBER('Dvd Calendar'!$AN$91)*100000000+('Dvd Calendar'!$AN$93=SPECIAL_LBL)*10000000+(N('Dvd Calendar'!$AN$87)&gt;0)*(N('Dvd Calendar'!$AN$87)&lt;=VAL_SERIAL)*1000000+8*1000+36))</f>
        <v/>
      </c>
      <c r="FO19" s="121">
        <f>IF(N('Dvd Calendar'!$AO$88)=0,"",IF(('Dvd Calendar'!$AO$88&gt;=GRID_FROM)*('Dvd Calendar'!$AO$88&lt;=GRID_TO)*((('Dvd Calendar'!$AO$88&lt;=VAL_DATE)+(COUNTIF('Dvd Calendar'!$E$95:$AR$95,'Dvd Calendar'!$AO$88)=0))&gt;0)=0,"",'Dvd Calendar'!$AO$88*1000000000+ISNUMBER('Dvd Calendar'!$AO$91)*100000000+('Dvd Calendar'!$AO$93=SPECIAL_LBL)*10000000+(N('Dvd Calendar'!$AO$87)&gt;0)*(N('Dvd Calendar'!$AO$87)&lt;=VAL_SERIAL)*1000000+8*1000+37))</f>
        <v/>
      </c>
      <c r="FP19" s="121">
        <f>IF(N('Dvd Calendar'!$AP$88)=0,"",IF(('Dvd Calendar'!$AP$88&gt;=GRID_FROM)*('Dvd Calendar'!$AP$88&lt;=GRID_TO)*((('Dvd Calendar'!$AP$88&lt;=VAL_DATE)+(COUNTIF('Dvd Calendar'!$E$95:$AR$95,'Dvd Calendar'!$AP$88)=0))&gt;0)=0,"",'Dvd Calendar'!$AP$88*1000000000+ISNUMBER('Dvd Calendar'!$AP$91)*100000000+('Dvd Calendar'!$AP$93=SPECIAL_LBL)*10000000+(N('Dvd Calendar'!$AP$87)&gt;0)*(N('Dvd Calendar'!$AP$87)&lt;=VAL_SERIAL)*1000000+8*1000+38))</f>
        <v/>
      </c>
      <c r="FQ19" s="121">
        <f>IF(N('Dvd Calendar'!$AQ$88)=0,"",IF(('Dvd Calendar'!$AQ$88&gt;=GRID_FROM)*('Dvd Calendar'!$AQ$88&lt;=GRID_TO)*((('Dvd Calendar'!$AQ$88&lt;=VAL_DATE)+(COUNTIF('Dvd Calendar'!$E$95:$AR$95,'Dvd Calendar'!$AQ$88)=0))&gt;0)=0,"",'Dvd Calendar'!$AQ$88*1000000000+ISNUMBER('Dvd Calendar'!$AQ$91)*100000000+('Dvd Calendar'!$AQ$93=SPECIAL_LBL)*10000000+(N('Dvd Calendar'!$AQ$87)&gt;0)*(N('Dvd Calendar'!$AQ$87)&lt;=VAL_SERIAL)*1000000+8*1000+39))</f>
        <v/>
      </c>
      <c r="FR19" s="121">
        <f>IF(N('Dvd Calendar'!$AR$88)=0,"",IF(('Dvd Calendar'!$AR$88&gt;=GRID_FROM)*('Dvd Calendar'!$AR$88&lt;=GRID_TO)*((('Dvd Calendar'!$AR$88&lt;=VAL_DATE)+(COUNTIF('Dvd Calendar'!$E$95:$AR$95,'Dvd Calendar'!$AR$88)=0))&gt;0)=0,"",'Dvd Calendar'!$AR$88*1000000000+ISNUMBER('Dvd Calendar'!$AR$91)*100000000+('Dvd Calendar'!$AR$93=SPECIAL_LBL)*10000000+(N('Dvd Calendar'!$AR$87)&gt;0)*(N('Dvd Calendar'!$AR$87)&lt;=VAL_SERIAL)*1000000+8*1000+40))</f>
        <v/>
      </c>
      <c r="FS19" s="121">
        <f>IF(N('Dvd Calendar'!$E$95)=0,"",IF(('Dvd Calendar'!$E$95&gt;=GRID_FROM)*('Dvd Calendar'!$E$95&lt;=GRID_TO)*('Dvd Calendar'!$E$95&gt;VAL_DATE)=0,"",'Dvd Calendar'!$E$95*1000000000+ISNUMBER('Dvd Calendar'!$E$96)*100000000+0*10000000+(N('Dvd Calendar'!$E$94)&gt;0)*(N('Dvd Calendar'!$E$94)&lt;=VAL_SERIAL)*1000000+8*1000+41))</f>
        <v/>
      </c>
      <c r="FT19" s="121">
        <f>IF(N('Dvd Calendar'!$F$95)=0,"",IF(('Dvd Calendar'!$F$95&gt;=GRID_FROM)*('Dvd Calendar'!$F$95&lt;=GRID_TO)*('Dvd Calendar'!$F$95&gt;VAL_DATE)=0,"",'Dvd Calendar'!$F$95*1000000000+ISNUMBER('Dvd Calendar'!$F$96)*100000000+0*10000000+(N('Dvd Calendar'!$F$94)&gt;0)*(N('Dvd Calendar'!$F$94)&lt;=VAL_SERIAL)*1000000+8*1000+42))</f>
        <v/>
      </c>
      <c r="FU19" s="121">
        <f>IF(N('Dvd Calendar'!$G$95)=0,"",IF(('Dvd Calendar'!$G$95&gt;=GRID_FROM)*('Dvd Calendar'!$G$95&lt;=GRID_TO)*('Dvd Calendar'!$G$95&gt;VAL_DATE)=0,"",'Dvd Calendar'!$G$95*1000000000+ISNUMBER('Dvd Calendar'!$G$96)*100000000+0*10000000+(N('Dvd Calendar'!$G$94)&gt;0)*(N('Dvd Calendar'!$G$94)&lt;=VAL_SERIAL)*1000000+8*1000+43))</f>
        <v/>
      </c>
      <c r="FV19" s="121">
        <f>IF(N('Dvd Calendar'!$H$95)=0,"",IF(('Dvd Calendar'!$H$95&gt;=GRID_FROM)*('Dvd Calendar'!$H$95&lt;=GRID_TO)*('Dvd Calendar'!$H$95&gt;VAL_DATE)=0,"",'Dvd Calendar'!$H$95*1000000000+ISNUMBER('Dvd Calendar'!$H$96)*100000000+0*10000000+(N('Dvd Calendar'!$H$94)&gt;0)*(N('Dvd Calendar'!$H$94)&lt;=VAL_SERIAL)*1000000+8*1000+44))</f>
        <v/>
      </c>
      <c r="FW19" s="121">
        <f>IF(N('Dvd Calendar'!$I$95)=0,"",IF(('Dvd Calendar'!$I$95&gt;=GRID_FROM)*('Dvd Calendar'!$I$95&lt;=GRID_TO)*('Dvd Calendar'!$I$95&gt;VAL_DATE)=0,"",'Dvd Calendar'!$I$95*1000000000+ISNUMBER('Dvd Calendar'!$I$96)*100000000+0*10000000+(N('Dvd Calendar'!$I$94)&gt;0)*(N('Dvd Calendar'!$I$94)&lt;=VAL_SERIAL)*1000000+8*1000+45))</f>
        <v/>
      </c>
      <c r="FX19" s="121">
        <f>IF(N('Dvd Calendar'!$J$95)=0,"",IF(('Dvd Calendar'!$J$95&gt;=GRID_FROM)*('Dvd Calendar'!$J$95&lt;=GRID_TO)*('Dvd Calendar'!$J$95&gt;VAL_DATE)=0,"",'Dvd Calendar'!$J$95*1000000000+ISNUMBER('Dvd Calendar'!$J$96)*100000000+0*10000000+(N('Dvd Calendar'!$J$94)&gt;0)*(N('Dvd Calendar'!$J$94)&lt;=VAL_SERIAL)*1000000+8*1000+46))</f>
        <v/>
      </c>
      <c r="FY19" s="121">
        <f>IF(N('Dvd Calendar'!$K$95)=0,"",IF(('Dvd Calendar'!$K$95&gt;=GRID_FROM)*('Dvd Calendar'!$K$95&lt;=GRID_TO)*('Dvd Calendar'!$K$95&gt;VAL_DATE)=0,"",'Dvd Calendar'!$K$95*1000000000+ISNUMBER('Dvd Calendar'!$K$96)*100000000+0*10000000+(N('Dvd Calendar'!$K$94)&gt;0)*(N('Dvd Calendar'!$K$94)&lt;=VAL_SERIAL)*1000000+8*1000+47))</f>
        <v/>
      </c>
      <c r="FZ19" s="121">
        <f>IF(N('Dvd Calendar'!$L$95)=0,"",IF(('Dvd Calendar'!$L$95&gt;=GRID_FROM)*('Dvd Calendar'!$L$95&lt;=GRID_TO)*('Dvd Calendar'!$L$95&gt;VAL_DATE)=0,"",'Dvd Calendar'!$L$95*1000000000+ISNUMBER('Dvd Calendar'!$L$96)*100000000+0*10000000+(N('Dvd Calendar'!$L$94)&gt;0)*(N('Dvd Calendar'!$L$94)&lt;=VAL_SERIAL)*1000000+8*1000+48))</f>
        <v/>
      </c>
      <c r="GA19" s="121">
        <f>IF(N('Dvd Calendar'!$M$95)=0,"",IF(('Dvd Calendar'!$M$95&gt;=GRID_FROM)*('Dvd Calendar'!$M$95&lt;=GRID_TO)*('Dvd Calendar'!$M$95&gt;VAL_DATE)=0,"",'Dvd Calendar'!$M$95*1000000000+ISNUMBER('Dvd Calendar'!$M$96)*100000000+0*10000000+(N('Dvd Calendar'!$M$94)&gt;0)*(N('Dvd Calendar'!$M$94)&lt;=VAL_SERIAL)*1000000+8*1000+49))</f>
        <v/>
      </c>
      <c r="GB19" s="121">
        <f>IF(N('Dvd Calendar'!$N$95)=0,"",IF(('Dvd Calendar'!$N$95&gt;=GRID_FROM)*('Dvd Calendar'!$N$95&lt;=GRID_TO)*('Dvd Calendar'!$N$95&gt;VAL_DATE)=0,"",'Dvd Calendar'!$N$95*1000000000+ISNUMBER('Dvd Calendar'!$N$96)*100000000+0*10000000+(N('Dvd Calendar'!$N$94)&gt;0)*(N('Dvd Calendar'!$N$94)&lt;=VAL_SERIAL)*1000000+8*1000+50))</f>
        <v/>
      </c>
      <c r="GC19" s="121">
        <f>IF(N('Dvd Calendar'!$O$95)=0,"",IF(('Dvd Calendar'!$O$95&gt;=GRID_FROM)*('Dvd Calendar'!$O$95&lt;=GRID_TO)*('Dvd Calendar'!$O$95&gt;VAL_DATE)=0,"",'Dvd Calendar'!$O$95*1000000000+ISNUMBER('Dvd Calendar'!$O$96)*100000000+0*10000000+(N('Dvd Calendar'!$O$94)&gt;0)*(N('Dvd Calendar'!$O$94)&lt;=VAL_SERIAL)*1000000+8*1000+51))</f>
        <v/>
      </c>
      <c r="GD19" s="121">
        <f>IF(N('Dvd Calendar'!$P$95)=0,"",IF(('Dvd Calendar'!$P$95&gt;=GRID_FROM)*('Dvd Calendar'!$P$95&lt;=GRID_TO)*('Dvd Calendar'!$P$95&gt;VAL_DATE)=0,"",'Dvd Calendar'!$P$95*1000000000+ISNUMBER('Dvd Calendar'!$P$96)*100000000+0*10000000+(N('Dvd Calendar'!$P$94)&gt;0)*(N('Dvd Calendar'!$P$94)&lt;=VAL_SERIAL)*1000000+8*1000+52))</f>
        <v/>
      </c>
      <c r="GE19" s="121">
        <f>IF(N('Dvd Calendar'!$Q$95)=0,"",IF(('Dvd Calendar'!$Q$95&gt;=GRID_FROM)*('Dvd Calendar'!$Q$95&lt;=GRID_TO)*('Dvd Calendar'!$Q$95&gt;VAL_DATE)=0,"",'Dvd Calendar'!$Q$95*1000000000+ISNUMBER('Dvd Calendar'!$Q$96)*100000000+0*10000000+(N('Dvd Calendar'!$Q$94)&gt;0)*(N('Dvd Calendar'!$Q$94)&lt;=VAL_SERIAL)*1000000+8*1000+53))</f>
        <v/>
      </c>
      <c r="GF19" s="121">
        <f>IF(N('Dvd Calendar'!$R$95)=0,"",IF(('Dvd Calendar'!$R$95&gt;=GRID_FROM)*('Dvd Calendar'!$R$95&lt;=GRID_TO)*('Dvd Calendar'!$R$95&gt;VAL_DATE)=0,"",'Dvd Calendar'!$R$95*1000000000+ISNUMBER('Dvd Calendar'!$R$96)*100000000+0*10000000+(N('Dvd Calendar'!$R$94)&gt;0)*(N('Dvd Calendar'!$R$94)&lt;=VAL_SERIAL)*1000000+8*1000+54))</f>
        <v/>
      </c>
      <c r="GG19" s="121">
        <f>IF(N('Dvd Calendar'!$S$95)=0,"",IF(('Dvd Calendar'!$S$95&gt;=GRID_FROM)*('Dvd Calendar'!$S$95&lt;=GRID_TO)*('Dvd Calendar'!$S$95&gt;VAL_DATE)=0,"",'Dvd Calendar'!$S$95*1000000000+ISNUMBER('Dvd Calendar'!$S$96)*100000000+0*10000000+(N('Dvd Calendar'!$S$94)&gt;0)*(N('Dvd Calendar'!$S$94)&lt;=VAL_SERIAL)*1000000+8*1000+55))</f>
        <v/>
      </c>
      <c r="GH19" s="121">
        <f>IF(N('Dvd Calendar'!$T$95)=0,"",IF(('Dvd Calendar'!$T$95&gt;=GRID_FROM)*('Dvd Calendar'!$T$95&lt;=GRID_TO)*('Dvd Calendar'!$T$95&gt;VAL_DATE)=0,"",'Dvd Calendar'!$T$95*1000000000+ISNUMBER('Dvd Calendar'!$T$96)*100000000+0*10000000+(N('Dvd Calendar'!$T$94)&gt;0)*(N('Dvd Calendar'!$T$94)&lt;=VAL_SERIAL)*1000000+8*1000+56))</f>
        <v/>
      </c>
      <c r="GI19" s="121">
        <f>IF(N('Dvd Calendar'!$U$95)=0,"",IF(('Dvd Calendar'!$U$95&gt;=GRID_FROM)*('Dvd Calendar'!$U$95&lt;=GRID_TO)*('Dvd Calendar'!$U$95&gt;VAL_DATE)=0,"",'Dvd Calendar'!$U$95*1000000000+ISNUMBER('Dvd Calendar'!$U$96)*100000000+0*10000000+(N('Dvd Calendar'!$U$94)&gt;0)*(N('Dvd Calendar'!$U$94)&lt;=VAL_SERIAL)*1000000+8*1000+57))</f>
        <v/>
      </c>
      <c r="GJ19" s="121">
        <f>IF(N('Dvd Calendar'!$V$95)=0,"",IF(('Dvd Calendar'!$V$95&gt;=GRID_FROM)*('Dvd Calendar'!$V$95&lt;=GRID_TO)*('Dvd Calendar'!$V$95&gt;VAL_DATE)=0,"",'Dvd Calendar'!$V$95*1000000000+ISNUMBER('Dvd Calendar'!$V$96)*100000000+0*10000000+(N('Dvd Calendar'!$V$94)&gt;0)*(N('Dvd Calendar'!$V$94)&lt;=VAL_SERIAL)*1000000+8*1000+58))</f>
        <v/>
      </c>
      <c r="GK19" s="121">
        <f>IF(N('Dvd Calendar'!$W$95)=0,"",IF(('Dvd Calendar'!$W$95&gt;=GRID_FROM)*('Dvd Calendar'!$W$95&lt;=GRID_TO)*('Dvd Calendar'!$W$95&gt;VAL_DATE)=0,"",'Dvd Calendar'!$W$95*1000000000+ISNUMBER('Dvd Calendar'!$W$96)*100000000+0*10000000+(N('Dvd Calendar'!$W$94)&gt;0)*(N('Dvd Calendar'!$W$94)&lt;=VAL_SERIAL)*1000000+8*1000+59))</f>
        <v/>
      </c>
      <c r="GL19" s="121">
        <f>IF(N('Dvd Calendar'!$X$95)=0,"",IF(('Dvd Calendar'!$X$95&gt;=GRID_FROM)*('Dvd Calendar'!$X$95&lt;=GRID_TO)*('Dvd Calendar'!$X$95&gt;VAL_DATE)=0,"",'Dvd Calendar'!$X$95*1000000000+ISNUMBER('Dvd Calendar'!$X$96)*100000000+0*10000000+(N('Dvd Calendar'!$X$94)&gt;0)*(N('Dvd Calendar'!$X$94)&lt;=VAL_SERIAL)*1000000+8*1000+60))</f>
        <v/>
      </c>
      <c r="GM19" s="121">
        <f>IF(N('Dvd Calendar'!$Y$95)=0,"",IF(('Dvd Calendar'!$Y$95&gt;=GRID_FROM)*('Dvd Calendar'!$Y$95&lt;=GRID_TO)*('Dvd Calendar'!$Y$95&gt;VAL_DATE)=0,"",'Dvd Calendar'!$Y$95*1000000000+ISNUMBER('Dvd Calendar'!$Y$96)*100000000+0*10000000+(N('Dvd Calendar'!$Y$94)&gt;0)*(N('Dvd Calendar'!$Y$94)&lt;=VAL_SERIAL)*1000000+8*1000+61))</f>
        <v/>
      </c>
      <c r="GN19" s="121">
        <f>IF(N('Dvd Calendar'!$Z$95)=0,"",IF(('Dvd Calendar'!$Z$95&gt;=GRID_FROM)*('Dvd Calendar'!$Z$95&lt;=GRID_TO)*('Dvd Calendar'!$Z$95&gt;VAL_DATE)=0,"",'Dvd Calendar'!$Z$95*1000000000+ISNUMBER('Dvd Calendar'!$Z$96)*100000000+0*10000000+(N('Dvd Calendar'!$Z$94)&gt;0)*(N('Dvd Calendar'!$Z$94)&lt;=VAL_SERIAL)*1000000+8*1000+62))</f>
        <v/>
      </c>
      <c r="GO19" s="121">
        <f>IF(N('Dvd Calendar'!$AA$95)=0,"",IF(('Dvd Calendar'!$AA$95&gt;=GRID_FROM)*('Dvd Calendar'!$AA$95&lt;=GRID_TO)*('Dvd Calendar'!$AA$95&gt;VAL_DATE)=0,"",'Dvd Calendar'!$AA$95*1000000000+ISNUMBER('Dvd Calendar'!$AA$96)*100000000+0*10000000+(N('Dvd Calendar'!$AA$94)&gt;0)*(N('Dvd Calendar'!$AA$94)&lt;=VAL_SERIAL)*1000000+8*1000+63))</f>
        <v/>
      </c>
      <c r="GP19" s="121">
        <f>IF(N('Dvd Calendar'!$AB$95)=0,"",IF(('Dvd Calendar'!$AB$95&gt;=GRID_FROM)*('Dvd Calendar'!$AB$95&lt;=GRID_TO)*('Dvd Calendar'!$AB$95&gt;VAL_DATE)=0,"",'Dvd Calendar'!$AB$95*1000000000+ISNUMBER('Dvd Calendar'!$AB$96)*100000000+0*10000000+(N('Dvd Calendar'!$AB$94)&gt;0)*(N('Dvd Calendar'!$AB$94)&lt;=VAL_SERIAL)*1000000+8*1000+64))</f>
        <v/>
      </c>
      <c r="GQ19" s="121">
        <f>IF(N('Dvd Calendar'!$AC$95)=0,"",IF(('Dvd Calendar'!$AC$95&gt;=GRID_FROM)*('Dvd Calendar'!$AC$95&lt;=GRID_TO)*('Dvd Calendar'!$AC$95&gt;VAL_DATE)=0,"",'Dvd Calendar'!$AC$95*1000000000+ISNUMBER('Dvd Calendar'!$AC$96)*100000000+0*10000000+(N('Dvd Calendar'!$AC$94)&gt;0)*(N('Dvd Calendar'!$AC$94)&lt;=VAL_SERIAL)*1000000+8*1000+65))</f>
        <v/>
      </c>
    </row>
    <row r="20">
      <c r="B20" s="2">
        <f>IF(HSI!$C$15="","",HSI!$C$15)</f>
        <v/>
      </c>
      <c r="C20" s="161">
        <f>IF(EE20="","",IF(ISNUMBER('Dvd Calendar'!$E$102)=FALSE,"",IF((('Dvd Calendar'!$E$104=TYPE1)*(TYPE1&lt;&gt;"")+('Dvd Calendar'!$E$104=TYPE2)*(TYPE2&lt;&gt;"")+('Dvd Calendar'!$E$104=TYPE3)*(TYPE3&lt;&gt;"")+('Dvd Calendar'!$E$104=TYPE4)*(TYPE4&lt;&gt;"")+('Dvd Calendar'!$E$104=SPECIAL_LBL)*(INC_SPECIALS="Y"))=0,"",'Dvd Calendar'!$E$102)))</f>
        <v/>
      </c>
      <c r="D20" s="161">
        <f>IF(EF20="","",IF(ISNUMBER('Dvd Calendar'!$F$102)=FALSE,"",IF((('Dvd Calendar'!$F$104=TYPE1)*(TYPE1&lt;&gt;"")+('Dvd Calendar'!$F$104=TYPE2)*(TYPE2&lt;&gt;"")+('Dvd Calendar'!$F$104=TYPE3)*(TYPE3&lt;&gt;"")+('Dvd Calendar'!$F$104=TYPE4)*(TYPE4&lt;&gt;"")+('Dvd Calendar'!$F$104=SPECIAL_LBL)*(INC_SPECIALS="Y"))=0,"",'Dvd Calendar'!$F$102)))</f>
        <v/>
      </c>
      <c r="E20" s="161">
        <f>IF(EG20="","",IF(ISNUMBER('Dvd Calendar'!$G$102)=FALSE,"",IF((('Dvd Calendar'!$G$104=TYPE1)*(TYPE1&lt;&gt;"")+('Dvd Calendar'!$G$104=TYPE2)*(TYPE2&lt;&gt;"")+('Dvd Calendar'!$G$104=TYPE3)*(TYPE3&lt;&gt;"")+('Dvd Calendar'!$G$104=TYPE4)*(TYPE4&lt;&gt;"")+('Dvd Calendar'!$G$104=SPECIAL_LBL)*(INC_SPECIALS="Y"))=0,"",'Dvd Calendar'!$G$102)))</f>
        <v/>
      </c>
      <c r="F20" s="161">
        <f>IF(EH20="","",IF(ISNUMBER('Dvd Calendar'!$H$102)=FALSE,"",IF((('Dvd Calendar'!$H$104=TYPE1)*(TYPE1&lt;&gt;"")+('Dvd Calendar'!$H$104=TYPE2)*(TYPE2&lt;&gt;"")+('Dvd Calendar'!$H$104=TYPE3)*(TYPE3&lt;&gt;"")+('Dvd Calendar'!$H$104=TYPE4)*(TYPE4&lt;&gt;"")+('Dvd Calendar'!$H$104=SPECIAL_LBL)*(INC_SPECIALS="Y"))=0,"",'Dvd Calendar'!$H$102)))</f>
        <v/>
      </c>
      <c r="G20" s="161">
        <f>IF(EI20="","",IF(ISNUMBER('Dvd Calendar'!$I$102)=FALSE,"",IF((('Dvd Calendar'!$I$104=TYPE1)*(TYPE1&lt;&gt;"")+('Dvd Calendar'!$I$104=TYPE2)*(TYPE2&lt;&gt;"")+('Dvd Calendar'!$I$104=TYPE3)*(TYPE3&lt;&gt;"")+('Dvd Calendar'!$I$104=TYPE4)*(TYPE4&lt;&gt;"")+('Dvd Calendar'!$I$104=SPECIAL_LBL)*(INC_SPECIALS="Y"))=0,"",'Dvd Calendar'!$I$102)))</f>
        <v/>
      </c>
      <c r="H20" s="161">
        <f>IF(EJ20="","",IF(ISNUMBER('Dvd Calendar'!$J$102)=FALSE,"",IF((('Dvd Calendar'!$J$104=TYPE1)*(TYPE1&lt;&gt;"")+('Dvd Calendar'!$J$104=TYPE2)*(TYPE2&lt;&gt;"")+('Dvd Calendar'!$J$104=TYPE3)*(TYPE3&lt;&gt;"")+('Dvd Calendar'!$J$104=TYPE4)*(TYPE4&lt;&gt;"")+('Dvd Calendar'!$J$104=SPECIAL_LBL)*(INC_SPECIALS="Y"))=0,"",'Dvd Calendar'!$J$102)))</f>
        <v/>
      </c>
      <c r="I20" s="161">
        <f>IF(EK20="","",IF(ISNUMBER('Dvd Calendar'!$K$102)=FALSE,"",IF((('Dvd Calendar'!$K$104=TYPE1)*(TYPE1&lt;&gt;"")+('Dvd Calendar'!$K$104=TYPE2)*(TYPE2&lt;&gt;"")+('Dvd Calendar'!$K$104=TYPE3)*(TYPE3&lt;&gt;"")+('Dvd Calendar'!$K$104=TYPE4)*(TYPE4&lt;&gt;"")+('Dvd Calendar'!$K$104=SPECIAL_LBL)*(INC_SPECIALS="Y"))=0,"",'Dvd Calendar'!$K$102)))</f>
        <v/>
      </c>
      <c r="J20" s="161">
        <f>IF(EL20="","",IF(ISNUMBER('Dvd Calendar'!$L$102)=FALSE,"",IF((('Dvd Calendar'!$L$104=TYPE1)*(TYPE1&lt;&gt;"")+('Dvd Calendar'!$L$104=TYPE2)*(TYPE2&lt;&gt;"")+('Dvd Calendar'!$L$104=TYPE3)*(TYPE3&lt;&gt;"")+('Dvd Calendar'!$L$104=TYPE4)*(TYPE4&lt;&gt;"")+('Dvd Calendar'!$L$104=SPECIAL_LBL)*(INC_SPECIALS="Y"))=0,"",'Dvd Calendar'!$L$102)))</f>
        <v/>
      </c>
      <c r="K20" s="161">
        <f>IF(EM20="","",IF(ISNUMBER('Dvd Calendar'!$M$102)=FALSE,"",IF((('Dvd Calendar'!$M$104=TYPE1)*(TYPE1&lt;&gt;"")+('Dvd Calendar'!$M$104=TYPE2)*(TYPE2&lt;&gt;"")+('Dvd Calendar'!$M$104=TYPE3)*(TYPE3&lt;&gt;"")+('Dvd Calendar'!$M$104=TYPE4)*(TYPE4&lt;&gt;"")+('Dvd Calendar'!$M$104=SPECIAL_LBL)*(INC_SPECIALS="Y"))=0,"",'Dvd Calendar'!$M$102)))</f>
        <v/>
      </c>
      <c r="L20" s="161">
        <f>IF(EN20="","",IF(ISNUMBER('Dvd Calendar'!$N$102)=FALSE,"",IF((('Dvd Calendar'!$N$104=TYPE1)*(TYPE1&lt;&gt;"")+('Dvd Calendar'!$N$104=TYPE2)*(TYPE2&lt;&gt;"")+('Dvd Calendar'!$N$104=TYPE3)*(TYPE3&lt;&gt;"")+('Dvd Calendar'!$N$104=TYPE4)*(TYPE4&lt;&gt;"")+('Dvd Calendar'!$N$104=SPECIAL_LBL)*(INC_SPECIALS="Y"))=0,"",'Dvd Calendar'!$N$102)))</f>
        <v/>
      </c>
      <c r="M20" s="161">
        <f>IF(EO20="","",IF(ISNUMBER('Dvd Calendar'!$O$102)=FALSE,"",IF((('Dvd Calendar'!$O$104=TYPE1)*(TYPE1&lt;&gt;"")+('Dvd Calendar'!$O$104=TYPE2)*(TYPE2&lt;&gt;"")+('Dvd Calendar'!$O$104=TYPE3)*(TYPE3&lt;&gt;"")+('Dvd Calendar'!$O$104=TYPE4)*(TYPE4&lt;&gt;"")+('Dvd Calendar'!$O$104=SPECIAL_LBL)*(INC_SPECIALS="Y"))=0,"",'Dvd Calendar'!$O$102)))</f>
        <v/>
      </c>
      <c r="N20" s="161">
        <f>IF(EP20="","",IF(ISNUMBER('Dvd Calendar'!$P$102)=FALSE,"",IF((('Dvd Calendar'!$P$104=TYPE1)*(TYPE1&lt;&gt;"")+('Dvd Calendar'!$P$104=TYPE2)*(TYPE2&lt;&gt;"")+('Dvd Calendar'!$P$104=TYPE3)*(TYPE3&lt;&gt;"")+('Dvd Calendar'!$P$104=TYPE4)*(TYPE4&lt;&gt;"")+('Dvd Calendar'!$P$104=SPECIAL_LBL)*(INC_SPECIALS="Y"))=0,"",'Dvd Calendar'!$P$102)))</f>
        <v/>
      </c>
      <c r="O20" s="161">
        <f>IF(EQ20="","",IF(ISNUMBER('Dvd Calendar'!$Q$102)=FALSE,"",IF((('Dvd Calendar'!$Q$104=TYPE1)*(TYPE1&lt;&gt;"")+('Dvd Calendar'!$Q$104=TYPE2)*(TYPE2&lt;&gt;"")+('Dvd Calendar'!$Q$104=TYPE3)*(TYPE3&lt;&gt;"")+('Dvd Calendar'!$Q$104=TYPE4)*(TYPE4&lt;&gt;"")+('Dvd Calendar'!$Q$104=SPECIAL_LBL)*(INC_SPECIALS="Y"))=0,"",'Dvd Calendar'!$Q$102)))</f>
        <v/>
      </c>
      <c r="P20" s="161">
        <f>IF(ER20="","",IF(ISNUMBER('Dvd Calendar'!$R$102)=FALSE,"",IF((('Dvd Calendar'!$R$104=TYPE1)*(TYPE1&lt;&gt;"")+('Dvd Calendar'!$R$104=TYPE2)*(TYPE2&lt;&gt;"")+('Dvd Calendar'!$R$104=TYPE3)*(TYPE3&lt;&gt;"")+('Dvd Calendar'!$R$104=TYPE4)*(TYPE4&lt;&gt;"")+('Dvd Calendar'!$R$104=SPECIAL_LBL)*(INC_SPECIALS="Y"))=0,"",'Dvd Calendar'!$R$102)))</f>
        <v/>
      </c>
      <c r="Q20" s="161">
        <f>IF(ES20="","",IF(ISNUMBER('Dvd Calendar'!$S$102)=FALSE,"",IF((('Dvd Calendar'!$S$104=TYPE1)*(TYPE1&lt;&gt;"")+('Dvd Calendar'!$S$104=TYPE2)*(TYPE2&lt;&gt;"")+('Dvd Calendar'!$S$104=TYPE3)*(TYPE3&lt;&gt;"")+('Dvd Calendar'!$S$104=TYPE4)*(TYPE4&lt;&gt;"")+('Dvd Calendar'!$S$104=SPECIAL_LBL)*(INC_SPECIALS="Y"))=0,"",'Dvd Calendar'!$S$102)))</f>
        <v/>
      </c>
      <c r="R20" s="161">
        <f>IF(ET20="","",IF(ISNUMBER('Dvd Calendar'!$T$102)=FALSE,"",IF((('Dvd Calendar'!$T$104=TYPE1)*(TYPE1&lt;&gt;"")+('Dvd Calendar'!$T$104=TYPE2)*(TYPE2&lt;&gt;"")+('Dvd Calendar'!$T$104=TYPE3)*(TYPE3&lt;&gt;"")+('Dvd Calendar'!$T$104=TYPE4)*(TYPE4&lt;&gt;"")+('Dvd Calendar'!$T$104=SPECIAL_LBL)*(INC_SPECIALS="Y"))=0,"",'Dvd Calendar'!$T$102)))</f>
        <v/>
      </c>
      <c r="S20" s="161">
        <f>IF(EU20="","",IF(ISNUMBER('Dvd Calendar'!$U$102)=FALSE,"",IF((('Dvd Calendar'!$U$104=TYPE1)*(TYPE1&lt;&gt;"")+('Dvd Calendar'!$U$104=TYPE2)*(TYPE2&lt;&gt;"")+('Dvd Calendar'!$U$104=TYPE3)*(TYPE3&lt;&gt;"")+('Dvd Calendar'!$U$104=TYPE4)*(TYPE4&lt;&gt;"")+('Dvd Calendar'!$U$104=SPECIAL_LBL)*(INC_SPECIALS="Y"))=0,"",'Dvd Calendar'!$U$102)))</f>
        <v/>
      </c>
      <c r="T20" s="161">
        <f>IF(EV20="","",IF(ISNUMBER('Dvd Calendar'!$V$102)=FALSE,"",IF((('Dvd Calendar'!$V$104=TYPE1)*(TYPE1&lt;&gt;"")+('Dvd Calendar'!$V$104=TYPE2)*(TYPE2&lt;&gt;"")+('Dvd Calendar'!$V$104=TYPE3)*(TYPE3&lt;&gt;"")+('Dvd Calendar'!$V$104=TYPE4)*(TYPE4&lt;&gt;"")+('Dvd Calendar'!$V$104=SPECIAL_LBL)*(INC_SPECIALS="Y"))=0,"",'Dvd Calendar'!$V$102)))</f>
        <v/>
      </c>
      <c r="U20" s="161">
        <f>IF(EW20="","",IF(ISNUMBER('Dvd Calendar'!$W$102)=FALSE,"",IF((('Dvd Calendar'!$W$104=TYPE1)*(TYPE1&lt;&gt;"")+('Dvd Calendar'!$W$104=TYPE2)*(TYPE2&lt;&gt;"")+('Dvd Calendar'!$W$104=TYPE3)*(TYPE3&lt;&gt;"")+('Dvd Calendar'!$W$104=TYPE4)*(TYPE4&lt;&gt;"")+('Dvd Calendar'!$W$104=SPECIAL_LBL)*(INC_SPECIALS="Y"))=0,"",'Dvd Calendar'!$W$102)))</f>
        <v/>
      </c>
      <c r="V20" s="161">
        <f>IF(EX20="","",IF(ISNUMBER('Dvd Calendar'!$X$102)=FALSE,"",IF((('Dvd Calendar'!$X$104=TYPE1)*(TYPE1&lt;&gt;"")+('Dvd Calendar'!$X$104=TYPE2)*(TYPE2&lt;&gt;"")+('Dvd Calendar'!$X$104=TYPE3)*(TYPE3&lt;&gt;"")+('Dvd Calendar'!$X$104=TYPE4)*(TYPE4&lt;&gt;"")+('Dvd Calendar'!$X$104=SPECIAL_LBL)*(INC_SPECIALS="Y"))=0,"",'Dvd Calendar'!$X$102)))</f>
        <v/>
      </c>
      <c r="W20" s="161">
        <f>IF(EY20="","",IF(ISNUMBER('Dvd Calendar'!$Y$102)=FALSE,"",IF((('Dvd Calendar'!$Y$104=TYPE1)*(TYPE1&lt;&gt;"")+('Dvd Calendar'!$Y$104=TYPE2)*(TYPE2&lt;&gt;"")+('Dvd Calendar'!$Y$104=TYPE3)*(TYPE3&lt;&gt;"")+('Dvd Calendar'!$Y$104=TYPE4)*(TYPE4&lt;&gt;"")+('Dvd Calendar'!$Y$104=SPECIAL_LBL)*(INC_SPECIALS="Y"))=0,"",'Dvd Calendar'!$Y$102)))</f>
        <v/>
      </c>
      <c r="X20" s="161">
        <f>IF(EZ20="","",IF(ISNUMBER('Dvd Calendar'!$Z$102)=FALSE,"",IF((('Dvd Calendar'!$Z$104=TYPE1)*(TYPE1&lt;&gt;"")+('Dvd Calendar'!$Z$104=TYPE2)*(TYPE2&lt;&gt;"")+('Dvd Calendar'!$Z$104=TYPE3)*(TYPE3&lt;&gt;"")+('Dvd Calendar'!$Z$104=TYPE4)*(TYPE4&lt;&gt;"")+('Dvd Calendar'!$Z$104=SPECIAL_LBL)*(INC_SPECIALS="Y"))=0,"",'Dvd Calendar'!$Z$102)))</f>
        <v/>
      </c>
      <c r="Y20" s="161">
        <f>IF(FA20="","",IF(ISNUMBER('Dvd Calendar'!$AA$102)=FALSE,"",IF((('Dvd Calendar'!$AA$104=TYPE1)*(TYPE1&lt;&gt;"")+('Dvd Calendar'!$AA$104=TYPE2)*(TYPE2&lt;&gt;"")+('Dvd Calendar'!$AA$104=TYPE3)*(TYPE3&lt;&gt;"")+('Dvd Calendar'!$AA$104=TYPE4)*(TYPE4&lt;&gt;"")+('Dvd Calendar'!$AA$104=SPECIAL_LBL)*(INC_SPECIALS="Y"))=0,"",'Dvd Calendar'!$AA$102)))</f>
        <v/>
      </c>
      <c r="Z20" s="161">
        <f>IF(FB20="","",IF(ISNUMBER('Dvd Calendar'!$AB$102)=FALSE,"",IF((('Dvd Calendar'!$AB$104=TYPE1)*(TYPE1&lt;&gt;"")+('Dvd Calendar'!$AB$104=TYPE2)*(TYPE2&lt;&gt;"")+('Dvd Calendar'!$AB$104=TYPE3)*(TYPE3&lt;&gt;"")+('Dvd Calendar'!$AB$104=TYPE4)*(TYPE4&lt;&gt;"")+('Dvd Calendar'!$AB$104=SPECIAL_LBL)*(INC_SPECIALS="Y"))=0,"",'Dvd Calendar'!$AB$102)))</f>
        <v/>
      </c>
      <c r="AA20" s="161">
        <f>IF(FC20="","",IF(ISNUMBER('Dvd Calendar'!$AC$102)=FALSE,"",IF((('Dvd Calendar'!$AC$104=TYPE1)*(TYPE1&lt;&gt;"")+('Dvd Calendar'!$AC$104=TYPE2)*(TYPE2&lt;&gt;"")+('Dvd Calendar'!$AC$104=TYPE3)*(TYPE3&lt;&gt;"")+('Dvd Calendar'!$AC$104=TYPE4)*(TYPE4&lt;&gt;"")+('Dvd Calendar'!$AC$104=SPECIAL_LBL)*(INC_SPECIALS="Y"))=0,"",'Dvd Calendar'!$AC$102)))</f>
        <v/>
      </c>
      <c r="AB20" s="161">
        <f>IF(FD20="","",IF(ISNUMBER('Dvd Calendar'!$AD$102)=FALSE,"",IF((('Dvd Calendar'!$AD$104=TYPE1)*(TYPE1&lt;&gt;"")+('Dvd Calendar'!$AD$104=TYPE2)*(TYPE2&lt;&gt;"")+('Dvd Calendar'!$AD$104=TYPE3)*(TYPE3&lt;&gt;"")+('Dvd Calendar'!$AD$104=TYPE4)*(TYPE4&lt;&gt;"")+('Dvd Calendar'!$AD$104=SPECIAL_LBL)*(INC_SPECIALS="Y"))=0,"",'Dvd Calendar'!$AD$102)))</f>
        <v/>
      </c>
      <c r="AC20" s="161">
        <f>IF(FE20="","",IF(ISNUMBER('Dvd Calendar'!$AE$102)=FALSE,"",IF((('Dvd Calendar'!$AE$104=TYPE1)*(TYPE1&lt;&gt;"")+('Dvd Calendar'!$AE$104=TYPE2)*(TYPE2&lt;&gt;"")+('Dvd Calendar'!$AE$104=TYPE3)*(TYPE3&lt;&gt;"")+('Dvd Calendar'!$AE$104=TYPE4)*(TYPE4&lt;&gt;"")+('Dvd Calendar'!$AE$104=SPECIAL_LBL)*(INC_SPECIALS="Y"))=0,"",'Dvd Calendar'!$AE$102)))</f>
        <v/>
      </c>
      <c r="AD20" s="161">
        <f>IF(FF20="","",IF(ISNUMBER('Dvd Calendar'!$AF$102)=FALSE,"",IF((('Dvd Calendar'!$AF$104=TYPE1)*(TYPE1&lt;&gt;"")+('Dvd Calendar'!$AF$104=TYPE2)*(TYPE2&lt;&gt;"")+('Dvd Calendar'!$AF$104=TYPE3)*(TYPE3&lt;&gt;"")+('Dvd Calendar'!$AF$104=TYPE4)*(TYPE4&lt;&gt;"")+('Dvd Calendar'!$AF$104=SPECIAL_LBL)*(INC_SPECIALS="Y"))=0,"",'Dvd Calendar'!$AF$102)))</f>
        <v/>
      </c>
      <c r="AE20" s="161">
        <f>IF(FG20="","",IF(ISNUMBER('Dvd Calendar'!$AG$102)=FALSE,"",IF((('Dvd Calendar'!$AG$104=TYPE1)*(TYPE1&lt;&gt;"")+('Dvd Calendar'!$AG$104=TYPE2)*(TYPE2&lt;&gt;"")+('Dvd Calendar'!$AG$104=TYPE3)*(TYPE3&lt;&gt;"")+('Dvd Calendar'!$AG$104=TYPE4)*(TYPE4&lt;&gt;"")+('Dvd Calendar'!$AG$104=SPECIAL_LBL)*(INC_SPECIALS="Y"))=0,"",'Dvd Calendar'!$AG$102)))</f>
        <v/>
      </c>
      <c r="AF20" s="161">
        <f>IF(FH20="","",IF(ISNUMBER('Dvd Calendar'!$AH$102)=FALSE,"",IF((('Dvd Calendar'!$AH$104=TYPE1)*(TYPE1&lt;&gt;"")+('Dvd Calendar'!$AH$104=TYPE2)*(TYPE2&lt;&gt;"")+('Dvd Calendar'!$AH$104=TYPE3)*(TYPE3&lt;&gt;"")+('Dvd Calendar'!$AH$104=TYPE4)*(TYPE4&lt;&gt;"")+('Dvd Calendar'!$AH$104=SPECIAL_LBL)*(INC_SPECIALS="Y"))=0,"",'Dvd Calendar'!$AH$102)))</f>
        <v/>
      </c>
      <c r="AG20" s="161">
        <f>IF(FI20="","",IF(ISNUMBER('Dvd Calendar'!$AI$102)=FALSE,"",IF((('Dvd Calendar'!$AI$104=TYPE1)*(TYPE1&lt;&gt;"")+('Dvd Calendar'!$AI$104=TYPE2)*(TYPE2&lt;&gt;"")+('Dvd Calendar'!$AI$104=TYPE3)*(TYPE3&lt;&gt;"")+('Dvd Calendar'!$AI$104=TYPE4)*(TYPE4&lt;&gt;"")+('Dvd Calendar'!$AI$104=SPECIAL_LBL)*(INC_SPECIALS="Y"))=0,"",'Dvd Calendar'!$AI$102)))</f>
        <v/>
      </c>
      <c r="AH20" s="161">
        <f>IF(FJ20="","",IF(ISNUMBER('Dvd Calendar'!$AJ$102)=FALSE,"",IF((('Dvd Calendar'!$AJ$104=TYPE1)*(TYPE1&lt;&gt;"")+('Dvd Calendar'!$AJ$104=TYPE2)*(TYPE2&lt;&gt;"")+('Dvd Calendar'!$AJ$104=TYPE3)*(TYPE3&lt;&gt;"")+('Dvd Calendar'!$AJ$104=TYPE4)*(TYPE4&lt;&gt;"")+('Dvd Calendar'!$AJ$104=SPECIAL_LBL)*(INC_SPECIALS="Y"))=0,"",'Dvd Calendar'!$AJ$102)))</f>
        <v/>
      </c>
      <c r="AI20" s="161">
        <f>IF(FK20="","",IF(ISNUMBER('Dvd Calendar'!$AK$102)=FALSE,"",IF((('Dvd Calendar'!$AK$104=TYPE1)*(TYPE1&lt;&gt;"")+('Dvd Calendar'!$AK$104=TYPE2)*(TYPE2&lt;&gt;"")+('Dvd Calendar'!$AK$104=TYPE3)*(TYPE3&lt;&gt;"")+('Dvd Calendar'!$AK$104=TYPE4)*(TYPE4&lt;&gt;"")+('Dvd Calendar'!$AK$104=SPECIAL_LBL)*(INC_SPECIALS="Y"))=0,"",'Dvd Calendar'!$AK$102)))</f>
        <v/>
      </c>
      <c r="AJ20" s="161">
        <f>IF(FL20="","",IF(ISNUMBER('Dvd Calendar'!$AL$102)=FALSE,"",IF((('Dvd Calendar'!$AL$104=TYPE1)*(TYPE1&lt;&gt;"")+('Dvd Calendar'!$AL$104=TYPE2)*(TYPE2&lt;&gt;"")+('Dvd Calendar'!$AL$104=TYPE3)*(TYPE3&lt;&gt;"")+('Dvd Calendar'!$AL$104=TYPE4)*(TYPE4&lt;&gt;"")+('Dvd Calendar'!$AL$104=SPECIAL_LBL)*(INC_SPECIALS="Y"))=0,"",'Dvd Calendar'!$AL$102)))</f>
        <v/>
      </c>
      <c r="AK20" s="161">
        <f>IF(FM20="","",IF(ISNUMBER('Dvd Calendar'!$AM$102)=FALSE,"",IF((('Dvd Calendar'!$AM$104=TYPE1)*(TYPE1&lt;&gt;"")+('Dvd Calendar'!$AM$104=TYPE2)*(TYPE2&lt;&gt;"")+('Dvd Calendar'!$AM$104=TYPE3)*(TYPE3&lt;&gt;"")+('Dvd Calendar'!$AM$104=TYPE4)*(TYPE4&lt;&gt;"")+('Dvd Calendar'!$AM$104=SPECIAL_LBL)*(INC_SPECIALS="Y"))=0,"",'Dvd Calendar'!$AM$102)))</f>
        <v/>
      </c>
      <c r="AL20" s="161">
        <f>IF(FN20="","",IF(ISNUMBER('Dvd Calendar'!$AN$102)=FALSE,"",IF((('Dvd Calendar'!$AN$104=TYPE1)*(TYPE1&lt;&gt;"")+('Dvd Calendar'!$AN$104=TYPE2)*(TYPE2&lt;&gt;"")+('Dvd Calendar'!$AN$104=TYPE3)*(TYPE3&lt;&gt;"")+('Dvd Calendar'!$AN$104=TYPE4)*(TYPE4&lt;&gt;"")+('Dvd Calendar'!$AN$104=SPECIAL_LBL)*(INC_SPECIALS="Y"))=0,"",'Dvd Calendar'!$AN$102)))</f>
        <v/>
      </c>
      <c r="AM20" s="161">
        <f>IF(FO20="","",IF(ISNUMBER('Dvd Calendar'!$AO$102)=FALSE,"",IF((('Dvd Calendar'!$AO$104=TYPE1)*(TYPE1&lt;&gt;"")+('Dvd Calendar'!$AO$104=TYPE2)*(TYPE2&lt;&gt;"")+('Dvd Calendar'!$AO$104=TYPE3)*(TYPE3&lt;&gt;"")+('Dvd Calendar'!$AO$104=TYPE4)*(TYPE4&lt;&gt;"")+('Dvd Calendar'!$AO$104=SPECIAL_LBL)*(INC_SPECIALS="Y"))=0,"",'Dvd Calendar'!$AO$102)))</f>
        <v/>
      </c>
      <c r="AN20" s="161">
        <f>IF(FP20="","",IF(ISNUMBER('Dvd Calendar'!$AP$102)=FALSE,"",IF((('Dvd Calendar'!$AP$104=TYPE1)*(TYPE1&lt;&gt;"")+('Dvd Calendar'!$AP$104=TYPE2)*(TYPE2&lt;&gt;"")+('Dvd Calendar'!$AP$104=TYPE3)*(TYPE3&lt;&gt;"")+('Dvd Calendar'!$AP$104=TYPE4)*(TYPE4&lt;&gt;"")+('Dvd Calendar'!$AP$104=SPECIAL_LBL)*(INC_SPECIALS="Y"))=0,"",'Dvd Calendar'!$AP$102)))</f>
        <v/>
      </c>
      <c r="AO20" s="161">
        <f>IF(FQ20="","",IF(ISNUMBER('Dvd Calendar'!$AQ$102)=FALSE,"",IF((('Dvd Calendar'!$AQ$104=TYPE1)*(TYPE1&lt;&gt;"")+('Dvd Calendar'!$AQ$104=TYPE2)*(TYPE2&lt;&gt;"")+('Dvd Calendar'!$AQ$104=TYPE3)*(TYPE3&lt;&gt;"")+('Dvd Calendar'!$AQ$104=TYPE4)*(TYPE4&lt;&gt;"")+('Dvd Calendar'!$AQ$104=SPECIAL_LBL)*(INC_SPECIALS="Y"))=0,"",'Dvd Calendar'!$AQ$102)))</f>
        <v/>
      </c>
      <c r="AP20" s="161">
        <f>IF(FR20="","",IF(ISNUMBER('Dvd Calendar'!$AR$102)=FALSE,"",IF((('Dvd Calendar'!$AR$104=TYPE1)*(TYPE1&lt;&gt;"")+('Dvd Calendar'!$AR$104=TYPE2)*(TYPE2&lt;&gt;"")+('Dvd Calendar'!$AR$104=TYPE3)*(TYPE3&lt;&gt;"")+('Dvd Calendar'!$AR$104=TYPE4)*(TYPE4&lt;&gt;"")+('Dvd Calendar'!$AR$104=SPECIAL_LBL)*(INC_SPECIALS="Y"))=0,"",'Dvd Calendar'!$AR$102)))</f>
        <v/>
      </c>
      <c r="AQ20" s="161">
        <f>IF(FS20="","",IF(ISNUMBER('Dvd Calendar'!$E$107)=FALSE,"",'Dvd Calendar'!$E$107))</f>
        <v/>
      </c>
      <c r="AR20" s="161">
        <f>IF(FT20="","",IF(ISNUMBER('Dvd Calendar'!$F$107)=FALSE,"",'Dvd Calendar'!$F$107))</f>
        <v/>
      </c>
      <c r="AS20" s="161">
        <f>IF(FU20="","",IF(ISNUMBER('Dvd Calendar'!$G$107)=FALSE,"",'Dvd Calendar'!$G$107))</f>
        <v/>
      </c>
      <c r="AT20" s="161">
        <f>IF(FV20="","",IF(ISNUMBER('Dvd Calendar'!$H$107)=FALSE,"",'Dvd Calendar'!$H$107))</f>
        <v/>
      </c>
      <c r="AU20" s="161">
        <f>IF(FW20="","",IF(ISNUMBER('Dvd Calendar'!$I$107)=FALSE,"",'Dvd Calendar'!$I$107))</f>
        <v/>
      </c>
      <c r="AV20" s="161">
        <f>IF(FX20="","",IF(ISNUMBER('Dvd Calendar'!$J$107)=FALSE,"",'Dvd Calendar'!$J$107))</f>
        <v/>
      </c>
      <c r="AW20" s="161">
        <f>IF(FY20="","",IF(ISNUMBER('Dvd Calendar'!$K$107)=FALSE,"",'Dvd Calendar'!$K$107))</f>
        <v/>
      </c>
      <c r="AX20" s="161">
        <f>IF(FZ20="","",IF(ISNUMBER('Dvd Calendar'!$L$107)=FALSE,"",'Dvd Calendar'!$L$107))</f>
        <v/>
      </c>
      <c r="AY20" s="161">
        <f>IF(GA20="","",IF(ISNUMBER('Dvd Calendar'!$M$107)=FALSE,"",'Dvd Calendar'!$M$107))</f>
        <v/>
      </c>
      <c r="AZ20" s="161">
        <f>IF(GB20="","",IF(ISNUMBER('Dvd Calendar'!$N$107)=FALSE,"",'Dvd Calendar'!$N$107))</f>
        <v/>
      </c>
      <c r="BA20" s="161">
        <f>IF(GC20="","",IF(ISNUMBER('Dvd Calendar'!$O$107)=FALSE,"",'Dvd Calendar'!$O$107))</f>
        <v/>
      </c>
      <c r="BB20" s="161">
        <f>IF(GD20="","",IF(ISNUMBER('Dvd Calendar'!$P$107)=FALSE,"",'Dvd Calendar'!$P$107))</f>
        <v/>
      </c>
      <c r="BC20" s="161">
        <f>IF(GE20="","",IF(ISNUMBER('Dvd Calendar'!$Q$107)=FALSE,"",'Dvd Calendar'!$Q$107))</f>
        <v/>
      </c>
      <c r="BD20" s="161">
        <f>IF(GF20="","",IF(ISNUMBER('Dvd Calendar'!$R$107)=FALSE,"",'Dvd Calendar'!$R$107))</f>
        <v/>
      </c>
      <c r="BE20" s="161">
        <f>IF(GG20="","",IF(ISNUMBER('Dvd Calendar'!$S$107)=FALSE,"",'Dvd Calendar'!$S$107))</f>
        <v/>
      </c>
      <c r="BF20" s="161">
        <f>IF(GH20="","",IF(ISNUMBER('Dvd Calendar'!$T$107)=FALSE,"",'Dvd Calendar'!$T$107))</f>
        <v/>
      </c>
      <c r="BG20" s="161">
        <f>IF(GI20="","",IF(ISNUMBER('Dvd Calendar'!$U$107)=FALSE,"",'Dvd Calendar'!$U$107))</f>
        <v/>
      </c>
      <c r="BH20" s="161">
        <f>IF(GJ20="","",IF(ISNUMBER('Dvd Calendar'!$V$107)=FALSE,"",'Dvd Calendar'!$V$107))</f>
        <v/>
      </c>
      <c r="BI20" s="161">
        <f>IF(GK20="","",IF(ISNUMBER('Dvd Calendar'!$W$107)=FALSE,"",'Dvd Calendar'!$W$107))</f>
        <v/>
      </c>
      <c r="BJ20" s="161">
        <f>IF(GL20="","",IF(ISNUMBER('Dvd Calendar'!$X$107)=FALSE,"",'Dvd Calendar'!$X$107))</f>
        <v/>
      </c>
      <c r="BK20" s="161">
        <f>IF(GM20="","",IF(ISNUMBER('Dvd Calendar'!$Y$107)=FALSE,"",'Dvd Calendar'!$Y$107))</f>
        <v/>
      </c>
      <c r="BL20" s="161">
        <f>IF(GN20="","",IF(ISNUMBER('Dvd Calendar'!$Z$107)=FALSE,"",'Dvd Calendar'!$Z$107))</f>
        <v/>
      </c>
      <c r="BM20" s="161">
        <f>IF(GO20="","",IF(ISNUMBER('Dvd Calendar'!$AA$107)=FALSE,"",'Dvd Calendar'!$AA$107))</f>
        <v/>
      </c>
      <c r="BN20" s="161">
        <f>IF(GP20="","",IF(ISNUMBER('Dvd Calendar'!$AB$107)=FALSE,"",'Dvd Calendar'!$AB$107))</f>
        <v/>
      </c>
      <c r="BO20" s="161">
        <f>IF(GQ20="","",IF(ISNUMBER('Dvd Calendar'!$AC$107)=FALSE,"",'Dvd Calendar'!$AC$107))</f>
        <v/>
      </c>
      <c r="BQ20" s="161">
        <f>IF(C20="","",IFERROR(C20*HSI!$B$15*HSI!$G$15/HSI!$B$3,""))</f>
        <v/>
      </c>
      <c r="BR20" s="161">
        <f>IF(D20="","",IFERROR(D20*HSI!$B$15*HSI!$G$15/HSI!$B$3,""))</f>
        <v/>
      </c>
      <c r="BS20" s="161">
        <f>IF(E20="","",IFERROR(E20*HSI!$B$15*HSI!$G$15/HSI!$B$3,""))</f>
        <v/>
      </c>
      <c r="BT20" s="161">
        <f>IF(F20="","",IFERROR(F20*HSI!$B$15*HSI!$G$15/HSI!$B$3,""))</f>
        <v/>
      </c>
      <c r="BU20" s="161">
        <f>IF(G20="","",IFERROR(G20*HSI!$B$15*HSI!$G$15/HSI!$B$3,""))</f>
        <v/>
      </c>
      <c r="BV20" s="161">
        <f>IF(H20="","",IFERROR(H20*HSI!$B$15*HSI!$G$15/HSI!$B$3,""))</f>
        <v/>
      </c>
      <c r="BW20" s="161">
        <f>IF(I20="","",IFERROR(I20*HSI!$B$15*HSI!$G$15/HSI!$B$3,""))</f>
        <v/>
      </c>
      <c r="BX20" s="161">
        <f>IF(J20="","",IFERROR(J20*HSI!$B$15*HSI!$G$15/HSI!$B$3,""))</f>
        <v/>
      </c>
      <c r="BY20" s="161">
        <f>IF(K20="","",IFERROR(K20*HSI!$B$15*HSI!$G$15/HSI!$B$3,""))</f>
        <v/>
      </c>
      <c r="BZ20" s="161">
        <f>IF(L20="","",IFERROR(L20*HSI!$B$15*HSI!$G$15/HSI!$B$3,""))</f>
        <v/>
      </c>
      <c r="CA20" s="161">
        <f>IF(M20="","",IFERROR(M20*HSI!$B$15*HSI!$G$15/HSI!$B$3,""))</f>
        <v/>
      </c>
      <c r="CB20" s="161">
        <f>IF(N20="","",IFERROR(N20*HSI!$B$15*HSI!$G$15/HSI!$B$3,""))</f>
        <v/>
      </c>
      <c r="CC20" s="161">
        <f>IF(O20="","",IFERROR(O20*HSI!$B$15*HSI!$G$15/HSI!$B$3,""))</f>
        <v/>
      </c>
      <c r="CD20" s="161">
        <f>IF(P20="","",IFERROR(P20*HSI!$B$15*HSI!$G$15/HSI!$B$3,""))</f>
        <v/>
      </c>
      <c r="CE20" s="161">
        <f>IF(Q20="","",IFERROR(Q20*HSI!$B$15*HSI!$G$15/HSI!$B$3,""))</f>
        <v/>
      </c>
      <c r="CF20" s="161">
        <f>IF(R20="","",IFERROR(R20*HSI!$B$15*HSI!$G$15/HSI!$B$3,""))</f>
        <v/>
      </c>
      <c r="CG20" s="161">
        <f>IF(S20="","",IFERROR(S20*HSI!$B$15*HSI!$G$15/HSI!$B$3,""))</f>
        <v/>
      </c>
      <c r="CH20" s="161">
        <f>IF(T20="","",IFERROR(T20*HSI!$B$15*HSI!$G$15/HSI!$B$3,""))</f>
        <v/>
      </c>
      <c r="CI20" s="161">
        <f>IF(U20="","",IFERROR(U20*HSI!$B$15*HSI!$G$15/HSI!$B$3,""))</f>
        <v/>
      </c>
      <c r="CJ20" s="161">
        <f>IF(V20="","",IFERROR(V20*HSI!$B$15*HSI!$G$15/HSI!$B$3,""))</f>
        <v/>
      </c>
      <c r="CK20" s="161">
        <f>IF(W20="","",IFERROR(W20*HSI!$B$15*HSI!$G$15/HSI!$B$3,""))</f>
        <v/>
      </c>
      <c r="CL20" s="161">
        <f>IF(X20="","",IFERROR(X20*HSI!$B$15*HSI!$G$15/HSI!$B$3,""))</f>
        <v/>
      </c>
      <c r="CM20" s="161">
        <f>IF(Y20="","",IFERROR(Y20*HSI!$B$15*HSI!$G$15/HSI!$B$3,""))</f>
        <v/>
      </c>
      <c r="CN20" s="161">
        <f>IF(Z20="","",IFERROR(Z20*HSI!$B$15*HSI!$G$15/HSI!$B$3,""))</f>
        <v/>
      </c>
      <c r="CO20" s="161">
        <f>IF(AA20="","",IFERROR(AA20*HSI!$B$15*HSI!$G$15/HSI!$B$3,""))</f>
        <v/>
      </c>
      <c r="CP20" s="161">
        <f>IF(AB20="","",IFERROR(AB20*HSI!$B$15*HSI!$G$15/HSI!$B$3,""))</f>
        <v/>
      </c>
      <c r="CQ20" s="161">
        <f>IF(AC20="","",IFERROR(AC20*HSI!$B$15*HSI!$G$15/HSI!$B$3,""))</f>
        <v/>
      </c>
      <c r="CR20" s="161">
        <f>IF(AD20="","",IFERROR(AD20*HSI!$B$15*HSI!$G$15/HSI!$B$3,""))</f>
        <v/>
      </c>
      <c r="CS20" s="161">
        <f>IF(AE20="","",IFERROR(AE20*HSI!$B$15*HSI!$G$15/HSI!$B$3,""))</f>
        <v/>
      </c>
      <c r="CT20" s="161">
        <f>IF(AF20="","",IFERROR(AF20*HSI!$B$15*HSI!$G$15/HSI!$B$3,""))</f>
        <v/>
      </c>
      <c r="CU20" s="161">
        <f>IF(AG20="","",IFERROR(AG20*HSI!$B$15*HSI!$G$15/HSI!$B$3,""))</f>
        <v/>
      </c>
      <c r="CV20" s="161">
        <f>IF(AH20="","",IFERROR(AH20*HSI!$B$15*HSI!$G$15/HSI!$B$3,""))</f>
        <v/>
      </c>
      <c r="CW20" s="161">
        <f>IF(AI20="","",IFERROR(AI20*HSI!$B$15*HSI!$G$15/HSI!$B$3,""))</f>
        <v/>
      </c>
      <c r="CX20" s="161">
        <f>IF(AJ20="","",IFERROR(AJ20*HSI!$B$15*HSI!$G$15/HSI!$B$3,""))</f>
        <v/>
      </c>
      <c r="CY20" s="161">
        <f>IF(AK20="","",IFERROR(AK20*HSI!$B$15*HSI!$G$15/HSI!$B$3,""))</f>
        <v/>
      </c>
      <c r="CZ20" s="161">
        <f>IF(AL20="","",IFERROR(AL20*HSI!$B$15*HSI!$G$15/HSI!$B$3,""))</f>
        <v/>
      </c>
      <c r="DA20" s="161">
        <f>IF(AM20="","",IFERROR(AM20*HSI!$B$15*HSI!$G$15/HSI!$B$3,""))</f>
        <v/>
      </c>
      <c r="DB20" s="161">
        <f>IF(AN20="","",IFERROR(AN20*HSI!$B$15*HSI!$G$15/HSI!$B$3,""))</f>
        <v/>
      </c>
      <c r="DC20" s="161">
        <f>IF(AO20="","",IFERROR(AO20*HSI!$B$15*HSI!$G$15/HSI!$B$3,""))</f>
        <v/>
      </c>
      <c r="DD20" s="161">
        <f>IF(AP20="","",IFERROR(AP20*HSI!$B$15*HSI!$G$15/HSI!$B$3,""))</f>
        <v/>
      </c>
      <c r="DE20" s="161">
        <f>IF(AQ20="","",IFERROR(AQ20*HSI!$B$15*HSI!$G$15/HSI!$B$3,""))</f>
        <v/>
      </c>
      <c r="DF20" s="161">
        <f>IF(AR20="","",IFERROR(AR20*HSI!$B$15*HSI!$G$15/HSI!$B$3,""))</f>
        <v/>
      </c>
      <c r="DG20" s="161">
        <f>IF(AS20="","",IFERROR(AS20*HSI!$B$15*HSI!$G$15/HSI!$B$3,""))</f>
        <v/>
      </c>
      <c r="DH20" s="161">
        <f>IF(AT20="","",IFERROR(AT20*HSI!$B$15*HSI!$G$15/HSI!$B$3,""))</f>
        <v/>
      </c>
      <c r="DI20" s="161">
        <f>IF(AU20="","",IFERROR(AU20*HSI!$B$15*HSI!$G$15/HSI!$B$3,""))</f>
        <v/>
      </c>
      <c r="DJ20" s="161">
        <f>IF(AV20="","",IFERROR(AV20*HSI!$B$15*HSI!$G$15/HSI!$B$3,""))</f>
        <v/>
      </c>
      <c r="DK20" s="161">
        <f>IF(AW20="","",IFERROR(AW20*HSI!$B$15*HSI!$G$15/HSI!$B$3,""))</f>
        <v/>
      </c>
      <c r="DL20" s="161">
        <f>IF(AX20="","",IFERROR(AX20*HSI!$B$15*HSI!$G$15/HSI!$B$3,""))</f>
        <v/>
      </c>
      <c r="DM20" s="161">
        <f>IF(AY20="","",IFERROR(AY20*HSI!$B$15*HSI!$G$15/HSI!$B$3,""))</f>
        <v/>
      </c>
      <c r="DN20" s="161">
        <f>IF(AZ20="","",IFERROR(AZ20*HSI!$B$15*HSI!$G$15/HSI!$B$3,""))</f>
        <v/>
      </c>
      <c r="DO20" s="161">
        <f>IF(BA20="","",IFERROR(BA20*HSI!$B$15*HSI!$G$15/HSI!$B$3,""))</f>
        <v/>
      </c>
      <c r="DP20" s="161">
        <f>IF(BB20="","",IFERROR(BB20*HSI!$B$15*HSI!$G$15/HSI!$B$3,""))</f>
        <v/>
      </c>
      <c r="DQ20" s="161">
        <f>IF(BC20="","",IFERROR(BC20*HSI!$B$15*HSI!$G$15/HSI!$B$3,""))</f>
        <v/>
      </c>
      <c r="DR20" s="161">
        <f>IF(BD20="","",IFERROR(BD20*HSI!$B$15*HSI!$G$15/HSI!$B$3,""))</f>
        <v/>
      </c>
      <c r="DS20" s="161">
        <f>IF(BE20="","",IFERROR(BE20*HSI!$B$15*HSI!$G$15/HSI!$B$3,""))</f>
        <v/>
      </c>
      <c r="DT20" s="161">
        <f>IF(BF20="","",IFERROR(BF20*HSI!$B$15*HSI!$G$15/HSI!$B$3,""))</f>
        <v/>
      </c>
      <c r="DU20" s="161">
        <f>IF(BG20="","",IFERROR(BG20*HSI!$B$15*HSI!$G$15/HSI!$B$3,""))</f>
        <v/>
      </c>
      <c r="DV20" s="161">
        <f>IF(BH20="","",IFERROR(BH20*HSI!$B$15*HSI!$G$15/HSI!$B$3,""))</f>
        <v/>
      </c>
      <c r="DW20" s="161">
        <f>IF(BI20="","",IFERROR(BI20*HSI!$B$15*HSI!$G$15/HSI!$B$3,""))</f>
        <v/>
      </c>
      <c r="DX20" s="161">
        <f>IF(BJ20="","",IFERROR(BJ20*HSI!$B$15*HSI!$G$15/HSI!$B$3,""))</f>
        <v/>
      </c>
      <c r="DY20" s="161">
        <f>IF(BK20="","",IFERROR(BK20*HSI!$B$15*HSI!$G$15/HSI!$B$3,""))</f>
        <v/>
      </c>
      <c r="DZ20" s="161">
        <f>IF(BL20="","",IFERROR(BL20*HSI!$B$15*HSI!$G$15/HSI!$B$3,""))</f>
        <v/>
      </c>
      <c r="EA20" s="161">
        <f>IF(BM20="","",IFERROR(BM20*HSI!$B$15*HSI!$G$15/HSI!$B$3,""))</f>
        <v/>
      </c>
      <c r="EB20" s="161">
        <f>IF(BN20="","",IFERROR(BN20*HSI!$B$15*HSI!$G$15/HSI!$B$3,""))</f>
        <v/>
      </c>
      <c r="EC20" s="161">
        <f>IF(BO20="","",IFERROR(BO20*HSI!$B$15*HSI!$G$15/HSI!$B$3,""))</f>
        <v/>
      </c>
      <c r="EE20" s="121">
        <f>IF(N('Dvd Calendar'!$E$99)=0,"",IF(('Dvd Calendar'!$E$99&gt;=GRID_FROM)*('Dvd Calendar'!$E$99&lt;=GRID_TO)*((('Dvd Calendar'!$E$99&lt;=VAL_DATE)+(COUNTIF('Dvd Calendar'!$E$106:$AR$106,'Dvd Calendar'!$E$99)=0))&gt;0)=0,"",'Dvd Calendar'!$E$99*1000000000+ISNUMBER('Dvd Calendar'!$E$102)*100000000+('Dvd Calendar'!$E$104=SPECIAL_LBL)*10000000+(N('Dvd Calendar'!$E$98)&gt;0)*(N('Dvd Calendar'!$E$98)&lt;=VAL_SERIAL)*1000000+9*1000+1))</f>
        <v/>
      </c>
      <c r="EF20" s="121">
        <f>IF(N('Dvd Calendar'!$F$99)=0,"",IF(('Dvd Calendar'!$F$99&gt;=GRID_FROM)*('Dvd Calendar'!$F$99&lt;=GRID_TO)*((('Dvd Calendar'!$F$99&lt;=VAL_DATE)+(COUNTIF('Dvd Calendar'!$E$106:$AR$106,'Dvd Calendar'!$F$99)=0))&gt;0)=0,"",'Dvd Calendar'!$F$99*1000000000+ISNUMBER('Dvd Calendar'!$F$102)*100000000+('Dvd Calendar'!$F$104=SPECIAL_LBL)*10000000+(N('Dvd Calendar'!$F$98)&gt;0)*(N('Dvd Calendar'!$F$98)&lt;=VAL_SERIAL)*1000000+9*1000+2))</f>
        <v/>
      </c>
      <c r="EG20" s="121">
        <f>IF(N('Dvd Calendar'!$G$99)=0,"",IF(('Dvd Calendar'!$G$99&gt;=GRID_FROM)*('Dvd Calendar'!$G$99&lt;=GRID_TO)*((('Dvd Calendar'!$G$99&lt;=VAL_DATE)+(COUNTIF('Dvd Calendar'!$E$106:$AR$106,'Dvd Calendar'!$G$99)=0))&gt;0)=0,"",'Dvd Calendar'!$G$99*1000000000+ISNUMBER('Dvd Calendar'!$G$102)*100000000+('Dvd Calendar'!$G$104=SPECIAL_LBL)*10000000+(N('Dvd Calendar'!$G$98)&gt;0)*(N('Dvd Calendar'!$G$98)&lt;=VAL_SERIAL)*1000000+9*1000+3))</f>
        <v/>
      </c>
      <c r="EH20" s="121">
        <f>IF(N('Dvd Calendar'!$H$99)=0,"",IF(('Dvd Calendar'!$H$99&gt;=GRID_FROM)*('Dvd Calendar'!$H$99&lt;=GRID_TO)*((('Dvd Calendar'!$H$99&lt;=VAL_DATE)+(COUNTIF('Dvd Calendar'!$E$106:$AR$106,'Dvd Calendar'!$H$99)=0))&gt;0)=0,"",'Dvd Calendar'!$H$99*1000000000+ISNUMBER('Dvd Calendar'!$H$102)*100000000+('Dvd Calendar'!$H$104=SPECIAL_LBL)*10000000+(N('Dvd Calendar'!$H$98)&gt;0)*(N('Dvd Calendar'!$H$98)&lt;=VAL_SERIAL)*1000000+9*1000+4))</f>
        <v/>
      </c>
      <c r="EI20" s="121">
        <f>IF(N('Dvd Calendar'!$I$99)=0,"",IF(('Dvd Calendar'!$I$99&gt;=GRID_FROM)*('Dvd Calendar'!$I$99&lt;=GRID_TO)*((('Dvd Calendar'!$I$99&lt;=VAL_DATE)+(COUNTIF('Dvd Calendar'!$E$106:$AR$106,'Dvd Calendar'!$I$99)=0))&gt;0)=0,"",'Dvd Calendar'!$I$99*1000000000+ISNUMBER('Dvd Calendar'!$I$102)*100000000+('Dvd Calendar'!$I$104=SPECIAL_LBL)*10000000+(N('Dvd Calendar'!$I$98)&gt;0)*(N('Dvd Calendar'!$I$98)&lt;=VAL_SERIAL)*1000000+9*1000+5))</f>
        <v/>
      </c>
      <c r="EJ20" s="121">
        <f>IF(N('Dvd Calendar'!$J$99)=0,"",IF(('Dvd Calendar'!$J$99&gt;=GRID_FROM)*('Dvd Calendar'!$J$99&lt;=GRID_TO)*((('Dvd Calendar'!$J$99&lt;=VAL_DATE)+(COUNTIF('Dvd Calendar'!$E$106:$AR$106,'Dvd Calendar'!$J$99)=0))&gt;0)=0,"",'Dvd Calendar'!$J$99*1000000000+ISNUMBER('Dvd Calendar'!$J$102)*100000000+('Dvd Calendar'!$J$104=SPECIAL_LBL)*10000000+(N('Dvd Calendar'!$J$98)&gt;0)*(N('Dvd Calendar'!$J$98)&lt;=VAL_SERIAL)*1000000+9*1000+6))</f>
        <v/>
      </c>
      <c r="EK20" s="121">
        <f>IF(N('Dvd Calendar'!$K$99)=0,"",IF(('Dvd Calendar'!$K$99&gt;=GRID_FROM)*('Dvd Calendar'!$K$99&lt;=GRID_TO)*((('Dvd Calendar'!$K$99&lt;=VAL_DATE)+(COUNTIF('Dvd Calendar'!$E$106:$AR$106,'Dvd Calendar'!$K$99)=0))&gt;0)=0,"",'Dvd Calendar'!$K$99*1000000000+ISNUMBER('Dvd Calendar'!$K$102)*100000000+('Dvd Calendar'!$K$104=SPECIAL_LBL)*10000000+(N('Dvd Calendar'!$K$98)&gt;0)*(N('Dvd Calendar'!$K$98)&lt;=VAL_SERIAL)*1000000+9*1000+7))</f>
        <v/>
      </c>
      <c r="EL20" s="121">
        <f>IF(N('Dvd Calendar'!$L$99)=0,"",IF(('Dvd Calendar'!$L$99&gt;=GRID_FROM)*('Dvd Calendar'!$L$99&lt;=GRID_TO)*((('Dvd Calendar'!$L$99&lt;=VAL_DATE)+(COUNTIF('Dvd Calendar'!$E$106:$AR$106,'Dvd Calendar'!$L$99)=0))&gt;0)=0,"",'Dvd Calendar'!$L$99*1000000000+ISNUMBER('Dvd Calendar'!$L$102)*100000000+('Dvd Calendar'!$L$104=SPECIAL_LBL)*10000000+(N('Dvd Calendar'!$L$98)&gt;0)*(N('Dvd Calendar'!$L$98)&lt;=VAL_SERIAL)*1000000+9*1000+8))</f>
        <v/>
      </c>
      <c r="EM20" s="121">
        <f>IF(N('Dvd Calendar'!$M$99)=0,"",IF(('Dvd Calendar'!$M$99&gt;=GRID_FROM)*('Dvd Calendar'!$M$99&lt;=GRID_TO)*((('Dvd Calendar'!$M$99&lt;=VAL_DATE)+(COUNTIF('Dvd Calendar'!$E$106:$AR$106,'Dvd Calendar'!$M$99)=0))&gt;0)=0,"",'Dvd Calendar'!$M$99*1000000000+ISNUMBER('Dvd Calendar'!$M$102)*100000000+('Dvd Calendar'!$M$104=SPECIAL_LBL)*10000000+(N('Dvd Calendar'!$M$98)&gt;0)*(N('Dvd Calendar'!$M$98)&lt;=VAL_SERIAL)*1000000+9*1000+9))</f>
        <v/>
      </c>
      <c r="EN20" s="121">
        <f>IF(N('Dvd Calendar'!$N$99)=0,"",IF(('Dvd Calendar'!$N$99&gt;=GRID_FROM)*('Dvd Calendar'!$N$99&lt;=GRID_TO)*((('Dvd Calendar'!$N$99&lt;=VAL_DATE)+(COUNTIF('Dvd Calendar'!$E$106:$AR$106,'Dvd Calendar'!$N$99)=0))&gt;0)=0,"",'Dvd Calendar'!$N$99*1000000000+ISNUMBER('Dvd Calendar'!$N$102)*100000000+('Dvd Calendar'!$N$104=SPECIAL_LBL)*10000000+(N('Dvd Calendar'!$N$98)&gt;0)*(N('Dvd Calendar'!$N$98)&lt;=VAL_SERIAL)*1000000+9*1000+10))</f>
        <v/>
      </c>
      <c r="EO20" s="121">
        <f>IF(N('Dvd Calendar'!$O$99)=0,"",IF(('Dvd Calendar'!$O$99&gt;=GRID_FROM)*('Dvd Calendar'!$O$99&lt;=GRID_TO)*((('Dvd Calendar'!$O$99&lt;=VAL_DATE)+(COUNTIF('Dvd Calendar'!$E$106:$AR$106,'Dvd Calendar'!$O$99)=0))&gt;0)=0,"",'Dvd Calendar'!$O$99*1000000000+ISNUMBER('Dvd Calendar'!$O$102)*100000000+('Dvd Calendar'!$O$104=SPECIAL_LBL)*10000000+(N('Dvd Calendar'!$O$98)&gt;0)*(N('Dvd Calendar'!$O$98)&lt;=VAL_SERIAL)*1000000+9*1000+11))</f>
        <v/>
      </c>
      <c r="EP20" s="121">
        <f>IF(N('Dvd Calendar'!$P$99)=0,"",IF(('Dvd Calendar'!$P$99&gt;=GRID_FROM)*('Dvd Calendar'!$P$99&lt;=GRID_TO)*((('Dvd Calendar'!$P$99&lt;=VAL_DATE)+(COUNTIF('Dvd Calendar'!$E$106:$AR$106,'Dvd Calendar'!$P$99)=0))&gt;0)=0,"",'Dvd Calendar'!$P$99*1000000000+ISNUMBER('Dvd Calendar'!$P$102)*100000000+('Dvd Calendar'!$P$104=SPECIAL_LBL)*10000000+(N('Dvd Calendar'!$P$98)&gt;0)*(N('Dvd Calendar'!$P$98)&lt;=VAL_SERIAL)*1000000+9*1000+12))</f>
        <v/>
      </c>
      <c r="EQ20" s="121">
        <f>IF(N('Dvd Calendar'!$Q$99)=0,"",IF(('Dvd Calendar'!$Q$99&gt;=GRID_FROM)*('Dvd Calendar'!$Q$99&lt;=GRID_TO)*((('Dvd Calendar'!$Q$99&lt;=VAL_DATE)+(COUNTIF('Dvd Calendar'!$E$106:$AR$106,'Dvd Calendar'!$Q$99)=0))&gt;0)=0,"",'Dvd Calendar'!$Q$99*1000000000+ISNUMBER('Dvd Calendar'!$Q$102)*100000000+('Dvd Calendar'!$Q$104=SPECIAL_LBL)*10000000+(N('Dvd Calendar'!$Q$98)&gt;0)*(N('Dvd Calendar'!$Q$98)&lt;=VAL_SERIAL)*1000000+9*1000+13))</f>
        <v/>
      </c>
      <c r="ER20" s="121">
        <f>IF(N('Dvd Calendar'!$R$99)=0,"",IF(('Dvd Calendar'!$R$99&gt;=GRID_FROM)*('Dvd Calendar'!$R$99&lt;=GRID_TO)*((('Dvd Calendar'!$R$99&lt;=VAL_DATE)+(COUNTIF('Dvd Calendar'!$E$106:$AR$106,'Dvd Calendar'!$R$99)=0))&gt;0)=0,"",'Dvd Calendar'!$R$99*1000000000+ISNUMBER('Dvd Calendar'!$R$102)*100000000+('Dvd Calendar'!$R$104=SPECIAL_LBL)*10000000+(N('Dvd Calendar'!$R$98)&gt;0)*(N('Dvd Calendar'!$R$98)&lt;=VAL_SERIAL)*1000000+9*1000+14))</f>
        <v/>
      </c>
      <c r="ES20" s="121">
        <f>IF(N('Dvd Calendar'!$S$99)=0,"",IF(('Dvd Calendar'!$S$99&gt;=GRID_FROM)*('Dvd Calendar'!$S$99&lt;=GRID_TO)*((('Dvd Calendar'!$S$99&lt;=VAL_DATE)+(COUNTIF('Dvd Calendar'!$E$106:$AR$106,'Dvd Calendar'!$S$99)=0))&gt;0)=0,"",'Dvd Calendar'!$S$99*1000000000+ISNUMBER('Dvd Calendar'!$S$102)*100000000+('Dvd Calendar'!$S$104=SPECIAL_LBL)*10000000+(N('Dvd Calendar'!$S$98)&gt;0)*(N('Dvd Calendar'!$S$98)&lt;=VAL_SERIAL)*1000000+9*1000+15))</f>
        <v/>
      </c>
      <c r="ET20" s="121">
        <f>IF(N('Dvd Calendar'!$T$99)=0,"",IF(('Dvd Calendar'!$T$99&gt;=GRID_FROM)*('Dvd Calendar'!$T$99&lt;=GRID_TO)*((('Dvd Calendar'!$T$99&lt;=VAL_DATE)+(COUNTIF('Dvd Calendar'!$E$106:$AR$106,'Dvd Calendar'!$T$99)=0))&gt;0)=0,"",'Dvd Calendar'!$T$99*1000000000+ISNUMBER('Dvd Calendar'!$T$102)*100000000+('Dvd Calendar'!$T$104=SPECIAL_LBL)*10000000+(N('Dvd Calendar'!$T$98)&gt;0)*(N('Dvd Calendar'!$T$98)&lt;=VAL_SERIAL)*1000000+9*1000+16))</f>
        <v/>
      </c>
      <c r="EU20" s="121">
        <f>IF(N('Dvd Calendar'!$U$99)=0,"",IF(('Dvd Calendar'!$U$99&gt;=GRID_FROM)*('Dvd Calendar'!$U$99&lt;=GRID_TO)*((('Dvd Calendar'!$U$99&lt;=VAL_DATE)+(COUNTIF('Dvd Calendar'!$E$106:$AR$106,'Dvd Calendar'!$U$99)=0))&gt;0)=0,"",'Dvd Calendar'!$U$99*1000000000+ISNUMBER('Dvd Calendar'!$U$102)*100000000+('Dvd Calendar'!$U$104=SPECIAL_LBL)*10000000+(N('Dvd Calendar'!$U$98)&gt;0)*(N('Dvd Calendar'!$U$98)&lt;=VAL_SERIAL)*1000000+9*1000+17))</f>
        <v/>
      </c>
      <c r="EV20" s="121">
        <f>IF(N('Dvd Calendar'!$V$99)=0,"",IF(('Dvd Calendar'!$V$99&gt;=GRID_FROM)*('Dvd Calendar'!$V$99&lt;=GRID_TO)*((('Dvd Calendar'!$V$99&lt;=VAL_DATE)+(COUNTIF('Dvd Calendar'!$E$106:$AR$106,'Dvd Calendar'!$V$99)=0))&gt;0)=0,"",'Dvd Calendar'!$V$99*1000000000+ISNUMBER('Dvd Calendar'!$V$102)*100000000+('Dvd Calendar'!$V$104=SPECIAL_LBL)*10000000+(N('Dvd Calendar'!$V$98)&gt;0)*(N('Dvd Calendar'!$V$98)&lt;=VAL_SERIAL)*1000000+9*1000+18))</f>
        <v/>
      </c>
      <c r="EW20" s="121">
        <f>IF(N('Dvd Calendar'!$W$99)=0,"",IF(('Dvd Calendar'!$W$99&gt;=GRID_FROM)*('Dvd Calendar'!$W$99&lt;=GRID_TO)*((('Dvd Calendar'!$W$99&lt;=VAL_DATE)+(COUNTIF('Dvd Calendar'!$E$106:$AR$106,'Dvd Calendar'!$W$99)=0))&gt;0)=0,"",'Dvd Calendar'!$W$99*1000000000+ISNUMBER('Dvd Calendar'!$W$102)*100000000+('Dvd Calendar'!$W$104=SPECIAL_LBL)*10000000+(N('Dvd Calendar'!$W$98)&gt;0)*(N('Dvd Calendar'!$W$98)&lt;=VAL_SERIAL)*1000000+9*1000+19))</f>
        <v/>
      </c>
      <c r="EX20" s="121">
        <f>IF(N('Dvd Calendar'!$X$99)=0,"",IF(('Dvd Calendar'!$X$99&gt;=GRID_FROM)*('Dvd Calendar'!$X$99&lt;=GRID_TO)*((('Dvd Calendar'!$X$99&lt;=VAL_DATE)+(COUNTIF('Dvd Calendar'!$E$106:$AR$106,'Dvd Calendar'!$X$99)=0))&gt;0)=0,"",'Dvd Calendar'!$X$99*1000000000+ISNUMBER('Dvd Calendar'!$X$102)*100000000+('Dvd Calendar'!$X$104=SPECIAL_LBL)*10000000+(N('Dvd Calendar'!$X$98)&gt;0)*(N('Dvd Calendar'!$X$98)&lt;=VAL_SERIAL)*1000000+9*1000+20))</f>
        <v/>
      </c>
      <c r="EY20" s="121">
        <f>IF(N('Dvd Calendar'!$Y$99)=0,"",IF(('Dvd Calendar'!$Y$99&gt;=GRID_FROM)*('Dvd Calendar'!$Y$99&lt;=GRID_TO)*((('Dvd Calendar'!$Y$99&lt;=VAL_DATE)+(COUNTIF('Dvd Calendar'!$E$106:$AR$106,'Dvd Calendar'!$Y$99)=0))&gt;0)=0,"",'Dvd Calendar'!$Y$99*1000000000+ISNUMBER('Dvd Calendar'!$Y$102)*100000000+('Dvd Calendar'!$Y$104=SPECIAL_LBL)*10000000+(N('Dvd Calendar'!$Y$98)&gt;0)*(N('Dvd Calendar'!$Y$98)&lt;=VAL_SERIAL)*1000000+9*1000+21))</f>
        <v/>
      </c>
      <c r="EZ20" s="121">
        <f>IF(N('Dvd Calendar'!$Z$99)=0,"",IF(('Dvd Calendar'!$Z$99&gt;=GRID_FROM)*('Dvd Calendar'!$Z$99&lt;=GRID_TO)*((('Dvd Calendar'!$Z$99&lt;=VAL_DATE)+(COUNTIF('Dvd Calendar'!$E$106:$AR$106,'Dvd Calendar'!$Z$99)=0))&gt;0)=0,"",'Dvd Calendar'!$Z$99*1000000000+ISNUMBER('Dvd Calendar'!$Z$102)*100000000+('Dvd Calendar'!$Z$104=SPECIAL_LBL)*10000000+(N('Dvd Calendar'!$Z$98)&gt;0)*(N('Dvd Calendar'!$Z$98)&lt;=VAL_SERIAL)*1000000+9*1000+22))</f>
        <v/>
      </c>
      <c r="FA20" s="121">
        <f>IF(N('Dvd Calendar'!$AA$99)=0,"",IF(('Dvd Calendar'!$AA$99&gt;=GRID_FROM)*('Dvd Calendar'!$AA$99&lt;=GRID_TO)*((('Dvd Calendar'!$AA$99&lt;=VAL_DATE)+(COUNTIF('Dvd Calendar'!$E$106:$AR$106,'Dvd Calendar'!$AA$99)=0))&gt;0)=0,"",'Dvd Calendar'!$AA$99*1000000000+ISNUMBER('Dvd Calendar'!$AA$102)*100000000+('Dvd Calendar'!$AA$104=SPECIAL_LBL)*10000000+(N('Dvd Calendar'!$AA$98)&gt;0)*(N('Dvd Calendar'!$AA$98)&lt;=VAL_SERIAL)*1000000+9*1000+23))</f>
        <v/>
      </c>
      <c r="FB20" s="121">
        <f>IF(N('Dvd Calendar'!$AB$99)=0,"",IF(('Dvd Calendar'!$AB$99&gt;=GRID_FROM)*('Dvd Calendar'!$AB$99&lt;=GRID_TO)*((('Dvd Calendar'!$AB$99&lt;=VAL_DATE)+(COUNTIF('Dvd Calendar'!$E$106:$AR$106,'Dvd Calendar'!$AB$99)=0))&gt;0)=0,"",'Dvd Calendar'!$AB$99*1000000000+ISNUMBER('Dvd Calendar'!$AB$102)*100000000+('Dvd Calendar'!$AB$104=SPECIAL_LBL)*10000000+(N('Dvd Calendar'!$AB$98)&gt;0)*(N('Dvd Calendar'!$AB$98)&lt;=VAL_SERIAL)*1000000+9*1000+24))</f>
        <v/>
      </c>
      <c r="FC20" s="121">
        <f>IF(N('Dvd Calendar'!$AC$99)=0,"",IF(('Dvd Calendar'!$AC$99&gt;=GRID_FROM)*('Dvd Calendar'!$AC$99&lt;=GRID_TO)*((('Dvd Calendar'!$AC$99&lt;=VAL_DATE)+(COUNTIF('Dvd Calendar'!$E$106:$AR$106,'Dvd Calendar'!$AC$99)=0))&gt;0)=0,"",'Dvd Calendar'!$AC$99*1000000000+ISNUMBER('Dvd Calendar'!$AC$102)*100000000+('Dvd Calendar'!$AC$104=SPECIAL_LBL)*10000000+(N('Dvd Calendar'!$AC$98)&gt;0)*(N('Dvd Calendar'!$AC$98)&lt;=VAL_SERIAL)*1000000+9*1000+25))</f>
        <v/>
      </c>
      <c r="FD20" s="121">
        <f>IF(N('Dvd Calendar'!$AD$99)=0,"",IF(('Dvd Calendar'!$AD$99&gt;=GRID_FROM)*('Dvd Calendar'!$AD$99&lt;=GRID_TO)*((('Dvd Calendar'!$AD$99&lt;=VAL_DATE)+(COUNTIF('Dvd Calendar'!$E$106:$AR$106,'Dvd Calendar'!$AD$99)=0))&gt;0)=0,"",'Dvd Calendar'!$AD$99*1000000000+ISNUMBER('Dvd Calendar'!$AD$102)*100000000+('Dvd Calendar'!$AD$104=SPECIAL_LBL)*10000000+(N('Dvd Calendar'!$AD$98)&gt;0)*(N('Dvd Calendar'!$AD$98)&lt;=VAL_SERIAL)*1000000+9*1000+26))</f>
        <v/>
      </c>
      <c r="FE20" s="121">
        <f>IF(N('Dvd Calendar'!$AE$99)=0,"",IF(('Dvd Calendar'!$AE$99&gt;=GRID_FROM)*('Dvd Calendar'!$AE$99&lt;=GRID_TO)*((('Dvd Calendar'!$AE$99&lt;=VAL_DATE)+(COUNTIF('Dvd Calendar'!$E$106:$AR$106,'Dvd Calendar'!$AE$99)=0))&gt;0)=0,"",'Dvd Calendar'!$AE$99*1000000000+ISNUMBER('Dvd Calendar'!$AE$102)*100000000+('Dvd Calendar'!$AE$104=SPECIAL_LBL)*10000000+(N('Dvd Calendar'!$AE$98)&gt;0)*(N('Dvd Calendar'!$AE$98)&lt;=VAL_SERIAL)*1000000+9*1000+27))</f>
        <v/>
      </c>
      <c r="FF20" s="121">
        <f>IF(N('Dvd Calendar'!$AF$99)=0,"",IF(('Dvd Calendar'!$AF$99&gt;=GRID_FROM)*('Dvd Calendar'!$AF$99&lt;=GRID_TO)*((('Dvd Calendar'!$AF$99&lt;=VAL_DATE)+(COUNTIF('Dvd Calendar'!$E$106:$AR$106,'Dvd Calendar'!$AF$99)=0))&gt;0)=0,"",'Dvd Calendar'!$AF$99*1000000000+ISNUMBER('Dvd Calendar'!$AF$102)*100000000+('Dvd Calendar'!$AF$104=SPECIAL_LBL)*10000000+(N('Dvd Calendar'!$AF$98)&gt;0)*(N('Dvd Calendar'!$AF$98)&lt;=VAL_SERIAL)*1000000+9*1000+28))</f>
        <v/>
      </c>
      <c r="FG20" s="121">
        <f>IF(N('Dvd Calendar'!$AG$99)=0,"",IF(('Dvd Calendar'!$AG$99&gt;=GRID_FROM)*('Dvd Calendar'!$AG$99&lt;=GRID_TO)*((('Dvd Calendar'!$AG$99&lt;=VAL_DATE)+(COUNTIF('Dvd Calendar'!$E$106:$AR$106,'Dvd Calendar'!$AG$99)=0))&gt;0)=0,"",'Dvd Calendar'!$AG$99*1000000000+ISNUMBER('Dvd Calendar'!$AG$102)*100000000+('Dvd Calendar'!$AG$104=SPECIAL_LBL)*10000000+(N('Dvd Calendar'!$AG$98)&gt;0)*(N('Dvd Calendar'!$AG$98)&lt;=VAL_SERIAL)*1000000+9*1000+29))</f>
        <v/>
      </c>
      <c r="FH20" s="121">
        <f>IF(N('Dvd Calendar'!$AH$99)=0,"",IF(('Dvd Calendar'!$AH$99&gt;=GRID_FROM)*('Dvd Calendar'!$AH$99&lt;=GRID_TO)*((('Dvd Calendar'!$AH$99&lt;=VAL_DATE)+(COUNTIF('Dvd Calendar'!$E$106:$AR$106,'Dvd Calendar'!$AH$99)=0))&gt;0)=0,"",'Dvd Calendar'!$AH$99*1000000000+ISNUMBER('Dvd Calendar'!$AH$102)*100000000+('Dvd Calendar'!$AH$104=SPECIAL_LBL)*10000000+(N('Dvd Calendar'!$AH$98)&gt;0)*(N('Dvd Calendar'!$AH$98)&lt;=VAL_SERIAL)*1000000+9*1000+30))</f>
        <v/>
      </c>
      <c r="FI20" s="121">
        <f>IF(N('Dvd Calendar'!$AI$99)=0,"",IF(('Dvd Calendar'!$AI$99&gt;=GRID_FROM)*('Dvd Calendar'!$AI$99&lt;=GRID_TO)*((('Dvd Calendar'!$AI$99&lt;=VAL_DATE)+(COUNTIF('Dvd Calendar'!$E$106:$AR$106,'Dvd Calendar'!$AI$99)=0))&gt;0)=0,"",'Dvd Calendar'!$AI$99*1000000000+ISNUMBER('Dvd Calendar'!$AI$102)*100000000+('Dvd Calendar'!$AI$104=SPECIAL_LBL)*10000000+(N('Dvd Calendar'!$AI$98)&gt;0)*(N('Dvd Calendar'!$AI$98)&lt;=VAL_SERIAL)*1000000+9*1000+31))</f>
        <v/>
      </c>
      <c r="FJ20" s="121">
        <f>IF(N('Dvd Calendar'!$AJ$99)=0,"",IF(('Dvd Calendar'!$AJ$99&gt;=GRID_FROM)*('Dvd Calendar'!$AJ$99&lt;=GRID_TO)*((('Dvd Calendar'!$AJ$99&lt;=VAL_DATE)+(COUNTIF('Dvd Calendar'!$E$106:$AR$106,'Dvd Calendar'!$AJ$99)=0))&gt;0)=0,"",'Dvd Calendar'!$AJ$99*1000000000+ISNUMBER('Dvd Calendar'!$AJ$102)*100000000+('Dvd Calendar'!$AJ$104=SPECIAL_LBL)*10000000+(N('Dvd Calendar'!$AJ$98)&gt;0)*(N('Dvd Calendar'!$AJ$98)&lt;=VAL_SERIAL)*1000000+9*1000+32))</f>
        <v/>
      </c>
      <c r="FK20" s="121">
        <f>IF(N('Dvd Calendar'!$AK$99)=0,"",IF(('Dvd Calendar'!$AK$99&gt;=GRID_FROM)*('Dvd Calendar'!$AK$99&lt;=GRID_TO)*((('Dvd Calendar'!$AK$99&lt;=VAL_DATE)+(COUNTIF('Dvd Calendar'!$E$106:$AR$106,'Dvd Calendar'!$AK$99)=0))&gt;0)=0,"",'Dvd Calendar'!$AK$99*1000000000+ISNUMBER('Dvd Calendar'!$AK$102)*100000000+('Dvd Calendar'!$AK$104=SPECIAL_LBL)*10000000+(N('Dvd Calendar'!$AK$98)&gt;0)*(N('Dvd Calendar'!$AK$98)&lt;=VAL_SERIAL)*1000000+9*1000+33))</f>
        <v/>
      </c>
      <c r="FL20" s="121">
        <f>IF(N('Dvd Calendar'!$AL$99)=0,"",IF(('Dvd Calendar'!$AL$99&gt;=GRID_FROM)*('Dvd Calendar'!$AL$99&lt;=GRID_TO)*((('Dvd Calendar'!$AL$99&lt;=VAL_DATE)+(COUNTIF('Dvd Calendar'!$E$106:$AR$106,'Dvd Calendar'!$AL$99)=0))&gt;0)=0,"",'Dvd Calendar'!$AL$99*1000000000+ISNUMBER('Dvd Calendar'!$AL$102)*100000000+('Dvd Calendar'!$AL$104=SPECIAL_LBL)*10000000+(N('Dvd Calendar'!$AL$98)&gt;0)*(N('Dvd Calendar'!$AL$98)&lt;=VAL_SERIAL)*1000000+9*1000+34))</f>
        <v/>
      </c>
      <c r="FM20" s="121">
        <f>IF(N('Dvd Calendar'!$AM$99)=0,"",IF(('Dvd Calendar'!$AM$99&gt;=GRID_FROM)*('Dvd Calendar'!$AM$99&lt;=GRID_TO)*((('Dvd Calendar'!$AM$99&lt;=VAL_DATE)+(COUNTIF('Dvd Calendar'!$E$106:$AR$106,'Dvd Calendar'!$AM$99)=0))&gt;0)=0,"",'Dvd Calendar'!$AM$99*1000000000+ISNUMBER('Dvd Calendar'!$AM$102)*100000000+('Dvd Calendar'!$AM$104=SPECIAL_LBL)*10000000+(N('Dvd Calendar'!$AM$98)&gt;0)*(N('Dvd Calendar'!$AM$98)&lt;=VAL_SERIAL)*1000000+9*1000+35))</f>
        <v/>
      </c>
      <c r="FN20" s="121">
        <f>IF(N('Dvd Calendar'!$AN$99)=0,"",IF(('Dvd Calendar'!$AN$99&gt;=GRID_FROM)*('Dvd Calendar'!$AN$99&lt;=GRID_TO)*((('Dvd Calendar'!$AN$99&lt;=VAL_DATE)+(COUNTIF('Dvd Calendar'!$E$106:$AR$106,'Dvd Calendar'!$AN$99)=0))&gt;0)=0,"",'Dvd Calendar'!$AN$99*1000000000+ISNUMBER('Dvd Calendar'!$AN$102)*100000000+('Dvd Calendar'!$AN$104=SPECIAL_LBL)*10000000+(N('Dvd Calendar'!$AN$98)&gt;0)*(N('Dvd Calendar'!$AN$98)&lt;=VAL_SERIAL)*1000000+9*1000+36))</f>
        <v/>
      </c>
      <c r="FO20" s="121">
        <f>IF(N('Dvd Calendar'!$AO$99)=0,"",IF(('Dvd Calendar'!$AO$99&gt;=GRID_FROM)*('Dvd Calendar'!$AO$99&lt;=GRID_TO)*((('Dvd Calendar'!$AO$99&lt;=VAL_DATE)+(COUNTIF('Dvd Calendar'!$E$106:$AR$106,'Dvd Calendar'!$AO$99)=0))&gt;0)=0,"",'Dvd Calendar'!$AO$99*1000000000+ISNUMBER('Dvd Calendar'!$AO$102)*100000000+('Dvd Calendar'!$AO$104=SPECIAL_LBL)*10000000+(N('Dvd Calendar'!$AO$98)&gt;0)*(N('Dvd Calendar'!$AO$98)&lt;=VAL_SERIAL)*1000000+9*1000+37))</f>
        <v/>
      </c>
      <c r="FP20" s="121">
        <f>IF(N('Dvd Calendar'!$AP$99)=0,"",IF(('Dvd Calendar'!$AP$99&gt;=GRID_FROM)*('Dvd Calendar'!$AP$99&lt;=GRID_TO)*((('Dvd Calendar'!$AP$99&lt;=VAL_DATE)+(COUNTIF('Dvd Calendar'!$E$106:$AR$106,'Dvd Calendar'!$AP$99)=0))&gt;0)=0,"",'Dvd Calendar'!$AP$99*1000000000+ISNUMBER('Dvd Calendar'!$AP$102)*100000000+('Dvd Calendar'!$AP$104=SPECIAL_LBL)*10000000+(N('Dvd Calendar'!$AP$98)&gt;0)*(N('Dvd Calendar'!$AP$98)&lt;=VAL_SERIAL)*1000000+9*1000+38))</f>
        <v/>
      </c>
      <c r="FQ20" s="121">
        <f>IF(N('Dvd Calendar'!$AQ$99)=0,"",IF(('Dvd Calendar'!$AQ$99&gt;=GRID_FROM)*('Dvd Calendar'!$AQ$99&lt;=GRID_TO)*((('Dvd Calendar'!$AQ$99&lt;=VAL_DATE)+(COUNTIF('Dvd Calendar'!$E$106:$AR$106,'Dvd Calendar'!$AQ$99)=0))&gt;0)=0,"",'Dvd Calendar'!$AQ$99*1000000000+ISNUMBER('Dvd Calendar'!$AQ$102)*100000000+('Dvd Calendar'!$AQ$104=SPECIAL_LBL)*10000000+(N('Dvd Calendar'!$AQ$98)&gt;0)*(N('Dvd Calendar'!$AQ$98)&lt;=VAL_SERIAL)*1000000+9*1000+39))</f>
        <v/>
      </c>
      <c r="FR20" s="121">
        <f>IF(N('Dvd Calendar'!$AR$99)=0,"",IF(('Dvd Calendar'!$AR$99&gt;=GRID_FROM)*('Dvd Calendar'!$AR$99&lt;=GRID_TO)*((('Dvd Calendar'!$AR$99&lt;=VAL_DATE)+(COUNTIF('Dvd Calendar'!$E$106:$AR$106,'Dvd Calendar'!$AR$99)=0))&gt;0)=0,"",'Dvd Calendar'!$AR$99*1000000000+ISNUMBER('Dvd Calendar'!$AR$102)*100000000+('Dvd Calendar'!$AR$104=SPECIAL_LBL)*10000000+(N('Dvd Calendar'!$AR$98)&gt;0)*(N('Dvd Calendar'!$AR$98)&lt;=VAL_SERIAL)*1000000+9*1000+40))</f>
        <v/>
      </c>
      <c r="FS20" s="121">
        <f>IF(N('Dvd Calendar'!$E$106)=0,"",IF(('Dvd Calendar'!$E$106&gt;=GRID_FROM)*('Dvd Calendar'!$E$106&lt;=GRID_TO)*('Dvd Calendar'!$E$106&gt;VAL_DATE)=0,"",'Dvd Calendar'!$E$106*1000000000+ISNUMBER('Dvd Calendar'!$E$107)*100000000+0*10000000+(N('Dvd Calendar'!$E$105)&gt;0)*(N('Dvd Calendar'!$E$105)&lt;=VAL_SERIAL)*1000000+9*1000+41))</f>
        <v/>
      </c>
      <c r="FT20" s="121">
        <f>IF(N('Dvd Calendar'!$F$106)=0,"",IF(('Dvd Calendar'!$F$106&gt;=GRID_FROM)*('Dvd Calendar'!$F$106&lt;=GRID_TO)*('Dvd Calendar'!$F$106&gt;VAL_DATE)=0,"",'Dvd Calendar'!$F$106*1000000000+ISNUMBER('Dvd Calendar'!$F$107)*100000000+0*10000000+(N('Dvd Calendar'!$F$105)&gt;0)*(N('Dvd Calendar'!$F$105)&lt;=VAL_SERIAL)*1000000+9*1000+42))</f>
        <v/>
      </c>
      <c r="FU20" s="121">
        <f>IF(N('Dvd Calendar'!$G$106)=0,"",IF(('Dvd Calendar'!$G$106&gt;=GRID_FROM)*('Dvd Calendar'!$G$106&lt;=GRID_TO)*('Dvd Calendar'!$G$106&gt;VAL_DATE)=0,"",'Dvd Calendar'!$G$106*1000000000+ISNUMBER('Dvd Calendar'!$G$107)*100000000+0*10000000+(N('Dvd Calendar'!$G$105)&gt;0)*(N('Dvd Calendar'!$G$105)&lt;=VAL_SERIAL)*1000000+9*1000+43))</f>
        <v/>
      </c>
      <c r="FV20" s="121">
        <f>IF(N('Dvd Calendar'!$H$106)=0,"",IF(('Dvd Calendar'!$H$106&gt;=GRID_FROM)*('Dvd Calendar'!$H$106&lt;=GRID_TO)*('Dvd Calendar'!$H$106&gt;VAL_DATE)=0,"",'Dvd Calendar'!$H$106*1000000000+ISNUMBER('Dvd Calendar'!$H$107)*100000000+0*10000000+(N('Dvd Calendar'!$H$105)&gt;0)*(N('Dvd Calendar'!$H$105)&lt;=VAL_SERIAL)*1000000+9*1000+44))</f>
        <v/>
      </c>
      <c r="FW20" s="121">
        <f>IF(N('Dvd Calendar'!$I$106)=0,"",IF(('Dvd Calendar'!$I$106&gt;=GRID_FROM)*('Dvd Calendar'!$I$106&lt;=GRID_TO)*('Dvd Calendar'!$I$106&gt;VAL_DATE)=0,"",'Dvd Calendar'!$I$106*1000000000+ISNUMBER('Dvd Calendar'!$I$107)*100000000+0*10000000+(N('Dvd Calendar'!$I$105)&gt;0)*(N('Dvd Calendar'!$I$105)&lt;=VAL_SERIAL)*1000000+9*1000+45))</f>
        <v/>
      </c>
      <c r="FX20" s="121">
        <f>IF(N('Dvd Calendar'!$J$106)=0,"",IF(('Dvd Calendar'!$J$106&gt;=GRID_FROM)*('Dvd Calendar'!$J$106&lt;=GRID_TO)*('Dvd Calendar'!$J$106&gt;VAL_DATE)=0,"",'Dvd Calendar'!$J$106*1000000000+ISNUMBER('Dvd Calendar'!$J$107)*100000000+0*10000000+(N('Dvd Calendar'!$J$105)&gt;0)*(N('Dvd Calendar'!$J$105)&lt;=VAL_SERIAL)*1000000+9*1000+46))</f>
        <v/>
      </c>
      <c r="FY20" s="121">
        <f>IF(N('Dvd Calendar'!$K$106)=0,"",IF(('Dvd Calendar'!$K$106&gt;=GRID_FROM)*('Dvd Calendar'!$K$106&lt;=GRID_TO)*('Dvd Calendar'!$K$106&gt;VAL_DATE)=0,"",'Dvd Calendar'!$K$106*1000000000+ISNUMBER('Dvd Calendar'!$K$107)*100000000+0*10000000+(N('Dvd Calendar'!$K$105)&gt;0)*(N('Dvd Calendar'!$K$105)&lt;=VAL_SERIAL)*1000000+9*1000+47))</f>
        <v/>
      </c>
      <c r="FZ20" s="121">
        <f>IF(N('Dvd Calendar'!$L$106)=0,"",IF(('Dvd Calendar'!$L$106&gt;=GRID_FROM)*('Dvd Calendar'!$L$106&lt;=GRID_TO)*('Dvd Calendar'!$L$106&gt;VAL_DATE)=0,"",'Dvd Calendar'!$L$106*1000000000+ISNUMBER('Dvd Calendar'!$L$107)*100000000+0*10000000+(N('Dvd Calendar'!$L$105)&gt;0)*(N('Dvd Calendar'!$L$105)&lt;=VAL_SERIAL)*1000000+9*1000+48))</f>
        <v/>
      </c>
      <c r="GA20" s="121">
        <f>IF(N('Dvd Calendar'!$M$106)=0,"",IF(('Dvd Calendar'!$M$106&gt;=GRID_FROM)*('Dvd Calendar'!$M$106&lt;=GRID_TO)*('Dvd Calendar'!$M$106&gt;VAL_DATE)=0,"",'Dvd Calendar'!$M$106*1000000000+ISNUMBER('Dvd Calendar'!$M$107)*100000000+0*10000000+(N('Dvd Calendar'!$M$105)&gt;0)*(N('Dvd Calendar'!$M$105)&lt;=VAL_SERIAL)*1000000+9*1000+49))</f>
        <v/>
      </c>
      <c r="GB20" s="121">
        <f>IF(N('Dvd Calendar'!$N$106)=0,"",IF(('Dvd Calendar'!$N$106&gt;=GRID_FROM)*('Dvd Calendar'!$N$106&lt;=GRID_TO)*('Dvd Calendar'!$N$106&gt;VAL_DATE)=0,"",'Dvd Calendar'!$N$106*1000000000+ISNUMBER('Dvd Calendar'!$N$107)*100000000+0*10000000+(N('Dvd Calendar'!$N$105)&gt;0)*(N('Dvd Calendar'!$N$105)&lt;=VAL_SERIAL)*1000000+9*1000+50))</f>
        <v/>
      </c>
      <c r="GC20" s="121">
        <f>IF(N('Dvd Calendar'!$O$106)=0,"",IF(('Dvd Calendar'!$O$106&gt;=GRID_FROM)*('Dvd Calendar'!$O$106&lt;=GRID_TO)*('Dvd Calendar'!$O$106&gt;VAL_DATE)=0,"",'Dvd Calendar'!$O$106*1000000000+ISNUMBER('Dvd Calendar'!$O$107)*100000000+0*10000000+(N('Dvd Calendar'!$O$105)&gt;0)*(N('Dvd Calendar'!$O$105)&lt;=VAL_SERIAL)*1000000+9*1000+51))</f>
        <v/>
      </c>
      <c r="GD20" s="121">
        <f>IF(N('Dvd Calendar'!$P$106)=0,"",IF(('Dvd Calendar'!$P$106&gt;=GRID_FROM)*('Dvd Calendar'!$P$106&lt;=GRID_TO)*('Dvd Calendar'!$P$106&gt;VAL_DATE)=0,"",'Dvd Calendar'!$P$106*1000000000+ISNUMBER('Dvd Calendar'!$P$107)*100000000+0*10000000+(N('Dvd Calendar'!$P$105)&gt;0)*(N('Dvd Calendar'!$P$105)&lt;=VAL_SERIAL)*1000000+9*1000+52))</f>
        <v/>
      </c>
      <c r="GE20" s="121">
        <f>IF(N('Dvd Calendar'!$Q$106)=0,"",IF(('Dvd Calendar'!$Q$106&gt;=GRID_FROM)*('Dvd Calendar'!$Q$106&lt;=GRID_TO)*('Dvd Calendar'!$Q$106&gt;VAL_DATE)=0,"",'Dvd Calendar'!$Q$106*1000000000+ISNUMBER('Dvd Calendar'!$Q$107)*100000000+0*10000000+(N('Dvd Calendar'!$Q$105)&gt;0)*(N('Dvd Calendar'!$Q$105)&lt;=VAL_SERIAL)*1000000+9*1000+53))</f>
        <v/>
      </c>
      <c r="GF20" s="121">
        <f>IF(N('Dvd Calendar'!$R$106)=0,"",IF(('Dvd Calendar'!$R$106&gt;=GRID_FROM)*('Dvd Calendar'!$R$106&lt;=GRID_TO)*('Dvd Calendar'!$R$106&gt;VAL_DATE)=0,"",'Dvd Calendar'!$R$106*1000000000+ISNUMBER('Dvd Calendar'!$R$107)*100000000+0*10000000+(N('Dvd Calendar'!$R$105)&gt;0)*(N('Dvd Calendar'!$R$105)&lt;=VAL_SERIAL)*1000000+9*1000+54))</f>
        <v/>
      </c>
      <c r="GG20" s="121">
        <f>IF(N('Dvd Calendar'!$S$106)=0,"",IF(('Dvd Calendar'!$S$106&gt;=GRID_FROM)*('Dvd Calendar'!$S$106&lt;=GRID_TO)*('Dvd Calendar'!$S$106&gt;VAL_DATE)=0,"",'Dvd Calendar'!$S$106*1000000000+ISNUMBER('Dvd Calendar'!$S$107)*100000000+0*10000000+(N('Dvd Calendar'!$S$105)&gt;0)*(N('Dvd Calendar'!$S$105)&lt;=VAL_SERIAL)*1000000+9*1000+55))</f>
        <v/>
      </c>
      <c r="GH20" s="121">
        <f>IF(N('Dvd Calendar'!$T$106)=0,"",IF(('Dvd Calendar'!$T$106&gt;=GRID_FROM)*('Dvd Calendar'!$T$106&lt;=GRID_TO)*('Dvd Calendar'!$T$106&gt;VAL_DATE)=0,"",'Dvd Calendar'!$T$106*1000000000+ISNUMBER('Dvd Calendar'!$T$107)*100000000+0*10000000+(N('Dvd Calendar'!$T$105)&gt;0)*(N('Dvd Calendar'!$T$105)&lt;=VAL_SERIAL)*1000000+9*1000+56))</f>
        <v/>
      </c>
      <c r="GI20" s="121">
        <f>IF(N('Dvd Calendar'!$U$106)=0,"",IF(('Dvd Calendar'!$U$106&gt;=GRID_FROM)*('Dvd Calendar'!$U$106&lt;=GRID_TO)*('Dvd Calendar'!$U$106&gt;VAL_DATE)=0,"",'Dvd Calendar'!$U$106*1000000000+ISNUMBER('Dvd Calendar'!$U$107)*100000000+0*10000000+(N('Dvd Calendar'!$U$105)&gt;0)*(N('Dvd Calendar'!$U$105)&lt;=VAL_SERIAL)*1000000+9*1000+57))</f>
        <v/>
      </c>
      <c r="GJ20" s="121">
        <f>IF(N('Dvd Calendar'!$V$106)=0,"",IF(('Dvd Calendar'!$V$106&gt;=GRID_FROM)*('Dvd Calendar'!$V$106&lt;=GRID_TO)*('Dvd Calendar'!$V$106&gt;VAL_DATE)=0,"",'Dvd Calendar'!$V$106*1000000000+ISNUMBER('Dvd Calendar'!$V$107)*100000000+0*10000000+(N('Dvd Calendar'!$V$105)&gt;0)*(N('Dvd Calendar'!$V$105)&lt;=VAL_SERIAL)*1000000+9*1000+58))</f>
        <v/>
      </c>
      <c r="GK20" s="121">
        <f>IF(N('Dvd Calendar'!$W$106)=0,"",IF(('Dvd Calendar'!$W$106&gt;=GRID_FROM)*('Dvd Calendar'!$W$106&lt;=GRID_TO)*('Dvd Calendar'!$W$106&gt;VAL_DATE)=0,"",'Dvd Calendar'!$W$106*1000000000+ISNUMBER('Dvd Calendar'!$W$107)*100000000+0*10000000+(N('Dvd Calendar'!$W$105)&gt;0)*(N('Dvd Calendar'!$W$105)&lt;=VAL_SERIAL)*1000000+9*1000+59))</f>
        <v/>
      </c>
      <c r="GL20" s="121">
        <f>IF(N('Dvd Calendar'!$X$106)=0,"",IF(('Dvd Calendar'!$X$106&gt;=GRID_FROM)*('Dvd Calendar'!$X$106&lt;=GRID_TO)*('Dvd Calendar'!$X$106&gt;VAL_DATE)=0,"",'Dvd Calendar'!$X$106*1000000000+ISNUMBER('Dvd Calendar'!$X$107)*100000000+0*10000000+(N('Dvd Calendar'!$X$105)&gt;0)*(N('Dvd Calendar'!$X$105)&lt;=VAL_SERIAL)*1000000+9*1000+60))</f>
        <v/>
      </c>
      <c r="GM20" s="121">
        <f>IF(N('Dvd Calendar'!$Y$106)=0,"",IF(('Dvd Calendar'!$Y$106&gt;=GRID_FROM)*('Dvd Calendar'!$Y$106&lt;=GRID_TO)*('Dvd Calendar'!$Y$106&gt;VAL_DATE)=0,"",'Dvd Calendar'!$Y$106*1000000000+ISNUMBER('Dvd Calendar'!$Y$107)*100000000+0*10000000+(N('Dvd Calendar'!$Y$105)&gt;0)*(N('Dvd Calendar'!$Y$105)&lt;=VAL_SERIAL)*1000000+9*1000+61))</f>
        <v/>
      </c>
      <c r="GN20" s="121">
        <f>IF(N('Dvd Calendar'!$Z$106)=0,"",IF(('Dvd Calendar'!$Z$106&gt;=GRID_FROM)*('Dvd Calendar'!$Z$106&lt;=GRID_TO)*('Dvd Calendar'!$Z$106&gt;VAL_DATE)=0,"",'Dvd Calendar'!$Z$106*1000000000+ISNUMBER('Dvd Calendar'!$Z$107)*100000000+0*10000000+(N('Dvd Calendar'!$Z$105)&gt;0)*(N('Dvd Calendar'!$Z$105)&lt;=VAL_SERIAL)*1000000+9*1000+62))</f>
        <v/>
      </c>
      <c r="GO20" s="121">
        <f>IF(N('Dvd Calendar'!$AA$106)=0,"",IF(('Dvd Calendar'!$AA$106&gt;=GRID_FROM)*('Dvd Calendar'!$AA$106&lt;=GRID_TO)*('Dvd Calendar'!$AA$106&gt;VAL_DATE)=0,"",'Dvd Calendar'!$AA$106*1000000000+ISNUMBER('Dvd Calendar'!$AA$107)*100000000+0*10000000+(N('Dvd Calendar'!$AA$105)&gt;0)*(N('Dvd Calendar'!$AA$105)&lt;=VAL_SERIAL)*1000000+9*1000+63))</f>
        <v/>
      </c>
      <c r="GP20" s="121">
        <f>IF(N('Dvd Calendar'!$AB$106)=0,"",IF(('Dvd Calendar'!$AB$106&gt;=GRID_FROM)*('Dvd Calendar'!$AB$106&lt;=GRID_TO)*('Dvd Calendar'!$AB$106&gt;VAL_DATE)=0,"",'Dvd Calendar'!$AB$106*1000000000+ISNUMBER('Dvd Calendar'!$AB$107)*100000000+0*10000000+(N('Dvd Calendar'!$AB$105)&gt;0)*(N('Dvd Calendar'!$AB$105)&lt;=VAL_SERIAL)*1000000+9*1000+64))</f>
        <v/>
      </c>
      <c r="GQ20" s="121">
        <f>IF(N('Dvd Calendar'!$AC$106)=0,"",IF(('Dvd Calendar'!$AC$106&gt;=GRID_FROM)*('Dvd Calendar'!$AC$106&lt;=GRID_TO)*('Dvd Calendar'!$AC$106&gt;VAL_DATE)=0,"",'Dvd Calendar'!$AC$106*1000000000+ISNUMBER('Dvd Calendar'!$AC$107)*100000000+0*10000000+(N('Dvd Calendar'!$AC$105)&gt;0)*(N('Dvd Calendar'!$AC$105)&lt;=VAL_SERIAL)*1000000+9*1000+65))</f>
        <v/>
      </c>
    </row>
    <row r="21">
      <c r="B21" s="2">
        <f>IF(HSI!$C$16="","",HSI!$C$16)</f>
        <v/>
      </c>
      <c r="C21" s="161">
        <f>IF(EE21="","",IF(ISNUMBER('Dvd Calendar'!$E$113)=FALSE,"",IF((('Dvd Calendar'!$E$115=TYPE1)*(TYPE1&lt;&gt;"")+('Dvd Calendar'!$E$115=TYPE2)*(TYPE2&lt;&gt;"")+('Dvd Calendar'!$E$115=TYPE3)*(TYPE3&lt;&gt;"")+('Dvd Calendar'!$E$115=TYPE4)*(TYPE4&lt;&gt;"")+('Dvd Calendar'!$E$115=SPECIAL_LBL)*(INC_SPECIALS="Y"))=0,"",'Dvd Calendar'!$E$113)))</f>
        <v/>
      </c>
      <c r="D21" s="161">
        <f>IF(EF21="","",IF(ISNUMBER('Dvd Calendar'!$F$113)=FALSE,"",IF((('Dvd Calendar'!$F$115=TYPE1)*(TYPE1&lt;&gt;"")+('Dvd Calendar'!$F$115=TYPE2)*(TYPE2&lt;&gt;"")+('Dvd Calendar'!$F$115=TYPE3)*(TYPE3&lt;&gt;"")+('Dvd Calendar'!$F$115=TYPE4)*(TYPE4&lt;&gt;"")+('Dvd Calendar'!$F$115=SPECIAL_LBL)*(INC_SPECIALS="Y"))=0,"",'Dvd Calendar'!$F$113)))</f>
        <v/>
      </c>
      <c r="E21" s="161">
        <f>IF(EG21="","",IF(ISNUMBER('Dvd Calendar'!$G$113)=FALSE,"",IF((('Dvd Calendar'!$G$115=TYPE1)*(TYPE1&lt;&gt;"")+('Dvd Calendar'!$G$115=TYPE2)*(TYPE2&lt;&gt;"")+('Dvd Calendar'!$G$115=TYPE3)*(TYPE3&lt;&gt;"")+('Dvd Calendar'!$G$115=TYPE4)*(TYPE4&lt;&gt;"")+('Dvd Calendar'!$G$115=SPECIAL_LBL)*(INC_SPECIALS="Y"))=0,"",'Dvd Calendar'!$G$113)))</f>
        <v/>
      </c>
      <c r="F21" s="161">
        <f>IF(EH21="","",IF(ISNUMBER('Dvd Calendar'!$H$113)=FALSE,"",IF((('Dvd Calendar'!$H$115=TYPE1)*(TYPE1&lt;&gt;"")+('Dvd Calendar'!$H$115=TYPE2)*(TYPE2&lt;&gt;"")+('Dvd Calendar'!$H$115=TYPE3)*(TYPE3&lt;&gt;"")+('Dvd Calendar'!$H$115=TYPE4)*(TYPE4&lt;&gt;"")+('Dvd Calendar'!$H$115=SPECIAL_LBL)*(INC_SPECIALS="Y"))=0,"",'Dvd Calendar'!$H$113)))</f>
        <v/>
      </c>
      <c r="G21" s="161">
        <f>IF(EI21="","",IF(ISNUMBER('Dvd Calendar'!$I$113)=FALSE,"",IF((('Dvd Calendar'!$I$115=TYPE1)*(TYPE1&lt;&gt;"")+('Dvd Calendar'!$I$115=TYPE2)*(TYPE2&lt;&gt;"")+('Dvd Calendar'!$I$115=TYPE3)*(TYPE3&lt;&gt;"")+('Dvd Calendar'!$I$115=TYPE4)*(TYPE4&lt;&gt;"")+('Dvd Calendar'!$I$115=SPECIAL_LBL)*(INC_SPECIALS="Y"))=0,"",'Dvd Calendar'!$I$113)))</f>
        <v/>
      </c>
      <c r="H21" s="161">
        <f>IF(EJ21="","",IF(ISNUMBER('Dvd Calendar'!$J$113)=FALSE,"",IF((('Dvd Calendar'!$J$115=TYPE1)*(TYPE1&lt;&gt;"")+('Dvd Calendar'!$J$115=TYPE2)*(TYPE2&lt;&gt;"")+('Dvd Calendar'!$J$115=TYPE3)*(TYPE3&lt;&gt;"")+('Dvd Calendar'!$J$115=TYPE4)*(TYPE4&lt;&gt;"")+('Dvd Calendar'!$J$115=SPECIAL_LBL)*(INC_SPECIALS="Y"))=0,"",'Dvd Calendar'!$J$113)))</f>
        <v/>
      </c>
      <c r="I21" s="161">
        <f>IF(EK21="","",IF(ISNUMBER('Dvd Calendar'!$K$113)=FALSE,"",IF((('Dvd Calendar'!$K$115=TYPE1)*(TYPE1&lt;&gt;"")+('Dvd Calendar'!$K$115=TYPE2)*(TYPE2&lt;&gt;"")+('Dvd Calendar'!$K$115=TYPE3)*(TYPE3&lt;&gt;"")+('Dvd Calendar'!$K$115=TYPE4)*(TYPE4&lt;&gt;"")+('Dvd Calendar'!$K$115=SPECIAL_LBL)*(INC_SPECIALS="Y"))=0,"",'Dvd Calendar'!$K$113)))</f>
        <v/>
      </c>
      <c r="J21" s="161">
        <f>IF(EL21="","",IF(ISNUMBER('Dvd Calendar'!$L$113)=FALSE,"",IF((('Dvd Calendar'!$L$115=TYPE1)*(TYPE1&lt;&gt;"")+('Dvd Calendar'!$L$115=TYPE2)*(TYPE2&lt;&gt;"")+('Dvd Calendar'!$L$115=TYPE3)*(TYPE3&lt;&gt;"")+('Dvd Calendar'!$L$115=TYPE4)*(TYPE4&lt;&gt;"")+('Dvd Calendar'!$L$115=SPECIAL_LBL)*(INC_SPECIALS="Y"))=0,"",'Dvd Calendar'!$L$113)))</f>
        <v/>
      </c>
      <c r="K21" s="161">
        <f>IF(EM21="","",IF(ISNUMBER('Dvd Calendar'!$M$113)=FALSE,"",IF((('Dvd Calendar'!$M$115=TYPE1)*(TYPE1&lt;&gt;"")+('Dvd Calendar'!$M$115=TYPE2)*(TYPE2&lt;&gt;"")+('Dvd Calendar'!$M$115=TYPE3)*(TYPE3&lt;&gt;"")+('Dvd Calendar'!$M$115=TYPE4)*(TYPE4&lt;&gt;"")+('Dvd Calendar'!$M$115=SPECIAL_LBL)*(INC_SPECIALS="Y"))=0,"",'Dvd Calendar'!$M$113)))</f>
        <v/>
      </c>
      <c r="L21" s="161">
        <f>IF(EN21="","",IF(ISNUMBER('Dvd Calendar'!$N$113)=FALSE,"",IF((('Dvd Calendar'!$N$115=TYPE1)*(TYPE1&lt;&gt;"")+('Dvd Calendar'!$N$115=TYPE2)*(TYPE2&lt;&gt;"")+('Dvd Calendar'!$N$115=TYPE3)*(TYPE3&lt;&gt;"")+('Dvd Calendar'!$N$115=TYPE4)*(TYPE4&lt;&gt;"")+('Dvd Calendar'!$N$115=SPECIAL_LBL)*(INC_SPECIALS="Y"))=0,"",'Dvd Calendar'!$N$113)))</f>
        <v/>
      </c>
      <c r="M21" s="161">
        <f>IF(EO21="","",IF(ISNUMBER('Dvd Calendar'!$O$113)=FALSE,"",IF((('Dvd Calendar'!$O$115=TYPE1)*(TYPE1&lt;&gt;"")+('Dvd Calendar'!$O$115=TYPE2)*(TYPE2&lt;&gt;"")+('Dvd Calendar'!$O$115=TYPE3)*(TYPE3&lt;&gt;"")+('Dvd Calendar'!$O$115=TYPE4)*(TYPE4&lt;&gt;"")+('Dvd Calendar'!$O$115=SPECIAL_LBL)*(INC_SPECIALS="Y"))=0,"",'Dvd Calendar'!$O$113)))</f>
        <v/>
      </c>
      <c r="N21" s="161">
        <f>IF(EP21="","",IF(ISNUMBER('Dvd Calendar'!$P$113)=FALSE,"",IF((('Dvd Calendar'!$P$115=TYPE1)*(TYPE1&lt;&gt;"")+('Dvd Calendar'!$P$115=TYPE2)*(TYPE2&lt;&gt;"")+('Dvd Calendar'!$P$115=TYPE3)*(TYPE3&lt;&gt;"")+('Dvd Calendar'!$P$115=TYPE4)*(TYPE4&lt;&gt;"")+('Dvd Calendar'!$P$115=SPECIAL_LBL)*(INC_SPECIALS="Y"))=0,"",'Dvd Calendar'!$P$113)))</f>
        <v/>
      </c>
      <c r="O21" s="161">
        <f>IF(EQ21="","",IF(ISNUMBER('Dvd Calendar'!$Q$113)=FALSE,"",IF((('Dvd Calendar'!$Q$115=TYPE1)*(TYPE1&lt;&gt;"")+('Dvd Calendar'!$Q$115=TYPE2)*(TYPE2&lt;&gt;"")+('Dvd Calendar'!$Q$115=TYPE3)*(TYPE3&lt;&gt;"")+('Dvd Calendar'!$Q$115=TYPE4)*(TYPE4&lt;&gt;"")+('Dvd Calendar'!$Q$115=SPECIAL_LBL)*(INC_SPECIALS="Y"))=0,"",'Dvd Calendar'!$Q$113)))</f>
        <v/>
      </c>
      <c r="P21" s="161">
        <f>IF(ER21="","",IF(ISNUMBER('Dvd Calendar'!$R$113)=FALSE,"",IF((('Dvd Calendar'!$R$115=TYPE1)*(TYPE1&lt;&gt;"")+('Dvd Calendar'!$R$115=TYPE2)*(TYPE2&lt;&gt;"")+('Dvd Calendar'!$R$115=TYPE3)*(TYPE3&lt;&gt;"")+('Dvd Calendar'!$R$115=TYPE4)*(TYPE4&lt;&gt;"")+('Dvd Calendar'!$R$115=SPECIAL_LBL)*(INC_SPECIALS="Y"))=0,"",'Dvd Calendar'!$R$113)))</f>
        <v/>
      </c>
      <c r="Q21" s="161">
        <f>IF(ES21="","",IF(ISNUMBER('Dvd Calendar'!$S$113)=FALSE,"",IF((('Dvd Calendar'!$S$115=TYPE1)*(TYPE1&lt;&gt;"")+('Dvd Calendar'!$S$115=TYPE2)*(TYPE2&lt;&gt;"")+('Dvd Calendar'!$S$115=TYPE3)*(TYPE3&lt;&gt;"")+('Dvd Calendar'!$S$115=TYPE4)*(TYPE4&lt;&gt;"")+('Dvd Calendar'!$S$115=SPECIAL_LBL)*(INC_SPECIALS="Y"))=0,"",'Dvd Calendar'!$S$113)))</f>
        <v/>
      </c>
      <c r="R21" s="161">
        <f>IF(ET21="","",IF(ISNUMBER('Dvd Calendar'!$T$113)=FALSE,"",IF((('Dvd Calendar'!$T$115=TYPE1)*(TYPE1&lt;&gt;"")+('Dvd Calendar'!$T$115=TYPE2)*(TYPE2&lt;&gt;"")+('Dvd Calendar'!$T$115=TYPE3)*(TYPE3&lt;&gt;"")+('Dvd Calendar'!$T$115=TYPE4)*(TYPE4&lt;&gt;"")+('Dvd Calendar'!$T$115=SPECIAL_LBL)*(INC_SPECIALS="Y"))=0,"",'Dvd Calendar'!$T$113)))</f>
        <v/>
      </c>
      <c r="S21" s="161">
        <f>IF(EU21="","",IF(ISNUMBER('Dvd Calendar'!$U$113)=FALSE,"",IF((('Dvd Calendar'!$U$115=TYPE1)*(TYPE1&lt;&gt;"")+('Dvd Calendar'!$U$115=TYPE2)*(TYPE2&lt;&gt;"")+('Dvd Calendar'!$U$115=TYPE3)*(TYPE3&lt;&gt;"")+('Dvd Calendar'!$U$115=TYPE4)*(TYPE4&lt;&gt;"")+('Dvd Calendar'!$U$115=SPECIAL_LBL)*(INC_SPECIALS="Y"))=0,"",'Dvd Calendar'!$U$113)))</f>
        <v/>
      </c>
      <c r="T21" s="161">
        <f>IF(EV21="","",IF(ISNUMBER('Dvd Calendar'!$V$113)=FALSE,"",IF((('Dvd Calendar'!$V$115=TYPE1)*(TYPE1&lt;&gt;"")+('Dvd Calendar'!$V$115=TYPE2)*(TYPE2&lt;&gt;"")+('Dvd Calendar'!$V$115=TYPE3)*(TYPE3&lt;&gt;"")+('Dvd Calendar'!$V$115=TYPE4)*(TYPE4&lt;&gt;"")+('Dvd Calendar'!$V$115=SPECIAL_LBL)*(INC_SPECIALS="Y"))=0,"",'Dvd Calendar'!$V$113)))</f>
        <v/>
      </c>
      <c r="U21" s="161">
        <f>IF(EW21="","",IF(ISNUMBER('Dvd Calendar'!$W$113)=FALSE,"",IF((('Dvd Calendar'!$W$115=TYPE1)*(TYPE1&lt;&gt;"")+('Dvd Calendar'!$W$115=TYPE2)*(TYPE2&lt;&gt;"")+('Dvd Calendar'!$W$115=TYPE3)*(TYPE3&lt;&gt;"")+('Dvd Calendar'!$W$115=TYPE4)*(TYPE4&lt;&gt;"")+('Dvd Calendar'!$W$115=SPECIAL_LBL)*(INC_SPECIALS="Y"))=0,"",'Dvd Calendar'!$W$113)))</f>
        <v/>
      </c>
      <c r="V21" s="161">
        <f>IF(EX21="","",IF(ISNUMBER('Dvd Calendar'!$X$113)=FALSE,"",IF((('Dvd Calendar'!$X$115=TYPE1)*(TYPE1&lt;&gt;"")+('Dvd Calendar'!$X$115=TYPE2)*(TYPE2&lt;&gt;"")+('Dvd Calendar'!$X$115=TYPE3)*(TYPE3&lt;&gt;"")+('Dvd Calendar'!$X$115=TYPE4)*(TYPE4&lt;&gt;"")+('Dvd Calendar'!$X$115=SPECIAL_LBL)*(INC_SPECIALS="Y"))=0,"",'Dvd Calendar'!$X$113)))</f>
        <v/>
      </c>
      <c r="W21" s="161">
        <f>IF(EY21="","",IF(ISNUMBER('Dvd Calendar'!$Y$113)=FALSE,"",IF((('Dvd Calendar'!$Y$115=TYPE1)*(TYPE1&lt;&gt;"")+('Dvd Calendar'!$Y$115=TYPE2)*(TYPE2&lt;&gt;"")+('Dvd Calendar'!$Y$115=TYPE3)*(TYPE3&lt;&gt;"")+('Dvd Calendar'!$Y$115=TYPE4)*(TYPE4&lt;&gt;"")+('Dvd Calendar'!$Y$115=SPECIAL_LBL)*(INC_SPECIALS="Y"))=0,"",'Dvd Calendar'!$Y$113)))</f>
        <v/>
      </c>
      <c r="X21" s="161">
        <f>IF(EZ21="","",IF(ISNUMBER('Dvd Calendar'!$Z$113)=FALSE,"",IF((('Dvd Calendar'!$Z$115=TYPE1)*(TYPE1&lt;&gt;"")+('Dvd Calendar'!$Z$115=TYPE2)*(TYPE2&lt;&gt;"")+('Dvd Calendar'!$Z$115=TYPE3)*(TYPE3&lt;&gt;"")+('Dvd Calendar'!$Z$115=TYPE4)*(TYPE4&lt;&gt;"")+('Dvd Calendar'!$Z$115=SPECIAL_LBL)*(INC_SPECIALS="Y"))=0,"",'Dvd Calendar'!$Z$113)))</f>
        <v/>
      </c>
      <c r="Y21" s="161">
        <f>IF(FA21="","",IF(ISNUMBER('Dvd Calendar'!$AA$113)=FALSE,"",IF((('Dvd Calendar'!$AA$115=TYPE1)*(TYPE1&lt;&gt;"")+('Dvd Calendar'!$AA$115=TYPE2)*(TYPE2&lt;&gt;"")+('Dvd Calendar'!$AA$115=TYPE3)*(TYPE3&lt;&gt;"")+('Dvd Calendar'!$AA$115=TYPE4)*(TYPE4&lt;&gt;"")+('Dvd Calendar'!$AA$115=SPECIAL_LBL)*(INC_SPECIALS="Y"))=0,"",'Dvd Calendar'!$AA$113)))</f>
        <v/>
      </c>
      <c r="Z21" s="161">
        <f>IF(FB21="","",IF(ISNUMBER('Dvd Calendar'!$AB$113)=FALSE,"",IF((('Dvd Calendar'!$AB$115=TYPE1)*(TYPE1&lt;&gt;"")+('Dvd Calendar'!$AB$115=TYPE2)*(TYPE2&lt;&gt;"")+('Dvd Calendar'!$AB$115=TYPE3)*(TYPE3&lt;&gt;"")+('Dvd Calendar'!$AB$115=TYPE4)*(TYPE4&lt;&gt;"")+('Dvd Calendar'!$AB$115=SPECIAL_LBL)*(INC_SPECIALS="Y"))=0,"",'Dvd Calendar'!$AB$113)))</f>
        <v/>
      </c>
      <c r="AA21" s="161">
        <f>IF(FC21="","",IF(ISNUMBER('Dvd Calendar'!$AC$113)=FALSE,"",IF((('Dvd Calendar'!$AC$115=TYPE1)*(TYPE1&lt;&gt;"")+('Dvd Calendar'!$AC$115=TYPE2)*(TYPE2&lt;&gt;"")+('Dvd Calendar'!$AC$115=TYPE3)*(TYPE3&lt;&gt;"")+('Dvd Calendar'!$AC$115=TYPE4)*(TYPE4&lt;&gt;"")+('Dvd Calendar'!$AC$115=SPECIAL_LBL)*(INC_SPECIALS="Y"))=0,"",'Dvd Calendar'!$AC$113)))</f>
        <v/>
      </c>
      <c r="AB21" s="161">
        <f>IF(FD21="","",IF(ISNUMBER('Dvd Calendar'!$AD$113)=FALSE,"",IF((('Dvd Calendar'!$AD$115=TYPE1)*(TYPE1&lt;&gt;"")+('Dvd Calendar'!$AD$115=TYPE2)*(TYPE2&lt;&gt;"")+('Dvd Calendar'!$AD$115=TYPE3)*(TYPE3&lt;&gt;"")+('Dvd Calendar'!$AD$115=TYPE4)*(TYPE4&lt;&gt;"")+('Dvd Calendar'!$AD$115=SPECIAL_LBL)*(INC_SPECIALS="Y"))=0,"",'Dvd Calendar'!$AD$113)))</f>
        <v/>
      </c>
      <c r="AC21" s="161">
        <f>IF(FE21="","",IF(ISNUMBER('Dvd Calendar'!$AE$113)=FALSE,"",IF((('Dvd Calendar'!$AE$115=TYPE1)*(TYPE1&lt;&gt;"")+('Dvd Calendar'!$AE$115=TYPE2)*(TYPE2&lt;&gt;"")+('Dvd Calendar'!$AE$115=TYPE3)*(TYPE3&lt;&gt;"")+('Dvd Calendar'!$AE$115=TYPE4)*(TYPE4&lt;&gt;"")+('Dvd Calendar'!$AE$115=SPECIAL_LBL)*(INC_SPECIALS="Y"))=0,"",'Dvd Calendar'!$AE$113)))</f>
        <v/>
      </c>
      <c r="AD21" s="161">
        <f>IF(FF21="","",IF(ISNUMBER('Dvd Calendar'!$AF$113)=FALSE,"",IF((('Dvd Calendar'!$AF$115=TYPE1)*(TYPE1&lt;&gt;"")+('Dvd Calendar'!$AF$115=TYPE2)*(TYPE2&lt;&gt;"")+('Dvd Calendar'!$AF$115=TYPE3)*(TYPE3&lt;&gt;"")+('Dvd Calendar'!$AF$115=TYPE4)*(TYPE4&lt;&gt;"")+('Dvd Calendar'!$AF$115=SPECIAL_LBL)*(INC_SPECIALS="Y"))=0,"",'Dvd Calendar'!$AF$113)))</f>
        <v/>
      </c>
      <c r="AE21" s="161">
        <f>IF(FG21="","",IF(ISNUMBER('Dvd Calendar'!$AG$113)=FALSE,"",IF((('Dvd Calendar'!$AG$115=TYPE1)*(TYPE1&lt;&gt;"")+('Dvd Calendar'!$AG$115=TYPE2)*(TYPE2&lt;&gt;"")+('Dvd Calendar'!$AG$115=TYPE3)*(TYPE3&lt;&gt;"")+('Dvd Calendar'!$AG$115=TYPE4)*(TYPE4&lt;&gt;"")+('Dvd Calendar'!$AG$115=SPECIAL_LBL)*(INC_SPECIALS="Y"))=0,"",'Dvd Calendar'!$AG$113)))</f>
        <v/>
      </c>
      <c r="AF21" s="161">
        <f>IF(FH21="","",IF(ISNUMBER('Dvd Calendar'!$AH$113)=FALSE,"",IF((('Dvd Calendar'!$AH$115=TYPE1)*(TYPE1&lt;&gt;"")+('Dvd Calendar'!$AH$115=TYPE2)*(TYPE2&lt;&gt;"")+('Dvd Calendar'!$AH$115=TYPE3)*(TYPE3&lt;&gt;"")+('Dvd Calendar'!$AH$115=TYPE4)*(TYPE4&lt;&gt;"")+('Dvd Calendar'!$AH$115=SPECIAL_LBL)*(INC_SPECIALS="Y"))=0,"",'Dvd Calendar'!$AH$113)))</f>
        <v/>
      </c>
      <c r="AG21" s="161">
        <f>IF(FI21="","",IF(ISNUMBER('Dvd Calendar'!$AI$113)=FALSE,"",IF((('Dvd Calendar'!$AI$115=TYPE1)*(TYPE1&lt;&gt;"")+('Dvd Calendar'!$AI$115=TYPE2)*(TYPE2&lt;&gt;"")+('Dvd Calendar'!$AI$115=TYPE3)*(TYPE3&lt;&gt;"")+('Dvd Calendar'!$AI$115=TYPE4)*(TYPE4&lt;&gt;"")+('Dvd Calendar'!$AI$115=SPECIAL_LBL)*(INC_SPECIALS="Y"))=0,"",'Dvd Calendar'!$AI$113)))</f>
        <v/>
      </c>
      <c r="AH21" s="161">
        <f>IF(FJ21="","",IF(ISNUMBER('Dvd Calendar'!$AJ$113)=FALSE,"",IF((('Dvd Calendar'!$AJ$115=TYPE1)*(TYPE1&lt;&gt;"")+('Dvd Calendar'!$AJ$115=TYPE2)*(TYPE2&lt;&gt;"")+('Dvd Calendar'!$AJ$115=TYPE3)*(TYPE3&lt;&gt;"")+('Dvd Calendar'!$AJ$115=TYPE4)*(TYPE4&lt;&gt;"")+('Dvd Calendar'!$AJ$115=SPECIAL_LBL)*(INC_SPECIALS="Y"))=0,"",'Dvd Calendar'!$AJ$113)))</f>
        <v/>
      </c>
      <c r="AI21" s="161">
        <f>IF(FK21="","",IF(ISNUMBER('Dvd Calendar'!$AK$113)=FALSE,"",IF((('Dvd Calendar'!$AK$115=TYPE1)*(TYPE1&lt;&gt;"")+('Dvd Calendar'!$AK$115=TYPE2)*(TYPE2&lt;&gt;"")+('Dvd Calendar'!$AK$115=TYPE3)*(TYPE3&lt;&gt;"")+('Dvd Calendar'!$AK$115=TYPE4)*(TYPE4&lt;&gt;"")+('Dvd Calendar'!$AK$115=SPECIAL_LBL)*(INC_SPECIALS="Y"))=0,"",'Dvd Calendar'!$AK$113)))</f>
        <v/>
      </c>
      <c r="AJ21" s="161">
        <f>IF(FL21="","",IF(ISNUMBER('Dvd Calendar'!$AL$113)=FALSE,"",IF((('Dvd Calendar'!$AL$115=TYPE1)*(TYPE1&lt;&gt;"")+('Dvd Calendar'!$AL$115=TYPE2)*(TYPE2&lt;&gt;"")+('Dvd Calendar'!$AL$115=TYPE3)*(TYPE3&lt;&gt;"")+('Dvd Calendar'!$AL$115=TYPE4)*(TYPE4&lt;&gt;"")+('Dvd Calendar'!$AL$115=SPECIAL_LBL)*(INC_SPECIALS="Y"))=0,"",'Dvd Calendar'!$AL$113)))</f>
        <v/>
      </c>
      <c r="AK21" s="161">
        <f>IF(FM21="","",IF(ISNUMBER('Dvd Calendar'!$AM$113)=FALSE,"",IF((('Dvd Calendar'!$AM$115=TYPE1)*(TYPE1&lt;&gt;"")+('Dvd Calendar'!$AM$115=TYPE2)*(TYPE2&lt;&gt;"")+('Dvd Calendar'!$AM$115=TYPE3)*(TYPE3&lt;&gt;"")+('Dvd Calendar'!$AM$115=TYPE4)*(TYPE4&lt;&gt;"")+('Dvd Calendar'!$AM$115=SPECIAL_LBL)*(INC_SPECIALS="Y"))=0,"",'Dvd Calendar'!$AM$113)))</f>
        <v/>
      </c>
      <c r="AL21" s="161">
        <f>IF(FN21="","",IF(ISNUMBER('Dvd Calendar'!$AN$113)=FALSE,"",IF((('Dvd Calendar'!$AN$115=TYPE1)*(TYPE1&lt;&gt;"")+('Dvd Calendar'!$AN$115=TYPE2)*(TYPE2&lt;&gt;"")+('Dvd Calendar'!$AN$115=TYPE3)*(TYPE3&lt;&gt;"")+('Dvd Calendar'!$AN$115=TYPE4)*(TYPE4&lt;&gt;"")+('Dvd Calendar'!$AN$115=SPECIAL_LBL)*(INC_SPECIALS="Y"))=0,"",'Dvd Calendar'!$AN$113)))</f>
        <v/>
      </c>
      <c r="AM21" s="161">
        <f>IF(FO21="","",IF(ISNUMBER('Dvd Calendar'!$AO$113)=FALSE,"",IF((('Dvd Calendar'!$AO$115=TYPE1)*(TYPE1&lt;&gt;"")+('Dvd Calendar'!$AO$115=TYPE2)*(TYPE2&lt;&gt;"")+('Dvd Calendar'!$AO$115=TYPE3)*(TYPE3&lt;&gt;"")+('Dvd Calendar'!$AO$115=TYPE4)*(TYPE4&lt;&gt;"")+('Dvd Calendar'!$AO$115=SPECIAL_LBL)*(INC_SPECIALS="Y"))=0,"",'Dvd Calendar'!$AO$113)))</f>
        <v/>
      </c>
      <c r="AN21" s="161">
        <f>IF(FP21="","",IF(ISNUMBER('Dvd Calendar'!$AP$113)=FALSE,"",IF((('Dvd Calendar'!$AP$115=TYPE1)*(TYPE1&lt;&gt;"")+('Dvd Calendar'!$AP$115=TYPE2)*(TYPE2&lt;&gt;"")+('Dvd Calendar'!$AP$115=TYPE3)*(TYPE3&lt;&gt;"")+('Dvd Calendar'!$AP$115=TYPE4)*(TYPE4&lt;&gt;"")+('Dvd Calendar'!$AP$115=SPECIAL_LBL)*(INC_SPECIALS="Y"))=0,"",'Dvd Calendar'!$AP$113)))</f>
        <v/>
      </c>
      <c r="AO21" s="161">
        <f>IF(FQ21="","",IF(ISNUMBER('Dvd Calendar'!$AQ$113)=FALSE,"",IF((('Dvd Calendar'!$AQ$115=TYPE1)*(TYPE1&lt;&gt;"")+('Dvd Calendar'!$AQ$115=TYPE2)*(TYPE2&lt;&gt;"")+('Dvd Calendar'!$AQ$115=TYPE3)*(TYPE3&lt;&gt;"")+('Dvd Calendar'!$AQ$115=TYPE4)*(TYPE4&lt;&gt;"")+('Dvd Calendar'!$AQ$115=SPECIAL_LBL)*(INC_SPECIALS="Y"))=0,"",'Dvd Calendar'!$AQ$113)))</f>
        <v/>
      </c>
      <c r="AP21" s="161">
        <f>IF(FR21="","",IF(ISNUMBER('Dvd Calendar'!$AR$113)=FALSE,"",IF((('Dvd Calendar'!$AR$115=TYPE1)*(TYPE1&lt;&gt;"")+('Dvd Calendar'!$AR$115=TYPE2)*(TYPE2&lt;&gt;"")+('Dvd Calendar'!$AR$115=TYPE3)*(TYPE3&lt;&gt;"")+('Dvd Calendar'!$AR$115=TYPE4)*(TYPE4&lt;&gt;"")+('Dvd Calendar'!$AR$115=SPECIAL_LBL)*(INC_SPECIALS="Y"))=0,"",'Dvd Calendar'!$AR$113)))</f>
        <v/>
      </c>
      <c r="AQ21" s="161">
        <f>IF(FS21="","",IF(ISNUMBER('Dvd Calendar'!$E$118)=FALSE,"",'Dvd Calendar'!$E$118))</f>
        <v/>
      </c>
      <c r="AR21" s="161">
        <f>IF(FT21="","",IF(ISNUMBER('Dvd Calendar'!$F$118)=FALSE,"",'Dvd Calendar'!$F$118))</f>
        <v/>
      </c>
      <c r="AS21" s="161">
        <f>IF(FU21="","",IF(ISNUMBER('Dvd Calendar'!$G$118)=FALSE,"",'Dvd Calendar'!$G$118))</f>
        <v/>
      </c>
      <c r="AT21" s="161">
        <f>IF(FV21="","",IF(ISNUMBER('Dvd Calendar'!$H$118)=FALSE,"",'Dvd Calendar'!$H$118))</f>
        <v/>
      </c>
      <c r="AU21" s="161">
        <f>IF(FW21="","",IF(ISNUMBER('Dvd Calendar'!$I$118)=FALSE,"",'Dvd Calendar'!$I$118))</f>
        <v/>
      </c>
      <c r="AV21" s="161">
        <f>IF(FX21="","",IF(ISNUMBER('Dvd Calendar'!$J$118)=FALSE,"",'Dvd Calendar'!$J$118))</f>
        <v/>
      </c>
      <c r="AW21" s="161">
        <f>IF(FY21="","",IF(ISNUMBER('Dvd Calendar'!$K$118)=FALSE,"",'Dvd Calendar'!$K$118))</f>
        <v/>
      </c>
      <c r="AX21" s="161">
        <f>IF(FZ21="","",IF(ISNUMBER('Dvd Calendar'!$L$118)=FALSE,"",'Dvd Calendar'!$L$118))</f>
        <v/>
      </c>
      <c r="AY21" s="161">
        <f>IF(GA21="","",IF(ISNUMBER('Dvd Calendar'!$M$118)=FALSE,"",'Dvd Calendar'!$M$118))</f>
        <v/>
      </c>
      <c r="AZ21" s="161">
        <f>IF(GB21="","",IF(ISNUMBER('Dvd Calendar'!$N$118)=FALSE,"",'Dvd Calendar'!$N$118))</f>
        <v/>
      </c>
      <c r="BA21" s="161">
        <f>IF(GC21="","",IF(ISNUMBER('Dvd Calendar'!$O$118)=FALSE,"",'Dvd Calendar'!$O$118))</f>
        <v/>
      </c>
      <c r="BB21" s="161">
        <f>IF(GD21="","",IF(ISNUMBER('Dvd Calendar'!$P$118)=FALSE,"",'Dvd Calendar'!$P$118))</f>
        <v/>
      </c>
      <c r="BC21" s="161">
        <f>IF(GE21="","",IF(ISNUMBER('Dvd Calendar'!$Q$118)=FALSE,"",'Dvd Calendar'!$Q$118))</f>
        <v/>
      </c>
      <c r="BD21" s="161">
        <f>IF(GF21="","",IF(ISNUMBER('Dvd Calendar'!$R$118)=FALSE,"",'Dvd Calendar'!$R$118))</f>
        <v/>
      </c>
      <c r="BE21" s="161">
        <f>IF(GG21="","",IF(ISNUMBER('Dvd Calendar'!$S$118)=FALSE,"",'Dvd Calendar'!$S$118))</f>
        <v/>
      </c>
      <c r="BF21" s="161">
        <f>IF(GH21="","",IF(ISNUMBER('Dvd Calendar'!$T$118)=FALSE,"",'Dvd Calendar'!$T$118))</f>
        <v/>
      </c>
      <c r="BG21" s="161">
        <f>IF(GI21="","",IF(ISNUMBER('Dvd Calendar'!$U$118)=FALSE,"",'Dvd Calendar'!$U$118))</f>
        <v/>
      </c>
      <c r="BH21" s="161">
        <f>IF(GJ21="","",IF(ISNUMBER('Dvd Calendar'!$V$118)=FALSE,"",'Dvd Calendar'!$V$118))</f>
        <v/>
      </c>
      <c r="BI21" s="161">
        <f>IF(GK21="","",IF(ISNUMBER('Dvd Calendar'!$W$118)=FALSE,"",'Dvd Calendar'!$W$118))</f>
        <v/>
      </c>
      <c r="BJ21" s="161">
        <f>IF(GL21="","",IF(ISNUMBER('Dvd Calendar'!$X$118)=FALSE,"",'Dvd Calendar'!$X$118))</f>
        <v/>
      </c>
      <c r="BK21" s="161">
        <f>IF(GM21="","",IF(ISNUMBER('Dvd Calendar'!$Y$118)=FALSE,"",'Dvd Calendar'!$Y$118))</f>
        <v/>
      </c>
      <c r="BL21" s="161">
        <f>IF(GN21="","",IF(ISNUMBER('Dvd Calendar'!$Z$118)=FALSE,"",'Dvd Calendar'!$Z$118))</f>
        <v/>
      </c>
      <c r="BM21" s="161">
        <f>IF(GO21="","",IF(ISNUMBER('Dvd Calendar'!$AA$118)=FALSE,"",'Dvd Calendar'!$AA$118))</f>
        <v/>
      </c>
      <c r="BN21" s="161">
        <f>IF(GP21="","",IF(ISNUMBER('Dvd Calendar'!$AB$118)=FALSE,"",'Dvd Calendar'!$AB$118))</f>
        <v/>
      </c>
      <c r="BO21" s="161">
        <f>IF(GQ21="","",IF(ISNUMBER('Dvd Calendar'!$AC$118)=FALSE,"",'Dvd Calendar'!$AC$118))</f>
        <v/>
      </c>
      <c r="BQ21" s="161">
        <f>IF(C21="","",IFERROR(C21*HSI!$B$16*HSI!$G$16/HSI!$B$3,""))</f>
        <v/>
      </c>
      <c r="BR21" s="161">
        <f>IF(D21="","",IFERROR(D21*HSI!$B$16*HSI!$G$16/HSI!$B$3,""))</f>
        <v/>
      </c>
      <c r="BS21" s="161">
        <f>IF(E21="","",IFERROR(E21*HSI!$B$16*HSI!$G$16/HSI!$B$3,""))</f>
        <v/>
      </c>
      <c r="BT21" s="161">
        <f>IF(F21="","",IFERROR(F21*HSI!$B$16*HSI!$G$16/HSI!$B$3,""))</f>
        <v/>
      </c>
      <c r="BU21" s="161">
        <f>IF(G21="","",IFERROR(G21*HSI!$B$16*HSI!$G$16/HSI!$B$3,""))</f>
        <v/>
      </c>
      <c r="BV21" s="161">
        <f>IF(H21="","",IFERROR(H21*HSI!$B$16*HSI!$G$16/HSI!$B$3,""))</f>
        <v/>
      </c>
      <c r="BW21" s="161">
        <f>IF(I21="","",IFERROR(I21*HSI!$B$16*HSI!$G$16/HSI!$B$3,""))</f>
        <v/>
      </c>
      <c r="BX21" s="161">
        <f>IF(J21="","",IFERROR(J21*HSI!$B$16*HSI!$G$16/HSI!$B$3,""))</f>
        <v/>
      </c>
      <c r="BY21" s="161">
        <f>IF(K21="","",IFERROR(K21*HSI!$B$16*HSI!$G$16/HSI!$B$3,""))</f>
        <v/>
      </c>
      <c r="BZ21" s="161">
        <f>IF(L21="","",IFERROR(L21*HSI!$B$16*HSI!$G$16/HSI!$B$3,""))</f>
        <v/>
      </c>
      <c r="CA21" s="161">
        <f>IF(M21="","",IFERROR(M21*HSI!$B$16*HSI!$G$16/HSI!$B$3,""))</f>
        <v/>
      </c>
      <c r="CB21" s="161">
        <f>IF(N21="","",IFERROR(N21*HSI!$B$16*HSI!$G$16/HSI!$B$3,""))</f>
        <v/>
      </c>
      <c r="CC21" s="161">
        <f>IF(O21="","",IFERROR(O21*HSI!$B$16*HSI!$G$16/HSI!$B$3,""))</f>
        <v/>
      </c>
      <c r="CD21" s="161">
        <f>IF(P21="","",IFERROR(P21*HSI!$B$16*HSI!$G$16/HSI!$B$3,""))</f>
        <v/>
      </c>
      <c r="CE21" s="161">
        <f>IF(Q21="","",IFERROR(Q21*HSI!$B$16*HSI!$G$16/HSI!$B$3,""))</f>
        <v/>
      </c>
      <c r="CF21" s="161">
        <f>IF(R21="","",IFERROR(R21*HSI!$B$16*HSI!$G$16/HSI!$B$3,""))</f>
        <v/>
      </c>
      <c r="CG21" s="161">
        <f>IF(S21="","",IFERROR(S21*HSI!$B$16*HSI!$G$16/HSI!$B$3,""))</f>
        <v/>
      </c>
      <c r="CH21" s="161">
        <f>IF(T21="","",IFERROR(T21*HSI!$B$16*HSI!$G$16/HSI!$B$3,""))</f>
        <v/>
      </c>
      <c r="CI21" s="161">
        <f>IF(U21="","",IFERROR(U21*HSI!$B$16*HSI!$G$16/HSI!$B$3,""))</f>
        <v/>
      </c>
      <c r="CJ21" s="161">
        <f>IF(V21="","",IFERROR(V21*HSI!$B$16*HSI!$G$16/HSI!$B$3,""))</f>
        <v/>
      </c>
      <c r="CK21" s="161">
        <f>IF(W21="","",IFERROR(W21*HSI!$B$16*HSI!$G$16/HSI!$B$3,""))</f>
        <v/>
      </c>
      <c r="CL21" s="161">
        <f>IF(X21="","",IFERROR(X21*HSI!$B$16*HSI!$G$16/HSI!$B$3,""))</f>
        <v/>
      </c>
      <c r="CM21" s="161">
        <f>IF(Y21="","",IFERROR(Y21*HSI!$B$16*HSI!$G$16/HSI!$B$3,""))</f>
        <v/>
      </c>
      <c r="CN21" s="161">
        <f>IF(Z21="","",IFERROR(Z21*HSI!$B$16*HSI!$G$16/HSI!$B$3,""))</f>
        <v/>
      </c>
      <c r="CO21" s="161">
        <f>IF(AA21="","",IFERROR(AA21*HSI!$B$16*HSI!$G$16/HSI!$B$3,""))</f>
        <v/>
      </c>
      <c r="CP21" s="161">
        <f>IF(AB21="","",IFERROR(AB21*HSI!$B$16*HSI!$G$16/HSI!$B$3,""))</f>
        <v/>
      </c>
      <c r="CQ21" s="161">
        <f>IF(AC21="","",IFERROR(AC21*HSI!$B$16*HSI!$G$16/HSI!$B$3,""))</f>
        <v/>
      </c>
      <c r="CR21" s="161">
        <f>IF(AD21="","",IFERROR(AD21*HSI!$B$16*HSI!$G$16/HSI!$B$3,""))</f>
        <v/>
      </c>
      <c r="CS21" s="161">
        <f>IF(AE21="","",IFERROR(AE21*HSI!$B$16*HSI!$G$16/HSI!$B$3,""))</f>
        <v/>
      </c>
      <c r="CT21" s="161">
        <f>IF(AF21="","",IFERROR(AF21*HSI!$B$16*HSI!$G$16/HSI!$B$3,""))</f>
        <v/>
      </c>
      <c r="CU21" s="161">
        <f>IF(AG21="","",IFERROR(AG21*HSI!$B$16*HSI!$G$16/HSI!$B$3,""))</f>
        <v/>
      </c>
      <c r="CV21" s="161">
        <f>IF(AH21="","",IFERROR(AH21*HSI!$B$16*HSI!$G$16/HSI!$B$3,""))</f>
        <v/>
      </c>
      <c r="CW21" s="161">
        <f>IF(AI21="","",IFERROR(AI21*HSI!$B$16*HSI!$G$16/HSI!$B$3,""))</f>
        <v/>
      </c>
      <c r="CX21" s="161">
        <f>IF(AJ21="","",IFERROR(AJ21*HSI!$B$16*HSI!$G$16/HSI!$B$3,""))</f>
        <v/>
      </c>
      <c r="CY21" s="161">
        <f>IF(AK21="","",IFERROR(AK21*HSI!$B$16*HSI!$G$16/HSI!$B$3,""))</f>
        <v/>
      </c>
      <c r="CZ21" s="161">
        <f>IF(AL21="","",IFERROR(AL21*HSI!$B$16*HSI!$G$16/HSI!$B$3,""))</f>
        <v/>
      </c>
      <c r="DA21" s="161">
        <f>IF(AM21="","",IFERROR(AM21*HSI!$B$16*HSI!$G$16/HSI!$B$3,""))</f>
        <v/>
      </c>
      <c r="DB21" s="161">
        <f>IF(AN21="","",IFERROR(AN21*HSI!$B$16*HSI!$G$16/HSI!$B$3,""))</f>
        <v/>
      </c>
      <c r="DC21" s="161">
        <f>IF(AO21="","",IFERROR(AO21*HSI!$B$16*HSI!$G$16/HSI!$B$3,""))</f>
        <v/>
      </c>
      <c r="DD21" s="161">
        <f>IF(AP21="","",IFERROR(AP21*HSI!$B$16*HSI!$G$16/HSI!$B$3,""))</f>
        <v/>
      </c>
      <c r="DE21" s="161">
        <f>IF(AQ21="","",IFERROR(AQ21*HSI!$B$16*HSI!$G$16/HSI!$B$3,""))</f>
        <v/>
      </c>
      <c r="DF21" s="161">
        <f>IF(AR21="","",IFERROR(AR21*HSI!$B$16*HSI!$G$16/HSI!$B$3,""))</f>
        <v/>
      </c>
      <c r="DG21" s="161">
        <f>IF(AS21="","",IFERROR(AS21*HSI!$B$16*HSI!$G$16/HSI!$B$3,""))</f>
        <v/>
      </c>
      <c r="DH21" s="161">
        <f>IF(AT21="","",IFERROR(AT21*HSI!$B$16*HSI!$G$16/HSI!$B$3,""))</f>
        <v/>
      </c>
      <c r="DI21" s="161">
        <f>IF(AU21="","",IFERROR(AU21*HSI!$B$16*HSI!$G$16/HSI!$B$3,""))</f>
        <v/>
      </c>
      <c r="DJ21" s="161">
        <f>IF(AV21="","",IFERROR(AV21*HSI!$B$16*HSI!$G$16/HSI!$B$3,""))</f>
        <v/>
      </c>
      <c r="DK21" s="161">
        <f>IF(AW21="","",IFERROR(AW21*HSI!$B$16*HSI!$G$16/HSI!$B$3,""))</f>
        <v/>
      </c>
      <c r="DL21" s="161">
        <f>IF(AX21="","",IFERROR(AX21*HSI!$B$16*HSI!$G$16/HSI!$B$3,""))</f>
        <v/>
      </c>
      <c r="DM21" s="161">
        <f>IF(AY21="","",IFERROR(AY21*HSI!$B$16*HSI!$G$16/HSI!$B$3,""))</f>
        <v/>
      </c>
      <c r="DN21" s="161">
        <f>IF(AZ21="","",IFERROR(AZ21*HSI!$B$16*HSI!$G$16/HSI!$B$3,""))</f>
        <v/>
      </c>
      <c r="DO21" s="161">
        <f>IF(BA21="","",IFERROR(BA21*HSI!$B$16*HSI!$G$16/HSI!$B$3,""))</f>
        <v/>
      </c>
      <c r="DP21" s="161">
        <f>IF(BB21="","",IFERROR(BB21*HSI!$B$16*HSI!$G$16/HSI!$B$3,""))</f>
        <v/>
      </c>
      <c r="DQ21" s="161">
        <f>IF(BC21="","",IFERROR(BC21*HSI!$B$16*HSI!$G$16/HSI!$B$3,""))</f>
        <v/>
      </c>
      <c r="DR21" s="161">
        <f>IF(BD21="","",IFERROR(BD21*HSI!$B$16*HSI!$G$16/HSI!$B$3,""))</f>
        <v/>
      </c>
      <c r="DS21" s="161">
        <f>IF(BE21="","",IFERROR(BE21*HSI!$B$16*HSI!$G$16/HSI!$B$3,""))</f>
        <v/>
      </c>
      <c r="DT21" s="161">
        <f>IF(BF21="","",IFERROR(BF21*HSI!$B$16*HSI!$G$16/HSI!$B$3,""))</f>
        <v/>
      </c>
      <c r="DU21" s="161">
        <f>IF(BG21="","",IFERROR(BG21*HSI!$B$16*HSI!$G$16/HSI!$B$3,""))</f>
        <v/>
      </c>
      <c r="DV21" s="161">
        <f>IF(BH21="","",IFERROR(BH21*HSI!$B$16*HSI!$G$16/HSI!$B$3,""))</f>
        <v/>
      </c>
      <c r="DW21" s="161">
        <f>IF(BI21="","",IFERROR(BI21*HSI!$B$16*HSI!$G$16/HSI!$B$3,""))</f>
        <v/>
      </c>
      <c r="DX21" s="161">
        <f>IF(BJ21="","",IFERROR(BJ21*HSI!$B$16*HSI!$G$16/HSI!$B$3,""))</f>
        <v/>
      </c>
      <c r="DY21" s="161">
        <f>IF(BK21="","",IFERROR(BK21*HSI!$B$16*HSI!$G$16/HSI!$B$3,""))</f>
        <v/>
      </c>
      <c r="DZ21" s="161">
        <f>IF(BL21="","",IFERROR(BL21*HSI!$B$16*HSI!$G$16/HSI!$B$3,""))</f>
        <v/>
      </c>
      <c r="EA21" s="161">
        <f>IF(BM21="","",IFERROR(BM21*HSI!$B$16*HSI!$G$16/HSI!$B$3,""))</f>
        <v/>
      </c>
      <c r="EB21" s="161">
        <f>IF(BN21="","",IFERROR(BN21*HSI!$B$16*HSI!$G$16/HSI!$B$3,""))</f>
        <v/>
      </c>
      <c r="EC21" s="161">
        <f>IF(BO21="","",IFERROR(BO21*HSI!$B$16*HSI!$G$16/HSI!$B$3,""))</f>
        <v/>
      </c>
      <c r="EE21" s="121">
        <f>IF(N('Dvd Calendar'!$E$110)=0,"",IF(('Dvd Calendar'!$E$110&gt;=GRID_FROM)*('Dvd Calendar'!$E$110&lt;=GRID_TO)*((('Dvd Calendar'!$E$110&lt;=VAL_DATE)+(COUNTIF('Dvd Calendar'!$E$117:$AR$117,'Dvd Calendar'!$E$110)=0))&gt;0)=0,"",'Dvd Calendar'!$E$110*1000000000+ISNUMBER('Dvd Calendar'!$E$113)*100000000+('Dvd Calendar'!$E$115=SPECIAL_LBL)*10000000+(N('Dvd Calendar'!$E$109)&gt;0)*(N('Dvd Calendar'!$E$109)&lt;=VAL_SERIAL)*1000000+10*1000+1))</f>
        <v/>
      </c>
      <c r="EF21" s="121">
        <f>IF(N('Dvd Calendar'!$F$110)=0,"",IF(('Dvd Calendar'!$F$110&gt;=GRID_FROM)*('Dvd Calendar'!$F$110&lt;=GRID_TO)*((('Dvd Calendar'!$F$110&lt;=VAL_DATE)+(COUNTIF('Dvd Calendar'!$E$117:$AR$117,'Dvd Calendar'!$F$110)=0))&gt;0)=0,"",'Dvd Calendar'!$F$110*1000000000+ISNUMBER('Dvd Calendar'!$F$113)*100000000+('Dvd Calendar'!$F$115=SPECIAL_LBL)*10000000+(N('Dvd Calendar'!$F$109)&gt;0)*(N('Dvd Calendar'!$F$109)&lt;=VAL_SERIAL)*1000000+10*1000+2))</f>
        <v/>
      </c>
      <c r="EG21" s="121">
        <f>IF(N('Dvd Calendar'!$G$110)=0,"",IF(('Dvd Calendar'!$G$110&gt;=GRID_FROM)*('Dvd Calendar'!$G$110&lt;=GRID_TO)*((('Dvd Calendar'!$G$110&lt;=VAL_DATE)+(COUNTIF('Dvd Calendar'!$E$117:$AR$117,'Dvd Calendar'!$G$110)=0))&gt;0)=0,"",'Dvd Calendar'!$G$110*1000000000+ISNUMBER('Dvd Calendar'!$G$113)*100000000+('Dvd Calendar'!$G$115=SPECIAL_LBL)*10000000+(N('Dvd Calendar'!$G$109)&gt;0)*(N('Dvd Calendar'!$G$109)&lt;=VAL_SERIAL)*1000000+10*1000+3))</f>
        <v/>
      </c>
      <c r="EH21" s="121">
        <f>IF(N('Dvd Calendar'!$H$110)=0,"",IF(('Dvd Calendar'!$H$110&gt;=GRID_FROM)*('Dvd Calendar'!$H$110&lt;=GRID_TO)*((('Dvd Calendar'!$H$110&lt;=VAL_DATE)+(COUNTIF('Dvd Calendar'!$E$117:$AR$117,'Dvd Calendar'!$H$110)=0))&gt;0)=0,"",'Dvd Calendar'!$H$110*1000000000+ISNUMBER('Dvd Calendar'!$H$113)*100000000+('Dvd Calendar'!$H$115=SPECIAL_LBL)*10000000+(N('Dvd Calendar'!$H$109)&gt;0)*(N('Dvd Calendar'!$H$109)&lt;=VAL_SERIAL)*1000000+10*1000+4))</f>
        <v/>
      </c>
      <c r="EI21" s="121">
        <f>IF(N('Dvd Calendar'!$I$110)=0,"",IF(('Dvd Calendar'!$I$110&gt;=GRID_FROM)*('Dvd Calendar'!$I$110&lt;=GRID_TO)*((('Dvd Calendar'!$I$110&lt;=VAL_DATE)+(COUNTIF('Dvd Calendar'!$E$117:$AR$117,'Dvd Calendar'!$I$110)=0))&gt;0)=0,"",'Dvd Calendar'!$I$110*1000000000+ISNUMBER('Dvd Calendar'!$I$113)*100000000+('Dvd Calendar'!$I$115=SPECIAL_LBL)*10000000+(N('Dvd Calendar'!$I$109)&gt;0)*(N('Dvd Calendar'!$I$109)&lt;=VAL_SERIAL)*1000000+10*1000+5))</f>
        <v/>
      </c>
      <c r="EJ21" s="121">
        <f>IF(N('Dvd Calendar'!$J$110)=0,"",IF(('Dvd Calendar'!$J$110&gt;=GRID_FROM)*('Dvd Calendar'!$J$110&lt;=GRID_TO)*((('Dvd Calendar'!$J$110&lt;=VAL_DATE)+(COUNTIF('Dvd Calendar'!$E$117:$AR$117,'Dvd Calendar'!$J$110)=0))&gt;0)=0,"",'Dvd Calendar'!$J$110*1000000000+ISNUMBER('Dvd Calendar'!$J$113)*100000000+('Dvd Calendar'!$J$115=SPECIAL_LBL)*10000000+(N('Dvd Calendar'!$J$109)&gt;0)*(N('Dvd Calendar'!$J$109)&lt;=VAL_SERIAL)*1000000+10*1000+6))</f>
        <v/>
      </c>
      <c r="EK21" s="121">
        <f>IF(N('Dvd Calendar'!$K$110)=0,"",IF(('Dvd Calendar'!$K$110&gt;=GRID_FROM)*('Dvd Calendar'!$K$110&lt;=GRID_TO)*((('Dvd Calendar'!$K$110&lt;=VAL_DATE)+(COUNTIF('Dvd Calendar'!$E$117:$AR$117,'Dvd Calendar'!$K$110)=0))&gt;0)=0,"",'Dvd Calendar'!$K$110*1000000000+ISNUMBER('Dvd Calendar'!$K$113)*100000000+('Dvd Calendar'!$K$115=SPECIAL_LBL)*10000000+(N('Dvd Calendar'!$K$109)&gt;0)*(N('Dvd Calendar'!$K$109)&lt;=VAL_SERIAL)*1000000+10*1000+7))</f>
        <v/>
      </c>
      <c r="EL21" s="121">
        <f>IF(N('Dvd Calendar'!$L$110)=0,"",IF(('Dvd Calendar'!$L$110&gt;=GRID_FROM)*('Dvd Calendar'!$L$110&lt;=GRID_TO)*((('Dvd Calendar'!$L$110&lt;=VAL_DATE)+(COUNTIF('Dvd Calendar'!$E$117:$AR$117,'Dvd Calendar'!$L$110)=0))&gt;0)=0,"",'Dvd Calendar'!$L$110*1000000000+ISNUMBER('Dvd Calendar'!$L$113)*100000000+('Dvd Calendar'!$L$115=SPECIAL_LBL)*10000000+(N('Dvd Calendar'!$L$109)&gt;0)*(N('Dvd Calendar'!$L$109)&lt;=VAL_SERIAL)*1000000+10*1000+8))</f>
        <v/>
      </c>
      <c r="EM21" s="121">
        <f>IF(N('Dvd Calendar'!$M$110)=0,"",IF(('Dvd Calendar'!$M$110&gt;=GRID_FROM)*('Dvd Calendar'!$M$110&lt;=GRID_TO)*((('Dvd Calendar'!$M$110&lt;=VAL_DATE)+(COUNTIF('Dvd Calendar'!$E$117:$AR$117,'Dvd Calendar'!$M$110)=0))&gt;0)=0,"",'Dvd Calendar'!$M$110*1000000000+ISNUMBER('Dvd Calendar'!$M$113)*100000000+('Dvd Calendar'!$M$115=SPECIAL_LBL)*10000000+(N('Dvd Calendar'!$M$109)&gt;0)*(N('Dvd Calendar'!$M$109)&lt;=VAL_SERIAL)*1000000+10*1000+9))</f>
        <v/>
      </c>
      <c r="EN21" s="121">
        <f>IF(N('Dvd Calendar'!$N$110)=0,"",IF(('Dvd Calendar'!$N$110&gt;=GRID_FROM)*('Dvd Calendar'!$N$110&lt;=GRID_TO)*((('Dvd Calendar'!$N$110&lt;=VAL_DATE)+(COUNTIF('Dvd Calendar'!$E$117:$AR$117,'Dvd Calendar'!$N$110)=0))&gt;0)=0,"",'Dvd Calendar'!$N$110*1000000000+ISNUMBER('Dvd Calendar'!$N$113)*100000000+('Dvd Calendar'!$N$115=SPECIAL_LBL)*10000000+(N('Dvd Calendar'!$N$109)&gt;0)*(N('Dvd Calendar'!$N$109)&lt;=VAL_SERIAL)*1000000+10*1000+10))</f>
        <v/>
      </c>
      <c r="EO21" s="121">
        <f>IF(N('Dvd Calendar'!$O$110)=0,"",IF(('Dvd Calendar'!$O$110&gt;=GRID_FROM)*('Dvd Calendar'!$O$110&lt;=GRID_TO)*((('Dvd Calendar'!$O$110&lt;=VAL_DATE)+(COUNTIF('Dvd Calendar'!$E$117:$AR$117,'Dvd Calendar'!$O$110)=0))&gt;0)=0,"",'Dvd Calendar'!$O$110*1000000000+ISNUMBER('Dvd Calendar'!$O$113)*100000000+('Dvd Calendar'!$O$115=SPECIAL_LBL)*10000000+(N('Dvd Calendar'!$O$109)&gt;0)*(N('Dvd Calendar'!$O$109)&lt;=VAL_SERIAL)*1000000+10*1000+11))</f>
        <v/>
      </c>
      <c r="EP21" s="121">
        <f>IF(N('Dvd Calendar'!$P$110)=0,"",IF(('Dvd Calendar'!$P$110&gt;=GRID_FROM)*('Dvd Calendar'!$P$110&lt;=GRID_TO)*((('Dvd Calendar'!$P$110&lt;=VAL_DATE)+(COUNTIF('Dvd Calendar'!$E$117:$AR$117,'Dvd Calendar'!$P$110)=0))&gt;0)=0,"",'Dvd Calendar'!$P$110*1000000000+ISNUMBER('Dvd Calendar'!$P$113)*100000000+('Dvd Calendar'!$P$115=SPECIAL_LBL)*10000000+(N('Dvd Calendar'!$P$109)&gt;0)*(N('Dvd Calendar'!$P$109)&lt;=VAL_SERIAL)*1000000+10*1000+12))</f>
        <v/>
      </c>
      <c r="EQ21" s="121">
        <f>IF(N('Dvd Calendar'!$Q$110)=0,"",IF(('Dvd Calendar'!$Q$110&gt;=GRID_FROM)*('Dvd Calendar'!$Q$110&lt;=GRID_TO)*((('Dvd Calendar'!$Q$110&lt;=VAL_DATE)+(COUNTIF('Dvd Calendar'!$E$117:$AR$117,'Dvd Calendar'!$Q$110)=0))&gt;0)=0,"",'Dvd Calendar'!$Q$110*1000000000+ISNUMBER('Dvd Calendar'!$Q$113)*100000000+('Dvd Calendar'!$Q$115=SPECIAL_LBL)*10000000+(N('Dvd Calendar'!$Q$109)&gt;0)*(N('Dvd Calendar'!$Q$109)&lt;=VAL_SERIAL)*1000000+10*1000+13))</f>
        <v/>
      </c>
      <c r="ER21" s="121">
        <f>IF(N('Dvd Calendar'!$R$110)=0,"",IF(('Dvd Calendar'!$R$110&gt;=GRID_FROM)*('Dvd Calendar'!$R$110&lt;=GRID_TO)*((('Dvd Calendar'!$R$110&lt;=VAL_DATE)+(COUNTIF('Dvd Calendar'!$E$117:$AR$117,'Dvd Calendar'!$R$110)=0))&gt;0)=0,"",'Dvd Calendar'!$R$110*1000000000+ISNUMBER('Dvd Calendar'!$R$113)*100000000+('Dvd Calendar'!$R$115=SPECIAL_LBL)*10000000+(N('Dvd Calendar'!$R$109)&gt;0)*(N('Dvd Calendar'!$R$109)&lt;=VAL_SERIAL)*1000000+10*1000+14))</f>
        <v/>
      </c>
      <c r="ES21" s="121">
        <f>IF(N('Dvd Calendar'!$S$110)=0,"",IF(('Dvd Calendar'!$S$110&gt;=GRID_FROM)*('Dvd Calendar'!$S$110&lt;=GRID_TO)*((('Dvd Calendar'!$S$110&lt;=VAL_DATE)+(COUNTIF('Dvd Calendar'!$E$117:$AR$117,'Dvd Calendar'!$S$110)=0))&gt;0)=0,"",'Dvd Calendar'!$S$110*1000000000+ISNUMBER('Dvd Calendar'!$S$113)*100000000+('Dvd Calendar'!$S$115=SPECIAL_LBL)*10000000+(N('Dvd Calendar'!$S$109)&gt;0)*(N('Dvd Calendar'!$S$109)&lt;=VAL_SERIAL)*1000000+10*1000+15))</f>
        <v/>
      </c>
      <c r="ET21" s="121">
        <f>IF(N('Dvd Calendar'!$T$110)=0,"",IF(('Dvd Calendar'!$T$110&gt;=GRID_FROM)*('Dvd Calendar'!$T$110&lt;=GRID_TO)*((('Dvd Calendar'!$T$110&lt;=VAL_DATE)+(COUNTIF('Dvd Calendar'!$E$117:$AR$117,'Dvd Calendar'!$T$110)=0))&gt;0)=0,"",'Dvd Calendar'!$T$110*1000000000+ISNUMBER('Dvd Calendar'!$T$113)*100000000+('Dvd Calendar'!$T$115=SPECIAL_LBL)*10000000+(N('Dvd Calendar'!$T$109)&gt;0)*(N('Dvd Calendar'!$T$109)&lt;=VAL_SERIAL)*1000000+10*1000+16))</f>
        <v/>
      </c>
      <c r="EU21" s="121">
        <f>IF(N('Dvd Calendar'!$U$110)=0,"",IF(('Dvd Calendar'!$U$110&gt;=GRID_FROM)*('Dvd Calendar'!$U$110&lt;=GRID_TO)*((('Dvd Calendar'!$U$110&lt;=VAL_DATE)+(COUNTIF('Dvd Calendar'!$E$117:$AR$117,'Dvd Calendar'!$U$110)=0))&gt;0)=0,"",'Dvd Calendar'!$U$110*1000000000+ISNUMBER('Dvd Calendar'!$U$113)*100000000+('Dvd Calendar'!$U$115=SPECIAL_LBL)*10000000+(N('Dvd Calendar'!$U$109)&gt;0)*(N('Dvd Calendar'!$U$109)&lt;=VAL_SERIAL)*1000000+10*1000+17))</f>
        <v/>
      </c>
      <c r="EV21" s="121">
        <f>IF(N('Dvd Calendar'!$V$110)=0,"",IF(('Dvd Calendar'!$V$110&gt;=GRID_FROM)*('Dvd Calendar'!$V$110&lt;=GRID_TO)*((('Dvd Calendar'!$V$110&lt;=VAL_DATE)+(COUNTIF('Dvd Calendar'!$E$117:$AR$117,'Dvd Calendar'!$V$110)=0))&gt;0)=0,"",'Dvd Calendar'!$V$110*1000000000+ISNUMBER('Dvd Calendar'!$V$113)*100000000+('Dvd Calendar'!$V$115=SPECIAL_LBL)*10000000+(N('Dvd Calendar'!$V$109)&gt;0)*(N('Dvd Calendar'!$V$109)&lt;=VAL_SERIAL)*1000000+10*1000+18))</f>
        <v/>
      </c>
      <c r="EW21" s="121">
        <f>IF(N('Dvd Calendar'!$W$110)=0,"",IF(('Dvd Calendar'!$W$110&gt;=GRID_FROM)*('Dvd Calendar'!$W$110&lt;=GRID_TO)*((('Dvd Calendar'!$W$110&lt;=VAL_DATE)+(COUNTIF('Dvd Calendar'!$E$117:$AR$117,'Dvd Calendar'!$W$110)=0))&gt;0)=0,"",'Dvd Calendar'!$W$110*1000000000+ISNUMBER('Dvd Calendar'!$W$113)*100000000+('Dvd Calendar'!$W$115=SPECIAL_LBL)*10000000+(N('Dvd Calendar'!$W$109)&gt;0)*(N('Dvd Calendar'!$W$109)&lt;=VAL_SERIAL)*1000000+10*1000+19))</f>
        <v/>
      </c>
      <c r="EX21" s="121">
        <f>IF(N('Dvd Calendar'!$X$110)=0,"",IF(('Dvd Calendar'!$X$110&gt;=GRID_FROM)*('Dvd Calendar'!$X$110&lt;=GRID_TO)*((('Dvd Calendar'!$X$110&lt;=VAL_DATE)+(COUNTIF('Dvd Calendar'!$E$117:$AR$117,'Dvd Calendar'!$X$110)=0))&gt;0)=0,"",'Dvd Calendar'!$X$110*1000000000+ISNUMBER('Dvd Calendar'!$X$113)*100000000+('Dvd Calendar'!$X$115=SPECIAL_LBL)*10000000+(N('Dvd Calendar'!$X$109)&gt;0)*(N('Dvd Calendar'!$X$109)&lt;=VAL_SERIAL)*1000000+10*1000+20))</f>
        <v/>
      </c>
      <c r="EY21" s="121">
        <f>IF(N('Dvd Calendar'!$Y$110)=0,"",IF(('Dvd Calendar'!$Y$110&gt;=GRID_FROM)*('Dvd Calendar'!$Y$110&lt;=GRID_TO)*((('Dvd Calendar'!$Y$110&lt;=VAL_DATE)+(COUNTIF('Dvd Calendar'!$E$117:$AR$117,'Dvd Calendar'!$Y$110)=0))&gt;0)=0,"",'Dvd Calendar'!$Y$110*1000000000+ISNUMBER('Dvd Calendar'!$Y$113)*100000000+('Dvd Calendar'!$Y$115=SPECIAL_LBL)*10000000+(N('Dvd Calendar'!$Y$109)&gt;0)*(N('Dvd Calendar'!$Y$109)&lt;=VAL_SERIAL)*1000000+10*1000+21))</f>
        <v/>
      </c>
      <c r="EZ21" s="121">
        <f>IF(N('Dvd Calendar'!$Z$110)=0,"",IF(('Dvd Calendar'!$Z$110&gt;=GRID_FROM)*('Dvd Calendar'!$Z$110&lt;=GRID_TO)*((('Dvd Calendar'!$Z$110&lt;=VAL_DATE)+(COUNTIF('Dvd Calendar'!$E$117:$AR$117,'Dvd Calendar'!$Z$110)=0))&gt;0)=0,"",'Dvd Calendar'!$Z$110*1000000000+ISNUMBER('Dvd Calendar'!$Z$113)*100000000+('Dvd Calendar'!$Z$115=SPECIAL_LBL)*10000000+(N('Dvd Calendar'!$Z$109)&gt;0)*(N('Dvd Calendar'!$Z$109)&lt;=VAL_SERIAL)*1000000+10*1000+22))</f>
        <v/>
      </c>
      <c r="FA21" s="121">
        <f>IF(N('Dvd Calendar'!$AA$110)=0,"",IF(('Dvd Calendar'!$AA$110&gt;=GRID_FROM)*('Dvd Calendar'!$AA$110&lt;=GRID_TO)*((('Dvd Calendar'!$AA$110&lt;=VAL_DATE)+(COUNTIF('Dvd Calendar'!$E$117:$AR$117,'Dvd Calendar'!$AA$110)=0))&gt;0)=0,"",'Dvd Calendar'!$AA$110*1000000000+ISNUMBER('Dvd Calendar'!$AA$113)*100000000+('Dvd Calendar'!$AA$115=SPECIAL_LBL)*10000000+(N('Dvd Calendar'!$AA$109)&gt;0)*(N('Dvd Calendar'!$AA$109)&lt;=VAL_SERIAL)*1000000+10*1000+23))</f>
        <v/>
      </c>
      <c r="FB21" s="121">
        <f>IF(N('Dvd Calendar'!$AB$110)=0,"",IF(('Dvd Calendar'!$AB$110&gt;=GRID_FROM)*('Dvd Calendar'!$AB$110&lt;=GRID_TO)*((('Dvd Calendar'!$AB$110&lt;=VAL_DATE)+(COUNTIF('Dvd Calendar'!$E$117:$AR$117,'Dvd Calendar'!$AB$110)=0))&gt;0)=0,"",'Dvd Calendar'!$AB$110*1000000000+ISNUMBER('Dvd Calendar'!$AB$113)*100000000+('Dvd Calendar'!$AB$115=SPECIAL_LBL)*10000000+(N('Dvd Calendar'!$AB$109)&gt;0)*(N('Dvd Calendar'!$AB$109)&lt;=VAL_SERIAL)*1000000+10*1000+24))</f>
        <v/>
      </c>
      <c r="FC21" s="121">
        <f>IF(N('Dvd Calendar'!$AC$110)=0,"",IF(('Dvd Calendar'!$AC$110&gt;=GRID_FROM)*('Dvd Calendar'!$AC$110&lt;=GRID_TO)*((('Dvd Calendar'!$AC$110&lt;=VAL_DATE)+(COUNTIF('Dvd Calendar'!$E$117:$AR$117,'Dvd Calendar'!$AC$110)=0))&gt;0)=0,"",'Dvd Calendar'!$AC$110*1000000000+ISNUMBER('Dvd Calendar'!$AC$113)*100000000+('Dvd Calendar'!$AC$115=SPECIAL_LBL)*10000000+(N('Dvd Calendar'!$AC$109)&gt;0)*(N('Dvd Calendar'!$AC$109)&lt;=VAL_SERIAL)*1000000+10*1000+25))</f>
        <v/>
      </c>
      <c r="FD21" s="121">
        <f>IF(N('Dvd Calendar'!$AD$110)=0,"",IF(('Dvd Calendar'!$AD$110&gt;=GRID_FROM)*('Dvd Calendar'!$AD$110&lt;=GRID_TO)*((('Dvd Calendar'!$AD$110&lt;=VAL_DATE)+(COUNTIF('Dvd Calendar'!$E$117:$AR$117,'Dvd Calendar'!$AD$110)=0))&gt;0)=0,"",'Dvd Calendar'!$AD$110*1000000000+ISNUMBER('Dvd Calendar'!$AD$113)*100000000+('Dvd Calendar'!$AD$115=SPECIAL_LBL)*10000000+(N('Dvd Calendar'!$AD$109)&gt;0)*(N('Dvd Calendar'!$AD$109)&lt;=VAL_SERIAL)*1000000+10*1000+26))</f>
        <v/>
      </c>
      <c r="FE21" s="121">
        <f>IF(N('Dvd Calendar'!$AE$110)=0,"",IF(('Dvd Calendar'!$AE$110&gt;=GRID_FROM)*('Dvd Calendar'!$AE$110&lt;=GRID_TO)*((('Dvd Calendar'!$AE$110&lt;=VAL_DATE)+(COUNTIF('Dvd Calendar'!$E$117:$AR$117,'Dvd Calendar'!$AE$110)=0))&gt;0)=0,"",'Dvd Calendar'!$AE$110*1000000000+ISNUMBER('Dvd Calendar'!$AE$113)*100000000+('Dvd Calendar'!$AE$115=SPECIAL_LBL)*10000000+(N('Dvd Calendar'!$AE$109)&gt;0)*(N('Dvd Calendar'!$AE$109)&lt;=VAL_SERIAL)*1000000+10*1000+27))</f>
        <v/>
      </c>
      <c r="FF21" s="121">
        <f>IF(N('Dvd Calendar'!$AF$110)=0,"",IF(('Dvd Calendar'!$AF$110&gt;=GRID_FROM)*('Dvd Calendar'!$AF$110&lt;=GRID_TO)*((('Dvd Calendar'!$AF$110&lt;=VAL_DATE)+(COUNTIF('Dvd Calendar'!$E$117:$AR$117,'Dvd Calendar'!$AF$110)=0))&gt;0)=0,"",'Dvd Calendar'!$AF$110*1000000000+ISNUMBER('Dvd Calendar'!$AF$113)*100000000+('Dvd Calendar'!$AF$115=SPECIAL_LBL)*10000000+(N('Dvd Calendar'!$AF$109)&gt;0)*(N('Dvd Calendar'!$AF$109)&lt;=VAL_SERIAL)*1000000+10*1000+28))</f>
        <v/>
      </c>
      <c r="FG21" s="121">
        <f>IF(N('Dvd Calendar'!$AG$110)=0,"",IF(('Dvd Calendar'!$AG$110&gt;=GRID_FROM)*('Dvd Calendar'!$AG$110&lt;=GRID_TO)*((('Dvd Calendar'!$AG$110&lt;=VAL_DATE)+(COUNTIF('Dvd Calendar'!$E$117:$AR$117,'Dvd Calendar'!$AG$110)=0))&gt;0)=0,"",'Dvd Calendar'!$AG$110*1000000000+ISNUMBER('Dvd Calendar'!$AG$113)*100000000+('Dvd Calendar'!$AG$115=SPECIAL_LBL)*10000000+(N('Dvd Calendar'!$AG$109)&gt;0)*(N('Dvd Calendar'!$AG$109)&lt;=VAL_SERIAL)*1000000+10*1000+29))</f>
        <v/>
      </c>
      <c r="FH21" s="121">
        <f>IF(N('Dvd Calendar'!$AH$110)=0,"",IF(('Dvd Calendar'!$AH$110&gt;=GRID_FROM)*('Dvd Calendar'!$AH$110&lt;=GRID_TO)*((('Dvd Calendar'!$AH$110&lt;=VAL_DATE)+(COUNTIF('Dvd Calendar'!$E$117:$AR$117,'Dvd Calendar'!$AH$110)=0))&gt;0)=0,"",'Dvd Calendar'!$AH$110*1000000000+ISNUMBER('Dvd Calendar'!$AH$113)*100000000+('Dvd Calendar'!$AH$115=SPECIAL_LBL)*10000000+(N('Dvd Calendar'!$AH$109)&gt;0)*(N('Dvd Calendar'!$AH$109)&lt;=VAL_SERIAL)*1000000+10*1000+30))</f>
        <v/>
      </c>
      <c r="FI21" s="121">
        <f>IF(N('Dvd Calendar'!$AI$110)=0,"",IF(('Dvd Calendar'!$AI$110&gt;=GRID_FROM)*('Dvd Calendar'!$AI$110&lt;=GRID_TO)*((('Dvd Calendar'!$AI$110&lt;=VAL_DATE)+(COUNTIF('Dvd Calendar'!$E$117:$AR$117,'Dvd Calendar'!$AI$110)=0))&gt;0)=0,"",'Dvd Calendar'!$AI$110*1000000000+ISNUMBER('Dvd Calendar'!$AI$113)*100000000+('Dvd Calendar'!$AI$115=SPECIAL_LBL)*10000000+(N('Dvd Calendar'!$AI$109)&gt;0)*(N('Dvd Calendar'!$AI$109)&lt;=VAL_SERIAL)*1000000+10*1000+31))</f>
        <v/>
      </c>
      <c r="FJ21" s="121">
        <f>IF(N('Dvd Calendar'!$AJ$110)=0,"",IF(('Dvd Calendar'!$AJ$110&gt;=GRID_FROM)*('Dvd Calendar'!$AJ$110&lt;=GRID_TO)*((('Dvd Calendar'!$AJ$110&lt;=VAL_DATE)+(COUNTIF('Dvd Calendar'!$E$117:$AR$117,'Dvd Calendar'!$AJ$110)=0))&gt;0)=0,"",'Dvd Calendar'!$AJ$110*1000000000+ISNUMBER('Dvd Calendar'!$AJ$113)*100000000+('Dvd Calendar'!$AJ$115=SPECIAL_LBL)*10000000+(N('Dvd Calendar'!$AJ$109)&gt;0)*(N('Dvd Calendar'!$AJ$109)&lt;=VAL_SERIAL)*1000000+10*1000+32))</f>
        <v/>
      </c>
      <c r="FK21" s="121">
        <f>IF(N('Dvd Calendar'!$AK$110)=0,"",IF(('Dvd Calendar'!$AK$110&gt;=GRID_FROM)*('Dvd Calendar'!$AK$110&lt;=GRID_TO)*((('Dvd Calendar'!$AK$110&lt;=VAL_DATE)+(COUNTIF('Dvd Calendar'!$E$117:$AR$117,'Dvd Calendar'!$AK$110)=0))&gt;0)=0,"",'Dvd Calendar'!$AK$110*1000000000+ISNUMBER('Dvd Calendar'!$AK$113)*100000000+('Dvd Calendar'!$AK$115=SPECIAL_LBL)*10000000+(N('Dvd Calendar'!$AK$109)&gt;0)*(N('Dvd Calendar'!$AK$109)&lt;=VAL_SERIAL)*1000000+10*1000+33))</f>
        <v/>
      </c>
      <c r="FL21" s="121">
        <f>IF(N('Dvd Calendar'!$AL$110)=0,"",IF(('Dvd Calendar'!$AL$110&gt;=GRID_FROM)*('Dvd Calendar'!$AL$110&lt;=GRID_TO)*((('Dvd Calendar'!$AL$110&lt;=VAL_DATE)+(COUNTIF('Dvd Calendar'!$E$117:$AR$117,'Dvd Calendar'!$AL$110)=0))&gt;0)=0,"",'Dvd Calendar'!$AL$110*1000000000+ISNUMBER('Dvd Calendar'!$AL$113)*100000000+('Dvd Calendar'!$AL$115=SPECIAL_LBL)*10000000+(N('Dvd Calendar'!$AL$109)&gt;0)*(N('Dvd Calendar'!$AL$109)&lt;=VAL_SERIAL)*1000000+10*1000+34))</f>
        <v/>
      </c>
      <c r="FM21" s="121">
        <f>IF(N('Dvd Calendar'!$AM$110)=0,"",IF(('Dvd Calendar'!$AM$110&gt;=GRID_FROM)*('Dvd Calendar'!$AM$110&lt;=GRID_TO)*((('Dvd Calendar'!$AM$110&lt;=VAL_DATE)+(COUNTIF('Dvd Calendar'!$E$117:$AR$117,'Dvd Calendar'!$AM$110)=0))&gt;0)=0,"",'Dvd Calendar'!$AM$110*1000000000+ISNUMBER('Dvd Calendar'!$AM$113)*100000000+('Dvd Calendar'!$AM$115=SPECIAL_LBL)*10000000+(N('Dvd Calendar'!$AM$109)&gt;0)*(N('Dvd Calendar'!$AM$109)&lt;=VAL_SERIAL)*1000000+10*1000+35))</f>
        <v/>
      </c>
      <c r="FN21" s="121">
        <f>IF(N('Dvd Calendar'!$AN$110)=0,"",IF(('Dvd Calendar'!$AN$110&gt;=GRID_FROM)*('Dvd Calendar'!$AN$110&lt;=GRID_TO)*((('Dvd Calendar'!$AN$110&lt;=VAL_DATE)+(COUNTIF('Dvd Calendar'!$E$117:$AR$117,'Dvd Calendar'!$AN$110)=0))&gt;0)=0,"",'Dvd Calendar'!$AN$110*1000000000+ISNUMBER('Dvd Calendar'!$AN$113)*100000000+('Dvd Calendar'!$AN$115=SPECIAL_LBL)*10000000+(N('Dvd Calendar'!$AN$109)&gt;0)*(N('Dvd Calendar'!$AN$109)&lt;=VAL_SERIAL)*1000000+10*1000+36))</f>
        <v/>
      </c>
      <c r="FO21" s="121">
        <f>IF(N('Dvd Calendar'!$AO$110)=0,"",IF(('Dvd Calendar'!$AO$110&gt;=GRID_FROM)*('Dvd Calendar'!$AO$110&lt;=GRID_TO)*((('Dvd Calendar'!$AO$110&lt;=VAL_DATE)+(COUNTIF('Dvd Calendar'!$E$117:$AR$117,'Dvd Calendar'!$AO$110)=0))&gt;0)=0,"",'Dvd Calendar'!$AO$110*1000000000+ISNUMBER('Dvd Calendar'!$AO$113)*100000000+('Dvd Calendar'!$AO$115=SPECIAL_LBL)*10000000+(N('Dvd Calendar'!$AO$109)&gt;0)*(N('Dvd Calendar'!$AO$109)&lt;=VAL_SERIAL)*1000000+10*1000+37))</f>
        <v/>
      </c>
      <c r="FP21" s="121">
        <f>IF(N('Dvd Calendar'!$AP$110)=0,"",IF(('Dvd Calendar'!$AP$110&gt;=GRID_FROM)*('Dvd Calendar'!$AP$110&lt;=GRID_TO)*((('Dvd Calendar'!$AP$110&lt;=VAL_DATE)+(COUNTIF('Dvd Calendar'!$E$117:$AR$117,'Dvd Calendar'!$AP$110)=0))&gt;0)=0,"",'Dvd Calendar'!$AP$110*1000000000+ISNUMBER('Dvd Calendar'!$AP$113)*100000000+('Dvd Calendar'!$AP$115=SPECIAL_LBL)*10000000+(N('Dvd Calendar'!$AP$109)&gt;0)*(N('Dvd Calendar'!$AP$109)&lt;=VAL_SERIAL)*1000000+10*1000+38))</f>
        <v/>
      </c>
      <c r="FQ21" s="121">
        <f>IF(N('Dvd Calendar'!$AQ$110)=0,"",IF(('Dvd Calendar'!$AQ$110&gt;=GRID_FROM)*('Dvd Calendar'!$AQ$110&lt;=GRID_TO)*((('Dvd Calendar'!$AQ$110&lt;=VAL_DATE)+(COUNTIF('Dvd Calendar'!$E$117:$AR$117,'Dvd Calendar'!$AQ$110)=0))&gt;0)=0,"",'Dvd Calendar'!$AQ$110*1000000000+ISNUMBER('Dvd Calendar'!$AQ$113)*100000000+('Dvd Calendar'!$AQ$115=SPECIAL_LBL)*10000000+(N('Dvd Calendar'!$AQ$109)&gt;0)*(N('Dvd Calendar'!$AQ$109)&lt;=VAL_SERIAL)*1000000+10*1000+39))</f>
        <v/>
      </c>
      <c r="FR21" s="121">
        <f>IF(N('Dvd Calendar'!$AR$110)=0,"",IF(('Dvd Calendar'!$AR$110&gt;=GRID_FROM)*('Dvd Calendar'!$AR$110&lt;=GRID_TO)*((('Dvd Calendar'!$AR$110&lt;=VAL_DATE)+(COUNTIF('Dvd Calendar'!$E$117:$AR$117,'Dvd Calendar'!$AR$110)=0))&gt;0)=0,"",'Dvd Calendar'!$AR$110*1000000000+ISNUMBER('Dvd Calendar'!$AR$113)*100000000+('Dvd Calendar'!$AR$115=SPECIAL_LBL)*10000000+(N('Dvd Calendar'!$AR$109)&gt;0)*(N('Dvd Calendar'!$AR$109)&lt;=VAL_SERIAL)*1000000+10*1000+40))</f>
        <v/>
      </c>
      <c r="FS21" s="121">
        <f>IF(N('Dvd Calendar'!$E$117)=0,"",IF(('Dvd Calendar'!$E$117&gt;=GRID_FROM)*('Dvd Calendar'!$E$117&lt;=GRID_TO)*('Dvd Calendar'!$E$117&gt;VAL_DATE)=0,"",'Dvd Calendar'!$E$117*1000000000+ISNUMBER('Dvd Calendar'!$E$118)*100000000+0*10000000+(N('Dvd Calendar'!$E$116)&gt;0)*(N('Dvd Calendar'!$E$116)&lt;=VAL_SERIAL)*1000000+10*1000+41))</f>
        <v/>
      </c>
      <c r="FT21" s="121">
        <f>IF(N('Dvd Calendar'!$F$117)=0,"",IF(('Dvd Calendar'!$F$117&gt;=GRID_FROM)*('Dvd Calendar'!$F$117&lt;=GRID_TO)*('Dvd Calendar'!$F$117&gt;VAL_DATE)=0,"",'Dvd Calendar'!$F$117*1000000000+ISNUMBER('Dvd Calendar'!$F$118)*100000000+0*10000000+(N('Dvd Calendar'!$F$116)&gt;0)*(N('Dvd Calendar'!$F$116)&lt;=VAL_SERIAL)*1000000+10*1000+42))</f>
        <v/>
      </c>
      <c r="FU21" s="121">
        <f>IF(N('Dvd Calendar'!$G$117)=0,"",IF(('Dvd Calendar'!$G$117&gt;=GRID_FROM)*('Dvd Calendar'!$G$117&lt;=GRID_TO)*('Dvd Calendar'!$G$117&gt;VAL_DATE)=0,"",'Dvd Calendar'!$G$117*1000000000+ISNUMBER('Dvd Calendar'!$G$118)*100000000+0*10000000+(N('Dvd Calendar'!$G$116)&gt;0)*(N('Dvd Calendar'!$G$116)&lt;=VAL_SERIAL)*1000000+10*1000+43))</f>
        <v/>
      </c>
      <c r="FV21" s="121">
        <f>IF(N('Dvd Calendar'!$H$117)=0,"",IF(('Dvd Calendar'!$H$117&gt;=GRID_FROM)*('Dvd Calendar'!$H$117&lt;=GRID_TO)*('Dvd Calendar'!$H$117&gt;VAL_DATE)=0,"",'Dvd Calendar'!$H$117*1000000000+ISNUMBER('Dvd Calendar'!$H$118)*100000000+0*10000000+(N('Dvd Calendar'!$H$116)&gt;0)*(N('Dvd Calendar'!$H$116)&lt;=VAL_SERIAL)*1000000+10*1000+44))</f>
        <v/>
      </c>
      <c r="FW21" s="121">
        <f>IF(N('Dvd Calendar'!$I$117)=0,"",IF(('Dvd Calendar'!$I$117&gt;=GRID_FROM)*('Dvd Calendar'!$I$117&lt;=GRID_TO)*('Dvd Calendar'!$I$117&gt;VAL_DATE)=0,"",'Dvd Calendar'!$I$117*1000000000+ISNUMBER('Dvd Calendar'!$I$118)*100000000+0*10000000+(N('Dvd Calendar'!$I$116)&gt;0)*(N('Dvd Calendar'!$I$116)&lt;=VAL_SERIAL)*1000000+10*1000+45))</f>
        <v/>
      </c>
      <c r="FX21" s="121">
        <f>IF(N('Dvd Calendar'!$J$117)=0,"",IF(('Dvd Calendar'!$J$117&gt;=GRID_FROM)*('Dvd Calendar'!$J$117&lt;=GRID_TO)*('Dvd Calendar'!$J$117&gt;VAL_DATE)=0,"",'Dvd Calendar'!$J$117*1000000000+ISNUMBER('Dvd Calendar'!$J$118)*100000000+0*10000000+(N('Dvd Calendar'!$J$116)&gt;0)*(N('Dvd Calendar'!$J$116)&lt;=VAL_SERIAL)*1000000+10*1000+46))</f>
        <v/>
      </c>
      <c r="FY21" s="121">
        <f>IF(N('Dvd Calendar'!$K$117)=0,"",IF(('Dvd Calendar'!$K$117&gt;=GRID_FROM)*('Dvd Calendar'!$K$117&lt;=GRID_TO)*('Dvd Calendar'!$K$117&gt;VAL_DATE)=0,"",'Dvd Calendar'!$K$117*1000000000+ISNUMBER('Dvd Calendar'!$K$118)*100000000+0*10000000+(N('Dvd Calendar'!$K$116)&gt;0)*(N('Dvd Calendar'!$K$116)&lt;=VAL_SERIAL)*1000000+10*1000+47))</f>
        <v/>
      </c>
      <c r="FZ21" s="121">
        <f>IF(N('Dvd Calendar'!$L$117)=0,"",IF(('Dvd Calendar'!$L$117&gt;=GRID_FROM)*('Dvd Calendar'!$L$117&lt;=GRID_TO)*('Dvd Calendar'!$L$117&gt;VAL_DATE)=0,"",'Dvd Calendar'!$L$117*1000000000+ISNUMBER('Dvd Calendar'!$L$118)*100000000+0*10000000+(N('Dvd Calendar'!$L$116)&gt;0)*(N('Dvd Calendar'!$L$116)&lt;=VAL_SERIAL)*1000000+10*1000+48))</f>
        <v/>
      </c>
      <c r="GA21" s="121">
        <f>IF(N('Dvd Calendar'!$M$117)=0,"",IF(('Dvd Calendar'!$M$117&gt;=GRID_FROM)*('Dvd Calendar'!$M$117&lt;=GRID_TO)*('Dvd Calendar'!$M$117&gt;VAL_DATE)=0,"",'Dvd Calendar'!$M$117*1000000000+ISNUMBER('Dvd Calendar'!$M$118)*100000000+0*10000000+(N('Dvd Calendar'!$M$116)&gt;0)*(N('Dvd Calendar'!$M$116)&lt;=VAL_SERIAL)*1000000+10*1000+49))</f>
        <v/>
      </c>
      <c r="GB21" s="121">
        <f>IF(N('Dvd Calendar'!$N$117)=0,"",IF(('Dvd Calendar'!$N$117&gt;=GRID_FROM)*('Dvd Calendar'!$N$117&lt;=GRID_TO)*('Dvd Calendar'!$N$117&gt;VAL_DATE)=0,"",'Dvd Calendar'!$N$117*1000000000+ISNUMBER('Dvd Calendar'!$N$118)*100000000+0*10000000+(N('Dvd Calendar'!$N$116)&gt;0)*(N('Dvd Calendar'!$N$116)&lt;=VAL_SERIAL)*1000000+10*1000+50))</f>
        <v/>
      </c>
      <c r="GC21" s="121">
        <f>IF(N('Dvd Calendar'!$O$117)=0,"",IF(('Dvd Calendar'!$O$117&gt;=GRID_FROM)*('Dvd Calendar'!$O$117&lt;=GRID_TO)*('Dvd Calendar'!$O$117&gt;VAL_DATE)=0,"",'Dvd Calendar'!$O$117*1000000000+ISNUMBER('Dvd Calendar'!$O$118)*100000000+0*10000000+(N('Dvd Calendar'!$O$116)&gt;0)*(N('Dvd Calendar'!$O$116)&lt;=VAL_SERIAL)*1000000+10*1000+51))</f>
        <v/>
      </c>
      <c r="GD21" s="121">
        <f>IF(N('Dvd Calendar'!$P$117)=0,"",IF(('Dvd Calendar'!$P$117&gt;=GRID_FROM)*('Dvd Calendar'!$P$117&lt;=GRID_TO)*('Dvd Calendar'!$P$117&gt;VAL_DATE)=0,"",'Dvd Calendar'!$P$117*1000000000+ISNUMBER('Dvd Calendar'!$P$118)*100000000+0*10000000+(N('Dvd Calendar'!$P$116)&gt;0)*(N('Dvd Calendar'!$P$116)&lt;=VAL_SERIAL)*1000000+10*1000+52))</f>
        <v/>
      </c>
      <c r="GE21" s="121">
        <f>IF(N('Dvd Calendar'!$Q$117)=0,"",IF(('Dvd Calendar'!$Q$117&gt;=GRID_FROM)*('Dvd Calendar'!$Q$117&lt;=GRID_TO)*('Dvd Calendar'!$Q$117&gt;VAL_DATE)=0,"",'Dvd Calendar'!$Q$117*1000000000+ISNUMBER('Dvd Calendar'!$Q$118)*100000000+0*10000000+(N('Dvd Calendar'!$Q$116)&gt;0)*(N('Dvd Calendar'!$Q$116)&lt;=VAL_SERIAL)*1000000+10*1000+53))</f>
        <v/>
      </c>
      <c r="GF21" s="121">
        <f>IF(N('Dvd Calendar'!$R$117)=0,"",IF(('Dvd Calendar'!$R$117&gt;=GRID_FROM)*('Dvd Calendar'!$R$117&lt;=GRID_TO)*('Dvd Calendar'!$R$117&gt;VAL_DATE)=0,"",'Dvd Calendar'!$R$117*1000000000+ISNUMBER('Dvd Calendar'!$R$118)*100000000+0*10000000+(N('Dvd Calendar'!$R$116)&gt;0)*(N('Dvd Calendar'!$R$116)&lt;=VAL_SERIAL)*1000000+10*1000+54))</f>
        <v/>
      </c>
      <c r="GG21" s="121">
        <f>IF(N('Dvd Calendar'!$S$117)=0,"",IF(('Dvd Calendar'!$S$117&gt;=GRID_FROM)*('Dvd Calendar'!$S$117&lt;=GRID_TO)*('Dvd Calendar'!$S$117&gt;VAL_DATE)=0,"",'Dvd Calendar'!$S$117*1000000000+ISNUMBER('Dvd Calendar'!$S$118)*100000000+0*10000000+(N('Dvd Calendar'!$S$116)&gt;0)*(N('Dvd Calendar'!$S$116)&lt;=VAL_SERIAL)*1000000+10*1000+55))</f>
        <v/>
      </c>
      <c r="GH21" s="121">
        <f>IF(N('Dvd Calendar'!$T$117)=0,"",IF(('Dvd Calendar'!$T$117&gt;=GRID_FROM)*('Dvd Calendar'!$T$117&lt;=GRID_TO)*('Dvd Calendar'!$T$117&gt;VAL_DATE)=0,"",'Dvd Calendar'!$T$117*1000000000+ISNUMBER('Dvd Calendar'!$T$118)*100000000+0*10000000+(N('Dvd Calendar'!$T$116)&gt;0)*(N('Dvd Calendar'!$T$116)&lt;=VAL_SERIAL)*1000000+10*1000+56))</f>
        <v/>
      </c>
      <c r="GI21" s="121">
        <f>IF(N('Dvd Calendar'!$U$117)=0,"",IF(('Dvd Calendar'!$U$117&gt;=GRID_FROM)*('Dvd Calendar'!$U$117&lt;=GRID_TO)*('Dvd Calendar'!$U$117&gt;VAL_DATE)=0,"",'Dvd Calendar'!$U$117*1000000000+ISNUMBER('Dvd Calendar'!$U$118)*100000000+0*10000000+(N('Dvd Calendar'!$U$116)&gt;0)*(N('Dvd Calendar'!$U$116)&lt;=VAL_SERIAL)*1000000+10*1000+57))</f>
        <v/>
      </c>
      <c r="GJ21" s="121">
        <f>IF(N('Dvd Calendar'!$V$117)=0,"",IF(('Dvd Calendar'!$V$117&gt;=GRID_FROM)*('Dvd Calendar'!$V$117&lt;=GRID_TO)*('Dvd Calendar'!$V$117&gt;VAL_DATE)=0,"",'Dvd Calendar'!$V$117*1000000000+ISNUMBER('Dvd Calendar'!$V$118)*100000000+0*10000000+(N('Dvd Calendar'!$V$116)&gt;0)*(N('Dvd Calendar'!$V$116)&lt;=VAL_SERIAL)*1000000+10*1000+58))</f>
        <v/>
      </c>
      <c r="GK21" s="121">
        <f>IF(N('Dvd Calendar'!$W$117)=0,"",IF(('Dvd Calendar'!$W$117&gt;=GRID_FROM)*('Dvd Calendar'!$W$117&lt;=GRID_TO)*('Dvd Calendar'!$W$117&gt;VAL_DATE)=0,"",'Dvd Calendar'!$W$117*1000000000+ISNUMBER('Dvd Calendar'!$W$118)*100000000+0*10000000+(N('Dvd Calendar'!$W$116)&gt;0)*(N('Dvd Calendar'!$W$116)&lt;=VAL_SERIAL)*1000000+10*1000+59))</f>
        <v/>
      </c>
      <c r="GL21" s="121">
        <f>IF(N('Dvd Calendar'!$X$117)=0,"",IF(('Dvd Calendar'!$X$117&gt;=GRID_FROM)*('Dvd Calendar'!$X$117&lt;=GRID_TO)*('Dvd Calendar'!$X$117&gt;VAL_DATE)=0,"",'Dvd Calendar'!$X$117*1000000000+ISNUMBER('Dvd Calendar'!$X$118)*100000000+0*10000000+(N('Dvd Calendar'!$X$116)&gt;0)*(N('Dvd Calendar'!$X$116)&lt;=VAL_SERIAL)*1000000+10*1000+60))</f>
        <v/>
      </c>
      <c r="GM21" s="121">
        <f>IF(N('Dvd Calendar'!$Y$117)=0,"",IF(('Dvd Calendar'!$Y$117&gt;=GRID_FROM)*('Dvd Calendar'!$Y$117&lt;=GRID_TO)*('Dvd Calendar'!$Y$117&gt;VAL_DATE)=0,"",'Dvd Calendar'!$Y$117*1000000000+ISNUMBER('Dvd Calendar'!$Y$118)*100000000+0*10000000+(N('Dvd Calendar'!$Y$116)&gt;0)*(N('Dvd Calendar'!$Y$116)&lt;=VAL_SERIAL)*1000000+10*1000+61))</f>
        <v/>
      </c>
      <c r="GN21" s="121">
        <f>IF(N('Dvd Calendar'!$Z$117)=0,"",IF(('Dvd Calendar'!$Z$117&gt;=GRID_FROM)*('Dvd Calendar'!$Z$117&lt;=GRID_TO)*('Dvd Calendar'!$Z$117&gt;VAL_DATE)=0,"",'Dvd Calendar'!$Z$117*1000000000+ISNUMBER('Dvd Calendar'!$Z$118)*100000000+0*10000000+(N('Dvd Calendar'!$Z$116)&gt;0)*(N('Dvd Calendar'!$Z$116)&lt;=VAL_SERIAL)*1000000+10*1000+62))</f>
        <v/>
      </c>
      <c r="GO21" s="121">
        <f>IF(N('Dvd Calendar'!$AA$117)=0,"",IF(('Dvd Calendar'!$AA$117&gt;=GRID_FROM)*('Dvd Calendar'!$AA$117&lt;=GRID_TO)*('Dvd Calendar'!$AA$117&gt;VAL_DATE)=0,"",'Dvd Calendar'!$AA$117*1000000000+ISNUMBER('Dvd Calendar'!$AA$118)*100000000+0*10000000+(N('Dvd Calendar'!$AA$116)&gt;0)*(N('Dvd Calendar'!$AA$116)&lt;=VAL_SERIAL)*1000000+10*1000+63))</f>
        <v/>
      </c>
      <c r="GP21" s="121">
        <f>IF(N('Dvd Calendar'!$AB$117)=0,"",IF(('Dvd Calendar'!$AB$117&gt;=GRID_FROM)*('Dvd Calendar'!$AB$117&lt;=GRID_TO)*('Dvd Calendar'!$AB$117&gt;VAL_DATE)=0,"",'Dvd Calendar'!$AB$117*1000000000+ISNUMBER('Dvd Calendar'!$AB$118)*100000000+0*10000000+(N('Dvd Calendar'!$AB$116)&gt;0)*(N('Dvd Calendar'!$AB$116)&lt;=VAL_SERIAL)*1000000+10*1000+64))</f>
        <v/>
      </c>
      <c r="GQ21" s="121">
        <f>IF(N('Dvd Calendar'!$AC$117)=0,"",IF(('Dvd Calendar'!$AC$117&gt;=GRID_FROM)*('Dvd Calendar'!$AC$117&lt;=GRID_TO)*('Dvd Calendar'!$AC$117&gt;VAL_DATE)=0,"",'Dvd Calendar'!$AC$117*1000000000+ISNUMBER('Dvd Calendar'!$AC$118)*100000000+0*10000000+(N('Dvd Calendar'!$AC$116)&gt;0)*(N('Dvd Calendar'!$AC$116)&lt;=VAL_SERIAL)*1000000+10*1000+65))</f>
        <v/>
      </c>
    </row>
    <row r="22">
      <c r="B22" s="2">
        <f>IF(HSI!$C$17="","",HSI!$C$17)</f>
        <v/>
      </c>
      <c r="C22" s="161">
        <f>IF(EE22="","",IF(ISNUMBER('Dvd Calendar'!$E$124)=FALSE,"",IF((('Dvd Calendar'!$E$126=TYPE1)*(TYPE1&lt;&gt;"")+('Dvd Calendar'!$E$126=TYPE2)*(TYPE2&lt;&gt;"")+('Dvd Calendar'!$E$126=TYPE3)*(TYPE3&lt;&gt;"")+('Dvd Calendar'!$E$126=TYPE4)*(TYPE4&lt;&gt;"")+('Dvd Calendar'!$E$126=SPECIAL_LBL)*(INC_SPECIALS="Y"))=0,"",'Dvd Calendar'!$E$124)))</f>
        <v/>
      </c>
      <c r="D22" s="161">
        <f>IF(EF22="","",IF(ISNUMBER('Dvd Calendar'!$F$124)=FALSE,"",IF((('Dvd Calendar'!$F$126=TYPE1)*(TYPE1&lt;&gt;"")+('Dvd Calendar'!$F$126=TYPE2)*(TYPE2&lt;&gt;"")+('Dvd Calendar'!$F$126=TYPE3)*(TYPE3&lt;&gt;"")+('Dvd Calendar'!$F$126=TYPE4)*(TYPE4&lt;&gt;"")+('Dvd Calendar'!$F$126=SPECIAL_LBL)*(INC_SPECIALS="Y"))=0,"",'Dvd Calendar'!$F$124)))</f>
        <v/>
      </c>
      <c r="E22" s="161">
        <f>IF(EG22="","",IF(ISNUMBER('Dvd Calendar'!$G$124)=FALSE,"",IF((('Dvd Calendar'!$G$126=TYPE1)*(TYPE1&lt;&gt;"")+('Dvd Calendar'!$G$126=TYPE2)*(TYPE2&lt;&gt;"")+('Dvd Calendar'!$G$126=TYPE3)*(TYPE3&lt;&gt;"")+('Dvd Calendar'!$G$126=TYPE4)*(TYPE4&lt;&gt;"")+('Dvd Calendar'!$G$126=SPECIAL_LBL)*(INC_SPECIALS="Y"))=0,"",'Dvd Calendar'!$G$124)))</f>
        <v/>
      </c>
      <c r="F22" s="161">
        <f>IF(EH22="","",IF(ISNUMBER('Dvd Calendar'!$H$124)=FALSE,"",IF((('Dvd Calendar'!$H$126=TYPE1)*(TYPE1&lt;&gt;"")+('Dvd Calendar'!$H$126=TYPE2)*(TYPE2&lt;&gt;"")+('Dvd Calendar'!$H$126=TYPE3)*(TYPE3&lt;&gt;"")+('Dvd Calendar'!$H$126=TYPE4)*(TYPE4&lt;&gt;"")+('Dvd Calendar'!$H$126=SPECIAL_LBL)*(INC_SPECIALS="Y"))=0,"",'Dvd Calendar'!$H$124)))</f>
        <v/>
      </c>
      <c r="G22" s="161">
        <f>IF(EI22="","",IF(ISNUMBER('Dvd Calendar'!$I$124)=FALSE,"",IF((('Dvd Calendar'!$I$126=TYPE1)*(TYPE1&lt;&gt;"")+('Dvd Calendar'!$I$126=TYPE2)*(TYPE2&lt;&gt;"")+('Dvd Calendar'!$I$126=TYPE3)*(TYPE3&lt;&gt;"")+('Dvd Calendar'!$I$126=TYPE4)*(TYPE4&lt;&gt;"")+('Dvd Calendar'!$I$126=SPECIAL_LBL)*(INC_SPECIALS="Y"))=0,"",'Dvd Calendar'!$I$124)))</f>
        <v/>
      </c>
      <c r="H22" s="161">
        <f>IF(EJ22="","",IF(ISNUMBER('Dvd Calendar'!$J$124)=FALSE,"",IF((('Dvd Calendar'!$J$126=TYPE1)*(TYPE1&lt;&gt;"")+('Dvd Calendar'!$J$126=TYPE2)*(TYPE2&lt;&gt;"")+('Dvd Calendar'!$J$126=TYPE3)*(TYPE3&lt;&gt;"")+('Dvd Calendar'!$J$126=TYPE4)*(TYPE4&lt;&gt;"")+('Dvd Calendar'!$J$126=SPECIAL_LBL)*(INC_SPECIALS="Y"))=0,"",'Dvd Calendar'!$J$124)))</f>
        <v/>
      </c>
      <c r="I22" s="161">
        <f>IF(EK22="","",IF(ISNUMBER('Dvd Calendar'!$K$124)=FALSE,"",IF((('Dvd Calendar'!$K$126=TYPE1)*(TYPE1&lt;&gt;"")+('Dvd Calendar'!$K$126=TYPE2)*(TYPE2&lt;&gt;"")+('Dvd Calendar'!$K$126=TYPE3)*(TYPE3&lt;&gt;"")+('Dvd Calendar'!$K$126=TYPE4)*(TYPE4&lt;&gt;"")+('Dvd Calendar'!$K$126=SPECIAL_LBL)*(INC_SPECIALS="Y"))=0,"",'Dvd Calendar'!$K$124)))</f>
        <v/>
      </c>
      <c r="J22" s="161">
        <f>IF(EL22="","",IF(ISNUMBER('Dvd Calendar'!$L$124)=FALSE,"",IF((('Dvd Calendar'!$L$126=TYPE1)*(TYPE1&lt;&gt;"")+('Dvd Calendar'!$L$126=TYPE2)*(TYPE2&lt;&gt;"")+('Dvd Calendar'!$L$126=TYPE3)*(TYPE3&lt;&gt;"")+('Dvd Calendar'!$L$126=TYPE4)*(TYPE4&lt;&gt;"")+('Dvd Calendar'!$L$126=SPECIAL_LBL)*(INC_SPECIALS="Y"))=0,"",'Dvd Calendar'!$L$124)))</f>
        <v/>
      </c>
      <c r="K22" s="161">
        <f>IF(EM22="","",IF(ISNUMBER('Dvd Calendar'!$M$124)=FALSE,"",IF((('Dvd Calendar'!$M$126=TYPE1)*(TYPE1&lt;&gt;"")+('Dvd Calendar'!$M$126=TYPE2)*(TYPE2&lt;&gt;"")+('Dvd Calendar'!$M$126=TYPE3)*(TYPE3&lt;&gt;"")+('Dvd Calendar'!$M$126=TYPE4)*(TYPE4&lt;&gt;"")+('Dvd Calendar'!$M$126=SPECIAL_LBL)*(INC_SPECIALS="Y"))=0,"",'Dvd Calendar'!$M$124)))</f>
        <v/>
      </c>
      <c r="L22" s="161">
        <f>IF(EN22="","",IF(ISNUMBER('Dvd Calendar'!$N$124)=FALSE,"",IF((('Dvd Calendar'!$N$126=TYPE1)*(TYPE1&lt;&gt;"")+('Dvd Calendar'!$N$126=TYPE2)*(TYPE2&lt;&gt;"")+('Dvd Calendar'!$N$126=TYPE3)*(TYPE3&lt;&gt;"")+('Dvd Calendar'!$N$126=TYPE4)*(TYPE4&lt;&gt;"")+('Dvd Calendar'!$N$126=SPECIAL_LBL)*(INC_SPECIALS="Y"))=0,"",'Dvd Calendar'!$N$124)))</f>
        <v/>
      </c>
      <c r="M22" s="161">
        <f>IF(EO22="","",IF(ISNUMBER('Dvd Calendar'!$O$124)=FALSE,"",IF((('Dvd Calendar'!$O$126=TYPE1)*(TYPE1&lt;&gt;"")+('Dvd Calendar'!$O$126=TYPE2)*(TYPE2&lt;&gt;"")+('Dvd Calendar'!$O$126=TYPE3)*(TYPE3&lt;&gt;"")+('Dvd Calendar'!$O$126=TYPE4)*(TYPE4&lt;&gt;"")+('Dvd Calendar'!$O$126=SPECIAL_LBL)*(INC_SPECIALS="Y"))=0,"",'Dvd Calendar'!$O$124)))</f>
        <v/>
      </c>
      <c r="N22" s="161">
        <f>IF(EP22="","",IF(ISNUMBER('Dvd Calendar'!$P$124)=FALSE,"",IF((('Dvd Calendar'!$P$126=TYPE1)*(TYPE1&lt;&gt;"")+('Dvd Calendar'!$P$126=TYPE2)*(TYPE2&lt;&gt;"")+('Dvd Calendar'!$P$126=TYPE3)*(TYPE3&lt;&gt;"")+('Dvd Calendar'!$P$126=TYPE4)*(TYPE4&lt;&gt;"")+('Dvd Calendar'!$P$126=SPECIAL_LBL)*(INC_SPECIALS="Y"))=0,"",'Dvd Calendar'!$P$124)))</f>
        <v/>
      </c>
      <c r="O22" s="161">
        <f>IF(EQ22="","",IF(ISNUMBER('Dvd Calendar'!$Q$124)=FALSE,"",IF((('Dvd Calendar'!$Q$126=TYPE1)*(TYPE1&lt;&gt;"")+('Dvd Calendar'!$Q$126=TYPE2)*(TYPE2&lt;&gt;"")+('Dvd Calendar'!$Q$126=TYPE3)*(TYPE3&lt;&gt;"")+('Dvd Calendar'!$Q$126=TYPE4)*(TYPE4&lt;&gt;"")+('Dvd Calendar'!$Q$126=SPECIAL_LBL)*(INC_SPECIALS="Y"))=0,"",'Dvd Calendar'!$Q$124)))</f>
        <v/>
      </c>
      <c r="P22" s="161">
        <f>IF(ER22="","",IF(ISNUMBER('Dvd Calendar'!$R$124)=FALSE,"",IF((('Dvd Calendar'!$R$126=TYPE1)*(TYPE1&lt;&gt;"")+('Dvd Calendar'!$R$126=TYPE2)*(TYPE2&lt;&gt;"")+('Dvd Calendar'!$R$126=TYPE3)*(TYPE3&lt;&gt;"")+('Dvd Calendar'!$R$126=TYPE4)*(TYPE4&lt;&gt;"")+('Dvd Calendar'!$R$126=SPECIAL_LBL)*(INC_SPECIALS="Y"))=0,"",'Dvd Calendar'!$R$124)))</f>
        <v/>
      </c>
      <c r="Q22" s="161">
        <f>IF(ES22="","",IF(ISNUMBER('Dvd Calendar'!$S$124)=FALSE,"",IF((('Dvd Calendar'!$S$126=TYPE1)*(TYPE1&lt;&gt;"")+('Dvd Calendar'!$S$126=TYPE2)*(TYPE2&lt;&gt;"")+('Dvd Calendar'!$S$126=TYPE3)*(TYPE3&lt;&gt;"")+('Dvd Calendar'!$S$126=TYPE4)*(TYPE4&lt;&gt;"")+('Dvd Calendar'!$S$126=SPECIAL_LBL)*(INC_SPECIALS="Y"))=0,"",'Dvd Calendar'!$S$124)))</f>
        <v/>
      </c>
      <c r="R22" s="161">
        <f>IF(ET22="","",IF(ISNUMBER('Dvd Calendar'!$T$124)=FALSE,"",IF((('Dvd Calendar'!$T$126=TYPE1)*(TYPE1&lt;&gt;"")+('Dvd Calendar'!$T$126=TYPE2)*(TYPE2&lt;&gt;"")+('Dvd Calendar'!$T$126=TYPE3)*(TYPE3&lt;&gt;"")+('Dvd Calendar'!$T$126=TYPE4)*(TYPE4&lt;&gt;"")+('Dvd Calendar'!$T$126=SPECIAL_LBL)*(INC_SPECIALS="Y"))=0,"",'Dvd Calendar'!$T$124)))</f>
        <v/>
      </c>
      <c r="S22" s="161">
        <f>IF(EU22="","",IF(ISNUMBER('Dvd Calendar'!$U$124)=FALSE,"",IF((('Dvd Calendar'!$U$126=TYPE1)*(TYPE1&lt;&gt;"")+('Dvd Calendar'!$U$126=TYPE2)*(TYPE2&lt;&gt;"")+('Dvd Calendar'!$U$126=TYPE3)*(TYPE3&lt;&gt;"")+('Dvd Calendar'!$U$126=TYPE4)*(TYPE4&lt;&gt;"")+('Dvd Calendar'!$U$126=SPECIAL_LBL)*(INC_SPECIALS="Y"))=0,"",'Dvd Calendar'!$U$124)))</f>
        <v/>
      </c>
      <c r="T22" s="161">
        <f>IF(EV22="","",IF(ISNUMBER('Dvd Calendar'!$V$124)=FALSE,"",IF((('Dvd Calendar'!$V$126=TYPE1)*(TYPE1&lt;&gt;"")+('Dvd Calendar'!$V$126=TYPE2)*(TYPE2&lt;&gt;"")+('Dvd Calendar'!$V$126=TYPE3)*(TYPE3&lt;&gt;"")+('Dvd Calendar'!$V$126=TYPE4)*(TYPE4&lt;&gt;"")+('Dvd Calendar'!$V$126=SPECIAL_LBL)*(INC_SPECIALS="Y"))=0,"",'Dvd Calendar'!$V$124)))</f>
        <v/>
      </c>
      <c r="U22" s="161">
        <f>IF(EW22="","",IF(ISNUMBER('Dvd Calendar'!$W$124)=FALSE,"",IF((('Dvd Calendar'!$W$126=TYPE1)*(TYPE1&lt;&gt;"")+('Dvd Calendar'!$W$126=TYPE2)*(TYPE2&lt;&gt;"")+('Dvd Calendar'!$W$126=TYPE3)*(TYPE3&lt;&gt;"")+('Dvd Calendar'!$W$126=TYPE4)*(TYPE4&lt;&gt;"")+('Dvd Calendar'!$W$126=SPECIAL_LBL)*(INC_SPECIALS="Y"))=0,"",'Dvd Calendar'!$W$124)))</f>
        <v/>
      </c>
      <c r="V22" s="161">
        <f>IF(EX22="","",IF(ISNUMBER('Dvd Calendar'!$X$124)=FALSE,"",IF((('Dvd Calendar'!$X$126=TYPE1)*(TYPE1&lt;&gt;"")+('Dvd Calendar'!$X$126=TYPE2)*(TYPE2&lt;&gt;"")+('Dvd Calendar'!$X$126=TYPE3)*(TYPE3&lt;&gt;"")+('Dvd Calendar'!$X$126=TYPE4)*(TYPE4&lt;&gt;"")+('Dvd Calendar'!$X$126=SPECIAL_LBL)*(INC_SPECIALS="Y"))=0,"",'Dvd Calendar'!$X$124)))</f>
        <v/>
      </c>
      <c r="W22" s="161">
        <f>IF(EY22="","",IF(ISNUMBER('Dvd Calendar'!$Y$124)=FALSE,"",IF((('Dvd Calendar'!$Y$126=TYPE1)*(TYPE1&lt;&gt;"")+('Dvd Calendar'!$Y$126=TYPE2)*(TYPE2&lt;&gt;"")+('Dvd Calendar'!$Y$126=TYPE3)*(TYPE3&lt;&gt;"")+('Dvd Calendar'!$Y$126=TYPE4)*(TYPE4&lt;&gt;"")+('Dvd Calendar'!$Y$126=SPECIAL_LBL)*(INC_SPECIALS="Y"))=0,"",'Dvd Calendar'!$Y$124)))</f>
        <v/>
      </c>
      <c r="X22" s="161">
        <f>IF(EZ22="","",IF(ISNUMBER('Dvd Calendar'!$Z$124)=FALSE,"",IF((('Dvd Calendar'!$Z$126=TYPE1)*(TYPE1&lt;&gt;"")+('Dvd Calendar'!$Z$126=TYPE2)*(TYPE2&lt;&gt;"")+('Dvd Calendar'!$Z$126=TYPE3)*(TYPE3&lt;&gt;"")+('Dvd Calendar'!$Z$126=TYPE4)*(TYPE4&lt;&gt;"")+('Dvd Calendar'!$Z$126=SPECIAL_LBL)*(INC_SPECIALS="Y"))=0,"",'Dvd Calendar'!$Z$124)))</f>
        <v/>
      </c>
      <c r="Y22" s="161">
        <f>IF(FA22="","",IF(ISNUMBER('Dvd Calendar'!$AA$124)=FALSE,"",IF((('Dvd Calendar'!$AA$126=TYPE1)*(TYPE1&lt;&gt;"")+('Dvd Calendar'!$AA$126=TYPE2)*(TYPE2&lt;&gt;"")+('Dvd Calendar'!$AA$126=TYPE3)*(TYPE3&lt;&gt;"")+('Dvd Calendar'!$AA$126=TYPE4)*(TYPE4&lt;&gt;"")+('Dvd Calendar'!$AA$126=SPECIAL_LBL)*(INC_SPECIALS="Y"))=0,"",'Dvd Calendar'!$AA$124)))</f>
        <v/>
      </c>
      <c r="Z22" s="161">
        <f>IF(FB22="","",IF(ISNUMBER('Dvd Calendar'!$AB$124)=FALSE,"",IF((('Dvd Calendar'!$AB$126=TYPE1)*(TYPE1&lt;&gt;"")+('Dvd Calendar'!$AB$126=TYPE2)*(TYPE2&lt;&gt;"")+('Dvd Calendar'!$AB$126=TYPE3)*(TYPE3&lt;&gt;"")+('Dvd Calendar'!$AB$126=TYPE4)*(TYPE4&lt;&gt;"")+('Dvd Calendar'!$AB$126=SPECIAL_LBL)*(INC_SPECIALS="Y"))=0,"",'Dvd Calendar'!$AB$124)))</f>
        <v/>
      </c>
      <c r="AA22" s="161">
        <f>IF(FC22="","",IF(ISNUMBER('Dvd Calendar'!$AC$124)=FALSE,"",IF((('Dvd Calendar'!$AC$126=TYPE1)*(TYPE1&lt;&gt;"")+('Dvd Calendar'!$AC$126=TYPE2)*(TYPE2&lt;&gt;"")+('Dvd Calendar'!$AC$126=TYPE3)*(TYPE3&lt;&gt;"")+('Dvd Calendar'!$AC$126=TYPE4)*(TYPE4&lt;&gt;"")+('Dvd Calendar'!$AC$126=SPECIAL_LBL)*(INC_SPECIALS="Y"))=0,"",'Dvd Calendar'!$AC$124)))</f>
        <v/>
      </c>
      <c r="AB22" s="161">
        <f>IF(FD22="","",IF(ISNUMBER('Dvd Calendar'!$AD$124)=FALSE,"",IF((('Dvd Calendar'!$AD$126=TYPE1)*(TYPE1&lt;&gt;"")+('Dvd Calendar'!$AD$126=TYPE2)*(TYPE2&lt;&gt;"")+('Dvd Calendar'!$AD$126=TYPE3)*(TYPE3&lt;&gt;"")+('Dvd Calendar'!$AD$126=TYPE4)*(TYPE4&lt;&gt;"")+('Dvd Calendar'!$AD$126=SPECIAL_LBL)*(INC_SPECIALS="Y"))=0,"",'Dvd Calendar'!$AD$124)))</f>
        <v/>
      </c>
      <c r="AC22" s="161">
        <f>IF(FE22="","",IF(ISNUMBER('Dvd Calendar'!$AE$124)=FALSE,"",IF((('Dvd Calendar'!$AE$126=TYPE1)*(TYPE1&lt;&gt;"")+('Dvd Calendar'!$AE$126=TYPE2)*(TYPE2&lt;&gt;"")+('Dvd Calendar'!$AE$126=TYPE3)*(TYPE3&lt;&gt;"")+('Dvd Calendar'!$AE$126=TYPE4)*(TYPE4&lt;&gt;"")+('Dvd Calendar'!$AE$126=SPECIAL_LBL)*(INC_SPECIALS="Y"))=0,"",'Dvd Calendar'!$AE$124)))</f>
        <v/>
      </c>
      <c r="AD22" s="161">
        <f>IF(FF22="","",IF(ISNUMBER('Dvd Calendar'!$AF$124)=FALSE,"",IF((('Dvd Calendar'!$AF$126=TYPE1)*(TYPE1&lt;&gt;"")+('Dvd Calendar'!$AF$126=TYPE2)*(TYPE2&lt;&gt;"")+('Dvd Calendar'!$AF$126=TYPE3)*(TYPE3&lt;&gt;"")+('Dvd Calendar'!$AF$126=TYPE4)*(TYPE4&lt;&gt;"")+('Dvd Calendar'!$AF$126=SPECIAL_LBL)*(INC_SPECIALS="Y"))=0,"",'Dvd Calendar'!$AF$124)))</f>
        <v/>
      </c>
      <c r="AE22" s="161">
        <f>IF(FG22="","",IF(ISNUMBER('Dvd Calendar'!$AG$124)=FALSE,"",IF((('Dvd Calendar'!$AG$126=TYPE1)*(TYPE1&lt;&gt;"")+('Dvd Calendar'!$AG$126=TYPE2)*(TYPE2&lt;&gt;"")+('Dvd Calendar'!$AG$126=TYPE3)*(TYPE3&lt;&gt;"")+('Dvd Calendar'!$AG$126=TYPE4)*(TYPE4&lt;&gt;"")+('Dvd Calendar'!$AG$126=SPECIAL_LBL)*(INC_SPECIALS="Y"))=0,"",'Dvd Calendar'!$AG$124)))</f>
        <v/>
      </c>
      <c r="AF22" s="161">
        <f>IF(FH22="","",IF(ISNUMBER('Dvd Calendar'!$AH$124)=FALSE,"",IF((('Dvd Calendar'!$AH$126=TYPE1)*(TYPE1&lt;&gt;"")+('Dvd Calendar'!$AH$126=TYPE2)*(TYPE2&lt;&gt;"")+('Dvd Calendar'!$AH$126=TYPE3)*(TYPE3&lt;&gt;"")+('Dvd Calendar'!$AH$126=TYPE4)*(TYPE4&lt;&gt;"")+('Dvd Calendar'!$AH$126=SPECIAL_LBL)*(INC_SPECIALS="Y"))=0,"",'Dvd Calendar'!$AH$124)))</f>
        <v/>
      </c>
      <c r="AG22" s="161">
        <f>IF(FI22="","",IF(ISNUMBER('Dvd Calendar'!$AI$124)=FALSE,"",IF((('Dvd Calendar'!$AI$126=TYPE1)*(TYPE1&lt;&gt;"")+('Dvd Calendar'!$AI$126=TYPE2)*(TYPE2&lt;&gt;"")+('Dvd Calendar'!$AI$126=TYPE3)*(TYPE3&lt;&gt;"")+('Dvd Calendar'!$AI$126=TYPE4)*(TYPE4&lt;&gt;"")+('Dvd Calendar'!$AI$126=SPECIAL_LBL)*(INC_SPECIALS="Y"))=0,"",'Dvd Calendar'!$AI$124)))</f>
        <v/>
      </c>
      <c r="AH22" s="161">
        <f>IF(FJ22="","",IF(ISNUMBER('Dvd Calendar'!$AJ$124)=FALSE,"",IF((('Dvd Calendar'!$AJ$126=TYPE1)*(TYPE1&lt;&gt;"")+('Dvd Calendar'!$AJ$126=TYPE2)*(TYPE2&lt;&gt;"")+('Dvd Calendar'!$AJ$126=TYPE3)*(TYPE3&lt;&gt;"")+('Dvd Calendar'!$AJ$126=TYPE4)*(TYPE4&lt;&gt;"")+('Dvd Calendar'!$AJ$126=SPECIAL_LBL)*(INC_SPECIALS="Y"))=0,"",'Dvd Calendar'!$AJ$124)))</f>
        <v/>
      </c>
      <c r="AI22" s="161">
        <f>IF(FK22="","",IF(ISNUMBER('Dvd Calendar'!$AK$124)=FALSE,"",IF((('Dvd Calendar'!$AK$126=TYPE1)*(TYPE1&lt;&gt;"")+('Dvd Calendar'!$AK$126=TYPE2)*(TYPE2&lt;&gt;"")+('Dvd Calendar'!$AK$126=TYPE3)*(TYPE3&lt;&gt;"")+('Dvd Calendar'!$AK$126=TYPE4)*(TYPE4&lt;&gt;"")+('Dvd Calendar'!$AK$126=SPECIAL_LBL)*(INC_SPECIALS="Y"))=0,"",'Dvd Calendar'!$AK$124)))</f>
        <v/>
      </c>
      <c r="AJ22" s="161">
        <f>IF(FL22="","",IF(ISNUMBER('Dvd Calendar'!$AL$124)=FALSE,"",IF((('Dvd Calendar'!$AL$126=TYPE1)*(TYPE1&lt;&gt;"")+('Dvd Calendar'!$AL$126=TYPE2)*(TYPE2&lt;&gt;"")+('Dvd Calendar'!$AL$126=TYPE3)*(TYPE3&lt;&gt;"")+('Dvd Calendar'!$AL$126=TYPE4)*(TYPE4&lt;&gt;"")+('Dvd Calendar'!$AL$126=SPECIAL_LBL)*(INC_SPECIALS="Y"))=0,"",'Dvd Calendar'!$AL$124)))</f>
        <v/>
      </c>
      <c r="AK22" s="161">
        <f>IF(FM22="","",IF(ISNUMBER('Dvd Calendar'!$AM$124)=FALSE,"",IF((('Dvd Calendar'!$AM$126=TYPE1)*(TYPE1&lt;&gt;"")+('Dvd Calendar'!$AM$126=TYPE2)*(TYPE2&lt;&gt;"")+('Dvd Calendar'!$AM$126=TYPE3)*(TYPE3&lt;&gt;"")+('Dvd Calendar'!$AM$126=TYPE4)*(TYPE4&lt;&gt;"")+('Dvd Calendar'!$AM$126=SPECIAL_LBL)*(INC_SPECIALS="Y"))=0,"",'Dvd Calendar'!$AM$124)))</f>
        <v/>
      </c>
      <c r="AL22" s="161">
        <f>IF(FN22="","",IF(ISNUMBER('Dvd Calendar'!$AN$124)=FALSE,"",IF((('Dvd Calendar'!$AN$126=TYPE1)*(TYPE1&lt;&gt;"")+('Dvd Calendar'!$AN$126=TYPE2)*(TYPE2&lt;&gt;"")+('Dvd Calendar'!$AN$126=TYPE3)*(TYPE3&lt;&gt;"")+('Dvd Calendar'!$AN$126=TYPE4)*(TYPE4&lt;&gt;"")+('Dvd Calendar'!$AN$126=SPECIAL_LBL)*(INC_SPECIALS="Y"))=0,"",'Dvd Calendar'!$AN$124)))</f>
        <v/>
      </c>
      <c r="AM22" s="161">
        <f>IF(FO22="","",IF(ISNUMBER('Dvd Calendar'!$AO$124)=FALSE,"",IF((('Dvd Calendar'!$AO$126=TYPE1)*(TYPE1&lt;&gt;"")+('Dvd Calendar'!$AO$126=TYPE2)*(TYPE2&lt;&gt;"")+('Dvd Calendar'!$AO$126=TYPE3)*(TYPE3&lt;&gt;"")+('Dvd Calendar'!$AO$126=TYPE4)*(TYPE4&lt;&gt;"")+('Dvd Calendar'!$AO$126=SPECIAL_LBL)*(INC_SPECIALS="Y"))=0,"",'Dvd Calendar'!$AO$124)))</f>
        <v/>
      </c>
      <c r="AN22" s="161">
        <f>IF(FP22="","",IF(ISNUMBER('Dvd Calendar'!$AP$124)=FALSE,"",IF((('Dvd Calendar'!$AP$126=TYPE1)*(TYPE1&lt;&gt;"")+('Dvd Calendar'!$AP$126=TYPE2)*(TYPE2&lt;&gt;"")+('Dvd Calendar'!$AP$126=TYPE3)*(TYPE3&lt;&gt;"")+('Dvd Calendar'!$AP$126=TYPE4)*(TYPE4&lt;&gt;"")+('Dvd Calendar'!$AP$126=SPECIAL_LBL)*(INC_SPECIALS="Y"))=0,"",'Dvd Calendar'!$AP$124)))</f>
        <v/>
      </c>
      <c r="AO22" s="161">
        <f>IF(FQ22="","",IF(ISNUMBER('Dvd Calendar'!$AQ$124)=FALSE,"",IF((('Dvd Calendar'!$AQ$126=TYPE1)*(TYPE1&lt;&gt;"")+('Dvd Calendar'!$AQ$126=TYPE2)*(TYPE2&lt;&gt;"")+('Dvd Calendar'!$AQ$126=TYPE3)*(TYPE3&lt;&gt;"")+('Dvd Calendar'!$AQ$126=TYPE4)*(TYPE4&lt;&gt;"")+('Dvd Calendar'!$AQ$126=SPECIAL_LBL)*(INC_SPECIALS="Y"))=0,"",'Dvd Calendar'!$AQ$124)))</f>
        <v/>
      </c>
      <c r="AP22" s="161">
        <f>IF(FR22="","",IF(ISNUMBER('Dvd Calendar'!$AR$124)=FALSE,"",IF((('Dvd Calendar'!$AR$126=TYPE1)*(TYPE1&lt;&gt;"")+('Dvd Calendar'!$AR$126=TYPE2)*(TYPE2&lt;&gt;"")+('Dvd Calendar'!$AR$126=TYPE3)*(TYPE3&lt;&gt;"")+('Dvd Calendar'!$AR$126=TYPE4)*(TYPE4&lt;&gt;"")+('Dvd Calendar'!$AR$126=SPECIAL_LBL)*(INC_SPECIALS="Y"))=0,"",'Dvd Calendar'!$AR$124)))</f>
        <v/>
      </c>
      <c r="AQ22" s="161">
        <f>IF(FS22="","",IF(ISNUMBER('Dvd Calendar'!$E$129)=FALSE,"",'Dvd Calendar'!$E$129))</f>
        <v/>
      </c>
      <c r="AR22" s="161">
        <f>IF(FT22="","",IF(ISNUMBER('Dvd Calendar'!$F$129)=FALSE,"",'Dvd Calendar'!$F$129))</f>
        <v/>
      </c>
      <c r="AS22" s="161">
        <f>IF(FU22="","",IF(ISNUMBER('Dvd Calendar'!$G$129)=FALSE,"",'Dvd Calendar'!$G$129))</f>
        <v/>
      </c>
      <c r="AT22" s="161">
        <f>IF(FV22="","",IF(ISNUMBER('Dvd Calendar'!$H$129)=FALSE,"",'Dvd Calendar'!$H$129))</f>
        <v/>
      </c>
      <c r="AU22" s="161">
        <f>IF(FW22="","",IF(ISNUMBER('Dvd Calendar'!$I$129)=FALSE,"",'Dvd Calendar'!$I$129))</f>
        <v/>
      </c>
      <c r="AV22" s="161">
        <f>IF(FX22="","",IF(ISNUMBER('Dvd Calendar'!$J$129)=FALSE,"",'Dvd Calendar'!$J$129))</f>
        <v/>
      </c>
      <c r="AW22" s="161">
        <f>IF(FY22="","",IF(ISNUMBER('Dvd Calendar'!$K$129)=FALSE,"",'Dvd Calendar'!$K$129))</f>
        <v/>
      </c>
      <c r="AX22" s="161">
        <f>IF(FZ22="","",IF(ISNUMBER('Dvd Calendar'!$L$129)=FALSE,"",'Dvd Calendar'!$L$129))</f>
        <v/>
      </c>
      <c r="AY22" s="161">
        <f>IF(GA22="","",IF(ISNUMBER('Dvd Calendar'!$M$129)=FALSE,"",'Dvd Calendar'!$M$129))</f>
        <v/>
      </c>
      <c r="AZ22" s="161">
        <f>IF(GB22="","",IF(ISNUMBER('Dvd Calendar'!$N$129)=FALSE,"",'Dvd Calendar'!$N$129))</f>
        <v/>
      </c>
      <c r="BA22" s="161">
        <f>IF(GC22="","",IF(ISNUMBER('Dvd Calendar'!$O$129)=FALSE,"",'Dvd Calendar'!$O$129))</f>
        <v/>
      </c>
      <c r="BB22" s="161">
        <f>IF(GD22="","",IF(ISNUMBER('Dvd Calendar'!$P$129)=FALSE,"",'Dvd Calendar'!$P$129))</f>
        <v/>
      </c>
      <c r="BC22" s="161">
        <f>IF(GE22="","",IF(ISNUMBER('Dvd Calendar'!$Q$129)=FALSE,"",'Dvd Calendar'!$Q$129))</f>
        <v/>
      </c>
      <c r="BD22" s="161">
        <f>IF(GF22="","",IF(ISNUMBER('Dvd Calendar'!$R$129)=FALSE,"",'Dvd Calendar'!$R$129))</f>
        <v/>
      </c>
      <c r="BE22" s="161">
        <f>IF(GG22="","",IF(ISNUMBER('Dvd Calendar'!$S$129)=FALSE,"",'Dvd Calendar'!$S$129))</f>
        <v/>
      </c>
      <c r="BF22" s="161">
        <f>IF(GH22="","",IF(ISNUMBER('Dvd Calendar'!$T$129)=FALSE,"",'Dvd Calendar'!$T$129))</f>
        <v/>
      </c>
      <c r="BG22" s="161">
        <f>IF(GI22="","",IF(ISNUMBER('Dvd Calendar'!$U$129)=FALSE,"",'Dvd Calendar'!$U$129))</f>
        <v/>
      </c>
      <c r="BH22" s="161">
        <f>IF(GJ22="","",IF(ISNUMBER('Dvd Calendar'!$V$129)=FALSE,"",'Dvd Calendar'!$V$129))</f>
        <v/>
      </c>
      <c r="BI22" s="161">
        <f>IF(GK22="","",IF(ISNUMBER('Dvd Calendar'!$W$129)=FALSE,"",'Dvd Calendar'!$W$129))</f>
        <v/>
      </c>
      <c r="BJ22" s="161">
        <f>IF(GL22="","",IF(ISNUMBER('Dvd Calendar'!$X$129)=FALSE,"",'Dvd Calendar'!$X$129))</f>
        <v/>
      </c>
      <c r="BK22" s="161">
        <f>IF(GM22="","",IF(ISNUMBER('Dvd Calendar'!$Y$129)=FALSE,"",'Dvd Calendar'!$Y$129))</f>
        <v/>
      </c>
      <c r="BL22" s="161">
        <f>IF(GN22="","",IF(ISNUMBER('Dvd Calendar'!$Z$129)=FALSE,"",'Dvd Calendar'!$Z$129))</f>
        <v/>
      </c>
      <c r="BM22" s="161">
        <f>IF(GO22="","",IF(ISNUMBER('Dvd Calendar'!$AA$129)=FALSE,"",'Dvd Calendar'!$AA$129))</f>
        <v/>
      </c>
      <c r="BN22" s="161">
        <f>IF(GP22="","",IF(ISNUMBER('Dvd Calendar'!$AB$129)=FALSE,"",'Dvd Calendar'!$AB$129))</f>
        <v/>
      </c>
      <c r="BO22" s="161">
        <f>IF(GQ22="","",IF(ISNUMBER('Dvd Calendar'!$AC$129)=FALSE,"",'Dvd Calendar'!$AC$129))</f>
        <v/>
      </c>
      <c r="BQ22" s="161">
        <f>IF(C22="","",IFERROR(C22*HSI!$B$17*HSI!$G$17/HSI!$B$3,""))</f>
        <v/>
      </c>
      <c r="BR22" s="161">
        <f>IF(D22="","",IFERROR(D22*HSI!$B$17*HSI!$G$17/HSI!$B$3,""))</f>
        <v/>
      </c>
      <c r="BS22" s="161">
        <f>IF(E22="","",IFERROR(E22*HSI!$B$17*HSI!$G$17/HSI!$B$3,""))</f>
        <v/>
      </c>
      <c r="BT22" s="161">
        <f>IF(F22="","",IFERROR(F22*HSI!$B$17*HSI!$G$17/HSI!$B$3,""))</f>
        <v/>
      </c>
      <c r="BU22" s="161">
        <f>IF(G22="","",IFERROR(G22*HSI!$B$17*HSI!$G$17/HSI!$B$3,""))</f>
        <v/>
      </c>
      <c r="BV22" s="161">
        <f>IF(H22="","",IFERROR(H22*HSI!$B$17*HSI!$G$17/HSI!$B$3,""))</f>
        <v/>
      </c>
      <c r="BW22" s="161">
        <f>IF(I22="","",IFERROR(I22*HSI!$B$17*HSI!$G$17/HSI!$B$3,""))</f>
        <v/>
      </c>
      <c r="BX22" s="161">
        <f>IF(J22="","",IFERROR(J22*HSI!$B$17*HSI!$G$17/HSI!$B$3,""))</f>
        <v/>
      </c>
      <c r="BY22" s="161">
        <f>IF(K22="","",IFERROR(K22*HSI!$B$17*HSI!$G$17/HSI!$B$3,""))</f>
        <v/>
      </c>
      <c r="BZ22" s="161">
        <f>IF(L22="","",IFERROR(L22*HSI!$B$17*HSI!$G$17/HSI!$B$3,""))</f>
        <v/>
      </c>
      <c r="CA22" s="161">
        <f>IF(M22="","",IFERROR(M22*HSI!$B$17*HSI!$G$17/HSI!$B$3,""))</f>
        <v/>
      </c>
      <c r="CB22" s="161">
        <f>IF(N22="","",IFERROR(N22*HSI!$B$17*HSI!$G$17/HSI!$B$3,""))</f>
        <v/>
      </c>
      <c r="CC22" s="161">
        <f>IF(O22="","",IFERROR(O22*HSI!$B$17*HSI!$G$17/HSI!$B$3,""))</f>
        <v/>
      </c>
      <c r="CD22" s="161">
        <f>IF(P22="","",IFERROR(P22*HSI!$B$17*HSI!$G$17/HSI!$B$3,""))</f>
        <v/>
      </c>
      <c r="CE22" s="161">
        <f>IF(Q22="","",IFERROR(Q22*HSI!$B$17*HSI!$G$17/HSI!$B$3,""))</f>
        <v/>
      </c>
      <c r="CF22" s="161">
        <f>IF(R22="","",IFERROR(R22*HSI!$B$17*HSI!$G$17/HSI!$B$3,""))</f>
        <v/>
      </c>
      <c r="CG22" s="161">
        <f>IF(S22="","",IFERROR(S22*HSI!$B$17*HSI!$G$17/HSI!$B$3,""))</f>
        <v/>
      </c>
      <c r="CH22" s="161">
        <f>IF(T22="","",IFERROR(T22*HSI!$B$17*HSI!$G$17/HSI!$B$3,""))</f>
        <v/>
      </c>
      <c r="CI22" s="161">
        <f>IF(U22="","",IFERROR(U22*HSI!$B$17*HSI!$G$17/HSI!$B$3,""))</f>
        <v/>
      </c>
      <c r="CJ22" s="161">
        <f>IF(V22="","",IFERROR(V22*HSI!$B$17*HSI!$G$17/HSI!$B$3,""))</f>
        <v/>
      </c>
      <c r="CK22" s="161">
        <f>IF(W22="","",IFERROR(W22*HSI!$B$17*HSI!$G$17/HSI!$B$3,""))</f>
        <v/>
      </c>
      <c r="CL22" s="161">
        <f>IF(X22="","",IFERROR(X22*HSI!$B$17*HSI!$G$17/HSI!$B$3,""))</f>
        <v/>
      </c>
      <c r="CM22" s="161">
        <f>IF(Y22="","",IFERROR(Y22*HSI!$B$17*HSI!$G$17/HSI!$B$3,""))</f>
        <v/>
      </c>
      <c r="CN22" s="161">
        <f>IF(Z22="","",IFERROR(Z22*HSI!$B$17*HSI!$G$17/HSI!$B$3,""))</f>
        <v/>
      </c>
      <c r="CO22" s="161">
        <f>IF(AA22="","",IFERROR(AA22*HSI!$B$17*HSI!$G$17/HSI!$B$3,""))</f>
        <v/>
      </c>
      <c r="CP22" s="161">
        <f>IF(AB22="","",IFERROR(AB22*HSI!$B$17*HSI!$G$17/HSI!$B$3,""))</f>
        <v/>
      </c>
      <c r="CQ22" s="161">
        <f>IF(AC22="","",IFERROR(AC22*HSI!$B$17*HSI!$G$17/HSI!$B$3,""))</f>
        <v/>
      </c>
      <c r="CR22" s="161">
        <f>IF(AD22="","",IFERROR(AD22*HSI!$B$17*HSI!$G$17/HSI!$B$3,""))</f>
        <v/>
      </c>
      <c r="CS22" s="161">
        <f>IF(AE22="","",IFERROR(AE22*HSI!$B$17*HSI!$G$17/HSI!$B$3,""))</f>
        <v/>
      </c>
      <c r="CT22" s="161">
        <f>IF(AF22="","",IFERROR(AF22*HSI!$B$17*HSI!$G$17/HSI!$B$3,""))</f>
        <v/>
      </c>
      <c r="CU22" s="161">
        <f>IF(AG22="","",IFERROR(AG22*HSI!$B$17*HSI!$G$17/HSI!$B$3,""))</f>
        <v/>
      </c>
      <c r="CV22" s="161">
        <f>IF(AH22="","",IFERROR(AH22*HSI!$B$17*HSI!$G$17/HSI!$B$3,""))</f>
        <v/>
      </c>
      <c r="CW22" s="161">
        <f>IF(AI22="","",IFERROR(AI22*HSI!$B$17*HSI!$G$17/HSI!$B$3,""))</f>
        <v/>
      </c>
      <c r="CX22" s="161">
        <f>IF(AJ22="","",IFERROR(AJ22*HSI!$B$17*HSI!$G$17/HSI!$B$3,""))</f>
        <v/>
      </c>
      <c r="CY22" s="161">
        <f>IF(AK22="","",IFERROR(AK22*HSI!$B$17*HSI!$G$17/HSI!$B$3,""))</f>
        <v/>
      </c>
      <c r="CZ22" s="161">
        <f>IF(AL22="","",IFERROR(AL22*HSI!$B$17*HSI!$G$17/HSI!$B$3,""))</f>
        <v/>
      </c>
      <c r="DA22" s="161">
        <f>IF(AM22="","",IFERROR(AM22*HSI!$B$17*HSI!$G$17/HSI!$B$3,""))</f>
        <v/>
      </c>
      <c r="DB22" s="161">
        <f>IF(AN22="","",IFERROR(AN22*HSI!$B$17*HSI!$G$17/HSI!$B$3,""))</f>
        <v/>
      </c>
      <c r="DC22" s="161">
        <f>IF(AO22="","",IFERROR(AO22*HSI!$B$17*HSI!$G$17/HSI!$B$3,""))</f>
        <v/>
      </c>
      <c r="DD22" s="161">
        <f>IF(AP22="","",IFERROR(AP22*HSI!$B$17*HSI!$G$17/HSI!$B$3,""))</f>
        <v/>
      </c>
      <c r="DE22" s="161">
        <f>IF(AQ22="","",IFERROR(AQ22*HSI!$B$17*HSI!$G$17/HSI!$B$3,""))</f>
        <v/>
      </c>
      <c r="DF22" s="161">
        <f>IF(AR22="","",IFERROR(AR22*HSI!$B$17*HSI!$G$17/HSI!$B$3,""))</f>
        <v/>
      </c>
      <c r="DG22" s="161">
        <f>IF(AS22="","",IFERROR(AS22*HSI!$B$17*HSI!$G$17/HSI!$B$3,""))</f>
        <v/>
      </c>
      <c r="DH22" s="161">
        <f>IF(AT22="","",IFERROR(AT22*HSI!$B$17*HSI!$G$17/HSI!$B$3,""))</f>
        <v/>
      </c>
      <c r="DI22" s="161">
        <f>IF(AU22="","",IFERROR(AU22*HSI!$B$17*HSI!$G$17/HSI!$B$3,""))</f>
        <v/>
      </c>
      <c r="DJ22" s="161">
        <f>IF(AV22="","",IFERROR(AV22*HSI!$B$17*HSI!$G$17/HSI!$B$3,""))</f>
        <v/>
      </c>
      <c r="DK22" s="161">
        <f>IF(AW22="","",IFERROR(AW22*HSI!$B$17*HSI!$G$17/HSI!$B$3,""))</f>
        <v/>
      </c>
      <c r="DL22" s="161">
        <f>IF(AX22="","",IFERROR(AX22*HSI!$B$17*HSI!$G$17/HSI!$B$3,""))</f>
        <v/>
      </c>
      <c r="DM22" s="161">
        <f>IF(AY22="","",IFERROR(AY22*HSI!$B$17*HSI!$G$17/HSI!$B$3,""))</f>
        <v/>
      </c>
      <c r="DN22" s="161">
        <f>IF(AZ22="","",IFERROR(AZ22*HSI!$B$17*HSI!$G$17/HSI!$B$3,""))</f>
        <v/>
      </c>
      <c r="DO22" s="161">
        <f>IF(BA22="","",IFERROR(BA22*HSI!$B$17*HSI!$G$17/HSI!$B$3,""))</f>
        <v/>
      </c>
      <c r="DP22" s="161">
        <f>IF(BB22="","",IFERROR(BB22*HSI!$B$17*HSI!$G$17/HSI!$B$3,""))</f>
        <v/>
      </c>
      <c r="DQ22" s="161">
        <f>IF(BC22="","",IFERROR(BC22*HSI!$B$17*HSI!$G$17/HSI!$B$3,""))</f>
        <v/>
      </c>
      <c r="DR22" s="161">
        <f>IF(BD22="","",IFERROR(BD22*HSI!$B$17*HSI!$G$17/HSI!$B$3,""))</f>
        <v/>
      </c>
      <c r="DS22" s="161">
        <f>IF(BE22="","",IFERROR(BE22*HSI!$B$17*HSI!$G$17/HSI!$B$3,""))</f>
        <v/>
      </c>
      <c r="DT22" s="161">
        <f>IF(BF22="","",IFERROR(BF22*HSI!$B$17*HSI!$G$17/HSI!$B$3,""))</f>
        <v/>
      </c>
      <c r="DU22" s="161">
        <f>IF(BG22="","",IFERROR(BG22*HSI!$B$17*HSI!$G$17/HSI!$B$3,""))</f>
        <v/>
      </c>
      <c r="DV22" s="161">
        <f>IF(BH22="","",IFERROR(BH22*HSI!$B$17*HSI!$G$17/HSI!$B$3,""))</f>
        <v/>
      </c>
      <c r="DW22" s="161">
        <f>IF(BI22="","",IFERROR(BI22*HSI!$B$17*HSI!$G$17/HSI!$B$3,""))</f>
        <v/>
      </c>
      <c r="DX22" s="161">
        <f>IF(BJ22="","",IFERROR(BJ22*HSI!$B$17*HSI!$G$17/HSI!$B$3,""))</f>
        <v/>
      </c>
      <c r="DY22" s="161">
        <f>IF(BK22="","",IFERROR(BK22*HSI!$B$17*HSI!$G$17/HSI!$B$3,""))</f>
        <v/>
      </c>
      <c r="DZ22" s="161">
        <f>IF(BL22="","",IFERROR(BL22*HSI!$B$17*HSI!$G$17/HSI!$B$3,""))</f>
        <v/>
      </c>
      <c r="EA22" s="161">
        <f>IF(BM22="","",IFERROR(BM22*HSI!$B$17*HSI!$G$17/HSI!$B$3,""))</f>
        <v/>
      </c>
      <c r="EB22" s="161">
        <f>IF(BN22="","",IFERROR(BN22*HSI!$B$17*HSI!$G$17/HSI!$B$3,""))</f>
        <v/>
      </c>
      <c r="EC22" s="161">
        <f>IF(BO22="","",IFERROR(BO22*HSI!$B$17*HSI!$G$17/HSI!$B$3,""))</f>
        <v/>
      </c>
      <c r="EE22" s="121">
        <f>IF(N('Dvd Calendar'!$E$121)=0,"",IF(('Dvd Calendar'!$E$121&gt;=GRID_FROM)*('Dvd Calendar'!$E$121&lt;=GRID_TO)*((('Dvd Calendar'!$E$121&lt;=VAL_DATE)+(COUNTIF('Dvd Calendar'!$E$128:$AR$128,'Dvd Calendar'!$E$121)=0))&gt;0)=0,"",'Dvd Calendar'!$E$121*1000000000+ISNUMBER('Dvd Calendar'!$E$124)*100000000+('Dvd Calendar'!$E$126=SPECIAL_LBL)*10000000+(N('Dvd Calendar'!$E$120)&gt;0)*(N('Dvd Calendar'!$E$120)&lt;=VAL_SERIAL)*1000000+11*1000+1))</f>
        <v/>
      </c>
      <c r="EF22" s="121">
        <f>IF(N('Dvd Calendar'!$F$121)=0,"",IF(('Dvd Calendar'!$F$121&gt;=GRID_FROM)*('Dvd Calendar'!$F$121&lt;=GRID_TO)*((('Dvd Calendar'!$F$121&lt;=VAL_DATE)+(COUNTIF('Dvd Calendar'!$E$128:$AR$128,'Dvd Calendar'!$F$121)=0))&gt;0)=0,"",'Dvd Calendar'!$F$121*1000000000+ISNUMBER('Dvd Calendar'!$F$124)*100000000+('Dvd Calendar'!$F$126=SPECIAL_LBL)*10000000+(N('Dvd Calendar'!$F$120)&gt;0)*(N('Dvd Calendar'!$F$120)&lt;=VAL_SERIAL)*1000000+11*1000+2))</f>
        <v/>
      </c>
      <c r="EG22" s="121">
        <f>IF(N('Dvd Calendar'!$G$121)=0,"",IF(('Dvd Calendar'!$G$121&gt;=GRID_FROM)*('Dvd Calendar'!$G$121&lt;=GRID_TO)*((('Dvd Calendar'!$G$121&lt;=VAL_DATE)+(COUNTIF('Dvd Calendar'!$E$128:$AR$128,'Dvd Calendar'!$G$121)=0))&gt;0)=0,"",'Dvd Calendar'!$G$121*1000000000+ISNUMBER('Dvd Calendar'!$G$124)*100000000+('Dvd Calendar'!$G$126=SPECIAL_LBL)*10000000+(N('Dvd Calendar'!$G$120)&gt;0)*(N('Dvd Calendar'!$G$120)&lt;=VAL_SERIAL)*1000000+11*1000+3))</f>
        <v/>
      </c>
      <c r="EH22" s="121">
        <f>IF(N('Dvd Calendar'!$H$121)=0,"",IF(('Dvd Calendar'!$H$121&gt;=GRID_FROM)*('Dvd Calendar'!$H$121&lt;=GRID_TO)*((('Dvd Calendar'!$H$121&lt;=VAL_DATE)+(COUNTIF('Dvd Calendar'!$E$128:$AR$128,'Dvd Calendar'!$H$121)=0))&gt;0)=0,"",'Dvd Calendar'!$H$121*1000000000+ISNUMBER('Dvd Calendar'!$H$124)*100000000+('Dvd Calendar'!$H$126=SPECIAL_LBL)*10000000+(N('Dvd Calendar'!$H$120)&gt;0)*(N('Dvd Calendar'!$H$120)&lt;=VAL_SERIAL)*1000000+11*1000+4))</f>
        <v/>
      </c>
      <c r="EI22" s="121">
        <f>IF(N('Dvd Calendar'!$I$121)=0,"",IF(('Dvd Calendar'!$I$121&gt;=GRID_FROM)*('Dvd Calendar'!$I$121&lt;=GRID_TO)*((('Dvd Calendar'!$I$121&lt;=VAL_DATE)+(COUNTIF('Dvd Calendar'!$E$128:$AR$128,'Dvd Calendar'!$I$121)=0))&gt;0)=0,"",'Dvd Calendar'!$I$121*1000000000+ISNUMBER('Dvd Calendar'!$I$124)*100000000+('Dvd Calendar'!$I$126=SPECIAL_LBL)*10000000+(N('Dvd Calendar'!$I$120)&gt;0)*(N('Dvd Calendar'!$I$120)&lt;=VAL_SERIAL)*1000000+11*1000+5))</f>
        <v/>
      </c>
      <c r="EJ22" s="121">
        <f>IF(N('Dvd Calendar'!$J$121)=0,"",IF(('Dvd Calendar'!$J$121&gt;=GRID_FROM)*('Dvd Calendar'!$J$121&lt;=GRID_TO)*((('Dvd Calendar'!$J$121&lt;=VAL_DATE)+(COUNTIF('Dvd Calendar'!$E$128:$AR$128,'Dvd Calendar'!$J$121)=0))&gt;0)=0,"",'Dvd Calendar'!$J$121*1000000000+ISNUMBER('Dvd Calendar'!$J$124)*100000000+('Dvd Calendar'!$J$126=SPECIAL_LBL)*10000000+(N('Dvd Calendar'!$J$120)&gt;0)*(N('Dvd Calendar'!$J$120)&lt;=VAL_SERIAL)*1000000+11*1000+6))</f>
        <v/>
      </c>
      <c r="EK22" s="121">
        <f>IF(N('Dvd Calendar'!$K$121)=0,"",IF(('Dvd Calendar'!$K$121&gt;=GRID_FROM)*('Dvd Calendar'!$K$121&lt;=GRID_TO)*((('Dvd Calendar'!$K$121&lt;=VAL_DATE)+(COUNTIF('Dvd Calendar'!$E$128:$AR$128,'Dvd Calendar'!$K$121)=0))&gt;0)=0,"",'Dvd Calendar'!$K$121*1000000000+ISNUMBER('Dvd Calendar'!$K$124)*100000000+('Dvd Calendar'!$K$126=SPECIAL_LBL)*10000000+(N('Dvd Calendar'!$K$120)&gt;0)*(N('Dvd Calendar'!$K$120)&lt;=VAL_SERIAL)*1000000+11*1000+7))</f>
        <v/>
      </c>
      <c r="EL22" s="121">
        <f>IF(N('Dvd Calendar'!$L$121)=0,"",IF(('Dvd Calendar'!$L$121&gt;=GRID_FROM)*('Dvd Calendar'!$L$121&lt;=GRID_TO)*((('Dvd Calendar'!$L$121&lt;=VAL_DATE)+(COUNTIF('Dvd Calendar'!$E$128:$AR$128,'Dvd Calendar'!$L$121)=0))&gt;0)=0,"",'Dvd Calendar'!$L$121*1000000000+ISNUMBER('Dvd Calendar'!$L$124)*100000000+('Dvd Calendar'!$L$126=SPECIAL_LBL)*10000000+(N('Dvd Calendar'!$L$120)&gt;0)*(N('Dvd Calendar'!$L$120)&lt;=VAL_SERIAL)*1000000+11*1000+8))</f>
        <v/>
      </c>
      <c r="EM22" s="121">
        <f>IF(N('Dvd Calendar'!$M$121)=0,"",IF(('Dvd Calendar'!$M$121&gt;=GRID_FROM)*('Dvd Calendar'!$M$121&lt;=GRID_TO)*((('Dvd Calendar'!$M$121&lt;=VAL_DATE)+(COUNTIF('Dvd Calendar'!$E$128:$AR$128,'Dvd Calendar'!$M$121)=0))&gt;0)=0,"",'Dvd Calendar'!$M$121*1000000000+ISNUMBER('Dvd Calendar'!$M$124)*100000000+('Dvd Calendar'!$M$126=SPECIAL_LBL)*10000000+(N('Dvd Calendar'!$M$120)&gt;0)*(N('Dvd Calendar'!$M$120)&lt;=VAL_SERIAL)*1000000+11*1000+9))</f>
        <v/>
      </c>
      <c r="EN22" s="121">
        <f>IF(N('Dvd Calendar'!$N$121)=0,"",IF(('Dvd Calendar'!$N$121&gt;=GRID_FROM)*('Dvd Calendar'!$N$121&lt;=GRID_TO)*((('Dvd Calendar'!$N$121&lt;=VAL_DATE)+(COUNTIF('Dvd Calendar'!$E$128:$AR$128,'Dvd Calendar'!$N$121)=0))&gt;0)=0,"",'Dvd Calendar'!$N$121*1000000000+ISNUMBER('Dvd Calendar'!$N$124)*100000000+('Dvd Calendar'!$N$126=SPECIAL_LBL)*10000000+(N('Dvd Calendar'!$N$120)&gt;0)*(N('Dvd Calendar'!$N$120)&lt;=VAL_SERIAL)*1000000+11*1000+10))</f>
        <v/>
      </c>
      <c r="EO22" s="121">
        <f>IF(N('Dvd Calendar'!$O$121)=0,"",IF(('Dvd Calendar'!$O$121&gt;=GRID_FROM)*('Dvd Calendar'!$O$121&lt;=GRID_TO)*((('Dvd Calendar'!$O$121&lt;=VAL_DATE)+(COUNTIF('Dvd Calendar'!$E$128:$AR$128,'Dvd Calendar'!$O$121)=0))&gt;0)=0,"",'Dvd Calendar'!$O$121*1000000000+ISNUMBER('Dvd Calendar'!$O$124)*100000000+('Dvd Calendar'!$O$126=SPECIAL_LBL)*10000000+(N('Dvd Calendar'!$O$120)&gt;0)*(N('Dvd Calendar'!$O$120)&lt;=VAL_SERIAL)*1000000+11*1000+11))</f>
        <v/>
      </c>
      <c r="EP22" s="121">
        <f>IF(N('Dvd Calendar'!$P$121)=0,"",IF(('Dvd Calendar'!$P$121&gt;=GRID_FROM)*('Dvd Calendar'!$P$121&lt;=GRID_TO)*((('Dvd Calendar'!$P$121&lt;=VAL_DATE)+(COUNTIF('Dvd Calendar'!$E$128:$AR$128,'Dvd Calendar'!$P$121)=0))&gt;0)=0,"",'Dvd Calendar'!$P$121*1000000000+ISNUMBER('Dvd Calendar'!$P$124)*100000000+('Dvd Calendar'!$P$126=SPECIAL_LBL)*10000000+(N('Dvd Calendar'!$P$120)&gt;0)*(N('Dvd Calendar'!$P$120)&lt;=VAL_SERIAL)*1000000+11*1000+12))</f>
        <v/>
      </c>
      <c r="EQ22" s="121">
        <f>IF(N('Dvd Calendar'!$Q$121)=0,"",IF(('Dvd Calendar'!$Q$121&gt;=GRID_FROM)*('Dvd Calendar'!$Q$121&lt;=GRID_TO)*((('Dvd Calendar'!$Q$121&lt;=VAL_DATE)+(COUNTIF('Dvd Calendar'!$E$128:$AR$128,'Dvd Calendar'!$Q$121)=0))&gt;0)=0,"",'Dvd Calendar'!$Q$121*1000000000+ISNUMBER('Dvd Calendar'!$Q$124)*100000000+('Dvd Calendar'!$Q$126=SPECIAL_LBL)*10000000+(N('Dvd Calendar'!$Q$120)&gt;0)*(N('Dvd Calendar'!$Q$120)&lt;=VAL_SERIAL)*1000000+11*1000+13))</f>
        <v/>
      </c>
      <c r="ER22" s="121">
        <f>IF(N('Dvd Calendar'!$R$121)=0,"",IF(('Dvd Calendar'!$R$121&gt;=GRID_FROM)*('Dvd Calendar'!$R$121&lt;=GRID_TO)*((('Dvd Calendar'!$R$121&lt;=VAL_DATE)+(COUNTIF('Dvd Calendar'!$E$128:$AR$128,'Dvd Calendar'!$R$121)=0))&gt;0)=0,"",'Dvd Calendar'!$R$121*1000000000+ISNUMBER('Dvd Calendar'!$R$124)*100000000+('Dvd Calendar'!$R$126=SPECIAL_LBL)*10000000+(N('Dvd Calendar'!$R$120)&gt;0)*(N('Dvd Calendar'!$R$120)&lt;=VAL_SERIAL)*1000000+11*1000+14))</f>
        <v/>
      </c>
      <c r="ES22" s="121">
        <f>IF(N('Dvd Calendar'!$S$121)=0,"",IF(('Dvd Calendar'!$S$121&gt;=GRID_FROM)*('Dvd Calendar'!$S$121&lt;=GRID_TO)*((('Dvd Calendar'!$S$121&lt;=VAL_DATE)+(COUNTIF('Dvd Calendar'!$E$128:$AR$128,'Dvd Calendar'!$S$121)=0))&gt;0)=0,"",'Dvd Calendar'!$S$121*1000000000+ISNUMBER('Dvd Calendar'!$S$124)*100000000+('Dvd Calendar'!$S$126=SPECIAL_LBL)*10000000+(N('Dvd Calendar'!$S$120)&gt;0)*(N('Dvd Calendar'!$S$120)&lt;=VAL_SERIAL)*1000000+11*1000+15))</f>
        <v/>
      </c>
      <c r="ET22" s="121">
        <f>IF(N('Dvd Calendar'!$T$121)=0,"",IF(('Dvd Calendar'!$T$121&gt;=GRID_FROM)*('Dvd Calendar'!$T$121&lt;=GRID_TO)*((('Dvd Calendar'!$T$121&lt;=VAL_DATE)+(COUNTIF('Dvd Calendar'!$E$128:$AR$128,'Dvd Calendar'!$T$121)=0))&gt;0)=0,"",'Dvd Calendar'!$T$121*1000000000+ISNUMBER('Dvd Calendar'!$T$124)*100000000+('Dvd Calendar'!$T$126=SPECIAL_LBL)*10000000+(N('Dvd Calendar'!$T$120)&gt;0)*(N('Dvd Calendar'!$T$120)&lt;=VAL_SERIAL)*1000000+11*1000+16))</f>
        <v/>
      </c>
      <c r="EU22" s="121">
        <f>IF(N('Dvd Calendar'!$U$121)=0,"",IF(('Dvd Calendar'!$U$121&gt;=GRID_FROM)*('Dvd Calendar'!$U$121&lt;=GRID_TO)*((('Dvd Calendar'!$U$121&lt;=VAL_DATE)+(COUNTIF('Dvd Calendar'!$E$128:$AR$128,'Dvd Calendar'!$U$121)=0))&gt;0)=0,"",'Dvd Calendar'!$U$121*1000000000+ISNUMBER('Dvd Calendar'!$U$124)*100000000+('Dvd Calendar'!$U$126=SPECIAL_LBL)*10000000+(N('Dvd Calendar'!$U$120)&gt;0)*(N('Dvd Calendar'!$U$120)&lt;=VAL_SERIAL)*1000000+11*1000+17))</f>
        <v/>
      </c>
      <c r="EV22" s="121">
        <f>IF(N('Dvd Calendar'!$V$121)=0,"",IF(('Dvd Calendar'!$V$121&gt;=GRID_FROM)*('Dvd Calendar'!$V$121&lt;=GRID_TO)*((('Dvd Calendar'!$V$121&lt;=VAL_DATE)+(COUNTIF('Dvd Calendar'!$E$128:$AR$128,'Dvd Calendar'!$V$121)=0))&gt;0)=0,"",'Dvd Calendar'!$V$121*1000000000+ISNUMBER('Dvd Calendar'!$V$124)*100000000+('Dvd Calendar'!$V$126=SPECIAL_LBL)*10000000+(N('Dvd Calendar'!$V$120)&gt;0)*(N('Dvd Calendar'!$V$120)&lt;=VAL_SERIAL)*1000000+11*1000+18))</f>
        <v/>
      </c>
      <c r="EW22" s="121">
        <f>IF(N('Dvd Calendar'!$W$121)=0,"",IF(('Dvd Calendar'!$W$121&gt;=GRID_FROM)*('Dvd Calendar'!$W$121&lt;=GRID_TO)*((('Dvd Calendar'!$W$121&lt;=VAL_DATE)+(COUNTIF('Dvd Calendar'!$E$128:$AR$128,'Dvd Calendar'!$W$121)=0))&gt;0)=0,"",'Dvd Calendar'!$W$121*1000000000+ISNUMBER('Dvd Calendar'!$W$124)*100000000+('Dvd Calendar'!$W$126=SPECIAL_LBL)*10000000+(N('Dvd Calendar'!$W$120)&gt;0)*(N('Dvd Calendar'!$W$120)&lt;=VAL_SERIAL)*1000000+11*1000+19))</f>
        <v/>
      </c>
      <c r="EX22" s="121">
        <f>IF(N('Dvd Calendar'!$X$121)=0,"",IF(('Dvd Calendar'!$X$121&gt;=GRID_FROM)*('Dvd Calendar'!$X$121&lt;=GRID_TO)*((('Dvd Calendar'!$X$121&lt;=VAL_DATE)+(COUNTIF('Dvd Calendar'!$E$128:$AR$128,'Dvd Calendar'!$X$121)=0))&gt;0)=0,"",'Dvd Calendar'!$X$121*1000000000+ISNUMBER('Dvd Calendar'!$X$124)*100000000+('Dvd Calendar'!$X$126=SPECIAL_LBL)*10000000+(N('Dvd Calendar'!$X$120)&gt;0)*(N('Dvd Calendar'!$X$120)&lt;=VAL_SERIAL)*1000000+11*1000+20))</f>
        <v/>
      </c>
      <c r="EY22" s="121">
        <f>IF(N('Dvd Calendar'!$Y$121)=0,"",IF(('Dvd Calendar'!$Y$121&gt;=GRID_FROM)*('Dvd Calendar'!$Y$121&lt;=GRID_TO)*((('Dvd Calendar'!$Y$121&lt;=VAL_DATE)+(COUNTIF('Dvd Calendar'!$E$128:$AR$128,'Dvd Calendar'!$Y$121)=0))&gt;0)=0,"",'Dvd Calendar'!$Y$121*1000000000+ISNUMBER('Dvd Calendar'!$Y$124)*100000000+('Dvd Calendar'!$Y$126=SPECIAL_LBL)*10000000+(N('Dvd Calendar'!$Y$120)&gt;0)*(N('Dvd Calendar'!$Y$120)&lt;=VAL_SERIAL)*1000000+11*1000+21))</f>
        <v/>
      </c>
      <c r="EZ22" s="121">
        <f>IF(N('Dvd Calendar'!$Z$121)=0,"",IF(('Dvd Calendar'!$Z$121&gt;=GRID_FROM)*('Dvd Calendar'!$Z$121&lt;=GRID_TO)*((('Dvd Calendar'!$Z$121&lt;=VAL_DATE)+(COUNTIF('Dvd Calendar'!$E$128:$AR$128,'Dvd Calendar'!$Z$121)=0))&gt;0)=0,"",'Dvd Calendar'!$Z$121*1000000000+ISNUMBER('Dvd Calendar'!$Z$124)*100000000+('Dvd Calendar'!$Z$126=SPECIAL_LBL)*10000000+(N('Dvd Calendar'!$Z$120)&gt;0)*(N('Dvd Calendar'!$Z$120)&lt;=VAL_SERIAL)*1000000+11*1000+22))</f>
        <v/>
      </c>
      <c r="FA22" s="121">
        <f>IF(N('Dvd Calendar'!$AA$121)=0,"",IF(('Dvd Calendar'!$AA$121&gt;=GRID_FROM)*('Dvd Calendar'!$AA$121&lt;=GRID_TO)*((('Dvd Calendar'!$AA$121&lt;=VAL_DATE)+(COUNTIF('Dvd Calendar'!$E$128:$AR$128,'Dvd Calendar'!$AA$121)=0))&gt;0)=0,"",'Dvd Calendar'!$AA$121*1000000000+ISNUMBER('Dvd Calendar'!$AA$124)*100000000+('Dvd Calendar'!$AA$126=SPECIAL_LBL)*10000000+(N('Dvd Calendar'!$AA$120)&gt;0)*(N('Dvd Calendar'!$AA$120)&lt;=VAL_SERIAL)*1000000+11*1000+23))</f>
        <v/>
      </c>
      <c r="FB22" s="121">
        <f>IF(N('Dvd Calendar'!$AB$121)=0,"",IF(('Dvd Calendar'!$AB$121&gt;=GRID_FROM)*('Dvd Calendar'!$AB$121&lt;=GRID_TO)*((('Dvd Calendar'!$AB$121&lt;=VAL_DATE)+(COUNTIF('Dvd Calendar'!$E$128:$AR$128,'Dvd Calendar'!$AB$121)=0))&gt;0)=0,"",'Dvd Calendar'!$AB$121*1000000000+ISNUMBER('Dvd Calendar'!$AB$124)*100000000+('Dvd Calendar'!$AB$126=SPECIAL_LBL)*10000000+(N('Dvd Calendar'!$AB$120)&gt;0)*(N('Dvd Calendar'!$AB$120)&lt;=VAL_SERIAL)*1000000+11*1000+24))</f>
        <v/>
      </c>
      <c r="FC22" s="121">
        <f>IF(N('Dvd Calendar'!$AC$121)=0,"",IF(('Dvd Calendar'!$AC$121&gt;=GRID_FROM)*('Dvd Calendar'!$AC$121&lt;=GRID_TO)*((('Dvd Calendar'!$AC$121&lt;=VAL_DATE)+(COUNTIF('Dvd Calendar'!$E$128:$AR$128,'Dvd Calendar'!$AC$121)=0))&gt;0)=0,"",'Dvd Calendar'!$AC$121*1000000000+ISNUMBER('Dvd Calendar'!$AC$124)*100000000+('Dvd Calendar'!$AC$126=SPECIAL_LBL)*10000000+(N('Dvd Calendar'!$AC$120)&gt;0)*(N('Dvd Calendar'!$AC$120)&lt;=VAL_SERIAL)*1000000+11*1000+25))</f>
        <v/>
      </c>
      <c r="FD22" s="121">
        <f>IF(N('Dvd Calendar'!$AD$121)=0,"",IF(('Dvd Calendar'!$AD$121&gt;=GRID_FROM)*('Dvd Calendar'!$AD$121&lt;=GRID_TO)*((('Dvd Calendar'!$AD$121&lt;=VAL_DATE)+(COUNTIF('Dvd Calendar'!$E$128:$AR$128,'Dvd Calendar'!$AD$121)=0))&gt;0)=0,"",'Dvd Calendar'!$AD$121*1000000000+ISNUMBER('Dvd Calendar'!$AD$124)*100000000+('Dvd Calendar'!$AD$126=SPECIAL_LBL)*10000000+(N('Dvd Calendar'!$AD$120)&gt;0)*(N('Dvd Calendar'!$AD$120)&lt;=VAL_SERIAL)*1000000+11*1000+26))</f>
        <v/>
      </c>
      <c r="FE22" s="121">
        <f>IF(N('Dvd Calendar'!$AE$121)=0,"",IF(('Dvd Calendar'!$AE$121&gt;=GRID_FROM)*('Dvd Calendar'!$AE$121&lt;=GRID_TO)*((('Dvd Calendar'!$AE$121&lt;=VAL_DATE)+(COUNTIF('Dvd Calendar'!$E$128:$AR$128,'Dvd Calendar'!$AE$121)=0))&gt;0)=0,"",'Dvd Calendar'!$AE$121*1000000000+ISNUMBER('Dvd Calendar'!$AE$124)*100000000+('Dvd Calendar'!$AE$126=SPECIAL_LBL)*10000000+(N('Dvd Calendar'!$AE$120)&gt;0)*(N('Dvd Calendar'!$AE$120)&lt;=VAL_SERIAL)*1000000+11*1000+27))</f>
        <v/>
      </c>
      <c r="FF22" s="121">
        <f>IF(N('Dvd Calendar'!$AF$121)=0,"",IF(('Dvd Calendar'!$AF$121&gt;=GRID_FROM)*('Dvd Calendar'!$AF$121&lt;=GRID_TO)*((('Dvd Calendar'!$AF$121&lt;=VAL_DATE)+(COUNTIF('Dvd Calendar'!$E$128:$AR$128,'Dvd Calendar'!$AF$121)=0))&gt;0)=0,"",'Dvd Calendar'!$AF$121*1000000000+ISNUMBER('Dvd Calendar'!$AF$124)*100000000+('Dvd Calendar'!$AF$126=SPECIAL_LBL)*10000000+(N('Dvd Calendar'!$AF$120)&gt;0)*(N('Dvd Calendar'!$AF$120)&lt;=VAL_SERIAL)*1000000+11*1000+28))</f>
        <v/>
      </c>
      <c r="FG22" s="121">
        <f>IF(N('Dvd Calendar'!$AG$121)=0,"",IF(('Dvd Calendar'!$AG$121&gt;=GRID_FROM)*('Dvd Calendar'!$AG$121&lt;=GRID_TO)*((('Dvd Calendar'!$AG$121&lt;=VAL_DATE)+(COUNTIF('Dvd Calendar'!$E$128:$AR$128,'Dvd Calendar'!$AG$121)=0))&gt;0)=0,"",'Dvd Calendar'!$AG$121*1000000000+ISNUMBER('Dvd Calendar'!$AG$124)*100000000+('Dvd Calendar'!$AG$126=SPECIAL_LBL)*10000000+(N('Dvd Calendar'!$AG$120)&gt;0)*(N('Dvd Calendar'!$AG$120)&lt;=VAL_SERIAL)*1000000+11*1000+29))</f>
        <v/>
      </c>
      <c r="FH22" s="121">
        <f>IF(N('Dvd Calendar'!$AH$121)=0,"",IF(('Dvd Calendar'!$AH$121&gt;=GRID_FROM)*('Dvd Calendar'!$AH$121&lt;=GRID_TO)*((('Dvd Calendar'!$AH$121&lt;=VAL_DATE)+(COUNTIF('Dvd Calendar'!$E$128:$AR$128,'Dvd Calendar'!$AH$121)=0))&gt;0)=0,"",'Dvd Calendar'!$AH$121*1000000000+ISNUMBER('Dvd Calendar'!$AH$124)*100000000+('Dvd Calendar'!$AH$126=SPECIAL_LBL)*10000000+(N('Dvd Calendar'!$AH$120)&gt;0)*(N('Dvd Calendar'!$AH$120)&lt;=VAL_SERIAL)*1000000+11*1000+30))</f>
        <v/>
      </c>
      <c r="FI22" s="121">
        <f>IF(N('Dvd Calendar'!$AI$121)=0,"",IF(('Dvd Calendar'!$AI$121&gt;=GRID_FROM)*('Dvd Calendar'!$AI$121&lt;=GRID_TO)*((('Dvd Calendar'!$AI$121&lt;=VAL_DATE)+(COUNTIF('Dvd Calendar'!$E$128:$AR$128,'Dvd Calendar'!$AI$121)=0))&gt;0)=0,"",'Dvd Calendar'!$AI$121*1000000000+ISNUMBER('Dvd Calendar'!$AI$124)*100000000+('Dvd Calendar'!$AI$126=SPECIAL_LBL)*10000000+(N('Dvd Calendar'!$AI$120)&gt;0)*(N('Dvd Calendar'!$AI$120)&lt;=VAL_SERIAL)*1000000+11*1000+31))</f>
        <v/>
      </c>
      <c r="FJ22" s="121">
        <f>IF(N('Dvd Calendar'!$AJ$121)=0,"",IF(('Dvd Calendar'!$AJ$121&gt;=GRID_FROM)*('Dvd Calendar'!$AJ$121&lt;=GRID_TO)*((('Dvd Calendar'!$AJ$121&lt;=VAL_DATE)+(COUNTIF('Dvd Calendar'!$E$128:$AR$128,'Dvd Calendar'!$AJ$121)=0))&gt;0)=0,"",'Dvd Calendar'!$AJ$121*1000000000+ISNUMBER('Dvd Calendar'!$AJ$124)*100000000+('Dvd Calendar'!$AJ$126=SPECIAL_LBL)*10000000+(N('Dvd Calendar'!$AJ$120)&gt;0)*(N('Dvd Calendar'!$AJ$120)&lt;=VAL_SERIAL)*1000000+11*1000+32))</f>
        <v/>
      </c>
      <c r="FK22" s="121">
        <f>IF(N('Dvd Calendar'!$AK$121)=0,"",IF(('Dvd Calendar'!$AK$121&gt;=GRID_FROM)*('Dvd Calendar'!$AK$121&lt;=GRID_TO)*((('Dvd Calendar'!$AK$121&lt;=VAL_DATE)+(COUNTIF('Dvd Calendar'!$E$128:$AR$128,'Dvd Calendar'!$AK$121)=0))&gt;0)=0,"",'Dvd Calendar'!$AK$121*1000000000+ISNUMBER('Dvd Calendar'!$AK$124)*100000000+('Dvd Calendar'!$AK$126=SPECIAL_LBL)*10000000+(N('Dvd Calendar'!$AK$120)&gt;0)*(N('Dvd Calendar'!$AK$120)&lt;=VAL_SERIAL)*1000000+11*1000+33))</f>
        <v/>
      </c>
      <c r="FL22" s="121">
        <f>IF(N('Dvd Calendar'!$AL$121)=0,"",IF(('Dvd Calendar'!$AL$121&gt;=GRID_FROM)*('Dvd Calendar'!$AL$121&lt;=GRID_TO)*((('Dvd Calendar'!$AL$121&lt;=VAL_DATE)+(COUNTIF('Dvd Calendar'!$E$128:$AR$128,'Dvd Calendar'!$AL$121)=0))&gt;0)=0,"",'Dvd Calendar'!$AL$121*1000000000+ISNUMBER('Dvd Calendar'!$AL$124)*100000000+('Dvd Calendar'!$AL$126=SPECIAL_LBL)*10000000+(N('Dvd Calendar'!$AL$120)&gt;0)*(N('Dvd Calendar'!$AL$120)&lt;=VAL_SERIAL)*1000000+11*1000+34))</f>
        <v/>
      </c>
      <c r="FM22" s="121">
        <f>IF(N('Dvd Calendar'!$AM$121)=0,"",IF(('Dvd Calendar'!$AM$121&gt;=GRID_FROM)*('Dvd Calendar'!$AM$121&lt;=GRID_TO)*((('Dvd Calendar'!$AM$121&lt;=VAL_DATE)+(COUNTIF('Dvd Calendar'!$E$128:$AR$128,'Dvd Calendar'!$AM$121)=0))&gt;0)=0,"",'Dvd Calendar'!$AM$121*1000000000+ISNUMBER('Dvd Calendar'!$AM$124)*100000000+('Dvd Calendar'!$AM$126=SPECIAL_LBL)*10000000+(N('Dvd Calendar'!$AM$120)&gt;0)*(N('Dvd Calendar'!$AM$120)&lt;=VAL_SERIAL)*1000000+11*1000+35))</f>
        <v/>
      </c>
      <c r="FN22" s="121">
        <f>IF(N('Dvd Calendar'!$AN$121)=0,"",IF(('Dvd Calendar'!$AN$121&gt;=GRID_FROM)*('Dvd Calendar'!$AN$121&lt;=GRID_TO)*((('Dvd Calendar'!$AN$121&lt;=VAL_DATE)+(COUNTIF('Dvd Calendar'!$E$128:$AR$128,'Dvd Calendar'!$AN$121)=0))&gt;0)=0,"",'Dvd Calendar'!$AN$121*1000000000+ISNUMBER('Dvd Calendar'!$AN$124)*100000000+('Dvd Calendar'!$AN$126=SPECIAL_LBL)*10000000+(N('Dvd Calendar'!$AN$120)&gt;0)*(N('Dvd Calendar'!$AN$120)&lt;=VAL_SERIAL)*1000000+11*1000+36))</f>
        <v/>
      </c>
      <c r="FO22" s="121">
        <f>IF(N('Dvd Calendar'!$AO$121)=0,"",IF(('Dvd Calendar'!$AO$121&gt;=GRID_FROM)*('Dvd Calendar'!$AO$121&lt;=GRID_TO)*((('Dvd Calendar'!$AO$121&lt;=VAL_DATE)+(COUNTIF('Dvd Calendar'!$E$128:$AR$128,'Dvd Calendar'!$AO$121)=0))&gt;0)=0,"",'Dvd Calendar'!$AO$121*1000000000+ISNUMBER('Dvd Calendar'!$AO$124)*100000000+('Dvd Calendar'!$AO$126=SPECIAL_LBL)*10000000+(N('Dvd Calendar'!$AO$120)&gt;0)*(N('Dvd Calendar'!$AO$120)&lt;=VAL_SERIAL)*1000000+11*1000+37))</f>
        <v/>
      </c>
      <c r="FP22" s="121">
        <f>IF(N('Dvd Calendar'!$AP$121)=0,"",IF(('Dvd Calendar'!$AP$121&gt;=GRID_FROM)*('Dvd Calendar'!$AP$121&lt;=GRID_TO)*((('Dvd Calendar'!$AP$121&lt;=VAL_DATE)+(COUNTIF('Dvd Calendar'!$E$128:$AR$128,'Dvd Calendar'!$AP$121)=0))&gt;0)=0,"",'Dvd Calendar'!$AP$121*1000000000+ISNUMBER('Dvd Calendar'!$AP$124)*100000000+('Dvd Calendar'!$AP$126=SPECIAL_LBL)*10000000+(N('Dvd Calendar'!$AP$120)&gt;0)*(N('Dvd Calendar'!$AP$120)&lt;=VAL_SERIAL)*1000000+11*1000+38))</f>
        <v/>
      </c>
      <c r="FQ22" s="121">
        <f>IF(N('Dvd Calendar'!$AQ$121)=0,"",IF(('Dvd Calendar'!$AQ$121&gt;=GRID_FROM)*('Dvd Calendar'!$AQ$121&lt;=GRID_TO)*((('Dvd Calendar'!$AQ$121&lt;=VAL_DATE)+(COUNTIF('Dvd Calendar'!$E$128:$AR$128,'Dvd Calendar'!$AQ$121)=0))&gt;0)=0,"",'Dvd Calendar'!$AQ$121*1000000000+ISNUMBER('Dvd Calendar'!$AQ$124)*100000000+('Dvd Calendar'!$AQ$126=SPECIAL_LBL)*10000000+(N('Dvd Calendar'!$AQ$120)&gt;0)*(N('Dvd Calendar'!$AQ$120)&lt;=VAL_SERIAL)*1000000+11*1000+39))</f>
        <v/>
      </c>
      <c r="FR22" s="121">
        <f>IF(N('Dvd Calendar'!$AR$121)=0,"",IF(('Dvd Calendar'!$AR$121&gt;=GRID_FROM)*('Dvd Calendar'!$AR$121&lt;=GRID_TO)*((('Dvd Calendar'!$AR$121&lt;=VAL_DATE)+(COUNTIF('Dvd Calendar'!$E$128:$AR$128,'Dvd Calendar'!$AR$121)=0))&gt;0)=0,"",'Dvd Calendar'!$AR$121*1000000000+ISNUMBER('Dvd Calendar'!$AR$124)*100000000+('Dvd Calendar'!$AR$126=SPECIAL_LBL)*10000000+(N('Dvd Calendar'!$AR$120)&gt;0)*(N('Dvd Calendar'!$AR$120)&lt;=VAL_SERIAL)*1000000+11*1000+40))</f>
        <v/>
      </c>
      <c r="FS22" s="121">
        <f>IF(N('Dvd Calendar'!$E$128)=0,"",IF(('Dvd Calendar'!$E$128&gt;=GRID_FROM)*('Dvd Calendar'!$E$128&lt;=GRID_TO)*('Dvd Calendar'!$E$128&gt;VAL_DATE)=0,"",'Dvd Calendar'!$E$128*1000000000+ISNUMBER('Dvd Calendar'!$E$129)*100000000+0*10000000+(N('Dvd Calendar'!$E$127)&gt;0)*(N('Dvd Calendar'!$E$127)&lt;=VAL_SERIAL)*1000000+11*1000+41))</f>
        <v/>
      </c>
      <c r="FT22" s="121">
        <f>IF(N('Dvd Calendar'!$F$128)=0,"",IF(('Dvd Calendar'!$F$128&gt;=GRID_FROM)*('Dvd Calendar'!$F$128&lt;=GRID_TO)*('Dvd Calendar'!$F$128&gt;VAL_DATE)=0,"",'Dvd Calendar'!$F$128*1000000000+ISNUMBER('Dvd Calendar'!$F$129)*100000000+0*10000000+(N('Dvd Calendar'!$F$127)&gt;0)*(N('Dvd Calendar'!$F$127)&lt;=VAL_SERIAL)*1000000+11*1000+42))</f>
        <v/>
      </c>
      <c r="FU22" s="121">
        <f>IF(N('Dvd Calendar'!$G$128)=0,"",IF(('Dvd Calendar'!$G$128&gt;=GRID_FROM)*('Dvd Calendar'!$G$128&lt;=GRID_TO)*('Dvd Calendar'!$G$128&gt;VAL_DATE)=0,"",'Dvd Calendar'!$G$128*1000000000+ISNUMBER('Dvd Calendar'!$G$129)*100000000+0*10000000+(N('Dvd Calendar'!$G$127)&gt;0)*(N('Dvd Calendar'!$G$127)&lt;=VAL_SERIAL)*1000000+11*1000+43))</f>
        <v/>
      </c>
      <c r="FV22" s="121">
        <f>IF(N('Dvd Calendar'!$H$128)=0,"",IF(('Dvd Calendar'!$H$128&gt;=GRID_FROM)*('Dvd Calendar'!$H$128&lt;=GRID_TO)*('Dvd Calendar'!$H$128&gt;VAL_DATE)=0,"",'Dvd Calendar'!$H$128*1000000000+ISNUMBER('Dvd Calendar'!$H$129)*100000000+0*10000000+(N('Dvd Calendar'!$H$127)&gt;0)*(N('Dvd Calendar'!$H$127)&lt;=VAL_SERIAL)*1000000+11*1000+44))</f>
        <v/>
      </c>
      <c r="FW22" s="121">
        <f>IF(N('Dvd Calendar'!$I$128)=0,"",IF(('Dvd Calendar'!$I$128&gt;=GRID_FROM)*('Dvd Calendar'!$I$128&lt;=GRID_TO)*('Dvd Calendar'!$I$128&gt;VAL_DATE)=0,"",'Dvd Calendar'!$I$128*1000000000+ISNUMBER('Dvd Calendar'!$I$129)*100000000+0*10000000+(N('Dvd Calendar'!$I$127)&gt;0)*(N('Dvd Calendar'!$I$127)&lt;=VAL_SERIAL)*1000000+11*1000+45))</f>
        <v/>
      </c>
      <c r="FX22" s="121">
        <f>IF(N('Dvd Calendar'!$J$128)=0,"",IF(('Dvd Calendar'!$J$128&gt;=GRID_FROM)*('Dvd Calendar'!$J$128&lt;=GRID_TO)*('Dvd Calendar'!$J$128&gt;VAL_DATE)=0,"",'Dvd Calendar'!$J$128*1000000000+ISNUMBER('Dvd Calendar'!$J$129)*100000000+0*10000000+(N('Dvd Calendar'!$J$127)&gt;0)*(N('Dvd Calendar'!$J$127)&lt;=VAL_SERIAL)*1000000+11*1000+46))</f>
        <v/>
      </c>
      <c r="FY22" s="121">
        <f>IF(N('Dvd Calendar'!$K$128)=0,"",IF(('Dvd Calendar'!$K$128&gt;=GRID_FROM)*('Dvd Calendar'!$K$128&lt;=GRID_TO)*('Dvd Calendar'!$K$128&gt;VAL_DATE)=0,"",'Dvd Calendar'!$K$128*1000000000+ISNUMBER('Dvd Calendar'!$K$129)*100000000+0*10000000+(N('Dvd Calendar'!$K$127)&gt;0)*(N('Dvd Calendar'!$K$127)&lt;=VAL_SERIAL)*1000000+11*1000+47))</f>
        <v/>
      </c>
      <c r="FZ22" s="121">
        <f>IF(N('Dvd Calendar'!$L$128)=0,"",IF(('Dvd Calendar'!$L$128&gt;=GRID_FROM)*('Dvd Calendar'!$L$128&lt;=GRID_TO)*('Dvd Calendar'!$L$128&gt;VAL_DATE)=0,"",'Dvd Calendar'!$L$128*1000000000+ISNUMBER('Dvd Calendar'!$L$129)*100000000+0*10000000+(N('Dvd Calendar'!$L$127)&gt;0)*(N('Dvd Calendar'!$L$127)&lt;=VAL_SERIAL)*1000000+11*1000+48))</f>
        <v/>
      </c>
      <c r="GA22" s="121">
        <f>IF(N('Dvd Calendar'!$M$128)=0,"",IF(('Dvd Calendar'!$M$128&gt;=GRID_FROM)*('Dvd Calendar'!$M$128&lt;=GRID_TO)*('Dvd Calendar'!$M$128&gt;VAL_DATE)=0,"",'Dvd Calendar'!$M$128*1000000000+ISNUMBER('Dvd Calendar'!$M$129)*100000000+0*10000000+(N('Dvd Calendar'!$M$127)&gt;0)*(N('Dvd Calendar'!$M$127)&lt;=VAL_SERIAL)*1000000+11*1000+49))</f>
        <v/>
      </c>
      <c r="GB22" s="121">
        <f>IF(N('Dvd Calendar'!$N$128)=0,"",IF(('Dvd Calendar'!$N$128&gt;=GRID_FROM)*('Dvd Calendar'!$N$128&lt;=GRID_TO)*('Dvd Calendar'!$N$128&gt;VAL_DATE)=0,"",'Dvd Calendar'!$N$128*1000000000+ISNUMBER('Dvd Calendar'!$N$129)*100000000+0*10000000+(N('Dvd Calendar'!$N$127)&gt;0)*(N('Dvd Calendar'!$N$127)&lt;=VAL_SERIAL)*1000000+11*1000+50))</f>
        <v/>
      </c>
      <c r="GC22" s="121">
        <f>IF(N('Dvd Calendar'!$O$128)=0,"",IF(('Dvd Calendar'!$O$128&gt;=GRID_FROM)*('Dvd Calendar'!$O$128&lt;=GRID_TO)*('Dvd Calendar'!$O$128&gt;VAL_DATE)=0,"",'Dvd Calendar'!$O$128*1000000000+ISNUMBER('Dvd Calendar'!$O$129)*100000000+0*10000000+(N('Dvd Calendar'!$O$127)&gt;0)*(N('Dvd Calendar'!$O$127)&lt;=VAL_SERIAL)*1000000+11*1000+51))</f>
        <v/>
      </c>
      <c r="GD22" s="121">
        <f>IF(N('Dvd Calendar'!$P$128)=0,"",IF(('Dvd Calendar'!$P$128&gt;=GRID_FROM)*('Dvd Calendar'!$P$128&lt;=GRID_TO)*('Dvd Calendar'!$P$128&gt;VAL_DATE)=0,"",'Dvd Calendar'!$P$128*1000000000+ISNUMBER('Dvd Calendar'!$P$129)*100000000+0*10000000+(N('Dvd Calendar'!$P$127)&gt;0)*(N('Dvd Calendar'!$P$127)&lt;=VAL_SERIAL)*1000000+11*1000+52))</f>
        <v/>
      </c>
      <c r="GE22" s="121">
        <f>IF(N('Dvd Calendar'!$Q$128)=0,"",IF(('Dvd Calendar'!$Q$128&gt;=GRID_FROM)*('Dvd Calendar'!$Q$128&lt;=GRID_TO)*('Dvd Calendar'!$Q$128&gt;VAL_DATE)=0,"",'Dvd Calendar'!$Q$128*1000000000+ISNUMBER('Dvd Calendar'!$Q$129)*100000000+0*10000000+(N('Dvd Calendar'!$Q$127)&gt;0)*(N('Dvd Calendar'!$Q$127)&lt;=VAL_SERIAL)*1000000+11*1000+53))</f>
        <v/>
      </c>
      <c r="GF22" s="121">
        <f>IF(N('Dvd Calendar'!$R$128)=0,"",IF(('Dvd Calendar'!$R$128&gt;=GRID_FROM)*('Dvd Calendar'!$R$128&lt;=GRID_TO)*('Dvd Calendar'!$R$128&gt;VAL_DATE)=0,"",'Dvd Calendar'!$R$128*1000000000+ISNUMBER('Dvd Calendar'!$R$129)*100000000+0*10000000+(N('Dvd Calendar'!$R$127)&gt;0)*(N('Dvd Calendar'!$R$127)&lt;=VAL_SERIAL)*1000000+11*1000+54))</f>
        <v/>
      </c>
      <c r="GG22" s="121">
        <f>IF(N('Dvd Calendar'!$S$128)=0,"",IF(('Dvd Calendar'!$S$128&gt;=GRID_FROM)*('Dvd Calendar'!$S$128&lt;=GRID_TO)*('Dvd Calendar'!$S$128&gt;VAL_DATE)=0,"",'Dvd Calendar'!$S$128*1000000000+ISNUMBER('Dvd Calendar'!$S$129)*100000000+0*10000000+(N('Dvd Calendar'!$S$127)&gt;0)*(N('Dvd Calendar'!$S$127)&lt;=VAL_SERIAL)*1000000+11*1000+55))</f>
        <v/>
      </c>
      <c r="GH22" s="121">
        <f>IF(N('Dvd Calendar'!$T$128)=0,"",IF(('Dvd Calendar'!$T$128&gt;=GRID_FROM)*('Dvd Calendar'!$T$128&lt;=GRID_TO)*('Dvd Calendar'!$T$128&gt;VAL_DATE)=0,"",'Dvd Calendar'!$T$128*1000000000+ISNUMBER('Dvd Calendar'!$T$129)*100000000+0*10000000+(N('Dvd Calendar'!$T$127)&gt;0)*(N('Dvd Calendar'!$T$127)&lt;=VAL_SERIAL)*1000000+11*1000+56))</f>
        <v/>
      </c>
      <c r="GI22" s="121">
        <f>IF(N('Dvd Calendar'!$U$128)=0,"",IF(('Dvd Calendar'!$U$128&gt;=GRID_FROM)*('Dvd Calendar'!$U$128&lt;=GRID_TO)*('Dvd Calendar'!$U$128&gt;VAL_DATE)=0,"",'Dvd Calendar'!$U$128*1000000000+ISNUMBER('Dvd Calendar'!$U$129)*100000000+0*10000000+(N('Dvd Calendar'!$U$127)&gt;0)*(N('Dvd Calendar'!$U$127)&lt;=VAL_SERIAL)*1000000+11*1000+57))</f>
        <v/>
      </c>
      <c r="GJ22" s="121">
        <f>IF(N('Dvd Calendar'!$V$128)=0,"",IF(('Dvd Calendar'!$V$128&gt;=GRID_FROM)*('Dvd Calendar'!$V$128&lt;=GRID_TO)*('Dvd Calendar'!$V$128&gt;VAL_DATE)=0,"",'Dvd Calendar'!$V$128*1000000000+ISNUMBER('Dvd Calendar'!$V$129)*100000000+0*10000000+(N('Dvd Calendar'!$V$127)&gt;0)*(N('Dvd Calendar'!$V$127)&lt;=VAL_SERIAL)*1000000+11*1000+58))</f>
        <v/>
      </c>
      <c r="GK22" s="121">
        <f>IF(N('Dvd Calendar'!$W$128)=0,"",IF(('Dvd Calendar'!$W$128&gt;=GRID_FROM)*('Dvd Calendar'!$W$128&lt;=GRID_TO)*('Dvd Calendar'!$W$128&gt;VAL_DATE)=0,"",'Dvd Calendar'!$W$128*1000000000+ISNUMBER('Dvd Calendar'!$W$129)*100000000+0*10000000+(N('Dvd Calendar'!$W$127)&gt;0)*(N('Dvd Calendar'!$W$127)&lt;=VAL_SERIAL)*1000000+11*1000+59))</f>
        <v/>
      </c>
      <c r="GL22" s="121">
        <f>IF(N('Dvd Calendar'!$X$128)=0,"",IF(('Dvd Calendar'!$X$128&gt;=GRID_FROM)*('Dvd Calendar'!$X$128&lt;=GRID_TO)*('Dvd Calendar'!$X$128&gt;VAL_DATE)=0,"",'Dvd Calendar'!$X$128*1000000000+ISNUMBER('Dvd Calendar'!$X$129)*100000000+0*10000000+(N('Dvd Calendar'!$X$127)&gt;0)*(N('Dvd Calendar'!$X$127)&lt;=VAL_SERIAL)*1000000+11*1000+60))</f>
        <v/>
      </c>
      <c r="GM22" s="121">
        <f>IF(N('Dvd Calendar'!$Y$128)=0,"",IF(('Dvd Calendar'!$Y$128&gt;=GRID_FROM)*('Dvd Calendar'!$Y$128&lt;=GRID_TO)*('Dvd Calendar'!$Y$128&gt;VAL_DATE)=0,"",'Dvd Calendar'!$Y$128*1000000000+ISNUMBER('Dvd Calendar'!$Y$129)*100000000+0*10000000+(N('Dvd Calendar'!$Y$127)&gt;0)*(N('Dvd Calendar'!$Y$127)&lt;=VAL_SERIAL)*1000000+11*1000+61))</f>
        <v/>
      </c>
      <c r="GN22" s="121">
        <f>IF(N('Dvd Calendar'!$Z$128)=0,"",IF(('Dvd Calendar'!$Z$128&gt;=GRID_FROM)*('Dvd Calendar'!$Z$128&lt;=GRID_TO)*('Dvd Calendar'!$Z$128&gt;VAL_DATE)=0,"",'Dvd Calendar'!$Z$128*1000000000+ISNUMBER('Dvd Calendar'!$Z$129)*100000000+0*10000000+(N('Dvd Calendar'!$Z$127)&gt;0)*(N('Dvd Calendar'!$Z$127)&lt;=VAL_SERIAL)*1000000+11*1000+62))</f>
        <v/>
      </c>
      <c r="GO22" s="121">
        <f>IF(N('Dvd Calendar'!$AA$128)=0,"",IF(('Dvd Calendar'!$AA$128&gt;=GRID_FROM)*('Dvd Calendar'!$AA$128&lt;=GRID_TO)*('Dvd Calendar'!$AA$128&gt;VAL_DATE)=0,"",'Dvd Calendar'!$AA$128*1000000000+ISNUMBER('Dvd Calendar'!$AA$129)*100000000+0*10000000+(N('Dvd Calendar'!$AA$127)&gt;0)*(N('Dvd Calendar'!$AA$127)&lt;=VAL_SERIAL)*1000000+11*1000+63))</f>
        <v/>
      </c>
      <c r="GP22" s="121">
        <f>IF(N('Dvd Calendar'!$AB$128)=0,"",IF(('Dvd Calendar'!$AB$128&gt;=GRID_FROM)*('Dvd Calendar'!$AB$128&lt;=GRID_TO)*('Dvd Calendar'!$AB$128&gt;VAL_DATE)=0,"",'Dvd Calendar'!$AB$128*1000000000+ISNUMBER('Dvd Calendar'!$AB$129)*100000000+0*10000000+(N('Dvd Calendar'!$AB$127)&gt;0)*(N('Dvd Calendar'!$AB$127)&lt;=VAL_SERIAL)*1000000+11*1000+64))</f>
        <v/>
      </c>
      <c r="GQ22" s="121">
        <f>IF(N('Dvd Calendar'!$AC$128)=0,"",IF(('Dvd Calendar'!$AC$128&gt;=GRID_FROM)*('Dvd Calendar'!$AC$128&lt;=GRID_TO)*('Dvd Calendar'!$AC$128&gt;VAL_DATE)=0,"",'Dvd Calendar'!$AC$128*1000000000+ISNUMBER('Dvd Calendar'!$AC$129)*100000000+0*10000000+(N('Dvd Calendar'!$AC$127)&gt;0)*(N('Dvd Calendar'!$AC$127)&lt;=VAL_SERIAL)*1000000+11*1000+65))</f>
        <v/>
      </c>
    </row>
    <row r="23">
      <c r="B23" s="2">
        <f>IF(HSI!$C$18="","",HSI!$C$18)</f>
        <v/>
      </c>
      <c r="C23" s="161">
        <f>IF(EE23="","",IF(ISNUMBER('Dvd Calendar'!$E$135)=FALSE,"",IF((('Dvd Calendar'!$E$137=TYPE1)*(TYPE1&lt;&gt;"")+('Dvd Calendar'!$E$137=TYPE2)*(TYPE2&lt;&gt;"")+('Dvd Calendar'!$E$137=TYPE3)*(TYPE3&lt;&gt;"")+('Dvd Calendar'!$E$137=TYPE4)*(TYPE4&lt;&gt;"")+('Dvd Calendar'!$E$137=SPECIAL_LBL)*(INC_SPECIALS="Y"))=0,"",'Dvd Calendar'!$E$135)))</f>
        <v/>
      </c>
      <c r="D23" s="161">
        <f>IF(EF23="","",IF(ISNUMBER('Dvd Calendar'!$F$135)=FALSE,"",IF((('Dvd Calendar'!$F$137=TYPE1)*(TYPE1&lt;&gt;"")+('Dvd Calendar'!$F$137=TYPE2)*(TYPE2&lt;&gt;"")+('Dvd Calendar'!$F$137=TYPE3)*(TYPE3&lt;&gt;"")+('Dvd Calendar'!$F$137=TYPE4)*(TYPE4&lt;&gt;"")+('Dvd Calendar'!$F$137=SPECIAL_LBL)*(INC_SPECIALS="Y"))=0,"",'Dvd Calendar'!$F$135)))</f>
        <v/>
      </c>
      <c r="E23" s="161">
        <f>IF(EG23="","",IF(ISNUMBER('Dvd Calendar'!$G$135)=FALSE,"",IF((('Dvd Calendar'!$G$137=TYPE1)*(TYPE1&lt;&gt;"")+('Dvd Calendar'!$G$137=TYPE2)*(TYPE2&lt;&gt;"")+('Dvd Calendar'!$G$137=TYPE3)*(TYPE3&lt;&gt;"")+('Dvd Calendar'!$G$137=TYPE4)*(TYPE4&lt;&gt;"")+('Dvd Calendar'!$G$137=SPECIAL_LBL)*(INC_SPECIALS="Y"))=0,"",'Dvd Calendar'!$G$135)))</f>
        <v/>
      </c>
      <c r="F23" s="161">
        <f>IF(EH23="","",IF(ISNUMBER('Dvd Calendar'!$H$135)=FALSE,"",IF((('Dvd Calendar'!$H$137=TYPE1)*(TYPE1&lt;&gt;"")+('Dvd Calendar'!$H$137=TYPE2)*(TYPE2&lt;&gt;"")+('Dvd Calendar'!$H$137=TYPE3)*(TYPE3&lt;&gt;"")+('Dvd Calendar'!$H$137=TYPE4)*(TYPE4&lt;&gt;"")+('Dvd Calendar'!$H$137=SPECIAL_LBL)*(INC_SPECIALS="Y"))=0,"",'Dvd Calendar'!$H$135)))</f>
        <v/>
      </c>
      <c r="G23" s="161">
        <f>IF(EI23="","",IF(ISNUMBER('Dvd Calendar'!$I$135)=FALSE,"",IF((('Dvd Calendar'!$I$137=TYPE1)*(TYPE1&lt;&gt;"")+('Dvd Calendar'!$I$137=TYPE2)*(TYPE2&lt;&gt;"")+('Dvd Calendar'!$I$137=TYPE3)*(TYPE3&lt;&gt;"")+('Dvd Calendar'!$I$137=TYPE4)*(TYPE4&lt;&gt;"")+('Dvd Calendar'!$I$137=SPECIAL_LBL)*(INC_SPECIALS="Y"))=0,"",'Dvd Calendar'!$I$135)))</f>
        <v/>
      </c>
      <c r="H23" s="161">
        <f>IF(EJ23="","",IF(ISNUMBER('Dvd Calendar'!$J$135)=FALSE,"",IF((('Dvd Calendar'!$J$137=TYPE1)*(TYPE1&lt;&gt;"")+('Dvd Calendar'!$J$137=TYPE2)*(TYPE2&lt;&gt;"")+('Dvd Calendar'!$J$137=TYPE3)*(TYPE3&lt;&gt;"")+('Dvd Calendar'!$J$137=TYPE4)*(TYPE4&lt;&gt;"")+('Dvd Calendar'!$J$137=SPECIAL_LBL)*(INC_SPECIALS="Y"))=0,"",'Dvd Calendar'!$J$135)))</f>
        <v/>
      </c>
      <c r="I23" s="161">
        <f>IF(EK23="","",IF(ISNUMBER('Dvd Calendar'!$K$135)=FALSE,"",IF((('Dvd Calendar'!$K$137=TYPE1)*(TYPE1&lt;&gt;"")+('Dvd Calendar'!$K$137=TYPE2)*(TYPE2&lt;&gt;"")+('Dvd Calendar'!$K$137=TYPE3)*(TYPE3&lt;&gt;"")+('Dvd Calendar'!$K$137=TYPE4)*(TYPE4&lt;&gt;"")+('Dvd Calendar'!$K$137=SPECIAL_LBL)*(INC_SPECIALS="Y"))=0,"",'Dvd Calendar'!$K$135)))</f>
        <v/>
      </c>
      <c r="J23" s="161">
        <f>IF(EL23="","",IF(ISNUMBER('Dvd Calendar'!$L$135)=FALSE,"",IF((('Dvd Calendar'!$L$137=TYPE1)*(TYPE1&lt;&gt;"")+('Dvd Calendar'!$L$137=TYPE2)*(TYPE2&lt;&gt;"")+('Dvd Calendar'!$L$137=TYPE3)*(TYPE3&lt;&gt;"")+('Dvd Calendar'!$L$137=TYPE4)*(TYPE4&lt;&gt;"")+('Dvd Calendar'!$L$137=SPECIAL_LBL)*(INC_SPECIALS="Y"))=0,"",'Dvd Calendar'!$L$135)))</f>
        <v/>
      </c>
      <c r="K23" s="161">
        <f>IF(EM23="","",IF(ISNUMBER('Dvd Calendar'!$M$135)=FALSE,"",IF((('Dvd Calendar'!$M$137=TYPE1)*(TYPE1&lt;&gt;"")+('Dvd Calendar'!$M$137=TYPE2)*(TYPE2&lt;&gt;"")+('Dvd Calendar'!$M$137=TYPE3)*(TYPE3&lt;&gt;"")+('Dvd Calendar'!$M$137=TYPE4)*(TYPE4&lt;&gt;"")+('Dvd Calendar'!$M$137=SPECIAL_LBL)*(INC_SPECIALS="Y"))=0,"",'Dvd Calendar'!$M$135)))</f>
        <v/>
      </c>
      <c r="L23" s="161">
        <f>IF(EN23="","",IF(ISNUMBER('Dvd Calendar'!$N$135)=FALSE,"",IF((('Dvd Calendar'!$N$137=TYPE1)*(TYPE1&lt;&gt;"")+('Dvd Calendar'!$N$137=TYPE2)*(TYPE2&lt;&gt;"")+('Dvd Calendar'!$N$137=TYPE3)*(TYPE3&lt;&gt;"")+('Dvd Calendar'!$N$137=TYPE4)*(TYPE4&lt;&gt;"")+('Dvd Calendar'!$N$137=SPECIAL_LBL)*(INC_SPECIALS="Y"))=0,"",'Dvd Calendar'!$N$135)))</f>
        <v/>
      </c>
      <c r="M23" s="161">
        <f>IF(EO23="","",IF(ISNUMBER('Dvd Calendar'!$O$135)=FALSE,"",IF((('Dvd Calendar'!$O$137=TYPE1)*(TYPE1&lt;&gt;"")+('Dvd Calendar'!$O$137=TYPE2)*(TYPE2&lt;&gt;"")+('Dvd Calendar'!$O$137=TYPE3)*(TYPE3&lt;&gt;"")+('Dvd Calendar'!$O$137=TYPE4)*(TYPE4&lt;&gt;"")+('Dvd Calendar'!$O$137=SPECIAL_LBL)*(INC_SPECIALS="Y"))=0,"",'Dvd Calendar'!$O$135)))</f>
        <v/>
      </c>
      <c r="N23" s="161">
        <f>IF(EP23="","",IF(ISNUMBER('Dvd Calendar'!$P$135)=FALSE,"",IF((('Dvd Calendar'!$P$137=TYPE1)*(TYPE1&lt;&gt;"")+('Dvd Calendar'!$P$137=TYPE2)*(TYPE2&lt;&gt;"")+('Dvd Calendar'!$P$137=TYPE3)*(TYPE3&lt;&gt;"")+('Dvd Calendar'!$P$137=TYPE4)*(TYPE4&lt;&gt;"")+('Dvd Calendar'!$P$137=SPECIAL_LBL)*(INC_SPECIALS="Y"))=0,"",'Dvd Calendar'!$P$135)))</f>
        <v/>
      </c>
      <c r="O23" s="161">
        <f>IF(EQ23="","",IF(ISNUMBER('Dvd Calendar'!$Q$135)=FALSE,"",IF((('Dvd Calendar'!$Q$137=TYPE1)*(TYPE1&lt;&gt;"")+('Dvd Calendar'!$Q$137=TYPE2)*(TYPE2&lt;&gt;"")+('Dvd Calendar'!$Q$137=TYPE3)*(TYPE3&lt;&gt;"")+('Dvd Calendar'!$Q$137=TYPE4)*(TYPE4&lt;&gt;"")+('Dvd Calendar'!$Q$137=SPECIAL_LBL)*(INC_SPECIALS="Y"))=0,"",'Dvd Calendar'!$Q$135)))</f>
        <v/>
      </c>
      <c r="P23" s="161">
        <f>IF(ER23="","",IF(ISNUMBER('Dvd Calendar'!$R$135)=FALSE,"",IF((('Dvd Calendar'!$R$137=TYPE1)*(TYPE1&lt;&gt;"")+('Dvd Calendar'!$R$137=TYPE2)*(TYPE2&lt;&gt;"")+('Dvd Calendar'!$R$137=TYPE3)*(TYPE3&lt;&gt;"")+('Dvd Calendar'!$R$137=TYPE4)*(TYPE4&lt;&gt;"")+('Dvd Calendar'!$R$137=SPECIAL_LBL)*(INC_SPECIALS="Y"))=0,"",'Dvd Calendar'!$R$135)))</f>
        <v/>
      </c>
      <c r="Q23" s="161">
        <f>IF(ES23="","",IF(ISNUMBER('Dvd Calendar'!$S$135)=FALSE,"",IF((('Dvd Calendar'!$S$137=TYPE1)*(TYPE1&lt;&gt;"")+('Dvd Calendar'!$S$137=TYPE2)*(TYPE2&lt;&gt;"")+('Dvd Calendar'!$S$137=TYPE3)*(TYPE3&lt;&gt;"")+('Dvd Calendar'!$S$137=TYPE4)*(TYPE4&lt;&gt;"")+('Dvd Calendar'!$S$137=SPECIAL_LBL)*(INC_SPECIALS="Y"))=0,"",'Dvd Calendar'!$S$135)))</f>
        <v/>
      </c>
      <c r="R23" s="161">
        <f>IF(ET23="","",IF(ISNUMBER('Dvd Calendar'!$T$135)=FALSE,"",IF((('Dvd Calendar'!$T$137=TYPE1)*(TYPE1&lt;&gt;"")+('Dvd Calendar'!$T$137=TYPE2)*(TYPE2&lt;&gt;"")+('Dvd Calendar'!$T$137=TYPE3)*(TYPE3&lt;&gt;"")+('Dvd Calendar'!$T$137=TYPE4)*(TYPE4&lt;&gt;"")+('Dvd Calendar'!$T$137=SPECIAL_LBL)*(INC_SPECIALS="Y"))=0,"",'Dvd Calendar'!$T$135)))</f>
        <v/>
      </c>
      <c r="S23" s="161">
        <f>IF(EU23="","",IF(ISNUMBER('Dvd Calendar'!$U$135)=FALSE,"",IF((('Dvd Calendar'!$U$137=TYPE1)*(TYPE1&lt;&gt;"")+('Dvd Calendar'!$U$137=TYPE2)*(TYPE2&lt;&gt;"")+('Dvd Calendar'!$U$137=TYPE3)*(TYPE3&lt;&gt;"")+('Dvd Calendar'!$U$137=TYPE4)*(TYPE4&lt;&gt;"")+('Dvd Calendar'!$U$137=SPECIAL_LBL)*(INC_SPECIALS="Y"))=0,"",'Dvd Calendar'!$U$135)))</f>
        <v/>
      </c>
      <c r="T23" s="161">
        <f>IF(EV23="","",IF(ISNUMBER('Dvd Calendar'!$V$135)=FALSE,"",IF((('Dvd Calendar'!$V$137=TYPE1)*(TYPE1&lt;&gt;"")+('Dvd Calendar'!$V$137=TYPE2)*(TYPE2&lt;&gt;"")+('Dvd Calendar'!$V$137=TYPE3)*(TYPE3&lt;&gt;"")+('Dvd Calendar'!$V$137=TYPE4)*(TYPE4&lt;&gt;"")+('Dvd Calendar'!$V$137=SPECIAL_LBL)*(INC_SPECIALS="Y"))=0,"",'Dvd Calendar'!$V$135)))</f>
        <v/>
      </c>
      <c r="U23" s="161">
        <f>IF(EW23="","",IF(ISNUMBER('Dvd Calendar'!$W$135)=FALSE,"",IF((('Dvd Calendar'!$W$137=TYPE1)*(TYPE1&lt;&gt;"")+('Dvd Calendar'!$W$137=TYPE2)*(TYPE2&lt;&gt;"")+('Dvd Calendar'!$W$137=TYPE3)*(TYPE3&lt;&gt;"")+('Dvd Calendar'!$W$137=TYPE4)*(TYPE4&lt;&gt;"")+('Dvd Calendar'!$W$137=SPECIAL_LBL)*(INC_SPECIALS="Y"))=0,"",'Dvd Calendar'!$W$135)))</f>
        <v/>
      </c>
      <c r="V23" s="161">
        <f>IF(EX23="","",IF(ISNUMBER('Dvd Calendar'!$X$135)=FALSE,"",IF((('Dvd Calendar'!$X$137=TYPE1)*(TYPE1&lt;&gt;"")+('Dvd Calendar'!$X$137=TYPE2)*(TYPE2&lt;&gt;"")+('Dvd Calendar'!$X$137=TYPE3)*(TYPE3&lt;&gt;"")+('Dvd Calendar'!$X$137=TYPE4)*(TYPE4&lt;&gt;"")+('Dvd Calendar'!$X$137=SPECIAL_LBL)*(INC_SPECIALS="Y"))=0,"",'Dvd Calendar'!$X$135)))</f>
        <v/>
      </c>
      <c r="W23" s="161">
        <f>IF(EY23="","",IF(ISNUMBER('Dvd Calendar'!$Y$135)=FALSE,"",IF((('Dvd Calendar'!$Y$137=TYPE1)*(TYPE1&lt;&gt;"")+('Dvd Calendar'!$Y$137=TYPE2)*(TYPE2&lt;&gt;"")+('Dvd Calendar'!$Y$137=TYPE3)*(TYPE3&lt;&gt;"")+('Dvd Calendar'!$Y$137=TYPE4)*(TYPE4&lt;&gt;"")+('Dvd Calendar'!$Y$137=SPECIAL_LBL)*(INC_SPECIALS="Y"))=0,"",'Dvd Calendar'!$Y$135)))</f>
        <v/>
      </c>
      <c r="X23" s="161">
        <f>IF(EZ23="","",IF(ISNUMBER('Dvd Calendar'!$Z$135)=FALSE,"",IF((('Dvd Calendar'!$Z$137=TYPE1)*(TYPE1&lt;&gt;"")+('Dvd Calendar'!$Z$137=TYPE2)*(TYPE2&lt;&gt;"")+('Dvd Calendar'!$Z$137=TYPE3)*(TYPE3&lt;&gt;"")+('Dvd Calendar'!$Z$137=TYPE4)*(TYPE4&lt;&gt;"")+('Dvd Calendar'!$Z$137=SPECIAL_LBL)*(INC_SPECIALS="Y"))=0,"",'Dvd Calendar'!$Z$135)))</f>
        <v/>
      </c>
      <c r="Y23" s="161">
        <f>IF(FA23="","",IF(ISNUMBER('Dvd Calendar'!$AA$135)=FALSE,"",IF((('Dvd Calendar'!$AA$137=TYPE1)*(TYPE1&lt;&gt;"")+('Dvd Calendar'!$AA$137=TYPE2)*(TYPE2&lt;&gt;"")+('Dvd Calendar'!$AA$137=TYPE3)*(TYPE3&lt;&gt;"")+('Dvd Calendar'!$AA$137=TYPE4)*(TYPE4&lt;&gt;"")+('Dvd Calendar'!$AA$137=SPECIAL_LBL)*(INC_SPECIALS="Y"))=0,"",'Dvd Calendar'!$AA$135)))</f>
        <v/>
      </c>
      <c r="Z23" s="161">
        <f>IF(FB23="","",IF(ISNUMBER('Dvd Calendar'!$AB$135)=FALSE,"",IF((('Dvd Calendar'!$AB$137=TYPE1)*(TYPE1&lt;&gt;"")+('Dvd Calendar'!$AB$137=TYPE2)*(TYPE2&lt;&gt;"")+('Dvd Calendar'!$AB$137=TYPE3)*(TYPE3&lt;&gt;"")+('Dvd Calendar'!$AB$137=TYPE4)*(TYPE4&lt;&gt;"")+('Dvd Calendar'!$AB$137=SPECIAL_LBL)*(INC_SPECIALS="Y"))=0,"",'Dvd Calendar'!$AB$135)))</f>
        <v/>
      </c>
      <c r="AA23" s="161">
        <f>IF(FC23="","",IF(ISNUMBER('Dvd Calendar'!$AC$135)=FALSE,"",IF((('Dvd Calendar'!$AC$137=TYPE1)*(TYPE1&lt;&gt;"")+('Dvd Calendar'!$AC$137=TYPE2)*(TYPE2&lt;&gt;"")+('Dvd Calendar'!$AC$137=TYPE3)*(TYPE3&lt;&gt;"")+('Dvd Calendar'!$AC$137=TYPE4)*(TYPE4&lt;&gt;"")+('Dvd Calendar'!$AC$137=SPECIAL_LBL)*(INC_SPECIALS="Y"))=0,"",'Dvd Calendar'!$AC$135)))</f>
        <v/>
      </c>
      <c r="AB23" s="161">
        <f>IF(FD23="","",IF(ISNUMBER('Dvd Calendar'!$AD$135)=FALSE,"",IF((('Dvd Calendar'!$AD$137=TYPE1)*(TYPE1&lt;&gt;"")+('Dvd Calendar'!$AD$137=TYPE2)*(TYPE2&lt;&gt;"")+('Dvd Calendar'!$AD$137=TYPE3)*(TYPE3&lt;&gt;"")+('Dvd Calendar'!$AD$137=TYPE4)*(TYPE4&lt;&gt;"")+('Dvd Calendar'!$AD$137=SPECIAL_LBL)*(INC_SPECIALS="Y"))=0,"",'Dvd Calendar'!$AD$135)))</f>
        <v/>
      </c>
      <c r="AC23" s="161">
        <f>IF(FE23="","",IF(ISNUMBER('Dvd Calendar'!$AE$135)=FALSE,"",IF((('Dvd Calendar'!$AE$137=TYPE1)*(TYPE1&lt;&gt;"")+('Dvd Calendar'!$AE$137=TYPE2)*(TYPE2&lt;&gt;"")+('Dvd Calendar'!$AE$137=TYPE3)*(TYPE3&lt;&gt;"")+('Dvd Calendar'!$AE$137=TYPE4)*(TYPE4&lt;&gt;"")+('Dvd Calendar'!$AE$137=SPECIAL_LBL)*(INC_SPECIALS="Y"))=0,"",'Dvd Calendar'!$AE$135)))</f>
        <v/>
      </c>
      <c r="AD23" s="161">
        <f>IF(FF23="","",IF(ISNUMBER('Dvd Calendar'!$AF$135)=FALSE,"",IF((('Dvd Calendar'!$AF$137=TYPE1)*(TYPE1&lt;&gt;"")+('Dvd Calendar'!$AF$137=TYPE2)*(TYPE2&lt;&gt;"")+('Dvd Calendar'!$AF$137=TYPE3)*(TYPE3&lt;&gt;"")+('Dvd Calendar'!$AF$137=TYPE4)*(TYPE4&lt;&gt;"")+('Dvd Calendar'!$AF$137=SPECIAL_LBL)*(INC_SPECIALS="Y"))=0,"",'Dvd Calendar'!$AF$135)))</f>
        <v/>
      </c>
      <c r="AE23" s="161">
        <f>IF(FG23="","",IF(ISNUMBER('Dvd Calendar'!$AG$135)=FALSE,"",IF((('Dvd Calendar'!$AG$137=TYPE1)*(TYPE1&lt;&gt;"")+('Dvd Calendar'!$AG$137=TYPE2)*(TYPE2&lt;&gt;"")+('Dvd Calendar'!$AG$137=TYPE3)*(TYPE3&lt;&gt;"")+('Dvd Calendar'!$AG$137=TYPE4)*(TYPE4&lt;&gt;"")+('Dvd Calendar'!$AG$137=SPECIAL_LBL)*(INC_SPECIALS="Y"))=0,"",'Dvd Calendar'!$AG$135)))</f>
        <v/>
      </c>
      <c r="AF23" s="161">
        <f>IF(FH23="","",IF(ISNUMBER('Dvd Calendar'!$AH$135)=FALSE,"",IF((('Dvd Calendar'!$AH$137=TYPE1)*(TYPE1&lt;&gt;"")+('Dvd Calendar'!$AH$137=TYPE2)*(TYPE2&lt;&gt;"")+('Dvd Calendar'!$AH$137=TYPE3)*(TYPE3&lt;&gt;"")+('Dvd Calendar'!$AH$137=TYPE4)*(TYPE4&lt;&gt;"")+('Dvd Calendar'!$AH$137=SPECIAL_LBL)*(INC_SPECIALS="Y"))=0,"",'Dvd Calendar'!$AH$135)))</f>
        <v/>
      </c>
      <c r="AG23" s="161">
        <f>IF(FI23="","",IF(ISNUMBER('Dvd Calendar'!$AI$135)=FALSE,"",IF((('Dvd Calendar'!$AI$137=TYPE1)*(TYPE1&lt;&gt;"")+('Dvd Calendar'!$AI$137=TYPE2)*(TYPE2&lt;&gt;"")+('Dvd Calendar'!$AI$137=TYPE3)*(TYPE3&lt;&gt;"")+('Dvd Calendar'!$AI$137=TYPE4)*(TYPE4&lt;&gt;"")+('Dvd Calendar'!$AI$137=SPECIAL_LBL)*(INC_SPECIALS="Y"))=0,"",'Dvd Calendar'!$AI$135)))</f>
        <v/>
      </c>
      <c r="AH23" s="161">
        <f>IF(FJ23="","",IF(ISNUMBER('Dvd Calendar'!$AJ$135)=FALSE,"",IF((('Dvd Calendar'!$AJ$137=TYPE1)*(TYPE1&lt;&gt;"")+('Dvd Calendar'!$AJ$137=TYPE2)*(TYPE2&lt;&gt;"")+('Dvd Calendar'!$AJ$137=TYPE3)*(TYPE3&lt;&gt;"")+('Dvd Calendar'!$AJ$137=TYPE4)*(TYPE4&lt;&gt;"")+('Dvd Calendar'!$AJ$137=SPECIAL_LBL)*(INC_SPECIALS="Y"))=0,"",'Dvd Calendar'!$AJ$135)))</f>
        <v/>
      </c>
      <c r="AI23" s="161">
        <f>IF(FK23="","",IF(ISNUMBER('Dvd Calendar'!$AK$135)=FALSE,"",IF((('Dvd Calendar'!$AK$137=TYPE1)*(TYPE1&lt;&gt;"")+('Dvd Calendar'!$AK$137=TYPE2)*(TYPE2&lt;&gt;"")+('Dvd Calendar'!$AK$137=TYPE3)*(TYPE3&lt;&gt;"")+('Dvd Calendar'!$AK$137=TYPE4)*(TYPE4&lt;&gt;"")+('Dvd Calendar'!$AK$137=SPECIAL_LBL)*(INC_SPECIALS="Y"))=0,"",'Dvd Calendar'!$AK$135)))</f>
        <v/>
      </c>
      <c r="AJ23" s="161">
        <f>IF(FL23="","",IF(ISNUMBER('Dvd Calendar'!$AL$135)=FALSE,"",IF((('Dvd Calendar'!$AL$137=TYPE1)*(TYPE1&lt;&gt;"")+('Dvd Calendar'!$AL$137=TYPE2)*(TYPE2&lt;&gt;"")+('Dvd Calendar'!$AL$137=TYPE3)*(TYPE3&lt;&gt;"")+('Dvd Calendar'!$AL$137=TYPE4)*(TYPE4&lt;&gt;"")+('Dvd Calendar'!$AL$137=SPECIAL_LBL)*(INC_SPECIALS="Y"))=0,"",'Dvd Calendar'!$AL$135)))</f>
        <v/>
      </c>
      <c r="AK23" s="161">
        <f>IF(FM23="","",IF(ISNUMBER('Dvd Calendar'!$AM$135)=FALSE,"",IF((('Dvd Calendar'!$AM$137=TYPE1)*(TYPE1&lt;&gt;"")+('Dvd Calendar'!$AM$137=TYPE2)*(TYPE2&lt;&gt;"")+('Dvd Calendar'!$AM$137=TYPE3)*(TYPE3&lt;&gt;"")+('Dvd Calendar'!$AM$137=TYPE4)*(TYPE4&lt;&gt;"")+('Dvd Calendar'!$AM$137=SPECIAL_LBL)*(INC_SPECIALS="Y"))=0,"",'Dvd Calendar'!$AM$135)))</f>
        <v/>
      </c>
      <c r="AL23" s="161">
        <f>IF(FN23="","",IF(ISNUMBER('Dvd Calendar'!$AN$135)=FALSE,"",IF((('Dvd Calendar'!$AN$137=TYPE1)*(TYPE1&lt;&gt;"")+('Dvd Calendar'!$AN$137=TYPE2)*(TYPE2&lt;&gt;"")+('Dvd Calendar'!$AN$137=TYPE3)*(TYPE3&lt;&gt;"")+('Dvd Calendar'!$AN$137=TYPE4)*(TYPE4&lt;&gt;"")+('Dvd Calendar'!$AN$137=SPECIAL_LBL)*(INC_SPECIALS="Y"))=0,"",'Dvd Calendar'!$AN$135)))</f>
        <v/>
      </c>
      <c r="AM23" s="161">
        <f>IF(FO23="","",IF(ISNUMBER('Dvd Calendar'!$AO$135)=FALSE,"",IF((('Dvd Calendar'!$AO$137=TYPE1)*(TYPE1&lt;&gt;"")+('Dvd Calendar'!$AO$137=TYPE2)*(TYPE2&lt;&gt;"")+('Dvd Calendar'!$AO$137=TYPE3)*(TYPE3&lt;&gt;"")+('Dvd Calendar'!$AO$137=TYPE4)*(TYPE4&lt;&gt;"")+('Dvd Calendar'!$AO$137=SPECIAL_LBL)*(INC_SPECIALS="Y"))=0,"",'Dvd Calendar'!$AO$135)))</f>
        <v/>
      </c>
      <c r="AN23" s="161">
        <f>IF(FP23="","",IF(ISNUMBER('Dvd Calendar'!$AP$135)=FALSE,"",IF((('Dvd Calendar'!$AP$137=TYPE1)*(TYPE1&lt;&gt;"")+('Dvd Calendar'!$AP$137=TYPE2)*(TYPE2&lt;&gt;"")+('Dvd Calendar'!$AP$137=TYPE3)*(TYPE3&lt;&gt;"")+('Dvd Calendar'!$AP$137=TYPE4)*(TYPE4&lt;&gt;"")+('Dvd Calendar'!$AP$137=SPECIAL_LBL)*(INC_SPECIALS="Y"))=0,"",'Dvd Calendar'!$AP$135)))</f>
        <v/>
      </c>
      <c r="AO23" s="161">
        <f>IF(FQ23="","",IF(ISNUMBER('Dvd Calendar'!$AQ$135)=FALSE,"",IF((('Dvd Calendar'!$AQ$137=TYPE1)*(TYPE1&lt;&gt;"")+('Dvd Calendar'!$AQ$137=TYPE2)*(TYPE2&lt;&gt;"")+('Dvd Calendar'!$AQ$137=TYPE3)*(TYPE3&lt;&gt;"")+('Dvd Calendar'!$AQ$137=TYPE4)*(TYPE4&lt;&gt;"")+('Dvd Calendar'!$AQ$137=SPECIAL_LBL)*(INC_SPECIALS="Y"))=0,"",'Dvd Calendar'!$AQ$135)))</f>
        <v/>
      </c>
      <c r="AP23" s="161">
        <f>IF(FR23="","",IF(ISNUMBER('Dvd Calendar'!$AR$135)=FALSE,"",IF((('Dvd Calendar'!$AR$137=TYPE1)*(TYPE1&lt;&gt;"")+('Dvd Calendar'!$AR$137=TYPE2)*(TYPE2&lt;&gt;"")+('Dvd Calendar'!$AR$137=TYPE3)*(TYPE3&lt;&gt;"")+('Dvd Calendar'!$AR$137=TYPE4)*(TYPE4&lt;&gt;"")+('Dvd Calendar'!$AR$137=SPECIAL_LBL)*(INC_SPECIALS="Y"))=0,"",'Dvd Calendar'!$AR$135)))</f>
        <v/>
      </c>
      <c r="AQ23" s="161">
        <f>IF(FS23="","",IF(ISNUMBER('Dvd Calendar'!$E$140)=FALSE,"",'Dvd Calendar'!$E$140))</f>
        <v/>
      </c>
      <c r="AR23" s="161">
        <f>IF(FT23="","",IF(ISNUMBER('Dvd Calendar'!$F$140)=FALSE,"",'Dvd Calendar'!$F$140))</f>
        <v/>
      </c>
      <c r="AS23" s="161">
        <f>IF(FU23="","",IF(ISNUMBER('Dvd Calendar'!$G$140)=FALSE,"",'Dvd Calendar'!$G$140))</f>
        <v/>
      </c>
      <c r="AT23" s="161">
        <f>IF(FV23="","",IF(ISNUMBER('Dvd Calendar'!$H$140)=FALSE,"",'Dvd Calendar'!$H$140))</f>
        <v/>
      </c>
      <c r="AU23" s="161">
        <f>IF(FW23="","",IF(ISNUMBER('Dvd Calendar'!$I$140)=FALSE,"",'Dvd Calendar'!$I$140))</f>
        <v/>
      </c>
      <c r="AV23" s="161">
        <f>IF(FX23="","",IF(ISNUMBER('Dvd Calendar'!$J$140)=FALSE,"",'Dvd Calendar'!$J$140))</f>
        <v/>
      </c>
      <c r="AW23" s="161">
        <f>IF(FY23="","",IF(ISNUMBER('Dvd Calendar'!$K$140)=FALSE,"",'Dvd Calendar'!$K$140))</f>
        <v/>
      </c>
      <c r="AX23" s="161">
        <f>IF(FZ23="","",IF(ISNUMBER('Dvd Calendar'!$L$140)=FALSE,"",'Dvd Calendar'!$L$140))</f>
        <v/>
      </c>
      <c r="AY23" s="161">
        <f>IF(GA23="","",IF(ISNUMBER('Dvd Calendar'!$M$140)=FALSE,"",'Dvd Calendar'!$M$140))</f>
        <v/>
      </c>
      <c r="AZ23" s="161">
        <f>IF(GB23="","",IF(ISNUMBER('Dvd Calendar'!$N$140)=FALSE,"",'Dvd Calendar'!$N$140))</f>
        <v/>
      </c>
      <c r="BA23" s="161">
        <f>IF(GC23="","",IF(ISNUMBER('Dvd Calendar'!$O$140)=FALSE,"",'Dvd Calendar'!$O$140))</f>
        <v/>
      </c>
      <c r="BB23" s="161">
        <f>IF(GD23="","",IF(ISNUMBER('Dvd Calendar'!$P$140)=FALSE,"",'Dvd Calendar'!$P$140))</f>
        <v/>
      </c>
      <c r="BC23" s="161">
        <f>IF(GE23="","",IF(ISNUMBER('Dvd Calendar'!$Q$140)=FALSE,"",'Dvd Calendar'!$Q$140))</f>
        <v/>
      </c>
      <c r="BD23" s="161">
        <f>IF(GF23="","",IF(ISNUMBER('Dvd Calendar'!$R$140)=FALSE,"",'Dvd Calendar'!$R$140))</f>
        <v/>
      </c>
      <c r="BE23" s="161">
        <f>IF(GG23="","",IF(ISNUMBER('Dvd Calendar'!$S$140)=FALSE,"",'Dvd Calendar'!$S$140))</f>
        <v/>
      </c>
      <c r="BF23" s="161">
        <f>IF(GH23="","",IF(ISNUMBER('Dvd Calendar'!$T$140)=FALSE,"",'Dvd Calendar'!$T$140))</f>
        <v/>
      </c>
      <c r="BG23" s="161">
        <f>IF(GI23="","",IF(ISNUMBER('Dvd Calendar'!$U$140)=FALSE,"",'Dvd Calendar'!$U$140))</f>
        <v/>
      </c>
      <c r="BH23" s="161">
        <f>IF(GJ23="","",IF(ISNUMBER('Dvd Calendar'!$V$140)=FALSE,"",'Dvd Calendar'!$V$140))</f>
        <v/>
      </c>
      <c r="BI23" s="161">
        <f>IF(GK23="","",IF(ISNUMBER('Dvd Calendar'!$W$140)=FALSE,"",'Dvd Calendar'!$W$140))</f>
        <v/>
      </c>
      <c r="BJ23" s="161">
        <f>IF(GL23="","",IF(ISNUMBER('Dvd Calendar'!$X$140)=FALSE,"",'Dvd Calendar'!$X$140))</f>
        <v/>
      </c>
      <c r="BK23" s="161">
        <f>IF(GM23="","",IF(ISNUMBER('Dvd Calendar'!$Y$140)=FALSE,"",'Dvd Calendar'!$Y$140))</f>
        <v/>
      </c>
      <c r="BL23" s="161">
        <f>IF(GN23="","",IF(ISNUMBER('Dvd Calendar'!$Z$140)=FALSE,"",'Dvd Calendar'!$Z$140))</f>
        <v/>
      </c>
      <c r="BM23" s="161">
        <f>IF(GO23="","",IF(ISNUMBER('Dvd Calendar'!$AA$140)=FALSE,"",'Dvd Calendar'!$AA$140))</f>
        <v/>
      </c>
      <c r="BN23" s="161">
        <f>IF(GP23="","",IF(ISNUMBER('Dvd Calendar'!$AB$140)=FALSE,"",'Dvd Calendar'!$AB$140))</f>
        <v/>
      </c>
      <c r="BO23" s="161">
        <f>IF(GQ23="","",IF(ISNUMBER('Dvd Calendar'!$AC$140)=FALSE,"",'Dvd Calendar'!$AC$140))</f>
        <v/>
      </c>
      <c r="BQ23" s="161">
        <f>IF(C23="","",IFERROR(C23*HSI!$B$18*HSI!$G$18/HSI!$B$3,""))</f>
        <v/>
      </c>
      <c r="BR23" s="161">
        <f>IF(D23="","",IFERROR(D23*HSI!$B$18*HSI!$G$18/HSI!$B$3,""))</f>
        <v/>
      </c>
      <c r="BS23" s="161">
        <f>IF(E23="","",IFERROR(E23*HSI!$B$18*HSI!$G$18/HSI!$B$3,""))</f>
        <v/>
      </c>
      <c r="BT23" s="161">
        <f>IF(F23="","",IFERROR(F23*HSI!$B$18*HSI!$G$18/HSI!$B$3,""))</f>
        <v/>
      </c>
      <c r="BU23" s="161">
        <f>IF(G23="","",IFERROR(G23*HSI!$B$18*HSI!$G$18/HSI!$B$3,""))</f>
        <v/>
      </c>
      <c r="BV23" s="161">
        <f>IF(H23="","",IFERROR(H23*HSI!$B$18*HSI!$G$18/HSI!$B$3,""))</f>
        <v/>
      </c>
      <c r="BW23" s="161">
        <f>IF(I23="","",IFERROR(I23*HSI!$B$18*HSI!$G$18/HSI!$B$3,""))</f>
        <v/>
      </c>
      <c r="BX23" s="161">
        <f>IF(J23="","",IFERROR(J23*HSI!$B$18*HSI!$G$18/HSI!$B$3,""))</f>
        <v/>
      </c>
      <c r="BY23" s="161">
        <f>IF(K23="","",IFERROR(K23*HSI!$B$18*HSI!$G$18/HSI!$B$3,""))</f>
        <v/>
      </c>
      <c r="BZ23" s="161">
        <f>IF(L23="","",IFERROR(L23*HSI!$B$18*HSI!$G$18/HSI!$B$3,""))</f>
        <v/>
      </c>
      <c r="CA23" s="161">
        <f>IF(M23="","",IFERROR(M23*HSI!$B$18*HSI!$G$18/HSI!$B$3,""))</f>
        <v/>
      </c>
      <c r="CB23" s="161">
        <f>IF(N23="","",IFERROR(N23*HSI!$B$18*HSI!$G$18/HSI!$B$3,""))</f>
        <v/>
      </c>
      <c r="CC23" s="161">
        <f>IF(O23="","",IFERROR(O23*HSI!$B$18*HSI!$G$18/HSI!$B$3,""))</f>
        <v/>
      </c>
      <c r="CD23" s="161">
        <f>IF(P23="","",IFERROR(P23*HSI!$B$18*HSI!$G$18/HSI!$B$3,""))</f>
        <v/>
      </c>
      <c r="CE23" s="161">
        <f>IF(Q23="","",IFERROR(Q23*HSI!$B$18*HSI!$G$18/HSI!$B$3,""))</f>
        <v/>
      </c>
      <c r="CF23" s="161">
        <f>IF(R23="","",IFERROR(R23*HSI!$B$18*HSI!$G$18/HSI!$B$3,""))</f>
        <v/>
      </c>
      <c r="CG23" s="161">
        <f>IF(S23="","",IFERROR(S23*HSI!$B$18*HSI!$G$18/HSI!$B$3,""))</f>
        <v/>
      </c>
      <c r="CH23" s="161">
        <f>IF(T23="","",IFERROR(T23*HSI!$B$18*HSI!$G$18/HSI!$B$3,""))</f>
        <v/>
      </c>
      <c r="CI23" s="161">
        <f>IF(U23="","",IFERROR(U23*HSI!$B$18*HSI!$G$18/HSI!$B$3,""))</f>
        <v/>
      </c>
      <c r="CJ23" s="161">
        <f>IF(V23="","",IFERROR(V23*HSI!$B$18*HSI!$G$18/HSI!$B$3,""))</f>
        <v/>
      </c>
      <c r="CK23" s="161">
        <f>IF(W23="","",IFERROR(W23*HSI!$B$18*HSI!$G$18/HSI!$B$3,""))</f>
        <v/>
      </c>
      <c r="CL23" s="161">
        <f>IF(X23="","",IFERROR(X23*HSI!$B$18*HSI!$G$18/HSI!$B$3,""))</f>
        <v/>
      </c>
      <c r="CM23" s="161">
        <f>IF(Y23="","",IFERROR(Y23*HSI!$B$18*HSI!$G$18/HSI!$B$3,""))</f>
        <v/>
      </c>
      <c r="CN23" s="161">
        <f>IF(Z23="","",IFERROR(Z23*HSI!$B$18*HSI!$G$18/HSI!$B$3,""))</f>
        <v/>
      </c>
      <c r="CO23" s="161">
        <f>IF(AA23="","",IFERROR(AA23*HSI!$B$18*HSI!$G$18/HSI!$B$3,""))</f>
        <v/>
      </c>
      <c r="CP23" s="161">
        <f>IF(AB23="","",IFERROR(AB23*HSI!$B$18*HSI!$G$18/HSI!$B$3,""))</f>
        <v/>
      </c>
      <c r="CQ23" s="161">
        <f>IF(AC23="","",IFERROR(AC23*HSI!$B$18*HSI!$G$18/HSI!$B$3,""))</f>
        <v/>
      </c>
      <c r="CR23" s="161">
        <f>IF(AD23="","",IFERROR(AD23*HSI!$B$18*HSI!$G$18/HSI!$B$3,""))</f>
        <v/>
      </c>
      <c r="CS23" s="161">
        <f>IF(AE23="","",IFERROR(AE23*HSI!$B$18*HSI!$G$18/HSI!$B$3,""))</f>
        <v/>
      </c>
      <c r="CT23" s="161">
        <f>IF(AF23="","",IFERROR(AF23*HSI!$B$18*HSI!$G$18/HSI!$B$3,""))</f>
        <v/>
      </c>
      <c r="CU23" s="161">
        <f>IF(AG23="","",IFERROR(AG23*HSI!$B$18*HSI!$G$18/HSI!$B$3,""))</f>
        <v/>
      </c>
      <c r="CV23" s="161">
        <f>IF(AH23="","",IFERROR(AH23*HSI!$B$18*HSI!$G$18/HSI!$B$3,""))</f>
        <v/>
      </c>
      <c r="CW23" s="161">
        <f>IF(AI23="","",IFERROR(AI23*HSI!$B$18*HSI!$G$18/HSI!$B$3,""))</f>
        <v/>
      </c>
      <c r="CX23" s="161">
        <f>IF(AJ23="","",IFERROR(AJ23*HSI!$B$18*HSI!$G$18/HSI!$B$3,""))</f>
        <v/>
      </c>
      <c r="CY23" s="161">
        <f>IF(AK23="","",IFERROR(AK23*HSI!$B$18*HSI!$G$18/HSI!$B$3,""))</f>
        <v/>
      </c>
      <c r="CZ23" s="161">
        <f>IF(AL23="","",IFERROR(AL23*HSI!$B$18*HSI!$G$18/HSI!$B$3,""))</f>
        <v/>
      </c>
      <c r="DA23" s="161">
        <f>IF(AM23="","",IFERROR(AM23*HSI!$B$18*HSI!$G$18/HSI!$B$3,""))</f>
        <v/>
      </c>
      <c r="DB23" s="161">
        <f>IF(AN23="","",IFERROR(AN23*HSI!$B$18*HSI!$G$18/HSI!$B$3,""))</f>
        <v/>
      </c>
      <c r="DC23" s="161">
        <f>IF(AO23="","",IFERROR(AO23*HSI!$B$18*HSI!$G$18/HSI!$B$3,""))</f>
        <v/>
      </c>
      <c r="DD23" s="161">
        <f>IF(AP23="","",IFERROR(AP23*HSI!$B$18*HSI!$G$18/HSI!$B$3,""))</f>
        <v/>
      </c>
      <c r="DE23" s="161">
        <f>IF(AQ23="","",IFERROR(AQ23*HSI!$B$18*HSI!$G$18/HSI!$B$3,""))</f>
        <v/>
      </c>
      <c r="DF23" s="161">
        <f>IF(AR23="","",IFERROR(AR23*HSI!$B$18*HSI!$G$18/HSI!$B$3,""))</f>
        <v/>
      </c>
      <c r="DG23" s="161">
        <f>IF(AS23="","",IFERROR(AS23*HSI!$B$18*HSI!$G$18/HSI!$B$3,""))</f>
        <v/>
      </c>
      <c r="DH23" s="161">
        <f>IF(AT23="","",IFERROR(AT23*HSI!$B$18*HSI!$G$18/HSI!$B$3,""))</f>
        <v/>
      </c>
      <c r="DI23" s="161">
        <f>IF(AU23="","",IFERROR(AU23*HSI!$B$18*HSI!$G$18/HSI!$B$3,""))</f>
        <v/>
      </c>
      <c r="DJ23" s="161">
        <f>IF(AV23="","",IFERROR(AV23*HSI!$B$18*HSI!$G$18/HSI!$B$3,""))</f>
        <v/>
      </c>
      <c r="DK23" s="161">
        <f>IF(AW23="","",IFERROR(AW23*HSI!$B$18*HSI!$G$18/HSI!$B$3,""))</f>
        <v/>
      </c>
      <c r="DL23" s="161">
        <f>IF(AX23="","",IFERROR(AX23*HSI!$B$18*HSI!$G$18/HSI!$B$3,""))</f>
        <v/>
      </c>
      <c r="DM23" s="161">
        <f>IF(AY23="","",IFERROR(AY23*HSI!$B$18*HSI!$G$18/HSI!$B$3,""))</f>
        <v/>
      </c>
      <c r="DN23" s="161">
        <f>IF(AZ23="","",IFERROR(AZ23*HSI!$B$18*HSI!$G$18/HSI!$B$3,""))</f>
        <v/>
      </c>
      <c r="DO23" s="161">
        <f>IF(BA23="","",IFERROR(BA23*HSI!$B$18*HSI!$G$18/HSI!$B$3,""))</f>
        <v/>
      </c>
      <c r="DP23" s="161">
        <f>IF(BB23="","",IFERROR(BB23*HSI!$B$18*HSI!$G$18/HSI!$B$3,""))</f>
        <v/>
      </c>
      <c r="DQ23" s="161">
        <f>IF(BC23="","",IFERROR(BC23*HSI!$B$18*HSI!$G$18/HSI!$B$3,""))</f>
        <v/>
      </c>
      <c r="DR23" s="161">
        <f>IF(BD23="","",IFERROR(BD23*HSI!$B$18*HSI!$G$18/HSI!$B$3,""))</f>
        <v/>
      </c>
      <c r="DS23" s="161">
        <f>IF(BE23="","",IFERROR(BE23*HSI!$B$18*HSI!$G$18/HSI!$B$3,""))</f>
        <v/>
      </c>
      <c r="DT23" s="161">
        <f>IF(BF23="","",IFERROR(BF23*HSI!$B$18*HSI!$G$18/HSI!$B$3,""))</f>
        <v/>
      </c>
      <c r="DU23" s="161">
        <f>IF(BG23="","",IFERROR(BG23*HSI!$B$18*HSI!$G$18/HSI!$B$3,""))</f>
        <v/>
      </c>
      <c r="DV23" s="161">
        <f>IF(BH23="","",IFERROR(BH23*HSI!$B$18*HSI!$G$18/HSI!$B$3,""))</f>
        <v/>
      </c>
      <c r="DW23" s="161">
        <f>IF(BI23="","",IFERROR(BI23*HSI!$B$18*HSI!$G$18/HSI!$B$3,""))</f>
        <v/>
      </c>
      <c r="DX23" s="161">
        <f>IF(BJ23="","",IFERROR(BJ23*HSI!$B$18*HSI!$G$18/HSI!$B$3,""))</f>
        <v/>
      </c>
      <c r="DY23" s="161">
        <f>IF(BK23="","",IFERROR(BK23*HSI!$B$18*HSI!$G$18/HSI!$B$3,""))</f>
        <v/>
      </c>
      <c r="DZ23" s="161">
        <f>IF(BL23="","",IFERROR(BL23*HSI!$B$18*HSI!$G$18/HSI!$B$3,""))</f>
        <v/>
      </c>
      <c r="EA23" s="161">
        <f>IF(BM23="","",IFERROR(BM23*HSI!$B$18*HSI!$G$18/HSI!$B$3,""))</f>
        <v/>
      </c>
      <c r="EB23" s="161">
        <f>IF(BN23="","",IFERROR(BN23*HSI!$B$18*HSI!$G$18/HSI!$B$3,""))</f>
        <v/>
      </c>
      <c r="EC23" s="161">
        <f>IF(BO23="","",IFERROR(BO23*HSI!$B$18*HSI!$G$18/HSI!$B$3,""))</f>
        <v/>
      </c>
      <c r="EE23" s="121">
        <f>IF(N('Dvd Calendar'!$E$132)=0,"",IF(('Dvd Calendar'!$E$132&gt;=GRID_FROM)*('Dvd Calendar'!$E$132&lt;=GRID_TO)*((('Dvd Calendar'!$E$132&lt;=VAL_DATE)+(COUNTIF('Dvd Calendar'!$E$139:$AR$139,'Dvd Calendar'!$E$132)=0))&gt;0)=0,"",'Dvd Calendar'!$E$132*1000000000+ISNUMBER('Dvd Calendar'!$E$135)*100000000+('Dvd Calendar'!$E$137=SPECIAL_LBL)*10000000+(N('Dvd Calendar'!$E$131)&gt;0)*(N('Dvd Calendar'!$E$131)&lt;=VAL_SERIAL)*1000000+12*1000+1))</f>
        <v/>
      </c>
      <c r="EF23" s="121">
        <f>IF(N('Dvd Calendar'!$F$132)=0,"",IF(('Dvd Calendar'!$F$132&gt;=GRID_FROM)*('Dvd Calendar'!$F$132&lt;=GRID_TO)*((('Dvd Calendar'!$F$132&lt;=VAL_DATE)+(COUNTIF('Dvd Calendar'!$E$139:$AR$139,'Dvd Calendar'!$F$132)=0))&gt;0)=0,"",'Dvd Calendar'!$F$132*1000000000+ISNUMBER('Dvd Calendar'!$F$135)*100000000+('Dvd Calendar'!$F$137=SPECIAL_LBL)*10000000+(N('Dvd Calendar'!$F$131)&gt;0)*(N('Dvd Calendar'!$F$131)&lt;=VAL_SERIAL)*1000000+12*1000+2))</f>
        <v/>
      </c>
      <c r="EG23" s="121">
        <f>IF(N('Dvd Calendar'!$G$132)=0,"",IF(('Dvd Calendar'!$G$132&gt;=GRID_FROM)*('Dvd Calendar'!$G$132&lt;=GRID_TO)*((('Dvd Calendar'!$G$132&lt;=VAL_DATE)+(COUNTIF('Dvd Calendar'!$E$139:$AR$139,'Dvd Calendar'!$G$132)=0))&gt;0)=0,"",'Dvd Calendar'!$G$132*1000000000+ISNUMBER('Dvd Calendar'!$G$135)*100000000+('Dvd Calendar'!$G$137=SPECIAL_LBL)*10000000+(N('Dvd Calendar'!$G$131)&gt;0)*(N('Dvd Calendar'!$G$131)&lt;=VAL_SERIAL)*1000000+12*1000+3))</f>
        <v/>
      </c>
      <c r="EH23" s="121">
        <f>IF(N('Dvd Calendar'!$H$132)=0,"",IF(('Dvd Calendar'!$H$132&gt;=GRID_FROM)*('Dvd Calendar'!$H$132&lt;=GRID_TO)*((('Dvd Calendar'!$H$132&lt;=VAL_DATE)+(COUNTIF('Dvd Calendar'!$E$139:$AR$139,'Dvd Calendar'!$H$132)=0))&gt;0)=0,"",'Dvd Calendar'!$H$132*1000000000+ISNUMBER('Dvd Calendar'!$H$135)*100000000+('Dvd Calendar'!$H$137=SPECIAL_LBL)*10000000+(N('Dvd Calendar'!$H$131)&gt;0)*(N('Dvd Calendar'!$H$131)&lt;=VAL_SERIAL)*1000000+12*1000+4))</f>
        <v/>
      </c>
      <c r="EI23" s="121">
        <f>IF(N('Dvd Calendar'!$I$132)=0,"",IF(('Dvd Calendar'!$I$132&gt;=GRID_FROM)*('Dvd Calendar'!$I$132&lt;=GRID_TO)*((('Dvd Calendar'!$I$132&lt;=VAL_DATE)+(COUNTIF('Dvd Calendar'!$E$139:$AR$139,'Dvd Calendar'!$I$132)=0))&gt;0)=0,"",'Dvd Calendar'!$I$132*1000000000+ISNUMBER('Dvd Calendar'!$I$135)*100000000+('Dvd Calendar'!$I$137=SPECIAL_LBL)*10000000+(N('Dvd Calendar'!$I$131)&gt;0)*(N('Dvd Calendar'!$I$131)&lt;=VAL_SERIAL)*1000000+12*1000+5))</f>
        <v/>
      </c>
      <c r="EJ23" s="121">
        <f>IF(N('Dvd Calendar'!$J$132)=0,"",IF(('Dvd Calendar'!$J$132&gt;=GRID_FROM)*('Dvd Calendar'!$J$132&lt;=GRID_TO)*((('Dvd Calendar'!$J$132&lt;=VAL_DATE)+(COUNTIF('Dvd Calendar'!$E$139:$AR$139,'Dvd Calendar'!$J$132)=0))&gt;0)=0,"",'Dvd Calendar'!$J$132*1000000000+ISNUMBER('Dvd Calendar'!$J$135)*100000000+('Dvd Calendar'!$J$137=SPECIAL_LBL)*10000000+(N('Dvd Calendar'!$J$131)&gt;0)*(N('Dvd Calendar'!$J$131)&lt;=VAL_SERIAL)*1000000+12*1000+6))</f>
        <v/>
      </c>
      <c r="EK23" s="121">
        <f>IF(N('Dvd Calendar'!$K$132)=0,"",IF(('Dvd Calendar'!$K$132&gt;=GRID_FROM)*('Dvd Calendar'!$K$132&lt;=GRID_TO)*((('Dvd Calendar'!$K$132&lt;=VAL_DATE)+(COUNTIF('Dvd Calendar'!$E$139:$AR$139,'Dvd Calendar'!$K$132)=0))&gt;0)=0,"",'Dvd Calendar'!$K$132*1000000000+ISNUMBER('Dvd Calendar'!$K$135)*100000000+('Dvd Calendar'!$K$137=SPECIAL_LBL)*10000000+(N('Dvd Calendar'!$K$131)&gt;0)*(N('Dvd Calendar'!$K$131)&lt;=VAL_SERIAL)*1000000+12*1000+7))</f>
        <v/>
      </c>
      <c r="EL23" s="121">
        <f>IF(N('Dvd Calendar'!$L$132)=0,"",IF(('Dvd Calendar'!$L$132&gt;=GRID_FROM)*('Dvd Calendar'!$L$132&lt;=GRID_TO)*((('Dvd Calendar'!$L$132&lt;=VAL_DATE)+(COUNTIF('Dvd Calendar'!$E$139:$AR$139,'Dvd Calendar'!$L$132)=0))&gt;0)=0,"",'Dvd Calendar'!$L$132*1000000000+ISNUMBER('Dvd Calendar'!$L$135)*100000000+('Dvd Calendar'!$L$137=SPECIAL_LBL)*10000000+(N('Dvd Calendar'!$L$131)&gt;0)*(N('Dvd Calendar'!$L$131)&lt;=VAL_SERIAL)*1000000+12*1000+8))</f>
        <v/>
      </c>
      <c r="EM23" s="121">
        <f>IF(N('Dvd Calendar'!$M$132)=0,"",IF(('Dvd Calendar'!$M$132&gt;=GRID_FROM)*('Dvd Calendar'!$M$132&lt;=GRID_TO)*((('Dvd Calendar'!$M$132&lt;=VAL_DATE)+(COUNTIF('Dvd Calendar'!$E$139:$AR$139,'Dvd Calendar'!$M$132)=0))&gt;0)=0,"",'Dvd Calendar'!$M$132*1000000000+ISNUMBER('Dvd Calendar'!$M$135)*100000000+('Dvd Calendar'!$M$137=SPECIAL_LBL)*10000000+(N('Dvd Calendar'!$M$131)&gt;0)*(N('Dvd Calendar'!$M$131)&lt;=VAL_SERIAL)*1000000+12*1000+9))</f>
        <v/>
      </c>
      <c r="EN23" s="121">
        <f>IF(N('Dvd Calendar'!$N$132)=0,"",IF(('Dvd Calendar'!$N$132&gt;=GRID_FROM)*('Dvd Calendar'!$N$132&lt;=GRID_TO)*((('Dvd Calendar'!$N$132&lt;=VAL_DATE)+(COUNTIF('Dvd Calendar'!$E$139:$AR$139,'Dvd Calendar'!$N$132)=0))&gt;0)=0,"",'Dvd Calendar'!$N$132*1000000000+ISNUMBER('Dvd Calendar'!$N$135)*100000000+('Dvd Calendar'!$N$137=SPECIAL_LBL)*10000000+(N('Dvd Calendar'!$N$131)&gt;0)*(N('Dvd Calendar'!$N$131)&lt;=VAL_SERIAL)*1000000+12*1000+10))</f>
        <v/>
      </c>
      <c r="EO23" s="121">
        <f>IF(N('Dvd Calendar'!$O$132)=0,"",IF(('Dvd Calendar'!$O$132&gt;=GRID_FROM)*('Dvd Calendar'!$O$132&lt;=GRID_TO)*((('Dvd Calendar'!$O$132&lt;=VAL_DATE)+(COUNTIF('Dvd Calendar'!$E$139:$AR$139,'Dvd Calendar'!$O$132)=0))&gt;0)=0,"",'Dvd Calendar'!$O$132*1000000000+ISNUMBER('Dvd Calendar'!$O$135)*100000000+('Dvd Calendar'!$O$137=SPECIAL_LBL)*10000000+(N('Dvd Calendar'!$O$131)&gt;0)*(N('Dvd Calendar'!$O$131)&lt;=VAL_SERIAL)*1000000+12*1000+11))</f>
        <v/>
      </c>
      <c r="EP23" s="121">
        <f>IF(N('Dvd Calendar'!$P$132)=0,"",IF(('Dvd Calendar'!$P$132&gt;=GRID_FROM)*('Dvd Calendar'!$P$132&lt;=GRID_TO)*((('Dvd Calendar'!$P$132&lt;=VAL_DATE)+(COUNTIF('Dvd Calendar'!$E$139:$AR$139,'Dvd Calendar'!$P$132)=0))&gt;0)=0,"",'Dvd Calendar'!$P$132*1000000000+ISNUMBER('Dvd Calendar'!$P$135)*100000000+('Dvd Calendar'!$P$137=SPECIAL_LBL)*10000000+(N('Dvd Calendar'!$P$131)&gt;0)*(N('Dvd Calendar'!$P$131)&lt;=VAL_SERIAL)*1000000+12*1000+12))</f>
        <v/>
      </c>
      <c r="EQ23" s="121">
        <f>IF(N('Dvd Calendar'!$Q$132)=0,"",IF(('Dvd Calendar'!$Q$132&gt;=GRID_FROM)*('Dvd Calendar'!$Q$132&lt;=GRID_TO)*((('Dvd Calendar'!$Q$132&lt;=VAL_DATE)+(COUNTIF('Dvd Calendar'!$E$139:$AR$139,'Dvd Calendar'!$Q$132)=0))&gt;0)=0,"",'Dvd Calendar'!$Q$132*1000000000+ISNUMBER('Dvd Calendar'!$Q$135)*100000000+('Dvd Calendar'!$Q$137=SPECIAL_LBL)*10000000+(N('Dvd Calendar'!$Q$131)&gt;0)*(N('Dvd Calendar'!$Q$131)&lt;=VAL_SERIAL)*1000000+12*1000+13))</f>
        <v/>
      </c>
      <c r="ER23" s="121">
        <f>IF(N('Dvd Calendar'!$R$132)=0,"",IF(('Dvd Calendar'!$R$132&gt;=GRID_FROM)*('Dvd Calendar'!$R$132&lt;=GRID_TO)*((('Dvd Calendar'!$R$132&lt;=VAL_DATE)+(COUNTIF('Dvd Calendar'!$E$139:$AR$139,'Dvd Calendar'!$R$132)=0))&gt;0)=0,"",'Dvd Calendar'!$R$132*1000000000+ISNUMBER('Dvd Calendar'!$R$135)*100000000+('Dvd Calendar'!$R$137=SPECIAL_LBL)*10000000+(N('Dvd Calendar'!$R$131)&gt;0)*(N('Dvd Calendar'!$R$131)&lt;=VAL_SERIAL)*1000000+12*1000+14))</f>
        <v/>
      </c>
      <c r="ES23" s="121">
        <f>IF(N('Dvd Calendar'!$S$132)=0,"",IF(('Dvd Calendar'!$S$132&gt;=GRID_FROM)*('Dvd Calendar'!$S$132&lt;=GRID_TO)*((('Dvd Calendar'!$S$132&lt;=VAL_DATE)+(COUNTIF('Dvd Calendar'!$E$139:$AR$139,'Dvd Calendar'!$S$132)=0))&gt;0)=0,"",'Dvd Calendar'!$S$132*1000000000+ISNUMBER('Dvd Calendar'!$S$135)*100000000+('Dvd Calendar'!$S$137=SPECIAL_LBL)*10000000+(N('Dvd Calendar'!$S$131)&gt;0)*(N('Dvd Calendar'!$S$131)&lt;=VAL_SERIAL)*1000000+12*1000+15))</f>
        <v/>
      </c>
      <c r="ET23" s="121">
        <f>IF(N('Dvd Calendar'!$T$132)=0,"",IF(('Dvd Calendar'!$T$132&gt;=GRID_FROM)*('Dvd Calendar'!$T$132&lt;=GRID_TO)*((('Dvd Calendar'!$T$132&lt;=VAL_DATE)+(COUNTIF('Dvd Calendar'!$E$139:$AR$139,'Dvd Calendar'!$T$132)=0))&gt;0)=0,"",'Dvd Calendar'!$T$132*1000000000+ISNUMBER('Dvd Calendar'!$T$135)*100000000+('Dvd Calendar'!$T$137=SPECIAL_LBL)*10000000+(N('Dvd Calendar'!$T$131)&gt;0)*(N('Dvd Calendar'!$T$131)&lt;=VAL_SERIAL)*1000000+12*1000+16))</f>
        <v/>
      </c>
      <c r="EU23" s="121">
        <f>IF(N('Dvd Calendar'!$U$132)=0,"",IF(('Dvd Calendar'!$U$132&gt;=GRID_FROM)*('Dvd Calendar'!$U$132&lt;=GRID_TO)*((('Dvd Calendar'!$U$132&lt;=VAL_DATE)+(COUNTIF('Dvd Calendar'!$E$139:$AR$139,'Dvd Calendar'!$U$132)=0))&gt;0)=0,"",'Dvd Calendar'!$U$132*1000000000+ISNUMBER('Dvd Calendar'!$U$135)*100000000+('Dvd Calendar'!$U$137=SPECIAL_LBL)*10000000+(N('Dvd Calendar'!$U$131)&gt;0)*(N('Dvd Calendar'!$U$131)&lt;=VAL_SERIAL)*1000000+12*1000+17))</f>
        <v/>
      </c>
      <c r="EV23" s="121">
        <f>IF(N('Dvd Calendar'!$V$132)=0,"",IF(('Dvd Calendar'!$V$132&gt;=GRID_FROM)*('Dvd Calendar'!$V$132&lt;=GRID_TO)*((('Dvd Calendar'!$V$132&lt;=VAL_DATE)+(COUNTIF('Dvd Calendar'!$E$139:$AR$139,'Dvd Calendar'!$V$132)=0))&gt;0)=0,"",'Dvd Calendar'!$V$132*1000000000+ISNUMBER('Dvd Calendar'!$V$135)*100000000+('Dvd Calendar'!$V$137=SPECIAL_LBL)*10000000+(N('Dvd Calendar'!$V$131)&gt;0)*(N('Dvd Calendar'!$V$131)&lt;=VAL_SERIAL)*1000000+12*1000+18))</f>
        <v/>
      </c>
      <c r="EW23" s="121">
        <f>IF(N('Dvd Calendar'!$W$132)=0,"",IF(('Dvd Calendar'!$W$132&gt;=GRID_FROM)*('Dvd Calendar'!$W$132&lt;=GRID_TO)*((('Dvd Calendar'!$W$132&lt;=VAL_DATE)+(COUNTIF('Dvd Calendar'!$E$139:$AR$139,'Dvd Calendar'!$W$132)=0))&gt;0)=0,"",'Dvd Calendar'!$W$132*1000000000+ISNUMBER('Dvd Calendar'!$W$135)*100000000+('Dvd Calendar'!$W$137=SPECIAL_LBL)*10000000+(N('Dvd Calendar'!$W$131)&gt;0)*(N('Dvd Calendar'!$W$131)&lt;=VAL_SERIAL)*1000000+12*1000+19))</f>
        <v/>
      </c>
      <c r="EX23" s="121">
        <f>IF(N('Dvd Calendar'!$X$132)=0,"",IF(('Dvd Calendar'!$X$132&gt;=GRID_FROM)*('Dvd Calendar'!$X$132&lt;=GRID_TO)*((('Dvd Calendar'!$X$132&lt;=VAL_DATE)+(COUNTIF('Dvd Calendar'!$E$139:$AR$139,'Dvd Calendar'!$X$132)=0))&gt;0)=0,"",'Dvd Calendar'!$X$132*1000000000+ISNUMBER('Dvd Calendar'!$X$135)*100000000+('Dvd Calendar'!$X$137=SPECIAL_LBL)*10000000+(N('Dvd Calendar'!$X$131)&gt;0)*(N('Dvd Calendar'!$X$131)&lt;=VAL_SERIAL)*1000000+12*1000+20))</f>
        <v/>
      </c>
      <c r="EY23" s="121">
        <f>IF(N('Dvd Calendar'!$Y$132)=0,"",IF(('Dvd Calendar'!$Y$132&gt;=GRID_FROM)*('Dvd Calendar'!$Y$132&lt;=GRID_TO)*((('Dvd Calendar'!$Y$132&lt;=VAL_DATE)+(COUNTIF('Dvd Calendar'!$E$139:$AR$139,'Dvd Calendar'!$Y$132)=0))&gt;0)=0,"",'Dvd Calendar'!$Y$132*1000000000+ISNUMBER('Dvd Calendar'!$Y$135)*100000000+('Dvd Calendar'!$Y$137=SPECIAL_LBL)*10000000+(N('Dvd Calendar'!$Y$131)&gt;0)*(N('Dvd Calendar'!$Y$131)&lt;=VAL_SERIAL)*1000000+12*1000+21))</f>
        <v/>
      </c>
      <c r="EZ23" s="121">
        <f>IF(N('Dvd Calendar'!$Z$132)=0,"",IF(('Dvd Calendar'!$Z$132&gt;=GRID_FROM)*('Dvd Calendar'!$Z$132&lt;=GRID_TO)*((('Dvd Calendar'!$Z$132&lt;=VAL_DATE)+(COUNTIF('Dvd Calendar'!$E$139:$AR$139,'Dvd Calendar'!$Z$132)=0))&gt;0)=0,"",'Dvd Calendar'!$Z$132*1000000000+ISNUMBER('Dvd Calendar'!$Z$135)*100000000+('Dvd Calendar'!$Z$137=SPECIAL_LBL)*10000000+(N('Dvd Calendar'!$Z$131)&gt;0)*(N('Dvd Calendar'!$Z$131)&lt;=VAL_SERIAL)*1000000+12*1000+22))</f>
        <v/>
      </c>
      <c r="FA23" s="121">
        <f>IF(N('Dvd Calendar'!$AA$132)=0,"",IF(('Dvd Calendar'!$AA$132&gt;=GRID_FROM)*('Dvd Calendar'!$AA$132&lt;=GRID_TO)*((('Dvd Calendar'!$AA$132&lt;=VAL_DATE)+(COUNTIF('Dvd Calendar'!$E$139:$AR$139,'Dvd Calendar'!$AA$132)=0))&gt;0)=0,"",'Dvd Calendar'!$AA$132*1000000000+ISNUMBER('Dvd Calendar'!$AA$135)*100000000+('Dvd Calendar'!$AA$137=SPECIAL_LBL)*10000000+(N('Dvd Calendar'!$AA$131)&gt;0)*(N('Dvd Calendar'!$AA$131)&lt;=VAL_SERIAL)*1000000+12*1000+23))</f>
        <v/>
      </c>
      <c r="FB23" s="121">
        <f>IF(N('Dvd Calendar'!$AB$132)=0,"",IF(('Dvd Calendar'!$AB$132&gt;=GRID_FROM)*('Dvd Calendar'!$AB$132&lt;=GRID_TO)*((('Dvd Calendar'!$AB$132&lt;=VAL_DATE)+(COUNTIF('Dvd Calendar'!$E$139:$AR$139,'Dvd Calendar'!$AB$132)=0))&gt;0)=0,"",'Dvd Calendar'!$AB$132*1000000000+ISNUMBER('Dvd Calendar'!$AB$135)*100000000+('Dvd Calendar'!$AB$137=SPECIAL_LBL)*10000000+(N('Dvd Calendar'!$AB$131)&gt;0)*(N('Dvd Calendar'!$AB$131)&lt;=VAL_SERIAL)*1000000+12*1000+24))</f>
        <v/>
      </c>
      <c r="FC23" s="121">
        <f>IF(N('Dvd Calendar'!$AC$132)=0,"",IF(('Dvd Calendar'!$AC$132&gt;=GRID_FROM)*('Dvd Calendar'!$AC$132&lt;=GRID_TO)*((('Dvd Calendar'!$AC$132&lt;=VAL_DATE)+(COUNTIF('Dvd Calendar'!$E$139:$AR$139,'Dvd Calendar'!$AC$132)=0))&gt;0)=0,"",'Dvd Calendar'!$AC$132*1000000000+ISNUMBER('Dvd Calendar'!$AC$135)*100000000+('Dvd Calendar'!$AC$137=SPECIAL_LBL)*10000000+(N('Dvd Calendar'!$AC$131)&gt;0)*(N('Dvd Calendar'!$AC$131)&lt;=VAL_SERIAL)*1000000+12*1000+25))</f>
        <v/>
      </c>
      <c r="FD23" s="121">
        <f>IF(N('Dvd Calendar'!$AD$132)=0,"",IF(('Dvd Calendar'!$AD$132&gt;=GRID_FROM)*('Dvd Calendar'!$AD$132&lt;=GRID_TO)*((('Dvd Calendar'!$AD$132&lt;=VAL_DATE)+(COUNTIF('Dvd Calendar'!$E$139:$AR$139,'Dvd Calendar'!$AD$132)=0))&gt;0)=0,"",'Dvd Calendar'!$AD$132*1000000000+ISNUMBER('Dvd Calendar'!$AD$135)*100000000+('Dvd Calendar'!$AD$137=SPECIAL_LBL)*10000000+(N('Dvd Calendar'!$AD$131)&gt;0)*(N('Dvd Calendar'!$AD$131)&lt;=VAL_SERIAL)*1000000+12*1000+26))</f>
        <v/>
      </c>
      <c r="FE23" s="121">
        <f>IF(N('Dvd Calendar'!$AE$132)=0,"",IF(('Dvd Calendar'!$AE$132&gt;=GRID_FROM)*('Dvd Calendar'!$AE$132&lt;=GRID_TO)*((('Dvd Calendar'!$AE$132&lt;=VAL_DATE)+(COUNTIF('Dvd Calendar'!$E$139:$AR$139,'Dvd Calendar'!$AE$132)=0))&gt;0)=0,"",'Dvd Calendar'!$AE$132*1000000000+ISNUMBER('Dvd Calendar'!$AE$135)*100000000+('Dvd Calendar'!$AE$137=SPECIAL_LBL)*10000000+(N('Dvd Calendar'!$AE$131)&gt;0)*(N('Dvd Calendar'!$AE$131)&lt;=VAL_SERIAL)*1000000+12*1000+27))</f>
        <v/>
      </c>
      <c r="FF23" s="121">
        <f>IF(N('Dvd Calendar'!$AF$132)=0,"",IF(('Dvd Calendar'!$AF$132&gt;=GRID_FROM)*('Dvd Calendar'!$AF$132&lt;=GRID_TO)*((('Dvd Calendar'!$AF$132&lt;=VAL_DATE)+(COUNTIF('Dvd Calendar'!$E$139:$AR$139,'Dvd Calendar'!$AF$132)=0))&gt;0)=0,"",'Dvd Calendar'!$AF$132*1000000000+ISNUMBER('Dvd Calendar'!$AF$135)*100000000+('Dvd Calendar'!$AF$137=SPECIAL_LBL)*10000000+(N('Dvd Calendar'!$AF$131)&gt;0)*(N('Dvd Calendar'!$AF$131)&lt;=VAL_SERIAL)*1000000+12*1000+28))</f>
        <v/>
      </c>
      <c r="FG23" s="121">
        <f>IF(N('Dvd Calendar'!$AG$132)=0,"",IF(('Dvd Calendar'!$AG$132&gt;=GRID_FROM)*('Dvd Calendar'!$AG$132&lt;=GRID_TO)*((('Dvd Calendar'!$AG$132&lt;=VAL_DATE)+(COUNTIF('Dvd Calendar'!$E$139:$AR$139,'Dvd Calendar'!$AG$132)=0))&gt;0)=0,"",'Dvd Calendar'!$AG$132*1000000000+ISNUMBER('Dvd Calendar'!$AG$135)*100000000+('Dvd Calendar'!$AG$137=SPECIAL_LBL)*10000000+(N('Dvd Calendar'!$AG$131)&gt;0)*(N('Dvd Calendar'!$AG$131)&lt;=VAL_SERIAL)*1000000+12*1000+29))</f>
        <v/>
      </c>
      <c r="FH23" s="121">
        <f>IF(N('Dvd Calendar'!$AH$132)=0,"",IF(('Dvd Calendar'!$AH$132&gt;=GRID_FROM)*('Dvd Calendar'!$AH$132&lt;=GRID_TO)*((('Dvd Calendar'!$AH$132&lt;=VAL_DATE)+(COUNTIF('Dvd Calendar'!$E$139:$AR$139,'Dvd Calendar'!$AH$132)=0))&gt;0)=0,"",'Dvd Calendar'!$AH$132*1000000000+ISNUMBER('Dvd Calendar'!$AH$135)*100000000+('Dvd Calendar'!$AH$137=SPECIAL_LBL)*10000000+(N('Dvd Calendar'!$AH$131)&gt;0)*(N('Dvd Calendar'!$AH$131)&lt;=VAL_SERIAL)*1000000+12*1000+30))</f>
        <v/>
      </c>
      <c r="FI23" s="121">
        <f>IF(N('Dvd Calendar'!$AI$132)=0,"",IF(('Dvd Calendar'!$AI$132&gt;=GRID_FROM)*('Dvd Calendar'!$AI$132&lt;=GRID_TO)*((('Dvd Calendar'!$AI$132&lt;=VAL_DATE)+(COUNTIF('Dvd Calendar'!$E$139:$AR$139,'Dvd Calendar'!$AI$132)=0))&gt;0)=0,"",'Dvd Calendar'!$AI$132*1000000000+ISNUMBER('Dvd Calendar'!$AI$135)*100000000+('Dvd Calendar'!$AI$137=SPECIAL_LBL)*10000000+(N('Dvd Calendar'!$AI$131)&gt;0)*(N('Dvd Calendar'!$AI$131)&lt;=VAL_SERIAL)*1000000+12*1000+31))</f>
        <v/>
      </c>
      <c r="FJ23" s="121">
        <f>IF(N('Dvd Calendar'!$AJ$132)=0,"",IF(('Dvd Calendar'!$AJ$132&gt;=GRID_FROM)*('Dvd Calendar'!$AJ$132&lt;=GRID_TO)*((('Dvd Calendar'!$AJ$132&lt;=VAL_DATE)+(COUNTIF('Dvd Calendar'!$E$139:$AR$139,'Dvd Calendar'!$AJ$132)=0))&gt;0)=0,"",'Dvd Calendar'!$AJ$132*1000000000+ISNUMBER('Dvd Calendar'!$AJ$135)*100000000+('Dvd Calendar'!$AJ$137=SPECIAL_LBL)*10000000+(N('Dvd Calendar'!$AJ$131)&gt;0)*(N('Dvd Calendar'!$AJ$131)&lt;=VAL_SERIAL)*1000000+12*1000+32))</f>
        <v/>
      </c>
      <c r="FK23" s="121">
        <f>IF(N('Dvd Calendar'!$AK$132)=0,"",IF(('Dvd Calendar'!$AK$132&gt;=GRID_FROM)*('Dvd Calendar'!$AK$132&lt;=GRID_TO)*((('Dvd Calendar'!$AK$132&lt;=VAL_DATE)+(COUNTIF('Dvd Calendar'!$E$139:$AR$139,'Dvd Calendar'!$AK$132)=0))&gt;0)=0,"",'Dvd Calendar'!$AK$132*1000000000+ISNUMBER('Dvd Calendar'!$AK$135)*100000000+('Dvd Calendar'!$AK$137=SPECIAL_LBL)*10000000+(N('Dvd Calendar'!$AK$131)&gt;0)*(N('Dvd Calendar'!$AK$131)&lt;=VAL_SERIAL)*1000000+12*1000+33))</f>
        <v/>
      </c>
      <c r="FL23" s="121">
        <f>IF(N('Dvd Calendar'!$AL$132)=0,"",IF(('Dvd Calendar'!$AL$132&gt;=GRID_FROM)*('Dvd Calendar'!$AL$132&lt;=GRID_TO)*((('Dvd Calendar'!$AL$132&lt;=VAL_DATE)+(COUNTIF('Dvd Calendar'!$E$139:$AR$139,'Dvd Calendar'!$AL$132)=0))&gt;0)=0,"",'Dvd Calendar'!$AL$132*1000000000+ISNUMBER('Dvd Calendar'!$AL$135)*100000000+('Dvd Calendar'!$AL$137=SPECIAL_LBL)*10000000+(N('Dvd Calendar'!$AL$131)&gt;0)*(N('Dvd Calendar'!$AL$131)&lt;=VAL_SERIAL)*1000000+12*1000+34))</f>
        <v/>
      </c>
      <c r="FM23" s="121">
        <f>IF(N('Dvd Calendar'!$AM$132)=0,"",IF(('Dvd Calendar'!$AM$132&gt;=GRID_FROM)*('Dvd Calendar'!$AM$132&lt;=GRID_TO)*((('Dvd Calendar'!$AM$132&lt;=VAL_DATE)+(COUNTIF('Dvd Calendar'!$E$139:$AR$139,'Dvd Calendar'!$AM$132)=0))&gt;0)=0,"",'Dvd Calendar'!$AM$132*1000000000+ISNUMBER('Dvd Calendar'!$AM$135)*100000000+('Dvd Calendar'!$AM$137=SPECIAL_LBL)*10000000+(N('Dvd Calendar'!$AM$131)&gt;0)*(N('Dvd Calendar'!$AM$131)&lt;=VAL_SERIAL)*1000000+12*1000+35))</f>
        <v/>
      </c>
      <c r="FN23" s="121">
        <f>IF(N('Dvd Calendar'!$AN$132)=0,"",IF(('Dvd Calendar'!$AN$132&gt;=GRID_FROM)*('Dvd Calendar'!$AN$132&lt;=GRID_TO)*((('Dvd Calendar'!$AN$132&lt;=VAL_DATE)+(COUNTIF('Dvd Calendar'!$E$139:$AR$139,'Dvd Calendar'!$AN$132)=0))&gt;0)=0,"",'Dvd Calendar'!$AN$132*1000000000+ISNUMBER('Dvd Calendar'!$AN$135)*100000000+('Dvd Calendar'!$AN$137=SPECIAL_LBL)*10000000+(N('Dvd Calendar'!$AN$131)&gt;0)*(N('Dvd Calendar'!$AN$131)&lt;=VAL_SERIAL)*1000000+12*1000+36))</f>
        <v/>
      </c>
      <c r="FO23" s="121">
        <f>IF(N('Dvd Calendar'!$AO$132)=0,"",IF(('Dvd Calendar'!$AO$132&gt;=GRID_FROM)*('Dvd Calendar'!$AO$132&lt;=GRID_TO)*((('Dvd Calendar'!$AO$132&lt;=VAL_DATE)+(COUNTIF('Dvd Calendar'!$E$139:$AR$139,'Dvd Calendar'!$AO$132)=0))&gt;0)=0,"",'Dvd Calendar'!$AO$132*1000000000+ISNUMBER('Dvd Calendar'!$AO$135)*100000000+('Dvd Calendar'!$AO$137=SPECIAL_LBL)*10000000+(N('Dvd Calendar'!$AO$131)&gt;0)*(N('Dvd Calendar'!$AO$131)&lt;=VAL_SERIAL)*1000000+12*1000+37))</f>
        <v/>
      </c>
      <c r="FP23" s="121">
        <f>IF(N('Dvd Calendar'!$AP$132)=0,"",IF(('Dvd Calendar'!$AP$132&gt;=GRID_FROM)*('Dvd Calendar'!$AP$132&lt;=GRID_TO)*((('Dvd Calendar'!$AP$132&lt;=VAL_DATE)+(COUNTIF('Dvd Calendar'!$E$139:$AR$139,'Dvd Calendar'!$AP$132)=0))&gt;0)=0,"",'Dvd Calendar'!$AP$132*1000000000+ISNUMBER('Dvd Calendar'!$AP$135)*100000000+('Dvd Calendar'!$AP$137=SPECIAL_LBL)*10000000+(N('Dvd Calendar'!$AP$131)&gt;0)*(N('Dvd Calendar'!$AP$131)&lt;=VAL_SERIAL)*1000000+12*1000+38))</f>
        <v/>
      </c>
      <c r="FQ23" s="121">
        <f>IF(N('Dvd Calendar'!$AQ$132)=0,"",IF(('Dvd Calendar'!$AQ$132&gt;=GRID_FROM)*('Dvd Calendar'!$AQ$132&lt;=GRID_TO)*((('Dvd Calendar'!$AQ$132&lt;=VAL_DATE)+(COUNTIF('Dvd Calendar'!$E$139:$AR$139,'Dvd Calendar'!$AQ$132)=0))&gt;0)=0,"",'Dvd Calendar'!$AQ$132*1000000000+ISNUMBER('Dvd Calendar'!$AQ$135)*100000000+('Dvd Calendar'!$AQ$137=SPECIAL_LBL)*10000000+(N('Dvd Calendar'!$AQ$131)&gt;0)*(N('Dvd Calendar'!$AQ$131)&lt;=VAL_SERIAL)*1000000+12*1000+39))</f>
        <v/>
      </c>
      <c r="FR23" s="121">
        <f>IF(N('Dvd Calendar'!$AR$132)=0,"",IF(('Dvd Calendar'!$AR$132&gt;=GRID_FROM)*('Dvd Calendar'!$AR$132&lt;=GRID_TO)*((('Dvd Calendar'!$AR$132&lt;=VAL_DATE)+(COUNTIF('Dvd Calendar'!$E$139:$AR$139,'Dvd Calendar'!$AR$132)=0))&gt;0)=0,"",'Dvd Calendar'!$AR$132*1000000000+ISNUMBER('Dvd Calendar'!$AR$135)*100000000+('Dvd Calendar'!$AR$137=SPECIAL_LBL)*10000000+(N('Dvd Calendar'!$AR$131)&gt;0)*(N('Dvd Calendar'!$AR$131)&lt;=VAL_SERIAL)*1000000+12*1000+40))</f>
        <v/>
      </c>
      <c r="FS23" s="121">
        <f>IF(N('Dvd Calendar'!$E$139)=0,"",IF(('Dvd Calendar'!$E$139&gt;=GRID_FROM)*('Dvd Calendar'!$E$139&lt;=GRID_TO)*('Dvd Calendar'!$E$139&gt;VAL_DATE)=0,"",'Dvd Calendar'!$E$139*1000000000+ISNUMBER('Dvd Calendar'!$E$140)*100000000+0*10000000+(N('Dvd Calendar'!$E$138)&gt;0)*(N('Dvd Calendar'!$E$138)&lt;=VAL_SERIAL)*1000000+12*1000+41))</f>
        <v/>
      </c>
      <c r="FT23" s="121">
        <f>IF(N('Dvd Calendar'!$F$139)=0,"",IF(('Dvd Calendar'!$F$139&gt;=GRID_FROM)*('Dvd Calendar'!$F$139&lt;=GRID_TO)*('Dvd Calendar'!$F$139&gt;VAL_DATE)=0,"",'Dvd Calendar'!$F$139*1000000000+ISNUMBER('Dvd Calendar'!$F$140)*100000000+0*10000000+(N('Dvd Calendar'!$F$138)&gt;0)*(N('Dvd Calendar'!$F$138)&lt;=VAL_SERIAL)*1000000+12*1000+42))</f>
        <v/>
      </c>
      <c r="FU23" s="121">
        <f>IF(N('Dvd Calendar'!$G$139)=0,"",IF(('Dvd Calendar'!$G$139&gt;=GRID_FROM)*('Dvd Calendar'!$G$139&lt;=GRID_TO)*('Dvd Calendar'!$G$139&gt;VAL_DATE)=0,"",'Dvd Calendar'!$G$139*1000000000+ISNUMBER('Dvd Calendar'!$G$140)*100000000+0*10000000+(N('Dvd Calendar'!$G$138)&gt;0)*(N('Dvd Calendar'!$G$138)&lt;=VAL_SERIAL)*1000000+12*1000+43))</f>
        <v/>
      </c>
      <c r="FV23" s="121">
        <f>IF(N('Dvd Calendar'!$H$139)=0,"",IF(('Dvd Calendar'!$H$139&gt;=GRID_FROM)*('Dvd Calendar'!$H$139&lt;=GRID_TO)*('Dvd Calendar'!$H$139&gt;VAL_DATE)=0,"",'Dvd Calendar'!$H$139*1000000000+ISNUMBER('Dvd Calendar'!$H$140)*100000000+0*10000000+(N('Dvd Calendar'!$H$138)&gt;0)*(N('Dvd Calendar'!$H$138)&lt;=VAL_SERIAL)*1000000+12*1000+44))</f>
        <v/>
      </c>
      <c r="FW23" s="121">
        <f>IF(N('Dvd Calendar'!$I$139)=0,"",IF(('Dvd Calendar'!$I$139&gt;=GRID_FROM)*('Dvd Calendar'!$I$139&lt;=GRID_TO)*('Dvd Calendar'!$I$139&gt;VAL_DATE)=0,"",'Dvd Calendar'!$I$139*1000000000+ISNUMBER('Dvd Calendar'!$I$140)*100000000+0*10000000+(N('Dvd Calendar'!$I$138)&gt;0)*(N('Dvd Calendar'!$I$138)&lt;=VAL_SERIAL)*1000000+12*1000+45))</f>
        <v/>
      </c>
      <c r="FX23" s="121">
        <f>IF(N('Dvd Calendar'!$J$139)=0,"",IF(('Dvd Calendar'!$J$139&gt;=GRID_FROM)*('Dvd Calendar'!$J$139&lt;=GRID_TO)*('Dvd Calendar'!$J$139&gt;VAL_DATE)=0,"",'Dvd Calendar'!$J$139*1000000000+ISNUMBER('Dvd Calendar'!$J$140)*100000000+0*10000000+(N('Dvd Calendar'!$J$138)&gt;0)*(N('Dvd Calendar'!$J$138)&lt;=VAL_SERIAL)*1000000+12*1000+46))</f>
        <v/>
      </c>
      <c r="FY23" s="121">
        <f>IF(N('Dvd Calendar'!$K$139)=0,"",IF(('Dvd Calendar'!$K$139&gt;=GRID_FROM)*('Dvd Calendar'!$K$139&lt;=GRID_TO)*('Dvd Calendar'!$K$139&gt;VAL_DATE)=0,"",'Dvd Calendar'!$K$139*1000000000+ISNUMBER('Dvd Calendar'!$K$140)*100000000+0*10000000+(N('Dvd Calendar'!$K$138)&gt;0)*(N('Dvd Calendar'!$K$138)&lt;=VAL_SERIAL)*1000000+12*1000+47))</f>
        <v/>
      </c>
      <c r="FZ23" s="121">
        <f>IF(N('Dvd Calendar'!$L$139)=0,"",IF(('Dvd Calendar'!$L$139&gt;=GRID_FROM)*('Dvd Calendar'!$L$139&lt;=GRID_TO)*('Dvd Calendar'!$L$139&gt;VAL_DATE)=0,"",'Dvd Calendar'!$L$139*1000000000+ISNUMBER('Dvd Calendar'!$L$140)*100000000+0*10000000+(N('Dvd Calendar'!$L$138)&gt;0)*(N('Dvd Calendar'!$L$138)&lt;=VAL_SERIAL)*1000000+12*1000+48))</f>
        <v/>
      </c>
      <c r="GA23" s="121">
        <f>IF(N('Dvd Calendar'!$M$139)=0,"",IF(('Dvd Calendar'!$M$139&gt;=GRID_FROM)*('Dvd Calendar'!$M$139&lt;=GRID_TO)*('Dvd Calendar'!$M$139&gt;VAL_DATE)=0,"",'Dvd Calendar'!$M$139*1000000000+ISNUMBER('Dvd Calendar'!$M$140)*100000000+0*10000000+(N('Dvd Calendar'!$M$138)&gt;0)*(N('Dvd Calendar'!$M$138)&lt;=VAL_SERIAL)*1000000+12*1000+49))</f>
        <v/>
      </c>
      <c r="GB23" s="121">
        <f>IF(N('Dvd Calendar'!$N$139)=0,"",IF(('Dvd Calendar'!$N$139&gt;=GRID_FROM)*('Dvd Calendar'!$N$139&lt;=GRID_TO)*('Dvd Calendar'!$N$139&gt;VAL_DATE)=0,"",'Dvd Calendar'!$N$139*1000000000+ISNUMBER('Dvd Calendar'!$N$140)*100000000+0*10000000+(N('Dvd Calendar'!$N$138)&gt;0)*(N('Dvd Calendar'!$N$138)&lt;=VAL_SERIAL)*1000000+12*1000+50))</f>
        <v/>
      </c>
      <c r="GC23" s="121">
        <f>IF(N('Dvd Calendar'!$O$139)=0,"",IF(('Dvd Calendar'!$O$139&gt;=GRID_FROM)*('Dvd Calendar'!$O$139&lt;=GRID_TO)*('Dvd Calendar'!$O$139&gt;VAL_DATE)=0,"",'Dvd Calendar'!$O$139*1000000000+ISNUMBER('Dvd Calendar'!$O$140)*100000000+0*10000000+(N('Dvd Calendar'!$O$138)&gt;0)*(N('Dvd Calendar'!$O$138)&lt;=VAL_SERIAL)*1000000+12*1000+51))</f>
        <v/>
      </c>
      <c r="GD23" s="121">
        <f>IF(N('Dvd Calendar'!$P$139)=0,"",IF(('Dvd Calendar'!$P$139&gt;=GRID_FROM)*('Dvd Calendar'!$P$139&lt;=GRID_TO)*('Dvd Calendar'!$P$139&gt;VAL_DATE)=0,"",'Dvd Calendar'!$P$139*1000000000+ISNUMBER('Dvd Calendar'!$P$140)*100000000+0*10000000+(N('Dvd Calendar'!$P$138)&gt;0)*(N('Dvd Calendar'!$P$138)&lt;=VAL_SERIAL)*1000000+12*1000+52))</f>
        <v/>
      </c>
      <c r="GE23" s="121">
        <f>IF(N('Dvd Calendar'!$Q$139)=0,"",IF(('Dvd Calendar'!$Q$139&gt;=GRID_FROM)*('Dvd Calendar'!$Q$139&lt;=GRID_TO)*('Dvd Calendar'!$Q$139&gt;VAL_DATE)=0,"",'Dvd Calendar'!$Q$139*1000000000+ISNUMBER('Dvd Calendar'!$Q$140)*100000000+0*10000000+(N('Dvd Calendar'!$Q$138)&gt;0)*(N('Dvd Calendar'!$Q$138)&lt;=VAL_SERIAL)*1000000+12*1000+53))</f>
        <v/>
      </c>
      <c r="GF23" s="121">
        <f>IF(N('Dvd Calendar'!$R$139)=0,"",IF(('Dvd Calendar'!$R$139&gt;=GRID_FROM)*('Dvd Calendar'!$R$139&lt;=GRID_TO)*('Dvd Calendar'!$R$139&gt;VAL_DATE)=0,"",'Dvd Calendar'!$R$139*1000000000+ISNUMBER('Dvd Calendar'!$R$140)*100000000+0*10000000+(N('Dvd Calendar'!$R$138)&gt;0)*(N('Dvd Calendar'!$R$138)&lt;=VAL_SERIAL)*1000000+12*1000+54))</f>
        <v/>
      </c>
      <c r="GG23" s="121">
        <f>IF(N('Dvd Calendar'!$S$139)=0,"",IF(('Dvd Calendar'!$S$139&gt;=GRID_FROM)*('Dvd Calendar'!$S$139&lt;=GRID_TO)*('Dvd Calendar'!$S$139&gt;VAL_DATE)=0,"",'Dvd Calendar'!$S$139*1000000000+ISNUMBER('Dvd Calendar'!$S$140)*100000000+0*10000000+(N('Dvd Calendar'!$S$138)&gt;0)*(N('Dvd Calendar'!$S$138)&lt;=VAL_SERIAL)*1000000+12*1000+55))</f>
        <v/>
      </c>
      <c r="GH23" s="121">
        <f>IF(N('Dvd Calendar'!$T$139)=0,"",IF(('Dvd Calendar'!$T$139&gt;=GRID_FROM)*('Dvd Calendar'!$T$139&lt;=GRID_TO)*('Dvd Calendar'!$T$139&gt;VAL_DATE)=0,"",'Dvd Calendar'!$T$139*1000000000+ISNUMBER('Dvd Calendar'!$T$140)*100000000+0*10000000+(N('Dvd Calendar'!$T$138)&gt;0)*(N('Dvd Calendar'!$T$138)&lt;=VAL_SERIAL)*1000000+12*1000+56))</f>
        <v/>
      </c>
      <c r="GI23" s="121">
        <f>IF(N('Dvd Calendar'!$U$139)=0,"",IF(('Dvd Calendar'!$U$139&gt;=GRID_FROM)*('Dvd Calendar'!$U$139&lt;=GRID_TO)*('Dvd Calendar'!$U$139&gt;VAL_DATE)=0,"",'Dvd Calendar'!$U$139*1000000000+ISNUMBER('Dvd Calendar'!$U$140)*100000000+0*10000000+(N('Dvd Calendar'!$U$138)&gt;0)*(N('Dvd Calendar'!$U$138)&lt;=VAL_SERIAL)*1000000+12*1000+57))</f>
        <v/>
      </c>
      <c r="GJ23" s="121">
        <f>IF(N('Dvd Calendar'!$V$139)=0,"",IF(('Dvd Calendar'!$V$139&gt;=GRID_FROM)*('Dvd Calendar'!$V$139&lt;=GRID_TO)*('Dvd Calendar'!$V$139&gt;VAL_DATE)=0,"",'Dvd Calendar'!$V$139*1000000000+ISNUMBER('Dvd Calendar'!$V$140)*100000000+0*10000000+(N('Dvd Calendar'!$V$138)&gt;0)*(N('Dvd Calendar'!$V$138)&lt;=VAL_SERIAL)*1000000+12*1000+58))</f>
        <v/>
      </c>
      <c r="GK23" s="121">
        <f>IF(N('Dvd Calendar'!$W$139)=0,"",IF(('Dvd Calendar'!$W$139&gt;=GRID_FROM)*('Dvd Calendar'!$W$139&lt;=GRID_TO)*('Dvd Calendar'!$W$139&gt;VAL_DATE)=0,"",'Dvd Calendar'!$W$139*1000000000+ISNUMBER('Dvd Calendar'!$W$140)*100000000+0*10000000+(N('Dvd Calendar'!$W$138)&gt;0)*(N('Dvd Calendar'!$W$138)&lt;=VAL_SERIAL)*1000000+12*1000+59))</f>
        <v/>
      </c>
      <c r="GL23" s="121">
        <f>IF(N('Dvd Calendar'!$X$139)=0,"",IF(('Dvd Calendar'!$X$139&gt;=GRID_FROM)*('Dvd Calendar'!$X$139&lt;=GRID_TO)*('Dvd Calendar'!$X$139&gt;VAL_DATE)=0,"",'Dvd Calendar'!$X$139*1000000000+ISNUMBER('Dvd Calendar'!$X$140)*100000000+0*10000000+(N('Dvd Calendar'!$X$138)&gt;0)*(N('Dvd Calendar'!$X$138)&lt;=VAL_SERIAL)*1000000+12*1000+60))</f>
        <v/>
      </c>
      <c r="GM23" s="121">
        <f>IF(N('Dvd Calendar'!$Y$139)=0,"",IF(('Dvd Calendar'!$Y$139&gt;=GRID_FROM)*('Dvd Calendar'!$Y$139&lt;=GRID_TO)*('Dvd Calendar'!$Y$139&gt;VAL_DATE)=0,"",'Dvd Calendar'!$Y$139*1000000000+ISNUMBER('Dvd Calendar'!$Y$140)*100000000+0*10000000+(N('Dvd Calendar'!$Y$138)&gt;0)*(N('Dvd Calendar'!$Y$138)&lt;=VAL_SERIAL)*1000000+12*1000+61))</f>
        <v/>
      </c>
      <c r="GN23" s="121">
        <f>IF(N('Dvd Calendar'!$Z$139)=0,"",IF(('Dvd Calendar'!$Z$139&gt;=GRID_FROM)*('Dvd Calendar'!$Z$139&lt;=GRID_TO)*('Dvd Calendar'!$Z$139&gt;VAL_DATE)=0,"",'Dvd Calendar'!$Z$139*1000000000+ISNUMBER('Dvd Calendar'!$Z$140)*100000000+0*10000000+(N('Dvd Calendar'!$Z$138)&gt;0)*(N('Dvd Calendar'!$Z$138)&lt;=VAL_SERIAL)*1000000+12*1000+62))</f>
        <v/>
      </c>
      <c r="GO23" s="121">
        <f>IF(N('Dvd Calendar'!$AA$139)=0,"",IF(('Dvd Calendar'!$AA$139&gt;=GRID_FROM)*('Dvd Calendar'!$AA$139&lt;=GRID_TO)*('Dvd Calendar'!$AA$139&gt;VAL_DATE)=0,"",'Dvd Calendar'!$AA$139*1000000000+ISNUMBER('Dvd Calendar'!$AA$140)*100000000+0*10000000+(N('Dvd Calendar'!$AA$138)&gt;0)*(N('Dvd Calendar'!$AA$138)&lt;=VAL_SERIAL)*1000000+12*1000+63))</f>
        <v/>
      </c>
      <c r="GP23" s="121">
        <f>IF(N('Dvd Calendar'!$AB$139)=0,"",IF(('Dvd Calendar'!$AB$139&gt;=GRID_FROM)*('Dvd Calendar'!$AB$139&lt;=GRID_TO)*('Dvd Calendar'!$AB$139&gt;VAL_DATE)=0,"",'Dvd Calendar'!$AB$139*1000000000+ISNUMBER('Dvd Calendar'!$AB$140)*100000000+0*10000000+(N('Dvd Calendar'!$AB$138)&gt;0)*(N('Dvd Calendar'!$AB$138)&lt;=VAL_SERIAL)*1000000+12*1000+64))</f>
        <v/>
      </c>
      <c r="GQ23" s="121">
        <f>IF(N('Dvd Calendar'!$AC$139)=0,"",IF(('Dvd Calendar'!$AC$139&gt;=GRID_FROM)*('Dvd Calendar'!$AC$139&lt;=GRID_TO)*('Dvd Calendar'!$AC$139&gt;VAL_DATE)=0,"",'Dvd Calendar'!$AC$139*1000000000+ISNUMBER('Dvd Calendar'!$AC$140)*100000000+0*10000000+(N('Dvd Calendar'!$AC$138)&gt;0)*(N('Dvd Calendar'!$AC$138)&lt;=VAL_SERIAL)*1000000+12*1000+65))</f>
        <v/>
      </c>
    </row>
    <row r="24">
      <c r="B24" s="2">
        <f>IF(HSI!$C$19="","",HSI!$C$19)</f>
        <v/>
      </c>
      <c r="C24" s="161">
        <f>IF(EE24="","",IF(ISNUMBER('Dvd Calendar'!$E$146)=FALSE,"",IF((('Dvd Calendar'!$E$148=TYPE1)*(TYPE1&lt;&gt;"")+('Dvd Calendar'!$E$148=TYPE2)*(TYPE2&lt;&gt;"")+('Dvd Calendar'!$E$148=TYPE3)*(TYPE3&lt;&gt;"")+('Dvd Calendar'!$E$148=TYPE4)*(TYPE4&lt;&gt;"")+('Dvd Calendar'!$E$148=SPECIAL_LBL)*(INC_SPECIALS="Y"))=0,"",'Dvd Calendar'!$E$146)))</f>
        <v/>
      </c>
      <c r="D24" s="161">
        <f>IF(EF24="","",IF(ISNUMBER('Dvd Calendar'!$F$146)=FALSE,"",IF((('Dvd Calendar'!$F$148=TYPE1)*(TYPE1&lt;&gt;"")+('Dvd Calendar'!$F$148=TYPE2)*(TYPE2&lt;&gt;"")+('Dvd Calendar'!$F$148=TYPE3)*(TYPE3&lt;&gt;"")+('Dvd Calendar'!$F$148=TYPE4)*(TYPE4&lt;&gt;"")+('Dvd Calendar'!$F$148=SPECIAL_LBL)*(INC_SPECIALS="Y"))=0,"",'Dvd Calendar'!$F$146)))</f>
        <v/>
      </c>
      <c r="E24" s="161">
        <f>IF(EG24="","",IF(ISNUMBER('Dvd Calendar'!$G$146)=FALSE,"",IF((('Dvd Calendar'!$G$148=TYPE1)*(TYPE1&lt;&gt;"")+('Dvd Calendar'!$G$148=TYPE2)*(TYPE2&lt;&gt;"")+('Dvd Calendar'!$G$148=TYPE3)*(TYPE3&lt;&gt;"")+('Dvd Calendar'!$G$148=TYPE4)*(TYPE4&lt;&gt;"")+('Dvd Calendar'!$G$148=SPECIAL_LBL)*(INC_SPECIALS="Y"))=0,"",'Dvd Calendar'!$G$146)))</f>
        <v/>
      </c>
      <c r="F24" s="161">
        <f>IF(EH24="","",IF(ISNUMBER('Dvd Calendar'!$H$146)=FALSE,"",IF((('Dvd Calendar'!$H$148=TYPE1)*(TYPE1&lt;&gt;"")+('Dvd Calendar'!$H$148=TYPE2)*(TYPE2&lt;&gt;"")+('Dvd Calendar'!$H$148=TYPE3)*(TYPE3&lt;&gt;"")+('Dvd Calendar'!$H$148=TYPE4)*(TYPE4&lt;&gt;"")+('Dvd Calendar'!$H$148=SPECIAL_LBL)*(INC_SPECIALS="Y"))=0,"",'Dvd Calendar'!$H$146)))</f>
        <v/>
      </c>
      <c r="G24" s="161">
        <f>IF(EI24="","",IF(ISNUMBER('Dvd Calendar'!$I$146)=FALSE,"",IF((('Dvd Calendar'!$I$148=TYPE1)*(TYPE1&lt;&gt;"")+('Dvd Calendar'!$I$148=TYPE2)*(TYPE2&lt;&gt;"")+('Dvd Calendar'!$I$148=TYPE3)*(TYPE3&lt;&gt;"")+('Dvd Calendar'!$I$148=TYPE4)*(TYPE4&lt;&gt;"")+('Dvd Calendar'!$I$148=SPECIAL_LBL)*(INC_SPECIALS="Y"))=0,"",'Dvd Calendar'!$I$146)))</f>
        <v/>
      </c>
      <c r="H24" s="161">
        <f>IF(EJ24="","",IF(ISNUMBER('Dvd Calendar'!$J$146)=FALSE,"",IF((('Dvd Calendar'!$J$148=TYPE1)*(TYPE1&lt;&gt;"")+('Dvd Calendar'!$J$148=TYPE2)*(TYPE2&lt;&gt;"")+('Dvd Calendar'!$J$148=TYPE3)*(TYPE3&lt;&gt;"")+('Dvd Calendar'!$J$148=TYPE4)*(TYPE4&lt;&gt;"")+('Dvd Calendar'!$J$148=SPECIAL_LBL)*(INC_SPECIALS="Y"))=0,"",'Dvd Calendar'!$J$146)))</f>
        <v/>
      </c>
      <c r="I24" s="161">
        <f>IF(EK24="","",IF(ISNUMBER('Dvd Calendar'!$K$146)=FALSE,"",IF((('Dvd Calendar'!$K$148=TYPE1)*(TYPE1&lt;&gt;"")+('Dvd Calendar'!$K$148=TYPE2)*(TYPE2&lt;&gt;"")+('Dvd Calendar'!$K$148=TYPE3)*(TYPE3&lt;&gt;"")+('Dvd Calendar'!$K$148=TYPE4)*(TYPE4&lt;&gt;"")+('Dvd Calendar'!$K$148=SPECIAL_LBL)*(INC_SPECIALS="Y"))=0,"",'Dvd Calendar'!$K$146)))</f>
        <v/>
      </c>
      <c r="J24" s="161">
        <f>IF(EL24="","",IF(ISNUMBER('Dvd Calendar'!$L$146)=FALSE,"",IF((('Dvd Calendar'!$L$148=TYPE1)*(TYPE1&lt;&gt;"")+('Dvd Calendar'!$L$148=TYPE2)*(TYPE2&lt;&gt;"")+('Dvd Calendar'!$L$148=TYPE3)*(TYPE3&lt;&gt;"")+('Dvd Calendar'!$L$148=TYPE4)*(TYPE4&lt;&gt;"")+('Dvd Calendar'!$L$148=SPECIAL_LBL)*(INC_SPECIALS="Y"))=0,"",'Dvd Calendar'!$L$146)))</f>
        <v/>
      </c>
      <c r="K24" s="161">
        <f>IF(EM24="","",IF(ISNUMBER('Dvd Calendar'!$M$146)=FALSE,"",IF((('Dvd Calendar'!$M$148=TYPE1)*(TYPE1&lt;&gt;"")+('Dvd Calendar'!$M$148=TYPE2)*(TYPE2&lt;&gt;"")+('Dvd Calendar'!$M$148=TYPE3)*(TYPE3&lt;&gt;"")+('Dvd Calendar'!$M$148=TYPE4)*(TYPE4&lt;&gt;"")+('Dvd Calendar'!$M$148=SPECIAL_LBL)*(INC_SPECIALS="Y"))=0,"",'Dvd Calendar'!$M$146)))</f>
        <v/>
      </c>
      <c r="L24" s="161">
        <f>IF(EN24="","",IF(ISNUMBER('Dvd Calendar'!$N$146)=FALSE,"",IF((('Dvd Calendar'!$N$148=TYPE1)*(TYPE1&lt;&gt;"")+('Dvd Calendar'!$N$148=TYPE2)*(TYPE2&lt;&gt;"")+('Dvd Calendar'!$N$148=TYPE3)*(TYPE3&lt;&gt;"")+('Dvd Calendar'!$N$148=TYPE4)*(TYPE4&lt;&gt;"")+('Dvd Calendar'!$N$148=SPECIAL_LBL)*(INC_SPECIALS="Y"))=0,"",'Dvd Calendar'!$N$146)))</f>
        <v/>
      </c>
      <c r="M24" s="161">
        <f>IF(EO24="","",IF(ISNUMBER('Dvd Calendar'!$O$146)=FALSE,"",IF((('Dvd Calendar'!$O$148=TYPE1)*(TYPE1&lt;&gt;"")+('Dvd Calendar'!$O$148=TYPE2)*(TYPE2&lt;&gt;"")+('Dvd Calendar'!$O$148=TYPE3)*(TYPE3&lt;&gt;"")+('Dvd Calendar'!$O$148=TYPE4)*(TYPE4&lt;&gt;"")+('Dvd Calendar'!$O$148=SPECIAL_LBL)*(INC_SPECIALS="Y"))=0,"",'Dvd Calendar'!$O$146)))</f>
        <v/>
      </c>
      <c r="N24" s="161">
        <f>IF(EP24="","",IF(ISNUMBER('Dvd Calendar'!$P$146)=FALSE,"",IF((('Dvd Calendar'!$P$148=TYPE1)*(TYPE1&lt;&gt;"")+('Dvd Calendar'!$P$148=TYPE2)*(TYPE2&lt;&gt;"")+('Dvd Calendar'!$P$148=TYPE3)*(TYPE3&lt;&gt;"")+('Dvd Calendar'!$P$148=TYPE4)*(TYPE4&lt;&gt;"")+('Dvd Calendar'!$P$148=SPECIAL_LBL)*(INC_SPECIALS="Y"))=0,"",'Dvd Calendar'!$P$146)))</f>
        <v/>
      </c>
      <c r="O24" s="161">
        <f>IF(EQ24="","",IF(ISNUMBER('Dvd Calendar'!$Q$146)=FALSE,"",IF((('Dvd Calendar'!$Q$148=TYPE1)*(TYPE1&lt;&gt;"")+('Dvd Calendar'!$Q$148=TYPE2)*(TYPE2&lt;&gt;"")+('Dvd Calendar'!$Q$148=TYPE3)*(TYPE3&lt;&gt;"")+('Dvd Calendar'!$Q$148=TYPE4)*(TYPE4&lt;&gt;"")+('Dvd Calendar'!$Q$148=SPECIAL_LBL)*(INC_SPECIALS="Y"))=0,"",'Dvd Calendar'!$Q$146)))</f>
        <v/>
      </c>
      <c r="P24" s="161">
        <f>IF(ER24="","",IF(ISNUMBER('Dvd Calendar'!$R$146)=FALSE,"",IF((('Dvd Calendar'!$R$148=TYPE1)*(TYPE1&lt;&gt;"")+('Dvd Calendar'!$R$148=TYPE2)*(TYPE2&lt;&gt;"")+('Dvd Calendar'!$R$148=TYPE3)*(TYPE3&lt;&gt;"")+('Dvd Calendar'!$R$148=TYPE4)*(TYPE4&lt;&gt;"")+('Dvd Calendar'!$R$148=SPECIAL_LBL)*(INC_SPECIALS="Y"))=0,"",'Dvd Calendar'!$R$146)))</f>
        <v/>
      </c>
      <c r="Q24" s="161">
        <f>IF(ES24="","",IF(ISNUMBER('Dvd Calendar'!$S$146)=FALSE,"",IF((('Dvd Calendar'!$S$148=TYPE1)*(TYPE1&lt;&gt;"")+('Dvd Calendar'!$S$148=TYPE2)*(TYPE2&lt;&gt;"")+('Dvd Calendar'!$S$148=TYPE3)*(TYPE3&lt;&gt;"")+('Dvd Calendar'!$S$148=TYPE4)*(TYPE4&lt;&gt;"")+('Dvd Calendar'!$S$148=SPECIAL_LBL)*(INC_SPECIALS="Y"))=0,"",'Dvd Calendar'!$S$146)))</f>
        <v/>
      </c>
      <c r="R24" s="161">
        <f>IF(ET24="","",IF(ISNUMBER('Dvd Calendar'!$T$146)=FALSE,"",IF((('Dvd Calendar'!$T$148=TYPE1)*(TYPE1&lt;&gt;"")+('Dvd Calendar'!$T$148=TYPE2)*(TYPE2&lt;&gt;"")+('Dvd Calendar'!$T$148=TYPE3)*(TYPE3&lt;&gt;"")+('Dvd Calendar'!$T$148=TYPE4)*(TYPE4&lt;&gt;"")+('Dvd Calendar'!$T$148=SPECIAL_LBL)*(INC_SPECIALS="Y"))=0,"",'Dvd Calendar'!$T$146)))</f>
        <v/>
      </c>
      <c r="S24" s="161">
        <f>IF(EU24="","",IF(ISNUMBER('Dvd Calendar'!$U$146)=FALSE,"",IF((('Dvd Calendar'!$U$148=TYPE1)*(TYPE1&lt;&gt;"")+('Dvd Calendar'!$U$148=TYPE2)*(TYPE2&lt;&gt;"")+('Dvd Calendar'!$U$148=TYPE3)*(TYPE3&lt;&gt;"")+('Dvd Calendar'!$U$148=TYPE4)*(TYPE4&lt;&gt;"")+('Dvd Calendar'!$U$148=SPECIAL_LBL)*(INC_SPECIALS="Y"))=0,"",'Dvd Calendar'!$U$146)))</f>
        <v/>
      </c>
      <c r="T24" s="161">
        <f>IF(EV24="","",IF(ISNUMBER('Dvd Calendar'!$V$146)=FALSE,"",IF((('Dvd Calendar'!$V$148=TYPE1)*(TYPE1&lt;&gt;"")+('Dvd Calendar'!$V$148=TYPE2)*(TYPE2&lt;&gt;"")+('Dvd Calendar'!$V$148=TYPE3)*(TYPE3&lt;&gt;"")+('Dvd Calendar'!$V$148=TYPE4)*(TYPE4&lt;&gt;"")+('Dvd Calendar'!$V$148=SPECIAL_LBL)*(INC_SPECIALS="Y"))=0,"",'Dvd Calendar'!$V$146)))</f>
        <v/>
      </c>
      <c r="U24" s="161">
        <f>IF(EW24="","",IF(ISNUMBER('Dvd Calendar'!$W$146)=FALSE,"",IF((('Dvd Calendar'!$W$148=TYPE1)*(TYPE1&lt;&gt;"")+('Dvd Calendar'!$W$148=TYPE2)*(TYPE2&lt;&gt;"")+('Dvd Calendar'!$W$148=TYPE3)*(TYPE3&lt;&gt;"")+('Dvd Calendar'!$W$148=TYPE4)*(TYPE4&lt;&gt;"")+('Dvd Calendar'!$W$148=SPECIAL_LBL)*(INC_SPECIALS="Y"))=0,"",'Dvd Calendar'!$W$146)))</f>
        <v/>
      </c>
      <c r="V24" s="161">
        <f>IF(EX24="","",IF(ISNUMBER('Dvd Calendar'!$X$146)=FALSE,"",IF((('Dvd Calendar'!$X$148=TYPE1)*(TYPE1&lt;&gt;"")+('Dvd Calendar'!$X$148=TYPE2)*(TYPE2&lt;&gt;"")+('Dvd Calendar'!$X$148=TYPE3)*(TYPE3&lt;&gt;"")+('Dvd Calendar'!$X$148=TYPE4)*(TYPE4&lt;&gt;"")+('Dvd Calendar'!$X$148=SPECIAL_LBL)*(INC_SPECIALS="Y"))=0,"",'Dvd Calendar'!$X$146)))</f>
        <v/>
      </c>
      <c r="W24" s="161">
        <f>IF(EY24="","",IF(ISNUMBER('Dvd Calendar'!$Y$146)=FALSE,"",IF((('Dvd Calendar'!$Y$148=TYPE1)*(TYPE1&lt;&gt;"")+('Dvd Calendar'!$Y$148=TYPE2)*(TYPE2&lt;&gt;"")+('Dvd Calendar'!$Y$148=TYPE3)*(TYPE3&lt;&gt;"")+('Dvd Calendar'!$Y$148=TYPE4)*(TYPE4&lt;&gt;"")+('Dvd Calendar'!$Y$148=SPECIAL_LBL)*(INC_SPECIALS="Y"))=0,"",'Dvd Calendar'!$Y$146)))</f>
        <v/>
      </c>
      <c r="X24" s="161">
        <f>IF(EZ24="","",IF(ISNUMBER('Dvd Calendar'!$Z$146)=FALSE,"",IF((('Dvd Calendar'!$Z$148=TYPE1)*(TYPE1&lt;&gt;"")+('Dvd Calendar'!$Z$148=TYPE2)*(TYPE2&lt;&gt;"")+('Dvd Calendar'!$Z$148=TYPE3)*(TYPE3&lt;&gt;"")+('Dvd Calendar'!$Z$148=TYPE4)*(TYPE4&lt;&gt;"")+('Dvd Calendar'!$Z$148=SPECIAL_LBL)*(INC_SPECIALS="Y"))=0,"",'Dvd Calendar'!$Z$146)))</f>
        <v/>
      </c>
      <c r="Y24" s="161">
        <f>IF(FA24="","",IF(ISNUMBER('Dvd Calendar'!$AA$146)=FALSE,"",IF((('Dvd Calendar'!$AA$148=TYPE1)*(TYPE1&lt;&gt;"")+('Dvd Calendar'!$AA$148=TYPE2)*(TYPE2&lt;&gt;"")+('Dvd Calendar'!$AA$148=TYPE3)*(TYPE3&lt;&gt;"")+('Dvd Calendar'!$AA$148=TYPE4)*(TYPE4&lt;&gt;"")+('Dvd Calendar'!$AA$148=SPECIAL_LBL)*(INC_SPECIALS="Y"))=0,"",'Dvd Calendar'!$AA$146)))</f>
        <v/>
      </c>
      <c r="Z24" s="161">
        <f>IF(FB24="","",IF(ISNUMBER('Dvd Calendar'!$AB$146)=FALSE,"",IF((('Dvd Calendar'!$AB$148=TYPE1)*(TYPE1&lt;&gt;"")+('Dvd Calendar'!$AB$148=TYPE2)*(TYPE2&lt;&gt;"")+('Dvd Calendar'!$AB$148=TYPE3)*(TYPE3&lt;&gt;"")+('Dvd Calendar'!$AB$148=TYPE4)*(TYPE4&lt;&gt;"")+('Dvd Calendar'!$AB$148=SPECIAL_LBL)*(INC_SPECIALS="Y"))=0,"",'Dvd Calendar'!$AB$146)))</f>
        <v/>
      </c>
      <c r="AA24" s="161">
        <f>IF(FC24="","",IF(ISNUMBER('Dvd Calendar'!$AC$146)=FALSE,"",IF((('Dvd Calendar'!$AC$148=TYPE1)*(TYPE1&lt;&gt;"")+('Dvd Calendar'!$AC$148=TYPE2)*(TYPE2&lt;&gt;"")+('Dvd Calendar'!$AC$148=TYPE3)*(TYPE3&lt;&gt;"")+('Dvd Calendar'!$AC$148=TYPE4)*(TYPE4&lt;&gt;"")+('Dvd Calendar'!$AC$148=SPECIAL_LBL)*(INC_SPECIALS="Y"))=0,"",'Dvd Calendar'!$AC$146)))</f>
        <v/>
      </c>
      <c r="AB24" s="161">
        <f>IF(FD24="","",IF(ISNUMBER('Dvd Calendar'!$AD$146)=FALSE,"",IF((('Dvd Calendar'!$AD$148=TYPE1)*(TYPE1&lt;&gt;"")+('Dvd Calendar'!$AD$148=TYPE2)*(TYPE2&lt;&gt;"")+('Dvd Calendar'!$AD$148=TYPE3)*(TYPE3&lt;&gt;"")+('Dvd Calendar'!$AD$148=TYPE4)*(TYPE4&lt;&gt;"")+('Dvd Calendar'!$AD$148=SPECIAL_LBL)*(INC_SPECIALS="Y"))=0,"",'Dvd Calendar'!$AD$146)))</f>
        <v/>
      </c>
      <c r="AC24" s="161">
        <f>IF(FE24="","",IF(ISNUMBER('Dvd Calendar'!$AE$146)=FALSE,"",IF((('Dvd Calendar'!$AE$148=TYPE1)*(TYPE1&lt;&gt;"")+('Dvd Calendar'!$AE$148=TYPE2)*(TYPE2&lt;&gt;"")+('Dvd Calendar'!$AE$148=TYPE3)*(TYPE3&lt;&gt;"")+('Dvd Calendar'!$AE$148=TYPE4)*(TYPE4&lt;&gt;"")+('Dvd Calendar'!$AE$148=SPECIAL_LBL)*(INC_SPECIALS="Y"))=0,"",'Dvd Calendar'!$AE$146)))</f>
        <v/>
      </c>
      <c r="AD24" s="161">
        <f>IF(FF24="","",IF(ISNUMBER('Dvd Calendar'!$AF$146)=FALSE,"",IF((('Dvd Calendar'!$AF$148=TYPE1)*(TYPE1&lt;&gt;"")+('Dvd Calendar'!$AF$148=TYPE2)*(TYPE2&lt;&gt;"")+('Dvd Calendar'!$AF$148=TYPE3)*(TYPE3&lt;&gt;"")+('Dvd Calendar'!$AF$148=TYPE4)*(TYPE4&lt;&gt;"")+('Dvd Calendar'!$AF$148=SPECIAL_LBL)*(INC_SPECIALS="Y"))=0,"",'Dvd Calendar'!$AF$146)))</f>
        <v/>
      </c>
      <c r="AE24" s="161">
        <f>IF(FG24="","",IF(ISNUMBER('Dvd Calendar'!$AG$146)=FALSE,"",IF((('Dvd Calendar'!$AG$148=TYPE1)*(TYPE1&lt;&gt;"")+('Dvd Calendar'!$AG$148=TYPE2)*(TYPE2&lt;&gt;"")+('Dvd Calendar'!$AG$148=TYPE3)*(TYPE3&lt;&gt;"")+('Dvd Calendar'!$AG$148=TYPE4)*(TYPE4&lt;&gt;"")+('Dvd Calendar'!$AG$148=SPECIAL_LBL)*(INC_SPECIALS="Y"))=0,"",'Dvd Calendar'!$AG$146)))</f>
        <v/>
      </c>
      <c r="AF24" s="161">
        <f>IF(FH24="","",IF(ISNUMBER('Dvd Calendar'!$AH$146)=FALSE,"",IF((('Dvd Calendar'!$AH$148=TYPE1)*(TYPE1&lt;&gt;"")+('Dvd Calendar'!$AH$148=TYPE2)*(TYPE2&lt;&gt;"")+('Dvd Calendar'!$AH$148=TYPE3)*(TYPE3&lt;&gt;"")+('Dvd Calendar'!$AH$148=TYPE4)*(TYPE4&lt;&gt;"")+('Dvd Calendar'!$AH$148=SPECIAL_LBL)*(INC_SPECIALS="Y"))=0,"",'Dvd Calendar'!$AH$146)))</f>
        <v/>
      </c>
      <c r="AG24" s="161">
        <f>IF(FI24="","",IF(ISNUMBER('Dvd Calendar'!$AI$146)=FALSE,"",IF((('Dvd Calendar'!$AI$148=TYPE1)*(TYPE1&lt;&gt;"")+('Dvd Calendar'!$AI$148=TYPE2)*(TYPE2&lt;&gt;"")+('Dvd Calendar'!$AI$148=TYPE3)*(TYPE3&lt;&gt;"")+('Dvd Calendar'!$AI$148=TYPE4)*(TYPE4&lt;&gt;"")+('Dvd Calendar'!$AI$148=SPECIAL_LBL)*(INC_SPECIALS="Y"))=0,"",'Dvd Calendar'!$AI$146)))</f>
        <v/>
      </c>
      <c r="AH24" s="161">
        <f>IF(FJ24="","",IF(ISNUMBER('Dvd Calendar'!$AJ$146)=FALSE,"",IF((('Dvd Calendar'!$AJ$148=TYPE1)*(TYPE1&lt;&gt;"")+('Dvd Calendar'!$AJ$148=TYPE2)*(TYPE2&lt;&gt;"")+('Dvd Calendar'!$AJ$148=TYPE3)*(TYPE3&lt;&gt;"")+('Dvd Calendar'!$AJ$148=TYPE4)*(TYPE4&lt;&gt;"")+('Dvd Calendar'!$AJ$148=SPECIAL_LBL)*(INC_SPECIALS="Y"))=0,"",'Dvd Calendar'!$AJ$146)))</f>
        <v/>
      </c>
      <c r="AI24" s="161">
        <f>IF(FK24="","",IF(ISNUMBER('Dvd Calendar'!$AK$146)=FALSE,"",IF((('Dvd Calendar'!$AK$148=TYPE1)*(TYPE1&lt;&gt;"")+('Dvd Calendar'!$AK$148=TYPE2)*(TYPE2&lt;&gt;"")+('Dvd Calendar'!$AK$148=TYPE3)*(TYPE3&lt;&gt;"")+('Dvd Calendar'!$AK$148=TYPE4)*(TYPE4&lt;&gt;"")+('Dvd Calendar'!$AK$148=SPECIAL_LBL)*(INC_SPECIALS="Y"))=0,"",'Dvd Calendar'!$AK$146)))</f>
        <v/>
      </c>
      <c r="AJ24" s="161">
        <f>IF(FL24="","",IF(ISNUMBER('Dvd Calendar'!$AL$146)=FALSE,"",IF((('Dvd Calendar'!$AL$148=TYPE1)*(TYPE1&lt;&gt;"")+('Dvd Calendar'!$AL$148=TYPE2)*(TYPE2&lt;&gt;"")+('Dvd Calendar'!$AL$148=TYPE3)*(TYPE3&lt;&gt;"")+('Dvd Calendar'!$AL$148=TYPE4)*(TYPE4&lt;&gt;"")+('Dvd Calendar'!$AL$148=SPECIAL_LBL)*(INC_SPECIALS="Y"))=0,"",'Dvd Calendar'!$AL$146)))</f>
        <v/>
      </c>
      <c r="AK24" s="161">
        <f>IF(FM24="","",IF(ISNUMBER('Dvd Calendar'!$AM$146)=FALSE,"",IF((('Dvd Calendar'!$AM$148=TYPE1)*(TYPE1&lt;&gt;"")+('Dvd Calendar'!$AM$148=TYPE2)*(TYPE2&lt;&gt;"")+('Dvd Calendar'!$AM$148=TYPE3)*(TYPE3&lt;&gt;"")+('Dvd Calendar'!$AM$148=TYPE4)*(TYPE4&lt;&gt;"")+('Dvd Calendar'!$AM$148=SPECIAL_LBL)*(INC_SPECIALS="Y"))=0,"",'Dvd Calendar'!$AM$146)))</f>
        <v/>
      </c>
      <c r="AL24" s="161">
        <f>IF(FN24="","",IF(ISNUMBER('Dvd Calendar'!$AN$146)=FALSE,"",IF((('Dvd Calendar'!$AN$148=TYPE1)*(TYPE1&lt;&gt;"")+('Dvd Calendar'!$AN$148=TYPE2)*(TYPE2&lt;&gt;"")+('Dvd Calendar'!$AN$148=TYPE3)*(TYPE3&lt;&gt;"")+('Dvd Calendar'!$AN$148=TYPE4)*(TYPE4&lt;&gt;"")+('Dvd Calendar'!$AN$148=SPECIAL_LBL)*(INC_SPECIALS="Y"))=0,"",'Dvd Calendar'!$AN$146)))</f>
        <v/>
      </c>
      <c r="AM24" s="161">
        <f>IF(FO24="","",IF(ISNUMBER('Dvd Calendar'!$AO$146)=FALSE,"",IF((('Dvd Calendar'!$AO$148=TYPE1)*(TYPE1&lt;&gt;"")+('Dvd Calendar'!$AO$148=TYPE2)*(TYPE2&lt;&gt;"")+('Dvd Calendar'!$AO$148=TYPE3)*(TYPE3&lt;&gt;"")+('Dvd Calendar'!$AO$148=TYPE4)*(TYPE4&lt;&gt;"")+('Dvd Calendar'!$AO$148=SPECIAL_LBL)*(INC_SPECIALS="Y"))=0,"",'Dvd Calendar'!$AO$146)))</f>
        <v/>
      </c>
      <c r="AN24" s="161">
        <f>IF(FP24="","",IF(ISNUMBER('Dvd Calendar'!$AP$146)=FALSE,"",IF((('Dvd Calendar'!$AP$148=TYPE1)*(TYPE1&lt;&gt;"")+('Dvd Calendar'!$AP$148=TYPE2)*(TYPE2&lt;&gt;"")+('Dvd Calendar'!$AP$148=TYPE3)*(TYPE3&lt;&gt;"")+('Dvd Calendar'!$AP$148=TYPE4)*(TYPE4&lt;&gt;"")+('Dvd Calendar'!$AP$148=SPECIAL_LBL)*(INC_SPECIALS="Y"))=0,"",'Dvd Calendar'!$AP$146)))</f>
        <v/>
      </c>
      <c r="AO24" s="161">
        <f>IF(FQ24="","",IF(ISNUMBER('Dvd Calendar'!$AQ$146)=FALSE,"",IF((('Dvd Calendar'!$AQ$148=TYPE1)*(TYPE1&lt;&gt;"")+('Dvd Calendar'!$AQ$148=TYPE2)*(TYPE2&lt;&gt;"")+('Dvd Calendar'!$AQ$148=TYPE3)*(TYPE3&lt;&gt;"")+('Dvd Calendar'!$AQ$148=TYPE4)*(TYPE4&lt;&gt;"")+('Dvd Calendar'!$AQ$148=SPECIAL_LBL)*(INC_SPECIALS="Y"))=0,"",'Dvd Calendar'!$AQ$146)))</f>
        <v/>
      </c>
      <c r="AP24" s="161">
        <f>IF(FR24="","",IF(ISNUMBER('Dvd Calendar'!$AR$146)=FALSE,"",IF((('Dvd Calendar'!$AR$148=TYPE1)*(TYPE1&lt;&gt;"")+('Dvd Calendar'!$AR$148=TYPE2)*(TYPE2&lt;&gt;"")+('Dvd Calendar'!$AR$148=TYPE3)*(TYPE3&lt;&gt;"")+('Dvd Calendar'!$AR$148=TYPE4)*(TYPE4&lt;&gt;"")+('Dvd Calendar'!$AR$148=SPECIAL_LBL)*(INC_SPECIALS="Y"))=0,"",'Dvd Calendar'!$AR$146)))</f>
        <v/>
      </c>
      <c r="AQ24" s="161">
        <f>IF(FS24="","",IF(ISNUMBER('Dvd Calendar'!$E$151)=FALSE,"",'Dvd Calendar'!$E$151))</f>
        <v/>
      </c>
      <c r="AR24" s="161">
        <f>IF(FT24="","",IF(ISNUMBER('Dvd Calendar'!$F$151)=FALSE,"",'Dvd Calendar'!$F$151))</f>
        <v/>
      </c>
      <c r="AS24" s="161">
        <f>IF(FU24="","",IF(ISNUMBER('Dvd Calendar'!$G$151)=FALSE,"",'Dvd Calendar'!$G$151))</f>
        <v/>
      </c>
      <c r="AT24" s="161">
        <f>IF(FV24="","",IF(ISNUMBER('Dvd Calendar'!$H$151)=FALSE,"",'Dvd Calendar'!$H$151))</f>
        <v/>
      </c>
      <c r="AU24" s="161">
        <f>IF(FW24="","",IF(ISNUMBER('Dvd Calendar'!$I$151)=FALSE,"",'Dvd Calendar'!$I$151))</f>
        <v/>
      </c>
      <c r="AV24" s="161">
        <f>IF(FX24="","",IF(ISNUMBER('Dvd Calendar'!$J$151)=FALSE,"",'Dvd Calendar'!$J$151))</f>
        <v/>
      </c>
      <c r="AW24" s="161">
        <f>IF(FY24="","",IF(ISNUMBER('Dvd Calendar'!$K$151)=FALSE,"",'Dvd Calendar'!$K$151))</f>
        <v/>
      </c>
      <c r="AX24" s="161">
        <f>IF(FZ24="","",IF(ISNUMBER('Dvd Calendar'!$L$151)=FALSE,"",'Dvd Calendar'!$L$151))</f>
        <v/>
      </c>
      <c r="AY24" s="161">
        <f>IF(GA24="","",IF(ISNUMBER('Dvd Calendar'!$M$151)=FALSE,"",'Dvd Calendar'!$M$151))</f>
        <v/>
      </c>
      <c r="AZ24" s="161">
        <f>IF(GB24="","",IF(ISNUMBER('Dvd Calendar'!$N$151)=FALSE,"",'Dvd Calendar'!$N$151))</f>
        <v/>
      </c>
      <c r="BA24" s="161">
        <f>IF(GC24="","",IF(ISNUMBER('Dvd Calendar'!$O$151)=FALSE,"",'Dvd Calendar'!$O$151))</f>
        <v/>
      </c>
      <c r="BB24" s="161">
        <f>IF(GD24="","",IF(ISNUMBER('Dvd Calendar'!$P$151)=FALSE,"",'Dvd Calendar'!$P$151))</f>
        <v/>
      </c>
      <c r="BC24" s="161">
        <f>IF(GE24="","",IF(ISNUMBER('Dvd Calendar'!$Q$151)=FALSE,"",'Dvd Calendar'!$Q$151))</f>
        <v/>
      </c>
      <c r="BD24" s="161">
        <f>IF(GF24="","",IF(ISNUMBER('Dvd Calendar'!$R$151)=FALSE,"",'Dvd Calendar'!$R$151))</f>
        <v/>
      </c>
      <c r="BE24" s="161">
        <f>IF(GG24="","",IF(ISNUMBER('Dvd Calendar'!$S$151)=FALSE,"",'Dvd Calendar'!$S$151))</f>
        <v/>
      </c>
      <c r="BF24" s="161">
        <f>IF(GH24="","",IF(ISNUMBER('Dvd Calendar'!$T$151)=FALSE,"",'Dvd Calendar'!$T$151))</f>
        <v/>
      </c>
      <c r="BG24" s="161">
        <f>IF(GI24="","",IF(ISNUMBER('Dvd Calendar'!$U$151)=FALSE,"",'Dvd Calendar'!$U$151))</f>
        <v/>
      </c>
      <c r="BH24" s="161">
        <f>IF(GJ24="","",IF(ISNUMBER('Dvd Calendar'!$V$151)=FALSE,"",'Dvd Calendar'!$V$151))</f>
        <v/>
      </c>
      <c r="BI24" s="161">
        <f>IF(GK24="","",IF(ISNUMBER('Dvd Calendar'!$W$151)=FALSE,"",'Dvd Calendar'!$W$151))</f>
        <v/>
      </c>
      <c r="BJ24" s="161">
        <f>IF(GL24="","",IF(ISNUMBER('Dvd Calendar'!$X$151)=FALSE,"",'Dvd Calendar'!$X$151))</f>
        <v/>
      </c>
      <c r="BK24" s="161">
        <f>IF(GM24="","",IF(ISNUMBER('Dvd Calendar'!$Y$151)=FALSE,"",'Dvd Calendar'!$Y$151))</f>
        <v/>
      </c>
      <c r="BL24" s="161">
        <f>IF(GN24="","",IF(ISNUMBER('Dvd Calendar'!$Z$151)=FALSE,"",'Dvd Calendar'!$Z$151))</f>
        <v/>
      </c>
      <c r="BM24" s="161">
        <f>IF(GO24="","",IF(ISNUMBER('Dvd Calendar'!$AA$151)=FALSE,"",'Dvd Calendar'!$AA$151))</f>
        <v/>
      </c>
      <c r="BN24" s="161">
        <f>IF(GP24="","",IF(ISNUMBER('Dvd Calendar'!$AB$151)=FALSE,"",'Dvd Calendar'!$AB$151))</f>
        <v/>
      </c>
      <c r="BO24" s="161">
        <f>IF(GQ24="","",IF(ISNUMBER('Dvd Calendar'!$AC$151)=FALSE,"",'Dvd Calendar'!$AC$151))</f>
        <v/>
      </c>
      <c r="BQ24" s="161">
        <f>IF(C24="","",IFERROR(C24*HSI!$B$19*HSI!$G$19/HSI!$B$3,""))</f>
        <v/>
      </c>
      <c r="BR24" s="161">
        <f>IF(D24="","",IFERROR(D24*HSI!$B$19*HSI!$G$19/HSI!$B$3,""))</f>
        <v/>
      </c>
      <c r="BS24" s="161">
        <f>IF(E24="","",IFERROR(E24*HSI!$B$19*HSI!$G$19/HSI!$B$3,""))</f>
        <v/>
      </c>
      <c r="BT24" s="161">
        <f>IF(F24="","",IFERROR(F24*HSI!$B$19*HSI!$G$19/HSI!$B$3,""))</f>
        <v/>
      </c>
      <c r="BU24" s="161">
        <f>IF(G24="","",IFERROR(G24*HSI!$B$19*HSI!$G$19/HSI!$B$3,""))</f>
        <v/>
      </c>
      <c r="BV24" s="161">
        <f>IF(H24="","",IFERROR(H24*HSI!$B$19*HSI!$G$19/HSI!$B$3,""))</f>
        <v/>
      </c>
      <c r="BW24" s="161">
        <f>IF(I24="","",IFERROR(I24*HSI!$B$19*HSI!$G$19/HSI!$B$3,""))</f>
        <v/>
      </c>
      <c r="BX24" s="161">
        <f>IF(J24="","",IFERROR(J24*HSI!$B$19*HSI!$G$19/HSI!$B$3,""))</f>
        <v/>
      </c>
      <c r="BY24" s="161">
        <f>IF(K24="","",IFERROR(K24*HSI!$B$19*HSI!$G$19/HSI!$B$3,""))</f>
        <v/>
      </c>
      <c r="BZ24" s="161">
        <f>IF(L24="","",IFERROR(L24*HSI!$B$19*HSI!$G$19/HSI!$B$3,""))</f>
        <v/>
      </c>
      <c r="CA24" s="161">
        <f>IF(M24="","",IFERROR(M24*HSI!$B$19*HSI!$G$19/HSI!$B$3,""))</f>
        <v/>
      </c>
      <c r="CB24" s="161">
        <f>IF(N24="","",IFERROR(N24*HSI!$B$19*HSI!$G$19/HSI!$B$3,""))</f>
        <v/>
      </c>
      <c r="CC24" s="161">
        <f>IF(O24="","",IFERROR(O24*HSI!$B$19*HSI!$G$19/HSI!$B$3,""))</f>
        <v/>
      </c>
      <c r="CD24" s="161">
        <f>IF(P24="","",IFERROR(P24*HSI!$B$19*HSI!$G$19/HSI!$B$3,""))</f>
        <v/>
      </c>
      <c r="CE24" s="161">
        <f>IF(Q24="","",IFERROR(Q24*HSI!$B$19*HSI!$G$19/HSI!$B$3,""))</f>
        <v/>
      </c>
      <c r="CF24" s="161">
        <f>IF(R24="","",IFERROR(R24*HSI!$B$19*HSI!$G$19/HSI!$B$3,""))</f>
        <v/>
      </c>
      <c r="CG24" s="161">
        <f>IF(S24="","",IFERROR(S24*HSI!$B$19*HSI!$G$19/HSI!$B$3,""))</f>
        <v/>
      </c>
      <c r="CH24" s="161">
        <f>IF(T24="","",IFERROR(T24*HSI!$B$19*HSI!$G$19/HSI!$B$3,""))</f>
        <v/>
      </c>
      <c r="CI24" s="161">
        <f>IF(U24="","",IFERROR(U24*HSI!$B$19*HSI!$G$19/HSI!$B$3,""))</f>
        <v/>
      </c>
      <c r="CJ24" s="161">
        <f>IF(V24="","",IFERROR(V24*HSI!$B$19*HSI!$G$19/HSI!$B$3,""))</f>
        <v/>
      </c>
      <c r="CK24" s="161">
        <f>IF(W24="","",IFERROR(W24*HSI!$B$19*HSI!$G$19/HSI!$B$3,""))</f>
        <v/>
      </c>
      <c r="CL24" s="161">
        <f>IF(X24="","",IFERROR(X24*HSI!$B$19*HSI!$G$19/HSI!$B$3,""))</f>
        <v/>
      </c>
      <c r="CM24" s="161">
        <f>IF(Y24="","",IFERROR(Y24*HSI!$B$19*HSI!$G$19/HSI!$B$3,""))</f>
        <v/>
      </c>
      <c r="CN24" s="161">
        <f>IF(Z24="","",IFERROR(Z24*HSI!$B$19*HSI!$G$19/HSI!$B$3,""))</f>
        <v/>
      </c>
      <c r="CO24" s="161">
        <f>IF(AA24="","",IFERROR(AA24*HSI!$B$19*HSI!$G$19/HSI!$B$3,""))</f>
        <v/>
      </c>
      <c r="CP24" s="161">
        <f>IF(AB24="","",IFERROR(AB24*HSI!$B$19*HSI!$G$19/HSI!$B$3,""))</f>
        <v/>
      </c>
      <c r="CQ24" s="161">
        <f>IF(AC24="","",IFERROR(AC24*HSI!$B$19*HSI!$G$19/HSI!$B$3,""))</f>
        <v/>
      </c>
      <c r="CR24" s="161">
        <f>IF(AD24="","",IFERROR(AD24*HSI!$B$19*HSI!$G$19/HSI!$B$3,""))</f>
        <v/>
      </c>
      <c r="CS24" s="161">
        <f>IF(AE24="","",IFERROR(AE24*HSI!$B$19*HSI!$G$19/HSI!$B$3,""))</f>
        <v/>
      </c>
      <c r="CT24" s="161">
        <f>IF(AF24="","",IFERROR(AF24*HSI!$B$19*HSI!$G$19/HSI!$B$3,""))</f>
        <v/>
      </c>
      <c r="CU24" s="161">
        <f>IF(AG24="","",IFERROR(AG24*HSI!$B$19*HSI!$G$19/HSI!$B$3,""))</f>
        <v/>
      </c>
      <c r="CV24" s="161">
        <f>IF(AH24="","",IFERROR(AH24*HSI!$B$19*HSI!$G$19/HSI!$B$3,""))</f>
        <v/>
      </c>
      <c r="CW24" s="161">
        <f>IF(AI24="","",IFERROR(AI24*HSI!$B$19*HSI!$G$19/HSI!$B$3,""))</f>
        <v/>
      </c>
      <c r="CX24" s="161">
        <f>IF(AJ24="","",IFERROR(AJ24*HSI!$B$19*HSI!$G$19/HSI!$B$3,""))</f>
        <v/>
      </c>
      <c r="CY24" s="161">
        <f>IF(AK24="","",IFERROR(AK24*HSI!$B$19*HSI!$G$19/HSI!$B$3,""))</f>
        <v/>
      </c>
      <c r="CZ24" s="161">
        <f>IF(AL24="","",IFERROR(AL24*HSI!$B$19*HSI!$G$19/HSI!$B$3,""))</f>
        <v/>
      </c>
      <c r="DA24" s="161">
        <f>IF(AM24="","",IFERROR(AM24*HSI!$B$19*HSI!$G$19/HSI!$B$3,""))</f>
        <v/>
      </c>
      <c r="DB24" s="161">
        <f>IF(AN24="","",IFERROR(AN24*HSI!$B$19*HSI!$G$19/HSI!$B$3,""))</f>
        <v/>
      </c>
      <c r="DC24" s="161">
        <f>IF(AO24="","",IFERROR(AO24*HSI!$B$19*HSI!$G$19/HSI!$B$3,""))</f>
        <v/>
      </c>
      <c r="DD24" s="161">
        <f>IF(AP24="","",IFERROR(AP24*HSI!$B$19*HSI!$G$19/HSI!$B$3,""))</f>
        <v/>
      </c>
      <c r="DE24" s="161">
        <f>IF(AQ24="","",IFERROR(AQ24*HSI!$B$19*HSI!$G$19/HSI!$B$3,""))</f>
        <v/>
      </c>
      <c r="DF24" s="161">
        <f>IF(AR24="","",IFERROR(AR24*HSI!$B$19*HSI!$G$19/HSI!$B$3,""))</f>
        <v/>
      </c>
      <c r="DG24" s="161">
        <f>IF(AS24="","",IFERROR(AS24*HSI!$B$19*HSI!$G$19/HSI!$B$3,""))</f>
        <v/>
      </c>
      <c r="DH24" s="161">
        <f>IF(AT24="","",IFERROR(AT24*HSI!$B$19*HSI!$G$19/HSI!$B$3,""))</f>
        <v/>
      </c>
      <c r="DI24" s="161">
        <f>IF(AU24="","",IFERROR(AU24*HSI!$B$19*HSI!$G$19/HSI!$B$3,""))</f>
        <v/>
      </c>
      <c r="DJ24" s="161">
        <f>IF(AV24="","",IFERROR(AV24*HSI!$B$19*HSI!$G$19/HSI!$B$3,""))</f>
        <v/>
      </c>
      <c r="DK24" s="161">
        <f>IF(AW24="","",IFERROR(AW24*HSI!$B$19*HSI!$G$19/HSI!$B$3,""))</f>
        <v/>
      </c>
      <c r="DL24" s="161">
        <f>IF(AX24="","",IFERROR(AX24*HSI!$B$19*HSI!$G$19/HSI!$B$3,""))</f>
        <v/>
      </c>
      <c r="DM24" s="161">
        <f>IF(AY24="","",IFERROR(AY24*HSI!$B$19*HSI!$G$19/HSI!$B$3,""))</f>
        <v/>
      </c>
      <c r="DN24" s="161">
        <f>IF(AZ24="","",IFERROR(AZ24*HSI!$B$19*HSI!$G$19/HSI!$B$3,""))</f>
        <v/>
      </c>
      <c r="DO24" s="161">
        <f>IF(BA24="","",IFERROR(BA24*HSI!$B$19*HSI!$G$19/HSI!$B$3,""))</f>
        <v/>
      </c>
      <c r="DP24" s="161">
        <f>IF(BB24="","",IFERROR(BB24*HSI!$B$19*HSI!$G$19/HSI!$B$3,""))</f>
        <v/>
      </c>
      <c r="DQ24" s="161">
        <f>IF(BC24="","",IFERROR(BC24*HSI!$B$19*HSI!$G$19/HSI!$B$3,""))</f>
        <v/>
      </c>
      <c r="DR24" s="161">
        <f>IF(BD24="","",IFERROR(BD24*HSI!$B$19*HSI!$G$19/HSI!$B$3,""))</f>
        <v/>
      </c>
      <c r="DS24" s="161">
        <f>IF(BE24="","",IFERROR(BE24*HSI!$B$19*HSI!$G$19/HSI!$B$3,""))</f>
        <v/>
      </c>
      <c r="DT24" s="161">
        <f>IF(BF24="","",IFERROR(BF24*HSI!$B$19*HSI!$G$19/HSI!$B$3,""))</f>
        <v/>
      </c>
      <c r="DU24" s="161">
        <f>IF(BG24="","",IFERROR(BG24*HSI!$B$19*HSI!$G$19/HSI!$B$3,""))</f>
        <v/>
      </c>
      <c r="DV24" s="161">
        <f>IF(BH24="","",IFERROR(BH24*HSI!$B$19*HSI!$G$19/HSI!$B$3,""))</f>
        <v/>
      </c>
      <c r="DW24" s="161">
        <f>IF(BI24="","",IFERROR(BI24*HSI!$B$19*HSI!$G$19/HSI!$B$3,""))</f>
        <v/>
      </c>
      <c r="DX24" s="161">
        <f>IF(BJ24="","",IFERROR(BJ24*HSI!$B$19*HSI!$G$19/HSI!$B$3,""))</f>
        <v/>
      </c>
      <c r="DY24" s="161">
        <f>IF(BK24="","",IFERROR(BK24*HSI!$B$19*HSI!$G$19/HSI!$B$3,""))</f>
        <v/>
      </c>
      <c r="DZ24" s="161">
        <f>IF(BL24="","",IFERROR(BL24*HSI!$B$19*HSI!$G$19/HSI!$B$3,""))</f>
        <v/>
      </c>
      <c r="EA24" s="161">
        <f>IF(BM24="","",IFERROR(BM24*HSI!$B$19*HSI!$G$19/HSI!$B$3,""))</f>
        <v/>
      </c>
      <c r="EB24" s="161">
        <f>IF(BN24="","",IFERROR(BN24*HSI!$B$19*HSI!$G$19/HSI!$B$3,""))</f>
        <v/>
      </c>
      <c r="EC24" s="161">
        <f>IF(BO24="","",IFERROR(BO24*HSI!$B$19*HSI!$G$19/HSI!$B$3,""))</f>
        <v/>
      </c>
      <c r="EE24" s="121">
        <f>IF(N('Dvd Calendar'!$E$143)=0,"",IF(('Dvd Calendar'!$E$143&gt;=GRID_FROM)*('Dvd Calendar'!$E$143&lt;=GRID_TO)*((('Dvd Calendar'!$E$143&lt;=VAL_DATE)+(COUNTIF('Dvd Calendar'!$E$150:$AR$150,'Dvd Calendar'!$E$143)=0))&gt;0)=0,"",'Dvd Calendar'!$E$143*1000000000+ISNUMBER('Dvd Calendar'!$E$146)*100000000+('Dvd Calendar'!$E$148=SPECIAL_LBL)*10000000+(N('Dvd Calendar'!$E$142)&gt;0)*(N('Dvd Calendar'!$E$142)&lt;=VAL_SERIAL)*1000000+13*1000+1))</f>
        <v/>
      </c>
      <c r="EF24" s="121">
        <f>IF(N('Dvd Calendar'!$F$143)=0,"",IF(('Dvd Calendar'!$F$143&gt;=GRID_FROM)*('Dvd Calendar'!$F$143&lt;=GRID_TO)*((('Dvd Calendar'!$F$143&lt;=VAL_DATE)+(COUNTIF('Dvd Calendar'!$E$150:$AR$150,'Dvd Calendar'!$F$143)=0))&gt;0)=0,"",'Dvd Calendar'!$F$143*1000000000+ISNUMBER('Dvd Calendar'!$F$146)*100000000+('Dvd Calendar'!$F$148=SPECIAL_LBL)*10000000+(N('Dvd Calendar'!$F$142)&gt;0)*(N('Dvd Calendar'!$F$142)&lt;=VAL_SERIAL)*1000000+13*1000+2))</f>
        <v/>
      </c>
      <c r="EG24" s="121">
        <f>IF(N('Dvd Calendar'!$G$143)=0,"",IF(('Dvd Calendar'!$G$143&gt;=GRID_FROM)*('Dvd Calendar'!$G$143&lt;=GRID_TO)*((('Dvd Calendar'!$G$143&lt;=VAL_DATE)+(COUNTIF('Dvd Calendar'!$E$150:$AR$150,'Dvd Calendar'!$G$143)=0))&gt;0)=0,"",'Dvd Calendar'!$G$143*1000000000+ISNUMBER('Dvd Calendar'!$G$146)*100000000+('Dvd Calendar'!$G$148=SPECIAL_LBL)*10000000+(N('Dvd Calendar'!$G$142)&gt;0)*(N('Dvd Calendar'!$G$142)&lt;=VAL_SERIAL)*1000000+13*1000+3))</f>
        <v/>
      </c>
      <c r="EH24" s="121">
        <f>IF(N('Dvd Calendar'!$H$143)=0,"",IF(('Dvd Calendar'!$H$143&gt;=GRID_FROM)*('Dvd Calendar'!$H$143&lt;=GRID_TO)*((('Dvd Calendar'!$H$143&lt;=VAL_DATE)+(COUNTIF('Dvd Calendar'!$E$150:$AR$150,'Dvd Calendar'!$H$143)=0))&gt;0)=0,"",'Dvd Calendar'!$H$143*1000000000+ISNUMBER('Dvd Calendar'!$H$146)*100000000+('Dvd Calendar'!$H$148=SPECIAL_LBL)*10000000+(N('Dvd Calendar'!$H$142)&gt;0)*(N('Dvd Calendar'!$H$142)&lt;=VAL_SERIAL)*1000000+13*1000+4))</f>
        <v/>
      </c>
      <c r="EI24" s="121">
        <f>IF(N('Dvd Calendar'!$I$143)=0,"",IF(('Dvd Calendar'!$I$143&gt;=GRID_FROM)*('Dvd Calendar'!$I$143&lt;=GRID_TO)*((('Dvd Calendar'!$I$143&lt;=VAL_DATE)+(COUNTIF('Dvd Calendar'!$E$150:$AR$150,'Dvd Calendar'!$I$143)=0))&gt;0)=0,"",'Dvd Calendar'!$I$143*1000000000+ISNUMBER('Dvd Calendar'!$I$146)*100000000+('Dvd Calendar'!$I$148=SPECIAL_LBL)*10000000+(N('Dvd Calendar'!$I$142)&gt;0)*(N('Dvd Calendar'!$I$142)&lt;=VAL_SERIAL)*1000000+13*1000+5))</f>
        <v/>
      </c>
      <c r="EJ24" s="121">
        <f>IF(N('Dvd Calendar'!$J$143)=0,"",IF(('Dvd Calendar'!$J$143&gt;=GRID_FROM)*('Dvd Calendar'!$J$143&lt;=GRID_TO)*((('Dvd Calendar'!$J$143&lt;=VAL_DATE)+(COUNTIF('Dvd Calendar'!$E$150:$AR$150,'Dvd Calendar'!$J$143)=0))&gt;0)=0,"",'Dvd Calendar'!$J$143*1000000000+ISNUMBER('Dvd Calendar'!$J$146)*100000000+('Dvd Calendar'!$J$148=SPECIAL_LBL)*10000000+(N('Dvd Calendar'!$J$142)&gt;0)*(N('Dvd Calendar'!$J$142)&lt;=VAL_SERIAL)*1000000+13*1000+6))</f>
        <v/>
      </c>
      <c r="EK24" s="121">
        <f>IF(N('Dvd Calendar'!$K$143)=0,"",IF(('Dvd Calendar'!$K$143&gt;=GRID_FROM)*('Dvd Calendar'!$K$143&lt;=GRID_TO)*((('Dvd Calendar'!$K$143&lt;=VAL_DATE)+(COUNTIF('Dvd Calendar'!$E$150:$AR$150,'Dvd Calendar'!$K$143)=0))&gt;0)=0,"",'Dvd Calendar'!$K$143*1000000000+ISNUMBER('Dvd Calendar'!$K$146)*100000000+('Dvd Calendar'!$K$148=SPECIAL_LBL)*10000000+(N('Dvd Calendar'!$K$142)&gt;0)*(N('Dvd Calendar'!$K$142)&lt;=VAL_SERIAL)*1000000+13*1000+7))</f>
        <v/>
      </c>
      <c r="EL24" s="121">
        <f>IF(N('Dvd Calendar'!$L$143)=0,"",IF(('Dvd Calendar'!$L$143&gt;=GRID_FROM)*('Dvd Calendar'!$L$143&lt;=GRID_TO)*((('Dvd Calendar'!$L$143&lt;=VAL_DATE)+(COUNTIF('Dvd Calendar'!$E$150:$AR$150,'Dvd Calendar'!$L$143)=0))&gt;0)=0,"",'Dvd Calendar'!$L$143*1000000000+ISNUMBER('Dvd Calendar'!$L$146)*100000000+('Dvd Calendar'!$L$148=SPECIAL_LBL)*10000000+(N('Dvd Calendar'!$L$142)&gt;0)*(N('Dvd Calendar'!$L$142)&lt;=VAL_SERIAL)*1000000+13*1000+8))</f>
        <v/>
      </c>
      <c r="EM24" s="121">
        <f>IF(N('Dvd Calendar'!$M$143)=0,"",IF(('Dvd Calendar'!$M$143&gt;=GRID_FROM)*('Dvd Calendar'!$M$143&lt;=GRID_TO)*((('Dvd Calendar'!$M$143&lt;=VAL_DATE)+(COUNTIF('Dvd Calendar'!$E$150:$AR$150,'Dvd Calendar'!$M$143)=0))&gt;0)=0,"",'Dvd Calendar'!$M$143*1000000000+ISNUMBER('Dvd Calendar'!$M$146)*100000000+('Dvd Calendar'!$M$148=SPECIAL_LBL)*10000000+(N('Dvd Calendar'!$M$142)&gt;0)*(N('Dvd Calendar'!$M$142)&lt;=VAL_SERIAL)*1000000+13*1000+9))</f>
        <v/>
      </c>
      <c r="EN24" s="121">
        <f>IF(N('Dvd Calendar'!$N$143)=0,"",IF(('Dvd Calendar'!$N$143&gt;=GRID_FROM)*('Dvd Calendar'!$N$143&lt;=GRID_TO)*((('Dvd Calendar'!$N$143&lt;=VAL_DATE)+(COUNTIF('Dvd Calendar'!$E$150:$AR$150,'Dvd Calendar'!$N$143)=0))&gt;0)=0,"",'Dvd Calendar'!$N$143*1000000000+ISNUMBER('Dvd Calendar'!$N$146)*100000000+('Dvd Calendar'!$N$148=SPECIAL_LBL)*10000000+(N('Dvd Calendar'!$N$142)&gt;0)*(N('Dvd Calendar'!$N$142)&lt;=VAL_SERIAL)*1000000+13*1000+10))</f>
        <v/>
      </c>
      <c r="EO24" s="121">
        <f>IF(N('Dvd Calendar'!$O$143)=0,"",IF(('Dvd Calendar'!$O$143&gt;=GRID_FROM)*('Dvd Calendar'!$O$143&lt;=GRID_TO)*((('Dvd Calendar'!$O$143&lt;=VAL_DATE)+(COUNTIF('Dvd Calendar'!$E$150:$AR$150,'Dvd Calendar'!$O$143)=0))&gt;0)=0,"",'Dvd Calendar'!$O$143*1000000000+ISNUMBER('Dvd Calendar'!$O$146)*100000000+('Dvd Calendar'!$O$148=SPECIAL_LBL)*10000000+(N('Dvd Calendar'!$O$142)&gt;0)*(N('Dvd Calendar'!$O$142)&lt;=VAL_SERIAL)*1000000+13*1000+11))</f>
        <v/>
      </c>
      <c r="EP24" s="121">
        <f>IF(N('Dvd Calendar'!$P$143)=0,"",IF(('Dvd Calendar'!$P$143&gt;=GRID_FROM)*('Dvd Calendar'!$P$143&lt;=GRID_TO)*((('Dvd Calendar'!$P$143&lt;=VAL_DATE)+(COUNTIF('Dvd Calendar'!$E$150:$AR$150,'Dvd Calendar'!$P$143)=0))&gt;0)=0,"",'Dvd Calendar'!$P$143*1000000000+ISNUMBER('Dvd Calendar'!$P$146)*100000000+('Dvd Calendar'!$P$148=SPECIAL_LBL)*10000000+(N('Dvd Calendar'!$P$142)&gt;0)*(N('Dvd Calendar'!$P$142)&lt;=VAL_SERIAL)*1000000+13*1000+12))</f>
        <v/>
      </c>
      <c r="EQ24" s="121">
        <f>IF(N('Dvd Calendar'!$Q$143)=0,"",IF(('Dvd Calendar'!$Q$143&gt;=GRID_FROM)*('Dvd Calendar'!$Q$143&lt;=GRID_TO)*((('Dvd Calendar'!$Q$143&lt;=VAL_DATE)+(COUNTIF('Dvd Calendar'!$E$150:$AR$150,'Dvd Calendar'!$Q$143)=0))&gt;0)=0,"",'Dvd Calendar'!$Q$143*1000000000+ISNUMBER('Dvd Calendar'!$Q$146)*100000000+('Dvd Calendar'!$Q$148=SPECIAL_LBL)*10000000+(N('Dvd Calendar'!$Q$142)&gt;0)*(N('Dvd Calendar'!$Q$142)&lt;=VAL_SERIAL)*1000000+13*1000+13))</f>
        <v/>
      </c>
      <c r="ER24" s="121">
        <f>IF(N('Dvd Calendar'!$R$143)=0,"",IF(('Dvd Calendar'!$R$143&gt;=GRID_FROM)*('Dvd Calendar'!$R$143&lt;=GRID_TO)*((('Dvd Calendar'!$R$143&lt;=VAL_DATE)+(COUNTIF('Dvd Calendar'!$E$150:$AR$150,'Dvd Calendar'!$R$143)=0))&gt;0)=0,"",'Dvd Calendar'!$R$143*1000000000+ISNUMBER('Dvd Calendar'!$R$146)*100000000+('Dvd Calendar'!$R$148=SPECIAL_LBL)*10000000+(N('Dvd Calendar'!$R$142)&gt;0)*(N('Dvd Calendar'!$R$142)&lt;=VAL_SERIAL)*1000000+13*1000+14))</f>
        <v/>
      </c>
      <c r="ES24" s="121">
        <f>IF(N('Dvd Calendar'!$S$143)=0,"",IF(('Dvd Calendar'!$S$143&gt;=GRID_FROM)*('Dvd Calendar'!$S$143&lt;=GRID_TO)*((('Dvd Calendar'!$S$143&lt;=VAL_DATE)+(COUNTIF('Dvd Calendar'!$E$150:$AR$150,'Dvd Calendar'!$S$143)=0))&gt;0)=0,"",'Dvd Calendar'!$S$143*1000000000+ISNUMBER('Dvd Calendar'!$S$146)*100000000+('Dvd Calendar'!$S$148=SPECIAL_LBL)*10000000+(N('Dvd Calendar'!$S$142)&gt;0)*(N('Dvd Calendar'!$S$142)&lt;=VAL_SERIAL)*1000000+13*1000+15))</f>
        <v/>
      </c>
      <c r="ET24" s="121">
        <f>IF(N('Dvd Calendar'!$T$143)=0,"",IF(('Dvd Calendar'!$T$143&gt;=GRID_FROM)*('Dvd Calendar'!$T$143&lt;=GRID_TO)*((('Dvd Calendar'!$T$143&lt;=VAL_DATE)+(COUNTIF('Dvd Calendar'!$E$150:$AR$150,'Dvd Calendar'!$T$143)=0))&gt;0)=0,"",'Dvd Calendar'!$T$143*1000000000+ISNUMBER('Dvd Calendar'!$T$146)*100000000+('Dvd Calendar'!$T$148=SPECIAL_LBL)*10000000+(N('Dvd Calendar'!$T$142)&gt;0)*(N('Dvd Calendar'!$T$142)&lt;=VAL_SERIAL)*1000000+13*1000+16))</f>
        <v/>
      </c>
      <c r="EU24" s="121">
        <f>IF(N('Dvd Calendar'!$U$143)=0,"",IF(('Dvd Calendar'!$U$143&gt;=GRID_FROM)*('Dvd Calendar'!$U$143&lt;=GRID_TO)*((('Dvd Calendar'!$U$143&lt;=VAL_DATE)+(COUNTIF('Dvd Calendar'!$E$150:$AR$150,'Dvd Calendar'!$U$143)=0))&gt;0)=0,"",'Dvd Calendar'!$U$143*1000000000+ISNUMBER('Dvd Calendar'!$U$146)*100000000+('Dvd Calendar'!$U$148=SPECIAL_LBL)*10000000+(N('Dvd Calendar'!$U$142)&gt;0)*(N('Dvd Calendar'!$U$142)&lt;=VAL_SERIAL)*1000000+13*1000+17))</f>
        <v/>
      </c>
      <c r="EV24" s="121">
        <f>IF(N('Dvd Calendar'!$V$143)=0,"",IF(('Dvd Calendar'!$V$143&gt;=GRID_FROM)*('Dvd Calendar'!$V$143&lt;=GRID_TO)*((('Dvd Calendar'!$V$143&lt;=VAL_DATE)+(COUNTIF('Dvd Calendar'!$E$150:$AR$150,'Dvd Calendar'!$V$143)=0))&gt;0)=0,"",'Dvd Calendar'!$V$143*1000000000+ISNUMBER('Dvd Calendar'!$V$146)*100000000+('Dvd Calendar'!$V$148=SPECIAL_LBL)*10000000+(N('Dvd Calendar'!$V$142)&gt;0)*(N('Dvd Calendar'!$V$142)&lt;=VAL_SERIAL)*1000000+13*1000+18))</f>
        <v/>
      </c>
      <c r="EW24" s="121">
        <f>IF(N('Dvd Calendar'!$W$143)=0,"",IF(('Dvd Calendar'!$W$143&gt;=GRID_FROM)*('Dvd Calendar'!$W$143&lt;=GRID_TO)*((('Dvd Calendar'!$W$143&lt;=VAL_DATE)+(COUNTIF('Dvd Calendar'!$E$150:$AR$150,'Dvd Calendar'!$W$143)=0))&gt;0)=0,"",'Dvd Calendar'!$W$143*1000000000+ISNUMBER('Dvd Calendar'!$W$146)*100000000+('Dvd Calendar'!$W$148=SPECIAL_LBL)*10000000+(N('Dvd Calendar'!$W$142)&gt;0)*(N('Dvd Calendar'!$W$142)&lt;=VAL_SERIAL)*1000000+13*1000+19))</f>
        <v/>
      </c>
      <c r="EX24" s="121">
        <f>IF(N('Dvd Calendar'!$X$143)=0,"",IF(('Dvd Calendar'!$X$143&gt;=GRID_FROM)*('Dvd Calendar'!$X$143&lt;=GRID_TO)*((('Dvd Calendar'!$X$143&lt;=VAL_DATE)+(COUNTIF('Dvd Calendar'!$E$150:$AR$150,'Dvd Calendar'!$X$143)=0))&gt;0)=0,"",'Dvd Calendar'!$X$143*1000000000+ISNUMBER('Dvd Calendar'!$X$146)*100000000+('Dvd Calendar'!$X$148=SPECIAL_LBL)*10000000+(N('Dvd Calendar'!$X$142)&gt;0)*(N('Dvd Calendar'!$X$142)&lt;=VAL_SERIAL)*1000000+13*1000+20))</f>
        <v/>
      </c>
      <c r="EY24" s="121">
        <f>IF(N('Dvd Calendar'!$Y$143)=0,"",IF(('Dvd Calendar'!$Y$143&gt;=GRID_FROM)*('Dvd Calendar'!$Y$143&lt;=GRID_TO)*((('Dvd Calendar'!$Y$143&lt;=VAL_DATE)+(COUNTIF('Dvd Calendar'!$E$150:$AR$150,'Dvd Calendar'!$Y$143)=0))&gt;0)=0,"",'Dvd Calendar'!$Y$143*1000000000+ISNUMBER('Dvd Calendar'!$Y$146)*100000000+('Dvd Calendar'!$Y$148=SPECIAL_LBL)*10000000+(N('Dvd Calendar'!$Y$142)&gt;0)*(N('Dvd Calendar'!$Y$142)&lt;=VAL_SERIAL)*1000000+13*1000+21))</f>
        <v/>
      </c>
      <c r="EZ24" s="121">
        <f>IF(N('Dvd Calendar'!$Z$143)=0,"",IF(('Dvd Calendar'!$Z$143&gt;=GRID_FROM)*('Dvd Calendar'!$Z$143&lt;=GRID_TO)*((('Dvd Calendar'!$Z$143&lt;=VAL_DATE)+(COUNTIF('Dvd Calendar'!$E$150:$AR$150,'Dvd Calendar'!$Z$143)=0))&gt;0)=0,"",'Dvd Calendar'!$Z$143*1000000000+ISNUMBER('Dvd Calendar'!$Z$146)*100000000+('Dvd Calendar'!$Z$148=SPECIAL_LBL)*10000000+(N('Dvd Calendar'!$Z$142)&gt;0)*(N('Dvd Calendar'!$Z$142)&lt;=VAL_SERIAL)*1000000+13*1000+22))</f>
        <v/>
      </c>
      <c r="FA24" s="121">
        <f>IF(N('Dvd Calendar'!$AA$143)=0,"",IF(('Dvd Calendar'!$AA$143&gt;=GRID_FROM)*('Dvd Calendar'!$AA$143&lt;=GRID_TO)*((('Dvd Calendar'!$AA$143&lt;=VAL_DATE)+(COUNTIF('Dvd Calendar'!$E$150:$AR$150,'Dvd Calendar'!$AA$143)=0))&gt;0)=0,"",'Dvd Calendar'!$AA$143*1000000000+ISNUMBER('Dvd Calendar'!$AA$146)*100000000+('Dvd Calendar'!$AA$148=SPECIAL_LBL)*10000000+(N('Dvd Calendar'!$AA$142)&gt;0)*(N('Dvd Calendar'!$AA$142)&lt;=VAL_SERIAL)*1000000+13*1000+23))</f>
        <v/>
      </c>
      <c r="FB24" s="121">
        <f>IF(N('Dvd Calendar'!$AB$143)=0,"",IF(('Dvd Calendar'!$AB$143&gt;=GRID_FROM)*('Dvd Calendar'!$AB$143&lt;=GRID_TO)*((('Dvd Calendar'!$AB$143&lt;=VAL_DATE)+(COUNTIF('Dvd Calendar'!$E$150:$AR$150,'Dvd Calendar'!$AB$143)=0))&gt;0)=0,"",'Dvd Calendar'!$AB$143*1000000000+ISNUMBER('Dvd Calendar'!$AB$146)*100000000+('Dvd Calendar'!$AB$148=SPECIAL_LBL)*10000000+(N('Dvd Calendar'!$AB$142)&gt;0)*(N('Dvd Calendar'!$AB$142)&lt;=VAL_SERIAL)*1000000+13*1000+24))</f>
        <v/>
      </c>
      <c r="FC24" s="121">
        <f>IF(N('Dvd Calendar'!$AC$143)=0,"",IF(('Dvd Calendar'!$AC$143&gt;=GRID_FROM)*('Dvd Calendar'!$AC$143&lt;=GRID_TO)*((('Dvd Calendar'!$AC$143&lt;=VAL_DATE)+(COUNTIF('Dvd Calendar'!$E$150:$AR$150,'Dvd Calendar'!$AC$143)=0))&gt;0)=0,"",'Dvd Calendar'!$AC$143*1000000000+ISNUMBER('Dvd Calendar'!$AC$146)*100000000+('Dvd Calendar'!$AC$148=SPECIAL_LBL)*10000000+(N('Dvd Calendar'!$AC$142)&gt;0)*(N('Dvd Calendar'!$AC$142)&lt;=VAL_SERIAL)*1000000+13*1000+25))</f>
        <v/>
      </c>
      <c r="FD24" s="121">
        <f>IF(N('Dvd Calendar'!$AD$143)=0,"",IF(('Dvd Calendar'!$AD$143&gt;=GRID_FROM)*('Dvd Calendar'!$AD$143&lt;=GRID_TO)*((('Dvd Calendar'!$AD$143&lt;=VAL_DATE)+(COUNTIF('Dvd Calendar'!$E$150:$AR$150,'Dvd Calendar'!$AD$143)=0))&gt;0)=0,"",'Dvd Calendar'!$AD$143*1000000000+ISNUMBER('Dvd Calendar'!$AD$146)*100000000+('Dvd Calendar'!$AD$148=SPECIAL_LBL)*10000000+(N('Dvd Calendar'!$AD$142)&gt;0)*(N('Dvd Calendar'!$AD$142)&lt;=VAL_SERIAL)*1000000+13*1000+26))</f>
        <v/>
      </c>
      <c r="FE24" s="121">
        <f>IF(N('Dvd Calendar'!$AE$143)=0,"",IF(('Dvd Calendar'!$AE$143&gt;=GRID_FROM)*('Dvd Calendar'!$AE$143&lt;=GRID_TO)*((('Dvd Calendar'!$AE$143&lt;=VAL_DATE)+(COUNTIF('Dvd Calendar'!$E$150:$AR$150,'Dvd Calendar'!$AE$143)=0))&gt;0)=0,"",'Dvd Calendar'!$AE$143*1000000000+ISNUMBER('Dvd Calendar'!$AE$146)*100000000+('Dvd Calendar'!$AE$148=SPECIAL_LBL)*10000000+(N('Dvd Calendar'!$AE$142)&gt;0)*(N('Dvd Calendar'!$AE$142)&lt;=VAL_SERIAL)*1000000+13*1000+27))</f>
        <v/>
      </c>
      <c r="FF24" s="121">
        <f>IF(N('Dvd Calendar'!$AF$143)=0,"",IF(('Dvd Calendar'!$AF$143&gt;=GRID_FROM)*('Dvd Calendar'!$AF$143&lt;=GRID_TO)*((('Dvd Calendar'!$AF$143&lt;=VAL_DATE)+(COUNTIF('Dvd Calendar'!$E$150:$AR$150,'Dvd Calendar'!$AF$143)=0))&gt;0)=0,"",'Dvd Calendar'!$AF$143*1000000000+ISNUMBER('Dvd Calendar'!$AF$146)*100000000+('Dvd Calendar'!$AF$148=SPECIAL_LBL)*10000000+(N('Dvd Calendar'!$AF$142)&gt;0)*(N('Dvd Calendar'!$AF$142)&lt;=VAL_SERIAL)*1000000+13*1000+28))</f>
        <v/>
      </c>
      <c r="FG24" s="121">
        <f>IF(N('Dvd Calendar'!$AG$143)=0,"",IF(('Dvd Calendar'!$AG$143&gt;=GRID_FROM)*('Dvd Calendar'!$AG$143&lt;=GRID_TO)*((('Dvd Calendar'!$AG$143&lt;=VAL_DATE)+(COUNTIF('Dvd Calendar'!$E$150:$AR$150,'Dvd Calendar'!$AG$143)=0))&gt;0)=0,"",'Dvd Calendar'!$AG$143*1000000000+ISNUMBER('Dvd Calendar'!$AG$146)*100000000+('Dvd Calendar'!$AG$148=SPECIAL_LBL)*10000000+(N('Dvd Calendar'!$AG$142)&gt;0)*(N('Dvd Calendar'!$AG$142)&lt;=VAL_SERIAL)*1000000+13*1000+29))</f>
        <v/>
      </c>
      <c r="FH24" s="121">
        <f>IF(N('Dvd Calendar'!$AH$143)=0,"",IF(('Dvd Calendar'!$AH$143&gt;=GRID_FROM)*('Dvd Calendar'!$AH$143&lt;=GRID_TO)*((('Dvd Calendar'!$AH$143&lt;=VAL_DATE)+(COUNTIF('Dvd Calendar'!$E$150:$AR$150,'Dvd Calendar'!$AH$143)=0))&gt;0)=0,"",'Dvd Calendar'!$AH$143*1000000000+ISNUMBER('Dvd Calendar'!$AH$146)*100000000+('Dvd Calendar'!$AH$148=SPECIAL_LBL)*10000000+(N('Dvd Calendar'!$AH$142)&gt;0)*(N('Dvd Calendar'!$AH$142)&lt;=VAL_SERIAL)*1000000+13*1000+30))</f>
        <v/>
      </c>
      <c r="FI24" s="121">
        <f>IF(N('Dvd Calendar'!$AI$143)=0,"",IF(('Dvd Calendar'!$AI$143&gt;=GRID_FROM)*('Dvd Calendar'!$AI$143&lt;=GRID_TO)*((('Dvd Calendar'!$AI$143&lt;=VAL_DATE)+(COUNTIF('Dvd Calendar'!$E$150:$AR$150,'Dvd Calendar'!$AI$143)=0))&gt;0)=0,"",'Dvd Calendar'!$AI$143*1000000000+ISNUMBER('Dvd Calendar'!$AI$146)*100000000+('Dvd Calendar'!$AI$148=SPECIAL_LBL)*10000000+(N('Dvd Calendar'!$AI$142)&gt;0)*(N('Dvd Calendar'!$AI$142)&lt;=VAL_SERIAL)*1000000+13*1000+31))</f>
        <v/>
      </c>
      <c r="FJ24" s="121">
        <f>IF(N('Dvd Calendar'!$AJ$143)=0,"",IF(('Dvd Calendar'!$AJ$143&gt;=GRID_FROM)*('Dvd Calendar'!$AJ$143&lt;=GRID_TO)*((('Dvd Calendar'!$AJ$143&lt;=VAL_DATE)+(COUNTIF('Dvd Calendar'!$E$150:$AR$150,'Dvd Calendar'!$AJ$143)=0))&gt;0)=0,"",'Dvd Calendar'!$AJ$143*1000000000+ISNUMBER('Dvd Calendar'!$AJ$146)*100000000+('Dvd Calendar'!$AJ$148=SPECIAL_LBL)*10000000+(N('Dvd Calendar'!$AJ$142)&gt;0)*(N('Dvd Calendar'!$AJ$142)&lt;=VAL_SERIAL)*1000000+13*1000+32))</f>
        <v/>
      </c>
      <c r="FK24" s="121">
        <f>IF(N('Dvd Calendar'!$AK$143)=0,"",IF(('Dvd Calendar'!$AK$143&gt;=GRID_FROM)*('Dvd Calendar'!$AK$143&lt;=GRID_TO)*((('Dvd Calendar'!$AK$143&lt;=VAL_DATE)+(COUNTIF('Dvd Calendar'!$E$150:$AR$150,'Dvd Calendar'!$AK$143)=0))&gt;0)=0,"",'Dvd Calendar'!$AK$143*1000000000+ISNUMBER('Dvd Calendar'!$AK$146)*100000000+('Dvd Calendar'!$AK$148=SPECIAL_LBL)*10000000+(N('Dvd Calendar'!$AK$142)&gt;0)*(N('Dvd Calendar'!$AK$142)&lt;=VAL_SERIAL)*1000000+13*1000+33))</f>
        <v/>
      </c>
      <c r="FL24" s="121">
        <f>IF(N('Dvd Calendar'!$AL$143)=0,"",IF(('Dvd Calendar'!$AL$143&gt;=GRID_FROM)*('Dvd Calendar'!$AL$143&lt;=GRID_TO)*((('Dvd Calendar'!$AL$143&lt;=VAL_DATE)+(COUNTIF('Dvd Calendar'!$E$150:$AR$150,'Dvd Calendar'!$AL$143)=0))&gt;0)=0,"",'Dvd Calendar'!$AL$143*1000000000+ISNUMBER('Dvd Calendar'!$AL$146)*100000000+('Dvd Calendar'!$AL$148=SPECIAL_LBL)*10000000+(N('Dvd Calendar'!$AL$142)&gt;0)*(N('Dvd Calendar'!$AL$142)&lt;=VAL_SERIAL)*1000000+13*1000+34))</f>
        <v/>
      </c>
      <c r="FM24" s="121">
        <f>IF(N('Dvd Calendar'!$AM$143)=0,"",IF(('Dvd Calendar'!$AM$143&gt;=GRID_FROM)*('Dvd Calendar'!$AM$143&lt;=GRID_TO)*((('Dvd Calendar'!$AM$143&lt;=VAL_DATE)+(COUNTIF('Dvd Calendar'!$E$150:$AR$150,'Dvd Calendar'!$AM$143)=0))&gt;0)=0,"",'Dvd Calendar'!$AM$143*1000000000+ISNUMBER('Dvd Calendar'!$AM$146)*100000000+('Dvd Calendar'!$AM$148=SPECIAL_LBL)*10000000+(N('Dvd Calendar'!$AM$142)&gt;0)*(N('Dvd Calendar'!$AM$142)&lt;=VAL_SERIAL)*1000000+13*1000+35))</f>
        <v/>
      </c>
      <c r="FN24" s="121">
        <f>IF(N('Dvd Calendar'!$AN$143)=0,"",IF(('Dvd Calendar'!$AN$143&gt;=GRID_FROM)*('Dvd Calendar'!$AN$143&lt;=GRID_TO)*((('Dvd Calendar'!$AN$143&lt;=VAL_DATE)+(COUNTIF('Dvd Calendar'!$E$150:$AR$150,'Dvd Calendar'!$AN$143)=0))&gt;0)=0,"",'Dvd Calendar'!$AN$143*1000000000+ISNUMBER('Dvd Calendar'!$AN$146)*100000000+('Dvd Calendar'!$AN$148=SPECIAL_LBL)*10000000+(N('Dvd Calendar'!$AN$142)&gt;0)*(N('Dvd Calendar'!$AN$142)&lt;=VAL_SERIAL)*1000000+13*1000+36))</f>
        <v/>
      </c>
      <c r="FO24" s="121">
        <f>IF(N('Dvd Calendar'!$AO$143)=0,"",IF(('Dvd Calendar'!$AO$143&gt;=GRID_FROM)*('Dvd Calendar'!$AO$143&lt;=GRID_TO)*((('Dvd Calendar'!$AO$143&lt;=VAL_DATE)+(COUNTIF('Dvd Calendar'!$E$150:$AR$150,'Dvd Calendar'!$AO$143)=0))&gt;0)=0,"",'Dvd Calendar'!$AO$143*1000000000+ISNUMBER('Dvd Calendar'!$AO$146)*100000000+('Dvd Calendar'!$AO$148=SPECIAL_LBL)*10000000+(N('Dvd Calendar'!$AO$142)&gt;0)*(N('Dvd Calendar'!$AO$142)&lt;=VAL_SERIAL)*1000000+13*1000+37))</f>
        <v/>
      </c>
      <c r="FP24" s="121">
        <f>IF(N('Dvd Calendar'!$AP$143)=0,"",IF(('Dvd Calendar'!$AP$143&gt;=GRID_FROM)*('Dvd Calendar'!$AP$143&lt;=GRID_TO)*((('Dvd Calendar'!$AP$143&lt;=VAL_DATE)+(COUNTIF('Dvd Calendar'!$E$150:$AR$150,'Dvd Calendar'!$AP$143)=0))&gt;0)=0,"",'Dvd Calendar'!$AP$143*1000000000+ISNUMBER('Dvd Calendar'!$AP$146)*100000000+('Dvd Calendar'!$AP$148=SPECIAL_LBL)*10000000+(N('Dvd Calendar'!$AP$142)&gt;0)*(N('Dvd Calendar'!$AP$142)&lt;=VAL_SERIAL)*1000000+13*1000+38))</f>
        <v/>
      </c>
      <c r="FQ24" s="121">
        <f>IF(N('Dvd Calendar'!$AQ$143)=0,"",IF(('Dvd Calendar'!$AQ$143&gt;=GRID_FROM)*('Dvd Calendar'!$AQ$143&lt;=GRID_TO)*((('Dvd Calendar'!$AQ$143&lt;=VAL_DATE)+(COUNTIF('Dvd Calendar'!$E$150:$AR$150,'Dvd Calendar'!$AQ$143)=0))&gt;0)=0,"",'Dvd Calendar'!$AQ$143*1000000000+ISNUMBER('Dvd Calendar'!$AQ$146)*100000000+('Dvd Calendar'!$AQ$148=SPECIAL_LBL)*10000000+(N('Dvd Calendar'!$AQ$142)&gt;0)*(N('Dvd Calendar'!$AQ$142)&lt;=VAL_SERIAL)*1000000+13*1000+39))</f>
        <v/>
      </c>
      <c r="FR24" s="121">
        <f>IF(N('Dvd Calendar'!$AR$143)=0,"",IF(('Dvd Calendar'!$AR$143&gt;=GRID_FROM)*('Dvd Calendar'!$AR$143&lt;=GRID_TO)*((('Dvd Calendar'!$AR$143&lt;=VAL_DATE)+(COUNTIF('Dvd Calendar'!$E$150:$AR$150,'Dvd Calendar'!$AR$143)=0))&gt;0)=0,"",'Dvd Calendar'!$AR$143*1000000000+ISNUMBER('Dvd Calendar'!$AR$146)*100000000+('Dvd Calendar'!$AR$148=SPECIAL_LBL)*10000000+(N('Dvd Calendar'!$AR$142)&gt;0)*(N('Dvd Calendar'!$AR$142)&lt;=VAL_SERIAL)*1000000+13*1000+40))</f>
        <v/>
      </c>
      <c r="FS24" s="121">
        <f>IF(N('Dvd Calendar'!$E$150)=0,"",IF(('Dvd Calendar'!$E$150&gt;=GRID_FROM)*('Dvd Calendar'!$E$150&lt;=GRID_TO)*('Dvd Calendar'!$E$150&gt;VAL_DATE)=0,"",'Dvd Calendar'!$E$150*1000000000+ISNUMBER('Dvd Calendar'!$E$151)*100000000+0*10000000+(N('Dvd Calendar'!$E$149)&gt;0)*(N('Dvd Calendar'!$E$149)&lt;=VAL_SERIAL)*1000000+13*1000+41))</f>
        <v/>
      </c>
      <c r="FT24" s="121">
        <f>IF(N('Dvd Calendar'!$F$150)=0,"",IF(('Dvd Calendar'!$F$150&gt;=GRID_FROM)*('Dvd Calendar'!$F$150&lt;=GRID_TO)*('Dvd Calendar'!$F$150&gt;VAL_DATE)=0,"",'Dvd Calendar'!$F$150*1000000000+ISNUMBER('Dvd Calendar'!$F$151)*100000000+0*10000000+(N('Dvd Calendar'!$F$149)&gt;0)*(N('Dvd Calendar'!$F$149)&lt;=VAL_SERIAL)*1000000+13*1000+42))</f>
        <v/>
      </c>
      <c r="FU24" s="121">
        <f>IF(N('Dvd Calendar'!$G$150)=0,"",IF(('Dvd Calendar'!$G$150&gt;=GRID_FROM)*('Dvd Calendar'!$G$150&lt;=GRID_TO)*('Dvd Calendar'!$G$150&gt;VAL_DATE)=0,"",'Dvd Calendar'!$G$150*1000000000+ISNUMBER('Dvd Calendar'!$G$151)*100000000+0*10000000+(N('Dvd Calendar'!$G$149)&gt;0)*(N('Dvd Calendar'!$G$149)&lt;=VAL_SERIAL)*1000000+13*1000+43))</f>
        <v/>
      </c>
      <c r="FV24" s="121">
        <f>IF(N('Dvd Calendar'!$H$150)=0,"",IF(('Dvd Calendar'!$H$150&gt;=GRID_FROM)*('Dvd Calendar'!$H$150&lt;=GRID_TO)*('Dvd Calendar'!$H$150&gt;VAL_DATE)=0,"",'Dvd Calendar'!$H$150*1000000000+ISNUMBER('Dvd Calendar'!$H$151)*100000000+0*10000000+(N('Dvd Calendar'!$H$149)&gt;0)*(N('Dvd Calendar'!$H$149)&lt;=VAL_SERIAL)*1000000+13*1000+44))</f>
        <v/>
      </c>
      <c r="FW24" s="121">
        <f>IF(N('Dvd Calendar'!$I$150)=0,"",IF(('Dvd Calendar'!$I$150&gt;=GRID_FROM)*('Dvd Calendar'!$I$150&lt;=GRID_TO)*('Dvd Calendar'!$I$150&gt;VAL_DATE)=0,"",'Dvd Calendar'!$I$150*1000000000+ISNUMBER('Dvd Calendar'!$I$151)*100000000+0*10000000+(N('Dvd Calendar'!$I$149)&gt;0)*(N('Dvd Calendar'!$I$149)&lt;=VAL_SERIAL)*1000000+13*1000+45))</f>
        <v/>
      </c>
      <c r="FX24" s="121">
        <f>IF(N('Dvd Calendar'!$J$150)=0,"",IF(('Dvd Calendar'!$J$150&gt;=GRID_FROM)*('Dvd Calendar'!$J$150&lt;=GRID_TO)*('Dvd Calendar'!$J$150&gt;VAL_DATE)=0,"",'Dvd Calendar'!$J$150*1000000000+ISNUMBER('Dvd Calendar'!$J$151)*100000000+0*10000000+(N('Dvd Calendar'!$J$149)&gt;0)*(N('Dvd Calendar'!$J$149)&lt;=VAL_SERIAL)*1000000+13*1000+46))</f>
        <v/>
      </c>
      <c r="FY24" s="121">
        <f>IF(N('Dvd Calendar'!$K$150)=0,"",IF(('Dvd Calendar'!$K$150&gt;=GRID_FROM)*('Dvd Calendar'!$K$150&lt;=GRID_TO)*('Dvd Calendar'!$K$150&gt;VAL_DATE)=0,"",'Dvd Calendar'!$K$150*1000000000+ISNUMBER('Dvd Calendar'!$K$151)*100000000+0*10000000+(N('Dvd Calendar'!$K$149)&gt;0)*(N('Dvd Calendar'!$K$149)&lt;=VAL_SERIAL)*1000000+13*1000+47))</f>
        <v/>
      </c>
      <c r="FZ24" s="121">
        <f>IF(N('Dvd Calendar'!$L$150)=0,"",IF(('Dvd Calendar'!$L$150&gt;=GRID_FROM)*('Dvd Calendar'!$L$150&lt;=GRID_TO)*('Dvd Calendar'!$L$150&gt;VAL_DATE)=0,"",'Dvd Calendar'!$L$150*1000000000+ISNUMBER('Dvd Calendar'!$L$151)*100000000+0*10000000+(N('Dvd Calendar'!$L$149)&gt;0)*(N('Dvd Calendar'!$L$149)&lt;=VAL_SERIAL)*1000000+13*1000+48))</f>
        <v/>
      </c>
      <c r="GA24" s="121">
        <f>IF(N('Dvd Calendar'!$M$150)=0,"",IF(('Dvd Calendar'!$M$150&gt;=GRID_FROM)*('Dvd Calendar'!$M$150&lt;=GRID_TO)*('Dvd Calendar'!$M$150&gt;VAL_DATE)=0,"",'Dvd Calendar'!$M$150*1000000000+ISNUMBER('Dvd Calendar'!$M$151)*100000000+0*10000000+(N('Dvd Calendar'!$M$149)&gt;0)*(N('Dvd Calendar'!$M$149)&lt;=VAL_SERIAL)*1000000+13*1000+49))</f>
        <v/>
      </c>
      <c r="GB24" s="121">
        <f>IF(N('Dvd Calendar'!$N$150)=0,"",IF(('Dvd Calendar'!$N$150&gt;=GRID_FROM)*('Dvd Calendar'!$N$150&lt;=GRID_TO)*('Dvd Calendar'!$N$150&gt;VAL_DATE)=0,"",'Dvd Calendar'!$N$150*1000000000+ISNUMBER('Dvd Calendar'!$N$151)*100000000+0*10000000+(N('Dvd Calendar'!$N$149)&gt;0)*(N('Dvd Calendar'!$N$149)&lt;=VAL_SERIAL)*1000000+13*1000+50))</f>
        <v/>
      </c>
      <c r="GC24" s="121">
        <f>IF(N('Dvd Calendar'!$O$150)=0,"",IF(('Dvd Calendar'!$O$150&gt;=GRID_FROM)*('Dvd Calendar'!$O$150&lt;=GRID_TO)*('Dvd Calendar'!$O$150&gt;VAL_DATE)=0,"",'Dvd Calendar'!$O$150*1000000000+ISNUMBER('Dvd Calendar'!$O$151)*100000000+0*10000000+(N('Dvd Calendar'!$O$149)&gt;0)*(N('Dvd Calendar'!$O$149)&lt;=VAL_SERIAL)*1000000+13*1000+51))</f>
        <v/>
      </c>
      <c r="GD24" s="121">
        <f>IF(N('Dvd Calendar'!$P$150)=0,"",IF(('Dvd Calendar'!$P$150&gt;=GRID_FROM)*('Dvd Calendar'!$P$150&lt;=GRID_TO)*('Dvd Calendar'!$P$150&gt;VAL_DATE)=0,"",'Dvd Calendar'!$P$150*1000000000+ISNUMBER('Dvd Calendar'!$P$151)*100000000+0*10000000+(N('Dvd Calendar'!$P$149)&gt;0)*(N('Dvd Calendar'!$P$149)&lt;=VAL_SERIAL)*1000000+13*1000+52))</f>
        <v/>
      </c>
      <c r="GE24" s="121">
        <f>IF(N('Dvd Calendar'!$Q$150)=0,"",IF(('Dvd Calendar'!$Q$150&gt;=GRID_FROM)*('Dvd Calendar'!$Q$150&lt;=GRID_TO)*('Dvd Calendar'!$Q$150&gt;VAL_DATE)=0,"",'Dvd Calendar'!$Q$150*1000000000+ISNUMBER('Dvd Calendar'!$Q$151)*100000000+0*10000000+(N('Dvd Calendar'!$Q$149)&gt;0)*(N('Dvd Calendar'!$Q$149)&lt;=VAL_SERIAL)*1000000+13*1000+53))</f>
        <v/>
      </c>
      <c r="GF24" s="121">
        <f>IF(N('Dvd Calendar'!$R$150)=0,"",IF(('Dvd Calendar'!$R$150&gt;=GRID_FROM)*('Dvd Calendar'!$R$150&lt;=GRID_TO)*('Dvd Calendar'!$R$150&gt;VAL_DATE)=0,"",'Dvd Calendar'!$R$150*1000000000+ISNUMBER('Dvd Calendar'!$R$151)*100000000+0*10000000+(N('Dvd Calendar'!$R$149)&gt;0)*(N('Dvd Calendar'!$R$149)&lt;=VAL_SERIAL)*1000000+13*1000+54))</f>
        <v/>
      </c>
      <c r="GG24" s="121">
        <f>IF(N('Dvd Calendar'!$S$150)=0,"",IF(('Dvd Calendar'!$S$150&gt;=GRID_FROM)*('Dvd Calendar'!$S$150&lt;=GRID_TO)*('Dvd Calendar'!$S$150&gt;VAL_DATE)=0,"",'Dvd Calendar'!$S$150*1000000000+ISNUMBER('Dvd Calendar'!$S$151)*100000000+0*10000000+(N('Dvd Calendar'!$S$149)&gt;0)*(N('Dvd Calendar'!$S$149)&lt;=VAL_SERIAL)*1000000+13*1000+55))</f>
        <v/>
      </c>
      <c r="GH24" s="121">
        <f>IF(N('Dvd Calendar'!$T$150)=0,"",IF(('Dvd Calendar'!$T$150&gt;=GRID_FROM)*('Dvd Calendar'!$T$150&lt;=GRID_TO)*('Dvd Calendar'!$T$150&gt;VAL_DATE)=0,"",'Dvd Calendar'!$T$150*1000000000+ISNUMBER('Dvd Calendar'!$T$151)*100000000+0*10000000+(N('Dvd Calendar'!$T$149)&gt;0)*(N('Dvd Calendar'!$T$149)&lt;=VAL_SERIAL)*1000000+13*1000+56))</f>
        <v/>
      </c>
      <c r="GI24" s="121">
        <f>IF(N('Dvd Calendar'!$U$150)=0,"",IF(('Dvd Calendar'!$U$150&gt;=GRID_FROM)*('Dvd Calendar'!$U$150&lt;=GRID_TO)*('Dvd Calendar'!$U$150&gt;VAL_DATE)=0,"",'Dvd Calendar'!$U$150*1000000000+ISNUMBER('Dvd Calendar'!$U$151)*100000000+0*10000000+(N('Dvd Calendar'!$U$149)&gt;0)*(N('Dvd Calendar'!$U$149)&lt;=VAL_SERIAL)*1000000+13*1000+57))</f>
        <v/>
      </c>
      <c r="GJ24" s="121">
        <f>IF(N('Dvd Calendar'!$V$150)=0,"",IF(('Dvd Calendar'!$V$150&gt;=GRID_FROM)*('Dvd Calendar'!$V$150&lt;=GRID_TO)*('Dvd Calendar'!$V$150&gt;VAL_DATE)=0,"",'Dvd Calendar'!$V$150*1000000000+ISNUMBER('Dvd Calendar'!$V$151)*100000000+0*10000000+(N('Dvd Calendar'!$V$149)&gt;0)*(N('Dvd Calendar'!$V$149)&lt;=VAL_SERIAL)*1000000+13*1000+58))</f>
        <v/>
      </c>
      <c r="GK24" s="121">
        <f>IF(N('Dvd Calendar'!$W$150)=0,"",IF(('Dvd Calendar'!$W$150&gt;=GRID_FROM)*('Dvd Calendar'!$W$150&lt;=GRID_TO)*('Dvd Calendar'!$W$150&gt;VAL_DATE)=0,"",'Dvd Calendar'!$W$150*1000000000+ISNUMBER('Dvd Calendar'!$W$151)*100000000+0*10000000+(N('Dvd Calendar'!$W$149)&gt;0)*(N('Dvd Calendar'!$W$149)&lt;=VAL_SERIAL)*1000000+13*1000+59))</f>
        <v/>
      </c>
      <c r="GL24" s="121">
        <f>IF(N('Dvd Calendar'!$X$150)=0,"",IF(('Dvd Calendar'!$X$150&gt;=GRID_FROM)*('Dvd Calendar'!$X$150&lt;=GRID_TO)*('Dvd Calendar'!$X$150&gt;VAL_DATE)=0,"",'Dvd Calendar'!$X$150*1000000000+ISNUMBER('Dvd Calendar'!$X$151)*100000000+0*10000000+(N('Dvd Calendar'!$X$149)&gt;0)*(N('Dvd Calendar'!$X$149)&lt;=VAL_SERIAL)*1000000+13*1000+60))</f>
        <v/>
      </c>
      <c r="GM24" s="121">
        <f>IF(N('Dvd Calendar'!$Y$150)=0,"",IF(('Dvd Calendar'!$Y$150&gt;=GRID_FROM)*('Dvd Calendar'!$Y$150&lt;=GRID_TO)*('Dvd Calendar'!$Y$150&gt;VAL_DATE)=0,"",'Dvd Calendar'!$Y$150*1000000000+ISNUMBER('Dvd Calendar'!$Y$151)*100000000+0*10000000+(N('Dvd Calendar'!$Y$149)&gt;0)*(N('Dvd Calendar'!$Y$149)&lt;=VAL_SERIAL)*1000000+13*1000+61))</f>
        <v/>
      </c>
      <c r="GN24" s="121">
        <f>IF(N('Dvd Calendar'!$Z$150)=0,"",IF(('Dvd Calendar'!$Z$150&gt;=GRID_FROM)*('Dvd Calendar'!$Z$150&lt;=GRID_TO)*('Dvd Calendar'!$Z$150&gt;VAL_DATE)=0,"",'Dvd Calendar'!$Z$150*1000000000+ISNUMBER('Dvd Calendar'!$Z$151)*100000000+0*10000000+(N('Dvd Calendar'!$Z$149)&gt;0)*(N('Dvd Calendar'!$Z$149)&lt;=VAL_SERIAL)*1000000+13*1000+62))</f>
        <v/>
      </c>
      <c r="GO24" s="121">
        <f>IF(N('Dvd Calendar'!$AA$150)=0,"",IF(('Dvd Calendar'!$AA$150&gt;=GRID_FROM)*('Dvd Calendar'!$AA$150&lt;=GRID_TO)*('Dvd Calendar'!$AA$150&gt;VAL_DATE)=0,"",'Dvd Calendar'!$AA$150*1000000000+ISNUMBER('Dvd Calendar'!$AA$151)*100000000+0*10000000+(N('Dvd Calendar'!$AA$149)&gt;0)*(N('Dvd Calendar'!$AA$149)&lt;=VAL_SERIAL)*1000000+13*1000+63))</f>
        <v/>
      </c>
      <c r="GP24" s="121">
        <f>IF(N('Dvd Calendar'!$AB$150)=0,"",IF(('Dvd Calendar'!$AB$150&gt;=GRID_FROM)*('Dvd Calendar'!$AB$150&lt;=GRID_TO)*('Dvd Calendar'!$AB$150&gt;VAL_DATE)=0,"",'Dvd Calendar'!$AB$150*1000000000+ISNUMBER('Dvd Calendar'!$AB$151)*100000000+0*10000000+(N('Dvd Calendar'!$AB$149)&gt;0)*(N('Dvd Calendar'!$AB$149)&lt;=VAL_SERIAL)*1000000+13*1000+64))</f>
        <v/>
      </c>
      <c r="GQ24" s="121">
        <f>IF(N('Dvd Calendar'!$AC$150)=0,"",IF(('Dvd Calendar'!$AC$150&gt;=GRID_FROM)*('Dvd Calendar'!$AC$150&lt;=GRID_TO)*('Dvd Calendar'!$AC$150&gt;VAL_DATE)=0,"",'Dvd Calendar'!$AC$150*1000000000+ISNUMBER('Dvd Calendar'!$AC$151)*100000000+0*10000000+(N('Dvd Calendar'!$AC$149)&gt;0)*(N('Dvd Calendar'!$AC$149)&lt;=VAL_SERIAL)*1000000+13*1000+65))</f>
        <v/>
      </c>
    </row>
    <row r="25">
      <c r="B25" s="2">
        <f>IF(HSI!$C$20="","",HSI!$C$20)</f>
        <v/>
      </c>
      <c r="C25" s="161">
        <f>IF(EE25="","",IF(ISNUMBER('Dvd Calendar'!$E$157)=FALSE,"",IF((('Dvd Calendar'!$E$159=TYPE1)*(TYPE1&lt;&gt;"")+('Dvd Calendar'!$E$159=TYPE2)*(TYPE2&lt;&gt;"")+('Dvd Calendar'!$E$159=TYPE3)*(TYPE3&lt;&gt;"")+('Dvd Calendar'!$E$159=TYPE4)*(TYPE4&lt;&gt;"")+('Dvd Calendar'!$E$159=SPECIAL_LBL)*(INC_SPECIALS="Y"))=0,"",'Dvd Calendar'!$E$157)))</f>
        <v/>
      </c>
      <c r="D25" s="161">
        <f>IF(EF25="","",IF(ISNUMBER('Dvd Calendar'!$F$157)=FALSE,"",IF((('Dvd Calendar'!$F$159=TYPE1)*(TYPE1&lt;&gt;"")+('Dvd Calendar'!$F$159=TYPE2)*(TYPE2&lt;&gt;"")+('Dvd Calendar'!$F$159=TYPE3)*(TYPE3&lt;&gt;"")+('Dvd Calendar'!$F$159=TYPE4)*(TYPE4&lt;&gt;"")+('Dvd Calendar'!$F$159=SPECIAL_LBL)*(INC_SPECIALS="Y"))=0,"",'Dvd Calendar'!$F$157)))</f>
        <v/>
      </c>
      <c r="E25" s="161">
        <f>IF(EG25="","",IF(ISNUMBER('Dvd Calendar'!$G$157)=FALSE,"",IF((('Dvd Calendar'!$G$159=TYPE1)*(TYPE1&lt;&gt;"")+('Dvd Calendar'!$G$159=TYPE2)*(TYPE2&lt;&gt;"")+('Dvd Calendar'!$G$159=TYPE3)*(TYPE3&lt;&gt;"")+('Dvd Calendar'!$G$159=TYPE4)*(TYPE4&lt;&gt;"")+('Dvd Calendar'!$G$159=SPECIAL_LBL)*(INC_SPECIALS="Y"))=0,"",'Dvd Calendar'!$G$157)))</f>
        <v/>
      </c>
      <c r="F25" s="161">
        <f>IF(EH25="","",IF(ISNUMBER('Dvd Calendar'!$H$157)=FALSE,"",IF((('Dvd Calendar'!$H$159=TYPE1)*(TYPE1&lt;&gt;"")+('Dvd Calendar'!$H$159=TYPE2)*(TYPE2&lt;&gt;"")+('Dvd Calendar'!$H$159=TYPE3)*(TYPE3&lt;&gt;"")+('Dvd Calendar'!$H$159=TYPE4)*(TYPE4&lt;&gt;"")+('Dvd Calendar'!$H$159=SPECIAL_LBL)*(INC_SPECIALS="Y"))=0,"",'Dvd Calendar'!$H$157)))</f>
        <v/>
      </c>
      <c r="G25" s="161">
        <f>IF(EI25="","",IF(ISNUMBER('Dvd Calendar'!$I$157)=FALSE,"",IF((('Dvd Calendar'!$I$159=TYPE1)*(TYPE1&lt;&gt;"")+('Dvd Calendar'!$I$159=TYPE2)*(TYPE2&lt;&gt;"")+('Dvd Calendar'!$I$159=TYPE3)*(TYPE3&lt;&gt;"")+('Dvd Calendar'!$I$159=TYPE4)*(TYPE4&lt;&gt;"")+('Dvd Calendar'!$I$159=SPECIAL_LBL)*(INC_SPECIALS="Y"))=0,"",'Dvd Calendar'!$I$157)))</f>
        <v/>
      </c>
      <c r="H25" s="161">
        <f>IF(EJ25="","",IF(ISNUMBER('Dvd Calendar'!$J$157)=FALSE,"",IF((('Dvd Calendar'!$J$159=TYPE1)*(TYPE1&lt;&gt;"")+('Dvd Calendar'!$J$159=TYPE2)*(TYPE2&lt;&gt;"")+('Dvd Calendar'!$J$159=TYPE3)*(TYPE3&lt;&gt;"")+('Dvd Calendar'!$J$159=TYPE4)*(TYPE4&lt;&gt;"")+('Dvd Calendar'!$J$159=SPECIAL_LBL)*(INC_SPECIALS="Y"))=0,"",'Dvd Calendar'!$J$157)))</f>
        <v/>
      </c>
      <c r="I25" s="161">
        <f>IF(EK25="","",IF(ISNUMBER('Dvd Calendar'!$K$157)=FALSE,"",IF((('Dvd Calendar'!$K$159=TYPE1)*(TYPE1&lt;&gt;"")+('Dvd Calendar'!$K$159=TYPE2)*(TYPE2&lt;&gt;"")+('Dvd Calendar'!$K$159=TYPE3)*(TYPE3&lt;&gt;"")+('Dvd Calendar'!$K$159=TYPE4)*(TYPE4&lt;&gt;"")+('Dvd Calendar'!$K$159=SPECIAL_LBL)*(INC_SPECIALS="Y"))=0,"",'Dvd Calendar'!$K$157)))</f>
        <v/>
      </c>
      <c r="J25" s="161">
        <f>IF(EL25="","",IF(ISNUMBER('Dvd Calendar'!$L$157)=FALSE,"",IF((('Dvd Calendar'!$L$159=TYPE1)*(TYPE1&lt;&gt;"")+('Dvd Calendar'!$L$159=TYPE2)*(TYPE2&lt;&gt;"")+('Dvd Calendar'!$L$159=TYPE3)*(TYPE3&lt;&gt;"")+('Dvd Calendar'!$L$159=TYPE4)*(TYPE4&lt;&gt;"")+('Dvd Calendar'!$L$159=SPECIAL_LBL)*(INC_SPECIALS="Y"))=0,"",'Dvd Calendar'!$L$157)))</f>
        <v/>
      </c>
      <c r="K25" s="161">
        <f>IF(EM25="","",IF(ISNUMBER('Dvd Calendar'!$M$157)=FALSE,"",IF((('Dvd Calendar'!$M$159=TYPE1)*(TYPE1&lt;&gt;"")+('Dvd Calendar'!$M$159=TYPE2)*(TYPE2&lt;&gt;"")+('Dvd Calendar'!$M$159=TYPE3)*(TYPE3&lt;&gt;"")+('Dvd Calendar'!$M$159=TYPE4)*(TYPE4&lt;&gt;"")+('Dvd Calendar'!$M$159=SPECIAL_LBL)*(INC_SPECIALS="Y"))=0,"",'Dvd Calendar'!$M$157)))</f>
        <v/>
      </c>
      <c r="L25" s="161">
        <f>IF(EN25="","",IF(ISNUMBER('Dvd Calendar'!$N$157)=FALSE,"",IF((('Dvd Calendar'!$N$159=TYPE1)*(TYPE1&lt;&gt;"")+('Dvd Calendar'!$N$159=TYPE2)*(TYPE2&lt;&gt;"")+('Dvd Calendar'!$N$159=TYPE3)*(TYPE3&lt;&gt;"")+('Dvd Calendar'!$N$159=TYPE4)*(TYPE4&lt;&gt;"")+('Dvd Calendar'!$N$159=SPECIAL_LBL)*(INC_SPECIALS="Y"))=0,"",'Dvd Calendar'!$N$157)))</f>
        <v/>
      </c>
      <c r="M25" s="161">
        <f>IF(EO25="","",IF(ISNUMBER('Dvd Calendar'!$O$157)=FALSE,"",IF((('Dvd Calendar'!$O$159=TYPE1)*(TYPE1&lt;&gt;"")+('Dvd Calendar'!$O$159=TYPE2)*(TYPE2&lt;&gt;"")+('Dvd Calendar'!$O$159=TYPE3)*(TYPE3&lt;&gt;"")+('Dvd Calendar'!$O$159=TYPE4)*(TYPE4&lt;&gt;"")+('Dvd Calendar'!$O$159=SPECIAL_LBL)*(INC_SPECIALS="Y"))=0,"",'Dvd Calendar'!$O$157)))</f>
        <v/>
      </c>
      <c r="N25" s="161">
        <f>IF(EP25="","",IF(ISNUMBER('Dvd Calendar'!$P$157)=FALSE,"",IF((('Dvd Calendar'!$P$159=TYPE1)*(TYPE1&lt;&gt;"")+('Dvd Calendar'!$P$159=TYPE2)*(TYPE2&lt;&gt;"")+('Dvd Calendar'!$P$159=TYPE3)*(TYPE3&lt;&gt;"")+('Dvd Calendar'!$P$159=TYPE4)*(TYPE4&lt;&gt;"")+('Dvd Calendar'!$P$159=SPECIAL_LBL)*(INC_SPECIALS="Y"))=0,"",'Dvd Calendar'!$P$157)))</f>
        <v/>
      </c>
      <c r="O25" s="161">
        <f>IF(EQ25="","",IF(ISNUMBER('Dvd Calendar'!$Q$157)=FALSE,"",IF((('Dvd Calendar'!$Q$159=TYPE1)*(TYPE1&lt;&gt;"")+('Dvd Calendar'!$Q$159=TYPE2)*(TYPE2&lt;&gt;"")+('Dvd Calendar'!$Q$159=TYPE3)*(TYPE3&lt;&gt;"")+('Dvd Calendar'!$Q$159=TYPE4)*(TYPE4&lt;&gt;"")+('Dvd Calendar'!$Q$159=SPECIAL_LBL)*(INC_SPECIALS="Y"))=0,"",'Dvd Calendar'!$Q$157)))</f>
        <v/>
      </c>
      <c r="P25" s="161">
        <f>IF(ER25="","",IF(ISNUMBER('Dvd Calendar'!$R$157)=FALSE,"",IF((('Dvd Calendar'!$R$159=TYPE1)*(TYPE1&lt;&gt;"")+('Dvd Calendar'!$R$159=TYPE2)*(TYPE2&lt;&gt;"")+('Dvd Calendar'!$R$159=TYPE3)*(TYPE3&lt;&gt;"")+('Dvd Calendar'!$R$159=TYPE4)*(TYPE4&lt;&gt;"")+('Dvd Calendar'!$R$159=SPECIAL_LBL)*(INC_SPECIALS="Y"))=0,"",'Dvd Calendar'!$R$157)))</f>
        <v/>
      </c>
      <c r="Q25" s="161">
        <f>IF(ES25="","",IF(ISNUMBER('Dvd Calendar'!$S$157)=FALSE,"",IF((('Dvd Calendar'!$S$159=TYPE1)*(TYPE1&lt;&gt;"")+('Dvd Calendar'!$S$159=TYPE2)*(TYPE2&lt;&gt;"")+('Dvd Calendar'!$S$159=TYPE3)*(TYPE3&lt;&gt;"")+('Dvd Calendar'!$S$159=TYPE4)*(TYPE4&lt;&gt;"")+('Dvd Calendar'!$S$159=SPECIAL_LBL)*(INC_SPECIALS="Y"))=0,"",'Dvd Calendar'!$S$157)))</f>
        <v/>
      </c>
      <c r="R25" s="161">
        <f>IF(ET25="","",IF(ISNUMBER('Dvd Calendar'!$T$157)=FALSE,"",IF((('Dvd Calendar'!$T$159=TYPE1)*(TYPE1&lt;&gt;"")+('Dvd Calendar'!$T$159=TYPE2)*(TYPE2&lt;&gt;"")+('Dvd Calendar'!$T$159=TYPE3)*(TYPE3&lt;&gt;"")+('Dvd Calendar'!$T$159=TYPE4)*(TYPE4&lt;&gt;"")+('Dvd Calendar'!$T$159=SPECIAL_LBL)*(INC_SPECIALS="Y"))=0,"",'Dvd Calendar'!$T$157)))</f>
        <v/>
      </c>
      <c r="S25" s="161">
        <f>IF(EU25="","",IF(ISNUMBER('Dvd Calendar'!$U$157)=FALSE,"",IF((('Dvd Calendar'!$U$159=TYPE1)*(TYPE1&lt;&gt;"")+('Dvd Calendar'!$U$159=TYPE2)*(TYPE2&lt;&gt;"")+('Dvd Calendar'!$U$159=TYPE3)*(TYPE3&lt;&gt;"")+('Dvd Calendar'!$U$159=TYPE4)*(TYPE4&lt;&gt;"")+('Dvd Calendar'!$U$159=SPECIAL_LBL)*(INC_SPECIALS="Y"))=0,"",'Dvd Calendar'!$U$157)))</f>
        <v/>
      </c>
      <c r="T25" s="161">
        <f>IF(EV25="","",IF(ISNUMBER('Dvd Calendar'!$V$157)=FALSE,"",IF((('Dvd Calendar'!$V$159=TYPE1)*(TYPE1&lt;&gt;"")+('Dvd Calendar'!$V$159=TYPE2)*(TYPE2&lt;&gt;"")+('Dvd Calendar'!$V$159=TYPE3)*(TYPE3&lt;&gt;"")+('Dvd Calendar'!$V$159=TYPE4)*(TYPE4&lt;&gt;"")+('Dvd Calendar'!$V$159=SPECIAL_LBL)*(INC_SPECIALS="Y"))=0,"",'Dvd Calendar'!$V$157)))</f>
        <v/>
      </c>
      <c r="U25" s="161">
        <f>IF(EW25="","",IF(ISNUMBER('Dvd Calendar'!$W$157)=FALSE,"",IF((('Dvd Calendar'!$W$159=TYPE1)*(TYPE1&lt;&gt;"")+('Dvd Calendar'!$W$159=TYPE2)*(TYPE2&lt;&gt;"")+('Dvd Calendar'!$W$159=TYPE3)*(TYPE3&lt;&gt;"")+('Dvd Calendar'!$W$159=TYPE4)*(TYPE4&lt;&gt;"")+('Dvd Calendar'!$W$159=SPECIAL_LBL)*(INC_SPECIALS="Y"))=0,"",'Dvd Calendar'!$W$157)))</f>
        <v/>
      </c>
      <c r="V25" s="161">
        <f>IF(EX25="","",IF(ISNUMBER('Dvd Calendar'!$X$157)=FALSE,"",IF((('Dvd Calendar'!$X$159=TYPE1)*(TYPE1&lt;&gt;"")+('Dvd Calendar'!$X$159=TYPE2)*(TYPE2&lt;&gt;"")+('Dvd Calendar'!$X$159=TYPE3)*(TYPE3&lt;&gt;"")+('Dvd Calendar'!$X$159=TYPE4)*(TYPE4&lt;&gt;"")+('Dvd Calendar'!$X$159=SPECIAL_LBL)*(INC_SPECIALS="Y"))=0,"",'Dvd Calendar'!$X$157)))</f>
        <v/>
      </c>
      <c r="W25" s="161">
        <f>IF(EY25="","",IF(ISNUMBER('Dvd Calendar'!$Y$157)=FALSE,"",IF((('Dvd Calendar'!$Y$159=TYPE1)*(TYPE1&lt;&gt;"")+('Dvd Calendar'!$Y$159=TYPE2)*(TYPE2&lt;&gt;"")+('Dvd Calendar'!$Y$159=TYPE3)*(TYPE3&lt;&gt;"")+('Dvd Calendar'!$Y$159=TYPE4)*(TYPE4&lt;&gt;"")+('Dvd Calendar'!$Y$159=SPECIAL_LBL)*(INC_SPECIALS="Y"))=0,"",'Dvd Calendar'!$Y$157)))</f>
        <v/>
      </c>
      <c r="X25" s="161">
        <f>IF(EZ25="","",IF(ISNUMBER('Dvd Calendar'!$Z$157)=FALSE,"",IF((('Dvd Calendar'!$Z$159=TYPE1)*(TYPE1&lt;&gt;"")+('Dvd Calendar'!$Z$159=TYPE2)*(TYPE2&lt;&gt;"")+('Dvd Calendar'!$Z$159=TYPE3)*(TYPE3&lt;&gt;"")+('Dvd Calendar'!$Z$159=TYPE4)*(TYPE4&lt;&gt;"")+('Dvd Calendar'!$Z$159=SPECIAL_LBL)*(INC_SPECIALS="Y"))=0,"",'Dvd Calendar'!$Z$157)))</f>
        <v/>
      </c>
      <c r="Y25" s="161">
        <f>IF(FA25="","",IF(ISNUMBER('Dvd Calendar'!$AA$157)=FALSE,"",IF((('Dvd Calendar'!$AA$159=TYPE1)*(TYPE1&lt;&gt;"")+('Dvd Calendar'!$AA$159=TYPE2)*(TYPE2&lt;&gt;"")+('Dvd Calendar'!$AA$159=TYPE3)*(TYPE3&lt;&gt;"")+('Dvd Calendar'!$AA$159=TYPE4)*(TYPE4&lt;&gt;"")+('Dvd Calendar'!$AA$159=SPECIAL_LBL)*(INC_SPECIALS="Y"))=0,"",'Dvd Calendar'!$AA$157)))</f>
        <v/>
      </c>
      <c r="Z25" s="161">
        <f>IF(FB25="","",IF(ISNUMBER('Dvd Calendar'!$AB$157)=FALSE,"",IF((('Dvd Calendar'!$AB$159=TYPE1)*(TYPE1&lt;&gt;"")+('Dvd Calendar'!$AB$159=TYPE2)*(TYPE2&lt;&gt;"")+('Dvd Calendar'!$AB$159=TYPE3)*(TYPE3&lt;&gt;"")+('Dvd Calendar'!$AB$159=TYPE4)*(TYPE4&lt;&gt;"")+('Dvd Calendar'!$AB$159=SPECIAL_LBL)*(INC_SPECIALS="Y"))=0,"",'Dvd Calendar'!$AB$157)))</f>
        <v/>
      </c>
      <c r="AA25" s="161">
        <f>IF(FC25="","",IF(ISNUMBER('Dvd Calendar'!$AC$157)=FALSE,"",IF((('Dvd Calendar'!$AC$159=TYPE1)*(TYPE1&lt;&gt;"")+('Dvd Calendar'!$AC$159=TYPE2)*(TYPE2&lt;&gt;"")+('Dvd Calendar'!$AC$159=TYPE3)*(TYPE3&lt;&gt;"")+('Dvd Calendar'!$AC$159=TYPE4)*(TYPE4&lt;&gt;"")+('Dvd Calendar'!$AC$159=SPECIAL_LBL)*(INC_SPECIALS="Y"))=0,"",'Dvd Calendar'!$AC$157)))</f>
        <v/>
      </c>
      <c r="AB25" s="161">
        <f>IF(FD25="","",IF(ISNUMBER('Dvd Calendar'!$AD$157)=FALSE,"",IF((('Dvd Calendar'!$AD$159=TYPE1)*(TYPE1&lt;&gt;"")+('Dvd Calendar'!$AD$159=TYPE2)*(TYPE2&lt;&gt;"")+('Dvd Calendar'!$AD$159=TYPE3)*(TYPE3&lt;&gt;"")+('Dvd Calendar'!$AD$159=TYPE4)*(TYPE4&lt;&gt;"")+('Dvd Calendar'!$AD$159=SPECIAL_LBL)*(INC_SPECIALS="Y"))=0,"",'Dvd Calendar'!$AD$157)))</f>
        <v/>
      </c>
      <c r="AC25" s="161">
        <f>IF(FE25="","",IF(ISNUMBER('Dvd Calendar'!$AE$157)=FALSE,"",IF((('Dvd Calendar'!$AE$159=TYPE1)*(TYPE1&lt;&gt;"")+('Dvd Calendar'!$AE$159=TYPE2)*(TYPE2&lt;&gt;"")+('Dvd Calendar'!$AE$159=TYPE3)*(TYPE3&lt;&gt;"")+('Dvd Calendar'!$AE$159=TYPE4)*(TYPE4&lt;&gt;"")+('Dvd Calendar'!$AE$159=SPECIAL_LBL)*(INC_SPECIALS="Y"))=0,"",'Dvd Calendar'!$AE$157)))</f>
        <v/>
      </c>
      <c r="AD25" s="161">
        <f>IF(FF25="","",IF(ISNUMBER('Dvd Calendar'!$AF$157)=FALSE,"",IF((('Dvd Calendar'!$AF$159=TYPE1)*(TYPE1&lt;&gt;"")+('Dvd Calendar'!$AF$159=TYPE2)*(TYPE2&lt;&gt;"")+('Dvd Calendar'!$AF$159=TYPE3)*(TYPE3&lt;&gt;"")+('Dvd Calendar'!$AF$159=TYPE4)*(TYPE4&lt;&gt;"")+('Dvd Calendar'!$AF$159=SPECIAL_LBL)*(INC_SPECIALS="Y"))=0,"",'Dvd Calendar'!$AF$157)))</f>
        <v/>
      </c>
      <c r="AE25" s="161">
        <f>IF(FG25="","",IF(ISNUMBER('Dvd Calendar'!$AG$157)=FALSE,"",IF((('Dvd Calendar'!$AG$159=TYPE1)*(TYPE1&lt;&gt;"")+('Dvd Calendar'!$AG$159=TYPE2)*(TYPE2&lt;&gt;"")+('Dvd Calendar'!$AG$159=TYPE3)*(TYPE3&lt;&gt;"")+('Dvd Calendar'!$AG$159=TYPE4)*(TYPE4&lt;&gt;"")+('Dvd Calendar'!$AG$159=SPECIAL_LBL)*(INC_SPECIALS="Y"))=0,"",'Dvd Calendar'!$AG$157)))</f>
        <v/>
      </c>
      <c r="AF25" s="161">
        <f>IF(FH25="","",IF(ISNUMBER('Dvd Calendar'!$AH$157)=FALSE,"",IF((('Dvd Calendar'!$AH$159=TYPE1)*(TYPE1&lt;&gt;"")+('Dvd Calendar'!$AH$159=TYPE2)*(TYPE2&lt;&gt;"")+('Dvd Calendar'!$AH$159=TYPE3)*(TYPE3&lt;&gt;"")+('Dvd Calendar'!$AH$159=TYPE4)*(TYPE4&lt;&gt;"")+('Dvd Calendar'!$AH$159=SPECIAL_LBL)*(INC_SPECIALS="Y"))=0,"",'Dvd Calendar'!$AH$157)))</f>
        <v/>
      </c>
      <c r="AG25" s="161">
        <f>IF(FI25="","",IF(ISNUMBER('Dvd Calendar'!$AI$157)=FALSE,"",IF((('Dvd Calendar'!$AI$159=TYPE1)*(TYPE1&lt;&gt;"")+('Dvd Calendar'!$AI$159=TYPE2)*(TYPE2&lt;&gt;"")+('Dvd Calendar'!$AI$159=TYPE3)*(TYPE3&lt;&gt;"")+('Dvd Calendar'!$AI$159=TYPE4)*(TYPE4&lt;&gt;"")+('Dvd Calendar'!$AI$159=SPECIAL_LBL)*(INC_SPECIALS="Y"))=0,"",'Dvd Calendar'!$AI$157)))</f>
        <v/>
      </c>
      <c r="AH25" s="161">
        <f>IF(FJ25="","",IF(ISNUMBER('Dvd Calendar'!$AJ$157)=FALSE,"",IF((('Dvd Calendar'!$AJ$159=TYPE1)*(TYPE1&lt;&gt;"")+('Dvd Calendar'!$AJ$159=TYPE2)*(TYPE2&lt;&gt;"")+('Dvd Calendar'!$AJ$159=TYPE3)*(TYPE3&lt;&gt;"")+('Dvd Calendar'!$AJ$159=TYPE4)*(TYPE4&lt;&gt;"")+('Dvd Calendar'!$AJ$159=SPECIAL_LBL)*(INC_SPECIALS="Y"))=0,"",'Dvd Calendar'!$AJ$157)))</f>
        <v/>
      </c>
      <c r="AI25" s="161">
        <f>IF(FK25="","",IF(ISNUMBER('Dvd Calendar'!$AK$157)=FALSE,"",IF((('Dvd Calendar'!$AK$159=TYPE1)*(TYPE1&lt;&gt;"")+('Dvd Calendar'!$AK$159=TYPE2)*(TYPE2&lt;&gt;"")+('Dvd Calendar'!$AK$159=TYPE3)*(TYPE3&lt;&gt;"")+('Dvd Calendar'!$AK$159=TYPE4)*(TYPE4&lt;&gt;"")+('Dvd Calendar'!$AK$159=SPECIAL_LBL)*(INC_SPECIALS="Y"))=0,"",'Dvd Calendar'!$AK$157)))</f>
        <v/>
      </c>
      <c r="AJ25" s="161">
        <f>IF(FL25="","",IF(ISNUMBER('Dvd Calendar'!$AL$157)=FALSE,"",IF((('Dvd Calendar'!$AL$159=TYPE1)*(TYPE1&lt;&gt;"")+('Dvd Calendar'!$AL$159=TYPE2)*(TYPE2&lt;&gt;"")+('Dvd Calendar'!$AL$159=TYPE3)*(TYPE3&lt;&gt;"")+('Dvd Calendar'!$AL$159=TYPE4)*(TYPE4&lt;&gt;"")+('Dvd Calendar'!$AL$159=SPECIAL_LBL)*(INC_SPECIALS="Y"))=0,"",'Dvd Calendar'!$AL$157)))</f>
        <v/>
      </c>
      <c r="AK25" s="161">
        <f>IF(FM25="","",IF(ISNUMBER('Dvd Calendar'!$AM$157)=FALSE,"",IF((('Dvd Calendar'!$AM$159=TYPE1)*(TYPE1&lt;&gt;"")+('Dvd Calendar'!$AM$159=TYPE2)*(TYPE2&lt;&gt;"")+('Dvd Calendar'!$AM$159=TYPE3)*(TYPE3&lt;&gt;"")+('Dvd Calendar'!$AM$159=TYPE4)*(TYPE4&lt;&gt;"")+('Dvd Calendar'!$AM$159=SPECIAL_LBL)*(INC_SPECIALS="Y"))=0,"",'Dvd Calendar'!$AM$157)))</f>
        <v/>
      </c>
      <c r="AL25" s="161">
        <f>IF(FN25="","",IF(ISNUMBER('Dvd Calendar'!$AN$157)=FALSE,"",IF((('Dvd Calendar'!$AN$159=TYPE1)*(TYPE1&lt;&gt;"")+('Dvd Calendar'!$AN$159=TYPE2)*(TYPE2&lt;&gt;"")+('Dvd Calendar'!$AN$159=TYPE3)*(TYPE3&lt;&gt;"")+('Dvd Calendar'!$AN$159=TYPE4)*(TYPE4&lt;&gt;"")+('Dvd Calendar'!$AN$159=SPECIAL_LBL)*(INC_SPECIALS="Y"))=0,"",'Dvd Calendar'!$AN$157)))</f>
        <v/>
      </c>
      <c r="AM25" s="161">
        <f>IF(FO25="","",IF(ISNUMBER('Dvd Calendar'!$AO$157)=FALSE,"",IF((('Dvd Calendar'!$AO$159=TYPE1)*(TYPE1&lt;&gt;"")+('Dvd Calendar'!$AO$159=TYPE2)*(TYPE2&lt;&gt;"")+('Dvd Calendar'!$AO$159=TYPE3)*(TYPE3&lt;&gt;"")+('Dvd Calendar'!$AO$159=TYPE4)*(TYPE4&lt;&gt;"")+('Dvd Calendar'!$AO$159=SPECIAL_LBL)*(INC_SPECIALS="Y"))=0,"",'Dvd Calendar'!$AO$157)))</f>
        <v/>
      </c>
      <c r="AN25" s="161">
        <f>IF(FP25="","",IF(ISNUMBER('Dvd Calendar'!$AP$157)=FALSE,"",IF((('Dvd Calendar'!$AP$159=TYPE1)*(TYPE1&lt;&gt;"")+('Dvd Calendar'!$AP$159=TYPE2)*(TYPE2&lt;&gt;"")+('Dvd Calendar'!$AP$159=TYPE3)*(TYPE3&lt;&gt;"")+('Dvd Calendar'!$AP$159=TYPE4)*(TYPE4&lt;&gt;"")+('Dvd Calendar'!$AP$159=SPECIAL_LBL)*(INC_SPECIALS="Y"))=0,"",'Dvd Calendar'!$AP$157)))</f>
        <v/>
      </c>
      <c r="AO25" s="161">
        <f>IF(FQ25="","",IF(ISNUMBER('Dvd Calendar'!$AQ$157)=FALSE,"",IF((('Dvd Calendar'!$AQ$159=TYPE1)*(TYPE1&lt;&gt;"")+('Dvd Calendar'!$AQ$159=TYPE2)*(TYPE2&lt;&gt;"")+('Dvd Calendar'!$AQ$159=TYPE3)*(TYPE3&lt;&gt;"")+('Dvd Calendar'!$AQ$159=TYPE4)*(TYPE4&lt;&gt;"")+('Dvd Calendar'!$AQ$159=SPECIAL_LBL)*(INC_SPECIALS="Y"))=0,"",'Dvd Calendar'!$AQ$157)))</f>
        <v/>
      </c>
      <c r="AP25" s="161">
        <f>IF(FR25="","",IF(ISNUMBER('Dvd Calendar'!$AR$157)=FALSE,"",IF((('Dvd Calendar'!$AR$159=TYPE1)*(TYPE1&lt;&gt;"")+('Dvd Calendar'!$AR$159=TYPE2)*(TYPE2&lt;&gt;"")+('Dvd Calendar'!$AR$159=TYPE3)*(TYPE3&lt;&gt;"")+('Dvd Calendar'!$AR$159=TYPE4)*(TYPE4&lt;&gt;"")+('Dvd Calendar'!$AR$159=SPECIAL_LBL)*(INC_SPECIALS="Y"))=0,"",'Dvd Calendar'!$AR$157)))</f>
        <v/>
      </c>
      <c r="AQ25" s="161">
        <f>IF(FS25="","",IF(ISNUMBER('Dvd Calendar'!$E$162)=FALSE,"",'Dvd Calendar'!$E$162))</f>
        <v/>
      </c>
      <c r="AR25" s="161">
        <f>IF(FT25="","",IF(ISNUMBER('Dvd Calendar'!$F$162)=FALSE,"",'Dvd Calendar'!$F$162))</f>
        <v/>
      </c>
      <c r="AS25" s="161">
        <f>IF(FU25="","",IF(ISNUMBER('Dvd Calendar'!$G$162)=FALSE,"",'Dvd Calendar'!$G$162))</f>
        <v/>
      </c>
      <c r="AT25" s="161">
        <f>IF(FV25="","",IF(ISNUMBER('Dvd Calendar'!$H$162)=FALSE,"",'Dvd Calendar'!$H$162))</f>
        <v/>
      </c>
      <c r="AU25" s="161">
        <f>IF(FW25="","",IF(ISNUMBER('Dvd Calendar'!$I$162)=FALSE,"",'Dvd Calendar'!$I$162))</f>
        <v/>
      </c>
      <c r="AV25" s="161">
        <f>IF(FX25="","",IF(ISNUMBER('Dvd Calendar'!$J$162)=FALSE,"",'Dvd Calendar'!$J$162))</f>
        <v/>
      </c>
      <c r="AW25" s="161">
        <f>IF(FY25="","",IF(ISNUMBER('Dvd Calendar'!$K$162)=FALSE,"",'Dvd Calendar'!$K$162))</f>
        <v/>
      </c>
      <c r="AX25" s="161">
        <f>IF(FZ25="","",IF(ISNUMBER('Dvd Calendar'!$L$162)=FALSE,"",'Dvd Calendar'!$L$162))</f>
        <v/>
      </c>
      <c r="AY25" s="161">
        <f>IF(GA25="","",IF(ISNUMBER('Dvd Calendar'!$M$162)=FALSE,"",'Dvd Calendar'!$M$162))</f>
        <v/>
      </c>
      <c r="AZ25" s="161">
        <f>IF(GB25="","",IF(ISNUMBER('Dvd Calendar'!$N$162)=FALSE,"",'Dvd Calendar'!$N$162))</f>
        <v/>
      </c>
      <c r="BA25" s="161">
        <f>IF(GC25="","",IF(ISNUMBER('Dvd Calendar'!$O$162)=FALSE,"",'Dvd Calendar'!$O$162))</f>
        <v/>
      </c>
      <c r="BB25" s="161">
        <f>IF(GD25="","",IF(ISNUMBER('Dvd Calendar'!$P$162)=FALSE,"",'Dvd Calendar'!$P$162))</f>
        <v/>
      </c>
      <c r="BC25" s="161">
        <f>IF(GE25="","",IF(ISNUMBER('Dvd Calendar'!$Q$162)=FALSE,"",'Dvd Calendar'!$Q$162))</f>
        <v/>
      </c>
      <c r="BD25" s="161">
        <f>IF(GF25="","",IF(ISNUMBER('Dvd Calendar'!$R$162)=FALSE,"",'Dvd Calendar'!$R$162))</f>
        <v/>
      </c>
      <c r="BE25" s="161">
        <f>IF(GG25="","",IF(ISNUMBER('Dvd Calendar'!$S$162)=FALSE,"",'Dvd Calendar'!$S$162))</f>
        <v/>
      </c>
      <c r="BF25" s="161">
        <f>IF(GH25="","",IF(ISNUMBER('Dvd Calendar'!$T$162)=FALSE,"",'Dvd Calendar'!$T$162))</f>
        <v/>
      </c>
      <c r="BG25" s="161">
        <f>IF(GI25="","",IF(ISNUMBER('Dvd Calendar'!$U$162)=FALSE,"",'Dvd Calendar'!$U$162))</f>
        <v/>
      </c>
      <c r="BH25" s="161">
        <f>IF(GJ25="","",IF(ISNUMBER('Dvd Calendar'!$V$162)=FALSE,"",'Dvd Calendar'!$V$162))</f>
        <v/>
      </c>
      <c r="BI25" s="161">
        <f>IF(GK25="","",IF(ISNUMBER('Dvd Calendar'!$W$162)=FALSE,"",'Dvd Calendar'!$W$162))</f>
        <v/>
      </c>
      <c r="BJ25" s="161">
        <f>IF(GL25="","",IF(ISNUMBER('Dvd Calendar'!$X$162)=FALSE,"",'Dvd Calendar'!$X$162))</f>
        <v/>
      </c>
      <c r="BK25" s="161">
        <f>IF(GM25="","",IF(ISNUMBER('Dvd Calendar'!$Y$162)=FALSE,"",'Dvd Calendar'!$Y$162))</f>
        <v/>
      </c>
      <c r="BL25" s="161">
        <f>IF(GN25="","",IF(ISNUMBER('Dvd Calendar'!$Z$162)=FALSE,"",'Dvd Calendar'!$Z$162))</f>
        <v/>
      </c>
      <c r="BM25" s="161">
        <f>IF(GO25="","",IF(ISNUMBER('Dvd Calendar'!$AA$162)=FALSE,"",'Dvd Calendar'!$AA$162))</f>
        <v/>
      </c>
      <c r="BN25" s="161">
        <f>IF(GP25="","",IF(ISNUMBER('Dvd Calendar'!$AB$162)=FALSE,"",'Dvd Calendar'!$AB$162))</f>
        <v/>
      </c>
      <c r="BO25" s="161">
        <f>IF(GQ25="","",IF(ISNUMBER('Dvd Calendar'!$AC$162)=FALSE,"",'Dvd Calendar'!$AC$162))</f>
        <v/>
      </c>
      <c r="BQ25" s="161">
        <f>IF(C25="","",IFERROR(C25*HSI!$B$20*HSI!$G$20/HSI!$B$3,""))</f>
        <v/>
      </c>
      <c r="BR25" s="161">
        <f>IF(D25="","",IFERROR(D25*HSI!$B$20*HSI!$G$20/HSI!$B$3,""))</f>
        <v/>
      </c>
      <c r="BS25" s="161">
        <f>IF(E25="","",IFERROR(E25*HSI!$B$20*HSI!$G$20/HSI!$B$3,""))</f>
        <v/>
      </c>
      <c r="BT25" s="161">
        <f>IF(F25="","",IFERROR(F25*HSI!$B$20*HSI!$G$20/HSI!$B$3,""))</f>
        <v/>
      </c>
      <c r="BU25" s="161">
        <f>IF(G25="","",IFERROR(G25*HSI!$B$20*HSI!$G$20/HSI!$B$3,""))</f>
        <v/>
      </c>
      <c r="BV25" s="161">
        <f>IF(H25="","",IFERROR(H25*HSI!$B$20*HSI!$G$20/HSI!$B$3,""))</f>
        <v/>
      </c>
      <c r="BW25" s="161">
        <f>IF(I25="","",IFERROR(I25*HSI!$B$20*HSI!$G$20/HSI!$B$3,""))</f>
        <v/>
      </c>
      <c r="BX25" s="161">
        <f>IF(J25="","",IFERROR(J25*HSI!$B$20*HSI!$G$20/HSI!$B$3,""))</f>
        <v/>
      </c>
      <c r="BY25" s="161">
        <f>IF(K25="","",IFERROR(K25*HSI!$B$20*HSI!$G$20/HSI!$B$3,""))</f>
        <v/>
      </c>
      <c r="BZ25" s="161">
        <f>IF(L25="","",IFERROR(L25*HSI!$B$20*HSI!$G$20/HSI!$B$3,""))</f>
        <v/>
      </c>
      <c r="CA25" s="161">
        <f>IF(M25="","",IFERROR(M25*HSI!$B$20*HSI!$G$20/HSI!$B$3,""))</f>
        <v/>
      </c>
      <c r="CB25" s="161">
        <f>IF(N25="","",IFERROR(N25*HSI!$B$20*HSI!$G$20/HSI!$B$3,""))</f>
        <v/>
      </c>
      <c r="CC25" s="161">
        <f>IF(O25="","",IFERROR(O25*HSI!$B$20*HSI!$G$20/HSI!$B$3,""))</f>
        <v/>
      </c>
      <c r="CD25" s="161">
        <f>IF(P25="","",IFERROR(P25*HSI!$B$20*HSI!$G$20/HSI!$B$3,""))</f>
        <v/>
      </c>
      <c r="CE25" s="161">
        <f>IF(Q25="","",IFERROR(Q25*HSI!$B$20*HSI!$G$20/HSI!$B$3,""))</f>
        <v/>
      </c>
      <c r="CF25" s="161">
        <f>IF(R25="","",IFERROR(R25*HSI!$B$20*HSI!$G$20/HSI!$B$3,""))</f>
        <v/>
      </c>
      <c r="CG25" s="161">
        <f>IF(S25="","",IFERROR(S25*HSI!$B$20*HSI!$G$20/HSI!$B$3,""))</f>
        <v/>
      </c>
      <c r="CH25" s="161">
        <f>IF(T25="","",IFERROR(T25*HSI!$B$20*HSI!$G$20/HSI!$B$3,""))</f>
        <v/>
      </c>
      <c r="CI25" s="161">
        <f>IF(U25="","",IFERROR(U25*HSI!$B$20*HSI!$G$20/HSI!$B$3,""))</f>
        <v/>
      </c>
      <c r="CJ25" s="161">
        <f>IF(V25="","",IFERROR(V25*HSI!$B$20*HSI!$G$20/HSI!$B$3,""))</f>
        <v/>
      </c>
      <c r="CK25" s="161">
        <f>IF(W25="","",IFERROR(W25*HSI!$B$20*HSI!$G$20/HSI!$B$3,""))</f>
        <v/>
      </c>
      <c r="CL25" s="161">
        <f>IF(X25="","",IFERROR(X25*HSI!$B$20*HSI!$G$20/HSI!$B$3,""))</f>
        <v/>
      </c>
      <c r="CM25" s="161">
        <f>IF(Y25="","",IFERROR(Y25*HSI!$B$20*HSI!$G$20/HSI!$B$3,""))</f>
        <v/>
      </c>
      <c r="CN25" s="161">
        <f>IF(Z25="","",IFERROR(Z25*HSI!$B$20*HSI!$G$20/HSI!$B$3,""))</f>
        <v/>
      </c>
      <c r="CO25" s="161">
        <f>IF(AA25="","",IFERROR(AA25*HSI!$B$20*HSI!$G$20/HSI!$B$3,""))</f>
        <v/>
      </c>
      <c r="CP25" s="161">
        <f>IF(AB25="","",IFERROR(AB25*HSI!$B$20*HSI!$G$20/HSI!$B$3,""))</f>
        <v/>
      </c>
      <c r="CQ25" s="161">
        <f>IF(AC25="","",IFERROR(AC25*HSI!$B$20*HSI!$G$20/HSI!$B$3,""))</f>
        <v/>
      </c>
      <c r="CR25" s="161">
        <f>IF(AD25="","",IFERROR(AD25*HSI!$B$20*HSI!$G$20/HSI!$B$3,""))</f>
        <v/>
      </c>
      <c r="CS25" s="161">
        <f>IF(AE25="","",IFERROR(AE25*HSI!$B$20*HSI!$G$20/HSI!$B$3,""))</f>
        <v/>
      </c>
      <c r="CT25" s="161">
        <f>IF(AF25="","",IFERROR(AF25*HSI!$B$20*HSI!$G$20/HSI!$B$3,""))</f>
        <v/>
      </c>
      <c r="CU25" s="161">
        <f>IF(AG25="","",IFERROR(AG25*HSI!$B$20*HSI!$G$20/HSI!$B$3,""))</f>
        <v/>
      </c>
      <c r="CV25" s="161">
        <f>IF(AH25="","",IFERROR(AH25*HSI!$B$20*HSI!$G$20/HSI!$B$3,""))</f>
        <v/>
      </c>
      <c r="CW25" s="161">
        <f>IF(AI25="","",IFERROR(AI25*HSI!$B$20*HSI!$G$20/HSI!$B$3,""))</f>
        <v/>
      </c>
      <c r="CX25" s="161">
        <f>IF(AJ25="","",IFERROR(AJ25*HSI!$B$20*HSI!$G$20/HSI!$B$3,""))</f>
        <v/>
      </c>
      <c r="CY25" s="161">
        <f>IF(AK25="","",IFERROR(AK25*HSI!$B$20*HSI!$G$20/HSI!$B$3,""))</f>
        <v/>
      </c>
      <c r="CZ25" s="161">
        <f>IF(AL25="","",IFERROR(AL25*HSI!$B$20*HSI!$G$20/HSI!$B$3,""))</f>
        <v/>
      </c>
      <c r="DA25" s="161">
        <f>IF(AM25="","",IFERROR(AM25*HSI!$B$20*HSI!$G$20/HSI!$B$3,""))</f>
        <v/>
      </c>
      <c r="DB25" s="161">
        <f>IF(AN25="","",IFERROR(AN25*HSI!$B$20*HSI!$G$20/HSI!$B$3,""))</f>
        <v/>
      </c>
      <c r="DC25" s="161">
        <f>IF(AO25="","",IFERROR(AO25*HSI!$B$20*HSI!$G$20/HSI!$B$3,""))</f>
        <v/>
      </c>
      <c r="DD25" s="161">
        <f>IF(AP25="","",IFERROR(AP25*HSI!$B$20*HSI!$G$20/HSI!$B$3,""))</f>
        <v/>
      </c>
      <c r="DE25" s="161">
        <f>IF(AQ25="","",IFERROR(AQ25*HSI!$B$20*HSI!$G$20/HSI!$B$3,""))</f>
        <v/>
      </c>
      <c r="DF25" s="161">
        <f>IF(AR25="","",IFERROR(AR25*HSI!$B$20*HSI!$G$20/HSI!$B$3,""))</f>
        <v/>
      </c>
      <c r="DG25" s="161">
        <f>IF(AS25="","",IFERROR(AS25*HSI!$B$20*HSI!$G$20/HSI!$B$3,""))</f>
        <v/>
      </c>
      <c r="DH25" s="161">
        <f>IF(AT25="","",IFERROR(AT25*HSI!$B$20*HSI!$G$20/HSI!$B$3,""))</f>
        <v/>
      </c>
      <c r="DI25" s="161">
        <f>IF(AU25="","",IFERROR(AU25*HSI!$B$20*HSI!$G$20/HSI!$B$3,""))</f>
        <v/>
      </c>
      <c r="DJ25" s="161">
        <f>IF(AV25="","",IFERROR(AV25*HSI!$B$20*HSI!$G$20/HSI!$B$3,""))</f>
        <v/>
      </c>
      <c r="DK25" s="161">
        <f>IF(AW25="","",IFERROR(AW25*HSI!$B$20*HSI!$G$20/HSI!$B$3,""))</f>
        <v/>
      </c>
      <c r="DL25" s="161">
        <f>IF(AX25="","",IFERROR(AX25*HSI!$B$20*HSI!$G$20/HSI!$B$3,""))</f>
        <v/>
      </c>
      <c r="DM25" s="161">
        <f>IF(AY25="","",IFERROR(AY25*HSI!$B$20*HSI!$G$20/HSI!$B$3,""))</f>
        <v/>
      </c>
      <c r="DN25" s="161">
        <f>IF(AZ25="","",IFERROR(AZ25*HSI!$B$20*HSI!$G$20/HSI!$B$3,""))</f>
        <v/>
      </c>
      <c r="DO25" s="161">
        <f>IF(BA25="","",IFERROR(BA25*HSI!$B$20*HSI!$G$20/HSI!$B$3,""))</f>
        <v/>
      </c>
      <c r="DP25" s="161">
        <f>IF(BB25="","",IFERROR(BB25*HSI!$B$20*HSI!$G$20/HSI!$B$3,""))</f>
        <v/>
      </c>
      <c r="DQ25" s="161">
        <f>IF(BC25="","",IFERROR(BC25*HSI!$B$20*HSI!$G$20/HSI!$B$3,""))</f>
        <v/>
      </c>
      <c r="DR25" s="161">
        <f>IF(BD25="","",IFERROR(BD25*HSI!$B$20*HSI!$G$20/HSI!$B$3,""))</f>
        <v/>
      </c>
      <c r="DS25" s="161">
        <f>IF(BE25="","",IFERROR(BE25*HSI!$B$20*HSI!$G$20/HSI!$B$3,""))</f>
        <v/>
      </c>
      <c r="DT25" s="161">
        <f>IF(BF25="","",IFERROR(BF25*HSI!$B$20*HSI!$G$20/HSI!$B$3,""))</f>
        <v/>
      </c>
      <c r="DU25" s="161">
        <f>IF(BG25="","",IFERROR(BG25*HSI!$B$20*HSI!$G$20/HSI!$B$3,""))</f>
        <v/>
      </c>
      <c r="DV25" s="161">
        <f>IF(BH25="","",IFERROR(BH25*HSI!$B$20*HSI!$G$20/HSI!$B$3,""))</f>
        <v/>
      </c>
      <c r="DW25" s="161">
        <f>IF(BI25="","",IFERROR(BI25*HSI!$B$20*HSI!$G$20/HSI!$B$3,""))</f>
        <v/>
      </c>
      <c r="DX25" s="161">
        <f>IF(BJ25="","",IFERROR(BJ25*HSI!$B$20*HSI!$G$20/HSI!$B$3,""))</f>
        <v/>
      </c>
      <c r="DY25" s="161">
        <f>IF(BK25="","",IFERROR(BK25*HSI!$B$20*HSI!$G$20/HSI!$B$3,""))</f>
        <v/>
      </c>
      <c r="DZ25" s="161">
        <f>IF(BL25="","",IFERROR(BL25*HSI!$B$20*HSI!$G$20/HSI!$B$3,""))</f>
        <v/>
      </c>
      <c r="EA25" s="161">
        <f>IF(BM25="","",IFERROR(BM25*HSI!$B$20*HSI!$G$20/HSI!$B$3,""))</f>
        <v/>
      </c>
      <c r="EB25" s="161">
        <f>IF(BN25="","",IFERROR(BN25*HSI!$B$20*HSI!$G$20/HSI!$B$3,""))</f>
        <v/>
      </c>
      <c r="EC25" s="161">
        <f>IF(BO25="","",IFERROR(BO25*HSI!$B$20*HSI!$G$20/HSI!$B$3,""))</f>
        <v/>
      </c>
      <c r="EE25" s="121">
        <f>IF(N('Dvd Calendar'!$E$154)=0,"",IF(('Dvd Calendar'!$E$154&gt;=GRID_FROM)*('Dvd Calendar'!$E$154&lt;=GRID_TO)*((('Dvd Calendar'!$E$154&lt;=VAL_DATE)+(COUNTIF('Dvd Calendar'!$E$161:$AR$161,'Dvd Calendar'!$E$154)=0))&gt;0)=0,"",'Dvd Calendar'!$E$154*1000000000+ISNUMBER('Dvd Calendar'!$E$157)*100000000+('Dvd Calendar'!$E$159=SPECIAL_LBL)*10000000+(N('Dvd Calendar'!$E$153)&gt;0)*(N('Dvd Calendar'!$E$153)&lt;=VAL_SERIAL)*1000000+14*1000+1))</f>
        <v/>
      </c>
      <c r="EF25" s="121">
        <f>IF(N('Dvd Calendar'!$F$154)=0,"",IF(('Dvd Calendar'!$F$154&gt;=GRID_FROM)*('Dvd Calendar'!$F$154&lt;=GRID_TO)*((('Dvd Calendar'!$F$154&lt;=VAL_DATE)+(COUNTIF('Dvd Calendar'!$E$161:$AR$161,'Dvd Calendar'!$F$154)=0))&gt;0)=0,"",'Dvd Calendar'!$F$154*1000000000+ISNUMBER('Dvd Calendar'!$F$157)*100000000+('Dvd Calendar'!$F$159=SPECIAL_LBL)*10000000+(N('Dvd Calendar'!$F$153)&gt;0)*(N('Dvd Calendar'!$F$153)&lt;=VAL_SERIAL)*1000000+14*1000+2))</f>
        <v/>
      </c>
      <c r="EG25" s="121">
        <f>IF(N('Dvd Calendar'!$G$154)=0,"",IF(('Dvd Calendar'!$G$154&gt;=GRID_FROM)*('Dvd Calendar'!$G$154&lt;=GRID_TO)*((('Dvd Calendar'!$G$154&lt;=VAL_DATE)+(COUNTIF('Dvd Calendar'!$E$161:$AR$161,'Dvd Calendar'!$G$154)=0))&gt;0)=0,"",'Dvd Calendar'!$G$154*1000000000+ISNUMBER('Dvd Calendar'!$G$157)*100000000+('Dvd Calendar'!$G$159=SPECIAL_LBL)*10000000+(N('Dvd Calendar'!$G$153)&gt;0)*(N('Dvd Calendar'!$G$153)&lt;=VAL_SERIAL)*1000000+14*1000+3))</f>
        <v/>
      </c>
      <c r="EH25" s="121">
        <f>IF(N('Dvd Calendar'!$H$154)=0,"",IF(('Dvd Calendar'!$H$154&gt;=GRID_FROM)*('Dvd Calendar'!$H$154&lt;=GRID_TO)*((('Dvd Calendar'!$H$154&lt;=VAL_DATE)+(COUNTIF('Dvd Calendar'!$E$161:$AR$161,'Dvd Calendar'!$H$154)=0))&gt;0)=0,"",'Dvd Calendar'!$H$154*1000000000+ISNUMBER('Dvd Calendar'!$H$157)*100000000+('Dvd Calendar'!$H$159=SPECIAL_LBL)*10000000+(N('Dvd Calendar'!$H$153)&gt;0)*(N('Dvd Calendar'!$H$153)&lt;=VAL_SERIAL)*1000000+14*1000+4))</f>
        <v/>
      </c>
      <c r="EI25" s="121">
        <f>IF(N('Dvd Calendar'!$I$154)=0,"",IF(('Dvd Calendar'!$I$154&gt;=GRID_FROM)*('Dvd Calendar'!$I$154&lt;=GRID_TO)*((('Dvd Calendar'!$I$154&lt;=VAL_DATE)+(COUNTIF('Dvd Calendar'!$E$161:$AR$161,'Dvd Calendar'!$I$154)=0))&gt;0)=0,"",'Dvd Calendar'!$I$154*1000000000+ISNUMBER('Dvd Calendar'!$I$157)*100000000+('Dvd Calendar'!$I$159=SPECIAL_LBL)*10000000+(N('Dvd Calendar'!$I$153)&gt;0)*(N('Dvd Calendar'!$I$153)&lt;=VAL_SERIAL)*1000000+14*1000+5))</f>
        <v/>
      </c>
      <c r="EJ25" s="121">
        <f>IF(N('Dvd Calendar'!$J$154)=0,"",IF(('Dvd Calendar'!$J$154&gt;=GRID_FROM)*('Dvd Calendar'!$J$154&lt;=GRID_TO)*((('Dvd Calendar'!$J$154&lt;=VAL_DATE)+(COUNTIF('Dvd Calendar'!$E$161:$AR$161,'Dvd Calendar'!$J$154)=0))&gt;0)=0,"",'Dvd Calendar'!$J$154*1000000000+ISNUMBER('Dvd Calendar'!$J$157)*100000000+('Dvd Calendar'!$J$159=SPECIAL_LBL)*10000000+(N('Dvd Calendar'!$J$153)&gt;0)*(N('Dvd Calendar'!$J$153)&lt;=VAL_SERIAL)*1000000+14*1000+6))</f>
        <v/>
      </c>
      <c r="EK25" s="121">
        <f>IF(N('Dvd Calendar'!$K$154)=0,"",IF(('Dvd Calendar'!$K$154&gt;=GRID_FROM)*('Dvd Calendar'!$K$154&lt;=GRID_TO)*((('Dvd Calendar'!$K$154&lt;=VAL_DATE)+(COUNTIF('Dvd Calendar'!$E$161:$AR$161,'Dvd Calendar'!$K$154)=0))&gt;0)=0,"",'Dvd Calendar'!$K$154*1000000000+ISNUMBER('Dvd Calendar'!$K$157)*100000000+('Dvd Calendar'!$K$159=SPECIAL_LBL)*10000000+(N('Dvd Calendar'!$K$153)&gt;0)*(N('Dvd Calendar'!$K$153)&lt;=VAL_SERIAL)*1000000+14*1000+7))</f>
        <v/>
      </c>
      <c r="EL25" s="121">
        <f>IF(N('Dvd Calendar'!$L$154)=0,"",IF(('Dvd Calendar'!$L$154&gt;=GRID_FROM)*('Dvd Calendar'!$L$154&lt;=GRID_TO)*((('Dvd Calendar'!$L$154&lt;=VAL_DATE)+(COUNTIF('Dvd Calendar'!$E$161:$AR$161,'Dvd Calendar'!$L$154)=0))&gt;0)=0,"",'Dvd Calendar'!$L$154*1000000000+ISNUMBER('Dvd Calendar'!$L$157)*100000000+('Dvd Calendar'!$L$159=SPECIAL_LBL)*10000000+(N('Dvd Calendar'!$L$153)&gt;0)*(N('Dvd Calendar'!$L$153)&lt;=VAL_SERIAL)*1000000+14*1000+8))</f>
        <v/>
      </c>
      <c r="EM25" s="121">
        <f>IF(N('Dvd Calendar'!$M$154)=0,"",IF(('Dvd Calendar'!$M$154&gt;=GRID_FROM)*('Dvd Calendar'!$M$154&lt;=GRID_TO)*((('Dvd Calendar'!$M$154&lt;=VAL_DATE)+(COUNTIF('Dvd Calendar'!$E$161:$AR$161,'Dvd Calendar'!$M$154)=0))&gt;0)=0,"",'Dvd Calendar'!$M$154*1000000000+ISNUMBER('Dvd Calendar'!$M$157)*100000000+('Dvd Calendar'!$M$159=SPECIAL_LBL)*10000000+(N('Dvd Calendar'!$M$153)&gt;0)*(N('Dvd Calendar'!$M$153)&lt;=VAL_SERIAL)*1000000+14*1000+9))</f>
        <v/>
      </c>
      <c r="EN25" s="121">
        <f>IF(N('Dvd Calendar'!$N$154)=0,"",IF(('Dvd Calendar'!$N$154&gt;=GRID_FROM)*('Dvd Calendar'!$N$154&lt;=GRID_TO)*((('Dvd Calendar'!$N$154&lt;=VAL_DATE)+(COUNTIF('Dvd Calendar'!$E$161:$AR$161,'Dvd Calendar'!$N$154)=0))&gt;0)=0,"",'Dvd Calendar'!$N$154*1000000000+ISNUMBER('Dvd Calendar'!$N$157)*100000000+('Dvd Calendar'!$N$159=SPECIAL_LBL)*10000000+(N('Dvd Calendar'!$N$153)&gt;0)*(N('Dvd Calendar'!$N$153)&lt;=VAL_SERIAL)*1000000+14*1000+10))</f>
        <v/>
      </c>
      <c r="EO25" s="121">
        <f>IF(N('Dvd Calendar'!$O$154)=0,"",IF(('Dvd Calendar'!$O$154&gt;=GRID_FROM)*('Dvd Calendar'!$O$154&lt;=GRID_TO)*((('Dvd Calendar'!$O$154&lt;=VAL_DATE)+(COUNTIF('Dvd Calendar'!$E$161:$AR$161,'Dvd Calendar'!$O$154)=0))&gt;0)=0,"",'Dvd Calendar'!$O$154*1000000000+ISNUMBER('Dvd Calendar'!$O$157)*100000000+('Dvd Calendar'!$O$159=SPECIAL_LBL)*10000000+(N('Dvd Calendar'!$O$153)&gt;0)*(N('Dvd Calendar'!$O$153)&lt;=VAL_SERIAL)*1000000+14*1000+11))</f>
        <v/>
      </c>
      <c r="EP25" s="121">
        <f>IF(N('Dvd Calendar'!$P$154)=0,"",IF(('Dvd Calendar'!$P$154&gt;=GRID_FROM)*('Dvd Calendar'!$P$154&lt;=GRID_TO)*((('Dvd Calendar'!$P$154&lt;=VAL_DATE)+(COUNTIF('Dvd Calendar'!$E$161:$AR$161,'Dvd Calendar'!$P$154)=0))&gt;0)=0,"",'Dvd Calendar'!$P$154*1000000000+ISNUMBER('Dvd Calendar'!$P$157)*100000000+('Dvd Calendar'!$P$159=SPECIAL_LBL)*10000000+(N('Dvd Calendar'!$P$153)&gt;0)*(N('Dvd Calendar'!$P$153)&lt;=VAL_SERIAL)*1000000+14*1000+12))</f>
        <v/>
      </c>
      <c r="EQ25" s="121">
        <f>IF(N('Dvd Calendar'!$Q$154)=0,"",IF(('Dvd Calendar'!$Q$154&gt;=GRID_FROM)*('Dvd Calendar'!$Q$154&lt;=GRID_TO)*((('Dvd Calendar'!$Q$154&lt;=VAL_DATE)+(COUNTIF('Dvd Calendar'!$E$161:$AR$161,'Dvd Calendar'!$Q$154)=0))&gt;0)=0,"",'Dvd Calendar'!$Q$154*1000000000+ISNUMBER('Dvd Calendar'!$Q$157)*100000000+('Dvd Calendar'!$Q$159=SPECIAL_LBL)*10000000+(N('Dvd Calendar'!$Q$153)&gt;0)*(N('Dvd Calendar'!$Q$153)&lt;=VAL_SERIAL)*1000000+14*1000+13))</f>
        <v/>
      </c>
      <c r="ER25" s="121">
        <f>IF(N('Dvd Calendar'!$R$154)=0,"",IF(('Dvd Calendar'!$R$154&gt;=GRID_FROM)*('Dvd Calendar'!$R$154&lt;=GRID_TO)*((('Dvd Calendar'!$R$154&lt;=VAL_DATE)+(COUNTIF('Dvd Calendar'!$E$161:$AR$161,'Dvd Calendar'!$R$154)=0))&gt;0)=0,"",'Dvd Calendar'!$R$154*1000000000+ISNUMBER('Dvd Calendar'!$R$157)*100000000+('Dvd Calendar'!$R$159=SPECIAL_LBL)*10000000+(N('Dvd Calendar'!$R$153)&gt;0)*(N('Dvd Calendar'!$R$153)&lt;=VAL_SERIAL)*1000000+14*1000+14))</f>
        <v/>
      </c>
      <c r="ES25" s="121">
        <f>IF(N('Dvd Calendar'!$S$154)=0,"",IF(('Dvd Calendar'!$S$154&gt;=GRID_FROM)*('Dvd Calendar'!$S$154&lt;=GRID_TO)*((('Dvd Calendar'!$S$154&lt;=VAL_DATE)+(COUNTIF('Dvd Calendar'!$E$161:$AR$161,'Dvd Calendar'!$S$154)=0))&gt;0)=0,"",'Dvd Calendar'!$S$154*1000000000+ISNUMBER('Dvd Calendar'!$S$157)*100000000+('Dvd Calendar'!$S$159=SPECIAL_LBL)*10000000+(N('Dvd Calendar'!$S$153)&gt;0)*(N('Dvd Calendar'!$S$153)&lt;=VAL_SERIAL)*1000000+14*1000+15))</f>
        <v/>
      </c>
      <c r="ET25" s="121">
        <f>IF(N('Dvd Calendar'!$T$154)=0,"",IF(('Dvd Calendar'!$T$154&gt;=GRID_FROM)*('Dvd Calendar'!$T$154&lt;=GRID_TO)*((('Dvd Calendar'!$T$154&lt;=VAL_DATE)+(COUNTIF('Dvd Calendar'!$E$161:$AR$161,'Dvd Calendar'!$T$154)=0))&gt;0)=0,"",'Dvd Calendar'!$T$154*1000000000+ISNUMBER('Dvd Calendar'!$T$157)*100000000+('Dvd Calendar'!$T$159=SPECIAL_LBL)*10000000+(N('Dvd Calendar'!$T$153)&gt;0)*(N('Dvd Calendar'!$T$153)&lt;=VAL_SERIAL)*1000000+14*1000+16))</f>
        <v/>
      </c>
      <c r="EU25" s="121">
        <f>IF(N('Dvd Calendar'!$U$154)=0,"",IF(('Dvd Calendar'!$U$154&gt;=GRID_FROM)*('Dvd Calendar'!$U$154&lt;=GRID_TO)*((('Dvd Calendar'!$U$154&lt;=VAL_DATE)+(COUNTIF('Dvd Calendar'!$E$161:$AR$161,'Dvd Calendar'!$U$154)=0))&gt;0)=0,"",'Dvd Calendar'!$U$154*1000000000+ISNUMBER('Dvd Calendar'!$U$157)*100000000+('Dvd Calendar'!$U$159=SPECIAL_LBL)*10000000+(N('Dvd Calendar'!$U$153)&gt;0)*(N('Dvd Calendar'!$U$153)&lt;=VAL_SERIAL)*1000000+14*1000+17))</f>
        <v/>
      </c>
      <c r="EV25" s="121">
        <f>IF(N('Dvd Calendar'!$V$154)=0,"",IF(('Dvd Calendar'!$V$154&gt;=GRID_FROM)*('Dvd Calendar'!$V$154&lt;=GRID_TO)*((('Dvd Calendar'!$V$154&lt;=VAL_DATE)+(COUNTIF('Dvd Calendar'!$E$161:$AR$161,'Dvd Calendar'!$V$154)=0))&gt;0)=0,"",'Dvd Calendar'!$V$154*1000000000+ISNUMBER('Dvd Calendar'!$V$157)*100000000+('Dvd Calendar'!$V$159=SPECIAL_LBL)*10000000+(N('Dvd Calendar'!$V$153)&gt;0)*(N('Dvd Calendar'!$V$153)&lt;=VAL_SERIAL)*1000000+14*1000+18))</f>
        <v/>
      </c>
      <c r="EW25" s="121">
        <f>IF(N('Dvd Calendar'!$W$154)=0,"",IF(('Dvd Calendar'!$W$154&gt;=GRID_FROM)*('Dvd Calendar'!$W$154&lt;=GRID_TO)*((('Dvd Calendar'!$W$154&lt;=VAL_DATE)+(COUNTIF('Dvd Calendar'!$E$161:$AR$161,'Dvd Calendar'!$W$154)=0))&gt;0)=0,"",'Dvd Calendar'!$W$154*1000000000+ISNUMBER('Dvd Calendar'!$W$157)*100000000+('Dvd Calendar'!$W$159=SPECIAL_LBL)*10000000+(N('Dvd Calendar'!$W$153)&gt;0)*(N('Dvd Calendar'!$W$153)&lt;=VAL_SERIAL)*1000000+14*1000+19))</f>
        <v/>
      </c>
      <c r="EX25" s="121">
        <f>IF(N('Dvd Calendar'!$X$154)=0,"",IF(('Dvd Calendar'!$X$154&gt;=GRID_FROM)*('Dvd Calendar'!$X$154&lt;=GRID_TO)*((('Dvd Calendar'!$X$154&lt;=VAL_DATE)+(COUNTIF('Dvd Calendar'!$E$161:$AR$161,'Dvd Calendar'!$X$154)=0))&gt;0)=0,"",'Dvd Calendar'!$X$154*1000000000+ISNUMBER('Dvd Calendar'!$X$157)*100000000+('Dvd Calendar'!$X$159=SPECIAL_LBL)*10000000+(N('Dvd Calendar'!$X$153)&gt;0)*(N('Dvd Calendar'!$X$153)&lt;=VAL_SERIAL)*1000000+14*1000+20))</f>
        <v/>
      </c>
      <c r="EY25" s="121">
        <f>IF(N('Dvd Calendar'!$Y$154)=0,"",IF(('Dvd Calendar'!$Y$154&gt;=GRID_FROM)*('Dvd Calendar'!$Y$154&lt;=GRID_TO)*((('Dvd Calendar'!$Y$154&lt;=VAL_DATE)+(COUNTIF('Dvd Calendar'!$E$161:$AR$161,'Dvd Calendar'!$Y$154)=0))&gt;0)=0,"",'Dvd Calendar'!$Y$154*1000000000+ISNUMBER('Dvd Calendar'!$Y$157)*100000000+('Dvd Calendar'!$Y$159=SPECIAL_LBL)*10000000+(N('Dvd Calendar'!$Y$153)&gt;0)*(N('Dvd Calendar'!$Y$153)&lt;=VAL_SERIAL)*1000000+14*1000+21))</f>
        <v/>
      </c>
      <c r="EZ25" s="121">
        <f>IF(N('Dvd Calendar'!$Z$154)=0,"",IF(('Dvd Calendar'!$Z$154&gt;=GRID_FROM)*('Dvd Calendar'!$Z$154&lt;=GRID_TO)*((('Dvd Calendar'!$Z$154&lt;=VAL_DATE)+(COUNTIF('Dvd Calendar'!$E$161:$AR$161,'Dvd Calendar'!$Z$154)=0))&gt;0)=0,"",'Dvd Calendar'!$Z$154*1000000000+ISNUMBER('Dvd Calendar'!$Z$157)*100000000+('Dvd Calendar'!$Z$159=SPECIAL_LBL)*10000000+(N('Dvd Calendar'!$Z$153)&gt;0)*(N('Dvd Calendar'!$Z$153)&lt;=VAL_SERIAL)*1000000+14*1000+22))</f>
        <v/>
      </c>
      <c r="FA25" s="121">
        <f>IF(N('Dvd Calendar'!$AA$154)=0,"",IF(('Dvd Calendar'!$AA$154&gt;=GRID_FROM)*('Dvd Calendar'!$AA$154&lt;=GRID_TO)*((('Dvd Calendar'!$AA$154&lt;=VAL_DATE)+(COUNTIF('Dvd Calendar'!$E$161:$AR$161,'Dvd Calendar'!$AA$154)=0))&gt;0)=0,"",'Dvd Calendar'!$AA$154*1000000000+ISNUMBER('Dvd Calendar'!$AA$157)*100000000+('Dvd Calendar'!$AA$159=SPECIAL_LBL)*10000000+(N('Dvd Calendar'!$AA$153)&gt;0)*(N('Dvd Calendar'!$AA$153)&lt;=VAL_SERIAL)*1000000+14*1000+23))</f>
        <v/>
      </c>
      <c r="FB25" s="121">
        <f>IF(N('Dvd Calendar'!$AB$154)=0,"",IF(('Dvd Calendar'!$AB$154&gt;=GRID_FROM)*('Dvd Calendar'!$AB$154&lt;=GRID_TO)*((('Dvd Calendar'!$AB$154&lt;=VAL_DATE)+(COUNTIF('Dvd Calendar'!$E$161:$AR$161,'Dvd Calendar'!$AB$154)=0))&gt;0)=0,"",'Dvd Calendar'!$AB$154*1000000000+ISNUMBER('Dvd Calendar'!$AB$157)*100000000+('Dvd Calendar'!$AB$159=SPECIAL_LBL)*10000000+(N('Dvd Calendar'!$AB$153)&gt;0)*(N('Dvd Calendar'!$AB$153)&lt;=VAL_SERIAL)*1000000+14*1000+24))</f>
        <v/>
      </c>
      <c r="FC25" s="121">
        <f>IF(N('Dvd Calendar'!$AC$154)=0,"",IF(('Dvd Calendar'!$AC$154&gt;=GRID_FROM)*('Dvd Calendar'!$AC$154&lt;=GRID_TO)*((('Dvd Calendar'!$AC$154&lt;=VAL_DATE)+(COUNTIF('Dvd Calendar'!$E$161:$AR$161,'Dvd Calendar'!$AC$154)=0))&gt;0)=0,"",'Dvd Calendar'!$AC$154*1000000000+ISNUMBER('Dvd Calendar'!$AC$157)*100000000+('Dvd Calendar'!$AC$159=SPECIAL_LBL)*10000000+(N('Dvd Calendar'!$AC$153)&gt;0)*(N('Dvd Calendar'!$AC$153)&lt;=VAL_SERIAL)*1000000+14*1000+25))</f>
        <v/>
      </c>
      <c r="FD25" s="121">
        <f>IF(N('Dvd Calendar'!$AD$154)=0,"",IF(('Dvd Calendar'!$AD$154&gt;=GRID_FROM)*('Dvd Calendar'!$AD$154&lt;=GRID_TO)*((('Dvd Calendar'!$AD$154&lt;=VAL_DATE)+(COUNTIF('Dvd Calendar'!$E$161:$AR$161,'Dvd Calendar'!$AD$154)=0))&gt;0)=0,"",'Dvd Calendar'!$AD$154*1000000000+ISNUMBER('Dvd Calendar'!$AD$157)*100000000+('Dvd Calendar'!$AD$159=SPECIAL_LBL)*10000000+(N('Dvd Calendar'!$AD$153)&gt;0)*(N('Dvd Calendar'!$AD$153)&lt;=VAL_SERIAL)*1000000+14*1000+26))</f>
        <v/>
      </c>
      <c r="FE25" s="121">
        <f>IF(N('Dvd Calendar'!$AE$154)=0,"",IF(('Dvd Calendar'!$AE$154&gt;=GRID_FROM)*('Dvd Calendar'!$AE$154&lt;=GRID_TO)*((('Dvd Calendar'!$AE$154&lt;=VAL_DATE)+(COUNTIF('Dvd Calendar'!$E$161:$AR$161,'Dvd Calendar'!$AE$154)=0))&gt;0)=0,"",'Dvd Calendar'!$AE$154*1000000000+ISNUMBER('Dvd Calendar'!$AE$157)*100000000+('Dvd Calendar'!$AE$159=SPECIAL_LBL)*10000000+(N('Dvd Calendar'!$AE$153)&gt;0)*(N('Dvd Calendar'!$AE$153)&lt;=VAL_SERIAL)*1000000+14*1000+27))</f>
        <v/>
      </c>
      <c r="FF25" s="121">
        <f>IF(N('Dvd Calendar'!$AF$154)=0,"",IF(('Dvd Calendar'!$AF$154&gt;=GRID_FROM)*('Dvd Calendar'!$AF$154&lt;=GRID_TO)*((('Dvd Calendar'!$AF$154&lt;=VAL_DATE)+(COUNTIF('Dvd Calendar'!$E$161:$AR$161,'Dvd Calendar'!$AF$154)=0))&gt;0)=0,"",'Dvd Calendar'!$AF$154*1000000000+ISNUMBER('Dvd Calendar'!$AF$157)*100000000+('Dvd Calendar'!$AF$159=SPECIAL_LBL)*10000000+(N('Dvd Calendar'!$AF$153)&gt;0)*(N('Dvd Calendar'!$AF$153)&lt;=VAL_SERIAL)*1000000+14*1000+28))</f>
        <v/>
      </c>
      <c r="FG25" s="121">
        <f>IF(N('Dvd Calendar'!$AG$154)=0,"",IF(('Dvd Calendar'!$AG$154&gt;=GRID_FROM)*('Dvd Calendar'!$AG$154&lt;=GRID_TO)*((('Dvd Calendar'!$AG$154&lt;=VAL_DATE)+(COUNTIF('Dvd Calendar'!$E$161:$AR$161,'Dvd Calendar'!$AG$154)=0))&gt;0)=0,"",'Dvd Calendar'!$AG$154*1000000000+ISNUMBER('Dvd Calendar'!$AG$157)*100000000+('Dvd Calendar'!$AG$159=SPECIAL_LBL)*10000000+(N('Dvd Calendar'!$AG$153)&gt;0)*(N('Dvd Calendar'!$AG$153)&lt;=VAL_SERIAL)*1000000+14*1000+29))</f>
        <v/>
      </c>
      <c r="FH25" s="121">
        <f>IF(N('Dvd Calendar'!$AH$154)=0,"",IF(('Dvd Calendar'!$AH$154&gt;=GRID_FROM)*('Dvd Calendar'!$AH$154&lt;=GRID_TO)*((('Dvd Calendar'!$AH$154&lt;=VAL_DATE)+(COUNTIF('Dvd Calendar'!$E$161:$AR$161,'Dvd Calendar'!$AH$154)=0))&gt;0)=0,"",'Dvd Calendar'!$AH$154*1000000000+ISNUMBER('Dvd Calendar'!$AH$157)*100000000+('Dvd Calendar'!$AH$159=SPECIAL_LBL)*10000000+(N('Dvd Calendar'!$AH$153)&gt;0)*(N('Dvd Calendar'!$AH$153)&lt;=VAL_SERIAL)*1000000+14*1000+30))</f>
        <v/>
      </c>
      <c r="FI25" s="121">
        <f>IF(N('Dvd Calendar'!$AI$154)=0,"",IF(('Dvd Calendar'!$AI$154&gt;=GRID_FROM)*('Dvd Calendar'!$AI$154&lt;=GRID_TO)*((('Dvd Calendar'!$AI$154&lt;=VAL_DATE)+(COUNTIF('Dvd Calendar'!$E$161:$AR$161,'Dvd Calendar'!$AI$154)=0))&gt;0)=0,"",'Dvd Calendar'!$AI$154*1000000000+ISNUMBER('Dvd Calendar'!$AI$157)*100000000+('Dvd Calendar'!$AI$159=SPECIAL_LBL)*10000000+(N('Dvd Calendar'!$AI$153)&gt;0)*(N('Dvd Calendar'!$AI$153)&lt;=VAL_SERIAL)*1000000+14*1000+31))</f>
        <v/>
      </c>
      <c r="FJ25" s="121">
        <f>IF(N('Dvd Calendar'!$AJ$154)=0,"",IF(('Dvd Calendar'!$AJ$154&gt;=GRID_FROM)*('Dvd Calendar'!$AJ$154&lt;=GRID_TO)*((('Dvd Calendar'!$AJ$154&lt;=VAL_DATE)+(COUNTIF('Dvd Calendar'!$E$161:$AR$161,'Dvd Calendar'!$AJ$154)=0))&gt;0)=0,"",'Dvd Calendar'!$AJ$154*1000000000+ISNUMBER('Dvd Calendar'!$AJ$157)*100000000+('Dvd Calendar'!$AJ$159=SPECIAL_LBL)*10000000+(N('Dvd Calendar'!$AJ$153)&gt;0)*(N('Dvd Calendar'!$AJ$153)&lt;=VAL_SERIAL)*1000000+14*1000+32))</f>
        <v/>
      </c>
      <c r="FK25" s="121">
        <f>IF(N('Dvd Calendar'!$AK$154)=0,"",IF(('Dvd Calendar'!$AK$154&gt;=GRID_FROM)*('Dvd Calendar'!$AK$154&lt;=GRID_TO)*((('Dvd Calendar'!$AK$154&lt;=VAL_DATE)+(COUNTIF('Dvd Calendar'!$E$161:$AR$161,'Dvd Calendar'!$AK$154)=0))&gt;0)=0,"",'Dvd Calendar'!$AK$154*1000000000+ISNUMBER('Dvd Calendar'!$AK$157)*100000000+('Dvd Calendar'!$AK$159=SPECIAL_LBL)*10000000+(N('Dvd Calendar'!$AK$153)&gt;0)*(N('Dvd Calendar'!$AK$153)&lt;=VAL_SERIAL)*1000000+14*1000+33))</f>
        <v/>
      </c>
      <c r="FL25" s="121">
        <f>IF(N('Dvd Calendar'!$AL$154)=0,"",IF(('Dvd Calendar'!$AL$154&gt;=GRID_FROM)*('Dvd Calendar'!$AL$154&lt;=GRID_TO)*((('Dvd Calendar'!$AL$154&lt;=VAL_DATE)+(COUNTIF('Dvd Calendar'!$E$161:$AR$161,'Dvd Calendar'!$AL$154)=0))&gt;0)=0,"",'Dvd Calendar'!$AL$154*1000000000+ISNUMBER('Dvd Calendar'!$AL$157)*100000000+('Dvd Calendar'!$AL$159=SPECIAL_LBL)*10000000+(N('Dvd Calendar'!$AL$153)&gt;0)*(N('Dvd Calendar'!$AL$153)&lt;=VAL_SERIAL)*1000000+14*1000+34))</f>
        <v/>
      </c>
      <c r="FM25" s="121">
        <f>IF(N('Dvd Calendar'!$AM$154)=0,"",IF(('Dvd Calendar'!$AM$154&gt;=GRID_FROM)*('Dvd Calendar'!$AM$154&lt;=GRID_TO)*((('Dvd Calendar'!$AM$154&lt;=VAL_DATE)+(COUNTIF('Dvd Calendar'!$E$161:$AR$161,'Dvd Calendar'!$AM$154)=0))&gt;0)=0,"",'Dvd Calendar'!$AM$154*1000000000+ISNUMBER('Dvd Calendar'!$AM$157)*100000000+('Dvd Calendar'!$AM$159=SPECIAL_LBL)*10000000+(N('Dvd Calendar'!$AM$153)&gt;0)*(N('Dvd Calendar'!$AM$153)&lt;=VAL_SERIAL)*1000000+14*1000+35))</f>
        <v/>
      </c>
      <c r="FN25" s="121">
        <f>IF(N('Dvd Calendar'!$AN$154)=0,"",IF(('Dvd Calendar'!$AN$154&gt;=GRID_FROM)*('Dvd Calendar'!$AN$154&lt;=GRID_TO)*((('Dvd Calendar'!$AN$154&lt;=VAL_DATE)+(COUNTIF('Dvd Calendar'!$E$161:$AR$161,'Dvd Calendar'!$AN$154)=0))&gt;0)=0,"",'Dvd Calendar'!$AN$154*1000000000+ISNUMBER('Dvd Calendar'!$AN$157)*100000000+('Dvd Calendar'!$AN$159=SPECIAL_LBL)*10000000+(N('Dvd Calendar'!$AN$153)&gt;0)*(N('Dvd Calendar'!$AN$153)&lt;=VAL_SERIAL)*1000000+14*1000+36))</f>
        <v/>
      </c>
      <c r="FO25" s="121">
        <f>IF(N('Dvd Calendar'!$AO$154)=0,"",IF(('Dvd Calendar'!$AO$154&gt;=GRID_FROM)*('Dvd Calendar'!$AO$154&lt;=GRID_TO)*((('Dvd Calendar'!$AO$154&lt;=VAL_DATE)+(COUNTIF('Dvd Calendar'!$E$161:$AR$161,'Dvd Calendar'!$AO$154)=0))&gt;0)=0,"",'Dvd Calendar'!$AO$154*1000000000+ISNUMBER('Dvd Calendar'!$AO$157)*100000000+('Dvd Calendar'!$AO$159=SPECIAL_LBL)*10000000+(N('Dvd Calendar'!$AO$153)&gt;0)*(N('Dvd Calendar'!$AO$153)&lt;=VAL_SERIAL)*1000000+14*1000+37))</f>
        <v/>
      </c>
      <c r="FP25" s="121">
        <f>IF(N('Dvd Calendar'!$AP$154)=0,"",IF(('Dvd Calendar'!$AP$154&gt;=GRID_FROM)*('Dvd Calendar'!$AP$154&lt;=GRID_TO)*((('Dvd Calendar'!$AP$154&lt;=VAL_DATE)+(COUNTIF('Dvd Calendar'!$E$161:$AR$161,'Dvd Calendar'!$AP$154)=0))&gt;0)=0,"",'Dvd Calendar'!$AP$154*1000000000+ISNUMBER('Dvd Calendar'!$AP$157)*100000000+('Dvd Calendar'!$AP$159=SPECIAL_LBL)*10000000+(N('Dvd Calendar'!$AP$153)&gt;0)*(N('Dvd Calendar'!$AP$153)&lt;=VAL_SERIAL)*1000000+14*1000+38))</f>
        <v/>
      </c>
      <c r="FQ25" s="121">
        <f>IF(N('Dvd Calendar'!$AQ$154)=0,"",IF(('Dvd Calendar'!$AQ$154&gt;=GRID_FROM)*('Dvd Calendar'!$AQ$154&lt;=GRID_TO)*((('Dvd Calendar'!$AQ$154&lt;=VAL_DATE)+(COUNTIF('Dvd Calendar'!$E$161:$AR$161,'Dvd Calendar'!$AQ$154)=0))&gt;0)=0,"",'Dvd Calendar'!$AQ$154*1000000000+ISNUMBER('Dvd Calendar'!$AQ$157)*100000000+('Dvd Calendar'!$AQ$159=SPECIAL_LBL)*10000000+(N('Dvd Calendar'!$AQ$153)&gt;0)*(N('Dvd Calendar'!$AQ$153)&lt;=VAL_SERIAL)*1000000+14*1000+39))</f>
        <v/>
      </c>
      <c r="FR25" s="121">
        <f>IF(N('Dvd Calendar'!$AR$154)=0,"",IF(('Dvd Calendar'!$AR$154&gt;=GRID_FROM)*('Dvd Calendar'!$AR$154&lt;=GRID_TO)*((('Dvd Calendar'!$AR$154&lt;=VAL_DATE)+(COUNTIF('Dvd Calendar'!$E$161:$AR$161,'Dvd Calendar'!$AR$154)=0))&gt;0)=0,"",'Dvd Calendar'!$AR$154*1000000000+ISNUMBER('Dvd Calendar'!$AR$157)*100000000+('Dvd Calendar'!$AR$159=SPECIAL_LBL)*10000000+(N('Dvd Calendar'!$AR$153)&gt;0)*(N('Dvd Calendar'!$AR$153)&lt;=VAL_SERIAL)*1000000+14*1000+40))</f>
        <v/>
      </c>
      <c r="FS25" s="121">
        <f>IF(N('Dvd Calendar'!$E$161)=0,"",IF(('Dvd Calendar'!$E$161&gt;=GRID_FROM)*('Dvd Calendar'!$E$161&lt;=GRID_TO)*('Dvd Calendar'!$E$161&gt;VAL_DATE)=0,"",'Dvd Calendar'!$E$161*1000000000+ISNUMBER('Dvd Calendar'!$E$162)*100000000+0*10000000+(N('Dvd Calendar'!$E$160)&gt;0)*(N('Dvd Calendar'!$E$160)&lt;=VAL_SERIAL)*1000000+14*1000+41))</f>
        <v/>
      </c>
      <c r="FT25" s="121">
        <f>IF(N('Dvd Calendar'!$F$161)=0,"",IF(('Dvd Calendar'!$F$161&gt;=GRID_FROM)*('Dvd Calendar'!$F$161&lt;=GRID_TO)*('Dvd Calendar'!$F$161&gt;VAL_DATE)=0,"",'Dvd Calendar'!$F$161*1000000000+ISNUMBER('Dvd Calendar'!$F$162)*100000000+0*10000000+(N('Dvd Calendar'!$F$160)&gt;0)*(N('Dvd Calendar'!$F$160)&lt;=VAL_SERIAL)*1000000+14*1000+42))</f>
        <v/>
      </c>
      <c r="FU25" s="121">
        <f>IF(N('Dvd Calendar'!$G$161)=0,"",IF(('Dvd Calendar'!$G$161&gt;=GRID_FROM)*('Dvd Calendar'!$G$161&lt;=GRID_TO)*('Dvd Calendar'!$G$161&gt;VAL_DATE)=0,"",'Dvd Calendar'!$G$161*1000000000+ISNUMBER('Dvd Calendar'!$G$162)*100000000+0*10000000+(N('Dvd Calendar'!$G$160)&gt;0)*(N('Dvd Calendar'!$G$160)&lt;=VAL_SERIAL)*1000000+14*1000+43))</f>
        <v/>
      </c>
      <c r="FV25" s="121">
        <f>IF(N('Dvd Calendar'!$H$161)=0,"",IF(('Dvd Calendar'!$H$161&gt;=GRID_FROM)*('Dvd Calendar'!$H$161&lt;=GRID_TO)*('Dvd Calendar'!$H$161&gt;VAL_DATE)=0,"",'Dvd Calendar'!$H$161*1000000000+ISNUMBER('Dvd Calendar'!$H$162)*100000000+0*10000000+(N('Dvd Calendar'!$H$160)&gt;0)*(N('Dvd Calendar'!$H$160)&lt;=VAL_SERIAL)*1000000+14*1000+44))</f>
        <v/>
      </c>
      <c r="FW25" s="121">
        <f>IF(N('Dvd Calendar'!$I$161)=0,"",IF(('Dvd Calendar'!$I$161&gt;=GRID_FROM)*('Dvd Calendar'!$I$161&lt;=GRID_TO)*('Dvd Calendar'!$I$161&gt;VAL_DATE)=0,"",'Dvd Calendar'!$I$161*1000000000+ISNUMBER('Dvd Calendar'!$I$162)*100000000+0*10000000+(N('Dvd Calendar'!$I$160)&gt;0)*(N('Dvd Calendar'!$I$160)&lt;=VAL_SERIAL)*1000000+14*1000+45))</f>
        <v/>
      </c>
      <c r="FX25" s="121">
        <f>IF(N('Dvd Calendar'!$J$161)=0,"",IF(('Dvd Calendar'!$J$161&gt;=GRID_FROM)*('Dvd Calendar'!$J$161&lt;=GRID_TO)*('Dvd Calendar'!$J$161&gt;VAL_DATE)=0,"",'Dvd Calendar'!$J$161*1000000000+ISNUMBER('Dvd Calendar'!$J$162)*100000000+0*10000000+(N('Dvd Calendar'!$J$160)&gt;0)*(N('Dvd Calendar'!$J$160)&lt;=VAL_SERIAL)*1000000+14*1000+46))</f>
        <v/>
      </c>
      <c r="FY25" s="121">
        <f>IF(N('Dvd Calendar'!$K$161)=0,"",IF(('Dvd Calendar'!$K$161&gt;=GRID_FROM)*('Dvd Calendar'!$K$161&lt;=GRID_TO)*('Dvd Calendar'!$K$161&gt;VAL_DATE)=0,"",'Dvd Calendar'!$K$161*1000000000+ISNUMBER('Dvd Calendar'!$K$162)*100000000+0*10000000+(N('Dvd Calendar'!$K$160)&gt;0)*(N('Dvd Calendar'!$K$160)&lt;=VAL_SERIAL)*1000000+14*1000+47))</f>
        <v/>
      </c>
      <c r="FZ25" s="121">
        <f>IF(N('Dvd Calendar'!$L$161)=0,"",IF(('Dvd Calendar'!$L$161&gt;=GRID_FROM)*('Dvd Calendar'!$L$161&lt;=GRID_TO)*('Dvd Calendar'!$L$161&gt;VAL_DATE)=0,"",'Dvd Calendar'!$L$161*1000000000+ISNUMBER('Dvd Calendar'!$L$162)*100000000+0*10000000+(N('Dvd Calendar'!$L$160)&gt;0)*(N('Dvd Calendar'!$L$160)&lt;=VAL_SERIAL)*1000000+14*1000+48))</f>
        <v/>
      </c>
      <c r="GA25" s="121">
        <f>IF(N('Dvd Calendar'!$M$161)=0,"",IF(('Dvd Calendar'!$M$161&gt;=GRID_FROM)*('Dvd Calendar'!$M$161&lt;=GRID_TO)*('Dvd Calendar'!$M$161&gt;VAL_DATE)=0,"",'Dvd Calendar'!$M$161*1000000000+ISNUMBER('Dvd Calendar'!$M$162)*100000000+0*10000000+(N('Dvd Calendar'!$M$160)&gt;0)*(N('Dvd Calendar'!$M$160)&lt;=VAL_SERIAL)*1000000+14*1000+49))</f>
        <v/>
      </c>
      <c r="GB25" s="121">
        <f>IF(N('Dvd Calendar'!$N$161)=0,"",IF(('Dvd Calendar'!$N$161&gt;=GRID_FROM)*('Dvd Calendar'!$N$161&lt;=GRID_TO)*('Dvd Calendar'!$N$161&gt;VAL_DATE)=0,"",'Dvd Calendar'!$N$161*1000000000+ISNUMBER('Dvd Calendar'!$N$162)*100000000+0*10000000+(N('Dvd Calendar'!$N$160)&gt;0)*(N('Dvd Calendar'!$N$160)&lt;=VAL_SERIAL)*1000000+14*1000+50))</f>
        <v/>
      </c>
      <c r="GC25" s="121">
        <f>IF(N('Dvd Calendar'!$O$161)=0,"",IF(('Dvd Calendar'!$O$161&gt;=GRID_FROM)*('Dvd Calendar'!$O$161&lt;=GRID_TO)*('Dvd Calendar'!$O$161&gt;VAL_DATE)=0,"",'Dvd Calendar'!$O$161*1000000000+ISNUMBER('Dvd Calendar'!$O$162)*100000000+0*10000000+(N('Dvd Calendar'!$O$160)&gt;0)*(N('Dvd Calendar'!$O$160)&lt;=VAL_SERIAL)*1000000+14*1000+51))</f>
        <v/>
      </c>
      <c r="GD25" s="121">
        <f>IF(N('Dvd Calendar'!$P$161)=0,"",IF(('Dvd Calendar'!$P$161&gt;=GRID_FROM)*('Dvd Calendar'!$P$161&lt;=GRID_TO)*('Dvd Calendar'!$P$161&gt;VAL_DATE)=0,"",'Dvd Calendar'!$P$161*1000000000+ISNUMBER('Dvd Calendar'!$P$162)*100000000+0*10000000+(N('Dvd Calendar'!$P$160)&gt;0)*(N('Dvd Calendar'!$P$160)&lt;=VAL_SERIAL)*1000000+14*1000+52))</f>
        <v/>
      </c>
      <c r="GE25" s="121">
        <f>IF(N('Dvd Calendar'!$Q$161)=0,"",IF(('Dvd Calendar'!$Q$161&gt;=GRID_FROM)*('Dvd Calendar'!$Q$161&lt;=GRID_TO)*('Dvd Calendar'!$Q$161&gt;VAL_DATE)=0,"",'Dvd Calendar'!$Q$161*1000000000+ISNUMBER('Dvd Calendar'!$Q$162)*100000000+0*10000000+(N('Dvd Calendar'!$Q$160)&gt;0)*(N('Dvd Calendar'!$Q$160)&lt;=VAL_SERIAL)*1000000+14*1000+53))</f>
        <v/>
      </c>
      <c r="GF25" s="121">
        <f>IF(N('Dvd Calendar'!$R$161)=0,"",IF(('Dvd Calendar'!$R$161&gt;=GRID_FROM)*('Dvd Calendar'!$R$161&lt;=GRID_TO)*('Dvd Calendar'!$R$161&gt;VAL_DATE)=0,"",'Dvd Calendar'!$R$161*1000000000+ISNUMBER('Dvd Calendar'!$R$162)*100000000+0*10000000+(N('Dvd Calendar'!$R$160)&gt;0)*(N('Dvd Calendar'!$R$160)&lt;=VAL_SERIAL)*1000000+14*1000+54))</f>
        <v/>
      </c>
      <c r="GG25" s="121">
        <f>IF(N('Dvd Calendar'!$S$161)=0,"",IF(('Dvd Calendar'!$S$161&gt;=GRID_FROM)*('Dvd Calendar'!$S$161&lt;=GRID_TO)*('Dvd Calendar'!$S$161&gt;VAL_DATE)=0,"",'Dvd Calendar'!$S$161*1000000000+ISNUMBER('Dvd Calendar'!$S$162)*100000000+0*10000000+(N('Dvd Calendar'!$S$160)&gt;0)*(N('Dvd Calendar'!$S$160)&lt;=VAL_SERIAL)*1000000+14*1000+55))</f>
        <v/>
      </c>
      <c r="GH25" s="121">
        <f>IF(N('Dvd Calendar'!$T$161)=0,"",IF(('Dvd Calendar'!$T$161&gt;=GRID_FROM)*('Dvd Calendar'!$T$161&lt;=GRID_TO)*('Dvd Calendar'!$T$161&gt;VAL_DATE)=0,"",'Dvd Calendar'!$T$161*1000000000+ISNUMBER('Dvd Calendar'!$T$162)*100000000+0*10000000+(N('Dvd Calendar'!$T$160)&gt;0)*(N('Dvd Calendar'!$T$160)&lt;=VAL_SERIAL)*1000000+14*1000+56))</f>
        <v/>
      </c>
      <c r="GI25" s="121">
        <f>IF(N('Dvd Calendar'!$U$161)=0,"",IF(('Dvd Calendar'!$U$161&gt;=GRID_FROM)*('Dvd Calendar'!$U$161&lt;=GRID_TO)*('Dvd Calendar'!$U$161&gt;VAL_DATE)=0,"",'Dvd Calendar'!$U$161*1000000000+ISNUMBER('Dvd Calendar'!$U$162)*100000000+0*10000000+(N('Dvd Calendar'!$U$160)&gt;0)*(N('Dvd Calendar'!$U$160)&lt;=VAL_SERIAL)*1000000+14*1000+57))</f>
        <v/>
      </c>
      <c r="GJ25" s="121">
        <f>IF(N('Dvd Calendar'!$V$161)=0,"",IF(('Dvd Calendar'!$V$161&gt;=GRID_FROM)*('Dvd Calendar'!$V$161&lt;=GRID_TO)*('Dvd Calendar'!$V$161&gt;VAL_DATE)=0,"",'Dvd Calendar'!$V$161*1000000000+ISNUMBER('Dvd Calendar'!$V$162)*100000000+0*10000000+(N('Dvd Calendar'!$V$160)&gt;0)*(N('Dvd Calendar'!$V$160)&lt;=VAL_SERIAL)*1000000+14*1000+58))</f>
        <v/>
      </c>
      <c r="GK25" s="121">
        <f>IF(N('Dvd Calendar'!$W$161)=0,"",IF(('Dvd Calendar'!$W$161&gt;=GRID_FROM)*('Dvd Calendar'!$W$161&lt;=GRID_TO)*('Dvd Calendar'!$W$161&gt;VAL_DATE)=0,"",'Dvd Calendar'!$W$161*1000000000+ISNUMBER('Dvd Calendar'!$W$162)*100000000+0*10000000+(N('Dvd Calendar'!$W$160)&gt;0)*(N('Dvd Calendar'!$W$160)&lt;=VAL_SERIAL)*1000000+14*1000+59))</f>
        <v/>
      </c>
      <c r="GL25" s="121">
        <f>IF(N('Dvd Calendar'!$X$161)=0,"",IF(('Dvd Calendar'!$X$161&gt;=GRID_FROM)*('Dvd Calendar'!$X$161&lt;=GRID_TO)*('Dvd Calendar'!$X$161&gt;VAL_DATE)=0,"",'Dvd Calendar'!$X$161*1000000000+ISNUMBER('Dvd Calendar'!$X$162)*100000000+0*10000000+(N('Dvd Calendar'!$X$160)&gt;0)*(N('Dvd Calendar'!$X$160)&lt;=VAL_SERIAL)*1000000+14*1000+60))</f>
        <v/>
      </c>
      <c r="GM25" s="121">
        <f>IF(N('Dvd Calendar'!$Y$161)=0,"",IF(('Dvd Calendar'!$Y$161&gt;=GRID_FROM)*('Dvd Calendar'!$Y$161&lt;=GRID_TO)*('Dvd Calendar'!$Y$161&gt;VAL_DATE)=0,"",'Dvd Calendar'!$Y$161*1000000000+ISNUMBER('Dvd Calendar'!$Y$162)*100000000+0*10000000+(N('Dvd Calendar'!$Y$160)&gt;0)*(N('Dvd Calendar'!$Y$160)&lt;=VAL_SERIAL)*1000000+14*1000+61))</f>
        <v/>
      </c>
      <c r="GN25" s="121">
        <f>IF(N('Dvd Calendar'!$Z$161)=0,"",IF(('Dvd Calendar'!$Z$161&gt;=GRID_FROM)*('Dvd Calendar'!$Z$161&lt;=GRID_TO)*('Dvd Calendar'!$Z$161&gt;VAL_DATE)=0,"",'Dvd Calendar'!$Z$161*1000000000+ISNUMBER('Dvd Calendar'!$Z$162)*100000000+0*10000000+(N('Dvd Calendar'!$Z$160)&gt;0)*(N('Dvd Calendar'!$Z$160)&lt;=VAL_SERIAL)*1000000+14*1000+62))</f>
        <v/>
      </c>
      <c r="GO25" s="121">
        <f>IF(N('Dvd Calendar'!$AA$161)=0,"",IF(('Dvd Calendar'!$AA$161&gt;=GRID_FROM)*('Dvd Calendar'!$AA$161&lt;=GRID_TO)*('Dvd Calendar'!$AA$161&gt;VAL_DATE)=0,"",'Dvd Calendar'!$AA$161*1000000000+ISNUMBER('Dvd Calendar'!$AA$162)*100000000+0*10000000+(N('Dvd Calendar'!$AA$160)&gt;0)*(N('Dvd Calendar'!$AA$160)&lt;=VAL_SERIAL)*1000000+14*1000+63))</f>
        <v/>
      </c>
      <c r="GP25" s="121">
        <f>IF(N('Dvd Calendar'!$AB$161)=0,"",IF(('Dvd Calendar'!$AB$161&gt;=GRID_FROM)*('Dvd Calendar'!$AB$161&lt;=GRID_TO)*('Dvd Calendar'!$AB$161&gt;VAL_DATE)=0,"",'Dvd Calendar'!$AB$161*1000000000+ISNUMBER('Dvd Calendar'!$AB$162)*100000000+0*10000000+(N('Dvd Calendar'!$AB$160)&gt;0)*(N('Dvd Calendar'!$AB$160)&lt;=VAL_SERIAL)*1000000+14*1000+64))</f>
        <v/>
      </c>
      <c r="GQ25" s="121">
        <f>IF(N('Dvd Calendar'!$AC$161)=0,"",IF(('Dvd Calendar'!$AC$161&gt;=GRID_FROM)*('Dvd Calendar'!$AC$161&lt;=GRID_TO)*('Dvd Calendar'!$AC$161&gt;VAL_DATE)=0,"",'Dvd Calendar'!$AC$161*1000000000+ISNUMBER('Dvd Calendar'!$AC$162)*100000000+0*10000000+(N('Dvd Calendar'!$AC$160)&gt;0)*(N('Dvd Calendar'!$AC$160)&lt;=VAL_SERIAL)*1000000+14*1000+65))</f>
        <v/>
      </c>
    </row>
    <row r="26">
      <c r="B26" s="2">
        <f>IF(HSI!$C$21="","",HSI!$C$21)</f>
        <v/>
      </c>
      <c r="C26" s="161">
        <f>IF(EE26="","",IF(ISNUMBER('Dvd Calendar'!$E$168)=FALSE,"",IF((('Dvd Calendar'!$E$170=TYPE1)*(TYPE1&lt;&gt;"")+('Dvd Calendar'!$E$170=TYPE2)*(TYPE2&lt;&gt;"")+('Dvd Calendar'!$E$170=TYPE3)*(TYPE3&lt;&gt;"")+('Dvd Calendar'!$E$170=TYPE4)*(TYPE4&lt;&gt;"")+('Dvd Calendar'!$E$170=SPECIAL_LBL)*(INC_SPECIALS="Y"))=0,"",'Dvd Calendar'!$E$168)))</f>
        <v/>
      </c>
      <c r="D26" s="161">
        <f>IF(EF26="","",IF(ISNUMBER('Dvd Calendar'!$F$168)=FALSE,"",IF((('Dvd Calendar'!$F$170=TYPE1)*(TYPE1&lt;&gt;"")+('Dvd Calendar'!$F$170=TYPE2)*(TYPE2&lt;&gt;"")+('Dvd Calendar'!$F$170=TYPE3)*(TYPE3&lt;&gt;"")+('Dvd Calendar'!$F$170=TYPE4)*(TYPE4&lt;&gt;"")+('Dvd Calendar'!$F$170=SPECIAL_LBL)*(INC_SPECIALS="Y"))=0,"",'Dvd Calendar'!$F$168)))</f>
        <v/>
      </c>
      <c r="E26" s="161">
        <f>IF(EG26="","",IF(ISNUMBER('Dvd Calendar'!$G$168)=FALSE,"",IF((('Dvd Calendar'!$G$170=TYPE1)*(TYPE1&lt;&gt;"")+('Dvd Calendar'!$G$170=TYPE2)*(TYPE2&lt;&gt;"")+('Dvd Calendar'!$G$170=TYPE3)*(TYPE3&lt;&gt;"")+('Dvd Calendar'!$G$170=TYPE4)*(TYPE4&lt;&gt;"")+('Dvd Calendar'!$G$170=SPECIAL_LBL)*(INC_SPECIALS="Y"))=0,"",'Dvd Calendar'!$G$168)))</f>
        <v/>
      </c>
      <c r="F26" s="161">
        <f>IF(EH26="","",IF(ISNUMBER('Dvd Calendar'!$H$168)=FALSE,"",IF((('Dvd Calendar'!$H$170=TYPE1)*(TYPE1&lt;&gt;"")+('Dvd Calendar'!$H$170=TYPE2)*(TYPE2&lt;&gt;"")+('Dvd Calendar'!$H$170=TYPE3)*(TYPE3&lt;&gt;"")+('Dvd Calendar'!$H$170=TYPE4)*(TYPE4&lt;&gt;"")+('Dvd Calendar'!$H$170=SPECIAL_LBL)*(INC_SPECIALS="Y"))=0,"",'Dvd Calendar'!$H$168)))</f>
        <v/>
      </c>
      <c r="G26" s="161">
        <f>IF(EI26="","",IF(ISNUMBER('Dvd Calendar'!$I$168)=FALSE,"",IF((('Dvd Calendar'!$I$170=TYPE1)*(TYPE1&lt;&gt;"")+('Dvd Calendar'!$I$170=TYPE2)*(TYPE2&lt;&gt;"")+('Dvd Calendar'!$I$170=TYPE3)*(TYPE3&lt;&gt;"")+('Dvd Calendar'!$I$170=TYPE4)*(TYPE4&lt;&gt;"")+('Dvd Calendar'!$I$170=SPECIAL_LBL)*(INC_SPECIALS="Y"))=0,"",'Dvd Calendar'!$I$168)))</f>
        <v/>
      </c>
      <c r="H26" s="161">
        <f>IF(EJ26="","",IF(ISNUMBER('Dvd Calendar'!$J$168)=FALSE,"",IF((('Dvd Calendar'!$J$170=TYPE1)*(TYPE1&lt;&gt;"")+('Dvd Calendar'!$J$170=TYPE2)*(TYPE2&lt;&gt;"")+('Dvd Calendar'!$J$170=TYPE3)*(TYPE3&lt;&gt;"")+('Dvd Calendar'!$J$170=TYPE4)*(TYPE4&lt;&gt;"")+('Dvd Calendar'!$J$170=SPECIAL_LBL)*(INC_SPECIALS="Y"))=0,"",'Dvd Calendar'!$J$168)))</f>
        <v/>
      </c>
      <c r="I26" s="161">
        <f>IF(EK26="","",IF(ISNUMBER('Dvd Calendar'!$K$168)=FALSE,"",IF((('Dvd Calendar'!$K$170=TYPE1)*(TYPE1&lt;&gt;"")+('Dvd Calendar'!$K$170=TYPE2)*(TYPE2&lt;&gt;"")+('Dvd Calendar'!$K$170=TYPE3)*(TYPE3&lt;&gt;"")+('Dvd Calendar'!$K$170=TYPE4)*(TYPE4&lt;&gt;"")+('Dvd Calendar'!$K$170=SPECIAL_LBL)*(INC_SPECIALS="Y"))=0,"",'Dvd Calendar'!$K$168)))</f>
        <v/>
      </c>
      <c r="J26" s="161">
        <f>IF(EL26="","",IF(ISNUMBER('Dvd Calendar'!$L$168)=FALSE,"",IF((('Dvd Calendar'!$L$170=TYPE1)*(TYPE1&lt;&gt;"")+('Dvd Calendar'!$L$170=TYPE2)*(TYPE2&lt;&gt;"")+('Dvd Calendar'!$L$170=TYPE3)*(TYPE3&lt;&gt;"")+('Dvd Calendar'!$L$170=TYPE4)*(TYPE4&lt;&gt;"")+('Dvd Calendar'!$L$170=SPECIAL_LBL)*(INC_SPECIALS="Y"))=0,"",'Dvd Calendar'!$L$168)))</f>
        <v/>
      </c>
      <c r="K26" s="161">
        <f>IF(EM26="","",IF(ISNUMBER('Dvd Calendar'!$M$168)=FALSE,"",IF((('Dvd Calendar'!$M$170=TYPE1)*(TYPE1&lt;&gt;"")+('Dvd Calendar'!$M$170=TYPE2)*(TYPE2&lt;&gt;"")+('Dvd Calendar'!$M$170=TYPE3)*(TYPE3&lt;&gt;"")+('Dvd Calendar'!$M$170=TYPE4)*(TYPE4&lt;&gt;"")+('Dvd Calendar'!$M$170=SPECIAL_LBL)*(INC_SPECIALS="Y"))=0,"",'Dvd Calendar'!$M$168)))</f>
        <v/>
      </c>
      <c r="L26" s="161">
        <f>IF(EN26="","",IF(ISNUMBER('Dvd Calendar'!$N$168)=FALSE,"",IF((('Dvd Calendar'!$N$170=TYPE1)*(TYPE1&lt;&gt;"")+('Dvd Calendar'!$N$170=TYPE2)*(TYPE2&lt;&gt;"")+('Dvd Calendar'!$N$170=TYPE3)*(TYPE3&lt;&gt;"")+('Dvd Calendar'!$N$170=TYPE4)*(TYPE4&lt;&gt;"")+('Dvd Calendar'!$N$170=SPECIAL_LBL)*(INC_SPECIALS="Y"))=0,"",'Dvd Calendar'!$N$168)))</f>
        <v/>
      </c>
      <c r="M26" s="161">
        <f>IF(EO26="","",IF(ISNUMBER('Dvd Calendar'!$O$168)=FALSE,"",IF((('Dvd Calendar'!$O$170=TYPE1)*(TYPE1&lt;&gt;"")+('Dvd Calendar'!$O$170=TYPE2)*(TYPE2&lt;&gt;"")+('Dvd Calendar'!$O$170=TYPE3)*(TYPE3&lt;&gt;"")+('Dvd Calendar'!$O$170=TYPE4)*(TYPE4&lt;&gt;"")+('Dvd Calendar'!$O$170=SPECIAL_LBL)*(INC_SPECIALS="Y"))=0,"",'Dvd Calendar'!$O$168)))</f>
        <v/>
      </c>
      <c r="N26" s="161">
        <f>IF(EP26="","",IF(ISNUMBER('Dvd Calendar'!$P$168)=FALSE,"",IF((('Dvd Calendar'!$P$170=TYPE1)*(TYPE1&lt;&gt;"")+('Dvd Calendar'!$P$170=TYPE2)*(TYPE2&lt;&gt;"")+('Dvd Calendar'!$P$170=TYPE3)*(TYPE3&lt;&gt;"")+('Dvd Calendar'!$P$170=TYPE4)*(TYPE4&lt;&gt;"")+('Dvd Calendar'!$P$170=SPECIAL_LBL)*(INC_SPECIALS="Y"))=0,"",'Dvd Calendar'!$P$168)))</f>
        <v/>
      </c>
      <c r="O26" s="161">
        <f>IF(EQ26="","",IF(ISNUMBER('Dvd Calendar'!$Q$168)=FALSE,"",IF((('Dvd Calendar'!$Q$170=TYPE1)*(TYPE1&lt;&gt;"")+('Dvd Calendar'!$Q$170=TYPE2)*(TYPE2&lt;&gt;"")+('Dvd Calendar'!$Q$170=TYPE3)*(TYPE3&lt;&gt;"")+('Dvd Calendar'!$Q$170=TYPE4)*(TYPE4&lt;&gt;"")+('Dvd Calendar'!$Q$170=SPECIAL_LBL)*(INC_SPECIALS="Y"))=0,"",'Dvd Calendar'!$Q$168)))</f>
        <v/>
      </c>
      <c r="P26" s="161">
        <f>IF(ER26="","",IF(ISNUMBER('Dvd Calendar'!$R$168)=FALSE,"",IF((('Dvd Calendar'!$R$170=TYPE1)*(TYPE1&lt;&gt;"")+('Dvd Calendar'!$R$170=TYPE2)*(TYPE2&lt;&gt;"")+('Dvd Calendar'!$R$170=TYPE3)*(TYPE3&lt;&gt;"")+('Dvd Calendar'!$R$170=TYPE4)*(TYPE4&lt;&gt;"")+('Dvd Calendar'!$R$170=SPECIAL_LBL)*(INC_SPECIALS="Y"))=0,"",'Dvd Calendar'!$R$168)))</f>
        <v/>
      </c>
      <c r="Q26" s="161">
        <f>IF(ES26="","",IF(ISNUMBER('Dvd Calendar'!$S$168)=FALSE,"",IF((('Dvd Calendar'!$S$170=TYPE1)*(TYPE1&lt;&gt;"")+('Dvd Calendar'!$S$170=TYPE2)*(TYPE2&lt;&gt;"")+('Dvd Calendar'!$S$170=TYPE3)*(TYPE3&lt;&gt;"")+('Dvd Calendar'!$S$170=TYPE4)*(TYPE4&lt;&gt;"")+('Dvd Calendar'!$S$170=SPECIAL_LBL)*(INC_SPECIALS="Y"))=0,"",'Dvd Calendar'!$S$168)))</f>
        <v/>
      </c>
      <c r="R26" s="161">
        <f>IF(ET26="","",IF(ISNUMBER('Dvd Calendar'!$T$168)=FALSE,"",IF((('Dvd Calendar'!$T$170=TYPE1)*(TYPE1&lt;&gt;"")+('Dvd Calendar'!$T$170=TYPE2)*(TYPE2&lt;&gt;"")+('Dvd Calendar'!$T$170=TYPE3)*(TYPE3&lt;&gt;"")+('Dvd Calendar'!$T$170=TYPE4)*(TYPE4&lt;&gt;"")+('Dvd Calendar'!$T$170=SPECIAL_LBL)*(INC_SPECIALS="Y"))=0,"",'Dvd Calendar'!$T$168)))</f>
        <v/>
      </c>
      <c r="S26" s="161">
        <f>IF(EU26="","",IF(ISNUMBER('Dvd Calendar'!$U$168)=FALSE,"",IF((('Dvd Calendar'!$U$170=TYPE1)*(TYPE1&lt;&gt;"")+('Dvd Calendar'!$U$170=TYPE2)*(TYPE2&lt;&gt;"")+('Dvd Calendar'!$U$170=TYPE3)*(TYPE3&lt;&gt;"")+('Dvd Calendar'!$U$170=TYPE4)*(TYPE4&lt;&gt;"")+('Dvd Calendar'!$U$170=SPECIAL_LBL)*(INC_SPECIALS="Y"))=0,"",'Dvd Calendar'!$U$168)))</f>
        <v/>
      </c>
      <c r="T26" s="161">
        <f>IF(EV26="","",IF(ISNUMBER('Dvd Calendar'!$V$168)=FALSE,"",IF((('Dvd Calendar'!$V$170=TYPE1)*(TYPE1&lt;&gt;"")+('Dvd Calendar'!$V$170=TYPE2)*(TYPE2&lt;&gt;"")+('Dvd Calendar'!$V$170=TYPE3)*(TYPE3&lt;&gt;"")+('Dvd Calendar'!$V$170=TYPE4)*(TYPE4&lt;&gt;"")+('Dvd Calendar'!$V$170=SPECIAL_LBL)*(INC_SPECIALS="Y"))=0,"",'Dvd Calendar'!$V$168)))</f>
        <v/>
      </c>
      <c r="U26" s="161">
        <f>IF(EW26="","",IF(ISNUMBER('Dvd Calendar'!$W$168)=FALSE,"",IF((('Dvd Calendar'!$W$170=TYPE1)*(TYPE1&lt;&gt;"")+('Dvd Calendar'!$W$170=TYPE2)*(TYPE2&lt;&gt;"")+('Dvd Calendar'!$W$170=TYPE3)*(TYPE3&lt;&gt;"")+('Dvd Calendar'!$W$170=TYPE4)*(TYPE4&lt;&gt;"")+('Dvd Calendar'!$W$170=SPECIAL_LBL)*(INC_SPECIALS="Y"))=0,"",'Dvd Calendar'!$W$168)))</f>
        <v/>
      </c>
      <c r="V26" s="161">
        <f>IF(EX26="","",IF(ISNUMBER('Dvd Calendar'!$X$168)=FALSE,"",IF((('Dvd Calendar'!$X$170=TYPE1)*(TYPE1&lt;&gt;"")+('Dvd Calendar'!$X$170=TYPE2)*(TYPE2&lt;&gt;"")+('Dvd Calendar'!$X$170=TYPE3)*(TYPE3&lt;&gt;"")+('Dvd Calendar'!$X$170=TYPE4)*(TYPE4&lt;&gt;"")+('Dvd Calendar'!$X$170=SPECIAL_LBL)*(INC_SPECIALS="Y"))=0,"",'Dvd Calendar'!$X$168)))</f>
        <v/>
      </c>
      <c r="W26" s="161">
        <f>IF(EY26="","",IF(ISNUMBER('Dvd Calendar'!$Y$168)=FALSE,"",IF((('Dvd Calendar'!$Y$170=TYPE1)*(TYPE1&lt;&gt;"")+('Dvd Calendar'!$Y$170=TYPE2)*(TYPE2&lt;&gt;"")+('Dvd Calendar'!$Y$170=TYPE3)*(TYPE3&lt;&gt;"")+('Dvd Calendar'!$Y$170=TYPE4)*(TYPE4&lt;&gt;"")+('Dvd Calendar'!$Y$170=SPECIAL_LBL)*(INC_SPECIALS="Y"))=0,"",'Dvd Calendar'!$Y$168)))</f>
        <v/>
      </c>
      <c r="X26" s="161">
        <f>IF(EZ26="","",IF(ISNUMBER('Dvd Calendar'!$Z$168)=FALSE,"",IF((('Dvd Calendar'!$Z$170=TYPE1)*(TYPE1&lt;&gt;"")+('Dvd Calendar'!$Z$170=TYPE2)*(TYPE2&lt;&gt;"")+('Dvd Calendar'!$Z$170=TYPE3)*(TYPE3&lt;&gt;"")+('Dvd Calendar'!$Z$170=TYPE4)*(TYPE4&lt;&gt;"")+('Dvd Calendar'!$Z$170=SPECIAL_LBL)*(INC_SPECIALS="Y"))=0,"",'Dvd Calendar'!$Z$168)))</f>
        <v/>
      </c>
      <c r="Y26" s="161">
        <f>IF(FA26="","",IF(ISNUMBER('Dvd Calendar'!$AA$168)=FALSE,"",IF((('Dvd Calendar'!$AA$170=TYPE1)*(TYPE1&lt;&gt;"")+('Dvd Calendar'!$AA$170=TYPE2)*(TYPE2&lt;&gt;"")+('Dvd Calendar'!$AA$170=TYPE3)*(TYPE3&lt;&gt;"")+('Dvd Calendar'!$AA$170=TYPE4)*(TYPE4&lt;&gt;"")+('Dvd Calendar'!$AA$170=SPECIAL_LBL)*(INC_SPECIALS="Y"))=0,"",'Dvd Calendar'!$AA$168)))</f>
        <v/>
      </c>
      <c r="Z26" s="161">
        <f>IF(FB26="","",IF(ISNUMBER('Dvd Calendar'!$AB$168)=FALSE,"",IF((('Dvd Calendar'!$AB$170=TYPE1)*(TYPE1&lt;&gt;"")+('Dvd Calendar'!$AB$170=TYPE2)*(TYPE2&lt;&gt;"")+('Dvd Calendar'!$AB$170=TYPE3)*(TYPE3&lt;&gt;"")+('Dvd Calendar'!$AB$170=TYPE4)*(TYPE4&lt;&gt;"")+('Dvd Calendar'!$AB$170=SPECIAL_LBL)*(INC_SPECIALS="Y"))=0,"",'Dvd Calendar'!$AB$168)))</f>
        <v/>
      </c>
      <c r="AA26" s="161">
        <f>IF(FC26="","",IF(ISNUMBER('Dvd Calendar'!$AC$168)=FALSE,"",IF((('Dvd Calendar'!$AC$170=TYPE1)*(TYPE1&lt;&gt;"")+('Dvd Calendar'!$AC$170=TYPE2)*(TYPE2&lt;&gt;"")+('Dvd Calendar'!$AC$170=TYPE3)*(TYPE3&lt;&gt;"")+('Dvd Calendar'!$AC$170=TYPE4)*(TYPE4&lt;&gt;"")+('Dvd Calendar'!$AC$170=SPECIAL_LBL)*(INC_SPECIALS="Y"))=0,"",'Dvd Calendar'!$AC$168)))</f>
        <v/>
      </c>
      <c r="AB26" s="161">
        <f>IF(FD26="","",IF(ISNUMBER('Dvd Calendar'!$AD$168)=FALSE,"",IF((('Dvd Calendar'!$AD$170=TYPE1)*(TYPE1&lt;&gt;"")+('Dvd Calendar'!$AD$170=TYPE2)*(TYPE2&lt;&gt;"")+('Dvd Calendar'!$AD$170=TYPE3)*(TYPE3&lt;&gt;"")+('Dvd Calendar'!$AD$170=TYPE4)*(TYPE4&lt;&gt;"")+('Dvd Calendar'!$AD$170=SPECIAL_LBL)*(INC_SPECIALS="Y"))=0,"",'Dvd Calendar'!$AD$168)))</f>
        <v/>
      </c>
      <c r="AC26" s="161">
        <f>IF(FE26="","",IF(ISNUMBER('Dvd Calendar'!$AE$168)=FALSE,"",IF((('Dvd Calendar'!$AE$170=TYPE1)*(TYPE1&lt;&gt;"")+('Dvd Calendar'!$AE$170=TYPE2)*(TYPE2&lt;&gt;"")+('Dvd Calendar'!$AE$170=TYPE3)*(TYPE3&lt;&gt;"")+('Dvd Calendar'!$AE$170=TYPE4)*(TYPE4&lt;&gt;"")+('Dvd Calendar'!$AE$170=SPECIAL_LBL)*(INC_SPECIALS="Y"))=0,"",'Dvd Calendar'!$AE$168)))</f>
        <v/>
      </c>
      <c r="AD26" s="161">
        <f>IF(FF26="","",IF(ISNUMBER('Dvd Calendar'!$AF$168)=FALSE,"",IF((('Dvd Calendar'!$AF$170=TYPE1)*(TYPE1&lt;&gt;"")+('Dvd Calendar'!$AF$170=TYPE2)*(TYPE2&lt;&gt;"")+('Dvd Calendar'!$AF$170=TYPE3)*(TYPE3&lt;&gt;"")+('Dvd Calendar'!$AF$170=TYPE4)*(TYPE4&lt;&gt;"")+('Dvd Calendar'!$AF$170=SPECIAL_LBL)*(INC_SPECIALS="Y"))=0,"",'Dvd Calendar'!$AF$168)))</f>
        <v/>
      </c>
      <c r="AE26" s="161">
        <f>IF(FG26="","",IF(ISNUMBER('Dvd Calendar'!$AG$168)=FALSE,"",IF((('Dvd Calendar'!$AG$170=TYPE1)*(TYPE1&lt;&gt;"")+('Dvd Calendar'!$AG$170=TYPE2)*(TYPE2&lt;&gt;"")+('Dvd Calendar'!$AG$170=TYPE3)*(TYPE3&lt;&gt;"")+('Dvd Calendar'!$AG$170=TYPE4)*(TYPE4&lt;&gt;"")+('Dvd Calendar'!$AG$170=SPECIAL_LBL)*(INC_SPECIALS="Y"))=0,"",'Dvd Calendar'!$AG$168)))</f>
        <v/>
      </c>
      <c r="AF26" s="161">
        <f>IF(FH26="","",IF(ISNUMBER('Dvd Calendar'!$AH$168)=FALSE,"",IF((('Dvd Calendar'!$AH$170=TYPE1)*(TYPE1&lt;&gt;"")+('Dvd Calendar'!$AH$170=TYPE2)*(TYPE2&lt;&gt;"")+('Dvd Calendar'!$AH$170=TYPE3)*(TYPE3&lt;&gt;"")+('Dvd Calendar'!$AH$170=TYPE4)*(TYPE4&lt;&gt;"")+('Dvd Calendar'!$AH$170=SPECIAL_LBL)*(INC_SPECIALS="Y"))=0,"",'Dvd Calendar'!$AH$168)))</f>
        <v/>
      </c>
      <c r="AG26" s="161">
        <f>IF(FI26="","",IF(ISNUMBER('Dvd Calendar'!$AI$168)=FALSE,"",IF((('Dvd Calendar'!$AI$170=TYPE1)*(TYPE1&lt;&gt;"")+('Dvd Calendar'!$AI$170=TYPE2)*(TYPE2&lt;&gt;"")+('Dvd Calendar'!$AI$170=TYPE3)*(TYPE3&lt;&gt;"")+('Dvd Calendar'!$AI$170=TYPE4)*(TYPE4&lt;&gt;"")+('Dvd Calendar'!$AI$170=SPECIAL_LBL)*(INC_SPECIALS="Y"))=0,"",'Dvd Calendar'!$AI$168)))</f>
        <v/>
      </c>
      <c r="AH26" s="161">
        <f>IF(FJ26="","",IF(ISNUMBER('Dvd Calendar'!$AJ$168)=FALSE,"",IF((('Dvd Calendar'!$AJ$170=TYPE1)*(TYPE1&lt;&gt;"")+('Dvd Calendar'!$AJ$170=TYPE2)*(TYPE2&lt;&gt;"")+('Dvd Calendar'!$AJ$170=TYPE3)*(TYPE3&lt;&gt;"")+('Dvd Calendar'!$AJ$170=TYPE4)*(TYPE4&lt;&gt;"")+('Dvd Calendar'!$AJ$170=SPECIAL_LBL)*(INC_SPECIALS="Y"))=0,"",'Dvd Calendar'!$AJ$168)))</f>
        <v/>
      </c>
      <c r="AI26" s="161">
        <f>IF(FK26="","",IF(ISNUMBER('Dvd Calendar'!$AK$168)=FALSE,"",IF((('Dvd Calendar'!$AK$170=TYPE1)*(TYPE1&lt;&gt;"")+('Dvd Calendar'!$AK$170=TYPE2)*(TYPE2&lt;&gt;"")+('Dvd Calendar'!$AK$170=TYPE3)*(TYPE3&lt;&gt;"")+('Dvd Calendar'!$AK$170=TYPE4)*(TYPE4&lt;&gt;"")+('Dvd Calendar'!$AK$170=SPECIAL_LBL)*(INC_SPECIALS="Y"))=0,"",'Dvd Calendar'!$AK$168)))</f>
        <v/>
      </c>
      <c r="AJ26" s="161">
        <f>IF(FL26="","",IF(ISNUMBER('Dvd Calendar'!$AL$168)=FALSE,"",IF((('Dvd Calendar'!$AL$170=TYPE1)*(TYPE1&lt;&gt;"")+('Dvd Calendar'!$AL$170=TYPE2)*(TYPE2&lt;&gt;"")+('Dvd Calendar'!$AL$170=TYPE3)*(TYPE3&lt;&gt;"")+('Dvd Calendar'!$AL$170=TYPE4)*(TYPE4&lt;&gt;"")+('Dvd Calendar'!$AL$170=SPECIAL_LBL)*(INC_SPECIALS="Y"))=0,"",'Dvd Calendar'!$AL$168)))</f>
        <v/>
      </c>
      <c r="AK26" s="161">
        <f>IF(FM26="","",IF(ISNUMBER('Dvd Calendar'!$AM$168)=FALSE,"",IF((('Dvd Calendar'!$AM$170=TYPE1)*(TYPE1&lt;&gt;"")+('Dvd Calendar'!$AM$170=TYPE2)*(TYPE2&lt;&gt;"")+('Dvd Calendar'!$AM$170=TYPE3)*(TYPE3&lt;&gt;"")+('Dvd Calendar'!$AM$170=TYPE4)*(TYPE4&lt;&gt;"")+('Dvd Calendar'!$AM$170=SPECIAL_LBL)*(INC_SPECIALS="Y"))=0,"",'Dvd Calendar'!$AM$168)))</f>
        <v/>
      </c>
      <c r="AL26" s="161">
        <f>IF(FN26="","",IF(ISNUMBER('Dvd Calendar'!$AN$168)=FALSE,"",IF((('Dvd Calendar'!$AN$170=TYPE1)*(TYPE1&lt;&gt;"")+('Dvd Calendar'!$AN$170=TYPE2)*(TYPE2&lt;&gt;"")+('Dvd Calendar'!$AN$170=TYPE3)*(TYPE3&lt;&gt;"")+('Dvd Calendar'!$AN$170=TYPE4)*(TYPE4&lt;&gt;"")+('Dvd Calendar'!$AN$170=SPECIAL_LBL)*(INC_SPECIALS="Y"))=0,"",'Dvd Calendar'!$AN$168)))</f>
        <v/>
      </c>
      <c r="AM26" s="161">
        <f>IF(FO26="","",IF(ISNUMBER('Dvd Calendar'!$AO$168)=FALSE,"",IF((('Dvd Calendar'!$AO$170=TYPE1)*(TYPE1&lt;&gt;"")+('Dvd Calendar'!$AO$170=TYPE2)*(TYPE2&lt;&gt;"")+('Dvd Calendar'!$AO$170=TYPE3)*(TYPE3&lt;&gt;"")+('Dvd Calendar'!$AO$170=TYPE4)*(TYPE4&lt;&gt;"")+('Dvd Calendar'!$AO$170=SPECIAL_LBL)*(INC_SPECIALS="Y"))=0,"",'Dvd Calendar'!$AO$168)))</f>
        <v/>
      </c>
      <c r="AN26" s="161">
        <f>IF(FP26="","",IF(ISNUMBER('Dvd Calendar'!$AP$168)=FALSE,"",IF((('Dvd Calendar'!$AP$170=TYPE1)*(TYPE1&lt;&gt;"")+('Dvd Calendar'!$AP$170=TYPE2)*(TYPE2&lt;&gt;"")+('Dvd Calendar'!$AP$170=TYPE3)*(TYPE3&lt;&gt;"")+('Dvd Calendar'!$AP$170=TYPE4)*(TYPE4&lt;&gt;"")+('Dvd Calendar'!$AP$170=SPECIAL_LBL)*(INC_SPECIALS="Y"))=0,"",'Dvd Calendar'!$AP$168)))</f>
        <v/>
      </c>
      <c r="AO26" s="161">
        <f>IF(FQ26="","",IF(ISNUMBER('Dvd Calendar'!$AQ$168)=FALSE,"",IF((('Dvd Calendar'!$AQ$170=TYPE1)*(TYPE1&lt;&gt;"")+('Dvd Calendar'!$AQ$170=TYPE2)*(TYPE2&lt;&gt;"")+('Dvd Calendar'!$AQ$170=TYPE3)*(TYPE3&lt;&gt;"")+('Dvd Calendar'!$AQ$170=TYPE4)*(TYPE4&lt;&gt;"")+('Dvd Calendar'!$AQ$170=SPECIAL_LBL)*(INC_SPECIALS="Y"))=0,"",'Dvd Calendar'!$AQ$168)))</f>
        <v/>
      </c>
      <c r="AP26" s="161">
        <f>IF(FR26="","",IF(ISNUMBER('Dvd Calendar'!$AR$168)=FALSE,"",IF((('Dvd Calendar'!$AR$170=TYPE1)*(TYPE1&lt;&gt;"")+('Dvd Calendar'!$AR$170=TYPE2)*(TYPE2&lt;&gt;"")+('Dvd Calendar'!$AR$170=TYPE3)*(TYPE3&lt;&gt;"")+('Dvd Calendar'!$AR$170=TYPE4)*(TYPE4&lt;&gt;"")+('Dvd Calendar'!$AR$170=SPECIAL_LBL)*(INC_SPECIALS="Y"))=0,"",'Dvd Calendar'!$AR$168)))</f>
        <v/>
      </c>
      <c r="AQ26" s="161">
        <f>IF(FS26="","",IF(ISNUMBER('Dvd Calendar'!$E$173)=FALSE,"",'Dvd Calendar'!$E$173))</f>
        <v/>
      </c>
      <c r="AR26" s="161">
        <f>IF(FT26="","",IF(ISNUMBER('Dvd Calendar'!$F$173)=FALSE,"",'Dvd Calendar'!$F$173))</f>
        <v/>
      </c>
      <c r="AS26" s="161">
        <f>IF(FU26="","",IF(ISNUMBER('Dvd Calendar'!$G$173)=FALSE,"",'Dvd Calendar'!$G$173))</f>
        <v/>
      </c>
      <c r="AT26" s="161">
        <f>IF(FV26="","",IF(ISNUMBER('Dvd Calendar'!$H$173)=FALSE,"",'Dvd Calendar'!$H$173))</f>
        <v/>
      </c>
      <c r="AU26" s="161">
        <f>IF(FW26="","",IF(ISNUMBER('Dvd Calendar'!$I$173)=FALSE,"",'Dvd Calendar'!$I$173))</f>
        <v/>
      </c>
      <c r="AV26" s="161">
        <f>IF(FX26="","",IF(ISNUMBER('Dvd Calendar'!$J$173)=FALSE,"",'Dvd Calendar'!$J$173))</f>
        <v/>
      </c>
      <c r="AW26" s="161">
        <f>IF(FY26="","",IF(ISNUMBER('Dvd Calendar'!$K$173)=FALSE,"",'Dvd Calendar'!$K$173))</f>
        <v/>
      </c>
      <c r="AX26" s="161">
        <f>IF(FZ26="","",IF(ISNUMBER('Dvd Calendar'!$L$173)=FALSE,"",'Dvd Calendar'!$L$173))</f>
        <v/>
      </c>
      <c r="AY26" s="161">
        <f>IF(GA26="","",IF(ISNUMBER('Dvd Calendar'!$M$173)=FALSE,"",'Dvd Calendar'!$M$173))</f>
        <v/>
      </c>
      <c r="AZ26" s="161">
        <f>IF(GB26="","",IF(ISNUMBER('Dvd Calendar'!$N$173)=FALSE,"",'Dvd Calendar'!$N$173))</f>
        <v/>
      </c>
      <c r="BA26" s="161">
        <f>IF(GC26="","",IF(ISNUMBER('Dvd Calendar'!$O$173)=FALSE,"",'Dvd Calendar'!$O$173))</f>
        <v/>
      </c>
      <c r="BB26" s="161">
        <f>IF(GD26="","",IF(ISNUMBER('Dvd Calendar'!$P$173)=FALSE,"",'Dvd Calendar'!$P$173))</f>
        <v/>
      </c>
      <c r="BC26" s="161">
        <f>IF(GE26="","",IF(ISNUMBER('Dvd Calendar'!$Q$173)=FALSE,"",'Dvd Calendar'!$Q$173))</f>
        <v/>
      </c>
      <c r="BD26" s="161">
        <f>IF(GF26="","",IF(ISNUMBER('Dvd Calendar'!$R$173)=FALSE,"",'Dvd Calendar'!$R$173))</f>
        <v/>
      </c>
      <c r="BE26" s="161">
        <f>IF(GG26="","",IF(ISNUMBER('Dvd Calendar'!$S$173)=FALSE,"",'Dvd Calendar'!$S$173))</f>
        <v/>
      </c>
      <c r="BF26" s="161">
        <f>IF(GH26="","",IF(ISNUMBER('Dvd Calendar'!$T$173)=FALSE,"",'Dvd Calendar'!$T$173))</f>
        <v/>
      </c>
      <c r="BG26" s="161">
        <f>IF(GI26="","",IF(ISNUMBER('Dvd Calendar'!$U$173)=FALSE,"",'Dvd Calendar'!$U$173))</f>
        <v/>
      </c>
      <c r="BH26" s="161">
        <f>IF(GJ26="","",IF(ISNUMBER('Dvd Calendar'!$V$173)=FALSE,"",'Dvd Calendar'!$V$173))</f>
        <v/>
      </c>
      <c r="BI26" s="161">
        <f>IF(GK26="","",IF(ISNUMBER('Dvd Calendar'!$W$173)=FALSE,"",'Dvd Calendar'!$W$173))</f>
        <v/>
      </c>
      <c r="BJ26" s="161">
        <f>IF(GL26="","",IF(ISNUMBER('Dvd Calendar'!$X$173)=FALSE,"",'Dvd Calendar'!$X$173))</f>
        <v/>
      </c>
      <c r="BK26" s="161">
        <f>IF(GM26="","",IF(ISNUMBER('Dvd Calendar'!$Y$173)=FALSE,"",'Dvd Calendar'!$Y$173))</f>
        <v/>
      </c>
      <c r="BL26" s="161">
        <f>IF(GN26="","",IF(ISNUMBER('Dvd Calendar'!$Z$173)=FALSE,"",'Dvd Calendar'!$Z$173))</f>
        <v/>
      </c>
      <c r="BM26" s="161">
        <f>IF(GO26="","",IF(ISNUMBER('Dvd Calendar'!$AA$173)=FALSE,"",'Dvd Calendar'!$AA$173))</f>
        <v/>
      </c>
      <c r="BN26" s="161">
        <f>IF(GP26="","",IF(ISNUMBER('Dvd Calendar'!$AB$173)=FALSE,"",'Dvd Calendar'!$AB$173))</f>
        <v/>
      </c>
      <c r="BO26" s="161">
        <f>IF(GQ26="","",IF(ISNUMBER('Dvd Calendar'!$AC$173)=FALSE,"",'Dvd Calendar'!$AC$173))</f>
        <v/>
      </c>
      <c r="BQ26" s="161">
        <f>IF(C26="","",IFERROR(C26*HSI!$B$21*HSI!$G$21/HSI!$B$3,""))</f>
        <v/>
      </c>
      <c r="BR26" s="161">
        <f>IF(D26="","",IFERROR(D26*HSI!$B$21*HSI!$G$21/HSI!$B$3,""))</f>
        <v/>
      </c>
      <c r="BS26" s="161">
        <f>IF(E26="","",IFERROR(E26*HSI!$B$21*HSI!$G$21/HSI!$B$3,""))</f>
        <v/>
      </c>
      <c r="BT26" s="161">
        <f>IF(F26="","",IFERROR(F26*HSI!$B$21*HSI!$G$21/HSI!$B$3,""))</f>
        <v/>
      </c>
      <c r="BU26" s="161">
        <f>IF(G26="","",IFERROR(G26*HSI!$B$21*HSI!$G$21/HSI!$B$3,""))</f>
        <v/>
      </c>
      <c r="BV26" s="161">
        <f>IF(H26="","",IFERROR(H26*HSI!$B$21*HSI!$G$21/HSI!$B$3,""))</f>
        <v/>
      </c>
      <c r="BW26" s="161">
        <f>IF(I26="","",IFERROR(I26*HSI!$B$21*HSI!$G$21/HSI!$B$3,""))</f>
        <v/>
      </c>
      <c r="BX26" s="161">
        <f>IF(J26="","",IFERROR(J26*HSI!$B$21*HSI!$G$21/HSI!$B$3,""))</f>
        <v/>
      </c>
      <c r="BY26" s="161">
        <f>IF(K26="","",IFERROR(K26*HSI!$B$21*HSI!$G$21/HSI!$B$3,""))</f>
        <v/>
      </c>
      <c r="BZ26" s="161">
        <f>IF(L26="","",IFERROR(L26*HSI!$B$21*HSI!$G$21/HSI!$B$3,""))</f>
        <v/>
      </c>
      <c r="CA26" s="161">
        <f>IF(M26="","",IFERROR(M26*HSI!$B$21*HSI!$G$21/HSI!$B$3,""))</f>
        <v/>
      </c>
      <c r="CB26" s="161">
        <f>IF(N26="","",IFERROR(N26*HSI!$B$21*HSI!$G$21/HSI!$B$3,""))</f>
        <v/>
      </c>
      <c r="CC26" s="161">
        <f>IF(O26="","",IFERROR(O26*HSI!$B$21*HSI!$G$21/HSI!$B$3,""))</f>
        <v/>
      </c>
      <c r="CD26" s="161">
        <f>IF(P26="","",IFERROR(P26*HSI!$B$21*HSI!$G$21/HSI!$B$3,""))</f>
        <v/>
      </c>
      <c r="CE26" s="161">
        <f>IF(Q26="","",IFERROR(Q26*HSI!$B$21*HSI!$G$21/HSI!$B$3,""))</f>
        <v/>
      </c>
      <c r="CF26" s="161">
        <f>IF(R26="","",IFERROR(R26*HSI!$B$21*HSI!$G$21/HSI!$B$3,""))</f>
        <v/>
      </c>
      <c r="CG26" s="161">
        <f>IF(S26="","",IFERROR(S26*HSI!$B$21*HSI!$G$21/HSI!$B$3,""))</f>
        <v/>
      </c>
      <c r="CH26" s="161">
        <f>IF(T26="","",IFERROR(T26*HSI!$B$21*HSI!$G$21/HSI!$B$3,""))</f>
        <v/>
      </c>
      <c r="CI26" s="161">
        <f>IF(U26="","",IFERROR(U26*HSI!$B$21*HSI!$G$21/HSI!$B$3,""))</f>
        <v/>
      </c>
      <c r="CJ26" s="161">
        <f>IF(V26="","",IFERROR(V26*HSI!$B$21*HSI!$G$21/HSI!$B$3,""))</f>
        <v/>
      </c>
      <c r="CK26" s="161">
        <f>IF(W26="","",IFERROR(W26*HSI!$B$21*HSI!$G$21/HSI!$B$3,""))</f>
        <v/>
      </c>
      <c r="CL26" s="161">
        <f>IF(X26="","",IFERROR(X26*HSI!$B$21*HSI!$G$21/HSI!$B$3,""))</f>
        <v/>
      </c>
      <c r="CM26" s="161">
        <f>IF(Y26="","",IFERROR(Y26*HSI!$B$21*HSI!$G$21/HSI!$B$3,""))</f>
        <v/>
      </c>
      <c r="CN26" s="161">
        <f>IF(Z26="","",IFERROR(Z26*HSI!$B$21*HSI!$G$21/HSI!$B$3,""))</f>
        <v/>
      </c>
      <c r="CO26" s="161">
        <f>IF(AA26="","",IFERROR(AA26*HSI!$B$21*HSI!$G$21/HSI!$B$3,""))</f>
        <v/>
      </c>
      <c r="CP26" s="161">
        <f>IF(AB26="","",IFERROR(AB26*HSI!$B$21*HSI!$G$21/HSI!$B$3,""))</f>
        <v/>
      </c>
      <c r="CQ26" s="161">
        <f>IF(AC26="","",IFERROR(AC26*HSI!$B$21*HSI!$G$21/HSI!$B$3,""))</f>
        <v/>
      </c>
      <c r="CR26" s="161">
        <f>IF(AD26="","",IFERROR(AD26*HSI!$B$21*HSI!$G$21/HSI!$B$3,""))</f>
        <v/>
      </c>
      <c r="CS26" s="161">
        <f>IF(AE26="","",IFERROR(AE26*HSI!$B$21*HSI!$G$21/HSI!$B$3,""))</f>
        <v/>
      </c>
      <c r="CT26" s="161">
        <f>IF(AF26="","",IFERROR(AF26*HSI!$B$21*HSI!$G$21/HSI!$B$3,""))</f>
        <v/>
      </c>
      <c r="CU26" s="161">
        <f>IF(AG26="","",IFERROR(AG26*HSI!$B$21*HSI!$G$21/HSI!$B$3,""))</f>
        <v/>
      </c>
      <c r="CV26" s="161">
        <f>IF(AH26="","",IFERROR(AH26*HSI!$B$21*HSI!$G$21/HSI!$B$3,""))</f>
        <v/>
      </c>
      <c r="CW26" s="161">
        <f>IF(AI26="","",IFERROR(AI26*HSI!$B$21*HSI!$G$21/HSI!$B$3,""))</f>
        <v/>
      </c>
      <c r="CX26" s="161">
        <f>IF(AJ26="","",IFERROR(AJ26*HSI!$B$21*HSI!$G$21/HSI!$B$3,""))</f>
        <v/>
      </c>
      <c r="CY26" s="161">
        <f>IF(AK26="","",IFERROR(AK26*HSI!$B$21*HSI!$G$21/HSI!$B$3,""))</f>
        <v/>
      </c>
      <c r="CZ26" s="161">
        <f>IF(AL26="","",IFERROR(AL26*HSI!$B$21*HSI!$G$21/HSI!$B$3,""))</f>
        <v/>
      </c>
      <c r="DA26" s="161">
        <f>IF(AM26="","",IFERROR(AM26*HSI!$B$21*HSI!$G$21/HSI!$B$3,""))</f>
        <v/>
      </c>
      <c r="DB26" s="161">
        <f>IF(AN26="","",IFERROR(AN26*HSI!$B$21*HSI!$G$21/HSI!$B$3,""))</f>
        <v/>
      </c>
      <c r="DC26" s="161">
        <f>IF(AO26="","",IFERROR(AO26*HSI!$B$21*HSI!$G$21/HSI!$B$3,""))</f>
        <v/>
      </c>
      <c r="DD26" s="161">
        <f>IF(AP26="","",IFERROR(AP26*HSI!$B$21*HSI!$G$21/HSI!$B$3,""))</f>
        <v/>
      </c>
      <c r="DE26" s="161">
        <f>IF(AQ26="","",IFERROR(AQ26*HSI!$B$21*HSI!$G$21/HSI!$B$3,""))</f>
        <v/>
      </c>
      <c r="DF26" s="161">
        <f>IF(AR26="","",IFERROR(AR26*HSI!$B$21*HSI!$G$21/HSI!$B$3,""))</f>
        <v/>
      </c>
      <c r="DG26" s="161">
        <f>IF(AS26="","",IFERROR(AS26*HSI!$B$21*HSI!$G$21/HSI!$B$3,""))</f>
        <v/>
      </c>
      <c r="DH26" s="161">
        <f>IF(AT26="","",IFERROR(AT26*HSI!$B$21*HSI!$G$21/HSI!$B$3,""))</f>
        <v/>
      </c>
      <c r="DI26" s="161">
        <f>IF(AU26="","",IFERROR(AU26*HSI!$B$21*HSI!$G$21/HSI!$B$3,""))</f>
        <v/>
      </c>
      <c r="DJ26" s="161">
        <f>IF(AV26="","",IFERROR(AV26*HSI!$B$21*HSI!$G$21/HSI!$B$3,""))</f>
        <v/>
      </c>
      <c r="DK26" s="161">
        <f>IF(AW26="","",IFERROR(AW26*HSI!$B$21*HSI!$G$21/HSI!$B$3,""))</f>
        <v/>
      </c>
      <c r="DL26" s="161">
        <f>IF(AX26="","",IFERROR(AX26*HSI!$B$21*HSI!$G$21/HSI!$B$3,""))</f>
        <v/>
      </c>
      <c r="DM26" s="161">
        <f>IF(AY26="","",IFERROR(AY26*HSI!$B$21*HSI!$G$21/HSI!$B$3,""))</f>
        <v/>
      </c>
      <c r="DN26" s="161">
        <f>IF(AZ26="","",IFERROR(AZ26*HSI!$B$21*HSI!$G$21/HSI!$B$3,""))</f>
        <v/>
      </c>
      <c r="DO26" s="161">
        <f>IF(BA26="","",IFERROR(BA26*HSI!$B$21*HSI!$G$21/HSI!$B$3,""))</f>
        <v/>
      </c>
      <c r="DP26" s="161">
        <f>IF(BB26="","",IFERROR(BB26*HSI!$B$21*HSI!$G$21/HSI!$B$3,""))</f>
        <v/>
      </c>
      <c r="DQ26" s="161">
        <f>IF(BC26="","",IFERROR(BC26*HSI!$B$21*HSI!$G$21/HSI!$B$3,""))</f>
        <v/>
      </c>
      <c r="DR26" s="161">
        <f>IF(BD26="","",IFERROR(BD26*HSI!$B$21*HSI!$G$21/HSI!$B$3,""))</f>
        <v/>
      </c>
      <c r="DS26" s="161">
        <f>IF(BE26="","",IFERROR(BE26*HSI!$B$21*HSI!$G$21/HSI!$B$3,""))</f>
        <v/>
      </c>
      <c r="DT26" s="161">
        <f>IF(BF26="","",IFERROR(BF26*HSI!$B$21*HSI!$G$21/HSI!$B$3,""))</f>
        <v/>
      </c>
      <c r="DU26" s="161">
        <f>IF(BG26="","",IFERROR(BG26*HSI!$B$21*HSI!$G$21/HSI!$B$3,""))</f>
        <v/>
      </c>
      <c r="DV26" s="161">
        <f>IF(BH26="","",IFERROR(BH26*HSI!$B$21*HSI!$G$21/HSI!$B$3,""))</f>
        <v/>
      </c>
      <c r="DW26" s="161">
        <f>IF(BI26="","",IFERROR(BI26*HSI!$B$21*HSI!$G$21/HSI!$B$3,""))</f>
        <v/>
      </c>
      <c r="DX26" s="161">
        <f>IF(BJ26="","",IFERROR(BJ26*HSI!$B$21*HSI!$G$21/HSI!$B$3,""))</f>
        <v/>
      </c>
      <c r="DY26" s="161">
        <f>IF(BK26="","",IFERROR(BK26*HSI!$B$21*HSI!$G$21/HSI!$B$3,""))</f>
        <v/>
      </c>
      <c r="DZ26" s="161">
        <f>IF(BL26="","",IFERROR(BL26*HSI!$B$21*HSI!$G$21/HSI!$B$3,""))</f>
        <v/>
      </c>
      <c r="EA26" s="161">
        <f>IF(BM26="","",IFERROR(BM26*HSI!$B$21*HSI!$G$21/HSI!$B$3,""))</f>
        <v/>
      </c>
      <c r="EB26" s="161">
        <f>IF(BN26="","",IFERROR(BN26*HSI!$B$21*HSI!$G$21/HSI!$B$3,""))</f>
        <v/>
      </c>
      <c r="EC26" s="161">
        <f>IF(BO26="","",IFERROR(BO26*HSI!$B$21*HSI!$G$21/HSI!$B$3,""))</f>
        <v/>
      </c>
      <c r="EE26" s="121">
        <f>IF(N('Dvd Calendar'!$E$165)=0,"",IF(('Dvd Calendar'!$E$165&gt;=GRID_FROM)*('Dvd Calendar'!$E$165&lt;=GRID_TO)*((('Dvd Calendar'!$E$165&lt;=VAL_DATE)+(COUNTIF('Dvd Calendar'!$E$172:$AR$172,'Dvd Calendar'!$E$165)=0))&gt;0)=0,"",'Dvd Calendar'!$E$165*1000000000+ISNUMBER('Dvd Calendar'!$E$168)*100000000+('Dvd Calendar'!$E$170=SPECIAL_LBL)*10000000+(N('Dvd Calendar'!$E$164)&gt;0)*(N('Dvd Calendar'!$E$164)&lt;=VAL_SERIAL)*1000000+15*1000+1))</f>
        <v/>
      </c>
      <c r="EF26" s="121">
        <f>IF(N('Dvd Calendar'!$F$165)=0,"",IF(('Dvd Calendar'!$F$165&gt;=GRID_FROM)*('Dvd Calendar'!$F$165&lt;=GRID_TO)*((('Dvd Calendar'!$F$165&lt;=VAL_DATE)+(COUNTIF('Dvd Calendar'!$E$172:$AR$172,'Dvd Calendar'!$F$165)=0))&gt;0)=0,"",'Dvd Calendar'!$F$165*1000000000+ISNUMBER('Dvd Calendar'!$F$168)*100000000+('Dvd Calendar'!$F$170=SPECIAL_LBL)*10000000+(N('Dvd Calendar'!$F$164)&gt;0)*(N('Dvd Calendar'!$F$164)&lt;=VAL_SERIAL)*1000000+15*1000+2))</f>
        <v/>
      </c>
      <c r="EG26" s="121">
        <f>IF(N('Dvd Calendar'!$G$165)=0,"",IF(('Dvd Calendar'!$G$165&gt;=GRID_FROM)*('Dvd Calendar'!$G$165&lt;=GRID_TO)*((('Dvd Calendar'!$G$165&lt;=VAL_DATE)+(COUNTIF('Dvd Calendar'!$E$172:$AR$172,'Dvd Calendar'!$G$165)=0))&gt;0)=0,"",'Dvd Calendar'!$G$165*1000000000+ISNUMBER('Dvd Calendar'!$G$168)*100000000+('Dvd Calendar'!$G$170=SPECIAL_LBL)*10000000+(N('Dvd Calendar'!$G$164)&gt;0)*(N('Dvd Calendar'!$G$164)&lt;=VAL_SERIAL)*1000000+15*1000+3))</f>
        <v/>
      </c>
      <c r="EH26" s="121">
        <f>IF(N('Dvd Calendar'!$H$165)=0,"",IF(('Dvd Calendar'!$H$165&gt;=GRID_FROM)*('Dvd Calendar'!$H$165&lt;=GRID_TO)*((('Dvd Calendar'!$H$165&lt;=VAL_DATE)+(COUNTIF('Dvd Calendar'!$E$172:$AR$172,'Dvd Calendar'!$H$165)=0))&gt;0)=0,"",'Dvd Calendar'!$H$165*1000000000+ISNUMBER('Dvd Calendar'!$H$168)*100000000+('Dvd Calendar'!$H$170=SPECIAL_LBL)*10000000+(N('Dvd Calendar'!$H$164)&gt;0)*(N('Dvd Calendar'!$H$164)&lt;=VAL_SERIAL)*1000000+15*1000+4))</f>
        <v/>
      </c>
      <c r="EI26" s="121">
        <f>IF(N('Dvd Calendar'!$I$165)=0,"",IF(('Dvd Calendar'!$I$165&gt;=GRID_FROM)*('Dvd Calendar'!$I$165&lt;=GRID_TO)*((('Dvd Calendar'!$I$165&lt;=VAL_DATE)+(COUNTIF('Dvd Calendar'!$E$172:$AR$172,'Dvd Calendar'!$I$165)=0))&gt;0)=0,"",'Dvd Calendar'!$I$165*1000000000+ISNUMBER('Dvd Calendar'!$I$168)*100000000+('Dvd Calendar'!$I$170=SPECIAL_LBL)*10000000+(N('Dvd Calendar'!$I$164)&gt;0)*(N('Dvd Calendar'!$I$164)&lt;=VAL_SERIAL)*1000000+15*1000+5))</f>
        <v/>
      </c>
      <c r="EJ26" s="121">
        <f>IF(N('Dvd Calendar'!$J$165)=0,"",IF(('Dvd Calendar'!$J$165&gt;=GRID_FROM)*('Dvd Calendar'!$J$165&lt;=GRID_TO)*((('Dvd Calendar'!$J$165&lt;=VAL_DATE)+(COUNTIF('Dvd Calendar'!$E$172:$AR$172,'Dvd Calendar'!$J$165)=0))&gt;0)=0,"",'Dvd Calendar'!$J$165*1000000000+ISNUMBER('Dvd Calendar'!$J$168)*100000000+('Dvd Calendar'!$J$170=SPECIAL_LBL)*10000000+(N('Dvd Calendar'!$J$164)&gt;0)*(N('Dvd Calendar'!$J$164)&lt;=VAL_SERIAL)*1000000+15*1000+6))</f>
        <v/>
      </c>
      <c r="EK26" s="121">
        <f>IF(N('Dvd Calendar'!$K$165)=0,"",IF(('Dvd Calendar'!$K$165&gt;=GRID_FROM)*('Dvd Calendar'!$K$165&lt;=GRID_TO)*((('Dvd Calendar'!$K$165&lt;=VAL_DATE)+(COUNTIF('Dvd Calendar'!$E$172:$AR$172,'Dvd Calendar'!$K$165)=0))&gt;0)=0,"",'Dvd Calendar'!$K$165*1000000000+ISNUMBER('Dvd Calendar'!$K$168)*100000000+('Dvd Calendar'!$K$170=SPECIAL_LBL)*10000000+(N('Dvd Calendar'!$K$164)&gt;0)*(N('Dvd Calendar'!$K$164)&lt;=VAL_SERIAL)*1000000+15*1000+7))</f>
        <v/>
      </c>
      <c r="EL26" s="121">
        <f>IF(N('Dvd Calendar'!$L$165)=0,"",IF(('Dvd Calendar'!$L$165&gt;=GRID_FROM)*('Dvd Calendar'!$L$165&lt;=GRID_TO)*((('Dvd Calendar'!$L$165&lt;=VAL_DATE)+(COUNTIF('Dvd Calendar'!$E$172:$AR$172,'Dvd Calendar'!$L$165)=0))&gt;0)=0,"",'Dvd Calendar'!$L$165*1000000000+ISNUMBER('Dvd Calendar'!$L$168)*100000000+('Dvd Calendar'!$L$170=SPECIAL_LBL)*10000000+(N('Dvd Calendar'!$L$164)&gt;0)*(N('Dvd Calendar'!$L$164)&lt;=VAL_SERIAL)*1000000+15*1000+8))</f>
        <v/>
      </c>
      <c r="EM26" s="121">
        <f>IF(N('Dvd Calendar'!$M$165)=0,"",IF(('Dvd Calendar'!$M$165&gt;=GRID_FROM)*('Dvd Calendar'!$M$165&lt;=GRID_TO)*((('Dvd Calendar'!$M$165&lt;=VAL_DATE)+(COUNTIF('Dvd Calendar'!$E$172:$AR$172,'Dvd Calendar'!$M$165)=0))&gt;0)=0,"",'Dvd Calendar'!$M$165*1000000000+ISNUMBER('Dvd Calendar'!$M$168)*100000000+('Dvd Calendar'!$M$170=SPECIAL_LBL)*10000000+(N('Dvd Calendar'!$M$164)&gt;0)*(N('Dvd Calendar'!$M$164)&lt;=VAL_SERIAL)*1000000+15*1000+9))</f>
        <v/>
      </c>
      <c r="EN26" s="121">
        <f>IF(N('Dvd Calendar'!$N$165)=0,"",IF(('Dvd Calendar'!$N$165&gt;=GRID_FROM)*('Dvd Calendar'!$N$165&lt;=GRID_TO)*((('Dvd Calendar'!$N$165&lt;=VAL_DATE)+(COUNTIF('Dvd Calendar'!$E$172:$AR$172,'Dvd Calendar'!$N$165)=0))&gt;0)=0,"",'Dvd Calendar'!$N$165*1000000000+ISNUMBER('Dvd Calendar'!$N$168)*100000000+('Dvd Calendar'!$N$170=SPECIAL_LBL)*10000000+(N('Dvd Calendar'!$N$164)&gt;0)*(N('Dvd Calendar'!$N$164)&lt;=VAL_SERIAL)*1000000+15*1000+10))</f>
        <v/>
      </c>
      <c r="EO26" s="121">
        <f>IF(N('Dvd Calendar'!$O$165)=0,"",IF(('Dvd Calendar'!$O$165&gt;=GRID_FROM)*('Dvd Calendar'!$O$165&lt;=GRID_TO)*((('Dvd Calendar'!$O$165&lt;=VAL_DATE)+(COUNTIF('Dvd Calendar'!$E$172:$AR$172,'Dvd Calendar'!$O$165)=0))&gt;0)=0,"",'Dvd Calendar'!$O$165*1000000000+ISNUMBER('Dvd Calendar'!$O$168)*100000000+('Dvd Calendar'!$O$170=SPECIAL_LBL)*10000000+(N('Dvd Calendar'!$O$164)&gt;0)*(N('Dvd Calendar'!$O$164)&lt;=VAL_SERIAL)*1000000+15*1000+11))</f>
        <v/>
      </c>
      <c r="EP26" s="121">
        <f>IF(N('Dvd Calendar'!$P$165)=0,"",IF(('Dvd Calendar'!$P$165&gt;=GRID_FROM)*('Dvd Calendar'!$P$165&lt;=GRID_TO)*((('Dvd Calendar'!$P$165&lt;=VAL_DATE)+(COUNTIF('Dvd Calendar'!$E$172:$AR$172,'Dvd Calendar'!$P$165)=0))&gt;0)=0,"",'Dvd Calendar'!$P$165*1000000000+ISNUMBER('Dvd Calendar'!$P$168)*100000000+('Dvd Calendar'!$P$170=SPECIAL_LBL)*10000000+(N('Dvd Calendar'!$P$164)&gt;0)*(N('Dvd Calendar'!$P$164)&lt;=VAL_SERIAL)*1000000+15*1000+12))</f>
        <v/>
      </c>
      <c r="EQ26" s="121">
        <f>IF(N('Dvd Calendar'!$Q$165)=0,"",IF(('Dvd Calendar'!$Q$165&gt;=GRID_FROM)*('Dvd Calendar'!$Q$165&lt;=GRID_TO)*((('Dvd Calendar'!$Q$165&lt;=VAL_DATE)+(COUNTIF('Dvd Calendar'!$E$172:$AR$172,'Dvd Calendar'!$Q$165)=0))&gt;0)=0,"",'Dvd Calendar'!$Q$165*1000000000+ISNUMBER('Dvd Calendar'!$Q$168)*100000000+('Dvd Calendar'!$Q$170=SPECIAL_LBL)*10000000+(N('Dvd Calendar'!$Q$164)&gt;0)*(N('Dvd Calendar'!$Q$164)&lt;=VAL_SERIAL)*1000000+15*1000+13))</f>
        <v/>
      </c>
      <c r="ER26" s="121">
        <f>IF(N('Dvd Calendar'!$R$165)=0,"",IF(('Dvd Calendar'!$R$165&gt;=GRID_FROM)*('Dvd Calendar'!$R$165&lt;=GRID_TO)*((('Dvd Calendar'!$R$165&lt;=VAL_DATE)+(COUNTIF('Dvd Calendar'!$E$172:$AR$172,'Dvd Calendar'!$R$165)=0))&gt;0)=0,"",'Dvd Calendar'!$R$165*1000000000+ISNUMBER('Dvd Calendar'!$R$168)*100000000+('Dvd Calendar'!$R$170=SPECIAL_LBL)*10000000+(N('Dvd Calendar'!$R$164)&gt;0)*(N('Dvd Calendar'!$R$164)&lt;=VAL_SERIAL)*1000000+15*1000+14))</f>
        <v/>
      </c>
      <c r="ES26" s="121">
        <f>IF(N('Dvd Calendar'!$S$165)=0,"",IF(('Dvd Calendar'!$S$165&gt;=GRID_FROM)*('Dvd Calendar'!$S$165&lt;=GRID_TO)*((('Dvd Calendar'!$S$165&lt;=VAL_DATE)+(COUNTIF('Dvd Calendar'!$E$172:$AR$172,'Dvd Calendar'!$S$165)=0))&gt;0)=0,"",'Dvd Calendar'!$S$165*1000000000+ISNUMBER('Dvd Calendar'!$S$168)*100000000+('Dvd Calendar'!$S$170=SPECIAL_LBL)*10000000+(N('Dvd Calendar'!$S$164)&gt;0)*(N('Dvd Calendar'!$S$164)&lt;=VAL_SERIAL)*1000000+15*1000+15))</f>
        <v/>
      </c>
      <c r="ET26" s="121">
        <f>IF(N('Dvd Calendar'!$T$165)=0,"",IF(('Dvd Calendar'!$T$165&gt;=GRID_FROM)*('Dvd Calendar'!$T$165&lt;=GRID_TO)*((('Dvd Calendar'!$T$165&lt;=VAL_DATE)+(COUNTIF('Dvd Calendar'!$E$172:$AR$172,'Dvd Calendar'!$T$165)=0))&gt;0)=0,"",'Dvd Calendar'!$T$165*1000000000+ISNUMBER('Dvd Calendar'!$T$168)*100000000+('Dvd Calendar'!$T$170=SPECIAL_LBL)*10000000+(N('Dvd Calendar'!$T$164)&gt;0)*(N('Dvd Calendar'!$T$164)&lt;=VAL_SERIAL)*1000000+15*1000+16))</f>
        <v/>
      </c>
      <c r="EU26" s="121">
        <f>IF(N('Dvd Calendar'!$U$165)=0,"",IF(('Dvd Calendar'!$U$165&gt;=GRID_FROM)*('Dvd Calendar'!$U$165&lt;=GRID_TO)*((('Dvd Calendar'!$U$165&lt;=VAL_DATE)+(COUNTIF('Dvd Calendar'!$E$172:$AR$172,'Dvd Calendar'!$U$165)=0))&gt;0)=0,"",'Dvd Calendar'!$U$165*1000000000+ISNUMBER('Dvd Calendar'!$U$168)*100000000+('Dvd Calendar'!$U$170=SPECIAL_LBL)*10000000+(N('Dvd Calendar'!$U$164)&gt;0)*(N('Dvd Calendar'!$U$164)&lt;=VAL_SERIAL)*1000000+15*1000+17))</f>
        <v/>
      </c>
      <c r="EV26" s="121">
        <f>IF(N('Dvd Calendar'!$V$165)=0,"",IF(('Dvd Calendar'!$V$165&gt;=GRID_FROM)*('Dvd Calendar'!$V$165&lt;=GRID_TO)*((('Dvd Calendar'!$V$165&lt;=VAL_DATE)+(COUNTIF('Dvd Calendar'!$E$172:$AR$172,'Dvd Calendar'!$V$165)=0))&gt;0)=0,"",'Dvd Calendar'!$V$165*1000000000+ISNUMBER('Dvd Calendar'!$V$168)*100000000+('Dvd Calendar'!$V$170=SPECIAL_LBL)*10000000+(N('Dvd Calendar'!$V$164)&gt;0)*(N('Dvd Calendar'!$V$164)&lt;=VAL_SERIAL)*1000000+15*1000+18))</f>
        <v/>
      </c>
      <c r="EW26" s="121">
        <f>IF(N('Dvd Calendar'!$W$165)=0,"",IF(('Dvd Calendar'!$W$165&gt;=GRID_FROM)*('Dvd Calendar'!$W$165&lt;=GRID_TO)*((('Dvd Calendar'!$W$165&lt;=VAL_DATE)+(COUNTIF('Dvd Calendar'!$E$172:$AR$172,'Dvd Calendar'!$W$165)=0))&gt;0)=0,"",'Dvd Calendar'!$W$165*1000000000+ISNUMBER('Dvd Calendar'!$W$168)*100000000+('Dvd Calendar'!$W$170=SPECIAL_LBL)*10000000+(N('Dvd Calendar'!$W$164)&gt;0)*(N('Dvd Calendar'!$W$164)&lt;=VAL_SERIAL)*1000000+15*1000+19))</f>
        <v/>
      </c>
      <c r="EX26" s="121">
        <f>IF(N('Dvd Calendar'!$X$165)=0,"",IF(('Dvd Calendar'!$X$165&gt;=GRID_FROM)*('Dvd Calendar'!$X$165&lt;=GRID_TO)*((('Dvd Calendar'!$X$165&lt;=VAL_DATE)+(COUNTIF('Dvd Calendar'!$E$172:$AR$172,'Dvd Calendar'!$X$165)=0))&gt;0)=0,"",'Dvd Calendar'!$X$165*1000000000+ISNUMBER('Dvd Calendar'!$X$168)*100000000+('Dvd Calendar'!$X$170=SPECIAL_LBL)*10000000+(N('Dvd Calendar'!$X$164)&gt;0)*(N('Dvd Calendar'!$X$164)&lt;=VAL_SERIAL)*1000000+15*1000+20))</f>
        <v/>
      </c>
      <c r="EY26" s="121">
        <f>IF(N('Dvd Calendar'!$Y$165)=0,"",IF(('Dvd Calendar'!$Y$165&gt;=GRID_FROM)*('Dvd Calendar'!$Y$165&lt;=GRID_TO)*((('Dvd Calendar'!$Y$165&lt;=VAL_DATE)+(COUNTIF('Dvd Calendar'!$E$172:$AR$172,'Dvd Calendar'!$Y$165)=0))&gt;0)=0,"",'Dvd Calendar'!$Y$165*1000000000+ISNUMBER('Dvd Calendar'!$Y$168)*100000000+('Dvd Calendar'!$Y$170=SPECIAL_LBL)*10000000+(N('Dvd Calendar'!$Y$164)&gt;0)*(N('Dvd Calendar'!$Y$164)&lt;=VAL_SERIAL)*1000000+15*1000+21))</f>
        <v/>
      </c>
      <c r="EZ26" s="121">
        <f>IF(N('Dvd Calendar'!$Z$165)=0,"",IF(('Dvd Calendar'!$Z$165&gt;=GRID_FROM)*('Dvd Calendar'!$Z$165&lt;=GRID_TO)*((('Dvd Calendar'!$Z$165&lt;=VAL_DATE)+(COUNTIF('Dvd Calendar'!$E$172:$AR$172,'Dvd Calendar'!$Z$165)=0))&gt;0)=0,"",'Dvd Calendar'!$Z$165*1000000000+ISNUMBER('Dvd Calendar'!$Z$168)*100000000+('Dvd Calendar'!$Z$170=SPECIAL_LBL)*10000000+(N('Dvd Calendar'!$Z$164)&gt;0)*(N('Dvd Calendar'!$Z$164)&lt;=VAL_SERIAL)*1000000+15*1000+22))</f>
        <v/>
      </c>
      <c r="FA26" s="121">
        <f>IF(N('Dvd Calendar'!$AA$165)=0,"",IF(('Dvd Calendar'!$AA$165&gt;=GRID_FROM)*('Dvd Calendar'!$AA$165&lt;=GRID_TO)*((('Dvd Calendar'!$AA$165&lt;=VAL_DATE)+(COUNTIF('Dvd Calendar'!$E$172:$AR$172,'Dvd Calendar'!$AA$165)=0))&gt;0)=0,"",'Dvd Calendar'!$AA$165*1000000000+ISNUMBER('Dvd Calendar'!$AA$168)*100000000+('Dvd Calendar'!$AA$170=SPECIAL_LBL)*10000000+(N('Dvd Calendar'!$AA$164)&gt;0)*(N('Dvd Calendar'!$AA$164)&lt;=VAL_SERIAL)*1000000+15*1000+23))</f>
        <v/>
      </c>
      <c r="FB26" s="121">
        <f>IF(N('Dvd Calendar'!$AB$165)=0,"",IF(('Dvd Calendar'!$AB$165&gt;=GRID_FROM)*('Dvd Calendar'!$AB$165&lt;=GRID_TO)*((('Dvd Calendar'!$AB$165&lt;=VAL_DATE)+(COUNTIF('Dvd Calendar'!$E$172:$AR$172,'Dvd Calendar'!$AB$165)=0))&gt;0)=0,"",'Dvd Calendar'!$AB$165*1000000000+ISNUMBER('Dvd Calendar'!$AB$168)*100000000+('Dvd Calendar'!$AB$170=SPECIAL_LBL)*10000000+(N('Dvd Calendar'!$AB$164)&gt;0)*(N('Dvd Calendar'!$AB$164)&lt;=VAL_SERIAL)*1000000+15*1000+24))</f>
        <v/>
      </c>
      <c r="FC26" s="121">
        <f>IF(N('Dvd Calendar'!$AC$165)=0,"",IF(('Dvd Calendar'!$AC$165&gt;=GRID_FROM)*('Dvd Calendar'!$AC$165&lt;=GRID_TO)*((('Dvd Calendar'!$AC$165&lt;=VAL_DATE)+(COUNTIF('Dvd Calendar'!$E$172:$AR$172,'Dvd Calendar'!$AC$165)=0))&gt;0)=0,"",'Dvd Calendar'!$AC$165*1000000000+ISNUMBER('Dvd Calendar'!$AC$168)*100000000+('Dvd Calendar'!$AC$170=SPECIAL_LBL)*10000000+(N('Dvd Calendar'!$AC$164)&gt;0)*(N('Dvd Calendar'!$AC$164)&lt;=VAL_SERIAL)*1000000+15*1000+25))</f>
        <v/>
      </c>
      <c r="FD26" s="121">
        <f>IF(N('Dvd Calendar'!$AD$165)=0,"",IF(('Dvd Calendar'!$AD$165&gt;=GRID_FROM)*('Dvd Calendar'!$AD$165&lt;=GRID_TO)*((('Dvd Calendar'!$AD$165&lt;=VAL_DATE)+(COUNTIF('Dvd Calendar'!$E$172:$AR$172,'Dvd Calendar'!$AD$165)=0))&gt;0)=0,"",'Dvd Calendar'!$AD$165*1000000000+ISNUMBER('Dvd Calendar'!$AD$168)*100000000+('Dvd Calendar'!$AD$170=SPECIAL_LBL)*10000000+(N('Dvd Calendar'!$AD$164)&gt;0)*(N('Dvd Calendar'!$AD$164)&lt;=VAL_SERIAL)*1000000+15*1000+26))</f>
        <v/>
      </c>
      <c r="FE26" s="121">
        <f>IF(N('Dvd Calendar'!$AE$165)=0,"",IF(('Dvd Calendar'!$AE$165&gt;=GRID_FROM)*('Dvd Calendar'!$AE$165&lt;=GRID_TO)*((('Dvd Calendar'!$AE$165&lt;=VAL_DATE)+(COUNTIF('Dvd Calendar'!$E$172:$AR$172,'Dvd Calendar'!$AE$165)=0))&gt;0)=0,"",'Dvd Calendar'!$AE$165*1000000000+ISNUMBER('Dvd Calendar'!$AE$168)*100000000+('Dvd Calendar'!$AE$170=SPECIAL_LBL)*10000000+(N('Dvd Calendar'!$AE$164)&gt;0)*(N('Dvd Calendar'!$AE$164)&lt;=VAL_SERIAL)*1000000+15*1000+27))</f>
        <v/>
      </c>
      <c r="FF26" s="121">
        <f>IF(N('Dvd Calendar'!$AF$165)=0,"",IF(('Dvd Calendar'!$AF$165&gt;=GRID_FROM)*('Dvd Calendar'!$AF$165&lt;=GRID_TO)*((('Dvd Calendar'!$AF$165&lt;=VAL_DATE)+(COUNTIF('Dvd Calendar'!$E$172:$AR$172,'Dvd Calendar'!$AF$165)=0))&gt;0)=0,"",'Dvd Calendar'!$AF$165*1000000000+ISNUMBER('Dvd Calendar'!$AF$168)*100000000+('Dvd Calendar'!$AF$170=SPECIAL_LBL)*10000000+(N('Dvd Calendar'!$AF$164)&gt;0)*(N('Dvd Calendar'!$AF$164)&lt;=VAL_SERIAL)*1000000+15*1000+28))</f>
        <v/>
      </c>
      <c r="FG26" s="121">
        <f>IF(N('Dvd Calendar'!$AG$165)=0,"",IF(('Dvd Calendar'!$AG$165&gt;=GRID_FROM)*('Dvd Calendar'!$AG$165&lt;=GRID_TO)*((('Dvd Calendar'!$AG$165&lt;=VAL_DATE)+(COUNTIF('Dvd Calendar'!$E$172:$AR$172,'Dvd Calendar'!$AG$165)=0))&gt;0)=0,"",'Dvd Calendar'!$AG$165*1000000000+ISNUMBER('Dvd Calendar'!$AG$168)*100000000+('Dvd Calendar'!$AG$170=SPECIAL_LBL)*10000000+(N('Dvd Calendar'!$AG$164)&gt;0)*(N('Dvd Calendar'!$AG$164)&lt;=VAL_SERIAL)*1000000+15*1000+29))</f>
        <v/>
      </c>
      <c r="FH26" s="121">
        <f>IF(N('Dvd Calendar'!$AH$165)=0,"",IF(('Dvd Calendar'!$AH$165&gt;=GRID_FROM)*('Dvd Calendar'!$AH$165&lt;=GRID_TO)*((('Dvd Calendar'!$AH$165&lt;=VAL_DATE)+(COUNTIF('Dvd Calendar'!$E$172:$AR$172,'Dvd Calendar'!$AH$165)=0))&gt;0)=0,"",'Dvd Calendar'!$AH$165*1000000000+ISNUMBER('Dvd Calendar'!$AH$168)*100000000+('Dvd Calendar'!$AH$170=SPECIAL_LBL)*10000000+(N('Dvd Calendar'!$AH$164)&gt;0)*(N('Dvd Calendar'!$AH$164)&lt;=VAL_SERIAL)*1000000+15*1000+30))</f>
        <v/>
      </c>
      <c r="FI26" s="121">
        <f>IF(N('Dvd Calendar'!$AI$165)=0,"",IF(('Dvd Calendar'!$AI$165&gt;=GRID_FROM)*('Dvd Calendar'!$AI$165&lt;=GRID_TO)*((('Dvd Calendar'!$AI$165&lt;=VAL_DATE)+(COUNTIF('Dvd Calendar'!$E$172:$AR$172,'Dvd Calendar'!$AI$165)=0))&gt;0)=0,"",'Dvd Calendar'!$AI$165*1000000000+ISNUMBER('Dvd Calendar'!$AI$168)*100000000+('Dvd Calendar'!$AI$170=SPECIAL_LBL)*10000000+(N('Dvd Calendar'!$AI$164)&gt;0)*(N('Dvd Calendar'!$AI$164)&lt;=VAL_SERIAL)*1000000+15*1000+31))</f>
        <v/>
      </c>
      <c r="FJ26" s="121">
        <f>IF(N('Dvd Calendar'!$AJ$165)=0,"",IF(('Dvd Calendar'!$AJ$165&gt;=GRID_FROM)*('Dvd Calendar'!$AJ$165&lt;=GRID_TO)*((('Dvd Calendar'!$AJ$165&lt;=VAL_DATE)+(COUNTIF('Dvd Calendar'!$E$172:$AR$172,'Dvd Calendar'!$AJ$165)=0))&gt;0)=0,"",'Dvd Calendar'!$AJ$165*1000000000+ISNUMBER('Dvd Calendar'!$AJ$168)*100000000+('Dvd Calendar'!$AJ$170=SPECIAL_LBL)*10000000+(N('Dvd Calendar'!$AJ$164)&gt;0)*(N('Dvd Calendar'!$AJ$164)&lt;=VAL_SERIAL)*1000000+15*1000+32))</f>
        <v/>
      </c>
      <c r="FK26" s="121">
        <f>IF(N('Dvd Calendar'!$AK$165)=0,"",IF(('Dvd Calendar'!$AK$165&gt;=GRID_FROM)*('Dvd Calendar'!$AK$165&lt;=GRID_TO)*((('Dvd Calendar'!$AK$165&lt;=VAL_DATE)+(COUNTIF('Dvd Calendar'!$E$172:$AR$172,'Dvd Calendar'!$AK$165)=0))&gt;0)=0,"",'Dvd Calendar'!$AK$165*1000000000+ISNUMBER('Dvd Calendar'!$AK$168)*100000000+('Dvd Calendar'!$AK$170=SPECIAL_LBL)*10000000+(N('Dvd Calendar'!$AK$164)&gt;0)*(N('Dvd Calendar'!$AK$164)&lt;=VAL_SERIAL)*1000000+15*1000+33))</f>
        <v/>
      </c>
      <c r="FL26" s="121">
        <f>IF(N('Dvd Calendar'!$AL$165)=0,"",IF(('Dvd Calendar'!$AL$165&gt;=GRID_FROM)*('Dvd Calendar'!$AL$165&lt;=GRID_TO)*((('Dvd Calendar'!$AL$165&lt;=VAL_DATE)+(COUNTIF('Dvd Calendar'!$E$172:$AR$172,'Dvd Calendar'!$AL$165)=0))&gt;0)=0,"",'Dvd Calendar'!$AL$165*1000000000+ISNUMBER('Dvd Calendar'!$AL$168)*100000000+('Dvd Calendar'!$AL$170=SPECIAL_LBL)*10000000+(N('Dvd Calendar'!$AL$164)&gt;0)*(N('Dvd Calendar'!$AL$164)&lt;=VAL_SERIAL)*1000000+15*1000+34))</f>
        <v/>
      </c>
      <c r="FM26" s="121">
        <f>IF(N('Dvd Calendar'!$AM$165)=0,"",IF(('Dvd Calendar'!$AM$165&gt;=GRID_FROM)*('Dvd Calendar'!$AM$165&lt;=GRID_TO)*((('Dvd Calendar'!$AM$165&lt;=VAL_DATE)+(COUNTIF('Dvd Calendar'!$E$172:$AR$172,'Dvd Calendar'!$AM$165)=0))&gt;0)=0,"",'Dvd Calendar'!$AM$165*1000000000+ISNUMBER('Dvd Calendar'!$AM$168)*100000000+('Dvd Calendar'!$AM$170=SPECIAL_LBL)*10000000+(N('Dvd Calendar'!$AM$164)&gt;0)*(N('Dvd Calendar'!$AM$164)&lt;=VAL_SERIAL)*1000000+15*1000+35))</f>
        <v/>
      </c>
      <c r="FN26" s="121">
        <f>IF(N('Dvd Calendar'!$AN$165)=0,"",IF(('Dvd Calendar'!$AN$165&gt;=GRID_FROM)*('Dvd Calendar'!$AN$165&lt;=GRID_TO)*((('Dvd Calendar'!$AN$165&lt;=VAL_DATE)+(COUNTIF('Dvd Calendar'!$E$172:$AR$172,'Dvd Calendar'!$AN$165)=0))&gt;0)=0,"",'Dvd Calendar'!$AN$165*1000000000+ISNUMBER('Dvd Calendar'!$AN$168)*100000000+('Dvd Calendar'!$AN$170=SPECIAL_LBL)*10000000+(N('Dvd Calendar'!$AN$164)&gt;0)*(N('Dvd Calendar'!$AN$164)&lt;=VAL_SERIAL)*1000000+15*1000+36))</f>
        <v/>
      </c>
      <c r="FO26" s="121">
        <f>IF(N('Dvd Calendar'!$AO$165)=0,"",IF(('Dvd Calendar'!$AO$165&gt;=GRID_FROM)*('Dvd Calendar'!$AO$165&lt;=GRID_TO)*((('Dvd Calendar'!$AO$165&lt;=VAL_DATE)+(COUNTIF('Dvd Calendar'!$E$172:$AR$172,'Dvd Calendar'!$AO$165)=0))&gt;0)=0,"",'Dvd Calendar'!$AO$165*1000000000+ISNUMBER('Dvd Calendar'!$AO$168)*100000000+('Dvd Calendar'!$AO$170=SPECIAL_LBL)*10000000+(N('Dvd Calendar'!$AO$164)&gt;0)*(N('Dvd Calendar'!$AO$164)&lt;=VAL_SERIAL)*1000000+15*1000+37))</f>
        <v/>
      </c>
      <c r="FP26" s="121">
        <f>IF(N('Dvd Calendar'!$AP$165)=0,"",IF(('Dvd Calendar'!$AP$165&gt;=GRID_FROM)*('Dvd Calendar'!$AP$165&lt;=GRID_TO)*((('Dvd Calendar'!$AP$165&lt;=VAL_DATE)+(COUNTIF('Dvd Calendar'!$E$172:$AR$172,'Dvd Calendar'!$AP$165)=0))&gt;0)=0,"",'Dvd Calendar'!$AP$165*1000000000+ISNUMBER('Dvd Calendar'!$AP$168)*100000000+('Dvd Calendar'!$AP$170=SPECIAL_LBL)*10000000+(N('Dvd Calendar'!$AP$164)&gt;0)*(N('Dvd Calendar'!$AP$164)&lt;=VAL_SERIAL)*1000000+15*1000+38))</f>
        <v/>
      </c>
      <c r="FQ26" s="121">
        <f>IF(N('Dvd Calendar'!$AQ$165)=0,"",IF(('Dvd Calendar'!$AQ$165&gt;=GRID_FROM)*('Dvd Calendar'!$AQ$165&lt;=GRID_TO)*((('Dvd Calendar'!$AQ$165&lt;=VAL_DATE)+(COUNTIF('Dvd Calendar'!$E$172:$AR$172,'Dvd Calendar'!$AQ$165)=0))&gt;0)=0,"",'Dvd Calendar'!$AQ$165*1000000000+ISNUMBER('Dvd Calendar'!$AQ$168)*100000000+('Dvd Calendar'!$AQ$170=SPECIAL_LBL)*10000000+(N('Dvd Calendar'!$AQ$164)&gt;0)*(N('Dvd Calendar'!$AQ$164)&lt;=VAL_SERIAL)*1000000+15*1000+39))</f>
        <v/>
      </c>
      <c r="FR26" s="121">
        <f>IF(N('Dvd Calendar'!$AR$165)=0,"",IF(('Dvd Calendar'!$AR$165&gt;=GRID_FROM)*('Dvd Calendar'!$AR$165&lt;=GRID_TO)*((('Dvd Calendar'!$AR$165&lt;=VAL_DATE)+(COUNTIF('Dvd Calendar'!$E$172:$AR$172,'Dvd Calendar'!$AR$165)=0))&gt;0)=0,"",'Dvd Calendar'!$AR$165*1000000000+ISNUMBER('Dvd Calendar'!$AR$168)*100000000+('Dvd Calendar'!$AR$170=SPECIAL_LBL)*10000000+(N('Dvd Calendar'!$AR$164)&gt;0)*(N('Dvd Calendar'!$AR$164)&lt;=VAL_SERIAL)*1000000+15*1000+40))</f>
        <v/>
      </c>
      <c r="FS26" s="121">
        <f>IF(N('Dvd Calendar'!$E$172)=0,"",IF(('Dvd Calendar'!$E$172&gt;=GRID_FROM)*('Dvd Calendar'!$E$172&lt;=GRID_TO)*('Dvd Calendar'!$E$172&gt;VAL_DATE)=0,"",'Dvd Calendar'!$E$172*1000000000+ISNUMBER('Dvd Calendar'!$E$173)*100000000+0*10000000+(N('Dvd Calendar'!$E$171)&gt;0)*(N('Dvd Calendar'!$E$171)&lt;=VAL_SERIAL)*1000000+15*1000+41))</f>
        <v/>
      </c>
      <c r="FT26" s="121">
        <f>IF(N('Dvd Calendar'!$F$172)=0,"",IF(('Dvd Calendar'!$F$172&gt;=GRID_FROM)*('Dvd Calendar'!$F$172&lt;=GRID_TO)*('Dvd Calendar'!$F$172&gt;VAL_DATE)=0,"",'Dvd Calendar'!$F$172*1000000000+ISNUMBER('Dvd Calendar'!$F$173)*100000000+0*10000000+(N('Dvd Calendar'!$F$171)&gt;0)*(N('Dvd Calendar'!$F$171)&lt;=VAL_SERIAL)*1000000+15*1000+42))</f>
        <v/>
      </c>
      <c r="FU26" s="121">
        <f>IF(N('Dvd Calendar'!$G$172)=0,"",IF(('Dvd Calendar'!$G$172&gt;=GRID_FROM)*('Dvd Calendar'!$G$172&lt;=GRID_TO)*('Dvd Calendar'!$G$172&gt;VAL_DATE)=0,"",'Dvd Calendar'!$G$172*1000000000+ISNUMBER('Dvd Calendar'!$G$173)*100000000+0*10000000+(N('Dvd Calendar'!$G$171)&gt;0)*(N('Dvd Calendar'!$G$171)&lt;=VAL_SERIAL)*1000000+15*1000+43))</f>
        <v/>
      </c>
      <c r="FV26" s="121">
        <f>IF(N('Dvd Calendar'!$H$172)=0,"",IF(('Dvd Calendar'!$H$172&gt;=GRID_FROM)*('Dvd Calendar'!$H$172&lt;=GRID_TO)*('Dvd Calendar'!$H$172&gt;VAL_DATE)=0,"",'Dvd Calendar'!$H$172*1000000000+ISNUMBER('Dvd Calendar'!$H$173)*100000000+0*10000000+(N('Dvd Calendar'!$H$171)&gt;0)*(N('Dvd Calendar'!$H$171)&lt;=VAL_SERIAL)*1000000+15*1000+44))</f>
        <v/>
      </c>
      <c r="FW26" s="121">
        <f>IF(N('Dvd Calendar'!$I$172)=0,"",IF(('Dvd Calendar'!$I$172&gt;=GRID_FROM)*('Dvd Calendar'!$I$172&lt;=GRID_TO)*('Dvd Calendar'!$I$172&gt;VAL_DATE)=0,"",'Dvd Calendar'!$I$172*1000000000+ISNUMBER('Dvd Calendar'!$I$173)*100000000+0*10000000+(N('Dvd Calendar'!$I$171)&gt;0)*(N('Dvd Calendar'!$I$171)&lt;=VAL_SERIAL)*1000000+15*1000+45))</f>
        <v/>
      </c>
      <c r="FX26" s="121">
        <f>IF(N('Dvd Calendar'!$J$172)=0,"",IF(('Dvd Calendar'!$J$172&gt;=GRID_FROM)*('Dvd Calendar'!$J$172&lt;=GRID_TO)*('Dvd Calendar'!$J$172&gt;VAL_DATE)=0,"",'Dvd Calendar'!$J$172*1000000000+ISNUMBER('Dvd Calendar'!$J$173)*100000000+0*10000000+(N('Dvd Calendar'!$J$171)&gt;0)*(N('Dvd Calendar'!$J$171)&lt;=VAL_SERIAL)*1000000+15*1000+46))</f>
        <v/>
      </c>
      <c r="FY26" s="121">
        <f>IF(N('Dvd Calendar'!$K$172)=0,"",IF(('Dvd Calendar'!$K$172&gt;=GRID_FROM)*('Dvd Calendar'!$K$172&lt;=GRID_TO)*('Dvd Calendar'!$K$172&gt;VAL_DATE)=0,"",'Dvd Calendar'!$K$172*1000000000+ISNUMBER('Dvd Calendar'!$K$173)*100000000+0*10000000+(N('Dvd Calendar'!$K$171)&gt;0)*(N('Dvd Calendar'!$K$171)&lt;=VAL_SERIAL)*1000000+15*1000+47))</f>
        <v/>
      </c>
      <c r="FZ26" s="121">
        <f>IF(N('Dvd Calendar'!$L$172)=0,"",IF(('Dvd Calendar'!$L$172&gt;=GRID_FROM)*('Dvd Calendar'!$L$172&lt;=GRID_TO)*('Dvd Calendar'!$L$172&gt;VAL_DATE)=0,"",'Dvd Calendar'!$L$172*1000000000+ISNUMBER('Dvd Calendar'!$L$173)*100000000+0*10000000+(N('Dvd Calendar'!$L$171)&gt;0)*(N('Dvd Calendar'!$L$171)&lt;=VAL_SERIAL)*1000000+15*1000+48))</f>
        <v/>
      </c>
      <c r="GA26" s="121">
        <f>IF(N('Dvd Calendar'!$M$172)=0,"",IF(('Dvd Calendar'!$M$172&gt;=GRID_FROM)*('Dvd Calendar'!$M$172&lt;=GRID_TO)*('Dvd Calendar'!$M$172&gt;VAL_DATE)=0,"",'Dvd Calendar'!$M$172*1000000000+ISNUMBER('Dvd Calendar'!$M$173)*100000000+0*10000000+(N('Dvd Calendar'!$M$171)&gt;0)*(N('Dvd Calendar'!$M$171)&lt;=VAL_SERIAL)*1000000+15*1000+49))</f>
        <v/>
      </c>
      <c r="GB26" s="121">
        <f>IF(N('Dvd Calendar'!$N$172)=0,"",IF(('Dvd Calendar'!$N$172&gt;=GRID_FROM)*('Dvd Calendar'!$N$172&lt;=GRID_TO)*('Dvd Calendar'!$N$172&gt;VAL_DATE)=0,"",'Dvd Calendar'!$N$172*1000000000+ISNUMBER('Dvd Calendar'!$N$173)*100000000+0*10000000+(N('Dvd Calendar'!$N$171)&gt;0)*(N('Dvd Calendar'!$N$171)&lt;=VAL_SERIAL)*1000000+15*1000+50))</f>
        <v/>
      </c>
      <c r="GC26" s="121">
        <f>IF(N('Dvd Calendar'!$O$172)=0,"",IF(('Dvd Calendar'!$O$172&gt;=GRID_FROM)*('Dvd Calendar'!$O$172&lt;=GRID_TO)*('Dvd Calendar'!$O$172&gt;VAL_DATE)=0,"",'Dvd Calendar'!$O$172*1000000000+ISNUMBER('Dvd Calendar'!$O$173)*100000000+0*10000000+(N('Dvd Calendar'!$O$171)&gt;0)*(N('Dvd Calendar'!$O$171)&lt;=VAL_SERIAL)*1000000+15*1000+51))</f>
        <v/>
      </c>
      <c r="GD26" s="121">
        <f>IF(N('Dvd Calendar'!$P$172)=0,"",IF(('Dvd Calendar'!$P$172&gt;=GRID_FROM)*('Dvd Calendar'!$P$172&lt;=GRID_TO)*('Dvd Calendar'!$P$172&gt;VAL_DATE)=0,"",'Dvd Calendar'!$P$172*1000000000+ISNUMBER('Dvd Calendar'!$P$173)*100000000+0*10000000+(N('Dvd Calendar'!$P$171)&gt;0)*(N('Dvd Calendar'!$P$171)&lt;=VAL_SERIAL)*1000000+15*1000+52))</f>
        <v/>
      </c>
      <c r="GE26" s="121">
        <f>IF(N('Dvd Calendar'!$Q$172)=0,"",IF(('Dvd Calendar'!$Q$172&gt;=GRID_FROM)*('Dvd Calendar'!$Q$172&lt;=GRID_TO)*('Dvd Calendar'!$Q$172&gt;VAL_DATE)=0,"",'Dvd Calendar'!$Q$172*1000000000+ISNUMBER('Dvd Calendar'!$Q$173)*100000000+0*10000000+(N('Dvd Calendar'!$Q$171)&gt;0)*(N('Dvd Calendar'!$Q$171)&lt;=VAL_SERIAL)*1000000+15*1000+53))</f>
        <v/>
      </c>
      <c r="GF26" s="121">
        <f>IF(N('Dvd Calendar'!$R$172)=0,"",IF(('Dvd Calendar'!$R$172&gt;=GRID_FROM)*('Dvd Calendar'!$R$172&lt;=GRID_TO)*('Dvd Calendar'!$R$172&gt;VAL_DATE)=0,"",'Dvd Calendar'!$R$172*1000000000+ISNUMBER('Dvd Calendar'!$R$173)*100000000+0*10000000+(N('Dvd Calendar'!$R$171)&gt;0)*(N('Dvd Calendar'!$R$171)&lt;=VAL_SERIAL)*1000000+15*1000+54))</f>
        <v/>
      </c>
      <c r="GG26" s="121">
        <f>IF(N('Dvd Calendar'!$S$172)=0,"",IF(('Dvd Calendar'!$S$172&gt;=GRID_FROM)*('Dvd Calendar'!$S$172&lt;=GRID_TO)*('Dvd Calendar'!$S$172&gt;VAL_DATE)=0,"",'Dvd Calendar'!$S$172*1000000000+ISNUMBER('Dvd Calendar'!$S$173)*100000000+0*10000000+(N('Dvd Calendar'!$S$171)&gt;0)*(N('Dvd Calendar'!$S$171)&lt;=VAL_SERIAL)*1000000+15*1000+55))</f>
        <v/>
      </c>
      <c r="GH26" s="121">
        <f>IF(N('Dvd Calendar'!$T$172)=0,"",IF(('Dvd Calendar'!$T$172&gt;=GRID_FROM)*('Dvd Calendar'!$T$172&lt;=GRID_TO)*('Dvd Calendar'!$T$172&gt;VAL_DATE)=0,"",'Dvd Calendar'!$T$172*1000000000+ISNUMBER('Dvd Calendar'!$T$173)*100000000+0*10000000+(N('Dvd Calendar'!$T$171)&gt;0)*(N('Dvd Calendar'!$T$171)&lt;=VAL_SERIAL)*1000000+15*1000+56))</f>
        <v/>
      </c>
      <c r="GI26" s="121">
        <f>IF(N('Dvd Calendar'!$U$172)=0,"",IF(('Dvd Calendar'!$U$172&gt;=GRID_FROM)*('Dvd Calendar'!$U$172&lt;=GRID_TO)*('Dvd Calendar'!$U$172&gt;VAL_DATE)=0,"",'Dvd Calendar'!$U$172*1000000000+ISNUMBER('Dvd Calendar'!$U$173)*100000000+0*10000000+(N('Dvd Calendar'!$U$171)&gt;0)*(N('Dvd Calendar'!$U$171)&lt;=VAL_SERIAL)*1000000+15*1000+57))</f>
        <v/>
      </c>
      <c r="GJ26" s="121">
        <f>IF(N('Dvd Calendar'!$V$172)=0,"",IF(('Dvd Calendar'!$V$172&gt;=GRID_FROM)*('Dvd Calendar'!$V$172&lt;=GRID_TO)*('Dvd Calendar'!$V$172&gt;VAL_DATE)=0,"",'Dvd Calendar'!$V$172*1000000000+ISNUMBER('Dvd Calendar'!$V$173)*100000000+0*10000000+(N('Dvd Calendar'!$V$171)&gt;0)*(N('Dvd Calendar'!$V$171)&lt;=VAL_SERIAL)*1000000+15*1000+58))</f>
        <v/>
      </c>
      <c r="GK26" s="121">
        <f>IF(N('Dvd Calendar'!$W$172)=0,"",IF(('Dvd Calendar'!$W$172&gt;=GRID_FROM)*('Dvd Calendar'!$W$172&lt;=GRID_TO)*('Dvd Calendar'!$W$172&gt;VAL_DATE)=0,"",'Dvd Calendar'!$W$172*1000000000+ISNUMBER('Dvd Calendar'!$W$173)*100000000+0*10000000+(N('Dvd Calendar'!$W$171)&gt;0)*(N('Dvd Calendar'!$W$171)&lt;=VAL_SERIAL)*1000000+15*1000+59))</f>
        <v/>
      </c>
      <c r="GL26" s="121">
        <f>IF(N('Dvd Calendar'!$X$172)=0,"",IF(('Dvd Calendar'!$X$172&gt;=GRID_FROM)*('Dvd Calendar'!$X$172&lt;=GRID_TO)*('Dvd Calendar'!$X$172&gt;VAL_DATE)=0,"",'Dvd Calendar'!$X$172*1000000000+ISNUMBER('Dvd Calendar'!$X$173)*100000000+0*10000000+(N('Dvd Calendar'!$X$171)&gt;0)*(N('Dvd Calendar'!$X$171)&lt;=VAL_SERIAL)*1000000+15*1000+60))</f>
        <v/>
      </c>
      <c r="GM26" s="121">
        <f>IF(N('Dvd Calendar'!$Y$172)=0,"",IF(('Dvd Calendar'!$Y$172&gt;=GRID_FROM)*('Dvd Calendar'!$Y$172&lt;=GRID_TO)*('Dvd Calendar'!$Y$172&gt;VAL_DATE)=0,"",'Dvd Calendar'!$Y$172*1000000000+ISNUMBER('Dvd Calendar'!$Y$173)*100000000+0*10000000+(N('Dvd Calendar'!$Y$171)&gt;0)*(N('Dvd Calendar'!$Y$171)&lt;=VAL_SERIAL)*1000000+15*1000+61))</f>
        <v/>
      </c>
      <c r="GN26" s="121">
        <f>IF(N('Dvd Calendar'!$Z$172)=0,"",IF(('Dvd Calendar'!$Z$172&gt;=GRID_FROM)*('Dvd Calendar'!$Z$172&lt;=GRID_TO)*('Dvd Calendar'!$Z$172&gt;VAL_DATE)=0,"",'Dvd Calendar'!$Z$172*1000000000+ISNUMBER('Dvd Calendar'!$Z$173)*100000000+0*10000000+(N('Dvd Calendar'!$Z$171)&gt;0)*(N('Dvd Calendar'!$Z$171)&lt;=VAL_SERIAL)*1000000+15*1000+62))</f>
        <v/>
      </c>
      <c r="GO26" s="121">
        <f>IF(N('Dvd Calendar'!$AA$172)=0,"",IF(('Dvd Calendar'!$AA$172&gt;=GRID_FROM)*('Dvd Calendar'!$AA$172&lt;=GRID_TO)*('Dvd Calendar'!$AA$172&gt;VAL_DATE)=0,"",'Dvd Calendar'!$AA$172*1000000000+ISNUMBER('Dvd Calendar'!$AA$173)*100000000+0*10000000+(N('Dvd Calendar'!$AA$171)&gt;0)*(N('Dvd Calendar'!$AA$171)&lt;=VAL_SERIAL)*1000000+15*1000+63))</f>
        <v/>
      </c>
      <c r="GP26" s="121">
        <f>IF(N('Dvd Calendar'!$AB$172)=0,"",IF(('Dvd Calendar'!$AB$172&gt;=GRID_FROM)*('Dvd Calendar'!$AB$172&lt;=GRID_TO)*('Dvd Calendar'!$AB$172&gt;VAL_DATE)=0,"",'Dvd Calendar'!$AB$172*1000000000+ISNUMBER('Dvd Calendar'!$AB$173)*100000000+0*10000000+(N('Dvd Calendar'!$AB$171)&gt;0)*(N('Dvd Calendar'!$AB$171)&lt;=VAL_SERIAL)*1000000+15*1000+64))</f>
        <v/>
      </c>
      <c r="GQ26" s="121">
        <f>IF(N('Dvd Calendar'!$AC$172)=0,"",IF(('Dvd Calendar'!$AC$172&gt;=GRID_FROM)*('Dvd Calendar'!$AC$172&lt;=GRID_TO)*('Dvd Calendar'!$AC$172&gt;VAL_DATE)=0,"",'Dvd Calendar'!$AC$172*1000000000+ISNUMBER('Dvd Calendar'!$AC$173)*100000000+0*10000000+(N('Dvd Calendar'!$AC$171)&gt;0)*(N('Dvd Calendar'!$AC$171)&lt;=VAL_SERIAL)*1000000+15*1000+65))</f>
        <v/>
      </c>
    </row>
    <row r="27">
      <c r="B27" s="2">
        <f>IF(HSI!$C$22="","",HSI!$C$22)</f>
        <v/>
      </c>
      <c r="C27" s="161">
        <f>IF(EE27="","",IF(ISNUMBER('Dvd Calendar'!$E$179)=FALSE,"",IF((('Dvd Calendar'!$E$181=TYPE1)*(TYPE1&lt;&gt;"")+('Dvd Calendar'!$E$181=TYPE2)*(TYPE2&lt;&gt;"")+('Dvd Calendar'!$E$181=TYPE3)*(TYPE3&lt;&gt;"")+('Dvd Calendar'!$E$181=TYPE4)*(TYPE4&lt;&gt;"")+('Dvd Calendar'!$E$181=SPECIAL_LBL)*(INC_SPECIALS="Y"))=0,"",'Dvd Calendar'!$E$179)))</f>
        <v/>
      </c>
      <c r="D27" s="161">
        <f>IF(EF27="","",IF(ISNUMBER('Dvd Calendar'!$F$179)=FALSE,"",IF((('Dvd Calendar'!$F$181=TYPE1)*(TYPE1&lt;&gt;"")+('Dvd Calendar'!$F$181=TYPE2)*(TYPE2&lt;&gt;"")+('Dvd Calendar'!$F$181=TYPE3)*(TYPE3&lt;&gt;"")+('Dvd Calendar'!$F$181=TYPE4)*(TYPE4&lt;&gt;"")+('Dvd Calendar'!$F$181=SPECIAL_LBL)*(INC_SPECIALS="Y"))=0,"",'Dvd Calendar'!$F$179)))</f>
        <v/>
      </c>
      <c r="E27" s="161">
        <f>IF(EG27="","",IF(ISNUMBER('Dvd Calendar'!$G$179)=FALSE,"",IF((('Dvd Calendar'!$G$181=TYPE1)*(TYPE1&lt;&gt;"")+('Dvd Calendar'!$G$181=TYPE2)*(TYPE2&lt;&gt;"")+('Dvd Calendar'!$G$181=TYPE3)*(TYPE3&lt;&gt;"")+('Dvd Calendar'!$G$181=TYPE4)*(TYPE4&lt;&gt;"")+('Dvd Calendar'!$G$181=SPECIAL_LBL)*(INC_SPECIALS="Y"))=0,"",'Dvd Calendar'!$G$179)))</f>
        <v/>
      </c>
      <c r="F27" s="161">
        <f>IF(EH27="","",IF(ISNUMBER('Dvd Calendar'!$H$179)=FALSE,"",IF((('Dvd Calendar'!$H$181=TYPE1)*(TYPE1&lt;&gt;"")+('Dvd Calendar'!$H$181=TYPE2)*(TYPE2&lt;&gt;"")+('Dvd Calendar'!$H$181=TYPE3)*(TYPE3&lt;&gt;"")+('Dvd Calendar'!$H$181=TYPE4)*(TYPE4&lt;&gt;"")+('Dvd Calendar'!$H$181=SPECIAL_LBL)*(INC_SPECIALS="Y"))=0,"",'Dvd Calendar'!$H$179)))</f>
        <v/>
      </c>
      <c r="G27" s="161">
        <f>IF(EI27="","",IF(ISNUMBER('Dvd Calendar'!$I$179)=FALSE,"",IF((('Dvd Calendar'!$I$181=TYPE1)*(TYPE1&lt;&gt;"")+('Dvd Calendar'!$I$181=TYPE2)*(TYPE2&lt;&gt;"")+('Dvd Calendar'!$I$181=TYPE3)*(TYPE3&lt;&gt;"")+('Dvd Calendar'!$I$181=TYPE4)*(TYPE4&lt;&gt;"")+('Dvd Calendar'!$I$181=SPECIAL_LBL)*(INC_SPECIALS="Y"))=0,"",'Dvd Calendar'!$I$179)))</f>
        <v/>
      </c>
      <c r="H27" s="161">
        <f>IF(EJ27="","",IF(ISNUMBER('Dvd Calendar'!$J$179)=FALSE,"",IF((('Dvd Calendar'!$J$181=TYPE1)*(TYPE1&lt;&gt;"")+('Dvd Calendar'!$J$181=TYPE2)*(TYPE2&lt;&gt;"")+('Dvd Calendar'!$J$181=TYPE3)*(TYPE3&lt;&gt;"")+('Dvd Calendar'!$J$181=TYPE4)*(TYPE4&lt;&gt;"")+('Dvd Calendar'!$J$181=SPECIAL_LBL)*(INC_SPECIALS="Y"))=0,"",'Dvd Calendar'!$J$179)))</f>
        <v/>
      </c>
      <c r="I27" s="161">
        <f>IF(EK27="","",IF(ISNUMBER('Dvd Calendar'!$K$179)=FALSE,"",IF((('Dvd Calendar'!$K$181=TYPE1)*(TYPE1&lt;&gt;"")+('Dvd Calendar'!$K$181=TYPE2)*(TYPE2&lt;&gt;"")+('Dvd Calendar'!$K$181=TYPE3)*(TYPE3&lt;&gt;"")+('Dvd Calendar'!$K$181=TYPE4)*(TYPE4&lt;&gt;"")+('Dvd Calendar'!$K$181=SPECIAL_LBL)*(INC_SPECIALS="Y"))=0,"",'Dvd Calendar'!$K$179)))</f>
        <v/>
      </c>
      <c r="J27" s="161">
        <f>IF(EL27="","",IF(ISNUMBER('Dvd Calendar'!$L$179)=FALSE,"",IF((('Dvd Calendar'!$L$181=TYPE1)*(TYPE1&lt;&gt;"")+('Dvd Calendar'!$L$181=TYPE2)*(TYPE2&lt;&gt;"")+('Dvd Calendar'!$L$181=TYPE3)*(TYPE3&lt;&gt;"")+('Dvd Calendar'!$L$181=TYPE4)*(TYPE4&lt;&gt;"")+('Dvd Calendar'!$L$181=SPECIAL_LBL)*(INC_SPECIALS="Y"))=0,"",'Dvd Calendar'!$L$179)))</f>
        <v/>
      </c>
      <c r="K27" s="161">
        <f>IF(EM27="","",IF(ISNUMBER('Dvd Calendar'!$M$179)=FALSE,"",IF((('Dvd Calendar'!$M$181=TYPE1)*(TYPE1&lt;&gt;"")+('Dvd Calendar'!$M$181=TYPE2)*(TYPE2&lt;&gt;"")+('Dvd Calendar'!$M$181=TYPE3)*(TYPE3&lt;&gt;"")+('Dvd Calendar'!$M$181=TYPE4)*(TYPE4&lt;&gt;"")+('Dvd Calendar'!$M$181=SPECIAL_LBL)*(INC_SPECIALS="Y"))=0,"",'Dvd Calendar'!$M$179)))</f>
        <v/>
      </c>
      <c r="L27" s="161">
        <f>IF(EN27="","",IF(ISNUMBER('Dvd Calendar'!$N$179)=FALSE,"",IF((('Dvd Calendar'!$N$181=TYPE1)*(TYPE1&lt;&gt;"")+('Dvd Calendar'!$N$181=TYPE2)*(TYPE2&lt;&gt;"")+('Dvd Calendar'!$N$181=TYPE3)*(TYPE3&lt;&gt;"")+('Dvd Calendar'!$N$181=TYPE4)*(TYPE4&lt;&gt;"")+('Dvd Calendar'!$N$181=SPECIAL_LBL)*(INC_SPECIALS="Y"))=0,"",'Dvd Calendar'!$N$179)))</f>
        <v/>
      </c>
      <c r="M27" s="161">
        <f>IF(EO27="","",IF(ISNUMBER('Dvd Calendar'!$O$179)=FALSE,"",IF((('Dvd Calendar'!$O$181=TYPE1)*(TYPE1&lt;&gt;"")+('Dvd Calendar'!$O$181=TYPE2)*(TYPE2&lt;&gt;"")+('Dvd Calendar'!$O$181=TYPE3)*(TYPE3&lt;&gt;"")+('Dvd Calendar'!$O$181=TYPE4)*(TYPE4&lt;&gt;"")+('Dvd Calendar'!$O$181=SPECIAL_LBL)*(INC_SPECIALS="Y"))=0,"",'Dvd Calendar'!$O$179)))</f>
        <v/>
      </c>
      <c r="N27" s="161">
        <f>IF(EP27="","",IF(ISNUMBER('Dvd Calendar'!$P$179)=FALSE,"",IF((('Dvd Calendar'!$P$181=TYPE1)*(TYPE1&lt;&gt;"")+('Dvd Calendar'!$P$181=TYPE2)*(TYPE2&lt;&gt;"")+('Dvd Calendar'!$P$181=TYPE3)*(TYPE3&lt;&gt;"")+('Dvd Calendar'!$P$181=TYPE4)*(TYPE4&lt;&gt;"")+('Dvd Calendar'!$P$181=SPECIAL_LBL)*(INC_SPECIALS="Y"))=0,"",'Dvd Calendar'!$P$179)))</f>
        <v/>
      </c>
      <c r="O27" s="161">
        <f>IF(EQ27="","",IF(ISNUMBER('Dvd Calendar'!$Q$179)=FALSE,"",IF((('Dvd Calendar'!$Q$181=TYPE1)*(TYPE1&lt;&gt;"")+('Dvd Calendar'!$Q$181=TYPE2)*(TYPE2&lt;&gt;"")+('Dvd Calendar'!$Q$181=TYPE3)*(TYPE3&lt;&gt;"")+('Dvd Calendar'!$Q$181=TYPE4)*(TYPE4&lt;&gt;"")+('Dvd Calendar'!$Q$181=SPECIAL_LBL)*(INC_SPECIALS="Y"))=0,"",'Dvd Calendar'!$Q$179)))</f>
        <v/>
      </c>
      <c r="P27" s="161">
        <f>IF(ER27="","",IF(ISNUMBER('Dvd Calendar'!$R$179)=FALSE,"",IF((('Dvd Calendar'!$R$181=TYPE1)*(TYPE1&lt;&gt;"")+('Dvd Calendar'!$R$181=TYPE2)*(TYPE2&lt;&gt;"")+('Dvd Calendar'!$R$181=TYPE3)*(TYPE3&lt;&gt;"")+('Dvd Calendar'!$R$181=TYPE4)*(TYPE4&lt;&gt;"")+('Dvd Calendar'!$R$181=SPECIAL_LBL)*(INC_SPECIALS="Y"))=0,"",'Dvd Calendar'!$R$179)))</f>
        <v/>
      </c>
      <c r="Q27" s="161">
        <f>IF(ES27="","",IF(ISNUMBER('Dvd Calendar'!$S$179)=FALSE,"",IF((('Dvd Calendar'!$S$181=TYPE1)*(TYPE1&lt;&gt;"")+('Dvd Calendar'!$S$181=TYPE2)*(TYPE2&lt;&gt;"")+('Dvd Calendar'!$S$181=TYPE3)*(TYPE3&lt;&gt;"")+('Dvd Calendar'!$S$181=TYPE4)*(TYPE4&lt;&gt;"")+('Dvd Calendar'!$S$181=SPECIAL_LBL)*(INC_SPECIALS="Y"))=0,"",'Dvd Calendar'!$S$179)))</f>
        <v/>
      </c>
      <c r="R27" s="161">
        <f>IF(ET27="","",IF(ISNUMBER('Dvd Calendar'!$T$179)=FALSE,"",IF((('Dvd Calendar'!$T$181=TYPE1)*(TYPE1&lt;&gt;"")+('Dvd Calendar'!$T$181=TYPE2)*(TYPE2&lt;&gt;"")+('Dvd Calendar'!$T$181=TYPE3)*(TYPE3&lt;&gt;"")+('Dvd Calendar'!$T$181=TYPE4)*(TYPE4&lt;&gt;"")+('Dvd Calendar'!$T$181=SPECIAL_LBL)*(INC_SPECIALS="Y"))=0,"",'Dvd Calendar'!$T$179)))</f>
        <v/>
      </c>
      <c r="S27" s="161">
        <f>IF(EU27="","",IF(ISNUMBER('Dvd Calendar'!$U$179)=FALSE,"",IF((('Dvd Calendar'!$U$181=TYPE1)*(TYPE1&lt;&gt;"")+('Dvd Calendar'!$U$181=TYPE2)*(TYPE2&lt;&gt;"")+('Dvd Calendar'!$U$181=TYPE3)*(TYPE3&lt;&gt;"")+('Dvd Calendar'!$U$181=TYPE4)*(TYPE4&lt;&gt;"")+('Dvd Calendar'!$U$181=SPECIAL_LBL)*(INC_SPECIALS="Y"))=0,"",'Dvd Calendar'!$U$179)))</f>
        <v/>
      </c>
      <c r="T27" s="161">
        <f>IF(EV27="","",IF(ISNUMBER('Dvd Calendar'!$V$179)=FALSE,"",IF((('Dvd Calendar'!$V$181=TYPE1)*(TYPE1&lt;&gt;"")+('Dvd Calendar'!$V$181=TYPE2)*(TYPE2&lt;&gt;"")+('Dvd Calendar'!$V$181=TYPE3)*(TYPE3&lt;&gt;"")+('Dvd Calendar'!$V$181=TYPE4)*(TYPE4&lt;&gt;"")+('Dvd Calendar'!$V$181=SPECIAL_LBL)*(INC_SPECIALS="Y"))=0,"",'Dvd Calendar'!$V$179)))</f>
        <v/>
      </c>
      <c r="U27" s="161">
        <f>IF(EW27="","",IF(ISNUMBER('Dvd Calendar'!$W$179)=FALSE,"",IF((('Dvd Calendar'!$W$181=TYPE1)*(TYPE1&lt;&gt;"")+('Dvd Calendar'!$W$181=TYPE2)*(TYPE2&lt;&gt;"")+('Dvd Calendar'!$W$181=TYPE3)*(TYPE3&lt;&gt;"")+('Dvd Calendar'!$W$181=TYPE4)*(TYPE4&lt;&gt;"")+('Dvd Calendar'!$W$181=SPECIAL_LBL)*(INC_SPECIALS="Y"))=0,"",'Dvd Calendar'!$W$179)))</f>
        <v/>
      </c>
      <c r="V27" s="161">
        <f>IF(EX27="","",IF(ISNUMBER('Dvd Calendar'!$X$179)=FALSE,"",IF((('Dvd Calendar'!$X$181=TYPE1)*(TYPE1&lt;&gt;"")+('Dvd Calendar'!$X$181=TYPE2)*(TYPE2&lt;&gt;"")+('Dvd Calendar'!$X$181=TYPE3)*(TYPE3&lt;&gt;"")+('Dvd Calendar'!$X$181=TYPE4)*(TYPE4&lt;&gt;"")+('Dvd Calendar'!$X$181=SPECIAL_LBL)*(INC_SPECIALS="Y"))=0,"",'Dvd Calendar'!$X$179)))</f>
        <v/>
      </c>
      <c r="W27" s="161">
        <f>IF(EY27="","",IF(ISNUMBER('Dvd Calendar'!$Y$179)=FALSE,"",IF((('Dvd Calendar'!$Y$181=TYPE1)*(TYPE1&lt;&gt;"")+('Dvd Calendar'!$Y$181=TYPE2)*(TYPE2&lt;&gt;"")+('Dvd Calendar'!$Y$181=TYPE3)*(TYPE3&lt;&gt;"")+('Dvd Calendar'!$Y$181=TYPE4)*(TYPE4&lt;&gt;"")+('Dvd Calendar'!$Y$181=SPECIAL_LBL)*(INC_SPECIALS="Y"))=0,"",'Dvd Calendar'!$Y$179)))</f>
        <v/>
      </c>
      <c r="X27" s="161">
        <f>IF(EZ27="","",IF(ISNUMBER('Dvd Calendar'!$Z$179)=FALSE,"",IF((('Dvd Calendar'!$Z$181=TYPE1)*(TYPE1&lt;&gt;"")+('Dvd Calendar'!$Z$181=TYPE2)*(TYPE2&lt;&gt;"")+('Dvd Calendar'!$Z$181=TYPE3)*(TYPE3&lt;&gt;"")+('Dvd Calendar'!$Z$181=TYPE4)*(TYPE4&lt;&gt;"")+('Dvd Calendar'!$Z$181=SPECIAL_LBL)*(INC_SPECIALS="Y"))=0,"",'Dvd Calendar'!$Z$179)))</f>
        <v/>
      </c>
      <c r="Y27" s="161">
        <f>IF(FA27="","",IF(ISNUMBER('Dvd Calendar'!$AA$179)=FALSE,"",IF((('Dvd Calendar'!$AA$181=TYPE1)*(TYPE1&lt;&gt;"")+('Dvd Calendar'!$AA$181=TYPE2)*(TYPE2&lt;&gt;"")+('Dvd Calendar'!$AA$181=TYPE3)*(TYPE3&lt;&gt;"")+('Dvd Calendar'!$AA$181=TYPE4)*(TYPE4&lt;&gt;"")+('Dvd Calendar'!$AA$181=SPECIAL_LBL)*(INC_SPECIALS="Y"))=0,"",'Dvd Calendar'!$AA$179)))</f>
        <v/>
      </c>
      <c r="Z27" s="161">
        <f>IF(FB27="","",IF(ISNUMBER('Dvd Calendar'!$AB$179)=FALSE,"",IF((('Dvd Calendar'!$AB$181=TYPE1)*(TYPE1&lt;&gt;"")+('Dvd Calendar'!$AB$181=TYPE2)*(TYPE2&lt;&gt;"")+('Dvd Calendar'!$AB$181=TYPE3)*(TYPE3&lt;&gt;"")+('Dvd Calendar'!$AB$181=TYPE4)*(TYPE4&lt;&gt;"")+('Dvd Calendar'!$AB$181=SPECIAL_LBL)*(INC_SPECIALS="Y"))=0,"",'Dvd Calendar'!$AB$179)))</f>
        <v/>
      </c>
      <c r="AA27" s="161">
        <f>IF(FC27="","",IF(ISNUMBER('Dvd Calendar'!$AC$179)=FALSE,"",IF((('Dvd Calendar'!$AC$181=TYPE1)*(TYPE1&lt;&gt;"")+('Dvd Calendar'!$AC$181=TYPE2)*(TYPE2&lt;&gt;"")+('Dvd Calendar'!$AC$181=TYPE3)*(TYPE3&lt;&gt;"")+('Dvd Calendar'!$AC$181=TYPE4)*(TYPE4&lt;&gt;"")+('Dvd Calendar'!$AC$181=SPECIAL_LBL)*(INC_SPECIALS="Y"))=0,"",'Dvd Calendar'!$AC$179)))</f>
        <v/>
      </c>
      <c r="AB27" s="161">
        <f>IF(FD27="","",IF(ISNUMBER('Dvd Calendar'!$AD$179)=FALSE,"",IF((('Dvd Calendar'!$AD$181=TYPE1)*(TYPE1&lt;&gt;"")+('Dvd Calendar'!$AD$181=TYPE2)*(TYPE2&lt;&gt;"")+('Dvd Calendar'!$AD$181=TYPE3)*(TYPE3&lt;&gt;"")+('Dvd Calendar'!$AD$181=TYPE4)*(TYPE4&lt;&gt;"")+('Dvd Calendar'!$AD$181=SPECIAL_LBL)*(INC_SPECIALS="Y"))=0,"",'Dvd Calendar'!$AD$179)))</f>
        <v/>
      </c>
      <c r="AC27" s="161">
        <f>IF(FE27="","",IF(ISNUMBER('Dvd Calendar'!$AE$179)=FALSE,"",IF((('Dvd Calendar'!$AE$181=TYPE1)*(TYPE1&lt;&gt;"")+('Dvd Calendar'!$AE$181=TYPE2)*(TYPE2&lt;&gt;"")+('Dvd Calendar'!$AE$181=TYPE3)*(TYPE3&lt;&gt;"")+('Dvd Calendar'!$AE$181=TYPE4)*(TYPE4&lt;&gt;"")+('Dvd Calendar'!$AE$181=SPECIAL_LBL)*(INC_SPECIALS="Y"))=0,"",'Dvd Calendar'!$AE$179)))</f>
        <v/>
      </c>
      <c r="AD27" s="161">
        <f>IF(FF27="","",IF(ISNUMBER('Dvd Calendar'!$AF$179)=FALSE,"",IF((('Dvd Calendar'!$AF$181=TYPE1)*(TYPE1&lt;&gt;"")+('Dvd Calendar'!$AF$181=TYPE2)*(TYPE2&lt;&gt;"")+('Dvd Calendar'!$AF$181=TYPE3)*(TYPE3&lt;&gt;"")+('Dvd Calendar'!$AF$181=TYPE4)*(TYPE4&lt;&gt;"")+('Dvd Calendar'!$AF$181=SPECIAL_LBL)*(INC_SPECIALS="Y"))=0,"",'Dvd Calendar'!$AF$179)))</f>
        <v/>
      </c>
      <c r="AE27" s="161">
        <f>IF(FG27="","",IF(ISNUMBER('Dvd Calendar'!$AG$179)=FALSE,"",IF((('Dvd Calendar'!$AG$181=TYPE1)*(TYPE1&lt;&gt;"")+('Dvd Calendar'!$AG$181=TYPE2)*(TYPE2&lt;&gt;"")+('Dvd Calendar'!$AG$181=TYPE3)*(TYPE3&lt;&gt;"")+('Dvd Calendar'!$AG$181=TYPE4)*(TYPE4&lt;&gt;"")+('Dvd Calendar'!$AG$181=SPECIAL_LBL)*(INC_SPECIALS="Y"))=0,"",'Dvd Calendar'!$AG$179)))</f>
        <v/>
      </c>
      <c r="AF27" s="161">
        <f>IF(FH27="","",IF(ISNUMBER('Dvd Calendar'!$AH$179)=FALSE,"",IF((('Dvd Calendar'!$AH$181=TYPE1)*(TYPE1&lt;&gt;"")+('Dvd Calendar'!$AH$181=TYPE2)*(TYPE2&lt;&gt;"")+('Dvd Calendar'!$AH$181=TYPE3)*(TYPE3&lt;&gt;"")+('Dvd Calendar'!$AH$181=TYPE4)*(TYPE4&lt;&gt;"")+('Dvd Calendar'!$AH$181=SPECIAL_LBL)*(INC_SPECIALS="Y"))=0,"",'Dvd Calendar'!$AH$179)))</f>
        <v/>
      </c>
      <c r="AG27" s="161">
        <f>IF(FI27="","",IF(ISNUMBER('Dvd Calendar'!$AI$179)=FALSE,"",IF((('Dvd Calendar'!$AI$181=TYPE1)*(TYPE1&lt;&gt;"")+('Dvd Calendar'!$AI$181=TYPE2)*(TYPE2&lt;&gt;"")+('Dvd Calendar'!$AI$181=TYPE3)*(TYPE3&lt;&gt;"")+('Dvd Calendar'!$AI$181=TYPE4)*(TYPE4&lt;&gt;"")+('Dvd Calendar'!$AI$181=SPECIAL_LBL)*(INC_SPECIALS="Y"))=0,"",'Dvd Calendar'!$AI$179)))</f>
        <v/>
      </c>
      <c r="AH27" s="161">
        <f>IF(FJ27="","",IF(ISNUMBER('Dvd Calendar'!$AJ$179)=FALSE,"",IF((('Dvd Calendar'!$AJ$181=TYPE1)*(TYPE1&lt;&gt;"")+('Dvd Calendar'!$AJ$181=TYPE2)*(TYPE2&lt;&gt;"")+('Dvd Calendar'!$AJ$181=TYPE3)*(TYPE3&lt;&gt;"")+('Dvd Calendar'!$AJ$181=TYPE4)*(TYPE4&lt;&gt;"")+('Dvd Calendar'!$AJ$181=SPECIAL_LBL)*(INC_SPECIALS="Y"))=0,"",'Dvd Calendar'!$AJ$179)))</f>
        <v/>
      </c>
      <c r="AI27" s="161">
        <f>IF(FK27="","",IF(ISNUMBER('Dvd Calendar'!$AK$179)=FALSE,"",IF((('Dvd Calendar'!$AK$181=TYPE1)*(TYPE1&lt;&gt;"")+('Dvd Calendar'!$AK$181=TYPE2)*(TYPE2&lt;&gt;"")+('Dvd Calendar'!$AK$181=TYPE3)*(TYPE3&lt;&gt;"")+('Dvd Calendar'!$AK$181=TYPE4)*(TYPE4&lt;&gt;"")+('Dvd Calendar'!$AK$181=SPECIAL_LBL)*(INC_SPECIALS="Y"))=0,"",'Dvd Calendar'!$AK$179)))</f>
        <v/>
      </c>
      <c r="AJ27" s="161">
        <f>IF(FL27="","",IF(ISNUMBER('Dvd Calendar'!$AL$179)=FALSE,"",IF((('Dvd Calendar'!$AL$181=TYPE1)*(TYPE1&lt;&gt;"")+('Dvd Calendar'!$AL$181=TYPE2)*(TYPE2&lt;&gt;"")+('Dvd Calendar'!$AL$181=TYPE3)*(TYPE3&lt;&gt;"")+('Dvd Calendar'!$AL$181=TYPE4)*(TYPE4&lt;&gt;"")+('Dvd Calendar'!$AL$181=SPECIAL_LBL)*(INC_SPECIALS="Y"))=0,"",'Dvd Calendar'!$AL$179)))</f>
        <v/>
      </c>
      <c r="AK27" s="161">
        <f>IF(FM27="","",IF(ISNUMBER('Dvd Calendar'!$AM$179)=FALSE,"",IF((('Dvd Calendar'!$AM$181=TYPE1)*(TYPE1&lt;&gt;"")+('Dvd Calendar'!$AM$181=TYPE2)*(TYPE2&lt;&gt;"")+('Dvd Calendar'!$AM$181=TYPE3)*(TYPE3&lt;&gt;"")+('Dvd Calendar'!$AM$181=TYPE4)*(TYPE4&lt;&gt;"")+('Dvd Calendar'!$AM$181=SPECIAL_LBL)*(INC_SPECIALS="Y"))=0,"",'Dvd Calendar'!$AM$179)))</f>
        <v/>
      </c>
      <c r="AL27" s="161">
        <f>IF(FN27="","",IF(ISNUMBER('Dvd Calendar'!$AN$179)=FALSE,"",IF((('Dvd Calendar'!$AN$181=TYPE1)*(TYPE1&lt;&gt;"")+('Dvd Calendar'!$AN$181=TYPE2)*(TYPE2&lt;&gt;"")+('Dvd Calendar'!$AN$181=TYPE3)*(TYPE3&lt;&gt;"")+('Dvd Calendar'!$AN$181=TYPE4)*(TYPE4&lt;&gt;"")+('Dvd Calendar'!$AN$181=SPECIAL_LBL)*(INC_SPECIALS="Y"))=0,"",'Dvd Calendar'!$AN$179)))</f>
        <v/>
      </c>
      <c r="AM27" s="161">
        <f>IF(FO27="","",IF(ISNUMBER('Dvd Calendar'!$AO$179)=FALSE,"",IF((('Dvd Calendar'!$AO$181=TYPE1)*(TYPE1&lt;&gt;"")+('Dvd Calendar'!$AO$181=TYPE2)*(TYPE2&lt;&gt;"")+('Dvd Calendar'!$AO$181=TYPE3)*(TYPE3&lt;&gt;"")+('Dvd Calendar'!$AO$181=TYPE4)*(TYPE4&lt;&gt;"")+('Dvd Calendar'!$AO$181=SPECIAL_LBL)*(INC_SPECIALS="Y"))=0,"",'Dvd Calendar'!$AO$179)))</f>
        <v/>
      </c>
      <c r="AN27" s="161">
        <f>IF(FP27="","",IF(ISNUMBER('Dvd Calendar'!$AP$179)=FALSE,"",IF((('Dvd Calendar'!$AP$181=TYPE1)*(TYPE1&lt;&gt;"")+('Dvd Calendar'!$AP$181=TYPE2)*(TYPE2&lt;&gt;"")+('Dvd Calendar'!$AP$181=TYPE3)*(TYPE3&lt;&gt;"")+('Dvd Calendar'!$AP$181=TYPE4)*(TYPE4&lt;&gt;"")+('Dvd Calendar'!$AP$181=SPECIAL_LBL)*(INC_SPECIALS="Y"))=0,"",'Dvd Calendar'!$AP$179)))</f>
        <v/>
      </c>
      <c r="AO27" s="161">
        <f>IF(FQ27="","",IF(ISNUMBER('Dvd Calendar'!$AQ$179)=FALSE,"",IF((('Dvd Calendar'!$AQ$181=TYPE1)*(TYPE1&lt;&gt;"")+('Dvd Calendar'!$AQ$181=TYPE2)*(TYPE2&lt;&gt;"")+('Dvd Calendar'!$AQ$181=TYPE3)*(TYPE3&lt;&gt;"")+('Dvd Calendar'!$AQ$181=TYPE4)*(TYPE4&lt;&gt;"")+('Dvd Calendar'!$AQ$181=SPECIAL_LBL)*(INC_SPECIALS="Y"))=0,"",'Dvd Calendar'!$AQ$179)))</f>
        <v/>
      </c>
      <c r="AP27" s="161">
        <f>IF(FR27="","",IF(ISNUMBER('Dvd Calendar'!$AR$179)=FALSE,"",IF((('Dvd Calendar'!$AR$181=TYPE1)*(TYPE1&lt;&gt;"")+('Dvd Calendar'!$AR$181=TYPE2)*(TYPE2&lt;&gt;"")+('Dvd Calendar'!$AR$181=TYPE3)*(TYPE3&lt;&gt;"")+('Dvd Calendar'!$AR$181=TYPE4)*(TYPE4&lt;&gt;"")+('Dvd Calendar'!$AR$181=SPECIAL_LBL)*(INC_SPECIALS="Y"))=0,"",'Dvd Calendar'!$AR$179)))</f>
        <v/>
      </c>
      <c r="AQ27" s="161">
        <f>IF(FS27="","",IF(ISNUMBER('Dvd Calendar'!$E$184)=FALSE,"",'Dvd Calendar'!$E$184))</f>
        <v/>
      </c>
      <c r="AR27" s="161">
        <f>IF(FT27="","",IF(ISNUMBER('Dvd Calendar'!$F$184)=FALSE,"",'Dvd Calendar'!$F$184))</f>
        <v/>
      </c>
      <c r="AS27" s="161">
        <f>IF(FU27="","",IF(ISNUMBER('Dvd Calendar'!$G$184)=FALSE,"",'Dvd Calendar'!$G$184))</f>
        <v/>
      </c>
      <c r="AT27" s="161">
        <f>IF(FV27="","",IF(ISNUMBER('Dvd Calendar'!$H$184)=FALSE,"",'Dvd Calendar'!$H$184))</f>
        <v/>
      </c>
      <c r="AU27" s="161">
        <f>IF(FW27="","",IF(ISNUMBER('Dvd Calendar'!$I$184)=FALSE,"",'Dvd Calendar'!$I$184))</f>
        <v/>
      </c>
      <c r="AV27" s="161">
        <f>IF(FX27="","",IF(ISNUMBER('Dvd Calendar'!$J$184)=FALSE,"",'Dvd Calendar'!$J$184))</f>
        <v/>
      </c>
      <c r="AW27" s="161">
        <f>IF(FY27="","",IF(ISNUMBER('Dvd Calendar'!$K$184)=FALSE,"",'Dvd Calendar'!$K$184))</f>
        <v/>
      </c>
      <c r="AX27" s="161">
        <f>IF(FZ27="","",IF(ISNUMBER('Dvd Calendar'!$L$184)=FALSE,"",'Dvd Calendar'!$L$184))</f>
        <v/>
      </c>
      <c r="AY27" s="161">
        <f>IF(GA27="","",IF(ISNUMBER('Dvd Calendar'!$M$184)=FALSE,"",'Dvd Calendar'!$M$184))</f>
        <v/>
      </c>
      <c r="AZ27" s="161">
        <f>IF(GB27="","",IF(ISNUMBER('Dvd Calendar'!$N$184)=FALSE,"",'Dvd Calendar'!$N$184))</f>
        <v/>
      </c>
      <c r="BA27" s="161">
        <f>IF(GC27="","",IF(ISNUMBER('Dvd Calendar'!$O$184)=FALSE,"",'Dvd Calendar'!$O$184))</f>
        <v/>
      </c>
      <c r="BB27" s="161">
        <f>IF(GD27="","",IF(ISNUMBER('Dvd Calendar'!$P$184)=FALSE,"",'Dvd Calendar'!$P$184))</f>
        <v/>
      </c>
      <c r="BC27" s="161">
        <f>IF(GE27="","",IF(ISNUMBER('Dvd Calendar'!$Q$184)=FALSE,"",'Dvd Calendar'!$Q$184))</f>
        <v/>
      </c>
      <c r="BD27" s="161">
        <f>IF(GF27="","",IF(ISNUMBER('Dvd Calendar'!$R$184)=FALSE,"",'Dvd Calendar'!$R$184))</f>
        <v/>
      </c>
      <c r="BE27" s="161">
        <f>IF(GG27="","",IF(ISNUMBER('Dvd Calendar'!$S$184)=FALSE,"",'Dvd Calendar'!$S$184))</f>
        <v/>
      </c>
      <c r="BF27" s="161">
        <f>IF(GH27="","",IF(ISNUMBER('Dvd Calendar'!$T$184)=FALSE,"",'Dvd Calendar'!$T$184))</f>
        <v/>
      </c>
      <c r="BG27" s="161">
        <f>IF(GI27="","",IF(ISNUMBER('Dvd Calendar'!$U$184)=FALSE,"",'Dvd Calendar'!$U$184))</f>
        <v/>
      </c>
      <c r="BH27" s="161">
        <f>IF(GJ27="","",IF(ISNUMBER('Dvd Calendar'!$V$184)=FALSE,"",'Dvd Calendar'!$V$184))</f>
        <v/>
      </c>
      <c r="BI27" s="161">
        <f>IF(GK27="","",IF(ISNUMBER('Dvd Calendar'!$W$184)=FALSE,"",'Dvd Calendar'!$W$184))</f>
        <v/>
      </c>
      <c r="BJ27" s="161">
        <f>IF(GL27="","",IF(ISNUMBER('Dvd Calendar'!$X$184)=FALSE,"",'Dvd Calendar'!$X$184))</f>
        <v/>
      </c>
      <c r="BK27" s="161">
        <f>IF(GM27="","",IF(ISNUMBER('Dvd Calendar'!$Y$184)=FALSE,"",'Dvd Calendar'!$Y$184))</f>
        <v/>
      </c>
      <c r="BL27" s="161">
        <f>IF(GN27="","",IF(ISNUMBER('Dvd Calendar'!$Z$184)=FALSE,"",'Dvd Calendar'!$Z$184))</f>
        <v/>
      </c>
      <c r="BM27" s="161">
        <f>IF(GO27="","",IF(ISNUMBER('Dvd Calendar'!$AA$184)=FALSE,"",'Dvd Calendar'!$AA$184))</f>
        <v/>
      </c>
      <c r="BN27" s="161">
        <f>IF(GP27="","",IF(ISNUMBER('Dvd Calendar'!$AB$184)=FALSE,"",'Dvd Calendar'!$AB$184))</f>
        <v/>
      </c>
      <c r="BO27" s="161">
        <f>IF(GQ27="","",IF(ISNUMBER('Dvd Calendar'!$AC$184)=FALSE,"",'Dvd Calendar'!$AC$184))</f>
        <v/>
      </c>
      <c r="BQ27" s="161">
        <f>IF(C27="","",IFERROR(C27*HSI!$B$22*HSI!$G$22/HSI!$B$3,""))</f>
        <v/>
      </c>
      <c r="BR27" s="161">
        <f>IF(D27="","",IFERROR(D27*HSI!$B$22*HSI!$G$22/HSI!$B$3,""))</f>
        <v/>
      </c>
      <c r="BS27" s="161">
        <f>IF(E27="","",IFERROR(E27*HSI!$B$22*HSI!$G$22/HSI!$B$3,""))</f>
        <v/>
      </c>
      <c r="BT27" s="161">
        <f>IF(F27="","",IFERROR(F27*HSI!$B$22*HSI!$G$22/HSI!$B$3,""))</f>
        <v/>
      </c>
      <c r="BU27" s="161">
        <f>IF(G27="","",IFERROR(G27*HSI!$B$22*HSI!$G$22/HSI!$B$3,""))</f>
        <v/>
      </c>
      <c r="BV27" s="161">
        <f>IF(H27="","",IFERROR(H27*HSI!$B$22*HSI!$G$22/HSI!$B$3,""))</f>
        <v/>
      </c>
      <c r="BW27" s="161">
        <f>IF(I27="","",IFERROR(I27*HSI!$B$22*HSI!$G$22/HSI!$B$3,""))</f>
        <v/>
      </c>
      <c r="BX27" s="161">
        <f>IF(J27="","",IFERROR(J27*HSI!$B$22*HSI!$G$22/HSI!$B$3,""))</f>
        <v/>
      </c>
      <c r="BY27" s="161">
        <f>IF(K27="","",IFERROR(K27*HSI!$B$22*HSI!$G$22/HSI!$B$3,""))</f>
        <v/>
      </c>
      <c r="BZ27" s="161">
        <f>IF(L27="","",IFERROR(L27*HSI!$B$22*HSI!$G$22/HSI!$B$3,""))</f>
        <v/>
      </c>
      <c r="CA27" s="161">
        <f>IF(M27="","",IFERROR(M27*HSI!$B$22*HSI!$G$22/HSI!$B$3,""))</f>
        <v/>
      </c>
      <c r="CB27" s="161">
        <f>IF(N27="","",IFERROR(N27*HSI!$B$22*HSI!$G$22/HSI!$B$3,""))</f>
        <v/>
      </c>
      <c r="CC27" s="161">
        <f>IF(O27="","",IFERROR(O27*HSI!$B$22*HSI!$G$22/HSI!$B$3,""))</f>
        <v/>
      </c>
      <c r="CD27" s="161">
        <f>IF(P27="","",IFERROR(P27*HSI!$B$22*HSI!$G$22/HSI!$B$3,""))</f>
        <v/>
      </c>
      <c r="CE27" s="161">
        <f>IF(Q27="","",IFERROR(Q27*HSI!$B$22*HSI!$G$22/HSI!$B$3,""))</f>
        <v/>
      </c>
      <c r="CF27" s="161">
        <f>IF(R27="","",IFERROR(R27*HSI!$B$22*HSI!$G$22/HSI!$B$3,""))</f>
        <v/>
      </c>
      <c r="CG27" s="161">
        <f>IF(S27="","",IFERROR(S27*HSI!$B$22*HSI!$G$22/HSI!$B$3,""))</f>
        <v/>
      </c>
      <c r="CH27" s="161">
        <f>IF(T27="","",IFERROR(T27*HSI!$B$22*HSI!$G$22/HSI!$B$3,""))</f>
        <v/>
      </c>
      <c r="CI27" s="161">
        <f>IF(U27="","",IFERROR(U27*HSI!$B$22*HSI!$G$22/HSI!$B$3,""))</f>
        <v/>
      </c>
      <c r="CJ27" s="161">
        <f>IF(V27="","",IFERROR(V27*HSI!$B$22*HSI!$G$22/HSI!$B$3,""))</f>
        <v/>
      </c>
      <c r="CK27" s="161">
        <f>IF(W27="","",IFERROR(W27*HSI!$B$22*HSI!$G$22/HSI!$B$3,""))</f>
        <v/>
      </c>
      <c r="CL27" s="161">
        <f>IF(X27="","",IFERROR(X27*HSI!$B$22*HSI!$G$22/HSI!$B$3,""))</f>
        <v/>
      </c>
      <c r="CM27" s="161">
        <f>IF(Y27="","",IFERROR(Y27*HSI!$B$22*HSI!$G$22/HSI!$B$3,""))</f>
        <v/>
      </c>
      <c r="CN27" s="161">
        <f>IF(Z27="","",IFERROR(Z27*HSI!$B$22*HSI!$G$22/HSI!$B$3,""))</f>
        <v/>
      </c>
      <c r="CO27" s="161">
        <f>IF(AA27="","",IFERROR(AA27*HSI!$B$22*HSI!$G$22/HSI!$B$3,""))</f>
        <v/>
      </c>
      <c r="CP27" s="161">
        <f>IF(AB27="","",IFERROR(AB27*HSI!$B$22*HSI!$G$22/HSI!$B$3,""))</f>
        <v/>
      </c>
      <c r="CQ27" s="161">
        <f>IF(AC27="","",IFERROR(AC27*HSI!$B$22*HSI!$G$22/HSI!$B$3,""))</f>
        <v/>
      </c>
      <c r="CR27" s="161">
        <f>IF(AD27="","",IFERROR(AD27*HSI!$B$22*HSI!$G$22/HSI!$B$3,""))</f>
        <v/>
      </c>
      <c r="CS27" s="161">
        <f>IF(AE27="","",IFERROR(AE27*HSI!$B$22*HSI!$G$22/HSI!$B$3,""))</f>
        <v/>
      </c>
      <c r="CT27" s="161">
        <f>IF(AF27="","",IFERROR(AF27*HSI!$B$22*HSI!$G$22/HSI!$B$3,""))</f>
        <v/>
      </c>
      <c r="CU27" s="161">
        <f>IF(AG27="","",IFERROR(AG27*HSI!$B$22*HSI!$G$22/HSI!$B$3,""))</f>
        <v/>
      </c>
      <c r="CV27" s="161">
        <f>IF(AH27="","",IFERROR(AH27*HSI!$B$22*HSI!$G$22/HSI!$B$3,""))</f>
        <v/>
      </c>
      <c r="CW27" s="161">
        <f>IF(AI27="","",IFERROR(AI27*HSI!$B$22*HSI!$G$22/HSI!$B$3,""))</f>
        <v/>
      </c>
      <c r="CX27" s="161">
        <f>IF(AJ27="","",IFERROR(AJ27*HSI!$B$22*HSI!$G$22/HSI!$B$3,""))</f>
        <v/>
      </c>
      <c r="CY27" s="161">
        <f>IF(AK27="","",IFERROR(AK27*HSI!$B$22*HSI!$G$22/HSI!$B$3,""))</f>
        <v/>
      </c>
      <c r="CZ27" s="161">
        <f>IF(AL27="","",IFERROR(AL27*HSI!$B$22*HSI!$G$22/HSI!$B$3,""))</f>
        <v/>
      </c>
      <c r="DA27" s="161">
        <f>IF(AM27="","",IFERROR(AM27*HSI!$B$22*HSI!$G$22/HSI!$B$3,""))</f>
        <v/>
      </c>
      <c r="DB27" s="161">
        <f>IF(AN27="","",IFERROR(AN27*HSI!$B$22*HSI!$G$22/HSI!$B$3,""))</f>
        <v/>
      </c>
      <c r="DC27" s="161">
        <f>IF(AO27="","",IFERROR(AO27*HSI!$B$22*HSI!$G$22/HSI!$B$3,""))</f>
        <v/>
      </c>
      <c r="DD27" s="161">
        <f>IF(AP27="","",IFERROR(AP27*HSI!$B$22*HSI!$G$22/HSI!$B$3,""))</f>
        <v/>
      </c>
      <c r="DE27" s="161">
        <f>IF(AQ27="","",IFERROR(AQ27*HSI!$B$22*HSI!$G$22/HSI!$B$3,""))</f>
        <v/>
      </c>
      <c r="DF27" s="161">
        <f>IF(AR27="","",IFERROR(AR27*HSI!$B$22*HSI!$G$22/HSI!$B$3,""))</f>
        <v/>
      </c>
      <c r="DG27" s="161">
        <f>IF(AS27="","",IFERROR(AS27*HSI!$B$22*HSI!$G$22/HSI!$B$3,""))</f>
        <v/>
      </c>
      <c r="DH27" s="161">
        <f>IF(AT27="","",IFERROR(AT27*HSI!$B$22*HSI!$G$22/HSI!$B$3,""))</f>
        <v/>
      </c>
      <c r="DI27" s="161">
        <f>IF(AU27="","",IFERROR(AU27*HSI!$B$22*HSI!$G$22/HSI!$B$3,""))</f>
        <v/>
      </c>
      <c r="DJ27" s="161">
        <f>IF(AV27="","",IFERROR(AV27*HSI!$B$22*HSI!$G$22/HSI!$B$3,""))</f>
        <v/>
      </c>
      <c r="DK27" s="161">
        <f>IF(AW27="","",IFERROR(AW27*HSI!$B$22*HSI!$G$22/HSI!$B$3,""))</f>
        <v/>
      </c>
      <c r="DL27" s="161">
        <f>IF(AX27="","",IFERROR(AX27*HSI!$B$22*HSI!$G$22/HSI!$B$3,""))</f>
        <v/>
      </c>
      <c r="DM27" s="161">
        <f>IF(AY27="","",IFERROR(AY27*HSI!$B$22*HSI!$G$22/HSI!$B$3,""))</f>
        <v/>
      </c>
      <c r="DN27" s="161">
        <f>IF(AZ27="","",IFERROR(AZ27*HSI!$B$22*HSI!$G$22/HSI!$B$3,""))</f>
        <v/>
      </c>
      <c r="DO27" s="161">
        <f>IF(BA27="","",IFERROR(BA27*HSI!$B$22*HSI!$G$22/HSI!$B$3,""))</f>
        <v/>
      </c>
      <c r="DP27" s="161">
        <f>IF(BB27="","",IFERROR(BB27*HSI!$B$22*HSI!$G$22/HSI!$B$3,""))</f>
        <v/>
      </c>
      <c r="DQ27" s="161">
        <f>IF(BC27="","",IFERROR(BC27*HSI!$B$22*HSI!$G$22/HSI!$B$3,""))</f>
        <v/>
      </c>
      <c r="DR27" s="161">
        <f>IF(BD27="","",IFERROR(BD27*HSI!$B$22*HSI!$G$22/HSI!$B$3,""))</f>
        <v/>
      </c>
      <c r="DS27" s="161">
        <f>IF(BE27="","",IFERROR(BE27*HSI!$B$22*HSI!$G$22/HSI!$B$3,""))</f>
        <v/>
      </c>
      <c r="DT27" s="161">
        <f>IF(BF27="","",IFERROR(BF27*HSI!$B$22*HSI!$G$22/HSI!$B$3,""))</f>
        <v/>
      </c>
      <c r="DU27" s="161">
        <f>IF(BG27="","",IFERROR(BG27*HSI!$B$22*HSI!$G$22/HSI!$B$3,""))</f>
        <v/>
      </c>
      <c r="DV27" s="161">
        <f>IF(BH27="","",IFERROR(BH27*HSI!$B$22*HSI!$G$22/HSI!$B$3,""))</f>
        <v/>
      </c>
      <c r="DW27" s="161">
        <f>IF(BI27="","",IFERROR(BI27*HSI!$B$22*HSI!$G$22/HSI!$B$3,""))</f>
        <v/>
      </c>
      <c r="DX27" s="161">
        <f>IF(BJ27="","",IFERROR(BJ27*HSI!$B$22*HSI!$G$22/HSI!$B$3,""))</f>
        <v/>
      </c>
      <c r="DY27" s="161">
        <f>IF(BK27="","",IFERROR(BK27*HSI!$B$22*HSI!$G$22/HSI!$B$3,""))</f>
        <v/>
      </c>
      <c r="DZ27" s="161">
        <f>IF(BL27="","",IFERROR(BL27*HSI!$B$22*HSI!$G$22/HSI!$B$3,""))</f>
        <v/>
      </c>
      <c r="EA27" s="161">
        <f>IF(BM27="","",IFERROR(BM27*HSI!$B$22*HSI!$G$22/HSI!$B$3,""))</f>
        <v/>
      </c>
      <c r="EB27" s="161">
        <f>IF(BN27="","",IFERROR(BN27*HSI!$B$22*HSI!$G$22/HSI!$B$3,""))</f>
        <v/>
      </c>
      <c r="EC27" s="161">
        <f>IF(BO27="","",IFERROR(BO27*HSI!$B$22*HSI!$G$22/HSI!$B$3,""))</f>
        <v/>
      </c>
      <c r="EE27" s="121">
        <f>IF(N('Dvd Calendar'!$E$176)=0,"",IF(('Dvd Calendar'!$E$176&gt;=GRID_FROM)*('Dvd Calendar'!$E$176&lt;=GRID_TO)*((('Dvd Calendar'!$E$176&lt;=VAL_DATE)+(COUNTIF('Dvd Calendar'!$E$183:$AR$183,'Dvd Calendar'!$E$176)=0))&gt;0)=0,"",'Dvd Calendar'!$E$176*1000000000+ISNUMBER('Dvd Calendar'!$E$179)*100000000+('Dvd Calendar'!$E$181=SPECIAL_LBL)*10000000+(N('Dvd Calendar'!$E$175)&gt;0)*(N('Dvd Calendar'!$E$175)&lt;=VAL_SERIAL)*1000000+16*1000+1))</f>
        <v/>
      </c>
      <c r="EF27" s="121">
        <f>IF(N('Dvd Calendar'!$F$176)=0,"",IF(('Dvd Calendar'!$F$176&gt;=GRID_FROM)*('Dvd Calendar'!$F$176&lt;=GRID_TO)*((('Dvd Calendar'!$F$176&lt;=VAL_DATE)+(COUNTIF('Dvd Calendar'!$E$183:$AR$183,'Dvd Calendar'!$F$176)=0))&gt;0)=0,"",'Dvd Calendar'!$F$176*1000000000+ISNUMBER('Dvd Calendar'!$F$179)*100000000+('Dvd Calendar'!$F$181=SPECIAL_LBL)*10000000+(N('Dvd Calendar'!$F$175)&gt;0)*(N('Dvd Calendar'!$F$175)&lt;=VAL_SERIAL)*1000000+16*1000+2))</f>
        <v/>
      </c>
      <c r="EG27" s="121">
        <f>IF(N('Dvd Calendar'!$G$176)=0,"",IF(('Dvd Calendar'!$G$176&gt;=GRID_FROM)*('Dvd Calendar'!$G$176&lt;=GRID_TO)*((('Dvd Calendar'!$G$176&lt;=VAL_DATE)+(COUNTIF('Dvd Calendar'!$E$183:$AR$183,'Dvd Calendar'!$G$176)=0))&gt;0)=0,"",'Dvd Calendar'!$G$176*1000000000+ISNUMBER('Dvd Calendar'!$G$179)*100000000+('Dvd Calendar'!$G$181=SPECIAL_LBL)*10000000+(N('Dvd Calendar'!$G$175)&gt;0)*(N('Dvd Calendar'!$G$175)&lt;=VAL_SERIAL)*1000000+16*1000+3))</f>
        <v/>
      </c>
      <c r="EH27" s="121">
        <f>IF(N('Dvd Calendar'!$H$176)=0,"",IF(('Dvd Calendar'!$H$176&gt;=GRID_FROM)*('Dvd Calendar'!$H$176&lt;=GRID_TO)*((('Dvd Calendar'!$H$176&lt;=VAL_DATE)+(COUNTIF('Dvd Calendar'!$E$183:$AR$183,'Dvd Calendar'!$H$176)=0))&gt;0)=0,"",'Dvd Calendar'!$H$176*1000000000+ISNUMBER('Dvd Calendar'!$H$179)*100000000+('Dvd Calendar'!$H$181=SPECIAL_LBL)*10000000+(N('Dvd Calendar'!$H$175)&gt;0)*(N('Dvd Calendar'!$H$175)&lt;=VAL_SERIAL)*1000000+16*1000+4))</f>
        <v/>
      </c>
      <c r="EI27" s="121">
        <f>IF(N('Dvd Calendar'!$I$176)=0,"",IF(('Dvd Calendar'!$I$176&gt;=GRID_FROM)*('Dvd Calendar'!$I$176&lt;=GRID_TO)*((('Dvd Calendar'!$I$176&lt;=VAL_DATE)+(COUNTIF('Dvd Calendar'!$E$183:$AR$183,'Dvd Calendar'!$I$176)=0))&gt;0)=0,"",'Dvd Calendar'!$I$176*1000000000+ISNUMBER('Dvd Calendar'!$I$179)*100000000+('Dvd Calendar'!$I$181=SPECIAL_LBL)*10000000+(N('Dvd Calendar'!$I$175)&gt;0)*(N('Dvd Calendar'!$I$175)&lt;=VAL_SERIAL)*1000000+16*1000+5))</f>
        <v/>
      </c>
      <c r="EJ27" s="121">
        <f>IF(N('Dvd Calendar'!$J$176)=0,"",IF(('Dvd Calendar'!$J$176&gt;=GRID_FROM)*('Dvd Calendar'!$J$176&lt;=GRID_TO)*((('Dvd Calendar'!$J$176&lt;=VAL_DATE)+(COUNTIF('Dvd Calendar'!$E$183:$AR$183,'Dvd Calendar'!$J$176)=0))&gt;0)=0,"",'Dvd Calendar'!$J$176*1000000000+ISNUMBER('Dvd Calendar'!$J$179)*100000000+('Dvd Calendar'!$J$181=SPECIAL_LBL)*10000000+(N('Dvd Calendar'!$J$175)&gt;0)*(N('Dvd Calendar'!$J$175)&lt;=VAL_SERIAL)*1000000+16*1000+6))</f>
        <v/>
      </c>
      <c r="EK27" s="121">
        <f>IF(N('Dvd Calendar'!$K$176)=0,"",IF(('Dvd Calendar'!$K$176&gt;=GRID_FROM)*('Dvd Calendar'!$K$176&lt;=GRID_TO)*((('Dvd Calendar'!$K$176&lt;=VAL_DATE)+(COUNTIF('Dvd Calendar'!$E$183:$AR$183,'Dvd Calendar'!$K$176)=0))&gt;0)=0,"",'Dvd Calendar'!$K$176*1000000000+ISNUMBER('Dvd Calendar'!$K$179)*100000000+('Dvd Calendar'!$K$181=SPECIAL_LBL)*10000000+(N('Dvd Calendar'!$K$175)&gt;0)*(N('Dvd Calendar'!$K$175)&lt;=VAL_SERIAL)*1000000+16*1000+7))</f>
        <v/>
      </c>
      <c r="EL27" s="121">
        <f>IF(N('Dvd Calendar'!$L$176)=0,"",IF(('Dvd Calendar'!$L$176&gt;=GRID_FROM)*('Dvd Calendar'!$L$176&lt;=GRID_TO)*((('Dvd Calendar'!$L$176&lt;=VAL_DATE)+(COUNTIF('Dvd Calendar'!$E$183:$AR$183,'Dvd Calendar'!$L$176)=0))&gt;0)=0,"",'Dvd Calendar'!$L$176*1000000000+ISNUMBER('Dvd Calendar'!$L$179)*100000000+('Dvd Calendar'!$L$181=SPECIAL_LBL)*10000000+(N('Dvd Calendar'!$L$175)&gt;0)*(N('Dvd Calendar'!$L$175)&lt;=VAL_SERIAL)*1000000+16*1000+8))</f>
        <v/>
      </c>
      <c r="EM27" s="121">
        <f>IF(N('Dvd Calendar'!$M$176)=0,"",IF(('Dvd Calendar'!$M$176&gt;=GRID_FROM)*('Dvd Calendar'!$M$176&lt;=GRID_TO)*((('Dvd Calendar'!$M$176&lt;=VAL_DATE)+(COUNTIF('Dvd Calendar'!$E$183:$AR$183,'Dvd Calendar'!$M$176)=0))&gt;0)=0,"",'Dvd Calendar'!$M$176*1000000000+ISNUMBER('Dvd Calendar'!$M$179)*100000000+('Dvd Calendar'!$M$181=SPECIAL_LBL)*10000000+(N('Dvd Calendar'!$M$175)&gt;0)*(N('Dvd Calendar'!$M$175)&lt;=VAL_SERIAL)*1000000+16*1000+9))</f>
        <v/>
      </c>
      <c r="EN27" s="121">
        <f>IF(N('Dvd Calendar'!$N$176)=0,"",IF(('Dvd Calendar'!$N$176&gt;=GRID_FROM)*('Dvd Calendar'!$N$176&lt;=GRID_TO)*((('Dvd Calendar'!$N$176&lt;=VAL_DATE)+(COUNTIF('Dvd Calendar'!$E$183:$AR$183,'Dvd Calendar'!$N$176)=0))&gt;0)=0,"",'Dvd Calendar'!$N$176*1000000000+ISNUMBER('Dvd Calendar'!$N$179)*100000000+('Dvd Calendar'!$N$181=SPECIAL_LBL)*10000000+(N('Dvd Calendar'!$N$175)&gt;0)*(N('Dvd Calendar'!$N$175)&lt;=VAL_SERIAL)*1000000+16*1000+10))</f>
        <v/>
      </c>
      <c r="EO27" s="121">
        <f>IF(N('Dvd Calendar'!$O$176)=0,"",IF(('Dvd Calendar'!$O$176&gt;=GRID_FROM)*('Dvd Calendar'!$O$176&lt;=GRID_TO)*((('Dvd Calendar'!$O$176&lt;=VAL_DATE)+(COUNTIF('Dvd Calendar'!$E$183:$AR$183,'Dvd Calendar'!$O$176)=0))&gt;0)=0,"",'Dvd Calendar'!$O$176*1000000000+ISNUMBER('Dvd Calendar'!$O$179)*100000000+('Dvd Calendar'!$O$181=SPECIAL_LBL)*10000000+(N('Dvd Calendar'!$O$175)&gt;0)*(N('Dvd Calendar'!$O$175)&lt;=VAL_SERIAL)*1000000+16*1000+11))</f>
        <v/>
      </c>
      <c r="EP27" s="121">
        <f>IF(N('Dvd Calendar'!$P$176)=0,"",IF(('Dvd Calendar'!$P$176&gt;=GRID_FROM)*('Dvd Calendar'!$P$176&lt;=GRID_TO)*((('Dvd Calendar'!$P$176&lt;=VAL_DATE)+(COUNTIF('Dvd Calendar'!$E$183:$AR$183,'Dvd Calendar'!$P$176)=0))&gt;0)=0,"",'Dvd Calendar'!$P$176*1000000000+ISNUMBER('Dvd Calendar'!$P$179)*100000000+('Dvd Calendar'!$P$181=SPECIAL_LBL)*10000000+(N('Dvd Calendar'!$P$175)&gt;0)*(N('Dvd Calendar'!$P$175)&lt;=VAL_SERIAL)*1000000+16*1000+12))</f>
        <v/>
      </c>
      <c r="EQ27" s="121">
        <f>IF(N('Dvd Calendar'!$Q$176)=0,"",IF(('Dvd Calendar'!$Q$176&gt;=GRID_FROM)*('Dvd Calendar'!$Q$176&lt;=GRID_TO)*((('Dvd Calendar'!$Q$176&lt;=VAL_DATE)+(COUNTIF('Dvd Calendar'!$E$183:$AR$183,'Dvd Calendar'!$Q$176)=0))&gt;0)=0,"",'Dvd Calendar'!$Q$176*1000000000+ISNUMBER('Dvd Calendar'!$Q$179)*100000000+('Dvd Calendar'!$Q$181=SPECIAL_LBL)*10000000+(N('Dvd Calendar'!$Q$175)&gt;0)*(N('Dvd Calendar'!$Q$175)&lt;=VAL_SERIAL)*1000000+16*1000+13))</f>
        <v/>
      </c>
      <c r="ER27" s="121">
        <f>IF(N('Dvd Calendar'!$R$176)=0,"",IF(('Dvd Calendar'!$R$176&gt;=GRID_FROM)*('Dvd Calendar'!$R$176&lt;=GRID_TO)*((('Dvd Calendar'!$R$176&lt;=VAL_DATE)+(COUNTIF('Dvd Calendar'!$E$183:$AR$183,'Dvd Calendar'!$R$176)=0))&gt;0)=0,"",'Dvd Calendar'!$R$176*1000000000+ISNUMBER('Dvd Calendar'!$R$179)*100000000+('Dvd Calendar'!$R$181=SPECIAL_LBL)*10000000+(N('Dvd Calendar'!$R$175)&gt;0)*(N('Dvd Calendar'!$R$175)&lt;=VAL_SERIAL)*1000000+16*1000+14))</f>
        <v/>
      </c>
      <c r="ES27" s="121">
        <f>IF(N('Dvd Calendar'!$S$176)=0,"",IF(('Dvd Calendar'!$S$176&gt;=GRID_FROM)*('Dvd Calendar'!$S$176&lt;=GRID_TO)*((('Dvd Calendar'!$S$176&lt;=VAL_DATE)+(COUNTIF('Dvd Calendar'!$E$183:$AR$183,'Dvd Calendar'!$S$176)=0))&gt;0)=0,"",'Dvd Calendar'!$S$176*1000000000+ISNUMBER('Dvd Calendar'!$S$179)*100000000+('Dvd Calendar'!$S$181=SPECIAL_LBL)*10000000+(N('Dvd Calendar'!$S$175)&gt;0)*(N('Dvd Calendar'!$S$175)&lt;=VAL_SERIAL)*1000000+16*1000+15))</f>
        <v/>
      </c>
      <c r="ET27" s="121">
        <f>IF(N('Dvd Calendar'!$T$176)=0,"",IF(('Dvd Calendar'!$T$176&gt;=GRID_FROM)*('Dvd Calendar'!$T$176&lt;=GRID_TO)*((('Dvd Calendar'!$T$176&lt;=VAL_DATE)+(COUNTIF('Dvd Calendar'!$E$183:$AR$183,'Dvd Calendar'!$T$176)=0))&gt;0)=0,"",'Dvd Calendar'!$T$176*1000000000+ISNUMBER('Dvd Calendar'!$T$179)*100000000+('Dvd Calendar'!$T$181=SPECIAL_LBL)*10000000+(N('Dvd Calendar'!$T$175)&gt;0)*(N('Dvd Calendar'!$T$175)&lt;=VAL_SERIAL)*1000000+16*1000+16))</f>
        <v/>
      </c>
      <c r="EU27" s="121">
        <f>IF(N('Dvd Calendar'!$U$176)=0,"",IF(('Dvd Calendar'!$U$176&gt;=GRID_FROM)*('Dvd Calendar'!$U$176&lt;=GRID_TO)*((('Dvd Calendar'!$U$176&lt;=VAL_DATE)+(COUNTIF('Dvd Calendar'!$E$183:$AR$183,'Dvd Calendar'!$U$176)=0))&gt;0)=0,"",'Dvd Calendar'!$U$176*1000000000+ISNUMBER('Dvd Calendar'!$U$179)*100000000+('Dvd Calendar'!$U$181=SPECIAL_LBL)*10000000+(N('Dvd Calendar'!$U$175)&gt;0)*(N('Dvd Calendar'!$U$175)&lt;=VAL_SERIAL)*1000000+16*1000+17))</f>
        <v/>
      </c>
      <c r="EV27" s="121">
        <f>IF(N('Dvd Calendar'!$V$176)=0,"",IF(('Dvd Calendar'!$V$176&gt;=GRID_FROM)*('Dvd Calendar'!$V$176&lt;=GRID_TO)*((('Dvd Calendar'!$V$176&lt;=VAL_DATE)+(COUNTIF('Dvd Calendar'!$E$183:$AR$183,'Dvd Calendar'!$V$176)=0))&gt;0)=0,"",'Dvd Calendar'!$V$176*1000000000+ISNUMBER('Dvd Calendar'!$V$179)*100000000+('Dvd Calendar'!$V$181=SPECIAL_LBL)*10000000+(N('Dvd Calendar'!$V$175)&gt;0)*(N('Dvd Calendar'!$V$175)&lt;=VAL_SERIAL)*1000000+16*1000+18))</f>
        <v/>
      </c>
      <c r="EW27" s="121">
        <f>IF(N('Dvd Calendar'!$W$176)=0,"",IF(('Dvd Calendar'!$W$176&gt;=GRID_FROM)*('Dvd Calendar'!$W$176&lt;=GRID_TO)*((('Dvd Calendar'!$W$176&lt;=VAL_DATE)+(COUNTIF('Dvd Calendar'!$E$183:$AR$183,'Dvd Calendar'!$W$176)=0))&gt;0)=0,"",'Dvd Calendar'!$W$176*1000000000+ISNUMBER('Dvd Calendar'!$W$179)*100000000+('Dvd Calendar'!$W$181=SPECIAL_LBL)*10000000+(N('Dvd Calendar'!$W$175)&gt;0)*(N('Dvd Calendar'!$W$175)&lt;=VAL_SERIAL)*1000000+16*1000+19))</f>
        <v/>
      </c>
      <c r="EX27" s="121">
        <f>IF(N('Dvd Calendar'!$X$176)=0,"",IF(('Dvd Calendar'!$X$176&gt;=GRID_FROM)*('Dvd Calendar'!$X$176&lt;=GRID_TO)*((('Dvd Calendar'!$X$176&lt;=VAL_DATE)+(COUNTIF('Dvd Calendar'!$E$183:$AR$183,'Dvd Calendar'!$X$176)=0))&gt;0)=0,"",'Dvd Calendar'!$X$176*1000000000+ISNUMBER('Dvd Calendar'!$X$179)*100000000+('Dvd Calendar'!$X$181=SPECIAL_LBL)*10000000+(N('Dvd Calendar'!$X$175)&gt;0)*(N('Dvd Calendar'!$X$175)&lt;=VAL_SERIAL)*1000000+16*1000+20))</f>
        <v/>
      </c>
      <c r="EY27" s="121">
        <f>IF(N('Dvd Calendar'!$Y$176)=0,"",IF(('Dvd Calendar'!$Y$176&gt;=GRID_FROM)*('Dvd Calendar'!$Y$176&lt;=GRID_TO)*((('Dvd Calendar'!$Y$176&lt;=VAL_DATE)+(COUNTIF('Dvd Calendar'!$E$183:$AR$183,'Dvd Calendar'!$Y$176)=0))&gt;0)=0,"",'Dvd Calendar'!$Y$176*1000000000+ISNUMBER('Dvd Calendar'!$Y$179)*100000000+('Dvd Calendar'!$Y$181=SPECIAL_LBL)*10000000+(N('Dvd Calendar'!$Y$175)&gt;0)*(N('Dvd Calendar'!$Y$175)&lt;=VAL_SERIAL)*1000000+16*1000+21))</f>
        <v/>
      </c>
      <c r="EZ27" s="121">
        <f>IF(N('Dvd Calendar'!$Z$176)=0,"",IF(('Dvd Calendar'!$Z$176&gt;=GRID_FROM)*('Dvd Calendar'!$Z$176&lt;=GRID_TO)*((('Dvd Calendar'!$Z$176&lt;=VAL_DATE)+(COUNTIF('Dvd Calendar'!$E$183:$AR$183,'Dvd Calendar'!$Z$176)=0))&gt;0)=0,"",'Dvd Calendar'!$Z$176*1000000000+ISNUMBER('Dvd Calendar'!$Z$179)*100000000+('Dvd Calendar'!$Z$181=SPECIAL_LBL)*10000000+(N('Dvd Calendar'!$Z$175)&gt;0)*(N('Dvd Calendar'!$Z$175)&lt;=VAL_SERIAL)*1000000+16*1000+22))</f>
        <v/>
      </c>
      <c r="FA27" s="121">
        <f>IF(N('Dvd Calendar'!$AA$176)=0,"",IF(('Dvd Calendar'!$AA$176&gt;=GRID_FROM)*('Dvd Calendar'!$AA$176&lt;=GRID_TO)*((('Dvd Calendar'!$AA$176&lt;=VAL_DATE)+(COUNTIF('Dvd Calendar'!$E$183:$AR$183,'Dvd Calendar'!$AA$176)=0))&gt;0)=0,"",'Dvd Calendar'!$AA$176*1000000000+ISNUMBER('Dvd Calendar'!$AA$179)*100000000+('Dvd Calendar'!$AA$181=SPECIAL_LBL)*10000000+(N('Dvd Calendar'!$AA$175)&gt;0)*(N('Dvd Calendar'!$AA$175)&lt;=VAL_SERIAL)*1000000+16*1000+23))</f>
        <v/>
      </c>
      <c r="FB27" s="121">
        <f>IF(N('Dvd Calendar'!$AB$176)=0,"",IF(('Dvd Calendar'!$AB$176&gt;=GRID_FROM)*('Dvd Calendar'!$AB$176&lt;=GRID_TO)*((('Dvd Calendar'!$AB$176&lt;=VAL_DATE)+(COUNTIF('Dvd Calendar'!$E$183:$AR$183,'Dvd Calendar'!$AB$176)=0))&gt;0)=0,"",'Dvd Calendar'!$AB$176*1000000000+ISNUMBER('Dvd Calendar'!$AB$179)*100000000+('Dvd Calendar'!$AB$181=SPECIAL_LBL)*10000000+(N('Dvd Calendar'!$AB$175)&gt;0)*(N('Dvd Calendar'!$AB$175)&lt;=VAL_SERIAL)*1000000+16*1000+24))</f>
        <v/>
      </c>
      <c r="FC27" s="121">
        <f>IF(N('Dvd Calendar'!$AC$176)=0,"",IF(('Dvd Calendar'!$AC$176&gt;=GRID_FROM)*('Dvd Calendar'!$AC$176&lt;=GRID_TO)*((('Dvd Calendar'!$AC$176&lt;=VAL_DATE)+(COUNTIF('Dvd Calendar'!$E$183:$AR$183,'Dvd Calendar'!$AC$176)=0))&gt;0)=0,"",'Dvd Calendar'!$AC$176*1000000000+ISNUMBER('Dvd Calendar'!$AC$179)*100000000+('Dvd Calendar'!$AC$181=SPECIAL_LBL)*10000000+(N('Dvd Calendar'!$AC$175)&gt;0)*(N('Dvd Calendar'!$AC$175)&lt;=VAL_SERIAL)*1000000+16*1000+25))</f>
        <v/>
      </c>
      <c r="FD27" s="121">
        <f>IF(N('Dvd Calendar'!$AD$176)=0,"",IF(('Dvd Calendar'!$AD$176&gt;=GRID_FROM)*('Dvd Calendar'!$AD$176&lt;=GRID_TO)*((('Dvd Calendar'!$AD$176&lt;=VAL_DATE)+(COUNTIF('Dvd Calendar'!$E$183:$AR$183,'Dvd Calendar'!$AD$176)=0))&gt;0)=0,"",'Dvd Calendar'!$AD$176*1000000000+ISNUMBER('Dvd Calendar'!$AD$179)*100000000+('Dvd Calendar'!$AD$181=SPECIAL_LBL)*10000000+(N('Dvd Calendar'!$AD$175)&gt;0)*(N('Dvd Calendar'!$AD$175)&lt;=VAL_SERIAL)*1000000+16*1000+26))</f>
        <v/>
      </c>
      <c r="FE27" s="121">
        <f>IF(N('Dvd Calendar'!$AE$176)=0,"",IF(('Dvd Calendar'!$AE$176&gt;=GRID_FROM)*('Dvd Calendar'!$AE$176&lt;=GRID_TO)*((('Dvd Calendar'!$AE$176&lt;=VAL_DATE)+(COUNTIF('Dvd Calendar'!$E$183:$AR$183,'Dvd Calendar'!$AE$176)=0))&gt;0)=0,"",'Dvd Calendar'!$AE$176*1000000000+ISNUMBER('Dvd Calendar'!$AE$179)*100000000+('Dvd Calendar'!$AE$181=SPECIAL_LBL)*10000000+(N('Dvd Calendar'!$AE$175)&gt;0)*(N('Dvd Calendar'!$AE$175)&lt;=VAL_SERIAL)*1000000+16*1000+27))</f>
        <v/>
      </c>
      <c r="FF27" s="121">
        <f>IF(N('Dvd Calendar'!$AF$176)=0,"",IF(('Dvd Calendar'!$AF$176&gt;=GRID_FROM)*('Dvd Calendar'!$AF$176&lt;=GRID_TO)*((('Dvd Calendar'!$AF$176&lt;=VAL_DATE)+(COUNTIF('Dvd Calendar'!$E$183:$AR$183,'Dvd Calendar'!$AF$176)=0))&gt;0)=0,"",'Dvd Calendar'!$AF$176*1000000000+ISNUMBER('Dvd Calendar'!$AF$179)*100000000+('Dvd Calendar'!$AF$181=SPECIAL_LBL)*10000000+(N('Dvd Calendar'!$AF$175)&gt;0)*(N('Dvd Calendar'!$AF$175)&lt;=VAL_SERIAL)*1000000+16*1000+28))</f>
        <v/>
      </c>
      <c r="FG27" s="121">
        <f>IF(N('Dvd Calendar'!$AG$176)=0,"",IF(('Dvd Calendar'!$AG$176&gt;=GRID_FROM)*('Dvd Calendar'!$AG$176&lt;=GRID_TO)*((('Dvd Calendar'!$AG$176&lt;=VAL_DATE)+(COUNTIF('Dvd Calendar'!$E$183:$AR$183,'Dvd Calendar'!$AG$176)=0))&gt;0)=0,"",'Dvd Calendar'!$AG$176*1000000000+ISNUMBER('Dvd Calendar'!$AG$179)*100000000+('Dvd Calendar'!$AG$181=SPECIAL_LBL)*10000000+(N('Dvd Calendar'!$AG$175)&gt;0)*(N('Dvd Calendar'!$AG$175)&lt;=VAL_SERIAL)*1000000+16*1000+29))</f>
        <v/>
      </c>
      <c r="FH27" s="121">
        <f>IF(N('Dvd Calendar'!$AH$176)=0,"",IF(('Dvd Calendar'!$AH$176&gt;=GRID_FROM)*('Dvd Calendar'!$AH$176&lt;=GRID_TO)*((('Dvd Calendar'!$AH$176&lt;=VAL_DATE)+(COUNTIF('Dvd Calendar'!$E$183:$AR$183,'Dvd Calendar'!$AH$176)=0))&gt;0)=0,"",'Dvd Calendar'!$AH$176*1000000000+ISNUMBER('Dvd Calendar'!$AH$179)*100000000+('Dvd Calendar'!$AH$181=SPECIAL_LBL)*10000000+(N('Dvd Calendar'!$AH$175)&gt;0)*(N('Dvd Calendar'!$AH$175)&lt;=VAL_SERIAL)*1000000+16*1000+30))</f>
        <v/>
      </c>
      <c r="FI27" s="121">
        <f>IF(N('Dvd Calendar'!$AI$176)=0,"",IF(('Dvd Calendar'!$AI$176&gt;=GRID_FROM)*('Dvd Calendar'!$AI$176&lt;=GRID_TO)*((('Dvd Calendar'!$AI$176&lt;=VAL_DATE)+(COUNTIF('Dvd Calendar'!$E$183:$AR$183,'Dvd Calendar'!$AI$176)=0))&gt;0)=0,"",'Dvd Calendar'!$AI$176*1000000000+ISNUMBER('Dvd Calendar'!$AI$179)*100000000+('Dvd Calendar'!$AI$181=SPECIAL_LBL)*10000000+(N('Dvd Calendar'!$AI$175)&gt;0)*(N('Dvd Calendar'!$AI$175)&lt;=VAL_SERIAL)*1000000+16*1000+31))</f>
        <v/>
      </c>
      <c r="FJ27" s="121">
        <f>IF(N('Dvd Calendar'!$AJ$176)=0,"",IF(('Dvd Calendar'!$AJ$176&gt;=GRID_FROM)*('Dvd Calendar'!$AJ$176&lt;=GRID_TO)*((('Dvd Calendar'!$AJ$176&lt;=VAL_DATE)+(COUNTIF('Dvd Calendar'!$E$183:$AR$183,'Dvd Calendar'!$AJ$176)=0))&gt;0)=0,"",'Dvd Calendar'!$AJ$176*1000000000+ISNUMBER('Dvd Calendar'!$AJ$179)*100000000+('Dvd Calendar'!$AJ$181=SPECIAL_LBL)*10000000+(N('Dvd Calendar'!$AJ$175)&gt;0)*(N('Dvd Calendar'!$AJ$175)&lt;=VAL_SERIAL)*1000000+16*1000+32))</f>
        <v/>
      </c>
      <c r="FK27" s="121">
        <f>IF(N('Dvd Calendar'!$AK$176)=0,"",IF(('Dvd Calendar'!$AK$176&gt;=GRID_FROM)*('Dvd Calendar'!$AK$176&lt;=GRID_TO)*((('Dvd Calendar'!$AK$176&lt;=VAL_DATE)+(COUNTIF('Dvd Calendar'!$E$183:$AR$183,'Dvd Calendar'!$AK$176)=0))&gt;0)=0,"",'Dvd Calendar'!$AK$176*1000000000+ISNUMBER('Dvd Calendar'!$AK$179)*100000000+('Dvd Calendar'!$AK$181=SPECIAL_LBL)*10000000+(N('Dvd Calendar'!$AK$175)&gt;0)*(N('Dvd Calendar'!$AK$175)&lt;=VAL_SERIAL)*1000000+16*1000+33))</f>
        <v/>
      </c>
      <c r="FL27" s="121">
        <f>IF(N('Dvd Calendar'!$AL$176)=0,"",IF(('Dvd Calendar'!$AL$176&gt;=GRID_FROM)*('Dvd Calendar'!$AL$176&lt;=GRID_TO)*((('Dvd Calendar'!$AL$176&lt;=VAL_DATE)+(COUNTIF('Dvd Calendar'!$E$183:$AR$183,'Dvd Calendar'!$AL$176)=0))&gt;0)=0,"",'Dvd Calendar'!$AL$176*1000000000+ISNUMBER('Dvd Calendar'!$AL$179)*100000000+('Dvd Calendar'!$AL$181=SPECIAL_LBL)*10000000+(N('Dvd Calendar'!$AL$175)&gt;0)*(N('Dvd Calendar'!$AL$175)&lt;=VAL_SERIAL)*1000000+16*1000+34))</f>
        <v/>
      </c>
      <c r="FM27" s="121">
        <f>IF(N('Dvd Calendar'!$AM$176)=0,"",IF(('Dvd Calendar'!$AM$176&gt;=GRID_FROM)*('Dvd Calendar'!$AM$176&lt;=GRID_TO)*((('Dvd Calendar'!$AM$176&lt;=VAL_DATE)+(COUNTIF('Dvd Calendar'!$E$183:$AR$183,'Dvd Calendar'!$AM$176)=0))&gt;0)=0,"",'Dvd Calendar'!$AM$176*1000000000+ISNUMBER('Dvd Calendar'!$AM$179)*100000000+('Dvd Calendar'!$AM$181=SPECIAL_LBL)*10000000+(N('Dvd Calendar'!$AM$175)&gt;0)*(N('Dvd Calendar'!$AM$175)&lt;=VAL_SERIAL)*1000000+16*1000+35))</f>
        <v/>
      </c>
      <c r="FN27" s="121">
        <f>IF(N('Dvd Calendar'!$AN$176)=0,"",IF(('Dvd Calendar'!$AN$176&gt;=GRID_FROM)*('Dvd Calendar'!$AN$176&lt;=GRID_TO)*((('Dvd Calendar'!$AN$176&lt;=VAL_DATE)+(COUNTIF('Dvd Calendar'!$E$183:$AR$183,'Dvd Calendar'!$AN$176)=0))&gt;0)=0,"",'Dvd Calendar'!$AN$176*1000000000+ISNUMBER('Dvd Calendar'!$AN$179)*100000000+('Dvd Calendar'!$AN$181=SPECIAL_LBL)*10000000+(N('Dvd Calendar'!$AN$175)&gt;0)*(N('Dvd Calendar'!$AN$175)&lt;=VAL_SERIAL)*1000000+16*1000+36))</f>
        <v/>
      </c>
      <c r="FO27" s="121">
        <f>IF(N('Dvd Calendar'!$AO$176)=0,"",IF(('Dvd Calendar'!$AO$176&gt;=GRID_FROM)*('Dvd Calendar'!$AO$176&lt;=GRID_TO)*((('Dvd Calendar'!$AO$176&lt;=VAL_DATE)+(COUNTIF('Dvd Calendar'!$E$183:$AR$183,'Dvd Calendar'!$AO$176)=0))&gt;0)=0,"",'Dvd Calendar'!$AO$176*1000000000+ISNUMBER('Dvd Calendar'!$AO$179)*100000000+('Dvd Calendar'!$AO$181=SPECIAL_LBL)*10000000+(N('Dvd Calendar'!$AO$175)&gt;0)*(N('Dvd Calendar'!$AO$175)&lt;=VAL_SERIAL)*1000000+16*1000+37))</f>
        <v/>
      </c>
      <c r="FP27" s="121">
        <f>IF(N('Dvd Calendar'!$AP$176)=0,"",IF(('Dvd Calendar'!$AP$176&gt;=GRID_FROM)*('Dvd Calendar'!$AP$176&lt;=GRID_TO)*((('Dvd Calendar'!$AP$176&lt;=VAL_DATE)+(COUNTIF('Dvd Calendar'!$E$183:$AR$183,'Dvd Calendar'!$AP$176)=0))&gt;0)=0,"",'Dvd Calendar'!$AP$176*1000000000+ISNUMBER('Dvd Calendar'!$AP$179)*100000000+('Dvd Calendar'!$AP$181=SPECIAL_LBL)*10000000+(N('Dvd Calendar'!$AP$175)&gt;0)*(N('Dvd Calendar'!$AP$175)&lt;=VAL_SERIAL)*1000000+16*1000+38))</f>
        <v/>
      </c>
      <c r="FQ27" s="121">
        <f>IF(N('Dvd Calendar'!$AQ$176)=0,"",IF(('Dvd Calendar'!$AQ$176&gt;=GRID_FROM)*('Dvd Calendar'!$AQ$176&lt;=GRID_TO)*((('Dvd Calendar'!$AQ$176&lt;=VAL_DATE)+(COUNTIF('Dvd Calendar'!$E$183:$AR$183,'Dvd Calendar'!$AQ$176)=0))&gt;0)=0,"",'Dvd Calendar'!$AQ$176*1000000000+ISNUMBER('Dvd Calendar'!$AQ$179)*100000000+('Dvd Calendar'!$AQ$181=SPECIAL_LBL)*10000000+(N('Dvd Calendar'!$AQ$175)&gt;0)*(N('Dvd Calendar'!$AQ$175)&lt;=VAL_SERIAL)*1000000+16*1000+39))</f>
        <v/>
      </c>
      <c r="FR27" s="121">
        <f>IF(N('Dvd Calendar'!$AR$176)=0,"",IF(('Dvd Calendar'!$AR$176&gt;=GRID_FROM)*('Dvd Calendar'!$AR$176&lt;=GRID_TO)*((('Dvd Calendar'!$AR$176&lt;=VAL_DATE)+(COUNTIF('Dvd Calendar'!$E$183:$AR$183,'Dvd Calendar'!$AR$176)=0))&gt;0)=0,"",'Dvd Calendar'!$AR$176*1000000000+ISNUMBER('Dvd Calendar'!$AR$179)*100000000+('Dvd Calendar'!$AR$181=SPECIAL_LBL)*10000000+(N('Dvd Calendar'!$AR$175)&gt;0)*(N('Dvd Calendar'!$AR$175)&lt;=VAL_SERIAL)*1000000+16*1000+40))</f>
        <v/>
      </c>
      <c r="FS27" s="121">
        <f>IF(N('Dvd Calendar'!$E$183)=0,"",IF(('Dvd Calendar'!$E$183&gt;=GRID_FROM)*('Dvd Calendar'!$E$183&lt;=GRID_TO)*('Dvd Calendar'!$E$183&gt;VAL_DATE)=0,"",'Dvd Calendar'!$E$183*1000000000+ISNUMBER('Dvd Calendar'!$E$184)*100000000+0*10000000+(N('Dvd Calendar'!$E$182)&gt;0)*(N('Dvd Calendar'!$E$182)&lt;=VAL_SERIAL)*1000000+16*1000+41))</f>
        <v/>
      </c>
      <c r="FT27" s="121">
        <f>IF(N('Dvd Calendar'!$F$183)=0,"",IF(('Dvd Calendar'!$F$183&gt;=GRID_FROM)*('Dvd Calendar'!$F$183&lt;=GRID_TO)*('Dvd Calendar'!$F$183&gt;VAL_DATE)=0,"",'Dvd Calendar'!$F$183*1000000000+ISNUMBER('Dvd Calendar'!$F$184)*100000000+0*10000000+(N('Dvd Calendar'!$F$182)&gt;0)*(N('Dvd Calendar'!$F$182)&lt;=VAL_SERIAL)*1000000+16*1000+42))</f>
        <v/>
      </c>
      <c r="FU27" s="121">
        <f>IF(N('Dvd Calendar'!$G$183)=0,"",IF(('Dvd Calendar'!$G$183&gt;=GRID_FROM)*('Dvd Calendar'!$G$183&lt;=GRID_TO)*('Dvd Calendar'!$G$183&gt;VAL_DATE)=0,"",'Dvd Calendar'!$G$183*1000000000+ISNUMBER('Dvd Calendar'!$G$184)*100000000+0*10000000+(N('Dvd Calendar'!$G$182)&gt;0)*(N('Dvd Calendar'!$G$182)&lt;=VAL_SERIAL)*1000000+16*1000+43))</f>
        <v/>
      </c>
      <c r="FV27" s="121">
        <f>IF(N('Dvd Calendar'!$H$183)=0,"",IF(('Dvd Calendar'!$H$183&gt;=GRID_FROM)*('Dvd Calendar'!$H$183&lt;=GRID_TO)*('Dvd Calendar'!$H$183&gt;VAL_DATE)=0,"",'Dvd Calendar'!$H$183*1000000000+ISNUMBER('Dvd Calendar'!$H$184)*100000000+0*10000000+(N('Dvd Calendar'!$H$182)&gt;0)*(N('Dvd Calendar'!$H$182)&lt;=VAL_SERIAL)*1000000+16*1000+44))</f>
        <v/>
      </c>
      <c r="FW27" s="121">
        <f>IF(N('Dvd Calendar'!$I$183)=0,"",IF(('Dvd Calendar'!$I$183&gt;=GRID_FROM)*('Dvd Calendar'!$I$183&lt;=GRID_TO)*('Dvd Calendar'!$I$183&gt;VAL_DATE)=0,"",'Dvd Calendar'!$I$183*1000000000+ISNUMBER('Dvd Calendar'!$I$184)*100000000+0*10000000+(N('Dvd Calendar'!$I$182)&gt;0)*(N('Dvd Calendar'!$I$182)&lt;=VAL_SERIAL)*1000000+16*1000+45))</f>
        <v/>
      </c>
      <c r="FX27" s="121">
        <f>IF(N('Dvd Calendar'!$J$183)=0,"",IF(('Dvd Calendar'!$J$183&gt;=GRID_FROM)*('Dvd Calendar'!$J$183&lt;=GRID_TO)*('Dvd Calendar'!$J$183&gt;VAL_DATE)=0,"",'Dvd Calendar'!$J$183*1000000000+ISNUMBER('Dvd Calendar'!$J$184)*100000000+0*10000000+(N('Dvd Calendar'!$J$182)&gt;0)*(N('Dvd Calendar'!$J$182)&lt;=VAL_SERIAL)*1000000+16*1000+46))</f>
        <v/>
      </c>
      <c r="FY27" s="121">
        <f>IF(N('Dvd Calendar'!$K$183)=0,"",IF(('Dvd Calendar'!$K$183&gt;=GRID_FROM)*('Dvd Calendar'!$K$183&lt;=GRID_TO)*('Dvd Calendar'!$K$183&gt;VAL_DATE)=0,"",'Dvd Calendar'!$K$183*1000000000+ISNUMBER('Dvd Calendar'!$K$184)*100000000+0*10000000+(N('Dvd Calendar'!$K$182)&gt;0)*(N('Dvd Calendar'!$K$182)&lt;=VAL_SERIAL)*1000000+16*1000+47))</f>
        <v/>
      </c>
      <c r="FZ27" s="121">
        <f>IF(N('Dvd Calendar'!$L$183)=0,"",IF(('Dvd Calendar'!$L$183&gt;=GRID_FROM)*('Dvd Calendar'!$L$183&lt;=GRID_TO)*('Dvd Calendar'!$L$183&gt;VAL_DATE)=0,"",'Dvd Calendar'!$L$183*1000000000+ISNUMBER('Dvd Calendar'!$L$184)*100000000+0*10000000+(N('Dvd Calendar'!$L$182)&gt;0)*(N('Dvd Calendar'!$L$182)&lt;=VAL_SERIAL)*1000000+16*1000+48))</f>
        <v/>
      </c>
      <c r="GA27" s="121">
        <f>IF(N('Dvd Calendar'!$M$183)=0,"",IF(('Dvd Calendar'!$M$183&gt;=GRID_FROM)*('Dvd Calendar'!$M$183&lt;=GRID_TO)*('Dvd Calendar'!$M$183&gt;VAL_DATE)=0,"",'Dvd Calendar'!$M$183*1000000000+ISNUMBER('Dvd Calendar'!$M$184)*100000000+0*10000000+(N('Dvd Calendar'!$M$182)&gt;0)*(N('Dvd Calendar'!$M$182)&lt;=VAL_SERIAL)*1000000+16*1000+49))</f>
        <v/>
      </c>
      <c r="GB27" s="121">
        <f>IF(N('Dvd Calendar'!$N$183)=0,"",IF(('Dvd Calendar'!$N$183&gt;=GRID_FROM)*('Dvd Calendar'!$N$183&lt;=GRID_TO)*('Dvd Calendar'!$N$183&gt;VAL_DATE)=0,"",'Dvd Calendar'!$N$183*1000000000+ISNUMBER('Dvd Calendar'!$N$184)*100000000+0*10000000+(N('Dvd Calendar'!$N$182)&gt;0)*(N('Dvd Calendar'!$N$182)&lt;=VAL_SERIAL)*1000000+16*1000+50))</f>
        <v/>
      </c>
      <c r="GC27" s="121">
        <f>IF(N('Dvd Calendar'!$O$183)=0,"",IF(('Dvd Calendar'!$O$183&gt;=GRID_FROM)*('Dvd Calendar'!$O$183&lt;=GRID_TO)*('Dvd Calendar'!$O$183&gt;VAL_DATE)=0,"",'Dvd Calendar'!$O$183*1000000000+ISNUMBER('Dvd Calendar'!$O$184)*100000000+0*10000000+(N('Dvd Calendar'!$O$182)&gt;0)*(N('Dvd Calendar'!$O$182)&lt;=VAL_SERIAL)*1000000+16*1000+51))</f>
        <v/>
      </c>
      <c r="GD27" s="121">
        <f>IF(N('Dvd Calendar'!$P$183)=0,"",IF(('Dvd Calendar'!$P$183&gt;=GRID_FROM)*('Dvd Calendar'!$P$183&lt;=GRID_TO)*('Dvd Calendar'!$P$183&gt;VAL_DATE)=0,"",'Dvd Calendar'!$P$183*1000000000+ISNUMBER('Dvd Calendar'!$P$184)*100000000+0*10000000+(N('Dvd Calendar'!$P$182)&gt;0)*(N('Dvd Calendar'!$P$182)&lt;=VAL_SERIAL)*1000000+16*1000+52))</f>
        <v/>
      </c>
      <c r="GE27" s="121">
        <f>IF(N('Dvd Calendar'!$Q$183)=0,"",IF(('Dvd Calendar'!$Q$183&gt;=GRID_FROM)*('Dvd Calendar'!$Q$183&lt;=GRID_TO)*('Dvd Calendar'!$Q$183&gt;VAL_DATE)=0,"",'Dvd Calendar'!$Q$183*1000000000+ISNUMBER('Dvd Calendar'!$Q$184)*100000000+0*10000000+(N('Dvd Calendar'!$Q$182)&gt;0)*(N('Dvd Calendar'!$Q$182)&lt;=VAL_SERIAL)*1000000+16*1000+53))</f>
        <v/>
      </c>
      <c r="GF27" s="121">
        <f>IF(N('Dvd Calendar'!$R$183)=0,"",IF(('Dvd Calendar'!$R$183&gt;=GRID_FROM)*('Dvd Calendar'!$R$183&lt;=GRID_TO)*('Dvd Calendar'!$R$183&gt;VAL_DATE)=0,"",'Dvd Calendar'!$R$183*1000000000+ISNUMBER('Dvd Calendar'!$R$184)*100000000+0*10000000+(N('Dvd Calendar'!$R$182)&gt;0)*(N('Dvd Calendar'!$R$182)&lt;=VAL_SERIAL)*1000000+16*1000+54))</f>
        <v/>
      </c>
      <c r="GG27" s="121">
        <f>IF(N('Dvd Calendar'!$S$183)=0,"",IF(('Dvd Calendar'!$S$183&gt;=GRID_FROM)*('Dvd Calendar'!$S$183&lt;=GRID_TO)*('Dvd Calendar'!$S$183&gt;VAL_DATE)=0,"",'Dvd Calendar'!$S$183*1000000000+ISNUMBER('Dvd Calendar'!$S$184)*100000000+0*10000000+(N('Dvd Calendar'!$S$182)&gt;0)*(N('Dvd Calendar'!$S$182)&lt;=VAL_SERIAL)*1000000+16*1000+55))</f>
        <v/>
      </c>
      <c r="GH27" s="121">
        <f>IF(N('Dvd Calendar'!$T$183)=0,"",IF(('Dvd Calendar'!$T$183&gt;=GRID_FROM)*('Dvd Calendar'!$T$183&lt;=GRID_TO)*('Dvd Calendar'!$T$183&gt;VAL_DATE)=0,"",'Dvd Calendar'!$T$183*1000000000+ISNUMBER('Dvd Calendar'!$T$184)*100000000+0*10000000+(N('Dvd Calendar'!$T$182)&gt;0)*(N('Dvd Calendar'!$T$182)&lt;=VAL_SERIAL)*1000000+16*1000+56))</f>
        <v/>
      </c>
      <c r="GI27" s="121">
        <f>IF(N('Dvd Calendar'!$U$183)=0,"",IF(('Dvd Calendar'!$U$183&gt;=GRID_FROM)*('Dvd Calendar'!$U$183&lt;=GRID_TO)*('Dvd Calendar'!$U$183&gt;VAL_DATE)=0,"",'Dvd Calendar'!$U$183*1000000000+ISNUMBER('Dvd Calendar'!$U$184)*100000000+0*10000000+(N('Dvd Calendar'!$U$182)&gt;0)*(N('Dvd Calendar'!$U$182)&lt;=VAL_SERIAL)*1000000+16*1000+57))</f>
        <v/>
      </c>
      <c r="GJ27" s="121">
        <f>IF(N('Dvd Calendar'!$V$183)=0,"",IF(('Dvd Calendar'!$V$183&gt;=GRID_FROM)*('Dvd Calendar'!$V$183&lt;=GRID_TO)*('Dvd Calendar'!$V$183&gt;VAL_DATE)=0,"",'Dvd Calendar'!$V$183*1000000000+ISNUMBER('Dvd Calendar'!$V$184)*100000000+0*10000000+(N('Dvd Calendar'!$V$182)&gt;0)*(N('Dvd Calendar'!$V$182)&lt;=VAL_SERIAL)*1000000+16*1000+58))</f>
        <v/>
      </c>
      <c r="GK27" s="121">
        <f>IF(N('Dvd Calendar'!$W$183)=0,"",IF(('Dvd Calendar'!$W$183&gt;=GRID_FROM)*('Dvd Calendar'!$W$183&lt;=GRID_TO)*('Dvd Calendar'!$W$183&gt;VAL_DATE)=0,"",'Dvd Calendar'!$W$183*1000000000+ISNUMBER('Dvd Calendar'!$W$184)*100000000+0*10000000+(N('Dvd Calendar'!$W$182)&gt;0)*(N('Dvd Calendar'!$W$182)&lt;=VAL_SERIAL)*1000000+16*1000+59))</f>
        <v/>
      </c>
      <c r="GL27" s="121">
        <f>IF(N('Dvd Calendar'!$X$183)=0,"",IF(('Dvd Calendar'!$X$183&gt;=GRID_FROM)*('Dvd Calendar'!$X$183&lt;=GRID_TO)*('Dvd Calendar'!$X$183&gt;VAL_DATE)=0,"",'Dvd Calendar'!$X$183*1000000000+ISNUMBER('Dvd Calendar'!$X$184)*100000000+0*10000000+(N('Dvd Calendar'!$X$182)&gt;0)*(N('Dvd Calendar'!$X$182)&lt;=VAL_SERIAL)*1000000+16*1000+60))</f>
        <v/>
      </c>
      <c r="GM27" s="121">
        <f>IF(N('Dvd Calendar'!$Y$183)=0,"",IF(('Dvd Calendar'!$Y$183&gt;=GRID_FROM)*('Dvd Calendar'!$Y$183&lt;=GRID_TO)*('Dvd Calendar'!$Y$183&gt;VAL_DATE)=0,"",'Dvd Calendar'!$Y$183*1000000000+ISNUMBER('Dvd Calendar'!$Y$184)*100000000+0*10000000+(N('Dvd Calendar'!$Y$182)&gt;0)*(N('Dvd Calendar'!$Y$182)&lt;=VAL_SERIAL)*1000000+16*1000+61))</f>
        <v/>
      </c>
      <c r="GN27" s="121">
        <f>IF(N('Dvd Calendar'!$Z$183)=0,"",IF(('Dvd Calendar'!$Z$183&gt;=GRID_FROM)*('Dvd Calendar'!$Z$183&lt;=GRID_TO)*('Dvd Calendar'!$Z$183&gt;VAL_DATE)=0,"",'Dvd Calendar'!$Z$183*1000000000+ISNUMBER('Dvd Calendar'!$Z$184)*100000000+0*10000000+(N('Dvd Calendar'!$Z$182)&gt;0)*(N('Dvd Calendar'!$Z$182)&lt;=VAL_SERIAL)*1000000+16*1000+62))</f>
        <v/>
      </c>
      <c r="GO27" s="121">
        <f>IF(N('Dvd Calendar'!$AA$183)=0,"",IF(('Dvd Calendar'!$AA$183&gt;=GRID_FROM)*('Dvd Calendar'!$AA$183&lt;=GRID_TO)*('Dvd Calendar'!$AA$183&gt;VAL_DATE)=0,"",'Dvd Calendar'!$AA$183*1000000000+ISNUMBER('Dvd Calendar'!$AA$184)*100000000+0*10000000+(N('Dvd Calendar'!$AA$182)&gt;0)*(N('Dvd Calendar'!$AA$182)&lt;=VAL_SERIAL)*1000000+16*1000+63))</f>
        <v/>
      </c>
      <c r="GP27" s="121">
        <f>IF(N('Dvd Calendar'!$AB$183)=0,"",IF(('Dvd Calendar'!$AB$183&gt;=GRID_FROM)*('Dvd Calendar'!$AB$183&lt;=GRID_TO)*('Dvd Calendar'!$AB$183&gt;VAL_DATE)=0,"",'Dvd Calendar'!$AB$183*1000000000+ISNUMBER('Dvd Calendar'!$AB$184)*100000000+0*10000000+(N('Dvd Calendar'!$AB$182)&gt;0)*(N('Dvd Calendar'!$AB$182)&lt;=VAL_SERIAL)*1000000+16*1000+64))</f>
        <v/>
      </c>
      <c r="GQ27" s="121">
        <f>IF(N('Dvd Calendar'!$AC$183)=0,"",IF(('Dvd Calendar'!$AC$183&gt;=GRID_FROM)*('Dvd Calendar'!$AC$183&lt;=GRID_TO)*('Dvd Calendar'!$AC$183&gt;VAL_DATE)=0,"",'Dvd Calendar'!$AC$183*1000000000+ISNUMBER('Dvd Calendar'!$AC$184)*100000000+0*10000000+(N('Dvd Calendar'!$AC$182)&gt;0)*(N('Dvd Calendar'!$AC$182)&lt;=VAL_SERIAL)*1000000+16*1000+65))</f>
        <v/>
      </c>
    </row>
    <row r="28">
      <c r="B28" s="2">
        <f>IF(HSI!$C$23="","",HSI!$C$23)</f>
        <v/>
      </c>
      <c r="C28" s="161">
        <f>IF(EE28="","",IF(ISNUMBER('Dvd Calendar'!$E$190)=FALSE,"",IF((('Dvd Calendar'!$E$192=TYPE1)*(TYPE1&lt;&gt;"")+('Dvd Calendar'!$E$192=TYPE2)*(TYPE2&lt;&gt;"")+('Dvd Calendar'!$E$192=TYPE3)*(TYPE3&lt;&gt;"")+('Dvd Calendar'!$E$192=TYPE4)*(TYPE4&lt;&gt;"")+('Dvd Calendar'!$E$192=SPECIAL_LBL)*(INC_SPECIALS="Y"))=0,"",'Dvd Calendar'!$E$190)))</f>
        <v/>
      </c>
      <c r="D28" s="161">
        <f>IF(EF28="","",IF(ISNUMBER('Dvd Calendar'!$F$190)=FALSE,"",IF((('Dvd Calendar'!$F$192=TYPE1)*(TYPE1&lt;&gt;"")+('Dvd Calendar'!$F$192=TYPE2)*(TYPE2&lt;&gt;"")+('Dvd Calendar'!$F$192=TYPE3)*(TYPE3&lt;&gt;"")+('Dvd Calendar'!$F$192=TYPE4)*(TYPE4&lt;&gt;"")+('Dvd Calendar'!$F$192=SPECIAL_LBL)*(INC_SPECIALS="Y"))=0,"",'Dvd Calendar'!$F$190)))</f>
        <v/>
      </c>
      <c r="E28" s="161">
        <f>IF(EG28="","",IF(ISNUMBER('Dvd Calendar'!$G$190)=FALSE,"",IF((('Dvd Calendar'!$G$192=TYPE1)*(TYPE1&lt;&gt;"")+('Dvd Calendar'!$G$192=TYPE2)*(TYPE2&lt;&gt;"")+('Dvd Calendar'!$G$192=TYPE3)*(TYPE3&lt;&gt;"")+('Dvd Calendar'!$G$192=TYPE4)*(TYPE4&lt;&gt;"")+('Dvd Calendar'!$G$192=SPECIAL_LBL)*(INC_SPECIALS="Y"))=0,"",'Dvd Calendar'!$G$190)))</f>
        <v/>
      </c>
      <c r="F28" s="161">
        <f>IF(EH28="","",IF(ISNUMBER('Dvd Calendar'!$H$190)=FALSE,"",IF((('Dvd Calendar'!$H$192=TYPE1)*(TYPE1&lt;&gt;"")+('Dvd Calendar'!$H$192=TYPE2)*(TYPE2&lt;&gt;"")+('Dvd Calendar'!$H$192=TYPE3)*(TYPE3&lt;&gt;"")+('Dvd Calendar'!$H$192=TYPE4)*(TYPE4&lt;&gt;"")+('Dvd Calendar'!$H$192=SPECIAL_LBL)*(INC_SPECIALS="Y"))=0,"",'Dvd Calendar'!$H$190)))</f>
        <v/>
      </c>
      <c r="G28" s="161">
        <f>IF(EI28="","",IF(ISNUMBER('Dvd Calendar'!$I$190)=FALSE,"",IF((('Dvd Calendar'!$I$192=TYPE1)*(TYPE1&lt;&gt;"")+('Dvd Calendar'!$I$192=TYPE2)*(TYPE2&lt;&gt;"")+('Dvd Calendar'!$I$192=TYPE3)*(TYPE3&lt;&gt;"")+('Dvd Calendar'!$I$192=TYPE4)*(TYPE4&lt;&gt;"")+('Dvd Calendar'!$I$192=SPECIAL_LBL)*(INC_SPECIALS="Y"))=0,"",'Dvd Calendar'!$I$190)))</f>
        <v/>
      </c>
      <c r="H28" s="161">
        <f>IF(EJ28="","",IF(ISNUMBER('Dvd Calendar'!$J$190)=FALSE,"",IF((('Dvd Calendar'!$J$192=TYPE1)*(TYPE1&lt;&gt;"")+('Dvd Calendar'!$J$192=TYPE2)*(TYPE2&lt;&gt;"")+('Dvd Calendar'!$J$192=TYPE3)*(TYPE3&lt;&gt;"")+('Dvd Calendar'!$J$192=TYPE4)*(TYPE4&lt;&gt;"")+('Dvd Calendar'!$J$192=SPECIAL_LBL)*(INC_SPECIALS="Y"))=0,"",'Dvd Calendar'!$J$190)))</f>
        <v/>
      </c>
      <c r="I28" s="161">
        <f>IF(EK28="","",IF(ISNUMBER('Dvd Calendar'!$K$190)=FALSE,"",IF((('Dvd Calendar'!$K$192=TYPE1)*(TYPE1&lt;&gt;"")+('Dvd Calendar'!$K$192=TYPE2)*(TYPE2&lt;&gt;"")+('Dvd Calendar'!$K$192=TYPE3)*(TYPE3&lt;&gt;"")+('Dvd Calendar'!$K$192=TYPE4)*(TYPE4&lt;&gt;"")+('Dvd Calendar'!$K$192=SPECIAL_LBL)*(INC_SPECIALS="Y"))=0,"",'Dvd Calendar'!$K$190)))</f>
        <v/>
      </c>
      <c r="J28" s="161">
        <f>IF(EL28="","",IF(ISNUMBER('Dvd Calendar'!$L$190)=FALSE,"",IF((('Dvd Calendar'!$L$192=TYPE1)*(TYPE1&lt;&gt;"")+('Dvd Calendar'!$L$192=TYPE2)*(TYPE2&lt;&gt;"")+('Dvd Calendar'!$L$192=TYPE3)*(TYPE3&lt;&gt;"")+('Dvd Calendar'!$L$192=TYPE4)*(TYPE4&lt;&gt;"")+('Dvd Calendar'!$L$192=SPECIAL_LBL)*(INC_SPECIALS="Y"))=0,"",'Dvd Calendar'!$L$190)))</f>
        <v/>
      </c>
      <c r="K28" s="161">
        <f>IF(EM28="","",IF(ISNUMBER('Dvd Calendar'!$M$190)=FALSE,"",IF((('Dvd Calendar'!$M$192=TYPE1)*(TYPE1&lt;&gt;"")+('Dvd Calendar'!$M$192=TYPE2)*(TYPE2&lt;&gt;"")+('Dvd Calendar'!$M$192=TYPE3)*(TYPE3&lt;&gt;"")+('Dvd Calendar'!$M$192=TYPE4)*(TYPE4&lt;&gt;"")+('Dvd Calendar'!$M$192=SPECIAL_LBL)*(INC_SPECIALS="Y"))=0,"",'Dvd Calendar'!$M$190)))</f>
        <v/>
      </c>
      <c r="L28" s="161">
        <f>IF(EN28="","",IF(ISNUMBER('Dvd Calendar'!$N$190)=FALSE,"",IF((('Dvd Calendar'!$N$192=TYPE1)*(TYPE1&lt;&gt;"")+('Dvd Calendar'!$N$192=TYPE2)*(TYPE2&lt;&gt;"")+('Dvd Calendar'!$N$192=TYPE3)*(TYPE3&lt;&gt;"")+('Dvd Calendar'!$N$192=TYPE4)*(TYPE4&lt;&gt;"")+('Dvd Calendar'!$N$192=SPECIAL_LBL)*(INC_SPECIALS="Y"))=0,"",'Dvd Calendar'!$N$190)))</f>
        <v/>
      </c>
      <c r="M28" s="161">
        <f>IF(EO28="","",IF(ISNUMBER('Dvd Calendar'!$O$190)=FALSE,"",IF((('Dvd Calendar'!$O$192=TYPE1)*(TYPE1&lt;&gt;"")+('Dvd Calendar'!$O$192=TYPE2)*(TYPE2&lt;&gt;"")+('Dvd Calendar'!$O$192=TYPE3)*(TYPE3&lt;&gt;"")+('Dvd Calendar'!$O$192=TYPE4)*(TYPE4&lt;&gt;"")+('Dvd Calendar'!$O$192=SPECIAL_LBL)*(INC_SPECIALS="Y"))=0,"",'Dvd Calendar'!$O$190)))</f>
        <v/>
      </c>
      <c r="N28" s="161">
        <f>IF(EP28="","",IF(ISNUMBER('Dvd Calendar'!$P$190)=FALSE,"",IF((('Dvd Calendar'!$P$192=TYPE1)*(TYPE1&lt;&gt;"")+('Dvd Calendar'!$P$192=TYPE2)*(TYPE2&lt;&gt;"")+('Dvd Calendar'!$P$192=TYPE3)*(TYPE3&lt;&gt;"")+('Dvd Calendar'!$P$192=TYPE4)*(TYPE4&lt;&gt;"")+('Dvd Calendar'!$P$192=SPECIAL_LBL)*(INC_SPECIALS="Y"))=0,"",'Dvd Calendar'!$P$190)))</f>
        <v/>
      </c>
      <c r="O28" s="161">
        <f>IF(EQ28="","",IF(ISNUMBER('Dvd Calendar'!$Q$190)=FALSE,"",IF((('Dvd Calendar'!$Q$192=TYPE1)*(TYPE1&lt;&gt;"")+('Dvd Calendar'!$Q$192=TYPE2)*(TYPE2&lt;&gt;"")+('Dvd Calendar'!$Q$192=TYPE3)*(TYPE3&lt;&gt;"")+('Dvd Calendar'!$Q$192=TYPE4)*(TYPE4&lt;&gt;"")+('Dvd Calendar'!$Q$192=SPECIAL_LBL)*(INC_SPECIALS="Y"))=0,"",'Dvd Calendar'!$Q$190)))</f>
        <v/>
      </c>
      <c r="P28" s="161">
        <f>IF(ER28="","",IF(ISNUMBER('Dvd Calendar'!$R$190)=FALSE,"",IF((('Dvd Calendar'!$R$192=TYPE1)*(TYPE1&lt;&gt;"")+('Dvd Calendar'!$R$192=TYPE2)*(TYPE2&lt;&gt;"")+('Dvd Calendar'!$R$192=TYPE3)*(TYPE3&lt;&gt;"")+('Dvd Calendar'!$R$192=TYPE4)*(TYPE4&lt;&gt;"")+('Dvd Calendar'!$R$192=SPECIAL_LBL)*(INC_SPECIALS="Y"))=0,"",'Dvd Calendar'!$R$190)))</f>
        <v/>
      </c>
      <c r="Q28" s="161">
        <f>IF(ES28="","",IF(ISNUMBER('Dvd Calendar'!$S$190)=FALSE,"",IF((('Dvd Calendar'!$S$192=TYPE1)*(TYPE1&lt;&gt;"")+('Dvd Calendar'!$S$192=TYPE2)*(TYPE2&lt;&gt;"")+('Dvd Calendar'!$S$192=TYPE3)*(TYPE3&lt;&gt;"")+('Dvd Calendar'!$S$192=TYPE4)*(TYPE4&lt;&gt;"")+('Dvd Calendar'!$S$192=SPECIAL_LBL)*(INC_SPECIALS="Y"))=0,"",'Dvd Calendar'!$S$190)))</f>
        <v/>
      </c>
      <c r="R28" s="161">
        <f>IF(ET28="","",IF(ISNUMBER('Dvd Calendar'!$T$190)=FALSE,"",IF((('Dvd Calendar'!$T$192=TYPE1)*(TYPE1&lt;&gt;"")+('Dvd Calendar'!$T$192=TYPE2)*(TYPE2&lt;&gt;"")+('Dvd Calendar'!$T$192=TYPE3)*(TYPE3&lt;&gt;"")+('Dvd Calendar'!$T$192=TYPE4)*(TYPE4&lt;&gt;"")+('Dvd Calendar'!$T$192=SPECIAL_LBL)*(INC_SPECIALS="Y"))=0,"",'Dvd Calendar'!$T$190)))</f>
        <v/>
      </c>
      <c r="S28" s="161">
        <f>IF(EU28="","",IF(ISNUMBER('Dvd Calendar'!$U$190)=FALSE,"",IF((('Dvd Calendar'!$U$192=TYPE1)*(TYPE1&lt;&gt;"")+('Dvd Calendar'!$U$192=TYPE2)*(TYPE2&lt;&gt;"")+('Dvd Calendar'!$U$192=TYPE3)*(TYPE3&lt;&gt;"")+('Dvd Calendar'!$U$192=TYPE4)*(TYPE4&lt;&gt;"")+('Dvd Calendar'!$U$192=SPECIAL_LBL)*(INC_SPECIALS="Y"))=0,"",'Dvd Calendar'!$U$190)))</f>
        <v/>
      </c>
      <c r="T28" s="161">
        <f>IF(EV28="","",IF(ISNUMBER('Dvd Calendar'!$V$190)=FALSE,"",IF((('Dvd Calendar'!$V$192=TYPE1)*(TYPE1&lt;&gt;"")+('Dvd Calendar'!$V$192=TYPE2)*(TYPE2&lt;&gt;"")+('Dvd Calendar'!$V$192=TYPE3)*(TYPE3&lt;&gt;"")+('Dvd Calendar'!$V$192=TYPE4)*(TYPE4&lt;&gt;"")+('Dvd Calendar'!$V$192=SPECIAL_LBL)*(INC_SPECIALS="Y"))=0,"",'Dvd Calendar'!$V$190)))</f>
        <v/>
      </c>
      <c r="U28" s="161">
        <f>IF(EW28="","",IF(ISNUMBER('Dvd Calendar'!$W$190)=FALSE,"",IF((('Dvd Calendar'!$W$192=TYPE1)*(TYPE1&lt;&gt;"")+('Dvd Calendar'!$W$192=TYPE2)*(TYPE2&lt;&gt;"")+('Dvd Calendar'!$W$192=TYPE3)*(TYPE3&lt;&gt;"")+('Dvd Calendar'!$W$192=TYPE4)*(TYPE4&lt;&gt;"")+('Dvd Calendar'!$W$192=SPECIAL_LBL)*(INC_SPECIALS="Y"))=0,"",'Dvd Calendar'!$W$190)))</f>
        <v/>
      </c>
      <c r="V28" s="161">
        <f>IF(EX28="","",IF(ISNUMBER('Dvd Calendar'!$X$190)=FALSE,"",IF((('Dvd Calendar'!$X$192=TYPE1)*(TYPE1&lt;&gt;"")+('Dvd Calendar'!$X$192=TYPE2)*(TYPE2&lt;&gt;"")+('Dvd Calendar'!$X$192=TYPE3)*(TYPE3&lt;&gt;"")+('Dvd Calendar'!$X$192=TYPE4)*(TYPE4&lt;&gt;"")+('Dvd Calendar'!$X$192=SPECIAL_LBL)*(INC_SPECIALS="Y"))=0,"",'Dvd Calendar'!$X$190)))</f>
        <v/>
      </c>
      <c r="W28" s="161">
        <f>IF(EY28="","",IF(ISNUMBER('Dvd Calendar'!$Y$190)=FALSE,"",IF((('Dvd Calendar'!$Y$192=TYPE1)*(TYPE1&lt;&gt;"")+('Dvd Calendar'!$Y$192=TYPE2)*(TYPE2&lt;&gt;"")+('Dvd Calendar'!$Y$192=TYPE3)*(TYPE3&lt;&gt;"")+('Dvd Calendar'!$Y$192=TYPE4)*(TYPE4&lt;&gt;"")+('Dvd Calendar'!$Y$192=SPECIAL_LBL)*(INC_SPECIALS="Y"))=0,"",'Dvd Calendar'!$Y$190)))</f>
        <v/>
      </c>
      <c r="X28" s="161">
        <f>IF(EZ28="","",IF(ISNUMBER('Dvd Calendar'!$Z$190)=FALSE,"",IF((('Dvd Calendar'!$Z$192=TYPE1)*(TYPE1&lt;&gt;"")+('Dvd Calendar'!$Z$192=TYPE2)*(TYPE2&lt;&gt;"")+('Dvd Calendar'!$Z$192=TYPE3)*(TYPE3&lt;&gt;"")+('Dvd Calendar'!$Z$192=TYPE4)*(TYPE4&lt;&gt;"")+('Dvd Calendar'!$Z$192=SPECIAL_LBL)*(INC_SPECIALS="Y"))=0,"",'Dvd Calendar'!$Z$190)))</f>
        <v/>
      </c>
      <c r="Y28" s="161">
        <f>IF(FA28="","",IF(ISNUMBER('Dvd Calendar'!$AA$190)=FALSE,"",IF((('Dvd Calendar'!$AA$192=TYPE1)*(TYPE1&lt;&gt;"")+('Dvd Calendar'!$AA$192=TYPE2)*(TYPE2&lt;&gt;"")+('Dvd Calendar'!$AA$192=TYPE3)*(TYPE3&lt;&gt;"")+('Dvd Calendar'!$AA$192=TYPE4)*(TYPE4&lt;&gt;"")+('Dvd Calendar'!$AA$192=SPECIAL_LBL)*(INC_SPECIALS="Y"))=0,"",'Dvd Calendar'!$AA$190)))</f>
        <v/>
      </c>
      <c r="Z28" s="161">
        <f>IF(FB28="","",IF(ISNUMBER('Dvd Calendar'!$AB$190)=FALSE,"",IF((('Dvd Calendar'!$AB$192=TYPE1)*(TYPE1&lt;&gt;"")+('Dvd Calendar'!$AB$192=TYPE2)*(TYPE2&lt;&gt;"")+('Dvd Calendar'!$AB$192=TYPE3)*(TYPE3&lt;&gt;"")+('Dvd Calendar'!$AB$192=TYPE4)*(TYPE4&lt;&gt;"")+('Dvd Calendar'!$AB$192=SPECIAL_LBL)*(INC_SPECIALS="Y"))=0,"",'Dvd Calendar'!$AB$190)))</f>
        <v/>
      </c>
      <c r="AA28" s="161">
        <f>IF(FC28="","",IF(ISNUMBER('Dvd Calendar'!$AC$190)=FALSE,"",IF((('Dvd Calendar'!$AC$192=TYPE1)*(TYPE1&lt;&gt;"")+('Dvd Calendar'!$AC$192=TYPE2)*(TYPE2&lt;&gt;"")+('Dvd Calendar'!$AC$192=TYPE3)*(TYPE3&lt;&gt;"")+('Dvd Calendar'!$AC$192=TYPE4)*(TYPE4&lt;&gt;"")+('Dvd Calendar'!$AC$192=SPECIAL_LBL)*(INC_SPECIALS="Y"))=0,"",'Dvd Calendar'!$AC$190)))</f>
        <v/>
      </c>
      <c r="AB28" s="161">
        <f>IF(FD28="","",IF(ISNUMBER('Dvd Calendar'!$AD$190)=FALSE,"",IF((('Dvd Calendar'!$AD$192=TYPE1)*(TYPE1&lt;&gt;"")+('Dvd Calendar'!$AD$192=TYPE2)*(TYPE2&lt;&gt;"")+('Dvd Calendar'!$AD$192=TYPE3)*(TYPE3&lt;&gt;"")+('Dvd Calendar'!$AD$192=TYPE4)*(TYPE4&lt;&gt;"")+('Dvd Calendar'!$AD$192=SPECIAL_LBL)*(INC_SPECIALS="Y"))=0,"",'Dvd Calendar'!$AD$190)))</f>
        <v/>
      </c>
      <c r="AC28" s="161">
        <f>IF(FE28="","",IF(ISNUMBER('Dvd Calendar'!$AE$190)=FALSE,"",IF((('Dvd Calendar'!$AE$192=TYPE1)*(TYPE1&lt;&gt;"")+('Dvd Calendar'!$AE$192=TYPE2)*(TYPE2&lt;&gt;"")+('Dvd Calendar'!$AE$192=TYPE3)*(TYPE3&lt;&gt;"")+('Dvd Calendar'!$AE$192=TYPE4)*(TYPE4&lt;&gt;"")+('Dvd Calendar'!$AE$192=SPECIAL_LBL)*(INC_SPECIALS="Y"))=0,"",'Dvd Calendar'!$AE$190)))</f>
        <v/>
      </c>
      <c r="AD28" s="161">
        <f>IF(FF28="","",IF(ISNUMBER('Dvd Calendar'!$AF$190)=FALSE,"",IF((('Dvd Calendar'!$AF$192=TYPE1)*(TYPE1&lt;&gt;"")+('Dvd Calendar'!$AF$192=TYPE2)*(TYPE2&lt;&gt;"")+('Dvd Calendar'!$AF$192=TYPE3)*(TYPE3&lt;&gt;"")+('Dvd Calendar'!$AF$192=TYPE4)*(TYPE4&lt;&gt;"")+('Dvd Calendar'!$AF$192=SPECIAL_LBL)*(INC_SPECIALS="Y"))=0,"",'Dvd Calendar'!$AF$190)))</f>
        <v/>
      </c>
      <c r="AE28" s="161">
        <f>IF(FG28="","",IF(ISNUMBER('Dvd Calendar'!$AG$190)=FALSE,"",IF((('Dvd Calendar'!$AG$192=TYPE1)*(TYPE1&lt;&gt;"")+('Dvd Calendar'!$AG$192=TYPE2)*(TYPE2&lt;&gt;"")+('Dvd Calendar'!$AG$192=TYPE3)*(TYPE3&lt;&gt;"")+('Dvd Calendar'!$AG$192=TYPE4)*(TYPE4&lt;&gt;"")+('Dvd Calendar'!$AG$192=SPECIAL_LBL)*(INC_SPECIALS="Y"))=0,"",'Dvd Calendar'!$AG$190)))</f>
        <v/>
      </c>
      <c r="AF28" s="161">
        <f>IF(FH28="","",IF(ISNUMBER('Dvd Calendar'!$AH$190)=FALSE,"",IF((('Dvd Calendar'!$AH$192=TYPE1)*(TYPE1&lt;&gt;"")+('Dvd Calendar'!$AH$192=TYPE2)*(TYPE2&lt;&gt;"")+('Dvd Calendar'!$AH$192=TYPE3)*(TYPE3&lt;&gt;"")+('Dvd Calendar'!$AH$192=TYPE4)*(TYPE4&lt;&gt;"")+('Dvd Calendar'!$AH$192=SPECIAL_LBL)*(INC_SPECIALS="Y"))=0,"",'Dvd Calendar'!$AH$190)))</f>
        <v/>
      </c>
      <c r="AG28" s="161">
        <f>IF(FI28="","",IF(ISNUMBER('Dvd Calendar'!$AI$190)=FALSE,"",IF((('Dvd Calendar'!$AI$192=TYPE1)*(TYPE1&lt;&gt;"")+('Dvd Calendar'!$AI$192=TYPE2)*(TYPE2&lt;&gt;"")+('Dvd Calendar'!$AI$192=TYPE3)*(TYPE3&lt;&gt;"")+('Dvd Calendar'!$AI$192=TYPE4)*(TYPE4&lt;&gt;"")+('Dvd Calendar'!$AI$192=SPECIAL_LBL)*(INC_SPECIALS="Y"))=0,"",'Dvd Calendar'!$AI$190)))</f>
        <v/>
      </c>
      <c r="AH28" s="161">
        <f>IF(FJ28="","",IF(ISNUMBER('Dvd Calendar'!$AJ$190)=FALSE,"",IF((('Dvd Calendar'!$AJ$192=TYPE1)*(TYPE1&lt;&gt;"")+('Dvd Calendar'!$AJ$192=TYPE2)*(TYPE2&lt;&gt;"")+('Dvd Calendar'!$AJ$192=TYPE3)*(TYPE3&lt;&gt;"")+('Dvd Calendar'!$AJ$192=TYPE4)*(TYPE4&lt;&gt;"")+('Dvd Calendar'!$AJ$192=SPECIAL_LBL)*(INC_SPECIALS="Y"))=0,"",'Dvd Calendar'!$AJ$190)))</f>
        <v/>
      </c>
      <c r="AI28" s="161">
        <f>IF(FK28="","",IF(ISNUMBER('Dvd Calendar'!$AK$190)=FALSE,"",IF((('Dvd Calendar'!$AK$192=TYPE1)*(TYPE1&lt;&gt;"")+('Dvd Calendar'!$AK$192=TYPE2)*(TYPE2&lt;&gt;"")+('Dvd Calendar'!$AK$192=TYPE3)*(TYPE3&lt;&gt;"")+('Dvd Calendar'!$AK$192=TYPE4)*(TYPE4&lt;&gt;"")+('Dvd Calendar'!$AK$192=SPECIAL_LBL)*(INC_SPECIALS="Y"))=0,"",'Dvd Calendar'!$AK$190)))</f>
        <v/>
      </c>
      <c r="AJ28" s="161">
        <f>IF(FL28="","",IF(ISNUMBER('Dvd Calendar'!$AL$190)=FALSE,"",IF((('Dvd Calendar'!$AL$192=TYPE1)*(TYPE1&lt;&gt;"")+('Dvd Calendar'!$AL$192=TYPE2)*(TYPE2&lt;&gt;"")+('Dvd Calendar'!$AL$192=TYPE3)*(TYPE3&lt;&gt;"")+('Dvd Calendar'!$AL$192=TYPE4)*(TYPE4&lt;&gt;"")+('Dvd Calendar'!$AL$192=SPECIAL_LBL)*(INC_SPECIALS="Y"))=0,"",'Dvd Calendar'!$AL$190)))</f>
        <v/>
      </c>
      <c r="AK28" s="161">
        <f>IF(FM28="","",IF(ISNUMBER('Dvd Calendar'!$AM$190)=FALSE,"",IF((('Dvd Calendar'!$AM$192=TYPE1)*(TYPE1&lt;&gt;"")+('Dvd Calendar'!$AM$192=TYPE2)*(TYPE2&lt;&gt;"")+('Dvd Calendar'!$AM$192=TYPE3)*(TYPE3&lt;&gt;"")+('Dvd Calendar'!$AM$192=TYPE4)*(TYPE4&lt;&gt;"")+('Dvd Calendar'!$AM$192=SPECIAL_LBL)*(INC_SPECIALS="Y"))=0,"",'Dvd Calendar'!$AM$190)))</f>
        <v/>
      </c>
      <c r="AL28" s="161">
        <f>IF(FN28="","",IF(ISNUMBER('Dvd Calendar'!$AN$190)=FALSE,"",IF((('Dvd Calendar'!$AN$192=TYPE1)*(TYPE1&lt;&gt;"")+('Dvd Calendar'!$AN$192=TYPE2)*(TYPE2&lt;&gt;"")+('Dvd Calendar'!$AN$192=TYPE3)*(TYPE3&lt;&gt;"")+('Dvd Calendar'!$AN$192=TYPE4)*(TYPE4&lt;&gt;"")+('Dvd Calendar'!$AN$192=SPECIAL_LBL)*(INC_SPECIALS="Y"))=0,"",'Dvd Calendar'!$AN$190)))</f>
        <v/>
      </c>
      <c r="AM28" s="161">
        <f>IF(FO28="","",IF(ISNUMBER('Dvd Calendar'!$AO$190)=FALSE,"",IF((('Dvd Calendar'!$AO$192=TYPE1)*(TYPE1&lt;&gt;"")+('Dvd Calendar'!$AO$192=TYPE2)*(TYPE2&lt;&gt;"")+('Dvd Calendar'!$AO$192=TYPE3)*(TYPE3&lt;&gt;"")+('Dvd Calendar'!$AO$192=TYPE4)*(TYPE4&lt;&gt;"")+('Dvd Calendar'!$AO$192=SPECIAL_LBL)*(INC_SPECIALS="Y"))=0,"",'Dvd Calendar'!$AO$190)))</f>
        <v/>
      </c>
      <c r="AN28" s="161">
        <f>IF(FP28="","",IF(ISNUMBER('Dvd Calendar'!$AP$190)=FALSE,"",IF((('Dvd Calendar'!$AP$192=TYPE1)*(TYPE1&lt;&gt;"")+('Dvd Calendar'!$AP$192=TYPE2)*(TYPE2&lt;&gt;"")+('Dvd Calendar'!$AP$192=TYPE3)*(TYPE3&lt;&gt;"")+('Dvd Calendar'!$AP$192=TYPE4)*(TYPE4&lt;&gt;"")+('Dvd Calendar'!$AP$192=SPECIAL_LBL)*(INC_SPECIALS="Y"))=0,"",'Dvd Calendar'!$AP$190)))</f>
        <v/>
      </c>
      <c r="AO28" s="161">
        <f>IF(FQ28="","",IF(ISNUMBER('Dvd Calendar'!$AQ$190)=FALSE,"",IF((('Dvd Calendar'!$AQ$192=TYPE1)*(TYPE1&lt;&gt;"")+('Dvd Calendar'!$AQ$192=TYPE2)*(TYPE2&lt;&gt;"")+('Dvd Calendar'!$AQ$192=TYPE3)*(TYPE3&lt;&gt;"")+('Dvd Calendar'!$AQ$192=TYPE4)*(TYPE4&lt;&gt;"")+('Dvd Calendar'!$AQ$192=SPECIAL_LBL)*(INC_SPECIALS="Y"))=0,"",'Dvd Calendar'!$AQ$190)))</f>
        <v/>
      </c>
      <c r="AP28" s="161">
        <f>IF(FR28="","",IF(ISNUMBER('Dvd Calendar'!$AR$190)=FALSE,"",IF((('Dvd Calendar'!$AR$192=TYPE1)*(TYPE1&lt;&gt;"")+('Dvd Calendar'!$AR$192=TYPE2)*(TYPE2&lt;&gt;"")+('Dvd Calendar'!$AR$192=TYPE3)*(TYPE3&lt;&gt;"")+('Dvd Calendar'!$AR$192=TYPE4)*(TYPE4&lt;&gt;"")+('Dvd Calendar'!$AR$192=SPECIAL_LBL)*(INC_SPECIALS="Y"))=0,"",'Dvd Calendar'!$AR$190)))</f>
        <v/>
      </c>
      <c r="AQ28" s="161">
        <f>IF(FS28="","",IF(ISNUMBER('Dvd Calendar'!$E$195)=FALSE,"",'Dvd Calendar'!$E$195))</f>
        <v/>
      </c>
      <c r="AR28" s="161">
        <f>IF(FT28="","",IF(ISNUMBER('Dvd Calendar'!$F$195)=FALSE,"",'Dvd Calendar'!$F$195))</f>
        <v/>
      </c>
      <c r="AS28" s="161">
        <f>IF(FU28="","",IF(ISNUMBER('Dvd Calendar'!$G$195)=FALSE,"",'Dvd Calendar'!$G$195))</f>
        <v/>
      </c>
      <c r="AT28" s="161">
        <f>IF(FV28="","",IF(ISNUMBER('Dvd Calendar'!$H$195)=FALSE,"",'Dvd Calendar'!$H$195))</f>
        <v/>
      </c>
      <c r="AU28" s="161">
        <f>IF(FW28="","",IF(ISNUMBER('Dvd Calendar'!$I$195)=FALSE,"",'Dvd Calendar'!$I$195))</f>
        <v/>
      </c>
      <c r="AV28" s="161">
        <f>IF(FX28="","",IF(ISNUMBER('Dvd Calendar'!$J$195)=FALSE,"",'Dvd Calendar'!$J$195))</f>
        <v/>
      </c>
      <c r="AW28" s="161">
        <f>IF(FY28="","",IF(ISNUMBER('Dvd Calendar'!$K$195)=FALSE,"",'Dvd Calendar'!$K$195))</f>
        <v/>
      </c>
      <c r="AX28" s="161">
        <f>IF(FZ28="","",IF(ISNUMBER('Dvd Calendar'!$L$195)=FALSE,"",'Dvd Calendar'!$L$195))</f>
        <v/>
      </c>
      <c r="AY28" s="161">
        <f>IF(GA28="","",IF(ISNUMBER('Dvd Calendar'!$M$195)=FALSE,"",'Dvd Calendar'!$M$195))</f>
        <v/>
      </c>
      <c r="AZ28" s="161">
        <f>IF(GB28="","",IF(ISNUMBER('Dvd Calendar'!$N$195)=FALSE,"",'Dvd Calendar'!$N$195))</f>
        <v/>
      </c>
      <c r="BA28" s="161">
        <f>IF(GC28="","",IF(ISNUMBER('Dvd Calendar'!$O$195)=FALSE,"",'Dvd Calendar'!$O$195))</f>
        <v/>
      </c>
      <c r="BB28" s="161">
        <f>IF(GD28="","",IF(ISNUMBER('Dvd Calendar'!$P$195)=FALSE,"",'Dvd Calendar'!$P$195))</f>
        <v/>
      </c>
      <c r="BC28" s="161">
        <f>IF(GE28="","",IF(ISNUMBER('Dvd Calendar'!$Q$195)=FALSE,"",'Dvd Calendar'!$Q$195))</f>
        <v/>
      </c>
      <c r="BD28" s="161">
        <f>IF(GF28="","",IF(ISNUMBER('Dvd Calendar'!$R$195)=FALSE,"",'Dvd Calendar'!$R$195))</f>
        <v/>
      </c>
      <c r="BE28" s="161">
        <f>IF(GG28="","",IF(ISNUMBER('Dvd Calendar'!$S$195)=FALSE,"",'Dvd Calendar'!$S$195))</f>
        <v/>
      </c>
      <c r="BF28" s="161">
        <f>IF(GH28="","",IF(ISNUMBER('Dvd Calendar'!$T$195)=FALSE,"",'Dvd Calendar'!$T$195))</f>
        <v/>
      </c>
      <c r="BG28" s="161">
        <f>IF(GI28="","",IF(ISNUMBER('Dvd Calendar'!$U$195)=FALSE,"",'Dvd Calendar'!$U$195))</f>
        <v/>
      </c>
      <c r="BH28" s="161">
        <f>IF(GJ28="","",IF(ISNUMBER('Dvd Calendar'!$V$195)=FALSE,"",'Dvd Calendar'!$V$195))</f>
        <v/>
      </c>
      <c r="BI28" s="161">
        <f>IF(GK28="","",IF(ISNUMBER('Dvd Calendar'!$W$195)=FALSE,"",'Dvd Calendar'!$W$195))</f>
        <v/>
      </c>
      <c r="BJ28" s="161">
        <f>IF(GL28="","",IF(ISNUMBER('Dvd Calendar'!$X$195)=FALSE,"",'Dvd Calendar'!$X$195))</f>
        <v/>
      </c>
      <c r="BK28" s="161">
        <f>IF(GM28="","",IF(ISNUMBER('Dvd Calendar'!$Y$195)=FALSE,"",'Dvd Calendar'!$Y$195))</f>
        <v/>
      </c>
      <c r="BL28" s="161">
        <f>IF(GN28="","",IF(ISNUMBER('Dvd Calendar'!$Z$195)=FALSE,"",'Dvd Calendar'!$Z$195))</f>
        <v/>
      </c>
      <c r="BM28" s="161">
        <f>IF(GO28="","",IF(ISNUMBER('Dvd Calendar'!$AA$195)=FALSE,"",'Dvd Calendar'!$AA$195))</f>
        <v/>
      </c>
      <c r="BN28" s="161">
        <f>IF(GP28="","",IF(ISNUMBER('Dvd Calendar'!$AB$195)=FALSE,"",'Dvd Calendar'!$AB$195))</f>
        <v/>
      </c>
      <c r="BO28" s="161">
        <f>IF(GQ28="","",IF(ISNUMBER('Dvd Calendar'!$AC$195)=FALSE,"",'Dvd Calendar'!$AC$195))</f>
        <v/>
      </c>
      <c r="BQ28" s="161">
        <f>IF(C28="","",IFERROR(C28*HSI!$B$23*HSI!$G$23/HSI!$B$3,""))</f>
        <v/>
      </c>
      <c r="BR28" s="161">
        <f>IF(D28="","",IFERROR(D28*HSI!$B$23*HSI!$G$23/HSI!$B$3,""))</f>
        <v/>
      </c>
      <c r="BS28" s="161">
        <f>IF(E28="","",IFERROR(E28*HSI!$B$23*HSI!$G$23/HSI!$B$3,""))</f>
        <v/>
      </c>
      <c r="BT28" s="161">
        <f>IF(F28="","",IFERROR(F28*HSI!$B$23*HSI!$G$23/HSI!$B$3,""))</f>
        <v/>
      </c>
      <c r="BU28" s="161">
        <f>IF(G28="","",IFERROR(G28*HSI!$B$23*HSI!$G$23/HSI!$B$3,""))</f>
        <v/>
      </c>
      <c r="BV28" s="161">
        <f>IF(H28="","",IFERROR(H28*HSI!$B$23*HSI!$G$23/HSI!$B$3,""))</f>
        <v/>
      </c>
      <c r="BW28" s="161">
        <f>IF(I28="","",IFERROR(I28*HSI!$B$23*HSI!$G$23/HSI!$B$3,""))</f>
        <v/>
      </c>
      <c r="BX28" s="161">
        <f>IF(J28="","",IFERROR(J28*HSI!$B$23*HSI!$G$23/HSI!$B$3,""))</f>
        <v/>
      </c>
      <c r="BY28" s="161">
        <f>IF(K28="","",IFERROR(K28*HSI!$B$23*HSI!$G$23/HSI!$B$3,""))</f>
        <v/>
      </c>
      <c r="BZ28" s="161">
        <f>IF(L28="","",IFERROR(L28*HSI!$B$23*HSI!$G$23/HSI!$B$3,""))</f>
        <v/>
      </c>
      <c r="CA28" s="161">
        <f>IF(M28="","",IFERROR(M28*HSI!$B$23*HSI!$G$23/HSI!$B$3,""))</f>
        <v/>
      </c>
      <c r="CB28" s="161">
        <f>IF(N28="","",IFERROR(N28*HSI!$B$23*HSI!$G$23/HSI!$B$3,""))</f>
        <v/>
      </c>
      <c r="CC28" s="161">
        <f>IF(O28="","",IFERROR(O28*HSI!$B$23*HSI!$G$23/HSI!$B$3,""))</f>
        <v/>
      </c>
      <c r="CD28" s="161">
        <f>IF(P28="","",IFERROR(P28*HSI!$B$23*HSI!$G$23/HSI!$B$3,""))</f>
        <v/>
      </c>
      <c r="CE28" s="161">
        <f>IF(Q28="","",IFERROR(Q28*HSI!$B$23*HSI!$G$23/HSI!$B$3,""))</f>
        <v/>
      </c>
      <c r="CF28" s="161">
        <f>IF(R28="","",IFERROR(R28*HSI!$B$23*HSI!$G$23/HSI!$B$3,""))</f>
        <v/>
      </c>
      <c r="CG28" s="161">
        <f>IF(S28="","",IFERROR(S28*HSI!$B$23*HSI!$G$23/HSI!$B$3,""))</f>
        <v/>
      </c>
      <c r="CH28" s="161">
        <f>IF(T28="","",IFERROR(T28*HSI!$B$23*HSI!$G$23/HSI!$B$3,""))</f>
        <v/>
      </c>
      <c r="CI28" s="161">
        <f>IF(U28="","",IFERROR(U28*HSI!$B$23*HSI!$G$23/HSI!$B$3,""))</f>
        <v/>
      </c>
      <c r="CJ28" s="161">
        <f>IF(V28="","",IFERROR(V28*HSI!$B$23*HSI!$G$23/HSI!$B$3,""))</f>
        <v/>
      </c>
      <c r="CK28" s="161">
        <f>IF(W28="","",IFERROR(W28*HSI!$B$23*HSI!$G$23/HSI!$B$3,""))</f>
        <v/>
      </c>
      <c r="CL28" s="161">
        <f>IF(X28="","",IFERROR(X28*HSI!$B$23*HSI!$G$23/HSI!$B$3,""))</f>
        <v/>
      </c>
      <c r="CM28" s="161">
        <f>IF(Y28="","",IFERROR(Y28*HSI!$B$23*HSI!$G$23/HSI!$B$3,""))</f>
        <v/>
      </c>
      <c r="CN28" s="161">
        <f>IF(Z28="","",IFERROR(Z28*HSI!$B$23*HSI!$G$23/HSI!$B$3,""))</f>
        <v/>
      </c>
      <c r="CO28" s="161">
        <f>IF(AA28="","",IFERROR(AA28*HSI!$B$23*HSI!$G$23/HSI!$B$3,""))</f>
        <v/>
      </c>
      <c r="CP28" s="161">
        <f>IF(AB28="","",IFERROR(AB28*HSI!$B$23*HSI!$G$23/HSI!$B$3,""))</f>
        <v/>
      </c>
      <c r="CQ28" s="161">
        <f>IF(AC28="","",IFERROR(AC28*HSI!$B$23*HSI!$G$23/HSI!$B$3,""))</f>
        <v/>
      </c>
      <c r="CR28" s="161">
        <f>IF(AD28="","",IFERROR(AD28*HSI!$B$23*HSI!$G$23/HSI!$B$3,""))</f>
        <v/>
      </c>
      <c r="CS28" s="161">
        <f>IF(AE28="","",IFERROR(AE28*HSI!$B$23*HSI!$G$23/HSI!$B$3,""))</f>
        <v/>
      </c>
      <c r="CT28" s="161">
        <f>IF(AF28="","",IFERROR(AF28*HSI!$B$23*HSI!$G$23/HSI!$B$3,""))</f>
        <v/>
      </c>
      <c r="CU28" s="161">
        <f>IF(AG28="","",IFERROR(AG28*HSI!$B$23*HSI!$G$23/HSI!$B$3,""))</f>
        <v/>
      </c>
      <c r="CV28" s="161">
        <f>IF(AH28="","",IFERROR(AH28*HSI!$B$23*HSI!$G$23/HSI!$B$3,""))</f>
        <v/>
      </c>
      <c r="CW28" s="161">
        <f>IF(AI28="","",IFERROR(AI28*HSI!$B$23*HSI!$G$23/HSI!$B$3,""))</f>
        <v/>
      </c>
      <c r="CX28" s="161">
        <f>IF(AJ28="","",IFERROR(AJ28*HSI!$B$23*HSI!$G$23/HSI!$B$3,""))</f>
        <v/>
      </c>
      <c r="CY28" s="161">
        <f>IF(AK28="","",IFERROR(AK28*HSI!$B$23*HSI!$G$23/HSI!$B$3,""))</f>
        <v/>
      </c>
      <c r="CZ28" s="161">
        <f>IF(AL28="","",IFERROR(AL28*HSI!$B$23*HSI!$G$23/HSI!$B$3,""))</f>
        <v/>
      </c>
      <c r="DA28" s="161">
        <f>IF(AM28="","",IFERROR(AM28*HSI!$B$23*HSI!$G$23/HSI!$B$3,""))</f>
        <v/>
      </c>
      <c r="DB28" s="161">
        <f>IF(AN28="","",IFERROR(AN28*HSI!$B$23*HSI!$G$23/HSI!$B$3,""))</f>
        <v/>
      </c>
      <c r="DC28" s="161">
        <f>IF(AO28="","",IFERROR(AO28*HSI!$B$23*HSI!$G$23/HSI!$B$3,""))</f>
        <v/>
      </c>
      <c r="DD28" s="161">
        <f>IF(AP28="","",IFERROR(AP28*HSI!$B$23*HSI!$G$23/HSI!$B$3,""))</f>
        <v/>
      </c>
      <c r="DE28" s="161">
        <f>IF(AQ28="","",IFERROR(AQ28*HSI!$B$23*HSI!$G$23/HSI!$B$3,""))</f>
        <v/>
      </c>
      <c r="DF28" s="161">
        <f>IF(AR28="","",IFERROR(AR28*HSI!$B$23*HSI!$G$23/HSI!$B$3,""))</f>
        <v/>
      </c>
      <c r="DG28" s="161">
        <f>IF(AS28="","",IFERROR(AS28*HSI!$B$23*HSI!$G$23/HSI!$B$3,""))</f>
        <v/>
      </c>
      <c r="DH28" s="161">
        <f>IF(AT28="","",IFERROR(AT28*HSI!$B$23*HSI!$G$23/HSI!$B$3,""))</f>
        <v/>
      </c>
      <c r="DI28" s="161">
        <f>IF(AU28="","",IFERROR(AU28*HSI!$B$23*HSI!$G$23/HSI!$B$3,""))</f>
        <v/>
      </c>
      <c r="DJ28" s="161">
        <f>IF(AV28="","",IFERROR(AV28*HSI!$B$23*HSI!$G$23/HSI!$B$3,""))</f>
        <v/>
      </c>
      <c r="DK28" s="161">
        <f>IF(AW28="","",IFERROR(AW28*HSI!$B$23*HSI!$G$23/HSI!$B$3,""))</f>
        <v/>
      </c>
      <c r="DL28" s="161">
        <f>IF(AX28="","",IFERROR(AX28*HSI!$B$23*HSI!$G$23/HSI!$B$3,""))</f>
        <v/>
      </c>
      <c r="DM28" s="161">
        <f>IF(AY28="","",IFERROR(AY28*HSI!$B$23*HSI!$G$23/HSI!$B$3,""))</f>
        <v/>
      </c>
      <c r="DN28" s="161">
        <f>IF(AZ28="","",IFERROR(AZ28*HSI!$B$23*HSI!$G$23/HSI!$B$3,""))</f>
        <v/>
      </c>
      <c r="DO28" s="161">
        <f>IF(BA28="","",IFERROR(BA28*HSI!$B$23*HSI!$G$23/HSI!$B$3,""))</f>
        <v/>
      </c>
      <c r="DP28" s="161">
        <f>IF(BB28="","",IFERROR(BB28*HSI!$B$23*HSI!$G$23/HSI!$B$3,""))</f>
        <v/>
      </c>
      <c r="DQ28" s="161">
        <f>IF(BC28="","",IFERROR(BC28*HSI!$B$23*HSI!$G$23/HSI!$B$3,""))</f>
        <v/>
      </c>
      <c r="DR28" s="161">
        <f>IF(BD28="","",IFERROR(BD28*HSI!$B$23*HSI!$G$23/HSI!$B$3,""))</f>
        <v/>
      </c>
      <c r="DS28" s="161">
        <f>IF(BE28="","",IFERROR(BE28*HSI!$B$23*HSI!$G$23/HSI!$B$3,""))</f>
        <v/>
      </c>
      <c r="DT28" s="161">
        <f>IF(BF28="","",IFERROR(BF28*HSI!$B$23*HSI!$G$23/HSI!$B$3,""))</f>
        <v/>
      </c>
      <c r="DU28" s="161">
        <f>IF(BG28="","",IFERROR(BG28*HSI!$B$23*HSI!$G$23/HSI!$B$3,""))</f>
        <v/>
      </c>
      <c r="DV28" s="161">
        <f>IF(BH28="","",IFERROR(BH28*HSI!$B$23*HSI!$G$23/HSI!$B$3,""))</f>
        <v/>
      </c>
      <c r="DW28" s="161">
        <f>IF(BI28="","",IFERROR(BI28*HSI!$B$23*HSI!$G$23/HSI!$B$3,""))</f>
        <v/>
      </c>
      <c r="DX28" s="161">
        <f>IF(BJ28="","",IFERROR(BJ28*HSI!$B$23*HSI!$G$23/HSI!$B$3,""))</f>
        <v/>
      </c>
      <c r="DY28" s="161">
        <f>IF(BK28="","",IFERROR(BK28*HSI!$B$23*HSI!$G$23/HSI!$B$3,""))</f>
        <v/>
      </c>
      <c r="DZ28" s="161">
        <f>IF(BL28="","",IFERROR(BL28*HSI!$B$23*HSI!$G$23/HSI!$B$3,""))</f>
        <v/>
      </c>
      <c r="EA28" s="161">
        <f>IF(BM28="","",IFERROR(BM28*HSI!$B$23*HSI!$G$23/HSI!$B$3,""))</f>
        <v/>
      </c>
      <c r="EB28" s="161">
        <f>IF(BN28="","",IFERROR(BN28*HSI!$B$23*HSI!$G$23/HSI!$B$3,""))</f>
        <v/>
      </c>
      <c r="EC28" s="161">
        <f>IF(BO28="","",IFERROR(BO28*HSI!$B$23*HSI!$G$23/HSI!$B$3,""))</f>
        <v/>
      </c>
      <c r="EE28" s="121">
        <f>IF(N('Dvd Calendar'!$E$187)=0,"",IF(('Dvd Calendar'!$E$187&gt;=GRID_FROM)*('Dvd Calendar'!$E$187&lt;=GRID_TO)*((('Dvd Calendar'!$E$187&lt;=VAL_DATE)+(COUNTIF('Dvd Calendar'!$E$194:$AR$194,'Dvd Calendar'!$E$187)=0))&gt;0)=0,"",'Dvd Calendar'!$E$187*1000000000+ISNUMBER('Dvd Calendar'!$E$190)*100000000+('Dvd Calendar'!$E$192=SPECIAL_LBL)*10000000+(N('Dvd Calendar'!$E$186)&gt;0)*(N('Dvd Calendar'!$E$186)&lt;=VAL_SERIAL)*1000000+17*1000+1))</f>
        <v/>
      </c>
      <c r="EF28" s="121">
        <f>IF(N('Dvd Calendar'!$F$187)=0,"",IF(('Dvd Calendar'!$F$187&gt;=GRID_FROM)*('Dvd Calendar'!$F$187&lt;=GRID_TO)*((('Dvd Calendar'!$F$187&lt;=VAL_DATE)+(COUNTIF('Dvd Calendar'!$E$194:$AR$194,'Dvd Calendar'!$F$187)=0))&gt;0)=0,"",'Dvd Calendar'!$F$187*1000000000+ISNUMBER('Dvd Calendar'!$F$190)*100000000+('Dvd Calendar'!$F$192=SPECIAL_LBL)*10000000+(N('Dvd Calendar'!$F$186)&gt;0)*(N('Dvd Calendar'!$F$186)&lt;=VAL_SERIAL)*1000000+17*1000+2))</f>
        <v/>
      </c>
      <c r="EG28" s="121">
        <f>IF(N('Dvd Calendar'!$G$187)=0,"",IF(('Dvd Calendar'!$G$187&gt;=GRID_FROM)*('Dvd Calendar'!$G$187&lt;=GRID_TO)*((('Dvd Calendar'!$G$187&lt;=VAL_DATE)+(COUNTIF('Dvd Calendar'!$E$194:$AR$194,'Dvd Calendar'!$G$187)=0))&gt;0)=0,"",'Dvd Calendar'!$G$187*1000000000+ISNUMBER('Dvd Calendar'!$G$190)*100000000+('Dvd Calendar'!$G$192=SPECIAL_LBL)*10000000+(N('Dvd Calendar'!$G$186)&gt;0)*(N('Dvd Calendar'!$G$186)&lt;=VAL_SERIAL)*1000000+17*1000+3))</f>
        <v/>
      </c>
      <c r="EH28" s="121">
        <f>IF(N('Dvd Calendar'!$H$187)=0,"",IF(('Dvd Calendar'!$H$187&gt;=GRID_FROM)*('Dvd Calendar'!$H$187&lt;=GRID_TO)*((('Dvd Calendar'!$H$187&lt;=VAL_DATE)+(COUNTIF('Dvd Calendar'!$E$194:$AR$194,'Dvd Calendar'!$H$187)=0))&gt;0)=0,"",'Dvd Calendar'!$H$187*1000000000+ISNUMBER('Dvd Calendar'!$H$190)*100000000+('Dvd Calendar'!$H$192=SPECIAL_LBL)*10000000+(N('Dvd Calendar'!$H$186)&gt;0)*(N('Dvd Calendar'!$H$186)&lt;=VAL_SERIAL)*1000000+17*1000+4))</f>
        <v/>
      </c>
      <c r="EI28" s="121">
        <f>IF(N('Dvd Calendar'!$I$187)=0,"",IF(('Dvd Calendar'!$I$187&gt;=GRID_FROM)*('Dvd Calendar'!$I$187&lt;=GRID_TO)*((('Dvd Calendar'!$I$187&lt;=VAL_DATE)+(COUNTIF('Dvd Calendar'!$E$194:$AR$194,'Dvd Calendar'!$I$187)=0))&gt;0)=0,"",'Dvd Calendar'!$I$187*1000000000+ISNUMBER('Dvd Calendar'!$I$190)*100000000+('Dvd Calendar'!$I$192=SPECIAL_LBL)*10000000+(N('Dvd Calendar'!$I$186)&gt;0)*(N('Dvd Calendar'!$I$186)&lt;=VAL_SERIAL)*1000000+17*1000+5))</f>
        <v/>
      </c>
      <c r="EJ28" s="121">
        <f>IF(N('Dvd Calendar'!$J$187)=0,"",IF(('Dvd Calendar'!$J$187&gt;=GRID_FROM)*('Dvd Calendar'!$J$187&lt;=GRID_TO)*((('Dvd Calendar'!$J$187&lt;=VAL_DATE)+(COUNTIF('Dvd Calendar'!$E$194:$AR$194,'Dvd Calendar'!$J$187)=0))&gt;0)=0,"",'Dvd Calendar'!$J$187*1000000000+ISNUMBER('Dvd Calendar'!$J$190)*100000000+('Dvd Calendar'!$J$192=SPECIAL_LBL)*10000000+(N('Dvd Calendar'!$J$186)&gt;0)*(N('Dvd Calendar'!$J$186)&lt;=VAL_SERIAL)*1000000+17*1000+6))</f>
        <v/>
      </c>
      <c r="EK28" s="121">
        <f>IF(N('Dvd Calendar'!$K$187)=0,"",IF(('Dvd Calendar'!$K$187&gt;=GRID_FROM)*('Dvd Calendar'!$K$187&lt;=GRID_TO)*((('Dvd Calendar'!$K$187&lt;=VAL_DATE)+(COUNTIF('Dvd Calendar'!$E$194:$AR$194,'Dvd Calendar'!$K$187)=0))&gt;0)=0,"",'Dvd Calendar'!$K$187*1000000000+ISNUMBER('Dvd Calendar'!$K$190)*100000000+('Dvd Calendar'!$K$192=SPECIAL_LBL)*10000000+(N('Dvd Calendar'!$K$186)&gt;0)*(N('Dvd Calendar'!$K$186)&lt;=VAL_SERIAL)*1000000+17*1000+7))</f>
        <v/>
      </c>
      <c r="EL28" s="121">
        <f>IF(N('Dvd Calendar'!$L$187)=0,"",IF(('Dvd Calendar'!$L$187&gt;=GRID_FROM)*('Dvd Calendar'!$L$187&lt;=GRID_TO)*((('Dvd Calendar'!$L$187&lt;=VAL_DATE)+(COUNTIF('Dvd Calendar'!$E$194:$AR$194,'Dvd Calendar'!$L$187)=0))&gt;0)=0,"",'Dvd Calendar'!$L$187*1000000000+ISNUMBER('Dvd Calendar'!$L$190)*100000000+('Dvd Calendar'!$L$192=SPECIAL_LBL)*10000000+(N('Dvd Calendar'!$L$186)&gt;0)*(N('Dvd Calendar'!$L$186)&lt;=VAL_SERIAL)*1000000+17*1000+8))</f>
        <v/>
      </c>
      <c r="EM28" s="121">
        <f>IF(N('Dvd Calendar'!$M$187)=0,"",IF(('Dvd Calendar'!$M$187&gt;=GRID_FROM)*('Dvd Calendar'!$M$187&lt;=GRID_TO)*((('Dvd Calendar'!$M$187&lt;=VAL_DATE)+(COUNTIF('Dvd Calendar'!$E$194:$AR$194,'Dvd Calendar'!$M$187)=0))&gt;0)=0,"",'Dvd Calendar'!$M$187*1000000000+ISNUMBER('Dvd Calendar'!$M$190)*100000000+('Dvd Calendar'!$M$192=SPECIAL_LBL)*10000000+(N('Dvd Calendar'!$M$186)&gt;0)*(N('Dvd Calendar'!$M$186)&lt;=VAL_SERIAL)*1000000+17*1000+9))</f>
        <v/>
      </c>
      <c r="EN28" s="121">
        <f>IF(N('Dvd Calendar'!$N$187)=0,"",IF(('Dvd Calendar'!$N$187&gt;=GRID_FROM)*('Dvd Calendar'!$N$187&lt;=GRID_TO)*((('Dvd Calendar'!$N$187&lt;=VAL_DATE)+(COUNTIF('Dvd Calendar'!$E$194:$AR$194,'Dvd Calendar'!$N$187)=0))&gt;0)=0,"",'Dvd Calendar'!$N$187*1000000000+ISNUMBER('Dvd Calendar'!$N$190)*100000000+('Dvd Calendar'!$N$192=SPECIAL_LBL)*10000000+(N('Dvd Calendar'!$N$186)&gt;0)*(N('Dvd Calendar'!$N$186)&lt;=VAL_SERIAL)*1000000+17*1000+10))</f>
        <v/>
      </c>
      <c r="EO28" s="121">
        <f>IF(N('Dvd Calendar'!$O$187)=0,"",IF(('Dvd Calendar'!$O$187&gt;=GRID_FROM)*('Dvd Calendar'!$O$187&lt;=GRID_TO)*((('Dvd Calendar'!$O$187&lt;=VAL_DATE)+(COUNTIF('Dvd Calendar'!$E$194:$AR$194,'Dvd Calendar'!$O$187)=0))&gt;0)=0,"",'Dvd Calendar'!$O$187*1000000000+ISNUMBER('Dvd Calendar'!$O$190)*100000000+('Dvd Calendar'!$O$192=SPECIAL_LBL)*10000000+(N('Dvd Calendar'!$O$186)&gt;0)*(N('Dvd Calendar'!$O$186)&lt;=VAL_SERIAL)*1000000+17*1000+11))</f>
        <v/>
      </c>
      <c r="EP28" s="121">
        <f>IF(N('Dvd Calendar'!$P$187)=0,"",IF(('Dvd Calendar'!$P$187&gt;=GRID_FROM)*('Dvd Calendar'!$P$187&lt;=GRID_TO)*((('Dvd Calendar'!$P$187&lt;=VAL_DATE)+(COUNTIF('Dvd Calendar'!$E$194:$AR$194,'Dvd Calendar'!$P$187)=0))&gt;0)=0,"",'Dvd Calendar'!$P$187*1000000000+ISNUMBER('Dvd Calendar'!$P$190)*100000000+('Dvd Calendar'!$P$192=SPECIAL_LBL)*10000000+(N('Dvd Calendar'!$P$186)&gt;0)*(N('Dvd Calendar'!$P$186)&lt;=VAL_SERIAL)*1000000+17*1000+12))</f>
        <v/>
      </c>
      <c r="EQ28" s="121">
        <f>IF(N('Dvd Calendar'!$Q$187)=0,"",IF(('Dvd Calendar'!$Q$187&gt;=GRID_FROM)*('Dvd Calendar'!$Q$187&lt;=GRID_TO)*((('Dvd Calendar'!$Q$187&lt;=VAL_DATE)+(COUNTIF('Dvd Calendar'!$E$194:$AR$194,'Dvd Calendar'!$Q$187)=0))&gt;0)=0,"",'Dvd Calendar'!$Q$187*1000000000+ISNUMBER('Dvd Calendar'!$Q$190)*100000000+('Dvd Calendar'!$Q$192=SPECIAL_LBL)*10000000+(N('Dvd Calendar'!$Q$186)&gt;0)*(N('Dvd Calendar'!$Q$186)&lt;=VAL_SERIAL)*1000000+17*1000+13))</f>
        <v/>
      </c>
      <c r="ER28" s="121">
        <f>IF(N('Dvd Calendar'!$R$187)=0,"",IF(('Dvd Calendar'!$R$187&gt;=GRID_FROM)*('Dvd Calendar'!$R$187&lt;=GRID_TO)*((('Dvd Calendar'!$R$187&lt;=VAL_DATE)+(COUNTIF('Dvd Calendar'!$E$194:$AR$194,'Dvd Calendar'!$R$187)=0))&gt;0)=0,"",'Dvd Calendar'!$R$187*1000000000+ISNUMBER('Dvd Calendar'!$R$190)*100000000+('Dvd Calendar'!$R$192=SPECIAL_LBL)*10000000+(N('Dvd Calendar'!$R$186)&gt;0)*(N('Dvd Calendar'!$R$186)&lt;=VAL_SERIAL)*1000000+17*1000+14))</f>
        <v/>
      </c>
      <c r="ES28" s="121">
        <f>IF(N('Dvd Calendar'!$S$187)=0,"",IF(('Dvd Calendar'!$S$187&gt;=GRID_FROM)*('Dvd Calendar'!$S$187&lt;=GRID_TO)*((('Dvd Calendar'!$S$187&lt;=VAL_DATE)+(COUNTIF('Dvd Calendar'!$E$194:$AR$194,'Dvd Calendar'!$S$187)=0))&gt;0)=0,"",'Dvd Calendar'!$S$187*1000000000+ISNUMBER('Dvd Calendar'!$S$190)*100000000+('Dvd Calendar'!$S$192=SPECIAL_LBL)*10000000+(N('Dvd Calendar'!$S$186)&gt;0)*(N('Dvd Calendar'!$S$186)&lt;=VAL_SERIAL)*1000000+17*1000+15))</f>
        <v/>
      </c>
      <c r="ET28" s="121">
        <f>IF(N('Dvd Calendar'!$T$187)=0,"",IF(('Dvd Calendar'!$T$187&gt;=GRID_FROM)*('Dvd Calendar'!$T$187&lt;=GRID_TO)*((('Dvd Calendar'!$T$187&lt;=VAL_DATE)+(COUNTIF('Dvd Calendar'!$E$194:$AR$194,'Dvd Calendar'!$T$187)=0))&gt;0)=0,"",'Dvd Calendar'!$T$187*1000000000+ISNUMBER('Dvd Calendar'!$T$190)*100000000+('Dvd Calendar'!$T$192=SPECIAL_LBL)*10000000+(N('Dvd Calendar'!$T$186)&gt;0)*(N('Dvd Calendar'!$T$186)&lt;=VAL_SERIAL)*1000000+17*1000+16))</f>
        <v/>
      </c>
      <c r="EU28" s="121">
        <f>IF(N('Dvd Calendar'!$U$187)=0,"",IF(('Dvd Calendar'!$U$187&gt;=GRID_FROM)*('Dvd Calendar'!$U$187&lt;=GRID_TO)*((('Dvd Calendar'!$U$187&lt;=VAL_DATE)+(COUNTIF('Dvd Calendar'!$E$194:$AR$194,'Dvd Calendar'!$U$187)=0))&gt;0)=0,"",'Dvd Calendar'!$U$187*1000000000+ISNUMBER('Dvd Calendar'!$U$190)*100000000+('Dvd Calendar'!$U$192=SPECIAL_LBL)*10000000+(N('Dvd Calendar'!$U$186)&gt;0)*(N('Dvd Calendar'!$U$186)&lt;=VAL_SERIAL)*1000000+17*1000+17))</f>
        <v/>
      </c>
      <c r="EV28" s="121">
        <f>IF(N('Dvd Calendar'!$V$187)=0,"",IF(('Dvd Calendar'!$V$187&gt;=GRID_FROM)*('Dvd Calendar'!$V$187&lt;=GRID_TO)*((('Dvd Calendar'!$V$187&lt;=VAL_DATE)+(COUNTIF('Dvd Calendar'!$E$194:$AR$194,'Dvd Calendar'!$V$187)=0))&gt;0)=0,"",'Dvd Calendar'!$V$187*1000000000+ISNUMBER('Dvd Calendar'!$V$190)*100000000+('Dvd Calendar'!$V$192=SPECIAL_LBL)*10000000+(N('Dvd Calendar'!$V$186)&gt;0)*(N('Dvd Calendar'!$V$186)&lt;=VAL_SERIAL)*1000000+17*1000+18))</f>
        <v/>
      </c>
      <c r="EW28" s="121">
        <f>IF(N('Dvd Calendar'!$W$187)=0,"",IF(('Dvd Calendar'!$W$187&gt;=GRID_FROM)*('Dvd Calendar'!$W$187&lt;=GRID_TO)*((('Dvd Calendar'!$W$187&lt;=VAL_DATE)+(COUNTIF('Dvd Calendar'!$E$194:$AR$194,'Dvd Calendar'!$W$187)=0))&gt;0)=0,"",'Dvd Calendar'!$W$187*1000000000+ISNUMBER('Dvd Calendar'!$W$190)*100000000+('Dvd Calendar'!$W$192=SPECIAL_LBL)*10000000+(N('Dvd Calendar'!$W$186)&gt;0)*(N('Dvd Calendar'!$W$186)&lt;=VAL_SERIAL)*1000000+17*1000+19))</f>
        <v/>
      </c>
      <c r="EX28" s="121">
        <f>IF(N('Dvd Calendar'!$X$187)=0,"",IF(('Dvd Calendar'!$X$187&gt;=GRID_FROM)*('Dvd Calendar'!$X$187&lt;=GRID_TO)*((('Dvd Calendar'!$X$187&lt;=VAL_DATE)+(COUNTIF('Dvd Calendar'!$E$194:$AR$194,'Dvd Calendar'!$X$187)=0))&gt;0)=0,"",'Dvd Calendar'!$X$187*1000000000+ISNUMBER('Dvd Calendar'!$X$190)*100000000+('Dvd Calendar'!$X$192=SPECIAL_LBL)*10000000+(N('Dvd Calendar'!$X$186)&gt;0)*(N('Dvd Calendar'!$X$186)&lt;=VAL_SERIAL)*1000000+17*1000+20))</f>
        <v/>
      </c>
      <c r="EY28" s="121">
        <f>IF(N('Dvd Calendar'!$Y$187)=0,"",IF(('Dvd Calendar'!$Y$187&gt;=GRID_FROM)*('Dvd Calendar'!$Y$187&lt;=GRID_TO)*((('Dvd Calendar'!$Y$187&lt;=VAL_DATE)+(COUNTIF('Dvd Calendar'!$E$194:$AR$194,'Dvd Calendar'!$Y$187)=0))&gt;0)=0,"",'Dvd Calendar'!$Y$187*1000000000+ISNUMBER('Dvd Calendar'!$Y$190)*100000000+('Dvd Calendar'!$Y$192=SPECIAL_LBL)*10000000+(N('Dvd Calendar'!$Y$186)&gt;0)*(N('Dvd Calendar'!$Y$186)&lt;=VAL_SERIAL)*1000000+17*1000+21))</f>
        <v/>
      </c>
      <c r="EZ28" s="121">
        <f>IF(N('Dvd Calendar'!$Z$187)=0,"",IF(('Dvd Calendar'!$Z$187&gt;=GRID_FROM)*('Dvd Calendar'!$Z$187&lt;=GRID_TO)*((('Dvd Calendar'!$Z$187&lt;=VAL_DATE)+(COUNTIF('Dvd Calendar'!$E$194:$AR$194,'Dvd Calendar'!$Z$187)=0))&gt;0)=0,"",'Dvd Calendar'!$Z$187*1000000000+ISNUMBER('Dvd Calendar'!$Z$190)*100000000+('Dvd Calendar'!$Z$192=SPECIAL_LBL)*10000000+(N('Dvd Calendar'!$Z$186)&gt;0)*(N('Dvd Calendar'!$Z$186)&lt;=VAL_SERIAL)*1000000+17*1000+22))</f>
        <v/>
      </c>
      <c r="FA28" s="121">
        <f>IF(N('Dvd Calendar'!$AA$187)=0,"",IF(('Dvd Calendar'!$AA$187&gt;=GRID_FROM)*('Dvd Calendar'!$AA$187&lt;=GRID_TO)*((('Dvd Calendar'!$AA$187&lt;=VAL_DATE)+(COUNTIF('Dvd Calendar'!$E$194:$AR$194,'Dvd Calendar'!$AA$187)=0))&gt;0)=0,"",'Dvd Calendar'!$AA$187*1000000000+ISNUMBER('Dvd Calendar'!$AA$190)*100000000+('Dvd Calendar'!$AA$192=SPECIAL_LBL)*10000000+(N('Dvd Calendar'!$AA$186)&gt;0)*(N('Dvd Calendar'!$AA$186)&lt;=VAL_SERIAL)*1000000+17*1000+23))</f>
        <v/>
      </c>
      <c r="FB28" s="121">
        <f>IF(N('Dvd Calendar'!$AB$187)=0,"",IF(('Dvd Calendar'!$AB$187&gt;=GRID_FROM)*('Dvd Calendar'!$AB$187&lt;=GRID_TO)*((('Dvd Calendar'!$AB$187&lt;=VAL_DATE)+(COUNTIF('Dvd Calendar'!$E$194:$AR$194,'Dvd Calendar'!$AB$187)=0))&gt;0)=0,"",'Dvd Calendar'!$AB$187*1000000000+ISNUMBER('Dvd Calendar'!$AB$190)*100000000+('Dvd Calendar'!$AB$192=SPECIAL_LBL)*10000000+(N('Dvd Calendar'!$AB$186)&gt;0)*(N('Dvd Calendar'!$AB$186)&lt;=VAL_SERIAL)*1000000+17*1000+24))</f>
        <v/>
      </c>
      <c r="FC28" s="121">
        <f>IF(N('Dvd Calendar'!$AC$187)=0,"",IF(('Dvd Calendar'!$AC$187&gt;=GRID_FROM)*('Dvd Calendar'!$AC$187&lt;=GRID_TO)*((('Dvd Calendar'!$AC$187&lt;=VAL_DATE)+(COUNTIF('Dvd Calendar'!$E$194:$AR$194,'Dvd Calendar'!$AC$187)=0))&gt;0)=0,"",'Dvd Calendar'!$AC$187*1000000000+ISNUMBER('Dvd Calendar'!$AC$190)*100000000+('Dvd Calendar'!$AC$192=SPECIAL_LBL)*10000000+(N('Dvd Calendar'!$AC$186)&gt;0)*(N('Dvd Calendar'!$AC$186)&lt;=VAL_SERIAL)*1000000+17*1000+25))</f>
        <v/>
      </c>
      <c r="FD28" s="121">
        <f>IF(N('Dvd Calendar'!$AD$187)=0,"",IF(('Dvd Calendar'!$AD$187&gt;=GRID_FROM)*('Dvd Calendar'!$AD$187&lt;=GRID_TO)*((('Dvd Calendar'!$AD$187&lt;=VAL_DATE)+(COUNTIF('Dvd Calendar'!$E$194:$AR$194,'Dvd Calendar'!$AD$187)=0))&gt;0)=0,"",'Dvd Calendar'!$AD$187*1000000000+ISNUMBER('Dvd Calendar'!$AD$190)*100000000+('Dvd Calendar'!$AD$192=SPECIAL_LBL)*10000000+(N('Dvd Calendar'!$AD$186)&gt;0)*(N('Dvd Calendar'!$AD$186)&lt;=VAL_SERIAL)*1000000+17*1000+26))</f>
        <v/>
      </c>
      <c r="FE28" s="121">
        <f>IF(N('Dvd Calendar'!$AE$187)=0,"",IF(('Dvd Calendar'!$AE$187&gt;=GRID_FROM)*('Dvd Calendar'!$AE$187&lt;=GRID_TO)*((('Dvd Calendar'!$AE$187&lt;=VAL_DATE)+(COUNTIF('Dvd Calendar'!$E$194:$AR$194,'Dvd Calendar'!$AE$187)=0))&gt;0)=0,"",'Dvd Calendar'!$AE$187*1000000000+ISNUMBER('Dvd Calendar'!$AE$190)*100000000+('Dvd Calendar'!$AE$192=SPECIAL_LBL)*10000000+(N('Dvd Calendar'!$AE$186)&gt;0)*(N('Dvd Calendar'!$AE$186)&lt;=VAL_SERIAL)*1000000+17*1000+27))</f>
        <v/>
      </c>
      <c r="FF28" s="121">
        <f>IF(N('Dvd Calendar'!$AF$187)=0,"",IF(('Dvd Calendar'!$AF$187&gt;=GRID_FROM)*('Dvd Calendar'!$AF$187&lt;=GRID_TO)*((('Dvd Calendar'!$AF$187&lt;=VAL_DATE)+(COUNTIF('Dvd Calendar'!$E$194:$AR$194,'Dvd Calendar'!$AF$187)=0))&gt;0)=0,"",'Dvd Calendar'!$AF$187*1000000000+ISNUMBER('Dvd Calendar'!$AF$190)*100000000+('Dvd Calendar'!$AF$192=SPECIAL_LBL)*10000000+(N('Dvd Calendar'!$AF$186)&gt;0)*(N('Dvd Calendar'!$AF$186)&lt;=VAL_SERIAL)*1000000+17*1000+28))</f>
        <v/>
      </c>
      <c r="FG28" s="121">
        <f>IF(N('Dvd Calendar'!$AG$187)=0,"",IF(('Dvd Calendar'!$AG$187&gt;=GRID_FROM)*('Dvd Calendar'!$AG$187&lt;=GRID_TO)*((('Dvd Calendar'!$AG$187&lt;=VAL_DATE)+(COUNTIF('Dvd Calendar'!$E$194:$AR$194,'Dvd Calendar'!$AG$187)=0))&gt;0)=0,"",'Dvd Calendar'!$AG$187*1000000000+ISNUMBER('Dvd Calendar'!$AG$190)*100000000+('Dvd Calendar'!$AG$192=SPECIAL_LBL)*10000000+(N('Dvd Calendar'!$AG$186)&gt;0)*(N('Dvd Calendar'!$AG$186)&lt;=VAL_SERIAL)*1000000+17*1000+29))</f>
        <v/>
      </c>
      <c r="FH28" s="121">
        <f>IF(N('Dvd Calendar'!$AH$187)=0,"",IF(('Dvd Calendar'!$AH$187&gt;=GRID_FROM)*('Dvd Calendar'!$AH$187&lt;=GRID_TO)*((('Dvd Calendar'!$AH$187&lt;=VAL_DATE)+(COUNTIF('Dvd Calendar'!$E$194:$AR$194,'Dvd Calendar'!$AH$187)=0))&gt;0)=0,"",'Dvd Calendar'!$AH$187*1000000000+ISNUMBER('Dvd Calendar'!$AH$190)*100000000+('Dvd Calendar'!$AH$192=SPECIAL_LBL)*10000000+(N('Dvd Calendar'!$AH$186)&gt;0)*(N('Dvd Calendar'!$AH$186)&lt;=VAL_SERIAL)*1000000+17*1000+30))</f>
        <v/>
      </c>
      <c r="FI28" s="121">
        <f>IF(N('Dvd Calendar'!$AI$187)=0,"",IF(('Dvd Calendar'!$AI$187&gt;=GRID_FROM)*('Dvd Calendar'!$AI$187&lt;=GRID_TO)*((('Dvd Calendar'!$AI$187&lt;=VAL_DATE)+(COUNTIF('Dvd Calendar'!$E$194:$AR$194,'Dvd Calendar'!$AI$187)=0))&gt;0)=0,"",'Dvd Calendar'!$AI$187*1000000000+ISNUMBER('Dvd Calendar'!$AI$190)*100000000+('Dvd Calendar'!$AI$192=SPECIAL_LBL)*10000000+(N('Dvd Calendar'!$AI$186)&gt;0)*(N('Dvd Calendar'!$AI$186)&lt;=VAL_SERIAL)*1000000+17*1000+31))</f>
        <v/>
      </c>
      <c r="FJ28" s="121">
        <f>IF(N('Dvd Calendar'!$AJ$187)=0,"",IF(('Dvd Calendar'!$AJ$187&gt;=GRID_FROM)*('Dvd Calendar'!$AJ$187&lt;=GRID_TO)*((('Dvd Calendar'!$AJ$187&lt;=VAL_DATE)+(COUNTIF('Dvd Calendar'!$E$194:$AR$194,'Dvd Calendar'!$AJ$187)=0))&gt;0)=0,"",'Dvd Calendar'!$AJ$187*1000000000+ISNUMBER('Dvd Calendar'!$AJ$190)*100000000+('Dvd Calendar'!$AJ$192=SPECIAL_LBL)*10000000+(N('Dvd Calendar'!$AJ$186)&gt;0)*(N('Dvd Calendar'!$AJ$186)&lt;=VAL_SERIAL)*1000000+17*1000+32))</f>
        <v/>
      </c>
      <c r="FK28" s="121">
        <f>IF(N('Dvd Calendar'!$AK$187)=0,"",IF(('Dvd Calendar'!$AK$187&gt;=GRID_FROM)*('Dvd Calendar'!$AK$187&lt;=GRID_TO)*((('Dvd Calendar'!$AK$187&lt;=VAL_DATE)+(COUNTIF('Dvd Calendar'!$E$194:$AR$194,'Dvd Calendar'!$AK$187)=0))&gt;0)=0,"",'Dvd Calendar'!$AK$187*1000000000+ISNUMBER('Dvd Calendar'!$AK$190)*100000000+('Dvd Calendar'!$AK$192=SPECIAL_LBL)*10000000+(N('Dvd Calendar'!$AK$186)&gt;0)*(N('Dvd Calendar'!$AK$186)&lt;=VAL_SERIAL)*1000000+17*1000+33))</f>
        <v/>
      </c>
      <c r="FL28" s="121">
        <f>IF(N('Dvd Calendar'!$AL$187)=0,"",IF(('Dvd Calendar'!$AL$187&gt;=GRID_FROM)*('Dvd Calendar'!$AL$187&lt;=GRID_TO)*((('Dvd Calendar'!$AL$187&lt;=VAL_DATE)+(COUNTIF('Dvd Calendar'!$E$194:$AR$194,'Dvd Calendar'!$AL$187)=0))&gt;0)=0,"",'Dvd Calendar'!$AL$187*1000000000+ISNUMBER('Dvd Calendar'!$AL$190)*100000000+('Dvd Calendar'!$AL$192=SPECIAL_LBL)*10000000+(N('Dvd Calendar'!$AL$186)&gt;0)*(N('Dvd Calendar'!$AL$186)&lt;=VAL_SERIAL)*1000000+17*1000+34))</f>
        <v/>
      </c>
      <c r="FM28" s="121">
        <f>IF(N('Dvd Calendar'!$AM$187)=0,"",IF(('Dvd Calendar'!$AM$187&gt;=GRID_FROM)*('Dvd Calendar'!$AM$187&lt;=GRID_TO)*((('Dvd Calendar'!$AM$187&lt;=VAL_DATE)+(COUNTIF('Dvd Calendar'!$E$194:$AR$194,'Dvd Calendar'!$AM$187)=0))&gt;0)=0,"",'Dvd Calendar'!$AM$187*1000000000+ISNUMBER('Dvd Calendar'!$AM$190)*100000000+('Dvd Calendar'!$AM$192=SPECIAL_LBL)*10000000+(N('Dvd Calendar'!$AM$186)&gt;0)*(N('Dvd Calendar'!$AM$186)&lt;=VAL_SERIAL)*1000000+17*1000+35))</f>
        <v/>
      </c>
      <c r="FN28" s="121">
        <f>IF(N('Dvd Calendar'!$AN$187)=0,"",IF(('Dvd Calendar'!$AN$187&gt;=GRID_FROM)*('Dvd Calendar'!$AN$187&lt;=GRID_TO)*((('Dvd Calendar'!$AN$187&lt;=VAL_DATE)+(COUNTIF('Dvd Calendar'!$E$194:$AR$194,'Dvd Calendar'!$AN$187)=0))&gt;0)=0,"",'Dvd Calendar'!$AN$187*1000000000+ISNUMBER('Dvd Calendar'!$AN$190)*100000000+('Dvd Calendar'!$AN$192=SPECIAL_LBL)*10000000+(N('Dvd Calendar'!$AN$186)&gt;0)*(N('Dvd Calendar'!$AN$186)&lt;=VAL_SERIAL)*1000000+17*1000+36))</f>
        <v/>
      </c>
      <c r="FO28" s="121">
        <f>IF(N('Dvd Calendar'!$AO$187)=0,"",IF(('Dvd Calendar'!$AO$187&gt;=GRID_FROM)*('Dvd Calendar'!$AO$187&lt;=GRID_TO)*((('Dvd Calendar'!$AO$187&lt;=VAL_DATE)+(COUNTIF('Dvd Calendar'!$E$194:$AR$194,'Dvd Calendar'!$AO$187)=0))&gt;0)=0,"",'Dvd Calendar'!$AO$187*1000000000+ISNUMBER('Dvd Calendar'!$AO$190)*100000000+('Dvd Calendar'!$AO$192=SPECIAL_LBL)*10000000+(N('Dvd Calendar'!$AO$186)&gt;0)*(N('Dvd Calendar'!$AO$186)&lt;=VAL_SERIAL)*1000000+17*1000+37))</f>
        <v/>
      </c>
      <c r="FP28" s="121">
        <f>IF(N('Dvd Calendar'!$AP$187)=0,"",IF(('Dvd Calendar'!$AP$187&gt;=GRID_FROM)*('Dvd Calendar'!$AP$187&lt;=GRID_TO)*((('Dvd Calendar'!$AP$187&lt;=VAL_DATE)+(COUNTIF('Dvd Calendar'!$E$194:$AR$194,'Dvd Calendar'!$AP$187)=0))&gt;0)=0,"",'Dvd Calendar'!$AP$187*1000000000+ISNUMBER('Dvd Calendar'!$AP$190)*100000000+('Dvd Calendar'!$AP$192=SPECIAL_LBL)*10000000+(N('Dvd Calendar'!$AP$186)&gt;0)*(N('Dvd Calendar'!$AP$186)&lt;=VAL_SERIAL)*1000000+17*1000+38))</f>
        <v/>
      </c>
      <c r="FQ28" s="121">
        <f>IF(N('Dvd Calendar'!$AQ$187)=0,"",IF(('Dvd Calendar'!$AQ$187&gt;=GRID_FROM)*('Dvd Calendar'!$AQ$187&lt;=GRID_TO)*((('Dvd Calendar'!$AQ$187&lt;=VAL_DATE)+(COUNTIF('Dvd Calendar'!$E$194:$AR$194,'Dvd Calendar'!$AQ$187)=0))&gt;0)=0,"",'Dvd Calendar'!$AQ$187*1000000000+ISNUMBER('Dvd Calendar'!$AQ$190)*100000000+('Dvd Calendar'!$AQ$192=SPECIAL_LBL)*10000000+(N('Dvd Calendar'!$AQ$186)&gt;0)*(N('Dvd Calendar'!$AQ$186)&lt;=VAL_SERIAL)*1000000+17*1000+39))</f>
        <v/>
      </c>
      <c r="FR28" s="121">
        <f>IF(N('Dvd Calendar'!$AR$187)=0,"",IF(('Dvd Calendar'!$AR$187&gt;=GRID_FROM)*('Dvd Calendar'!$AR$187&lt;=GRID_TO)*((('Dvd Calendar'!$AR$187&lt;=VAL_DATE)+(COUNTIF('Dvd Calendar'!$E$194:$AR$194,'Dvd Calendar'!$AR$187)=0))&gt;0)=0,"",'Dvd Calendar'!$AR$187*1000000000+ISNUMBER('Dvd Calendar'!$AR$190)*100000000+('Dvd Calendar'!$AR$192=SPECIAL_LBL)*10000000+(N('Dvd Calendar'!$AR$186)&gt;0)*(N('Dvd Calendar'!$AR$186)&lt;=VAL_SERIAL)*1000000+17*1000+40))</f>
        <v/>
      </c>
      <c r="FS28" s="121">
        <f>IF(N('Dvd Calendar'!$E$194)=0,"",IF(('Dvd Calendar'!$E$194&gt;=GRID_FROM)*('Dvd Calendar'!$E$194&lt;=GRID_TO)*('Dvd Calendar'!$E$194&gt;VAL_DATE)=0,"",'Dvd Calendar'!$E$194*1000000000+ISNUMBER('Dvd Calendar'!$E$195)*100000000+0*10000000+(N('Dvd Calendar'!$E$193)&gt;0)*(N('Dvd Calendar'!$E$193)&lt;=VAL_SERIAL)*1000000+17*1000+41))</f>
        <v/>
      </c>
      <c r="FT28" s="121">
        <f>IF(N('Dvd Calendar'!$F$194)=0,"",IF(('Dvd Calendar'!$F$194&gt;=GRID_FROM)*('Dvd Calendar'!$F$194&lt;=GRID_TO)*('Dvd Calendar'!$F$194&gt;VAL_DATE)=0,"",'Dvd Calendar'!$F$194*1000000000+ISNUMBER('Dvd Calendar'!$F$195)*100000000+0*10000000+(N('Dvd Calendar'!$F$193)&gt;0)*(N('Dvd Calendar'!$F$193)&lt;=VAL_SERIAL)*1000000+17*1000+42))</f>
        <v/>
      </c>
      <c r="FU28" s="121">
        <f>IF(N('Dvd Calendar'!$G$194)=0,"",IF(('Dvd Calendar'!$G$194&gt;=GRID_FROM)*('Dvd Calendar'!$G$194&lt;=GRID_TO)*('Dvd Calendar'!$G$194&gt;VAL_DATE)=0,"",'Dvd Calendar'!$G$194*1000000000+ISNUMBER('Dvd Calendar'!$G$195)*100000000+0*10000000+(N('Dvd Calendar'!$G$193)&gt;0)*(N('Dvd Calendar'!$G$193)&lt;=VAL_SERIAL)*1000000+17*1000+43))</f>
        <v/>
      </c>
      <c r="FV28" s="121">
        <f>IF(N('Dvd Calendar'!$H$194)=0,"",IF(('Dvd Calendar'!$H$194&gt;=GRID_FROM)*('Dvd Calendar'!$H$194&lt;=GRID_TO)*('Dvd Calendar'!$H$194&gt;VAL_DATE)=0,"",'Dvd Calendar'!$H$194*1000000000+ISNUMBER('Dvd Calendar'!$H$195)*100000000+0*10000000+(N('Dvd Calendar'!$H$193)&gt;0)*(N('Dvd Calendar'!$H$193)&lt;=VAL_SERIAL)*1000000+17*1000+44))</f>
        <v/>
      </c>
      <c r="FW28" s="121">
        <f>IF(N('Dvd Calendar'!$I$194)=0,"",IF(('Dvd Calendar'!$I$194&gt;=GRID_FROM)*('Dvd Calendar'!$I$194&lt;=GRID_TO)*('Dvd Calendar'!$I$194&gt;VAL_DATE)=0,"",'Dvd Calendar'!$I$194*1000000000+ISNUMBER('Dvd Calendar'!$I$195)*100000000+0*10000000+(N('Dvd Calendar'!$I$193)&gt;0)*(N('Dvd Calendar'!$I$193)&lt;=VAL_SERIAL)*1000000+17*1000+45))</f>
        <v/>
      </c>
      <c r="FX28" s="121">
        <f>IF(N('Dvd Calendar'!$J$194)=0,"",IF(('Dvd Calendar'!$J$194&gt;=GRID_FROM)*('Dvd Calendar'!$J$194&lt;=GRID_TO)*('Dvd Calendar'!$J$194&gt;VAL_DATE)=0,"",'Dvd Calendar'!$J$194*1000000000+ISNUMBER('Dvd Calendar'!$J$195)*100000000+0*10000000+(N('Dvd Calendar'!$J$193)&gt;0)*(N('Dvd Calendar'!$J$193)&lt;=VAL_SERIAL)*1000000+17*1000+46))</f>
        <v/>
      </c>
      <c r="FY28" s="121">
        <f>IF(N('Dvd Calendar'!$K$194)=0,"",IF(('Dvd Calendar'!$K$194&gt;=GRID_FROM)*('Dvd Calendar'!$K$194&lt;=GRID_TO)*('Dvd Calendar'!$K$194&gt;VAL_DATE)=0,"",'Dvd Calendar'!$K$194*1000000000+ISNUMBER('Dvd Calendar'!$K$195)*100000000+0*10000000+(N('Dvd Calendar'!$K$193)&gt;0)*(N('Dvd Calendar'!$K$193)&lt;=VAL_SERIAL)*1000000+17*1000+47))</f>
        <v/>
      </c>
      <c r="FZ28" s="121">
        <f>IF(N('Dvd Calendar'!$L$194)=0,"",IF(('Dvd Calendar'!$L$194&gt;=GRID_FROM)*('Dvd Calendar'!$L$194&lt;=GRID_TO)*('Dvd Calendar'!$L$194&gt;VAL_DATE)=0,"",'Dvd Calendar'!$L$194*1000000000+ISNUMBER('Dvd Calendar'!$L$195)*100000000+0*10000000+(N('Dvd Calendar'!$L$193)&gt;0)*(N('Dvd Calendar'!$L$193)&lt;=VAL_SERIAL)*1000000+17*1000+48))</f>
        <v/>
      </c>
      <c r="GA28" s="121">
        <f>IF(N('Dvd Calendar'!$M$194)=0,"",IF(('Dvd Calendar'!$M$194&gt;=GRID_FROM)*('Dvd Calendar'!$M$194&lt;=GRID_TO)*('Dvd Calendar'!$M$194&gt;VAL_DATE)=0,"",'Dvd Calendar'!$M$194*1000000000+ISNUMBER('Dvd Calendar'!$M$195)*100000000+0*10000000+(N('Dvd Calendar'!$M$193)&gt;0)*(N('Dvd Calendar'!$M$193)&lt;=VAL_SERIAL)*1000000+17*1000+49))</f>
        <v/>
      </c>
      <c r="GB28" s="121">
        <f>IF(N('Dvd Calendar'!$N$194)=0,"",IF(('Dvd Calendar'!$N$194&gt;=GRID_FROM)*('Dvd Calendar'!$N$194&lt;=GRID_TO)*('Dvd Calendar'!$N$194&gt;VAL_DATE)=0,"",'Dvd Calendar'!$N$194*1000000000+ISNUMBER('Dvd Calendar'!$N$195)*100000000+0*10000000+(N('Dvd Calendar'!$N$193)&gt;0)*(N('Dvd Calendar'!$N$193)&lt;=VAL_SERIAL)*1000000+17*1000+50))</f>
        <v/>
      </c>
      <c r="GC28" s="121">
        <f>IF(N('Dvd Calendar'!$O$194)=0,"",IF(('Dvd Calendar'!$O$194&gt;=GRID_FROM)*('Dvd Calendar'!$O$194&lt;=GRID_TO)*('Dvd Calendar'!$O$194&gt;VAL_DATE)=0,"",'Dvd Calendar'!$O$194*1000000000+ISNUMBER('Dvd Calendar'!$O$195)*100000000+0*10000000+(N('Dvd Calendar'!$O$193)&gt;0)*(N('Dvd Calendar'!$O$193)&lt;=VAL_SERIAL)*1000000+17*1000+51))</f>
        <v/>
      </c>
      <c r="GD28" s="121">
        <f>IF(N('Dvd Calendar'!$P$194)=0,"",IF(('Dvd Calendar'!$P$194&gt;=GRID_FROM)*('Dvd Calendar'!$P$194&lt;=GRID_TO)*('Dvd Calendar'!$P$194&gt;VAL_DATE)=0,"",'Dvd Calendar'!$P$194*1000000000+ISNUMBER('Dvd Calendar'!$P$195)*100000000+0*10000000+(N('Dvd Calendar'!$P$193)&gt;0)*(N('Dvd Calendar'!$P$193)&lt;=VAL_SERIAL)*1000000+17*1000+52))</f>
        <v/>
      </c>
      <c r="GE28" s="121">
        <f>IF(N('Dvd Calendar'!$Q$194)=0,"",IF(('Dvd Calendar'!$Q$194&gt;=GRID_FROM)*('Dvd Calendar'!$Q$194&lt;=GRID_TO)*('Dvd Calendar'!$Q$194&gt;VAL_DATE)=0,"",'Dvd Calendar'!$Q$194*1000000000+ISNUMBER('Dvd Calendar'!$Q$195)*100000000+0*10000000+(N('Dvd Calendar'!$Q$193)&gt;0)*(N('Dvd Calendar'!$Q$193)&lt;=VAL_SERIAL)*1000000+17*1000+53))</f>
        <v/>
      </c>
      <c r="GF28" s="121">
        <f>IF(N('Dvd Calendar'!$R$194)=0,"",IF(('Dvd Calendar'!$R$194&gt;=GRID_FROM)*('Dvd Calendar'!$R$194&lt;=GRID_TO)*('Dvd Calendar'!$R$194&gt;VAL_DATE)=0,"",'Dvd Calendar'!$R$194*1000000000+ISNUMBER('Dvd Calendar'!$R$195)*100000000+0*10000000+(N('Dvd Calendar'!$R$193)&gt;0)*(N('Dvd Calendar'!$R$193)&lt;=VAL_SERIAL)*1000000+17*1000+54))</f>
        <v/>
      </c>
      <c r="GG28" s="121">
        <f>IF(N('Dvd Calendar'!$S$194)=0,"",IF(('Dvd Calendar'!$S$194&gt;=GRID_FROM)*('Dvd Calendar'!$S$194&lt;=GRID_TO)*('Dvd Calendar'!$S$194&gt;VAL_DATE)=0,"",'Dvd Calendar'!$S$194*1000000000+ISNUMBER('Dvd Calendar'!$S$195)*100000000+0*10000000+(N('Dvd Calendar'!$S$193)&gt;0)*(N('Dvd Calendar'!$S$193)&lt;=VAL_SERIAL)*1000000+17*1000+55))</f>
        <v/>
      </c>
      <c r="GH28" s="121">
        <f>IF(N('Dvd Calendar'!$T$194)=0,"",IF(('Dvd Calendar'!$T$194&gt;=GRID_FROM)*('Dvd Calendar'!$T$194&lt;=GRID_TO)*('Dvd Calendar'!$T$194&gt;VAL_DATE)=0,"",'Dvd Calendar'!$T$194*1000000000+ISNUMBER('Dvd Calendar'!$T$195)*100000000+0*10000000+(N('Dvd Calendar'!$T$193)&gt;0)*(N('Dvd Calendar'!$T$193)&lt;=VAL_SERIAL)*1000000+17*1000+56))</f>
        <v/>
      </c>
      <c r="GI28" s="121">
        <f>IF(N('Dvd Calendar'!$U$194)=0,"",IF(('Dvd Calendar'!$U$194&gt;=GRID_FROM)*('Dvd Calendar'!$U$194&lt;=GRID_TO)*('Dvd Calendar'!$U$194&gt;VAL_DATE)=0,"",'Dvd Calendar'!$U$194*1000000000+ISNUMBER('Dvd Calendar'!$U$195)*100000000+0*10000000+(N('Dvd Calendar'!$U$193)&gt;0)*(N('Dvd Calendar'!$U$193)&lt;=VAL_SERIAL)*1000000+17*1000+57))</f>
        <v/>
      </c>
      <c r="GJ28" s="121">
        <f>IF(N('Dvd Calendar'!$V$194)=0,"",IF(('Dvd Calendar'!$V$194&gt;=GRID_FROM)*('Dvd Calendar'!$V$194&lt;=GRID_TO)*('Dvd Calendar'!$V$194&gt;VAL_DATE)=0,"",'Dvd Calendar'!$V$194*1000000000+ISNUMBER('Dvd Calendar'!$V$195)*100000000+0*10000000+(N('Dvd Calendar'!$V$193)&gt;0)*(N('Dvd Calendar'!$V$193)&lt;=VAL_SERIAL)*1000000+17*1000+58))</f>
        <v/>
      </c>
      <c r="GK28" s="121">
        <f>IF(N('Dvd Calendar'!$W$194)=0,"",IF(('Dvd Calendar'!$W$194&gt;=GRID_FROM)*('Dvd Calendar'!$W$194&lt;=GRID_TO)*('Dvd Calendar'!$W$194&gt;VAL_DATE)=0,"",'Dvd Calendar'!$W$194*1000000000+ISNUMBER('Dvd Calendar'!$W$195)*100000000+0*10000000+(N('Dvd Calendar'!$W$193)&gt;0)*(N('Dvd Calendar'!$W$193)&lt;=VAL_SERIAL)*1000000+17*1000+59))</f>
        <v/>
      </c>
      <c r="GL28" s="121">
        <f>IF(N('Dvd Calendar'!$X$194)=0,"",IF(('Dvd Calendar'!$X$194&gt;=GRID_FROM)*('Dvd Calendar'!$X$194&lt;=GRID_TO)*('Dvd Calendar'!$X$194&gt;VAL_DATE)=0,"",'Dvd Calendar'!$X$194*1000000000+ISNUMBER('Dvd Calendar'!$X$195)*100000000+0*10000000+(N('Dvd Calendar'!$X$193)&gt;0)*(N('Dvd Calendar'!$X$193)&lt;=VAL_SERIAL)*1000000+17*1000+60))</f>
        <v/>
      </c>
      <c r="GM28" s="121">
        <f>IF(N('Dvd Calendar'!$Y$194)=0,"",IF(('Dvd Calendar'!$Y$194&gt;=GRID_FROM)*('Dvd Calendar'!$Y$194&lt;=GRID_TO)*('Dvd Calendar'!$Y$194&gt;VAL_DATE)=0,"",'Dvd Calendar'!$Y$194*1000000000+ISNUMBER('Dvd Calendar'!$Y$195)*100000000+0*10000000+(N('Dvd Calendar'!$Y$193)&gt;0)*(N('Dvd Calendar'!$Y$193)&lt;=VAL_SERIAL)*1000000+17*1000+61))</f>
        <v/>
      </c>
      <c r="GN28" s="121">
        <f>IF(N('Dvd Calendar'!$Z$194)=0,"",IF(('Dvd Calendar'!$Z$194&gt;=GRID_FROM)*('Dvd Calendar'!$Z$194&lt;=GRID_TO)*('Dvd Calendar'!$Z$194&gt;VAL_DATE)=0,"",'Dvd Calendar'!$Z$194*1000000000+ISNUMBER('Dvd Calendar'!$Z$195)*100000000+0*10000000+(N('Dvd Calendar'!$Z$193)&gt;0)*(N('Dvd Calendar'!$Z$193)&lt;=VAL_SERIAL)*1000000+17*1000+62))</f>
        <v/>
      </c>
      <c r="GO28" s="121">
        <f>IF(N('Dvd Calendar'!$AA$194)=0,"",IF(('Dvd Calendar'!$AA$194&gt;=GRID_FROM)*('Dvd Calendar'!$AA$194&lt;=GRID_TO)*('Dvd Calendar'!$AA$194&gt;VAL_DATE)=0,"",'Dvd Calendar'!$AA$194*1000000000+ISNUMBER('Dvd Calendar'!$AA$195)*100000000+0*10000000+(N('Dvd Calendar'!$AA$193)&gt;0)*(N('Dvd Calendar'!$AA$193)&lt;=VAL_SERIAL)*1000000+17*1000+63))</f>
        <v/>
      </c>
      <c r="GP28" s="121">
        <f>IF(N('Dvd Calendar'!$AB$194)=0,"",IF(('Dvd Calendar'!$AB$194&gt;=GRID_FROM)*('Dvd Calendar'!$AB$194&lt;=GRID_TO)*('Dvd Calendar'!$AB$194&gt;VAL_DATE)=0,"",'Dvd Calendar'!$AB$194*1000000000+ISNUMBER('Dvd Calendar'!$AB$195)*100000000+0*10000000+(N('Dvd Calendar'!$AB$193)&gt;0)*(N('Dvd Calendar'!$AB$193)&lt;=VAL_SERIAL)*1000000+17*1000+64))</f>
        <v/>
      </c>
      <c r="GQ28" s="121">
        <f>IF(N('Dvd Calendar'!$AC$194)=0,"",IF(('Dvd Calendar'!$AC$194&gt;=GRID_FROM)*('Dvd Calendar'!$AC$194&lt;=GRID_TO)*('Dvd Calendar'!$AC$194&gt;VAL_DATE)=0,"",'Dvd Calendar'!$AC$194*1000000000+ISNUMBER('Dvd Calendar'!$AC$195)*100000000+0*10000000+(N('Dvd Calendar'!$AC$193)&gt;0)*(N('Dvd Calendar'!$AC$193)&lt;=VAL_SERIAL)*1000000+17*1000+65))</f>
        <v/>
      </c>
    </row>
    <row r="29">
      <c r="B29" s="2">
        <f>IF(HSI!$C$24="","",HSI!$C$24)</f>
        <v/>
      </c>
      <c r="C29" s="161">
        <f>IF(EE29="","",IF(ISNUMBER('Dvd Calendar'!$E$201)=FALSE,"",IF((('Dvd Calendar'!$E$203=TYPE1)*(TYPE1&lt;&gt;"")+('Dvd Calendar'!$E$203=TYPE2)*(TYPE2&lt;&gt;"")+('Dvd Calendar'!$E$203=TYPE3)*(TYPE3&lt;&gt;"")+('Dvd Calendar'!$E$203=TYPE4)*(TYPE4&lt;&gt;"")+('Dvd Calendar'!$E$203=SPECIAL_LBL)*(INC_SPECIALS="Y"))=0,"",'Dvd Calendar'!$E$201)))</f>
        <v/>
      </c>
      <c r="D29" s="161">
        <f>IF(EF29="","",IF(ISNUMBER('Dvd Calendar'!$F$201)=FALSE,"",IF((('Dvd Calendar'!$F$203=TYPE1)*(TYPE1&lt;&gt;"")+('Dvd Calendar'!$F$203=TYPE2)*(TYPE2&lt;&gt;"")+('Dvd Calendar'!$F$203=TYPE3)*(TYPE3&lt;&gt;"")+('Dvd Calendar'!$F$203=TYPE4)*(TYPE4&lt;&gt;"")+('Dvd Calendar'!$F$203=SPECIAL_LBL)*(INC_SPECIALS="Y"))=0,"",'Dvd Calendar'!$F$201)))</f>
        <v/>
      </c>
      <c r="E29" s="161">
        <f>IF(EG29="","",IF(ISNUMBER('Dvd Calendar'!$G$201)=FALSE,"",IF((('Dvd Calendar'!$G$203=TYPE1)*(TYPE1&lt;&gt;"")+('Dvd Calendar'!$G$203=TYPE2)*(TYPE2&lt;&gt;"")+('Dvd Calendar'!$G$203=TYPE3)*(TYPE3&lt;&gt;"")+('Dvd Calendar'!$G$203=TYPE4)*(TYPE4&lt;&gt;"")+('Dvd Calendar'!$G$203=SPECIAL_LBL)*(INC_SPECIALS="Y"))=0,"",'Dvd Calendar'!$G$201)))</f>
        <v/>
      </c>
      <c r="F29" s="161">
        <f>IF(EH29="","",IF(ISNUMBER('Dvd Calendar'!$H$201)=FALSE,"",IF((('Dvd Calendar'!$H$203=TYPE1)*(TYPE1&lt;&gt;"")+('Dvd Calendar'!$H$203=TYPE2)*(TYPE2&lt;&gt;"")+('Dvd Calendar'!$H$203=TYPE3)*(TYPE3&lt;&gt;"")+('Dvd Calendar'!$H$203=TYPE4)*(TYPE4&lt;&gt;"")+('Dvd Calendar'!$H$203=SPECIAL_LBL)*(INC_SPECIALS="Y"))=0,"",'Dvd Calendar'!$H$201)))</f>
        <v/>
      </c>
      <c r="G29" s="161">
        <f>IF(EI29="","",IF(ISNUMBER('Dvd Calendar'!$I$201)=FALSE,"",IF((('Dvd Calendar'!$I$203=TYPE1)*(TYPE1&lt;&gt;"")+('Dvd Calendar'!$I$203=TYPE2)*(TYPE2&lt;&gt;"")+('Dvd Calendar'!$I$203=TYPE3)*(TYPE3&lt;&gt;"")+('Dvd Calendar'!$I$203=TYPE4)*(TYPE4&lt;&gt;"")+('Dvd Calendar'!$I$203=SPECIAL_LBL)*(INC_SPECIALS="Y"))=0,"",'Dvd Calendar'!$I$201)))</f>
        <v/>
      </c>
      <c r="H29" s="161">
        <f>IF(EJ29="","",IF(ISNUMBER('Dvd Calendar'!$J$201)=FALSE,"",IF((('Dvd Calendar'!$J$203=TYPE1)*(TYPE1&lt;&gt;"")+('Dvd Calendar'!$J$203=TYPE2)*(TYPE2&lt;&gt;"")+('Dvd Calendar'!$J$203=TYPE3)*(TYPE3&lt;&gt;"")+('Dvd Calendar'!$J$203=TYPE4)*(TYPE4&lt;&gt;"")+('Dvd Calendar'!$J$203=SPECIAL_LBL)*(INC_SPECIALS="Y"))=0,"",'Dvd Calendar'!$J$201)))</f>
        <v/>
      </c>
      <c r="I29" s="161">
        <f>IF(EK29="","",IF(ISNUMBER('Dvd Calendar'!$K$201)=FALSE,"",IF((('Dvd Calendar'!$K$203=TYPE1)*(TYPE1&lt;&gt;"")+('Dvd Calendar'!$K$203=TYPE2)*(TYPE2&lt;&gt;"")+('Dvd Calendar'!$K$203=TYPE3)*(TYPE3&lt;&gt;"")+('Dvd Calendar'!$K$203=TYPE4)*(TYPE4&lt;&gt;"")+('Dvd Calendar'!$K$203=SPECIAL_LBL)*(INC_SPECIALS="Y"))=0,"",'Dvd Calendar'!$K$201)))</f>
        <v/>
      </c>
      <c r="J29" s="161">
        <f>IF(EL29="","",IF(ISNUMBER('Dvd Calendar'!$L$201)=FALSE,"",IF((('Dvd Calendar'!$L$203=TYPE1)*(TYPE1&lt;&gt;"")+('Dvd Calendar'!$L$203=TYPE2)*(TYPE2&lt;&gt;"")+('Dvd Calendar'!$L$203=TYPE3)*(TYPE3&lt;&gt;"")+('Dvd Calendar'!$L$203=TYPE4)*(TYPE4&lt;&gt;"")+('Dvd Calendar'!$L$203=SPECIAL_LBL)*(INC_SPECIALS="Y"))=0,"",'Dvd Calendar'!$L$201)))</f>
        <v/>
      </c>
      <c r="K29" s="161">
        <f>IF(EM29="","",IF(ISNUMBER('Dvd Calendar'!$M$201)=FALSE,"",IF((('Dvd Calendar'!$M$203=TYPE1)*(TYPE1&lt;&gt;"")+('Dvd Calendar'!$M$203=TYPE2)*(TYPE2&lt;&gt;"")+('Dvd Calendar'!$M$203=TYPE3)*(TYPE3&lt;&gt;"")+('Dvd Calendar'!$M$203=TYPE4)*(TYPE4&lt;&gt;"")+('Dvd Calendar'!$M$203=SPECIAL_LBL)*(INC_SPECIALS="Y"))=0,"",'Dvd Calendar'!$M$201)))</f>
        <v/>
      </c>
      <c r="L29" s="161">
        <f>IF(EN29="","",IF(ISNUMBER('Dvd Calendar'!$N$201)=FALSE,"",IF((('Dvd Calendar'!$N$203=TYPE1)*(TYPE1&lt;&gt;"")+('Dvd Calendar'!$N$203=TYPE2)*(TYPE2&lt;&gt;"")+('Dvd Calendar'!$N$203=TYPE3)*(TYPE3&lt;&gt;"")+('Dvd Calendar'!$N$203=TYPE4)*(TYPE4&lt;&gt;"")+('Dvd Calendar'!$N$203=SPECIAL_LBL)*(INC_SPECIALS="Y"))=0,"",'Dvd Calendar'!$N$201)))</f>
        <v/>
      </c>
      <c r="M29" s="161">
        <f>IF(EO29="","",IF(ISNUMBER('Dvd Calendar'!$O$201)=FALSE,"",IF((('Dvd Calendar'!$O$203=TYPE1)*(TYPE1&lt;&gt;"")+('Dvd Calendar'!$O$203=TYPE2)*(TYPE2&lt;&gt;"")+('Dvd Calendar'!$O$203=TYPE3)*(TYPE3&lt;&gt;"")+('Dvd Calendar'!$O$203=TYPE4)*(TYPE4&lt;&gt;"")+('Dvd Calendar'!$O$203=SPECIAL_LBL)*(INC_SPECIALS="Y"))=0,"",'Dvd Calendar'!$O$201)))</f>
        <v/>
      </c>
      <c r="N29" s="161">
        <f>IF(EP29="","",IF(ISNUMBER('Dvd Calendar'!$P$201)=FALSE,"",IF((('Dvd Calendar'!$P$203=TYPE1)*(TYPE1&lt;&gt;"")+('Dvd Calendar'!$P$203=TYPE2)*(TYPE2&lt;&gt;"")+('Dvd Calendar'!$P$203=TYPE3)*(TYPE3&lt;&gt;"")+('Dvd Calendar'!$P$203=TYPE4)*(TYPE4&lt;&gt;"")+('Dvd Calendar'!$P$203=SPECIAL_LBL)*(INC_SPECIALS="Y"))=0,"",'Dvd Calendar'!$P$201)))</f>
        <v/>
      </c>
      <c r="O29" s="161">
        <f>IF(EQ29="","",IF(ISNUMBER('Dvd Calendar'!$Q$201)=FALSE,"",IF((('Dvd Calendar'!$Q$203=TYPE1)*(TYPE1&lt;&gt;"")+('Dvd Calendar'!$Q$203=TYPE2)*(TYPE2&lt;&gt;"")+('Dvd Calendar'!$Q$203=TYPE3)*(TYPE3&lt;&gt;"")+('Dvd Calendar'!$Q$203=TYPE4)*(TYPE4&lt;&gt;"")+('Dvd Calendar'!$Q$203=SPECIAL_LBL)*(INC_SPECIALS="Y"))=0,"",'Dvd Calendar'!$Q$201)))</f>
        <v/>
      </c>
      <c r="P29" s="161">
        <f>IF(ER29="","",IF(ISNUMBER('Dvd Calendar'!$R$201)=FALSE,"",IF((('Dvd Calendar'!$R$203=TYPE1)*(TYPE1&lt;&gt;"")+('Dvd Calendar'!$R$203=TYPE2)*(TYPE2&lt;&gt;"")+('Dvd Calendar'!$R$203=TYPE3)*(TYPE3&lt;&gt;"")+('Dvd Calendar'!$R$203=TYPE4)*(TYPE4&lt;&gt;"")+('Dvd Calendar'!$R$203=SPECIAL_LBL)*(INC_SPECIALS="Y"))=0,"",'Dvd Calendar'!$R$201)))</f>
        <v/>
      </c>
      <c r="Q29" s="161">
        <f>IF(ES29="","",IF(ISNUMBER('Dvd Calendar'!$S$201)=FALSE,"",IF((('Dvd Calendar'!$S$203=TYPE1)*(TYPE1&lt;&gt;"")+('Dvd Calendar'!$S$203=TYPE2)*(TYPE2&lt;&gt;"")+('Dvd Calendar'!$S$203=TYPE3)*(TYPE3&lt;&gt;"")+('Dvd Calendar'!$S$203=TYPE4)*(TYPE4&lt;&gt;"")+('Dvd Calendar'!$S$203=SPECIAL_LBL)*(INC_SPECIALS="Y"))=0,"",'Dvd Calendar'!$S$201)))</f>
        <v/>
      </c>
      <c r="R29" s="161">
        <f>IF(ET29="","",IF(ISNUMBER('Dvd Calendar'!$T$201)=FALSE,"",IF((('Dvd Calendar'!$T$203=TYPE1)*(TYPE1&lt;&gt;"")+('Dvd Calendar'!$T$203=TYPE2)*(TYPE2&lt;&gt;"")+('Dvd Calendar'!$T$203=TYPE3)*(TYPE3&lt;&gt;"")+('Dvd Calendar'!$T$203=TYPE4)*(TYPE4&lt;&gt;"")+('Dvd Calendar'!$T$203=SPECIAL_LBL)*(INC_SPECIALS="Y"))=0,"",'Dvd Calendar'!$T$201)))</f>
        <v/>
      </c>
      <c r="S29" s="161">
        <f>IF(EU29="","",IF(ISNUMBER('Dvd Calendar'!$U$201)=FALSE,"",IF((('Dvd Calendar'!$U$203=TYPE1)*(TYPE1&lt;&gt;"")+('Dvd Calendar'!$U$203=TYPE2)*(TYPE2&lt;&gt;"")+('Dvd Calendar'!$U$203=TYPE3)*(TYPE3&lt;&gt;"")+('Dvd Calendar'!$U$203=TYPE4)*(TYPE4&lt;&gt;"")+('Dvd Calendar'!$U$203=SPECIAL_LBL)*(INC_SPECIALS="Y"))=0,"",'Dvd Calendar'!$U$201)))</f>
        <v/>
      </c>
      <c r="T29" s="161">
        <f>IF(EV29="","",IF(ISNUMBER('Dvd Calendar'!$V$201)=FALSE,"",IF((('Dvd Calendar'!$V$203=TYPE1)*(TYPE1&lt;&gt;"")+('Dvd Calendar'!$V$203=TYPE2)*(TYPE2&lt;&gt;"")+('Dvd Calendar'!$V$203=TYPE3)*(TYPE3&lt;&gt;"")+('Dvd Calendar'!$V$203=TYPE4)*(TYPE4&lt;&gt;"")+('Dvd Calendar'!$V$203=SPECIAL_LBL)*(INC_SPECIALS="Y"))=0,"",'Dvd Calendar'!$V$201)))</f>
        <v/>
      </c>
      <c r="U29" s="161">
        <f>IF(EW29="","",IF(ISNUMBER('Dvd Calendar'!$W$201)=FALSE,"",IF((('Dvd Calendar'!$W$203=TYPE1)*(TYPE1&lt;&gt;"")+('Dvd Calendar'!$W$203=TYPE2)*(TYPE2&lt;&gt;"")+('Dvd Calendar'!$W$203=TYPE3)*(TYPE3&lt;&gt;"")+('Dvd Calendar'!$W$203=TYPE4)*(TYPE4&lt;&gt;"")+('Dvd Calendar'!$W$203=SPECIAL_LBL)*(INC_SPECIALS="Y"))=0,"",'Dvd Calendar'!$W$201)))</f>
        <v/>
      </c>
      <c r="V29" s="161">
        <f>IF(EX29="","",IF(ISNUMBER('Dvd Calendar'!$X$201)=FALSE,"",IF((('Dvd Calendar'!$X$203=TYPE1)*(TYPE1&lt;&gt;"")+('Dvd Calendar'!$X$203=TYPE2)*(TYPE2&lt;&gt;"")+('Dvd Calendar'!$X$203=TYPE3)*(TYPE3&lt;&gt;"")+('Dvd Calendar'!$X$203=TYPE4)*(TYPE4&lt;&gt;"")+('Dvd Calendar'!$X$203=SPECIAL_LBL)*(INC_SPECIALS="Y"))=0,"",'Dvd Calendar'!$X$201)))</f>
        <v/>
      </c>
      <c r="W29" s="161">
        <f>IF(EY29="","",IF(ISNUMBER('Dvd Calendar'!$Y$201)=FALSE,"",IF((('Dvd Calendar'!$Y$203=TYPE1)*(TYPE1&lt;&gt;"")+('Dvd Calendar'!$Y$203=TYPE2)*(TYPE2&lt;&gt;"")+('Dvd Calendar'!$Y$203=TYPE3)*(TYPE3&lt;&gt;"")+('Dvd Calendar'!$Y$203=TYPE4)*(TYPE4&lt;&gt;"")+('Dvd Calendar'!$Y$203=SPECIAL_LBL)*(INC_SPECIALS="Y"))=0,"",'Dvd Calendar'!$Y$201)))</f>
        <v/>
      </c>
      <c r="X29" s="161">
        <f>IF(EZ29="","",IF(ISNUMBER('Dvd Calendar'!$Z$201)=FALSE,"",IF((('Dvd Calendar'!$Z$203=TYPE1)*(TYPE1&lt;&gt;"")+('Dvd Calendar'!$Z$203=TYPE2)*(TYPE2&lt;&gt;"")+('Dvd Calendar'!$Z$203=TYPE3)*(TYPE3&lt;&gt;"")+('Dvd Calendar'!$Z$203=TYPE4)*(TYPE4&lt;&gt;"")+('Dvd Calendar'!$Z$203=SPECIAL_LBL)*(INC_SPECIALS="Y"))=0,"",'Dvd Calendar'!$Z$201)))</f>
        <v/>
      </c>
      <c r="Y29" s="161">
        <f>IF(FA29="","",IF(ISNUMBER('Dvd Calendar'!$AA$201)=FALSE,"",IF((('Dvd Calendar'!$AA$203=TYPE1)*(TYPE1&lt;&gt;"")+('Dvd Calendar'!$AA$203=TYPE2)*(TYPE2&lt;&gt;"")+('Dvd Calendar'!$AA$203=TYPE3)*(TYPE3&lt;&gt;"")+('Dvd Calendar'!$AA$203=TYPE4)*(TYPE4&lt;&gt;"")+('Dvd Calendar'!$AA$203=SPECIAL_LBL)*(INC_SPECIALS="Y"))=0,"",'Dvd Calendar'!$AA$201)))</f>
        <v/>
      </c>
      <c r="Z29" s="161">
        <f>IF(FB29="","",IF(ISNUMBER('Dvd Calendar'!$AB$201)=FALSE,"",IF((('Dvd Calendar'!$AB$203=TYPE1)*(TYPE1&lt;&gt;"")+('Dvd Calendar'!$AB$203=TYPE2)*(TYPE2&lt;&gt;"")+('Dvd Calendar'!$AB$203=TYPE3)*(TYPE3&lt;&gt;"")+('Dvd Calendar'!$AB$203=TYPE4)*(TYPE4&lt;&gt;"")+('Dvd Calendar'!$AB$203=SPECIAL_LBL)*(INC_SPECIALS="Y"))=0,"",'Dvd Calendar'!$AB$201)))</f>
        <v/>
      </c>
      <c r="AA29" s="161">
        <f>IF(FC29="","",IF(ISNUMBER('Dvd Calendar'!$AC$201)=FALSE,"",IF((('Dvd Calendar'!$AC$203=TYPE1)*(TYPE1&lt;&gt;"")+('Dvd Calendar'!$AC$203=TYPE2)*(TYPE2&lt;&gt;"")+('Dvd Calendar'!$AC$203=TYPE3)*(TYPE3&lt;&gt;"")+('Dvd Calendar'!$AC$203=TYPE4)*(TYPE4&lt;&gt;"")+('Dvd Calendar'!$AC$203=SPECIAL_LBL)*(INC_SPECIALS="Y"))=0,"",'Dvd Calendar'!$AC$201)))</f>
        <v/>
      </c>
      <c r="AB29" s="161">
        <f>IF(FD29="","",IF(ISNUMBER('Dvd Calendar'!$AD$201)=FALSE,"",IF((('Dvd Calendar'!$AD$203=TYPE1)*(TYPE1&lt;&gt;"")+('Dvd Calendar'!$AD$203=TYPE2)*(TYPE2&lt;&gt;"")+('Dvd Calendar'!$AD$203=TYPE3)*(TYPE3&lt;&gt;"")+('Dvd Calendar'!$AD$203=TYPE4)*(TYPE4&lt;&gt;"")+('Dvd Calendar'!$AD$203=SPECIAL_LBL)*(INC_SPECIALS="Y"))=0,"",'Dvd Calendar'!$AD$201)))</f>
        <v/>
      </c>
      <c r="AC29" s="161">
        <f>IF(FE29="","",IF(ISNUMBER('Dvd Calendar'!$AE$201)=FALSE,"",IF((('Dvd Calendar'!$AE$203=TYPE1)*(TYPE1&lt;&gt;"")+('Dvd Calendar'!$AE$203=TYPE2)*(TYPE2&lt;&gt;"")+('Dvd Calendar'!$AE$203=TYPE3)*(TYPE3&lt;&gt;"")+('Dvd Calendar'!$AE$203=TYPE4)*(TYPE4&lt;&gt;"")+('Dvd Calendar'!$AE$203=SPECIAL_LBL)*(INC_SPECIALS="Y"))=0,"",'Dvd Calendar'!$AE$201)))</f>
        <v/>
      </c>
      <c r="AD29" s="161">
        <f>IF(FF29="","",IF(ISNUMBER('Dvd Calendar'!$AF$201)=FALSE,"",IF((('Dvd Calendar'!$AF$203=TYPE1)*(TYPE1&lt;&gt;"")+('Dvd Calendar'!$AF$203=TYPE2)*(TYPE2&lt;&gt;"")+('Dvd Calendar'!$AF$203=TYPE3)*(TYPE3&lt;&gt;"")+('Dvd Calendar'!$AF$203=TYPE4)*(TYPE4&lt;&gt;"")+('Dvd Calendar'!$AF$203=SPECIAL_LBL)*(INC_SPECIALS="Y"))=0,"",'Dvd Calendar'!$AF$201)))</f>
        <v/>
      </c>
      <c r="AE29" s="161">
        <f>IF(FG29="","",IF(ISNUMBER('Dvd Calendar'!$AG$201)=FALSE,"",IF((('Dvd Calendar'!$AG$203=TYPE1)*(TYPE1&lt;&gt;"")+('Dvd Calendar'!$AG$203=TYPE2)*(TYPE2&lt;&gt;"")+('Dvd Calendar'!$AG$203=TYPE3)*(TYPE3&lt;&gt;"")+('Dvd Calendar'!$AG$203=TYPE4)*(TYPE4&lt;&gt;"")+('Dvd Calendar'!$AG$203=SPECIAL_LBL)*(INC_SPECIALS="Y"))=0,"",'Dvd Calendar'!$AG$201)))</f>
        <v/>
      </c>
      <c r="AF29" s="161">
        <f>IF(FH29="","",IF(ISNUMBER('Dvd Calendar'!$AH$201)=FALSE,"",IF((('Dvd Calendar'!$AH$203=TYPE1)*(TYPE1&lt;&gt;"")+('Dvd Calendar'!$AH$203=TYPE2)*(TYPE2&lt;&gt;"")+('Dvd Calendar'!$AH$203=TYPE3)*(TYPE3&lt;&gt;"")+('Dvd Calendar'!$AH$203=TYPE4)*(TYPE4&lt;&gt;"")+('Dvd Calendar'!$AH$203=SPECIAL_LBL)*(INC_SPECIALS="Y"))=0,"",'Dvd Calendar'!$AH$201)))</f>
        <v/>
      </c>
      <c r="AG29" s="161">
        <f>IF(FI29="","",IF(ISNUMBER('Dvd Calendar'!$AI$201)=FALSE,"",IF((('Dvd Calendar'!$AI$203=TYPE1)*(TYPE1&lt;&gt;"")+('Dvd Calendar'!$AI$203=TYPE2)*(TYPE2&lt;&gt;"")+('Dvd Calendar'!$AI$203=TYPE3)*(TYPE3&lt;&gt;"")+('Dvd Calendar'!$AI$203=TYPE4)*(TYPE4&lt;&gt;"")+('Dvd Calendar'!$AI$203=SPECIAL_LBL)*(INC_SPECIALS="Y"))=0,"",'Dvd Calendar'!$AI$201)))</f>
        <v/>
      </c>
      <c r="AH29" s="161">
        <f>IF(FJ29="","",IF(ISNUMBER('Dvd Calendar'!$AJ$201)=FALSE,"",IF((('Dvd Calendar'!$AJ$203=TYPE1)*(TYPE1&lt;&gt;"")+('Dvd Calendar'!$AJ$203=TYPE2)*(TYPE2&lt;&gt;"")+('Dvd Calendar'!$AJ$203=TYPE3)*(TYPE3&lt;&gt;"")+('Dvd Calendar'!$AJ$203=TYPE4)*(TYPE4&lt;&gt;"")+('Dvd Calendar'!$AJ$203=SPECIAL_LBL)*(INC_SPECIALS="Y"))=0,"",'Dvd Calendar'!$AJ$201)))</f>
        <v/>
      </c>
      <c r="AI29" s="161">
        <f>IF(FK29="","",IF(ISNUMBER('Dvd Calendar'!$AK$201)=FALSE,"",IF((('Dvd Calendar'!$AK$203=TYPE1)*(TYPE1&lt;&gt;"")+('Dvd Calendar'!$AK$203=TYPE2)*(TYPE2&lt;&gt;"")+('Dvd Calendar'!$AK$203=TYPE3)*(TYPE3&lt;&gt;"")+('Dvd Calendar'!$AK$203=TYPE4)*(TYPE4&lt;&gt;"")+('Dvd Calendar'!$AK$203=SPECIAL_LBL)*(INC_SPECIALS="Y"))=0,"",'Dvd Calendar'!$AK$201)))</f>
        <v/>
      </c>
      <c r="AJ29" s="161">
        <f>IF(FL29="","",IF(ISNUMBER('Dvd Calendar'!$AL$201)=FALSE,"",IF((('Dvd Calendar'!$AL$203=TYPE1)*(TYPE1&lt;&gt;"")+('Dvd Calendar'!$AL$203=TYPE2)*(TYPE2&lt;&gt;"")+('Dvd Calendar'!$AL$203=TYPE3)*(TYPE3&lt;&gt;"")+('Dvd Calendar'!$AL$203=TYPE4)*(TYPE4&lt;&gt;"")+('Dvd Calendar'!$AL$203=SPECIAL_LBL)*(INC_SPECIALS="Y"))=0,"",'Dvd Calendar'!$AL$201)))</f>
        <v/>
      </c>
      <c r="AK29" s="161">
        <f>IF(FM29="","",IF(ISNUMBER('Dvd Calendar'!$AM$201)=FALSE,"",IF((('Dvd Calendar'!$AM$203=TYPE1)*(TYPE1&lt;&gt;"")+('Dvd Calendar'!$AM$203=TYPE2)*(TYPE2&lt;&gt;"")+('Dvd Calendar'!$AM$203=TYPE3)*(TYPE3&lt;&gt;"")+('Dvd Calendar'!$AM$203=TYPE4)*(TYPE4&lt;&gt;"")+('Dvd Calendar'!$AM$203=SPECIAL_LBL)*(INC_SPECIALS="Y"))=0,"",'Dvd Calendar'!$AM$201)))</f>
        <v/>
      </c>
      <c r="AL29" s="161">
        <f>IF(FN29="","",IF(ISNUMBER('Dvd Calendar'!$AN$201)=FALSE,"",IF((('Dvd Calendar'!$AN$203=TYPE1)*(TYPE1&lt;&gt;"")+('Dvd Calendar'!$AN$203=TYPE2)*(TYPE2&lt;&gt;"")+('Dvd Calendar'!$AN$203=TYPE3)*(TYPE3&lt;&gt;"")+('Dvd Calendar'!$AN$203=TYPE4)*(TYPE4&lt;&gt;"")+('Dvd Calendar'!$AN$203=SPECIAL_LBL)*(INC_SPECIALS="Y"))=0,"",'Dvd Calendar'!$AN$201)))</f>
        <v/>
      </c>
      <c r="AM29" s="161">
        <f>IF(FO29="","",IF(ISNUMBER('Dvd Calendar'!$AO$201)=FALSE,"",IF((('Dvd Calendar'!$AO$203=TYPE1)*(TYPE1&lt;&gt;"")+('Dvd Calendar'!$AO$203=TYPE2)*(TYPE2&lt;&gt;"")+('Dvd Calendar'!$AO$203=TYPE3)*(TYPE3&lt;&gt;"")+('Dvd Calendar'!$AO$203=TYPE4)*(TYPE4&lt;&gt;"")+('Dvd Calendar'!$AO$203=SPECIAL_LBL)*(INC_SPECIALS="Y"))=0,"",'Dvd Calendar'!$AO$201)))</f>
        <v/>
      </c>
      <c r="AN29" s="161">
        <f>IF(FP29="","",IF(ISNUMBER('Dvd Calendar'!$AP$201)=FALSE,"",IF((('Dvd Calendar'!$AP$203=TYPE1)*(TYPE1&lt;&gt;"")+('Dvd Calendar'!$AP$203=TYPE2)*(TYPE2&lt;&gt;"")+('Dvd Calendar'!$AP$203=TYPE3)*(TYPE3&lt;&gt;"")+('Dvd Calendar'!$AP$203=TYPE4)*(TYPE4&lt;&gt;"")+('Dvd Calendar'!$AP$203=SPECIAL_LBL)*(INC_SPECIALS="Y"))=0,"",'Dvd Calendar'!$AP$201)))</f>
        <v/>
      </c>
      <c r="AO29" s="161">
        <f>IF(FQ29="","",IF(ISNUMBER('Dvd Calendar'!$AQ$201)=FALSE,"",IF((('Dvd Calendar'!$AQ$203=TYPE1)*(TYPE1&lt;&gt;"")+('Dvd Calendar'!$AQ$203=TYPE2)*(TYPE2&lt;&gt;"")+('Dvd Calendar'!$AQ$203=TYPE3)*(TYPE3&lt;&gt;"")+('Dvd Calendar'!$AQ$203=TYPE4)*(TYPE4&lt;&gt;"")+('Dvd Calendar'!$AQ$203=SPECIAL_LBL)*(INC_SPECIALS="Y"))=0,"",'Dvd Calendar'!$AQ$201)))</f>
        <v/>
      </c>
      <c r="AP29" s="161">
        <f>IF(FR29="","",IF(ISNUMBER('Dvd Calendar'!$AR$201)=FALSE,"",IF((('Dvd Calendar'!$AR$203=TYPE1)*(TYPE1&lt;&gt;"")+('Dvd Calendar'!$AR$203=TYPE2)*(TYPE2&lt;&gt;"")+('Dvd Calendar'!$AR$203=TYPE3)*(TYPE3&lt;&gt;"")+('Dvd Calendar'!$AR$203=TYPE4)*(TYPE4&lt;&gt;"")+('Dvd Calendar'!$AR$203=SPECIAL_LBL)*(INC_SPECIALS="Y"))=0,"",'Dvd Calendar'!$AR$201)))</f>
        <v/>
      </c>
      <c r="AQ29" s="161">
        <f>IF(FS29="","",IF(ISNUMBER('Dvd Calendar'!$E$206)=FALSE,"",'Dvd Calendar'!$E$206))</f>
        <v/>
      </c>
      <c r="AR29" s="161">
        <f>IF(FT29="","",IF(ISNUMBER('Dvd Calendar'!$F$206)=FALSE,"",'Dvd Calendar'!$F$206))</f>
        <v/>
      </c>
      <c r="AS29" s="161">
        <f>IF(FU29="","",IF(ISNUMBER('Dvd Calendar'!$G$206)=FALSE,"",'Dvd Calendar'!$G$206))</f>
        <v/>
      </c>
      <c r="AT29" s="161">
        <f>IF(FV29="","",IF(ISNUMBER('Dvd Calendar'!$H$206)=FALSE,"",'Dvd Calendar'!$H$206))</f>
        <v/>
      </c>
      <c r="AU29" s="161">
        <f>IF(FW29="","",IF(ISNUMBER('Dvd Calendar'!$I$206)=FALSE,"",'Dvd Calendar'!$I$206))</f>
        <v/>
      </c>
      <c r="AV29" s="161">
        <f>IF(FX29="","",IF(ISNUMBER('Dvd Calendar'!$J$206)=FALSE,"",'Dvd Calendar'!$J$206))</f>
        <v/>
      </c>
      <c r="AW29" s="161">
        <f>IF(FY29="","",IF(ISNUMBER('Dvd Calendar'!$K$206)=FALSE,"",'Dvd Calendar'!$K$206))</f>
        <v/>
      </c>
      <c r="AX29" s="161">
        <f>IF(FZ29="","",IF(ISNUMBER('Dvd Calendar'!$L$206)=FALSE,"",'Dvd Calendar'!$L$206))</f>
        <v/>
      </c>
      <c r="AY29" s="161">
        <f>IF(GA29="","",IF(ISNUMBER('Dvd Calendar'!$M$206)=FALSE,"",'Dvd Calendar'!$M$206))</f>
        <v/>
      </c>
      <c r="AZ29" s="161">
        <f>IF(GB29="","",IF(ISNUMBER('Dvd Calendar'!$N$206)=FALSE,"",'Dvd Calendar'!$N$206))</f>
        <v/>
      </c>
      <c r="BA29" s="161">
        <f>IF(GC29="","",IF(ISNUMBER('Dvd Calendar'!$O$206)=FALSE,"",'Dvd Calendar'!$O$206))</f>
        <v/>
      </c>
      <c r="BB29" s="161">
        <f>IF(GD29="","",IF(ISNUMBER('Dvd Calendar'!$P$206)=FALSE,"",'Dvd Calendar'!$P$206))</f>
        <v/>
      </c>
      <c r="BC29" s="161">
        <f>IF(GE29="","",IF(ISNUMBER('Dvd Calendar'!$Q$206)=FALSE,"",'Dvd Calendar'!$Q$206))</f>
        <v/>
      </c>
      <c r="BD29" s="161">
        <f>IF(GF29="","",IF(ISNUMBER('Dvd Calendar'!$R$206)=FALSE,"",'Dvd Calendar'!$R$206))</f>
        <v/>
      </c>
      <c r="BE29" s="161">
        <f>IF(GG29="","",IF(ISNUMBER('Dvd Calendar'!$S$206)=FALSE,"",'Dvd Calendar'!$S$206))</f>
        <v/>
      </c>
      <c r="BF29" s="161">
        <f>IF(GH29="","",IF(ISNUMBER('Dvd Calendar'!$T$206)=FALSE,"",'Dvd Calendar'!$T$206))</f>
        <v/>
      </c>
      <c r="BG29" s="161">
        <f>IF(GI29="","",IF(ISNUMBER('Dvd Calendar'!$U$206)=FALSE,"",'Dvd Calendar'!$U$206))</f>
        <v/>
      </c>
      <c r="BH29" s="161">
        <f>IF(GJ29="","",IF(ISNUMBER('Dvd Calendar'!$V$206)=FALSE,"",'Dvd Calendar'!$V$206))</f>
        <v/>
      </c>
      <c r="BI29" s="161">
        <f>IF(GK29="","",IF(ISNUMBER('Dvd Calendar'!$W$206)=FALSE,"",'Dvd Calendar'!$W$206))</f>
        <v/>
      </c>
      <c r="BJ29" s="161">
        <f>IF(GL29="","",IF(ISNUMBER('Dvd Calendar'!$X$206)=FALSE,"",'Dvd Calendar'!$X$206))</f>
        <v/>
      </c>
      <c r="BK29" s="161">
        <f>IF(GM29="","",IF(ISNUMBER('Dvd Calendar'!$Y$206)=FALSE,"",'Dvd Calendar'!$Y$206))</f>
        <v/>
      </c>
      <c r="BL29" s="161">
        <f>IF(GN29="","",IF(ISNUMBER('Dvd Calendar'!$Z$206)=FALSE,"",'Dvd Calendar'!$Z$206))</f>
        <v/>
      </c>
      <c r="BM29" s="161">
        <f>IF(GO29="","",IF(ISNUMBER('Dvd Calendar'!$AA$206)=FALSE,"",'Dvd Calendar'!$AA$206))</f>
        <v/>
      </c>
      <c r="BN29" s="161">
        <f>IF(GP29="","",IF(ISNUMBER('Dvd Calendar'!$AB$206)=FALSE,"",'Dvd Calendar'!$AB$206))</f>
        <v/>
      </c>
      <c r="BO29" s="161">
        <f>IF(GQ29="","",IF(ISNUMBER('Dvd Calendar'!$AC$206)=FALSE,"",'Dvd Calendar'!$AC$206))</f>
        <v/>
      </c>
      <c r="BQ29" s="161">
        <f>IF(C29="","",IFERROR(C29*HSI!$B$24*HSI!$G$24/HSI!$B$3,""))</f>
        <v/>
      </c>
      <c r="BR29" s="161">
        <f>IF(D29="","",IFERROR(D29*HSI!$B$24*HSI!$G$24/HSI!$B$3,""))</f>
        <v/>
      </c>
      <c r="BS29" s="161">
        <f>IF(E29="","",IFERROR(E29*HSI!$B$24*HSI!$G$24/HSI!$B$3,""))</f>
        <v/>
      </c>
      <c r="BT29" s="161">
        <f>IF(F29="","",IFERROR(F29*HSI!$B$24*HSI!$G$24/HSI!$B$3,""))</f>
        <v/>
      </c>
      <c r="BU29" s="161">
        <f>IF(G29="","",IFERROR(G29*HSI!$B$24*HSI!$G$24/HSI!$B$3,""))</f>
        <v/>
      </c>
      <c r="BV29" s="161">
        <f>IF(H29="","",IFERROR(H29*HSI!$B$24*HSI!$G$24/HSI!$B$3,""))</f>
        <v/>
      </c>
      <c r="BW29" s="161">
        <f>IF(I29="","",IFERROR(I29*HSI!$B$24*HSI!$G$24/HSI!$B$3,""))</f>
        <v/>
      </c>
      <c r="BX29" s="161">
        <f>IF(J29="","",IFERROR(J29*HSI!$B$24*HSI!$G$24/HSI!$B$3,""))</f>
        <v/>
      </c>
      <c r="BY29" s="161">
        <f>IF(K29="","",IFERROR(K29*HSI!$B$24*HSI!$G$24/HSI!$B$3,""))</f>
        <v/>
      </c>
      <c r="BZ29" s="161">
        <f>IF(L29="","",IFERROR(L29*HSI!$B$24*HSI!$G$24/HSI!$B$3,""))</f>
        <v/>
      </c>
      <c r="CA29" s="161">
        <f>IF(M29="","",IFERROR(M29*HSI!$B$24*HSI!$G$24/HSI!$B$3,""))</f>
        <v/>
      </c>
      <c r="CB29" s="161">
        <f>IF(N29="","",IFERROR(N29*HSI!$B$24*HSI!$G$24/HSI!$B$3,""))</f>
        <v/>
      </c>
      <c r="CC29" s="161">
        <f>IF(O29="","",IFERROR(O29*HSI!$B$24*HSI!$G$24/HSI!$B$3,""))</f>
        <v/>
      </c>
      <c r="CD29" s="161">
        <f>IF(P29="","",IFERROR(P29*HSI!$B$24*HSI!$G$24/HSI!$B$3,""))</f>
        <v/>
      </c>
      <c r="CE29" s="161">
        <f>IF(Q29="","",IFERROR(Q29*HSI!$B$24*HSI!$G$24/HSI!$B$3,""))</f>
        <v/>
      </c>
      <c r="CF29" s="161">
        <f>IF(R29="","",IFERROR(R29*HSI!$B$24*HSI!$G$24/HSI!$B$3,""))</f>
        <v/>
      </c>
      <c r="CG29" s="161">
        <f>IF(S29="","",IFERROR(S29*HSI!$B$24*HSI!$G$24/HSI!$B$3,""))</f>
        <v/>
      </c>
      <c r="CH29" s="161">
        <f>IF(T29="","",IFERROR(T29*HSI!$B$24*HSI!$G$24/HSI!$B$3,""))</f>
        <v/>
      </c>
      <c r="CI29" s="161">
        <f>IF(U29="","",IFERROR(U29*HSI!$B$24*HSI!$G$24/HSI!$B$3,""))</f>
        <v/>
      </c>
      <c r="CJ29" s="161">
        <f>IF(V29="","",IFERROR(V29*HSI!$B$24*HSI!$G$24/HSI!$B$3,""))</f>
        <v/>
      </c>
      <c r="CK29" s="161">
        <f>IF(W29="","",IFERROR(W29*HSI!$B$24*HSI!$G$24/HSI!$B$3,""))</f>
        <v/>
      </c>
      <c r="CL29" s="161">
        <f>IF(X29="","",IFERROR(X29*HSI!$B$24*HSI!$G$24/HSI!$B$3,""))</f>
        <v/>
      </c>
      <c r="CM29" s="161">
        <f>IF(Y29="","",IFERROR(Y29*HSI!$B$24*HSI!$G$24/HSI!$B$3,""))</f>
        <v/>
      </c>
      <c r="CN29" s="161">
        <f>IF(Z29="","",IFERROR(Z29*HSI!$B$24*HSI!$G$24/HSI!$B$3,""))</f>
        <v/>
      </c>
      <c r="CO29" s="161">
        <f>IF(AA29="","",IFERROR(AA29*HSI!$B$24*HSI!$G$24/HSI!$B$3,""))</f>
        <v/>
      </c>
      <c r="CP29" s="161">
        <f>IF(AB29="","",IFERROR(AB29*HSI!$B$24*HSI!$G$24/HSI!$B$3,""))</f>
        <v/>
      </c>
      <c r="CQ29" s="161">
        <f>IF(AC29="","",IFERROR(AC29*HSI!$B$24*HSI!$G$24/HSI!$B$3,""))</f>
        <v/>
      </c>
      <c r="CR29" s="161">
        <f>IF(AD29="","",IFERROR(AD29*HSI!$B$24*HSI!$G$24/HSI!$B$3,""))</f>
        <v/>
      </c>
      <c r="CS29" s="161">
        <f>IF(AE29="","",IFERROR(AE29*HSI!$B$24*HSI!$G$24/HSI!$B$3,""))</f>
        <v/>
      </c>
      <c r="CT29" s="161">
        <f>IF(AF29="","",IFERROR(AF29*HSI!$B$24*HSI!$G$24/HSI!$B$3,""))</f>
        <v/>
      </c>
      <c r="CU29" s="161">
        <f>IF(AG29="","",IFERROR(AG29*HSI!$B$24*HSI!$G$24/HSI!$B$3,""))</f>
        <v/>
      </c>
      <c r="CV29" s="161">
        <f>IF(AH29="","",IFERROR(AH29*HSI!$B$24*HSI!$G$24/HSI!$B$3,""))</f>
        <v/>
      </c>
      <c r="CW29" s="161">
        <f>IF(AI29="","",IFERROR(AI29*HSI!$B$24*HSI!$G$24/HSI!$B$3,""))</f>
        <v/>
      </c>
      <c r="CX29" s="161">
        <f>IF(AJ29="","",IFERROR(AJ29*HSI!$B$24*HSI!$G$24/HSI!$B$3,""))</f>
        <v/>
      </c>
      <c r="CY29" s="161">
        <f>IF(AK29="","",IFERROR(AK29*HSI!$B$24*HSI!$G$24/HSI!$B$3,""))</f>
        <v/>
      </c>
      <c r="CZ29" s="161">
        <f>IF(AL29="","",IFERROR(AL29*HSI!$B$24*HSI!$G$24/HSI!$B$3,""))</f>
        <v/>
      </c>
      <c r="DA29" s="161">
        <f>IF(AM29="","",IFERROR(AM29*HSI!$B$24*HSI!$G$24/HSI!$B$3,""))</f>
        <v/>
      </c>
      <c r="DB29" s="161">
        <f>IF(AN29="","",IFERROR(AN29*HSI!$B$24*HSI!$G$24/HSI!$B$3,""))</f>
        <v/>
      </c>
      <c r="DC29" s="161">
        <f>IF(AO29="","",IFERROR(AO29*HSI!$B$24*HSI!$G$24/HSI!$B$3,""))</f>
        <v/>
      </c>
      <c r="DD29" s="161">
        <f>IF(AP29="","",IFERROR(AP29*HSI!$B$24*HSI!$G$24/HSI!$B$3,""))</f>
        <v/>
      </c>
      <c r="DE29" s="161">
        <f>IF(AQ29="","",IFERROR(AQ29*HSI!$B$24*HSI!$G$24/HSI!$B$3,""))</f>
        <v/>
      </c>
      <c r="DF29" s="161">
        <f>IF(AR29="","",IFERROR(AR29*HSI!$B$24*HSI!$G$24/HSI!$B$3,""))</f>
        <v/>
      </c>
      <c r="DG29" s="161">
        <f>IF(AS29="","",IFERROR(AS29*HSI!$B$24*HSI!$G$24/HSI!$B$3,""))</f>
        <v/>
      </c>
      <c r="DH29" s="161">
        <f>IF(AT29="","",IFERROR(AT29*HSI!$B$24*HSI!$G$24/HSI!$B$3,""))</f>
        <v/>
      </c>
      <c r="DI29" s="161">
        <f>IF(AU29="","",IFERROR(AU29*HSI!$B$24*HSI!$G$24/HSI!$B$3,""))</f>
        <v/>
      </c>
      <c r="DJ29" s="161">
        <f>IF(AV29="","",IFERROR(AV29*HSI!$B$24*HSI!$G$24/HSI!$B$3,""))</f>
        <v/>
      </c>
      <c r="DK29" s="161">
        <f>IF(AW29="","",IFERROR(AW29*HSI!$B$24*HSI!$G$24/HSI!$B$3,""))</f>
        <v/>
      </c>
      <c r="DL29" s="161">
        <f>IF(AX29="","",IFERROR(AX29*HSI!$B$24*HSI!$G$24/HSI!$B$3,""))</f>
        <v/>
      </c>
      <c r="DM29" s="161">
        <f>IF(AY29="","",IFERROR(AY29*HSI!$B$24*HSI!$G$24/HSI!$B$3,""))</f>
        <v/>
      </c>
      <c r="DN29" s="161">
        <f>IF(AZ29="","",IFERROR(AZ29*HSI!$B$24*HSI!$G$24/HSI!$B$3,""))</f>
        <v/>
      </c>
      <c r="DO29" s="161">
        <f>IF(BA29="","",IFERROR(BA29*HSI!$B$24*HSI!$G$24/HSI!$B$3,""))</f>
        <v/>
      </c>
      <c r="DP29" s="161">
        <f>IF(BB29="","",IFERROR(BB29*HSI!$B$24*HSI!$G$24/HSI!$B$3,""))</f>
        <v/>
      </c>
      <c r="DQ29" s="161">
        <f>IF(BC29="","",IFERROR(BC29*HSI!$B$24*HSI!$G$24/HSI!$B$3,""))</f>
        <v/>
      </c>
      <c r="DR29" s="161">
        <f>IF(BD29="","",IFERROR(BD29*HSI!$B$24*HSI!$G$24/HSI!$B$3,""))</f>
        <v/>
      </c>
      <c r="DS29" s="161">
        <f>IF(BE29="","",IFERROR(BE29*HSI!$B$24*HSI!$G$24/HSI!$B$3,""))</f>
        <v/>
      </c>
      <c r="DT29" s="161">
        <f>IF(BF29="","",IFERROR(BF29*HSI!$B$24*HSI!$G$24/HSI!$B$3,""))</f>
        <v/>
      </c>
      <c r="DU29" s="161">
        <f>IF(BG29="","",IFERROR(BG29*HSI!$B$24*HSI!$G$24/HSI!$B$3,""))</f>
        <v/>
      </c>
      <c r="DV29" s="161">
        <f>IF(BH29="","",IFERROR(BH29*HSI!$B$24*HSI!$G$24/HSI!$B$3,""))</f>
        <v/>
      </c>
      <c r="DW29" s="161">
        <f>IF(BI29="","",IFERROR(BI29*HSI!$B$24*HSI!$G$24/HSI!$B$3,""))</f>
        <v/>
      </c>
      <c r="DX29" s="161">
        <f>IF(BJ29="","",IFERROR(BJ29*HSI!$B$24*HSI!$G$24/HSI!$B$3,""))</f>
        <v/>
      </c>
      <c r="DY29" s="161">
        <f>IF(BK29="","",IFERROR(BK29*HSI!$B$24*HSI!$G$24/HSI!$B$3,""))</f>
        <v/>
      </c>
      <c r="DZ29" s="161">
        <f>IF(BL29="","",IFERROR(BL29*HSI!$B$24*HSI!$G$24/HSI!$B$3,""))</f>
        <v/>
      </c>
      <c r="EA29" s="161">
        <f>IF(BM29="","",IFERROR(BM29*HSI!$B$24*HSI!$G$24/HSI!$B$3,""))</f>
        <v/>
      </c>
      <c r="EB29" s="161">
        <f>IF(BN29="","",IFERROR(BN29*HSI!$B$24*HSI!$G$24/HSI!$B$3,""))</f>
        <v/>
      </c>
      <c r="EC29" s="161">
        <f>IF(BO29="","",IFERROR(BO29*HSI!$B$24*HSI!$G$24/HSI!$B$3,""))</f>
        <v/>
      </c>
      <c r="EE29" s="121">
        <f>IF(N('Dvd Calendar'!$E$198)=0,"",IF(('Dvd Calendar'!$E$198&gt;=GRID_FROM)*('Dvd Calendar'!$E$198&lt;=GRID_TO)*((('Dvd Calendar'!$E$198&lt;=VAL_DATE)+(COUNTIF('Dvd Calendar'!$E$205:$AR$205,'Dvd Calendar'!$E$198)=0))&gt;0)=0,"",'Dvd Calendar'!$E$198*1000000000+ISNUMBER('Dvd Calendar'!$E$201)*100000000+('Dvd Calendar'!$E$203=SPECIAL_LBL)*10000000+(N('Dvd Calendar'!$E$197)&gt;0)*(N('Dvd Calendar'!$E$197)&lt;=VAL_SERIAL)*1000000+18*1000+1))</f>
        <v/>
      </c>
      <c r="EF29" s="121">
        <f>IF(N('Dvd Calendar'!$F$198)=0,"",IF(('Dvd Calendar'!$F$198&gt;=GRID_FROM)*('Dvd Calendar'!$F$198&lt;=GRID_TO)*((('Dvd Calendar'!$F$198&lt;=VAL_DATE)+(COUNTIF('Dvd Calendar'!$E$205:$AR$205,'Dvd Calendar'!$F$198)=0))&gt;0)=0,"",'Dvd Calendar'!$F$198*1000000000+ISNUMBER('Dvd Calendar'!$F$201)*100000000+('Dvd Calendar'!$F$203=SPECIAL_LBL)*10000000+(N('Dvd Calendar'!$F$197)&gt;0)*(N('Dvd Calendar'!$F$197)&lt;=VAL_SERIAL)*1000000+18*1000+2))</f>
        <v/>
      </c>
      <c r="EG29" s="121">
        <f>IF(N('Dvd Calendar'!$G$198)=0,"",IF(('Dvd Calendar'!$G$198&gt;=GRID_FROM)*('Dvd Calendar'!$G$198&lt;=GRID_TO)*((('Dvd Calendar'!$G$198&lt;=VAL_DATE)+(COUNTIF('Dvd Calendar'!$E$205:$AR$205,'Dvd Calendar'!$G$198)=0))&gt;0)=0,"",'Dvd Calendar'!$G$198*1000000000+ISNUMBER('Dvd Calendar'!$G$201)*100000000+('Dvd Calendar'!$G$203=SPECIAL_LBL)*10000000+(N('Dvd Calendar'!$G$197)&gt;0)*(N('Dvd Calendar'!$G$197)&lt;=VAL_SERIAL)*1000000+18*1000+3))</f>
        <v/>
      </c>
      <c r="EH29" s="121">
        <f>IF(N('Dvd Calendar'!$H$198)=0,"",IF(('Dvd Calendar'!$H$198&gt;=GRID_FROM)*('Dvd Calendar'!$H$198&lt;=GRID_TO)*((('Dvd Calendar'!$H$198&lt;=VAL_DATE)+(COUNTIF('Dvd Calendar'!$E$205:$AR$205,'Dvd Calendar'!$H$198)=0))&gt;0)=0,"",'Dvd Calendar'!$H$198*1000000000+ISNUMBER('Dvd Calendar'!$H$201)*100000000+('Dvd Calendar'!$H$203=SPECIAL_LBL)*10000000+(N('Dvd Calendar'!$H$197)&gt;0)*(N('Dvd Calendar'!$H$197)&lt;=VAL_SERIAL)*1000000+18*1000+4))</f>
        <v/>
      </c>
      <c r="EI29" s="121">
        <f>IF(N('Dvd Calendar'!$I$198)=0,"",IF(('Dvd Calendar'!$I$198&gt;=GRID_FROM)*('Dvd Calendar'!$I$198&lt;=GRID_TO)*((('Dvd Calendar'!$I$198&lt;=VAL_DATE)+(COUNTIF('Dvd Calendar'!$E$205:$AR$205,'Dvd Calendar'!$I$198)=0))&gt;0)=0,"",'Dvd Calendar'!$I$198*1000000000+ISNUMBER('Dvd Calendar'!$I$201)*100000000+('Dvd Calendar'!$I$203=SPECIAL_LBL)*10000000+(N('Dvd Calendar'!$I$197)&gt;0)*(N('Dvd Calendar'!$I$197)&lt;=VAL_SERIAL)*1000000+18*1000+5))</f>
        <v/>
      </c>
      <c r="EJ29" s="121">
        <f>IF(N('Dvd Calendar'!$J$198)=0,"",IF(('Dvd Calendar'!$J$198&gt;=GRID_FROM)*('Dvd Calendar'!$J$198&lt;=GRID_TO)*((('Dvd Calendar'!$J$198&lt;=VAL_DATE)+(COUNTIF('Dvd Calendar'!$E$205:$AR$205,'Dvd Calendar'!$J$198)=0))&gt;0)=0,"",'Dvd Calendar'!$J$198*1000000000+ISNUMBER('Dvd Calendar'!$J$201)*100000000+('Dvd Calendar'!$J$203=SPECIAL_LBL)*10000000+(N('Dvd Calendar'!$J$197)&gt;0)*(N('Dvd Calendar'!$J$197)&lt;=VAL_SERIAL)*1000000+18*1000+6))</f>
        <v/>
      </c>
      <c r="EK29" s="121">
        <f>IF(N('Dvd Calendar'!$K$198)=0,"",IF(('Dvd Calendar'!$K$198&gt;=GRID_FROM)*('Dvd Calendar'!$K$198&lt;=GRID_TO)*((('Dvd Calendar'!$K$198&lt;=VAL_DATE)+(COUNTIF('Dvd Calendar'!$E$205:$AR$205,'Dvd Calendar'!$K$198)=0))&gt;0)=0,"",'Dvd Calendar'!$K$198*1000000000+ISNUMBER('Dvd Calendar'!$K$201)*100000000+('Dvd Calendar'!$K$203=SPECIAL_LBL)*10000000+(N('Dvd Calendar'!$K$197)&gt;0)*(N('Dvd Calendar'!$K$197)&lt;=VAL_SERIAL)*1000000+18*1000+7))</f>
        <v/>
      </c>
      <c r="EL29" s="121">
        <f>IF(N('Dvd Calendar'!$L$198)=0,"",IF(('Dvd Calendar'!$L$198&gt;=GRID_FROM)*('Dvd Calendar'!$L$198&lt;=GRID_TO)*((('Dvd Calendar'!$L$198&lt;=VAL_DATE)+(COUNTIF('Dvd Calendar'!$E$205:$AR$205,'Dvd Calendar'!$L$198)=0))&gt;0)=0,"",'Dvd Calendar'!$L$198*1000000000+ISNUMBER('Dvd Calendar'!$L$201)*100000000+('Dvd Calendar'!$L$203=SPECIAL_LBL)*10000000+(N('Dvd Calendar'!$L$197)&gt;0)*(N('Dvd Calendar'!$L$197)&lt;=VAL_SERIAL)*1000000+18*1000+8))</f>
        <v/>
      </c>
      <c r="EM29" s="121">
        <f>IF(N('Dvd Calendar'!$M$198)=0,"",IF(('Dvd Calendar'!$M$198&gt;=GRID_FROM)*('Dvd Calendar'!$M$198&lt;=GRID_TO)*((('Dvd Calendar'!$M$198&lt;=VAL_DATE)+(COUNTIF('Dvd Calendar'!$E$205:$AR$205,'Dvd Calendar'!$M$198)=0))&gt;0)=0,"",'Dvd Calendar'!$M$198*1000000000+ISNUMBER('Dvd Calendar'!$M$201)*100000000+('Dvd Calendar'!$M$203=SPECIAL_LBL)*10000000+(N('Dvd Calendar'!$M$197)&gt;0)*(N('Dvd Calendar'!$M$197)&lt;=VAL_SERIAL)*1000000+18*1000+9))</f>
        <v/>
      </c>
      <c r="EN29" s="121">
        <f>IF(N('Dvd Calendar'!$N$198)=0,"",IF(('Dvd Calendar'!$N$198&gt;=GRID_FROM)*('Dvd Calendar'!$N$198&lt;=GRID_TO)*((('Dvd Calendar'!$N$198&lt;=VAL_DATE)+(COUNTIF('Dvd Calendar'!$E$205:$AR$205,'Dvd Calendar'!$N$198)=0))&gt;0)=0,"",'Dvd Calendar'!$N$198*1000000000+ISNUMBER('Dvd Calendar'!$N$201)*100000000+('Dvd Calendar'!$N$203=SPECIAL_LBL)*10000000+(N('Dvd Calendar'!$N$197)&gt;0)*(N('Dvd Calendar'!$N$197)&lt;=VAL_SERIAL)*1000000+18*1000+10))</f>
        <v/>
      </c>
      <c r="EO29" s="121">
        <f>IF(N('Dvd Calendar'!$O$198)=0,"",IF(('Dvd Calendar'!$O$198&gt;=GRID_FROM)*('Dvd Calendar'!$O$198&lt;=GRID_TO)*((('Dvd Calendar'!$O$198&lt;=VAL_DATE)+(COUNTIF('Dvd Calendar'!$E$205:$AR$205,'Dvd Calendar'!$O$198)=0))&gt;0)=0,"",'Dvd Calendar'!$O$198*1000000000+ISNUMBER('Dvd Calendar'!$O$201)*100000000+('Dvd Calendar'!$O$203=SPECIAL_LBL)*10000000+(N('Dvd Calendar'!$O$197)&gt;0)*(N('Dvd Calendar'!$O$197)&lt;=VAL_SERIAL)*1000000+18*1000+11))</f>
        <v/>
      </c>
      <c r="EP29" s="121">
        <f>IF(N('Dvd Calendar'!$P$198)=0,"",IF(('Dvd Calendar'!$P$198&gt;=GRID_FROM)*('Dvd Calendar'!$P$198&lt;=GRID_TO)*((('Dvd Calendar'!$P$198&lt;=VAL_DATE)+(COUNTIF('Dvd Calendar'!$E$205:$AR$205,'Dvd Calendar'!$P$198)=0))&gt;0)=0,"",'Dvd Calendar'!$P$198*1000000000+ISNUMBER('Dvd Calendar'!$P$201)*100000000+('Dvd Calendar'!$P$203=SPECIAL_LBL)*10000000+(N('Dvd Calendar'!$P$197)&gt;0)*(N('Dvd Calendar'!$P$197)&lt;=VAL_SERIAL)*1000000+18*1000+12))</f>
        <v/>
      </c>
      <c r="EQ29" s="121">
        <f>IF(N('Dvd Calendar'!$Q$198)=0,"",IF(('Dvd Calendar'!$Q$198&gt;=GRID_FROM)*('Dvd Calendar'!$Q$198&lt;=GRID_TO)*((('Dvd Calendar'!$Q$198&lt;=VAL_DATE)+(COUNTIF('Dvd Calendar'!$E$205:$AR$205,'Dvd Calendar'!$Q$198)=0))&gt;0)=0,"",'Dvd Calendar'!$Q$198*1000000000+ISNUMBER('Dvd Calendar'!$Q$201)*100000000+('Dvd Calendar'!$Q$203=SPECIAL_LBL)*10000000+(N('Dvd Calendar'!$Q$197)&gt;0)*(N('Dvd Calendar'!$Q$197)&lt;=VAL_SERIAL)*1000000+18*1000+13))</f>
        <v/>
      </c>
      <c r="ER29" s="121">
        <f>IF(N('Dvd Calendar'!$R$198)=0,"",IF(('Dvd Calendar'!$R$198&gt;=GRID_FROM)*('Dvd Calendar'!$R$198&lt;=GRID_TO)*((('Dvd Calendar'!$R$198&lt;=VAL_DATE)+(COUNTIF('Dvd Calendar'!$E$205:$AR$205,'Dvd Calendar'!$R$198)=0))&gt;0)=0,"",'Dvd Calendar'!$R$198*1000000000+ISNUMBER('Dvd Calendar'!$R$201)*100000000+('Dvd Calendar'!$R$203=SPECIAL_LBL)*10000000+(N('Dvd Calendar'!$R$197)&gt;0)*(N('Dvd Calendar'!$R$197)&lt;=VAL_SERIAL)*1000000+18*1000+14))</f>
        <v/>
      </c>
      <c r="ES29" s="121">
        <f>IF(N('Dvd Calendar'!$S$198)=0,"",IF(('Dvd Calendar'!$S$198&gt;=GRID_FROM)*('Dvd Calendar'!$S$198&lt;=GRID_TO)*((('Dvd Calendar'!$S$198&lt;=VAL_DATE)+(COUNTIF('Dvd Calendar'!$E$205:$AR$205,'Dvd Calendar'!$S$198)=0))&gt;0)=0,"",'Dvd Calendar'!$S$198*1000000000+ISNUMBER('Dvd Calendar'!$S$201)*100000000+('Dvd Calendar'!$S$203=SPECIAL_LBL)*10000000+(N('Dvd Calendar'!$S$197)&gt;0)*(N('Dvd Calendar'!$S$197)&lt;=VAL_SERIAL)*1000000+18*1000+15))</f>
        <v/>
      </c>
      <c r="ET29" s="121">
        <f>IF(N('Dvd Calendar'!$T$198)=0,"",IF(('Dvd Calendar'!$T$198&gt;=GRID_FROM)*('Dvd Calendar'!$T$198&lt;=GRID_TO)*((('Dvd Calendar'!$T$198&lt;=VAL_DATE)+(COUNTIF('Dvd Calendar'!$E$205:$AR$205,'Dvd Calendar'!$T$198)=0))&gt;0)=0,"",'Dvd Calendar'!$T$198*1000000000+ISNUMBER('Dvd Calendar'!$T$201)*100000000+('Dvd Calendar'!$T$203=SPECIAL_LBL)*10000000+(N('Dvd Calendar'!$T$197)&gt;0)*(N('Dvd Calendar'!$T$197)&lt;=VAL_SERIAL)*1000000+18*1000+16))</f>
        <v/>
      </c>
      <c r="EU29" s="121">
        <f>IF(N('Dvd Calendar'!$U$198)=0,"",IF(('Dvd Calendar'!$U$198&gt;=GRID_FROM)*('Dvd Calendar'!$U$198&lt;=GRID_TO)*((('Dvd Calendar'!$U$198&lt;=VAL_DATE)+(COUNTIF('Dvd Calendar'!$E$205:$AR$205,'Dvd Calendar'!$U$198)=0))&gt;0)=0,"",'Dvd Calendar'!$U$198*1000000000+ISNUMBER('Dvd Calendar'!$U$201)*100000000+('Dvd Calendar'!$U$203=SPECIAL_LBL)*10000000+(N('Dvd Calendar'!$U$197)&gt;0)*(N('Dvd Calendar'!$U$197)&lt;=VAL_SERIAL)*1000000+18*1000+17))</f>
        <v/>
      </c>
      <c r="EV29" s="121">
        <f>IF(N('Dvd Calendar'!$V$198)=0,"",IF(('Dvd Calendar'!$V$198&gt;=GRID_FROM)*('Dvd Calendar'!$V$198&lt;=GRID_TO)*((('Dvd Calendar'!$V$198&lt;=VAL_DATE)+(COUNTIF('Dvd Calendar'!$E$205:$AR$205,'Dvd Calendar'!$V$198)=0))&gt;0)=0,"",'Dvd Calendar'!$V$198*1000000000+ISNUMBER('Dvd Calendar'!$V$201)*100000000+('Dvd Calendar'!$V$203=SPECIAL_LBL)*10000000+(N('Dvd Calendar'!$V$197)&gt;0)*(N('Dvd Calendar'!$V$197)&lt;=VAL_SERIAL)*1000000+18*1000+18))</f>
        <v/>
      </c>
      <c r="EW29" s="121">
        <f>IF(N('Dvd Calendar'!$W$198)=0,"",IF(('Dvd Calendar'!$W$198&gt;=GRID_FROM)*('Dvd Calendar'!$W$198&lt;=GRID_TO)*((('Dvd Calendar'!$W$198&lt;=VAL_DATE)+(COUNTIF('Dvd Calendar'!$E$205:$AR$205,'Dvd Calendar'!$W$198)=0))&gt;0)=0,"",'Dvd Calendar'!$W$198*1000000000+ISNUMBER('Dvd Calendar'!$W$201)*100000000+('Dvd Calendar'!$W$203=SPECIAL_LBL)*10000000+(N('Dvd Calendar'!$W$197)&gt;0)*(N('Dvd Calendar'!$W$197)&lt;=VAL_SERIAL)*1000000+18*1000+19))</f>
        <v/>
      </c>
      <c r="EX29" s="121">
        <f>IF(N('Dvd Calendar'!$X$198)=0,"",IF(('Dvd Calendar'!$X$198&gt;=GRID_FROM)*('Dvd Calendar'!$X$198&lt;=GRID_TO)*((('Dvd Calendar'!$X$198&lt;=VAL_DATE)+(COUNTIF('Dvd Calendar'!$E$205:$AR$205,'Dvd Calendar'!$X$198)=0))&gt;0)=0,"",'Dvd Calendar'!$X$198*1000000000+ISNUMBER('Dvd Calendar'!$X$201)*100000000+('Dvd Calendar'!$X$203=SPECIAL_LBL)*10000000+(N('Dvd Calendar'!$X$197)&gt;0)*(N('Dvd Calendar'!$X$197)&lt;=VAL_SERIAL)*1000000+18*1000+20))</f>
        <v/>
      </c>
      <c r="EY29" s="121">
        <f>IF(N('Dvd Calendar'!$Y$198)=0,"",IF(('Dvd Calendar'!$Y$198&gt;=GRID_FROM)*('Dvd Calendar'!$Y$198&lt;=GRID_TO)*((('Dvd Calendar'!$Y$198&lt;=VAL_DATE)+(COUNTIF('Dvd Calendar'!$E$205:$AR$205,'Dvd Calendar'!$Y$198)=0))&gt;0)=0,"",'Dvd Calendar'!$Y$198*1000000000+ISNUMBER('Dvd Calendar'!$Y$201)*100000000+('Dvd Calendar'!$Y$203=SPECIAL_LBL)*10000000+(N('Dvd Calendar'!$Y$197)&gt;0)*(N('Dvd Calendar'!$Y$197)&lt;=VAL_SERIAL)*1000000+18*1000+21))</f>
        <v/>
      </c>
      <c r="EZ29" s="121">
        <f>IF(N('Dvd Calendar'!$Z$198)=0,"",IF(('Dvd Calendar'!$Z$198&gt;=GRID_FROM)*('Dvd Calendar'!$Z$198&lt;=GRID_TO)*((('Dvd Calendar'!$Z$198&lt;=VAL_DATE)+(COUNTIF('Dvd Calendar'!$E$205:$AR$205,'Dvd Calendar'!$Z$198)=0))&gt;0)=0,"",'Dvd Calendar'!$Z$198*1000000000+ISNUMBER('Dvd Calendar'!$Z$201)*100000000+('Dvd Calendar'!$Z$203=SPECIAL_LBL)*10000000+(N('Dvd Calendar'!$Z$197)&gt;0)*(N('Dvd Calendar'!$Z$197)&lt;=VAL_SERIAL)*1000000+18*1000+22))</f>
        <v/>
      </c>
      <c r="FA29" s="121">
        <f>IF(N('Dvd Calendar'!$AA$198)=0,"",IF(('Dvd Calendar'!$AA$198&gt;=GRID_FROM)*('Dvd Calendar'!$AA$198&lt;=GRID_TO)*((('Dvd Calendar'!$AA$198&lt;=VAL_DATE)+(COUNTIF('Dvd Calendar'!$E$205:$AR$205,'Dvd Calendar'!$AA$198)=0))&gt;0)=0,"",'Dvd Calendar'!$AA$198*1000000000+ISNUMBER('Dvd Calendar'!$AA$201)*100000000+('Dvd Calendar'!$AA$203=SPECIAL_LBL)*10000000+(N('Dvd Calendar'!$AA$197)&gt;0)*(N('Dvd Calendar'!$AA$197)&lt;=VAL_SERIAL)*1000000+18*1000+23))</f>
        <v/>
      </c>
      <c r="FB29" s="121">
        <f>IF(N('Dvd Calendar'!$AB$198)=0,"",IF(('Dvd Calendar'!$AB$198&gt;=GRID_FROM)*('Dvd Calendar'!$AB$198&lt;=GRID_TO)*((('Dvd Calendar'!$AB$198&lt;=VAL_DATE)+(COUNTIF('Dvd Calendar'!$E$205:$AR$205,'Dvd Calendar'!$AB$198)=0))&gt;0)=0,"",'Dvd Calendar'!$AB$198*1000000000+ISNUMBER('Dvd Calendar'!$AB$201)*100000000+('Dvd Calendar'!$AB$203=SPECIAL_LBL)*10000000+(N('Dvd Calendar'!$AB$197)&gt;0)*(N('Dvd Calendar'!$AB$197)&lt;=VAL_SERIAL)*1000000+18*1000+24))</f>
        <v/>
      </c>
      <c r="FC29" s="121">
        <f>IF(N('Dvd Calendar'!$AC$198)=0,"",IF(('Dvd Calendar'!$AC$198&gt;=GRID_FROM)*('Dvd Calendar'!$AC$198&lt;=GRID_TO)*((('Dvd Calendar'!$AC$198&lt;=VAL_DATE)+(COUNTIF('Dvd Calendar'!$E$205:$AR$205,'Dvd Calendar'!$AC$198)=0))&gt;0)=0,"",'Dvd Calendar'!$AC$198*1000000000+ISNUMBER('Dvd Calendar'!$AC$201)*100000000+('Dvd Calendar'!$AC$203=SPECIAL_LBL)*10000000+(N('Dvd Calendar'!$AC$197)&gt;0)*(N('Dvd Calendar'!$AC$197)&lt;=VAL_SERIAL)*1000000+18*1000+25))</f>
        <v/>
      </c>
      <c r="FD29" s="121">
        <f>IF(N('Dvd Calendar'!$AD$198)=0,"",IF(('Dvd Calendar'!$AD$198&gt;=GRID_FROM)*('Dvd Calendar'!$AD$198&lt;=GRID_TO)*((('Dvd Calendar'!$AD$198&lt;=VAL_DATE)+(COUNTIF('Dvd Calendar'!$E$205:$AR$205,'Dvd Calendar'!$AD$198)=0))&gt;0)=0,"",'Dvd Calendar'!$AD$198*1000000000+ISNUMBER('Dvd Calendar'!$AD$201)*100000000+('Dvd Calendar'!$AD$203=SPECIAL_LBL)*10000000+(N('Dvd Calendar'!$AD$197)&gt;0)*(N('Dvd Calendar'!$AD$197)&lt;=VAL_SERIAL)*1000000+18*1000+26))</f>
        <v/>
      </c>
      <c r="FE29" s="121">
        <f>IF(N('Dvd Calendar'!$AE$198)=0,"",IF(('Dvd Calendar'!$AE$198&gt;=GRID_FROM)*('Dvd Calendar'!$AE$198&lt;=GRID_TO)*((('Dvd Calendar'!$AE$198&lt;=VAL_DATE)+(COUNTIF('Dvd Calendar'!$E$205:$AR$205,'Dvd Calendar'!$AE$198)=0))&gt;0)=0,"",'Dvd Calendar'!$AE$198*1000000000+ISNUMBER('Dvd Calendar'!$AE$201)*100000000+('Dvd Calendar'!$AE$203=SPECIAL_LBL)*10000000+(N('Dvd Calendar'!$AE$197)&gt;0)*(N('Dvd Calendar'!$AE$197)&lt;=VAL_SERIAL)*1000000+18*1000+27))</f>
        <v/>
      </c>
      <c r="FF29" s="121">
        <f>IF(N('Dvd Calendar'!$AF$198)=0,"",IF(('Dvd Calendar'!$AF$198&gt;=GRID_FROM)*('Dvd Calendar'!$AF$198&lt;=GRID_TO)*((('Dvd Calendar'!$AF$198&lt;=VAL_DATE)+(COUNTIF('Dvd Calendar'!$E$205:$AR$205,'Dvd Calendar'!$AF$198)=0))&gt;0)=0,"",'Dvd Calendar'!$AF$198*1000000000+ISNUMBER('Dvd Calendar'!$AF$201)*100000000+('Dvd Calendar'!$AF$203=SPECIAL_LBL)*10000000+(N('Dvd Calendar'!$AF$197)&gt;0)*(N('Dvd Calendar'!$AF$197)&lt;=VAL_SERIAL)*1000000+18*1000+28))</f>
        <v/>
      </c>
      <c r="FG29" s="121">
        <f>IF(N('Dvd Calendar'!$AG$198)=0,"",IF(('Dvd Calendar'!$AG$198&gt;=GRID_FROM)*('Dvd Calendar'!$AG$198&lt;=GRID_TO)*((('Dvd Calendar'!$AG$198&lt;=VAL_DATE)+(COUNTIF('Dvd Calendar'!$E$205:$AR$205,'Dvd Calendar'!$AG$198)=0))&gt;0)=0,"",'Dvd Calendar'!$AG$198*1000000000+ISNUMBER('Dvd Calendar'!$AG$201)*100000000+('Dvd Calendar'!$AG$203=SPECIAL_LBL)*10000000+(N('Dvd Calendar'!$AG$197)&gt;0)*(N('Dvd Calendar'!$AG$197)&lt;=VAL_SERIAL)*1000000+18*1000+29))</f>
        <v/>
      </c>
      <c r="FH29" s="121">
        <f>IF(N('Dvd Calendar'!$AH$198)=0,"",IF(('Dvd Calendar'!$AH$198&gt;=GRID_FROM)*('Dvd Calendar'!$AH$198&lt;=GRID_TO)*((('Dvd Calendar'!$AH$198&lt;=VAL_DATE)+(COUNTIF('Dvd Calendar'!$E$205:$AR$205,'Dvd Calendar'!$AH$198)=0))&gt;0)=0,"",'Dvd Calendar'!$AH$198*1000000000+ISNUMBER('Dvd Calendar'!$AH$201)*100000000+('Dvd Calendar'!$AH$203=SPECIAL_LBL)*10000000+(N('Dvd Calendar'!$AH$197)&gt;0)*(N('Dvd Calendar'!$AH$197)&lt;=VAL_SERIAL)*1000000+18*1000+30))</f>
        <v/>
      </c>
      <c r="FI29" s="121">
        <f>IF(N('Dvd Calendar'!$AI$198)=0,"",IF(('Dvd Calendar'!$AI$198&gt;=GRID_FROM)*('Dvd Calendar'!$AI$198&lt;=GRID_TO)*((('Dvd Calendar'!$AI$198&lt;=VAL_DATE)+(COUNTIF('Dvd Calendar'!$E$205:$AR$205,'Dvd Calendar'!$AI$198)=0))&gt;0)=0,"",'Dvd Calendar'!$AI$198*1000000000+ISNUMBER('Dvd Calendar'!$AI$201)*100000000+('Dvd Calendar'!$AI$203=SPECIAL_LBL)*10000000+(N('Dvd Calendar'!$AI$197)&gt;0)*(N('Dvd Calendar'!$AI$197)&lt;=VAL_SERIAL)*1000000+18*1000+31))</f>
        <v/>
      </c>
      <c r="FJ29" s="121">
        <f>IF(N('Dvd Calendar'!$AJ$198)=0,"",IF(('Dvd Calendar'!$AJ$198&gt;=GRID_FROM)*('Dvd Calendar'!$AJ$198&lt;=GRID_TO)*((('Dvd Calendar'!$AJ$198&lt;=VAL_DATE)+(COUNTIF('Dvd Calendar'!$E$205:$AR$205,'Dvd Calendar'!$AJ$198)=0))&gt;0)=0,"",'Dvd Calendar'!$AJ$198*1000000000+ISNUMBER('Dvd Calendar'!$AJ$201)*100000000+('Dvd Calendar'!$AJ$203=SPECIAL_LBL)*10000000+(N('Dvd Calendar'!$AJ$197)&gt;0)*(N('Dvd Calendar'!$AJ$197)&lt;=VAL_SERIAL)*1000000+18*1000+32))</f>
        <v/>
      </c>
      <c r="FK29" s="121">
        <f>IF(N('Dvd Calendar'!$AK$198)=0,"",IF(('Dvd Calendar'!$AK$198&gt;=GRID_FROM)*('Dvd Calendar'!$AK$198&lt;=GRID_TO)*((('Dvd Calendar'!$AK$198&lt;=VAL_DATE)+(COUNTIF('Dvd Calendar'!$E$205:$AR$205,'Dvd Calendar'!$AK$198)=0))&gt;0)=0,"",'Dvd Calendar'!$AK$198*1000000000+ISNUMBER('Dvd Calendar'!$AK$201)*100000000+('Dvd Calendar'!$AK$203=SPECIAL_LBL)*10000000+(N('Dvd Calendar'!$AK$197)&gt;0)*(N('Dvd Calendar'!$AK$197)&lt;=VAL_SERIAL)*1000000+18*1000+33))</f>
        <v/>
      </c>
      <c r="FL29" s="121">
        <f>IF(N('Dvd Calendar'!$AL$198)=0,"",IF(('Dvd Calendar'!$AL$198&gt;=GRID_FROM)*('Dvd Calendar'!$AL$198&lt;=GRID_TO)*((('Dvd Calendar'!$AL$198&lt;=VAL_DATE)+(COUNTIF('Dvd Calendar'!$E$205:$AR$205,'Dvd Calendar'!$AL$198)=0))&gt;0)=0,"",'Dvd Calendar'!$AL$198*1000000000+ISNUMBER('Dvd Calendar'!$AL$201)*100000000+('Dvd Calendar'!$AL$203=SPECIAL_LBL)*10000000+(N('Dvd Calendar'!$AL$197)&gt;0)*(N('Dvd Calendar'!$AL$197)&lt;=VAL_SERIAL)*1000000+18*1000+34))</f>
        <v/>
      </c>
      <c r="FM29" s="121">
        <f>IF(N('Dvd Calendar'!$AM$198)=0,"",IF(('Dvd Calendar'!$AM$198&gt;=GRID_FROM)*('Dvd Calendar'!$AM$198&lt;=GRID_TO)*((('Dvd Calendar'!$AM$198&lt;=VAL_DATE)+(COUNTIF('Dvd Calendar'!$E$205:$AR$205,'Dvd Calendar'!$AM$198)=0))&gt;0)=0,"",'Dvd Calendar'!$AM$198*1000000000+ISNUMBER('Dvd Calendar'!$AM$201)*100000000+('Dvd Calendar'!$AM$203=SPECIAL_LBL)*10000000+(N('Dvd Calendar'!$AM$197)&gt;0)*(N('Dvd Calendar'!$AM$197)&lt;=VAL_SERIAL)*1000000+18*1000+35))</f>
        <v/>
      </c>
      <c r="FN29" s="121">
        <f>IF(N('Dvd Calendar'!$AN$198)=0,"",IF(('Dvd Calendar'!$AN$198&gt;=GRID_FROM)*('Dvd Calendar'!$AN$198&lt;=GRID_TO)*((('Dvd Calendar'!$AN$198&lt;=VAL_DATE)+(COUNTIF('Dvd Calendar'!$E$205:$AR$205,'Dvd Calendar'!$AN$198)=0))&gt;0)=0,"",'Dvd Calendar'!$AN$198*1000000000+ISNUMBER('Dvd Calendar'!$AN$201)*100000000+('Dvd Calendar'!$AN$203=SPECIAL_LBL)*10000000+(N('Dvd Calendar'!$AN$197)&gt;0)*(N('Dvd Calendar'!$AN$197)&lt;=VAL_SERIAL)*1000000+18*1000+36))</f>
        <v/>
      </c>
      <c r="FO29" s="121">
        <f>IF(N('Dvd Calendar'!$AO$198)=0,"",IF(('Dvd Calendar'!$AO$198&gt;=GRID_FROM)*('Dvd Calendar'!$AO$198&lt;=GRID_TO)*((('Dvd Calendar'!$AO$198&lt;=VAL_DATE)+(COUNTIF('Dvd Calendar'!$E$205:$AR$205,'Dvd Calendar'!$AO$198)=0))&gt;0)=0,"",'Dvd Calendar'!$AO$198*1000000000+ISNUMBER('Dvd Calendar'!$AO$201)*100000000+('Dvd Calendar'!$AO$203=SPECIAL_LBL)*10000000+(N('Dvd Calendar'!$AO$197)&gt;0)*(N('Dvd Calendar'!$AO$197)&lt;=VAL_SERIAL)*1000000+18*1000+37))</f>
        <v/>
      </c>
      <c r="FP29" s="121">
        <f>IF(N('Dvd Calendar'!$AP$198)=0,"",IF(('Dvd Calendar'!$AP$198&gt;=GRID_FROM)*('Dvd Calendar'!$AP$198&lt;=GRID_TO)*((('Dvd Calendar'!$AP$198&lt;=VAL_DATE)+(COUNTIF('Dvd Calendar'!$E$205:$AR$205,'Dvd Calendar'!$AP$198)=0))&gt;0)=0,"",'Dvd Calendar'!$AP$198*1000000000+ISNUMBER('Dvd Calendar'!$AP$201)*100000000+('Dvd Calendar'!$AP$203=SPECIAL_LBL)*10000000+(N('Dvd Calendar'!$AP$197)&gt;0)*(N('Dvd Calendar'!$AP$197)&lt;=VAL_SERIAL)*1000000+18*1000+38))</f>
        <v/>
      </c>
      <c r="FQ29" s="121">
        <f>IF(N('Dvd Calendar'!$AQ$198)=0,"",IF(('Dvd Calendar'!$AQ$198&gt;=GRID_FROM)*('Dvd Calendar'!$AQ$198&lt;=GRID_TO)*((('Dvd Calendar'!$AQ$198&lt;=VAL_DATE)+(COUNTIF('Dvd Calendar'!$E$205:$AR$205,'Dvd Calendar'!$AQ$198)=0))&gt;0)=0,"",'Dvd Calendar'!$AQ$198*1000000000+ISNUMBER('Dvd Calendar'!$AQ$201)*100000000+('Dvd Calendar'!$AQ$203=SPECIAL_LBL)*10000000+(N('Dvd Calendar'!$AQ$197)&gt;0)*(N('Dvd Calendar'!$AQ$197)&lt;=VAL_SERIAL)*1000000+18*1000+39))</f>
        <v/>
      </c>
      <c r="FR29" s="121">
        <f>IF(N('Dvd Calendar'!$AR$198)=0,"",IF(('Dvd Calendar'!$AR$198&gt;=GRID_FROM)*('Dvd Calendar'!$AR$198&lt;=GRID_TO)*((('Dvd Calendar'!$AR$198&lt;=VAL_DATE)+(COUNTIF('Dvd Calendar'!$E$205:$AR$205,'Dvd Calendar'!$AR$198)=0))&gt;0)=0,"",'Dvd Calendar'!$AR$198*1000000000+ISNUMBER('Dvd Calendar'!$AR$201)*100000000+('Dvd Calendar'!$AR$203=SPECIAL_LBL)*10000000+(N('Dvd Calendar'!$AR$197)&gt;0)*(N('Dvd Calendar'!$AR$197)&lt;=VAL_SERIAL)*1000000+18*1000+40))</f>
        <v/>
      </c>
      <c r="FS29" s="121">
        <f>IF(N('Dvd Calendar'!$E$205)=0,"",IF(('Dvd Calendar'!$E$205&gt;=GRID_FROM)*('Dvd Calendar'!$E$205&lt;=GRID_TO)*('Dvd Calendar'!$E$205&gt;VAL_DATE)=0,"",'Dvd Calendar'!$E$205*1000000000+ISNUMBER('Dvd Calendar'!$E$206)*100000000+0*10000000+(N('Dvd Calendar'!$E$204)&gt;0)*(N('Dvd Calendar'!$E$204)&lt;=VAL_SERIAL)*1000000+18*1000+41))</f>
        <v/>
      </c>
      <c r="FT29" s="121">
        <f>IF(N('Dvd Calendar'!$F$205)=0,"",IF(('Dvd Calendar'!$F$205&gt;=GRID_FROM)*('Dvd Calendar'!$F$205&lt;=GRID_TO)*('Dvd Calendar'!$F$205&gt;VAL_DATE)=0,"",'Dvd Calendar'!$F$205*1000000000+ISNUMBER('Dvd Calendar'!$F$206)*100000000+0*10000000+(N('Dvd Calendar'!$F$204)&gt;0)*(N('Dvd Calendar'!$F$204)&lt;=VAL_SERIAL)*1000000+18*1000+42))</f>
        <v/>
      </c>
      <c r="FU29" s="121">
        <f>IF(N('Dvd Calendar'!$G$205)=0,"",IF(('Dvd Calendar'!$G$205&gt;=GRID_FROM)*('Dvd Calendar'!$G$205&lt;=GRID_TO)*('Dvd Calendar'!$G$205&gt;VAL_DATE)=0,"",'Dvd Calendar'!$G$205*1000000000+ISNUMBER('Dvd Calendar'!$G$206)*100000000+0*10000000+(N('Dvd Calendar'!$G$204)&gt;0)*(N('Dvd Calendar'!$G$204)&lt;=VAL_SERIAL)*1000000+18*1000+43))</f>
        <v/>
      </c>
      <c r="FV29" s="121">
        <f>IF(N('Dvd Calendar'!$H$205)=0,"",IF(('Dvd Calendar'!$H$205&gt;=GRID_FROM)*('Dvd Calendar'!$H$205&lt;=GRID_TO)*('Dvd Calendar'!$H$205&gt;VAL_DATE)=0,"",'Dvd Calendar'!$H$205*1000000000+ISNUMBER('Dvd Calendar'!$H$206)*100000000+0*10000000+(N('Dvd Calendar'!$H$204)&gt;0)*(N('Dvd Calendar'!$H$204)&lt;=VAL_SERIAL)*1000000+18*1000+44))</f>
        <v/>
      </c>
      <c r="FW29" s="121">
        <f>IF(N('Dvd Calendar'!$I$205)=0,"",IF(('Dvd Calendar'!$I$205&gt;=GRID_FROM)*('Dvd Calendar'!$I$205&lt;=GRID_TO)*('Dvd Calendar'!$I$205&gt;VAL_DATE)=0,"",'Dvd Calendar'!$I$205*1000000000+ISNUMBER('Dvd Calendar'!$I$206)*100000000+0*10000000+(N('Dvd Calendar'!$I$204)&gt;0)*(N('Dvd Calendar'!$I$204)&lt;=VAL_SERIAL)*1000000+18*1000+45))</f>
        <v/>
      </c>
      <c r="FX29" s="121">
        <f>IF(N('Dvd Calendar'!$J$205)=0,"",IF(('Dvd Calendar'!$J$205&gt;=GRID_FROM)*('Dvd Calendar'!$J$205&lt;=GRID_TO)*('Dvd Calendar'!$J$205&gt;VAL_DATE)=0,"",'Dvd Calendar'!$J$205*1000000000+ISNUMBER('Dvd Calendar'!$J$206)*100000000+0*10000000+(N('Dvd Calendar'!$J$204)&gt;0)*(N('Dvd Calendar'!$J$204)&lt;=VAL_SERIAL)*1000000+18*1000+46))</f>
        <v/>
      </c>
      <c r="FY29" s="121">
        <f>IF(N('Dvd Calendar'!$K$205)=0,"",IF(('Dvd Calendar'!$K$205&gt;=GRID_FROM)*('Dvd Calendar'!$K$205&lt;=GRID_TO)*('Dvd Calendar'!$K$205&gt;VAL_DATE)=0,"",'Dvd Calendar'!$K$205*1000000000+ISNUMBER('Dvd Calendar'!$K$206)*100000000+0*10000000+(N('Dvd Calendar'!$K$204)&gt;0)*(N('Dvd Calendar'!$K$204)&lt;=VAL_SERIAL)*1000000+18*1000+47))</f>
        <v/>
      </c>
      <c r="FZ29" s="121">
        <f>IF(N('Dvd Calendar'!$L$205)=0,"",IF(('Dvd Calendar'!$L$205&gt;=GRID_FROM)*('Dvd Calendar'!$L$205&lt;=GRID_TO)*('Dvd Calendar'!$L$205&gt;VAL_DATE)=0,"",'Dvd Calendar'!$L$205*1000000000+ISNUMBER('Dvd Calendar'!$L$206)*100000000+0*10000000+(N('Dvd Calendar'!$L$204)&gt;0)*(N('Dvd Calendar'!$L$204)&lt;=VAL_SERIAL)*1000000+18*1000+48))</f>
        <v/>
      </c>
      <c r="GA29" s="121">
        <f>IF(N('Dvd Calendar'!$M$205)=0,"",IF(('Dvd Calendar'!$M$205&gt;=GRID_FROM)*('Dvd Calendar'!$M$205&lt;=GRID_TO)*('Dvd Calendar'!$M$205&gt;VAL_DATE)=0,"",'Dvd Calendar'!$M$205*1000000000+ISNUMBER('Dvd Calendar'!$M$206)*100000000+0*10000000+(N('Dvd Calendar'!$M$204)&gt;0)*(N('Dvd Calendar'!$M$204)&lt;=VAL_SERIAL)*1000000+18*1000+49))</f>
        <v/>
      </c>
      <c r="GB29" s="121">
        <f>IF(N('Dvd Calendar'!$N$205)=0,"",IF(('Dvd Calendar'!$N$205&gt;=GRID_FROM)*('Dvd Calendar'!$N$205&lt;=GRID_TO)*('Dvd Calendar'!$N$205&gt;VAL_DATE)=0,"",'Dvd Calendar'!$N$205*1000000000+ISNUMBER('Dvd Calendar'!$N$206)*100000000+0*10000000+(N('Dvd Calendar'!$N$204)&gt;0)*(N('Dvd Calendar'!$N$204)&lt;=VAL_SERIAL)*1000000+18*1000+50))</f>
        <v/>
      </c>
      <c r="GC29" s="121">
        <f>IF(N('Dvd Calendar'!$O$205)=0,"",IF(('Dvd Calendar'!$O$205&gt;=GRID_FROM)*('Dvd Calendar'!$O$205&lt;=GRID_TO)*('Dvd Calendar'!$O$205&gt;VAL_DATE)=0,"",'Dvd Calendar'!$O$205*1000000000+ISNUMBER('Dvd Calendar'!$O$206)*100000000+0*10000000+(N('Dvd Calendar'!$O$204)&gt;0)*(N('Dvd Calendar'!$O$204)&lt;=VAL_SERIAL)*1000000+18*1000+51))</f>
        <v/>
      </c>
      <c r="GD29" s="121">
        <f>IF(N('Dvd Calendar'!$P$205)=0,"",IF(('Dvd Calendar'!$P$205&gt;=GRID_FROM)*('Dvd Calendar'!$P$205&lt;=GRID_TO)*('Dvd Calendar'!$P$205&gt;VAL_DATE)=0,"",'Dvd Calendar'!$P$205*1000000000+ISNUMBER('Dvd Calendar'!$P$206)*100000000+0*10000000+(N('Dvd Calendar'!$P$204)&gt;0)*(N('Dvd Calendar'!$P$204)&lt;=VAL_SERIAL)*1000000+18*1000+52))</f>
        <v/>
      </c>
      <c r="GE29" s="121">
        <f>IF(N('Dvd Calendar'!$Q$205)=0,"",IF(('Dvd Calendar'!$Q$205&gt;=GRID_FROM)*('Dvd Calendar'!$Q$205&lt;=GRID_TO)*('Dvd Calendar'!$Q$205&gt;VAL_DATE)=0,"",'Dvd Calendar'!$Q$205*1000000000+ISNUMBER('Dvd Calendar'!$Q$206)*100000000+0*10000000+(N('Dvd Calendar'!$Q$204)&gt;0)*(N('Dvd Calendar'!$Q$204)&lt;=VAL_SERIAL)*1000000+18*1000+53))</f>
        <v/>
      </c>
      <c r="GF29" s="121">
        <f>IF(N('Dvd Calendar'!$R$205)=0,"",IF(('Dvd Calendar'!$R$205&gt;=GRID_FROM)*('Dvd Calendar'!$R$205&lt;=GRID_TO)*('Dvd Calendar'!$R$205&gt;VAL_DATE)=0,"",'Dvd Calendar'!$R$205*1000000000+ISNUMBER('Dvd Calendar'!$R$206)*100000000+0*10000000+(N('Dvd Calendar'!$R$204)&gt;0)*(N('Dvd Calendar'!$R$204)&lt;=VAL_SERIAL)*1000000+18*1000+54))</f>
        <v/>
      </c>
      <c r="GG29" s="121">
        <f>IF(N('Dvd Calendar'!$S$205)=0,"",IF(('Dvd Calendar'!$S$205&gt;=GRID_FROM)*('Dvd Calendar'!$S$205&lt;=GRID_TO)*('Dvd Calendar'!$S$205&gt;VAL_DATE)=0,"",'Dvd Calendar'!$S$205*1000000000+ISNUMBER('Dvd Calendar'!$S$206)*100000000+0*10000000+(N('Dvd Calendar'!$S$204)&gt;0)*(N('Dvd Calendar'!$S$204)&lt;=VAL_SERIAL)*1000000+18*1000+55))</f>
        <v/>
      </c>
      <c r="GH29" s="121">
        <f>IF(N('Dvd Calendar'!$T$205)=0,"",IF(('Dvd Calendar'!$T$205&gt;=GRID_FROM)*('Dvd Calendar'!$T$205&lt;=GRID_TO)*('Dvd Calendar'!$T$205&gt;VAL_DATE)=0,"",'Dvd Calendar'!$T$205*1000000000+ISNUMBER('Dvd Calendar'!$T$206)*100000000+0*10000000+(N('Dvd Calendar'!$T$204)&gt;0)*(N('Dvd Calendar'!$T$204)&lt;=VAL_SERIAL)*1000000+18*1000+56))</f>
        <v/>
      </c>
      <c r="GI29" s="121">
        <f>IF(N('Dvd Calendar'!$U$205)=0,"",IF(('Dvd Calendar'!$U$205&gt;=GRID_FROM)*('Dvd Calendar'!$U$205&lt;=GRID_TO)*('Dvd Calendar'!$U$205&gt;VAL_DATE)=0,"",'Dvd Calendar'!$U$205*1000000000+ISNUMBER('Dvd Calendar'!$U$206)*100000000+0*10000000+(N('Dvd Calendar'!$U$204)&gt;0)*(N('Dvd Calendar'!$U$204)&lt;=VAL_SERIAL)*1000000+18*1000+57))</f>
        <v/>
      </c>
      <c r="GJ29" s="121">
        <f>IF(N('Dvd Calendar'!$V$205)=0,"",IF(('Dvd Calendar'!$V$205&gt;=GRID_FROM)*('Dvd Calendar'!$V$205&lt;=GRID_TO)*('Dvd Calendar'!$V$205&gt;VAL_DATE)=0,"",'Dvd Calendar'!$V$205*1000000000+ISNUMBER('Dvd Calendar'!$V$206)*100000000+0*10000000+(N('Dvd Calendar'!$V$204)&gt;0)*(N('Dvd Calendar'!$V$204)&lt;=VAL_SERIAL)*1000000+18*1000+58))</f>
        <v/>
      </c>
      <c r="GK29" s="121">
        <f>IF(N('Dvd Calendar'!$W$205)=0,"",IF(('Dvd Calendar'!$W$205&gt;=GRID_FROM)*('Dvd Calendar'!$W$205&lt;=GRID_TO)*('Dvd Calendar'!$W$205&gt;VAL_DATE)=0,"",'Dvd Calendar'!$W$205*1000000000+ISNUMBER('Dvd Calendar'!$W$206)*100000000+0*10000000+(N('Dvd Calendar'!$W$204)&gt;0)*(N('Dvd Calendar'!$W$204)&lt;=VAL_SERIAL)*1000000+18*1000+59))</f>
        <v/>
      </c>
      <c r="GL29" s="121">
        <f>IF(N('Dvd Calendar'!$X$205)=0,"",IF(('Dvd Calendar'!$X$205&gt;=GRID_FROM)*('Dvd Calendar'!$X$205&lt;=GRID_TO)*('Dvd Calendar'!$X$205&gt;VAL_DATE)=0,"",'Dvd Calendar'!$X$205*1000000000+ISNUMBER('Dvd Calendar'!$X$206)*100000000+0*10000000+(N('Dvd Calendar'!$X$204)&gt;0)*(N('Dvd Calendar'!$X$204)&lt;=VAL_SERIAL)*1000000+18*1000+60))</f>
        <v/>
      </c>
      <c r="GM29" s="121">
        <f>IF(N('Dvd Calendar'!$Y$205)=0,"",IF(('Dvd Calendar'!$Y$205&gt;=GRID_FROM)*('Dvd Calendar'!$Y$205&lt;=GRID_TO)*('Dvd Calendar'!$Y$205&gt;VAL_DATE)=0,"",'Dvd Calendar'!$Y$205*1000000000+ISNUMBER('Dvd Calendar'!$Y$206)*100000000+0*10000000+(N('Dvd Calendar'!$Y$204)&gt;0)*(N('Dvd Calendar'!$Y$204)&lt;=VAL_SERIAL)*1000000+18*1000+61))</f>
        <v/>
      </c>
      <c r="GN29" s="121">
        <f>IF(N('Dvd Calendar'!$Z$205)=0,"",IF(('Dvd Calendar'!$Z$205&gt;=GRID_FROM)*('Dvd Calendar'!$Z$205&lt;=GRID_TO)*('Dvd Calendar'!$Z$205&gt;VAL_DATE)=0,"",'Dvd Calendar'!$Z$205*1000000000+ISNUMBER('Dvd Calendar'!$Z$206)*100000000+0*10000000+(N('Dvd Calendar'!$Z$204)&gt;0)*(N('Dvd Calendar'!$Z$204)&lt;=VAL_SERIAL)*1000000+18*1000+62))</f>
        <v/>
      </c>
      <c r="GO29" s="121">
        <f>IF(N('Dvd Calendar'!$AA$205)=0,"",IF(('Dvd Calendar'!$AA$205&gt;=GRID_FROM)*('Dvd Calendar'!$AA$205&lt;=GRID_TO)*('Dvd Calendar'!$AA$205&gt;VAL_DATE)=0,"",'Dvd Calendar'!$AA$205*1000000000+ISNUMBER('Dvd Calendar'!$AA$206)*100000000+0*10000000+(N('Dvd Calendar'!$AA$204)&gt;0)*(N('Dvd Calendar'!$AA$204)&lt;=VAL_SERIAL)*1000000+18*1000+63))</f>
        <v/>
      </c>
      <c r="GP29" s="121">
        <f>IF(N('Dvd Calendar'!$AB$205)=0,"",IF(('Dvd Calendar'!$AB$205&gt;=GRID_FROM)*('Dvd Calendar'!$AB$205&lt;=GRID_TO)*('Dvd Calendar'!$AB$205&gt;VAL_DATE)=0,"",'Dvd Calendar'!$AB$205*1000000000+ISNUMBER('Dvd Calendar'!$AB$206)*100000000+0*10000000+(N('Dvd Calendar'!$AB$204)&gt;0)*(N('Dvd Calendar'!$AB$204)&lt;=VAL_SERIAL)*1000000+18*1000+64))</f>
        <v/>
      </c>
      <c r="GQ29" s="121">
        <f>IF(N('Dvd Calendar'!$AC$205)=0,"",IF(('Dvd Calendar'!$AC$205&gt;=GRID_FROM)*('Dvd Calendar'!$AC$205&lt;=GRID_TO)*('Dvd Calendar'!$AC$205&gt;VAL_DATE)=0,"",'Dvd Calendar'!$AC$205*1000000000+ISNUMBER('Dvd Calendar'!$AC$206)*100000000+0*10000000+(N('Dvd Calendar'!$AC$204)&gt;0)*(N('Dvd Calendar'!$AC$204)&lt;=VAL_SERIAL)*1000000+18*1000+65))</f>
        <v/>
      </c>
    </row>
    <row r="30">
      <c r="B30" s="2">
        <f>IF(HSI!$C$25="","",HSI!$C$25)</f>
        <v/>
      </c>
      <c r="C30" s="161">
        <f>IF(EE30="","",IF(ISNUMBER('Dvd Calendar'!$E$212)=FALSE,"",IF((('Dvd Calendar'!$E$214=TYPE1)*(TYPE1&lt;&gt;"")+('Dvd Calendar'!$E$214=TYPE2)*(TYPE2&lt;&gt;"")+('Dvd Calendar'!$E$214=TYPE3)*(TYPE3&lt;&gt;"")+('Dvd Calendar'!$E$214=TYPE4)*(TYPE4&lt;&gt;"")+('Dvd Calendar'!$E$214=SPECIAL_LBL)*(INC_SPECIALS="Y"))=0,"",'Dvd Calendar'!$E$212)))</f>
        <v/>
      </c>
      <c r="D30" s="161">
        <f>IF(EF30="","",IF(ISNUMBER('Dvd Calendar'!$F$212)=FALSE,"",IF((('Dvd Calendar'!$F$214=TYPE1)*(TYPE1&lt;&gt;"")+('Dvd Calendar'!$F$214=TYPE2)*(TYPE2&lt;&gt;"")+('Dvd Calendar'!$F$214=TYPE3)*(TYPE3&lt;&gt;"")+('Dvd Calendar'!$F$214=TYPE4)*(TYPE4&lt;&gt;"")+('Dvd Calendar'!$F$214=SPECIAL_LBL)*(INC_SPECIALS="Y"))=0,"",'Dvd Calendar'!$F$212)))</f>
        <v/>
      </c>
      <c r="E30" s="161">
        <f>IF(EG30="","",IF(ISNUMBER('Dvd Calendar'!$G$212)=FALSE,"",IF((('Dvd Calendar'!$G$214=TYPE1)*(TYPE1&lt;&gt;"")+('Dvd Calendar'!$G$214=TYPE2)*(TYPE2&lt;&gt;"")+('Dvd Calendar'!$G$214=TYPE3)*(TYPE3&lt;&gt;"")+('Dvd Calendar'!$G$214=TYPE4)*(TYPE4&lt;&gt;"")+('Dvd Calendar'!$G$214=SPECIAL_LBL)*(INC_SPECIALS="Y"))=0,"",'Dvd Calendar'!$G$212)))</f>
        <v/>
      </c>
      <c r="F30" s="161">
        <f>IF(EH30="","",IF(ISNUMBER('Dvd Calendar'!$H$212)=FALSE,"",IF((('Dvd Calendar'!$H$214=TYPE1)*(TYPE1&lt;&gt;"")+('Dvd Calendar'!$H$214=TYPE2)*(TYPE2&lt;&gt;"")+('Dvd Calendar'!$H$214=TYPE3)*(TYPE3&lt;&gt;"")+('Dvd Calendar'!$H$214=TYPE4)*(TYPE4&lt;&gt;"")+('Dvd Calendar'!$H$214=SPECIAL_LBL)*(INC_SPECIALS="Y"))=0,"",'Dvd Calendar'!$H$212)))</f>
        <v/>
      </c>
      <c r="G30" s="161">
        <f>IF(EI30="","",IF(ISNUMBER('Dvd Calendar'!$I$212)=FALSE,"",IF((('Dvd Calendar'!$I$214=TYPE1)*(TYPE1&lt;&gt;"")+('Dvd Calendar'!$I$214=TYPE2)*(TYPE2&lt;&gt;"")+('Dvd Calendar'!$I$214=TYPE3)*(TYPE3&lt;&gt;"")+('Dvd Calendar'!$I$214=TYPE4)*(TYPE4&lt;&gt;"")+('Dvd Calendar'!$I$214=SPECIAL_LBL)*(INC_SPECIALS="Y"))=0,"",'Dvd Calendar'!$I$212)))</f>
        <v/>
      </c>
      <c r="H30" s="161">
        <f>IF(EJ30="","",IF(ISNUMBER('Dvd Calendar'!$J$212)=FALSE,"",IF((('Dvd Calendar'!$J$214=TYPE1)*(TYPE1&lt;&gt;"")+('Dvd Calendar'!$J$214=TYPE2)*(TYPE2&lt;&gt;"")+('Dvd Calendar'!$J$214=TYPE3)*(TYPE3&lt;&gt;"")+('Dvd Calendar'!$J$214=TYPE4)*(TYPE4&lt;&gt;"")+('Dvd Calendar'!$J$214=SPECIAL_LBL)*(INC_SPECIALS="Y"))=0,"",'Dvd Calendar'!$J$212)))</f>
        <v/>
      </c>
      <c r="I30" s="161">
        <f>IF(EK30="","",IF(ISNUMBER('Dvd Calendar'!$K$212)=FALSE,"",IF((('Dvd Calendar'!$K$214=TYPE1)*(TYPE1&lt;&gt;"")+('Dvd Calendar'!$K$214=TYPE2)*(TYPE2&lt;&gt;"")+('Dvd Calendar'!$K$214=TYPE3)*(TYPE3&lt;&gt;"")+('Dvd Calendar'!$K$214=TYPE4)*(TYPE4&lt;&gt;"")+('Dvd Calendar'!$K$214=SPECIAL_LBL)*(INC_SPECIALS="Y"))=0,"",'Dvd Calendar'!$K$212)))</f>
        <v/>
      </c>
      <c r="J30" s="161">
        <f>IF(EL30="","",IF(ISNUMBER('Dvd Calendar'!$L$212)=FALSE,"",IF((('Dvd Calendar'!$L$214=TYPE1)*(TYPE1&lt;&gt;"")+('Dvd Calendar'!$L$214=TYPE2)*(TYPE2&lt;&gt;"")+('Dvd Calendar'!$L$214=TYPE3)*(TYPE3&lt;&gt;"")+('Dvd Calendar'!$L$214=TYPE4)*(TYPE4&lt;&gt;"")+('Dvd Calendar'!$L$214=SPECIAL_LBL)*(INC_SPECIALS="Y"))=0,"",'Dvd Calendar'!$L$212)))</f>
        <v/>
      </c>
      <c r="K30" s="161">
        <f>IF(EM30="","",IF(ISNUMBER('Dvd Calendar'!$M$212)=FALSE,"",IF((('Dvd Calendar'!$M$214=TYPE1)*(TYPE1&lt;&gt;"")+('Dvd Calendar'!$M$214=TYPE2)*(TYPE2&lt;&gt;"")+('Dvd Calendar'!$M$214=TYPE3)*(TYPE3&lt;&gt;"")+('Dvd Calendar'!$M$214=TYPE4)*(TYPE4&lt;&gt;"")+('Dvd Calendar'!$M$214=SPECIAL_LBL)*(INC_SPECIALS="Y"))=0,"",'Dvd Calendar'!$M$212)))</f>
        <v/>
      </c>
      <c r="L30" s="161">
        <f>IF(EN30="","",IF(ISNUMBER('Dvd Calendar'!$N$212)=FALSE,"",IF((('Dvd Calendar'!$N$214=TYPE1)*(TYPE1&lt;&gt;"")+('Dvd Calendar'!$N$214=TYPE2)*(TYPE2&lt;&gt;"")+('Dvd Calendar'!$N$214=TYPE3)*(TYPE3&lt;&gt;"")+('Dvd Calendar'!$N$214=TYPE4)*(TYPE4&lt;&gt;"")+('Dvd Calendar'!$N$214=SPECIAL_LBL)*(INC_SPECIALS="Y"))=0,"",'Dvd Calendar'!$N$212)))</f>
        <v/>
      </c>
      <c r="M30" s="161">
        <f>IF(EO30="","",IF(ISNUMBER('Dvd Calendar'!$O$212)=FALSE,"",IF((('Dvd Calendar'!$O$214=TYPE1)*(TYPE1&lt;&gt;"")+('Dvd Calendar'!$O$214=TYPE2)*(TYPE2&lt;&gt;"")+('Dvd Calendar'!$O$214=TYPE3)*(TYPE3&lt;&gt;"")+('Dvd Calendar'!$O$214=TYPE4)*(TYPE4&lt;&gt;"")+('Dvd Calendar'!$O$214=SPECIAL_LBL)*(INC_SPECIALS="Y"))=0,"",'Dvd Calendar'!$O$212)))</f>
        <v/>
      </c>
      <c r="N30" s="161">
        <f>IF(EP30="","",IF(ISNUMBER('Dvd Calendar'!$P$212)=FALSE,"",IF((('Dvd Calendar'!$P$214=TYPE1)*(TYPE1&lt;&gt;"")+('Dvd Calendar'!$P$214=TYPE2)*(TYPE2&lt;&gt;"")+('Dvd Calendar'!$P$214=TYPE3)*(TYPE3&lt;&gt;"")+('Dvd Calendar'!$P$214=TYPE4)*(TYPE4&lt;&gt;"")+('Dvd Calendar'!$P$214=SPECIAL_LBL)*(INC_SPECIALS="Y"))=0,"",'Dvd Calendar'!$P$212)))</f>
        <v/>
      </c>
      <c r="O30" s="161">
        <f>IF(EQ30="","",IF(ISNUMBER('Dvd Calendar'!$Q$212)=FALSE,"",IF((('Dvd Calendar'!$Q$214=TYPE1)*(TYPE1&lt;&gt;"")+('Dvd Calendar'!$Q$214=TYPE2)*(TYPE2&lt;&gt;"")+('Dvd Calendar'!$Q$214=TYPE3)*(TYPE3&lt;&gt;"")+('Dvd Calendar'!$Q$214=TYPE4)*(TYPE4&lt;&gt;"")+('Dvd Calendar'!$Q$214=SPECIAL_LBL)*(INC_SPECIALS="Y"))=0,"",'Dvd Calendar'!$Q$212)))</f>
        <v/>
      </c>
      <c r="P30" s="161">
        <f>IF(ER30="","",IF(ISNUMBER('Dvd Calendar'!$R$212)=FALSE,"",IF((('Dvd Calendar'!$R$214=TYPE1)*(TYPE1&lt;&gt;"")+('Dvd Calendar'!$R$214=TYPE2)*(TYPE2&lt;&gt;"")+('Dvd Calendar'!$R$214=TYPE3)*(TYPE3&lt;&gt;"")+('Dvd Calendar'!$R$214=TYPE4)*(TYPE4&lt;&gt;"")+('Dvd Calendar'!$R$214=SPECIAL_LBL)*(INC_SPECIALS="Y"))=0,"",'Dvd Calendar'!$R$212)))</f>
        <v/>
      </c>
      <c r="Q30" s="161">
        <f>IF(ES30="","",IF(ISNUMBER('Dvd Calendar'!$S$212)=FALSE,"",IF((('Dvd Calendar'!$S$214=TYPE1)*(TYPE1&lt;&gt;"")+('Dvd Calendar'!$S$214=TYPE2)*(TYPE2&lt;&gt;"")+('Dvd Calendar'!$S$214=TYPE3)*(TYPE3&lt;&gt;"")+('Dvd Calendar'!$S$214=TYPE4)*(TYPE4&lt;&gt;"")+('Dvd Calendar'!$S$214=SPECIAL_LBL)*(INC_SPECIALS="Y"))=0,"",'Dvd Calendar'!$S$212)))</f>
        <v/>
      </c>
      <c r="R30" s="161">
        <f>IF(ET30="","",IF(ISNUMBER('Dvd Calendar'!$T$212)=FALSE,"",IF((('Dvd Calendar'!$T$214=TYPE1)*(TYPE1&lt;&gt;"")+('Dvd Calendar'!$T$214=TYPE2)*(TYPE2&lt;&gt;"")+('Dvd Calendar'!$T$214=TYPE3)*(TYPE3&lt;&gt;"")+('Dvd Calendar'!$T$214=TYPE4)*(TYPE4&lt;&gt;"")+('Dvd Calendar'!$T$214=SPECIAL_LBL)*(INC_SPECIALS="Y"))=0,"",'Dvd Calendar'!$T$212)))</f>
        <v/>
      </c>
      <c r="S30" s="161">
        <f>IF(EU30="","",IF(ISNUMBER('Dvd Calendar'!$U$212)=FALSE,"",IF((('Dvd Calendar'!$U$214=TYPE1)*(TYPE1&lt;&gt;"")+('Dvd Calendar'!$U$214=TYPE2)*(TYPE2&lt;&gt;"")+('Dvd Calendar'!$U$214=TYPE3)*(TYPE3&lt;&gt;"")+('Dvd Calendar'!$U$214=TYPE4)*(TYPE4&lt;&gt;"")+('Dvd Calendar'!$U$214=SPECIAL_LBL)*(INC_SPECIALS="Y"))=0,"",'Dvd Calendar'!$U$212)))</f>
        <v/>
      </c>
      <c r="T30" s="161">
        <f>IF(EV30="","",IF(ISNUMBER('Dvd Calendar'!$V$212)=FALSE,"",IF((('Dvd Calendar'!$V$214=TYPE1)*(TYPE1&lt;&gt;"")+('Dvd Calendar'!$V$214=TYPE2)*(TYPE2&lt;&gt;"")+('Dvd Calendar'!$V$214=TYPE3)*(TYPE3&lt;&gt;"")+('Dvd Calendar'!$V$214=TYPE4)*(TYPE4&lt;&gt;"")+('Dvd Calendar'!$V$214=SPECIAL_LBL)*(INC_SPECIALS="Y"))=0,"",'Dvd Calendar'!$V$212)))</f>
        <v/>
      </c>
      <c r="U30" s="161">
        <f>IF(EW30="","",IF(ISNUMBER('Dvd Calendar'!$W$212)=FALSE,"",IF((('Dvd Calendar'!$W$214=TYPE1)*(TYPE1&lt;&gt;"")+('Dvd Calendar'!$W$214=TYPE2)*(TYPE2&lt;&gt;"")+('Dvd Calendar'!$W$214=TYPE3)*(TYPE3&lt;&gt;"")+('Dvd Calendar'!$W$214=TYPE4)*(TYPE4&lt;&gt;"")+('Dvd Calendar'!$W$214=SPECIAL_LBL)*(INC_SPECIALS="Y"))=0,"",'Dvd Calendar'!$W$212)))</f>
        <v/>
      </c>
      <c r="V30" s="161">
        <f>IF(EX30="","",IF(ISNUMBER('Dvd Calendar'!$X$212)=FALSE,"",IF((('Dvd Calendar'!$X$214=TYPE1)*(TYPE1&lt;&gt;"")+('Dvd Calendar'!$X$214=TYPE2)*(TYPE2&lt;&gt;"")+('Dvd Calendar'!$X$214=TYPE3)*(TYPE3&lt;&gt;"")+('Dvd Calendar'!$X$214=TYPE4)*(TYPE4&lt;&gt;"")+('Dvd Calendar'!$X$214=SPECIAL_LBL)*(INC_SPECIALS="Y"))=0,"",'Dvd Calendar'!$X$212)))</f>
        <v/>
      </c>
      <c r="W30" s="161">
        <f>IF(EY30="","",IF(ISNUMBER('Dvd Calendar'!$Y$212)=FALSE,"",IF((('Dvd Calendar'!$Y$214=TYPE1)*(TYPE1&lt;&gt;"")+('Dvd Calendar'!$Y$214=TYPE2)*(TYPE2&lt;&gt;"")+('Dvd Calendar'!$Y$214=TYPE3)*(TYPE3&lt;&gt;"")+('Dvd Calendar'!$Y$214=TYPE4)*(TYPE4&lt;&gt;"")+('Dvd Calendar'!$Y$214=SPECIAL_LBL)*(INC_SPECIALS="Y"))=0,"",'Dvd Calendar'!$Y$212)))</f>
        <v/>
      </c>
      <c r="X30" s="161">
        <f>IF(EZ30="","",IF(ISNUMBER('Dvd Calendar'!$Z$212)=FALSE,"",IF((('Dvd Calendar'!$Z$214=TYPE1)*(TYPE1&lt;&gt;"")+('Dvd Calendar'!$Z$214=TYPE2)*(TYPE2&lt;&gt;"")+('Dvd Calendar'!$Z$214=TYPE3)*(TYPE3&lt;&gt;"")+('Dvd Calendar'!$Z$214=TYPE4)*(TYPE4&lt;&gt;"")+('Dvd Calendar'!$Z$214=SPECIAL_LBL)*(INC_SPECIALS="Y"))=0,"",'Dvd Calendar'!$Z$212)))</f>
        <v/>
      </c>
      <c r="Y30" s="161">
        <f>IF(FA30="","",IF(ISNUMBER('Dvd Calendar'!$AA$212)=FALSE,"",IF((('Dvd Calendar'!$AA$214=TYPE1)*(TYPE1&lt;&gt;"")+('Dvd Calendar'!$AA$214=TYPE2)*(TYPE2&lt;&gt;"")+('Dvd Calendar'!$AA$214=TYPE3)*(TYPE3&lt;&gt;"")+('Dvd Calendar'!$AA$214=TYPE4)*(TYPE4&lt;&gt;"")+('Dvd Calendar'!$AA$214=SPECIAL_LBL)*(INC_SPECIALS="Y"))=0,"",'Dvd Calendar'!$AA$212)))</f>
        <v/>
      </c>
      <c r="Z30" s="161">
        <f>IF(FB30="","",IF(ISNUMBER('Dvd Calendar'!$AB$212)=FALSE,"",IF((('Dvd Calendar'!$AB$214=TYPE1)*(TYPE1&lt;&gt;"")+('Dvd Calendar'!$AB$214=TYPE2)*(TYPE2&lt;&gt;"")+('Dvd Calendar'!$AB$214=TYPE3)*(TYPE3&lt;&gt;"")+('Dvd Calendar'!$AB$214=TYPE4)*(TYPE4&lt;&gt;"")+('Dvd Calendar'!$AB$214=SPECIAL_LBL)*(INC_SPECIALS="Y"))=0,"",'Dvd Calendar'!$AB$212)))</f>
        <v/>
      </c>
      <c r="AA30" s="161">
        <f>IF(FC30="","",IF(ISNUMBER('Dvd Calendar'!$AC$212)=FALSE,"",IF((('Dvd Calendar'!$AC$214=TYPE1)*(TYPE1&lt;&gt;"")+('Dvd Calendar'!$AC$214=TYPE2)*(TYPE2&lt;&gt;"")+('Dvd Calendar'!$AC$214=TYPE3)*(TYPE3&lt;&gt;"")+('Dvd Calendar'!$AC$214=TYPE4)*(TYPE4&lt;&gt;"")+('Dvd Calendar'!$AC$214=SPECIAL_LBL)*(INC_SPECIALS="Y"))=0,"",'Dvd Calendar'!$AC$212)))</f>
        <v/>
      </c>
      <c r="AB30" s="161">
        <f>IF(FD30="","",IF(ISNUMBER('Dvd Calendar'!$AD$212)=FALSE,"",IF((('Dvd Calendar'!$AD$214=TYPE1)*(TYPE1&lt;&gt;"")+('Dvd Calendar'!$AD$214=TYPE2)*(TYPE2&lt;&gt;"")+('Dvd Calendar'!$AD$214=TYPE3)*(TYPE3&lt;&gt;"")+('Dvd Calendar'!$AD$214=TYPE4)*(TYPE4&lt;&gt;"")+('Dvd Calendar'!$AD$214=SPECIAL_LBL)*(INC_SPECIALS="Y"))=0,"",'Dvd Calendar'!$AD$212)))</f>
        <v/>
      </c>
      <c r="AC30" s="161">
        <f>IF(FE30="","",IF(ISNUMBER('Dvd Calendar'!$AE$212)=FALSE,"",IF((('Dvd Calendar'!$AE$214=TYPE1)*(TYPE1&lt;&gt;"")+('Dvd Calendar'!$AE$214=TYPE2)*(TYPE2&lt;&gt;"")+('Dvd Calendar'!$AE$214=TYPE3)*(TYPE3&lt;&gt;"")+('Dvd Calendar'!$AE$214=TYPE4)*(TYPE4&lt;&gt;"")+('Dvd Calendar'!$AE$214=SPECIAL_LBL)*(INC_SPECIALS="Y"))=0,"",'Dvd Calendar'!$AE$212)))</f>
        <v/>
      </c>
      <c r="AD30" s="161">
        <f>IF(FF30="","",IF(ISNUMBER('Dvd Calendar'!$AF$212)=FALSE,"",IF((('Dvd Calendar'!$AF$214=TYPE1)*(TYPE1&lt;&gt;"")+('Dvd Calendar'!$AF$214=TYPE2)*(TYPE2&lt;&gt;"")+('Dvd Calendar'!$AF$214=TYPE3)*(TYPE3&lt;&gt;"")+('Dvd Calendar'!$AF$214=TYPE4)*(TYPE4&lt;&gt;"")+('Dvd Calendar'!$AF$214=SPECIAL_LBL)*(INC_SPECIALS="Y"))=0,"",'Dvd Calendar'!$AF$212)))</f>
        <v/>
      </c>
      <c r="AE30" s="161">
        <f>IF(FG30="","",IF(ISNUMBER('Dvd Calendar'!$AG$212)=FALSE,"",IF((('Dvd Calendar'!$AG$214=TYPE1)*(TYPE1&lt;&gt;"")+('Dvd Calendar'!$AG$214=TYPE2)*(TYPE2&lt;&gt;"")+('Dvd Calendar'!$AG$214=TYPE3)*(TYPE3&lt;&gt;"")+('Dvd Calendar'!$AG$214=TYPE4)*(TYPE4&lt;&gt;"")+('Dvd Calendar'!$AG$214=SPECIAL_LBL)*(INC_SPECIALS="Y"))=0,"",'Dvd Calendar'!$AG$212)))</f>
        <v/>
      </c>
      <c r="AF30" s="161">
        <f>IF(FH30="","",IF(ISNUMBER('Dvd Calendar'!$AH$212)=FALSE,"",IF((('Dvd Calendar'!$AH$214=TYPE1)*(TYPE1&lt;&gt;"")+('Dvd Calendar'!$AH$214=TYPE2)*(TYPE2&lt;&gt;"")+('Dvd Calendar'!$AH$214=TYPE3)*(TYPE3&lt;&gt;"")+('Dvd Calendar'!$AH$214=TYPE4)*(TYPE4&lt;&gt;"")+('Dvd Calendar'!$AH$214=SPECIAL_LBL)*(INC_SPECIALS="Y"))=0,"",'Dvd Calendar'!$AH$212)))</f>
        <v/>
      </c>
      <c r="AG30" s="161">
        <f>IF(FI30="","",IF(ISNUMBER('Dvd Calendar'!$AI$212)=FALSE,"",IF((('Dvd Calendar'!$AI$214=TYPE1)*(TYPE1&lt;&gt;"")+('Dvd Calendar'!$AI$214=TYPE2)*(TYPE2&lt;&gt;"")+('Dvd Calendar'!$AI$214=TYPE3)*(TYPE3&lt;&gt;"")+('Dvd Calendar'!$AI$214=TYPE4)*(TYPE4&lt;&gt;"")+('Dvd Calendar'!$AI$214=SPECIAL_LBL)*(INC_SPECIALS="Y"))=0,"",'Dvd Calendar'!$AI$212)))</f>
        <v/>
      </c>
      <c r="AH30" s="161">
        <f>IF(FJ30="","",IF(ISNUMBER('Dvd Calendar'!$AJ$212)=FALSE,"",IF((('Dvd Calendar'!$AJ$214=TYPE1)*(TYPE1&lt;&gt;"")+('Dvd Calendar'!$AJ$214=TYPE2)*(TYPE2&lt;&gt;"")+('Dvd Calendar'!$AJ$214=TYPE3)*(TYPE3&lt;&gt;"")+('Dvd Calendar'!$AJ$214=TYPE4)*(TYPE4&lt;&gt;"")+('Dvd Calendar'!$AJ$214=SPECIAL_LBL)*(INC_SPECIALS="Y"))=0,"",'Dvd Calendar'!$AJ$212)))</f>
        <v/>
      </c>
      <c r="AI30" s="161">
        <f>IF(FK30="","",IF(ISNUMBER('Dvd Calendar'!$AK$212)=FALSE,"",IF((('Dvd Calendar'!$AK$214=TYPE1)*(TYPE1&lt;&gt;"")+('Dvd Calendar'!$AK$214=TYPE2)*(TYPE2&lt;&gt;"")+('Dvd Calendar'!$AK$214=TYPE3)*(TYPE3&lt;&gt;"")+('Dvd Calendar'!$AK$214=TYPE4)*(TYPE4&lt;&gt;"")+('Dvd Calendar'!$AK$214=SPECIAL_LBL)*(INC_SPECIALS="Y"))=0,"",'Dvd Calendar'!$AK$212)))</f>
        <v/>
      </c>
      <c r="AJ30" s="161">
        <f>IF(FL30="","",IF(ISNUMBER('Dvd Calendar'!$AL$212)=FALSE,"",IF((('Dvd Calendar'!$AL$214=TYPE1)*(TYPE1&lt;&gt;"")+('Dvd Calendar'!$AL$214=TYPE2)*(TYPE2&lt;&gt;"")+('Dvd Calendar'!$AL$214=TYPE3)*(TYPE3&lt;&gt;"")+('Dvd Calendar'!$AL$214=TYPE4)*(TYPE4&lt;&gt;"")+('Dvd Calendar'!$AL$214=SPECIAL_LBL)*(INC_SPECIALS="Y"))=0,"",'Dvd Calendar'!$AL$212)))</f>
        <v/>
      </c>
      <c r="AK30" s="161">
        <f>IF(FM30="","",IF(ISNUMBER('Dvd Calendar'!$AM$212)=FALSE,"",IF((('Dvd Calendar'!$AM$214=TYPE1)*(TYPE1&lt;&gt;"")+('Dvd Calendar'!$AM$214=TYPE2)*(TYPE2&lt;&gt;"")+('Dvd Calendar'!$AM$214=TYPE3)*(TYPE3&lt;&gt;"")+('Dvd Calendar'!$AM$214=TYPE4)*(TYPE4&lt;&gt;"")+('Dvd Calendar'!$AM$214=SPECIAL_LBL)*(INC_SPECIALS="Y"))=0,"",'Dvd Calendar'!$AM$212)))</f>
        <v/>
      </c>
      <c r="AL30" s="161">
        <f>IF(FN30="","",IF(ISNUMBER('Dvd Calendar'!$AN$212)=FALSE,"",IF((('Dvd Calendar'!$AN$214=TYPE1)*(TYPE1&lt;&gt;"")+('Dvd Calendar'!$AN$214=TYPE2)*(TYPE2&lt;&gt;"")+('Dvd Calendar'!$AN$214=TYPE3)*(TYPE3&lt;&gt;"")+('Dvd Calendar'!$AN$214=TYPE4)*(TYPE4&lt;&gt;"")+('Dvd Calendar'!$AN$214=SPECIAL_LBL)*(INC_SPECIALS="Y"))=0,"",'Dvd Calendar'!$AN$212)))</f>
        <v/>
      </c>
      <c r="AM30" s="161">
        <f>IF(FO30="","",IF(ISNUMBER('Dvd Calendar'!$AO$212)=FALSE,"",IF((('Dvd Calendar'!$AO$214=TYPE1)*(TYPE1&lt;&gt;"")+('Dvd Calendar'!$AO$214=TYPE2)*(TYPE2&lt;&gt;"")+('Dvd Calendar'!$AO$214=TYPE3)*(TYPE3&lt;&gt;"")+('Dvd Calendar'!$AO$214=TYPE4)*(TYPE4&lt;&gt;"")+('Dvd Calendar'!$AO$214=SPECIAL_LBL)*(INC_SPECIALS="Y"))=0,"",'Dvd Calendar'!$AO$212)))</f>
        <v/>
      </c>
      <c r="AN30" s="161">
        <f>IF(FP30="","",IF(ISNUMBER('Dvd Calendar'!$AP$212)=FALSE,"",IF((('Dvd Calendar'!$AP$214=TYPE1)*(TYPE1&lt;&gt;"")+('Dvd Calendar'!$AP$214=TYPE2)*(TYPE2&lt;&gt;"")+('Dvd Calendar'!$AP$214=TYPE3)*(TYPE3&lt;&gt;"")+('Dvd Calendar'!$AP$214=TYPE4)*(TYPE4&lt;&gt;"")+('Dvd Calendar'!$AP$214=SPECIAL_LBL)*(INC_SPECIALS="Y"))=0,"",'Dvd Calendar'!$AP$212)))</f>
        <v/>
      </c>
      <c r="AO30" s="161">
        <f>IF(FQ30="","",IF(ISNUMBER('Dvd Calendar'!$AQ$212)=FALSE,"",IF((('Dvd Calendar'!$AQ$214=TYPE1)*(TYPE1&lt;&gt;"")+('Dvd Calendar'!$AQ$214=TYPE2)*(TYPE2&lt;&gt;"")+('Dvd Calendar'!$AQ$214=TYPE3)*(TYPE3&lt;&gt;"")+('Dvd Calendar'!$AQ$214=TYPE4)*(TYPE4&lt;&gt;"")+('Dvd Calendar'!$AQ$214=SPECIAL_LBL)*(INC_SPECIALS="Y"))=0,"",'Dvd Calendar'!$AQ$212)))</f>
        <v/>
      </c>
      <c r="AP30" s="161">
        <f>IF(FR30="","",IF(ISNUMBER('Dvd Calendar'!$AR$212)=FALSE,"",IF((('Dvd Calendar'!$AR$214=TYPE1)*(TYPE1&lt;&gt;"")+('Dvd Calendar'!$AR$214=TYPE2)*(TYPE2&lt;&gt;"")+('Dvd Calendar'!$AR$214=TYPE3)*(TYPE3&lt;&gt;"")+('Dvd Calendar'!$AR$214=TYPE4)*(TYPE4&lt;&gt;"")+('Dvd Calendar'!$AR$214=SPECIAL_LBL)*(INC_SPECIALS="Y"))=0,"",'Dvd Calendar'!$AR$212)))</f>
        <v/>
      </c>
      <c r="AQ30" s="161">
        <f>IF(FS30="","",IF(ISNUMBER('Dvd Calendar'!$E$217)=FALSE,"",'Dvd Calendar'!$E$217))</f>
        <v/>
      </c>
      <c r="AR30" s="161">
        <f>IF(FT30="","",IF(ISNUMBER('Dvd Calendar'!$F$217)=FALSE,"",'Dvd Calendar'!$F$217))</f>
        <v/>
      </c>
      <c r="AS30" s="161">
        <f>IF(FU30="","",IF(ISNUMBER('Dvd Calendar'!$G$217)=FALSE,"",'Dvd Calendar'!$G$217))</f>
        <v/>
      </c>
      <c r="AT30" s="161">
        <f>IF(FV30="","",IF(ISNUMBER('Dvd Calendar'!$H$217)=FALSE,"",'Dvd Calendar'!$H$217))</f>
        <v/>
      </c>
      <c r="AU30" s="161">
        <f>IF(FW30="","",IF(ISNUMBER('Dvd Calendar'!$I$217)=FALSE,"",'Dvd Calendar'!$I$217))</f>
        <v/>
      </c>
      <c r="AV30" s="161">
        <f>IF(FX30="","",IF(ISNUMBER('Dvd Calendar'!$J$217)=FALSE,"",'Dvd Calendar'!$J$217))</f>
        <v/>
      </c>
      <c r="AW30" s="161">
        <f>IF(FY30="","",IF(ISNUMBER('Dvd Calendar'!$K$217)=FALSE,"",'Dvd Calendar'!$K$217))</f>
        <v/>
      </c>
      <c r="AX30" s="161">
        <f>IF(FZ30="","",IF(ISNUMBER('Dvd Calendar'!$L$217)=FALSE,"",'Dvd Calendar'!$L$217))</f>
        <v/>
      </c>
      <c r="AY30" s="161">
        <f>IF(GA30="","",IF(ISNUMBER('Dvd Calendar'!$M$217)=FALSE,"",'Dvd Calendar'!$M$217))</f>
        <v/>
      </c>
      <c r="AZ30" s="161">
        <f>IF(GB30="","",IF(ISNUMBER('Dvd Calendar'!$N$217)=FALSE,"",'Dvd Calendar'!$N$217))</f>
        <v/>
      </c>
      <c r="BA30" s="161">
        <f>IF(GC30="","",IF(ISNUMBER('Dvd Calendar'!$O$217)=FALSE,"",'Dvd Calendar'!$O$217))</f>
        <v/>
      </c>
      <c r="BB30" s="161">
        <f>IF(GD30="","",IF(ISNUMBER('Dvd Calendar'!$P$217)=FALSE,"",'Dvd Calendar'!$P$217))</f>
        <v/>
      </c>
      <c r="BC30" s="161">
        <f>IF(GE30="","",IF(ISNUMBER('Dvd Calendar'!$Q$217)=FALSE,"",'Dvd Calendar'!$Q$217))</f>
        <v/>
      </c>
      <c r="BD30" s="161">
        <f>IF(GF30="","",IF(ISNUMBER('Dvd Calendar'!$R$217)=FALSE,"",'Dvd Calendar'!$R$217))</f>
        <v/>
      </c>
      <c r="BE30" s="161">
        <f>IF(GG30="","",IF(ISNUMBER('Dvd Calendar'!$S$217)=FALSE,"",'Dvd Calendar'!$S$217))</f>
        <v/>
      </c>
      <c r="BF30" s="161">
        <f>IF(GH30="","",IF(ISNUMBER('Dvd Calendar'!$T$217)=FALSE,"",'Dvd Calendar'!$T$217))</f>
        <v/>
      </c>
      <c r="BG30" s="161">
        <f>IF(GI30="","",IF(ISNUMBER('Dvd Calendar'!$U$217)=FALSE,"",'Dvd Calendar'!$U$217))</f>
        <v/>
      </c>
      <c r="BH30" s="161">
        <f>IF(GJ30="","",IF(ISNUMBER('Dvd Calendar'!$V$217)=FALSE,"",'Dvd Calendar'!$V$217))</f>
        <v/>
      </c>
      <c r="BI30" s="161">
        <f>IF(GK30="","",IF(ISNUMBER('Dvd Calendar'!$W$217)=FALSE,"",'Dvd Calendar'!$W$217))</f>
        <v/>
      </c>
      <c r="BJ30" s="161">
        <f>IF(GL30="","",IF(ISNUMBER('Dvd Calendar'!$X$217)=FALSE,"",'Dvd Calendar'!$X$217))</f>
        <v/>
      </c>
      <c r="BK30" s="161">
        <f>IF(GM30="","",IF(ISNUMBER('Dvd Calendar'!$Y$217)=FALSE,"",'Dvd Calendar'!$Y$217))</f>
        <v/>
      </c>
      <c r="BL30" s="161">
        <f>IF(GN30="","",IF(ISNUMBER('Dvd Calendar'!$Z$217)=FALSE,"",'Dvd Calendar'!$Z$217))</f>
        <v/>
      </c>
      <c r="BM30" s="161">
        <f>IF(GO30="","",IF(ISNUMBER('Dvd Calendar'!$AA$217)=FALSE,"",'Dvd Calendar'!$AA$217))</f>
        <v/>
      </c>
      <c r="BN30" s="161">
        <f>IF(GP30="","",IF(ISNUMBER('Dvd Calendar'!$AB$217)=FALSE,"",'Dvd Calendar'!$AB$217))</f>
        <v/>
      </c>
      <c r="BO30" s="161">
        <f>IF(GQ30="","",IF(ISNUMBER('Dvd Calendar'!$AC$217)=FALSE,"",'Dvd Calendar'!$AC$217))</f>
        <v/>
      </c>
      <c r="BQ30" s="161">
        <f>IF(C30="","",IFERROR(C30*HSI!$B$25*HSI!$G$25/HSI!$B$3,""))</f>
        <v/>
      </c>
      <c r="BR30" s="161">
        <f>IF(D30="","",IFERROR(D30*HSI!$B$25*HSI!$G$25/HSI!$B$3,""))</f>
        <v/>
      </c>
      <c r="BS30" s="161">
        <f>IF(E30="","",IFERROR(E30*HSI!$B$25*HSI!$G$25/HSI!$B$3,""))</f>
        <v/>
      </c>
      <c r="BT30" s="161">
        <f>IF(F30="","",IFERROR(F30*HSI!$B$25*HSI!$G$25/HSI!$B$3,""))</f>
        <v/>
      </c>
      <c r="BU30" s="161">
        <f>IF(G30="","",IFERROR(G30*HSI!$B$25*HSI!$G$25/HSI!$B$3,""))</f>
        <v/>
      </c>
      <c r="BV30" s="161">
        <f>IF(H30="","",IFERROR(H30*HSI!$B$25*HSI!$G$25/HSI!$B$3,""))</f>
        <v/>
      </c>
      <c r="BW30" s="161">
        <f>IF(I30="","",IFERROR(I30*HSI!$B$25*HSI!$G$25/HSI!$B$3,""))</f>
        <v/>
      </c>
      <c r="BX30" s="161">
        <f>IF(J30="","",IFERROR(J30*HSI!$B$25*HSI!$G$25/HSI!$B$3,""))</f>
        <v/>
      </c>
      <c r="BY30" s="161">
        <f>IF(K30="","",IFERROR(K30*HSI!$B$25*HSI!$G$25/HSI!$B$3,""))</f>
        <v/>
      </c>
      <c r="BZ30" s="161">
        <f>IF(L30="","",IFERROR(L30*HSI!$B$25*HSI!$G$25/HSI!$B$3,""))</f>
        <v/>
      </c>
      <c r="CA30" s="161">
        <f>IF(M30="","",IFERROR(M30*HSI!$B$25*HSI!$G$25/HSI!$B$3,""))</f>
        <v/>
      </c>
      <c r="CB30" s="161">
        <f>IF(N30="","",IFERROR(N30*HSI!$B$25*HSI!$G$25/HSI!$B$3,""))</f>
        <v/>
      </c>
      <c r="CC30" s="161">
        <f>IF(O30="","",IFERROR(O30*HSI!$B$25*HSI!$G$25/HSI!$B$3,""))</f>
        <v/>
      </c>
      <c r="CD30" s="161">
        <f>IF(P30="","",IFERROR(P30*HSI!$B$25*HSI!$G$25/HSI!$B$3,""))</f>
        <v/>
      </c>
      <c r="CE30" s="161">
        <f>IF(Q30="","",IFERROR(Q30*HSI!$B$25*HSI!$G$25/HSI!$B$3,""))</f>
        <v/>
      </c>
      <c r="CF30" s="161">
        <f>IF(R30="","",IFERROR(R30*HSI!$B$25*HSI!$G$25/HSI!$B$3,""))</f>
        <v/>
      </c>
      <c r="CG30" s="161">
        <f>IF(S30="","",IFERROR(S30*HSI!$B$25*HSI!$G$25/HSI!$B$3,""))</f>
        <v/>
      </c>
      <c r="CH30" s="161">
        <f>IF(T30="","",IFERROR(T30*HSI!$B$25*HSI!$G$25/HSI!$B$3,""))</f>
        <v/>
      </c>
      <c r="CI30" s="161">
        <f>IF(U30="","",IFERROR(U30*HSI!$B$25*HSI!$G$25/HSI!$B$3,""))</f>
        <v/>
      </c>
      <c r="CJ30" s="161">
        <f>IF(V30="","",IFERROR(V30*HSI!$B$25*HSI!$G$25/HSI!$B$3,""))</f>
        <v/>
      </c>
      <c r="CK30" s="161">
        <f>IF(W30="","",IFERROR(W30*HSI!$B$25*HSI!$G$25/HSI!$B$3,""))</f>
        <v/>
      </c>
      <c r="CL30" s="161">
        <f>IF(X30="","",IFERROR(X30*HSI!$B$25*HSI!$G$25/HSI!$B$3,""))</f>
        <v/>
      </c>
      <c r="CM30" s="161">
        <f>IF(Y30="","",IFERROR(Y30*HSI!$B$25*HSI!$G$25/HSI!$B$3,""))</f>
        <v/>
      </c>
      <c r="CN30" s="161">
        <f>IF(Z30="","",IFERROR(Z30*HSI!$B$25*HSI!$G$25/HSI!$B$3,""))</f>
        <v/>
      </c>
      <c r="CO30" s="161">
        <f>IF(AA30="","",IFERROR(AA30*HSI!$B$25*HSI!$G$25/HSI!$B$3,""))</f>
        <v/>
      </c>
      <c r="CP30" s="161">
        <f>IF(AB30="","",IFERROR(AB30*HSI!$B$25*HSI!$G$25/HSI!$B$3,""))</f>
        <v/>
      </c>
      <c r="CQ30" s="161">
        <f>IF(AC30="","",IFERROR(AC30*HSI!$B$25*HSI!$G$25/HSI!$B$3,""))</f>
        <v/>
      </c>
      <c r="CR30" s="161">
        <f>IF(AD30="","",IFERROR(AD30*HSI!$B$25*HSI!$G$25/HSI!$B$3,""))</f>
        <v/>
      </c>
      <c r="CS30" s="161">
        <f>IF(AE30="","",IFERROR(AE30*HSI!$B$25*HSI!$G$25/HSI!$B$3,""))</f>
        <v/>
      </c>
      <c r="CT30" s="161">
        <f>IF(AF30="","",IFERROR(AF30*HSI!$B$25*HSI!$G$25/HSI!$B$3,""))</f>
        <v/>
      </c>
      <c r="CU30" s="161">
        <f>IF(AG30="","",IFERROR(AG30*HSI!$B$25*HSI!$G$25/HSI!$B$3,""))</f>
        <v/>
      </c>
      <c r="CV30" s="161">
        <f>IF(AH30="","",IFERROR(AH30*HSI!$B$25*HSI!$G$25/HSI!$B$3,""))</f>
        <v/>
      </c>
      <c r="CW30" s="161">
        <f>IF(AI30="","",IFERROR(AI30*HSI!$B$25*HSI!$G$25/HSI!$B$3,""))</f>
        <v/>
      </c>
      <c r="CX30" s="161">
        <f>IF(AJ30="","",IFERROR(AJ30*HSI!$B$25*HSI!$G$25/HSI!$B$3,""))</f>
        <v/>
      </c>
      <c r="CY30" s="161">
        <f>IF(AK30="","",IFERROR(AK30*HSI!$B$25*HSI!$G$25/HSI!$B$3,""))</f>
        <v/>
      </c>
      <c r="CZ30" s="161">
        <f>IF(AL30="","",IFERROR(AL30*HSI!$B$25*HSI!$G$25/HSI!$B$3,""))</f>
        <v/>
      </c>
      <c r="DA30" s="161">
        <f>IF(AM30="","",IFERROR(AM30*HSI!$B$25*HSI!$G$25/HSI!$B$3,""))</f>
        <v/>
      </c>
      <c r="DB30" s="161">
        <f>IF(AN30="","",IFERROR(AN30*HSI!$B$25*HSI!$G$25/HSI!$B$3,""))</f>
        <v/>
      </c>
      <c r="DC30" s="161">
        <f>IF(AO30="","",IFERROR(AO30*HSI!$B$25*HSI!$G$25/HSI!$B$3,""))</f>
        <v/>
      </c>
      <c r="DD30" s="161">
        <f>IF(AP30="","",IFERROR(AP30*HSI!$B$25*HSI!$G$25/HSI!$B$3,""))</f>
        <v/>
      </c>
      <c r="DE30" s="161">
        <f>IF(AQ30="","",IFERROR(AQ30*HSI!$B$25*HSI!$G$25/HSI!$B$3,""))</f>
        <v/>
      </c>
      <c r="DF30" s="161">
        <f>IF(AR30="","",IFERROR(AR30*HSI!$B$25*HSI!$G$25/HSI!$B$3,""))</f>
        <v/>
      </c>
      <c r="DG30" s="161">
        <f>IF(AS30="","",IFERROR(AS30*HSI!$B$25*HSI!$G$25/HSI!$B$3,""))</f>
        <v/>
      </c>
      <c r="DH30" s="161">
        <f>IF(AT30="","",IFERROR(AT30*HSI!$B$25*HSI!$G$25/HSI!$B$3,""))</f>
        <v/>
      </c>
      <c r="DI30" s="161">
        <f>IF(AU30="","",IFERROR(AU30*HSI!$B$25*HSI!$G$25/HSI!$B$3,""))</f>
        <v/>
      </c>
      <c r="DJ30" s="161">
        <f>IF(AV30="","",IFERROR(AV30*HSI!$B$25*HSI!$G$25/HSI!$B$3,""))</f>
        <v/>
      </c>
      <c r="DK30" s="161">
        <f>IF(AW30="","",IFERROR(AW30*HSI!$B$25*HSI!$G$25/HSI!$B$3,""))</f>
        <v/>
      </c>
      <c r="DL30" s="161">
        <f>IF(AX30="","",IFERROR(AX30*HSI!$B$25*HSI!$G$25/HSI!$B$3,""))</f>
        <v/>
      </c>
      <c r="DM30" s="161">
        <f>IF(AY30="","",IFERROR(AY30*HSI!$B$25*HSI!$G$25/HSI!$B$3,""))</f>
        <v/>
      </c>
      <c r="DN30" s="161">
        <f>IF(AZ30="","",IFERROR(AZ30*HSI!$B$25*HSI!$G$25/HSI!$B$3,""))</f>
        <v/>
      </c>
      <c r="DO30" s="161">
        <f>IF(BA30="","",IFERROR(BA30*HSI!$B$25*HSI!$G$25/HSI!$B$3,""))</f>
        <v/>
      </c>
      <c r="DP30" s="161">
        <f>IF(BB30="","",IFERROR(BB30*HSI!$B$25*HSI!$G$25/HSI!$B$3,""))</f>
        <v/>
      </c>
      <c r="DQ30" s="161">
        <f>IF(BC30="","",IFERROR(BC30*HSI!$B$25*HSI!$G$25/HSI!$B$3,""))</f>
        <v/>
      </c>
      <c r="DR30" s="161">
        <f>IF(BD30="","",IFERROR(BD30*HSI!$B$25*HSI!$G$25/HSI!$B$3,""))</f>
        <v/>
      </c>
      <c r="DS30" s="161">
        <f>IF(BE30="","",IFERROR(BE30*HSI!$B$25*HSI!$G$25/HSI!$B$3,""))</f>
        <v/>
      </c>
      <c r="DT30" s="161">
        <f>IF(BF30="","",IFERROR(BF30*HSI!$B$25*HSI!$G$25/HSI!$B$3,""))</f>
        <v/>
      </c>
      <c r="DU30" s="161">
        <f>IF(BG30="","",IFERROR(BG30*HSI!$B$25*HSI!$G$25/HSI!$B$3,""))</f>
        <v/>
      </c>
      <c r="DV30" s="161">
        <f>IF(BH30="","",IFERROR(BH30*HSI!$B$25*HSI!$G$25/HSI!$B$3,""))</f>
        <v/>
      </c>
      <c r="DW30" s="161">
        <f>IF(BI30="","",IFERROR(BI30*HSI!$B$25*HSI!$G$25/HSI!$B$3,""))</f>
        <v/>
      </c>
      <c r="DX30" s="161">
        <f>IF(BJ30="","",IFERROR(BJ30*HSI!$B$25*HSI!$G$25/HSI!$B$3,""))</f>
        <v/>
      </c>
      <c r="DY30" s="161">
        <f>IF(BK30="","",IFERROR(BK30*HSI!$B$25*HSI!$G$25/HSI!$B$3,""))</f>
        <v/>
      </c>
      <c r="DZ30" s="161">
        <f>IF(BL30="","",IFERROR(BL30*HSI!$B$25*HSI!$G$25/HSI!$B$3,""))</f>
        <v/>
      </c>
      <c r="EA30" s="161">
        <f>IF(BM30="","",IFERROR(BM30*HSI!$B$25*HSI!$G$25/HSI!$B$3,""))</f>
        <v/>
      </c>
      <c r="EB30" s="161">
        <f>IF(BN30="","",IFERROR(BN30*HSI!$B$25*HSI!$G$25/HSI!$B$3,""))</f>
        <v/>
      </c>
      <c r="EC30" s="161">
        <f>IF(BO30="","",IFERROR(BO30*HSI!$B$25*HSI!$G$25/HSI!$B$3,""))</f>
        <v/>
      </c>
      <c r="EE30" s="121">
        <f>IF(N('Dvd Calendar'!$E$209)=0,"",IF(('Dvd Calendar'!$E$209&gt;=GRID_FROM)*('Dvd Calendar'!$E$209&lt;=GRID_TO)*((('Dvd Calendar'!$E$209&lt;=VAL_DATE)+(COUNTIF('Dvd Calendar'!$E$216:$AR$216,'Dvd Calendar'!$E$209)=0))&gt;0)=0,"",'Dvd Calendar'!$E$209*1000000000+ISNUMBER('Dvd Calendar'!$E$212)*100000000+('Dvd Calendar'!$E$214=SPECIAL_LBL)*10000000+(N('Dvd Calendar'!$E$208)&gt;0)*(N('Dvd Calendar'!$E$208)&lt;=VAL_SERIAL)*1000000+19*1000+1))</f>
        <v/>
      </c>
      <c r="EF30" s="121">
        <f>IF(N('Dvd Calendar'!$F$209)=0,"",IF(('Dvd Calendar'!$F$209&gt;=GRID_FROM)*('Dvd Calendar'!$F$209&lt;=GRID_TO)*((('Dvd Calendar'!$F$209&lt;=VAL_DATE)+(COUNTIF('Dvd Calendar'!$E$216:$AR$216,'Dvd Calendar'!$F$209)=0))&gt;0)=0,"",'Dvd Calendar'!$F$209*1000000000+ISNUMBER('Dvd Calendar'!$F$212)*100000000+('Dvd Calendar'!$F$214=SPECIAL_LBL)*10000000+(N('Dvd Calendar'!$F$208)&gt;0)*(N('Dvd Calendar'!$F$208)&lt;=VAL_SERIAL)*1000000+19*1000+2))</f>
        <v/>
      </c>
      <c r="EG30" s="121">
        <f>IF(N('Dvd Calendar'!$G$209)=0,"",IF(('Dvd Calendar'!$G$209&gt;=GRID_FROM)*('Dvd Calendar'!$G$209&lt;=GRID_TO)*((('Dvd Calendar'!$G$209&lt;=VAL_DATE)+(COUNTIF('Dvd Calendar'!$E$216:$AR$216,'Dvd Calendar'!$G$209)=0))&gt;0)=0,"",'Dvd Calendar'!$G$209*1000000000+ISNUMBER('Dvd Calendar'!$G$212)*100000000+('Dvd Calendar'!$G$214=SPECIAL_LBL)*10000000+(N('Dvd Calendar'!$G$208)&gt;0)*(N('Dvd Calendar'!$G$208)&lt;=VAL_SERIAL)*1000000+19*1000+3))</f>
        <v/>
      </c>
      <c r="EH30" s="121">
        <f>IF(N('Dvd Calendar'!$H$209)=0,"",IF(('Dvd Calendar'!$H$209&gt;=GRID_FROM)*('Dvd Calendar'!$H$209&lt;=GRID_TO)*((('Dvd Calendar'!$H$209&lt;=VAL_DATE)+(COUNTIF('Dvd Calendar'!$E$216:$AR$216,'Dvd Calendar'!$H$209)=0))&gt;0)=0,"",'Dvd Calendar'!$H$209*1000000000+ISNUMBER('Dvd Calendar'!$H$212)*100000000+('Dvd Calendar'!$H$214=SPECIAL_LBL)*10000000+(N('Dvd Calendar'!$H$208)&gt;0)*(N('Dvd Calendar'!$H$208)&lt;=VAL_SERIAL)*1000000+19*1000+4))</f>
        <v/>
      </c>
      <c r="EI30" s="121">
        <f>IF(N('Dvd Calendar'!$I$209)=0,"",IF(('Dvd Calendar'!$I$209&gt;=GRID_FROM)*('Dvd Calendar'!$I$209&lt;=GRID_TO)*((('Dvd Calendar'!$I$209&lt;=VAL_DATE)+(COUNTIF('Dvd Calendar'!$E$216:$AR$216,'Dvd Calendar'!$I$209)=0))&gt;0)=0,"",'Dvd Calendar'!$I$209*1000000000+ISNUMBER('Dvd Calendar'!$I$212)*100000000+('Dvd Calendar'!$I$214=SPECIAL_LBL)*10000000+(N('Dvd Calendar'!$I$208)&gt;0)*(N('Dvd Calendar'!$I$208)&lt;=VAL_SERIAL)*1000000+19*1000+5))</f>
        <v/>
      </c>
      <c r="EJ30" s="121">
        <f>IF(N('Dvd Calendar'!$J$209)=0,"",IF(('Dvd Calendar'!$J$209&gt;=GRID_FROM)*('Dvd Calendar'!$J$209&lt;=GRID_TO)*((('Dvd Calendar'!$J$209&lt;=VAL_DATE)+(COUNTIF('Dvd Calendar'!$E$216:$AR$216,'Dvd Calendar'!$J$209)=0))&gt;0)=0,"",'Dvd Calendar'!$J$209*1000000000+ISNUMBER('Dvd Calendar'!$J$212)*100000000+('Dvd Calendar'!$J$214=SPECIAL_LBL)*10000000+(N('Dvd Calendar'!$J$208)&gt;0)*(N('Dvd Calendar'!$J$208)&lt;=VAL_SERIAL)*1000000+19*1000+6))</f>
        <v/>
      </c>
      <c r="EK30" s="121">
        <f>IF(N('Dvd Calendar'!$K$209)=0,"",IF(('Dvd Calendar'!$K$209&gt;=GRID_FROM)*('Dvd Calendar'!$K$209&lt;=GRID_TO)*((('Dvd Calendar'!$K$209&lt;=VAL_DATE)+(COUNTIF('Dvd Calendar'!$E$216:$AR$216,'Dvd Calendar'!$K$209)=0))&gt;0)=0,"",'Dvd Calendar'!$K$209*1000000000+ISNUMBER('Dvd Calendar'!$K$212)*100000000+('Dvd Calendar'!$K$214=SPECIAL_LBL)*10000000+(N('Dvd Calendar'!$K$208)&gt;0)*(N('Dvd Calendar'!$K$208)&lt;=VAL_SERIAL)*1000000+19*1000+7))</f>
        <v/>
      </c>
      <c r="EL30" s="121">
        <f>IF(N('Dvd Calendar'!$L$209)=0,"",IF(('Dvd Calendar'!$L$209&gt;=GRID_FROM)*('Dvd Calendar'!$L$209&lt;=GRID_TO)*((('Dvd Calendar'!$L$209&lt;=VAL_DATE)+(COUNTIF('Dvd Calendar'!$E$216:$AR$216,'Dvd Calendar'!$L$209)=0))&gt;0)=0,"",'Dvd Calendar'!$L$209*1000000000+ISNUMBER('Dvd Calendar'!$L$212)*100000000+('Dvd Calendar'!$L$214=SPECIAL_LBL)*10000000+(N('Dvd Calendar'!$L$208)&gt;0)*(N('Dvd Calendar'!$L$208)&lt;=VAL_SERIAL)*1000000+19*1000+8))</f>
        <v/>
      </c>
      <c r="EM30" s="121">
        <f>IF(N('Dvd Calendar'!$M$209)=0,"",IF(('Dvd Calendar'!$M$209&gt;=GRID_FROM)*('Dvd Calendar'!$M$209&lt;=GRID_TO)*((('Dvd Calendar'!$M$209&lt;=VAL_DATE)+(COUNTIF('Dvd Calendar'!$E$216:$AR$216,'Dvd Calendar'!$M$209)=0))&gt;0)=0,"",'Dvd Calendar'!$M$209*1000000000+ISNUMBER('Dvd Calendar'!$M$212)*100000000+('Dvd Calendar'!$M$214=SPECIAL_LBL)*10000000+(N('Dvd Calendar'!$M$208)&gt;0)*(N('Dvd Calendar'!$M$208)&lt;=VAL_SERIAL)*1000000+19*1000+9))</f>
        <v/>
      </c>
      <c r="EN30" s="121">
        <f>IF(N('Dvd Calendar'!$N$209)=0,"",IF(('Dvd Calendar'!$N$209&gt;=GRID_FROM)*('Dvd Calendar'!$N$209&lt;=GRID_TO)*((('Dvd Calendar'!$N$209&lt;=VAL_DATE)+(COUNTIF('Dvd Calendar'!$E$216:$AR$216,'Dvd Calendar'!$N$209)=0))&gt;0)=0,"",'Dvd Calendar'!$N$209*1000000000+ISNUMBER('Dvd Calendar'!$N$212)*100000000+('Dvd Calendar'!$N$214=SPECIAL_LBL)*10000000+(N('Dvd Calendar'!$N$208)&gt;0)*(N('Dvd Calendar'!$N$208)&lt;=VAL_SERIAL)*1000000+19*1000+10))</f>
        <v/>
      </c>
      <c r="EO30" s="121">
        <f>IF(N('Dvd Calendar'!$O$209)=0,"",IF(('Dvd Calendar'!$O$209&gt;=GRID_FROM)*('Dvd Calendar'!$O$209&lt;=GRID_TO)*((('Dvd Calendar'!$O$209&lt;=VAL_DATE)+(COUNTIF('Dvd Calendar'!$E$216:$AR$216,'Dvd Calendar'!$O$209)=0))&gt;0)=0,"",'Dvd Calendar'!$O$209*1000000000+ISNUMBER('Dvd Calendar'!$O$212)*100000000+('Dvd Calendar'!$O$214=SPECIAL_LBL)*10000000+(N('Dvd Calendar'!$O$208)&gt;0)*(N('Dvd Calendar'!$O$208)&lt;=VAL_SERIAL)*1000000+19*1000+11))</f>
        <v/>
      </c>
      <c r="EP30" s="121">
        <f>IF(N('Dvd Calendar'!$P$209)=0,"",IF(('Dvd Calendar'!$P$209&gt;=GRID_FROM)*('Dvd Calendar'!$P$209&lt;=GRID_TO)*((('Dvd Calendar'!$P$209&lt;=VAL_DATE)+(COUNTIF('Dvd Calendar'!$E$216:$AR$216,'Dvd Calendar'!$P$209)=0))&gt;0)=0,"",'Dvd Calendar'!$P$209*1000000000+ISNUMBER('Dvd Calendar'!$P$212)*100000000+('Dvd Calendar'!$P$214=SPECIAL_LBL)*10000000+(N('Dvd Calendar'!$P$208)&gt;0)*(N('Dvd Calendar'!$P$208)&lt;=VAL_SERIAL)*1000000+19*1000+12))</f>
        <v/>
      </c>
      <c r="EQ30" s="121">
        <f>IF(N('Dvd Calendar'!$Q$209)=0,"",IF(('Dvd Calendar'!$Q$209&gt;=GRID_FROM)*('Dvd Calendar'!$Q$209&lt;=GRID_TO)*((('Dvd Calendar'!$Q$209&lt;=VAL_DATE)+(COUNTIF('Dvd Calendar'!$E$216:$AR$216,'Dvd Calendar'!$Q$209)=0))&gt;0)=0,"",'Dvd Calendar'!$Q$209*1000000000+ISNUMBER('Dvd Calendar'!$Q$212)*100000000+('Dvd Calendar'!$Q$214=SPECIAL_LBL)*10000000+(N('Dvd Calendar'!$Q$208)&gt;0)*(N('Dvd Calendar'!$Q$208)&lt;=VAL_SERIAL)*1000000+19*1000+13))</f>
        <v/>
      </c>
      <c r="ER30" s="121">
        <f>IF(N('Dvd Calendar'!$R$209)=0,"",IF(('Dvd Calendar'!$R$209&gt;=GRID_FROM)*('Dvd Calendar'!$R$209&lt;=GRID_TO)*((('Dvd Calendar'!$R$209&lt;=VAL_DATE)+(COUNTIF('Dvd Calendar'!$E$216:$AR$216,'Dvd Calendar'!$R$209)=0))&gt;0)=0,"",'Dvd Calendar'!$R$209*1000000000+ISNUMBER('Dvd Calendar'!$R$212)*100000000+('Dvd Calendar'!$R$214=SPECIAL_LBL)*10000000+(N('Dvd Calendar'!$R$208)&gt;0)*(N('Dvd Calendar'!$R$208)&lt;=VAL_SERIAL)*1000000+19*1000+14))</f>
        <v/>
      </c>
      <c r="ES30" s="121">
        <f>IF(N('Dvd Calendar'!$S$209)=0,"",IF(('Dvd Calendar'!$S$209&gt;=GRID_FROM)*('Dvd Calendar'!$S$209&lt;=GRID_TO)*((('Dvd Calendar'!$S$209&lt;=VAL_DATE)+(COUNTIF('Dvd Calendar'!$E$216:$AR$216,'Dvd Calendar'!$S$209)=0))&gt;0)=0,"",'Dvd Calendar'!$S$209*1000000000+ISNUMBER('Dvd Calendar'!$S$212)*100000000+('Dvd Calendar'!$S$214=SPECIAL_LBL)*10000000+(N('Dvd Calendar'!$S$208)&gt;0)*(N('Dvd Calendar'!$S$208)&lt;=VAL_SERIAL)*1000000+19*1000+15))</f>
        <v/>
      </c>
      <c r="ET30" s="121">
        <f>IF(N('Dvd Calendar'!$T$209)=0,"",IF(('Dvd Calendar'!$T$209&gt;=GRID_FROM)*('Dvd Calendar'!$T$209&lt;=GRID_TO)*((('Dvd Calendar'!$T$209&lt;=VAL_DATE)+(COUNTIF('Dvd Calendar'!$E$216:$AR$216,'Dvd Calendar'!$T$209)=0))&gt;0)=0,"",'Dvd Calendar'!$T$209*1000000000+ISNUMBER('Dvd Calendar'!$T$212)*100000000+('Dvd Calendar'!$T$214=SPECIAL_LBL)*10000000+(N('Dvd Calendar'!$T$208)&gt;0)*(N('Dvd Calendar'!$T$208)&lt;=VAL_SERIAL)*1000000+19*1000+16))</f>
        <v/>
      </c>
      <c r="EU30" s="121">
        <f>IF(N('Dvd Calendar'!$U$209)=0,"",IF(('Dvd Calendar'!$U$209&gt;=GRID_FROM)*('Dvd Calendar'!$U$209&lt;=GRID_TO)*((('Dvd Calendar'!$U$209&lt;=VAL_DATE)+(COUNTIF('Dvd Calendar'!$E$216:$AR$216,'Dvd Calendar'!$U$209)=0))&gt;0)=0,"",'Dvd Calendar'!$U$209*1000000000+ISNUMBER('Dvd Calendar'!$U$212)*100000000+('Dvd Calendar'!$U$214=SPECIAL_LBL)*10000000+(N('Dvd Calendar'!$U$208)&gt;0)*(N('Dvd Calendar'!$U$208)&lt;=VAL_SERIAL)*1000000+19*1000+17))</f>
        <v/>
      </c>
      <c r="EV30" s="121">
        <f>IF(N('Dvd Calendar'!$V$209)=0,"",IF(('Dvd Calendar'!$V$209&gt;=GRID_FROM)*('Dvd Calendar'!$V$209&lt;=GRID_TO)*((('Dvd Calendar'!$V$209&lt;=VAL_DATE)+(COUNTIF('Dvd Calendar'!$E$216:$AR$216,'Dvd Calendar'!$V$209)=0))&gt;0)=0,"",'Dvd Calendar'!$V$209*1000000000+ISNUMBER('Dvd Calendar'!$V$212)*100000000+('Dvd Calendar'!$V$214=SPECIAL_LBL)*10000000+(N('Dvd Calendar'!$V$208)&gt;0)*(N('Dvd Calendar'!$V$208)&lt;=VAL_SERIAL)*1000000+19*1000+18))</f>
        <v/>
      </c>
      <c r="EW30" s="121">
        <f>IF(N('Dvd Calendar'!$W$209)=0,"",IF(('Dvd Calendar'!$W$209&gt;=GRID_FROM)*('Dvd Calendar'!$W$209&lt;=GRID_TO)*((('Dvd Calendar'!$W$209&lt;=VAL_DATE)+(COUNTIF('Dvd Calendar'!$E$216:$AR$216,'Dvd Calendar'!$W$209)=0))&gt;0)=0,"",'Dvd Calendar'!$W$209*1000000000+ISNUMBER('Dvd Calendar'!$W$212)*100000000+('Dvd Calendar'!$W$214=SPECIAL_LBL)*10000000+(N('Dvd Calendar'!$W$208)&gt;0)*(N('Dvd Calendar'!$W$208)&lt;=VAL_SERIAL)*1000000+19*1000+19))</f>
        <v/>
      </c>
      <c r="EX30" s="121">
        <f>IF(N('Dvd Calendar'!$X$209)=0,"",IF(('Dvd Calendar'!$X$209&gt;=GRID_FROM)*('Dvd Calendar'!$X$209&lt;=GRID_TO)*((('Dvd Calendar'!$X$209&lt;=VAL_DATE)+(COUNTIF('Dvd Calendar'!$E$216:$AR$216,'Dvd Calendar'!$X$209)=0))&gt;0)=0,"",'Dvd Calendar'!$X$209*1000000000+ISNUMBER('Dvd Calendar'!$X$212)*100000000+('Dvd Calendar'!$X$214=SPECIAL_LBL)*10000000+(N('Dvd Calendar'!$X$208)&gt;0)*(N('Dvd Calendar'!$X$208)&lt;=VAL_SERIAL)*1000000+19*1000+20))</f>
        <v/>
      </c>
      <c r="EY30" s="121">
        <f>IF(N('Dvd Calendar'!$Y$209)=0,"",IF(('Dvd Calendar'!$Y$209&gt;=GRID_FROM)*('Dvd Calendar'!$Y$209&lt;=GRID_TO)*((('Dvd Calendar'!$Y$209&lt;=VAL_DATE)+(COUNTIF('Dvd Calendar'!$E$216:$AR$216,'Dvd Calendar'!$Y$209)=0))&gt;0)=0,"",'Dvd Calendar'!$Y$209*1000000000+ISNUMBER('Dvd Calendar'!$Y$212)*100000000+('Dvd Calendar'!$Y$214=SPECIAL_LBL)*10000000+(N('Dvd Calendar'!$Y$208)&gt;0)*(N('Dvd Calendar'!$Y$208)&lt;=VAL_SERIAL)*1000000+19*1000+21))</f>
        <v/>
      </c>
      <c r="EZ30" s="121">
        <f>IF(N('Dvd Calendar'!$Z$209)=0,"",IF(('Dvd Calendar'!$Z$209&gt;=GRID_FROM)*('Dvd Calendar'!$Z$209&lt;=GRID_TO)*((('Dvd Calendar'!$Z$209&lt;=VAL_DATE)+(COUNTIF('Dvd Calendar'!$E$216:$AR$216,'Dvd Calendar'!$Z$209)=0))&gt;0)=0,"",'Dvd Calendar'!$Z$209*1000000000+ISNUMBER('Dvd Calendar'!$Z$212)*100000000+('Dvd Calendar'!$Z$214=SPECIAL_LBL)*10000000+(N('Dvd Calendar'!$Z$208)&gt;0)*(N('Dvd Calendar'!$Z$208)&lt;=VAL_SERIAL)*1000000+19*1000+22))</f>
        <v/>
      </c>
      <c r="FA30" s="121">
        <f>IF(N('Dvd Calendar'!$AA$209)=0,"",IF(('Dvd Calendar'!$AA$209&gt;=GRID_FROM)*('Dvd Calendar'!$AA$209&lt;=GRID_TO)*((('Dvd Calendar'!$AA$209&lt;=VAL_DATE)+(COUNTIF('Dvd Calendar'!$E$216:$AR$216,'Dvd Calendar'!$AA$209)=0))&gt;0)=0,"",'Dvd Calendar'!$AA$209*1000000000+ISNUMBER('Dvd Calendar'!$AA$212)*100000000+('Dvd Calendar'!$AA$214=SPECIAL_LBL)*10000000+(N('Dvd Calendar'!$AA$208)&gt;0)*(N('Dvd Calendar'!$AA$208)&lt;=VAL_SERIAL)*1000000+19*1000+23))</f>
        <v/>
      </c>
      <c r="FB30" s="121">
        <f>IF(N('Dvd Calendar'!$AB$209)=0,"",IF(('Dvd Calendar'!$AB$209&gt;=GRID_FROM)*('Dvd Calendar'!$AB$209&lt;=GRID_TO)*((('Dvd Calendar'!$AB$209&lt;=VAL_DATE)+(COUNTIF('Dvd Calendar'!$E$216:$AR$216,'Dvd Calendar'!$AB$209)=0))&gt;0)=0,"",'Dvd Calendar'!$AB$209*1000000000+ISNUMBER('Dvd Calendar'!$AB$212)*100000000+('Dvd Calendar'!$AB$214=SPECIAL_LBL)*10000000+(N('Dvd Calendar'!$AB$208)&gt;0)*(N('Dvd Calendar'!$AB$208)&lt;=VAL_SERIAL)*1000000+19*1000+24))</f>
        <v/>
      </c>
      <c r="FC30" s="121">
        <f>IF(N('Dvd Calendar'!$AC$209)=0,"",IF(('Dvd Calendar'!$AC$209&gt;=GRID_FROM)*('Dvd Calendar'!$AC$209&lt;=GRID_TO)*((('Dvd Calendar'!$AC$209&lt;=VAL_DATE)+(COUNTIF('Dvd Calendar'!$E$216:$AR$216,'Dvd Calendar'!$AC$209)=0))&gt;0)=0,"",'Dvd Calendar'!$AC$209*1000000000+ISNUMBER('Dvd Calendar'!$AC$212)*100000000+('Dvd Calendar'!$AC$214=SPECIAL_LBL)*10000000+(N('Dvd Calendar'!$AC$208)&gt;0)*(N('Dvd Calendar'!$AC$208)&lt;=VAL_SERIAL)*1000000+19*1000+25))</f>
        <v/>
      </c>
      <c r="FD30" s="121">
        <f>IF(N('Dvd Calendar'!$AD$209)=0,"",IF(('Dvd Calendar'!$AD$209&gt;=GRID_FROM)*('Dvd Calendar'!$AD$209&lt;=GRID_TO)*((('Dvd Calendar'!$AD$209&lt;=VAL_DATE)+(COUNTIF('Dvd Calendar'!$E$216:$AR$216,'Dvd Calendar'!$AD$209)=0))&gt;0)=0,"",'Dvd Calendar'!$AD$209*1000000000+ISNUMBER('Dvd Calendar'!$AD$212)*100000000+('Dvd Calendar'!$AD$214=SPECIAL_LBL)*10000000+(N('Dvd Calendar'!$AD$208)&gt;0)*(N('Dvd Calendar'!$AD$208)&lt;=VAL_SERIAL)*1000000+19*1000+26))</f>
        <v/>
      </c>
      <c r="FE30" s="121">
        <f>IF(N('Dvd Calendar'!$AE$209)=0,"",IF(('Dvd Calendar'!$AE$209&gt;=GRID_FROM)*('Dvd Calendar'!$AE$209&lt;=GRID_TO)*((('Dvd Calendar'!$AE$209&lt;=VAL_DATE)+(COUNTIF('Dvd Calendar'!$E$216:$AR$216,'Dvd Calendar'!$AE$209)=0))&gt;0)=0,"",'Dvd Calendar'!$AE$209*1000000000+ISNUMBER('Dvd Calendar'!$AE$212)*100000000+('Dvd Calendar'!$AE$214=SPECIAL_LBL)*10000000+(N('Dvd Calendar'!$AE$208)&gt;0)*(N('Dvd Calendar'!$AE$208)&lt;=VAL_SERIAL)*1000000+19*1000+27))</f>
        <v/>
      </c>
      <c r="FF30" s="121">
        <f>IF(N('Dvd Calendar'!$AF$209)=0,"",IF(('Dvd Calendar'!$AF$209&gt;=GRID_FROM)*('Dvd Calendar'!$AF$209&lt;=GRID_TO)*((('Dvd Calendar'!$AF$209&lt;=VAL_DATE)+(COUNTIF('Dvd Calendar'!$E$216:$AR$216,'Dvd Calendar'!$AF$209)=0))&gt;0)=0,"",'Dvd Calendar'!$AF$209*1000000000+ISNUMBER('Dvd Calendar'!$AF$212)*100000000+('Dvd Calendar'!$AF$214=SPECIAL_LBL)*10000000+(N('Dvd Calendar'!$AF$208)&gt;0)*(N('Dvd Calendar'!$AF$208)&lt;=VAL_SERIAL)*1000000+19*1000+28))</f>
        <v/>
      </c>
      <c r="FG30" s="121">
        <f>IF(N('Dvd Calendar'!$AG$209)=0,"",IF(('Dvd Calendar'!$AG$209&gt;=GRID_FROM)*('Dvd Calendar'!$AG$209&lt;=GRID_TO)*((('Dvd Calendar'!$AG$209&lt;=VAL_DATE)+(COUNTIF('Dvd Calendar'!$E$216:$AR$216,'Dvd Calendar'!$AG$209)=0))&gt;0)=0,"",'Dvd Calendar'!$AG$209*1000000000+ISNUMBER('Dvd Calendar'!$AG$212)*100000000+('Dvd Calendar'!$AG$214=SPECIAL_LBL)*10000000+(N('Dvd Calendar'!$AG$208)&gt;0)*(N('Dvd Calendar'!$AG$208)&lt;=VAL_SERIAL)*1000000+19*1000+29))</f>
        <v/>
      </c>
      <c r="FH30" s="121">
        <f>IF(N('Dvd Calendar'!$AH$209)=0,"",IF(('Dvd Calendar'!$AH$209&gt;=GRID_FROM)*('Dvd Calendar'!$AH$209&lt;=GRID_TO)*((('Dvd Calendar'!$AH$209&lt;=VAL_DATE)+(COUNTIF('Dvd Calendar'!$E$216:$AR$216,'Dvd Calendar'!$AH$209)=0))&gt;0)=0,"",'Dvd Calendar'!$AH$209*1000000000+ISNUMBER('Dvd Calendar'!$AH$212)*100000000+('Dvd Calendar'!$AH$214=SPECIAL_LBL)*10000000+(N('Dvd Calendar'!$AH$208)&gt;0)*(N('Dvd Calendar'!$AH$208)&lt;=VAL_SERIAL)*1000000+19*1000+30))</f>
        <v/>
      </c>
      <c r="FI30" s="121">
        <f>IF(N('Dvd Calendar'!$AI$209)=0,"",IF(('Dvd Calendar'!$AI$209&gt;=GRID_FROM)*('Dvd Calendar'!$AI$209&lt;=GRID_TO)*((('Dvd Calendar'!$AI$209&lt;=VAL_DATE)+(COUNTIF('Dvd Calendar'!$E$216:$AR$216,'Dvd Calendar'!$AI$209)=0))&gt;0)=0,"",'Dvd Calendar'!$AI$209*1000000000+ISNUMBER('Dvd Calendar'!$AI$212)*100000000+('Dvd Calendar'!$AI$214=SPECIAL_LBL)*10000000+(N('Dvd Calendar'!$AI$208)&gt;0)*(N('Dvd Calendar'!$AI$208)&lt;=VAL_SERIAL)*1000000+19*1000+31))</f>
        <v/>
      </c>
      <c r="FJ30" s="121">
        <f>IF(N('Dvd Calendar'!$AJ$209)=0,"",IF(('Dvd Calendar'!$AJ$209&gt;=GRID_FROM)*('Dvd Calendar'!$AJ$209&lt;=GRID_TO)*((('Dvd Calendar'!$AJ$209&lt;=VAL_DATE)+(COUNTIF('Dvd Calendar'!$E$216:$AR$216,'Dvd Calendar'!$AJ$209)=0))&gt;0)=0,"",'Dvd Calendar'!$AJ$209*1000000000+ISNUMBER('Dvd Calendar'!$AJ$212)*100000000+('Dvd Calendar'!$AJ$214=SPECIAL_LBL)*10000000+(N('Dvd Calendar'!$AJ$208)&gt;0)*(N('Dvd Calendar'!$AJ$208)&lt;=VAL_SERIAL)*1000000+19*1000+32))</f>
        <v/>
      </c>
      <c r="FK30" s="121">
        <f>IF(N('Dvd Calendar'!$AK$209)=0,"",IF(('Dvd Calendar'!$AK$209&gt;=GRID_FROM)*('Dvd Calendar'!$AK$209&lt;=GRID_TO)*((('Dvd Calendar'!$AK$209&lt;=VAL_DATE)+(COUNTIF('Dvd Calendar'!$E$216:$AR$216,'Dvd Calendar'!$AK$209)=0))&gt;0)=0,"",'Dvd Calendar'!$AK$209*1000000000+ISNUMBER('Dvd Calendar'!$AK$212)*100000000+('Dvd Calendar'!$AK$214=SPECIAL_LBL)*10000000+(N('Dvd Calendar'!$AK$208)&gt;0)*(N('Dvd Calendar'!$AK$208)&lt;=VAL_SERIAL)*1000000+19*1000+33))</f>
        <v/>
      </c>
      <c r="FL30" s="121">
        <f>IF(N('Dvd Calendar'!$AL$209)=0,"",IF(('Dvd Calendar'!$AL$209&gt;=GRID_FROM)*('Dvd Calendar'!$AL$209&lt;=GRID_TO)*((('Dvd Calendar'!$AL$209&lt;=VAL_DATE)+(COUNTIF('Dvd Calendar'!$E$216:$AR$216,'Dvd Calendar'!$AL$209)=0))&gt;0)=0,"",'Dvd Calendar'!$AL$209*1000000000+ISNUMBER('Dvd Calendar'!$AL$212)*100000000+('Dvd Calendar'!$AL$214=SPECIAL_LBL)*10000000+(N('Dvd Calendar'!$AL$208)&gt;0)*(N('Dvd Calendar'!$AL$208)&lt;=VAL_SERIAL)*1000000+19*1000+34))</f>
        <v/>
      </c>
      <c r="FM30" s="121">
        <f>IF(N('Dvd Calendar'!$AM$209)=0,"",IF(('Dvd Calendar'!$AM$209&gt;=GRID_FROM)*('Dvd Calendar'!$AM$209&lt;=GRID_TO)*((('Dvd Calendar'!$AM$209&lt;=VAL_DATE)+(COUNTIF('Dvd Calendar'!$E$216:$AR$216,'Dvd Calendar'!$AM$209)=0))&gt;0)=0,"",'Dvd Calendar'!$AM$209*1000000000+ISNUMBER('Dvd Calendar'!$AM$212)*100000000+('Dvd Calendar'!$AM$214=SPECIAL_LBL)*10000000+(N('Dvd Calendar'!$AM$208)&gt;0)*(N('Dvd Calendar'!$AM$208)&lt;=VAL_SERIAL)*1000000+19*1000+35))</f>
        <v/>
      </c>
      <c r="FN30" s="121">
        <f>IF(N('Dvd Calendar'!$AN$209)=0,"",IF(('Dvd Calendar'!$AN$209&gt;=GRID_FROM)*('Dvd Calendar'!$AN$209&lt;=GRID_TO)*((('Dvd Calendar'!$AN$209&lt;=VAL_DATE)+(COUNTIF('Dvd Calendar'!$E$216:$AR$216,'Dvd Calendar'!$AN$209)=0))&gt;0)=0,"",'Dvd Calendar'!$AN$209*1000000000+ISNUMBER('Dvd Calendar'!$AN$212)*100000000+('Dvd Calendar'!$AN$214=SPECIAL_LBL)*10000000+(N('Dvd Calendar'!$AN$208)&gt;0)*(N('Dvd Calendar'!$AN$208)&lt;=VAL_SERIAL)*1000000+19*1000+36))</f>
        <v/>
      </c>
      <c r="FO30" s="121">
        <f>IF(N('Dvd Calendar'!$AO$209)=0,"",IF(('Dvd Calendar'!$AO$209&gt;=GRID_FROM)*('Dvd Calendar'!$AO$209&lt;=GRID_TO)*((('Dvd Calendar'!$AO$209&lt;=VAL_DATE)+(COUNTIF('Dvd Calendar'!$E$216:$AR$216,'Dvd Calendar'!$AO$209)=0))&gt;0)=0,"",'Dvd Calendar'!$AO$209*1000000000+ISNUMBER('Dvd Calendar'!$AO$212)*100000000+('Dvd Calendar'!$AO$214=SPECIAL_LBL)*10000000+(N('Dvd Calendar'!$AO$208)&gt;0)*(N('Dvd Calendar'!$AO$208)&lt;=VAL_SERIAL)*1000000+19*1000+37))</f>
        <v/>
      </c>
      <c r="FP30" s="121">
        <f>IF(N('Dvd Calendar'!$AP$209)=0,"",IF(('Dvd Calendar'!$AP$209&gt;=GRID_FROM)*('Dvd Calendar'!$AP$209&lt;=GRID_TO)*((('Dvd Calendar'!$AP$209&lt;=VAL_DATE)+(COUNTIF('Dvd Calendar'!$E$216:$AR$216,'Dvd Calendar'!$AP$209)=0))&gt;0)=0,"",'Dvd Calendar'!$AP$209*1000000000+ISNUMBER('Dvd Calendar'!$AP$212)*100000000+('Dvd Calendar'!$AP$214=SPECIAL_LBL)*10000000+(N('Dvd Calendar'!$AP$208)&gt;0)*(N('Dvd Calendar'!$AP$208)&lt;=VAL_SERIAL)*1000000+19*1000+38))</f>
        <v/>
      </c>
      <c r="FQ30" s="121">
        <f>IF(N('Dvd Calendar'!$AQ$209)=0,"",IF(('Dvd Calendar'!$AQ$209&gt;=GRID_FROM)*('Dvd Calendar'!$AQ$209&lt;=GRID_TO)*((('Dvd Calendar'!$AQ$209&lt;=VAL_DATE)+(COUNTIF('Dvd Calendar'!$E$216:$AR$216,'Dvd Calendar'!$AQ$209)=0))&gt;0)=0,"",'Dvd Calendar'!$AQ$209*1000000000+ISNUMBER('Dvd Calendar'!$AQ$212)*100000000+('Dvd Calendar'!$AQ$214=SPECIAL_LBL)*10000000+(N('Dvd Calendar'!$AQ$208)&gt;0)*(N('Dvd Calendar'!$AQ$208)&lt;=VAL_SERIAL)*1000000+19*1000+39))</f>
        <v/>
      </c>
      <c r="FR30" s="121">
        <f>IF(N('Dvd Calendar'!$AR$209)=0,"",IF(('Dvd Calendar'!$AR$209&gt;=GRID_FROM)*('Dvd Calendar'!$AR$209&lt;=GRID_TO)*((('Dvd Calendar'!$AR$209&lt;=VAL_DATE)+(COUNTIF('Dvd Calendar'!$E$216:$AR$216,'Dvd Calendar'!$AR$209)=0))&gt;0)=0,"",'Dvd Calendar'!$AR$209*1000000000+ISNUMBER('Dvd Calendar'!$AR$212)*100000000+('Dvd Calendar'!$AR$214=SPECIAL_LBL)*10000000+(N('Dvd Calendar'!$AR$208)&gt;0)*(N('Dvd Calendar'!$AR$208)&lt;=VAL_SERIAL)*1000000+19*1000+40))</f>
        <v/>
      </c>
      <c r="FS30" s="121">
        <f>IF(N('Dvd Calendar'!$E$216)=0,"",IF(('Dvd Calendar'!$E$216&gt;=GRID_FROM)*('Dvd Calendar'!$E$216&lt;=GRID_TO)*('Dvd Calendar'!$E$216&gt;VAL_DATE)=0,"",'Dvd Calendar'!$E$216*1000000000+ISNUMBER('Dvd Calendar'!$E$217)*100000000+0*10000000+(N('Dvd Calendar'!$E$215)&gt;0)*(N('Dvd Calendar'!$E$215)&lt;=VAL_SERIAL)*1000000+19*1000+41))</f>
        <v/>
      </c>
      <c r="FT30" s="121">
        <f>IF(N('Dvd Calendar'!$F$216)=0,"",IF(('Dvd Calendar'!$F$216&gt;=GRID_FROM)*('Dvd Calendar'!$F$216&lt;=GRID_TO)*('Dvd Calendar'!$F$216&gt;VAL_DATE)=0,"",'Dvd Calendar'!$F$216*1000000000+ISNUMBER('Dvd Calendar'!$F$217)*100000000+0*10000000+(N('Dvd Calendar'!$F$215)&gt;0)*(N('Dvd Calendar'!$F$215)&lt;=VAL_SERIAL)*1000000+19*1000+42))</f>
        <v/>
      </c>
      <c r="FU30" s="121">
        <f>IF(N('Dvd Calendar'!$G$216)=0,"",IF(('Dvd Calendar'!$G$216&gt;=GRID_FROM)*('Dvd Calendar'!$G$216&lt;=GRID_TO)*('Dvd Calendar'!$G$216&gt;VAL_DATE)=0,"",'Dvd Calendar'!$G$216*1000000000+ISNUMBER('Dvd Calendar'!$G$217)*100000000+0*10000000+(N('Dvd Calendar'!$G$215)&gt;0)*(N('Dvd Calendar'!$G$215)&lt;=VAL_SERIAL)*1000000+19*1000+43))</f>
        <v/>
      </c>
      <c r="FV30" s="121">
        <f>IF(N('Dvd Calendar'!$H$216)=0,"",IF(('Dvd Calendar'!$H$216&gt;=GRID_FROM)*('Dvd Calendar'!$H$216&lt;=GRID_TO)*('Dvd Calendar'!$H$216&gt;VAL_DATE)=0,"",'Dvd Calendar'!$H$216*1000000000+ISNUMBER('Dvd Calendar'!$H$217)*100000000+0*10000000+(N('Dvd Calendar'!$H$215)&gt;0)*(N('Dvd Calendar'!$H$215)&lt;=VAL_SERIAL)*1000000+19*1000+44))</f>
        <v/>
      </c>
      <c r="FW30" s="121">
        <f>IF(N('Dvd Calendar'!$I$216)=0,"",IF(('Dvd Calendar'!$I$216&gt;=GRID_FROM)*('Dvd Calendar'!$I$216&lt;=GRID_TO)*('Dvd Calendar'!$I$216&gt;VAL_DATE)=0,"",'Dvd Calendar'!$I$216*1000000000+ISNUMBER('Dvd Calendar'!$I$217)*100000000+0*10000000+(N('Dvd Calendar'!$I$215)&gt;0)*(N('Dvd Calendar'!$I$215)&lt;=VAL_SERIAL)*1000000+19*1000+45))</f>
        <v/>
      </c>
      <c r="FX30" s="121">
        <f>IF(N('Dvd Calendar'!$J$216)=0,"",IF(('Dvd Calendar'!$J$216&gt;=GRID_FROM)*('Dvd Calendar'!$J$216&lt;=GRID_TO)*('Dvd Calendar'!$J$216&gt;VAL_DATE)=0,"",'Dvd Calendar'!$J$216*1000000000+ISNUMBER('Dvd Calendar'!$J$217)*100000000+0*10000000+(N('Dvd Calendar'!$J$215)&gt;0)*(N('Dvd Calendar'!$J$215)&lt;=VAL_SERIAL)*1000000+19*1000+46))</f>
        <v/>
      </c>
      <c r="FY30" s="121">
        <f>IF(N('Dvd Calendar'!$K$216)=0,"",IF(('Dvd Calendar'!$K$216&gt;=GRID_FROM)*('Dvd Calendar'!$K$216&lt;=GRID_TO)*('Dvd Calendar'!$K$216&gt;VAL_DATE)=0,"",'Dvd Calendar'!$K$216*1000000000+ISNUMBER('Dvd Calendar'!$K$217)*100000000+0*10000000+(N('Dvd Calendar'!$K$215)&gt;0)*(N('Dvd Calendar'!$K$215)&lt;=VAL_SERIAL)*1000000+19*1000+47))</f>
        <v/>
      </c>
      <c r="FZ30" s="121">
        <f>IF(N('Dvd Calendar'!$L$216)=0,"",IF(('Dvd Calendar'!$L$216&gt;=GRID_FROM)*('Dvd Calendar'!$L$216&lt;=GRID_TO)*('Dvd Calendar'!$L$216&gt;VAL_DATE)=0,"",'Dvd Calendar'!$L$216*1000000000+ISNUMBER('Dvd Calendar'!$L$217)*100000000+0*10000000+(N('Dvd Calendar'!$L$215)&gt;0)*(N('Dvd Calendar'!$L$215)&lt;=VAL_SERIAL)*1000000+19*1000+48))</f>
        <v/>
      </c>
      <c r="GA30" s="121">
        <f>IF(N('Dvd Calendar'!$M$216)=0,"",IF(('Dvd Calendar'!$M$216&gt;=GRID_FROM)*('Dvd Calendar'!$M$216&lt;=GRID_TO)*('Dvd Calendar'!$M$216&gt;VAL_DATE)=0,"",'Dvd Calendar'!$M$216*1000000000+ISNUMBER('Dvd Calendar'!$M$217)*100000000+0*10000000+(N('Dvd Calendar'!$M$215)&gt;0)*(N('Dvd Calendar'!$M$215)&lt;=VAL_SERIAL)*1000000+19*1000+49))</f>
        <v/>
      </c>
      <c r="GB30" s="121">
        <f>IF(N('Dvd Calendar'!$N$216)=0,"",IF(('Dvd Calendar'!$N$216&gt;=GRID_FROM)*('Dvd Calendar'!$N$216&lt;=GRID_TO)*('Dvd Calendar'!$N$216&gt;VAL_DATE)=0,"",'Dvd Calendar'!$N$216*1000000000+ISNUMBER('Dvd Calendar'!$N$217)*100000000+0*10000000+(N('Dvd Calendar'!$N$215)&gt;0)*(N('Dvd Calendar'!$N$215)&lt;=VAL_SERIAL)*1000000+19*1000+50))</f>
        <v/>
      </c>
      <c r="GC30" s="121">
        <f>IF(N('Dvd Calendar'!$O$216)=0,"",IF(('Dvd Calendar'!$O$216&gt;=GRID_FROM)*('Dvd Calendar'!$O$216&lt;=GRID_TO)*('Dvd Calendar'!$O$216&gt;VAL_DATE)=0,"",'Dvd Calendar'!$O$216*1000000000+ISNUMBER('Dvd Calendar'!$O$217)*100000000+0*10000000+(N('Dvd Calendar'!$O$215)&gt;0)*(N('Dvd Calendar'!$O$215)&lt;=VAL_SERIAL)*1000000+19*1000+51))</f>
        <v/>
      </c>
      <c r="GD30" s="121">
        <f>IF(N('Dvd Calendar'!$P$216)=0,"",IF(('Dvd Calendar'!$P$216&gt;=GRID_FROM)*('Dvd Calendar'!$P$216&lt;=GRID_TO)*('Dvd Calendar'!$P$216&gt;VAL_DATE)=0,"",'Dvd Calendar'!$P$216*1000000000+ISNUMBER('Dvd Calendar'!$P$217)*100000000+0*10000000+(N('Dvd Calendar'!$P$215)&gt;0)*(N('Dvd Calendar'!$P$215)&lt;=VAL_SERIAL)*1000000+19*1000+52))</f>
        <v/>
      </c>
      <c r="GE30" s="121">
        <f>IF(N('Dvd Calendar'!$Q$216)=0,"",IF(('Dvd Calendar'!$Q$216&gt;=GRID_FROM)*('Dvd Calendar'!$Q$216&lt;=GRID_TO)*('Dvd Calendar'!$Q$216&gt;VAL_DATE)=0,"",'Dvd Calendar'!$Q$216*1000000000+ISNUMBER('Dvd Calendar'!$Q$217)*100000000+0*10000000+(N('Dvd Calendar'!$Q$215)&gt;0)*(N('Dvd Calendar'!$Q$215)&lt;=VAL_SERIAL)*1000000+19*1000+53))</f>
        <v/>
      </c>
      <c r="GF30" s="121">
        <f>IF(N('Dvd Calendar'!$R$216)=0,"",IF(('Dvd Calendar'!$R$216&gt;=GRID_FROM)*('Dvd Calendar'!$R$216&lt;=GRID_TO)*('Dvd Calendar'!$R$216&gt;VAL_DATE)=0,"",'Dvd Calendar'!$R$216*1000000000+ISNUMBER('Dvd Calendar'!$R$217)*100000000+0*10000000+(N('Dvd Calendar'!$R$215)&gt;0)*(N('Dvd Calendar'!$R$215)&lt;=VAL_SERIAL)*1000000+19*1000+54))</f>
        <v/>
      </c>
      <c r="GG30" s="121">
        <f>IF(N('Dvd Calendar'!$S$216)=0,"",IF(('Dvd Calendar'!$S$216&gt;=GRID_FROM)*('Dvd Calendar'!$S$216&lt;=GRID_TO)*('Dvd Calendar'!$S$216&gt;VAL_DATE)=0,"",'Dvd Calendar'!$S$216*1000000000+ISNUMBER('Dvd Calendar'!$S$217)*100000000+0*10000000+(N('Dvd Calendar'!$S$215)&gt;0)*(N('Dvd Calendar'!$S$215)&lt;=VAL_SERIAL)*1000000+19*1000+55))</f>
        <v/>
      </c>
      <c r="GH30" s="121">
        <f>IF(N('Dvd Calendar'!$T$216)=0,"",IF(('Dvd Calendar'!$T$216&gt;=GRID_FROM)*('Dvd Calendar'!$T$216&lt;=GRID_TO)*('Dvd Calendar'!$T$216&gt;VAL_DATE)=0,"",'Dvd Calendar'!$T$216*1000000000+ISNUMBER('Dvd Calendar'!$T$217)*100000000+0*10000000+(N('Dvd Calendar'!$T$215)&gt;0)*(N('Dvd Calendar'!$T$215)&lt;=VAL_SERIAL)*1000000+19*1000+56))</f>
        <v/>
      </c>
      <c r="GI30" s="121">
        <f>IF(N('Dvd Calendar'!$U$216)=0,"",IF(('Dvd Calendar'!$U$216&gt;=GRID_FROM)*('Dvd Calendar'!$U$216&lt;=GRID_TO)*('Dvd Calendar'!$U$216&gt;VAL_DATE)=0,"",'Dvd Calendar'!$U$216*1000000000+ISNUMBER('Dvd Calendar'!$U$217)*100000000+0*10000000+(N('Dvd Calendar'!$U$215)&gt;0)*(N('Dvd Calendar'!$U$215)&lt;=VAL_SERIAL)*1000000+19*1000+57))</f>
        <v/>
      </c>
      <c r="GJ30" s="121">
        <f>IF(N('Dvd Calendar'!$V$216)=0,"",IF(('Dvd Calendar'!$V$216&gt;=GRID_FROM)*('Dvd Calendar'!$V$216&lt;=GRID_TO)*('Dvd Calendar'!$V$216&gt;VAL_DATE)=0,"",'Dvd Calendar'!$V$216*1000000000+ISNUMBER('Dvd Calendar'!$V$217)*100000000+0*10000000+(N('Dvd Calendar'!$V$215)&gt;0)*(N('Dvd Calendar'!$V$215)&lt;=VAL_SERIAL)*1000000+19*1000+58))</f>
        <v/>
      </c>
      <c r="GK30" s="121">
        <f>IF(N('Dvd Calendar'!$W$216)=0,"",IF(('Dvd Calendar'!$W$216&gt;=GRID_FROM)*('Dvd Calendar'!$W$216&lt;=GRID_TO)*('Dvd Calendar'!$W$216&gt;VAL_DATE)=0,"",'Dvd Calendar'!$W$216*1000000000+ISNUMBER('Dvd Calendar'!$W$217)*100000000+0*10000000+(N('Dvd Calendar'!$W$215)&gt;0)*(N('Dvd Calendar'!$W$215)&lt;=VAL_SERIAL)*1000000+19*1000+59))</f>
        <v/>
      </c>
      <c r="GL30" s="121">
        <f>IF(N('Dvd Calendar'!$X$216)=0,"",IF(('Dvd Calendar'!$X$216&gt;=GRID_FROM)*('Dvd Calendar'!$X$216&lt;=GRID_TO)*('Dvd Calendar'!$X$216&gt;VAL_DATE)=0,"",'Dvd Calendar'!$X$216*1000000000+ISNUMBER('Dvd Calendar'!$X$217)*100000000+0*10000000+(N('Dvd Calendar'!$X$215)&gt;0)*(N('Dvd Calendar'!$X$215)&lt;=VAL_SERIAL)*1000000+19*1000+60))</f>
        <v/>
      </c>
      <c r="GM30" s="121">
        <f>IF(N('Dvd Calendar'!$Y$216)=0,"",IF(('Dvd Calendar'!$Y$216&gt;=GRID_FROM)*('Dvd Calendar'!$Y$216&lt;=GRID_TO)*('Dvd Calendar'!$Y$216&gt;VAL_DATE)=0,"",'Dvd Calendar'!$Y$216*1000000000+ISNUMBER('Dvd Calendar'!$Y$217)*100000000+0*10000000+(N('Dvd Calendar'!$Y$215)&gt;0)*(N('Dvd Calendar'!$Y$215)&lt;=VAL_SERIAL)*1000000+19*1000+61))</f>
        <v/>
      </c>
      <c r="GN30" s="121">
        <f>IF(N('Dvd Calendar'!$Z$216)=0,"",IF(('Dvd Calendar'!$Z$216&gt;=GRID_FROM)*('Dvd Calendar'!$Z$216&lt;=GRID_TO)*('Dvd Calendar'!$Z$216&gt;VAL_DATE)=0,"",'Dvd Calendar'!$Z$216*1000000000+ISNUMBER('Dvd Calendar'!$Z$217)*100000000+0*10000000+(N('Dvd Calendar'!$Z$215)&gt;0)*(N('Dvd Calendar'!$Z$215)&lt;=VAL_SERIAL)*1000000+19*1000+62))</f>
        <v/>
      </c>
      <c r="GO30" s="121">
        <f>IF(N('Dvd Calendar'!$AA$216)=0,"",IF(('Dvd Calendar'!$AA$216&gt;=GRID_FROM)*('Dvd Calendar'!$AA$216&lt;=GRID_TO)*('Dvd Calendar'!$AA$216&gt;VAL_DATE)=0,"",'Dvd Calendar'!$AA$216*1000000000+ISNUMBER('Dvd Calendar'!$AA$217)*100000000+0*10000000+(N('Dvd Calendar'!$AA$215)&gt;0)*(N('Dvd Calendar'!$AA$215)&lt;=VAL_SERIAL)*1000000+19*1000+63))</f>
        <v/>
      </c>
      <c r="GP30" s="121">
        <f>IF(N('Dvd Calendar'!$AB$216)=0,"",IF(('Dvd Calendar'!$AB$216&gt;=GRID_FROM)*('Dvd Calendar'!$AB$216&lt;=GRID_TO)*('Dvd Calendar'!$AB$216&gt;VAL_DATE)=0,"",'Dvd Calendar'!$AB$216*1000000000+ISNUMBER('Dvd Calendar'!$AB$217)*100000000+0*10000000+(N('Dvd Calendar'!$AB$215)&gt;0)*(N('Dvd Calendar'!$AB$215)&lt;=VAL_SERIAL)*1000000+19*1000+64))</f>
        <v/>
      </c>
      <c r="GQ30" s="121">
        <f>IF(N('Dvd Calendar'!$AC$216)=0,"",IF(('Dvd Calendar'!$AC$216&gt;=GRID_FROM)*('Dvd Calendar'!$AC$216&lt;=GRID_TO)*('Dvd Calendar'!$AC$216&gt;VAL_DATE)=0,"",'Dvd Calendar'!$AC$216*1000000000+ISNUMBER('Dvd Calendar'!$AC$217)*100000000+0*10000000+(N('Dvd Calendar'!$AC$215)&gt;0)*(N('Dvd Calendar'!$AC$215)&lt;=VAL_SERIAL)*1000000+19*1000+65))</f>
        <v/>
      </c>
    </row>
    <row r="31">
      <c r="B31" s="2">
        <f>IF(HSI!$C$26="","",HSI!$C$26)</f>
        <v/>
      </c>
      <c r="C31" s="161">
        <f>IF(EE31="","",IF(ISNUMBER('Dvd Calendar'!$E$223)=FALSE,"",IF((('Dvd Calendar'!$E$225=TYPE1)*(TYPE1&lt;&gt;"")+('Dvd Calendar'!$E$225=TYPE2)*(TYPE2&lt;&gt;"")+('Dvd Calendar'!$E$225=TYPE3)*(TYPE3&lt;&gt;"")+('Dvd Calendar'!$E$225=TYPE4)*(TYPE4&lt;&gt;"")+('Dvd Calendar'!$E$225=SPECIAL_LBL)*(INC_SPECIALS="Y"))=0,"",'Dvd Calendar'!$E$223)))</f>
        <v/>
      </c>
      <c r="D31" s="161">
        <f>IF(EF31="","",IF(ISNUMBER('Dvd Calendar'!$F$223)=FALSE,"",IF((('Dvd Calendar'!$F$225=TYPE1)*(TYPE1&lt;&gt;"")+('Dvd Calendar'!$F$225=TYPE2)*(TYPE2&lt;&gt;"")+('Dvd Calendar'!$F$225=TYPE3)*(TYPE3&lt;&gt;"")+('Dvd Calendar'!$F$225=TYPE4)*(TYPE4&lt;&gt;"")+('Dvd Calendar'!$F$225=SPECIAL_LBL)*(INC_SPECIALS="Y"))=0,"",'Dvd Calendar'!$F$223)))</f>
        <v/>
      </c>
      <c r="E31" s="161">
        <f>IF(EG31="","",IF(ISNUMBER('Dvd Calendar'!$G$223)=FALSE,"",IF((('Dvd Calendar'!$G$225=TYPE1)*(TYPE1&lt;&gt;"")+('Dvd Calendar'!$G$225=TYPE2)*(TYPE2&lt;&gt;"")+('Dvd Calendar'!$G$225=TYPE3)*(TYPE3&lt;&gt;"")+('Dvd Calendar'!$G$225=TYPE4)*(TYPE4&lt;&gt;"")+('Dvd Calendar'!$G$225=SPECIAL_LBL)*(INC_SPECIALS="Y"))=0,"",'Dvd Calendar'!$G$223)))</f>
        <v/>
      </c>
      <c r="F31" s="161">
        <f>IF(EH31="","",IF(ISNUMBER('Dvd Calendar'!$H$223)=FALSE,"",IF((('Dvd Calendar'!$H$225=TYPE1)*(TYPE1&lt;&gt;"")+('Dvd Calendar'!$H$225=TYPE2)*(TYPE2&lt;&gt;"")+('Dvd Calendar'!$H$225=TYPE3)*(TYPE3&lt;&gt;"")+('Dvd Calendar'!$H$225=TYPE4)*(TYPE4&lt;&gt;"")+('Dvd Calendar'!$H$225=SPECIAL_LBL)*(INC_SPECIALS="Y"))=0,"",'Dvd Calendar'!$H$223)))</f>
        <v/>
      </c>
      <c r="G31" s="161">
        <f>IF(EI31="","",IF(ISNUMBER('Dvd Calendar'!$I$223)=FALSE,"",IF((('Dvd Calendar'!$I$225=TYPE1)*(TYPE1&lt;&gt;"")+('Dvd Calendar'!$I$225=TYPE2)*(TYPE2&lt;&gt;"")+('Dvd Calendar'!$I$225=TYPE3)*(TYPE3&lt;&gt;"")+('Dvd Calendar'!$I$225=TYPE4)*(TYPE4&lt;&gt;"")+('Dvd Calendar'!$I$225=SPECIAL_LBL)*(INC_SPECIALS="Y"))=0,"",'Dvd Calendar'!$I$223)))</f>
        <v/>
      </c>
      <c r="H31" s="161">
        <f>IF(EJ31="","",IF(ISNUMBER('Dvd Calendar'!$J$223)=FALSE,"",IF((('Dvd Calendar'!$J$225=TYPE1)*(TYPE1&lt;&gt;"")+('Dvd Calendar'!$J$225=TYPE2)*(TYPE2&lt;&gt;"")+('Dvd Calendar'!$J$225=TYPE3)*(TYPE3&lt;&gt;"")+('Dvd Calendar'!$J$225=TYPE4)*(TYPE4&lt;&gt;"")+('Dvd Calendar'!$J$225=SPECIAL_LBL)*(INC_SPECIALS="Y"))=0,"",'Dvd Calendar'!$J$223)))</f>
        <v/>
      </c>
      <c r="I31" s="161">
        <f>IF(EK31="","",IF(ISNUMBER('Dvd Calendar'!$K$223)=FALSE,"",IF((('Dvd Calendar'!$K$225=TYPE1)*(TYPE1&lt;&gt;"")+('Dvd Calendar'!$K$225=TYPE2)*(TYPE2&lt;&gt;"")+('Dvd Calendar'!$K$225=TYPE3)*(TYPE3&lt;&gt;"")+('Dvd Calendar'!$K$225=TYPE4)*(TYPE4&lt;&gt;"")+('Dvd Calendar'!$K$225=SPECIAL_LBL)*(INC_SPECIALS="Y"))=0,"",'Dvd Calendar'!$K$223)))</f>
        <v/>
      </c>
      <c r="J31" s="161">
        <f>IF(EL31="","",IF(ISNUMBER('Dvd Calendar'!$L$223)=FALSE,"",IF((('Dvd Calendar'!$L$225=TYPE1)*(TYPE1&lt;&gt;"")+('Dvd Calendar'!$L$225=TYPE2)*(TYPE2&lt;&gt;"")+('Dvd Calendar'!$L$225=TYPE3)*(TYPE3&lt;&gt;"")+('Dvd Calendar'!$L$225=TYPE4)*(TYPE4&lt;&gt;"")+('Dvd Calendar'!$L$225=SPECIAL_LBL)*(INC_SPECIALS="Y"))=0,"",'Dvd Calendar'!$L$223)))</f>
        <v/>
      </c>
      <c r="K31" s="161">
        <f>IF(EM31="","",IF(ISNUMBER('Dvd Calendar'!$M$223)=FALSE,"",IF((('Dvd Calendar'!$M$225=TYPE1)*(TYPE1&lt;&gt;"")+('Dvd Calendar'!$M$225=TYPE2)*(TYPE2&lt;&gt;"")+('Dvd Calendar'!$M$225=TYPE3)*(TYPE3&lt;&gt;"")+('Dvd Calendar'!$M$225=TYPE4)*(TYPE4&lt;&gt;"")+('Dvd Calendar'!$M$225=SPECIAL_LBL)*(INC_SPECIALS="Y"))=0,"",'Dvd Calendar'!$M$223)))</f>
        <v/>
      </c>
      <c r="L31" s="161">
        <f>IF(EN31="","",IF(ISNUMBER('Dvd Calendar'!$N$223)=FALSE,"",IF((('Dvd Calendar'!$N$225=TYPE1)*(TYPE1&lt;&gt;"")+('Dvd Calendar'!$N$225=TYPE2)*(TYPE2&lt;&gt;"")+('Dvd Calendar'!$N$225=TYPE3)*(TYPE3&lt;&gt;"")+('Dvd Calendar'!$N$225=TYPE4)*(TYPE4&lt;&gt;"")+('Dvd Calendar'!$N$225=SPECIAL_LBL)*(INC_SPECIALS="Y"))=0,"",'Dvd Calendar'!$N$223)))</f>
        <v/>
      </c>
      <c r="M31" s="161">
        <f>IF(EO31="","",IF(ISNUMBER('Dvd Calendar'!$O$223)=FALSE,"",IF((('Dvd Calendar'!$O$225=TYPE1)*(TYPE1&lt;&gt;"")+('Dvd Calendar'!$O$225=TYPE2)*(TYPE2&lt;&gt;"")+('Dvd Calendar'!$O$225=TYPE3)*(TYPE3&lt;&gt;"")+('Dvd Calendar'!$O$225=TYPE4)*(TYPE4&lt;&gt;"")+('Dvd Calendar'!$O$225=SPECIAL_LBL)*(INC_SPECIALS="Y"))=0,"",'Dvd Calendar'!$O$223)))</f>
        <v/>
      </c>
      <c r="N31" s="161">
        <f>IF(EP31="","",IF(ISNUMBER('Dvd Calendar'!$P$223)=FALSE,"",IF((('Dvd Calendar'!$P$225=TYPE1)*(TYPE1&lt;&gt;"")+('Dvd Calendar'!$P$225=TYPE2)*(TYPE2&lt;&gt;"")+('Dvd Calendar'!$P$225=TYPE3)*(TYPE3&lt;&gt;"")+('Dvd Calendar'!$P$225=TYPE4)*(TYPE4&lt;&gt;"")+('Dvd Calendar'!$P$225=SPECIAL_LBL)*(INC_SPECIALS="Y"))=0,"",'Dvd Calendar'!$P$223)))</f>
        <v/>
      </c>
      <c r="O31" s="161">
        <f>IF(EQ31="","",IF(ISNUMBER('Dvd Calendar'!$Q$223)=FALSE,"",IF((('Dvd Calendar'!$Q$225=TYPE1)*(TYPE1&lt;&gt;"")+('Dvd Calendar'!$Q$225=TYPE2)*(TYPE2&lt;&gt;"")+('Dvd Calendar'!$Q$225=TYPE3)*(TYPE3&lt;&gt;"")+('Dvd Calendar'!$Q$225=TYPE4)*(TYPE4&lt;&gt;"")+('Dvd Calendar'!$Q$225=SPECIAL_LBL)*(INC_SPECIALS="Y"))=0,"",'Dvd Calendar'!$Q$223)))</f>
        <v/>
      </c>
      <c r="P31" s="161">
        <f>IF(ER31="","",IF(ISNUMBER('Dvd Calendar'!$R$223)=FALSE,"",IF((('Dvd Calendar'!$R$225=TYPE1)*(TYPE1&lt;&gt;"")+('Dvd Calendar'!$R$225=TYPE2)*(TYPE2&lt;&gt;"")+('Dvd Calendar'!$R$225=TYPE3)*(TYPE3&lt;&gt;"")+('Dvd Calendar'!$R$225=TYPE4)*(TYPE4&lt;&gt;"")+('Dvd Calendar'!$R$225=SPECIAL_LBL)*(INC_SPECIALS="Y"))=0,"",'Dvd Calendar'!$R$223)))</f>
        <v/>
      </c>
      <c r="Q31" s="161">
        <f>IF(ES31="","",IF(ISNUMBER('Dvd Calendar'!$S$223)=FALSE,"",IF((('Dvd Calendar'!$S$225=TYPE1)*(TYPE1&lt;&gt;"")+('Dvd Calendar'!$S$225=TYPE2)*(TYPE2&lt;&gt;"")+('Dvd Calendar'!$S$225=TYPE3)*(TYPE3&lt;&gt;"")+('Dvd Calendar'!$S$225=TYPE4)*(TYPE4&lt;&gt;"")+('Dvd Calendar'!$S$225=SPECIAL_LBL)*(INC_SPECIALS="Y"))=0,"",'Dvd Calendar'!$S$223)))</f>
        <v/>
      </c>
      <c r="R31" s="161">
        <f>IF(ET31="","",IF(ISNUMBER('Dvd Calendar'!$T$223)=FALSE,"",IF((('Dvd Calendar'!$T$225=TYPE1)*(TYPE1&lt;&gt;"")+('Dvd Calendar'!$T$225=TYPE2)*(TYPE2&lt;&gt;"")+('Dvd Calendar'!$T$225=TYPE3)*(TYPE3&lt;&gt;"")+('Dvd Calendar'!$T$225=TYPE4)*(TYPE4&lt;&gt;"")+('Dvd Calendar'!$T$225=SPECIAL_LBL)*(INC_SPECIALS="Y"))=0,"",'Dvd Calendar'!$T$223)))</f>
        <v/>
      </c>
      <c r="S31" s="161">
        <f>IF(EU31="","",IF(ISNUMBER('Dvd Calendar'!$U$223)=FALSE,"",IF((('Dvd Calendar'!$U$225=TYPE1)*(TYPE1&lt;&gt;"")+('Dvd Calendar'!$U$225=TYPE2)*(TYPE2&lt;&gt;"")+('Dvd Calendar'!$U$225=TYPE3)*(TYPE3&lt;&gt;"")+('Dvd Calendar'!$U$225=TYPE4)*(TYPE4&lt;&gt;"")+('Dvd Calendar'!$U$225=SPECIAL_LBL)*(INC_SPECIALS="Y"))=0,"",'Dvd Calendar'!$U$223)))</f>
        <v/>
      </c>
      <c r="T31" s="161">
        <f>IF(EV31="","",IF(ISNUMBER('Dvd Calendar'!$V$223)=FALSE,"",IF((('Dvd Calendar'!$V$225=TYPE1)*(TYPE1&lt;&gt;"")+('Dvd Calendar'!$V$225=TYPE2)*(TYPE2&lt;&gt;"")+('Dvd Calendar'!$V$225=TYPE3)*(TYPE3&lt;&gt;"")+('Dvd Calendar'!$V$225=TYPE4)*(TYPE4&lt;&gt;"")+('Dvd Calendar'!$V$225=SPECIAL_LBL)*(INC_SPECIALS="Y"))=0,"",'Dvd Calendar'!$V$223)))</f>
        <v/>
      </c>
      <c r="U31" s="161">
        <f>IF(EW31="","",IF(ISNUMBER('Dvd Calendar'!$W$223)=FALSE,"",IF((('Dvd Calendar'!$W$225=TYPE1)*(TYPE1&lt;&gt;"")+('Dvd Calendar'!$W$225=TYPE2)*(TYPE2&lt;&gt;"")+('Dvd Calendar'!$W$225=TYPE3)*(TYPE3&lt;&gt;"")+('Dvd Calendar'!$W$225=TYPE4)*(TYPE4&lt;&gt;"")+('Dvd Calendar'!$W$225=SPECIAL_LBL)*(INC_SPECIALS="Y"))=0,"",'Dvd Calendar'!$W$223)))</f>
        <v/>
      </c>
      <c r="V31" s="161">
        <f>IF(EX31="","",IF(ISNUMBER('Dvd Calendar'!$X$223)=FALSE,"",IF((('Dvd Calendar'!$X$225=TYPE1)*(TYPE1&lt;&gt;"")+('Dvd Calendar'!$X$225=TYPE2)*(TYPE2&lt;&gt;"")+('Dvd Calendar'!$X$225=TYPE3)*(TYPE3&lt;&gt;"")+('Dvd Calendar'!$X$225=TYPE4)*(TYPE4&lt;&gt;"")+('Dvd Calendar'!$X$225=SPECIAL_LBL)*(INC_SPECIALS="Y"))=0,"",'Dvd Calendar'!$X$223)))</f>
        <v/>
      </c>
      <c r="W31" s="161">
        <f>IF(EY31="","",IF(ISNUMBER('Dvd Calendar'!$Y$223)=FALSE,"",IF((('Dvd Calendar'!$Y$225=TYPE1)*(TYPE1&lt;&gt;"")+('Dvd Calendar'!$Y$225=TYPE2)*(TYPE2&lt;&gt;"")+('Dvd Calendar'!$Y$225=TYPE3)*(TYPE3&lt;&gt;"")+('Dvd Calendar'!$Y$225=TYPE4)*(TYPE4&lt;&gt;"")+('Dvd Calendar'!$Y$225=SPECIAL_LBL)*(INC_SPECIALS="Y"))=0,"",'Dvd Calendar'!$Y$223)))</f>
        <v/>
      </c>
      <c r="X31" s="161">
        <f>IF(EZ31="","",IF(ISNUMBER('Dvd Calendar'!$Z$223)=FALSE,"",IF((('Dvd Calendar'!$Z$225=TYPE1)*(TYPE1&lt;&gt;"")+('Dvd Calendar'!$Z$225=TYPE2)*(TYPE2&lt;&gt;"")+('Dvd Calendar'!$Z$225=TYPE3)*(TYPE3&lt;&gt;"")+('Dvd Calendar'!$Z$225=TYPE4)*(TYPE4&lt;&gt;"")+('Dvd Calendar'!$Z$225=SPECIAL_LBL)*(INC_SPECIALS="Y"))=0,"",'Dvd Calendar'!$Z$223)))</f>
        <v/>
      </c>
      <c r="Y31" s="161">
        <f>IF(FA31="","",IF(ISNUMBER('Dvd Calendar'!$AA$223)=FALSE,"",IF((('Dvd Calendar'!$AA$225=TYPE1)*(TYPE1&lt;&gt;"")+('Dvd Calendar'!$AA$225=TYPE2)*(TYPE2&lt;&gt;"")+('Dvd Calendar'!$AA$225=TYPE3)*(TYPE3&lt;&gt;"")+('Dvd Calendar'!$AA$225=TYPE4)*(TYPE4&lt;&gt;"")+('Dvd Calendar'!$AA$225=SPECIAL_LBL)*(INC_SPECIALS="Y"))=0,"",'Dvd Calendar'!$AA$223)))</f>
        <v/>
      </c>
      <c r="Z31" s="161">
        <f>IF(FB31="","",IF(ISNUMBER('Dvd Calendar'!$AB$223)=FALSE,"",IF((('Dvd Calendar'!$AB$225=TYPE1)*(TYPE1&lt;&gt;"")+('Dvd Calendar'!$AB$225=TYPE2)*(TYPE2&lt;&gt;"")+('Dvd Calendar'!$AB$225=TYPE3)*(TYPE3&lt;&gt;"")+('Dvd Calendar'!$AB$225=TYPE4)*(TYPE4&lt;&gt;"")+('Dvd Calendar'!$AB$225=SPECIAL_LBL)*(INC_SPECIALS="Y"))=0,"",'Dvd Calendar'!$AB$223)))</f>
        <v/>
      </c>
      <c r="AA31" s="161">
        <f>IF(FC31="","",IF(ISNUMBER('Dvd Calendar'!$AC$223)=FALSE,"",IF((('Dvd Calendar'!$AC$225=TYPE1)*(TYPE1&lt;&gt;"")+('Dvd Calendar'!$AC$225=TYPE2)*(TYPE2&lt;&gt;"")+('Dvd Calendar'!$AC$225=TYPE3)*(TYPE3&lt;&gt;"")+('Dvd Calendar'!$AC$225=TYPE4)*(TYPE4&lt;&gt;"")+('Dvd Calendar'!$AC$225=SPECIAL_LBL)*(INC_SPECIALS="Y"))=0,"",'Dvd Calendar'!$AC$223)))</f>
        <v/>
      </c>
      <c r="AB31" s="161">
        <f>IF(FD31="","",IF(ISNUMBER('Dvd Calendar'!$AD$223)=FALSE,"",IF((('Dvd Calendar'!$AD$225=TYPE1)*(TYPE1&lt;&gt;"")+('Dvd Calendar'!$AD$225=TYPE2)*(TYPE2&lt;&gt;"")+('Dvd Calendar'!$AD$225=TYPE3)*(TYPE3&lt;&gt;"")+('Dvd Calendar'!$AD$225=TYPE4)*(TYPE4&lt;&gt;"")+('Dvd Calendar'!$AD$225=SPECIAL_LBL)*(INC_SPECIALS="Y"))=0,"",'Dvd Calendar'!$AD$223)))</f>
        <v/>
      </c>
      <c r="AC31" s="161">
        <f>IF(FE31="","",IF(ISNUMBER('Dvd Calendar'!$AE$223)=FALSE,"",IF((('Dvd Calendar'!$AE$225=TYPE1)*(TYPE1&lt;&gt;"")+('Dvd Calendar'!$AE$225=TYPE2)*(TYPE2&lt;&gt;"")+('Dvd Calendar'!$AE$225=TYPE3)*(TYPE3&lt;&gt;"")+('Dvd Calendar'!$AE$225=TYPE4)*(TYPE4&lt;&gt;"")+('Dvd Calendar'!$AE$225=SPECIAL_LBL)*(INC_SPECIALS="Y"))=0,"",'Dvd Calendar'!$AE$223)))</f>
        <v/>
      </c>
      <c r="AD31" s="161">
        <f>IF(FF31="","",IF(ISNUMBER('Dvd Calendar'!$AF$223)=FALSE,"",IF((('Dvd Calendar'!$AF$225=TYPE1)*(TYPE1&lt;&gt;"")+('Dvd Calendar'!$AF$225=TYPE2)*(TYPE2&lt;&gt;"")+('Dvd Calendar'!$AF$225=TYPE3)*(TYPE3&lt;&gt;"")+('Dvd Calendar'!$AF$225=TYPE4)*(TYPE4&lt;&gt;"")+('Dvd Calendar'!$AF$225=SPECIAL_LBL)*(INC_SPECIALS="Y"))=0,"",'Dvd Calendar'!$AF$223)))</f>
        <v/>
      </c>
      <c r="AE31" s="161">
        <f>IF(FG31="","",IF(ISNUMBER('Dvd Calendar'!$AG$223)=FALSE,"",IF((('Dvd Calendar'!$AG$225=TYPE1)*(TYPE1&lt;&gt;"")+('Dvd Calendar'!$AG$225=TYPE2)*(TYPE2&lt;&gt;"")+('Dvd Calendar'!$AG$225=TYPE3)*(TYPE3&lt;&gt;"")+('Dvd Calendar'!$AG$225=TYPE4)*(TYPE4&lt;&gt;"")+('Dvd Calendar'!$AG$225=SPECIAL_LBL)*(INC_SPECIALS="Y"))=0,"",'Dvd Calendar'!$AG$223)))</f>
        <v/>
      </c>
      <c r="AF31" s="161">
        <f>IF(FH31="","",IF(ISNUMBER('Dvd Calendar'!$AH$223)=FALSE,"",IF((('Dvd Calendar'!$AH$225=TYPE1)*(TYPE1&lt;&gt;"")+('Dvd Calendar'!$AH$225=TYPE2)*(TYPE2&lt;&gt;"")+('Dvd Calendar'!$AH$225=TYPE3)*(TYPE3&lt;&gt;"")+('Dvd Calendar'!$AH$225=TYPE4)*(TYPE4&lt;&gt;"")+('Dvd Calendar'!$AH$225=SPECIAL_LBL)*(INC_SPECIALS="Y"))=0,"",'Dvd Calendar'!$AH$223)))</f>
        <v/>
      </c>
      <c r="AG31" s="161">
        <f>IF(FI31="","",IF(ISNUMBER('Dvd Calendar'!$AI$223)=FALSE,"",IF((('Dvd Calendar'!$AI$225=TYPE1)*(TYPE1&lt;&gt;"")+('Dvd Calendar'!$AI$225=TYPE2)*(TYPE2&lt;&gt;"")+('Dvd Calendar'!$AI$225=TYPE3)*(TYPE3&lt;&gt;"")+('Dvd Calendar'!$AI$225=TYPE4)*(TYPE4&lt;&gt;"")+('Dvd Calendar'!$AI$225=SPECIAL_LBL)*(INC_SPECIALS="Y"))=0,"",'Dvd Calendar'!$AI$223)))</f>
        <v/>
      </c>
      <c r="AH31" s="161">
        <f>IF(FJ31="","",IF(ISNUMBER('Dvd Calendar'!$AJ$223)=FALSE,"",IF((('Dvd Calendar'!$AJ$225=TYPE1)*(TYPE1&lt;&gt;"")+('Dvd Calendar'!$AJ$225=TYPE2)*(TYPE2&lt;&gt;"")+('Dvd Calendar'!$AJ$225=TYPE3)*(TYPE3&lt;&gt;"")+('Dvd Calendar'!$AJ$225=TYPE4)*(TYPE4&lt;&gt;"")+('Dvd Calendar'!$AJ$225=SPECIAL_LBL)*(INC_SPECIALS="Y"))=0,"",'Dvd Calendar'!$AJ$223)))</f>
        <v/>
      </c>
      <c r="AI31" s="161">
        <f>IF(FK31="","",IF(ISNUMBER('Dvd Calendar'!$AK$223)=FALSE,"",IF((('Dvd Calendar'!$AK$225=TYPE1)*(TYPE1&lt;&gt;"")+('Dvd Calendar'!$AK$225=TYPE2)*(TYPE2&lt;&gt;"")+('Dvd Calendar'!$AK$225=TYPE3)*(TYPE3&lt;&gt;"")+('Dvd Calendar'!$AK$225=TYPE4)*(TYPE4&lt;&gt;"")+('Dvd Calendar'!$AK$225=SPECIAL_LBL)*(INC_SPECIALS="Y"))=0,"",'Dvd Calendar'!$AK$223)))</f>
        <v/>
      </c>
      <c r="AJ31" s="161">
        <f>IF(FL31="","",IF(ISNUMBER('Dvd Calendar'!$AL$223)=FALSE,"",IF((('Dvd Calendar'!$AL$225=TYPE1)*(TYPE1&lt;&gt;"")+('Dvd Calendar'!$AL$225=TYPE2)*(TYPE2&lt;&gt;"")+('Dvd Calendar'!$AL$225=TYPE3)*(TYPE3&lt;&gt;"")+('Dvd Calendar'!$AL$225=TYPE4)*(TYPE4&lt;&gt;"")+('Dvd Calendar'!$AL$225=SPECIAL_LBL)*(INC_SPECIALS="Y"))=0,"",'Dvd Calendar'!$AL$223)))</f>
        <v/>
      </c>
      <c r="AK31" s="161">
        <f>IF(FM31="","",IF(ISNUMBER('Dvd Calendar'!$AM$223)=FALSE,"",IF((('Dvd Calendar'!$AM$225=TYPE1)*(TYPE1&lt;&gt;"")+('Dvd Calendar'!$AM$225=TYPE2)*(TYPE2&lt;&gt;"")+('Dvd Calendar'!$AM$225=TYPE3)*(TYPE3&lt;&gt;"")+('Dvd Calendar'!$AM$225=TYPE4)*(TYPE4&lt;&gt;"")+('Dvd Calendar'!$AM$225=SPECIAL_LBL)*(INC_SPECIALS="Y"))=0,"",'Dvd Calendar'!$AM$223)))</f>
        <v/>
      </c>
      <c r="AL31" s="161">
        <f>IF(FN31="","",IF(ISNUMBER('Dvd Calendar'!$AN$223)=FALSE,"",IF((('Dvd Calendar'!$AN$225=TYPE1)*(TYPE1&lt;&gt;"")+('Dvd Calendar'!$AN$225=TYPE2)*(TYPE2&lt;&gt;"")+('Dvd Calendar'!$AN$225=TYPE3)*(TYPE3&lt;&gt;"")+('Dvd Calendar'!$AN$225=TYPE4)*(TYPE4&lt;&gt;"")+('Dvd Calendar'!$AN$225=SPECIAL_LBL)*(INC_SPECIALS="Y"))=0,"",'Dvd Calendar'!$AN$223)))</f>
        <v/>
      </c>
      <c r="AM31" s="161">
        <f>IF(FO31="","",IF(ISNUMBER('Dvd Calendar'!$AO$223)=FALSE,"",IF((('Dvd Calendar'!$AO$225=TYPE1)*(TYPE1&lt;&gt;"")+('Dvd Calendar'!$AO$225=TYPE2)*(TYPE2&lt;&gt;"")+('Dvd Calendar'!$AO$225=TYPE3)*(TYPE3&lt;&gt;"")+('Dvd Calendar'!$AO$225=TYPE4)*(TYPE4&lt;&gt;"")+('Dvd Calendar'!$AO$225=SPECIAL_LBL)*(INC_SPECIALS="Y"))=0,"",'Dvd Calendar'!$AO$223)))</f>
        <v/>
      </c>
      <c r="AN31" s="161">
        <f>IF(FP31="","",IF(ISNUMBER('Dvd Calendar'!$AP$223)=FALSE,"",IF((('Dvd Calendar'!$AP$225=TYPE1)*(TYPE1&lt;&gt;"")+('Dvd Calendar'!$AP$225=TYPE2)*(TYPE2&lt;&gt;"")+('Dvd Calendar'!$AP$225=TYPE3)*(TYPE3&lt;&gt;"")+('Dvd Calendar'!$AP$225=TYPE4)*(TYPE4&lt;&gt;"")+('Dvd Calendar'!$AP$225=SPECIAL_LBL)*(INC_SPECIALS="Y"))=0,"",'Dvd Calendar'!$AP$223)))</f>
        <v/>
      </c>
      <c r="AO31" s="161">
        <f>IF(FQ31="","",IF(ISNUMBER('Dvd Calendar'!$AQ$223)=FALSE,"",IF((('Dvd Calendar'!$AQ$225=TYPE1)*(TYPE1&lt;&gt;"")+('Dvd Calendar'!$AQ$225=TYPE2)*(TYPE2&lt;&gt;"")+('Dvd Calendar'!$AQ$225=TYPE3)*(TYPE3&lt;&gt;"")+('Dvd Calendar'!$AQ$225=TYPE4)*(TYPE4&lt;&gt;"")+('Dvd Calendar'!$AQ$225=SPECIAL_LBL)*(INC_SPECIALS="Y"))=0,"",'Dvd Calendar'!$AQ$223)))</f>
        <v/>
      </c>
      <c r="AP31" s="161">
        <f>IF(FR31="","",IF(ISNUMBER('Dvd Calendar'!$AR$223)=FALSE,"",IF((('Dvd Calendar'!$AR$225=TYPE1)*(TYPE1&lt;&gt;"")+('Dvd Calendar'!$AR$225=TYPE2)*(TYPE2&lt;&gt;"")+('Dvd Calendar'!$AR$225=TYPE3)*(TYPE3&lt;&gt;"")+('Dvd Calendar'!$AR$225=TYPE4)*(TYPE4&lt;&gt;"")+('Dvd Calendar'!$AR$225=SPECIAL_LBL)*(INC_SPECIALS="Y"))=0,"",'Dvd Calendar'!$AR$223)))</f>
        <v/>
      </c>
      <c r="AQ31" s="161">
        <f>IF(FS31="","",IF(ISNUMBER('Dvd Calendar'!$E$228)=FALSE,"",'Dvd Calendar'!$E$228))</f>
        <v/>
      </c>
      <c r="AR31" s="161">
        <f>IF(FT31="","",IF(ISNUMBER('Dvd Calendar'!$F$228)=FALSE,"",'Dvd Calendar'!$F$228))</f>
        <v/>
      </c>
      <c r="AS31" s="161">
        <f>IF(FU31="","",IF(ISNUMBER('Dvd Calendar'!$G$228)=FALSE,"",'Dvd Calendar'!$G$228))</f>
        <v/>
      </c>
      <c r="AT31" s="161">
        <f>IF(FV31="","",IF(ISNUMBER('Dvd Calendar'!$H$228)=FALSE,"",'Dvd Calendar'!$H$228))</f>
        <v/>
      </c>
      <c r="AU31" s="161">
        <f>IF(FW31="","",IF(ISNUMBER('Dvd Calendar'!$I$228)=FALSE,"",'Dvd Calendar'!$I$228))</f>
        <v/>
      </c>
      <c r="AV31" s="161">
        <f>IF(FX31="","",IF(ISNUMBER('Dvd Calendar'!$J$228)=FALSE,"",'Dvd Calendar'!$J$228))</f>
        <v/>
      </c>
      <c r="AW31" s="161">
        <f>IF(FY31="","",IF(ISNUMBER('Dvd Calendar'!$K$228)=FALSE,"",'Dvd Calendar'!$K$228))</f>
        <v/>
      </c>
      <c r="AX31" s="161">
        <f>IF(FZ31="","",IF(ISNUMBER('Dvd Calendar'!$L$228)=FALSE,"",'Dvd Calendar'!$L$228))</f>
        <v/>
      </c>
      <c r="AY31" s="161">
        <f>IF(GA31="","",IF(ISNUMBER('Dvd Calendar'!$M$228)=FALSE,"",'Dvd Calendar'!$M$228))</f>
        <v/>
      </c>
      <c r="AZ31" s="161">
        <f>IF(GB31="","",IF(ISNUMBER('Dvd Calendar'!$N$228)=FALSE,"",'Dvd Calendar'!$N$228))</f>
        <v/>
      </c>
      <c r="BA31" s="161">
        <f>IF(GC31="","",IF(ISNUMBER('Dvd Calendar'!$O$228)=FALSE,"",'Dvd Calendar'!$O$228))</f>
        <v/>
      </c>
      <c r="BB31" s="161">
        <f>IF(GD31="","",IF(ISNUMBER('Dvd Calendar'!$P$228)=FALSE,"",'Dvd Calendar'!$P$228))</f>
        <v/>
      </c>
      <c r="BC31" s="161">
        <f>IF(GE31="","",IF(ISNUMBER('Dvd Calendar'!$Q$228)=FALSE,"",'Dvd Calendar'!$Q$228))</f>
        <v/>
      </c>
      <c r="BD31" s="161">
        <f>IF(GF31="","",IF(ISNUMBER('Dvd Calendar'!$R$228)=FALSE,"",'Dvd Calendar'!$R$228))</f>
        <v/>
      </c>
      <c r="BE31" s="161">
        <f>IF(GG31="","",IF(ISNUMBER('Dvd Calendar'!$S$228)=FALSE,"",'Dvd Calendar'!$S$228))</f>
        <v/>
      </c>
      <c r="BF31" s="161">
        <f>IF(GH31="","",IF(ISNUMBER('Dvd Calendar'!$T$228)=FALSE,"",'Dvd Calendar'!$T$228))</f>
        <v/>
      </c>
      <c r="BG31" s="161">
        <f>IF(GI31="","",IF(ISNUMBER('Dvd Calendar'!$U$228)=FALSE,"",'Dvd Calendar'!$U$228))</f>
        <v/>
      </c>
      <c r="BH31" s="161">
        <f>IF(GJ31="","",IF(ISNUMBER('Dvd Calendar'!$V$228)=FALSE,"",'Dvd Calendar'!$V$228))</f>
        <v/>
      </c>
      <c r="BI31" s="161">
        <f>IF(GK31="","",IF(ISNUMBER('Dvd Calendar'!$W$228)=FALSE,"",'Dvd Calendar'!$W$228))</f>
        <v/>
      </c>
      <c r="BJ31" s="161">
        <f>IF(GL31="","",IF(ISNUMBER('Dvd Calendar'!$X$228)=FALSE,"",'Dvd Calendar'!$X$228))</f>
        <v/>
      </c>
      <c r="BK31" s="161">
        <f>IF(GM31="","",IF(ISNUMBER('Dvd Calendar'!$Y$228)=FALSE,"",'Dvd Calendar'!$Y$228))</f>
        <v/>
      </c>
      <c r="BL31" s="161">
        <f>IF(GN31="","",IF(ISNUMBER('Dvd Calendar'!$Z$228)=FALSE,"",'Dvd Calendar'!$Z$228))</f>
        <v/>
      </c>
      <c r="BM31" s="161">
        <f>IF(GO31="","",IF(ISNUMBER('Dvd Calendar'!$AA$228)=FALSE,"",'Dvd Calendar'!$AA$228))</f>
        <v/>
      </c>
      <c r="BN31" s="161">
        <f>IF(GP31="","",IF(ISNUMBER('Dvd Calendar'!$AB$228)=FALSE,"",'Dvd Calendar'!$AB$228))</f>
        <v/>
      </c>
      <c r="BO31" s="161">
        <f>IF(GQ31="","",IF(ISNUMBER('Dvd Calendar'!$AC$228)=FALSE,"",'Dvd Calendar'!$AC$228))</f>
        <v/>
      </c>
      <c r="BQ31" s="161">
        <f>IF(C31="","",IFERROR(C31*HSI!$B$26*HSI!$G$26/HSI!$B$3,""))</f>
        <v/>
      </c>
      <c r="BR31" s="161">
        <f>IF(D31="","",IFERROR(D31*HSI!$B$26*HSI!$G$26/HSI!$B$3,""))</f>
        <v/>
      </c>
      <c r="BS31" s="161">
        <f>IF(E31="","",IFERROR(E31*HSI!$B$26*HSI!$G$26/HSI!$B$3,""))</f>
        <v/>
      </c>
      <c r="BT31" s="161">
        <f>IF(F31="","",IFERROR(F31*HSI!$B$26*HSI!$G$26/HSI!$B$3,""))</f>
        <v/>
      </c>
      <c r="BU31" s="161">
        <f>IF(G31="","",IFERROR(G31*HSI!$B$26*HSI!$G$26/HSI!$B$3,""))</f>
        <v/>
      </c>
      <c r="BV31" s="161">
        <f>IF(H31="","",IFERROR(H31*HSI!$B$26*HSI!$G$26/HSI!$B$3,""))</f>
        <v/>
      </c>
      <c r="BW31" s="161">
        <f>IF(I31="","",IFERROR(I31*HSI!$B$26*HSI!$G$26/HSI!$B$3,""))</f>
        <v/>
      </c>
      <c r="BX31" s="161">
        <f>IF(J31="","",IFERROR(J31*HSI!$B$26*HSI!$G$26/HSI!$B$3,""))</f>
        <v/>
      </c>
      <c r="BY31" s="161">
        <f>IF(K31="","",IFERROR(K31*HSI!$B$26*HSI!$G$26/HSI!$B$3,""))</f>
        <v/>
      </c>
      <c r="BZ31" s="161">
        <f>IF(L31="","",IFERROR(L31*HSI!$B$26*HSI!$G$26/HSI!$B$3,""))</f>
        <v/>
      </c>
      <c r="CA31" s="161">
        <f>IF(M31="","",IFERROR(M31*HSI!$B$26*HSI!$G$26/HSI!$B$3,""))</f>
        <v/>
      </c>
      <c r="CB31" s="161">
        <f>IF(N31="","",IFERROR(N31*HSI!$B$26*HSI!$G$26/HSI!$B$3,""))</f>
        <v/>
      </c>
      <c r="CC31" s="161">
        <f>IF(O31="","",IFERROR(O31*HSI!$B$26*HSI!$G$26/HSI!$B$3,""))</f>
        <v/>
      </c>
      <c r="CD31" s="161">
        <f>IF(P31="","",IFERROR(P31*HSI!$B$26*HSI!$G$26/HSI!$B$3,""))</f>
        <v/>
      </c>
      <c r="CE31" s="161">
        <f>IF(Q31="","",IFERROR(Q31*HSI!$B$26*HSI!$G$26/HSI!$B$3,""))</f>
        <v/>
      </c>
      <c r="CF31" s="161">
        <f>IF(R31="","",IFERROR(R31*HSI!$B$26*HSI!$G$26/HSI!$B$3,""))</f>
        <v/>
      </c>
      <c r="CG31" s="161">
        <f>IF(S31="","",IFERROR(S31*HSI!$B$26*HSI!$G$26/HSI!$B$3,""))</f>
        <v/>
      </c>
      <c r="CH31" s="161">
        <f>IF(T31="","",IFERROR(T31*HSI!$B$26*HSI!$G$26/HSI!$B$3,""))</f>
        <v/>
      </c>
      <c r="CI31" s="161">
        <f>IF(U31="","",IFERROR(U31*HSI!$B$26*HSI!$G$26/HSI!$B$3,""))</f>
        <v/>
      </c>
      <c r="CJ31" s="161">
        <f>IF(V31="","",IFERROR(V31*HSI!$B$26*HSI!$G$26/HSI!$B$3,""))</f>
        <v/>
      </c>
      <c r="CK31" s="161">
        <f>IF(W31="","",IFERROR(W31*HSI!$B$26*HSI!$G$26/HSI!$B$3,""))</f>
        <v/>
      </c>
      <c r="CL31" s="161">
        <f>IF(X31="","",IFERROR(X31*HSI!$B$26*HSI!$G$26/HSI!$B$3,""))</f>
        <v/>
      </c>
      <c r="CM31" s="161">
        <f>IF(Y31="","",IFERROR(Y31*HSI!$B$26*HSI!$G$26/HSI!$B$3,""))</f>
        <v/>
      </c>
      <c r="CN31" s="161">
        <f>IF(Z31="","",IFERROR(Z31*HSI!$B$26*HSI!$G$26/HSI!$B$3,""))</f>
        <v/>
      </c>
      <c r="CO31" s="161">
        <f>IF(AA31="","",IFERROR(AA31*HSI!$B$26*HSI!$G$26/HSI!$B$3,""))</f>
        <v/>
      </c>
      <c r="CP31" s="161">
        <f>IF(AB31="","",IFERROR(AB31*HSI!$B$26*HSI!$G$26/HSI!$B$3,""))</f>
        <v/>
      </c>
      <c r="CQ31" s="161">
        <f>IF(AC31="","",IFERROR(AC31*HSI!$B$26*HSI!$G$26/HSI!$B$3,""))</f>
        <v/>
      </c>
      <c r="CR31" s="161">
        <f>IF(AD31="","",IFERROR(AD31*HSI!$B$26*HSI!$G$26/HSI!$B$3,""))</f>
        <v/>
      </c>
      <c r="CS31" s="161">
        <f>IF(AE31="","",IFERROR(AE31*HSI!$B$26*HSI!$G$26/HSI!$B$3,""))</f>
        <v/>
      </c>
      <c r="CT31" s="161">
        <f>IF(AF31="","",IFERROR(AF31*HSI!$B$26*HSI!$G$26/HSI!$B$3,""))</f>
        <v/>
      </c>
      <c r="CU31" s="161">
        <f>IF(AG31="","",IFERROR(AG31*HSI!$B$26*HSI!$G$26/HSI!$B$3,""))</f>
        <v/>
      </c>
      <c r="CV31" s="161">
        <f>IF(AH31="","",IFERROR(AH31*HSI!$B$26*HSI!$G$26/HSI!$B$3,""))</f>
        <v/>
      </c>
      <c r="CW31" s="161">
        <f>IF(AI31="","",IFERROR(AI31*HSI!$B$26*HSI!$G$26/HSI!$B$3,""))</f>
        <v/>
      </c>
      <c r="CX31" s="161">
        <f>IF(AJ31="","",IFERROR(AJ31*HSI!$B$26*HSI!$G$26/HSI!$B$3,""))</f>
        <v/>
      </c>
      <c r="CY31" s="161">
        <f>IF(AK31="","",IFERROR(AK31*HSI!$B$26*HSI!$G$26/HSI!$B$3,""))</f>
        <v/>
      </c>
      <c r="CZ31" s="161">
        <f>IF(AL31="","",IFERROR(AL31*HSI!$B$26*HSI!$G$26/HSI!$B$3,""))</f>
        <v/>
      </c>
      <c r="DA31" s="161">
        <f>IF(AM31="","",IFERROR(AM31*HSI!$B$26*HSI!$G$26/HSI!$B$3,""))</f>
        <v/>
      </c>
      <c r="DB31" s="161">
        <f>IF(AN31="","",IFERROR(AN31*HSI!$B$26*HSI!$G$26/HSI!$B$3,""))</f>
        <v/>
      </c>
      <c r="DC31" s="161">
        <f>IF(AO31="","",IFERROR(AO31*HSI!$B$26*HSI!$G$26/HSI!$B$3,""))</f>
        <v/>
      </c>
      <c r="DD31" s="161">
        <f>IF(AP31="","",IFERROR(AP31*HSI!$B$26*HSI!$G$26/HSI!$B$3,""))</f>
        <v/>
      </c>
      <c r="DE31" s="161">
        <f>IF(AQ31="","",IFERROR(AQ31*HSI!$B$26*HSI!$G$26/HSI!$B$3,""))</f>
        <v/>
      </c>
      <c r="DF31" s="161">
        <f>IF(AR31="","",IFERROR(AR31*HSI!$B$26*HSI!$G$26/HSI!$B$3,""))</f>
        <v/>
      </c>
      <c r="DG31" s="161">
        <f>IF(AS31="","",IFERROR(AS31*HSI!$B$26*HSI!$G$26/HSI!$B$3,""))</f>
        <v/>
      </c>
      <c r="DH31" s="161">
        <f>IF(AT31="","",IFERROR(AT31*HSI!$B$26*HSI!$G$26/HSI!$B$3,""))</f>
        <v/>
      </c>
      <c r="DI31" s="161">
        <f>IF(AU31="","",IFERROR(AU31*HSI!$B$26*HSI!$G$26/HSI!$B$3,""))</f>
        <v/>
      </c>
      <c r="DJ31" s="161">
        <f>IF(AV31="","",IFERROR(AV31*HSI!$B$26*HSI!$G$26/HSI!$B$3,""))</f>
        <v/>
      </c>
      <c r="DK31" s="161">
        <f>IF(AW31="","",IFERROR(AW31*HSI!$B$26*HSI!$G$26/HSI!$B$3,""))</f>
        <v/>
      </c>
      <c r="DL31" s="161">
        <f>IF(AX31="","",IFERROR(AX31*HSI!$B$26*HSI!$G$26/HSI!$B$3,""))</f>
        <v/>
      </c>
      <c r="DM31" s="161">
        <f>IF(AY31="","",IFERROR(AY31*HSI!$B$26*HSI!$G$26/HSI!$B$3,""))</f>
        <v/>
      </c>
      <c r="DN31" s="161">
        <f>IF(AZ31="","",IFERROR(AZ31*HSI!$B$26*HSI!$G$26/HSI!$B$3,""))</f>
        <v/>
      </c>
      <c r="DO31" s="161">
        <f>IF(BA31="","",IFERROR(BA31*HSI!$B$26*HSI!$G$26/HSI!$B$3,""))</f>
        <v/>
      </c>
      <c r="DP31" s="161">
        <f>IF(BB31="","",IFERROR(BB31*HSI!$B$26*HSI!$G$26/HSI!$B$3,""))</f>
        <v/>
      </c>
      <c r="DQ31" s="161">
        <f>IF(BC31="","",IFERROR(BC31*HSI!$B$26*HSI!$G$26/HSI!$B$3,""))</f>
        <v/>
      </c>
      <c r="DR31" s="161">
        <f>IF(BD31="","",IFERROR(BD31*HSI!$B$26*HSI!$G$26/HSI!$B$3,""))</f>
        <v/>
      </c>
      <c r="DS31" s="161">
        <f>IF(BE31="","",IFERROR(BE31*HSI!$B$26*HSI!$G$26/HSI!$B$3,""))</f>
        <v/>
      </c>
      <c r="DT31" s="161">
        <f>IF(BF31="","",IFERROR(BF31*HSI!$B$26*HSI!$G$26/HSI!$B$3,""))</f>
        <v/>
      </c>
      <c r="DU31" s="161">
        <f>IF(BG31="","",IFERROR(BG31*HSI!$B$26*HSI!$G$26/HSI!$B$3,""))</f>
        <v/>
      </c>
      <c r="DV31" s="161">
        <f>IF(BH31="","",IFERROR(BH31*HSI!$B$26*HSI!$G$26/HSI!$B$3,""))</f>
        <v/>
      </c>
      <c r="DW31" s="161">
        <f>IF(BI31="","",IFERROR(BI31*HSI!$B$26*HSI!$G$26/HSI!$B$3,""))</f>
        <v/>
      </c>
      <c r="DX31" s="161">
        <f>IF(BJ31="","",IFERROR(BJ31*HSI!$B$26*HSI!$G$26/HSI!$B$3,""))</f>
        <v/>
      </c>
      <c r="DY31" s="161">
        <f>IF(BK31="","",IFERROR(BK31*HSI!$B$26*HSI!$G$26/HSI!$B$3,""))</f>
        <v/>
      </c>
      <c r="DZ31" s="161">
        <f>IF(BL31="","",IFERROR(BL31*HSI!$B$26*HSI!$G$26/HSI!$B$3,""))</f>
        <v/>
      </c>
      <c r="EA31" s="161">
        <f>IF(BM31="","",IFERROR(BM31*HSI!$B$26*HSI!$G$26/HSI!$B$3,""))</f>
        <v/>
      </c>
      <c r="EB31" s="161">
        <f>IF(BN31="","",IFERROR(BN31*HSI!$B$26*HSI!$G$26/HSI!$B$3,""))</f>
        <v/>
      </c>
      <c r="EC31" s="161">
        <f>IF(BO31="","",IFERROR(BO31*HSI!$B$26*HSI!$G$26/HSI!$B$3,""))</f>
        <v/>
      </c>
      <c r="EE31" s="121">
        <f>IF(N('Dvd Calendar'!$E$220)=0,"",IF(('Dvd Calendar'!$E$220&gt;=GRID_FROM)*('Dvd Calendar'!$E$220&lt;=GRID_TO)*((('Dvd Calendar'!$E$220&lt;=VAL_DATE)+(COUNTIF('Dvd Calendar'!$E$227:$AR$227,'Dvd Calendar'!$E$220)=0))&gt;0)=0,"",'Dvd Calendar'!$E$220*1000000000+ISNUMBER('Dvd Calendar'!$E$223)*100000000+('Dvd Calendar'!$E$225=SPECIAL_LBL)*10000000+(N('Dvd Calendar'!$E$219)&gt;0)*(N('Dvd Calendar'!$E$219)&lt;=VAL_SERIAL)*1000000+20*1000+1))</f>
        <v/>
      </c>
      <c r="EF31" s="121">
        <f>IF(N('Dvd Calendar'!$F$220)=0,"",IF(('Dvd Calendar'!$F$220&gt;=GRID_FROM)*('Dvd Calendar'!$F$220&lt;=GRID_TO)*((('Dvd Calendar'!$F$220&lt;=VAL_DATE)+(COUNTIF('Dvd Calendar'!$E$227:$AR$227,'Dvd Calendar'!$F$220)=0))&gt;0)=0,"",'Dvd Calendar'!$F$220*1000000000+ISNUMBER('Dvd Calendar'!$F$223)*100000000+('Dvd Calendar'!$F$225=SPECIAL_LBL)*10000000+(N('Dvd Calendar'!$F$219)&gt;0)*(N('Dvd Calendar'!$F$219)&lt;=VAL_SERIAL)*1000000+20*1000+2))</f>
        <v/>
      </c>
      <c r="EG31" s="121">
        <f>IF(N('Dvd Calendar'!$G$220)=0,"",IF(('Dvd Calendar'!$G$220&gt;=GRID_FROM)*('Dvd Calendar'!$G$220&lt;=GRID_TO)*((('Dvd Calendar'!$G$220&lt;=VAL_DATE)+(COUNTIF('Dvd Calendar'!$E$227:$AR$227,'Dvd Calendar'!$G$220)=0))&gt;0)=0,"",'Dvd Calendar'!$G$220*1000000000+ISNUMBER('Dvd Calendar'!$G$223)*100000000+('Dvd Calendar'!$G$225=SPECIAL_LBL)*10000000+(N('Dvd Calendar'!$G$219)&gt;0)*(N('Dvd Calendar'!$G$219)&lt;=VAL_SERIAL)*1000000+20*1000+3))</f>
        <v/>
      </c>
      <c r="EH31" s="121">
        <f>IF(N('Dvd Calendar'!$H$220)=0,"",IF(('Dvd Calendar'!$H$220&gt;=GRID_FROM)*('Dvd Calendar'!$H$220&lt;=GRID_TO)*((('Dvd Calendar'!$H$220&lt;=VAL_DATE)+(COUNTIF('Dvd Calendar'!$E$227:$AR$227,'Dvd Calendar'!$H$220)=0))&gt;0)=0,"",'Dvd Calendar'!$H$220*1000000000+ISNUMBER('Dvd Calendar'!$H$223)*100000000+('Dvd Calendar'!$H$225=SPECIAL_LBL)*10000000+(N('Dvd Calendar'!$H$219)&gt;0)*(N('Dvd Calendar'!$H$219)&lt;=VAL_SERIAL)*1000000+20*1000+4))</f>
        <v/>
      </c>
      <c r="EI31" s="121">
        <f>IF(N('Dvd Calendar'!$I$220)=0,"",IF(('Dvd Calendar'!$I$220&gt;=GRID_FROM)*('Dvd Calendar'!$I$220&lt;=GRID_TO)*((('Dvd Calendar'!$I$220&lt;=VAL_DATE)+(COUNTIF('Dvd Calendar'!$E$227:$AR$227,'Dvd Calendar'!$I$220)=0))&gt;0)=0,"",'Dvd Calendar'!$I$220*1000000000+ISNUMBER('Dvd Calendar'!$I$223)*100000000+('Dvd Calendar'!$I$225=SPECIAL_LBL)*10000000+(N('Dvd Calendar'!$I$219)&gt;0)*(N('Dvd Calendar'!$I$219)&lt;=VAL_SERIAL)*1000000+20*1000+5))</f>
        <v/>
      </c>
      <c r="EJ31" s="121">
        <f>IF(N('Dvd Calendar'!$J$220)=0,"",IF(('Dvd Calendar'!$J$220&gt;=GRID_FROM)*('Dvd Calendar'!$J$220&lt;=GRID_TO)*((('Dvd Calendar'!$J$220&lt;=VAL_DATE)+(COUNTIF('Dvd Calendar'!$E$227:$AR$227,'Dvd Calendar'!$J$220)=0))&gt;0)=0,"",'Dvd Calendar'!$J$220*1000000000+ISNUMBER('Dvd Calendar'!$J$223)*100000000+('Dvd Calendar'!$J$225=SPECIAL_LBL)*10000000+(N('Dvd Calendar'!$J$219)&gt;0)*(N('Dvd Calendar'!$J$219)&lt;=VAL_SERIAL)*1000000+20*1000+6))</f>
        <v/>
      </c>
      <c r="EK31" s="121">
        <f>IF(N('Dvd Calendar'!$K$220)=0,"",IF(('Dvd Calendar'!$K$220&gt;=GRID_FROM)*('Dvd Calendar'!$K$220&lt;=GRID_TO)*((('Dvd Calendar'!$K$220&lt;=VAL_DATE)+(COUNTIF('Dvd Calendar'!$E$227:$AR$227,'Dvd Calendar'!$K$220)=0))&gt;0)=0,"",'Dvd Calendar'!$K$220*1000000000+ISNUMBER('Dvd Calendar'!$K$223)*100000000+('Dvd Calendar'!$K$225=SPECIAL_LBL)*10000000+(N('Dvd Calendar'!$K$219)&gt;0)*(N('Dvd Calendar'!$K$219)&lt;=VAL_SERIAL)*1000000+20*1000+7))</f>
        <v/>
      </c>
      <c r="EL31" s="121">
        <f>IF(N('Dvd Calendar'!$L$220)=0,"",IF(('Dvd Calendar'!$L$220&gt;=GRID_FROM)*('Dvd Calendar'!$L$220&lt;=GRID_TO)*((('Dvd Calendar'!$L$220&lt;=VAL_DATE)+(COUNTIF('Dvd Calendar'!$E$227:$AR$227,'Dvd Calendar'!$L$220)=0))&gt;0)=0,"",'Dvd Calendar'!$L$220*1000000000+ISNUMBER('Dvd Calendar'!$L$223)*100000000+('Dvd Calendar'!$L$225=SPECIAL_LBL)*10000000+(N('Dvd Calendar'!$L$219)&gt;0)*(N('Dvd Calendar'!$L$219)&lt;=VAL_SERIAL)*1000000+20*1000+8))</f>
        <v/>
      </c>
      <c r="EM31" s="121">
        <f>IF(N('Dvd Calendar'!$M$220)=0,"",IF(('Dvd Calendar'!$M$220&gt;=GRID_FROM)*('Dvd Calendar'!$M$220&lt;=GRID_TO)*((('Dvd Calendar'!$M$220&lt;=VAL_DATE)+(COUNTIF('Dvd Calendar'!$E$227:$AR$227,'Dvd Calendar'!$M$220)=0))&gt;0)=0,"",'Dvd Calendar'!$M$220*1000000000+ISNUMBER('Dvd Calendar'!$M$223)*100000000+('Dvd Calendar'!$M$225=SPECIAL_LBL)*10000000+(N('Dvd Calendar'!$M$219)&gt;0)*(N('Dvd Calendar'!$M$219)&lt;=VAL_SERIAL)*1000000+20*1000+9))</f>
        <v/>
      </c>
      <c r="EN31" s="121">
        <f>IF(N('Dvd Calendar'!$N$220)=0,"",IF(('Dvd Calendar'!$N$220&gt;=GRID_FROM)*('Dvd Calendar'!$N$220&lt;=GRID_TO)*((('Dvd Calendar'!$N$220&lt;=VAL_DATE)+(COUNTIF('Dvd Calendar'!$E$227:$AR$227,'Dvd Calendar'!$N$220)=0))&gt;0)=0,"",'Dvd Calendar'!$N$220*1000000000+ISNUMBER('Dvd Calendar'!$N$223)*100000000+('Dvd Calendar'!$N$225=SPECIAL_LBL)*10000000+(N('Dvd Calendar'!$N$219)&gt;0)*(N('Dvd Calendar'!$N$219)&lt;=VAL_SERIAL)*1000000+20*1000+10))</f>
        <v/>
      </c>
      <c r="EO31" s="121">
        <f>IF(N('Dvd Calendar'!$O$220)=0,"",IF(('Dvd Calendar'!$O$220&gt;=GRID_FROM)*('Dvd Calendar'!$O$220&lt;=GRID_TO)*((('Dvd Calendar'!$O$220&lt;=VAL_DATE)+(COUNTIF('Dvd Calendar'!$E$227:$AR$227,'Dvd Calendar'!$O$220)=0))&gt;0)=0,"",'Dvd Calendar'!$O$220*1000000000+ISNUMBER('Dvd Calendar'!$O$223)*100000000+('Dvd Calendar'!$O$225=SPECIAL_LBL)*10000000+(N('Dvd Calendar'!$O$219)&gt;0)*(N('Dvd Calendar'!$O$219)&lt;=VAL_SERIAL)*1000000+20*1000+11))</f>
        <v/>
      </c>
      <c r="EP31" s="121">
        <f>IF(N('Dvd Calendar'!$P$220)=0,"",IF(('Dvd Calendar'!$P$220&gt;=GRID_FROM)*('Dvd Calendar'!$P$220&lt;=GRID_TO)*((('Dvd Calendar'!$P$220&lt;=VAL_DATE)+(COUNTIF('Dvd Calendar'!$E$227:$AR$227,'Dvd Calendar'!$P$220)=0))&gt;0)=0,"",'Dvd Calendar'!$P$220*1000000000+ISNUMBER('Dvd Calendar'!$P$223)*100000000+('Dvd Calendar'!$P$225=SPECIAL_LBL)*10000000+(N('Dvd Calendar'!$P$219)&gt;0)*(N('Dvd Calendar'!$P$219)&lt;=VAL_SERIAL)*1000000+20*1000+12))</f>
        <v/>
      </c>
      <c r="EQ31" s="121">
        <f>IF(N('Dvd Calendar'!$Q$220)=0,"",IF(('Dvd Calendar'!$Q$220&gt;=GRID_FROM)*('Dvd Calendar'!$Q$220&lt;=GRID_TO)*((('Dvd Calendar'!$Q$220&lt;=VAL_DATE)+(COUNTIF('Dvd Calendar'!$E$227:$AR$227,'Dvd Calendar'!$Q$220)=0))&gt;0)=0,"",'Dvd Calendar'!$Q$220*1000000000+ISNUMBER('Dvd Calendar'!$Q$223)*100000000+('Dvd Calendar'!$Q$225=SPECIAL_LBL)*10000000+(N('Dvd Calendar'!$Q$219)&gt;0)*(N('Dvd Calendar'!$Q$219)&lt;=VAL_SERIAL)*1000000+20*1000+13))</f>
        <v/>
      </c>
      <c r="ER31" s="121">
        <f>IF(N('Dvd Calendar'!$R$220)=0,"",IF(('Dvd Calendar'!$R$220&gt;=GRID_FROM)*('Dvd Calendar'!$R$220&lt;=GRID_TO)*((('Dvd Calendar'!$R$220&lt;=VAL_DATE)+(COUNTIF('Dvd Calendar'!$E$227:$AR$227,'Dvd Calendar'!$R$220)=0))&gt;0)=0,"",'Dvd Calendar'!$R$220*1000000000+ISNUMBER('Dvd Calendar'!$R$223)*100000000+('Dvd Calendar'!$R$225=SPECIAL_LBL)*10000000+(N('Dvd Calendar'!$R$219)&gt;0)*(N('Dvd Calendar'!$R$219)&lt;=VAL_SERIAL)*1000000+20*1000+14))</f>
        <v/>
      </c>
      <c r="ES31" s="121">
        <f>IF(N('Dvd Calendar'!$S$220)=0,"",IF(('Dvd Calendar'!$S$220&gt;=GRID_FROM)*('Dvd Calendar'!$S$220&lt;=GRID_TO)*((('Dvd Calendar'!$S$220&lt;=VAL_DATE)+(COUNTIF('Dvd Calendar'!$E$227:$AR$227,'Dvd Calendar'!$S$220)=0))&gt;0)=0,"",'Dvd Calendar'!$S$220*1000000000+ISNUMBER('Dvd Calendar'!$S$223)*100000000+('Dvd Calendar'!$S$225=SPECIAL_LBL)*10000000+(N('Dvd Calendar'!$S$219)&gt;0)*(N('Dvd Calendar'!$S$219)&lt;=VAL_SERIAL)*1000000+20*1000+15))</f>
        <v/>
      </c>
      <c r="ET31" s="121">
        <f>IF(N('Dvd Calendar'!$T$220)=0,"",IF(('Dvd Calendar'!$T$220&gt;=GRID_FROM)*('Dvd Calendar'!$T$220&lt;=GRID_TO)*((('Dvd Calendar'!$T$220&lt;=VAL_DATE)+(COUNTIF('Dvd Calendar'!$E$227:$AR$227,'Dvd Calendar'!$T$220)=0))&gt;0)=0,"",'Dvd Calendar'!$T$220*1000000000+ISNUMBER('Dvd Calendar'!$T$223)*100000000+('Dvd Calendar'!$T$225=SPECIAL_LBL)*10000000+(N('Dvd Calendar'!$T$219)&gt;0)*(N('Dvd Calendar'!$T$219)&lt;=VAL_SERIAL)*1000000+20*1000+16))</f>
        <v/>
      </c>
      <c r="EU31" s="121">
        <f>IF(N('Dvd Calendar'!$U$220)=0,"",IF(('Dvd Calendar'!$U$220&gt;=GRID_FROM)*('Dvd Calendar'!$U$220&lt;=GRID_TO)*((('Dvd Calendar'!$U$220&lt;=VAL_DATE)+(COUNTIF('Dvd Calendar'!$E$227:$AR$227,'Dvd Calendar'!$U$220)=0))&gt;0)=0,"",'Dvd Calendar'!$U$220*1000000000+ISNUMBER('Dvd Calendar'!$U$223)*100000000+('Dvd Calendar'!$U$225=SPECIAL_LBL)*10000000+(N('Dvd Calendar'!$U$219)&gt;0)*(N('Dvd Calendar'!$U$219)&lt;=VAL_SERIAL)*1000000+20*1000+17))</f>
        <v/>
      </c>
      <c r="EV31" s="121">
        <f>IF(N('Dvd Calendar'!$V$220)=0,"",IF(('Dvd Calendar'!$V$220&gt;=GRID_FROM)*('Dvd Calendar'!$V$220&lt;=GRID_TO)*((('Dvd Calendar'!$V$220&lt;=VAL_DATE)+(COUNTIF('Dvd Calendar'!$E$227:$AR$227,'Dvd Calendar'!$V$220)=0))&gt;0)=0,"",'Dvd Calendar'!$V$220*1000000000+ISNUMBER('Dvd Calendar'!$V$223)*100000000+('Dvd Calendar'!$V$225=SPECIAL_LBL)*10000000+(N('Dvd Calendar'!$V$219)&gt;0)*(N('Dvd Calendar'!$V$219)&lt;=VAL_SERIAL)*1000000+20*1000+18))</f>
        <v/>
      </c>
      <c r="EW31" s="121">
        <f>IF(N('Dvd Calendar'!$W$220)=0,"",IF(('Dvd Calendar'!$W$220&gt;=GRID_FROM)*('Dvd Calendar'!$W$220&lt;=GRID_TO)*((('Dvd Calendar'!$W$220&lt;=VAL_DATE)+(COUNTIF('Dvd Calendar'!$E$227:$AR$227,'Dvd Calendar'!$W$220)=0))&gt;0)=0,"",'Dvd Calendar'!$W$220*1000000000+ISNUMBER('Dvd Calendar'!$W$223)*100000000+('Dvd Calendar'!$W$225=SPECIAL_LBL)*10000000+(N('Dvd Calendar'!$W$219)&gt;0)*(N('Dvd Calendar'!$W$219)&lt;=VAL_SERIAL)*1000000+20*1000+19))</f>
        <v/>
      </c>
      <c r="EX31" s="121">
        <f>IF(N('Dvd Calendar'!$X$220)=0,"",IF(('Dvd Calendar'!$X$220&gt;=GRID_FROM)*('Dvd Calendar'!$X$220&lt;=GRID_TO)*((('Dvd Calendar'!$X$220&lt;=VAL_DATE)+(COUNTIF('Dvd Calendar'!$E$227:$AR$227,'Dvd Calendar'!$X$220)=0))&gt;0)=0,"",'Dvd Calendar'!$X$220*1000000000+ISNUMBER('Dvd Calendar'!$X$223)*100000000+('Dvd Calendar'!$X$225=SPECIAL_LBL)*10000000+(N('Dvd Calendar'!$X$219)&gt;0)*(N('Dvd Calendar'!$X$219)&lt;=VAL_SERIAL)*1000000+20*1000+20))</f>
        <v/>
      </c>
      <c r="EY31" s="121">
        <f>IF(N('Dvd Calendar'!$Y$220)=0,"",IF(('Dvd Calendar'!$Y$220&gt;=GRID_FROM)*('Dvd Calendar'!$Y$220&lt;=GRID_TO)*((('Dvd Calendar'!$Y$220&lt;=VAL_DATE)+(COUNTIF('Dvd Calendar'!$E$227:$AR$227,'Dvd Calendar'!$Y$220)=0))&gt;0)=0,"",'Dvd Calendar'!$Y$220*1000000000+ISNUMBER('Dvd Calendar'!$Y$223)*100000000+('Dvd Calendar'!$Y$225=SPECIAL_LBL)*10000000+(N('Dvd Calendar'!$Y$219)&gt;0)*(N('Dvd Calendar'!$Y$219)&lt;=VAL_SERIAL)*1000000+20*1000+21))</f>
        <v/>
      </c>
      <c r="EZ31" s="121">
        <f>IF(N('Dvd Calendar'!$Z$220)=0,"",IF(('Dvd Calendar'!$Z$220&gt;=GRID_FROM)*('Dvd Calendar'!$Z$220&lt;=GRID_TO)*((('Dvd Calendar'!$Z$220&lt;=VAL_DATE)+(COUNTIF('Dvd Calendar'!$E$227:$AR$227,'Dvd Calendar'!$Z$220)=0))&gt;0)=0,"",'Dvd Calendar'!$Z$220*1000000000+ISNUMBER('Dvd Calendar'!$Z$223)*100000000+('Dvd Calendar'!$Z$225=SPECIAL_LBL)*10000000+(N('Dvd Calendar'!$Z$219)&gt;0)*(N('Dvd Calendar'!$Z$219)&lt;=VAL_SERIAL)*1000000+20*1000+22))</f>
        <v/>
      </c>
      <c r="FA31" s="121">
        <f>IF(N('Dvd Calendar'!$AA$220)=0,"",IF(('Dvd Calendar'!$AA$220&gt;=GRID_FROM)*('Dvd Calendar'!$AA$220&lt;=GRID_TO)*((('Dvd Calendar'!$AA$220&lt;=VAL_DATE)+(COUNTIF('Dvd Calendar'!$E$227:$AR$227,'Dvd Calendar'!$AA$220)=0))&gt;0)=0,"",'Dvd Calendar'!$AA$220*1000000000+ISNUMBER('Dvd Calendar'!$AA$223)*100000000+('Dvd Calendar'!$AA$225=SPECIAL_LBL)*10000000+(N('Dvd Calendar'!$AA$219)&gt;0)*(N('Dvd Calendar'!$AA$219)&lt;=VAL_SERIAL)*1000000+20*1000+23))</f>
        <v/>
      </c>
      <c r="FB31" s="121">
        <f>IF(N('Dvd Calendar'!$AB$220)=0,"",IF(('Dvd Calendar'!$AB$220&gt;=GRID_FROM)*('Dvd Calendar'!$AB$220&lt;=GRID_TO)*((('Dvd Calendar'!$AB$220&lt;=VAL_DATE)+(COUNTIF('Dvd Calendar'!$E$227:$AR$227,'Dvd Calendar'!$AB$220)=0))&gt;0)=0,"",'Dvd Calendar'!$AB$220*1000000000+ISNUMBER('Dvd Calendar'!$AB$223)*100000000+('Dvd Calendar'!$AB$225=SPECIAL_LBL)*10000000+(N('Dvd Calendar'!$AB$219)&gt;0)*(N('Dvd Calendar'!$AB$219)&lt;=VAL_SERIAL)*1000000+20*1000+24))</f>
        <v/>
      </c>
      <c r="FC31" s="121">
        <f>IF(N('Dvd Calendar'!$AC$220)=0,"",IF(('Dvd Calendar'!$AC$220&gt;=GRID_FROM)*('Dvd Calendar'!$AC$220&lt;=GRID_TO)*((('Dvd Calendar'!$AC$220&lt;=VAL_DATE)+(COUNTIF('Dvd Calendar'!$E$227:$AR$227,'Dvd Calendar'!$AC$220)=0))&gt;0)=0,"",'Dvd Calendar'!$AC$220*1000000000+ISNUMBER('Dvd Calendar'!$AC$223)*100000000+('Dvd Calendar'!$AC$225=SPECIAL_LBL)*10000000+(N('Dvd Calendar'!$AC$219)&gt;0)*(N('Dvd Calendar'!$AC$219)&lt;=VAL_SERIAL)*1000000+20*1000+25))</f>
        <v/>
      </c>
      <c r="FD31" s="121">
        <f>IF(N('Dvd Calendar'!$AD$220)=0,"",IF(('Dvd Calendar'!$AD$220&gt;=GRID_FROM)*('Dvd Calendar'!$AD$220&lt;=GRID_TO)*((('Dvd Calendar'!$AD$220&lt;=VAL_DATE)+(COUNTIF('Dvd Calendar'!$E$227:$AR$227,'Dvd Calendar'!$AD$220)=0))&gt;0)=0,"",'Dvd Calendar'!$AD$220*1000000000+ISNUMBER('Dvd Calendar'!$AD$223)*100000000+('Dvd Calendar'!$AD$225=SPECIAL_LBL)*10000000+(N('Dvd Calendar'!$AD$219)&gt;0)*(N('Dvd Calendar'!$AD$219)&lt;=VAL_SERIAL)*1000000+20*1000+26))</f>
        <v/>
      </c>
      <c r="FE31" s="121">
        <f>IF(N('Dvd Calendar'!$AE$220)=0,"",IF(('Dvd Calendar'!$AE$220&gt;=GRID_FROM)*('Dvd Calendar'!$AE$220&lt;=GRID_TO)*((('Dvd Calendar'!$AE$220&lt;=VAL_DATE)+(COUNTIF('Dvd Calendar'!$E$227:$AR$227,'Dvd Calendar'!$AE$220)=0))&gt;0)=0,"",'Dvd Calendar'!$AE$220*1000000000+ISNUMBER('Dvd Calendar'!$AE$223)*100000000+('Dvd Calendar'!$AE$225=SPECIAL_LBL)*10000000+(N('Dvd Calendar'!$AE$219)&gt;0)*(N('Dvd Calendar'!$AE$219)&lt;=VAL_SERIAL)*1000000+20*1000+27))</f>
        <v/>
      </c>
      <c r="FF31" s="121">
        <f>IF(N('Dvd Calendar'!$AF$220)=0,"",IF(('Dvd Calendar'!$AF$220&gt;=GRID_FROM)*('Dvd Calendar'!$AF$220&lt;=GRID_TO)*((('Dvd Calendar'!$AF$220&lt;=VAL_DATE)+(COUNTIF('Dvd Calendar'!$E$227:$AR$227,'Dvd Calendar'!$AF$220)=0))&gt;0)=0,"",'Dvd Calendar'!$AF$220*1000000000+ISNUMBER('Dvd Calendar'!$AF$223)*100000000+('Dvd Calendar'!$AF$225=SPECIAL_LBL)*10000000+(N('Dvd Calendar'!$AF$219)&gt;0)*(N('Dvd Calendar'!$AF$219)&lt;=VAL_SERIAL)*1000000+20*1000+28))</f>
        <v/>
      </c>
      <c r="FG31" s="121">
        <f>IF(N('Dvd Calendar'!$AG$220)=0,"",IF(('Dvd Calendar'!$AG$220&gt;=GRID_FROM)*('Dvd Calendar'!$AG$220&lt;=GRID_TO)*((('Dvd Calendar'!$AG$220&lt;=VAL_DATE)+(COUNTIF('Dvd Calendar'!$E$227:$AR$227,'Dvd Calendar'!$AG$220)=0))&gt;0)=0,"",'Dvd Calendar'!$AG$220*1000000000+ISNUMBER('Dvd Calendar'!$AG$223)*100000000+('Dvd Calendar'!$AG$225=SPECIAL_LBL)*10000000+(N('Dvd Calendar'!$AG$219)&gt;0)*(N('Dvd Calendar'!$AG$219)&lt;=VAL_SERIAL)*1000000+20*1000+29))</f>
        <v/>
      </c>
      <c r="FH31" s="121">
        <f>IF(N('Dvd Calendar'!$AH$220)=0,"",IF(('Dvd Calendar'!$AH$220&gt;=GRID_FROM)*('Dvd Calendar'!$AH$220&lt;=GRID_TO)*((('Dvd Calendar'!$AH$220&lt;=VAL_DATE)+(COUNTIF('Dvd Calendar'!$E$227:$AR$227,'Dvd Calendar'!$AH$220)=0))&gt;0)=0,"",'Dvd Calendar'!$AH$220*1000000000+ISNUMBER('Dvd Calendar'!$AH$223)*100000000+('Dvd Calendar'!$AH$225=SPECIAL_LBL)*10000000+(N('Dvd Calendar'!$AH$219)&gt;0)*(N('Dvd Calendar'!$AH$219)&lt;=VAL_SERIAL)*1000000+20*1000+30))</f>
        <v/>
      </c>
      <c r="FI31" s="121">
        <f>IF(N('Dvd Calendar'!$AI$220)=0,"",IF(('Dvd Calendar'!$AI$220&gt;=GRID_FROM)*('Dvd Calendar'!$AI$220&lt;=GRID_TO)*((('Dvd Calendar'!$AI$220&lt;=VAL_DATE)+(COUNTIF('Dvd Calendar'!$E$227:$AR$227,'Dvd Calendar'!$AI$220)=0))&gt;0)=0,"",'Dvd Calendar'!$AI$220*1000000000+ISNUMBER('Dvd Calendar'!$AI$223)*100000000+('Dvd Calendar'!$AI$225=SPECIAL_LBL)*10000000+(N('Dvd Calendar'!$AI$219)&gt;0)*(N('Dvd Calendar'!$AI$219)&lt;=VAL_SERIAL)*1000000+20*1000+31))</f>
        <v/>
      </c>
      <c r="FJ31" s="121">
        <f>IF(N('Dvd Calendar'!$AJ$220)=0,"",IF(('Dvd Calendar'!$AJ$220&gt;=GRID_FROM)*('Dvd Calendar'!$AJ$220&lt;=GRID_TO)*((('Dvd Calendar'!$AJ$220&lt;=VAL_DATE)+(COUNTIF('Dvd Calendar'!$E$227:$AR$227,'Dvd Calendar'!$AJ$220)=0))&gt;0)=0,"",'Dvd Calendar'!$AJ$220*1000000000+ISNUMBER('Dvd Calendar'!$AJ$223)*100000000+('Dvd Calendar'!$AJ$225=SPECIAL_LBL)*10000000+(N('Dvd Calendar'!$AJ$219)&gt;0)*(N('Dvd Calendar'!$AJ$219)&lt;=VAL_SERIAL)*1000000+20*1000+32))</f>
        <v/>
      </c>
      <c r="FK31" s="121">
        <f>IF(N('Dvd Calendar'!$AK$220)=0,"",IF(('Dvd Calendar'!$AK$220&gt;=GRID_FROM)*('Dvd Calendar'!$AK$220&lt;=GRID_TO)*((('Dvd Calendar'!$AK$220&lt;=VAL_DATE)+(COUNTIF('Dvd Calendar'!$E$227:$AR$227,'Dvd Calendar'!$AK$220)=0))&gt;0)=0,"",'Dvd Calendar'!$AK$220*1000000000+ISNUMBER('Dvd Calendar'!$AK$223)*100000000+('Dvd Calendar'!$AK$225=SPECIAL_LBL)*10000000+(N('Dvd Calendar'!$AK$219)&gt;0)*(N('Dvd Calendar'!$AK$219)&lt;=VAL_SERIAL)*1000000+20*1000+33))</f>
        <v/>
      </c>
      <c r="FL31" s="121">
        <f>IF(N('Dvd Calendar'!$AL$220)=0,"",IF(('Dvd Calendar'!$AL$220&gt;=GRID_FROM)*('Dvd Calendar'!$AL$220&lt;=GRID_TO)*((('Dvd Calendar'!$AL$220&lt;=VAL_DATE)+(COUNTIF('Dvd Calendar'!$E$227:$AR$227,'Dvd Calendar'!$AL$220)=0))&gt;0)=0,"",'Dvd Calendar'!$AL$220*1000000000+ISNUMBER('Dvd Calendar'!$AL$223)*100000000+('Dvd Calendar'!$AL$225=SPECIAL_LBL)*10000000+(N('Dvd Calendar'!$AL$219)&gt;0)*(N('Dvd Calendar'!$AL$219)&lt;=VAL_SERIAL)*1000000+20*1000+34))</f>
        <v/>
      </c>
      <c r="FM31" s="121">
        <f>IF(N('Dvd Calendar'!$AM$220)=0,"",IF(('Dvd Calendar'!$AM$220&gt;=GRID_FROM)*('Dvd Calendar'!$AM$220&lt;=GRID_TO)*((('Dvd Calendar'!$AM$220&lt;=VAL_DATE)+(COUNTIF('Dvd Calendar'!$E$227:$AR$227,'Dvd Calendar'!$AM$220)=0))&gt;0)=0,"",'Dvd Calendar'!$AM$220*1000000000+ISNUMBER('Dvd Calendar'!$AM$223)*100000000+('Dvd Calendar'!$AM$225=SPECIAL_LBL)*10000000+(N('Dvd Calendar'!$AM$219)&gt;0)*(N('Dvd Calendar'!$AM$219)&lt;=VAL_SERIAL)*1000000+20*1000+35))</f>
        <v/>
      </c>
      <c r="FN31" s="121">
        <f>IF(N('Dvd Calendar'!$AN$220)=0,"",IF(('Dvd Calendar'!$AN$220&gt;=GRID_FROM)*('Dvd Calendar'!$AN$220&lt;=GRID_TO)*((('Dvd Calendar'!$AN$220&lt;=VAL_DATE)+(COUNTIF('Dvd Calendar'!$E$227:$AR$227,'Dvd Calendar'!$AN$220)=0))&gt;0)=0,"",'Dvd Calendar'!$AN$220*1000000000+ISNUMBER('Dvd Calendar'!$AN$223)*100000000+('Dvd Calendar'!$AN$225=SPECIAL_LBL)*10000000+(N('Dvd Calendar'!$AN$219)&gt;0)*(N('Dvd Calendar'!$AN$219)&lt;=VAL_SERIAL)*1000000+20*1000+36))</f>
        <v/>
      </c>
      <c r="FO31" s="121">
        <f>IF(N('Dvd Calendar'!$AO$220)=0,"",IF(('Dvd Calendar'!$AO$220&gt;=GRID_FROM)*('Dvd Calendar'!$AO$220&lt;=GRID_TO)*((('Dvd Calendar'!$AO$220&lt;=VAL_DATE)+(COUNTIF('Dvd Calendar'!$E$227:$AR$227,'Dvd Calendar'!$AO$220)=0))&gt;0)=0,"",'Dvd Calendar'!$AO$220*1000000000+ISNUMBER('Dvd Calendar'!$AO$223)*100000000+('Dvd Calendar'!$AO$225=SPECIAL_LBL)*10000000+(N('Dvd Calendar'!$AO$219)&gt;0)*(N('Dvd Calendar'!$AO$219)&lt;=VAL_SERIAL)*1000000+20*1000+37))</f>
        <v/>
      </c>
      <c r="FP31" s="121">
        <f>IF(N('Dvd Calendar'!$AP$220)=0,"",IF(('Dvd Calendar'!$AP$220&gt;=GRID_FROM)*('Dvd Calendar'!$AP$220&lt;=GRID_TO)*((('Dvd Calendar'!$AP$220&lt;=VAL_DATE)+(COUNTIF('Dvd Calendar'!$E$227:$AR$227,'Dvd Calendar'!$AP$220)=0))&gt;0)=0,"",'Dvd Calendar'!$AP$220*1000000000+ISNUMBER('Dvd Calendar'!$AP$223)*100000000+('Dvd Calendar'!$AP$225=SPECIAL_LBL)*10000000+(N('Dvd Calendar'!$AP$219)&gt;0)*(N('Dvd Calendar'!$AP$219)&lt;=VAL_SERIAL)*1000000+20*1000+38))</f>
        <v/>
      </c>
      <c r="FQ31" s="121">
        <f>IF(N('Dvd Calendar'!$AQ$220)=0,"",IF(('Dvd Calendar'!$AQ$220&gt;=GRID_FROM)*('Dvd Calendar'!$AQ$220&lt;=GRID_TO)*((('Dvd Calendar'!$AQ$220&lt;=VAL_DATE)+(COUNTIF('Dvd Calendar'!$E$227:$AR$227,'Dvd Calendar'!$AQ$220)=0))&gt;0)=0,"",'Dvd Calendar'!$AQ$220*1000000000+ISNUMBER('Dvd Calendar'!$AQ$223)*100000000+('Dvd Calendar'!$AQ$225=SPECIAL_LBL)*10000000+(N('Dvd Calendar'!$AQ$219)&gt;0)*(N('Dvd Calendar'!$AQ$219)&lt;=VAL_SERIAL)*1000000+20*1000+39))</f>
        <v/>
      </c>
      <c r="FR31" s="121">
        <f>IF(N('Dvd Calendar'!$AR$220)=0,"",IF(('Dvd Calendar'!$AR$220&gt;=GRID_FROM)*('Dvd Calendar'!$AR$220&lt;=GRID_TO)*((('Dvd Calendar'!$AR$220&lt;=VAL_DATE)+(COUNTIF('Dvd Calendar'!$E$227:$AR$227,'Dvd Calendar'!$AR$220)=0))&gt;0)=0,"",'Dvd Calendar'!$AR$220*1000000000+ISNUMBER('Dvd Calendar'!$AR$223)*100000000+('Dvd Calendar'!$AR$225=SPECIAL_LBL)*10000000+(N('Dvd Calendar'!$AR$219)&gt;0)*(N('Dvd Calendar'!$AR$219)&lt;=VAL_SERIAL)*1000000+20*1000+40))</f>
        <v/>
      </c>
      <c r="FS31" s="121">
        <f>IF(N('Dvd Calendar'!$E$227)=0,"",IF(('Dvd Calendar'!$E$227&gt;=GRID_FROM)*('Dvd Calendar'!$E$227&lt;=GRID_TO)*('Dvd Calendar'!$E$227&gt;VAL_DATE)=0,"",'Dvd Calendar'!$E$227*1000000000+ISNUMBER('Dvd Calendar'!$E$228)*100000000+0*10000000+(N('Dvd Calendar'!$E$226)&gt;0)*(N('Dvd Calendar'!$E$226)&lt;=VAL_SERIAL)*1000000+20*1000+41))</f>
        <v/>
      </c>
      <c r="FT31" s="121">
        <f>IF(N('Dvd Calendar'!$F$227)=0,"",IF(('Dvd Calendar'!$F$227&gt;=GRID_FROM)*('Dvd Calendar'!$F$227&lt;=GRID_TO)*('Dvd Calendar'!$F$227&gt;VAL_DATE)=0,"",'Dvd Calendar'!$F$227*1000000000+ISNUMBER('Dvd Calendar'!$F$228)*100000000+0*10000000+(N('Dvd Calendar'!$F$226)&gt;0)*(N('Dvd Calendar'!$F$226)&lt;=VAL_SERIAL)*1000000+20*1000+42))</f>
        <v/>
      </c>
      <c r="FU31" s="121">
        <f>IF(N('Dvd Calendar'!$G$227)=0,"",IF(('Dvd Calendar'!$G$227&gt;=GRID_FROM)*('Dvd Calendar'!$G$227&lt;=GRID_TO)*('Dvd Calendar'!$G$227&gt;VAL_DATE)=0,"",'Dvd Calendar'!$G$227*1000000000+ISNUMBER('Dvd Calendar'!$G$228)*100000000+0*10000000+(N('Dvd Calendar'!$G$226)&gt;0)*(N('Dvd Calendar'!$G$226)&lt;=VAL_SERIAL)*1000000+20*1000+43))</f>
        <v/>
      </c>
      <c r="FV31" s="121">
        <f>IF(N('Dvd Calendar'!$H$227)=0,"",IF(('Dvd Calendar'!$H$227&gt;=GRID_FROM)*('Dvd Calendar'!$H$227&lt;=GRID_TO)*('Dvd Calendar'!$H$227&gt;VAL_DATE)=0,"",'Dvd Calendar'!$H$227*1000000000+ISNUMBER('Dvd Calendar'!$H$228)*100000000+0*10000000+(N('Dvd Calendar'!$H$226)&gt;0)*(N('Dvd Calendar'!$H$226)&lt;=VAL_SERIAL)*1000000+20*1000+44))</f>
        <v/>
      </c>
      <c r="FW31" s="121">
        <f>IF(N('Dvd Calendar'!$I$227)=0,"",IF(('Dvd Calendar'!$I$227&gt;=GRID_FROM)*('Dvd Calendar'!$I$227&lt;=GRID_TO)*('Dvd Calendar'!$I$227&gt;VAL_DATE)=0,"",'Dvd Calendar'!$I$227*1000000000+ISNUMBER('Dvd Calendar'!$I$228)*100000000+0*10000000+(N('Dvd Calendar'!$I$226)&gt;0)*(N('Dvd Calendar'!$I$226)&lt;=VAL_SERIAL)*1000000+20*1000+45))</f>
        <v/>
      </c>
      <c r="FX31" s="121">
        <f>IF(N('Dvd Calendar'!$J$227)=0,"",IF(('Dvd Calendar'!$J$227&gt;=GRID_FROM)*('Dvd Calendar'!$J$227&lt;=GRID_TO)*('Dvd Calendar'!$J$227&gt;VAL_DATE)=0,"",'Dvd Calendar'!$J$227*1000000000+ISNUMBER('Dvd Calendar'!$J$228)*100000000+0*10000000+(N('Dvd Calendar'!$J$226)&gt;0)*(N('Dvd Calendar'!$J$226)&lt;=VAL_SERIAL)*1000000+20*1000+46))</f>
        <v/>
      </c>
      <c r="FY31" s="121">
        <f>IF(N('Dvd Calendar'!$K$227)=0,"",IF(('Dvd Calendar'!$K$227&gt;=GRID_FROM)*('Dvd Calendar'!$K$227&lt;=GRID_TO)*('Dvd Calendar'!$K$227&gt;VAL_DATE)=0,"",'Dvd Calendar'!$K$227*1000000000+ISNUMBER('Dvd Calendar'!$K$228)*100000000+0*10000000+(N('Dvd Calendar'!$K$226)&gt;0)*(N('Dvd Calendar'!$K$226)&lt;=VAL_SERIAL)*1000000+20*1000+47))</f>
        <v/>
      </c>
      <c r="FZ31" s="121">
        <f>IF(N('Dvd Calendar'!$L$227)=0,"",IF(('Dvd Calendar'!$L$227&gt;=GRID_FROM)*('Dvd Calendar'!$L$227&lt;=GRID_TO)*('Dvd Calendar'!$L$227&gt;VAL_DATE)=0,"",'Dvd Calendar'!$L$227*1000000000+ISNUMBER('Dvd Calendar'!$L$228)*100000000+0*10000000+(N('Dvd Calendar'!$L$226)&gt;0)*(N('Dvd Calendar'!$L$226)&lt;=VAL_SERIAL)*1000000+20*1000+48))</f>
        <v/>
      </c>
      <c r="GA31" s="121">
        <f>IF(N('Dvd Calendar'!$M$227)=0,"",IF(('Dvd Calendar'!$M$227&gt;=GRID_FROM)*('Dvd Calendar'!$M$227&lt;=GRID_TO)*('Dvd Calendar'!$M$227&gt;VAL_DATE)=0,"",'Dvd Calendar'!$M$227*1000000000+ISNUMBER('Dvd Calendar'!$M$228)*100000000+0*10000000+(N('Dvd Calendar'!$M$226)&gt;0)*(N('Dvd Calendar'!$M$226)&lt;=VAL_SERIAL)*1000000+20*1000+49))</f>
        <v/>
      </c>
      <c r="GB31" s="121">
        <f>IF(N('Dvd Calendar'!$N$227)=0,"",IF(('Dvd Calendar'!$N$227&gt;=GRID_FROM)*('Dvd Calendar'!$N$227&lt;=GRID_TO)*('Dvd Calendar'!$N$227&gt;VAL_DATE)=0,"",'Dvd Calendar'!$N$227*1000000000+ISNUMBER('Dvd Calendar'!$N$228)*100000000+0*10000000+(N('Dvd Calendar'!$N$226)&gt;0)*(N('Dvd Calendar'!$N$226)&lt;=VAL_SERIAL)*1000000+20*1000+50))</f>
        <v/>
      </c>
      <c r="GC31" s="121">
        <f>IF(N('Dvd Calendar'!$O$227)=0,"",IF(('Dvd Calendar'!$O$227&gt;=GRID_FROM)*('Dvd Calendar'!$O$227&lt;=GRID_TO)*('Dvd Calendar'!$O$227&gt;VAL_DATE)=0,"",'Dvd Calendar'!$O$227*1000000000+ISNUMBER('Dvd Calendar'!$O$228)*100000000+0*10000000+(N('Dvd Calendar'!$O$226)&gt;0)*(N('Dvd Calendar'!$O$226)&lt;=VAL_SERIAL)*1000000+20*1000+51))</f>
        <v/>
      </c>
      <c r="GD31" s="121">
        <f>IF(N('Dvd Calendar'!$P$227)=0,"",IF(('Dvd Calendar'!$P$227&gt;=GRID_FROM)*('Dvd Calendar'!$P$227&lt;=GRID_TO)*('Dvd Calendar'!$P$227&gt;VAL_DATE)=0,"",'Dvd Calendar'!$P$227*1000000000+ISNUMBER('Dvd Calendar'!$P$228)*100000000+0*10000000+(N('Dvd Calendar'!$P$226)&gt;0)*(N('Dvd Calendar'!$P$226)&lt;=VAL_SERIAL)*1000000+20*1000+52))</f>
        <v/>
      </c>
      <c r="GE31" s="121">
        <f>IF(N('Dvd Calendar'!$Q$227)=0,"",IF(('Dvd Calendar'!$Q$227&gt;=GRID_FROM)*('Dvd Calendar'!$Q$227&lt;=GRID_TO)*('Dvd Calendar'!$Q$227&gt;VAL_DATE)=0,"",'Dvd Calendar'!$Q$227*1000000000+ISNUMBER('Dvd Calendar'!$Q$228)*100000000+0*10000000+(N('Dvd Calendar'!$Q$226)&gt;0)*(N('Dvd Calendar'!$Q$226)&lt;=VAL_SERIAL)*1000000+20*1000+53))</f>
        <v/>
      </c>
      <c r="GF31" s="121">
        <f>IF(N('Dvd Calendar'!$R$227)=0,"",IF(('Dvd Calendar'!$R$227&gt;=GRID_FROM)*('Dvd Calendar'!$R$227&lt;=GRID_TO)*('Dvd Calendar'!$R$227&gt;VAL_DATE)=0,"",'Dvd Calendar'!$R$227*1000000000+ISNUMBER('Dvd Calendar'!$R$228)*100000000+0*10000000+(N('Dvd Calendar'!$R$226)&gt;0)*(N('Dvd Calendar'!$R$226)&lt;=VAL_SERIAL)*1000000+20*1000+54))</f>
        <v/>
      </c>
      <c r="GG31" s="121">
        <f>IF(N('Dvd Calendar'!$S$227)=0,"",IF(('Dvd Calendar'!$S$227&gt;=GRID_FROM)*('Dvd Calendar'!$S$227&lt;=GRID_TO)*('Dvd Calendar'!$S$227&gt;VAL_DATE)=0,"",'Dvd Calendar'!$S$227*1000000000+ISNUMBER('Dvd Calendar'!$S$228)*100000000+0*10000000+(N('Dvd Calendar'!$S$226)&gt;0)*(N('Dvd Calendar'!$S$226)&lt;=VAL_SERIAL)*1000000+20*1000+55))</f>
        <v/>
      </c>
      <c r="GH31" s="121">
        <f>IF(N('Dvd Calendar'!$T$227)=0,"",IF(('Dvd Calendar'!$T$227&gt;=GRID_FROM)*('Dvd Calendar'!$T$227&lt;=GRID_TO)*('Dvd Calendar'!$T$227&gt;VAL_DATE)=0,"",'Dvd Calendar'!$T$227*1000000000+ISNUMBER('Dvd Calendar'!$T$228)*100000000+0*10000000+(N('Dvd Calendar'!$T$226)&gt;0)*(N('Dvd Calendar'!$T$226)&lt;=VAL_SERIAL)*1000000+20*1000+56))</f>
        <v/>
      </c>
      <c r="GI31" s="121">
        <f>IF(N('Dvd Calendar'!$U$227)=0,"",IF(('Dvd Calendar'!$U$227&gt;=GRID_FROM)*('Dvd Calendar'!$U$227&lt;=GRID_TO)*('Dvd Calendar'!$U$227&gt;VAL_DATE)=0,"",'Dvd Calendar'!$U$227*1000000000+ISNUMBER('Dvd Calendar'!$U$228)*100000000+0*10000000+(N('Dvd Calendar'!$U$226)&gt;0)*(N('Dvd Calendar'!$U$226)&lt;=VAL_SERIAL)*1000000+20*1000+57))</f>
        <v/>
      </c>
      <c r="GJ31" s="121">
        <f>IF(N('Dvd Calendar'!$V$227)=0,"",IF(('Dvd Calendar'!$V$227&gt;=GRID_FROM)*('Dvd Calendar'!$V$227&lt;=GRID_TO)*('Dvd Calendar'!$V$227&gt;VAL_DATE)=0,"",'Dvd Calendar'!$V$227*1000000000+ISNUMBER('Dvd Calendar'!$V$228)*100000000+0*10000000+(N('Dvd Calendar'!$V$226)&gt;0)*(N('Dvd Calendar'!$V$226)&lt;=VAL_SERIAL)*1000000+20*1000+58))</f>
        <v/>
      </c>
      <c r="GK31" s="121">
        <f>IF(N('Dvd Calendar'!$W$227)=0,"",IF(('Dvd Calendar'!$W$227&gt;=GRID_FROM)*('Dvd Calendar'!$W$227&lt;=GRID_TO)*('Dvd Calendar'!$W$227&gt;VAL_DATE)=0,"",'Dvd Calendar'!$W$227*1000000000+ISNUMBER('Dvd Calendar'!$W$228)*100000000+0*10000000+(N('Dvd Calendar'!$W$226)&gt;0)*(N('Dvd Calendar'!$W$226)&lt;=VAL_SERIAL)*1000000+20*1000+59))</f>
        <v/>
      </c>
      <c r="GL31" s="121">
        <f>IF(N('Dvd Calendar'!$X$227)=0,"",IF(('Dvd Calendar'!$X$227&gt;=GRID_FROM)*('Dvd Calendar'!$X$227&lt;=GRID_TO)*('Dvd Calendar'!$X$227&gt;VAL_DATE)=0,"",'Dvd Calendar'!$X$227*1000000000+ISNUMBER('Dvd Calendar'!$X$228)*100000000+0*10000000+(N('Dvd Calendar'!$X$226)&gt;0)*(N('Dvd Calendar'!$X$226)&lt;=VAL_SERIAL)*1000000+20*1000+60))</f>
        <v/>
      </c>
      <c r="GM31" s="121">
        <f>IF(N('Dvd Calendar'!$Y$227)=0,"",IF(('Dvd Calendar'!$Y$227&gt;=GRID_FROM)*('Dvd Calendar'!$Y$227&lt;=GRID_TO)*('Dvd Calendar'!$Y$227&gt;VAL_DATE)=0,"",'Dvd Calendar'!$Y$227*1000000000+ISNUMBER('Dvd Calendar'!$Y$228)*100000000+0*10000000+(N('Dvd Calendar'!$Y$226)&gt;0)*(N('Dvd Calendar'!$Y$226)&lt;=VAL_SERIAL)*1000000+20*1000+61))</f>
        <v/>
      </c>
      <c r="GN31" s="121">
        <f>IF(N('Dvd Calendar'!$Z$227)=0,"",IF(('Dvd Calendar'!$Z$227&gt;=GRID_FROM)*('Dvd Calendar'!$Z$227&lt;=GRID_TO)*('Dvd Calendar'!$Z$227&gt;VAL_DATE)=0,"",'Dvd Calendar'!$Z$227*1000000000+ISNUMBER('Dvd Calendar'!$Z$228)*100000000+0*10000000+(N('Dvd Calendar'!$Z$226)&gt;0)*(N('Dvd Calendar'!$Z$226)&lt;=VAL_SERIAL)*1000000+20*1000+62))</f>
        <v/>
      </c>
      <c r="GO31" s="121">
        <f>IF(N('Dvd Calendar'!$AA$227)=0,"",IF(('Dvd Calendar'!$AA$227&gt;=GRID_FROM)*('Dvd Calendar'!$AA$227&lt;=GRID_TO)*('Dvd Calendar'!$AA$227&gt;VAL_DATE)=0,"",'Dvd Calendar'!$AA$227*1000000000+ISNUMBER('Dvd Calendar'!$AA$228)*100000000+0*10000000+(N('Dvd Calendar'!$AA$226)&gt;0)*(N('Dvd Calendar'!$AA$226)&lt;=VAL_SERIAL)*1000000+20*1000+63))</f>
        <v/>
      </c>
      <c r="GP31" s="121">
        <f>IF(N('Dvd Calendar'!$AB$227)=0,"",IF(('Dvd Calendar'!$AB$227&gt;=GRID_FROM)*('Dvd Calendar'!$AB$227&lt;=GRID_TO)*('Dvd Calendar'!$AB$227&gt;VAL_DATE)=0,"",'Dvd Calendar'!$AB$227*1000000000+ISNUMBER('Dvd Calendar'!$AB$228)*100000000+0*10000000+(N('Dvd Calendar'!$AB$226)&gt;0)*(N('Dvd Calendar'!$AB$226)&lt;=VAL_SERIAL)*1000000+20*1000+64))</f>
        <v/>
      </c>
      <c r="GQ31" s="121">
        <f>IF(N('Dvd Calendar'!$AC$227)=0,"",IF(('Dvd Calendar'!$AC$227&gt;=GRID_FROM)*('Dvd Calendar'!$AC$227&lt;=GRID_TO)*('Dvd Calendar'!$AC$227&gt;VAL_DATE)=0,"",'Dvd Calendar'!$AC$227*1000000000+ISNUMBER('Dvd Calendar'!$AC$228)*100000000+0*10000000+(N('Dvd Calendar'!$AC$226)&gt;0)*(N('Dvd Calendar'!$AC$226)&lt;=VAL_SERIAL)*1000000+20*1000+65))</f>
        <v/>
      </c>
    </row>
    <row r="32">
      <c r="B32" s="2">
        <f>IF(HSI!$C$27="","",HSI!$C$27)</f>
        <v/>
      </c>
      <c r="C32" s="161">
        <f>IF(EE32="","",IF(ISNUMBER('Dvd Calendar'!$E$234)=FALSE,"",IF((('Dvd Calendar'!$E$236=TYPE1)*(TYPE1&lt;&gt;"")+('Dvd Calendar'!$E$236=TYPE2)*(TYPE2&lt;&gt;"")+('Dvd Calendar'!$E$236=TYPE3)*(TYPE3&lt;&gt;"")+('Dvd Calendar'!$E$236=TYPE4)*(TYPE4&lt;&gt;"")+('Dvd Calendar'!$E$236=SPECIAL_LBL)*(INC_SPECIALS="Y"))=0,"",'Dvd Calendar'!$E$234)))</f>
        <v/>
      </c>
      <c r="D32" s="161">
        <f>IF(EF32="","",IF(ISNUMBER('Dvd Calendar'!$F$234)=FALSE,"",IF((('Dvd Calendar'!$F$236=TYPE1)*(TYPE1&lt;&gt;"")+('Dvd Calendar'!$F$236=TYPE2)*(TYPE2&lt;&gt;"")+('Dvd Calendar'!$F$236=TYPE3)*(TYPE3&lt;&gt;"")+('Dvd Calendar'!$F$236=TYPE4)*(TYPE4&lt;&gt;"")+('Dvd Calendar'!$F$236=SPECIAL_LBL)*(INC_SPECIALS="Y"))=0,"",'Dvd Calendar'!$F$234)))</f>
        <v/>
      </c>
      <c r="E32" s="161">
        <f>IF(EG32="","",IF(ISNUMBER('Dvd Calendar'!$G$234)=FALSE,"",IF((('Dvd Calendar'!$G$236=TYPE1)*(TYPE1&lt;&gt;"")+('Dvd Calendar'!$G$236=TYPE2)*(TYPE2&lt;&gt;"")+('Dvd Calendar'!$G$236=TYPE3)*(TYPE3&lt;&gt;"")+('Dvd Calendar'!$G$236=TYPE4)*(TYPE4&lt;&gt;"")+('Dvd Calendar'!$G$236=SPECIAL_LBL)*(INC_SPECIALS="Y"))=0,"",'Dvd Calendar'!$G$234)))</f>
        <v/>
      </c>
      <c r="F32" s="161">
        <f>IF(EH32="","",IF(ISNUMBER('Dvd Calendar'!$H$234)=FALSE,"",IF((('Dvd Calendar'!$H$236=TYPE1)*(TYPE1&lt;&gt;"")+('Dvd Calendar'!$H$236=TYPE2)*(TYPE2&lt;&gt;"")+('Dvd Calendar'!$H$236=TYPE3)*(TYPE3&lt;&gt;"")+('Dvd Calendar'!$H$236=TYPE4)*(TYPE4&lt;&gt;"")+('Dvd Calendar'!$H$236=SPECIAL_LBL)*(INC_SPECIALS="Y"))=0,"",'Dvd Calendar'!$H$234)))</f>
        <v/>
      </c>
      <c r="G32" s="161">
        <f>IF(EI32="","",IF(ISNUMBER('Dvd Calendar'!$I$234)=FALSE,"",IF((('Dvd Calendar'!$I$236=TYPE1)*(TYPE1&lt;&gt;"")+('Dvd Calendar'!$I$236=TYPE2)*(TYPE2&lt;&gt;"")+('Dvd Calendar'!$I$236=TYPE3)*(TYPE3&lt;&gt;"")+('Dvd Calendar'!$I$236=TYPE4)*(TYPE4&lt;&gt;"")+('Dvd Calendar'!$I$236=SPECIAL_LBL)*(INC_SPECIALS="Y"))=0,"",'Dvd Calendar'!$I$234)))</f>
        <v/>
      </c>
      <c r="H32" s="161">
        <f>IF(EJ32="","",IF(ISNUMBER('Dvd Calendar'!$J$234)=FALSE,"",IF((('Dvd Calendar'!$J$236=TYPE1)*(TYPE1&lt;&gt;"")+('Dvd Calendar'!$J$236=TYPE2)*(TYPE2&lt;&gt;"")+('Dvd Calendar'!$J$236=TYPE3)*(TYPE3&lt;&gt;"")+('Dvd Calendar'!$J$236=TYPE4)*(TYPE4&lt;&gt;"")+('Dvd Calendar'!$J$236=SPECIAL_LBL)*(INC_SPECIALS="Y"))=0,"",'Dvd Calendar'!$J$234)))</f>
        <v/>
      </c>
      <c r="I32" s="161">
        <f>IF(EK32="","",IF(ISNUMBER('Dvd Calendar'!$K$234)=FALSE,"",IF((('Dvd Calendar'!$K$236=TYPE1)*(TYPE1&lt;&gt;"")+('Dvd Calendar'!$K$236=TYPE2)*(TYPE2&lt;&gt;"")+('Dvd Calendar'!$K$236=TYPE3)*(TYPE3&lt;&gt;"")+('Dvd Calendar'!$K$236=TYPE4)*(TYPE4&lt;&gt;"")+('Dvd Calendar'!$K$236=SPECIAL_LBL)*(INC_SPECIALS="Y"))=0,"",'Dvd Calendar'!$K$234)))</f>
        <v/>
      </c>
      <c r="J32" s="161">
        <f>IF(EL32="","",IF(ISNUMBER('Dvd Calendar'!$L$234)=FALSE,"",IF((('Dvd Calendar'!$L$236=TYPE1)*(TYPE1&lt;&gt;"")+('Dvd Calendar'!$L$236=TYPE2)*(TYPE2&lt;&gt;"")+('Dvd Calendar'!$L$236=TYPE3)*(TYPE3&lt;&gt;"")+('Dvd Calendar'!$L$236=TYPE4)*(TYPE4&lt;&gt;"")+('Dvd Calendar'!$L$236=SPECIAL_LBL)*(INC_SPECIALS="Y"))=0,"",'Dvd Calendar'!$L$234)))</f>
        <v/>
      </c>
      <c r="K32" s="161">
        <f>IF(EM32="","",IF(ISNUMBER('Dvd Calendar'!$M$234)=FALSE,"",IF((('Dvd Calendar'!$M$236=TYPE1)*(TYPE1&lt;&gt;"")+('Dvd Calendar'!$M$236=TYPE2)*(TYPE2&lt;&gt;"")+('Dvd Calendar'!$M$236=TYPE3)*(TYPE3&lt;&gt;"")+('Dvd Calendar'!$M$236=TYPE4)*(TYPE4&lt;&gt;"")+('Dvd Calendar'!$M$236=SPECIAL_LBL)*(INC_SPECIALS="Y"))=0,"",'Dvd Calendar'!$M$234)))</f>
        <v/>
      </c>
      <c r="L32" s="161">
        <f>IF(EN32="","",IF(ISNUMBER('Dvd Calendar'!$N$234)=FALSE,"",IF((('Dvd Calendar'!$N$236=TYPE1)*(TYPE1&lt;&gt;"")+('Dvd Calendar'!$N$236=TYPE2)*(TYPE2&lt;&gt;"")+('Dvd Calendar'!$N$236=TYPE3)*(TYPE3&lt;&gt;"")+('Dvd Calendar'!$N$236=TYPE4)*(TYPE4&lt;&gt;"")+('Dvd Calendar'!$N$236=SPECIAL_LBL)*(INC_SPECIALS="Y"))=0,"",'Dvd Calendar'!$N$234)))</f>
        <v/>
      </c>
      <c r="M32" s="161">
        <f>IF(EO32="","",IF(ISNUMBER('Dvd Calendar'!$O$234)=FALSE,"",IF((('Dvd Calendar'!$O$236=TYPE1)*(TYPE1&lt;&gt;"")+('Dvd Calendar'!$O$236=TYPE2)*(TYPE2&lt;&gt;"")+('Dvd Calendar'!$O$236=TYPE3)*(TYPE3&lt;&gt;"")+('Dvd Calendar'!$O$236=TYPE4)*(TYPE4&lt;&gt;"")+('Dvd Calendar'!$O$236=SPECIAL_LBL)*(INC_SPECIALS="Y"))=0,"",'Dvd Calendar'!$O$234)))</f>
        <v/>
      </c>
      <c r="N32" s="161">
        <f>IF(EP32="","",IF(ISNUMBER('Dvd Calendar'!$P$234)=FALSE,"",IF((('Dvd Calendar'!$P$236=TYPE1)*(TYPE1&lt;&gt;"")+('Dvd Calendar'!$P$236=TYPE2)*(TYPE2&lt;&gt;"")+('Dvd Calendar'!$P$236=TYPE3)*(TYPE3&lt;&gt;"")+('Dvd Calendar'!$P$236=TYPE4)*(TYPE4&lt;&gt;"")+('Dvd Calendar'!$P$236=SPECIAL_LBL)*(INC_SPECIALS="Y"))=0,"",'Dvd Calendar'!$P$234)))</f>
        <v/>
      </c>
      <c r="O32" s="161">
        <f>IF(EQ32="","",IF(ISNUMBER('Dvd Calendar'!$Q$234)=FALSE,"",IF((('Dvd Calendar'!$Q$236=TYPE1)*(TYPE1&lt;&gt;"")+('Dvd Calendar'!$Q$236=TYPE2)*(TYPE2&lt;&gt;"")+('Dvd Calendar'!$Q$236=TYPE3)*(TYPE3&lt;&gt;"")+('Dvd Calendar'!$Q$236=TYPE4)*(TYPE4&lt;&gt;"")+('Dvd Calendar'!$Q$236=SPECIAL_LBL)*(INC_SPECIALS="Y"))=0,"",'Dvd Calendar'!$Q$234)))</f>
        <v/>
      </c>
      <c r="P32" s="161">
        <f>IF(ER32="","",IF(ISNUMBER('Dvd Calendar'!$R$234)=FALSE,"",IF((('Dvd Calendar'!$R$236=TYPE1)*(TYPE1&lt;&gt;"")+('Dvd Calendar'!$R$236=TYPE2)*(TYPE2&lt;&gt;"")+('Dvd Calendar'!$R$236=TYPE3)*(TYPE3&lt;&gt;"")+('Dvd Calendar'!$R$236=TYPE4)*(TYPE4&lt;&gt;"")+('Dvd Calendar'!$R$236=SPECIAL_LBL)*(INC_SPECIALS="Y"))=0,"",'Dvd Calendar'!$R$234)))</f>
        <v/>
      </c>
      <c r="Q32" s="161">
        <f>IF(ES32="","",IF(ISNUMBER('Dvd Calendar'!$S$234)=FALSE,"",IF((('Dvd Calendar'!$S$236=TYPE1)*(TYPE1&lt;&gt;"")+('Dvd Calendar'!$S$236=TYPE2)*(TYPE2&lt;&gt;"")+('Dvd Calendar'!$S$236=TYPE3)*(TYPE3&lt;&gt;"")+('Dvd Calendar'!$S$236=TYPE4)*(TYPE4&lt;&gt;"")+('Dvd Calendar'!$S$236=SPECIAL_LBL)*(INC_SPECIALS="Y"))=0,"",'Dvd Calendar'!$S$234)))</f>
        <v/>
      </c>
      <c r="R32" s="161">
        <f>IF(ET32="","",IF(ISNUMBER('Dvd Calendar'!$T$234)=FALSE,"",IF((('Dvd Calendar'!$T$236=TYPE1)*(TYPE1&lt;&gt;"")+('Dvd Calendar'!$T$236=TYPE2)*(TYPE2&lt;&gt;"")+('Dvd Calendar'!$T$236=TYPE3)*(TYPE3&lt;&gt;"")+('Dvd Calendar'!$T$236=TYPE4)*(TYPE4&lt;&gt;"")+('Dvd Calendar'!$T$236=SPECIAL_LBL)*(INC_SPECIALS="Y"))=0,"",'Dvd Calendar'!$T$234)))</f>
        <v/>
      </c>
      <c r="S32" s="161">
        <f>IF(EU32="","",IF(ISNUMBER('Dvd Calendar'!$U$234)=FALSE,"",IF((('Dvd Calendar'!$U$236=TYPE1)*(TYPE1&lt;&gt;"")+('Dvd Calendar'!$U$236=TYPE2)*(TYPE2&lt;&gt;"")+('Dvd Calendar'!$U$236=TYPE3)*(TYPE3&lt;&gt;"")+('Dvd Calendar'!$U$236=TYPE4)*(TYPE4&lt;&gt;"")+('Dvd Calendar'!$U$236=SPECIAL_LBL)*(INC_SPECIALS="Y"))=0,"",'Dvd Calendar'!$U$234)))</f>
        <v/>
      </c>
      <c r="T32" s="161">
        <f>IF(EV32="","",IF(ISNUMBER('Dvd Calendar'!$V$234)=FALSE,"",IF((('Dvd Calendar'!$V$236=TYPE1)*(TYPE1&lt;&gt;"")+('Dvd Calendar'!$V$236=TYPE2)*(TYPE2&lt;&gt;"")+('Dvd Calendar'!$V$236=TYPE3)*(TYPE3&lt;&gt;"")+('Dvd Calendar'!$V$236=TYPE4)*(TYPE4&lt;&gt;"")+('Dvd Calendar'!$V$236=SPECIAL_LBL)*(INC_SPECIALS="Y"))=0,"",'Dvd Calendar'!$V$234)))</f>
        <v/>
      </c>
      <c r="U32" s="161">
        <f>IF(EW32="","",IF(ISNUMBER('Dvd Calendar'!$W$234)=FALSE,"",IF((('Dvd Calendar'!$W$236=TYPE1)*(TYPE1&lt;&gt;"")+('Dvd Calendar'!$W$236=TYPE2)*(TYPE2&lt;&gt;"")+('Dvd Calendar'!$W$236=TYPE3)*(TYPE3&lt;&gt;"")+('Dvd Calendar'!$W$236=TYPE4)*(TYPE4&lt;&gt;"")+('Dvd Calendar'!$W$236=SPECIAL_LBL)*(INC_SPECIALS="Y"))=0,"",'Dvd Calendar'!$W$234)))</f>
        <v/>
      </c>
      <c r="V32" s="161">
        <f>IF(EX32="","",IF(ISNUMBER('Dvd Calendar'!$X$234)=FALSE,"",IF((('Dvd Calendar'!$X$236=TYPE1)*(TYPE1&lt;&gt;"")+('Dvd Calendar'!$X$236=TYPE2)*(TYPE2&lt;&gt;"")+('Dvd Calendar'!$X$236=TYPE3)*(TYPE3&lt;&gt;"")+('Dvd Calendar'!$X$236=TYPE4)*(TYPE4&lt;&gt;"")+('Dvd Calendar'!$X$236=SPECIAL_LBL)*(INC_SPECIALS="Y"))=0,"",'Dvd Calendar'!$X$234)))</f>
        <v/>
      </c>
      <c r="W32" s="161">
        <f>IF(EY32="","",IF(ISNUMBER('Dvd Calendar'!$Y$234)=FALSE,"",IF((('Dvd Calendar'!$Y$236=TYPE1)*(TYPE1&lt;&gt;"")+('Dvd Calendar'!$Y$236=TYPE2)*(TYPE2&lt;&gt;"")+('Dvd Calendar'!$Y$236=TYPE3)*(TYPE3&lt;&gt;"")+('Dvd Calendar'!$Y$236=TYPE4)*(TYPE4&lt;&gt;"")+('Dvd Calendar'!$Y$236=SPECIAL_LBL)*(INC_SPECIALS="Y"))=0,"",'Dvd Calendar'!$Y$234)))</f>
        <v/>
      </c>
      <c r="X32" s="161">
        <f>IF(EZ32="","",IF(ISNUMBER('Dvd Calendar'!$Z$234)=FALSE,"",IF((('Dvd Calendar'!$Z$236=TYPE1)*(TYPE1&lt;&gt;"")+('Dvd Calendar'!$Z$236=TYPE2)*(TYPE2&lt;&gt;"")+('Dvd Calendar'!$Z$236=TYPE3)*(TYPE3&lt;&gt;"")+('Dvd Calendar'!$Z$236=TYPE4)*(TYPE4&lt;&gt;"")+('Dvd Calendar'!$Z$236=SPECIAL_LBL)*(INC_SPECIALS="Y"))=0,"",'Dvd Calendar'!$Z$234)))</f>
        <v/>
      </c>
      <c r="Y32" s="161">
        <f>IF(FA32="","",IF(ISNUMBER('Dvd Calendar'!$AA$234)=FALSE,"",IF((('Dvd Calendar'!$AA$236=TYPE1)*(TYPE1&lt;&gt;"")+('Dvd Calendar'!$AA$236=TYPE2)*(TYPE2&lt;&gt;"")+('Dvd Calendar'!$AA$236=TYPE3)*(TYPE3&lt;&gt;"")+('Dvd Calendar'!$AA$236=TYPE4)*(TYPE4&lt;&gt;"")+('Dvd Calendar'!$AA$236=SPECIAL_LBL)*(INC_SPECIALS="Y"))=0,"",'Dvd Calendar'!$AA$234)))</f>
        <v/>
      </c>
      <c r="Z32" s="161">
        <f>IF(FB32="","",IF(ISNUMBER('Dvd Calendar'!$AB$234)=FALSE,"",IF((('Dvd Calendar'!$AB$236=TYPE1)*(TYPE1&lt;&gt;"")+('Dvd Calendar'!$AB$236=TYPE2)*(TYPE2&lt;&gt;"")+('Dvd Calendar'!$AB$236=TYPE3)*(TYPE3&lt;&gt;"")+('Dvd Calendar'!$AB$236=TYPE4)*(TYPE4&lt;&gt;"")+('Dvd Calendar'!$AB$236=SPECIAL_LBL)*(INC_SPECIALS="Y"))=0,"",'Dvd Calendar'!$AB$234)))</f>
        <v/>
      </c>
      <c r="AA32" s="161">
        <f>IF(FC32="","",IF(ISNUMBER('Dvd Calendar'!$AC$234)=FALSE,"",IF((('Dvd Calendar'!$AC$236=TYPE1)*(TYPE1&lt;&gt;"")+('Dvd Calendar'!$AC$236=TYPE2)*(TYPE2&lt;&gt;"")+('Dvd Calendar'!$AC$236=TYPE3)*(TYPE3&lt;&gt;"")+('Dvd Calendar'!$AC$236=TYPE4)*(TYPE4&lt;&gt;"")+('Dvd Calendar'!$AC$236=SPECIAL_LBL)*(INC_SPECIALS="Y"))=0,"",'Dvd Calendar'!$AC$234)))</f>
        <v/>
      </c>
      <c r="AB32" s="161">
        <f>IF(FD32="","",IF(ISNUMBER('Dvd Calendar'!$AD$234)=FALSE,"",IF((('Dvd Calendar'!$AD$236=TYPE1)*(TYPE1&lt;&gt;"")+('Dvd Calendar'!$AD$236=TYPE2)*(TYPE2&lt;&gt;"")+('Dvd Calendar'!$AD$236=TYPE3)*(TYPE3&lt;&gt;"")+('Dvd Calendar'!$AD$236=TYPE4)*(TYPE4&lt;&gt;"")+('Dvd Calendar'!$AD$236=SPECIAL_LBL)*(INC_SPECIALS="Y"))=0,"",'Dvd Calendar'!$AD$234)))</f>
        <v/>
      </c>
      <c r="AC32" s="161">
        <f>IF(FE32="","",IF(ISNUMBER('Dvd Calendar'!$AE$234)=FALSE,"",IF((('Dvd Calendar'!$AE$236=TYPE1)*(TYPE1&lt;&gt;"")+('Dvd Calendar'!$AE$236=TYPE2)*(TYPE2&lt;&gt;"")+('Dvd Calendar'!$AE$236=TYPE3)*(TYPE3&lt;&gt;"")+('Dvd Calendar'!$AE$236=TYPE4)*(TYPE4&lt;&gt;"")+('Dvd Calendar'!$AE$236=SPECIAL_LBL)*(INC_SPECIALS="Y"))=0,"",'Dvd Calendar'!$AE$234)))</f>
        <v/>
      </c>
      <c r="AD32" s="161">
        <f>IF(FF32="","",IF(ISNUMBER('Dvd Calendar'!$AF$234)=FALSE,"",IF((('Dvd Calendar'!$AF$236=TYPE1)*(TYPE1&lt;&gt;"")+('Dvd Calendar'!$AF$236=TYPE2)*(TYPE2&lt;&gt;"")+('Dvd Calendar'!$AF$236=TYPE3)*(TYPE3&lt;&gt;"")+('Dvd Calendar'!$AF$236=TYPE4)*(TYPE4&lt;&gt;"")+('Dvd Calendar'!$AF$236=SPECIAL_LBL)*(INC_SPECIALS="Y"))=0,"",'Dvd Calendar'!$AF$234)))</f>
        <v/>
      </c>
      <c r="AE32" s="161">
        <f>IF(FG32="","",IF(ISNUMBER('Dvd Calendar'!$AG$234)=FALSE,"",IF((('Dvd Calendar'!$AG$236=TYPE1)*(TYPE1&lt;&gt;"")+('Dvd Calendar'!$AG$236=TYPE2)*(TYPE2&lt;&gt;"")+('Dvd Calendar'!$AG$236=TYPE3)*(TYPE3&lt;&gt;"")+('Dvd Calendar'!$AG$236=TYPE4)*(TYPE4&lt;&gt;"")+('Dvd Calendar'!$AG$236=SPECIAL_LBL)*(INC_SPECIALS="Y"))=0,"",'Dvd Calendar'!$AG$234)))</f>
        <v/>
      </c>
      <c r="AF32" s="161">
        <f>IF(FH32="","",IF(ISNUMBER('Dvd Calendar'!$AH$234)=FALSE,"",IF((('Dvd Calendar'!$AH$236=TYPE1)*(TYPE1&lt;&gt;"")+('Dvd Calendar'!$AH$236=TYPE2)*(TYPE2&lt;&gt;"")+('Dvd Calendar'!$AH$236=TYPE3)*(TYPE3&lt;&gt;"")+('Dvd Calendar'!$AH$236=TYPE4)*(TYPE4&lt;&gt;"")+('Dvd Calendar'!$AH$236=SPECIAL_LBL)*(INC_SPECIALS="Y"))=0,"",'Dvd Calendar'!$AH$234)))</f>
        <v/>
      </c>
      <c r="AG32" s="161">
        <f>IF(FI32="","",IF(ISNUMBER('Dvd Calendar'!$AI$234)=FALSE,"",IF((('Dvd Calendar'!$AI$236=TYPE1)*(TYPE1&lt;&gt;"")+('Dvd Calendar'!$AI$236=TYPE2)*(TYPE2&lt;&gt;"")+('Dvd Calendar'!$AI$236=TYPE3)*(TYPE3&lt;&gt;"")+('Dvd Calendar'!$AI$236=TYPE4)*(TYPE4&lt;&gt;"")+('Dvd Calendar'!$AI$236=SPECIAL_LBL)*(INC_SPECIALS="Y"))=0,"",'Dvd Calendar'!$AI$234)))</f>
        <v/>
      </c>
      <c r="AH32" s="161">
        <f>IF(FJ32="","",IF(ISNUMBER('Dvd Calendar'!$AJ$234)=FALSE,"",IF((('Dvd Calendar'!$AJ$236=TYPE1)*(TYPE1&lt;&gt;"")+('Dvd Calendar'!$AJ$236=TYPE2)*(TYPE2&lt;&gt;"")+('Dvd Calendar'!$AJ$236=TYPE3)*(TYPE3&lt;&gt;"")+('Dvd Calendar'!$AJ$236=TYPE4)*(TYPE4&lt;&gt;"")+('Dvd Calendar'!$AJ$236=SPECIAL_LBL)*(INC_SPECIALS="Y"))=0,"",'Dvd Calendar'!$AJ$234)))</f>
        <v/>
      </c>
      <c r="AI32" s="161">
        <f>IF(FK32="","",IF(ISNUMBER('Dvd Calendar'!$AK$234)=FALSE,"",IF((('Dvd Calendar'!$AK$236=TYPE1)*(TYPE1&lt;&gt;"")+('Dvd Calendar'!$AK$236=TYPE2)*(TYPE2&lt;&gt;"")+('Dvd Calendar'!$AK$236=TYPE3)*(TYPE3&lt;&gt;"")+('Dvd Calendar'!$AK$236=TYPE4)*(TYPE4&lt;&gt;"")+('Dvd Calendar'!$AK$236=SPECIAL_LBL)*(INC_SPECIALS="Y"))=0,"",'Dvd Calendar'!$AK$234)))</f>
        <v/>
      </c>
      <c r="AJ32" s="161">
        <f>IF(FL32="","",IF(ISNUMBER('Dvd Calendar'!$AL$234)=FALSE,"",IF((('Dvd Calendar'!$AL$236=TYPE1)*(TYPE1&lt;&gt;"")+('Dvd Calendar'!$AL$236=TYPE2)*(TYPE2&lt;&gt;"")+('Dvd Calendar'!$AL$236=TYPE3)*(TYPE3&lt;&gt;"")+('Dvd Calendar'!$AL$236=TYPE4)*(TYPE4&lt;&gt;"")+('Dvd Calendar'!$AL$236=SPECIAL_LBL)*(INC_SPECIALS="Y"))=0,"",'Dvd Calendar'!$AL$234)))</f>
        <v/>
      </c>
      <c r="AK32" s="161">
        <f>IF(FM32="","",IF(ISNUMBER('Dvd Calendar'!$AM$234)=FALSE,"",IF((('Dvd Calendar'!$AM$236=TYPE1)*(TYPE1&lt;&gt;"")+('Dvd Calendar'!$AM$236=TYPE2)*(TYPE2&lt;&gt;"")+('Dvd Calendar'!$AM$236=TYPE3)*(TYPE3&lt;&gt;"")+('Dvd Calendar'!$AM$236=TYPE4)*(TYPE4&lt;&gt;"")+('Dvd Calendar'!$AM$236=SPECIAL_LBL)*(INC_SPECIALS="Y"))=0,"",'Dvd Calendar'!$AM$234)))</f>
        <v/>
      </c>
      <c r="AL32" s="161">
        <f>IF(FN32="","",IF(ISNUMBER('Dvd Calendar'!$AN$234)=FALSE,"",IF((('Dvd Calendar'!$AN$236=TYPE1)*(TYPE1&lt;&gt;"")+('Dvd Calendar'!$AN$236=TYPE2)*(TYPE2&lt;&gt;"")+('Dvd Calendar'!$AN$236=TYPE3)*(TYPE3&lt;&gt;"")+('Dvd Calendar'!$AN$236=TYPE4)*(TYPE4&lt;&gt;"")+('Dvd Calendar'!$AN$236=SPECIAL_LBL)*(INC_SPECIALS="Y"))=0,"",'Dvd Calendar'!$AN$234)))</f>
        <v/>
      </c>
      <c r="AM32" s="161">
        <f>IF(FO32="","",IF(ISNUMBER('Dvd Calendar'!$AO$234)=FALSE,"",IF((('Dvd Calendar'!$AO$236=TYPE1)*(TYPE1&lt;&gt;"")+('Dvd Calendar'!$AO$236=TYPE2)*(TYPE2&lt;&gt;"")+('Dvd Calendar'!$AO$236=TYPE3)*(TYPE3&lt;&gt;"")+('Dvd Calendar'!$AO$236=TYPE4)*(TYPE4&lt;&gt;"")+('Dvd Calendar'!$AO$236=SPECIAL_LBL)*(INC_SPECIALS="Y"))=0,"",'Dvd Calendar'!$AO$234)))</f>
        <v/>
      </c>
      <c r="AN32" s="161">
        <f>IF(FP32="","",IF(ISNUMBER('Dvd Calendar'!$AP$234)=FALSE,"",IF((('Dvd Calendar'!$AP$236=TYPE1)*(TYPE1&lt;&gt;"")+('Dvd Calendar'!$AP$236=TYPE2)*(TYPE2&lt;&gt;"")+('Dvd Calendar'!$AP$236=TYPE3)*(TYPE3&lt;&gt;"")+('Dvd Calendar'!$AP$236=TYPE4)*(TYPE4&lt;&gt;"")+('Dvd Calendar'!$AP$236=SPECIAL_LBL)*(INC_SPECIALS="Y"))=0,"",'Dvd Calendar'!$AP$234)))</f>
        <v/>
      </c>
      <c r="AO32" s="161">
        <f>IF(FQ32="","",IF(ISNUMBER('Dvd Calendar'!$AQ$234)=FALSE,"",IF((('Dvd Calendar'!$AQ$236=TYPE1)*(TYPE1&lt;&gt;"")+('Dvd Calendar'!$AQ$236=TYPE2)*(TYPE2&lt;&gt;"")+('Dvd Calendar'!$AQ$236=TYPE3)*(TYPE3&lt;&gt;"")+('Dvd Calendar'!$AQ$236=TYPE4)*(TYPE4&lt;&gt;"")+('Dvd Calendar'!$AQ$236=SPECIAL_LBL)*(INC_SPECIALS="Y"))=0,"",'Dvd Calendar'!$AQ$234)))</f>
        <v/>
      </c>
      <c r="AP32" s="161">
        <f>IF(FR32="","",IF(ISNUMBER('Dvd Calendar'!$AR$234)=FALSE,"",IF((('Dvd Calendar'!$AR$236=TYPE1)*(TYPE1&lt;&gt;"")+('Dvd Calendar'!$AR$236=TYPE2)*(TYPE2&lt;&gt;"")+('Dvd Calendar'!$AR$236=TYPE3)*(TYPE3&lt;&gt;"")+('Dvd Calendar'!$AR$236=TYPE4)*(TYPE4&lt;&gt;"")+('Dvd Calendar'!$AR$236=SPECIAL_LBL)*(INC_SPECIALS="Y"))=0,"",'Dvd Calendar'!$AR$234)))</f>
        <v/>
      </c>
      <c r="AQ32" s="161">
        <f>IF(FS32="","",IF(ISNUMBER('Dvd Calendar'!$E$239)=FALSE,"",'Dvd Calendar'!$E$239))</f>
        <v/>
      </c>
      <c r="AR32" s="161">
        <f>IF(FT32="","",IF(ISNUMBER('Dvd Calendar'!$F$239)=FALSE,"",'Dvd Calendar'!$F$239))</f>
        <v/>
      </c>
      <c r="AS32" s="161">
        <f>IF(FU32="","",IF(ISNUMBER('Dvd Calendar'!$G$239)=FALSE,"",'Dvd Calendar'!$G$239))</f>
        <v/>
      </c>
      <c r="AT32" s="161">
        <f>IF(FV32="","",IF(ISNUMBER('Dvd Calendar'!$H$239)=FALSE,"",'Dvd Calendar'!$H$239))</f>
        <v/>
      </c>
      <c r="AU32" s="161">
        <f>IF(FW32="","",IF(ISNUMBER('Dvd Calendar'!$I$239)=FALSE,"",'Dvd Calendar'!$I$239))</f>
        <v/>
      </c>
      <c r="AV32" s="161">
        <f>IF(FX32="","",IF(ISNUMBER('Dvd Calendar'!$J$239)=FALSE,"",'Dvd Calendar'!$J$239))</f>
        <v/>
      </c>
      <c r="AW32" s="161">
        <f>IF(FY32="","",IF(ISNUMBER('Dvd Calendar'!$K$239)=FALSE,"",'Dvd Calendar'!$K$239))</f>
        <v/>
      </c>
      <c r="AX32" s="161">
        <f>IF(FZ32="","",IF(ISNUMBER('Dvd Calendar'!$L$239)=FALSE,"",'Dvd Calendar'!$L$239))</f>
        <v/>
      </c>
      <c r="AY32" s="161">
        <f>IF(GA32="","",IF(ISNUMBER('Dvd Calendar'!$M$239)=FALSE,"",'Dvd Calendar'!$M$239))</f>
        <v/>
      </c>
      <c r="AZ32" s="161">
        <f>IF(GB32="","",IF(ISNUMBER('Dvd Calendar'!$N$239)=FALSE,"",'Dvd Calendar'!$N$239))</f>
        <v/>
      </c>
      <c r="BA32" s="161">
        <f>IF(GC32="","",IF(ISNUMBER('Dvd Calendar'!$O$239)=FALSE,"",'Dvd Calendar'!$O$239))</f>
        <v/>
      </c>
      <c r="BB32" s="161">
        <f>IF(GD32="","",IF(ISNUMBER('Dvd Calendar'!$P$239)=FALSE,"",'Dvd Calendar'!$P$239))</f>
        <v/>
      </c>
      <c r="BC32" s="161">
        <f>IF(GE32="","",IF(ISNUMBER('Dvd Calendar'!$Q$239)=FALSE,"",'Dvd Calendar'!$Q$239))</f>
        <v/>
      </c>
      <c r="BD32" s="161">
        <f>IF(GF32="","",IF(ISNUMBER('Dvd Calendar'!$R$239)=FALSE,"",'Dvd Calendar'!$R$239))</f>
        <v/>
      </c>
      <c r="BE32" s="161">
        <f>IF(GG32="","",IF(ISNUMBER('Dvd Calendar'!$S$239)=FALSE,"",'Dvd Calendar'!$S$239))</f>
        <v/>
      </c>
      <c r="BF32" s="161">
        <f>IF(GH32="","",IF(ISNUMBER('Dvd Calendar'!$T$239)=FALSE,"",'Dvd Calendar'!$T$239))</f>
        <v/>
      </c>
      <c r="BG32" s="161">
        <f>IF(GI32="","",IF(ISNUMBER('Dvd Calendar'!$U$239)=FALSE,"",'Dvd Calendar'!$U$239))</f>
        <v/>
      </c>
      <c r="BH32" s="161">
        <f>IF(GJ32="","",IF(ISNUMBER('Dvd Calendar'!$V$239)=FALSE,"",'Dvd Calendar'!$V$239))</f>
        <v/>
      </c>
      <c r="BI32" s="161">
        <f>IF(GK32="","",IF(ISNUMBER('Dvd Calendar'!$W$239)=FALSE,"",'Dvd Calendar'!$W$239))</f>
        <v/>
      </c>
      <c r="BJ32" s="161">
        <f>IF(GL32="","",IF(ISNUMBER('Dvd Calendar'!$X$239)=FALSE,"",'Dvd Calendar'!$X$239))</f>
        <v/>
      </c>
      <c r="BK32" s="161">
        <f>IF(GM32="","",IF(ISNUMBER('Dvd Calendar'!$Y$239)=FALSE,"",'Dvd Calendar'!$Y$239))</f>
        <v/>
      </c>
      <c r="BL32" s="161">
        <f>IF(GN32="","",IF(ISNUMBER('Dvd Calendar'!$Z$239)=FALSE,"",'Dvd Calendar'!$Z$239))</f>
        <v/>
      </c>
      <c r="BM32" s="161">
        <f>IF(GO32="","",IF(ISNUMBER('Dvd Calendar'!$AA$239)=FALSE,"",'Dvd Calendar'!$AA$239))</f>
        <v/>
      </c>
      <c r="BN32" s="161">
        <f>IF(GP32="","",IF(ISNUMBER('Dvd Calendar'!$AB$239)=FALSE,"",'Dvd Calendar'!$AB$239))</f>
        <v/>
      </c>
      <c r="BO32" s="161">
        <f>IF(GQ32="","",IF(ISNUMBER('Dvd Calendar'!$AC$239)=FALSE,"",'Dvd Calendar'!$AC$239))</f>
        <v/>
      </c>
      <c r="BQ32" s="161">
        <f>IF(C32="","",IFERROR(C32*HSI!$B$27*HSI!$G$27/HSI!$B$3,""))</f>
        <v/>
      </c>
      <c r="BR32" s="161">
        <f>IF(D32="","",IFERROR(D32*HSI!$B$27*HSI!$G$27/HSI!$B$3,""))</f>
        <v/>
      </c>
      <c r="BS32" s="161">
        <f>IF(E32="","",IFERROR(E32*HSI!$B$27*HSI!$G$27/HSI!$B$3,""))</f>
        <v/>
      </c>
      <c r="BT32" s="161">
        <f>IF(F32="","",IFERROR(F32*HSI!$B$27*HSI!$G$27/HSI!$B$3,""))</f>
        <v/>
      </c>
      <c r="BU32" s="161">
        <f>IF(G32="","",IFERROR(G32*HSI!$B$27*HSI!$G$27/HSI!$B$3,""))</f>
        <v/>
      </c>
      <c r="BV32" s="161">
        <f>IF(H32="","",IFERROR(H32*HSI!$B$27*HSI!$G$27/HSI!$B$3,""))</f>
        <v/>
      </c>
      <c r="BW32" s="161">
        <f>IF(I32="","",IFERROR(I32*HSI!$B$27*HSI!$G$27/HSI!$B$3,""))</f>
        <v/>
      </c>
      <c r="BX32" s="161">
        <f>IF(J32="","",IFERROR(J32*HSI!$B$27*HSI!$G$27/HSI!$B$3,""))</f>
        <v/>
      </c>
      <c r="BY32" s="161">
        <f>IF(K32="","",IFERROR(K32*HSI!$B$27*HSI!$G$27/HSI!$B$3,""))</f>
        <v/>
      </c>
      <c r="BZ32" s="161">
        <f>IF(L32="","",IFERROR(L32*HSI!$B$27*HSI!$G$27/HSI!$B$3,""))</f>
        <v/>
      </c>
      <c r="CA32" s="161">
        <f>IF(M32="","",IFERROR(M32*HSI!$B$27*HSI!$G$27/HSI!$B$3,""))</f>
        <v/>
      </c>
      <c r="CB32" s="161">
        <f>IF(N32="","",IFERROR(N32*HSI!$B$27*HSI!$G$27/HSI!$B$3,""))</f>
        <v/>
      </c>
      <c r="CC32" s="161">
        <f>IF(O32="","",IFERROR(O32*HSI!$B$27*HSI!$G$27/HSI!$B$3,""))</f>
        <v/>
      </c>
      <c r="CD32" s="161">
        <f>IF(P32="","",IFERROR(P32*HSI!$B$27*HSI!$G$27/HSI!$B$3,""))</f>
        <v/>
      </c>
      <c r="CE32" s="161">
        <f>IF(Q32="","",IFERROR(Q32*HSI!$B$27*HSI!$G$27/HSI!$B$3,""))</f>
        <v/>
      </c>
      <c r="CF32" s="161">
        <f>IF(R32="","",IFERROR(R32*HSI!$B$27*HSI!$G$27/HSI!$B$3,""))</f>
        <v/>
      </c>
      <c r="CG32" s="161">
        <f>IF(S32="","",IFERROR(S32*HSI!$B$27*HSI!$G$27/HSI!$B$3,""))</f>
        <v/>
      </c>
      <c r="CH32" s="161">
        <f>IF(T32="","",IFERROR(T32*HSI!$B$27*HSI!$G$27/HSI!$B$3,""))</f>
        <v/>
      </c>
      <c r="CI32" s="161">
        <f>IF(U32="","",IFERROR(U32*HSI!$B$27*HSI!$G$27/HSI!$B$3,""))</f>
        <v/>
      </c>
      <c r="CJ32" s="161">
        <f>IF(V32="","",IFERROR(V32*HSI!$B$27*HSI!$G$27/HSI!$B$3,""))</f>
        <v/>
      </c>
      <c r="CK32" s="161">
        <f>IF(W32="","",IFERROR(W32*HSI!$B$27*HSI!$G$27/HSI!$B$3,""))</f>
        <v/>
      </c>
      <c r="CL32" s="161">
        <f>IF(X32="","",IFERROR(X32*HSI!$B$27*HSI!$G$27/HSI!$B$3,""))</f>
        <v/>
      </c>
      <c r="CM32" s="161">
        <f>IF(Y32="","",IFERROR(Y32*HSI!$B$27*HSI!$G$27/HSI!$B$3,""))</f>
        <v/>
      </c>
      <c r="CN32" s="161">
        <f>IF(Z32="","",IFERROR(Z32*HSI!$B$27*HSI!$G$27/HSI!$B$3,""))</f>
        <v/>
      </c>
      <c r="CO32" s="161">
        <f>IF(AA32="","",IFERROR(AA32*HSI!$B$27*HSI!$G$27/HSI!$B$3,""))</f>
        <v/>
      </c>
      <c r="CP32" s="161">
        <f>IF(AB32="","",IFERROR(AB32*HSI!$B$27*HSI!$G$27/HSI!$B$3,""))</f>
        <v/>
      </c>
      <c r="CQ32" s="161">
        <f>IF(AC32="","",IFERROR(AC32*HSI!$B$27*HSI!$G$27/HSI!$B$3,""))</f>
        <v/>
      </c>
      <c r="CR32" s="161">
        <f>IF(AD32="","",IFERROR(AD32*HSI!$B$27*HSI!$G$27/HSI!$B$3,""))</f>
        <v/>
      </c>
      <c r="CS32" s="161">
        <f>IF(AE32="","",IFERROR(AE32*HSI!$B$27*HSI!$G$27/HSI!$B$3,""))</f>
        <v/>
      </c>
      <c r="CT32" s="161">
        <f>IF(AF32="","",IFERROR(AF32*HSI!$B$27*HSI!$G$27/HSI!$B$3,""))</f>
        <v/>
      </c>
      <c r="CU32" s="161">
        <f>IF(AG32="","",IFERROR(AG32*HSI!$B$27*HSI!$G$27/HSI!$B$3,""))</f>
        <v/>
      </c>
      <c r="CV32" s="161">
        <f>IF(AH32="","",IFERROR(AH32*HSI!$B$27*HSI!$G$27/HSI!$B$3,""))</f>
        <v/>
      </c>
      <c r="CW32" s="161">
        <f>IF(AI32="","",IFERROR(AI32*HSI!$B$27*HSI!$G$27/HSI!$B$3,""))</f>
        <v/>
      </c>
      <c r="CX32" s="161">
        <f>IF(AJ32="","",IFERROR(AJ32*HSI!$B$27*HSI!$G$27/HSI!$B$3,""))</f>
        <v/>
      </c>
      <c r="CY32" s="161">
        <f>IF(AK32="","",IFERROR(AK32*HSI!$B$27*HSI!$G$27/HSI!$B$3,""))</f>
        <v/>
      </c>
      <c r="CZ32" s="161">
        <f>IF(AL32="","",IFERROR(AL32*HSI!$B$27*HSI!$G$27/HSI!$B$3,""))</f>
        <v/>
      </c>
      <c r="DA32" s="161">
        <f>IF(AM32="","",IFERROR(AM32*HSI!$B$27*HSI!$G$27/HSI!$B$3,""))</f>
        <v/>
      </c>
      <c r="DB32" s="161">
        <f>IF(AN32="","",IFERROR(AN32*HSI!$B$27*HSI!$G$27/HSI!$B$3,""))</f>
        <v/>
      </c>
      <c r="DC32" s="161">
        <f>IF(AO32="","",IFERROR(AO32*HSI!$B$27*HSI!$G$27/HSI!$B$3,""))</f>
        <v/>
      </c>
      <c r="DD32" s="161">
        <f>IF(AP32="","",IFERROR(AP32*HSI!$B$27*HSI!$G$27/HSI!$B$3,""))</f>
        <v/>
      </c>
      <c r="DE32" s="161">
        <f>IF(AQ32="","",IFERROR(AQ32*HSI!$B$27*HSI!$G$27/HSI!$B$3,""))</f>
        <v/>
      </c>
      <c r="DF32" s="161">
        <f>IF(AR32="","",IFERROR(AR32*HSI!$B$27*HSI!$G$27/HSI!$B$3,""))</f>
        <v/>
      </c>
      <c r="DG32" s="161">
        <f>IF(AS32="","",IFERROR(AS32*HSI!$B$27*HSI!$G$27/HSI!$B$3,""))</f>
        <v/>
      </c>
      <c r="DH32" s="161">
        <f>IF(AT32="","",IFERROR(AT32*HSI!$B$27*HSI!$G$27/HSI!$B$3,""))</f>
        <v/>
      </c>
      <c r="DI32" s="161">
        <f>IF(AU32="","",IFERROR(AU32*HSI!$B$27*HSI!$G$27/HSI!$B$3,""))</f>
        <v/>
      </c>
      <c r="DJ32" s="161">
        <f>IF(AV32="","",IFERROR(AV32*HSI!$B$27*HSI!$G$27/HSI!$B$3,""))</f>
        <v/>
      </c>
      <c r="DK32" s="161">
        <f>IF(AW32="","",IFERROR(AW32*HSI!$B$27*HSI!$G$27/HSI!$B$3,""))</f>
        <v/>
      </c>
      <c r="DL32" s="161">
        <f>IF(AX32="","",IFERROR(AX32*HSI!$B$27*HSI!$G$27/HSI!$B$3,""))</f>
        <v/>
      </c>
      <c r="DM32" s="161">
        <f>IF(AY32="","",IFERROR(AY32*HSI!$B$27*HSI!$G$27/HSI!$B$3,""))</f>
        <v/>
      </c>
      <c r="DN32" s="161">
        <f>IF(AZ32="","",IFERROR(AZ32*HSI!$B$27*HSI!$G$27/HSI!$B$3,""))</f>
        <v/>
      </c>
      <c r="DO32" s="161">
        <f>IF(BA32="","",IFERROR(BA32*HSI!$B$27*HSI!$G$27/HSI!$B$3,""))</f>
        <v/>
      </c>
      <c r="DP32" s="161">
        <f>IF(BB32="","",IFERROR(BB32*HSI!$B$27*HSI!$G$27/HSI!$B$3,""))</f>
        <v/>
      </c>
      <c r="DQ32" s="161">
        <f>IF(BC32="","",IFERROR(BC32*HSI!$B$27*HSI!$G$27/HSI!$B$3,""))</f>
        <v/>
      </c>
      <c r="DR32" s="161">
        <f>IF(BD32="","",IFERROR(BD32*HSI!$B$27*HSI!$G$27/HSI!$B$3,""))</f>
        <v/>
      </c>
      <c r="DS32" s="161">
        <f>IF(BE32="","",IFERROR(BE32*HSI!$B$27*HSI!$G$27/HSI!$B$3,""))</f>
        <v/>
      </c>
      <c r="DT32" s="161">
        <f>IF(BF32="","",IFERROR(BF32*HSI!$B$27*HSI!$G$27/HSI!$B$3,""))</f>
        <v/>
      </c>
      <c r="DU32" s="161">
        <f>IF(BG32="","",IFERROR(BG32*HSI!$B$27*HSI!$G$27/HSI!$B$3,""))</f>
        <v/>
      </c>
      <c r="DV32" s="161">
        <f>IF(BH32="","",IFERROR(BH32*HSI!$B$27*HSI!$G$27/HSI!$B$3,""))</f>
        <v/>
      </c>
      <c r="DW32" s="161">
        <f>IF(BI32="","",IFERROR(BI32*HSI!$B$27*HSI!$G$27/HSI!$B$3,""))</f>
        <v/>
      </c>
      <c r="DX32" s="161">
        <f>IF(BJ32="","",IFERROR(BJ32*HSI!$B$27*HSI!$G$27/HSI!$B$3,""))</f>
        <v/>
      </c>
      <c r="DY32" s="161">
        <f>IF(BK32="","",IFERROR(BK32*HSI!$B$27*HSI!$G$27/HSI!$B$3,""))</f>
        <v/>
      </c>
      <c r="DZ32" s="161">
        <f>IF(BL32="","",IFERROR(BL32*HSI!$B$27*HSI!$G$27/HSI!$B$3,""))</f>
        <v/>
      </c>
      <c r="EA32" s="161">
        <f>IF(BM32="","",IFERROR(BM32*HSI!$B$27*HSI!$G$27/HSI!$B$3,""))</f>
        <v/>
      </c>
      <c r="EB32" s="161">
        <f>IF(BN32="","",IFERROR(BN32*HSI!$B$27*HSI!$G$27/HSI!$B$3,""))</f>
        <v/>
      </c>
      <c r="EC32" s="161">
        <f>IF(BO32="","",IFERROR(BO32*HSI!$B$27*HSI!$G$27/HSI!$B$3,""))</f>
        <v/>
      </c>
      <c r="EE32" s="121">
        <f>IF(N('Dvd Calendar'!$E$231)=0,"",IF(('Dvd Calendar'!$E$231&gt;=GRID_FROM)*('Dvd Calendar'!$E$231&lt;=GRID_TO)*((('Dvd Calendar'!$E$231&lt;=VAL_DATE)+(COUNTIF('Dvd Calendar'!$E$238:$AR$238,'Dvd Calendar'!$E$231)=0))&gt;0)=0,"",'Dvd Calendar'!$E$231*1000000000+ISNUMBER('Dvd Calendar'!$E$234)*100000000+('Dvd Calendar'!$E$236=SPECIAL_LBL)*10000000+(N('Dvd Calendar'!$E$230)&gt;0)*(N('Dvd Calendar'!$E$230)&lt;=VAL_SERIAL)*1000000+21*1000+1))</f>
        <v/>
      </c>
      <c r="EF32" s="121">
        <f>IF(N('Dvd Calendar'!$F$231)=0,"",IF(('Dvd Calendar'!$F$231&gt;=GRID_FROM)*('Dvd Calendar'!$F$231&lt;=GRID_TO)*((('Dvd Calendar'!$F$231&lt;=VAL_DATE)+(COUNTIF('Dvd Calendar'!$E$238:$AR$238,'Dvd Calendar'!$F$231)=0))&gt;0)=0,"",'Dvd Calendar'!$F$231*1000000000+ISNUMBER('Dvd Calendar'!$F$234)*100000000+('Dvd Calendar'!$F$236=SPECIAL_LBL)*10000000+(N('Dvd Calendar'!$F$230)&gt;0)*(N('Dvd Calendar'!$F$230)&lt;=VAL_SERIAL)*1000000+21*1000+2))</f>
        <v/>
      </c>
      <c r="EG32" s="121">
        <f>IF(N('Dvd Calendar'!$G$231)=0,"",IF(('Dvd Calendar'!$G$231&gt;=GRID_FROM)*('Dvd Calendar'!$G$231&lt;=GRID_TO)*((('Dvd Calendar'!$G$231&lt;=VAL_DATE)+(COUNTIF('Dvd Calendar'!$E$238:$AR$238,'Dvd Calendar'!$G$231)=0))&gt;0)=0,"",'Dvd Calendar'!$G$231*1000000000+ISNUMBER('Dvd Calendar'!$G$234)*100000000+('Dvd Calendar'!$G$236=SPECIAL_LBL)*10000000+(N('Dvd Calendar'!$G$230)&gt;0)*(N('Dvd Calendar'!$G$230)&lt;=VAL_SERIAL)*1000000+21*1000+3))</f>
        <v/>
      </c>
      <c r="EH32" s="121">
        <f>IF(N('Dvd Calendar'!$H$231)=0,"",IF(('Dvd Calendar'!$H$231&gt;=GRID_FROM)*('Dvd Calendar'!$H$231&lt;=GRID_TO)*((('Dvd Calendar'!$H$231&lt;=VAL_DATE)+(COUNTIF('Dvd Calendar'!$E$238:$AR$238,'Dvd Calendar'!$H$231)=0))&gt;0)=0,"",'Dvd Calendar'!$H$231*1000000000+ISNUMBER('Dvd Calendar'!$H$234)*100000000+('Dvd Calendar'!$H$236=SPECIAL_LBL)*10000000+(N('Dvd Calendar'!$H$230)&gt;0)*(N('Dvd Calendar'!$H$230)&lt;=VAL_SERIAL)*1000000+21*1000+4))</f>
        <v/>
      </c>
      <c r="EI32" s="121">
        <f>IF(N('Dvd Calendar'!$I$231)=0,"",IF(('Dvd Calendar'!$I$231&gt;=GRID_FROM)*('Dvd Calendar'!$I$231&lt;=GRID_TO)*((('Dvd Calendar'!$I$231&lt;=VAL_DATE)+(COUNTIF('Dvd Calendar'!$E$238:$AR$238,'Dvd Calendar'!$I$231)=0))&gt;0)=0,"",'Dvd Calendar'!$I$231*1000000000+ISNUMBER('Dvd Calendar'!$I$234)*100000000+('Dvd Calendar'!$I$236=SPECIAL_LBL)*10000000+(N('Dvd Calendar'!$I$230)&gt;0)*(N('Dvd Calendar'!$I$230)&lt;=VAL_SERIAL)*1000000+21*1000+5))</f>
        <v/>
      </c>
      <c r="EJ32" s="121">
        <f>IF(N('Dvd Calendar'!$J$231)=0,"",IF(('Dvd Calendar'!$J$231&gt;=GRID_FROM)*('Dvd Calendar'!$J$231&lt;=GRID_TO)*((('Dvd Calendar'!$J$231&lt;=VAL_DATE)+(COUNTIF('Dvd Calendar'!$E$238:$AR$238,'Dvd Calendar'!$J$231)=0))&gt;0)=0,"",'Dvd Calendar'!$J$231*1000000000+ISNUMBER('Dvd Calendar'!$J$234)*100000000+('Dvd Calendar'!$J$236=SPECIAL_LBL)*10000000+(N('Dvd Calendar'!$J$230)&gt;0)*(N('Dvd Calendar'!$J$230)&lt;=VAL_SERIAL)*1000000+21*1000+6))</f>
        <v/>
      </c>
      <c r="EK32" s="121">
        <f>IF(N('Dvd Calendar'!$K$231)=0,"",IF(('Dvd Calendar'!$K$231&gt;=GRID_FROM)*('Dvd Calendar'!$K$231&lt;=GRID_TO)*((('Dvd Calendar'!$K$231&lt;=VAL_DATE)+(COUNTIF('Dvd Calendar'!$E$238:$AR$238,'Dvd Calendar'!$K$231)=0))&gt;0)=0,"",'Dvd Calendar'!$K$231*1000000000+ISNUMBER('Dvd Calendar'!$K$234)*100000000+('Dvd Calendar'!$K$236=SPECIAL_LBL)*10000000+(N('Dvd Calendar'!$K$230)&gt;0)*(N('Dvd Calendar'!$K$230)&lt;=VAL_SERIAL)*1000000+21*1000+7))</f>
        <v/>
      </c>
      <c r="EL32" s="121">
        <f>IF(N('Dvd Calendar'!$L$231)=0,"",IF(('Dvd Calendar'!$L$231&gt;=GRID_FROM)*('Dvd Calendar'!$L$231&lt;=GRID_TO)*((('Dvd Calendar'!$L$231&lt;=VAL_DATE)+(COUNTIF('Dvd Calendar'!$E$238:$AR$238,'Dvd Calendar'!$L$231)=0))&gt;0)=0,"",'Dvd Calendar'!$L$231*1000000000+ISNUMBER('Dvd Calendar'!$L$234)*100000000+('Dvd Calendar'!$L$236=SPECIAL_LBL)*10000000+(N('Dvd Calendar'!$L$230)&gt;0)*(N('Dvd Calendar'!$L$230)&lt;=VAL_SERIAL)*1000000+21*1000+8))</f>
        <v/>
      </c>
      <c r="EM32" s="121">
        <f>IF(N('Dvd Calendar'!$M$231)=0,"",IF(('Dvd Calendar'!$M$231&gt;=GRID_FROM)*('Dvd Calendar'!$M$231&lt;=GRID_TO)*((('Dvd Calendar'!$M$231&lt;=VAL_DATE)+(COUNTIF('Dvd Calendar'!$E$238:$AR$238,'Dvd Calendar'!$M$231)=0))&gt;0)=0,"",'Dvd Calendar'!$M$231*1000000000+ISNUMBER('Dvd Calendar'!$M$234)*100000000+('Dvd Calendar'!$M$236=SPECIAL_LBL)*10000000+(N('Dvd Calendar'!$M$230)&gt;0)*(N('Dvd Calendar'!$M$230)&lt;=VAL_SERIAL)*1000000+21*1000+9))</f>
        <v/>
      </c>
      <c r="EN32" s="121">
        <f>IF(N('Dvd Calendar'!$N$231)=0,"",IF(('Dvd Calendar'!$N$231&gt;=GRID_FROM)*('Dvd Calendar'!$N$231&lt;=GRID_TO)*((('Dvd Calendar'!$N$231&lt;=VAL_DATE)+(COUNTIF('Dvd Calendar'!$E$238:$AR$238,'Dvd Calendar'!$N$231)=0))&gt;0)=0,"",'Dvd Calendar'!$N$231*1000000000+ISNUMBER('Dvd Calendar'!$N$234)*100000000+('Dvd Calendar'!$N$236=SPECIAL_LBL)*10000000+(N('Dvd Calendar'!$N$230)&gt;0)*(N('Dvd Calendar'!$N$230)&lt;=VAL_SERIAL)*1000000+21*1000+10))</f>
        <v/>
      </c>
      <c r="EO32" s="121">
        <f>IF(N('Dvd Calendar'!$O$231)=0,"",IF(('Dvd Calendar'!$O$231&gt;=GRID_FROM)*('Dvd Calendar'!$O$231&lt;=GRID_TO)*((('Dvd Calendar'!$O$231&lt;=VAL_DATE)+(COUNTIF('Dvd Calendar'!$E$238:$AR$238,'Dvd Calendar'!$O$231)=0))&gt;0)=0,"",'Dvd Calendar'!$O$231*1000000000+ISNUMBER('Dvd Calendar'!$O$234)*100000000+('Dvd Calendar'!$O$236=SPECIAL_LBL)*10000000+(N('Dvd Calendar'!$O$230)&gt;0)*(N('Dvd Calendar'!$O$230)&lt;=VAL_SERIAL)*1000000+21*1000+11))</f>
        <v/>
      </c>
      <c r="EP32" s="121">
        <f>IF(N('Dvd Calendar'!$P$231)=0,"",IF(('Dvd Calendar'!$P$231&gt;=GRID_FROM)*('Dvd Calendar'!$P$231&lt;=GRID_TO)*((('Dvd Calendar'!$P$231&lt;=VAL_DATE)+(COUNTIF('Dvd Calendar'!$E$238:$AR$238,'Dvd Calendar'!$P$231)=0))&gt;0)=0,"",'Dvd Calendar'!$P$231*1000000000+ISNUMBER('Dvd Calendar'!$P$234)*100000000+('Dvd Calendar'!$P$236=SPECIAL_LBL)*10000000+(N('Dvd Calendar'!$P$230)&gt;0)*(N('Dvd Calendar'!$P$230)&lt;=VAL_SERIAL)*1000000+21*1000+12))</f>
        <v/>
      </c>
      <c r="EQ32" s="121">
        <f>IF(N('Dvd Calendar'!$Q$231)=0,"",IF(('Dvd Calendar'!$Q$231&gt;=GRID_FROM)*('Dvd Calendar'!$Q$231&lt;=GRID_TO)*((('Dvd Calendar'!$Q$231&lt;=VAL_DATE)+(COUNTIF('Dvd Calendar'!$E$238:$AR$238,'Dvd Calendar'!$Q$231)=0))&gt;0)=0,"",'Dvd Calendar'!$Q$231*1000000000+ISNUMBER('Dvd Calendar'!$Q$234)*100000000+('Dvd Calendar'!$Q$236=SPECIAL_LBL)*10000000+(N('Dvd Calendar'!$Q$230)&gt;0)*(N('Dvd Calendar'!$Q$230)&lt;=VAL_SERIAL)*1000000+21*1000+13))</f>
        <v/>
      </c>
      <c r="ER32" s="121">
        <f>IF(N('Dvd Calendar'!$R$231)=0,"",IF(('Dvd Calendar'!$R$231&gt;=GRID_FROM)*('Dvd Calendar'!$R$231&lt;=GRID_TO)*((('Dvd Calendar'!$R$231&lt;=VAL_DATE)+(COUNTIF('Dvd Calendar'!$E$238:$AR$238,'Dvd Calendar'!$R$231)=0))&gt;0)=0,"",'Dvd Calendar'!$R$231*1000000000+ISNUMBER('Dvd Calendar'!$R$234)*100000000+('Dvd Calendar'!$R$236=SPECIAL_LBL)*10000000+(N('Dvd Calendar'!$R$230)&gt;0)*(N('Dvd Calendar'!$R$230)&lt;=VAL_SERIAL)*1000000+21*1000+14))</f>
        <v/>
      </c>
      <c r="ES32" s="121">
        <f>IF(N('Dvd Calendar'!$S$231)=0,"",IF(('Dvd Calendar'!$S$231&gt;=GRID_FROM)*('Dvd Calendar'!$S$231&lt;=GRID_TO)*((('Dvd Calendar'!$S$231&lt;=VAL_DATE)+(COUNTIF('Dvd Calendar'!$E$238:$AR$238,'Dvd Calendar'!$S$231)=0))&gt;0)=0,"",'Dvd Calendar'!$S$231*1000000000+ISNUMBER('Dvd Calendar'!$S$234)*100000000+('Dvd Calendar'!$S$236=SPECIAL_LBL)*10000000+(N('Dvd Calendar'!$S$230)&gt;0)*(N('Dvd Calendar'!$S$230)&lt;=VAL_SERIAL)*1000000+21*1000+15))</f>
        <v/>
      </c>
      <c r="ET32" s="121">
        <f>IF(N('Dvd Calendar'!$T$231)=0,"",IF(('Dvd Calendar'!$T$231&gt;=GRID_FROM)*('Dvd Calendar'!$T$231&lt;=GRID_TO)*((('Dvd Calendar'!$T$231&lt;=VAL_DATE)+(COUNTIF('Dvd Calendar'!$E$238:$AR$238,'Dvd Calendar'!$T$231)=0))&gt;0)=0,"",'Dvd Calendar'!$T$231*1000000000+ISNUMBER('Dvd Calendar'!$T$234)*100000000+('Dvd Calendar'!$T$236=SPECIAL_LBL)*10000000+(N('Dvd Calendar'!$T$230)&gt;0)*(N('Dvd Calendar'!$T$230)&lt;=VAL_SERIAL)*1000000+21*1000+16))</f>
        <v/>
      </c>
      <c r="EU32" s="121">
        <f>IF(N('Dvd Calendar'!$U$231)=0,"",IF(('Dvd Calendar'!$U$231&gt;=GRID_FROM)*('Dvd Calendar'!$U$231&lt;=GRID_TO)*((('Dvd Calendar'!$U$231&lt;=VAL_DATE)+(COUNTIF('Dvd Calendar'!$E$238:$AR$238,'Dvd Calendar'!$U$231)=0))&gt;0)=0,"",'Dvd Calendar'!$U$231*1000000000+ISNUMBER('Dvd Calendar'!$U$234)*100000000+('Dvd Calendar'!$U$236=SPECIAL_LBL)*10000000+(N('Dvd Calendar'!$U$230)&gt;0)*(N('Dvd Calendar'!$U$230)&lt;=VAL_SERIAL)*1000000+21*1000+17))</f>
        <v/>
      </c>
      <c r="EV32" s="121">
        <f>IF(N('Dvd Calendar'!$V$231)=0,"",IF(('Dvd Calendar'!$V$231&gt;=GRID_FROM)*('Dvd Calendar'!$V$231&lt;=GRID_TO)*((('Dvd Calendar'!$V$231&lt;=VAL_DATE)+(COUNTIF('Dvd Calendar'!$E$238:$AR$238,'Dvd Calendar'!$V$231)=0))&gt;0)=0,"",'Dvd Calendar'!$V$231*1000000000+ISNUMBER('Dvd Calendar'!$V$234)*100000000+('Dvd Calendar'!$V$236=SPECIAL_LBL)*10000000+(N('Dvd Calendar'!$V$230)&gt;0)*(N('Dvd Calendar'!$V$230)&lt;=VAL_SERIAL)*1000000+21*1000+18))</f>
        <v/>
      </c>
      <c r="EW32" s="121">
        <f>IF(N('Dvd Calendar'!$W$231)=0,"",IF(('Dvd Calendar'!$W$231&gt;=GRID_FROM)*('Dvd Calendar'!$W$231&lt;=GRID_TO)*((('Dvd Calendar'!$W$231&lt;=VAL_DATE)+(COUNTIF('Dvd Calendar'!$E$238:$AR$238,'Dvd Calendar'!$W$231)=0))&gt;0)=0,"",'Dvd Calendar'!$W$231*1000000000+ISNUMBER('Dvd Calendar'!$W$234)*100000000+('Dvd Calendar'!$W$236=SPECIAL_LBL)*10000000+(N('Dvd Calendar'!$W$230)&gt;0)*(N('Dvd Calendar'!$W$230)&lt;=VAL_SERIAL)*1000000+21*1000+19))</f>
        <v/>
      </c>
      <c r="EX32" s="121">
        <f>IF(N('Dvd Calendar'!$X$231)=0,"",IF(('Dvd Calendar'!$X$231&gt;=GRID_FROM)*('Dvd Calendar'!$X$231&lt;=GRID_TO)*((('Dvd Calendar'!$X$231&lt;=VAL_DATE)+(COUNTIF('Dvd Calendar'!$E$238:$AR$238,'Dvd Calendar'!$X$231)=0))&gt;0)=0,"",'Dvd Calendar'!$X$231*1000000000+ISNUMBER('Dvd Calendar'!$X$234)*100000000+('Dvd Calendar'!$X$236=SPECIAL_LBL)*10000000+(N('Dvd Calendar'!$X$230)&gt;0)*(N('Dvd Calendar'!$X$230)&lt;=VAL_SERIAL)*1000000+21*1000+20))</f>
        <v/>
      </c>
      <c r="EY32" s="121">
        <f>IF(N('Dvd Calendar'!$Y$231)=0,"",IF(('Dvd Calendar'!$Y$231&gt;=GRID_FROM)*('Dvd Calendar'!$Y$231&lt;=GRID_TO)*((('Dvd Calendar'!$Y$231&lt;=VAL_DATE)+(COUNTIF('Dvd Calendar'!$E$238:$AR$238,'Dvd Calendar'!$Y$231)=0))&gt;0)=0,"",'Dvd Calendar'!$Y$231*1000000000+ISNUMBER('Dvd Calendar'!$Y$234)*100000000+('Dvd Calendar'!$Y$236=SPECIAL_LBL)*10000000+(N('Dvd Calendar'!$Y$230)&gt;0)*(N('Dvd Calendar'!$Y$230)&lt;=VAL_SERIAL)*1000000+21*1000+21))</f>
        <v/>
      </c>
      <c r="EZ32" s="121">
        <f>IF(N('Dvd Calendar'!$Z$231)=0,"",IF(('Dvd Calendar'!$Z$231&gt;=GRID_FROM)*('Dvd Calendar'!$Z$231&lt;=GRID_TO)*((('Dvd Calendar'!$Z$231&lt;=VAL_DATE)+(COUNTIF('Dvd Calendar'!$E$238:$AR$238,'Dvd Calendar'!$Z$231)=0))&gt;0)=0,"",'Dvd Calendar'!$Z$231*1000000000+ISNUMBER('Dvd Calendar'!$Z$234)*100000000+('Dvd Calendar'!$Z$236=SPECIAL_LBL)*10000000+(N('Dvd Calendar'!$Z$230)&gt;0)*(N('Dvd Calendar'!$Z$230)&lt;=VAL_SERIAL)*1000000+21*1000+22))</f>
        <v/>
      </c>
      <c r="FA32" s="121">
        <f>IF(N('Dvd Calendar'!$AA$231)=0,"",IF(('Dvd Calendar'!$AA$231&gt;=GRID_FROM)*('Dvd Calendar'!$AA$231&lt;=GRID_TO)*((('Dvd Calendar'!$AA$231&lt;=VAL_DATE)+(COUNTIF('Dvd Calendar'!$E$238:$AR$238,'Dvd Calendar'!$AA$231)=0))&gt;0)=0,"",'Dvd Calendar'!$AA$231*1000000000+ISNUMBER('Dvd Calendar'!$AA$234)*100000000+('Dvd Calendar'!$AA$236=SPECIAL_LBL)*10000000+(N('Dvd Calendar'!$AA$230)&gt;0)*(N('Dvd Calendar'!$AA$230)&lt;=VAL_SERIAL)*1000000+21*1000+23))</f>
        <v/>
      </c>
      <c r="FB32" s="121">
        <f>IF(N('Dvd Calendar'!$AB$231)=0,"",IF(('Dvd Calendar'!$AB$231&gt;=GRID_FROM)*('Dvd Calendar'!$AB$231&lt;=GRID_TO)*((('Dvd Calendar'!$AB$231&lt;=VAL_DATE)+(COUNTIF('Dvd Calendar'!$E$238:$AR$238,'Dvd Calendar'!$AB$231)=0))&gt;0)=0,"",'Dvd Calendar'!$AB$231*1000000000+ISNUMBER('Dvd Calendar'!$AB$234)*100000000+('Dvd Calendar'!$AB$236=SPECIAL_LBL)*10000000+(N('Dvd Calendar'!$AB$230)&gt;0)*(N('Dvd Calendar'!$AB$230)&lt;=VAL_SERIAL)*1000000+21*1000+24))</f>
        <v/>
      </c>
      <c r="FC32" s="121">
        <f>IF(N('Dvd Calendar'!$AC$231)=0,"",IF(('Dvd Calendar'!$AC$231&gt;=GRID_FROM)*('Dvd Calendar'!$AC$231&lt;=GRID_TO)*((('Dvd Calendar'!$AC$231&lt;=VAL_DATE)+(COUNTIF('Dvd Calendar'!$E$238:$AR$238,'Dvd Calendar'!$AC$231)=0))&gt;0)=0,"",'Dvd Calendar'!$AC$231*1000000000+ISNUMBER('Dvd Calendar'!$AC$234)*100000000+('Dvd Calendar'!$AC$236=SPECIAL_LBL)*10000000+(N('Dvd Calendar'!$AC$230)&gt;0)*(N('Dvd Calendar'!$AC$230)&lt;=VAL_SERIAL)*1000000+21*1000+25))</f>
        <v/>
      </c>
      <c r="FD32" s="121">
        <f>IF(N('Dvd Calendar'!$AD$231)=0,"",IF(('Dvd Calendar'!$AD$231&gt;=GRID_FROM)*('Dvd Calendar'!$AD$231&lt;=GRID_TO)*((('Dvd Calendar'!$AD$231&lt;=VAL_DATE)+(COUNTIF('Dvd Calendar'!$E$238:$AR$238,'Dvd Calendar'!$AD$231)=0))&gt;0)=0,"",'Dvd Calendar'!$AD$231*1000000000+ISNUMBER('Dvd Calendar'!$AD$234)*100000000+('Dvd Calendar'!$AD$236=SPECIAL_LBL)*10000000+(N('Dvd Calendar'!$AD$230)&gt;0)*(N('Dvd Calendar'!$AD$230)&lt;=VAL_SERIAL)*1000000+21*1000+26))</f>
        <v/>
      </c>
      <c r="FE32" s="121">
        <f>IF(N('Dvd Calendar'!$AE$231)=0,"",IF(('Dvd Calendar'!$AE$231&gt;=GRID_FROM)*('Dvd Calendar'!$AE$231&lt;=GRID_TO)*((('Dvd Calendar'!$AE$231&lt;=VAL_DATE)+(COUNTIF('Dvd Calendar'!$E$238:$AR$238,'Dvd Calendar'!$AE$231)=0))&gt;0)=0,"",'Dvd Calendar'!$AE$231*1000000000+ISNUMBER('Dvd Calendar'!$AE$234)*100000000+('Dvd Calendar'!$AE$236=SPECIAL_LBL)*10000000+(N('Dvd Calendar'!$AE$230)&gt;0)*(N('Dvd Calendar'!$AE$230)&lt;=VAL_SERIAL)*1000000+21*1000+27))</f>
        <v/>
      </c>
      <c r="FF32" s="121">
        <f>IF(N('Dvd Calendar'!$AF$231)=0,"",IF(('Dvd Calendar'!$AF$231&gt;=GRID_FROM)*('Dvd Calendar'!$AF$231&lt;=GRID_TO)*((('Dvd Calendar'!$AF$231&lt;=VAL_DATE)+(COUNTIF('Dvd Calendar'!$E$238:$AR$238,'Dvd Calendar'!$AF$231)=0))&gt;0)=0,"",'Dvd Calendar'!$AF$231*1000000000+ISNUMBER('Dvd Calendar'!$AF$234)*100000000+('Dvd Calendar'!$AF$236=SPECIAL_LBL)*10000000+(N('Dvd Calendar'!$AF$230)&gt;0)*(N('Dvd Calendar'!$AF$230)&lt;=VAL_SERIAL)*1000000+21*1000+28))</f>
        <v/>
      </c>
      <c r="FG32" s="121">
        <f>IF(N('Dvd Calendar'!$AG$231)=0,"",IF(('Dvd Calendar'!$AG$231&gt;=GRID_FROM)*('Dvd Calendar'!$AG$231&lt;=GRID_TO)*((('Dvd Calendar'!$AG$231&lt;=VAL_DATE)+(COUNTIF('Dvd Calendar'!$E$238:$AR$238,'Dvd Calendar'!$AG$231)=0))&gt;0)=0,"",'Dvd Calendar'!$AG$231*1000000000+ISNUMBER('Dvd Calendar'!$AG$234)*100000000+('Dvd Calendar'!$AG$236=SPECIAL_LBL)*10000000+(N('Dvd Calendar'!$AG$230)&gt;0)*(N('Dvd Calendar'!$AG$230)&lt;=VAL_SERIAL)*1000000+21*1000+29))</f>
        <v/>
      </c>
      <c r="FH32" s="121">
        <f>IF(N('Dvd Calendar'!$AH$231)=0,"",IF(('Dvd Calendar'!$AH$231&gt;=GRID_FROM)*('Dvd Calendar'!$AH$231&lt;=GRID_TO)*((('Dvd Calendar'!$AH$231&lt;=VAL_DATE)+(COUNTIF('Dvd Calendar'!$E$238:$AR$238,'Dvd Calendar'!$AH$231)=0))&gt;0)=0,"",'Dvd Calendar'!$AH$231*1000000000+ISNUMBER('Dvd Calendar'!$AH$234)*100000000+('Dvd Calendar'!$AH$236=SPECIAL_LBL)*10000000+(N('Dvd Calendar'!$AH$230)&gt;0)*(N('Dvd Calendar'!$AH$230)&lt;=VAL_SERIAL)*1000000+21*1000+30))</f>
        <v/>
      </c>
      <c r="FI32" s="121">
        <f>IF(N('Dvd Calendar'!$AI$231)=0,"",IF(('Dvd Calendar'!$AI$231&gt;=GRID_FROM)*('Dvd Calendar'!$AI$231&lt;=GRID_TO)*((('Dvd Calendar'!$AI$231&lt;=VAL_DATE)+(COUNTIF('Dvd Calendar'!$E$238:$AR$238,'Dvd Calendar'!$AI$231)=0))&gt;0)=0,"",'Dvd Calendar'!$AI$231*1000000000+ISNUMBER('Dvd Calendar'!$AI$234)*100000000+('Dvd Calendar'!$AI$236=SPECIAL_LBL)*10000000+(N('Dvd Calendar'!$AI$230)&gt;0)*(N('Dvd Calendar'!$AI$230)&lt;=VAL_SERIAL)*1000000+21*1000+31))</f>
        <v/>
      </c>
      <c r="FJ32" s="121">
        <f>IF(N('Dvd Calendar'!$AJ$231)=0,"",IF(('Dvd Calendar'!$AJ$231&gt;=GRID_FROM)*('Dvd Calendar'!$AJ$231&lt;=GRID_TO)*((('Dvd Calendar'!$AJ$231&lt;=VAL_DATE)+(COUNTIF('Dvd Calendar'!$E$238:$AR$238,'Dvd Calendar'!$AJ$231)=0))&gt;0)=0,"",'Dvd Calendar'!$AJ$231*1000000000+ISNUMBER('Dvd Calendar'!$AJ$234)*100000000+('Dvd Calendar'!$AJ$236=SPECIAL_LBL)*10000000+(N('Dvd Calendar'!$AJ$230)&gt;0)*(N('Dvd Calendar'!$AJ$230)&lt;=VAL_SERIAL)*1000000+21*1000+32))</f>
        <v/>
      </c>
      <c r="FK32" s="121">
        <f>IF(N('Dvd Calendar'!$AK$231)=0,"",IF(('Dvd Calendar'!$AK$231&gt;=GRID_FROM)*('Dvd Calendar'!$AK$231&lt;=GRID_TO)*((('Dvd Calendar'!$AK$231&lt;=VAL_DATE)+(COUNTIF('Dvd Calendar'!$E$238:$AR$238,'Dvd Calendar'!$AK$231)=0))&gt;0)=0,"",'Dvd Calendar'!$AK$231*1000000000+ISNUMBER('Dvd Calendar'!$AK$234)*100000000+('Dvd Calendar'!$AK$236=SPECIAL_LBL)*10000000+(N('Dvd Calendar'!$AK$230)&gt;0)*(N('Dvd Calendar'!$AK$230)&lt;=VAL_SERIAL)*1000000+21*1000+33))</f>
        <v/>
      </c>
      <c r="FL32" s="121">
        <f>IF(N('Dvd Calendar'!$AL$231)=0,"",IF(('Dvd Calendar'!$AL$231&gt;=GRID_FROM)*('Dvd Calendar'!$AL$231&lt;=GRID_TO)*((('Dvd Calendar'!$AL$231&lt;=VAL_DATE)+(COUNTIF('Dvd Calendar'!$E$238:$AR$238,'Dvd Calendar'!$AL$231)=0))&gt;0)=0,"",'Dvd Calendar'!$AL$231*1000000000+ISNUMBER('Dvd Calendar'!$AL$234)*100000000+('Dvd Calendar'!$AL$236=SPECIAL_LBL)*10000000+(N('Dvd Calendar'!$AL$230)&gt;0)*(N('Dvd Calendar'!$AL$230)&lt;=VAL_SERIAL)*1000000+21*1000+34))</f>
        <v/>
      </c>
      <c r="FM32" s="121">
        <f>IF(N('Dvd Calendar'!$AM$231)=0,"",IF(('Dvd Calendar'!$AM$231&gt;=GRID_FROM)*('Dvd Calendar'!$AM$231&lt;=GRID_TO)*((('Dvd Calendar'!$AM$231&lt;=VAL_DATE)+(COUNTIF('Dvd Calendar'!$E$238:$AR$238,'Dvd Calendar'!$AM$231)=0))&gt;0)=0,"",'Dvd Calendar'!$AM$231*1000000000+ISNUMBER('Dvd Calendar'!$AM$234)*100000000+('Dvd Calendar'!$AM$236=SPECIAL_LBL)*10000000+(N('Dvd Calendar'!$AM$230)&gt;0)*(N('Dvd Calendar'!$AM$230)&lt;=VAL_SERIAL)*1000000+21*1000+35))</f>
        <v/>
      </c>
      <c r="FN32" s="121">
        <f>IF(N('Dvd Calendar'!$AN$231)=0,"",IF(('Dvd Calendar'!$AN$231&gt;=GRID_FROM)*('Dvd Calendar'!$AN$231&lt;=GRID_TO)*((('Dvd Calendar'!$AN$231&lt;=VAL_DATE)+(COUNTIF('Dvd Calendar'!$E$238:$AR$238,'Dvd Calendar'!$AN$231)=0))&gt;0)=0,"",'Dvd Calendar'!$AN$231*1000000000+ISNUMBER('Dvd Calendar'!$AN$234)*100000000+('Dvd Calendar'!$AN$236=SPECIAL_LBL)*10000000+(N('Dvd Calendar'!$AN$230)&gt;0)*(N('Dvd Calendar'!$AN$230)&lt;=VAL_SERIAL)*1000000+21*1000+36))</f>
        <v/>
      </c>
      <c r="FO32" s="121">
        <f>IF(N('Dvd Calendar'!$AO$231)=0,"",IF(('Dvd Calendar'!$AO$231&gt;=GRID_FROM)*('Dvd Calendar'!$AO$231&lt;=GRID_TO)*((('Dvd Calendar'!$AO$231&lt;=VAL_DATE)+(COUNTIF('Dvd Calendar'!$E$238:$AR$238,'Dvd Calendar'!$AO$231)=0))&gt;0)=0,"",'Dvd Calendar'!$AO$231*1000000000+ISNUMBER('Dvd Calendar'!$AO$234)*100000000+('Dvd Calendar'!$AO$236=SPECIAL_LBL)*10000000+(N('Dvd Calendar'!$AO$230)&gt;0)*(N('Dvd Calendar'!$AO$230)&lt;=VAL_SERIAL)*1000000+21*1000+37))</f>
        <v/>
      </c>
      <c r="FP32" s="121">
        <f>IF(N('Dvd Calendar'!$AP$231)=0,"",IF(('Dvd Calendar'!$AP$231&gt;=GRID_FROM)*('Dvd Calendar'!$AP$231&lt;=GRID_TO)*((('Dvd Calendar'!$AP$231&lt;=VAL_DATE)+(COUNTIF('Dvd Calendar'!$E$238:$AR$238,'Dvd Calendar'!$AP$231)=0))&gt;0)=0,"",'Dvd Calendar'!$AP$231*1000000000+ISNUMBER('Dvd Calendar'!$AP$234)*100000000+('Dvd Calendar'!$AP$236=SPECIAL_LBL)*10000000+(N('Dvd Calendar'!$AP$230)&gt;0)*(N('Dvd Calendar'!$AP$230)&lt;=VAL_SERIAL)*1000000+21*1000+38))</f>
        <v/>
      </c>
      <c r="FQ32" s="121">
        <f>IF(N('Dvd Calendar'!$AQ$231)=0,"",IF(('Dvd Calendar'!$AQ$231&gt;=GRID_FROM)*('Dvd Calendar'!$AQ$231&lt;=GRID_TO)*((('Dvd Calendar'!$AQ$231&lt;=VAL_DATE)+(COUNTIF('Dvd Calendar'!$E$238:$AR$238,'Dvd Calendar'!$AQ$231)=0))&gt;0)=0,"",'Dvd Calendar'!$AQ$231*1000000000+ISNUMBER('Dvd Calendar'!$AQ$234)*100000000+('Dvd Calendar'!$AQ$236=SPECIAL_LBL)*10000000+(N('Dvd Calendar'!$AQ$230)&gt;0)*(N('Dvd Calendar'!$AQ$230)&lt;=VAL_SERIAL)*1000000+21*1000+39))</f>
        <v/>
      </c>
      <c r="FR32" s="121">
        <f>IF(N('Dvd Calendar'!$AR$231)=0,"",IF(('Dvd Calendar'!$AR$231&gt;=GRID_FROM)*('Dvd Calendar'!$AR$231&lt;=GRID_TO)*((('Dvd Calendar'!$AR$231&lt;=VAL_DATE)+(COUNTIF('Dvd Calendar'!$E$238:$AR$238,'Dvd Calendar'!$AR$231)=0))&gt;0)=0,"",'Dvd Calendar'!$AR$231*1000000000+ISNUMBER('Dvd Calendar'!$AR$234)*100000000+('Dvd Calendar'!$AR$236=SPECIAL_LBL)*10000000+(N('Dvd Calendar'!$AR$230)&gt;0)*(N('Dvd Calendar'!$AR$230)&lt;=VAL_SERIAL)*1000000+21*1000+40))</f>
        <v/>
      </c>
      <c r="FS32" s="121">
        <f>IF(N('Dvd Calendar'!$E$238)=0,"",IF(('Dvd Calendar'!$E$238&gt;=GRID_FROM)*('Dvd Calendar'!$E$238&lt;=GRID_TO)*('Dvd Calendar'!$E$238&gt;VAL_DATE)=0,"",'Dvd Calendar'!$E$238*1000000000+ISNUMBER('Dvd Calendar'!$E$239)*100000000+0*10000000+(N('Dvd Calendar'!$E$237)&gt;0)*(N('Dvd Calendar'!$E$237)&lt;=VAL_SERIAL)*1000000+21*1000+41))</f>
        <v/>
      </c>
      <c r="FT32" s="121">
        <f>IF(N('Dvd Calendar'!$F$238)=0,"",IF(('Dvd Calendar'!$F$238&gt;=GRID_FROM)*('Dvd Calendar'!$F$238&lt;=GRID_TO)*('Dvd Calendar'!$F$238&gt;VAL_DATE)=0,"",'Dvd Calendar'!$F$238*1000000000+ISNUMBER('Dvd Calendar'!$F$239)*100000000+0*10000000+(N('Dvd Calendar'!$F$237)&gt;0)*(N('Dvd Calendar'!$F$237)&lt;=VAL_SERIAL)*1000000+21*1000+42))</f>
        <v/>
      </c>
      <c r="FU32" s="121">
        <f>IF(N('Dvd Calendar'!$G$238)=0,"",IF(('Dvd Calendar'!$G$238&gt;=GRID_FROM)*('Dvd Calendar'!$G$238&lt;=GRID_TO)*('Dvd Calendar'!$G$238&gt;VAL_DATE)=0,"",'Dvd Calendar'!$G$238*1000000000+ISNUMBER('Dvd Calendar'!$G$239)*100000000+0*10000000+(N('Dvd Calendar'!$G$237)&gt;0)*(N('Dvd Calendar'!$G$237)&lt;=VAL_SERIAL)*1000000+21*1000+43))</f>
        <v/>
      </c>
      <c r="FV32" s="121">
        <f>IF(N('Dvd Calendar'!$H$238)=0,"",IF(('Dvd Calendar'!$H$238&gt;=GRID_FROM)*('Dvd Calendar'!$H$238&lt;=GRID_TO)*('Dvd Calendar'!$H$238&gt;VAL_DATE)=0,"",'Dvd Calendar'!$H$238*1000000000+ISNUMBER('Dvd Calendar'!$H$239)*100000000+0*10000000+(N('Dvd Calendar'!$H$237)&gt;0)*(N('Dvd Calendar'!$H$237)&lt;=VAL_SERIAL)*1000000+21*1000+44))</f>
        <v/>
      </c>
      <c r="FW32" s="121">
        <f>IF(N('Dvd Calendar'!$I$238)=0,"",IF(('Dvd Calendar'!$I$238&gt;=GRID_FROM)*('Dvd Calendar'!$I$238&lt;=GRID_TO)*('Dvd Calendar'!$I$238&gt;VAL_DATE)=0,"",'Dvd Calendar'!$I$238*1000000000+ISNUMBER('Dvd Calendar'!$I$239)*100000000+0*10000000+(N('Dvd Calendar'!$I$237)&gt;0)*(N('Dvd Calendar'!$I$237)&lt;=VAL_SERIAL)*1000000+21*1000+45))</f>
        <v/>
      </c>
      <c r="FX32" s="121">
        <f>IF(N('Dvd Calendar'!$J$238)=0,"",IF(('Dvd Calendar'!$J$238&gt;=GRID_FROM)*('Dvd Calendar'!$J$238&lt;=GRID_TO)*('Dvd Calendar'!$J$238&gt;VAL_DATE)=0,"",'Dvd Calendar'!$J$238*1000000000+ISNUMBER('Dvd Calendar'!$J$239)*100000000+0*10000000+(N('Dvd Calendar'!$J$237)&gt;0)*(N('Dvd Calendar'!$J$237)&lt;=VAL_SERIAL)*1000000+21*1000+46))</f>
        <v/>
      </c>
      <c r="FY32" s="121">
        <f>IF(N('Dvd Calendar'!$K$238)=0,"",IF(('Dvd Calendar'!$K$238&gt;=GRID_FROM)*('Dvd Calendar'!$K$238&lt;=GRID_TO)*('Dvd Calendar'!$K$238&gt;VAL_DATE)=0,"",'Dvd Calendar'!$K$238*1000000000+ISNUMBER('Dvd Calendar'!$K$239)*100000000+0*10000000+(N('Dvd Calendar'!$K$237)&gt;0)*(N('Dvd Calendar'!$K$237)&lt;=VAL_SERIAL)*1000000+21*1000+47))</f>
        <v/>
      </c>
      <c r="FZ32" s="121">
        <f>IF(N('Dvd Calendar'!$L$238)=0,"",IF(('Dvd Calendar'!$L$238&gt;=GRID_FROM)*('Dvd Calendar'!$L$238&lt;=GRID_TO)*('Dvd Calendar'!$L$238&gt;VAL_DATE)=0,"",'Dvd Calendar'!$L$238*1000000000+ISNUMBER('Dvd Calendar'!$L$239)*100000000+0*10000000+(N('Dvd Calendar'!$L$237)&gt;0)*(N('Dvd Calendar'!$L$237)&lt;=VAL_SERIAL)*1000000+21*1000+48))</f>
        <v/>
      </c>
      <c r="GA32" s="121">
        <f>IF(N('Dvd Calendar'!$M$238)=0,"",IF(('Dvd Calendar'!$M$238&gt;=GRID_FROM)*('Dvd Calendar'!$M$238&lt;=GRID_TO)*('Dvd Calendar'!$M$238&gt;VAL_DATE)=0,"",'Dvd Calendar'!$M$238*1000000000+ISNUMBER('Dvd Calendar'!$M$239)*100000000+0*10000000+(N('Dvd Calendar'!$M$237)&gt;0)*(N('Dvd Calendar'!$M$237)&lt;=VAL_SERIAL)*1000000+21*1000+49))</f>
        <v/>
      </c>
      <c r="GB32" s="121">
        <f>IF(N('Dvd Calendar'!$N$238)=0,"",IF(('Dvd Calendar'!$N$238&gt;=GRID_FROM)*('Dvd Calendar'!$N$238&lt;=GRID_TO)*('Dvd Calendar'!$N$238&gt;VAL_DATE)=0,"",'Dvd Calendar'!$N$238*1000000000+ISNUMBER('Dvd Calendar'!$N$239)*100000000+0*10000000+(N('Dvd Calendar'!$N$237)&gt;0)*(N('Dvd Calendar'!$N$237)&lt;=VAL_SERIAL)*1000000+21*1000+50))</f>
        <v/>
      </c>
      <c r="GC32" s="121">
        <f>IF(N('Dvd Calendar'!$O$238)=0,"",IF(('Dvd Calendar'!$O$238&gt;=GRID_FROM)*('Dvd Calendar'!$O$238&lt;=GRID_TO)*('Dvd Calendar'!$O$238&gt;VAL_DATE)=0,"",'Dvd Calendar'!$O$238*1000000000+ISNUMBER('Dvd Calendar'!$O$239)*100000000+0*10000000+(N('Dvd Calendar'!$O$237)&gt;0)*(N('Dvd Calendar'!$O$237)&lt;=VAL_SERIAL)*1000000+21*1000+51))</f>
        <v/>
      </c>
      <c r="GD32" s="121">
        <f>IF(N('Dvd Calendar'!$P$238)=0,"",IF(('Dvd Calendar'!$P$238&gt;=GRID_FROM)*('Dvd Calendar'!$P$238&lt;=GRID_TO)*('Dvd Calendar'!$P$238&gt;VAL_DATE)=0,"",'Dvd Calendar'!$P$238*1000000000+ISNUMBER('Dvd Calendar'!$P$239)*100000000+0*10000000+(N('Dvd Calendar'!$P$237)&gt;0)*(N('Dvd Calendar'!$P$237)&lt;=VAL_SERIAL)*1000000+21*1000+52))</f>
        <v/>
      </c>
      <c r="GE32" s="121">
        <f>IF(N('Dvd Calendar'!$Q$238)=0,"",IF(('Dvd Calendar'!$Q$238&gt;=GRID_FROM)*('Dvd Calendar'!$Q$238&lt;=GRID_TO)*('Dvd Calendar'!$Q$238&gt;VAL_DATE)=0,"",'Dvd Calendar'!$Q$238*1000000000+ISNUMBER('Dvd Calendar'!$Q$239)*100000000+0*10000000+(N('Dvd Calendar'!$Q$237)&gt;0)*(N('Dvd Calendar'!$Q$237)&lt;=VAL_SERIAL)*1000000+21*1000+53))</f>
        <v/>
      </c>
      <c r="GF32" s="121">
        <f>IF(N('Dvd Calendar'!$R$238)=0,"",IF(('Dvd Calendar'!$R$238&gt;=GRID_FROM)*('Dvd Calendar'!$R$238&lt;=GRID_TO)*('Dvd Calendar'!$R$238&gt;VAL_DATE)=0,"",'Dvd Calendar'!$R$238*1000000000+ISNUMBER('Dvd Calendar'!$R$239)*100000000+0*10000000+(N('Dvd Calendar'!$R$237)&gt;0)*(N('Dvd Calendar'!$R$237)&lt;=VAL_SERIAL)*1000000+21*1000+54))</f>
        <v/>
      </c>
      <c r="GG32" s="121">
        <f>IF(N('Dvd Calendar'!$S$238)=0,"",IF(('Dvd Calendar'!$S$238&gt;=GRID_FROM)*('Dvd Calendar'!$S$238&lt;=GRID_TO)*('Dvd Calendar'!$S$238&gt;VAL_DATE)=0,"",'Dvd Calendar'!$S$238*1000000000+ISNUMBER('Dvd Calendar'!$S$239)*100000000+0*10000000+(N('Dvd Calendar'!$S$237)&gt;0)*(N('Dvd Calendar'!$S$237)&lt;=VAL_SERIAL)*1000000+21*1000+55))</f>
        <v/>
      </c>
      <c r="GH32" s="121">
        <f>IF(N('Dvd Calendar'!$T$238)=0,"",IF(('Dvd Calendar'!$T$238&gt;=GRID_FROM)*('Dvd Calendar'!$T$238&lt;=GRID_TO)*('Dvd Calendar'!$T$238&gt;VAL_DATE)=0,"",'Dvd Calendar'!$T$238*1000000000+ISNUMBER('Dvd Calendar'!$T$239)*100000000+0*10000000+(N('Dvd Calendar'!$T$237)&gt;0)*(N('Dvd Calendar'!$T$237)&lt;=VAL_SERIAL)*1000000+21*1000+56))</f>
        <v/>
      </c>
      <c r="GI32" s="121">
        <f>IF(N('Dvd Calendar'!$U$238)=0,"",IF(('Dvd Calendar'!$U$238&gt;=GRID_FROM)*('Dvd Calendar'!$U$238&lt;=GRID_TO)*('Dvd Calendar'!$U$238&gt;VAL_DATE)=0,"",'Dvd Calendar'!$U$238*1000000000+ISNUMBER('Dvd Calendar'!$U$239)*100000000+0*10000000+(N('Dvd Calendar'!$U$237)&gt;0)*(N('Dvd Calendar'!$U$237)&lt;=VAL_SERIAL)*1000000+21*1000+57))</f>
        <v/>
      </c>
      <c r="GJ32" s="121">
        <f>IF(N('Dvd Calendar'!$V$238)=0,"",IF(('Dvd Calendar'!$V$238&gt;=GRID_FROM)*('Dvd Calendar'!$V$238&lt;=GRID_TO)*('Dvd Calendar'!$V$238&gt;VAL_DATE)=0,"",'Dvd Calendar'!$V$238*1000000000+ISNUMBER('Dvd Calendar'!$V$239)*100000000+0*10000000+(N('Dvd Calendar'!$V$237)&gt;0)*(N('Dvd Calendar'!$V$237)&lt;=VAL_SERIAL)*1000000+21*1000+58))</f>
        <v/>
      </c>
      <c r="GK32" s="121">
        <f>IF(N('Dvd Calendar'!$W$238)=0,"",IF(('Dvd Calendar'!$W$238&gt;=GRID_FROM)*('Dvd Calendar'!$W$238&lt;=GRID_TO)*('Dvd Calendar'!$W$238&gt;VAL_DATE)=0,"",'Dvd Calendar'!$W$238*1000000000+ISNUMBER('Dvd Calendar'!$W$239)*100000000+0*10000000+(N('Dvd Calendar'!$W$237)&gt;0)*(N('Dvd Calendar'!$W$237)&lt;=VAL_SERIAL)*1000000+21*1000+59))</f>
        <v/>
      </c>
      <c r="GL32" s="121">
        <f>IF(N('Dvd Calendar'!$X$238)=0,"",IF(('Dvd Calendar'!$X$238&gt;=GRID_FROM)*('Dvd Calendar'!$X$238&lt;=GRID_TO)*('Dvd Calendar'!$X$238&gt;VAL_DATE)=0,"",'Dvd Calendar'!$X$238*1000000000+ISNUMBER('Dvd Calendar'!$X$239)*100000000+0*10000000+(N('Dvd Calendar'!$X$237)&gt;0)*(N('Dvd Calendar'!$X$237)&lt;=VAL_SERIAL)*1000000+21*1000+60))</f>
        <v/>
      </c>
      <c r="GM32" s="121">
        <f>IF(N('Dvd Calendar'!$Y$238)=0,"",IF(('Dvd Calendar'!$Y$238&gt;=GRID_FROM)*('Dvd Calendar'!$Y$238&lt;=GRID_TO)*('Dvd Calendar'!$Y$238&gt;VAL_DATE)=0,"",'Dvd Calendar'!$Y$238*1000000000+ISNUMBER('Dvd Calendar'!$Y$239)*100000000+0*10000000+(N('Dvd Calendar'!$Y$237)&gt;0)*(N('Dvd Calendar'!$Y$237)&lt;=VAL_SERIAL)*1000000+21*1000+61))</f>
        <v/>
      </c>
      <c r="GN32" s="121">
        <f>IF(N('Dvd Calendar'!$Z$238)=0,"",IF(('Dvd Calendar'!$Z$238&gt;=GRID_FROM)*('Dvd Calendar'!$Z$238&lt;=GRID_TO)*('Dvd Calendar'!$Z$238&gt;VAL_DATE)=0,"",'Dvd Calendar'!$Z$238*1000000000+ISNUMBER('Dvd Calendar'!$Z$239)*100000000+0*10000000+(N('Dvd Calendar'!$Z$237)&gt;0)*(N('Dvd Calendar'!$Z$237)&lt;=VAL_SERIAL)*1000000+21*1000+62))</f>
        <v/>
      </c>
      <c r="GO32" s="121">
        <f>IF(N('Dvd Calendar'!$AA$238)=0,"",IF(('Dvd Calendar'!$AA$238&gt;=GRID_FROM)*('Dvd Calendar'!$AA$238&lt;=GRID_TO)*('Dvd Calendar'!$AA$238&gt;VAL_DATE)=0,"",'Dvd Calendar'!$AA$238*1000000000+ISNUMBER('Dvd Calendar'!$AA$239)*100000000+0*10000000+(N('Dvd Calendar'!$AA$237)&gt;0)*(N('Dvd Calendar'!$AA$237)&lt;=VAL_SERIAL)*1000000+21*1000+63))</f>
        <v/>
      </c>
      <c r="GP32" s="121">
        <f>IF(N('Dvd Calendar'!$AB$238)=0,"",IF(('Dvd Calendar'!$AB$238&gt;=GRID_FROM)*('Dvd Calendar'!$AB$238&lt;=GRID_TO)*('Dvd Calendar'!$AB$238&gt;VAL_DATE)=0,"",'Dvd Calendar'!$AB$238*1000000000+ISNUMBER('Dvd Calendar'!$AB$239)*100000000+0*10000000+(N('Dvd Calendar'!$AB$237)&gt;0)*(N('Dvd Calendar'!$AB$237)&lt;=VAL_SERIAL)*1000000+21*1000+64))</f>
        <v/>
      </c>
      <c r="GQ32" s="121">
        <f>IF(N('Dvd Calendar'!$AC$238)=0,"",IF(('Dvd Calendar'!$AC$238&gt;=GRID_FROM)*('Dvd Calendar'!$AC$238&lt;=GRID_TO)*('Dvd Calendar'!$AC$238&gt;VAL_DATE)=0,"",'Dvd Calendar'!$AC$238*1000000000+ISNUMBER('Dvd Calendar'!$AC$239)*100000000+0*10000000+(N('Dvd Calendar'!$AC$237)&gt;0)*(N('Dvd Calendar'!$AC$237)&lt;=VAL_SERIAL)*1000000+21*1000+65))</f>
        <v/>
      </c>
    </row>
    <row r="33">
      <c r="B33" s="2">
        <f>IF(HSI!$C$28="","",HSI!$C$28)</f>
        <v/>
      </c>
      <c r="C33" s="161">
        <f>IF(EE33="","",IF(ISNUMBER('Dvd Calendar'!$E$245)=FALSE,"",IF((('Dvd Calendar'!$E$247=TYPE1)*(TYPE1&lt;&gt;"")+('Dvd Calendar'!$E$247=TYPE2)*(TYPE2&lt;&gt;"")+('Dvd Calendar'!$E$247=TYPE3)*(TYPE3&lt;&gt;"")+('Dvd Calendar'!$E$247=TYPE4)*(TYPE4&lt;&gt;"")+('Dvd Calendar'!$E$247=SPECIAL_LBL)*(INC_SPECIALS="Y"))=0,"",'Dvd Calendar'!$E$245)))</f>
        <v/>
      </c>
      <c r="D33" s="161">
        <f>IF(EF33="","",IF(ISNUMBER('Dvd Calendar'!$F$245)=FALSE,"",IF((('Dvd Calendar'!$F$247=TYPE1)*(TYPE1&lt;&gt;"")+('Dvd Calendar'!$F$247=TYPE2)*(TYPE2&lt;&gt;"")+('Dvd Calendar'!$F$247=TYPE3)*(TYPE3&lt;&gt;"")+('Dvd Calendar'!$F$247=TYPE4)*(TYPE4&lt;&gt;"")+('Dvd Calendar'!$F$247=SPECIAL_LBL)*(INC_SPECIALS="Y"))=0,"",'Dvd Calendar'!$F$245)))</f>
        <v/>
      </c>
      <c r="E33" s="161">
        <f>IF(EG33="","",IF(ISNUMBER('Dvd Calendar'!$G$245)=FALSE,"",IF((('Dvd Calendar'!$G$247=TYPE1)*(TYPE1&lt;&gt;"")+('Dvd Calendar'!$G$247=TYPE2)*(TYPE2&lt;&gt;"")+('Dvd Calendar'!$G$247=TYPE3)*(TYPE3&lt;&gt;"")+('Dvd Calendar'!$G$247=TYPE4)*(TYPE4&lt;&gt;"")+('Dvd Calendar'!$G$247=SPECIAL_LBL)*(INC_SPECIALS="Y"))=0,"",'Dvd Calendar'!$G$245)))</f>
        <v/>
      </c>
      <c r="F33" s="161">
        <f>IF(EH33="","",IF(ISNUMBER('Dvd Calendar'!$H$245)=FALSE,"",IF((('Dvd Calendar'!$H$247=TYPE1)*(TYPE1&lt;&gt;"")+('Dvd Calendar'!$H$247=TYPE2)*(TYPE2&lt;&gt;"")+('Dvd Calendar'!$H$247=TYPE3)*(TYPE3&lt;&gt;"")+('Dvd Calendar'!$H$247=TYPE4)*(TYPE4&lt;&gt;"")+('Dvd Calendar'!$H$247=SPECIAL_LBL)*(INC_SPECIALS="Y"))=0,"",'Dvd Calendar'!$H$245)))</f>
        <v/>
      </c>
      <c r="G33" s="161">
        <f>IF(EI33="","",IF(ISNUMBER('Dvd Calendar'!$I$245)=FALSE,"",IF((('Dvd Calendar'!$I$247=TYPE1)*(TYPE1&lt;&gt;"")+('Dvd Calendar'!$I$247=TYPE2)*(TYPE2&lt;&gt;"")+('Dvd Calendar'!$I$247=TYPE3)*(TYPE3&lt;&gt;"")+('Dvd Calendar'!$I$247=TYPE4)*(TYPE4&lt;&gt;"")+('Dvd Calendar'!$I$247=SPECIAL_LBL)*(INC_SPECIALS="Y"))=0,"",'Dvd Calendar'!$I$245)))</f>
        <v/>
      </c>
      <c r="H33" s="161">
        <f>IF(EJ33="","",IF(ISNUMBER('Dvd Calendar'!$J$245)=FALSE,"",IF((('Dvd Calendar'!$J$247=TYPE1)*(TYPE1&lt;&gt;"")+('Dvd Calendar'!$J$247=TYPE2)*(TYPE2&lt;&gt;"")+('Dvd Calendar'!$J$247=TYPE3)*(TYPE3&lt;&gt;"")+('Dvd Calendar'!$J$247=TYPE4)*(TYPE4&lt;&gt;"")+('Dvd Calendar'!$J$247=SPECIAL_LBL)*(INC_SPECIALS="Y"))=0,"",'Dvd Calendar'!$J$245)))</f>
        <v/>
      </c>
      <c r="I33" s="161">
        <f>IF(EK33="","",IF(ISNUMBER('Dvd Calendar'!$K$245)=FALSE,"",IF((('Dvd Calendar'!$K$247=TYPE1)*(TYPE1&lt;&gt;"")+('Dvd Calendar'!$K$247=TYPE2)*(TYPE2&lt;&gt;"")+('Dvd Calendar'!$K$247=TYPE3)*(TYPE3&lt;&gt;"")+('Dvd Calendar'!$K$247=TYPE4)*(TYPE4&lt;&gt;"")+('Dvd Calendar'!$K$247=SPECIAL_LBL)*(INC_SPECIALS="Y"))=0,"",'Dvd Calendar'!$K$245)))</f>
        <v/>
      </c>
      <c r="J33" s="161">
        <f>IF(EL33="","",IF(ISNUMBER('Dvd Calendar'!$L$245)=FALSE,"",IF((('Dvd Calendar'!$L$247=TYPE1)*(TYPE1&lt;&gt;"")+('Dvd Calendar'!$L$247=TYPE2)*(TYPE2&lt;&gt;"")+('Dvd Calendar'!$L$247=TYPE3)*(TYPE3&lt;&gt;"")+('Dvd Calendar'!$L$247=TYPE4)*(TYPE4&lt;&gt;"")+('Dvd Calendar'!$L$247=SPECIAL_LBL)*(INC_SPECIALS="Y"))=0,"",'Dvd Calendar'!$L$245)))</f>
        <v/>
      </c>
      <c r="K33" s="161">
        <f>IF(EM33="","",IF(ISNUMBER('Dvd Calendar'!$M$245)=FALSE,"",IF((('Dvd Calendar'!$M$247=TYPE1)*(TYPE1&lt;&gt;"")+('Dvd Calendar'!$M$247=TYPE2)*(TYPE2&lt;&gt;"")+('Dvd Calendar'!$M$247=TYPE3)*(TYPE3&lt;&gt;"")+('Dvd Calendar'!$M$247=TYPE4)*(TYPE4&lt;&gt;"")+('Dvd Calendar'!$M$247=SPECIAL_LBL)*(INC_SPECIALS="Y"))=0,"",'Dvd Calendar'!$M$245)))</f>
        <v/>
      </c>
      <c r="L33" s="161">
        <f>IF(EN33="","",IF(ISNUMBER('Dvd Calendar'!$N$245)=FALSE,"",IF((('Dvd Calendar'!$N$247=TYPE1)*(TYPE1&lt;&gt;"")+('Dvd Calendar'!$N$247=TYPE2)*(TYPE2&lt;&gt;"")+('Dvd Calendar'!$N$247=TYPE3)*(TYPE3&lt;&gt;"")+('Dvd Calendar'!$N$247=TYPE4)*(TYPE4&lt;&gt;"")+('Dvd Calendar'!$N$247=SPECIAL_LBL)*(INC_SPECIALS="Y"))=0,"",'Dvd Calendar'!$N$245)))</f>
        <v/>
      </c>
      <c r="M33" s="161">
        <f>IF(EO33="","",IF(ISNUMBER('Dvd Calendar'!$O$245)=FALSE,"",IF((('Dvd Calendar'!$O$247=TYPE1)*(TYPE1&lt;&gt;"")+('Dvd Calendar'!$O$247=TYPE2)*(TYPE2&lt;&gt;"")+('Dvd Calendar'!$O$247=TYPE3)*(TYPE3&lt;&gt;"")+('Dvd Calendar'!$O$247=TYPE4)*(TYPE4&lt;&gt;"")+('Dvd Calendar'!$O$247=SPECIAL_LBL)*(INC_SPECIALS="Y"))=0,"",'Dvd Calendar'!$O$245)))</f>
        <v/>
      </c>
      <c r="N33" s="161">
        <f>IF(EP33="","",IF(ISNUMBER('Dvd Calendar'!$P$245)=FALSE,"",IF((('Dvd Calendar'!$P$247=TYPE1)*(TYPE1&lt;&gt;"")+('Dvd Calendar'!$P$247=TYPE2)*(TYPE2&lt;&gt;"")+('Dvd Calendar'!$P$247=TYPE3)*(TYPE3&lt;&gt;"")+('Dvd Calendar'!$P$247=TYPE4)*(TYPE4&lt;&gt;"")+('Dvd Calendar'!$P$247=SPECIAL_LBL)*(INC_SPECIALS="Y"))=0,"",'Dvd Calendar'!$P$245)))</f>
        <v/>
      </c>
      <c r="O33" s="161">
        <f>IF(EQ33="","",IF(ISNUMBER('Dvd Calendar'!$Q$245)=FALSE,"",IF((('Dvd Calendar'!$Q$247=TYPE1)*(TYPE1&lt;&gt;"")+('Dvd Calendar'!$Q$247=TYPE2)*(TYPE2&lt;&gt;"")+('Dvd Calendar'!$Q$247=TYPE3)*(TYPE3&lt;&gt;"")+('Dvd Calendar'!$Q$247=TYPE4)*(TYPE4&lt;&gt;"")+('Dvd Calendar'!$Q$247=SPECIAL_LBL)*(INC_SPECIALS="Y"))=0,"",'Dvd Calendar'!$Q$245)))</f>
        <v/>
      </c>
      <c r="P33" s="161">
        <f>IF(ER33="","",IF(ISNUMBER('Dvd Calendar'!$R$245)=FALSE,"",IF((('Dvd Calendar'!$R$247=TYPE1)*(TYPE1&lt;&gt;"")+('Dvd Calendar'!$R$247=TYPE2)*(TYPE2&lt;&gt;"")+('Dvd Calendar'!$R$247=TYPE3)*(TYPE3&lt;&gt;"")+('Dvd Calendar'!$R$247=TYPE4)*(TYPE4&lt;&gt;"")+('Dvd Calendar'!$R$247=SPECIAL_LBL)*(INC_SPECIALS="Y"))=0,"",'Dvd Calendar'!$R$245)))</f>
        <v/>
      </c>
      <c r="Q33" s="161">
        <f>IF(ES33="","",IF(ISNUMBER('Dvd Calendar'!$S$245)=FALSE,"",IF((('Dvd Calendar'!$S$247=TYPE1)*(TYPE1&lt;&gt;"")+('Dvd Calendar'!$S$247=TYPE2)*(TYPE2&lt;&gt;"")+('Dvd Calendar'!$S$247=TYPE3)*(TYPE3&lt;&gt;"")+('Dvd Calendar'!$S$247=TYPE4)*(TYPE4&lt;&gt;"")+('Dvd Calendar'!$S$247=SPECIAL_LBL)*(INC_SPECIALS="Y"))=0,"",'Dvd Calendar'!$S$245)))</f>
        <v/>
      </c>
      <c r="R33" s="161">
        <f>IF(ET33="","",IF(ISNUMBER('Dvd Calendar'!$T$245)=FALSE,"",IF((('Dvd Calendar'!$T$247=TYPE1)*(TYPE1&lt;&gt;"")+('Dvd Calendar'!$T$247=TYPE2)*(TYPE2&lt;&gt;"")+('Dvd Calendar'!$T$247=TYPE3)*(TYPE3&lt;&gt;"")+('Dvd Calendar'!$T$247=TYPE4)*(TYPE4&lt;&gt;"")+('Dvd Calendar'!$T$247=SPECIAL_LBL)*(INC_SPECIALS="Y"))=0,"",'Dvd Calendar'!$T$245)))</f>
        <v/>
      </c>
      <c r="S33" s="161">
        <f>IF(EU33="","",IF(ISNUMBER('Dvd Calendar'!$U$245)=FALSE,"",IF((('Dvd Calendar'!$U$247=TYPE1)*(TYPE1&lt;&gt;"")+('Dvd Calendar'!$U$247=TYPE2)*(TYPE2&lt;&gt;"")+('Dvd Calendar'!$U$247=TYPE3)*(TYPE3&lt;&gt;"")+('Dvd Calendar'!$U$247=TYPE4)*(TYPE4&lt;&gt;"")+('Dvd Calendar'!$U$247=SPECIAL_LBL)*(INC_SPECIALS="Y"))=0,"",'Dvd Calendar'!$U$245)))</f>
        <v/>
      </c>
      <c r="T33" s="161">
        <f>IF(EV33="","",IF(ISNUMBER('Dvd Calendar'!$V$245)=FALSE,"",IF((('Dvd Calendar'!$V$247=TYPE1)*(TYPE1&lt;&gt;"")+('Dvd Calendar'!$V$247=TYPE2)*(TYPE2&lt;&gt;"")+('Dvd Calendar'!$V$247=TYPE3)*(TYPE3&lt;&gt;"")+('Dvd Calendar'!$V$247=TYPE4)*(TYPE4&lt;&gt;"")+('Dvd Calendar'!$V$247=SPECIAL_LBL)*(INC_SPECIALS="Y"))=0,"",'Dvd Calendar'!$V$245)))</f>
        <v/>
      </c>
      <c r="U33" s="161">
        <f>IF(EW33="","",IF(ISNUMBER('Dvd Calendar'!$W$245)=FALSE,"",IF((('Dvd Calendar'!$W$247=TYPE1)*(TYPE1&lt;&gt;"")+('Dvd Calendar'!$W$247=TYPE2)*(TYPE2&lt;&gt;"")+('Dvd Calendar'!$W$247=TYPE3)*(TYPE3&lt;&gt;"")+('Dvd Calendar'!$W$247=TYPE4)*(TYPE4&lt;&gt;"")+('Dvd Calendar'!$W$247=SPECIAL_LBL)*(INC_SPECIALS="Y"))=0,"",'Dvd Calendar'!$W$245)))</f>
        <v/>
      </c>
      <c r="V33" s="161">
        <f>IF(EX33="","",IF(ISNUMBER('Dvd Calendar'!$X$245)=FALSE,"",IF((('Dvd Calendar'!$X$247=TYPE1)*(TYPE1&lt;&gt;"")+('Dvd Calendar'!$X$247=TYPE2)*(TYPE2&lt;&gt;"")+('Dvd Calendar'!$X$247=TYPE3)*(TYPE3&lt;&gt;"")+('Dvd Calendar'!$X$247=TYPE4)*(TYPE4&lt;&gt;"")+('Dvd Calendar'!$X$247=SPECIAL_LBL)*(INC_SPECIALS="Y"))=0,"",'Dvd Calendar'!$X$245)))</f>
        <v/>
      </c>
      <c r="W33" s="161">
        <f>IF(EY33="","",IF(ISNUMBER('Dvd Calendar'!$Y$245)=FALSE,"",IF((('Dvd Calendar'!$Y$247=TYPE1)*(TYPE1&lt;&gt;"")+('Dvd Calendar'!$Y$247=TYPE2)*(TYPE2&lt;&gt;"")+('Dvd Calendar'!$Y$247=TYPE3)*(TYPE3&lt;&gt;"")+('Dvd Calendar'!$Y$247=TYPE4)*(TYPE4&lt;&gt;"")+('Dvd Calendar'!$Y$247=SPECIAL_LBL)*(INC_SPECIALS="Y"))=0,"",'Dvd Calendar'!$Y$245)))</f>
        <v/>
      </c>
      <c r="X33" s="161">
        <f>IF(EZ33="","",IF(ISNUMBER('Dvd Calendar'!$Z$245)=FALSE,"",IF((('Dvd Calendar'!$Z$247=TYPE1)*(TYPE1&lt;&gt;"")+('Dvd Calendar'!$Z$247=TYPE2)*(TYPE2&lt;&gt;"")+('Dvd Calendar'!$Z$247=TYPE3)*(TYPE3&lt;&gt;"")+('Dvd Calendar'!$Z$247=TYPE4)*(TYPE4&lt;&gt;"")+('Dvd Calendar'!$Z$247=SPECIAL_LBL)*(INC_SPECIALS="Y"))=0,"",'Dvd Calendar'!$Z$245)))</f>
        <v/>
      </c>
      <c r="Y33" s="161">
        <f>IF(FA33="","",IF(ISNUMBER('Dvd Calendar'!$AA$245)=FALSE,"",IF((('Dvd Calendar'!$AA$247=TYPE1)*(TYPE1&lt;&gt;"")+('Dvd Calendar'!$AA$247=TYPE2)*(TYPE2&lt;&gt;"")+('Dvd Calendar'!$AA$247=TYPE3)*(TYPE3&lt;&gt;"")+('Dvd Calendar'!$AA$247=TYPE4)*(TYPE4&lt;&gt;"")+('Dvd Calendar'!$AA$247=SPECIAL_LBL)*(INC_SPECIALS="Y"))=0,"",'Dvd Calendar'!$AA$245)))</f>
        <v/>
      </c>
      <c r="Z33" s="161">
        <f>IF(FB33="","",IF(ISNUMBER('Dvd Calendar'!$AB$245)=FALSE,"",IF((('Dvd Calendar'!$AB$247=TYPE1)*(TYPE1&lt;&gt;"")+('Dvd Calendar'!$AB$247=TYPE2)*(TYPE2&lt;&gt;"")+('Dvd Calendar'!$AB$247=TYPE3)*(TYPE3&lt;&gt;"")+('Dvd Calendar'!$AB$247=TYPE4)*(TYPE4&lt;&gt;"")+('Dvd Calendar'!$AB$247=SPECIAL_LBL)*(INC_SPECIALS="Y"))=0,"",'Dvd Calendar'!$AB$245)))</f>
        <v/>
      </c>
      <c r="AA33" s="161">
        <f>IF(FC33="","",IF(ISNUMBER('Dvd Calendar'!$AC$245)=FALSE,"",IF((('Dvd Calendar'!$AC$247=TYPE1)*(TYPE1&lt;&gt;"")+('Dvd Calendar'!$AC$247=TYPE2)*(TYPE2&lt;&gt;"")+('Dvd Calendar'!$AC$247=TYPE3)*(TYPE3&lt;&gt;"")+('Dvd Calendar'!$AC$247=TYPE4)*(TYPE4&lt;&gt;"")+('Dvd Calendar'!$AC$247=SPECIAL_LBL)*(INC_SPECIALS="Y"))=0,"",'Dvd Calendar'!$AC$245)))</f>
        <v/>
      </c>
      <c r="AB33" s="161">
        <f>IF(FD33="","",IF(ISNUMBER('Dvd Calendar'!$AD$245)=FALSE,"",IF((('Dvd Calendar'!$AD$247=TYPE1)*(TYPE1&lt;&gt;"")+('Dvd Calendar'!$AD$247=TYPE2)*(TYPE2&lt;&gt;"")+('Dvd Calendar'!$AD$247=TYPE3)*(TYPE3&lt;&gt;"")+('Dvd Calendar'!$AD$247=TYPE4)*(TYPE4&lt;&gt;"")+('Dvd Calendar'!$AD$247=SPECIAL_LBL)*(INC_SPECIALS="Y"))=0,"",'Dvd Calendar'!$AD$245)))</f>
        <v/>
      </c>
      <c r="AC33" s="161">
        <f>IF(FE33="","",IF(ISNUMBER('Dvd Calendar'!$AE$245)=FALSE,"",IF((('Dvd Calendar'!$AE$247=TYPE1)*(TYPE1&lt;&gt;"")+('Dvd Calendar'!$AE$247=TYPE2)*(TYPE2&lt;&gt;"")+('Dvd Calendar'!$AE$247=TYPE3)*(TYPE3&lt;&gt;"")+('Dvd Calendar'!$AE$247=TYPE4)*(TYPE4&lt;&gt;"")+('Dvd Calendar'!$AE$247=SPECIAL_LBL)*(INC_SPECIALS="Y"))=0,"",'Dvd Calendar'!$AE$245)))</f>
        <v/>
      </c>
      <c r="AD33" s="161">
        <f>IF(FF33="","",IF(ISNUMBER('Dvd Calendar'!$AF$245)=FALSE,"",IF((('Dvd Calendar'!$AF$247=TYPE1)*(TYPE1&lt;&gt;"")+('Dvd Calendar'!$AF$247=TYPE2)*(TYPE2&lt;&gt;"")+('Dvd Calendar'!$AF$247=TYPE3)*(TYPE3&lt;&gt;"")+('Dvd Calendar'!$AF$247=TYPE4)*(TYPE4&lt;&gt;"")+('Dvd Calendar'!$AF$247=SPECIAL_LBL)*(INC_SPECIALS="Y"))=0,"",'Dvd Calendar'!$AF$245)))</f>
        <v/>
      </c>
      <c r="AE33" s="161">
        <f>IF(FG33="","",IF(ISNUMBER('Dvd Calendar'!$AG$245)=FALSE,"",IF((('Dvd Calendar'!$AG$247=TYPE1)*(TYPE1&lt;&gt;"")+('Dvd Calendar'!$AG$247=TYPE2)*(TYPE2&lt;&gt;"")+('Dvd Calendar'!$AG$247=TYPE3)*(TYPE3&lt;&gt;"")+('Dvd Calendar'!$AG$247=TYPE4)*(TYPE4&lt;&gt;"")+('Dvd Calendar'!$AG$247=SPECIAL_LBL)*(INC_SPECIALS="Y"))=0,"",'Dvd Calendar'!$AG$245)))</f>
        <v/>
      </c>
      <c r="AF33" s="161">
        <f>IF(FH33="","",IF(ISNUMBER('Dvd Calendar'!$AH$245)=FALSE,"",IF((('Dvd Calendar'!$AH$247=TYPE1)*(TYPE1&lt;&gt;"")+('Dvd Calendar'!$AH$247=TYPE2)*(TYPE2&lt;&gt;"")+('Dvd Calendar'!$AH$247=TYPE3)*(TYPE3&lt;&gt;"")+('Dvd Calendar'!$AH$247=TYPE4)*(TYPE4&lt;&gt;"")+('Dvd Calendar'!$AH$247=SPECIAL_LBL)*(INC_SPECIALS="Y"))=0,"",'Dvd Calendar'!$AH$245)))</f>
        <v/>
      </c>
      <c r="AG33" s="161">
        <f>IF(FI33="","",IF(ISNUMBER('Dvd Calendar'!$AI$245)=FALSE,"",IF((('Dvd Calendar'!$AI$247=TYPE1)*(TYPE1&lt;&gt;"")+('Dvd Calendar'!$AI$247=TYPE2)*(TYPE2&lt;&gt;"")+('Dvd Calendar'!$AI$247=TYPE3)*(TYPE3&lt;&gt;"")+('Dvd Calendar'!$AI$247=TYPE4)*(TYPE4&lt;&gt;"")+('Dvd Calendar'!$AI$247=SPECIAL_LBL)*(INC_SPECIALS="Y"))=0,"",'Dvd Calendar'!$AI$245)))</f>
        <v/>
      </c>
      <c r="AH33" s="161">
        <f>IF(FJ33="","",IF(ISNUMBER('Dvd Calendar'!$AJ$245)=FALSE,"",IF((('Dvd Calendar'!$AJ$247=TYPE1)*(TYPE1&lt;&gt;"")+('Dvd Calendar'!$AJ$247=TYPE2)*(TYPE2&lt;&gt;"")+('Dvd Calendar'!$AJ$247=TYPE3)*(TYPE3&lt;&gt;"")+('Dvd Calendar'!$AJ$247=TYPE4)*(TYPE4&lt;&gt;"")+('Dvd Calendar'!$AJ$247=SPECIAL_LBL)*(INC_SPECIALS="Y"))=0,"",'Dvd Calendar'!$AJ$245)))</f>
        <v/>
      </c>
      <c r="AI33" s="161">
        <f>IF(FK33="","",IF(ISNUMBER('Dvd Calendar'!$AK$245)=FALSE,"",IF((('Dvd Calendar'!$AK$247=TYPE1)*(TYPE1&lt;&gt;"")+('Dvd Calendar'!$AK$247=TYPE2)*(TYPE2&lt;&gt;"")+('Dvd Calendar'!$AK$247=TYPE3)*(TYPE3&lt;&gt;"")+('Dvd Calendar'!$AK$247=TYPE4)*(TYPE4&lt;&gt;"")+('Dvd Calendar'!$AK$247=SPECIAL_LBL)*(INC_SPECIALS="Y"))=0,"",'Dvd Calendar'!$AK$245)))</f>
        <v/>
      </c>
      <c r="AJ33" s="161">
        <f>IF(FL33="","",IF(ISNUMBER('Dvd Calendar'!$AL$245)=FALSE,"",IF((('Dvd Calendar'!$AL$247=TYPE1)*(TYPE1&lt;&gt;"")+('Dvd Calendar'!$AL$247=TYPE2)*(TYPE2&lt;&gt;"")+('Dvd Calendar'!$AL$247=TYPE3)*(TYPE3&lt;&gt;"")+('Dvd Calendar'!$AL$247=TYPE4)*(TYPE4&lt;&gt;"")+('Dvd Calendar'!$AL$247=SPECIAL_LBL)*(INC_SPECIALS="Y"))=0,"",'Dvd Calendar'!$AL$245)))</f>
        <v/>
      </c>
      <c r="AK33" s="161">
        <f>IF(FM33="","",IF(ISNUMBER('Dvd Calendar'!$AM$245)=FALSE,"",IF((('Dvd Calendar'!$AM$247=TYPE1)*(TYPE1&lt;&gt;"")+('Dvd Calendar'!$AM$247=TYPE2)*(TYPE2&lt;&gt;"")+('Dvd Calendar'!$AM$247=TYPE3)*(TYPE3&lt;&gt;"")+('Dvd Calendar'!$AM$247=TYPE4)*(TYPE4&lt;&gt;"")+('Dvd Calendar'!$AM$247=SPECIAL_LBL)*(INC_SPECIALS="Y"))=0,"",'Dvd Calendar'!$AM$245)))</f>
        <v/>
      </c>
      <c r="AL33" s="161">
        <f>IF(FN33="","",IF(ISNUMBER('Dvd Calendar'!$AN$245)=FALSE,"",IF((('Dvd Calendar'!$AN$247=TYPE1)*(TYPE1&lt;&gt;"")+('Dvd Calendar'!$AN$247=TYPE2)*(TYPE2&lt;&gt;"")+('Dvd Calendar'!$AN$247=TYPE3)*(TYPE3&lt;&gt;"")+('Dvd Calendar'!$AN$247=TYPE4)*(TYPE4&lt;&gt;"")+('Dvd Calendar'!$AN$247=SPECIAL_LBL)*(INC_SPECIALS="Y"))=0,"",'Dvd Calendar'!$AN$245)))</f>
        <v/>
      </c>
      <c r="AM33" s="161">
        <f>IF(FO33="","",IF(ISNUMBER('Dvd Calendar'!$AO$245)=FALSE,"",IF((('Dvd Calendar'!$AO$247=TYPE1)*(TYPE1&lt;&gt;"")+('Dvd Calendar'!$AO$247=TYPE2)*(TYPE2&lt;&gt;"")+('Dvd Calendar'!$AO$247=TYPE3)*(TYPE3&lt;&gt;"")+('Dvd Calendar'!$AO$247=TYPE4)*(TYPE4&lt;&gt;"")+('Dvd Calendar'!$AO$247=SPECIAL_LBL)*(INC_SPECIALS="Y"))=0,"",'Dvd Calendar'!$AO$245)))</f>
        <v/>
      </c>
      <c r="AN33" s="161">
        <f>IF(FP33="","",IF(ISNUMBER('Dvd Calendar'!$AP$245)=FALSE,"",IF((('Dvd Calendar'!$AP$247=TYPE1)*(TYPE1&lt;&gt;"")+('Dvd Calendar'!$AP$247=TYPE2)*(TYPE2&lt;&gt;"")+('Dvd Calendar'!$AP$247=TYPE3)*(TYPE3&lt;&gt;"")+('Dvd Calendar'!$AP$247=TYPE4)*(TYPE4&lt;&gt;"")+('Dvd Calendar'!$AP$247=SPECIAL_LBL)*(INC_SPECIALS="Y"))=0,"",'Dvd Calendar'!$AP$245)))</f>
        <v/>
      </c>
      <c r="AO33" s="161">
        <f>IF(FQ33="","",IF(ISNUMBER('Dvd Calendar'!$AQ$245)=FALSE,"",IF((('Dvd Calendar'!$AQ$247=TYPE1)*(TYPE1&lt;&gt;"")+('Dvd Calendar'!$AQ$247=TYPE2)*(TYPE2&lt;&gt;"")+('Dvd Calendar'!$AQ$247=TYPE3)*(TYPE3&lt;&gt;"")+('Dvd Calendar'!$AQ$247=TYPE4)*(TYPE4&lt;&gt;"")+('Dvd Calendar'!$AQ$247=SPECIAL_LBL)*(INC_SPECIALS="Y"))=0,"",'Dvd Calendar'!$AQ$245)))</f>
        <v/>
      </c>
      <c r="AP33" s="161">
        <f>IF(FR33="","",IF(ISNUMBER('Dvd Calendar'!$AR$245)=FALSE,"",IF((('Dvd Calendar'!$AR$247=TYPE1)*(TYPE1&lt;&gt;"")+('Dvd Calendar'!$AR$247=TYPE2)*(TYPE2&lt;&gt;"")+('Dvd Calendar'!$AR$247=TYPE3)*(TYPE3&lt;&gt;"")+('Dvd Calendar'!$AR$247=TYPE4)*(TYPE4&lt;&gt;"")+('Dvd Calendar'!$AR$247=SPECIAL_LBL)*(INC_SPECIALS="Y"))=0,"",'Dvd Calendar'!$AR$245)))</f>
        <v/>
      </c>
      <c r="AQ33" s="161">
        <f>IF(FS33="","",IF(ISNUMBER('Dvd Calendar'!$E$250)=FALSE,"",'Dvd Calendar'!$E$250))</f>
        <v/>
      </c>
      <c r="AR33" s="161">
        <f>IF(FT33="","",IF(ISNUMBER('Dvd Calendar'!$F$250)=FALSE,"",'Dvd Calendar'!$F$250))</f>
        <v/>
      </c>
      <c r="AS33" s="161">
        <f>IF(FU33="","",IF(ISNUMBER('Dvd Calendar'!$G$250)=FALSE,"",'Dvd Calendar'!$G$250))</f>
        <v/>
      </c>
      <c r="AT33" s="161">
        <f>IF(FV33="","",IF(ISNUMBER('Dvd Calendar'!$H$250)=FALSE,"",'Dvd Calendar'!$H$250))</f>
        <v/>
      </c>
      <c r="AU33" s="161">
        <f>IF(FW33="","",IF(ISNUMBER('Dvd Calendar'!$I$250)=FALSE,"",'Dvd Calendar'!$I$250))</f>
        <v/>
      </c>
      <c r="AV33" s="161">
        <f>IF(FX33="","",IF(ISNUMBER('Dvd Calendar'!$J$250)=FALSE,"",'Dvd Calendar'!$J$250))</f>
        <v/>
      </c>
      <c r="AW33" s="161">
        <f>IF(FY33="","",IF(ISNUMBER('Dvd Calendar'!$K$250)=FALSE,"",'Dvd Calendar'!$K$250))</f>
        <v/>
      </c>
      <c r="AX33" s="161">
        <f>IF(FZ33="","",IF(ISNUMBER('Dvd Calendar'!$L$250)=FALSE,"",'Dvd Calendar'!$L$250))</f>
        <v/>
      </c>
      <c r="AY33" s="161">
        <f>IF(GA33="","",IF(ISNUMBER('Dvd Calendar'!$M$250)=FALSE,"",'Dvd Calendar'!$M$250))</f>
        <v/>
      </c>
      <c r="AZ33" s="161">
        <f>IF(GB33="","",IF(ISNUMBER('Dvd Calendar'!$N$250)=FALSE,"",'Dvd Calendar'!$N$250))</f>
        <v/>
      </c>
      <c r="BA33" s="161">
        <f>IF(GC33="","",IF(ISNUMBER('Dvd Calendar'!$O$250)=FALSE,"",'Dvd Calendar'!$O$250))</f>
        <v/>
      </c>
      <c r="BB33" s="161">
        <f>IF(GD33="","",IF(ISNUMBER('Dvd Calendar'!$P$250)=FALSE,"",'Dvd Calendar'!$P$250))</f>
        <v/>
      </c>
      <c r="BC33" s="161">
        <f>IF(GE33="","",IF(ISNUMBER('Dvd Calendar'!$Q$250)=FALSE,"",'Dvd Calendar'!$Q$250))</f>
        <v/>
      </c>
      <c r="BD33" s="161">
        <f>IF(GF33="","",IF(ISNUMBER('Dvd Calendar'!$R$250)=FALSE,"",'Dvd Calendar'!$R$250))</f>
        <v/>
      </c>
      <c r="BE33" s="161">
        <f>IF(GG33="","",IF(ISNUMBER('Dvd Calendar'!$S$250)=FALSE,"",'Dvd Calendar'!$S$250))</f>
        <v/>
      </c>
      <c r="BF33" s="161">
        <f>IF(GH33="","",IF(ISNUMBER('Dvd Calendar'!$T$250)=FALSE,"",'Dvd Calendar'!$T$250))</f>
        <v/>
      </c>
      <c r="BG33" s="161">
        <f>IF(GI33="","",IF(ISNUMBER('Dvd Calendar'!$U$250)=FALSE,"",'Dvd Calendar'!$U$250))</f>
        <v/>
      </c>
      <c r="BH33" s="161">
        <f>IF(GJ33="","",IF(ISNUMBER('Dvd Calendar'!$V$250)=FALSE,"",'Dvd Calendar'!$V$250))</f>
        <v/>
      </c>
      <c r="BI33" s="161">
        <f>IF(GK33="","",IF(ISNUMBER('Dvd Calendar'!$W$250)=FALSE,"",'Dvd Calendar'!$W$250))</f>
        <v/>
      </c>
      <c r="BJ33" s="161">
        <f>IF(GL33="","",IF(ISNUMBER('Dvd Calendar'!$X$250)=FALSE,"",'Dvd Calendar'!$X$250))</f>
        <v/>
      </c>
      <c r="BK33" s="161">
        <f>IF(GM33="","",IF(ISNUMBER('Dvd Calendar'!$Y$250)=FALSE,"",'Dvd Calendar'!$Y$250))</f>
        <v/>
      </c>
      <c r="BL33" s="161">
        <f>IF(GN33="","",IF(ISNUMBER('Dvd Calendar'!$Z$250)=FALSE,"",'Dvd Calendar'!$Z$250))</f>
        <v/>
      </c>
      <c r="BM33" s="161">
        <f>IF(GO33="","",IF(ISNUMBER('Dvd Calendar'!$AA$250)=FALSE,"",'Dvd Calendar'!$AA$250))</f>
        <v/>
      </c>
      <c r="BN33" s="161">
        <f>IF(GP33="","",IF(ISNUMBER('Dvd Calendar'!$AB$250)=FALSE,"",'Dvd Calendar'!$AB$250))</f>
        <v/>
      </c>
      <c r="BO33" s="161">
        <f>IF(GQ33="","",IF(ISNUMBER('Dvd Calendar'!$AC$250)=FALSE,"",'Dvd Calendar'!$AC$250))</f>
        <v/>
      </c>
      <c r="BQ33" s="161">
        <f>IF(C33="","",IFERROR(C33*HSI!$B$28*HSI!$G$28/HSI!$B$3,""))</f>
        <v/>
      </c>
      <c r="BR33" s="161">
        <f>IF(D33="","",IFERROR(D33*HSI!$B$28*HSI!$G$28/HSI!$B$3,""))</f>
        <v/>
      </c>
      <c r="BS33" s="161">
        <f>IF(E33="","",IFERROR(E33*HSI!$B$28*HSI!$G$28/HSI!$B$3,""))</f>
        <v/>
      </c>
      <c r="BT33" s="161">
        <f>IF(F33="","",IFERROR(F33*HSI!$B$28*HSI!$G$28/HSI!$B$3,""))</f>
        <v/>
      </c>
      <c r="BU33" s="161">
        <f>IF(G33="","",IFERROR(G33*HSI!$B$28*HSI!$G$28/HSI!$B$3,""))</f>
        <v/>
      </c>
      <c r="BV33" s="161">
        <f>IF(H33="","",IFERROR(H33*HSI!$B$28*HSI!$G$28/HSI!$B$3,""))</f>
        <v/>
      </c>
      <c r="BW33" s="161">
        <f>IF(I33="","",IFERROR(I33*HSI!$B$28*HSI!$G$28/HSI!$B$3,""))</f>
        <v/>
      </c>
      <c r="BX33" s="161">
        <f>IF(J33="","",IFERROR(J33*HSI!$B$28*HSI!$G$28/HSI!$B$3,""))</f>
        <v/>
      </c>
      <c r="BY33" s="161">
        <f>IF(K33="","",IFERROR(K33*HSI!$B$28*HSI!$G$28/HSI!$B$3,""))</f>
        <v/>
      </c>
      <c r="BZ33" s="161">
        <f>IF(L33="","",IFERROR(L33*HSI!$B$28*HSI!$G$28/HSI!$B$3,""))</f>
        <v/>
      </c>
      <c r="CA33" s="161">
        <f>IF(M33="","",IFERROR(M33*HSI!$B$28*HSI!$G$28/HSI!$B$3,""))</f>
        <v/>
      </c>
      <c r="CB33" s="161">
        <f>IF(N33="","",IFERROR(N33*HSI!$B$28*HSI!$G$28/HSI!$B$3,""))</f>
        <v/>
      </c>
      <c r="CC33" s="161">
        <f>IF(O33="","",IFERROR(O33*HSI!$B$28*HSI!$G$28/HSI!$B$3,""))</f>
        <v/>
      </c>
      <c r="CD33" s="161">
        <f>IF(P33="","",IFERROR(P33*HSI!$B$28*HSI!$G$28/HSI!$B$3,""))</f>
        <v/>
      </c>
      <c r="CE33" s="161">
        <f>IF(Q33="","",IFERROR(Q33*HSI!$B$28*HSI!$G$28/HSI!$B$3,""))</f>
        <v/>
      </c>
      <c r="CF33" s="161">
        <f>IF(R33="","",IFERROR(R33*HSI!$B$28*HSI!$G$28/HSI!$B$3,""))</f>
        <v/>
      </c>
      <c r="CG33" s="161">
        <f>IF(S33="","",IFERROR(S33*HSI!$B$28*HSI!$G$28/HSI!$B$3,""))</f>
        <v/>
      </c>
      <c r="CH33" s="161">
        <f>IF(T33="","",IFERROR(T33*HSI!$B$28*HSI!$G$28/HSI!$B$3,""))</f>
        <v/>
      </c>
      <c r="CI33" s="161">
        <f>IF(U33="","",IFERROR(U33*HSI!$B$28*HSI!$G$28/HSI!$B$3,""))</f>
        <v/>
      </c>
      <c r="CJ33" s="161">
        <f>IF(V33="","",IFERROR(V33*HSI!$B$28*HSI!$G$28/HSI!$B$3,""))</f>
        <v/>
      </c>
      <c r="CK33" s="161">
        <f>IF(W33="","",IFERROR(W33*HSI!$B$28*HSI!$G$28/HSI!$B$3,""))</f>
        <v/>
      </c>
      <c r="CL33" s="161">
        <f>IF(X33="","",IFERROR(X33*HSI!$B$28*HSI!$G$28/HSI!$B$3,""))</f>
        <v/>
      </c>
      <c r="CM33" s="161">
        <f>IF(Y33="","",IFERROR(Y33*HSI!$B$28*HSI!$G$28/HSI!$B$3,""))</f>
        <v/>
      </c>
      <c r="CN33" s="161">
        <f>IF(Z33="","",IFERROR(Z33*HSI!$B$28*HSI!$G$28/HSI!$B$3,""))</f>
        <v/>
      </c>
      <c r="CO33" s="161">
        <f>IF(AA33="","",IFERROR(AA33*HSI!$B$28*HSI!$G$28/HSI!$B$3,""))</f>
        <v/>
      </c>
      <c r="CP33" s="161">
        <f>IF(AB33="","",IFERROR(AB33*HSI!$B$28*HSI!$G$28/HSI!$B$3,""))</f>
        <v/>
      </c>
      <c r="CQ33" s="161">
        <f>IF(AC33="","",IFERROR(AC33*HSI!$B$28*HSI!$G$28/HSI!$B$3,""))</f>
        <v/>
      </c>
      <c r="CR33" s="161">
        <f>IF(AD33="","",IFERROR(AD33*HSI!$B$28*HSI!$G$28/HSI!$B$3,""))</f>
        <v/>
      </c>
      <c r="CS33" s="161">
        <f>IF(AE33="","",IFERROR(AE33*HSI!$B$28*HSI!$G$28/HSI!$B$3,""))</f>
        <v/>
      </c>
      <c r="CT33" s="161">
        <f>IF(AF33="","",IFERROR(AF33*HSI!$B$28*HSI!$G$28/HSI!$B$3,""))</f>
        <v/>
      </c>
      <c r="CU33" s="161">
        <f>IF(AG33="","",IFERROR(AG33*HSI!$B$28*HSI!$G$28/HSI!$B$3,""))</f>
        <v/>
      </c>
      <c r="CV33" s="161">
        <f>IF(AH33="","",IFERROR(AH33*HSI!$B$28*HSI!$G$28/HSI!$B$3,""))</f>
        <v/>
      </c>
      <c r="CW33" s="161">
        <f>IF(AI33="","",IFERROR(AI33*HSI!$B$28*HSI!$G$28/HSI!$B$3,""))</f>
        <v/>
      </c>
      <c r="CX33" s="161">
        <f>IF(AJ33="","",IFERROR(AJ33*HSI!$B$28*HSI!$G$28/HSI!$B$3,""))</f>
        <v/>
      </c>
      <c r="CY33" s="161">
        <f>IF(AK33="","",IFERROR(AK33*HSI!$B$28*HSI!$G$28/HSI!$B$3,""))</f>
        <v/>
      </c>
      <c r="CZ33" s="161">
        <f>IF(AL33="","",IFERROR(AL33*HSI!$B$28*HSI!$G$28/HSI!$B$3,""))</f>
        <v/>
      </c>
      <c r="DA33" s="161">
        <f>IF(AM33="","",IFERROR(AM33*HSI!$B$28*HSI!$G$28/HSI!$B$3,""))</f>
        <v/>
      </c>
      <c r="DB33" s="161">
        <f>IF(AN33="","",IFERROR(AN33*HSI!$B$28*HSI!$G$28/HSI!$B$3,""))</f>
        <v/>
      </c>
      <c r="DC33" s="161">
        <f>IF(AO33="","",IFERROR(AO33*HSI!$B$28*HSI!$G$28/HSI!$B$3,""))</f>
        <v/>
      </c>
      <c r="DD33" s="161">
        <f>IF(AP33="","",IFERROR(AP33*HSI!$B$28*HSI!$G$28/HSI!$B$3,""))</f>
        <v/>
      </c>
      <c r="DE33" s="161">
        <f>IF(AQ33="","",IFERROR(AQ33*HSI!$B$28*HSI!$G$28/HSI!$B$3,""))</f>
        <v/>
      </c>
      <c r="DF33" s="161">
        <f>IF(AR33="","",IFERROR(AR33*HSI!$B$28*HSI!$G$28/HSI!$B$3,""))</f>
        <v/>
      </c>
      <c r="DG33" s="161">
        <f>IF(AS33="","",IFERROR(AS33*HSI!$B$28*HSI!$G$28/HSI!$B$3,""))</f>
        <v/>
      </c>
      <c r="DH33" s="161">
        <f>IF(AT33="","",IFERROR(AT33*HSI!$B$28*HSI!$G$28/HSI!$B$3,""))</f>
        <v/>
      </c>
      <c r="DI33" s="161">
        <f>IF(AU33="","",IFERROR(AU33*HSI!$B$28*HSI!$G$28/HSI!$B$3,""))</f>
        <v/>
      </c>
      <c r="DJ33" s="161">
        <f>IF(AV33="","",IFERROR(AV33*HSI!$B$28*HSI!$G$28/HSI!$B$3,""))</f>
        <v/>
      </c>
      <c r="DK33" s="161">
        <f>IF(AW33="","",IFERROR(AW33*HSI!$B$28*HSI!$G$28/HSI!$B$3,""))</f>
        <v/>
      </c>
      <c r="DL33" s="161">
        <f>IF(AX33="","",IFERROR(AX33*HSI!$B$28*HSI!$G$28/HSI!$B$3,""))</f>
        <v/>
      </c>
      <c r="DM33" s="161">
        <f>IF(AY33="","",IFERROR(AY33*HSI!$B$28*HSI!$G$28/HSI!$B$3,""))</f>
        <v/>
      </c>
      <c r="DN33" s="161">
        <f>IF(AZ33="","",IFERROR(AZ33*HSI!$B$28*HSI!$G$28/HSI!$B$3,""))</f>
        <v/>
      </c>
      <c r="DO33" s="161">
        <f>IF(BA33="","",IFERROR(BA33*HSI!$B$28*HSI!$G$28/HSI!$B$3,""))</f>
        <v/>
      </c>
      <c r="DP33" s="161">
        <f>IF(BB33="","",IFERROR(BB33*HSI!$B$28*HSI!$G$28/HSI!$B$3,""))</f>
        <v/>
      </c>
      <c r="DQ33" s="161">
        <f>IF(BC33="","",IFERROR(BC33*HSI!$B$28*HSI!$G$28/HSI!$B$3,""))</f>
        <v/>
      </c>
      <c r="DR33" s="161">
        <f>IF(BD33="","",IFERROR(BD33*HSI!$B$28*HSI!$G$28/HSI!$B$3,""))</f>
        <v/>
      </c>
      <c r="DS33" s="161">
        <f>IF(BE33="","",IFERROR(BE33*HSI!$B$28*HSI!$G$28/HSI!$B$3,""))</f>
        <v/>
      </c>
      <c r="DT33" s="161">
        <f>IF(BF33="","",IFERROR(BF33*HSI!$B$28*HSI!$G$28/HSI!$B$3,""))</f>
        <v/>
      </c>
      <c r="DU33" s="161">
        <f>IF(BG33="","",IFERROR(BG33*HSI!$B$28*HSI!$G$28/HSI!$B$3,""))</f>
        <v/>
      </c>
      <c r="DV33" s="161">
        <f>IF(BH33="","",IFERROR(BH33*HSI!$B$28*HSI!$G$28/HSI!$B$3,""))</f>
        <v/>
      </c>
      <c r="DW33" s="161">
        <f>IF(BI33="","",IFERROR(BI33*HSI!$B$28*HSI!$G$28/HSI!$B$3,""))</f>
        <v/>
      </c>
      <c r="DX33" s="161">
        <f>IF(BJ33="","",IFERROR(BJ33*HSI!$B$28*HSI!$G$28/HSI!$B$3,""))</f>
        <v/>
      </c>
      <c r="DY33" s="161">
        <f>IF(BK33="","",IFERROR(BK33*HSI!$B$28*HSI!$G$28/HSI!$B$3,""))</f>
        <v/>
      </c>
      <c r="DZ33" s="161">
        <f>IF(BL33="","",IFERROR(BL33*HSI!$B$28*HSI!$G$28/HSI!$B$3,""))</f>
        <v/>
      </c>
      <c r="EA33" s="161">
        <f>IF(BM33="","",IFERROR(BM33*HSI!$B$28*HSI!$G$28/HSI!$B$3,""))</f>
        <v/>
      </c>
      <c r="EB33" s="161">
        <f>IF(BN33="","",IFERROR(BN33*HSI!$B$28*HSI!$G$28/HSI!$B$3,""))</f>
        <v/>
      </c>
      <c r="EC33" s="161">
        <f>IF(BO33="","",IFERROR(BO33*HSI!$B$28*HSI!$G$28/HSI!$B$3,""))</f>
        <v/>
      </c>
      <c r="EE33" s="121">
        <f>IF(N('Dvd Calendar'!$E$242)=0,"",IF(('Dvd Calendar'!$E$242&gt;=GRID_FROM)*('Dvd Calendar'!$E$242&lt;=GRID_TO)*((('Dvd Calendar'!$E$242&lt;=VAL_DATE)+(COUNTIF('Dvd Calendar'!$E$249:$AR$249,'Dvd Calendar'!$E$242)=0))&gt;0)=0,"",'Dvd Calendar'!$E$242*1000000000+ISNUMBER('Dvd Calendar'!$E$245)*100000000+('Dvd Calendar'!$E$247=SPECIAL_LBL)*10000000+(N('Dvd Calendar'!$E$241)&gt;0)*(N('Dvd Calendar'!$E$241)&lt;=VAL_SERIAL)*1000000+22*1000+1))</f>
        <v/>
      </c>
      <c r="EF33" s="121">
        <f>IF(N('Dvd Calendar'!$F$242)=0,"",IF(('Dvd Calendar'!$F$242&gt;=GRID_FROM)*('Dvd Calendar'!$F$242&lt;=GRID_TO)*((('Dvd Calendar'!$F$242&lt;=VAL_DATE)+(COUNTIF('Dvd Calendar'!$E$249:$AR$249,'Dvd Calendar'!$F$242)=0))&gt;0)=0,"",'Dvd Calendar'!$F$242*1000000000+ISNUMBER('Dvd Calendar'!$F$245)*100000000+('Dvd Calendar'!$F$247=SPECIAL_LBL)*10000000+(N('Dvd Calendar'!$F$241)&gt;0)*(N('Dvd Calendar'!$F$241)&lt;=VAL_SERIAL)*1000000+22*1000+2))</f>
        <v/>
      </c>
      <c r="EG33" s="121">
        <f>IF(N('Dvd Calendar'!$G$242)=0,"",IF(('Dvd Calendar'!$G$242&gt;=GRID_FROM)*('Dvd Calendar'!$G$242&lt;=GRID_TO)*((('Dvd Calendar'!$G$242&lt;=VAL_DATE)+(COUNTIF('Dvd Calendar'!$E$249:$AR$249,'Dvd Calendar'!$G$242)=0))&gt;0)=0,"",'Dvd Calendar'!$G$242*1000000000+ISNUMBER('Dvd Calendar'!$G$245)*100000000+('Dvd Calendar'!$G$247=SPECIAL_LBL)*10000000+(N('Dvd Calendar'!$G$241)&gt;0)*(N('Dvd Calendar'!$G$241)&lt;=VAL_SERIAL)*1000000+22*1000+3))</f>
        <v/>
      </c>
      <c r="EH33" s="121">
        <f>IF(N('Dvd Calendar'!$H$242)=0,"",IF(('Dvd Calendar'!$H$242&gt;=GRID_FROM)*('Dvd Calendar'!$H$242&lt;=GRID_TO)*((('Dvd Calendar'!$H$242&lt;=VAL_DATE)+(COUNTIF('Dvd Calendar'!$E$249:$AR$249,'Dvd Calendar'!$H$242)=0))&gt;0)=0,"",'Dvd Calendar'!$H$242*1000000000+ISNUMBER('Dvd Calendar'!$H$245)*100000000+('Dvd Calendar'!$H$247=SPECIAL_LBL)*10000000+(N('Dvd Calendar'!$H$241)&gt;0)*(N('Dvd Calendar'!$H$241)&lt;=VAL_SERIAL)*1000000+22*1000+4))</f>
        <v/>
      </c>
      <c r="EI33" s="121">
        <f>IF(N('Dvd Calendar'!$I$242)=0,"",IF(('Dvd Calendar'!$I$242&gt;=GRID_FROM)*('Dvd Calendar'!$I$242&lt;=GRID_TO)*((('Dvd Calendar'!$I$242&lt;=VAL_DATE)+(COUNTIF('Dvd Calendar'!$E$249:$AR$249,'Dvd Calendar'!$I$242)=0))&gt;0)=0,"",'Dvd Calendar'!$I$242*1000000000+ISNUMBER('Dvd Calendar'!$I$245)*100000000+('Dvd Calendar'!$I$247=SPECIAL_LBL)*10000000+(N('Dvd Calendar'!$I$241)&gt;0)*(N('Dvd Calendar'!$I$241)&lt;=VAL_SERIAL)*1000000+22*1000+5))</f>
        <v/>
      </c>
      <c r="EJ33" s="121">
        <f>IF(N('Dvd Calendar'!$J$242)=0,"",IF(('Dvd Calendar'!$J$242&gt;=GRID_FROM)*('Dvd Calendar'!$J$242&lt;=GRID_TO)*((('Dvd Calendar'!$J$242&lt;=VAL_DATE)+(COUNTIF('Dvd Calendar'!$E$249:$AR$249,'Dvd Calendar'!$J$242)=0))&gt;0)=0,"",'Dvd Calendar'!$J$242*1000000000+ISNUMBER('Dvd Calendar'!$J$245)*100000000+('Dvd Calendar'!$J$247=SPECIAL_LBL)*10000000+(N('Dvd Calendar'!$J$241)&gt;0)*(N('Dvd Calendar'!$J$241)&lt;=VAL_SERIAL)*1000000+22*1000+6))</f>
        <v/>
      </c>
      <c r="EK33" s="121">
        <f>IF(N('Dvd Calendar'!$K$242)=0,"",IF(('Dvd Calendar'!$K$242&gt;=GRID_FROM)*('Dvd Calendar'!$K$242&lt;=GRID_TO)*((('Dvd Calendar'!$K$242&lt;=VAL_DATE)+(COUNTIF('Dvd Calendar'!$E$249:$AR$249,'Dvd Calendar'!$K$242)=0))&gt;0)=0,"",'Dvd Calendar'!$K$242*1000000000+ISNUMBER('Dvd Calendar'!$K$245)*100000000+('Dvd Calendar'!$K$247=SPECIAL_LBL)*10000000+(N('Dvd Calendar'!$K$241)&gt;0)*(N('Dvd Calendar'!$K$241)&lt;=VAL_SERIAL)*1000000+22*1000+7))</f>
        <v/>
      </c>
      <c r="EL33" s="121">
        <f>IF(N('Dvd Calendar'!$L$242)=0,"",IF(('Dvd Calendar'!$L$242&gt;=GRID_FROM)*('Dvd Calendar'!$L$242&lt;=GRID_TO)*((('Dvd Calendar'!$L$242&lt;=VAL_DATE)+(COUNTIF('Dvd Calendar'!$E$249:$AR$249,'Dvd Calendar'!$L$242)=0))&gt;0)=0,"",'Dvd Calendar'!$L$242*1000000000+ISNUMBER('Dvd Calendar'!$L$245)*100000000+('Dvd Calendar'!$L$247=SPECIAL_LBL)*10000000+(N('Dvd Calendar'!$L$241)&gt;0)*(N('Dvd Calendar'!$L$241)&lt;=VAL_SERIAL)*1000000+22*1000+8))</f>
        <v/>
      </c>
      <c r="EM33" s="121">
        <f>IF(N('Dvd Calendar'!$M$242)=0,"",IF(('Dvd Calendar'!$M$242&gt;=GRID_FROM)*('Dvd Calendar'!$M$242&lt;=GRID_TO)*((('Dvd Calendar'!$M$242&lt;=VAL_DATE)+(COUNTIF('Dvd Calendar'!$E$249:$AR$249,'Dvd Calendar'!$M$242)=0))&gt;0)=0,"",'Dvd Calendar'!$M$242*1000000000+ISNUMBER('Dvd Calendar'!$M$245)*100000000+('Dvd Calendar'!$M$247=SPECIAL_LBL)*10000000+(N('Dvd Calendar'!$M$241)&gt;0)*(N('Dvd Calendar'!$M$241)&lt;=VAL_SERIAL)*1000000+22*1000+9))</f>
        <v/>
      </c>
      <c r="EN33" s="121">
        <f>IF(N('Dvd Calendar'!$N$242)=0,"",IF(('Dvd Calendar'!$N$242&gt;=GRID_FROM)*('Dvd Calendar'!$N$242&lt;=GRID_TO)*((('Dvd Calendar'!$N$242&lt;=VAL_DATE)+(COUNTIF('Dvd Calendar'!$E$249:$AR$249,'Dvd Calendar'!$N$242)=0))&gt;0)=0,"",'Dvd Calendar'!$N$242*1000000000+ISNUMBER('Dvd Calendar'!$N$245)*100000000+('Dvd Calendar'!$N$247=SPECIAL_LBL)*10000000+(N('Dvd Calendar'!$N$241)&gt;0)*(N('Dvd Calendar'!$N$241)&lt;=VAL_SERIAL)*1000000+22*1000+10))</f>
        <v/>
      </c>
      <c r="EO33" s="121">
        <f>IF(N('Dvd Calendar'!$O$242)=0,"",IF(('Dvd Calendar'!$O$242&gt;=GRID_FROM)*('Dvd Calendar'!$O$242&lt;=GRID_TO)*((('Dvd Calendar'!$O$242&lt;=VAL_DATE)+(COUNTIF('Dvd Calendar'!$E$249:$AR$249,'Dvd Calendar'!$O$242)=0))&gt;0)=0,"",'Dvd Calendar'!$O$242*1000000000+ISNUMBER('Dvd Calendar'!$O$245)*100000000+('Dvd Calendar'!$O$247=SPECIAL_LBL)*10000000+(N('Dvd Calendar'!$O$241)&gt;0)*(N('Dvd Calendar'!$O$241)&lt;=VAL_SERIAL)*1000000+22*1000+11))</f>
        <v/>
      </c>
      <c r="EP33" s="121">
        <f>IF(N('Dvd Calendar'!$P$242)=0,"",IF(('Dvd Calendar'!$P$242&gt;=GRID_FROM)*('Dvd Calendar'!$P$242&lt;=GRID_TO)*((('Dvd Calendar'!$P$242&lt;=VAL_DATE)+(COUNTIF('Dvd Calendar'!$E$249:$AR$249,'Dvd Calendar'!$P$242)=0))&gt;0)=0,"",'Dvd Calendar'!$P$242*1000000000+ISNUMBER('Dvd Calendar'!$P$245)*100000000+('Dvd Calendar'!$P$247=SPECIAL_LBL)*10000000+(N('Dvd Calendar'!$P$241)&gt;0)*(N('Dvd Calendar'!$P$241)&lt;=VAL_SERIAL)*1000000+22*1000+12))</f>
        <v/>
      </c>
      <c r="EQ33" s="121">
        <f>IF(N('Dvd Calendar'!$Q$242)=0,"",IF(('Dvd Calendar'!$Q$242&gt;=GRID_FROM)*('Dvd Calendar'!$Q$242&lt;=GRID_TO)*((('Dvd Calendar'!$Q$242&lt;=VAL_DATE)+(COUNTIF('Dvd Calendar'!$E$249:$AR$249,'Dvd Calendar'!$Q$242)=0))&gt;0)=0,"",'Dvd Calendar'!$Q$242*1000000000+ISNUMBER('Dvd Calendar'!$Q$245)*100000000+('Dvd Calendar'!$Q$247=SPECIAL_LBL)*10000000+(N('Dvd Calendar'!$Q$241)&gt;0)*(N('Dvd Calendar'!$Q$241)&lt;=VAL_SERIAL)*1000000+22*1000+13))</f>
        <v/>
      </c>
      <c r="ER33" s="121">
        <f>IF(N('Dvd Calendar'!$R$242)=0,"",IF(('Dvd Calendar'!$R$242&gt;=GRID_FROM)*('Dvd Calendar'!$R$242&lt;=GRID_TO)*((('Dvd Calendar'!$R$242&lt;=VAL_DATE)+(COUNTIF('Dvd Calendar'!$E$249:$AR$249,'Dvd Calendar'!$R$242)=0))&gt;0)=0,"",'Dvd Calendar'!$R$242*1000000000+ISNUMBER('Dvd Calendar'!$R$245)*100000000+('Dvd Calendar'!$R$247=SPECIAL_LBL)*10000000+(N('Dvd Calendar'!$R$241)&gt;0)*(N('Dvd Calendar'!$R$241)&lt;=VAL_SERIAL)*1000000+22*1000+14))</f>
        <v/>
      </c>
      <c r="ES33" s="121">
        <f>IF(N('Dvd Calendar'!$S$242)=0,"",IF(('Dvd Calendar'!$S$242&gt;=GRID_FROM)*('Dvd Calendar'!$S$242&lt;=GRID_TO)*((('Dvd Calendar'!$S$242&lt;=VAL_DATE)+(COUNTIF('Dvd Calendar'!$E$249:$AR$249,'Dvd Calendar'!$S$242)=0))&gt;0)=0,"",'Dvd Calendar'!$S$242*1000000000+ISNUMBER('Dvd Calendar'!$S$245)*100000000+('Dvd Calendar'!$S$247=SPECIAL_LBL)*10000000+(N('Dvd Calendar'!$S$241)&gt;0)*(N('Dvd Calendar'!$S$241)&lt;=VAL_SERIAL)*1000000+22*1000+15))</f>
        <v/>
      </c>
      <c r="ET33" s="121">
        <f>IF(N('Dvd Calendar'!$T$242)=0,"",IF(('Dvd Calendar'!$T$242&gt;=GRID_FROM)*('Dvd Calendar'!$T$242&lt;=GRID_TO)*((('Dvd Calendar'!$T$242&lt;=VAL_DATE)+(COUNTIF('Dvd Calendar'!$E$249:$AR$249,'Dvd Calendar'!$T$242)=0))&gt;0)=0,"",'Dvd Calendar'!$T$242*1000000000+ISNUMBER('Dvd Calendar'!$T$245)*100000000+('Dvd Calendar'!$T$247=SPECIAL_LBL)*10000000+(N('Dvd Calendar'!$T$241)&gt;0)*(N('Dvd Calendar'!$T$241)&lt;=VAL_SERIAL)*1000000+22*1000+16))</f>
        <v/>
      </c>
      <c r="EU33" s="121">
        <f>IF(N('Dvd Calendar'!$U$242)=0,"",IF(('Dvd Calendar'!$U$242&gt;=GRID_FROM)*('Dvd Calendar'!$U$242&lt;=GRID_TO)*((('Dvd Calendar'!$U$242&lt;=VAL_DATE)+(COUNTIF('Dvd Calendar'!$E$249:$AR$249,'Dvd Calendar'!$U$242)=0))&gt;0)=0,"",'Dvd Calendar'!$U$242*1000000000+ISNUMBER('Dvd Calendar'!$U$245)*100000000+('Dvd Calendar'!$U$247=SPECIAL_LBL)*10000000+(N('Dvd Calendar'!$U$241)&gt;0)*(N('Dvd Calendar'!$U$241)&lt;=VAL_SERIAL)*1000000+22*1000+17))</f>
        <v/>
      </c>
      <c r="EV33" s="121">
        <f>IF(N('Dvd Calendar'!$V$242)=0,"",IF(('Dvd Calendar'!$V$242&gt;=GRID_FROM)*('Dvd Calendar'!$V$242&lt;=GRID_TO)*((('Dvd Calendar'!$V$242&lt;=VAL_DATE)+(COUNTIF('Dvd Calendar'!$E$249:$AR$249,'Dvd Calendar'!$V$242)=0))&gt;0)=0,"",'Dvd Calendar'!$V$242*1000000000+ISNUMBER('Dvd Calendar'!$V$245)*100000000+('Dvd Calendar'!$V$247=SPECIAL_LBL)*10000000+(N('Dvd Calendar'!$V$241)&gt;0)*(N('Dvd Calendar'!$V$241)&lt;=VAL_SERIAL)*1000000+22*1000+18))</f>
        <v/>
      </c>
      <c r="EW33" s="121">
        <f>IF(N('Dvd Calendar'!$W$242)=0,"",IF(('Dvd Calendar'!$W$242&gt;=GRID_FROM)*('Dvd Calendar'!$W$242&lt;=GRID_TO)*((('Dvd Calendar'!$W$242&lt;=VAL_DATE)+(COUNTIF('Dvd Calendar'!$E$249:$AR$249,'Dvd Calendar'!$W$242)=0))&gt;0)=0,"",'Dvd Calendar'!$W$242*1000000000+ISNUMBER('Dvd Calendar'!$W$245)*100000000+('Dvd Calendar'!$W$247=SPECIAL_LBL)*10000000+(N('Dvd Calendar'!$W$241)&gt;0)*(N('Dvd Calendar'!$W$241)&lt;=VAL_SERIAL)*1000000+22*1000+19))</f>
        <v/>
      </c>
      <c r="EX33" s="121">
        <f>IF(N('Dvd Calendar'!$X$242)=0,"",IF(('Dvd Calendar'!$X$242&gt;=GRID_FROM)*('Dvd Calendar'!$X$242&lt;=GRID_TO)*((('Dvd Calendar'!$X$242&lt;=VAL_DATE)+(COUNTIF('Dvd Calendar'!$E$249:$AR$249,'Dvd Calendar'!$X$242)=0))&gt;0)=0,"",'Dvd Calendar'!$X$242*1000000000+ISNUMBER('Dvd Calendar'!$X$245)*100000000+('Dvd Calendar'!$X$247=SPECIAL_LBL)*10000000+(N('Dvd Calendar'!$X$241)&gt;0)*(N('Dvd Calendar'!$X$241)&lt;=VAL_SERIAL)*1000000+22*1000+20))</f>
        <v/>
      </c>
      <c r="EY33" s="121">
        <f>IF(N('Dvd Calendar'!$Y$242)=0,"",IF(('Dvd Calendar'!$Y$242&gt;=GRID_FROM)*('Dvd Calendar'!$Y$242&lt;=GRID_TO)*((('Dvd Calendar'!$Y$242&lt;=VAL_DATE)+(COUNTIF('Dvd Calendar'!$E$249:$AR$249,'Dvd Calendar'!$Y$242)=0))&gt;0)=0,"",'Dvd Calendar'!$Y$242*1000000000+ISNUMBER('Dvd Calendar'!$Y$245)*100000000+('Dvd Calendar'!$Y$247=SPECIAL_LBL)*10000000+(N('Dvd Calendar'!$Y$241)&gt;0)*(N('Dvd Calendar'!$Y$241)&lt;=VAL_SERIAL)*1000000+22*1000+21))</f>
        <v/>
      </c>
      <c r="EZ33" s="121">
        <f>IF(N('Dvd Calendar'!$Z$242)=0,"",IF(('Dvd Calendar'!$Z$242&gt;=GRID_FROM)*('Dvd Calendar'!$Z$242&lt;=GRID_TO)*((('Dvd Calendar'!$Z$242&lt;=VAL_DATE)+(COUNTIF('Dvd Calendar'!$E$249:$AR$249,'Dvd Calendar'!$Z$242)=0))&gt;0)=0,"",'Dvd Calendar'!$Z$242*1000000000+ISNUMBER('Dvd Calendar'!$Z$245)*100000000+('Dvd Calendar'!$Z$247=SPECIAL_LBL)*10000000+(N('Dvd Calendar'!$Z$241)&gt;0)*(N('Dvd Calendar'!$Z$241)&lt;=VAL_SERIAL)*1000000+22*1000+22))</f>
        <v/>
      </c>
      <c r="FA33" s="121">
        <f>IF(N('Dvd Calendar'!$AA$242)=0,"",IF(('Dvd Calendar'!$AA$242&gt;=GRID_FROM)*('Dvd Calendar'!$AA$242&lt;=GRID_TO)*((('Dvd Calendar'!$AA$242&lt;=VAL_DATE)+(COUNTIF('Dvd Calendar'!$E$249:$AR$249,'Dvd Calendar'!$AA$242)=0))&gt;0)=0,"",'Dvd Calendar'!$AA$242*1000000000+ISNUMBER('Dvd Calendar'!$AA$245)*100000000+('Dvd Calendar'!$AA$247=SPECIAL_LBL)*10000000+(N('Dvd Calendar'!$AA$241)&gt;0)*(N('Dvd Calendar'!$AA$241)&lt;=VAL_SERIAL)*1000000+22*1000+23))</f>
        <v/>
      </c>
      <c r="FB33" s="121">
        <f>IF(N('Dvd Calendar'!$AB$242)=0,"",IF(('Dvd Calendar'!$AB$242&gt;=GRID_FROM)*('Dvd Calendar'!$AB$242&lt;=GRID_TO)*((('Dvd Calendar'!$AB$242&lt;=VAL_DATE)+(COUNTIF('Dvd Calendar'!$E$249:$AR$249,'Dvd Calendar'!$AB$242)=0))&gt;0)=0,"",'Dvd Calendar'!$AB$242*1000000000+ISNUMBER('Dvd Calendar'!$AB$245)*100000000+('Dvd Calendar'!$AB$247=SPECIAL_LBL)*10000000+(N('Dvd Calendar'!$AB$241)&gt;0)*(N('Dvd Calendar'!$AB$241)&lt;=VAL_SERIAL)*1000000+22*1000+24))</f>
        <v/>
      </c>
      <c r="FC33" s="121">
        <f>IF(N('Dvd Calendar'!$AC$242)=0,"",IF(('Dvd Calendar'!$AC$242&gt;=GRID_FROM)*('Dvd Calendar'!$AC$242&lt;=GRID_TO)*((('Dvd Calendar'!$AC$242&lt;=VAL_DATE)+(COUNTIF('Dvd Calendar'!$E$249:$AR$249,'Dvd Calendar'!$AC$242)=0))&gt;0)=0,"",'Dvd Calendar'!$AC$242*1000000000+ISNUMBER('Dvd Calendar'!$AC$245)*100000000+('Dvd Calendar'!$AC$247=SPECIAL_LBL)*10000000+(N('Dvd Calendar'!$AC$241)&gt;0)*(N('Dvd Calendar'!$AC$241)&lt;=VAL_SERIAL)*1000000+22*1000+25))</f>
        <v/>
      </c>
      <c r="FD33" s="121">
        <f>IF(N('Dvd Calendar'!$AD$242)=0,"",IF(('Dvd Calendar'!$AD$242&gt;=GRID_FROM)*('Dvd Calendar'!$AD$242&lt;=GRID_TO)*((('Dvd Calendar'!$AD$242&lt;=VAL_DATE)+(COUNTIF('Dvd Calendar'!$E$249:$AR$249,'Dvd Calendar'!$AD$242)=0))&gt;0)=0,"",'Dvd Calendar'!$AD$242*1000000000+ISNUMBER('Dvd Calendar'!$AD$245)*100000000+('Dvd Calendar'!$AD$247=SPECIAL_LBL)*10000000+(N('Dvd Calendar'!$AD$241)&gt;0)*(N('Dvd Calendar'!$AD$241)&lt;=VAL_SERIAL)*1000000+22*1000+26))</f>
        <v/>
      </c>
      <c r="FE33" s="121">
        <f>IF(N('Dvd Calendar'!$AE$242)=0,"",IF(('Dvd Calendar'!$AE$242&gt;=GRID_FROM)*('Dvd Calendar'!$AE$242&lt;=GRID_TO)*((('Dvd Calendar'!$AE$242&lt;=VAL_DATE)+(COUNTIF('Dvd Calendar'!$E$249:$AR$249,'Dvd Calendar'!$AE$242)=0))&gt;0)=0,"",'Dvd Calendar'!$AE$242*1000000000+ISNUMBER('Dvd Calendar'!$AE$245)*100000000+('Dvd Calendar'!$AE$247=SPECIAL_LBL)*10000000+(N('Dvd Calendar'!$AE$241)&gt;0)*(N('Dvd Calendar'!$AE$241)&lt;=VAL_SERIAL)*1000000+22*1000+27))</f>
        <v/>
      </c>
      <c r="FF33" s="121">
        <f>IF(N('Dvd Calendar'!$AF$242)=0,"",IF(('Dvd Calendar'!$AF$242&gt;=GRID_FROM)*('Dvd Calendar'!$AF$242&lt;=GRID_TO)*((('Dvd Calendar'!$AF$242&lt;=VAL_DATE)+(COUNTIF('Dvd Calendar'!$E$249:$AR$249,'Dvd Calendar'!$AF$242)=0))&gt;0)=0,"",'Dvd Calendar'!$AF$242*1000000000+ISNUMBER('Dvd Calendar'!$AF$245)*100000000+('Dvd Calendar'!$AF$247=SPECIAL_LBL)*10000000+(N('Dvd Calendar'!$AF$241)&gt;0)*(N('Dvd Calendar'!$AF$241)&lt;=VAL_SERIAL)*1000000+22*1000+28))</f>
        <v/>
      </c>
      <c r="FG33" s="121">
        <f>IF(N('Dvd Calendar'!$AG$242)=0,"",IF(('Dvd Calendar'!$AG$242&gt;=GRID_FROM)*('Dvd Calendar'!$AG$242&lt;=GRID_TO)*((('Dvd Calendar'!$AG$242&lt;=VAL_DATE)+(COUNTIF('Dvd Calendar'!$E$249:$AR$249,'Dvd Calendar'!$AG$242)=0))&gt;0)=0,"",'Dvd Calendar'!$AG$242*1000000000+ISNUMBER('Dvd Calendar'!$AG$245)*100000000+('Dvd Calendar'!$AG$247=SPECIAL_LBL)*10000000+(N('Dvd Calendar'!$AG$241)&gt;0)*(N('Dvd Calendar'!$AG$241)&lt;=VAL_SERIAL)*1000000+22*1000+29))</f>
        <v/>
      </c>
      <c r="FH33" s="121">
        <f>IF(N('Dvd Calendar'!$AH$242)=0,"",IF(('Dvd Calendar'!$AH$242&gt;=GRID_FROM)*('Dvd Calendar'!$AH$242&lt;=GRID_TO)*((('Dvd Calendar'!$AH$242&lt;=VAL_DATE)+(COUNTIF('Dvd Calendar'!$E$249:$AR$249,'Dvd Calendar'!$AH$242)=0))&gt;0)=0,"",'Dvd Calendar'!$AH$242*1000000000+ISNUMBER('Dvd Calendar'!$AH$245)*100000000+('Dvd Calendar'!$AH$247=SPECIAL_LBL)*10000000+(N('Dvd Calendar'!$AH$241)&gt;0)*(N('Dvd Calendar'!$AH$241)&lt;=VAL_SERIAL)*1000000+22*1000+30))</f>
        <v/>
      </c>
      <c r="FI33" s="121">
        <f>IF(N('Dvd Calendar'!$AI$242)=0,"",IF(('Dvd Calendar'!$AI$242&gt;=GRID_FROM)*('Dvd Calendar'!$AI$242&lt;=GRID_TO)*((('Dvd Calendar'!$AI$242&lt;=VAL_DATE)+(COUNTIF('Dvd Calendar'!$E$249:$AR$249,'Dvd Calendar'!$AI$242)=0))&gt;0)=0,"",'Dvd Calendar'!$AI$242*1000000000+ISNUMBER('Dvd Calendar'!$AI$245)*100000000+('Dvd Calendar'!$AI$247=SPECIAL_LBL)*10000000+(N('Dvd Calendar'!$AI$241)&gt;0)*(N('Dvd Calendar'!$AI$241)&lt;=VAL_SERIAL)*1000000+22*1000+31))</f>
        <v/>
      </c>
      <c r="FJ33" s="121">
        <f>IF(N('Dvd Calendar'!$AJ$242)=0,"",IF(('Dvd Calendar'!$AJ$242&gt;=GRID_FROM)*('Dvd Calendar'!$AJ$242&lt;=GRID_TO)*((('Dvd Calendar'!$AJ$242&lt;=VAL_DATE)+(COUNTIF('Dvd Calendar'!$E$249:$AR$249,'Dvd Calendar'!$AJ$242)=0))&gt;0)=0,"",'Dvd Calendar'!$AJ$242*1000000000+ISNUMBER('Dvd Calendar'!$AJ$245)*100000000+('Dvd Calendar'!$AJ$247=SPECIAL_LBL)*10000000+(N('Dvd Calendar'!$AJ$241)&gt;0)*(N('Dvd Calendar'!$AJ$241)&lt;=VAL_SERIAL)*1000000+22*1000+32))</f>
        <v/>
      </c>
      <c r="FK33" s="121">
        <f>IF(N('Dvd Calendar'!$AK$242)=0,"",IF(('Dvd Calendar'!$AK$242&gt;=GRID_FROM)*('Dvd Calendar'!$AK$242&lt;=GRID_TO)*((('Dvd Calendar'!$AK$242&lt;=VAL_DATE)+(COUNTIF('Dvd Calendar'!$E$249:$AR$249,'Dvd Calendar'!$AK$242)=0))&gt;0)=0,"",'Dvd Calendar'!$AK$242*1000000000+ISNUMBER('Dvd Calendar'!$AK$245)*100000000+('Dvd Calendar'!$AK$247=SPECIAL_LBL)*10000000+(N('Dvd Calendar'!$AK$241)&gt;0)*(N('Dvd Calendar'!$AK$241)&lt;=VAL_SERIAL)*1000000+22*1000+33))</f>
        <v/>
      </c>
      <c r="FL33" s="121">
        <f>IF(N('Dvd Calendar'!$AL$242)=0,"",IF(('Dvd Calendar'!$AL$242&gt;=GRID_FROM)*('Dvd Calendar'!$AL$242&lt;=GRID_TO)*((('Dvd Calendar'!$AL$242&lt;=VAL_DATE)+(COUNTIF('Dvd Calendar'!$E$249:$AR$249,'Dvd Calendar'!$AL$242)=0))&gt;0)=0,"",'Dvd Calendar'!$AL$242*1000000000+ISNUMBER('Dvd Calendar'!$AL$245)*100000000+('Dvd Calendar'!$AL$247=SPECIAL_LBL)*10000000+(N('Dvd Calendar'!$AL$241)&gt;0)*(N('Dvd Calendar'!$AL$241)&lt;=VAL_SERIAL)*1000000+22*1000+34))</f>
        <v/>
      </c>
      <c r="FM33" s="121">
        <f>IF(N('Dvd Calendar'!$AM$242)=0,"",IF(('Dvd Calendar'!$AM$242&gt;=GRID_FROM)*('Dvd Calendar'!$AM$242&lt;=GRID_TO)*((('Dvd Calendar'!$AM$242&lt;=VAL_DATE)+(COUNTIF('Dvd Calendar'!$E$249:$AR$249,'Dvd Calendar'!$AM$242)=0))&gt;0)=0,"",'Dvd Calendar'!$AM$242*1000000000+ISNUMBER('Dvd Calendar'!$AM$245)*100000000+('Dvd Calendar'!$AM$247=SPECIAL_LBL)*10000000+(N('Dvd Calendar'!$AM$241)&gt;0)*(N('Dvd Calendar'!$AM$241)&lt;=VAL_SERIAL)*1000000+22*1000+35))</f>
        <v/>
      </c>
      <c r="FN33" s="121">
        <f>IF(N('Dvd Calendar'!$AN$242)=0,"",IF(('Dvd Calendar'!$AN$242&gt;=GRID_FROM)*('Dvd Calendar'!$AN$242&lt;=GRID_TO)*((('Dvd Calendar'!$AN$242&lt;=VAL_DATE)+(COUNTIF('Dvd Calendar'!$E$249:$AR$249,'Dvd Calendar'!$AN$242)=0))&gt;0)=0,"",'Dvd Calendar'!$AN$242*1000000000+ISNUMBER('Dvd Calendar'!$AN$245)*100000000+('Dvd Calendar'!$AN$247=SPECIAL_LBL)*10000000+(N('Dvd Calendar'!$AN$241)&gt;0)*(N('Dvd Calendar'!$AN$241)&lt;=VAL_SERIAL)*1000000+22*1000+36))</f>
        <v/>
      </c>
      <c r="FO33" s="121">
        <f>IF(N('Dvd Calendar'!$AO$242)=0,"",IF(('Dvd Calendar'!$AO$242&gt;=GRID_FROM)*('Dvd Calendar'!$AO$242&lt;=GRID_TO)*((('Dvd Calendar'!$AO$242&lt;=VAL_DATE)+(COUNTIF('Dvd Calendar'!$E$249:$AR$249,'Dvd Calendar'!$AO$242)=0))&gt;0)=0,"",'Dvd Calendar'!$AO$242*1000000000+ISNUMBER('Dvd Calendar'!$AO$245)*100000000+('Dvd Calendar'!$AO$247=SPECIAL_LBL)*10000000+(N('Dvd Calendar'!$AO$241)&gt;0)*(N('Dvd Calendar'!$AO$241)&lt;=VAL_SERIAL)*1000000+22*1000+37))</f>
        <v/>
      </c>
      <c r="FP33" s="121">
        <f>IF(N('Dvd Calendar'!$AP$242)=0,"",IF(('Dvd Calendar'!$AP$242&gt;=GRID_FROM)*('Dvd Calendar'!$AP$242&lt;=GRID_TO)*((('Dvd Calendar'!$AP$242&lt;=VAL_DATE)+(COUNTIF('Dvd Calendar'!$E$249:$AR$249,'Dvd Calendar'!$AP$242)=0))&gt;0)=0,"",'Dvd Calendar'!$AP$242*1000000000+ISNUMBER('Dvd Calendar'!$AP$245)*100000000+('Dvd Calendar'!$AP$247=SPECIAL_LBL)*10000000+(N('Dvd Calendar'!$AP$241)&gt;0)*(N('Dvd Calendar'!$AP$241)&lt;=VAL_SERIAL)*1000000+22*1000+38))</f>
        <v/>
      </c>
      <c r="FQ33" s="121">
        <f>IF(N('Dvd Calendar'!$AQ$242)=0,"",IF(('Dvd Calendar'!$AQ$242&gt;=GRID_FROM)*('Dvd Calendar'!$AQ$242&lt;=GRID_TO)*((('Dvd Calendar'!$AQ$242&lt;=VAL_DATE)+(COUNTIF('Dvd Calendar'!$E$249:$AR$249,'Dvd Calendar'!$AQ$242)=0))&gt;0)=0,"",'Dvd Calendar'!$AQ$242*1000000000+ISNUMBER('Dvd Calendar'!$AQ$245)*100000000+('Dvd Calendar'!$AQ$247=SPECIAL_LBL)*10000000+(N('Dvd Calendar'!$AQ$241)&gt;0)*(N('Dvd Calendar'!$AQ$241)&lt;=VAL_SERIAL)*1000000+22*1000+39))</f>
        <v/>
      </c>
      <c r="FR33" s="121">
        <f>IF(N('Dvd Calendar'!$AR$242)=0,"",IF(('Dvd Calendar'!$AR$242&gt;=GRID_FROM)*('Dvd Calendar'!$AR$242&lt;=GRID_TO)*((('Dvd Calendar'!$AR$242&lt;=VAL_DATE)+(COUNTIF('Dvd Calendar'!$E$249:$AR$249,'Dvd Calendar'!$AR$242)=0))&gt;0)=0,"",'Dvd Calendar'!$AR$242*1000000000+ISNUMBER('Dvd Calendar'!$AR$245)*100000000+('Dvd Calendar'!$AR$247=SPECIAL_LBL)*10000000+(N('Dvd Calendar'!$AR$241)&gt;0)*(N('Dvd Calendar'!$AR$241)&lt;=VAL_SERIAL)*1000000+22*1000+40))</f>
        <v/>
      </c>
      <c r="FS33" s="121">
        <f>IF(N('Dvd Calendar'!$E$249)=0,"",IF(('Dvd Calendar'!$E$249&gt;=GRID_FROM)*('Dvd Calendar'!$E$249&lt;=GRID_TO)*('Dvd Calendar'!$E$249&gt;VAL_DATE)=0,"",'Dvd Calendar'!$E$249*1000000000+ISNUMBER('Dvd Calendar'!$E$250)*100000000+0*10000000+(N('Dvd Calendar'!$E$248)&gt;0)*(N('Dvd Calendar'!$E$248)&lt;=VAL_SERIAL)*1000000+22*1000+41))</f>
        <v/>
      </c>
      <c r="FT33" s="121">
        <f>IF(N('Dvd Calendar'!$F$249)=0,"",IF(('Dvd Calendar'!$F$249&gt;=GRID_FROM)*('Dvd Calendar'!$F$249&lt;=GRID_TO)*('Dvd Calendar'!$F$249&gt;VAL_DATE)=0,"",'Dvd Calendar'!$F$249*1000000000+ISNUMBER('Dvd Calendar'!$F$250)*100000000+0*10000000+(N('Dvd Calendar'!$F$248)&gt;0)*(N('Dvd Calendar'!$F$248)&lt;=VAL_SERIAL)*1000000+22*1000+42))</f>
        <v/>
      </c>
      <c r="FU33" s="121">
        <f>IF(N('Dvd Calendar'!$G$249)=0,"",IF(('Dvd Calendar'!$G$249&gt;=GRID_FROM)*('Dvd Calendar'!$G$249&lt;=GRID_TO)*('Dvd Calendar'!$G$249&gt;VAL_DATE)=0,"",'Dvd Calendar'!$G$249*1000000000+ISNUMBER('Dvd Calendar'!$G$250)*100000000+0*10000000+(N('Dvd Calendar'!$G$248)&gt;0)*(N('Dvd Calendar'!$G$248)&lt;=VAL_SERIAL)*1000000+22*1000+43))</f>
        <v/>
      </c>
      <c r="FV33" s="121">
        <f>IF(N('Dvd Calendar'!$H$249)=0,"",IF(('Dvd Calendar'!$H$249&gt;=GRID_FROM)*('Dvd Calendar'!$H$249&lt;=GRID_TO)*('Dvd Calendar'!$H$249&gt;VAL_DATE)=0,"",'Dvd Calendar'!$H$249*1000000000+ISNUMBER('Dvd Calendar'!$H$250)*100000000+0*10000000+(N('Dvd Calendar'!$H$248)&gt;0)*(N('Dvd Calendar'!$H$248)&lt;=VAL_SERIAL)*1000000+22*1000+44))</f>
        <v/>
      </c>
      <c r="FW33" s="121">
        <f>IF(N('Dvd Calendar'!$I$249)=0,"",IF(('Dvd Calendar'!$I$249&gt;=GRID_FROM)*('Dvd Calendar'!$I$249&lt;=GRID_TO)*('Dvd Calendar'!$I$249&gt;VAL_DATE)=0,"",'Dvd Calendar'!$I$249*1000000000+ISNUMBER('Dvd Calendar'!$I$250)*100000000+0*10000000+(N('Dvd Calendar'!$I$248)&gt;0)*(N('Dvd Calendar'!$I$248)&lt;=VAL_SERIAL)*1000000+22*1000+45))</f>
        <v/>
      </c>
      <c r="FX33" s="121">
        <f>IF(N('Dvd Calendar'!$J$249)=0,"",IF(('Dvd Calendar'!$J$249&gt;=GRID_FROM)*('Dvd Calendar'!$J$249&lt;=GRID_TO)*('Dvd Calendar'!$J$249&gt;VAL_DATE)=0,"",'Dvd Calendar'!$J$249*1000000000+ISNUMBER('Dvd Calendar'!$J$250)*100000000+0*10000000+(N('Dvd Calendar'!$J$248)&gt;0)*(N('Dvd Calendar'!$J$248)&lt;=VAL_SERIAL)*1000000+22*1000+46))</f>
        <v/>
      </c>
      <c r="FY33" s="121">
        <f>IF(N('Dvd Calendar'!$K$249)=0,"",IF(('Dvd Calendar'!$K$249&gt;=GRID_FROM)*('Dvd Calendar'!$K$249&lt;=GRID_TO)*('Dvd Calendar'!$K$249&gt;VAL_DATE)=0,"",'Dvd Calendar'!$K$249*1000000000+ISNUMBER('Dvd Calendar'!$K$250)*100000000+0*10000000+(N('Dvd Calendar'!$K$248)&gt;0)*(N('Dvd Calendar'!$K$248)&lt;=VAL_SERIAL)*1000000+22*1000+47))</f>
        <v/>
      </c>
      <c r="FZ33" s="121">
        <f>IF(N('Dvd Calendar'!$L$249)=0,"",IF(('Dvd Calendar'!$L$249&gt;=GRID_FROM)*('Dvd Calendar'!$L$249&lt;=GRID_TO)*('Dvd Calendar'!$L$249&gt;VAL_DATE)=0,"",'Dvd Calendar'!$L$249*1000000000+ISNUMBER('Dvd Calendar'!$L$250)*100000000+0*10000000+(N('Dvd Calendar'!$L$248)&gt;0)*(N('Dvd Calendar'!$L$248)&lt;=VAL_SERIAL)*1000000+22*1000+48))</f>
        <v/>
      </c>
      <c r="GA33" s="121">
        <f>IF(N('Dvd Calendar'!$M$249)=0,"",IF(('Dvd Calendar'!$M$249&gt;=GRID_FROM)*('Dvd Calendar'!$M$249&lt;=GRID_TO)*('Dvd Calendar'!$M$249&gt;VAL_DATE)=0,"",'Dvd Calendar'!$M$249*1000000000+ISNUMBER('Dvd Calendar'!$M$250)*100000000+0*10000000+(N('Dvd Calendar'!$M$248)&gt;0)*(N('Dvd Calendar'!$M$248)&lt;=VAL_SERIAL)*1000000+22*1000+49))</f>
        <v/>
      </c>
      <c r="GB33" s="121">
        <f>IF(N('Dvd Calendar'!$N$249)=0,"",IF(('Dvd Calendar'!$N$249&gt;=GRID_FROM)*('Dvd Calendar'!$N$249&lt;=GRID_TO)*('Dvd Calendar'!$N$249&gt;VAL_DATE)=0,"",'Dvd Calendar'!$N$249*1000000000+ISNUMBER('Dvd Calendar'!$N$250)*100000000+0*10000000+(N('Dvd Calendar'!$N$248)&gt;0)*(N('Dvd Calendar'!$N$248)&lt;=VAL_SERIAL)*1000000+22*1000+50))</f>
        <v/>
      </c>
      <c r="GC33" s="121">
        <f>IF(N('Dvd Calendar'!$O$249)=0,"",IF(('Dvd Calendar'!$O$249&gt;=GRID_FROM)*('Dvd Calendar'!$O$249&lt;=GRID_TO)*('Dvd Calendar'!$O$249&gt;VAL_DATE)=0,"",'Dvd Calendar'!$O$249*1000000000+ISNUMBER('Dvd Calendar'!$O$250)*100000000+0*10000000+(N('Dvd Calendar'!$O$248)&gt;0)*(N('Dvd Calendar'!$O$248)&lt;=VAL_SERIAL)*1000000+22*1000+51))</f>
        <v/>
      </c>
      <c r="GD33" s="121">
        <f>IF(N('Dvd Calendar'!$P$249)=0,"",IF(('Dvd Calendar'!$P$249&gt;=GRID_FROM)*('Dvd Calendar'!$P$249&lt;=GRID_TO)*('Dvd Calendar'!$P$249&gt;VAL_DATE)=0,"",'Dvd Calendar'!$P$249*1000000000+ISNUMBER('Dvd Calendar'!$P$250)*100000000+0*10000000+(N('Dvd Calendar'!$P$248)&gt;0)*(N('Dvd Calendar'!$P$248)&lt;=VAL_SERIAL)*1000000+22*1000+52))</f>
        <v/>
      </c>
      <c r="GE33" s="121">
        <f>IF(N('Dvd Calendar'!$Q$249)=0,"",IF(('Dvd Calendar'!$Q$249&gt;=GRID_FROM)*('Dvd Calendar'!$Q$249&lt;=GRID_TO)*('Dvd Calendar'!$Q$249&gt;VAL_DATE)=0,"",'Dvd Calendar'!$Q$249*1000000000+ISNUMBER('Dvd Calendar'!$Q$250)*100000000+0*10000000+(N('Dvd Calendar'!$Q$248)&gt;0)*(N('Dvd Calendar'!$Q$248)&lt;=VAL_SERIAL)*1000000+22*1000+53))</f>
        <v/>
      </c>
      <c r="GF33" s="121">
        <f>IF(N('Dvd Calendar'!$R$249)=0,"",IF(('Dvd Calendar'!$R$249&gt;=GRID_FROM)*('Dvd Calendar'!$R$249&lt;=GRID_TO)*('Dvd Calendar'!$R$249&gt;VAL_DATE)=0,"",'Dvd Calendar'!$R$249*1000000000+ISNUMBER('Dvd Calendar'!$R$250)*100000000+0*10000000+(N('Dvd Calendar'!$R$248)&gt;0)*(N('Dvd Calendar'!$R$248)&lt;=VAL_SERIAL)*1000000+22*1000+54))</f>
        <v/>
      </c>
      <c r="GG33" s="121">
        <f>IF(N('Dvd Calendar'!$S$249)=0,"",IF(('Dvd Calendar'!$S$249&gt;=GRID_FROM)*('Dvd Calendar'!$S$249&lt;=GRID_TO)*('Dvd Calendar'!$S$249&gt;VAL_DATE)=0,"",'Dvd Calendar'!$S$249*1000000000+ISNUMBER('Dvd Calendar'!$S$250)*100000000+0*10000000+(N('Dvd Calendar'!$S$248)&gt;0)*(N('Dvd Calendar'!$S$248)&lt;=VAL_SERIAL)*1000000+22*1000+55))</f>
        <v/>
      </c>
      <c r="GH33" s="121">
        <f>IF(N('Dvd Calendar'!$T$249)=0,"",IF(('Dvd Calendar'!$T$249&gt;=GRID_FROM)*('Dvd Calendar'!$T$249&lt;=GRID_TO)*('Dvd Calendar'!$T$249&gt;VAL_DATE)=0,"",'Dvd Calendar'!$T$249*1000000000+ISNUMBER('Dvd Calendar'!$T$250)*100000000+0*10000000+(N('Dvd Calendar'!$T$248)&gt;0)*(N('Dvd Calendar'!$T$248)&lt;=VAL_SERIAL)*1000000+22*1000+56))</f>
        <v/>
      </c>
      <c r="GI33" s="121">
        <f>IF(N('Dvd Calendar'!$U$249)=0,"",IF(('Dvd Calendar'!$U$249&gt;=GRID_FROM)*('Dvd Calendar'!$U$249&lt;=GRID_TO)*('Dvd Calendar'!$U$249&gt;VAL_DATE)=0,"",'Dvd Calendar'!$U$249*1000000000+ISNUMBER('Dvd Calendar'!$U$250)*100000000+0*10000000+(N('Dvd Calendar'!$U$248)&gt;0)*(N('Dvd Calendar'!$U$248)&lt;=VAL_SERIAL)*1000000+22*1000+57))</f>
        <v/>
      </c>
      <c r="GJ33" s="121">
        <f>IF(N('Dvd Calendar'!$V$249)=0,"",IF(('Dvd Calendar'!$V$249&gt;=GRID_FROM)*('Dvd Calendar'!$V$249&lt;=GRID_TO)*('Dvd Calendar'!$V$249&gt;VAL_DATE)=0,"",'Dvd Calendar'!$V$249*1000000000+ISNUMBER('Dvd Calendar'!$V$250)*100000000+0*10000000+(N('Dvd Calendar'!$V$248)&gt;0)*(N('Dvd Calendar'!$V$248)&lt;=VAL_SERIAL)*1000000+22*1000+58))</f>
        <v/>
      </c>
      <c r="GK33" s="121">
        <f>IF(N('Dvd Calendar'!$W$249)=0,"",IF(('Dvd Calendar'!$W$249&gt;=GRID_FROM)*('Dvd Calendar'!$W$249&lt;=GRID_TO)*('Dvd Calendar'!$W$249&gt;VAL_DATE)=0,"",'Dvd Calendar'!$W$249*1000000000+ISNUMBER('Dvd Calendar'!$W$250)*100000000+0*10000000+(N('Dvd Calendar'!$W$248)&gt;0)*(N('Dvd Calendar'!$W$248)&lt;=VAL_SERIAL)*1000000+22*1000+59))</f>
        <v/>
      </c>
      <c r="GL33" s="121">
        <f>IF(N('Dvd Calendar'!$X$249)=0,"",IF(('Dvd Calendar'!$X$249&gt;=GRID_FROM)*('Dvd Calendar'!$X$249&lt;=GRID_TO)*('Dvd Calendar'!$X$249&gt;VAL_DATE)=0,"",'Dvd Calendar'!$X$249*1000000000+ISNUMBER('Dvd Calendar'!$X$250)*100000000+0*10000000+(N('Dvd Calendar'!$X$248)&gt;0)*(N('Dvd Calendar'!$X$248)&lt;=VAL_SERIAL)*1000000+22*1000+60))</f>
        <v/>
      </c>
      <c r="GM33" s="121">
        <f>IF(N('Dvd Calendar'!$Y$249)=0,"",IF(('Dvd Calendar'!$Y$249&gt;=GRID_FROM)*('Dvd Calendar'!$Y$249&lt;=GRID_TO)*('Dvd Calendar'!$Y$249&gt;VAL_DATE)=0,"",'Dvd Calendar'!$Y$249*1000000000+ISNUMBER('Dvd Calendar'!$Y$250)*100000000+0*10000000+(N('Dvd Calendar'!$Y$248)&gt;0)*(N('Dvd Calendar'!$Y$248)&lt;=VAL_SERIAL)*1000000+22*1000+61))</f>
        <v/>
      </c>
      <c r="GN33" s="121">
        <f>IF(N('Dvd Calendar'!$Z$249)=0,"",IF(('Dvd Calendar'!$Z$249&gt;=GRID_FROM)*('Dvd Calendar'!$Z$249&lt;=GRID_TO)*('Dvd Calendar'!$Z$249&gt;VAL_DATE)=0,"",'Dvd Calendar'!$Z$249*1000000000+ISNUMBER('Dvd Calendar'!$Z$250)*100000000+0*10000000+(N('Dvd Calendar'!$Z$248)&gt;0)*(N('Dvd Calendar'!$Z$248)&lt;=VAL_SERIAL)*1000000+22*1000+62))</f>
        <v/>
      </c>
      <c r="GO33" s="121">
        <f>IF(N('Dvd Calendar'!$AA$249)=0,"",IF(('Dvd Calendar'!$AA$249&gt;=GRID_FROM)*('Dvd Calendar'!$AA$249&lt;=GRID_TO)*('Dvd Calendar'!$AA$249&gt;VAL_DATE)=0,"",'Dvd Calendar'!$AA$249*1000000000+ISNUMBER('Dvd Calendar'!$AA$250)*100000000+0*10000000+(N('Dvd Calendar'!$AA$248)&gt;0)*(N('Dvd Calendar'!$AA$248)&lt;=VAL_SERIAL)*1000000+22*1000+63))</f>
        <v/>
      </c>
      <c r="GP33" s="121">
        <f>IF(N('Dvd Calendar'!$AB$249)=0,"",IF(('Dvd Calendar'!$AB$249&gt;=GRID_FROM)*('Dvd Calendar'!$AB$249&lt;=GRID_TO)*('Dvd Calendar'!$AB$249&gt;VAL_DATE)=0,"",'Dvd Calendar'!$AB$249*1000000000+ISNUMBER('Dvd Calendar'!$AB$250)*100000000+0*10000000+(N('Dvd Calendar'!$AB$248)&gt;0)*(N('Dvd Calendar'!$AB$248)&lt;=VAL_SERIAL)*1000000+22*1000+64))</f>
        <v/>
      </c>
      <c r="GQ33" s="121">
        <f>IF(N('Dvd Calendar'!$AC$249)=0,"",IF(('Dvd Calendar'!$AC$249&gt;=GRID_FROM)*('Dvd Calendar'!$AC$249&lt;=GRID_TO)*('Dvd Calendar'!$AC$249&gt;VAL_DATE)=0,"",'Dvd Calendar'!$AC$249*1000000000+ISNUMBER('Dvd Calendar'!$AC$250)*100000000+0*10000000+(N('Dvd Calendar'!$AC$248)&gt;0)*(N('Dvd Calendar'!$AC$248)&lt;=VAL_SERIAL)*1000000+22*1000+65))</f>
        <v/>
      </c>
    </row>
    <row r="34">
      <c r="B34" s="2">
        <f>IF(HSI!$C$29="","",HSI!$C$29)</f>
        <v/>
      </c>
      <c r="C34" s="161">
        <f>IF(EE34="","",IF(ISNUMBER('Dvd Calendar'!$E$256)=FALSE,"",IF((('Dvd Calendar'!$E$258=TYPE1)*(TYPE1&lt;&gt;"")+('Dvd Calendar'!$E$258=TYPE2)*(TYPE2&lt;&gt;"")+('Dvd Calendar'!$E$258=TYPE3)*(TYPE3&lt;&gt;"")+('Dvd Calendar'!$E$258=TYPE4)*(TYPE4&lt;&gt;"")+('Dvd Calendar'!$E$258=SPECIAL_LBL)*(INC_SPECIALS="Y"))=0,"",'Dvd Calendar'!$E$256)))</f>
        <v/>
      </c>
      <c r="D34" s="161">
        <f>IF(EF34="","",IF(ISNUMBER('Dvd Calendar'!$F$256)=FALSE,"",IF((('Dvd Calendar'!$F$258=TYPE1)*(TYPE1&lt;&gt;"")+('Dvd Calendar'!$F$258=TYPE2)*(TYPE2&lt;&gt;"")+('Dvd Calendar'!$F$258=TYPE3)*(TYPE3&lt;&gt;"")+('Dvd Calendar'!$F$258=TYPE4)*(TYPE4&lt;&gt;"")+('Dvd Calendar'!$F$258=SPECIAL_LBL)*(INC_SPECIALS="Y"))=0,"",'Dvd Calendar'!$F$256)))</f>
        <v/>
      </c>
      <c r="E34" s="161">
        <f>IF(EG34="","",IF(ISNUMBER('Dvd Calendar'!$G$256)=FALSE,"",IF((('Dvd Calendar'!$G$258=TYPE1)*(TYPE1&lt;&gt;"")+('Dvd Calendar'!$G$258=TYPE2)*(TYPE2&lt;&gt;"")+('Dvd Calendar'!$G$258=TYPE3)*(TYPE3&lt;&gt;"")+('Dvd Calendar'!$G$258=TYPE4)*(TYPE4&lt;&gt;"")+('Dvd Calendar'!$G$258=SPECIAL_LBL)*(INC_SPECIALS="Y"))=0,"",'Dvd Calendar'!$G$256)))</f>
        <v/>
      </c>
      <c r="F34" s="161">
        <f>IF(EH34="","",IF(ISNUMBER('Dvd Calendar'!$H$256)=FALSE,"",IF((('Dvd Calendar'!$H$258=TYPE1)*(TYPE1&lt;&gt;"")+('Dvd Calendar'!$H$258=TYPE2)*(TYPE2&lt;&gt;"")+('Dvd Calendar'!$H$258=TYPE3)*(TYPE3&lt;&gt;"")+('Dvd Calendar'!$H$258=TYPE4)*(TYPE4&lt;&gt;"")+('Dvd Calendar'!$H$258=SPECIAL_LBL)*(INC_SPECIALS="Y"))=0,"",'Dvd Calendar'!$H$256)))</f>
        <v/>
      </c>
      <c r="G34" s="161">
        <f>IF(EI34="","",IF(ISNUMBER('Dvd Calendar'!$I$256)=FALSE,"",IF((('Dvd Calendar'!$I$258=TYPE1)*(TYPE1&lt;&gt;"")+('Dvd Calendar'!$I$258=TYPE2)*(TYPE2&lt;&gt;"")+('Dvd Calendar'!$I$258=TYPE3)*(TYPE3&lt;&gt;"")+('Dvd Calendar'!$I$258=TYPE4)*(TYPE4&lt;&gt;"")+('Dvd Calendar'!$I$258=SPECIAL_LBL)*(INC_SPECIALS="Y"))=0,"",'Dvd Calendar'!$I$256)))</f>
        <v/>
      </c>
      <c r="H34" s="161">
        <f>IF(EJ34="","",IF(ISNUMBER('Dvd Calendar'!$J$256)=FALSE,"",IF((('Dvd Calendar'!$J$258=TYPE1)*(TYPE1&lt;&gt;"")+('Dvd Calendar'!$J$258=TYPE2)*(TYPE2&lt;&gt;"")+('Dvd Calendar'!$J$258=TYPE3)*(TYPE3&lt;&gt;"")+('Dvd Calendar'!$J$258=TYPE4)*(TYPE4&lt;&gt;"")+('Dvd Calendar'!$J$258=SPECIAL_LBL)*(INC_SPECIALS="Y"))=0,"",'Dvd Calendar'!$J$256)))</f>
        <v/>
      </c>
      <c r="I34" s="161">
        <f>IF(EK34="","",IF(ISNUMBER('Dvd Calendar'!$K$256)=FALSE,"",IF((('Dvd Calendar'!$K$258=TYPE1)*(TYPE1&lt;&gt;"")+('Dvd Calendar'!$K$258=TYPE2)*(TYPE2&lt;&gt;"")+('Dvd Calendar'!$K$258=TYPE3)*(TYPE3&lt;&gt;"")+('Dvd Calendar'!$K$258=TYPE4)*(TYPE4&lt;&gt;"")+('Dvd Calendar'!$K$258=SPECIAL_LBL)*(INC_SPECIALS="Y"))=0,"",'Dvd Calendar'!$K$256)))</f>
        <v/>
      </c>
      <c r="J34" s="161">
        <f>IF(EL34="","",IF(ISNUMBER('Dvd Calendar'!$L$256)=FALSE,"",IF((('Dvd Calendar'!$L$258=TYPE1)*(TYPE1&lt;&gt;"")+('Dvd Calendar'!$L$258=TYPE2)*(TYPE2&lt;&gt;"")+('Dvd Calendar'!$L$258=TYPE3)*(TYPE3&lt;&gt;"")+('Dvd Calendar'!$L$258=TYPE4)*(TYPE4&lt;&gt;"")+('Dvd Calendar'!$L$258=SPECIAL_LBL)*(INC_SPECIALS="Y"))=0,"",'Dvd Calendar'!$L$256)))</f>
        <v/>
      </c>
      <c r="K34" s="161">
        <f>IF(EM34="","",IF(ISNUMBER('Dvd Calendar'!$M$256)=FALSE,"",IF((('Dvd Calendar'!$M$258=TYPE1)*(TYPE1&lt;&gt;"")+('Dvd Calendar'!$M$258=TYPE2)*(TYPE2&lt;&gt;"")+('Dvd Calendar'!$M$258=TYPE3)*(TYPE3&lt;&gt;"")+('Dvd Calendar'!$M$258=TYPE4)*(TYPE4&lt;&gt;"")+('Dvd Calendar'!$M$258=SPECIAL_LBL)*(INC_SPECIALS="Y"))=0,"",'Dvd Calendar'!$M$256)))</f>
        <v/>
      </c>
      <c r="L34" s="161">
        <f>IF(EN34="","",IF(ISNUMBER('Dvd Calendar'!$N$256)=FALSE,"",IF((('Dvd Calendar'!$N$258=TYPE1)*(TYPE1&lt;&gt;"")+('Dvd Calendar'!$N$258=TYPE2)*(TYPE2&lt;&gt;"")+('Dvd Calendar'!$N$258=TYPE3)*(TYPE3&lt;&gt;"")+('Dvd Calendar'!$N$258=TYPE4)*(TYPE4&lt;&gt;"")+('Dvd Calendar'!$N$258=SPECIAL_LBL)*(INC_SPECIALS="Y"))=0,"",'Dvd Calendar'!$N$256)))</f>
        <v/>
      </c>
      <c r="M34" s="161">
        <f>IF(EO34="","",IF(ISNUMBER('Dvd Calendar'!$O$256)=FALSE,"",IF((('Dvd Calendar'!$O$258=TYPE1)*(TYPE1&lt;&gt;"")+('Dvd Calendar'!$O$258=TYPE2)*(TYPE2&lt;&gt;"")+('Dvd Calendar'!$O$258=TYPE3)*(TYPE3&lt;&gt;"")+('Dvd Calendar'!$O$258=TYPE4)*(TYPE4&lt;&gt;"")+('Dvd Calendar'!$O$258=SPECIAL_LBL)*(INC_SPECIALS="Y"))=0,"",'Dvd Calendar'!$O$256)))</f>
        <v/>
      </c>
      <c r="N34" s="161">
        <f>IF(EP34="","",IF(ISNUMBER('Dvd Calendar'!$P$256)=FALSE,"",IF((('Dvd Calendar'!$P$258=TYPE1)*(TYPE1&lt;&gt;"")+('Dvd Calendar'!$P$258=TYPE2)*(TYPE2&lt;&gt;"")+('Dvd Calendar'!$P$258=TYPE3)*(TYPE3&lt;&gt;"")+('Dvd Calendar'!$P$258=TYPE4)*(TYPE4&lt;&gt;"")+('Dvd Calendar'!$P$258=SPECIAL_LBL)*(INC_SPECIALS="Y"))=0,"",'Dvd Calendar'!$P$256)))</f>
        <v/>
      </c>
      <c r="O34" s="161">
        <f>IF(EQ34="","",IF(ISNUMBER('Dvd Calendar'!$Q$256)=FALSE,"",IF((('Dvd Calendar'!$Q$258=TYPE1)*(TYPE1&lt;&gt;"")+('Dvd Calendar'!$Q$258=TYPE2)*(TYPE2&lt;&gt;"")+('Dvd Calendar'!$Q$258=TYPE3)*(TYPE3&lt;&gt;"")+('Dvd Calendar'!$Q$258=TYPE4)*(TYPE4&lt;&gt;"")+('Dvd Calendar'!$Q$258=SPECIAL_LBL)*(INC_SPECIALS="Y"))=0,"",'Dvd Calendar'!$Q$256)))</f>
        <v/>
      </c>
      <c r="P34" s="161">
        <f>IF(ER34="","",IF(ISNUMBER('Dvd Calendar'!$R$256)=FALSE,"",IF((('Dvd Calendar'!$R$258=TYPE1)*(TYPE1&lt;&gt;"")+('Dvd Calendar'!$R$258=TYPE2)*(TYPE2&lt;&gt;"")+('Dvd Calendar'!$R$258=TYPE3)*(TYPE3&lt;&gt;"")+('Dvd Calendar'!$R$258=TYPE4)*(TYPE4&lt;&gt;"")+('Dvd Calendar'!$R$258=SPECIAL_LBL)*(INC_SPECIALS="Y"))=0,"",'Dvd Calendar'!$R$256)))</f>
        <v/>
      </c>
      <c r="Q34" s="161">
        <f>IF(ES34="","",IF(ISNUMBER('Dvd Calendar'!$S$256)=FALSE,"",IF((('Dvd Calendar'!$S$258=TYPE1)*(TYPE1&lt;&gt;"")+('Dvd Calendar'!$S$258=TYPE2)*(TYPE2&lt;&gt;"")+('Dvd Calendar'!$S$258=TYPE3)*(TYPE3&lt;&gt;"")+('Dvd Calendar'!$S$258=TYPE4)*(TYPE4&lt;&gt;"")+('Dvd Calendar'!$S$258=SPECIAL_LBL)*(INC_SPECIALS="Y"))=0,"",'Dvd Calendar'!$S$256)))</f>
        <v/>
      </c>
      <c r="R34" s="161">
        <f>IF(ET34="","",IF(ISNUMBER('Dvd Calendar'!$T$256)=FALSE,"",IF((('Dvd Calendar'!$T$258=TYPE1)*(TYPE1&lt;&gt;"")+('Dvd Calendar'!$T$258=TYPE2)*(TYPE2&lt;&gt;"")+('Dvd Calendar'!$T$258=TYPE3)*(TYPE3&lt;&gt;"")+('Dvd Calendar'!$T$258=TYPE4)*(TYPE4&lt;&gt;"")+('Dvd Calendar'!$T$258=SPECIAL_LBL)*(INC_SPECIALS="Y"))=0,"",'Dvd Calendar'!$T$256)))</f>
        <v/>
      </c>
      <c r="S34" s="161">
        <f>IF(EU34="","",IF(ISNUMBER('Dvd Calendar'!$U$256)=FALSE,"",IF((('Dvd Calendar'!$U$258=TYPE1)*(TYPE1&lt;&gt;"")+('Dvd Calendar'!$U$258=TYPE2)*(TYPE2&lt;&gt;"")+('Dvd Calendar'!$U$258=TYPE3)*(TYPE3&lt;&gt;"")+('Dvd Calendar'!$U$258=TYPE4)*(TYPE4&lt;&gt;"")+('Dvd Calendar'!$U$258=SPECIAL_LBL)*(INC_SPECIALS="Y"))=0,"",'Dvd Calendar'!$U$256)))</f>
        <v/>
      </c>
      <c r="T34" s="161">
        <f>IF(EV34="","",IF(ISNUMBER('Dvd Calendar'!$V$256)=FALSE,"",IF((('Dvd Calendar'!$V$258=TYPE1)*(TYPE1&lt;&gt;"")+('Dvd Calendar'!$V$258=TYPE2)*(TYPE2&lt;&gt;"")+('Dvd Calendar'!$V$258=TYPE3)*(TYPE3&lt;&gt;"")+('Dvd Calendar'!$V$258=TYPE4)*(TYPE4&lt;&gt;"")+('Dvd Calendar'!$V$258=SPECIAL_LBL)*(INC_SPECIALS="Y"))=0,"",'Dvd Calendar'!$V$256)))</f>
        <v/>
      </c>
      <c r="U34" s="161">
        <f>IF(EW34="","",IF(ISNUMBER('Dvd Calendar'!$W$256)=FALSE,"",IF((('Dvd Calendar'!$W$258=TYPE1)*(TYPE1&lt;&gt;"")+('Dvd Calendar'!$W$258=TYPE2)*(TYPE2&lt;&gt;"")+('Dvd Calendar'!$W$258=TYPE3)*(TYPE3&lt;&gt;"")+('Dvd Calendar'!$W$258=TYPE4)*(TYPE4&lt;&gt;"")+('Dvd Calendar'!$W$258=SPECIAL_LBL)*(INC_SPECIALS="Y"))=0,"",'Dvd Calendar'!$W$256)))</f>
        <v/>
      </c>
      <c r="V34" s="161">
        <f>IF(EX34="","",IF(ISNUMBER('Dvd Calendar'!$X$256)=FALSE,"",IF((('Dvd Calendar'!$X$258=TYPE1)*(TYPE1&lt;&gt;"")+('Dvd Calendar'!$X$258=TYPE2)*(TYPE2&lt;&gt;"")+('Dvd Calendar'!$X$258=TYPE3)*(TYPE3&lt;&gt;"")+('Dvd Calendar'!$X$258=TYPE4)*(TYPE4&lt;&gt;"")+('Dvd Calendar'!$X$258=SPECIAL_LBL)*(INC_SPECIALS="Y"))=0,"",'Dvd Calendar'!$X$256)))</f>
        <v/>
      </c>
      <c r="W34" s="161">
        <f>IF(EY34="","",IF(ISNUMBER('Dvd Calendar'!$Y$256)=FALSE,"",IF((('Dvd Calendar'!$Y$258=TYPE1)*(TYPE1&lt;&gt;"")+('Dvd Calendar'!$Y$258=TYPE2)*(TYPE2&lt;&gt;"")+('Dvd Calendar'!$Y$258=TYPE3)*(TYPE3&lt;&gt;"")+('Dvd Calendar'!$Y$258=TYPE4)*(TYPE4&lt;&gt;"")+('Dvd Calendar'!$Y$258=SPECIAL_LBL)*(INC_SPECIALS="Y"))=0,"",'Dvd Calendar'!$Y$256)))</f>
        <v/>
      </c>
      <c r="X34" s="161">
        <f>IF(EZ34="","",IF(ISNUMBER('Dvd Calendar'!$Z$256)=FALSE,"",IF((('Dvd Calendar'!$Z$258=TYPE1)*(TYPE1&lt;&gt;"")+('Dvd Calendar'!$Z$258=TYPE2)*(TYPE2&lt;&gt;"")+('Dvd Calendar'!$Z$258=TYPE3)*(TYPE3&lt;&gt;"")+('Dvd Calendar'!$Z$258=TYPE4)*(TYPE4&lt;&gt;"")+('Dvd Calendar'!$Z$258=SPECIAL_LBL)*(INC_SPECIALS="Y"))=0,"",'Dvd Calendar'!$Z$256)))</f>
        <v/>
      </c>
      <c r="Y34" s="161">
        <f>IF(FA34="","",IF(ISNUMBER('Dvd Calendar'!$AA$256)=FALSE,"",IF((('Dvd Calendar'!$AA$258=TYPE1)*(TYPE1&lt;&gt;"")+('Dvd Calendar'!$AA$258=TYPE2)*(TYPE2&lt;&gt;"")+('Dvd Calendar'!$AA$258=TYPE3)*(TYPE3&lt;&gt;"")+('Dvd Calendar'!$AA$258=TYPE4)*(TYPE4&lt;&gt;"")+('Dvd Calendar'!$AA$258=SPECIAL_LBL)*(INC_SPECIALS="Y"))=0,"",'Dvd Calendar'!$AA$256)))</f>
        <v/>
      </c>
      <c r="Z34" s="161">
        <f>IF(FB34="","",IF(ISNUMBER('Dvd Calendar'!$AB$256)=FALSE,"",IF((('Dvd Calendar'!$AB$258=TYPE1)*(TYPE1&lt;&gt;"")+('Dvd Calendar'!$AB$258=TYPE2)*(TYPE2&lt;&gt;"")+('Dvd Calendar'!$AB$258=TYPE3)*(TYPE3&lt;&gt;"")+('Dvd Calendar'!$AB$258=TYPE4)*(TYPE4&lt;&gt;"")+('Dvd Calendar'!$AB$258=SPECIAL_LBL)*(INC_SPECIALS="Y"))=0,"",'Dvd Calendar'!$AB$256)))</f>
        <v/>
      </c>
      <c r="AA34" s="161">
        <f>IF(FC34="","",IF(ISNUMBER('Dvd Calendar'!$AC$256)=FALSE,"",IF((('Dvd Calendar'!$AC$258=TYPE1)*(TYPE1&lt;&gt;"")+('Dvd Calendar'!$AC$258=TYPE2)*(TYPE2&lt;&gt;"")+('Dvd Calendar'!$AC$258=TYPE3)*(TYPE3&lt;&gt;"")+('Dvd Calendar'!$AC$258=TYPE4)*(TYPE4&lt;&gt;"")+('Dvd Calendar'!$AC$258=SPECIAL_LBL)*(INC_SPECIALS="Y"))=0,"",'Dvd Calendar'!$AC$256)))</f>
        <v/>
      </c>
      <c r="AB34" s="161">
        <f>IF(FD34="","",IF(ISNUMBER('Dvd Calendar'!$AD$256)=FALSE,"",IF((('Dvd Calendar'!$AD$258=TYPE1)*(TYPE1&lt;&gt;"")+('Dvd Calendar'!$AD$258=TYPE2)*(TYPE2&lt;&gt;"")+('Dvd Calendar'!$AD$258=TYPE3)*(TYPE3&lt;&gt;"")+('Dvd Calendar'!$AD$258=TYPE4)*(TYPE4&lt;&gt;"")+('Dvd Calendar'!$AD$258=SPECIAL_LBL)*(INC_SPECIALS="Y"))=0,"",'Dvd Calendar'!$AD$256)))</f>
        <v/>
      </c>
      <c r="AC34" s="161">
        <f>IF(FE34="","",IF(ISNUMBER('Dvd Calendar'!$AE$256)=FALSE,"",IF((('Dvd Calendar'!$AE$258=TYPE1)*(TYPE1&lt;&gt;"")+('Dvd Calendar'!$AE$258=TYPE2)*(TYPE2&lt;&gt;"")+('Dvd Calendar'!$AE$258=TYPE3)*(TYPE3&lt;&gt;"")+('Dvd Calendar'!$AE$258=TYPE4)*(TYPE4&lt;&gt;"")+('Dvd Calendar'!$AE$258=SPECIAL_LBL)*(INC_SPECIALS="Y"))=0,"",'Dvd Calendar'!$AE$256)))</f>
        <v/>
      </c>
      <c r="AD34" s="161">
        <f>IF(FF34="","",IF(ISNUMBER('Dvd Calendar'!$AF$256)=FALSE,"",IF((('Dvd Calendar'!$AF$258=TYPE1)*(TYPE1&lt;&gt;"")+('Dvd Calendar'!$AF$258=TYPE2)*(TYPE2&lt;&gt;"")+('Dvd Calendar'!$AF$258=TYPE3)*(TYPE3&lt;&gt;"")+('Dvd Calendar'!$AF$258=TYPE4)*(TYPE4&lt;&gt;"")+('Dvd Calendar'!$AF$258=SPECIAL_LBL)*(INC_SPECIALS="Y"))=0,"",'Dvd Calendar'!$AF$256)))</f>
        <v/>
      </c>
      <c r="AE34" s="161">
        <f>IF(FG34="","",IF(ISNUMBER('Dvd Calendar'!$AG$256)=FALSE,"",IF((('Dvd Calendar'!$AG$258=TYPE1)*(TYPE1&lt;&gt;"")+('Dvd Calendar'!$AG$258=TYPE2)*(TYPE2&lt;&gt;"")+('Dvd Calendar'!$AG$258=TYPE3)*(TYPE3&lt;&gt;"")+('Dvd Calendar'!$AG$258=TYPE4)*(TYPE4&lt;&gt;"")+('Dvd Calendar'!$AG$258=SPECIAL_LBL)*(INC_SPECIALS="Y"))=0,"",'Dvd Calendar'!$AG$256)))</f>
        <v/>
      </c>
      <c r="AF34" s="161">
        <f>IF(FH34="","",IF(ISNUMBER('Dvd Calendar'!$AH$256)=FALSE,"",IF((('Dvd Calendar'!$AH$258=TYPE1)*(TYPE1&lt;&gt;"")+('Dvd Calendar'!$AH$258=TYPE2)*(TYPE2&lt;&gt;"")+('Dvd Calendar'!$AH$258=TYPE3)*(TYPE3&lt;&gt;"")+('Dvd Calendar'!$AH$258=TYPE4)*(TYPE4&lt;&gt;"")+('Dvd Calendar'!$AH$258=SPECIAL_LBL)*(INC_SPECIALS="Y"))=0,"",'Dvd Calendar'!$AH$256)))</f>
        <v/>
      </c>
      <c r="AG34" s="161">
        <f>IF(FI34="","",IF(ISNUMBER('Dvd Calendar'!$AI$256)=FALSE,"",IF((('Dvd Calendar'!$AI$258=TYPE1)*(TYPE1&lt;&gt;"")+('Dvd Calendar'!$AI$258=TYPE2)*(TYPE2&lt;&gt;"")+('Dvd Calendar'!$AI$258=TYPE3)*(TYPE3&lt;&gt;"")+('Dvd Calendar'!$AI$258=TYPE4)*(TYPE4&lt;&gt;"")+('Dvd Calendar'!$AI$258=SPECIAL_LBL)*(INC_SPECIALS="Y"))=0,"",'Dvd Calendar'!$AI$256)))</f>
        <v/>
      </c>
      <c r="AH34" s="161">
        <f>IF(FJ34="","",IF(ISNUMBER('Dvd Calendar'!$AJ$256)=FALSE,"",IF((('Dvd Calendar'!$AJ$258=TYPE1)*(TYPE1&lt;&gt;"")+('Dvd Calendar'!$AJ$258=TYPE2)*(TYPE2&lt;&gt;"")+('Dvd Calendar'!$AJ$258=TYPE3)*(TYPE3&lt;&gt;"")+('Dvd Calendar'!$AJ$258=TYPE4)*(TYPE4&lt;&gt;"")+('Dvd Calendar'!$AJ$258=SPECIAL_LBL)*(INC_SPECIALS="Y"))=0,"",'Dvd Calendar'!$AJ$256)))</f>
        <v/>
      </c>
      <c r="AI34" s="161">
        <f>IF(FK34="","",IF(ISNUMBER('Dvd Calendar'!$AK$256)=FALSE,"",IF((('Dvd Calendar'!$AK$258=TYPE1)*(TYPE1&lt;&gt;"")+('Dvd Calendar'!$AK$258=TYPE2)*(TYPE2&lt;&gt;"")+('Dvd Calendar'!$AK$258=TYPE3)*(TYPE3&lt;&gt;"")+('Dvd Calendar'!$AK$258=TYPE4)*(TYPE4&lt;&gt;"")+('Dvd Calendar'!$AK$258=SPECIAL_LBL)*(INC_SPECIALS="Y"))=0,"",'Dvd Calendar'!$AK$256)))</f>
        <v/>
      </c>
      <c r="AJ34" s="161">
        <f>IF(FL34="","",IF(ISNUMBER('Dvd Calendar'!$AL$256)=FALSE,"",IF((('Dvd Calendar'!$AL$258=TYPE1)*(TYPE1&lt;&gt;"")+('Dvd Calendar'!$AL$258=TYPE2)*(TYPE2&lt;&gt;"")+('Dvd Calendar'!$AL$258=TYPE3)*(TYPE3&lt;&gt;"")+('Dvd Calendar'!$AL$258=TYPE4)*(TYPE4&lt;&gt;"")+('Dvd Calendar'!$AL$258=SPECIAL_LBL)*(INC_SPECIALS="Y"))=0,"",'Dvd Calendar'!$AL$256)))</f>
        <v/>
      </c>
      <c r="AK34" s="161">
        <f>IF(FM34="","",IF(ISNUMBER('Dvd Calendar'!$AM$256)=FALSE,"",IF((('Dvd Calendar'!$AM$258=TYPE1)*(TYPE1&lt;&gt;"")+('Dvd Calendar'!$AM$258=TYPE2)*(TYPE2&lt;&gt;"")+('Dvd Calendar'!$AM$258=TYPE3)*(TYPE3&lt;&gt;"")+('Dvd Calendar'!$AM$258=TYPE4)*(TYPE4&lt;&gt;"")+('Dvd Calendar'!$AM$258=SPECIAL_LBL)*(INC_SPECIALS="Y"))=0,"",'Dvd Calendar'!$AM$256)))</f>
        <v/>
      </c>
      <c r="AL34" s="161">
        <f>IF(FN34="","",IF(ISNUMBER('Dvd Calendar'!$AN$256)=FALSE,"",IF((('Dvd Calendar'!$AN$258=TYPE1)*(TYPE1&lt;&gt;"")+('Dvd Calendar'!$AN$258=TYPE2)*(TYPE2&lt;&gt;"")+('Dvd Calendar'!$AN$258=TYPE3)*(TYPE3&lt;&gt;"")+('Dvd Calendar'!$AN$258=TYPE4)*(TYPE4&lt;&gt;"")+('Dvd Calendar'!$AN$258=SPECIAL_LBL)*(INC_SPECIALS="Y"))=0,"",'Dvd Calendar'!$AN$256)))</f>
        <v/>
      </c>
      <c r="AM34" s="161">
        <f>IF(FO34="","",IF(ISNUMBER('Dvd Calendar'!$AO$256)=FALSE,"",IF((('Dvd Calendar'!$AO$258=TYPE1)*(TYPE1&lt;&gt;"")+('Dvd Calendar'!$AO$258=TYPE2)*(TYPE2&lt;&gt;"")+('Dvd Calendar'!$AO$258=TYPE3)*(TYPE3&lt;&gt;"")+('Dvd Calendar'!$AO$258=TYPE4)*(TYPE4&lt;&gt;"")+('Dvd Calendar'!$AO$258=SPECIAL_LBL)*(INC_SPECIALS="Y"))=0,"",'Dvd Calendar'!$AO$256)))</f>
        <v/>
      </c>
      <c r="AN34" s="161">
        <f>IF(FP34="","",IF(ISNUMBER('Dvd Calendar'!$AP$256)=FALSE,"",IF((('Dvd Calendar'!$AP$258=TYPE1)*(TYPE1&lt;&gt;"")+('Dvd Calendar'!$AP$258=TYPE2)*(TYPE2&lt;&gt;"")+('Dvd Calendar'!$AP$258=TYPE3)*(TYPE3&lt;&gt;"")+('Dvd Calendar'!$AP$258=TYPE4)*(TYPE4&lt;&gt;"")+('Dvd Calendar'!$AP$258=SPECIAL_LBL)*(INC_SPECIALS="Y"))=0,"",'Dvd Calendar'!$AP$256)))</f>
        <v/>
      </c>
      <c r="AO34" s="161">
        <f>IF(FQ34="","",IF(ISNUMBER('Dvd Calendar'!$AQ$256)=FALSE,"",IF((('Dvd Calendar'!$AQ$258=TYPE1)*(TYPE1&lt;&gt;"")+('Dvd Calendar'!$AQ$258=TYPE2)*(TYPE2&lt;&gt;"")+('Dvd Calendar'!$AQ$258=TYPE3)*(TYPE3&lt;&gt;"")+('Dvd Calendar'!$AQ$258=TYPE4)*(TYPE4&lt;&gt;"")+('Dvd Calendar'!$AQ$258=SPECIAL_LBL)*(INC_SPECIALS="Y"))=0,"",'Dvd Calendar'!$AQ$256)))</f>
        <v/>
      </c>
      <c r="AP34" s="161">
        <f>IF(FR34="","",IF(ISNUMBER('Dvd Calendar'!$AR$256)=FALSE,"",IF((('Dvd Calendar'!$AR$258=TYPE1)*(TYPE1&lt;&gt;"")+('Dvd Calendar'!$AR$258=TYPE2)*(TYPE2&lt;&gt;"")+('Dvd Calendar'!$AR$258=TYPE3)*(TYPE3&lt;&gt;"")+('Dvd Calendar'!$AR$258=TYPE4)*(TYPE4&lt;&gt;"")+('Dvd Calendar'!$AR$258=SPECIAL_LBL)*(INC_SPECIALS="Y"))=0,"",'Dvd Calendar'!$AR$256)))</f>
        <v/>
      </c>
      <c r="AQ34" s="161">
        <f>IF(FS34="","",IF(ISNUMBER('Dvd Calendar'!$E$261)=FALSE,"",'Dvd Calendar'!$E$261))</f>
        <v/>
      </c>
      <c r="AR34" s="161">
        <f>IF(FT34="","",IF(ISNUMBER('Dvd Calendar'!$F$261)=FALSE,"",'Dvd Calendar'!$F$261))</f>
        <v/>
      </c>
      <c r="AS34" s="161">
        <f>IF(FU34="","",IF(ISNUMBER('Dvd Calendar'!$G$261)=FALSE,"",'Dvd Calendar'!$G$261))</f>
        <v/>
      </c>
      <c r="AT34" s="161">
        <f>IF(FV34="","",IF(ISNUMBER('Dvd Calendar'!$H$261)=FALSE,"",'Dvd Calendar'!$H$261))</f>
        <v/>
      </c>
      <c r="AU34" s="161">
        <f>IF(FW34="","",IF(ISNUMBER('Dvd Calendar'!$I$261)=FALSE,"",'Dvd Calendar'!$I$261))</f>
        <v/>
      </c>
      <c r="AV34" s="161">
        <f>IF(FX34="","",IF(ISNUMBER('Dvd Calendar'!$J$261)=FALSE,"",'Dvd Calendar'!$J$261))</f>
        <v/>
      </c>
      <c r="AW34" s="161">
        <f>IF(FY34="","",IF(ISNUMBER('Dvd Calendar'!$K$261)=FALSE,"",'Dvd Calendar'!$K$261))</f>
        <v/>
      </c>
      <c r="AX34" s="161">
        <f>IF(FZ34="","",IF(ISNUMBER('Dvd Calendar'!$L$261)=FALSE,"",'Dvd Calendar'!$L$261))</f>
        <v/>
      </c>
      <c r="AY34" s="161">
        <f>IF(GA34="","",IF(ISNUMBER('Dvd Calendar'!$M$261)=FALSE,"",'Dvd Calendar'!$M$261))</f>
        <v/>
      </c>
      <c r="AZ34" s="161">
        <f>IF(GB34="","",IF(ISNUMBER('Dvd Calendar'!$N$261)=FALSE,"",'Dvd Calendar'!$N$261))</f>
        <v/>
      </c>
      <c r="BA34" s="161">
        <f>IF(GC34="","",IF(ISNUMBER('Dvd Calendar'!$O$261)=FALSE,"",'Dvd Calendar'!$O$261))</f>
        <v/>
      </c>
      <c r="BB34" s="161">
        <f>IF(GD34="","",IF(ISNUMBER('Dvd Calendar'!$P$261)=FALSE,"",'Dvd Calendar'!$P$261))</f>
        <v/>
      </c>
      <c r="BC34" s="161">
        <f>IF(GE34="","",IF(ISNUMBER('Dvd Calendar'!$Q$261)=FALSE,"",'Dvd Calendar'!$Q$261))</f>
        <v/>
      </c>
      <c r="BD34" s="161">
        <f>IF(GF34="","",IF(ISNUMBER('Dvd Calendar'!$R$261)=FALSE,"",'Dvd Calendar'!$R$261))</f>
        <v/>
      </c>
      <c r="BE34" s="161">
        <f>IF(GG34="","",IF(ISNUMBER('Dvd Calendar'!$S$261)=FALSE,"",'Dvd Calendar'!$S$261))</f>
        <v/>
      </c>
      <c r="BF34" s="161">
        <f>IF(GH34="","",IF(ISNUMBER('Dvd Calendar'!$T$261)=FALSE,"",'Dvd Calendar'!$T$261))</f>
        <v/>
      </c>
      <c r="BG34" s="161">
        <f>IF(GI34="","",IF(ISNUMBER('Dvd Calendar'!$U$261)=FALSE,"",'Dvd Calendar'!$U$261))</f>
        <v/>
      </c>
      <c r="BH34" s="161">
        <f>IF(GJ34="","",IF(ISNUMBER('Dvd Calendar'!$V$261)=FALSE,"",'Dvd Calendar'!$V$261))</f>
        <v/>
      </c>
      <c r="BI34" s="161">
        <f>IF(GK34="","",IF(ISNUMBER('Dvd Calendar'!$W$261)=FALSE,"",'Dvd Calendar'!$W$261))</f>
        <v/>
      </c>
      <c r="BJ34" s="161">
        <f>IF(GL34="","",IF(ISNUMBER('Dvd Calendar'!$X$261)=FALSE,"",'Dvd Calendar'!$X$261))</f>
        <v/>
      </c>
      <c r="BK34" s="161">
        <f>IF(GM34="","",IF(ISNUMBER('Dvd Calendar'!$Y$261)=FALSE,"",'Dvd Calendar'!$Y$261))</f>
        <v/>
      </c>
      <c r="BL34" s="161">
        <f>IF(GN34="","",IF(ISNUMBER('Dvd Calendar'!$Z$261)=FALSE,"",'Dvd Calendar'!$Z$261))</f>
        <v/>
      </c>
      <c r="BM34" s="161">
        <f>IF(GO34="","",IF(ISNUMBER('Dvd Calendar'!$AA$261)=FALSE,"",'Dvd Calendar'!$AA$261))</f>
        <v/>
      </c>
      <c r="BN34" s="161">
        <f>IF(GP34="","",IF(ISNUMBER('Dvd Calendar'!$AB$261)=FALSE,"",'Dvd Calendar'!$AB$261))</f>
        <v/>
      </c>
      <c r="BO34" s="161">
        <f>IF(GQ34="","",IF(ISNUMBER('Dvd Calendar'!$AC$261)=FALSE,"",'Dvd Calendar'!$AC$261))</f>
        <v/>
      </c>
      <c r="BQ34" s="161">
        <f>IF(C34="","",IFERROR(C34*HSI!$B$29*HSI!$G$29/HSI!$B$3,""))</f>
        <v/>
      </c>
      <c r="BR34" s="161">
        <f>IF(D34="","",IFERROR(D34*HSI!$B$29*HSI!$G$29/HSI!$B$3,""))</f>
        <v/>
      </c>
      <c r="BS34" s="161">
        <f>IF(E34="","",IFERROR(E34*HSI!$B$29*HSI!$G$29/HSI!$B$3,""))</f>
        <v/>
      </c>
      <c r="BT34" s="161">
        <f>IF(F34="","",IFERROR(F34*HSI!$B$29*HSI!$G$29/HSI!$B$3,""))</f>
        <v/>
      </c>
      <c r="BU34" s="161">
        <f>IF(G34="","",IFERROR(G34*HSI!$B$29*HSI!$G$29/HSI!$B$3,""))</f>
        <v/>
      </c>
      <c r="BV34" s="161">
        <f>IF(H34="","",IFERROR(H34*HSI!$B$29*HSI!$G$29/HSI!$B$3,""))</f>
        <v/>
      </c>
      <c r="BW34" s="161">
        <f>IF(I34="","",IFERROR(I34*HSI!$B$29*HSI!$G$29/HSI!$B$3,""))</f>
        <v/>
      </c>
      <c r="BX34" s="161">
        <f>IF(J34="","",IFERROR(J34*HSI!$B$29*HSI!$G$29/HSI!$B$3,""))</f>
        <v/>
      </c>
      <c r="BY34" s="161">
        <f>IF(K34="","",IFERROR(K34*HSI!$B$29*HSI!$G$29/HSI!$B$3,""))</f>
        <v/>
      </c>
      <c r="BZ34" s="161">
        <f>IF(L34="","",IFERROR(L34*HSI!$B$29*HSI!$G$29/HSI!$B$3,""))</f>
        <v/>
      </c>
      <c r="CA34" s="161">
        <f>IF(M34="","",IFERROR(M34*HSI!$B$29*HSI!$G$29/HSI!$B$3,""))</f>
        <v/>
      </c>
      <c r="CB34" s="161">
        <f>IF(N34="","",IFERROR(N34*HSI!$B$29*HSI!$G$29/HSI!$B$3,""))</f>
        <v/>
      </c>
      <c r="CC34" s="161">
        <f>IF(O34="","",IFERROR(O34*HSI!$B$29*HSI!$G$29/HSI!$B$3,""))</f>
        <v/>
      </c>
      <c r="CD34" s="161">
        <f>IF(P34="","",IFERROR(P34*HSI!$B$29*HSI!$G$29/HSI!$B$3,""))</f>
        <v/>
      </c>
      <c r="CE34" s="161">
        <f>IF(Q34="","",IFERROR(Q34*HSI!$B$29*HSI!$G$29/HSI!$B$3,""))</f>
        <v/>
      </c>
      <c r="CF34" s="161">
        <f>IF(R34="","",IFERROR(R34*HSI!$B$29*HSI!$G$29/HSI!$B$3,""))</f>
        <v/>
      </c>
      <c r="CG34" s="161">
        <f>IF(S34="","",IFERROR(S34*HSI!$B$29*HSI!$G$29/HSI!$B$3,""))</f>
        <v/>
      </c>
      <c r="CH34" s="161">
        <f>IF(T34="","",IFERROR(T34*HSI!$B$29*HSI!$G$29/HSI!$B$3,""))</f>
        <v/>
      </c>
      <c r="CI34" s="161">
        <f>IF(U34="","",IFERROR(U34*HSI!$B$29*HSI!$G$29/HSI!$B$3,""))</f>
        <v/>
      </c>
      <c r="CJ34" s="161">
        <f>IF(V34="","",IFERROR(V34*HSI!$B$29*HSI!$G$29/HSI!$B$3,""))</f>
        <v/>
      </c>
      <c r="CK34" s="161">
        <f>IF(W34="","",IFERROR(W34*HSI!$B$29*HSI!$G$29/HSI!$B$3,""))</f>
        <v/>
      </c>
      <c r="CL34" s="161">
        <f>IF(X34="","",IFERROR(X34*HSI!$B$29*HSI!$G$29/HSI!$B$3,""))</f>
        <v/>
      </c>
      <c r="CM34" s="161">
        <f>IF(Y34="","",IFERROR(Y34*HSI!$B$29*HSI!$G$29/HSI!$B$3,""))</f>
        <v/>
      </c>
      <c r="CN34" s="161">
        <f>IF(Z34="","",IFERROR(Z34*HSI!$B$29*HSI!$G$29/HSI!$B$3,""))</f>
        <v/>
      </c>
      <c r="CO34" s="161">
        <f>IF(AA34="","",IFERROR(AA34*HSI!$B$29*HSI!$G$29/HSI!$B$3,""))</f>
        <v/>
      </c>
      <c r="CP34" s="161">
        <f>IF(AB34="","",IFERROR(AB34*HSI!$B$29*HSI!$G$29/HSI!$B$3,""))</f>
        <v/>
      </c>
      <c r="CQ34" s="161">
        <f>IF(AC34="","",IFERROR(AC34*HSI!$B$29*HSI!$G$29/HSI!$B$3,""))</f>
        <v/>
      </c>
      <c r="CR34" s="161">
        <f>IF(AD34="","",IFERROR(AD34*HSI!$B$29*HSI!$G$29/HSI!$B$3,""))</f>
        <v/>
      </c>
      <c r="CS34" s="161">
        <f>IF(AE34="","",IFERROR(AE34*HSI!$B$29*HSI!$G$29/HSI!$B$3,""))</f>
        <v/>
      </c>
      <c r="CT34" s="161">
        <f>IF(AF34="","",IFERROR(AF34*HSI!$B$29*HSI!$G$29/HSI!$B$3,""))</f>
        <v/>
      </c>
      <c r="CU34" s="161">
        <f>IF(AG34="","",IFERROR(AG34*HSI!$B$29*HSI!$G$29/HSI!$B$3,""))</f>
        <v/>
      </c>
      <c r="CV34" s="161">
        <f>IF(AH34="","",IFERROR(AH34*HSI!$B$29*HSI!$G$29/HSI!$B$3,""))</f>
        <v/>
      </c>
      <c r="CW34" s="161">
        <f>IF(AI34="","",IFERROR(AI34*HSI!$B$29*HSI!$G$29/HSI!$B$3,""))</f>
        <v/>
      </c>
      <c r="CX34" s="161">
        <f>IF(AJ34="","",IFERROR(AJ34*HSI!$B$29*HSI!$G$29/HSI!$B$3,""))</f>
        <v/>
      </c>
      <c r="CY34" s="161">
        <f>IF(AK34="","",IFERROR(AK34*HSI!$B$29*HSI!$G$29/HSI!$B$3,""))</f>
        <v/>
      </c>
      <c r="CZ34" s="161">
        <f>IF(AL34="","",IFERROR(AL34*HSI!$B$29*HSI!$G$29/HSI!$B$3,""))</f>
        <v/>
      </c>
      <c r="DA34" s="161">
        <f>IF(AM34="","",IFERROR(AM34*HSI!$B$29*HSI!$G$29/HSI!$B$3,""))</f>
        <v/>
      </c>
      <c r="DB34" s="161">
        <f>IF(AN34="","",IFERROR(AN34*HSI!$B$29*HSI!$G$29/HSI!$B$3,""))</f>
        <v/>
      </c>
      <c r="DC34" s="161">
        <f>IF(AO34="","",IFERROR(AO34*HSI!$B$29*HSI!$G$29/HSI!$B$3,""))</f>
        <v/>
      </c>
      <c r="DD34" s="161">
        <f>IF(AP34="","",IFERROR(AP34*HSI!$B$29*HSI!$G$29/HSI!$B$3,""))</f>
        <v/>
      </c>
      <c r="DE34" s="161">
        <f>IF(AQ34="","",IFERROR(AQ34*HSI!$B$29*HSI!$G$29/HSI!$B$3,""))</f>
        <v/>
      </c>
      <c r="DF34" s="161">
        <f>IF(AR34="","",IFERROR(AR34*HSI!$B$29*HSI!$G$29/HSI!$B$3,""))</f>
        <v/>
      </c>
      <c r="DG34" s="161">
        <f>IF(AS34="","",IFERROR(AS34*HSI!$B$29*HSI!$G$29/HSI!$B$3,""))</f>
        <v/>
      </c>
      <c r="DH34" s="161">
        <f>IF(AT34="","",IFERROR(AT34*HSI!$B$29*HSI!$G$29/HSI!$B$3,""))</f>
        <v/>
      </c>
      <c r="DI34" s="161">
        <f>IF(AU34="","",IFERROR(AU34*HSI!$B$29*HSI!$G$29/HSI!$B$3,""))</f>
        <v/>
      </c>
      <c r="DJ34" s="161">
        <f>IF(AV34="","",IFERROR(AV34*HSI!$B$29*HSI!$G$29/HSI!$B$3,""))</f>
        <v/>
      </c>
      <c r="DK34" s="161">
        <f>IF(AW34="","",IFERROR(AW34*HSI!$B$29*HSI!$G$29/HSI!$B$3,""))</f>
        <v/>
      </c>
      <c r="DL34" s="161">
        <f>IF(AX34="","",IFERROR(AX34*HSI!$B$29*HSI!$G$29/HSI!$B$3,""))</f>
        <v/>
      </c>
      <c r="DM34" s="161">
        <f>IF(AY34="","",IFERROR(AY34*HSI!$B$29*HSI!$G$29/HSI!$B$3,""))</f>
        <v/>
      </c>
      <c r="DN34" s="161">
        <f>IF(AZ34="","",IFERROR(AZ34*HSI!$B$29*HSI!$G$29/HSI!$B$3,""))</f>
        <v/>
      </c>
      <c r="DO34" s="161">
        <f>IF(BA34="","",IFERROR(BA34*HSI!$B$29*HSI!$G$29/HSI!$B$3,""))</f>
        <v/>
      </c>
      <c r="DP34" s="161">
        <f>IF(BB34="","",IFERROR(BB34*HSI!$B$29*HSI!$G$29/HSI!$B$3,""))</f>
        <v/>
      </c>
      <c r="DQ34" s="161">
        <f>IF(BC34="","",IFERROR(BC34*HSI!$B$29*HSI!$G$29/HSI!$B$3,""))</f>
        <v/>
      </c>
      <c r="DR34" s="161">
        <f>IF(BD34="","",IFERROR(BD34*HSI!$B$29*HSI!$G$29/HSI!$B$3,""))</f>
        <v/>
      </c>
      <c r="DS34" s="161">
        <f>IF(BE34="","",IFERROR(BE34*HSI!$B$29*HSI!$G$29/HSI!$B$3,""))</f>
        <v/>
      </c>
      <c r="DT34" s="161">
        <f>IF(BF34="","",IFERROR(BF34*HSI!$B$29*HSI!$G$29/HSI!$B$3,""))</f>
        <v/>
      </c>
      <c r="DU34" s="161">
        <f>IF(BG34="","",IFERROR(BG34*HSI!$B$29*HSI!$G$29/HSI!$B$3,""))</f>
        <v/>
      </c>
      <c r="DV34" s="161">
        <f>IF(BH34="","",IFERROR(BH34*HSI!$B$29*HSI!$G$29/HSI!$B$3,""))</f>
        <v/>
      </c>
      <c r="DW34" s="161">
        <f>IF(BI34="","",IFERROR(BI34*HSI!$B$29*HSI!$G$29/HSI!$B$3,""))</f>
        <v/>
      </c>
      <c r="DX34" s="161">
        <f>IF(BJ34="","",IFERROR(BJ34*HSI!$B$29*HSI!$G$29/HSI!$B$3,""))</f>
        <v/>
      </c>
      <c r="DY34" s="161">
        <f>IF(BK34="","",IFERROR(BK34*HSI!$B$29*HSI!$G$29/HSI!$B$3,""))</f>
        <v/>
      </c>
      <c r="DZ34" s="161">
        <f>IF(BL34="","",IFERROR(BL34*HSI!$B$29*HSI!$G$29/HSI!$B$3,""))</f>
        <v/>
      </c>
      <c r="EA34" s="161">
        <f>IF(BM34="","",IFERROR(BM34*HSI!$B$29*HSI!$G$29/HSI!$B$3,""))</f>
        <v/>
      </c>
      <c r="EB34" s="161">
        <f>IF(BN34="","",IFERROR(BN34*HSI!$B$29*HSI!$G$29/HSI!$B$3,""))</f>
        <v/>
      </c>
      <c r="EC34" s="161">
        <f>IF(BO34="","",IFERROR(BO34*HSI!$B$29*HSI!$G$29/HSI!$B$3,""))</f>
        <v/>
      </c>
      <c r="EE34" s="121">
        <f>IF(N('Dvd Calendar'!$E$253)=0,"",IF(('Dvd Calendar'!$E$253&gt;=GRID_FROM)*('Dvd Calendar'!$E$253&lt;=GRID_TO)*((('Dvd Calendar'!$E$253&lt;=VAL_DATE)+(COUNTIF('Dvd Calendar'!$E$260:$AR$260,'Dvd Calendar'!$E$253)=0))&gt;0)=0,"",'Dvd Calendar'!$E$253*1000000000+ISNUMBER('Dvd Calendar'!$E$256)*100000000+('Dvd Calendar'!$E$258=SPECIAL_LBL)*10000000+(N('Dvd Calendar'!$E$252)&gt;0)*(N('Dvd Calendar'!$E$252)&lt;=VAL_SERIAL)*1000000+23*1000+1))</f>
        <v/>
      </c>
      <c r="EF34" s="121">
        <f>IF(N('Dvd Calendar'!$F$253)=0,"",IF(('Dvd Calendar'!$F$253&gt;=GRID_FROM)*('Dvd Calendar'!$F$253&lt;=GRID_TO)*((('Dvd Calendar'!$F$253&lt;=VAL_DATE)+(COUNTIF('Dvd Calendar'!$E$260:$AR$260,'Dvd Calendar'!$F$253)=0))&gt;0)=0,"",'Dvd Calendar'!$F$253*1000000000+ISNUMBER('Dvd Calendar'!$F$256)*100000000+('Dvd Calendar'!$F$258=SPECIAL_LBL)*10000000+(N('Dvd Calendar'!$F$252)&gt;0)*(N('Dvd Calendar'!$F$252)&lt;=VAL_SERIAL)*1000000+23*1000+2))</f>
        <v/>
      </c>
      <c r="EG34" s="121">
        <f>IF(N('Dvd Calendar'!$G$253)=0,"",IF(('Dvd Calendar'!$G$253&gt;=GRID_FROM)*('Dvd Calendar'!$G$253&lt;=GRID_TO)*((('Dvd Calendar'!$G$253&lt;=VAL_DATE)+(COUNTIF('Dvd Calendar'!$E$260:$AR$260,'Dvd Calendar'!$G$253)=0))&gt;0)=0,"",'Dvd Calendar'!$G$253*1000000000+ISNUMBER('Dvd Calendar'!$G$256)*100000000+('Dvd Calendar'!$G$258=SPECIAL_LBL)*10000000+(N('Dvd Calendar'!$G$252)&gt;0)*(N('Dvd Calendar'!$G$252)&lt;=VAL_SERIAL)*1000000+23*1000+3))</f>
        <v/>
      </c>
      <c r="EH34" s="121">
        <f>IF(N('Dvd Calendar'!$H$253)=0,"",IF(('Dvd Calendar'!$H$253&gt;=GRID_FROM)*('Dvd Calendar'!$H$253&lt;=GRID_TO)*((('Dvd Calendar'!$H$253&lt;=VAL_DATE)+(COUNTIF('Dvd Calendar'!$E$260:$AR$260,'Dvd Calendar'!$H$253)=0))&gt;0)=0,"",'Dvd Calendar'!$H$253*1000000000+ISNUMBER('Dvd Calendar'!$H$256)*100000000+('Dvd Calendar'!$H$258=SPECIAL_LBL)*10000000+(N('Dvd Calendar'!$H$252)&gt;0)*(N('Dvd Calendar'!$H$252)&lt;=VAL_SERIAL)*1000000+23*1000+4))</f>
        <v/>
      </c>
      <c r="EI34" s="121">
        <f>IF(N('Dvd Calendar'!$I$253)=0,"",IF(('Dvd Calendar'!$I$253&gt;=GRID_FROM)*('Dvd Calendar'!$I$253&lt;=GRID_TO)*((('Dvd Calendar'!$I$253&lt;=VAL_DATE)+(COUNTIF('Dvd Calendar'!$E$260:$AR$260,'Dvd Calendar'!$I$253)=0))&gt;0)=0,"",'Dvd Calendar'!$I$253*1000000000+ISNUMBER('Dvd Calendar'!$I$256)*100000000+('Dvd Calendar'!$I$258=SPECIAL_LBL)*10000000+(N('Dvd Calendar'!$I$252)&gt;0)*(N('Dvd Calendar'!$I$252)&lt;=VAL_SERIAL)*1000000+23*1000+5))</f>
        <v/>
      </c>
      <c r="EJ34" s="121">
        <f>IF(N('Dvd Calendar'!$J$253)=0,"",IF(('Dvd Calendar'!$J$253&gt;=GRID_FROM)*('Dvd Calendar'!$J$253&lt;=GRID_TO)*((('Dvd Calendar'!$J$253&lt;=VAL_DATE)+(COUNTIF('Dvd Calendar'!$E$260:$AR$260,'Dvd Calendar'!$J$253)=0))&gt;0)=0,"",'Dvd Calendar'!$J$253*1000000000+ISNUMBER('Dvd Calendar'!$J$256)*100000000+('Dvd Calendar'!$J$258=SPECIAL_LBL)*10000000+(N('Dvd Calendar'!$J$252)&gt;0)*(N('Dvd Calendar'!$J$252)&lt;=VAL_SERIAL)*1000000+23*1000+6))</f>
        <v/>
      </c>
      <c r="EK34" s="121">
        <f>IF(N('Dvd Calendar'!$K$253)=0,"",IF(('Dvd Calendar'!$K$253&gt;=GRID_FROM)*('Dvd Calendar'!$K$253&lt;=GRID_TO)*((('Dvd Calendar'!$K$253&lt;=VAL_DATE)+(COUNTIF('Dvd Calendar'!$E$260:$AR$260,'Dvd Calendar'!$K$253)=0))&gt;0)=0,"",'Dvd Calendar'!$K$253*1000000000+ISNUMBER('Dvd Calendar'!$K$256)*100000000+('Dvd Calendar'!$K$258=SPECIAL_LBL)*10000000+(N('Dvd Calendar'!$K$252)&gt;0)*(N('Dvd Calendar'!$K$252)&lt;=VAL_SERIAL)*1000000+23*1000+7))</f>
        <v/>
      </c>
      <c r="EL34" s="121">
        <f>IF(N('Dvd Calendar'!$L$253)=0,"",IF(('Dvd Calendar'!$L$253&gt;=GRID_FROM)*('Dvd Calendar'!$L$253&lt;=GRID_TO)*((('Dvd Calendar'!$L$253&lt;=VAL_DATE)+(COUNTIF('Dvd Calendar'!$E$260:$AR$260,'Dvd Calendar'!$L$253)=0))&gt;0)=0,"",'Dvd Calendar'!$L$253*1000000000+ISNUMBER('Dvd Calendar'!$L$256)*100000000+('Dvd Calendar'!$L$258=SPECIAL_LBL)*10000000+(N('Dvd Calendar'!$L$252)&gt;0)*(N('Dvd Calendar'!$L$252)&lt;=VAL_SERIAL)*1000000+23*1000+8))</f>
        <v/>
      </c>
      <c r="EM34" s="121">
        <f>IF(N('Dvd Calendar'!$M$253)=0,"",IF(('Dvd Calendar'!$M$253&gt;=GRID_FROM)*('Dvd Calendar'!$M$253&lt;=GRID_TO)*((('Dvd Calendar'!$M$253&lt;=VAL_DATE)+(COUNTIF('Dvd Calendar'!$E$260:$AR$260,'Dvd Calendar'!$M$253)=0))&gt;0)=0,"",'Dvd Calendar'!$M$253*1000000000+ISNUMBER('Dvd Calendar'!$M$256)*100000000+('Dvd Calendar'!$M$258=SPECIAL_LBL)*10000000+(N('Dvd Calendar'!$M$252)&gt;0)*(N('Dvd Calendar'!$M$252)&lt;=VAL_SERIAL)*1000000+23*1000+9))</f>
        <v/>
      </c>
      <c r="EN34" s="121">
        <f>IF(N('Dvd Calendar'!$N$253)=0,"",IF(('Dvd Calendar'!$N$253&gt;=GRID_FROM)*('Dvd Calendar'!$N$253&lt;=GRID_TO)*((('Dvd Calendar'!$N$253&lt;=VAL_DATE)+(COUNTIF('Dvd Calendar'!$E$260:$AR$260,'Dvd Calendar'!$N$253)=0))&gt;0)=0,"",'Dvd Calendar'!$N$253*1000000000+ISNUMBER('Dvd Calendar'!$N$256)*100000000+('Dvd Calendar'!$N$258=SPECIAL_LBL)*10000000+(N('Dvd Calendar'!$N$252)&gt;0)*(N('Dvd Calendar'!$N$252)&lt;=VAL_SERIAL)*1000000+23*1000+10))</f>
        <v/>
      </c>
      <c r="EO34" s="121">
        <f>IF(N('Dvd Calendar'!$O$253)=0,"",IF(('Dvd Calendar'!$O$253&gt;=GRID_FROM)*('Dvd Calendar'!$O$253&lt;=GRID_TO)*((('Dvd Calendar'!$O$253&lt;=VAL_DATE)+(COUNTIF('Dvd Calendar'!$E$260:$AR$260,'Dvd Calendar'!$O$253)=0))&gt;0)=0,"",'Dvd Calendar'!$O$253*1000000000+ISNUMBER('Dvd Calendar'!$O$256)*100000000+('Dvd Calendar'!$O$258=SPECIAL_LBL)*10000000+(N('Dvd Calendar'!$O$252)&gt;0)*(N('Dvd Calendar'!$O$252)&lt;=VAL_SERIAL)*1000000+23*1000+11))</f>
        <v/>
      </c>
      <c r="EP34" s="121">
        <f>IF(N('Dvd Calendar'!$P$253)=0,"",IF(('Dvd Calendar'!$P$253&gt;=GRID_FROM)*('Dvd Calendar'!$P$253&lt;=GRID_TO)*((('Dvd Calendar'!$P$253&lt;=VAL_DATE)+(COUNTIF('Dvd Calendar'!$E$260:$AR$260,'Dvd Calendar'!$P$253)=0))&gt;0)=0,"",'Dvd Calendar'!$P$253*1000000000+ISNUMBER('Dvd Calendar'!$P$256)*100000000+('Dvd Calendar'!$P$258=SPECIAL_LBL)*10000000+(N('Dvd Calendar'!$P$252)&gt;0)*(N('Dvd Calendar'!$P$252)&lt;=VAL_SERIAL)*1000000+23*1000+12))</f>
        <v/>
      </c>
      <c r="EQ34" s="121">
        <f>IF(N('Dvd Calendar'!$Q$253)=0,"",IF(('Dvd Calendar'!$Q$253&gt;=GRID_FROM)*('Dvd Calendar'!$Q$253&lt;=GRID_TO)*((('Dvd Calendar'!$Q$253&lt;=VAL_DATE)+(COUNTIF('Dvd Calendar'!$E$260:$AR$260,'Dvd Calendar'!$Q$253)=0))&gt;0)=0,"",'Dvd Calendar'!$Q$253*1000000000+ISNUMBER('Dvd Calendar'!$Q$256)*100000000+('Dvd Calendar'!$Q$258=SPECIAL_LBL)*10000000+(N('Dvd Calendar'!$Q$252)&gt;0)*(N('Dvd Calendar'!$Q$252)&lt;=VAL_SERIAL)*1000000+23*1000+13))</f>
        <v/>
      </c>
      <c r="ER34" s="121">
        <f>IF(N('Dvd Calendar'!$R$253)=0,"",IF(('Dvd Calendar'!$R$253&gt;=GRID_FROM)*('Dvd Calendar'!$R$253&lt;=GRID_TO)*((('Dvd Calendar'!$R$253&lt;=VAL_DATE)+(COUNTIF('Dvd Calendar'!$E$260:$AR$260,'Dvd Calendar'!$R$253)=0))&gt;0)=0,"",'Dvd Calendar'!$R$253*1000000000+ISNUMBER('Dvd Calendar'!$R$256)*100000000+('Dvd Calendar'!$R$258=SPECIAL_LBL)*10000000+(N('Dvd Calendar'!$R$252)&gt;0)*(N('Dvd Calendar'!$R$252)&lt;=VAL_SERIAL)*1000000+23*1000+14))</f>
        <v/>
      </c>
      <c r="ES34" s="121">
        <f>IF(N('Dvd Calendar'!$S$253)=0,"",IF(('Dvd Calendar'!$S$253&gt;=GRID_FROM)*('Dvd Calendar'!$S$253&lt;=GRID_TO)*((('Dvd Calendar'!$S$253&lt;=VAL_DATE)+(COUNTIF('Dvd Calendar'!$E$260:$AR$260,'Dvd Calendar'!$S$253)=0))&gt;0)=0,"",'Dvd Calendar'!$S$253*1000000000+ISNUMBER('Dvd Calendar'!$S$256)*100000000+('Dvd Calendar'!$S$258=SPECIAL_LBL)*10000000+(N('Dvd Calendar'!$S$252)&gt;0)*(N('Dvd Calendar'!$S$252)&lt;=VAL_SERIAL)*1000000+23*1000+15))</f>
        <v/>
      </c>
      <c r="ET34" s="121">
        <f>IF(N('Dvd Calendar'!$T$253)=0,"",IF(('Dvd Calendar'!$T$253&gt;=GRID_FROM)*('Dvd Calendar'!$T$253&lt;=GRID_TO)*((('Dvd Calendar'!$T$253&lt;=VAL_DATE)+(COUNTIF('Dvd Calendar'!$E$260:$AR$260,'Dvd Calendar'!$T$253)=0))&gt;0)=0,"",'Dvd Calendar'!$T$253*1000000000+ISNUMBER('Dvd Calendar'!$T$256)*100000000+('Dvd Calendar'!$T$258=SPECIAL_LBL)*10000000+(N('Dvd Calendar'!$T$252)&gt;0)*(N('Dvd Calendar'!$T$252)&lt;=VAL_SERIAL)*1000000+23*1000+16))</f>
        <v/>
      </c>
      <c r="EU34" s="121">
        <f>IF(N('Dvd Calendar'!$U$253)=0,"",IF(('Dvd Calendar'!$U$253&gt;=GRID_FROM)*('Dvd Calendar'!$U$253&lt;=GRID_TO)*((('Dvd Calendar'!$U$253&lt;=VAL_DATE)+(COUNTIF('Dvd Calendar'!$E$260:$AR$260,'Dvd Calendar'!$U$253)=0))&gt;0)=0,"",'Dvd Calendar'!$U$253*1000000000+ISNUMBER('Dvd Calendar'!$U$256)*100000000+('Dvd Calendar'!$U$258=SPECIAL_LBL)*10000000+(N('Dvd Calendar'!$U$252)&gt;0)*(N('Dvd Calendar'!$U$252)&lt;=VAL_SERIAL)*1000000+23*1000+17))</f>
        <v/>
      </c>
      <c r="EV34" s="121">
        <f>IF(N('Dvd Calendar'!$V$253)=0,"",IF(('Dvd Calendar'!$V$253&gt;=GRID_FROM)*('Dvd Calendar'!$V$253&lt;=GRID_TO)*((('Dvd Calendar'!$V$253&lt;=VAL_DATE)+(COUNTIF('Dvd Calendar'!$E$260:$AR$260,'Dvd Calendar'!$V$253)=0))&gt;0)=0,"",'Dvd Calendar'!$V$253*1000000000+ISNUMBER('Dvd Calendar'!$V$256)*100000000+('Dvd Calendar'!$V$258=SPECIAL_LBL)*10000000+(N('Dvd Calendar'!$V$252)&gt;0)*(N('Dvd Calendar'!$V$252)&lt;=VAL_SERIAL)*1000000+23*1000+18))</f>
        <v/>
      </c>
      <c r="EW34" s="121">
        <f>IF(N('Dvd Calendar'!$W$253)=0,"",IF(('Dvd Calendar'!$W$253&gt;=GRID_FROM)*('Dvd Calendar'!$W$253&lt;=GRID_TO)*((('Dvd Calendar'!$W$253&lt;=VAL_DATE)+(COUNTIF('Dvd Calendar'!$E$260:$AR$260,'Dvd Calendar'!$W$253)=0))&gt;0)=0,"",'Dvd Calendar'!$W$253*1000000000+ISNUMBER('Dvd Calendar'!$W$256)*100000000+('Dvd Calendar'!$W$258=SPECIAL_LBL)*10000000+(N('Dvd Calendar'!$W$252)&gt;0)*(N('Dvd Calendar'!$W$252)&lt;=VAL_SERIAL)*1000000+23*1000+19))</f>
        <v/>
      </c>
      <c r="EX34" s="121">
        <f>IF(N('Dvd Calendar'!$X$253)=0,"",IF(('Dvd Calendar'!$X$253&gt;=GRID_FROM)*('Dvd Calendar'!$X$253&lt;=GRID_TO)*((('Dvd Calendar'!$X$253&lt;=VAL_DATE)+(COUNTIF('Dvd Calendar'!$E$260:$AR$260,'Dvd Calendar'!$X$253)=0))&gt;0)=0,"",'Dvd Calendar'!$X$253*1000000000+ISNUMBER('Dvd Calendar'!$X$256)*100000000+('Dvd Calendar'!$X$258=SPECIAL_LBL)*10000000+(N('Dvd Calendar'!$X$252)&gt;0)*(N('Dvd Calendar'!$X$252)&lt;=VAL_SERIAL)*1000000+23*1000+20))</f>
        <v/>
      </c>
      <c r="EY34" s="121">
        <f>IF(N('Dvd Calendar'!$Y$253)=0,"",IF(('Dvd Calendar'!$Y$253&gt;=GRID_FROM)*('Dvd Calendar'!$Y$253&lt;=GRID_TO)*((('Dvd Calendar'!$Y$253&lt;=VAL_DATE)+(COUNTIF('Dvd Calendar'!$E$260:$AR$260,'Dvd Calendar'!$Y$253)=0))&gt;0)=0,"",'Dvd Calendar'!$Y$253*1000000000+ISNUMBER('Dvd Calendar'!$Y$256)*100000000+('Dvd Calendar'!$Y$258=SPECIAL_LBL)*10000000+(N('Dvd Calendar'!$Y$252)&gt;0)*(N('Dvd Calendar'!$Y$252)&lt;=VAL_SERIAL)*1000000+23*1000+21))</f>
        <v/>
      </c>
      <c r="EZ34" s="121">
        <f>IF(N('Dvd Calendar'!$Z$253)=0,"",IF(('Dvd Calendar'!$Z$253&gt;=GRID_FROM)*('Dvd Calendar'!$Z$253&lt;=GRID_TO)*((('Dvd Calendar'!$Z$253&lt;=VAL_DATE)+(COUNTIF('Dvd Calendar'!$E$260:$AR$260,'Dvd Calendar'!$Z$253)=0))&gt;0)=0,"",'Dvd Calendar'!$Z$253*1000000000+ISNUMBER('Dvd Calendar'!$Z$256)*100000000+('Dvd Calendar'!$Z$258=SPECIAL_LBL)*10000000+(N('Dvd Calendar'!$Z$252)&gt;0)*(N('Dvd Calendar'!$Z$252)&lt;=VAL_SERIAL)*1000000+23*1000+22))</f>
        <v/>
      </c>
      <c r="FA34" s="121">
        <f>IF(N('Dvd Calendar'!$AA$253)=0,"",IF(('Dvd Calendar'!$AA$253&gt;=GRID_FROM)*('Dvd Calendar'!$AA$253&lt;=GRID_TO)*((('Dvd Calendar'!$AA$253&lt;=VAL_DATE)+(COUNTIF('Dvd Calendar'!$E$260:$AR$260,'Dvd Calendar'!$AA$253)=0))&gt;0)=0,"",'Dvd Calendar'!$AA$253*1000000000+ISNUMBER('Dvd Calendar'!$AA$256)*100000000+('Dvd Calendar'!$AA$258=SPECIAL_LBL)*10000000+(N('Dvd Calendar'!$AA$252)&gt;0)*(N('Dvd Calendar'!$AA$252)&lt;=VAL_SERIAL)*1000000+23*1000+23))</f>
        <v/>
      </c>
      <c r="FB34" s="121">
        <f>IF(N('Dvd Calendar'!$AB$253)=0,"",IF(('Dvd Calendar'!$AB$253&gt;=GRID_FROM)*('Dvd Calendar'!$AB$253&lt;=GRID_TO)*((('Dvd Calendar'!$AB$253&lt;=VAL_DATE)+(COUNTIF('Dvd Calendar'!$E$260:$AR$260,'Dvd Calendar'!$AB$253)=0))&gt;0)=0,"",'Dvd Calendar'!$AB$253*1000000000+ISNUMBER('Dvd Calendar'!$AB$256)*100000000+('Dvd Calendar'!$AB$258=SPECIAL_LBL)*10000000+(N('Dvd Calendar'!$AB$252)&gt;0)*(N('Dvd Calendar'!$AB$252)&lt;=VAL_SERIAL)*1000000+23*1000+24))</f>
        <v/>
      </c>
      <c r="FC34" s="121">
        <f>IF(N('Dvd Calendar'!$AC$253)=0,"",IF(('Dvd Calendar'!$AC$253&gt;=GRID_FROM)*('Dvd Calendar'!$AC$253&lt;=GRID_TO)*((('Dvd Calendar'!$AC$253&lt;=VAL_DATE)+(COUNTIF('Dvd Calendar'!$E$260:$AR$260,'Dvd Calendar'!$AC$253)=0))&gt;0)=0,"",'Dvd Calendar'!$AC$253*1000000000+ISNUMBER('Dvd Calendar'!$AC$256)*100000000+('Dvd Calendar'!$AC$258=SPECIAL_LBL)*10000000+(N('Dvd Calendar'!$AC$252)&gt;0)*(N('Dvd Calendar'!$AC$252)&lt;=VAL_SERIAL)*1000000+23*1000+25))</f>
        <v/>
      </c>
      <c r="FD34" s="121">
        <f>IF(N('Dvd Calendar'!$AD$253)=0,"",IF(('Dvd Calendar'!$AD$253&gt;=GRID_FROM)*('Dvd Calendar'!$AD$253&lt;=GRID_TO)*((('Dvd Calendar'!$AD$253&lt;=VAL_DATE)+(COUNTIF('Dvd Calendar'!$E$260:$AR$260,'Dvd Calendar'!$AD$253)=0))&gt;0)=0,"",'Dvd Calendar'!$AD$253*1000000000+ISNUMBER('Dvd Calendar'!$AD$256)*100000000+('Dvd Calendar'!$AD$258=SPECIAL_LBL)*10000000+(N('Dvd Calendar'!$AD$252)&gt;0)*(N('Dvd Calendar'!$AD$252)&lt;=VAL_SERIAL)*1000000+23*1000+26))</f>
        <v/>
      </c>
      <c r="FE34" s="121">
        <f>IF(N('Dvd Calendar'!$AE$253)=0,"",IF(('Dvd Calendar'!$AE$253&gt;=GRID_FROM)*('Dvd Calendar'!$AE$253&lt;=GRID_TO)*((('Dvd Calendar'!$AE$253&lt;=VAL_DATE)+(COUNTIF('Dvd Calendar'!$E$260:$AR$260,'Dvd Calendar'!$AE$253)=0))&gt;0)=0,"",'Dvd Calendar'!$AE$253*1000000000+ISNUMBER('Dvd Calendar'!$AE$256)*100000000+('Dvd Calendar'!$AE$258=SPECIAL_LBL)*10000000+(N('Dvd Calendar'!$AE$252)&gt;0)*(N('Dvd Calendar'!$AE$252)&lt;=VAL_SERIAL)*1000000+23*1000+27))</f>
        <v/>
      </c>
      <c r="FF34" s="121">
        <f>IF(N('Dvd Calendar'!$AF$253)=0,"",IF(('Dvd Calendar'!$AF$253&gt;=GRID_FROM)*('Dvd Calendar'!$AF$253&lt;=GRID_TO)*((('Dvd Calendar'!$AF$253&lt;=VAL_DATE)+(COUNTIF('Dvd Calendar'!$E$260:$AR$260,'Dvd Calendar'!$AF$253)=0))&gt;0)=0,"",'Dvd Calendar'!$AF$253*1000000000+ISNUMBER('Dvd Calendar'!$AF$256)*100000000+('Dvd Calendar'!$AF$258=SPECIAL_LBL)*10000000+(N('Dvd Calendar'!$AF$252)&gt;0)*(N('Dvd Calendar'!$AF$252)&lt;=VAL_SERIAL)*1000000+23*1000+28))</f>
        <v/>
      </c>
      <c r="FG34" s="121">
        <f>IF(N('Dvd Calendar'!$AG$253)=0,"",IF(('Dvd Calendar'!$AG$253&gt;=GRID_FROM)*('Dvd Calendar'!$AG$253&lt;=GRID_TO)*((('Dvd Calendar'!$AG$253&lt;=VAL_DATE)+(COUNTIF('Dvd Calendar'!$E$260:$AR$260,'Dvd Calendar'!$AG$253)=0))&gt;0)=0,"",'Dvd Calendar'!$AG$253*1000000000+ISNUMBER('Dvd Calendar'!$AG$256)*100000000+('Dvd Calendar'!$AG$258=SPECIAL_LBL)*10000000+(N('Dvd Calendar'!$AG$252)&gt;0)*(N('Dvd Calendar'!$AG$252)&lt;=VAL_SERIAL)*1000000+23*1000+29))</f>
        <v/>
      </c>
      <c r="FH34" s="121">
        <f>IF(N('Dvd Calendar'!$AH$253)=0,"",IF(('Dvd Calendar'!$AH$253&gt;=GRID_FROM)*('Dvd Calendar'!$AH$253&lt;=GRID_TO)*((('Dvd Calendar'!$AH$253&lt;=VAL_DATE)+(COUNTIF('Dvd Calendar'!$E$260:$AR$260,'Dvd Calendar'!$AH$253)=0))&gt;0)=0,"",'Dvd Calendar'!$AH$253*1000000000+ISNUMBER('Dvd Calendar'!$AH$256)*100000000+('Dvd Calendar'!$AH$258=SPECIAL_LBL)*10000000+(N('Dvd Calendar'!$AH$252)&gt;0)*(N('Dvd Calendar'!$AH$252)&lt;=VAL_SERIAL)*1000000+23*1000+30))</f>
        <v/>
      </c>
      <c r="FI34" s="121">
        <f>IF(N('Dvd Calendar'!$AI$253)=0,"",IF(('Dvd Calendar'!$AI$253&gt;=GRID_FROM)*('Dvd Calendar'!$AI$253&lt;=GRID_TO)*((('Dvd Calendar'!$AI$253&lt;=VAL_DATE)+(COUNTIF('Dvd Calendar'!$E$260:$AR$260,'Dvd Calendar'!$AI$253)=0))&gt;0)=0,"",'Dvd Calendar'!$AI$253*1000000000+ISNUMBER('Dvd Calendar'!$AI$256)*100000000+('Dvd Calendar'!$AI$258=SPECIAL_LBL)*10000000+(N('Dvd Calendar'!$AI$252)&gt;0)*(N('Dvd Calendar'!$AI$252)&lt;=VAL_SERIAL)*1000000+23*1000+31))</f>
        <v/>
      </c>
      <c r="FJ34" s="121">
        <f>IF(N('Dvd Calendar'!$AJ$253)=0,"",IF(('Dvd Calendar'!$AJ$253&gt;=GRID_FROM)*('Dvd Calendar'!$AJ$253&lt;=GRID_TO)*((('Dvd Calendar'!$AJ$253&lt;=VAL_DATE)+(COUNTIF('Dvd Calendar'!$E$260:$AR$260,'Dvd Calendar'!$AJ$253)=0))&gt;0)=0,"",'Dvd Calendar'!$AJ$253*1000000000+ISNUMBER('Dvd Calendar'!$AJ$256)*100000000+('Dvd Calendar'!$AJ$258=SPECIAL_LBL)*10000000+(N('Dvd Calendar'!$AJ$252)&gt;0)*(N('Dvd Calendar'!$AJ$252)&lt;=VAL_SERIAL)*1000000+23*1000+32))</f>
        <v/>
      </c>
      <c r="FK34" s="121">
        <f>IF(N('Dvd Calendar'!$AK$253)=0,"",IF(('Dvd Calendar'!$AK$253&gt;=GRID_FROM)*('Dvd Calendar'!$AK$253&lt;=GRID_TO)*((('Dvd Calendar'!$AK$253&lt;=VAL_DATE)+(COUNTIF('Dvd Calendar'!$E$260:$AR$260,'Dvd Calendar'!$AK$253)=0))&gt;0)=0,"",'Dvd Calendar'!$AK$253*1000000000+ISNUMBER('Dvd Calendar'!$AK$256)*100000000+('Dvd Calendar'!$AK$258=SPECIAL_LBL)*10000000+(N('Dvd Calendar'!$AK$252)&gt;0)*(N('Dvd Calendar'!$AK$252)&lt;=VAL_SERIAL)*1000000+23*1000+33))</f>
        <v/>
      </c>
      <c r="FL34" s="121">
        <f>IF(N('Dvd Calendar'!$AL$253)=0,"",IF(('Dvd Calendar'!$AL$253&gt;=GRID_FROM)*('Dvd Calendar'!$AL$253&lt;=GRID_TO)*((('Dvd Calendar'!$AL$253&lt;=VAL_DATE)+(COUNTIF('Dvd Calendar'!$E$260:$AR$260,'Dvd Calendar'!$AL$253)=0))&gt;0)=0,"",'Dvd Calendar'!$AL$253*1000000000+ISNUMBER('Dvd Calendar'!$AL$256)*100000000+('Dvd Calendar'!$AL$258=SPECIAL_LBL)*10000000+(N('Dvd Calendar'!$AL$252)&gt;0)*(N('Dvd Calendar'!$AL$252)&lt;=VAL_SERIAL)*1000000+23*1000+34))</f>
        <v/>
      </c>
      <c r="FM34" s="121">
        <f>IF(N('Dvd Calendar'!$AM$253)=0,"",IF(('Dvd Calendar'!$AM$253&gt;=GRID_FROM)*('Dvd Calendar'!$AM$253&lt;=GRID_TO)*((('Dvd Calendar'!$AM$253&lt;=VAL_DATE)+(COUNTIF('Dvd Calendar'!$E$260:$AR$260,'Dvd Calendar'!$AM$253)=0))&gt;0)=0,"",'Dvd Calendar'!$AM$253*1000000000+ISNUMBER('Dvd Calendar'!$AM$256)*100000000+('Dvd Calendar'!$AM$258=SPECIAL_LBL)*10000000+(N('Dvd Calendar'!$AM$252)&gt;0)*(N('Dvd Calendar'!$AM$252)&lt;=VAL_SERIAL)*1000000+23*1000+35))</f>
        <v/>
      </c>
      <c r="FN34" s="121">
        <f>IF(N('Dvd Calendar'!$AN$253)=0,"",IF(('Dvd Calendar'!$AN$253&gt;=GRID_FROM)*('Dvd Calendar'!$AN$253&lt;=GRID_TO)*((('Dvd Calendar'!$AN$253&lt;=VAL_DATE)+(COUNTIF('Dvd Calendar'!$E$260:$AR$260,'Dvd Calendar'!$AN$253)=0))&gt;0)=0,"",'Dvd Calendar'!$AN$253*1000000000+ISNUMBER('Dvd Calendar'!$AN$256)*100000000+('Dvd Calendar'!$AN$258=SPECIAL_LBL)*10000000+(N('Dvd Calendar'!$AN$252)&gt;0)*(N('Dvd Calendar'!$AN$252)&lt;=VAL_SERIAL)*1000000+23*1000+36))</f>
        <v/>
      </c>
      <c r="FO34" s="121">
        <f>IF(N('Dvd Calendar'!$AO$253)=0,"",IF(('Dvd Calendar'!$AO$253&gt;=GRID_FROM)*('Dvd Calendar'!$AO$253&lt;=GRID_TO)*((('Dvd Calendar'!$AO$253&lt;=VAL_DATE)+(COUNTIF('Dvd Calendar'!$E$260:$AR$260,'Dvd Calendar'!$AO$253)=0))&gt;0)=0,"",'Dvd Calendar'!$AO$253*1000000000+ISNUMBER('Dvd Calendar'!$AO$256)*100000000+('Dvd Calendar'!$AO$258=SPECIAL_LBL)*10000000+(N('Dvd Calendar'!$AO$252)&gt;0)*(N('Dvd Calendar'!$AO$252)&lt;=VAL_SERIAL)*1000000+23*1000+37))</f>
        <v/>
      </c>
      <c r="FP34" s="121">
        <f>IF(N('Dvd Calendar'!$AP$253)=0,"",IF(('Dvd Calendar'!$AP$253&gt;=GRID_FROM)*('Dvd Calendar'!$AP$253&lt;=GRID_TO)*((('Dvd Calendar'!$AP$253&lt;=VAL_DATE)+(COUNTIF('Dvd Calendar'!$E$260:$AR$260,'Dvd Calendar'!$AP$253)=0))&gt;0)=0,"",'Dvd Calendar'!$AP$253*1000000000+ISNUMBER('Dvd Calendar'!$AP$256)*100000000+('Dvd Calendar'!$AP$258=SPECIAL_LBL)*10000000+(N('Dvd Calendar'!$AP$252)&gt;0)*(N('Dvd Calendar'!$AP$252)&lt;=VAL_SERIAL)*1000000+23*1000+38))</f>
        <v/>
      </c>
      <c r="FQ34" s="121">
        <f>IF(N('Dvd Calendar'!$AQ$253)=0,"",IF(('Dvd Calendar'!$AQ$253&gt;=GRID_FROM)*('Dvd Calendar'!$AQ$253&lt;=GRID_TO)*((('Dvd Calendar'!$AQ$253&lt;=VAL_DATE)+(COUNTIF('Dvd Calendar'!$E$260:$AR$260,'Dvd Calendar'!$AQ$253)=0))&gt;0)=0,"",'Dvd Calendar'!$AQ$253*1000000000+ISNUMBER('Dvd Calendar'!$AQ$256)*100000000+('Dvd Calendar'!$AQ$258=SPECIAL_LBL)*10000000+(N('Dvd Calendar'!$AQ$252)&gt;0)*(N('Dvd Calendar'!$AQ$252)&lt;=VAL_SERIAL)*1000000+23*1000+39))</f>
        <v/>
      </c>
      <c r="FR34" s="121">
        <f>IF(N('Dvd Calendar'!$AR$253)=0,"",IF(('Dvd Calendar'!$AR$253&gt;=GRID_FROM)*('Dvd Calendar'!$AR$253&lt;=GRID_TO)*((('Dvd Calendar'!$AR$253&lt;=VAL_DATE)+(COUNTIF('Dvd Calendar'!$E$260:$AR$260,'Dvd Calendar'!$AR$253)=0))&gt;0)=0,"",'Dvd Calendar'!$AR$253*1000000000+ISNUMBER('Dvd Calendar'!$AR$256)*100000000+('Dvd Calendar'!$AR$258=SPECIAL_LBL)*10000000+(N('Dvd Calendar'!$AR$252)&gt;0)*(N('Dvd Calendar'!$AR$252)&lt;=VAL_SERIAL)*1000000+23*1000+40))</f>
        <v/>
      </c>
      <c r="FS34" s="121">
        <f>IF(N('Dvd Calendar'!$E$260)=0,"",IF(('Dvd Calendar'!$E$260&gt;=GRID_FROM)*('Dvd Calendar'!$E$260&lt;=GRID_TO)*('Dvd Calendar'!$E$260&gt;VAL_DATE)=0,"",'Dvd Calendar'!$E$260*1000000000+ISNUMBER('Dvd Calendar'!$E$261)*100000000+0*10000000+(N('Dvd Calendar'!$E$259)&gt;0)*(N('Dvd Calendar'!$E$259)&lt;=VAL_SERIAL)*1000000+23*1000+41))</f>
        <v/>
      </c>
      <c r="FT34" s="121">
        <f>IF(N('Dvd Calendar'!$F$260)=0,"",IF(('Dvd Calendar'!$F$260&gt;=GRID_FROM)*('Dvd Calendar'!$F$260&lt;=GRID_TO)*('Dvd Calendar'!$F$260&gt;VAL_DATE)=0,"",'Dvd Calendar'!$F$260*1000000000+ISNUMBER('Dvd Calendar'!$F$261)*100000000+0*10000000+(N('Dvd Calendar'!$F$259)&gt;0)*(N('Dvd Calendar'!$F$259)&lt;=VAL_SERIAL)*1000000+23*1000+42))</f>
        <v/>
      </c>
      <c r="FU34" s="121">
        <f>IF(N('Dvd Calendar'!$G$260)=0,"",IF(('Dvd Calendar'!$G$260&gt;=GRID_FROM)*('Dvd Calendar'!$G$260&lt;=GRID_TO)*('Dvd Calendar'!$G$260&gt;VAL_DATE)=0,"",'Dvd Calendar'!$G$260*1000000000+ISNUMBER('Dvd Calendar'!$G$261)*100000000+0*10000000+(N('Dvd Calendar'!$G$259)&gt;0)*(N('Dvd Calendar'!$G$259)&lt;=VAL_SERIAL)*1000000+23*1000+43))</f>
        <v/>
      </c>
      <c r="FV34" s="121">
        <f>IF(N('Dvd Calendar'!$H$260)=0,"",IF(('Dvd Calendar'!$H$260&gt;=GRID_FROM)*('Dvd Calendar'!$H$260&lt;=GRID_TO)*('Dvd Calendar'!$H$260&gt;VAL_DATE)=0,"",'Dvd Calendar'!$H$260*1000000000+ISNUMBER('Dvd Calendar'!$H$261)*100000000+0*10000000+(N('Dvd Calendar'!$H$259)&gt;0)*(N('Dvd Calendar'!$H$259)&lt;=VAL_SERIAL)*1000000+23*1000+44))</f>
        <v/>
      </c>
      <c r="FW34" s="121">
        <f>IF(N('Dvd Calendar'!$I$260)=0,"",IF(('Dvd Calendar'!$I$260&gt;=GRID_FROM)*('Dvd Calendar'!$I$260&lt;=GRID_TO)*('Dvd Calendar'!$I$260&gt;VAL_DATE)=0,"",'Dvd Calendar'!$I$260*1000000000+ISNUMBER('Dvd Calendar'!$I$261)*100000000+0*10000000+(N('Dvd Calendar'!$I$259)&gt;0)*(N('Dvd Calendar'!$I$259)&lt;=VAL_SERIAL)*1000000+23*1000+45))</f>
        <v/>
      </c>
      <c r="FX34" s="121">
        <f>IF(N('Dvd Calendar'!$J$260)=0,"",IF(('Dvd Calendar'!$J$260&gt;=GRID_FROM)*('Dvd Calendar'!$J$260&lt;=GRID_TO)*('Dvd Calendar'!$J$260&gt;VAL_DATE)=0,"",'Dvd Calendar'!$J$260*1000000000+ISNUMBER('Dvd Calendar'!$J$261)*100000000+0*10000000+(N('Dvd Calendar'!$J$259)&gt;0)*(N('Dvd Calendar'!$J$259)&lt;=VAL_SERIAL)*1000000+23*1000+46))</f>
        <v/>
      </c>
      <c r="FY34" s="121">
        <f>IF(N('Dvd Calendar'!$K$260)=0,"",IF(('Dvd Calendar'!$K$260&gt;=GRID_FROM)*('Dvd Calendar'!$K$260&lt;=GRID_TO)*('Dvd Calendar'!$K$260&gt;VAL_DATE)=0,"",'Dvd Calendar'!$K$260*1000000000+ISNUMBER('Dvd Calendar'!$K$261)*100000000+0*10000000+(N('Dvd Calendar'!$K$259)&gt;0)*(N('Dvd Calendar'!$K$259)&lt;=VAL_SERIAL)*1000000+23*1000+47))</f>
        <v/>
      </c>
      <c r="FZ34" s="121">
        <f>IF(N('Dvd Calendar'!$L$260)=0,"",IF(('Dvd Calendar'!$L$260&gt;=GRID_FROM)*('Dvd Calendar'!$L$260&lt;=GRID_TO)*('Dvd Calendar'!$L$260&gt;VAL_DATE)=0,"",'Dvd Calendar'!$L$260*1000000000+ISNUMBER('Dvd Calendar'!$L$261)*100000000+0*10000000+(N('Dvd Calendar'!$L$259)&gt;0)*(N('Dvd Calendar'!$L$259)&lt;=VAL_SERIAL)*1000000+23*1000+48))</f>
        <v/>
      </c>
      <c r="GA34" s="121">
        <f>IF(N('Dvd Calendar'!$M$260)=0,"",IF(('Dvd Calendar'!$M$260&gt;=GRID_FROM)*('Dvd Calendar'!$M$260&lt;=GRID_TO)*('Dvd Calendar'!$M$260&gt;VAL_DATE)=0,"",'Dvd Calendar'!$M$260*1000000000+ISNUMBER('Dvd Calendar'!$M$261)*100000000+0*10000000+(N('Dvd Calendar'!$M$259)&gt;0)*(N('Dvd Calendar'!$M$259)&lt;=VAL_SERIAL)*1000000+23*1000+49))</f>
        <v/>
      </c>
      <c r="GB34" s="121">
        <f>IF(N('Dvd Calendar'!$N$260)=0,"",IF(('Dvd Calendar'!$N$260&gt;=GRID_FROM)*('Dvd Calendar'!$N$260&lt;=GRID_TO)*('Dvd Calendar'!$N$260&gt;VAL_DATE)=0,"",'Dvd Calendar'!$N$260*1000000000+ISNUMBER('Dvd Calendar'!$N$261)*100000000+0*10000000+(N('Dvd Calendar'!$N$259)&gt;0)*(N('Dvd Calendar'!$N$259)&lt;=VAL_SERIAL)*1000000+23*1000+50))</f>
        <v/>
      </c>
      <c r="GC34" s="121">
        <f>IF(N('Dvd Calendar'!$O$260)=0,"",IF(('Dvd Calendar'!$O$260&gt;=GRID_FROM)*('Dvd Calendar'!$O$260&lt;=GRID_TO)*('Dvd Calendar'!$O$260&gt;VAL_DATE)=0,"",'Dvd Calendar'!$O$260*1000000000+ISNUMBER('Dvd Calendar'!$O$261)*100000000+0*10000000+(N('Dvd Calendar'!$O$259)&gt;0)*(N('Dvd Calendar'!$O$259)&lt;=VAL_SERIAL)*1000000+23*1000+51))</f>
        <v/>
      </c>
      <c r="GD34" s="121">
        <f>IF(N('Dvd Calendar'!$P$260)=0,"",IF(('Dvd Calendar'!$P$260&gt;=GRID_FROM)*('Dvd Calendar'!$P$260&lt;=GRID_TO)*('Dvd Calendar'!$P$260&gt;VAL_DATE)=0,"",'Dvd Calendar'!$P$260*1000000000+ISNUMBER('Dvd Calendar'!$P$261)*100000000+0*10000000+(N('Dvd Calendar'!$P$259)&gt;0)*(N('Dvd Calendar'!$P$259)&lt;=VAL_SERIAL)*1000000+23*1000+52))</f>
        <v/>
      </c>
      <c r="GE34" s="121">
        <f>IF(N('Dvd Calendar'!$Q$260)=0,"",IF(('Dvd Calendar'!$Q$260&gt;=GRID_FROM)*('Dvd Calendar'!$Q$260&lt;=GRID_TO)*('Dvd Calendar'!$Q$260&gt;VAL_DATE)=0,"",'Dvd Calendar'!$Q$260*1000000000+ISNUMBER('Dvd Calendar'!$Q$261)*100000000+0*10000000+(N('Dvd Calendar'!$Q$259)&gt;0)*(N('Dvd Calendar'!$Q$259)&lt;=VAL_SERIAL)*1000000+23*1000+53))</f>
        <v/>
      </c>
      <c r="GF34" s="121">
        <f>IF(N('Dvd Calendar'!$R$260)=0,"",IF(('Dvd Calendar'!$R$260&gt;=GRID_FROM)*('Dvd Calendar'!$R$260&lt;=GRID_TO)*('Dvd Calendar'!$R$260&gt;VAL_DATE)=0,"",'Dvd Calendar'!$R$260*1000000000+ISNUMBER('Dvd Calendar'!$R$261)*100000000+0*10000000+(N('Dvd Calendar'!$R$259)&gt;0)*(N('Dvd Calendar'!$R$259)&lt;=VAL_SERIAL)*1000000+23*1000+54))</f>
        <v/>
      </c>
      <c r="GG34" s="121">
        <f>IF(N('Dvd Calendar'!$S$260)=0,"",IF(('Dvd Calendar'!$S$260&gt;=GRID_FROM)*('Dvd Calendar'!$S$260&lt;=GRID_TO)*('Dvd Calendar'!$S$260&gt;VAL_DATE)=0,"",'Dvd Calendar'!$S$260*1000000000+ISNUMBER('Dvd Calendar'!$S$261)*100000000+0*10000000+(N('Dvd Calendar'!$S$259)&gt;0)*(N('Dvd Calendar'!$S$259)&lt;=VAL_SERIAL)*1000000+23*1000+55))</f>
        <v/>
      </c>
      <c r="GH34" s="121">
        <f>IF(N('Dvd Calendar'!$T$260)=0,"",IF(('Dvd Calendar'!$T$260&gt;=GRID_FROM)*('Dvd Calendar'!$T$260&lt;=GRID_TO)*('Dvd Calendar'!$T$260&gt;VAL_DATE)=0,"",'Dvd Calendar'!$T$260*1000000000+ISNUMBER('Dvd Calendar'!$T$261)*100000000+0*10000000+(N('Dvd Calendar'!$T$259)&gt;0)*(N('Dvd Calendar'!$T$259)&lt;=VAL_SERIAL)*1000000+23*1000+56))</f>
        <v/>
      </c>
      <c r="GI34" s="121">
        <f>IF(N('Dvd Calendar'!$U$260)=0,"",IF(('Dvd Calendar'!$U$260&gt;=GRID_FROM)*('Dvd Calendar'!$U$260&lt;=GRID_TO)*('Dvd Calendar'!$U$260&gt;VAL_DATE)=0,"",'Dvd Calendar'!$U$260*1000000000+ISNUMBER('Dvd Calendar'!$U$261)*100000000+0*10000000+(N('Dvd Calendar'!$U$259)&gt;0)*(N('Dvd Calendar'!$U$259)&lt;=VAL_SERIAL)*1000000+23*1000+57))</f>
        <v/>
      </c>
      <c r="GJ34" s="121">
        <f>IF(N('Dvd Calendar'!$V$260)=0,"",IF(('Dvd Calendar'!$V$260&gt;=GRID_FROM)*('Dvd Calendar'!$V$260&lt;=GRID_TO)*('Dvd Calendar'!$V$260&gt;VAL_DATE)=0,"",'Dvd Calendar'!$V$260*1000000000+ISNUMBER('Dvd Calendar'!$V$261)*100000000+0*10000000+(N('Dvd Calendar'!$V$259)&gt;0)*(N('Dvd Calendar'!$V$259)&lt;=VAL_SERIAL)*1000000+23*1000+58))</f>
        <v/>
      </c>
      <c r="GK34" s="121">
        <f>IF(N('Dvd Calendar'!$W$260)=0,"",IF(('Dvd Calendar'!$W$260&gt;=GRID_FROM)*('Dvd Calendar'!$W$260&lt;=GRID_TO)*('Dvd Calendar'!$W$260&gt;VAL_DATE)=0,"",'Dvd Calendar'!$W$260*1000000000+ISNUMBER('Dvd Calendar'!$W$261)*100000000+0*10000000+(N('Dvd Calendar'!$W$259)&gt;0)*(N('Dvd Calendar'!$W$259)&lt;=VAL_SERIAL)*1000000+23*1000+59))</f>
        <v/>
      </c>
      <c r="GL34" s="121">
        <f>IF(N('Dvd Calendar'!$X$260)=0,"",IF(('Dvd Calendar'!$X$260&gt;=GRID_FROM)*('Dvd Calendar'!$X$260&lt;=GRID_TO)*('Dvd Calendar'!$X$260&gt;VAL_DATE)=0,"",'Dvd Calendar'!$X$260*1000000000+ISNUMBER('Dvd Calendar'!$X$261)*100000000+0*10000000+(N('Dvd Calendar'!$X$259)&gt;0)*(N('Dvd Calendar'!$X$259)&lt;=VAL_SERIAL)*1000000+23*1000+60))</f>
        <v/>
      </c>
      <c r="GM34" s="121">
        <f>IF(N('Dvd Calendar'!$Y$260)=0,"",IF(('Dvd Calendar'!$Y$260&gt;=GRID_FROM)*('Dvd Calendar'!$Y$260&lt;=GRID_TO)*('Dvd Calendar'!$Y$260&gt;VAL_DATE)=0,"",'Dvd Calendar'!$Y$260*1000000000+ISNUMBER('Dvd Calendar'!$Y$261)*100000000+0*10000000+(N('Dvd Calendar'!$Y$259)&gt;0)*(N('Dvd Calendar'!$Y$259)&lt;=VAL_SERIAL)*1000000+23*1000+61))</f>
        <v/>
      </c>
      <c r="GN34" s="121">
        <f>IF(N('Dvd Calendar'!$Z$260)=0,"",IF(('Dvd Calendar'!$Z$260&gt;=GRID_FROM)*('Dvd Calendar'!$Z$260&lt;=GRID_TO)*('Dvd Calendar'!$Z$260&gt;VAL_DATE)=0,"",'Dvd Calendar'!$Z$260*1000000000+ISNUMBER('Dvd Calendar'!$Z$261)*100000000+0*10000000+(N('Dvd Calendar'!$Z$259)&gt;0)*(N('Dvd Calendar'!$Z$259)&lt;=VAL_SERIAL)*1000000+23*1000+62))</f>
        <v/>
      </c>
      <c r="GO34" s="121">
        <f>IF(N('Dvd Calendar'!$AA$260)=0,"",IF(('Dvd Calendar'!$AA$260&gt;=GRID_FROM)*('Dvd Calendar'!$AA$260&lt;=GRID_TO)*('Dvd Calendar'!$AA$260&gt;VAL_DATE)=0,"",'Dvd Calendar'!$AA$260*1000000000+ISNUMBER('Dvd Calendar'!$AA$261)*100000000+0*10000000+(N('Dvd Calendar'!$AA$259)&gt;0)*(N('Dvd Calendar'!$AA$259)&lt;=VAL_SERIAL)*1000000+23*1000+63))</f>
        <v/>
      </c>
      <c r="GP34" s="121">
        <f>IF(N('Dvd Calendar'!$AB$260)=0,"",IF(('Dvd Calendar'!$AB$260&gt;=GRID_FROM)*('Dvd Calendar'!$AB$260&lt;=GRID_TO)*('Dvd Calendar'!$AB$260&gt;VAL_DATE)=0,"",'Dvd Calendar'!$AB$260*1000000000+ISNUMBER('Dvd Calendar'!$AB$261)*100000000+0*10000000+(N('Dvd Calendar'!$AB$259)&gt;0)*(N('Dvd Calendar'!$AB$259)&lt;=VAL_SERIAL)*1000000+23*1000+64))</f>
        <v/>
      </c>
      <c r="GQ34" s="121">
        <f>IF(N('Dvd Calendar'!$AC$260)=0,"",IF(('Dvd Calendar'!$AC$260&gt;=GRID_FROM)*('Dvd Calendar'!$AC$260&lt;=GRID_TO)*('Dvd Calendar'!$AC$260&gt;VAL_DATE)=0,"",'Dvd Calendar'!$AC$260*1000000000+ISNUMBER('Dvd Calendar'!$AC$261)*100000000+0*10000000+(N('Dvd Calendar'!$AC$259)&gt;0)*(N('Dvd Calendar'!$AC$259)&lt;=VAL_SERIAL)*1000000+23*1000+65))</f>
        <v/>
      </c>
    </row>
    <row r="35">
      <c r="B35" s="2">
        <f>IF(HSI!$C$30="","",HSI!$C$30)</f>
        <v/>
      </c>
      <c r="C35" s="161">
        <f>IF(EE35="","",IF(ISNUMBER('Dvd Calendar'!$E$267)=FALSE,"",IF((('Dvd Calendar'!$E$269=TYPE1)*(TYPE1&lt;&gt;"")+('Dvd Calendar'!$E$269=TYPE2)*(TYPE2&lt;&gt;"")+('Dvd Calendar'!$E$269=TYPE3)*(TYPE3&lt;&gt;"")+('Dvd Calendar'!$E$269=TYPE4)*(TYPE4&lt;&gt;"")+('Dvd Calendar'!$E$269=SPECIAL_LBL)*(INC_SPECIALS="Y"))=0,"",'Dvd Calendar'!$E$267)))</f>
        <v/>
      </c>
      <c r="D35" s="161">
        <f>IF(EF35="","",IF(ISNUMBER('Dvd Calendar'!$F$267)=FALSE,"",IF((('Dvd Calendar'!$F$269=TYPE1)*(TYPE1&lt;&gt;"")+('Dvd Calendar'!$F$269=TYPE2)*(TYPE2&lt;&gt;"")+('Dvd Calendar'!$F$269=TYPE3)*(TYPE3&lt;&gt;"")+('Dvd Calendar'!$F$269=TYPE4)*(TYPE4&lt;&gt;"")+('Dvd Calendar'!$F$269=SPECIAL_LBL)*(INC_SPECIALS="Y"))=0,"",'Dvd Calendar'!$F$267)))</f>
        <v/>
      </c>
      <c r="E35" s="161">
        <f>IF(EG35="","",IF(ISNUMBER('Dvd Calendar'!$G$267)=FALSE,"",IF((('Dvd Calendar'!$G$269=TYPE1)*(TYPE1&lt;&gt;"")+('Dvd Calendar'!$G$269=TYPE2)*(TYPE2&lt;&gt;"")+('Dvd Calendar'!$G$269=TYPE3)*(TYPE3&lt;&gt;"")+('Dvd Calendar'!$G$269=TYPE4)*(TYPE4&lt;&gt;"")+('Dvd Calendar'!$G$269=SPECIAL_LBL)*(INC_SPECIALS="Y"))=0,"",'Dvd Calendar'!$G$267)))</f>
        <v/>
      </c>
      <c r="F35" s="161">
        <f>IF(EH35="","",IF(ISNUMBER('Dvd Calendar'!$H$267)=FALSE,"",IF((('Dvd Calendar'!$H$269=TYPE1)*(TYPE1&lt;&gt;"")+('Dvd Calendar'!$H$269=TYPE2)*(TYPE2&lt;&gt;"")+('Dvd Calendar'!$H$269=TYPE3)*(TYPE3&lt;&gt;"")+('Dvd Calendar'!$H$269=TYPE4)*(TYPE4&lt;&gt;"")+('Dvd Calendar'!$H$269=SPECIAL_LBL)*(INC_SPECIALS="Y"))=0,"",'Dvd Calendar'!$H$267)))</f>
        <v/>
      </c>
      <c r="G35" s="161">
        <f>IF(EI35="","",IF(ISNUMBER('Dvd Calendar'!$I$267)=FALSE,"",IF((('Dvd Calendar'!$I$269=TYPE1)*(TYPE1&lt;&gt;"")+('Dvd Calendar'!$I$269=TYPE2)*(TYPE2&lt;&gt;"")+('Dvd Calendar'!$I$269=TYPE3)*(TYPE3&lt;&gt;"")+('Dvd Calendar'!$I$269=TYPE4)*(TYPE4&lt;&gt;"")+('Dvd Calendar'!$I$269=SPECIAL_LBL)*(INC_SPECIALS="Y"))=0,"",'Dvd Calendar'!$I$267)))</f>
        <v/>
      </c>
      <c r="H35" s="161">
        <f>IF(EJ35="","",IF(ISNUMBER('Dvd Calendar'!$J$267)=FALSE,"",IF((('Dvd Calendar'!$J$269=TYPE1)*(TYPE1&lt;&gt;"")+('Dvd Calendar'!$J$269=TYPE2)*(TYPE2&lt;&gt;"")+('Dvd Calendar'!$J$269=TYPE3)*(TYPE3&lt;&gt;"")+('Dvd Calendar'!$J$269=TYPE4)*(TYPE4&lt;&gt;"")+('Dvd Calendar'!$J$269=SPECIAL_LBL)*(INC_SPECIALS="Y"))=0,"",'Dvd Calendar'!$J$267)))</f>
        <v/>
      </c>
      <c r="I35" s="161">
        <f>IF(EK35="","",IF(ISNUMBER('Dvd Calendar'!$K$267)=FALSE,"",IF((('Dvd Calendar'!$K$269=TYPE1)*(TYPE1&lt;&gt;"")+('Dvd Calendar'!$K$269=TYPE2)*(TYPE2&lt;&gt;"")+('Dvd Calendar'!$K$269=TYPE3)*(TYPE3&lt;&gt;"")+('Dvd Calendar'!$K$269=TYPE4)*(TYPE4&lt;&gt;"")+('Dvd Calendar'!$K$269=SPECIAL_LBL)*(INC_SPECIALS="Y"))=0,"",'Dvd Calendar'!$K$267)))</f>
        <v/>
      </c>
      <c r="J35" s="161">
        <f>IF(EL35="","",IF(ISNUMBER('Dvd Calendar'!$L$267)=FALSE,"",IF((('Dvd Calendar'!$L$269=TYPE1)*(TYPE1&lt;&gt;"")+('Dvd Calendar'!$L$269=TYPE2)*(TYPE2&lt;&gt;"")+('Dvd Calendar'!$L$269=TYPE3)*(TYPE3&lt;&gt;"")+('Dvd Calendar'!$L$269=TYPE4)*(TYPE4&lt;&gt;"")+('Dvd Calendar'!$L$269=SPECIAL_LBL)*(INC_SPECIALS="Y"))=0,"",'Dvd Calendar'!$L$267)))</f>
        <v/>
      </c>
      <c r="K35" s="161">
        <f>IF(EM35="","",IF(ISNUMBER('Dvd Calendar'!$M$267)=FALSE,"",IF((('Dvd Calendar'!$M$269=TYPE1)*(TYPE1&lt;&gt;"")+('Dvd Calendar'!$M$269=TYPE2)*(TYPE2&lt;&gt;"")+('Dvd Calendar'!$M$269=TYPE3)*(TYPE3&lt;&gt;"")+('Dvd Calendar'!$M$269=TYPE4)*(TYPE4&lt;&gt;"")+('Dvd Calendar'!$M$269=SPECIAL_LBL)*(INC_SPECIALS="Y"))=0,"",'Dvd Calendar'!$M$267)))</f>
        <v/>
      </c>
      <c r="L35" s="161">
        <f>IF(EN35="","",IF(ISNUMBER('Dvd Calendar'!$N$267)=FALSE,"",IF((('Dvd Calendar'!$N$269=TYPE1)*(TYPE1&lt;&gt;"")+('Dvd Calendar'!$N$269=TYPE2)*(TYPE2&lt;&gt;"")+('Dvd Calendar'!$N$269=TYPE3)*(TYPE3&lt;&gt;"")+('Dvd Calendar'!$N$269=TYPE4)*(TYPE4&lt;&gt;"")+('Dvd Calendar'!$N$269=SPECIAL_LBL)*(INC_SPECIALS="Y"))=0,"",'Dvd Calendar'!$N$267)))</f>
        <v/>
      </c>
      <c r="M35" s="161">
        <f>IF(EO35="","",IF(ISNUMBER('Dvd Calendar'!$O$267)=FALSE,"",IF((('Dvd Calendar'!$O$269=TYPE1)*(TYPE1&lt;&gt;"")+('Dvd Calendar'!$O$269=TYPE2)*(TYPE2&lt;&gt;"")+('Dvd Calendar'!$O$269=TYPE3)*(TYPE3&lt;&gt;"")+('Dvd Calendar'!$O$269=TYPE4)*(TYPE4&lt;&gt;"")+('Dvd Calendar'!$O$269=SPECIAL_LBL)*(INC_SPECIALS="Y"))=0,"",'Dvd Calendar'!$O$267)))</f>
        <v/>
      </c>
      <c r="N35" s="161">
        <f>IF(EP35="","",IF(ISNUMBER('Dvd Calendar'!$P$267)=FALSE,"",IF((('Dvd Calendar'!$P$269=TYPE1)*(TYPE1&lt;&gt;"")+('Dvd Calendar'!$P$269=TYPE2)*(TYPE2&lt;&gt;"")+('Dvd Calendar'!$P$269=TYPE3)*(TYPE3&lt;&gt;"")+('Dvd Calendar'!$P$269=TYPE4)*(TYPE4&lt;&gt;"")+('Dvd Calendar'!$P$269=SPECIAL_LBL)*(INC_SPECIALS="Y"))=0,"",'Dvd Calendar'!$P$267)))</f>
        <v/>
      </c>
      <c r="O35" s="161">
        <f>IF(EQ35="","",IF(ISNUMBER('Dvd Calendar'!$Q$267)=FALSE,"",IF((('Dvd Calendar'!$Q$269=TYPE1)*(TYPE1&lt;&gt;"")+('Dvd Calendar'!$Q$269=TYPE2)*(TYPE2&lt;&gt;"")+('Dvd Calendar'!$Q$269=TYPE3)*(TYPE3&lt;&gt;"")+('Dvd Calendar'!$Q$269=TYPE4)*(TYPE4&lt;&gt;"")+('Dvd Calendar'!$Q$269=SPECIAL_LBL)*(INC_SPECIALS="Y"))=0,"",'Dvd Calendar'!$Q$267)))</f>
        <v/>
      </c>
      <c r="P35" s="161">
        <f>IF(ER35="","",IF(ISNUMBER('Dvd Calendar'!$R$267)=FALSE,"",IF((('Dvd Calendar'!$R$269=TYPE1)*(TYPE1&lt;&gt;"")+('Dvd Calendar'!$R$269=TYPE2)*(TYPE2&lt;&gt;"")+('Dvd Calendar'!$R$269=TYPE3)*(TYPE3&lt;&gt;"")+('Dvd Calendar'!$R$269=TYPE4)*(TYPE4&lt;&gt;"")+('Dvd Calendar'!$R$269=SPECIAL_LBL)*(INC_SPECIALS="Y"))=0,"",'Dvd Calendar'!$R$267)))</f>
        <v/>
      </c>
      <c r="Q35" s="161">
        <f>IF(ES35="","",IF(ISNUMBER('Dvd Calendar'!$S$267)=FALSE,"",IF((('Dvd Calendar'!$S$269=TYPE1)*(TYPE1&lt;&gt;"")+('Dvd Calendar'!$S$269=TYPE2)*(TYPE2&lt;&gt;"")+('Dvd Calendar'!$S$269=TYPE3)*(TYPE3&lt;&gt;"")+('Dvd Calendar'!$S$269=TYPE4)*(TYPE4&lt;&gt;"")+('Dvd Calendar'!$S$269=SPECIAL_LBL)*(INC_SPECIALS="Y"))=0,"",'Dvd Calendar'!$S$267)))</f>
        <v/>
      </c>
      <c r="R35" s="161">
        <f>IF(ET35="","",IF(ISNUMBER('Dvd Calendar'!$T$267)=FALSE,"",IF((('Dvd Calendar'!$T$269=TYPE1)*(TYPE1&lt;&gt;"")+('Dvd Calendar'!$T$269=TYPE2)*(TYPE2&lt;&gt;"")+('Dvd Calendar'!$T$269=TYPE3)*(TYPE3&lt;&gt;"")+('Dvd Calendar'!$T$269=TYPE4)*(TYPE4&lt;&gt;"")+('Dvd Calendar'!$T$269=SPECIAL_LBL)*(INC_SPECIALS="Y"))=0,"",'Dvd Calendar'!$T$267)))</f>
        <v/>
      </c>
      <c r="S35" s="161">
        <f>IF(EU35="","",IF(ISNUMBER('Dvd Calendar'!$U$267)=FALSE,"",IF((('Dvd Calendar'!$U$269=TYPE1)*(TYPE1&lt;&gt;"")+('Dvd Calendar'!$U$269=TYPE2)*(TYPE2&lt;&gt;"")+('Dvd Calendar'!$U$269=TYPE3)*(TYPE3&lt;&gt;"")+('Dvd Calendar'!$U$269=TYPE4)*(TYPE4&lt;&gt;"")+('Dvd Calendar'!$U$269=SPECIAL_LBL)*(INC_SPECIALS="Y"))=0,"",'Dvd Calendar'!$U$267)))</f>
        <v/>
      </c>
      <c r="T35" s="161">
        <f>IF(EV35="","",IF(ISNUMBER('Dvd Calendar'!$V$267)=FALSE,"",IF((('Dvd Calendar'!$V$269=TYPE1)*(TYPE1&lt;&gt;"")+('Dvd Calendar'!$V$269=TYPE2)*(TYPE2&lt;&gt;"")+('Dvd Calendar'!$V$269=TYPE3)*(TYPE3&lt;&gt;"")+('Dvd Calendar'!$V$269=TYPE4)*(TYPE4&lt;&gt;"")+('Dvd Calendar'!$V$269=SPECIAL_LBL)*(INC_SPECIALS="Y"))=0,"",'Dvd Calendar'!$V$267)))</f>
        <v/>
      </c>
      <c r="U35" s="161">
        <f>IF(EW35="","",IF(ISNUMBER('Dvd Calendar'!$W$267)=FALSE,"",IF((('Dvd Calendar'!$W$269=TYPE1)*(TYPE1&lt;&gt;"")+('Dvd Calendar'!$W$269=TYPE2)*(TYPE2&lt;&gt;"")+('Dvd Calendar'!$W$269=TYPE3)*(TYPE3&lt;&gt;"")+('Dvd Calendar'!$W$269=TYPE4)*(TYPE4&lt;&gt;"")+('Dvd Calendar'!$W$269=SPECIAL_LBL)*(INC_SPECIALS="Y"))=0,"",'Dvd Calendar'!$W$267)))</f>
        <v/>
      </c>
      <c r="V35" s="161">
        <f>IF(EX35="","",IF(ISNUMBER('Dvd Calendar'!$X$267)=FALSE,"",IF((('Dvd Calendar'!$X$269=TYPE1)*(TYPE1&lt;&gt;"")+('Dvd Calendar'!$X$269=TYPE2)*(TYPE2&lt;&gt;"")+('Dvd Calendar'!$X$269=TYPE3)*(TYPE3&lt;&gt;"")+('Dvd Calendar'!$X$269=TYPE4)*(TYPE4&lt;&gt;"")+('Dvd Calendar'!$X$269=SPECIAL_LBL)*(INC_SPECIALS="Y"))=0,"",'Dvd Calendar'!$X$267)))</f>
        <v/>
      </c>
      <c r="W35" s="161">
        <f>IF(EY35="","",IF(ISNUMBER('Dvd Calendar'!$Y$267)=FALSE,"",IF((('Dvd Calendar'!$Y$269=TYPE1)*(TYPE1&lt;&gt;"")+('Dvd Calendar'!$Y$269=TYPE2)*(TYPE2&lt;&gt;"")+('Dvd Calendar'!$Y$269=TYPE3)*(TYPE3&lt;&gt;"")+('Dvd Calendar'!$Y$269=TYPE4)*(TYPE4&lt;&gt;"")+('Dvd Calendar'!$Y$269=SPECIAL_LBL)*(INC_SPECIALS="Y"))=0,"",'Dvd Calendar'!$Y$267)))</f>
        <v/>
      </c>
      <c r="X35" s="161">
        <f>IF(EZ35="","",IF(ISNUMBER('Dvd Calendar'!$Z$267)=FALSE,"",IF((('Dvd Calendar'!$Z$269=TYPE1)*(TYPE1&lt;&gt;"")+('Dvd Calendar'!$Z$269=TYPE2)*(TYPE2&lt;&gt;"")+('Dvd Calendar'!$Z$269=TYPE3)*(TYPE3&lt;&gt;"")+('Dvd Calendar'!$Z$269=TYPE4)*(TYPE4&lt;&gt;"")+('Dvd Calendar'!$Z$269=SPECIAL_LBL)*(INC_SPECIALS="Y"))=0,"",'Dvd Calendar'!$Z$267)))</f>
        <v/>
      </c>
      <c r="Y35" s="161">
        <f>IF(FA35="","",IF(ISNUMBER('Dvd Calendar'!$AA$267)=FALSE,"",IF((('Dvd Calendar'!$AA$269=TYPE1)*(TYPE1&lt;&gt;"")+('Dvd Calendar'!$AA$269=TYPE2)*(TYPE2&lt;&gt;"")+('Dvd Calendar'!$AA$269=TYPE3)*(TYPE3&lt;&gt;"")+('Dvd Calendar'!$AA$269=TYPE4)*(TYPE4&lt;&gt;"")+('Dvd Calendar'!$AA$269=SPECIAL_LBL)*(INC_SPECIALS="Y"))=0,"",'Dvd Calendar'!$AA$267)))</f>
        <v/>
      </c>
      <c r="Z35" s="161">
        <f>IF(FB35="","",IF(ISNUMBER('Dvd Calendar'!$AB$267)=FALSE,"",IF((('Dvd Calendar'!$AB$269=TYPE1)*(TYPE1&lt;&gt;"")+('Dvd Calendar'!$AB$269=TYPE2)*(TYPE2&lt;&gt;"")+('Dvd Calendar'!$AB$269=TYPE3)*(TYPE3&lt;&gt;"")+('Dvd Calendar'!$AB$269=TYPE4)*(TYPE4&lt;&gt;"")+('Dvd Calendar'!$AB$269=SPECIAL_LBL)*(INC_SPECIALS="Y"))=0,"",'Dvd Calendar'!$AB$267)))</f>
        <v/>
      </c>
      <c r="AA35" s="161">
        <f>IF(FC35="","",IF(ISNUMBER('Dvd Calendar'!$AC$267)=FALSE,"",IF((('Dvd Calendar'!$AC$269=TYPE1)*(TYPE1&lt;&gt;"")+('Dvd Calendar'!$AC$269=TYPE2)*(TYPE2&lt;&gt;"")+('Dvd Calendar'!$AC$269=TYPE3)*(TYPE3&lt;&gt;"")+('Dvd Calendar'!$AC$269=TYPE4)*(TYPE4&lt;&gt;"")+('Dvd Calendar'!$AC$269=SPECIAL_LBL)*(INC_SPECIALS="Y"))=0,"",'Dvd Calendar'!$AC$267)))</f>
        <v/>
      </c>
      <c r="AB35" s="161">
        <f>IF(FD35="","",IF(ISNUMBER('Dvd Calendar'!$AD$267)=FALSE,"",IF((('Dvd Calendar'!$AD$269=TYPE1)*(TYPE1&lt;&gt;"")+('Dvd Calendar'!$AD$269=TYPE2)*(TYPE2&lt;&gt;"")+('Dvd Calendar'!$AD$269=TYPE3)*(TYPE3&lt;&gt;"")+('Dvd Calendar'!$AD$269=TYPE4)*(TYPE4&lt;&gt;"")+('Dvd Calendar'!$AD$269=SPECIAL_LBL)*(INC_SPECIALS="Y"))=0,"",'Dvd Calendar'!$AD$267)))</f>
        <v/>
      </c>
      <c r="AC35" s="161">
        <f>IF(FE35="","",IF(ISNUMBER('Dvd Calendar'!$AE$267)=FALSE,"",IF((('Dvd Calendar'!$AE$269=TYPE1)*(TYPE1&lt;&gt;"")+('Dvd Calendar'!$AE$269=TYPE2)*(TYPE2&lt;&gt;"")+('Dvd Calendar'!$AE$269=TYPE3)*(TYPE3&lt;&gt;"")+('Dvd Calendar'!$AE$269=TYPE4)*(TYPE4&lt;&gt;"")+('Dvd Calendar'!$AE$269=SPECIAL_LBL)*(INC_SPECIALS="Y"))=0,"",'Dvd Calendar'!$AE$267)))</f>
        <v/>
      </c>
      <c r="AD35" s="161">
        <f>IF(FF35="","",IF(ISNUMBER('Dvd Calendar'!$AF$267)=FALSE,"",IF((('Dvd Calendar'!$AF$269=TYPE1)*(TYPE1&lt;&gt;"")+('Dvd Calendar'!$AF$269=TYPE2)*(TYPE2&lt;&gt;"")+('Dvd Calendar'!$AF$269=TYPE3)*(TYPE3&lt;&gt;"")+('Dvd Calendar'!$AF$269=TYPE4)*(TYPE4&lt;&gt;"")+('Dvd Calendar'!$AF$269=SPECIAL_LBL)*(INC_SPECIALS="Y"))=0,"",'Dvd Calendar'!$AF$267)))</f>
        <v/>
      </c>
      <c r="AE35" s="161">
        <f>IF(FG35="","",IF(ISNUMBER('Dvd Calendar'!$AG$267)=FALSE,"",IF((('Dvd Calendar'!$AG$269=TYPE1)*(TYPE1&lt;&gt;"")+('Dvd Calendar'!$AG$269=TYPE2)*(TYPE2&lt;&gt;"")+('Dvd Calendar'!$AG$269=TYPE3)*(TYPE3&lt;&gt;"")+('Dvd Calendar'!$AG$269=TYPE4)*(TYPE4&lt;&gt;"")+('Dvd Calendar'!$AG$269=SPECIAL_LBL)*(INC_SPECIALS="Y"))=0,"",'Dvd Calendar'!$AG$267)))</f>
        <v/>
      </c>
      <c r="AF35" s="161">
        <f>IF(FH35="","",IF(ISNUMBER('Dvd Calendar'!$AH$267)=FALSE,"",IF((('Dvd Calendar'!$AH$269=TYPE1)*(TYPE1&lt;&gt;"")+('Dvd Calendar'!$AH$269=TYPE2)*(TYPE2&lt;&gt;"")+('Dvd Calendar'!$AH$269=TYPE3)*(TYPE3&lt;&gt;"")+('Dvd Calendar'!$AH$269=TYPE4)*(TYPE4&lt;&gt;"")+('Dvd Calendar'!$AH$269=SPECIAL_LBL)*(INC_SPECIALS="Y"))=0,"",'Dvd Calendar'!$AH$267)))</f>
        <v/>
      </c>
      <c r="AG35" s="161">
        <f>IF(FI35="","",IF(ISNUMBER('Dvd Calendar'!$AI$267)=FALSE,"",IF((('Dvd Calendar'!$AI$269=TYPE1)*(TYPE1&lt;&gt;"")+('Dvd Calendar'!$AI$269=TYPE2)*(TYPE2&lt;&gt;"")+('Dvd Calendar'!$AI$269=TYPE3)*(TYPE3&lt;&gt;"")+('Dvd Calendar'!$AI$269=TYPE4)*(TYPE4&lt;&gt;"")+('Dvd Calendar'!$AI$269=SPECIAL_LBL)*(INC_SPECIALS="Y"))=0,"",'Dvd Calendar'!$AI$267)))</f>
        <v/>
      </c>
      <c r="AH35" s="161">
        <f>IF(FJ35="","",IF(ISNUMBER('Dvd Calendar'!$AJ$267)=FALSE,"",IF((('Dvd Calendar'!$AJ$269=TYPE1)*(TYPE1&lt;&gt;"")+('Dvd Calendar'!$AJ$269=TYPE2)*(TYPE2&lt;&gt;"")+('Dvd Calendar'!$AJ$269=TYPE3)*(TYPE3&lt;&gt;"")+('Dvd Calendar'!$AJ$269=TYPE4)*(TYPE4&lt;&gt;"")+('Dvd Calendar'!$AJ$269=SPECIAL_LBL)*(INC_SPECIALS="Y"))=0,"",'Dvd Calendar'!$AJ$267)))</f>
        <v/>
      </c>
      <c r="AI35" s="161">
        <f>IF(FK35="","",IF(ISNUMBER('Dvd Calendar'!$AK$267)=FALSE,"",IF((('Dvd Calendar'!$AK$269=TYPE1)*(TYPE1&lt;&gt;"")+('Dvd Calendar'!$AK$269=TYPE2)*(TYPE2&lt;&gt;"")+('Dvd Calendar'!$AK$269=TYPE3)*(TYPE3&lt;&gt;"")+('Dvd Calendar'!$AK$269=TYPE4)*(TYPE4&lt;&gt;"")+('Dvd Calendar'!$AK$269=SPECIAL_LBL)*(INC_SPECIALS="Y"))=0,"",'Dvd Calendar'!$AK$267)))</f>
        <v/>
      </c>
      <c r="AJ35" s="161">
        <f>IF(FL35="","",IF(ISNUMBER('Dvd Calendar'!$AL$267)=FALSE,"",IF((('Dvd Calendar'!$AL$269=TYPE1)*(TYPE1&lt;&gt;"")+('Dvd Calendar'!$AL$269=TYPE2)*(TYPE2&lt;&gt;"")+('Dvd Calendar'!$AL$269=TYPE3)*(TYPE3&lt;&gt;"")+('Dvd Calendar'!$AL$269=TYPE4)*(TYPE4&lt;&gt;"")+('Dvd Calendar'!$AL$269=SPECIAL_LBL)*(INC_SPECIALS="Y"))=0,"",'Dvd Calendar'!$AL$267)))</f>
        <v/>
      </c>
      <c r="AK35" s="161">
        <f>IF(FM35="","",IF(ISNUMBER('Dvd Calendar'!$AM$267)=FALSE,"",IF((('Dvd Calendar'!$AM$269=TYPE1)*(TYPE1&lt;&gt;"")+('Dvd Calendar'!$AM$269=TYPE2)*(TYPE2&lt;&gt;"")+('Dvd Calendar'!$AM$269=TYPE3)*(TYPE3&lt;&gt;"")+('Dvd Calendar'!$AM$269=TYPE4)*(TYPE4&lt;&gt;"")+('Dvd Calendar'!$AM$269=SPECIAL_LBL)*(INC_SPECIALS="Y"))=0,"",'Dvd Calendar'!$AM$267)))</f>
        <v/>
      </c>
      <c r="AL35" s="161">
        <f>IF(FN35="","",IF(ISNUMBER('Dvd Calendar'!$AN$267)=FALSE,"",IF((('Dvd Calendar'!$AN$269=TYPE1)*(TYPE1&lt;&gt;"")+('Dvd Calendar'!$AN$269=TYPE2)*(TYPE2&lt;&gt;"")+('Dvd Calendar'!$AN$269=TYPE3)*(TYPE3&lt;&gt;"")+('Dvd Calendar'!$AN$269=TYPE4)*(TYPE4&lt;&gt;"")+('Dvd Calendar'!$AN$269=SPECIAL_LBL)*(INC_SPECIALS="Y"))=0,"",'Dvd Calendar'!$AN$267)))</f>
        <v/>
      </c>
      <c r="AM35" s="161">
        <f>IF(FO35="","",IF(ISNUMBER('Dvd Calendar'!$AO$267)=FALSE,"",IF((('Dvd Calendar'!$AO$269=TYPE1)*(TYPE1&lt;&gt;"")+('Dvd Calendar'!$AO$269=TYPE2)*(TYPE2&lt;&gt;"")+('Dvd Calendar'!$AO$269=TYPE3)*(TYPE3&lt;&gt;"")+('Dvd Calendar'!$AO$269=TYPE4)*(TYPE4&lt;&gt;"")+('Dvd Calendar'!$AO$269=SPECIAL_LBL)*(INC_SPECIALS="Y"))=0,"",'Dvd Calendar'!$AO$267)))</f>
        <v/>
      </c>
      <c r="AN35" s="161">
        <f>IF(FP35="","",IF(ISNUMBER('Dvd Calendar'!$AP$267)=FALSE,"",IF((('Dvd Calendar'!$AP$269=TYPE1)*(TYPE1&lt;&gt;"")+('Dvd Calendar'!$AP$269=TYPE2)*(TYPE2&lt;&gt;"")+('Dvd Calendar'!$AP$269=TYPE3)*(TYPE3&lt;&gt;"")+('Dvd Calendar'!$AP$269=TYPE4)*(TYPE4&lt;&gt;"")+('Dvd Calendar'!$AP$269=SPECIAL_LBL)*(INC_SPECIALS="Y"))=0,"",'Dvd Calendar'!$AP$267)))</f>
        <v/>
      </c>
      <c r="AO35" s="161">
        <f>IF(FQ35="","",IF(ISNUMBER('Dvd Calendar'!$AQ$267)=FALSE,"",IF((('Dvd Calendar'!$AQ$269=TYPE1)*(TYPE1&lt;&gt;"")+('Dvd Calendar'!$AQ$269=TYPE2)*(TYPE2&lt;&gt;"")+('Dvd Calendar'!$AQ$269=TYPE3)*(TYPE3&lt;&gt;"")+('Dvd Calendar'!$AQ$269=TYPE4)*(TYPE4&lt;&gt;"")+('Dvd Calendar'!$AQ$269=SPECIAL_LBL)*(INC_SPECIALS="Y"))=0,"",'Dvd Calendar'!$AQ$267)))</f>
        <v/>
      </c>
      <c r="AP35" s="161">
        <f>IF(FR35="","",IF(ISNUMBER('Dvd Calendar'!$AR$267)=FALSE,"",IF((('Dvd Calendar'!$AR$269=TYPE1)*(TYPE1&lt;&gt;"")+('Dvd Calendar'!$AR$269=TYPE2)*(TYPE2&lt;&gt;"")+('Dvd Calendar'!$AR$269=TYPE3)*(TYPE3&lt;&gt;"")+('Dvd Calendar'!$AR$269=TYPE4)*(TYPE4&lt;&gt;"")+('Dvd Calendar'!$AR$269=SPECIAL_LBL)*(INC_SPECIALS="Y"))=0,"",'Dvd Calendar'!$AR$267)))</f>
        <v/>
      </c>
      <c r="AQ35" s="161">
        <f>IF(FS35="","",IF(ISNUMBER('Dvd Calendar'!$E$272)=FALSE,"",'Dvd Calendar'!$E$272))</f>
        <v/>
      </c>
      <c r="AR35" s="161">
        <f>IF(FT35="","",IF(ISNUMBER('Dvd Calendar'!$F$272)=FALSE,"",'Dvd Calendar'!$F$272))</f>
        <v/>
      </c>
      <c r="AS35" s="161">
        <f>IF(FU35="","",IF(ISNUMBER('Dvd Calendar'!$G$272)=FALSE,"",'Dvd Calendar'!$G$272))</f>
        <v/>
      </c>
      <c r="AT35" s="161">
        <f>IF(FV35="","",IF(ISNUMBER('Dvd Calendar'!$H$272)=FALSE,"",'Dvd Calendar'!$H$272))</f>
        <v/>
      </c>
      <c r="AU35" s="161">
        <f>IF(FW35="","",IF(ISNUMBER('Dvd Calendar'!$I$272)=FALSE,"",'Dvd Calendar'!$I$272))</f>
        <v/>
      </c>
      <c r="AV35" s="161">
        <f>IF(FX35="","",IF(ISNUMBER('Dvd Calendar'!$J$272)=FALSE,"",'Dvd Calendar'!$J$272))</f>
        <v/>
      </c>
      <c r="AW35" s="161">
        <f>IF(FY35="","",IF(ISNUMBER('Dvd Calendar'!$K$272)=FALSE,"",'Dvd Calendar'!$K$272))</f>
        <v/>
      </c>
      <c r="AX35" s="161">
        <f>IF(FZ35="","",IF(ISNUMBER('Dvd Calendar'!$L$272)=FALSE,"",'Dvd Calendar'!$L$272))</f>
        <v/>
      </c>
      <c r="AY35" s="161">
        <f>IF(GA35="","",IF(ISNUMBER('Dvd Calendar'!$M$272)=FALSE,"",'Dvd Calendar'!$M$272))</f>
        <v/>
      </c>
      <c r="AZ35" s="161">
        <f>IF(GB35="","",IF(ISNUMBER('Dvd Calendar'!$N$272)=FALSE,"",'Dvd Calendar'!$N$272))</f>
        <v/>
      </c>
      <c r="BA35" s="161">
        <f>IF(GC35="","",IF(ISNUMBER('Dvd Calendar'!$O$272)=FALSE,"",'Dvd Calendar'!$O$272))</f>
        <v/>
      </c>
      <c r="BB35" s="161">
        <f>IF(GD35="","",IF(ISNUMBER('Dvd Calendar'!$P$272)=FALSE,"",'Dvd Calendar'!$P$272))</f>
        <v/>
      </c>
      <c r="BC35" s="161">
        <f>IF(GE35="","",IF(ISNUMBER('Dvd Calendar'!$Q$272)=FALSE,"",'Dvd Calendar'!$Q$272))</f>
        <v/>
      </c>
      <c r="BD35" s="161">
        <f>IF(GF35="","",IF(ISNUMBER('Dvd Calendar'!$R$272)=FALSE,"",'Dvd Calendar'!$R$272))</f>
        <v/>
      </c>
      <c r="BE35" s="161">
        <f>IF(GG35="","",IF(ISNUMBER('Dvd Calendar'!$S$272)=FALSE,"",'Dvd Calendar'!$S$272))</f>
        <v/>
      </c>
      <c r="BF35" s="161">
        <f>IF(GH35="","",IF(ISNUMBER('Dvd Calendar'!$T$272)=FALSE,"",'Dvd Calendar'!$T$272))</f>
        <v/>
      </c>
      <c r="BG35" s="161">
        <f>IF(GI35="","",IF(ISNUMBER('Dvd Calendar'!$U$272)=FALSE,"",'Dvd Calendar'!$U$272))</f>
        <v/>
      </c>
      <c r="BH35" s="161">
        <f>IF(GJ35="","",IF(ISNUMBER('Dvd Calendar'!$V$272)=FALSE,"",'Dvd Calendar'!$V$272))</f>
        <v/>
      </c>
      <c r="BI35" s="161">
        <f>IF(GK35="","",IF(ISNUMBER('Dvd Calendar'!$W$272)=FALSE,"",'Dvd Calendar'!$W$272))</f>
        <v/>
      </c>
      <c r="BJ35" s="161">
        <f>IF(GL35="","",IF(ISNUMBER('Dvd Calendar'!$X$272)=FALSE,"",'Dvd Calendar'!$X$272))</f>
        <v/>
      </c>
      <c r="BK35" s="161">
        <f>IF(GM35="","",IF(ISNUMBER('Dvd Calendar'!$Y$272)=FALSE,"",'Dvd Calendar'!$Y$272))</f>
        <v/>
      </c>
      <c r="BL35" s="161">
        <f>IF(GN35="","",IF(ISNUMBER('Dvd Calendar'!$Z$272)=FALSE,"",'Dvd Calendar'!$Z$272))</f>
        <v/>
      </c>
      <c r="BM35" s="161">
        <f>IF(GO35="","",IF(ISNUMBER('Dvd Calendar'!$AA$272)=FALSE,"",'Dvd Calendar'!$AA$272))</f>
        <v/>
      </c>
      <c r="BN35" s="161">
        <f>IF(GP35="","",IF(ISNUMBER('Dvd Calendar'!$AB$272)=FALSE,"",'Dvd Calendar'!$AB$272))</f>
        <v/>
      </c>
      <c r="BO35" s="161">
        <f>IF(GQ35="","",IF(ISNUMBER('Dvd Calendar'!$AC$272)=FALSE,"",'Dvd Calendar'!$AC$272))</f>
        <v/>
      </c>
      <c r="BQ35" s="161">
        <f>IF(C35="","",IFERROR(C35*HSI!$B$30*HSI!$G$30/HSI!$B$3,""))</f>
        <v/>
      </c>
      <c r="BR35" s="161">
        <f>IF(D35="","",IFERROR(D35*HSI!$B$30*HSI!$G$30/HSI!$B$3,""))</f>
        <v/>
      </c>
      <c r="BS35" s="161">
        <f>IF(E35="","",IFERROR(E35*HSI!$B$30*HSI!$G$30/HSI!$B$3,""))</f>
        <v/>
      </c>
      <c r="BT35" s="161">
        <f>IF(F35="","",IFERROR(F35*HSI!$B$30*HSI!$G$30/HSI!$B$3,""))</f>
        <v/>
      </c>
      <c r="BU35" s="161">
        <f>IF(G35="","",IFERROR(G35*HSI!$B$30*HSI!$G$30/HSI!$B$3,""))</f>
        <v/>
      </c>
      <c r="BV35" s="161">
        <f>IF(H35="","",IFERROR(H35*HSI!$B$30*HSI!$G$30/HSI!$B$3,""))</f>
        <v/>
      </c>
      <c r="BW35" s="161">
        <f>IF(I35="","",IFERROR(I35*HSI!$B$30*HSI!$G$30/HSI!$B$3,""))</f>
        <v/>
      </c>
      <c r="BX35" s="161">
        <f>IF(J35="","",IFERROR(J35*HSI!$B$30*HSI!$G$30/HSI!$B$3,""))</f>
        <v/>
      </c>
      <c r="BY35" s="161">
        <f>IF(K35="","",IFERROR(K35*HSI!$B$30*HSI!$G$30/HSI!$B$3,""))</f>
        <v/>
      </c>
      <c r="BZ35" s="161">
        <f>IF(L35="","",IFERROR(L35*HSI!$B$30*HSI!$G$30/HSI!$B$3,""))</f>
        <v/>
      </c>
      <c r="CA35" s="161">
        <f>IF(M35="","",IFERROR(M35*HSI!$B$30*HSI!$G$30/HSI!$B$3,""))</f>
        <v/>
      </c>
      <c r="CB35" s="161">
        <f>IF(N35="","",IFERROR(N35*HSI!$B$30*HSI!$G$30/HSI!$B$3,""))</f>
        <v/>
      </c>
      <c r="CC35" s="161">
        <f>IF(O35="","",IFERROR(O35*HSI!$B$30*HSI!$G$30/HSI!$B$3,""))</f>
        <v/>
      </c>
      <c r="CD35" s="161">
        <f>IF(P35="","",IFERROR(P35*HSI!$B$30*HSI!$G$30/HSI!$B$3,""))</f>
        <v/>
      </c>
      <c r="CE35" s="161">
        <f>IF(Q35="","",IFERROR(Q35*HSI!$B$30*HSI!$G$30/HSI!$B$3,""))</f>
        <v/>
      </c>
      <c r="CF35" s="161">
        <f>IF(R35="","",IFERROR(R35*HSI!$B$30*HSI!$G$30/HSI!$B$3,""))</f>
        <v/>
      </c>
      <c r="CG35" s="161">
        <f>IF(S35="","",IFERROR(S35*HSI!$B$30*HSI!$G$30/HSI!$B$3,""))</f>
        <v/>
      </c>
      <c r="CH35" s="161">
        <f>IF(T35="","",IFERROR(T35*HSI!$B$30*HSI!$G$30/HSI!$B$3,""))</f>
        <v/>
      </c>
      <c r="CI35" s="161">
        <f>IF(U35="","",IFERROR(U35*HSI!$B$30*HSI!$G$30/HSI!$B$3,""))</f>
        <v/>
      </c>
      <c r="CJ35" s="161">
        <f>IF(V35="","",IFERROR(V35*HSI!$B$30*HSI!$G$30/HSI!$B$3,""))</f>
        <v/>
      </c>
      <c r="CK35" s="161">
        <f>IF(W35="","",IFERROR(W35*HSI!$B$30*HSI!$G$30/HSI!$B$3,""))</f>
        <v/>
      </c>
      <c r="CL35" s="161">
        <f>IF(X35="","",IFERROR(X35*HSI!$B$30*HSI!$G$30/HSI!$B$3,""))</f>
        <v/>
      </c>
      <c r="CM35" s="161">
        <f>IF(Y35="","",IFERROR(Y35*HSI!$B$30*HSI!$G$30/HSI!$B$3,""))</f>
        <v/>
      </c>
      <c r="CN35" s="161">
        <f>IF(Z35="","",IFERROR(Z35*HSI!$B$30*HSI!$G$30/HSI!$B$3,""))</f>
        <v/>
      </c>
      <c r="CO35" s="161">
        <f>IF(AA35="","",IFERROR(AA35*HSI!$B$30*HSI!$G$30/HSI!$B$3,""))</f>
        <v/>
      </c>
      <c r="CP35" s="161">
        <f>IF(AB35="","",IFERROR(AB35*HSI!$B$30*HSI!$G$30/HSI!$B$3,""))</f>
        <v/>
      </c>
      <c r="CQ35" s="161">
        <f>IF(AC35="","",IFERROR(AC35*HSI!$B$30*HSI!$G$30/HSI!$B$3,""))</f>
        <v/>
      </c>
      <c r="CR35" s="161">
        <f>IF(AD35="","",IFERROR(AD35*HSI!$B$30*HSI!$G$30/HSI!$B$3,""))</f>
        <v/>
      </c>
      <c r="CS35" s="161">
        <f>IF(AE35="","",IFERROR(AE35*HSI!$B$30*HSI!$G$30/HSI!$B$3,""))</f>
        <v/>
      </c>
      <c r="CT35" s="161">
        <f>IF(AF35="","",IFERROR(AF35*HSI!$B$30*HSI!$G$30/HSI!$B$3,""))</f>
        <v/>
      </c>
      <c r="CU35" s="161">
        <f>IF(AG35="","",IFERROR(AG35*HSI!$B$30*HSI!$G$30/HSI!$B$3,""))</f>
        <v/>
      </c>
      <c r="CV35" s="161">
        <f>IF(AH35="","",IFERROR(AH35*HSI!$B$30*HSI!$G$30/HSI!$B$3,""))</f>
        <v/>
      </c>
      <c r="CW35" s="161">
        <f>IF(AI35="","",IFERROR(AI35*HSI!$B$30*HSI!$G$30/HSI!$B$3,""))</f>
        <v/>
      </c>
      <c r="CX35" s="161">
        <f>IF(AJ35="","",IFERROR(AJ35*HSI!$B$30*HSI!$G$30/HSI!$B$3,""))</f>
        <v/>
      </c>
      <c r="CY35" s="161">
        <f>IF(AK35="","",IFERROR(AK35*HSI!$B$30*HSI!$G$30/HSI!$B$3,""))</f>
        <v/>
      </c>
      <c r="CZ35" s="161">
        <f>IF(AL35="","",IFERROR(AL35*HSI!$B$30*HSI!$G$30/HSI!$B$3,""))</f>
        <v/>
      </c>
      <c r="DA35" s="161">
        <f>IF(AM35="","",IFERROR(AM35*HSI!$B$30*HSI!$G$30/HSI!$B$3,""))</f>
        <v/>
      </c>
      <c r="DB35" s="161">
        <f>IF(AN35="","",IFERROR(AN35*HSI!$B$30*HSI!$G$30/HSI!$B$3,""))</f>
        <v/>
      </c>
      <c r="DC35" s="161">
        <f>IF(AO35="","",IFERROR(AO35*HSI!$B$30*HSI!$G$30/HSI!$B$3,""))</f>
        <v/>
      </c>
      <c r="DD35" s="161">
        <f>IF(AP35="","",IFERROR(AP35*HSI!$B$30*HSI!$G$30/HSI!$B$3,""))</f>
        <v/>
      </c>
      <c r="DE35" s="161">
        <f>IF(AQ35="","",IFERROR(AQ35*HSI!$B$30*HSI!$G$30/HSI!$B$3,""))</f>
        <v/>
      </c>
      <c r="DF35" s="161">
        <f>IF(AR35="","",IFERROR(AR35*HSI!$B$30*HSI!$G$30/HSI!$B$3,""))</f>
        <v/>
      </c>
      <c r="DG35" s="161">
        <f>IF(AS35="","",IFERROR(AS35*HSI!$B$30*HSI!$G$30/HSI!$B$3,""))</f>
        <v/>
      </c>
      <c r="DH35" s="161">
        <f>IF(AT35="","",IFERROR(AT35*HSI!$B$30*HSI!$G$30/HSI!$B$3,""))</f>
        <v/>
      </c>
      <c r="DI35" s="161">
        <f>IF(AU35="","",IFERROR(AU35*HSI!$B$30*HSI!$G$30/HSI!$B$3,""))</f>
        <v/>
      </c>
      <c r="DJ35" s="161">
        <f>IF(AV35="","",IFERROR(AV35*HSI!$B$30*HSI!$G$30/HSI!$B$3,""))</f>
        <v/>
      </c>
      <c r="DK35" s="161">
        <f>IF(AW35="","",IFERROR(AW35*HSI!$B$30*HSI!$G$30/HSI!$B$3,""))</f>
        <v/>
      </c>
      <c r="DL35" s="161">
        <f>IF(AX35="","",IFERROR(AX35*HSI!$B$30*HSI!$G$30/HSI!$B$3,""))</f>
        <v/>
      </c>
      <c r="DM35" s="161">
        <f>IF(AY35="","",IFERROR(AY35*HSI!$B$30*HSI!$G$30/HSI!$B$3,""))</f>
        <v/>
      </c>
      <c r="DN35" s="161">
        <f>IF(AZ35="","",IFERROR(AZ35*HSI!$B$30*HSI!$G$30/HSI!$B$3,""))</f>
        <v/>
      </c>
      <c r="DO35" s="161">
        <f>IF(BA35="","",IFERROR(BA35*HSI!$B$30*HSI!$G$30/HSI!$B$3,""))</f>
        <v/>
      </c>
      <c r="DP35" s="161">
        <f>IF(BB35="","",IFERROR(BB35*HSI!$B$30*HSI!$G$30/HSI!$B$3,""))</f>
        <v/>
      </c>
      <c r="DQ35" s="161">
        <f>IF(BC35="","",IFERROR(BC35*HSI!$B$30*HSI!$G$30/HSI!$B$3,""))</f>
        <v/>
      </c>
      <c r="DR35" s="161">
        <f>IF(BD35="","",IFERROR(BD35*HSI!$B$30*HSI!$G$30/HSI!$B$3,""))</f>
        <v/>
      </c>
      <c r="DS35" s="161">
        <f>IF(BE35="","",IFERROR(BE35*HSI!$B$30*HSI!$G$30/HSI!$B$3,""))</f>
        <v/>
      </c>
      <c r="DT35" s="161">
        <f>IF(BF35="","",IFERROR(BF35*HSI!$B$30*HSI!$G$30/HSI!$B$3,""))</f>
        <v/>
      </c>
      <c r="DU35" s="161">
        <f>IF(BG35="","",IFERROR(BG35*HSI!$B$30*HSI!$G$30/HSI!$B$3,""))</f>
        <v/>
      </c>
      <c r="DV35" s="161">
        <f>IF(BH35="","",IFERROR(BH35*HSI!$B$30*HSI!$G$30/HSI!$B$3,""))</f>
        <v/>
      </c>
      <c r="DW35" s="161">
        <f>IF(BI35="","",IFERROR(BI35*HSI!$B$30*HSI!$G$30/HSI!$B$3,""))</f>
        <v/>
      </c>
      <c r="DX35" s="161">
        <f>IF(BJ35="","",IFERROR(BJ35*HSI!$B$30*HSI!$G$30/HSI!$B$3,""))</f>
        <v/>
      </c>
      <c r="DY35" s="161">
        <f>IF(BK35="","",IFERROR(BK35*HSI!$B$30*HSI!$G$30/HSI!$B$3,""))</f>
        <v/>
      </c>
      <c r="DZ35" s="161">
        <f>IF(BL35="","",IFERROR(BL35*HSI!$B$30*HSI!$G$30/HSI!$B$3,""))</f>
        <v/>
      </c>
      <c r="EA35" s="161">
        <f>IF(BM35="","",IFERROR(BM35*HSI!$B$30*HSI!$G$30/HSI!$B$3,""))</f>
        <v/>
      </c>
      <c r="EB35" s="161">
        <f>IF(BN35="","",IFERROR(BN35*HSI!$B$30*HSI!$G$30/HSI!$B$3,""))</f>
        <v/>
      </c>
      <c r="EC35" s="161">
        <f>IF(BO35="","",IFERROR(BO35*HSI!$B$30*HSI!$G$30/HSI!$B$3,""))</f>
        <v/>
      </c>
      <c r="EE35" s="121">
        <f>IF(N('Dvd Calendar'!$E$264)=0,"",IF(('Dvd Calendar'!$E$264&gt;=GRID_FROM)*('Dvd Calendar'!$E$264&lt;=GRID_TO)*((('Dvd Calendar'!$E$264&lt;=VAL_DATE)+(COUNTIF('Dvd Calendar'!$E$271:$AR$271,'Dvd Calendar'!$E$264)=0))&gt;0)=0,"",'Dvd Calendar'!$E$264*1000000000+ISNUMBER('Dvd Calendar'!$E$267)*100000000+('Dvd Calendar'!$E$269=SPECIAL_LBL)*10000000+(N('Dvd Calendar'!$E$263)&gt;0)*(N('Dvd Calendar'!$E$263)&lt;=VAL_SERIAL)*1000000+24*1000+1))</f>
        <v/>
      </c>
      <c r="EF35" s="121">
        <f>IF(N('Dvd Calendar'!$F$264)=0,"",IF(('Dvd Calendar'!$F$264&gt;=GRID_FROM)*('Dvd Calendar'!$F$264&lt;=GRID_TO)*((('Dvd Calendar'!$F$264&lt;=VAL_DATE)+(COUNTIF('Dvd Calendar'!$E$271:$AR$271,'Dvd Calendar'!$F$264)=0))&gt;0)=0,"",'Dvd Calendar'!$F$264*1000000000+ISNUMBER('Dvd Calendar'!$F$267)*100000000+('Dvd Calendar'!$F$269=SPECIAL_LBL)*10000000+(N('Dvd Calendar'!$F$263)&gt;0)*(N('Dvd Calendar'!$F$263)&lt;=VAL_SERIAL)*1000000+24*1000+2))</f>
        <v/>
      </c>
      <c r="EG35" s="121">
        <f>IF(N('Dvd Calendar'!$G$264)=0,"",IF(('Dvd Calendar'!$G$264&gt;=GRID_FROM)*('Dvd Calendar'!$G$264&lt;=GRID_TO)*((('Dvd Calendar'!$G$264&lt;=VAL_DATE)+(COUNTIF('Dvd Calendar'!$E$271:$AR$271,'Dvd Calendar'!$G$264)=0))&gt;0)=0,"",'Dvd Calendar'!$G$264*1000000000+ISNUMBER('Dvd Calendar'!$G$267)*100000000+('Dvd Calendar'!$G$269=SPECIAL_LBL)*10000000+(N('Dvd Calendar'!$G$263)&gt;0)*(N('Dvd Calendar'!$G$263)&lt;=VAL_SERIAL)*1000000+24*1000+3))</f>
        <v/>
      </c>
      <c r="EH35" s="121">
        <f>IF(N('Dvd Calendar'!$H$264)=0,"",IF(('Dvd Calendar'!$H$264&gt;=GRID_FROM)*('Dvd Calendar'!$H$264&lt;=GRID_TO)*((('Dvd Calendar'!$H$264&lt;=VAL_DATE)+(COUNTIF('Dvd Calendar'!$E$271:$AR$271,'Dvd Calendar'!$H$264)=0))&gt;0)=0,"",'Dvd Calendar'!$H$264*1000000000+ISNUMBER('Dvd Calendar'!$H$267)*100000000+('Dvd Calendar'!$H$269=SPECIAL_LBL)*10000000+(N('Dvd Calendar'!$H$263)&gt;0)*(N('Dvd Calendar'!$H$263)&lt;=VAL_SERIAL)*1000000+24*1000+4))</f>
        <v/>
      </c>
      <c r="EI35" s="121">
        <f>IF(N('Dvd Calendar'!$I$264)=0,"",IF(('Dvd Calendar'!$I$264&gt;=GRID_FROM)*('Dvd Calendar'!$I$264&lt;=GRID_TO)*((('Dvd Calendar'!$I$264&lt;=VAL_DATE)+(COUNTIF('Dvd Calendar'!$E$271:$AR$271,'Dvd Calendar'!$I$264)=0))&gt;0)=0,"",'Dvd Calendar'!$I$264*1000000000+ISNUMBER('Dvd Calendar'!$I$267)*100000000+('Dvd Calendar'!$I$269=SPECIAL_LBL)*10000000+(N('Dvd Calendar'!$I$263)&gt;0)*(N('Dvd Calendar'!$I$263)&lt;=VAL_SERIAL)*1000000+24*1000+5))</f>
        <v/>
      </c>
      <c r="EJ35" s="121">
        <f>IF(N('Dvd Calendar'!$J$264)=0,"",IF(('Dvd Calendar'!$J$264&gt;=GRID_FROM)*('Dvd Calendar'!$J$264&lt;=GRID_TO)*((('Dvd Calendar'!$J$264&lt;=VAL_DATE)+(COUNTIF('Dvd Calendar'!$E$271:$AR$271,'Dvd Calendar'!$J$264)=0))&gt;0)=0,"",'Dvd Calendar'!$J$264*1000000000+ISNUMBER('Dvd Calendar'!$J$267)*100000000+('Dvd Calendar'!$J$269=SPECIAL_LBL)*10000000+(N('Dvd Calendar'!$J$263)&gt;0)*(N('Dvd Calendar'!$J$263)&lt;=VAL_SERIAL)*1000000+24*1000+6))</f>
        <v/>
      </c>
      <c r="EK35" s="121">
        <f>IF(N('Dvd Calendar'!$K$264)=0,"",IF(('Dvd Calendar'!$K$264&gt;=GRID_FROM)*('Dvd Calendar'!$K$264&lt;=GRID_TO)*((('Dvd Calendar'!$K$264&lt;=VAL_DATE)+(COUNTIF('Dvd Calendar'!$E$271:$AR$271,'Dvd Calendar'!$K$264)=0))&gt;0)=0,"",'Dvd Calendar'!$K$264*1000000000+ISNUMBER('Dvd Calendar'!$K$267)*100000000+('Dvd Calendar'!$K$269=SPECIAL_LBL)*10000000+(N('Dvd Calendar'!$K$263)&gt;0)*(N('Dvd Calendar'!$K$263)&lt;=VAL_SERIAL)*1000000+24*1000+7))</f>
        <v/>
      </c>
      <c r="EL35" s="121">
        <f>IF(N('Dvd Calendar'!$L$264)=0,"",IF(('Dvd Calendar'!$L$264&gt;=GRID_FROM)*('Dvd Calendar'!$L$264&lt;=GRID_TO)*((('Dvd Calendar'!$L$264&lt;=VAL_DATE)+(COUNTIF('Dvd Calendar'!$E$271:$AR$271,'Dvd Calendar'!$L$264)=0))&gt;0)=0,"",'Dvd Calendar'!$L$264*1000000000+ISNUMBER('Dvd Calendar'!$L$267)*100000000+('Dvd Calendar'!$L$269=SPECIAL_LBL)*10000000+(N('Dvd Calendar'!$L$263)&gt;0)*(N('Dvd Calendar'!$L$263)&lt;=VAL_SERIAL)*1000000+24*1000+8))</f>
        <v/>
      </c>
      <c r="EM35" s="121">
        <f>IF(N('Dvd Calendar'!$M$264)=0,"",IF(('Dvd Calendar'!$M$264&gt;=GRID_FROM)*('Dvd Calendar'!$M$264&lt;=GRID_TO)*((('Dvd Calendar'!$M$264&lt;=VAL_DATE)+(COUNTIF('Dvd Calendar'!$E$271:$AR$271,'Dvd Calendar'!$M$264)=0))&gt;0)=0,"",'Dvd Calendar'!$M$264*1000000000+ISNUMBER('Dvd Calendar'!$M$267)*100000000+('Dvd Calendar'!$M$269=SPECIAL_LBL)*10000000+(N('Dvd Calendar'!$M$263)&gt;0)*(N('Dvd Calendar'!$M$263)&lt;=VAL_SERIAL)*1000000+24*1000+9))</f>
        <v/>
      </c>
      <c r="EN35" s="121">
        <f>IF(N('Dvd Calendar'!$N$264)=0,"",IF(('Dvd Calendar'!$N$264&gt;=GRID_FROM)*('Dvd Calendar'!$N$264&lt;=GRID_TO)*((('Dvd Calendar'!$N$264&lt;=VAL_DATE)+(COUNTIF('Dvd Calendar'!$E$271:$AR$271,'Dvd Calendar'!$N$264)=0))&gt;0)=0,"",'Dvd Calendar'!$N$264*1000000000+ISNUMBER('Dvd Calendar'!$N$267)*100000000+('Dvd Calendar'!$N$269=SPECIAL_LBL)*10000000+(N('Dvd Calendar'!$N$263)&gt;0)*(N('Dvd Calendar'!$N$263)&lt;=VAL_SERIAL)*1000000+24*1000+10))</f>
        <v/>
      </c>
      <c r="EO35" s="121">
        <f>IF(N('Dvd Calendar'!$O$264)=0,"",IF(('Dvd Calendar'!$O$264&gt;=GRID_FROM)*('Dvd Calendar'!$O$264&lt;=GRID_TO)*((('Dvd Calendar'!$O$264&lt;=VAL_DATE)+(COUNTIF('Dvd Calendar'!$E$271:$AR$271,'Dvd Calendar'!$O$264)=0))&gt;0)=0,"",'Dvd Calendar'!$O$264*1000000000+ISNUMBER('Dvd Calendar'!$O$267)*100000000+('Dvd Calendar'!$O$269=SPECIAL_LBL)*10000000+(N('Dvd Calendar'!$O$263)&gt;0)*(N('Dvd Calendar'!$O$263)&lt;=VAL_SERIAL)*1000000+24*1000+11))</f>
        <v/>
      </c>
      <c r="EP35" s="121">
        <f>IF(N('Dvd Calendar'!$P$264)=0,"",IF(('Dvd Calendar'!$P$264&gt;=GRID_FROM)*('Dvd Calendar'!$P$264&lt;=GRID_TO)*((('Dvd Calendar'!$P$264&lt;=VAL_DATE)+(COUNTIF('Dvd Calendar'!$E$271:$AR$271,'Dvd Calendar'!$P$264)=0))&gt;0)=0,"",'Dvd Calendar'!$P$264*1000000000+ISNUMBER('Dvd Calendar'!$P$267)*100000000+('Dvd Calendar'!$P$269=SPECIAL_LBL)*10000000+(N('Dvd Calendar'!$P$263)&gt;0)*(N('Dvd Calendar'!$P$263)&lt;=VAL_SERIAL)*1000000+24*1000+12))</f>
        <v/>
      </c>
      <c r="EQ35" s="121">
        <f>IF(N('Dvd Calendar'!$Q$264)=0,"",IF(('Dvd Calendar'!$Q$264&gt;=GRID_FROM)*('Dvd Calendar'!$Q$264&lt;=GRID_TO)*((('Dvd Calendar'!$Q$264&lt;=VAL_DATE)+(COUNTIF('Dvd Calendar'!$E$271:$AR$271,'Dvd Calendar'!$Q$264)=0))&gt;0)=0,"",'Dvd Calendar'!$Q$264*1000000000+ISNUMBER('Dvd Calendar'!$Q$267)*100000000+('Dvd Calendar'!$Q$269=SPECIAL_LBL)*10000000+(N('Dvd Calendar'!$Q$263)&gt;0)*(N('Dvd Calendar'!$Q$263)&lt;=VAL_SERIAL)*1000000+24*1000+13))</f>
        <v/>
      </c>
      <c r="ER35" s="121">
        <f>IF(N('Dvd Calendar'!$R$264)=0,"",IF(('Dvd Calendar'!$R$264&gt;=GRID_FROM)*('Dvd Calendar'!$R$264&lt;=GRID_TO)*((('Dvd Calendar'!$R$264&lt;=VAL_DATE)+(COUNTIF('Dvd Calendar'!$E$271:$AR$271,'Dvd Calendar'!$R$264)=0))&gt;0)=0,"",'Dvd Calendar'!$R$264*1000000000+ISNUMBER('Dvd Calendar'!$R$267)*100000000+('Dvd Calendar'!$R$269=SPECIAL_LBL)*10000000+(N('Dvd Calendar'!$R$263)&gt;0)*(N('Dvd Calendar'!$R$263)&lt;=VAL_SERIAL)*1000000+24*1000+14))</f>
        <v/>
      </c>
      <c r="ES35" s="121">
        <f>IF(N('Dvd Calendar'!$S$264)=0,"",IF(('Dvd Calendar'!$S$264&gt;=GRID_FROM)*('Dvd Calendar'!$S$264&lt;=GRID_TO)*((('Dvd Calendar'!$S$264&lt;=VAL_DATE)+(COUNTIF('Dvd Calendar'!$E$271:$AR$271,'Dvd Calendar'!$S$264)=0))&gt;0)=0,"",'Dvd Calendar'!$S$264*1000000000+ISNUMBER('Dvd Calendar'!$S$267)*100000000+('Dvd Calendar'!$S$269=SPECIAL_LBL)*10000000+(N('Dvd Calendar'!$S$263)&gt;0)*(N('Dvd Calendar'!$S$263)&lt;=VAL_SERIAL)*1000000+24*1000+15))</f>
        <v/>
      </c>
      <c r="ET35" s="121">
        <f>IF(N('Dvd Calendar'!$T$264)=0,"",IF(('Dvd Calendar'!$T$264&gt;=GRID_FROM)*('Dvd Calendar'!$T$264&lt;=GRID_TO)*((('Dvd Calendar'!$T$264&lt;=VAL_DATE)+(COUNTIF('Dvd Calendar'!$E$271:$AR$271,'Dvd Calendar'!$T$264)=0))&gt;0)=0,"",'Dvd Calendar'!$T$264*1000000000+ISNUMBER('Dvd Calendar'!$T$267)*100000000+('Dvd Calendar'!$T$269=SPECIAL_LBL)*10000000+(N('Dvd Calendar'!$T$263)&gt;0)*(N('Dvd Calendar'!$T$263)&lt;=VAL_SERIAL)*1000000+24*1000+16))</f>
        <v/>
      </c>
      <c r="EU35" s="121">
        <f>IF(N('Dvd Calendar'!$U$264)=0,"",IF(('Dvd Calendar'!$U$264&gt;=GRID_FROM)*('Dvd Calendar'!$U$264&lt;=GRID_TO)*((('Dvd Calendar'!$U$264&lt;=VAL_DATE)+(COUNTIF('Dvd Calendar'!$E$271:$AR$271,'Dvd Calendar'!$U$264)=0))&gt;0)=0,"",'Dvd Calendar'!$U$264*1000000000+ISNUMBER('Dvd Calendar'!$U$267)*100000000+('Dvd Calendar'!$U$269=SPECIAL_LBL)*10000000+(N('Dvd Calendar'!$U$263)&gt;0)*(N('Dvd Calendar'!$U$263)&lt;=VAL_SERIAL)*1000000+24*1000+17))</f>
        <v/>
      </c>
      <c r="EV35" s="121">
        <f>IF(N('Dvd Calendar'!$V$264)=0,"",IF(('Dvd Calendar'!$V$264&gt;=GRID_FROM)*('Dvd Calendar'!$V$264&lt;=GRID_TO)*((('Dvd Calendar'!$V$264&lt;=VAL_DATE)+(COUNTIF('Dvd Calendar'!$E$271:$AR$271,'Dvd Calendar'!$V$264)=0))&gt;0)=0,"",'Dvd Calendar'!$V$264*1000000000+ISNUMBER('Dvd Calendar'!$V$267)*100000000+('Dvd Calendar'!$V$269=SPECIAL_LBL)*10000000+(N('Dvd Calendar'!$V$263)&gt;0)*(N('Dvd Calendar'!$V$263)&lt;=VAL_SERIAL)*1000000+24*1000+18))</f>
        <v/>
      </c>
      <c r="EW35" s="121">
        <f>IF(N('Dvd Calendar'!$W$264)=0,"",IF(('Dvd Calendar'!$W$264&gt;=GRID_FROM)*('Dvd Calendar'!$W$264&lt;=GRID_TO)*((('Dvd Calendar'!$W$264&lt;=VAL_DATE)+(COUNTIF('Dvd Calendar'!$E$271:$AR$271,'Dvd Calendar'!$W$264)=0))&gt;0)=0,"",'Dvd Calendar'!$W$264*1000000000+ISNUMBER('Dvd Calendar'!$W$267)*100000000+('Dvd Calendar'!$W$269=SPECIAL_LBL)*10000000+(N('Dvd Calendar'!$W$263)&gt;0)*(N('Dvd Calendar'!$W$263)&lt;=VAL_SERIAL)*1000000+24*1000+19))</f>
        <v/>
      </c>
      <c r="EX35" s="121">
        <f>IF(N('Dvd Calendar'!$X$264)=0,"",IF(('Dvd Calendar'!$X$264&gt;=GRID_FROM)*('Dvd Calendar'!$X$264&lt;=GRID_TO)*((('Dvd Calendar'!$X$264&lt;=VAL_DATE)+(COUNTIF('Dvd Calendar'!$E$271:$AR$271,'Dvd Calendar'!$X$264)=0))&gt;0)=0,"",'Dvd Calendar'!$X$264*1000000000+ISNUMBER('Dvd Calendar'!$X$267)*100000000+('Dvd Calendar'!$X$269=SPECIAL_LBL)*10000000+(N('Dvd Calendar'!$X$263)&gt;0)*(N('Dvd Calendar'!$X$263)&lt;=VAL_SERIAL)*1000000+24*1000+20))</f>
        <v/>
      </c>
      <c r="EY35" s="121">
        <f>IF(N('Dvd Calendar'!$Y$264)=0,"",IF(('Dvd Calendar'!$Y$264&gt;=GRID_FROM)*('Dvd Calendar'!$Y$264&lt;=GRID_TO)*((('Dvd Calendar'!$Y$264&lt;=VAL_DATE)+(COUNTIF('Dvd Calendar'!$E$271:$AR$271,'Dvd Calendar'!$Y$264)=0))&gt;0)=0,"",'Dvd Calendar'!$Y$264*1000000000+ISNUMBER('Dvd Calendar'!$Y$267)*100000000+('Dvd Calendar'!$Y$269=SPECIAL_LBL)*10000000+(N('Dvd Calendar'!$Y$263)&gt;0)*(N('Dvd Calendar'!$Y$263)&lt;=VAL_SERIAL)*1000000+24*1000+21))</f>
        <v/>
      </c>
      <c r="EZ35" s="121">
        <f>IF(N('Dvd Calendar'!$Z$264)=0,"",IF(('Dvd Calendar'!$Z$264&gt;=GRID_FROM)*('Dvd Calendar'!$Z$264&lt;=GRID_TO)*((('Dvd Calendar'!$Z$264&lt;=VAL_DATE)+(COUNTIF('Dvd Calendar'!$E$271:$AR$271,'Dvd Calendar'!$Z$264)=0))&gt;0)=0,"",'Dvd Calendar'!$Z$264*1000000000+ISNUMBER('Dvd Calendar'!$Z$267)*100000000+('Dvd Calendar'!$Z$269=SPECIAL_LBL)*10000000+(N('Dvd Calendar'!$Z$263)&gt;0)*(N('Dvd Calendar'!$Z$263)&lt;=VAL_SERIAL)*1000000+24*1000+22))</f>
        <v/>
      </c>
      <c r="FA35" s="121">
        <f>IF(N('Dvd Calendar'!$AA$264)=0,"",IF(('Dvd Calendar'!$AA$264&gt;=GRID_FROM)*('Dvd Calendar'!$AA$264&lt;=GRID_TO)*((('Dvd Calendar'!$AA$264&lt;=VAL_DATE)+(COUNTIF('Dvd Calendar'!$E$271:$AR$271,'Dvd Calendar'!$AA$264)=0))&gt;0)=0,"",'Dvd Calendar'!$AA$264*1000000000+ISNUMBER('Dvd Calendar'!$AA$267)*100000000+('Dvd Calendar'!$AA$269=SPECIAL_LBL)*10000000+(N('Dvd Calendar'!$AA$263)&gt;0)*(N('Dvd Calendar'!$AA$263)&lt;=VAL_SERIAL)*1000000+24*1000+23))</f>
        <v/>
      </c>
      <c r="FB35" s="121">
        <f>IF(N('Dvd Calendar'!$AB$264)=0,"",IF(('Dvd Calendar'!$AB$264&gt;=GRID_FROM)*('Dvd Calendar'!$AB$264&lt;=GRID_TO)*((('Dvd Calendar'!$AB$264&lt;=VAL_DATE)+(COUNTIF('Dvd Calendar'!$E$271:$AR$271,'Dvd Calendar'!$AB$264)=0))&gt;0)=0,"",'Dvd Calendar'!$AB$264*1000000000+ISNUMBER('Dvd Calendar'!$AB$267)*100000000+('Dvd Calendar'!$AB$269=SPECIAL_LBL)*10000000+(N('Dvd Calendar'!$AB$263)&gt;0)*(N('Dvd Calendar'!$AB$263)&lt;=VAL_SERIAL)*1000000+24*1000+24))</f>
        <v/>
      </c>
      <c r="FC35" s="121">
        <f>IF(N('Dvd Calendar'!$AC$264)=0,"",IF(('Dvd Calendar'!$AC$264&gt;=GRID_FROM)*('Dvd Calendar'!$AC$264&lt;=GRID_TO)*((('Dvd Calendar'!$AC$264&lt;=VAL_DATE)+(COUNTIF('Dvd Calendar'!$E$271:$AR$271,'Dvd Calendar'!$AC$264)=0))&gt;0)=0,"",'Dvd Calendar'!$AC$264*1000000000+ISNUMBER('Dvd Calendar'!$AC$267)*100000000+('Dvd Calendar'!$AC$269=SPECIAL_LBL)*10000000+(N('Dvd Calendar'!$AC$263)&gt;0)*(N('Dvd Calendar'!$AC$263)&lt;=VAL_SERIAL)*1000000+24*1000+25))</f>
        <v/>
      </c>
      <c r="FD35" s="121">
        <f>IF(N('Dvd Calendar'!$AD$264)=0,"",IF(('Dvd Calendar'!$AD$264&gt;=GRID_FROM)*('Dvd Calendar'!$AD$264&lt;=GRID_TO)*((('Dvd Calendar'!$AD$264&lt;=VAL_DATE)+(COUNTIF('Dvd Calendar'!$E$271:$AR$271,'Dvd Calendar'!$AD$264)=0))&gt;0)=0,"",'Dvd Calendar'!$AD$264*1000000000+ISNUMBER('Dvd Calendar'!$AD$267)*100000000+('Dvd Calendar'!$AD$269=SPECIAL_LBL)*10000000+(N('Dvd Calendar'!$AD$263)&gt;0)*(N('Dvd Calendar'!$AD$263)&lt;=VAL_SERIAL)*1000000+24*1000+26))</f>
        <v/>
      </c>
      <c r="FE35" s="121">
        <f>IF(N('Dvd Calendar'!$AE$264)=0,"",IF(('Dvd Calendar'!$AE$264&gt;=GRID_FROM)*('Dvd Calendar'!$AE$264&lt;=GRID_TO)*((('Dvd Calendar'!$AE$264&lt;=VAL_DATE)+(COUNTIF('Dvd Calendar'!$E$271:$AR$271,'Dvd Calendar'!$AE$264)=0))&gt;0)=0,"",'Dvd Calendar'!$AE$264*1000000000+ISNUMBER('Dvd Calendar'!$AE$267)*100000000+('Dvd Calendar'!$AE$269=SPECIAL_LBL)*10000000+(N('Dvd Calendar'!$AE$263)&gt;0)*(N('Dvd Calendar'!$AE$263)&lt;=VAL_SERIAL)*1000000+24*1000+27))</f>
        <v/>
      </c>
      <c r="FF35" s="121">
        <f>IF(N('Dvd Calendar'!$AF$264)=0,"",IF(('Dvd Calendar'!$AF$264&gt;=GRID_FROM)*('Dvd Calendar'!$AF$264&lt;=GRID_TO)*((('Dvd Calendar'!$AF$264&lt;=VAL_DATE)+(COUNTIF('Dvd Calendar'!$E$271:$AR$271,'Dvd Calendar'!$AF$264)=0))&gt;0)=0,"",'Dvd Calendar'!$AF$264*1000000000+ISNUMBER('Dvd Calendar'!$AF$267)*100000000+('Dvd Calendar'!$AF$269=SPECIAL_LBL)*10000000+(N('Dvd Calendar'!$AF$263)&gt;0)*(N('Dvd Calendar'!$AF$263)&lt;=VAL_SERIAL)*1000000+24*1000+28))</f>
        <v/>
      </c>
      <c r="FG35" s="121">
        <f>IF(N('Dvd Calendar'!$AG$264)=0,"",IF(('Dvd Calendar'!$AG$264&gt;=GRID_FROM)*('Dvd Calendar'!$AG$264&lt;=GRID_TO)*((('Dvd Calendar'!$AG$264&lt;=VAL_DATE)+(COUNTIF('Dvd Calendar'!$E$271:$AR$271,'Dvd Calendar'!$AG$264)=0))&gt;0)=0,"",'Dvd Calendar'!$AG$264*1000000000+ISNUMBER('Dvd Calendar'!$AG$267)*100000000+('Dvd Calendar'!$AG$269=SPECIAL_LBL)*10000000+(N('Dvd Calendar'!$AG$263)&gt;0)*(N('Dvd Calendar'!$AG$263)&lt;=VAL_SERIAL)*1000000+24*1000+29))</f>
        <v/>
      </c>
      <c r="FH35" s="121">
        <f>IF(N('Dvd Calendar'!$AH$264)=0,"",IF(('Dvd Calendar'!$AH$264&gt;=GRID_FROM)*('Dvd Calendar'!$AH$264&lt;=GRID_TO)*((('Dvd Calendar'!$AH$264&lt;=VAL_DATE)+(COUNTIF('Dvd Calendar'!$E$271:$AR$271,'Dvd Calendar'!$AH$264)=0))&gt;0)=0,"",'Dvd Calendar'!$AH$264*1000000000+ISNUMBER('Dvd Calendar'!$AH$267)*100000000+('Dvd Calendar'!$AH$269=SPECIAL_LBL)*10000000+(N('Dvd Calendar'!$AH$263)&gt;0)*(N('Dvd Calendar'!$AH$263)&lt;=VAL_SERIAL)*1000000+24*1000+30))</f>
        <v/>
      </c>
      <c r="FI35" s="121">
        <f>IF(N('Dvd Calendar'!$AI$264)=0,"",IF(('Dvd Calendar'!$AI$264&gt;=GRID_FROM)*('Dvd Calendar'!$AI$264&lt;=GRID_TO)*((('Dvd Calendar'!$AI$264&lt;=VAL_DATE)+(COUNTIF('Dvd Calendar'!$E$271:$AR$271,'Dvd Calendar'!$AI$264)=0))&gt;0)=0,"",'Dvd Calendar'!$AI$264*1000000000+ISNUMBER('Dvd Calendar'!$AI$267)*100000000+('Dvd Calendar'!$AI$269=SPECIAL_LBL)*10000000+(N('Dvd Calendar'!$AI$263)&gt;0)*(N('Dvd Calendar'!$AI$263)&lt;=VAL_SERIAL)*1000000+24*1000+31))</f>
        <v/>
      </c>
      <c r="FJ35" s="121">
        <f>IF(N('Dvd Calendar'!$AJ$264)=0,"",IF(('Dvd Calendar'!$AJ$264&gt;=GRID_FROM)*('Dvd Calendar'!$AJ$264&lt;=GRID_TO)*((('Dvd Calendar'!$AJ$264&lt;=VAL_DATE)+(COUNTIF('Dvd Calendar'!$E$271:$AR$271,'Dvd Calendar'!$AJ$264)=0))&gt;0)=0,"",'Dvd Calendar'!$AJ$264*1000000000+ISNUMBER('Dvd Calendar'!$AJ$267)*100000000+('Dvd Calendar'!$AJ$269=SPECIAL_LBL)*10000000+(N('Dvd Calendar'!$AJ$263)&gt;0)*(N('Dvd Calendar'!$AJ$263)&lt;=VAL_SERIAL)*1000000+24*1000+32))</f>
        <v/>
      </c>
      <c r="FK35" s="121">
        <f>IF(N('Dvd Calendar'!$AK$264)=0,"",IF(('Dvd Calendar'!$AK$264&gt;=GRID_FROM)*('Dvd Calendar'!$AK$264&lt;=GRID_TO)*((('Dvd Calendar'!$AK$264&lt;=VAL_DATE)+(COUNTIF('Dvd Calendar'!$E$271:$AR$271,'Dvd Calendar'!$AK$264)=0))&gt;0)=0,"",'Dvd Calendar'!$AK$264*1000000000+ISNUMBER('Dvd Calendar'!$AK$267)*100000000+('Dvd Calendar'!$AK$269=SPECIAL_LBL)*10000000+(N('Dvd Calendar'!$AK$263)&gt;0)*(N('Dvd Calendar'!$AK$263)&lt;=VAL_SERIAL)*1000000+24*1000+33))</f>
        <v/>
      </c>
      <c r="FL35" s="121">
        <f>IF(N('Dvd Calendar'!$AL$264)=0,"",IF(('Dvd Calendar'!$AL$264&gt;=GRID_FROM)*('Dvd Calendar'!$AL$264&lt;=GRID_TO)*((('Dvd Calendar'!$AL$264&lt;=VAL_DATE)+(COUNTIF('Dvd Calendar'!$E$271:$AR$271,'Dvd Calendar'!$AL$264)=0))&gt;0)=0,"",'Dvd Calendar'!$AL$264*1000000000+ISNUMBER('Dvd Calendar'!$AL$267)*100000000+('Dvd Calendar'!$AL$269=SPECIAL_LBL)*10000000+(N('Dvd Calendar'!$AL$263)&gt;0)*(N('Dvd Calendar'!$AL$263)&lt;=VAL_SERIAL)*1000000+24*1000+34))</f>
        <v/>
      </c>
      <c r="FM35" s="121">
        <f>IF(N('Dvd Calendar'!$AM$264)=0,"",IF(('Dvd Calendar'!$AM$264&gt;=GRID_FROM)*('Dvd Calendar'!$AM$264&lt;=GRID_TO)*((('Dvd Calendar'!$AM$264&lt;=VAL_DATE)+(COUNTIF('Dvd Calendar'!$E$271:$AR$271,'Dvd Calendar'!$AM$264)=0))&gt;0)=0,"",'Dvd Calendar'!$AM$264*1000000000+ISNUMBER('Dvd Calendar'!$AM$267)*100000000+('Dvd Calendar'!$AM$269=SPECIAL_LBL)*10000000+(N('Dvd Calendar'!$AM$263)&gt;0)*(N('Dvd Calendar'!$AM$263)&lt;=VAL_SERIAL)*1000000+24*1000+35))</f>
        <v/>
      </c>
      <c r="FN35" s="121">
        <f>IF(N('Dvd Calendar'!$AN$264)=0,"",IF(('Dvd Calendar'!$AN$264&gt;=GRID_FROM)*('Dvd Calendar'!$AN$264&lt;=GRID_TO)*((('Dvd Calendar'!$AN$264&lt;=VAL_DATE)+(COUNTIF('Dvd Calendar'!$E$271:$AR$271,'Dvd Calendar'!$AN$264)=0))&gt;0)=0,"",'Dvd Calendar'!$AN$264*1000000000+ISNUMBER('Dvd Calendar'!$AN$267)*100000000+('Dvd Calendar'!$AN$269=SPECIAL_LBL)*10000000+(N('Dvd Calendar'!$AN$263)&gt;0)*(N('Dvd Calendar'!$AN$263)&lt;=VAL_SERIAL)*1000000+24*1000+36))</f>
        <v/>
      </c>
      <c r="FO35" s="121">
        <f>IF(N('Dvd Calendar'!$AO$264)=0,"",IF(('Dvd Calendar'!$AO$264&gt;=GRID_FROM)*('Dvd Calendar'!$AO$264&lt;=GRID_TO)*((('Dvd Calendar'!$AO$264&lt;=VAL_DATE)+(COUNTIF('Dvd Calendar'!$E$271:$AR$271,'Dvd Calendar'!$AO$264)=0))&gt;0)=0,"",'Dvd Calendar'!$AO$264*1000000000+ISNUMBER('Dvd Calendar'!$AO$267)*100000000+('Dvd Calendar'!$AO$269=SPECIAL_LBL)*10000000+(N('Dvd Calendar'!$AO$263)&gt;0)*(N('Dvd Calendar'!$AO$263)&lt;=VAL_SERIAL)*1000000+24*1000+37))</f>
        <v/>
      </c>
      <c r="FP35" s="121">
        <f>IF(N('Dvd Calendar'!$AP$264)=0,"",IF(('Dvd Calendar'!$AP$264&gt;=GRID_FROM)*('Dvd Calendar'!$AP$264&lt;=GRID_TO)*((('Dvd Calendar'!$AP$264&lt;=VAL_DATE)+(COUNTIF('Dvd Calendar'!$E$271:$AR$271,'Dvd Calendar'!$AP$264)=0))&gt;0)=0,"",'Dvd Calendar'!$AP$264*1000000000+ISNUMBER('Dvd Calendar'!$AP$267)*100000000+('Dvd Calendar'!$AP$269=SPECIAL_LBL)*10000000+(N('Dvd Calendar'!$AP$263)&gt;0)*(N('Dvd Calendar'!$AP$263)&lt;=VAL_SERIAL)*1000000+24*1000+38))</f>
        <v/>
      </c>
      <c r="FQ35" s="121">
        <f>IF(N('Dvd Calendar'!$AQ$264)=0,"",IF(('Dvd Calendar'!$AQ$264&gt;=GRID_FROM)*('Dvd Calendar'!$AQ$264&lt;=GRID_TO)*((('Dvd Calendar'!$AQ$264&lt;=VAL_DATE)+(COUNTIF('Dvd Calendar'!$E$271:$AR$271,'Dvd Calendar'!$AQ$264)=0))&gt;0)=0,"",'Dvd Calendar'!$AQ$264*1000000000+ISNUMBER('Dvd Calendar'!$AQ$267)*100000000+('Dvd Calendar'!$AQ$269=SPECIAL_LBL)*10000000+(N('Dvd Calendar'!$AQ$263)&gt;0)*(N('Dvd Calendar'!$AQ$263)&lt;=VAL_SERIAL)*1000000+24*1000+39))</f>
        <v/>
      </c>
      <c r="FR35" s="121">
        <f>IF(N('Dvd Calendar'!$AR$264)=0,"",IF(('Dvd Calendar'!$AR$264&gt;=GRID_FROM)*('Dvd Calendar'!$AR$264&lt;=GRID_TO)*((('Dvd Calendar'!$AR$264&lt;=VAL_DATE)+(COUNTIF('Dvd Calendar'!$E$271:$AR$271,'Dvd Calendar'!$AR$264)=0))&gt;0)=0,"",'Dvd Calendar'!$AR$264*1000000000+ISNUMBER('Dvd Calendar'!$AR$267)*100000000+('Dvd Calendar'!$AR$269=SPECIAL_LBL)*10000000+(N('Dvd Calendar'!$AR$263)&gt;0)*(N('Dvd Calendar'!$AR$263)&lt;=VAL_SERIAL)*1000000+24*1000+40))</f>
        <v/>
      </c>
      <c r="FS35" s="121">
        <f>IF(N('Dvd Calendar'!$E$271)=0,"",IF(('Dvd Calendar'!$E$271&gt;=GRID_FROM)*('Dvd Calendar'!$E$271&lt;=GRID_TO)*('Dvd Calendar'!$E$271&gt;VAL_DATE)=0,"",'Dvd Calendar'!$E$271*1000000000+ISNUMBER('Dvd Calendar'!$E$272)*100000000+0*10000000+(N('Dvd Calendar'!$E$270)&gt;0)*(N('Dvd Calendar'!$E$270)&lt;=VAL_SERIAL)*1000000+24*1000+41))</f>
        <v/>
      </c>
      <c r="FT35" s="121">
        <f>IF(N('Dvd Calendar'!$F$271)=0,"",IF(('Dvd Calendar'!$F$271&gt;=GRID_FROM)*('Dvd Calendar'!$F$271&lt;=GRID_TO)*('Dvd Calendar'!$F$271&gt;VAL_DATE)=0,"",'Dvd Calendar'!$F$271*1000000000+ISNUMBER('Dvd Calendar'!$F$272)*100000000+0*10000000+(N('Dvd Calendar'!$F$270)&gt;0)*(N('Dvd Calendar'!$F$270)&lt;=VAL_SERIAL)*1000000+24*1000+42))</f>
        <v/>
      </c>
      <c r="FU35" s="121">
        <f>IF(N('Dvd Calendar'!$G$271)=0,"",IF(('Dvd Calendar'!$G$271&gt;=GRID_FROM)*('Dvd Calendar'!$G$271&lt;=GRID_TO)*('Dvd Calendar'!$G$271&gt;VAL_DATE)=0,"",'Dvd Calendar'!$G$271*1000000000+ISNUMBER('Dvd Calendar'!$G$272)*100000000+0*10000000+(N('Dvd Calendar'!$G$270)&gt;0)*(N('Dvd Calendar'!$G$270)&lt;=VAL_SERIAL)*1000000+24*1000+43))</f>
        <v/>
      </c>
      <c r="FV35" s="121">
        <f>IF(N('Dvd Calendar'!$H$271)=0,"",IF(('Dvd Calendar'!$H$271&gt;=GRID_FROM)*('Dvd Calendar'!$H$271&lt;=GRID_TO)*('Dvd Calendar'!$H$271&gt;VAL_DATE)=0,"",'Dvd Calendar'!$H$271*1000000000+ISNUMBER('Dvd Calendar'!$H$272)*100000000+0*10000000+(N('Dvd Calendar'!$H$270)&gt;0)*(N('Dvd Calendar'!$H$270)&lt;=VAL_SERIAL)*1000000+24*1000+44))</f>
        <v/>
      </c>
      <c r="FW35" s="121">
        <f>IF(N('Dvd Calendar'!$I$271)=0,"",IF(('Dvd Calendar'!$I$271&gt;=GRID_FROM)*('Dvd Calendar'!$I$271&lt;=GRID_TO)*('Dvd Calendar'!$I$271&gt;VAL_DATE)=0,"",'Dvd Calendar'!$I$271*1000000000+ISNUMBER('Dvd Calendar'!$I$272)*100000000+0*10000000+(N('Dvd Calendar'!$I$270)&gt;0)*(N('Dvd Calendar'!$I$270)&lt;=VAL_SERIAL)*1000000+24*1000+45))</f>
        <v/>
      </c>
      <c r="FX35" s="121">
        <f>IF(N('Dvd Calendar'!$J$271)=0,"",IF(('Dvd Calendar'!$J$271&gt;=GRID_FROM)*('Dvd Calendar'!$J$271&lt;=GRID_TO)*('Dvd Calendar'!$J$271&gt;VAL_DATE)=0,"",'Dvd Calendar'!$J$271*1000000000+ISNUMBER('Dvd Calendar'!$J$272)*100000000+0*10000000+(N('Dvd Calendar'!$J$270)&gt;0)*(N('Dvd Calendar'!$J$270)&lt;=VAL_SERIAL)*1000000+24*1000+46))</f>
        <v/>
      </c>
      <c r="FY35" s="121">
        <f>IF(N('Dvd Calendar'!$K$271)=0,"",IF(('Dvd Calendar'!$K$271&gt;=GRID_FROM)*('Dvd Calendar'!$K$271&lt;=GRID_TO)*('Dvd Calendar'!$K$271&gt;VAL_DATE)=0,"",'Dvd Calendar'!$K$271*1000000000+ISNUMBER('Dvd Calendar'!$K$272)*100000000+0*10000000+(N('Dvd Calendar'!$K$270)&gt;0)*(N('Dvd Calendar'!$K$270)&lt;=VAL_SERIAL)*1000000+24*1000+47))</f>
        <v/>
      </c>
      <c r="FZ35" s="121">
        <f>IF(N('Dvd Calendar'!$L$271)=0,"",IF(('Dvd Calendar'!$L$271&gt;=GRID_FROM)*('Dvd Calendar'!$L$271&lt;=GRID_TO)*('Dvd Calendar'!$L$271&gt;VAL_DATE)=0,"",'Dvd Calendar'!$L$271*1000000000+ISNUMBER('Dvd Calendar'!$L$272)*100000000+0*10000000+(N('Dvd Calendar'!$L$270)&gt;0)*(N('Dvd Calendar'!$L$270)&lt;=VAL_SERIAL)*1000000+24*1000+48))</f>
        <v/>
      </c>
      <c r="GA35" s="121">
        <f>IF(N('Dvd Calendar'!$M$271)=0,"",IF(('Dvd Calendar'!$M$271&gt;=GRID_FROM)*('Dvd Calendar'!$M$271&lt;=GRID_TO)*('Dvd Calendar'!$M$271&gt;VAL_DATE)=0,"",'Dvd Calendar'!$M$271*1000000000+ISNUMBER('Dvd Calendar'!$M$272)*100000000+0*10000000+(N('Dvd Calendar'!$M$270)&gt;0)*(N('Dvd Calendar'!$M$270)&lt;=VAL_SERIAL)*1000000+24*1000+49))</f>
        <v/>
      </c>
      <c r="GB35" s="121">
        <f>IF(N('Dvd Calendar'!$N$271)=0,"",IF(('Dvd Calendar'!$N$271&gt;=GRID_FROM)*('Dvd Calendar'!$N$271&lt;=GRID_TO)*('Dvd Calendar'!$N$271&gt;VAL_DATE)=0,"",'Dvd Calendar'!$N$271*1000000000+ISNUMBER('Dvd Calendar'!$N$272)*100000000+0*10000000+(N('Dvd Calendar'!$N$270)&gt;0)*(N('Dvd Calendar'!$N$270)&lt;=VAL_SERIAL)*1000000+24*1000+50))</f>
        <v/>
      </c>
      <c r="GC35" s="121">
        <f>IF(N('Dvd Calendar'!$O$271)=0,"",IF(('Dvd Calendar'!$O$271&gt;=GRID_FROM)*('Dvd Calendar'!$O$271&lt;=GRID_TO)*('Dvd Calendar'!$O$271&gt;VAL_DATE)=0,"",'Dvd Calendar'!$O$271*1000000000+ISNUMBER('Dvd Calendar'!$O$272)*100000000+0*10000000+(N('Dvd Calendar'!$O$270)&gt;0)*(N('Dvd Calendar'!$O$270)&lt;=VAL_SERIAL)*1000000+24*1000+51))</f>
        <v/>
      </c>
      <c r="GD35" s="121">
        <f>IF(N('Dvd Calendar'!$P$271)=0,"",IF(('Dvd Calendar'!$P$271&gt;=GRID_FROM)*('Dvd Calendar'!$P$271&lt;=GRID_TO)*('Dvd Calendar'!$P$271&gt;VAL_DATE)=0,"",'Dvd Calendar'!$P$271*1000000000+ISNUMBER('Dvd Calendar'!$P$272)*100000000+0*10000000+(N('Dvd Calendar'!$P$270)&gt;0)*(N('Dvd Calendar'!$P$270)&lt;=VAL_SERIAL)*1000000+24*1000+52))</f>
        <v/>
      </c>
      <c r="GE35" s="121">
        <f>IF(N('Dvd Calendar'!$Q$271)=0,"",IF(('Dvd Calendar'!$Q$271&gt;=GRID_FROM)*('Dvd Calendar'!$Q$271&lt;=GRID_TO)*('Dvd Calendar'!$Q$271&gt;VAL_DATE)=0,"",'Dvd Calendar'!$Q$271*1000000000+ISNUMBER('Dvd Calendar'!$Q$272)*100000000+0*10000000+(N('Dvd Calendar'!$Q$270)&gt;0)*(N('Dvd Calendar'!$Q$270)&lt;=VAL_SERIAL)*1000000+24*1000+53))</f>
        <v/>
      </c>
      <c r="GF35" s="121">
        <f>IF(N('Dvd Calendar'!$R$271)=0,"",IF(('Dvd Calendar'!$R$271&gt;=GRID_FROM)*('Dvd Calendar'!$R$271&lt;=GRID_TO)*('Dvd Calendar'!$R$271&gt;VAL_DATE)=0,"",'Dvd Calendar'!$R$271*1000000000+ISNUMBER('Dvd Calendar'!$R$272)*100000000+0*10000000+(N('Dvd Calendar'!$R$270)&gt;0)*(N('Dvd Calendar'!$R$270)&lt;=VAL_SERIAL)*1000000+24*1000+54))</f>
        <v/>
      </c>
      <c r="GG35" s="121">
        <f>IF(N('Dvd Calendar'!$S$271)=0,"",IF(('Dvd Calendar'!$S$271&gt;=GRID_FROM)*('Dvd Calendar'!$S$271&lt;=GRID_TO)*('Dvd Calendar'!$S$271&gt;VAL_DATE)=0,"",'Dvd Calendar'!$S$271*1000000000+ISNUMBER('Dvd Calendar'!$S$272)*100000000+0*10000000+(N('Dvd Calendar'!$S$270)&gt;0)*(N('Dvd Calendar'!$S$270)&lt;=VAL_SERIAL)*1000000+24*1000+55))</f>
        <v/>
      </c>
      <c r="GH35" s="121">
        <f>IF(N('Dvd Calendar'!$T$271)=0,"",IF(('Dvd Calendar'!$T$271&gt;=GRID_FROM)*('Dvd Calendar'!$T$271&lt;=GRID_TO)*('Dvd Calendar'!$T$271&gt;VAL_DATE)=0,"",'Dvd Calendar'!$T$271*1000000000+ISNUMBER('Dvd Calendar'!$T$272)*100000000+0*10000000+(N('Dvd Calendar'!$T$270)&gt;0)*(N('Dvd Calendar'!$T$270)&lt;=VAL_SERIAL)*1000000+24*1000+56))</f>
        <v/>
      </c>
      <c r="GI35" s="121">
        <f>IF(N('Dvd Calendar'!$U$271)=0,"",IF(('Dvd Calendar'!$U$271&gt;=GRID_FROM)*('Dvd Calendar'!$U$271&lt;=GRID_TO)*('Dvd Calendar'!$U$271&gt;VAL_DATE)=0,"",'Dvd Calendar'!$U$271*1000000000+ISNUMBER('Dvd Calendar'!$U$272)*100000000+0*10000000+(N('Dvd Calendar'!$U$270)&gt;0)*(N('Dvd Calendar'!$U$270)&lt;=VAL_SERIAL)*1000000+24*1000+57))</f>
        <v/>
      </c>
      <c r="GJ35" s="121">
        <f>IF(N('Dvd Calendar'!$V$271)=0,"",IF(('Dvd Calendar'!$V$271&gt;=GRID_FROM)*('Dvd Calendar'!$V$271&lt;=GRID_TO)*('Dvd Calendar'!$V$271&gt;VAL_DATE)=0,"",'Dvd Calendar'!$V$271*1000000000+ISNUMBER('Dvd Calendar'!$V$272)*100000000+0*10000000+(N('Dvd Calendar'!$V$270)&gt;0)*(N('Dvd Calendar'!$V$270)&lt;=VAL_SERIAL)*1000000+24*1000+58))</f>
        <v/>
      </c>
      <c r="GK35" s="121">
        <f>IF(N('Dvd Calendar'!$W$271)=0,"",IF(('Dvd Calendar'!$W$271&gt;=GRID_FROM)*('Dvd Calendar'!$W$271&lt;=GRID_TO)*('Dvd Calendar'!$W$271&gt;VAL_DATE)=0,"",'Dvd Calendar'!$W$271*1000000000+ISNUMBER('Dvd Calendar'!$W$272)*100000000+0*10000000+(N('Dvd Calendar'!$W$270)&gt;0)*(N('Dvd Calendar'!$W$270)&lt;=VAL_SERIAL)*1000000+24*1000+59))</f>
        <v/>
      </c>
      <c r="GL35" s="121">
        <f>IF(N('Dvd Calendar'!$X$271)=0,"",IF(('Dvd Calendar'!$X$271&gt;=GRID_FROM)*('Dvd Calendar'!$X$271&lt;=GRID_TO)*('Dvd Calendar'!$X$271&gt;VAL_DATE)=0,"",'Dvd Calendar'!$X$271*1000000000+ISNUMBER('Dvd Calendar'!$X$272)*100000000+0*10000000+(N('Dvd Calendar'!$X$270)&gt;0)*(N('Dvd Calendar'!$X$270)&lt;=VAL_SERIAL)*1000000+24*1000+60))</f>
        <v/>
      </c>
      <c r="GM35" s="121">
        <f>IF(N('Dvd Calendar'!$Y$271)=0,"",IF(('Dvd Calendar'!$Y$271&gt;=GRID_FROM)*('Dvd Calendar'!$Y$271&lt;=GRID_TO)*('Dvd Calendar'!$Y$271&gt;VAL_DATE)=0,"",'Dvd Calendar'!$Y$271*1000000000+ISNUMBER('Dvd Calendar'!$Y$272)*100000000+0*10000000+(N('Dvd Calendar'!$Y$270)&gt;0)*(N('Dvd Calendar'!$Y$270)&lt;=VAL_SERIAL)*1000000+24*1000+61))</f>
        <v/>
      </c>
      <c r="GN35" s="121">
        <f>IF(N('Dvd Calendar'!$Z$271)=0,"",IF(('Dvd Calendar'!$Z$271&gt;=GRID_FROM)*('Dvd Calendar'!$Z$271&lt;=GRID_TO)*('Dvd Calendar'!$Z$271&gt;VAL_DATE)=0,"",'Dvd Calendar'!$Z$271*1000000000+ISNUMBER('Dvd Calendar'!$Z$272)*100000000+0*10000000+(N('Dvd Calendar'!$Z$270)&gt;0)*(N('Dvd Calendar'!$Z$270)&lt;=VAL_SERIAL)*1000000+24*1000+62))</f>
        <v/>
      </c>
      <c r="GO35" s="121">
        <f>IF(N('Dvd Calendar'!$AA$271)=0,"",IF(('Dvd Calendar'!$AA$271&gt;=GRID_FROM)*('Dvd Calendar'!$AA$271&lt;=GRID_TO)*('Dvd Calendar'!$AA$271&gt;VAL_DATE)=0,"",'Dvd Calendar'!$AA$271*1000000000+ISNUMBER('Dvd Calendar'!$AA$272)*100000000+0*10000000+(N('Dvd Calendar'!$AA$270)&gt;0)*(N('Dvd Calendar'!$AA$270)&lt;=VAL_SERIAL)*1000000+24*1000+63))</f>
        <v/>
      </c>
      <c r="GP35" s="121">
        <f>IF(N('Dvd Calendar'!$AB$271)=0,"",IF(('Dvd Calendar'!$AB$271&gt;=GRID_FROM)*('Dvd Calendar'!$AB$271&lt;=GRID_TO)*('Dvd Calendar'!$AB$271&gt;VAL_DATE)=0,"",'Dvd Calendar'!$AB$271*1000000000+ISNUMBER('Dvd Calendar'!$AB$272)*100000000+0*10000000+(N('Dvd Calendar'!$AB$270)&gt;0)*(N('Dvd Calendar'!$AB$270)&lt;=VAL_SERIAL)*1000000+24*1000+64))</f>
        <v/>
      </c>
      <c r="GQ35" s="121">
        <f>IF(N('Dvd Calendar'!$AC$271)=0,"",IF(('Dvd Calendar'!$AC$271&gt;=GRID_FROM)*('Dvd Calendar'!$AC$271&lt;=GRID_TO)*('Dvd Calendar'!$AC$271&gt;VAL_DATE)=0,"",'Dvd Calendar'!$AC$271*1000000000+ISNUMBER('Dvd Calendar'!$AC$272)*100000000+0*10000000+(N('Dvd Calendar'!$AC$270)&gt;0)*(N('Dvd Calendar'!$AC$270)&lt;=VAL_SERIAL)*1000000+24*1000+65))</f>
        <v/>
      </c>
    </row>
    <row r="36">
      <c r="B36" s="2">
        <f>IF(HSI!$C$31="","",HSI!$C$31)</f>
        <v/>
      </c>
      <c r="C36" s="161">
        <f>IF(EE36="","",IF(ISNUMBER('Dvd Calendar'!$E$278)=FALSE,"",IF((('Dvd Calendar'!$E$280=TYPE1)*(TYPE1&lt;&gt;"")+('Dvd Calendar'!$E$280=TYPE2)*(TYPE2&lt;&gt;"")+('Dvd Calendar'!$E$280=TYPE3)*(TYPE3&lt;&gt;"")+('Dvd Calendar'!$E$280=TYPE4)*(TYPE4&lt;&gt;"")+('Dvd Calendar'!$E$280=SPECIAL_LBL)*(INC_SPECIALS="Y"))=0,"",'Dvd Calendar'!$E$278)))</f>
        <v/>
      </c>
      <c r="D36" s="161">
        <f>IF(EF36="","",IF(ISNUMBER('Dvd Calendar'!$F$278)=FALSE,"",IF((('Dvd Calendar'!$F$280=TYPE1)*(TYPE1&lt;&gt;"")+('Dvd Calendar'!$F$280=TYPE2)*(TYPE2&lt;&gt;"")+('Dvd Calendar'!$F$280=TYPE3)*(TYPE3&lt;&gt;"")+('Dvd Calendar'!$F$280=TYPE4)*(TYPE4&lt;&gt;"")+('Dvd Calendar'!$F$280=SPECIAL_LBL)*(INC_SPECIALS="Y"))=0,"",'Dvd Calendar'!$F$278)))</f>
        <v/>
      </c>
      <c r="E36" s="161">
        <f>IF(EG36="","",IF(ISNUMBER('Dvd Calendar'!$G$278)=FALSE,"",IF((('Dvd Calendar'!$G$280=TYPE1)*(TYPE1&lt;&gt;"")+('Dvd Calendar'!$G$280=TYPE2)*(TYPE2&lt;&gt;"")+('Dvd Calendar'!$G$280=TYPE3)*(TYPE3&lt;&gt;"")+('Dvd Calendar'!$G$280=TYPE4)*(TYPE4&lt;&gt;"")+('Dvd Calendar'!$G$280=SPECIAL_LBL)*(INC_SPECIALS="Y"))=0,"",'Dvd Calendar'!$G$278)))</f>
        <v/>
      </c>
      <c r="F36" s="161">
        <f>IF(EH36="","",IF(ISNUMBER('Dvd Calendar'!$H$278)=FALSE,"",IF((('Dvd Calendar'!$H$280=TYPE1)*(TYPE1&lt;&gt;"")+('Dvd Calendar'!$H$280=TYPE2)*(TYPE2&lt;&gt;"")+('Dvd Calendar'!$H$280=TYPE3)*(TYPE3&lt;&gt;"")+('Dvd Calendar'!$H$280=TYPE4)*(TYPE4&lt;&gt;"")+('Dvd Calendar'!$H$280=SPECIAL_LBL)*(INC_SPECIALS="Y"))=0,"",'Dvd Calendar'!$H$278)))</f>
        <v/>
      </c>
      <c r="G36" s="161">
        <f>IF(EI36="","",IF(ISNUMBER('Dvd Calendar'!$I$278)=FALSE,"",IF((('Dvd Calendar'!$I$280=TYPE1)*(TYPE1&lt;&gt;"")+('Dvd Calendar'!$I$280=TYPE2)*(TYPE2&lt;&gt;"")+('Dvd Calendar'!$I$280=TYPE3)*(TYPE3&lt;&gt;"")+('Dvd Calendar'!$I$280=TYPE4)*(TYPE4&lt;&gt;"")+('Dvd Calendar'!$I$280=SPECIAL_LBL)*(INC_SPECIALS="Y"))=0,"",'Dvd Calendar'!$I$278)))</f>
        <v/>
      </c>
      <c r="H36" s="161">
        <f>IF(EJ36="","",IF(ISNUMBER('Dvd Calendar'!$J$278)=FALSE,"",IF((('Dvd Calendar'!$J$280=TYPE1)*(TYPE1&lt;&gt;"")+('Dvd Calendar'!$J$280=TYPE2)*(TYPE2&lt;&gt;"")+('Dvd Calendar'!$J$280=TYPE3)*(TYPE3&lt;&gt;"")+('Dvd Calendar'!$J$280=TYPE4)*(TYPE4&lt;&gt;"")+('Dvd Calendar'!$J$280=SPECIAL_LBL)*(INC_SPECIALS="Y"))=0,"",'Dvd Calendar'!$J$278)))</f>
        <v/>
      </c>
      <c r="I36" s="161">
        <f>IF(EK36="","",IF(ISNUMBER('Dvd Calendar'!$K$278)=FALSE,"",IF((('Dvd Calendar'!$K$280=TYPE1)*(TYPE1&lt;&gt;"")+('Dvd Calendar'!$K$280=TYPE2)*(TYPE2&lt;&gt;"")+('Dvd Calendar'!$K$280=TYPE3)*(TYPE3&lt;&gt;"")+('Dvd Calendar'!$K$280=TYPE4)*(TYPE4&lt;&gt;"")+('Dvd Calendar'!$K$280=SPECIAL_LBL)*(INC_SPECIALS="Y"))=0,"",'Dvd Calendar'!$K$278)))</f>
        <v/>
      </c>
      <c r="J36" s="161">
        <f>IF(EL36="","",IF(ISNUMBER('Dvd Calendar'!$L$278)=FALSE,"",IF((('Dvd Calendar'!$L$280=TYPE1)*(TYPE1&lt;&gt;"")+('Dvd Calendar'!$L$280=TYPE2)*(TYPE2&lt;&gt;"")+('Dvd Calendar'!$L$280=TYPE3)*(TYPE3&lt;&gt;"")+('Dvd Calendar'!$L$280=TYPE4)*(TYPE4&lt;&gt;"")+('Dvd Calendar'!$L$280=SPECIAL_LBL)*(INC_SPECIALS="Y"))=0,"",'Dvd Calendar'!$L$278)))</f>
        <v/>
      </c>
      <c r="K36" s="161">
        <f>IF(EM36="","",IF(ISNUMBER('Dvd Calendar'!$M$278)=FALSE,"",IF((('Dvd Calendar'!$M$280=TYPE1)*(TYPE1&lt;&gt;"")+('Dvd Calendar'!$M$280=TYPE2)*(TYPE2&lt;&gt;"")+('Dvd Calendar'!$M$280=TYPE3)*(TYPE3&lt;&gt;"")+('Dvd Calendar'!$M$280=TYPE4)*(TYPE4&lt;&gt;"")+('Dvd Calendar'!$M$280=SPECIAL_LBL)*(INC_SPECIALS="Y"))=0,"",'Dvd Calendar'!$M$278)))</f>
        <v/>
      </c>
      <c r="L36" s="161">
        <f>IF(EN36="","",IF(ISNUMBER('Dvd Calendar'!$N$278)=FALSE,"",IF((('Dvd Calendar'!$N$280=TYPE1)*(TYPE1&lt;&gt;"")+('Dvd Calendar'!$N$280=TYPE2)*(TYPE2&lt;&gt;"")+('Dvd Calendar'!$N$280=TYPE3)*(TYPE3&lt;&gt;"")+('Dvd Calendar'!$N$280=TYPE4)*(TYPE4&lt;&gt;"")+('Dvd Calendar'!$N$280=SPECIAL_LBL)*(INC_SPECIALS="Y"))=0,"",'Dvd Calendar'!$N$278)))</f>
        <v/>
      </c>
      <c r="M36" s="161">
        <f>IF(EO36="","",IF(ISNUMBER('Dvd Calendar'!$O$278)=FALSE,"",IF((('Dvd Calendar'!$O$280=TYPE1)*(TYPE1&lt;&gt;"")+('Dvd Calendar'!$O$280=TYPE2)*(TYPE2&lt;&gt;"")+('Dvd Calendar'!$O$280=TYPE3)*(TYPE3&lt;&gt;"")+('Dvd Calendar'!$O$280=TYPE4)*(TYPE4&lt;&gt;"")+('Dvd Calendar'!$O$280=SPECIAL_LBL)*(INC_SPECIALS="Y"))=0,"",'Dvd Calendar'!$O$278)))</f>
        <v/>
      </c>
      <c r="N36" s="161">
        <f>IF(EP36="","",IF(ISNUMBER('Dvd Calendar'!$P$278)=FALSE,"",IF((('Dvd Calendar'!$P$280=TYPE1)*(TYPE1&lt;&gt;"")+('Dvd Calendar'!$P$280=TYPE2)*(TYPE2&lt;&gt;"")+('Dvd Calendar'!$P$280=TYPE3)*(TYPE3&lt;&gt;"")+('Dvd Calendar'!$P$280=TYPE4)*(TYPE4&lt;&gt;"")+('Dvd Calendar'!$P$280=SPECIAL_LBL)*(INC_SPECIALS="Y"))=0,"",'Dvd Calendar'!$P$278)))</f>
        <v/>
      </c>
      <c r="O36" s="161">
        <f>IF(EQ36="","",IF(ISNUMBER('Dvd Calendar'!$Q$278)=FALSE,"",IF((('Dvd Calendar'!$Q$280=TYPE1)*(TYPE1&lt;&gt;"")+('Dvd Calendar'!$Q$280=TYPE2)*(TYPE2&lt;&gt;"")+('Dvd Calendar'!$Q$280=TYPE3)*(TYPE3&lt;&gt;"")+('Dvd Calendar'!$Q$280=TYPE4)*(TYPE4&lt;&gt;"")+('Dvd Calendar'!$Q$280=SPECIAL_LBL)*(INC_SPECIALS="Y"))=0,"",'Dvd Calendar'!$Q$278)))</f>
        <v/>
      </c>
      <c r="P36" s="161">
        <f>IF(ER36="","",IF(ISNUMBER('Dvd Calendar'!$R$278)=FALSE,"",IF((('Dvd Calendar'!$R$280=TYPE1)*(TYPE1&lt;&gt;"")+('Dvd Calendar'!$R$280=TYPE2)*(TYPE2&lt;&gt;"")+('Dvd Calendar'!$R$280=TYPE3)*(TYPE3&lt;&gt;"")+('Dvd Calendar'!$R$280=TYPE4)*(TYPE4&lt;&gt;"")+('Dvd Calendar'!$R$280=SPECIAL_LBL)*(INC_SPECIALS="Y"))=0,"",'Dvd Calendar'!$R$278)))</f>
        <v/>
      </c>
      <c r="Q36" s="161">
        <f>IF(ES36="","",IF(ISNUMBER('Dvd Calendar'!$S$278)=FALSE,"",IF((('Dvd Calendar'!$S$280=TYPE1)*(TYPE1&lt;&gt;"")+('Dvd Calendar'!$S$280=TYPE2)*(TYPE2&lt;&gt;"")+('Dvd Calendar'!$S$280=TYPE3)*(TYPE3&lt;&gt;"")+('Dvd Calendar'!$S$280=TYPE4)*(TYPE4&lt;&gt;"")+('Dvd Calendar'!$S$280=SPECIAL_LBL)*(INC_SPECIALS="Y"))=0,"",'Dvd Calendar'!$S$278)))</f>
        <v/>
      </c>
      <c r="R36" s="161">
        <f>IF(ET36="","",IF(ISNUMBER('Dvd Calendar'!$T$278)=FALSE,"",IF((('Dvd Calendar'!$T$280=TYPE1)*(TYPE1&lt;&gt;"")+('Dvd Calendar'!$T$280=TYPE2)*(TYPE2&lt;&gt;"")+('Dvd Calendar'!$T$280=TYPE3)*(TYPE3&lt;&gt;"")+('Dvd Calendar'!$T$280=TYPE4)*(TYPE4&lt;&gt;"")+('Dvd Calendar'!$T$280=SPECIAL_LBL)*(INC_SPECIALS="Y"))=0,"",'Dvd Calendar'!$T$278)))</f>
        <v/>
      </c>
      <c r="S36" s="161">
        <f>IF(EU36="","",IF(ISNUMBER('Dvd Calendar'!$U$278)=FALSE,"",IF((('Dvd Calendar'!$U$280=TYPE1)*(TYPE1&lt;&gt;"")+('Dvd Calendar'!$U$280=TYPE2)*(TYPE2&lt;&gt;"")+('Dvd Calendar'!$U$280=TYPE3)*(TYPE3&lt;&gt;"")+('Dvd Calendar'!$U$280=TYPE4)*(TYPE4&lt;&gt;"")+('Dvd Calendar'!$U$280=SPECIAL_LBL)*(INC_SPECIALS="Y"))=0,"",'Dvd Calendar'!$U$278)))</f>
        <v/>
      </c>
      <c r="T36" s="161">
        <f>IF(EV36="","",IF(ISNUMBER('Dvd Calendar'!$V$278)=FALSE,"",IF((('Dvd Calendar'!$V$280=TYPE1)*(TYPE1&lt;&gt;"")+('Dvd Calendar'!$V$280=TYPE2)*(TYPE2&lt;&gt;"")+('Dvd Calendar'!$V$280=TYPE3)*(TYPE3&lt;&gt;"")+('Dvd Calendar'!$V$280=TYPE4)*(TYPE4&lt;&gt;"")+('Dvd Calendar'!$V$280=SPECIAL_LBL)*(INC_SPECIALS="Y"))=0,"",'Dvd Calendar'!$V$278)))</f>
        <v/>
      </c>
      <c r="U36" s="161">
        <f>IF(EW36="","",IF(ISNUMBER('Dvd Calendar'!$W$278)=FALSE,"",IF((('Dvd Calendar'!$W$280=TYPE1)*(TYPE1&lt;&gt;"")+('Dvd Calendar'!$W$280=TYPE2)*(TYPE2&lt;&gt;"")+('Dvd Calendar'!$W$280=TYPE3)*(TYPE3&lt;&gt;"")+('Dvd Calendar'!$W$280=TYPE4)*(TYPE4&lt;&gt;"")+('Dvd Calendar'!$W$280=SPECIAL_LBL)*(INC_SPECIALS="Y"))=0,"",'Dvd Calendar'!$W$278)))</f>
        <v/>
      </c>
      <c r="V36" s="161">
        <f>IF(EX36="","",IF(ISNUMBER('Dvd Calendar'!$X$278)=FALSE,"",IF((('Dvd Calendar'!$X$280=TYPE1)*(TYPE1&lt;&gt;"")+('Dvd Calendar'!$X$280=TYPE2)*(TYPE2&lt;&gt;"")+('Dvd Calendar'!$X$280=TYPE3)*(TYPE3&lt;&gt;"")+('Dvd Calendar'!$X$280=TYPE4)*(TYPE4&lt;&gt;"")+('Dvd Calendar'!$X$280=SPECIAL_LBL)*(INC_SPECIALS="Y"))=0,"",'Dvd Calendar'!$X$278)))</f>
        <v/>
      </c>
      <c r="W36" s="161">
        <f>IF(EY36="","",IF(ISNUMBER('Dvd Calendar'!$Y$278)=FALSE,"",IF((('Dvd Calendar'!$Y$280=TYPE1)*(TYPE1&lt;&gt;"")+('Dvd Calendar'!$Y$280=TYPE2)*(TYPE2&lt;&gt;"")+('Dvd Calendar'!$Y$280=TYPE3)*(TYPE3&lt;&gt;"")+('Dvd Calendar'!$Y$280=TYPE4)*(TYPE4&lt;&gt;"")+('Dvd Calendar'!$Y$280=SPECIAL_LBL)*(INC_SPECIALS="Y"))=0,"",'Dvd Calendar'!$Y$278)))</f>
        <v/>
      </c>
      <c r="X36" s="161">
        <f>IF(EZ36="","",IF(ISNUMBER('Dvd Calendar'!$Z$278)=FALSE,"",IF((('Dvd Calendar'!$Z$280=TYPE1)*(TYPE1&lt;&gt;"")+('Dvd Calendar'!$Z$280=TYPE2)*(TYPE2&lt;&gt;"")+('Dvd Calendar'!$Z$280=TYPE3)*(TYPE3&lt;&gt;"")+('Dvd Calendar'!$Z$280=TYPE4)*(TYPE4&lt;&gt;"")+('Dvd Calendar'!$Z$280=SPECIAL_LBL)*(INC_SPECIALS="Y"))=0,"",'Dvd Calendar'!$Z$278)))</f>
        <v/>
      </c>
      <c r="Y36" s="161">
        <f>IF(FA36="","",IF(ISNUMBER('Dvd Calendar'!$AA$278)=FALSE,"",IF((('Dvd Calendar'!$AA$280=TYPE1)*(TYPE1&lt;&gt;"")+('Dvd Calendar'!$AA$280=TYPE2)*(TYPE2&lt;&gt;"")+('Dvd Calendar'!$AA$280=TYPE3)*(TYPE3&lt;&gt;"")+('Dvd Calendar'!$AA$280=TYPE4)*(TYPE4&lt;&gt;"")+('Dvd Calendar'!$AA$280=SPECIAL_LBL)*(INC_SPECIALS="Y"))=0,"",'Dvd Calendar'!$AA$278)))</f>
        <v/>
      </c>
      <c r="Z36" s="161">
        <f>IF(FB36="","",IF(ISNUMBER('Dvd Calendar'!$AB$278)=FALSE,"",IF((('Dvd Calendar'!$AB$280=TYPE1)*(TYPE1&lt;&gt;"")+('Dvd Calendar'!$AB$280=TYPE2)*(TYPE2&lt;&gt;"")+('Dvd Calendar'!$AB$280=TYPE3)*(TYPE3&lt;&gt;"")+('Dvd Calendar'!$AB$280=TYPE4)*(TYPE4&lt;&gt;"")+('Dvd Calendar'!$AB$280=SPECIAL_LBL)*(INC_SPECIALS="Y"))=0,"",'Dvd Calendar'!$AB$278)))</f>
        <v/>
      </c>
      <c r="AA36" s="161">
        <f>IF(FC36="","",IF(ISNUMBER('Dvd Calendar'!$AC$278)=FALSE,"",IF((('Dvd Calendar'!$AC$280=TYPE1)*(TYPE1&lt;&gt;"")+('Dvd Calendar'!$AC$280=TYPE2)*(TYPE2&lt;&gt;"")+('Dvd Calendar'!$AC$280=TYPE3)*(TYPE3&lt;&gt;"")+('Dvd Calendar'!$AC$280=TYPE4)*(TYPE4&lt;&gt;"")+('Dvd Calendar'!$AC$280=SPECIAL_LBL)*(INC_SPECIALS="Y"))=0,"",'Dvd Calendar'!$AC$278)))</f>
        <v/>
      </c>
      <c r="AB36" s="161">
        <f>IF(FD36="","",IF(ISNUMBER('Dvd Calendar'!$AD$278)=FALSE,"",IF((('Dvd Calendar'!$AD$280=TYPE1)*(TYPE1&lt;&gt;"")+('Dvd Calendar'!$AD$280=TYPE2)*(TYPE2&lt;&gt;"")+('Dvd Calendar'!$AD$280=TYPE3)*(TYPE3&lt;&gt;"")+('Dvd Calendar'!$AD$280=TYPE4)*(TYPE4&lt;&gt;"")+('Dvd Calendar'!$AD$280=SPECIAL_LBL)*(INC_SPECIALS="Y"))=0,"",'Dvd Calendar'!$AD$278)))</f>
        <v/>
      </c>
      <c r="AC36" s="161">
        <f>IF(FE36="","",IF(ISNUMBER('Dvd Calendar'!$AE$278)=FALSE,"",IF((('Dvd Calendar'!$AE$280=TYPE1)*(TYPE1&lt;&gt;"")+('Dvd Calendar'!$AE$280=TYPE2)*(TYPE2&lt;&gt;"")+('Dvd Calendar'!$AE$280=TYPE3)*(TYPE3&lt;&gt;"")+('Dvd Calendar'!$AE$280=TYPE4)*(TYPE4&lt;&gt;"")+('Dvd Calendar'!$AE$280=SPECIAL_LBL)*(INC_SPECIALS="Y"))=0,"",'Dvd Calendar'!$AE$278)))</f>
        <v/>
      </c>
      <c r="AD36" s="161">
        <f>IF(FF36="","",IF(ISNUMBER('Dvd Calendar'!$AF$278)=FALSE,"",IF((('Dvd Calendar'!$AF$280=TYPE1)*(TYPE1&lt;&gt;"")+('Dvd Calendar'!$AF$280=TYPE2)*(TYPE2&lt;&gt;"")+('Dvd Calendar'!$AF$280=TYPE3)*(TYPE3&lt;&gt;"")+('Dvd Calendar'!$AF$280=TYPE4)*(TYPE4&lt;&gt;"")+('Dvd Calendar'!$AF$280=SPECIAL_LBL)*(INC_SPECIALS="Y"))=0,"",'Dvd Calendar'!$AF$278)))</f>
        <v/>
      </c>
      <c r="AE36" s="161">
        <f>IF(FG36="","",IF(ISNUMBER('Dvd Calendar'!$AG$278)=FALSE,"",IF((('Dvd Calendar'!$AG$280=TYPE1)*(TYPE1&lt;&gt;"")+('Dvd Calendar'!$AG$280=TYPE2)*(TYPE2&lt;&gt;"")+('Dvd Calendar'!$AG$280=TYPE3)*(TYPE3&lt;&gt;"")+('Dvd Calendar'!$AG$280=TYPE4)*(TYPE4&lt;&gt;"")+('Dvd Calendar'!$AG$280=SPECIAL_LBL)*(INC_SPECIALS="Y"))=0,"",'Dvd Calendar'!$AG$278)))</f>
        <v/>
      </c>
      <c r="AF36" s="161">
        <f>IF(FH36="","",IF(ISNUMBER('Dvd Calendar'!$AH$278)=FALSE,"",IF((('Dvd Calendar'!$AH$280=TYPE1)*(TYPE1&lt;&gt;"")+('Dvd Calendar'!$AH$280=TYPE2)*(TYPE2&lt;&gt;"")+('Dvd Calendar'!$AH$280=TYPE3)*(TYPE3&lt;&gt;"")+('Dvd Calendar'!$AH$280=TYPE4)*(TYPE4&lt;&gt;"")+('Dvd Calendar'!$AH$280=SPECIAL_LBL)*(INC_SPECIALS="Y"))=0,"",'Dvd Calendar'!$AH$278)))</f>
        <v/>
      </c>
      <c r="AG36" s="161">
        <f>IF(FI36="","",IF(ISNUMBER('Dvd Calendar'!$AI$278)=FALSE,"",IF((('Dvd Calendar'!$AI$280=TYPE1)*(TYPE1&lt;&gt;"")+('Dvd Calendar'!$AI$280=TYPE2)*(TYPE2&lt;&gt;"")+('Dvd Calendar'!$AI$280=TYPE3)*(TYPE3&lt;&gt;"")+('Dvd Calendar'!$AI$280=TYPE4)*(TYPE4&lt;&gt;"")+('Dvd Calendar'!$AI$280=SPECIAL_LBL)*(INC_SPECIALS="Y"))=0,"",'Dvd Calendar'!$AI$278)))</f>
        <v/>
      </c>
      <c r="AH36" s="161">
        <f>IF(FJ36="","",IF(ISNUMBER('Dvd Calendar'!$AJ$278)=FALSE,"",IF((('Dvd Calendar'!$AJ$280=TYPE1)*(TYPE1&lt;&gt;"")+('Dvd Calendar'!$AJ$280=TYPE2)*(TYPE2&lt;&gt;"")+('Dvd Calendar'!$AJ$280=TYPE3)*(TYPE3&lt;&gt;"")+('Dvd Calendar'!$AJ$280=TYPE4)*(TYPE4&lt;&gt;"")+('Dvd Calendar'!$AJ$280=SPECIAL_LBL)*(INC_SPECIALS="Y"))=0,"",'Dvd Calendar'!$AJ$278)))</f>
        <v/>
      </c>
      <c r="AI36" s="161">
        <f>IF(FK36="","",IF(ISNUMBER('Dvd Calendar'!$AK$278)=FALSE,"",IF((('Dvd Calendar'!$AK$280=TYPE1)*(TYPE1&lt;&gt;"")+('Dvd Calendar'!$AK$280=TYPE2)*(TYPE2&lt;&gt;"")+('Dvd Calendar'!$AK$280=TYPE3)*(TYPE3&lt;&gt;"")+('Dvd Calendar'!$AK$280=TYPE4)*(TYPE4&lt;&gt;"")+('Dvd Calendar'!$AK$280=SPECIAL_LBL)*(INC_SPECIALS="Y"))=0,"",'Dvd Calendar'!$AK$278)))</f>
        <v/>
      </c>
      <c r="AJ36" s="161">
        <f>IF(FL36="","",IF(ISNUMBER('Dvd Calendar'!$AL$278)=FALSE,"",IF((('Dvd Calendar'!$AL$280=TYPE1)*(TYPE1&lt;&gt;"")+('Dvd Calendar'!$AL$280=TYPE2)*(TYPE2&lt;&gt;"")+('Dvd Calendar'!$AL$280=TYPE3)*(TYPE3&lt;&gt;"")+('Dvd Calendar'!$AL$280=TYPE4)*(TYPE4&lt;&gt;"")+('Dvd Calendar'!$AL$280=SPECIAL_LBL)*(INC_SPECIALS="Y"))=0,"",'Dvd Calendar'!$AL$278)))</f>
        <v/>
      </c>
      <c r="AK36" s="161">
        <f>IF(FM36="","",IF(ISNUMBER('Dvd Calendar'!$AM$278)=FALSE,"",IF((('Dvd Calendar'!$AM$280=TYPE1)*(TYPE1&lt;&gt;"")+('Dvd Calendar'!$AM$280=TYPE2)*(TYPE2&lt;&gt;"")+('Dvd Calendar'!$AM$280=TYPE3)*(TYPE3&lt;&gt;"")+('Dvd Calendar'!$AM$280=TYPE4)*(TYPE4&lt;&gt;"")+('Dvd Calendar'!$AM$280=SPECIAL_LBL)*(INC_SPECIALS="Y"))=0,"",'Dvd Calendar'!$AM$278)))</f>
        <v/>
      </c>
      <c r="AL36" s="161">
        <f>IF(FN36="","",IF(ISNUMBER('Dvd Calendar'!$AN$278)=FALSE,"",IF((('Dvd Calendar'!$AN$280=TYPE1)*(TYPE1&lt;&gt;"")+('Dvd Calendar'!$AN$280=TYPE2)*(TYPE2&lt;&gt;"")+('Dvd Calendar'!$AN$280=TYPE3)*(TYPE3&lt;&gt;"")+('Dvd Calendar'!$AN$280=TYPE4)*(TYPE4&lt;&gt;"")+('Dvd Calendar'!$AN$280=SPECIAL_LBL)*(INC_SPECIALS="Y"))=0,"",'Dvd Calendar'!$AN$278)))</f>
        <v/>
      </c>
      <c r="AM36" s="161">
        <f>IF(FO36="","",IF(ISNUMBER('Dvd Calendar'!$AO$278)=FALSE,"",IF((('Dvd Calendar'!$AO$280=TYPE1)*(TYPE1&lt;&gt;"")+('Dvd Calendar'!$AO$280=TYPE2)*(TYPE2&lt;&gt;"")+('Dvd Calendar'!$AO$280=TYPE3)*(TYPE3&lt;&gt;"")+('Dvd Calendar'!$AO$280=TYPE4)*(TYPE4&lt;&gt;"")+('Dvd Calendar'!$AO$280=SPECIAL_LBL)*(INC_SPECIALS="Y"))=0,"",'Dvd Calendar'!$AO$278)))</f>
        <v/>
      </c>
      <c r="AN36" s="161">
        <f>IF(FP36="","",IF(ISNUMBER('Dvd Calendar'!$AP$278)=FALSE,"",IF((('Dvd Calendar'!$AP$280=TYPE1)*(TYPE1&lt;&gt;"")+('Dvd Calendar'!$AP$280=TYPE2)*(TYPE2&lt;&gt;"")+('Dvd Calendar'!$AP$280=TYPE3)*(TYPE3&lt;&gt;"")+('Dvd Calendar'!$AP$280=TYPE4)*(TYPE4&lt;&gt;"")+('Dvd Calendar'!$AP$280=SPECIAL_LBL)*(INC_SPECIALS="Y"))=0,"",'Dvd Calendar'!$AP$278)))</f>
        <v/>
      </c>
      <c r="AO36" s="161">
        <f>IF(FQ36="","",IF(ISNUMBER('Dvd Calendar'!$AQ$278)=FALSE,"",IF((('Dvd Calendar'!$AQ$280=TYPE1)*(TYPE1&lt;&gt;"")+('Dvd Calendar'!$AQ$280=TYPE2)*(TYPE2&lt;&gt;"")+('Dvd Calendar'!$AQ$280=TYPE3)*(TYPE3&lt;&gt;"")+('Dvd Calendar'!$AQ$280=TYPE4)*(TYPE4&lt;&gt;"")+('Dvd Calendar'!$AQ$280=SPECIAL_LBL)*(INC_SPECIALS="Y"))=0,"",'Dvd Calendar'!$AQ$278)))</f>
        <v/>
      </c>
      <c r="AP36" s="161">
        <f>IF(FR36="","",IF(ISNUMBER('Dvd Calendar'!$AR$278)=FALSE,"",IF((('Dvd Calendar'!$AR$280=TYPE1)*(TYPE1&lt;&gt;"")+('Dvd Calendar'!$AR$280=TYPE2)*(TYPE2&lt;&gt;"")+('Dvd Calendar'!$AR$280=TYPE3)*(TYPE3&lt;&gt;"")+('Dvd Calendar'!$AR$280=TYPE4)*(TYPE4&lt;&gt;"")+('Dvd Calendar'!$AR$280=SPECIAL_LBL)*(INC_SPECIALS="Y"))=0,"",'Dvd Calendar'!$AR$278)))</f>
        <v/>
      </c>
      <c r="AQ36" s="161">
        <f>IF(FS36="","",IF(ISNUMBER('Dvd Calendar'!$E$283)=FALSE,"",'Dvd Calendar'!$E$283))</f>
        <v/>
      </c>
      <c r="AR36" s="161">
        <f>IF(FT36="","",IF(ISNUMBER('Dvd Calendar'!$F$283)=FALSE,"",'Dvd Calendar'!$F$283))</f>
        <v/>
      </c>
      <c r="AS36" s="161">
        <f>IF(FU36="","",IF(ISNUMBER('Dvd Calendar'!$G$283)=FALSE,"",'Dvd Calendar'!$G$283))</f>
        <v/>
      </c>
      <c r="AT36" s="161">
        <f>IF(FV36="","",IF(ISNUMBER('Dvd Calendar'!$H$283)=FALSE,"",'Dvd Calendar'!$H$283))</f>
        <v/>
      </c>
      <c r="AU36" s="161">
        <f>IF(FW36="","",IF(ISNUMBER('Dvd Calendar'!$I$283)=FALSE,"",'Dvd Calendar'!$I$283))</f>
        <v/>
      </c>
      <c r="AV36" s="161">
        <f>IF(FX36="","",IF(ISNUMBER('Dvd Calendar'!$J$283)=FALSE,"",'Dvd Calendar'!$J$283))</f>
        <v/>
      </c>
      <c r="AW36" s="161">
        <f>IF(FY36="","",IF(ISNUMBER('Dvd Calendar'!$K$283)=FALSE,"",'Dvd Calendar'!$K$283))</f>
        <v/>
      </c>
      <c r="AX36" s="161">
        <f>IF(FZ36="","",IF(ISNUMBER('Dvd Calendar'!$L$283)=FALSE,"",'Dvd Calendar'!$L$283))</f>
        <v/>
      </c>
      <c r="AY36" s="161">
        <f>IF(GA36="","",IF(ISNUMBER('Dvd Calendar'!$M$283)=FALSE,"",'Dvd Calendar'!$M$283))</f>
        <v/>
      </c>
      <c r="AZ36" s="161">
        <f>IF(GB36="","",IF(ISNUMBER('Dvd Calendar'!$N$283)=FALSE,"",'Dvd Calendar'!$N$283))</f>
        <v/>
      </c>
      <c r="BA36" s="161">
        <f>IF(GC36="","",IF(ISNUMBER('Dvd Calendar'!$O$283)=FALSE,"",'Dvd Calendar'!$O$283))</f>
        <v/>
      </c>
      <c r="BB36" s="161">
        <f>IF(GD36="","",IF(ISNUMBER('Dvd Calendar'!$P$283)=FALSE,"",'Dvd Calendar'!$P$283))</f>
        <v/>
      </c>
      <c r="BC36" s="161">
        <f>IF(GE36="","",IF(ISNUMBER('Dvd Calendar'!$Q$283)=FALSE,"",'Dvd Calendar'!$Q$283))</f>
        <v/>
      </c>
      <c r="BD36" s="161">
        <f>IF(GF36="","",IF(ISNUMBER('Dvd Calendar'!$R$283)=FALSE,"",'Dvd Calendar'!$R$283))</f>
        <v/>
      </c>
      <c r="BE36" s="161">
        <f>IF(GG36="","",IF(ISNUMBER('Dvd Calendar'!$S$283)=FALSE,"",'Dvd Calendar'!$S$283))</f>
        <v/>
      </c>
      <c r="BF36" s="161">
        <f>IF(GH36="","",IF(ISNUMBER('Dvd Calendar'!$T$283)=FALSE,"",'Dvd Calendar'!$T$283))</f>
        <v/>
      </c>
      <c r="BG36" s="161">
        <f>IF(GI36="","",IF(ISNUMBER('Dvd Calendar'!$U$283)=FALSE,"",'Dvd Calendar'!$U$283))</f>
        <v/>
      </c>
      <c r="BH36" s="161">
        <f>IF(GJ36="","",IF(ISNUMBER('Dvd Calendar'!$V$283)=FALSE,"",'Dvd Calendar'!$V$283))</f>
        <v/>
      </c>
      <c r="BI36" s="161">
        <f>IF(GK36="","",IF(ISNUMBER('Dvd Calendar'!$W$283)=FALSE,"",'Dvd Calendar'!$W$283))</f>
        <v/>
      </c>
      <c r="BJ36" s="161">
        <f>IF(GL36="","",IF(ISNUMBER('Dvd Calendar'!$X$283)=FALSE,"",'Dvd Calendar'!$X$283))</f>
        <v/>
      </c>
      <c r="BK36" s="161">
        <f>IF(GM36="","",IF(ISNUMBER('Dvd Calendar'!$Y$283)=FALSE,"",'Dvd Calendar'!$Y$283))</f>
        <v/>
      </c>
      <c r="BL36" s="161">
        <f>IF(GN36="","",IF(ISNUMBER('Dvd Calendar'!$Z$283)=FALSE,"",'Dvd Calendar'!$Z$283))</f>
        <v/>
      </c>
      <c r="BM36" s="161">
        <f>IF(GO36="","",IF(ISNUMBER('Dvd Calendar'!$AA$283)=FALSE,"",'Dvd Calendar'!$AA$283))</f>
        <v/>
      </c>
      <c r="BN36" s="161">
        <f>IF(GP36="","",IF(ISNUMBER('Dvd Calendar'!$AB$283)=FALSE,"",'Dvd Calendar'!$AB$283))</f>
        <v/>
      </c>
      <c r="BO36" s="161">
        <f>IF(GQ36="","",IF(ISNUMBER('Dvd Calendar'!$AC$283)=FALSE,"",'Dvd Calendar'!$AC$283))</f>
        <v/>
      </c>
      <c r="BQ36" s="161">
        <f>IF(C36="","",IFERROR(C36*HSI!$B$31*HSI!$G$31/HSI!$B$3,""))</f>
        <v/>
      </c>
      <c r="BR36" s="161">
        <f>IF(D36="","",IFERROR(D36*HSI!$B$31*HSI!$G$31/HSI!$B$3,""))</f>
        <v/>
      </c>
      <c r="BS36" s="161">
        <f>IF(E36="","",IFERROR(E36*HSI!$B$31*HSI!$G$31/HSI!$B$3,""))</f>
        <v/>
      </c>
      <c r="BT36" s="161">
        <f>IF(F36="","",IFERROR(F36*HSI!$B$31*HSI!$G$31/HSI!$B$3,""))</f>
        <v/>
      </c>
      <c r="BU36" s="161">
        <f>IF(G36="","",IFERROR(G36*HSI!$B$31*HSI!$G$31/HSI!$B$3,""))</f>
        <v/>
      </c>
      <c r="BV36" s="161">
        <f>IF(H36="","",IFERROR(H36*HSI!$B$31*HSI!$G$31/HSI!$B$3,""))</f>
        <v/>
      </c>
      <c r="BW36" s="161">
        <f>IF(I36="","",IFERROR(I36*HSI!$B$31*HSI!$G$31/HSI!$B$3,""))</f>
        <v/>
      </c>
      <c r="BX36" s="161">
        <f>IF(J36="","",IFERROR(J36*HSI!$B$31*HSI!$G$31/HSI!$B$3,""))</f>
        <v/>
      </c>
      <c r="BY36" s="161">
        <f>IF(K36="","",IFERROR(K36*HSI!$B$31*HSI!$G$31/HSI!$B$3,""))</f>
        <v/>
      </c>
      <c r="BZ36" s="161">
        <f>IF(L36="","",IFERROR(L36*HSI!$B$31*HSI!$G$31/HSI!$B$3,""))</f>
        <v/>
      </c>
      <c r="CA36" s="161">
        <f>IF(M36="","",IFERROR(M36*HSI!$B$31*HSI!$G$31/HSI!$B$3,""))</f>
        <v/>
      </c>
      <c r="CB36" s="161">
        <f>IF(N36="","",IFERROR(N36*HSI!$B$31*HSI!$G$31/HSI!$B$3,""))</f>
        <v/>
      </c>
      <c r="CC36" s="161">
        <f>IF(O36="","",IFERROR(O36*HSI!$B$31*HSI!$G$31/HSI!$B$3,""))</f>
        <v/>
      </c>
      <c r="CD36" s="161">
        <f>IF(P36="","",IFERROR(P36*HSI!$B$31*HSI!$G$31/HSI!$B$3,""))</f>
        <v/>
      </c>
      <c r="CE36" s="161">
        <f>IF(Q36="","",IFERROR(Q36*HSI!$B$31*HSI!$G$31/HSI!$B$3,""))</f>
        <v/>
      </c>
      <c r="CF36" s="161">
        <f>IF(R36="","",IFERROR(R36*HSI!$B$31*HSI!$G$31/HSI!$B$3,""))</f>
        <v/>
      </c>
      <c r="CG36" s="161">
        <f>IF(S36="","",IFERROR(S36*HSI!$B$31*HSI!$G$31/HSI!$B$3,""))</f>
        <v/>
      </c>
      <c r="CH36" s="161">
        <f>IF(T36="","",IFERROR(T36*HSI!$B$31*HSI!$G$31/HSI!$B$3,""))</f>
        <v/>
      </c>
      <c r="CI36" s="161">
        <f>IF(U36="","",IFERROR(U36*HSI!$B$31*HSI!$G$31/HSI!$B$3,""))</f>
        <v/>
      </c>
      <c r="CJ36" s="161">
        <f>IF(V36="","",IFERROR(V36*HSI!$B$31*HSI!$G$31/HSI!$B$3,""))</f>
        <v/>
      </c>
      <c r="CK36" s="161">
        <f>IF(W36="","",IFERROR(W36*HSI!$B$31*HSI!$G$31/HSI!$B$3,""))</f>
        <v/>
      </c>
      <c r="CL36" s="161">
        <f>IF(X36="","",IFERROR(X36*HSI!$B$31*HSI!$G$31/HSI!$B$3,""))</f>
        <v/>
      </c>
      <c r="CM36" s="161">
        <f>IF(Y36="","",IFERROR(Y36*HSI!$B$31*HSI!$G$31/HSI!$B$3,""))</f>
        <v/>
      </c>
      <c r="CN36" s="161">
        <f>IF(Z36="","",IFERROR(Z36*HSI!$B$31*HSI!$G$31/HSI!$B$3,""))</f>
        <v/>
      </c>
      <c r="CO36" s="161">
        <f>IF(AA36="","",IFERROR(AA36*HSI!$B$31*HSI!$G$31/HSI!$B$3,""))</f>
        <v/>
      </c>
      <c r="CP36" s="161">
        <f>IF(AB36="","",IFERROR(AB36*HSI!$B$31*HSI!$G$31/HSI!$B$3,""))</f>
        <v/>
      </c>
      <c r="CQ36" s="161">
        <f>IF(AC36="","",IFERROR(AC36*HSI!$B$31*HSI!$G$31/HSI!$B$3,""))</f>
        <v/>
      </c>
      <c r="CR36" s="161">
        <f>IF(AD36="","",IFERROR(AD36*HSI!$B$31*HSI!$G$31/HSI!$B$3,""))</f>
        <v/>
      </c>
      <c r="CS36" s="161">
        <f>IF(AE36="","",IFERROR(AE36*HSI!$B$31*HSI!$G$31/HSI!$B$3,""))</f>
        <v/>
      </c>
      <c r="CT36" s="161">
        <f>IF(AF36="","",IFERROR(AF36*HSI!$B$31*HSI!$G$31/HSI!$B$3,""))</f>
        <v/>
      </c>
      <c r="CU36" s="161">
        <f>IF(AG36="","",IFERROR(AG36*HSI!$B$31*HSI!$G$31/HSI!$B$3,""))</f>
        <v/>
      </c>
      <c r="CV36" s="161">
        <f>IF(AH36="","",IFERROR(AH36*HSI!$B$31*HSI!$G$31/HSI!$B$3,""))</f>
        <v/>
      </c>
      <c r="CW36" s="161">
        <f>IF(AI36="","",IFERROR(AI36*HSI!$B$31*HSI!$G$31/HSI!$B$3,""))</f>
        <v/>
      </c>
      <c r="CX36" s="161">
        <f>IF(AJ36="","",IFERROR(AJ36*HSI!$B$31*HSI!$G$31/HSI!$B$3,""))</f>
        <v/>
      </c>
      <c r="CY36" s="161">
        <f>IF(AK36="","",IFERROR(AK36*HSI!$B$31*HSI!$G$31/HSI!$B$3,""))</f>
        <v/>
      </c>
      <c r="CZ36" s="161">
        <f>IF(AL36="","",IFERROR(AL36*HSI!$B$31*HSI!$G$31/HSI!$B$3,""))</f>
        <v/>
      </c>
      <c r="DA36" s="161">
        <f>IF(AM36="","",IFERROR(AM36*HSI!$B$31*HSI!$G$31/HSI!$B$3,""))</f>
        <v/>
      </c>
      <c r="DB36" s="161">
        <f>IF(AN36="","",IFERROR(AN36*HSI!$B$31*HSI!$G$31/HSI!$B$3,""))</f>
        <v/>
      </c>
      <c r="DC36" s="161">
        <f>IF(AO36="","",IFERROR(AO36*HSI!$B$31*HSI!$G$31/HSI!$B$3,""))</f>
        <v/>
      </c>
      <c r="DD36" s="161">
        <f>IF(AP36="","",IFERROR(AP36*HSI!$B$31*HSI!$G$31/HSI!$B$3,""))</f>
        <v/>
      </c>
      <c r="DE36" s="161">
        <f>IF(AQ36="","",IFERROR(AQ36*HSI!$B$31*HSI!$G$31/HSI!$B$3,""))</f>
        <v/>
      </c>
      <c r="DF36" s="161">
        <f>IF(AR36="","",IFERROR(AR36*HSI!$B$31*HSI!$G$31/HSI!$B$3,""))</f>
        <v/>
      </c>
      <c r="DG36" s="161">
        <f>IF(AS36="","",IFERROR(AS36*HSI!$B$31*HSI!$G$31/HSI!$B$3,""))</f>
        <v/>
      </c>
      <c r="DH36" s="161">
        <f>IF(AT36="","",IFERROR(AT36*HSI!$B$31*HSI!$G$31/HSI!$B$3,""))</f>
        <v/>
      </c>
      <c r="DI36" s="161">
        <f>IF(AU36="","",IFERROR(AU36*HSI!$B$31*HSI!$G$31/HSI!$B$3,""))</f>
        <v/>
      </c>
      <c r="DJ36" s="161">
        <f>IF(AV36="","",IFERROR(AV36*HSI!$B$31*HSI!$G$31/HSI!$B$3,""))</f>
        <v/>
      </c>
      <c r="DK36" s="161">
        <f>IF(AW36="","",IFERROR(AW36*HSI!$B$31*HSI!$G$31/HSI!$B$3,""))</f>
        <v/>
      </c>
      <c r="DL36" s="161">
        <f>IF(AX36="","",IFERROR(AX36*HSI!$B$31*HSI!$G$31/HSI!$B$3,""))</f>
        <v/>
      </c>
      <c r="DM36" s="161">
        <f>IF(AY36="","",IFERROR(AY36*HSI!$B$31*HSI!$G$31/HSI!$B$3,""))</f>
        <v/>
      </c>
      <c r="DN36" s="161">
        <f>IF(AZ36="","",IFERROR(AZ36*HSI!$B$31*HSI!$G$31/HSI!$B$3,""))</f>
        <v/>
      </c>
      <c r="DO36" s="161">
        <f>IF(BA36="","",IFERROR(BA36*HSI!$B$31*HSI!$G$31/HSI!$B$3,""))</f>
        <v/>
      </c>
      <c r="DP36" s="161">
        <f>IF(BB36="","",IFERROR(BB36*HSI!$B$31*HSI!$G$31/HSI!$B$3,""))</f>
        <v/>
      </c>
      <c r="DQ36" s="161">
        <f>IF(BC36="","",IFERROR(BC36*HSI!$B$31*HSI!$G$31/HSI!$B$3,""))</f>
        <v/>
      </c>
      <c r="DR36" s="161">
        <f>IF(BD36="","",IFERROR(BD36*HSI!$B$31*HSI!$G$31/HSI!$B$3,""))</f>
        <v/>
      </c>
      <c r="DS36" s="161">
        <f>IF(BE36="","",IFERROR(BE36*HSI!$B$31*HSI!$G$31/HSI!$B$3,""))</f>
        <v/>
      </c>
      <c r="DT36" s="161">
        <f>IF(BF36="","",IFERROR(BF36*HSI!$B$31*HSI!$G$31/HSI!$B$3,""))</f>
        <v/>
      </c>
      <c r="DU36" s="161">
        <f>IF(BG36="","",IFERROR(BG36*HSI!$B$31*HSI!$G$31/HSI!$B$3,""))</f>
        <v/>
      </c>
      <c r="DV36" s="161">
        <f>IF(BH36="","",IFERROR(BH36*HSI!$B$31*HSI!$G$31/HSI!$B$3,""))</f>
        <v/>
      </c>
      <c r="DW36" s="161">
        <f>IF(BI36="","",IFERROR(BI36*HSI!$B$31*HSI!$G$31/HSI!$B$3,""))</f>
        <v/>
      </c>
      <c r="DX36" s="161">
        <f>IF(BJ36="","",IFERROR(BJ36*HSI!$B$31*HSI!$G$31/HSI!$B$3,""))</f>
        <v/>
      </c>
      <c r="DY36" s="161">
        <f>IF(BK36="","",IFERROR(BK36*HSI!$B$31*HSI!$G$31/HSI!$B$3,""))</f>
        <v/>
      </c>
      <c r="DZ36" s="161">
        <f>IF(BL36="","",IFERROR(BL36*HSI!$B$31*HSI!$G$31/HSI!$B$3,""))</f>
        <v/>
      </c>
      <c r="EA36" s="161">
        <f>IF(BM36="","",IFERROR(BM36*HSI!$B$31*HSI!$G$31/HSI!$B$3,""))</f>
        <v/>
      </c>
      <c r="EB36" s="161">
        <f>IF(BN36="","",IFERROR(BN36*HSI!$B$31*HSI!$G$31/HSI!$B$3,""))</f>
        <v/>
      </c>
      <c r="EC36" s="161">
        <f>IF(BO36="","",IFERROR(BO36*HSI!$B$31*HSI!$G$31/HSI!$B$3,""))</f>
        <v/>
      </c>
      <c r="EE36" s="121">
        <f>IF(N('Dvd Calendar'!$E$275)=0,"",IF(('Dvd Calendar'!$E$275&gt;=GRID_FROM)*('Dvd Calendar'!$E$275&lt;=GRID_TO)*((('Dvd Calendar'!$E$275&lt;=VAL_DATE)+(COUNTIF('Dvd Calendar'!$E$282:$AR$282,'Dvd Calendar'!$E$275)=0))&gt;0)=0,"",'Dvd Calendar'!$E$275*1000000000+ISNUMBER('Dvd Calendar'!$E$278)*100000000+('Dvd Calendar'!$E$280=SPECIAL_LBL)*10000000+(N('Dvd Calendar'!$E$274)&gt;0)*(N('Dvd Calendar'!$E$274)&lt;=VAL_SERIAL)*1000000+25*1000+1))</f>
        <v/>
      </c>
      <c r="EF36" s="121">
        <f>IF(N('Dvd Calendar'!$F$275)=0,"",IF(('Dvd Calendar'!$F$275&gt;=GRID_FROM)*('Dvd Calendar'!$F$275&lt;=GRID_TO)*((('Dvd Calendar'!$F$275&lt;=VAL_DATE)+(COUNTIF('Dvd Calendar'!$E$282:$AR$282,'Dvd Calendar'!$F$275)=0))&gt;0)=0,"",'Dvd Calendar'!$F$275*1000000000+ISNUMBER('Dvd Calendar'!$F$278)*100000000+('Dvd Calendar'!$F$280=SPECIAL_LBL)*10000000+(N('Dvd Calendar'!$F$274)&gt;0)*(N('Dvd Calendar'!$F$274)&lt;=VAL_SERIAL)*1000000+25*1000+2))</f>
        <v/>
      </c>
      <c r="EG36" s="121">
        <f>IF(N('Dvd Calendar'!$G$275)=0,"",IF(('Dvd Calendar'!$G$275&gt;=GRID_FROM)*('Dvd Calendar'!$G$275&lt;=GRID_TO)*((('Dvd Calendar'!$G$275&lt;=VAL_DATE)+(COUNTIF('Dvd Calendar'!$E$282:$AR$282,'Dvd Calendar'!$G$275)=0))&gt;0)=0,"",'Dvd Calendar'!$G$275*1000000000+ISNUMBER('Dvd Calendar'!$G$278)*100000000+('Dvd Calendar'!$G$280=SPECIAL_LBL)*10000000+(N('Dvd Calendar'!$G$274)&gt;0)*(N('Dvd Calendar'!$G$274)&lt;=VAL_SERIAL)*1000000+25*1000+3))</f>
        <v/>
      </c>
      <c r="EH36" s="121">
        <f>IF(N('Dvd Calendar'!$H$275)=0,"",IF(('Dvd Calendar'!$H$275&gt;=GRID_FROM)*('Dvd Calendar'!$H$275&lt;=GRID_TO)*((('Dvd Calendar'!$H$275&lt;=VAL_DATE)+(COUNTIF('Dvd Calendar'!$E$282:$AR$282,'Dvd Calendar'!$H$275)=0))&gt;0)=0,"",'Dvd Calendar'!$H$275*1000000000+ISNUMBER('Dvd Calendar'!$H$278)*100000000+('Dvd Calendar'!$H$280=SPECIAL_LBL)*10000000+(N('Dvd Calendar'!$H$274)&gt;0)*(N('Dvd Calendar'!$H$274)&lt;=VAL_SERIAL)*1000000+25*1000+4))</f>
        <v/>
      </c>
      <c r="EI36" s="121">
        <f>IF(N('Dvd Calendar'!$I$275)=0,"",IF(('Dvd Calendar'!$I$275&gt;=GRID_FROM)*('Dvd Calendar'!$I$275&lt;=GRID_TO)*((('Dvd Calendar'!$I$275&lt;=VAL_DATE)+(COUNTIF('Dvd Calendar'!$E$282:$AR$282,'Dvd Calendar'!$I$275)=0))&gt;0)=0,"",'Dvd Calendar'!$I$275*1000000000+ISNUMBER('Dvd Calendar'!$I$278)*100000000+('Dvd Calendar'!$I$280=SPECIAL_LBL)*10000000+(N('Dvd Calendar'!$I$274)&gt;0)*(N('Dvd Calendar'!$I$274)&lt;=VAL_SERIAL)*1000000+25*1000+5))</f>
        <v/>
      </c>
      <c r="EJ36" s="121">
        <f>IF(N('Dvd Calendar'!$J$275)=0,"",IF(('Dvd Calendar'!$J$275&gt;=GRID_FROM)*('Dvd Calendar'!$J$275&lt;=GRID_TO)*((('Dvd Calendar'!$J$275&lt;=VAL_DATE)+(COUNTIF('Dvd Calendar'!$E$282:$AR$282,'Dvd Calendar'!$J$275)=0))&gt;0)=0,"",'Dvd Calendar'!$J$275*1000000000+ISNUMBER('Dvd Calendar'!$J$278)*100000000+('Dvd Calendar'!$J$280=SPECIAL_LBL)*10000000+(N('Dvd Calendar'!$J$274)&gt;0)*(N('Dvd Calendar'!$J$274)&lt;=VAL_SERIAL)*1000000+25*1000+6))</f>
        <v/>
      </c>
      <c r="EK36" s="121">
        <f>IF(N('Dvd Calendar'!$K$275)=0,"",IF(('Dvd Calendar'!$K$275&gt;=GRID_FROM)*('Dvd Calendar'!$K$275&lt;=GRID_TO)*((('Dvd Calendar'!$K$275&lt;=VAL_DATE)+(COUNTIF('Dvd Calendar'!$E$282:$AR$282,'Dvd Calendar'!$K$275)=0))&gt;0)=0,"",'Dvd Calendar'!$K$275*1000000000+ISNUMBER('Dvd Calendar'!$K$278)*100000000+('Dvd Calendar'!$K$280=SPECIAL_LBL)*10000000+(N('Dvd Calendar'!$K$274)&gt;0)*(N('Dvd Calendar'!$K$274)&lt;=VAL_SERIAL)*1000000+25*1000+7))</f>
        <v/>
      </c>
      <c r="EL36" s="121">
        <f>IF(N('Dvd Calendar'!$L$275)=0,"",IF(('Dvd Calendar'!$L$275&gt;=GRID_FROM)*('Dvd Calendar'!$L$275&lt;=GRID_TO)*((('Dvd Calendar'!$L$275&lt;=VAL_DATE)+(COUNTIF('Dvd Calendar'!$E$282:$AR$282,'Dvd Calendar'!$L$275)=0))&gt;0)=0,"",'Dvd Calendar'!$L$275*1000000000+ISNUMBER('Dvd Calendar'!$L$278)*100000000+('Dvd Calendar'!$L$280=SPECIAL_LBL)*10000000+(N('Dvd Calendar'!$L$274)&gt;0)*(N('Dvd Calendar'!$L$274)&lt;=VAL_SERIAL)*1000000+25*1000+8))</f>
        <v/>
      </c>
      <c r="EM36" s="121">
        <f>IF(N('Dvd Calendar'!$M$275)=0,"",IF(('Dvd Calendar'!$M$275&gt;=GRID_FROM)*('Dvd Calendar'!$M$275&lt;=GRID_TO)*((('Dvd Calendar'!$M$275&lt;=VAL_DATE)+(COUNTIF('Dvd Calendar'!$E$282:$AR$282,'Dvd Calendar'!$M$275)=0))&gt;0)=0,"",'Dvd Calendar'!$M$275*1000000000+ISNUMBER('Dvd Calendar'!$M$278)*100000000+('Dvd Calendar'!$M$280=SPECIAL_LBL)*10000000+(N('Dvd Calendar'!$M$274)&gt;0)*(N('Dvd Calendar'!$M$274)&lt;=VAL_SERIAL)*1000000+25*1000+9))</f>
        <v/>
      </c>
      <c r="EN36" s="121">
        <f>IF(N('Dvd Calendar'!$N$275)=0,"",IF(('Dvd Calendar'!$N$275&gt;=GRID_FROM)*('Dvd Calendar'!$N$275&lt;=GRID_TO)*((('Dvd Calendar'!$N$275&lt;=VAL_DATE)+(COUNTIF('Dvd Calendar'!$E$282:$AR$282,'Dvd Calendar'!$N$275)=0))&gt;0)=0,"",'Dvd Calendar'!$N$275*1000000000+ISNUMBER('Dvd Calendar'!$N$278)*100000000+('Dvd Calendar'!$N$280=SPECIAL_LBL)*10000000+(N('Dvd Calendar'!$N$274)&gt;0)*(N('Dvd Calendar'!$N$274)&lt;=VAL_SERIAL)*1000000+25*1000+10))</f>
        <v/>
      </c>
      <c r="EO36" s="121">
        <f>IF(N('Dvd Calendar'!$O$275)=0,"",IF(('Dvd Calendar'!$O$275&gt;=GRID_FROM)*('Dvd Calendar'!$O$275&lt;=GRID_TO)*((('Dvd Calendar'!$O$275&lt;=VAL_DATE)+(COUNTIF('Dvd Calendar'!$E$282:$AR$282,'Dvd Calendar'!$O$275)=0))&gt;0)=0,"",'Dvd Calendar'!$O$275*1000000000+ISNUMBER('Dvd Calendar'!$O$278)*100000000+('Dvd Calendar'!$O$280=SPECIAL_LBL)*10000000+(N('Dvd Calendar'!$O$274)&gt;0)*(N('Dvd Calendar'!$O$274)&lt;=VAL_SERIAL)*1000000+25*1000+11))</f>
        <v/>
      </c>
      <c r="EP36" s="121">
        <f>IF(N('Dvd Calendar'!$P$275)=0,"",IF(('Dvd Calendar'!$P$275&gt;=GRID_FROM)*('Dvd Calendar'!$P$275&lt;=GRID_TO)*((('Dvd Calendar'!$P$275&lt;=VAL_DATE)+(COUNTIF('Dvd Calendar'!$E$282:$AR$282,'Dvd Calendar'!$P$275)=0))&gt;0)=0,"",'Dvd Calendar'!$P$275*1000000000+ISNUMBER('Dvd Calendar'!$P$278)*100000000+('Dvd Calendar'!$P$280=SPECIAL_LBL)*10000000+(N('Dvd Calendar'!$P$274)&gt;0)*(N('Dvd Calendar'!$P$274)&lt;=VAL_SERIAL)*1000000+25*1000+12))</f>
        <v/>
      </c>
      <c r="EQ36" s="121">
        <f>IF(N('Dvd Calendar'!$Q$275)=0,"",IF(('Dvd Calendar'!$Q$275&gt;=GRID_FROM)*('Dvd Calendar'!$Q$275&lt;=GRID_TO)*((('Dvd Calendar'!$Q$275&lt;=VAL_DATE)+(COUNTIF('Dvd Calendar'!$E$282:$AR$282,'Dvd Calendar'!$Q$275)=0))&gt;0)=0,"",'Dvd Calendar'!$Q$275*1000000000+ISNUMBER('Dvd Calendar'!$Q$278)*100000000+('Dvd Calendar'!$Q$280=SPECIAL_LBL)*10000000+(N('Dvd Calendar'!$Q$274)&gt;0)*(N('Dvd Calendar'!$Q$274)&lt;=VAL_SERIAL)*1000000+25*1000+13))</f>
        <v/>
      </c>
      <c r="ER36" s="121">
        <f>IF(N('Dvd Calendar'!$R$275)=0,"",IF(('Dvd Calendar'!$R$275&gt;=GRID_FROM)*('Dvd Calendar'!$R$275&lt;=GRID_TO)*((('Dvd Calendar'!$R$275&lt;=VAL_DATE)+(COUNTIF('Dvd Calendar'!$E$282:$AR$282,'Dvd Calendar'!$R$275)=0))&gt;0)=0,"",'Dvd Calendar'!$R$275*1000000000+ISNUMBER('Dvd Calendar'!$R$278)*100000000+('Dvd Calendar'!$R$280=SPECIAL_LBL)*10000000+(N('Dvd Calendar'!$R$274)&gt;0)*(N('Dvd Calendar'!$R$274)&lt;=VAL_SERIAL)*1000000+25*1000+14))</f>
        <v/>
      </c>
      <c r="ES36" s="121">
        <f>IF(N('Dvd Calendar'!$S$275)=0,"",IF(('Dvd Calendar'!$S$275&gt;=GRID_FROM)*('Dvd Calendar'!$S$275&lt;=GRID_TO)*((('Dvd Calendar'!$S$275&lt;=VAL_DATE)+(COUNTIF('Dvd Calendar'!$E$282:$AR$282,'Dvd Calendar'!$S$275)=0))&gt;0)=0,"",'Dvd Calendar'!$S$275*1000000000+ISNUMBER('Dvd Calendar'!$S$278)*100000000+('Dvd Calendar'!$S$280=SPECIAL_LBL)*10000000+(N('Dvd Calendar'!$S$274)&gt;0)*(N('Dvd Calendar'!$S$274)&lt;=VAL_SERIAL)*1000000+25*1000+15))</f>
        <v/>
      </c>
      <c r="ET36" s="121">
        <f>IF(N('Dvd Calendar'!$T$275)=0,"",IF(('Dvd Calendar'!$T$275&gt;=GRID_FROM)*('Dvd Calendar'!$T$275&lt;=GRID_TO)*((('Dvd Calendar'!$T$275&lt;=VAL_DATE)+(COUNTIF('Dvd Calendar'!$E$282:$AR$282,'Dvd Calendar'!$T$275)=0))&gt;0)=0,"",'Dvd Calendar'!$T$275*1000000000+ISNUMBER('Dvd Calendar'!$T$278)*100000000+('Dvd Calendar'!$T$280=SPECIAL_LBL)*10000000+(N('Dvd Calendar'!$T$274)&gt;0)*(N('Dvd Calendar'!$T$274)&lt;=VAL_SERIAL)*1000000+25*1000+16))</f>
        <v/>
      </c>
      <c r="EU36" s="121">
        <f>IF(N('Dvd Calendar'!$U$275)=0,"",IF(('Dvd Calendar'!$U$275&gt;=GRID_FROM)*('Dvd Calendar'!$U$275&lt;=GRID_TO)*((('Dvd Calendar'!$U$275&lt;=VAL_DATE)+(COUNTIF('Dvd Calendar'!$E$282:$AR$282,'Dvd Calendar'!$U$275)=0))&gt;0)=0,"",'Dvd Calendar'!$U$275*1000000000+ISNUMBER('Dvd Calendar'!$U$278)*100000000+('Dvd Calendar'!$U$280=SPECIAL_LBL)*10000000+(N('Dvd Calendar'!$U$274)&gt;0)*(N('Dvd Calendar'!$U$274)&lt;=VAL_SERIAL)*1000000+25*1000+17))</f>
        <v/>
      </c>
      <c r="EV36" s="121">
        <f>IF(N('Dvd Calendar'!$V$275)=0,"",IF(('Dvd Calendar'!$V$275&gt;=GRID_FROM)*('Dvd Calendar'!$V$275&lt;=GRID_TO)*((('Dvd Calendar'!$V$275&lt;=VAL_DATE)+(COUNTIF('Dvd Calendar'!$E$282:$AR$282,'Dvd Calendar'!$V$275)=0))&gt;0)=0,"",'Dvd Calendar'!$V$275*1000000000+ISNUMBER('Dvd Calendar'!$V$278)*100000000+('Dvd Calendar'!$V$280=SPECIAL_LBL)*10000000+(N('Dvd Calendar'!$V$274)&gt;0)*(N('Dvd Calendar'!$V$274)&lt;=VAL_SERIAL)*1000000+25*1000+18))</f>
        <v/>
      </c>
      <c r="EW36" s="121">
        <f>IF(N('Dvd Calendar'!$W$275)=0,"",IF(('Dvd Calendar'!$W$275&gt;=GRID_FROM)*('Dvd Calendar'!$W$275&lt;=GRID_TO)*((('Dvd Calendar'!$W$275&lt;=VAL_DATE)+(COUNTIF('Dvd Calendar'!$E$282:$AR$282,'Dvd Calendar'!$W$275)=0))&gt;0)=0,"",'Dvd Calendar'!$W$275*1000000000+ISNUMBER('Dvd Calendar'!$W$278)*100000000+('Dvd Calendar'!$W$280=SPECIAL_LBL)*10000000+(N('Dvd Calendar'!$W$274)&gt;0)*(N('Dvd Calendar'!$W$274)&lt;=VAL_SERIAL)*1000000+25*1000+19))</f>
        <v/>
      </c>
      <c r="EX36" s="121">
        <f>IF(N('Dvd Calendar'!$X$275)=0,"",IF(('Dvd Calendar'!$X$275&gt;=GRID_FROM)*('Dvd Calendar'!$X$275&lt;=GRID_TO)*((('Dvd Calendar'!$X$275&lt;=VAL_DATE)+(COUNTIF('Dvd Calendar'!$E$282:$AR$282,'Dvd Calendar'!$X$275)=0))&gt;0)=0,"",'Dvd Calendar'!$X$275*1000000000+ISNUMBER('Dvd Calendar'!$X$278)*100000000+('Dvd Calendar'!$X$280=SPECIAL_LBL)*10000000+(N('Dvd Calendar'!$X$274)&gt;0)*(N('Dvd Calendar'!$X$274)&lt;=VAL_SERIAL)*1000000+25*1000+20))</f>
        <v/>
      </c>
      <c r="EY36" s="121">
        <f>IF(N('Dvd Calendar'!$Y$275)=0,"",IF(('Dvd Calendar'!$Y$275&gt;=GRID_FROM)*('Dvd Calendar'!$Y$275&lt;=GRID_TO)*((('Dvd Calendar'!$Y$275&lt;=VAL_DATE)+(COUNTIF('Dvd Calendar'!$E$282:$AR$282,'Dvd Calendar'!$Y$275)=0))&gt;0)=0,"",'Dvd Calendar'!$Y$275*1000000000+ISNUMBER('Dvd Calendar'!$Y$278)*100000000+('Dvd Calendar'!$Y$280=SPECIAL_LBL)*10000000+(N('Dvd Calendar'!$Y$274)&gt;0)*(N('Dvd Calendar'!$Y$274)&lt;=VAL_SERIAL)*1000000+25*1000+21))</f>
        <v/>
      </c>
      <c r="EZ36" s="121">
        <f>IF(N('Dvd Calendar'!$Z$275)=0,"",IF(('Dvd Calendar'!$Z$275&gt;=GRID_FROM)*('Dvd Calendar'!$Z$275&lt;=GRID_TO)*((('Dvd Calendar'!$Z$275&lt;=VAL_DATE)+(COUNTIF('Dvd Calendar'!$E$282:$AR$282,'Dvd Calendar'!$Z$275)=0))&gt;0)=0,"",'Dvd Calendar'!$Z$275*1000000000+ISNUMBER('Dvd Calendar'!$Z$278)*100000000+('Dvd Calendar'!$Z$280=SPECIAL_LBL)*10000000+(N('Dvd Calendar'!$Z$274)&gt;0)*(N('Dvd Calendar'!$Z$274)&lt;=VAL_SERIAL)*1000000+25*1000+22))</f>
        <v/>
      </c>
      <c r="FA36" s="121">
        <f>IF(N('Dvd Calendar'!$AA$275)=0,"",IF(('Dvd Calendar'!$AA$275&gt;=GRID_FROM)*('Dvd Calendar'!$AA$275&lt;=GRID_TO)*((('Dvd Calendar'!$AA$275&lt;=VAL_DATE)+(COUNTIF('Dvd Calendar'!$E$282:$AR$282,'Dvd Calendar'!$AA$275)=0))&gt;0)=0,"",'Dvd Calendar'!$AA$275*1000000000+ISNUMBER('Dvd Calendar'!$AA$278)*100000000+('Dvd Calendar'!$AA$280=SPECIAL_LBL)*10000000+(N('Dvd Calendar'!$AA$274)&gt;0)*(N('Dvd Calendar'!$AA$274)&lt;=VAL_SERIAL)*1000000+25*1000+23))</f>
        <v/>
      </c>
      <c r="FB36" s="121">
        <f>IF(N('Dvd Calendar'!$AB$275)=0,"",IF(('Dvd Calendar'!$AB$275&gt;=GRID_FROM)*('Dvd Calendar'!$AB$275&lt;=GRID_TO)*((('Dvd Calendar'!$AB$275&lt;=VAL_DATE)+(COUNTIF('Dvd Calendar'!$E$282:$AR$282,'Dvd Calendar'!$AB$275)=0))&gt;0)=0,"",'Dvd Calendar'!$AB$275*1000000000+ISNUMBER('Dvd Calendar'!$AB$278)*100000000+('Dvd Calendar'!$AB$280=SPECIAL_LBL)*10000000+(N('Dvd Calendar'!$AB$274)&gt;0)*(N('Dvd Calendar'!$AB$274)&lt;=VAL_SERIAL)*1000000+25*1000+24))</f>
        <v/>
      </c>
      <c r="FC36" s="121">
        <f>IF(N('Dvd Calendar'!$AC$275)=0,"",IF(('Dvd Calendar'!$AC$275&gt;=GRID_FROM)*('Dvd Calendar'!$AC$275&lt;=GRID_TO)*((('Dvd Calendar'!$AC$275&lt;=VAL_DATE)+(COUNTIF('Dvd Calendar'!$E$282:$AR$282,'Dvd Calendar'!$AC$275)=0))&gt;0)=0,"",'Dvd Calendar'!$AC$275*1000000000+ISNUMBER('Dvd Calendar'!$AC$278)*100000000+('Dvd Calendar'!$AC$280=SPECIAL_LBL)*10000000+(N('Dvd Calendar'!$AC$274)&gt;0)*(N('Dvd Calendar'!$AC$274)&lt;=VAL_SERIAL)*1000000+25*1000+25))</f>
        <v/>
      </c>
      <c r="FD36" s="121">
        <f>IF(N('Dvd Calendar'!$AD$275)=0,"",IF(('Dvd Calendar'!$AD$275&gt;=GRID_FROM)*('Dvd Calendar'!$AD$275&lt;=GRID_TO)*((('Dvd Calendar'!$AD$275&lt;=VAL_DATE)+(COUNTIF('Dvd Calendar'!$E$282:$AR$282,'Dvd Calendar'!$AD$275)=0))&gt;0)=0,"",'Dvd Calendar'!$AD$275*1000000000+ISNUMBER('Dvd Calendar'!$AD$278)*100000000+('Dvd Calendar'!$AD$280=SPECIAL_LBL)*10000000+(N('Dvd Calendar'!$AD$274)&gt;0)*(N('Dvd Calendar'!$AD$274)&lt;=VAL_SERIAL)*1000000+25*1000+26))</f>
        <v/>
      </c>
      <c r="FE36" s="121">
        <f>IF(N('Dvd Calendar'!$AE$275)=0,"",IF(('Dvd Calendar'!$AE$275&gt;=GRID_FROM)*('Dvd Calendar'!$AE$275&lt;=GRID_TO)*((('Dvd Calendar'!$AE$275&lt;=VAL_DATE)+(COUNTIF('Dvd Calendar'!$E$282:$AR$282,'Dvd Calendar'!$AE$275)=0))&gt;0)=0,"",'Dvd Calendar'!$AE$275*1000000000+ISNUMBER('Dvd Calendar'!$AE$278)*100000000+('Dvd Calendar'!$AE$280=SPECIAL_LBL)*10000000+(N('Dvd Calendar'!$AE$274)&gt;0)*(N('Dvd Calendar'!$AE$274)&lt;=VAL_SERIAL)*1000000+25*1000+27))</f>
        <v/>
      </c>
      <c r="FF36" s="121">
        <f>IF(N('Dvd Calendar'!$AF$275)=0,"",IF(('Dvd Calendar'!$AF$275&gt;=GRID_FROM)*('Dvd Calendar'!$AF$275&lt;=GRID_TO)*((('Dvd Calendar'!$AF$275&lt;=VAL_DATE)+(COUNTIF('Dvd Calendar'!$E$282:$AR$282,'Dvd Calendar'!$AF$275)=0))&gt;0)=0,"",'Dvd Calendar'!$AF$275*1000000000+ISNUMBER('Dvd Calendar'!$AF$278)*100000000+('Dvd Calendar'!$AF$280=SPECIAL_LBL)*10000000+(N('Dvd Calendar'!$AF$274)&gt;0)*(N('Dvd Calendar'!$AF$274)&lt;=VAL_SERIAL)*1000000+25*1000+28))</f>
        <v/>
      </c>
      <c r="FG36" s="121">
        <f>IF(N('Dvd Calendar'!$AG$275)=0,"",IF(('Dvd Calendar'!$AG$275&gt;=GRID_FROM)*('Dvd Calendar'!$AG$275&lt;=GRID_TO)*((('Dvd Calendar'!$AG$275&lt;=VAL_DATE)+(COUNTIF('Dvd Calendar'!$E$282:$AR$282,'Dvd Calendar'!$AG$275)=0))&gt;0)=0,"",'Dvd Calendar'!$AG$275*1000000000+ISNUMBER('Dvd Calendar'!$AG$278)*100000000+('Dvd Calendar'!$AG$280=SPECIAL_LBL)*10000000+(N('Dvd Calendar'!$AG$274)&gt;0)*(N('Dvd Calendar'!$AG$274)&lt;=VAL_SERIAL)*1000000+25*1000+29))</f>
        <v/>
      </c>
      <c r="FH36" s="121">
        <f>IF(N('Dvd Calendar'!$AH$275)=0,"",IF(('Dvd Calendar'!$AH$275&gt;=GRID_FROM)*('Dvd Calendar'!$AH$275&lt;=GRID_TO)*((('Dvd Calendar'!$AH$275&lt;=VAL_DATE)+(COUNTIF('Dvd Calendar'!$E$282:$AR$282,'Dvd Calendar'!$AH$275)=0))&gt;0)=0,"",'Dvd Calendar'!$AH$275*1000000000+ISNUMBER('Dvd Calendar'!$AH$278)*100000000+('Dvd Calendar'!$AH$280=SPECIAL_LBL)*10000000+(N('Dvd Calendar'!$AH$274)&gt;0)*(N('Dvd Calendar'!$AH$274)&lt;=VAL_SERIAL)*1000000+25*1000+30))</f>
        <v/>
      </c>
      <c r="FI36" s="121">
        <f>IF(N('Dvd Calendar'!$AI$275)=0,"",IF(('Dvd Calendar'!$AI$275&gt;=GRID_FROM)*('Dvd Calendar'!$AI$275&lt;=GRID_TO)*((('Dvd Calendar'!$AI$275&lt;=VAL_DATE)+(COUNTIF('Dvd Calendar'!$E$282:$AR$282,'Dvd Calendar'!$AI$275)=0))&gt;0)=0,"",'Dvd Calendar'!$AI$275*1000000000+ISNUMBER('Dvd Calendar'!$AI$278)*100000000+('Dvd Calendar'!$AI$280=SPECIAL_LBL)*10000000+(N('Dvd Calendar'!$AI$274)&gt;0)*(N('Dvd Calendar'!$AI$274)&lt;=VAL_SERIAL)*1000000+25*1000+31))</f>
        <v/>
      </c>
      <c r="FJ36" s="121">
        <f>IF(N('Dvd Calendar'!$AJ$275)=0,"",IF(('Dvd Calendar'!$AJ$275&gt;=GRID_FROM)*('Dvd Calendar'!$AJ$275&lt;=GRID_TO)*((('Dvd Calendar'!$AJ$275&lt;=VAL_DATE)+(COUNTIF('Dvd Calendar'!$E$282:$AR$282,'Dvd Calendar'!$AJ$275)=0))&gt;0)=0,"",'Dvd Calendar'!$AJ$275*1000000000+ISNUMBER('Dvd Calendar'!$AJ$278)*100000000+('Dvd Calendar'!$AJ$280=SPECIAL_LBL)*10000000+(N('Dvd Calendar'!$AJ$274)&gt;0)*(N('Dvd Calendar'!$AJ$274)&lt;=VAL_SERIAL)*1000000+25*1000+32))</f>
        <v/>
      </c>
      <c r="FK36" s="121">
        <f>IF(N('Dvd Calendar'!$AK$275)=0,"",IF(('Dvd Calendar'!$AK$275&gt;=GRID_FROM)*('Dvd Calendar'!$AK$275&lt;=GRID_TO)*((('Dvd Calendar'!$AK$275&lt;=VAL_DATE)+(COUNTIF('Dvd Calendar'!$E$282:$AR$282,'Dvd Calendar'!$AK$275)=0))&gt;0)=0,"",'Dvd Calendar'!$AK$275*1000000000+ISNUMBER('Dvd Calendar'!$AK$278)*100000000+('Dvd Calendar'!$AK$280=SPECIAL_LBL)*10000000+(N('Dvd Calendar'!$AK$274)&gt;0)*(N('Dvd Calendar'!$AK$274)&lt;=VAL_SERIAL)*1000000+25*1000+33))</f>
        <v/>
      </c>
      <c r="FL36" s="121">
        <f>IF(N('Dvd Calendar'!$AL$275)=0,"",IF(('Dvd Calendar'!$AL$275&gt;=GRID_FROM)*('Dvd Calendar'!$AL$275&lt;=GRID_TO)*((('Dvd Calendar'!$AL$275&lt;=VAL_DATE)+(COUNTIF('Dvd Calendar'!$E$282:$AR$282,'Dvd Calendar'!$AL$275)=0))&gt;0)=0,"",'Dvd Calendar'!$AL$275*1000000000+ISNUMBER('Dvd Calendar'!$AL$278)*100000000+('Dvd Calendar'!$AL$280=SPECIAL_LBL)*10000000+(N('Dvd Calendar'!$AL$274)&gt;0)*(N('Dvd Calendar'!$AL$274)&lt;=VAL_SERIAL)*1000000+25*1000+34))</f>
        <v/>
      </c>
      <c r="FM36" s="121">
        <f>IF(N('Dvd Calendar'!$AM$275)=0,"",IF(('Dvd Calendar'!$AM$275&gt;=GRID_FROM)*('Dvd Calendar'!$AM$275&lt;=GRID_TO)*((('Dvd Calendar'!$AM$275&lt;=VAL_DATE)+(COUNTIF('Dvd Calendar'!$E$282:$AR$282,'Dvd Calendar'!$AM$275)=0))&gt;0)=0,"",'Dvd Calendar'!$AM$275*1000000000+ISNUMBER('Dvd Calendar'!$AM$278)*100000000+('Dvd Calendar'!$AM$280=SPECIAL_LBL)*10000000+(N('Dvd Calendar'!$AM$274)&gt;0)*(N('Dvd Calendar'!$AM$274)&lt;=VAL_SERIAL)*1000000+25*1000+35))</f>
        <v/>
      </c>
      <c r="FN36" s="121">
        <f>IF(N('Dvd Calendar'!$AN$275)=0,"",IF(('Dvd Calendar'!$AN$275&gt;=GRID_FROM)*('Dvd Calendar'!$AN$275&lt;=GRID_TO)*((('Dvd Calendar'!$AN$275&lt;=VAL_DATE)+(COUNTIF('Dvd Calendar'!$E$282:$AR$282,'Dvd Calendar'!$AN$275)=0))&gt;0)=0,"",'Dvd Calendar'!$AN$275*1000000000+ISNUMBER('Dvd Calendar'!$AN$278)*100000000+('Dvd Calendar'!$AN$280=SPECIAL_LBL)*10000000+(N('Dvd Calendar'!$AN$274)&gt;0)*(N('Dvd Calendar'!$AN$274)&lt;=VAL_SERIAL)*1000000+25*1000+36))</f>
        <v/>
      </c>
      <c r="FO36" s="121">
        <f>IF(N('Dvd Calendar'!$AO$275)=0,"",IF(('Dvd Calendar'!$AO$275&gt;=GRID_FROM)*('Dvd Calendar'!$AO$275&lt;=GRID_TO)*((('Dvd Calendar'!$AO$275&lt;=VAL_DATE)+(COUNTIF('Dvd Calendar'!$E$282:$AR$282,'Dvd Calendar'!$AO$275)=0))&gt;0)=0,"",'Dvd Calendar'!$AO$275*1000000000+ISNUMBER('Dvd Calendar'!$AO$278)*100000000+('Dvd Calendar'!$AO$280=SPECIAL_LBL)*10000000+(N('Dvd Calendar'!$AO$274)&gt;0)*(N('Dvd Calendar'!$AO$274)&lt;=VAL_SERIAL)*1000000+25*1000+37))</f>
        <v/>
      </c>
      <c r="FP36" s="121">
        <f>IF(N('Dvd Calendar'!$AP$275)=0,"",IF(('Dvd Calendar'!$AP$275&gt;=GRID_FROM)*('Dvd Calendar'!$AP$275&lt;=GRID_TO)*((('Dvd Calendar'!$AP$275&lt;=VAL_DATE)+(COUNTIF('Dvd Calendar'!$E$282:$AR$282,'Dvd Calendar'!$AP$275)=0))&gt;0)=0,"",'Dvd Calendar'!$AP$275*1000000000+ISNUMBER('Dvd Calendar'!$AP$278)*100000000+('Dvd Calendar'!$AP$280=SPECIAL_LBL)*10000000+(N('Dvd Calendar'!$AP$274)&gt;0)*(N('Dvd Calendar'!$AP$274)&lt;=VAL_SERIAL)*1000000+25*1000+38))</f>
        <v/>
      </c>
      <c r="FQ36" s="121">
        <f>IF(N('Dvd Calendar'!$AQ$275)=0,"",IF(('Dvd Calendar'!$AQ$275&gt;=GRID_FROM)*('Dvd Calendar'!$AQ$275&lt;=GRID_TO)*((('Dvd Calendar'!$AQ$275&lt;=VAL_DATE)+(COUNTIF('Dvd Calendar'!$E$282:$AR$282,'Dvd Calendar'!$AQ$275)=0))&gt;0)=0,"",'Dvd Calendar'!$AQ$275*1000000000+ISNUMBER('Dvd Calendar'!$AQ$278)*100000000+('Dvd Calendar'!$AQ$280=SPECIAL_LBL)*10000000+(N('Dvd Calendar'!$AQ$274)&gt;0)*(N('Dvd Calendar'!$AQ$274)&lt;=VAL_SERIAL)*1000000+25*1000+39))</f>
        <v/>
      </c>
      <c r="FR36" s="121">
        <f>IF(N('Dvd Calendar'!$AR$275)=0,"",IF(('Dvd Calendar'!$AR$275&gt;=GRID_FROM)*('Dvd Calendar'!$AR$275&lt;=GRID_TO)*((('Dvd Calendar'!$AR$275&lt;=VAL_DATE)+(COUNTIF('Dvd Calendar'!$E$282:$AR$282,'Dvd Calendar'!$AR$275)=0))&gt;0)=0,"",'Dvd Calendar'!$AR$275*1000000000+ISNUMBER('Dvd Calendar'!$AR$278)*100000000+('Dvd Calendar'!$AR$280=SPECIAL_LBL)*10000000+(N('Dvd Calendar'!$AR$274)&gt;0)*(N('Dvd Calendar'!$AR$274)&lt;=VAL_SERIAL)*1000000+25*1000+40))</f>
        <v/>
      </c>
      <c r="FS36" s="121">
        <f>IF(N('Dvd Calendar'!$E$282)=0,"",IF(('Dvd Calendar'!$E$282&gt;=GRID_FROM)*('Dvd Calendar'!$E$282&lt;=GRID_TO)*('Dvd Calendar'!$E$282&gt;VAL_DATE)=0,"",'Dvd Calendar'!$E$282*1000000000+ISNUMBER('Dvd Calendar'!$E$283)*100000000+0*10000000+(N('Dvd Calendar'!$E$281)&gt;0)*(N('Dvd Calendar'!$E$281)&lt;=VAL_SERIAL)*1000000+25*1000+41))</f>
        <v/>
      </c>
      <c r="FT36" s="121">
        <f>IF(N('Dvd Calendar'!$F$282)=0,"",IF(('Dvd Calendar'!$F$282&gt;=GRID_FROM)*('Dvd Calendar'!$F$282&lt;=GRID_TO)*('Dvd Calendar'!$F$282&gt;VAL_DATE)=0,"",'Dvd Calendar'!$F$282*1000000000+ISNUMBER('Dvd Calendar'!$F$283)*100000000+0*10000000+(N('Dvd Calendar'!$F$281)&gt;0)*(N('Dvd Calendar'!$F$281)&lt;=VAL_SERIAL)*1000000+25*1000+42))</f>
        <v/>
      </c>
      <c r="FU36" s="121">
        <f>IF(N('Dvd Calendar'!$G$282)=0,"",IF(('Dvd Calendar'!$G$282&gt;=GRID_FROM)*('Dvd Calendar'!$G$282&lt;=GRID_TO)*('Dvd Calendar'!$G$282&gt;VAL_DATE)=0,"",'Dvd Calendar'!$G$282*1000000000+ISNUMBER('Dvd Calendar'!$G$283)*100000000+0*10000000+(N('Dvd Calendar'!$G$281)&gt;0)*(N('Dvd Calendar'!$G$281)&lt;=VAL_SERIAL)*1000000+25*1000+43))</f>
        <v/>
      </c>
      <c r="FV36" s="121">
        <f>IF(N('Dvd Calendar'!$H$282)=0,"",IF(('Dvd Calendar'!$H$282&gt;=GRID_FROM)*('Dvd Calendar'!$H$282&lt;=GRID_TO)*('Dvd Calendar'!$H$282&gt;VAL_DATE)=0,"",'Dvd Calendar'!$H$282*1000000000+ISNUMBER('Dvd Calendar'!$H$283)*100000000+0*10000000+(N('Dvd Calendar'!$H$281)&gt;0)*(N('Dvd Calendar'!$H$281)&lt;=VAL_SERIAL)*1000000+25*1000+44))</f>
        <v/>
      </c>
      <c r="FW36" s="121">
        <f>IF(N('Dvd Calendar'!$I$282)=0,"",IF(('Dvd Calendar'!$I$282&gt;=GRID_FROM)*('Dvd Calendar'!$I$282&lt;=GRID_TO)*('Dvd Calendar'!$I$282&gt;VAL_DATE)=0,"",'Dvd Calendar'!$I$282*1000000000+ISNUMBER('Dvd Calendar'!$I$283)*100000000+0*10000000+(N('Dvd Calendar'!$I$281)&gt;0)*(N('Dvd Calendar'!$I$281)&lt;=VAL_SERIAL)*1000000+25*1000+45))</f>
        <v/>
      </c>
      <c r="FX36" s="121">
        <f>IF(N('Dvd Calendar'!$J$282)=0,"",IF(('Dvd Calendar'!$J$282&gt;=GRID_FROM)*('Dvd Calendar'!$J$282&lt;=GRID_TO)*('Dvd Calendar'!$J$282&gt;VAL_DATE)=0,"",'Dvd Calendar'!$J$282*1000000000+ISNUMBER('Dvd Calendar'!$J$283)*100000000+0*10000000+(N('Dvd Calendar'!$J$281)&gt;0)*(N('Dvd Calendar'!$J$281)&lt;=VAL_SERIAL)*1000000+25*1000+46))</f>
        <v/>
      </c>
      <c r="FY36" s="121">
        <f>IF(N('Dvd Calendar'!$K$282)=0,"",IF(('Dvd Calendar'!$K$282&gt;=GRID_FROM)*('Dvd Calendar'!$K$282&lt;=GRID_TO)*('Dvd Calendar'!$K$282&gt;VAL_DATE)=0,"",'Dvd Calendar'!$K$282*1000000000+ISNUMBER('Dvd Calendar'!$K$283)*100000000+0*10000000+(N('Dvd Calendar'!$K$281)&gt;0)*(N('Dvd Calendar'!$K$281)&lt;=VAL_SERIAL)*1000000+25*1000+47))</f>
        <v/>
      </c>
      <c r="FZ36" s="121">
        <f>IF(N('Dvd Calendar'!$L$282)=0,"",IF(('Dvd Calendar'!$L$282&gt;=GRID_FROM)*('Dvd Calendar'!$L$282&lt;=GRID_TO)*('Dvd Calendar'!$L$282&gt;VAL_DATE)=0,"",'Dvd Calendar'!$L$282*1000000000+ISNUMBER('Dvd Calendar'!$L$283)*100000000+0*10000000+(N('Dvd Calendar'!$L$281)&gt;0)*(N('Dvd Calendar'!$L$281)&lt;=VAL_SERIAL)*1000000+25*1000+48))</f>
        <v/>
      </c>
      <c r="GA36" s="121">
        <f>IF(N('Dvd Calendar'!$M$282)=0,"",IF(('Dvd Calendar'!$M$282&gt;=GRID_FROM)*('Dvd Calendar'!$M$282&lt;=GRID_TO)*('Dvd Calendar'!$M$282&gt;VAL_DATE)=0,"",'Dvd Calendar'!$M$282*1000000000+ISNUMBER('Dvd Calendar'!$M$283)*100000000+0*10000000+(N('Dvd Calendar'!$M$281)&gt;0)*(N('Dvd Calendar'!$M$281)&lt;=VAL_SERIAL)*1000000+25*1000+49))</f>
        <v/>
      </c>
      <c r="GB36" s="121">
        <f>IF(N('Dvd Calendar'!$N$282)=0,"",IF(('Dvd Calendar'!$N$282&gt;=GRID_FROM)*('Dvd Calendar'!$N$282&lt;=GRID_TO)*('Dvd Calendar'!$N$282&gt;VAL_DATE)=0,"",'Dvd Calendar'!$N$282*1000000000+ISNUMBER('Dvd Calendar'!$N$283)*100000000+0*10000000+(N('Dvd Calendar'!$N$281)&gt;0)*(N('Dvd Calendar'!$N$281)&lt;=VAL_SERIAL)*1000000+25*1000+50))</f>
        <v/>
      </c>
      <c r="GC36" s="121">
        <f>IF(N('Dvd Calendar'!$O$282)=0,"",IF(('Dvd Calendar'!$O$282&gt;=GRID_FROM)*('Dvd Calendar'!$O$282&lt;=GRID_TO)*('Dvd Calendar'!$O$282&gt;VAL_DATE)=0,"",'Dvd Calendar'!$O$282*1000000000+ISNUMBER('Dvd Calendar'!$O$283)*100000000+0*10000000+(N('Dvd Calendar'!$O$281)&gt;0)*(N('Dvd Calendar'!$O$281)&lt;=VAL_SERIAL)*1000000+25*1000+51))</f>
        <v/>
      </c>
      <c r="GD36" s="121">
        <f>IF(N('Dvd Calendar'!$P$282)=0,"",IF(('Dvd Calendar'!$P$282&gt;=GRID_FROM)*('Dvd Calendar'!$P$282&lt;=GRID_TO)*('Dvd Calendar'!$P$282&gt;VAL_DATE)=0,"",'Dvd Calendar'!$P$282*1000000000+ISNUMBER('Dvd Calendar'!$P$283)*100000000+0*10000000+(N('Dvd Calendar'!$P$281)&gt;0)*(N('Dvd Calendar'!$P$281)&lt;=VAL_SERIAL)*1000000+25*1000+52))</f>
        <v/>
      </c>
      <c r="GE36" s="121">
        <f>IF(N('Dvd Calendar'!$Q$282)=0,"",IF(('Dvd Calendar'!$Q$282&gt;=GRID_FROM)*('Dvd Calendar'!$Q$282&lt;=GRID_TO)*('Dvd Calendar'!$Q$282&gt;VAL_DATE)=0,"",'Dvd Calendar'!$Q$282*1000000000+ISNUMBER('Dvd Calendar'!$Q$283)*100000000+0*10000000+(N('Dvd Calendar'!$Q$281)&gt;0)*(N('Dvd Calendar'!$Q$281)&lt;=VAL_SERIAL)*1000000+25*1000+53))</f>
        <v/>
      </c>
      <c r="GF36" s="121">
        <f>IF(N('Dvd Calendar'!$R$282)=0,"",IF(('Dvd Calendar'!$R$282&gt;=GRID_FROM)*('Dvd Calendar'!$R$282&lt;=GRID_TO)*('Dvd Calendar'!$R$282&gt;VAL_DATE)=0,"",'Dvd Calendar'!$R$282*1000000000+ISNUMBER('Dvd Calendar'!$R$283)*100000000+0*10000000+(N('Dvd Calendar'!$R$281)&gt;0)*(N('Dvd Calendar'!$R$281)&lt;=VAL_SERIAL)*1000000+25*1000+54))</f>
        <v/>
      </c>
      <c r="GG36" s="121">
        <f>IF(N('Dvd Calendar'!$S$282)=0,"",IF(('Dvd Calendar'!$S$282&gt;=GRID_FROM)*('Dvd Calendar'!$S$282&lt;=GRID_TO)*('Dvd Calendar'!$S$282&gt;VAL_DATE)=0,"",'Dvd Calendar'!$S$282*1000000000+ISNUMBER('Dvd Calendar'!$S$283)*100000000+0*10000000+(N('Dvd Calendar'!$S$281)&gt;0)*(N('Dvd Calendar'!$S$281)&lt;=VAL_SERIAL)*1000000+25*1000+55))</f>
        <v/>
      </c>
      <c r="GH36" s="121">
        <f>IF(N('Dvd Calendar'!$T$282)=0,"",IF(('Dvd Calendar'!$T$282&gt;=GRID_FROM)*('Dvd Calendar'!$T$282&lt;=GRID_TO)*('Dvd Calendar'!$T$282&gt;VAL_DATE)=0,"",'Dvd Calendar'!$T$282*1000000000+ISNUMBER('Dvd Calendar'!$T$283)*100000000+0*10000000+(N('Dvd Calendar'!$T$281)&gt;0)*(N('Dvd Calendar'!$T$281)&lt;=VAL_SERIAL)*1000000+25*1000+56))</f>
        <v/>
      </c>
      <c r="GI36" s="121">
        <f>IF(N('Dvd Calendar'!$U$282)=0,"",IF(('Dvd Calendar'!$U$282&gt;=GRID_FROM)*('Dvd Calendar'!$U$282&lt;=GRID_TO)*('Dvd Calendar'!$U$282&gt;VAL_DATE)=0,"",'Dvd Calendar'!$U$282*1000000000+ISNUMBER('Dvd Calendar'!$U$283)*100000000+0*10000000+(N('Dvd Calendar'!$U$281)&gt;0)*(N('Dvd Calendar'!$U$281)&lt;=VAL_SERIAL)*1000000+25*1000+57))</f>
        <v/>
      </c>
      <c r="GJ36" s="121">
        <f>IF(N('Dvd Calendar'!$V$282)=0,"",IF(('Dvd Calendar'!$V$282&gt;=GRID_FROM)*('Dvd Calendar'!$V$282&lt;=GRID_TO)*('Dvd Calendar'!$V$282&gt;VAL_DATE)=0,"",'Dvd Calendar'!$V$282*1000000000+ISNUMBER('Dvd Calendar'!$V$283)*100000000+0*10000000+(N('Dvd Calendar'!$V$281)&gt;0)*(N('Dvd Calendar'!$V$281)&lt;=VAL_SERIAL)*1000000+25*1000+58))</f>
        <v/>
      </c>
      <c r="GK36" s="121">
        <f>IF(N('Dvd Calendar'!$W$282)=0,"",IF(('Dvd Calendar'!$W$282&gt;=GRID_FROM)*('Dvd Calendar'!$W$282&lt;=GRID_TO)*('Dvd Calendar'!$W$282&gt;VAL_DATE)=0,"",'Dvd Calendar'!$W$282*1000000000+ISNUMBER('Dvd Calendar'!$W$283)*100000000+0*10000000+(N('Dvd Calendar'!$W$281)&gt;0)*(N('Dvd Calendar'!$W$281)&lt;=VAL_SERIAL)*1000000+25*1000+59))</f>
        <v/>
      </c>
      <c r="GL36" s="121">
        <f>IF(N('Dvd Calendar'!$X$282)=0,"",IF(('Dvd Calendar'!$X$282&gt;=GRID_FROM)*('Dvd Calendar'!$X$282&lt;=GRID_TO)*('Dvd Calendar'!$X$282&gt;VAL_DATE)=0,"",'Dvd Calendar'!$X$282*1000000000+ISNUMBER('Dvd Calendar'!$X$283)*100000000+0*10000000+(N('Dvd Calendar'!$X$281)&gt;0)*(N('Dvd Calendar'!$X$281)&lt;=VAL_SERIAL)*1000000+25*1000+60))</f>
        <v/>
      </c>
      <c r="GM36" s="121">
        <f>IF(N('Dvd Calendar'!$Y$282)=0,"",IF(('Dvd Calendar'!$Y$282&gt;=GRID_FROM)*('Dvd Calendar'!$Y$282&lt;=GRID_TO)*('Dvd Calendar'!$Y$282&gt;VAL_DATE)=0,"",'Dvd Calendar'!$Y$282*1000000000+ISNUMBER('Dvd Calendar'!$Y$283)*100000000+0*10000000+(N('Dvd Calendar'!$Y$281)&gt;0)*(N('Dvd Calendar'!$Y$281)&lt;=VAL_SERIAL)*1000000+25*1000+61))</f>
        <v/>
      </c>
      <c r="GN36" s="121">
        <f>IF(N('Dvd Calendar'!$Z$282)=0,"",IF(('Dvd Calendar'!$Z$282&gt;=GRID_FROM)*('Dvd Calendar'!$Z$282&lt;=GRID_TO)*('Dvd Calendar'!$Z$282&gt;VAL_DATE)=0,"",'Dvd Calendar'!$Z$282*1000000000+ISNUMBER('Dvd Calendar'!$Z$283)*100000000+0*10000000+(N('Dvd Calendar'!$Z$281)&gt;0)*(N('Dvd Calendar'!$Z$281)&lt;=VAL_SERIAL)*1000000+25*1000+62))</f>
        <v/>
      </c>
      <c r="GO36" s="121">
        <f>IF(N('Dvd Calendar'!$AA$282)=0,"",IF(('Dvd Calendar'!$AA$282&gt;=GRID_FROM)*('Dvd Calendar'!$AA$282&lt;=GRID_TO)*('Dvd Calendar'!$AA$282&gt;VAL_DATE)=0,"",'Dvd Calendar'!$AA$282*1000000000+ISNUMBER('Dvd Calendar'!$AA$283)*100000000+0*10000000+(N('Dvd Calendar'!$AA$281)&gt;0)*(N('Dvd Calendar'!$AA$281)&lt;=VAL_SERIAL)*1000000+25*1000+63))</f>
        <v/>
      </c>
      <c r="GP36" s="121">
        <f>IF(N('Dvd Calendar'!$AB$282)=0,"",IF(('Dvd Calendar'!$AB$282&gt;=GRID_FROM)*('Dvd Calendar'!$AB$282&lt;=GRID_TO)*('Dvd Calendar'!$AB$282&gt;VAL_DATE)=0,"",'Dvd Calendar'!$AB$282*1000000000+ISNUMBER('Dvd Calendar'!$AB$283)*100000000+0*10000000+(N('Dvd Calendar'!$AB$281)&gt;0)*(N('Dvd Calendar'!$AB$281)&lt;=VAL_SERIAL)*1000000+25*1000+64))</f>
        <v/>
      </c>
      <c r="GQ36" s="121">
        <f>IF(N('Dvd Calendar'!$AC$282)=0,"",IF(('Dvd Calendar'!$AC$282&gt;=GRID_FROM)*('Dvd Calendar'!$AC$282&lt;=GRID_TO)*('Dvd Calendar'!$AC$282&gt;VAL_DATE)=0,"",'Dvd Calendar'!$AC$282*1000000000+ISNUMBER('Dvd Calendar'!$AC$283)*100000000+0*10000000+(N('Dvd Calendar'!$AC$281)&gt;0)*(N('Dvd Calendar'!$AC$281)&lt;=VAL_SERIAL)*1000000+25*1000+65))</f>
        <v/>
      </c>
    </row>
    <row r="37">
      <c r="B37" s="2">
        <f>IF(HSI!$C$32="","",HSI!$C$32)</f>
        <v/>
      </c>
      <c r="C37" s="161">
        <f>IF(EE37="","",IF(ISNUMBER('Dvd Calendar'!$E$289)=FALSE,"",IF((('Dvd Calendar'!$E$291=TYPE1)*(TYPE1&lt;&gt;"")+('Dvd Calendar'!$E$291=TYPE2)*(TYPE2&lt;&gt;"")+('Dvd Calendar'!$E$291=TYPE3)*(TYPE3&lt;&gt;"")+('Dvd Calendar'!$E$291=TYPE4)*(TYPE4&lt;&gt;"")+('Dvd Calendar'!$E$291=SPECIAL_LBL)*(INC_SPECIALS="Y"))=0,"",'Dvd Calendar'!$E$289)))</f>
        <v/>
      </c>
      <c r="D37" s="161">
        <f>IF(EF37="","",IF(ISNUMBER('Dvd Calendar'!$F$289)=FALSE,"",IF((('Dvd Calendar'!$F$291=TYPE1)*(TYPE1&lt;&gt;"")+('Dvd Calendar'!$F$291=TYPE2)*(TYPE2&lt;&gt;"")+('Dvd Calendar'!$F$291=TYPE3)*(TYPE3&lt;&gt;"")+('Dvd Calendar'!$F$291=TYPE4)*(TYPE4&lt;&gt;"")+('Dvd Calendar'!$F$291=SPECIAL_LBL)*(INC_SPECIALS="Y"))=0,"",'Dvd Calendar'!$F$289)))</f>
        <v/>
      </c>
      <c r="E37" s="161">
        <f>IF(EG37="","",IF(ISNUMBER('Dvd Calendar'!$G$289)=FALSE,"",IF((('Dvd Calendar'!$G$291=TYPE1)*(TYPE1&lt;&gt;"")+('Dvd Calendar'!$G$291=TYPE2)*(TYPE2&lt;&gt;"")+('Dvd Calendar'!$G$291=TYPE3)*(TYPE3&lt;&gt;"")+('Dvd Calendar'!$G$291=TYPE4)*(TYPE4&lt;&gt;"")+('Dvd Calendar'!$G$291=SPECIAL_LBL)*(INC_SPECIALS="Y"))=0,"",'Dvd Calendar'!$G$289)))</f>
        <v/>
      </c>
      <c r="F37" s="161">
        <f>IF(EH37="","",IF(ISNUMBER('Dvd Calendar'!$H$289)=FALSE,"",IF((('Dvd Calendar'!$H$291=TYPE1)*(TYPE1&lt;&gt;"")+('Dvd Calendar'!$H$291=TYPE2)*(TYPE2&lt;&gt;"")+('Dvd Calendar'!$H$291=TYPE3)*(TYPE3&lt;&gt;"")+('Dvd Calendar'!$H$291=TYPE4)*(TYPE4&lt;&gt;"")+('Dvd Calendar'!$H$291=SPECIAL_LBL)*(INC_SPECIALS="Y"))=0,"",'Dvd Calendar'!$H$289)))</f>
        <v/>
      </c>
      <c r="G37" s="161">
        <f>IF(EI37="","",IF(ISNUMBER('Dvd Calendar'!$I$289)=FALSE,"",IF((('Dvd Calendar'!$I$291=TYPE1)*(TYPE1&lt;&gt;"")+('Dvd Calendar'!$I$291=TYPE2)*(TYPE2&lt;&gt;"")+('Dvd Calendar'!$I$291=TYPE3)*(TYPE3&lt;&gt;"")+('Dvd Calendar'!$I$291=TYPE4)*(TYPE4&lt;&gt;"")+('Dvd Calendar'!$I$291=SPECIAL_LBL)*(INC_SPECIALS="Y"))=0,"",'Dvd Calendar'!$I$289)))</f>
        <v/>
      </c>
      <c r="H37" s="161">
        <f>IF(EJ37="","",IF(ISNUMBER('Dvd Calendar'!$J$289)=FALSE,"",IF((('Dvd Calendar'!$J$291=TYPE1)*(TYPE1&lt;&gt;"")+('Dvd Calendar'!$J$291=TYPE2)*(TYPE2&lt;&gt;"")+('Dvd Calendar'!$J$291=TYPE3)*(TYPE3&lt;&gt;"")+('Dvd Calendar'!$J$291=TYPE4)*(TYPE4&lt;&gt;"")+('Dvd Calendar'!$J$291=SPECIAL_LBL)*(INC_SPECIALS="Y"))=0,"",'Dvd Calendar'!$J$289)))</f>
        <v/>
      </c>
      <c r="I37" s="161">
        <f>IF(EK37="","",IF(ISNUMBER('Dvd Calendar'!$K$289)=FALSE,"",IF((('Dvd Calendar'!$K$291=TYPE1)*(TYPE1&lt;&gt;"")+('Dvd Calendar'!$K$291=TYPE2)*(TYPE2&lt;&gt;"")+('Dvd Calendar'!$K$291=TYPE3)*(TYPE3&lt;&gt;"")+('Dvd Calendar'!$K$291=TYPE4)*(TYPE4&lt;&gt;"")+('Dvd Calendar'!$K$291=SPECIAL_LBL)*(INC_SPECIALS="Y"))=0,"",'Dvd Calendar'!$K$289)))</f>
        <v/>
      </c>
      <c r="J37" s="161">
        <f>IF(EL37="","",IF(ISNUMBER('Dvd Calendar'!$L$289)=FALSE,"",IF((('Dvd Calendar'!$L$291=TYPE1)*(TYPE1&lt;&gt;"")+('Dvd Calendar'!$L$291=TYPE2)*(TYPE2&lt;&gt;"")+('Dvd Calendar'!$L$291=TYPE3)*(TYPE3&lt;&gt;"")+('Dvd Calendar'!$L$291=TYPE4)*(TYPE4&lt;&gt;"")+('Dvd Calendar'!$L$291=SPECIAL_LBL)*(INC_SPECIALS="Y"))=0,"",'Dvd Calendar'!$L$289)))</f>
        <v/>
      </c>
      <c r="K37" s="161">
        <f>IF(EM37="","",IF(ISNUMBER('Dvd Calendar'!$M$289)=FALSE,"",IF((('Dvd Calendar'!$M$291=TYPE1)*(TYPE1&lt;&gt;"")+('Dvd Calendar'!$M$291=TYPE2)*(TYPE2&lt;&gt;"")+('Dvd Calendar'!$M$291=TYPE3)*(TYPE3&lt;&gt;"")+('Dvd Calendar'!$M$291=TYPE4)*(TYPE4&lt;&gt;"")+('Dvd Calendar'!$M$291=SPECIAL_LBL)*(INC_SPECIALS="Y"))=0,"",'Dvd Calendar'!$M$289)))</f>
        <v/>
      </c>
      <c r="L37" s="161">
        <f>IF(EN37="","",IF(ISNUMBER('Dvd Calendar'!$N$289)=FALSE,"",IF((('Dvd Calendar'!$N$291=TYPE1)*(TYPE1&lt;&gt;"")+('Dvd Calendar'!$N$291=TYPE2)*(TYPE2&lt;&gt;"")+('Dvd Calendar'!$N$291=TYPE3)*(TYPE3&lt;&gt;"")+('Dvd Calendar'!$N$291=TYPE4)*(TYPE4&lt;&gt;"")+('Dvd Calendar'!$N$291=SPECIAL_LBL)*(INC_SPECIALS="Y"))=0,"",'Dvd Calendar'!$N$289)))</f>
        <v/>
      </c>
      <c r="M37" s="161">
        <f>IF(EO37="","",IF(ISNUMBER('Dvd Calendar'!$O$289)=FALSE,"",IF((('Dvd Calendar'!$O$291=TYPE1)*(TYPE1&lt;&gt;"")+('Dvd Calendar'!$O$291=TYPE2)*(TYPE2&lt;&gt;"")+('Dvd Calendar'!$O$291=TYPE3)*(TYPE3&lt;&gt;"")+('Dvd Calendar'!$O$291=TYPE4)*(TYPE4&lt;&gt;"")+('Dvd Calendar'!$O$291=SPECIAL_LBL)*(INC_SPECIALS="Y"))=0,"",'Dvd Calendar'!$O$289)))</f>
        <v/>
      </c>
      <c r="N37" s="161">
        <f>IF(EP37="","",IF(ISNUMBER('Dvd Calendar'!$P$289)=FALSE,"",IF((('Dvd Calendar'!$P$291=TYPE1)*(TYPE1&lt;&gt;"")+('Dvd Calendar'!$P$291=TYPE2)*(TYPE2&lt;&gt;"")+('Dvd Calendar'!$P$291=TYPE3)*(TYPE3&lt;&gt;"")+('Dvd Calendar'!$P$291=TYPE4)*(TYPE4&lt;&gt;"")+('Dvd Calendar'!$P$291=SPECIAL_LBL)*(INC_SPECIALS="Y"))=0,"",'Dvd Calendar'!$P$289)))</f>
        <v/>
      </c>
      <c r="O37" s="161">
        <f>IF(EQ37="","",IF(ISNUMBER('Dvd Calendar'!$Q$289)=FALSE,"",IF((('Dvd Calendar'!$Q$291=TYPE1)*(TYPE1&lt;&gt;"")+('Dvd Calendar'!$Q$291=TYPE2)*(TYPE2&lt;&gt;"")+('Dvd Calendar'!$Q$291=TYPE3)*(TYPE3&lt;&gt;"")+('Dvd Calendar'!$Q$291=TYPE4)*(TYPE4&lt;&gt;"")+('Dvd Calendar'!$Q$291=SPECIAL_LBL)*(INC_SPECIALS="Y"))=0,"",'Dvd Calendar'!$Q$289)))</f>
        <v/>
      </c>
      <c r="P37" s="161">
        <f>IF(ER37="","",IF(ISNUMBER('Dvd Calendar'!$R$289)=FALSE,"",IF((('Dvd Calendar'!$R$291=TYPE1)*(TYPE1&lt;&gt;"")+('Dvd Calendar'!$R$291=TYPE2)*(TYPE2&lt;&gt;"")+('Dvd Calendar'!$R$291=TYPE3)*(TYPE3&lt;&gt;"")+('Dvd Calendar'!$R$291=TYPE4)*(TYPE4&lt;&gt;"")+('Dvd Calendar'!$R$291=SPECIAL_LBL)*(INC_SPECIALS="Y"))=0,"",'Dvd Calendar'!$R$289)))</f>
        <v/>
      </c>
      <c r="Q37" s="161">
        <f>IF(ES37="","",IF(ISNUMBER('Dvd Calendar'!$S$289)=FALSE,"",IF((('Dvd Calendar'!$S$291=TYPE1)*(TYPE1&lt;&gt;"")+('Dvd Calendar'!$S$291=TYPE2)*(TYPE2&lt;&gt;"")+('Dvd Calendar'!$S$291=TYPE3)*(TYPE3&lt;&gt;"")+('Dvd Calendar'!$S$291=TYPE4)*(TYPE4&lt;&gt;"")+('Dvd Calendar'!$S$291=SPECIAL_LBL)*(INC_SPECIALS="Y"))=0,"",'Dvd Calendar'!$S$289)))</f>
        <v/>
      </c>
      <c r="R37" s="161">
        <f>IF(ET37="","",IF(ISNUMBER('Dvd Calendar'!$T$289)=FALSE,"",IF((('Dvd Calendar'!$T$291=TYPE1)*(TYPE1&lt;&gt;"")+('Dvd Calendar'!$T$291=TYPE2)*(TYPE2&lt;&gt;"")+('Dvd Calendar'!$T$291=TYPE3)*(TYPE3&lt;&gt;"")+('Dvd Calendar'!$T$291=TYPE4)*(TYPE4&lt;&gt;"")+('Dvd Calendar'!$T$291=SPECIAL_LBL)*(INC_SPECIALS="Y"))=0,"",'Dvd Calendar'!$T$289)))</f>
        <v/>
      </c>
      <c r="S37" s="161">
        <f>IF(EU37="","",IF(ISNUMBER('Dvd Calendar'!$U$289)=FALSE,"",IF((('Dvd Calendar'!$U$291=TYPE1)*(TYPE1&lt;&gt;"")+('Dvd Calendar'!$U$291=TYPE2)*(TYPE2&lt;&gt;"")+('Dvd Calendar'!$U$291=TYPE3)*(TYPE3&lt;&gt;"")+('Dvd Calendar'!$U$291=TYPE4)*(TYPE4&lt;&gt;"")+('Dvd Calendar'!$U$291=SPECIAL_LBL)*(INC_SPECIALS="Y"))=0,"",'Dvd Calendar'!$U$289)))</f>
        <v/>
      </c>
      <c r="T37" s="161">
        <f>IF(EV37="","",IF(ISNUMBER('Dvd Calendar'!$V$289)=FALSE,"",IF((('Dvd Calendar'!$V$291=TYPE1)*(TYPE1&lt;&gt;"")+('Dvd Calendar'!$V$291=TYPE2)*(TYPE2&lt;&gt;"")+('Dvd Calendar'!$V$291=TYPE3)*(TYPE3&lt;&gt;"")+('Dvd Calendar'!$V$291=TYPE4)*(TYPE4&lt;&gt;"")+('Dvd Calendar'!$V$291=SPECIAL_LBL)*(INC_SPECIALS="Y"))=0,"",'Dvd Calendar'!$V$289)))</f>
        <v/>
      </c>
      <c r="U37" s="161">
        <f>IF(EW37="","",IF(ISNUMBER('Dvd Calendar'!$W$289)=FALSE,"",IF((('Dvd Calendar'!$W$291=TYPE1)*(TYPE1&lt;&gt;"")+('Dvd Calendar'!$W$291=TYPE2)*(TYPE2&lt;&gt;"")+('Dvd Calendar'!$W$291=TYPE3)*(TYPE3&lt;&gt;"")+('Dvd Calendar'!$W$291=TYPE4)*(TYPE4&lt;&gt;"")+('Dvd Calendar'!$W$291=SPECIAL_LBL)*(INC_SPECIALS="Y"))=0,"",'Dvd Calendar'!$W$289)))</f>
        <v/>
      </c>
      <c r="V37" s="161">
        <f>IF(EX37="","",IF(ISNUMBER('Dvd Calendar'!$X$289)=FALSE,"",IF((('Dvd Calendar'!$X$291=TYPE1)*(TYPE1&lt;&gt;"")+('Dvd Calendar'!$X$291=TYPE2)*(TYPE2&lt;&gt;"")+('Dvd Calendar'!$X$291=TYPE3)*(TYPE3&lt;&gt;"")+('Dvd Calendar'!$X$291=TYPE4)*(TYPE4&lt;&gt;"")+('Dvd Calendar'!$X$291=SPECIAL_LBL)*(INC_SPECIALS="Y"))=0,"",'Dvd Calendar'!$X$289)))</f>
        <v/>
      </c>
      <c r="W37" s="161">
        <f>IF(EY37="","",IF(ISNUMBER('Dvd Calendar'!$Y$289)=FALSE,"",IF((('Dvd Calendar'!$Y$291=TYPE1)*(TYPE1&lt;&gt;"")+('Dvd Calendar'!$Y$291=TYPE2)*(TYPE2&lt;&gt;"")+('Dvd Calendar'!$Y$291=TYPE3)*(TYPE3&lt;&gt;"")+('Dvd Calendar'!$Y$291=TYPE4)*(TYPE4&lt;&gt;"")+('Dvd Calendar'!$Y$291=SPECIAL_LBL)*(INC_SPECIALS="Y"))=0,"",'Dvd Calendar'!$Y$289)))</f>
        <v/>
      </c>
      <c r="X37" s="161">
        <f>IF(EZ37="","",IF(ISNUMBER('Dvd Calendar'!$Z$289)=FALSE,"",IF((('Dvd Calendar'!$Z$291=TYPE1)*(TYPE1&lt;&gt;"")+('Dvd Calendar'!$Z$291=TYPE2)*(TYPE2&lt;&gt;"")+('Dvd Calendar'!$Z$291=TYPE3)*(TYPE3&lt;&gt;"")+('Dvd Calendar'!$Z$291=TYPE4)*(TYPE4&lt;&gt;"")+('Dvd Calendar'!$Z$291=SPECIAL_LBL)*(INC_SPECIALS="Y"))=0,"",'Dvd Calendar'!$Z$289)))</f>
        <v/>
      </c>
      <c r="Y37" s="161">
        <f>IF(FA37="","",IF(ISNUMBER('Dvd Calendar'!$AA$289)=FALSE,"",IF((('Dvd Calendar'!$AA$291=TYPE1)*(TYPE1&lt;&gt;"")+('Dvd Calendar'!$AA$291=TYPE2)*(TYPE2&lt;&gt;"")+('Dvd Calendar'!$AA$291=TYPE3)*(TYPE3&lt;&gt;"")+('Dvd Calendar'!$AA$291=TYPE4)*(TYPE4&lt;&gt;"")+('Dvd Calendar'!$AA$291=SPECIAL_LBL)*(INC_SPECIALS="Y"))=0,"",'Dvd Calendar'!$AA$289)))</f>
        <v/>
      </c>
      <c r="Z37" s="161">
        <f>IF(FB37="","",IF(ISNUMBER('Dvd Calendar'!$AB$289)=FALSE,"",IF((('Dvd Calendar'!$AB$291=TYPE1)*(TYPE1&lt;&gt;"")+('Dvd Calendar'!$AB$291=TYPE2)*(TYPE2&lt;&gt;"")+('Dvd Calendar'!$AB$291=TYPE3)*(TYPE3&lt;&gt;"")+('Dvd Calendar'!$AB$291=TYPE4)*(TYPE4&lt;&gt;"")+('Dvd Calendar'!$AB$291=SPECIAL_LBL)*(INC_SPECIALS="Y"))=0,"",'Dvd Calendar'!$AB$289)))</f>
        <v/>
      </c>
      <c r="AA37" s="161">
        <f>IF(FC37="","",IF(ISNUMBER('Dvd Calendar'!$AC$289)=FALSE,"",IF((('Dvd Calendar'!$AC$291=TYPE1)*(TYPE1&lt;&gt;"")+('Dvd Calendar'!$AC$291=TYPE2)*(TYPE2&lt;&gt;"")+('Dvd Calendar'!$AC$291=TYPE3)*(TYPE3&lt;&gt;"")+('Dvd Calendar'!$AC$291=TYPE4)*(TYPE4&lt;&gt;"")+('Dvd Calendar'!$AC$291=SPECIAL_LBL)*(INC_SPECIALS="Y"))=0,"",'Dvd Calendar'!$AC$289)))</f>
        <v/>
      </c>
      <c r="AB37" s="161">
        <f>IF(FD37="","",IF(ISNUMBER('Dvd Calendar'!$AD$289)=FALSE,"",IF((('Dvd Calendar'!$AD$291=TYPE1)*(TYPE1&lt;&gt;"")+('Dvd Calendar'!$AD$291=TYPE2)*(TYPE2&lt;&gt;"")+('Dvd Calendar'!$AD$291=TYPE3)*(TYPE3&lt;&gt;"")+('Dvd Calendar'!$AD$291=TYPE4)*(TYPE4&lt;&gt;"")+('Dvd Calendar'!$AD$291=SPECIAL_LBL)*(INC_SPECIALS="Y"))=0,"",'Dvd Calendar'!$AD$289)))</f>
        <v/>
      </c>
      <c r="AC37" s="161">
        <f>IF(FE37="","",IF(ISNUMBER('Dvd Calendar'!$AE$289)=FALSE,"",IF((('Dvd Calendar'!$AE$291=TYPE1)*(TYPE1&lt;&gt;"")+('Dvd Calendar'!$AE$291=TYPE2)*(TYPE2&lt;&gt;"")+('Dvd Calendar'!$AE$291=TYPE3)*(TYPE3&lt;&gt;"")+('Dvd Calendar'!$AE$291=TYPE4)*(TYPE4&lt;&gt;"")+('Dvd Calendar'!$AE$291=SPECIAL_LBL)*(INC_SPECIALS="Y"))=0,"",'Dvd Calendar'!$AE$289)))</f>
        <v/>
      </c>
      <c r="AD37" s="161">
        <f>IF(FF37="","",IF(ISNUMBER('Dvd Calendar'!$AF$289)=FALSE,"",IF((('Dvd Calendar'!$AF$291=TYPE1)*(TYPE1&lt;&gt;"")+('Dvd Calendar'!$AF$291=TYPE2)*(TYPE2&lt;&gt;"")+('Dvd Calendar'!$AF$291=TYPE3)*(TYPE3&lt;&gt;"")+('Dvd Calendar'!$AF$291=TYPE4)*(TYPE4&lt;&gt;"")+('Dvd Calendar'!$AF$291=SPECIAL_LBL)*(INC_SPECIALS="Y"))=0,"",'Dvd Calendar'!$AF$289)))</f>
        <v/>
      </c>
      <c r="AE37" s="161">
        <f>IF(FG37="","",IF(ISNUMBER('Dvd Calendar'!$AG$289)=FALSE,"",IF((('Dvd Calendar'!$AG$291=TYPE1)*(TYPE1&lt;&gt;"")+('Dvd Calendar'!$AG$291=TYPE2)*(TYPE2&lt;&gt;"")+('Dvd Calendar'!$AG$291=TYPE3)*(TYPE3&lt;&gt;"")+('Dvd Calendar'!$AG$291=TYPE4)*(TYPE4&lt;&gt;"")+('Dvd Calendar'!$AG$291=SPECIAL_LBL)*(INC_SPECIALS="Y"))=0,"",'Dvd Calendar'!$AG$289)))</f>
        <v/>
      </c>
      <c r="AF37" s="161">
        <f>IF(FH37="","",IF(ISNUMBER('Dvd Calendar'!$AH$289)=FALSE,"",IF((('Dvd Calendar'!$AH$291=TYPE1)*(TYPE1&lt;&gt;"")+('Dvd Calendar'!$AH$291=TYPE2)*(TYPE2&lt;&gt;"")+('Dvd Calendar'!$AH$291=TYPE3)*(TYPE3&lt;&gt;"")+('Dvd Calendar'!$AH$291=TYPE4)*(TYPE4&lt;&gt;"")+('Dvd Calendar'!$AH$291=SPECIAL_LBL)*(INC_SPECIALS="Y"))=0,"",'Dvd Calendar'!$AH$289)))</f>
        <v/>
      </c>
      <c r="AG37" s="161">
        <f>IF(FI37="","",IF(ISNUMBER('Dvd Calendar'!$AI$289)=FALSE,"",IF((('Dvd Calendar'!$AI$291=TYPE1)*(TYPE1&lt;&gt;"")+('Dvd Calendar'!$AI$291=TYPE2)*(TYPE2&lt;&gt;"")+('Dvd Calendar'!$AI$291=TYPE3)*(TYPE3&lt;&gt;"")+('Dvd Calendar'!$AI$291=TYPE4)*(TYPE4&lt;&gt;"")+('Dvd Calendar'!$AI$291=SPECIAL_LBL)*(INC_SPECIALS="Y"))=0,"",'Dvd Calendar'!$AI$289)))</f>
        <v/>
      </c>
      <c r="AH37" s="161">
        <f>IF(FJ37="","",IF(ISNUMBER('Dvd Calendar'!$AJ$289)=FALSE,"",IF((('Dvd Calendar'!$AJ$291=TYPE1)*(TYPE1&lt;&gt;"")+('Dvd Calendar'!$AJ$291=TYPE2)*(TYPE2&lt;&gt;"")+('Dvd Calendar'!$AJ$291=TYPE3)*(TYPE3&lt;&gt;"")+('Dvd Calendar'!$AJ$291=TYPE4)*(TYPE4&lt;&gt;"")+('Dvd Calendar'!$AJ$291=SPECIAL_LBL)*(INC_SPECIALS="Y"))=0,"",'Dvd Calendar'!$AJ$289)))</f>
        <v/>
      </c>
      <c r="AI37" s="161">
        <f>IF(FK37="","",IF(ISNUMBER('Dvd Calendar'!$AK$289)=FALSE,"",IF((('Dvd Calendar'!$AK$291=TYPE1)*(TYPE1&lt;&gt;"")+('Dvd Calendar'!$AK$291=TYPE2)*(TYPE2&lt;&gt;"")+('Dvd Calendar'!$AK$291=TYPE3)*(TYPE3&lt;&gt;"")+('Dvd Calendar'!$AK$291=TYPE4)*(TYPE4&lt;&gt;"")+('Dvd Calendar'!$AK$291=SPECIAL_LBL)*(INC_SPECIALS="Y"))=0,"",'Dvd Calendar'!$AK$289)))</f>
        <v/>
      </c>
      <c r="AJ37" s="161">
        <f>IF(FL37="","",IF(ISNUMBER('Dvd Calendar'!$AL$289)=FALSE,"",IF((('Dvd Calendar'!$AL$291=TYPE1)*(TYPE1&lt;&gt;"")+('Dvd Calendar'!$AL$291=TYPE2)*(TYPE2&lt;&gt;"")+('Dvd Calendar'!$AL$291=TYPE3)*(TYPE3&lt;&gt;"")+('Dvd Calendar'!$AL$291=TYPE4)*(TYPE4&lt;&gt;"")+('Dvd Calendar'!$AL$291=SPECIAL_LBL)*(INC_SPECIALS="Y"))=0,"",'Dvd Calendar'!$AL$289)))</f>
        <v/>
      </c>
      <c r="AK37" s="161">
        <f>IF(FM37="","",IF(ISNUMBER('Dvd Calendar'!$AM$289)=FALSE,"",IF((('Dvd Calendar'!$AM$291=TYPE1)*(TYPE1&lt;&gt;"")+('Dvd Calendar'!$AM$291=TYPE2)*(TYPE2&lt;&gt;"")+('Dvd Calendar'!$AM$291=TYPE3)*(TYPE3&lt;&gt;"")+('Dvd Calendar'!$AM$291=TYPE4)*(TYPE4&lt;&gt;"")+('Dvd Calendar'!$AM$291=SPECIAL_LBL)*(INC_SPECIALS="Y"))=0,"",'Dvd Calendar'!$AM$289)))</f>
        <v/>
      </c>
      <c r="AL37" s="161">
        <f>IF(FN37="","",IF(ISNUMBER('Dvd Calendar'!$AN$289)=FALSE,"",IF((('Dvd Calendar'!$AN$291=TYPE1)*(TYPE1&lt;&gt;"")+('Dvd Calendar'!$AN$291=TYPE2)*(TYPE2&lt;&gt;"")+('Dvd Calendar'!$AN$291=TYPE3)*(TYPE3&lt;&gt;"")+('Dvd Calendar'!$AN$291=TYPE4)*(TYPE4&lt;&gt;"")+('Dvd Calendar'!$AN$291=SPECIAL_LBL)*(INC_SPECIALS="Y"))=0,"",'Dvd Calendar'!$AN$289)))</f>
        <v/>
      </c>
      <c r="AM37" s="161">
        <f>IF(FO37="","",IF(ISNUMBER('Dvd Calendar'!$AO$289)=FALSE,"",IF((('Dvd Calendar'!$AO$291=TYPE1)*(TYPE1&lt;&gt;"")+('Dvd Calendar'!$AO$291=TYPE2)*(TYPE2&lt;&gt;"")+('Dvd Calendar'!$AO$291=TYPE3)*(TYPE3&lt;&gt;"")+('Dvd Calendar'!$AO$291=TYPE4)*(TYPE4&lt;&gt;"")+('Dvd Calendar'!$AO$291=SPECIAL_LBL)*(INC_SPECIALS="Y"))=0,"",'Dvd Calendar'!$AO$289)))</f>
        <v/>
      </c>
      <c r="AN37" s="161">
        <f>IF(FP37="","",IF(ISNUMBER('Dvd Calendar'!$AP$289)=FALSE,"",IF((('Dvd Calendar'!$AP$291=TYPE1)*(TYPE1&lt;&gt;"")+('Dvd Calendar'!$AP$291=TYPE2)*(TYPE2&lt;&gt;"")+('Dvd Calendar'!$AP$291=TYPE3)*(TYPE3&lt;&gt;"")+('Dvd Calendar'!$AP$291=TYPE4)*(TYPE4&lt;&gt;"")+('Dvd Calendar'!$AP$291=SPECIAL_LBL)*(INC_SPECIALS="Y"))=0,"",'Dvd Calendar'!$AP$289)))</f>
        <v/>
      </c>
      <c r="AO37" s="161">
        <f>IF(FQ37="","",IF(ISNUMBER('Dvd Calendar'!$AQ$289)=FALSE,"",IF((('Dvd Calendar'!$AQ$291=TYPE1)*(TYPE1&lt;&gt;"")+('Dvd Calendar'!$AQ$291=TYPE2)*(TYPE2&lt;&gt;"")+('Dvd Calendar'!$AQ$291=TYPE3)*(TYPE3&lt;&gt;"")+('Dvd Calendar'!$AQ$291=TYPE4)*(TYPE4&lt;&gt;"")+('Dvd Calendar'!$AQ$291=SPECIAL_LBL)*(INC_SPECIALS="Y"))=0,"",'Dvd Calendar'!$AQ$289)))</f>
        <v/>
      </c>
      <c r="AP37" s="161">
        <f>IF(FR37="","",IF(ISNUMBER('Dvd Calendar'!$AR$289)=FALSE,"",IF((('Dvd Calendar'!$AR$291=TYPE1)*(TYPE1&lt;&gt;"")+('Dvd Calendar'!$AR$291=TYPE2)*(TYPE2&lt;&gt;"")+('Dvd Calendar'!$AR$291=TYPE3)*(TYPE3&lt;&gt;"")+('Dvd Calendar'!$AR$291=TYPE4)*(TYPE4&lt;&gt;"")+('Dvd Calendar'!$AR$291=SPECIAL_LBL)*(INC_SPECIALS="Y"))=0,"",'Dvd Calendar'!$AR$289)))</f>
        <v/>
      </c>
      <c r="AQ37" s="161">
        <f>IF(FS37="","",IF(ISNUMBER('Dvd Calendar'!$E$294)=FALSE,"",'Dvd Calendar'!$E$294))</f>
        <v/>
      </c>
      <c r="AR37" s="161">
        <f>IF(FT37="","",IF(ISNUMBER('Dvd Calendar'!$F$294)=FALSE,"",'Dvd Calendar'!$F$294))</f>
        <v/>
      </c>
      <c r="AS37" s="161">
        <f>IF(FU37="","",IF(ISNUMBER('Dvd Calendar'!$G$294)=FALSE,"",'Dvd Calendar'!$G$294))</f>
        <v/>
      </c>
      <c r="AT37" s="161">
        <f>IF(FV37="","",IF(ISNUMBER('Dvd Calendar'!$H$294)=FALSE,"",'Dvd Calendar'!$H$294))</f>
        <v/>
      </c>
      <c r="AU37" s="161">
        <f>IF(FW37="","",IF(ISNUMBER('Dvd Calendar'!$I$294)=FALSE,"",'Dvd Calendar'!$I$294))</f>
        <v/>
      </c>
      <c r="AV37" s="161">
        <f>IF(FX37="","",IF(ISNUMBER('Dvd Calendar'!$J$294)=FALSE,"",'Dvd Calendar'!$J$294))</f>
        <v/>
      </c>
      <c r="AW37" s="161">
        <f>IF(FY37="","",IF(ISNUMBER('Dvd Calendar'!$K$294)=FALSE,"",'Dvd Calendar'!$K$294))</f>
        <v/>
      </c>
      <c r="AX37" s="161">
        <f>IF(FZ37="","",IF(ISNUMBER('Dvd Calendar'!$L$294)=FALSE,"",'Dvd Calendar'!$L$294))</f>
        <v/>
      </c>
      <c r="AY37" s="161">
        <f>IF(GA37="","",IF(ISNUMBER('Dvd Calendar'!$M$294)=FALSE,"",'Dvd Calendar'!$M$294))</f>
        <v/>
      </c>
      <c r="AZ37" s="161">
        <f>IF(GB37="","",IF(ISNUMBER('Dvd Calendar'!$N$294)=FALSE,"",'Dvd Calendar'!$N$294))</f>
        <v/>
      </c>
      <c r="BA37" s="161">
        <f>IF(GC37="","",IF(ISNUMBER('Dvd Calendar'!$O$294)=FALSE,"",'Dvd Calendar'!$O$294))</f>
        <v/>
      </c>
      <c r="BB37" s="161">
        <f>IF(GD37="","",IF(ISNUMBER('Dvd Calendar'!$P$294)=FALSE,"",'Dvd Calendar'!$P$294))</f>
        <v/>
      </c>
      <c r="BC37" s="161">
        <f>IF(GE37="","",IF(ISNUMBER('Dvd Calendar'!$Q$294)=FALSE,"",'Dvd Calendar'!$Q$294))</f>
        <v/>
      </c>
      <c r="BD37" s="161">
        <f>IF(GF37="","",IF(ISNUMBER('Dvd Calendar'!$R$294)=FALSE,"",'Dvd Calendar'!$R$294))</f>
        <v/>
      </c>
      <c r="BE37" s="161">
        <f>IF(GG37="","",IF(ISNUMBER('Dvd Calendar'!$S$294)=FALSE,"",'Dvd Calendar'!$S$294))</f>
        <v/>
      </c>
      <c r="BF37" s="161">
        <f>IF(GH37="","",IF(ISNUMBER('Dvd Calendar'!$T$294)=FALSE,"",'Dvd Calendar'!$T$294))</f>
        <v/>
      </c>
      <c r="BG37" s="161">
        <f>IF(GI37="","",IF(ISNUMBER('Dvd Calendar'!$U$294)=FALSE,"",'Dvd Calendar'!$U$294))</f>
        <v/>
      </c>
      <c r="BH37" s="161">
        <f>IF(GJ37="","",IF(ISNUMBER('Dvd Calendar'!$V$294)=FALSE,"",'Dvd Calendar'!$V$294))</f>
        <v/>
      </c>
      <c r="BI37" s="161">
        <f>IF(GK37="","",IF(ISNUMBER('Dvd Calendar'!$W$294)=FALSE,"",'Dvd Calendar'!$W$294))</f>
        <v/>
      </c>
      <c r="BJ37" s="161">
        <f>IF(GL37="","",IF(ISNUMBER('Dvd Calendar'!$X$294)=FALSE,"",'Dvd Calendar'!$X$294))</f>
        <v/>
      </c>
      <c r="BK37" s="161">
        <f>IF(GM37="","",IF(ISNUMBER('Dvd Calendar'!$Y$294)=FALSE,"",'Dvd Calendar'!$Y$294))</f>
        <v/>
      </c>
      <c r="BL37" s="161">
        <f>IF(GN37="","",IF(ISNUMBER('Dvd Calendar'!$Z$294)=FALSE,"",'Dvd Calendar'!$Z$294))</f>
        <v/>
      </c>
      <c r="BM37" s="161">
        <f>IF(GO37="","",IF(ISNUMBER('Dvd Calendar'!$AA$294)=FALSE,"",'Dvd Calendar'!$AA$294))</f>
        <v/>
      </c>
      <c r="BN37" s="161">
        <f>IF(GP37="","",IF(ISNUMBER('Dvd Calendar'!$AB$294)=FALSE,"",'Dvd Calendar'!$AB$294))</f>
        <v/>
      </c>
      <c r="BO37" s="161">
        <f>IF(GQ37="","",IF(ISNUMBER('Dvd Calendar'!$AC$294)=FALSE,"",'Dvd Calendar'!$AC$294))</f>
        <v/>
      </c>
      <c r="BQ37" s="161">
        <f>IF(C37="","",IFERROR(C37*HSI!$B$32*HSI!$G$32/HSI!$B$3,""))</f>
        <v/>
      </c>
      <c r="BR37" s="161">
        <f>IF(D37="","",IFERROR(D37*HSI!$B$32*HSI!$G$32/HSI!$B$3,""))</f>
        <v/>
      </c>
      <c r="BS37" s="161">
        <f>IF(E37="","",IFERROR(E37*HSI!$B$32*HSI!$G$32/HSI!$B$3,""))</f>
        <v/>
      </c>
      <c r="BT37" s="161">
        <f>IF(F37="","",IFERROR(F37*HSI!$B$32*HSI!$G$32/HSI!$B$3,""))</f>
        <v/>
      </c>
      <c r="BU37" s="161">
        <f>IF(G37="","",IFERROR(G37*HSI!$B$32*HSI!$G$32/HSI!$B$3,""))</f>
        <v/>
      </c>
      <c r="BV37" s="161">
        <f>IF(H37="","",IFERROR(H37*HSI!$B$32*HSI!$G$32/HSI!$B$3,""))</f>
        <v/>
      </c>
      <c r="BW37" s="161">
        <f>IF(I37="","",IFERROR(I37*HSI!$B$32*HSI!$G$32/HSI!$B$3,""))</f>
        <v/>
      </c>
      <c r="BX37" s="161">
        <f>IF(J37="","",IFERROR(J37*HSI!$B$32*HSI!$G$32/HSI!$B$3,""))</f>
        <v/>
      </c>
      <c r="BY37" s="161">
        <f>IF(K37="","",IFERROR(K37*HSI!$B$32*HSI!$G$32/HSI!$B$3,""))</f>
        <v/>
      </c>
      <c r="BZ37" s="161">
        <f>IF(L37="","",IFERROR(L37*HSI!$B$32*HSI!$G$32/HSI!$B$3,""))</f>
        <v/>
      </c>
      <c r="CA37" s="161">
        <f>IF(M37="","",IFERROR(M37*HSI!$B$32*HSI!$G$32/HSI!$B$3,""))</f>
        <v/>
      </c>
      <c r="CB37" s="161">
        <f>IF(N37="","",IFERROR(N37*HSI!$B$32*HSI!$G$32/HSI!$B$3,""))</f>
        <v/>
      </c>
      <c r="CC37" s="161">
        <f>IF(O37="","",IFERROR(O37*HSI!$B$32*HSI!$G$32/HSI!$B$3,""))</f>
        <v/>
      </c>
      <c r="CD37" s="161">
        <f>IF(P37="","",IFERROR(P37*HSI!$B$32*HSI!$G$32/HSI!$B$3,""))</f>
        <v/>
      </c>
      <c r="CE37" s="161">
        <f>IF(Q37="","",IFERROR(Q37*HSI!$B$32*HSI!$G$32/HSI!$B$3,""))</f>
        <v/>
      </c>
      <c r="CF37" s="161">
        <f>IF(R37="","",IFERROR(R37*HSI!$B$32*HSI!$G$32/HSI!$B$3,""))</f>
        <v/>
      </c>
      <c r="CG37" s="161">
        <f>IF(S37="","",IFERROR(S37*HSI!$B$32*HSI!$G$32/HSI!$B$3,""))</f>
        <v/>
      </c>
      <c r="CH37" s="161">
        <f>IF(T37="","",IFERROR(T37*HSI!$B$32*HSI!$G$32/HSI!$B$3,""))</f>
        <v/>
      </c>
      <c r="CI37" s="161">
        <f>IF(U37="","",IFERROR(U37*HSI!$B$32*HSI!$G$32/HSI!$B$3,""))</f>
        <v/>
      </c>
      <c r="CJ37" s="161">
        <f>IF(V37="","",IFERROR(V37*HSI!$B$32*HSI!$G$32/HSI!$B$3,""))</f>
        <v/>
      </c>
      <c r="CK37" s="161">
        <f>IF(W37="","",IFERROR(W37*HSI!$B$32*HSI!$G$32/HSI!$B$3,""))</f>
        <v/>
      </c>
      <c r="CL37" s="161">
        <f>IF(X37="","",IFERROR(X37*HSI!$B$32*HSI!$G$32/HSI!$B$3,""))</f>
        <v/>
      </c>
      <c r="CM37" s="161">
        <f>IF(Y37="","",IFERROR(Y37*HSI!$B$32*HSI!$G$32/HSI!$B$3,""))</f>
        <v/>
      </c>
      <c r="CN37" s="161">
        <f>IF(Z37="","",IFERROR(Z37*HSI!$B$32*HSI!$G$32/HSI!$B$3,""))</f>
        <v/>
      </c>
      <c r="CO37" s="161">
        <f>IF(AA37="","",IFERROR(AA37*HSI!$B$32*HSI!$G$32/HSI!$B$3,""))</f>
        <v/>
      </c>
      <c r="CP37" s="161">
        <f>IF(AB37="","",IFERROR(AB37*HSI!$B$32*HSI!$G$32/HSI!$B$3,""))</f>
        <v/>
      </c>
      <c r="CQ37" s="161">
        <f>IF(AC37="","",IFERROR(AC37*HSI!$B$32*HSI!$G$32/HSI!$B$3,""))</f>
        <v/>
      </c>
      <c r="CR37" s="161">
        <f>IF(AD37="","",IFERROR(AD37*HSI!$B$32*HSI!$G$32/HSI!$B$3,""))</f>
        <v/>
      </c>
      <c r="CS37" s="161">
        <f>IF(AE37="","",IFERROR(AE37*HSI!$B$32*HSI!$G$32/HSI!$B$3,""))</f>
        <v/>
      </c>
      <c r="CT37" s="161">
        <f>IF(AF37="","",IFERROR(AF37*HSI!$B$32*HSI!$G$32/HSI!$B$3,""))</f>
        <v/>
      </c>
      <c r="CU37" s="161">
        <f>IF(AG37="","",IFERROR(AG37*HSI!$B$32*HSI!$G$32/HSI!$B$3,""))</f>
        <v/>
      </c>
      <c r="CV37" s="161">
        <f>IF(AH37="","",IFERROR(AH37*HSI!$B$32*HSI!$G$32/HSI!$B$3,""))</f>
        <v/>
      </c>
      <c r="CW37" s="161">
        <f>IF(AI37="","",IFERROR(AI37*HSI!$B$32*HSI!$G$32/HSI!$B$3,""))</f>
        <v/>
      </c>
      <c r="CX37" s="161">
        <f>IF(AJ37="","",IFERROR(AJ37*HSI!$B$32*HSI!$G$32/HSI!$B$3,""))</f>
        <v/>
      </c>
      <c r="CY37" s="161">
        <f>IF(AK37="","",IFERROR(AK37*HSI!$B$32*HSI!$G$32/HSI!$B$3,""))</f>
        <v/>
      </c>
      <c r="CZ37" s="161">
        <f>IF(AL37="","",IFERROR(AL37*HSI!$B$32*HSI!$G$32/HSI!$B$3,""))</f>
        <v/>
      </c>
      <c r="DA37" s="161">
        <f>IF(AM37="","",IFERROR(AM37*HSI!$B$32*HSI!$G$32/HSI!$B$3,""))</f>
        <v/>
      </c>
      <c r="DB37" s="161">
        <f>IF(AN37="","",IFERROR(AN37*HSI!$B$32*HSI!$G$32/HSI!$B$3,""))</f>
        <v/>
      </c>
      <c r="DC37" s="161">
        <f>IF(AO37="","",IFERROR(AO37*HSI!$B$32*HSI!$G$32/HSI!$B$3,""))</f>
        <v/>
      </c>
      <c r="DD37" s="161">
        <f>IF(AP37="","",IFERROR(AP37*HSI!$B$32*HSI!$G$32/HSI!$B$3,""))</f>
        <v/>
      </c>
      <c r="DE37" s="161">
        <f>IF(AQ37="","",IFERROR(AQ37*HSI!$B$32*HSI!$G$32/HSI!$B$3,""))</f>
        <v/>
      </c>
      <c r="DF37" s="161">
        <f>IF(AR37="","",IFERROR(AR37*HSI!$B$32*HSI!$G$32/HSI!$B$3,""))</f>
        <v/>
      </c>
      <c r="DG37" s="161">
        <f>IF(AS37="","",IFERROR(AS37*HSI!$B$32*HSI!$G$32/HSI!$B$3,""))</f>
        <v/>
      </c>
      <c r="DH37" s="161">
        <f>IF(AT37="","",IFERROR(AT37*HSI!$B$32*HSI!$G$32/HSI!$B$3,""))</f>
        <v/>
      </c>
      <c r="DI37" s="161">
        <f>IF(AU37="","",IFERROR(AU37*HSI!$B$32*HSI!$G$32/HSI!$B$3,""))</f>
        <v/>
      </c>
      <c r="DJ37" s="161">
        <f>IF(AV37="","",IFERROR(AV37*HSI!$B$32*HSI!$G$32/HSI!$B$3,""))</f>
        <v/>
      </c>
      <c r="DK37" s="161">
        <f>IF(AW37="","",IFERROR(AW37*HSI!$B$32*HSI!$G$32/HSI!$B$3,""))</f>
        <v/>
      </c>
      <c r="DL37" s="161">
        <f>IF(AX37="","",IFERROR(AX37*HSI!$B$32*HSI!$G$32/HSI!$B$3,""))</f>
        <v/>
      </c>
      <c r="DM37" s="161">
        <f>IF(AY37="","",IFERROR(AY37*HSI!$B$32*HSI!$G$32/HSI!$B$3,""))</f>
        <v/>
      </c>
      <c r="DN37" s="161">
        <f>IF(AZ37="","",IFERROR(AZ37*HSI!$B$32*HSI!$G$32/HSI!$B$3,""))</f>
        <v/>
      </c>
      <c r="DO37" s="161">
        <f>IF(BA37="","",IFERROR(BA37*HSI!$B$32*HSI!$G$32/HSI!$B$3,""))</f>
        <v/>
      </c>
      <c r="DP37" s="161">
        <f>IF(BB37="","",IFERROR(BB37*HSI!$B$32*HSI!$G$32/HSI!$B$3,""))</f>
        <v/>
      </c>
      <c r="DQ37" s="161">
        <f>IF(BC37="","",IFERROR(BC37*HSI!$B$32*HSI!$G$32/HSI!$B$3,""))</f>
        <v/>
      </c>
      <c r="DR37" s="161">
        <f>IF(BD37="","",IFERROR(BD37*HSI!$B$32*HSI!$G$32/HSI!$B$3,""))</f>
        <v/>
      </c>
      <c r="DS37" s="161">
        <f>IF(BE37="","",IFERROR(BE37*HSI!$B$32*HSI!$G$32/HSI!$B$3,""))</f>
        <v/>
      </c>
      <c r="DT37" s="161">
        <f>IF(BF37="","",IFERROR(BF37*HSI!$B$32*HSI!$G$32/HSI!$B$3,""))</f>
        <v/>
      </c>
      <c r="DU37" s="161">
        <f>IF(BG37="","",IFERROR(BG37*HSI!$B$32*HSI!$G$32/HSI!$B$3,""))</f>
        <v/>
      </c>
      <c r="DV37" s="161">
        <f>IF(BH37="","",IFERROR(BH37*HSI!$B$32*HSI!$G$32/HSI!$B$3,""))</f>
        <v/>
      </c>
      <c r="DW37" s="161">
        <f>IF(BI37="","",IFERROR(BI37*HSI!$B$32*HSI!$G$32/HSI!$B$3,""))</f>
        <v/>
      </c>
      <c r="DX37" s="161">
        <f>IF(BJ37="","",IFERROR(BJ37*HSI!$B$32*HSI!$G$32/HSI!$B$3,""))</f>
        <v/>
      </c>
      <c r="DY37" s="161">
        <f>IF(BK37="","",IFERROR(BK37*HSI!$B$32*HSI!$G$32/HSI!$B$3,""))</f>
        <v/>
      </c>
      <c r="DZ37" s="161">
        <f>IF(BL37="","",IFERROR(BL37*HSI!$B$32*HSI!$G$32/HSI!$B$3,""))</f>
        <v/>
      </c>
      <c r="EA37" s="161">
        <f>IF(BM37="","",IFERROR(BM37*HSI!$B$32*HSI!$G$32/HSI!$B$3,""))</f>
        <v/>
      </c>
      <c r="EB37" s="161">
        <f>IF(BN37="","",IFERROR(BN37*HSI!$B$32*HSI!$G$32/HSI!$B$3,""))</f>
        <v/>
      </c>
      <c r="EC37" s="161">
        <f>IF(BO37="","",IFERROR(BO37*HSI!$B$32*HSI!$G$32/HSI!$B$3,""))</f>
        <v/>
      </c>
      <c r="EE37" s="121">
        <f>IF(N('Dvd Calendar'!$E$286)=0,"",IF(('Dvd Calendar'!$E$286&gt;=GRID_FROM)*('Dvd Calendar'!$E$286&lt;=GRID_TO)*((('Dvd Calendar'!$E$286&lt;=VAL_DATE)+(COUNTIF('Dvd Calendar'!$E$293:$AR$293,'Dvd Calendar'!$E$286)=0))&gt;0)=0,"",'Dvd Calendar'!$E$286*1000000000+ISNUMBER('Dvd Calendar'!$E$289)*100000000+('Dvd Calendar'!$E$291=SPECIAL_LBL)*10000000+(N('Dvd Calendar'!$E$285)&gt;0)*(N('Dvd Calendar'!$E$285)&lt;=VAL_SERIAL)*1000000+26*1000+1))</f>
        <v/>
      </c>
      <c r="EF37" s="121">
        <f>IF(N('Dvd Calendar'!$F$286)=0,"",IF(('Dvd Calendar'!$F$286&gt;=GRID_FROM)*('Dvd Calendar'!$F$286&lt;=GRID_TO)*((('Dvd Calendar'!$F$286&lt;=VAL_DATE)+(COUNTIF('Dvd Calendar'!$E$293:$AR$293,'Dvd Calendar'!$F$286)=0))&gt;0)=0,"",'Dvd Calendar'!$F$286*1000000000+ISNUMBER('Dvd Calendar'!$F$289)*100000000+('Dvd Calendar'!$F$291=SPECIAL_LBL)*10000000+(N('Dvd Calendar'!$F$285)&gt;0)*(N('Dvd Calendar'!$F$285)&lt;=VAL_SERIAL)*1000000+26*1000+2))</f>
        <v/>
      </c>
      <c r="EG37" s="121">
        <f>IF(N('Dvd Calendar'!$G$286)=0,"",IF(('Dvd Calendar'!$G$286&gt;=GRID_FROM)*('Dvd Calendar'!$G$286&lt;=GRID_TO)*((('Dvd Calendar'!$G$286&lt;=VAL_DATE)+(COUNTIF('Dvd Calendar'!$E$293:$AR$293,'Dvd Calendar'!$G$286)=0))&gt;0)=0,"",'Dvd Calendar'!$G$286*1000000000+ISNUMBER('Dvd Calendar'!$G$289)*100000000+('Dvd Calendar'!$G$291=SPECIAL_LBL)*10000000+(N('Dvd Calendar'!$G$285)&gt;0)*(N('Dvd Calendar'!$G$285)&lt;=VAL_SERIAL)*1000000+26*1000+3))</f>
        <v/>
      </c>
      <c r="EH37" s="121">
        <f>IF(N('Dvd Calendar'!$H$286)=0,"",IF(('Dvd Calendar'!$H$286&gt;=GRID_FROM)*('Dvd Calendar'!$H$286&lt;=GRID_TO)*((('Dvd Calendar'!$H$286&lt;=VAL_DATE)+(COUNTIF('Dvd Calendar'!$E$293:$AR$293,'Dvd Calendar'!$H$286)=0))&gt;0)=0,"",'Dvd Calendar'!$H$286*1000000000+ISNUMBER('Dvd Calendar'!$H$289)*100000000+('Dvd Calendar'!$H$291=SPECIAL_LBL)*10000000+(N('Dvd Calendar'!$H$285)&gt;0)*(N('Dvd Calendar'!$H$285)&lt;=VAL_SERIAL)*1000000+26*1000+4))</f>
        <v/>
      </c>
      <c r="EI37" s="121">
        <f>IF(N('Dvd Calendar'!$I$286)=0,"",IF(('Dvd Calendar'!$I$286&gt;=GRID_FROM)*('Dvd Calendar'!$I$286&lt;=GRID_TO)*((('Dvd Calendar'!$I$286&lt;=VAL_DATE)+(COUNTIF('Dvd Calendar'!$E$293:$AR$293,'Dvd Calendar'!$I$286)=0))&gt;0)=0,"",'Dvd Calendar'!$I$286*1000000000+ISNUMBER('Dvd Calendar'!$I$289)*100000000+('Dvd Calendar'!$I$291=SPECIAL_LBL)*10000000+(N('Dvd Calendar'!$I$285)&gt;0)*(N('Dvd Calendar'!$I$285)&lt;=VAL_SERIAL)*1000000+26*1000+5))</f>
        <v/>
      </c>
      <c r="EJ37" s="121">
        <f>IF(N('Dvd Calendar'!$J$286)=0,"",IF(('Dvd Calendar'!$J$286&gt;=GRID_FROM)*('Dvd Calendar'!$J$286&lt;=GRID_TO)*((('Dvd Calendar'!$J$286&lt;=VAL_DATE)+(COUNTIF('Dvd Calendar'!$E$293:$AR$293,'Dvd Calendar'!$J$286)=0))&gt;0)=0,"",'Dvd Calendar'!$J$286*1000000000+ISNUMBER('Dvd Calendar'!$J$289)*100000000+('Dvd Calendar'!$J$291=SPECIAL_LBL)*10000000+(N('Dvd Calendar'!$J$285)&gt;0)*(N('Dvd Calendar'!$J$285)&lt;=VAL_SERIAL)*1000000+26*1000+6))</f>
        <v/>
      </c>
      <c r="EK37" s="121">
        <f>IF(N('Dvd Calendar'!$K$286)=0,"",IF(('Dvd Calendar'!$K$286&gt;=GRID_FROM)*('Dvd Calendar'!$K$286&lt;=GRID_TO)*((('Dvd Calendar'!$K$286&lt;=VAL_DATE)+(COUNTIF('Dvd Calendar'!$E$293:$AR$293,'Dvd Calendar'!$K$286)=0))&gt;0)=0,"",'Dvd Calendar'!$K$286*1000000000+ISNUMBER('Dvd Calendar'!$K$289)*100000000+('Dvd Calendar'!$K$291=SPECIAL_LBL)*10000000+(N('Dvd Calendar'!$K$285)&gt;0)*(N('Dvd Calendar'!$K$285)&lt;=VAL_SERIAL)*1000000+26*1000+7))</f>
        <v/>
      </c>
      <c r="EL37" s="121">
        <f>IF(N('Dvd Calendar'!$L$286)=0,"",IF(('Dvd Calendar'!$L$286&gt;=GRID_FROM)*('Dvd Calendar'!$L$286&lt;=GRID_TO)*((('Dvd Calendar'!$L$286&lt;=VAL_DATE)+(COUNTIF('Dvd Calendar'!$E$293:$AR$293,'Dvd Calendar'!$L$286)=0))&gt;0)=0,"",'Dvd Calendar'!$L$286*1000000000+ISNUMBER('Dvd Calendar'!$L$289)*100000000+('Dvd Calendar'!$L$291=SPECIAL_LBL)*10000000+(N('Dvd Calendar'!$L$285)&gt;0)*(N('Dvd Calendar'!$L$285)&lt;=VAL_SERIAL)*1000000+26*1000+8))</f>
        <v/>
      </c>
      <c r="EM37" s="121">
        <f>IF(N('Dvd Calendar'!$M$286)=0,"",IF(('Dvd Calendar'!$M$286&gt;=GRID_FROM)*('Dvd Calendar'!$M$286&lt;=GRID_TO)*((('Dvd Calendar'!$M$286&lt;=VAL_DATE)+(COUNTIF('Dvd Calendar'!$E$293:$AR$293,'Dvd Calendar'!$M$286)=0))&gt;0)=0,"",'Dvd Calendar'!$M$286*1000000000+ISNUMBER('Dvd Calendar'!$M$289)*100000000+('Dvd Calendar'!$M$291=SPECIAL_LBL)*10000000+(N('Dvd Calendar'!$M$285)&gt;0)*(N('Dvd Calendar'!$M$285)&lt;=VAL_SERIAL)*1000000+26*1000+9))</f>
        <v/>
      </c>
      <c r="EN37" s="121">
        <f>IF(N('Dvd Calendar'!$N$286)=0,"",IF(('Dvd Calendar'!$N$286&gt;=GRID_FROM)*('Dvd Calendar'!$N$286&lt;=GRID_TO)*((('Dvd Calendar'!$N$286&lt;=VAL_DATE)+(COUNTIF('Dvd Calendar'!$E$293:$AR$293,'Dvd Calendar'!$N$286)=0))&gt;0)=0,"",'Dvd Calendar'!$N$286*1000000000+ISNUMBER('Dvd Calendar'!$N$289)*100000000+('Dvd Calendar'!$N$291=SPECIAL_LBL)*10000000+(N('Dvd Calendar'!$N$285)&gt;0)*(N('Dvd Calendar'!$N$285)&lt;=VAL_SERIAL)*1000000+26*1000+10))</f>
        <v/>
      </c>
      <c r="EO37" s="121">
        <f>IF(N('Dvd Calendar'!$O$286)=0,"",IF(('Dvd Calendar'!$O$286&gt;=GRID_FROM)*('Dvd Calendar'!$O$286&lt;=GRID_TO)*((('Dvd Calendar'!$O$286&lt;=VAL_DATE)+(COUNTIF('Dvd Calendar'!$E$293:$AR$293,'Dvd Calendar'!$O$286)=0))&gt;0)=0,"",'Dvd Calendar'!$O$286*1000000000+ISNUMBER('Dvd Calendar'!$O$289)*100000000+('Dvd Calendar'!$O$291=SPECIAL_LBL)*10000000+(N('Dvd Calendar'!$O$285)&gt;0)*(N('Dvd Calendar'!$O$285)&lt;=VAL_SERIAL)*1000000+26*1000+11))</f>
        <v/>
      </c>
      <c r="EP37" s="121">
        <f>IF(N('Dvd Calendar'!$P$286)=0,"",IF(('Dvd Calendar'!$P$286&gt;=GRID_FROM)*('Dvd Calendar'!$P$286&lt;=GRID_TO)*((('Dvd Calendar'!$P$286&lt;=VAL_DATE)+(COUNTIF('Dvd Calendar'!$E$293:$AR$293,'Dvd Calendar'!$P$286)=0))&gt;0)=0,"",'Dvd Calendar'!$P$286*1000000000+ISNUMBER('Dvd Calendar'!$P$289)*100000000+('Dvd Calendar'!$P$291=SPECIAL_LBL)*10000000+(N('Dvd Calendar'!$P$285)&gt;0)*(N('Dvd Calendar'!$P$285)&lt;=VAL_SERIAL)*1000000+26*1000+12))</f>
        <v/>
      </c>
      <c r="EQ37" s="121">
        <f>IF(N('Dvd Calendar'!$Q$286)=0,"",IF(('Dvd Calendar'!$Q$286&gt;=GRID_FROM)*('Dvd Calendar'!$Q$286&lt;=GRID_TO)*((('Dvd Calendar'!$Q$286&lt;=VAL_DATE)+(COUNTIF('Dvd Calendar'!$E$293:$AR$293,'Dvd Calendar'!$Q$286)=0))&gt;0)=0,"",'Dvd Calendar'!$Q$286*1000000000+ISNUMBER('Dvd Calendar'!$Q$289)*100000000+('Dvd Calendar'!$Q$291=SPECIAL_LBL)*10000000+(N('Dvd Calendar'!$Q$285)&gt;0)*(N('Dvd Calendar'!$Q$285)&lt;=VAL_SERIAL)*1000000+26*1000+13))</f>
        <v/>
      </c>
      <c r="ER37" s="121">
        <f>IF(N('Dvd Calendar'!$R$286)=0,"",IF(('Dvd Calendar'!$R$286&gt;=GRID_FROM)*('Dvd Calendar'!$R$286&lt;=GRID_TO)*((('Dvd Calendar'!$R$286&lt;=VAL_DATE)+(COUNTIF('Dvd Calendar'!$E$293:$AR$293,'Dvd Calendar'!$R$286)=0))&gt;0)=0,"",'Dvd Calendar'!$R$286*1000000000+ISNUMBER('Dvd Calendar'!$R$289)*100000000+('Dvd Calendar'!$R$291=SPECIAL_LBL)*10000000+(N('Dvd Calendar'!$R$285)&gt;0)*(N('Dvd Calendar'!$R$285)&lt;=VAL_SERIAL)*1000000+26*1000+14))</f>
        <v/>
      </c>
      <c r="ES37" s="121">
        <f>IF(N('Dvd Calendar'!$S$286)=0,"",IF(('Dvd Calendar'!$S$286&gt;=GRID_FROM)*('Dvd Calendar'!$S$286&lt;=GRID_TO)*((('Dvd Calendar'!$S$286&lt;=VAL_DATE)+(COUNTIF('Dvd Calendar'!$E$293:$AR$293,'Dvd Calendar'!$S$286)=0))&gt;0)=0,"",'Dvd Calendar'!$S$286*1000000000+ISNUMBER('Dvd Calendar'!$S$289)*100000000+('Dvd Calendar'!$S$291=SPECIAL_LBL)*10000000+(N('Dvd Calendar'!$S$285)&gt;0)*(N('Dvd Calendar'!$S$285)&lt;=VAL_SERIAL)*1000000+26*1000+15))</f>
        <v/>
      </c>
      <c r="ET37" s="121">
        <f>IF(N('Dvd Calendar'!$T$286)=0,"",IF(('Dvd Calendar'!$T$286&gt;=GRID_FROM)*('Dvd Calendar'!$T$286&lt;=GRID_TO)*((('Dvd Calendar'!$T$286&lt;=VAL_DATE)+(COUNTIF('Dvd Calendar'!$E$293:$AR$293,'Dvd Calendar'!$T$286)=0))&gt;0)=0,"",'Dvd Calendar'!$T$286*1000000000+ISNUMBER('Dvd Calendar'!$T$289)*100000000+('Dvd Calendar'!$T$291=SPECIAL_LBL)*10000000+(N('Dvd Calendar'!$T$285)&gt;0)*(N('Dvd Calendar'!$T$285)&lt;=VAL_SERIAL)*1000000+26*1000+16))</f>
        <v/>
      </c>
      <c r="EU37" s="121">
        <f>IF(N('Dvd Calendar'!$U$286)=0,"",IF(('Dvd Calendar'!$U$286&gt;=GRID_FROM)*('Dvd Calendar'!$U$286&lt;=GRID_TO)*((('Dvd Calendar'!$U$286&lt;=VAL_DATE)+(COUNTIF('Dvd Calendar'!$E$293:$AR$293,'Dvd Calendar'!$U$286)=0))&gt;0)=0,"",'Dvd Calendar'!$U$286*1000000000+ISNUMBER('Dvd Calendar'!$U$289)*100000000+('Dvd Calendar'!$U$291=SPECIAL_LBL)*10000000+(N('Dvd Calendar'!$U$285)&gt;0)*(N('Dvd Calendar'!$U$285)&lt;=VAL_SERIAL)*1000000+26*1000+17))</f>
        <v/>
      </c>
      <c r="EV37" s="121">
        <f>IF(N('Dvd Calendar'!$V$286)=0,"",IF(('Dvd Calendar'!$V$286&gt;=GRID_FROM)*('Dvd Calendar'!$V$286&lt;=GRID_TO)*((('Dvd Calendar'!$V$286&lt;=VAL_DATE)+(COUNTIF('Dvd Calendar'!$E$293:$AR$293,'Dvd Calendar'!$V$286)=0))&gt;0)=0,"",'Dvd Calendar'!$V$286*1000000000+ISNUMBER('Dvd Calendar'!$V$289)*100000000+('Dvd Calendar'!$V$291=SPECIAL_LBL)*10000000+(N('Dvd Calendar'!$V$285)&gt;0)*(N('Dvd Calendar'!$V$285)&lt;=VAL_SERIAL)*1000000+26*1000+18))</f>
        <v/>
      </c>
      <c r="EW37" s="121">
        <f>IF(N('Dvd Calendar'!$W$286)=0,"",IF(('Dvd Calendar'!$W$286&gt;=GRID_FROM)*('Dvd Calendar'!$W$286&lt;=GRID_TO)*((('Dvd Calendar'!$W$286&lt;=VAL_DATE)+(COUNTIF('Dvd Calendar'!$E$293:$AR$293,'Dvd Calendar'!$W$286)=0))&gt;0)=0,"",'Dvd Calendar'!$W$286*1000000000+ISNUMBER('Dvd Calendar'!$W$289)*100000000+('Dvd Calendar'!$W$291=SPECIAL_LBL)*10000000+(N('Dvd Calendar'!$W$285)&gt;0)*(N('Dvd Calendar'!$W$285)&lt;=VAL_SERIAL)*1000000+26*1000+19))</f>
        <v/>
      </c>
      <c r="EX37" s="121">
        <f>IF(N('Dvd Calendar'!$X$286)=0,"",IF(('Dvd Calendar'!$X$286&gt;=GRID_FROM)*('Dvd Calendar'!$X$286&lt;=GRID_TO)*((('Dvd Calendar'!$X$286&lt;=VAL_DATE)+(COUNTIF('Dvd Calendar'!$E$293:$AR$293,'Dvd Calendar'!$X$286)=0))&gt;0)=0,"",'Dvd Calendar'!$X$286*1000000000+ISNUMBER('Dvd Calendar'!$X$289)*100000000+('Dvd Calendar'!$X$291=SPECIAL_LBL)*10000000+(N('Dvd Calendar'!$X$285)&gt;0)*(N('Dvd Calendar'!$X$285)&lt;=VAL_SERIAL)*1000000+26*1000+20))</f>
        <v/>
      </c>
      <c r="EY37" s="121">
        <f>IF(N('Dvd Calendar'!$Y$286)=0,"",IF(('Dvd Calendar'!$Y$286&gt;=GRID_FROM)*('Dvd Calendar'!$Y$286&lt;=GRID_TO)*((('Dvd Calendar'!$Y$286&lt;=VAL_DATE)+(COUNTIF('Dvd Calendar'!$E$293:$AR$293,'Dvd Calendar'!$Y$286)=0))&gt;0)=0,"",'Dvd Calendar'!$Y$286*1000000000+ISNUMBER('Dvd Calendar'!$Y$289)*100000000+('Dvd Calendar'!$Y$291=SPECIAL_LBL)*10000000+(N('Dvd Calendar'!$Y$285)&gt;0)*(N('Dvd Calendar'!$Y$285)&lt;=VAL_SERIAL)*1000000+26*1000+21))</f>
        <v/>
      </c>
      <c r="EZ37" s="121">
        <f>IF(N('Dvd Calendar'!$Z$286)=0,"",IF(('Dvd Calendar'!$Z$286&gt;=GRID_FROM)*('Dvd Calendar'!$Z$286&lt;=GRID_TO)*((('Dvd Calendar'!$Z$286&lt;=VAL_DATE)+(COUNTIF('Dvd Calendar'!$E$293:$AR$293,'Dvd Calendar'!$Z$286)=0))&gt;0)=0,"",'Dvd Calendar'!$Z$286*1000000000+ISNUMBER('Dvd Calendar'!$Z$289)*100000000+('Dvd Calendar'!$Z$291=SPECIAL_LBL)*10000000+(N('Dvd Calendar'!$Z$285)&gt;0)*(N('Dvd Calendar'!$Z$285)&lt;=VAL_SERIAL)*1000000+26*1000+22))</f>
        <v/>
      </c>
      <c r="FA37" s="121">
        <f>IF(N('Dvd Calendar'!$AA$286)=0,"",IF(('Dvd Calendar'!$AA$286&gt;=GRID_FROM)*('Dvd Calendar'!$AA$286&lt;=GRID_TO)*((('Dvd Calendar'!$AA$286&lt;=VAL_DATE)+(COUNTIF('Dvd Calendar'!$E$293:$AR$293,'Dvd Calendar'!$AA$286)=0))&gt;0)=0,"",'Dvd Calendar'!$AA$286*1000000000+ISNUMBER('Dvd Calendar'!$AA$289)*100000000+('Dvd Calendar'!$AA$291=SPECIAL_LBL)*10000000+(N('Dvd Calendar'!$AA$285)&gt;0)*(N('Dvd Calendar'!$AA$285)&lt;=VAL_SERIAL)*1000000+26*1000+23))</f>
        <v/>
      </c>
      <c r="FB37" s="121">
        <f>IF(N('Dvd Calendar'!$AB$286)=0,"",IF(('Dvd Calendar'!$AB$286&gt;=GRID_FROM)*('Dvd Calendar'!$AB$286&lt;=GRID_TO)*((('Dvd Calendar'!$AB$286&lt;=VAL_DATE)+(COUNTIF('Dvd Calendar'!$E$293:$AR$293,'Dvd Calendar'!$AB$286)=0))&gt;0)=0,"",'Dvd Calendar'!$AB$286*1000000000+ISNUMBER('Dvd Calendar'!$AB$289)*100000000+('Dvd Calendar'!$AB$291=SPECIAL_LBL)*10000000+(N('Dvd Calendar'!$AB$285)&gt;0)*(N('Dvd Calendar'!$AB$285)&lt;=VAL_SERIAL)*1000000+26*1000+24))</f>
        <v/>
      </c>
      <c r="FC37" s="121">
        <f>IF(N('Dvd Calendar'!$AC$286)=0,"",IF(('Dvd Calendar'!$AC$286&gt;=GRID_FROM)*('Dvd Calendar'!$AC$286&lt;=GRID_TO)*((('Dvd Calendar'!$AC$286&lt;=VAL_DATE)+(COUNTIF('Dvd Calendar'!$E$293:$AR$293,'Dvd Calendar'!$AC$286)=0))&gt;0)=0,"",'Dvd Calendar'!$AC$286*1000000000+ISNUMBER('Dvd Calendar'!$AC$289)*100000000+('Dvd Calendar'!$AC$291=SPECIAL_LBL)*10000000+(N('Dvd Calendar'!$AC$285)&gt;0)*(N('Dvd Calendar'!$AC$285)&lt;=VAL_SERIAL)*1000000+26*1000+25))</f>
        <v/>
      </c>
      <c r="FD37" s="121">
        <f>IF(N('Dvd Calendar'!$AD$286)=0,"",IF(('Dvd Calendar'!$AD$286&gt;=GRID_FROM)*('Dvd Calendar'!$AD$286&lt;=GRID_TO)*((('Dvd Calendar'!$AD$286&lt;=VAL_DATE)+(COUNTIF('Dvd Calendar'!$E$293:$AR$293,'Dvd Calendar'!$AD$286)=0))&gt;0)=0,"",'Dvd Calendar'!$AD$286*1000000000+ISNUMBER('Dvd Calendar'!$AD$289)*100000000+('Dvd Calendar'!$AD$291=SPECIAL_LBL)*10000000+(N('Dvd Calendar'!$AD$285)&gt;0)*(N('Dvd Calendar'!$AD$285)&lt;=VAL_SERIAL)*1000000+26*1000+26))</f>
        <v/>
      </c>
      <c r="FE37" s="121">
        <f>IF(N('Dvd Calendar'!$AE$286)=0,"",IF(('Dvd Calendar'!$AE$286&gt;=GRID_FROM)*('Dvd Calendar'!$AE$286&lt;=GRID_TO)*((('Dvd Calendar'!$AE$286&lt;=VAL_DATE)+(COUNTIF('Dvd Calendar'!$E$293:$AR$293,'Dvd Calendar'!$AE$286)=0))&gt;0)=0,"",'Dvd Calendar'!$AE$286*1000000000+ISNUMBER('Dvd Calendar'!$AE$289)*100000000+('Dvd Calendar'!$AE$291=SPECIAL_LBL)*10000000+(N('Dvd Calendar'!$AE$285)&gt;0)*(N('Dvd Calendar'!$AE$285)&lt;=VAL_SERIAL)*1000000+26*1000+27))</f>
        <v/>
      </c>
      <c r="FF37" s="121">
        <f>IF(N('Dvd Calendar'!$AF$286)=0,"",IF(('Dvd Calendar'!$AF$286&gt;=GRID_FROM)*('Dvd Calendar'!$AF$286&lt;=GRID_TO)*((('Dvd Calendar'!$AF$286&lt;=VAL_DATE)+(COUNTIF('Dvd Calendar'!$E$293:$AR$293,'Dvd Calendar'!$AF$286)=0))&gt;0)=0,"",'Dvd Calendar'!$AF$286*1000000000+ISNUMBER('Dvd Calendar'!$AF$289)*100000000+('Dvd Calendar'!$AF$291=SPECIAL_LBL)*10000000+(N('Dvd Calendar'!$AF$285)&gt;0)*(N('Dvd Calendar'!$AF$285)&lt;=VAL_SERIAL)*1000000+26*1000+28))</f>
        <v/>
      </c>
      <c r="FG37" s="121">
        <f>IF(N('Dvd Calendar'!$AG$286)=0,"",IF(('Dvd Calendar'!$AG$286&gt;=GRID_FROM)*('Dvd Calendar'!$AG$286&lt;=GRID_TO)*((('Dvd Calendar'!$AG$286&lt;=VAL_DATE)+(COUNTIF('Dvd Calendar'!$E$293:$AR$293,'Dvd Calendar'!$AG$286)=0))&gt;0)=0,"",'Dvd Calendar'!$AG$286*1000000000+ISNUMBER('Dvd Calendar'!$AG$289)*100000000+('Dvd Calendar'!$AG$291=SPECIAL_LBL)*10000000+(N('Dvd Calendar'!$AG$285)&gt;0)*(N('Dvd Calendar'!$AG$285)&lt;=VAL_SERIAL)*1000000+26*1000+29))</f>
        <v/>
      </c>
      <c r="FH37" s="121">
        <f>IF(N('Dvd Calendar'!$AH$286)=0,"",IF(('Dvd Calendar'!$AH$286&gt;=GRID_FROM)*('Dvd Calendar'!$AH$286&lt;=GRID_TO)*((('Dvd Calendar'!$AH$286&lt;=VAL_DATE)+(COUNTIF('Dvd Calendar'!$E$293:$AR$293,'Dvd Calendar'!$AH$286)=0))&gt;0)=0,"",'Dvd Calendar'!$AH$286*1000000000+ISNUMBER('Dvd Calendar'!$AH$289)*100000000+('Dvd Calendar'!$AH$291=SPECIAL_LBL)*10000000+(N('Dvd Calendar'!$AH$285)&gt;0)*(N('Dvd Calendar'!$AH$285)&lt;=VAL_SERIAL)*1000000+26*1000+30))</f>
        <v/>
      </c>
      <c r="FI37" s="121">
        <f>IF(N('Dvd Calendar'!$AI$286)=0,"",IF(('Dvd Calendar'!$AI$286&gt;=GRID_FROM)*('Dvd Calendar'!$AI$286&lt;=GRID_TO)*((('Dvd Calendar'!$AI$286&lt;=VAL_DATE)+(COUNTIF('Dvd Calendar'!$E$293:$AR$293,'Dvd Calendar'!$AI$286)=0))&gt;0)=0,"",'Dvd Calendar'!$AI$286*1000000000+ISNUMBER('Dvd Calendar'!$AI$289)*100000000+('Dvd Calendar'!$AI$291=SPECIAL_LBL)*10000000+(N('Dvd Calendar'!$AI$285)&gt;0)*(N('Dvd Calendar'!$AI$285)&lt;=VAL_SERIAL)*1000000+26*1000+31))</f>
        <v/>
      </c>
      <c r="FJ37" s="121">
        <f>IF(N('Dvd Calendar'!$AJ$286)=0,"",IF(('Dvd Calendar'!$AJ$286&gt;=GRID_FROM)*('Dvd Calendar'!$AJ$286&lt;=GRID_TO)*((('Dvd Calendar'!$AJ$286&lt;=VAL_DATE)+(COUNTIF('Dvd Calendar'!$E$293:$AR$293,'Dvd Calendar'!$AJ$286)=0))&gt;0)=0,"",'Dvd Calendar'!$AJ$286*1000000000+ISNUMBER('Dvd Calendar'!$AJ$289)*100000000+('Dvd Calendar'!$AJ$291=SPECIAL_LBL)*10000000+(N('Dvd Calendar'!$AJ$285)&gt;0)*(N('Dvd Calendar'!$AJ$285)&lt;=VAL_SERIAL)*1000000+26*1000+32))</f>
        <v/>
      </c>
      <c r="FK37" s="121">
        <f>IF(N('Dvd Calendar'!$AK$286)=0,"",IF(('Dvd Calendar'!$AK$286&gt;=GRID_FROM)*('Dvd Calendar'!$AK$286&lt;=GRID_TO)*((('Dvd Calendar'!$AK$286&lt;=VAL_DATE)+(COUNTIF('Dvd Calendar'!$E$293:$AR$293,'Dvd Calendar'!$AK$286)=0))&gt;0)=0,"",'Dvd Calendar'!$AK$286*1000000000+ISNUMBER('Dvd Calendar'!$AK$289)*100000000+('Dvd Calendar'!$AK$291=SPECIAL_LBL)*10000000+(N('Dvd Calendar'!$AK$285)&gt;0)*(N('Dvd Calendar'!$AK$285)&lt;=VAL_SERIAL)*1000000+26*1000+33))</f>
        <v/>
      </c>
      <c r="FL37" s="121">
        <f>IF(N('Dvd Calendar'!$AL$286)=0,"",IF(('Dvd Calendar'!$AL$286&gt;=GRID_FROM)*('Dvd Calendar'!$AL$286&lt;=GRID_TO)*((('Dvd Calendar'!$AL$286&lt;=VAL_DATE)+(COUNTIF('Dvd Calendar'!$E$293:$AR$293,'Dvd Calendar'!$AL$286)=0))&gt;0)=0,"",'Dvd Calendar'!$AL$286*1000000000+ISNUMBER('Dvd Calendar'!$AL$289)*100000000+('Dvd Calendar'!$AL$291=SPECIAL_LBL)*10000000+(N('Dvd Calendar'!$AL$285)&gt;0)*(N('Dvd Calendar'!$AL$285)&lt;=VAL_SERIAL)*1000000+26*1000+34))</f>
        <v/>
      </c>
      <c r="FM37" s="121">
        <f>IF(N('Dvd Calendar'!$AM$286)=0,"",IF(('Dvd Calendar'!$AM$286&gt;=GRID_FROM)*('Dvd Calendar'!$AM$286&lt;=GRID_TO)*((('Dvd Calendar'!$AM$286&lt;=VAL_DATE)+(COUNTIF('Dvd Calendar'!$E$293:$AR$293,'Dvd Calendar'!$AM$286)=0))&gt;0)=0,"",'Dvd Calendar'!$AM$286*1000000000+ISNUMBER('Dvd Calendar'!$AM$289)*100000000+('Dvd Calendar'!$AM$291=SPECIAL_LBL)*10000000+(N('Dvd Calendar'!$AM$285)&gt;0)*(N('Dvd Calendar'!$AM$285)&lt;=VAL_SERIAL)*1000000+26*1000+35))</f>
        <v/>
      </c>
      <c r="FN37" s="121">
        <f>IF(N('Dvd Calendar'!$AN$286)=0,"",IF(('Dvd Calendar'!$AN$286&gt;=GRID_FROM)*('Dvd Calendar'!$AN$286&lt;=GRID_TO)*((('Dvd Calendar'!$AN$286&lt;=VAL_DATE)+(COUNTIF('Dvd Calendar'!$E$293:$AR$293,'Dvd Calendar'!$AN$286)=0))&gt;0)=0,"",'Dvd Calendar'!$AN$286*1000000000+ISNUMBER('Dvd Calendar'!$AN$289)*100000000+('Dvd Calendar'!$AN$291=SPECIAL_LBL)*10000000+(N('Dvd Calendar'!$AN$285)&gt;0)*(N('Dvd Calendar'!$AN$285)&lt;=VAL_SERIAL)*1000000+26*1000+36))</f>
        <v/>
      </c>
      <c r="FO37" s="121">
        <f>IF(N('Dvd Calendar'!$AO$286)=0,"",IF(('Dvd Calendar'!$AO$286&gt;=GRID_FROM)*('Dvd Calendar'!$AO$286&lt;=GRID_TO)*((('Dvd Calendar'!$AO$286&lt;=VAL_DATE)+(COUNTIF('Dvd Calendar'!$E$293:$AR$293,'Dvd Calendar'!$AO$286)=0))&gt;0)=0,"",'Dvd Calendar'!$AO$286*1000000000+ISNUMBER('Dvd Calendar'!$AO$289)*100000000+('Dvd Calendar'!$AO$291=SPECIAL_LBL)*10000000+(N('Dvd Calendar'!$AO$285)&gt;0)*(N('Dvd Calendar'!$AO$285)&lt;=VAL_SERIAL)*1000000+26*1000+37))</f>
        <v/>
      </c>
      <c r="FP37" s="121">
        <f>IF(N('Dvd Calendar'!$AP$286)=0,"",IF(('Dvd Calendar'!$AP$286&gt;=GRID_FROM)*('Dvd Calendar'!$AP$286&lt;=GRID_TO)*((('Dvd Calendar'!$AP$286&lt;=VAL_DATE)+(COUNTIF('Dvd Calendar'!$E$293:$AR$293,'Dvd Calendar'!$AP$286)=0))&gt;0)=0,"",'Dvd Calendar'!$AP$286*1000000000+ISNUMBER('Dvd Calendar'!$AP$289)*100000000+('Dvd Calendar'!$AP$291=SPECIAL_LBL)*10000000+(N('Dvd Calendar'!$AP$285)&gt;0)*(N('Dvd Calendar'!$AP$285)&lt;=VAL_SERIAL)*1000000+26*1000+38))</f>
        <v/>
      </c>
      <c r="FQ37" s="121">
        <f>IF(N('Dvd Calendar'!$AQ$286)=0,"",IF(('Dvd Calendar'!$AQ$286&gt;=GRID_FROM)*('Dvd Calendar'!$AQ$286&lt;=GRID_TO)*((('Dvd Calendar'!$AQ$286&lt;=VAL_DATE)+(COUNTIF('Dvd Calendar'!$E$293:$AR$293,'Dvd Calendar'!$AQ$286)=0))&gt;0)=0,"",'Dvd Calendar'!$AQ$286*1000000000+ISNUMBER('Dvd Calendar'!$AQ$289)*100000000+('Dvd Calendar'!$AQ$291=SPECIAL_LBL)*10000000+(N('Dvd Calendar'!$AQ$285)&gt;0)*(N('Dvd Calendar'!$AQ$285)&lt;=VAL_SERIAL)*1000000+26*1000+39))</f>
        <v/>
      </c>
      <c r="FR37" s="121">
        <f>IF(N('Dvd Calendar'!$AR$286)=0,"",IF(('Dvd Calendar'!$AR$286&gt;=GRID_FROM)*('Dvd Calendar'!$AR$286&lt;=GRID_TO)*((('Dvd Calendar'!$AR$286&lt;=VAL_DATE)+(COUNTIF('Dvd Calendar'!$E$293:$AR$293,'Dvd Calendar'!$AR$286)=0))&gt;0)=0,"",'Dvd Calendar'!$AR$286*1000000000+ISNUMBER('Dvd Calendar'!$AR$289)*100000000+('Dvd Calendar'!$AR$291=SPECIAL_LBL)*10000000+(N('Dvd Calendar'!$AR$285)&gt;0)*(N('Dvd Calendar'!$AR$285)&lt;=VAL_SERIAL)*1000000+26*1000+40))</f>
        <v/>
      </c>
      <c r="FS37" s="121">
        <f>IF(N('Dvd Calendar'!$E$293)=0,"",IF(('Dvd Calendar'!$E$293&gt;=GRID_FROM)*('Dvd Calendar'!$E$293&lt;=GRID_TO)*('Dvd Calendar'!$E$293&gt;VAL_DATE)=0,"",'Dvd Calendar'!$E$293*1000000000+ISNUMBER('Dvd Calendar'!$E$294)*100000000+0*10000000+(N('Dvd Calendar'!$E$292)&gt;0)*(N('Dvd Calendar'!$E$292)&lt;=VAL_SERIAL)*1000000+26*1000+41))</f>
        <v/>
      </c>
      <c r="FT37" s="121">
        <f>IF(N('Dvd Calendar'!$F$293)=0,"",IF(('Dvd Calendar'!$F$293&gt;=GRID_FROM)*('Dvd Calendar'!$F$293&lt;=GRID_TO)*('Dvd Calendar'!$F$293&gt;VAL_DATE)=0,"",'Dvd Calendar'!$F$293*1000000000+ISNUMBER('Dvd Calendar'!$F$294)*100000000+0*10000000+(N('Dvd Calendar'!$F$292)&gt;0)*(N('Dvd Calendar'!$F$292)&lt;=VAL_SERIAL)*1000000+26*1000+42))</f>
        <v/>
      </c>
      <c r="FU37" s="121">
        <f>IF(N('Dvd Calendar'!$G$293)=0,"",IF(('Dvd Calendar'!$G$293&gt;=GRID_FROM)*('Dvd Calendar'!$G$293&lt;=GRID_TO)*('Dvd Calendar'!$G$293&gt;VAL_DATE)=0,"",'Dvd Calendar'!$G$293*1000000000+ISNUMBER('Dvd Calendar'!$G$294)*100000000+0*10000000+(N('Dvd Calendar'!$G$292)&gt;0)*(N('Dvd Calendar'!$G$292)&lt;=VAL_SERIAL)*1000000+26*1000+43))</f>
        <v/>
      </c>
      <c r="FV37" s="121">
        <f>IF(N('Dvd Calendar'!$H$293)=0,"",IF(('Dvd Calendar'!$H$293&gt;=GRID_FROM)*('Dvd Calendar'!$H$293&lt;=GRID_TO)*('Dvd Calendar'!$H$293&gt;VAL_DATE)=0,"",'Dvd Calendar'!$H$293*1000000000+ISNUMBER('Dvd Calendar'!$H$294)*100000000+0*10000000+(N('Dvd Calendar'!$H$292)&gt;0)*(N('Dvd Calendar'!$H$292)&lt;=VAL_SERIAL)*1000000+26*1000+44))</f>
        <v/>
      </c>
      <c r="FW37" s="121">
        <f>IF(N('Dvd Calendar'!$I$293)=0,"",IF(('Dvd Calendar'!$I$293&gt;=GRID_FROM)*('Dvd Calendar'!$I$293&lt;=GRID_TO)*('Dvd Calendar'!$I$293&gt;VAL_DATE)=0,"",'Dvd Calendar'!$I$293*1000000000+ISNUMBER('Dvd Calendar'!$I$294)*100000000+0*10000000+(N('Dvd Calendar'!$I$292)&gt;0)*(N('Dvd Calendar'!$I$292)&lt;=VAL_SERIAL)*1000000+26*1000+45))</f>
        <v/>
      </c>
      <c r="FX37" s="121">
        <f>IF(N('Dvd Calendar'!$J$293)=0,"",IF(('Dvd Calendar'!$J$293&gt;=GRID_FROM)*('Dvd Calendar'!$J$293&lt;=GRID_TO)*('Dvd Calendar'!$J$293&gt;VAL_DATE)=0,"",'Dvd Calendar'!$J$293*1000000000+ISNUMBER('Dvd Calendar'!$J$294)*100000000+0*10000000+(N('Dvd Calendar'!$J$292)&gt;0)*(N('Dvd Calendar'!$J$292)&lt;=VAL_SERIAL)*1000000+26*1000+46))</f>
        <v/>
      </c>
      <c r="FY37" s="121">
        <f>IF(N('Dvd Calendar'!$K$293)=0,"",IF(('Dvd Calendar'!$K$293&gt;=GRID_FROM)*('Dvd Calendar'!$K$293&lt;=GRID_TO)*('Dvd Calendar'!$K$293&gt;VAL_DATE)=0,"",'Dvd Calendar'!$K$293*1000000000+ISNUMBER('Dvd Calendar'!$K$294)*100000000+0*10000000+(N('Dvd Calendar'!$K$292)&gt;0)*(N('Dvd Calendar'!$K$292)&lt;=VAL_SERIAL)*1000000+26*1000+47))</f>
        <v/>
      </c>
      <c r="FZ37" s="121">
        <f>IF(N('Dvd Calendar'!$L$293)=0,"",IF(('Dvd Calendar'!$L$293&gt;=GRID_FROM)*('Dvd Calendar'!$L$293&lt;=GRID_TO)*('Dvd Calendar'!$L$293&gt;VAL_DATE)=0,"",'Dvd Calendar'!$L$293*1000000000+ISNUMBER('Dvd Calendar'!$L$294)*100000000+0*10000000+(N('Dvd Calendar'!$L$292)&gt;0)*(N('Dvd Calendar'!$L$292)&lt;=VAL_SERIAL)*1000000+26*1000+48))</f>
        <v/>
      </c>
      <c r="GA37" s="121">
        <f>IF(N('Dvd Calendar'!$M$293)=0,"",IF(('Dvd Calendar'!$M$293&gt;=GRID_FROM)*('Dvd Calendar'!$M$293&lt;=GRID_TO)*('Dvd Calendar'!$M$293&gt;VAL_DATE)=0,"",'Dvd Calendar'!$M$293*1000000000+ISNUMBER('Dvd Calendar'!$M$294)*100000000+0*10000000+(N('Dvd Calendar'!$M$292)&gt;0)*(N('Dvd Calendar'!$M$292)&lt;=VAL_SERIAL)*1000000+26*1000+49))</f>
        <v/>
      </c>
      <c r="GB37" s="121">
        <f>IF(N('Dvd Calendar'!$N$293)=0,"",IF(('Dvd Calendar'!$N$293&gt;=GRID_FROM)*('Dvd Calendar'!$N$293&lt;=GRID_TO)*('Dvd Calendar'!$N$293&gt;VAL_DATE)=0,"",'Dvd Calendar'!$N$293*1000000000+ISNUMBER('Dvd Calendar'!$N$294)*100000000+0*10000000+(N('Dvd Calendar'!$N$292)&gt;0)*(N('Dvd Calendar'!$N$292)&lt;=VAL_SERIAL)*1000000+26*1000+50))</f>
        <v/>
      </c>
      <c r="GC37" s="121">
        <f>IF(N('Dvd Calendar'!$O$293)=0,"",IF(('Dvd Calendar'!$O$293&gt;=GRID_FROM)*('Dvd Calendar'!$O$293&lt;=GRID_TO)*('Dvd Calendar'!$O$293&gt;VAL_DATE)=0,"",'Dvd Calendar'!$O$293*1000000000+ISNUMBER('Dvd Calendar'!$O$294)*100000000+0*10000000+(N('Dvd Calendar'!$O$292)&gt;0)*(N('Dvd Calendar'!$O$292)&lt;=VAL_SERIAL)*1000000+26*1000+51))</f>
        <v/>
      </c>
      <c r="GD37" s="121">
        <f>IF(N('Dvd Calendar'!$P$293)=0,"",IF(('Dvd Calendar'!$P$293&gt;=GRID_FROM)*('Dvd Calendar'!$P$293&lt;=GRID_TO)*('Dvd Calendar'!$P$293&gt;VAL_DATE)=0,"",'Dvd Calendar'!$P$293*1000000000+ISNUMBER('Dvd Calendar'!$P$294)*100000000+0*10000000+(N('Dvd Calendar'!$P$292)&gt;0)*(N('Dvd Calendar'!$P$292)&lt;=VAL_SERIAL)*1000000+26*1000+52))</f>
        <v/>
      </c>
      <c r="GE37" s="121">
        <f>IF(N('Dvd Calendar'!$Q$293)=0,"",IF(('Dvd Calendar'!$Q$293&gt;=GRID_FROM)*('Dvd Calendar'!$Q$293&lt;=GRID_TO)*('Dvd Calendar'!$Q$293&gt;VAL_DATE)=0,"",'Dvd Calendar'!$Q$293*1000000000+ISNUMBER('Dvd Calendar'!$Q$294)*100000000+0*10000000+(N('Dvd Calendar'!$Q$292)&gt;0)*(N('Dvd Calendar'!$Q$292)&lt;=VAL_SERIAL)*1000000+26*1000+53))</f>
        <v/>
      </c>
      <c r="GF37" s="121">
        <f>IF(N('Dvd Calendar'!$R$293)=0,"",IF(('Dvd Calendar'!$R$293&gt;=GRID_FROM)*('Dvd Calendar'!$R$293&lt;=GRID_TO)*('Dvd Calendar'!$R$293&gt;VAL_DATE)=0,"",'Dvd Calendar'!$R$293*1000000000+ISNUMBER('Dvd Calendar'!$R$294)*100000000+0*10000000+(N('Dvd Calendar'!$R$292)&gt;0)*(N('Dvd Calendar'!$R$292)&lt;=VAL_SERIAL)*1000000+26*1000+54))</f>
        <v/>
      </c>
      <c r="GG37" s="121">
        <f>IF(N('Dvd Calendar'!$S$293)=0,"",IF(('Dvd Calendar'!$S$293&gt;=GRID_FROM)*('Dvd Calendar'!$S$293&lt;=GRID_TO)*('Dvd Calendar'!$S$293&gt;VAL_DATE)=0,"",'Dvd Calendar'!$S$293*1000000000+ISNUMBER('Dvd Calendar'!$S$294)*100000000+0*10000000+(N('Dvd Calendar'!$S$292)&gt;0)*(N('Dvd Calendar'!$S$292)&lt;=VAL_SERIAL)*1000000+26*1000+55))</f>
        <v/>
      </c>
      <c r="GH37" s="121">
        <f>IF(N('Dvd Calendar'!$T$293)=0,"",IF(('Dvd Calendar'!$T$293&gt;=GRID_FROM)*('Dvd Calendar'!$T$293&lt;=GRID_TO)*('Dvd Calendar'!$T$293&gt;VAL_DATE)=0,"",'Dvd Calendar'!$T$293*1000000000+ISNUMBER('Dvd Calendar'!$T$294)*100000000+0*10000000+(N('Dvd Calendar'!$T$292)&gt;0)*(N('Dvd Calendar'!$T$292)&lt;=VAL_SERIAL)*1000000+26*1000+56))</f>
        <v/>
      </c>
      <c r="GI37" s="121">
        <f>IF(N('Dvd Calendar'!$U$293)=0,"",IF(('Dvd Calendar'!$U$293&gt;=GRID_FROM)*('Dvd Calendar'!$U$293&lt;=GRID_TO)*('Dvd Calendar'!$U$293&gt;VAL_DATE)=0,"",'Dvd Calendar'!$U$293*1000000000+ISNUMBER('Dvd Calendar'!$U$294)*100000000+0*10000000+(N('Dvd Calendar'!$U$292)&gt;0)*(N('Dvd Calendar'!$U$292)&lt;=VAL_SERIAL)*1000000+26*1000+57))</f>
        <v/>
      </c>
      <c r="GJ37" s="121">
        <f>IF(N('Dvd Calendar'!$V$293)=0,"",IF(('Dvd Calendar'!$V$293&gt;=GRID_FROM)*('Dvd Calendar'!$V$293&lt;=GRID_TO)*('Dvd Calendar'!$V$293&gt;VAL_DATE)=0,"",'Dvd Calendar'!$V$293*1000000000+ISNUMBER('Dvd Calendar'!$V$294)*100000000+0*10000000+(N('Dvd Calendar'!$V$292)&gt;0)*(N('Dvd Calendar'!$V$292)&lt;=VAL_SERIAL)*1000000+26*1000+58))</f>
        <v/>
      </c>
      <c r="GK37" s="121">
        <f>IF(N('Dvd Calendar'!$W$293)=0,"",IF(('Dvd Calendar'!$W$293&gt;=GRID_FROM)*('Dvd Calendar'!$W$293&lt;=GRID_TO)*('Dvd Calendar'!$W$293&gt;VAL_DATE)=0,"",'Dvd Calendar'!$W$293*1000000000+ISNUMBER('Dvd Calendar'!$W$294)*100000000+0*10000000+(N('Dvd Calendar'!$W$292)&gt;0)*(N('Dvd Calendar'!$W$292)&lt;=VAL_SERIAL)*1000000+26*1000+59))</f>
        <v/>
      </c>
      <c r="GL37" s="121">
        <f>IF(N('Dvd Calendar'!$X$293)=0,"",IF(('Dvd Calendar'!$X$293&gt;=GRID_FROM)*('Dvd Calendar'!$X$293&lt;=GRID_TO)*('Dvd Calendar'!$X$293&gt;VAL_DATE)=0,"",'Dvd Calendar'!$X$293*1000000000+ISNUMBER('Dvd Calendar'!$X$294)*100000000+0*10000000+(N('Dvd Calendar'!$X$292)&gt;0)*(N('Dvd Calendar'!$X$292)&lt;=VAL_SERIAL)*1000000+26*1000+60))</f>
        <v/>
      </c>
      <c r="GM37" s="121">
        <f>IF(N('Dvd Calendar'!$Y$293)=0,"",IF(('Dvd Calendar'!$Y$293&gt;=GRID_FROM)*('Dvd Calendar'!$Y$293&lt;=GRID_TO)*('Dvd Calendar'!$Y$293&gt;VAL_DATE)=0,"",'Dvd Calendar'!$Y$293*1000000000+ISNUMBER('Dvd Calendar'!$Y$294)*100000000+0*10000000+(N('Dvd Calendar'!$Y$292)&gt;0)*(N('Dvd Calendar'!$Y$292)&lt;=VAL_SERIAL)*1000000+26*1000+61))</f>
        <v/>
      </c>
      <c r="GN37" s="121">
        <f>IF(N('Dvd Calendar'!$Z$293)=0,"",IF(('Dvd Calendar'!$Z$293&gt;=GRID_FROM)*('Dvd Calendar'!$Z$293&lt;=GRID_TO)*('Dvd Calendar'!$Z$293&gt;VAL_DATE)=0,"",'Dvd Calendar'!$Z$293*1000000000+ISNUMBER('Dvd Calendar'!$Z$294)*100000000+0*10000000+(N('Dvd Calendar'!$Z$292)&gt;0)*(N('Dvd Calendar'!$Z$292)&lt;=VAL_SERIAL)*1000000+26*1000+62))</f>
        <v/>
      </c>
      <c r="GO37" s="121">
        <f>IF(N('Dvd Calendar'!$AA$293)=0,"",IF(('Dvd Calendar'!$AA$293&gt;=GRID_FROM)*('Dvd Calendar'!$AA$293&lt;=GRID_TO)*('Dvd Calendar'!$AA$293&gt;VAL_DATE)=0,"",'Dvd Calendar'!$AA$293*1000000000+ISNUMBER('Dvd Calendar'!$AA$294)*100000000+0*10000000+(N('Dvd Calendar'!$AA$292)&gt;0)*(N('Dvd Calendar'!$AA$292)&lt;=VAL_SERIAL)*1000000+26*1000+63))</f>
        <v/>
      </c>
      <c r="GP37" s="121">
        <f>IF(N('Dvd Calendar'!$AB$293)=0,"",IF(('Dvd Calendar'!$AB$293&gt;=GRID_FROM)*('Dvd Calendar'!$AB$293&lt;=GRID_TO)*('Dvd Calendar'!$AB$293&gt;VAL_DATE)=0,"",'Dvd Calendar'!$AB$293*1000000000+ISNUMBER('Dvd Calendar'!$AB$294)*100000000+0*10000000+(N('Dvd Calendar'!$AB$292)&gt;0)*(N('Dvd Calendar'!$AB$292)&lt;=VAL_SERIAL)*1000000+26*1000+64))</f>
        <v/>
      </c>
      <c r="GQ37" s="121">
        <f>IF(N('Dvd Calendar'!$AC$293)=0,"",IF(('Dvd Calendar'!$AC$293&gt;=GRID_FROM)*('Dvd Calendar'!$AC$293&lt;=GRID_TO)*('Dvd Calendar'!$AC$293&gt;VAL_DATE)=0,"",'Dvd Calendar'!$AC$293*1000000000+ISNUMBER('Dvd Calendar'!$AC$294)*100000000+0*10000000+(N('Dvd Calendar'!$AC$292)&gt;0)*(N('Dvd Calendar'!$AC$292)&lt;=VAL_SERIAL)*1000000+26*1000+65))</f>
        <v/>
      </c>
    </row>
    <row r="38">
      <c r="B38" s="2">
        <f>IF(HSI!$C$33="","",HSI!$C$33)</f>
        <v/>
      </c>
      <c r="C38" s="161">
        <f>IF(EE38="","",IF(ISNUMBER('Dvd Calendar'!$E$300)=FALSE,"",IF((('Dvd Calendar'!$E$302=TYPE1)*(TYPE1&lt;&gt;"")+('Dvd Calendar'!$E$302=TYPE2)*(TYPE2&lt;&gt;"")+('Dvd Calendar'!$E$302=TYPE3)*(TYPE3&lt;&gt;"")+('Dvd Calendar'!$E$302=TYPE4)*(TYPE4&lt;&gt;"")+('Dvd Calendar'!$E$302=SPECIAL_LBL)*(INC_SPECIALS="Y"))=0,"",'Dvd Calendar'!$E$300)))</f>
        <v/>
      </c>
      <c r="D38" s="161">
        <f>IF(EF38="","",IF(ISNUMBER('Dvd Calendar'!$F$300)=FALSE,"",IF((('Dvd Calendar'!$F$302=TYPE1)*(TYPE1&lt;&gt;"")+('Dvd Calendar'!$F$302=TYPE2)*(TYPE2&lt;&gt;"")+('Dvd Calendar'!$F$302=TYPE3)*(TYPE3&lt;&gt;"")+('Dvd Calendar'!$F$302=TYPE4)*(TYPE4&lt;&gt;"")+('Dvd Calendar'!$F$302=SPECIAL_LBL)*(INC_SPECIALS="Y"))=0,"",'Dvd Calendar'!$F$300)))</f>
        <v/>
      </c>
      <c r="E38" s="161">
        <f>IF(EG38="","",IF(ISNUMBER('Dvd Calendar'!$G$300)=FALSE,"",IF((('Dvd Calendar'!$G$302=TYPE1)*(TYPE1&lt;&gt;"")+('Dvd Calendar'!$G$302=TYPE2)*(TYPE2&lt;&gt;"")+('Dvd Calendar'!$G$302=TYPE3)*(TYPE3&lt;&gt;"")+('Dvd Calendar'!$G$302=TYPE4)*(TYPE4&lt;&gt;"")+('Dvd Calendar'!$G$302=SPECIAL_LBL)*(INC_SPECIALS="Y"))=0,"",'Dvd Calendar'!$G$300)))</f>
        <v/>
      </c>
      <c r="F38" s="161">
        <f>IF(EH38="","",IF(ISNUMBER('Dvd Calendar'!$H$300)=FALSE,"",IF((('Dvd Calendar'!$H$302=TYPE1)*(TYPE1&lt;&gt;"")+('Dvd Calendar'!$H$302=TYPE2)*(TYPE2&lt;&gt;"")+('Dvd Calendar'!$H$302=TYPE3)*(TYPE3&lt;&gt;"")+('Dvd Calendar'!$H$302=TYPE4)*(TYPE4&lt;&gt;"")+('Dvd Calendar'!$H$302=SPECIAL_LBL)*(INC_SPECIALS="Y"))=0,"",'Dvd Calendar'!$H$300)))</f>
        <v/>
      </c>
      <c r="G38" s="161">
        <f>IF(EI38="","",IF(ISNUMBER('Dvd Calendar'!$I$300)=FALSE,"",IF((('Dvd Calendar'!$I$302=TYPE1)*(TYPE1&lt;&gt;"")+('Dvd Calendar'!$I$302=TYPE2)*(TYPE2&lt;&gt;"")+('Dvd Calendar'!$I$302=TYPE3)*(TYPE3&lt;&gt;"")+('Dvd Calendar'!$I$302=TYPE4)*(TYPE4&lt;&gt;"")+('Dvd Calendar'!$I$302=SPECIAL_LBL)*(INC_SPECIALS="Y"))=0,"",'Dvd Calendar'!$I$300)))</f>
        <v/>
      </c>
      <c r="H38" s="161">
        <f>IF(EJ38="","",IF(ISNUMBER('Dvd Calendar'!$J$300)=FALSE,"",IF((('Dvd Calendar'!$J$302=TYPE1)*(TYPE1&lt;&gt;"")+('Dvd Calendar'!$J$302=TYPE2)*(TYPE2&lt;&gt;"")+('Dvd Calendar'!$J$302=TYPE3)*(TYPE3&lt;&gt;"")+('Dvd Calendar'!$J$302=TYPE4)*(TYPE4&lt;&gt;"")+('Dvd Calendar'!$J$302=SPECIAL_LBL)*(INC_SPECIALS="Y"))=0,"",'Dvd Calendar'!$J$300)))</f>
        <v/>
      </c>
      <c r="I38" s="161">
        <f>IF(EK38="","",IF(ISNUMBER('Dvd Calendar'!$K$300)=FALSE,"",IF((('Dvd Calendar'!$K$302=TYPE1)*(TYPE1&lt;&gt;"")+('Dvd Calendar'!$K$302=TYPE2)*(TYPE2&lt;&gt;"")+('Dvd Calendar'!$K$302=TYPE3)*(TYPE3&lt;&gt;"")+('Dvd Calendar'!$K$302=TYPE4)*(TYPE4&lt;&gt;"")+('Dvd Calendar'!$K$302=SPECIAL_LBL)*(INC_SPECIALS="Y"))=0,"",'Dvd Calendar'!$K$300)))</f>
        <v/>
      </c>
      <c r="J38" s="161">
        <f>IF(EL38="","",IF(ISNUMBER('Dvd Calendar'!$L$300)=FALSE,"",IF((('Dvd Calendar'!$L$302=TYPE1)*(TYPE1&lt;&gt;"")+('Dvd Calendar'!$L$302=TYPE2)*(TYPE2&lt;&gt;"")+('Dvd Calendar'!$L$302=TYPE3)*(TYPE3&lt;&gt;"")+('Dvd Calendar'!$L$302=TYPE4)*(TYPE4&lt;&gt;"")+('Dvd Calendar'!$L$302=SPECIAL_LBL)*(INC_SPECIALS="Y"))=0,"",'Dvd Calendar'!$L$300)))</f>
        <v/>
      </c>
      <c r="K38" s="161">
        <f>IF(EM38="","",IF(ISNUMBER('Dvd Calendar'!$M$300)=FALSE,"",IF((('Dvd Calendar'!$M$302=TYPE1)*(TYPE1&lt;&gt;"")+('Dvd Calendar'!$M$302=TYPE2)*(TYPE2&lt;&gt;"")+('Dvd Calendar'!$M$302=TYPE3)*(TYPE3&lt;&gt;"")+('Dvd Calendar'!$M$302=TYPE4)*(TYPE4&lt;&gt;"")+('Dvd Calendar'!$M$302=SPECIAL_LBL)*(INC_SPECIALS="Y"))=0,"",'Dvd Calendar'!$M$300)))</f>
        <v/>
      </c>
      <c r="L38" s="161">
        <f>IF(EN38="","",IF(ISNUMBER('Dvd Calendar'!$N$300)=FALSE,"",IF((('Dvd Calendar'!$N$302=TYPE1)*(TYPE1&lt;&gt;"")+('Dvd Calendar'!$N$302=TYPE2)*(TYPE2&lt;&gt;"")+('Dvd Calendar'!$N$302=TYPE3)*(TYPE3&lt;&gt;"")+('Dvd Calendar'!$N$302=TYPE4)*(TYPE4&lt;&gt;"")+('Dvd Calendar'!$N$302=SPECIAL_LBL)*(INC_SPECIALS="Y"))=0,"",'Dvd Calendar'!$N$300)))</f>
        <v/>
      </c>
      <c r="M38" s="161">
        <f>IF(EO38="","",IF(ISNUMBER('Dvd Calendar'!$O$300)=FALSE,"",IF((('Dvd Calendar'!$O$302=TYPE1)*(TYPE1&lt;&gt;"")+('Dvd Calendar'!$O$302=TYPE2)*(TYPE2&lt;&gt;"")+('Dvd Calendar'!$O$302=TYPE3)*(TYPE3&lt;&gt;"")+('Dvd Calendar'!$O$302=TYPE4)*(TYPE4&lt;&gt;"")+('Dvd Calendar'!$O$302=SPECIAL_LBL)*(INC_SPECIALS="Y"))=0,"",'Dvd Calendar'!$O$300)))</f>
        <v/>
      </c>
      <c r="N38" s="161">
        <f>IF(EP38="","",IF(ISNUMBER('Dvd Calendar'!$P$300)=FALSE,"",IF((('Dvd Calendar'!$P$302=TYPE1)*(TYPE1&lt;&gt;"")+('Dvd Calendar'!$P$302=TYPE2)*(TYPE2&lt;&gt;"")+('Dvd Calendar'!$P$302=TYPE3)*(TYPE3&lt;&gt;"")+('Dvd Calendar'!$P$302=TYPE4)*(TYPE4&lt;&gt;"")+('Dvd Calendar'!$P$302=SPECIAL_LBL)*(INC_SPECIALS="Y"))=0,"",'Dvd Calendar'!$P$300)))</f>
        <v/>
      </c>
      <c r="O38" s="161">
        <f>IF(EQ38="","",IF(ISNUMBER('Dvd Calendar'!$Q$300)=FALSE,"",IF((('Dvd Calendar'!$Q$302=TYPE1)*(TYPE1&lt;&gt;"")+('Dvd Calendar'!$Q$302=TYPE2)*(TYPE2&lt;&gt;"")+('Dvd Calendar'!$Q$302=TYPE3)*(TYPE3&lt;&gt;"")+('Dvd Calendar'!$Q$302=TYPE4)*(TYPE4&lt;&gt;"")+('Dvd Calendar'!$Q$302=SPECIAL_LBL)*(INC_SPECIALS="Y"))=0,"",'Dvd Calendar'!$Q$300)))</f>
        <v/>
      </c>
      <c r="P38" s="161">
        <f>IF(ER38="","",IF(ISNUMBER('Dvd Calendar'!$R$300)=FALSE,"",IF((('Dvd Calendar'!$R$302=TYPE1)*(TYPE1&lt;&gt;"")+('Dvd Calendar'!$R$302=TYPE2)*(TYPE2&lt;&gt;"")+('Dvd Calendar'!$R$302=TYPE3)*(TYPE3&lt;&gt;"")+('Dvd Calendar'!$R$302=TYPE4)*(TYPE4&lt;&gt;"")+('Dvd Calendar'!$R$302=SPECIAL_LBL)*(INC_SPECIALS="Y"))=0,"",'Dvd Calendar'!$R$300)))</f>
        <v/>
      </c>
      <c r="Q38" s="161">
        <f>IF(ES38="","",IF(ISNUMBER('Dvd Calendar'!$S$300)=FALSE,"",IF((('Dvd Calendar'!$S$302=TYPE1)*(TYPE1&lt;&gt;"")+('Dvd Calendar'!$S$302=TYPE2)*(TYPE2&lt;&gt;"")+('Dvd Calendar'!$S$302=TYPE3)*(TYPE3&lt;&gt;"")+('Dvd Calendar'!$S$302=TYPE4)*(TYPE4&lt;&gt;"")+('Dvd Calendar'!$S$302=SPECIAL_LBL)*(INC_SPECIALS="Y"))=0,"",'Dvd Calendar'!$S$300)))</f>
        <v/>
      </c>
      <c r="R38" s="161">
        <f>IF(ET38="","",IF(ISNUMBER('Dvd Calendar'!$T$300)=FALSE,"",IF((('Dvd Calendar'!$T$302=TYPE1)*(TYPE1&lt;&gt;"")+('Dvd Calendar'!$T$302=TYPE2)*(TYPE2&lt;&gt;"")+('Dvd Calendar'!$T$302=TYPE3)*(TYPE3&lt;&gt;"")+('Dvd Calendar'!$T$302=TYPE4)*(TYPE4&lt;&gt;"")+('Dvd Calendar'!$T$302=SPECIAL_LBL)*(INC_SPECIALS="Y"))=0,"",'Dvd Calendar'!$T$300)))</f>
        <v/>
      </c>
      <c r="S38" s="161">
        <f>IF(EU38="","",IF(ISNUMBER('Dvd Calendar'!$U$300)=FALSE,"",IF((('Dvd Calendar'!$U$302=TYPE1)*(TYPE1&lt;&gt;"")+('Dvd Calendar'!$U$302=TYPE2)*(TYPE2&lt;&gt;"")+('Dvd Calendar'!$U$302=TYPE3)*(TYPE3&lt;&gt;"")+('Dvd Calendar'!$U$302=TYPE4)*(TYPE4&lt;&gt;"")+('Dvd Calendar'!$U$302=SPECIAL_LBL)*(INC_SPECIALS="Y"))=0,"",'Dvd Calendar'!$U$300)))</f>
        <v/>
      </c>
      <c r="T38" s="161">
        <f>IF(EV38="","",IF(ISNUMBER('Dvd Calendar'!$V$300)=FALSE,"",IF((('Dvd Calendar'!$V$302=TYPE1)*(TYPE1&lt;&gt;"")+('Dvd Calendar'!$V$302=TYPE2)*(TYPE2&lt;&gt;"")+('Dvd Calendar'!$V$302=TYPE3)*(TYPE3&lt;&gt;"")+('Dvd Calendar'!$V$302=TYPE4)*(TYPE4&lt;&gt;"")+('Dvd Calendar'!$V$302=SPECIAL_LBL)*(INC_SPECIALS="Y"))=0,"",'Dvd Calendar'!$V$300)))</f>
        <v/>
      </c>
      <c r="U38" s="161">
        <f>IF(EW38="","",IF(ISNUMBER('Dvd Calendar'!$W$300)=FALSE,"",IF((('Dvd Calendar'!$W$302=TYPE1)*(TYPE1&lt;&gt;"")+('Dvd Calendar'!$W$302=TYPE2)*(TYPE2&lt;&gt;"")+('Dvd Calendar'!$W$302=TYPE3)*(TYPE3&lt;&gt;"")+('Dvd Calendar'!$W$302=TYPE4)*(TYPE4&lt;&gt;"")+('Dvd Calendar'!$W$302=SPECIAL_LBL)*(INC_SPECIALS="Y"))=0,"",'Dvd Calendar'!$W$300)))</f>
        <v/>
      </c>
      <c r="V38" s="161">
        <f>IF(EX38="","",IF(ISNUMBER('Dvd Calendar'!$X$300)=FALSE,"",IF((('Dvd Calendar'!$X$302=TYPE1)*(TYPE1&lt;&gt;"")+('Dvd Calendar'!$X$302=TYPE2)*(TYPE2&lt;&gt;"")+('Dvd Calendar'!$X$302=TYPE3)*(TYPE3&lt;&gt;"")+('Dvd Calendar'!$X$302=TYPE4)*(TYPE4&lt;&gt;"")+('Dvd Calendar'!$X$302=SPECIAL_LBL)*(INC_SPECIALS="Y"))=0,"",'Dvd Calendar'!$X$300)))</f>
        <v/>
      </c>
      <c r="W38" s="161">
        <f>IF(EY38="","",IF(ISNUMBER('Dvd Calendar'!$Y$300)=FALSE,"",IF((('Dvd Calendar'!$Y$302=TYPE1)*(TYPE1&lt;&gt;"")+('Dvd Calendar'!$Y$302=TYPE2)*(TYPE2&lt;&gt;"")+('Dvd Calendar'!$Y$302=TYPE3)*(TYPE3&lt;&gt;"")+('Dvd Calendar'!$Y$302=TYPE4)*(TYPE4&lt;&gt;"")+('Dvd Calendar'!$Y$302=SPECIAL_LBL)*(INC_SPECIALS="Y"))=0,"",'Dvd Calendar'!$Y$300)))</f>
        <v/>
      </c>
      <c r="X38" s="161">
        <f>IF(EZ38="","",IF(ISNUMBER('Dvd Calendar'!$Z$300)=FALSE,"",IF((('Dvd Calendar'!$Z$302=TYPE1)*(TYPE1&lt;&gt;"")+('Dvd Calendar'!$Z$302=TYPE2)*(TYPE2&lt;&gt;"")+('Dvd Calendar'!$Z$302=TYPE3)*(TYPE3&lt;&gt;"")+('Dvd Calendar'!$Z$302=TYPE4)*(TYPE4&lt;&gt;"")+('Dvd Calendar'!$Z$302=SPECIAL_LBL)*(INC_SPECIALS="Y"))=0,"",'Dvd Calendar'!$Z$300)))</f>
        <v/>
      </c>
      <c r="Y38" s="161">
        <f>IF(FA38="","",IF(ISNUMBER('Dvd Calendar'!$AA$300)=FALSE,"",IF((('Dvd Calendar'!$AA$302=TYPE1)*(TYPE1&lt;&gt;"")+('Dvd Calendar'!$AA$302=TYPE2)*(TYPE2&lt;&gt;"")+('Dvd Calendar'!$AA$302=TYPE3)*(TYPE3&lt;&gt;"")+('Dvd Calendar'!$AA$302=TYPE4)*(TYPE4&lt;&gt;"")+('Dvd Calendar'!$AA$302=SPECIAL_LBL)*(INC_SPECIALS="Y"))=0,"",'Dvd Calendar'!$AA$300)))</f>
        <v/>
      </c>
      <c r="Z38" s="161">
        <f>IF(FB38="","",IF(ISNUMBER('Dvd Calendar'!$AB$300)=FALSE,"",IF((('Dvd Calendar'!$AB$302=TYPE1)*(TYPE1&lt;&gt;"")+('Dvd Calendar'!$AB$302=TYPE2)*(TYPE2&lt;&gt;"")+('Dvd Calendar'!$AB$302=TYPE3)*(TYPE3&lt;&gt;"")+('Dvd Calendar'!$AB$302=TYPE4)*(TYPE4&lt;&gt;"")+('Dvd Calendar'!$AB$302=SPECIAL_LBL)*(INC_SPECIALS="Y"))=0,"",'Dvd Calendar'!$AB$300)))</f>
        <v/>
      </c>
      <c r="AA38" s="161">
        <f>IF(FC38="","",IF(ISNUMBER('Dvd Calendar'!$AC$300)=FALSE,"",IF((('Dvd Calendar'!$AC$302=TYPE1)*(TYPE1&lt;&gt;"")+('Dvd Calendar'!$AC$302=TYPE2)*(TYPE2&lt;&gt;"")+('Dvd Calendar'!$AC$302=TYPE3)*(TYPE3&lt;&gt;"")+('Dvd Calendar'!$AC$302=TYPE4)*(TYPE4&lt;&gt;"")+('Dvd Calendar'!$AC$302=SPECIAL_LBL)*(INC_SPECIALS="Y"))=0,"",'Dvd Calendar'!$AC$300)))</f>
        <v/>
      </c>
      <c r="AB38" s="161">
        <f>IF(FD38="","",IF(ISNUMBER('Dvd Calendar'!$AD$300)=FALSE,"",IF((('Dvd Calendar'!$AD$302=TYPE1)*(TYPE1&lt;&gt;"")+('Dvd Calendar'!$AD$302=TYPE2)*(TYPE2&lt;&gt;"")+('Dvd Calendar'!$AD$302=TYPE3)*(TYPE3&lt;&gt;"")+('Dvd Calendar'!$AD$302=TYPE4)*(TYPE4&lt;&gt;"")+('Dvd Calendar'!$AD$302=SPECIAL_LBL)*(INC_SPECIALS="Y"))=0,"",'Dvd Calendar'!$AD$300)))</f>
        <v/>
      </c>
      <c r="AC38" s="161">
        <f>IF(FE38="","",IF(ISNUMBER('Dvd Calendar'!$AE$300)=FALSE,"",IF((('Dvd Calendar'!$AE$302=TYPE1)*(TYPE1&lt;&gt;"")+('Dvd Calendar'!$AE$302=TYPE2)*(TYPE2&lt;&gt;"")+('Dvd Calendar'!$AE$302=TYPE3)*(TYPE3&lt;&gt;"")+('Dvd Calendar'!$AE$302=TYPE4)*(TYPE4&lt;&gt;"")+('Dvd Calendar'!$AE$302=SPECIAL_LBL)*(INC_SPECIALS="Y"))=0,"",'Dvd Calendar'!$AE$300)))</f>
        <v/>
      </c>
      <c r="AD38" s="161">
        <f>IF(FF38="","",IF(ISNUMBER('Dvd Calendar'!$AF$300)=FALSE,"",IF((('Dvd Calendar'!$AF$302=TYPE1)*(TYPE1&lt;&gt;"")+('Dvd Calendar'!$AF$302=TYPE2)*(TYPE2&lt;&gt;"")+('Dvd Calendar'!$AF$302=TYPE3)*(TYPE3&lt;&gt;"")+('Dvd Calendar'!$AF$302=TYPE4)*(TYPE4&lt;&gt;"")+('Dvd Calendar'!$AF$302=SPECIAL_LBL)*(INC_SPECIALS="Y"))=0,"",'Dvd Calendar'!$AF$300)))</f>
        <v/>
      </c>
      <c r="AE38" s="161">
        <f>IF(FG38="","",IF(ISNUMBER('Dvd Calendar'!$AG$300)=FALSE,"",IF((('Dvd Calendar'!$AG$302=TYPE1)*(TYPE1&lt;&gt;"")+('Dvd Calendar'!$AG$302=TYPE2)*(TYPE2&lt;&gt;"")+('Dvd Calendar'!$AG$302=TYPE3)*(TYPE3&lt;&gt;"")+('Dvd Calendar'!$AG$302=TYPE4)*(TYPE4&lt;&gt;"")+('Dvd Calendar'!$AG$302=SPECIAL_LBL)*(INC_SPECIALS="Y"))=0,"",'Dvd Calendar'!$AG$300)))</f>
        <v/>
      </c>
      <c r="AF38" s="161">
        <f>IF(FH38="","",IF(ISNUMBER('Dvd Calendar'!$AH$300)=FALSE,"",IF((('Dvd Calendar'!$AH$302=TYPE1)*(TYPE1&lt;&gt;"")+('Dvd Calendar'!$AH$302=TYPE2)*(TYPE2&lt;&gt;"")+('Dvd Calendar'!$AH$302=TYPE3)*(TYPE3&lt;&gt;"")+('Dvd Calendar'!$AH$302=TYPE4)*(TYPE4&lt;&gt;"")+('Dvd Calendar'!$AH$302=SPECIAL_LBL)*(INC_SPECIALS="Y"))=0,"",'Dvd Calendar'!$AH$300)))</f>
        <v/>
      </c>
      <c r="AG38" s="161">
        <f>IF(FI38="","",IF(ISNUMBER('Dvd Calendar'!$AI$300)=FALSE,"",IF((('Dvd Calendar'!$AI$302=TYPE1)*(TYPE1&lt;&gt;"")+('Dvd Calendar'!$AI$302=TYPE2)*(TYPE2&lt;&gt;"")+('Dvd Calendar'!$AI$302=TYPE3)*(TYPE3&lt;&gt;"")+('Dvd Calendar'!$AI$302=TYPE4)*(TYPE4&lt;&gt;"")+('Dvd Calendar'!$AI$302=SPECIAL_LBL)*(INC_SPECIALS="Y"))=0,"",'Dvd Calendar'!$AI$300)))</f>
        <v/>
      </c>
      <c r="AH38" s="161">
        <f>IF(FJ38="","",IF(ISNUMBER('Dvd Calendar'!$AJ$300)=FALSE,"",IF((('Dvd Calendar'!$AJ$302=TYPE1)*(TYPE1&lt;&gt;"")+('Dvd Calendar'!$AJ$302=TYPE2)*(TYPE2&lt;&gt;"")+('Dvd Calendar'!$AJ$302=TYPE3)*(TYPE3&lt;&gt;"")+('Dvd Calendar'!$AJ$302=TYPE4)*(TYPE4&lt;&gt;"")+('Dvd Calendar'!$AJ$302=SPECIAL_LBL)*(INC_SPECIALS="Y"))=0,"",'Dvd Calendar'!$AJ$300)))</f>
        <v/>
      </c>
      <c r="AI38" s="161">
        <f>IF(FK38="","",IF(ISNUMBER('Dvd Calendar'!$AK$300)=FALSE,"",IF((('Dvd Calendar'!$AK$302=TYPE1)*(TYPE1&lt;&gt;"")+('Dvd Calendar'!$AK$302=TYPE2)*(TYPE2&lt;&gt;"")+('Dvd Calendar'!$AK$302=TYPE3)*(TYPE3&lt;&gt;"")+('Dvd Calendar'!$AK$302=TYPE4)*(TYPE4&lt;&gt;"")+('Dvd Calendar'!$AK$302=SPECIAL_LBL)*(INC_SPECIALS="Y"))=0,"",'Dvd Calendar'!$AK$300)))</f>
        <v/>
      </c>
      <c r="AJ38" s="161">
        <f>IF(FL38="","",IF(ISNUMBER('Dvd Calendar'!$AL$300)=FALSE,"",IF((('Dvd Calendar'!$AL$302=TYPE1)*(TYPE1&lt;&gt;"")+('Dvd Calendar'!$AL$302=TYPE2)*(TYPE2&lt;&gt;"")+('Dvd Calendar'!$AL$302=TYPE3)*(TYPE3&lt;&gt;"")+('Dvd Calendar'!$AL$302=TYPE4)*(TYPE4&lt;&gt;"")+('Dvd Calendar'!$AL$302=SPECIAL_LBL)*(INC_SPECIALS="Y"))=0,"",'Dvd Calendar'!$AL$300)))</f>
        <v/>
      </c>
      <c r="AK38" s="161">
        <f>IF(FM38="","",IF(ISNUMBER('Dvd Calendar'!$AM$300)=FALSE,"",IF((('Dvd Calendar'!$AM$302=TYPE1)*(TYPE1&lt;&gt;"")+('Dvd Calendar'!$AM$302=TYPE2)*(TYPE2&lt;&gt;"")+('Dvd Calendar'!$AM$302=TYPE3)*(TYPE3&lt;&gt;"")+('Dvd Calendar'!$AM$302=TYPE4)*(TYPE4&lt;&gt;"")+('Dvd Calendar'!$AM$302=SPECIAL_LBL)*(INC_SPECIALS="Y"))=0,"",'Dvd Calendar'!$AM$300)))</f>
        <v/>
      </c>
      <c r="AL38" s="161">
        <f>IF(FN38="","",IF(ISNUMBER('Dvd Calendar'!$AN$300)=FALSE,"",IF((('Dvd Calendar'!$AN$302=TYPE1)*(TYPE1&lt;&gt;"")+('Dvd Calendar'!$AN$302=TYPE2)*(TYPE2&lt;&gt;"")+('Dvd Calendar'!$AN$302=TYPE3)*(TYPE3&lt;&gt;"")+('Dvd Calendar'!$AN$302=TYPE4)*(TYPE4&lt;&gt;"")+('Dvd Calendar'!$AN$302=SPECIAL_LBL)*(INC_SPECIALS="Y"))=0,"",'Dvd Calendar'!$AN$300)))</f>
        <v/>
      </c>
      <c r="AM38" s="161">
        <f>IF(FO38="","",IF(ISNUMBER('Dvd Calendar'!$AO$300)=FALSE,"",IF((('Dvd Calendar'!$AO$302=TYPE1)*(TYPE1&lt;&gt;"")+('Dvd Calendar'!$AO$302=TYPE2)*(TYPE2&lt;&gt;"")+('Dvd Calendar'!$AO$302=TYPE3)*(TYPE3&lt;&gt;"")+('Dvd Calendar'!$AO$302=TYPE4)*(TYPE4&lt;&gt;"")+('Dvd Calendar'!$AO$302=SPECIAL_LBL)*(INC_SPECIALS="Y"))=0,"",'Dvd Calendar'!$AO$300)))</f>
        <v/>
      </c>
      <c r="AN38" s="161">
        <f>IF(FP38="","",IF(ISNUMBER('Dvd Calendar'!$AP$300)=FALSE,"",IF((('Dvd Calendar'!$AP$302=TYPE1)*(TYPE1&lt;&gt;"")+('Dvd Calendar'!$AP$302=TYPE2)*(TYPE2&lt;&gt;"")+('Dvd Calendar'!$AP$302=TYPE3)*(TYPE3&lt;&gt;"")+('Dvd Calendar'!$AP$302=TYPE4)*(TYPE4&lt;&gt;"")+('Dvd Calendar'!$AP$302=SPECIAL_LBL)*(INC_SPECIALS="Y"))=0,"",'Dvd Calendar'!$AP$300)))</f>
        <v/>
      </c>
      <c r="AO38" s="161">
        <f>IF(FQ38="","",IF(ISNUMBER('Dvd Calendar'!$AQ$300)=FALSE,"",IF((('Dvd Calendar'!$AQ$302=TYPE1)*(TYPE1&lt;&gt;"")+('Dvd Calendar'!$AQ$302=TYPE2)*(TYPE2&lt;&gt;"")+('Dvd Calendar'!$AQ$302=TYPE3)*(TYPE3&lt;&gt;"")+('Dvd Calendar'!$AQ$302=TYPE4)*(TYPE4&lt;&gt;"")+('Dvd Calendar'!$AQ$302=SPECIAL_LBL)*(INC_SPECIALS="Y"))=0,"",'Dvd Calendar'!$AQ$300)))</f>
        <v/>
      </c>
      <c r="AP38" s="161">
        <f>IF(FR38="","",IF(ISNUMBER('Dvd Calendar'!$AR$300)=FALSE,"",IF((('Dvd Calendar'!$AR$302=TYPE1)*(TYPE1&lt;&gt;"")+('Dvd Calendar'!$AR$302=TYPE2)*(TYPE2&lt;&gt;"")+('Dvd Calendar'!$AR$302=TYPE3)*(TYPE3&lt;&gt;"")+('Dvd Calendar'!$AR$302=TYPE4)*(TYPE4&lt;&gt;"")+('Dvd Calendar'!$AR$302=SPECIAL_LBL)*(INC_SPECIALS="Y"))=0,"",'Dvd Calendar'!$AR$300)))</f>
        <v/>
      </c>
      <c r="AQ38" s="161">
        <f>IF(FS38="","",IF(ISNUMBER('Dvd Calendar'!$E$305)=FALSE,"",'Dvd Calendar'!$E$305))</f>
        <v/>
      </c>
      <c r="AR38" s="161">
        <f>IF(FT38="","",IF(ISNUMBER('Dvd Calendar'!$F$305)=FALSE,"",'Dvd Calendar'!$F$305))</f>
        <v/>
      </c>
      <c r="AS38" s="161">
        <f>IF(FU38="","",IF(ISNUMBER('Dvd Calendar'!$G$305)=FALSE,"",'Dvd Calendar'!$G$305))</f>
        <v/>
      </c>
      <c r="AT38" s="161">
        <f>IF(FV38="","",IF(ISNUMBER('Dvd Calendar'!$H$305)=FALSE,"",'Dvd Calendar'!$H$305))</f>
        <v/>
      </c>
      <c r="AU38" s="161">
        <f>IF(FW38="","",IF(ISNUMBER('Dvd Calendar'!$I$305)=FALSE,"",'Dvd Calendar'!$I$305))</f>
        <v/>
      </c>
      <c r="AV38" s="161">
        <f>IF(FX38="","",IF(ISNUMBER('Dvd Calendar'!$J$305)=FALSE,"",'Dvd Calendar'!$J$305))</f>
        <v/>
      </c>
      <c r="AW38" s="161">
        <f>IF(FY38="","",IF(ISNUMBER('Dvd Calendar'!$K$305)=FALSE,"",'Dvd Calendar'!$K$305))</f>
        <v/>
      </c>
      <c r="AX38" s="161">
        <f>IF(FZ38="","",IF(ISNUMBER('Dvd Calendar'!$L$305)=FALSE,"",'Dvd Calendar'!$L$305))</f>
        <v/>
      </c>
      <c r="AY38" s="161">
        <f>IF(GA38="","",IF(ISNUMBER('Dvd Calendar'!$M$305)=FALSE,"",'Dvd Calendar'!$M$305))</f>
        <v/>
      </c>
      <c r="AZ38" s="161">
        <f>IF(GB38="","",IF(ISNUMBER('Dvd Calendar'!$N$305)=FALSE,"",'Dvd Calendar'!$N$305))</f>
        <v/>
      </c>
      <c r="BA38" s="161">
        <f>IF(GC38="","",IF(ISNUMBER('Dvd Calendar'!$O$305)=FALSE,"",'Dvd Calendar'!$O$305))</f>
        <v/>
      </c>
      <c r="BB38" s="161">
        <f>IF(GD38="","",IF(ISNUMBER('Dvd Calendar'!$P$305)=FALSE,"",'Dvd Calendar'!$P$305))</f>
        <v/>
      </c>
      <c r="BC38" s="161">
        <f>IF(GE38="","",IF(ISNUMBER('Dvd Calendar'!$Q$305)=FALSE,"",'Dvd Calendar'!$Q$305))</f>
        <v/>
      </c>
      <c r="BD38" s="161">
        <f>IF(GF38="","",IF(ISNUMBER('Dvd Calendar'!$R$305)=FALSE,"",'Dvd Calendar'!$R$305))</f>
        <v/>
      </c>
      <c r="BE38" s="161">
        <f>IF(GG38="","",IF(ISNUMBER('Dvd Calendar'!$S$305)=FALSE,"",'Dvd Calendar'!$S$305))</f>
        <v/>
      </c>
      <c r="BF38" s="161">
        <f>IF(GH38="","",IF(ISNUMBER('Dvd Calendar'!$T$305)=FALSE,"",'Dvd Calendar'!$T$305))</f>
        <v/>
      </c>
      <c r="BG38" s="161">
        <f>IF(GI38="","",IF(ISNUMBER('Dvd Calendar'!$U$305)=FALSE,"",'Dvd Calendar'!$U$305))</f>
        <v/>
      </c>
      <c r="BH38" s="161">
        <f>IF(GJ38="","",IF(ISNUMBER('Dvd Calendar'!$V$305)=FALSE,"",'Dvd Calendar'!$V$305))</f>
        <v/>
      </c>
      <c r="BI38" s="161">
        <f>IF(GK38="","",IF(ISNUMBER('Dvd Calendar'!$W$305)=FALSE,"",'Dvd Calendar'!$W$305))</f>
        <v/>
      </c>
      <c r="BJ38" s="161">
        <f>IF(GL38="","",IF(ISNUMBER('Dvd Calendar'!$X$305)=FALSE,"",'Dvd Calendar'!$X$305))</f>
        <v/>
      </c>
      <c r="BK38" s="161">
        <f>IF(GM38="","",IF(ISNUMBER('Dvd Calendar'!$Y$305)=FALSE,"",'Dvd Calendar'!$Y$305))</f>
        <v/>
      </c>
      <c r="BL38" s="161">
        <f>IF(GN38="","",IF(ISNUMBER('Dvd Calendar'!$Z$305)=FALSE,"",'Dvd Calendar'!$Z$305))</f>
        <v/>
      </c>
      <c r="BM38" s="161">
        <f>IF(GO38="","",IF(ISNUMBER('Dvd Calendar'!$AA$305)=FALSE,"",'Dvd Calendar'!$AA$305))</f>
        <v/>
      </c>
      <c r="BN38" s="161">
        <f>IF(GP38="","",IF(ISNUMBER('Dvd Calendar'!$AB$305)=FALSE,"",'Dvd Calendar'!$AB$305))</f>
        <v/>
      </c>
      <c r="BO38" s="161">
        <f>IF(GQ38="","",IF(ISNUMBER('Dvd Calendar'!$AC$305)=FALSE,"",'Dvd Calendar'!$AC$305))</f>
        <v/>
      </c>
      <c r="BQ38" s="161">
        <f>IF(C38="","",IFERROR(C38*HSI!$B$33*HSI!$G$33/HSI!$B$3,""))</f>
        <v/>
      </c>
      <c r="BR38" s="161">
        <f>IF(D38="","",IFERROR(D38*HSI!$B$33*HSI!$G$33/HSI!$B$3,""))</f>
        <v/>
      </c>
      <c r="BS38" s="161">
        <f>IF(E38="","",IFERROR(E38*HSI!$B$33*HSI!$G$33/HSI!$B$3,""))</f>
        <v/>
      </c>
      <c r="BT38" s="161">
        <f>IF(F38="","",IFERROR(F38*HSI!$B$33*HSI!$G$33/HSI!$B$3,""))</f>
        <v/>
      </c>
      <c r="BU38" s="161">
        <f>IF(G38="","",IFERROR(G38*HSI!$B$33*HSI!$G$33/HSI!$B$3,""))</f>
        <v/>
      </c>
      <c r="BV38" s="161">
        <f>IF(H38="","",IFERROR(H38*HSI!$B$33*HSI!$G$33/HSI!$B$3,""))</f>
        <v/>
      </c>
      <c r="BW38" s="161">
        <f>IF(I38="","",IFERROR(I38*HSI!$B$33*HSI!$G$33/HSI!$B$3,""))</f>
        <v/>
      </c>
      <c r="BX38" s="161">
        <f>IF(J38="","",IFERROR(J38*HSI!$B$33*HSI!$G$33/HSI!$B$3,""))</f>
        <v/>
      </c>
      <c r="BY38" s="161">
        <f>IF(K38="","",IFERROR(K38*HSI!$B$33*HSI!$G$33/HSI!$B$3,""))</f>
        <v/>
      </c>
      <c r="BZ38" s="161">
        <f>IF(L38="","",IFERROR(L38*HSI!$B$33*HSI!$G$33/HSI!$B$3,""))</f>
        <v/>
      </c>
      <c r="CA38" s="161">
        <f>IF(M38="","",IFERROR(M38*HSI!$B$33*HSI!$G$33/HSI!$B$3,""))</f>
        <v/>
      </c>
      <c r="CB38" s="161">
        <f>IF(N38="","",IFERROR(N38*HSI!$B$33*HSI!$G$33/HSI!$B$3,""))</f>
        <v/>
      </c>
      <c r="CC38" s="161">
        <f>IF(O38="","",IFERROR(O38*HSI!$B$33*HSI!$G$33/HSI!$B$3,""))</f>
        <v/>
      </c>
      <c r="CD38" s="161">
        <f>IF(P38="","",IFERROR(P38*HSI!$B$33*HSI!$G$33/HSI!$B$3,""))</f>
        <v/>
      </c>
      <c r="CE38" s="161">
        <f>IF(Q38="","",IFERROR(Q38*HSI!$B$33*HSI!$G$33/HSI!$B$3,""))</f>
        <v/>
      </c>
      <c r="CF38" s="161">
        <f>IF(R38="","",IFERROR(R38*HSI!$B$33*HSI!$G$33/HSI!$B$3,""))</f>
        <v/>
      </c>
      <c r="CG38" s="161">
        <f>IF(S38="","",IFERROR(S38*HSI!$B$33*HSI!$G$33/HSI!$B$3,""))</f>
        <v/>
      </c>
      <c r="CH38" s="161">
        <f>IF(T38="","",IFERROR(T38*HSI!$B$33*HSI!$G$33/HSI!$B$3,""))</f>
        <v/>
      </c>
      <c r="CI38" s="161">
        <f>IF(U38="","",IFERROR(U38*HSI!$B$33*HSI!$G$33/HSI!$B$3,""))</f>
        <v/>
      </c>
      <c r="CJ38" s="161">
        <f>IF(V38="","",IFERROR(V38*HSI!$B$33*HSI!$G$33/HSI!$B$3,""))</f>
        <v/>
      </c>
      <c r="CK38" s="161">
        <f>IF(W38="","",IFERROR(W38*HSI!$B$33*HSI!$G$33/HSI!$B$3,""))</f>
        <v/>
      </c>
      <c r="CL38" s="161">
        <f>IF(X38="","",IFERROR(X38*HSI!$B$33*HSI!$G$33/HSI!$B$3,""))</f>
        <v/>
      </c>
      <c r="CM38" s="161">
        <f>IF(Y38="","",IFERROR(Y38*HSI!$B$33*HSI!$G$33/HSI!$B$3,""))</f>
        <v/>
      </c>
      <c r="CN38" s="161">
        <f>IF(Z38="","",IFERROR(Z38*HSI!$B$33*HSI!$G$33/HSI!$B$3,""))</f>
        <v/>
      </c>
      <c r="CO38" s="161">
        <f>IF(AA38="","",IFERROR(AA38*HSI!$B$33*HSI!$G$33/HSI!$B$3,""))</f>
        <v/>
      </c>
      <c r="CP38" s="161">
        <f>IF(AB38="","",IFERROR(AB38*HSI!$B$33*HSI!$G$33/HSI!$B$3,""))</f>
        <v/>
      </c>
      <c r="CQ38" s="161">
        <f>IF(AC38="","",IFERROR(AC38*HSI!$B$33*HSI!$G$33/HSI!$B$3,""))</f>
        <v/>
      </c>
      <c r="CR38" s="161">
        <f>IF(AD38="","",IFERROR(AD38*HSI!$B$33*HSI!$G$33/HSI!$B$3,""))</f>
        <v/>
      </c>
      <c r="CS38" s="161">
        <f>IF(AE38="","",IFERROR(AE38*HSI!$B$33*HSI!$G$33/HSI!$B$3,""))</f>
        <v/>
      </c>
      <c r="CT38" s="161">
        <f>IF(AF38="","",IFERROR(AF38*HSI!$B$33*HSI!$G$33/HSI!$B$3,""))</f>
        <v/>
      </c>
      <c r="CU38" s="161">
        <f>IF(AG38="","",IFERROR(AG38*HSI!$B$33*HSI!$G$33/HSI!$B$3,""))</f>
        <v/>
      </c>
      <c r="CV38" s="161">
        <f>IF(AH38="","",IFERROR(AH38*HSI!$B$33*HSI!$G$33/HSI!$B$3,""))</f>
        <v/>
      </c>
      <c r="CW38" s="161">
        <f>IF(AI38="","",IFERROR(AI38*HSI!$B$33*HSI!$G$33/HSI!$B$3,""))</f>
        <v/>
      </c>
      <c r="CX38" s="161">
        <f>IF(AJ38="","",IFERROR(AJ38*HSI!$B$33*HSI!$G$33/HSI!$B$3,""))</f>
        <v/>
      </c>
      <c r="CY38" s="161">
        <f>IF(AK38="","",IFERROR(AK38*HSI!$B$33*HSI!$G$33/HSI!$B$3,""))</f>
        <v/>
      </c>
      <c r="CZ38" s="161">
        <f>IF(AL38="","",IFERROR(AL38*HSI!$B$33*HSI!$G$33/HSI!$B$3,""))</f>
        <v/>
      </c>
      <c r="DA38" s="161">
        <f>IF(AM38="","",IFERROR(AM38*HSI!$B$33*HSI!$G$33/HSI!$B$3,""))</f>
        <v/>
      </c>
      <c r="DB38" s="161">
        <f>IF(AN38="","",IFERROR(AN38*HSI!$B$33*HSI!$G$33/HSI!$B$3,""))</f>
        <v/>
      </c>
      <c r="DC38" s="161">
        <f>IF(AO38="","",IFERROR(AO38*HSI!$B$33*HSI!$G$33/HSI!$B$3,""))</f>
        <v/>
      </c>
      <c r="DD38" s="161">
        <f>IF(AP38="","",IFERROR(AP38*HSI!$B$33*HSI!$G$33/HSI!$B$3,""))</f>
        <v/>
      </c>
      <c r="DE38" s="161">
        <f>IF(AQ38="","",IFERROR(AQ38*HSI!$B$33*HSI!$G$33/HSI!$B$3,""))</f>
        <v/>
      </c>
      <c r="DF38" s="161">
        <f>IF(AR38="","",IFERROR(AR38*HSI!$B$33*HSI!$G$33/HSI!$B$3,""))</f>
        <v/>
      </c>
      <c r="DG38" s="161">
        <f>IF(AS38="","",IFERROR(AS38*HSI!$B$33*HSI!$G$33/HSI!$B$3,""))</f>
        <v/>
      </c>
      <c r="DH38" s="161">
        <f>IF(AT38="","",IFERROR(AT38*HSI!$B$33*HSI!$G$33/HSI!$B$3,""))</f>
        <v/>
      </c>
      <c r="DI38" s="161">
        <f>IF(AU38="","",IFERROR(AU38*HSI!$B$33*HSI!$G$33/HSI!$B$3,""))</f>
        <v/>
      </c>
      <c r="DJ38" s="161">
        <f>IF(AV38="","",IFERROR(AV38*HSI!$B$33*HSI!$G$33/HSI!$B$3,""))</f>
        <v/>
      </c>
      <c r="DK38" s="161">
        <f>IF(AW38="","",IFERROR(AW38*HSI!$B$33*HSI!$G$33/HSI!$B$3,""))</f>
        <v/>
      </c>
      <c r="DL38" s="161">
        <f>IF(AX38="","",IFERROR(AX38*HSI!$B$33*HSI!$G$33/HSI!$B$3,""))</f>
        <v/>
      </c>
      <c r="DM38" s="161">
        <f>IF(AY38="","",IFERROR(AY38*HSI!$B$33*HSI!$G$33/HSI!$B$3,""))</f>
        <v/>
      </c>
      <c r="DN38" s="161">
        <f>IF(AZ38="","",IFERROR(AZ38*HSI!$B$33*HSI!$G$33/HSI!$B$3,""))</f>
        <v/>
      </c>
      <c r="DO38" s="161">
        <f>IF(BA38="","",IFERROR(BA38*HSI!$B$33*HSI!$G$33/HSI!$B$3,""))</f>
        <v/>
      </c>
      <c r="DP38" s="161">
        <f>IF(BB38="","",IFERROR(BB38*HSI!$B$33*HSI!$G$33/HSI!$B$3,""))</f>
        <v/>
      </c>
      <c r="DQ38" s="161">
        <f>IF(BC38="","",IFERROR(BC38*HSI!$B$33*HSI!$G$33/HSI!$B$3,""))</f>
        <v/>
      </c>
      <c r="DR38" s="161">
        <f>IF(BD38="","",IFERROR(BD38*HSI!$B$33*HSI!$G$33/HSI!$B$3,""))</f>
        <v/>
      </c>
      <c r="DS38" s="161">
        <f>IF(BE38="","",IFERROR(BE38*HSI!$B$33*HSI!$G$33/HSI!$B$3,""))</f>
        <v/>
      </c>
      <c r="DT38" s="161">
        <f>IF(BF38="","",IFERROR(BF38*HSI!$B$33*HSI!$G$33/HSI!$B$3,""))</f>
        <v/>
      </c>
      <c r="DU38" s="161">
        <f>IF(BG38="","",IFERROR(BG38*HSI!$B$33*HSI!$G$33/HSI!$B$3,""))</f>
        <v/>
      </c>
      <c r="DV38" s="161">
        <f>IF(BH38="","",IFERROR(BH38*HSI!$B$33*HSI!$G$33/HSI!$B$3,""))</f>
        <v/>
      </c>
      <c r="DW38" s="161">
        <f>IF(BI38="","",IFERROR(BI38*HSI!$B$33*HSI!$G$33/HSI!$B$3,""))</f>
        <v/>
      </c>
      <c r="DX38" s="161">
        <f>IF(BJ38="","",IFERROR(BJ38*HSI!$B$33*HSI!$G$33/HSI!$B$3,""))</f>
        <v/>
      </c>
      <c r="DY38" s="161">
        <f>IF(BK38="","",IFERROR(BK38*HSI!$B$33*HSI!$G$33/HSI!$B$3,""))</f>
        <v/>
      </c>
      <c r="DZ38" s="161">
        <f>IF(BL38="","",IFERROR(BL38*HSI!$B$33*HSI!$G$33/HSI!$B$3,""))</f>
        <v/>
      </c>
      <c r="EA38" s="161">
        <f>IF(BM38="","",IFERROR(BM38*HSI!$B$33*HSI!$G$33/HSI!$B$3,""))</f>
        <v/>
      </c>
      <c r="EB38" s="161">
        <f>IF(BN38="","",IFERROR(BN38*HSI!$B$33*HSI!$G$33/HSI!$B$3,""))</f>
        <v/>
      </c>
      <c r="EC38" s="161">
        <f>IF(BO38="","",IFERROR(BO38*HSI!$B$33*HSI!$G$33/HSI!$B$3,""))</f>
        <v/>
      </c>
      <c r="EE38" s="121">
        <f>IF(N('Dvd Calendar'!$E$297)=0,"",IF(('Dvd Calendar'!$E$297&gt;=GRID_FROM)*('Dvd Calendar'!$E$297&lt;=GRID_TO)*((('Dvd Calendar'!$E$297&lt;=VAL_DATE)+(COUNTIF('Dvd Calendar'!$E$304:$AR$304,'Dvd Calendar'!$E$297)=0))&gt;0)=0,"",'Dvd Calendar'!$E$297*1000000000+ISNUMBER('Dvd Calendar'!$E$300)*100000000+('Dvd Calendar'!$E$302=SPECIAL_LBL)*10000000+(N('Dvd Calendar'!$E$296)&gt;0)*(N('Dvd Calendar'!$E$296)&lt;=VAL_SERIAL)*1000000+27*1000+1))</f>
        <v/>
      </c>
      <c r="EF38" s="121">
        <f>IF(N('Dvd Calendar'!$F$297)=0,"",IF(('Dvd Calendar'!$F$297&gt;=GRID_FROM)*('Dvd Calendar'!$F$297&lt;=GRID_TO)*((('Dvd Calendar'!$F$297&lt;=VAL_DATE)+(COUNTIF('Dvd Calendar'!$E$304:$AR$304,'Dvd Calendar'!$F$297)=0))&gt;0)=0,"",'Dvd Calendar'!$F$297*1000000000+ISNUMBER('Dvd Calendar'!$F$300)*100000000+('Dvd Calendar'!$F$302=SPECIAL_LBL)*10000000+(N('Dvd Calendar'!$F$296)&gt;0)*(N('Dvd Calendar'!$F$296)&lt;=VAL_SERIAL)*1000000+27*1000+2))</f>
        <v/>
      </c>
      <c r="EG38" s="121">
        <f>IF(N('Dvd Calendar'!$G$297)=0,"",IF(('Dvd Calendar'!$G$297&gt;=GRID_FROM)*('Dvd Calendar'!$G$297&lt;=GRID_TO)*((('Dvd Calendar'!$G$297&lt;=VAL_DATE)+(COUNTIF('Dvd Calendar'!$E$304:$AR$304,'Dvd Calendar'!$G$297)=0))&gt;0)=0,"",'Dvd Calendar'!$G$297*1000000000+ISNUMBER('Dvd Calendar'!$G$300)*100000000+('Dvd Calendar'!$G$302=SPECIAL_LBL)*10000000+(N('Dvd Calendar'!$G$296)&gt;0)*(N('Dvd Calendar'!$G$296)&lt;=VAL_SERIAL)*1000000+27*1000+3))</f>
        <v/>
      </c>
      <c r="EH38" s="121">
        <f>IF(N('Dvd Calendar'!$H$297)=0,"",IF(('Dvd Calendar'!$H$297&gt;=GRID_FROM)*('Dvd Calendar'!$H$297&lt;=GRID_TO)*((('Dvd Calendar'!$H$297&lt;=VAL_DATE)+(COUNTIF('Dvd Calendar'!$E$304:$AR$304,'Dvd Calendar'!$H$297)=0))&gt;0)=0,"",'Dvd Calendar'!$H$297*1000000000+ISNUMBER('Dvd Calendar'!$H$300)*100000000+('Dvd Calendar'!$H$302=SPECIAL_LBL)*10000000+(N('Dvd Calendar'!$H$296)&gt;0)*(N('Dvd Calendar'!$H$296)&lt;=VAL_SERIAL)*1000000+27*1000+4))</f>
        <v/>
      </c>
      <c r="EI38" s="121">
        <f>IF(N('Dvd Calendar'!$I$297)=0,"",IF(('Dvd Calendar'!$I$297&gt;=GRID_FROM)*('Dvd Calendar'!$I$297&lt;=GRID_TO)*((('Dvd Calendar'!$I$297&lt;=VAL_DATE)+(COUNTIF('Dvd Calendar'!$E$304:$AR$304,'Dvd Calendar'!$I$297)=0))&gt;0)=0,"",'Dvd Calendar'!$I$297*1000000000+ISNUMBER('Dvd Calendar'!$I$300)*100000000+('Dvd Calendar'!$I$302=SPECIAL_LBL)*10000000+(N('Dvd Calendar'!$I$296)&gt;0)*(N('Dvd Calendar'!$I$296)&lt;=VAL_SERIAL)*1000000+27*1000+5))</f>
        <v/>
      </c>
      <c r="EJ38" s="121">
        <f>IF(N('Dvd Calendar'!$J$297)=0,"",IF(('Dvd Calendar'!$J$297&gt;=GRID_FROM)*('Dvd Calendar'!$J$297&lt;=GRID_TO)*((('Dvd Calendar'!$J$297&lt;=VAL_DATE)+(COUNTIF('Dvd Calendar'!$E$304:$AR$304,'Dvd Calendar'!$J$297)=0))&gt;0)=0,"",'Dvd Calendar'!$J$297*1000000000+ISNUMBER('Dvd Calendar'!$J$300)*100000000+('Dvd Calendar'!$J$302=SPECIAL_LBL)*10000000+(N('Dvd Calendar'!$J$296)&gt;0)*(N('Dvd Calendar'!$J$296)&lt;=VAL_SERIAL)*1000000+27*1000+6))</f>
        <v/>
      </c>
      <c r="EK38" s="121">
        <f>IF(N('Dvd Calendar'!$K$297)=0,"",IF(('Dvd Calendar'!$K$297&gt;=GRID_FROM)*('Dvd Calendar'!$K$297&lt;=GRID_TO)*((('Dvd Calendar'!$K$297&lt;=VAL_DATE)+(COUNTIF('Dvd Calendar'!$E$304:$AR$304,'Dvd Calendar'!$K$297)=0))&gt;0)=0,"",'Dvd Calendar'!$K$297*1000000000+ISNUMBER('Dvd Calendar'!$K$300)*100000000+('Dvd Calendar'!$K$302=SPECIAL_LBL)*10000000+(N('Dvd Calendar'!$K$296)&gt;0)*(N('Dvd Calendar'!$K$296)&lt;=VAL_SERIAL)*1000000+27*1000+7))</f>
        <v/>
      </c>
      <c r="EL38" s="121">
        <f>IF(N('Dvd Calendar'!$L$297)=0,"",IF(('Dvd Calendar'!$L$297&gt;=GRID_FROM)*('Dvd Calendar'!$L$297&lt;=GRID_TO)*((('Dvd Calendar'!$L$297&lt;=VAL_DATE)+(COUNTIF('Dvd Calendar'!$E$304:$AR$304,'Dvd Calendar'!$L$297)=0))&gt;0)=0,"",'Dvd Calendar'!$L$297*1000000000+ISNUMBER('Dvd Calendar'!$L$300)*100000000+('Dvd Calendar'!$L$302=SPECIAL_LBL)*10000000+(N('Dvd Calendar'!$L$296)&gt;0)*(N('Dvd Calendar'!$L$296)&lt;=VAL_SERIAL)*1000000+27*1000+8))</f>
        <v/>
      </c>
      <c r="EM38" s="121">
        <f>IF(N('Dvd Calendar'!$M$297)=0,"",IF(('Dvd Calendar'!$M$297&gt;=GRID_FROM)*('Dvd Calendar'!$M$297&lt;=GRID_TO)*((('Dvd Calendar'!$M$297&lt;=VAL_DATE)+(COUNTIF('Dvd Calendar'!$E$304:$AR$304,'Dvd Calendar'!$M$297)=0))&gt;0)=0,"",'Dvd Calendar'!$M$297*1000000000+ISNUMBER('Dvd Calendar'!$M$300)*100000000+('Dvd Calendar'!$M$302=SPECIAL_LBL)*10000000+(N('Dvd Calendar'!$M$296)&gt;0)*(N('Dvd Calendar'!$M$296)&lt;=VAL_SERIAL)*1000000+27*1000+9))</f>
        <v/>
      </c>
      <c r="EN38" s="121">
        <f>IF(N('Dvd Calendar'!$N$297)=0,"",IF(('Dvd Calendar'!$N$297&gt;=GRID_FROM)*('Dvd Calendar'!$N$297&lt;=GRID_TO)*((('Dvd Calendar'!$N$297&lt;=VAL_DATE)+(COUNTIF('Dvd Calendar'!$E$304:$AR$304,'Dvd Calendar'!$N$297)=0))&gt;0)=0,"",'Dvd Calendar'!$N$297*1000000000+ISNUMBER('Dvd Calendar'!$N$300)*100000000+('Dvd Calendar'!$N$302=SPECIAL_LBL)*10000000+(N('Dvd Calendar'!$N$296)&gt;0)*(N('Dvd Calendar'!$N$296)&lt;=VAL_SERIAL)*1000000+27*1000+10))</f>
        <v/>
      </c>
      <c r="EO38" s="121">
        <f>IF(N('Dvd Calendar'!$O$297)=0,"",IF(('Dvd Calendar'!$O$297&gt;=GRID_FROM)*('Dvd Calendar'!$O$297&lt;=GRID_TO)*((('Dvd Calendar'!$O$297&lt;=VAL_DATE)+(COUNTIF('Dvd Calendar'!$E$304:$AR$304,'Dvd Calendar'!$O$297)=0))&gt;0)=0,"",'Dvd Calendar'!$O$297*1000000000+ISNUMBER('Dvd Calendar'!$O$300)*100000000+('Dvd Calendar'!$O$302=SPECIAL_LBL)*10000000+(N('Dvd Calendar'!$O$296)&gt;0)*(N('Dvd Calendar'!$O$296)&lt;=VAL_SERIAL)*1000000+27*1000+11))</f>
        <v/>
      </c>
      <c r="EP38" s="121">
        <f>IF(N('Dvd Calendar'!$P$297)=0,"",IF(('Dvd Calendar'!$P$297&gt;=GRID_FROM)*('Dvd Calendar'!$P$297&lt;=GRID_TO)*((('Dvd Calendar'!$P$297&lt;=VAL_DATE)+(COUNTIF('Dvd Calendar'!$E$304:$AR$304,'Dvd Calendar'!$P$297)=0))&gt;0)=0,"",'Dvd Calendar'!$P$297*1000000000+ISNUMBER('Dvd Calendar'!$P$300)*100000000+('Dvd Calendar'!$P$302=SPECIAL_LBL)*10000000+(N('Dvd Calendar'!$P$296)&gt;0)*(N('Dvd Calendar'!$P$296)&lt;=VAL_SERIAL)*1000000+27*1000+12))</f>
        <v/>
      </c>
      <c r="EQ38" s="121">
        <f>IF(N('Dvd Calendar'!$Q$297)=0,"",IF(('Dvd Calendar'!$Q$297&gt;=GRID_FROM)*('Dvd Calendar'!$Q$297&lt;=GRID_TO)*((('Dvd Calendar'!$Q$297&lt;=VAL_DATE)+(COUNTIF('Dvd Calendar'!$E$304:$AR$304,'Dvd Calendar'!$Q$297)=0))&gt;0)=0,"",'Dvd Calendar'!$Q$297*1000000000+ISNUMBER('Dvd Calendar'!$Q$300)*100000000+('Dvd Calendar'!$Q$302=SPECIAL_LBL)*10000000+(N('Dvd Calendar'!$Q$296)&gt;0)*(N('Dvd Calendar'!$Q$296)&lt;=VAL_SERIAL)*1000000+27*1000+13))</f>
        <v/>
      </c>
      <c r="ER38" s="121">
        <f>IF(N('Dvd Calendar'!$R$297)=0,"",IF(('Dvd Calendar'!$R$297&gt;=GRID_FROM)*('Dvd Calendar'!$R$297&lt;=GRID_TO)*((('Dvd Calendar'!$R$297&lt;=VAL_DATE)+(COUNTIF('Dvd Calendar'!$E$304:$AR$304,'Dvd Calendar'!$R$297)=0))&gt;0)=0,"",'Dvd Calendar'!$R$297*1000000000+ISNUMBER('Dvd Calendar'!$R$300)*100000000+('Dvd Calendar'!$R$302=SPECIAL_LBL)*10000000+(N('Dvd Calendar'!$R$296)&gt;0)*(N('Dvd Calendar'!$R$296)&lt;=VAL_SERIAL)*1000000+27*1000+14))</f>
        <v/>
      </c>
      <c r="ES38" s="121">
        <f>IF(N('Dvd Calendar'!$S$297)=0,"",IF(('Dvd Calendar'!$S$297&gt;=GRID_FROM)*('Dvd Calendar'!$S$297&lt;=GRID_TO)*((('Dvd Calendar'!$S$297&lt;=VAL_DATE)+(COUNTIF('Dvd Calendar'!$E$304:$AR$304,'Dvd Calendar'!$S$297)=0))&gt;0)=0,"",'Dvd Calendar'!$S$297*1000000000+ISNUMBER('Dvd Calendar'!$S$300)*100000000+('Dvd Calendar'!$S$302=SPECIAL_LBL)*10000000+(N('Dvd Calendar'!$S$296)&gt;0)*(N('Dvd Calendar'!$S$296)&lt;=VAL_SERIAL)*1000000+27*1000+15))</f>
        <v/>
      </c>
      <c r="ET38" s="121">
        <f>IF(N('Dvd Calendar'!$T$297)=0,"",IF(('Dvd Calendar'!$T$297&gt;=GRID_FROM)*('Dvd Calendar'!$T$297&lt;=GRID_TO)*((('Dvd Calendar'!$T$297&lt;=VAL_DATE)+(COUNTIF('Dvd Calendar'!$E$304:$AR$304,'Dvd Calendar'!$T$297)=0))&gt;0)=0,"",'Dvd Calendar'!$T$297*1000000000+ISNUMBER('Dvd Calendar'!$T$300)*100000000+('Dvd Calendar'!$T$302=SPECIAL_LBL)*10000000+(N('Dvd Calendar'!$T$296)&gt;0)*(N('Dvd Calendar'!$T$296)&lt;=VAL_SERIAL)*1000000+27*1000+16))</f>
        <v/>
      </c>
      <c r="EU38" s="121">
        <f>IF(N('Dvd Calendar'!$U$297)=0,"",IF(('Dvd Calendar'!$U$297&gt;=GRID_FROM)*('Dvd Calendar'!$U$297&lt;=GRID_TO)*((('Dvd Calendar'!$U$297&lt;=VAL_DATE)+(COUNTIF('Dvd Calendar'!$E$304:$AR$304,'Dvd Calendar'!$U$297)=0))&gt;0)=0,"",'Dvd Calendar'!$U$297*1000000000+ISNUMBER('Dvd Calendar'!$U$300)*100000000+('Dvd Calendar'!$U$302=SPECIAL_LBL)*10000000+(N('Dvd Calendar'!$U$296)&gt;0)*(N('Dvd Calendar'!$U$296)&lt;=VAL_SERIAL)*1000000+27*1000+17))</f>
        <v/>
      </c>
      <c r="EV38" s="121">
        <f>IF(N('Dvd Calendar'!$V$297)=0,"",IF(('Dvd Calendar'!$V$297&gt;=GRID_FROM)*('Dvd Calendar'!$V$297&lt;=GRID_TO)*((('Dvd Calendar'!$V$297&lt;=VAL_DATE)+(COUNTIF('Dvd Calendar'!$E$304:$AR$304,'Dvd Calendar'!$V$297)=0))&gt;0)=0,"",'Dvd Calendar'!$V$297*1000000000+ISNUMBER('Dvd Calendar'!$V$300)*100000000+('Dvd Calendar'!$V$302=SPECIAL_LBL)*10000000+(N('Dvd Calendar'!$V$296)&gt;0)*(N('Dvd Calendar'!$V$296)&lt;=VAL_SERIAL)*1000000+27*1000+18))</f>
        <v/>
      </c>
      <c r="EW38" s="121">
        <f>IF(N('Dvd Calendar'!$W$297)=0,"",IF(('Dvd Calendar'!$W$297&gt;=GRID_FROM)*('Dvd Calendar'!$W$297&lt;=GRID_TO)*((('Dvd Calendar'!$W$297&lt;=VAL_DATE)+(COUNTIF('Dvd Calendar'!$E$304:$AR$304,'Dvd Calendar'!$W$297)=0))&gt;0)=0,"",'Dvd Calendar'!$W$297*1000000000+ISNUMBER('Dvd Calendar'!$W$300)*100000000+('Dvd Calendar'!$W$302=SPECIAL_LBL)*10000000+(N('Dvd Calendar'!$W$296)&gt;0)*(N('Dvd Calendar'!$W$296)&lt;=VAL_SERIAL)*1000000+27*1000+19))</f>
        <v/>
      </c>
      <c r="EX38" s="121">
        <f>IF(N('Dvd Calendar'!$X$297)=0,"",IF(('Dvd Calendar'!$X$297&gt;=GRID_FROM)*('Dvd Calendar'!$X$297&lt;=GRID_TO)*((('Dvd Calendar'!$X$297&lt;=VAL_DATE)+(COUNTIF('Dvd Calendar'!$E$304:$AR$304,'Dvd Calendar'!$X$297)=0))&gt;0)=0,"",'Dvd Calendar'!$X$297*1000000000+ISNUMBER('Dvd Calendar'!$X$300)*100000000+('Dvd Calendar'!$X$302=SPECIAL_LBL)*10000000+(N('Dvd Calendar'!$X$296)&gt;0)*(N('Dvd Calendar'!$X$296)&lt;=VAL_SERIAL)*1000000+27*1000+20))</f>
        <v/>
      </c>
      <c r="EY38" s="121">
        <f>IF(N('Dvd Calendar'!$Y$297)=0,"",IF(('Dvd Calendar'!$Y$297&gt;=GRID_FROM)*('Dvd Calendar'!$Y$297&lt;=GRID_TO)*((('Dvd Calendar'!$Y$297&lt;=VAL_DATE)+(COUNTIF('Dvd Calendar'!$E$304:$AR$304,'Dvd Calendar'!$Y$297)=0))&gt;0)=0,"",'Dvd Calendar'!$Y$297*1000000000+ISNUMBER('Dvd Calendar'!$Y$300)*100000000+('Dvd Calendar'!$Y$302=SPECIAL_LBL)*10000000+(N('Dvd Calendar'!$Y$296)&gt;0)*(N('Dvd Calendar'!$Y$296)&lt;=VAL_SERIAL)*1000000+27*1000+21))</f>
        <v/>
      </c>
      <c r="EZ38" s="121">
        <f>IF(N('Dvd Calendar'!$Z$297)=0,"",IF(('Dvd Calendar'!$Z$297&gt;=GRID_FROM)*('Dvd Calendar'!$Z$297&lt;=GRID_TO)*((('Dvd Calendar'!$Z$297&lt;=VAL_DATE)+(COUNTIF('Dvd Calendar'!$E$304:$AR$304,'Dvd Calendar'!$Z$297)=0))&gt;0)=0,"",'Dvd Calendar'!$Z$297*1000000000+ISNUMBER('Dvd Calendar'!$Z$300)*100000000+('Dvd Calendar'!$Z$302=SPECIAL_LBL)*10000000+(N('Dvd Calendar'!$Z$296)&gt;0)*(N('Dvd Calendar'!$Z$296)&lt;=VAL_SERIAL)*1000000+27*1000+22))</f>
        <v/>
      </c>
      <c r="FA38" s="121">
        <f>IF(N('Dvd Calendar'!$AA$297)=0,"",IF(('Dvd Calendar'!$AA$297&gt;=GRID_FROM)*('Dvd Calendar'!$AA$297&lt;=GRID_TO)*((('Dvd Calendar'!$AA$297&lt;=VAL_DATE)+(COUNTIF('Dvd Calendar'!$E$304:$AR$304,'Dvd Calendar'!$AA$297)=0))&gt;0)=0,"",'Dvd Calendar'!$AA$297*1000000000+ISNUMBER('Dvd Calendar'!$AA$300)*100000000+('Dvd Calendar'!$AA$302=SPECIAL_LBL)*10000000+(N('Dvd Calendar'!$AA$296)&gt;0)*(N('Dvd Calendar'!$AA$296)&lt;=VAL_SERIAL)*1000000+27*1000+23))</f>
        <v/>
      </c>
      <c r="FB38" s="121">
        <f>IF(N('Dvd Calendar'!$AB$297)=0,"",IF(('Dvd Calendar'!$AB$297&gt;=GRID_FROM)*('Dvd Calendar'!$AB$297&lt;=GRID_TO)*((('Dvd Calendar'!$AB$297&lt;=VAL_DATE)+(COUNTIF('Dvd Calendar'!$E$304:$AR$304,'Dvd Calendar'!$AB$297)=0))&gt;0)=0,"",'Dvd Calendar'!$AB$297*1000000000+ISNUMBER('Dvd Calendar'!$AB$300)*100000000+('Dvd Calendar'!$AB$302=SPECIAL_LBL)*10000000+(N('Dvd Calendar'!$AB$296)&gt;0)*(N('Dvd Calendar'!$AB$296)&lt;=VAL_SERIAL)*1000000+27*1000+24))</f>
        <v/>
      </c>
      <c r="FC38" s="121">
        <f>IF(N('Dvd Calendar'!$AC$297)=0,"",IF(('Dvd Calendar'!$AC$297&gt;=GRID_FROM)*('Dvd Calendar'!$AC$297&lt;=GRID_TO)*((('Dvd Calendar'!$AC$297&lt;=VAL_DATE)+(COUNTIF('Dvd Calendar'!$E$304:$AR$304,'Dvd Calendar'!$AC$297)=0))&gt;0)=0,"",'Dvd Calendar'!$AC$297*1000000000+ISNUMBER('Dvd Calendar'!$AC$300)*100000000+('Dvd Calendar'!$AC$302=SPECIAL_LBL)*10000000+(N('Dvd Calendar'!$AC$296)&gt;0)*(N('Dvd Calendar'!$AC$296)&lt;=VAL_SERIAL)*1000000+27*1000+25))</f>
        <v/>
      </c>
      <c r="FD38" s="121">
        <f>IF(N('Dvd Calendar'!$AD$297)=0,"",IF(('Dvd Calendar'!$AD$297&gt;=GRID_FROM)*('Dvd Calendar'!$AD$297&lt;=GRID_TO)*((('Dvd Calendar'!$AD$297&lt;=VAL_DATE)+(COUNTIF('Dvd Calendar'!$E$304:$AR$304,'Dvd Calendar'!$AD$297)=0))&gt;0)=0,"",'Dvd Calendar'!$AD$297*1000000000+ISNUMBER('Dvd Calendar'!$AD$300)*100000000+('Dvd Calendar'!$AD$302=SPECIAL_LBL)*10000000+(N('Dvd Calendar'!$AD$296)&gt;0)*(N('Dvd Calendar'!$AD$296)&lt;=VAL_SERIAL)*1000000+27*1000+26))</f>
        <v/>
      </c>
      <c r="FE38" s="121">
        <f>IF(N('Dvd Calendar'!$AE$297)=0,"",IF(('Dvd Calendar'!$AE$297&gt;=GRID_FROM)*('Dvd Calendar'!$AE$297&lt;=GRID_TO)*((('Dvd Calendar'!$AE$297&lt;=VAL_DATE)+(COUNTIF('Dvd Calendar'!$E$304:$AR$304,'Dvd Calendar'!$AE$297)=0))&gt;0)=0,"",'Dvd Calendar'!$AE$297*1000000000+ISNUMBER('Dvd Calendar'!$AE$300)*100000000+('Dvd Calendar'!$AE$302=SPECIAL_LBL)*10000000+(N('Dvd Calendar'!$AE$296)&gt;0)*(N('Dvd Calendar'!$AE$296)&lt;=VAL_SERIAL)*1000000+27*1000+27))</f>
        <v/>
      </c>
      <c r="FF38" s="121">
        <f>IF(N('Dvd Calendar'!$AF$297)=0,"",IF(('Dvd Calendar'!$AF$297&gt;=GRID_FROM)*('Dvd Calendar'!$AF$297&lt;=GRID_TO)*((('Dvd Calendar'!$AF$297&lt;=VAL_DATE)+(COUNTIF('Dvd Calendar'!$E$304:$AR$304,'Dvd Calendar'!$AF$297)=0))&gt;0)=0,"",'Dvd Calendar'!$AF$297*1000000000+ISNUMBER('Dvd Calendar'!$AF$300)*100000000+('Dvd Calendar'!$AF$302=SPECIAL_LBL)*10000000+(N('Dvd Calendar'!$AF$296)&gt;0)*(N('Dvd Calendar'!$AF$296)&lt;=VAL_SERIAL)*1000000+27*1000+28))</f>
        <v/>
      </c>
      <c r="FG38" s="121">
        <f>IF(N('Dvd Calendar'!$AG$297)=0,"",IF(('Dvd Calendar'!$AG$297&gt;=GRID_FROM)*('Dvd Calendar'!$AG$297&lt;=GRID_TO)*((('Dvd Calendar'!$AG$297&lt;=VAL_DATE)+(COUNTIF('Dvd Calendar'!$E$304:$AR$304,'Dvd Calendar'!$AG$297)=0))&gt;0)=0,"",'Dvd Calendar'!$AG$297*1000000000+ISNUMBER('Dvd Calendar'!$AG$300)*100000000+('Dvd Calendar'!$AG$302=SPECIAL_LBL)*10000000+(N('Dvd Calendar'!$AG$296)&gt;0)*(N('Dvd Calendar'!$AG$296)&lt;=VAL_SERIAL)*1000000+27*1000+29))</f>
        <v/>
      </c>
      <c r="FH38" s="121">
        <f>IF(N('Dvd Calendar'!$AH$297)=0,"",IF(('Dvd Calendar'!$AH$297&gt;=GRID_FROM)*('Dvd Calendar'!$AH$297&lt;=GRID_TO)*((('Dvd Calendar'!$AH$297&lt;=VAL_DATE)+(COUNTIF('Dvd Calendar'!$E$304:$AR$304,'Dvd Calendar'!$AH$297)=0))&gt;0)=0,"",'Dvd Calendar'!$AH$297*1000000000+ISNUMBER('Dvd Calendar'!$AH$300)*100000000+('Dvd Calendar'!$AH$302=SPECIAL_LBL)*10000000+(N('Dvd Calendar'!$AH$296)&gt;0)*(N('Dvd Calendar'!$AH$296)&lt;=VAL_SERIAL)*1000000+27*1000+30))</f>
        <v/>
      </c>
      <c r="FI38" s="121">
        <f>IF(N('Dvd Calendar'!$AI$297)=0,"",IF(('Dvd Calendar'!$AI$297&gt;=GRID_FROM)*('Dvd Calendar'!$AI$297&lt;=GRID_TO)*((('Dvd Calendar'!$AI$297&lt;=VAL_DATE)+(COUNTIF('Dvd Calendar'!$E$304:$AR$304,'Dvd Calendar'!$AI$297)=0))&gt;0)=0,"",'Dvd Calendar'!$AI$297*1000000000+ISNUMBER('Dvd Calendar'!$AI$300)*100000000+('Dvd Calendar'!$AI$302=SPECIAL_LBL)*10000000+(N('Dvd Calendar'!$AI$296)&gt;0)*(N('Dvd Calendar'!$AI$296)&lt;=VAL_SERIAL)*1000000+27*1000+31))</f>
        <v/>
      </c>
      <c r="FJ38" s="121">
        <f>IF(N('Dvd Calendar'!$AJ$297)=0,"",IF(('Dvd Calendar'!$AJ$297&gt;=GRID_FROM)*('Dvd Calendar'!$AJ$297&lt;=GRID_TO)*((('Dvd Calendar'!$AJ$297&lt;=VAL_DATE)+(COUNTIF('Dvd Calendar'!$E$304:$AR$304,'Dvd Calendar'!$AJ$297)=0))&gt;0)=0,"",'Dvd Calendar'!$AJ$297*1000000000+ISNUMBER('Dvd Calendar'!$AJ$300)*100000000+('Dvd Calendar'!$AJ$302=SPECIAL_LBL)*10000000+(N('Dvd Calendar'!$AJ$296)&gt;0)*(N('Dvd Calendar'!$AJ$296)&lt;=VAL_SERIAL)*1000000+27*1000+32))</f>
        <v/>
      </c>
      <c r="FK38" s="121">
        <f>IF(N('Dvd Calendar'!$AK$297)=0,"",IF(('Dvd Calendar'!$AK$297&gt;=GRID_FROM)*('Dvd Calendar'!$AK$297&lt;=GRID_TO)*((('Dvd Calendar'!$AK$297&lt;=VAL_DATE)+(COUNTIF('Dvd Calendar'!$E$304:$AR$304,'Dvd Calendar'!$AK$297)=0))&gt;0)=0,"",'Dvd Calendar'!$AK$297*1000000000+ISNUMBER('Dvd Calendar'!$AK$300)*100000000+('Dvd Calendar'!$AK$302=SPECIAL_LBL)*10000000+(N('Dvd Calendar'!$AK$296)&gt;0)*(N('Dvd Calendar'!$AK$296)&lt;=VAL_SERIAL)*1000000+27*1000+33))</f>
        <v/>
      </c>
      <c r="FL38" s="121">
        <f>IF(N('Dvd Calendar'!$AL$297)=0,"",IF(('Dvd Calendar'!$AL$297&gt;=GRID_FROM)*('Dvd Calendar'!$AL$297&lt;=GRID_TO)*((('Dvd Calendar'!$AL$297&lt;=VAL_DATE)+(COUNTIF('Dvd Calendar'!$E$304:$AR$304,'Dvd Calendar'!$AL$297)=0))&gt;0)=0,"",'Dvd Calendar'!$AL$297*1000000000+ISNUMBER('Dvd Calendar'!$AL$300)*100000000+('Dvd Calendar'!$AL$302=SPECIAL_LBL)*10000000+(N('Dvd Calendar'!$AL$296)&gt;0)*(N('Dvd Calendar'!$AL$296)&lt;=VAL_SERIAL)*1000000+27*1000+34))</f>
        <v/>
      </c>
      <c r="FM38" s="121">
        <f>IF(N('Dvd Calendar'!$AM$297)=0,"",IF(('Dvd Calendar'!$AM$297&gt;=GRID_FROM)*('Dvd Calendar'!$AM$297&lt;=GRID_TO)*((('Dvd Calendar'!$AM$297&lt;=VAL_DATE)+(COUNTIF('Dvd Calendar'!$E$304:$AR$304,'Dvd Calendar'!$AM$297)=0))&gt;0)=0,"",'Dvd Calendar'!$AM$297*1000000000+ISNUMBER('Dvd Calendar'!$AM$300)*100000000+('Dvd Calendar'!$AM$302=SPECIAL_LBL)*10000000+(N('Dvd Calendar'!$AM$296)&gt;0)*(N('Dvd Calendar'!$AM$296)&lt;=VAL_SERIAL)*1000000+27*1000+35))</f>
        <v/>
      </c>
      <c r="FN38" s="121">
        <f>IF(N('Dvd Calendar'!$AN$297)=0,"",IF(('Dvd Calendar'!$AN$297&gt;=GRID_FROM)*('Dvd Calendar'!$AN$297&lt;=GRID_TO)*((('Dvd Calendar'!$AN$297&lt;=VAL_DATE)+(COUNTIF('Dvd Calendar'!$E$304:$AR$304,'Dvd Calendar'!$AN$297)=0))&gt;0)=0,"",'Dvd Calendar'!$AN$297*1000000000+ISNUMBER('Dvd Calendar'!$AN$300)*100000000+('Dvd Calendar'!$AN$302=SPECIAL_LBL)*10000000+(N('Dvd Calendar'!$AN$296)&gt;0)*(N('Dvd Calendar'!$AN$296)&lt;=VAL_SERIAL)*1000000+27*1000+36))</f>
        <v/>
      </c>
      <c r="FO38" s="121">
        <f>IF(N('Dvd Calendar'!$AO$297)=0,"",IF(('Dvd Calendar'!$AO$297&gt;=GRID_FROM)*('Dvd Calendar'!$AO$297&lt;=GRID_TO)*((('Dvd Calendar'!$AO$297&lt;=VAL_DATE)+(COUNTIF('Dvd Calendar'!$E$304:$AR$304,'Dvd Calendar'!$AO$297)=0))&gt;0)=0,"",'Dvd Calendar'!$AO$297*1000000000+ISNUMBER('Dvd Calendar'!$AO$300)*100000000+('Dvd Calendar'!$AO$302=SPECIAL_LBL)*10000000+(N('Dvd Calendar'!$AO$296)&gt;0)*(N('Dvd Calendar'!$AO$296)&lt;=VAL_SERIAL)*1000000+27*1000+37))</f>
        <v/>
      </c>
      <c r="FP38" s="121">
        <f>IF(N('Dvd Calendar'!$AP$297)=0,"",IF(('Dvd Calendar'!$AP$297&gt;=GRID_FROM)*('Dvd Calendar'!$AP$297&lt;=GRID_TO)*((('Dvd Calendar'!$AP$297&lt;=VAL_DATE)+(COUNTIF('Dvd Calendar'!$E$304:$AR$304,'Dvd Calendar'!$AP$297)=0))&gt;0)=0,"",'Dvd Calendar'!$AP$297*1000000000+ISNUMBER('Dvd Calendar'!$AP$300)*100000000+('Dvd Calendar'!$AP$302=SPECIAL_LBL)*10000000+(N('Dvd Calendar'!$AP$296)&gt;0)*(N('Dvd Calendar'!$AP$296)&lt;=VAL_SERIAL)*1000000+27*1000+38))</f>
        <v/>
      </c>
      <c r="FQ38" s="121">
        <f>IF(N('Dvd Calendar'!$AQ$297)=0,"",IF(('Dvd Calendar'!$AQ$297&gt;=GRID_FROM)*('Dvd Calendar'!$AQ$297&lt;=GRID_TO)*((('Dvd Calendar'!$AQ$297&lt;=VAL_DATE)+(COUNTIF('Dvd Calendar'!$E$304:$AR$304,'Dvd Calendar'!$AQ$297)=0))&gt;0)=0,"",'Dvd Calendar'!$AQ$297*1000000000+ISNUMBER('Dvd Calendar'!$AQ$300)*100000000+('Dvd Calendar'!$AQ$302=SPECIAL_LBL)*10000000+(N('Dvd Calendar'!$AQ$296)&gt;0)*(N('Dvd Calendar'!$AQ$296)&lt;=VAL_SERIAL)*1000000+27*1000+39))</f>
        <v/>
      </c>
      <c r="FR38" s="121">
        <f>IF(N('Dvd Calendar'!$AR$297)=0,"",IF(('Dvd Calendar'!$AR$297&gt;=GRID_FROM)*('Dvd Calendar'!$AR$297&lt;=GRID_TO)*((('Dvd Calendar'!$AR$297&lt;=VAL_DATE)+(COUNTIF('Dvd Calendar'!$E$304:$AR$304,'Dvd Calendar'!$AR$297)=0))&gt;0)=0,"",'Dvd Calendar'!$AR$297*1000000000+ISNUMBER('Dvd Calendar'!$AR$300)*100000000+('Dvd Calendar'!$AR$302=SPECIAL_LBL)*10000000+(N('Dvd Calendar'!$AR$296)&gt;0)*(N('Dvd Calendar'!$AR$296)&lt;=VAL_SERIAL)*1000000+27*1000+40))</f>
        <v/>
      </c>
      <c r="FS38" s="121">
        <f>IF(N('Dvd Calendar'!$E$304)=0,"",IF(('Dvd Calendar'!$E$304&gt;=GRID_FROM)*('Dvd Calendar'!$E$304&lt;=GRID_TO)*('Dvd Calendar'!$E$304&gt;VAL_DATE)=0,"",'Dvd Calendar'!$E$304*1000000000+ISNUMBER('Dvd Calendar'!$E$305)*100000000+0*10000000+(N('Dvd Calendar'!$E$303)&gt;0)*(N('Dvd Calendar'!$E$303)&lt;=VAL_SERIAL)*1000000+27*1000+41))</f>
        <v/>
      </c>
      <c r="FT38" s="121">
        <f>IF(N('Dvd Calendar'!$F$304)=0,"",IF(('Dvd Calendar'!$F$304&gt;=GRID_FROM)*('Dvd Calendar'!$F$304&lt;=GRID_TO)*('Dvd Calendar'!$F$304&gt;VAL_DATE)=0,"",'Dvd Calendar'!$F$304*1000000000+ISNUMBER('Dvd Calendar'!$F$305)*100000000+0*10000000+(N('Dvd Calendar'!$F$303)&gt;0)*(N('Dvd Calendar'!$F$303)&lt;=VAL_SERIAL)*1000000+27*1000+42))</f>
        <v/>
      </c>
      <c r="FU38" s="121">
        <f>IF(N('Dvd Calendar'!$G$304)=0,"",IF(('Dvd Calendar'!$G$304&gt;=GRID_FROM)*('Dvd Calendar'!$G$304&lt;=GRID_TO)*('Dvd Calendar'!$G$304&gt;VAL_DATE)=0,"",'Dvd Calendar'!$G$304*1000000000+ISNUMBER('Dvd Calendar'!$G$305)*100000000+0*10000000+(N('Dvd Calendar'!$G$303)&gt;0)*(N('Dvd Calendar'!$G$303)&lt;=VAL_SERIAL)*1000000+27*1000+43))</f>
        <v/>
      </c>
      <c r="FV38" s="121">
        <f>IF(N('Dvd Calendar'!$H$304)=0,"",IF(('Dvd Calendar'!$H$304&gt;=GRID_FROM)*('Dvd Calendar'!$H$304&lt;=GRID_TO)*('Dvd Calendar'!$H$304&gt;VAL_DATE)=0,"",'Dvd Calendar'!$H$304*1000000000+ISNUMBER('Dvd Calendar'!$H$305)*100000000+0*10000000+(N('Dvd Calendar'!$H$303)&gt;0)*(N('Dvd Calendar'!$H$303)&lt;=VAL_SERIAL)*1000000+27*1000+44))</f>
        <v/>
      </c>
      <c r="FW38" s="121">
        <f>IF(N('Dvd Calendar'!$I$304)=0,"",IF(('Dvd Calendar'!$I$304&gt;=GRID_FROM)*('Dvd Calendar'!$I$304&lt;=GRID_TO)*('Dvd Calendar'!$I$304&gt;VAL_DATE)=0,"",'Dvd Calendar'!$I$304*1000000000+ISNUMBER('Dvd Calendar'!$I$305)*100000000+0*10000000+(N('Dvd Calendar'!$I$303)&gt;0)*(N('Dvd Calendar'!$I$303)&lt;=VAL_SERIAL)*1000000+27*1000+45))</f>
        <v/>
      </c>
      <c r="FX38" s="121">
        <f>IF(N('Dvd Calendar'!$J$304)=0,"",IF(('Dvd Calendar'!$J$304&gt;=GRID_FROM)*('Dvd Calendar'!$J$304&lt;=GRID_TO)*('Dvd Calendar'!$J$304&gt;VAL_DATE)=0,"",'Dvd Calendar'!$J$304*1000000000+ISNUMBER('Dvd Calendar'!$J$305)*100000000+0*10000000+(N('Dvd Calendar'!$J$303)&gt;0)*(N('Dvd Calendar'!$J$303)&lt;=VAL_SERIAL)*1000000+27*1000+46))</f>
        <v/>
      </c>
      <c r="FY38" s="121">
        <f>IF(N('Dvd Calendar'!$K$304)=0,"",IF(('Dvd Calendar'!$K$304&gt;=GRID_FROM)*('Dvd Calendar'!$K$304&lt;=GRID_TO)*('Dvd Calendar'!$K$304&gt;VAL_DATE)=0,"",'Dvd Calendar'!$K$304*1000000000+ISNUMBER('Dvd Calendar'!$K$305)*100000000+0*10000000+(N('Dvd Calendar'!$K$303)&gt;0)*(N('Dvd Calendar'!$K$303)&lt;=VAL_SERIAL)*1000000+27*1000+47))</f>
        <v/>
      </c>
      <c r="FZ38" s="121">
        <f>IF(N('Dvd Calendar'!$L$304)=0,"",IF(('Dvd Calendar'!$L$304&gt;=GRID_FROM)*('Dvd Calendar'!$L$304&lt;=GRID_TO)*('Dvd Calendar'!$L$304&gt;VAL_DATE)=0,"",'Dvd Calendar'!$L$304*1000000000+ISNUMBER('Dvd Calendar'!$L$305)*100000000+0*10000000+(N('Dvd Calendar'!$L$303)&gt;0)*(N('Dvd Calendar'!$L$303)&lt;=VAL_SERIAL)*1000000+27*1000+48))</f>
        <v/>
      </c>
      <c r="GA38" s="121">
        <f>IF(N('Dvd Calendar'!$M$304)=0,"",IF(('Dvd Calendar'!$M$304&gt;=GRID_FROM)*('Dvd Calendar'!$M$304&lt;=GRID_TO)*('Dvd Calendar'!$M$304&gt;VAL_DATE)=0,"",'Dvd Calendar'!$M$304*1000000000+ISNUMBER('Dvd Calendar'!$M$305)*100000000+0*10000000+(N('Dvd Calendar'!$M$303)&gt;0)*(N('Dvd Calendar'!$M$303)&lt;=VAL_SERIAL)*1000000+27*1000+49))</f>
        <v/>
      </c>
      <c r="GB38" s="121">
        <f>IF(N('Dvd Calendar'!$N$304)=0,"",IF(('Dvd Calendar'!$N$304&gt;=GRID_FROM)*('Dvd Calendar'!$N$304&lt;=GRID_TO)*('Dvd Calendar'!$N$304&gt;VAL_DATE)=0,"",'Dvd Calendar'!$N$304*1000000000+ISNUMBER('Dvd Calendar'!$N$305)*100000000+0*10000000+(N('Dvd Calendar'!$N$303)&gt;0)*(N('Dvd Calendar'!$N$303)&lt;=VAL_SERIAL)*1000000+27*1000+50))</f>
        <v/>
      </c>
      <c r="GC38" s="121">
        <f>IF(N('Dvd Calendar'!$O$304)=0,"",IF(('Dvd Calendar'!$O$304&gt;=GRID_FROM)*('Dvd Calendar'!$O$304&lt;=GRID_TO)*('Dvd Calendar'!$O$304&gt;VAL_DATE)=0,"",'Dvd Calendar'!$O$304*1000000000+ISNUMBER('Dvd Calendar'!$O$305)*100000000+0*10000000+(N('Dvd Calendar'!$O$303)&gt;0)*(N('Dvd Calendar'!$O$303)&lt;=VAL_SERIAL)*1000000+27*1000+51))</f>
        <v/>
      </c>
      <c r="GD38" s="121">
        <f>IF(N('Dvd Calendar'!$P$304)=0,"",IF(('Dvd Calendar'!$P$304&gt;=GRID_FROM)*('Dvd Calendar'!$P$304&lt;=GRID_TO)*('Dvd Calendar'!$P$304&gt;VAL_DATE)=0,"",'Dvd Calendar'!$P$304*1000000000+ISNUMBER('Dvd Calendar'!$P$305)*100000000+0*10000000+(N('Dvd Calendar'!$P$303)&gt;0)*(N('Dvd Calendar'!$P$303)&lt;=VAL_SERIAL)*1000000+27*1000+52))</f>
        <v/>
      </c>
      <c r="GE38" s="121">
        <f>IF(N('Dvd Calendar'!$Q$304)=0,"",IF(('Dvd Calendar'!$Q$304&gt;=GRID_FROM)*('Dvd Calendar'!$Q$304&lt;=GRID_TO)*('Dvd Calendar'!$Q$304&gt;VAL_DATE)=0,"",'Dvd Calendar'!$Q$304*1000000000+ISNUMBER('Dvd Calendar'!$Q$305)*100000000+0*10000000+(N('Dvd Calendar'!$Q$303)&gt;0)*(N('Dvd Calendar'!$Q$303)&lt;=VAL_SERIAL)*1000000+27*1000+53))</f>
        <v/>
      </c>
      <c r="GF38" s="121">
        <f>IF(N('Dvd Calendar'!$R$304)=0,"",IF(('Dvd Calendar'!$R$304&gt;=GRID_FROM)*('Dvd Calendar'!$R$304&lt;=GRID_TO)*('Dvd Calendar'!$R$304&gt;VAL_DATE)=0,"",'Dvd Calendar'!$R$304*1000000000+ISNUMBER('Dvd Calendar'!$R$305)*100000000+0*10000000+(N('Dvd Calendar'!$R$303)&gt;0)*(N('Dvd Calendar'!$R$303)&lt;=VAL_SERIAL)*1000000+27*1000+54))</f>
        <v/>
      </c>
      <c r="GG38" s="121">
        <f>IF(N('Dvd Calendar'!$S$304)=0,"",IF(('Dvd Calendar'!$S$304&gt;=GRID_FROM)*('Dvd Calendar'!$S$304&lt;=GRID_TO)*('Dvd Calendar'!$S$304&gt;VAL_DATE)=0,"",'Dvd Calendar'!$S$304*1000000000+ISNUMBER('Dvd Calendar'!$S$305)*100000000+0*10000000+(N('Dvd Calendar'!$S$303)&gt;0)*(N('Dvd Calendar'!$S$303)&lt;=VAL_SERIAL)*1000000+27*1000+55))</f>
        <v/>
      </c>
      <c r="GH38" s="121">
        <f>IF(N('Dvd Calendar'!$T$304)=0,"",IF(('Dvd Calendar'!$T$304&gt;=GRID_FROM)*('Dvd Calendar'!$T$304&lt;=GRID_TO)*('Dvd Calendar'!$T$304&gt;VAL_DATE)=0,"",'Dvd Calendar'!$T$304*1000000000+ISNUMBER('Dvd Calendar'!$T$305)*100000000+0*10000000+(N('Dvd Calendar'!$T$303)&gt;0)*(N('Dvd Calendar'!$T$303)&lt;=VAL_SERIAL)*1000000+27*1000+56))</f>
        <v/>
      </c>
      <c r="GI38" s="121">
        <f>IF(N('Dvd Calendar'!$U$304)=0,"",IF(('Dvd Calendar'!$U$304&gt;=GRID_FROM)*('Dvd Calendar'!$U$304&lt;=GRID_TO)*('Dvd Calendar'!$U$304&gt;VAL_DATE)=0,"",'Dvd Calendar'!$U$304*1000000000+ISNUMBER('Dvd Calendar'!$U$305)*100000000+0*10000000+(N('Dvd Calendar'!$U$303)&gt;0)*(N('Dvd Calendar'!$U$303)&lt;=VAL_SERIAL)*1000000+27*1000+57))</f>
        <v/>
      </c>
      <c r="GJ38" s="121">
        <f>IF(N('Dvd Calendar'!$V$304)=0,"",IF(('Dvd Calendar'!$V$304&gt;=GRID_FROM)*('Dvd Calendar'!$V$304&lt;=GRID_TO)*('Dvd Calendar'!$V$304&gt;VAL_DATE)=0,"",'Dvd Calendar'!$V$304*1000000000+ISNUMBER('Dvd Calendar'!$V$305)*100000000+0*10000000+(N('Dvd Calendar'!$V$303)&gt;0)*(N('Dvd Calendar'!$V$303)&lt;=VAL_SERIAL)*1000000+27*1000+58))</f>
        <v/>
      </c>
      <c r="GK38" s="121">
        <f>IF(N('Dvd Calendar'!$W$304)=0,"",IF(('Dvd Calendar'!$W$304&gt;=GRID_FROM)*('Dvd Calendar'!$W$304&lt;=GRID_TO)*('Dvd Calendar'!$W$304&gt;VAL_DATE)=0,"",'Dvd Calendar'!$W$304*1000000000+ISNUMBER('Dvd Calendar'!$W$305)*100000000+0*10000000+(N('Dvd Calendar'!$W$303)&gt;0)*(N('Dvd Calendar'!$W$303)&lt;=VAL_SERIAL)*1000000+27*1000+59))</f>
        <v/>
      </c>
      <c r="GL38" s="121">
        <f>IF(N('Dvd Calendar'!$X$304)=0,"",IF(('Dvd Calendar'!$X$304&gt;=GRID_FROM)*('Dvd Calendar'!$X$304&lt;=GRID_TO)*('Dvd Calendar'!$X$304&gt;VAL_DATE)=0,"",'Dvd Calendar'!$X$304*1000000000+ISNUMBER('Dvd Calendar'!$X$305)*100000000+0*10000000+(N('Dvd Calendar'!$X$303)&gt;0)*(N('Dvd Calendar'!$X$303)&lt;=VAL_SERIAL)*1000000+27*1000+60))</f>
        <v/>
      </c>
      <c r="GM38" s="121">
        <f>IF(N('Dvd Calendar'!$Y$304)=0,"",IF(('Dvd Calendar'!$Y$304&gt;=GRID_FROM)*('Dvd Calendar'!$Y$304&lt;=GRID_TO)*('Dvd Calendar'!$Y$304&gt;VAL_DATE)=0,"",'Dvd Calendar'!$Y$304*1000000000+ISNUMBER('Dvd Calendar'!$Y$305)*100000000+0*10000000+(N('Dvd Calendar'!$Y$303)&gt;0)*(N('Dvd Calendar'!$Y$303)&lt;=VAL_SERIAL)*1000000+27*1000+61))</f>
        <v/>
      </c>
      <c r="GN38" s="121">
        <f>IF(N('Dvd Calendar'!$Z$304)=0,"",IF(('Dvd Calendar'!$Z$304&gt;=GRID_FROM)*('Dvd Calendar'!$Z$304&lt;=GRID_TO)*('Dvd Calendar'!$Z$304&gt;VAL_DATE)=0,"",'Dvd Calendar'!$Z$304*1000000000+ISNUMBER('Dvd Calendar'!$Z$305)*100000000+0*10000000+(N('Dvd Calendar'!$Z$303)&gt;0)*(N('Dvd Calendar'!$Z$303)&lt;=VAL_SERIAL)*1000000+27*1000+62))</f>
        <v/>
      </c>
      <c r="GO38" s="121">
        <f>IF(N('Dvd Calendar'!$AA$304)=0,"",IF(('Dvd Calendar'!$AA$304&gt;=GRID_FROM)*('Dvd Calendar'!$AA$304&lt;=GRID_TO)*('Dvd Calendar'!$AA$304&gt;VAL_DATE)=0,"",'Dvd Calendar'!$AA$304*1000000000+ISNUMBER('Dvd Calendar'!$AA$305)*100000000+0*10000000+(N('Dvd Calendar'!$AA$303)&gt;0)*(N('Dvd Calendar'!$AA$303)&lt;=VAL_SERIAL)*1000000+27*1000+63))</f>
        <v/>
      </c>
      <c r="GP38" s="121">
        <f>IF(N('Dvd Calendar'!$AB$304)=0,"",IF(('Dvd Calendar'!$AB$304&gt;=GRID_FROM)*('Dvd Calendar'!$AB$304&lt;=GRID_TO)*('Dvd Calendar'!$AB$304&gt;VAL_DATE)=0,"",'Dvd Calendar'!$AB$304*1000000000+ISNUMBER('Dvd Calendar'!$AB$305)*100000000+0*10000000+(N('Dvd Calendar'!$AB$303)&gt;0)*(N('Dvd Calendar'!$AB$303)&lt;=VAL_SERIAL)*1000000+27*1000+64))</f>
        <v/>
      </c>
      <c r="GQ38" s="121">
        <f>IF(N('Dvd Calendar'!$AC$304)=0,"",IF(('Dvd Calendar'!$AC$304&gt;=GRID_FROM)*('Dvd Calendar'!$AC$304&lt;=GRID_TO)*('Dvd Calendar'!$AC$304&gt;VAL_DATE)=0,"",'Dvd Calendar'!$AC$304*1000000000+ISNUMBER('Dvd Calendar'!$AC$305)*100000000+0*10000000+(N('Dvd Calendar'!$AC$303)&gt;0)*(N('Dvd Calendar'!$AC$303)&lt;=VAL_SERIAL)*1000000+27*1000+65))</f>
        <v/>
      </c>
    </row>
    <row r="39">
      <c r="B39" s="2">
        <f>IF(HSI!$C$34="","",HSI!$C$34)</f>
        <v/>
      </c>
      <c r="C39" s="161">
        <f>IF(EE39="","",IF(ISNUMBER('Dvd Calendar'!$E$311)=FALSE,"",IF((('Dvd Calendar'!$E$313=TYPE1)*(TYPE1&lt;&gt;"")+('Dvd Calendar'!$E$313=TYPE2)*(TYPE2&lt;&gt;"")+('Dvd Calendar'!$E$313=TYPE3)*(TYPE3&lt;&gt;"")+('Dvd Calendar'!$E$313=TYPE4)*(TYPE4&lt;&gt;"")+('Dvd Calendar'!$E$313=SPECIAL_LBL)*(INC_SPECIALS="Y"))=0,"",'Dvd Calendar'!$E$311)))</f>
        <v/>
      </c>
      <c r="D39" s="161">
        <f>IF(EF39="","",IF(ISNUMBER('Dvd Calendar'!$F$311)=FALSE,"",IF((('Dvd Calendar'!$F$313=TYPE1)*(TYPE1&lt;&gt;"")+('Dvd Calendar'!$F$313=TYPE2)*(TYPE2&lt;&gt;"")+('Dvd Calendar'!$F$313=TYPE3)*(TYPE3&lt;&gt;"")+('Dvd Calendar'!$F$313=TYPE4)*(TYPE4&lt;&gt;"")+('Dvd Calendar'!$F$313=SPECIAL_LBL)*(INC_SPECIALS="Y"))=0,"",'Dvd Calendar'!$F$311)))</f>
        <v/>
      </c>
      <c r="E39" s="161">
        <f>IF(EG39="","",IF(ISNUMBER('Dvd Calendar'!$G$311)=FALSE,"",IF((('Dvd Calendar'!$G$313=TYPE1)*(TYPE1&lt;&gt;"")+('Dvd Calendar'!$G$313=TYPE2)*(TYPE2&lt;&gt;"")+('Dvd Calendar'!$G$313=TYPE3)*(TYPE3&lt;&gt;"")+('Dvd Calendar'!$G$313=TYPE4)*(TYPE4&lt;&gt;"")+('Dvd Calendar'!$G$313=SPECIAL_LBL)*(INC_SPECIALS="Y"))=0,"",'Dvd Calendar'!$G$311)))</f>
        <v/>
      </c>
      <c r="F39" s="161">
        <f>IF(EH39="","",IF(ISNUMBER('Dvd Calendar'!$H$311)=FALSE,"",IF((('Dvd Calendar'!$H$313=TYPE1)*(TYPE1&lt;&gt;"")+('Dvd Calendar'!$H$313=TYPE2)*(TYPE2&lt;&gt;"")+('Dvd Calendar'!$H$313=TYPE3)*(TYPE3&lt;&gt;"")+('Dvd Calendar'!$H$313=TYPE4)*(TYPE4&lt;&gt;"")+('Dvd Calendar'!$H$313=SPECIAL_LBL)*(INC_SPECIALS="Y"))=0,"",'Dvd Calendar'!$H$311)))</f>
        <v/>
      </c>
      <c r="G39" s="161">
        <f>IF(EI39="","",IF(ISNUMBER('Dvd Calendar'!$I$311)=FALSE,"",IF((('Dvd Calendar'!$I$313=TYPE1)*(TYPE1&lt;&gt;"")+('Dvd Calendar'!$I$313=TYPE2)*(TYPE2&lt;&gt;"")+('Dvd Calendar'!$I$313=TYPE3)*(TYPE3&lt;&gt;"")+('Dvd Calendar'!$I$313=TYPE4)*(TYPE4&lt;&gt;"")+('Dvd Calendar'!$I$313=SPECIAL_LBL)*(INC_SPECIALS="Y"))=0,"",'Dvd Calendar'!$I$311)))</f>
        <v/>
      </c>
      <c r="H39" s="161">
        <f>IF(EJ39="","",IF(ISNUMBER('Dvd Calendar'!$J$311)=FALSE,"",IF((('Dvd Calendar'!$J$313=TYPE1)*(TYPE1&lt;&gt;"")+('Dvd Calendar'!$J$313=TYPE2)*(TYPE2&lt;&gt;"")+('Dvd Calendar'!$J$313=TYPE3)*(TYPE3&lt;&gt;"")+('Dvd Calendar'!$J$313=TYPE4)*(TYPE4&lt;&gt;"")+('Dvd Calendar'!$J$313=SPECIAL_LBL)*(INC_SPECIALS="Y"))=0,"",'Dvd Calendar'!$J$311)))</f>
        <v/>
      </c>
      <c r="I39" s="161">
        <f>IF(EK39="","",IF(ISNUMBER('Dvd Calendar'!$K$311)=FALSE,"",IF((('Dvd Calendar'!$K$313=TYPE1)*(TYPE1&lt;&gt;"")+('Dvd Calendar'!$K$313=TYPE2)*(TYPE2&lt;&gt;"")+('Dvd Calendar'!$K$313=TYPE3)*(TYPE3&lt;&gt;"")+('Dvd Calendar'!$K$313=TYPE4)*(TYPE4&lt;&gt;"")+('Dvd Calendar'!$K$313=SPECIAL_LBL)*(INC_SPECIALS="Y"))=0,"",'Dvd Calendar'!$K$311)))</f>
        <v/>
      </c>
      <c r="J39" s="161">
        <f>IF(EL39="","",IF(ISNUMBER('Dvd Calendar'!$L$311)=FALSE,"",IF((('Dvd Calendar'!$L$313=TYPE1)*(TYPE1&lt;&gt;"")+('Dvd Calendar'!$L$313=TYPE2)*(TYPE2&lt;&gt;"")+('Dvd Calendar'!$L$313=TYPE3)*(TYPE3&lt;&gt;"")+('Dvd Calendar'!$L$313=TYPE4)*(TYPE4&lt;&gt;"")+('Dvd Calendar'!$L$313=SPECIAL_LBL)*(INC_SPECIALS="Y"))=0,"",'Dvd Calendar'!$L$311)))</f>
        <v/>
      </c>
      <c r="K39" s="161">
        <f>IF(EM39="","",IF(ISNUMBER('Dvd Calendar'!$M$311)=FALSE,"",IF((('Dvd Calendar'!$M$313=TYPE1)*(TYPE1&lt;&gt;"")+('Dvd Calendar'!$M$313=TYPE2)*(TYPE2&lt;&gt;"")+('Dvd Calendar'!$M$313=TYPE3)*(TYPE3&lt;&gt;"")+('Dvd Calendar'!$M$313=TYPE4)*(TYPE4&lt;&gt;"")+('Dvd Calendar'!$M$313=SPECIAL_LBL)*(INC_SPECIALS="Y"))=0,"",'Dvd Calendar'!$M$311)))</f>
        <v/>
      </c>
      <c r="L39" s="161">
        <f>IF(EN39="","",IF(ISNUMBER('Dvd Calendar'!$N$311)=FALSE,"",IF((('Dvd Calendar'!$N$313=TYPE1)*(TYPE1&lt;&gt;"")+('Dvd Calendar'!$N$313=TYPE2)*(TYPE2&lt;&gt;"")+('Dvd Calendar'!$N$313=TYPE3)*(TYPE3&lt;&gt;"")+('Dvd Calendar'!$N$313=TYPE4)*(TYPE4&lt;&gt;"")+('Dvd Calendar'!$N$313=SPECIAL_LBL)*(INC_SPECIALS="Y"))=0,"",'Dvd Calendar'!$N$311)))</f>
        <v/>
      </c>
      <c r="M39" s="161">
        <f>IF(EO39="","",IF(ISNUMBER('Dvd Calendar'!$O$311)=FALSE,"",IF((('Dvd Calendar'!$O$313=TYPE1)*(TYPE1&lt;&gt;"")+('Dvd Calendar'!$O$313=TYPE2)*(TYPE2&lt;&gt;"")+('Dvd Calendar'!$O$313=TYPE3)*(TYPE3&lt;&gt;"")+('Dvd Calendar'!$O$313=TYPE4)*(TYPE4&lt;&gt;"")+('Dvd Calendar'!$O$313=SPECIAL_LBL)*(INC_SPECIALS="Y"))=0,"",'Dvd Calendar'!$O$311)))</f>
        <v/>
      </c>
      <c r="N39" s="161">
        <f>IF(EP39="","",IF(ISNUMBER('Dvd Calendar'!$P$311)=FALSE,"",IF((('Dvd Calendar'!$P$313=TYPE1)*(TYPE1&lt;&gt;"")+('Dvd Calendar'!$P$313=TYPE2)*(TYPE2&lt;&gt;"")+('Dvd Calendar'!$P$313=TYPE3)*(TYPE3&lt;&gt;"")+('Dvd Calendar'!$P$313=TYPE4)*(TYPE4&lt;&gt;"")+('Dvd Calendar'!$P$313=SPECIAL_LBL)*(INC_SPECIALS="Y"))=0,"",'Dvd Calendar'!$P$311)))</f>
        <v/>
      </c>
      <c r="O39" s="161">
        <f>IF(EQ39="","",IF(ISNUMBER('Dvd Calendar'!$Q$311)=FALSE,"",IF((('Dvd Calendar'!$Q$313=TYPE1)*(TYPE1&lt;&gt;"")+('Dvd Calendar'!$Q$313=TYPE2)*(TYPE2&lt;&gt;"")+('Dvd Calendar'!$Q$313=TYPE3)*(TYPE3&lt;&gt;"")+('Dvd Calendar'!$Q$313=TYPE4)*(TYPE4&lt;&gt;"")+('Dvd Calendar'!$Q$313=SPECIAL_LBL)*(INC_SPECIALS="Y"))=0,"",'Dvd Calendar'!$Q$311)))</f>
        <v/>
      </c>
      <c r="P39" s="161">
        <f>IF(ER39="","",IF(ISNUMBER('Dvd Calendar'!$R$311)=FALSE,"",IF((('Dvd Calendar'!$R$313=TYPE1)*(TYPE1&lt;&gt;"")+('Dvd Calendar'!$R$313=TYPE2)*(TYPE2&lt;&gt;"")+('Dvd Calendar'!$R$313=TYPE3)*(TYPE3&lt;&gt;"")+('Dvd Calendar'!$R$313=TYPE4)*(TYPE4&lt;&gt;"")+('Dvd Calendar'!$R$313=SPECIAL_LBL)*(INC_SPECIALS="Y"))=0,"",'Dvd Calendar'!$R$311)))</f>
        <v/>
      </c>
      <c r="Q39" s="161">
        <f>IF(ES39="","",IF(ISNUMBER('Dvd Calendar'!$S$311)=FALSE,"",IF((('Dvd Calendar'!$S$313=TYPE1)*(TYPE1&lt;&gt;"")+('Dvd Calendar'!$S$313=TYPE2)*(TYPE2&lt;&gt;"")+('Dvd Calendar'!$S$313=TYPE3)*(TYPE3&lt;&gt;"")+('Dvd Calendar'!$S$313=TYPE4)*(TYPE4&lt;&gt;"")+('Dvd Calendar'!$S$313=SPECIAL_LBL)*(INC_SPECIALS="Y"))=0,"",'Dvd Calendar'!$S$311)))</f>
        <v/>
      </c>
      <c r="R39" s="161">
        <f>IF(ET39="","",IF(ISNUMBER('Dvd Calendar'!$T$311)=FALSE,"",IF((('Dvd Calendar'!$T$313=TYPE1)*(TYPE1&lt;&gt;"")+('Dvd Calendar'!$T$313=TYPE2)*(TYPE2&lt;&gt;"")+('Dvd Calendar'!$T$313=TYPE3)*(TYPE3&lt;&gt;"")+('Dvd Calendar'!$T$313=TYPE4)*(TYPE4&lt;&gt;"")+('Dvd Calendar'!$T$313=SPECIAL_LBL)*(INC_SPECIALS="Y"))=0,"",'Dvd Calendar'!$T$311)))</f>
        <v/>
      </c>
      <c r="S39" s="161">
        <f>IF(EU39="","",IF(ISNUMBER('Dvd Calendar'!$U$311)=FALSE,"",IF((('Dvd Calendar'!$U$313=TYPE1)*(TYPE1&lt;&gt;"")+('Dvd Calendar'!$U$313=TYPE2)*(TYPE2&lt;&gt;"")+('Dvd Calendar'!$U$313=TYPE3)*(TYPE3&lt;&gt;"")+('Dvd Calendar'!$U$313=TYPE4)*(TYPE4&lt;&gt;"")+('Dvd Calendar'!$U$313=SPECIAL_LBL)*(INC_SPECIALS="Y"))=0,"",'Dvd Calendar'!$U$311)))</f>
        <v/>
      </c>
      <c r="T39" s="161">
        <f>IF(EV39="","",IF(ISNUMBER('Dvd Calendar'!$V$311)=FALSE,"",IF((('Dvd Calendar'!$V$313=TYPE1)*(TYPE1&lt;&gt;"")+('Dvd Calendar'!$V$313=TYPE2)*(TYPE2&lt;&gt;"")+('Dvd Calendar'!$V$313=TYPE3)*(TYPE3&lt;&gt;"")+('Dvd Calendar'!$V$313=TYPE4)*(TYPE4&lt;&gt;"")+('Dvd Calendar'!$V$313=SPECIAL_LBL)*(INC_SPECIALS="Y"))=0,"",'Dvd Calendar'!$V$311)))</f>
        <v/>
      </c>
      <c r="U39" s="161">
        <f>IF(EW39="","",IF(ISNUMBER('Dvd Calendar'!$W$311)=FALSE,"",IF((('Dvd Calendar'!$W$313=TYPE1)*(TYPE1&lt;&gt;"")+('Dvd Calendar'!$W$313=TYPE2)*(TYPE2&lt;&gt;"")+('Dvd Calendar'!$W$313=TYPE3)*(TYPE3&lt;&gt;"")+('Dvd Calendar'!$W$313=TYPE4)*(TYPE4&lt;&gt;"")+('Dvd Calendar'!$W$313=SPECIAL_LBL)*(INC_SPECIALS="Y"))=0,"",'Dvd Calendar'!$W$311)))</f>
        <v/>
      </c>
      <c r="V39" s="161">
        <f>IF(EX39="","",IF(ISNUMBER('Dvd Calendar'!$X$311)=FALSE,"",IF((('Dvd Calendar'!$X$313=TYPE1)*(TYPE1&lt;&gt;"")+('Dvd Calendar'!$X$313=TYPE2)*(TYPE2&lt;&gt;"")+('Dvd Calendar'!$X$313=TYPE3)*(TYPE3&lt;&gt;"")+('Dvd Calendar'!$X$313=TYPE4)*(TYPE4&lt;&gt;"")+('Dvd Calendar'!$X$313=SPECIAL_LBL)*(INC_SPECIALS="Y"))=0,"",'Dvd Calendar'!$X$311)))</f>
        <v/>
      </c>
      <c r="W39" s="161">
        <f>IF(EY39="","",IF(ISNUMBER('Dvd Calendar'!$Y$311)=FALSE,"",IF((('Dvd Calendar'!$Y$313=TYPE1)*(TYPE1&lt;&gt;"")+('Dvd Calendar'!$Y$313=TYPE2)*(TYPE2&lt;&gt;"")+('Dvd Calendar'!$Y$313=TYPE3)*(TYPE3&lt;&gt;"")+('Dvd Calendar'!$Y$313=TYPE4)*(TYPE4&lt;&gt;"")+('Dvd Calendar'!$Y$313=SPECIAL_LBL)*(INC_SPECIALS="Y"))=0,"",'Dvd Calendar'!$Y$311)))</f>
        <v/>
      </c>
      <c r="X39" s="161">
        <f>IF(EZ39="","",IF(ISNUMBER('Dvd Calendar'!$Z$311)=FALSE,"",IF((('Dvd Calendar'!$Z$313=TYPE1)*(TYPE1&lt;&gt;"")+('Dvd Calendar'!$Z$313=TYPE2)*(TYPE2&lt;&gt;"")+('Dvd Calendar'!$Z$313=TYPE3)*(TYPE3&lt;&gt;"")+('Dvd Calendar'!$Z$313=TYPE4)*(TYPE4&lt;&gt;"")+('Dvd Calendar'!$Z$313=SPECIAL_LBL)*(INC_SPECIALS="Y"))=0,"",'Dvd Calendar'!$Z$311)))</f>
        <v/>
      </c>
      <c r="Y39" s="161">
        <f>IF(FA39="","",IF(ISNUMBER('Dvd Calendar'!$AA$311)=FALSE,"",IF((('Dvd Calendar'!$AA$313=TYPE1)*(TYPE1&lt;&gt;"")+('Dvd Calendar'!$AA$313=TYPE2)*(TYPE2&lt;&gt;"")+('Dvd Calendar'!$AA$313=TYPE3)*(TYPE3&lt;&gt;"")+('Dvd Calendar'!$AA$313=TYPE4)*(TYPE4&lt;&gt;"")+('Dvd Calendar'!$AA$313=SPECIAL_LBL)*(INC_SPECIALS="Y"))=0,"",'Dvd Calendar'!$AA$311)))</f>
        <v/>
      </c>
      <c r="Z39" s="161">
        <f>IF(FB39="","",IF(ISNUMBER('Dvd Calendar'!$AB$311)=FALSE,"",IF((('Dvd Calendar'!$AB$313=TYPE1)*(TYPE1&lt;&gt;"")+('Dvd Calendar'!$AB$313=TYPE2)*(TYPE2&lt;&gt;"")+('Dvd Calendar'!$AB$313=TYPE3)*(TYPE3&lt;&gt;"")+('Dvd Calendar'!$AB$313=TYPE4)*(TYPE4&lt;&gt;"")+('Dvd Calendar'!$AB$313=SPECIAL_LBL)*(INC_SPECIALS="Y"))=0,"",'Dvd Calendar'!$AB$311)))</f>
        <v/>
      </c>
      <c r="AA39" s="161">
        <f>IF(FC39="","",IF(ISNUMBER('Dvd Calendar'!$AC$311)=FALSE,"",IF((('Dvd Calendar'!$AC$313=TYPE1)*(TYPE1&lt;&gt;"")+('Dvd Calendar'!$AC$313=TYPE2)*(TYPE2&lt;&gt;"")+('Dvd Calendar'!$AC$313=TYPE3)*(TYPE3&lt;&gt;"")+('Dvd Calendar'!$AC$313=TYPE4)*(TYPE4&lt;&gt;"")+('Dvd Calendar'!$AC$313=SPECIAL_LBL)*(INC_SPECIALS="Y"))=0,"",'Dvd Calendar'!$AC$311)))</f>
        <v/>
      </c>
      <c r="AB39" s="161">
        <f>IF(FD39="","",IF(ISNUMBER('Dvd Calendar'!$AD$311)=FALSE,"",IF((('Dvd Calendar'!$AD$313=TYPE1)*(TYPE1&lt;&gt;"")+('Dvd Calendar'!$AD$313=TYPE2)*(TYPE2&lt;&gt;"")+('Dvd Calendar'!$AD$313=TYPE3)*(TYPE3&lt;&gt;"")+('Dvd Calendar'!$AD$313=TYPE4)*(TYPE4&lt;&gt;"")+('Dvd Calendar'!$AD$313=SPECIAL_LBL)*(INC_SPECIALS="Y"))=0,"",'Dvd Calendar'!$AD$311)))</f>
        <v/>
      </c>
      <c r="AC39" s="161">
        <f>IF(FE39="","",IF(ISNUMBER('Dvd Calendar'!$AE$311)=FALSE,"",IF((('Dvd Calendar'!$AE$313=TYPE1)*(TYPE1&lt;&gt;"")+('Dvd Calendar'!$AE$313=TYPE2)*(TYPE2&lt;&gt;"")+('Dvd Calendar'!$AE$313=TYPE3)*(TYPE3&lt;&gt;"")+('Dvd Calendar'!$AE$313=TYPE4)*(TYPE4&lt;&gt;"")+('Dvd Calendar'!$AE$313=SPECIAL_LBL)*(INC_SPECIALS="Y"))=0,"",'Dvd Calendar'!$AE$311)))</f>
        <v/>
      </c>
      <c r="AD39" s="161">
        <f>IF(FF39="","",IF(ISNUMBER('Dvd Calendar'!$AF$311)=FALSE,"",IF((('Dvd Calendar'!$AF$313=TYPE1)*(TYPE1&lt;&gt;"")+('Dvd Calendar'!$AF$313=TYPE2)*(TYPE2&lt;&gt;"")+('Dvd Calendar'!$AF$313=TYPE3)*(TYPE3&lt;&gt;"")+('Dvd Calendar'!$AF$313=TYPE4)*(TYPE4&lt;&gt;"")+('Dvd Calendar'!$AF$313=SPECIAL_LBL)*(INC_SPECIALS="Y"))=0,"",'Dvd Calendar'!$AF$311)))</f>
        <v/>
      </c>
      <c r="AE39" s="161">
        <f>IF(FG39="","",IF(ISNUMBER('Dvd Calendar'!$AG$311)=FALSE,"",IF((('Dvd Calendar'!$AG$313=TYPE1)*(TYPE1&lt;&gt;"")+('Dvd Calendar'!$AG$313=TYPE2)*(TYPE2&lt;&gt;"")+('Dvd Calendar'!$AG$313=TYPE3)*(TYPE3&lt;&gt;"")+('Dvd Calendar'!$AG$313=TYPE4)*(TYPE4&lt;&gt;"")+('Dvd Calendar'!$AG$313=SPECIAL_LBL)*(INC_SPECIALS="Y"))=0,"",'Dvd Calendar'!$AG$311)))</f>
        <v/>
      </c>
      <c r="AF39" s="161">
        <f>IF(FH39="","",IF(ISNUMBER('Dvd Calendar'!$AH$311)=FALSE,"",IF((('Dvd Calendar'!$AH$313=TYPE1)*(TYPE1&lt;&gt;"")+('Dvd Calendar'!$AH$313=TYPE2)*(TYPE2&lt;&gt;"")+('Dvd Calendar'!$AH$313=TYPE3)*(TYPE3&lt;&gt;"")+('Dvd Calendar'!$AH$313=TYPE4)*(TYPE4&lt;&gt;"")+('Dvd Calendar'!$AH$313=SPECIAL_LBL)*(INC_SPECIALS="Y"))=0,"",'Dvd Calendar'!$AH$311)))</f>
        <v/>
      </c>
      <c r="AG39" s="161">
        <f>IF(FI39="","",IF(ISNUMBER('Dvd Calendar'!$AI$311)=FALSE,"",IF((('Dvd Calendar'!$AI$313=TYPE1)*(TYPE1&lt;&gt;"")+('Dvd Calendar'!$AI$313=TYPE2)*(TYPE2&lt;&gt;"")+('Dvd Calendar'!$AI$313=TYPE3)*(TYPE3&lt;&gt;"")+('Dvd Calendar'!$AI$313=TYPE4)*(TYPE4&lt;&gt;"")+('Dvd Calendar'!$AI$313=SPECIAL_LBL)*(INC_SPECIALS="Y"))=0,"",'Dvd Calendar'!$AI$311)))</f>
        <v/>
      </c>
      <c r="AH39" s="161">
        <f>IF(FJ39="","",IF(ISNUMBER('Dvd Calendar'!$AJ$311)=FALSE,"",IF((('Dvd Calendar'!$AJ$313=TYPE1)*(TYPE1&lt;&gt;"")+('Dvd Calendar'!$AJ$313=TYPE2)*(TYPE2&lt;&gt;"")+('Dvd Calendar'!$AJ$313=TYPE3)*(TYPE3&lt;&gt;"")+('Dvd Calendar'!$AJ$313=TYPE4)*(TYPE4&lt;&gt;"")+('Dvd Calendar'!$AJ$313=SPECIAL_LBL)*(INC_SPECIALS="Y"))=0,"",'Dvd Calendar'!$AJ$311)))</f>
        <v/>
      </c>
      <c r="AI39" s="161">
        <f>IF(FK39="","",IF(ISNUMBER('Dvd Calendar'!$AK$311)=FALSE,"",IF((('Dvd Calendar'!$AK$313=TYPE1)*(TYPE1&lt;&gt;"")+('Dvd Calendar'!$AK$313=TYPE2)*(TYPE2&lt;&gt;"")+('Dvd Calendar'!$AK$313=TYPE3)*(TYPE3&lt;&gt;"")+('Dvd Calendar'!$AK$313=TYPE4)*(TYPE4&lt;&gt;"")+('Dvd Calendar'!$AK$313=SPECIAL_LBL)*(INC_SPECIALS="Y"))=0,"",'Dvd Calendar'!$AK$311)))</f>
        <v/>
      </c>
      <c r="AJ39" s="161">
        <f>IF(FL39="","",IF(ISNUMBER('Dvd Calendar'!$AL$311)=FALSE,"",IF((('Dvd Calendar'!$AL$313=TYPE1)*(TYPE1&lt;&gt;"")+('Dvd Calendar'!$AL$313=TYPE2)*(TYPE2&lt;&gt;"")+('Dvd Calendar'!$AL$313=TYPE3)*(TYPE3&lt;&gt;"")+('Dvd Calendar'!$AL$313=TYPE4)*(TYPE4&lt;&gt;"")+('Dvd Calendar'!$AL$313=SPECIAL_LBL)*(INC_SPECIALS="Y"))=0,"",'Dvd Calendar'!$AL$311)))</f>
        <v/>
      </c>
      <c r="AK39" s="161">
        <f>IF(FM39="","",IF(ISNUMBER('Dvd Calendar'!$AM$311)=FALSE,"",IF((('Dvd Calendar'!$AM$313=TYPE1)*(TYPE1&lt;&gt;"")+('Dvd Calendar'!$AM$313=TYPE2)*(TYPE2&lt;&gt;"")+('Dvd Calendar'!$AM$313=TYPE3)*(TYPE3&lt;&gt;"")+('Dvd Calendar'!$AM$313=TYPE4)*(TYPE4&lt;&gt;"")+('Dvd Calendar'!$AM$313=SPECIAL_LBL)*(INC_SPECIALS="Y"))=0,"",'Dvd Calendar'!$AM$311)))</f>
        <v/>
      </c>
      <c r="AL39" s="161">
        <f>IF(FN39="","",IF(ISNUMBER('Dvd Calendar'!$AN$311)=FALSE,"",IF((('Dvd Calendar'!$AN$313=TYPE1)*(TYPE1&lt;&gt;"")+('Dvd Calendar'!$AN$313=TYPE2)*(TYPE2&lt;&gt;"")+('Dvd Calendar'!$AN$313=TYPE3)*(TYPE3&lt;&gt;"")+('Dvd Calendar'!$AN$313=TYPE4)*(TYPE4&lt;&gt;"")+('Dvd Calendar'!$AN$313=SPECIAL_LBL)*(INC_SPECIALS="Y"))=0,"",'Dvd Calendar'!$AN$311)))</f>
        <v/>
      </c>
      <c r="AM39" s="161">
        <f>IF(FO39="","",IF(ISNUMBER('Dvd Calendar'!$AO$311)=FALSE,"",IF((('Dvd Calendar'!$AO$313=TYPE1)*(TYPE1&lt;&gt;"")+('Dvd Calendar'!$AO$313=TYPE2)*(TYPE2&lt;&gt;"")+('Dvd Calendar'!$AO$313=TYPE3)*(TYPE3&lt;&gt;"")+('Dvd Calendar'!$AO$313=TYPE4)*(TYPE4&lt;&gt;"")+('Dvd Calendar'!$AO$313=SPECIAL_LBL)*(INC_SPECIALS="Y"))=0,"",'Dvd Calendar'!$AO$311)))</f>
        <v/>
      </c>
      <c r="AN39" s="161">
        <f>IF(FP39="","",IF(ISNUMBER('Dvd Calendar'!$AP$311)=FALSE,"",IF((('Dvd Calendar'!$AP$313=TYPE1)*(TYPE1&lt;&gt;"")+('Dvd Calendar'!$AP$313=TYPE2)*(TYPE2&lt;&gt;"")+('Dvd Calendar'!$AP$313=TYPE3)*(TYPE3&lt;&gt;"")+('Dvd Calendar'!$AP$313=TYPE4)*(TYPE4&lt;&gt;"")+('Dvd Calendar'!$AP$313=SPECIAL_LBL)*(INC_SPECIALS="Y"))=0,"",'Dvd Calendar'!$AP$311)))</f>
        <v/>
      </c>
      <c r="AO39" s="161">
        <f>IF(FQ39="","",IF(ISNUMBER('Dvd Calendar'!$AQ$311)=FALSE,"",IF((('Dvd Calendar'!$AQ$313=TYPE1)*(TYPE1&lt;&gt;"")+('Dvd Calendar'!$AQ$313=TYPE2)*(TYPE2&lt;&gt;"")+('Dvd Calendar'!$AQ$313=TYPE3)*(TYPE3&lt;&gt;"")+('Dvd Calendar'!$AQ$313=TYPE4)*(TYPE4&lt;&gt;"")+('Dvd Calendar'!$AQ$313=SPECIAL_LBL)*(INC_SPECIALS="Y"))=0,"",'Dvd Calendar'!$AQ$311)))</f>
        <v/>
      </c>
      <c r="AP39" s="161">
        <f>IF(FR39="","",IF(ISNUMBER('Dvd Calendar'!$AR$311)=FALSE,"",IF((('Dvd Calendar'!$AR$313=TYPE1)*(TYPE1&lt;&gt;"")+('Dvd Calendar'!$AR$313=TYPE2)*(TYPE2&lt;&gt;"")+('Dvd Calendar'!$AR$313=TYPE3)*(TYPE3&lt;&gt;"")+('Dvd Calendar'!$AR$313=TYPE4)*(TYPE4&lt;&gt;"")+('Dvd Calendar'!$AR$313=SPECIAL_LBL)*(INC_SPECIALS="Y"))=0,"",'Dvd Calendar'!$AR$311)))</f>
        <v/>
      </c>
      <c r="AQ39" s="161">
        <f>IF(FS39="","",IF(ISNUMBER('Dvd Calendar'!$E$316)=FALSE,"",'Dvd Calendar'!$E$316))</f>
        <v/>
      </c>
      <c r="AR39" s="161">
        <f>IF(FT39="","",IF(ISNUMBER('Dvd Calendar'!$F$316)=FALSE,"",'Dvd Calendar'!$F$316))</f>
        <v/>
      </c>
      <c r="AS39" s="161">
        <f>IF(FU39="","",IF(ISNUMBER('Dvd Calendar'!$G$316)=FALSE,"",'Dvd Calendar'!$G$316))</f>
        <v/>
      </c>
      <c r="AT39" s="161">
        <f>IF(FV39="","",IF(ISNUMBER('Dvd Calendar'!$H$316)=FALSE,"",'Dvd Calendar'!$H$316))</f>
        <v/>
      </c>
      <c r="AU39" s="161">
        <f>IF(FW39="","",IF(ISNUMBER('Dvd Calendar'!$I$316)=FALSE,"",'Dvd Calendar'!$I$316))</f>
        <v/>
      </c>
      <c r="AV39" s="161">
        <f>IF(FX39="","",IF(ISNUMBER('Dvd Calendar'!$J$316)=FALSE,"",'Dvd Calendar'!$J$316))</f>
        <v/>
      </c>
      <c r="AW39" s="161">
        <f>IF(FY39="","",IF(ISNUMBER('Dvd Calendar'!$K$316)=FALSE,"",'Dvd Calendar'!$K$316))</f>
        <v/>
      </c>
      <c r="AX39" s="161">
        <f>IF(FZ39="","",IF(ISNUMBER('Dvd Calendar'!$L$316)=FALSE,"",'Dvd Calendar'!$L$316))</f>
        <v/>
      </c>
      <c r="AY39" s="161">
        <f>IF(GA39="","",IF(ISNUMBER('Dvd Calendar'!$M$316)=FALSE,"",'Dvd Calendar'!$M$316))</f>
        <v/>
      </c>
      <c r="AZ39" s="161">
        <f>IF(GB39="","",IF(ISNUMBER('Dvd Calendar'!$N$316)=FALSE,"",'Dvd Calendar'!$N$316))</f>
        <v/>
      </c>
      <c r="BA39" s="161">
        <f>IF(GC39="","",IF(ISNUMBER('Dvd Calendar'!$O$316)=FALSE,"",'Dvd Calendar'!$O$316))</f>
        <v/>
      </c>
      <c r="BB39" s="161">
        <f>IF(GD39="","",IF(ISNUMBER('Dvd Calendar'!$P$316)=FALSE,"",'Dvd Calendar'!$P$316))</f>
        <v/>
      </c>
      <c r="BC39" s="161">
        <f>IF(GE39="","",IF(ISNUMBER('Dvd Calendar'!$Q$316)=FALSE,"",'Dvd Calendar'!$Q$316))</f>
        <v/>
      </c>
      <c r="BD39" s="161">
        <f>IF(GF39="","",IF(ISNUMBER('Dvd Calendar'!$R$316)=FALSE,"",'Dvd Calendar'!$R$316))</f>
        <v/>
      </c>
      <c r="BE39" s="161">
        <f>IF(GG39="","",IF(ISNUMBER('Dvd Calendar'!$S$316)=FALSE,"",'Dvd Calendar'!$S$316))</f>
        <v/>
      </c>
      <c r="BF39" s="161">
        <f>IF(GH39="","",IF(ISNUMBER('Dvd Calendar'!$T$316)=FALSE,"",'Dvd Calendar'!$T$316))</f>
        <v/>
      </c>
      <c r="BG39" s="161">
        <f>IF(GI39="","",IF(ISNUMBER('Dvd Calendar'!$U$316)=FALSE,"",'Dvd Calendar'!$U$316))</f>
        <v/>
      </c>
      <c r="BH39" s="161">
        <f>IF(GJ39="","",IF(ISNUMBER('Dvd Calendar'!$V$316)=FALSE,"",'Dvd Calendar'!$V$316))</f>
        <v/>
      </c>
      <c r="BI39" s="161">
        <f>IF(GK39="","",IF(ISNUMBER('Dvd Calendar'!$W$316)=FALSE,"",'Dvd Calendar'!$W$316))</f>
        <v/>
      </c>
      <c r="BJ39" s="161">
        <f>IF(GL39="","",IF(ISNUMBER('Dvd Calendar'!$X$316)=FALSE,"",'Dvd Calendar'!$X$316))</f>
        <v/>
      </c>
      <c r="BK39" s="161">
        <f>IF(GM39="","",IF(ISNUMBER('Dvd Calendar'!$Y$316)=FALSE,"",'Dvd Calendar'!$Y$316))</f>
        <v/>
      </c>
      <c r="BL39" s="161">
        <f>IF(GN39="","",IF(ISNUMBER('Dvd Calendar'!$Z$316)=FALSE,"",'Dvd Calendar'!$Z$316))</f>
        <v/>
      </c>
      <c r="BM39" s="161">
        <f>IF(GO39="","",IF(ISNUMBER('Dvd Calendar'!$AA$316)=FALSE,"",'Dvd Calendar'!$AA$316))</f>
        <v/>
      </c>
      <c r="BN39" s="161">
        <f>IF(GP39="","",IF(ISNUMBER('Dvd Calendar'!$AB$316)=FALSE,"",'Dvd Calendar'!$AB$316))</f>
        <v/>
      </c>
      <c r="BO39" s="161">
        <f>IF(GQ39="","",IF(ISNUMBER('Dvd Calendar'!$AC$316)=FALSE,"",'Dvd Calendar'!$AC$316))</f>
        <v/>
      </c>
      <c r="BQ39" s="161">
        <f>IF(C39="","",IFERROR(C39*HSI!$B$34*HSI!$G$34/HSI!$B$3,""))</f>
        <v/>
      </c>
      <c r="BR39" s="161">
        <f>IF(D39="","",IFERROR(D39*HSI!$B$34*HSI!$G$34/HSI!$B$3,""))</f>
        <v/>
      </c>
      <c r="BS39" s="161">
        <f>IF(E39="","",IFERROR(E39*HSI!$B$34*HSI!$G$34/HSI!$B$3,""))</f>
        <v/>
      </c>
      <c r="BT39" s="161">
        <f>IF(F39="","",IFERROR(F39*HSI!$B$34*HSI!$G$34/HSI!$B$3,""))</f>
        <v/>
      </c>
      <c r="BU39" s="161">
        <f>IF(G39="","",IFERROR(G39*HSI!$B$34*HSI!$G$34/HSI!$B$3,""))</f>
        <v/>
      </c>
      <c r="BV39" s="161">
        <f>IF(H39="","",IFERROR(H39*HSI!$B$34*HSI!$G$34/HSI!$B$3,""))</f>
        <v/>
      </c>
      <c r="BW39" s="161">
        <f>IF(I39="","",IFERROR(I39*HSI!$B$34*HSI!$G$34/HSI!$B$3,""))</f>
        <v/>
      </c>
      <c r="BX39" s="161">
        <f>IF(J39="","",IFERROR(J39*HSI!$B$34*HSI!$G$34/HSI!$B$3,""))</f>
        <v/>
      </c>
      <c r="BY39" s="161">
        <f>IF(K39="","",IFERROR(K39*HSI!$B$34*HSI!$G$34/HSI!$B$3,""))</f>
        <v/>
      </c>
      <c r="BZ39" s="161">
        <f>IF(L39="","",IFERROR(L39*HSI!$B$34*HSI!$G$34/HSI!$B$3,""))</f>
        <v/>
      </c>
      <c r="CA39" s="161">
        <f>IF(M39="","",IFERROR(M39*HSI!$B$34*HSI!$G$34/HSI!$B$3,""))</f>
        <v/>
      </c>
      <c r="CB39" s="161">
        <f>IF(N39="","",IFERROR(N39*HSI!$B$34*HSI!$G$34/HSI!$B$3,""))</f>
        <v/>
      </c>
      <c r="CC39" s="161">
        <f>IF(O39="","",IFERROR(O39*HSI!$B$34*HSI!$G$34/HSI!$B$3,""))</f>
        <v/>
      </c>
      <c r="CD39" s="161">
        <f>IF(P39="","",IFERROR(P39*HSI!$B$34*HSI!$G$34/HSI!$B$3,""))</f>
        <v/>
      </c>
      <c r="CE39" s="161">
        <f>IF(Q39="","",IFERROR(Q39*HSI!$B$34*HSI!$G$34/HSI!$B$3,""))</f>
        <v/>
      </c>
      <c r="CF39" s="161">
        <f>IF(R39="","",IFERROR(R39*HSI!$B$34*HSI!$G$34/HSI!$B$3,""))</f>
        <v/>
      </c>
      <c r="CG39" s="161">
        <f>IF(S39="","",IFERROR(S39*HSI!$B$34*HSI!$G$34/HSI!$B$3,""))</f>
        <v/>
      </c>
      <c r="CH39" s="161">
        <f>IF(T39="","",IFERROR(T39*HSI!$B$34*HSI!$G$34/HSI!$B$3,""))</f>
        <v/>
      </c>
      <c r="CI39" s="161">
        <f>IF(U39="","",IFERROR(U39*HSI!$B$34*HSI!$G$34/HSI!$B$3,""))</f>
        <v/>
      </c>
      <c r="CJ39" s="161">
        <f>IF(V39="","",IFERROR(V39*HSI!$B$34*HSI!$G$34/HSI!$B$3,""))</f>
        <v/>
      </c>
      <c r="CK39" s="161">
        <f>IF(W39="","",IFERROR(W39*HSI!$B$34*HSI!$G$34/HSI!$B$3,""))</f>
        <v/>
      </c>
      <c r="CL39" s="161">
        <f>IF(X39="","",IFERROR(X39*HSI!$B$34*HSI!$G$34/HSI!$B$3,""))</f>
        <v/>
      </c>
      <c r="CM39" s="161">
        <f>IF(Y39="","",IFERROR(Y39*HSI!$B$34*HSI!$G$34/HSI!$B$3,""))</f>
        <v/>
      </c>
      <c r="CN39" s="161">
        <f>IF(Z39="","",IFERROR(Z39*HSI!$B$34*HSI!$G$34/HSI!$B$3,""))</f>
        <v/>
      </c>
      <c r="CO39" s="161">
        <f>IF(AA39="","",IFERROR(AA39*HSI!$B$34*HSI!$G$34/HSI!$B$3,""))</f>
        <v/>
      </c>
      <c r="CP39" s="161">
        <f>IF(AB39="","",IFERROR(AB39*HSI!$B$34*HSI!$G$34/HSI!$B$3,""))</f>
        <v/>
      </c>
      <c r="CQ39" s="161">
        <f>IF(AC39="","",IFERROR(AC39*HSI!$B$34*HSI!$G$34/HSI!$B$3,""))</f>
        <v/>
      </c>
      <c r="CR39" s="161">
        <f>IF(AD39="","",IFERROR(AD39*HSI!$B$34*HSI!$G$34/HSI!$B$3,""))</f>
        <v/>
      </c>
      <c r="CS39" s="161">
        <f>IF(AE39="","",IFERROR(AE39*HSI!$B$34*HSI!$G$34/HSI!$B$3,""))</f>
        <v/>
      </c>
      <c r="CT39" s="161">
        <f>IF(AF39="","",IFERROR(AF39*HSI!$B$34*HSI!$G$34/HSI!$B$3,""))</f>
        <v/>
      </c>
      <c r="CU39" s="161">
        <f>IF(AG39="","",IFERROR(AG39*HSI!$B$34*HSI!$G$34/HSI!$B$3,""))</f>
        <v/>
      </c>
      <c r="CV39" s="161">
        <f>IF(AH39="","",IFERROR(AH39*HSI!$B$34*HSI!$G$34/HSI!$B$3,""))</f>
        <v/>
      </c>
      <c r="CW39" s="161">
        <f>IF(AI39="","",IFERROR(AI39*HSI!$B$34*HSI!$G$34/HSI!$B$3,""))</f>
        <v/>
      </c>
      <c r="CX39" s="161">
        <f>IF(AJ39="","",IFERROR(AJ39*HSI!$B$34*HSI!$G$34/HSI!$B$3,""))</f>
        <v/>
      </c>
      <c r="CY39" s="161">
        <f>IF(AK39="","",IFERROR(AK39*HSI!$B$34*HSI!$G$34/HSI!$B$3,""))</f>
        <v/>
      </c>
      <c r="CZ39" s="161">
        <f>IF(AL39="","",IFERROR(AL39*HSI!$B$34*HSI!$G$34/HSI!$B$3,""))</f>
        <v/>
      </c>
      <c r="DA39" s="161">
        <f>IF(AM39="","",IFERROR(AM39*HSI!$B$34*HSI!$G$34/HSI!$B$3,""))</f>
        <v/>
      </c>
      <c r="DB39" s="161">
        <f>IF(AN39="","",IFERROR(AN39*HSI!$B$34*HSI!$G$34/HSI!$B$3,""))</f>
        <v/>
      </c>
      <c r="DC39" s="161">
        <f>IF(AO39="","",IFERROR(AO39*HSI!$B$34*HSI!$G$34/HSI!$B$3,""))</f>
        <v/>
      </c>
      <c r="DD39" s="161">
        <f>IF(AP39="","",IFERROR(AP39*HSI!$B$34*HSI!$G$34/HSI!$B$3,""))</f>
        <v/>
      </c>
      <c r="DE39" s="161">
        <f>IF(AQ39="","",IFERROR(AQ39*HSI!$B$34*HSI!$G$34/HSI!$B$3,""))</f>
        <v/>
      </c>
      <c r="DF39" s="161">
        <f>IF(AR39="","",IFERROR(AR39*HSI!$B$34*HSI!$G$34/HSI!$B$3,""))</f>
        <v/>
      </c>
      <c r="DG39" s="161">
        <f>IF(AS39="","",IFERROR(AS39*HSI!$B$34*HSI!$G$34/HSI!$B$3,""))</f>
        <v/>
      </c>
      <c r="DH39" s="161">
        <f>IF(AT39="","",IFERROR(AT39*HSI!$B$34*HSI!$G$34/HSI!$B$3,""))</f>
        <v/>
      </c>
      <c r="DI39" s="161">
        <f>IF(AU39="","",IFERROR(AU39*HSI!$B$34*HSI!$G$34/HSI!$B$3,""))</f>
        <v/>
      </c>
      <c r="DJ39" s="161">
        <f>IF(AV39="","",IFERROR(AV39*HSI!$B$34*HSI!$G$34/HSI!$B$3,""))</f>
        <v/>
      </c>
      <c r="DK39" s="161">
        <f>IF(AW39="","",IFERROR(AW39*HSI!$B$34*HSI!$G$34/HSI!$B$3,""))</f>
        <v/>
      </c>
      <c r="DL39" s="161">
        <f>IF(AX39="","",IFERROR(AX39*HSI!$B$34*HSI!$G$34/HSI!$B$3,""))</f>
        <v/>
      </c>
      <c r="DM39" s="161">
        <f>IF(AY39="","",IFERROR(AY39*HSI!$B$34*HSI!$G$34/HSI!$B$3,""))</f>
        <v/>
      </c>
      <c r="DN39" s="161">
        <f>IF(AZ39="","",IFERROR(AZ39*HSI!$B$34*HSI!$G$34/HSI!$B$3,""))</f>
        <v/>
      </c>
      <c r="DO39" s="161">
        <f>IF(BA39="","",IFERROR(BA39*HSI!$B$34*HSI!$G$34/HSI!$B$3,""))</f>
        <v/>
      </c>
      <c r="DP39" s="161">
        <f>IF(BB39="","",IFERROR(BB39*HSI!$B$34*HSI!$G$34/HSI!$B$3,""))</f>
        <v/>
      </c>
      <c r="DQ39" s="161">
        <f>IF(BC39="","",IFERROR(BC39*HSI!$B$34*HSI!$G$34/HSI!$B$3,""))</f>
        <v/>
      </c>
      <c r="DR39" s="161">
        <f>IF(BD39="","",IFERROR(BD39*HSI!$B$34*HSI!$G$34/HSI!$B$3,""))</f>
        <v/>
      </c>
      <c r="DS39" s="161">
        <f>IF(BE39="","",IFERROR(BE39*HSI!$B$34*HSI!$G$34/HSI!$B$3,""))</f>
        <v/>
      </c>
      <c r="DT39" s="161">
        <f>IF(BF39="","",IFERROR(BF39*HSI!$B$34*HSI!$G$34/HSI!$B$3,""))</f>
        <v/>
      </c>
      <c r="DU39" s="161">
        <f>IF(BG39="","",IFERROR(BG39*HSI!$B$34*HSI!$G$34/HSI!$B$3,""))</f>
        <v/>
      </c>
      <c r="DV39" s="161">
        <f>IF(BH39="","",IFERROR(BH39*HSI!$B$34*HSI!$G$34/HSI!$B$3,""))</f>
        <v/>
      </c>
      <c r="DW39" s="161">
        <f>IF(BI39="","",IFERROR(BI39*HSI!$B$34*HSI!$G$34/HSI!$B$3,""))</f>
        <v/>
      </c>
      <c r="DX39" s="161">
        <f>IF(BJ39="","",IFERROR(BJ39*HSI!$B$34*HSI!$G$34/HSI!$B$3,""))</f>
        <v/>
      </c>
      <c r="DY39" s="161">
        <f>IF(BK39="","",IFERROR(BK39*HSI!$B$34*HSI!$G$34/HSI!$B$3,""))</f>
        <v/>
      </c>
      <c r="DZ39" s="161">
        <f>IF(BL39="","",IFERROR(BL39*HSI!$B$34*HSI!$G$34/HSI!$B$3,""))</f>
        <v/>
      </c>
      <c r="EA39" s="161">
        <f>IF(BM39="","",IFERROR(BM39*HSI!$B$34*HSI!$G$34/HSI!$B$3,""))</f>
        <v/>
      </c>
      <c r="EB39" s="161">
        <f>IF(BN39="","",IFERROR(BN39*HSI!$B$34*HSI!$G$34/HSI!$B$3,""))</f>
        <v/>
      </c>
      <c r="EC39" s="161">
        <f>IF(BO39="","",IFERROR(BO39*HSI!$B$34*HSI!$G$34/HSI!$B$3,""))</f>
        <v/>
      </c>
      <c r="EE39" s="121">
        <f>IF(N('Dvd Calendar'!$E$308)=0,"",IF(('Dvd Calendar'!$E$308&gt;=GRID_FROM)*('Dvd Calendar'!$E$308&lt;=GRID_TO)*((('Dvd Calendar'!$E$308&lt;=VAL_DATE)+(COUNTIF('Dvd Calendar'!$E$315:$AR$315,'Dvd Calendar'!$E$308)=0))&gt;0)=0,"",'Dvd Calendar'!$E$308*1000000000+ISNUMBER('Dvd Calendar'!$E$311)*100000000+('Dvd Calendar'!$E$313=SPECIAL_LBL)*10000000+(N('Dvd Calendar'!$E$307)&gt;0)*(N('Dvd Calendar'!$E$307)&lt;=VAL_SERIAL)*1000000+28*1000+1))</f>
        <v/>
      </c>
      <c r="EF39" s="121">
        <f>IF(N('Dvd Calendar'!$F$308)=0,"",IF(('Dvd Calendar'!$F$308&gt;=GRID_FROM)*('Dvd Calendar'!$F$308&lt;=GRID_TO)*((('Dvd Calendar'!$F$308&lt;=VAL_DATE)+(COUNTIF('Dvd Calendar'!$E$315:$AR$315,'Dvd Calendar'!$F$308)=0))&gt;0)=0,"",'Dvd Calendar'!$F$308*1000000000+ISNUMBER('Dvd Calendar'!$F$311)*100000000+('Dvd Calendar'!$F$313=SPECIAL_LBL)*10000000+(N('Dvd Calendar'!$F$307)&gt;0)*(N('Dvd Calendar'!$F$307)&lt;=VAL_SERIAL)*1000000+28*1000+2))</f>
        <v/>
      </c>
      <c r="EG39" s="121">
        <f>IF(N('Dvd Calendar'!$G$308)=0,"",IF(('Dvd Calendar'!$G$308&gt;=GRID_FROM)*('Dvd Calendar'!$G$308&lt;=GRID_TO)*((('Dvd Calendar'!$G$308&lt;=VAL_DATE)+(COUNTIF('Dvd Calendar'!$E$315:$AR$315,'Dvd Calendar'!$G$308)=0))&gt;0)=0,"",'Dvd Calendar'!$G$308*1000000000+ISNUMBER('Dvd Calendar'!$G$311)*100000000+('Dvd Calendar'!$G$313=SPECIAL_LBL)*10000000+(N('Dvd Calendar'!$G$307)&gt;0)*(N('Dvd Calendar'!$G$307)&lt;=VAL_SERIAL)*1000000+28*1000+3))</f>
        <v/>
      </c>
      <c r="EH39" s="121">
        <f>IF(N('Dvd Calendar'!$H$308)=0,"",IF(('Dvd Calendar'!$H$308&gt;=GRID_FROM)*('Dvd Calendar'!$H$308&lt;=GRID_TO)*((('Dvd Calendar'!$H$308&lt;=VAL_DATE)+(COUNTIF('Dvd Calendar'!$E$315:$AR$315,'Dvd Calendar'!$H$308)=0))&gt;0)=0,"",'Dvd Calendar'!$H$308*1000000000+ISNUMBER('Dvd Calendar'!$H$311)*100000000+('Dvd Calendar'!$H$313=SPECIAL_LBL)*10000000+(N('Dvd Calendar'!$H$307)&gt;0)*(N('Dvd Calendar'!$H$307)&lt;=VAL_SERIAL)*1000000+28*1000+4))</f>
        <v/>
      </c>
      <c r="EI39" s="121">
        <f>IF(N('Dvd Calendar'!$I$308)=0,"",IF(('Dvd Calendar'!$I$308&gt;=GRID_FROM)*('Dvd Calendar'!$I$308&lt;=GRID_TO)*((('Dvd Calendar'!$I$308&lt;=VAL_DATE)+(COUNTIF('Dvd Calendar'!$E$315:$AR$315,'Dvd Calendar'!$I$308)=0))&gt;0)=0,"",'Dvd Calendar'!$I$308*1000000000+ISNUMBER('Dvd Calendar'!$I$311)*100000000+('Dvd Calendar'!$I$313=SPECIAL_LBL)*10000000+(N('Dvd Calendar'!$I$307)&gt;0)*(N('Dvd Calendar'!$I$307)&lt;=VAL_SERIAL)*1000000+28*1000+5))</f>
        <v/>
      </c>
      <c r="EJ39" s="121">
        <f>IF(N('Dvd Calendar'!$J$308)=0,"",IF(('Dvd Calendar'!$J$308&gt;=GRID_FROM)*('Dvd Calendar'!$J$308&lt;=GRID_TO)*((('Dvd Calendar'!$J$308&lt;=VAL_DATE)+(COUNTIF('Dvd Calendar'!$E$315:$AR$315,'Dvd Calendar'!$J$308)=0))&gt;0)=0,"",'Dvd Calendar'!$J$308*1000000000+ISNUMBER('Dvd Calendar'!$J$311)*100000000+('Dvd Calendar'!$J$313=SPECIAL_LBL)*10000000+(N('Dvd Calendar'!$J$307)&gt;0)*(N('Dvd Calendar'!$J$307)&lt;=VAL_SERIAL)*1000000+28*1000+6))</f>
        <v/>
      </c>
      <c r="EK39" s="121">
        <f>IF(N('Dvd Calendar'!$K$308)=0,"",IF(('Dvd Calendar'!$K$308&gt;=GRID_FROM)*('Dvd Calendar'!$K$308&lt;=GRID_TO)*((('Dvd Calendar'!$K$308&lt;=VAL_DATE)+(COUNTIF('Dvd Calendar'!$E$315:$AR$315,'Dvd Calendar'!$K$308)=0))&gt;0)=0,"",'Dvd Calendar'!$K$308*1000000000+ISNUMBER('Dvd Calendar'!$K$311)*100000000+('Dvd Calendar'!$K$313=SPECIAL_LBL)*10000000+(N('Dvd Calendar'!$K$307)&gt;0)*(N('Dvd Calendar'!$K$307)&lt;=VAL_SERIAL)*1000000+28*1000+7))</f>
        <v/>
      </c>
      <c r="EL39" s="121">
        <f>IF(N('Dvd Calendar'!$L$308)=0,"",IF(('Dvd Calendar'!$L$308&gt;=GRID_FROM)*('Dvd Calendar'!$L$308&lt;=GRID_TO)*((('Dvd Calendar'!$L$308&lt;=VAL_DATE)+(COUNTIF('Dvd Calendar'!$E$315:$AR$315,'Dvd Calendar'!$L$308)=0))&gt;0)=0,"",'Dvd Calendar'!$L$308*1000000000+ISNUMBER('Dvd Calendar'!$L$311)*100000000+('Dvd Calendar'!$L$313=SPECIAL_LBL)*10000000+(N('Dvd Calendar'!$L$307)&gt;0)*(N('Dvd Calendar'!$L$307)&lt;=VAL_SERIAL)*1000000+28*1000+8))</f>
        <v/>
      </c>
      <c r="EM39" s="121">
        <f>IF(N('Dvd Calendar'!$M$308)=0,"",IF(('Dvd Calendar'!$M$308&gt;=GRID_FROM)*('Dvd Calendar'!$M$308&lt;=GRID_TO)*((('Dvd Calendar'!$M$308&lt;=VAL_DATE)+(COUNTIF('Dvd Calendar'!$E$315:$AR$315,'Dvd Calendar'!$M$308)=0))&gt;0)=0,"",'Dvd Calendar'!$M$308*1000000000+ISNUMBER('Dvd Calendar'!$M$311)*100000000+('Dvd Calendar'!$M$313=SPECIAL_LBL)*10000000+(N('Dvd Calendar'!$M$307)&gt;0)*(N('Dvd Calendar'!$M$307)&lt;=VAL_SERIAL)*1000000+28*1000+9))</f>
        <v/>
      </c>
      <c r="EN39" s="121">
        <f>IF(N('Dvd Calendar'!$N$308)=0,"",IF(('Dvd Calendar'!$N$308&gt;=GRID_FROM)*('Dvd Calendar'!$N$308&lt;=GRID_TO)*((('Dvd Calendar'!$N$308&lt;=VAL_DATE)+(COUNTIF('Dvd Calendar'!$E$315:$AR$315,'Dvd Calendar'!$N$308)=0))&gt;0)=0,"",'Dvd Calendar'!$N$308*1000000000+ISNUMBER('Dvd Calendar'!$N$311)*100000000+('Dvd Calendar'!$N$313=SPECIAL_LBL)*10000000+(N('Dvd Calendar'!$N$307)&gt;0)*(N('Dvd Calendar'!$N$307)&lt;=VAL_SERIAL)*1000000+28*1000+10))</f>
        <v/>
      </c>
      <c r="EO39" s="121">
        <f>IF(N('Dvd Calendar'!$O$308)=0,"",IF(('Dvd Calendar'!$O$308&gt;=GRID_FROM)*('Dvd Calendar'!$O$308&lt;=GRID_TO)*((('Dvd Calendar'!$O$308&lt;=VAL_DATE)+(COUNTIF('Dvd Calendar'!$E$315:$AR$315,'Dvd Calendar'!$O$308)=0))&gt;0)=0,"",'Dvd Calendar'!$O$308*1000000000+ISNUMBER('Dvd Calendar'!$O$311)*100000000+('Dvd Calendar'!$O$313=SPECIAL_LBL)*10000000+(N('Dvd Calendar'!$O$307)&gt;0)*(N('Dvd Calendar'!$O$307)&lt;=VAL_SERIAL)*1000000+28*1000+11))</f>
        <v/>
      </c>
      <c r="EP39" s="121">
        <f>IF(N('Dvd Calendar'!$P$308)=0,"",IF(('Dvd Calendar'!$P$308&gt;=GRID_FROM)*('Dvd Calendar'!$P$308&lt;=GRID_TO)*((('Dvd Calendar'!$P$308&lt;=VAL_DATE)+(COUNTIF('Dvd Calendar'!$E$315:$AR$315,'Dvd Calendar'!$P$308)=0))&gt;0)=0,"",'Dvd Calendar'!$P$308*1000000000+ISNUMBER('Dvd Calendar'!$P$311)*100000000+('Dvd Calendar'!$P$313=SPECIAL_LBL)*10000000+(N('Dvd Calendar'!$P$307)&gt;0)*(N('Dvd Calendar'!$P$307)&lt;=VAL_SERIAL)*1000000+28*1000+12))</f>
        <v/>
      </c>
      <c r="EQ39" s="121">
        <f>IF(N('Dvd Calendar'!$Q$308)=0,"",IF(('Dvd Calendar'!$Q$308&gt;=GRID_FROM)*('Dvd Calendar'!$Q$308&lt;=GRID_TO)*((('Dvd Calendar'!$Q$308&lt;=VAL_DATE)+(COUNTIF('Dvd Calendar'!$E$315:$AR$315,'Dvd Calendar'!$Q$308)=0))&gt;0)=0,"",'Dvd Calendar'!$Q$308*1000000000+ISNUMBER('Dvd Calendar'!$Q$311)*100000000+('Dvd Calendar'!$Q$313=SPECIAL_LBL)*10000000+(N('Dvd Calendar'!$Q$307)&gt;0)*(N('Dvd Calendar'!$Q$307)&lt;=VAL_SERIAL)*1000000+28*1000+13))</f>
        <v/>
      </c>
      <c r="ER39" s="121">
        <f>IF(N('Dvd Calendar'!$R$308)=0,"",IF(('Dvd Calendar'!$R$308&gt;=GRID_FROM)*('Dvd Calendar'!$R$308&lt;=GRID_TO)*((('Dvd Calendar'!$R$308&lt;=VAL_DATE)+(COUNTIF('Dvd Calendar'!$E$315:$AR$315,'Dvd Calendar'!$R$308)=0))&gt;0)=0,"",'Dvd Calendar'!$R$308*1000000000+ISNUMBER('Dvd Calendar'!$R$311)*100000000+('Dvd Calendar'!$R$313=SPECIAL_LBL)*10000000+(N('Dvd Calendar'!$R$307)&gt;0)*(N('Dvd Calendar'!$R$307)&lt;=VAL_SERIAL)*1000000+28*1000+14))</f>
        <v/>
      </c>
      <c r="ES39" s="121">
        <f>IF(N('Dvd Calendar'!$S$308)=0,"",IF(('Dvd Calendar'!$S$308&gt;=GRID_FROM)*('Dvd Calendar'!$S$308&lt;=GRID_TO)*((('Dvd Calendar'!$S$308&lt;=VAL_DATE)+(COUNTIF('Dvd Calendar'!$E$315:$AR$315,'Dvd Calendar'!$S$308)=0))&gt;0)=0,"",'Dvd Calendar'!$S$308*1000000000+ISNUMBER('Dvd Calendar'!$S$311)*100000000+('Dvd Calendar'!$S$313=SPECIAL_LBL)*10000000+(N('Dvd Calendar'!$S$307)&gt;0)*(N('Dvd Calendar'!$S$307)&lt;=VAL_SERIAL)*1000000+28*1000+15))</f>
        <v/>
      </c>
      <c r="ET39" s="121">
        <f>IF(N('Dvd Calendar'!$T$308)=0,"",IF(('Dvd Calendar'!$T$308&gt;=GRID_FROM)*('Dvd Calendar'!$T$308&lt;=GRID_TO)*((('Dvd Calendar'!$T$308&lt;=VAL_DATE)+(COUNTIF('Dvd Calendar'!$E$315:$AR$315,'Dvd Calendar'!$T$308)=0))&gt;0)=0,"",'Dvd Calendar'!$T$308*1000000000+ISNUMBER('Dvd Calendar'!$T$311)*100000000+('Dvd Calendar'!$T$313=SPECIAL_LBL)*10000000+(N('Dvd Calendar'!$T$307)&gt;0)*(N('Dvd Calendar'!$T$307)&lt;=VAL_SERIAL)*1000000+28*1000+16))</f>
        <v/>
      </c>
      <c r="EU39" s="121">
        <f>IF(N('Dvd Calendar'!$U$308)=0,"",IF(('Dvd Calendar'!$U$308&gt;=GRID_FROM)*('Dvd Calendar'!$U$308&lt;=GRID_TO)*((('Dvd Calendar'!$U$308&lt;=VAL_DATE)+(COUNTIF('Dvd Calendar'!$E$315:$AR$315,'Dvd Calendar'!$U$308)=0))&gt;0)=0,"",'Dvd Calendar'!$U$308*1000000000+ISNUMBER('Dvd Calendar'!$U$311)*100000000+('Dvd Calendar'!$U$313=SPECIAL_LBL)*10000000+(N('Dvd Calendar'!$U$307)&gt;0)*(N('Dvd Calendar'!$U$307)&lt;=VAL_SERIAL)*1000000+28*1000+17))</f>
        <v/>
      </c>
      <c r="EV39" s="121">
        <f>IF(N('Dvd Calendar'!$V$308)=0,"",IF(('Dvd Calendar'!$V$308&gt;=GRID_FROM)*('Dvd Calendar'!$V$308&lt;=GRID_TO)*((('Dvd Calendar'!$V$308&lt;=VAL_DATE)+(COUNTIF('Dvd Calendar'!$E$315:$AR$315,'Dvd Calendar'!$V$308)=0))&gt;0)=0,"",'Dvd Calendar'!$V$308*1000000000+ISNUMBER('Dvd Calendar'!$V$311)*100000000+('Dvd Calendar'!$V$313=SPECIAL_LBL)*10000000+(N('Dvd Calendar'!$V$307)&gt;0)*(N('Dvd Calendar'!$V$307)&lt;=VAL_SERIAL)*1000000+28*1000+18))</f>
        <v/>
      </c>
      <c r="EW39" s="121">
        <f>IF(N('Dvd Calendar'!$W$308)=0,"",IF(('Dvd Calendar'!$W$308&gt;=GRID_FROM)*('Dvd Calendar'!$W$308&lt;=GRID_TO)*((('Dvd Calendar'!$W$308&lt;=VAL_DATE)+(COUNTIF('Dvd Calendar'!$E$315:$AR$315,'Dvd Calendar'!$W$308)=0))&gt;0)=0,"",'Dvd Calendar'!$W$308*1000000000+ISNUMBER('Dvd Calendar'!$W$311)*100000000+('Dvd Calendar'!$W$313=SPECIAL_LBL)*10000000+(N('Dvd Calendar'!$W$307)&gt;0)*(N('Dvd Calendar'!$W$307)&lt;=VAL_SERIAL)*1000000+28*1000+19))</f>
        <v/>
      </c>
      <c r="EX39" s="121">
        <f>IF(N('Dvd Calendar'!$X$308)=0,"",IF(('Dvd Calendar'!$X$308&gt;=GRID_FROM)*('Dvd Calendar'!$X$308&lt;=GRID_TO)*((('Dvd Calendar'!$X$308&lt;=VAL_DATE)+(COUNTIF('Dvd Calendar'!$E$315:$AR$315,'Dvd Calendar'!$X$308)=0))&gt;0)=0,"",'Dvd Calendar'!$X$308*1000000000+ISNUMBER('Dvd Calendar'!$X$311)*100000000+('Dvd Calendar'!$X$313=SPECIAL_LBL)*10000000+(N('Dvd Calendar'!$X$307)&gt;0)*(N('Dvd Calendar'!$X$307)&lt;=VAL_SERIAL)*1000000+28*1000+20))</f>
        <v/>
      </c>
      <c r="EY39" s="121">
        <f>IF(N('Dvd Calendar'!$Y$308)=0,"",IF(('Dvd Calendar'!$Y$308&gt;=GRID_FROM)*('Dvd Calendar'!$Y$308&lt;=GRID_TO)*((('Dvd Calendar'!$Y$308&lt;=VAL_DATE)+(COUNTIF('Dvd Calendar'!$E$315:$AR$315,'Dvd Calendar'!$Y$308)=0))&gt;0)=0,"",'Dvd Calendar'!$Y$308*1000000000+ISNUMBER('Dvd Calendar'!$Y$311)*100000000+('Dvd Calendar'!$Y$313=SPECIAL_LBL)*10000000+(N('Dvd Calendar'!$Y$307)&gt;0)*(N('Dvd Calendar'!$Y$307)&lt;=VAL_SERIAL)*1000000+28*1000+21))</f>
        <v/>
      </c>
      <c r="EZ39" s="121">
        <f>IF(N('Dvd Calendar'!$Z$308)=0,"",IF(('Dvd Calendar'!$Z$308&gt;=GRID_FROM)*('Dvd Calendar'!$Z$308&lt;=GRID_TO)*((('Dvd Calendar'!$Z$308&lt;=VAL_DATE)+(COUNTIF('Dvd Calendar'!$E$315:$AR$315,'Dvd Calendar'!$Z$308)=0))&gt;0)=0,"",'Dvd Calendar'!$Z$308*1000000000+ISNUMBER('Dvd Calendar'!$Z$311)*100000000+('Dvd Calendar'!$Z$313=SPECIAL_LBL)*10000000+(N('Dvd Calendar'!$Z$307)&gt;0)*(N('Dvd Calendar'!$Z$307)&lt;=VAL_SERIAL)*1000000+28*1000+22))</f>
        <v/>
      </c>
      <c r="FA39" s="121">
        <f>IF(N('Dvd Calendar'!$AA$308)=0,"",IF(('Dvd Calendar'!$AA$308&gt;=GRID_FROM)*('Dvd Calendar'!$AA$308&lt;=GRID_TO)*((('Dvd Calendar'!$AA$308&lt;=VAL_DATE)+(COUNTIF('Dvd Calendar'!$E$315:$AR$315,'Dvd Calendar'!$AA$308)=0))&gt;0)=0,"",'Dvd Calendar'!$AA$308*1000000000+ISNUMBER('Dvd Calendar'!$AA$311)*100000000+('Dvd Calendar'!$AA$313=SPECIAL_LBL)*10000000+(N('Dvd Calendar'!$AA$307)&gt;0)*(N('Dvd Calendar'!$AA$307)&lt;=VAL_SERIAL)*1000000+28*1000+23))</f>
        <v/>
      </c>
      <c r="FB39" s="121">
        <f>IF(N('Dvd Calendar'!$AB$308)=0,"",IF(('Dvd Calendar'!$AB$308&gt;=GRID_FROM)*('Dvd Calendar'!$AB$308&lt;=GRID_TO)*((('Dvd Calendar'!$AB$308&lt;=VAL_DATE)+(COUNTIF('Dvd Calendar'!$E$315:$AR$315,'Dvd Calendar'!$AB$308)=0))&gt;0)=0,"",'Dvd Calendar'!$AB$308*1000000000+ISNUMBER('Dvd Calendar'!$AB$311)*100000000+('Dvd Calendar'!$AB$313=SPECIAL_LBL)*10000000+(N('Dvd Calendar'!$AB$307)&gt;0)*(N('Dvd Calendar'!$AB$307)&lt;=VAL_SERIAL)*1000000+28*1000+24))</f>
        <v/>
      </c>
      <c r="FC39" s="121">
        <f>IF(N('Dvd Calendar'!$AC$308)=0,"",IF(('Dvd Calendar'!$AC$308&gt;=GRID_FROM)*('Dvd Calendar'!$AC$308&lt;=GRID_TO)*((('Dvd Calendar'!$AC$308&lt;=VAL_DATE)+(COUNTIF('Dvd Calendar'!$E$315:$AR$315,'Dvd Calendar'!$AC$308)=0))&gt;0)=0,"",'Dvd Calendar'!$AC$308*1000000000+ISNUMBER('Dvd Calendar'!$AC$311)*100000000+('Dvd Calendar'!$AC$313=SPECIAL_LBL)*10000000+(N('Dvd Calendar'!$AC$307)&gt;0)*(N('Dvd Calendar'!$AC$307)&lt;=VAL_SERIAL)*1000000+28*1000+25))</f>
        <v/>
      </c>
      <c r="FD39" s="121">
        <f>IF(N('Dvd Calendar'!$AD$308)=0,"",IF(('Dvd Calendar'!$AD$308&gt;=GRID_FROM)*('Dvd Calendar'!$AD$308&lt;=GRID_TO)*((('Dvd Calendar'!$AD$308&lt;=VAL_DATE)+(COUNTIF('Dvd Calendar'!$E$315:$AR$315,'Dvd Calendar'!$AD$308)=0))&gt;0)=0,"",'Dvd Calendar'!$AD$308*1000000000+ISNUMBER('Dvd Calendar'!$AD$311)*100000000+('Dvd Calendar'!$AD$313=SPECIAL_LBL)*10000000+(N('Dvd Calendar'!$AD$307)&gt;0)*(N('Dvd Calendar'!$AD$307)&lt;=VAL_SERIAL)*1000000+28*1000+26))</f>
        <v/>
      </c>
      <c r="FE39" s="121">
        <f>IF(N('Dvd Calendar'!$AE$308)=0,"",IF(('Dvd Calendar'!$AE$308&gt;=GRID_FROM)*('Dvd Calendar'!$AE$308&lt;=GRID_TO)*((('Dvd Calendar'!$AE$308&lt;=VAL_DATE)+(COUNTIF('Dvd Calendar'!$E$315:$AR$315,'Dvd Calendar'!$AE$308)=0))&gt;0)=0,"",'Dvd Calendar'!$AE$308*1000000000+ISNUMBER('Dvd Calendar'!$AE$311)*100000000+('Dvd Calendar'!$AE$313=SPECIAL_LBL)*10000000+(N('Dvd Calendar'!$AE$307)&gt;0)*(N('Dvd Calendar'!$AE$307)&lt;=VAL_SERIAL)*1000000+28*1000+27))</f>
        <v/>
      </c>
      <c r="FF39" s="121">
        <f>IF(N('Dvd Calendar'!$AF$308)=0,"",IF(('Dvd Calendar'!$AF$308&gt;=GRID_FROM)*('Dvd Calendar'!$AF$308&lt;=GRID_TO)*((('Dvd Calendar'!$AF$308&lt;=VAL_DATE)+(COUNTIF('Dvd Calendar'!$E$315:$AR$315,'Dvd Calendar'!$AF$308)=0))&gt;0)=0,"",'Dvd Calendar'!$AF$308*1000000000+ISNUMBER('Dvd Calendar'!$AF$311)*100000000+('Dvd Calendar'!$AF$313=SPECIAL_LBL)*10000000+(N('Dvd Calendar'!$AF$307)&gt;0)*(N('Dvd Calendar'!$AF$307)&lt;=VAL_SERIAL)*1000000+28*1000+28))</f>
        <v/>
      </c>
      <c r="FG39" s="121">
        <f>IF(N('Dvd Calendar'!$AG$308)=0,"",IF(('Dvd Calendar'!$AG$308&gt;=GRID_FROM)*('Dvd Calendar'!$AG$308&lt;=GRID_TO)*((('Dvd Calendar'!$AG$308&lt;=VAL_DATE)+(COUNTIF('Dvd Calendar'!$E$315:$AR$315,'Dvd Calendar'!$AG$308)=0))&gt;0)=0,"",'Dvd Calendar'!$AG$308*1000000000+ISNUMBER('Dvd Calendar'!$AG$311)*100000000+('Dvd Calendar'!$AG$313=SPECIAL_LBL)*10000000+(N('Dvd Calendar'!$AG$307)&gt;0)*(N('Dvd Calendar'!$AG$307)&lt;=VAL_SERIAL)*1000000+28*1000+29))</f>
        <v/>
      </c>
      <c r="FH39" s="121">
        <f>IF(N('Dvd Calendar'!$AH$308)=0,"",IF(('Dvd Calendar'!$AH$308&gt;=GRID_FROM)*('Dvd Calendar'!$AH$308&lt;=GRID_TO)*((('Dvd Calendar'!$AH$308&lt;=VAL_DATE)+(COUNTIF('Dvd Calendar'!$E$315:$AR$315,'Dvd Calendar'!$AH$308)=0))&gt;0)=0,"",'Dvd Calendar'!$AH$308*1000000000+ISNUMBER('Dvd Calendar'!$AH$311)*100000000+('Dvd Calendar'!$AH$313=SPECIAL_LBL)*10000000+(N('Dvd Calendar'!$AH$307)&gt;0)*(N('Dvd Calendar'!$AH$307)&lt;=VAL_SERIAL)*1000000+28*1000+30))</f>
        <v/>
      </c>
      <c r="FI39" s="121">
        <f>IF(N('Dvd Calendar'!$AI$308)=0,"",IF(('Dvd Calendar'!$AI$308&gt;=GRID_FROM)*('Dvd Calendar'!$AI$308&lt;=GRID_TO)*((('Dvd Calendar'!$AI$308&lt;=VAL_DATE)+(COUNTIF('Dvd Calendar'!$E$315:$AR$315,'Dvd Calendar'!$AI$308)=0))&gt;0)=0,"",'Dvd Calendar'!$AI$308*1000000000+ISNUMBER('Dvd Calendar'!$AI$311)*100000000+('Dvd Calendar'!$AI$313=SPECIAL_LBL)*10000000+(N('Dvd Calendar'!$AI$307)&gt;0)*(N('Dvd Calendar'!$AI$307)&lt;=VAL_SERIAL)*1000000+28*1000+31))</f>
        <v/>
      </c>
      <c r="FJ39" s="121">
        <f>IF(N('Dvd Calendar'!$AJ$308)=0,"",IF(('Dvd Calendar'!$AJ$308&gt;=GRID_FROM)*('Dvd Calendar'!$AJ$308&lt;=GRID_TO)*((('Dvd Calendar'!$AJ$308&lt;=VAL_DATE)+(COUNTIF('Dvd Calendar'!$E$315:$AR$315,'Dvd Calendar'!$AJ$308)=0))&gt;0)=0,"",'Dvd Calendar'!$AJ$308*1000000000+ISNUMBER('Dvd Calendar'!$AJ$311)*100000000+('Dvd Calendar'!$AJ$313=SPECIAL_LBL)*10000000+(N('Dvd Calendar'!$AJ$307)&gt;0)*(N('Dvd Calendar'!$AJ$307)&lt;=VAL_SERIAL)*1000000+28*1000+32))</f>
        <v/>
      </c>
      <c r="FK39" s="121">
        <f>IF(N('Dvd Calendar'!$AK$308)=0,"",IF(('Dvd Calendar'!$AK$308&gt;=GRID_FROM)*('Dvd Calendar'!$AK$308&lt;=GRID_TO)*((('Dvd Calendar'!$AK$308&lt;=VAL_DATE)+(COUNTIF('Dvd Calendar'!$E$315:$AR$315,'Dvd Calendar'!$AK$308)=0))&gt;0)=0,"",'Dvd Calendar'!$AK$308*1000000000+ISNUMBER('Dvd Calendar'!$AK$311)*100000000+('Dvd Calendar'!$AK$313=SPECIAL_LBL)*10000000+(N('Dvd Calendar'!$AK$307)&gt;0)*(N('Dvd Calendar'!$AK$307)&lt;=VAL_SERIAL)*1000000+28*1000+33))</f>
        <v/>
      </c>
      <c r="FL39" s="121">
        <f>IF(N('Dvd Calendar'!$AL$308)=0,"",IF(('Dvd Calendar'!$AL$308&gt;=GRID_FROM)*('Dvd Calendar'!$AL$308&lt;=GRID_TO)*((('Dvd Calendar'!$AL$308&lt;=VAL_DATE)+(COUNTIF('Dvd Calendar'!$E$315:$AR$315,'Dvd Calendar'!$AL$308)=0))&gt;0)=0,"",'Dvd Calendar'!$AL$308*1000000000+ISNUMBER('Dvd Calendar'!$AL$311)*100000000+('Dvd Calendar'!$AL$313=SPECIAL_LBL)*10000000+(N('Dvd Calendar'!$AL$307)&gt;0)*(N('Dvd Calendar'!$AL$307)&lt;=VAL_SERIAL)*1000000+28*1000+34))</f>
        <v/>
      </c>
      <c r="FM39" s="121">
        <f>IF(N('Dvd Calendar'!$AM$308)=0,"",IF(('Dvd Calendar'!$AM$308&gt;=GRID_FROM)*('Dvd Calendar'!$AM$308&lt;=GRID_TO)*((('Dvd Calendar'!$AM$308&lt;=VAL_DATE)+(COUNTIF('Dvd Calendar'!$E$315:$AR$315,'Dvd Calendar'!$AM$308)=0))&gt;0)=0,"",'Dvd Calendar'!$AM$308*1000000000+ISNUMBER('Dvd Calendar'!$AM$311)*100000000+('Dvd Calendar'!$AM$313=SPECIAL_LBL)*10000000+(N('Dvd Calendar'!$AM$307)&gt;0)*(N('Dvd Calendar'!$AM$307)&lt;=VAL_SERIAL)*1000000+28*1000+35))</f>
        <v/>
      </c>
      <c r="FN39" s="121">
        <f>IF(N('Dvd Calendar'!$AN$308)=0,"",IF(('Dvd Calendar'!$AN$308&gt;=GRID_FROM)*('Dvd Calendar'!$AN$308&lt;=GRID_TO)*((('Dvd Calendar'!$AN$308&lt;=VAL_DATE)+(COUNTIF('Dvd Calendar'!$E$315:$AR$315,'Dvd Calendar'!$AN$308)=0))&gt;0)=0,"",'Dvd Calendar'!$AN$308*1000000000+ISNUMBER('Dvd Calendar'!$AN$311)*100000000+('Dvd Calendar'!$AN$313=SPECIAL_LBL)*10000000+(N('Dvd Calendar'!$AN$307)&gt;0)*(N('Dvd Calendar'!$AN$307)&lt;=VAL_SERIAL)*1000000+28*1000+36))</f>
        <v/>
      </c>
      <c r="FO39" s="121">
        <f>IF(N('Dvd Calendar'!$AO$308)=0,"",IF(('Dvd Calendar'!$AO$308&gt;=GRID_FROM)*('Dvd Calendar'!$AO$308&lt;=GRID_TO)*((('Dvd Calendar'!$AO$308&lt;=VAL_DATE)+(COUNTIF('Dvd Calendar'!$E$315:$AR$315,'Dvd Calendar'!$AO$308)=0))&gt;0)=0,"",'Dvd Calendar'!$AO$308*1000000000+ISNUMBER('Dvd Calendar'!$AO$311)*100000000+('Dvd Calendar'!$AO$313=SPECIAL_LBL)*10000000+(N('Dvd Calendar'!$AO$307)&gt;0)*(N('Dvd Calendar'!$AO$307)&lt;=VAL_SERIAL)*1000000+28*1000+37))</f>
        <v/>
      </c>
      <c r="FP39" s="121">
        <f>IF(N('Dvd Calendar'!$AP$308)=0,"",IF(('Dvd Calendar'!$AP$308&gt;=GRID_FROM)*('Dvd Calendar'!$AP$308&lt;=GRID_TO)*((('Dvd Calendar'!$AP$308&lt;=VAL_DATE)+(COUNTIF('Dvd Calendar'!$E$315:$AR$315,'Dvd Calendar'!$AP$308)=0))&gt;0)=0,"",'Dvd Calendar'!$AP$308*1000000000+ISNUMBER('Dvd Calendar'!$AP$311)*100000000+('Dvd Calendar'!$AP$313=SPECIAL_LBL)*10000000+(N('Dvd Calendar'!$AP$307)&gt;0)*(N('Dvd Calendar'!$AP$307)&lt;=VAL_SERIAL)*1000000+28*1000+38))</f>
        <v/>
      </c>
      <c r="FQ39" s="121">
        <f>IF(N('Dvd Calendar'!$AQ$308)=0,"",IF(('Dvd Calendar'!$AQ$308&gt;=GRID_FROM)*('Dvd Calendar'!$AQ$308&lt;=GRID_TO)*((('Dvd Calendar'!$AQ$308&lt;=VAL_DATE)+(COUNTIF('Dvd Calendar'!$E$315:$AR$315,'Dvd Calendar'!$AQ$308)=0))&gt;0)=0,"",'Dvd Calendar'!$AQ$308*1000000000+ISNUMBER('Dvd Calendar'!$AQ$311)*100000000+('Dvd Calendar'!$AQ$313=SPECIAL_LBL)*10000000+(N('Dvd Calendar'!$AQ$307)&gt;0)*(N('Dvd Calendar'!$AQ$307)&lt;=VAL_SERIAL)*1000000+28*1000+39))</f>
        <v/>
      </c>
      <c r="FR39" s="121">
        <f>IF(N('Dvd Calendar'!$AR$308)=0,"",IF(('Dvd Calendar'!$AR$308&gt;=GRID_FROM)*('Dvd Calendar'!$AR$308&lt;=GRID_TO)*((('Dvd Calendar'!$AR$308&lt;=VAL_DATE)+(COUNTIF('Dvd Calendar'!$E$315:$AR$315,'Dvd Calendar'!$AR$308)=0))&gt;0)=0,"",'Dvd Calendar'!$AR$308*1000000000+ISNUMBER('Dvd Calendar'!$AR$311)*100000000+('Dvd Calendar'!$AR$313=SPECIAL_LBL)*10000000+(N('Dvd Calendar'!$AR$307)&gt;0)*(N('Dvd Calendar'!$AR$307)&lt;=VAL_SERIAL)*1000000+28*1000+40))</f>
        <v/>
      </c>
      <c r="FS39" s="121">
        <f>IF(N('Dvd Calendar'!$E$315)=0,"",IF(('Dvd Calendar'!$E$315&gt;=GRID_FROM)*('Dvd Calendar'!$E$315&lt;=GRID_TO)*('Dvd Calendar'!$E$315&gt;VAL_DATE)=0,"",'Dvd Calendar'!$E$315*1000000000+ISNUMBER('Dvd Calendar'!$E$316)*100000000+0*10000000+(N('Dvd Calendar'!$E$314)&gt;0)*(N('Dvd Calendar'!$E$314)&lt;=VAL_SERIAL)*1000000+28*1000+41))</f>
        <v/>
      </c>
      <c r="FT39" s="121">
        <f>IF(N('Dvd Calendar'!$F$315)=0,"",IF(('Dvd Calendar'!$F$315&gt;=GRID_FROM)*('Dvd Calendar'!$F$315&lt;=GRID_TO)*('Dvd Calendar'!$F$315&gt;VAL_DATE)=0,"",'Dvd Calendar'!$F$315*1000000000+ISNUMBER('Dvd Calendar'!$F$316)*100000000+0*10000000+(N('Dvd Calendar'!$F$314)&gt;0)*(N('Dvd Calendar'!$F$314)&lt;=VAL_SERIAL)*1000000+28*1000+42))</f>
        <v/>
      </c>
      <c r="FU39" s="121">
        <f>IF(N('Dvd Calendar'!$G$315)=0,"",IF(('Dvd Calendar'!$G$315&gt;=GRID_FROM)*('Dvd Calendar'!$G$315&lt;=GRID_TO)*('Dvd Calendar'!$G$315&gt;VAL_DATE)=0,"",'Dvd Calendar'!$G$315*1000000000+ISNUMBER('Dvd Calendar'!$G$316)*100000000+0*10000000+(N('Dvd Calendar'!$G$314)&gt;0)*(N('Dvd Calendar'!$G$314)&lt;=VAL_SERIAL)*1000000+28*1000+43))</f>
        <v/>
      </c>
      <c r="FV39" s="121">
        <f>IF(N('Dvd Calendar'!$H$315)=0,"",IF(('Dvd Calendar'!$H$315&gt;=GRID_FROM)*('Dvd Calendar'!$H$315&lt;=GRID_TO)*('Dvd Calendar'!$H$315&gt;VAL_DATE)=0,"",'Dvd Calendar'!$H$315*1000000000+ISNUMBER('Dvd Calendar'!$H$316)*100000000+0*10000000+(N('Dvd Calendar'!$H$314)&gt;0)*(N('Dvd Calendar'!$H$314)&lt;=VAL_SERIAL)*1000000+28*1000+44))</f>
        <v/>
      </c>
      <c r="FW39" s="121">
        <f>IF(N('Dvd Calendar'!$I$315)=0,"",IF(('Dvd Calendar'!$I$315&gt;=GRID_FROM)*('Dvd Calendar'!$I$315&lt;=GRID_TO)*('Dvd Calendar'!$I$315&gt;VAL_DATE)=0,"",'Dvd Calendar'!$I$315*1000000000+ISNUMBER('Dvd Calendar'!$I$316)*100000000+0*10000000+(N('Dvd Calendar'!$I$314)&gt;0)*(N('Dvd Calendar'!$I$314)&lt;=VAL_SERIAL)*1000000+28*1000+45))</f>
        <v/>
      </c>
      <c r="FX39" s="121">
        <f>IF(N('Dvd Calendar'!$J$315)=0,"",IF(('Dvd Calendar'!$J$315&gt;=GRID_FROM)*('Dvd Calendar'!$J$315&lt;=GRID_TO)*('Dvd Calendar'!$J$315&gt;VAL_DATE)=0,"",'Dvd Calendar'!$J$315*1000000000+ISNUMBER('Dvd Calendar'!$J$316)*100000000+0*10000000+(N('Dvd Calendar'!$J$314)&gt;0)*(N('Dvd Calendar'!$J$314)&lt;=VAL_SERIAL)*1000000+28*1000+46))</f>
        <v/>
      </c>
      <c r="FY39" s="121">
        <f>IF(N('Dvd Calendar'!$K$315)=0,"",IF(('Dvd Calendar'!$K$315&gt;=GRID_FROM)*('Dvd Calendar'!$K$315&lt;=GRID_TO)*('Dvd Calendar'!$K$315&gt;VAL_DATE)=0,"",'Dvd Calendar'!$K$315*1000000000+ISNUMBER('Dvd Calendar'!$K$316)*100000000+0*10000000+(N('Dvd Calendar'!$K$314)&gt;0)*(N('Dvd Calendar'!$K$314)&lt;=VAL_SERIAL)*1000000+28*1000+47))</f>
        <v/>
      </c>
      <c r="FZ39" s="121">
        <f>IF(N('Dvd Calendar'!$L$315)=0,"",IF(('Dvd Calendar'!$L$315&gt;=GRID_FROM)*('Dvd Calendar'!$L$315&lt;=GRID_TO)*('Dvd Calendar'!$L$315&gt;VAL_DATE)=0,"",'Dvd Calendar'!$L$315*1000000000+ISNUMBER('Dvd Calendar'!$L$316)*100000000+0*10000000+(N('Dvd Calendar'!$L$314)&gt;0)*(N('Dvd Calendar'!$L$314)&lt;=VAL_SERIAL)*1000000+28*1000+48))</f>
        <v/>
      </c>
      <c r="GA39" s="121">
        <f>IF(N('Dvd Calendar'!$M$315)=0,"",IF(('Dvd Calendar'!$M$315&gt;=GRID_FROM)*('Dvd Calendar'!$M$315&lt;=GRID_TO)*('Dvd Calendar'!$M$315&gt;VAL_DATE)=0,"",'Dvd Calendar'!$M$315*1000000000+ISNUMBER('Dvd Calendar'!$M$316)*100000000+0*10000000+(N('Dvd Calendar'!$M$314)&gt;0)*(N('Dvd Calendar'!$M$314)&lt;=VAL_SERIAL)*1000000+28*1000+49))</f>
        <v/>
      </c>
      <c r="GB39" s="121">
        <f>IF(N('Dvd Calendar'!$N$315)=0,"",IF(('Dvd Calendar'!$N$315&gt;=GRID_FROM)*('Dvd Calendar'!$N$315&lt;=GRID_TO)*('Dvd Calendar'!$N$315&gt;VAL_DATE)=0,"",'Dvd Calendar'!$N$315*1000000000+ISNUMBER('Dvd Calendar'!$N$316)*100000000+0*10000000+(N('Dvd Calendar'!$N$314)&gt;0)*(N('Dvd Calendar'!$N$314)&lt;=VAL_SERIAL)*1000000+28*1000+50))</f>
        <v/>
      </c>
      <c r="GC39" s="121">
        <f>IF(N('Dvd Calendar'!$O$315)=0,"",IF(('Dvd Calendar'!$O$315&gt;=GRID_FROM)*('Dvd Calendar'!$O$315&lt;=GRID_TO)*('Dvd Calendar'!$O$315&gt;VAL_DATE)=0,"",'Dvd Calendar'!$O$315*1000000000+ISNUMBER('Dvd Calendar'!$O$316)*100000000+0*10000000+(N('Dvd Calendar'!$O$314)&gt;0)*(N('Dvd Calendar'!$O$314)&lt;=VAL_SERIAL)*1000000+28*1000+51))</f>
        <v/>
      </c>
      <c r="GD39" s="121">
        <f>IF(N('Dvd Calendar'!$P$315)=0,"",IF(('Dvd Calendar'!$P$315&gt;=GRID_FROM)*('Dvd Calendar'!$P$315&lt;=GRID_TO)*('Dvd Calendar'!$P$315&gt;VAL_DATE)=0,"",'Dvd Calendar'!$P$315*1000000000+ISNUMBER('Dvd Calendar'!$P$316)*100000000+0*10000000+(N('Dvd Calendar'!$P$314)&gt;0)*(N('Dvd Calendar'!$P$314)&lt;=VAL_SERIAL)*1000000+28*1000+52))</f>
        <v/>
      </c>
      <c r="GE39" s="121">
        <f>IF(N('Dvd Calendar'!$Q$315)=0,"",IF(('Dvd Calendar'!$Q$315&gt;=GRID_FROM)*('Dvd Calendar'!$Q$315&lt;=GRID_TO)*('Dvd Calendar'!$Q$315&gt;VAL_DATE)=0,"",'Dvd Calendar'!$Q$315*1000000000+ISNUMBER('Dvd Calendar'!$Q$316)*100000000+0*10000000+(N('Dvd Calendar'!$Q$314)&gt;0)*(N('Dvd Calendar'!$Q$314)&lt;=VAL_SERIAL)*1000000+28*1000+53))</f>
        <v/>
      </c>
      <c r="GF39" s="121">
        <f>IF(N('Dvd Calendar'!$R$315)=0,"",IF(('Dvd Calendar'!$R$315&gt;=GRID_FROM)*('Dvd Calendar'!$R$315&lt;=GRID_TO)*('Dvd Calendar'!$R$315&gt;VAL_DATE)=0,"",'Dvd Calendar'!$R$315*1000000000+ISNUMBER('Dvd Calendar'!$R$316)*100000000+0*10000000+(N('Dvd Calendar'!$R$314)&gt;0)*(N('Dvd Calendar'!$R$314)&lt;=VAL_SERIAL)*1000000+28*1000+54))</f>
        <v/>
      </c>
      <c r="GG39" s="121">
        <f>IF(N('Dvd Calendar'!$S$315)=0,"",IF(('Dvd Calendar'!$S$315&gt;=GRID_FROM)*('Dvd Calendar'!$S$315&lt;=GRID_TO)*('Dvd Calendar'!$S$315&gt;VAL_DATE)=0,"",'Dvd Calendar'!$S$315*1000000000+ISNUMBER('Dvd Calendar'!$S$316)*100000000+0*10000000+(N('Dvd Calendar'!$S$314)&gt;0)*(N('Dvd Calendar'!$S$314)&lt;=VAL_SERIAL)*1000000+28*1000+55))</f>
        <v/>
      </c>
      <c r="GH39" s="121">
        <f>IF(N('Dvd Calendar'!$T$315)=0,"",IF(('Dvd Calendar'!$T$315&gt;=GRID_FROM)*('Dvd Calendar'!$T$315&lt;=GRID_TO)*('Dvd Calendar'!$T$315&gt;VAL_DATE)=0,"",'Dvd Calendar'!$T$315*1000000000+ISNUMBER('Dvd Calendar'!$T$316)*100000000+0*10000000+(N('Dvd Calendar'!$T$314)&gt;0)*(N('Dvd Calendar'!$T$314)&lt;=VAL_SERIAL)*1000000+28*1000+56))</f>
        <v/>
      </c>
      <c r="GI39" s="121">
        <f>IF(N('Dvd Calendar'!$U$315)=0,"",IF(('Dvd Calendar'!$U$315&gt;=GRID_FROM)*('Dvd Calendar'!$U$315&lt;=GRID_TO)*('Dvd Calendar'!$U$315&gt;VAL_DATE)=0,"",'Dvd Calendar'!$U$315*1000000000+ISNUMBER('Dvd Calendar'!$U$316)*100000000+0*10000000+(N('Dvd Calendar'!$U$314)&gt;0)*(N('Dvd Calendar'!$U$314)&lt;=VAL_SERIAL)*1000000+28*1000+57))</f>
        <v/>
      </c>
      <c r="GJ39" s="121">
        <f>IF(N('Dvd Calendar'!$V$315)=0,"",IF(('Dvd Calendar'!$V$315&gt;=GRID_FROM)*('Dvd Calendar'!$V$315&lt;=GRID_TO)*('Dvd Calendar'!$V$315&gt;VAL_DATE)=0,"",'Dvd Calendar'!$V$315*1000000000+ISNUMBER('Dvd Calendar'!$V$316)*100000000+0*10000000+(N('Dvd Calendar'!$V$314)&gt;0)*(N('Dvd Calendar'!$V$314)&lt;=VAL_SERIAL)*1000000+28*1000+58))</f>
        <v/>
      </c>
      <c r="GK39" s="121">
        <f>IF(N('Dvd Calendar'!$W$315)=0,"",IF(('Dvd Calendar'!$W$315&gt;=GRID_FROM)*('Dvd Calendar'!$W$315&lt;=GRID_TO)*('Dvd Calendar'!$W$315&gt;VAL_DATE)=0,"",'Dvd Calendar'!$W$315*1000000000+ISNUMBER('Dvd Calendar'!$W$316)*100000000+0*10000000+(N('Dvd Calendar'!$W$314)&gt;0)*(N('Dvd Calendar'!$W$314)&lt;=VAL_SERIAL)*1000000+28*1000+59))</f>
        <v/>
      </c>
      <c r="GL39" s="121">
        <f>IF(N('Dvd Calendar'!$X$315)=0,"",IF(('Dvd Calendar'!$X$315&gt;=GRID_FROM)*('Dvd Calendar'!$X$315&lt;=GRID_TO)*('Dvd Calendar'!$X$315&gt;VAL_DATE)=0,"",'Dvd Calendar'!$X$315*1000000000+ISNUMBER('Dvd Calendar'!$X$316)*100000000+0*10000000+(N('Dvd Calendar'!$X$314)&gt;0)*(N('Dvd Calendar'!$X$314)&lt;=VAL_SERIAL)*1000000+28*1000+60))</f>
        <v/>
      </c>
      <c r="GM39" s="121">
        <f>IF(N('Dvd Calendar'!$Y$315)=0,"",IF(('Dvd Calendar'!$Y$315&gt;=GRID_FROM)*('Dvd Calendar'!$Y$315&lt;=GRID_TO)*('Dvd Calendar'!$Y$315&gt;VAL_DATE)=0,"",'Dvd Calendar'!$Y$315*1000000000+ISNUMBER('Dvd Calendar'!$Y$316)*100000000+0*10000000+(N('Dvd Calendar'!$Y$314)&gt;0)*(N('Dvd Calendar'!$Y$314)&lt;=VAL_SERIAL)*1000000+28*1000+61))</f>
        <v/>
      </c>
      <c r="GN39" s="121">
        <f>IF(N('Dvd Calendar'!$Z$315)=0,"",IF(('Dvd Calendar'!$Z$315&gt;=GRID_FROM)*('Dvd Calendar'!$Z$315&lt;=GRID_TO)*('Dvd Calendar'!$Z$315&gt;VAL_DATE)=0,"",'Dvd Calendar'!$Z$315*1000000000+ISNUMBER('Dvd Calendar'!$Z$316)*100000000+0*10000000+(N('Dvd Calendar'!$Z$314)&gt;0)*(N('Dvd Calendar'!$Z$314)&lt;=VAL_SERIAL)*1000000+28*1000+62))</f>
        <v/>
      </c>
      <c r="GO39" s="121">
        <f>IF(N('Dvd Calendar'!$AA$315)=0,"",IF(('Dvd Calendar'!$AA$315&gt;=GRID_FROM)*('Dvd Calendar'!$AA$315&lt;=GRID_TO)*('Dvd Calendar'!$AA$315&gt;VAL_DATE)=0,"",'Dvd Calendar'!$AA$315*1000000000+ISNUMBER('Dvd Calendar'!$AA$316)*100000000+0*10000000+(N('Dvd Calendar'!$AA$314)&gt;0)*(N('Dvd Calendar'!$AA$314)&lt;=VAL_SERIAL)*1000000+28*1000+63))</f>
        <v/>
      </c>
      <c r="GP39" s="121">
        <f>IF(N('Dvd Calendar'!$AB$315)=0,"",IF(('Dvd Calendar'!$AB$315&gt;=GRID_FROM)*('Dvd Calendar'!$AB$315&lt;=GRID_TO)*('Dvd Calendar'!$AB$315&gt;VAL_DATE)=0,"",'Dvd Calendar'!$AB$315*1000000000+ISNUMBER('Dvd Calendar'!$AB$316)*100000000+0*10000000+(N('Dvd Calendar'!$AB$314)&gt;0)*(N('Dvd Calendar'!$AB$314)&lt;=VAL_SERIAL)*1000000+28*1000+64))</f>
        <v/>
      </c>
      <c r="GQ39" s="121">
        <f>IF(N('Dvd Calendar'!$AC$315)=0,"",IF(('Dvd Calendar'!$AC$315&gt;=GRID_FROM)*('Dvd Calendar'!$AC$315&lt;=GRID_TO)*('Dvd Calendar'!$AC$315&gt;VAL_DATE)=0,"",'Dvd Calendar'!$AC$315*1000000000+ISNUMBER('Dvd Calendar'!$AC$316)*100000000+0*10000000+(N('Dvd Calendar'!$AC$314)&gt;0)*(N('Dvd Calendar'!$AC$314)&lt;=VAL_SERIAL)*1000000+28*1000+65))</f>
        <v/>
      </c>
    </row>
    <row r="40">
      <c r="B40" s="2">
        <f>IF(HSI!$C$35="","",HSI!$C$35)</f>
        <v/>
      </c>
      <c r="C40" s="161">
        <f>IF(EE40="","",IF(ISNUMBER('Dvd Calendar'!$E$322)=FALSE,"",IF((('Dvd Calendar'!$E$324=TYPE1)*(TYPE1&lt;&gt;"")+('Dvd Calendar'!$E$324=TYPE2)*(TYPE2&lt;&gt;"")+('Dvd Calendar'!$E$324=TYPE3)*(TYPE3&lt;&gt;"")+('Dvd Calendar'!$E$324=TYPE4)*(TYPE4&lt;&gt;"")+('Dvd Calendar'!$E$324=SPECIAL_LBL)*(INC_SPECIALS="Y"))=0,"",'Dvd Calendar'!$E$322)))</f>
        <v/>
      </c>
      <c r="D40" s="161">
        <f>IF(EF40="","",IF(ISNUMBER('Dvd Calendar'!$F$322)=FALSE,"",IF((('Dvd Calendar'!$F$324=TYPE1)*(TYPE1&lt;&gt;"")+('Dvd Calendar'!$F$324=TYPE2)*(TYPE2&lt;&gt;"")+('Dvd Calendar'!$F$324=TYPE3)*(TYPE3&lt;&gt;"")+('Dvd Calendar'!$F$324=TYPE4)*(TYPE4&lt;&gt;"")+('Dvd Calendar'!$F$324=SPECIAL_LBL)*(INC_SPECIALS="Y"))=0,"",'Dvd Calendar'!$F$322)))</f>
        <v/>
      </c>
      <c r="E40" s="161">
        <f>IF(EG40="","",IF(ISNUMBER('Dvd Calendar'!$G$322)=FALSE,"",IF((('Dvd Calendar'!$G$324=TYPE1)*(TYPE1&lt;&gt;"")+('Dvd Calendar'!$G$324=TYPE2)*(TYPE2&lt;&gt;"")+('Dvd Calendar'!$G$324=TYPE3)*(TYPE3&lt;&gt;"")+('Dvd Calendar'!$G$324=TYPE4)*(TYPE4&lt;&gt;"")+('Dvd Calendar'!$G$324=SPECIAL_LBL)*(INC_SPECIALS="Y"))=0,"",'Dvd Calendar'!$G$322)))</f>
        <v/>
      </c>
      <c r="F40" s="161">
        <f>IF(EH40="","",IF(ISNUMBER('Dvd Calendar'!$H$322)=FALSE,"",IF((('Dvd Calendar'!$H$324=TYPE1)*(TYPE1&lt;&gt;"")+('Dvd Calendar'!$H$324=TYPE2)*(TYPE2&lt;&gt;"")+('Dvd Calendar'!$H$324=TYPE3)*(TYPE3&lt;&gt;"")+('Dvd Calendar'!$H$324=TYPE4)*(TYPE4&lt;&gt;"")+('Dvd Calendar'!$H$324=SPECIAL_LBL)*(INC_SPECIALS="Y"))=0,"",'Dvd Calendar'!$H$322)))</f>
        <v/>
      </c>
      <c r="G40" s="161">
        <f>IF(EI40="","",IF(ISNUMBER('Dvd Calendar'!$I$322)=FALSE,"",IF((('Dvd Calendar'!$I$324=TYPE1)*(TYPE1&lt;&gt;"")+('Dvd Calendar'!$I$324=TYPE2)*(TYPE2&lt;&gt;"")+('Dvd Calendar'!$I$324=TYPE3)*(TYPE3&lt;&gt;"")+('Dvd Calendar'!$I$324=TYPE4)*(TYPE4&lt;&gt;"")+('Dvd Calendar'!$I$324=SPECIAL_LBL)*(INC_SPECIALS="Y"))=0,"",'Dvd Calendar'!$I$322)))</f>
        <v/>
      </c>
      <c r="H40" s="161">
        <f>IF(EJ40="","",IF(ISNUMBER('Dvd Calendar'!$J$322)=FALSE,"",IF((('Dvd Calendar'!$J$324=TYPE1)*(TYPE1&lt;&gt;"")+('Dvd Calendar'!$J$324=TYPE2)*(TYPE2&lt;&gt;"")+('Dvd Calendar'!$J$324=TYPE3)*(TYPE3&lt;&gt;"")+('Dvd Calendar'!$J$324=TYPE4)*(TYPE4&lt;&gt;"")+('Dvd Calendar'!$J$324=SPECIAL_LBL)*(INC_SPECIALS="Y"))=0,"",'Dvd Calendar'!$J$322)))</f>
        <v/>
      </c>
      <c r="I40" s="161">
        <f>IF(EK40="","",IF(ISNUMBER('Dvd Calendar'!$K$322)=FALSE,"",IF((('Dvd Calendar'!$K$324=TYPE1)*(TYPE1&lt;&gt;"")+('Dvd Calendar'!$K$324=TYPE2)*(TYPE2&lt;&gt;"")+('Dvd Calendar'!$K$324=TYPE3)*(TYPE3&lt;&gt;"")+('Dvd Calendar'!$K$324=TYPE4)*(TYPE4&lt;&gt;"")+('Dvd Calendar'!$K$324=SPECIAL_LBL)*(INC_SPECIALS="Y"))=0,"",'Dvd Calendar'!$K$322)))</f>
        <v/>
      </c>
      <c r="J40" s="161">
        <f>IF(EL40="","",IF(ISNUMBER('Dvd Calendar'!$L$322)=FALSE,"",IF((('Dvd Calendar'!$L$324=TYPE1)*(TYPE1&lt;&gt;"")+('Dvd Calendar'!$L$324=TYPE2)*(TYPE2&lt;&gt;"")+('Dvd Calendar'!$L$324=TYPE3)*(TYPE3&lt;&gt;"")+('Dvd Calendar'!$L$324=TYPE4)*(TYPE4&lt;&gt;"")+('Dvd Calendar'!$L$324=SPECIAL_LBL)*(INC_SPECIALS="Y"))=0,"",'Dvd Calendar'!$L$322)))</f>
        <v/>
      </c>
      <c r="K40" s="161">
        <f>IF(EM40="","",IF(ISNUMBER('Dvd Calendar'!$M$322)=FALSE,"",IF((('Dvd Calendar'!$M$324=TYPE1)*(TYPE1&lt;&gt;"")+('Dvd Calendar'!$M$324=TYPE2)*(TYPE2&lt;&gt;"")+('Dvd Calendar'!$M$324=TYPE3)*(TYPE3&lt;&gt;"")+('Dvd Calendar'!$M$324=TYPE4)*(TYPE4&lt;&gt;"")+('Dvd Calendar'!$M$324=SPECIAL_LBL)*(INC_SPECIALS="Y"))=0,"",'Dvd Calendar'!$M$322)))</f>
        <v/>
      </c>
      <c r="L40" s="161">
        <f>IF(EN40="","",IF(ISNUMBER('Dvd Calendar'!$N$322)=FALSE,"",IF((('Dvd Calendar'!$N$324=TYPE1)*(TYPE1&lt;&gt;"")+('Dvd Calendar'!$N$324=TYPE2)*(TYPE2&lt;&gt;"")+('Dvd Calendar'!$N$324=TYPE3)*(TYPE3&lt;&gt;"")+('Dvd Calendar'!$N$324=TYPE4)*(TYPE4&lt;&gt;"")+('Dvd Calendar'!$N$324=SPECIAL_LBL)*(INC_SPECIALS="Y"))=0,"",'Dvd Calendar'!$N$322)))</f>
        <v/>
      </c>
      <c r="M40" s="161">
        <f>IF(EO40="","",IF(ISNUMBER('Dvd Calendar'!$O$322)=FALSE,"",IF((('Dvd Calendar'!$O$324=TYPE1)*(TYPE1&lt;&gt;"")+('Dvd Calendar'!$O$324=TYPE2)*(TYPE2&lt;&gt;"")+('Dvd Calendar'!$O$324=TYPE3)*(TYPE3&lt;&gt;"")+('Dvd Calendar'!$O$324=TYPE4)*(TYPE4&lt;&gt;"")+('Dvd Calendar'!$O$324=SPECIAL_LBL)*(INC_SPECIALS="Y"))=0,"",'Dvd Calendar'!$O$322)))</f>
        <v/>
      </c>
      <c r="N40" s="161">
        <f>IF(EP40="","",IF(ISNUMBER('Dvd Calendar'!$P$322)=FALSE,"",IF((('Dvd Calendar'!$P$324=TYPE1)*(TYPE1&lt;&gt;"")+('Dvd Calendar'!$P$324=TYPE2)*(TYPE2&lt;&gt;"")+('Dvd Calendar'!$P$324=TYPE3)*(TYPE3&lt;&gt;"")+('Dvd Calendar'!$P$324=TYPE4)*(TYPE4&lt;&gt;"")+('Dvd Calendar'!$P$324=SPECIAL_LBL)*(INC_SPECIALS="Y"))=0,"",'Dvd Calendar'!$P$322)))</f>
        <v/>
      </c>
      <c r="O40" s="161">
        <f>IF(EQ40="","",IF(ISNUMBER('Dvd Calendar'!$Q$322)=FALSE,"",IF((('Dvd Calendar'!$Q$324=TYPE1)*(TYPE1&lt;&gt;"")+('Dvd Calendar'!$Q$324=TYPE2)*(TYPE2&lt;&gt;"")+('Dvd Calendar'!$Q$324=TYPE3)*(TYPE3&lt;&gt;"")+('Dvd Calendar'!$Q$324=TYPE4)*(TYPE4&lt;&gt;"")+('Dvd Calendar'!$Q$324=SPECIAL_LBL)*(INC_SPECIALS="Y"))=0,"",'Dvd Calendar'!$Q$322)))</f>
        <v/>
      </c>
      <c r="P40" s="161">
        <f>IF(ER40="","",IF(ISNUMBER('Dvd Calendar'!$R$322)=FALSE,"",IF((('Dvd Calendar'!$R$324=TYPE1)*(TYPE1&lt;&gt;"")+('Dvd Calendar'!$R$324=TYPE2)*(TYPE2&lt;&gt;"")+('Dvd Calendar'!$R$324=TYPE3)*(TYPE3&lt;&gt;"")+('Dvd Calendar'!$R$324=TYPE4)*(TYPE4&lt;&gt;"")+('Dvd Calendar'!$R$324=SPECIAL_LBL)*(INC_SPECIALS="Y"))=0,"",'Dvd Calendar'!$R$322)))</f>
        <v/>
      </c>
      <c r="Q40" s="161">
        <f>IF(ES40="","",IF(ISNUMBER('Dvd Calendar'!$S$322)=FALSE,"",IF((('Dvd Calendar'!$S$324=TYPE1)*(TYPE1&lt;&gt;"")+('Dvd Calendar'!$S$324=TYPE2)*(TYPE2&lt;&gt;"")+('Dvd Calendar'!$S$324=TYPE3)*(TYPE3&lt;&gt;"")+('Dvd Calendar'!$S$324=TYPE4)*(TYPE4&lt;&gt;"")+('Dvd Calendar'!$S$324=SPECIAL_LBL)*(INC_SPECIALS="Y"))=0,"",'Dvd Calendar'!$S$322)))</f>
        <v/>
      </c>
      <c r="R40" s="161">
        <f>IF(ET40="","",IF(ISNUMBER('Dvd Calendar'!$T$322)=FALSE,"",IF((('Dvd Calendar'!$T$324=TYPE1)*(TYPE1&lt;&gt;"")+('Dvd Calendar'!$T$324=TYPE2)*(TYPE2&lt;&gt;"")+('Dvd Calendar'!$T$324=TYPE3)*(TYPE3&lt;&gt;"")+('Dvd Calendar'!$T$324=TYPE4)*(TYPE4&lt;&gt;"")+('Dvd Calendar'!$T$324=SPECIAL_LBL)*(INC_SPECIALS="Y"))=0,"",'Dvd Calendar'!$T$322)))</f>
        <v/>
      </c>
      <c r="S40" s="161">
        <f>IF(EU40="","",IF(ISNUMBER('Dvd Calendar'!$U$322)=FALSE,"",IF((('Dvd Calendar'!$U$324=TYPE1)*(TYPE1&lt;&gt;"")+('Dvd Calendar'!$U$324=TYPE2)*(TYPE2&lt;&gt;"")+('Dvd Calendar'!$U$324=TYPE3)*(TYPE3&lt;&gt;"")+('Dvd Calendar'!$U$324=TYPE4)*(TYPE4&lt;&gt;"")+('Dvd Calendar'!$U$324=SPECIAL_LBL)*(INC_SPECIALS="Y"))=0,"",'Dvd Calendar'!$U$322)))</f>
        <v/>
      </c>
      <c r="T40" s="161">
        <f>IF(EV40="","",IF(ISNUMBER('Dvd Calendar'!$V$322)=FALSE,"",IF((('Dvd Calendar'!$V$324=TYPE1)*(TYPE1&lt;&gt;"")+('Dvd Calendar'!$V$324=TYPE2)*(TYPE2&lt;&gt;"")+('Dvd Calendar'!$V$324=TYPE3)*(TYPE3&lt;&gt;"")+('Dvd Calendar'!$V$324=TYPE4)*(TYPE4&lt;&gt;"")+('Dvd Calendar'!$V$324=SPECIAL_LBL)*(INC_SPECIALS="Y"))=0,"",'Dvd Calendar'!$V$322)))</f>
        <v/>
      </c>
      <c r="U40" s="161">
        <f>IF(EW40="","",IF(ISNUMBER('Dvd Calendar'!$W$322)=FALSE,"",IF((('Dvd Calendar'!$W$324=TYPE1)*(TYPE1&lt;&gt;"")+('Dvd Calendar'!$W$324=TYPE2)*(TYPE2&lt;&gt;"")+('Dvd Calendar'!$W$324=TYPE3)*(TYPE3&lt;&gt;"")+('Dvd Calendar'!$W$324=TYPE4)*(TYPE4&lt;&gt;"")+('Dvd Calendar'!$W$324=SPECIAL_LBL)*(INC_SPECIALS="Y"))=0,"",'Dvd Calendar'!$W$322)))</f>
        <v/>
      </c>
      <c r="V40" s="161">
        <f>IF(EX40="","",IF(ISNUMBER('Dvd Calendar'!$X$322)=FALSE,"",IF((('Dvd Calendar'!$X$324=TYPE1)*(TYPE1&lt;&gt;"")+('Dvd Calendar'!$X$324=TYPE2)*(TYPE2&lt;&gt;"")+('Dvd Calendar'!$X$324=TYPE3)*(TYPE3&lt;&gt;"")+('Dvd Calendar'!$X$324=TYPE4)*(TYPE4&lt;&gt;"")+('Dvd Calendar'!$X$324=SPECIAL_LBL)*(INC_SPECIALS="Y"))=0,"",'Dvd Calendar'!$X$322)))</f>
        <v/>
      </c>
      <c r="W40" s="161">
        <f>IF(EY40="","",IF(ISNUMBER('Dvd Calendar'!$Y$322)=FALSE,"",IF((('Dvd Calendar'!$Y$324=TYPE1)*(TYPE1&lt;&gt;"")+('Dvd Calendar'!$Y$324=TYPE2)*(TYPE2&lt;&gt;"")+('Dvd Calendar'!$Y$324=TYPE3)*(TYPE3&lt;&gt;"")+('Dvd Calendar'!$Y$324=TYPE4)*(TYPE4&lt;&gt;"")+('Dvd Calendar'!$Y$324=SPECIAL_LBL)*(INC_SPECIALS="Y"))=0,"",'Dvd Calendar'!$Y$322)))</f>
        <v/>
      </c>
      <c r="X40" s="161">
        <f>IF(EZ40="","",IF(ISNUMBER('Dvd Calendar'!$Z$322)=FALSE,"",IF((('Dvd Calendar'!$Z$324=TYPE1)*(TYPE1&lt;&gt;"")+('Dvd Calendar'!$Z$324=TYPE2)*(TYPE2&lt;&gt;"")+('Dvd Calendar'!$Z$324=TYPE3)*(TYPE3&lt;&gt;"")+('Dvd Calendar'!$Z$324=TYPE4)*(TYPE4&lt;&gt;"")+('Dvd Calendar'!$Z$324=SPECIAL_LBL)*(INC_SPECIALS="Y"))=0,"",'Dvd Calendar'!$Z$322)))</f>
        <v/>
      </c>
      <c r="Y40" s="161">
        <f>IF(FA40="","",IF(ISNUMBER('Dvd Calendar'!$AA$322)=FALSE,"",IF((('Dvd Calendar'!$AA$324=TYPE1)*(TYPE1&lt;&gt;"")+('Dvd Calendar'!$AA$324=TYPE2)*(TYPE2&lt;&gt;"")+('Dvd Calendar'!$AA$324=TYPE3)*(TYPE3&lt;&gt;"")+('Dvd Calendar'!$AA$324=TYPE4)*(TYPE4&lt;&gt;"")+('Dvd Calendar'!$AA$324=SPECIAL_LBL)*(INC_SPECIALS="Y"))=0,"",'Dvd Calendar'!$AA$322)))</f>
        <v/>
      </c>
      <c r="Z40" s="161">
        <f>IF(FB40="","",IF(ISNUMBER('Dvd Calendar'!$AB$322)=FALSE,"",IF((('Dvd Calendar'!$AB$324=TYPE1)*(TYPE1&lt;&gt;"")+('Dvd Calendar'!$AB$324=TYPE2)*(TYPE2&lt;&gt;"")+('Dvd Calendar'!$AB$324=TYPE3)*(TYPE3&lt;&gt;"")+('Dvd Calendar'!$AB$324=TYPE4)*(TYPE4&lt;&gt;"")+('Dvd Calendar'!$AB$324=SPECIAL_LBL)*(INC_SPECIALS="Y"))=0,"",'Dvd Calendar'!$AB$322)))</f>
        <v/>
      </c>
      <c r="AA40" s="161">
        <f>IF(FC40="","",IF(ISNUMBER('Dvd Calendar'!$AC$322)=FALSE,"",IF((('Dvd Calendar'!$AC$324=TYPE1)*(TYPE1&lt;&gt;"")+('Dvd Calendar'!$AC$324=TYPE2)*(TYPE2&lt;&gt;"")+('Dvd Calendar'!$AC$324=TYPE3)*(TYPE3&lt;&gt;"")+('Dvd Calendar'!$AC$324=TYPE4)*(TYPE4&lt;&gt;"")+('Dvd Calendar'!$AC$324=SPECIAL_LBL)*(INC_SPECIALS="Y"))=0,"",'Dvd Calendar'!$AC$322)))</f>
        <v/>
      </c>
      <c r="AB40" s="161">
        <f>IF(FD40="","",IF(ISNUMBER('Dvd Calendar'!$AD$322)=FALSE,"",IF((('Dvd Calendar'!$AD$324=TYPE1)*(TYPE1&lt;&gt;"")+('Dvd Calendar'!$AD$324=TYPE2)*(TYPE2&lt;&gt;"")+('Dvd Calendar'!$AD$324=TYPE3)*(TYPE3&lt;&gt;"")+('Dvd Calendar'!$AD$324=TYPE4)*(TYPE4&lt;&gt;"")+('Dvd Calendar'!$AD$324=SPECIAL_LBL)*(INC_SPECIALS="Y"))=0,"",'Dvd Calendar'!$AD$322)))</f>
        <v/>
      </c>
      <c r="AC40" s="161">
        <f>IF(FE40="","",IF(ISNUMBER('Dvd Calendar'!$AE$322)=FALSE,"",IF((('Dvd Calendar'!$AE$324=TYPE1)*(TYPE1&lt;&gt;"")+('Dvd Calendar'!$AE$324=TYPE2)*(TYPE2&lt;&gt;"")+('Dvd Calendar'!$AE$324=TYPE3)*(TYPE3&lt;&gt;"")+('Dvd Calendar'!$AE$324=TYPE4)*(TYPE4&lt;&gt;"")+('Dvd Calendar'!$AE$324=SPECIAL_LBL)*(INC_SPECIALS="Y"))=0,"",'Dvd Calendar'!$AE$322)))</f>
        <v/>
      </c>
      <c r="AD40" s="161">
        <f>IF(FF40="","",IF(ISNUMBER('Dvd Calendar'!$AF$322)=FALSE,"",IF((('Dvd Calendar'!$AF$324=TYPE1)*(TYPE1&lt;&gt;"")+('Dvd Calendar'!$AF$324=TYPE2)*(TYPE2&lt;&gt;"")+('Dvd Calendar'!$AF$324=TYPE3)*(TYPE3&lt;&gt;"")+('Dvd Calendar'!$AF$324=TYPE4)*(TYPE4&lt;&gt;"")+('Dvd Calendar'!$AF$324=SPECIAL_LBL)*(INC_SPECIALS="Y"))=0,"",'Dvd Calendar'!$AF$322)))</f>
        <v/>
      </c>
      <c r="AE40" s="161">
        <f>IF(FG40="","",IF(ISNUMBER('Dvd Calendar'!$AG$322)=FALSE,"",IF((('Dvd Calendar'!$AG$324=TYPE1)*(TYPE1&lt;&gt;"")+('Dvd Calendar'!$AG$324=TYPE2)*(TYPE2&lt;&gt;"")+('Dvd Calendar'!$AG$324=TYPE3)*(TYPE3&lt;&gt;"")+('Dvd Calendar'!$AG$324=TYPE4)*(TYPE4&lt;&gt;"")+('Dvd Calendar'!$AG$324=SPECIAL_LBL)*(INC_SPECIALS="Y"))=0,"",'Dvd Calendar'!$AG$322)))</f>
        <v/>
      </c>
      <c r="AF40" s="161">
        <f>IF(FH40="","",IF(ISNUMBER('Dvd Calendar'!$AH$322)=FALSE,"",IF((('Dvd Calendar'!$AH$324=TYPE1)*(TYPE1&lt;&gt;"")+('Dvd Calendar'!$AH$324=TYPE2)*(TYPE2&lt;&gt;"")+('Dvd Calendar'!$AH$324=TYPE3)*(TYPE3&lt;&gt;"")+('Dvd Calendar'!$AH$324=TYPE4)*(TYPE4&lt;&gt;"")+('Dvd Calendar'!$AH$324=SPECIAL_LBL)*(INC_SPECIALS="Y"))=0,"",'Dvd Calendar'!$AH$322)))</f>
        <v/>
      </c>
      <c r="AG40" s="161">
        <f>IF(FI40="","",IF(ISNUMBER('Dvd Calendar'!$AI$322)=FALSE,"",IF((('Dvd Calendar'!$AI$324=TYPE1)*(TYPE1&lt;&gt;"")+('Dvd Calendar'!$AI$324=TYPE2)*(TYPE2&lt;&gt;"")+('Dvd Calendar'!$AI$324=TYPE3)*(TYPE3&lt;&gt;"")+('Dvd Calendar'!$AI$324=TYPE4)*(TYPE4&lt;&gt;"")+('Dvd Calendar'!$AI$324=SPECIAL_LBL)*(INC_SPECIALS="Y"))=0,"",'Dvd Calendar'!$AI$322)))</f>
        <v/>
      </c>
      <c r="AH40" s="161">
        <f>IF(FJ40="","",IF(ISNUMBER('Dvd Calendar'!$AJ$322)=FALSE,"",IF((('Dvd Calendar'!$AJ$324=TYPE1)*(TYPE1&lt;&gt;"")+('Dvd Calendar'!$AJ$324=TYPE2)*(TYPE2&lt;&gt;"")+('Dvd Calendar'!$AJ$324=TYPE3)*(TYPE3&lt;&gt;"")+('Dvd Calendar'!$AJ$324=TYPE4)*(TYPE4&lt;&gt;"")+('Dvd Calendar'!$AJ$324=SPECIAL_LBL)*(INC_SPECIALS="Y"))=0,"",'Dvd Calendar'!$AJ$322)))</f>
        <v/>
      </c>
      <c r="AI40" s="161">
        <f>IF(FK40="","",IF(ISNUMBER('Dvd Calendar'!$AK$322)=FALSE,"",IF((('Dvd Calendar'!$AK$324=TYPE1)*(TYPE1&lt;&gt;"")+('Dvd Calendar'!$AK$324=TYPE2)*(TYPE2&lt;&gt;"")+('Dvd Calendar'!$AK$324=TYPE3)*(TYPE3&lt;&gt;"")+('Dvd Calendar'!$AK$324=TYPE4)*(TYPE4&lt;&gt;"")+('Dvd Calendar'!$AK$324=SPECIAL_LBL)*(INC_SPECIALS="Y"))=0,"",'Dvd Calendar'!$AK$322)))</f>
        <v/>
      </c>
      <c r="AJ40" s="161">
        <f>IF(FL40="","",IF(ISNUMBER('Dvd Calendar'!$AL$322)=FALSE,"",IF((('Dvd Calendar'!$AL$324=TYPE1)*(TYPE1&lt;&gt;"")+('Dvd Calendar'!$AL$324=TYPE2)*(TYPE2&lt;&gt;"")+('Dvd Calendar'!$AL$324=TYPE3)*(TYPE3&lt;&gt;"")+('Dvd Calendar'!$AL$324=TYPE4)*(TYPE4&lt;&gt;"")+('Dvd Calendar'!$AL$324=SPECIAL_LBL)*(INC_SPECIALS="Y"))=0,"",'Dvd Calendar'!$AL$322)))</f>
        <v/>
      </c>
      <c r="AK40" s="161">
        <f>IF(FM40="","",IF(ISNUMBER('Dvd Calendar'!$AM$322)=FALSE,"",IF((('Dvd Calendar'!$AM$324=TYPE1)*(TYPE1&lt;&gt;"")+('Dvd Calendar'!$AM$324=TYPE2)*(TYPE2&lt;&gt;"")+('Dvd Calendar'!$AM$324=TYPE3)*(TYPE3&lt;&gt;"")+('Dvd Calendar'!$AM$324=TYPE4)*(TYPE4&lt;&gt;"")+('Dvd Calendar'!$AM$324=SPECIAL_LBL)*(INC_SPECIALS="Y"))=0,"",'Dvd Calendar'!$AM$322)))</f>
        <v/>
      </c>
      <c r="AL40" s="161">
        <f>IF(FN40="","",IF(ISNUMBER('Dvd Calendar'!$AN$322)=FALSE,"",IF((('Dvd Calendar'!$AN$324=TYPE1)*(TYPE1&lt;&gt;"")+('Dvd Calendar'!$AN$324=TYPE2)*(TYPE2&lt;&gt;"")+('Dvd Calendar'!$AN$324=TYPE3)*(TYPE3&lt;&gt;"")+('Dvd Calendar'!$AN$324=TYPE4)*(TYPE4&lt;&gt;"")+('Dvd Calendar'!$AN$324=SPECIAL_LBL)*(INC_SPECIALS="Y"))=0,"",'Dvd Calendar'!$AN$322)))</f>
        <v/>
      </c>
      <c r="AM40" s="161">
        <f>IF(FO40="","",IF(ISNUMBER('Dvd Calendar'!$AO$322)=FALSE,"",IF((('Dvd Calendar'!$AO$324=TYPE1)*(TYPE1&lt;&gt;"")+('Dvd Calendar'!$AO$324=TYPE2)*(TYPE2&lt;&gt;"")+('Dvd Calendar'!$AO$324=TYPE3)*(TYPE3&lt;&gt;"")+('Dvd Calendar'!$AO$324=TYPE4)*(TYPE4&lt;&gt;"")+('Dvd Calendar'!$AO$324=SPECIAL_LBL)*(INC_SPECIALS="Y"))=0,"",'Dvd Calendar'!$AO$322)))</f>
        <v/>
      </c>
      <c r="AN40" s="161">
        <f>IF(FP40="","",IF(ISNUMBER('Dvd Calendar'!$AP$322)=FALSE,"",IF((('Dvd Calendar'!$AP$324=TYPE1)*(TYPE1&lt;&gt;"")+('Dvd Calendar'!$AP$324=TYPE2)*(TYPE2&lt;&gt;"")+('Dvd Calendar'!$AP$324=TYPE3)*(TYPE3&lt;&gt;"")+('Dvd Calendar'!$AP$324=TYPE4)*(TYPE4&lt;&gt;"")+('Dvd Calendar'!$AP$324=SPECIAL_LBL)*(INC_SPECIALS="Y"))=0,"",'Dvd Calendar'!$AP$322)))</f>
        <v/>
      </c>
      <c r="AO40" s="161">
        <f>IF(FQ40="","",IF(ISNUMBER('Dvd Calendar'!$AQ$322)=FALSE,"",IF((('Dvd Calendar'!$AQ$324=TYPE1)*(TYPE1&lt;&gt;"")+('Dvd Calendar'!$AQ$324=TYPE2)*(TYPE2&lt;&gt;"")+('Dvd Calendar'!$AQ$324=TYPE3)*(TYPE3&lt;&gt;"")+('Dvd Calendar'!$AQ$324=TYPE4)*(TYPE4&lt;&gt;"")+('Dvd Calendar'!$AQ$324=SPECIAL_LBL)*(INC_SPECIALS="Y"))=0,"",'Dvd Calendar'!$AQ$322)))</f>
        <v/>
      </c>
      <c r="AP40" s="161">
        <f>IF(FR40="","",IF(ISNUMBER('Dvd Calendar'!$AR$322)=FALSE,"",IF((('Dvd Calendar'!$AR$324=TYPE1)*(TYPE1&lt;&gt;"")+('Dvd Calendar'!$AR$324=TYPE2)*(TYPE2&lt;&gt;"")+('Dvd Calendar'!$AR$324=TYPE3)*(TYPE3&lt;&gt;"")+('Dvd Calendar'!$AR$324=TYPE4)*(TYPE4&lt;&gt;"")+('Dvd Calendar'!$AR$324=SPECIAL_LBL)*(INC_SPECIALS="Y"))=0,"",'Dvd Calendar'!$AR$322)))</f>
        <v/>
      </c>
      <c r="AQ40" s="161">
        <f>IF(FS40="","",IF(ISNUMBER('Dvd Calendar'!$E$327)=FALSE,"",'Dvd Calendar'!$E$327))</f>
        <v/>
      </c>
      <c r="AR40" s="161">
        <f>IF(FT40="","",IF(ISNUMBER('Dvd Calendar'!$F$327)=FALSE,"",'Dvd Calendar'!$F$327))</f>
        <v/>
      </c>
      <c r="AS40" s="161">
        <f>IF(FU40="","",IF(ISNUMBER('Dvd Calendar'!$G$327)=FALSE,"",'Dvd Calendar'!$G$327))</f>
        <v/>
      </c>
      <c r="AT40" s="161">
        <f>IF(FV40="","",IF(ISNUMBER('Dvd Calendar'!$H$327)=FALSE,"",'Dvd Calendar'!$H$327))</f>
        <v/>
      </c>
      <c r="AU40" s="161">
        <f>IF(FW40="","",IF(ISNUMBER('Dvd Calendar'!$I$327)=FALSE,"",'Dvd Calendar'!$I$327))</f>
        <v/>
      </c>
      <c r="AV40" s="161">
        <f>IF(FX40="","",IF(ISNUMBER('Dvd Calendar'!$J$327)=FALSE,"",'Dvd Calendar'!$J$327))</f>
        <v/>
      </c>
      <c r="AW40" s="161">
        <f>IF(FY40="","",IF(ISNUMBER('Dvd Calendar'!$K$327)=FALSE,"",'Dvd Calendar'!$K$327))</f>
        <v/>
      </c>
      <c r="AX40" s="161">
        <f>IF(FZ40="","",IF(ISNUMBER('Dvd Calendar'!$L$327)=FALSE,"",'Dvd Calendar'!$L$327))</f>
        <v/>
      </c>
      <c r="AY40" s="161">
        <f>IF(GA40="","",IF(ISNUMBER('Dvd Calendar'!$M$327)=FALSE,"",'Dvd Calendar'!$M$327))</f>
        <v/>
      </c>
      <c r="AZ40" s="161">
        <f>IF(GB40="","",IF(ISNUMBER('Dvd Calendar'!$N$327)=FALSE,"",'Dvd Calendar'!$N$327))</f>
        <v/>
      </c>
      <c r="BA40" s="161">
        <f>IF(GC40="","",IF(ISNUMBER('Dvd Calendar'!$O$327)=FALSE,"",'Dvd Calendar'!$O$327))</f>
        <v/>
      </c>
      <c r="BB40" s="161">
        <f>IF(GD40="","",IF(ISNUMBER('Dvd Calendar'!$P$327)=FALSE,"",'Dvd Calendar'!$P$327))</f>
        <v/>
      </c>
      <c r="BC40" s="161">
        <f>IF(GE40="","",IF(ISNUMBER('Dvd Calendar'!$Q$327)=FALSE,"",'Dvd Calendar'!$Q$327))</f>
        <v/>
      </c>
      <c r="BD40" s="161">
        <f>IF(GF40="","",IF(ISNUMBER('Dvd Calendar'!$R$327)=FALSE,"",'Dvd Calendar'!$R$327))</f>
        <v/>
      </c>
      <c r="BE40" s="161">
        <f>IF(GG40="","",IF(ISNUMBER('Dvd Calendar'!$S$327)=FALSE,"",'Dvd Calendar'!$S$327))</f>
        <v/>
      </c>
      <c r="BF40" s="161">
        <f>IF(GH40="","",IF(ISNUMBER('Dvd Calendar'!$T$327)=FALSE,"",'Dvd Calendar'!$T$327))</f>
        <v/>
      </c>
      <c r="BG40" s="161">
        <f>IF(GI40="","",IF(ISNUMBER('Dvd Calendar'!$U$327)=FALSE,"",'Dvd Calendar'!$U$327))</f>
        <v/>
      </c>
      <c r="BH40" s="161">
        <f>IF(GJ40="","",IF(ISNUMBER('Dvd Calendar'!$V$327)=FALSE,"",'Dvd Calendar'!$V$327))</f>
        <v/>
      </c>
      <c r="BI40" s="161">
        <f>IF(GK40="","",IF(ISNUMBER('Dvd Calendar'!$W$327)=FALSE,"",'Dvd Calendar'!$W$327))</f>
        <v/>
      </c>
      <c r="BJ40" s="161">
        <f>IF(GL40="","",IF(ISNUMBER('Dvd Calendar'!$X$327)=FALSE,"",'Dvd Calendar'!$X$327))</f>
        <v/>
      </c>
      <c r="BK40" s="161">
        <f>IF(GM40="","",IF(ISNUMBER('Dvd Calendar'!$Y$327)=FALSE,"",'Dvd Calendar'!$Y$327))</f>
        <v/>
      </c>
      <c r="BL40" s="161">
        <f>IF(GN40="","",IF(ISNUMBER('Dvd Calendar'!$Z$327)=FALSE,"",'Dvd Calendar'!$Z$327))</f>
        <v/>
      </c>
      <c r="BM40" s="161">
        <f>IF(GO40="","",IF(ISNUMBER('Dvd Calendar'!$AA$327)=FALSE,"",'Dvd Calendar'!$AA$327))</f>
        <v/>
      </c>
      <c r="BN40" s="161">
        <f>IF(GP40="","",IF(ISNUMBER('Dvd Calendar'!$AB$327)=FALSE,"",'Dvd Calendar'!$AB$327))</f>
        <v/>
      </c>
      <c r="BO40" s="161">
        <f>IF(GQ40="","",IF(ISNUMBER('Dvd Calendar'!$AC$327)=FALSE,"",'Dvd Calendar'!$AC$327))</f>
        <v/>
      </c>
      <c r="BQ40" s="161">
        <f>IF(C40="","",IFERROR(C40*HSI!$B$35*HSI!$G$35/HSI!$B$3,""))</f>
        <v/>
      </c>
      <c r="BR40" s="161">
        <f>IF(D40="","",IFERROR(D40*HSI!$B$35*HSI!$G$35/HSI!$B$3,""))</f>
        <v/>
      </c>
      <c r="BS40" s="161">
        <f>IF(E40="","",IFERROR(E40*HSI!$B$35*HSI!$G$35/HSI!$B$3,""))</f>
        <v/>
      </c>
      <c r="BT40" s="161">
        <f>IF(F40="","",IFERROR(F40*HSI!$B$35*HSI!$G$35/HSI!$B$3,""))</f>
        <v/>
      </c>
      <c r="BU40" s="161">
        <f>IF(G40="","",IFERROR(G40*HSI!$B$35*HSI!$G$35/HSI!$B$3,""))</f>
        <v/>
      </c>
      <c r="BV40" s="161">
        <f>IF(H40="","",IFERROR(H40*HSI!$B$35*HSI!$G$35/HSI!$B$3,""))</f>
        <v/>
      </c>
      <c r="BW40" s="161">
        <f>IF(I40="","",IFERROR(I40*HSI!$B$35*HSI!$G$35/HSI!$B$3,""))</f>
        <v/>
      </c>
      <c r="BX40" s="161">
        <f>IF(J40="","",IFERROR(J40*HSI!$B$35*HSI!$G$35/HSI!$B$3,""))</f>
        <v/>
      </c>
      <c r="BY40" s="161">
        <f>IF(K40="","",IFERROR(K40*HSI!$B$35*HSI!$G$35/HSI!$B$3,""))</f>
        <v/>
      </c>
      <c r="BZ40" s="161">
        <f>IF(L40="","",IFERROR(L40*HSI!$B$35*HSI!$G$35/HSI!$B$3,""))</f>
        <v/>
      </c>
      <c r="CA40" s="161">
        <f>IF(M40="","",IFERROR(M40*HSI!$B$35*HSI!$G$35/HSI!$B$3,""))</f>
        <v/>
      </c>
      <c r="CB40" s="161">
        <f>IF(N40="","",IFERROR(N40*HSI!$B$35*HSI!$G$35/HSI!$B$3,""))</f>
        <v/>
      </c>
      <c r="CC40" s="161">
        <f>IF(O40="","",IFERROR(O40*HSI!$B$35*HSI!$G$35/HSI!$B$3,""))</f>
        <v/>
      </c>
      <c r="CD40" s="161">
        <f>IF(P40="","",IFERROR(P40*HSI!$B$35*HSI!$G$35/HSI!$B$3,""))</f>
        <v/>
      </c>
      <c r="CE40" s="161">
        <f>IF(Q40="","",IFERROR(Q40*HSI!$B$35*HSI!$G$35/HSI!$B$3,""))</f>
        <v/>
      </c>
      <c r="CF40" s="161">
        <f>IF(R40="","",IFERROR(R40*HSI!$B$35*HSI!$G$35/HSI!$B$3,""))</f>
        <v/>
      </c>
      <c r="CG40" s="161">
        <f>IF(S40="","",IFERROR(S40*HSI!$B$35*HSI!$G$35/HSI!$B$3,""))</f>
        <v/>
      </c>
      <c r="CH40" s="161">
        <f>IF(T40="","",IFERROR(T40*HSI!$B$35*HSI!$G$35/HSI!$B$3,""))</f>
        <v/>
      </c>
      <c r="CI40" s="161">
        <f>IF(U40="","",IFERROR(U40*HSI!$B$35*HSI!$G$35/HSI!$B$3,""))</f>
        <v/>
      </c>
      <c r="CJ40" s="161">
        <f>IF(V40="","",IFERROR(V40*HSI!$B$35*HSI!$G$35/HSI!$B$3,""))</f>
        <v/>
      </c>
      <c r="CK40" s="161">
        <f>IF(W40="","",IFERROR(W40*HSI!$B$35*HSI!$G$35/HSI!$B$3,""))</f>
        <v/>
      </c>
      <c r="CL40" s="161">
        <f>IF(X40="","",IFERROR(X40*HSI!$B$35*HSI!$G$35/HSI!$B$3,""))</f>
        <v/>
      </c>
      <c r="CM40" s="161">
        <f>IF(Y40="","",IFERROR(Y40*HSI!$B$35*HSI!$G$35/HSI!$B$3,""))</f>
        <v/>
      </c>
      <c r="CN40" s="161">
        <f>IF(Z40="","",IFERROR(Z40*HSI!$B$35*HSI!$G$35/HSI!$B$3,""))</f>
        <v/>
      </c>
      <c r="CO40" s="161">
        <f>IF(AA40="","",IFERROR(AA40*HSI!$B$35*HSI!$G$35/HSI!$B$3,""))</f>
        <v/>
      </c>
      <c r="CP40" s="161">
        <f>IF(AB40="","",IFERROR(AB40*HSI!$B$35*HSI!$G$35/HSI!$B$3,""))</f>
        <v/>
      </c>
      <c r="CQ40" s="161">
        <f>IF(AC40="","",IFERROR(AC40*HSI!$B$35*HSI!$G$35/HSI!$B$3,""))</f>
        <v/>
      </c>
      <c r="CR40" s="161">
        <f>IF(AD40="","",IFERROR(AD40*HSI!$B$35*HSI!$G$35/HSI!$B$3,""))</f>
        <v/>
      </c>
      <c r="CS40" s="161">
        <f>IF(AE40="","",IFERROR(AE40*HSI!$B$35*HSI!$G$35/HSI!$B$3,""))</f>
        <v/>
      </c>
      <c r="CT40" s="161">
        <f>IF(AF40="","",IFERROR(AF40*HSI!$B$35*HSI!$G$35/HSI!$B$3,""))</f>
        <v/>
      </c>
      <c r="CU40" s="161">
        <f>IF(AG40="","",IFERROR(AG40*HSI!$B$35*HSI!$G$35/HSI!$B$3,""))</f>
        <v/>
      </c>
      <c r="CV40" s="161">
        <f>IF(AH40="","",IFERROR(AH40*HSI!$B$35*HSI!$G$35/HSI!$B$3,""))</f>
        <v/>
      </c>
      <c r="CW40" s="161">
        <f>IF(AI40="","",IFERROR(AI40*HSI!$B$35*HSI!$G$35/HSI!$B$3,""))</f>
        <v/>
      </c>
      <c r="CX40" s="161">
        <f>IF(AJ40="","",IFERROR(AJ40*HSI!$B$35*HSI!$G$35/HSI!$B$3,""))</f>
        <v/>
      </c>
      <c r="CY40" s="161">
        <f>IF(AK40="","",IFERROR(AK40*HSI!$B$35*HSI!$G$35/HSI!$B$3,""))</f>
        <v/>
      </c>
      <c r="CZ40" s="161">
        <f>IF(AL40="","",IFERROR(AL40*HSI!$B$35*HSI!$G$35/HSI!$B$3,""))</f>
        <v/>
      </c>
      <c r="DA40" s="161">
        <f>IF(AM40="","",IFERROR(AM40*HSI!$B$35*HSI!$G$35/HSI!$B$3,""))</f>
        <v/>
      </c>
      <c r="DB40" s="161">
        <f>IF(AN40="","",IFERROR(AN40*HSI!$B$35*HSI!$G$35/HSI!$B$3,""))</f>
        <v/>
      </c>
      <c r="DC40" s="161">
        <f>IF(AO40="","",IFERROR(AO40*HSI!$B$35*HSI!$G$35/HSI!$B$3,""))</f>
        <v/>
      </c>
      <c r="DD40" s="161">
        <f>IF(AP40="","",IFERROR(AP40*HSI!$B$35*HSI!$G$35/HSI!$B$3,""))</f>
        <v/>
      </c>
      <c r="DE40" s="161">
        <f>IF(AQ40="","",IFERROR(AQ40*HSI!$B$35*HSI!$G$35/HSI!$B$3,""))</f>
        <v/>
      </c>
      <c r="DF40" s="161">
        <f>IF(AR40="","",IFERROR(AR40*HSI!$B$35*HSI!$G$35/HSI!$B$3,""))</f>
        <v/>
      </c>
      <c r="DG40" s="161">
        <f>IF(AS40="","",IFERROR(AS40*HSI!$B$35*HSI!$G$35/HSI!$B$3,""))</f>
        <v/>
      </c>
      <c r="DH40" s="161">
        <f>IF(AT40="","",IFERROR(AT40*HSI!$B$35*HSI!$G$35/HSI!$B$3,""))</f>
        <v/>
      </c>
      <c r="DI40" s="161">
        <f>IF(AU40="","",IFERROR(AU40*HSI!$B$35*HSI!$G$35/HSI!$B$3,""))</f>
        <v/>
      </c>
      <c r="DJ40" s="161">
        <f>IF(AV40="","",IFERROR(AV40*HSI!$B$35*HSI!$G$35/HSI!$B$3,""))</f>
        <v/>
      </c>
      <c r="DK40" s="161">
        <f>IF(AW40="","",IFERROR(AW40*HSI!$B$35*HSI!$G$35/HSI!$B$3,""))</f>
        <v/>
      </c>
      <c r="DL40" s="161">
        <f>IF(AX40="","",IFERROR(AX40*HSI!$B$35*HSI!$G$35/HSI!$B$3,""))</f>
        <v/>
      </c>
      <c r="DM40" s="161">
        <f>IF(AY40="","",IFERROR(AY40*HSI!$B$35*HSI!$G$35/HSI!$B$3,""))</f>
        <v/>
      </c>
      <c r="DN40" s="161">
        <f>IF(AZ40="","",IFERROR(AZ40*HSI!$B$35*HSI!$G$35/HSI!$B$3,""))</f>
        <v/>
      </c>
      <c r="DO40" s="161">
        <f>IF(BA40="","",IFERROR(BA40*HSI!$B$35*HSI!$G$35/HSI!$B$3,""))</f>
        <v/>
      </c>
      <c r="DP40" s="161">
        <f>IF(BB40="","",IFERROR(BB40*HSI!$B$35*HSI!$G$35/HSI!$B$3,""))</f>
        <v/>
      </c>
      <c r="DQ40" s="161">
        <f>IF(BC40="","",IFERROR(BC40*HSI!$B$35*HSI!$G$35/HSI!$B$3,""))</f>
        <v/>
      </c>
      <c r="DR40" s="161">
        <f>IF(BD40="","",IFERROR(BD40*HSI!$B$35*HSI!$G$35/HSI!$B$3,""))</f>
        <v/>
      </c>
      <c r="DS40" s="161">
        <f>IF(BE40="","",IFERROR(BE40*HSI!$B$35*HSI!$G$35/HSI!$B$3,""))</f>
        <v/>
      </c>
      <c r="DT40" s="161">
        <f>IF(BF40="","",IFERROR(BF40*HSI!$B$35*HSI!$G$35/HSI!$B$3,""))</f>
        <v/>
      </c>
      <c r="DU40" s="161">
        <f>IF(BG40="","",IFERROR(BG40*HSI!$B$35*HSI!$G$35/HSI!$B$3,""))</f>
        <v/>
      </c>
      <c r="DV40" s="161">
        <f>IF(BH40="","",IFERROR(BH40*HSI!$B$35*HSI!$G$35/HSI!$B$3,""))</f>
        <v/>
      </c>
      <c r="DW40" s="161">
        <f>IF(BI40="","",IFERROR(BI40*HSI!$B$35*HSI!$G$35/HSI!$B$3,""))</f>
        <v/>
      </c>
      <c r="DX40" s="161">
        <f>IF(BJ40="","",IFERROR(BJ40*HSI!$B$35*HSI!$G$35/HSI!$B$3,""))</f>
        <v/>
      </c>
      <c r="DY40" s="161">
        <f>IF(BK40="","",IFERROR(BK40*HSI!$B$35*HSI!$G$35/HSI!$B$3,""))</f>
        <v/>
      </c>
      <c r="DZ40" s="161">
        <f>IF(BL40="","",IFERROR(BL40*HSI!$B$35*HSI!$G$35/HSI!$B$3,""))</f>
        <v/>
      </c>
      <c r="EA40" s="161">
        <f>IF(BM40="","",IFERROR(BM40*HSI!$B$35*HSI!$G$35/HSI!$B$3,""))</f>
        <v/>
      </c>
      <c r="EB40" s="161">
        <f>IF(BN40="","",IFERROR(BN40*HSI!$B$35*HSI!$G$35/HSI!$B$3,""))</f>
        <v/>
      </c>
      <c r="EC40" s="161">
        <f>IF(BO40="","",IFERROR(BO40*HSI!$B$35*HSI!$G$35/HSI!$B$3,""))</f>
        <v/>
      </c>
      <c r="EE40" s="121">
        <f>IF(N('Dvd Calendar'!$E$319)=0,"",IF(('Dvd Calendar'!$E$319&gt;=GRID_FROM)*('Dvd Calendar'!$E$319&lt;=GRID_TO)*((('Dvd Calendar'!$E$319&lt;=VAL_DATE)+(COUNTIF('Dvd Calendar'!$E$326:$AR$326,'Dvd Calendar'!$E$319)=0))&gt;0)=0,"",'Dvd Calendar'!$E$319*1000000000+ISNUMBER('Dvd Calendar'!$E$322)*100000000+('Dvd Calendar'!$E$324=SPECIAL_LBL)*10000000+(N('Dvd Calendar'!$E$318)&gt;0)*(N('Dvd Calendar'!$E$318)&lt;=VAL_SERIAL)*1000000+29*1000+1))</f>
        <v/>
      </c>
      <c r="EF40" s="121">
        <f>IF(N('Dvd Calendar'!$F$319)=0,"",IF(('Dvd Calendar'!$F$319&gt;=GRID_FROM)*('Dvd Calendar'!$F$319&lt;=GRID_TO)*((('Dvd Calendar'!$F$319&lt;=VAL_DATE)+(COUNTIF('Dvd Calendar'!$E$326:$AR$326,'Dvd Calendar'!$F$319)=0))&gt;0)=0,"",'Dvd Calendar'!$F$319*1000000000+ISNUMBER('Dvd Calendar'!$F$322)*100000000+('Dvd Calendar'!$F$324=SPECIAL_LBL)*10000000+(N('Dvd Calendar'!$F$318)&gt;0)*(N('Dvd Calendar'!$F$318)&lt;=VAL_SERIAL)*1000000+29*1000+2))</f>
        <v/>
      </c>
      <c r="EG40" s="121">
        <f>IF(N('Dvd Calendar'!$G$319)=0,"",IF(('Dvd Calendar'!$G$319&gt;=GRID_FROM)*('Dvd Calendar'!$G$319&lt;=GRID_TO)*((('Dvd Calendar'!$G$319&lt;=VAL_DATE)+(COUNTIF('Dvd Calendar'!$E$326:$AR$326,'Dvd Calendar'!$G$319)=0))&gt;0)=0,"",'Dvd Calendar'!$G$319*1000000000+ISNUMBER('Dvd Calendar'!$G$322)*100000000+('Dvd Calendar'!$G$324=SPECIAL_LBL)*10000000+(N('Dvd Calendar'!$G$318)&gt;0)*(N('Dvd Calendar'!$G$318)&lt;=VAL_SERIAL)*1000000+29*1000+3))</f>
        <v/>
      </c>
      <c r="EH40" s="121">
        <f>IF(N('Dvd Calendar'!$H$319)=0,"",IF(('Dvd Calendar'!$H$319&gt;=GRID_FROM)*('Dvd Calendar'!$H$319&lt;=GRID_TO)*((('Dvd Calendar'!$H$319&lt;=VAL_DATE)+(COUNTIF('Dvd Calendar'!$E$326:$AR$326,'Dvd Calendar'!$H$319)=0))&gt;0)=0,"",'Dvd Calendar'!$H$319*1000000000+ISNUMBER('Dvd Calendar'!$H$322)*100000000+('Dvd Calendar'!$H$324=SPECIAL_LBL)*10000000+(N('Dvd Calendar'!$H$318)&gt;0)*(N('Dvd Calendar'!$H$318)&lt;=VAL_SERIAL)*1000000+29*1000+4))</f>
        <v/>
      </c>
      <c r="EI40" s="121">
        <f>IF(N('Dvd Calendar'!$I$319)=0,"",IF(('Dvd Calendar'!$I$319&gt;=GRID_FROM)*('Dvd Calendar'!$I$319&lt;=GRID_TO)*((('Dvd Calendar'!$I$319&lt;=VAL_DATE)+(COUNTIF('Dvd Calendar'!$E$326:$AR$326,'Dvd Calendar'!$I$319)=0))&gt;0)=0,"",'Dvd Calendar'!$I$319*1000000000+ISNUMBER('Dvd Calendar'!$I$322)*100000000+('Dvd Calendar'!$I$324=SPECIAL_LBL)*10000000+(N('Dvd Calendar'!$I$318)&gt;0)*(N('Dvd Calendar'!$I$318)&lt;=VAL_SERIAL)*1000000+29*1000+5))</f>
        <v/>
      </c>
      <c r="EJ40" s="121">
        <f>IF(N('Dvd Calendar'!$J$319)=0,"",IF(('Dvd Calendar'!$J$319&gt;=GRID_FROM)*('Dvd Calendar'!$J$319&lt;=GRID_TO)*((('Dvd Calendar'!$J$319&lt;=VAL_DATE)+(COUNTIF('Dvd Calendar'!$E$326:$AR$326,'Dvd Calendar'!$J$319)=0))&gt;0)=0,"",'Dvd Calendar'!$J$319*1000000000+ISNUMBER('Dvd Calendar'!$J$322)*100000000+('Dvd Calendar'!$J$324=SPECIAL_LBL)*10000000+(N('Dvd Calendar'!$J$318)&gt;0)*(N('Dvd Calendar'!$J$318)&lt;=VAL_SERIAL)*1000000+29*1000+6))</f>
        <v/>
      </c>
      <c r="EK40" s="121">
        <f>IF(N('Dvd Calendar'!$K$319)=0,"",IF(('Dvd Calendar'!$K$319&gt;=GRID_FROM)*('Dvd Calendar'!$K$319&lt;=GRID_TO)*((('Dvd Calendar'!$K$319&lt;=VAL_DATE)+(COUNTIF('Dvd Calendar'!$E$326:$AR$326,'Dvd Calendar'!$K$319)=0))&gt;0)=0,"",'Dvd Calendar'!$K$319*1000000000+ISNUMBER('Dvd Calendar'!$K$322)*100000000+('Dvd Calendar'!$K$324=SPECIAL_LBL)*10000000+(N('Dvd Calendar'!$K$318)&gt;0)*(N('Dvd Calendar'!$K$318)&lt;=VAL_SERIAL)*1000000+29*1000+7))</f>
        <v/>
      </c>
      <c r="EL40" s="121">
        <f>IF(N('Dvd Calendar'!$L$319)=0,"",IF(('Dvd Calendar'!$L$319&gt;=GRID_FROM)*('Dvd Calendar'!$L$319&lt;=GRID_TO)*((('Dvd Calendar'!$L$319&lt;=VAL_DATE)+(COUNTIF('Dvd Calendar'!$E$326:$AR$326,'Dvd Calendar'!$L$319)=0))&gt;0)=0,"",'Dvd Calendar'!$L$319*1000000000+ISNUMBER('Dvd Calendar'!$L$322)*100000000+('Dvd Calendar'!$L$324=SPECIAL_LBL)*10000000+(N('Dvd Calendar'!$L$318)&gt;0)*(N('Dvd Calendar'!$L$318)&lt;=VAL_SERIAL)*1000000+29*1000+8))</f>
        <v/>
      </c>
      <c r="EM40" s="121">
        <f>IF(N('Dvd Calendar'!$M$319)=0,"",IF(('Dvd Calendar'!$M$319&gt;=GRID_FROM)*('Dvd Calendar'!$M$319&lt;=GRID_TO)*((('Dvd Calendar'!$M$319&lt;=VAL_DATE)+(COUNTIF('Dvd Calendar'!$E$326:$AR$326,'Dvd Calendar'!$M$319)=0))&gt;0)=0,"",'Dvd Calendar'!$M$319*1000000000+ISNUMBER('Dvd Calendar'!$M$322)*100000000+('Dvd Calendar'!$M$324=SPECIAL_LBL)*10000000+(N('Dvd Calendar'!$M$318)&gt;0)*(N('Dvd Calendar'!$M$318)&lt;=VAL_SERIAL)*1000000+29*1000+9))</f>
        <v/>
      </c>
      <c r="EN40" s="121">
        <f>IF(N('Dvd Calendar'!$N$319)=0,"",IF(('Dvd Calendar'!$N$319&gt;=GRID_FROM)*('Dvd Calendar'!$N$319&lt;=GRID_TO)*((('Dvd Calendar'!$N$319&lt;=VAL_DATE)+(COUNTIF('Dvd Calendar'!$E$326:$AR$326,'Dvd Calendar'!$N$319)=0))&gt;0)=0,"",'Dvd Calendar'!$N$319*1000000000+ISNUMBER('Dvd Calendar'!$N$322)*100000000+('Dvd Calendar'!$N$324=SPECIAL_LBL)*10000000+(N('Dvd Calendar'!$N$318)&gt;0)*(N('Dvd Calendar'!$N$318)&lt;=VAL_SERIAL)*1000000+29*1000+10))</f>
        <v/>
      </c>
      <c r="EO40" s="121">
        <f>IF(N('Dvd Calendar'!$O$319)=0,"",IF(('Dvd Calendar'!$O$319&gt;=GRID_FROM)*('Dvd Calendar'!$O$319&lt;=GRID_TO)*((('Dvd Calendar'!$O$319&lt;=VAL_DATE)+(COUNTIF('Dvd Calendar'!$E$326:$AR$326,'Dvd Calendar'!$O$319)=0))&gt;0)=0,"",'Dvd Calendar'!$O$319*1000000000+ISNUMBER('Dvd Calendar'!$O$322)*100000000+('Dvd Calendar'!$O$324=SPECIAL_LBL)*10000000+(N('Dvd Calendar'!$O$318)&gt;0)*(N('Dvd Calendar'!$O$318)&lt;=VAL_SERIAL)*1000000+29*1000+11))</f>
        <v/>
      </c>
      <c r="EP40" s="121">
        <f>IF(N('Dvd Calendar'!$P$319)=0,"",IF(('Dvd Calendar'!$P$319&gt;=GRID_FROM)*('Dvd Calendar'!$P$319&lt;=GRID_TO)*((('Dvd Calendar'!$P$319&lt;=VAL_DATE)+(COUNTIF('Dvd Calendar'!$E$326:$AR$326,'Dvd Calendar'!$P$319)=0))&gt;0)=0,"",'Dvd Calendar'!$P$319*1000000000+ISNUMBER('Dvd Calendar'!$P$322)*100000000+('Dvd Calendar'!$P$324=SPECIAL_LBL)*10000000+(N('Dvd Calendar'!$P$318)&gt;0)*(N('Dvd Calendar'!$P$318)&lt;=VAL_SERIAL)*1000000+29*1000+12))</f>
        <v/>
      </c>
      <c r="EQ40" s="121">
        <f>IF(N('Dvd Calendar'!$Q$319)=0,"",IF(('Dvd Calendar'!$Q$319&gt;=GRID_FROM)*('Dvd Calendar'!$Q$319&lt;=GRID_TO)*((('Dvd Calendar'!$Q$319&lt;=VAL_DATE)+(COUNTIF('Dvd Calendar'!$E$326:$AR$326,'Dvd Calendar'!$Q$319)=0))&gt;0)=0,"",'Dvd Calendar'!$Q$319*1000000000+ISNUMBER('Dvd Calendar'!$Q$322)*100000000+('Dvd Calendar'!$Q$324=SPECIAL_LBL)*10000000+(N('Dvd Calendar'!$Q$318)&gt;0)*(N('Dvd Calendar'!$Q$318)&lt;=VAL_SERIAL)*1000000+29*1000+13))</f>
        <v/>
      </c>
      <c r="ER40" s="121">
        <f>IF(N('Dvd Calendar'!$R$319)=0,"",IF(('Dvd Calendar'!$R$319&gt;=GRID_FROM)*('Dvd Calendar'!$R$319&lt;=GRID_TO)*((('Dvd Calendar'!$R$319&lt;=VAL_DATE)+(COUNTIF('Dvd Calendar'!$E$326:$AR$326,'Dvd Calendar'!$R$319)=0))&gt;0)=0,"",'Dvd Calendar'!$R$319*1000000000+ISNUMBER('Dvd Calendar'!$R$322)*100000000+('Dvd Calendar'!$R$324=SPECIAL_LBL)*10000000+(N('Dvd Calendar'!$R$318)&gt;0)*(N('Dvd Calendar'!$R$318)&lt;=VAL_SERIAL)*1000000+29*1000+14))</f>
        <v/>
      </c>
      <c r="ES40" s="121">
        <f>IF(N('Dvd Calendar'!$S$319)=0,"",IF(('Dvd Calendar'!$S$319&gt;=GRID_FROM)*('Dvd Calendar'!$S$319&lt;=GRID_TO)*((('Dvd Calendar'!$S$319&lt;=VAL_DATE)+(COUNTIF('Dvd Calendar'!$E$326:$AR$326,'Dvd Calendar'!$S$319)=0))&gt;0)=0,"",'Dvd Calendar'!$S$319*1000000000+ISNUMBER('Dvd Calendar'!$S$322)*100000000+('Dvd Calendar'!$S$324=SPECIAL_LBL)*10000000+(N('Dvd Calendar'!$S$318)&gt;0)*(N('Dvd Calendar'!$S$318)&lt;=VAL_SERIAL)*1000000+29*1000+15))</f>
        <v/>
      </c>
      <c r="ET40" s="121">
        <f>IF(N('Dvd Calendar'!$T$319)=0,"",IF(('Dvd Calendar'!$T$319&gt;=GRID_FROM)*('Dvd Calendar'!$T$319&lt;=GRID_TO)*((('Dvd Calendar'!$T$319&lt;=VAL_DATE)+(COUNTIF('Dvd Calendar'!$E$326:$AR$326,'Dvd Calendar'!$T$319)=0))&gt;0)=0,"",'Dvd Calendar'!$T$319*1000000000+ISNUMBER('Dvd Calendar'!$T$322)*100000000+('Dvd Calendar'!$T$324=SPECIAL_LBL)*10000000+(N('Dvd Calendar'!$T$318)&gt;0)*(N('Dvd Calendar'!$T$318)&lt;=VAL_SERIAL)*1000000+29*1000+16))</f>
        <v/>
      </c>
      <c r="EU40" s="121">
        <f>IF(N('Dvd Calendar'!$U$319)=0,"",IF(('Dvd Calendar'!$U$319&gt;=GRID_FROM)*('Dvd Calendar'!$U$319&lt;=GRID_TO)*((('Dvd Calendar'!$U$319&lt;=VAL_DATE)+(COUNTIF('Dvd Calendar'!$E$326:$AR$326,'Dvd Calendar'!$U$319)=0))&gt;0)=0,"",'Dvd Calendar'!$U$319*1000000000+ISNUMBER('Dvd Calendar'!$U$322)*100000000+('Dvd Calendar'!$U$324=SPECIAL_LBL)*10000000+(N('Dvd Calendar'!$U$318)&gt;0)*(N('Dvd Calendar'!$U$318)&lt;=VAL_SERIAL)*1000000+29*1000+17))</f>
        <v/>
      </c>
      <c r="EV40" s="121">
        <f>IF(N('Dvd Calendar'!$V$319)=0,"",IF(('Dvd Calendar'!$V$319&gt;=GRID_FROM)*('Dvd Calendar'!$V$319&lt;=GRID_TO)*((('Dvd Calendar'!$V$319&lt;=VAL_DATE)+(COUNTIF('Dvd Calendar'!$E$326:$AR$326,'Dvd Calendar'!$V$319)=0))&gt;0)=0,"",'Dvd Calendar'!$V$319*1000000000+ISNUMBER('Dvd Calendar'!$V$322)*100000000+('Dvd Calendar'!$V$324=SPECIAL_LBL)*10000000+(N('Dvd Calendar'!$V$318)&gt;0)*(N('Dvd Calendar'!$V$318)&lt;=VAL_SERIAL)*1000000+29*1000+18))</f>
        <v/>
      </c>
      <c r="EW40" s="121">
        <f>IF(N('Dvd Calendar'!$W$319)=0,"",IF(('Dvd Calendar'!$W$319&gt;=GRID_FROM)*('Dvd Calendar'!$W$319&lt;=GRID_TO)*((('Dvd Calendar'!$W$319&lt;=VAL_DATE)+(COUNTIF('Dvd Calendar'!$E$326:$AR$326,'Dvd Calendar'!$W$319)=0))&gt;0)=0,"",'Dvd Calendar'!$W$319*1000000000+ISNUMBER('Dvd Calendar'!$W$322)*100000000+('Dvd Calendar'!$W$324=SPECIAL_LBL)*10000000+(N('Dvd Calendar'!$W$318)&gt;0)*(N('Dvd Calendar'!$W$318)&lt;=VAL_SERIAL)*1000000+29*1000+19))</f>
        <v/>
      </c>
      <c r="EX40" s="121">
        <f>IF(N('Dvd Calendar'!$X$319)=0,"",IF(('Dvd Calendar'!$X$319&gt;=GRID_FROM)*('Dvd Calendar'!$X$319&lt;=GRID_TO)*((('Dvd Calendar'!$X$319&lt;=VAL_DATE)+(COUNTIF('Dvd Calendar'!$E$326:$AR$326,'Dvd Calendar'!$X$319)=0))&gt;0)=0,"",'Dvd Calendar'!$X$319*1000000000+ISNUMBER('Dvd Calendar'!$X$322)*100000000+('Dvd Calendar'!$X$324=SPECIAL_LBL)*10000000+(N('Dvd Calendar'!$X$318)&gt;0)*(N('Dvd Calendar'!$X$318)&lt;=VAL_SERIAL)*1000000+29*1000+20))</f>
        <v/>
      </c>
      <c r="EY40" s="121">
        <f>IF(N('Dvd Calendar'!$Y$319)=0,"",IF(('Dvd Calendar'!$Y$319&gt;=GRID_FROM)*('Dvd Calendar'!$Y$319&lt;=GRID_TO)*((('Dvd Calendar'!$Y$319&lt;=VAL_DATE)+(COUNTIF('Dvd Calendar'!$E$326:$AR$326,'Dvd Calendar'!$Y$319)=0))&gt;0)=0,"",'Dvd Calendar'!$Y$319*1000000000+ISNUMBER('Dvd Calendar'!$Y$322)*100000000+('Dvd Calendar'!$Y$324=SPECIAL_LBL)*10000000+(N('Dvd Calendar'!$Y$318)&gt;0)*(N('Dvd Calendar'!$Y$318)&lt;=VAL_SERIAL)*1000000+29*1000+21))</f>
        <v/>
      </c>
      <c r="EZ40" s="121">
        <f>IF(N('Dvd Calendar'!$Z$319)=0,"",IF(('Dvd Calendar'!$Z$319&gt;=GRID_FROM)*('Dvd Calendar'!$Z$319&lt;=GRID_TO)*((('Dvd Calendar'!$Z$319&lt;=VAL_DATE)+(COUNTIF('Dvd Calendar'!$E$326:$AR$326,'Dvd Calendar'!$Z$319)=0))&gt;0)=0,"",'Dvd Calendar'!$Z$319*1000000000+ISNUMBER('Dvd Calendar'!$Z$322)*100000000+('Dvd Calendar'!$Z$324=SPECIAL_LBL)*10000000+(N('Dvd Calendar'!$Z$318)&gt;0)*(N('Dvd Calendar'!$Z$318)&lt;=VAL_SERIAL)*1000000+29*1000+22))</f>
        <v/>
      </c>
      <c r="FA40" s="121">
        <f>IF(N('Dvd Calendar'!$AA$319)=0,"",IF(('Dvd Calendar'!$AA$319&gt;=GRID_FROM)*('Dvd Calendar'!$AA$319&lt;=GRID_TO)*((('Dvd Calendar'!$AA$319&lt;=VAL_DATE)+(COUNTIF('Dvd Calendar'!$E$326:$AR$326,'Dvd Calendar'!$AA$319)=0))&gt;0)=0,"",'Dvd Calendar'!$AA$319*1000000000+ISNUMBER('Dvd Calendar'!$AA$322)*100000000+('Dvd Calendar'!$AA$324=SPECIAL_LBL)*10000000+(N('Dvd Calendar'!$AA$318)&gt;0)*(N('Dvd Calendar'!$AA$318)&lt;=VAL_SERIAL)*1000000+29*1000+23))</f>
        <v/>
      </c>
      <c r="FB40" s="121">
        <f>IF(N('Dvd Calendar'!$AB$319)=0,"",IF(('Dvd Calendar'!$AB$319&gt;=GRID_FROM)*('Dvd Calendar'!$AB$319&lt;=GRID_TO)*((('Dvd Calendar'!$AB$319&lt;=VAL_DATE)+(COUNTIF('Dvd Calendar'!$E$326:$AR$326,'Dvd Calendar'!$AB$319)=0))&gt;0)=0,"",'Dvd Calendar'!$AB$319*1000000000+ISNUMBER('Dvd Calendar'!$AB$322)*100000000+('Dvd Calendar'!$AB$324=SPECIAL_LBL)*10000000+(N('Dvd Calendar'!$AB$318)&gt;0)*(N('Dvd Calendar'!$AB$318)&lt;=VAL_SERIAL)*1000000+29*1000+24))</f>
        <v/>
      </c>
      <c r="FC40" s="121">
        <f>IF(N('Dvd Calendar'!$AC$319)=0,"",IF(('Dvd Calendar'!$AC$319&gt;=GRID_FROM)*('Dvd Calendar'!$AC$319&lt;=GRID_TO)*((('Dvd Calendar'!$AC$319&lt;=VAL_DATE)+(COUNTIF('Dvd Calendar'!$E$326:$AR$326,'Dvd Calendar'!$AC$319)=0))&gt;0)=0,"",'Dvd Calendar'!$AC$319*1000000000+ISNUMBER('Dvd Calendar'!$AC$322)*100000000+('Dvd Calendar'!$AC$324=SPECIAL_LBL)*10000000+(N('Dvd Calendar'!$AC$318)&gt;0)*(N('Dvd Calendar'!$AC$318)&lt;=VAL_SERIAL)*1000000+29*1000+25))</f>
        <v/>
      </c>
      <c r="FD40" s="121">
        <f>IF(N('Dvd Calendar'!$AD$319)=0,"",IF(('Dvd Calendar'!$AD$319&gt;=GRID_FROM)*('Dvd Calendar'!$AD$319&lt;=GRID_TO)*((('Dvd Calendar'!$AD$319&lt;=VAL_DATE)+(COUNTIF('Dvd Calendar'!$E$326:$AR$326,'Dvd Calendar'!$AD$319)=0))&gt;0)=0,"",'Dvd Calendar'!$AD$319*1000000000+ISNUMBER('Dvd Calendar'!$AD$322)*100000000+('Dvd Calendar'!$AD$324=SPECIAL_LBL)*10000000+(N('Dvd Calendar'!$AD$318)&gt;0)*(N('Dvd Calendar'!$AD$318)&lt;=VAL_SERIAL)*1000000+29*1000+26))</f>
        <v/>
      </c>
      <c r="FE40" s="121">
        <f>IF(N('Dvd Calendar'!$AE$319)=0,"",IF(('Dvd Calendar'!$AE$319&gt;=GRID_FROM)*('Dvd Calendar'!$AE$319&lt;=GRID_TO)*((('Dvd Calendar'!$AE$319&lt;=VAL_DATE)+(COUNTIF('Dvd Calendar'!$E$326:$AR$326,'Dvd Calendar'!$AE$319)=0))&gt;0)=0,"",'Dvd Calendar'!$AE$319*1000000000+ISNUMBER('Dvd Calendar'!$AE$322)*100000000+('Dvd Calendar'!$AE$324=SPECIAL_LBL)*10000000+(N('Dvd Calendar'!$AE$318)&gt;0)*(N('Dvd Calendar'!$AE$318)&lt;=VAL_SERIAL)*1000000+29*1000+27))</f>
        <v/>
      </c>
      <c r="FF40" s="121">
        <f>IF(N('Dvd Calendar'!$AF$319)=0,"",IF(('Dvd Calendar'!$AF$319&gt;=GRID_FROM)*('Dvd Calendar'!$AF$319&lt;=GRID_TO)*((('Dvd Calendar'!$AF$319&lt;=VAL_DATE)+(COUNTIF('Dvd Calendar'!$E$326:$AR$326,'Dvd Calendar'!$AF$319)=0))&gt;0)=0,"",'Dvd Calendar'!$AF$319*1000000000+ISNUMBER('Dvd Calendar'!$AF$322)*100000000+('Dvd Calendar'!$AF$324=SPECIAL_LBL)*10000000+(N('Dvd Calendar'!$AF$318)&gt;0)*(N('Dvd Calendar'!$AF$318)&lt;=VAL_SERIAL)*1000000+29*1000+28))</f>
        <v/>
      </c>
      <c r="FG40" s="121">
        <f>IF(N('Dvd Calendar'!$AG$319)=0,"",IF(('Dvd Calendar'!$AG$319&gt;=GRID_FROM)*('Dvd Calendar'!$AG$319&lt;=GRID_TO)*((('Dvd Calendar'!$AG$319&lt;=VAL_DATE)+(COUNTIF('Dvd Calendar'!$E$326:$AR$326,'Dvd Calendar'!$AG$319)=0))&gt;0)=0,"",'Dvd Calendar'!$AG$319*1000000000+ISNUMBER('Dvd Calendar'!$AG$322)*100000000+('Dvd Calendar'!$AG$324=SPECIAL_LBL)*10000000+(N('Dvd Calendar'!$AG$318)&gt;0)*(N('Dvd Calendar'!$AG$318)&lt;=VAL_SERIAL)*1000000+29*1000+29))</f>
        <v/>
      </c>
      <c r="FH40" s="121">
        <f>IF(N('Dvd Calendar'!$AH$319)=0,"",IF(('Dvd Calendar'!$AH$319&gt;=GRID_FROM)*('Dvd Calendar'!$AH$319&lt;=GRID_TO)*((('Dvd Calendar'!$AH$319&lt;=VAL_DATE)+(COUNTIF('Dvd Calendar'!$E$326:$AR$326,'Dvd Calendar'!$AH$319)=0))&gt;0)=0,"",'Dvd Calendar'!$AH$319*1000000000+ISNUMBER('Dvd Calendar'!$AH$322)*100000000+('Dvd Calendar'!$AH$324=SPECIAL_LBL)*10000000+(N('Dvd Calendar'!$AH$318)&gt;0)*(N('Dvd Calendar'!$AH$318)&lt;=VAL_SERIAL)*1000000+29*1000+30))</f>
        <v/>
      </c>
      <c r="FI40" s="121">
        <f>IF(N('Dvd Calendar'!$AI$319)=0,"",IF(('Dvd Calendar'!$AI$319&gt;=GRID_FROM)*('Dvd Calendar'!$AI$319&lt;=GRID_TO)*((('Dvd Calendar'!$AI$319&lt;=VAL_DATE)+(COUNTIF('Dvd Calendar'!$E$326:$AR$326,'Dvd Calendar'!$AI$319)=0))&gt;0)=0,"",'Dvd Calendar'!$AI$319*1000000000+ISNUMBER('Dvd Calendar'!$AI$322)*100000000+('Dvd Calendar'!$AI$324=SPECIAL_LBL)*10000000+(N('Dvd Calendar'!$AI$318)&gt;0)*(N('Dvd Calendar'!$AI$318)&lt;=VAL_SERIAL)*1000000+29*1000+31))</f>
        <v/>
      </c>
      <c r="FJ40" s="121">
        <f>IF(N('Dvd Calendar'!$AJ$319)=0,"",IF(('Dvd Calendar'!$AJ$319&gt;=GRID_FROM)*('Dvd Calendar'!$AJ$319&lt;=GRID_TO)*((('Dvd Calendar'!$AJ$319&lt;=VAL_DATE)+(COUNTIF('Dvd Calendar'!$E$326:$AR$326,'Dvd Calendar'!$AJ$319)=0))&gt;0)=0,"",'Dvd Calendar'!$AJ$319*1000000000+ISNUMBER('Dvd Calendar'!$AJ$322)*100000000+('Dvd Calendar'!$AJ$324=SPECIAL_LBL)*10000000+(N('Dvd Calendar'!$AJ$318)&gt;0)*(N('Dvd Calendar'!$AJ$318)&lt;=VAL_SERIAL)*1000000+29*1000+32))</f>
        <v/>
      </c>
      <c r="FK40" s="121">
        <f>IF(N('Dvd Calendar'!$AK$319)=0,"",IF(('Dvd Calendar'!$AK$319&gt;=GRID_FROM)*('Dvd Calendar'!$AK$319&lt;=GRID_TO)*((('Dvd Calendar'!$AK$319&lt;=VAL_DATE)+(COUNTIF('Dvd Calendar'!$E$326:$AR$326,'Dvd Calendar'!$AK$319)=0))&gt;0)=0,"",'Dvd Calendar'!$AK$319*1000000000+ISNUMBER('Dvd Calendar'!$AK$322)*100000000+('Dvd Calendar'!$AK$324=SPECIAL_LBL)*10000000+(N('Dvd Calendar'!$AK$318)&gt;0)*(N('Dvd Calendar'!$AK$318)&lt;=VAL_SERIAL)*1000000+29*1000+33))</f>
        <v/>
      </c>
      <c r="FL40" s="121">
        <f>IF(N('Dvd Calendar'!$AL$319)=0,"",IF(('Dvd Calendar'!$AL$319&gt;=GRID_FROM)*('Dvd Calendar'!$AL$319&lt;=GRID_TO)*((('Dvd Calendar'!$AL$319&lt;=VAL_DATE)+(COUNTIF('Dvd Calendar'!$E$326:$AR$326,'Dvd Calendar'!$AL$319)=0))&gt;0)=0,"",'Dvd Calendar'!$AL$319*1000000000+ISNUMBER('Dvd Calendar'!$AL$322)*100000000+('Dvd Calendar'!$AL$324=SPECIAL_LBL)*10000000+(N('Dvd Calendar'!$AL$318)&gt;0)*(N('Dvd Calendar'!$AL$318)&lt;=VAL_SERIAL)*1000000+29*1000+34))</f>
        <v/>
      </c>
      <c r="FM40" s="121">
        <f>IF(N('Dvd Calendar'!$AM$319)=0,"",IF(('Dvd Calendar'!$AM$319&gt;=GRID_FROM)*('Dvd Calendar'!$AM$319&lt;=GRID_TO)*((('Dvd Calendar'!$AM$319&lt;=VAL_DATE)+(COUNTIF('Dvd Calendar'!$E$326:$AR$326,'Dvd Calendar'!$AM$319)=0))&gt;0)=0,"",'Dvd Calendar'!$AM$319*1000000000+ISNUMBER('Dvd Calendar'!$AM$322)*100000000+('Dvd Calendar'!$AM$324=SPECIAL_LBL)*10000000+(N('Dvd Calendar'!$AM$318)&gt;0)*(N('Dvd Calendar'!$AM$318)&lt;=VAL_SERIAL)*1000000+29*1000+35))</f>
        <v/>
      </c>
      <c r="FN40" s="121">
        <f>IF(N('Dvd Calendar'!$AN$319)=0,"",IF(('Dvd Calendar'!$AN$319&gt;=GRID_FROM)*('Dvd Calendar'!$AN$319&lt;=GRID_TO)*((('Dvd Calendar'!$AN$319&lt;=VAL_DATE)+(COUNTIF('Dvd Calendar'!$E$326:$AR$326,'Dvd Calendar'!$AN$319)=0))&gt;0)=0,"",'Dvd Calendar'!$AN$319*1000000000+ISNUMBER('Dvd Calendar'!$AN$322)*100000000+('Dvd Calendar'!$AN$324=SPECIAL_LBL)*10000000+(N('Dvd Calendar'!$AN$318)&gt;0)*(N('Dvd Calendar'!$AN$318)&lt;=VAL_SERIAL)*1000000+29*1000+36))</f>
        <v/>
      </c>
      <c r="FO40" s="121">
        <f>IF(N('Dvd Calendar'!$AO$319)=0,"",IF(('Dvd Calendar'!$AO$319&gt;=GRID_FROM)*('Dvd Calendar'!$AO$319&lt;=GRID_TO)*((('Dvd Calendar'!$AO$319&lt;=VAL_DATE)+(COUNTIF('Dvd Calendar'!$E$326:$AR$326,'Dvd Calendar'!$AO$319)=0))&gt;0)=0,"",'Dvd Calendar'!$AO$319*1000000000+ISNUMBER('Dvd Calendar'!$AO$322)*100000000+('Dvd Calendar'!$AO$324=SPECIAL_LBL)*10000000+(N('Dvd Calendar'!$AO$318)&gt;0)*(N('Dvd Calendar'!$AO$318)&lt;=VAL_SERIAL)*1000000+29*1000+37))</f>
        <v/>
      </c>
      <c r="FP40" s="121">
        <f>IF(N('Dvd Calendar'!$AP$319)=0,"",IF(('Dvd Calendar'!$AP$319&gt;=GRID_FROM)*('Dvd Calendar'!$AP$319&lt;=GRID_TO)*((('Dvd Calendar'!$AP$319&lt;=VAL_DATE)+(COUNTIF('Dvd Calendar'!$E$326:$AR$326,'Dvd Calendar'!$AP$319)=0))&gt;0)=0,"",'Dvd Calendar'!$AP$319*1000000000+ISNUMBER('Dvd Calendar'!$AP$322)*100000000+('Dvd Calendar'!$AP$324=SPECIAL_LBL)*10000000+(N('Dvd Calendar'!$AP$318)&gt;0)*(N('Dvd Calendar'!$AP$318)&lt;=VAL_SERIAL)*1000000+29*1000+38))</f>
        <v/>
      </c>
      <c r="FQ40" s="121">
        <f>IF(N('Dvd Calendar'!$AQ$319)=0,"",IF(('Dvd Calendar'!$AQ$319&gt;=GRID_FROM)*('Dvd Calendar'!$AQ$319&lt;=GRID_TO)*((('Dvd Calendar'!$AQ$319&lt;=VAL_DATE)+(COUNTIF('Dvd Calendar'!$E$326:$AR$326,'Dvd Calendar'!$AQ$319)=0))&gt;0)=0,"",'Dvd Calendar'!$AQ$319*1000000000+ISNUMBER('Dvd Calendar'!$AQ$322)*100000000+('Dvd Calendar'!$AQ$324=SPECIAL_LBL)*10000000+(N('Dvd Calendar'!$AQ$318)&gt;0)*(N('Dvd Calendar'!$AQ$318)&lt;=VAL_SERIAL)*1000000+29*1000+39))</f>
        <v/>
      </c>
      <c r="FR40" s="121">
        <f>IF(N('Dvd Calendar'!$AR$319)=0,"",IF(('Dvd Calendar'!$AR$319&gt;=GRID_FROM)*('Dvd Calendar'!$AR$319&lt;=GRID_TO)*((('Dvd Calendar'!$AR$319&lt;=VAL_DATE)+(COUNTIF('Dvd Calendar'!$E$326:$AR$326,'Dvd Calendar'!$AR$319)=0))&gt;0)=0,"",'Dvd Calendar'!$AR$319*1000000000+ISNUMBER('Dvd Calendar'!$AR$322)*100000000+('Dvd Calendar'!$AR$324=SPECIAL_LBL)*10000000+(N('Dvd Calendar'!$AR$318)&gt;0)*(N('Dvd Calendar'!$AR$318)&lt;=VAL_SERIAL)*1000000+29*1000+40))</f>
        <v/>
      </c>
      <c r="FS40" s="121">
        <f>IF(N('Dvd Calendar'!$E$326)=0,"",IF(('Dvd Calendar'!$E$326&gt;=GRID_FROM)*('Dvd Calendar'!$E$326&lt;=GRID_TO)*('Dvd Calendar'!$E$326&gt;VAL_DATE)=0,"",'Dvd Calendar'!$E$326*1000000000+ISNUMBER('Dvd Calendar'!$E$327)*100000000+0*10000000+(N('Dvd Calendar'!$E$325)&gt;0)*(N('Dvd Calendar'!$E$325)&lt;=VAL_SERIAL)*1000000+29*1000+41))</f>
        <v/>
      </c>
      <c r="FT40" s="121">
        <f>IF(N('Dvd Calendar'!$F$326)=0,"",IF(('Dvd Calendar'!$F$326&gt;=GRID_FROM)*('Dvd Calendar'!$F$326&lt;=GRID_TO)*('Dvd Calendar'!$F$326&gt;VAL_DATE)=0,"",'Dvd Calendar'!$F$326*1000000000+ISNUMBER('Dvd Calendar'!$F$327)*100000000+0*10000000+(N('Dvd Calendar'!$F$325)&gt;0)*(N('Dvd Calendar'!$F$325)&lt;=VAL_SERIAL)*1000000+29*1000+42))</f>
        <v/>
      </c>
      <c r="FU40" s="121">
        <f>IF(N('Dvd Calendar'!$G$326)=0,"",IF(('Dvd Calendar'!$G$326&gt;=GRID_FROM)*('Dvd Calendar'!$G$326&lt;=GRID_TO)*('Dvd Calendar'!$G$326&gt;VAL_DATE)=0,"",'Dvd Calendar'!$G$326*1000000000+ISNUMBER('Dvd Calendar'!$G$327)*100000000+0*10000000+(N('Dvd Calendar'!$G$325)&gt;0)*(N('Dvd Calendar'!$G$325)&lt;=VAL_SERIAL)*1000000+29*1000+43))</f>
        <v/>
      </c>
      <c r="FV40" s="121">
        <f>IF(N('Dvd Calendar'!$H$326)=0,"",IF(('Dvd Calendar'!$H$326&gt;=GRID_FROM)*('Dvd Calendar'!$H$326&lt;=GRID_TO)*('Dvd Calendar'!$H$326&gt;VAL_DATE)=0,"",'Dvd Calendar'!$H$326*1000000000+ISNUMBER('Dvd Calendar'!$H$327)*100000000+0*10000000+(N('Dvd Calendar'!$H$325)&gt;0)*(N('Dvd Calendar'!$H$325)&lt;=VAL_SERIAL)*1000000+29*1000+44))</f>
        <v/>
      </c>
      <c r="FW40" s="121">
        <f>IF(N('Dvd Calendar'!$I$326)=0,"",IF(('Dvd Calendar'!$I$326&gt;=GRID_FROM)*('Dvd Calendar'!$I$326&lt;=GRID_TO)*('Dvd Calendar'!$I$326&gt;VAL_DATE)=0,"",'Dvd Calendar'!$I$326*1000000000+ISNUMBER('Dvd Calendar'!$I$327)*100000000+0*10000000+(N('Dvd Calendar'!$I$325)&gt;0)*(N('Dvd Calendar'!$I$325)&lt;=VAL_SERIAL)*1000000+29*1000+45))</f>
        <v/>
      </c>
      <c r="FX40" s="121">
        <f>IF(N('Dvd Calendar'!$J$326)=0,"",IF(('Dvd Calendar'!$J$326&gt;=GRID_FROM)*('Dvd Calendar'!$J$326&lt;=GRID_TO)*('Dvd Calendar'!$J$326&gt;VAL_DATE)=0,"",'Dvd Calendar'!$J$326*1000000000+ISNUMBER('Dvd Calendar'!$J$327)*100000000+0*10000000+(N('Dvd Calendar'!$J$325)&gt;0)*(N('Dvd Calendar'!$J$325)&lt;=VAL_SERIAL)*1000000+29*1000+46))</f>
        <v/>
      </c>
      <c r="FY40" s="121">
        <f>IF(N('Dvd Calendar'!$K$326)=0,"",IF(('Dvd Calendar'!$K$326&gt;=GRID_FROM)*('Dvd Calendar'!$K$326&lt;=GRID_TO)*('Dvd Calendar'!$K$326&gt;VAL_DATE)=0,"",'Dvd Calendar'!$K$326*1000000000+ISNUMBER('Dvd Calendar'!$K$327)*100000000+0*10000000+(N('Dvd Calendar'!$K$325)&gt;0)*(N('Dvd Calendar'!$K$325)&lt;=VAL_SERIAL)*1000000+29*1000+47))</f>
        <v/>
      </c>
      <c r="FZ40" s="121">
        <f>IF(N('Dvd Calendar'!$L$326)=0,"",IF(('Dvd Calendar'!$L$326&gt;=GRID_FROM)*('Dvd Calendar'!$L$326&lt;=GRID_TO)*('Dvd Calendar'!$L$326&gt;VAL_DATE)=0,"",'Dvd Calendar'!$L$326*1000000000+ISNUMBER('Dvd Calendar'!$L$327)*100000000+0*10000000+(N('Dvd Calendar'!$L$325)&gt;0)*(N('Dvd Calendar'!$L$325)&lt;=VAL_SERIAL)*1000000+29*1000+48))</f>
        <v/>
      </c>
      <c r="GA40" s="121">
        <f>IF(N('Dvd Calendar'!$M$326)=0,"",IF(('Dvd Calendar'!$M$326&gt;=GRID_FROM)*('Dvd Calendar'!$M$326&lt;=GRID_TO)*('Dvd Calendar'!$M$326&gt;VAL_DATE)=0,"",'Dvd Calendar'!$M$326*1000000000+ISNUMBER('Dvd Calendar'!$M$327)*100000000+0*10000000+(N('Dvd Calendar'!$M$325)&gt;0)*(N('Dvd Calendar'!$M$325)&lt;=VAL_SERIAL)*1000000+29*1000+49))</f>
        <v/>
      </c>
      <c r="GB40" s="121">
        <f>IF(N('Dvd Calendar'!$N$326)=0,"",IF(('Dvd Calendar'!$N$326&gt;=GRID_FROM)*('Dvd Calendar'!$N$326&lt;=GRID_TO)*('Dvd Calendar'!$N$326&gt;VAL_DATE)=0,"",'Dvd Calendar'!$N$326*1000000000+ISNUMBER('Dvd Calendar'!$N$327)*100000000+0*10000000+(N('Dvd Calendar'!$N$325)&gt;0)*(N('Dvd Calendar'!$N$325)&lt;=VAL_SERIAL)*1000000+29*1000+50))</f>
        <v/>
      </c>
      <c r="GC40" s="121">
        <f>IF(N('Dvd Calendar'!$O$326)=0,"",IF(('Dvd Calendar'!$O$326&gt;=GRID_FROM)*('Dvd Calendar'!$O$326&lt;=GRID_TO)*('Dvd Calendar'!$O$326&gt;VAL_DATE)=0,"",'Dvd Calendar'!$O$326*1000000000+ISNUMBER('Dvd Calendar'!$O$327)*100000000+0*10000000+(N('Dvd Calendar'!$O$325)&gt;0)*(N('Dvd Calendar'!$O$325)&lt;=VAL_SERIAL)*1000000+29*1000+51))</f>
        <v/>
      </c>
      <c r="GD40" s="121">
        <f>IF(N('Dvd Calendar'!$P$326)=0,"",IF(('Dvd Calendar'!$P$326&gt;=GRID_FROM)*('Dvd Calendar'!$P$326&lt;=GRID_TO)*('Dvd Calendar'!$P$326&gt;VAL_DATE)=0,"",'Dvd Calendar'!$P$326*1000000000+ISNUMBER('Dvd Calendar'!$P$327)*100000000+0*10000000+(N('Dvd Calendar'!$P$325)&gt;0)*(N('Dvd Calendar'!$P$325)&lt;=VAL_SERIAL)*1000000+29*1000+52))</f>
        <v/>
      </c>
      <c r="GE40" s="121">
        <f>IF(N('Dvd Calendar'!$Q$326)=0,"",IF(('Dvd Calendar'!$Q$326&gt;=GRID_FROM)*('Dvd Calendar'!$Q$326&lt;=GRID_TO)*('Dvd Calendar'!$Q$326&gt;VAL_DATE)=0,"",'Dvd Calendar'!$Q$326*1000000000+ISNUMBER('Dvd Calendar'!$Q$327)*100000000+0*10000000+(N('Dvd Calendar'!$Q$325)&gt;0)*(N('Dvd Calendar'!$Q$325)&lt;=VAL_SERIAL)*1000000+29*1000+53))</f>
        <v/>
      </c>
      <c r="GF40" s="121">
        <f>IF(N('Dvd Calendar'!$R$326)=0,"",IF(('Dvd Calendar'!$R$326&gt;=GRID_FROM)*('Dvd Calendar'!$R$326&lt;=GRID_TO)*('Dvd Calendar'!$R$326&gt;VAL_DATE)=0,"",'Dvd Calendar'!$R$326*1000000000+ISNUMBER('Dvd Calendar'!$R$327)*100000000+0*10000000+(N('Dvd Calendar'!$R$325)&gt;0)*(N('Dvd Calendar'!$R$325)&lt;=VAL_SERIAL)*1000000+29*1000+54))</f>
        <v/>
      </c>
      <c r="GG40" s="121">
        <f>IF(N('Dvd Calendar'!$S$326)=0,"",IF(('Dvd Calendar'!$S$326&gt;=GRID_FROM)*('Dvd Calendar'!$S$326&lt;=GRID_TO)*('Dvd Calendar'!$S$326&gt;VAL_DATE)=0,"",'Dvd Calendar'!$S$326*1000000000+ISNUMBER('Dvd Calendar'!$S$327)*100000000+0*10000000+(N('Dvd Calendar'!$S$325)&gt;0)*(N('Dvd Calendar'!$S$325)&lt;=VAL_SERIAL)*1000000+29*1000+55))</f>
        <v/>
      </c>
      <c r="GH40" s="121">
        <f>IF(N('Dvd Calendar'!$T$326)=0,"",IF(('Dvd Calendar'!$T$326&gt;=GRID_FROM)*('Dvd Calendar'!$T$326&lt;=GRID_TO)*('Dvd Calendar'!$T$326&gt;VAL_DATE)=0,"",'Dvd Calendar'!$T$326*1000000000+ISNUMBER('Dvd Calendar'!$T$327)*100000000+0*10000000+(N('Dvd Calendar'!$T$325)&gt;0)*(N('Dvd Calendar'!$T$325)&lt;=VAL_SERIAL)*1000000+29*1000+56))</f>
        <v/>
      </c>
      <c r="GI40" s="121">
        <f>IF(N('Dvd Calendar'!$U$326)=0,"",IF(('Dvd Calendar'!$U$326&gt;=GRID_FROM)*('Dvd Calendar'!$U$326&lt;=GRID_TO)*('Dvd Calendar'!$U$326&gt;VAL_DATE)=0,"",'Dvd Calendar'!$U$326*1000000000+ISNUMBER('Dvd Calendar'!$U$327)*100000000+0*10000000+(N('Dvd Calendar'!$U$325)&gt;0)*(N('Dvd Calendar'!$U$325)&lt;=VAL_SERIAL)*1000000+29*1000+57))</f>
        <v/>
      </c>
      <c r="GJ40" s="121">
        <f>IF(N('Dvd Calendar'!$V$326)=0,"",IF(('Dvd Calendar'!$V$326&gt;=GRID_FROM)*('Dvd Calendar'!$V$326&lt;=GRID_TO)*('Dvd Calendar'!$V$326&gt;VAL_DATE)=0,"",'Dvd Calendar'!$V$326*1000000000+ISNUMBER('Dvd Calendar'!$V$327)*100000000+0*10000000+(N('Dvd Calendar'!$V$325)&gt;0)*(N('Dvd Calendar'!$V$325)&lt;=VAL_SERIAL)*1000000+29*1000+58))</f>
        <v/>
      </c>
      <c r="GK40" s="121">
        <f>IF(N('Dvd Calendar'!$W$326)=0,"",IF(('Dvd Calendar'!$W$326&gt;=GRID_FROM)*('Dvd Calendar'!$W$326&lt;=GRID_TO)*('Dvd Calendar'!$W$326&gt;VAL_DATE)=0,"",'Dvd Calendar'!$W$326*1000000000+ISNUMBER('Dvd Calendar'!$W$327)*100000000+0*10000000+(N('Dvd Calendar'!$W$325)&gt;0)*(N('Dvd Calendar'!$W$325)&lt;=VAL_SERIAL)*1000000+29*1000+59))</f>
        <v/>
      </c>
      <c r="GL40" s="121">
        <f>IF(N('Dvd Calendar'!$X$326)=0,"",IF(('Dvd Calendar'!$X$326&gt;=GRID_FROM)*('Dvd Calendar'!$X$326&lt;=GRID_TO)*('Dvd Calendar'!$X$326&gt;VAL_DATE)=0,"",'Dvd Calendar'!$X$326*1000000000+ISNUMBER('Dvd Calendar'!$X$327)*100000000+0*10000000+(N('Dvd Calendar'!$X$325)&gt;0)*(N('Dvd Calendar'!$X$325)&lt;=VAL_SERIAL)*1000000+29*1000+60))</f>
        <v/>
      </c>
      <c r="GM40" s="121">
        <f>IF(N('Dvd Calendar'!$Y$326)=0,"",IF(('Dvd Calendar'!$Y$326&gt;=GRID_FROM)*('Dvd Calendar'!$Y$326&lt;=GRID_TO)*('Dvd Calendar'!$Y$326&gt;VAL_DATE)=0,"",'Dvd Calendar'!$Y$326*1000000000+ISNUMBER('Dvd Calendar'!$Y$327)*100000000+0*10000000+(N('Dvd Calendar'!$Y$325)&gt;0)*(N('Dvd Calendar'!$Y$325)&lt;=VAL_SERIAL)*1000000+29*1000+61))</f>
        <v/>
      </c>
      <c r="GN40" s="121">
        <f>IF(N('Dvd Calendar'!$Z$326)=0,"",IF(('Dvd Calendar'!$Z$326&gt;=GRID_FROM)*('Dvd Calendar'!$Z$326&lt;=GRID_TO)*('Dvd Calendar'!$Z$326&gt;VAL_DATE)=0,"",'Dvd Calendar'!$Z$326*1000000000+ISNUMBER('Dvd Calendar'!$Z$327)*100000000+0*10000000+(N('Dvd Calendar'!$Z$325)&gt;0)*(N('Dvd Calendar'!$Z$325)&lt;=VAL_SERIAL)*1000000+29*1000+62))</f>
        <v/>
      </c>
      <c r="GO40" s="121">
        <f>IF(N('Dvd Calendar'!$AA$326)=0,"",IF(('Dvd Calendar'!$AA$326&gt;=GRID_FROM)*('Dvd Calendar'!$AA$326&lt;=GRID_TO)*('Dvd Calendar'!$AA$326&gt;VAL_DATE)=0,"",'Dvd Calendar'!$AA$326*1000000000+ISNUMBER('Dvd Calendar'!$AA$327)*100000000+0*10000000+(N('Dvd Calendar'!$AA$325)&gt;0)*(N('Dvd Calendar'!$AA$325)&lt;=VAL_SERIAL)*1000000+29*1000+63))</f>
        <v/>
      </c>
      <c r="GP40" s="121">
        <f>IF(N('Dvd Calendar'!$AB$326)=0,"",IF(('Dvd Calendar'!$AB$326&gt;=GRID_FROM)*('Dvd Calendar'!$AB$326&lt;=GRID_TO)*('Dvd Calendar'!$AB$326&gt;VAL_DATE)=0,"",'Dvd Calendar'!$AB$326*1000000000+ISNUMBER('Dvd Calendar'!$AB$327)*100000000+0*10000000+(N('Dvd Calendar'!$AB$325)&gt;0)*(N('Dvd Calendar'!$AB$325)&lt;=VAL_SERIAL)*1000000+29*1000+64))</f>
        <v/>
      </c>
      <c r="GQ40" s="121">
        <f>IF(N('Dvd Calendar'!$AC$326)=0,"",IF(('Dvd Calendar'!$AC$326&gt;=GRID_FROM)*('Dvd Calendar'!$AC$326&lt;=GRID_TO)*('Dvd Calendar'!$AC$326&gt;VAL_DATE)=0,"",'Dvd Calendar'!$AC$326*1000000000+ISNUMBER('Dvd Calendar'!$AC$327)*100000000+0*10000000+(N('Dvd Calendar'!$AC$325)&gt;0)*(N('Dvd Calendar'!$AC$325)&lt;=VAL_SERIAL)*1000000+29*1000+65))</f>
        <v/>
      </c>
    </row>
    <row r="41">
      <c r="B41" s="2">
        <f>IF(HSI!$C$36="","",HSI!$C$36)</f>
        <v/>
      </c>
      <c r="C41" s="161">
        <f>IF(EE41="","",IF(ISNUMBER('Dvd Calendar'!$E$333)=FALSE,"",IF((('Dvd Calendar'!$E$335=TYPE1)*(TYPE1&lt;&gt;"")+('Dvd Calendar'!$E$335=TYPE2)*(TYPE2&lt;&gt;"")+('Dvd Calendar'!$E$335=TYPE3)*(TYPE3&lt;&gt;"")+('Dvd Calendar'!$E$335=TYPE4)*(TYPE4&lt;&gt;"")+('Dvd Calendar'!$E$335=SPECIAL_LBL)*(INC_SPECIALS="Y"))=0,"",'Dvd Calendar'!$E$333)))</f>
        <v/>
      </c>
      <c r="D41" s="161">
        <f>IF(EF41="","",IF(ISNUMBER('Dvd Calendar'!$F$333)=FALSE,"",IF((('Dvd Calendar'!$F$335=TYPE1)*(TYPE1&lt;&gt;"")+('Dvd Calendar'!$F$335=TYPE2)*(TYPE2&lt;&gt;"")+('Dvd Calendar'!$F$335=TYPE3)*(TYPE3&lt;&gt;"")+('Dvd Calendar'!$F$335=TYPE4)*(TYPE4&lt;&gt;"")+('Dvd Calendar'!$F$335=SPECIAL_LBL)*(INC_SPECIALS="Y"))=0,"",'Dvd Calendar'!$F$333)))</f>
        <v/>
      </c>
      <c r="E41" s="161">
        <f>IF(EG41="","",IF(ISNUMBER('Dvd Calendar'!$G$333)=FALSE,"",IF((('Dvd Calendar'!$G$335=TYPE1)*(TYPE1&lt;&gt;"")+('Dvd Calendar'!$G$335=TYPE2)*(TYPE2&lt;&gt;"")+('Dvd Calendar'!$G$335=TYPE3)*(TYPE3&lt;&gt;"")+('Dvd Calendar'!$G$335=TYPE4)*(TYPE4&lt;&gt;"")+('Dvd Calendar'!$G$335=SPECIAL_LBL)*(INC_SPECIALS="Y"))=0,"",'Dvd Calendar'!$G$333)))</f>
        <v/>
      </c>
      <c r="F41" s="161">
        <f>IF(EH41="","",IF(ISNUMBER('Dvd Calendar'!$H$333)=FALSE,"",IF((('Dvd Calendar'!$H$335=TYPE1)*(TYPE1&lt;&gt;"")+('Dvd Calendar'!$H$335=TYPE2)*(TYPE2&lt;&gt;"")+('Dvd Calendar'!$H$335=TYPE3)*(TYPE3&lt;&gt;"")+('Dvd Calendar'!$H$335=TYPE4)*(TYPE4&lt;&gt;"")+('Dvd Calendar'!$H$335=SPECIAL_LBL)*(INC_SPECIALS="Y"))=0,"",'Dvd Calendar'!$H$333)))</f>
        <v/>
      </c>
      <c r="G41" s="161">
        <f>IF(EI41="","",IF(ISNUMBER('Dvd Calendar'!$I$333)=FALSE,"",IF((('Dvd Calendar'!$I$335=TYPE1)*(TYPE1&lt;&gt;"")+('Dvd Calendar'!$I$335=TYPE2)*(TYPE2&lt;&gt;"")+('Dvd Calendar'!$I$335=TYPE3)*(TYPE3&lt;&gt;"")+('Dvd Calendar'!$I$335=TYPE4)*(TYPE4&lt;&gt;"")+('Dvd Calendar'!$I$335=SPECIAL_LBL)*(INC_SPECIALS="Y"))=0,"",'Dvd Calendar'!$I$333)))</f>
        <v/>
      </c>
      <c r="H41" s="161">
        <f>IF(EJ41="","",IF(ISNUMBER('Dvd Calendar'!$J$333)=FALSE,"",IF((('Dvd Calendar'!$J$335=TYPE1)*(TYPE1&lt;&gt;"")+('Dvd Calendar'!$J$335=TYPE2)*(TYPE2&lt;&gt;"")+('Dvd Calendar'!$J$335=TYPE3)*(TYPE3&lt;&gt;"")+('Dvd Calendar'!$J$335=TYPE4)*(TYPE4&lt;&gt;"")+('Dvd Calendar'!$J$335=SPECIAL_LBL)*(INC_SPECIALS="Y"))=0,"",'Dvd Calendar'!$J$333)))</f>
        <v/>
      </c>
      <c r="I41" s="161">
        <f>IF(EK41="","",IF(ISNUMBER('Dvd Calendar'!$K$333)=FALSE,"",IF((('Dvd Calendar'!$K$335=TYPE1)*(TYPE1&lt;&gt;"")+('Dvd Calendar'!$K$335=TYPE2)*(TYPE2&lt;&gt;"")+('Dvd Calendar'!$K$335=TYPE3)*(TYPE3&lt;&gt;"")+('Dvd Calendar'!$K$335=TYPE4)*(TYPE4&lt;&gt;"")+('Dvd Calendar'!$K$335=SPECIAL_LBL)*(INC_SPECIALS="Y"))=0,"",'Dvd Calendar'!$K$333)))</f>
        <v/>
      </c>
      <c r="J41" s="161">
        <f>IF(EL41="","",IF(ISNUMBER('Dvd Calendar'!$L$333)=FALSE,"",IF((('Dvd Calendar'!$L$335=TYPE1)*(TYPE1&lt;&gt;"")+('Dvd Calendar'!$L$335=TYPE2)*(TYPE2&lt;&gt;"")+('Dvd Calendar'!$L$335=TYPE3)*(TYPE3&lt;&gt;"")+('Dvd Calendar'!$L$335=TYPE4)*(TYPE4&lt;&gt;"")+('Dvd Calendar'!$L$335=SPECIAL_LBL)*(INC_SPECIALS="Y"))=0,"",'Dvd Calendar'!$L$333)))</f>
        <v/>
      </c>
      <c r="K41" s="161">
        <f>IF(EM41="","",IF(ISNUMBER('Dvd Calendar'!$M$333)=FALSE,"",IF((('Dvd Calendar'!$M$335=TYPE1)*(TYPE1&lt;&gt;"")+('Dvd Calendar'!$M$335=TYPE2)*(TYPE2&lt;&gt;"")+('Dvd Calendar'!$M$335=TYPE3)*(TYPE3&lt;&gt;"")+('Dvd Calendar'!$M$335=TYPE4)*(TYPE4&lt;&gt;"")+('Dvd Calendar'!$M$335=SPECIAL_LBL)*(INC_SPECIALS="Y"))=0,"",'Dvd Calendar'!$M$333)))</f>
        <v/>
      </c>
      <c r="L41" s="161">
        <f>IF(EN41="","",IF(ISNUMBER('Dvd Calendar'!$N$333)=FALSE,"",IF((('Dvd Calendar'!$N$335=TYPE1)*(TYPE1&lt;&gt;"")+('Dvd Calendar'!$N$335=TYPE2)*(TYPE2&lt;&gt;"")+('Dvd Calendar'!$N$335=TYPE3)*(TYPE3&lt;&gt;"")+('Dvd Calendar'!$N$335=TYPE4)*(TYPE4&lt;&gt;"")+('Dvd Calendar'!$N$335=SPECIAL_LBL)*(INC_SPECIALS="Y"))=0,"",'Dvd Calendar'!$N$333)))</f>
        <v/>
      </c>
      <c r="M41" s="161">
        <f>IF(EO41="","",IF(ISNUMBER('Dvd Calendar'!$O$333)=FALSE,"",IF((('Dvd Calendar'!$O$335=TYPE1)*(TYPE1&lt;&gt;"")+('Dvd Calendar'!$O$335=TYPE2)*(TYPE2&lt;&gt;"")+('Dvd Calendar'!$O$335=TYPE3)*(TYPE3&lt;&gt;"")+('Dvd Calendar'!$O$335=TYPE4)*(TYPE4&lt;&gt;"")+('Dvd Calendar'!$O$335=SPECIAL_LBL)*(INC_SPECIALS="Y"))=0,"",'Dvd Calendar'!$O$333)))</f>
        <v/>
      </c>
      <c r="N41" s="161">
        <f>IF(EP41="","",IF(ISNUMBER('Dvd Calendar'!$P$333)=FALSE,"",IF((('Dvd Calendar'!$P$335=TYPE1)*(TYPE1&lt;&gt;"")+('Dvd Calendar'!$P$335=TYPE2)*(TYPE2&lt;&gt;"")+('Dvd Calendar'!$P$335=TYPE3)*(TYPE3&lt;&gt;"")+('Dvd Calendar'!$P$335=TYPE4)*(TYPE4&lt;&gt;"")+('Dvd Calendar'!$P$335=SPECIAL_LBL)*(INC_SPECIALS="Y"))=0,"",'Dvd Calendar'!$P$333)))</f>
        <v/>
      </c>
      <c r="O41" s="161">
        <f>IF(EQ41="","",IF(ISNUMBER('Dvd Calendar'!$Q$333)=FALSE,"",IF((('Dvd Calendar'!$Q$335=TYPE1)*(TYPE1&lt;&gt;"")+('Dvd Calendar'!$Q$335=TYPE2)*(TYPE2&lt;&gt;"")+('Dvd Calendar'!$Q$335=TYPE3)*(TYPE3&lt;&gt;"")+('Dvd Calendar'!$Q$335=TYPE4)*(TYPE4&lt;&gt;"")+('Dvd Calendar'!$Q$335=SPECIAL_LBL)*(INC_SPECIALS="Y"))=0,"",'Dvd Calendar'!$Q$333)))</f>
        <v/>
      </c>
      <c r="P41" s="161">
        <f>IF(ER41="","",IF(ISNUMBER('Dvd Calendar'!$R$333)=FALSE,"",IF((('Dvd Calendar'!$R$335=TYPE1)*(TYPE1&lt;&gt;"")+('Dvd Calendar'!$R$335=TYPE2)*(TYPE2&lt;&gt;"")+('Dvd Calendar'!$R$335=TYPE3)*(TYPE3&lt;&gt;"")+('Dvd Calendar'!$R$335=TYPE4)*(TYPE4&lt;&gt;"")+('Dvd Calendar'!$R$335=SPECIAL_LBL)*(INC_SPECIALS="Y"))=0,"",'Dvd Calendar'!$R$333)))</f>
        <v/>
      </c>
      <c r="Q41" s="161">
        <f>IF(ES41="","",IF(ISNUMBER('Dvd Calendar'!$S$333)=FALSE,"",IF((('Dvd Calendar'!$S$335=TYPE1)*(TYPE1&lt;&gt;"")+('Dvd Calendar'!$S$335=TYPE2)*(TYPE2&lt;&gt;"")+('Dvd Calendar'!$S$335=TYPE3)*(TYPE3&lt;&gt;"")+('Dvd Calendar'!$S$335=TYPE4)*(TYPE4&lt;&gt;"")+('Dvd Calendar'!$S$335=SPECIAL_LBL)*(INC_SPECIALS="Y"))=0,"",'Dvd Calendar'!$S$333)))</f>
        <v/>
      </c>
      <c r="R41" s="161">
        <f>IF(ET41="","",IF(ISNUMBER('Dvd Calendar'!$T$333)=FALSE,"",IF((('Dvd Calendar'!$T$335=TYPE1)*(TYPE1&lt;&gt;"")+('Dvd Calendar'!$T$335=TYPE2)*(TYPE2&lt;&gt;"")+('Dvd Calendar'!$T$335=TYPE3)*(TYPE3&lt;&gt;"")+('Dvd Calendar'!$T$335=TYPE4)*(TYPE4&lt;&gt;"")+('Dvd Calendar'!$T$335=SPECIAL_LBL)*(INC_SPECIALS="Y"))=0,"",'Dvd Calendar'!$T$333)))</f>
        <v/>
      </c>
      <c r="S41" s="161">
        <f>IF(EU41="","",IF(ISNUMBER('Dvd Calendar'!$U$333)=FALSE,"",IF((('Dvd Calendar'!$U$335=TYPE1)*(TYPE1&lt;&gt;"")+('Dvd Calendar'!$U$335=TYPE2)*(TYPE2&lt;&gt;"")+('Dvd Calendar'!$U$335=TYPE3)*(TYPE3&lt;&gt;"")+('Dvd Calendar'!$U$335=TYPE4)*(TYPE4&lt;&gt;"")+('Dvd Calendar'!$U$335=SPECIAL_LBL)*(INC_SPECIALS="Y"))=0,"",'Dvd Calendar'!$U$333)))</f>
        <v/>
      </c>
      <c r="T41" s="161">
        <f>IF(EV41="","",IF(ISNUMBER('Dvd Calendar'!$V$333)=FALSE,"",IF((('Dvd Calendar'!$V$335=TYPE1)*(TYPE1&lt;&gt;"")+('Dvd Calendar'!$V$335=TYPE2)*(TYPE2&lt;&gt;"")+('Dvd Calendar'!$V$335=TYPE3)*(TYPE3&lt;&gt;"")+('Dvd Calendar'!$V$335=TYPE4)*(TYPE4&lt;&gt;"")+('Dvd Calendar'!$V$335=SPECIAL_LBL)*(INC_SPECIALS="Y"))=0,"",'Dvd Calendar'!$V$333)))</f>
        <v/>
      </c>
      <c r="U41" s="161">
        <f>IF(EW41="","",IF(ISNUMBER('Dvd Calendar'!$W$333)=FALSE,"",IF((('Dvd Calendar'!$W$335=TYPE1)*(TYPE1&lt;&gt;"")+('Dvd Calendar'!$W$335=TYPE2)*(TYPE2&lt;&gt;"")+('Dvd Calendar'!$W$335=TYPE3)*(TYPE3&lt;&gt;"")+('Dvd Calendar'!$W$335=TYPE4)*(TYPE4&lt;&gt;"")+('Dvd Calendar'!$W$335=SPECIAL_LBL)*(INC_SPECIALS="Y"))=0,"",'Dvd Calendar'!$W$333)))</f>
        <v/>
      </c>
      <c r="V41" s="161">
        <f>IF(EX41="","",IF(ISNUMBER('Dvd Calendar'!$X$333)=FALSE,"",IF((('Dvd Calendar'!$X$335=TYPE1)*(TYPE1&lt;&gt;"")+('Dvd Calendar'!$X$335=TYPE2)*(TYPE2&lt;&gt;"")+('Dvd Calendar'!$X$335=TYPE3)*(TYPE3&lt;&gt;"")+('Dvd Calendar'!$X$335=TYPE4)*(TYPE4&lt;&gt;"")+('Dvd Calendar'!$X$335=SPECIAL_LBL)*(INC_SPECIALS="Y"))=0,"",'Dvd Calendar'!$X$333)))</f>
        <v/>
      </c>
      <c r="W41" s="161">
        <f>IF(EY41="","",IF(ISNUMBER('Dvd Calendar'!$Y$333)=FALSE,"",IF((('Dvd Calendar'!$Y$335=TYPE1)*(TYPE1&lt;&gt;"")+('Dvd Calendar'!$Y$335=TYPE2)*(TYPE2&lt;&gt;"")+('Dvd Calendar'!$Y$335=TYPE3)*(TYPE3&lt;&gt;"")+('Dvd Calendar'!$Y$335=TYPE4)*(TYPE4&lt;&gt;"")+('Dvd Calendar'!$Y$335=SPECIAL_LBL)*(INC_SPECIALS="Y"))=0,"",'Dvd Calendar'!$Y$333)))</f>
        <v/>
      </c>
      <c r="X41" s="161">
        <f>IF(EZ41="","",IF(ISNUMBER('Dvd Calendar'!$Z$333)=FALSE,"",IF((('Dvd Calendar'!$Z$335=TYPE1)*(TYPE1&lt;&gt;"")+('Dvd Calendar'!$Z$335=TYPE2)*(TYPE2&lt;&gt;"")+('Dvd Calendar'!$Z$335=TYPE3)*(TYPE3&lt;&gt;"")+('Dvd Calendar'!$Z$335=TYPE4)*(TYPE4&lt;&gt;"")+('Dvd Calendar'!$Z$335=SPECIAL_LBL)*(INC_SPECIALS="Y"))=0,"",'Dvd Calendar'!$Z$333)))</f>
        <v/>
      </c>
      <c r="Y41" s="161">
        <f>IF(FA41="","",IF(ISNUMBER('Dvd Calendar'!$AA$333)=FALSE,"",IF((('Dvd Calendar'!$AA$335=TYPE1)*(TYPE1&lt;&gt;"")+('Dvd Calendar'!$AA$335=TYPE2)*(TYPE2&lt;&gt;"")+('Dvd Calendar'!$AA$335=TYPE3)*(TYPE3&lt;&gt;"")+('Dvd Calendar'!$AA$335=TYPE4)*(TYPE4&lt;&gt;"")+('Dvd Calendar'!$AA$335=SPECIAL_LBL)*(INC_SPECIALS="Y"))=0,"",'Dvd Calendar'!$AA$333)))</f>
        <v/>
      </c>
      <c r="Z41" s="161">
        <f>IF(FB41="","",IF(ISNUMBER('Dvd Calendar'!$AB$333)=FALSE,"",IF((('Dvd Calendar'!$AB$335=TYPE1)*(TYPE1&lt;&gt;"")+('Dvd Calendar'!$AB$335=TYPE2)*(TYPE2&lt;&gt;"")+('Dvd Calendar'!$AB$335=TYPE3)*(TYPE3&lt;&gt;"")+('Dvd Calendar'!$AB$335=TYPE4)*(TYPE4&lt;&gt;"")+('Dvd Calendar'!$AB$335=SPECIAL_LBL)*(INC_SPECIALS="Y"))=0,"",'Dvd Calendar'!$AB$333)))</f>
        <v/>
      </c>
      <c r="AA41" s="161">
        <f>IF(FC41="","",IF(ISNUMBER('Dvd Calendar'!$AC$333)=FALSE,"",IF((('Dvd Calendar'!$AC$335=TYPE1)*(TYPE1&lt;&gt;"")+('Dvd Calendar'!$AC$335=TYPE2)*(TYPE2&lt;&gt;"")+('Dvd Calendar'!$AC$335=TYPE3)*(TYPE3&lt;&gt;"")+('Dvd Calendar'!$AC$335=TYPE4)*(TYPE4&lt;&gt;"")+('Dvd Calendar'!$AC$335=SPECIAL_LBL)*(INC_SPECIALS="Y"))=0,"",'Dvd Calendar'!$AC$333)))</f>
        <v/>
      </c>
      <c r="AB41" s="161">
        <f>IF(FD41="","",IF(ISNUMBER('Dvd Calendar'!$AD$333)=FALSE,"",IF((('Dvd Calendar'!$AD$335=TYPE1)*(TYPE1&lt;&gt;"")+('Dvd Calendar'!$AD$335=TYPE2)*(TYPE2&lt;&gt;"")+('Dvd Calendar'!$AD$335=TYPE3)*(TYPE3&lt;&gt;"")+('Dvd Calendar'!$AD$335=TYPE4)*(TYPE4&lt;&gt;"")+('Dvd Calendar'!$AD$335=SPECIAL_LBL)*(INC_SPECIALS="Y"))=0,"",'Dvd Calendar'!$AD$333)))</f>
        <v/>
      </c>
      <c r="AC41" s="161">
        <f>IF(FE41="","",IF(ISNUMBER('Dvd Calendar'!$AE$333)=FALSE,"",IF((('Dvd Calendar'!$AE$335=TYPE1)*(TYPE1&lt;&gt;"")+('Dvd Calendar'!$AE$335=TYPE2)*(TYPE2&lt;&gt;"")+('Dvd Calendar'!$AE$335=TYPE3)*(TYPE3&lt;&gt;"")+('Dvd Calendar'!$AE$335=TYPE4)*(TYPE4&lt;&gt;"")+('Dvd Calendar'!$AE$335=SPECIAL_LBL)*(INC_SPECIALS="Y"))=0,"",'Dvd Calendar'!$AE$333)))</f>
        <v/>
      </c>
      <c r="AD41" s="161">
        <f>IF(FF41="","",IF(ISNUMBER('Dvd Calendar'!$AF$333)=FALSE,"",IF((('Dvd Calendar'!$AF$335=TYPE1)*(TYPE1&lt;&gt;"")+('Dvd Calendar'!$AF$335=TYPE2)*(TYPE2&lt;&gt;"")+('Dvd Calendar'!$AF$335=TYPE3)*(TYPE3&lt;&gt;"")+('Dvd Calendar'!$AF$335=TYPE4)*(TYPE4&lt;&gt;"")+('Dvd Calendar'!$AF$335=SPECIAL_LBL)*(INC_SPECIALS="Y"))=0,"",'Dvd Calendar'!$AF$333)))</f>
        <v/>
      </c>
      <c r="AE41" s="161">
        <f>IF(FG41="","",IF(ISNUMBER('Dvd Calendar'!$AG$333)=FALSE,"",IF((('Dvd Calendar'!$AG$335=TYPE1)*(TYPE1&lt;&gt;"")+('Dvd Calendar'!$AG$335=TYPE2)*(TYPE2&lt;&gt;"")+('Dvd Calendar'!$AG$335=TYPE3)*(TYPE3&lt;&gt;"")+('Dvd Calendar'!$AG$335=TYPE4)*(TYPE4&lt;&gt;"")+('Dvd Calendar'!$AG$335=SPECIAL_LBL)*(INC_SPECIALS="Y"))=0,"",'Dvd Calendar'!$AG$333)))</f>
        <v/>
      </c>
      <c r="AF41" s="161">
        <f>IF(FH41="","",IF(ISNUMBER('Dvd Calendar'!$AH$333)=FALSE,"",IF((('Dvd Calendar'!$AH$335=TYPE1)*(TYPE1&lt;&gt;"")+('Dvd Calendar'!$AH$335=TYPE2)*(TYPE2&lt;&gt;"")+('Dvd Calendar'!$AH$335=TYPE3)*(TYPE3&lt;&gt;"")+('Dvd Calendar'!$AH$335=TYPE4)*(TYPE4&lt;&gt;"")+('Dvd Calendar'!$AH$335=SPECIAL_LBL)*(INC_SPECIALS="Y"))=0,"",'Dvd Calendar'!$AH$333)))</f>
        <v/>
      </c>
      <c r="AG41" s="161">
        <f>IF(FI41="","",IF(ISNUMBER('Dvd Calendar'!$AI$333)=FALSE,"",IF((('Dvd Calendar'!$AI$335=TYPE1)*(TYPE1&lt;&gt;"")+('Dvd Calendar'!$AI$335=TYPE2)*(TYPE2&lt;&gt;"")+('Dvd Calendar'!$AI$335=TYPE3)*(TYPE3&lt;&gt;"")+('Dvd Calendar'!$AI$335=TYPE4)*(TYPE4&lt;&gt;"")+('Dvd Calendar'!$AI$335=SPECIAL_LBL)*(INC_SPECIALS="Y"))=0,"",'Dvd Calendar'!$AI$333)))</f>
        <v/>
      </c>
      <c r="AH41" s="161">
        <f>IF(FJ41="","",IF(ISNUMBER('Dvd Calendar'!$AJ$333)=FALSE,"",IF((('Dvd Calendar'!$AJ$335=TYPE1)*(TYPE1&lt;&gt;"")+('Dvd Calendar'!$AJ$335=TYPE2)*(TYPE2&lt;&gt;"")+('Dvd Calendar'!$AJ$335=TYPE3)*(TYPE3&lt;&gt;"")+('Dvd Calendar'!$AJ$335=TYPE4)*(TYPE4&lt;&gt;"")+('Dvd Calendar'!$AJ$335=SPECIAL_LBL)*(INC_SPECIALS="Y"))=0,"",'Dvd Calendar'!$AJ$333)))</f>
        <v/>
      </c>
      <c r="AI41" s="161">
        <f>IF(FK41="","",IF(ISNUMBER('Dvd Calendar'!$AK$333)=FALSE,"",IF((('Dvd Calendar'!$AK$335=TYPE1)*(TYPE1&lt;&gt;"")+('Dvd Calendar'!$AK$335=TYPE2)*(TYPE2&lt;&gt;"")+('Dvd Calendar'!$AK$335=TYPE3)*(TYPE3&lt;&gt;"")+('Dvd Calendar'!$AK$335=TYPE4)*(TYPE4&lt;&gt;"")+('Dvd Calendar'!$AK$335=SPECIAL_LBL)*(INC_SPECIALS="Y"))=0,"",'Dvd Calendar'!$AK$333)))</f>
        <v/>
      </c>
      <c r="AJ41" s="161">
        <f>IF(FL41="","",IF(ISNUMBER('Dvd Calendar'!$AL$333)=FALSE,"",IF((('Dvd Calendar'!$AL$335=TYPE1)*(TYPE1&lt;&gt;"")+('Dvd Calendar'!$AL$335=TYPE2)*(TYPE2&lt;&gt;"")+('Dvd Calendar'!$AL$335=TYPE3)*(TYPE3&lt;&gt;"")+('Dvd Calendar'!$AL$335=TYPE4)*(TYPE4&lt;&gt;"")+('Dvd Calendar'!$AL$335=SPECIAL_LBL)*(INC_SPECIALS="Y"))=0,"",'Dvd Calendar'!$AL$333)))</f>
        <v/>
      </c>
      <c r="AK41" s="161">
        <f>IF(FM41="","",IF(ISNUMBER('Dvd Calendar'!$AM$333)=FALSE,"",IF((('Dvd Calendar'!$AM$335=TYPE1)*(TYPE1&lt;&gt;"")+('Dvd Calendar'!$AM$335=TYPE2)*(TYPE2&lt;&gt;"")+('Dvd Calendar'!$AM$335=TYPE3)*(TYPE3&lt;&gt;"")+('Dvd Calendar'!$AM$335=TYPE4)*(TYPE4&lt;&gt;"")+('Dvd Calendar'!$AM$335=SPECIAL_LBL)*(INC_SPECIALS="Y"))=0,"",'Dvd Calendar'!$AM$333)))</f>
        <v/>
      </c>
      <c r="AL41" s="161">
        <f>IF(FN41="","",IF(ISNUMBER('Dvd Calendar'!$AN$333)=FALSE,"",IF((('Dvd Calendar'!$AN$335=TYPE1)*(TYPE1&lt;&gt;"")+('Dvd Calendar'!$AN$335=TYPE2)*(TYPE2&lt;&gt;"")+('Dvd Calendar'!$AN$335=TYPE3)*(TYPE3&lt;&gt;"")+('Dvd Calendar'!$AN$335=TYPE4)*(TYPE4&lt;&gt;"")+('Dvd Calendar'!$AN$335=SPECIAL_LBL)*(INC_SPECIALS="Y"))=0,"",'Dvd Calendar'!$AN$333)))</f>
        <v/>
      </c>
      <c r="AM41" s="161">
        <f>IF(FO41="","",IF(ISNUMBER('Dvd Calendar'!$AO$333)=FALSE,"",IF((('Dvd Calendar'!$AO$335=TYPE1)*(TYPE1&lt;&gt;"")+('Dvd Calendar'!$AO$335=TYPE2)*(TYPE2&lt;&gt;"")+('Dvd Calendar'!$AO$335=TYPE3)*(TYPE3&lt;&gt;"")+('Dvd Calendar'!$AO$335=TYPE4)*(TYPE4&lt;&gt;"")+('Dvd Calendar'!$AO$335=SPECIAL_LBL)*(INC_SPECIALS="Y"))=0,"",'Dvd Calendar'!$AO$333)))</f>
        <v/>
      </c>
      <c r="AN41" s="161">
        <f>IF(FP41="","",IF(ISNUMBER('Dvd Calendar'!$AP$333)=FALSE,"",IF((('Dvd Calendar'!$AP$335=TYPE1)*(TYPE1&lt;&gt;"")+('Dvd Calendar'!$AP$335=TYPE2)*(TYPE2&lt;&gt;"")+('Dvd Calendar'!$AP$335=TYPE3)*(TYPE3&lt;&gt;"")+('Dvd Calendar'!$AP$335=TYPE4)*(TYPE4&lt;&gt;"")+('Dvd Calendar'!$AP$335=SPECIAL_LBL)*(INC_SPECIALS="Y"))=0,"",'Dvd Calendar'!$AP$333)))</f>
        <v/>
      </c>
      <c r="AO41" s="161">
        <f>IF(FQ41="","",IF(ISNUMBER('Dvd Calendar'!$AQ$333)=FALSE,"",IF((('Dvd Calendar'!$AQ$335=TYPE1)*(TYPE1&lt;&gt;"")+('Dvd Calendar'!$AQ$335=TYPE2)*(TYPE2&lt;&gt;"")+('Dvd Calendar'!$AQ$335=TYPE3)*(TYPE3&lt;&gt;"")+('Dvd Calendar'!$AQ$335=TYPE4)*(TYPE4&lt;&gt;"")+('Dvd Calendar'!$AQ$335=SPECIAL_LBL)*(INC_SPECIALS="Y"))=0,"",'Dvd Calendar'!$AQ$333)))</f>
        <v/>
      </c>
      <c r="AP41" s="161">
        <f>IF(FR41="","",IF(ISNUMBER('Dvd Calendar'!$AR$333)=FALSE,"",IF((('Dvd Calendar'!$AR$335=TYPE1)*(TYPE1&lt;&gt;"")+('Dvd Calendar'!$AR$335=TYPE2)*(TYPE2&lt;&gt;"")+('Dvd Calendar'!$AR$335=TYPE3)*(TYPE3&lt;&gt;"")+('Dvd Calendar'!$AR$335=TYPE4)*(TYPE4&lt;&gt;"")+('Dvd Calendar'!$AR$335=SPECIAL_LBL)*(INC_SPECIALS="Y"))=0,"",'Dvd Calendar'!$AR$333)))</f>
        <v/>
      </c>
      <c r="AQ41" s="161">
        <f>IF(FS41="","",IF(ISNUMBER('Dvd Calendar'!$E$338)=FALSE,"",'Dvd Calendar'!$E$338))</f>
        <v/>
      </c>
      <c r="AR41" s="161">
        <f>IF(FT41="","",IF(ISNUMBER('Dvd Calendar'!$F$338)=FALSE,"",'Dvd Calendar'!$F$338))</f>
        <v/>
      </c>
      <c r="AS41" s="161">
        <f>IF(FU41="","",IF(ISNUMBER('Dvd Calendar'!$G$338)=FALSE,"",'Dvd Calendar'!$G$338))</f>
        <v/>
      </c>
      <c r="AT41" s="161">
        <f>IF(FV41="","",IF(ISNUMBER('Dvd Calendar'!$H$338)=FALSE,"",'Dvd Calendar'!$H$338))</f>
        <v/>
      </c>
      <c r="AU41" s="161">
        <f>IF(FW41="","",IF(ISNUMBER('Dvd Calendar'!$I$338)=FALSE,"",'Dvd Calendar'!$I$338))</f>
        <v/>
      </c>
      <c r="AV41" s="161">
        <f>IF(FX41="","",IF(ISNUMBER('Dvd Calendar'!$J$338)=FALSE,"",'Dvd Calendar'!$J$338))</f>
        <v/>
      </c>
      <c r="AW41" s="161">
        <f>IF(FY41="","",IF(ISNUMBER('Dvd Calendar'!$K$338)=FALSE,"",'Dvd Calendar'!$K$338))</f>
        <v/>
      </c>
      <c r="AX41" s="161">
        <f>IF(FZ41="","",IF(ISNUMBER('Dvd Calendar'!$L$338)=FALSE,"",'Dvd Calendar'!$L$338))</f>
        <v/>
      </c>
      <c r="AY41" s="161">
        <f>IF(GA41="","",IF(ISNUMBER('Dvd Calendar'!$M$338)=FALSE,"",'Dvd Calendar'!$M$338))</f>
        <v/>
      </c>
      <c r="AZ41" s="161">
        <f>IF(GB41="","",IF(ISNUMBER('Dvd Calendar'!$N$338)=FALSE,"",'Dvd Calendar'!$N$338))</f>
        <v/>
      </c>
      <c r="BA41" s="161">
        <f>IF(GC41="","",IF(ISNUMBER('Dvd Calendar'!$O$338)=FALSE,"",'Dvd Calendar'!$O$338))</f>
        <v/>
      </c>
      <c r="BB41" s="161">
        <f>IF(GD41="","",IF(ISNUMBER('Dvd Calendar'!$P$338)=FALSE,"",'Dvd Calendar'!$P$338))</f>
        <v/>
      </c>
      <c r="BC41" s="161">
        <f>IF(GE41="","",IF(ISNUMBER('Dvd Calendar'!$Q$338)=FALSE,"",'Dvd Calendar'!$Q$338))</f>
        <v/>
      </c>
      <c r="BD41" s="161">
        <f>IF(GF41="","",IF(ISNUMBER('Dvd Calendar'!$R$338)=FALSE,"",'Dvd Calendar'!$R$338))</f>
        <v/>
      </c>
      <c r="BE41" s="161">
        <f>IF(GG41="","",IF(ISNUMBER('Dvd Calendar'!$S$338)=FALSE,"",'Dvd Calendar'!$S$338))</f>
        <v/>
      </c>
      <c r="BF41" s="161">
        <f>IF(GH41="","",IF(ISNUMBER('Dvd Calendar'!$T$338)=FALSE,"",'Dvd Calendar'!$T$338))</f>
        <v/>
      </c>
      <c r="BG41" s="161">
        <f>IF(GI41="","",IF(ISNUMBER('Dvd Calendar'!$U$338)=FALSE,"",'Dvd Calendar'!$U$338))</f>
        <v/>
      </c>
      <c r="BH41" s="161">
        <f>IF(GJ41="","",IF(ISNUMBER('Dvd Calendar'!$V$338)=FALSE,"",'Dvd Calendar'!$V$338))</f>
        <v/>
      </c>
      <c r="BI41" s="161">
        <f>IF(GK41="","",IF(ISNUMBER('Dvd Calendar'!$W$338)=FALSE,"",'Dvd Calendar'!$W$338))</f>
        <v/>
      </c>
      <c r="BJ41" s="161">
        <f>IF(GL41="","",IF(ISNUMBER('Dvd Calendar'!$X$338)=FALSE,"",'Dvd Calendar'!$X$338))</f>
        <v/>
      </c>
      <c r="BK41" s="161">
        <f>IF(GM41="","",IF(ISNUMBER('Dvd Calendar'!$Y$338)=FALSE,"",'Dvd Calendar'!$Y$338))</f>
        <v/>
      </c>
      <c r="BL41" s="161">
        <f>IF(GN41="","",IF(ISNUMBER('Dvd Calendar'!$Z$338)=FALSE,"",'Dvd Calendar'!$Z$338))</f>
        <v/>
      </c>
      <c r="BM41" s="161">
        <f>IF(GO41="","",IF(ISNUMBER('Dvd Calendar'!$AA$338)=FALSE,"",'Dvd Calendar'!$AA$338))</f>
        <v/>
      </c>
      <c r="BN41" s="161">
        <f>IF(GP41="","",IF(ISNUMBER('Dvd Calendar'!$AB$338)=FALSE,"",'Dvd Calendar'!$AB$338))</f>
        <v/>
      </c>
      <c r="BO41" s="161">
        <f>IF(GQ41="","",IF(ISNUMBER('Dvd Calendar'!$AC$338)=FALSE,"",'Dvd Calendar'!$AC$338))</f>
        <v/>
      </c>
      <c r="BQ41" s="161">
        <f>IF(C41="","",IFERROR(C41*HSI!$B$36*HSI!$G$36/HSI!$B$3,""))</f>
        <v/>
      </c>
      <c r="BR41" s="161">
        <f>IF(D41="","",IFERROR(D41*HSI!$B$36*HSI!$G$36/HSI!$B$3,""))</f>
        <v/>
      </c>
      <c r="BS41" s="161">
        <f>IF(E41="","",IFERROR(E41*HSI!$B$36*HSI!$G$36/HSI!$B$3,""))</f>
        <v/>
      </c>
      <c r="BT41" s="161">
        <f>IF(F41="","",IFERROR(F41*HSI!$B$36*HSI!$G$36/HSI!$B$3,""))</f>
        <v/>
      </c>
      <c r="BU41" s="161">
        <f>IF(G41="","",IFERROR(G41*HSI!$B$36*HSI!$G$36/HSI!$B$3,""))</f>
        <v/>
      </c>
      <c r="BV41" s="161">
        <f>IF(H41="","",IFERROR(H41*HSI!$B$36*HSI!$G$36/HSI!$B$3,""))</f>
        <v/>
      </c>
      <c r="BW41" s="161">
        <f>IF(I41="","",IFERROR(I41*HSI!$B$36*HSI!$G$36/HSI!$B$3,""))</f>
        <v/>
      </c>
      <c r="BX41" s="161">
        <f>IF(J41="","",IFERROR(J41*HSI!$B$36*HSI!$G$36/HSI!$B$3,""))</f>
        <v/>
      </c>
      <c r="BY41" s="161">
        <f>IF(K41="","",IFERROR(K41*HSI!$B$36*HSI!$G$36/HSI!$B$3,""))</f>
        <v/>
      </c>
      <c r="BZ41" s="161">
        <f>IF(L41="","",IFERROR(L41*HSI!$B$36*HSI!$G$36/HSI!$B$3,""))</f>
        <v/>
      </c>
      <c r="CA41" s="161">
        <f>IF(M41="","",IFERROR(M41*HSI!$B$36*HSI!$G$36/HSI!$B$3,""))</f>
        <v/>
      </c>
      <c r="CB41" s="161">
        <f>IF(N41="","",IFERROR(N41*HSI!$B$36*HSI!$G$36/HSI!$B$3,""))</f>
        <v/>
      </c>
      <c r="CC41" s="161">
        <f>IF(O41="","",IFERROR(O41*HSI!$B$36*HSI!$G$36/HSI!$B$3,""))</f>
        <v/>
      </c>
      <c r="CD41" s="161">
        <f>IF(P41="","",IFERROR(P41*HSI!$B$36*HSI!$G$36/HSI!$B$3,""))</f>
        <v/>
      </c>
      <c r="CE41" s="161">
        <f>IF(Q41="","",IFERROR(Q41*HSI!$B$36*HSI!$G$36/HSI!$B$3,""))</f>
        <v/>
      </c>
      <c r="CF41" s="161">
        <f>IF(R41="","",IFERROR(R41*HSI!$B$36*HSI!$G$36/HSI!$B$3,""))</f>
        <v/>
      </c>
      <c r="CG41" s="161">
        <f>IF(S41="","",IFERROR(S41*HSI!$B$36*HSI!$G$36/HSI!$B$3,""))</f>
        <v/>
      </c>
      <c r="CH41" s="161">
        <f>IF(T41="","",IFERROR(T41*HSI!$B$36*HSI!$G$36/HSI!$B$3,""))</f>
        <v/>
      </c>
      <c r="CI41" s="161">
        <f>IF(U41="","",IFERROR(U41*HSI!$B$36*HSI!$G$36/HSI!$B$3,""))</f>
        <v/>
      </c>
      <c r="CJ41" s="161">
        <f>IF(V41="","",IFERROR(V41*HSI!$B$36*HSI!$G$36/HSI!$B$3,""))</f>
        <v/>
      </c>
      <c r="CK41" s="161">
        <f>IF(W41="","",IFERROR(W41*HSI!$B$36*HSI!$G$36/HSI!$B$3,""))</f>
        <v/>
      </c>
      <c r="CL41" s="161">
        <f>IF(X41="","",IFERROR(X41*HSI!$B$36*HSI!$G$36/HSI!$B$3,""))</f>
        <v/>
      </c>
      <c r="CM41" s="161">
        <f>IF(Y41="","",IFERROR(Y41*HSI!$B$36*HSI!$G$36/HSI!$B$3,""))</f>
        <v/>
      </c>
      <c r="CN41" s="161">
        <f>IF(Z41="","",IFERROR(Z41*HSI!$B$36*HSI!$G$36/HSI!$B$3,""))</f>
        <v/>
      </c>
      <c r="CO41" s="161">
        <f>IF(AA41="","",IFERROR(AA41*HSI!$B$36*HSI!$G$36/HSI!$B$3,""))</f>
        <v/>
      </c>
      <c r="CP41" s="161">
        <f>IF(AB41="","",IFERROR(AB41*HSI!$B$36*HSI!$G$36/HSI!$B$3,""))</f>
        <v/>
      </c>
      <c r="CQ41" s="161">
        <f>IF(AC41="","",IFERROR(AC41*HSI!$B$36*HSI!$G$36/HSI!$B$3,""))</f>
        <v/>
      </c>
      <c r="CR41" s="161">
        <f>IF(AD41="","",IFERROR(AD41*HSI!$B$36*HSI!$G$36/HSI!$B$3,""))</f>
        <v/>
      </c>
      <c r="CS41" s="161">
        <f>IF(AE41="","",IFERROR(AE41*HSI!$B$36*HSI!$G$36/HSI!$B$3,""))</f>
        <v/>
      </c>
      <c r="CT41" s="161">
        <f>IF(AF41="","",IFERROR(AF41*HSI!$B$36*HSI!$G$36/HSI!$B$3,""))</f>
        <v/>
      </c>
      <c r="CU41" s="161">
        <f>IF(AG41="","",IFERROR(AG41*HSI!$B$36*HSI!$G$36/HSI!$B$3,""))</f>
        <v/>
      </c>
      <c r="CV41" s="161">
        <f>IF(AH41="","",IFERROR(AH41*HSI!$B$36*HSI!$G$36/HSI!$B$3,""))</f>
        <v/>
      </c>
      <c r="CW41" s="161">
        <f>IF(AI41="","",IFERROR(AI41*HSI!$B$36*HSI!$G$36/HSI!$B$3,""))</f>
        <v/>
      </c>
      <c r="CX41" s="161">
        <f>IF(AJ41="","",IFERROR(AJ41*HSI!$B$36*HSI!$G$36/HSI!$B$3,""))</f>
        <v/>
      </c>
      <c r="CY41" s="161">
        <f>IF(AK41="","",IFERROR(AK41*HSI!$B$36*HSI!$G$36/HSI!$B$3,""))</f>
        <v/>
      </c>
      <c r="CZ41" s="161">
        <f>IF(AL41="","",IFERROR(AL41*HSI!$B$36*HSI!$G$36/HSI!$B$3,""))</f>
        <v/>
      </c>
      <c r="DA41" s="161">
        <f>IF(AM41="","",IFERROR(AM41*HSI!$B$36*HSI!$G$36/HSI!$B$3,""))</f>
        <v/>
      </c>
      <c r="DB41" s="161">
        <f>IF(AN41="","",IFERROR(AN41*HSI!$B$36*HSI!$G$36/HSI!$B$3,""))</f>
        <v/>
      </c>
      <c r="DC41" s="161">
        <f>IF(AO41="","",IFERROR(AO41*HSI!$B$36*HSI!$G$36/HSI!$B$3,""))</f>
        <v/>
      </c>
      <c r="DD41" s="161">
        <f>IF(AP41="","",IFERROR(AP41*HSI!$B$36*HSI!$G$36/HSI!$B$3,""))</f>
        <v/>
      </c>
      <c r="DE41" s="161">
        <f>IF(AQ41="","",IFERROR(AQ41*HSI!$B$36*HSI!$G$36/HSI!$B$3,""))</f>
        <v/>
      </c>
      <c r="DF41" s="161">
        <f>IF(AR41="","",IFERROR(AR41*HSI!$B$36*HSI!$G$36/HSI!$B$3,""))</f>
        <v/>
      </c>
      <c r="DG41" s="161">
        <f>IF(AS41="","",IFERROR(AS41*HSI!$B$36*HSI!$G$36/HSI!$B$3,""))</f>
        <v/>
      </c>
      <c r="DH41" s="161">
        <f>IF(AT41="","",IFERROR(AT41*HSI!$B$36*HSI!$G$36/HSI!$B$3,""))</f>
        <v/>
      </c>
      <c r="DI41" s="161">
        <f>IF(AU41="","",IFERROR(AU41*HSI!$B$36*HSI!$G$36/HSI!$B$3,""))</f>
        <v/>
      </c>
      <c r="DJ41" s="161">
        <f>IF(AV41="","",IFERROR(AV41*HSI!$B$36*HSI!$G$36/HSI!$B$3,""))</f>
        <v/>
      </c>
      <c r="DK41" s="161">
        <f>IF(AW41="","",IFERROR(AW41*HSI!$B$36*HSI!$G$36/HSI!$B$3,""))</f>
        <v/>
      </c>
      <c r="DL41" s="161">
        <f>IF(AX41="","",IFERROR(AX41*HSI!$B$36*HSI!$G$36/HSI!$B$3,""))</f>
        <v/>
      </c>
      <c r="DM41" s="161">
        <f>IF(AY41="","",IFERROR(AY41*HSI!$B$36*HSI!$G$36/HSI!$B$3,""))</f>
        <v/>
      </c>
      <c r="DN41" s="161">
        <f>IF(AZ41="","",IFERROR(AZ41*HSI!$B$36*HSI!$G$36/HSI!$B$3,""))</f>
        <v/>
      </c>
      <c r="DO41" s="161">
        <f>IF(BA41="","",IFERROR(BA41*HSI!$B$36*HSI!$G$36/HSI!$B$3,""))</f>
        <v/>
      </c>
      <c r="DP41" s="161">
        <f>IF(BB41="","",IFERROR(BB41*HSI!$B$36*HSI!$G$36/HSI!$B$3,""))</f>
        <v/>
      </c>
      <c r="DQ41" s="161">
        <f>IF(BC41="","",IFERROR(BC41*HSI!$B$36*HSI!$G$36/HSI!$B$3,""))</f>
        <v/>
      </c>
      <c r="DR41" s="161">
        <f>IF(BD41="","",IFERROR(BD41*HSI!$B$36*HSI!$G$36/HSI!$B$3,""))</f>
        <v/>
      </c>
      <c r="DS41" s="161">
        <f>IF(BE41="","",IFERROR(BE41*HSI!$B$36*HSI!$G$36/HSI!$B$3,""))</f>
        <v/>
      </c>
      <c r="DT41" s="161">
        <f>IF(BF41="","",IFERROR(BF41*HSI!$B$36*HSI!$G$36/HSI!$B$3,""))</f>
        <v/>
      </c>
      <c r="DU41" s="161">
        <f>IF(BG41="","",IFERROR(BG41*HSI!$B$36*HSI!$G$36/HSI!$B$3,""))</f>
        <v/>
      </c>
      <c r="DV41" s="161">
        <f>IF(BH41="","",IFERROR(BH41*HSI!$B$36*HSI!$G$36/HSI!$B$3,""))</f>
        <v/>
      </c>
      <c r="DW41" s="161">
        <f>IF(BI41="","",IFERROR(BI41*HSI!$B$36*HSI!$G$36/HSI!$B$3,""))</f>
        <v/>
      </c>
      <c r="DX41" s="161">
        <f>IF(BJ41="","",IFERROR(BJ41*HSI!$B$36*HSI!$G$36/HSI!$B$3,""))</f>
        <v/>
      </c>
      <c r="DY41" s="161">
        <f>IF(BK41="","",IFERROR(BK41*HSI!$B$36*HSI!$G$36/HSI!$B$3,""))</f>
        <v/>
      </c>
      <c r="DZ41" s="161">
        <f>IF(BL41="","",IFERROR(BL41*HSI!$B$36*HSI!$G$36/HSI!$B$3,""))</f>
        <v/>
      </c>
      <c r="EA41" s="161">
        <f>IF(BM41="","",IFERROR(BM41*HSI!$B$36*HSI!$G$36/HSI!$B$3,""))</f>
        <v/>
      </c>
      <c r="EB41" s="161">
        <f>IF(BN41="","",IFERROR(BN41*HSI!$B$36*HSI!$G$36/HSI!$B$3,""))</f>
        <v/>
      </c>
      <c r="EC41" s="161">
        <f>IF(BO41="","",IFERROR(BO41*HSI!$B$36*HSI!$G$36/HSI!$B$3,""))</f>
        <v/>
      </c>
      <c r="EE41" s="121">
        <f>IF(N('Dvd Calendar'!$E$330)=0,"",IF(('Dvd Calendar'!$E$330&gt;=GRID_FROM)*('Dvd Calendar'!$E$330&lt;=GRID_TO)*((('Dvd Calendar'!$E$330&lt;=VAL_DATE)+(COUNTIF('Dvd Calendar'!$E$337:$AR$337,'Dvd Calendar'!$E$330)=0))&gt;0)=0,"",'Dvd Calendar'!$E$330*1000000000+ISNUMBER('Dvd Calendar'!$E$333)*100000000+('Dvd Calendar'!$E$335=SPECIAL_LBL)*10000000+(N('Dvd Calendar'!$E$329)&gt;0)*(N('Dvd Calendar'!$E$329)&lt;=VAL_SERIAL)*1000000+30*1000+1))</f>
        <v/>
      </c>
      <c r="EF41" s="121">
        <f>IF(N('Dvd Calendar'!$F$330)=0,"",IF(('Dvd Calendar'!$F$330&gt;=GRID_FROM)*('Dvd Calendar'!$F$330&lt;=GRID_TO)*((('Dvd Calendar'!$F$330&lt;=VAL_DATE)+(COUNTIF('Dvd Calendar'!$E$337:$AR$337,'Dvd Calendar'!$F$330)=0))&gt;0)=0,"",'Dvd Calendar'!$F$330*1000000000+ISNUMBER('Dvd Calendar'!$F$333)*100000000+('Dvd Calendar'!$F$335=SPECIAL_LBL)*10000000+(N('Dvd Calendar'!$F$329)&gt;0)*(N('Dvd Calendar'!$F$329)&lt;=VAL_SERIAL)*1000000+30*1000+2))</f>
        <v/>
      </c>
      <c r="EG41" s="121">
        <f>IF(N('Dvd Calendar'!$G$330)=0,"",IF(('Dvd Calendar'!$G$330&gt;=GRID_FROM)*('Dvd Calendar'!$G$330&lt;=GRID_TO)*((('Dvd Calendar'!$G$330&lt;=VAL_DATE)+(COUNTIF('Dvd Calendar'!$E$337:$AR$337,'Dvd Calendar'!$G$330)=0))&gt;0)=0,"",'Dvd Calendar'!$G$330*1000000000+ISNUMBER('Dvd Calendar'!$G$333)*100000000+('Dvd Calendar'!$G$335=SPECIAL_LBL)*10000000+(N('Dvd Calendar'!$G$329)&gt;0)*(N('Dvd Calendar'!$G$329)&lt;=VAL_SERIAL)*1000000+30*1000+3))</f>
        <v/>
      </c>
      <c r="EH41" s="121">
        <f>IF(N('Dvd Calendar'!$H$330)=0,"",IF(('Dvd Calendar'!$H$330&gt;=GRID_FROM)*('Dvd Calendar'!$H$330&lt;=GRID_TO)*((('Dvd Calendar'!$H$330&lt;=VAL_DATE)+(COUNTIF('Dvd Calendar'!$E$337:$AR$337,'Dvd Calendar'!$H$330)=0))&gt;0)=0,"",'Dvd Calendar'!$H$330*1000000000+ISNUMBER('Dvd Calendar'!$H$333)*100000000+('Dvd Calendar'!$H$335=SPECIAL_LBL)*10000000+(N('Dvd Calendar'!$H$329)&gt;0)*(N('Dvd Calendar'!$H$329)&lt;=VAL_SERIAL)*1000000+30*1000+4))</f>
        <v/>
      </c>
      <c r="EI41" s="121">
        <f>IF(N('Dvd Calendar'!$I$330)=0,"",IF(('Dvd Calendar'!$I$330&gt;=GRID_FROM)*('Dvd Calendar'!$I$330&lt;=GRID_TO)*((('Dvd Calendar'!$I$330&lt;=VAL_DATE)+(COUNTIF('Dvd Calendar'!$E$337:$AR$337,'Dvd Calendar'!$I$330)=0))&gt;0)=0,"",'Dvd Calendar'!$I$330*1000000000+ISNUMBER('Dvd Calendar'!$I$333)*100000000+('Dvd Calendar'!$I$335=SPECIAL_LBL)*10000000+(N('Dvd Calendar'!$I$329)&gt;0)*(N('Dvd Calendar'!$I$329)&lt;=VAL_SERIAL)*1000000+30*1000+5))</f>
        <v/>
      </c>
      <c r="EJ41" s="121">
        <f>IF(N('Dvd Calendar'!$J$330)=0,"",IF(('Dvd Calendar'!$J$330&gt;=GRID_FROM)*('Dvd Calendar'!$J$330&lt;=GRID_TO)*((('Dvd Calendar'!$J$330&lt;=VAL_DATE)+(COUNTIF('Dvd Calendar'!$E$337:$AR$337,'Dvd Calendar'!$J$330)=0))&gt;0)=0,"",'Dvd Calendar'!$J$330*1000000000+ISNUMBER('Dvd Calendar'!$J$333)*100000000+('Dvd Calendar'!$J$335=SPECIAL_LBL)*10000000+(N('Dvd Calendar'!$J$329)&gt;0)*(N('Dvd Calendar'!$J$329)&lt;=VAL_SERIAL)*1000000+30*1000+6))</f>
        <v/>
      </c>
      <c r="EK41" s="121">
        <f>IF(N('Dvd Calendar'!$K$330)=0,"",IF(('Dvd Calendar'!$K$330&gt;=GRID_FROM)*('Dvd Calendar'!$K$330&lt;=GRID_TO)*((('Dvd Calendar'!$K$330&lt;=VAL_DATE)+(COUNTIF('Dvd Calendar'!$E$337:$AR$337,'Dvd Calendar'!$K$330)=0))&gt;0)=0,"",'Dvd Calendar'!$K$330*1000000000+ISNUMBER('Dvd Calendar'!$K$333)*100000000+('Dvd Calendar'!$K$335=SPECIAL_LBL)*10000000+(N('Dvd Calendar'!$K$329)&gt;0)*(N('Dvd Calendar'!$K$329)&lt;=VAL_SERIAL)*1000000+30*1000+7))</f>
        <v/>
      </c>
      <c r="EL41" s="121">
        <f>IF(N('Dvd Calendar'!$L$330)=0,"",IF(('Dvd Calendar'!$L$330&gt;=GRID_FROM)*('Dvd Calendar'!$L$330&lt;=GRID_TO)*((('Dvd Calendar'!$L$330&lt;=VAL_DATE)+(COUNTIF('Dvd Calendar'!$E$337:$AR$337,'Dvd Calendar'!$L$330)=0))&gt;0)=0,"",'Dvd Calendar'!$L$330*1000000000+ISNUMBER('Dvd Calendar'!$L$333)*100000000+('Dvd Calendar'!$L$335=SPECIAL_LBL)*10000000+(N('Dvd Calendar'!$L$329)&gt;0)*(N('Dvd Calendar'!$L$329)&lt;=VAL_SERIAL)*1000000+30*1000+8))</f>
        <v/>
      </c>
      <c r="EM41" s="121">
        <f>IF(N('Dvd Calendar'!$M$330)=0,"",IF(('Dvd Calendar'!$M$330&gt;=GRID_FROM)*('Dvd Calendar'!$M$330&lt;=GRID_TO)*((('Dvd Calendar'!$M$330&lt;=VAL_DATE)+(COUNTIF('Dvd Calendar'!$E$337:$AR$337,'Dvd Calendar'!$M$330)=0))&gt;0)=0,"",'Dvd Calendar'!$M$330*1000000000+ISNUMBER('Dvd Calendar'!$M$333)*100000000+('Dvd Calendar'!$M$335=SPECIAL_LBL)*10000000+(N('Dvd Calendar'!$M$329)&gt;0)*(N('Dvd Calendar'!$M$329)&lt;=VAL_SERIAL)*1000000+30*1000+9))</f>
        <v/>
      </c>
      <c r="EN41" s="121">
        <f>IF(N('Dvd Calendar'!$N$330)=0,"",IF(('Dvd Calendar'!$N$330&gt;=GRID_FROM)*('Dvd Calendar'!$N$330&lt;=GRID_TO)*((('Dvd Calendar'!$N$330&lt;=VAL_DATE)+(COUNTIF('Dvd Calendar'!$E$337:$AR$337,'Dvd Calendar'!$N$330)=0))&gt;0)=0,"",'Dvd Calendar'!$N$330*1000000000+ISNUMBER('Dvd Calendar'!$N$333)*100000000+('Dvd Calendar'!$N$335=SPECIAL_LBL)*10000000+(N('Dvd Calendar'!$N$329)&gt;0)*(N('Dvd Calendar'!$N$329)&lt;=VAL_SERIAL)*1000000+30*1000+10))</f>
        <v/>
      </c>
      <c r="EO41" s="121">
        <f>IF(N('Dvd Calendar'!$O$330)=0,"",IF(('Dvd Calendar'!$O$330&gt;=GRID_FROM)*('Dvd Calendar'!$O$330&lt;=GRID_TO)*((('Dvd Calendar'!$O$330&lt;=VAL_DATE)+(COUNTIF('Dvd Calendar'!$E$337:$AR$337,'Dvd Calendar'!$O$330)=0))&gt;0)=0,"",'Dvd Calendar'!$O$330*1000000000+ISNUMBER('Dvd Calendar'!$O$333)*100000000+('Dvd Calendar'!$O$335=SPECIAL_LBL)*10000000+(N('Dvd Calendar'!$O$329)&gt;0)*(N('Dvd Calendar'!$O$329)&lt;=VAL_SERIAL)*1000000+30*1000+11))</f>
        <v/>
      </c>
      <c r="EP41" s="121">
        <f>IF(N('Dvd Calendar'!$P$330)=0,"",IF(('Dvd Calendar'!$P$330&gt;=GRID_FROM)*('Dvd Calendar'!$P$330&lt;=GRID_TO)*((('Dvd Calendar'!$P$330&lt;=VAL_DATE)+(COUNTIF('Dvd Calendar'!$E$337:$AR$337,'Dvd Calendar'!$P$330)=0))&gt;0)=0,"",'Dvd Calendar'!$P$330*1000000000+ISNUMBER('Dvd Calendar'!$P$333)*100000000+('Dvd Calendar'!$P$335=SPECIAL_LBL)*10000000+(N('Dvd Calendar'!$P$329)&gt;0)*(N('Dvd Calendar'!$P$329)&lt;=VAL_SERIAL)*1000000+30*1000+12))</f>
        <v/>
      </c>
      <c r="EQ41" s="121">
        <f>IF(N('Dvd Calendar'!$Q$330)=0,"",IF(('Dvd Calendar'!$Q$330&gt;=GRID_FROM)*('Dvd Calendar'!$Q$330&lt;=GRID_TO)*((('Dvd Calendar'!$Q$330&lt;=VAL_DATE)+(COUNTIF('Dvd Calendar'!$E$337:$AR$337,'Dvd Calendar'!$Q$330)=0))&gt;0)=0,"",'Dvd Calendar'!$Q$330*1000000000+ISNUMBER('Dvd Calendar'!$Q$333)*100000000+('Dvd Calendar'!$Q$335=SPECIAL_LBL)*10000000+(N('Dvd Calendar'!$Q$329)&gt;0)*(N('Dvd Calendar'!$Q$329)&lt;=VAL_SERIAL)*1000000+30*1000+13))</f>
        <v/>
      </c>
      <c r="ER41" s="121">
        <f>IF(N('Dvd Calendar'!$R$330)=0,"",IF(('Dvd Calendar'!$R$330&gt;=GRID_FROM)*('Dvd Calendar'!$R$330&lt;=GRID_TO)*((('Dvd Calendar'!$R$330&lt;=VAL_DATE)+(COUNTIF('Dvd Calendar'!$E$337:$AR$337,'Dvd Calendar'!$R$330)=0))&gt;0)=0,"",'Dvd Calendar'!$R$330*1000000000+ISNUMBER('Dvd Calendar'!$R$333)*100000000+('Dvd Calendar'!$R$335=SPECIAL_LBL)*10000000+(N('Dvd Calendar'!$R$329)&gt;0)*(N('Dvd Calendar'!$R$329)&lt;=VAL_SERIAL)*1000000+30*1000+14))</f>
        <v/>
      </c>
      <c r="ES41" s="121">
        <f>IF(N('Dvd Calendar'!$S$330)=0,"",IF(('Dvd Calendar'!$S$330&gt;=GRID_FROM)*('Dvd Calendar'!$S$330&lt;=GRID_TO)*((('Dvd Calendar'!$S$330&lt;=VAL_DATE)+(COUNTIF('Dvd Calendar'!$E$337:$AR$337,'Dvd Calendar'!$S$330)=0))&gt;0)=0,"",'Dvd Calendar'!$S$330*1000000000+ISNUMBER('Dvd Calendar'!$S$333)*100000000+('Dvd Calendar'!$S$335=SPECIAL_LBL)*10000000+(N('Dvd Calendar'!$S$329)&gt;0)*(N('Dvd Calendar'!$S$329)&lt;=VAL_SERIAL)*1000000+30*1000+15))</f>
        <v/>
      </c>
      <c r="ET41" s="121">
        <f>IF(N('Dvd Calendar'!$T$330)=0,"",IF(('Dvd Calendar'!$T$330&gt;=GRID_FROM)*('Dvd Calendar'!$T$330&lt;=GRID_TO)*((('Dvd Calendar'!$T$330&lt;=VAL_DATE)+(COUNTIF('Dvd Calendar'!$E$337:$AR$337,'Dvd Calendar'!$T$330)=0))&gt;0)=0,"",'Dvd Calendar'!$T$330*1000000000+ISNUMBER('Dvd Calendar'!$T$333)*100000000+('Dvd Calendar'!$T$335=SPECIAL_LBL)*10000000+(N('Dvd Calendar'!$T$329)&gt;0)*(N('Dvd Calendar'!$T$329)&lt;=VAL_SERIAL)*1000000+30*1000+16))</f>
        <v/>
      </c>
      <c r="EU41" s="121">
        <f>IF(N('Dvd Calendar'!$U$330)=0,"",IF(('Dvd Calendar'!$U$330&gt;=GRID_FROM)*('Dvd Calendar'!$U$330&lt;=GRID_TO)*((('Dvd Calendar'!$U$330&lt;=VAL_DATE)+(COUNTIF('Dvd Calendar'!$E$337:$AR$337,'Dvd Calendar'!$U$330)=0))&gt;0)=0,"",'Dvd Calendar'!$U$330*1000000000+ISNUMBER('Dvd Calendar'!$U$333)*100000000+('Dvd Calendar'!$U$335=SPECIAL_LBL)*10000000+(N('Dvd Calendar'!$U$329)&gt;0)*(N('Dvd Calendar'!$U$329)&lt;=VAL_SERIAL)*1000000+30*1000+17))</f>
        <v/>
      </c>
      <c r="EV41" s="121">
        <f>IF(N('Dvd Calendar'!$V$330)=0,"",IF(('Dvd Calendar'!$V$330&gt;=GRID_FROM)*('Dvd Calendar'!$V$330&lt;=GRID_TO)*((('Dvd Calendar'!$V$330&lt;=VAL_DATE)+(COUNTIF('Dvd Calendar'!$E$337:$AR$337,'Dvd Calendar'!$V$330)=0))&gt;0)=0,"",'Dvd Calendar'!$V$330*1000000000+ISNUMBER('Dvd Calendar'!$V$333)*100000000+('Dvd Calendar'!$V$335=SPECIAL_LBL)*10000000+(N('Dvd Calendar'!$V$329)&gt;0)*(N('Dvd Calendar'!$V$329)&lt;=VAL_SERIAL)*1000000+30*1000+18))</f>
        <v/>
      </c>
      <c r="EW41" s="121">
        <f>IF(N('Dvd Calendar'!$W$330)=0,"",IF(('Dvd Calendar'!$W$330&gt;=GRID_FROM)*('Dvd Calendar'!$W$330&lt;=GRID_TO)*((('Dvd Calendar'!$W$330&lt;=VAL_DATE)+(COUNTIF('Dvd Calendar'!$E$337:$AR$337,'Dvd Calendar'!$W$330)=0))&gt;0)=0,"",'Dvd Calendar'!$W$330*1000000000+ISNUMBER('Dvd Calendar'!$W$333)*100000000+('Dvd Calendar'!$W$335=SPECIAL_LBL)*10000000+(N('Dvd Calendar'!$W$329)&gt;0)*(N('Dvd Calendar'!$W$329)&lt;=VAL_SERIAL)*1000000+30*1000+19))</f>
        <v/>
      </c>
      <c r="EX41" s="121">
        <f>IF(N('Dvd Calendar'!$X$330)=0,"",IF(('Dvd Calendar'!$X$330&gt;=GRID_FROM)*('Dvd Calendar'!$X$330&lt;=GRID_TO)*((('Dvd Calendar'!$X$330&lt;=VAL_DATE)+(COUNTIF('Dvd Calendar'!$E$337:$AR$337,'Dvd Calendar'!$X$330)=0))&gt;0)=0,"",'Dvd Calendar'!$X$330*1000000000+ISNUMBER('Dvd Calendar'!$X$333)*100000000+('Dvd Calendar'!$X$335=SPECIAL_LBL)*10000000+(N('Dvd Calendar'!$X$329)&gt;0)*(N('Dvd Calendar'!$X$329)&lt;=VAL_SERIAL)*1000000+30*1000+20))</f>
        <v/>
      </c>
      <c r="EY41" s="121">
        <f>IF(N('Dvd Calendar'!$Y$330)=0,"",IF(('Dvd Calendar'!$Y$330&gt;=GRID_FROM)*('Dvd Calendar'!$Y$330&lt;=GRID_TO)*((('Dvd Calendar'!$Y$330&lt;=VAL_DATE)+(COUNTIF('Dvd Calendar'!$E$337:$AR$337,'Dvd Calendar'!$Y$330)=0))&gt;0)=0,"",'Dvd Calendar'!$Y$330*1000000000+ISNUMBER('Dvd Calendar'!$Y$333)*100000000+('Dvd Calendar'!$Y$335=SPECIAL_LBL)*10000000+(N('Dvd Calendar'!$Y$329)&gt;0)*(N('Dvd Calendar'!$Y$329)&lt;=VAL_SERIAL)*1000000+30*1000+21))</f>
        <v/>
      </c>
      <c r="EZ41" s="121">
        <f>IF(N('Dvd Calendar'!$Z$330)=0,"",IF(('Dvd Calendar'!$Z$330&gt;=GRID_FROM)*('Dvd Calendar'!$Z$330&lt;=GRID_TO)*((('Dvd Calendar'!$Z$330&lt;=VAL_DATE)+(COUNTIF('Dvd Calendar'!$E$337:$AR$337,'Dvd Calendar'!$Z$330)=0))&gt;0)=0,"",'Dvd Calendar'!$Z$330*1000000000+ISNUMBER('Dvd Calendar'!$Z$333)*100000000+('Dvd Calendar'!$Z$335=SPECIAL_LBL)*10000000+(N('Dvd Calendar'!$Z$329)&gt;0)*(N('Dvd Calendar'!$Z$329)&lt;=VAL_SERIAL)*1000000+30*1000+22))</f>
        <v/>
      </c>
      <c r="FA41" s="121">
        <f>IF(N('Dvd Calendar'!$AA$330)=0,"",IF(('Dvd Calendar'!$AA$330&gt;=GRID_FROM)*('Dvd Calendar'!$AA$330&lt;=GRID_TO)*((('Dvd Calendar'!$AA$330&lt;=VAL_DATE)+(COUNTIF('Dvd Calendar'!$E$337:$AR$337,'Dvd Calendar'!$AA$330)=0))&gt;0)=0,"",'Dvd Calendar'!$AA$330*1000000000+ISNUMBER('Dvd Calendar'!$AA$333)*100000000+('Dvd Calendar'!$AA$335=SPECIAL_LBL)*10000000+(N('Dvd Calendar'!$AA$329)&gt;0)*(N('Dvd Calendar'!$AA$329)&lt;=VAL_SERIAL)*1000000+30*1000+23))</f>
        <v/>
      </c>
      <c r="FB41" s="121">
        <f>IF(N('Dvd Calendar'!$AB$330)=0,"",IF(('Dvd Calendar'!$AB$330&gt;=GRID_FROM)*('Dvd Calendar'!$AB$330&lt;=GRID_TO)*((('Dvd Calendar'!$AB$330&lt;=VAL_DATE)+(COUNTIF('Dvd Calendar'!$E$337:$AR$337,'Dvd Calendar'!$AB$330)=0))&gt;0)=0,"",'Dvd Calendar'!$AB$330*1000000000+ISNUMBER('Dvd Calendar'!$AB$333)*100000000+('Dvd Calendar'!$AB$335=SPECIAL_LBL)*10000000+(N('Dvd Calendar'!$AB$329)&gt;0)*(N('Dvd Calendar'!$AB$329)&lt;=VAL_SERIAL)*1000000+30*1000+24))</f>
        <v/>
      </c>
      <c r="FC41" s="121">
        <f>IF(N('Dvd Calendar'!$AC$330)=0,"",IF(('Dvd Calendar'!$AC$330&gt;=GRID_FROM)*('Dvd Calendar'!$AC$330&lt;=GRID_TO)*((('Dvd Calendar'!$AC$330&lt;=VAL_DATE)+(COUNTIF('Dvd Calendar'!$E$337:$AR$337,'Dvd Calendar'!$AC$330)=0))&gt;0)=0,"",'Dvd Calendar'!$AC$330*1000000000+ISNUMBER('Dvd Calendar'!$AC$333)*100000000+('Dvd Calendar'!$AC$335=SPECIAL_LBL)*10000000+(N('Dvd Calendar'!$AC$329)&gt;0)*(N('Dvd Calendar'!$AC$329)&lt;=VAL_SERIAL)*1000000+30*1000+25))</f>
        <v/>
      </c>
      <c r="FD41" s="121">
        <f>IF(N('Dvd Calendar'!$AD$330)=0,"",IF(('Dvd Calendar'!$AD$330&gt;=GRID_FROM)*('Dvd Calendar'!$AD$330&lt;=GRID_TO)*((('Dvd Calendar'!$AD$330&lt;=VAL_DATE)+(COUNTIF('Dvd Calendar'!$E$337:$AR$337,'Dvd Calendar'!$AD$330)=0))&gt;0)=0,"",'Dvd Calendar'!$AD$330*1000000000+ISNUMBER('Dvd Calendar'!$AD$333)*100000000+('Dvd Calendar'!$AD$335=SPECIAL_LBL)*10000000+(N('Dvd Calendar'!$AD$329)&gt;0)*(N('Dvd Calendar'!$AD$329)&lt;=VAL_SERIAL)*1000000+30*1000+26))</f>
        <v/>
      </c>
      <c r="FE41" s="121">
        <f>IF(N('Dvd Calendar'!$AE$330)=0,"",IF(('Dvd Calendar'!$AE$330&gt;=GRID_FROM)*('Dvd Calendar'!$AE$330&lt;=GRID_TO)*((('Dvd Calendar'!$AE$330&lt;=VAL_DATE)+(COUNTIF('Dvd Calendar'!$E$337:$AR$337,'Dvd Calendar'!$AE$330)=0))&gt;0)=0,"",'Dvd Calendar'!$AE$330*1000000000+ISNUMBER('Dvd Calendar'!$AE$333)*100000000+('Dvd Calendar'!$AE$335=SPECIAL_LBL)*10000000+(N('Dvd Calendar'!$AE$329)&gt;0)*(N('Dvd Calendar'!$AE$329)&lt;=VAL_SERIAL)*1000000+30*1000+27))</f>
        <v/>
      </c>
      <c r="FF41" s="121">
        <f>IF(N('Dvd Calendar'!$AF$330)=0,"",IF(('Dvd Calendar'!$AF$330&gt;=GRID_FROM)*('Dvd Calendar'!$AF$330&lt;=GRID_TO)*((('Dvd Calendar'!$AF$330&lt;=VAL_DATE)+(COUNTIF('Dvd Calendar'!$E$337:$AR$337,'Dvd Calendar'!$AF$330)=0))&gt;0)=0,"",'Dvd Calendar'!$AF$330*1000000000+ISNUMBER('Dvd Calendar'!$AF$333)*100000000+('Dvd Calendar'!$AF$335=SPECIAL_LBL)*10000000+(N('Dvd Calendar'!$AF$329)&gt;0)*(N('Dvd Calendar'!$AF$329)&lt;=VAL_SERIAL)*1000000+30*1000+28))</f>
        <v/>
      </c>
      <c r="FG41" s="121">
        <f>IF(N('Dvd Calendar'!$AG$330)=0,"",IF(('Dvd Calendar'!$AG$330&gt;=GRID_FROM)*('Dvd Calendar'!$AG$330&lt;=GRID_TO)*((('Dvd Calendar'!$AG$330&lt;=VAL_DATE)+(COUNTIF('Dvd Calendar'!$E$337:$AR$337,'Dvd Calendar'!$AG$330)=0))&gt;0)=0,"",'Dvd Calendar'!$AG$330*1000000000+ISNUMBER('Dvd Calendar'!$AG$333)*100000000+('Dvd Calendar'!$AG$335=SPECIAL_LBL)*10000000+(N('Dvd Calendar'!$AG$329)&gt;0)*(N('Dvd Calendar'!$AG$329)&lt;=VAL_SERIAL)*1000000+30*1000+29))</f>
        <v/>
      </c>
      <c r="FH41" s="121">
        <f>IF(N('Dvd Calendar'!$AH$330)=0,"",IF(('Dvd Calendar'!$AH$330&gt;=GRID_FROM)*('Dvd Calendar'!$AH$330&lt;=GRID_TO)*((('Dvd Calendar'!$AH$330&lt;=VAL_DATE)+(COUNTIF('Dvd Calendar'!$E$337:$AR$337,'Dvd Calendar'!$AH$330)=0))&gt;0)=0,"",'Dvd Calendar'!$AH$330*1000000000+ISNUMBER('Dvd Calendar'!$AH$333)*100000000+('Dvd Calendar'!$AH$335=SPECIAL_LBL)*10000000+(N('Dvd Calendar'!$AH$329)&gt;0)*(N('Dvd Calendar'!$AH$329)&lt;=VAL_SERIAL)*1000000+30*1000+30))</f>
        <v/>
      </c>
      <c r="FI41" s="121">
        <f>IF(N('Dvd Calendar'!$AI$330)=0,"",IF(('Dvd Calendar'!$AI$330&gt;=GRID_FROM)*('Dvd Calendar'!$AI$330&lt;=GRID_TO)*((('Dvd Calendar'!$AI$330&lt;=VAL_DATE)+(COUNTIF('Dvd Calendar'!$E$337:$AR$337,'Dvd Calendar'!$AI$330)=0))&gt;0)=0,"",'Dvd Calendar'!$AI$330*1000000000+ISNUMBER('Dvd Calendar'!$AI$333)*100000000+('Dvd Calendar'!$AI$335=SPECIAL_LBL)*10000000+(N('Dvd Calendar'!$AI$329)&gt;0)*(N('Dvd Calendar'!$AI$329)&lt;=VAL_SERIAL)*1000000+30*1000+31))</f>
        <v/>
      </c>
      <c r="FJ41" s="121">
        <f>IF(N('Dvd Calendar'!$AJ$330)=0,"",IF(('Dvd Calendar'!$AJ$330&gt;=GRID_FROM)*('Dvd Calendar'!$AJ$330&lt;=GRID_TO)*((('Dvd Calendar'!$AJ$330&lt;=VAL_DATE)+(COUNTIF('Dvd Calendar'!$E$337:$AR$337,'Dvd Calendar'!$AJ$330)=0))&gt;0)=0,"",'Dvd Calendar'!$AJ$330*1000000000+ISNUMBER('Dvd Calendar'!$AJ$333)*100000000+('Dvd Calendar'!$AJ$335=SPECIAL_LBL)*10000000+(N('Dvd Calendar'!$AJ$329)&gt;0)*(N('Dvd Calendar'!$AJ$329)&lt;=VAL_SERIAL)*1000000+30*1000+32))</f>
        <v/>
      </c>
      <c r="FK41" s="121">
        <f>IF(N('Dvd Calendar'!$AK$330)=0,"",IF(('Dvd Calendar'!$AK$330&gt;=GRID_FROM)*('Dvd Calendar'!$AK$330&lt;=GRID_TO)*((('Dvd Calendar'!$AK$330&lt;=VAL_DATE)+(COUNTIF('Dvd Calendar'!$E$337:$AR$337,'Dvd Calendar'!$AK$330)=0))&gt;0)=0,"",'Dvd Calendar'!$AK$330*1000000000+ISNUMBER('Dvd Calendar'!$AK$333)*100000000+('Dvd Calendar'!$AK$335=SPECIAL_LBL)*10000000+(N('Dvd Calendar'!$AK$329)&gt;0)*(N('Dvd Calendar'!$AK$329)&lt;=VAL_SERIAL)*1000000+30*1000+33))</f>
        <v/>
      </c>
      <c r="FL41" s="121">
        <f>IF(N('Dvd Calendar'!$AL$330)=0,"",IF(('Dvd Calendar'!$AL$330&gt;=GRID_FROM)*('Dvd Calendar'!$AL$330&lt;=GRID_TO)*((('Dvd Calendar'!$AL$330&lt;=VAL_DATE)+(COUNTIF('Dvd Calendar'!$E$337:$AR$337,'Dvd Calendar'!$AL$330)=0))&gt;0)=0,"",'Dvd Calendar'!$AL$330*1000000000+ISNUMBER('Dvd Calendar'!$AL$333)*100000000+('Dvd Calendar'!$AL$335=SPECIAL_LBL)*10000000+(N('Dvd Calendar'!$AL$329)&gt;0)*(N('Dvd Calendar'!$AL$329)&lt;=VAL_SERIAL)*1000000+30*1000+34))</f>
        <v/>
      </c>
      <c r="FM41" s="121">
        <f>IF(N('Dvd Calendar'!$AM$330)=0,"",IF(('Dvd Calendar'!$AM$330&gt;=GRID_FROM)*('Dvd Calendar'!$AM$330&lt;=GRID_TO)*((('Dvd Calendar'!$AM$330&lt;=VAL_DATE)+(COUNTIF('Dvd Calendar'!$E$337:$AR$337,'Dvd Calendar'!$AM$330)=0))&gt;0)=0,"",'Dvd Calendar'!$AM$330*1000000000+ISNUMBER('Dvd Calendar'!$AM$333)*100000000+('Dvd Calendar'!$AM$335=SPECIAL_LBL)*10000000+(N('Dvd Calendar'!$AM$329)&gt;0)*(N('Dvd Calendar'!$AM$329)&lt;=VAL_SERIAL)*1000000+30*1000+35))</f>
        <v/>
      </c>
      <c r="FN41" s="121">
        <f>IF(N('Dvd Calendar'!$AN$330)=0,"",IF(('Dvd Calendar'!$AN$330&gt;=GRID_FROM)*('Dvd Calendar'!$AN$330&lt;=GRID_TO)*((('Dvd Calendar'!$AN$330&lt;=VAL_DATE)+(COUNTIF('Dvd Calendar'!$E$337:$AR$337,'Dvd Calendar'!$AN$330)=0))&gt;0)=0,"",'Dvd Calendar'!$AN$330*1000000000+ISNUMBER('Dvd Calendar'!$AN$333)*100000000+('Dvd Calendar'!$AN$335=SPECIAL_LBL)*10000000+(N('Dvd Calendar'!$AN$329)&gt;0)*(N('Dvd Calendar'!$AN$329)&lt;=VAL_SERIAL)*1000000+30*1000+36))</f>
        <v/>
      </c>
      <c r="FO41" s="121">
        <f>IF(N('Dvd Calendar'!$AO$330)=0,"",IF(('Dvd Calendar'!$AO$330&gt;=GRID_FROM)*('Dvd Calendar'!$AO$330&lt;=GRID_TO)*((('Dvd Calendar'!$AO$330&lt;=VAL_DATE)+(COUNTIF('Dvd Calendar'!$E$337:$AR$337,'Dvd Calendar'!$AO$330)=0))&gt;0)=0,"",'Dvd Calendar'!$AO$330*1000000000+ISNUMBER('Dvd Calendar'!$AO$333)*100000000+('Dvd Calendar'!$AO$335=SPECIAL_LBL)*10000000+(N('Dvd Calendar'!$AO$329)&gt;0)*(N('Dvd Calendar'!$AO$329)&lt;=VAL_SERIAL)*1000000+30*1000+37))</f>
        <v/>
      </c>
      <c r="FP41" s="121">
        <f>IF(N('Dvd Calendar'!$AP$330)=0,"",IF(('Dvd Calendar'!$AP$330&gt;=GRID_FROM)*('Dvd Calendar'!$AP$330&lt;=GRID_TO)*((('Dvd Calendar'!$AP$330&lt;=VAL_DATE)+(COUNTIF('Dvd Calendar'!$E$337:$AR$337,'Dvd Calendar'!$AP$330)=0))&gt;0)=0,"",'Dvd Calendar'!$AP$330*1000000000+ISNUMBER('Dvd Calendar'!$AP$333)*100000000+('Dvd Calendar'!$AP$335=SPECIAL_LBL)*10000000+(N('Dvd Calendar'!$AP$329)&gt;0)*(N('Dvd Calendar'!$AP$329)&lt;=VAL_SERIAL)*1000000+30*1000+38))</f>
        <v/>
      </c>
      <c r="FQ41" s="121">
        <f>IF(N('Dvd Calendar'!$AQ$330)=0,"",IF(('Dvd Calendar'!$AQ$330&gt;=GRID_FROM)*('Dvd Calendar'!$AQ$330&lt;=GRID_TO)*((('Dvd Calendar'!$AQ$330&lt;=VAL_DATE)+(COUNTIF('Dvd Calendar'!$E$337:$AR$337,'Dvd Calendar'!$AQ$330)=0))&gt;0)=0,"",'Dvd Calendar'!$AQ$330*1000000000+ISNUMBER('Dvd Calendar'!$AQ$333)*100000000+('Dvd Calendar'!$AQ$335=SPECIAL_LBL)*10000000+(N('Dvd Calendar'!$AQ$329)&gt;0)*(N('Dvd Calendar'!$AQ$329)&lt;=VAL_SERIAL)*1000000+30*1000+39))</f>
        <v/>
      </c>
      <c r="FR41" s="121">
        <f>IF(N('Dvd Calendar'!$AR$330)=0,"",IF(('Dvd Calendar'!$AR$330&gt;=GRID_FROM)*('Dvd Calendar'!$AR$330&lt;=GRID_TO)*((('Dvd Calendar'!$AR$330&lt;=VAL_DATE)+(COUNTIF('Dvd Calendar'!$E$337:$AR$337,'Dvd Calendar'!$AR$330)=0))&gt;0)=0,"",'Dvd Calendar'!$AR$330*1000000000+ISNUMBER('Dvd Calendar'!$AR$333)*100000000+('Dvd Calendar'!$AR$335=SPECIAL_LBL)*10000000+(N('Dvd Calendar'!$AR$329)&gt;0)*(N('Dvd Calendar'!$AR$329)&lt;=VAL_SERIAL)*1000000+30*1000+40))</f>
        <v/>
      </c>
      <c r="FS41" s="121">
        <f>IF(N('Dvd Calendar'!$E$337)=0,"",IF(('Dvd Calendar'!$E$337&gt;=GRID_FROM)*('Dvd Calendar'!$E$337&lt;=GRID_TO)*('Dvd Calendar'!$E$337&gt;VAL_DATE)=0,"",'Dvd Calendar'!$E$337*1000000000+ISNUMBER('Dvd Calendar'!$E$338)*100000000+0*10000000+(N('Dvd Calendar'!$E$336)&gt;0)*(N('Dvd Calendar'!$E$336)&lt;=VAL_SERIAL)*1000000+30*1000+41))</f>
        <v/>
      </c>
      <c r="FT41" s="121">
        <f>IF(N('Dvd Calendar'!$F$337)=0,"",IF(('Dvd Calendar'!$F$337&gt;=GRID_FROM)*('Dvd Calendar'!$F$337&lt;=GRID_TO)*('Dvd Calendar'!$F$337&gt;VAL_DATE)=0,"",'Dvd Calendar'!$F$337*1000000000+ISNUMBER('Dvd Calendar'!$F$338)*100000000+0*10000000+(N('Dvd Calendar'!$F$336)&gt;0)*(N('Dvd Calendar'!$F$336)&lt;=VAL_SERIAL)*1000000+30*1000+42))</f>
        <v/>
      </c>
      <c r="FU41" s="121">
        <f>IF(N('Dvd Calendar'!$G$337)=0,"",IF(('Dvd Calendar'!$G$337&gt;=GRID_FROM)*('Dvd Calendar'!$G$337&lt;=GRID_TO)*('Dvd Calendar'!$G$337&gt;VAL_DATE)=0,"",'Dvd Calendar'!$G$337*1000000000+ISNUMBER('Dvd Calendar'!$G$338)*100000000+0*10000000+(N('Dvd Calendar'!$G$336)&gt;0)*(N('Dvd Calendar'!$G$336)&lt;=VAL_SERIAL)*1000000+30*1000+43))</f>
        <v/>
      </c>
      <c r="FV41" s="121">
        <f>IF(N('Dvd Calendar'!$H$337)=0,"",IF(('Dvd Calendar'!$H$337&gt;=GRID_FROM)*('Dvd Calendar'!$H$337&lt;=GRID_TO)*('Dvd Calendar'!$H$337&gt;VAL_DATE)=0,"",'Dvd Calendar'!$H$337*1000000000+ISNUMBER('Dvd Calendar'!$H$338)*100000000+0*10000000+(N('Dvd Calendar'!$H$336)&gt;0)*(N('Dvd Calendar'!$H$336)&lt;=VAL_SERIAL)*1000000+30*1000+44))</f>
        <v/>
      </c>
      <c r="FW41" s="121">
        <f>IF(N('Dvd Calendar'!$I$337)=0,"",IF(('Dvd Calendar'!$I$337&gt;=GRID_FROM)*('Dvd Calendar'!$I$337&lt;=GRID_TO)*('Dvd Calendar'!$I$337&gt;VAL_DATE)=0,"",'Dvd Calendar'!$I$337*1000000000+ISNUMBER('Dvd Calendar'!$I$338)*100000000+0*10000000+(N('Dvd Calendar'!$I$336)&gt;0)*(N('Dvd Calendar'!$I$336)&lt;=VAL_SERIAL)*1000000+30*1000+45))</f>
        <v/>
      </c>
      <c r="FX41" s="121">
        <f>IF(N('Dvd Calendar'!$J$337)=0,"",IF(('Dvd Calendar'!$J$337&gt;=GRID_FROM)*('Dvd Calendar'!$J$337&lt;=GRID_TO)*('Dvd Calendar'!$J$337&gt;VAL_DATE)=0,"",'Dvd Calendar'!$J$337*1000000000+ISNUMBER('Dvd Calendar'!$J$338)*100000000+0*10000000+(N('Dvd Calendar'!$J$336)&gt;0)*(N('Dvd Calendar'!$J$336)&lt;=VAL_SERIAL)*1000000+30*1000+46))</f>
        <v/>
      </c>
      <c r="FY41" s="121">
        <f>IF(N('Dvd Calendar'!$K$337)=0,"",IF(('Dvd Calendar'!$K$337&gt;=GRID_FROM)*('Dvd Calendar'!$K$337&lt;=GRID_TO)*('Dvd Calendar'!$K$337&gt;VAL_DATE)=0,"",'Dvd Calendar'!$K$337*1000000000+ISNUMBER('Dvd Calendar'!$K$338)*100000000+0*10000000+(N('Dvd Calendar'!$K$336)&gt;0)*(N('Dvd Calendar'!$K$336)&lt;=VAL_SERIAL)*1000000+30*1000+47))</f>
        <v/>
      </c>
      <c r="FZ41" s="121">
        <f>IF(N('Dvd Calendar'!$L$337)=0,"",IF(('Dvd Calendar'!$L$337&gt;=GRID_FROM)*('Dvd Calendar'!$L$337&lt;=GRID_TO)*('Dvd Calendar'!$L$337&gt;VAL_DATE)=0,"",'Dvd Calendar'!$L$337*1000000000+ISNUMBER('Dvd Calendar'!$L$338)*100000000+0*10000000+(N('Dvd Calendar'!$L$336)&gt;0)*(N('Dvd Calendar'!$L$336)&lt;=VAL_SERIAL)*1000000+30*1000+48))</f>
        <v/>
      </c>
      <c r="GA41" s="121">
        <f>IF(N('Dvd Calendar'!$M$337)=0,"",IF(('Dvd Calendar'!$M$337&gt;=GRID_FROM)*('Dvd Calendar'!$M$337&lt;=GRID_TO)*('Dvd Calendar'!$M$337&gt;VAL_DATE)=0,"",'Dvd Calendar'!$M$337*1000000000+ISNUMBER('Dvd Calendar'!$M$338)*100000000+0*10000000+(N('Dvd Calendar'!$M$336)&gt;0)*(N('Dvd Calendar'!$M$336)&lt;=VAL_SERIAL)*1000000+30*1000+49))</f>
        <v/>
      </c>
      <c r="GB41" s="121">
        <f>IF(N('Dvd Calendar'!$N$337)=0,"",IF(('Dvd Calendar'!$N$337&gt;=GRID_FROM)*('Dvd Calendar'!$N$337&lt;=GRID_TO)*('Dvd Calendar'!$N$337&gt;VAL_DATE)=0,"",'Dvd Calendar'!$N$337*1000000000+ISNUMBER('Dvd Calendar'!$N$338)*100000000+0*10000000+(N('Dvd Calendar'!$N$336)&gt;0)*(N('Dvd Calendar'!$N$336)&lt;=VAL_SERIAL)*1000000+30*1000+50))</f>
        <v/>
      </c>
      <c r="GC41" s="121">
        <f>IF(N('Dvd Calendar'!$O$337)=0,"",IF(('Dvd Calendar'!$O$337&gt;=GRID_FROM)*('Dvd Calendar'!$O$337&lt;=GRID_TO)*('Dvd Calendar'!$O$337&gt;VAL_DATE)=0,"",'Dvd Calendar'!$O$337*1000000000+ISNUMBER('Dvd Calendar'!$O$338)*100000000+0*10000000+(N('Dvd Calendar'!$O$336)&gt;0)*(N('Dvd Calendar'!$O$336)&lt;=VAL_SERIAL)*1000000+30*1000+51))</f>
        <v/>
      </c>
      <c r="GD41" s="121">
        <f>IF(N('Dvd Calendar'!$P$337)=0,"",IF(('Dvd Calendar'!$P$337&gt;=GRID_FROM)*('Dvd Calendar'!$P$337&lt;=GRID_TO)*('Dvd Calendar'!$P$337&gt;VAL_DATE)=0,"",'Dvd Calendar'!$P$337*1000000000+ISNUMBER('Dvd Calendar'!$P$338)*100000000+0*10000000+(N('Dvd Calendar'!$P$336)&gt;0)*(N('Dvd Calendar'!$P$336)&lt;=VAL_SERIAL)*1000000+30*1000+52))</f>
        <v/>
      </c>
      <c r="GE41" s="121">
        <f>IF(N('Dvd Calendar'!$Q$337)=0,"",IF(('Dvd Calendar'!$Q$337&gt;=GRID_FROM)*('Dvd Calendar'!$Q$337&lt;=GRID_TO)*('Dvd Calendar'!$Q$337&gt;VAL_DATE)=0,"",'Dvd Calendar'!$Q$337*1000000000+ISNUMBER('Dvd Calendar'!$Q$338)*100000000+0*10000000+(N('Dvd Calendar'!$Q$336)&gt;0)*(N('Dvd Calendar'!$Q$336)&lt;=VAL_SERIAL)*1000000+30*1000+53))</f>
        <v/>
      </c>
      <c r="GF41" s="121">
        <f>IF(N('Dvd Calendar'!$R$337)=0,"",IF(('Dvd Calendar'!$R$337&gt;=GRID_FROM)*('Dvd Calendar'!$R$337&lt;=GRID_TO)*('Dvd Calendar'!$R$337&gt;VAL_DATE)=0,"",'Dvd Calendar'!$R$337*1000000000+ISNUMBER('Dvd Calendar'!$R$338)*100000000+0*10000000+(N('Dvd Calendar'!$R$336)&gt;0)*(N('Dvd Calendar'!$R$336)&lt;=VAL_SERIAL)*1000000+30*1000+54))</f>
        <v/>
      </c>
      <c r="GG41" s="121">
        <f>IF(N('Dvd Calendar'!$S$337)=0,"",IF(('Dvd Calendar'!$S$337&gt;=GRID_FROM)*('Dvd Calendar'!$S$337&lt;=GRID_TO)*('Dvd Calendar'!$S$337&gt;VAL_DATE)=0,"",'Dvd Calendar'!$S$337*1000000000+ISNUMBER('Dvd Calendar'!$S$338)*100000000+0*10000000+(N('Dvd Calendar'!$S$336)&gt;0)*(N('Dvd Calendar'!$S$336)&lt;=VAL_SERIAL)*1000000+30*1000+55))</f>
        <v/>
      </c>
      <c r="GH41" s="121">
        <f>IF(N('Dvd Calendar'!$T$337)=0,"",IF(('Dvd Calendar'!$T$337&gt;=GRID_FROM)*('Dvd Calendar'!$T$337&lt;=GRID_TO)*('Dvd Calendar'!$T$337&gt;VAL_DATE)=0,"",'Dvd Calendar'!$T$337*1000000000+ISNUMBER('Dvd Calendar'!$T$338)*100000000+0*10000000+(N('Dvd Calendar'!$T$336)&gt;0)*(N('Dvd Calendar'!$T$336)&lt;=VAL_SERIAL)*1000000+30*1000+56))</f>
        <v/>
      </c>
      <c r="GI41" s="121">
        <f>IF(N('Dvd Calendar'!$U$337)=0,"",IF(('Dvd Calendar'!$U$337&gt;=GRID_FROM)*('Dvd Calendar'!$U$337&lt;=GRID_TO)*('Dvd Calendar'!$U$337&gt;VAL_DATE)=0,"",'Dvd Calendar'!$U$337*1000000000+ISNUMBER('Dvd Calendar'!$U$338)*100000000+0*10000000+(N('Dvd Calendar'!$U$336)&gt;0)*(N('Dvd Calendar'!$U$336)&lt;=VAL_SERIAL)*1000000+30*1000+57))</f>
        <v/>
      </c>
      <c r="GJ41" s="121">
        <f>IF(N('Dvd Calendar'!$V$337)=0,"",IF(('Dvd Calendar'!$V$337&gt;=GRID_FROM)*('Dvd Calendar'!$V$337&lt;=GRID_TO)*('Dvd Calendar'!$V$337&gt;VAL_DATE)=0,"",'Dvd Calendar'!$V$337*1000000000+ISNUMBER('Dvd Calendar'!$V$338)*100000000+0*10000000+(N('Dvd Calendar'!$V$336)&gt;0)*(N('Dvd Calendar'!$V$336)&lt;=VAL_SERIAL)*1000000+30*1000+58))</f>
        <v/>
      </c>
      <c r="GK41" s="121">
        <f>IF(N('Dvd Calendar'!$W$337)=0,"",IF(('Dvd Calendar'!$W$337&gt;=GRID_FROM)*('Dvd Calendar'!$W$337&lt;=GRID_TO)*('Dvd Calendar'!$W$337&gt;VAL_DATE)=0,"",'Dvd Calendar'!$W$337*1000000000+ISNUMBER('Dvd Calendar'!$W$338)*100000000+0*10000000+(N('Dvd Calendar'!$W$336)&gt;0)*(N('Dvd Calendar'!$W$336)&lt;=VAL_SERIAL)*1000000+30*1000+59))</f>
        <v/>
      </c>
      <c r="GL41" s="121">
        <f>IF(N('Dvd Calendar'!$X$337)=0,"",IF(('Dvd Calendar'!$X$337&gt;=GRID_FROM)*('Dvd Calendar'!$X$337&lt;=GRID_TO)*('Dvd Calendar'!$X$337&gt;VAL_DATE)=0,"",'Dvd Calendar'!$X$337*1000000000+ISNUMBER('Dvd Calendar'!$X$338)*100000000+0*10000000+(N('Dvd Calendar'!$X$336)&gt;0)*(N('Dvd Calendar'!$X$336)&lt;=VAL_SERIAL)*1000000+30*1000+60))</f>
        <v/>
      </c>
      <c r="GM41" s="121">
        <f>IF(N('Dvd Calendar'!$Y$337)=0,"",IF(('Dvd Calendar'!$Y$337&gt;=GRID_FROM)*('Dvd Calendar'!$Y$337&lt;=GRID_TO)*('Dvd Calendar'!$Y$337&gt;VAL_DATE)=0,"",'Dvd Calendar'!$Y$337*1000000000+ISNUMBER('Dvd Calendar'!$Y$338)*100000000+0*10000000+(N('Dvd Calendar'!$Y$336)&gt;0)*(N('Dvd Calendar'!$Y$336)&lt;=VAL_SERIAL)*1000000+30*1000+61))</f>
        <v/>
      </c>
      <c r="GN41" s="121">
        <f>IF(N('Dvd Calendar'!$Z$337)=0,"",IF(('Dvd Calendar'!$Z$337&gt;=GRID_FROM)*('Dvd Calendar'!$Z$337&lt;=GRID_TO)*('Dvd Calendar'!$Z$337&gt;VAL_DATE)=0,"",'Dvd Calendar'!$Z$337*1000000000+ISNUMBER('Dvd Calendar'!$Z$338)*100000000+0*10000000+(N('Dvd Calendar'!$Z$336)&gt;0)*(N('Dvd Calendar'!$Z$336)&lt;=VAL_SERIAL)*1000000+30*1000+62))</f>
        <v/>
      </c>
      <c r="GO41" s="121">
        <f>IF(N('Dvd Calendar'!$AA$337)=0,"",IF(('Dvd Calendar'!$AA$337&gt;=GRID_FROM)*('Dvd Calendar'!$AA$337&lt;=GRID_TO)*('Dvd Calendar'!$AA$337&gt;VAL_DATE)=0,"",'Dvd Calendar'!$AA$337*1000000000+ISNUMBER('Dvd Calendar'!$AA$338)*100000000+0*10000000+(N('Dvd Calendar'!$AA$336)&gt;0)*(N('Dvd Calendar'!$AA$336)&lt;=VAL_SERIAL)*1000000+30*1000+63))</f>
        <v/>
      </c>
      <c r="GP41" s="121">
        <f>IF(N('Dvd Calendar'!$AB$337)=0,"",IF(('Dvd Calendar'!$AB$337&gt;=GRID_FROM)*('Dvd Calendar'!$AB$337&lt;=GRID_TO)*('Dvd Calendar'!$AB$337&gt;VAL_DATE)=0,"",'Dvd Calendar'!$AB$337*1000000000+ISNUMBER('Dvd Calendar'!$AB$338)*100000000+0*10000000+(N('Dvd Calendar'!$AB$336)&gt;0)*(N('Dvd Calendar'!$AB$336)&lt;=VAL_SERIAL)*1000000+30*1000+64))</f>
        <v/>
      </c>
      <c r="GQ41" s="121">
        <f>IF(N('Dvd Calendar'!$AC$337)=0,"",IF(('Dvd Calendar'!$AC$337&gt;=GRID_FROM)*('Dvd Calendar'!$AC$337&lt;=GRID_TO)*('Dvd Calendar'!$AC$337&gt;VAL_DATE)=0,"",'Dvd Calendar'!$AC$337*1000000000+ISNUMBER('Dvd Calendar'!$AC$338)*100000000+0*10000000+(N('Dvd Calendar'!$AC$336)&gt;0)*(N('Dvd Calendar'!$AC$336)&lt;=VAL_SERIAL)*1000000+30*1000+65))</f>
        <v/>
      </c>
    </row>
    <row r="42">
      <c r="B42" s="2">
        <f>IF(HSI!$C$37="","",HSI!$C$37)</f>
        <v/>
      </c>
      <c r="C42" s="161">
        <f>IF(EE42="","",IF(ISNUMBER('Dvd Calendar'!$E$344)=FALSE,"",IF((('Dvd Calendar'!$E$346=TYPE1)*(TYPE1&lt;&gt;"")+('Dvd Calendar'!$E$346=TYPE2)*(TYPE2&lt;&gt;"")+('Dvd Calendar'!$E$346=TYPE3)*(TYPE3&lt;&gt;"")+('Dvd Calendar'!$E$346=TYPE4)*(TYPE4&lt;&gt;"")+('Dvd Calendar'!$E$346=SPECIAL_LBL)*(INC_SPECIALS="Y"))=0,"",'Dvd Calendar'!$E$344)))</f>
        <v/>
      </c>
      <c r="D42" s="161">
        <f>IF(EF42="","",IF(ISNUMBER('Dvd Calendar'!$F$344)=FALSE,"",IF((('Dvd Calendar'!$F$346=TYPE1)*(TYPE1&lt;&gt;"")+('Dvd Calendar'!$F$346=TYPE2)*(TYPE2&lt;&gt;"")+('Dvd Calendar'!$F$346=TYPE3)*(TYPE3&lt;&gt;"")+('Dvd Calendar'!$F$346=TYPE4)*(TYPE4&lt;&gt;"")+('Dvd Calendar'!$F$346=SPECIAL_LBL)*(INC_SPECIALS="Y"))=0,"",'Dvd Calendar'!$F$344)))</f>
        <v/>
      </c>
      <c r="E42" s="161">
        <f>IF(EG42="","",IF(ISNUMBER('Dvd Calendar'!$G$344)=FALSE,"",IF((('Dvd Calendar'!$G$346=TYPE1)*(TYPE1&lt;&gt;"")+('Dvd Calendar'!$G$346=TYPE2)*(TYPE2&lt;&gt;"")+('Dvd Calendar'!$G$346=TYPE3)*(TYPE3&lt;&gt;"")+('Dvd Calendar'!$G$346=TYPE4)*(TYPE4&lt;&gt;"")+('Dvd Calendar'!$G$346=SPECIAL_LBL)*(INC_SPECIALS="Y"))=0,"",'Dvd Calendar'!$G$344)))</f>
        <v/>
      </c>
      <c r="F42" s="161">
        <f>IF(EH42="","",IF(ISNUMBER('Dvd Calendar'!$H$344)=FALSE,"",IF((('Dvd Calendar'!$H$346=TYPE1)*(TYPE1&lt;&gt;"")+('Dvd Calendar'!$H$346=TYPE2)*(TYPE2&lt;&gt;"")+('Dvd Calendar'!$H$346=TYPE3)*(TYPE3&lt;&gt;"")+('Dvd Calendar'!$H$346=TYPE4)*(TYPE4&lt;&gt;"")+('Dvd Calendar'!$H$346=SPECIAL_LBL)*(INC_SPECIALS="Y"))=0,"",'Dvd Calendar'!$H$344)))</f>
        <v/>
      </c>
      <c r="G42" s="161">
        <f>IF(EI42="","",IF(ISNUMBER('Dvd Calendar'!$I$344)=FALSE,"",IF((('Dvd Calendar'!$I$346=TYPE1)*(TYPE1&lt;&gt;"")+('Dvd Calendar'!$I$346=TYPE2)*(TYPE2&lt;&gt;"")+('Dvd Calendar'!$I$346=TYPE3)*(TYPE3&lt;&gt;"")+('Dvd Calendar'!$I$346=TYPE4)*(TYPE4&lt;&gt;"")+('Dvd Calendar'!$I$346=SPECIAL_LBL)*(INC_SPECIALS="Y"))=0,"",'Dvd Calendar'!$I$344)))</f>
        <v/>
      </c>
      <c r="H42" s="161">
        <f>IF(EJ42="","",IF(ISNUMBER('Dvd Calendar'!$J$344)=FALSE,"",IF((('Dvd Calendar'!$J$346=TYPE1)*(TYPE1&lt;&gt;"")+('Dvd Calendar'!$J$346=TYPE2)*(TYPE2&lt;&gt;"")+('Dvd Calendar'!$J$346=TYPE3)*(TYPE3&lt;&gt;"")+('Dvd Calendar'!$J$346=TYPE4)*(TYPE4&lt;&gt;"")+('Dvd Calendar'!$J$346=SPECIAL_LBL)*(INC_SPECIALS="Y"))=0,"",'Dvd Calendar'!$J$344)))</f>
        <v/>
      </c>
      <c r="I42" s="161">
        <f>IF(EK42="","",IF(ISNUMBER('Dvd Calendar'!$K$344)=FALSE,"",IF((('Dvd Calendar'!$K$346=TYPE1)*(TYPE1&lt;&gt;"")+('Dvd Calendar'!$K$346=TYPE2)*(TYPE2&lt;&gt;"")+('Dvd Calendar'!$K$346=TYPE3)*(TYPE3&lt;&gt;"")+('Dvd Calendar'!$K$346=TYPE4)*(TYPE4&lt;&gt;"")+('Dvd Calendar'!$K$346=SPECIAL_LBL)*(INC_SPECIALS="Y"))=0,"",'Dvd Calendar'!$K$344)))</f>
        <v/>
      </c>
      <c r="J42" s="161">
        <f>IF(EL42="","",IF(ISNUMBER('Dvd Calendar'!$L$344)=FALSE,"",IF((('Dvd Calendar'!$L$346=TYPE1)*(TYPE1&lt;&gt;"")+('Dvd Calendar'!$L$346=TYPE2)*(TYPE2&lt;&gt;"")+('Dvd Calendar'!$L$346=TYPE3)*(TYPE3&lt;&gt;"")+('Dvd Calendar'!$L$346=TYPE4)*(TYPE4&lt;&gt;"")+('Dvd Calendar'!$L$346=SPECIAL_LBL)*(INC_SPECIALS="Y"))=0,"",'Dvd Calendar'!$L$344)))</f>
        <v/>
      </c>
      <c r="K42" s="161">
        <f>IF(EM42="","",IF(ISNUMBER('Dvd Calendar'!$M$344)=FALSE,"",IF((('Dvd Calendar'!$M$346=TYPE1)*(TYPE1&lt;&gt;"")+('Dvd Calendar'!$M$346=TYPE2)*(TYPE2&lt;&gt;"")+('Dvd Calendar'!$M$346=TYPE3)*(TYPE3&lt;&gt;"")+('Dvd Calendar'!$M$346=TYPE4)*(TYPE4&lt;&gt;"")+('Dvd Calendar'!$M$346=SPECIAL_LBL)*(INC_SPECIALS="Y"))=0,"",'Dvd Calendar'!$M$344)))</f>
        <v/>
      </c>
      <c r="L42" s="161">
        <f>IF(EN42="","",IF(ISNUMBER('Dvd Calendar'!$N$344)=FALSE,"",IF((('Dvd Calendar'!$N$346=TYPE1)*(TYPE1&lt;&gt;"")+('Dvd Calendar'!$N$346=TYPE2)*(TYPE2&lt;&gt;"")+('Dvd Calendar'!$N$346=TYPE3)*(TYPE3&lt;&gt;"")+('Dvd Calendar'!$N$346=TYPE4)*(TYPE4&lt;&gt;"")+('Dvd Calendar'!$N$346=SPECIAL_LBL)*(INC_SPECIALS="Y"))=0,"",'Dvd Calendar'!$N$344)))</f>
        <v/>
      </c>
      <c r="M42" s="161">
        <f>IF(EO42="","",IF(ISNUMBER('Dvd Calendar'!$O$344)=FALSE,"",IF((('Dvd Calendar'!$O$346=TYPE1)*(TYPE1&lt;&gt;"")+('Dvd Calendar'!$O$346=TYPE2)*(TYPE2&lt;&gt;"")+('Dvd Calendar'!$O$346=TYPE3)*(TYPE3&lt;&gt;"")+('Dvd Calendar'!$O$346=TYPE4)*(TYPE4&lt;&gt;"")+('Dvd Calendar'!$O$346=SPECIAL_LBL)*(INC_SPECIALS="Y"))=0,"",'Dvd Calendar'!$O$344)))</f>
        <v/>
      </c>
      <c r="N42" s="161">
        <f>IF(EP42="","",IF(ISNUMBER('Dvd Calendar'!$P$344)=FALSE,"",IF((('Dvd Calendar'!$P$346=TYPE1)*(TYPE1&lt;&gt;"")+('Dvd Calendar'!$P$346=TYPE2)*(TYPE2&lt;&gt;"")+('Dvd Calendar'!$P$346=TYPE3)*(TYPE3&lt;&gt;"")+('Dvd Calendar'!$P$346=TYPE4)*(TYPE4&lt;&gt;"")+('Dvd Calendar'!$P$346=SPECIAL_LBL)*(INC_SPECIALS="Y"))=0,"",'Dvd Calendar'!$P$344)))</f>
        <v/>
      </c>
      <c r="O42" s="161">
        <f>IF(EQ42="","",IF(ISNUMBER('Dvd Calendar'!$Q$344)=FALSE,"",IF((('Dvd Calendar'!$Q$346=TYPE1)*(TYPE1&lt;&gt;"")+('Dvd Calendar'!$Q$346=TYPE2)*(TYPE2&lt;&gt;"")+('Dvd Calendar'!$Q$346=TYPE3)*(TYPE3&lt;&gt;"")+('Dvd Calendar'!$Q$346=TYPE4)*(TYPE4&lt;&gt;"")+('Dvd Calendar'!$Q$346=SPECIAL_LBL)*(INC_SPECIALS="Y"))=0,"",'Dvd Calendar'!$Q$344)))</f>
        <v/>
      </c>
      <c r="P42" s="161">
        <f>IF(ER42="","",IF(ISNUMBER('Dvd Calendar'!$R$344)=FALSE,"",IF((('Dvd Calendar'!$R$346=TYPE1)*(TYPE1&lt;&gt;"")+('Dvd Calendar'!$R$346=TYPE2)*(TYPE2&lt;&gt;"")+('Dvd Calendar'!$R$346=TYPE3)*(TYPE3&lt;&gt;"")+('Dvd Calendar'!$R$346=TYPE4)*(TYPE4&lt;&gt;"")+('Dvd Calendar'!$R$346=SPECIAL_LBL)*(INC_SPECIALS="Y"))=0,"",'Dvd Calendar'!$R$344)))</f>
        <v/>
      </c>
      <c r="Q42" s="161">
        <f>IF(ES42="","",IF(ISNUMBER('Dvd Calendar'!$S$344)=FALSE,"",IF((('Dvd Calendar'!$S$346=TYPE1)*(TYPE1&lt;&gt;"")+('Dvd Calendar'!$S$346=TYPE2)*(TYPE2&lt;&gt;"")+('Dvd Calendar'!$S$346=TYPE3)*(TYPE3&lt;&gt;"")+('Dvd Calendar'!$S$346=TYPE4)*(TYPE4&lt;&gt;"")+('Dvd Calendar'!$S$346=SPECIAL_LBL)*(INC_SPECIALS="Y"))=0,"",'Dvd Calendar'!$S$344)))</f>
        <v/>
      </c>
      <c r="R42" s="161">
        <f>IF(ET42="","",IF(ISNUMBER('Dvd Calendar'!$T$344)=FALSE,"",IF((('Dvd Calendar'!$T$346=TYPE1)*(TYPE1&lt;&gt;"")+('Dvd Calendar'!$T$346=TYPE2)*(TYPE2&lt;&gt;"")+('Dvd Calendar'!$T$346=TYPE3)*(TYPE3&lt;&gt;"")+('Dvd Calendar'!$T$346=TYPE4)*(TYPE4&lt;&gt;"")+('Dvd Calendar'!$T$346=SPECIAL_LBL)*(INC_SPECIALS="Y"))=0,"",'Dvd Calendar'!$T$344)))</f>
        <v/>
      </c>
      <c r="S42" s="161">
        <f>IF(EU42="","",IF(ISNUMBER('Dvd Calendar'!$U$344)=FALSE,"",IF((('Dvd Calendar'!$U$346=TYPE1)*(TYPE1&lt;&gt;"")+('Dvd Calendar'!$U$346=TYPE2)*(TYPE2&lt;&gt;"")+('Dvd Calendar'!$U$346=TYPE3)*(TYPE3&lt;&gt;"")+('Dvd Calendar'!$U$346=TYPE4)*(TYPE4&lt;&gt;"")+('Dvd Calendar'!$U$346=SPECIAL_LBL)*(INC_SPECIALS="Y"))=0,"",'Dvd Calendar'!$U$344)))</f>
        <v/>
      </c>
      <c r="T42" s="161">
        <f>IF(EV42="","",IF(ISNUMBER('Dvd Calendar'!$V$344)=FALSE,"",IF((('Dvd Calendar'!$V$346=TYPE1)*(TYPE1&lt;&gt;"")+('Dvd Calendar'!$V$346=TYPE2)*(TYPE2&lt;&gt;"")+('Dvd Calendar'!$V$346=TYPE3)*(TYPE3&lt;&gt;"")+('Dvd Calendar'!$V$346=TYPE4)*(TYPE4&lt;&gt;"")+('Dvd Calendar'!$V$346=SPECIAL_LBL)*(INC_SPECIALS="Y"))=0,"",'Dvd Calendar'!$V$344)))</f>
        <v/>
      </c>
      <c r="U42" s="161">
        <f>IF(EW42="","",IF(ISNUMBER('Dvd Calendar'!$W$344)=FALSE,"",IF((('Dvd Calendar'!$W$346=TYPE1)*(TYPE1&lt;&gt;"")+('Dvd Calendar'!$W$346=TYPE2)*(TYPE2&lt;&gt;"")+('Dvd Calendar'!$W$346=TYPE3)*(TYPE3&lt;&gt;"")+('Dvd Calendar'!$W$346=TYPE4)*(TYPE4&lt;&gt;"")+('Dvd Calendar'!$W$346=SPECIAL_LBL)*(INC_SPECIALS="Y"))=0,"",'Dvd Calendar'!$W$344)))</f>
        <v/>
      </c>
      <c r="V42" s="161">
        <f>IF(EX42="","",IF(ISNUMBER('Dvd Calendar'!$X$344)=FALSE,"",IF((('Dvd Calendar'!$X$346=TYPE1)*(TYPE1&lt;&gt;"")+('Dvd Calendar'!$X$346=TYPE2)*(TYPE2&lt;&gt;"")+('Dvd Calendar'!$X$346=TYPE3)*(TYPE3&lt;&gt;"")+('Dvd Calendar'!$X$346=TYPE4)*(TYPE4&lt;&gt;"")+('Dvd Calendar'!$X$346=SPECIAL_LBL)*(INC_SPECIALS="Y"))=0,"",'Dvd Calendar'!$X$344)))</f>
        <v/>
      </c>
      <c r="W42" s="161">
        <f>IF(EY42="","",IF(ISNUMBER('Dvd Calendar'!$Y$344)=FALSE,"",IF((('Dvd Calendar'!$Y$346=TYPE1)*(TYPE1&lt;&gt;"")+('Dvd Calendar'!$Y$346=TYPE2)*(TYPE2&lt;&gt;"")+('Dvd Calendar'!$Y$346=TYPE3)*(TYPE3&lt;&gt;"")+('Dvd Calendar'!$Y$346=TYPE4)*(TYPE4&lt;&gt;"")+('Dvd Calendar'!$Y$346=SPECIAL_LBL)*(INC_SPECIALS="Y"))=0,"",'Dvd Calendar'!$Y$344)))</f>
        <v/>
      </c>
      <c r="X42" s="161">
        <f>IF(EZ42="","",IF(ISNUMBER('Dvd Calendar'!$Z$344)=FALSE,"",IF((('Dvd Calendar'!$Z$346=TYPE1)*(TYPE1&lt;&gt;"")+('Dvd Calendar'!$Z$346=TYPE2)*(TYPE2&lt;&gt;"")+('Dvd Calendar'!$Z$346=TYPE3)*(TYPE3&lt;&gt;"")+('Dvd Calendar'!$Z$346=TYPE4)*(TYPE4&lt;&gt;"")+('Dvd Calendar'!$Z$346=SPECIAL_LBL)*(INC_SPECIALS="Y"))=0,"",'Dvd Calendar'!$Z$344)))</f>
        <v/>
      </c>
      <c r="Y42" s="161">
        <f>IF(FA42="","",IF(ISNUMBER('Dvd Calendar'!$AA$344)=FALSE,"",IF((('Dvd Calendar'!$AA$346=TYPE1)*(TYPE1&lt;&gt;"")+('Dvd Calendar'!$AA$346=TYPE2)*(TYPE2&lt;&gt;"")+('Dvd Calendar'!$AA$346=TYPE3)*(TYPE3&lt;&gt;"")+('Dvd Calendar'!$AA$346=TYPE4)*(TYPE4&lt;&gt;"")+('Dvd Calendar'!$AA$346=SPECIAL_LBL)*(INC_SPECIALS="Y"))=0,"",'Dvd Calendar'!$AA$344)))</f>
        <v/>
      </c>
      <c r="Z42" s="161">
        <f>IF(FB42="","",IF(ISNUMBER('Dvd Calendar'!$AB$344)=FALSE,"",IF((('Dvd Calendar'!$AB$346=TYPE1)*(TYPE1&lt;&gt;"")+('Dvd Calendar'!$AB$346=TYPE2)*(TYPE2&lt;&gt;"")+('Dvd Calendar'!$AB$346=TYPE3)*(TYPE3&lt;&gt;"")+('Dvd Calendar'!$AB$346=TYPE4)*(TYPE4&lt;&gt;"")+('Dvd Calendar'!$AB$346=SPECIAL_LBL)*(INC_SPECIALS="Y"))=0,"",'Dvd Calendar'!$AB$344)))</f>
        <v/>
      </c>
      <c r="AA42" s="161">
        <f>IF(FC42="","",IF(ISNUMBER('Dvd Calendar'!$AC$344)=FALSE,"",IF((('Dvd Calendar'!$AC$346=TYPE1)*(TYPE1&lt;&gt;"")+('Dvd Calendar'!$AC$346=TYPE2)*(TYPE2&lt;&gt;"")+('Dvd Calendar'!$AC$346=TYPE3)*(TYPE3&lt;&gt;"")+('Dvd Calendar'!$AC$346=TYPE4)*(TYPE4&lt;&gt;"")+('Dvd Calendar'!$AC$346=SPECIAL_LBL)*(INC_SPECIALS="Y"))=0,"",'Dvd Calendar'!$AC$344)))</f>
        <v/>
      </c>
      <c r="AB42" s="161">
        <f>IF(FD42="","",IF(ISNUMBER('Dvd Calendar'!$AD$344)=FALSE,"",IF((('Dvd Calendar'!$AD$346=TYPE1)*(TYPE1&lt;&gt;"")+('Dvd Calendar'!$AD$346=TYPE2)*(TYPE2&lt;&gt;"")+('Dvd Calendar'!$AD$346=TYPE3)*(TYPE3&lt;&gt;"")+('Dvd Calendar'!$AD$346=TYPE4)*(TYPE4&lt;&gt;"")+('Dvd Calendar'!$AD$346=SPECIAL_LBL)*(INC_SPECIALS="Y"))=0,"",'Dvd Calendar'!$AD$344)))</f>
        <v/>
      </c>
      <c r="AC42" s="161">
        <f>IF(FE42="","",IF(ISNUMBER('Dvd Calendar'!$AE$344)=FALSE,"",IF((('Dvd Calendar'!$AE$346=TYPE1)*(TYPE1&lt;&gt;"")+('Dvd Calendar'!$AE$346=TYPE2)*(TYPE2&lt;&gt;"")+('Dvd Calendar'!$AE$346=TYPE3)*(TYPE3&lt;&gt;"")+('Dvd Calendar'!$AE$346=TYPE4)*(TYPE4&lt;&gt;"")+('Dvd Calendar'!$AE$346=SPECIAL_LBL)*(INC_SPECIALS="Y"))=0,"",'Dvd Calendar'!$AE$344)))</f>
        <v/>
      </c>
      <c r="AD42" s="161">
        <f>IF(FF42="","",IF(ISNUMBER('Dvd Calendar'!$AF$344)=FALSE,"",IF((('Dvd Calendar'!$AF$346=TYPE1)*(TYPE1&lt;&gt;"")+('Dvd Calendar'!$AF$346=TYPE2)*(TYPE2&lt;&gt;"")+('Dvd Calendar'!$AF$346=TYPE3)*(TYPE3&lt;&gt;"")+('Dvd Calendar'!$AF$346=TYPE4)*(TYPE4&lt;&gt;"")+('Dvd Calendar'!$AF$346=SPECIAL_LBL)*(INC_SPECIALS="Y"))=0,"",'Dvd Calendar'!$AF$344)))</f>
        <v/>
      </c>
      <c r="AE42" s="161">
        <f>IF(FG42="","",IF(ISNUMBER('Dvd Calendar'!$AG$344)=FALSE,"",IF((('Dvd Calendar'!$AG$346=TYPE1)*(TYPE1&lt;&gt;"")+('Dvd Calendar'!$AG$346=TYPE2)*(TYPE2&lt;&gt;"")+('Dvd Calendar'!$AG$346=TYPE3)*(TYPE3&lt;&gt;"")+('Dvd Calendar'!$AG$346=TYPE4)*(TYPE4&lt;&gt;"")+('Dvd Calendar'!$AG$346=SPECIAL_LBL)*(INC_SPECIALS="Y"))=0,"",'Dvd Calendar'!$AG$344)))</f>
        <v/>
      </c>
      <c r="AF42" s="161">
        <f>IF(FH42="","",IF(ISNUMBER('Dvd Calendar'!$AH$344)=FALSE,"",IF((('Dvd Calendar'!$AH$346=TYPE1)*(TYPE1&lt;&gt;"")+('Dvd Calendar'!$AH$346=TYPE2)*(TYPE2&lt;&gt;"")+('Dvd Calendar'!$AH$346=TYPE3)*(TYPE3&lt;&gt;"")+('Dvd Calendar'!$AH$346=TYPE4)*(TYPE4&lt;&gt;"")+('Dvd Calendar'!$AH$346=SPECIAL_LBL)*(INC_SPECIALS="Y"))=0,"",'Dvd Calendar'!$AH$344)))</f>
        <v/>
      </c>
      <c r="AG42" s="161">
        <f>IF(FI42="","",IF(ISNUMBER('Dvd Calendar'!$AI$344)=FALSE,"",IF((('Dvd Calendar'!$AI$346=TYPE1)*(TYPE1&lt;&gt;"")+('Dvd Calendar'!$AI$346=TYPE2)*(TYPE2&lt;&gt;"")+('Dvd Calendar'!$AI$346=TYPE3)*(TYPE3&lt;&gt;"")+('Dvd Calendar'!$AI$346=TYPE4)*(TYPE4&lt;&gt;"")+('Dvd Calendar'!$AI$346=SPECIAL_LBL)*(INC_SPECIALS="Y"))=0,"",'Dvd Calendar'!$AI$344)))</f>
        <v/>
      </c>
      <c r="AH42" s="161">
        <f>IF(FJ42="","",IF(ISNUMBER('Dvd Calendar'!$AJ$344)=FALSE,"",IF((('Dvd Calendar'!$AJ$346=TYPE1)*(TYPE1&lt;&gt;"")+('Dvd Calendar'!$AJ$346=TYPE2)*(TYPE2&lt;&gt;"")+('Dvd Calendar'!$AJ$346=TYPE3)*(TYPE3&lt;&gt;"")+('Dvd Calendar'!$AJ$346=TYPE4)*(TYPE4&lt;&gt;"")+('Dvd Calendar'!$AJ$346=SPECIAL_LBL)*(INC_SPECIALS="Y"))=0,"",'Dvd Calendar'!$AJ$344)))</f>
        <v/>
      </c>
      <c r="AI42" s="161">
        <f>IF(FK42="","",IF(ISNUMBER('Dvd Calendar'!$AK$344)=FALSE,"",IF((('Dvd Calendar'!$AK$346=TYPE1)*(TYPE1&lt;&gt;"")+('Dvd Calendar'!$AK$346=TYPE2)*(TYPE2&lt;&gt;"")+('Dvd Calendar'!$AK$346=TYPE3)*(TYPE3&lt;&gt;"")+('Dvd Calendar'!$AK$346=TYPE4)*(TYPE4&lt;&gt;"")+('Dvd Calendar'!$AK$346=SPECIAL_LBL)*(INC_SPECIALS="Y"))=0,"",'Dvd Calendar'!$AK$344)))</f>
        <v/>
      </c>
      <c r="AJ42" s="161">
        <f>IF(FL42="","",IF(ISNUMBER('Dvd Calendar'!$AL$344)=FALSE,"",IF((('Dvd Calendar'!$AL$346=TYPE1)*(TYPE1&lt;&gt;"")+('Dvd Calendar'!$AL$346=TYPE2)*(TYPE2&lt;&gt;"")+('Dvd Calendar'!$AL$346=TYPE3)*(TYPE3&lt;&gt;"")+('Dvd Calendar'!$AL$346=TYPE4)*(TYPE4&lt;&gt;"")+('Dvd Calendar'!$AL$346=SPECIAL_LBL)*(INC_SPECIALS="Y"))=0,"",'Dvd Calendar'!$AL$344)))</f>
        <v/>
      </c>
      <c r="AK42" s="161">
        <f>IF(FM42="","",IF(ISNUMBER('Dvd Calendar'!$AM$344)=FALSE,"",IF((('Dvd Calendar'!$AM$346=TYPE1)*(TYPE1&lt;&gt;"")+('Dvd Calendar'!$AM$346=TYPE2)*(TYPE2&lt;&gt;"")+('Dvd Calendar'!$AM$346=TYPE3)*(TYPE3&lt;&gt;"")+('Dvd Calendar'!$AM$346=TYPE4)*(TYPE4&lt;&gt;"")+('Dvd Calendar'!$AM$346=SPECIAL_LBL)*(INC_SPECIALS="Y"))=0,"",'Dvd Calendar'!$AM$344)))</f>
        <v/>
      </c>
      <c r="AL42" s="161">
        <f>IF(FN42="","",IF(ISNUMBER('Dvd Calendar'!$AN$344)=FALSE,"",IF((('Dvd Calendar'!$AN$346=TYPE1)*(TYPE1&lt;&gt;"")+('Dvd Calendar'!$AN$346=TYPE2)*(TYPE2&lt;&gt;"")+('Dvd Calendar'!$AN$346=TYPE3)*(TYPE3&lt;&gt;"")+('Dvd Calendar'!$AN$346=TYPE4)*(TYPE4&lt;&gt;"")+('Dvd Calendar'!$AN$346=SPECIAL_LBL)*(INC_SPECIALS="Y"))=0,"",'Dvd Calendar'!$AN$344)))</f>
        <v/>
      </c>
      <c r="AM42" s="161">
        <f>IF(FO42="","",IF(ISNUMBER('Dvd Calendar'!$AO$344)=FALSE,"",IF((('Dvd Calendar'!$AO$346=TYPE1)*(TYPE1&lt;&gt;"")+('Dvd Calendar'!$AO$346=TYPE2)*(TYPE2&lt;&gt;"")+('Dvd Calendar'!$AO$346=TYPE3)*(TYPE3&lt;&gt;"")+('Dvd Calendar'!$AO$346=TYPE4)*(TYPE4&lt;&gt;"")+('Dvd Calendar'!$AO$346=SPECIAL_LBL)*(INC_SPECIALS="Y"))=0,"",'Dvd Calendar'!$AO$344)))</f>
        <v/>
      </c>
      <c r="AN42" s="161">
        <f>IF(FP42="","",IF(ISNUMBER('Dvd Calendar'!$AP$344)=FALSE,"",IF((('Dvd Calendar'!$AP$346=TYPE1)*(TYPE1&lt;&gt;"")+('Dvd Calendar'!$AP$346=TYPE2)*(TYPE2&lt;&gt;"")+('Dvd Calendar'!$AP$346=TYPE3)*(TYPE3&lt;&gt;"")+('Dvd Calendar'!$AP$346=TYPE4)*(TYPE4&lt;&gt;"")+('Dvd Calendar'!$AP$346=SPECIAL_LBL)*(INC_SPECIALS="Y"))=0,"",'Dvd Calendar'!$AP$344)))</f>
        <v/>
      </c>
      <c r="AO42" s="161">
        <f>IF(FQ42="","",IF(ISNUMBER('Dvd Calendar'!$AQ$344)=FALSE,"",IF((('Dvd Calendar'!$AQ$346=TYPE1)*(TYPE1&lt;&gt;"")+('Dvd Calendar'!$AQ$346=TYPE2)*(TYPE2&lt;&gt;"")+('Dvd Calendar'!$AQ$346=TYPE3)*(TYPE3&lt;&gt;"")+('Dvd Calendar'!$AQ$346=TYPE4)*(TYPE4&lt;&gt;"")+('Dvd Calendar'!$AQ$346=SPECIAL_LBL)*(INC_SPECIALS="Y"))=0,"",'Dvd Calendar'!$AQ$344)))</f>
        <v/>
      </c>
      <c r="AP42" s="161">
        <f>IF(FR42="","",IF(ISNUMBER('Dvd Calendar'!$AR$344)=FALSE,"",IF((('Dvd Calendar'!$AR$346=TYPE1)*(TYPE1&lt;&gt;"")+('Dvd Calendar'!$AR$346=TYPE2)*(TYPE2&lt;&gt;"")+('Dvd Calendar'!$AR$346=TYPE3)*(TYPE3&lt;&gt;"")+('Dvd Calendar'!$AR$346=TYPE4)*(TYPE4&lt;&gt;"")+('Dvd Calendar'!$AR$346=SPECIAL_LBL)*(INC_SPECIALS="Y"))=0,"",'Dvd Calendar'!$AR$344)))</f>
        <v/>
      </c>
      <c r="AQ42" s="161">
        <f>IF(FS42="","",IF(ISNUMBER('Dvd Calendar'!$E$349)=FALSE,"",'Dvd Calendar'!$E$349))</f>
        <v/>
      </c>
      <c r="AR42" s="161">
        <f>IF(FT42="","",IF(ISNUMBER('Dvd Calendar'!$F$349)=FALSE,"",'Dvd Calendar'!$F$349))</f>
        <v/>
      </c>
      <c r="AS42" s="161">
        <f>IF(FU42="","",IF(ISNUMBER('Dvd Calendar'!$G$349)=FALSE,"",'Dvd Calendar'!$G$349))</f>
        <v/>
      </c>
      <c r="AT42" s="161">
        <f>IF(FV42="","",IF(ISNUMBER('Dvd Calendar'!$H$349)=FALSE,"",'Dvd Calendar'!$H$349))</f>
        <v/>
      </c>
      <c r="AU42" s="161">
        <f>IF(FW42="","",IF(ISNUMBER('Dvd Calendar'!$I$349)=FALSE,"",'Dvd Calendar'!$I$349))</f>
        <v/>
      </c>
      <c r="AV42" s="161">
        <f>IF(FX42="","",IF(ISNUMBER('Dvd Calendar'!$J$349)=FALSE,"",'Dvd Calendar'!$J$349))</f>
        <v/>
      </c>
      <c r="AW42" s="161">
        <f>IF(FY42="","",IF(ISNUMBER('Dvd Calendar'!$K$349)=FALSE,"",'Dvd Calendar'!$K$349))</f>
        <v/>
      </c>
      <c r="AX42" s="161">
        <f>IF(FZ42="","",IF(ISNUMBER('Dvd Calendar'!$L$349)=FALSE,"",'Dvd Calendar'!$L$349))</f>
        <v/>
      </c>
      <c r="AY42" s="161">
        <f>IF(GA42="","",IF(ISNUMBER('Dvd Calendar'!$M$349)=FALSE,"",'Dvd Calendar'!$M$349))</f>
        <v/>
      </c>
      <c r="AZ42" s="161">
        <f>IF(GB42="","",IF(ISNUMBER('Dvd Calendar'!$N$349)=FALSE,"",'Dvd Calendar'!$N$349))</f>
        <v/>
      </c>
      <c r="BA42" s="161">
        <f>IF(GC42="","",IF(ISNUMBER('Dvd Calendar'!$O$349)=FALSE,"",'Dvd Calendar'!$O$349))</f>
        <v/>
      </c>
      <c r="BB42" s="161">
        <f>IF(GD42="","",IF(ISNUMBER('Dvd Calendar'!$P$349)=FALSE,"",'Dvd Calendar'!$P$349))</f>
        <v/>
      </c>
      <c r="BC42" s="161">
        <f>IF(GE42="","",IF(ISNUMBER('Dvd Calendar'!$Q$349)=FALSE,"",'Dvd Calendar'!$Q$349))</f>
        <v/>
      </c>
      <c r="BD42" s="161">
        <f>IF(GF42="","",IF(ISNUMBER('Dvd Calendar'!$R$349)=FALSE,"",'Dvd Calendar'!$R$349))</f>
        <v/>
      </c>
      <c r="BE42" s="161">
        <f>IF(GG42="","",IF(ISNUMBER('Dvd Calendar'!$S$349)=FALSE,"",'Dvd Calendar'!$S$349))</f>
        <v/>
      </c>
      <c r="BF42" s="161">
        <f>IF(GH42="","",IF(ISNUMBER('Dvd Calendar'!$T$349)=FALSE,"",'Dvd Calendar'!$T$349))</f>
        <v/>
      </c>
      <c r="BG42" s="161">
        <f>IF(GI42="","",IF(ISNUMBER('Dvd Calendar'!$U$349)=FALSE,"",'Dvd Calendar'!$U$349))</f>
        <v/>
      </c>
      <c r="BH42" s="161">
        <f>IF(GJ42="","",IF(ISNUMBER('Dvd Calendar'!$V$349)=FALSE,"",'Dvd Calendar'!$V$349))</f>
        <v/>
      </c>
      <c r="BI42" s="161">
        <f>IF(GK42="","",IF(ISNUMBER('Dvd Calendar'!$W$349)=FALSE,"",'Dvd Calendar'!$W$349))</f>
        <v/>
      </c>
      <c r="BJ42" s="161">
        <f>IF(GL42="","",IF(ISNUMBER('Dvd Calendar'!$X$349)=FALSE,"",'Dvd Calendar'!$X$349))</f>
        <v/>
      </c>
      <c r="BK42" s="161">
        <f>IF(GM42="","",IF(ISNUMBER('Dvd Calendar'!$Y$349)=FALSE,"",'Dvd Calendar'!$Y$349))</f>
        <v/>
      </c>
      <c r="BL42" s="161">
        <f>IF(GN42="","",IF(ISNUMBER('Dvd Calendar'!$Z$349)=FALSE,"",'Dvd Calendar'!$Z$349))</f>
        <v/>
      </c>
      <c r="BM42" s="161">
        <f>IF(GO42="","",IF(ISNUMBER('Dvd Calendar'!$AA$349)=FALSE,"",'Dvd Calendar'!$AA$349))</f>
        <v/>
      </c>
      <c r="BN42" s="161">
        <f>IF(GP42="","",IF(ISNUMBER('Dvd Calendar'!$AB$349)=FALSE,"",'Dvd Calendar'!$AB$349))</f>
        <v/>
      </c>
      <c r="BO42" s="161">
        <f>IF(GQ42="","",IF(ISNUMBER('Dvd Calendar'!$AC$349)=FALSE,"",'Dvd Calendar'!$AC$349))</f>
        <v/>
      </c>
      <c r="BQ42" s="161">
        <f>IF(C42="","",IFERROR(C42*HSI!$B$37*HSI!$G$37/HSI!$B$3,""))</f>
        <v/>
      </c>
      <c r="BR42" s="161">
        <f>IF(D42="","",IFERROR(D42*HSI!$B$37*HSI!$G$37/HSI!$B$3,""))</f>
        <v/>
      </c>
      <c r="BS42" s="161">
        <f>IF(E42="","",IFERROR(E42*HSI!$B$37*HSI!$G$37/HSI!$B$3,""))</f>
        <v/>
      </c>
      <c r="BT42" s="161">
        <f>IF(F42="","",IFERROR(F42*HSI!$B$37*HSI!$G$37/HSI!$B$3,""))</f>
        <v/>
      </c>
      <c r="BU42" s="161">
        <f>IF(G42="","",IFERROR(G42*HSI!$B$37*HSI!$G$37/HSI!$B$3,""))</f>
        <v/>
      </c>
      <c r="BV42" s="161">
        <f>IF(H42="","",IFERROR(H42*HSI!$B$37*HSI!$G$37/HSI!$B$3,""))</f>
        <v/>
      </c>
      <c r="BW42" s="161">
        <f>IF(I42="","",IFERROR(I42*HSI!$B$37*HSI!$G$37/HSI!$B$3,""))</f>
        <v/>
      </c>
      <c r="BX42" s="161">
        <f>IF(J42="","",IFERROR(J42*HSI!$B$37*HSI!$G$37/HSI!$B$3,""))</f>
        <v/>
      </c>
      <c r="BY42" s="161">
        <f>IF(K42="","",IFERROR(K42*HSI!$B$37*HSI!$G$37/HSI!$B$3,""))</f>
        <v/>
      </c>
      <c r="BZ42" s="161">
        <f>IF(L42="","",IFERROR(L42*HSI!$B$37*HSI!$G$37/HSI!$B$3,""))</f>
        <v/>
      </c>
      <c r="CA42" s="161">
        <f>IF(M42="","",IFERROR(M42*HSI!$B$37*HSI!$G$37/HSI!$B$3,""))</f>
        <v/>
      </c>
      <c r="CB42" s="161">
        <f>IF(N42="","",IFERROR(N42*HSI!$B$37*HSI!$G$37/HSI!$B$3,""))</f>
        <v/>
      </c>
      <c r="CC42" s="161">
        <f>IF(O42="","",IFERROR(O42*HSI!$B$37*HSI!$G$37/HSI!$B$3,""))</f>
        <v/>
      </c>
      <c r="CD42" s="161">
        <f>IF(P42="","",IFERROR(P42*HSI!$B$37*HSI!$G$37/HSI!$B$3,""))</f>
        <v/>
      </c>
      <c r="CE42" s="161">
        <f>IF(Q42="","",IFERROR(Q42*HSI!$B$37*HSI!$G$37/HSI!$B$3,""))</f>
        <v/>
      </c>
      <c r="CF42" s="161">
        <f>IF(R42="","",IFERROR(R42*HSI!$B$37*HSI!$G$37/HSI!$B$3,""))</f>
        <v/>
      </c>
      <c r="CG42" s="161">
        <f>IF(S42="","",IFERROR(S42*HSI!$B$37*HSI!$G$37/HSI!$B$3,""))</f>
        <v/>
      </c>
      <c r="CH42" s="161">
        <f>IF(T42="","",IFERROR(T42*HSI!$B$37*HSI!$G$37/HSI!$B$3,""))</f>
        <v/>
      </c>
      <c r="CI42" s="161">
        <f>IF(U42="","",IFERROR(U42*HSI!$B$37*HSI!$G$37/HSI!$B$3,""))</f>
        <v/>
      </c>
      <c r="CJ42" s="161">
        <f>IF(V42="","",IFERROR(V42*HSI!$B$37*HSI!$G$37/HSI!$B$3,""))</f>
        <v/>
      </c>
      <c r="CK42" s="161">
        <f>IF(W42="","",IFERROR(W42*HSI!$B$37*HSI!$G$37/HSI!$B$3,""))</f>
        <v/>
      </c>
      <c r="CL42" s="161">
        <f>IF(X42="","",IFERROR(X42*HSI!$B$37*HSI!$G$37/HSI!$B$3,""))</f>
        <v/>
      </c>
      <c r="CM42" s="161">
        <f>IF(Y42="","",IFERROR(Y42*HSI!$B$37*HSI!$G$37/HSI!$B$3,""))</f>
        <v/>
      </c>
      <c r="CN42" s="161">
        <f>IF(Z42="","",IFERROR(Z42*HSI!$B$37*HSI!$G$37/HSI!$B$3,""))</f>
        <v/>
      </c>
      <c r="CO42" s="161">
        <f>IF(AA42="","",IFERROR(AA42*HSI!$B$37*HSI!$G$37/HSI!$B$3,""))</f>
        <v/>
      </c>
      <c r="CP42" s="161">
        <f>IF(AB42="","",IFERROR(AB42*HSI!$B$37*HSI!$G$37/HSI!$B$3,""))</f>
        <v/>
      </c>
      <c r="CQ42" s="161">
        <f>IF(AC42="","",IFERROR(AC42*HSI!$B$37*HSI!$G$37/HSI!$B$3,""))</f>
        <v/>
      </c>
      <c r="CR42" s="161">
        <f>IF(AD42="","",IFERROR(AD42*HSI!$B$37*HSI!$G$37/HSI!$B$3,""))</f>
        <v/>
      </c>
      <c r="CS42" s="161">
        <f>IF(AE42="","",IFERROR(AE42*HSI!$B$37*HSI!$G$37/HSI!$B$3,""))</f>
        <v/>
      </c>
      <c r="CT42" s="161">
        <f>IF(AF42="","",IFERROR(AF42*HSI!$B$37*HSI!$G$37/HSI!$B$3,""))</f>
        <v/>
      </c>
      <c r="CU42" s="161">
        <f>IF(AG42="","",IFERROR(AG42*HSI!$B$37*HSI!$G$37/HSI!$B$3,""))</f>
        <v/>
      </c>
      <c r="CV42" s="161">
        <f>IF(AH42="","",IFERROR(AH42*HSI!$B$37*HSI!$G$37/HSI!$B$3,""))</f>
        <v/>
      </c>
      <c r="CW42" s="161">
        <f>IF(AI42="","",IFERROR(AI42*HSI!$B$37*HSI!$G$37/HSI!$B$3,""))</f>
        <v/>
      </c>
      <c r="CX42" s="161">
        <f>IF(AJ42="","",IFERROR(AJ42*HSI!$B$37*HSI!$G$37/HSI!$B$3,""))</f>
        <v/>
      </c>
      <c r="CY42" s="161">
        <f>IF(AK42="","",IFERROR(AK42*HSI!$B$37*HSI!$G$37/HSI!$B$3,""))</f>
        <v/>
      </c>
      <c r="CZ42" s="161">
        <f>IF(AL42="","",IFERROR(AL42*HSI!$B$37*HSI!$G$37/HSI!$B$3,""))</f>
        <v/>
      </c>
      <c r="DA42" s="161">
        <f>IF(AM42="","",IFERROR(AM42*HSI!$B$37*HSI!$G$37/HSI!$B$3,""))</f>
        <v/>
      </c>
      <c r="DB42" s="161">
        <f>IF(AN42="","",IFERROR(AN42*HSI!$B$37*HSI!$G$37/HSI!$B$3,""))</f>
        <v/>
      </c>
      <c r="DC42" s="161">
        <f>IF(AO42="","",IFERROR(AO42*HSI!$B$37*HSI!$G$37/HSI!$B$3,""))</f>
        <v/>
      </c>
      <c r="DD42" s="161">
        <f>IF(AP42="","",IFERROR(AP42*HSI!$B$37*HSI!$G$37/HSI!$B$3,""))</f>
        <v/>
      </c>
      <c r="DE42" s="161">
        <f>IF(AQ42="","",IFERROR(AQ42*HSI!$B$37*HSI!$G$37/HSI!$B$3,""))</f>
        <v/>
      </c>
      <c r="DF42" s="161">
        <f>IF(AR42="","",IFERROR(AR42*HSI!$B$37*HSI!$G$37/HSI!$B$3,""))</f>
        <v/>
      </c>
      <c r="DG42" s="161">
        <f>IF(AS42="","",IFERROR(AS42*HSI!$B$37*HSI!$G$37/HSI!$B$3,""))</f>
        <v/>
      </c>
      <c r="DH42" s="161">
        <f>IF(AT42="","",IFERROR(AT42*HSI!$B$37*HSI!$G$37/HSI!$B$3,""))</f>
        <v/>
      </c>
      <c r="DI42" s="161">
        <f>IF(AU42="","",IFERROR(AU42*HSI!$B$37*HSI!$G$37/HSI!$B$3,""))</f>
        <v/>
      </c>
      <c r="DJ42" s="161">
        <f>IF(AV42="","",IFERROR(AV42*HSI!$B$37*HSI!$G$37/HSI!$B$3,""))</f>
        <v/>
      </c>
      <c r="DK42" s="161">
        <f>IF(AW42="","",IFERROR(AW42*HSI!$B$37*HSI!$G$37/HSI!$B$3,""))</f>
        <v/>
      </c>
      <c r="DL42" s="161">
        <f>IF(AX42="","",IFERROR(AX42*HSI!$B$37*HSI!$G$37/HSI!$B$3,""))</f>
        <v/>
      </c>
      <c r="DM42" s="161">
        <f>IF(AY42="","",IFERROR(AY42*HSI!$B$37*HSI!$G$37/HSI!$B$3,""))</f>
        <v/>
      </c>
      <c r="DN42" s="161">
        <f>IF(AZ42="","",IFERROR(AZ42*HSI!$B$37*HSI!$G$37/HSI!$B$3,""))</f>
        <v/>
      </c>
      <c r="DO42" s="161">
        <f>IF(BA42="","",IFERROR(BA42*HSI!$B$37*HSI!$G$37/HSI!$B$3,""))</f>
        <v/>
      </c>
      <c r="DP42" s="161">
        <f>IF(BB42="","",IFERROR(BB42*HSI!$B$37*HSI!$G$37/HSI!$B$3,""))</f>
        <v/>
      </c>
      <c r="DQ42" s="161">
        <f>IF(BC42="","",IFERROR(BC42*HSI!$B$37*HSI!$G$37/HSI!$B$3,""))</f>
        <v/>
      </c>
      <c r="DR42" s="161">
        <f>IF(BD42="","",IFERROR(BD42*HSI!$B$37*HSI!$G$37/HSI!$B$3,""))</f>
        <v/>
      </c>
      <c r="DS42" s="161">
        <f>IF(BE42="","",IFERROR(BE42*HSI!$B$37*HSI!$G$37/HSI!$B$3,""))</f>
        <v/>
      </c>
      <c r="DT42" s="161">
        <f>IF(BF42="","",IFERROR(BF42*HSI!$B$37*HSI!$G$37/HSI!$B$3,""))</f>
        <v/>
      </c>
      <c r="DU42" s="161">
        <f>IF(BG42="","",IFERROR(BG42*HSI!$B$37*HSI!$G$37/HSI!$B$3,""))</f>
        <v/>
      </c>
      <c r="DV42" s="161">
        <f>IF(BH42="","",IFERROR(BH42*HSI!$B$37*HSI!$G$37/HSI!$B$3,""))</f>
        <v/>
      </c>
      <c r="DW42" s="161">
        <f>IF(BI42="","",IFERROR(BI42*HSI!$B$37*HSI!$G$37/HSI!$B$3,""))</f>
        <v/>
      </c>
      <c r="DX42" s="161">
        <f>IF(BJ42="","",IFERROR(BJ42*HSI!$B$37*HSI!$G$37/HSI!$B$3,""))</f>
        <v/>
      </c>
      <c r="DY42" s="161">
        <f>IF(BK42="","",IFERROR(BK42*HSI!$B$37*HSI!$G$37/HSI!$B$3,""))</f>
        <v/>
      </c>
      <c r="DZ42" s="161">
        <f>IF(BL42="","",IFERROR(BL42*HSI!$B$37*HSI!$G$37/HSI!$B$3,""))</f>
        <v/>
      </c>
      <c r="EA42" s="161">
        <f>IF(BM42="","",IFERROR(BM42*HSI!$B$37*HSI!$G$37/HSI!$B$3,""))</f>
        <v/>
      </c>
      <c r="EB42" s="161">
        <f>IF(BN42="","",IFERROR(BN42*HSI!$B$37*HSI!$G$37/HSI!$B$3,""))</f>
        <v/>
      </c>
      <c r="EC42" s="161">
        <f>IF(BO42="","",IFERROR(BO42*HSI!$B$37*HSI!$G$37/HSI!$B$3,""))</f>
        <v/>
      </c>
      <c r="EE42" s="121">
        <f>IF(N('Dvd Calendar'!$E$341)=0,"",IF(('Dvd Calendar'!$E$341&gt;=GRID_FROM)*('Dvd Calendar'!$E$341&lt;=GRID_TO)*((('Dvd Calendar'!$E$341&lt;=VAL_DATE)+(COUNTIF('Dvd Calendar'!$E$348:$AR$348,'Dvd Calendar'!$E$341)=0))&gt;0)=0,"",'Dvd Calendar'!$E$341*1000000000+ISNUMBER('Dvd Calendar'!$E$344)*100000000+('Dvd Calendar'!$E$346=SPECIAL_LBL)*10000000+(N('Dvd Calendar'!$E$340)&gt;0)*(N('Dvd Calendar'!$E$340)&lt;=VAL_SERIAL)*1000000+31*1000+1))</f>
        <v/>
      </c>
      <c r="EF42" s="121">
        <f>IF(N('Dvd Calendar'!$F$341)=0,"",IF(('Dvd Calendar'!$F$341&gt;=GRID_FROM)*('Dvd Calendar'!$F$341&lt;=GRID_TO)*((('Dvd Calendar'!$F$341&lt;=VAL_DATE)+(COUNTIF('Dvd Calendar'!$E$348:$AR$348,'Dvd Calendar'!$F$341)=0))&gt;0)=0,"",'Dvd Calendar'!$F$341*1000000000+ISNUMBER('Dvd Calendar'!$F$344)*100000000+('Dvd Calendar'!$F$346=SPECIAL_LBL)*10000000+(N('Dvd Calendar'!$F$340)&gt;0)*(N('Dvd Calendar'!$F$340)&lt;=VAL_SERIAL)*1000000+31*1000+2))</f>
        <v/>
      </c>
      <c r="EG42" s="121">
        <f>IF(N('Dvd Calendar'!$G$341)=0,"",IF(('Dvd Calendar'!$G$341&gt;=GRID_FROM)*('Dvd Calendar'!$G$341&lt;=GRID_TO)*((('Dvd Calendar'!$G$341&lt;=VAL_DATE)+(COUNTIF('Dvd Calendar'!$E$348:$AR$348,'Dvd Calendar'!$G$341)=0))&gt;0)=0,"",'Dvd Calendar'!$G$341*1000000000+ISNUMBER('Dvd Calendar'!$G$344)*100000000+('Dvd Calendar'!$G$346=SPECIAL_LBL)*10000000+(N('Dvd Calendar'!$G$340)&gt;0)*(N('Dvd Calendar'!$G$340)&lt;=VAL_SERIAL)*1000000+31*1000+3))</f>
        <v/>
      </c>
      <c r="EH42" s="121">
        <f>IF(N('Dvd Calendar'!$H$341)=0,"",IF(('Dvd Calendar'!$H$341&gt;=GRID_FROM)*('Dvd Calendar'!$H$341&lt;=GRID_TO)*((('Dvd Calendar'!$H$341&lt;=VAL_DATE)+(COUNTIF('Dvd Calendar'!$E$348:$AR$348,'Dvd Calendar'!$H$341)=0))&gt;0)=0,"",'Dvd Calendar'!$H$341*1000000000+ISNUMBER('Dvd Calendar'!$H$344)*100000000+('Dvd Calendar'!$H$346=SPECIAL_LBL)*10000000+(N('Dvd Calendar'!$H$340)&gt;0)*(N('Dvd Calendar'!$H$340)&lt;=VAL_SERIAL)*1000000+31*1000+4))</f>
        <v/>
      </c>
      <c r="EI42" s="121">
        <f>IF(N('Dvd Calendar'!$I$341)=0,"",IF(('Dvd Calendar'!$I$341&gt;=GRID_FROM)*('Dvd Calendar'!$I$341&lt;=GRID_TO)*((('Dvd Calendar'!$I$341&lt;=VAL_DATE)+(COUNTIF('Dvd Calendar'!$E$348:$AR$348,'Dvd Calendar'!$I$341)=0))&gt;0)=0,"",'Dvd Calendar'!$I$341*1000000000+ISNUMBER('Dvd Calendar'!$I$344)*100000000+('Dvd Calendar'!$I$346=SPECIAL_LBL)*10000000+(N('Dvd Calendar'!$I$340)&gt;0)*(N('Dvd Calendar'!$I$340)&lt;=VAL_SERIAL)*1000000+31*1000+5))</f>
        <v/>
      </c>
      <c r="EJ42" s="121">
        <f>IF(N('Dvd Calendar'!$J$341)=0,"",IF(('Dvd Calendar'!$J$341&gt;=GRID_FROM)*('Dvd Calendar'!$J$341&lt;=GRID_TO)*((('Dvd Calendar'!$J$341&lt;=VAL_DATE)+(COUNTIF('Dvd Calendar'!$E$348:$AR$348,'Dvd Calendar'!$J$341)=0))&gt;0)=0,"",'Dvd Calendar'!$J$341*1000000000+ISNUMBER('Dvd Calendar'!$J$344)*100000000+('Dvd Calendar'!$J$346=SPECIAL_LBL)*10000000+(N('Dvd Calendar'!$J$340)&gt;0)*(N('Dvd Calendar'!$J$340)&lt;=VAL_SERIAL)*1000000+31*1000+6))</f>
        <v/>
      </c>
      <c r="EK42" s="121">
        <f>IF(N('Dvd Calendar'!$K$341)=0,"",IF(('Dvd Calendar'!$K$341&gt;=GRID_FROM)*('Dvd Calendar'!$K$341&lt;=GRID_TO)*((('Dvd Calendar'!$K$341&lt;=VAL_DATE)+(COUNTIF('Dvd Calendar'!$E$348:$AR$348,'Dvd Calendar'!$K$341)=0))&gt;0)=0,"",'Dvd Calendar'!$K$341*1000000000+ISNUMBER('Dvd Calendar'!$K$344)*100000000+('Dvd Calendar'!$K$346=SPECIAL_LBL)*10000000+(N('Dvd Calendar'!$K$340)&gt;0)*(N('Dvd Calendar'!$K$340)&lt;=VAL_SERIAL)*1000000+31*1000+7))</f>
        <v/>
      </c>
      <c r="EL42" s="121">
        <f>IF(N('Dvd Calendar'!$L$341)=0,"",IF(('Dvd Calendar'!$L$341&gt;=GRID_FROM)*('Dvd Calendar'!$L$341&lt;=GRID_TO)*((('Dvd Calendar'!$L$341&lt;=VAL_DATE)+(COUNTIF('Dvd Calendar'!$E$348:$AR$348,'Dvd Calendar'!$L$341)=0))&gt;0)=0,"",'Dvd Calendar'!$L$341*1000000000+ISNUMBER('Dvd Calendar'!$L$344)*100000000+('Dvd Calendar'!$L$346=SPECIAL_LBL)*10000000+(N('Dvd Calendar'!$L$340)&gt;0)*(N('Dvd Calendar'!$L$340)&lt;=VAL_SERIAL)*1000000+31*1000+8))</f>
        <v/>
      </c>
      <c r="EM42" s="121">
        <f>IF(N('Dvd Calendar'!$M$341)=0,"",IF(('Dvd Calendar'!$M$341&gt;=GRID_FROM)*('Dvd Calendar'!$M$341&lt;=GRID_TO)*((('Dvd Calendar'!$M$341&lt;=VAL_DATE)+(COUNTIF('Dvd Calendar'!$E$348:$AR$348,'Dvd Calendar'!$M$341)=0))&gt;0)=0,"",'Dvd Calendar'!$M$341*1000000000+ISNUMBER('Dvd Calendar'!$M$344)*100000000+('Dvd Calendar'!$M$346=SPECIAL_LBL)*10000000+(N('Dvd Calendar'!$M$340)&gt;0)*(N('Dvd Calendar'!$M$340)&lt;=VAL_SERIAL)*1000000+31*1000+9))</f>
        <v/>
      </c>
      <c r="EN42" s="121">
        <f>IF(N('Dvd Calendar'!$N$341)=0,"",IF(('Dvd Calendar'!$N$341&gt;=GRID_FROM)*('Dvd Calendar'!$N$341&lt;=GRID_TO)*((('Dvd Calendar'!$N$341&lt;=VAL_DATE)+(COUNTIF('Dvd Calendar'!$E$348:$AR$348,'Dvd Calendar'!$N$341)=0))&gt;0)=0,"",'Dvd Calendar'!$N$341*1000000000+ISNUMBER('Dvd Calendar'!$N$344)*100000000+('Dvd Calendar'!$N$346=SPECIAL_LBL)*10000000+(N('Dvd Calendar'!$N$340)&gt;0)*(N('Dvd Calendar'!$N$340)&lt;=VAL_SERIAL)*1000000+31*1000+10))</f>
        <v/>
      </c>
      <c r="EO42" s="121">
        <f>IF(N('Dvd Calendar'!$O$341)=0,"",IF(('Dvd Calendar'!$O$341&gt;=GRID_FROM)*('Dvd Calendar'!$O$341&lt;=GRID_TO)*((('Dvd Calendar'!$O$341&lt;=VAL_DATE)+(COUNTIF('Dvd Calendar'!$E$348:$AR$348,'Dvd Calendar'!$O$341)=0))&gt;0)=0,"",'Dvd Calendar'!$O$341*1000000000+ISNUMBER('Dvd Calendar'!$O$344)*100000000+('Dvd Calendar'!$O$346=SPECIAL_LBL)*10000000+(N('Dvd Calendar'!$O$340)&gt;0)*(N('Dvd Calendar'!$O$340)&lt;=VAL_SERIAL)*1000000+31*1000+11))</f>
        <v/>
      </c>
      <c r="EP42" s="121">
        <f>IF(N('Dvd Calendar'!$P$341)=0,"",IF(('Dvd Calendar'!$P$341&gt;=GRID_FROM)*('Dvd Calendar'!$P$341&lt;=GRID_TO)*((('Dvd Calendar'!$P$341&lt;=VAL_DATE)+(COUNTIF('Dvd Calendar'!$E$348:$AR$348,'Dvd Calendar'!$P$341)=0))&gt;0)=0,"",'Dvd Calendar'!$P$341*1000000000+ISNUMBER('Dvd Calendar'!$P$344)*100000000+('Dvd Calendar'!$P$346=SPECIAL_LBL)*10000000+(N('Dvd Calendar'!$P$340)&gt;0)*(N('Dvd Calendar'!$P$340)&lt;=VAL_SERIAL)*1000000+31*1000+12))</f>
        <v/>
      </c>
      <c r="EQ42" s="121">
        <f>IF(N('Dvd Calendar'!$Q$341)=0,"",IF(('Dvd Calendar'!$Q$341&gt;=GRID_FROM)*('Dvd Calendar'!$Q$341&lt;=GRID_TO)*((('Dvd Calendar'!$Q$341&lt;=VAL_DATE)+(COUNTIF('Dvd Calendar'!$E$348:$AR$348,'Dvd Calendar'!$Q$341)=0))&gt;0)=0,"",'Dvd Calendar'!$Q$341*1000000000+ISNUMBER('Dvd Calendar'!$Q$344)*100000000+('Dvd Calendar'!$Q$346=SPECIAL_LBL)*10000000+(N('Dvd Calendar'!$Q$340)&gt;0)*(N('Dvd Calendar'!$Q$340)&lt;=VAL_SERIAL)*1000000+31*1000+13))</f>
        <v/>
      </c>
      <c r="ER42" s="121">
        <f>IF(N('Dvd Calendar'!$R$341)=0,"",IF(('Dvd Calendar'!$R$341&gt;=GRID_FROM)*('Dvd Calendar'!$R$341&lt;=GRID_TO)*((('Dvd Calendar'!$R$341&lt;=VAL_DATE)+(COUNTIF('Dvd Calendar'!$E$348:$AR$348,'Dvd Calendar'!$R$341)=0))&gt;0)=0,"",'Dvd Calendar'!$R$341*1000000000+ISNUMBER('Dvd Calendar'!$R$344)*100000000+('Dvd Calendar'!$R$346=SPECIAL_LBL)*10000000+(N('Dvd Calendar'!$R$340)&gt;0)*(N('Dvd Calendar'!$R$340)&lt;=VAL_SERIAL)*1000000+31*1000+14))</f>
        <v/>
      </c>
      <c r="ES42" s="121">
        <f>IF(N('Dvd Calendar'!$S$341)=0,"",IF(('Dvd Calendar'!$S$341&gt;=GRID_FROM)*('Dvd Calendar'!$S$341&lt;=GRID_TO)*((('Dvd Calendar'!$S$341&lt;=VAL_DATE)+(COUNTIF('Dvd Calendar'!$E$348:$AR$348,'Dvd Calendar'!$S$341)=0))&gt;0)=0,"",'Dvd Calendar'!$S$341*1000000000+ISNUMBER('Dvd Calendar'!$S$344)*100000000+('Dvd Calendar'!$S$346=SPECIAL_LBL)*10000000+(N('Dvd Calendar'!$S$340)&gt;0)*(N('Dvd Calendar'!$S$340)&lt;=VAL_SERIAL)*1000000+31*1000+15))</f>
        <v/>
      </c>
      <c r="ET42" s="121">
        <f>IF(N('Dvd Calendar'!$T$341)=0,"",IF(('Dvd Calendar'!$T$341&gt;=GRID_FROM)*('Dvd Calendar'!$T$341&lt;=GRID_TO)*((('Dvd Calendar'!$T$341&lt;=VAL_DATE)+(COUNTIF('Dvd Calendar'!$E$348:$AR$348,'Dvd Calendar'!$T$341)=0))&gt;0)=0,"",'Dvd Calendar'!$T$341*1000000000+ISNUMBER('Dvd Calendar'!$T$344)*100000000+('Dvd Calendar'!$T$346=SPECIAL_LBL)*10000000+(N('Dvd Calendar'!$T$340)&gt;0)*(N('Dvd Calendar'!$T$340)&lt;=VAL_SERIAL)*1000000+31*1000+16))</f>
        <v/>
      </c>
      <c r="EU42" s="121">
        <f>IF(N('Dvd Calendar'!$U$341)=0,"",IF(('Dvd Calendar'!$U$341&gt;=GRID_FROM)*('Dvd Calendar'!$U$341&lt;=GRID_TO)*((('Dvd Calendar'!$U$341&lt;=VAL_DATE)+(COUNTIF('Dvd Calendar'!$E$348:$AR$348,'Dvd Calendar'!$U$341)=0))&gt;0)=0,"",'Dvd Calendar'!$U$341*1000000000+ISNUMBER('Dvd Calendar'!$U$344)*100000000+('Dvd Calendar'!$U$346=SPECIAL_LBL)*10000000+(N('Dvd Calendar'!$U$340)&gt;0)*(N('Dvd Calendar'!$U$340)&lt;=VAL_SERIAL)*1000000+31*1000+17))</f>
        <v/>
      </c>
      <c r="EV42" s="121">
        <f>IF(N('Dvd Calendar'!$V$341)=0,"",IF(('Dvd Calendar'!$V$341&gt;=GRID_FROM)*('Dvd Calendar'!$V$341&lt;=GRID_TO)*((('Dvd Calendar'!$V$341&lt;=VAL_DATE)+(COUNTIF('Dvd Calendar'!$E$348:$AR$348,'Dvd Calendar'!$V$341)=0))&gt;0)=0,"",'Dvd Calendar'!$V$341*1000000000+ISNUMBER('Dvd Calendar'!$V$344)*100000000+('Dvd Calendar'!$V$346=SPECIAL_LBL)*10000000+(N('Dvd Calendar'!$V$340)&gt;0)*(N('Dvd Calendar'!$V$340)&lt;=VAL_SERIAL)*1000000+31*1000+18))</f>
        <v/>
      </c>
      <c r="EW42" s="121">
        <f>IF(N('Dvd Calendar'!$W$341)=0,"",IF(('Dvd Calendar'!$W$341&gt;=GRID_FROM)*('Dvd Calendar'!$W$341&lt;=GRID_TO)*((('Dvd Calendar'!$W$341&lt;=VAL_DATE)+(COUNTIF('Dvd Calendar'!$E$348:$AR$348,'Dvd Calendar'!$W$341)=0))&gt;0)=0,"",'Dvd Calendar'!$W$341*1000000000+ISNUMBER('Dvd Calendar'!$W$344)*100000000+('Dvd Calendar'!$W$346=SPECIAL_LBL)*10000000+(N('Dvd Calendar'!$W$340)&gt;0)*(N('Dvd Calendar'!$W$340)&lt;=VAL_SERIAL)*1000000+31*1000+19))</f>
        <v/>
      </c>
      <c r="EX42" s="121">
        <f>IF(N('Dvd Calendar'!$X$341)=0,"",IF(('Dvd Calendar'!$X$341&gt;=GRID_FROM)*('Dvd Calendar'!$X$341&lt;=GRID_TO)*((('Dvd Calendar'!$X$341&lt;=VAL_DATE)+(COUNTIF('Dvd Calendar'!$E$348:$AR$348,'Dvd Calendar'!$X$341)=0))&gt;0)=0,"",'Dvd Calendar'!$X$341*1000000000+ISNUMBER('Dvd Calendar'!$X$344)*100000000+('Dvd Calendar'!$X$346=SPECIAL_LBL)*10000000+(N('Dvd Calendar'!$X$340)&gt;0)*(N('Dvd Calendar'!$X$340)&lt;=VAL_SERIAL)*1000000+31*1000+20))</f>
        <v/>
      </c>
      <c r="EY42" s="121">
        <f>IF(N('Dvd Calendar'!$Y$341)=0,"",IF(('Dvd Calendar'!$Y$341&gt;=GRID_FROM)*('Dvd Calendar'!$Y$341&lt;=GRID_TO)*((('Dvd Calendar'!$Y$341&lt;=VAL_DATE)+(COUNTIF('Dvd Calendar'!$E$348:$AR$348,'Dvd Calendar'!$Y$341)=0))&gt;0)=0,"",'Dvd Calendar'!$Y$341*1000000000+ISNUMBER('Dvd Calendar'!$Y$344)*100000000+('Dvd Calendar'!$Y$346=SPECIAL_LBL)*10000000+(N('Dvd Calendar'!$Y$340)&gt;0)*(N('Dvd Calendar'!$Y$340)&lt;=VAL_SERIAL)*1000000+31*1000+21))</f>
        <v/>
      </c>
      <c r="EZ42" s="121">
        <f>IF(N('Dvd Calendar'!$Z$341)=0,"",IF(('Dvd Calendar'!$Z$341&gt;=GRID_FROM)*('Dvd Calendar'!$Z$341&lt;=GRID_TO)*((('Dvd Calendar'!$Z$341&lt;=VAL_DATE)+(COUNTIF('Dvd Calendar'!$E$348:$AR$348,'Dvd Calendar'!$Z$341)=0))&gt;0)=0,"",'Dvd Calendar'!$Z$341*1000000000+ISNUMBER('Dvd Calendar'!$Z$344)*100000000+('Dvd Calendar'!$Z$346=SPECIAL_LBL)*10000000+(N('Dvd Calendar'!$Z$340)&gt;0)*(N('Dvd Calendar'!$Z$340)&lt;=VAL_SERIAL)*1000000+31*1000+22))</f>
        <v/>
      </c>
      <c r="FA42" s="121">
        <f>IF(N('Dvd Calendar'!$AA$341)=0,"",IF(('Dvd Calendar'!$AA$341&gt;=GRID_FROM)*('Dvd Calendar'!$AA$341&lt;=GRID_TO)*((('Dvd Calendar'!$AA$341&lt;=VAL_DATE)+(COUNTIF('Dvd Calendar'!$E$348:$AR$348,'Dvd Calendar'!$AA$341)=0))&gt;0)=0,"",'Dvd Calendar'!$AA$341*1000000000+ISNUMBER('Dvd Calendar'!$AA$344)*100000000+('Dvd Calendar'!$AA$346=SPECIAL_LBL)*10000000+(N('Dvd Calendar'!$AA$340)&gt;0)*(N('Dvd Calendar'!$AA$340)&lt;=VAL_SERIAL)*1000000+31*1000+23))</f>
        <v/>
      </c>
      <c r="FB42" s="121">
        <f>IF(N('Dvd Calendar'!$AB$341)=0,"",IF(('Dvd Calendar'!$AB$341&gt;=GRID_FROM)*('Dvd Calendar'!$AB$341&lt;=GRID_TO)*((('Dvd Calendar'!$AB$341&lt;=VAL_DATE)+(COUNTIF('Dvd Calendar'!$E$348:$AR$348,'Dvd Calendar'!$AB$341)=0))&gt;0)=0,"",'Dvd Calendar'!$AB$341*1000000000+ISNUMBER('Dvd Calendar'!$AB$344)*100000000+('Dvd Calendar'!$AB$346=SPECIAL_LBL)*10000000+(N('Dvd Calendar'!$AB$340)&gt;0)*(N('Dvd Calendar'!$AB$340)&lt;=VAL_SERIAL)*1000000+31*1000+24))</f>
        <v/>
      </c>
      <c r="FC42" s="121">
        <f>IF(N('Dvd Calendar'!$AC$341)=0,"",IF(('Dvd Calendar'!$AC$341&gt;=GRID_FROM)*('Dvd Calendar'!$AC$341&lt;=GRID_TO)*((('Dvd Calendar'!$AC$341&lt;=VAL_DATE)+(COUNTIF('Dvd Calendar'!$E$348:$AR$348,'Dvd Calendar'!$AC$341)=0))&gt;0)=0,"",'Dvd Calendar'!$AC$341*1000000000+ISNUMBER('Dvd Calendar'!$AC$344)*100000000+('Dvd Calendar'!$AC$346=SPECIAL_LBL)*10000000+(N('Dvd Calendar'!$AC$340)&gt;0)*(N('Dvd Calendar'!$AC$340)&lt;=VAL_SERIAL)*1000000+31*1000+25))</f>
        <v/>
      </c>
      <c r="FD42" s="121">
        <f>IF(N('Dvd Calendar'!$AD$341)=0,"",IF(('Dvd Calendar'!$AD$341&gt;=GRID_FROM)*('Dvd Calendar'!$AD$341&lt;=GRID_TO)*((('Dvd Calendar'!$AD$341&lt;=VAL_DATE)+(COUNTIF('Dvd Calendar'!$E$348:$AR$348,'Dvd Calendar'!$AD$341)=0))&gt;0)=0,"",'Dvd Calendar'!$AD$341*1000000000+ISNUMBER('Dvd Calendar'!$AD$344)*100000000+('Dvd Calendar'!$AD$346=SPECIAL_LBL)*10000000+(N('Dvd Calendar'!$AD$340)&gt;0)*(N('Dvd Calendar'!$AD$340)&lt;=VAL_SERIAL)*1000000+31*1000+26))</f>
        <v/>
      </c>
      <c r="FE42" s="121">
        <f>IF(N('Dvd Calendar'!$AE$341)=0,"",IF(('Dvd Calendar'!$AE$341&gt;=GRID_FROM)*('Dvd Calendar'!$AE$341&lt;=GRID_TO)*((('Dvd Calendar'!$AE$341&lt;=VAL_DATE)+(COUNTIF('Dvd Calendar'!$E$348:$AR$348,'Dvd Calendar'!$AE$341)=0))&gt;0)=0,"",'Dvd Calendar'!$AE$341*1000000000+ISNUMBER('Dvd Calendar'!$AE$344)*100000000+('Dvd Calendar'!$AE$346=SPECIAL_LBL)*10000000+(N('Dvd Calendar'!$AE$340)&gt;0)*(N('Dvd Calendar'!$AE$340)&lt;=VAL_SERIAL)*1000000+31*1000+27))</f>
        <v/>
      </c>
      <c r="FF42" s="121">
        <f>IF(N('Dvd Calendar'!$AF$341)=0,"",IF(('Dvd Calendar'!$AF$341&gt;=GRID_FROM)*('Dvd Calendar'!$AF$341&lt;=GRID_TO)*((('Dvd Calendar'!$AF$341&lt;=VAL_DATE)+(COUNTIF('Dvd Calendar'!$E$348:$AR$348,'Dvd Calendar'!$AF$341)=0))&gt;0)=0,"",'Dvd Calendar'!$AF$341*1000000000+ISNUMBER('Dvd Calendar'!$AF$344)*100000000+('Dvd Calendar'!$AF$346=SPECIAL_LBL)*10000000+(N('Dvd Calendar'!$AF$340)&gt;0)*(N('Dvd Calendar'!$AF$340)&lt;=VAL_SERIAL)*1000000+31*1000+28))</f>
        <v/>
      </c>
      <c r="FG42" s="121">
        <f>IF(N('Dvd Calendar'!$AG$341)=0,"",IF(('Dvd Calendar'!$AG$341&gt;=GRID_FROM)*('Dvd Calendar'!$AG$341&lt;=GRID_TO)*((('Dvd Calendar'!$AG$341&lt;=VAL_DATE)+(COUNTIF('Dvd Calendar'!$E$348:$AR$348,'Dvd Calendar'!$AG$341)=0))&gt;0)=0,"",'Dvd Calendar'!$AG$341*1000000000+ISNUMBER('Dvd Calendar'!$AG$344)*100000000+('Dvd Calendar'!$AG$346=SPECIAL_LBL)*10000000+(N('Dvd Calendar'!$AG$340)&gt;0)*(N('Dvd Calendar'!$AG$340)&lt;=VAL_SERIAL)*1000000+31*1000+29))</f>
        <v/>
      </c>
      <c r="FH42" s="121">
        <f>IF(N('Dvd Calendar'!$AH$341)=0,"",IF(('Dvd Calendar'!$AH$341&gt;=GRID_FROM)*('Dvd Calendar'!$AH$341&lt;=GRID_TO)*((('Dvd Calendar'!$AH$341&lt;=VAL_DATE)+(COUNTIF('Dvd Calendar'!$E$348:$AR$348,'Dvd Calendar'!$AH$341)=0))&gt;0)=0,"",'Dvd Calendar'!$AH$341*1000000000+ISNUMBER('Dvd Calendar'!$AH$344)*100000000+('Dvd Calendar'!$AH$346=SPECIAL_LBL)*10000000+(N('Dvd Calendar'!$AH$340)&gt;0)*(N('Dvd Calendar'!$AH$340)&lt;=VAL_SERIAL)*1000000+31*1000+30))</f>
        <v/>
      </c>
      <c r="FI42" s="121">
        <f>IF(N('Dvd Calendar'!$AI$341)=0,"",IF(('Dvd Calendar'!$AI$341&gt;=GRID_FROM)*('Dvd Calendar'!$AI$341&lt;=GRID_TO)*((('Dvd Calendar'!$AI$341&lt;=VAL_DATE)+(COUNTIF('Dvd Calendar'!$E$348:$AR$348,'Dvd Calendar'!$AI$341)=0))&gt;0)=0,"",'Dvd Calendar'!$AI$341*1000000000+ISNUMBER('Dvd Calendar'!$AI$344)*100000000+('Dvd Calendar'!$AI$346=SPECIAL_LBL)*10000000+(N('Dvd Calendar'!$AI$340)&gt;0)*(N('Dvd Calendar'!$AI$340)&lt;=VAL_SERIAL)*1000000+31*1000+31))</f>
        <v/>
      </c>
      <c r="FJ42" s="121">
        <f>IF(N('Dvd Calendar'!$AJ$341)=0,"",IF(('Dvd Calendar'!$AJ$341&gt;=GRID_FROM)*('Dvd Calendar'!$AJ$341&lt;=GRID_TO)*((('Dvd Calendar'!$AJ$341&lt;=VAL_DATE)+(COUNTIF('Dvd Calendar'!$E$348:$AR$348,'Dvd Calendar'!$AJ$341)=0))&gt;0)=0,"",'Dvd Calendar'!$AJ$341*1000000000+ISNUMBER('Dvd Calendar'!$AJ$344)*100000000+('Dvd Calendar'!$AJ$346=SPECIAL_LBL)*10000000+(N('Dvd Calendar'!$AJ$340)&gt;0)*(N('Dvd Calendar'!$AJ$340)&lt;=VAL_SERIAL)*1000000+31*1000+32))</f>
        <v/>
      </c>
      <c r="FK42" s="121">
        <f>IF(N('Dvd Calendar'!$AK$341)=0,"",IF(('Dvd Calendar'!$AK$341&gt;=GRID_FROM)*('Dvd Calendar'!$AK$341&lt;=GRID_TO)*((('Dvd Calendar'!$AK$341&lt;=VAL_DATE)+(COUNTIF('Dvd Calendar'!$E$348:$AR$348,'Dvd Calendar'!$AK$341)=0))&gt;0)=0,"",'Dvd Calendar'!$AK$341*1000000000+ISNUMBER('Dvd Calendar'!$AK$344)*100000000+('Dvd Calendar'!$AK$346=SPECIAL_LBL)*10000000+(N('Dvd Calendar'!$AK$340)&gt;0)*(N('Dvd Calendar'!$AK$340)&lt;=VAL_SERIAL)*1000000+31*1000+33))</f>
        <v/>
      </c>
      <c r="FL42" s="121">
        <f>IF(N('Dvd Calendar'!$AL$341)=0,"",IF(('Dvd Calendar'!$AL$341&gt;=GRID_FROM)*('Dvd Calendar'!$AL$341&lt;=GRID_TO)*((('Dvd Calendar'!$AL$341&lt;=VAL_DATE)+(COUNTIF('Dvd Calendar'!$E$348:$AR$348,'Dvd Calendar'!$AL$341)=0))&gt;0)=0,"",'Dvd Calendar'!$AL$341*1000000000+ISNUMBER('Dvd Calendar'!$AL$344)*100000000+('Dvd Calendar'!$AL$346=SPECIAL_LBL)*10000000+(N('Dvd Calendar'!$AL$340)&gt;0)*(N('Dvd Calendar'!$AL$340)&lt;=VAL_SERIAL)*1000000+31*1000+34))</f>
        <v/>
      </c>
      <c r="FM42" s="121">
        <f>IF(N('Dvd Calendar'!$AM$341)=0,"",IF(('Dvd Calendar'!$AM$341&gt;=GRID_FROM)*('Dvd Calendar'!$AM$341&lt;=GRID_TO)*((('Dvd Calendar'!$AM$341&lt;=VAL_DATE)+(COUNTIF('Dvd Calendar'!$E$348:$AR$348,'Dvd Calendar'!$AM$341)=0))&gt;0)=0,"",'Dvd Calendar'!$AM$341*1000000000+ISNUMBER('Dvd Calendar'!$AM$344)*100000000+('Dvd Calendar'!$AM$346=SPECIAL_LBL)*10000000+(N('Dvd Calendar'!$AM$340)&gt;0)*(N('Dvd Calendar'!$AM$340)&lt;=VAL_SERIAL)*1000000+31*1000+35))</f>
        <v/>
      </c>
      <c r="FN42" s="121">
        <f>IF(N('Dvd Calendar'!$AN$341)=0,"",IF(('Dvd Calendar'!$AN$341&gt;=GRID_FROM)*('Dvd Calendar'!$AN$341&lt;=GRID_TO)*((('Dvd Calendar'!$AN$341&lt;=VAL_DATE)+(COUNTIF('Dvd Calendar'!$E$348:$AR$348,'Dvd Calendar'!$AN$341)=0))&gt;0)=0,"",'Dvd Calendar'!$AN$341*1000000000+ISNUMBER('Dvd Calendar'!$AN$344)*100000000+('Dvd Calendar'!$AN$346=SPECIAL_LBL)*10000000+(N('Dvd Calendar'!$AN$340)&gt;0)*(N('Dvd Calendar'!$AN$340)&lt;=VAL_SERIAL)*1000000+31*1000+36))</f>
        <v/>
      </c>
      <c r="FO42" s="121">
        <f>IF(N('Dvd Calendar'!$AO$341)=0,"",IF(('Dvd Calendar'!$AO$341&gt;=GRID_FROM)*('Dvd Calendar'!$AO$341&lt;=GRID_TO)*((('Dvd Calendar'!$AO$341&lt;=VAL_DATE)+(COUNTIF('Dvd Calendar'!$E$348:$AR$348,'Dvd Calendar'!$AO$341)=0))&gt;0)=0,"",'Dvd Calendar'!$AO$341*1000000000+ISNUMBER('Dvd Calendar'!$AO$344)*100000000+('Dvd Calendar'!$AO$346=SPECIAL_LBL)*10000000+(N('Dvd Calendar'!$AO$340)&gt;0)*(N('Dvd Calendar'!$AO$340)&lt;=VAL_SERIAL)*1000000+31*1000+37))</f>
        <v/>
      </c>
      <c r="FP42" s="121">
        <f>IF(N('Dvd Calendar'!$AP$341)=0,"",IF(('Dvd Calendar'!$AP$341&gt;=GRID_FROM)*('Dvd Calendar'!$AP$341&lt;=GRID_TO)*((('Dvd Calendar'!$AP$341&lt;=VAL_DATE)+(COUNTIF('Dvd Calendar'!$E$348:$AR$348,'Dvd Calendar'!$AP$341)=0))&gt;0)=0,"",'Dvd Calendar'!$AP$341*1000000000+ISNUMBER('Dvd Calendar'!$AP$344)*100000000+('Dvd Calendar'!$AP$346=SPECIAL_LBL)*10000000+(N('Dvd Calendar'!$AP$340)&gt;0)*(N('Dvd Calendar'!$AP$340)&lt;=VAL_SERIAL)*1000000+31*1000+38))</f>
        <v/>
      </c>
      <c r="FQ42" s="121">
        <f>IF(N('Dvd Calendar'!$AQ$341)=0,"",IF(('Dvd Calendar'!$AQ$341&gt;=GRID_FROM)*('Dvd Calendar'!$AQ$341&lt;=GRID_TO)*((('Dvd Calendar'!$AQ$341&lt;=VAL_DATE)+(COUNTIF('Dvd Calendar'!$E$348:$AR$348,'Dvd Calendar'!$AQ$341)=0))&gt;0)=0,"",'Dvd Calendar'!$AQ$341*1000000000+ISNUMBER('Dvd Calendar'!$AQ$344)*100000000+('Dvd Calendar'!$AQ$346=SPECIAL_LBL)*10000000+(N('Dvd Calendar'!$AQ$340)&gt;0)*(N('Dvd Calendar'!$AQ$340)&lt;=VAL_SERIAL)*1000000+31*1000+39))</f>
        <v/>
      </c>
      <c r="FR42" s="121">
        <f>IF(N('Dvd Calendar'!$AR$341)=0,"",IF(('Dvd Calendar'!$AR$341&gt;=GRID_FROM)*('Dvd Calendar'!$AR$341&lt;=GRID_TO)*((('Dvd Calendar'!$AR$341&lt;=VAL_DATE)+(COUNTIF('Dvd Calendar'!$E$348:$AR$348,'Dvd Calendar'!$AR$341)=0))&gt;0)=0,"",'Dvd Calendar'!$AR$341*1000000000+ISNUMBER('Dvd Calendar'!$AR$344)*100000000+('Dvd Calendar'!$AR$346=SPECIAL_LBL)*10000000+(N('Dvd Calendar'!$AR$340)&gt;0)*(N('Dvd Calendar'!$AR$340)&lt;=VAL_SERIAL)*1000000+31*1000+40))</f>
        <v/>
      </c>
      <c r="FS42" s="121">
        <f>IF(N('Dvd Calendar'!$E$348)=0,"",IF(('Dvd Calendar'!$E$348&gt;=GRID_FROM)*('Dvd Calendar'!$E$348&lt;=GRID_TO)*('Dvd Calendar'!$E$348&gt;VAL_DATE)=0,"",'Dvd Calendar'!$E$348*1000000000+ISNUMBER('Dvd Calendar'!$E$349)*100000000+0*10000000+(N('Dvd Calendar'!$E$347)&gt;0)*(N('Dvd Calendar'!$E$347)&lt;=VAL_SERIAL)*1000000+31*1000+41))</f>
        <v/>
      </c>
      <c r="FT42" s="121">
        <f>IF(N('Dvd Calendar'!$F$348)=0,"",IF(('Dvd Calendar'!$F$348&gt;=GRID_FROM)*('Dvd Calendar'!$F$348&lt;=GRID_TO)*('Dvd Calendar'!$F$348&gt;VAL_DATE)=0,"",'Dvd Calendar'!$F$348*1000000000+ISNUMBER('Dvd Calendar'!$F$349)*100000000+0*10000000+(N('Dvd Calendar'!$F$347)&gt;0)*(N('Dvd Calendar'!$F$347)&lt;=VAL_SERIAL)*1000000+31*1000+42))</f>
        <v/>
      </c>
      <c r="FU42" s="121">
        <f>IF(N('Dvd Calendar'!$G$348)=0,"",IF(('Dvd Calendar'!$G$348&gt;=GRID_FROM)*('Dvd Calendar'!$G$348&lt;=GRID_TO)*('Dvd Calendar'!$G$348&gt;VAL_DATE)=0,"",'Dvd Calendar'!$G$348*1000000000+ISNUMBER('Dvd Calendar'!$G$349)*100000000+0*10000000+(N('Dvd Calendar'!$G$347)&gt;0)*(N('Dvd Calendar'!$G$347)&lt;=VAL_SERIAL)*1000000+31*1000+43))</f>
        <v/>
      </c>
      <c r="FV42" s="121">
        <f>IF(N('Dvd Calendar'!$H$348)=0,"",IF(('Dvd Calendar'!$H$348&gt;=GRID_FROM)*('Dvd Calendar'!$H$348&lt;=GRID_TO)*('Dvd Calendar'!$H$348&gt;VAL_DATE)=0,"",'Dvd Calendar'!$H$348*1000000000+ISNUMBER('Dvd Calendar'!$H$349)*100000000+0*10000000+(N('Dvd Calendar'!$H$347)&gt;0)*(N('Dvd Calendar'!$H$347)&lt;=VAL_SERIAL)*1000000+31*1000+44))</f>
        <v/>
      </c>
      <c r="FW42" s="121">
        <f>IF(N('Dvd Calendar'!$I$348)=0,"",IF(('Dvd Calendar'!$I$348&gt;=GRID_FROM)*('Dvd Calendar'!$I$348&lt;=GRID_TO)*('Dvd Calendar'!$I$348&gt;VAL_DATE)=0,"",'Dvd Calendar'!$I$348*1000000000+ISNUMBER('Dvd Calendar'!$I$349)*100000000+0*10000000+(N('Dvd Calendar'!$I$347)&gt;0)*(N('Dvd Calendar'!$I$347)&lt;=VAL_SERIAL)*1000000+31*1000+45))</f>
        <v/>
      </c>
      <c r="FX42" s="121">
        <f>IF(N('Dvd Calendar'!$J$348)=0,"",IF(('Dvd Calendar'!$J$348&gt;=GRID_FROM)*('Dvd Calendar'!$J$348&lt;=GRID_TO)*('Dvd Calendar'!$J$348&gt;VAL_DATE)=0,"",'Dvd Calendar'!$J$348*1000000000+ISNUMBER('Dvd Calendar'!$J$349)*100000000+0*10000000+(N('Dvd Calendar'!$J$347)&gt;0)*(N('Dvd Calendar'!$J$347)&lt;=VAL_SERIAL)*1000000+31*1000+46))</f>
        <v/>
      </c>
      <c r="FY42" s="121">
        <f>IF(N('Dvd Calendar'!$K$348)=0,"",IF(('Dvd Calendar'!$K$348&gt;=GRID_FROM)*('Dvd Calendar'!$K$348&lt;=GRID_TO)*('Dvd Calendar'!$K$348&gt;VAL_DATE)=0,"",'Dvd Calendar'!$K$348*1000000000+ISNUMBER('Dvd Calendar'!$K$349)*100000000+0*10000000+(N('Dvd Calendar'!$K$347)&gt;0)*(N('Dvd Calendar'!$K$347)&lt;=VAL_SERIAL)*1000000+31*1000+47))</f>
        <v/>
      </c>
      <c r="FZ42" s="121">
        <f>IF(N('Dvd Calendar'!$L$348)=0,"",IF(('Dvd Calendar'!$L$348&gt;=GRID_FROM)*('Dvd Calendar'!$L$348&lt;=GRID_TO)*('Dvd Calendar'!$L$348&gt;VAL_DATE)=0,"",'Dvd Calendar'!$L$348*1000000000+ISNUMBER('Dvd Calendar'!$L$349)*100000000+0*10000000+(N('Dvd Calendar'!$L$347)&gt;0)*(N('Dvd Calendar'!$L$347)&lt;=VAL_SERIAL)*1000000+31*1000+48))</f>
        <v/>
      </c>
      <c r="GA42" s="121">
        <f>IF(N('Dvd Calendar'!$M$348)=0,"",IF(('Dvd Calendar'!$M$348&gt;=GRID_FROM)*('Dvd Calendar'!$M$348&lt;=GRID_TO)*('Dvd Calendar'!$M$348&gt;VAL_DATE)=0,"",'Dvd Calendar'!$M$348*1000000000+ISNUMBER('Dvd Calendar'!$M$349)*100000000+0*10000000+(N('Dvd Calendar'!$M$347)&gt;0)*(N('Dvd Calendar'!$M$347)&lt;=VAL_SERIAL)*1000000+31*1000+49))</f>
        <v/>
      </c>
      <c r="GB42" s="121">
        <f>IF(N('Dvd Calendar'!$N$348)=0,"",IF(('Dvd Calendar'!$N$348&gt;=GRID_FROM)*('Dvd Calendar'!$N$348&lt;=GRID_TO)*('Dvd Calendar'!$N$348&gt;VAL_DATE)=0,"",'Dvd Calendar'!$N$348*1000000000+ISNUMBER('Dvd Calendar'!$N$349)*100000000+0*10000000+(N('Dvd Calendar'!$N$347)&gt;0)*(N('Dvd Calendar'!$N$347)&lt;=VAL_SERIAL)*1000000+31*1000+50))</f>
        <v/>
      </c>
      <c r="GC42" s="121">
        <f>IF(N('Dvd Calendar'!$O$348)=0,"",IF(('Dvd Calendar'!$O$348&gt;=GRID_FROM)*('Dvd Calendar'!$O$348&lt;=GRID_TO)*('Dvd Calendar'!$O$348&gt;VAL_DATE)=0,"",'Dvd Calendar'!$O$348*1000000000+ISNUMBER('Dvd Calendar'!$O$349)*100000000+0*10000000+(N('Dvd Calendar'!$O$347)&gt;0)*(N('Dvd Calendar'!$O$347)&lt;=VAL_SERIAL)*1000000+31*1000+51))</f>
        <v/>
      </c>
      <c r="GD42" s="121">
        <f>IF(N('Dvd Calendar'!$P$348)=0,"",IF(('Dvd Calendar'!$P$348&gt;=GRID_FROM)*('Dvd Calendar'!$P$348&lt;=GRID_TO)*('Dvd Calendar'!$P$348&gt;VAL_DATE)=0,"",'Dvd Calendar'!$P$348*1000000000+ISNUMBER('Dvd Calendar'!$P$349)*100000000+0*10000000+(N('Dvd Calendar'!$P$347)&gt;0)*(N('Dvd Calendar'!$P$347)&lt;=VAL_SERIAL)*1000000+31*1000+52))</f>
        <v/>
      </c>
      <c r="GE42" s="121">
        <f>IF(N('Dvd Calendar'!$Q$348)=0,"",IF(('Dvd Calendar'!$Q$348&gt;=GRID_FROM)*('Dvd Calendar'!$Q$348&lt;=GRID_TO)*('Dvd Calendar'!$Q$348&gt;VAL_DATE)=0,"",'Dvd Calendar'!$Q$348*1000000000+ISNUMBER('Dvd Calendar'!$Q$349)*100000000+0*10000000+(N('Dvd Calendar'!$Q$347)&gt;0)*(N('Dvd Calendar'!$Q$347)&lt;=VAL_SERIAL)*1000000+31*1000+53))</f>
        <v/>
      </c>
      <c r="GF42" s="121">
        <f>IF(N('Dvd Calendar'!$R$348)=0,"",IF(('Dvd Calendar'!$R$348&gt;=GRID_FROM)*('Dvd Calendar'!$R$348&lt;=GRID_TO)*('Dvd Calendar'!$R$348&gt;VAL_DATE)=0,"",'Dvd Calendar'!$R$348*1000000000+ISNUMBER('Dvd Calendar'!$R$349)*100000000+0*10000000+(N('Dvd Calendar'!$R$347)&gt;0)*(N('Dvd Calendar'!$R$347)&lt;=VAL_SERIAL)*1000000+31*1000+54))</f>
        <v/>
      </c>
      <c r="GG42" s="121">
        <f>IF(N('Dvd Calendar'!$S$348)=0,"",IF(('Dvd Calendar'!$S$348&gt;=GRID_FROM)*('Dvd Calendar'!$S$348&lt;=GRID_TO)*('Dvd Calendar'!$S$348&gt;VAL_DATE)=0,"",'Dvd Calendar'!$S$348*1000000000+ISNUMBER('Dvd Calendar'!$S$349)*100000000+0*10000000+(N('Dvd Calendar'!$S$347)&gt;0)*(N('Dvd Calendar'!$S$347)&lt;=VAL_SERIAL)*1000000+31*1000+55))</f>
        <v/>
      </c>
      <c r="GH42" s="121">
        <f>IF(N('Dvd Calendar'!$T$348)=0,"",IF(('Dvd Calendar'!$T$348&gt;=GRID_FROM)*('Dvd Calendar'!$T$348&lt;=GRID_TO)*('Dvd Calendar'!$T$348&gt;VAL_DATE)=0,"",'Dvd Calendar'!$T$348*1000000000+ISNUMBER('Dvd Calendar'!$T$349)*100000000+0*10000000+(N('Dvd Calendar'!$T$347)&gt;0)*(N('Dvd Calendar'!$T$347)&lt;=VAL_SERIAL)*1000000+31*1000+56))</f>
        <v/>
      </c>
      <c r="GI42" s="121">
        <f>IF(N('Dvd Calendar'!$U$348)=0,"",IF(('Dvd Calendar'!$U$348&gt;=GRID_FROM)*('Dvd Calendar'!$U$348&lt;=GRID_TO)*('Dvd Calendar'!$U$348&gt;VAL_DATE)=0,"",'Dvd Calendar'!$U$348*1000000000+ISNUMBER('Dvd Calendar'!$U$349)*100000000+0*10000000+(N('Dvd Calendar'!$U$347)&gt;0)*(N('Dvd Calendar'!$U$347)&lt;=VAL_SERIAL)*1000000+31*1000+57))</f>
        <v/>
      </c>
      <c r="GJ42" s="121">
        <f>IF(N('Dvd Calendar'!$V$348)=0,"",IF(('Dvd Calendar'!$V$348&gt;=GRID_FROM)*('Dvd Calendar'!$V$348&lt;=GRID_TO)*('Dvd Calendar'!$V$348&gt;VAL_DATE)=0,"",'Dvd Calendar'!$V$348*1000000000+ISNUMBER('Dvd Calendar'!$V$349)*100000000+0*10000000+(N('Dvd Calendar'!$V$347)&gt;0)*(N('Dvd Calendar'!$V$347)&lt;=VAL_SERIAL)*1000000+31*1000+58))</f>
        <v/>
      </c>
      <c r="GK42" s="121">
        <f>IF(N('Dvd Calendar'!$W$348)=0,"",IF(('Dvd Calendar'!$W$348&gt;=GRID_FROM)*('Dvd Calendar'!$W$348&lt;=GRID_TO)*('Dvd Calendar'!$W$348&gt;VAL_DATE)=0,"",'Dvd Calendar'!$W$348*1000000000+ISNUMBER('Dvd Calendar'!$W$349)*100000000+0*10000000+(N('Dvd Calendar'!$W$347)&gt;0)*(N('Dvd Calendar'!$W$347)&lt;=VAL_SERIAL)*1000000+31*1000+59))</f>
        <v/>
      </c>
      <c r="GL42" s="121">
        <f>IF(N('Dvd Calendar'!$X$348)=0,"",IF(('Dvd Calendar'!$X$348&gt;=GRID_FROM)*('Dvd Calendar'!$X$348&lt;=GRID_TO)*('Dvd Calendar'!$X$348&gt;VAL_DATE)=0,"",'Dvd Calendar'!$X$348*1000000000+ISNUMBER('Dvd Calendar'!$X$349)*100000000+0*10000000+(N('Dvd Calendar'!$X$347)&gt;0)*(N('Dvd Calendar'!$X$347)&lt;=VAL_SERIAL)*1000000+31*1000+60))</f>
        <v/>
      </c>
      <c r="GM42" s="121">
        <f>IF(N('Dvd Calendar'!$Y$348)=0,"",IF(('Dvd Calendar'!$Y$348&gt;=GRID_FROM)*('Dvd Calendar'!$Y$348&lt;=GRID_TO)*('Dvd Calendar'!$Y$348&gt;VAL_DATE)=0,"",'Dvd Calendar'!$Y$348*1000000000+ISNUMBER('Dvd Calendar'!$Y$349)*100000000+0*10000000+(N('Dvd Calendar'!$Y$347)&gt;0)*(N('Dvd Calendar'!$Y$347)&lt;=VAL_SERIAL)*1000000+31*1000+61))</f>
        <v/>
      </c>
      <c r="GN42" s="121">
        <f>IF(N('Dvd Calendar'!$Z$348)=0,"",IF(('Dvd Calendar'!$Z$348&gt;=GRID_FROM)*('Dvd Calendar'!$Z$348&lt;=GRID_TO)*('Dvd Calendar'!$Z$348&gt;VAL_DATE)=0,"",'Dvd Calendar'!$Z$348*1000000000+ISNUMBER('Dvd Calendar'!$Z$349)*100000000+0*10000000+(N('Dvd Calendar'!$Z$347)&gt;0)*(N('Dvd Calendar'!$Z$347)&lt;=VAL_SERIAL)*1000000+31*1000+62))</f>
        <v/>
      </c>
      <c r="GO42" s="121">
        <f>IF(N('Dvd Calendar'!$AA$348)=0,"",IF(('Dvd Calendar'!$AA$348&gt;=GRID_FROM)*('Dvd Calendar'!$AA$348&lt;=GRID_TO)*('Dvd Calendar'!$AA$348&gt;VAL_DATE)=0,"",'Dvd Calendar'!$AA$348*1000000000+ISNUMBER('Dvd Calendar'!$AA$349)*100000000+0*10000000+(N('Dvd Calendar'!$AA$347)&gt;0)*(N('Dvd Calendar'!$AA$347)&lt;=VAL_SERIAL)*1000000+31*1000+63))</f>
        <v/>
      </c>
      <c r="GP42" s="121">
        <f>IF(N('Dvd Calendar'!$AB$348)=0,"",IF(('Dvd Calendar'!$AB$348&gt;=GRID_FROM)*('Dvd Calendar'!$AB$348&lt;=GRID_TO)*('Dvd Calendar'!$AB$348&gt;VAL_DATE)=0,"",'Dvd Calendar'!$AB$348*1000000000+ISNUMBER('Dvd Calendar'!$AB$349)*100000000+0*10000000+(N('Dvd Calendar'!$AB$347)&gt;0)*(N('Dvd Calendar'!$AB$347)&lt;=VAL_SERIAL)*1000000+31*1000+64))</f>
        <v/>
      </c>
      <c r="GQ42" s="121">
        <f>IF(N('Dvd Calendar'!$AC$348)=0,"",IF(('Dvd Calendar'!$AC$348&gt;=GRID_FROM)*('Dvd Calendar'!$AC$348&lt;=GRID_TO)*('Dvd Calendar'!$AC$348&gt;VAL_DATE)=0,"",'Dvd Calendar'!$AC$348*1000000000+ISNUMBER('Dvd Calendar'!$AC$349)*100000000+0*10000000+(N('Dvd Calendar'!$AC$347)&gt;0)*(N('Dvd Calendar'!$AC$347)&lt;=VAL_SERIAL)*1000000+31*1000+65))</f>
        <v/>
      </c>
    </row>
    <row r="43">
      <c r="B43" s="2">
        <f>IF(HSI!$C$38="","",HSI!$C$38)</f>
        <v/>
      </c>
      <c r="C43" s="161">
        <f>IF(EE43="","",IF(ISNUMBER('Dvd Calendar'!$E$355)=FALSE,"",IF((('Dvd Calendar'!$E$357=TYPE1)*(TYPE1&lt;&gt;"")+('Dvd Calendar'!$E$357=TYPE2)*(TYPE2&lt;&gt;"")+('Dvd Calendar'!$E$357=TYPE3)*(TYPE3&lt;&gt;"")+('Dvd Calendar'!$E$357=TYPE4)*(TYPE4&lt;&gt;"")+('Dvd Calendar'!$E$357=SPECIAL_LBL)*(INC_SPECIALS="Y"))=0,"",'Dvd Calendar'!$E$355)))</f>
        <v/>
      </c>
      <c r="D43" s="161">
        <f>IF(EF43="","",IF(ISNUMBER('Dvd Calendar'!$F$355)=FALSE,"",IF((('Dvd Calendar'!$F$357=TYPE1)*(TYPE1&lt;&gt;"")+('Dvd Calendar'!$F$357=TYPE2)*(TYPE2&lt;&gt;"")+('Dvd Calendar'!$F$357=TYPE3)*(TYPE3&lt;&gt;"")+('Dvd Calendar'!$F$357=TYPE4)*(TYPE4&lt;&gt;"")+('Dvd Calendar'!$F$357=SPECIAL_LBL)*(INC_SPECIALS="Y"))=0,"",'Dvd Calendar'!$F$355)))</f>
        <v/>
      </c>
      <c r="E43" s="161">
        <f>IF(EG43="","",IF(ISNUMBER('Dvd Calendar'!$G$355)=FALSE,"",IF((('Dvd Calendar'!$G$357=TYPE1)*(TYPE1&lt;&gt;"")+('Dvd Calendar'!$G$357=TYPE2)*(TYPE2&lt;&gt;"")+('Dvd Calendar'!$G$357=TYPE3)*(TYPE3&lt;&gt;"")+('Dvd Calendar'!$G$357=TYPE4)*(TYPE4&lt;&gt;"")+('Dvd Calendar'!$G$357=SPECIAL_LBL)*(INC_SPECIALS="Y"))=0,"",'Dvd Calendar'!$G$355)))</f>
        <v/>
      </c>
      <c r="F43" s="161">
        <f>IF(EH43="","",IF(ISNUMBER('Dvd Calendar'!$H$355)=FALSE,"",IF((('Dvd Calendar'!$H$357=TYPE1)*(TYPE1&lt;&gt;"")+('Dvd Calendar'!$H$357=TYPE2)*(TYPE2&lt;&gt;"")+('Dvd Calendar'!$H$357=TYPE3)*(TYPE3&lt;&gt;"")+('Dvd Calendar'!$H$357=TYPE4)*(TYPE4&lt;&gt;"")+('Dvd Calendar'!$H$357=SPECIAL_LBL)*(INC_SPECIALS="Y"))=0,"",'Dvd Calendar'!$H$355)))</f>
        <v/>
      </c>
      <c r="G43" s="161">
        <f>IF(EI43="","",IF(ISNUMBER('Dvd Calendar'!$I$355)=FALSE,"",IF((('Dvd Calendar'!$I$357=TYPE1)*(TYPE1&lt;&gt;"")+('Dvd Calendar'!$I$357=TYPE2)*(TYPE2&lt;&gt;"")+('Dvd Calendar'!$I$357=TYPE3)*(TYPE3&lt;&gt;"")+('Dvd Calendar'!$I$357=TYPE4)*(TYPE4&lt;&gt;"")+('Dvd Calendar'!$I$357=SPECIAL_LBL)*(INC_SPECIALS="Y"))=0,"",'Dvd Calendar'!$I$355)))</f>
        <v/>
      </c>
      <c r="H43" s="161">
        <f>IF(EJ43="","",IF(ISNUMBER('Dvd Calendar'!$J$355)=FALSE,"",IF((('Dvd Calendar'!$J$357=TYPE1)*(TYPE1&lt;&gt;"")+('Dvd Calendar'!$J$357=TYPE2)*(TYPE2&lt;&gt;"")+('Dvd Calendar'!$J$357=TYPE3)*(TYPE3&lt;&gt;"")+('Dvd Calendar'!$J$357=TYPE4)*(TYPE4&lt;&gt;"")+('Dvd Calendar'!$J$357=SPECIAL_LBL)*(INC_SPECIALS="Y"))=0,"",'Dvd Calendar'!$J$355)))</f>
        <v/>
      </c>
      <c r="I43" s="161">
        <f>IF(EK43="","",IF(ISNUMBER('Dvd Calendar'!$K$355)=FALSE,"",IF((('Dvd Calendar'!$K$357=TYPE1)*(TYPE1&lt;&gt;"")+('Dvd Calendar'!$K$357=TYPE2)*(TYPE2&lt;&gt;"")+('Dvd Calendar'!$K$357=TYPE3)*(TYPE3&lt;&gt;"")+('Dvd Calendar'!$K$357=TYPE4)*(TYPE4&lt;&gt;"")+('Dvd Calendar'!$K$357=SPECIAL_LBL)*(INC_SPECIALS="Y"))=0,"",'Dvd Calendar'!$K$355)))</f>
        <v/>
      </c>
      <c r="J43" s="161">
        <f>IF(EL43="","",IF(ISNUMBER('Dvd Calendar'!$L$355)=FALSE,"",IF((('Dvd Calendar'!$L$357=TYPE1)*(TYPE1&lt;&gt;"")+('Dvd Calendar'!$L$357=TYPE2)*(TYPE2&lt;&gt;"")+('Dvd Calendar'!$L$357=TYPE3)*(TYPE3&lt;&gt;"")+('Dvd Calendar'!$L$357=TYPE4)*(TYPE4&lt;&gt;"")+('Dvd Calendar'!$L$357=SPECIAL_LBL)*(INC_SPECIALS="Y"))=0,"",'Dvd Calendar'!$L$355)))</f>
        <v/>
      </c>
      <c r="K43" s="161">
        <f>IF(EM43="","",IF(ISNUMBER('Dvd Calendar'!$M$355)=FALSE,"",IF((('Dvd Calendar'!$M$357=TYPE1)*(TYPE1&lt;&gt;"")+('Dvd Calendar'!$M$357=TYPE2)*(TYPE2&lt;&gt;"")+('Dvd Calendar'!$M$357=TYPE3)*(TYPE3&lt;&gt;"")+('Dvd Calendar'!$M$357=TYPE4)*(TYPE4&lt;&gt;"")+('Dvd Calendar'!$M$357=SPECIAL_LBL)*(INC_SPECIALS="Y"))=0,"",'Dvd Calendar'!$M$355)))</f>
        <v/>
      </c>
      <c r="L43" s="161">
        <f>IF(EN43="","",IF(ISNUMBER('Dvd Calendar'!$N$355)=FALSE,"",IF((('Dvd Calendar'!$N$357=TYPE1)*(TYPE1&lt;&gt;"")+('Dvd Calendar'!$N$357=TYPE2)*(TYPE2&lt;&gt;"")+('Dvd Calendar'!$N$357=TYPE3)*(TYPE3&lt;&gt;"")+('Dvd Calendar'!$N$357=TYPE4)*(TYPE4&lt;&gt;"")+('Dvd Calendar'!$N$357=SPECIAL_LBL)*(INC_SPECIALS="Y"))=0,"",'Dvd Calendar'!$N$355)))</f>
        <v/>
      </c>
      <c r="M43" s="161">
        <f>IF(EO43="","",IF(ISNUMBER('Dvd Calendar'!$O$355)=FALSE,"",IF((('Dvd Calendar'!$O$357=TYPE1)*(TYPE1&lt;&gt;"")+('Dvd Calendar'!$O$357=TYPE2)*(TYPE2&lt;&gt;"")+('Dvd Calendar'!$O$357=TYPE3)*(TYPE3&lt;&gt;"")+('Dvd Calendar'!$O$357=TYPE4)*(TYPE4&lt;&gt;"")+('Dvd Calendar'!$O$357=SPECIAL_LBL)*(INC_SPECIALS="Y"))=0,"",'Dvd Calendar'!$O$355)))</f>
        <v/>
      </c>
      <c r="N43" s="161">
        <f>IF(EP43="","",IF(ISNUMBER('Dvd Calendar'!$P$355)=FALSE,"",IF((('Dvd Calendar'!$P$357=TYPE1)*(TYPE1&lt;&gt;"")+('Dvd Calendar'!$P$357=TYPE2)*(TYPE2&lt;&gt;"")+('Dvd Calendar'!$P$357=TYPE3)*(TYPE3&lt;&gt;"")+('Dvd Calendar'!$P$357=TYPE4)*(TYPE4&lt;&gt;"")+('Dvd Calendar'!$P$357=SPECIAL_LBL)*(INC_SPECIALS="Y"))=0,"",'Dvd Calendar'!$P$355)))</f>
        <v/>
      </c>
      <c r="O43" s="161">
        <f>IF(EQ43="","",IF(ISNUMBER('Dvd Calendar'!$Q$355)=FALSE,"",IF((('Dvd Calendar'!$Q$357=TYPE1)*(TYPE1&lt;&gt;"")+('Dvd Calendar'!$Q$357=TYPE2)*(TYPE2&lt;&gt;"")+('Dvd Calendar'!$Q$357=TYPE3)*(TYPE3&lt;&gt;"")+('Dvd Calendar'!$Q$357=TYPE4)*(TYPE4&lt;&gt;"")+('Dvd Calendar'!$Q$357=SPECIAL_LBL)*(INC_SPECIALS="Y"))=0,"",'Dvd Calendar'!$Q$355)))</f>
        <v/>
      </c>
      <c r="P43" s="161">
        <f>IF(ER43="","",IF(ISNUMBER('Dvd Calendar'!$R$355)=FALSE,"",IF((('Dvd Calendar'!$R$357=TYPE1)*(TYPE1&lt;&gt;"")+('Dvd Calendar'!$R$357=TYPE2)*(TYPE2&lt;&gt;"")+('Dvd Calendar'!$R$357=TYPE3)*(TYPE3&lt;&gt;"")+('Dvd Calendar'!$R$357=TYPE4)*(TYPE4&lt;&gt;"")+('Dvd Calendar'!$R$357=SPECIAL_LBL)*(INC_SPECIALS="Y"))=0,"",'Dvd Calendar'!$R$355)))</f>
        <v/>
      </c>
      <c r="Q43" s="161">
        <f>IF(ES43="","",IF(ISNUMBER('Dvd Calendar'!$S$355)=FALSE,"",IF((('Dvd Calendar'!$S$357=TYPE1)*(TYPE1&lt;&gt;"")+('Dvd Calendar'!$S$357=TYPE2)*(TYPE2&lt;&gt;"")+('Dvd Calendar'!$S$357=TYPE3)*(TYPE3&lt;&gt;"")+('Dvd Calendar'!$S$357=TYPE4)*(TYPE4&lt;&gt;"")+('Dvd Calendar'!$S$357=SPECIAL_LBL)*(INC_SPECIALS="Y"))=0,"",'Dvd Calendar'!$S$355)))</f>
        <v/>
      </c>
      <c r="R43" s="161">
        <f>IF(ET43="","",IF(ISNUMBER('Dvd Calendar'!$T$355)=FALSE,"",IF((('Dvd Calendar'!$T$357=TYPE1)*(TYPE1&lt;&gt;"")+('Dvd Calendar'!$T$357=TYPE2)*(TYPE2&lt;&gt;"")+('Dvd Calendar'!$T$357=TYPE3)*(TYPE3&lt;&gt;"")+('Dvd Calendar'!$T$357=TYPE4)*(TYPE4&lt;&gt;"")+('Dvd Calendar'!$T$357=SPECIAL_LBL)*(INC_SPECIALS="Y"))=0,"",'Dvd Calendar'!$T$355)))</f>
        <v/>
      </c>
      <c r="S43" s="161">
        <f>IF(EU43="","",IF(ISNUMBER('Dvd Calendar'!$U$355)=FALSE,"",IF((('Dvd Calendar'!$U$357=TYPE1)*(TYPE1&lt;&gt;"")+('Dvd Calendar'!$U$357=TYPE2)*(TYPE2&lt;&gt;"")+('Dvd Calendar'!$U$357=TYPE3)*(TYPE3&lt;&gt;"")+('Dvd Calendar'!$U$357=TYPE4)*(TYPE4&lt;&gt;"")+('Dvd Calendar'!$U$357=SPECIAL_LBL)*(INC_SPECIALS="Y"))=0,"",'Dvd Calendar'!$U$355)))</f>
        <v/>
      </c>
      <c r="T43" s="161">
        <f>IF(EV43="","",IF(ISNUMBER('Dvd Calendar'!$V$355)=FALSE,"",IF((('Dvd Calendar'!$V$357=TYPE1)*(TYPE1&lt;&gt;"")+('Dvd Calendar'!$V$357=TYPE2)*(TYPE2&lt;&gt;"")+('Dvd Calendar'!$V$357=TYPE3)*(TYPE3&lt;&gt;"")+('Dvd Calendar'!$V$357=TYPE4)*(TYPE4&lt;&gt;"")+('Dvd Calendar'!$V$357=SPECIAL_LBL)*(INC_SPECIALS="Y"))=0,"",'Dvd Calendar'!$V$355)))</f>
        <v/>
      </c>
      <c r="U43" s="161">
        <f>IF(EW43="","",IF(ISNUMBER('Dvd Calendar'!$W$355)=FALSE,"",IF((('Dvd Calendar'!$W$357=TYPE1)*(TYPE1&lt;&gt;"")+('Dvd Calendar'!$W$357=TYPE2)*(TYPE2&lt;&gt;"")+('Dvd Calendar'!$W$357=TYPE3)*(TYPE3&lt;&gt;"")+('Dvd Calendar'!$W$357=TYPE4)*(TYPE4&lt;&gt;"")+('Dvd Calendar'!$W$357=SPECIAL_LBL)*(INC_SPECIALS="Y"))=0,"",'Dvd Calendar'!$W$355)))</f>
        <v/>
      </c>
      <c r="V43" s="161">
        <f>IF(EX43="","",IF(ISNUMBER('Dvd Calendar'!$X$355)=FALSE,"",IF((('Dvd Calendar'!$X$357=TYPE1)*(TYPE1&lt;&gt;"")+('Dvd Calendar'!$X$357=TYPE2)*(TYPE2&lt;&gt;"")+('Dvd Calendar'!$X$357=TYPE3)*(TYPE3&lt;&gt;"")+('Dvd Calendar'!$X$357=TYPE4)*(TYPE4&lt;&gt;"")+('Dvd Calendar'!$X$357=SPECIAL_LBL)*(INC_SPECIALS="Y"))=0,"",'Dvd Calendar'!$X$355)))</f>
        <v/>
      </c>
      <c r="W43" s="161">
        <f>IF(EY43="","",IF(ISNUMBER('Dvd Calendar'!$Y$355)=FALSE,"",IF((('Dvd Calendar'!$Y$357=TYPE1)*(TYPE1&lt;&gt;"")+('Dvd Calendar'!$Y$357=TYPE2)*(TYPE2&lt;&gt;"")+('Dvd Calendar'!$Y$357=TYPE3)*(TYPE3&lt;&gt;"")+('Dvd Calendar'!$Y$357=TYPE4)*(TYPE4&lt;&gt;"")+('Dvd Calendar'!$Y$357=SPECIAL_LBL)*(INC_SPECIALS="Y"))=0,"",'Dvd Calendar'!$Y$355)))</f>
        <v/>
      </c>
      <c r="X43" s="161">
        <f>IF(EZ43="","",IF(ISNUMBER('Dvd Calendar'!$Z$355)=FALSE,"",IF((('Dvd Calendar'!$Z$357=TYPE1)*(TYPE1&lt;&gt;"")+('Dvd Calendar'!$Z$357=TYPE2)*(TYPE2&lt;&gt;"")+('Dvd Calendar'!$Z$357=TYPE3)*(TYPE3&lt;&gt;"")+('Dvd Calendar'!$Z$357=TYPE4)*(TYPE4&lt;&gt;"")+('Dvd Calendar'!$Z$357=SPECIAL_LBL)*(INC_SPECIALS="Y"))=0,"",'Dvd Calendar'!$Z$355)))</f>
        <v/>
      </c>
      <c r="Y43" s="161">
        <f>IF(FA43="","",IF(ISNUMBER('Dvd Calendar'!$AA$355)=FALSE,"",IF((('Dvd Calendar'!$AA$357=TYPE1)*(TYPE1&lt;&gt;"")+('Dvd Calendar'!$AA$357=TYPE2)*(TYPE2&lt;&gt;"")+('Dvd Calendar'!$AA$357=TYPE3)*(TYPE3&lt;&gt;"")+('Dvd Calendar'!$AA$357=TYPE4)*(TYPE4&lt;&gt;"")+('Dvd Calendar'!$AA$357=SPECIAL_LBL)*(INC_SPECIALS="Y"))=0,"",'Dvd Calendar'!$AA$355)))</f>
        <v/>
      </c>
      <c r="Z43" s="161">
        <f>IF(FB43="","",IF(ISNUMBER('Dvd Calendar'!$AB$355)=FALSE,"",IF((('Dvd Calendar'!$AB$357=TYPE1)*(TYPE1&lt;&gt;"")+('Dvd Calendar'!$AB$357=TYPE2)*(TYPE2&lt;&gt;"")+('Dvd Calendar'!$AB$357=TYPE3)*(TYPE3&lt;&gt;"")+('Dvd Calendar'!$AB$357=TYPE4)*(TYPE4&lt;&gt;"")+('Dvd Calendar'!$AB$357=SPECIAL_LBL)*(INC_SPECIALS="Y"))=0,"",'Dvd Calendar'!$AB$355)))</f>
        <v/>
      </c>
      <c r="AA43" s="161">
        <f>IF(FC43="","",IF(ISNUMBER('Dvd Calendar'!$AC$355)=FALSE,"",IF((('Dvd Calendar'!$AC$357=TYPE1)*(TYPE1&lt;&gt;"")+('Dvd Calendar'!$AC$357=TYPE2)*(TYPE2&lt;&gt;"")+('Dvd Calendar'!$AC$357=TYPE3)*(TYPE3&lt;&gt;"")+('Dvd Calendar'!$AC$357=TYPE4)*(TYPE4&lt;&gt;"")+('Dvd Calendar'!$AC$357=SPECIAL_LBL)*(INC_SPECIALS="Y"))=0,"",'Dvd Calendar'!$AC$355)))</f>
        <v/>
      </c>
      <c r="AB43" s="161">
        <f>IF(FD43="","",IF(ISNUMBER('Dvd Calendar'!$AD$355)=FALSE,"",IF((('Dvd Calendar'!$AD$357=TYPE1)*(TYPE1&lt;&gt;"")+('Dvd Calendar'!$AD$357=TYPE2)*(TYPE2&lt;&gt;"")+('Dvd Calendar'!$AD$357=TYPE3)*(TYPE3&lt;&gt;"")+('Dvd Calendar'!$AD$357=TYPE4)*(TYPE4&lt;&gt;"")+('Dvd Calendar'!$AD$357=SPECIAL_LBL)*(INC_SPECIALS="Y"))=0,"",'Dvd Calendar'!$AD$355)))</f>
        <v/>
      </c>
      <c r="AC43" s="161">
        <f>IF(FE43="","",IF(ISNUMBER('Dvd Calendar'!$AE$355)=FALSE,"",IF((('Dvd Calendar'!$AE$357=TYPE1)*(TYPE1&lt;&gt;"")+('Dvd Calendar'!$AE$357=TYPE2)*(TYPE2&lt;&gt;"")+('Dvd Calendar'!$AE$357=TYPE3)*(TYPE3&lt;&gt;"")+('Dvd Calendar'!$AE$357=TYPE4)*(TYPE4&lt;&gt;"")+('Dvd Calendar'!$AE$357=SPECIAL_LBL)*(INC_SPECIALS="Y"))=0,"",'Dvd Calendar'!$AE$355)))</f>
        <v/>
      </c>
      <c r="AD43" s="161">
        <f>IF(FF43="","",IF(ISNUMBER('Dvd Calendar'!$AF$355)=FALSE,"",IF((('Dvd Calendar'!$AF$357=TYPE1)*(TYPE1&lt;&gt;"")+('Dvd Calendar'!$AF$357=TYPE2)*(TYPE2&lt;&gt;"")+('Dvd Calendar'!$AF$357=TYPE3)*(TYPE3&lt;&gt;"")+('Dvd Calendar'!$AF$357=TYPE4)*(TYPE4&lt;&gt;"")+('Dvd Calendar'!$AF$357=SPECIAL_LBL)*(INC_SPECIALS="Y"))=0,"",'Dvd Calendar'!$AF$355)))</f>
        <v/>
      </c>
      <c r="AE43" s="161">
        <f>IF(FG43="","",IF(ISNUMBER('Dvd Calendar'!$AG$355)=FALSE,"",IF((('Dvd Calendar'!$AG$357=TYPE1)*(TYPE1&lt;&gt;"")+('Dvd Calendar'!$AG$357=TYPE2)*(TYPE2&lt;&gt;"")+('Dvd Calendar'!$AG$357=TYPE3)*(TYPE3&lt;&gt;"")+('Dvd Calendar'!$AG$357=TYPE4)*(TYPE4&lt;&gt;"")+('Dvd Calendar'!$AG$357=SPECIAL_LBL)*(INC_SPECIALS="Y"))=0,"",'Dvd Calendar'!$AG$355)))</f>
        <v/>
      </c>
      <c r="AF43" s="161">
        <f>IF(FH43="","",IF(ISNUMBER('Dvd Calendar'!$AH$355)=FALSE,"",IF((('Dvd Calendar'!$AH$357=TYPE1)*(TYPE1&lt;&gt;"")+('Dvd Calendar'!$AH$357=TYPE2)*(TYPE2&lt;&gt;"")+('Dvd Calendar'!$AH$357=TYPE3)*(TYPE3&lt;&gt;"")+('Dvd Calendar'!$AH$357=TYPE4)*(TYPE4&lt;&gt;"")+('Dvd Calendar'!$AH$357=SPECIAL_LBL)*(INC_SPECIALS="Y"))=0,"",'Dvd Calendar'!$AH$355)))</f>
        <v/>
      </c>
      <c r="AG43" s="161">
        <f>IF(FI43="","",IF(ISNUMBER('Dvd Calendar'!$AI$355)=FALSE,"",IF((('Dvd Calendar'!$AI$357=TYPE1)*(TYPE1&lt;&gt;"")+('Dvd Calendar'!$AI$357=TYPE2)*(TYPE2&lt;&gt;"")+('Dvd Calendar'!$AI$357=TYPE3)*(TYPE3&lt;&gt;"")+('Dvd Calendar'!$AI$357=TYPE4)*(TYPE4&lt;&gt;"")+('Dvd Calendar'!$AI$357=SPECIAL_LBL)*(INC_SPECIALS="Y"))=0,"",'Dvd Calendar'!$AI$355)))</f>
        <v/>
      </c>
      <c r="AH43" s="161">
        <f>IF(FJ43="","",IF(ISNUMBER('Dvd Calendar'!$AJ$355)=FALSE,"",IF((('Dvd Calendar'!$AJ$357=TYPE1)*(TYPE1&lt;&gt;"")+('Dvd Calendar'!$AJ$357=TYPE2)*(TYPE2&lt;&gt;"")+('Dvd Calendar'!$AJ$357=TYPE3)*(TYPE3&lt;&gt;"")+('Dvd Calendar'!$AJ$357=TYPE4)*(TYPE4&lt;&gt;"")+('Dvd Calendar'!$AJ$357=SPECIAL_LBL)*(INC_SPECIALS="Y"))=0,"",'Dvd Calendar'!$AJ$355)))</f>
        <v/>
      </c>
      <c r="AI43" s="161">
        <f>IF(FK43="","",IF(ISNUMBER('Dvd Calendar'!$AK$355)=FALSE,"",IF((('Dvd Calendar'!$AK$357=TYPE1)*(TYPE1&lt;&gt;"")+('Dvd Calendar'!$AK$357=TYPE2)*(TYPE2&lt;&gt;"")+('Dvd Calendar'!$AK$357=TYPE3)*(TYPE3&lt;&gt;"")+('Dvd Calendar'!$AK$357=TYPE4)*(TYPE4&lt;&gt;"")+('Dvd Calendar'!$AK$357=SPECIAL_LBL)*(INC_SPECIALS="Y"))=0,"",'Dvd Calendar'!$AK$355)))</f>
        <v/>
      </c>
      <c r="AJ43" s="161">
        <f>IF(FL43="","",IF(ISNUMBER('Dvd Calendar'!$AL$355)=FALSE,"",IF((('Dvd Calendar'!$AL$357=TYPE1)*(TYPE1&lt;&gt;"")+('Dvd Calendar'!$AL$357=TYPE2)*(TYPE2&lt;&gt;"")+('Dvd Calendar'!$AL$357=TYPE3)*(TYPE3&lt;&gt;"")+('Dvd Calendar'!$AL$357=TYPE4)*(TYPE4&lt;&gt;"")+('Dvd Calendar'!$AL$357=SPECIAL_LBL)*(INC_SPECIALS="Y"))=0,"",'Dvd Calendar'!$AL$355)))</f>
        <v/>
      </c>
      <c r="AK43" s="161">
        <f>IF(FM43="","",IF(ISNUMBER('Dvd Calendar'!$AM$355)=FALSE,"",IF((('Dvd Calendar'!$AM$357=TYPE1)*(TYPE1&lt;&gt;"")+('Dvd Calendar'!$AM$357=TYPE2)*(TYPE2&lt;&gt;"")+('Dvd Calendar'!$AM$357=TYPE3)*(TYPE3&lt;&gt;"")+('Dvd Calendar'!$AM$357=TYPE4)*(TYPE4&lt;&gt;"")+('Dvd Calendar'!$AM$357=SPECIAL_LBL)*(INC_SPECIALS="Y"))=0,"",'Dvd Calendar'!$AM$355)))</f>
        <v/>
      </c>
      <c r="AL43" s="161">
        <f>IF(FN43="","",IF(ISNUMBER('Dvd Calendar'!$AN$355)=FALSE,"",IF((('Dvd Calendar'!$AN$357=TYPE1)*(TYPE1&lt;&gt;"")+('Dvd Calendar'!$AN$357=TYPE2)*(TYPE2&lt;&gt;"")+('Dvd Calendar'!$AN$357=TYPE3)*(TYPE3&lt;&gt;"")+('Dvd Calendar'!$AN$357=TYPE4)*(TYPE4&lt;&gt;"")+('Dvd Calendar'!$AN$357=SPECIAL_LBL)*(INC_SPECIALS="Y"))=0,"",'Dvd Calendar'!$AN$355)))</f>
        <v/>
      </c>
      <c r="AM43" s="161">
        <f>IF(FO43="","",IF(ISNUMBER('Dvd Calendar'!$AO$355)=FALSE,"",IF((('Dvd Calendar'!$AO$357=TYPE1)*(TYPE1&lt;&gt;"")+('Dvd Calendar'!$AO$357=TYPE2)*(TYPE2&lt;&gt;"")+('Dvd Calendar'!$AO$357=TYPE3)*(TYPE3&lt;&gt;"")+('Dvd Calendar'!$AO$357=TYPE4)*(TYPE4&lt;&gt;"")+('Dvd Calendar'!$AO$357=SPECIAL_LBL)*(INC_SPECIALS="Y"))=0,"",'Dvd Calendar'!$AO$355)))</f>
        <v/>
      </c>
      <c r="AN43" s="161">
        <f>IF(FP43="","",IF(ISNUMBER('Dvd Calendar'!$AP$355)=FALSE,"",IF((('Dvd Calendar'!$AP$357=TYPE1)*(TYPE1&lt;&gt;"")+('Dvd Calendar'!$AP$357=TYPE2)*(TYPE2&lt;&gt;"")+('Dvd Calendar'!$AP$357=TYPE3)*(TYPE3&lt;&gt;"")+('Dvd Calendar'!$AP$357=TYPE4)*(TYPE4&lt;&gt;"")+('Dvd Calendar'!$AP$357=SPECIAL_LBL)*(INC_SPECIALS="Y"))=0,"",'Dvd Calendar'!$AP$355)))</f>
        <v/>
      </c>
      <c r="AO43" s="161">
        <f>IF(FQ43="","",IF(ISNUMBER('Dvd Calendar'!$AQ$355)=FALSE,"",IF((('Dvd Calendar'!$AQ$357=TYPE1)*(TYPE1&lt;&gt;"")+('Dvd Calendar'!$AQ$357=TYPE2)*(TYPE2&lt;&gt;"")+('Dvd Calendar'!$AQ$357=TYPE3)*(TYPE3&lt;&gt;"")+('Dvd Calendar'!$AQ$357=TYPE4)*(TYPE4&lt;&gt;"")+('Dvd Calendar'!$AQ$357=SPECIAL_LBL)*(INC_SPECIALS="Y"))=0,"",'Dvd Calendar'!$AQ$355)))</f>
        <v/>
      </c>
      <c r="AP43" s="161">
        <f>IF(FR43="","",IF(ISNUMBER('Dvd Calendar'!$AR$355)=FALSE,"",IF((('Dvd Calendar'!$AR$357=TYPE1)*(TYPE1&lt;&gt;"")+('Dvd Calendar'!$AR$357=TYPE2)*(TYPE2&lt;&gt;"")+('Dvd Calendar'!$AR$357=TYPE3)*(TYPE3&lt;&gt;"")+('Dvd Calendar'!$AR$357=TYPE4)*(TYPE4&lt;&gt;"")+('Dvd Calendar'!$AR$357=SPECIAL_LBL)*(INC_SPECIALS="Y"))=0,"",'Dvd Calendar'!$AR$355)))</f>
        <v/>
      </c>
      <c r="AQ43" s="161">
        <f>IF(FS43="","",IF(ISNUMBER('Dvd Calendar'!$E$360)=FALSE,"",'Dvd Calendar'!$E$360))</f>
        <v/>
      </c>
      <c r="AR43" s="161">
        <f>IF(FT43="","",IF(ISNUMBER('Dvd Calendar'!$F$360)=FALSE,"",'Dvd Calendar'!$F$360))</f>
        <v/>
      </c>
      <c r="AS43" s="161">
        <f>IF(FU43="","",IF(ISNUMBER('Dvd Calendar'!$G$360)=FALSE,"",'Dvd Calendar'!$G$360))</f>
        <v/>
      </c>
      <c r="AT43" s="161">
        <f>IF(FV43="","",IF(ISNUMBER('Dvd Calendar'!$H$360)=FALSE,"",'Dvd Calendar'!$H$360))</f>
        <v/>
      </c>
      <c r="AU43" s="161">
        <f>IF(FW43="","",IF(ISNUMBER('Dvd Calendar'!$I$360)=FALSE,"",'Dvd Calendar'!$I$360))</f>
        <v/>
      </c>
      <c r="AV43" s="161">
        <f>IF(FX43="","",IF(ISNUMBER('Dvd Calendar'!$J$360)=FALSE,"",'Dvd Calendar'!$J$360))</f>
        <v/>
      </c>
      <c r="AW43" s="161">
        <f>IF(FY43="","",IF(ISNUMBER('Dvd Calendar'!$K$360)=FALSE,"",'Dvd Calendar'!$K$360))</f>
        <v/>
      </c>
      <c r="AX43" s="161">
        <f>IF(FZ43="","",IF(ISNUMBER('Dvd Calendar'!$L$360)=FALSE,"",'Dvd Calendar'!$L$360))</f>
        <v/>
      </c>
      <c r="AY43" s="161">
        <f>IF(GA43="","",IF(ISNUMBER('Dvd Calendar'!$M$360)=FALSE,"",'Dvd Calendar'!$M$360))</f>
        <v/>
      </c>
      <c r="AZ43" s="161">
        <f>IF(GB43="","",IF(ISNUMBER('Dvd Calendar'!$N$360)=FALSE,"",'Dvd Calendar'!$N$360))</f>
        <v/>
      </c>
      <c r="BA43" s="161">
        <f>IF(GC43="","",IF(ISNUMBER('Dvd Calendar'!$O$360)=FALSE,"",'Dvd Calendar'!$O$360))</f>
        <v/>
      </c>
      <c r="BB43" s="161">
        <f>IF(GD43="","",IF(ISNUMBER('Dvd Calendar'!$P$360)=FALSE,"",'Dvd Calendar'!$P$360))</f>
        <v/>
      </c>
      <c r="BC43" s="161">
        <f>IF(GE43="","",IF(ISNUMBER('Dvd Calendar'!$Q$360)=FALSE,"",'Dvd Calendar'!$Q$360))</f>
        <v/>
      </c>
      <c r="BD43" s="161">
        <f>IF(GF43="","",IF(ISNUMBER('Dvd Calendar'!$R$360)=FALSE,"",'Dvd Calendar'!$R$360))</f>
        <v/>
      </c>
      <c r="BE43" s="161">
        <f>IF(GG43="","",IF(ISNUMBER('Dvd Calendar'!$S$360)=FALSE,"",'Dvd Calendar'!$S$360))</f>
        <v/>
      </c>
      <c r="BF43" s="161">
        <f>IF(GH43="","",IF(ISNUMBER('Dvd Calendar'!$T$360)=FALSE,"",'Dvd Calendar'!$T$360))</f>
        <v/>
      </c>
      <c r="BG43" s="161">
        <f>IF(GI43="","",IF(ISNUMBER('Dvd Calendar'!$U$360)=FALSE,"",'Dvd Calendar'!$U$360))</f>
        <v/>
      </c>
      <c r="BH43" s="161">
        <f>IF(GJ43="","",IF(ISNUMBER('Dvd Calendar'!$V$360)=FALSE,"",'Dvd Calendar'!$V$360))</f>
        <v/>
      </c>
      <c r="BI43" s="161">
        <f>IF(GK43="","",IF(ISNUMBER('Dvd Calendar'!$W$360)=FALSE,"",'Dvd Calendar'!$W$360))</f>
        <v/>
      </c>
      <c r="BJ43" s="161">
        <f>IF(GL43="","",IF(ISNUMBER('Dvd Calendar'!$X$360)=FALSE,"",'Dvd Calendar'!$X$360))</f>
        <v/>
      </c>
      <c r="BK43" s="161">
        <f>IF(GM43="","",IF(ISNUMBER('Dvd Calendar'!$Y$360)=FALSE,"",'Dvd Calendar'!$Y$360))</f>
        <v/>
      </c>
      <c r="BL43" s="161">
        <f>IF(GN43="","",IF(ISNUMBER('Dvd Calendar'!$Z$360)=FALSE,"",'Dvd Calendar'!$Z$360))</f>
        <v/>
      </c>
      <c r="BM43" s="161">
        <f>IF(GO43="","",IF(ISNUMBER('Dvd Calendar'!$AA$360)=FALSE,"",'Dvd Calendar'!$AA$360))</f>
        <v/>
      </c>
      <c r="BN43" s="161">
        <f>IF(GP43="","",IF(ISNUMBER('Dvd Calendar'!$AB$360)=FALSE,"",'Dvd Calendar'!$AB$360))</f>
        <v/>
      </c>
      <c r="BO43" s="161">
        <f>IF(GQ43="","",IF(ISNUMBER('Dvd Calendar'!$AC$360)=FALSE,"",'Dvd Calendar'!$AC$360))</f>
        <v/>
      </c>
      <c r="BQ43" s="161">
        <f>IF(C43="","",IFERROR(C43*HSI!$B$38*HSI!$G$38/HSI!$B$3,""))</f>
        <v/>
      </c>
      <c r="BR43" s="161">
        <f>IF(D43="","",IFERROR(D43*HSI!$B$38*HSI!$G$38/HSI!$B$3,""))</f>
        <v/>
      </c>
      <c r="BS43" s="161">
        <f>IF(E43="","",IFERROR(E43*HSI!$B$38*HSI!$G$38/HSI!$B$3,""))</f>
        <v/>
      </c>
      <c r="BT43" s="161">
        <f>IF(F43="","",IFERROR(F43*HSI!$B$38*HSI!$G$38/HSI!$B$3,""))</f>
        <v/>
      </c>
      <c r="BU43" s="161">
        <f>IF(G43="","",IFERROR(G43*HSI!$B$38*HSI!$G$38/HSI!$B$3,""))</f>
        <v/>
      </c>
      <c r="BV43" s="161">
        <f>IF(H43="","",IFERROR(H43*HSI!$B$38*HSI!$G$38/HSI!$B$3,""))</f>
        <v/>
      </c>
      <c r="BW43" s="161">
        <f>IF(I43="","",IFERROR(I43*HSI!$B$38*HSI!$G$38/HSI!$B$3,""))</f>
        <v/>
      </c>
      <c r="BX43" s="161">
        <f>IF(J43="","",IFERROR(J43*HSI!$B$38*HSI!$G$38/HSI!$B$3,""))</f>
        <v/>
      </c>
      <c r="BY43" s="161">
        <f>IF(K43="","",IFERROR(K43*HSI!$B$38*HSI!$G$38/HSI!$B$3,""))</f>
        <v/>
      </c>
      <c r="BZ43" s="161">
        <f>IF(L43="","",IFERROR(L43*HSI!$B$38*HSI!$G$38/HSI!$B$3,""))</f>
        <v/>
      </c>
      <c r="CA43" s="161">
        <f>IF(M43="","",IFERROR(M43*HSI!$B$38*HSI!$G$38/HSI!$B$3,""))</f>
        <v/>
      </c>
      <c r="CB43" s="161">
        <f>IF(N43="","",IFERROR(N43*HSI!$B$38*HSI!$G$38/HSI!$B$3,""))</f>
        <v/>
      </c>
      <c r="CC43" s="161">
        <f>IF(O43="","",IFERROR(O43*HSI!$B$38*HSI!$G$38/HSI!$B$3,""))</f>
        <v/>
      </c>
      <c r="CD43" s="161">
        <f>IF(P43="","",IFERROR(P43*HSI!$B$38*HSI!$G$38/HSI!$B$3,""))</f>
        <v/>
      </c>
      <c r="CE43" s="161">
        <f>IF(Q43="","",IFERROR(Q43*HSI!$B$38*HSI!$G$38/HSI!$B$3,""))</f>
        <v/>
      </c>
      <c r="CF43" s="161">
        <f>IF(R43="","",IFERROR(R43*HSI!$B$38*HSI!$G$38/HSI!$B$3,""))</f>
        <v/>
      </c>
      <c r="CG43" s="161">
        <f>IF(S43="","",IFERROR(S43*HSI!$B$38*HSI!$G$38/HSI!$B$3,""))</f>
        <v/>
      </c>
      <c r="CH43" s="161">
        <f>IF(T43="","",IFERROR(T43*HSI!$B$38*HSI!$G$38/HSI!$B$3,""))</f>
        <v/>
      </c>
      <c r="CI43" s="161">
        <f>IF(U43="","",IFERROR(U43*HSI!$B$38*HSI!$G$38/HSI!$B$3,""))</f>
        <v/>
      </c>
      <c r="CJ43" s="161">
        <f>IF(V43="","",IFERROR(V43*HSI!$B$38*HSI!$G$38/HSI!$B$3,""))</f>
        <v/>
      </c>
      <c r="CK43" s="161">
        <f>IF(W43="","",IFERROR(W43*HSI!$B$38*HSI!$G$38/HSI!$B$3,""))</f>
        <v/>
      </c>
      <c r="CL43" s="161">
        <f>IF(X43="","",IFERROR(X43*HSI!$B$38*HSI!$G$38/HSI!$B$3,""))</f>
        <v/>
      </c>
      <c r="CM43" s="161">
        <f>IF(Y43="","",IFERROR(Y43*HSI!$B$38*HSI!$G$38/HSI!$B$3,""))</f>
        <v/>
      </c>
      <c r="CN43" s="161">
        <f>IF(Z43="","",IFERROR(Z43*HSI!$B$38*HSI!$G$38/HSI!$B$3,""))</f>
        <v/>
      </c>
      <c r="CO43" s="161">
        <f>IF(AA43="","",IFERROR(AA43*HSI!$B$38*HSI!$G$38/HSI!$B$3,""))</f>
        <v/>
      </c>
      <c r="CP43" s="161">
        <f>IF(AB43="","",IFERROR(AB43*HSI!$B$38*HSI!$G$38/HSI!$B$3,""))</f>
        <v/>
      </c>
      <c r="CQ43" s="161">
        <f>IF(AC43="","",IFERROR(AC43*HSI!$B$38*HSI!$G$38/HSI!$B$3,""))</f>
        <v/>
      </c>
      <c r="CR43" s="161">
        <f>IF(AD43="","",IFERROR(AD43*HSI!$B$38*HSI!$G$38/HSI!$B$3,""))</f>
        <v/>
      </c>
      <c r="CS43" s="161">
        <f>IF(AE43="","",IFERROR(AE43*HSI!$B$38*HSI!$G$38/HSI!$B$3,""))</f>
        <v/>
      </c>
      <c r="CT43" s="161">
        <f>IF(AF43="","",IFERROR(AF43*HSI!$B$38*HSI!$G$38/HSI!$B$3,""))</f>
        <v/>
      </c>
      <c r="CU43" s="161">
        <f>IF(AG43="","",IFERROR(AG43*HSI!$B$38*HSI!$G$38/HSI!$B$3,""))</f>
        <v/>
      </c>
      <c r="CV43" s="161">
        <f>IF(AH43="","",IFERROR(AH43*HSI!$B$38*HSI!$G$38/HSI!$B$3,""))</f>
        <v/>
      </c>
      <c r="CW43" s="161">
        <f>IF(AI43="","",IFERROR(AI43*HSI!$B$38*HSI!$G$38/HSI!$B$3,""))</f>
        <v/>
      </c>
      <c r="CX43" s="161">
        <f>IF(AJ43="","",IFERROR(AJ43*HSI!$B$38*HSI!$G$38/HSI!$B$3,""))</f>
        <v/>
      </c>
      <c r="CY43" s="161">
        <f>IF(AK43="","",IFERROR(AK43*HSI!$B$38*HSI!$G$38/HSI!$B$3,""))</f>
        <v/>
      </c>
      <c r="CZ43" s="161">
        <f>IF(AL43="","",IFERROR(AL43*HSI!$B$38*HSI!$G$38/HSI!$B$3,""))</f>
        <v/>
      </c>
      <c r="DA43" s="161">
        <f>IF(AM43="","",IFERROR(AM43*HSI!$B$38*HSI!$G$38/HSI!$B$3,""))</f>
        <v/>
      </c>
      <c r="DB43" s="161">
        <f>IF(AN43="","",IFERROR(AN43*HSI!$B$38*HSI!$G$38/HSI!$B$3,""))</f>
        <v/>
      </c>
      <c r="DC43" s="161">
        <f>IF(AO43="","",IFERROR(AO43*HSI!$B$38*HSI!$G$38/HSI!$B$3,""))</f>
        <v/>
      </c>
      <c r="DD43" s="161">
        <f>IF(AP43="","",IFERROR(AP43*HSI!$B$38*HSI!$G$38/HSI!$B$3,""))</f>
        <v/>
      </c>
      <c r="DE43" s="161">
        <f>IF(AQ43="","",IFERROR(AQ43*HSI!$B$38*HSI!$G$38/HSI!$B$3,""))</f>
        <v/>
      </c>
      <c r="DF43" s="161">
        <f>IF(AR43="","",IFERROR(AR43*HSI!$B$38*HSI!$G$38/HSI!$B$3,""))</f>
        <v/>
      </c>
      <c r="DG43" s="161">
        <f>IF(AS43="","",IFERROR(AS43*HSI!$B$38*HSI!$G$38/HSI!$B$3,""))</f>
        <v/>
      </c>
      <c r="DH43" s="161">
        <f>IF(AT43="","",IFERROR(AT43*HSI!$B$38*HSI!$G$38/HSI!$B$3,""))</f>
        <v/>
      </c>
      <c r="DI43" s="161">
        <f>IF(AU43="","",IFERROR(AU43*HSI!$B$38*HSI!$G$38/HSI!$B$3,""))</f>
        <v/>
      </c>
      <c r="DJ43" s="161">
        <f>IF(AV43="","",IFERROR(AV43*HSI!$B$38*HSI!$G$38/HSI!$B$3,""))</f>
        <v/>
      </c>
      <c r="DK43" s="161">
        <f>IF(AW43="","",IFERROR(AW43*HSI!$B$38*HSI!$G$38/HSI!$B$3,""))</f>
        <v/>
      </c>
      <c r="DL43" s="161">
        <f>IF(AX43="","",IFERROR(AX43*HSI!$B$38*HSI!$G$38/HSI!$B$3,""))</f>
        <v/>
      </c>
      <c r="DM43" s="161">
        <f>IF(AY43="","",IFERROR(AY43*HSI!$B$38*HSI!$G$38/HSI!$B$3,""))</f>
        <v/>
      </c>
      <c r="DN43" s="161">
        <f>IF(AZ43="","",IFERROR(AZ43*HSI!$B$38*HSI!$G$38/HSI!$B$3,""))</f>
        <v/>
      </c>
      <c r="DO43" s="161">
        <f>IF(BA43="","",IFERROR(BA43*HSI!$B$38*HSI!$G$38/HSI!$B$3,""))</f>
        <v/>
      </c>
      <c r="DP43" s="161">
        <f>IF(BB43="","",IFERROR(BB43*HSI!$B$38*HSI!$G$38/HSI!$B$3,""))</f>
        <v/>
      </c>
      <c r="DQ43" s="161">
        <f>IF(BC43="","",IFERROR(BC43*HSI!$B$38*HSI!$G$38/HSI!$B$3,""))</f>
        <v/>
      </c>
      <c r="DR43" s="161">
        <f>IF(BD43="","",IFERROR(BD43*HSI!$B$38*HSI!$G$38/HSI!$B$3,""))</f>
        <v/>
      </c>
      <c r="DS43" s="161">
        <f>IF(BE43="","",IFERROR(BE43*HSI!$B$38*HSI!$G$38/HSI!$B$3,""))</f>
        <v/>
      </c>
      <c r="DT43" s="161">
        <f>IF(BF43="","",IFERROR(BF43*HSI!$B$38*HSI!$G$38/HSI!$B$3,""))</f>
        <v/>
      </c>
      <c r="DU43" s="161">
        <f>IF(BG43="","",IFERROR(BG43*HSI!$B$38*HSI!$G$38/HSI!$B$3,""))</f>
        <v/>
      </c>
      <c r="DV43" s="161">
        <f>IF(BH43="","",IFERROR(BH43*HSI!$B$38*HSI!$G$38/HSI!$B$3,""))</f>
        <v/>
      </c>
      <c r="DW43" s="161">
        <f>IF(BI43="","",IFERROR(BI43*HSI!$B$38*HSI!$G$38/HSI!$B$3,""))</f>
        <v/>
      </c>
      <c r="DX43" s="161">
        <f>IF(BJ43="","",IFERROR(BJ43*HSI!$B$38*HSI!$G$38/HSI!$B$3,""))</f>
        <v/>
      </c>
      <c r="DY43" s="161">
        <f>IF(BK43="","",IFERROR(BK43*HSI!$B$38*HSI!$G$38/HSI!$B$3,""))</f>
        <v/>
      </c>
      <c r="DZ43" s="161">
        <f>IF(BL43="","",IFERROR(BL43*HSI!$B$38*HSI!$G$38/HSI!$B$3,""))</f>
        <v/>
      </c>
      <c r="EA43" s="161">
        <f>IF(BM43="","",IFERROR(BM43*HSI!$B$38*HSI!$G$38/HSI!$B$3,""))</f>
        <v/>
      </c>
      <c r="EB43" s="161">
        <f>IF(BN43="","",IFERROR(BN43*HSI!$B$38*HSI!$G$38/HSI!$B$3,""))</f>
        <v/>
      </c>
      <c r="EC43" s="161">
        <f>IF(BO43="","",IFERROR(BO43*HSI!$B$38*HSI!$G$38/HSI!$B$3,""))</f>
        <v/>
      </c>
      <c r="EE43" s="121">
        <f>IF(N('Dvd Calendar'!$E$352)=0,"",IF(('Dvd Calendar'!$E$352&gt;=GRID_FROM)*('Dvd Calendar'!$E$352&lt;=GRID_TO)*((('Dvd Calendar'!$E$352&lt;=VAL_DATE)+(COUNTIF('Dvd Calendar'!$E$359:$AR$359,'Dvd Calendar'!$E$352)=0))&gt;0)=0,"",'Dvd Calendar'!$E$352*1000000000+ISNUMBER('Dvd Calendar'!$E$355)*100000000+('Dvd Calendar'!$E$357=SPECIAL_LBL)*10000000+(N('Dvd Calendar'!$E$351)&gt;0)*(N('Dvd Calendar'!$E$351)&lt;=VAL_SERIAL)*1000000+32*1000+1))</f>
        <v/>
      </c>
      <c r="EF43" s="121">
        <f>IF(N('Dvd Calendar'!$F$352)=0,"",IF(('Dvd Calendar'!$F$352&gt;=GRID_FROM)*('Dvd Calendar'!$F$352&lt;=GRID_TO)*((('Dvd Calendar'!$F$352&lt;=VAL_DATE)+(COUNTIF('Dvd Calendar'!$E$359:$AR$359,'Dvd Calendar'!$F$352)=0))&gt;0)=0,"",'Dvd Calendar'!$F$352*1000000000+ISNUMBER('Dvd Calendar'!$F$355)*100000000+('Dvd Calendar'!$F$357=SPECIAL_LBL)*10000000+(N('Dvd Calendar'!$F$351)&gt;0)*(N('Dvd Calendar'!$F$351)&lt;=VAL_SERIAL)*1000000+32*1000+2))</f>
        <v/>
      </c>
      <c r="EG43" s="121">
        <f>IF(N('Dvd Calendar'!$G$352)=0,"",IF(('Dvd Calendar'!$G$352&gt;=GRID_FROM)*('Dvd Calendar'!$G$352&lt;=GRID_TO)*((('Dvd Calendar'!$G$352&lt;=VAL_DATE)+(COUNTIF('Dvd Calendar'!$E$359:$AR$359,'Dvd Calendar'!$G$352)=0))&gt;0)=0,"",'Dvd Calendar'!$G$352*1000000000+ISNUMBER('Dvd Calendar'!$G$355)*100000000+('Dvd Calendar'!$G$357=SPECIAL_LBL)*10000000+(N('Dvd Calendar'!$G$351)&gt;0)*(N('Dvd Calendar'!$G$351)&lt;=VAL_SERIAL)*1000000+32*1000+3))</f>
        <v/>
      </c>
      <c r="EH43" s="121">
        <f>IF(N('Dvd Calendar'!$H$352)=0,"",IF(('Dvd Calendar'!$H$352&gt;=GRID_FROM)*('Dvd Calendar'!$H$352&lt;=GRID_TO)*((('Dvd Calendar'!$H$352&lt;=VAL_DATE)+(COUNTIF('Dvd Calendar'!$E$359:$AR$359,'Dvd Calendar'!$H$352)=0))&gt;0)=0,"",'Dvd Calendar'!$H$352*1000000000+ISNUMBER('Dvd Calendar'!$H$355)*100000000+('Dvd Calendar'!$H$357=SPECIAL_LBL)*10000000+(N('Dvd Calendar'!$H$351)&gt;0)*(N('Dvd Calendar'!$H$351)&lt;=VAL_SERIAL)*1000000+32*1000+4))</f>
        <v/>
      </c>
      <c r="EI43" s="121">
        <f>IF(N('Dvd Calendar'!$I$352)=0,"",IF(('Dvd Calendar'!$I$352&gt;=GRID_FROM)*('Dvd Calendar'!$I$352&lt;=GRID_TO)*((('Dvd Calendar'!$I$352&lt;=VAL_DATE)+(COUNTIF('Dvd Calendar'!$E$359:$AR$359,'Dvd Calendar'!$I$352)=0))&gt;0)=0,"",'Dvd Calendar'!$I$352*1000000000+ISNUMBER('Dvd Calendar'!$I$355)*100000000+('Dvd Calendar'!$I$357=SPECIAL_LBL)*10000000+(N('Dvd Calendar'!$I$351)&gt;0)*(N('Dvd Calendar'!$I$351)&lt;=VAL_SERIAL)*1000000+32*1000+5))</f>
        <v/>
      </c>
      <c r="EJ43" s="121">
        <f>IF(N('Dvd Calendar'!$J$352)=0,"",IF(('Dvd Calendar'!$J$352&gt;=GRID_FROM)*('Dvd Calendar'!$J$352&lt;=GRID_TO)*((('Dvd Calendar'!$J$352&lt;=VAL_DATE)+(COUNTIF('Dvd Calendar'!$E$359:$AR$359,'Dvd Calendar'!$J$352)=0))&gt;0)=0,"",'Dvd Calendar'!$J$352*1000000000+ISNUMBER('Dvd Calendar'!$J$355)*100000000+('Dvd Calendar'!$J$357=SPECIAL_LBL)*10000000+(N('Dvd Calendar'!$J$351)&gt;0)*(N('Dvd Calendar'!$J$351)&lt;=VAL_SERIAL)*1000000+32*1000+6))</f>
        <v/>
      </c>
      <c r="EK43" s="121">
        <f>IF(N('Dvd Calendar'!$K$352)=0,"",IF(('Dvd Calendar'!$K$352&gt;=GRID_FROM)*('Dvd Calendar'!$K$352&lt;=GRID_TO)*((('Dvd Calendar'!$K$352&lt;=VAL_DATE)+(COUNTIF('Dvd Calendar'!$E$359:$AR$359,'Dvd Calendar'!$K$352)=0))&gt;0)=0,"",'Dvd Calendar'!$K$352*1000000000+ISNUMBER('Dvd Calendar'!$K$355)*100000000+('Dvd Calendar'!$K$357=SPECIAL_LBL)*10000000+(N('Dvd Calendar'!$K$351)&gt;0)*(N('Dvd Calendar'!$K$351)&lt;=VAL_SERIAL)*1000000+32*1000+7))</f>
        <v/>
      </c>
      <c r="EL43" s="121">
        <f>IF(N('Dvd Calendar'!$L$352)=0,"",IF(('Dvd Calendar'!$L$352&gt;=GRID_FROM)*('Dvd Calendar'!$L$352&lt;=GRID_TO)*((('Dvd Calendar'!$L$352&lt;=VAL_DATE)+(COUNTIF('Dvd Calendar'!$E$359:$AR$359,'Dvd Calendar'!$L$352)=0))&gt;0)=0,"",'Dvd Calendar'!$L$352*1000000000+ISNUMBER('Dvd Calendar'!$L$355)*100000000+('Dvd Calendar'!$L$357=SPECIAL_LBL)*10000000+(N('Dvd Calendar'!$L$351)&gt;0)*(N('Dvd Calendar'!$L$351)&lt;=VAL_SERIAL)*1000000+32*1000+8))</f>
        <v/>
      </c>
      <c r="EM43" s="121">
        <f>IF(N('Dvd Calendar'!$M$352)=0,"",IF(('Dvd Calendar'!$M$352&gt;=GRID_FROM)*('Dvd Calendar'!$M$352&lt;=GRID_TO)*((('Dvd Calendar'!$M$352&lt;=VAL_DATE)+(COUNTIF('Dvd Calendar'!$E$359:$AR$359,'Dvd Calendar'!$M$352)=0))&gt;0)=0,"",'Dvd Calendar'!$M$352*1000000000+ISNUMBER('Dvd Calendar'!$M$355)*100000000+('Dvd Calendar'!$M$357=SPECIAL_LBL)*10000000+(N('Dvd Calendar'!$M$351)&gt;0)*(N('Dvd Calendar'!$M$351)&lt;=VAL_SERIAL)*1000000+32*1000+9))</f>
        <v/>
      </c>
      <c r="EN43" s="121">
        <f>IF(N('Dvd Calendar'!$N$352)=0,"",IF(('Dvd Calendar'!$N$352&gt;=GRID_FROM)*('Dvd Calendar'!$N$352&lt;=GRID_TO)*((('Dvd Calendar'!$N$352&lt;=VAL_DATE)+(COUNTIF('Dvd Calendar'!$E$359:$AR$359,'Dvd Calendar'!$N$352)=0))&gt;0)=0,"",'Dvd Calendar'!$N$352*1000000000+ISNUMBER('Dvd Calendar'!$N$355)*100000000+('Dvd Calendar'!$N$357=SPECIAL_LBL)*10000000+(N('Dvd Calendar'!$N$351)&gt;0)*(N('Dvd Calendar'!$N$351)&lt;=VAL_SERIAL)*1000000+32*1000+10))</f>
        <v/>
      </c>
      <c r="EO43" s="121">
        <f>IF(N('Dvd Calendar'!$O$352)=0,"",IF(('Dvd Calendar'!$O$352&gt;=GRID_FROM)*('Dvd Calendar'!$O$352&lt;=GRID_TO)*((('Dvd Calendar'!$O$352&lt;=VAL_DATE)+(COUNTIF('Dvd Calendar'!$E$359:$AR$359,'Dvd Calendar'!$O$352)=0))&gt;0)=0,"",'Dvd Calendar'!$O$352*1000000000+ISNUMBER('Dvd Calendar'!$O$355)*100000000+('Dvd Calendar'!$O$357=SPECIAL_LBL)*10000000+(N('Dvd Calendar'!$O$351)&gt;0)*(N('Dvd Calendar'!$O$351)&lt;=VAL_SERIAL)*1000000+32*1000+11))</f>
        <v/>
      </c>
      <c r="EP43" s="121">
        <f>IF(N('Dvd Calendar'!$P$352)=0,"",IF(('Dvd Calendar'!$P$352&gt;=GRID_FROM)*('Dvd Calendar'!$P$352&lt;=GRID_TO)*((('Dvd Calendar'!$P$352&lt;=VAL_DATE)+(COUNTIF('Dvd Calendar'!$E$359:$AR$359,'Dvd Calendar'!$P$352)=0))&gt;0)=0,"",'Dvd Calendar'!$P$352*1000000000+ISNUMBER('Dvd Calendar'!$P$355)*100000000+('Dvd Calendar'!$P$357=SPECIAL_LBL)*10000000+(N('Dvd Calendar'!$P$351)&gt;0)*(N('Dvd Calendar'!$P$351)&lt;=VAL_SERIAL)*1000000+32*1000+12))</f>
        <v/>
      </c>
      <c r="EQ43" s="121">
        <f>IF(N('Dvd Calendar'!$Q$352)=0,"",IF(('Dvd Calendar'!$Q$352&gt;=GRID_FROM)*('Dvd Calendar'!$Q$352&lt;=GRID_TO)*((('Dvd Calendar'!$Q$352&lt;=VAL_DATE)+(COUNTIF('Dvd Calendar'!$E$359:$AR$359,'Dvd Calendar'!$Q$352)=0))&gt;0)=0,"",'Dvd Calendar'!$Q$352*1000000000+ISNUMBER('Dvd Calendar'!$Q$355)*100000000+('Dvd Calendar'!$Q$357=SPECIAL_LBL)*10000000+(N('Dvd Calendar'!$Q$351)&gt;0)*(N('Dvd Calendar'!$Q$351)&lt;=VAL_SERIAL)*1000000+32*1000+13))</f>
        <v/>
      </c>
      <c r="ER43" s="121">
        <f>IF(N('Dvd Calendar'!$R$352)=0,"",IF(('Dvd Calendar'!$R$352&gt;=GRID_FROM)*('Dvd Calendar'!$R$352&lt;=GRID_TO)*((('Dvd Calendar'!$R$352&lt;=VAL_DATE)+(COUNTIF('Dvd Calendar'!$E$359:$AR$359,'Dvd Calendar'!$R$352)=0))&gt;0)=0,"",'Dvd Calendar'!$R$352*1000000000+ISNUMBER('Dvd Calendar'!$R$355)*100000000+('Dvd Calendar'!$R$357=SPECIAL_LBL)*10000000+(N('Dvd Calendar'!$R$351)&gt;0)*(N('Dvd Calendar'!$R$351)&lt;=VAL_SERIAL)*1000000+32*1000+14))</f>
        <v/>
      </c>
      <c r="ES43" s="121">
        <f>IF(N('Dvd Calendar'!$S$352)=0,"",IF(('Dvd Calendar'!$S$352&gt;=GRID_FROM)*('Dvd Calendar'!$S$352&lt;=GRID_TO)*((('Dvd Calendar'!$S$352&lt;=VAL_DATE)+(COUNTIF('Dvd Calendar'!$E$359:$AR$359,'Dvd Calendar'!$S$352)=0))&gt;0)=0,"",'Dvd Calendar'!$S$352*1000000000+ISNUMBER('Dvd Calendar'!$S$355)*100000000+('Dvd Calendar'!$S$357=SPECIAL_LBL)*10000000+(N('Dvd Calendar'!$S$351)&gt;0)*(N('Dvd Calendar'!$S$351)&lt;=VAL_SERIAL)*1000000+32*1000+15))</f>
        <v/>
      </c>
      <c r="ET43" s="121">
        <f>IF(N('Dvd Calendar'!$T$352)=0,"",IF(('Dvd Calendar'!$T$352&gt;=GRID_FROM)*('Dvd Calendar'!$T$352&lt;=GRID_TO)*((('Dvd Calendar'!$T$352&lt;=VAL_DATE)+(COUNTIF('Dvd Calendar'!$E$359:$AR$359,'Dvd Calendar'!$T$352)=0))&gt;0)=0,"",'Dvd Calendar'!$T$352*1000000000+ISNUMBER('Dvd Calendar'!$T$355)*100000000+('Dvd Calendar'!$T$357=SPECIAL_LBL)*10000000+(N('Dvd Calendar'!$T$351)&gt;0)*(N('Dvd Calendar'!$T$351)&lt;=VAL_SERIAL)*1000000+32*1000+16))</f>
        <v/>
      </c>
      <c r="EU43" s="121">
        <f>IF(N('Dvd Calendar'!$U$352)=0,"",IF(('Dvd Calendar'!$U$352&gt;=GRID_FROM)*('Dvd Calendar'!$U$352&lt;=GRID_TO)*((('Dvd Calendar'!$U$352&lt;=VAL_DATE)+(COUNTIF('Dvd Calendar'!$E$359:$AR$359,'Dvd Calendar'!$U$352)=0))&gt;0)=0,"",'Dvd Calendar'!$U$352*1000000000+ISNUMBER('Dvd Calendar'!$U$355)*100000000+('Dvd Calendar'!$U$357=SPECIAL_LBL)*10000000+(N('Dvd Calendar'!$U$351)&gt;0)*(N('Dvd Calendar'!$U$351)&lt;=VAL_SERIAL)*1000000+32*1000+17))</f>
        <v/>
      </c>
      <c r="EV43" s="121">
        <f>IF(N('Dvd Calendar'!$V$352)=0,"",IF(('Dvd Calendar'!$V$352&gt;=GRID_FROM)*('Dvd Calendar'!$V$352&lt;=GRID_TO)*((('Dvd Calendar'!$V$352&lt;=VAL_DATE)+(COUNTIF('Dvd Calendar'!$E$359:$AR$359,'Dvd Calendar'!$V$352)=0))&gt;0)=0,"",'Dvd Calendar'!$V$352*1000000000+ISNUMBER('Dvd Calendar'!$V$355)*100000000+('Dvd Calendar'!$V$357=SPECIAL_LBL)*10000000+(N('Dvd Calendar'!$V$351)&gt;0)*(N('Dvd Calendar'!$V$351)&lt;=VAL_SERIAL)*1000000+32*1000+18))</f>
        <v/>
      </c>
      <c r="EW43" s="121">
        <f>IF(N('Dvd Calendar'!$W$352)=0,"",IF(('Dvd Calendar'!$W$352&gt;=GRID_FROM)*('Dvd Calendar'!$W$352&lt;=GRID_TO)*((('Dvd Calendar'!$W$352&lt;=VAL_DATE)+(COUNTIF('Dvd Calendar'!$E$359:$AR$359,'Dvd Calendar'!$W$352)=0))&gt;0)=0,"",'Dvd Calendar'!$W$352*1000000000+ISNUMBER('Dvd Calendar'!$W$355)*100000000+('Dvd Calendar'!$W$357=SPECIAL_LBL)*10000000+(N('Dvd Calendar'!$W$351)&gt;0)*(N('Dvd Calendar'!$W$351)&lt;=VAL_SERIAL)*1000000+32*1000+19))</f>
        <v/>
      </c>
      <c r="EX43" s="121">
        <f>IF(N('Dvd Calendar'!$X$352)=0,"",IF(('Dvd Calendar'!$X$352&gt;=GRID_FROM)*('Dvd Calendar'!$X$352&lt;=GRID_TO)*((('Dvd Calendar'!$X$352&lt;=VAL_DATE)+(COUNTIF('Dvd Calendar'!$E$359:$AR$359,'Dvd Calendar'!$X$352)=0))&gt;0)=0,"",'Dvd Calendar'!$X$352*1000000000+ISNUMBER('Dvd Calendar'!$X$355)*100000000+('Dvd Calendar'!$X$357=SPECIAL_LBL)*10000000+(N('Dvd Calendar'!$X$351)&gt;0)*(N('Dvd Calendar'!$X$351)&lt;=VAL_SERIAL)*1000000+32*1000+20))</f>
        <v/>
      </c>
      <c r="EY43" s="121">
        <f>IF(N('Dvd Calendar'!$Y$352)=0,"",IF(('Dvd Calendar'!$Y$352&gt;=GRID_FROM)*('Dvd Calendar'!$Y$352&lt;=GRID_TO)*((('Dvd Calendar'!$Y$352&lt;=VAL_DATE)+(COUNTIF('Dvd Calendar'!$E$359:$AR$359,'Dvd Calendar'!$Y$352)=0))&gt;0)=0,"",'Dvd Calendar'!$Y$352*1000000000+ISNUMBER('Dvd Calendar'!$Y$355)*100000000+('Dvd Calendar'!$Y$357=SPECIAL_LBL)*10000000+(N('Dvd Calendar'!$Y$351)&gt;0)*(N('Dvd Calendar'!$Y$351)&lt;=VAL_SERIAL)*1000000+32*1000+21))</f>
        <v/>
      </c>
      <c r="EZ43" s="121">
        <f>IF(N('Dvd Calendar'!$Z$352)=0,"",IF(('Dvd Calendar'!$Z$352&gt;=GRID_FROM)*('Dvd Calendar'!$Z$352&lt;=GRID_TO)*((('Dvd Calendar'!$Z$352&lt;=VAL_DATE)+(COUNTIF('Dvd Calendar'!$E$359:$AR$359,'Dvd Calendar'!$Z$352)=0))&gt;0)=0,"",'Dvd Calendar'!$Z$352*1000000000+ISNUMBER('Dvd Calendar'!$Z$355)*100000000+('Dvd Calendar'!$Z$357=SPECIAL_LBL)*10000000+(N('Dvd Calendar'!$Z$351)&gt;0)*(N('Dvd Calendar'!$Z$351)&lt;=VAL_SERIAL)*1000000+32*1000+22))</f>
        <v/>
      </c>
      <c r="FA43" s="121">
        <f>IF(N('Dvd Calendar'!$AA$352)=0,"",IF(('Dvd Calendar'!$AA$352&gt;=GRID_FROM)*('Dvd Calendar'!$AA$352&lt;=GRID_TO)*((('Dvd Calendar'!$AA$352&lt;=VAL_DATE)+(COUNTIF('Dvd Calendar'!$E$359:$AR$359,'Dvd Calendar'!$AA$352)=0))&gt;0)=0,"",'Dvd Calendar'!$AA$352*1000000000+ISNUMBER('Dvd Calendar'!$AA$355)*100000000+('Dvd Calendar'!$AA$357=SPECIAL_LBL)*10000000+(N('Dvd Calendar'!$AA$351)&gt;0)*(N('Dvd Calendar'!$AA$351)&lt;=VAL_SERIAL)*1000000+32*1000+23))</f>
        <v/>
      </c>
      <c r="FB43" s="121">
        <f>IF(N('Dvd Calendar'!$AB$352)=0,"",IF(('Dvd Calendar'!$AB$352&gt;=GRID_FROM)*('Dvd Calendar'!$AB$352&lt;=GRID_TO)*((('Dvd Calendar'!$AB$352&lt;=VAL_DATE)+(COUNTIF('Dvd Calendar'!$E$359:$AR$359,'Dvd Calendar'!$AB$352)=0))&gt;0)=0,"",'Dvd Calendar'!$AB$352*1000000000+ISNUMBER('Dvd Calendar'!$AB$355)*100000000+('Dvd Calendar'!$AB$357=SPECIAL_LBL)*10000000+(N('Dvd Calendar'!$AB$351)&gt;0)*(N('Dvd Calendar'!$AB$351)&lt;=VAL_SERIAL)*1000000+32*1000+24))</f>
        <v/>
      </c>
      <c r="FC43" s="121">
        <f>IF(N('Dvd Calendar'!$AC$352)=0,"",IF(('Dvd Calendar'!$AC$352&gt;=GRID_FROM)*('Dvd Calendar'!$AC$352&lt;=GRID_TO)*((('Dvd Calendar'!$AC$352&lt;=VAL_DATE)+(COUNTIF('Dvd Calendar'!$E$359:$AR$359,'Dvd Calendar'!$AC$352)=0))&gt;0)=0,"",'Dvd Calendar'!$AC$352*1000000000+ISNUMBER('Dvd Calendar'!$AC$355)*100000000+('Dvd Calendar'!$AC$357=SPECIAL_LBL)*10000000+(N('Dvd Calendar'!$AC$351)&gt;0)*(N('Dvd Calendar'!$AC$351)&lt;=VAL_SERIAL)*1000000+32*1000+25))</f>
        <v/>
      </c>
      <c r="FD43" s="121">
        <f>IF(N('Dvd Calendar'!$AD$352)=0,"",IF(('Dvd Calendar'!$AD$352&gt;=GRID_FROM)*('Dvd Calendar'!$AD$352&lt;=GRID_TO)*((('Dvd Calendar'!$AD$352&lt;=VAL_DATE)+(COUNTIF('Dvd Calendar'!$E$359:$AR$359,'Dvd Calendar'!$AD$352)=0))&gt;0)=0,"",'Dvd Calendar'!$AD$352*1000000000+ISNUMBER('Dvd Calendar'!$AD$355)*100000000+('Dvd Calendar'!$AD$357=SPECIAL_LBL)*10000000+(N('Dvd Calendar'!$AD$351)&gt;0)*(N('Dvd Calendar'!$AD$351)&lt;=VAL_SERIAL)*1000000+32*1000+26))</f>
        <v/>
      </c>
      <c r="FE43" s="121">
        <f>IF(N('Dvd Calendar'!$AE$352)=0,"",IF(('Dvd Calendar'!$AE$352&gt;=GRID_FROM)*('Dvd Calendar'!$AE$352&lt;=GRID_TO)*((('Dvd Calendar'!$AE$352&lt;=VAL_DATE)+(COUNTIF('Dvd Calendar'!$E$359:$AR$359,'Dvd Calendar'!$AE$352)=0))&gt;0)=0,"",'Dvd Calendar'!$AE$352*1000000000+ISNUMBER('Dvd Calendar'!$AE$355)*100000000+('Dvd Calendar'!$AE$357=SPECIAL_LBL)*10000000+(N('Dvd Calendar'!$AE$351)&gt;0)*(N('Dvd Calendar'!$AE$351)&lt;=VAL_SERIAL)*1000000+32*1000+27))</f>
        <v/>
      </c>
      <c r="FF43" s="121">
        <f>IF(N('Dvd Calendar'!$AF$352)=0,"",IF(('Dvd Calendar'!$AF$352&gt;=GRID_FROM)*('Dvd Calendar'!$AF$352&lt;=GRID_TO)*((('Dvd Calendar'!$AF$352&lt;=VAL_DATE)+(COUNTIF('Dvd Calendar'!$E$359:$AR$359,'Dvd Calendar'!$AF$352)=0))&gt;0)=0,"",'Dvd Calendar'!$AF$352*1000000000+ISNUMBER('Dvd Calendar'!$AF$355)*100000000+('Dvd Calendar'!$AF$357=SPECIAL_LBL)*10000000+(N('Dvd Calendar'!$AF$351)&gt;0)*(N('Dvd Calendar'!$AF$351)&lt;=VAL_SERIAL)*1000000+32*1000+28))</f>
        <v/>
      </c>
      <c r="FG43" s="121">
        <f>IF(N('Dvd Calendar'!$AG$352)=0,"",IF(('Dvd Calendar'!$AG$352&gt;=GRID_FROM)*('Dvd Calendar'!$AG$352&lt;=GRID_TO)*((('Dvd Calendar'!$AG$352&lt;=VAL_DATE)+(COUNTIF('Dvd Calendar'!$E$359:$AR$359,'Dvd Calendar'!$AG$352)=0))&gt;0)=0,"",'Dvd Calendar'!$AG$352*1000000000+ISNUMBER('Dvd Calendar'!$AG$355)*100000000+('Dvd Calendar'!$AG$357=SPECIAL_LBL)*10000000+(N('Dvd Calendar'!$AG$351)&gt;0)*(N('Dvd Calendar'!$AG$351)&lt;=VAL_SERIAL)*1000000+32*1000+29))</f>
        <v/>
      </c>
      <c r="FH43" s="121">
        <f>IF(N('Dvd Calendar'!$AH$352)=0,"",IF(('Dvd Calendar'!$AH$352&gt;=GRID_FROM)*('Dvd Calendar'!$AH$352&lt;=GRID_TO)*((('Dvd Calendar'!$AH$352&lt;=VAL_DATE)+(COUNTIF('Dvd Calendar'!$E$359:$AR$359,'Dvd Calendar'!$AH$352)=0))&gt;0)=0,"",'Dvd Calendar'!$AH$352*1000000000+ISNUMBER('Dvd Calendar'!$AH$355)*100000000+('Dvd Calendar'!$AH$357=SPECIAL_LBL)*10000000+(N('Dvd Calendar'!$AH$351)&gt;0)*(N('Dvd Calendar'!$AH$351)&lt;=VAL_SERIAL)*1000000+32*1000+30))</f>
        <v/>
      </c>
      <c r="FI43" s="121">
        <f>IF(N('Dvd Calendar'!$AI$352)=0,"",IF(('Dvd Calendar'!$AI$352&gt;=GRID_FROM)*('Dvd Calendar'!$AI$352&lt;=GRID_TO)*((('Dvd Calendar'!$AI$352&lt;=VAL_DATE)+(COUNTIF('Dvd Calendar'!$E$359:$AR$359,'Dvd Calendar'!$AI$352)=0))&gt;0)=0,"",'Dvd Calendar'!$AI$352*1000000000+ISNUMBER('Dvd Calendar'!$AI$355)*100000000+('Dvd Calendar'!$AI$357=SPECIAL_LBL)*10000000+(N('Dvd Calendar'!$AI$351)&gt;0)*(N('Dvd Calendar'!$AI$351)&lt;=VAL_SERIAL)*1000000+32*1000+31))</f>
        <v/>
      </c>
      <c r="FJ43" s="121">
        <f>IF(N('Dvd Calendar'!$AJ$352)=0,"",IF(('Dvd Calendar'!$AJ$352&gt;=GRID_FROM)*('Dvd Calendar'!$AJ$352&lt;=GRID_TO)*((('Dvd Calendar'!$AJ$352&lt;=VAL_DATE)+(COUNTIF('Dvd Calendar'!$E$359:$AR$359,'Dvd Calendar'!$AJ$352)=0))&gt;0)=0,"",'Dvd Calendar'!$AJ$352*1000000000+ISNUMBER('Dvd Calendar'!$AJ$355)*100000000+('Dvd Calendar'!$AJ$357=SPECIAL_LBL)*10000000+(N('Dvd Calendar'!$AJ$351)&gt;0)*(N('Dvd Calendar'!$AJ$351)&lt;=VAL_SERIAL)*1000000+32*1000+32))</f>
        <v/>
      </c>
      <c r="FK43" s="121">
        <f>IF(N('Dvd Calendar'!$AK$352)=0,"",IF(('Dvd Calendar'!$AK$352&gt;=GRID_FROM)*('Dvd Calendar'!$AK$352&lt;=GRID_TO)*((('Dvd Calendar'!$AK$352&lt;=VAL_DATE)+(COUNTIF('Dvd Calendar'!$E$359:$AR$359,'Dvd Calendar'!$AK$352)=0))&gt;0)=0,"",'Dvd Calendar'!$AK$352*1000000000+ISNUMBER('Dvd Calendar'!$AK$355)*100000000+('Dvd Calendar'!$AK$357=SPECIAL_LBL)*10000000+(N('Dvd Calendar'!$AK$351)&gt;0)*(N('Dvd Calendar'!$AK$351)&lt;=VAL_SERIAL)*1000000+32*1000+33))</f>
        <v/>
      </c>
      <c r="FL43" s="121">
        <f>IF(N('Dvd Calendar'!$AL$352)=0,"",IF(('Dvd Calendar'!$AL$352&gt;=GRID_FROM)*('Dvd Calendar'!$AL$352&lt;=GRID_TO)*((('Dvd Calendar'!$AL$352&lt;=VAL_DATE)+(COUNTIF('Dvd Calendar'!$E$359:$AR$359,'Dvd Calendar'!$AL$352)=0))&gt;0)=0,"",'Dvd Calendar'!$AL$352*1000000000+ISNUMBER('Dvd Calendar'!$AL$355)*100000000+('Dvd Calendar'!$AL$357=SPECIAL_LBL)*10000000+(N('Dvd Calendar'!$AL$351)&gt;0)*(N('Dvd Calendar'!$AL$351)&lt;=VAL_SERIAL)*1000000+32*1000+34))</f>
        <v/>
      </c>
      <c r="FM43" s="121">
        <f>IF(N('Dvd Calendar'!$AM$352)=0,"",IF(('Dvd Calendar'!$AM$352&gt;=GRID_FROM)*('Dvd Calendar'!$AM$352&lt;=GRID_TO)*((('Dvd Calendar'!$AM$352&lt;=VAL_DATE)+(COUNTIF('Dvd Calendar'!$E$359:$AR$359,'Dvd Calendar'!$AM$352)=0))&gt;0)=0,"",'Dvd Calendar'!$AM$352*1000000000+ISNUMBER('Dvd Calendar'!$AM$355)*100000000+('Dvd Calendar'!$AM$357=SPECIAL_LBL)*10000000+(N('Dvd Calendar'!$AM$351)&gt;0)*(N('Dvd Calendar'!$AM$351)&lt;=VAL_SERIAL)*1000000+32*1000+35))</f>
        <v/>
      </c>
      <c r="FN43" s="121">
        <f>IF(N('Dvd Calendar'!$AN$352)=0,"",IF(('Dvd Calendar'!$AN$352&gt;=GRID_FROM)*('Dvd Calendar'!$AN$352&lt;=GRID_TO)*((('Dvd Calendar'!$AN$352&lt;=VAL_DATE)+(COUNTIF('Dvd Calendar'!$E$359:$AR$359,'Dvd Calendar'!$AN$352)=0))&gt;0)=0,"",'Dvd Calendar'!$AN$352*1000000000+ISNUMBER('Dvd Calendar'!$AN$355)*100000000+('Dvd Calendar'!$AN$357=SPECIAL_LBL)*10000000+(N('Dvd Calendar'!$AN$351)&gt;0)*(N('Dvd Calendar'!$AN$351)&lt;=VAL_SERIAL)*1000000+32*1000+36))</f>
        <v/>
      </c>
      <c r="FO43" s="121">
        <f>IF(N('Dvd Calendar'!$AO$352)=0,"",IF(('Dvd Calendar'!$AO$352&gt;=GRID_FROM)*('Dvd Calendar'!$AO$352&lt;=GRID_TO)*((('Dvd Calendar'!$AO$352&lt;=VAL_DATE)+(COUNTIF('Dvd Calendar'!$E$359:$AR$359,'Dvd Calendar'!$AO$352)=0))&gt;0)=0,"",'Dvd Calendar'!$AO$352*1000000000+ISNUMBER('Dvd Calendar'!$AO$355)*100000000+('Dvd Calendar'!$AO$357=SPECIAL_LBL)*10000000+(N('Dvd Calendar'!$AO$351)&gt;0)*(N('Dvd Calendar'!$AO$351)&lt;=VAL_SERIAL)*1000000+32*1000+37))</f>
        <v/>
      </c>
      <c r="FP43" s="121">
        <f>IF(N('Dvd Calendar'!$AP$352)=0,"",IF(('Dvd Calendar'!$AP$352&gt;=GRID_FROM)*('Dvd Calendar'!$AP$352&lt;=GRID_TO)*((('Dvd Calendar'!$AP$352&lt;=VAL_DATE)+(COUNTIF('Dvd Calendar'!$E$359:$AR$359,'Dvd Calendar'!$AP$352)=0))&gt;0)=0,"",'Dvd Calendar'!$AP$352*1000000000+ISNUMBER('Dvd Calendar'!$AP$355)*100000000+('Dvd Calendar'!$AP$357=SPECIAL_LBL)*10000000+(N('Dvd Calendar'!$AP$351)&gt;0)*(N('Dvd Calendar'!$AP$351)&lt;=VAL_SERIAL)*1000000+32*1000+38))</f>
        <v/>
      </c>
      <c r="FQ43" s="121">
        <f>IF(N('Dvd Calendar'!$AQ$352)=0,"",IF(('Dvd Calendar'!$AQ$352&gt;=GRID_FROM)*('Dvd Calendar'!$AQ$352&lt;=GRID_TO)*((('Dvd Calendar'!$AQ$352&lt;=VAL_DATE)+(COUNTIF('Dvd Calendar'!$E$359:$AR$359,'Dvd Calendar'!$AQ$352)=0))&gt;0)=0,"",'Dvd Calendar'!$AQ$352*1000000000+ISNUMBER('Dvd Calendar'!$AQ$355)*100000000+('Dvd Calendar'!$AQ$357=SPECIAL_LBL)*10000000+(N('Dvd Calendar'!$AQ$351)&gt;0)*(N('Dvd Calendar'!$AQ$351)&lt;=VAL_SERIAL)*1000000+32*1000+39))</f>
        <v/>
      </c>
      <c r="FR43" s="121">
        <f>IF(N('Dvd Calendar'!$AR$352)=0,"",IF(('Dvd Calendar'!$AR$352&gt;=GRID_FROM)*('Dvd Calendar'!$AR$352&lt;=GRID_TO)*((('Dvd Calendar'!$AR$352&lt;=VAL_DATE)+(COUNTIF('Dvd Calendar'!$E$359:$AR$359,'Dvd Calendar'!$AR$352)=0))&gt;0)=0,"",'Dvd Calendar'!$AR$352*1000000000+ISNUMBER('Dvd Calendar'!$AR$355)*100000000+('Dvd Calendar'!$AR$357=SPECIAL_LBL)*10000000+(N('Dvd Calendar'!$AR$351)&gt;0)*(N('Dvd Calendar'!$AR$351)&lt;=VAL_SERIAL)*1000000+32*1000+40))</f>
        <v/>
      </c>
      <c r="FS43" s="121">
        <f>IF(N('Dvd Calendar'!$E$359)=0,"",IF(('Dvd Calendar'!$E$359&gt;=GRID_FROM)*('Dvd Calendar'!$E$359&lt;=GRID_TO)*('Dvd Calendar'!$E$359&gt;VAL_DATE)=0,"",'Dvd Calendar'!$E$359*1000000000+ISNUMBER('Dvd Calendar'!$E$360)*100000000+0*10000000+(N('Dvd Calendar'!$E$358)&gt;0)*(N('Dvd Calendar'!$E$358)&lt;=VAL_SERIAL)*1000000+32*1000+41))</f>
        <v/>
      </c>
      <c r="FT43" s="121">
        <f>IF(N('Dvd Calendar'!$F$359)=0,"",IF(('Dvd Calendar'!$F$359&gt;=GRID_FROM)*('Dvd Calendar'!$F$359&lt;=GRID_TO)*('Dvd Calendar'!$F$359&gt;VAL_DATE)=0,"",'Dvd Calendar'!$F$359*1000000000+ISNUMBER('Dvd Calendar'!$F$360)*100000000+0*10000000+(N('Dvd Calendar'!$F$358)&gt;0)*(N('Dvd Calendar'!$F$358)&lt;=VAL_SERIAL)*1000000+32*1000+42))</f>
        <v/>
      </c>
      <c r="FU43" s="121">
        <f>IF(N('Dvd Calendar'!$G$359)=0,"",IF(('Dvd Calendar'!$G$359&gt;=GRID_FROM)*('Dvd Calendar'!$G$359&lt;=GRID_TO)*('Dvd Calendar'!$G$359&gt;VAL_DATE)=0,"",'Dvd Calendar'!$G$359*1000000000+ISNUMBER('Dvd Calendar'!$G$360)*100000000+0*10000000+(N('Dvd Calendar'!$G$358)&gt;0)*(N('Dvd Calendar'!$G$358)&lt;=VAL_SERIAL)*1000000+32*1000+43))</f>
        <v/>
      </c>
      <c r="FV43" s="121">
        <f>IF(N('Dvd Calendar'!$H$359)=0,"",IF(('Dvd Calendar'!$H$359&gt;=GRID_FROM)*('Dvd Calendar'!$H$359&lt;=GRID_TO)*('Dvd Calendar'!$H$359&gt;VAL_DATE)=0,"",'Dvd Calendar'!$H$359*1000000000+ISNUMBER('Dvd Calendar'!$H$360)*100000000+0*10000000+(N('Dvd Calendar'!$H$358)&gt;0)*(N('Dvd Calendar'!$H$358)&lt;=VAL_SERIAL)*1000000+32*1000+44))</f>
        <v/>
      </c>
      <c r="FW43" s="121">
        <f>IF(N('Dvd Calendar'!$I$359)=0,"",IF(('Dvd Calendar'!$I$359&gt;=GRID_FROM)*('Dvd Calendar'!$I$359&lt;=GRID_TO)*('Dvd Calendar'!$I$359&gt;VAL_DATE)=0,"",'Dvd Calendar'!$I$359*1000000000+ISNUMBER('Dvd Calendar'!$I$360)*100000000+0*10000000+(N('Dvd Calendar'!$I$358)&gt;0)*(N('Dvd Calendar'!$I$358)&lt;=VAL_SERIAL)*1000000+32*1000+45))</f>
        <v/>
      </c>
      <c r="FX43" s="121">
        <f>IF(N('Dvd Calendar'!$J$359)=0,"",IF(('Dvd Calendar'!$J$359&gt;=GRID_FROM)*('Dvd Calendar'!$J$359&lt;=GRID_TO)*('Dvd Calendar'!$J$359&gt;VAL_DATE)=0,"",'Dvd Calendar'!$J$359*1000000000+ISNUMBER('Dvd Calendar'!$J$360)*100000000+0*10000000+(N('Dvd Calendar'!$J$358)&gt;0)*(N('Dvd Calendar'!$J$358)&lt;=VAL_SERIAL)*1000000+32*1000+46))</f>
        <v/>
      </c>
      <c r="FY43" s="121">
        <f>IF(N('Dvd Calendar'!$K$359)=0,"",IF(('Dvd Calendar'!$K$359&gt;=GRID_FROM)*('Dvd Calendar'!$K$359&lt;=GRID_TO)*('Dvd Calendar'!$K$359&gt;VAL_DATE)=0,"",'Dvd Calendar'!$K$359*1000000000+ISNUMBER('Dvd Calendar'!$K$360)*100000000+0*10000000+(N('Dvd Calendar'!$K$358)&gt;0)*(N('Dvd Calendar'!$K$358)&lt;=VAL_SERIAL)*1000000+32*1000+47))</f>
        <v/>
      </c>
      <c r="FZ43" s="121">
        <f>IF(N('Dvd Calendar'!$L$359)=0,"",IF(('Dvd Calendar'!$L$359&gt;=GRID_FROM)*('Dvd Calendar'!$L$359&lt;=GRID_TO)*('Dvd Calendar'!$L$359&gt;VAL_DATE)=0,"",'Dvd Calendar'!$L$359*1000000000+ISNUMBER('Dvd Calendar'!$L$360)*100000000+0*10000000+(N('Dvd Calendar'!$L$358)&gt;0)*(N('Dvd Calendar'!$L$358)&lt;=VAL_SERIAL)*1000000+32*1000+48))</f>
        <v/>
      </c>
      <c r="GA43" s="121">
        <f>IF(N('Dvd Calendar'!$M$359)=0,"",IF(('Dvd Calendar'!$M$359&gt;=GRID_FROM)*('Dvd Calendar'!$M$359&lt;=GRID_TO)*('Dvd Calendar'!$M$359&gt;VAL_DATE)=0,"",'Dvd Calendar'!$M$359*1000000000+ISNUMBER('Dvd Calendar'!$M$360)*100000000+0*10000000+(N('Dvd Calendar'!$M$358)&gt;0)*(N('Dvd Calendar'!$M$358)&lt;=VAL_SERIAL)*1000000+32*1000+49))</f>
        <v/>
      </c>
      <c r="GB43" s="121">
        <f>IF(N('Dvd Calendar'!$N$359)=0,"",IF(('Dvd Calendar'!$N$359&gt;=GRID_FROM)*('Dvd Calendar'!$N$359&lt;=GRID_TO)*('Dvd Calendar'!$N$359&gt;VAL_DATE)=0,"",'Dvd Calendar'!$N$359*1000000000+ISNUMBER('Dvd Calendar'!$N$360)*100000000+0*10000000+(N('Dvd Calendar'!$N$358)&gt;0)*(N('Dvd Calendar'!$N$358)&lt;=VAL_SERIAL)*1000000+32*1000+50))</f>
        <v/>
      </c>
      <c r="GC43" s="121">
        <f>IF(N('Dvd Calendar'!$O$359)=0,"",IF(('Dvd Calendar'!$O$359&gt;=GRID_FROM)*('Dvd Calendar'!$O$359&lt;=GRID_TO)*('Dvd Calendar'!$O$359&gt;VAL_DATE)=0,"",'Dvd Calendar'!$O$359*1000000000+ISNUMBER('Dvd Calendar'!$O$360)*100000000+0*10000000+(N('Dvd Calendar'!$O$358)&gt;0)*(N('Dvd Calendar'!$O$358)&lt;=VAL_SERIAL)*1000000+32*1000+51))</f>
        <v/>
      </c>
      <c r="GD43" s="121">
        <f>IF(N('Dvd Calendar'!$P$359)=0,"",IF(('Dvd Calendar'!$P$359&gt;=GRID_FROM)*('Dvd Calendar'!$P$359&lt;=GRID_TO)*('Dvd Calendar'!$P$359&gt;VAL_DATE)=0,"",'Dvd Calendar'!$P$359*1000000000+ISNUMBER('Dvd Calendar'!$P$360)*100000000+0*10000000+(N('Dvd Calendar'!$P$358)&gt;0)*(N('Dvd Calendar'!$P$358)&lt;=VAL_SERIAL)*1000000+32*1000+52))</f>
        <v/>
      </c>
      <c r="GE43" s="121">
        <f>IF(N('Dvd Calendar'!$Q$359)=0,"",IF(('Dvd Calendar'!$Q$359&gt;=GRID_FROM)*('Dvd Calendar'!$Q$359&lt;=GRID_TO)*('Dvd Calendar'!$Q$359&gt;VAL_DATE)=0,"",'Dvd Calendar'!$Q$359*1000000000+ISNUMBER('Dvd Calendar'!$Q$360)*100000000+0*10000000+(N('Dvd Calendar'!$Q$358)&gt;0)*(N('Dvd Calendar'!$Q$358)&lt;=VAL_SERIAL)*1000000+32*1000+53))</f>
        <v/>
      </c>
      <c r="GF43" s="121">
        <f>IF(N('Dvd Calendar'!$R$359)=0,"",IF(('Dvd Calendar'!$R$359&gt;=GRID_FROM)*('Dvd Calendar'!$R$359&lt;=GRID_TO)*('Dvd Calendar'!$R$359&gt;VAL_DATE)=0,"",'Dvd Calendar'!$R$359*1000000000+ISNUMBER('Dvd Calendar'!$R$360)*100000000+0*10000000+(N('Dvd Calendar'!$R$358)&gt;0)*(N('Dvd Calendar'!$R$358)&lt;=VAL_SERIAL)*1000000+32*1000+54))</f>
        <v/>
      </c>
      <c r="GG43" s="121">
        <f>IF(N('Dvd Calendar'!$S$359)=0,"",IF(('Dvd Calendar'!$S$359&gt;=GRID_FROM)*('Dvd Calendar'!$S$359&lt;=GRID_TO)*('Dvd Calendar'!$S$359&gt;VAL_DATE)=0,"",'Dvd Calendar'!$S$359*1000000000+ISNUMBER('Dvd Calendar'!$S$360)*100000000+0*10000000+(N('Dvd Calendar'!$S$358)&gt;0)*(N('Dvd Calendar'!$S$358)&lt;=VAL_SERIAL)*1000000+32*1000+55))</f>
        <v/>
      </c>
      <c r="GH43" s="121">
        <f>IF(N('Dvd Calendar'!$T$359)=0,"",IF(('Dvd Calendar'!$T$359&gt;=GRID_FROM)*('Dvd Calendar'!$T$359&lt;=GRID_TO)*('Dvd Calendar'!$T$359&gt;VAL_DATE)=0,"",'Dvd Calendar'!$T$359*1000000000+ISNUMBER('Dvd Calendar'!$T$360)*100000000+0*10000000+(N('Dvd Calendar'!$T$358)&gt;0)*(N('Dvd Calendar'!$T$358)&lt;=VAL_SERIAL)*1000000+32*1000+56))</f>
        <v/>
      </c>
      <c r="GI43" s="121">
        <f>IF(N('Dvd Calendar'!$U$359)=0,"",IF(('Dvd Calendar'!$U$359&gt;=GRID_FROM)*('Dvd Calendar'!$U$359&lt;=GRID_TO)*('Dvd Calendar'!$U$359&gt;VAL_DATE)=0,"",'Dvd Calendar'!$U$359*1000000000+ISNUMBER('Dvd Calendar'!$U$360)*100000000+0*10000000+(N('Dvd Calendar'!$U$358)&gt;0)*(N('Dvd Calendar'!$U$358)&lt;=VAL_SERIAL)*1000000+32*1000+57))</f>
        <v/>
      </c>
      <c r="GJ43" s="121">
        <f>IF(N('Dvd Calendar'!$V$359)=0,"",IF(('Dvd Calendar'!$V$359&gt;=GRID_FROM)*('Dvd Calendar'!$V$359&lt;=GRID_TO)*('Dvd Calendar'!$V$359&gt;VAL_DATE)=0,"",'Dvd Calendar'!$V$359*1000000000+ISNUMBER('Dvd Calendar'!$V$360)*100000000+0*10000000+(N('Dvd Calendar'!$V$358)&gt;0)*(N('Dvd Calendar'!$V$358)&lt;=VAL_SERIAL)*1000000+32*1000+58))</f>
        <v/>
      </c>
      <c r="GK43" s="121">
        <f>IF(N('Dvd Calendar'!$W$359)=0,"",IF(('Dvd Calendar'!$W$359&gt;=GRID_FROM)*('Dvd Calendar'!$W$359&lt;=GRID_TO)*('Dvd Calendar'!$W$359&gt;VAL_DATE)=0,"",'Dvd Calendar'!$W$359*1000000000+ISNUMBER('Dvd Calendar'!$W$360)*100000000+0*10000000+(N('Dvd Calendar'!$W$358)&gt;0)*(N('Dvd Calendar'!$W$358)&lt;=VAL_SERIAL)*1000000+32*1000+59))</f>
        <v/>
      </c>
      <c r="GL43" s="121">
        <f>IF(N('Dvd Calendar'!$X$359)=0,"",IF(('Dvd Calendar'!$X$359&gt;=GRID_FROM)*('Dvd Calendar'!$X$359&lt;=GRID_TO)*('Dvd Calendar'!$X$359&gt;VAL_DATE)=0,"",'Dvd Calendar'!$X$359*1000000000+ISNUMBER('Dvd Calendar'!$X$360)*100000000+0*10000000+(N('Dvd Calendar'!$X$358)&gt;0)*(N('Dvd Calendar'!$X$358)&lt;=VAL_SERIAL)*1000000+32*1000+60))</f>
        <v/>
      </c>
      <c r="GM43" s="121">
        <f>IF(N('Dvd Calendar'!$Y$359)=0,"",IF(('Dvd Calendar'!$Y$359&gt;=GRID_FROM)*('Dvd Calendar'!$Y$359&lt;=GRID_TO)*('Dvd Calendar'!$Y$359&gt;VAL_DATE)=0,"",'Dvd Calendar'!$Y$359*1000000000+ISNUMBER('Dvd Calendar'!$Y$360)*100000000+0*10000000+(N('Dvd Calendar'!$Y$358)&gt;0)*(N('Dvd Calendar'!$Y$358)&lt;=VAL_SERIAL)*1000000+32*1000+61))</f>
        <v/>
      </c>
      <c r="GN43" s="121">
        <f>IF(N('Dvd Calendar'!$Z$359)=0,"",IF(('Dvd Calendar'!$Z$359&gt;=GRID_FROM)*('Dvd Calendar'!$Z$359&lt;=GRID_TO)*('Dvd Calendar'!$Z$359&gt;VAL_DATE)=0,"",'Dvd Calendar'!$Z$359*1000000000+ISNUMBER('Dvd Calendar'!$Z$360)*100000000+0*10000000+(N('Dvd Calendar'!$Z$358)&gt;0)*(N('Dvd Calendar'!$Z$358)&lt;=VAL_SERIAL)*1000000+32*1000+62))</f>
        <v/>
      </c>
      <c r="GO43" s="121">
        <f>IF(N('Dvd Calendar'!$AA$359)=0,"",IF(('Dvd Calendar'!$AA$359&gt;=GRID_FROM)*('Dvd Calendar'!$AA$359&lt;=GRID_TO)*('Dvd Calendar'!$AA$359&gt;VAL_DATE)=0,"",'Dvd Calendar'!$AA$359*1000000000+ISNUMBER('Dvd Calendar'!$AA$360)*100000000+0*10000000+(N('Dvd Calendar'!$AA$358)&gt;0)*(N('Dvd Calendar'!$AA$358)&lt;=VAL_SERIAL)*1000000+32*1000+63))</f>
        <v/>
      </c>
      <c r="GP43" s="121">
        <f>IF(N('Dvd Calendar'!$AB$359)=0,"",IF(('Dvd Calendar'!$AB$359&gt;=GRID_FROM)*('Dvd Calendar'!$AB$359&lt;=GRID_TO)*('Dvd Calendar'!$AB$359&gt;VAL_DATE)=0,"",'Dvd Calendar'!$AB$359*1000000000+ISNUMBER('Dvd Calendar'!$AB$360)*100000000+0*10000000+(N('Dvd Calendar'!$AB$358)&gt;0)*(N('Dvd Calendar'!$AB$358)&lt;=VAL_SERIAL)*1000000+32*1000+64))</f>
        <v/>
      </c>
      <c r="GQ43" s="121">
        <f>IF(N('Dvd Calendar'!$AC$359)=0,"",IF(('Dvd Calendar'!$AC$359&gt;=GRID_FROM)*('Dvd Calendar'!$AC$359&lt;=GRID_TO)*('Dvd Calendar'!$AC$359&gt;VAL_DATE)=0,"",'Dvd Calendar'!$AC$359*1000000000+ISNUMBER('Dvd Calendar'!$AC$360)*100000000+0*10000000+(N('Dvd Calendar'!$AC$358)&gt;0)*(N('Dvd Calendar'!$AC$358)&lt;=VAL_SERIAL)*1000000+32*1000+65))</f>
        <v/>
      </c>
    </row>
    <row r="44">
      <c r="B44" s="2">
        <f>IF(HSI!$C$39="","",HSI!$C$39)</f>
        <v/>
      </c>
      <c r="C44" s="161">
        <f>IF(EE44="","",IF(ISNUMBER('Dvd Calendar'!$E$366)=FALSE,"",IF((('Dvd Calendar'!$E$368=TYPE1)*(TYPE1&lt;&gt;"")+('Dvd Calendar'!$E$368=TYPE2)*(TYPE2&lt;&gt;"")+('Dvd Calendar'!$E$368=TYPE3)*(TYPE3&lt;&gt;"")+('Dvd Calendar'!$E$368=TYPE4)*(TYPE4&lt;&gt;"")+('Dvd Calendar'!$E$368=SPECIAL_LBL)*(INC_SPECIALS="Y"))=0,"",'Dvd Calendar'!$E$366)))</f>
        <v/>
      </c>
      <c r="D44" s="161">
        <f>IF(EF44="","",IF(ISNUMBER('Dvd Calendar'!$F$366)=FALSE,"",IF((('Dvd Calendar'!$F$368=TYPE1)*(TYPE1&lt;&gt;"")+('Dvd Calendar'!$F$368=TYPE2)*(TYPE2&lt;&gt;"")+('Dvd Calendar'!$F$368=TYPE3)*(TYPE3&lt;&gt;"")+('Dvd Calendar'!$F$368=TYPE4)*(TYPE4&lt;&gt;"")+('Dvd Calendar'!$F$368=SPECIAL_LBL)*(INC_SPECIALS="Y"))=0,"",'Dvd Calendar'!$F$366)))</f>
        <v/>
      </c>
      <c r="E44" s="161">
        <f>IF(EG44="","",IF(ISNUMBER('Dvd Calendar'!$G$366)=FALSE,"",IF((('Dvd Calendar'!$G$368=TYPE1)*(TYPE1&lt;&gt;"")+('Dvd Calendar'!$G$368=TYPE2)*(TYPE2&lt;&gt;"")+('Dvd Calendar'!$G$368=TYPE3)*(TYPE3&lt;&gt;"")+('Dvd Calendar'!$G$368=TYPE4)*(TYPE4&lt;&gt;"")+('Dvd Calendar'!$G$368=SPECIAL_LBL)*(INC_SPECIALS="Y"))=0,"",'Dvd Calendar'!$G$366)))</f>
        <v/>
      </c>
      <c r="F44" s="161">
        <f>IF(EH44="","",IF(ISNUMBER('Dvd Calendar'!$H$366)=FALSE,"",IF((('Dvd Calendar'!$H$368=TYPE1)*(TYPE1&lt;&gt;"")+('Dvd Calendar'!$H$368=TYPE2)*(TYPE2&lt;&gt;"")+('Dvd Calendar'!$H$368=TYPE3)*(TYPE3&lt;&gt;"")+('Dvd Calendar'!$H$368=TYPE4)*(TYPE4&lt;&gt;"")+('Dvd Calendar'!$H$368=SPECIAL_LBL)*(INC_SPECIALS="Y"))=0,"",'Dvd Calendar'!$H$366)))</f>
        <v/>
      </c>
      <c r="G44" s="161">
        <f>IF(EI44="","",IF(ISNUMBER('Dvd Calendar'!$I$366)=FALSE,"",IF((('Dvd Calendar'!$I$368=TYPE1)*(TYPE1&lt;&gt;"")+('Dvd Calendar'!$I$368=TYPE2)*(TYPE2&lt;&gt;"")+('Dvd Calendar'!$I$368=TYPE3)*(TYPE3&lt;&gt;"")+('Dvd Calendar'!$I$368=TYPE4)*(TYPE4&lt;&gt;"")+('Dvd Calendar'!$I$368=SPECIAL_LBL)*(INC_SPECIALS="Y"))=0,"",'Dvd Calendar'!$I$366)))</f>
        <v/>
      </c>
      <c r="H44" s="161">
        <f>IF(EJ44="","",IF(ISNUMBER('Dvd Calendar'!$J$366)=FALSE,"",IF((('Dvd Calendar'!$J$368=TYPE1)*(TYPE1&lt;&gt;"")+('Dvd Calendar'!$J$368=TYPE2)*(TYPE2&lt;&gt;"")+('Dvd Calendar'!$J$368=TYPE3)*(TYPE3&lt;&gt;"")+('Dvd Calendar'!$J$368=TYPE4)*(TYPE4&lt;&gt;"")+('Dvd Calendar'!$J$368=SPECIAL_LBL)*(INC_SPECIALS="Y"))=0,"",'Dvd Calendar'!$J$366)))</f>
        <v/>
      </c>
      <c r="I44" s="161">
        <f>IF(EK44="","",IF(ISNUMBER('Dvd Calendar'!$K$366)=FALSE,"",IF((('Dvd Calendar'!$K$368=TYPE1)*(TYPE1&lt;&gt;"")+('Dvd Calendar'!$K$368=TYPE2)*(TYPE2&lt;&gt;"")+('Dvd Calendar'!$K$368=TYPE3)*(TYPE3&lt;&gt;"")+('Dvd Calendar'!$K$368=TYPE4)*(TYPE4&lt;&gt;"")+('Dvd Calendar'!$K$368=SPECIAL_LBL)*(INC_SPECIALS="Y"))=0,"",'Dvd Calendar'!$K$366)))</f>
        <v/>
      </c>
      <c r="J44" s="161">
        <f>IF(EL44="","",IF(ISNUMBER('Dvd Calendar'!$L$366)=FALSE,"",IF((('Dvd Calendar'!$L$368=TYPE1)*(TYPE1&lt;&gt;"")+('Dvd Calendar'!$L$368=TYPE2)*(TYPE2&lt;&gt;"")+('Dvd Calendar'!$L$368=TYPE3)*(TYPE3&lt;&gt;"")+('Dvd Calendar'!$L$368=TYPE4)*(TYPE4&lt;&gt;"")+('Dvd Calendar'!$L$368=SPECIAL_LBL)*(INC_SPECIALS="Y"))=0,"",'Dvd Calendar'!$L$366)))</f>
        <v/>
      </c>
      <c r="K44" s="161">
        <f>IF(EM44="","",IF(ISNUMBER('Dvd Calendar'!$M$366)=FALSE,"",IF((('Dvd Calendar'!$M$368=TYPE1)*(TYPE1&lt;&gt;"")+('Dvd Calendar'!$M$368=TYPE2)*(TYPE2&lt;&gt;"")+('Dvd Calendar'!$M$368=TYPE3)*(TYPE3&lt;&gt;"")+('Dvd Calendar'!$M$368=TYPE4)*(TYPE4&lt;&gt;"")+('Dvd Calendar'!$M$368=SPECIAL_LBL)*(INC_SPECIALS="Y"))=0,"",'Dvd Calendar'!$M$366)))</f>
        <v/>
      </c>
      <c r="L44" s="161">
        <f>IF(EN44="","",IF(ISNUMBER('Dvd Calendar'!$N$366)=FALSE,"",IF((('Dvd Calendar'!$N$368=TYPE1)*(TYPE1&lt;&gt;"")+('Dvd Calendar'!$N$368=TYPE2)*(TYPE2&lt;&gt;"")+('Dvd Calendar'!$N$368=TYPE3)*(TYPE3&lt;&gt;"")+('Dvd Calendar'!$N$368=TYPE4)*(TYPE4&lt;&gt;"")+('Dvd Calendar'!$N$368=SPECIAL_LBL)*(INC_SPECIALS="Y"))=0,"",'Dvd Calendar'!$N$366)))</f>
        <v/>
      </c>
      <c r="M44" s="161">
        <f>IF(EO44="","",IF(ISNUMBER('Dvd Calendar'!$O$366)=FALSE,"",IF((('Dvd Calendar'!$O$368=TYPE1)*(TYPE1&lt;&gt;"")+('Dvd Calendar'!$O$368=TYPE2)*(TYPE2&lt;&gt;"")+('Dvd Calendar'!$O$368=TYPE3)*(TYPE3&lt;&gt;"")+('Dvd Calendar'!$O$368=TYPE4)*(TYPE4&lt;&gt;"")+('Dvd Calendar'!$O$368=SPECIAL_LBL)*(INC_SPECIALS="Y"))=0,"",'Dvd Calendar'!$O$366)))</f>
        <v/>
      </c>
      <c r="N44" s="161">
        <f>IF(EP44="","",IF(ISNUMBER('Dvd Calendar'!$P$366)=FALSE,"",IF((('Dvd Calendar'!$P$368=TYPE1)*(TYPE1&lt;&gt;"")+('Dvd Calendar'!$P$368=TYPE2)*(TYPE2&lt;&gt;"")+('Dvd Calendar'!$P$368=TYPE3)*(TYPE3&lt;&gt;"")+('Dvd Calendar'!$P$368=TYPE4)*(TYPE4&lt;&gt;"")+('Dvd Calendar'!$P$368=SPECIAL_LBL)*(INC_SPECIALS="Y"))=0,"",'Dvd Calendar'!$P$366)))</f>
        <v/>
      </c>
      <c r="O44" s="161">
        <f>IF(EQ44="","",IF(ISNUMBER('Dvd Calendar'!$Q$366)=FALSE,"",IF((('Dvd Calendar'!$Q$368=TYPE1)*(TYPE1&lt;&gt;"")+('Dvd Calendar'!$Q$368=TYPE2)*(TYPE2&lt;&gt;"")+('Dvd Calendar'!$Q$368=TYPE3)*(TYPE3&lt;&gt;"")+('Dvd Calendar'!$Q$368=TYPE4)*(TYPE4&lt;&gt;"")+('Dvd Calendar'!$Q$368=SPECIAL_LBL)*(INC_SPECIALS="Y"))=0,"",'Dvd Calendar'!$Q$366)))</f>
        <v/>
      </c>
      <c r="P44" s="161">
        <f>IF(ER44="","",IF(ISNUMBER('Dvd Calendar'!$R$366)=FALSE,"",IF((('Dvd Calendar'!$R$368=TYPE1)*(TYPE1&lt;&gt;"")+('Dvd Calendar'!$R$368=TYPE2)*(TYPE2&lt;&gt;"")+('Dvd Calendar'!$R$368=TYPE3)*(TYPE3&lt;&gt;"")+('Dvd Calendar'!$R$368=TYPE4)*(TYPE4&lt;&gt;"")+('Dvd Calendar'!$R$368=SPECIAL_LBL)*(INC_SPECIALS="Y"))=0,"",'Dvd Calendar'!$R$366)))</f>
        <v/>
      </c>
      <c r="Q44" s="161">
        <f>IF(ES44="","",IF(ISNUMBER('Dvd Calendar'!$S$366)=FALSE,"",IF((('Dvd Calendar'!$S$368=TYPE1)*(TYPE1&lt;&gt;"")+('Dvd Calendar'!$S$368=TYPE2)*(TYPE2&lt;&gt;"")+('Dvd Calendar'!$S$368=TYPE3)*(TYPE3&lt;&gt;"")+('Dvd Calendar'!$S$368=TYPE4)*(TYPE4&lt;&gt;"")+('Dvd Calendar'!$S$368=SPECIAL_LBL)*(INC_SPECIALS="Y"))=0,"",'Dvd Calendar'!$S$366)))</f>
        <v/>
      </c>
      <c r="R44" s="161">
        <f>IF(ET44="","",IF(ISNUMBER('Dvd Calendar'!$T$366)=FALSE,"",IF((('Dvd Calendar'!$T$368=TYPE1)*(TYPE1&lt;&gt;"")+('Dvd Calendar'!$T$368=TYPE2)*(TYPE2&lt;&gt;"")+('Dvd Calendar'!$T$368=TYPE3)*(TYPE3&lt;&gt;"")+('Dvd Calendar'!$T$368=TYPE4)*(TYPE4&lt;&gt;"")+('Dvd Calendar'!$T$368=SPECIAL_LBL)*(INC_SPECIALS="Y"))=0,"",'Dvd Calendar'!$T$366)))</f>
        <v/>
      </c>
      <c r="S44" s="161">
        <f>IF(EU44="","",IF(ISNUMBER('Dvd Calendar'!$U$366)=FALSE,"",IF((('Dvd Calendar'!$U$368=TYPE1)*(TYPE1&lt;&gt;"")+('Dvd Calendar'!$U$368=TYPE2)*(TYPE2&lt;&gt;"")+('Dvd Calendar'!$U$368=TYPE3)*(TYPE3&lt;&gt;"")+('Dvd Calendar'!$U$368=TYPE4)*(TYPE4&lt;&gt;"")+('Dvd Calendar'!$U$368=SPECIAL_LBL)*(INC_SPECIALS="Y"))=0,"",'Dvd Calendar'!$U$366)))</f>
        <v/>
      </c>
      <c r="T44" s="161">
        <f>IF(EV44="","",IF(ISNUMBER('Dvd Calendar'!$V$366)=FALSE,"",IF((('Dvd Calendar'!$V$368=TYPE1)*(TYPE1&lt;&gt;"")+('Dvd Calendar'!$V$368=TYPE2)*(TYPE2&lt;&gt;"")+('Dvd Calendar'!$V$368=TYPE3)*(TYPE3&lt;&gt;"")+('Dvd Calendar'!$V$368=TYPE4)*(TYPE4&lt;&gt;"")+('Dvd Calendar'!$V$368=SPECIAL_LBL)*(INC_SPECIALS="Y"))=0,"",'Dvd Calendar'!$V$366)))</f>
        <v/>
      </c>
      <c r="U44" s="161">
        <f>IF(EW44="","",IF(ISNUMBER('Dvd Calendar'!$W$366)=FALSE,"",IF((('Dvd Calendar'!$W$368=TYPE1)*(TYPE1&lt;&gt;"")+('Dvd Calendar'!$W$368=TYPE2)*(TYPE2&lt;&gt;"")+('Dvd Calendar'!$W$368=TYPE3)*(TYPE3&lt;&gt;"")+('Dvd Calendar'!$W$368=TYPE4)*(TYPE4&lt;&gt;"")+('Dvd Calendar'!$W$368=SPECIAL_LBL)*(INC_SPECIALS="Y"))=0,"",'Dvd Calendar'!$W$366)))</f>
        <v/>
      </c>
      <c r="V44" s="161">
        <f>IF(EX44="","",IF(ISNUMBER('Dvd Calendar'!$X$366)=FALSE,"",IF((('Dvd Calendar'!$X$368=TYPE1)*(TYPE1&lt;&gt;"")+('Dvd Calendar'!$X$368=TYPE2)*(TYPE2&lt;&gt;"")+('Dvd Calendar'!$X$368=TYPE3)*(TYPE3&lt;&gt;"")+('Dvd Calendar'!$X$368=TYPE4)*(TYPE4&lt;&gt;"")+('Dvd Calendar'!$X$368=SPECIAL_LBL)*(INC_SPECIALS="Y"))=0,"",'Dvd Calendar'!$X$366)))</f>
        <v/>
      </c>
      <c r="W44" s="161">
        <f>IF(EY44="","",IF(ISNUMBER('Dvd Calendar'!$Y$366)=FALSE,"",IF((('Dvd Calendar'!$Y$368=TYPE1)*(TYPE1&lt;&gt;"")+('Dvd Calendar'!$Y$368=TYPE2)*(TYPE2&lt;&gt;"")+('Dvd Calendar'!$Y$368=TYPE3)*(TYPE3&lt;&gt;"")+('Dvd Calendar'!$Y$368=TYPE4)*(TYPE4&lt;&gt;"")+('Dvd Calendar'!$Y$368=SPECIAL_LBL)*(INC_SPECIALS="Y"))=0,"",'Dvd Calendar'!$Y$366)))</f>
        <v/>
      </c>
      <c r="X44" s="161">
        <f>IF(EZ44="","",IF(ISNUMBER('Dvd Calendar'!$Z$366)=FALSE,"",IF((('Dvd Calendar'!$Z$368=TYPE1)*(TYPE1&lt;&gt;"")+('Dvd Calendar'!$Z$368=TYPE2)*(TYPE2&lt;&gt;"")+('Dvd Calendar'!$Z$368=TYPE3)*(TYPE3&lt;&gt;"")+('Dvd Calendar'!$Z$368=TYPE4)*(TYPE4&lt;&gt;"")+('Dvd Calendar'!$Z$368=SPECIAL_LBL)*(INC_SPECIALS="Y"))=0,"",'Dvd Calendar'!$Z$366)))</f>
        <v/>
      </c>
      <c r="Y44" s="161">
        <f>IF(FA44="","",IF(ISNUMBER('Dvd Calendar'!$AA$366)=FALSE,"",IF((('Dvd Calendar'!$AA$368=TYPE1)*(TYPE1&lt;&gt;"")+('Dvd Calendar'!$AA$368=TYPE2)*(TYPE2&lt;&gt;"")+('Dvd Calendar'!$AA$368=TYPE3)*(TYPE3&lt;&gt;"")+('Dvd Calendar'!$AA$368=TYPE4)*(TYPE4&lt;&gt;"")+('Dvd Calendar'!$AA$368=SPECIAL_LBL)*(INC_SPECIALS="Y"))=0,"",'Dvd Calendar'!$AA$366)))</f>
        <v/>
      </c>
      <c r="Z44" s="161">
        <f>IF(FB44="","",IF(ISNUMBER('Dvd Calendar'!$AB$366)=FALSE,"",IF((('Dvd Calendar'!$AB$368=TYPE1)*(TYPE1&lt;&gt;"")+('Dvd Calendar'!$AB$368=TYPE2)*(TYPE2&lt;&gt;"")+('Dvd Calendar'!$AB$368=TYPE3)*(TYPE3&lt;&gt;"")+('Dvd Calendar'!$AB$368=TYPE4)*(TYPE4&lt;&gt;"")+('Dvd Calendar'!$AB$368=SPECIAL_LBL)*(INC_SPECIALS="Y"))=0,"",'Dvd Calendar'!$AB$366)))</f>
        <v/>
      </c>
      <c r="AA44" s="161">
        <f>IF(FC44="","",IF(ISNUMBER('Dvd Calendar'!$AC$366)=FALSE,"",IF((('Dvd Calendar'!$AC$368=TYPE1)*(TYPE1&lt;&gt;"")+('Dvd Calendar'!$AC$368=TYPE2)*(TYPE2&lt;&gt;"")+('Dvd Calendar'!$AC$368=TYPE3)*(TYPE3&lt;&gt;"")+('Dvd Calendar'!$AC$368=TYPE4)*(TYPE4&lt;&gt;"")+('Dvd Calendar'!$AC$368=SPECIAL_LBL)*(INC_SPECIALS="Y"))=0,"",'Dvd Calendar'!$AC$366)))</f>
        <v/>
      </c>
      <c r="AB44" s="161">
        <f>IF(FD44="","",IF(ISNUMBER('Dvd Calendar'!$AD$366)=FALSE,"",IF((('Dvd Calendar'!$AD$368=TYPE1)*(TYPE1&lt;&gt;"")+('Dvd Calendar'!$AD$368=TYPE2)*(TYPE2&lt;&gt;"")+('Dvd Calendar'!$AD$368=TYPE3)*(TYPE3&lt;&gt;"")+('Dvd Calendar'!$AD$368=TYPE4)*(TYPE4&lt;&gt;"")+('Dvd Calendar'!$AD$368=SPECIAL_LBL)*(INC_SPECIALS="Y"))=0,"",'Dvd Calendar'!$AD$366)))</f>
        <v/>
      </c>
      <c r="AC44" s="161">
        <f>IF(FE44="","",IF(ISNUMBER('Dvd Calendar'!$AE$366)=FALSE,"",IF((('Dvd Calendar'!$AE$368=TYPE1)*(TYPE1&lt;&gt;"")+('Dvd Calendar'!$AE$368=TYPE2)*(TYPE2&lt;&gt;"")+('Dvd Calendar'!$AE$368=TYPE3)*(TYPE3&lt;&gt;"")+('Dvd Calendar'!$AE$368=TYPE4)*(TYPE4&lt;&gt;"")+('Dvd Calendar'!$AE$368=SPECIAL_LBL)*(INC_SPECIALS="Y"))=0,"",'Dvd Calendar'!$AE$366)))</f>
        <v/>
      </c>
      <c r="AD44" s="161">
        <f>IF(FF44="","",IF(ISNUMBER('Dvd Calendar'!$AF$366)=FALSE,"",IF((('Dvd Calendar'!$AF$368=TYPE1)*(TYPE1&lt;&gt;"")+('Dvd Calendar'!$AF$368=TYPE2)*(TYPE2&lt;&gt;"")+('Dvd Calendar'!$AF$368=TYPE3)*(TYPE3&lt;&gt;"")+('Dvd Calendar'!$AF$368=TYPE4)*(TYPE4&lt;&gt;"")+('Dvd Calendar'!$AF$368=SPECIAL_LBL)*(INC_SPECIALS="Y"))=0,"",'Dvd Calendar'!$AF$366)))</f>
        <v/>
      </c>
      <c r="AE44" s="161">
        <f>IF(FG44="","",IF(ISNUMBER('Dvd Calendar'!$AG$366)=FALSE,"",IF((('Dvd Calendar'!$AG$368=TYPE1)*(TYPE1&lt;&gt;"")+('Dvd Calendar'!$AG$368=TYPE2)*(TYPE2&lt;&gt;"")+('Dvd Calendar'!$AG$368=TYPE3)*(TYPE3&lt;&gt;"")+('Dvd Calendar'!$AG$368=TYPE4)*(TYPE4&lt;&gt;"")+('Dvd Calendar'!$AG$368=SPECIAL_LBL)*(INC_SPECIALS="Y"))=0,"",'Dvd Calendar'!$AG$366)))</f>
        <v/>
      </c>
      <c r="AF44" s="161">
        <f>IF(FH44="","",IF(ISNUMBER('Dvd Calendar'!$AH$366)=FALSE,"",IF((('Dvd Calendar'!$AH$368=TYPE1)*(TYPE1&lt;&gt;"")+('Dvd Calendar'!$AH$368=TYPE2)*(TYPE2&lt;&gt;"")+('Dvd Calendar'!$AH$368=TYPE3)*(TYPE3&lt;&gt;"")+('Dvd Calendar'!$AH$368=TYPE4)*(TYPE4&lt;&gt;"")+('Dvd Calendar'!$AH$368=SPECIAL_LBL)*(INC_SPECIALS="Y"))=0,"",'Dvd Calendar'!$AH$366)))</f>
        <v/>
      </c>
      <c r="AG44" s="161">
        <f>IF(FI44="","",IF(ISNUMBER('Dvd Calendar'!$AI$366)=FALSE,"",IF((('Dvd Calendar'!$AI$368=TYPE1)*(TYPE1&lt;&gt;"")+('Dvd Calendar'!$AI$368=TYPE2)*(TYPE2&lt;&gt;"")+('Dvd Calendar'!$AI$368=TYPE3)*(TYPE3&lt;&gt;"")+('Dvd Calendar'!$AI$368=TYPE4)*(TYPE4&lt;&gt;"")+('Dvd Calendar'!$AI$368=SPECIAL_LBL)*(INC_SPECIALS="Y"))=0,"",'Dvd Calendar'!$AI$366)))</f>
        <v/>
      </c>
      <c r="AH44" s="161">
        <f>IF(FJ44="","",IF(ISNUMBER('Dvd Calendar'!$AJ$366)=FALSE,"",IF((('Dvd Calendar'!$AJ$368=TYPE1)*(TYPE1&lt;&gt;"")+('Dvd Calendar'!$AJ$368=TYPE2)*(TYPE2&lt;&gt;"")+('Dvd Calendar'!$AJ$368=TYPE3)*(TYPE3&lt;&gt;"")+('Dvd Calendar'!$AJ$368=TYPE4)*(TYPE4&lt;&gt;"")+('Dvd Calendar'!$AJ$368=SPECIAL_LBL)*(INC_SPECIALS="Y"))=0,"",'Dvd Calendar'!$AJ$366)))</f>
        <v/>
      </c>
      <c r="AI44" s="161">
        <f>IF(FK44="","",IF(ISNUMBER('Dvd Calendar'!$AK$366)=FALSE,"",IF((('Dvd Calendar'!$AK$368=TYPE1)*(TYPE1&lt;&gt;"")+('Dvd Calendar'!$AK$368=TYPE2)*(TYPE2&lt;&gt;"")+('Dvd Calendar'!$AK$368=TYPE3)*(TYPE3&lt;&gt;"")+('Dvd Calendar'!$AK$368=TYPE4)*(TYPE4&lt;&gt;"")+('Dvd Calendar'!$AK$368=SPECIAL_LBL)*(INC_SPECIALS="Y"))=0,"",'Dvd Calendar'!$AK$366)))</f>
        <v/>
      </c>
      <c r="AJ44" s="161">
        <f>IF(FL44="","",IF(ISNUMBER('Dvd Calendar'!$AL$366)=FALSE,"",IF((('Dvd Calendar'!$AL$368=TYPE1)*(TYPE1&lt;&gt;"")+('Dvd Calendar'!$AL$368=TYPE2)*(TYPE2&lt;&gt;"")+('Dvd Calendar'!$AL$368=TYPE3)*(TYPE3&lt;&gt;"")+('Dvd Calendar'!$AL$368=TYPE4)*(TYPE4&lt;&gt;"")+('Dvd Calendar'!$AL$368=SPECIAL_LBL)*(INC_SPECIALS="Y"))=0,"",'Dvd Calendar'!$AL$366)))</f>
        <v/>
      </c>
      <c r="AK44" s="161">
        <f>IF(FM44="","",IF(ISNUMBER('Dvd Calendar'!$AM$366)=FALSE,"",IF((('Dvd Calendar'!$AM$368=TYPE1)*(TYPE1&lt;&gt;"")+('Dvd Calendar'!$AM$368=TYPE2)*(TYPE2&lt;&gt;"")+('Dvd Calendar'!$AM$368=TYPE3)*(TYPE3&lt;&gt;"")+('Dvd Calendar'!$AM$368=TYPE4)*(TYPE4&lt;&gt;"")+('Dvd Calendar'!$AM$368=SPECIAL_LBL)*(INC_SPECIALS="Y"))=0,"",'Dvd Calendar'!$AM$366)))</f>
        <v/>
      </c>
      <c r="AL44" s="161">
        <f>IF(FN44="","",IF(ISNUMBER('Dvd Calendar'!$AN$366)=FALSE,"",IF((('Dvd Calendar'!$AN$368=TYPE1)*(TYPE1&lt;&gt;"")+('Dvd Calendar'!$AN$368=TYPE2)*(TYPE2&lt;&gt;"")+('Dvd Calendar'!$AN$368=TYPE3)*(TYPE3&lt;&gt;"")+('Dvd Calendar'!$AN$368=TYPE4)*(TYPE4&lt;&gt;"")+('Dvd Calendar'!$AN$368=SPECIAL_LBL)*(INC_SPECIALS="Y"))=0,"",'Dvd Calendar'!$AN$366)))</f>
        <v/>
      </c>
      <c r="AM44" s="161">
        <f>IF(FO44="","",IF(ISNUMBER('Dvd Calendar'!$AO$366)=FALSE,"",IF((('Dvd Calendar'!$AO$368=TYPE1)*(TYPE1&lt;&gt;"")+('Dvd Calendar'!$AO$368=TYPE2)*(TYPE2&lt;&gt;"")+('Dvd Calendar'!$AO$368=TYPE3)*(TYPE3&lt;&gt;"")+('Dvd Calendar'!$AO$368=TYPE4)*(TYPE4&lt;&gt;"")+('Dvd Calendar'!$AO$368=SPECIAL_LBL)*(INC_SPECIALS="Y"))=0,"",'Dvd Calendar'!$AO$366)))</f>
        <v/>
      </c>
      <c r="AN44" s="161">
        <f>IF(FP44="","",IF(ISNUMBER('Dvd Calendar'!$AP$366)=FALSE,"",IF((('Dvd Calendar'!$AP$368=TYPE1)*(TYPE1&lt;&gt;"")+('Dvd Calendar'!$AP$368=TYPE2)*(TYPE2&lt;&gt;"")+('Dvd Calendar'!$AP$368=TYPE3)*(TYPE3&lt;&gt;"")+('Dvd Calendar'!$AP$368=TYPE4)*(TYPE4&lt;&gt;"")+('Dvd Calendar'!$AP$368=SPECIAL_LBL)*(INC_SPECIALS="Y"))=0,"",'Dvd Calendar'!$AP$366)))</f>
        <v/>
      </c>
      <c r="AO44" s="161">
        <f>IF(FQ44="","",IF(ISNUMBER('Dvd Calendar'!$AQ$366)=FALSE,"",IF((('Dvd Calendar'!$AQ$368=TYPE1)*(TYPE1&lt;&gt;"")+('Dvd Calendar'!$AQ$368=TYPE2)*(TYPE2&lt;&gt;"")+('Dvd Calendar'!$AQ$368=TYPE3)*(TYPE3&lt;&gt;"")+('Dvd Calendar'!$AQ$368=TYPE4)*(TYPE4&lt;&gt;"")+('Dvd Calendar'!$AQ$368=SPECIAL_LBL)*(INC_SPECIALS="Y"))=0,"",'Dvd Calendar'!$AQ$366)))</f>
        <v/>
      </c>
      <c r="AP44" s="161">
        <f>IF(FR44="","",IF(ISNUMBER('Dvd Calendar'!$AR$366)=FALSE,"",IF((('Dvd Calendar'!$AR$368=TYPE1)*(TYPE1&lt;&gt;"")+('Dvd Calendar'!$AR$368=TYPE2)*(TYPE2&lt;&gt;"")+('Dvd Calendar'!$AR$368=TYPE3)*(TYPE3&lt;&gt;"")+('Dvd Calendar'!$AR$368=TYPE4)*(TYPE4&lt;&gt;"")+('Dvd Calendar'!$AR$368=SPECIAL_LBL)*(INC_SPECIALS="Y"))=0,"",'Dvd Calendar'!$AR$366)))</f>
        <v/>
      </c>
      <c r="AQ44" s="161">
        <f>IF(FS44="","",IF(ISNUMBER('Dvd Calendar'!$E$371)=FALSE,"",'Dvd Calendar'!$E$371))</f>
        <v/>
      </c>
      <c r="AR44" s="161">
        <f>IF(FT44="","",IF(ISNUMBER('Dvd Calendar'!$F$371)=FALSE,"",'Dvd Calendar'!$F$371))</f>
        <v/>
      </c>
      <c r="AS44" s="161">
        <f>IF(FU44="","",IF(ISNUMBER('Dvd Calendar'!$G$371)=FALSE,"",'Dvd Calendar'!$G$371))</f>
        <v/>
      </c>
      <c r="AT44" s="161">
        <f>IF(FV44="","",IF(ISNUMBER('Dvd Calendar'!$H$371)=FALSE,"",'Dvd Calendar'!$H$371))</f>
        <v/>
      </c>
      <c r="AU44" s="161">
        <f>IF(FW44="","",IF(ISNUMBER('Dvd Calendar'!$I$371)=FALSE,"",'Dvd Calendar'!$I$371))</f>
        <v/>
      </c>
      <c r="AV44" s="161">
        <f>IF(FX44="","",IF(ISNUMBER('Dvd Calendar'!$J$371)=FALSE,"",'Dvd Calendar'!$J$371))</f>
        <v/>
      </c>
      <c r="AW44" s="161">
        <f>IF(FY44="","",IF(ISNUMBER('Dvd Calendar'!$K$371)=FALSE,"",'Dvd Calendar'!$K$371))</f>
        <v/>
      </c>
      <c r="AX44" s="161">
        <f>IF(FZ44="","",IF(ISNUMBER('Dvd Calendar'!$L$371)=FALSE,"",'Dvd Calendar'!$L$371))</f>
        <v/>
      </c>
      <c r="AY44" s="161">
        <f>IF(GA44="","",IF(ISNUMBER('Dvd Calendar'!$M$371)=FALSE,"",'Dvd Calendar'!$M$371))</f>
        <v/>
      </c>
      <c r="AZ44" s="161">
        <f>IF(GB44="","",IF(ISNUMBER('Dvd Calendar'!$N$371)=FALSE,"",'Dvd Calendar'!$N$371))</f>
        <v/>
      </c>
      <c r="BA44" s="161">
        <f>IF(GC44="","",IF(ISNUMBER('Dvd Calendar'!$O$371)=FALSE,"",'Dvd Calendar'!$O$371))</f>
        <v/>
      </c>
      <c r="BB44" s="161">
        <f>IF(GD44="","",IF(ISNUMBER('Dvd Calendar'!$P$371)=FALSE,"",'Dvd Calendar'!$P$371))</f>
        <v/>
      </c>
      <c r="BC44" s="161">
        <f>IF(GE44="","",IF(ISNUMBER('Dvd Calendar'!$Q$371)=FALSE,"",'Dvd Calendar'!$Q$371))</f>
        <v/>
      </c>
      <c r="BD44" s="161">
        <f>IF(GF44="","",IF(ISNUMBER('Dvd Calendar'!$R$371)=FALSE,"",'Dvd Calendar'!$R$371))</f>
        <v/>
      </c>
      <c r="BE44" s="161">
        <f>IF(GG44="","",IF(ISNUMBER('Dvd Calendar'!$S$371)=FALSE,"",'Dvd Calendar'!$S$371))</f>
        <v/>
      </c>
      <c r="BF44" s="161">
        <f>IF(GH44="","",IF(ISNUMBER('Dvd Calendar'!$T$371)=FALSE,"",'Dvd Calendar'!$T$371))</f>
        <v/>
      </c>
      <c r="BG44" s="161">
        <f>IF(GI44="","",IF(ISNUMBER('Dvd Calendar'!$U$371)=FALSE,"",'Dvd Calendar'!$U$371))</f>
        <v/>
      </c>
      <c r="BH44" s="161">
        <f>IF(GJ44="","",IF(ISNUMBER('Dvd Calendar'!$V$371)=FALSE,"",'Dvd Calendar'!$V$371))</f>
        <v/>
      </c>
      <c r="BI44" s="161">
        <f>IF(GK44="","",IF(ISNUMBER('Dvd Calendar'!$W$371)=FALSE,"",'Dvd Calendar'!$W$371))</f>
        <v/>
      </c>
      <c r="BJ44" s="161">
        <f>IF(GL44="","",IF(ISNUMBER('Dvd Calendar'!$X$371)=FALSE,"",'Dvd Calendar'!$X$371))</f>
        <v/>
      </c>
      <c r="BK44" s="161">
        <f>IF(GM44="","",IF(ISNUMBER('Dvd Calendar'!$Y$371)=FALSE,"",'Dvd Calendar'!$Y$371))</f>
        <v/>
      </c>
      <c r="BL44" s="161">
        <f>IF(GN44="","",IF(ISNUMBER('Dvd Calendar'!$Z$371)=FALSE,"",'Dvd Calendar'!$Z$371))</f>
        <v/>
      </c>
      <c r="BM44" s="161">
        <f>IF(GO44="","",IF(ISNUMBER('Dvd Calendar'!$AA$371)=FALSE,"",'Dvd Calendar'!$AA$371))</f>
        <v/>
      </c>
      <c r="BN44" s="161">
        <f>IF(GP44="","",IF(ISNUMBER('Dvd Calendar'!$AB$371)=FALSE,"",'Dvd Calendar'!$AB$371))</f>
        <v/>
      </c>
      <c r="BO44" s="161">
        <f>IF(GQ44="","",IF(ISNUMBER('Dvd Calendar'!$AC$371)=FALSE,"",'Dvd Calendar'!$AC$371))</f>
        <v/>
      </c>
      <c r="BQ44" s="161">
        <f>IF(C44="","",IFERROR(C44*HSI!$B$39*HSI!$G$39/HSI!$B$3,""))</f>
        <v/>
      </c>
      <c r="BR44" s="161">
        <f>IF(D44="","",IFERROR(D44*HSI!$B$39*HSI!$G$39/HSI!$B$3,""))</f>
        <v/>
      </c>
      <c r="BS44" s="161">
        <f>IF(E44="","",IFERROR(E44*HSI!$B$39*HSI!$G$39/HSI!$B$3,""))</f>
        <v/>
      </c>
      <c r="BT44" s="161">
        <f>IF(F44="","",IFERROR(F44*HSI!$B$39*HSI!$G$39/HSI!$B$3,""))</f>
        <v/>
      </c>
      <c r="BU44" s="161">
        <f>IF(G44="","",IFERROR(G44*HSI!$B$39*HSI!$G$39/HSI!$B$3,""))</f>
        <v/>
      </c>
      <c r="BV44" s="161">
        <f>IF(H44="","",IFERROR(H44*HSI!$B$39*HSI!$G$39/HSI!$B$3,""))</f>
        <v/>
      </c>
      <c r="BW44" s="161">
        <f>IF(I44="","",IFERROR(I44*HSI!$B$39*HSI!$G$39/HSI!$B$3,""))</f>
        <v/>
      </c>
      <c r="BX44" s="161">
        <f>IF(J44="","",IFERROR(J44*HSI!$B$39*HSI!$G$39/HSI!$B$3,""))</f>
        <v/>
      </c>
      <c r="BY44" s="161">
        <f>IF(K44="","",IFERROR(K44*HSI!$B$39*HSI!$G$39/HSI!$B$3,""))</f>
        <v/>
      </c>
      <c r="BZ44" s="161">
        <f>IF(L44="","",IFERROR(L44*HSI!$B$39*HSI!$G$39/HSI!$B$3,""))</f>
        <v/>
      </c>
      <c r="CA44" s="161">
        <f>IF(M44="","",IFERROR(M44*HSI!$B$39*HSI!$G$39/HSI!$B$3,""))</f>
        <v/>
      </c>
      <c r="CB44" s="161">
        <f>IF(N44="","",IFERROR(N44*HSI!$B$39*HSI!$G$39/HSI!$B$3,""))</f>
        <v/>
      </c>
      <c r="CC44" s="161">
        <f>IF(O44="","",IFERROR(O44*HSI!$B$39*HSI!$G$39/HSI!$B$3,""))</f>
        <v/>
      </c>
      <c r="CD44" s="161">
        <f>IF(P44="","",IFERROR(P44*HSI!$B$39*HSI!$G$39/HSI!$B$3,""))</f>
        <v/>
      </c>
      <c r="CE44" s="161">
        <f>IF(Q44="","",IFERROR(Q44*HSI!$B$39*HSI!$G$39/HSI!$B$3,""))</f>
        <v/>
      </c>
      <c r="CF44" s="161">
        <f>IF(R44="","",IFERROR(R44*HSI!$B$39*HSI!$G$39/HSI!$B$3,""))</f>
        <v/>
      </c>
      <c r="CG44" s="161">
        <f>IF(S44="","",IFERROR(S44*HSI!$B$39*HSI!$G$39/HSI!$B$3,""))</f>
        <v/>
      </c>
      <c r="CH44" s="161">
        <f>IF(T44="","",IFERROR(T44*HSI!$B$39*HSI!$G$39/HSI!$B$3,""))</f>
        <v/>
      </c>
      <c r="CI44" s="161">
        <f>IF(U44="","",IFERROR(U44*HSI!$B$39*HSI!$G$39/HSI!$B$3,""))</f>
        <v/>
      </c>
      <c r="CJ44" s="161">
        <f>IF(V44="","",IFERROR(V44*HSI!$B$39*HSI!$G$39/HSI!$B$3,""))</f>
        <v/>
      </c>
      <c r="CK44" s="161">
        <f>IF(W44="","",IFERROR(W44*HSI!$B$39*HSI!$G$39/HSI!$B$3,""))</f>
        <v/>
      </c>
      <c r="CL44" s="161">
        <f>IF(X44="","",IFERROR(X44*HSI!$B$39*HSI!$G$39/HSI!$B$3,""))</f>
        <v/>
      </c>
      <c r="CM44" s="161">
        <f>IF(Y44="","",IFERROR(Y44*HSI!$B$39*HSI!$G$39/HSI!$B$3,""))</f>
        <v/>
      </c>
      <c r="CN44" s="161">
        <f>IF(Z44="","",IFERROR(Z44*HSI!$B$39*HSI!$G$39/HSI!$B$3,""))</f>
        <v/>
      </c>
      <c r="CO44" s="161">
        <f>IF(AA44="","",IFERROR(AA44*HSI!$B$39*HSI!$G$39/HSI!$B$3,""))</f>
        <v/>
      </c>
      <c r="CP44" s="161">
        <f>IF(AB44="","",IFERROR(AB44*HSI!$B$39*HSI!$G$39/HSI!$B$3,""))</f>
        <v/>
      </c>
      <c r="CQ44" s="161">
        <f>IF(AC44="","",IFERROR(AC44*HSI!$B$39*HSI!$G$39/HSI!$B$3,""))</f>
        <v/>
      </c>
      <c r="CR44" s="161">
        <f>IF(AD44="","",IFERROR(AD44*HSI!$B$39*HSI!$G$39/HSI!$B$3,""))</f>
        <v/>
      </c>
      <c r="CS44" s="161">
        <f>IF(AE44="","",IFERROR(AE44*HSI!$B$39*HSI!$G$39/HSI!$B$3,""))</f>
        <v/>
      </c>
      <c r="CT44" s="161">
        <f>IF(AF44="","",IFERROR(AF44*HSI!$B$39*HSI!$G$39/HSI!$B$3,""))</f>
        <v/>
      </c>
      <c r="CU44" s="161">
        <f>IF(AG44="","",IFERROR(AG44*HSI!$B$39*HSI!$G$39/HSI!$B$3,""))</f>
        <v/>
      </c>
      <c r="CV44" s="161">
        <f>IF(AH44="","",IFERROR(AH44*HSI!$B$39*HSI!$G$39/HSI!$B$3,""))</f>
        <v/>
      </c>
      <c r="CW44" s="161">
        <f>IF(AI44="","",IFERROR(AI44*HSI!$B$39*HSI!$G$39/HSI!$B$3,""))</f>
        <v/>
      </c>
      <c r="CX44" s="161">
        <f>IF(AJ44="","",IFERROR(AJ44*HSI!$B$39*HSI!$G$39/HSI!$B$3,""))</f>
        <v/>
      </c>
      <c r="CY44" s="161">
        <f>IF(AK44="","",IFERROR(AK44*HSI!$B$39*HSI!$G$39/HSI!$B$3,""))</f>
        <v/>
      </c>
      <c r="CZ44" s="161">
        <f>IF(AL44="","",IFERROR(AL44*HSI!$B$39*HSI!$G$39/HSI!$B$3,""))</f>
        <v/>
      </c>
      <c r="DA44" s="161">
        <f>IF(AM44="","",IFERROR(AM44*HSI!$B$39*HSI!$G$39/HSI!$B$3,""))</f>
        <v/>
      </c>
      <c r="DB44" s="161">
        <f>IF(AN44="","",IFERROR(AN44*HSI!$B$39*HSI!$G$39/HSI!$B$3,""))</f>
        <v/>
      </c>
      <c r="DC44" s="161">
        <f>IF(AO44="","",IFERROR(AO44*HSI!$B$39*HSI!$G$39/HSI!$B$3,""))</f>
        <v/>
      </c>
      <c r="DD44" s="161">
        <f>IF(AP44="","",IFERROR(AP44*HSI!$B$39*HSI!$G$39/HSI!$B$3,""))</f>
        <v/>
      </c>
      <c r="DE44" s="161">
        <f>IF(AQ44="","",IFERROR(AQ44*HSI!$B$39*HSI!$G$39/HSI!$B$3,""))</f>
        <v/>
      </c>
      <c r="DF44" s="161">
        <f>IF(AR44="","",IFERROR(AR44*HSI!$B$39*HSI!$G$39/HSI!$B$3,""))</f>
        <v/>
      </c>
      <c r="DG44" s="161">
        <f>IF(AS44="","",IFERROR(AS44*HSI!$B$39*HSI!$G$39/HSI!$B$3,""))</f>
        <v/>
      </c>
      <c r="DH44" s="161">
        <f>IF(AT44="","",IFERROR(AT44*HSI!$B$39*HSI!$G$39/HSI!$B$3,""))</f>
        <v/>
      </c>
      <c r="DI44" s="161">
        <f>IF(AU44="","",IFERROR(AU44*HSI!$B$39*HSI!$G$39/HSI!$B$3,""))</f>
        <v/>
      </c>
      <c r="DJ44" s="161">
        <f>IF(AV44="","",IFERROR(AV44*HSI!$B$39*HSI!$G$39/HSI!$B$3,""))</f>
        <v/>
      </c>
      <c r="DK44" s="161">
        <f>IF(AW44="","",IFERROR(AW44*HSI!$B$39*HSI!$G$39/HSI!$B$3,""))</f>
        <v/>
      </c>
      <c r="DL44" s="161">
        <f>IF(AX44="","",IFERROR(AX44*HSI!$B$39*HSI!$G$39/HSI!$B$3,""))</f>
        <v/>
      </c>
      <c r="DM44" s="161">
        <f>IF(AY44="","",IFERROR(AY44*HSI!$B$39*HSI!$G$39/HSI!$B$3,""))</f>
        <v/>
      </c>
      <c r="DN44" s="161">
        <f>IF(AZ44="","",IFERROR(AZ44*HSI!$B$39*HSI!$G$39/HSI!$B$3,""))</f>
        <v/>
      </c>
      <c r="DO44" s="161">
        <f>IF(BA44="","",IFERROR(BA44*HSI!$B$39*HSI!$G$39/HSI!$B$3,""))</f>
        <v/>
      </c>
      <c r="DP44" s="161">
        <f>IF(BB44="","",IFERROR(BB44*HSI!$B$39*HSI!$G$39/HSI!$B$3,""))</f>
        <v/>
      </c>
      <c r="DQ44" s="161">
        <f>IF(BC44="","",IFERROR(BC44*HSI!$B$39*HSI!$G$39/HSI!$B$3,""))</f>
        <v/>
      </c>
      <c r="DR44" s="161">
        <f>IF(BD44="","",IFERROR(BD44*HSI!$B$39*HSI!$G$39/HSI!$B$3,""))</f>
        <v/>
      </c>
      <c r="DS44" s="161">
        <f>IF(BE44="","",IFERROR(BE44*HSI!$B$39*HSI!$G$39/HSI!$B$3,""))</f>
        <v/>
      </c>
      <c r="DT44" s="161">
        <f>IF(BF44="","",IFERROR(BF44*HSI!$B$39*HSI!$G$39/HSI!$B$3,""))</f>
        <v/>
      </c>
      <c r="DU44" s="161">
        <f>IF(BG44="","",IFERROR(BG44*HSI!$B$39*HSI!$G$39/HSI!$B$3,""))</f>
        <v/>
      </c>
      <c r="DV44" s="161">
        <f>IF(BH44="","",IFERROR(BH44*HSI!$B$39*HSI!$G$39/HSI!$B$3,""))</f>
        <v/>
      </c>
      <c r="DW44" s="161">
        <f>IF(BI44="","",IFERROR(BI44*HSI!$B$39*HSI!$G$39/HSI!$B$3,""))</f>
        <v/>
      </c>
      <c r="DX44" s="161">
        <f>IF(BJ44="","",IFERROR(BJ44*HSI!$B$39*HSI!$G$39/HSI!$B$3,""))</f>
        <v/>
      </c>
      <c r="DY44" s="161">
        <f>IF(BK44="","",IFERROR(BK44*HSI!$B$39*HSI!$G$39/HSI!$B$3,""))</f>
        <v/>
      </c>
      <c r="DZ44" s="161">
        <f>IF(BL44="","",IFERROR(BL44*HSI!$B$39*HSI!$G$39/HSI!$B$3,""))</f>
        <v/>
      </c>
      <c r="EA44" s="161">
        <f>IF(BM44="","",IFERROR(BM44*HSI!$B$39*HSI!$G$39/HSI!$B$3,""))</f>
        <v/>
      </c>
      <c r="EB44" s="161">
        <f>IF(BN44="","",IFERROR(BN44*HSI!$B$39*HSI!$G$39/HSI!$B$3,""))</f>
        <v/>
      </c>
      <c r="EC44" s="161">
        <f>IF(BO44="","",IFERROR(BO44*HSI!$B$39*HSI!$G$39/HSI!$B$3,""))</f>
        <v/>
      </c>
      <c r="EE44" s="121">
        <f>IF(N('Dvd Calendar'!$E$363)=0,"",IF(('Dvd Calendar'!$E$363&gt;=GRID_FROM)*('Dvd Calendar'!$E$363&lt;=GRID_TO)*((('Dvd Calendar'!$E$363&lt;=VAL_DATE)+(COUNTIF('Dvd Calendar'!$E$370:$AR$370,'Dvd Calendar'!$E$363)=0))&gt;0)=0,"",'Dvd Calendar'!$E$363*1000000000+ISNUMBER('Dvd Calendar'!$E$366)*100000000+('Dvd Calendar'!$E$368=SPECIAL_LBL)*10000000+(N('Dvd Calendar'!$E$362)&gt;0)*(N('Dvd Calendar'!$E$362)&lt;=VAL_SERIAL)*1000000+33*1000+1))</f>
        <v/>
      </c>
      <c r="EF44" s="121">
        <f>IF(N('Dvd Calendar'!$F$363)=0,"",IF(('Dvd Calendar'!$F$363&gt;=GRID_FROM)*('Dvd Calendar'!$F$363&lt;=GRID_TO)*((('Dvd Calendar'!$F$363&lt;=VAL_DATE)+(COUNTIF('Dvd Calendar'!$E$370:$AR$370,'Dvd Calendar'!$F$363)=0))&gt;0)=0,"",'Dvd Calendar'!$F$363*1000000000+ISNUMBER('Dvd Calendar'!$F$366)*100000000+('Dvd Calendar'!$F$368=SPECIAL_LBL)*10000000+(N('Dvd Calendar'!$F$362)&gt;0)*(N('Dvd Calendar'!$F$362)&lt;=VAL_SERIAL)*1000000+33*1000+2))</f>
        <v/>
      </c>
      <c r="EG44" s="121">
        <f>IF(N('Dvd Calendar'!$G$363)=0,"",IF(('Dvd Calendar'!$G$363&gt;=GRID_FROM)*('Dvd Calendar'!$G$363&lt;=GRID_TO)*((('Dvd Calendar'!$G$363&lt;=VAL_DATE)+(COUNTIF('Dvd Calendar'!$E$370:$AR$370,'Dvd Calendar'!$G$363)=0))&gt;0)=0,"",'Dvd Calendar'!$G$363*1000000000+ISNUMBER('Dvd Calendar'!$G$366)*100000000+('Dvd Calendar'!$G$368=SPECIAL_LBL)*10000000+(N('Dvd Calendar'!$G$362)&gt;0)*(N('Dvd Calendar'!$G$362)&lt;=VAL_SERIAL)*1000000+33*1000+3))</f>
        <v/>
      </c>
      <c r="EH44" s="121">
        <f>IF(N('Dvd Calendar'!$H$363)=0,"",IF(('Dvd Calendar'!$H$363&gt;=GRID_FROM)*('Dvd Calendar'!$H$363&lt;=GRID_TO)*((('Dvd Calendar'!$H$363&lt;=VAL_DATE)+(COUNTIF('Dvd Calendar'!$E$370:$AR$370,'Dvd Calendar'!$H$363)=0))&gt;0)=0,"",'Dvd Calendar'!$H$363*1000000000+ISNUMBER('Dvd Calendar'!$H$366)*100000000+('Dvd Calendar'!$H$368=SPECIAL_LBL)*10000000+(N('Dvd Calendar'!$H$362)&gt;0)*(N('Dvd Calendar'!$H$362)&lt;=VAL_SERIAL)*1000000+33*1000+4))</f>
        <v/>
      </c>
      <c r="EI44" s="121">
        <f>IF(N('Dvd Calendar'!$I$363)=0,"",IF(('Dvd Calendar'!$I$363&gt;=GRID_FROM)*('Dvd Calendar'!$I$363&lt;=GRID_TO)*((('Dvd Calendar'!$I$363&lt;=VAL_DATE)+(COUNTIF('Dvd Calendar'!$E$370:$AR$370,'Dvd Calendar'!$I$363)=0))&gt;0)=0,"",'Dvd Calendar'!$I$363*1000000000+ISNUMBER('Dvd Calendar'!$I$366)*100000000+('Dvd Calendar'!$I$368=SPECIAL_LBL)*10000000+(N('Dvd Calendar'!$I$362)&gt;0)*(N('Dvd Calendar'!$I$362)&lt;=VAL_SERIAL)*1000000+33*1000+5))</f>
        <v/>
      </c>
      <c r="EJ44" s="121">
        <f>IF(N('Dvd Calendar'!$J$363)=0,"",IF(('Dvd Calendar'!$J$363&gt;=GRID_FROM)*('Dvd Calendar'!$J$363&lt;=GRID_TO)*((('Dvd Calendar'!$J$363&lt;=VAL_DATE)+(COUNTIF('Dvd Calendar'!$E$370:$AR$370,'Dvd Calendar'!$J$363)=0))&gt;0)=0,"",'Dvd Calendar'!$J$363*1000000000+ISNUMBER('Dvd Calendar'!$J$366)*100000000+('Dvd Calendar'!$J$368=SPECIAL_LBL)*10000000+(N('Dvd Calendar'!$J$362)&gt;0)*(N('Dvd Calendar'!$J$362)&lt;=VAL_SERIAL)*1000000+33*1000+6))</f>
        <v/>
      </c>
      <c r="EK44" s="121">
        <f>IF(N('Dvd Calendar'!$K$363)=0,"",IF(('Dvd Calendar'!$K$363&gt;=GRID_FROM)*('Dvd Calendar'!$K$363&lt;=GRID_TO)*((('Dvd Calendar'!$K$363&lt;=VAL_DATE)+(COUNTIF('Dvd Calendar'!$E$370:$AR$370,'Dvd Calendar'!$K$363)=0))&gt;0)=0,"",'Dvd Calendar'!$K$363*1000000000+ISNUMBER('Dvd Calendar'!$K$366)*100000000+('Dvd Calendar'!$K$368=SPECIAL_LBL)*10000000+(N('Dvd Calendar'!$K$362)&gt;0)*(N('Dvd Calendar'!$K$362)&lt;=VAL_SERIAL)*1000000+33*1000+7))</f>
        <v/>
      </c>
      <c r="EL44" s="121">
        <f>IF(N('Dvd Calendar'!$L$363)=0,"",IF(('Dvd Calendar'!$L$363&gt;=GRID_FROM)*('Dvd Calendar'!$L$363&lt;=GRID_TO)*((('Dvd Calendar'!$L$363&lt;=VAL_DATE)+(COUNTIF('Dvd Calendar'!$E$370:$AR$370,'Dvd Calendar'!$L$363)=0))&gt;0)=0,"",'Dvd Calendar'!$L$363*1000000000+ISNUMBER('Dvd Calendar'!$L$366)*100000000+('Dvd Calendar'!$L$368=SPECIAL_LBL)*10000000+(N('Dvd Calendar'!$L$362)&gt;0)*(N('Dvd Calendar'!$L$362)&lt;=VAL_SERIAL)*1000000+33*1000+8))</f>
        <v/>
      </c>
      <c r="EM44" s="121">
        <f>IF(N('Dvd Calendar'!$M$363)=0,"",IF(('Dvd Calendar'!$M$363&gt;=GRID_FROM)*('Dvd Calendar'!$M$363&lt;=GRID_TO)*((('Dvd Calendar'!$M$363&lt;=VAL_DATE)+(COUNTIF('Dvd Calendar'!$E$370:$AR$370,'Dvd Calendar'!$M$363)=0))&gt;0)=0,"",'Dvd Calendar'!$M$363*1000000000+ISNUMBER('Dvd Calendar'!$M$366)*100000000+('Dvd Calendar'!$M$368=SPECIAL_LBL)*10000000+(N('Dvd Calendar'!$M$362)&gt;0)*(N('Dvd Calendar'!$M$362)&lt;=VAL_SERIAL)*1000000+33*1000+9))</f>
        <v/>
      </c>
      <c r="EN44" s="121">
        <f>IF(N('Dvd Calendar'!$N$363)=0,"",IF(('Dvd Calendar'!$N$363&gt;=GRID_FROM)*('Dvd Calendar'!$N$363&lt;=GRID_TO)*((('Dvd Calendar'!$N$363&lt;=VAL_DATE)+(COUNTIF('Dvd Calendar'!$E$370:$AR$370,'Dvd Calendar'!$N$363)=0))&gt;0)=0,"",'Dvd Calendar'!$N$363*1000000000+ISNUMBER('Dvd Calendar'!$N$366)*100000000+('Dvd Calendar'!$N$368=SPECIAL_LBL)*10000000+(N('Dvd Calendar'!$N$362)&gt;0)*(N('Dvd Calendar'!$N$362)&lt;=VAL_SERIAL)*1000000+33*1000+10))</f>
        <v/>
      </c>
      <c r="EO44" s="121">
        <f>IF(N('Dvd Calendar'!$O$363)=0,"",IF(('Dvd Calendar'!$O$363&gt;=GRID_FROM)*('Dvd Calendar'!$O$363&lt;=GRID_TO)*((('Dvd Calendar'!$O$363&lt;=VAL_DATE)+(COUNTIF('Dvd Calendar'!$E$370:$AR$370,'Dvd Calendar'!$O$363)=0))&gt;0)=0,"",'Dvd Calendar'!$O$363*1000000000+ISNUMBER('Dvd Calendar'!$O$366)*100000000+('Dvd Calendar'!$O$368=SPECIAL_LBL)*10000000+(N('Dvd Calendar'!$O$362)&gt;0)*(N('Dvd Calendar'!$O$362)&lt;=VAL_SERIAL)*1000000+33*1000+11))</f>
        <v/>
      </c>
      <c r="EP44" s="121">
        <f>IF(N('Dvd Calendar'!$P$363)=0,"",IF(('Dvd Calendar'!$P$363&gt;=GRID_FROM)*('Dvd Calendar'!$P$363&lt;=GRID_TO)*((('Dvd Calendar'!$P$363&lt;=VAL_DATE)+(COUNTIF('Dvd Calendar'!$E$370:$AR$370,'Dvd Calendar'!$P$363)=0))&gt;0)=0,"",'Dvd Calendar'!$P$363*1000000000+ISNUMBER('Dvd Calendar'!$P$366)*100000000+('Dvd Calendar'!$P$368=SPECIAL_LBL)*10000000+(N('Dvd Calendar'!$P$362)&gt;0)*(N('Dvd Calendar'!$P$362)&lt;=VAL_SERIAL)*1000000+33*1000+12))</f>
        <v/>
      </c>
      <c r="EQ44" s="121">
        <f>IF(N('Dvd Calendar'!$Q$363)=0,"",IF(('Dvd Calendar'!$Q$363&gt;=GRID_FROM)*('Dvd Calendar'!$Q$363&lt;=GRID_TO)*((('Dvd Calendar'!$Q$363&lt;=VAL_DATE)+(COUNTIF('Dvd Calendar'!$E$370:$AR$370,'Dvd Calendar'!$Q$363)=0))&gt;0)=0,"",'Dvd Calendar'!$Q$363*1000000000+ISNUMBER('Dvd Calendar'!$Q$366)*100000000+('Dvd Calendar'!$Q$368=SPECIAL_LBL)*10000000+(N('Dvd Calendar'!$Q$362)&gt;0)*(N('Dvd Calendar'!$Q$362)&lt;=VAL_SERIAL)*1000000+33*1000+13))</f>
        <v/>
      </c>
      <c r="ER44" s="121">
        <f>IF(N('Dvd Calendar'!$R$363)=0,"",IF(('Dvd Calendar'!$R$363&gt;=GRID_FROM)*('Dvd Calendar'!$R$363&lt;=GRID_TO)*((('Dvd Calendar'!$R$363&lt;=VAL_DATE)+(COUNTIF('Dvd Calendar'!$E$370:$AR$370,'Dvd Calendar'!$R$363)=0))&gt;0)=0,"",'Dvd Calendar'!$R$363*1000000000+ISNUMBER('Dvd Calendar'!$R$366)*100000000+('Dvd Calendar'!$R$368=SPECIAL_LBL)*10000000+(N('Dvd Calendar'!$R$362)&gt;0)*(N('Dvd Calendar'!$R$362)&lt;=VAL_SERIAL)*1000000+33*1000+14))</f>
        <v/>
      </c>
      <c r="ES44" s="121">
        <f>IF(N('Dvd Calendar'!$S$363)=0,"",IF(('Dvd Calendar'!$S$363&gt;=GRID_FROM)*('Dvd Calendar'!$S$363&lt;=GRID_TO)*((('Dvd Calendar'!$S$363&lt;=VAL_DATE)+(COUNTIF('Dvd Calendar'!$E$370:$AR$370,'Dvd Calendar'!$S$363)=0))&gt;0)=0,"",'Dvd Calendar'!$S$363*1000000000+ISNUMBER('Dvd Calendar'!$S$366)*100000000+('Dvd Calendar'!$S$368=SPECIAL_LBL)*10000000+(N('Dvd Calendar'!$S$362)&gt;0)*(N('Dvd Calendar'!$S$362)&lt;=VAL_SERIAL)*1000000+33*1000+15))</f>
        <v/>
      </c>
      <c r="ET44" s="121">
        <f>IF(N('Dvd Calendar'!$T$363)=0,"",IF(('Dvd Calendar'!$T$363&gt;=GRID_FROM)*('Dvd Calendar'!$T$363&lt;=GRID_TO)*((('Dvd Calendar'!$T$363&lt;=VAL_DATE)+(COUNTIF('Dvd Calendar'!$E$370:$AR$370,'Dvd Calendar'!$T$363)=0))&gt;0)=0,"",'Dvd Calendar'!$T$363*1000000000+ISNUMBER('Dvd Calendar'!$T$366)*100000000+('Dvd Calendar'!$T$368=SPECIAL_LBL)*10000000+(N('Dvd Calendar'!$T$362)&gt;0)*(N('Dvd Calendar'!$T$362)&lt;=VAL_SERIAL)*1000000+33*1000+16))</f>
        <v/>
      </c>
      <c r="EU44" s="121">
        <f>IF(N('Dvd Calendar'!$U$363)=0,"",IF(('Dvd Calendar'!$U$363&gt;=GRID_FROM)*('Dvd Calendar'!$U$363&lt;=GRID_TO)*((('Dvd Calendar'!$U$363&lt;=VAL_DATE)+(COUNTIF('Dvd Calendar'!$E$370:$AR$370,'Dvd Calendar'!$U$363)=0))&gt;0)=0,"",'Dvd Calendar'!$U$363*1000000000+ISNUMBER('Dvd Calendar'!$U$366)*100000000+('Dvd Calendar'!$U$368=SPECIAL_LBL)*10000000+(N('Dvd Calendar'!$U$362)&gt;0)*(N('Dvd Calendar'!$U$362)&lt;=VAL_SERIAL)*1000000+33*1000+17))</f>
        <v/>
      </c>
      <c r="EV44" s="121">
        <f>IF(N('Dvd Calendar'!$V$363)=0,"",IF(('Dvd Calendar'!$V$363&gt;=GRID_FROM)*('Dvd Calendar'!$V$363&lt;=GRID_TO)*((('Dvd Calendar'!$V$363&lt;=VAL_DATE)+(COUNTIF('Dvd Calendar'!$E$370:$AR$370,'Dvd Calendar'!$V$363)=0))&gt;0)=0,"",'Dvd Calendar'!$V$363*1000000000+ISNUMBER('Dvd Calendar'!$V$366)*100000000+('Dvd Calendar'!$V$368=SPECIAL_LBL)*10000000+(N('Dvd Calendar'!$V$362)&gt;0)*(N('Dvd Calendar'!$V$362)&lt;=VAL_SERIAL)*1000000+33*1000+18))</f>
        <v/>
      </c>
      <c r="EW44" s="121">
        <f>IF(N('Dvd Calendar'!$W$363)=0,"",IF(('Dvd Calendar'!$W$363&gt;=GRID_FROM)*('Dvd Calendar'!$W$363&lt;=GRID_TO)*((('Dvd Calendar'!$W$363&lt;=VAL_DATE)+(COUNTIF('Dvd Calendar'!$E$370:$AR$370,'Dvd Calendar'!$W$363)=0))&gt;0)=0,"",'Dvd Calendar'!$W$363*1000000000+ISNUMBER('Dvd Calendar'!$W$366)*100000000+('Dvd Calendar'!$W$368=SPECIAL_LBL)*10000000+(N('Dvd Calendar'!$W$362)&gt;0)*(N('Dvd Calendar'!$W$362)&lt;=VAL_SERIAL)*1000000+33*1000+19))</f>
        <v/>
      </c>
      <c r="EX44" s="121">
        <f>IF(N('Dvd Calendar'!$X$363)=0,"",IF(('Dvd Calendar'!$X$363&gt;=GRID_FROM)*('Dvd Calendar'!$X$363&lt;=GRID_TO)*((('Dvd Calendar'!$X$363&lt;=VAL_DATE)+(COUNTIF('Dvd Calendar'!$E$370:$AR$370,'Dvd Calendar'!$X$363)=0))&gt;0)=0,"",'Dvd Calendar'!$X$363*1000000000+ISNUMBER('Dvd Calendar'!$X$366)*100000000+('Dvd Calendar'!$X$368=SPECIAL_LBL)*10000000+(N('Dvd Calendar'!$X$362)&gt;0)*(N('Dvd Calendar'!$X$362)&lt;=VAL_SERIAL)*1000000+33*1000+20))</f>
        <v/>
      </c>
      <c r="EY44" s="121">
        <f>IF(N('Dvd Calendar'!$Y$363)=0,"",IF(('Dvd Calendar'!$Y$363&gt;=GRID_FROM)*('Dvd Calendar'!$Y$363&lt;=GRID_TO)*((('Dvd Calendar'!$Y$363&lt;=VAL_DATE)+(COUNTIF('Dvd Calendar'!$E$370:$AR$370,'Dvd Calendar'!$Y$363)=0))&gt;0)=0,"",'Dvd Calendar'!$Y$363*1000000000+ISNUMBER('Dvd Calendar'!$Y$366)*100000000+('Dvd Calendar'!$Y$368=SPECIAL_LBL)*10000000+(N('Dvd Calendar'!$Y$362)&gt;0)*(N('Dvd Calendar'!$Y$362)&lt;=VAL_SERIAL)*1000000+33*1000+21))</f>
        <v/>
      </c>
      <c r="EZ44" s="121">
        <f>IF(N('Dvd Calendar'!$Z$363)=0,"",IF(('Dvd Calendar'!$Z$363&gt;=GRID_FROM)*('Dvd Calendar'!$Z$363&lt;=GRID_TO)*((('Dvd Calendar'!$Z$363&lt;=VAL_DATE)+(COUNTIF('Dvd Calendar'!$E$370:$AR$370,'Dvd Calendar'!$Z$363)=0))&gt;0)=0,"",'Dvd Calendar'!$Z$363*1000000000+ISNUMBER('Dvd Calendar'!$Z$366)*100000000+('Dvd Calendar'!$Z$368=SPECIAL_LBL)*10000000+(N('Dvd Calendar'!$Z$362)&gt;0)*(N('Dvd Calendar'!$Z$362)&lt;=VAL_SERIAL)*1000000+33*1000+22))</f>
        <v/>
      </c>
      <c r="FA44" s="121">
        <f>IF(N('Dvd Calendar'!$AA$363)=0,"",IF(('Dvd Calendar'!$AA$363&gt;=GRID_FROM)*('Dvd Calendar'!$AA$363&lt;=GRID_TO)*((('Dvd Calendar'!$AA$363&lt;=VAL_DATE)+(COUNTIF('Dvd Calendar'!$E$370:$AR$370,'Dvd Calendar'!$AA$363)=0))&gt;0)=0,"",'Dvd Calendar'!$AA$363*1000000000+ISNUMBER('Dvd Calendar'!$AA$366)*100000000+('Dvd Calendar'!$AA$368=SPECIAL_LBL)*10000000+(N('Dvd Calendar'!$AA$362)&gt;0)*(N('Dvd Calendar'!$AA$362)&lt;=VAL_SERIAL)*1000000+33*1000+23))</f>
        <v/>
      </c>
      <c r="FB44" s="121">
        <f>IF(N('Dvd Calendar'!$AB$363)=0,"",IF(('Dvd Calendar'!$AB$363&gt;=GRID_FROM)*('Dvd Calendar'!$AB$363&lt;=GRID_TO)*((('Dvd Calendar'!$AB$363&lt;=VAL_DATE)+(COUNTIF('Dvd Calendar'!$E$370:$AR$370,'Dvd Calendar'!$AB$363)=0))&gt;0)=0,"",'Dvd Calendar'!$AB$363*1000000000+ISNUMBER('Dvd Calendar'!$AB$366)*100000000+('Dvd Calendar'!$AB$368=SPECIAL_LBL)*10000000+(N('Dvd Calendar'!$AB$362)&gt;0)*(N('Dvd Calendar'!$AB$362)&lt;=VAL_SERIAL)*1000000+33*1000+24))</f>
        <v/>
      </c>
      <c r="FC44" s="121">
        <f>IF(N('Dvd Calendar'!$AC$363)=0,"",IF(('Dvd Calendar'!$AC$363&gt;=GRID_FROM)*('Dvd Calendar'!$AC$363&lt;=GRID_TO)*((('Dvd Calendar'!$AC$363&lt;=VAL_DATE)+(COUNTIF('Dvd Calendar'!$E$370:$AR$370,'Dvd Calendar'!$AC$363)=0))&gt;0)=0,"",'Dvd Calendar'!$AC$363*1000000000+ISNUMBER('Dvd Calendar'!$AC$366)*100000000+('Dvd Calendar'!$AC$368=SPECIAL_LBL)*10000000+(N('Dvd Calendar'!$AC$362)&gt;0)*(N('Dvd Calendar'!$AC$362)&lt;=VAL_SERIAL)*1000000+33*1000+25))</f>
        <v/>
      </c>
      <c r="FD44" s="121">
        <f>IF(N('Dvd Calendar'!$AD$363)=0,"",IF(('Dvd Calendar'!$AD$363&gt;=GRID_FROM)*('Dvd Calendar'!$AD$363&lt;=GRID_TO)*((('Dvd Calendar'!$AD$363&lt;=VAL_DATE)+(COUNTIF('Dvd Calendar'!$E$370:$AR$370,'Dvd Calendar'!$AD$363)=0))&gt;0)=0,"",'Dvd Calendar'!$AD$363*1000000000+ISNUMBER('Dvd Calendar'!$AD$366)*100000000+('Dvd Calendar'!$AD$368=SPECIAL_LBL)*10000000+(N('Dvd Calendar'!$AD$362)&gt;0)*(N('Dvd Calendar'!$AD$362)&lt;=VAL_SERIAL)*1000000+33*1000+26))</f>
        <v/>
      </c>
      <c r="FE44" s="121">
        <f>IF(N('Dvd Calendar'!$AE$363)=0,"",IF(('Dvd Calendar'!$AE$363&gt;=GRID_FROM)*('Dvd Calendar'!$AE$363&lt;=GRID_TO)*((('Dvd Calendar'!$AE$363&lt;=VAL_DATE)+(COUNTIF('Dvd Calendar'!$E$370:$AR$370,'Dvd Calendar'!$AE$363)=0))&gt;0)=0,"",'Dvd Calendar'!$AE$363*1000000000+ISNUMBER('Dvd Calendar'!$AE$366)*100000000+('Dvd Calendar'!$AE$368=SPECIAL_LBL)*10000000+(N('Dvd Calendar'!$AE$362)&gt;0)*(N('Dvd Calendar'!$AE$362)&lt;=VAL_SERIAL)*1000000+33*1000+27))</f>
        <v/>
      </c>
      <c r="FF44" s="121">
        <f>IF(N('Dvd Calendar'!$AF$363)=0,"",IF(('Dvd Calendar'!$AF$363&gt;=GRID_FROM)*('Dvd Calendar'!$AF$363&lt;=GRID_TO)*((('Dvd Calendar'!$AF$363&lt;=VAL_DATE)+(COUNTIF('Dvd Calendar'!$E$370:$AR$370,'Dvd Calendar'!$AF$363)=0))&gt;0)=0,"",'Dvd Calendar'!$AF$363*1000000000+ISNUMBER('Dvd Calendar'!$AF$366)*100000000+('Dvd Calendar'!$AF$368=SPECIAL_LBL)*10000000+(N('Dvd Calendar'!$AF$362)&gt;0)*(N('Dvd Calendar'!$AF$362)&lt;=VAL_SERIAL)*1000000+33*1000+28))</f>
        <v/>
      </c>
      <c r="FG44" s="121">
        <f>IF(N('Dvd Calendar'!$AG$363)=0,"",IF(('Dvd Calendar'!$AG$363&gt;=GRID_FROM)*('Dvd Calendar'!$AG$363&lt;=GRID_TO)*((('Dvd Calendar'!$AG$363&lt;=VAL_DATE)+(COUNTIF('Dvd Calendar'!$E$370:$AR$370,'Dvd Calendar'!$AG$363)=0))&gt;0)=0,"",'Dvd Calendar'!$AG$363*1000000000+ISNUMBER('Dvd Calendar'!$AG$366)*100000000+('Dvd Calendar'!$AG$368=SPECIAL_LBL)*10000000+(N('Dvd Calendar'!$AG$362)&gt;0)*(N('Dvd Calendar'!$AG$362)&lt;=VAL_SERIAL)*1000000+33*1000+29))</f>
        <v/>
      </c>
      <c r="FH44" s="121">
        <f>IF(N('Dvd Calendar'!$AH$363)=0,"",IF(('Dvd Calendar'!$AH$363&gt;=GRID_FROM)*('Dvd Calendar'!$AH$363&lt;=GRID_TO)*((('Dvd Calendar'!$AH$363&lt;=VAL_DATE)+(COUNTIF('Dvd Calendar'!$E$370:$AR$370,'Dvd Calendar'!$AH$363)=0))&gt;0)=0,"",'Dvd Calendar'!$AH$363*1000000000+ISNUMBER('Dvd Calendar'!$AH$366)*100000000+('Dvd Calendar'!$AH$368=SPECIAL_LBL)*10000000+(N('Dvd Calendar'!$AH$362)&gt;0)*(N('Dvd Calendar'!$AH$362)&lt;=VAL_SERIAL)*1000000+33*1000+30))</f>
        <v/>
      </c>
      <c r="FI44" s="121">
        <f>IF(N('Dvd Calendar'!$AI$363)=0,"",IF(('Dvd Calendar'!$AI$363&gt;=GRID_FROM)*('Dvd Calendar'!$AI$363&lt;=GRID_TO)*((('Dvd Calendar'!$AI$363&lt;=VAL_DATE)+(COUNTIF('Dvd Calendar'!$E$370:$AR$370,'Dvd Calendar'!$AI$363)=0))&gt;0)=0,"",'Dvd Calendar'!$AI$363*1000000000+ISNUMBER('Dvd Calendar'!$AI$366)*100000000+('Dvd Calendar'!$AI$368=SPECIAL_LBL)*10000000+(N('Dvd Calendar'!$AI$362)&gt;0)*(N('Dvd Calendar'!$AI$362)&lt;=VAL_SERIAL)*1000000+33*1000+31))</f>
        <v/>
      </c>
      <c r="FJ44" s="121">
        <f>IF(N('Dvd Calendar'!$AJ$363)=0,"",IF(('Dvd Calendar'!$AJ$363&gt;=GRID_FROM)*('Dvd Calendar'!$AJ$363&lt;=GRID_TO)*((('Dvd Calendar'!$AJ$363&lt;=VAL_DATE)+(COUNTIF('Dvd Calendar'!$E$370:$AR$370,'Dvd Calendar'!$AJ$363)=0))&gt;0)=0,"",'Dvd Calendar'!$AJ$363*1000000000+ISNUMBER('Dvd Calendar'!$AJ$366)*100000000+('Dvd Calendar'!$AJ$368=SPECIAL_LBL)*10000000+(N('Dvd Calendar'!$AJ$362)&gt;0)*(N('Dvd Calendar'!$AJ$362)&lt;=VAL_SERIAL)*1000000+33*1000+32))</f>
        <v/>
      </c>
      <c r="FK44" s="121">
        <f>IF(N('Dvd Calendar'!$AK$363)=0,"",IF(('Dvd Calendar'!$AK$363&gt;=GRID_FROM)*('Dvd Calendar'!$AK$363&lt;=GRID_TO)*((('Dvd Calendar'!$AK$363&lt;=VAL_DATE)+(COUNTIF('Dvd Calendar'!$E$370:$AR$370,'Dvd Calendar'!$AK$363)=0))&gt;0)=0,"",'Dvd Calendar'!$AK$363*1000000000+ISNUMBER('Dvd Calendar'!$AK$366)*100000000+('Dvd Calendar'!$AK$368=SPECIAL_LBL)*10000000+(N('Dvd Calendar'!$AK$362)&gt;0)*(N('Dvd Calendar'!$AK$362)&lt;=VAL_SERIAL)*1000000+33*1000+33))</f>
        <v/>
      </c>
      <c r="FL44" s="121">
        <f>IF(N('Dvd Calendar'!$AL$363)=0,"",IF(('Dvd Calendar'!$AL$363&gt;=GRID_FROM)*('Dvd Calendar'!$AL$363&lt;=GRID_TO)*((('Dvd Calendar'!$AL$363&lt;=VAL_DATE)+(COUNTIF('Dvd Calendar'!$E$370:$AR$370,'Dvd Calendar'!$AL$363)=0))&gt;0)=0,"",'Dvd Calendar'!$AL$363*1000000000+ISNUMBER('Dvd Calendar'!$AL$366)*100000000+('Dvd Calendar'!$AL$368=SPECIAL_LBL)*10000000+(N('Dvd Calendar'!$AL$362)&gt;0)*(N('Dvd Calendar'!$AL$362)&lt;=VAL_SERIAL)*1000000+33*1000+34))</f>
        <v/>
      </c>
      <c r="FM44" s="121">
        <f>IF(N('Dvd Calendar'!$AM$363)=0,"",IF(('Dvd Calendar'!$AM$363&gt;=GRID_FROM)*('Dvd Calendar'!$AM$363&lt;=GRID_TO)*((('Dvd Calendar'!$AM$363&lt;=VAL_DATE)+(COUNTIF('Dvd Calendar'!$E$370:$AR$370,'Dvd Calendar'!$AM$363)=0))&gt;0)=0,"",'Dvd Calendar'!$AM$363*1000000000+ISNUMBER('Dvd Calendar'!$AM$366)*100000000+('Dvd Calendar'!$AM$368=SPECIAL_LBL)*10000000+(N('Dvd Calendar'!$AM$362)&gt;0)*(N('Dvd Calendar'!$AM$362)&lt;=VAL_SERIAL)*1000000+33*1000+35))</f>
        <v/>
      </c>
      <c r="FN44" s="121">
        <f>IF(N('Dvd Calendar'!$AN$363)=0,"",IF(('Dvd Calendar'!$AN$363&gt;=GRID_FROM)*('Dvd Calendar'!$AN$363&lt;=GRID_TO)*((('Dvd Calendar'!$AN$363&lt;=VAL_DATE)+(COUNTIF('Dvd Calendar'!$E$370:$AR$370,'Dvd Calendar'!$AN$363)=0))&gt;0)=0,"",'Dvd Calendar'!$AN$363*1000000000+ISNUMBER('Dvd Calendar'!$AN$366)*100000000+('Dvd Calendar'!$AN$368=SPECIAL_LBL)*10000000+(N('Dvd Calendar'!$AN$362)&gt;0)*(N('Dvd Calendar'!$AN$362)&lt;=VAL_SERIAL)*1000000+33*1000+36))</f>
        <v/>
      </c>
      <c r="FO44" s="121">
        <f>IF(N('Dvd Calendar'!$AO$363)=0,"",IF(('Dvd Calendar'!$AO$363&gt;=GRID_FROM)*('Dvd Calendar'!$AO$363&lt;=GRID_TO)*((('Dvd Calendar'!$AO$363&lt;=VAL_DATE)+(COUNTIF('Dvd Calendar'!$E$370:$AR$370,'Dvd Calendar'!$AO$363)=0))&gt;0)=0,"",'Dvd Calendar'!$AO$363*1000000000+ISNUMBER('Dvd Calendar'!$AO$366)*100000000+('Dvd Calendar'!$AO$368=SPECIAL_LBL)*10000000+(N('Dvd Calendar'!$AO$362)&gt;0)*(N('Dvd Calendar'!$AO$362)&lt;=VAL_SERIAL)*1000000+33*1000+37))</f>
        <v/>
      </c>
      <c r="FP44" s="121">
        <f>IF(N('Dvd Calendar'!$AP$363)=0,"",IF(('Dvd Calendar'!$AP$363&gt;=GRID_FROM)*('Dvd Calendar'!$AP$363&lt;=GRID_TO)*((('Dvd Calendar'!$AP$363&lt;=VAL_DATE)+(COUNTIF('Dvd Calendar'!$E$370:$AR$370,'Dvd Calendar'!$AP$363)=0))&gt;0)=0,"",'Dvd Calendar'!$AP$363*1000000000+ISNUMBER('Dvd Calendar'!$AP$366)*100000000+('Dvd Calendar'!$AP$368=SPECIAL_LBL)*10000000+(N('Dvd Calendar'!$AP$362)&gt;0)*(N('Dvd Calendar'!$AP$362)&lt;=VAL_SERIAL)*1000000+33*1000+38))</f>
        <v/>
      </c>
      <c r="FQ44" s="121">
        <f>IF(N('Dvd Calendar'!$AQ$363)=0,"",IF(('Dvd Calendar'!$AQ$363&gt;=GRID_FROM)*('Dvd Calendar'!$AQ$363&lt;=GRID_TO)*((('Dvd Calendar'!$AQ$363&lt;=VAL_DATE)+(COUNTIF('Dvd Calendar'!$E$370:$AR$370,'Dvd Calendar'!$AQ$363)=0))&gt;0)=0,"",'Dvd Calendar'!$AQ$363*1000000000+ISNUMBER('Dvd Calendar'!$AQ$366)*100000000+('Dvd Calendar'!$AQ$368=SPECIAL_LBL)*10000000+(N('Dvd Calendar'!$AQ$362)&gt;0)*(N('Dvd Calendar'!$AQ$362)&lt;=VAL_SERIAL)*1000000+33*1000+39))</f>
        <v/>
      </c>
      <c r="FR44" s="121">
        <f>IF(N('Dvd Calendar'!$AR$363)=0,"",IF(('Dvd Calendar'!$AR$363&gt;=GRID_FROM)*('Dvd Calendar'!$AR$363&lt;=GRID_TO)*((('Dvd Calendar'!$AR$363&lt;=VAL_DATE)+(COUNTIF('Dvd Calendar'!$E$370:$AR$370,'Dvd Calendar'!$AR$363)=0))&gt;0)=0,"",'Dvd Calendar'!$AR$363*1000000000+ISNUMBER('Dvd Calendar'!$AR$366)*100000000+('Dvd Calendar'!$AR$368=SPECIAL_LBL)*10000000+(N('Dvd Calendar'!$AR$362)&gt;0)*(N('Dvd Calendar'!$AR$362)&lt;=VAL_SERIAL)*1000000+33*1000+40))</f>
        <v/>
      </c>
      <c r="FS44" s="121">
        <f>IF(N('Dvd Calendar'!$E$370)=0,"",IF(('Dvd Calendar'!$E$370&gt;=GRID_FROM)*('Dvd Calendar'!$E$370&lt;=GRID_TO)*('Dvd Calendar'!$E$370&gt;VAL_DATE)=0,"",'Dvd Calendar'!$E$370*1000000000+ISNUMBER('Dvd Calendar'!$E$371)*100000000+0*10000000+(N('Dvd Calendar'!$E$369)&gt;0)*(N('Dvd Calendar'!$E$369)&lt;=VAL_SERIAL)*1000000+33*1000+41))</f>
        <v/>
      </c>
      <c r="FT44" s="121">
        <f>IF(N('Dvd Calendar'!$F$370)=0,"",IF(('Dvd Calendar'!$F$370&gt;=GRID_FROM)*('Dvd Calendar'!$F$370&lt;=GRID_TO)*('Dvd Calendar'!$F$370&gt;VAL_DATE)=0,"",'Dvd Calendar'!$F$370*1000000000+ISNUMBER('Dvd Calendar'!$F$371)*100000000+0*10000000+(N('Dvd Calendar'!$F$369)&gt;0)*(N('Dvd Calendar'!$F$369)&lt;=VAL_SERIAL)*1000000+33*1000+42))</f>
        <v/>
      </c>
      <c r="FU44" s="121">
        <f>IF(N('Dvd Calendar'!$G$370)=0,"",IF(('Dvd Calendar'!$G$370&gt;=GRID_FROM)*('Dvd Calendar'!$G$370&lt;=GRID_TO)*('Dvd Calendar'!$G$370&gt;VAL_DATE)=0,"",'Dvd Calendar'!$G$370*1000000000+ISNUMBER('Dvd Calendar'!$G$371)*100000000+0*10000000+(N('Dvd Calendar'!$G$369)&gt;0)*(N('Dvd Calendar'!$G$369)&lt;=VAL_SERIAL)*1000000+33*1000+43))</f>
        <v/>
      </c>
      <c r="FV44" s="121">
        <f>IF(N('Dvd Calendar'!$H$370)=0,"",IF(('Dvd Calendar'!$H$370&gt;=GRID_FROM)*('Dvd Calendar'!$H$370&lt;=GRID_TO)*('Dvd Calendar'!$H$370&gt;VAL_DATE)=0,"",'Dvd Calendar'!$H$370*1000000000+ISNUMBER('Dvd Calendar'!$H$371)*100000000+0*10000000+(N('Dvd Calendar'!$H$369)&gt;0)*(N('Dvd Calendar'!$H$369)&lt;=VAL_SERIAL)*1000000+33*1000+44))</f>
        <v/>
      </c>
      <c r="FW44" s="121">
        <f>IF(N('Dvd Calendar'!$I$370)=0,"",IF(('Dvd Calendar'!$I$370&gt;=GRID_FROM)*('Dvd Calendar'!$I$370&lt;=GRID_TO)*('Dvd Calendar'!$I$370&gt;VAL_DATE)=0,"",'Dvd Calendar'!$I$370*1000000000+ISNUMBER('Dvd Calendar'!$I$371)*100000000+0*10000000+(N('Dvd Calendar'!$I$369)&gt;0)*(N('Dvd Calendar'!$I$369)&lt;=VAL_SERIAL)*1000000+33*1000+45))</f>
        <v/>
      </c>
      <c r="FX44" s="121">
        <f>IF(N('Dvd Calendar'!$J$370)=0,"",IF(('Dvd Calendar'!$J$370&gt;=GRID_FROM)*('Dvd Calendar'!$J$370&lt;=GRID_TO)*('Dvd Calendar'!$J$370&gt;VAL_DATE)=0,"",'Dvd Calendar'!$J$370*1000000000+ISNUMBER('Dvd Calendar'!$J$371)*100000000+0*10000000+(N('Dvd Calendar'!$J$369)&gt;0)*(N('Dvd Calendar'!$J$369)&lt;=VAL_SERIAL)*1000000+33*1000+46))</f>
        <v/>
      </c>
      <c r="FY44" s="121">
        <f>IF(N('Dvd Calendar'!$K$370)=0,"",IF(('Dvd Calendar'!$K$370&gt;=GRID_FROM)*('Dvd Calendar'!$K$370&lt;=GRID_TO)*('Dvd Calendar'!$K$370&gt;VAL_DATE)=0,"",'Dvd Calendar'!$K$370*1000000000+ISNUMBER('Dvd Calendar'!$K$371)*100000000+0*10000000+(N('Dvd Calendar'!$K$369)&gt;0)*(N('Dvd Calendar'!$K$369)&lt;=VAL_SERIAL)*1000000+33*1000+47))</f>
        <v/>
      </c>
      <c r="FZ44" s="121">
        <f>IF(N('Dvd Calendar'!$L$370)=0,"",IF(('Dvd Calendar'!$L$370&gt;=GRID_FROM)*('Dvd Calendar'!$L$370&lt;=GRID_TO)*('Dvd Calendar'!$L$370&gt;VAL_DATE)=0,"",'Dvd Calendar'!$L$370*1000000000+ISNUMBER('Dvd Calendar'!$L$371)*100000000+0*10000000+(N('Dvd Calendar'!$L$369)&gt;0)*(N('Dvd Calendar'!$L$369)&lt;=VAL_SERIAL)*1000000+33*1000+48))</f>
        <v/>
      </c>
      <c r="GA44" s="121">
        <f>IF(N('Dvd Calendar'!$M$370)=0,"",IF(('Dvd Calendar'!$M$370&gt;=GRID_FROM)*('Dvd Calendar'!$M$370&lt;=GRID_TO)*('Dvd Calendar'!$M$370&gt;VAL_DATE)=0,"",'Dvd Calendar'!$M$370*1000000000+ISNUMBER('Dvd Calendar'!$M$371)*100000000+0*10000000+(N('Dvd Calendar'!$M$369)&gt;0)*(N('Dvd Calendar'!$M$369)&lt;=VAL_SERIAL)*1000000+33*1000+49))</f>
        <v/>
      </c>
      <c r="GB44" s="121">
        <f>IF(N('Dvd Calendar'!$N$370)=0,"",IF(('Dvd Calendar'!$N$370&gt;=GRID_FROM)*('Dvd Calendar'!$N$370&lt;=GRID_TO)*('Dvd Calendar'!$N$370&gt;VAL_DATE)=0,"",'Dvd Calendar'!$N$370*1000000000+ISNUMBER('Dvd Calendar'!$N$371)*100000000+0*10000000+(N('Dvd Calendar'!$N$369)&gt;0)*(N('Dvd Calendar'!$N$369)&lt;=VAL_SERIAL)*1000000+33*1000+50))</f>
        <v/>
      </c>
      <c r="GC44" s="121">
        <f>IF(N('Dvd Calendar'!$O$370)=0,"",IF(('Dvd Calendar'!$O$370&gt;=GRID_FROM)*('Dvd Calendar'!$O$370&lt;=GRID_TO)*('Dvd Calendar'!$O$370&gt;VAL_DATE)=0,"",'Dvd Calendar'!$O$370*1000000000+ISNUMBER('Dvd Calendar'!$O$371)*100000000+0*10000000+(N('Dvd Calendar'!$O$369)&gt;0)*(N('Dvd Calendar'!$O$369)&lt;=VAL_SERIAL)*1000000+33*1000+51))</f>
        <v/>
      </c>
      <c r="GD44" s="121">
        <f>IF(N('Dvd Calendar'!$P$370)=0,"",IF(('Dvd Calendar'!$P$370&gt;=GRID_FROM)*('Dvd Calendar'!$P$370&lt;=GRID_TO)*('Dvd Calendar'!$P$370&gt;VAL_DATE)=0,"",'Dvd Calendar'!$P$370*1000000000+ISNUMBER('Dvd Calendar'!$P$371)*100000000+0*10000000+(N('Dvd Calendar'!$P$369)&gt;0)*(N('Dvd Calendar'!$P$369)&lt;=VAL_SERIAL)*1000000+33*1000+52))</f>
        <v/>
      </c>
      <c r="GE44" s="121">
        <f>IF(N('Dvd Calendar'!$Q$370)=0,"",IF(('Dvd Calendar'!$Q$370&gt;=GRID_FROM)*('Dvd Calendar'!$Q$370&lt;=GRID_TO)*('Dvd Calendar'!$Q$370&gt;VAL_DATE)=0,"",'Dvd Calendar'!$Q$370*1000000000+ISNUMBER('Dvd Calendar'!$Q$371)*100000000+0*10000000+(N('Dvd Calendar'!$Q$369)&gt;0)*(N('Dvd Calendar'!$Q$369)&lt;=VAL_SERIAL)*1000000+33*1000+53))</f>
        <v/>
      </c>
      <c r="GF44" s="121">
        <f>IF(N('Dvd Calendar'!$R$370)=0,"",IF(('Dvd Calendar'!$R$370&gt;=GRID_FROM)*('Dvd Calendar'!$R$370&lt;=GRID_TO)*('Dvd Calendar'!$R$370&gt;VAL_DATE)=0,"",'Dvd Calendar'!$R$370*1000000000+ISNUMBER('Dvd Calendar'!$R$371)*100000000+0*10000000+(N('Dvd Calendar'!$R$369)&gt;0)*(N('Dvd Calendar'!$R$369)&lt;=VAL_SERIAL)*1000000+33*1000+54))</f>
        <v/>
      </c>
      <c r="GG44" s="121">
        <f>IF(N('Dvd Calendar'!$S$370)=0,"",IF(('Dvd Calendar'!$S$370&gt;=GRID_FROM)*('Dvd Calendar'!$S$370&lt;=GRID_TO)*('Dvd Calendar'!$S$370&gt;VAL_DATE)=0,"",'Dvd Calendar'!$S$370*1000000000+ISNUMBER('Dvd Calendar'!$S$371)*100000000+0*10000000+(N('Dvd Calendar'!$S$369)&gt;0)*(N('Dvd Calendar'!$S$369)&lt;=VAL_SERIAL)*1000000+33*1000+55))</f>
        <v/>
      </c>
      <c r="GH44" s="121">
        <f>IF(N('Dvd Calendar'!$T$370)=0,"",IF(('Dvd Calendar'!$T$370&gt;=GRID_FROM)*('Dvd Calendar'!$T$370&lt;=GRID_TO)*('Dvd Calendar'!$T$370&gt;VAL_DATE)=0,"",'Dvd Calendar'!$T$370*1000000000+ISNUMBER('Dvd Calendar'!$T$371)*100000000+0*10000000+(N('Dvd Calendar'!$T$369)&gt;0)*(N('Dvd Calendar'!$T$369)&lt;=VAL_SERIAL)*1000000+33*1000+56))</f>
        <v/>
      </c>
      <c r="GI44" s="121">
        <f>IF(N('Dvd Calendar'!$U$370)=0,"",IF(('Dvd Calendar'!$U$370&gt;=GRID_FROM)*('Dvd Calendar'!$U$370&lt;=GRID_TO)*('Dvd Calendar'!$U$370&gt;VAL_DATE)=0,"",'Dvd Calendar'!$U$370*1000000000+ISNUMBER('Dvd Calendar'!$U$371)*100000000+0*10000000+(N('Dvd Calendar'!$U$369)&gt;0)*(N('Dvd Calendar'!$U$369)&lt;=VAL_SERIAL)*1000000+33*1000+57))</f>
        <v/>
      </c>
      <c r="GJ44" s="121">
        <f>IF(N('Dvd Calendar'!$V$370)=0,"",IF(('Dvd Calendar'!$V$370&gt;=GRID_FROM)*('Dvd Calendar'!$V$370&lt;=GRID_TO)*('Dvd Calendar'!$V$370&gt;VAL_DATE)=0,"",'Dvd Calendar'!$V$370*1000000000+ISNUMBER('Dvd Calendar'!$V$371)*100000000+0*10000000+(N('Dvd Calendar'!$V$369)&gt;0)*(N('Dvd Calendar'!$V$369)&lt;=VAL_SERIAL)*1000000+33*1000+58))</f>
        <v/>
      </c>
      <c r="GK44" s="121">
        <f>IF(N('Dvd Calendar'!$W$370)=0,"",IF(('Dvd Calendar'!$W$370&gt;=GRID_FROM)*('Dvd Calendar'!$W$370&lt;=GRID_TO)*('Dvd Calendar'!$W$370&gt;VAL_DATE)=0,"",'Dvd Calendar'!$W$370*1000000000+ISNUMBER('Dvd Calendar'!$W$371)*100000000+0*10000000+(N('Dvd Calendar'!$W$369)&gt;0)*(N('Dvd Calendar'!$W$369)&lt;=VAL_SERIAL)*1000000+33*1000+59))</f>
        <v/>
      </c>
      <c r="GL44" s="121">
        <f>IF(N('Dvd Calendar'!$X$370)=0,"",IF(('Dvd Calendar'!$X$370&gt;=GRID_FROM)*('Dvd Calendar'!$X$370&lt;=GRID_TO)*('Dvd Calendar'!$X$370&gt;VAL_DATE)=0,"",'Dvd Calendar'!$X$370*1000000000+ISNUMBER('Dvd Calendar'!$X$371)*100000000+0*10000000+(N('Dvd Calendar'!$X$369)&gt;0)*(N('Dvd Calendar'!$X$369)&lt;=VAL_SERIAL)*1000000+33*1000+60))</f>
        <v/>
      </c>
      <c r="GM44" s="121">
        <f>IF(N('Dvd Calendar'!$Y$370)=0,"",IF(('Dvd Calendar'!$Y$370&gt;=GRID_FROM)*('Dvd Calendar'!$Y$370&lt;=GRID_TO)*('Dvd Calendar'!$Y$370&gt;VAL_DATE)=0,"",'Dvd Calendar'!$Y$370*1000000000+ISNUMBER('Dvd Calendar'!$Y$371)*100000000+0*10000000+(N('Dvd Calendar'!$Y$369)&gt;0)*(N('Dvd Calendar'!$Y$369)&lt;=VAL_SERIAL)*1000000+33*1000+61))</f>
        <v/>
      </c>
      <c r="GN44" s="121">
        <f>IF(N('Dvd Calendar'!$Z$370)=0,"",IF(('Dvd Calendar'!$Z$370&gt;=GRID_FROM)*('Dvd Calendar'!$Z$370&lt;=GRID_TO)*('Dvd Calendar'!$Z$370&gt;VAL_DATE)=0,"",'Dvd Calendar'!$Z$370*1000000000+ISNUMBER('Dvd Calendar'!$Z$371)*100000000+0*10000000+(N('Dvd Calendar'!$Z$369)&gt;0)*(N('Dvd Calendar'!$Z$369)&lt;=VAL_SERIAL)*1000000+33*1000+62))</f>
        <v/>
      </c>
      <c r="GO44" s="121">
        <f>IF(N('Dvd Calendar'!$AA$370)=0,"",IF(('Dvd Calendar'!$AA$370&gt;=GRID_FROM)*('Dvd Calendar'!$AA$370&lt;=GRID_TO)*('Dvd Calendar'!$AA$370&gt;VAL_DATE)=0,"",'Dvd Calendar'!$AA$370*1000000000+ISNUMBER('Dvd Calendar'!$AA$371)*100000000+0*10000000+(N('Dvd Calendar'!$AA$369)&gt;0)*(N('Dvd Calendar'!$AA$369)&lt;=VAL_SERIAL)*1000000+33*1000+63))</f>
        <v/>
      </c>
      <c r="GP44" s="121">
        <f>IF(N('Dvd Calendar'!$AB$370)=0,"",IF(('Dvd Calendar'!$AB$370&gt;=GRID_FROM)*('Dvd Calendar'!$AB$370&lt;=GRID_TO)*('Dvd Calendar'!$AB$370&gt;VAL_DATE)=0,"",'Dvd Calendar'!$AB$370*1000000000+ISNUMBER('Dvd Calendar'!$AB$371)*100000000+0*10000000+(N('Dvd Calendar'!$AB$369)&gt;0)*(N('Dvd Calendar'!$AB$369)&lt;=VAL_SERIAL)*1000000+33*1000+64))</f>
        <v/>
      </c>
      <c r="GQ44" s="121">
        <f>IF(N('Dvd Calendar'!$AC$370)=0,"",IF(('Dvd Calendar'!$AC$370&gt;=GRID_FROM)*('Dvd Calendar'!$AC$370&lt;=GRID_TO)*('Dvd Calendar'!$AC$370&gt;VAL_DATE)=0,"",'Dvd Calendar'!$AC$370*1000000000+ISNUMBER('Dvd Calendar'!$AC$371)*100000000+0*10000000+(N('Dvd Calendar'!$AC$369)&gt;0)*(N('Dvd Calendar'!$AC$369)&lt;=VAL_SERIAL)*1000000+33*1000+65))</f>
        <v/>
      </c>
    </row>
    <row r="45">
      <c r="B45" s="2">
        <f>IF(HSI!$C$40="","",HSI!$C$40)</f>
        <v/>
      </c>
      <c r="C45" s="161">
        <f>IF(EE45="","",IF(ISNUMBER('Dvd Calendar'!$E$377)=FALSE,"",IF((('Dvd Calendar'!$E$379=TYPE1)*(TYPE1&lt;&gt;"")+('Dvd Calendar'!$E$379=TYPE2)*(TYPE2&lt;&gt;"")+('Dvd Calendar'!$E$379=TYPE3)*(TYPE3&lt;&gt;"")+('Dvd Calendar'!$E$379=TYPE4)*(TYPE4&lt;&gt;"")+('Dvd Calendar'!$E$379=SPECIAL_LBL)*(INC_SPECIALS="Y"))=0,"",'Dvd Calendar'!$E$377)))</f>
        <v/>
      </c>
      <c r="D45" s="161">
        <f>IF(EF45="","",IF(ISNUMBER('Dvd Calendar'!$F$377)=FALSE,"",IF((('Dvd Calendar'!$F$379=TYPE1)*(TYPE1&lt;&gt;"")+('Dvd Calendar'!$F$379=TYPE2)*(TYPE2&lt;&gt;"")+('Dvd Calendar'!$F$379=TYPE3)*(TYPE3&lt;&gt;"")+('Dvd Calendar'!$F$379=TYPE4)*(TYPE4&lt;&gt;"")+('Dvd Calendar'!$F$379=SPECIAL_LBL)*(INC_SPECIALS="Y"))=0,"",'Dvd Calendar'!$F$377)))</f>
        <v/>
      </c>
      <c r="E45" s="161">
        <f>IF(EG45="","",IF(ISNUMBER('Dvd Calendar'!$G$377)=FALSE,"",IF((('Dvd Calendar'!$G$379=TYPE1)*(TYPE1&lt;&gt;"")+('Dvd Calendar'!$G$379=TYPE2)*(TYPE2&lt;&gt;"")+('Dvd Calendar'!$G$379=TYPE3)*(TYPE3&lt;&gt;"")+('Dvd Calendar'!$G$379=TYPE4)*(TYPE4&lt;&gt;"")+('Dvd Calendar'!$G$379=SPECIAL_LBL)*(INC_SPECIALS="Y"))=0,"",'Dvd Calendar'!$G$377)))</f>
        <v/>
      </c>
      <c r="F45" s="161">
        <f>IF(EH45="","",IF(ISNUMBER('Dvd Calendar'!$H$377)=FALSE,"",IF((('Dvd Calendar'!$H$379=TYPE1)*(TYPE1&lt;&gt;"")+('Dvd Calendar'!$H$379=TYPE2)*(TYPE2&lt;&gt;"")+('Dvd Calendar'!$H$379=TYPE3)*(TYPE3&lt;&gt;"")+('Dvd Calendar'!$H$379=TYPE4)*(TYPE4&lt;&gt;"")+('Dvd Calendar'!$H$379=SPECIAL_LBL)*(INC_SPECIALS="Y"))=0,"",'Dvd Calendar'!$H$377)))</f>
        <v/>
      </c>
      <c r="G45" s="161">
        <f>IF(EI45="","",IF(ISNUMBER('Dvd Calendar'!$I$377)=FALSE,"",IF((('Dvd Calendar'!$I$379=TYPE1)*(TYPE1&lt;&gt;"")+('Dvd Calendar'!$I$379=TYPE2)*(TYPE2&lt;&gt;"")+('Dvd Calendar'!$I$379=TYPE3)*(TYPE3&lt;&gt;"")+('Dvd Calendar'!$I$379=TYPE4)*(TYPE4&lt;&gt;"")+('Dvd Calendar'!$I$379=SPECIAL_LBL)*(INC_SPECIALS="Y"))=0,"",'Dvd Calendar'!$I$377)))</f>
        <v/>
      </c>
      <c r="H45" s="161">
        <f>IF(EJ45="","",IF(ISNUMBER('Dvd Calendar'!$J$377)=FALSE,"",IF((('Dvd Calendar'!$J$379=TYPE1)*(TYPE1&lt;&gt;"")+('Dvd Calendar'!$J$379=TYPE2)*(TYPE2&lt;&gt;"")+('Dvd Calendar'!$J$379=TYPE3)*(TYPE3&lt;&gt;"")+('Dvd Calendar'!$J$379=TYPE4)*(TYPE4&lt;&gt;"")+('Dvd Calendar'!$J$379=SPECIAL_LBL)*(INC_SPECIALS="Y"))=0,"",'Dvd Calendar'!$J$377)))</f>
        <v/>
      </c>
      <c r="I45" s="161">
        <f>IF(EK45="","",IF(ISNUMBER('Dvd Calendar'!$K$377)=FALSE,"",IF((('Dvd Calendar'!$K$379=TYPE1)*(TYPE1&lt;&gt;"")+('Dvd Calendar'!$K$379=TYPE2)*(TYPE2&lt;&gt;"")+('Dvd Calendar'!$K$379=TYPE3)*(TYPE3&lt;&gt;"")+('Dvd Calendar'!$K$379=TYPE4)*(TYPE4&lt;&gt;"")+('Dvd Calendar'!$K$379=SPECIAL_LBL)*(INC_SPECIALS="Y"))=0,"",'Dvd Calendar'!$K$377)))</f>
        <v/>
      </c>
      <c r="J45" s="161">
        <f>IF(EL45="","",IF(ISNUMBER('Dvd Calendar'!$L$377)=FALSE,"",IF((('Dvd Calendar'!$L$379=TYPE1)*(TYPE1&lt;&gt;"")+('Dvd Calendar'!$L$379=TYPE2)*(TYPE2&lt;&gt;"")+('Dvd Calendar'!$L$379=TYPE3)*(TYPE3&lt;&gt;"")+('Dvd Calendar'!$L$379=TYPE4)*(TYPE4&lt;&gt;"")+('Dvd Calendar'!$L$379=SPECIAL_LBL)*(INC_SPECIALS="Y"))=0,"",'Dvd Calendar'!$L$377)))</f>
        <v/>
      </c>
      <c r="K45" s="161">
        <f>IF(EM45="","",IF(ISNUMBER('Dvd Calendar'!$M$377)=FALSE,"",IF((('Dvd Calendar'!$M$379=TYPE1)*(TYPE1&lt;&gt;"")+('Dvd Calendar'!$M$379=TYPE2)*(TYPE2&lt;&gt;"")+('Dvd Calendar'!$M$379=TYPE3)*(TYPE3&lt;&gt;"")+('Dvd Calendar'!$M$379=TYPE4)*(TYPE4&lt;&gt;"")+('Dvd Calendar'!$M$379=SPECIAL_LBL)*(INC_SPECIALS="Y"))=0,"",'Dvd Calendar'!$M$377)))</f>
        <v/>
      </c>
      <c r="L45" s="161">
        <f>IF(EN45="","",IF(ISNUMBER('Dvd Calendar'!$N$377)=FALSE,"",IF((('Dvd Calendar'!$N$379=TYPE1)*(TYPE1&lt;&gt;"")+('Dvd Calendar'!$N$379=TYPE2)*(TYPE2&lt;&gt;"")+('Dvd Calendar'!$N$379=TYPE3)*(TYPE3&lt;&gt;"")+('Dvd Calendar'!$N$379=TYPE4)*(TYPE4&lt;&gt;"")+('Dvd Calendar'!$N$379=SPECIAL_LBL)*(INC_SPECIALS="Y"))=0,"",'Dvd Calendar'!$N$377)))</f>
        <v/>
      </c>
      <c r="M45" s="161">
        <f>IF(EO45="","",IF(ISNUMBER('Dvd Calendar'!$O$377)=FALSE,"",IF((('Dvd Calendar'!$O$379=TYPE1)*(TYPE1&lt;&gt;"")+('Dvd Calendar'!$O$379=TYPE2)*(TYPE2&lt;&gt;"")+('Dvd Calendar'!$O$379=TYPE3)*(TYPE3&lt;&gt;"")+('Dvd Calendar'!$O$379=TYPE4)*(TYPE4&lt;&gt;"")+('Dvd Calendar'!$O$379=SPECIAL_LBL)*(INC_SPECIALS="Y"))=0,"",'Dvd Calendar'!$O$377)))</f>
        <v/>
      </c>
      <c r="N45" s="161">
        <f>IF(EP45="","",IF(ISNUMBER('Dvd Calendar'!$P$377)=FALSE,"",IF((('Dvd Calendar'!$P$379=TYPE1)*(TYPE1&lt;&gt;"")+('Dvd Calendar'!$P$379=TYPE2)*(TYPE2&lt;&gt;"")+('Dvd Calendar'!$P$379=TYPE3)*(TYPE3&lt;&gt;"")+('Dvd Calendar'!$P$379=TYPE4)*(TYPE4&lt;&gt;"")+('Dvd Calendar'!$P$379=SPECIAL_LBL)*(INC_SPECIALS="Y"))=0,"",'Dvd Calendar'!$P$377)))</f>
        <v/>
      </c>
      <c r="O45" s="161">
        <f>IF(EQ45="","",IF(ISNUMBER('Dvd Calendar'!$Q$377)=FALSE,"",IF((('Dvd Calendar'!$Q$379=TYPE1)*(TYPE1&lt;&gt;"")+('Dvd Calendar'!$Q$379=TYPE2)*(TYPE2&lt;&gt;"")+('Dvd Calendar'!$Q$379=TYPE3)*(TYPE3&lt;&gt;"")+('Dvd Calendar'!$Q$379=TYPE4)*(TYPE4&lt;&gt;"")+('Dvd Calendar'!$Q$379=SPECIAL_LBL)*(INC_SPECIALS="Y"))=0,"",'Dvd Calendar'!$Q$377)))</f>
        <v/>
      </c>
      <c r="P45" s="161">
        <f>IF(ER45="","",IF(ISNUMBER('Dvd Calendar'!$R$377)=FALSE,"",IF((('Dvd Calendar'!$R$379=TYPE1)*(TYPE1&lt;&gt;"")+('Dvd Calendar'!$R$379=TYPE2)*(TYPE2&lt;&gt;"")+('Dvd Calendar'!$R$379=TYPE3)*(TYPE3&lt;&gt;"")+('Dvd Calendar'!$R$379=TYPE4)*(TYPE4&lt;&gt;"")+('Dvd Calendar'!$R$379=SPECIAL_LBL)*(INC_SPECIALS="Y"))=0,"",'Dvd Calendar'!$R$377)))</f>
        <v/>
      </c>
      <c r="Q45" s="161">
        <f>IF(ES45="","",IF(ISNUMBER('Dvd Calendar'!$S$377)=FALSE,"",IF((('Dvd Calendar'!$S$379=TYPE1)*(TYPE1&lt;&gt;"")+('Dvd Calendar'!$S$379=TYPE2)*(TYPE2&lt;&gt;"")+('Dvd Calendar'!$S$379=TYPE3)*(TYPE3&lt;&gt;"")+('Dvd Calendar'!$S$379=TYPE4)*(TYPE4&lt;&gt;"")+('Dvd Calendar'!$S$379=SPECIAL_LBL)*(INC_SPECIALS="Y"))=0,"",'Dvd Calendar'!$S$377)))</f>
        <v/>
      </c>
      <c r="R45" s="161">
        <f>IF(ET45="","",IF(ISNUMBER('Dvd Calendar'!$T$377)=FALSE,"",IF((('Dvd Calendar'!$T$379=TYPE1)*(TYPE1&lt;&gt;"")+('Dvd Calendar'!$T$379=TYPE2)*(TYPE2&lt;&gt;"")+('Dvd Calendar'!$T$379=TYPE3)*(TYPE3&lt;&gt;"")+('Dvd Calendar'!$T$379=TYPE4)*(TYPE4&lt;&gt;"")+('Dvd Calendar'!$T$379=SPECIAL_LBL)*(INC_SPECIALS="Y"))=0,"",'Dvd Calendar'!$T$377)))</f>
        <v/>
      </c>
      <c r="S45" s="161">
        <f>IF(EU45="","",IF(ISNUMBER('Dvd Calendar'!$U$377)=FALSE,"",IF((('Dvd Calendar'!$U$379=TYPE1)*(TYPE1&lt;&gt;"")+('Dvd Calendar'!$U$379=TYPE2)*(TYPE2&lt;&gt;"")+('Dvd Calendar'!$U$379=TYPE3)*(TYPE3&lt;&gt;"")+('Dvd Calendar'!$U$379=TYPE4)*(TYPE4&lt;&gt;"")+('Dvd Calendar'!$U$379=SPECIAL_LBL)*(INC_SPECIALS="Y"))=0,"",'Dvd Calendar'!$U$377)))</f>
        <v/>
      </c>
      <c r="T45" s="161">
        <f>IF(EV45="","",IF(ISNUMBER('Dvd Calendar'!$V$377)=FALSE,"",IF((('Dvd Calendar'!$V$379=TYPE1)*(TYPE1&lt;&gt;"")+('Dvd Calendar'!$V$379=TYPE2)*(TYPE2&lt;&gt;"")+('Dvd Calendar'!$V$379=TYPE3)*(TYPE3&lt;&gt;"")+('Dvd Calendar'!$V$379=TYPE4)*(TYPE4&lt;&gt;"")+('Dvd Calendar'!$V$379=SPECIAL_LBL)*(INC_SPECIALS="Y"))=0,"",'Dvd Calendar'!$V$377)))</f>
        <v/>
      </c>
      <c r="U45" s="161">
        <f>IF(EW45="","",IF(ISNUMBER('Dvd Calendar'!$W$377)=FALSE,"",IF((('Dvd Calendar'!$W$379=TYPE1)*(TYPE1&lt;&gt;"")+('Dvd Calendar'!$W$379=TYPE2)*(TYPE2&lt;&gt;"")+('Dvd Calendar'!$W$379=TYPE3)*(TYPE3&lt;&gt;"")+('Dvd Calendar'!$W$379=TYPE4)*(TYPE4&lt;&gt;"")+('Dvd Calendar'!$W$379=SPECIAL_LBL)*(INC_SPECIALS="Y"))=0,"",'Dvd Calendar'!$W$377)))</f>
        <v/>
      </c>
      <c r="V45" s="161">
        <f>IF(EX45="","",IF(ISNUMBER('Dvd Calendar'!$X$377)=FALSE,"",IF((('Dvd Calendar'!$X$379=TYPE1)*(TYPE1&lt;&gt;"")+('Dvd Calendar'!$X$379=TYPE2)*(TYPE2&lt;&gt;"")+('Dvd Calendar'!$X$379=TYPE3)*(TYPE3&lt;&gt;"")+('Dvd Calendar'!$X$379=TYPE4)*(TYPE4&lt;&gt;"")+('Dvd Calendar'!$X$379=SPECIAL_LBL)*(INC_SPECIALS="Y"))=0,"",'Dvd Calendar'!$X$377)))</f>
        <v/>
      </c>
      <c r="W45" s="161">
        <f>IF(EY45="","",IF(ISNUMBER('Dvd Calendar'!$Y$377)=FALSE,"",IF((('Dvd Calendar'!$Y$379=TYPE1)*(TYPE1&lt;&gt;"")+('Dvd Calendar'!$Y$379=TYPE2)*(TYPE2&lt;&gt;"")+('Dvd Calendar'!$Y$379=TYPE3)*(TYPE3&lt;&gt;"")+('Dvd Calendar'!$Y$379=TYPE4)*(TYPE4&lt;&gt;"")+('Dvd Calendar'!$Y$379=SPECIAL_LBL)*(INC_SPECIALS="Y"))=0,"",'Dvd Calendar'!$Y$377)))</f>
        <v/>
      </c>
      <c r="X45" s="161">
        <f>IF(EZ45="","",IF(ISNUMBER('Dvd Calendar'!$Z$377)=FALSE,"",IF((('Dvd Calendar'!$Z$379=TYPE1)*(TYPE1&lt;&gt;"")+('Dvd Calendar'!$Z$379=TYPE2)*(TYPE2&lt;&gt;"")+('Dvd Calendar'!$Z$379=TYPE3)*(TYPE3&lt;&gt;"")+('Dvd Calendar'!$Z$379=TYPE4)*(TYPE4&lt;&gt;"")+('Dvd Calendar'!$Z$379=SPECIAL_LBL)*(INC_SPECIALS="Y"))=0,"",'Dvd Calendar'!$Z$377)))</f>
        <v/>
      </c>
      <c r="Y45" s="161">
        <f>IF(FA45="","",IF(ISNUMBER('Dvd Calendar'!$AA$377)=FALSE,"",IF((('Dvd Calendar'!$AA$379=TYPE1)*(TYPE1&lt;&gt;"")+('Dvd Calendar'!$AA$379=TYPE2)*(TYPE2&lt;&gt;"")+('Dvd Calendar'!$AA$379=TYPE3)*(TYPE3&lt;&gt;"")+('Dvd Calendar'!$AA$379=TYPE4)*(TYPE4&lt;&gt;"")+('Dvd Calendar'!$AA$379=SPECIAL_LBL)*(INC_SPECIALS="Y"))=0,"",'Dvd Calendar'!$AA$377)))</f>
        <v/>
      </c>
      <c r="Z45" s="161">
        <f>IF(FB45="","",IF(ISNUMBER('Dvd Calendar'!$AB$377)=FALSE,"",IF((('Dvd Calendar'!$AB$379=TYPE1)*(TYPE1&lt;&gt;"")+('Dvd Calendar'!$AB$379=TYPE2)*(TYPE2&lt;&gt;"")+('Dvd Calendar'!$AB$379=TYPE3)*(TYPE3&lt;&gt;"")+('Dvd Calendar'!$AB$379=TYPE4)*(TYPE4&lt;&gt;"")+('Dvd Calendar'!$AB$379=SPECIAL_LBL)*(INC_SPECIALS="Y"))=0,"",'Dvd Calendar'!$AB$377)))</f>
        <v/>
      </c>
      <c r="AA45" s="161">
        <f>IF(FC45="","",IF(ISNUMBER('Dvd Calendar'!$AC$377)=FALSE,"",IF((('Dvd Calendar'!$AC$379=TYPE1)*(TYPE1&lt;&gt;"")+('Dvd Calendar'!$AC$379=TYPE2)*(TYPE2&lt;&gt;"")+('Dvd Calendar'!$AC$379=TYPE3)*(TYPE3&lt;&gt;"")+('Dvd Calendar'!$AC$379=TYPE4)*(TYPE4&lt;&gt;"")+('Dvd Calendar'!$AC$379=SPECIAL_LBL)*(INC_SPECIALS="Y"))=0,"",'Dvd Calendar'!$AC$377)))</f>
        <v/>
      </c>
      <c r="AB45" s="161">
        <f>IF(FD45="","",IF(ISNUMBER('Dvd Calendar'!$AD$377)=FALSE,"",IF((('Dvd Calendar'!$AD$379=TYPE1)*(TYPE1&lt;&gt;"")+('Dvd Calendar'!$AD$379=TYPE2)*(TYPE2&lt;&gt;"")+('Dvd Calendar'!$AD$379=TYPE3)*(TYPE3&lt;&gt;"")+('Dvd Calendar'!$AD$379=TYPE4)*(TYPE4&lt;&gt;"")+('Dvd Calendar'!$AD$379=SPECIAL_LBL)*(INC_SPECIALS="Y"))=0,"",'Dvd Calendar'!$AD$377)))</f>
        <v/>
      </c>
      <c r="AC45" s="161">
        <f>IF(FE45="","",IF(ISNUMBER('Dvd Calendar'!$AE$377)=FALSE,"",IF((('Dvd Calendar'!$AE$379=TYPE1)*(TYPE1&lt;&gt;"")+('Dvd Calendar'!$AE$379=TYPE2)*(TYPE2&lt;&gt;"")+('Dvd Calendar'!$AE$379=TYPE3)*(TYPE3&lt;&gt;"")+('Dvd Calendar'!$AE$379=TYPE4)*(TYPE4&lt;&gt;"")+('Dvd Calendar'!$AE$379=SPECIAL_LBL)*(INC_SPECIALS="Y"))=0,"",'Dvd Calendar'!$AE$377)))</f>
        <v/>
      </c>
      <c r="AD45" s="161">
        <f>IF(FF45="","",IF(ISNUMBER('Dvd Calendar'!$AF$377)=FALSE,"",IF((('Dvd Calendar'!$AF$379=TYPE1)*(TYPE1&lt;&gt;"")+('Dvd Calendar'!$AF$379=TYPE2)*(TYPE2&lt;&gt;"")+('Dvd Calendar'!$AF$379=TYPE3)*(TYPE3&lt;&gt;"")+('Dvd Calendar'!$AF$379=TYPE4)*(TYPE4&lt;&gt;"")+('Dvd Calendar'!$AF$379=SPECIAL_LBL)*(INC_SPECIALS="Y"))=0,"",'Dvd Calendar'!$AF$377)))</f>
        <v/>
      </c>
      <c r="AE45" s="161">
        <f>IF(FG45="","",IF(ISNUMBER('Dvd Calendar'!$AG$377)=FALSE,"",IF((('Dvd Calendar'!$AG$379=TYPE1)*(TYPE1&lt;&gt;"")+('Dvd Calendar'!$AG$379=TYPE2)*(TYPE2&lt;&gt;"")+('Dvd Calendar'!$AG$379=TYPE3)*(TYPE3&lt;&gt;"")+('Dvd Calendar'!$AG$379=TYPE4)*(TYPE4&lt;&gt;"")+('Dvd Calendar'!$AG$379=SPECIAL_LBL)*(INC_SPECIALS="Y"))=0,"",'Dvd Calendar'!$AG$377)))</f>
        <v/>
      </c>
      <c r="AF45" s="161">
        <f>IF(FH45="","",IF(ISNUMBER('Dvd Calendar'!$AH$377)=FALSE,"",IF((('Dvd Calendar'!$AH$379=TYPE1)*(TYPE1&lt;&gt;"")+('Dvd Calendar'!$AH$379=TYPE2)*(TYPE2&lt;&gt;"")+('Dvd Calendar'!$AH$379=TYPE3)*(TYPE3&lt;&gt;"")+('Dvd Calendar'!$AH$379=TYPE4)*(TYPE4&lt;&gt;"")+('Dvd Calendar'!$AH$379=SPECIAL_LBL)*(INC_SPECIALS="Y"))=0,"",'Dvd Calendar'!$AH$377)))</f>
        <v/>
      </c>
      <c r="AG45" s="161">
        <f>IF(FI45="","",IF(ISNUMBER('Dvd Calendar'!$AI$377)=FALSE,"",IF((('Dvd Calendar'!$AI$379=TYPE1)*(TYPE1&lt;&gt;"")+('Dvd Calendar'!$AI$379=TYPE2)*(TYPE2&lt;&gt;"")+('Dvd Calendar'!$AI$379=TYPE3)*(TYPE3&lt;&gt;"")+('Dvd Calendar'!$AI$379=TYPE4)*(TYPE4&lt;&gt;"")+('Dvd Calendar'!$AI$379=SPECIAL_LBL)*(INC_SPECIALS="Y"))=0,"",'Dvd Calendar'!$AI$377)))</f>
        <v/>
      </c>
      <c r="AH45" s="161">
        <f>IF(FJ45="","",IF(ISNUMBER('Dvd Calendar'!$AJ$377)=FALSE,"",IF((('Dvd Calendar'!$AJ$379=TYPE1)*(TYPE1&lt;&gt;"")+('Dvd Calendar'!$AJ$379=TYPE2)*(TYPE2&lt;&gt;"")+('Dvd Calendar'!$AJ$379=TYPE3)*(TYPE3&lt;&gt;"")+('Dvd Calendar'!$AJ$379=TYPE4)*(TYPE4&lt;&gt;"")+('Dvd Calendar'!$AJ$379=SPECIAL_LBL)*(INC_SPECIALS="Y"))=0,"",'Dvd Calendar'!$AJ$377)))</f>
        <v/>
      </c>
      <c r="AI45" s="161">
        <f>IF(FK45="","",IF(ISNUMBER('Dvd Calendar'!$AK$377)=FALSE,"",IF((('Dvd Calendar'!$AK$379=TYPE1)*(TYPE1&lt;&gt;"")+('Dvd Calendar'!$AK$379=TYPE2)*(TYPE2&lt;&gt;"")+('Dvd Calendar'!$AK$379=TYPE3)*(TYPE3&lt;&gt;"")+('Dvd Calendar'!$AK$379=TYPE4)*(TYPE4&lt;&gt;"")+('Dvd Calendar'!$AK$379=SPECIAL_LBL)*(INC_SPECIALS="Y"))=0,"",'Dvd Calendar'!$AK$377)))</f>
        <v/>
      </c>
      <c r="AJ45" s="161">
        <f>IF(FL45="","",IF(ISNUMBER('Dvd Calendar'!$AL$377)=FALSE,"",IF((('Dvd Calendar'!$AL$379=TYPE1)*(TYPE1&lt;&gt;"")+('Dvd Calendar'!$AL$379=TYPE2)*(TYPE2&lt;&gt;"")+('Dvd Calendar'!$AL$379=TYPE3)*(TYPE3&lt;&gt;"")+('Dvd Calendar'!$AL$379=TYPE4)*(TYPE4&lt;&gt;"")+('Dvd Calendar'!$AL$379=SPECIAL_LBL)*(INC_SPECIALS="Y"))=0,"",'Dvd Calendar'!$AL$377)))</f>
        <v/>
      </c>
      <c r="AK45" s="161">
        <f>IF(FM45="","",IF(ISNUMBER('Dvd Calendar'!$AM$377)=FALSE,"",IF((('Dvd Calendar'!$AM$379=TYPE1)*(TYPE1&lt;&gt;"")+('Dvd Calendar'!$AM$379=TYPE2)*(TYPE2&lt;&gt;"")+('Dvd Calendar'!$AM$379=TYPE3)*(TYPE3&lt;&gt;"")+('Dvd Calendar'!$AM$379=TYPE4)*(TYPE4&lt;&gt;"")+('Dvd Calendar'!$AM$379=SPECIAL_LBL)*(INC_SPECIALS="Y"))=0,"",'Dvd Calendar'!$AM$377)))</f>
        <v/>
      </c>
      <c r="AL45" s="161">
        <f>IF(FN45="","",IF(ISNUMBER('Dvd Calendar'!$AN$377)=FALSE,"",IF((('Dvd Calendar'!$AN$379=TYPE1)*(TYPE1&lt;&gt;"")+('Dvd Calendar'!$AN$379=TYPE2)*(TYPE2&lt;&gt;"")+('Dvd Calendar'!$AN$379=TYPE3)*(TYPE3&lt;&gt;"")+('Dvd Calendar'!$AN$379=TYPE4)*(TYPE4&lt;&gt;"")+('Dvd Calendar'!$AN$379=SPECIAL_LBL)*(INC_SPECIALS="Y"))=0,"",'Dvd Calendar'!$AN$377)))</f>
        <v/>
      </c>
      <c r="AM45" s="161">
        <f>IF(FO45="","",IF(ISNUMBER('Dvd Calendar'!$AO$377)=FALSE,"",IF((('Dvd Calendar'!$AO$379=TYPE1)*(TYPE1&lt;&gt;"")+('Dvd Calendar'!$AO$379=TYPE2)*(TYPE2&lt;&gt;"")+('Dvd Calendar'!$AO$379=TYPE3)*(TYPE3&lt;&gt;"")+('Dvd Calendar'!$AO$379=TYPE4)*(TYPE4&lt;&gt;"")+('Dvd Calendar'!$AO$379=SPECIAL_LBL)*(INC_SPECIALS="Y"))=0,"",'Dvd Calendar'!$AO$377)))</f>
        <v/>
      </c>
      <c r="AN45" s="161">
        <f>IF(FP45="","",IF(ISNUMBER('Dvd Calendar'!$AP$377)=FALSE,"",IF((('Dvd Calendar'!$AP$379=TYPE1)*(TYPE1&lt;&gt;"")+('Dvd Calendar'!$AP$379=TYPE2)*(TYPE2&lt;&gt;"")+('Dvd Calendar'!$AP$379=TYPE3)*(TYPE3&lt;&gt;"")+('Dvd Calendar'!$AP$379=TYPE4)*(TYPE4&lt;&gt;"")+('Dvd Calendar'!$AP$379=SPECIAL_LBL)*(INC_SPECIALS="Y"))=0,"",'Dvd Calendar'!$AP$377)))</f>
        <v/>
      </c>
      <c r="AO45" s="161">
        <f>IF(FQ45="","",IF(ISNUMBER('Dvd Calendar'!$AQ$377)=FALSE,"",IF((('Dvd Calendar'!$AQ$379=TYPE1)*(TYPE1&lt;&gt;"")+('Dvd Calendar'!$AQ$379=TYPE2)*(TYPE2&lt;&gt;"")+('Dvd Calendar'!$AQ$379=TYPE3)*(TYPE3&lt;&gt;"")+('Dvd Calendar'!$AQ$379=TYPE4)*(TYPE4&lt;&gt;"")+('Dvd Calendar'!$AQ$379=SPECIAL_LBL)*(INC_SPECIALS="Y"))=0,"",'Dvd Calendar'!$AQ$377)))</f>
        <v/>
      </c>
      <c r="AP45" s="161">
        <f>IF(FR45="","",IF(ISNUMBER('Dvd Calendar'!$AR$377)=FALSE,"",IF((('Dvd Calendar'!$AR$379=TYPE1)*(TYPE1&lt;&gt;"")+('Dvd Calendar'!$AR$379=TYPE2)*(TYPE2&lt;&gt;"")+('Dvd Calendar'!$AR$379=TYPE3)*(TYPE3&lt;&gt;"")+('Dvd Calendar'!$AR$379=TYPE4)*(TYPE4&lt;&gt;"")+('Dvd Calendar'!$AR$379=SPECIAL_LBL)*(INC_SPECIALS="Y"))=0,"",'Dvd Calendar'!$AR$377)))</f>
        <v/>
      </c>
      <c r="AQ45" s="161">
        <f>IF(FS45="","",IF(ISNUMBER('Dvd Calendar'!$E$382)=FALSE,"",'Dvd Calendar'!$E$382))</f>
        <v/>
      </c>
      <c r="AR45" s="161">
        <f>IF(FT45="","",IF(ISNUMBER('Dvd Calendar'!$F$382)=FALSE,"",'Dvd Calendar'!$F$382))</f>
        <v/>
      </c>
      <c r="AS45" s="161">
        <f>IF(FU45="","",IF(ISNUMBER('Dvd Calendar'!$G$382)=FALSE,"",'Dvd Calendar'!$G$382))</f>
        <v/>
      </c>
      <c r="AT45" s="161">
        <f>IF(FV45="","",IF(ISNUMBER('Dvd Calendar'!$H$382)=FALSE,"",'Dvd Calendar'!$H$382))</f>
        <v/>
      </c>
      <c r="AU45" s="161">
        <f>IF(FW45="","",IF(ISNUMBER('Dvd Calendar'!$I$382)=FALSE,"",'Dvd Calendar'!$I$382))</f>
        <v/>
      </c>
      <c r="AV45" s="161">
        <f>IF(FX45="","",IF(ISNUMBER('Dvd Calendar'!$J$382)=FALSE,"",'Dvd Calendar'!$J$382))</f>
        <v/>
      </c>
      <c r="AW45" s="161">
        <f>IF(FY45="","",IF(ISNUMBER('Dvd Calendar'!$K$382)=FALSE,"",'Dvd Calendar'!$K$382))</f>
        <v/>
      </c>
      <c r="AX45" s="161">
        <f>IF(FZ45="","",IF(ISNUMBER('Dvd Calendar'!$L$382)=FALSE,"",'Dvd Calendar'!$L$382))</f>
        <v/>
      </c>
      <c r="AY45" s="161">
        <f>IF(GA45="","",IF(ISNUMBER('Dvd Calendar'!$M$382)=FALSE,"",'Dvd Calendar'!$M$382))</f>
        <v/>
      </c>
      <c r="AZ45" s="161">
        <f>IF(GB45="","",IF(ISNUMBER('Dvd Calendar'!$N$382)=FALSE,"",'Dvd Calendar'!$N$382))</f>
        <v/>
      </c>
      <c r="BA45" s="161">
        <f>IF(GC45="","",IF(ISNUMBER('Dvd Calendar'!$O$382)=FALSE,"",'Dvd Calendar'!$O$382))</f>
        <v/>
      </c>
      <c r="BB45" s="161">
        <f>IF(GD45="","",IF(ISNUMBER('Dvd Calendar'!$P$382)=FALSE,"",'Dvd Calendar'!$P$382))</f>
        <v/>
      </c>
      <c r="BC45" s="161">
        <f>IF(GE45="","",IF(ISNUMBER('Dvd Calendar'!$Q$382)=FALSE,"",'Dvd Calendar'!$Q$382))</f>
        <v/>
      </c>
      <c r="BD45" s="161">
        <f>IF(GF45="","",IF(ISNUMBER('Dvd Calendar'!$R$382)=FALSE,"",'Dvd Calendar'!$R$382))</f>
        <v/>
      </c>
      <c r="BE45" s="161">
        <f>IF(GG45="","",IF(ISNUMBER('Dvd Calendar'!$S$382)=FALSE,"",'Dvd Calendar'!$S$382))</f>
        <v/>
      </c>
      <c r="BF45" s="161">
        <f>IF(GH45="","",IF(ISNUMBER('Dvd Calendar'!$T$382)=FALSE,"",'Dvd Calendar'!$T$382))</f>
        <v/>
      </c>
      <c r="BG45" s="161">
        <f>IF(GI45="","",IF(ISNUMBER('Dvd Calendar'!$U$382)=FALSE,"",'Dvd Calendar'!$U$382))</f>
        <v/>
      </c>
      <c r="BH45" s="161">
        <f>IF(GJ45="","",IF(ISNUMBER('Dvd Calendar'!$V$382)=FALSE,"",'Dvd Calendar'!$V$382))</f>
        <v/>
      </c>
      <c r="BI45" s="161">
        <f>IF(GK45="","",IF(ISNUMBER('Dvd Calendar'!$W$382)=FALSE,"",'Dvd Calendar'!$W$382))</f>
        <v/>
      </c>
      <c r="BJ45" s="161">
        <f>IF(GL45="","",IF(ISNUMBER('Dvd Calendar'!$X$382)=FALSE,"",'Dvd Calendar'!$X$382))</f>
        <v/>
      </c>
      <c r="BK45" s="161">
        <f>IF(GM45="","",IF(ISNUMBER('Dvd Calendar'!$Y$382)=FALSE,"",'Dvd Calendar'!$Y$382))</f>
        <v/>
      </c>
      <c r="BL45" s="161">
        <f>IF(GN45="","",IF(ISNUMBER('Dvd Calendar'!$Z$382)=FALSE,"",'Dvd Calendar'!$Z$382))</f>
        <v/>
      </c>
      <c r="BM45" s="161">
        <f>IF(GO45="","",IF(ISNUMBER('Dvd Calendar'!$AA$382)=FALSE,"",'Dvd Calendar'!$AA$382))</f>
        <v/>
      </c>
      <c r="BN45" s="161">
        <f>IF(GP45="","",IF(ISNUMBER('Dvd Calendar'!$AB$382)=FALSE,"",'Dvd Calendar'!$AB$382))</f>
        <v/>
      </c>
      <c r="BO45" s="161">
        <f>IF(GQ45="","",IF(ISNUMBER('Dvd Calendar'!$AC$382)=FALSE,"",'Dvd Calendar'!$AC$382))</f>
        <v/>
      </c>
      <c r="BQ45" s="161">
        <f>IF(C45="","",IFERROR(C45*HSI!$B$40*HSI!$G$40/HSI!$B$3,""))</f>
        <v/>
      </c>
      <c r="BR45" s="161">
        <f>IF(D45="","",IFERROR(D45*HSI!$B$40*HSI!$G$40/HSI!$B$3,""))</f>
        <v/>
      </c>
      <c r="BS45" s="161">
        <f>IF(E45="","",IFERROR(E45*HSI!$B$40*HSI!$G$40/HSI!$B$3,""))</f>
        <v/>
      </c>
      <c r="BT45" s="161">
        <f>IF(F45="","",IFERROR(F45*HSI!$B$40*HSI!$G$40/HSI!$B$3,""))</f>
        <v/>
      </c>
      <c r="BU45" s="161">
        <f>IF(G45="","",IFERROR(G45*HSI!$B$40*HSI!$G$40/HSI!$B$3,""))</f>
        <v/>
      </c>
      <c r="BV45" s="161">
        <f>IF(H45="","",IFERROR(H45*HSI!$B$40*HSI!$G$40/HSI!$B$3,""))</f>
        <v/>
      </c>
      <c r="BW45" s="161">
        <f>IF(I45="","",IFERROR(I45*HSI!$B$40*HSI!$G$40/HSI!$B$3,""))</f>
        <v/>
      </c>
      <c r="BX45" s="161">
        <f>IF(J45="","",IFERROR(J45*HSI!$B$40*HSI!$G$40/HSI!$B$3,""))</f>
        <v/>
      </c>
      <c r="BY45" s="161">
        <f>IF(K45="","",IFERROR(K45*HSI!$B$40*HSI!$G$40/HSI!$B$3,""))</f>
        <v/>
      </c>
      <c r="BZ45" s="161">
        <f>IF(L45="","",IFERROR(L45*HSI!$B$40*HSI!$G$40/HSI!$B$3,""))</f>
        <v/>
      </c>
      <c r="CA45" s="161">
        <f>IF(M45="","",IFERROR(M45*HSI!$B$40*HSI!$G$40/HSI!$B$3,""))</f>
        <v/>
      </c>
      <c r="CB45" s="161">
        <f>IF(N45="","",IFERROR(N45*HSI!$B$40*HSI!$G$40/HSI!$B$3,""))</f>
        <v/>
      </c>
      <c r="CC45" s="161">
        <f>IF(O45="","",IFERROR(O45*HSI!$B$40*HSI!$G$40/HSI!$B$3,""))</f>
        <v/>
      </c>
      <c r="CD45" s="161">
        <f>IF(P45="","",IFERROR(P45*HSI!$B$40*HSI!$G$40/HSI!$B$3,""))</f>
        <v/>
      </c>
      <c r="CE45" s="161">
        <f>IF(Q45="","",IFERROR(Q45*HSI!$B$40*HSI!$G$40/HSI!$B$3,""))</f>
        <v/>
      </c>
      <c r="CF45" s="161">
        <f>IF(R45="","",IFERROR(R45*HSI!$B$40*HSI!$G$40/HSI!$B$3,""))</f>
        <v/>
      </c>
      <c r="CG45" s="161">
        <f>IF(S45="","",IFERROR(S45*HSI!$B$40*HSI!$G$40/HSI!$B$3,""))</f>
        <v/>
      </c>
      <c r="CH45" s="161">
        <f>IF(T45="","",IFERROR(T45*HSI!$B$40*HSI!$G$40/HSI!$B$3,""))</f>
        <v/>
      </c>
      <c r="CI45" s="161">
        <f>IF(U45="","",IFERROR(U45*HSI!$B$40*HSI!$G$40/HSI!$B$3,""))</f>
        <v/>
      </c>
      <c r="CJ45" s="161">
        <f>IF(V45="","",IFERROR(V45*HSI!$B$40*HSI!$G$40/HSI!$B$3,""))</f>
        <v/>
      </c>
      <c r="CK45" s="161">
        <f>IF(W45="","",IFERROR(W45*HSI!$B$40*HSI!$G$40/HSI!$B$3,""))</f>
        <v/>
      </c>
      <c r="CL45" s="161">
        <f>IF(X45="","",IFERROR(X45*HSI!$B$40*HSI!$G$40/HSI!$B$3,""))</f>
        <v/>
      </c>
      <c r="CM45" s="161">
        <f>IF(Y45="","",IFERROR(Y45*HSI!$B$40*HSI!$G$40/HSI!$B$3,""))</f>
        <v/>
      </c>
      <c r="CN45" s="161">
        <f>IF(Z45="","",IFERROR(Z45*HSI!$B$40*HSI!$G$40/HSI!$B$3,""))</f>
        <v/>
      </c>
      <c r="CO45" s="161">
        <f>IF(AA45="","",IFERROR(AA45*HSI!$B$40*HSI!$G$40/HSI!$B$3,""))</f>
        <v/>
      </c>
      <c r="CP45" s="161">
        <f>IF(AB45="","",IFERROR(AB45*HSI!$B$40*HSI!$G$40/HSI!$B$3,""))</f>
        <v/>
      </c>
      <c r="CQ45" s="161">
        <f>IF(AC45="","",IFERROR(AC45*HSI!$B$40*HSI!$G$40/HSI!$B$3,""))</f>
        <v/>
      </c>
      <c r="CR45" s="161">
        <f>IF(AD45="","",IFERROR(AD45*HSI!$B$40*HSI!$G$40/HSI!$B$3,""))</f>
        <v/>
      </c>
      <c r="CS45" s="161">
        <f>IF(AE45="","",IFERROR(AE45*HSI!$B$40*HSI!$G$40/HSI!$B$3,""))</f>
        <v/>
      </c>
      <c r="CT45" s="161">
        <f>IF(AF45="","",IFERROR(AF45*HSI!$B$40*HSI!$G$40/HSI!$B$3,""))</f>
        <v/>
      </c>
      <c r="CU45" s="161">
        <f>IF(AG45="","",IFERROR(AG45*HSI!$B$40*HSI!$G$40/HSI!$B$3,""))</f>
        <v/>
      </c>
      <c r="CV45" s="161">
        <f>IF(AH45="","",IFERROR(AH45*HSI!$B$40*HSI!$G$40/HSI!$B$3,""))</f>
        <v/>
      </c>
      <c r="CW45" s="161">
        <f>IF(AI45="","",IFERROR(AI45*HSI!$B$40*HSI!$G$40/HSI!$B$3,""))</f>
        <v/>
      </c>
      <c r="CX45" s="161">
        <f>IF(AJ45="","",IFERROR(AJ45*HSI!$B$40*HSI!$G$40/HSI!$B$3,""))</f>
        <v/>
      </c>
      <c r="CY45" s="161">
        <f>IF(AK45="","",IFERROR(AK45*HSI!$B$40*HSI!$G$40/HSI!$B$3,""))</f>
        <v/>
      </c>
      <c r="CZ45" s="161">
        <f>IF(AL45="","",IFERROR(AL45*HSI!$B$40*HSI!$G$40/HSI!$B$3,""))</f>
        <v/>
      </c>
      <c r="DA45" s="161">
        <f>IF(AM45="","",IFERROR(AM45*HSI!$B$40*HSI!$G$40/HSI!$B$3,""))</f>
        <v/>
      </c>
      <c r="DB45" s="161">
        <f>IF(AN45="","",IFERROR(AN45*HSI!$B$40*HSI!$G$40/HSI!$B$3,""))</f>
        <v/>
      </c>
      <c r="DC45" s="161">
        <f>IF(AO45="","",IFERROR(AO45*HSI!$B$40*HSI!$G$40/HSI!$B$3,""))</f>
        <v/>
      </c>
      <c r="DD45" s="161">
        <f>IF(AP45="","",IFERROR(AP45*HSI!$B$40*HSI!$G$40/HSI!$B$3,""))</f>
        <v/>
      </c>
      <c r="DE45" s="161">
        <f>IF(AQ45="","",IFERROR(AQ45*HSI!$B$40*HSI!$G$40/HSI!$B$3,""))</f>
        <v/>
      </c>
      <c r="DF45" s="161">
        <f>IF(AR45="","",IFERROR(AR45*HSI!$B$40*HSI!$G$40/HSI!$B$3,""))</f>
        <v/>
      </c>
      <c r="DG45" s="161">
        <f>IF(AS45="","",IFERROR(AS45*HSI!$B$40*HSI!$G$40/HSI!$B$3,""))</f>
        <v/>
      </c>
      <c r="DH45" s="161">
        <f>IF(AT45="","",IFERROR(AT45*HSI!$B$40*HSI!$G$40/HSI!$B$3,""))</f>
        <v/>
      </c>
      <c r="DI45" s="161">
        <f>IF(AU45="","",IFERROR(AU45*HSI!$B$40*HSI!$G$40/HSI!$B$3,""))</f>
        <v/>
      </c>
      <c r="DJ45" s="161">
        <f>IF(AV45="","",IFERROR(AV45*HSI!$B$40*HSI!$G$40/HSI!$B$3,""))</f>
        <v/>
      </c>
      <c r="DK45" s="161">
        <f>IF(AW45="","",IFERROR(AW45*HSI!$B$40*HSI!$G$40/HSI!$B$3,""))</f>
        <v/>
      </c>
      <c r="DL45" s="161">
        <f>IF(AX45="","",IFERROR(AX45*HSI!$B$40*HSI!$G$40/HSI!$B$3,""))</f>
        <v/>
      </c>
      <c r="DM45" s="161">
        <f>IF(AY45="","",IFERROR(AY45*HSI!$B$40*HSI!$G$40/HSI!$B$3,""))</f>
        <v/>
      </c>
      <c r="DN45" s="161">
        <f>IF(AZ45="","",IFERROR(AZ45*HSI!$B$40*HSI!$G$40/HSI!$B$3,""))</f>
        <v/>
      </c>
      <c r="DO45" s="161">
        <f>IF(BA45="","",IFERROR(BA45*HSI!$B$40*HSI!$G$40/HSI!$B$3,""))</f>
        <v/>
      </c>
      <c r="DP45" s="161">
        <f>IF(BB45="","",IFERROR(BB45*HSI!$B$40*HSI!$G$40/HSI!$B$3,""))</f>
        <v/>
      </c>
      <c r="DQ45" s="161">
        <f>IF(BC45="","",IFERROR(BC45*HSI!$B$40*HSI!$G$40/HSI!$B$3,""))</f>
        <v/>
      </c>
      <c r="DR45" s="161">
        <f>IF(BD45="","",IFERROR(BD45*HSI!$B$40*HSI!$G$40/HSI!$B$3,""))</f>
        <v/>
      </c>
      <c r="DS45" s="161">
        <f>IF(BE45="","",IFERROR(BE45*HSI!$B$40*HSI!$G$40/HSI!$B$3,""))</f>
        <v/>
      </c>
      <c r="DT45" s="161">
        <f>IF(BF45="","",IFERROR(BF45*HSI!$B$40*HSI!$G$40/HSI!$B$3,""))</f>
        <v/>
      </c>
      <c r="DU45" s="161">
        <f>IF(BG45="","",IFERROR(BG45*HSI!$B$40*HSI!$G$40/HSI!$B$3,""))</f>
        <v/>
      </c>
      <c r="DV45" s="161">
        <f>IF(BH45="","",IFERROR(BH45*HSI!$B$40*HSI!$G$40/HSI!$B$3,""))</f>
        <v/>
      </c>
      <c r="DW45" s="161">
        <f>IF(BI45="","",IFERROR(BI45*HSI!$B$40*HSI!$G$40/HSI!$B$3,""))</f>
        <v/>
      </c>
      <c r="DX45" s="161">
        <f>IF(BJ45="","",IFERROR(BJ45*HSI!$B$40*HSI!$G$40/HSI!$B$3,""))</f>
        <v/>
      </c>
      <c r="DY45" s="161">
        <f>IF(BK45="","",IFERROR(BK45*HSI!$B$40*HSI!$G$40/HSI!$B$3,""))</f>
        <v/>
      </c>
      <c r="DZ45" s="161">
        <f>IF(BL45="","",IFERROR(BL45*HSI!$B$40*HSI!$G$40/HSI!$B$3,""))</f>
        <v/>
      </c>
      <c r="EA45" s="161">
        <f>IF(BM45="","",IFERROR(BM45*HSI!$B$40*HSI!$G$40/HSI!$B$3,""))</f>
        <v/>
      </c>
      <c r="EB45" s="161">
        <f>IF(BN45="","",IFERROR(BN45*HSI!$B$40*HSI!$G$40/HSI!$B$3,""))</f>
        <v/>
      </c>
      <c r="EC45" s="161">
        <f>IF(BO45="","",IFERROR(BO45*HSI!$B$40*HSI!$G$40/HSI!$B$3,""))</f>
        <v/>
      </c>
      <c r="EE45" s="121">
        <f>IF(N('Dvd Calendar'!$E$374)=0,"",IF(('Dvd Calendar'!$E$374&gt;=GRID_FROM)*('Dvd Calendar'!$E$374&lt;=GRID_TO)*((('Dvd Calendar'!$E$374&lt;=VAL_DATE)+(COUNTIF('Dvd Calendar'!$E$381:$AR$381,'Dvd Calendar'!$E$374)=0))&gt;0)=0,"",'Dvd Calendar'!$E$374*1000000000+ISNUMBER('Dvd Calendar'!$E$377)*100000000+('Dvd Calendar'!$E$379=SPECIAL_LBL)*10000000+(N('Dvd Calendar'!$E$373)&gt;0)*(N('Dvd Calendar'!$E$373)&lt;=VAL_SERIAL)*1000000+34*1000+1))</f>
        <v/>
      </c>
      <c r="EF45" s="121">
        <f>IF(N('Dvd Calendar'!$F$374)=0,"",IF(('Dvd Calendar'!$F$374&gt;=GRID_FROM)*('Dvd Calendar'!$F$374&lt;=GRID_TO)*((('Dvd Calendar'!$F$374&lt;=VAL_DATE)+(COUNTIF('Dvd Calendar'!$E$381:$AR$381,'Dvd Calendar'!$F$374)=0))&gt;0)=0,"",'Dvd Calendar'!$F$374*1000000000+ISNUMBER('Dvd Calendar'!$F$377)*100000000+('Dvd Calendar'!$F$379=SPECIAL_LBL)*10000000+(N('Dvd Calendar'!$F$373)&gt;0)*(N('Dvd Calendar'!$F$373)&lt;=VAL_SERIAL)*1000000+34*1000+2))</f>
        <v/>
      </c>
      <c r="EG45" s="121">
        <f>IF(N('Dvd Calendar'!$G$374)=0,"",IF(('Dvd Calendar'!$G$374&gt;=GRID_FROM)*('Dvd Calendar'!$G$374&lt;=GRID_TO)*((('Dvd Calendar'!$G$374&lt;=VAL_DATE)+(COUNTIF('Dvd Calendar'!$E$381:$AR$381,'Dvd Calendar'!$G$374)=0))&gt;0)=0,"",'Dvd Calendar'!$G$374*1000000000+ISNUMBER('Dvd Calendar'!$G$377)*100000000+('Dvd Calendar'!$G$379=SPECIAL_LBL)*10000000+(N('Dvd Calendar'!$G$373)&gt;0)*(N('Dvd Calendar'!$G$373)&lt;=VAL_SERIAL)*1000000+34*1000+3))</f>
        <v/>
      </c>
      <c r="EH45" s="121">
        <f>IF(N('Dvd Calendar'!$H$374)=0,"",IF(('Dvd Calendar'!$H$374&gt;=GRID_FROM)*('Dvd Calendar'!$H$374&lt;=GRID_TO)*((('Dvd Calendar'!$H$374&lt;=VAL_DATE)+(COUNTIF('Dvd Calendar'!$E$381:$AR$381,'Dvd Calendar'!$H$374)=0))&gt;0)=0,"",'Dvd Calendar'!$H$374*1000000000+ISNUMBER('Dvd Calendar'!$H$377)*100000000+('Dvd Calendar'!$H$379=SPECIAL_LBL)*10000000+(N('Dvd Calendar'!$H$373)&gt;0)*(N('Dvd Calendar'!$H$373)&lt;=VAL_SERIAL)*1000000+34*1000+4))</f>
        <v/>
      </c>
      <c r="EI45" s="121">
        <f>IF(N('Dvd Calendar'!$I$374)=0,"",IF(('Dvd Calendar'!$I$374&gt;=GRID_FROM)*('Dvd Calendar'!$I$374&lt;=GRID_TO)*((('Dvd Calendar'!$I$374&lt;=VAL_DATE)+(COUNTIF('Dvd Calendar'!$E$381:$AR$381,'Dvd Calendar'!$I$374)=0))&gt;0)=0,"",'Dvd Calendar'!$I$374*1000000000+ISNUMBER('Dvd Calendar'!$I$377)*100000000+('Dvd Calendar'!$I$379=SPECIAL_LBL)*10000000+(N('Dvd Calendar'!$I$373)&gt;0)*(N('Dvd Calendar'!$I$373)&lt;=VAL_SERIAL)*1000000+34*1000+5))</f>
        <v/>
      </c>
      <c r="EJ45" s="121">
        <f>IF(N('Dvd Calendar'!$J$374)=0,"",IF(('Dvd Calendar'!$J$374&gt;=GRID_FROM)*('Dvd Calendar'!$J$374&lt;=GRID_TO)*((('Dvd Calendar'!$J$374&lt;=VAL_DATE)+(COUNTIF('Dvd Calendar'!$E$381:$AR$381,'Dvd Calendar'!$J$374)=0))&gt;0)=0,"",'Dvd Calendar'!$J$374*1000000000+ISNUMBER('Dvd Calendar'!$J$377)*100000000+('Dvd Calendar'!$J$379=SPECIAL_LBL)*10000000+(N('Dvd Calendar'!$J$373)&gt;0)*(N('Dvd Calendar'!$J$373)&lt;=VAL_SERIAL)*1000000+34*1000+6))</f>
        <v/>
      </c>
      <c r="EK45" s="121">
        <f>IF(N('Dvd Calendar'!$K$374)=0,"",IF(('Dvd Calendar'!$K$374&gt;=GRID_FROM)*('Dvd Calendar'!$K$374&lt;=GRID_TO)*((('Dvd Calendar'!$K$374&lt;=VAL_DATE)+(COUNTIF('Dvd Calendar'!$E$381:$AR$381,'Dvd Calendar'!$K$374)=0))&gt;0)=0,"",'Dvd Calendar'!$K$374*1000000000+ISNUMBER('Dvd Calendar'!$K$377)*100000000+('Dvd Calendar'!$K$379=SPECIAL_LBL)*10000000+(N('Dvd Calendar'!$K$373)&gt;0)*(N('Dvd Calendar'!$K$373)&lt;=VAL_SERIAL)*1000000+34*1000+7))</f>
        <v/>
      </c>
      <c r="EL45" s="121">
        <f>IF(N('Dvd Calendar'!$L$374)=0,"",IF(('Dvd Calendar'!$L$374&gt;=GRID_FROM)*('Dvd Calendar'!$L$374&lt;=GRID_TO)*((('Dvd Calendar'!$L$374&lt;=VAL_DATE)+(COUNTIF('Dvd Calendar'!$E$381:$AR$381,'Dvd Calendar'!$L$374)=0))&gt;0)=0,"",'Dvd Calendar'!$L$374*1000000000+ISNUMBER('Dvd Calendar'!$L$377)*100000000+('Dvd Calendar'!$L$379=SPECIAL_LBL)*10000000+(N('Dvd Calendar'!$L$373)&gt;0)*(N('Dvd Calendar'!$L$373)&lt;=VAL_SERIAL)*1000000+34*1000+8))</f>
        <v/>
      </c>
      <c r="EM45" s="121">
        <f>IF(N('Dvd Calendar'!$M$374)=0,"",IF(('Dvd Calendar'!$M$374&gt;=GRID_FROM)*('Dvd Calendar'!$M$374&lt;=GRID_TO)*((('Dvd Calendar'!$M$374&lt;=VAL_DATE)+(COUNTIF('Dvd Calendar'!$E$381:$AR$381,'Dvd Calendar'!$M$374)=0))&gt;0)=0,"",'Dvd Calendar'!$M$374*1000000000+ISNUMBER('Dvd Calendar'!$M$377)*100000000+('Dvd Calendar'!$M$379=SPECIAL_LBL)*10000000+(N('Dvd Calendar'!$M$373)&gt;0)*(N('Dvd Calendar'!$M$373)&lt;=VAL_SERIAL)*1000000+34*1000+9))</f>
        <v/>
      </c>
      <c r="EN45" s="121">
        <f>IF(N('Dvd Calendar'!$N$374)=0,"",IF(('Dvd Calendar'!$N$374&gt;=GRID_FROM)*('Dvd Calendar'!$N$374&lt;=GRID_TO)*((('Dvd Calendar'!$N$374&lt;=VAL_DATE)+(COUNTIF('Dvd Calendar'!$E$381:$AR$381,'Dvd Calendar'!$N$374)=0))&gt;0)=0,"",'Dvd Calendar'!$N$374*1000000000+ISNUMBER('Dvd Calendar'!$N$377)*100000000+('Dvd Calendar'!$N$379=SPECIAL_LBL)*10000000+(N('Dvd Calendar'!$N$373)&gt;0)*(N('Dvd Calendar'!$N$373)&lt;=VAL_SERIAL)*1000000+34*1000+10))</f>
        <v/>
      </c>
      <c r="EO45" s="121">
        <f>IF(N('Dvd Calendar'!$O$374)=0,"",IF(('Dvd Calendar'!$O$374&gt;=GRID_FROM)*('Dvd Calendar'!$O$374&lt;=GRID_TO)*((('Dvd Calendar'!$O$374&lt;=VAL_DATE)+(COUNTIF('Dvd Calendar'!$E$381:$AR$381,'Dvd Calendar'!$O$374)=0))&gt;0)=0,"",'Dvd Calendar'!$O$374*1000000000+ISNUMBER('Dvd Calendar'!$O$377)*100000000+('Dvd Calendar'!$O$379=SPECIAL_LBL)*10000000+(N('Dvd Calendar'!$O$373)&gt;0)*(N('Dvd Calendar'!$O$373)&lt;=VAL_SERIAL)*1000000+34*1000+11))</f>
        <v/>
      </c>
      <c r="EP45" s="121">
        <f>IF(N('Dvd Calendar'!$P$374)=0,"",IF(('Dvd Calendar'!$P$374&gt;=GRID_FROM)*('Dvd Calendar'!$P$374&lt;=GRID_TO)*((('Dvd Calendar'!$P$374&lt;=VAL_DATE)+(COUNTIF('Dvd Calendar'!$E$381:$AR$381,'Dvd Calendar'!$P$374)=0))&gt;0)=0,"",'Dvd Calendar'!$P$374*1000000000+ISNUMBER('Dvd Calendar'!$P$377)*100000000+('Dvd Calendar'!$P$379=SPECIAL_LBL)*10000000+(N('Dvd Calendar'!$P$373)&gt;0)*(N('Dvd Calendar'!$P$373)&lt;=VAL_SERIAL)*1000000+34*1000+12))</f>
        <v/>
      </c>
      <c r="EQ45" s="121">
        <f>IF(N('Dvd Calendar'!$Q$374)=0,"",IF(('Dvd Calendar'!$Q$374&gt;=GRID_FROM)*('Dvd Calendar'!$Q$374&lt;=GRID_TO)*((('Dvd Calendar'!$Q$374&lt;=VAL_DATE)+(COUNTIF('Dvd Calendar'!$E$381:$AR$381,'Dvd Calendar'!$Q$374)=0))&gt;0)=0,"",'Dvd Calendar'!$Q$374*1000000000+ISNUMBER('Dvd Calendar'!$Q$377)*100000000+('Dvd Calendar'!$Q$379=SPECIAL_LBL)*10000000+(N('Dvd Calendar'!$Q$373)&gt;0)*(N('Dvd Calendar'!$Q$373)&lt;=VAL_SERIAL)*1000000+34*1000+13))</f>
        <v/>
      </c>
      <c r="ER45" s="121">
        <f>IF(N('Dvd Calendar'!$R$374)=0,"",IF(('Dvd Calendar'!$R$374&gt;=GRID_FROM)*('Dvd Calendar'!$R$374&lt;=GRID_TO)*((('Dvd Calendar'!$R$374&lt;=VAL_DATE)+(COUNTIF('Dvd Calendar'!$E$381:$AR$381,'Dvd Calendar'!$R$374)=0))&gt;0)=0,"",'Dvd Calendar'!$R$374*1000000000+ISNUMBER('Dvd Calendar'!$R$377)*100000000+('Dvd Calendar'!$R$379=SPECIAL_LBL)*10000000+(N('Dvd Calendar'!$R$373)&gt;0)*(N('Dvd Calendar'!$R$373)&lt;=VAL_SERIAL)*1000000+34*1000+14))</f>
        <v/>
      </c>
      <c r="ES45" s="121">
        <f>IF(N('Dvd Calendar'!$S$374)=0,"",IF(('Dvd Calendar'!$S$374&gt;=GRID_FROM)*('Dvd Calendar'!$S$374&lt;=GRID_TO)*((('Dvd Calendar'!$S$374&lt;=VAL_DATE)+(COUNTIF('Dvd Calendar'!$E$381:$AR$381,'Dvd Calendar'!$S$374)=0))&gt;0)=0,"",'Dvd Calendar'!$S$374*1000000000+ISNUMBER('Dvd Calendar'!$S$377)*100000000+('Dvd Calendar'!$S$379=SPECIAL_LBL)*10000000+(N('Dvd Calendar'!$S$373)&gt;0)*(N('Dvd Calendar'!$S$373)&lt;=VAL_SERIAL)*1000000+34*1000+15))</f>
        <v/>
      </c>
      <c r="ET45" s="121">
        <f>IF(N('Dvd Calendar'!$T$374)=0,"",IF(('Dvd Calendar'!$T$374&gt;=GRID_FROM)*('Dvd Calendar'!$T$374&lt;=GRID_TO)*((('Dvd Calendar'!$T$374&lt;=VAL_DATE)+(COUNTIF('Dvd Calendar'!$E$381:$AR$381,'Dvd Calendar'!$T$374)=0))&gt;0)=0,"",'Dvd Calendar'!$T$374*1000000000+ISNUMBER('Dvd Calendar'!$T$377)*100000000+('Dvd Calendar'!$T$379=SPECIAL_LBL)*10000000+(N('Dvd Calendar'!$T$373)&gt;0)*(N('Dvd Calendar'!$T$373)&lt;=VAL_SERIAL)*1000000+34*1000+16))</f>
        <v/>
      </c>
      <c r="EU45" s="121">
        <f>IF(N('Dvd Calendar'!$U$374)=0,"",IF(('Dvd Calendar'!$U$374&gt;=GRID_FROM)*('Dvd Calendar'!$U$374&lt;=GRID_TO)*((('Dvd Calendar'!$U$374&lt;=VAL_DATE)+(COUNTIF('Dvd Calendar'!$E$381:$AR$381,'Dvd Calendar'!$U$374)=0))&gt;0)=0,"",'Dvd Calendar'!$U$374*1000000000+ISNUMBER('Dvd Calendar'!$U$377)*100000000+('Dvd Calendar'!$U$379=SPECIAL_LBL)*10000000+(N('Dvd Calendar'!$U$373)&gt;0)*(N('Dvd Calendar'!$U$373)&lt;=VAL_SERIAL)*1000000+34*1000+17))</f>
        <v/>
      </c>
      <c r="EV45" s="121">
        <f>IF(N('Dvd Calendar'!$V$374)=0,"",IF(('Dvd Calendar'!$V$374&gt;=GRID_FROM)*('Dvd Calendar'!$V$374&lt;=GRID_TO)*((('Dvd Calendar'!$V$374&lt;=VAL_DATE)+(COUNTIF('Dvd Calendar'!$E$381:$AR$381,'Dvd Calendar'!$V$374)=0))&gt;0)=0,"",'Dvd Calendar'!$V$374*1000000000+ISNUMBER('Dvd Calendar'!$V$377)*100000000+('Dvd Calendar'!$V$379=SPECIAL_LBL)*10000000+(N('Dvd Calendar'!$V$373)&gt;0)*(N('Dvd Calendar'!$V$373)&lt;=VAL_SERIAL)*1000000+34*1000+18))</f>
        <v/>
      </c>
      <c r="EW45" s="121">
        <f>IF(N('Dvd Calendar'!$W$374)=0,"",IF(('Dvd Calendar'!$W$374&gt;=GRID_FROM)*('Dvd Calendar'!$W$374&lt;=GRID_TO)*((('Dvd Calendar'!$W$374&lt;=VAL_DATE)+(COUNTIF('Dvd Calendar'!$E$381:$AR$381,'Dvd Calendar'!$W$374)=0))&gt;0)=0,"",'Dvd Calendar'!$W$374*1000000000+ISNUMBER('Dvd Calendar'!$W$377)*100000000+('Dvd Calendar'!$W$379=SPECIAL_LBL)*10000000+(N('Dvd Calendar'!$W$373)&gt;0)*(N('Dvd Calendar'!$W$373)&lt;=VAL_SERIAL)*1000000+34*1000+19))</f>
        <v/>
      </c>
      <c r="EX45" s="121">
        <f>IF(N('Dvd Calendar'!$X$374)=0,"",IF(('Dvd Calendar'!$X$374&gt;=GRID_FROM)*('Dvd Calendar'!$X$374&lt;=GRID_TO)*((('Dvd Calendar'!$X$374&lt;=VAL_DATE)+(COUNTIF('Dvd Calendar'!$E$381:$AR$381,'Dvd Calendar'!$X$374)=0))&gt;0)=0,"",'Dvd Calendar'!$X$374*1000000000+ISNUMBER('Dvd Calendar'!$X$377)*100000000+('Dvd Calendar'!$X$379=SPECIAL_LBL)*10000000+(N('Dvd Calendar'!$X$373)&gt;0)*(N('Dvd Calendar'!$X$373)&lt;=VAL_SERIAL)*1000000+34*1000+20))</f>
        <v/>
      </c>
      <c r="EY45" s="121">
        <f>IF(N('Dvd Calendar'!$Y$374)=0,"",IF(('Dvd Calendar'!$Y$374&gt;=GRID_FROM)*('Dvd Calendar'!$Y$374&lt;=GRID_TO)*((('Dvd Calendar'!$Y$374&lt;=VAL_DATE)+(COUNTIF('Dvd Calendar'!$E$381:$AR$381,'Dvd Calendar'!$Y$374)=0))&gt;0)=0,"",'Dvd Calendar'!$Y$374*1000000000+ISNUMBER('Dvd Calendar'!$Y$377)*100000000+('Dvd Calendar'!$Y$379=SPECIAL_LBL)*10000000+(N('Dvd Calendar'!$Y$373)&gt;0)*(N('Dvd Calendar'!$Y$373)&lt;=VAL_SERIAL)*1000000+34*1000+21))</f>
        <v/>
      </c>
      <c r="EZ45" s="121">
        <f>IF(N('Dvd Calendar'!$Z$374)=0,"",IF(('Dvd Calendar'!$Z$374&gt;=GRID_FROM)*('Dvd Calendar'!$Z$374&lt;=GRID_TO)*((('Dvd Calendar'!$Z$374&lt;=VAL_DATE)+(COUNTIF('Dvd Calendar'!$E$381:$AR$381,'Dvd Calendar'!$Z$374)=0))&gt;0)=0,"",'Dvd Calendar'!$Z$374*1000000000+ISNUMBER('Dvd Calendar'!$Z$377)*100000000+('Dvd Calendar'!$Z$379=SPECIAL_LBL)*10000000+(N('Dvd Calendar'!$Z$373)&gt;0)*(N('Dvd Calendar'!$Z$373)&lt;=VAL_SERIAL)*1000000+34*1000+22))</f>
        <v/>
      </c>
      <c r="FA45" s="121">
        <f>IF(N('Dvd Calendar'!$AA$374)=0,"",IF(('Dvd Calendar'!$AA$374&gt;=GRID_FROM)*('Dvd Calendar'!$AA$374&lt;=GRID_TO)*((('Dvd Calendar'!$AA$374&lt;=VAL_DATE)+(COUNTIF('Dvd Calendar'!$E$381:$AR$381,'Dvd Calendar'!$AA$374)=0))&gt;0)=0,"",'Dvd Calendar'!$AA$374*1000000000+ISNUMBER('Dvd Calendar'!$AA$377)*100000000+('Dvd Calendar'!$AA$379=SPECIAL_LBL)*10000000+(N('Dvd Calendar'!$AA$373)&gt;0)*(N('Dvd Calendar'!$AA$373)&lt;=VAL_SERIAL)*1000000+34*1000+23))</f>
        <v/>
      </c>
      <c r="FB45" s="121">
        <f>IF(N('Dvd Calendar'!$AB$374)=0,"",IF(('Dvd Calendar'!$AB$374&gt;=GRID_FROM)*('Dvd Calendar'!$AB$374&lt;=GRID_TO)*((('Dvd Calendar'!$AB$374&lt;=VAL_DATE)+(COUNTIF('Dvd Calendar'!$E$381:$AR$381,'Dvd Calendar'!$AB$374)=0))&gt;0)=0,"",'Dvd Calendar'!$AB$374*1000000000+ISNUMBER('Dvd Calendar'!$AB$377)*100000000+('Dvd Calendar'!$AB$379=SPECIAL_LBL)*10000000+(N('Dvd Calendar'!$AB$373)&gt;0)*(N('Dvd Calendar'!$AB$373)&lt;=VAL_SERIAL)*1000000+34*1000+24))</f>
        <v/>
      </c>
      <c r="FC45" s="121">
        <f>IF(N('Dvd Calendar'!$AC$374)=0,"",IF(('Dvd Calendar'!$AC$374&gt;=GRID_FROM)*('Dvd Calendar'!$AC$374&lt;=GRID_TO)*((('Dvd Calendar'!$AC$374&lt;=VAL_DATE)+(COUNTIF('Dvd Calendar'!$E$381:$AR$381,'Dvd Calendar'!$AC$374)=0))&gt;0)=0,"",'Dvd Calendar'!$AC$374*1000000000+ISNUMBER('Dvd Calendar'!$AC$377)*100000000+('Dvd Calendar'!$AC$379=SPECIAL_LBL)*10000000+(N('Dvd Calendar'!$AC$373)&gt;0)*(N('Dvd Calendar'!$AC$373)&lt;=VAL_SERIAL)*1000000+34*1000+25))</f>
        <v/>
      </c>
      <c r="FD45" s="121">
        <f>IF(N('Dvd Calendar'!$AD$374)=0,"",IF(('Dvd Calendar'!$AD$374&gt;=GRID_FROM)*('Dvd Calendar'!$AD$374&lt;=GRID_TO)*((('Dvd Calendar'!$AD$374&lt;=VAL_DATE)+(COUNTIF('Dvd Calendar'!$E$381:$AR$381,'Dvd Calendar'!$AD$374)=0))&gt;0)=0,"",'Dvd Calendar'!$AD$374*1000000000+ISNUMBER('Dvd Calendar'!$AD$377)*100000000+('Dvd Calendar'!$AD$379=SPECIAL_LBL)*10000000+(N('Dvd Calendar'!$AD$373)&gt;0)*(N('Dvd Calendar'!$AD$373)&lt;=VAL_SERIAL)*1000000+34*1000+26))</f>
        <v/>
      </c>
      <c r="FE45" s="121">
        <f>IF(N('Dvd Calendar'!$AE$374)=0,"",IF(('Dvd Calendar'!$AE$374&gt;=GRID_FROM)*('Dvd Calendar'!$AE$374&lt;=GRID_TO)*((('Dvd Calendar'!$AE$374&lt;=VAL_DATE)+(COUNTIF('Dvd Calendar'!$E$381:$AR$381,'Dvd Calendar'!$AE$374)=0))&gt;0)=0,"",'Dvd Calendar'!$AE$374*1000000000+ISNUMBER('Dvd Calendar'!$AE$377)*100000000+('Dvd Calendar'!$AE$379=SPECIAL_LBL)*10000000+(N('Dvd Calendar'!$AE$373)&gt;0)*(N('Dvd Calendar'!$AE$373)&lt;=VAL_SERIAL)*1000000+34*1000+27))</f>
        <v/>
      </c>
      <c r="FF45" s="121">
        <f>IF(N('Dvd Calendar'!$AF$374)=0,"",IF(('Dvd Calendar'!$AF$374&gt;=GRID_FROM)*('Dvd Calendar'!$AF$374&lt;=GRID_TO)*((('Dvd Calendar'!$AF$374&lt;=VAL_DATE)+(COUNTIF('Dvd Calendar'!$E$381:$AR$381,'Dvd Calendar'!$AF$374)=0))&gt;0)=0,"",'Dvd Calendar'!$AF$374*1000000000+ISNUMBER('Dvd Calendar'!$AF$377)*100000000+('Dvd Calendar'!$AF$379=SPECIAL_LBL)*10000000+(N('Dvd Calendar'!$AF$373)&gt;0)*(N('Dvd Calendar'!$AF$373)&lt;=VAL_SERIAL)*1000000+34*1000+28))</f>
        <v/>
      </c>
      <c r="FG45" s="121">
        <f>IF(N('Dvd Calendar'!$AG$374)=0,"",IF(('Dvd Calendar'!$AG$374&gt;=GRID_FROM)*('Dvd Calendar'!$AG$374&lt;=GRID_TO)*((('Dvd Calendar'!$AG$374&lt;=VAL_DATE)+(COUNTIF('Dvd Calendar'!$E$381:$AR$381,'Dvd Calendar'!$AG$374)=0))&gt;0)=0,"",'Dvd Calendar'!$AG$374*1000000000+ISNUMBER('Dvd Calendar'!$AG$377)*100000000+('Dvd Calendar'!$AG$379=SPECIAL_LBL)*10000000+(N('Dvd Calendar'!$AG$373)&gt;0)*(N('Dvd Calendar'!$AG$373)&lt;=VAL_SERIAL)*1000000+34*1000+29))</f>
        <v/>
      </c>
      <c r="FH45" s="121">
        <f>IF(N('Dvd Calendar'!$AH$374)=0,"",IF(('Dvd Calendar'!$AH$374&gt;=GRID_FROM)*('Dvd Calendar'!$AH$374&lt;=GRID_TO)*((('Dvd Calendar'!$AH$374&lt;=VAL_DATE)+(COUNTIF('Dvd Calendar'!$E$381:$AR$381,'Dvd Calendar'!$AH$374)=0))&gt;0)=0,"",'Dvd Calendar'!$AH$374*1000000000+ISNUMBER('Dvd Calendar'!$AH$377)*100000000+('Dvd Calendar'!$AH$379=SPECIAL_LBL)*10000000+(N('Dvd Calendar'!$AH$373)&gt;0)*(N('Dvd Calendar'!$AH$373)&lt;=VAL_SERIAL)*1000000+34*1000+30))</f>
        <v/>
      </c>
      <c r="FI45" s="121">
        <f>IF(N('Dvd Calendar'!$AI$374)=0,"",IF(('Dvd Calendar'!$AI$374&gt;=GRID_FROM)*('Dvd Calendar'!$AI$374&lt;=GRID_TO)*((('Dvd Calendar'!$AI$374&lt;=VAL_DATE)+(COUNTIF('Dvd Calendar'!$E$381:$AR$381,'Dvd Calendar'!$AI$374)=0))&gt;0)=0,"",'Dvd Calendar'!$AI$374*1000000000+ISNUMBER('Dvd Calendar'!$AI$377)*100000000+('Dvd Calendar'!$AI$379=SPECIAL_LBL)*10000000+(N('Dvd Calendar'!$AI$373)&gt;0)*(N('Dvd Calendar'!$AI$373)&lt;=VAL_SERIAL)*1000000+34*1000+31))</f>
        <v/>
      </c>
      <c r="FJ45" s="121">
        <f>IF(N('Dvd Calendar'!$AJ$374)=0,"",IF(('Dvd Calendar'!$AJ$374&gt;=GRID_FROM)*('Dvd Calendar'!$AJ$374&lt;=GRID_TO)*((('Dvd Calendar'!$AJ$374&lt;=VAL_DATE)+(COUNTIF('Dvd Calendar'!$E$381:$AR$381,'Dvd Calendar'!$AJ$374)=0))&gt;0)=0,"",'Dvd Calendar'!$AJ$374*1000000000+ISNUMBER('Dvd Calendar'!$AJ$377)*100000000+('Dvd Calendar'!$AJ$379=SPECIAL_LBL)*10000000+(N('Dvd Calendar'!$AJ$373)&gt;0)*(N('Dvd Calendar'!$AJ$373)&lt;=VAL_SERIAL)*1000000+34*1000+32))</f>
        <v/>
      </c>
      <c r="FK45" s="121">
        <f>IF(N('Dvd Calendar'!$AK$374)=0,"",IF(('Dvd Calendar'!$AK$374&gt;=GRID_FROM)*('Dvd Calendar'!$AK$374&lt;=GRID_TO)*((('Dvd Calendar'!$AK$374&lt;=VAL_DATE)+(COUNTIF('Dvd Calendar'!$E$381:$AR$381,'Dvd Calendar'!$AK$374)=0))&gt;0)=0,"",'Dvd Calendar'!$AK$374*1000000000+ISNUMBER('Dvd Calendar'!$AK$377)*100000000+('Dvd Calendar'!$AK$379=SPECIAL_LBL)*10000000+(N('Dvd Calendar'!$AK$373)&gt;0)*(N('Dvd Calendar'!$AK$373)&lt;=VAL_SERIAL)*1000000+34*1000+33))</f>
        <v/>
      </c>
      <c r="FL45" s="121">
        <f>IF(N('Dvd Calendar'!$AL$374)=0,"",IF(('Dvd Calendar'!$AL$374&gt;=GRID_FROM)*('Dvd Calendar'!$AL$374&lt;=GRID_TO)*((('Dvd Calendar'!$AL$374&lt;=VAL_DATE)+(COUNTIF('Dvd Calendar'!$E$381:$AR$381,'Dvd Calendar'!$AL$374)=0))&gt;0)=0,"",'Dvd Calendar'!$AL$374*1000000000+ISNUMBER('Dvd Calendar'!$AL$377)*100000000+('Dvd Calendar'!$AL$379=SPECIAL_LBL)*10000000+(N('Dvd Calendar'!$AL$373)&gt;0)*(N('Dvd Calendar'!$AL$373)&lt;=VAL_SERIAL)*1000000+34*1000+34))</f>
        <v/>
      </c>
      <c r="FM45" s="121">
        <f>IF(N('Dvd Calendar'!$AM$374)=0,"",IF(('Dvd Calendar'!$AM$374&gt;=GRID_FROM)*('Dvd Calendar'!$AM$374&lt;=GRID_TO)*((('Dvd Calendar'!$AM$374&lt;=VAL_DATE)+(COUNTIF('Dvd Calendar'!$E$381:$AR$381,'Dvd Calendar'!$AM$374)=0))&gt;0)=0,"",'Dvd Calendar'!$AM$374*1000000000+ISNUMBER('Dvd Calendar'!$AM$377)*100000000+('Dvd Calendar'!$AM$379=SPECIAL_LBL)*10000000+(N('Dvd Calendar'!$AM$373)&gt;0)*(N('Dvd Calendar'!$AM$373)&lt;=VAL_SERIAL)*1000000+34*1000+35))</f>
        <v/>
      </c>
      <c r="FN45" s="121">
        <f>IF(N('Dvd Calendar'!$AN$374)=0,"",IF(('Dvd Calendar'!$AN$374&gt;=GRID_FROM)*('Dvd Calendar'!$AN$374&lt;=GRID_TO)*((('Dvd Calendar'!$AN$374&lt;=VAL_DATE)+(COUNTIF('Dvd Calendar'!$E$381:$AR$381,'Dvd Calendar'!$AN$374)=0))&gt;0)=0,"",'Dvd Calendar'!$AN$374*1000000000+ISNUMBER('Dvd Calendar'!$AN$377)*100000000+('Dvd Calendar'!$AN$379=SPECIAL_LBL)*10000000+(N('Dvd Calendar'!$AN$373)&gt;0)*(N('Dvd Calendar'!$AN$373)&lt;=VAL_SERIAL)*1000000+34*1000+36))</f>
        <v/>
      </c>
      <c r="FO45" s="121">
        <f>IF(N('Dvd Calendar'!$AO$374)=0,"",IF(('Dvd Calendar'!$AO$374&gt;=GRID_FROM)*('Dvd Calendar'!$AO$374&lt;=GRID_TO)*((('Dvd Calendar'!$AO$374&lt;=VAL_DATE)+(COUNTIF('Dvd Calendar'!$E$381:$AR$381,'Dvd Calendar'!$AO$374)=0))&gt;0)=0,"",'Dvd Calendar'!$AO$374*1000000000+ISNUMBER('Dvd Calendar'!$AO$377)*100000000+('Dvd Calendar'!$AO$379=SPECIAL_LBL)*10000000+(N('Dvd Calendar'!$AO$373)&gt;0)*(N('Dvd Calendar'!$AO$373)&lt;=VAL_SERIAL)*1000000+34*1000+37))</f>
        <v/>
      </c>
      <c r="FP45" s="121">
        <f>IF(N('Dvd Calendar'!$AP$374)=0,"",IF(('Dvd Calendar'!$AP$374&gt;=GRID_FROM)*('Dvd Calendar'!$AP$374&lt;=GRID_TO)*((('Dvd Calendar'!$AP$374&lt;=VAL_DATE)+(COUNTIF('Dvd Calendar'!$E$381:$AR$381,'Dvd Calendar'!$AP$374)=0))&gt;0)=0,"",'Dvd Calendar'!$AP$374*1000000000+ISNUMBER('Dvd Calendar'!$AP$377)*100000000+('Dvd Calendar'!$AP$379=SPECIAL_LBL)*10000000+(N('Dvd Calendar'!$AP$373)&gt;0)*(N('Dvd Calendar'!$AP$373)&lt;=VAL_SERIAL)*1000000+34*1000+38))</f>
        <v/>
      </c>
      <c r="FQ45" s="121">
        <f>IF(N('Dvd Calendar'!$AQ$374)=0,"",IF(('Dvd Calendar'!$AQ$374&gt;=GRID_FROM)*('Dvd Calendar'!$AQ$374&lt;=GRID_TO)*((('Dvd Calendar'!$AQ$374&lt;=VAL_DATE)+(COUNTIF('Dvd Calendar'!$E$381:$AR$381,'Dvd Calendar'!$AQ$374)=0))&gt;0)=0,"",'Dvd Calendar'!$AQ$374*1000000000+ISNUMBER('Dvd Calendar'!$AQ$377)*100000000+('Dvd Calendar'!$AQ$379=SPECIAL_LBL)*10000000+(N('Dvd Calendar'!$AQ$373)&gt;0)*(N('Dvd Calendar'!$AQ$373)&lt;=VAL_SERIAL)*1000000+34*1000+39))</f>
        <v/>
      </c>
      <c r="FR45" s="121">
        <f>IF(N('Dvd Calendar'!$AR$374)=0,"",IF(('Dvd Calendar'!$AR$374&gt;=GRID_FROM)*('Dvd Calendar'!$AR$374&lt;=GRID_TO)*((('Dvd Calendar'!$AR$374&lt;=VAL_DATE)+(COUNTIF('Dvd Calendar'!$E$381:$AR$381,'Dvd Calendar'!$AR$374)=0))&gt;0)=0,"",'Dvd Calendar'!$AR$374*1000000000+ISNUMBER('Dvd Calendar'!$AR$377)*100000000+('Dvd Calendar'!$AR$379=SPECIAL_LBL)*10000000+(N('Dvd Calendar'!$AR$373)&gt;0)*(N('Dvd Calendar'!$AR$373)&lt;=VAL_SERIAL)*1000000+34*1000+40))</f>
        <v/>
      </c>
      <c r="FS45" s="121">
        <f>IF(N('Dvd Calendar'!$E$381)=0,"",IF(('Dvd Calendar'!$E$381&gt;=GRID_FROM)*('Dvd Calendar'!$E$381&lt;=GRID_TO)*('Dvd Calendar'!$E$381&gt;VAL_DATE)=0,"",'Dvd Calendar'!$E$381*1000000000+ISNUMBER('Dvd Calendar'!$E$382)*100000000+0*10000000+(N('Dvd Calendar'!$E$380)&gt;0)*(N('Dvd Calendar'!$E$380)&lt;=VAL_SERIAL)*1000000+34*1000+41))</f>
        <v/>
      </c>
      <c r="FT45" s="121">
        <f>IF(N('Dvd Calendar'!$F$381)=0,"",IF(('Dvd Calendar'!$F$381&gt;=GRID_FROM)*('Dvd Calendar'!$F$381&lt;=GRID_TO)*('Dvd Calendar'!$F$381&gt;VAL_DATE)=0,"",'Dvd Calendar'!$F$381*1000000000+ISNUMBER('Dvd Calendar'!$F$382)*100000000+0*10000000+(N('Dvd Calendar'!$F$380)&gt;0)*(N('Dvd Calendar'!$F$380)&lt;=VAL_SERIAL)*1000000+34*1000+42))</f>
        <v/>
      </c>
      <c r="FU45" s="121">
        <f>IF(N('Dvd Calendar'!$G$381)=0,"",IF(('Dvd Calendar'!$G$381&gt;=GRID_FROM)*('Dvd Calendar'!$G$381&lt;=GRID_TO)*('Dvd Calendar'!$G$381&gt;VAL_DATE)=0,"",'Dvd Calendar'!$G$381*1000000000+ISNUMBER('Dvd Calendar'!$G$382)*100000000+0*10000000+(N('Dvd Calendar'!$G$380)&gt;0)*(N('Dvd Calendar'!$G$380)&lt;=VAL_SERIAL)*1000000+34*1000+43))</f>
        <v/>
      </c>
      <c r="FV45" s="121">
        <f>IF(N('Dvd Calendar'!$H$381)=0,"",IF(('Dvd Calendar'!$H$381&gt;=GRID_FROM)*('Dvd Calendar'!$H$381&lt;=GRID_TO)*('Dvd Calendar'!$H$381&gt;VAL_DATE)=0,"",'Dvd Calendar'!$H$381*1000000000+ISNUMBER('Dvd Calendar'!$H$382)*100000000+0*10000000+(N('Dvd Calendar'!$H$380)&gt;0)*(N('Dvd Calendar'!$H$380)&lt;=VAL_SERIAL)*1000000+34*1000+44))</f>
        <v/>
      </c>
      <c r="FW45" s="121">
        <f>IF(N('Dvd Calendar'!$I$381)=0,"",IF(('Dvd Calendar'!$I$381&gt;=GRID_FROM)*('Dvd Calendar'!$I$381&lt;=GRID_TO)*('Dvd Calendar'!$I$381&gt;VAL_DATE)=0,"",'Dvd Calendar'!$I$381*1000000000+ISNUMBER('Dvd Calendar'!$I$382)*100000000+0*10000000+(N('Dvd Calendar'!$I$380)&gt;0)*(N('Dvd Calendar'!$I$380)&lt;=VAL_SERIAL)*1000000+34*1000+45))</f>
        <v/>
      </c>
      <c r="FX45" s="121">
        <f>IF(N('Dvd Calendar'!$J$381)=0,"",IF(('Dvd Calendar'!$J$381&gt;=GRID_FROM)*('Dvd Calendar'!$J$381&lt;=GRID_TO)*('Dvd Calendar'!$J$381&gt;VAL_DATE)=0,"",'Dvd Calendar'!$J$381*1000000000+ISNUMBER('Dvd Calendar'!$J$382)*100000000+0*10000000+(N('Dvd Calendar'!$J$380)&gt;0)*(N('Dvd Calendar'!$J$380)&lt;=VAL_SERIAL)*1000000+34*1000+46))</f>
        <v/>
      </c>
      <c r="FY45" s="121">
        <f>IF(N('Dvd Calendar'!$K$381)=0,"",IF(('Dvd Calendar'!$K$381&gt;=GRID_FROM)*('Dvd Calendar'!$K$381&lt;=GRID_TO)*('Dvd Calendar'!$K$381&gt;VAL_DATE)=0,"",'Dvd Calendar'!$K$381*1000000000+ISNUMBER('Dvd Calendar'!$K$382)*100000000+0*10000000+(N('Dvd Calendar'!$K$380)&gt;0)*(N('Dvd Calendar'!$K$380)&lt;=VAL_SERIAL)*1000000+34*1000+47))</f>
        <v/>
      </c>
      <c r="FZ45" s="121">
        <f>IF(N('Dvd Calendar'!$L$381)=0,"",IF(('Dvd Calendar'!$L$381&gt;=GRID_FROM)*('Dvd Calendar'!$L$381&lt;=GRID_TO)*('Dvd Calendar'!$L$381&gt;VAL_DATE)=0,"",'Dvd Calendar'!$L$381*1000000000+ISNUMBER('Dvd Calendar'!$L$382)*100000000+0*10000000+(N('Dvd Calendar'!$L$380)&gt;0)*(N('Dvd Calendar'!$L$380)&lt;=VAL_SERIAL)*1000000+34*1000+48))</f>
        <v/>
      </c>
      <c r="GA45" s="121">
        <f>IF(N('Dvd Calendar'!$M$381)=0,"",IF(('Dvd Calendar'!$M$381&gt;=GRID_FROM)*('Dvd Calendar'!$M$381&lt;=GRID_TO)*('Dvd Calendar'!$M$381&gt;VAL_DATE)=0,"",'Dvd Calendar'!$M$381*1000000000+ISNUMBER('Dvd Calendar'!$M$382)*100000000+0*10000000+(N('Dvd Calendar'!$M$380)&gt;0)*(N('Dvd Calendar'!$M$380)&lt;=VAL_SERIAL)*1000000+34*1000+49))</f>
        <v/>
      </c>
      <c r="GB45" s="121">
        <f>IF(N('Dvd Calendar'!$N$381)=0,"",IF(('Dvd Calendar'!$N$381&gt;=GRID_FROM)*('Dvd Calendar'!$N$381&lt;=GRID_TO)*('Dvd Calendar'!$N$381&gt;VAL_DATE)=0,"",'Dvd Calendar'!$N$381*1000000000+ISNUMBER('Dvd Calendar'!$N$382)*100000000+0*10000000+(N('Dvd Calendar'!$N$380)&gt;0)*(N('Dvd Calendar'!$N$380)&lt;=VAL_SERIAL)*1000000+34*1000+50))</f>
        <v/>
      </c>
      <c r="GC45" s="121">
        <f>IF(N('Dvd Calendar'!$O$381)=0,"",IF(('Dvd Calendar'!$O$381&gt;=GRID_FROM)*('Dvd Calendar'!$O$381&lt;=GRID_TO)*('Dvd Calendar'!$O$381&gt;VAL_DATE)=0,"",'Dvd Calendar'!$O$381*1000000000+ISNUMBER('Dvd Calendar'!$O$382)*100000000+0*10000000+(N('Dvd Calendar'!$O$380)&gt;0)*(N('Dvd Calendar'!$O$380)&lt;=VAL_SERIAL)*1000000+34*1000+51))</f>
        <v/>
      </c>
      <c r="GD45" s="121">
        <f>IF(N('Dvd Calendar'!$P$381)=0,"",IF(('Dvd Calendar'!$P$381&gt;=GRID_FROM)*('Dvd Calendar'!$P$381&lt;=GRID_TO)*('Dvd Calendar'!$P$381&gt;VAL_DATE)=0,"",'Dvd Calendar'!$P$381*1000000000+ISNUMBER('Dvd Calendar'!$P$382)*100000000+0*10000000+(N('Dvd Calendar'!$P$380)&gt;0)*(N('Dvd Calendar'!$P$380)&lt;=VAL_SERIAL)*1000000+34*1000+52))</f>
        <v/>
      </c>
      <c r="GE45" s="121">
        <f>IF(N('Dvd Calendar'!$Q$381)=0,"",IF(('Dvd Calendar'!$Q$381&gt;=GRID_FROM)*('Dvd Calendar'!$Q$381&lt;=GRID_TO)*('Dvd Calendar'!$Q$381&gt;VAL_DATE)=0,"",'Dvd Calendar'!$Q$381*1000000000+ISNUMBER('Dvd Calendar'!$Q$382)*100000000+0*10000000+(N('Dvd Calendar'!$Q$380)&gt;0)*(N('Dvd Calendar'!$Q$380)&lt;=VAL_SERIAL)*1000000+34*1000+53))</f>
        <v/>
      </c>
      <c r="GF45" s="121">
        <f>IF(N('Dvd Calendar'!$R$381)=0,"",IF(('Dvd Calendar'!$R$381&gt;=GRID_FROM)*('Dvd Calendar'!$R$381&lt;=GRID_TO)*('Dvd Calendar'!$R$381&gt;VAL_DATE)=0,"",'Dvd Calendar'!$R$381*1000000000+ISNUMBER('Dvd Calendar'!$R$382)*100000000+0*10000000+(N('Dvd Calendar'!$R$380)&gt;0)*(N('Dvd Calendar'!$R$380)&lt;=VAL_SERIAL)*1000000+34*1000+54))</f>
        <v/>
      </c>
      <c r="GG45" s="121">
        <f>IF(N('Dvd Calendar'!$S$381)=0,"",IF(('Dvd Calendar'!$S$381&gt;=GRID_FROM)*('Dvd Calendar'!$S$381&lt;=GRID_TO)*('Dvd Calendar'!$S$381&gt;VAL_DATE)=0,"",'Dvd Calendar'!$S$381*1000000000+ISNUMBER('Dvd Calendar'!$S$382)*100000000+0*10000000+(N('Dvd Calendar'!$S$380)&gt;0)*(N('Dvd Calendar'!$S$380)&lt;=VAL_SERIAL)*1000000+34*1000+55))</f>
        <v/>
      </c>
      <c r="GH45" s="121">
        <f>IF(N('Dvd Calendar'!$T$381)=0,"",IF(('Dvd Calendar'!$T$381&gt;=GRID_FROM)*('Dvd Calendar'!$T$381&lt;=GRID_TO)*('Dvd Calendar'!$T$381&gt;VAL_DATE)=0,"",'Dvd Calendar'!$T$381*1000000000+ISNUMBER('Dvd Calendar'!$T$382)*100000000+0*10000000+(N('Dvd Calendar'!$T$380)&gt;0)*(N('Dvd Calendar'!$T$380)&lt;=VAL_SERIAL)*1000000+34*1000+56))</f>
        <v/>
      </c>
      <c r="GI45" s="121">
        <f>IF(N('Dvd Calendar'!$U$381)=0,"",IF(('Dvd Calendar'!$U$381&gt;=GRID_FROM)*('Dvd Calendar'!$U$381&lt;=GRID_TO)*('Dvd Calendar'!$U$381&gt;VAL_DATE)=0,"",'Dvd Calendar'!$U$381*1000000000+ISNUMBER('Dvd Calendar'!$U$382)*100000000+0*10000000+(N('Dvd Calendar'!$U$380)&gt;0)*(N('Dvd Calendar'!$U$380)&lt;=VAL_SERIAL)*1000000+34*1000+57))</f>
        <v/>
      </c>
      <c r="GJ45" s="121">
        <f>IF(N('Dvd Calendar'!$V$381)=0,"",IF(('Dvd Calendar'!$V$381&gt;=GRID_FROM)*('Dvd Calendar'!$V$381&lt;=GRID_TO)*('Dvd Calendar'!$V$381&gt;VAL_DATE)=0,"",'Dvd Calendar'!$V$381*1000000000+ISNUMBER('Dvd Calendar'!$V$382)*100000000+0*10000000+(N('Dvd Calendar'!$V$380)&gt;0)*(N('Dvd Calendar'!$V$380)&lt;=VAL_SERIAL)*1000000+34*1000+58))</f>
        <v/>
      </c>
      <c r="GK45" s="121">
        <f>IF(N('Dvd Calendar'!$W$381)=0,"",IF(('Dvd Calendar'!$W$381&gt;=GRID_FROM)*('Dvd Calendar'!$W$381&lt;=GRID_TO)*('Dvd Calendar'!$W$381&gt;VAL_DATE)=0,"",'Dvd Calendar'!$W$381*1000000000+ISNUMBER('Dvd Calendar'!$W$382)*100000000+0*10000000+(N('Dvd Calendar'!$W$380)&gt;0)*(N('Dvd Calendar'!$W$380)&lt;=VAL_SERIAL)*1000000+34*1000+59))</f>
        <v/>
      </c>
      <c r="GL45" s="121">
        <f>IF(N('Dvd Calendar'!$X$381)=0,"",IF(('Dvd Calendar'!$X$381&gt;=GRID_FROM)*('Dvd Calendar'!$X$381&lt;=GRID_TO)*('Dvd Calendar'!$X$381&gt;VAL_DATE)=0,"",'Dvd Calendar'!$X$381*1000000000+ISNUMBER('Dvd Calendar'!$X$382)*100000000+0*10000000+(N('Dvd Calendar'!$X$380)&gt;0)*(N('Dvd Calendar'!$X$380)&lt;=VAL_SERIAL)*1000000+34*1000+60))</f>
        <v/>
      </c>
      <c r="GM45" s="121">
        <f>IF(N('Dvd Calendar'!$Y$381)=0,"",IF(('Dvd Calendar'!$Y$381&gt;=GRID_FROM)*('Dvd Calendar'!$Y$381&lt;=GRID_TO)*('Dvd Calendar'!$Y$381&gt;VAL_DATE)=0,"",'Dvd Calendar'!$Y$381*1000000000+ISNUMBER('Dvd Calendar'!$Y$382)*100000000+0*10000000+(N('Dvd Calendar'!$Y$380)&gt;0)*(N('Dvd Calendar'!$Y$380)&lt;=VAL_SERIAL)*1000000+34*1000+61))</f>
        <v/>
      </c>
      <c r="GN45" s="121">
        <f>IF(N('Dvd Calendar'!$Z$381)=0,"",IF(('Dvd Calendar'!$Z$381&gt;=GRID_FROM)*('Dvd Calendar'!$Z$381&lt;=GRID_TO)*('Dvd Calendar'!$Z$381&gt;VAL_DATE)=0,"",'Dvd Calendar'!$Z$381*1000000000+ISNUMBER('Dvd Calendar'!$Z$382)*100000000+0*10000000+(N('Dvd Calendar'!$Z$380)&gt;0)*(N('Dvd Calendar'!$Z$380)&lt;=VAL_SERIAL)*1000000+34*1000+62))</f>
        <v/>
      </c>
      <c r="GO45" s="121">
        <f>IF(N('Dvd Calendar'!$AA$381)=0,"",IF(('Dvd Calendar'!$AA$381&gt;=GRID_FROM)*('Dvd Calendar'!$AA$381&lt;=GRID_TO)*('Dvd Calendar'!$AA$381&gt;VAL_DATE)=0,"",'Dvd Calendar'!$AA$381*1000000000+ISNUMBER('Dvd Calendar'!$AA$382)*100000000+0*10000000+(N('Dvd Calendar'!$AA$380)&gt;0)*(N('Dvd Calendar'!$AA$380)&lt;=VAL_SERIAL)*1000000+34*1000+63))</f>
        <v/>
      </c>
      <c r="GP45" s="121">
        <f>IF(N('Dvd Calendar'!$AB$381)=0,"",IF(('Dvd Calendar'!$AB$381&gt;=GRID_FROM)*('Dvd Calendar'!$AB$381&lt;=GRID_TO)*('Dvd Calendar'!$AB$381&gt;VAL_DATE)=0,"",'Dvd Calendar'!$AB$381*1000000000+ISNUMBER('Dvd Calendar'!$AB$382)*100000000+0*10000000+(N('Dvd Calendar'!$AB$380)&gt;0)*(N('Dvd Calendar'!$AB$380)&lt;=VAL_SERIAL)*1000000+34*1000+64))</f>
        <v/>
      </c>
      <c r="GQ45" s="121">
        <f>IF(N('Dvd Calendar'!$AC$381)=0,"",IF(('Dvd Calendar'!$AC$381&gt;=GRID_FROM)*('Dvd Calendar'!$AC$381&lt;=GRID_TO)*('Dvd Calendar'!$AC$381&gt;VAL_DATE)=0,"",'Dvd Calendar'!$AC$381*1000000000+ISNUMBER('Dvd Calendar'!$AC$382)*100000000+0*10000000+(N('Dvd Calendar'!$AC$380)&gt;0)*(N('Dvd Calendar'!$AC$380)&lt;=VAL_SERIAL)*1000000+34*1000+65))</f>
        <v/>
      </c>
    </row>
    <row r="46">
      <c r="B46" s="2">
        <f>IF(HSI!$C$41="","",HSI!$C$41)</f>
        <v/>
      </c>
      <c r="C46" s="161">
        <f>IF(EE46="","",IF(ISNUMBER('Dvd Calendar'!$E$388)=FALSE,"",IF((('Dvd Calendar'!$E$390=TYPE1)*(TYPE1&lt;&gt;"")+('Dvd Calendar'!$E$390=TYPE2)*(TYPE2&lt;&gt;"")+('Dvd Calendar'!$E$390=TYPE3)*(TYPE3&lt;&gt;"")+('Dvd Calendar'!$E$390=TYPE4)*(TYPE4&lt;&gt;"")+('Dvd Calendar'!$E$390=SPECIAL_LBL)*(INC_SPECIALS="Y"))=0,"",'Dvd Calendar'!$E$388)))</f>
        <v/>
      </c>
      <c r="D46" s="161">
        <f>IF(EF46="","",IF(ISNUMBER('Dvd Calendar'!$F$388)=FALSE,"",IF((('Dvd Calendar'!$F$390=TYPE1)*(TYPE1&lt;&gt;"")+('Dvd Calendar'!$F$390=TYPE2)*(TYPE2&lt;&gt;"")+('Dvd Calendar'!$F$390=TYPE3)*(TYPE3&lt;&gt;"")+('Dvd Calendar'!$F$390=TYPE4)*(TYPE4&lt;&gt;"")+('Dvd Calendar'!$F$390=SPECIAL_LBL)*(INC_SPECIALS="Y"))=0,"",'Dvd Calendar'!$F$388)))</f>
        <v/>
      </c>
      <c r="E46" s="161">
        <f>IF(EG46="","",IF(ISNUMBER('Dvd Calendar'!$G$388)=FALSE,"",IF((('Dvd Calendar'!$G$390=TYPE1)*(TYPE1&lt;&gt;"")+('Dvd Calendar'!$G$390=TYPE2)*(TYPE2&lt;&gt;"")+('Dvd Calendar'!$G$390=TYPE3)*(TYPE3&lt;&gt;"")+('Dvd Calendar'!$G$390=TYPE4)*(TYPE4&lt;&gt;"")+('Dvd Calendar'!$G$390=SPECIAL_LBL)*(INC_SPECIALS="Y"))=0,"",'Dvd Calendar'!$G$388)))</f>
        <v/>
      </c>
      <c r="F46" s="161">
        <f>IF(EH46="","",IF(ISNUMBER('Dvd Calendar'!$H$388)=FALSE,"",IF((('Dvd Calendar'!$H$390=TYPE1)*(TYPE1&lt;&gt;"")+('Dvd Calendar'!$H$390=TYPE2)*(TYPE2&lt;&gt;"")+('Dvd Calendar'!$H$390=TYPE3)*(TYPE3&lt;&gt;"")+('Dvd Calendar'!$H$390=TYPE4)*(TYPE4&lt;&gt;"")+('Dvd Calendar'!$H$390=SPECIAL_LBL)*(INC_SPECIALS="Y"))=0,"",'Dvd Calendar'!$H$388)))</f>
        <v/>
      </c>
      <c r="G46" s="161">
        <f>IF(EI46="","",IF(ISNUMBER('Dvd Calendar'!$I$388)=FALSE,"",IF((('Dvd Calendar'!$I$390=TYPE1)*(TYPE1&lt;&gt;"")+('Dvd Calendar'!$I$390=TYPE2)*(TYPE2&lt;&gt;"")+('Dvd Calendar'!$I$390=TYPE3)*(TYPE3&lt;&gt;"")+('Dvd Calendar'!$I$390=TYPE4)*(TYPE4&lt;&gt;"")+('Dvd Calendar'!$I$390=SPECIAL_LBL)*(INC_SPECIALS="Y"))=0,"",'Dvd Calendar'!$I$388)))</f>
        <v/>
      </c>
      <c r="H46" s="161">
        <f>IF(EJ46="","",IF(ISNUMBER('Dvd Calendar'!$J$388)=FALSE,"",IF((('Dvd Calendar'!$J$390=TYPE1)*(TYPE1&lt;&gt;"")+('Dvd Calendar'!$J$390=TYPE2)*(TYPE2&lt;&gt;"")+('Dvd Calendar'!$J$390=TYPE3)*(TYPE3&lt;&gt;"")+('Dvd Calendar'!$J$390=TYPE4)*(TYPE4&lt;&gt;"")+('Dvd Calendar'!$J$390=SPECIAL_LBL)*(INC_SPECIALS="Y"))=0,"",'Dvd Calendar'!$J$388)))</f>
        <v/>
      </c>
      <c r="I46" s="161">
        <f>IF(EK46="","",IF(ISNUMBER('Dvd Calendar'!$K$388)=FALSE,"",IF((('Dvd Calendar'!$K$390=TYPE1)*(TYPE1&lt;&gt;"")+('Dvd Calendar'!$K$390=TYPE2)*(TYPE2&lt;&gt;"")+('Dvd Calendar'!$K$390=TYPE3)*(TYPE3&lt;&gt;"")+('Dvd Calendar'!$K$390=TYPE4)*(TYPE4&lt;&gt;"")+('Dvd Calendar'!$K$390=SPECIAL_LBL)*(INC_SPECIALS="Y"))=0,"",'Dvd Calendar'!$K$388)))</f>
        <v/>
      </c>
      <c r="J46" s="161">
        <f>IF(EL46="","",IF(ISNUMBER('Dvd Calendar'!$L$388)=FALSE,"",IF((('Dvd Calendar'!$L$390=TYPE1)*(TYPE1&lt;&gt;"")+('Dvd Calendar'!$L$390=TYPE2)*(TYPE2&lt;&gt;"")+('Dvd Calendar'!$L$390=TYPE3)*(TYPE3&lt;&gt;"")+('Dvd Calendar'!$L$390=TYPE4)*(TYPE4&lt;&gt;"")+('Dvd Calendar'!$L$390=SPECIAL_LBL)*(INC_SPECIALS="Y"))=0,"",'Dvd Calendar'!$L$388)))</f>
        <v/>
      </c>
      <c r="K46" s="161">
        <f>IF(EM46="","",IF(ISNUMBER('Dvd Calendar'!$M$388)=FALSE,"",IF((('Dvd Calendar'!$M$390=TYPE1)*(TYPE1&lt;&gt;"")+('Dvd Calendar'!$M$390=TYPE2)*(TYPE2&lt;&gt;"")+('Dvd Calendar'!$M$390=TYPE3)*(TYPE3&lt;&gt;"")+('Dvd Calendar'!$M$390=TYPE4)*(TYPE4&lt;&gt;"")+('Dvd Calendar'!$M$390=SPECIAL_LBL)*(INC_SPECIALS="Y"))=0,"",'Dvd Calendar'!$M$388)))</f>
        <v/>
      </c>
      <c r="L46" s="161">
        <f>IF(EN46="","",IF(ISNUMBER('Dvd Calendar'!$N$388)=FALSE,"",IF((('Dvd Calendar'!$N$390=TYPE1)*(TYPE1&lt;&gt;"")+('Dvd Calendar'!$N$390=TYPE2)*(TYPE2&lt;&gt;"")+('Dvd Calendar'!$N$390=TYPE3)*(TYPE3&lt;&gt;"")+('Dvd Calendar'!$N$390=TYPE4)*(TYPE4&lt;&gt;"")+('Dvd Calendar'!$N$390=SPECIAL_LBL)*(INC_SPECIALS="Y"))=0,"",'Dvd Calendar'!$N$388)))</f>
        <v/>
      </c>
      <c r="M46" s="161">
        <f>IF(EO46="","",IF(ISNUMBER('Dvd Calendar'!$O$388)=FALSE,"",IF((('Dvd Calendar'!$O$390=TYPE1)*(TYPE1&lt;&gt;"")+('Dvd Calendar'!$O$390=TYPE2)*(TYPE2&lt;&gt;"")+('Dvd Calendar'!$O$390=TYPE3)*(TYPE3&lt;&gt;"")+('Dvd Calendar'!$O$390=TYPE4)*(TYPE4&lt;&gt;"")+('Dvd Calendar'!$O$390=SPECIAL_LBL)*(INC_SPECIALS="Y"))=0,"",'Dvd Calendar'!$O$388)))</f>
        <v/>
      </c>
      <c r="N46" s="161">
        <f>IF(EP46="","",IF(ISNUMBER('Dvd Calendar'!$P$388)=FALSE,"",IF((('Dvd Calendar'!$P$390=TYPE1)*(TYPE1&lt;&gt;"")+('Dvd Calendar'!$P$390=TYPE2)*(TYPE2&lt;&gt;"")+('Dvd Calendar'!$P$390=TYPE3)*(TYPE3&lt;&gt;"")+('Dvd Calendar'!$P$390=TYPE4)*(TYPE4&lt;&gt;"")+('Dvd Calendar'!$P$390=SPECIAL_LBL)*(INC_SPECIALS="Y"))=0,"",'Dvd Calendar'!$P$388)))</f>
        <v/>
      </c>
      <c r="O46" s="161">
        <f>IF(EQ46="","",IF(ISNUMBER('Dvd Calendar'!$Q$388)=FALSE,"",IF((('Dvd Calendar'!$Q$390=TYPE1)*(TYPE1&lt;&gt;"")+('Dvd Calendar'!$Q$390=TYPE2)*(TYPE2&lt;&gt;"")+('Dvd Calendar'!$Q$390=TYPE3)*(TYPE3&lt;&gt;"")+('Dvd Calendar'!$Q$390=TYPE4)*(TYPE4&lt;&gt;"")+('Dvd Calendar'!$Q$390=SPECIAL_LBL)*(INC_SPECIALS="Y"))=0,"",'Dvd Calendar'!$Q$388)))</f>
        <v/>
      </c>
      <c r="P46" s="161">
        <f>IF(ER46="","",IF(ISNUMBER('Dvd Calendar'!$R$388)=FALSE,"",IF((('Dvd Calendar'!$R$390=TYPE1)*(TYPE1&lt;&gt;"")+('Dvd Calendar'!$R$390=TYPE2)*(TYPE2&lt;&gt;"")+('Dvd Calendar'!$R$390=TYPE3)*(TYPE3&lt;&gt;"")+('Dvd Calendar'!$R$390=TYPE4)*(TYPE4&lt;&gt;"")+('Dvd Calendar'!$R$390=SPECIAL_LBL)*(INC_SPECIALS="Y"))=0,"",'Dvd Calendar'!$R$388)))</f>
        <v/>
      </c>
      <c r="Q46" s="161">
        <f>IF(ES46="","",IF(ISNUMBER('Dvd Calendar'!$S$388)=FALSE,"",IF((('Dvd Calendar'!$S$390=TYPE1)*(TYPE1&lt;&gt;"")+('Dvd Calendar'!$S$390=TYPE2)*(TYPE2&lt;&gt;"")+('Dvd Calendar'!$S$390=TYPE3)*(TYPE3&lt;&gt;"")+('Dvd Calendar'!$S$390=TYPE4)*(TYPE4&lt;&gt;"")+('Dvd Calendar'!$S$390=SPECIAL_LBL)*(INC_SPECIALS="Y"))=0,"",'Dvd Calendar'!$S$388)))</f>
        <v/>
      </c>
      <c r="R46" s="161">
        <f>IF(ET46="","",IF(ISNUMBER('Dvd Calendar'!$T$388)=FALSE,"",IF((('Dvd Calendar'!$T$390=TYPE1)*(TYPE1&lt;&gt;"")+('Dvd Calendar'!$T$390=TYPE2)*(TYPE2&lt;&gt;"")+('Dvd Calendar'!$T$390=TYPE3)*(TYPE3&lt;&gt;"")+('Dvd Calendar'!$T$390=TYPE4)*(TYPE4&lt;&gt;"")+('Dvd Calendar'!$T$390=SPECIAL_LBL)*(INC_SPECIALS="Y"))=0,"",'Dvd Calendar'!$T$388)))</f>
        <v/>
      </c>
      <c r="S46" s="161">
        <f>IF(EU46="","",IF(ISNUMBER('Dvd Calendar'!$U$388)=FALSE,"",IF((('Dvd Calendar'!$U$390=TYPE1)*(TYPE1&lt;&gt;"")+('Dvd Calendar'!$U$390=TYPE2)*(TYPE2&lt;&gt;"")+('Dvd Calendar'!$U$390=TYPE3)*(TYPE3&lt;&gt;"")+('Dvd Calendar'!$U$390=TYPE4)*(TYPE4&lt;&gt;"")+('Dvd Calendar'!$U$390=SPECIAL_LBL)*(INC_SPECIALS="Y"))=0,"",'Dvd Calendar'!$U$388)))</f>
        <v/>
      </c>
      <c r="T46" s="161">
        <f>IF(EV46="","",IF(ISNUMBER('Dvd Calendar'!$V$388)=FALSE,"",IF((('Dvd Calendar'!$V$390=TYPE1)*(TYPE1&lt;&gt;"")+('Dvd Calendar'!$V$390=TYPE2)*(TYPE2&lt;&gt;"")+('Dvd Calendar'!$V$390=TYPE3)*(TYPE3&lt;&gt;"")+('Dvd Calendar'!$V$390=TYPE4)*(TYPE4&lt;&gt;"")+('Dvd Calendar'!$V$390=SPECIAL_LBL)*(INC_SPECIALS="Y"))=0,"",'Dvd Calendar'!$V$388)))</f>
        <v/>
      </c>
      <c r="U46" s="161">
        <f>IF(EW46="","",IF(ISNUMBER('Dvd Calendar'!$W$388)=FALSE,"",IF((('Dvd Calendar'!$W$390=TYPE1)*(TYPE1&lt;&gt;"")+('Dvd Calendar'!$W$390=TYPE2)*(TYPE2&lt;&gt;"")+('Dvd Calendar'!$W$390=TYPE3)*(TYPE3&lt;&gt;"")+('Dvd Calendar'!$W$390=TYPE4)*(TYPE4&lt;&gt;"")+('Dvd Calendar'!$W$390=SPECIAL_LBL)*(INC_SPECIALS="Y"))=0,"",'Dvd Calendar'!$W$388)))</f>
        <v/>
      </c>
      <c r="V46" s="161">
        <f>IF(EX46="","",IF(ISNUMBER('Dvd Calendar'!$X$388)=FALSE,"",IF((('Dvd Calendar'!$X$390=TYPE1)*(TYPE1&lt;&gt;"")+('Dvd Calendar'!$X$390=TYPE2)*(TYPE2&lt;&gt;"")+('Dvd Calendar'!$X$390=TYPE3)*(TYPE3&lt;&gt;"")+('Dvd Calendar'!$X$390=TYPE4)*(TYPE4&lt;&gt;"")+('Dvd Calendar'!$X$390=SPECIAL_LBL)*(INC_SPECIALS="Y"))=0,"",'Dvd Calendar'!$X$388)))</f>
        <v/>
      </c>
      <c r="W46" s="161">
        <f>IF(EY46="","",IF(ISNUMBER('Dvd Calendar'!$Y$388)=FALSE,"",IF((('Dvd Calendar'!$Y$390=TYPE1)*(TYPE1&lt;&gt;"")+('Dvd Calendar'!$Y$390=TYPE2)*(TYPE2&lt;&gt;"")+('Dvd Calendar'!$Y$390=TYPE3)*(TYPE3&lt;&gt;"")+('Dvd Calendar'!$Y$390=TYPE4)*(TYPE4&lt;&gt;"")+('Dvd Calendar'!$Y$390=SPECIAL_LBL)*(INC_SPECIALS="Y"))=0,"",'Dvd Calendar'!$Y$388)))</f>
        <v/>
      </c>
      <c r="X46" s="161">
        <f>IF(EZ46="","",IF(ISNUMBER('Dvd Calendar'!$Z$388)=FALSE,"",IF((('Dvd Calendar'!$Z$390=TYPE1)*(TYPE1&lt;&gt;"")+('Dvd Calendar'!$Z$390=TYPE2)*(TYPE2&lt;&gt;"")+('Dvd Calendar'!$Z$390=TYPE3)*(TYPE3&lt;&gt;"")+('Dvd Calendar'!$Z$390=TYPE4)*(TYPE4&lt;&gt;"")+('Dvd Calendar'!$Z$390=SPECIAL_LBL)*(INC_SPECIALS="Y"))=0,"",'Dvd Calendar'!$Z$388)))</f>
        <v/>
      </c>
      <c r="Y46" s="161">
        <f>IF(FA46="","",IF(ISNUMBER('Dvd Calendar'!$AA$388)=FALSE,"",IF((('Dvd Calendar'!$AA$390=TYPE1)*(TYPE1&lt;&gt;"")+('Dvd Calendar'!$AA$390=TYPE2)*(TYPE2&lt;&gt;"")+('Dvd Calendar'!$AA$390=TYPE3)*(TYPE3&lt;&gt;"")+('Dvd Calendar'!$AA$390=TYPE4)*(TYPE4&lt;&gt;"")+('Dvd Calendar'!$AA$390=SPECIAL_LBL)*(INC_SPECIALS="Y"))=0,"",'Dvd Calendar'!$AA$388)))</f>
        <v/>
      </c>
      <c r="Z46" s="161">
        <f>IF(FB46="","",IF(ISNUMBER('Dvd Calendar'!$AB$388)=FALSE,"",IF((('Dvd Calendar'!$AB$390=TYPE1)*(TYPE1&lt;&gt;"")+('Dvd Calendar'!$AB$390=TYPE2)*(TYPE2&lt;&gt;"")+('Dvd Calendar'!$AB$390=TYPE3)*(TYPE3&lt;&gt;"")+('Dvd Calendar'!$AB$390=TYPE4)*(TYPE4&lt;&gt;"")+('Dvd Calendar'!$AB$390=SPECIAL_LBL)*(INC_SPECIALS="Y"))=0,"",'Dvd Calendar'!$AB$388)))</f>
        <v/>
      </c>
      <c r="AA46" s="161">
        <f>IF(FC46="","",IF(ISNUMBER('Dvd Calendar'!$AC$388)=FALSE,"",IF((('Dvd Calendar'!$AC$390=TYPE1)*(TYPE1&lt;&gt;"")+('Dvd Calendar'!$AC$390=TYPE2)*(TYPE2&lt;&gt;"")+('Dvd Calendar'!$AC$390=TYPE3)*(TYPE3&lt;&gt;"")+('Dvd Calendar'!$AC$390=TYPE4)*(TYPE4&lt;&gt;"")+('Dvd Calendar'!$AC$390=SPECIAL_LBL)*(INC_SPECIALS="Y"))=0,"",'Dvd Calendar'!$AC$388)))</f>
        <v/>
      </c>
      <c r="AB46" s="161">
        <f>IF(FD46="","",IF(ISNUMBER('Dvd Calendar'!$AD$388)=FALSE,"",IF((('Dvd Calendar'!$AD$390=TYPE1)*(TYPE1&lt;&gt;"")+('Dvd Calendar'!$AD$390=TYPE2)*(TYPE2&lt;&gt;"")+('Dvd Calendar'!$AD$390=TYPE3)*(TYPE3&lt;&gt;"")+('Dvd Calendar'!$AD$390=TYPE4)*(TYPE4&lt;&gt;"")+('Dvd Calendar'!$AD$390=SPECIAL_LBL)*(INC_SPECIALS="Y"))=0,"",'Dvd Calendar'!$AD$388)))</f>
        <v/>
      </c>
      <c r="AC46" s="161">
        <f>IF(FE46="","",IF(ISNUMBER('Dvd Calendar'!$AE$388)=FALSE,"",IF((('Dvd Calendar'!$AE$390=TYPE1)*(TYPE1&lt;&gt;"")+('Dvd Calendar'!$AE$390=TYPE2)*(TYPE2&lt;&gt;"")+('Dvd Calendar'!$AE$390=TYPE3)*(TYPE3&lt;&gt;"")+('Dvd Calendar'!$AE$390=TYPE4)*(TYPE4&lt;&gt;"")+('Dvd Calendar'!$AE$390=SPECIAL_LBL)*(INC_SPECIALS="Y"))=0,"",'Dvd Calendar'!$AE$388)))</f>
        <v/>
      </c>
      <c r="AD46" s="161">
        <f>IF(FF46="","",IF(ISNUMBER('Dvd Calendar'!$AF$388)=FALSE,"",IF((('Dvd Calendar'!$AF$390=TYPE1)*(TYPE1&lt;&gt;"")+('Dvd Calendar'!$AF$390=TYPE2)*(TYPE2&lt;&gt;"")+('Dvd Calendar'!$AF$390=TYPE3)*(TYPE3&lt;&gt;"")+('Dvd Calendar'!$AF$390=TYPE4)*(TYPE4&lt;&gt;"")+('Dvd Calendar'!$AF$390=SPECIAL_LBL)*(INC_SPECIALS="Y"))=0,"",'Dvd Calendar'!$AF$388)))</f>
        <v/>
      </c>
      <c r="AE46" s="161">
        <f>IF(FG46="","",IF(ISNUMBER('Dvd Calendar'!$AG$388)=FALSE,"",IF((('Dvd Calendar'!$AG$390=TYPE1)*(TYPE1&lt;&gt;"")+('Dvd Calendar'!$AG$390=TYPE2)*(TYPE2&lt;&gt;"")+('Dvd Calendar'!$AG$390=TYPE3)*(TYPE3&lt;&gt;"")+('Dvd Calendar'!$AG$390=TYPE4)*(TYPE4&lt;&gt;"")+('Dvd Calendar'!$AG$390=SPECIAL_LBL)*(INC_SPECIALS="Y"))=0,"",'Dvd Calendar'!$AG$388)))</f>
        <v/>
      </c>
      <c r="AF46" s="161">
        <f>IF(FH46="","",IF(ISNUMBER('Dvd Calendar'!$AH$388)=FALSE,"",IF((('Dvd Calendar'!$AH$390=TYPE1)*(TYPE1&lt;&gt;"")+('Dvd Calendar'!$AH$390=TYPE2)*(TYPE2&lt;&gt;"")+('Dvd Calendar'!$AH$390=TYPE3)*(TYPE3&lt;&gt;"")+('Dvd Calendar'!$AH$390=TYPE4)*(TYPE4&lt;&gt;"")+('Dvd Calendar'!$AH$390=SPECIAL_LBL)*(INC_SPECIALS="Y"))=0,"",'Dvd Calendar'!$AH$388)))</f>
        <v/>
      </c>
      <c r="AG46" s="161">
        <f>IF(FI46="","",IF(ISNUMBER('Dvd Calendar'!$AI$388)=FALSE,"",IF((('Dvd Calendar'!$AI$390=TYPE1)*(TYPE1&lt;&gt;"")+('Dvd Calendar'!$AI$390=TYPE2)*(TYPE2&lt;&gt;"")+('Dvd Calendar'!$AI$390=TYPE3)*(TYPE3&lt;&gt;"")+('Dvd Calendar'!$AI$390=TYPE4)*(TYPE4&lt;&gt;"")+('Dvd Calendar'!$AI$390=SPECIAL_LBL)*(INC_SPECIALS="Y"))=0,"",'Dvd Calendar'!$AI$388)))</f>
        <v/>
      </c>
      <c r="AH46" s="161">
        <f>IF(FJ46="","",IF(ISNUMBER('Dvd Calendar'!$AJ$388)=FALSE,"",IF((('Dvd Calendar'!$AJ$390=TYPE1)*(TYPE1&lt;&gt;"")+('Dvd Calendar'!$AJ$390=TYPE2)*(TYPE2&lt;&gt;"")+('Dvd Calendar'!$AJ$390=TYPE3)*(TYPE3&lt;&gt;"")+('Dvd Calendar'!$AJ$390=TYPE4)*(TYPE4&lt;&gt;"")+('Dvd Calendar'!$AJ$390=SPECIAL_LBL)*(INC_SPECIALS="Y"))=0,"",'Dvd Calendar'!$AJ$388)))</f>
        <v/>
      </c>
      <c r="AI46" s="161">
        <f>IF(FK46="","",IF(ISNUMBER('Dvd Calendar'!$AK$388)=FALSE,"",IF((('Dvd Calendar'!$AK$390=TYPE1)*(TYPE1&lt;&gt;"")+('Dvd Calendar'!$AK$390=TYPE2)*(TYPE2&lt;&gt;"")+('Dvd Calendar'!$AK$390=TYPE3)*(TYPE3&lt;&gt;"")+('Dvd Calendar'!$AK$390=TYPE4)*(TYPE4&lt;&gt;"")+('Dvd Calendar'!$AK$390=SPECIAL_LBL)*(INC_SPECIALS="Y"))=0,"",'Dvd Calendar'!$AK$388)))</f>
        <v/>
      </c>
      <c r="AJ46" s="161">
        <f>IF(FL46="","",IF(ISNUMBER('Dvd Calendar'!$AL$388)=FALSE,"",IF((('Dvd Calendar'!$AL$390=TYPE1)*(TYPE1&lt;&gt;"")+('Dvd Calendar'!$AL$390=TYPE2)*(TYPE2&lt;&gt;"")+('Dvd Calendar'!$AL$390=TYPE3)*(TYPE3&lt;&gt;"")+('Dvd Calendar'!$AL$390=TYPE4)*(TYPE4&lt;&gt;"")+('Dvd Calendar'!$AL$390=SPECIAL_LBL)*(INC_SPECIALS="Y"))=0,"",'Dvd Calendar'!$AL$388)))</f>
        <v/>
      </c>
      <c r="AK46" s="161">
        <f>IF(FM46="","",IF(ISNUMBER('Dvd Calendar'!$AM$388)=FALSE,"",IF((('Dvd Calendar'!$AM$390=TYPE1)*(TYPE1&lt;&gt;"")+('Dvd Calendar'!$AM$390=TYPE2)*(TYPE2&lt;&gt;"")+('Dvd Calendar'!$AM$390=TYPE3)*(TYPE3&lt;&gt;"")+('Dvd Calendar'!$AM$390=TYPE4)*(TYPE4&lt;&gt;"")+('Dvd Calendar'!$AM$390=SPECIAL_LBL)*(INC_SPECIALS="Y"))=0,"",'Dvd Calendar'!$AM$388)))</f>
        <v/>
      </c>
      <c r="AL46" s="161">
        <f>IF(FN46="","",IF(ISNUMBER('Dvd Calendar'!$AN$388)=FALSE,"",IF((('Dvd Calendar'!$AN$390=TYPE1)*(TYPE1&lt;&gt;"")+('Dvd Calendar'!$AN$390=TYPE2)*(TYPE2&lt;&gt;"")+('Dvd Calendar'!$AN$390=TYPE3)*(TYPE3&lt;&gt;"")+('Dvd Calendar'!$AN$390=TYPE4)*(TYPE4&lt;&gt;"")+('Dvd Calendar'!$AN$390=SPECIAL_LBL)*(INC_SPECIALS="Y"))=0,"",'Dvd Calendar'!$AN$388)))</f>
        <v/>
      </c>
      <c r="AM46" s="161">
        <f>IF(FO46="","",IF(ISNUMBER('Dvd Calendar'!$AO$388)=FALSE,"",IF((('Dvd Calendar'!$AO$390=TYPE1)*(TYPE1&lt;&gt;"")+('Dvd Calendar'!$AO$390=TYPE2)*(TYPE2&lt;&gt;"")+('Dvd Calendar'!$AO$390=TYPE3)*(TYPE3&lt;&gt;"")+('Dvd Calendar'!$AO$390=TYPE4)*(TYPE4&lt;&gt;"")+('Dvd Calendar'!$AO$390=SPECIAL_LBL)*(INC_SPECIALS="Y"))=0,"",'Dvd Calendar'!$AO$388)))</f>
        <v/>
      </c>
      <c r="AN46" s="161">
        <f>IF(FP46="","",IF(ISNUMBER('Dvd Calendar'!$AP$388)=FALSE,"",IF((('Dvd Calendar'!$AP$390=TYPE1)*(TYPE1&lt;&gt;"")+('Dvd Calendar'!$AP$390=TYPE2)*(TYPE2&lt;&gt;"")+('Dvd Calendar'!$AP$390=TYPE3)*(TYPE3&lt;&gt;"")+('Dvd Calendar'!$AP$390=TYPE4)*(TYPE4&lt;&gt;"")+('Dvd Calendar'!$AP$390=SPECIAL_LBL)*(INC_SPECIALS="Y"))=0,"",'Dvd Calendar'!$AP$388)))</f>
        <v/>
      </c>
      <c r="AO46" s="161">
        <f>IF(FQ46="","",IF(ISNUMBER('Dvd Calendar'!$AQ$388)=FALSE,"",IF((('Dvd Calendar'!$AQ$390=TYPE1)*(TYPE1&lt;&gt;"")+('Dvd Calendar'!$AQ$390=TYPE2)*(TYPE2&lt;&gt;"")+('Dvd Calendar'!$AQ$390=TYPE3)*(TYPE3&lt;&gt;"")+('Dvd Calendar'!$AQ$390=TYPE4)*(TYPE4&lt;&gt;"")+('Dvd Calendar'!$AQ$390=SPECIAL_LBL)*(INC_SPECIALS="Y"))=0,"",'Dvd Calendar'!$AQ$388)))</f>
        <v/>
      </c>
      <c r="AP46" s="161">
        <f>IF(FR46="","",IF(ISNUMBER('Dvd Calendar'!$AR$388)=FALSE,"",IF((('Dvd Calendar'!$AR$390=TYPE1)*(TYPE1&lt;&gt;"")+('Dvd Calendar'!$AR$390=TYPE2)*(TYPE2&lt;&gt;"")+('Dvd Calendar'!$AR$390=TYPE3)*(TYPE3&lt;&gt;"")+('Dvd Calendar'!$AR$390=TYPE4)*(TYPE4&lt;&gt;"")+('Dvd Calendar'!$AR$390=SPECIAL_LBL)*(INC_SPECIALS="Y"))=0,"",'Dvd Calendar'!$AR$388)))</f>
        <v/>
      </c>
      <c r="AQ46" s="161">
        <f>IF(FS46="","",IF(ISNUMBER('Dvd Calendar'!$E$393)=FALSE,"",'Dvd Calendar'!$E$393))</f>
        <v/>
      </c>
      <c r="AR46" s="161">
        <f>IF(FT46="","",IF(ISNUMBER('Dvd Calendar'!$F$393)=FALSE,"",'Dvd Calendar'!$F$393))</f>
        <v/>
      </c>
      <c r="AS46" s="161">
        <f>IF(FU46="","",IF(ISNUMBER('Dvd Calendar'!$G$393)=FALSE,"",'Dvd Calendar'!$G$393))</f>
        <v/>
      </c>
      <c r="AT46" s="161">
        <f>IF(FV46="","",IF(ISNUMBER('Dvd Calendar'!$H$393)=FALSE,"",'Dvd Calendar'!$H$393))</f>
        <v/>
      </c>
      <c r="AU46" s="161">
        <f>IF(FW46="","",IF(ISNUMBER('Dvd Calendar'!$I$393)=FALSE,"",'Dvd Calendar'!$I$393))</f>
        <v/>
      </c>
      <c r="AV46" s="161">
        <f>IF(FX46="","",IF(ISNUMBER('Dvd Calendar'!$J$393)=FALSE,"",'Dvd Calendar'!$J$393))</f>
        <v/>
      </c>
      <c r="AW46" s="161">
        <f>IF(FY46="","",IF(ISNUMBER('Dvd Calendar'!$K$393)=FALSE,"",'Dvd Calendar'!$K$393))</f>
        <v/>
      </c>
      <c r="AX46" s="161">
        <f>IF(FZ46="","",IF(ISNUMBER('Dvd Calendar'!$L$393)=FALSE,"",'Dvd Calendar'!$L$393))</f>
        <v/>
      </c>
      <c r="AY46" s="161">
        <f>IF(GA46="","",IF(ISNUMBER('Dvd Calendar'!$M$393)=FALSE,"",'Dvd Calendar'!$M$393))</f>
        <v/>
      </c>
      <c r="AZ46" s="161">
        <f>IF(GB46="","",IF(ISNUMBER('Dvd Calendar'!$N$393)=FALSE,"",'Dvd Calendar'!$N$393))</f>
        <v/>
      </c>
      <c r="BA46" s="161">
        <f>IF(GC46="","",IF(ISNUMBER('Dvd Calendar'!$O$393)=FALSE,"",'Dvd Calendar'!$O$393))</f>
        <v/>
      </c>
      <c r="BB46" s="161">
        <f>IF(GD46="","",IF(ISNUMBER('Dvd Calendar'!$P$393)=FALSE,"",'Dvd Calendar'!$P$393))</f>
        <v/>
      </c>
      <c r="BC46" s="161">
        <f>IF(GE46="","",IF(ISNUMBER('Dvd Calendar'!$Q$393)=FALSE,"",'Dvd Calendar'!$Q$393))</f>
        <v/>
      </c>
      <c r="BD46" s="161">
        <f>IF(GF46="","",IF(ISNUMBER('Dvd Calendar'!$R$393)=FALSE,"",'Dvd Calendar'!$R$393))</f>
        <v/>
      </c>
      <c r="BE46" s="161">
        <f>IF(GG46="","",IF(ISNUMBER('Dvd Calendar'!$S$393)=FALSE,"",'Dvd Calendar'!$S$393))</f>
        <v/>
      </c>
      <c r="BF46" s="161">
        <f>IF(GH46="","",IF(ISNUMBER('Dvd Calendar'!$T$393)=FALSE,"",'Dvd Calendar'!$T$393))</f>
        <v/>
      </c>
      <c r="BG46" s="161">
        <f>IF(GI46="","",IF(ISNUMBER('Dvd Calendar'!$U$393)=FALSE,"",'Dvd Calendar'!$U$393))</f>
        <v/>
      </c>
      <c r="BH46" s="161">
        <f>IF(GJ46="","",IF(ISNUMBER('Dvd Calendar'!$V$393)=FALSE,"",'Dvd Calendar'!$V$393))</f>
        <v/>
      </c>
      <c r="BI46" s="161">
        <f>IF(GK46="","",IF(ISNUMBER('Dvd Calendar'!$W$393)=FALSE,"",'Dvd Calendar'!$W$393))</f>
        <v/>
      </c>
      <c r="BJ46" s="161">
        <f>IF(GL46="","",IF(ISNUMBER('Dvd Calendar'!$X$393)=FALSE,"",'Dvd Calendar'!$X$393))</f>
        <v/>
      </c>
      <c r="BK46" s="161">
        <f>IF(GM46="","",IF(ISNUMBER('Dvd Calendar'!$Y$393)=FALSE,"",'Dvd Calendar'!$Y$393))</f>
        <v/>
      </c>
      <c r="BL46" s="161">
        <f>IF(GN46="","",IF(ISNUMBER('Dvd Calendar'!$Z$393)=FALSE,"",'Dvd Calendar'!$Z$393))</f>
        <v/>
      </c>
      <c r="BM46" s="161">
        <f>IF(GO46="","",IF(ISNUMBER('Dvd Calendar'!$AA$393)=FALSE,"",'Dvd Calendar'!$AA$393))</f>
        <v/>
      </c>
      <c r="BN46" s="161">
        <f>IF(GP46="","",IF(ISNUMBER('Dvd Calendar'!$AB$393)=FALSE,"",'Dvd Calendar'!$AB$393))</f>
        <v/>
      </c>
      <c r="BO46" s="161">
        <f>IF(GQ46="","",IF(ISNUMBER('Dvd Calendar'!$AC$393)=FALSE,"",'Dvd Calendar'!$AC$393))</f>
        <v/>
      </c>
      <c r="BQ46" s="161">
        <f>IF(C46="","",IFERROR(C46*HSI!$B$41*HSI!$G$41/HSI!$B$3,""))</f>
        <v/>
      </c>
      <c r="BR46" s="161">
        <f>IF(D46="","",IFERROR(D46*HSI!$B$41*HSI!$G$41/HSI!$B$3,""))</f>
        <v/>
      </c>
      <c r="BS46" s="161">
        <f>IF(E46="","",IFERROR(E46*HSI!$B$41*HSI!$G$41/HSI!$B$3,""))</f>
        <v/>
      </c>
      <c r="BT46" s="161">
        <f>IF(F46="","",IFERROR(F46*HSI!$B$41*HSI!$G$41/HSI!$B$3,""))</f>
        <v/>
      </c>
      <c r="BU46" s="161">
        <f>IF(G46="","",IFERROR(G46*HSI!$B$41*HSI!$G$41/HSI!$B$3,""))</f>
        <v/>
      </c>
      <c r="BV46" s="161">
        <f>IF(H46="","",IFERROR(H46*HSI!$B$41*HSI!$G$41/HSI!$B$3,""))</f>
        <v/>
      </c>
      <c r="BW46" s="161">
        <f>IF(I46="","",IFERROR(I46*HSI!$B$41*HSI!$G$41/HSI!$B$3,""))</f>
        <v/>
      </c>
      <c r="BX46" s="161">
        <f>IF(J46="","",IFERROR(J46*HSI!$B$41*HSI!$G$41/HSI!$B$3,""))</f>
        <v/>
      </c>
      <c r="BY46" s="161">
        <f>IF(K46="","",IFERROR(K46*HSI!$B$41*HSI!$G$41/HSI!$B$3,""))</f>
        <v/>
      </c>
      <c r="BZ46" s="161">
        <f>IF(L46="","",IFERROR(L46*HSI!$B$41*HSI!$G$41/HSI!$B$3,""))</f>
        <v/>
      </c>
      <c r="CA46" s="161">
        <f>IF(M46="","",IFERROR(M46*HSI!$B$41*HSI!$G$41/HSI!$B$3,""))</f>
        <v/>
      </c>
      <c r="CB46" s="161">
        <f>IF(N46="","",IFERROR(N46*HSI!$B$41*HSI!$G$41/HSI!$B$3,""))</f>
        <v/>
      </c>
      <c r="CC46" s="161">
        <f>IF(O46="","",IFERROR(O46*HSI!$B$41*HSI!$G$41/HSI!$B$3,""))</f>
        <v/>
      </c>
      <c r="CD46" s="161">
        <f>IF(P46="","",IFERROR(P46*HSI!$B$41*HSI!$G$41/HSI!$B$3,""))</f>
        <v/>
      </c>
      <c r="CE46" s="161">
        <f>IF(Q46="","",IFERROR(Q46*HSI!$B$41*HSI!$G$41/HSI!$B$3,""))</f>
        <v/>
      </c>
      <c r="CF46" s="161">
        <f>IF(R46="","",IFERROR(R46*HSI!$B$41*HSI!$G$41/HSI!$B$3,""))</f>
        <v/>
      </c>
      <c r="CG46" s="161">
        <f>IF(S46="","",IFERROR(S46*HSI!$B$41*HSI!$G$41/HSI!$B$3,""))</f>
        <v/>
      </c>
      <c r="CH46" s="161">
        <f>IF(T46="","",IFERROR(T46*HSI!$B$41*HSI!$G$41/HSI!$B$3,""))</f>
        <v/>
      </c>
      <c r="CI46" s="161">
        <f>IF(U46="","",IFERROR(U46*HSI!$B$41*HSI!$G$41/HSI!$B$3,""))</f>
        <v/>
      </c>
      <c r="CJ46" s="161">
        <f>IF(V46="","",IFERROR(V46*HSI!$B$41*HSI!$G$41/HSI!$B$3,""))</f>
        <v/>
      </c>
      <c r="CK46" s="161">
        <f>IF(W46="","",IFERROR(W46*HSI!$B$41*HSI!$G$41/HSI!$B$3,""))</f>
        <v/>
      </c>
      <c r="CL46" s="161">
        <f>IF(X46="","",IFERROR(X46*HSI!$B$41*HSI!$G$41/HSI!$B$3,""))</f>
        <v/>
      </c>
      <c r="CM46" s="161">
        <f>IF(Y46="","",IFERROR(Y46*HSI!$B$41*HSI!$G$41/HSI!$B$3,""))</f>
        <v/>
      </c>
      <c r="CN46" s="161">
        <f>IF(Z46="","",IFERROR(Z46*HSI!$B$41*HSI!$G$41/HSI!$B$3,""))</f>
        <v/>
      </c>
      <c r="CO46" s="161">
        <f>IF(AA46="","",IFERROR(AA46*HSI!$B$41*HSI!$G$41/HSI!$B$3,""))</f>
        <v/>
      </c>
      <c r="CP46" s="161">
        <f>IF(AB46="","",IFERROR(AB46*HSI!$B$41*HSI!$G$41/HSI!$B$3,""))</f>
        <v/>
      </c>
      <c r="CQ46" s="161">
        <f>IF(AC46="","",IFERROR(AC46*HSI!$B$41*HSI!$G$41/HSI!$B$3,""))</f>
        <v/>
      </c>
      <c r="CR46" s="161">
        <f>IF(AD46="","",IFERROR(AD46*HSI!$B$41*HSI!$G$41/HSI!$B$3,""))</f>
        <v/>
      </c>
      <c r="CS46" s="161">
        <f>IF(AE46="","",IFERROR(AE46*HSI!$B$41*HSI!$G$41/HSI!$B$3,""))</f>
        <v/>
      </c>
      <c r="CT46" s="161">
        <f>IF(AF46="","",IFERROR(AF46*HSI!$B$41*HSI!$G$41/HSI!$B$3,""))</f>
        <v/>
      </c>
      <c r="CU46" s="161">
        <f>IF(AG46="","",IFERROR(AG46*HSI!$B$41*HSI!$G$41/HSI!$B$3,""))</f>
        <v/>
      </c>
      <c r="CV46" s="161">
        <f>IF(AH46="","",IFERROR(AH46*HSI!$B$41*HSI!$G$41/HSI!$B$3,""))</f>
        <v/>
      </c>
      <c r="CW46" s="161">
        <f>IF(AI46="","",IFERROR(AI46*HSI!$B$41*HSI!$G$41/HSI!$B$3,""))</f>
        <v/>
      </c>
      <c r="CX46" s="161">
        <f>IF(AJ46="","",IFERROR(AJ46*HSI!$B$41*HSI!$G$41/HSI!$B$3,""))</f>
        <v/>
      </c>
      <c r="CY46" s="161">
        <f>IF(AK46="","",IFERROR(AK46*HSI!$B$41*HSI!$G$41/HSI!$B$3,""))</f>
        <v/>
      </c>
      <c r="CZ46" s="161">
        <f>IF(AL46="","",IFERROR(AL46*HSI!$B$41*HSI!$G$41/HSI!$B$3,""))</f>
        <v/>
      </c>
      <c r="DA46" s="161">
        <f>IF(AM46="","",IFERROR(AM46*HSI!$B$41*HSI!$G$41/HSI!$B$3,""))</f>
        <v/>
      </c>
      <c r="DB46" s="161">
        <f>IF(AN46="","",IFERROR(AN46*HSI!$B$41*HSI!$G$41/HSI!$B$3,""))</f>
        <v/>
      </c>
      <c r="DC46" s="161">
        <f>IF(AO46="","",IFERROR(AO46*HSI!$B$41*HSI!$G$41/HSI!$B$3,""))</f>
        <v/>
      </c>
      <c r="DD46" s="161">
        <f>IF(AP46="","",IFERROR(AP46*HSI!$B$41*HSI!$G$41/HSI!$B$3,""))</f>
        <v/>
      </c>
      <c r="DE46" s="161">
        <f>IF(AQ46="","",IFERROR(AQ46*HSI!$B$41*HSI!$G$41/HSI!$B$3,""))</f>
        <v/>
      </c>
      <c r="DF46" s="161">
        <f>IF(AR46="","",IFERROR(AR46*HSI!$B$41*HSI!$G$41/HSI!$B$3,""))</f>
        <v/>
      </c>
      <c r="DG46" s="161">
        <f>IF(AS46="","",IFERROR(AS46*HSI!$B$41*HSI!$G$41/HSI!$B$3,""))</f>
        <v/>
      </c>
      <c r="DH46" s="161">
        <f>IF(AT46="","",IFERROR(AT46*HSI!$B$41*HSI!$G$41/HSI!$B$3,""))</f>
        <v/>
      </c>
      <c r="DI46" s="161">
        <f>IF(AU46="","",IFERROR(AU46*HSI!$B$41*HSI!$G$41/HSI!$B$3,""))</f>
        <v/>
      </c>
      <c r="DJ46" s="161">
        <f>IF(AV46="","",IFERROR(AV46*HSI!$B$41*HSI!$G$41/HSI!$B$3,""))</f>
        <v/>
      </c>
      <c r="DK46" s="161">
        <f>IF(AW46="","",IFERROR(AW46*HSI!$B$41*HSI!$G$41/HSI!$B$3,""))</f>
        <v/>
      </c>
      <c r="DL46" s="161">
        <f>IF(AX46="","",IFERROR(AX46*HSI!$B$41*HSI!$G$41/HSI!$B$3,""))</f>
        <v/>
      </c>
      <c r="DM46" s="161">
        <f>IF(AY46="","",IFERROR(AY46*HSI!$B$41*HSI!$G$41/HSI!$B$3,""))</f>
        <v/>
      </c>
      <c r="DN46" s="161">
        <f>IF(AZ46="","",IFERROR(AZ46*HSI!$B$41*HSI!$G$41/HSI!$B$3,""))</f>
        <v/>
      </c>
      <c r="DO46" s="161">
        <f>IF(BA46="","",IFERROR(BA46*HSI!$B$41*HSI!$G$41/HSI!$B$3,""))</f>
        <v/>
      </c>
      <c r="DP46" s="161">
        <f>IF(BB46="","",IFERROR(BB46*HSI!$B$41*HSI!$G$41/HSI!$B$3,""))</f>
        <v/>
      </c>
      <c r="DQ46" s="161">
        <f>IF(BC46="","",IFERROR(BC46*HSI!$B$41*HSI!$G$41/HSI!$B$3,""))</f>
        <v/>
      </c>
      <c r="DR46" s="161">
        <f>IF(BD46="","",IFERROR(BD46*HSI!$B$41*HSI!$G$41/HSI!$B$3,""))</f>
        <v/>
      </c>
      <c r="DS46" s="161">
        <f>IF(BE46="","",IFERROR(BE46*HSI!$B$41*HSI!$G$41/HSI!$B$3,""))</f>
        <v/>
      </c>
      <c r="DT46" s="161">
        <f>IF(BF46="","",IFERROR(BF46*HSI!$B$41*HSI!$G$41/HSI!$B$3,""))</f>
        <v/>
      </c>
      <c r="DU46" s="161">
        <f>IF(BG46="","",IFERROR(BG46*HSI!$B$41*HSI!$G$41/HSI!$B$3,""))</f>
        <v/>
      </c>
      <c r="DV46" s="161">
        <f>IF(BH46="","",IFERROR(BH46*HSI!$B$41*HSI!$G$41/HSI!$B$3,""))</f>
        <v/>
      </c>
      <c r="DW46" s="161">
        <f>IF(BI46="","",IFERROR(BI46*HSI!$B$41*HSI!$G$41/HSI!$B$3,""))</f>
        <v/>
      </c>
      <c r="DX46" s="161">
        <f>IF(BJ46="","",IFERROR(BJ46*HSI!$B$41*HSI!$G$41/HSI!$B$3,""))</f>
        <v/>
      </c>
      <c r="DY46" s="161">
        <f>IF(BK46="","",IFERROR(BK46*HSI!$B$41*HSI!$G$41/HSI!$B$3,""))</f>
        <v/>
      </c>
      <c r="DZ46" s="161">
        <f>IF(BL46="","",IFERROR(BL46*HSI!$B$41*HSI!$G$41/HSI!$B$3,""))</f>
        <v/>
      </c>
      <c r="EA46" s="161">
        <f>IF(BM46="","",IFERROR(BM46*HSI!$B$41*HSI!$G$41/HSI!$B$3,""))</f>
        <v/>
      </c>
      <c r="EB46" s="161">
        <f>IF(BN46="","",IFERROR(BN46*HSI!$B$41*HSI!$G$41/HSI!$B$3,""))</f>
        <v/>
      </c>
      <c r="EC46" s="161">
        <f>IF(BO46="","",IFERROR(BO46*HSI!$B$41*HSI!$G$41/HSI!$B$3,""))</f>
        <v/>
      </c>
      <c r="EE46" s="121">
        <f>IF(N('Dvd Calendar'!$E$385)=0,"",IF(('Dvd Calendar'!$E$385&gt;=GRID_FROM)*('Dvd Calendar'!$E$385&lt;=GRID_TO)*((('Dvd Calendar'!$E$385&lt;=VAL_DATE)+(COUNTIF('Dvd Calendar'!$E$392:$AR$392,'Dvd Calendar'!$E$385)=0))&gt;0)=0,"",'Dvd Calendar'!$E$385*1000000000+ISNUMBER('Dvd Calendar'!$E$388)*100000000+('Dvd Calendar'!$E$390=SPECIAL_LBL)*10000000+(N('Dvd Calendar'!$E$384)&gt;0)*(N('Dvd Calendar'!$E$384)&lt;=VAL_SERIAL)*1000000+35*1000+1))</f>
        <v/>
      </c>
      <c r="EF46" s="121">
        <f>IF(N('Dvd Calendar'!$F$385)=0,"",IF(('Dvd Calendar'!$F$385&gt;=GRID_FROM)*('Dvd Calendar'!$F$385&lt;=GRID_TO)*((('Dvd Calendar'!$F$385&lt;=VAL_DATE)+(COUNTIF('Dvd Calendar'!$E$392:$AR$392,'Dvd Calendar'!$F$385)=0))&gt;0)=0,"",'Dvd Calendar'!$F$385*1000000000+ISNUMBER('Dvd Calendar'!$F$388)*100000000+('Dvd Calendar'!$F$390=SPECIAL_LBL)*10000000+(N('Dvd Calendar'!$F$384)&gt;0)*(N('Dvd Calendar'!$F$384)&lt;=VAL_SERIAL)*1000000+35*1000+2))</f>
        <v/>
      </c>
      <c r="EG46" s="121">
        <f>IF(N('Dvd Calendar'!$G$385)=0,"",IF(('Dvd Calendar'!$G$385&gt;=GRID_FROM)*('Dvd Calendar'!$G$385&lt;=GRID_TO)*((('Dvd Calendar'!$G$385&lt;=VAL_DATE)+(COUNTIF('Dvd Calendar'!$E$392:$AR$392,'Dvd Calendar'!$G$385)=0))&gt;0)=0,"",'Dvd Calendar'!$G$385*1000000000+ISNUMBER('Dvd Calendar'!$G$388)*100000000+('Dvd Calendar'!$G$390=SPECIAL_LBL)*10000000+(N('Dvd Calendar'!$G$384)&gt;0)*(N('Dvd Calendar'!$G$384)&lt;=VAL_SERIAL)*1000000+35*1000+3))</f>
        <v/>
      </c>
      <c r="EH46" s="121">
        <f>IF(N('Dvd Calendar'!$H$385)=0,"",IF(('Dvd Calendar'!$H$385&gt;=GRID_FROM)*('Dvd Calendar'!$H$385&lt;=GRID_TO)*((('Dvd Calendar'!$H$385&lt;=VAL_DATE)+(COUNTIF('Dvd Calendar'!$E$392:$AR$392,'Dvd Calendar'!$H$385)=0))&gt;0)=0,"",'Dvd Calendar'!$H$385*1000000000+ISNUMBER('Dvd Calendar'!$H$388)*100000000+('Dvd Calendar'!$H$390=SPECIAL_LBL)*10000000+(N('Dvd Calendar'!$H$384)&gt;0)*(N('Dvd Calendar'!$H$384)&lt;=VAL_SERIAL)*1000000+35*1000+4))</f>
        <v/>
      </c>
      <c r="EI46" s="121">
        <f>IF(N('Dvd Calendar'!$I$385)=0,"",IF(('Dvd Calendar'!$I$385&gt;=GRID_FROM)*('Dvd Calendar'!$I$385&lt;=GRID_TO)*((('Dvd Calendar'!$I$385&lt;=VAL_DATE)+(COUNTIF('Dvd Calendar'!$E$392:$AR$392,'Dvd Calendar'!$I$385)=0))&gt;0)=0,"",'Dvd Calendar'!$I$385*1000000000+ISNUMBER('Dvd Calendar'!$I$388)*100000000+('Dvd Calendar'!$I$390=SPECIAL_LBL)*10000000+(N('Dvd Calendar'!$I$384)&gt;0)*(N('Dvd Calendar'!$I$384)&lt;=VAL_SERIAL)*1000000+35*1000+5))</f>
        <v/>
      </c>
      <c r="EJ46" s="121">
        <f>IF(N('Dvd Calendar'!$J$385)=0,"",IF(('Dvd Calendar'!$J$385&gt;=GRID_FROM)*('Dvd Calendar'!$J$385&lt;=GRID_TO)*((('Dvd Calendar'!$J$385&lt;=VAL_DATE)+(COUNTIF('Dvd Calendar'!$E$392:$AR$392,'Dvd Calendar'!$J$385)=0))&gt;0)=0,"",'Dvd Calendar'!$J$385*1000000000+ISNUMBER('Dvd Calendar'!$J$388)*100000000+('Dvd Calendar'!$J$390=SPECIAL_LBL)*10000000+(N('Dvd Calendar'!$J$384)&gt;0)*(N('Dvd Calendar'!$J$384)&lt;=VAL_SERIAL)*1000000+35*1000+6))</f>
        <v/>
      </c>
      <c r="EK46" s="121">
        <f>IF(N('Dvd Calendar'!$K$385)=0,"",IF(('Dvd Calendar'!$K$385&gt;=GRID_FROM)*('Dvd Calendar'!$K$385&lt;=GRID_TO)*((('Dvd Calendar'!$K$385&lt;=VAL_DATE)+(COUNTIF('Dvd Calendar'!$E$392:$AR$392,'Dvd Calendar'!$K$385)=0))&gt;0)=0,"",'Dvd Calendar'!$K$385*1000000000+ISNUMBER('Dvd Calendar'!$K$388)*100000000+('Dvd Calendar'!$K$390=SPECIAL_LBL)*10000000+(N('Dvd Calendar'!$K$384)&gt;0)*(N('Dvd Calendar'!$K$384)&lt;=VAL_SERIAL)*1000000+35*1000+7))</f>
        <v/>
      </c>
      <c r="EL46" s="121">
        <f>IF(N('Dvd Calendar'!$L$385)=0,"",IF(('Dvd Calendar'!$L$385&gt;=GRID_FROM)*('Dvd Calendar'!$L$385&lt;=GRID_TO)*((('Dvd Calendar'!$L$385&lt;=VAL_DATE)+(COUNTIF('Dvd Calendar'!$E$392:$AR$392,'Dvd Calendar'!$L$385)=0))&gt;0)=0,"",'Dvd Calendar'!$L$385*1000000000+ISNUMBER('Dvd Calendar'!$L$388)*100000000+('Dvd Calendar'!$L$390=SPECIAL_LBL)*10000000+(N('Dvd Calendar'!$L$384)&gt;0)*(N('Dvd Calendar'!$L$384)&lt;=VAL_SERIAL)*1000000+35*1000+8))</f>
        <v/>
      </c>
      <c r="EM46" s="121">
        <f>IF(N('Dvd Calendar'!$M$385)=0,"",IF(('Dvd Calendar'!$M$385&gt;=GRID_FROM)*('Dvd Calendar'!$M$385&lt;=GRID_TO)*((('Dvd Calendar'!$M$385&lt;=VAL_DATE)+(COUNTIF('Dvd Calendar'!$E$392:$AR$392,'Dvd Calendar'!$M$385)=0))&gt;0)=0,"",'Dvd Calendar'!$M$385*1000000000+ISNUMBER('Dvd Calendar'!$M$388)*100000000+('Dvd Calendar'!$M$390=SPECIAL_LBL)*10000000+(N('Dvd Calendar'!$M$384)&gt;0)*(N('Dvd Calendar'!$M$384)&lt;=VAL_SERIAL)*1000000+35*1000+9))</f>
        <v/>
      </c>
      <c r="EN46" s="121">
        <f>IF(N('Dvd Calendar'!$N$385)=0,"",IF(('Dvd Calendar'!$N$385&gt;=GRID_FROM)*('Dvd Calendar'!$N$385&lt;=GRID_TO)*((('Dvd Calendar'!$N$385&lt;=VAL_DATE)+(COUNTIF('Dvd Calendar'!$E$392:$AR$392,'Dvd Calendar'!$N$385)=0))&gt;0)=0,"",'Dvd Calendar'!$N$385*1000000000+ISNUMBER('Dvd Calendar'!$N$388)*100000000+('Dvd Calendar'!$N$390=SPECIAL_LBL)*10000000+(N('Dvd Calendar'!$N$384)&gt;0)*(N('Dvd Calendar'!$N$384)&lt;=VAL_SERIAL)*1000000+35*1000+10))</f>
        <v/>
      </c>
      <c r="EO46" s="121">
        <f>IF(N('Dvd Calendar'!$O$385)=0,"",IF(('Dvd Calendar'!$O$385&gt;=GRID_FROM)*('Dvd Calendar'!$O$385&lt;=GRID_TO)*((('Dvd Calendar'!$O$385&lt;=VAL_DATE)+(COUNTIF('Dvd Calendar'!$E$392:$AR$392,'Dvd Calendar'!$O$385)=0))&gt;0)=0,"",'Dvd Calendar'!$O$385*1000000000+ISNUMBER('Dvd Calendar'!$O$388)*100000000+('Dvd Calendar'!$O$390=SPECIAL_LBL)*10000000+(N('Dvd Calendar'!$O$384)&gt;0)*(N('Dvd Calendar'!$O$384)&lt;=VAL_SERIAL)*1000000+35*1000+11))</f>
        <v/>
      </c>
      <c r="EP46" s="121">
        <f>IF(N('Dvd Calendar'!$P$385)=0,"",IF(('Dvd Calendar'!$P$385&gt;=GRID_FROM)*('Dvd Calendar'!$P$385&lt;=GRID_TO)*((('Dvd Calendar'!$P$385&lt;=VAL_DATE)+(COUNTIF('Dvd Calendar'!$E$392:$AR$392,'Dvd Calendar'!$P$385)=0))&gt;0)=0,"",'Dvd Calendar'!$P$385*1000000000+ISNUMBER('Dvd Calendar'!$P$388)*100000000+('Dvd Calendar'!$P$390=SPECIAL_LBL)*10000000+(N('Dvd Calendar'!$P$384)&gt;0)*(N('Dvd Calendar'!$P$384)&lt;=VAL_SERIAL)*1000000+35*1000+12))</f>
        <v/>
      </c>
      <c r="EQ46" s="121">
        <f>IF(N('Dvd Calendar'!$Q$385)=0,"",IF(('Dvd Calendar'!$Q$385&gt;=GRID_FROM)*('Dvd Calendar'!$Q$385&lt;=GRID_TO)*((('Dvd Calendar'!$Q$385&lt;=VAL_DATE)+(COUNTIF('Dvd Calendar'!$E$392:$AR$392,'Dvd Calendar'!$Q$385)=0))&gt;0)=0,"",'Dvd Calendar'!$Q$385*1000000000+ISNUMBER('Dvd Calendar'!$Q$388)*100000000+('Dvd Calendar'!$Q$390=SPECIAL_LBL)*10000000+(N('Dvd Calendar'!$Q$384)&gt;0)*(N('Dvd Calendar'!$Q$384)&lt;=VAL_SERIAL)*1000000+35*1000+13))</f>
        <v/>
      </c>
      <c r="ER46" s="121">
        <f>IF(N('Dvd Calendar'!$R$385)=0,"",IF(('Dvd Calendar'!$R$385&gt;=GRID_FROM)*('Dvd Calendar'!$R$385&lt;=GRID_TO)*((('Dvd Calendar'!$R$385&lt;=VAL_DATE)+(COUNTIF('Dvd Calendar'!$E$392:$AR$392,'Dvd Calendar'!$R$385)=0))&gt;0)=0,"",'Dvd Calendar'!$R$385*1000000000+ISNUMBER('Dvd Calendar'!$R$388)*100000000+('Dvd Calendar'!$R$390=SPECIAL_LBL)*10000000+(N('Dvd Calendar'!$R$384)&gt;0)*(N('Dvd Calendar'!$R$384)&lt;=VAL_SERIAL)*1000000+35*1000+14))</f>
        <v/>
      </c>
      <c r="ES46" s="121">
        <f>IF(N('Dvd Calendar'!$S$385)=0,"",IF(('Dvd Calendar'!$S$385&gt;=GRID_FROM)*('Dvd Calendar'!$S$385&lt;=GRID_TO)*((('Dvd Calendar'!$S$385&lt;=VAL_DATE)+(COUNTIF('Dvd Calendar'!$E$392:$AR$392,'Dvd Calendar'!$S$385)=0))&gt;0)=0,"",'Dvd Calendar'!$S$385*1000000000+ISNUMBER('Dvd Calendar'!$S$388)*100000000+('Dvd Calendar'!$S$390=SPECIAL_LBL)*10000000+(N('Dvd Calendar'!$S$384)&gt;0)*(N('Dvd Calendar'!$S$384)&lt;=VAL_SERIAL)*1000000+35*1000+15))</f>
        <v/>
      </c>
      <c r="ET46" s="121">
        <f>IF(N('Dvd Calendar'!$T$385)=0,"",IF(('Dvd Calendar'!$T$385&gt;=GRID_FROM)*('Dvd Calendar'!$T$385&lt;=GRID_TO)*((('Dvd Calendar'!$T$385&lt;=VAL_DATE)+(COUNTIF('Dvd Calendar'!$E$392:$AR$392,'Dvd Calendar'!$T$385)=0))&gt;0)=0,"",'Dvd Calendar'!$T$385*1000000000+ISNUMBER('Dvd Calendar'!$T$388)*100000000+('Dvd Calendar'!$T$390=SPECIAL_LBL)*10000000+(N('Dvd Calendar'!$T$384)&gt;0)*(N('Dvd Calendar'!$T$384)&lt;=VAL_SERIAL)*1000000+35*1000+16))</f>
        <v/>
      </c>
      <c r="EU46" s="121">
        <f>IF(N('Dvd Calendar'!$U$385)=0,"",IF(('Dvd Calendar'!$U$385&gt;=GRID_FROM)*('Dvd Calendar'!$U$385&lt;=GRID_TO)*((('Dvd Calendar'!$U$385&lt;=VAL_DATE)+(COUNTIF('Dvd Calendar'!$E$392:$AR$392,'Dvd Calendar'!$U$385)=0))&gt;0)=0,"",'Dvd Calendar'!$U$385*1000000000+ISNUMBER('Dvd Calendar'!$U$388)*100000000+('Dvd Calendar'!$U$390=SPECIAL_LBL)*10000000+(N('Dvd Calendar'!$U$384)&gt;0)*(N('Dvd Calendar'!$U$384)&lt;=VAL_SERIAL)*1000000+35*1000+17))</f>
        <v/>
      </c>
      <c r="EV46" s="121">
        <f>IF(N('Dvd Calendar'!$V$385)=0,"",IF(('Dvd Calendar'!$V$385&gt;=GRID_FROM)*('Dvd Calendar'!$V$385&lt;=GRID_TO)*((('Dvd Calendar'!$V$385&lt;=VAL_DATE)+(COUNTIF('Dvd Calendar'!$E$392:$AR$392,'Dvd Calendar'!$V$385)=0))&gt;0)=0,"",'Dvd Calendar'!$V$385*1000000000+ISNUMBER('Dvd Calendar'!$V$388)*100000000+('Dvd Calendar'!$V$390=SPECIAL_LBL)*10000000+(N('Dvd Calendar'!$V$384)&gt;0)*(N('Dvd Calendar'!$V$384)&lt;=VAL_SERIAL)*1000000+35*1000+18))</f>
        <v/>
      </c>
      <c r="EW46" s="121">
        <f>IF(N('Dvd Calendar'!$W$385)=0,"",IF(('Dvd Calendar'!$W$385&gt;=GRID_FROM)*('Dvd Calendar'!$W$385&lt;=GRID_TO)*((('Dvd Calendar'!$W$385&lt;=VAL_DATE)+(COUNTIF('Dvd Calendar'!$E$392:$AR$392,'Dvd Calendar'!$W$385)=0))&gt;0)=0,"",'Dvd Calendar'!$W$385*1000000000+ISNUMBER('Dvd Calendar'!$W$388)*100000000+('Dvd Calendar'!$W$390=SPECIAL_LBL)*10000000+(N('Dvd Calendar'!$W$384)&gt;0)*(N('Dvd Calendar'!$W$384)&lt;=VAL_SERIAL)*1000000+35*1000+19))</f>
        <v/>
      </c>
      <c r="EX46" s="121">
        <f>IF(N('Dvd Calendar'!$X$385)=0,"",IF(('Dvd Calendar'!$X$385&gt;=GRID_FROM)*('Dvd Calendar'!$X$385&lt;=GRID_TO)*((('Dvd Calendar'!$X$385&lt;=VAL_DATE)+(COUNTIF('Dvd Calendar'!$E$392:$AR$392,'Dvd Calendar'!$X$385)=0))&gt;0)=0,"",'Dvd Calendar'!$X$385*1000000000+ISNUMBER('Dvd Calendar'!$X$388)*100000000+('Dvd Calendar'!$X$390=SPECIAL_LBL)*10000000+(N('Dvd Calendar'!$X$384)&gt;0)*(N('Dvd Calendar'!$X$384)&lt;=VAL_SERIAL)*1000000+35*1000+20))</f>
        <v/>
      </c>
      <c r="EY46" s="121">
        <f>IF(N('Dvd Calendar'!$Y$385)=0,"",IF(('Dvd Calendar'!$Y$385&gt;=GRID_FROM)*('Dvd Calendar'!$Y$385&lt;=GRID_TO)*((('Dvd Calendar'!$Y$385&lt;=VAL_DATE)+(COUNTIF('Dvd Calendar'!$E$392:$AR$392,'Dvd Calendar'!$Y$385)=0))&gt;0)=0,"",'Dvd Calendar'!$Y$385*1000000000+ISNUMBER('Dvd Calendar'!$Y$388)*100000000+('Dvd Calendar'!$Y$390=SPECIAL_LBL)*10000000+(N('Dvd Calendar'!$Y$384)&gt;0)*(N('Dvd Calendar'!$Y$384)&lt;=VAL_SERIAL)*1000000+35*1000+21))</f>
        <v/>
      </c>
      <c r="EZ46" s="121">
        <f>IF(N('Dvd Calendar'!$Z$385)=0,"",IF(('Dvd Calendar'!$Z$385&gt;=GRID_FROM)*('Dvd Calendar'!$Z$385&lt;=GRID_TO)*((('Dvd Calendar'!$Z$385&lt;=VAL_DATE)+(COUNTIF('Dvd Calendar'!$E$392:$AR$392,'Dvd Calendar'!$Z$385)=0))&gt;0)=0,"",'Dvd Calendar'!$Z$385*1000000000+ISNUMBER('Dvd Calendar'!$Z$388)*100000000+('Dvd Calendar'!$Z$390=SPECIAL_LBL)*10000000+(N('Dvd Calendar'!$Z$384)&gt;0)*(N('Dvd Calendar'!$Z$384)&lt;=VAL_SERIAL)*1000000+35*1000+22))</f>
        <v/>
      </c>
      <c r="FA46" s="121">
        <f>IF(N('Dvd Calendar'!$AA$385)=0,"",IF(('Dvd Calendar'!$AA$385&gt;=GRID_FROM)*('Dvd Calendar'!$AA$385&lt;=GRID_TO)*((('Dvd Calendar'!$AA$385&lt;=VAL_DATE)+(COUNTIF('Dvd Calendar'!$E$392:$AR$392,'Dvd Calendar'!$AA$385)=0))&gt;0)=0,"",'Dvd Calendar'!$AA$385*1000000000+ISNUMBER('Dvd Calendar'!$AA$388)*100000000+('Dvd Calendar'!$AA$390=SPECIAL_LBL)*10000000+(N('Dvd Calendar'!$AA$384)&gt;0)*(N('Dvd Calendar'!$AA$384)&lt;=VAL_SERIAL)*1000000+35*1000+23))</f>
        <v/>
      </c>
      <c r="FB46" s="121">
        <f>IF(N('Dvd Calendar'!$AB$385)=0,"",IF(('Dvd Calendar'!$AB$385&gt;=GRID_FROM)*('Dvd Calendar'!$AB$385&lt;=GRID_TO)*((('Dvd Calendar'!$AB$385&lt;=VAL_DATE)+(COUNTIF('Dvd Calendar'!$E$392:$AR$392,'Dvd Calendar'!$AB$385)=0))&gt;0)=0,"",'Dvd Calendar'!$AB$385*1000000000+ISNUMBER('Dvd Calendar'!$AB$388)*100000000+('Dvd Calendar'!$AB$390=SPECIAL_LBL)*10000000+(N('Dvd Calendar'!$AB$384)&gt;0)*(N('Dvd Calendar'!$AB$384)&lt;=VAL_SERIAL)*1000000+35*1000+24))</f>
        <v/>
      </c>
      <c r="FC46" s="121">
        <f>IF(N('Dvd Calendar'!$AC$385)=0,"",IF(('Dvd Calendar'!$AC$385&gt;=GRID_FROM)*('Dvd Calendar'!$AC$385&lt;=GRID_TO)*((('Dvd Calendar'!$AC$385&lt;=VAL_DATE)+(COUNTIF('Dvd Calendar'!$E$392:$AR$392,'Dvd Calendar'!$AC$385)=0))&gt;0)=0,"",'Dvd Calendar'!$AC$385*1000000000+ISNUMBER('Dvd Calendar'!$AC$388)*100000000+('Dvd Calendar'!$AC$390=SPECIAL_LBL)*10000000+(N('Dvd Calendar'!$AC$384)&gt;0)*(N('Dvd Calendar'!$AC$384)&lt;=VAL_SERIAL)*1000000+35*1000+25))</f>
        <v/>
      </c>
      <c r="FD46" s="121">
        <f>IF(N('Dvd Calendar'!$AD$385)=0,"",IF(('Dvd Calendar'!$AD$385&gt;=GRID_FROM)*('Dvd Calendar'!$AD$385&lt;=GRID_TO)*((('Dvd Calendar'!$AD$385&lt;=VAL_DATE)+(COUNTIF('Dvd Calendar'!$E$392:$AR$392,'Dvd Calendar'!$AD$385)=0))&gt;0)=0,"",'Dvd Calendar'!$AD$385*1000000000+ISNUMBER('Dvd Calendar'!$AD$388)*100000000+('Dvd Calendar'!$AD$390=SPECIAL_LBL)*10000000+(N('Dvd Calendar'!$AD$384)&gt;0)*(N('Dvd Calendar'!$AD$384)&lt;=VAL_SERIAL)*1000000+35*1000+26))</f>
        <v/>
      </c>
      <c r="FE46" s="121">
        <f>IF(N('Dvd Calendar'!$AE$385)=0,"",IF(('Dvd Calendar'!$AE$385&gt;=GRID_FROM)*('Dvd Calendar'!$AE$385&lt;=GRID_TO)*((('Dvd Calendar'!$AE$385&lt;=VAL_DATE)+(COUNTIF('Dvd Calendar'!$E$392:$AR$392,'Dvd Calendar'!$AE$385)=0))&gt;0)=0,"",'Dvd Calendar'!$AE$385*1000000000+ISNUMBER('Dvd Calendar'!$AE$388)*100000000+('Dvd Calendar'!$AE$390=SPECIAL_LBL)*10000000+(N('Dvd Calendar'!$AE$384)&gt;0)*(N('Dvd Calendar'!$AE$384)&lt;=VAL_SERIAL)*1000000+35*1000+27))</f>
        <v/>
      </c>
      <c r="FF46" s="121">
        <f>IF(N('Dvd Calendar'!$AF$385)=0,"",IF(('Dvd Calendar'!$AF$385&gt;=GRID_FROM)*('Dvd Calendar'!$AF$385&lt;=GRID_TO)*((('Dvd Calendar'!$AF$385&lt;=VAL_DATE)+(COUNTIF('Dvd Calendar'!$E$392:$AR$392,'Dvd Calendar'!$AF$385)=0))&gt;0)=0,"",'Dvd Calendar'!$AF$385*1000000000+ISNUMBER('Dvd Calendar'!$AF$388)*100000000+('Dvd Calendar'!$AF$390=SPECIAL_LBL)*10000000+(N('Dvd Calendar'!$AF$384)&gt;0)*(N('Dvd Calendar'!$AF$384)&lt;=VAL_SERIAL)*1000000+35*1000+28))</f>
        <v/>
      </c>
      <c r="FG46" s="121">
        <f>IF(N('Dvd Calendar'!$AG$385)=0,"",IF(('Dvd Calendar'!$AG$385&gt;=GRID_FROM)*('Dvd Calendar'!$AG$385&lt;=GRID_TO)*((('Dvd Calendar'!$AG$385&lt;=VAL_DATE)+(COUNTIF('Dvd Calendar'!$E$392:$AR$392,'Dvd Calendar'!$AG$385)=0))&gt;0)=0,"",'Dvd Calendar'!$AG$385*1000000000+ISNUMBER('Dvd Calendar'!$AG$388)*100000000+('Dvd Calendar'!$AG$390=SPECIAL_LBL)*10000000+(N('Dvd Calendar'!$AG$384)&gt;0)*(N('Dvd Calendar'!$AG$384)&lt;=VAL_SERIAL)*1000000+35*1000+29))</f>
        <v/>
      </c>
      <c r="FH46" s="121">
        <f>IF(N('Dvd Calendar'!$AH$385)=0,"",IF(('Dvd Calendar'!$AH$385&gt;=GRID_FROM)*('Dvd Calendar'!$AH$385&lt;=GRID_TO)*((('Dvd Calendar'!$AH$385&lt;=VAL_DATE)+(COUNTIF('Dvd Calendar'!$E$392:$AR$392,'Dvd Calendar'!$AH$385)=0))&gt;0)=0,"",'Dvd Calendar'!$AH$385*1000000000+ISNUMBER('Dvd Calendar'!$AH$388)*100000000+('Dvd Calendar'!$AH$390=SPECIAL_LBL)*10000000+(N('Dvd Calendar'!$AH$384)&gt;0)*(N('Dvd Calendar'!$AH$384)&lt;=VAL_SERIAL)*1000000+35*1000+30))</f>
        <v/>
      </c>
      <c r="FI46" s="121">
        <f>IF(N('Dvd Calendar'!$AI$385)=0,"",IF(('Dvd Calendar'!$AI$385&gt;=GRID_FROM)*('Dvd Calendar'!$AI$385&lt;=GRID_TO)*((('Dvd Calendar'!$AI$385&lt;=VAL_DATE)+(COUNTIF('Dvd Calendar'!$E$392:$AR$392,'Dvd Calendar'!$AI$385)=0))&gt;0)=0,"",'Dvd Calendar'!$AI$385*1000000000+ISNUMBER('Dvd Calendar'!$AI$388)*100000000+('Dvd Calendar'!$AI$390=SPECIAL_LBL)*10000000+(N('Dvd Calendar'!$AI$384)&gt;0)*(N('Dvd Calendar'!$AI$384)&lt;=VAL_SERIAL)*1000000+35*1000+31))</f>
        <v/>
      </c>
      <c r="FJ46" s="121">
        <f>IF(N('Dvd Calendar'!$AJ$385)=0,"",IF(('Dvd Calendar'!$AJ$385&gt;=GRID_FROM)*('Dvd Calendar'!$AJ$385&lt;=GRID_TO)*((('Dvd Calendar'!$AJ$385&lt;=VAL_DATE)+(COUNTIF('Dvd Calendar'!$E$392:$AR$392,'Dvd Calendar'!$AJ$385)=0))&gt;0)=0,"",'Dvd Calendar'!$AJ$385*1000000000+ISNUMBER('Dvd Calendar'!$AJ$388)*100000000+('Dvd Calendar'!$AJ$390=SPECIAL_LBL)*10000000+(N('Dvd Calendar'!$AJ$384)&gt;0)*(N('Dvd Calendar'!$AJ$384)&lt;=VAL_SERIAL)*1000000+35*1000+32))</f>
        <v/>
      </c>
      <c r="FK46" s="121">
        <f>IF(N('Dvd Calendar'!$AK$385)=0,"",IF(('Dvd Calendar'!$AK$385&gt;=GRID_FROM)*('Dvd Calendar'!$AK$385&lt;=GRID_TO)*((('Dvd Calendar'!$AK$385&lt;=VAL_DATE)+(COUNTIF('Dvd Calendar'!$E$392:$AR$392,'Dvd Calendar'!$AK$385)=0))&gt;0)=0,"",'Dvd Calendar'!$AK$385*1000000000+ISNUMBER('Dvd Calendar'!$AK$388)*100000000+('Dvd Calendar'!$AK$390=SPECIAL_LBL)*10000000+(N('Dvd Calendar'!$AK$384)&gt;0)*(N('Dvd Calendar'!$AK$384)&lt;=VAL_SERIAL)*1000000+35*1000+33))</f>
        <v/>
      </c>
      <c r="FL46" s="121">
        <f>IF(N('Dvd Calendar'!$AL$385)=0,"",IF(('Dvd Calendar'!$AL$385&gt;=GRID_FROM)*('Dvd Calendar'!$AL$385&lt;=GRID_TO)*((('Dvd Calendar'!$AL$385&lt;=VAL_DATE)+(COUNTIF('Dvd Calendar'!$E$392:$AR$392,'Dvd Calendar'!$AL$385)=0))&gt;0)=0,"",'Dvd Calendar'!$AL$385*1000000000+ISNUMBER('Dvd Calendar'!$AL$388)*100000000+('Dvd Calendar'!$AL$390=SPECIAL_LBL)*10000000+(N('Dvd Calendar'!$AL$384)&gt;0)*(N('Dvd Calendar'!$AL$384)&lt;=VAL_SERIAL)*1000000+35*1000+34))</f>
        <v/>
      </c>
      <c r="FM46" s="121">
        <f>IF(N('Dvd Calendar'!$AM$385)=0,"",IF(('Dvd Calendar'!$AM$385&gt;=GRID_FROM)*('Dvd Calendar'!$AM$385&lt;=GRID_TO)*((('Dvd Calendar'!$AM$385&lt;=VAL_DATE)+(COUNTIF('Dvd Calendar'!$E$392:$AR$392,'Dvd Calendar'!$AM$385)=0))&gt;0)=0,"",'Dvd Calendar'!$AM$385*1000000000+ISNUMBER('Dvd Calendar'!$AM$388)*100000000+('Dvd Calendar'!$AM$390=SPECIAL_LBL)*10000000+(N('Dvd Calendar'!$AM$384)&gt;0)*(N('Dvd Calendar'!$AM$384)&lt;=VAL_SERIAL)*1000000+35*1000+35))</f>
        <v/>
      </c>
      <c r="FN46" s="121">
        <f>IF(N('Dvd Calendar'!$AN$385)=0,"",IF(('Dvd Calendar'!$AN$385&gt;=GRID_FROM)*('Dvd Calendar'!$AN$385&lt;=GRID_TO)*((('Dvd Calendar'!$AN$385&lt;=VAL_DATE)+(COUNTIF('Dvd Calendar'!$E$392:$AR$392,'Dvd Calendar'!$AN$385)=0))&gt;0)=0,"",'Dvd Calendar'!$AN$385*1000000000+ISNUMBER('Dvd Calendar'!$AN$388)*100000000+('Dvd Calendar'!$AN$390=SPECIAL_LBL)*10000000+(N('Dvd Calendar'!$AN$384)&gt;0)*(N('Dvd Calendar'!$AN$384)&lt;=VAL_SERIAL)*1000000+35*1000+36))</f>
        <v/>
      </c>
      <c r="FO46" s="121">
        <f>IF(N('Dvd Calendar'!$AO$385)=0,"",IF(('Dvd Calendar'!$AO$385&gt;=GRID_FROM)*('Dvd Calendar'!$AO$385&lt;=GRID_TO)*((('Dvd Calendar'!$AO$385&lt;=VAL_DATE)+(COUNTIF('Dvd Calendar'!$E$392:$AR$392,'Dvd Calendar'!$AO$385)=0))&gt;0)=0,"",'Dvd Calendar'!$AO$385*1000000000+ISNUMBER('Dvd Calendar'!$AO$388)*100000000+('Dvd Calendar'!$AO$390=SPECIAL_LBL)*10000000+(N('Dvd Calendar'!$AO$384)&gt;0)*(N('Dvd Calendar'!$AO$384)&lt;=VAL_SERIAL)*1000000+35*1000+37))</f>
        <v/>
      </c>
      <c r="FP46" s="121">
        <f>IF(N('Dvd Calendar'!$AP$385)=0,"",IF(('Dvd Calendar'!$AP$385&gt;=GRID_FROM)*('Dvd Calendar'!$AP$385&lt;=GRID_TO)*((('Dvd Calendar'!$AP$385&lt;=VAL_DATE)+(COUNTIF('Dvd Calendar'!$E$392:$AR$392,'Dvd Calendar'!$AP$385)=0))&gt;0)=0,"",'Dvd Calendar'!$AP$385*1000000000+ISNUMBER('Dvd Calendar'!$AP$388)*100000000+('Dvd Calendar'!$AP$390=SPECIAL_LBL)*10000000+(N('Dvd Calendar'!$AP$384)&gt;0)*(N('Dvd Calendar'!$AP$384)&lt;=VAL_SERIAL)*1000000+35*1000+38))</f>
        <v/>
      </c>
      <c r="FQ46" s="121">
        <f>IF(N('Dvd Calendar'!$AQ$385)=0,"",IF(('Dvd Calendar'!$AQ$385&gt;=GRID_FROM)*('Dvd Calendar'!$AQ$385&lt;=GRID_TO)*((('Dvd Calendar'!$AQ$385&lt;=VAL_DATE)+(COUNTIF('Dvd Calendar'!$E$392:$AR$392,'Dvd Calendar'!$AQ$385)=0))&gt;0)=0,"",'Dvd Calendar'!$AQ$385*1000000000+ISNUMBER('Dvd Calendar'!$AQ$388)*100000000+('Dvd Calendar'!$AQ$390=SPECIAL_LBL)*10000000+(N('Dvd Calendar'!$AQ$384)&gt;0)*(N('Dvd Calendar'!$AQ$384)&lt;=VAL_SERIAL)*1000000+35*1000+39))</f>
        <v/>
      </c>
      <c r="FR46" s="121">
        <f>IF(N('Dvd Calendar'!$AR$385)=0,"",IF(('Dvd Calendar'!$AR$385&gt;=GRID_FROM)*('Dvd Calendar'!$AR$385&lt;=GRID_TO)*((('Dvd Calendar'!$AR$385&lt;=VAL_DATE)+(COUNTIF('Dvd Calendar'!$E$392:$AR$392,'Dvd Calendar'!$AR$385)=0))&gt;0)=0,"",'Dvd Calendar'!$AR$385*1000000000+ISNUMBER('Dvd Calendar'!$AR$388)*100000000+('Dvd Calendar'!$AR$390=SPECIAL_LBL)*10000000+(N('Dvd Calendar'!$AR$384)&gt;0)*(N('Dvd Calendar'!$AR$384)&lt;=VAL_SERIAL)*1000000+35*1000+40))</f>
        <v/>
      </c>
      <c r="FS46" s="121">
        <f>IF(N('Dvd Calendar'!$E$392)=0,"",IF(('Dvd Calendar'!$E$392&gt;=GRID_FROM)*('Dvd Calendar'!$E$392&lt;=GRID_TO)*('Dvd Calendar'!$E$392&gt;VAL_DATE)=0,"",'Dvd Calendar'!$E$392*1000000000+ISNUMBER('Dvd Calendar'!$E$393)*100000000+0*10000000+(N('Dvd Calendar'!$E$391)&gt;0)*(N('Dvd Calendar'!$E$391)&lt;=VAL_SERIAL)*1000000+35*1000+41))</f>
        <v/>
      </c>
      <c r="FT46" s="121">
        <f>IF(N('Dvd Calendar'!$F$392)=0,"",IF(('Dvd Calendar'!$F$392&gt;=GRID_FROM)*('Dvd Calendar'!$F$392&lt;=GRID_TO)*('Dvd Calendar'!$F$392&gt;VAL_DATE)=0,"",'Dvd Calendar'!$F$392*1000000000+ISNUMBER('Dvd Calendar'!$F$393)*100000000+0*10000000+(N('Dvd Calendar'!$F$391)&gt;0)*(N('Dvd Calendar'!$F$391)&lt;=VAL_SERIAL)*1000000+35*1000+42))</f>
        <v/>
      </c>
      <c r="FU46" s="121">
        <f>IF(N('Dvd Calendar'!$G$392)=0,"",IF(('Dvd Calendar'!$G$392&gt;=GRID_FROM)*('Dvd Calendar'!$G$392&lt;=GRID_TO)*('Dvd Calendar'!$G$392&gt;VAL_DATE)=0,"",'Dvd Calendar'!$G$392*1000000000+ISNUMBER('Dvd Calendar'!$G$393)*100000000+0*10000000+(N('Dvd Calendar'!$G$391)&gt;0)*(N('Dvd Calendar'!$G$391)&lt;=VAL_SERIAL)*1000000+35*1000+43))</f>
        <v/>
      </c>
      <c r="FV46" s="121">
        <f>IF(N('Dvd Calendar'!$H$392)=0,"",IF(('Dvd Calendar'!$H$392&gt;=GRID_FROM)*('Dvd Calendar'!$H$392&lt;=GRID_TO)*('Dvd Calendar'!$H$392&gt;VAL_DATE)=0,"",'Dvd Calendar'!$H$392*1000000000+ISNUMBER('Dvd Calendar'!$H$393)*100000000+0*10000000+(N('Dvd Calendar'!$H$391)&gt;0)*(N('Dvd Calendar'!$H$391)&lt;=VAL_SERIAL)*1000000+35*1000+44))</f>
        <v/>
      </c>
      <c r="FW46" s="121">
        <f>IF(N('Dvd Calendar'!$I$392)=0,"",IF(('Dvd Calendar'!$I$392&gt;=GRID_FROM)*('Dvd Calendar'!$I$392&lt;=GRID_TO)*('Dvd Calendar'!$I$392&gt;VAL_DATE)=0,"",'Dvd Calendar'!$I$392*1000000000+ISNUMBER('Dvd Calendar'!$I$393)*100000000+0*10000000+(N('Dvd Calendar'!$I$391)&gt;0)*(N('Dvd Calendar'!$I$391)&lt;=VAL_SERIAL)*1000000+35*1000+45))</f>
        <v/>
      </c>
      <c r="FX46" s="121">
        <f>IF(N('Dvd Calendar'!$J$392)=0,"",IF(('Dvd Calendar'!$J$392&gt;=GRID_FROM)*('Dvd Calendar'!$J$392&lt;=GRID_TO)*('Dvd Calendar'!$J$392&gt;VAL_DATE)=0,"",'Dvd Calendar'!$J$392*1000000000+ISNUMBER('Dvd Calendar'!$J$393)*100000000+0*10000000+(N('Dvd Calendar'!$J$391)&gt;0)*(N('Dvd Calendar'!$J$391)&lt;=VAL_SERIAL)*1000000+35*1000+46))</f>
        <v/>
      </c>
      <c r="FY46" s="121">
        <f>IF(N('Dvd Calendar'!$K$392)=0,"",IF(('Dvd Calendar'!$K$392&gt;=GRID_FROM)*('Dvd Calendar'!$K$392&lt;=GRID_TO)*('Dvd Calendar'!$K$392&gt;VAL_DATE)=0,"",'Dvd Calendar'!$K$392*1000000000+ISNUMBER('Dvd Calendar'!$K$393)*100000000+0*10000000+(N('Dvd Calendar'!$K$391)&gt;0)*(N('Dvd Calendar'!$K$391)&lt;=VAL_SERIAL)*1000000+35*1000+47))</f>
        <v/>
      </c>
      <c r="FZ46" s="121">
        <f>IF(N('Dvd Calendar'!$L$392)=0,"",IF(('Dvd Calendar'!$L$392&gt;=GRID_FROM)*('Dvd Calendar'!$L$392&lt;=GRID_TO)*('Dvd Calendar'!$L$392&gt;VAL_DATE)=0,"",'Dvd Calendar'!$L$392*1000000000+ISNUMBER('Dvd Calendar'!$L$393)*100000000+0*10000000+(N('Dvd Calendar'!$L$391)&gt;0)*(N('Dvd Calendar'!$L$391)&lt;=VAL_SERIAL)*1000000+35*1000+48))</f>
        <v/>
      </c>
      <c r="GA46" s="121">
        <f>IF(N('Dvd Calendar'!$M$392)=0,"",IF(('Dvd Calendar'!$M$392&gt;=GRID_FROM)*('Dvd Calendar'!$M$392&lt;=GRID_TO)*('Dvd Calendar'!$M$392&gt;VAL_DATE)=0,"",'Dvd Calendar'!$M$392*1000000000+ISNUMBER('Dvd Calendar'!$M$393)*100000000+0*10000000+(N('Dvd Calendar'!$M$391)&gt;0)*(N('Dvd Calendar'!$M$391)&lt;=VAL_SERIAL)*1000000+35*1000+49))</f>
        <v/>
      </c>
      <c r="GB46" s="121">
        <f>IF(N('Dvd Calendar'!$N$392)=0,"",IF(('Dvd Calendar'!$N$392&gt;=GRID_FROM)*('Dvd Calendar'!$N$392&lt;=GRID_TO)*('Dvd Calendar'!$N$392&gt;VAL_DATE)=0,"",'Dvd Calendar'!$N$392*1000000000+ISNUMBER('Dvd Calendar'!$N$393)*100000000+0*10000000+(N('Dvd Calendar'!$N$391)&gt;0)*(N('Dvd Calendar'!$N$391)&lt;=VAL_SERIAL)*1000000+35*1000+50))</f>
        <v/>
      </c>
      <c r="GC46" s="121">
        <f>IF(N('Dvd Calendar'!$O$392)=0,"",IF(('Dvd Calendar'!$O$392&gt;=GRID_FROM)*('Dvd Calendar'!$O$392&lt;=GRID_TO)*('Dvd Calendar'!$O$392&gt;VAL_DATE)=0,"",'Dvd Calendar'!$O$392*1000000000+ISNUMBER('Dvd Calendar'!$O$393)*100000000+0*10000000+(N('Dvd Calendar'!$O$391)&gt;0)*(N('Dvd Calendar'!$O$391)&lt;=VAL_SERIAL)*1000000+35*1000+51))</f>
        <v/>
      </c>
      <c r="GD46" s="121">
        <f>IF(N('Dvd Calendar'!$P$392)=0,"",IF(('Dvd Calendar'!$P$392&gt;=GRID_FROM)*('Dvd Calendar'!$P$392&lt;=GRID_TO)*('Dvd Calendar'!$P$392&gt;VAL_DATE)=0,"",'Dvd Calendar'!$P$392*1000000000+ISNUMBER('Dvd Calendar'!$P$393)*100000000+0*10000000+(N('Dvd Calendar'!$P$391)&gt;0)*(N('Dvd Calendar'!$P$391)&lt;=VAL_SERIAL)*1000000+35*1000+52))</f>
        <v/>
      </c>
      <c r="GE46" s="121">
        <f>IF(N('Dvd Calendar'!$Q$392)=0,"",IF(('Dvd Calendar'!$Q$392&gt;=GRID_FROM)*('Dvd Calendar'!$Q$392&lt;=GRID_TO)*('Dvd Calendar'!$Q$392&gt;VAL_DATE)=0,"",'Dvd Calendar'!$Q$392*1000000000+ISNUMBER('Dvd Calendar'!$Q$393)*100000000+0*10000000+(N('Dvd Calendar'!$Q$391)&gt;0)*(N('Dvd Calendar'!$Q$391)&lt;=VAL_SERIAL)*1000000+35*1000+53))</f>
        <v/>
      </c>
      <c r="GF46" s="121">
        <f>IF(N('Dvd Calendar'!$R$392)=0,"",IF(('Dvd Calendar'!$R$392&gt;=GRID_FROM)*('Dvd Calendar'!$R$392&lt;=GRID_TO)*('Dvd Calendar'!$R$392&gt;VAL_DATE)=0,"",'Dvd Calendar'!$R$392*1000000000+ISNUMBER('Dvd Calendar'!$R$393)*100000000+0*10000000+(N('Dvd Calendar'!$R$391)&gt;0)*(N('Dvd Calendar'!$R$391)&lt;=VAL_SERIAL)*1000000+35*1000+54))</f>
        <v/>
      </c>
      <c r="GG46" s="121">
        <f>IF(N('Dvd Calendar'!$S$392)=0,"",IF(('Dvd Calendar'!$S$392&gt;=GRID_FROM)*('Dvd Calendar'!$S$392&lt;=GRID_TO)*('Dvd Calendar'!$S$392&gt;VAL_DATE)=0,"",'Dvd Calendar'!$S$392*1000000000+ISNUMBER('Dvd Calendar'!$S$393)*100000000+0*10000000+(N('Dvd Calendar'!$S$391)&gt;0)*(N('Dvd Calendar'!$S$391)&lt;=VAL_SERIAL)*1000000+35*1000+55))</f>
        <v/>
      </c>
      <c r="GH46" s="121">
        <f>IF(N('Dvd Calendar'!$T$392)=0,"",IF(('Dvd Calendar'!$T$392&gt;=GRID_FROM)*('Dvd Calendar'!$T$392&lt;=GRID_TO)*('Dvd Calendar'!$T$392&gt;VAL_DATE)=0,"",'Dvd Calendar'!$T$392*1000000000+ISNUMBER('Dvd Calendar'!$T$393)*100000000+0*10000000+(N('Dvd Calendar'!$T$391)&gt;0)*(N('Dvd Calendar'!$T$391)&lt;=VAL_SERIAL)*1000000+35*1000+56))</f>
        <v/>
      </c>
      <c r="GI46" s="121">
        <f>IF(N('Dvd Calendar'!$U$392)=0,"",IF(('Dvd Calendar'!$U$392&gt;=GRID_FROM)*('Dvd Calendar'!$U$392&lt;=GRID_TO)*('Dvd Calendar'!$U$392&gt;VAL_DATE)=0,"",'Dvd Calendar'!$U$392*1000000000+ISNUMBER('Dvd Calendar'!$U$393)*100000000+0*10000000+(N('Dvd Calendar'!$U$391)&gt;0)*(N('Dvd Calendar'!$U$391)&lt;=VAL_SERIAL)*1000000+35*1000+57))</f>
        <v/>
      </c>
      <c r="GJ46" s="121">
        <f>IF(N('Dvd Calendar'!$V$392)=0,"",IF(('Dvd Calendar'!$V$392&gt;=GRID_FROM)*('Dvd Calendar'!$V$392&lt;=GRID_TO)*('Dvd Calendar'!$V$392&gt;VAL_DATE)=0,"",'Dvd Calendar'!$V$392*1000000000+ISNUMBER('Dvd Calendar'!$V$393)*100000000+0*10000000+(N('Dvd Calendar'!$V$391)&gt;0)*(N('Dvd Calendar'!$V$391)&lt;=VAL_SERIAL)*1000000+35*1000+58))</f>
        <v/>
      </c>
      <c r="GK46" s="121">
        <f>IF(N('Dvd Calendar'!$W$392)=0,"",IF(('Dvd Calendar'!$W$392&gt;=GRID_FROM)*('Dvd Calendar'!$W$392&lt;=GRID_TO)*('Dvd Calendar'!$W$392&gt;VAL_DATE)=0,"",'Dvd Calendar'!$W$392*1000000000+ISNUMBER('Dvd Calendar'!$W$393)*100000000+0*10000000+(N('Dvd Calendar'!$W$391)&gt;0)*(N('Dvd Calendar'!$W$391)&lt;=VAL_SERIAL)*1000000+35*1000+59))</f>
        <v/>
      </c>
      <c r="GL46" s="121">
        <f>IF(N('Dvd Calendar'!$X$392)=0,"",IF(('Dvd Calendar'!$X$392&gt;=GRID_FROM)*('Dvd Calendar'!$X$392&lt;=GRID_TO)*('Dvd Calendar'!$X$392&gt;VAL_DATE)=0,"",'Dvd Calendar'!$X$392*1000000000+ISNUMBER('Dvd Calendar'!$X$393)*100000000+0*10000000+(N('Dvd Calendar'!$X$391)&gt;0)*(N('Dvd Calendar'!$X$391)&lt;=VAL_SERIAL)*1000000+35*1000+60))</f>
        <v/>
      </c>
      <c r="GM46" s="121">
        <f>IF(N('Dvd Calendar'!$Y$392)=0,"",IF(('Dvd Calendar'!$Y$392&gt;=GRID_FROM)*('Dvd Calendar'!$Y$392&lt;=GRID_TO)*('Dvd Calendar'!$Y$392&gt;VAL_DATE)=0,"",'Dvd Calendar'!$Y$392*1000000000+ISNUMBER('Dvd Calendar'!$Y$393)*100000000+0*10000000+(N('Dvd Calendar'!$Y$391)&gt;0)*(N('Dvd Calendar'!$Y$391)&lt;=VAL_SERIAL)*1000000+35*1000+61))</f>
        <v/>
      </c>
      <c r="GN46" s="121">
        <f>IF(N('Dvd Calendar'!$Z$392)=0,"",IF(('Dvd Calendar'!$Z$392&gt;=GRID_FROM)*('Dvd Calendar'!$Z$392&lt;=GRID_TO)*('Dvd Calendar'!$Z$392&gt;VAL_DATE)=0,"",'Dvd Calendar'!$Z$392*1000000000+ISNUMBER('Dvd Calendar'!$Z$393)*100000000+0*10000000+(N('Dvd Calendar'!$Z$391)&gt;0)*(N('Dvd Calendar'!$Z$391)&lt;=VAL_SERIAL)*1000000+35*1000+62))</f>
        <v/>
      </c>
      <c r="GO46" s="121">
        <f>IF(N('Dvd Calendar'!$AA$392)=0,"",IF(('Dvd Calendar'!$AA$392&gt;=GRID_FROM)*('Dvd Calendar'!$AA$392&lt;=GRID_TO)*('Dvd Calendar'!$AA$392&gt;VAL_DATE)=0,"",'Dvd Calendar'!$AA$392*1000000000+ISNUMBER('Dvd Calendar'!$AA$393)*100000000+0*10000000+(N('Dvd Calendar'!$AA$391)&gt;0)*(N('Dvd Calendar'!$AA$391)&lt;=VAL_SERIAL)*1000000+35*1000+63))</f>
        <v/>
      </c>
      <c r="GP46" s="121">
        <f>IF(N('Dvd Calendar'!$AB$392)=0,"",IF(('Dvd Calendar'!$AB$392&gt;=GRID_FROM)*('Dvd Calendar'!$AB$392&lt;=GRID_TO)*('Dvd Calendar'!$AB$392&gt;VAL_DATE)=0,"",'Dvd Calendar'!$AB$392*1000000000+ISNUMBER('Dvd Calendar'!$AB$393)*100000000+0*10000000+(N('Dvd Calendar'!$AB$391)&gt;0)*(N('Dvd Calendar'!$AB$391)&lt;=VAL_SERIAL)*1000000+35*1000+64))</f>
        <v/>
      </c>
      <c r="GQ46" s="121">
        <f>IF(N('Dvd Calendar'!$AC$392)=0,"",IF(('Dvd Calendar'!$AC$392&gt;=GRID_FROM)*('Dvd Calendar'!$AC$392&lt;=GRID_TO)*('Dvd Calendar'!$AC$392&gt;VAL_DATE)=0,"",'Dvd Calendar'!$AC$392*1000000000+ISNUMBER('Dvd Calendar'!$AC$393)*100000000+0*10000000+(N('Dvd Calendar'!$AC$391)&gt;0)*(N('Dvd Calendar'!$AC$391)&lt;=VAL_SERIAL)*1000000+35*1000+65))</f>
        <v/>
      </c>
    </row>
    <row r="47">
      <c r="B47" s="2">
        <f>IF(HSI!$C$42="","",HSI!$C$42)</f>
        <v/>
      </c>
      <c r="C47" s="161">
        <f>IF(EE47="","",IF(ISNUMBER('Dvd Calendar'!$E$399)=FALSE,"",IF((('Dvd Calendar'!$E$401=TYPE1)*(TYPE1&lt;&gt;"")+('Dvd Calendar'!$E$401=TYPE2)*(TYPE2&lt;&gt;"")+('Dvd Calendar'!$E$401=TYPE3)*(TYPE3&lt;&gt;"")+('Dvd Calendar'!$E$401=TYPE4)*(TYPE4&lt;&gt;"")+('Dvd Calendar'!$E$401=SPECIAL_LBL)*(INC_SPECIALS="Y"))=0,"",'Dvd Calendar'!$E$399)))</f>
        <v/>
      </c>
      <c r="D47" s="161">
        <f>IF(EF47="","",IF(ISNUMBER('Dvd Calendar'!$F$399)=FALSE,"",IF((('Dvd Calendar'!$F$401=TYPE1)*(TYPE1&lt;&gt;"")+('Dvd Calendar'!$F$401=TYPE2)*(TYPE2&lt;&gt;"")+('Dvd Calendar'!$F$401=TYPE3)*(TYPE3&lt;&gt;"")+('Dvd Calendar'!$F$401=TYPE4)*(TYPE4&lt;&gt;"")+('Dvd Calendar'!$F$401=SPECIAL_LBL)*(INC_SPECIALS="Y"))=0,"",'Dvd Calendar'!$F$399)))</f>
        <v/>
      </c>
      <c r="E47" s="161">
        <f>IF(EG47="","",IF(ISNUMBER('Dvd Calendar'!$G$399)=FALSE,"",IF((('Dvd Calendar'!$G$401=TYPE1)*(TYPE1&lt;&gt;"")+('Dvd Calendar'!$G$401=TYPE2)*(TYPE2&lt;&gt;"")+('Dvd Calendar'!$G$401=TYPE3)*(TYPE3&lt;&gt;"")+('Dvd Calendar'!$G$401=TYPE4)*(TYPE4&lt;&gt;"")+('Dvd Calendar'!$G$401=SPECIAL_LBL)*(INC_SPECIALS="Y"))=0,"",'Dvd Calendar'!$G$399)))</f>
        <v/>
      </c>
      <c r="F47" s="161">
        <f>IF(EH47="","",IF(ISNUMBER('Dvd Calendar'!$H$399)=FALSE,"",IF((('Dvd Calendar'!$H$401=TYPE1)*(TYPE1&lt;&gt;"")+('Dvd Calendar'!$H$401=TYPE2)*(TYPE2&lt;&gt;"")+('Dvd Calendar'!$H$401=TYPE3)*(TYPE3&lt;&gt;"")+('Dvd Calendar'!$H$401=TYPE4)*(TYPE4&lt;&gt;"")+('Dvd Calendar'!$H$401=SPECIAL_LBL)*(INC_SPECIALS="Y"))=0,"",'Dvd Calendar'!$H$399)))</f>
        <v/>
      </c>
      <c r="G47" s="161">
        <f>IF(EI47="","",IF(ISNUMBER('Dvd Calendar'!$I$399)=FALSE,"",IF((('Dvd Calendar'!$I$401=TYPE1)*(TYPE1&lt;&gt;"")+('Dvd Calendar'!$I$401=TYPE2)*(TYPE2&lt;&gt;"")+('Dvd Calendar'!$I$401=TYPE3)*(TYPE3&lt;&gt;"")+('Dvd Calendar'!$I$401=TYPE4)*(TYPE4&lt;&gt;"")+('Dvd Calendar'!$I$401=SPECIAL_LBL)*(INC_SPECIALS="Y"))=0,"",'Dvd Calendar'!$I$399)))</f>
        <v/>
      </c>
      <c r="H47" s="161">
        <f>IF(EJ47="","",IF(ISNUMBER('Dvd Calendar'!$J$399)=FALSE,"",IF((('Dvd Calendar'!$J$401=TYPE1)*(TYPE1&lt;&gt;"")+('Dvd Calendar'!$J$401=TYPE2)*(TYPE2&lt;&gt;"")+('Dvd Calendar'!$J$401=TYPE3)*(TYPE3&lt;&gt;"")+('Dvd Calendar'!$J$401=TYPE4)*(TYPE4&lt;&gt;"")+('Dvd Calendar'!$J$401=SPECIAL_LBL)*(INC_SPECIALS="Y"))=0,"",'Dvd Calendar'!$J$399)))</f>
        <v/>
      </c>
      <c r="I47" s="161">
        <f>IF(EK47="","",IF(ISNUMBER('Dvd Calendar'!$K$399)=FALSE,"",IF((('Dvd Calendar'!$K$401=TYPE1)*(TYPE1&lt;&gt;"")+('Dvd Calendar'!$K$401=TYPE2)*(TYPE2&lt;&gt;"")+('Dvd Calendar'!$K$401=TYPE3)*(TYPE3&lt;&gt;"")+('Dvd Calendar'!$K$401=TYPE4)*(TYPE4&lt;&gt;"")+('Dvd Calendar'!$K$401=SPECIAL_LBL)*(INC_SPECIALS="Y"))=0,"",'Dvd Calendar'!$K$399)))</f>
        <v/>
      </c>
      <c r="J47" s="161">
        <f>IF(EL47="","",IF(ISNUMBER('Dvd Calendar'!$L$399)=FALSE,"",IF((('Dvd Calendar'!$L$401=TYPE1)*(TYPE1&lt;&gt;"")+('Dvd Calendar'!$L$401=TYPE2)*(TYPE2&lt;&gt;"")+('Dvd Calendar'!$L$401=TYPE3)*(TYPE3&lt;&gt;"")+('Dvd Calendar'!$L$401=TYPE4)*(TYPE4&lt;&gt;"")+('Dvd Calendar'!$L$401=SPECIAL_LBL)*(INC_SPECIALS="Y"))=0,"",'Dvd Calendar'!$L$399)))</f>
        <v/>
      </c>
      <c r="K47" s="161">
        <f>IF(EM47="","",IF(ISNUMBER('Dvd Calendar'!$M$399)=FALSE,"",IF((('Dvd Calendar'!$M$401=TYPE1)*(TYPE1&lt;&gt;"")+('Dvd Calendar'!$M$401=TYPE2)*(TYPE2&lt;&gt;"")+('Dvd Calendar'!$M$401=TYPE3)*(TYPE3&lt;&gt;"")+('Dvd Calendar'!$M$401=TYPE4)*(TYPE4&lt;&gt;"")+('Dvd Calendar'!$M$401=SPECIAL_LBL)*(INC_SPECIALS="Y"))=0,"",'Dvd Calendar'!$M$399)))</f>
        <v/>
      </c>
      <c r="L47" s="161">
        <f>IF(EN47="","",IF(ISNUMBER('Dvd Calendar'!$N$399)=FALSE,"",IF((('Dvd Calendar'!$N$401=TYPE1)*(TYPE1&lt;&gt;"")+('Dvd Calendar'!$N$401=TYPE2)*(TYPE2&lt;&gt;"")+('Dvd Calendar'!$N$401=TYPE3)*(TYPE3&lt;&gt;"")+('Dvd Calendar'!$N$401=TYPE4)*(TYPE4&lt;&gt;"")+('Dvd Calendar'!$N$401=SPECIAL_LBL)*(INC_SPECIALS="Y"))=0,"",'Dvd Calendar'!$N$399)))</f>
        <v/>
      </c>
      <c r="M47" s="161">
        <f>IF(EO47="","",IF(ISNUMBER('Dvd Calendar'!$O$399)=FALSE,"",IF((('Dvd Calendar'!$O$401=TYPE1)*(TYPE1&lt;&gt;"")+('Dvd Calendar'!$O$401=TYPE2)*(TYPE2&lt;&gt;"")+('Dvd Calendar'!$O$401=TYPE3)*(TYPE3&lt;&gt;"")+('Dvd Calendar'!$O$401=TYPE4)*(TYPE4&lt;&gt;"")+('Dvd Calendar'!$O$401=SPECIAL_LBL)*(INC_SPECIALS="Y"))=0,"",'Dvd Calendar'!$O$399)))</f>
        <v/>
      </c>
      <c r="N47" s="161">
        <f>IF(EP47="","",IF(ISNUMBER('Dvd Calendar'!$P$399)=FALSE,"",IF((('Dvd Calendar'!$P$401=TYPE1)*(TYPE1&lt;&gt;"")+('Dvd Calendar'!$P$401=TYPE2)*(TYPE2&lt;&gt;"")+('Dvd Calendar'!$P$401=TYPE3)*(TYPE3&lt;&gt;"")+('Dvd Calendar'!$P$401=TYPE4)*(TYPE4&lt;&gt;"")+('Dvd Calendar'!$P$401=SPECIAL_LBL)*(INC_SPECIALS="Y"))=0,"",'Dvd Calendar'!$P$399)))</f>
        <v/>
      </c>
      <c r="O47" s="161">
        <f>IF(EQ47="","",IF(ISNUMBER('Dvd Calendar'!$Q$399)=FALSE,"",IF((('Dvd Calendar'!$Q$401=TYPE1)*(TYPE1&lt;&gt;"")+('Dvd Calendar'!$Q$401=TYPE2)*(TYPE2&lt;&gt;"")+('Dvd Calendar'!$Q$401=TYPE3)*(TYPE3&lt;&gt;"")+('Dvd Calendar'!$Q$401=TYPE4)*(TYPE4&lt;&gt;"")+('Dvd Calendar'!$Q$401=SPECIAL_LBL)*(INC_SPECIALS="Y"))=0,"",'Dvd Calendar'!$Q$399)))</f>
        <v/>
      </c>
      <c r="P47" s="161">
        <f>IF(ER47="","",IF(ISNUMBER('Dvd Calendar'!$R$399)=FALSE,"",IF((('Dvd Calendar'!$R$401=TYPE1)*(TYPE1&lt;&gt;"")+('Dvd Calendar'!$R$401=TYPE2)*(TYPE2&lt;&gt;"")+('Dvd Calendar'!$R$401=TYPE3)*(TYPE3&lt;&gt;"")+('Dvd Calendar'!$R$401=TYPE4)*(TYPE4&lt;&gt;"")+('Dvd Calendar'!$R$401=SPECIAL_LBL)*(INC_SPECIALS="Y"))=0,"",'Dvd Calendar'!$R$399)))</f>
        <v/>
      </c>
      <c r="Q47" s="161">
        <f>IF(ES47="","",IF(ISNUMBER('Dvd Calendar'!$S$399)=FALSE,"",IF((('Dvd Calendar'!$S$401=TYPE1)*(TYPE1&lt;&gt;"")+('Dvd Calendar'!$S$401=TYPE2)*(TYPE2&lt;&gt;"")+('Dvd Calendar'!$S$401=TYPE3)*(TYPE3&lt;&gt;"")+('Dvd Calendar'!$S$401=TYPE4)*(TYPE4&lt;&gt;"")+('Dvd Calendar'!$S$401=SPECIAL_LBL)*(INC_SPECIALS="Y"))=0,"",'Dvd Calendar'!$S$399)))</f>
        <v/>
      </c>
      <c r="R47" s="161">
        <f>IF(ET47="","",IF(ISNUMBER('Dvd Calendar'!$T$399)=FALSE,"",IF((('Dvd Calendar'!$T$401=TYPE1)*(TYPE1&lt;&gt;"")+('Dvd Calendar'!$T$401=TYPE2)*(TYPE2&lt;&gt;"")+('Dvd Calendar'!$T$401=TYPE3)*(TYPE3&lt;&gt;"")+('Dvd Calendar'!$T$401=TYPE4)*(TYPE4&lt;&gt;"")+('Dvd Calendar'!$T$401=SPECIAL_LBL)*(INC_SPECIALS="Y"))=0,"",'Dvd Calendar'!$T$399)))</f>
        <v/>
      </c>
      <c r="S47" s="161">
        <f>IF(EU47="","",IF(ISNUMBER('Dvd Calendar'!$U$399)=FALSE,"",IF((('Dvd Calendar'!$U$401=TYPE1)*(TYPE1&lt;&gt;"")+('Dvd Calendar'!$U$401=TYPE2)*(TYPE2&lt;&gt;"")+('Dvd Calendar'!$U$401=TYPE3)*(TYPE3&lt;&gt;"")+('Dvd Calendar'!$U$401=TYPE4)*(TYPE4&lt;&gt;"")+('Dvd Calendar'!$U$401=SPECIAL_LBL)*(INC_SPECIALS="Y"))=0,"",'Dvd Calendar'!$U$399)))</f>
        <v/>
      </c>
      <c r="T47" s="161">
        <f>IF(EV47="","",IF(ISNUMBER('Dvd Calendar'!$V$399)=FALSE,"",IF((('Dvd Calendar'!$V$401=TYPE1)*(TYPE1&lt;&gt;"")+('Dvd Calendar'!$V$401=TYPE2)*(TYPE2&lt;&gt;"")+('Dvd Calendar'!$V$401=TYPE3)*(TYPE3&lt;&gt;"")+('Dvd Calendar'!$V$401=TYPE4)*(TYPE4&lt;&gt;"")+('Dvd Calendar'!$V$401=SPECIAL_LBL)*(INC_SPECIALS="Y"))=0,"",'Dvd Calendar'!$V$399)))</f>
        <v/>
      </c>
      <c r="U47" s="161">
        <f>IF(EW47="","",IF(ISNUMBER('Dvd Calendar'!$W$399)=FALSE,"",IF((('Dvd Calendar'!$W$401=TYPE1)*(TYPE1&lt;&gt;"")+('Dvd Calendar'!$W$401=TYPE2)*(TYPE2&lt;&gt;"")+('Dvd Calendar'!$W$401=TYPE3)*(TYPE3&lt;&gt;"")+('Dvd Calendar'!$W$401=TYPE4)*(TYPE4&lt;&gt;"")+('Dvd Calendar'!$W$401=SPECIAL_LBL)*(INC_SPECIALS="Y"))=0,"",'Dvd Calendar'!$W$399)))</f>
        <v/>
      </c>
      <c r="V47" s="161">
        <f>IF(EX47="","",IF(ISNUMBER('Dvd Calendar'!$X$399)=FALSE,"",IF((('Dvd Calendar'!$X$401=TYPE1)*(TYPE1&lt;&gt;"")+('Dvd Calendar'!$X$401=TYPE2)*(TYPE2&lt;&gt;"")+('Dvd Calendar'!$X$401=TYPE3)*(TYPE3&lt;&gt;"")+('Dvd Calendar'!$X$401=TYPE4)*(TYPE4&lt;&gt;"")+('Dvd Calendar'!$X$401=SPECIAL_LBL)*(INC_SPECIALS="Y"))=0,"",'Dvd Calendar'!$X$399)))</f>
        <v/>
      </c>
      <c r="W47" s="161">
        <f>IF(EY47="","",IF(ISNUMBER('Dvd Calendar'!$Y$399)=FALSE,"",IF((('Dvd Calendar'!$Y$401=TYPE1)*(TYPE1&lt;&gt;"")+('Dvd Calendar'!$Y$401=TYPE2)*(TYPE2&lt;&gt;"")+('Dvd Calendar'!$Y$401=TYPE3)*(TYPE3&lt;&gt;"")+('Dvd Calendar'!$Y$401=TYPE4)*(TYPE4&lt;&gt;"")+('Dvd Calendar'!$Y$401=SPECIAL_LBL)*(INC_SPECIALS="Y"))=0,"",'Dvd Calendar'!$Y$399)))</f>
        <v/>
      </c>
      <c r="X47" s="161">
        <f>IF(EZ47="","",IF(ISNUMBER('Dvd Calendar'!$Z$399)=FALSE,"",IF((('Dvd Calendar'!$Z$401=TYPE1)*(TYPE1&lt;&gt;"")+('Dvd Calendar'!$Z$401=TYPE2)*(TYPE2&lt;&gt;"")+('Dvd Calendar'!$Z$401=TYPE3)*(TYPE3&lt;&gt;"")+('Dvd Calendar'!$Z$401=TYPE4)*(TYPE4&lt;&gt;"")+('Dvd Calendar'!$Z$401=SPECIAL_LBL)*(INC_SPECIALS="Y"))=0,"",'Dvd Calendar'!$Z$399)))</f>
        <v/>
      </c>
      <c r="Y47" s="161">
        <f>IF(FA47="","",IF(ISNUMBER('Dvd Calendar'!$AA$399)=FALSE,"",IF((('Dvd Calendar'!$AA$401=TYPE1)*(TYPE1&lt;&gt;"")+('Dvd Calendar'!$AA$401=TYPE2)*(TYPE2&lt;&gt;"")+('Dvd Calendar'!$AA$401=TYPE3)*(TYPE3&lt;&gt;"")+('Dvd Calendar'!$AA$401=TYPE4)*(TYPE4&lt;&gt;"")+('Dvd Calendar'!$AA$401=SPECIAL_LBL)*(INC_SPECIALS="Y"))=0,"",'Dvd Calendar'!$AA$399)))</f>
        <v/>
      </c>
      <c r="Z47" s="161">
        <f>IF(FB47="","",IF(ISNUMBER('Dvd Calendar'!$AB$399)=FALSE,"",IF((('Dvd Calendar'!$AB$401=TYPE1)*(TYPE1&lt;&gt;"")+('Dvd Calendar'!$AB$401=TYPE2)*(TYPE2&lt;&gt;"")+('Dvd Calendar'!$AB$401=TYPE3)*(TYPE3&lt;&gt;"")+('Dvd Calendar'!$AB$401=TYPE4)*(TYPE4&lt;&gt;"")+('Dvd Calendar'!$AB$401=SPECIAL_LBL)*(INC_SPECIALS="Y"))=0,"",'Dvd Calendar'!$AB$399)))</f>
        <v/>
      </c>
      <c r="AA47" s="161">
        <f>IF(FC47="","",IF(ISNUMBER('Dvd Calendar'!$AC$399)=FALSE,"",IF((('Dvd Calendar'!$AC$401=TYPE1)*(TYPE1&lt;&gt;"")+('Dvd Calendar'!$AC$401=TYPE2)*(TYPE2&lt;&gt;"")+('Dvd Calendar'!$AC$401=TYPE3)*(TYPE3&lt;&gt;"")+('Dvd Calendar'!$AC$401=TYPE4)*(TYPE4&lt;&gt;"")+('Dvd Calendar'!$AC$401=SPECIAL_LBL)*(INC_SPECIALS="Y"))=0,"",'Dvd Calendar'!$AC$399)))</f>
        <v/>
      </c>
      <c r="AB47" s="161">
        <f>IF(FD47="","",IF(ISNUMBER('Dvd Calendar'!$AD$399)=FALSE,"",IF((('Dvd Calendar'!$AD$401=TYPE1)*(TYPE1&lt;&gt;"")+('Dvd Calendar'!$AD$401=TYPE2)*(TYPE2&lt;&gt;"")+('Dvd Calendar'!$AD$401=TYPE3)*(TYPE3&lt;&gt;"")+('Dvd Calendar'!$AD$401=TYPE4)*(TYPE4&lt;&gt;"")+('Dvd Calendar'!$AD$401=SPECIAL_LBL)*(INC_SPECIALS="Y"))=0,"",'Dvd Calendar'!$AD$399)))</f>
        <v/>
      </c>
      <c r="AC47" s="161">
        <f>IF(FE47="","",IF(ISNUMBER('Dvd Calendar'!$AE$399)=FALSE,"",IF((('Dvd Calendar'!$AE$401=TYPE1)*(TYPE1&lt;&gt;"")+('Dvd Calendar'!$AE$401=TYPE2)*(TYPE2&lt;&gt;"")+('Dvd Calendar'!$AE$401=TYPE3)*(TYPE3&lt;&gt;"")+('Dvd Calendar'!$AE$401=TYPE4)*(TYPE4&lt;&gt;"")+('Dvd Calendar'!$AE$401=SPECIAL_LBL)*(INC_SPECIALS="Y"))=0,"",'Dvd Calendar'!$AE$399)))</f>
        <v/>
      </c>
      <c r="AD47" s="161">
        <f>IF(FF47="","",IF(ISNUMBER('Dvd Calendar'!$AF$399)=FALSE,"",IF((('Dvd Calendar'!$AF$401=TYPE1)*(TYPE1&lt;&gt;"")+('Dvd Calendar'!$AF$401=TYPE2)*(TYPE2&lt;&gt;"")+('Dvd Calendar'!$AF$401=TYPE3)*(TYPE3&lt;&gt;"")+('Dvd Calendar'!$AF$401=TYPE4)*(TYPE4&lt;&gt;"")+('Dvd Calendar'!$AF$401=SPECIAL_LBL)*(INC_SPECIALS="Y"))=0,"",'Dvd Calendar'!$AF$399)))</f>
        <v/>
      </c>
      <c r="AE47" s="161">
        <f>IF(FG47="","",IF(ISNUMBER('Dvd Calendar'!$AG$399)=FALSE,"",IF((('Dvd Calendar'!$AG$401=TYPE1)*(TYPE1&lt;&gt;"")+('Dvd Calendar'!$AG$401=TYPE2)*(TYPE2&lt;&gt;"")+('Dvd Calendar'!$AG$401=TYPE3)*(TYPE3&lt;&gt;"")+('Dvd Calendar'!$AG$401=TYPE4)*(TYPE4&lt;&gt;"")+('Dvd Calendar'!$AG$401=SPECIAL_LBL)*(INC_SPECIALS="Y"))=0,"",'Dvd Calendar'!$AG$399)))</f>
        <v/>
      </c>
      <c r="AF47" s="161">
        <f>IF(FH47="","",IF(ISNUMBER('Dvd Calendar'!$AH$399)=FALSE,"",IF((('Dvd Calendar'!$AH$401=TYPE1)*(TYPE1&lt;&gt;"")+('Dvd Calendar'!$AH$401=TYPE2)*(TYPE2&lt;&gt;"")+('Dvd Calendar'!$AH$401=TYPE3)*(TYPE3&lt;&gt;"")+('Dvd Calendar'!$AH$401=TYPE4)*(TYPE4&lt;&gt;"")+('Dvd Calendar'!$AH$401=SPECIAL_LBL)*(INC_SPECIALS="Y"))=0,"",'Dvd Calendar'!$AH$399)))</f>
        <v/>
      </c>
      <c r="AG47" s="161">
        <f>IF(FI47="","",IF(ISNUMBER('Dvd Calendar'!$AI$399)=FALSE,"",IF((('Dvd Calendar'!$AI$401=TYPE1)*(TYPE1&lt;&gt;"")+('Dvd Calendar'!$AI$401=TYPE2)*(TYPE2&lt;&gt;"")+('Dvd Calendar'!$AI$401=TYPE3)*(TYPE3&lt;&gt;"")+('Dvd Calendar'!$AI$401=TYPE4)*(TYPE4&lt;&gt;"")+('Dvd Calendar'!$AI$401=SPECIAL_LBL)*(INC_SPECIALS="Y"))=0,"",'Dvd Calendar'!$AI$399)))</f>
        <v/>
      </c>
      <c r="AH47" s="161">
        <f>IF(FJ47="","",IF(ISNUMBER('Dvd Calendar'!$AJ$399)=FALSE,"",IF((('Dvd Calendar'!$AJ$401=TYPE1)*(TYPE1&lt;&gt;"")+('Dvd Calendar'!$AJ$401=TYPE2)*(TYPE2&lt;&gt;"")+('Dvd Calendar'!$AJ$401=TYPE3)*(TYPE3&lt;&gt;"")+('Dvd Calendar'!$AJ$401=TYPE4)*(TYPE4&lt;&gt;"")+('Dvd Calendar'!$AJ$401=SPECIAL_LBL)*(INC_SPECIALS="Y"))=0,"",'Dvd Calendar'!$AJ$399)))</f>
        <v/>
      </c>
      <c r="AI47" s="161">
        <f>IF(FK47="","",IF(ISNUMBER('Dvd Calendar'!$AK$399)=FALSE,"",IF((('Dvd Calendar'!$AK$401=TYPE1)*(TYPE1&lt;&gt;"")+('Dvd Calendar'!$AK$401=TYPE2)*(TYPE2&lt;&gt;"")+('Dvd Calendar'!$AK$401=TYPE3)*(TYPE3&lt;&gt;"")+('Dvd Calendar'!$AK$401=TYPE4)*(TYPE4&lt;&gt;"")+('Dvd Calendar'!$AK$401=SPECIAL_LBL)*(INC_SPECIALS="Y"))=0,"",'Dvd Calendar'!$AK$399)))</f>
        <v/>
      </c>
      <c r="AJ47" s="161">
        <f>IF(FL47="","",IF(ISNUMBER('Dvd Calendar'!$AL$399)=FALSE,"",IF((('Dvd Calendar'!$AL$401=TYPE1)*(TYPE1&lt;&gt;"")+('Dvd Calendar'!$AL$401=TYPE2)*(TYPE2&lt;&gt;"")+('Dvd Calendar'!$AL$401=TYPE3)*(TYPE3&lt;&gt;"")+('Dvd Calendar'!$AL$401=TYPE4)*(TYPE4&lt;&gt;"")+('Dvd Calendar'!$AL$401=SPECIAL_LBL)*(INC_SPECIALS="Y"))=0,"",'Dvd Calendar'!$AL$399)))</f>
        <v/>
      </c>
      <c r="AK47" s="161">
        <f>IF(FM47="","",IF(ISNUMBER('Dvd Calendar'!$AM$399)=FALSE,"",IF((('Dvd Calendar'!$AM$401=TYPE1)*(TYPE1&lt;&gt;"")+('Dvd Calendar'!$AM$401=TYPE2)*(TYPE2&lt;&gt;"")+('Dvd Calendar'!$AM$401=TYPE3)*(TYPE3&lt;&gt;"")+('Dvd Calendar'!$AM$401=TYPE4)*(TYPE4&lt;&gt;"")+('Dvd Calendar'!$AM$401=SPECIAL_LBL)*(INC_SPECIALS="Y"))=0,"",'Dvd Calendar'!$AM$399)))</f>
        <v/>
      </c>
      <c r="AL47" s="161">
        <f>IF(FN47="","",IF(ISNUMBER('Dvd Calendar'!$AN$399)=FALSE,"",IF((('Dvd Calendar'!$AN$401=TYPE1)*(TYPE1&lt;&gt;"")+('Dvd Calendar'!$AN$401=TYPE2)*(TYPE2&lt;&gt;"")+('Dvd Calendar'!$AN$401=TYPE3)*(TYPE3&lt;&gt;"")+('Dvd Calendar'!$AN$401=TYPE4)*(TYPE4&lt;&gt;"")+('Dvd Calendar'!$AN$401=SPECIAL_LBL)*(INC_SPECIALS="Y"))=0,"",'Dvd Calendar'!$AN$399)))</f>
        <v/>
      </c>
      <c r="AM47" s="161">
        <f>IF(FO47="","",IF(ISNUMBER('Dvd Calendar'!$AO$399)=FALSE,"",IF((('Dvd Calendar'!$AO$401=TYPE1)*(TYPE1&lt;&gt;"")+('Dvd Calendar'!$AO$401=TYPE2)*(TYPE2&lt;&gt;"")+('Dvd Calendar'!$AO$401=TYPE3)*(TYPE3&lt;&gt;"")+('Dvd Calendar'!$AO$401=TYPE4)*(TYPE4&lt;&gt;"")+('Dvd Calendar'!$AO$401=SPECIAL_LBL)*(INC_SPECIALS="Y"))=0,"",'Dvd Calendar'!$AO$399)))</f>
        <v/>
      </c>
      <c r="AN47" s="161">
        <f>IF(FP47="","",IF(ISNUMBER('Dvd Calendar'!$AP$399)=FALSE,"",IF((('Dvd Calendar'!$AP$401=TYPE1)*(TYPE1&lt;&gt;"")+('Dvd Calendar'!$AP$401=TYPE2)*(TYPE2&lt;&gt;"")+('Dvd Calendar'!$AP$401=TYPE3)*(TYPE3&lt;&gt;"")+('Dvd Calendar'!$AP$401=TYPE4)*(TYPE4&lt;&gt;"")+('Dvd Calendar'!$AP$401=SPECIAL_LBL)*(INC_SPECIALS="Y"))=0,"",'Dvd Calendar'!$AP$399)))</f>
        <v/>
      </c>
      <c r="AO47" s="161">
        <f>IF(FQ47="","",IF(ISNUMBER('Dvd Calendar'!$AQ$399)=FALSE,"",IF((('Dvd Calendar'!$AQ$401=TYPE1)*(TYPE1&lt;&gt;"")+('Dvd Calendar'!$AQ$401=TYPE2)*(TYPE2&lt;&gt;"")+('Dvd Calendar'!$AQ$401=TYPE3)*(TYPE3&lt;&gt;"")+('Dvd Calendar'!$AQ$401=TYPE4)*(TYPE4&lt;&gt;"")+('Dvd Calendar'!$AQ$401=SPECIAL_LBL)*(INC_SPECIALS="Y"))=0,"",'Dvd Calendar'!$AQ$399)))</f>
        <v/>
      </c>
      <c r="AP47" s="161">
        <f>IF(FR47="","",IF(ISNUMBER('Dvd Calendar'!$AR$399)=FALSE,"",IF((('Dvd Calendar'!$AR$401=TYPE1)*(TYPE1&lt;&gt;"")+('Dvd Calendar'!$AR$401=TYPE2)*(TYPE2&lt;&gt;"")+('Dvd Calendar'!$AR$401=TYPE3)*(TYPE3&lt;&gt;"")+('Dvd Calendar'!$AR$401=TYPE4)*(TYPE4&lt;&gt;"")+('Dvd Calendar'!$AR$401=SPECIAL_LBL)*(INC_SPECIALS="Y"))=0,"",'Dvd Calendar'!$AR$399)))</f>
        <v/>
      </c>
      <c r="AQ47" s="161">
        <f>IF(FS47="","",IF(ISNUMBER('Dvd Calendar'!$E$404)=FALSE,"",'Dvd Calendar'!$E$404))</f>
        <v/>
      </c>
      <c r="AR47" s="161">
        <f>IF(FT47="","",IF(ISNUMBER('Dvd Calendar'!$F$404)=FALSE,"",'Dvd Calendar'!$F$404))</f>
        <v/>
      </c>
      <c r="AS47" s="161">
        <f>IF(FU47="","",IF(ISNUMBER('Dvd Calendar'!$G$404)=FALSE,"",'Dvd Calendar'!$G$404))</f>
        <v/>
      </c>
      <c r="AT47" s="161">
        <f>IF(FV47="","",IF(ISNUMBER('Dvd Calendar'!$H$404)=FALSE,"",'Dvd Calendar'!$H$404))</f>
        <v/>
      </c>
      <c r="AU47" s="161">
        <f>IF(FW47="","",IF(ISNUMBER('Dvd Calendar'!$I$404)=FALSE,"",'Dvd Calendar'!$I$404))</f>
        <v/>
      </c>
      <c r="AV47" s="161">
        <f>IF(FX47="","",IF(ISNUMBER('Dvd Calendar'!$J$404)=FALSE,"",'Dvd Calendar'!$J$404))</f>
        <v/>
      </c>
      <c r="AW47" s="161">
        <f>IF(FY47="","",IF(ISNUMBER('Dvd Calendar'!$K$404)=FALSE,"",'Dvd Calendar'!$K$404))</f>
        <v/>
      </c>
      <c r="AX47" s="161">
        <f>IF(FZ47="","",IF(ISNUMBER('Dvd Calendar'!$L$404)=FALSE,"",'Dvd Calendar'!$L$404))</f>
        <v/>
      </c>
      <c r="AY47" s="161">
        <f>IF(GA47="","",IF(ISNUMBER('Dvd Calendar'!$M$404)=FALSE,"",'Dvd Calendar'!$M$404))</f>
        <v/>
      </c>
      <c r="AZ47" s="161">
        <f>IF(GB47="","",IF(ISNUMBER('Dvd Calendar'!$N$404)=FALSE,"",'Dvd Calendar'!$N$404))</f>
        <v/>
      </c>
      <c r="BA47" s="161">
        <f>IF(GC47="","",IF(ISNUMBER('Dvd Calendar'!$O$404)=FALSE,"",'Dvd Calendar'!$O$404))</f>
        <v/>
      </c>
      <c r="BB47" s="161">
        <f>IF(GD47="","",IF(ISNUMBER('Dvd Calendar'!$P$404)=FALSE,"",'Dvd Calendar'!$P$404))</f>
        <v/>
      </c>
      <c r="BC47" s="161">
        <f>IF(GE47="","",IF(ISNUMBER('Dvd Calendar'!$Q$404)=FALSE,"",'Dvd Calendar'!$Q$404))</f>
        <v/>
      </c>
      <c r="BD47" s="161">
        <f>IF(GF47="","",IF(ISNUMBER('Dvd Calendar'!$R$404)=FALSE,"",'Dvd Calendar'!$R$404))</f>
        <v/>
      </c>
      <c r="BE47" s="161">
        <f>IF(GG47="","",IF(ISNUMBER('Dvd Calendar'!$S$404)=FALSE,"",'Dvd Calendar'!$S$404))</f>
        <v/>
      </c>
      <c r="BF47" s="161">
        <f>IF(GH47="","",IF(ISNUMBER('Dvd Calendar'!$T$404)=FALSE,"",'Dvd Calendar'!$T$404))</f>
        <v/>
      </c>
      <c r="BG47" s="161">
        <f>IF(GI47="","",IF(ISNUMBER('Dvd Calendar'!$U$404)=FALSE,"",'Dvd Calendar'!$U$404))</f>
        <v/>
      </c>
      <c r="BH47" s="161">
        <f>IF(GJ47="","",IF(ISNUMBER('Dvd Calendar'!$V$404)=FALSE,"",'Dvd Calendar'!$V$404))</f>
        <v/>
      </c>
      <c r="BI47" s="161">
        <f>IF(GK47="","",IF(ISNUMBER('Dvd Calendar'!$W$404)=FALSE,"",'Dvd Calendar'!$W$404))</f>
        <v/>
      </c>
      <c r="BJ47" s="161">
        <f>IF(GL47="","",IF(ISNUMBER('Dvd Calendar'!$X$404)=FALSE,"",'Dvd Calendar'!$X$404))</f>
        <v/>
      </c>
      <c r="BK47" s="161">
        <f>IF(GM47="","",IF(ISNUMBER('Dvd Calendar'!$Y$404)=FALSE,"",'Dvd Calendar'!$Y$404))</f>
        <v/>
      </c>
      <c r="BL47" s="161">
        <f>IF(GN47="","",IF(ISNUMBER('Dvd Calendar'!$Z$404)=FALSE,"",'Dvd Calendar'!$Z$404))</f>
        <v/>
      </c>
      <c r="BM47" s="161">
        <f>IF(GO47="","",IF(ISNUMBER('Dvd Calendar'!$AA$404)=FALSE,"",'Dvd Calendar'!$AA$404))</f>
        <v/>
      </c>
      <c r="BN47" s="161">
        <f>IF(GP47="","",IF(ISNUMBER('Dvd Calendar'!$AB$404)=FALSE,"",'Dvd Calendar'!$AB$404))</f>
        <v/>
      </c>
      <c r="BO47" s="161">
        <f>IF(GQ47="","",IF(ISNUMBER('Dvd Calendar'!$AC$404)=FALSE,"",'Dvd Calendar'!$AC$404))</f>
        <v/>
      </c>
      <c r="BQ47" s="161">
        <f>IF(C47="","",IFERROR(C47*HSI!$B$42*HSI!$G$42/HSI!$B$3,""))</f>
        <v/>
      </c>
      <c r="BR47" s="161">
        <f>IF(D47="","",IFERROR(D47*HSI!$B$42*HSI!$G$42/HSI!$B$3,""))</f>
        <v/>
      </c>
      <c r="BS47" s="161">
        <f>IF(E47="","",IFERROR(E47*HSI!$B$42*HSI!$G$42/HSI!$B$3,""))</f>
        <v/>
      </c>
      <c r="BT47" s="161">
        <f>IF(F47="","",IFERROR(F47*HSI!$B$42*HSI!$G$42/HSI!$B$3,""))</f>
        <v/>
      </c>
      <c r="BU47" s="161">
        <f>IF(G47="","",IFERROR(G47*HSI!$B$42*HSI!$G$42/HSI!$B$3,""))</f>
        <v/>
      </c>
      <c r="BV47" s="161">
        <f>IF(H47="","",IFERROR(H47*HSI!$B$42*HSI!$G$42/HSI!$B$3,""))</f>
        <v/>
      </c>
      <c r="BW47" s="161">
        <f>IF(I47="","",IFERROR(I47*HSI!$B$42*HSI!$G$42/HSI!$B$3,""))</f>
        <v/>
      </c>
      <c r="BX47" s="161">
        <f>IF(J47="","",IFERROR(J47*HSI!$B$42*HSI!$G$42/HSI!$B$3,""))</f>
        <v/>
      </c>
      <c r="BY47" s="161">
        <f>IF(K47="","",IFERROR(K47*HSI!$B$42*HSI!$G$42/HSI!$B$3,""))</f>
        <v/>
      </c>
      <c r="BZ47" s="161">
        <f>IF(L47="","",IFERROR(L47*HSI!$B$42*HSI!$G$42/HSI!$B$3,""))</f>
        <v/>
      </c>
      <c r="CA47" s="161">
        <f>IF(M47="","",IFERROR(M47*HSI!$B$42*HSI!$G$42/HSI!$B$3,""))</f>
        <v/>
      </c>
      <c r="CB47" s="161">
        <f>IF(N47="","",IFERROR(N47*HSI!$B$42*HSI!$G$42/HSI!$B$3,""))</f>
        <v/>
      </c>
      <c r="CC47" s="161">
        <f>IF(O47="","",IFERROR(O47*HSI!$B$42*HSI!$G$42/HSI!$B$3,""))</f>
        <v/>
      </c>
      <c r="CD47" s="161">
        <f>IF(P47="","",IFERROR(P47*HSI!$B$42*HSI!$G$42/HSI!$B$3,""))</f>
        <v/>
      </c>
      <c r="CE47" s="161">
        <f>IF(Q47="","",IFERROR(Q47*HSI!$B$42*HSI!$G$42/HSI!$B$3,""))</f>
        <v/>
      </c>
      <c r="CF47" s="161">
        <f>IF(R47="","",IFERROR(R47*HSI!$B$42*HSI!$G$42/HSI!$B$3,""))</f>
        <v/>
      </c>
      <c r="CG47" s="161">
        <f>IF(S47="","",IFERROR(S47*HSI!$B$42*HSI!$G$42/HSI!$B$3,""))</f>
        <v/>
      </c>
      <c r="CH47" s="161">
        <f>IF(T47="","",IFERROR(T47*HSI!$B$42*HSI!$G$42/HSI!$B$3,""))</f>
        <v/>
      </c>
      <c r="CI47" s="161">
        <f>IF(U47="","",IFERROR(U47*HSI!$B$42*HSI!$G$42/HSI!$B$3,""))</f>
        <v/>
      </c>
      <c r="CJ47" s="161">
        <f>IF(V47="","",IFERROR(V47*HSI!$B$42*HSI!$G$42/HSI!$B$3,""))</f>
        <v/>
      </c>
      <c r="CK47" s="161">
        <f>IF(W47="","",IFERROR(W47*HSI!$B$42*HSI!$G$42/HSI!$B$3,""))</f>
        <v/>
      </c>
      <c r="CL47" s="161">
        <f>IF(X47="","",IFERROR(X47*HSI!$B$42*HSI!$G$42/HSI!$B$3,""))</f>
        <v/>
      </c>
      <c r="CM47" s="161">
        <f>IF(Y47="","",IFERROR(Y47*HSI!$B$42*HSI!$G$42/HSI!$B$3,""))</f>
        <v/>
      </c>
      <c r="CN47" s="161">
        <f>IF(Z47="","",IFERROR(Z47*HSI!$B$42*HSI!$G$42/HSI!$B$3,""))</f>
        <v/>
      </c>
      <c r="CO47" s="161">
        <f>IF(AA47="","",IFERROR(AA47*HSI!$B$42*HSI!$G$42/HSI!$B$3,""))</f>
        <v/>
      </c>
      <c r="CP47" s="161">
        <f>IF(AB47="","",IFERROR(AB47*HSI!$B$42*HSI!$G$42/HSI!$B$3,""))</f>
        <v/>
      </c>
      <c r="CQ47" s="161">
        <f>IF(AC47="","",IFERROR(AC47*HSI!$B$42*HSI!$G$42/HSI!$B$3,""))</f>
        <v/>
      </c>
      <c r="CR47" s="161">
        <f>IF(AD47="","",IFERROR(AD47*HSI!$B$42*HSI!$G$42/HSI!$B$3,""))</f>
        <v/>
      </c>
      <c r="CS47" s="161">
        <f>IF(AE47="","",IFERROR(AE47*HSI!$B$42*HSI!$G$42/HSI!$B$3,""))</f>
        <v/>
      </c>
      <c r="CT47" s="161">
        <f>IF(AF47="","",IFERROR(AF47*HSI!$B$42*HSI!$G$42/HSI!$B$3,""))</f>
        <v/>
      </c>
      <c r="CU47" s="161">
        <f>IF(AG47="","",IFERROR(AG47*HSI!$B$42*HSI!$G$42/HSI!$B$3,""))</f>
        <v/>
      </c>
      <c r="CV47" s="161">
        <f>IF(AH47="","",IFERROR(AH47*HSI!$B$42*HSI!$G$42/HSI!$B$3,""))</f>
        <v/>
      </c>
      <c r="CW47" s="161">
        <f>IF(AI47="","",IFERROR(AI47*HSI!$B$42*HSI!$G$42/HSI!$B$3,""))</f>
        <v/>
      </c>
      <c r="CX47" s="161">
        <f>IF(AJ47="","",IFERROR(AJ47*HSI!$B$42*HSI!$G$42/HSI!$B$3,""))</f>
        <v/>
      </c>
      <c r="CY47" s="161">
        <f>IF(AK47="","",IFERROR(AK47*HSI!$B$42*HSI!$G$42/HSI!$B$3,""))</f>
        <v/>
      </c>
      <c r="CZ47" s="161">
        <f>IF(AL47="","",IFERROR(AL47*HSI!$B$42*HSI!$G$42/HSI!$B$3,""))</f>
        <v/>
      </c>
      <c r="DA47" s="161">
        <f>IF(AM47="","",IFERROR(AM47*HSI!$B$42*HSI!$G$42/HSI!$B$3,""))</f>
        <v/>
      </c>
      <c r="DB47" s="161">
        <f>IF(AN47="","",IFERROR(AN47*HSI!$B$42*HSI!$G$42/HSI!$B$3,""))</f>
        <v/>
      </c>
      <c r="DC47" s="161">
        <f>IF(AO47="","",IFERROR(AO47*HSI!$B$42*HSI!$G$42/HSI!$B$3,""))</f>
        <v/>
      </c>
      <c r="DD47" s="161">
        <f>IF(AP47="","",IFERROR(AP47*HSI!$B$42*HSI!$G$42/HSI!$B$3,""))</f>
        <v/>
      </c>
      <c r="DE47" s="161">
        <f>IF(AQ47="","",IFERROR(AQ47*HSI!$B$42*HSI!$G$42/HSI!$B$3,""))</f>
        <v/>
      </c>
      <c r="DF47" s="161">
        <f>IF(AR47="","",IFERROR(AR47*HSI!$B$42*HSI!$G$42/HSI!$B$3,""))</f>
        <v/>
      </c>
      <c r="DG47" s="161">
        <f>IF(AS47="","",IFERROR(AS47*HSI!$B$42*HSI!$G$42/HSI!$B$3,""))</f>
        <v/>
      </c>
      <c r="DH47" s="161">
        <f>IF(AT47="","",IFERROR(AT47*HSI!$B$42*HSI!$G$42/HSI!$B$3,""))</f>
        <v/>
      </c>
      <c r="DI47" s="161">
        <f>IF(AU47="","",IFERROR(AU47*HSI!$B$42*HSI!$G$42/HSI!$B$3,""))</f>
        <v/>
      </c>
      <c r="DJ47" s="161">
        <f>IF(AV47="","",IFERROR(AV47*HSI!$B$42*HSI!$G$42/HSI!$B$3,""))</f>
        <v/>
      </c>
      <c r="DK47" s="161">
        <f>IF(AW47="","",IFERROR(AW47*HSI!$B$42*HSI!$G$42/HSI!$B$3,""))</f>
        <v/>
      </c>
      <c r="DL47" s="161">
        <f>IF(AX47="","",IFERROR(AX47*HSI!$B$42*HSI!$G$42/HSI!$B$3,""))</f>
        <v/>
      </c>
      <c r="DM47" s="161">
        <f>IF(AY47="","",IFERROR(AY47*HSI!$B$42*HSI!$G$42/HSI!$B$3,""))</f>
        <v/>
      </c>
      <c r="DN47" s="161">
        <f>IF(AZ47="","",IFERROR(AZ47*HSI!$B$42*HSI!$G$42/HSI!$B$3,""))</f>
        <v/>
      </c>
      <c r="DO47" s="161">
        <f>IF(BA47="","",IFERROR(BA47*HSI!$B$42*HSI!$G$42/HSI!$B$3,""))</f>
        <v/>
      </c>
      <c r="DP47" s="161">
        <f>IF(BB47="","",IFERROR(BB47*HSI!$B$42*HSI!$G$42/HSI!$B$3,""))</f>
        <v/>
      </c>
      <c r="DQ47" s="161">
        <f>IF(BC47="","",IFERROR(BC47*HSI!$B$42*HSI!$G$42/HSI!$B$3,""))</f>
        <v/>
      </c>
      <c r="DR47" s="161">
        <f>IF(BD47="","",IFERROR(BD47*HSI!$B$42*HSI!$G$42/HSI!$B$3,""))</f>
        <v/>
      </c>
      <c r="DS47" s="161">
        <f>IF(BE47="","",IFERROR(BE47*HSI!$B$42*HSI!$G$42/HSI!$B$3,""))</f>
        <v/>
      </c>
      <c r="DT47" s="161">
        <f>IF(BF47="","",IFERROR(BF47*HSI!$B$42*HSI!$G$42/HSI!$B$3,""))</f>
        <v/>
      </c>
      <c r="DU47" s="161">
        <f>IF(BG47="","",IFERROR(BG47*HSI!$B$42*HSI!$G$42/HSI!$B$3,""))</f>
        <v/>
      </c>
      <c r="DV47" s="161">
        <f>IF(BH47="","",IFERROR(BH47*HSI!$B$42*HSI!$G$42/HSI!$B$3,""))</f>
        <v/>
      </c>
      <c r="DW47" s="161">
        <f>IF(BI47="","",IFERROR(BI47*HSI!$B$42*HSI!$G$42/HSI!$B$3,""))</f>
        <v/>
      </c>
      <c r="DX47" s="161">
        <f>IF(BJ47="","",IFERROR(BJ47*HSI!$B$42*HSI!$G$42/HSI!$B$3,""))</f>
        <v/>
      </c>
      <c r="DY47" s="161">
        <f>IF(BK47="","",IFERROR(BK47*HSI!$B$42*HSI!$G$42/HSI!$B$3,""))</f>
        <v/>
      </c>
      <c r="DZ47" s="161">
        <f>IF(BL47="","",IFERROR(BL47*HSI!$B$42*HSI!$G$42/HSI!$B$3,""))</f>
        <v/>
      </c>
      <c r="EA47" s="161">
        <f>IF(BM47="","",IFERROR(BM47*HSI!$B$42*HSI!$G$42/HSI!$B$3,""))</f>
        <v/>
      </c>
      <c r="EB47" s="161">
        <f>IF(BN47="","",IFERROR(BN47*HSI!$B$42*HSI!$G$42/HSI!$B$3,""))</f>
        <v/>
      </c>
      <c r="EC47" s="161">
        <f>IF(BO47="","",IFERROR(BO47*HSI!$B$42*HSI!$G$42/HSI!$B$3,""))</f>
        <v/>
      </c>
      <c r="EE47" s="121">
        <f>IF(N('Dvd Calendar'!$E$396)=0,"",IF(('Dvd Calendar'!$E$396&gt;=GRID_FROM)*('Dvd Calendar'!$E$396&lt;=GRID_TO)*((('Dvd Calendar'!$E$396&lt;=VAL_DATE)+(COUNTIF('Dvd Calendar'!$E$403:$AR$403,'Dvd Calendar'!$E$396)=0))&gt;0)=0,"",'Dvd Calendar'!$E$396*1000000000+ISNUMBER('Dvd Calendar'!$E$399)*100000000+('Dvd Calendar'!$E$401=SPECIAL_LBL)*10000000+(N('Dvd Calendar'!$E$395)&gt;0)*(N('Dvd Calendar'!$E$395)&lt;=VAL_SERIAL)*1000000+36*1000+1))</f>
        <v/>
      </c>
      <c r="EF47" s="121">
        <f>IF(N('Dvd Calendar'!$F$396)=0,"",IF(('Dvd Calendar'!$F$396&gt;=GRID_FROM)*('Dvd Calendar'!$F$396&lt;=GRID_TO)*((('Dvd Calendar'!$F$396&lt;=VAL_DATE)+(COUNTIF('Dvd Calendar'!$E$403:$AR$403,'Dvd Calendar'!$F$396)=0))&gt;0)=0,"",'Dvd Calendar'!$F$396*1000000000+ISNUMBER('Dvd Calendar'!$F$399)*100000000+('Dvd Calendar'!$F$401=SPECIAL_LBL)*10000000+(N('Dvd Calendar'!$F$395)&gt;0)*(N('Dvd Calendar'!$F$395)&lt;=VAL_SERIAL)*1000000+36*1000+2))</f>
        <v/>
      </c>
      <c r="EG47" s="121">
        <f>IF(N('Dvd Calendar'!$G$396)=0,"",IF(('Dvd Calendar'!$G$396&gt;=GRID_FROM)*('Dvd Calendar'!$G$396&lt;=GRID_TO)*((('Dvd Calendar'!$G$396&lt;=VAL_DATE)+(COUNTIF('Dvd Calendar'!$E$403:$AR$403,'Dvd Calendar'!$G$396)=0))&gt;0)=0,"",'Dvd Calendar'!$G$396*1000000000+ISNUMBER('Dvd Calendar'!$G$399)*100000000+('Dvd Calendar'!$G$401=SPECIAL_LBL)*10000000+(N('Dvd Calendar'!$G$395)&gt;0)*(N('Dvd Calendar'!$G$395)&lt;=VAL_SERIAL)*1000000+36*1000+3))</f>
        <v/>
      </c>
      <c r="EH47" s="121">
        <f>IF(N('Dvd Calendar'!$H$396)=0,"",IF(('Dvd Calendar'!$H$396&gt;=GRID_FROM)*('Dvd Calendar'!$H$396&lt;=GRID_TO)*((('Dvd Calendar'!$H$396&lt;=VAL_DATE)+(COUNTIF('Dvd Calendar'!$E$403:$AR$403,'Dvd Calendar'!$H$396)=0))&gt;0)=0,"",'Dvd Calendar'!$H$396*1000000000+ISNUMBER('Dvd Calendar'!$H$399)*100000000+('Dvd Calendar'!$H$401=SPECIAL_LBL)*10000000+(N('Dvd Calendar'!$H$395)&gt;0)*(N('Dvd Calendar'!$H$395)&lt;=VAL_SERIAL)*1000000+36*1000+4))</f>
        <v/>
      </c>
      <c r="EI47" s="121">
        <f>IF(N('Dvd Calendar'!$I$396)=0,"",IF(('Dvd Calendar'!$I$396&gt;=GRID_FROM)*('Dvd Calendar'!$I$396&lt;=GRID_TO)*((('Dvd Calendar'!$I$396&lt;=VAL_DATE)+(COUNTIF('Dvd Calendar'!$E$403:$AR$403,'Dvd Calendar'!$I$396)=0))&gt;0)=0,"",'Dvd Calendar'!$I$396*1000000000+ISNUMBER('Dvd Calendar'!$I$399)*100000000+('Dvd Calendar'!$I$401=SPECIAL_LBL)*10000000+(N('Dvd Calendar'!$I$395)&gt;0)*(N('Dvd Calendar'!$I$395)&lt;=VAL_SERIAL)*1000000+36*1000+5))</f>
        <v/>
      </c>
      <c r="EJ47" s="121">
        <f>IF(N('Dvd Calendar'!$J$396)=0,"",IF(('Dvd Calendar'!$J$396&gt;=GRID_FROM)*('Dvd Calendar'!$J$396&lt;=GRID_TO)*((('Dvd Calendar'!$J$396&lt;=VAL_DATE)+(COUNTIF('Dvd Calendar'!$E$403:$AR$403,'Dvd Calendar'!$J$396)=0))&gt;0)=0,"",'Dvd Calendar'!$J$396*1000000000+ISNUMBER('Dvd Calendar'!$J$399)*100000000+('Dvd Calendar'!$J$401=SPECIAL_LBL)*10000000+(N('Dvd Calendar'!$J$395)&gt;0)*(N('Dvd Calendar'!$J$395)&lt;=VAL_SERIAL)*1000000+36*1000+6))</f>
        <v/>
      </c>
      <c r="EK47" s="121">
        <f>IF(N('Dvd Calendar'!$K$396)=0,"",IF(('Dvd Calendar'!$K$396&gt;=GRID_FROM)*('Dvd Calendar'!$K$396&lt;=GRID_TO)*((('Dvd Calendar'!$K$396&lt;=VAL_DATE)+(COUNTIF('Dvd Calendar'!$E$403:$AR$403,'Dvd Calendar'!$K$396)=0))&gt;0)=0,"",'Dvd Calendar'!$K$396*1000000000+ISNUMBER('Dvd Calendar'!$K$399)*100000000+('Dvd Calendar'!$K$401=SPECIAL_LBL)*10000000+(N('Dvd Calendar'!$K$395)&gt;0)*(N('Dvd Calendar'!$K$395)&lt;=VAL_SERIAL)*1000000+36*1000+7))</f>
        <v/>
      </c>
      <c r="EL47" s="121">
        <f>IF(N('Dvd Calendar'!$L$396)=0,"",IF(('Dvd Calendar'!$L$396&gt;=GRID_FROM)*('Dvd Calendar'!$L$396&lt;=GRID_TO)*((('Dvd Calendar'!$L$396&lt;=VAL_DATE)+(COUNTIF('Dvd Calendar'!$E$403:$AR$403,'Dvd Calendar'!$L$396)=0))&gt;0)=0,"",'Dvd Calendar'!$L$396*1000000000+ISNUMBER('Dvd Calendar'!$L$399)*100000000+('Dvd Calendar'!$L$401=SPECIAL_LBL)*10000000+(N('Dvd Calendar'!$L$395)&gt;0)*(N('Dvd Calendar'!$L$395)&lt;=VAL_SERIAL)*1000000+36*1000+8))</f>
        <v/>
      </c>
      <c r="EM47" s="121">
        <f>IF(N('Dvd Calendar'!$M$396)=0,"",IF(('Dvd Calendar'!$M$396&gt;=GRID_FROM)*('Dvd Calendar'!$M$396&lt;=GRID_TO)*((('Dvd Calendar'!$M$396&lt;=VAL_DATE)+(COUNTIF('Dvd Calendar'!$E$403:$AR$403,'Dvd Calendar'!$M$396)=0))&gt;0)=0,"",'Dvd Calendar'!$M$396*1000000000+ISNUMBER('Dvd Calendar'!$M$399)*100000000+('Dvd Calendar'!$M$401=SPECIAL_LBL)*10000000+(N('Dvd Calendar'!$M$395)&gt;0)*(N('Dvd Calendar'!$M$395)&lt;=VAL_SERIAL)*1000000+36*1000+9))</f>
        <v/>
      </c>
      <c r="EN47" s="121">
        <f>IF(N('Dvd Calendar'!$N$396)=0,"",IF(('Dvd Calendar'!$N$396&gt;=GRID_FROM)*('Dvd Calendar'!$N$396&lt;=GRID_TO)*((('Dvd Calendar'!$N$396&lt;=VAL_DATE)+(COUNTIF('Dvd Calendar'!$E$403:$AR$403,'Dvd Calendar'!$N$396)=0))&gt;0)=0,"",'Dvd Calendar'!$N$396*1000000000+ISNUMBER('Dvd Calendar'!$N$399)*100000000+('Dvd Calendar'!$N$401=SPECIAL_LBL)*10000000+(N('Dvd Calendar'!$N$395)&gt;0)*(N('Dvd Calendar'!$N$395)&lt;=VAL_SERIAL)*1000000+36*1000+10))</f>
        <v/>
      </c>
      <c r="EO47" s="121">
        <f>IF(N('Dvd Calendar'!$O$396)=0,"",IF(('Dvd Calendar'!$O$396&gt;=GRID_FROM)*('Dvd Calendar'!$O$396&lt;=GRID_TO)*((('Dvd Calendar'!$O$396&lt;=VAL_DATE)+(COUNTIF('Dvd Calendar'!$E$403:$AR$403,'Dvd Calendar'!$O$396)=0))&gt;0)=0,"",'Dvd Calendar'!$O$396*1000000000+ISNUMBER('Dvd Calendar'!$O$399)*100000000+('Dvd Calendar'!$O$401=SPECIAL_LBL)*10000000+(N('Dvd Calendar'!$O$395)&gt;0)*(N('Dvd Calendar'!$O$395)&lt;=VAL_SERIAL)*1000000+36*1000+11))</f>
        <v/>
      </c>
      <c r="EP47" s="121">
        <f>IF(N('Dvd Calendar'!$P$396)=0,"",IF(('Dvd Calendar'!$P$396&gt;=GRID_FROM)*('Dvd Calendar'!$P$396&lt;=GRID_TO)*((('Dvd Calendar'!$P$396&lt;=VAL_DATE)+(COUNTIF('Dvd Calendar'!$E$403:$AR$403,'Dvd Calendar'!$P$396)=0))&gt;0)=0,"",'Dvd Calendar'!$P$396*1000000000+ISNUMBER('Dvd Calendar'!$P$399)*100000000+('Dvd Calendar'!$P$401=SPECIAL_LBL)*10000000+(N('Dvd Calendar'!$P$395)&gt;0)*(N('Dvd Calendar'!$P$395)&lt;=VAL_SERIAL)*1000000+36*1000+12))</f>
        <v/>
      </c>
      <c r="EQ47" s="121">
        <f>IF(N('Dvd Calendar'!$Q$396)=0,"",IF(('Dvd Calendar'!$Q$396&gt;=GRID_FROM)*('Dvd Calendar'!$Q$396&lt;=GRID_TO)*((('Dvd Calendar'!$Q$396&lt;=VAL_DATE)+(COUNTIF('Dvd Calendar'!$E$403:$AR$403,'Dvd Calendar'!$Q$396)=0))&gt;0)=0,"",'Dvd Calendar'!$Q$396*1000000000+ISNUMBER('Dvd Calendar'!$Q$399)*100000000+('Dvd Calendar'!$Q$401=SPECIAL_LBL)*10000000+(N('Dvd Calendar'!$Q$395)&gt;0)*(N('Dvd Calendar'!$Q$395)&lt;=VAL_SERIAL)*1000000+36*1000+13))</f>
        <v/>
      </c>
      <c r="ER47" s="121">
        <f>IF(N('Dvd Calendar'!$R$396)=0,"",IF(('Dvd Calendar'!$R$396&gt;=GRID_FROM)*('Dvd Calendar'!$R$396&lt;=GRID_TO)*((('Dvd Calendar'!$R$396&lt;=VAL_DATE)+(COUNTIF('Dvd Calendar'!$E$403:$AR$403,'Dvd Calendar'!$R$396)=0))&gt;0)=0,"",'Dvd Calendar'!$R$396*1000000000+ISNUMBER('Dvd Calendar'!$R$399)*100000000+('Dvd Calendar'!$R$401=SPECIAL_LBL)*10000000+(N('Dvd Calendar'!$R$395)&gt;0)*(N('Dvd Calendar'!$R$395)&lt;=VAL_SERIAL)*1000000+36*1000+14))</f>
        <v/>
      </c>
      <c r="ES47" s="121">
        <f>IF(N('Dvd Calendar'!$S$396)=0,"",IF(('Dvd Calendar'!$S$396&gt;=GRID_FROM)*('Dvd Calendar'!$S$396&lt;=GRID_TO)*((('Dvd Calendar'!$S$396&lt;=VAL_DATE)+(COUNTIF('Dvd Calendar'!$E$403:$AR$403,'Dvd Calendar'!$S$396)=0))&gt;0)=0,"",'Dvd Calendar'!$S$396*1000000000+ISNUMBER('Dvd Calendar'!$S$399)*100000000+('Dvd Calendar'!$S$401=SPECIAL_LBL)*10000000+(N('Dvd Calendar'!$S$395)&gt;0)*(N('Dvd Calendar'!$S$395)&lt;=VAL_SERIAL)*1000000+36*1000+15))</f>
        <v/>
      </c>
      <c r="ET47" s="121">
        <f>IF(N('Dvd Calendar'!$T$396)=0,"",IF(('Dvd Calendar'!$T$396&gt;=GRID_FROM)*('Dvd Calendar'!$T$396&lt;=GRID_TO)*((('Dvd Calendar'!$T$396&lt;=VAL_DATE)+(COUNTIF('Dvd Calendar'!$E$403:$AR$403,'Dvd Calendar'!$T$396)=0))&gt;0)=0,"",'Dvd Calendar'!$T$396*1000000000+ISNUMBER('Dvd Calendar'!$T$399)*100000000+('Dvd Calendar'!$T$401=SPECIAL_LBL)*10000000+(N('Dvd Calendar'!$T$395)&gt;0)*(N('Dvd Calendar'!$T$395)&lt;=VAL_SERIAL)*1000000+36*1000+16))</f>
        <v/>
      </c>
      <c r="EU47" s="121">
        <f>IF(N('Dvd Calendar'!$U$396)=0,"",IF(('Dvd Calendar'!$U$396&gt;=GRID_FROM)*('Dvd Calendar'!$U$396&lt;=GRID_TO)*((('Dvd Calendar'!$U$396&lt;=VAL_DATE)+(COUNTIF('Dvd Calendar'!$E$403:$AR$403,'Dvd Calendar'!$U$396)=0))&gt;0)=0,"",'Dvd Calendar'!$U$396*1000000000+ISNUMBER('Dvd Calendar'!$U$399)*100000000+('Dvd Calendar'!$U$401=SPECIAL_LBL)*10000000+(N('Dvd Calendar'!$U$395)&gt;0)*(N('Dvd Calendar'!$U$395)&lt;=VAL_SERIAL)*1000000+36*1000+17))</f>
        <v/>
      </c>
      <c r="EV47" s="121">
        <f>IF(N('Dvd Calendar'!$V$396)=0,"",IF(('Dvd Calendar'!$V$396&gt;=GRID_FROM)*('Dvd Calendar'!$V$396&lt;=GRID_TO)*((('Dvd Calendar'!$V$396&lt;=VAL_DATE)+(COUNTIF('Dvd Calendar'!$E$403:$AR$403,'Dvd Calendar'!$V$396)=0))&gt;0)=0,"",'Dvd Calendar'!$V$396*1000000000+ISNUMBER('Dvd Calendar'!$V$399)*100000000+('Dvd Calendar'!$V$401=SPECIAL_LBL)*10000000+(N('Dvd Calendar'!$V$395)&gt;0)*(N('Dvd Calendar'!$V$395)&lt;=VAL_SERIAL)*1000000+36*1000+18))</f>
        <v/>
      </c>
      <c r="EW47" s="121">
        <f>IF(N('Dvd Calendar'!$W$396)=0,"",IF(('Dvd Calendar'!$W$396&gt;=GRID_FROM)*('Dvd Calendar'!$W$396&lt;=GRID_TO)*((('Dvd Calendar'!$W$396&lt;=VAL_DATE)+(COUNTIF('Dvd Calendar'!$E$403:$AR$403,'Dvd Calendar'!$W$396)=0))&gt;0)=0,"",'Dvd Calendar'!$W$396*1000000000+ISNUMBER('Dvd Calendar'!$W$399)*100000000+('Dvd Calendar'!$W$401=SPECIAL_LBL)*10000000+(N('Dvd Calendar'!$W$395)&gt;0)*(N('Dvd Calendar'!$W$395)&lt;=VAL_SERIAL)*1000000+36*1000+19))</f>
        <v/>
      </c>
      <c r="EX47" s="121">
        <f>IF(N('Dvd Calendar'!$X$396)=0,"",IF(('Dvd Calendar'!$X$396&gt;=GRID_FROM)*('Dvd Calendar'!$X$396&lt;=GRID_TO)*((('Dvd Calendar'!$X$396&lt;=VAL_DATE)+(COUNTIF('Dvd Calendar'!$E$403:$AR$403,'Dvd Calendar'!$X$396)=0))&gt;0)=0,"",'Dvd Calendar'!$X$396*1000000000+ISNUMBER('Dvd Calendar'!$X$399)*100000000+('Dvd Calendar'!$X$401=SPECIAL_LBL)*10000000+(N('Dvd Calendar'!$X$395)&gt;0)*(N('Dvd Calendar'!$X$395)&lt;=VAL_SERIAL)*1000000+36*1000+20))</f>
        <v/>
      </c>
      <c r="EY47" s="121">
        <f>IF(N('Dvd Calendar'!$Y$396)=0,"",IF(('Dvd Calendar'!$Y$396&gt;=GRID_FROM)*('Dvd Calendar'!$Y$396&lt;=GRID_TO)*((('Dvd Calendar'!$Y$396&lt;=VAL_DATE)+(COUNTIF('Dvd Calendar'!$E$403:$AR$403,'Dvd Calendar'!$Y$396)=0))&gt;0)=0,"",'Dvd Calendar'!$Y$396*1000000000+ISNUMBER('Dvd Calendar'!$Y$399)*100000000+('Dvd Calendar'!$Y$401=SPECIAL_LBL)*10000000+(N('Dvd Calendar'!$Y$395)&gt;0)*(N('Dvd Calendar'!$Y$395)&lt;=VAL_SERIAL)*1000000+36*1000+21))</f>
        <v/>
      </c>
      <c r="EZ47" s="121">
        <f>IF(N('Dvd Calendar'!$Z$396)=0,"",IF(('Dvd Calendar'!$Z$396&gt;=GRID_FROM)*('Dvd Calendar'!$Z$396&lt;=GRID_TO)*((('Dvd Calendar'!$Z$396&lt;=VAL_DATE)+(COUNTIF('Dvd Calendar'!$E$403:$AR$403,'Dvd Calendar'!$Z$396)=0))&gt;0)=0,"",'Dvd Calendar'!$Z$396*1000000000+ISNUMBER('Dvd Calendar'!$Z$399)*100000000+('Dvd Calendar'!$Z$401=SPECIAL_LBL)*10000000+(N('Dvd Calendar'!$Z$395)&gt;0)*(N('Dvd Calendar'!$Z$395)&lt;=VAL_SERIAL)*1000000+36*1000+22))</f>
        <v/>
      </c>
      <c r="FA47" s="121">
        <f>IF(N('Dvd Calendar'!$AA$396)=0,"",IF(('Dvd Calendar'!$AA$396&gt;=GRID_FROM)*('Dvd Calendar'!$AA$396&lt;=GRID_TO)*((('Dvd Calendar'!$AA$396&lt;=VAL_DATE)+(COUNTIF('Dvd Calendar'!$E$403:$AR$403,'Dvd Calendar'!$AA$396)=0))&gt;0)=0,"",'Dvd Calendar'!$AA$396*1000000000+ISNUMBER('Dvd Calendar'!$AA$399)*100000000+('Dvd Calendar'!$AA$401=SPECIAL_LBL)*10000000+(N('Dvd Calendar'!$AA$395)&gt;0)*(N('Dvd Calendar'!$AA$395)&lt;=VAL_SERIAL)*1000000+36*1000+23))</f>
        <v/>
      </c>
      <c r="FB47" s="121">
        <f>IF(N('Dvd Calendar'!$AB$396)=0,"",IF(('Dvd Calendar'!$AB$396&gt;=GRID_FROM)*('Dvd Calendar'!$AB$396&lt;=GRID_TO)*((('Dvd Calendar'!$AB$396&lt;=VAL_DATE)+(COUNTIF('Dvd Calendar'!$E$403:$AR$403,'Dvd Calendar'!$AB$396)=0))&gt;0)=0,"",'Dvd Calendar'!$AB$396*1000000000+ISNUMBER('Dvd Calendar'!$AB$399)*100000000+('Dvd Calendar'!$AB$401=SPECIAL_LBL)*10000000+(N('Dvd Calendar'!$AB$395)&gt;0)*(N('Dvd Calendar'!$AB$395)&lt;=VAL_SERIAL)*1000000+36*1000+24))</f>
        <v/>
      </c>
      <c r="FC47" s="121">
        <f>IF(N('Dvd Calendar'!$AC$396)=0,"",IF(('Dvd Calendar'!$AC$396&gt;=GRID_FROM)*('Dvd Calendar'!$AC$396&lt;=GRID_TO)*((('Dvd Calendar'!$AC$396&lt;=VAL_DATE)+(COUNTIF('Dvd Calendar'!$E$403:$AR$403,'Dvd Calendar'!$AC$396)=0))&gt;0)=0,"",'Dvd Calendar'!$AC$396*1000000000+ISNUMBER('Dvd Calendar'!$AC$399)*100000000+('Dvd Calendar'!$AC$401=SPECIAL_LBL)*10000000+(N('Dvd Calendar'!$AC$395)&gt;0)*(N('Dvd Calendar'!$AC$395)&lt;=VAL_SERIAL)*1000000+36*1000+25))</f>
        <v/>
      </c>
      <c r="FD47" s="121">
        <f>IF(N('Dvd Calendar'!$AD$396)=0,"",IF(('Dvd Calendar'!$AD$396&gt;=GRID_FROM)*('Dvd Calendar'!$AD$396&lt;=GRID_TO)*((('Dvd Calendar'!$AD$396&lt;=VAL_DATE)+(COUNTIF('Dvd Calendar'!$E$403:$AR$403,'Dvd Calendar'!$AD$396)=0))&gt;0)=0,"",'Dvd Calendar'!$AD$396*1000000000+ISNUMBER('Dvd Calendar'!$AD$399)*100000000+('Dvd Calendar'!$AD$401=SPECIAL_LBL)*10000000+(N('Dvd Calendar'!$AD$395)&gt;0)*(N('Dvd Calendar'!$AD$395)&lt;=VAL_SERIAL)*1000000+36*1000+26))</f>
        <v/>
      </c>
      <c r="FE47" s="121">
        <f>IF(N('Dvd Calendar'!$AE$396)=0,"",IF(('Dvd Calendar'!$AE$396&gt;=GRID_FROM)*('Dvd Calendar'!$AE$396&lt;=GRID_TO)*((('Dvd Calendar'!$AE$396&lt;=VAL_DATE)+(COUNTIF('Dvd Calendar'!$E$403:$AR$403,'Dvd Calendar'!$AE$396)=0))&gt;0)=0,"",'Dvd Calendar'!$AE$396*1000000000+ISNUMBER('Dvd Calendar'!$AE$399)*100000000+('Dvd Calendar'!$AE$401=SPECIAL_LBL)*10000000+(N('Dvd Calendar'!$AE$395)&gt;0)*(N('Dvd Calendar'!$AE$395)&lt;=VAL_SERIAL)*1000000+36*1000+27))</f>
        <v/>
      </c>
      <c r="FF47" s="121">
        <f>IF(N('Dvd Calendar'!$AF$396)=0,"",IF(('Dvd Calendar'!$AF$396&gt;=GRID_FROM)*('Dvd Calendar'!$AF$396&lt;=GRID_TO)*((('Dvd Calendar'!$AF$396&lt;=VAL_DATE)+(COUNTIF('Dvd Calendar'!$E$403:$AR$403,'Dvd Calendar'!$AF$396)=0))&gt;0)=0,"",'Dvd Calendar'!$AF$396*1000000000+ISNUMBER('Dvd Calendar'!$AF$399)*100000000+('Dvd Calendar'!$AF$401=SPECIAL_LBL)*10000000+(N('Dvd Calendar'!$AF$395)&gt;0)*(N('Dvd Calendar'!$AF$395)&lt;=VAL_SERIAL)*1000000+36*1000+28))</f>
        <v/>
      </c>
      <c r="FG47" s="121">
        <f>IF(N('Dvd Calendar'!$AG$396)=0,"",IF(('Dvd Calendar'!$AG$396&gt;=GRID_FROM)*('Dvd Calendar'!$AG$396&lt;=GRID_TO)*((('Dvd Calendar'!$AG$396&lt;=VAL_DATE)+(COUNTIF('Dvd Calendar'!$E$403:$AR$403,'Dvd Calendar'!$AG$396)=0))&gt;0)=0,"",'Dvd Calendar'!$AG$396*1000000000+ISNUMBER('Dvd Calendar'!$AG$399)*100000000+('Dvd Calendar'!$AG$401=SPECIAL_LBL)*10000000+(N('Dvd Calendar'!$AG$395)&gt;0)*(N('Dvd Calendar'!$AG$395)&lt;=VAL_SERIAL)*1000000+36*1000+29))</f>
        <v/>
      </c>
      <c r="FH47" s="121">
        <f>IF(N('Dvd Calendar'!$AH$396)=0,"",IF(('Dvd Calendar'!$AH$396&gt;=GRID_FROM)*('Dvd Calendar'!$AH$396&lt;=GRID_TO)*((('Dvd Calendar'!$AH$396&lt;=VAL_DATE)+(COUNTIF('Dvd Calendar'!$E$403:$AR$403,'Dvd Calendar'!$AH$396)=0))&gt;0)=0,"",'Dvd Calendar'!$AH$396*1000000000+ISNUMBER('Dvd Calendar'!$AH$399)*100000000+('Dvd Calendar'!$AH$401=SPECIAL_LBL)*10000000+(N('Dvd Calendar'!$AH$395)&gt;0)*(N('Dvd Calendar'!$AH$395)&lt;=VAL_SERIAL)*1000000+36*1000+30))</f>
        <v/>
      </c>
      <c r="FI47" s="121">
        <f>IF(N('Dvd Calendar'!$AI$396)=0,"",IF(('Dvd Calendar'!$AI$396&gt;=GRID_FROM)*('Dvd Calendar'!$AI$396&lt;=GRID_TO)*((('Dvd Calendar'!$AI$396&lt;=VAL_DATE)+(COUNTIF('Dvd Calendar'!$E$403:$AR$403,'Dvd Calendar'!$AI$396)=0))&gt;0)=0,"",'Dvd Calendar'!$AI$396*1000000000+ISNUMBER('Dvd Calendar'!$AI$399)*100000000+('Dvd Calendar'!$AI$401=SPECIAL_LBL)*10000000+(N('Dvd Calendar'!$AI$395)&gt;0)*(N('Dvd Calendar'!$AI$395)&lt;=VAL_SERIAL)*1000000+36*1000+31))</f>
        <v/>
      </c>
      <c r="FJ47" s="121">
        <f>IF(N('Dvd Calendar'!$AJ$396)=0,"",IF(('Dvd Calendar'!$AJ$396&gt;=GRID_FROM)*('Dvd Calendar'!$AJ$396&lt;=GRID_TO)*((('Dvd Calendar'!$AJ$396&lt;=VAL_DATE)+(COUNTIF('Dvd Calendar'!$E$403:$AR$403,'Dvd Calendar'!$AJ$396)=0))&gt;0)=0,"",'Dvd Calendar'!$AJ$396*1000000000+ISNUMBER('Dvd Calendar'!$AJ$399)*100000000+('Dvd Calendar'!$AJ$401=SPECIAL_LBL)*10000000+(N('Dvd Calendar'!$AJ$395)&gt;0)*(N('Dvd Calendar'!$AJ$395)&lt;=VAL_SERIAL)*1000000+36*1000+32))</f>
        <v/>
      </c>
      <c r="FK47" s="121">
        <f>IF(N('Dvd Calendar'!$AK$396)=0,"",IF(('Dvd Calendar'!$AK$396&gt;=GRID_FROM)*('Dvd Calendar'!$AK$396&lt;=GRID_TO)*((('Dvd Calendar'!$AK$396&lt;=VAL_DATE)+(COUNTIF('Dvd Calendar'!$E$403:$AR$403,'Dvd Calendar'!$AK$396)=0))&gt;0)=0,"",'Dvd Calendar'!$AK$396*1000000000+ISNUMBER('Dvd Calendar'!$AK$399)*100000000+('Dvd Calendar'!$AK$401=SPECIAL_LBL)*10000000+(N('Dvd Calendar'!$AK$395)&gt;0)*(N('Dvd Calendar'!$AK$395)&lt;=VAL_SERIAL)*1000000+36*1000+33))</f>
        <v/>
      </c>
      <c r="FL47" s="121">
        <f>IF(N('Dvd Calendar'!$AL$396)=0,"",IF(('Dvd Calendar'!$AL$396&gt;=GRID_FROM)*('Dvd Calendar'!$AL$396&lt;=GRID_TO)*((('Dvd Calendar'!$AL$396&lt;=VAL_DATE)+(COUNTIF('Dvd Calendar'!$E$403:$AR$403,'Dvd Calendar'!$AL$396)=0))&gt;0)=0,"",'Dvd Calendar'!$AL$396*1000000000+ISNUMBER('Dvd Calendar'!$AL$399)*100000000+('Dvd Calendar'!$AL$401=SPECIAL_LBL)*10000000+(N('Dvd Calendar'!$AL$395)&gt;0)*(N('Dvd Calendar'!$AL$395)&lt;=VAL_SERIAL)*1000000+36*1000+34))</f>
        <v/>
      </c>
      <c r="FM47" s="121">
        <f>IF(N('Dvd Calendar'!$AM$396)=0,"",IF(('Dvd Calendar'!$AM$396&gt;=GRID_FROM)*('Dvd Calendar'!$AM$396&lt;=GRID_TO)*((('Dvd Calendar'!$AM$396&lt;=VAL_DATE)+(COUNTIF('Dvd Calendar'!$E$403:$AR$403,'Dvd Calendar'!$AM$396)=0))&gt;0)=0,"",'Dvd Calendar'!$AM$396*1000000000+ISNUMBER('Dvd Calendar'!$AM$399)*100000000+('Dvd Calendar'!$AM$401=SPECIAL_LBL)*10000000+(N('Dvd Calendar'!$AM$395)&gt;0)*(N('Dvd Calendar'!$AM$395)&lt;=VAL_SERIAL)*1000000+36*1000+35))</f>
        <v/>
      </c>
      <c r="FN47" s="121">
        <f>IF(N('Dvd Calendar'!$AN$396)=0,"",IF(('Dvd Calendar'!$AN$396&gt;=GRID_FROM)*('Dvd Calendar'!$AN$396&lt;=GRID_TO)*((('Dvd Calendar'!$AN$396&lt;=VAL_DATE)+(COUNTIF('Dvd Calendar'!$E$403:$AR$403,'Dvd Calendar'!$AN$396)=0))&gt;0)=0,"",'Dvd Calendar'!$AN$396*1000000000+ISNUMBER('Dvd Calendar'!$AN$399)*100000000+('Dvd Calendar'!$AN$401=SPECIAL_LBL)*10000000+(N('Dvd Calendar'!$AN$395)&gt;0)*(N('Dvd Calendar'!$AN$395)&lt;=VAL_SERIAL)*1000000+36*1000+36))</f>
        <v/>
      </c>
      <c r="FO47" s="121">
        <f>IF(N('Dvd Calendar'!$AO$396)=0,"",IF(('Dvd Calendar'!$AO$396&gt;=GRID_FROM)*('Dvd Calendar'!$AO$396&lt;=GRID_TO)*((('Dvd Calendar'!$AO$396&lt;=VAL_DATE)+(COUNTIF('Dvd Calendar'!$E$403:$AR$403,'Dvd Calendar'!$AO$396)=0))&gt;0)=0,"",'Dvd Calendar'!$AO$396*1000000000+ISNUMBER('Dvd Calendar'!$AO$399)*100000000+('Dvd Calendar'!$AO$401=SPECIAL_LBL)*10000000+(N('Dvd Calendar'!$AO$395)&gt;0)*(N('Dvd Calendar'!$AO$395)&lt;=VAL_SERIAL)*1000000+36*1000+37))</f>
        <v/>
      </c>
      <c r="FP47" s="121">
        <f>IF(N('Dvd Calendar'!$AP$396)=0,"",IF(('Dvd Calendar'!$AP$396&gt;=GRID_FROM)*('Dvd Calendar'!$AP$396&lt;=GRID_TO)*((('Dvd Calendar'!$AP$396&lt;=VAL_DATE)+(COUNTIF('Dvd Calendar'!$E$403:$AR$403,'Dvd Calendar'!$AP$396)=0))&gt;0)=0,"",'Dvd Calendar'!$AP$396*1000000000+ISNUMBER('Dvd Calendar'!$AP$399)*100000000+('Dvd Calendar'!$AP$401=SPECIAL_LBL)*10000000+(N('Dvd Calendar'!$AP$395)&gt;0)*(N('Dvd Calendar'!$AP$395)&lt;=VAL_SERIAL)*1000000+36*1000+38))</f>
        <v/>
      </c>
      <c r="FQ47" s="121">
        <f>IF(N('Dvd Calendar'!$AQ$396)=0,"",IF(('Dvd Calendar'!$AQ$396&gt;=GRID_FROM)*('Dvd Calendar'!$AQ$396&lt;=GRID_TO)*((('Dvd Calendar'!$AQ$396&lt;=VAL_DATE)+(COUNTIF('Dvd Calendar'!$E$403:$AR$403,'Dvd Calendar'!$AQ$396)=0))&gt;0)=0,"",'Dvd Calendar'!$AQ$396*1000000000+ISNUMBER('Dvd Calendar'!$AQ$399)*100000000+('Dvd Calendar'!$AQ$401=SPECIAL_LBL)*10000000+(N('Dvd Calendar'!$AQ$395)&gt;0)*(N('Dvd Calendar'!$AQ$395)&lt;=VAL_SERIAL)*1000000+36*1000+39))</f>
        <v/>
      </c>
      <c r="FR47" s="121">
        <f>IF(N('Dvd Calendar'!$AR$396)=0,"",IF(('Dvd Calendar'!$AR$396&gt;=GRID_FROM)*('Dvd Calendar'!$AR$396&lt;=GRID_TO)*((('Dvd Calendar'!$AR$396&lt;=VAL_DATE)+(COUNTIF('Dvd Calendar'!$E$403:$AR$403,'Dvd Calendar'!$AR$396)=0))&gt;0)=0,"",'Dvd Calendar'!$AR$396*1000000000+ISNUMBER('Dvd Calendar'!$AR$399)*100000000+('Dvd Calendar'!$AR$401=SPECIAL_LBL)*10000000+(N('Dvd Calendar'!$AR$395)&gt;0)*(N('Dvd Calendar'!$AR$395)&lt;=VAL_SERIAL)*1000000+36*1000+40))</f>
        <v/>
      </c>
      <c r="FS47" s="121">
        <f>IF(N('Dvd Calendar'!$E$403)=0,"",IF(('Dvd Calendar'!$E$403&gt;=GRID_FROM)*('Dvd Calendar'!$E$403&lt;=GRID_TO)*('Dvd Calendar'!$E$403&gt;VAL_DATE)=0,"",'Dvd Calendar'!$E$403*1000000000+ISNUMBER('Dvd Calendar'!$E$404)*100000000+0*10000000+(N('Dvd Calendar'!$E$402)&gt;0)*(N('Dvd Calendar'!$E$402)&lt;=VAL_SERIAL)*1000000+36*1000+41))</f>
        <v/>
      </c>
      <c r="FT47" s="121">
        <f>IF(N('Dvd Calendar'!$F$403)=0,"",IF(('Dvd Calendar'!$F$403&gt;=GRID_FROM)*('Dvd Calendar'!$F$403&lt;=GRID_TO)*('Dvd Calendar'!$F$403&gt;VAL_DATE)=0,"",'Dvd Calendar'!$F$403*1000000000+ISNUMBER('Dvd Calendar'!$F$404)*100000000+0*10000000+(N('Dvd Calendar'!$F$402)&gt;0)*(N('Dvd Calendar'!$F$402)&lt;=VAL_SERIAL)*1000000+36*1000+42))</f>
        <v/>
      </c>
      <c r="FU47" s="121">
        <f>IF(N('Dvd Calendar'!$G$403)=0,"",IF(('Dvd Calendar'!$G$403&gt;=GRID_FROM)*('Dvd Calendar'!$G$403&lt;=GRID_TO)*('Dvd Calendar'!$G$403&gt;VAL_DATE)=0,"",'Dvd Calendar'!$G$403*1000000000+ISNUMBER('Dvd Calendar'!$G$404)*100000000+0*10000000+(N('Dvd Calendar'!$G$402)&gt;0)*(N('Dvd Calendar'!$G$402)&lt;=VAL_SERIAL)*1000000+36*1000+43))</f>
        <v/>
      </c>
      <c r="FV47" s="121">
        <f>IF(N('Dvd Calendar'!$H$403)=0,"",IF(('Dvd Calendar'!$H$403&gt;=GRID_FROM)*('Dvd Calendar'!$H$403&lt;=GRID_TO)*('Dvd Calendar'!$H$403&gt;VAL_DATE)=0,"",'Dvd Calendar'!$H$403*1000000000+ISNUMBER('Dvd Calendar'!$H$404)*100000000+0*10000000+(N('Dvd Calendar'!$H$402)&gt;0)*(N('Dvd Calendar'!$H$402)&lt;=VAL_SERIAL)*1000000+36*1000+44))</f>
        <v/>
      </c>
      <c r="FW47" s="121">
        <f>IF(N('Dvd Calendar'!$I$403)=0,"",IF(('Dvd Calendar'!$I$403&gt;=GRID_FROM)*('Dvd Calendar'!$I$403&lt;=GRID_TO)*('Dvd Calendar'!$I$403&gt;VAL_DATE)=0,"",'Dvd Calendar'!$I$403*1000000000+ISNUMBER('Dvd Calendar'!$I$404)*100000000+0*10000000+(N('Dvd Calendar'!$I$402)&gt;0)*(N('Dvd Calendar'!$I$402)&lt;=VAL_SERIAL)*1000000+36*1000+45))</f>
        <v/>
      </c>
      <c r="FX47" s="121">
        <f>IF(N('Dvd Calendar'!$J$403)=0,"",IF(('Dvd Calendar'!$J$403&gt;=GRID_FROM)*('Dvd Calendar'!$J$403&lt;=GRID_TO)*('Dvd Calendar'!$J$403&gt;VAL_DATE)=0,"",'Dvd Calendar'!$J$403*1000000000+ISNUMBER('Dvd Calendar'!$J$404)*100000000+0*10000000+(N('Dvd Calendar'!$J$402)&gt;0)*(N('Dvd Calendar'!$J$402)&lt;=VAL_SERIAL)*1000000+36*1000+46))</f>
        <v/>
      </c>
      <c r="FY47" s="121">
        <f>IF(N('Dvd Calendar'!$K$403)=0,"",IF(('Dvd Calendar'!$K$403&gt;=GRID_FROM)*('Dvd Calendar'!$K$403&lt;=GRID_TO)*('Dvd Calendar'!$K$403&gt;VAL_DATE)=0,"",'Dvd Calendar'!$K$403*1000000000+ISNUMBER('Dvd Calendar'!$K$404)*100000000+0*10000000+(N('Dvd Calendar'!$K$402)&gt;0)*(N('Dvd Calendar'!$K$402)&lt;=VAL_SERIAL)*1000000+36*1000+47))</f>
        <v/>
      </c>
      <c r="FZ47" s="121">
        <f>IF(N('Dvd Calendar'!$L$403)=0,"",IF(('Dvd Calendar'!$L$403&gt;=GRID_FROM)*('Dvd Calendar'!$L$403&lt;=GRID_TO)*('Dvd Calendar'!$L$403&gt;VAL_DATE)=0,"",'Dvd Calendar'!$L$403*1000000000+ISNUMBER('Dvd Calendar'!$L$404)*100000000+0*10000000+(N('Dvd Calendar'!$L$402)&gt;0)*(N('Dvd Calendar'!$L$402)&lt;=VAL_SERIAL)*1000000+36*1000+48))</f>
        <v/>
      </c>
      <c r="GA47" s="121">
        <f>IF(N('Dvd Calendar'!$M$403)=0,"",IF(('Dvd Calendar'!$M$403&gt;=GRID_FROM)*('Dvd Calendar'!$M$403&lt;=GRID_TO)*('Dvd Calendar'!$M$403&gt;VAL_DATE)=0,"",'Dvd Calendar'!$M$403*1000000000+ISNUMBER('Dvd Calendar'!$M$404)*100000000+0*10000000+(N('Dvd Calendar'!$M$402)&gt;0)*(N('Dvd Calendar'!$M$402)&lt;=VAL_SERIAL)*1000000+36*1000+49))</f>
        <v/>
      </c>
      <c r="GB47" s="121">
        <f>IF(N('Dvd Calendar'!$N$403)=0,"",IF(('Dvd Calendar'!$N$403&gt;=GRID_FROM)*('Dvd Calendar'!$N$403&lt;=GRID_TO)*('Dvd Calendar'!$N$403&gt;VAL_DATE)=0,"",'Dvd Calendar'!$N$403*1000000000+ISNUMBER('Dvd Calendar'!$N$404)*100000000+0*10000000+(N('Dvd Calendar'!$N$402)&gt;0)*(N('Dvd Calendar'!$N$402)&lt;=VAL_SERIAL)*1000000+36*1000+50))</f>
        <v/>
      </c>
      <c r="GC47" s="121">
        <f>IF(N('Dvd Calendar'!$O$403)=0,"",IF(('Dvd Calendar'!$O$403&gt;=GRID_FROM)*('Dvd Calendar'!$O$403&lt;=GRID_TO)*('Dvd Calendar'!$O$403&gt;VAL_DATE)=0,"",'Dvd Calendar'!$O$403*1000000000+ISNUMBER('Dvd Calendar'!$O$404)*100000000+0*10000000+(N('Dvd Calendar'!$O$402)&gt;0)*(N('Dvd Calendar'!$O$402)&lt;=VAL_SERIAL)*1000000+36*1000+51))</f>
        <v/>
      </c>
      <c r="GD47" s="121">
        <f>IF(N('Dvd Calendar'!$P$403)=0,"",IF(('Dvd Calendar'!$P$403&gt;=GRID_FROM)*('Dvd Calendar'!$P$403&lt;=GRID_TO)*('Dvd Calendar'!$P$403&gt;VAL_DATE)=0,"",'Dvd Calendar'!$P$403*1000000000+ISNUMBER('Dvd Calendar'!$P$404)*100000000+0*10000000+(N('Dvd Calendar'!$P$402)&gt;0)*(N('Dvd Calendar'!$P$402)&lt;=VAL_SERIAL)*1000000+36*1000+52))</f>
        <v/>
      </c>
      <c r="GE47" s="121">
        <f>IF(N('Dvd Calendar'!$Q$403)=0,"",IF(('Dvd Calendar'!$Q$403&gt;=GRID_FROM)*('Dvd Calendar'!$Q$403&lt;=GRID_TO)*('Dvd Calendar'!$Q$403&gt;VAL_DATE)=0,"",'Dvd Calendar'!$Q$403*1000000000+ISNUMBER('Dvd Calendar'!$Q$404)*100000000+0*10000000+(N('Dvd Calendar'!$Q$402)&gt;0)*(N('Dvd Calendar'!$Q$402)&lt;=VAL_SERIAL)*1000000+36*1000+53))</f>
        <v/>
      </c>
      <c r="GF47" s="121">
        <f>IF(N('Dvd Calendar'!$R$403)=0,"",IF(('Dvd Calendar'!$R$403&gt;=GRID_FROM)*('Dvd Calendar'!$R$403&lt;=GRID_TO)*('Dvd Calendar'!$R$403&gt;VAL_DATE)=0,"",'Dvd Calendar'!$R$403*1000000000+ISNUMBER('Dvd Calendar'!$R$404)*100000000+0*10000000+(N('Dvd Calendar'!$R$402)&gt;0)*(N('Dvd Calendar'!$R$402)&lt;=VAL_SERIAL)*1000000+36*1000+54))</f>
        <v/>
      </c>
      <c r="GG47" s="121">
        <f>IF(N('Dvd Calendar'!$S$403)=0,"",IF(('Dvd Calendar'!$S$403&gt;=GRID_FROM)*('Dvd Calendar'!$S$403&lt;=GRID_TO)*('Dvd Calendar'!$S$403&gt;VAL_DATE)=0,"",'Dvd Calendar'!$S$403*1000000000+ISNUMBER('Dvd Calendar'!$S$404)*100000000+0*10000000+(N('Dvd Calendar'!$S$402)&gt;0)*(N('Dvd Calendar'!$S$402)&lt;=VAL_SERIAL)*1000000+36*1000+55))</f>
        <v/>
      </c>
      <c r="GH47" s="121">
        <f>IF(N('Dvd Calendar'!$T$403)=0,"",IF(('Dvd Calendar'!$T$403&gt;=GRID_FROM)*('Dvd Calendar'!$T$403&lt;=GRID_TO)*('Dvd Calendar'!$T$403&gt;VAL_DATE)=0,"",'Dvd Calendar'!$T$403*1000000000+ISNUMBER('Dvd Calendar'!$T$404)*100000000+0*10000000+(N('Dvd Calendar'!$T$402)&gt;0)*(N('Dvd Calendar'!$T$402)&lt;=VAL_SERIAL)*1000000+36*1000+56))</f>
        <v/>
      </c>
      <c r="GI47" s="121">
        <f>IF(N('Dvd Calendar'!$U$403)=0,"",IF(('Dvd Calendar'!$U$403&gt;=GRID_FROM)*('Dvd Calendar'!$U$403&lt;=GRID_TO)*('Dvd Calendar'!$U$403&gt;VAL_DATE)=0,"",'Dvd Calendar'!$U$403*1000000000+ISNUMBER('Dvd Calendar'!$U$404)*100000000+0*10000000+(N('Dvd Calendar'!$U$402)&gt;0)*(N('Dvd Calendar'!$U$402)&lt;=VAL_SERIAL)*1000000+36*1000+57))</f>
        <v/>
      </c>
      <c r="GJ47" s="121">
        <f>IF(N('Dvd Calendar'!$V$403)=0,"",IF(('Dvd Calendar'!$V$403&gt;=GRID_FROM)*('Dvd Calendar'!$V$403&lt;=GRID_TO)*('Dvd Calendar'!$V$403&gt;VAL_DATE)=0,"",'Dvd Calendar'!$V$403*1000000000+ISNUMBER('Dvd Calendar'!$V$404)*100000000+0*10000000+(N('Dvd Calendar'!$V$402)&gt;0)*(N('Dvd Calendar'!$V$402)&lt;=VAL_SERIAL)*1000000+36*1000+58))</f>
        <v/>
      </c>
      <c r="GK47" s="121">
        <f>IF(N('Dvd Calendar'!$W$403)=0,"",IF(('Dvd Calendar'!$W$403&gt;=GRID_FROM)*('Dvd Calendar'!$W$403&lt;=GRID_TO)*('Dvd Calendar'!$W$403&gt;VAL_DATE)=0,"",'Dvd Calendar'!$W$403*1000000000+ISNUMBER('Dvd Calendar'!$W$404)*100000000+0*10000000+(N('Dvd Calendar'!$W$402)&gt;0)*(N('Dvd Calendar'!$W$402)&lt;=VAL_SERIAL)*1000000+36*1000+59))</f>
        <v/>
      </c>
      <c r="GL47" s="121">
        <f>IF(N('Dvd Calendar'!$X$403)=0,"",IF(('Dvd Calendar'!$X$403&gt;=GRID_FROM)*('Dvd Calendar'!$X$403&lt;=GRID_TO)*('Dvd Calendar'!$X$403&gt;VAL_DATE)=0,"",'Dvd Calendar'!$X$403*1000000000+ISNUMBER('Dvd Calendar'!$X$404)*100000000+0*10000000+(N('Dvd Calendar'!$X$402)&gt;0)*(N('Dvd Calendar'!$X$402)&lt;=VAL_SERIAL)*1000000+36*1000+60))</f>
        <v/>
      </c>
      <c r="GM47" s="121">
        <f>IF(N('Dvd Calendar'!$Y$403)=0,"",IF(('Dvd Calendar'!$Y$403&gt;=GRID_FROM)*('Dvd Calendar'!$Y$403&lt;=GRID_TO)*('Dvd Calendar'!$Y$403&gt;VAL_DATE)=0,"",'Dvd Calendar'!$Y$403*1000000000+ISNUMBER('Dvd Calendar'!$Y$404)*100000000+0*10000000+(N('Dvd Calendar'!$Y$402)&gt;0)*(N('Dvd Calendar'!$Y$402)&lt;=VAL_SERIAL)*1000000+36*1000+61))</f>
        <v/>
      </c>
      <c r="GN47" s="121">
        <f>IF(N('Dvd Calendar'!$Z$403)=0,"",IF(('Dvd Calendar'!$Z$403&gt;=GRID_FROM)*('Dvd Calendar'!$Z$403&lt;=GRID_TO)*('Dvd Calendar'!$Z$403&gt;VAL_DATE)=0,"",'Dvd Calendar'!$Z$403*1000000000+ISNUMBER('Dvd Calendar'!$Z$404)*100000000+0*10000000+(N('Dvd Calendar'!$Z$402)&gt;0)*(N('Dvd Calendar'!$Z$402)&lt;=VAL_SERIAL)*1000000+36*1000+62))</f>
        <v/>
      </c>
      <c r="GO47" s="121">
        <f>IF(N('Dvd Calendar'!$AA$403)=0,"",IF(('Dvd Calendar'!$AA$403&gt;=GRID_FROM)*('Dvd Calendar'!$AA$403&lt;=GRID_TO)*('Dvd Calendar'!$AA$403&gt;VAL_DATE)=0,"",'Dvd Calendar'!$AA$403*1000000000+ISNUMBER('Dvd Calendar'!$AA$404)*100000000+0*10000000+(N('Dvd Calendar'!$AA$402)&gt;0)*(N('Dvd Calendar'!$AA$402)&lt;=VAL_SERIAL)*1000000+36*1000+63))</f>
        <v/>
      </c>
      <c r="GP47" s="121">
        <f>IF(N('Dvd Calendar'!$AB$403)=0,"",IF(('Dvd Calendar'!$AB$403&gt;=GRID_FROM)*('Dvd Calendar'!$AB$403&lt;=GRID_TO)*('Dvd Calendar'!$AB$403&gt;VAL_DATE)=0,"",'Dvd Calendar'!$AB$403*1000000000+ISNUMBER('Dvd Calendar'!$AB$404)*100000000+0*10000000+(N('Dvd Calendar'!$AB$402)&gt;0)*(N('Dvd Calendar'!$AB$402)&lt;=VAL_SERIAL)*1000000+36*1000+64))</f>
        <v/>
      </c>
      <c r="GQ47" s="121">
        <f>IF(N('Dvd Calendar'!$AC$403)=0,"",IF(('Dvd Calendar'!$AC$403&gt;=GRID_FROM)*('Dvd Calendar'!$AC$403&lt;=GRID_TO)*('Dvd Calendar'!$AC$403&gt;VAL_DATE)=0,"",'Dvd Calendar'!$AC$403*1000000000+ISNUMBER('Dvd Calendar'!$AC$404)*100000000+0*10000000+(N('Dvd Calendar'!$AC$402)&gt;0)*(N('Dvd Calendar'!$AC$402)&lt;=VAL_SERIAL)*1000000+36*1000+65))</f>
        <v/>
      </c>
    </row>
    <row r="48">
      <c r="B48" s="2">
        <f>IF(HSI!$C$43="","",HSI!$C$43)</f>
        <v/>
      </c>
      <c r="C48" s="161">
        <f>IF(EE48="","",IF(ISNUMBER('Dvd Calendar'!$E$410)=FALSE,"",IF((('Dvd Calendar'!$E$412=TYPE1)*(TYPE1&lt;&gt;"")+('Dvd Calendar'!$E$412=TYPE2)*(TYPE2&lt;&gt;"")+('Dvd Calendar'!$E$412=TYPE3)*(TYPE3&lt;&gt;"")+('Dvd Calendar'!$E$412=TYPE4)*(TYPE4&lt;&gt;"")+('Dvd Calendar'!$E$412=SPECIAL_LBL)*(INC_SPECIALS="Y"))=0,"",'Dvd Calendar'!$E$410)))</f>
        <v/>
      </c>
      <c r="D48" s="161">
        <f>IF(EF48="","",IF(ISNUMBER('Dvd Calendar'!$F$410)=FALSE,"",IF((('Dvd Calendar'!$F$412=TYPE1)*(TYPE1&lt;&gt;"")+('Dvd Calendar'!$F$412=TYPE2)*(TYPE2&lt;&gt;"")+('Dvd Calendar'!$F$412=TYPE3)*(TYPE3&lt;&gt;"")+('Dvd Calendar'!$F$412=TYPE4)*(TYPE4&lt;&gt;"")+('Dvd Calendar'!$F$412=SPECIAL_LBL)*(INC_SPECIALS="Y"))=0,"",'Dvd Calendar'!$F$410)))</f>
        <v/>
      </c>
      <c r="E48" s="161">
        <f>IF(EG48="","",IF(ISNUMBER('Dvd Calendar'!$G$410)=FALSE,"",IF((('Dvd Calendar'!$G$412=TYPE1)*(TYPE1&lt;&gt;"")+('Dvd Calendar'!$G$412=TYPE2)*(TYPE2&lt;&gt;"")+('Dvd Calendar'!$G$412=TYPE3)*(TYPE3&lt;&gt;"")+('Dvd Calendar'!$G$412=TYPE4)*(TYPE4&lt;&gt;"")+('Dvd Calendar'!$G$412=SPECIAL_LBL)*(INC_SPECIALS="Y"))=0,"",'Dvd Calendar'!$G$410)))</f>
        <v/>
      </c>
      <c r="F48" s="161">
        <f>IF(EH48="","",IF(ISNUMBER('Dvd Calendar'!$H$410)=FALSE,"",IF((('Dvd Calendar'!$H$412=TYPE1)*(TYPE1&lt;&gt;"")+('Dvd Calendar'!$H$412=TYPE2)*(TYPE2&lt;&gt;"")+('Dvd Calendar'!$H$412=TYPE3)*(TYPE3&lt;&gt;"")+('Dvd Calendar'!$H$412=TYPE4)*(TYPE4&lt;&gt;"")+('Dvd Calendar'!$H$412=SPECIAL_LBL)*(INC_SPECIALS="Y"))=0,"",'Dvd Calendar'!$H$410)))</f>
        <v/>
      </c>
      <c r="G48" s="161">
        <f>IF(EI48="","",IF(ISNUMBER('Dvd Calendar'!$I$410)=FALSE,"",IF((('Dvd Calendar'!$I$412=TYPE1)*(TYPE1&lt;&gt;"")+('Dvd Calendar'!$I$412=TYPE2)*(TYPE2&lt;&gt;"")+('Dvd Calendar'!$I$412=TYPE3)*(TYPE3&lt;&gt;"")+('Dvd Calendar'!$I$412=TYPE4)*(TYPE4&lt;&gt;"")+('Dvd Calendar'!$I$412=SPECIAL_LBL)*(INC_SPECIALS="Y"))=0,"",'Dvd Calendar'!$I$410)))</f>
        <v/>
      </c>
      <c r="H48" s="161">
        <f>IF(EJ48="","",IF(ISNUMBER('Dvd Calendar'!$J$410)=FALSE,"",IF((('Dvd Calendar'!$J$412=TYPE1)*(TYPE1&lt;&gt;"")+('Dvd Calendar'!$J$412=TYPE2)*(TYPE2&lt;&gt;"")+('Dvd Calendar'!$J$412=TYPE3)*(TYPE3&lt;&gt;"")+('Dvd Calendar'!$J$412=TYPE4)*(TYPE4&lt;&gt;"")+('Dvd Calendar'!$J$412=SPECIAL_LBL)*(INC_SPECIALS="Y"))=0,"",'Dvd Calendar'!$J$410)))</f>
        <v/>
      </c>
      <c r="I48" s="161">
        <f>IF(EK48="","",IF(ISNUMBER('Dvd Calendar'!$K$410)=FALSE,"",IF((('Dvd Calendar'!$K$412=TYPE1)*(TYPE1&lt;&gt;"")+('Dvd Calendar'!$K$412=TYPE2)*(TYPE2&lt;&gt;"")+('Dvd Calendar'!$K$412=TYPE3)*(TYPE3&lt;&gt;"")+('Dvd Calendar'!$K$412=TYPE4)*(TYPE4&lt;&gt;"")+('Dvd Calendar'!$K$412=SPECIAL_LBL)*(INC_SPECIALS="Y"))=0,"",'Dvd Calendar'!$K$410)))</f>
        <v/>
      </c>
      <c r="J48" s="161">
        <f>IF(EL48="","",IF(ISNUMBER('Dvd Calendar'!$L$410)=FALSE,"",IF((('Dvd Calendar'!$L$412=TYPE1)*(TYPE1&lt;&gt;"")+('Dvd Calendar'!$L$412=TYPE2)*(TYPE2&lt;&gt;"")+('Dvd Calendar'!$L$412=TYPE3)*(TYPE3&lt;&gt;"")+('Dvd Calendar'!$L$412=TYPE4)*(TYPE4&lt;&gt;"")+('Dvd Calendar'!$L$412=SPECIAL_LBL)*(INC_SPECIALS="Y"))=0,"",'Dvd Calendar'!$L$410)))</f>
        <v/>
      </c>
      <c r="K48" s="161">
        <f>IF(EM48="","",IF(ISNUMBER('Dvd Calendar'!$M$410)=FALSE,"",IF((('Dvd Calendar'!$M$412=TYPE1)*(TYPE1&lt;&gt;"")+('Dvd Calendar'!$M$412=TYPE2)*(TYPE2&lt;&gt;"")+('Dvd Calendar'!$M$412=TYPE3)*(TYPE3&lt;&gt;"")+('Dvd Calendar'!$M$412=TYPE4)*(TYPE4&lt;&gt;"")+('Dvd Calendar'!$M$412=SPECIAL_LBL)*(INC_SPECIALS="Y"))=0,"",'Dvd Calendar'!$M$410)))</f>
        <v/>
      </c>
      <c r="L48" s="161">
        <f>IF(EN48="","",IF(ISNUMBER('Dvd Calendar'!$N$410)=FALSE,"",IF((('Dvd Calendar'!$N$412=TYPE1)*(TYPE1&lt;&gt;"")+('Dvd Calendar'!$N$412=TYPE2)*(TYPE2&lt;&gt;"")+('Dvd Calendar'!$N$412=TYPE3)*(TYPE3&lt;&gt;"")+('Dvd Calendar'!$N$412=TYPE4)*(TYPE4&lt;&gt;"")+('Dvd Calendar'!$N$412=SPECIAL_LBL)*(INC_SPECIALS="Y"))=0,"",'Dvd Calendar'!$N$410)))</f>
        <v/>
      </c>
      <c r="M48" s="161">
        <f>IF(EO48="","",IF(ISNUMBER('Dvd Calendar'!$O$410)=FALSE,"",IF((('Dvd Calendar'!$O$412=TYPE1)*(TYPE1&lt;&gt;"")+('Dvd Calendar'!$O$412=TYPE2)*(TYPE2&lt;&gt;"")+('Dvd Calendar'!$O$412=TYPE3)*(TYPE3&lt;&gt;"")+('Dvd Calendar'!$O$412=TYPE4)*(TYPE4&lt;&gt;"")+('Dvd Calendar'!$O$412=SPECIAL_LBL)*(INC_SPECIALS="Y"))=0,"",'Dvd Calendar'!$O$410)))</f>
        <v/>
      </c>
      <c r="N48" s="161">
        <f>IF(EP48="","",IF(ISNUMBER('Dvd Calendar'!$P$410)=FALSE,"",IF((('Dvd Calendar'!$P$412=TYPE1)*(TYPE1&lt;&gt;"")+('Dvd Calendar'!$P$412=TYPE2)*(TYPE2&lt;&gt;"")+('Dvd Calendar'!$P$412=TYPE3)*(TYPE3&lt;&gt;"")+('Dvd Calendar'!$P$412=TYPE4)*(TYPE4&lt;&gt;"")+('Dvd Calendar'!$P$412=SPECIAL_LBL)*(INC_SPECIALS="Y"))=0,"",'Dvd Calendar'!$P$410)))</f>
        <v/>
      </c>
      <c r="O48" s="161">
        <f>IF(EQ48="","",IF(ISNUMBER('Dvd Calendar'!$Q$410)=FALSE,"",IF((('Dvd Calendar'!$Q$412=TYPE1)*(TYPE1&lt;&gt;"")+('Dvd Calendar'!$Q$412=TYPE2)*(TYPE2&lt;&gt;"")+('Dvd Calendar'!$Q$412=TYPE3)*(TYPE3&lt;&gt;"")+('Dvd Calendar'!$Q$412=TYPE4)*(TYPE4&lt;&gt;"")+('Dvd Calendar'!$Q$412=SPECIAL_LBL)*(INC_SPECIALS="Y"))=0,"",'Dvd Calendar'!$Q$410)))</f>
        <v/>
      </c>
      <c r="P48" s="161">
        <f>IF(ER48="","",IF(ISNUMBER('Dvd Calendar'!$R$410)=FALSE,"",IF((('Dvd Calendar'!$R$412=TYPE1)*(TYPE1&lt;&gt;"")+('Dvd Calendar'!$R$412=TYPE2)*(TYPE2&lt;&gt;"")+('Dvd Calendar'!$R$412=TYPE3)*(TYPE3&lt;&gt;"")+('Dvd Calendar'!$R$412=TYPE4)*(TYPE4&lt;&gt;"")+('Dvd Calendar'!$R$412=SPECIAL_LBL)*(INC_SPECIALS="Y"))=0,"",'Dvd Calendar'!$R$410)))</f>
        <v/>
      </c>
      <c r="Q48" s="161">
        <f>IF(ES48="","",IF(ISNUMBER('Dvd Calendar'!$S$410)=FALSE,"",IF((('Dvd Calendar'!$S$412=TYPE1)*(TYPE1&lt;&gt;"")+('Dvd Calendar'!$S$412=TYPE2)*(TYPE2&lt;&gt;"")+('Dvd Calendar'!$S$412=TYPE3)*(TYPE3&lt;&gt;"")+('Dvd Calendar'!$S$412=TYPE4)*(TYPE4&lt;&gt;"")+('Dvd Calendar'!$S$412=SPECIAL_LBL)*(INC_SPECIALS="Y"))=0,"",'Dvd Calendar'!$S$410)))</f>
        <v/>
      </c>
      <c r="R48" s="161">
        <f>IF(ET48="","",IF(ISNUMBER('Dvd Calendar'!$T$410)=FALSE,"",IF((('Dvd Calendar'!$T$412=TYPE1)*(TYPE1&lt;&gt;"")+('Dvd Calendar'!$T$412=TYPE2)*(TYPE2&lt;&gt;"")+('Dvd Calendar'!$T$412=TYPE3)*(TYPE3&lt;&gt;"")+('Dvd Calendar'!$T$412=TYPE4)*(TYPE4&lt;&gt;"")+('Dvd Calendar'!$T$412=SPECIAL_LBL)*(INC_SPECIALS="Y"))=0,"",'Dvd Calendar'!$T$410)))</f>
        <v/>
      </c>
      <c r="S48" s="161">
        <f>IF(EU48="","",IF(ISNUMBER('Dvd Calendar'!$U$410)=FALSE,"",IF((('Dvd Calendar'!$U$412=TYPE1)*(TYPE1&lt;&gt;"")+('Dvd Calendar'!$U$412=TYPE2)*(TYPE2&lt;&gt;"")+('Dvd Calendar'!$U$412=TYPE3)*(TYPE3&lt;&gt;"")+('Dvd Calendar'!$U$412=TYPE4)*(TYPE4&lt;&gt;"")+('Dvd Calendar'!$U$412=SPECIAL_LBL)*(INC_SPECIALS="Y"))=0,"",'Dvd Calendar'!$U$410)))</f>
        <v/>
      </c>
      <c r="T48" s="161">
        <f>IF(EV48="","",IF(ISNUMBER('Dvd Calendar'!$V$410)=FALSE,"",IF((('Dvd Calendar'!$V$412=TYPE1)*(TYPE1&lt;&gt;"")+('Dvd Calendar'!$V$412=TYPE2)*(TYPE2&lt;&gt;"")+('Dvd Calendar'!$V$412=TYPE3)*(TYPE3&lt;&gt;"")+('Dvd Calendar'!$V$412=TYPE4)*(TYPE4&lt;&gt;"")+('Dvd Calendar'!$V$412=SPECIAL_LBL)*(INC_SPECIALS="Y"))=0,"",'Dvd Calendar'!$V$410)))</f>
        <v/>
      </c>
      <c r="U48" s="161">
        <f>IF(EW48="","",IF(ISNUMBER('Dvd Calendar'!$W$410)=FALSE,"",IF((('Dvd Calendar'!$W$412=TYPE1)*(TYPE1&lt;&gt;"")+('Dvd Calendar'!$W$412=TYPE2)*(TYPE2&lt;&gt;"")+('Dvd Calendar'!$W$412=TYPE3)*(TYPE3&lt;&gt;"")+('Dvd Calendar'!$W$412=TYPE4)*(TYPE4&lt;&gt;"")+('Dvd Calendar'!$W$412=SPECIAL_LBL)*(INC_SPECIALS="Y"))=0,"",'Dvd Calendar'!$W$410)))</f>
        <v/>
      </c>
      <c r="V48" s="161">
        <f>IF(EX48="","",IF(ISNUMBER('Dvd Calendar'!$X$410)=FALSE,"",IF((('Dvd Calendar'!$X$412=TYPE1)*(TYPE1&lt;&gt;"")+('Dvd Calendar'!$X$412=TYPE2)*(TYPE2&lt;&gt;"")+('Dvd Calendar'!$X$412=TYPE3)*(TYPE3&lt;&gt;"")+('Dvd Calendar'!$X$412=TYPE4)*(TYPE4&lt;&gt;"")+('Dvd Calendar'!$X$412=SPECIAL_LBL)*(INC_SPECIALS="Y"))=0,"",'Dvd Calendar'!$X$410)))</f>
        <v/>
      </c>
      <c r="W48" s="161">
        <f>IF(EY48="","",IF(ISNUMBER('Dvd Calendar'!$Y$410)=FALSE,"",IF((('Dvd Calendar'!$Y$412=TYPE1)*(TYPE1&lt;&gt;"")+('Dvd Calendar'!$Y$412=TYPE2)*(TYPE2&lt;&gt;"")+('Dvd Calendar'!$Y$412=TYPE3)*(TYPE3&lt;&gt;"")+('Dvd Calendar'!$Y$412=TYPE4)*(TYPE4&lt;&gt;"")+('Dvd Calendar'!$Y$412=SPECIAL_LBL)*(INC_SPECIALS="Y"))=0,"",'Dvd Calendar'!$Y$410)))</f>
        <v/>
      </c>
      <c r="X48" s="161">
        <f>IF(EZ48="","",IF(ISNUMBER('Dvd Calendar'!$Z$410)=FALSE,"",IF((('Dvd Calendar'!$Z$412=TYPE1)*(TYPE1&lt;&gt;"")+('Dvd Calendar'!$Z$412=TYPE2)*(TYPE2&lt;&gt;"")+('Dvd Calendar'!$Z$412=TYPE3)*(TYPE3&lt;&gt;"")+('Dvd Calendar'!$Z$412=TYPE4)*(TYPE4&lt;&gt;"")+('Dvd Calendar'!$Z$412=SPECIAL_LBL)*(INC_SPECIALS="Y"))=0,"",'Dvd Calendar'!$Z$410)))</f>
        <v/>
      </c>
      <c r="Y48" s="161">
        <f>IF(FA48="","",IF(ISNUMBER('Dvd Calendar'!$AA$410)=FALSE,"",IF((('Dvd Calendar'!$AA$412=TYPE1)*(TYPE1&lt;&gt;"")+('Dvd Calendar'!$AA$412=TYPE2)*(TYPE2&lt;&gt;"")+('Dvd Calendar'!$AA$412=TYPE3)*(TYPE3&lt;&gt;"")+('Dvd Calendar'!$AA$412=TYPE4)*(TYPE4&lt;&gt;"")+('Dvd Calendar'!$AA$412=SPECIAL_LBL)*(INC_SPECIALS="Y"))=0,"",'Dvd Calendar'!$AA$410)))</f>
        <v/>
      </c>
      <c r="Z48" s="161">
        <f>IF(FB48="","",IF(ISNUMBER('Dvd Calendar'!$AB$410)=FALSE,"",IF((('Dvd Calendar'!$AB$412=TYPE1)*(TYPE1&lt;&gt;"")+('Dvd Calendar'!$AB$412=TYPE2)*(TYPE2&lt;&gt;"")+('Dvd Calendar'!$AB$412=TYPE3)*(TYPE3&lt;&gt;"")+('Dvd Calendar'!$AB$412=TYPE4)*(TYPE4&lt;&gt;"")+('Dvd Calendar'!$AB$412=SPECIAL_LBL)*(INC_SPECIALS="Y"))=0,"",'Dvd Calendar'!$AB$410)))</f>
        <v/>
      </c>
      <c r="AA48" s="161">
        <f>IF(FC48="","",IF(ISNUMBER('Dvd Calendar'!$AC$410)=FALSE,"",IF((('Dvd Calendar'!$AC$412=TYPE1)*(TYPE1&lt;&gt;"")+('Dvd Calendar'!$AC$412=TYPE2)*(TYPE2&lt;&gt;"")+('Dvd Calendar'!$AC$412=TYPE3)*(TYPE3&lt;&gt;"")+('Dvd Calendar'!$AC$412=TYPE4)*(TYPE4&lt;&gt;"")+('Dvd Calendar'!$AC$412=SPECIAL_LBL)*(INC_SPECIALS="Y"))=0,"",'Dvd Calendar'!$AC$410)))</f>
        <v/>
      </c>
      <c r="AB48" s="161">
        <f>IF(FD48="","",IF(ISNUMBER('Dvd Calendar'!$AD$410)=FALSE,"",IF((('Dvd Calendar'!$AD$412=TYPE1)*(TYPE1&lt;&gt;"")+('Dvd Calendar'!$AD$412=TYPE2)*(TYPE2&lt;&gt;"")+('Dvd Calendar'!$AD$412=TYPE3)*(TYPE3&lt;&gt;"")+('Dvd Calendar'!$AD$412=TYPE4)*(TYPE4&lt;&gt;"")+('Dvd Calendar'!$AD$412=SPECIAL_LBL)*(INC_SPECIALS="Y"))=0,"",'Dvd Calendar'!$AD$410)))</f>
        <v/>
      </c>
      <c r="AC48" s="161">
        <f>IF(FE48="","",IF(ISNUMBER('Dvd Calendar'!$AE$410)=FALSE,"",IF((('Dvd Calendar'!$AE$412=TYPE1)*(TYPE1&lt;&gt;"")+('Dvd Calendar'!$AE$412=TYPE2)*(TYPE2&lt;&gt;"")+('Dvd Calendar'!$AE$412=TYPE3)*(TYPE3&lt;&gt;"")+('Dvd Calendar'!$AE$412=TYPE4)*(TYPE4&lt;&gt;"")+('Dvd Calendar'!$AE$412=SPECIAL_LBL)*(INC_SPECIALS="Y"))=0,"",'Dvd Calendar'!$AE$410)))</f>
        <v/>
      </c>
      <c r="AD48" s="161">
        <f>IF(FF48="","",IF(ISNUMBER('Dvd Calendar'!$AF$410)=FALSE,"",IF((('Dvd Calendar'!$AF$412=TYPE1)*(TYPE1&lt;&gt;"")+('Dvd Calendar'!$AF$412=TYPE2)*(TYPE2&lt;&gt;"")+('Dvd Calendar'!$AF$412=TYPE3)*(TYPE3&lt;&gt;"")+('Dvd Calendar'!$AF$412=TYPE4)*(TYPE4&lt;&gt;"")+('Dvd Calendar'!$AF$412=SPECIAL_LBL)*(INC_SPECIALS="Y"))=0,"",'Dvd Calendar'!$AF$410)))</f>
        <v/>
      </c>
      <c r="AE48" s="161">
        <f>IF(FG48="","",IF(ISNUMBER('Dvd Calendar'!$AG$410)=FALSE,"",IF((('Dvd Calendar'!$AG$412=TYPE1)*(TYPE1&lt;&gt;"")+('Dvd Calendar'!$AG$412=TYPE2)*(TYPE2&lt;&gt;"")+('Dvd Calendar'!$AG$412=TYPE3)*(TYPE3&lt;&gt;"")+('Dvd Calendar'!$AG$412=TYPE4)*(TYPE4&lt;&gt;"")+('Dvd Calendar'!$AG$412=SPECIAL_LBL)*(INC_SPECIALS="Y"))=0,"",'Dvd Calendar'!$AG$410)))</f>
        <v/>
      </c>
      <c r="AF48" s="161">
        <f>IF(FH48="","",IF(ISNUMBER('Dvd Calendar'!$AH$410)=FALSE,"",IF((('Dvd Calendar'!$AH$412=TYPE1)*(TYPE1&lt;&gt;"")+('Dvd Calendar'!$AH$412=TYPE2)*(TYPE2&lt;&gt;"")+('Dvd Calendar'!$AH$412=TYPE3)*(TYPE3&lt;&gt;"")+('Dvd Calendar'!$AH$412=TYPE4)*(TYPE4&lt;&gt;"")+('Dvd Calendar'!$AH$412=SPECIAL_LBL)*(INC_SPECIALS="Y"))=0,"",'Dvd Calendar'!$AH$410)))</f>
        <v/>
      </c>
      <c r="AG48" s="161">
        <f>IF(FI48="","",IF(ISNUMBER('Dvd Calendar'!$AI$410)=FALSE,"",IF((('Dvd Calendar'!$AI$412=TYPE1)*(TYPE1&lt;&gt;"")+('Dvd Calendar'!$AI$412=TYPE2)*(TYPE2&lt;&gt;"")+('Dvd Calendar'!$AI$412=TYPE3)*(TYPE3&lt;&gt;"")+('Dvd Calendar'!$AI$412=TYPE4)*(TYPE4&lt;&gt;"")+('Dvd Calendar'!$AI$412=SPECIAL_LBL)*(INC_SPECIALS="Y"))=0,"",'Dvd Calendar'!$AI$410)))</f>
        <v/>
      </c>
      <c r="AH48" s="161">
        <f>IF(FJ48="","",IF(ISNUMBER('Dvd Calendar'!$AJ$410)=FALSE,"",IF((('Dvd Calendar'!$AJ$412=TYPE1)*(TYPE1&lt;&gt;"")+('Dvd Calendar'!$AJ$412=TYPE2)*(TYPE2&lt;&gt;"")+('Dvd Calendar'!$AJ$412=TYPE3)*(TYPE3&lt;&gt;"")+('Dvd Calendar'!$AJ$412=TYPE4)*(TYPE4&lt;&gt;"")+('Dvd Calendar'!$AJ$412=SPECIAL_LBL)*(INC_SPECIALS="Y"))=0,"",'Dvd Calendar'!$AJ$410)))</f>
        <v/>
      </c>
      <c r="AI48" s="161">
        <f>IF(FK48="","",IF(ISNUMBER('Dvd Calendar'!$AK$410)=FALSE,"",IF((('Dvd Calendar'!$AK$412=TYPE1)*(TYPE1&lt;&gt;"")+('Dvd Calendar'!$AK$412=TYPE2)*(TYPE2&lt;&gt;"")+('Dvd Calendar'!$AK$412=TYPE3)*(TYPE3&lt;&gt;"")+('Dvd Calendar'!$AK$412=TYPE4)*(TYPE4&lt;&gt;"")+('Dvd Calendar'!$AK$412=SPECIAL_LBL)*(INC_SPECIALS="Y"))=0,"",'Dvd Calendar'!$AK$410)))</f>
        <v/>
      </c>
      <c r="AJ48" s="161">
        <f>IF(FL48="","",IF(ISNUMBER('Dvd Calendar'!$AL$410)=FALSE,"",IF((('Dvd Calendar'!$AL$412=TYPE1)*(TYPE1&lt;&gt;"")+('Dvd Calendar'!$AL$412=TYPE2)*(TYPE2&lt;&gt;"")+('Dvd Calendar'!$AL$412=TYPE3)*(TYPE3&lt;&gt;"")+('Dvd Calendar'!$AL$412=TYPE4)*(TYPE4&lt;&gt;"")+('Dvd Calendar'!$AL$412=SPECIAL_LBL)*(INC_SPECIALS="Y"))=0,"",'Dvd Calendar'!$AL$410)))</f>
        <v/>
      </c>
      <c r="AK48" s="161">
        <f>IF(FM48="","",IF(ISNUMBER('Dvd Calendar'!$AM$410)=FALSE,"",IF((('Dvd Calendar'!$AM$412=TYPE1)*(TYPE1&lt;&gt;"")+('Dvd Calendar'!$AM$412=TYPE2)*(TYPE2&lt;&gt;"")+('Dvd Calendar'!$AM$412=TYPE3)*(TYPE3&lt;&gt;"")+('Dvd Calendar'!$AM$412=TYPE4)*(TYPE4&lt;&gt;"")+('Dvd Calendar'!$AM$412=SPECIAL_LBL)*(INC_SPECIALS="Y"))=0,"",'Dvd Calendar'!$AM$410)))</f>
        <v/>
      </c>
      <c r="AL48" s="161">
        <f>IF(FN48="","",IF(ISNUMBER('Dvd Calendar'!$AN$410)=FALSE,"",IF((('Dvd Calendar'!$AN$412=TYPE1)*(TYPE1&lt;&gt;"")+('Dvd Calendar'!$AN$412=TYPE2)*(TYPE2&lt;&gt;"")+('Dvd Calendar'!$AN$412=TYPE3)*(TYPE3&lt;&gt;"")+('Dvd Calendar'!$AN$412=TYPE4)*(TYPE4&lt;&gt;"")+('Dvd Calendar'!$AN$412=SPECIAL_LBL)*(INC_SPECIALS="Y"))=0,"",'Dvd Calendar'!$AN$410)))</f>
        <v/>
      </c>
      <c r="AM48" s="161">
        <f>IF(FO48="","",IF(ISNUMBER('Dvd Calendar'!$AO$410)=FALSE,"",IF((('Dvd Calendar'!$AO$412=TYPE1)*(TYPE1&lt;&gt;"")+('Dvd Calendar'!$AO$412=TYPE2)*(TYPE2&lt;&gt;"")+('Dvd Calendar'!$AO$412=TYPE3)*(TYPE3&lt;&gt;"")+('Dvd Calendar'!$AO$412=TYPE4)*(TYPE4&lt;&gt;"")+('Dvd Calendar'!$AO$412=SPECIAL_LBL)*(INC_SPECIALS="Y"))=0,"",'Dvd Calendar'!$AO$410)))</f>
        <v/>
      </c>
      <c r="AN48" s="161">
        <f>IF(FP48="","",IF(ISNUMBER('Dvd Calendar'!$AP$410)=FALSE,"",IF((('Dvd Calendar'!$AP$412=TYPE1)*(TYPE1&lt;&gt;"")+('Dvd Calendar'!$AP$412=TYPE2)*(TYPE2&lt;&gt;"")+('Dvd Calendar'!$AP$412=TYPE3)*(TYPE3&lt;&gt;"")+('Dvd Calendar'!$AP$412=TYPE4)*(TYPE4&lt;&gt;"")+('Dvd Calendar'!$AP$412=SPECIAL_LBL)*(INC_SPECIALS="Y"))=0,"",'Dvd Calendar'!$AP$410)))</f>
        <v/>
      </c>
      <c r="AO48" s="161">
        <f>IF(FQ48="","",IF(ISNUMBER('Dvd Calendar'!$AQ$410)=FALSE,"",IF((('Dvd Calendar'!$AQ$412=TYPE1)*(TYPE1&lt;&gt;"")+('Dvd Calendar'!$AQ$412=TYPE2)*(TYPE2&lt;&gt;"")+('Dvd Calendar'!$AQ$412=TYPE3)*(TYPE3&lt;&gt;"")+('Dvd Calendar'!$AQ$412=TYPE4)*(TYPE4&lt;&gt;"")+('Dvd Calendar'!$AQ$412=SPECIAL_LBL)*(INC_SPECIALS="Y"))=0,"",'Dvd Calendar'!$AQ$410)))</f>
        <v/>
      </c>
      <c r="AP48" s="161">
        <f>IF(FR48="","",IF(ISNUMBER('Dvd Calendar'!$AR$410)=FALSE,"",IF((('Dvd Calendar'!$AR$412=TYPE1)*(TYPE1&lt;&gt;"")+('Dvd Calendar'!$AR$412=TYPE2)*(TYPE2&lt;&gt;"")+('Dvd Calendar'!$AR$412=TYPE3)*(TYPE3&lt;&gt;"")+('Dvd Calendar'!$AR$412=TYPE4)*(TYPE4&lt;&gt;"")+('Dvd Calendar'!$AR$412=SPECIAL_LBL)*(INC_SPECIALS="Y"))=0,"",'Dvd Calendar'!$AR$410)))</f>
        <v/>
      </c>
      <c r="AQ48" s="161">
        <f>IF(FS48="","",IF(ISNUMBER('Dvd Calendar'!$E$415)=FALSE,"",'Dvd Calendar'!$E$415))</f>
        <v/>
      </c>
      <c r="AR48" s="161">
        <f>IF(FT48="","",IF(ISNUMBER('Dvd Calendar'!$F$415)=FALSE,"",'Dvd Calendar'!$F$415))</f>
        <v/>
      </c>
      <c r="AS48" s="161">
        <f>IF(FU48="","",IF(ISNUMBER('Dvd Calendar'!$G$415)=FALSE,"",'Dvd Calendar'!$G$415))</f>
        <v/>
      </c>
      <c r="AT48" s="161">
        <f>IF(FV48="","",IF(ISNUMBER('Dvd Calendar'!$H$415)=FALSE,"",'Dvd Calendar'!$H$415))</f>
        <v/>
      </c>
      <c r="AU48" s="161">
        <f>IF(FW48="","",IF(ISNUMBER('Dvd Calendar'!$I$415)=FALSE,"",'Dvd Calendar'!$I$415))</f>
        <v/>
      </c>
      <c r="AV48" s="161">
        <f>IF(FX48="","",IF(ISNUMBER('Dvd Calendar'!$J$415)=FALSE,"",'Dvd Calendar'!$J$415))</f>
        <v/>
      </c>
      <c r="AW48" s="161">
        <f>IF(FY48="","",IF(ISNUMBER('Dvd Calendar'!$K$415)=FALSE,"",'Dvd Calendar'!$K$415))</f>
        <v/>
      </c>
      <c r="AX48" s="161">
        <f>IF(FZ48="","",IF(ISNUMBER('Dvd Calendar'!$L$415)=FALSE,"",'Dvd Calendar'!$L$415))</f>
        <v/>
      </c>
      <c r="AY48" s="161">
        <f>IF(GA48="","",IF(ISNUMBER('Dvd Calendar'!$M$415)=FALSE,"",'Dvd Calendar'!$M$415))</f>
        <v/>
      </c>
      <c r="AZ48" s="161">
        <f>IF(GB48="","",IF(ISNUMBER('Dvd Calendar'!$N$415)=FALSE,"",'Dvd Calendar'!$N$415))</f>
        <v/>
      </c>
      <c r="BA48" s="161">
        <f>IF(GC48="","",IF(ISNUMBER('Dvd Calendar'!$O$415)=FALSE,"",'Dvd Calendar'!$O$415))</f>
        <v/>
      </c>
      <c r="BB48" s="161">
        <f>IF(GD48="","",IF(ISNUMBER('Dvd Calendar'!$P$415)=FALSE,"",'Dvd Calendar'!$P$415))</f>
        <v/>
      </c>
      <c r="BC48" s="161">
        <f>IF(GE48="","",IF(ISNUMBER('Dvd Calendar'!$Q$415)=FALSE,"",'Dvd Calendar'!$Q$415))</f>
        <v/>
      </c>
      <c r="BD48" s="161">
        <f>IF(GF48="","",IF(ISNUMBER('Dvd Calendar'!$R$415)=FALSE,"",'Dvd Calendar'!$R$415))</f>
        <v/>
      </c>
      <c r="BE48" s="161">
        <f>IF(GG48="","",IF(ISNUMBER('Dvd Calendar'!$S$415)=FALSE,"",'Dvd Calendar'!$S$415))</f>
        <v/>
      </c>
      <c r="BF48" s="161">
        <f>IF(GH48="","",IF(ISNUMBER('Dvd Calendar'!$T$415)=FALSE,"",'Dvd Calendar'!$T$415))</f>
        <v/>
      </c>
      <c r="BG48" s="161">
        <f>IF(GI48="","",IF(ISNUMBER('Dvd Calendar'!$U$415)=FALSE,"",'Dvd Calendar'!$U$415))</f>
        <v/>
      </c>
      <c r="BH48" s="161">
        <f>IF(GJ48="","",IF(ISNUMBER('Dvd Calendar'!$V$415)=FALSE,"",'Dvd Calendar'!$V$415))</f>
        <v/>
      </c>
      <c r="BI48" s="161">
        <f>IF(GK48="","",IF(ISNUMBER('Dvd Calendar'!$W$415)=FALSE,"",'Dvd Calendar'!$W$415))</f>
        <v/>
      </c>
      <c r="BJ48" s="161">
        <f>IF(GL48="","",IF(ISNUMBER('Dvd Calendar'!$X$415)=FALSE,"",'Dvd Calendar'!$X$415))</f>
        <v/>
      </c>
      <c r="BK48" s="161">
        <f>IF(GM48="","",IF(ISNUMBER('Dvd Calendar'!$Y$415)=FALSE,"",'Dvd Calendar'!$Y$415))</f>
        <v/>
      </c>
      <c r="BL48" s="161">
        <f>IF(GN48="","",IF(ISNUMBER('Dvd Calendar'!$Z$415)=FALSE,"",'Dvd Calendar'!$Z$415))</f>
        <v/>
      </c>
      <c r="BM48" s="161">
        <f>IF(GO48="","",IF(ISNUMBER('Dvd Calendar'!$AA$415)=FALSE,"",'Dvd Calendar'!$AA$415))</f>
        <v/>
      </c>
      <c r="BN48" s="161">
        <f>IF(GP48="","",IF(ISNUMBER('Dvd Calendar'!$AB$415)=FALSE,"",'Dvd Calendar'!$AB$415))</f>
        <v/>
      </c>
      <c r="BO48" s="161">
        <f>IF(GQ48="","",IF(ISNUMBER('Dvd Calendar'!$AC$415)=FALSE,"",'Dvd Calendar'!$AC$415))</f>
        <v/>
      </c>
      <c r="BQ48" s="161">
        <f>IF(C48="","",IFERROR(C48*HSI!$B$43*HSI!$G$43/HSI!$B$3,""))</f>
        <v/>
      </c>
      <c r="BR48" s="161">
        <f>IF(D48="","",IFERROR(D48*HSI!$B$43*HSI!$G$43/HSI!$B$3,""))</f>
        <v/>
      </c>
      <c r="BS48" s="161">
        <f>IF(E48="","",IFERROR(E48*HSI!$B$43*HSI!$G$43/HSI!$B$3,""))</f>
        <v/>
      </c>
      <c r="BT48" s="161">
        <f>IF(F48="","",IFERROR(F48*HSI!$B$43*HSI!$G$43/HSI!$B$3,""))</f>
        <v/>
      </c>
      <c r="BU48" s="161">
        <f>IF(G48="","",IFERROR(G48*HSI!$B$43*HSI!$G$43/HSI!$B$3,""))</f>
        <v/>
      </c>
      <c r="BV48" s="161">
        <f>IF(H48="","",IFERROR(H48*HSI!$B$43*HSI!$G$43/HSI!$B$3,""))</f>
        <v/>
      </c>
      <c r="BW48" s="161">
        <f>IF(I48="","",IFERROR(I48*HSI!$B$43*HSI!$G$43/HSI!$B$3,""))</f>
        <v/>
      </c>
      <c r="BX48" s="161">
        <f>IF(J48="","",IFERROR(J48*HSI!$B$43*HSI!$G$43/HSI!$B$3,""))</f>
        <v/>
      </c>
      <c r="BY48" s="161">
        <f>IF(K48="","",IFERROR(K48*HSI!$B$43*HSI!$G$43/HSI!$B$3,""))</f>
        <v/>
      </c>
      <c r="BZ48" s="161">
        <f>IF(L48="","",IFERROR(L48*HSI!$B$43*HSI!$G$43/HSI!$B$3,""))</f>
        <v/>
      </c>
      <c r="CA48" s="161">
        <f>IF(M48="","",IFERROR(M48*HSI!$B$43*HSI!$G$43/HSI!$B$3,""))</f>
        <v/>
      </c>
      <c r="CB48" s="161">
        <f>IF(N48="","",IFERROR(N48*HSI!$B$43*HSI!$G$43/HSI!$B$3,""))</f>
        <v/>
      </c>
      <c r="CC48" s="161">
        <f>IF(O48="","",IFERROR(O48*HSI!$B$43*HSI!$G$43/HSI!$B$3,""))</f>
        <v/>
      </c>
      <c r="CD48" s="161">
        <f>IF(P48="","",IFERROR(P48*HSI!$B$43*HSI!$G$43/HSI!$B$3,""))</f>
        <v/>
      </c>
      <c r="CE48" s="161">
        <f>IF(Q48="","",IFERROR(Q48*HSI!$B$43*HSI!$G$43/HSI!$B$3,""))</f>
        <v/>
      </c>
      <c r="CF48" s="161">
        <f>IF(R48="","",IFERROR(R48*HSI!$B$43*HSI!$G$43/HSI!$B$3,""))</f>
        <v/>
      </c>
      <c r="CG48" s="161">
        <f>IF(S48="","",IFERROR(S48*HSI!$B$43*HSI!$G$43/HSI!$B$3,""))</f>
        <v/>
      </c>
      <c r="CH48" s="161">
        <f>IF(T48="","",IFERROR(T48*HSI!$B$43*HSI!$G$43/HSI!$B$3,""))</f>
        <v/>
      </c>
      <c r="CI48" s="161">
        <f>IF(U48="","",IFERROR(U48*HSI!$B$43*HSI!$G$43/HSI!$B$3,""))</f>
        <v/>
      </c>
      <c r="CJ48" s="161">
        <f>IF(V48="","",IFERROR(V48*HSI!$B$43*HSI!$G$43/HSI!$B$3,""))</f>
        <v/>
      </c>
      <c r="CK48" s="161">
        <f>IF(W48="","",IFERROR(W48*HSI!$B$43*HSI!$G$43/HSI!$B$3,""))</f>
        <v/>
      </c>
      <c r="CL48" s="161">
        <f>IF(X48="","",IFERROR(X48*HSI!$B$43*HSI!$G$43/HSI!$B$3,""))</f>
        <v/>
      </c>
      <c r="CM48" s="161">
        <f>IF(Y48="","",IFERROR(Y48*HSI!$B$43*HSI!$G$43/HSI!$B$3,""))</f>
        <v/>
      </c>
      <c r="CN48" s="161">
        <f>IF(Z48="","",IFERROR(Z48*HSI!$B$43*HSI!$G$43/HSI!$B$3,""))</f>
        <v/>
      </c>
      <c r="CO48" s="161">
        <f>IF(AA48="","",IFERROR(AA48*HSI!$B$43*HSI!$G$43/HSI!$B$3,""))</f>
        <v/>
      </c>
      <c r="CP48" s="161">
        <f>IF(AB48="","",IFERROR(AB48*HSI!$B$43*HSI!$G$43/HSI!$B$3,""))</f>
        <v/>
      </c>
      <c r="CQ48" s="161">
        <f>IF(AC48="","",IFERROR(AC48*HSI!$B$43*HSI!$G$43/HSI!$B$3,""))</f>
        <v/>
      </c>
      <c r="CR48" s="161">
        <f>IF(AD48="","",IFERROR(AD48*HSI!$B$43*HSI!$G$43/HSI!$B$3,""))</f>
        <v/>
      </c>
      <c r="CS48" s="161">
        <f>IF(AE48="","",IFERROR(AE48*HSI!$B$43*HSI!$G$43/HSI!$B$3,""))</f>
        <v/>
      </c>
      <c r="CT48" s="161">
        <f>IF(AF48="","",IFERROR(AF48*HSI!$B$43*HSI!$G$43/HSI!$B$3,""))</f>
        <v/>
      </c>
      <c r="CU48" s="161">
        <f>IF(AG48="","",IFERROR(AG48*HSI!$B$43*HSI!$G$43/HSI!$B$3,""))</f>
        <v/>
      </c>
      <c r="CV48" s="161">
        <f>IF(AH48="","",IFERROR(AH48*HSI!$B$43*HSI!$G$43/HSI!$B$3,""))</f>
        <v/>
      </c>
      <c r="CW48" s="161">
        <f>IF(AI48="","",IFERROR(AI48*HSI!$B$43*HSI!$G$43/HSI!$B$3,""))</f>
        <v/>
      </c>
      <c r="CX48" s="161">
        <f>IF(AJ48="","",IFERROR(AJ48*HSI!$B$43*HSI!$G$43/HSI!$B$3,""))</f>
        <v/>
      </c>
      <c r="CY48" s="161">
        <f>IF(AK48="","",IFERROR(AK48*HSI!$B$43*HSI!$G$43/HSI!$B$3,""))</f>
        <v/>
      </c>
      <c r="CZ48" s="161">
        <f>IF(AL48="","",IFERROR(AL48*HSI!$B$43*HSI!$G$43/HSI!$B$3,""))</f>
        <v/>
      </c>
      <c r="DA48" s="161">
        <f>IF(AM48="","",IFERROR(AM48*HSI!$B$43*HSI!$G$43/HSI!$B$3,""))</f>
        <v/>
      </c>
      <c r="DB48" s="161">
        <f>IF(AN48="","",IFERROR(AN48*HSI!$B$43*HSI!$G$43/HSI!$B$3,""))</f>
        <v/>
      </c>
      <c r="DC48" s="161">
        <f>IF(AO48="","",IFERROR(AO48*HSI!$B$43*HSI!$G$43/HSI!$B$3,""))</f>
        <v/>
      </c>
      <c r="DD48" s="161">
        <f>IF(AP48="","",IFERROR(AP48*HSI!$B$43*HSI!$G$43/HSI!$B$3,""))</f>
        <v/>
      </c>
      <c r="DE48" s="161">
        <f>IF(AQ48="","",IFERROR(AQ48*HSI!$B$43*HSI!$G$43/HSI!$B$3,""))</f>
        <v/>
      </c>
      <c r="DF48" s="161">
        <f>IF(AR48="","",IFERROR(AR48*HSI!$B$43*HSI!$G$43/HSI!$B$3,""))</f>
        <v/>
      </c>
      <c r="DG48" s="161">
        <f>IF(AS48="","",IFERROR(AS48*HSI!$B$43*HSI!$G$43/HSI!$B$3,""))</f>
        <v/>
      </c>
      <c r="DH48" s="161">
        <f>IF(AT48="","",IFERROR(AT48*HSI!$B$43*HSI!$G$43/HSI!$B$3,""))</f>
        <v/>
      </c>
      <c r="DI48" s="161">
        <f>IF(AU48="","",IFERROR(AU48*HSI!$B$43*HSI!$G$43/HSI!$B$3,""))</f>
        <v/>
      </c>
      <c r="DJ48" s="161">
        <f>IF(AV48="","",IFERROR(AV48*HSI!$B$43*HSI!$G$43/HSI!$B$3,""))</f>
        <v/>
      </c>
      <c r="DK48" s="161">
        <f>IF(AW48="","",IFERROR(AW48*HSI!$B$43*HSI!$G$43/HSI!$B$3,""))</f>
        <v/>
      </c>
      <c r="DL48" s="161">
        <f>IF(AX48="","",IFERROR(AX48*HSI!$B$43*HSI!$G$43/HSI!$B$3,""))</f>
        <v/>
      </c>
      <c r="DM48" s="161">
        <f>IF(AY48="","",IFERROR(AY48*HSI!$B$43*HSI!$G$43/HSI!$B$3,""))</f>
        <v/>
      </c>
      <c r="DN48" s="161">
        <f>IF(AZ48="","",IFERROR(AZ48*HSI!$B$43*HSI!$G$43/HSI!$B$3,""))</f>
        <v/>
      </c>
      <c r="DO48" s="161">
        <f>IF(BA48="","",IFERROR(BA48*HSI!$B$43*HSI!$G$43/HSI!$B$3,""))</f>
        <v/>
      </c>
      <c r="DP48" s="161">
        <f>IF(BB48="","",IFERROR(BB48*HSI!$B$43*HSI!$G$43/HSI!$B$3,""))</f>
        <v/>
      </c>
      <c r="DQ48" s="161">
        <f>IF(BC48="","",IFERROR(BC48*HSI!$B$43*HSI!$G$43/HSI!$B$3,""))</f>
        <v/>
      </c>
      <c r="DR48" s="161">
        <f>IF(BD48="","",IFERROR(BD48*HSI!$B$43*HSI!$G$43/HSI!$B$3,""))</f>
        <v/>
      </c>
      <c r="DS48" s="161">
        <f>IF(BE48="","",IFERROR(BE48*HSI!$B$43*HSI!$G$43/HSI!$B$3,""))</f>
        <v/>
      </c>
      <c r="DT48" s="161">
        <f>IF(BF48="","",IFERROR(BF48*HSI!$B$43*HSI!$G$43/HSI!$B$3,""))</f>
        <v/>
      </c>
      <c r="DU48" s="161">
        <f>IF(BG48="","",IFERROR(BG48*HSI!$B$43*HSI!$G$43/HSI!$B$3,""))</f>
        <v/>
      </c>
      <c r="DV48" s="161">
        <f>IF(BH48="","",IFERROR(BH48*HSI!$B$43*HSI!$G$43/HSI!$B$3,""))</f>
        <v/>
      </c>
      <c r="DW48" s="161">
        <f>IF(BI48="","",IFERROR(BI48*HSI!$B$43*HSI!$G$43/HSI!$B$3,""))</f>
        <v/>
      </c>
      <c r="DX48" s="161">
        <f>IF(BJ48="","",IFERROR(BJ48*HSI!$B$43*HSI!$G$43/HSI!$B$3,""))</f>
        <v/>
      </c>
      <c r="DY48" s="161">
        <f>IF(BK48="","",IFERROR(BK48*HSI!$B$43*HSI!$G$43/HSI!$B$3,""))</f>
        <v/>
      </c>
      <c r="DZ48" s="161">
        <f>IF(BL48="","",IFERROR(BL48*HSI!$B$43*HSI!$G$43/HSI!$B$3,""))</f>
        <v/>
      </c>
      <c r="EA48" s="161">
        <f>IF(BM48="","",IFERROR(BM48*HSI!$B$43*HSI!$G$43/HSI!$B$3,""))</f>
        <v/>
      </c>
      <c r="EB48" s="161">
        <f>IF(BN48="","",IFERROR(BN48*HSI!$B$43*HSI!$G$43/HSI!$B$3,""))</f>
        <v/>
      </c>
      <c r="EC48" s="161">
        <f>IF(BO48="","",IFERROR(BO48*HSI!$B$43*HSI!$G$43/HSI!$B$3,""))</f>
        <v/>
      </c>
      <c r="EE48" s="121">
        <f>IF(N('Dvd Calendar'!$E$407)=0,"",IF(('Dvd Calendar'!$E$407&gt;=GRID_FROM)*('Dvd Calendar'!$E$407&lt;=GRID_TO)*((('Dvd Calendar'!$E$407&lt;=VAL_DATE)+(COUNTIF('Dvd Calendar'!$E$414:$AR$414,'Dvd Calendar'!$E$407)=0))&gt;0)=0,"",'Dvd Calendar'!$E$407*1000000000+ISNUMBER('Dvd Calendar'!$E$410)*100000000+('Dvd Calendar'!$E$412=SPECIAL_LBL)*10000000+(N('Dvd Calendar'!$E$406)&gt;0)*(N('Dvd Calendar'!$E$406)&lt;=VAL_SERIAL)*1000000+37*1000+1))</f>
        <v/>
      </c>
      <c r="EF48" s="121">
        <f>IF(N('Dvd Calendar'!$F$407)=0,"",IF(('Dvd Calendar'!$F$407&gt;=GRID_FROM)*('Dvd Calendar'!$F$407&lt;=GRID_TO)*((('Dvd Calendar'!$F$407&lt;=VAL_DATE)+(COUNTIF('Dvd Calendar'!$E$414:$AR$414,'Dvd Calendar'!$F$407)=0))&gt;0)=0,"",'Dvd Calendar'!$F$407*1000000000+ISNUMBER('Dvd Calendar'!$F$410)*100000000+('Dvd Calendar'!$F$412=SPECIAL_LBL)*10000000+(N('Dvd Calendar'!$F$406)&gt;0)*(N('Dvd Calendar'!$F$406)&lt;=VAL_SERIAL)*1000000+37*1000+2))</f>
        <v/>
      </c>
      <c r="EG48" s="121">
        <f>IF(N('Dvd Calendar'!$G$407)=0,"",IF(('Dvd Calendar'!$G$407&gt;=GRID_FROM)*('Dvd Calendar'!$G$407&lt;=GRID_TO)*((('Dvd Calendar'!$G$407&lt;=VAL_DATE)+(COUNTIF('Dvd Calendar'!$E$414:$AR$414,'Dvd Calendar'!$G$407)=0))&gt;0)=0,"",'Dvd Calendar'!$G$407*1000000000+ISNUMBER('Dvd Calendar'!$G$410)*100000000+('Dvd Calendar'!$G$412=SPECIAL_LBL)*10000000+(N('Dvd Calendar'!$G$406)&gt;0)*(N('Dvd Calendar'!$G$406)&lt;=VAL_SERIAL)*1000000+37*1000+3))</f>
        <v/>
      </c>
      <c r="EH48" s="121">
        <f>IF(N('Dvd Calendar'!$H$407)=0,"",IF(('Dvd Calendar'!$H$407&gt;=GRID_FROM)*('Dvd Calendar'!$H$407&lt;=GRID_TO)*((('Dvd Calendar'!$H$407&lt;=VAL_DATE)+(COUNTIF('Dvd Calendar'!$E$414:$AR$414,'Dvd Calendar'!$H$407)=0))&gt;0)=0,"",'Dvd Calendar'!$H$407*1000000000+ISNUMBER('Dvd Calendar'!$H$410)*100000000+('Dvd Calendar'!$H$412=SPECIAL_LBL)*10000000+(N('Dvd Calendar'!$H$406)&gt;0)*(N('Dvd Calendar'!$H$406)&lt;=VAL_SERIAL)*1000000+37*1000+4))</f>
        <v/>
      </c>
      <c r="EI48" s="121">
        <f>IF(N('Dvd Calendar'!$I$407)=0,"",IF(('Dvd Calendar'!$I$407&gt;=GRID_FROM)*('Dvd Calendar'!$I$407&lt;=GRID_TO)*((('Dvd Calendar'!$I$407&lt;=VAL_DATE)+(COUNTIF('Dvd Calendar'!$E$414:$AR$414,'Dvd Calendar'!$I$407)=0))&gt;0)=0,"",'Dvd Calendar'!$I$407*1000000000+ISNUMBER('Dvd Calendar'!$I$410)*100000000+('Dvd Calendar'!$I$412=SPECIAL_LBL)*10000000+(N('Dvd Calendar'!$I$406)&gt;0)*(N('Dvd Calendar'!$I$406)&lt;=VAL_SERIAL)*1000000+37*1000+5))</f>
        <v/>
      </c>
      <c r="EJ48" s="121">
        <f>IF(N('Dvd Calendar'!$J$407)=0,"",IF(('Dvd Calendar'!$J$407&gt;=GRID_FROM)*('Dvd Calendar'!$J$407&lt;=GRID_TO)*((('Dvd Calendar'!$J$407&lt;=VAL_DATE)+(COUNTIF('Dvd Calendar'!$E$414:$AR$414,'Dvd Calendar'!$J$407)=0))&gt;0)=0,"",'Dvd Calendar'!$J$407*1000000000+ISNUMBER('Dvd Calendar'!$J$410)*100000000+('Dvd Calendar'!$J$412=SPECIAL_LBL)*10000000+(N('Dvd Calendar'!$J$406)&gt;0)*(N('Dvd Calendar'!$J$406)&lt;=VAL_SERIAL)*1000000+37*1000+6))</f>
        <v/>
      </c>
      <c r="EK48" s="121">
        <f>IF(N('Dvd Calendar'!$K$407)=0,"",IF(('Dvd Calendar'!$K$407&gt;=GRID_FROM)*('Dvd Calendar'!$K$407&lt;=GRID_TO)*((('Dvd Calendar'!$K$407&lt;=VAL_DATE)+(COUNTIF('Dvd Calendar'!$E$414:$AR$414,'Dvd Calendar'!$K$407)=0))&gt;0)=0,"",'Dvd Calendar'!$K$407*1000000000+ISNUMBER('Dvd Calendar'!$K$410)*100000000+('Dvd Calendar'!$K$412=SPECIAL_LBL)*10000000+(N('Dvd Calendar'!$K$406)&gt;0)*(N('Dvd Calendar'!$K$406)&lt;=VAL_SERIAL)*1000000+37*1000+7))</f>
        <v/>
      </c>
      <c r="EL48" s="121">
        <f>IF(N('Dvd Calendar'!$L$407)=0,"",IF(('Dvd Calendar'!$L$407&gt;=GRID_FROM)*('Dvd Calendar'!$L$407&lt;=GRID_TO)*((('Dvd Calendar'!$L$407&lt;=VAL_DATE)+(COUNTIF('Dvd Calendar'!$E$414:$AR$414,'Dvd Calendar'!$L$407)=0))&gt;0)=0,"",'Dvd Calendar'!$L$407*1000000000+ISNUMBER('Dvd Calendar'!$L$410)*100000000+('Dvd Calendar'!$L$412=SPECIAL_LBL)*10000000+(N('Dvd Calendar'!$L$406)&gt;0)*(N('Dvd Calendar'!$L$406)&lt;=VAL_SERIAL)*1000000+37*1000+8))</f>
        <v/>
      </c>
      <c r="EM48" s="121">
        <f>IF(N('Dvd Calendar'!$M$407)=0,"",IF(('Dvd Calendar'!$M$407&gt;=GRID_FROM)*('Dvd Calendar'!$M$407&lt;=GRID_TO)*((('Dvd Calendar'!$M$407&lt;=VAL_DATE)+(COUNTIF('Dvd Calendar'!$E$414:$AR$414,'Dvd Calendar'!$M$407)=0))&gt;0)=0,"",'Dvd Calendar'!$M$407*1000000000+ISNUMBER('Dvd Calendar'!$M$410)*100000000+('Dvd Calendar'!$M$412=SPECIAL_LBL)*10000000+(N('Dvd Calendar'!$M$406)&gt;0)*(N('Dvd Calendar'!$M$406)&lt;=VAL_SERIAL)*1000000+37*1000+9))</f>
        <v/>
      </c>
      <c r="EN48" s="121">
        <f>IF(N('Dvd Calendar'!$N$407)=0,"",IF(('Dvd Calendar'!$N$407&gt;=GRID_FROM)*('Dvd Calendar'!$N$407&lt;=GRID_TO)*((('Dvd Calendar'!$N$407&lt;=VAL_DATE)+(COUNTIF('Dvd Calendar'!$E$414:$AR$414,'Dvd Calendar'!$N$407)=0))&gt;0)=0,"",'Dvd Calendar'!$N$407*1000000000+ISNUMBER('Dvd Calendar'!$N$410)*100000000+('Dvd Calendar'!$N$412=SPECIAL_LBL)*10000000+(N('Dvd Calendar'!$N$406)&gt;0)*(N('Dvd Calendar'!$N$406)&lt;=VAL_SERIAL)*1000000+37*1000+10))</f>
        <v/>
      </c>
      <c r="EO48" s="121">
        <f>IF(N('Dvd Calendar'!$O$407)=0,"",IF(('Dvd Calendar'!$O$407&gt;=GRID_FROM)*('Dvd Calendar'!$O$407&lt;=GRID_TO)*((('Dvd Calendar'!$O$407&lt;=VAL_DATE)+(COUNTIF('Dvd Calendar'!$E$414:$AR$414,'Dvd Calendar'!$O$407)=0))&gt;0)=0,"",'Dvd Calendar'!$O$407*1000000000+ISNUMBER('Dvd Calendar'!$O$410)*100000000+('Dvd Calendar'!$O$412=SPECIAL_LBL)*10000000+(N('Dvd Calendar'!$O$406)&gt;0)*(N('Dvd Calendar'!$O$406)&lt;=VAL_SERIAL)*1000000+37*1000+11))</f>
        <v/>
      </c>
      <c r="EP48" s="121">
        <f>IF(N('Dvd Calendar'!$P$407)=0,"",IF(('Dvd Calendar'!$P$407&gt;=GRID_FROM)*('Dvd Calendar'!$P$407&lt;=GRID_TO)*((('Dvd Calendar'!$P$407&lt;=VAL_DATE)+(COUNTIF('Dvd Calendar'!$E$414:$AR$414,'Dvd Calendar'!$P$407)=0))&gt;0)=0,"",'Dvd Calendar'!$P$407*1000000000+ISNUMBER('Dvd Calendar'!$P$410)*100000000+('Dvd Calendar'!$P$412=SPECIAL_LBL)*10000000+(N('Dvd Calendar'!$P$406)&gt;0)*(N('Dvd Calendar'!$P$406)&lt;=VAL_SERIAL)*1000000+37*1000+12))</f>
        <v/>
      </c>
      <c r="EQ48" s="121">
        <f>IF(N('Dvd Calendar'!$Q$407)=0,"",IF(('Dvd Calendar'!$Q$407&gt;=GRID_FROM)*('Dvd Calendar'!$Q$407&lt;=GRID_TO)*((('Dvd Calendar'!$Q$407&lt;=VAL_DATE)+(COUNTIF('Dvd Calendar'!$E$414:$AR$414,'Dvd Calendar'!$Q$407)=0))&gt;0)=0,"",'Dvd Calendar'!$Q$407*1000000000+ISNUMBER('Dvd Calendar'!$Q$410)*100000000+('Dvd Calendar'!$Q$412=SPECIAL_LBL)*10000000+(N('Dvd Calendar'!$Q$406)&gt;0)*(N('Dvd Calendar'!$Q$406)&lt;=VAL_SERIAL)*1000000+37*1000+13))</f>
        <v/>
      </c>
      <c r="ER48" s="121">
        <f>IF(N('Dvd Calendar'!$R$407)=0,"",IF(('Dvd Calendar'!$R$407&gt;=GRID_FROM)*('Dvd Calendar'!$R$407&lt;=GRID_TO)*((('Dvd Calendar'!$R$407&lt;=VAL_DATE)+(COUNTIF('Dvd Calendar'!$E$414:$AR$414,'Dvd Calendar'!$R$407)=0))&gt;0)=0,"",'Dvd Calendar'!$R$407*1000000000+ISNUMBER('Dvd Calendar'!$R$410)*100000000+('Dvd Calendar'!$R$412=SPECIAL_LBL)*10000000+(N('Dvd Calendar'!$R$406)&gt;0)*(N('Dvd Calendar'!$R$406)&lt;=VAL_SERIAL)*1000000+37*1000+14))</f>
        <v/>
      </c>
      <c r="ES48" s="121">
        <f>IF(N('Dvd Calendar'!$S$407)=0,"",IF(('Dvd Calendar'!$S$407&gt;=GRID_FROM)*('Dvd Calendar'!$S$407&lt;=GRID_TO)*((('Dvd Calendar'!$S$407&lt;=VAL_DATE)+(COUNTIF('Dvd Calendar'!$E$414:$AR$414,'Dvd Calendar'!$S$407)=0))&gt;0)=0,"",'Dvd Calendar'!$S$407*1000000000+ISNUMBER('Dvd Calendar'!$S$410)*100000000+('Dvd Calendar'!$S$412=SPECIAL_LBL)*10000000+(N('Dvd Calendar'!$S$406)&gt;0)*(N('Dvd Calendar'!$S$406)&lt;=VAL_SERIAL)*1000000+37*1000+15))</f>
        <v/>
      </c>
      <c r="ET48" s="121">
        <f>IF(N('Dvd Calendar'!$T$407)=0,"",IF(('Dvd Calendar'!$T$407&gt;=GRID_FROM)*('Dvd Calendar'!$T$407&lt;=GRID_TO)*((('Dvd Calendar'!$T$407&lt;=VAL_DATE)+(COUNTIF('Dvd Calendar'!$E$414:$AR$414,'Dvd Calendar'!$T$407)=0))&gt;0)=0,"",'Dvd Calendar'!$T$407*1000000000+ISNUMBER('Dvd Calendar'!$T$410)*100000000+('Dvd Calendar'!$T$412=SPECIAL_LBL)*10000000+(N('Dvd Calendar'!$T$406)&gt;0)*(N('Dvd Calendar'!$T$406)&lt;=VAL_SERIAL)*1000000+37*1000+16))</f>
        <v/>
      </c>
      <c r="EU48" s="121">
        <f>IF(N('Dvd Calendar'!$U$407)=0,"",IF(('Dvd Calendar'!$U$407&gt;=GRID_FROM)*('Dvd Calendar'!$U$407&lt;=GRID_TO)*((('Dvd Calendar'!$U$407&lt;=VAL_DATE)+(COUNTIF('Dvd Calendar'!$E$414:$AR$414,'Dvd Calendar'!$U$407)=0))&gt;0)=0,"",'Dvd Calendar'!$U$407*1000000000+ISNUMBER('Dvd Calendar'!$U$410)*100000000+('Dvd Calendar'!$U$412=SPECIAL_LBL)*10000000+(N('Dvd Calendar'!$U$406)&gt;0)*(N('Dvd Calendar'!$U$406)&lt;=VAL_SERIAL)*1000000+37*1000+17))</f>
        <v/>
      </c>
      <c r="EV48" s="121">
        <f>IF(N('Dvd Calendar'!$V$407)=0,"",IF(('Dvd Calendar'!$V$407&gt;=GRID_FROM)*('Dvd Calendar'!$V$407&lt;=GRID_TO)*((('Dvd Calendar'!$V$407&lt;=VAL_DATE)+(COUNTIF('Dvd Calendar'!$E$414:$AR$414,'Dvd Calendar'!$V$407)=0))&gt;0)=0,"",'Dvd Calendar'!$V$407*1000000000+ISNUMBER('Dvd Calendar'!$V$410)*100000000+('Dvd Calendar'!$V$412=SPECIAL_LBL)*10000000+(N('Dvd Calendar'!$V$406)&gt;0)*(N('Dvd Calendar'!$V$406)&lt;=VAL_SERIAL)*1000000+37*1000+18))</f>
        <v/>
      </c>
      <c r="EW48" s="121">
        <f>IF(N('Dvd Calendar'!$W$407)=0,"",IF(('Dvd Calendar'!$W$407&gt;=GRID_FROM)*('Dvd Calendar'!$W$407&lt;=GRID_TO)*((('Dvd Calendar'!$W$407&lt;=VAL_DATE)+(COUNTIF('Dvd Calendar'!$E$414:$AR$414,'Dvd Calendar'!$W$407)=0))&gt;0)=0,"",'Dvd Calendar'!$W$407*1000000000+ISNUMBER('Dvd Calendar'!$W$410)*100000000+('Dvd Calendar'!$W$412=SPECIAL_LBL)*10000000+(N('Dvd Calendar'!$W$406)&gt;0)*(N('Dvd Calendar'!$W$406)&lt;=VAL_SERIAL)*1000000+37*1000+19))</f>
        <v/>
      </c>
      <c r="EX48" s="121">
        <f>IF(N('Dvd Calendar'!$X$407)=0,"",IF(('Dvd Calendar'!$X$407&gt;=GRID_FROM)*('Dvd Calendar'!$X$407&lt;=GRID_TO)*((('Dvd Calendar'!$X$407&lt;=VAL_DATE)+(COUNTIF('Dvd Calendar'!$E$414:$AR$414,'Dvd Calendar'!$X$407)=0))&gt;0)=0,"",'Dvd Calendar'!$X$407*1000000000+ISNUMBER('Dvd Calendar'!$X$410)*100000000+('Dvd Calendar'!$X$412=SPECIAL_LBL)*10000000+(N('Dvd Calendar'!$X$406)&gt;0)*(N('Dvd Calendar'!$X$406)&lt;=VAL_SERIAL)*1000000+37*1000+20))</f>
        <v/>
      </c>
      <c r="EY48" s="121">
        <f>IF(N('Dvd Calendar'!$Y$407)=0,"",IF(('Dvd Calendar'!$Y$407&gt;=GRID_FROM)*('Dvd Calendar'!$Y$407&lt;=GRID_TO)*((('Dvd Calendar'!$Y$407&lt;=VAL_DATE)+(COUNTIF('Dvd Calendar'!$E$414:$AR$414,'Dvd Calendar'!$Y$407)=0))&gt;0)=0,"",'Dvd Calendar'!$Y$407*1000000000+ISNUMBER('Dvd Calendar'!$Y$410)*100000000+('Dvd Calendar'!$Y$412=SPECIAL_LBL)*10000000+(N('Dvd Calendar'!$Y$406)&gt;0)*(N('Dvd Calendar'!$Y$406)&lt;=VAL_SERIAL)*1000000+37*1000+21))</f>
        <v/>
      </c>
      <c r="EZ48" s="121">
        <f>IF(N('Dvd Calendar'!$Z$407)=0,"",IF(('Dvd Calendar'!$Z$407&gt;=GRID_FROM)*('Dvd Calendar'!$Z$407&lt;=GRID_TO)*((('Dvd Calendar'!$Z$407&lt;=VAL_DATE)+(COUNTIF('Dvd Calendar'!$E$414:$AR$414,'Dvd Calendar'!$Z$407)=0))&gt;0)=0,"",'Dvd Calendar'!$Z$407*1000000000+ISNUMBER('Dvd Calendar'!$Z$410)*100000000+('Dvd Calendar'!$Z$412=SPECIAL_LBL)*10000000+(N('Dvd Calendar'!$Z$406)&gt;0)*(N('Dvd Calendar'!$Z$406)&lt;=VAL_SERIAL)*1000000+37*1000+22))</f>
        <v/>
      </c>
      <c r="FA48" s="121">
        <f>IF(N('Dvd Calendar'!$AA$407)=0,"",IF(('Dvd Calendar'!$AA$407&gt;=GRID_FROM)*('Dvd Calendar'!$AA$407&lt;=GRID_TO)*((('Dvd Calendar'!$AA$407&lt;=VAL_DATE)+(COUNTIF('Dvd Calendar'!$E$414:$AR$414,'Dvd Calendar'!$AA$407)=0))&gt;0)=0,"",'Dvd Calendar'!$AA$407*1000000000+ISNUMBER('Dvd Calendar'!$AA$410)*100000000+('Dvd Calendar'!$AA$412=SPECIAL_LBL)*10000000+(N('Dvd Calendar'!$AA$406)&gt;0)*(N('Dvd Calendar'!$AA$406)&lt;=VAL_SERIAL)*1000000+37*1000+23))</f>
        <v/>
      </c>
      <c r="FB48" s="121">
        <f>IF(N('Dvd Calendar'!$AB$407)=0,"",IF(('Dvd Calendar'!$AB$407&gt;=GRID_FROM)*('Dvd Calendar'!$AB$407&lt;=GRID_TO)*((('Dvd Calendar'!$AB$407&lt;=VAL_DATE)+(COUNTIF('Dvd Calendar'!$E$414:$AR$414,'Dvd Calendar'!$AB$407)=0))&gt;0)=0,"",'Dvd Calendar'!$AB$407*1000000000+ISNUMBER('Dvd Calendar'!$AB$410)*100000000+('Dvd Calendar'!$AB$412=SPECIAL_LBL)*10000000+(N('Dvd Calendar'!$AB$406)&gt;0)*(N('Dvd Calendar'!$AB$406)&lt;=VAL_SERIAL)*1000000+37*1000+24))</f>
        <v/>
      </c>
      <c r="FC48" s="121">
        <f>IF(N('Dvd Calendar'!$AC$407)=0,"",IF(('Dvd Calendar'!$AC$407&gt;=GRID_FROM)*('Dvd Calendar'!$AC$407&lt;=GRID_TO)*((('Dvd Calendar'!$AC$407&lt;=VAL_DATE)+(COUNTIF('Dvd Calendar'!$E$414:$AR$414,'Dvd Calendar'!$AC$407)=0))&gt;0)=0,"",'Dvd Calendar'!$AC$407*1000000000+ISNUMBER('Dvd Calendar'!$AC$410)*100000000+('Dvd Calendar'!$AC$412=SPECIAL_LBL)*10000000+(N('Dvd Calendar'!$AC$406)&gt;0)*(N('Dvd Calendar'!$AC$406)&lt;=VAL_SERIAL)*1000000+37*1000+25))</f>
        <v/>
      </c>
      <c r="FD48" s="121">
        <f>IF(N('Dvd Calendar'!$AD$407)=0,"",IF(('Dvd Calendar'!$AD$407&gt;=GRID_FROM)*('Dvd Calendar'!$AD$407&lt;=GRID_TO)*((('Dvd Calendar'!$AD$407&lt;=VAL_DATE)+(COUNTIF('Dvd Calendar'!$E$414:$AR$414,'Dvd Calendar'!$AD$407)=0))&gt;0)=0,"",'Dvd Calendar'!$AD$407*1000000000+ISNUMBER('Dvd Calendar'!$AD$410)*100000000+('Dvd Calendar'!$AD$412=SPECIAL_LBL)*10000000+(N('Dvd Calendar'!$AD$406)&gt;0)*(N('Dvd Calendar'!$AD$406)&lt;=VAL_SERIAL)*1000000+37*1000+26))</f>
        <v/>
      </c>
      <c r="FE48" s="121">
        <f>IF(N('Dvd Calendar'!$AE$407)=0,"",IF(('Dvd Calendar'!$AE$407&gt;=GRID_FROM)*('Dvd Calendar'!$AE$407&lt;=GRID_TO)*((('Dvd Calendar'!$AE$407&lt;=VAL_DATE)+(COUNTIF('Dvd Calendar'!$E$414:$AR$414,'Dvd Calendar'!$AE$407)=0))&gt;0)=0,"",'Dvd Calendar'!$AE$407*1000000000+ISNUMBER('Dvd Calendar'!$AE$410)*100000000+('Dvd Calendar'!$AE$412=SPECIAL_LBL)*10000000+(N('Dvd Calendar'!$AE$406)&gt;0)*(N('Dvd Calendar'!$AE$406)&lt;=VAL_SERIAL)*1000000+37*1000+27))</f>
        <v/>
      </c>
      <c r="FF48" s="121">
        <f>IF(N('Dvd Calendar'!$AF$407)=0,"",IF(('Dvd Calendar'!$AF$407&gt;=GRID_FROM)*('Dvd Calendar'!$AF$407&lt;=GRID_TO)*((('Dvd Calendar'!$AF$407&lt;=VAL_DATE)+(COUNTIF('Dvd Calendar'!$E$414:$AR$414,'Dvd Calendar'!$AF$407)=0))&gt;0)=0,"",'Dvd Calendar'!$AF$407*1000000000+ISNUMBER('Dvd Calendar'!$AF$410)*100000000+('Dvd Calendar'!$AF$412=SPECIAL_LBL)*10000000+(N('Dvd Calendar'!$AF$406)&gt;0)*(N('Dvd Calendar'!$AF$406)&lt;=VAL_SERIAL)*1000000+37*1000+28))</f>
        <v/>
      </c>
      <c r="FG48" s="121">
        <f>IF(N('Dvd Calendar'!$AG$407)=0,"",IF(('Dvd Calendar'!$AG$407&gt;=GRID_FROM)*('Dvd Calendar'!$AG$407&lt;=GRID_TO)*((('Dvd Calendar'!$AG$407&lt;=VAL_DATE)+(COUNTIF('Dvd Calendar'!$E$414:$AR$414,'Dvd Calendar'!$AG$407)=0))&gt;0)=0,"",'Dvd Calendar'!$AG$407*1000000000+ISNUMBER('Dvd Calendar'!$AG$410)*100000000+('Dvd Calendar'!$AG$412=SPECIAL_LBL)*10000000+(N('Dvd Calendar'!$AG$406)&gt;0)*(N('Dvd Calendar'!$AG$406)&lt;=VAL_SERIAL)*1000000+37*1000+29))</f>
        <v/>
      </c>
      <c r="FH48" s="121">
        <f>IF(N('Dvd Calendar'!$AH$407)=0,"",IF(('Dvd Calendar'!$AH$407&gt;=GRID_FROM)*('Dvd Calendar'!$AH$407&lt;=GRID_TO)*((('Dvd Calendar'!$AH$407&lt;=VAL_DATE)+(COUNTIF('Dvd Calendar'!$E$414:$AR$414,'Dvd Calendar'!$AH$407)=0))&gt;0)=0,"",'Dvd Calendar'!$AH$407*1000000000+ISNUMBER('Dvd Calendar'!$AH$410)*100000000+('Dvd Calendar'!$AH$412=SPECIAL_LBL)*10000000+(N('Dvd Calendar'!$AH$406)&gt;0)*(N('Dvd Calendar'!$AH$406)&lt;=VAL_SERIAL)*1000000+37*1000+30))</f>
        <v/>
      </c>
      <c r="FI48" s="121">
        <f>IF(N('Dvd Calendar'!$AI$407)=0,"",IF(('Dvd Calendar'!$AI$407&gt;=GRID_FROM)*('Dvd Calendar'!$AI$407&lt;=GRID_TO)*((('Dvd Calendar'!$AI$407&lt;=VAL_DATE)+(COUNTIF('Dvd Calendar'!$E$414:$AR$414,'Dvd Calendar'!$AI$407)=0))&gt;0)=0,"",'Dvd Calendar'!$AI$407*1000000000+ISNUMBER('Dvd Calendar'!$AI$410)*100000000+('Dvd Calendar'!$AI$412=SPECIAL_LBL)*10000000+(N('Dvd Calendar'!$AI$406)&gt;0)*(N('Dvd Calendar'!$AI$406)&lt;=VAL_SERIAL)*1000000+37*1000+31))</f>
        <v/>
      </c>
      <c r="FJ48" s="121">
        <f>IF(N('Dvd Calendar'!$AJ$407)=0,"",IF(('Dvd Calendar'!$AJ$407&gt;=GRID_FROM)*('Dvd Calendar'!$AJ$407&lt;=GRID_TO)*((('Dvd Calendar'!$AJ$407&lt;=VAL_DATE)+(COUNTIF('Dvd Calendar'!$E$414:$AR$414,'Dvd Calendar'!$AJ$407)=0))&gt;0)=0,"",'Dvd Calendar'!$AJ$407*1000000000+ISNUMBER('Dvd Calendar'!$AJ$410)*100000000+('Dvd Calendar'!$AJ$412=SPECIAL_LBL)*10000000+(N('Dvd Calendar'!$AJ$406)&gt;0)*(N('Dvd Calendar'!$AJ$406)&lt;=VAL_SERIAL)*1000000+37*1000+32))</f>
        <v/>
      </c>
      <c r="FK48" s="121">
        <f>IF(N('Dvd Calendar'!$AK$407)=0,"",IF(('Dvd Calendar'!$AK$407&gt;=GRID_FROM)*('Dvd Calendar'!$AK$407&lt;=GRID_TO)*((('Dvd Calendar'!$AK$407&lt;=VAL_DATE)+(COUNTIF('Dvd Calendar'!$E$414:$AR$414,'Dvd Calendar'!$AK$407)=0))&gt;0)=0,"",'Dvd Calendar'!$AK$407*1000000000+ISNUMBER('Dvd Calendar'!$AK$410)*100000000+('Dvd Calendar'!$AK$412=SPECIAL_LBL)*10000000+(N('Dvd Calendar'!$AK$406)&gt;0)*(N('Dvd Calendar'!$AK$406)&lt;=VAL_SERIAL)*1000000+37*1000+33))</f>
        <v/>
      </c>
      <c r="FL48" s="121">
        <f>IF(N('Dvd Calendar'!$AL$407)=0,"",IF(('Dvd Calendar'!$AL$407&gt;=GRID_FROM)*('Dvd Calendar'!$AL$407&lt;=GRID_TO)*((('Dvd Calendar'!$AL$407&lt;=VAL_DATE)+(COUNTIF('Dvd Calendar'!$E$414:$AR$414,'Dvd Calendar'!$AL$407)=0))&gt;0)=0,"",'Dvd Calendar'!$AL$407*1000000000+ISNUMBER('Dvd Calendar'!$AL$410)*100000000+('Dvd Calendar'!$AL$412=SPECIAL_LBL)*10000000+(N('Dvd Calendar'!$AL$406)&gt;0)*(N('Dvd Calendar'!$AL$406)&lt;=VAL_SERIAL)*1000000+37*1000+34))</f>
        <v/>
      </c>
      <c r="FM48" s="121">
        <f>IF(N('Dvd Calendar'!$AM$407)=0,"",IF(('Dvd Calendar'!$AM$407&gt;=GRID_FROM)*('Dvd Calendar'!$AM$407&lt;=GRID_TO)*((('Dvd Calendar'!$AM$407&lt;=VAL_DATE)+(COUNTIF('Dvd Calendar'!$E$414:$AR$414,'Dvd Calendar'!$AM$407)=0))&gt;0)=0,"",'Dvd Calendar'!$AM$407*1000000000+ISNUMBER('Dvd Calendar'!$AM$410)*100000000+('Dvd Calendar'!$AM$412=SPECIAL_LBL)*10000000+(N('Dvd Calendar'!$AM$406)&gt;0)*(N('Dvd Calendar'!$AM$406)&lt;=VAL_SERIAL)*1000000+37*1000+35))</f>
        <v/>
      </c>
      <c r="FN48" s="121">
        <f>IF(N('Dvd Calendar'!$AN$407)=0,"",IF(('Dvd Calendar'!$AN$407&gt;=GRID_FROM)*('Dvd Calendar'!$AN$407&lt;=GRID_TO)*((('Dvd Calendar'!$AN$407&lt;=VAL_DATE)+(COUNTIF('Dvd Calendar'!$E$414:$AR$414,'Dvd Calendar'!$AN$407)=0))&gt;0)=0,"",'Dvd Calendar'!$AN$407*1000000000+ISNUMBER('Dvd Calendar'!$AN$410)*100000000+('Dvd Calendar'!$AN$412=SPECIAL_LBL)*10000000+(N('Dvd Calendar'!$AN$406)&gt;0)*(N('Dvd Calendar'!$AN$406)&lt;=VAL_SERIAL)*1000000+37*1000+36))</f>
        <v/>
      </c>
      <c r="FO48" s="121">
        <f>IF(N('Dvd Calendar'!$AO$407)=0,"",IF(('Dvd Calendar'!$AO$407&gt;=GRID_FROM)*('Dvd Calendar'!$AO$407&lt;=GRID_TO)*((('Dvd Calendar'!$AO$407&lt;=VAL_DATE)+(COUNTIF('Dvd Calendar'!$E$414:$AR$414,'Dvd Calendar'!$AO$407)=0))&gt;0)=0,"",'Dvd Calendar'!$AO$407*1000000000+ISNUMBER('Dvd Calendar'!$AO$410)*100000000+('Dvd Calendar'!$AO$412=SPECIAL_LBL)*10000000+(N('Dvd Calendar'!$AO$406)&gt;0)*(N('Dvd Calendar'!$AO$406)&lt;=VAL_SERIAL)*1000000+37*1000+37))</f>
        <v/>
      </c>
      <c r="FP48" s="121">
        <f>IF(N('Dvd Calendar'!$AP$407)=0,"",IF(('Dvd Calendar'!$AP$407&gt;=GRID_FROM)*('Dvd Calendar'!$AP$407&lt;=GRID_TO)*((('Dvd Calendar'!$AP$407&lt;=VAL_DATE)+(COUNTIF('Dvd Calendar'!$E$414:$AR$414,'Dvd Calendar'!$AP$407)=0))&gt;0)=0,"",'Dvd Calendar'!$AP$407*1000000000+ISNUMBER('Dvd Calendar'!$AP$410)*100000000+('Dvd Calendar'!$AP$412=SPECIAL_LBL)*10000000+(N('Dvd Calendar'!$AP$406)&gt;0)*(N('Dvd Calendar'!$AP$406)&lt;=VAL_SERIAL)*1000000+37*1000+38))</f>
        <v/>
      </c>
      <c r="FQ48" s="121">
        <f>IF(N('Dvd Calendar'!$AQ$407)=0,"",IF(('Dvd Calendar'!$AQ$407&gt;=GRID_FROM)*('Dvd Calendar'!$AQ$407&lt;=GRID_TO)*((('Dvd Calendar'!$AQ$407&lt;=VAL_DATE)+(COUNTIF('Dvd Calendar'!$E$414:$AR$414,'Dvd Calendar'!$AQ$407)=0))&gt;0)=0,"",'Dvd Calendar'!$AQ$407*1000000000+ISNUMBER('Dvd Calendar'!$AQ$410)*100000000+('Dvd Calendar'!$AQ$412=SPECIAL_LBL)*10000000+(N('Dvd Calendar'!$AQ$406)&gt;0)*(N('Dvd Calendar'!$AQ$406)&lt;=VAL_SERIAL)*1000000+37*1000+39))</f>
        <v/>
      </c>
      <c r="FR48" s="121">
        <f>IF(N('Dvd Calendar'!$AR$407)=0,"",IF(('Dvd Calendar'!$AR$407&gt;=GRID_FROM)*('Dvd Calendar'!$AR$407&lt;=GRID_TO)*((('Dvd Calendar'!$AR$407&lt;=VAL_DATE)+(COUNTIF('Dvd Calendar'!$E$414:$AR$414,'Dvd Calendar'!$AR$407)=0))&gt;0)=0,"",'Dvd Calendar'!$AR$407*1000000000+ISNUMBER('Dvd Calendar'!$AR$410)*100000000+('Dvd Calendar'!$AR$412=SPECIAL_LBL)*10000000+(N('Dvd Calendar'!$AR$406)&gt;0)*(N('Dvd Calendar'!$AR$406)&lt;=VAL_SERIAL)*1000000+37*1000+40))</f>
        <v/>
      </c>
      <c r="FS48" s="121">
        <f>IF(N('Dvd Calendar'!$E$414)=0,"",IF(('Dvd Calendar'!$E$414&gt;=GRID_FROM)*('Dvd Calendar'!$E$414&lt;=GRID_TO)*('Dvd Calendar'!$E$414&gt;VAL_DATE)=0,"",'Dvd Calendar'!$E$414*1000000000+ISNUMBER('Dvd Calendar'!$E$415)*100000000+0*10000000+(N('Dvd Calendar'!$E$413)&gt;0)*(N('Dvd Calendar'!$E$413)&lt;=VAL_SERIAL)*1000000+37*1000+41))</f>
        <v/>
      </c>
      <c r="FT48" s="121">
        <f>IF(N('Dvd Calendar'!$F$414)=0,"",IF(('Dvd Calendar'!$F$414&gt;=GRID_FROM)*('Dvd Calendar'!$F$414&lt;=GRID_TO)*('Dvd Calendar'!$F$414&gt;VAL_DATE)=0,"",'Dvd Calendar'!$F$414*1000000000+ISNUMBER('Dvd Calendar'!$F$415)*100000000+0*10000000+(N('Dvd Calendar'!$F$413)&gt;0)*(N('Dvd Calendar'!$F$413)&lt;=VAL_SERIAL)*1000000+37*1000+42))</f>
        <v/>
      </c>
      <c r="FU48" s="121">
        <f>IF(N('Dvd Calendar'!$G$414)=0,"",IF(('Dvd Calendar'!$G$414&gt;=GRID_FROM)*('Dvd Calendar'!$G$414&lt;=GRID_TO)*('Dvd Calendar'!$G$414&gt;VAL_DATE)=0,"",'Dvd Calendar'!$G$414*1000000000+ISNUMBER('Dvd Calendar'!$G$415)*100000000+0*10000000+(N('Dvd Calendar'!$G$413)&gt;0)*(N('Dvd Calendar'!$G$413)&lt;=VAL_SERIAL)*1000000+37*1000+43))</f>
        <v/>
      </c>
      <c r="FV48" s="121">
        <f>IF(N('Dvd Calendar'!$H$414)=0,"",IF(('Dvd Calendar'!$H$414&gt;=GRID_FROM)*('Dvd Calendar'!$H$414&lt;=GRID_TO)*('Dvd Calendar'!$H$414&gt;VAL_DATE)=0,"",'Dvd Calendar'!$H$414*1000000000+ISNUMBER('Dvd Calendar'!$H$415)*100000000+0*10000000+(N('Dvd Calendar'!$H$413)&gt;0)*(N('Dvd Calendar'!$H$413)&lt;=VAL_SERIAL)*1000000+37*1000+44))</f>
        <v/>
      </c>
      <c r="FW48" s="121">
        <f>IF(N('Dvd Calendar'!$I$414)=0,"",IF(('Dvd Calendar'!$I$414&gt;=GRID_FROM)*('Dvd Calendar'!$I$414&lt;=GRID_TO)*('Dvd Calendar'!$I$414&gt;VAL_DATE)=0,"",'Dvd Calendar'!$I$414*1000000000+ISNUMBER('Dvd Calendar'!$I$415)*100000000+0*10000000+(N('Dvd Calendar'!$I$413)&gt;0)*(N('Dvd Calendar'!$I$413)&lt;=VAL_SERIAL)*1000000+37*1000+45))</f>
        <v/>
      </c>
      <c r="FX48" s="121">
        <f>IF(N('Dvd Calendar'!$J$414)=0,"",IF(('Dvd Calendar'!$J$414&gt;=GRID_FROM)*('Dvd Calendar'!$J$414&lt;=GRID_TO)*('Dvd Calendar'!$J$414&gt;VAL_DATE)=0,"",'Dvd Calendar'!$J$414*1000000000+ISNUMBER('Dvd Calendar'!$J$415)*100000000+0*10000000+(N('Dvd Calendar'!$J$413)&gt;0)*(N('Dvd Calendar'!$J$413)&lt;=VAL_SERIAL)*1000000+37*1000+46))</f>
        <v/>
      </c>
      <c r="FY48" s="121">
        <f>IF(N('Dvd Calendar'!$K$414)=0,"",IF(('Dvd Calendar'!$K$414&gt;=GRID_FROM)*('Dvd Calendar'!$K$414&lt;=GRID_TO)*('Dvd Calendar'!$K$414&gt;VAL_DATE)=0,"",'Dvd Calendar'!$K$414*1000000000+ISNUMBER('Dvd Calendar'!$K$415)*100000000+0*10000000+(N('Dvd Calendar'!$K$413)&gt;0)*(N('Dvd Calendar'!$K$413)&lt;=VAL_SERIAL)*1000000+37*1000+47))</f>
        <v/>
      </c>
      <c r="FZ48" s="121">
        <f>IF(N('Dvd Calendar'!$L$414)=0,"",IF(('Dvd Calendar'!$L$414&gt;=GRID_FROM)*('Dvd Calendar'!$L$414&lt;=GRID_TO)*('Dvd Calendar'!$L$414&gt;VAL_DATE)=0,"",'Dvd Calendar'!$L$414*1000000000+ISNUMBER('Dvd Calendar'!$L$415)*100000000+0*10000000+(N('Dvd Calendar'!$L$413)&gt;0)*(N('Dvd Calendar'!$L$413)&lt;=VAL_SERIAL)*1000000+37*1000+48))</f>
        <v/>
      </c>
      <c r="GA48" s="121">
        <f>IF(N('Dvd Calendar'!$M$414)=0,"",IF(('Dvd Calendar'!$M$414&gt;=GRID_FROM)*('Dvd Calendar'!$M$414&lt;=GRID_TO)*('Dvd Calendar'!$M$414&gt;VAL_DATE)=0,"",'Dvd Calendar'!$M$414*1000000000+ISNUMBER('Dvd Calendar'!$M$415)*100000000+0*10000000+(N('Dvd Calendar'!$M$413)&gt;0)*(N('Dvd Calendar'!$M$413)&lt;=VAL_SERIAL)*1000000+37*1000+49))</f>
        <v/>
      </c>
      <c r="GB48" s="121">
        <f>IF(N('Dvd Calendar'!$N$414)=0,"",IF(('Dvd Calendar'!$N$414&gt;=GRID_FROM)*('Dvd Calendar'!$N$414&lt;=GRID_TO)*('Dvd Calendar'!$N$414&gt;VAL_DATE)=0,"",'Dvd Calendar'!$N$414*1000000000+ISNUMBER('Dvd Calendar'!$N$415)*100000000+0*10000000+(N('Dvd Calendar'!$N$413)&gt;0)*(N('Dvd Calendar'!$N$413)&lt;=VAL_SERIAL)*1000000+37*1000+50))</f>
        <v/>
      </c>
      <c r="GC48" s="121">
        <f>IF(N('Dvd Calendar'!$O$414)=0,"",IF(('Dvd Calendar'!$O$414&gt;=GRID_FROM)*('Dvd Calendar'!$O$414&lt;=GRID_TO)*('Dvd Calendar'!$O$414&gt;VAL_DATE)=0,"",'Dvd Calendar'!$O$414*1000000000+ISNUMBER('Dvd Calendar'!$O$415)*100000000+0*10000000+(N('Dvd Calendar'!$O$413)&gt;0)*(N('Dvd Calendar'!$O$413)&lt;=VAL_SERIAL)*1000000+37*1000+51))</f>
        <v/>
      </c>
      <c r="GD48" s="121">
        <f>IF(N('Dvd Calendar'!$P$414)=0,"",IF(('Dvd Calendar'!$P$414&gt;=GRID_FROM)*('Dvd Calendar'!$P$414&lt;=GRID_TO)*('Dvd Calendar'!$P$414&gt;VAL_DATE)=0,"",'Dvd Calendar'!$P$414*1000000000+ISNUMBER('Dvd Calendar'!$P$415)*100000000+0*10000000+(N('Dvd Calendar'!$P$413)&gt;0)*(N('Dvd Calendar'!$P$413)&lt;=VAL_SERIAL)*1000000+37*1000+52))</f>
        <v/>
      </c>
      <c r="GE48" s="121">
        <f>IF(N('Dvd Calendar'!$Q$414)=0,"",IF(('Dvd Calendar'!$Q$414&gt;=GRID_FROM)*('Dvd Calendar'!$Q$414&lt;=GRID_TO)*('Dvd Calendar'!$Q$414&gt;VAL_DATE)=0,"",'Dvd Calendar'!$Q$414*1000000000+ISNUMBER('Dvd Calendar'!$Q$415)*100000000+0*10000000+(N('Dvd Calendar'!$Q$413)&gt;0)*(N('Dvd Calendar'!$Q$413)&lt;=VAL_SERIAL)*1000000+37*1000+53))</f>
        <v/>
      </c>
      <c r="GF48" s="121">
        <f>IF(N('Dvd Calendar'!$R$414)=0,"",IF(('Dvd Calendar'!$R$414&gt;=GRID_FROM)*('Dvd Calendar'!$R$414&lt;=GRID_TO)*('Dvd Calendar'!$R$414&gt;VAL_DATE)=0,"",'Dvd Calendar'!$R$414*1000000000+ISNUMBER('Dvd Calendar'!$R$415)*100000000+0*10000000+(N('Dvd Calendar'!$R$413)&gt;0)*(N('Dvd Calendar'!$R$413)&lt;=VAL_SERIAL)*1000000+37*1000+54))</f>
        <v/>
      </c>
      <c r="GG48" s="121">
        <f>IF(N('Dvd Calendar'!$S$414)=0,"",IF(('Dvd Calendar'!$S$414&gt;=GRID_FROM)*('Dvd Calendar'!$S$414&lt;=GRID_TO)*('Dvd Calendar'!$S$414&gt;VAL_DATE)=0,"",'Dvd Calendar'!$S$414*1000000000+ISNUMBER('Dvd Calendar'!$S$415)*100000000+0*10000000+(N('Dvd Calendar'!$S$413)&gt;0)*(N('Dvd Calendar'!$S$413)&lt;=VAL_SERIAL)*1000000+37*1000+55))</f>
        <v/>
      </c>
      <c r="GH48" s="121">
        <f>IF(N('Dvd Calendar'!$T$414)=0,"",IF(('Dvd Calendar'!$T$414&gt;=GRID_FROM)*('Dvd Calendar'!$T$414&lt;=GRID_TO)*('Dvd Calendar'!$T$414&gt;VAL_DATE)=0,"",'Dvd Calendar'!$T$414*1000000000+ISNUMBER('Dvd Calendar'!$T$415)*100000000+0*10000000+(N('Dvd Calendar'!$T$413)&gt;0)*(N('Dvd Calendar'!$T$413)&lt;=VAL_SERIAL)*1000000+37*1000+56))</f>
        <v/>
      </c>
      <c r="GI48" s="121">
        <f>IF(N('Dvd Calendar'!$U$414)=0,"",IF(('Dvd Calendar'!$U$414&gt;=GRID_FROM)*('Dvd Calendar'!$U$414&lt;=GRID_TO)*('Dvd Calendar'!$U$414&gt;VAL_DATE)=0,"",'Dvd Calendar'!$U$414*1000000000+ISNUMBER('Dvd Calendar'!$U$415)*100000000+0*10000000+(N('Dvd Calendar'!$U$413)&gt;0)*(N('Dvd Calendar'!$U$413)&lt;=VAL_SERIAL)*1000000+37*1000+57))</f>
        <v/>
      </c>
      <c r="GJ48" s="121">
        <f>IF(N('Dvd Calendar'!$V$414)=0,"",IF(('Dvd Calendar'!$V$414&gt;=GRID_FROM)*('Dvd Calendar'!$V$414&lt;=GRID_TO)*('Dvd Calendar'!$V$414&gt;VAL_DATE)=0,"",'Dvd Calendar'!$V$414*1000000000+ISNUMBER('Dvd Calendar'!$V$415)*100000000+0*10000000+(N('Dvd Calendar'!$V$413)&gt;0)*(N('Dvd Calendar'!$V$413)&lt;=VAL_SERIAL)*1000000+37*1000+58))</f>
        <v/>
      </c>
      <c r="GK48" s="121">
        <f>IF(N('Dvd Calendar'!$W$414)=0,"",IF(('Dvd Calendar'!$W$414&gt;=GRID_FROM)*('Dvd Calendar'!$W$414&lt;=GRID_TO)*('Dvd Calendar'!$W$414&gt;VAL_DATE)=0,"",'Dvd Calendar'!$W$414*1000000000+ISNUMBER('Dvd Calendar'!$W$415)*100000000+0*10000000+(N('Dvd Calendar'!$W$413)&gt;0)*(N('Dvd Calendar'!$W$413)&lt;=VAL_SERIAL)*1000000+37*1000+59))</f>
        <v/>
      </c>
      <c r="GL48" s="121">
        <f>IF(N('Dvd Calendar'!$X$414)=0,"",IF(('Dvd Calendar'!$X$414&gt;=GRID_FROM)*('Dvd Calendar'!$X$414&lt;=GRID_TO)*('Dvd Calendar'!$X$414&gt;VAL_DATE)=0,"",'Dvd Calendar'!$X$414*1000000000+ISNUMBER('Dvd Calendar'!$X$415)*100000000+0*10000000+(N('Dvd Calendar'!$X$413)&gt;0)*(N('Dvd Calendar'!$X$413)&lt;=VAL_SERIAL)*1000000+37*1000+60))</f>
        <v/>
      </c>
      <c r="GM48" s="121">
        <f>IF(N('Dvd Calendar'!$Y$414)=0,"",IF(('Dvd Calendar'!$Y$414&gt;=GRID_FROM)*('Dvd Calendar'!$Y$414&lt;=GRID_TO)*('Dvd Calendar'!$Y$414&gt;VAL_DATE)=0,"",'Dvd Calendar'!$Y$414*1000000000+ISNUMBER('Dvd Calendar'!$Y$415)*100000000+0*10000000+(N('Dvd Calendar'!$Y$413)&gt;0)*(N('Dvd Calendar'!$Y$413)&lt;=VAL_SERIAL)*1000000+37*1000+61))</f>
        <v/>
      </c>
      <c r="GN48" s="121">
        <f>IF(N('Dvd Calendar'!$Z$414)=0,"",IF(('Dvd Calendar'!$Z$414&gt;=GRID_FROM)*('Dvd Calendar'!$Z$414&lt;=GRID_TO)*('Dvd Calendar'!$Z$414&gt;VAL_DATE)=0,"",'Dvd Calendar'!$Z$414*1000000000+ISNUMBER('Dvd Calendar'!$Z$415)*100000000+0*10000000+(N('Dvd Calendar'!$Z$413)&gt;0)*(N('Dvd Calendar'!$Z$413)&lt;=VAL_SERIAL)*1000000+37*1000+62))</f>
        <v/>
      </c>
      <c r="GO48" s="121">
        <f>IF(N('Dvd Calendar'!$AA$414)=0,"",IF(('Dvd Calendar'!$AA$414&gt;=GRID_FROM)*('Dvd Calendar'!$AA$414&lt;=GRID_TO)*('Dvd Calendar'!$AA$414&gt;VAL_DATE)=0,"",'Dvd Calendar'!$AA$414*1000000000+ISNUMBER('Dvd Calendar'!$AA$415)*100000000+0*10000000+(N('Dvd Calendar'!$AA$413)&gt;0)*(N('Dvd Calendar'!$AA$413)&lt;=VAL_SERIAL)*1000000+37*1000+63))</f>
        <v/>
      </c>
      <c r="GP48" s="121">
        <f>IF(N('Dvd Calendar'!$AB$414)=0,"",IF(('Dvd Calendar'!$AB$414&gt;=GRID_FROM)*('Dvd Calendar'!$AB$414&lt;=GRID_TO)*('Dvd Calendar'!$AB$414&gt;VAL_DATE)=0,"",'Dvd Calendar'!$AB$414*1000000000+ISNUMBER('Dvd Calendar'!$AB$415)*100000000+0*10000000+(N('Dvd Calendar'!$AB$413)&gt;0)*(N('Dvd Calendar'!$AB$413)&lt;=VAL_SERIAL)*1000000+37*1000+64))</f>
        <v/>
      </c>
      <c r="GQ48" s="121">
        <f>IF(N('Dvd Calendar'!$AC$414)=0,"",IF(('Dvd Calendar'!$AC$414&gt;=GRID_FROM)*('Dvd Calendar'!$AC$414&lt;=GRID_TO)*('Dvd Calendar'!$AC$414&gt;VAL_DATE)=0,"",'Dvd Calendar'!$AC$414*1000000000+ISNUMBER('Dvd Calendar'!$AC$415)*100000000+0*10000000+(N('Dvd Calendar'!$AC$413)&gt;0)*(N('Dvd Calendar'!$AC$413)&lt;=VAL_SERIAL)*1000000+37*1000+65))</f>
        <v/>
      </c>
    </row>
    <row r="49">
      <c r="B49" s="2">
        <f>IF(HSI!$C$44="","",HSI!$C$44)</f>
        <v/>
      </c>
      <c r="C49" s="161">
        <f>IF(EE49="","",IF(ISNUMBER('Dvd Calendar'!$E$421)=FALSE,"",IF((('Dvd Calendar'!$E$423=TYPE1)*(TYPE1&lt;&gt;"")+('Dvd Calendar'!$E$423=TYPE2)*(TYPE2&lt;&gt;"")+('Dvd Calendar'!$E$423=TYPE3)*(TYPE3&lt;&gt;"")+('Dvd Calendar'!$E$423=TYPE4)*(TYPE4&lt;&gt;"")+('Dvd Calendar'!$E$423=SPECIAL_LBL)*(INC_SPECIALS="Y"))=0,"",'Dvd Calendar'!$E$421)))</f>
        <v/>
      </c>
      <c r="D49" s="161">
        <f>IF(EF49="","",IF(ISNUMBER('Dvd Calendar'!$F$421)=FALSE,"",IF((('Dvd Calendar'!$F$423=TYPE1)*(TYPE1&lt;&gt;"")+('Dvd Calendar'!$F$423=TYPE2)*(TYPE2&lt;&gt;"")+('Dvd Calendar'!$F$423=TYPE3)*(TYPE3&lt;&gt;"")+('Dvd Calendar'!$F$423=TYPE4)*(TYPE4&lt;&gt;"")+('Dvd Calendar'!$F$423=SPECIAL_LBL)*(INC_SPECIALS="Y"))=0,"",'Dvd Calendar'!$F$421)))</f>
        <v/>
      </c>
      <c r="E49" s="161">
        <f>IF(EG49="","",IF(ISNUMBER('Dvd Calendar'!$G$421)=FALSE,"",IF((('Dvd Calendar'!$G$423=TYPE1)*(TYPE1&lt;&gt;"")+('Dvd Calendar'!$G$423=TYPE2)*(TYPE2&lt;&gt;"")+('Dvd Calendar'!$G$423=TYPE3)*(TYPE3&lt;&gt;"")+('Dvd Calendar'!$G$423=TYPE4)*(TYPE4&lt;&gt;"")+('Dvd Calendar'!$G$423=SPECIAL_LBL)*(INC_SPECIALS="Y"))=0,"",'Dvd Calendar'!$G$421)))</f>
        <v/>
      </c>
      <c r="F49" s="161">
        <f>IF(EH49="","",IF(ISNUMBER('Dvd Calendar'!$H$421)=FALSE,"",IF((('Dvd Calendar'!$H$423=TYPE1)*(TYPE1&lt;&gt;"")+('Dvd Calendar'!$H$423=TYPE2)*(TYPE2&lt;&gt;"")+('Dvd Calendar'!$H$423=TYPE3)*(TYPE3&lt;&gt;"")+('Dvd Calendar'!$H$423=TYPE4)*(TYPE4&lt;&gt;"")+('Dvd Calendar'!$H$423=SPECIAL_LBL)*(INC_SPECIALS="Y"))=0,"",'Dvd Calendar'!$H$421)))</f>
        <v/>
      </c>
      <c r="G49" s="161">
        <f>IF(EI49="","",IF(ISNUMBER('Dvd Calendar'!$I$421)=FALSE,"",IF((('Dvd Calendar'!$I$423=TYPE1)*(TYPE1&lt;&gt;"")+('Dvd Calendar'!$I$423=TYPE2)*(TYPE2&lt;&gt;"")+('Dvd Calendar'!$I$423=TYPE3)*(TYPE3&lt;&gt;"")+('Dvd Calendar'!$I$423=TYPE4)*(TYPE4&lt;&gt;"")+('Dvd Calendar'!$I$423=SPECIAL_LBL)*(INC_SPECIALS="Y"))=0,"",'Dvd Calendar'!$I$421)))</f>
        <v/>
      </c>
      <c r="H49" s="161">
        <f>IF(EJ49="","",IF(ISNUMBER('Dvd Calendar'!$J$421)=FALSE,"",IF((('Dvd Calendar'!$J$423=TYPE1)*(TYPE1&lt;&gt;"")+('Dvd Calendar'!$J$423=TYPE2)*(TYPE2&lt;&gt;"")+('Dvd Calendar'!$J$423=TYPE3)*(TYPE3&lt;&gt;"")+('Dvd Calendar'!$J$423=TYPE4)*(TYPE4&lt;&gt;"")+('Dvd Calendar'!$J$423=SPECIAL_LBL)*(INC_SPECIALS="Y"))=0,"",'Dvd Calendar'!$J$421)))</f>
        <v/>
      </c>
      <c r="I49" s="161">
        <f>IF(EK49="","",IF(ISNUMBER('Dvd Calendar'!$K$421)=FALSE,"",IF((('Dvd Calendar'!$K$423=TYPE1)*(TYPE1&lt;&gt;"")+('Dvd Calendar'!$K$423=TYPE2)*(TYPE2&lt;&gt;"")+('Dvd Calendar'!$K$423=TYPE3)*(TYPE3&lt;&gt;"")+('Dvd Calendar'!$K$423=TYPE4)*(TYPE4&lt;&gt;"")+('Dvd Calendar'!$K$423=SPECIAL_LBL)*(INC_SPECIALS="Y"))=0,"",'Dvd Calendar'!$K$421)))</f>
        <v/>
      </c>
      <c r="J49" s="161">
        <f>IF(EL49="","",IF(ISNUMBER('Dvd Calendar'!$L$421)=FALSE,"",IF((('Dvd Calendar'!$L$423=TYPE1)*(TYPE1&lt;&gt;"")+('Dvd Calendar'!$L$423=TYPE2)*(TYPE2&lt;&gt;"")+('Dvd Calendar'!$L$423=TYPE3)*(TYPE3&lt;&gt;"")+('Dvd Calendar'!$L$423=TYPE4)*(TYPE4&lt;&gt;"")+('Dvd Calendar'!$L$423=SPECIAL_LBL)*(INC_SPECIALS="Y"))=0,"",'Dvd Calendar'!$L$421)))</f>
        <v/>
      </c>
      <c r="K49" s="161">
        <f>IF(EM49="","",IF(ISNUMBER('Dvd Calendar'!$M$421)=FALSE,"",IF((('Dvd Calendar'!$M$423=TYPE1)*(TYPE1&lt;&gt;"")+('Dvd Calendar'!$M$423=TYPE2)*(TYPE2&lt;&gt;"")+('Dvd Calendar'!$M$423=TYPE3)*(TYPE3&lt;&gt;"")+('Dvd Calendar'!$M$423=TYPE4)*(TYPE4&lt;&gt;"")+('Dvd Calendar'!$M$423=SPECIAL_LBL)*(INC_SPECIALS="Y"))=0,"",'Dvd Calendar'!$M$421)))</f>
        <v/>
      </c>
      <c r="L49" s="161">
        <f>IF(EN49="","",IF(ISNUMBER('Dvd Calendar'!$N$421)=FALSE,"",IF((('Dvd Calendar'!$N$423=TYPE1)*(TYPE1&lt;&gt;"")+('Dvd Calendar'!$N$423=TYPE2)*(TYPE2&lt;&gt;"")+('Dvd Calendar'!$N$423=TYPE3)*(TYPE3&lt;&gt;"")+('Dvd Calendar'!$N$423=TYPE4)*(TYPE4&lt;&gt;"")+('Dvd Calendar'!$N$423=SPECIAL_LBL)*(INC_SPECIALS="Y"))=0,"",'Dvd Calendar'!$N$421)))</f>
        <v/>
      </c>
      <c r="M49" s="161">
        <f>IF(EO49="","",IF(ISNUMBER('Dvd Calendar'!$O$421)=FALSE,"",IF((('Dvd Calendar'!$O$423=TYPE1)*(TYPE1&lt;&gt;"")+('Dvd Calendar'!$O$423=TYPE2)*(TYPE2&lt;&gt;"")+('Dvd Calendar'!$O$423=TYPE3)*(TYPE3&lt;&gt;"")+('Dvd Calendar'!$O$423=TYPE4)*(TYPE4&lt;&gt;"")+('Dvd Calendar'!$O$423=SPECIAL_LBL)*(INC_SPECIALS="Y"))=0,"",'Dvd Calendar'!$O$421)))</f>
        <v/>
      </c>
      <c r="N49" s="161">
        <f>IF(EP49="","",IF(ISNUMBER('Dvd Calendar'!$P$421)=FALSE,"",IF((('Dvd Calendar'!$P$423=TYPE1)*(TYPE1&lt;&gt;"")+('Dvd Calendar'!$P$423=TYPE2)*(TYPE2&lt;&gt;"")+('Dvd Calendar'!$P$423=TYPE3)*(TYPE3&lt;&gt;"")+('Dvd Calendar'!$P$423=TYPE4)*(TYPE4&lt;&gt;"")+('Dvd Calendar'!$P$423=SPECIAL_LBL)*(INC_SPECIALS="Y"))=0,"",'Dvd Calendar'!$P$421)))</f>
        <v/>
      </c>
      <c r="O49" s="161">
        <f>IF(EQ49="","",IF(ISNUMBER('Dvd Calendar'!$Q$421)=FALSE,"",IF((('Dvd Calendar'!$Q$423=TYPE1)*(TYPE1&lt;&gt;"")+('Dvd Calendar'!$Q$423=TYPE2)*(TYPE2&lt;&gt;"")+('Dvd Calendar'!$Q$423=TYPE3)*(TYPE3&lt;&gt;"")+('Dvd Calendar'!$Q$423=TYPE4)*(TYPE4&lt;&gt;"")+('Dvd Calendar'!$Q$423=SPECIAL_LBL)*(INC_SPECIALS="Y"))=0,"",'Dvd Calendar'!$Q$421)))</f>
        <v/>
      </c>
      <c r="P49" s="161">
        <f>IF(ER49="","",IF(ISNUMBER('Dvd Calendar'!$R$421)=FALSE,"",IF((('Dvd Calendar'!$R$423=TYPE1)*(TYPE1&lt;&gt;"")+('Dvd Calendar'!$R$423=TYPE2)*(TYPE2&lt;&gt;"")+('Dvd Calendar'!$R$423=TYPE3)*(TYPE3&lt;&gt;"")+('Dvd Calendar'!$R$423=TYPE4)*(TYPE4&lt;&gt;"")+('Dvd Calendar'!$R$423=SPECIAL_LBL)*(INC_SPECIALS="Y"))=0,"",'Dvd Calendar'!$R$421)))</f>
        <v/>
      </c>
      <c r="Q49" s="161">
        <f>IF(ES49="","",IF(ISNUMBER('Dvd Calendar'!$S$421)=FALSE,"",IF((('Dvd Calendar'!$S$423=TYPE1)*(TYPE1&lt;&gt;"")+('Dvd Calendar'!$S$423=TYPE2)*(TYPE2&lt;&gt;"")+('Dvd Calendar'!$S$423=TYPE3)*(TYPE3&lt;&gt;"")+('Dvd Calendar'!$S$423=TYPE4)*(TYPE4&lt;&gt;"")+('Dvd Calendar'!$S$423=SPECIAL_LBL)*(INC_SPECIALS="Y"))=0,"",'Dvd Calendar'!$S$421)))</f>
        <v/>
      </c>
      <c r="R49" s="161">
        <f>IF(ET49="","",IF(ISNUMBER('Dvd Calendar'!$T$421)=FALSE,"",IF((('Dvd Calendar'!$T$423=TYPE1)*(TYPE1&lt;&gt;"")+('Dvd Calendar'!$T$423=TYPE2)*(TYPE2&lt;&gt;"")+('Dvd Calendar'!$T$423=TYPE3)*(TYPE3&lt;&gt;"")+('Dvd Calendar'!$T$423=TYPE4)*(TYPE4&lt;&gt;"")+('Dvd Calendar'!$T$423=SPECIAL_LBL)*(INC_SPECIALS="Y"))=0,"",'Dvd Calendar'!$T$421)))</f>
        <v/>
      </c>
      <c r="S49" s="161">
        <f>IF(EU49="","",IF(ISNUMBER('Dvd Calendar'!$U$421)=FALSE,"",IF((('Dvd Calendar'!$U$423=TYPE1)*(TYPE1&lt;&gt;"")+('Dvd Calendar'!$U$423=TYPE2)*(TYPE2&lt;&gt;"")+('Dvd Calendar'!$U$423=TYPE3)*(TYPE3&lt;&gt;"")+('Dvd Calendar'!$U$423=TYPE4)*(TYPE4&lt;&gt;"")+('Dvd Calendar'!$U$423=SPECIAL_LBL)*(INC_SPECIALS="Y"))=0,"",'Dvd Calendar'!$U$421)))</f>
        <v/>
      </c>
      <c r="T49" s="161">
        <f>IF(EV49="","",IF(ISNUMBER('Dvd Calendar'!$V$421)=FALSE,"",IF((('Dvd Calendar'!$V$423=TYPE1)*(TYPE1&lt;&gt;"")+('Dvd Calendar'!$V$423=TYPE2)*(TYPE2&lt;&gt;"")+('Dvd Calendar'!$V$423=TYPE3)*(TYPE3&lt;&gt;"")+('Dvd Calendar'!$V$423=TYPE4)*(TYPE4&lt;&gt;"")+('Dvd Calendar'!$V$423=SPECIAL_LBL)*(INC_SPECIALS="Y"))=0,"",'Dvd Calendar'!$V$421)))</f>
        <v/>
      </c>
      <c r="U49" s="161">
        <f>IF(EW49="","",IF(ISNUMBER('Dvd Calendar'!$W$421)=FALSE,"",IF((('Dvd Calendar'!$W$423=TYPE1)*(TYPE1&lt;&gt;"")+('Dvd Calendar'!$W$423=TYPE2)*(TYPE2&lt;&gt;"")+('Dvd Calendar'!$W$423=TYPE3)*(TYPE3&lt;&gt;"")+('Dvd Calendar'!$W$423=TYPE4)*(TYPE4&lt;&gt;"")+('Dvd Calendar'!$W$423=SPECIAL_LBL)*(INC_SPECIALS="Y"))=0,"",'Dvd Calendar'!$W$421)))</f>
        <v/>
      </c>
      <c r="V49" s="161">
        <f>IF(EX49="","",IF(ISNUMBER('Dvd Calendar'!$X$421)=FALSE,"",IF((('Dvd Calendar'!$X$423=TYPE1)*(TYPE1&lt;&gt;"")+('Dvd Calendar'!$X$423=TYPE2)*(TYPE2&lt;&gt;"")+('Dvd Calendar'!$X$423=TYPE3)*(TYPE3&lt;&gt;"")+('Dvd Calendar'!$X$423=TYPE4)*(TYPE4&lt;&gt;"")+('Dvd Calendar'!$X$423=SPECIAL_LBL)*(INC_SPECIALS="Y"))=0,"",'Dvd Calendar'!$X$421)))</f>
        <v/>
      </c>
      <c r="W49" s="161">
        <f>IF(EY49="","",IF(ISNUMBER('Dvd Calendar'!$Y$421)=FALSE,"",IF((('Dvd Calendar'!$Y$423=TYPE1)*(TYPE1&lt;&gt;"")+('Dvd Calendar'!$Y$423=TYPE2)*(TYPE2&lt;&gt;"")+('Dvd Calendar'!$Y$423=TYPE3)*(TYPE3&lt;&gt;"")+('Dvd Calendar'!$Y$423=TYPE4)*(TYPE4&lt;&gt;"")+('Dvd Calendar'!$Y$423=SPECIAL_LBL)*(INC_SPECIALS="Y"))=0,"",'Dvd Calendar'!$Y$421)))</f>
        <v/>
      </c>
      <c r="X49" s="161">
        <f>IF(EZ49="","",IF(ISNUMBER('Dvd Calendar'!$Z$421)=FALSE,"",IF((('Dvd Calendar'!$Z$423=TYPE1)*(TYPE1&lt;&gt;"")+('Dvd Calendar'!$Z$423=TYPE2)*(TYPE2&lt;&gt;"")+('Dvd Calendar'!$Z$423=TYPE3)*(TYPE3&lt;&gt;"")+('Dvd Calendar'!$Z$423=TYPE4)*(TYPE4&lt;&gt;"")+('Dvd Calendar'!$Z$423=SPECIAL_LBL)*(INC_SPECIALS="Y"))=0,"",'Dvd Calendar'!$Z$421)))</f>
        <v/>
      </c>
      <c r="Y49" s="161">
        <f>IF(FA49="","",IF(ISNUMBER('Dvd Calendar'!$AA$421)=FALSE,"",IF((('Dvd Calendar'!$AA$423=TYPE1)*(TYPE1&lt;&gt;"")+('Dvd Calendar'!$AA$423=TYPE2)*(TYPE2&lt;&gt;"")+('Dvd Calendar'!$AA$423=TYPE3)*(TYPE3&lt;&gt;"")+('Dvd Calendar'!$AA$423=TYPE4)*(TYPE4&lt;&gt;"")+('Dvd Calendar'!$AA$423=SPECIAL_LBL)*(INC_SPECIALS="Y"))=0,"",'Dvd Calendar'!$AA$421)))</f>
        <v/>
      </c>
      <c r="Z49" s="161">
        <f>IF(FB49="","",IF(ISNUMBER('Dvd Calendar'!$AB$421)=FALSE,"",IF((('Dvd Calendar'!$AB$423=TYPE1)*(TYPE1&lt;&gt;"")+('Dvd Calendar'!$AB$423=TYPE2)*(TYPE2&lt;&gt;"")+('Dvd Calendar'!$AB$423=TYPE3)*(TYPE3&lt;&gt;"")+('Dvd Calendar'!$AB$423=TYPE4)*(TYPE4&lt;&gt;"")+('Dvd Calendar'!$AB$423=SPECIAL_LBL)*(INC_SPECIALS="Y"))=0,"",'Dvd Calendar'!$AB$421)))</f>
        <v/>
      </c>
      <c r="AA49" s="161">
        <f>IF(FC49="","",IF(ISNUMBER('Dvd Calendar'!$AC$421)=FALSE,"",IF((('Dvd Calendar'!$AC$423=TYPE1)*(TYPE1&lt;&gt;"")+('Dvd Calendar'!$AC$423=TYPE2)*(TYPE2&lt;&gt;"")+('Dvd Calendar'!$AC$423=TYPE3)*(TYPE3&lt;&gt;"")+('Dvd Calendar'!$AC$423=TYPE4)*(TYPE4&lt;&gt;"")+('Dvd Calendar'!$AC$423=SPECIAL_LBL)*(INC_SPECIALS="Y"))=0,"",'Dvd Calendar'!$AC$421)))</f>
        <v/>
      </c>
      <c r="AB49" s="161">
        <f>IF(FD49="","",IF(ISNUMBER('Dvd Calendar'!$AD$421)=FALSE,"",IF((('Dvd Calendar'!$AD$423=TYPE1)*(TYPE1&lt;&gt;"")+('Dvd Calendar'!$AD$423=TYPE2)*(TYPE2&lt;&gt;"")+('Dvd Calendar'!$AD$423=TYPE3)*(TYPE3&lt;&gt;"")+('Dvd Calendar'!$AD$423=TYPE4)*(TYPE4&lt;&gt;"")+('Dvd Calendar'!$AD$423=SPECIAL_LBL)*(INC_SPECIALS="Y"))=0,"",'Dvd Calendar'!$AD$421)))</f>
        <v/>
      </c>
      <c r="AC49" s="161">
        <f>IF(FE49="","",IF(ISNUMBER('Dvd Calendar'!$AE$421)=FALSE,"",IF((('Dvd Calendar'!$AE$423=TYPE1)*(TYPE1&lt;&gt;"")+('Dvd Calendar'!$AE$423=TYPE2)*(TYPE2&lt;&gt;"")+('Dvd Calendar'!$AE$423=TYPE3)*(TYPE3&lt;&gt;"")+('Dvd Calendar'!$AE$423=TYPE4)*(TYPE4&lt;&gt;"")+('Dvd Calendar'!$AE$423=SPECIAL_LBL)*(INC_SPECIALS="Y"))=0,"",'Dvd Calendar'!$AE$421)))</f>
        <v/>
      </c>
      <c r="AD49" s="161">
        <f>IF(FF49="","",IF(ISNUMBER('Dvd Calendar'!$AF$421)=FALSE,"",IF((('Dvd Calendar'!$AF$423=TYPE1)*(TYPE1&lt;&gt;"")+('Dvd Calendar'!$AF$423=TYPE2)*(TYPE2&lt;&gt;"")+('Dvd Calendar'!$AF$423=TYPE3)*(TYPE3&lt;&gt;"")+('Dvd Calendar'!$AF$423=TYPE4)*(TYPE4&lt;&gt;"")+('Dvd Calendar'!$AF$423=SPECIAL_LBL)*(INC_SPECIALS="Y"))=0,"",'Dvd Calendar'!$AF$421)))</f>
        <v/>
      </c>
      <c r="AE49" s="161">
        <f>IF(FG49="","",IF(ISNUMBER('Dvd Calendar'!$AG$421)=FALSE,"",IF((('Dvd Calendar'!$AG$423=TYPE1)*(TYPE1&lt;&gt;"")+('Dvd Calendar'!$AG$423=TYPE2)*(TYPE2&lt;&gt;"")+('Dvd Calendar'!$AG$423=TYPE3)*(TYPE3&lt;&gt;"")+('Dvd Calendar'!$AG$423=TYPE4)*(TYPE4&lt;&gt;"")+('Dvd Calendar'!$AG$423=SPECIAL_LBL)*(INC_SPECIALS="Y"))=0,"",'Dvd Calendar'!$AG$421)))</f>
        <v/>
      </c>
      <c r="AF49" s="161">
        <f>IF(FH49="","",IF(ISNUMBER('Dvd Calendar'!$AH$421)=FALSE,"",IF((('Dvd Calendar'!$AH$423=TYPE1)*(TYPE1&lt;&gt;"")+('Dvd Calendar'!$AH$423=TYPE2)*(TYPE2&lt;&gt;"")+('Dvd Calendar'!$AH$423=TYPE3)*(TYPE3&lt;&gt;"")+('Dvd Calendar'!$AH$423=TYPE4)*(TYPE4&lt;&gt;"")+('Dvd Calendar'!$AH$423=SPECIAL_LBL)*(INC_SPECIALS="Y"))=0,"",'Dvd Calendar'!$AH$421)))</f>
        <v/>
      </c>
      <c r="AG49" s="161">
        <f>IF(FI49="","",IF(ISNUMBER('Dvd Calendar'!$AI$421)=FALSE,"",IF((('Dvd Calendar'!$AI$423=TYPE1)*(TYPE1&lt;&gt;"")+('Dvd Calendar'!$AI$423=TYPE2)*(TYPE2&lt;&gt;"")+('Dvd Calendar'!$AI$423=TYPE3)*(TYPE3&lt;&gt;"")+('Dvd Calendar'!$AI$423=TYPE4)*(TYPE4&lt;&gt;"")+('Dvd Calendar'!$AI$423=SPECIAL_LBL)*(INC_SPECIALS="Y"))=0,"",'Dvd Calendar'!$AI$421)))</f>
        <v/>
      </c>
      <c r="AH49" s="161">
        <f>IF(FJ49="","",IF(ISNUMBER('Dvd Calendar'!$AJ$421)=FALSE,"",IF((('Dvd Calendar'!$AJ$423=TYPE1)*(TYPE1&lt;&gt;"")+('Dvd Calendar'!$AJ$423=TYPE2)*(TYPE2&lt;&gt;"")+('Dvd Calendar'!$AJ$423=TYPE3)*(TYPE3&lt;&gt;"")+('Dvd Calendar'!$AJ$423=TYPE4)*(TYPE4&lt;&gt;"")+('Dvd Calendar'!$AJ$423=SPECIAL_LBL)*(INC_SPECIALS="Y"))=0,"",'Dvd Calendar'!$AJ$421)))</f>
        <v/>
      </c>
      <c r="AI49" s="161">
        <f>IF(FK49="","",IF(ISNUMBER('Dvd Calendar'!$AK$421)=FALSE,"",IF((('Dvd Calendar'!$AK$423=TYPE1)*(TYPE1&lt;&gt;"")+('Dvd Calendar'!$AK$423=TYPE2)*(TYPE2&lt;&gt;"")+('Dvd Calendar'!$AK$423=TYPE3)*(TYPE3&lt;&gt;"")+('Dvd Calendar'!$AK$423=TYPE4)*(TYPE4&lt;&gt;"")+('Dvd Calendar'!$AK$423=SPECIAL_LBL)*(INC_SPECIALS="Y"))=0,"",'Dvd Calendar'!$AK$421)))</f>
        <v/>
      </c>
      <c r="AJ49" s="161">
        <f>IF(FL49="","",IF(ISNUMBER('Dvd Calendar'!$AL$421)=FALSE,"",IF((('Dvd Calendar'!$AL$423=TYPE1)*(TYPE1&lt;&gt;"")+('Dvd Calendar'!$AL$423=TYPE2)*(TYPE2&lt;&gt;"")+('Dvd Calendar'!$AL$423=TYPE3)*(TYPE3&lt;&gt;"")+('Dvd Calendar'!$AL$423=TYPE4)*(TYPE4&lt;&gt;"")+('Dvd Calendar'!$AL$423=SPECIAL_LBL)*(INC_SPECIALS="Y"))=0,"",'Dvd Calendar'!$AL$421)))</f>
        <v/>
      </c>
      <c r="AK49" s="161">
        <f>IF(FM49="","",IF(ISNUMBER('Dvd Calendar'!$AM$421)=FALSE,"",IF((('Dvd Calendar'!$AM$423=TYPE1)*(TYPE1&lt;&gt;"")+('Dvd Calendar'!$AM$423=TYPE2)*(TYPE2&lt;&gt;"")+('Dvd Calendar'!$AM$423=TYPE3)*(TYPE3&lt;&gt;"")+('Dvd Calendar'!$AM$423=TYPE4)*(TYPE4&lt;&gt;"")+('Dvd Calendar'!$AM$423=SPECIAL_LBL)*(INC_SPECIALS="Y"))=0,"",'Dvd Calendar'!$AM$421)))</f>
        <v/>
      </c>
      <c r="AL49" s="161">
        <f>IF(FN49="","",IF(ISNUMBER('Dvd Calendar'!$AN$421)=FALSE,"",IF((('Dvd Calendar'!$AN$423=TYPE1)*(TYPE1&lt;&gt;"")+('Dvd Calendar'!$AN$423=TYPE2)*(TYPE2&lt;&gt;"")+('Dvd Calendar'!$AN$423=TYPE3)*(TYPE3&lt;&gt;"")+('Dvd Calendar'!$AN$423=TYPE4)*(TYPE4&lt;&gt;"")+('Dvd Calendar'!$AN$423=SPECIAL_LBL)*(INC_SPECIALS="Y"))=0,"",'Dvd Calendar'!$AN$421)))</f>
        <v/>
      </c>
      <c r="AM49" s="161">
        <f>IF(FO49="","",IF(ISNUMBER('Dvd Calendar'!$AO$421)=FALSE,"",IF((('Dvd Calendar'!$AO$423=TYPE1)*(TYPE1&lt;&gt;"")+('Dvd Calendar'!$AO$423=TYPE2)*(TYPE2&lt;&gt;"")+('Dvd Calendar'!$AO$423=TYPE3)*(TYPE3&lt;&gt;"")+('Dvd Calendar'!$AO$423=TYPE4)*(TYPE4&lt;&gt;"")+('Dvd Calendar'!$AO$423=SPECIAL_LBL)*(INC_SPECIALS="Y"))=0,"",'Dvd Calendar'!$AO$421)))</f>
        <v/>
      </c>
      <c r="AN49" s="161">
        <f>IF(FP49="","",IF(ISNUMBER('Dvd Calendar'!$AP$421)=FALSE,"",IF((('Dvd Calendar'!$AP$423=TYPE1)*(TYPE1&lt;&gt;"")+('Dvd Calendar'!$AP$423=TYPE2)*(TYPE2&lt;&gt;"")+('Dvd Calendar'!$AP$423=TYPE3)*(TYPE3&lt;&gt;"")+('Dvd Calendar'!$AP$423=TYPE4)*(TYPE4&lt;&gt;"")+('Dvd Calendar'!$AP$423=SPECIAL_LBL)*(INC_SPECIALS="Y"))=0,"",'Dvd Calendar'!$AP$421)))</f>
        <v/>
      </c>
      <c r="AO49" s="161">
        <f>IF(FQ49="","",IF(ISNUMBER('Dvd Calendar'!$AQ$421)=FALSE,"",IF((('Dvd Calendar'!$AQ$423=TYPE1)*(TYPE1&lt;&gt;"")+('Dvd Calendar'!$AQ$423=TYPE2)*(TYPE2&lt;&gt;"")+('Dvd Calendar'!$AQ$423=TYPE3)*(TYPE3&lt;&gt;"")+('Dvd Calendar'!$AQ$423=TYPE4)*(TYPE4&lt;&gt;"")+('Dvd Calendar'!$AQ$423=SPECIAL_LBL)*(INC_SPECIALS="Y"))=0,"",'Dvd Calendar'!$AQ$421)))</f>
        <v/>
      </c>
      <c r="AP49" s="161">
        <f>IF(FR49="","",IF(ISNUMBER('Dvd Calendar'!$AR$421)=FALSE,"",IF((('Dvd Calendar'!$AR$423=TYPE1)*(TYPE1&lt;&gt;"")+('Dvd Calendar'!$AR$423=TYPE2)*(TYPE2&lt;&gt;"")+('Dvd Calendar'!$AR$423=TYPE3)*(TYPE3&lt;&gt;"")+('Dvd Calendar'!$AR$423=TYPE4)*(TYPE4&lt;&gt;"")+('Dvd Calendar'!$AR$423=SPECIAL_LBL)*(INC_SPECIALS="Y"))=0,"",'Dvd Calendar'!$AR$421)))</f>
        <v/>
      </c>
      <c r="AQ49" s="161">
        <f>IF(FS49="","",IF(ISNUMBER('Dvd Calendar'!$E$426)=FALSE,"",'Dvd Calendar'!$E$426))</f>
        <v/>
      </c>
      <c r="AR49" s="161">
        <f>IF(FT49="","",IF(ISNUMBER('Dvd Calendar'!$F$426)=FALSE,"",'Dvd Calendar'!$F$426))</f>
        <v/>
      </c>
      <c r="AS49" s="161">
        <f>IF(FU49="","",IF(ISNUMBER('Dvd Calendar'!$G$426)=FALSE,"",'Dvd Calendar'!$G$426))</f>
        <v/>
      </c>
      <c r="AT49" s="161">
        <f>IF(FV49="","",IF(ISNUMBER('Dvd Calendar'!$H$426)=FALSE,"",'Dvd Calendar'!$H$426))</f>
        <v/>
      </c>
      <c r="AU49" s="161">
        <f>IF(FW49="","",IF(ISNUMBER('Dvd Calendar'!$I$426)=FALSE,"",'Dvd Calendar'!$I$426))</f>
        <v/>
      </c>
      <c r="AV49" s="161">
        <f>IF(FX49="","",IF(ISNUMBER('Dvd Calendar'!$J$426)=FALSE,"",'Dvd Calendar'!$J$426))</f>
        <v/>
      </c>
      <c r="AW49" s="161">
        <f>IF(FY49="","",IF(ISNUMBER('Dvd Calendar'!$K$426)=FALSE,"",'Dvd Calendar'!$K$426))</f>
        <v/>
      </c>
      <c r="AX49" s="161">
        <f>IF(FZ49="","",IF(ISNUMBER('Dvd Calendar'!$L$426)=FALSE,"",'Dvd Calendar'!$L$426))</f>
        <v/>
      </c>
      <c r="AY49" s="161">
        <f>IF(GA49="","",IF(ISNUMBER('Dvd Calendar'!$M$426)=FALSE,"",'Dvd Calendar'!$M$426))</f>
        <v/>
      </c>
      <c r="AZ49" s="161">
        <f>IF(GB49="","",IF(ISNUMBER('Dvd Calendar'!$N$426)=FALSE,"",'Dvd Calendar'!$N$426))</f>
        <v/>
      </c>
      <c r="BA49" s="161">
        <f>IF(GC49="","",IF(ISNUMBER('Dvd Calendar'!$O$426)=FALSE,"",'Dvd Calendar'!$O$426))</f>
        <v/>
      </c>
      <c r="BB49" s="161">
        <f>IF(GD49="","",IF(ISNUMBER('Dvd Calendar'!$P$426)=FALSE,"",'Dvd Calendar'!$P$426))</f>
        <v/>
      </c>
      <c r="BC49" s="161">
        <f>IF(GE49="","",IF(ISNUMBER('Dvd Calendar'!$Q$426)=FALSE,"",'Dvd Calendar'!$Q$426))</f>
        <v/>
      </c>
      <c r="BD49" s="161">
        <f>IF(GF49="","",IF(ISNUMBER('Dvd Calendar'!$R$426)=FALSE,"",'Dvd Calendar'!$R$426))</f>
        <v/>
      </c>
      <c r="BE49" s="161">
        <f>IF(GG49="","",IF(ISNUMBER('Dvd Calendar'!$S$426)=FALSE,"",'Dvd Calendar'!$S$426))</f>
        <v/>
      </c>
      <c r="BF49" s="161">
        <f>IF(GH49="","",IF(ISNUMBER('Dvd Calendar'!$T$426)=FALSE,"",'Dvd Calendar'!$T$426))</f>
        <v/>
      </c>
      <c r="BG49" s="161">
        <f>IF(GI49="","",IF(ISNUMBER('Dvd Calendar'!$U$426)=FALSE,"",'Dvd Calendar'!$U$426))</f>
        <v/>
      </c>
      <c r="BH49" s="161">
        <f>IF(GJ49="","",IF(ISNUMBER('Dvd Calendar'!$V$426)=FALSE,"",'Dvd Calendar'!$V$426))</f>
        <v/>
      </c>
      <c r="BI49" s="161">
        <f>IF(GK49="","",IF(ISNUMBER('Dvd Calendar'!$W$426)=FALSE,"",'Dvd Calendar'!$W$426))</f>
        <v/>
      </c>
      <c r="BJ49" s="161">
        <f>IF(GL49="","",IF(ISNUMBER('Dvd Calendar'!$X$426)=FALSE,"",'Dvd Calendar'!$X$426))</f>
        <v/>
      </c>
      <c r="BK49" s="161">
        <f>IF(GM49="","",IF(ISNUMBER('Dvd Calendar'!$Y$426)=FALSE,"",'Dvd Calendar'!$Y$426))</f>
        <v/>
      </c>
      <c r="BL49" s="161">
        <f>IF(GN49="","",IF(ISNUMBER('Dvd Calendar'!$Z$426)=FALSE,"",'Dvd Calendar'!$Z$426))</f>
        <v/>
      </c>
      <c r="BM49" s="161">
        <f>IF(GO49="","",IF(ISNUMBER('Dvd Calendar'!$AA$426)=FALSE,"",'Dvd Calendar'!$AA$426))</f>
        <v/>
      </c>
      <c r="BN49" s="161">
        <f>IF(GP49="","",IF(ISNUMBER('Dvd Calendar'!$AB$426)=FALSE,"",'Dvd Calendar'!$AB$426))</f>
        <v/>
      </c>
      <c r="BO49" s="161">
        <f>IF(GQ49="","",IF(ISNUMBER('Dvd Calendar'!$AC$426)=FALSE,"",'Dvd Calendar'!$AC$426))</f>
        <v/>
      </c>
      <c r="BQ49" s="161">
        <f>IF(C49="","",IFERROR(C49*HSI!$B$44*HSI!$G$44/HSI!$B$3,""))</f>
        <v/>
      </c>
      <c r="BR49" s="161">
        <f>IF(D49="","",IFERROR(D49*HSI!$B$44*HSI!$G$44/HSI!$B$3,""))</f>
        <v/>
      </c>
      <c r="BS49" s="161">
        <f>IF(E49="","",IFERROR(E49*HSI!$B$44*HSI!$G$44/HSI!$B$3,""))</f>
        <v/>
      </c>
      <c r="BT49" s="161">
        <f>IF(F49="","",IFERROR(F49*HSI!$B$44*HSI!$G$44/HSI!$B$3,""))</f>
        <v/>
      </c>
      <c r="BU49" s="161">
        <f>IF(G49="","",IFERROR(G49*HSI!$B$44*HSI!$G$44/HSI!$B$3,""))</f>
        <v/>
      </c>
      <c r="BV49" s="161">
        <f>IF(H49="","",IFERROR(H49*HSI!$B$44*HSI!$G$44/HSI!$B$3,""))</f>
        <v/>
      </c>
      <c r="BW49" s="161">
        <f>IF(I49="","",IFERROR(I49*HSI!$B$44*HSI!$G$44/HSI!$B$3,""))</f>
        <v/>
      </c>
      <c r="BX49" s="161">
        <f>IF(J49="","",IFERROR(J49*HSI!$B$44*HSI!$G$44/HSI!$B$3,""))</f>
        <v/>
      </c>
      <c r="BY49" s="161">
        <f>IF(K49="","",IFERROR(K49*HSI!$B$44*HSI!$G$44/HSI!$B$3,""))</f>
        <v/>
      </c>
      <c r="BZ49" s="161">
        <f>IF(L49="","",IFERROR(L49*HSI!$B$44*HSI!$G$44/HSI!$B$3,""))</f>
        <v/>
      </c>
      <c r="CA49" s="161">
        <f>IF(M49="","",IFERROR(M49*HSI!$B$44*HSI!$G$44/HSI!$B$3,""))</f>
        <v/>
      </c>
      <c r="CB49" s="161">
        <f>IF(N49="","",IFERROR(N49*HSI!$B$44*HSI!$G$44/HSI!$B$3,""))</f>
        <v/>
      </c>
      <c r="CC49" s="161">
        <f>IF(O49="","",IFERROR(O49*HSI!$B$44*HSI!$G$44/HSI!$B$3,""))</f>
        <v/>
      </c>
      <c r="CD49" s="161">
        <f>IF(P49="","",IFERROR(P49*HSI!$B$44*HSI!$G$44/HSI!$B$3,""))</f>
        <v/>
      </c>
      <c r="CE49" s="161">
        <f>IF(Q49="","",IFERROR(Q49*HSI!$B$44*HSI!$G$44/HSI!$B$3,""))</f>
        <v/>
      </c>
      <c r="CF49" s="161">
        <f>IF(R49="","",IFERROR(R49*HSI!$B$44*HSI!$G$44/HSI!$B$3,""))</f>
        <v/>
      </c>
      <c r="CG49" s="161">
        <f>IF(S49="","",IFERROR(S49*HSI!$B$44*HSI!$G$44/HSI!$B$3,""))</f>
        <v/>
      </c>
      <c r="CH49" s="161">
        <f>IF(T49="","",IFERROR(T49*HSI!$B$44*HSI!$G$44/HSI!$B$3,""))</f>
        <v/>
      </c>
      <c r="CI49" s="161">
        <f>IF(U49="","",IFERROR(U49*HSI!$B$44*HSI!$G$44/HSI!$B$3,""))</f>
        <v/>
      </c>
      <c r="CJ49" s="161">
        <f>IF(V49="","",IFERROR(V49*HSI!$B$44*HSI!$G$44/HSI!$B$3,""))</f>
        <v/>
      </c>
      <c r="CK49" s="161">
        <f>IF(W49="","",IFERROR(W49*HSI!$B$44*HSI!$G$44/HSI!$B$3,""))</f>
        <v/>
      </c>
      <c r="CL49" s="161">
        <f>IF(X49="","",IFERROR(X49*HSI!$B$44*HSI!$G$44/HSI!$B$3,""))</f>
        <v/>
      </c>
      <c r="CM49" s="161">
        <f>IF(Y49="","",IFERROR(Y49*HSI!$B$44*HSI!$G$44/HSI!$B$3,""))</f>
        <v/>
      </c>
      <c r="CN49" s="161">
        <f>IF(Z49="","",IFERROR(Z49*HSI!$B$44*HSI!$G$44/HSI!$B$3,""))</f>
        <v/>
      </c>
      <c r="CO49" s="161">
        <f>IF(AA49="","",IFERROR(AA49*HSI!$B$44*HSI!$G$44/HSI!$B$3,""))</f>
        <v/>
      </c>
      <c r="CP49" s="161">
        <f>IF(AB49="","",IFERROR(AB49*HSI!$B$44*HSI!$G$44/HSI!$B$3,""))</f>
        <v/>
      </c>
      <c r="CQ49" s="161">
        <f>IF(AC49="","",IFERROR(AC49*HSI!$B$44*HSI!$G$44/HSI!$B$3,""))</f>
        <v/>
      </c>
      <c r="CR49" s="161">
        <f>IF(AD49="","",IFERROR(AD49*HSI!$B$44*HSI!$G$44/HSI!$B$3,""))</f>
        <v/>
      </c>
      <c r="CS49" s="161">
        <f>IF(AE49="","",IFERROR(AE49*HSI!$B$44*HSI!$G$44/HSI!$B$3,""))</f>
        <v/>
      </c>
      <c r="CT49" s="161">
        <f>IF(AF49="","",IFERROR(AF49*HSI!$B$44*HSI!$G$44/HSI!$B$3,""))</f>
        <v/>
      </c>
      <c r="CU49" s="161">
        <f>IF(AG49="","",IFERROR(AG49*HSI!$B$44*HSI!$G$44/HSI!$B$3,""))</f>
        <v/>
      </c>
      <c r="CV49" s="161">
        <f>IF(AH49="","",IFERROR(AH49*HSI!$B$44*HSI!$G$44/HSI!$B$3,""))</f>
        <v/>
      </c>
      <c r="CW49" s="161">
        <f>IF(AI49="","",IFERROR(AI49*HSI!$B$44*HSI!$G$44/HSI!$B$3,""))</f>
        <v/>
      </c>
      <c r="CX49" s="161">
        <f>IF(AJ49="","",IFERROR(AJ49*HSI!$B$44*HSI!$G$44/HSI!$B$3,""))</f>
        <v/>
      </c>
      <c r="CY49" s="161">
        <f>IF(AK49="","",IFERROR(AK49*HSI!$B$44*HSI!$G$44/HSI!$B$3,""))</f>
        <v/>
      </c>
      <c r="CZ49" s="161">
        <f>IF(AL49="","",IFERROR(AL49*HSI!$B$44*HSI!$G$44/HSI!$B$3,""))</f>
        <v/>
      </c>
      <c r="DA49" s="161">
        <f>IF(AM49="","",IFERROR(AM49*HSI!$B$44*HSI!$G$44/HSI!$B$3,""))</f>
        <v/>
      </c>
      <c r="DB49" s="161">
        <f>IF(AN49="","",IFERROR(AN49*HSI!$B$44*HSI!$G$44/HSI!$B$3,""))</f>
        <v/>
      </c>
      <c r="DC49" s="161">
        <f>IF(AO49="","",IFERROR(AO49*HSI!$B$44*HSI!$G$44/HSI!$B$3,""))</f>
        <v/>
      </c>
      <c r="DD49" s="161">
        <f>IF(AP49="","",IFERROR(AP49*HSI!$B$44*HSI!$G$44/HSI!$B$3,""))</f>
        <v/>
      </c>
      <c r="DE49" s="161">
        <f>IF(AQ49="","",IFERROR(AQ49*HSI!$B$44*HSI!$G$44/HSI!$B$3,""))</f>
        <v/>
      </c>
      <c r="DF49" s="161">
        <f>IF(AR49="","",IFERROR(AR49*HSI!$B$44*HSI!$G$44/HSI!$B$3,""))</f>
        <v/>
      </c>
      <c r="DG49" s="161">
        <f>IF(AS49="","",IFERROR(AS49*HSI!$B$44*HSI!$G$44/HSI!$B$3,""))</f>
        <v/>
      </c>
      <c r="DH49" s="161">
        <f>IF(AT49="","",IFERROR(AT49*HSI!$B$44*HSI!$G$44/HSI!$B$3,""))</f>
        <v/>
      </c>
      <c r="DI49" s="161">
        <f>IF(AU49="","",IFERROR(AU49*HSI!$B$44*HSI!$G$44/HSI!$B$3,""))</f>
        <v/>
      </c>
      <c r="DJ49" s="161">
        <f>IF(AV49="","",IFERROR(AV49*HSI!$B$44*HSI!$G$44/HSI!$B$3,""))</f>
        <v/>
      </c>
      <c r="DK49" s="161">
        <f>IF(AW49="","",IFERROR(AW49*HSI!$B$44*HSI!$G$44/HSI!$B$3,""))</f>
        <v/>
      </c>
      <c r="DL49" s="161">
        <f>IF(AX49="","",IFERROR(AX49*HSI!$B$44*HSI!$G$44/HSI!$B$3,""))</f>
        <v/>
      </c>
      <c r="DM49" s="161">
        <f>IF(AY49="","",IFERROR(AY49*HSI!$B$44*HSI!$G$44/HSI!$B$3,""))</f>
        <v/>
      </c>
      <c r="DN49" s="161">
        <f>IF(AZ49="","",IFERROR(AZ49*HSI!$B$44*HSI!$G$44/HSI!$B$3,""))</f>
        <v/>
      </c>
      <c r="DO49" s="161">
        <f>IF(BA49="","",IFERROR(BA49*HSI!$B$44*HSI!$G$44/HSI!$B$3,""))</f>
        <v/>
      </c>
      <c r="DP49" s="161">
        <f>IF(BB49="","",IFERROR(BB49*HSI!$B$44*HSI!$G$44/HSI!$B$3,""))</f>
        <v/>
      </c>
      <c r="DQ49" s="161">
        <f>IF(BC49="","",IFERROR(BC49*HSI!$B$44*HSI!$G$44/HSI!$B$3,""))</f>
        <v/>
      </c>
      <c r="DR49" s="161">
        <f>IF(BD49="","",IFERROR(BD49*HSI!$B$44*HSI!$G$44/HSI!$B$3,""))</f>
        <v/>
      </c>
      <c r="DS49" s="161">
        <f>IF(BE49="","",IFERROR(BE49*HSI!$B$44*HSI!$G$44/HSI!$B$3,""))</f>
        <v/>
      </c>
      <c r="DT49" s="161">
        <f>IF(BF49="","",IFERROR(BF49*HSI!$B$44*HSI!$G$44/HSI!$B$3,""))</f>
        <v/>
      </c>
      <c r="DU49" s="161">
        <f>IF(BG49="","",IFERROR(BG49*HSI!$B$44*HSI!$G$44/HSI!$B$3,""))</f>
        <v/>
      </c>
      <c r="DV49" s="161">
        <f>IF(BH49="","",IFERROR(BH49*HSI!$B$44*HSI!$G$44/HSI!$B$3,""))</f>
        <v/>
      </c>
      <c r="DW49" s="161">
        <f>IF(BI49="","",IFERROR(BI49*HSI!$B$44*HSI!$G$44/HSI!$B$3,""))</f>
        <v/>
      </c>
      <c r="DX49" s="161">
        <f>IF(BJ49="","",IFERROR(BJ49*HSI!$B$44*HSI!$G$44/HSI!$B$3,""))</f>
        <v/>
      </c>
      <c r="DY49" s="161">
        <f>IF(BK49="","",IFERROR(BK49*HSI!$B$44*HSI!$G$44/HSI!$B$3,""))</f>
        <v/>
      </c>
      <c r="DZ49" s="161">
        <f>IF(BL49="","",IFERROR(BL49*HSI!$B$44*HSI!$G$44/HSI!$B$3,""))</f>
        <v/>
      </c>
      <c r="EA49" s="161">
        <f>IF(BM49="","",IFERROR(BM49*HSI!$B$44*HSI!$G$44/HSI!$B$3,""))</f>
        <v/>
      </c>
      <c r="EB49" s="161">
        <f>IF(BN49="","",IFERROR(BN49*HSI!$B$44*HSI!$G$44/HSI!$B$3,""))</f>
        <v/>
      </c>
      <c r="EC49" s="161">
        <f>IF(BO49="","",IFERROR(BO49*HSI!$B$44*HSI!$G$44/HSI!$B$3,""))</f>
        <v/>
      </c>
      <c r="EE49" s="121">
        <f>IF(N('Dvd Calendar'!$E$418)=0,"",IF(('Dvd Calendar'!$E$418&gt;=GRID_FROM)*('Dvd Calendar'!$E$418&lt;=GRID_TO)*((('Dvd Calendar'!$E$418&lt;=VAL_DATE)+(COUNTIF('Dvd Calendar'!$E$425:$AR$425,'Dvd Calendar'!$E$418)=0))&gt;0)=0,"",'Dvd Calendar'!$E$418*1000000000+ISNUMBER('Dvd Calendar'!$E$421)*100000000+('Dvd Calendar'!$E$423=SPECIAL_LBL)*10000000+(N('Dvd Calendar'!$E$417)&gt;0)*(N('Dvd Calendar'!$E$417)&lt;=VAL_SERIAL)*1000000+38*1000+1))</f>
        <v/>
      </c>
      <c r="EF49" s="121">
        <f>IF(N('Dvd Calendar'!$F$418)=0,"",IF(('Dvd Calendar'!$F$418&gt;=GRID_FROM)*('Dvd Calendar'!$F$418&lt;=GRID_TO)*((('Dvd Calendar'!$F$418&lt;=VAL_DATE)+(COUNTIF('Dvd Calendar'!$E$425:$AR$425,'Dvd Calendar'!$F$418)=0))&gt;0)=0,"",'Dvd Calendar'!$F$418*1000000000+ISNUMBER('Dvd Calendar'!$F$421)*100000000+('Dvd Calendar'!$F$423=SPECIAL_LBL)*10000000+(N('Dvd Calendar'!$F$417)&gt;0)*(N('Dvd Calendar'!$F$417)&lt;=VAL_SERIAL)*1000000+38*1000+2))</f>
        <v/>
      </c>
      <c r="EG49" s="121">
        <f>IF(N('Dvd Calendar'!$G$418)=0,"",IF(('Dvd Calendar'!$G$418&gt;=GRID_FROM)*('Dvd Calendar'!$G$418&lt;=GRID_TO)*((('Dvd Calendar'!$G$418&lt;=VAL_DATE)+(COUNTIF('Dvd Calendar'!$E$425:$AR$425,'Dvd Calendar'!$G$418)=0))&gt;0)=0,"",'Dvd Calendar'!$G$418*1000000000+ISNUMBER('Dvd Calendar'!$G$421)*100000000+('Dvd Calendar'!$G$423=SPECIAL_LBL)*10000000+(N('Dvd Calendar'!$G$417)&gt;0)*(N('Dvd Calendar'!$G$417)&lt;=VAL_SERIAL)*1000000+38*1000+3))</f>
        <v/>
      </c>
      <c r="EH49" s="121">
        <f>IF(N('Dvd Calendar'!$H$418)=0,"",IF(('Dvd Calendar'!$H$418&gt;=GRID_FROM)*('Dvd Calendar'!$H$418&lt;=GRID_TO)*((('Dvd Calendar'!$H$418&lt;=VAL_DATE)+(COUNTIF('Dvd Calendar'!$E$425:$AR$425,'Dvd Calendar'!$H$418)=0))&gt;0)=0,"",'Dvd Calendar'!$H$418*1000000000+ISNUMBER('Dvd Calendar'!$H$421)*100000000+('Dvd Calendar'!$H$423=SPECIAL_LBL)*10000000+(N('Dvd Calendar'!$H$417)&gt;0)*(N('Dvd Calendar'!$H$417)&lt;=VAL_SERIAL)*1000000+38*1000+4))</f>
        <v/>
      </c>
      <c r="EI49" s="121">
        <f>IF(N('Dvd Calendar'!$I$418)=0,"",IF(('Dvd Calendar'!$I$418&gt;=GRID_FROM)*('Dvd Calendar'!$I$418&lt;=GRID_TO)*((('Dvd Calendar'!$I$418&lt;=VAL_DATE)+(COUNTIF('Dvd Calendar'!$E$425:$AR$425,'Dvd Calendar'!$I$418)=0))&gt;0)=0,"",'Dvd Calendar'!$I$418*1000000000+ISNUMBER('Dvd Calendar'!$I$421)*100000000+('Dvd Calendar'!$I$423=SPECIAL_LBL)*10000000+(N('Dvd Calendar'!$I$417)&gt;0)*(N('Dvd Calendar'!$I$417)&lt;=VAL_SERIAL)*1000000+38*1000+5))</f>
        <v/>
      </c>
      <c r="EJ49" s="121">
        <f>IF(N('Dvd Calendar'!$J$418)=0,"",IF(('Dvd Calendar'!$J$418&gt;=GRID_FROM)*('Dvd Calendar'!$J$418&lt;=GRID_TO)*((('Dvd Calendar'!$J$418&lt;=VAL_DATE)+(COUNTIF('Dvd Calendar'!$E$425:$AR$425,'Dvd Calendar'!$J$418)=0))&gt;0)=0,"",'Dvd Calendar'!$J$418*1000000000+ISNUMBER('Dvd Calendar'!$J$421)*100000000+('Dvd Calendar'!$J$423=SPECIAL_LBL)*10000000+(N('Dvd Calendar'!$J$417)&gt;0)*(N('Dvd Calendar'!$J$417)&lt;=VAL_SERIAL)*1000000+38*1000+6))</f>
        <v/>
      </c>
      <c r="EK49" s="121">
        <f>IF(N('Dvd Calendar'!$K$418)=0,"",IF(('Dvd Calendar'!$K$418&gt;=GRID_FROM)*('Dvd Calendar'!$K$418&lt;=GRID_TO)*((('Dvd Calendar'!$K$418&lt;=VAL_DATE)+(COUNTIF('Dvd Calendar'!$E$425:$AR$425,'Dvd Calendar'!$K$418)=0))&gt;0)=0,"",'Dvd Calendar'!$K$418*1000000000+ISNUMBER('Dvd Calendar'!$K$421)*100000000+('Dvd Calendar'!$K$423=SPECIAL_LBL)*10000000+(N('Dvd Calendar'!$K$417)&gt;0)*(N('Dvd Calendar'!$K$417)&lt;=VAL_SERIAL)*1000000+38*1000+7))</f>
        <v/>
      </c>
      <c r="EL49" s="121">
        <f>IF(N('Dvd Calendar'!$L$418)=0,"",IF(('Dvd Calendar'!$L$418&gt;=GRID_FROM)*('Dvd Calendar'!$L$418&lt;=GRID_TO)*((('Dvd Calendar'!$L$418&lt;=VAL_DATE)+(COUNTIF('Dvd Calendar'!$E$425:$AR$425,'Dvd Calendar'!$L$418)=0))&gt;0)=0,"",'Dvd Calendar'!$L$418*1000000000+ISNUMBER('Dvd Calendar'!$L$421)*100000000+('Dvd Calendar'!$L$423=SPECIAL_LBL)*10000000+(N('Dvd Calendar'!$L$417)&gt;0)*(N('Dvd Calendar'!$L$417)&lt;=VAL_SERIAL)*1000000+38*1000+8))</f>
        <v/>
      </c>
      <c r="EM49" s="121">
        <f>IF(N('Dvd Calendar'!$M$418)=0,"",IF(('Dvd Calendar'!$M$418&gt;=GRID_FROM)*('Dvd Calendar'!$M$418&lt;=GRID_TO)*((('Dvd Calendar'!$M$418&lt;=VAL_DATE)+(COUNTIF('Dvd Calendar'!$E$425:$AR$425,'Dvd Calendar'!$M$418)=0))&gt;0)=0,"",'Dvd Calendar'!$M$418*1000000000+ISNUMBER('Dvd Calendar'!$M$421)*100000000+('Dvd Calendar'!$M$423=SPECIAL_LBL)*10000000+(N('Dvd Calendar'!$M$417)&gt;0)*(N('Dvd Calendar'!$M$417)&lt;=VAL_SERIAL)*1000000+38*1000+9))</f>
        <v/>
      </c>
      <c r="EN49" s="121">
        <f>IF(N('Dvd Calendar'!$N$418)=0,"",IF(('Dvd Calendar'!$N$418&gt;=GRID_FROM)*('Dvd Calendar'!$N$418&lt;=GRID_TO)*((('Dvd Calendar'!$N$418&lt;=VAL_DATE)+(COUNTIF('Dvd Calendar'!$E$425:$AR$425,'Dvd Calendar'!$N$418)=0))&gt;0)=0,"",'Dvd Calendar'!$N$418*1000000000+ISNUMBER('Dvd Calendar'!$N$421)*100000000+('Dvd Calendar'!$N$423=SPECIAL_LBL)*10000000+(N('Dvd Calendar'!$N$417)&gt;0)*(N('Dvd Calendar'!$N$417)&lt;=VAL_SERIAL)*1000000+38*1000+10))</f>
        <v/>
      </c>
      <c r="EO49" s="121">
        <f>IF(N('Dvd Calendar'!$O$418)=0,"",IF(('Dvd Calendar'!$O$418&gt;=GRID_FROM)*('Dvd Calendar'!$O$418&lt;=GRID_TO)*((('Dvd Calendar'!$O$418&lt;=VAL_DATE)+(COUNTIF('Dvd Calendar'!$E$425:$AR$425,'Dvd Calendar'!$O$418)=0))&gt;0)=0,"",'Dvd Calendar'!$O$418*1000000000+ISNUMBER('Dvd Calendar'!$O$421)*100000000+('Dvd Calendar'!$O$423=SPECIAL_LBL)*10000000+(N('Dvd Calendar'!$O$417)&gt;0)*(N('Dvd Calendar'!$O$417)&lt;=VAL_SERIAL)*1000000+38*1000+11))</f>
        <v/>
      </c>
      <c r="EP49" s="121">
        <f>IF(N('Dvd Calendar'!$P$418)=0,"",IF(('Dvd Calendar'!$P$418&gt;=GRID_FROM)*('Dvd Calendar'!$P$418&lt;=GRID_TO)*((('Dvd Calendar'!$P$418&lt;=VAL_DATE)+(COUNTIF('Dvd Calendar'!$E$425:$AR$425,'Dvd Calendar'!$P$418)=0))&gt;0)=0,"",'Dvd Calendar'!$P$418*1000000000+ISNUMBER('Dvd Calendar'!$P$421)*100000000+('Dvd Calendar'!$P$423=SPECIAL_LBL)*10000000+(N('Dvd Calendar'!$P$417)&gt;0)*(N('Dvd Calendar'!$P$417)&lt;=VAL_SERIAL)*1000000+38*1000+12))</f>
        <v/>
      </c>
      <c r="EQ49" s="121">
        <f>IF(N('Dvd Calendar'!$Q$418)=0,"",IF(('Dvd Calendar'!$Q$418&gt;=GRID_FROM)*('Dvd Calendar'!$Q$418&lt;=GRID_TO)*((('Dvd Calendar'!$Q$418&lt;=VAL_DATE)+(COUNTIF('Dvd Calendar'!$E$425:$AR$425,'Dvd Calendar'!$Q$418)=0))&gt;0)=0,"",'Dvd Calendar'!$Q$418*1000000000+ISNUMBER('Dvd Calendar'!$Q$421)*100000000+('Dvd Calendar'!$Q$423=SPECIAL_LBL)*10000000+(N('Dvd Calendar'!$Q$417)&gt;0)*(N('Dvd Calendar'!$Q$417)&lt;=VAL_SERIAL)*1000000+38*1000+13))</f>
        <v/>
      </c>
      <c r="ER49" s="121">
        <f>IF(N('Dvd Calendar'!$R$418)=0,"",IF(('Dvd Calendar'!$R$418&gt;=GRID_FROM)*('Dvd Calendar'!$R$418&lt;=GRID_TO)*((('Dvd Calendar'!$R$418&lt;=VAL_DATE)+(COUNTIF('Dvd Calendar'!$E$425:$AR$425,'Dvd Calendar'!$R$418)=0))&gt;0)=0,"",'Dvd Calendar'!$R$418*1000000000+ISNUMBER('Dvd Calendar'!$R$421)*100000000+('Dvd Calendar'!$R$423=SPECIAL_LBL)*10000000+(N('Dvd Calendar'!$R$417)&gt;0)*(N('Dvd Calendar'!$R$417)&lt;=VAL_SERIAL)*1000000+38*1000+14))</f>
        <v/>
      </c>
      <c r="ES49" s="121">
        <f>IF(N('Dvd Calendar'!$S$418)=0,"",IF(('Dvd Calendar'!$S$418&gt;=GRID_FROM)*('Dvd Calendar'!$S$418&lt;=GRID_TO)*((('Dvd Calendar'!$S$418&lt;=VAL_DATE)+(COUNTIF('Dvd Calendar'!$E$425:$AR$425,'Dvd Calendar'!$S$418)=0))&gt;0)=0,"",'Dvd Calendar'!$S$418*1000000000+ISNUMBER('Dvd Calendar'!$S$421)*100000000+('Dvd Calendar'!$S$423=SPECIAL_LBL)*10000000+(N('Dvd Calendar'!$S$417)&gt;0)*(N('Dvd Calendar'!$S$417)&lt;=VAL_SERIAL)*1000000+38*1000+15))</f>
        <v/>
      </c>
      <c r="ET49" s="121">
        <f>IF(N('Dvd Calendar'!$T$418)=0,"",IF(('Dvd Calendar'!$T$418&gt;=GRID_FROM)*('Dvd Calendar'!$T$418&lt;=GRID_TO)*((('Dvd Calendar'!$T$418&lt;=VAL_DATE)+(COUNTIF('Dvd Calendar'!$E$425:$AR$425,'Dvd Calendar'!$T$418)=0))&gt;0)=0,"",'Dvd Calendar'!$T$418*1000000000+ISNUMBER('Dvd Calendar'!$T$421)*100000000+('Dvd Calendar'!$T$423=SPECIAL_LBL)*10000000+(N('Dvd Calendar'!$T$417)&gt;0)*(N('Dvd Calendar'!$T$417)&lt;=VAL_SERIAL)*1000000+38*1000+16))</f>
        <v/>
      </c>
      <c r="EU49" s="121">
        <f>IF(N('Dvd Calendar'!$U$418)=0,"",IF(('Dvd Calendar'!$U$418&gt;=GRID_FROM)*('Dvd Calendar'!$U$418&lt;=GRID_TO)*((('Dvd Calendar'!$U$418&lt;=VAL_DATE)+(COUNTIF('Dvd Calendar'!$E$425:$AR$425,'Dvd Calendar'!$U$418)=0))&gt;0)=0,"",'Dvd Calendar'!$U$418*1000000000+ISNUMBER('Dvd Calendar'!$U$421)*100000000+('Dvd Calendar'!$U$423=SPECIAL_LBL)*10000000+(N('Dvd Calendar'!$U$417)&gt;0)*(N('Dvd Calendar'!$U$417)&lt;=VAL_SERIAL)*1000000+38*1000+17))</f>
        <v/>
      </c>
      <c r="EV49" s="121">
        <f>IF(N('Dvd Calendar'!$V$418)=0,"",IF(('Dvd Calendar'!$V$418&gt;=GRID_FROM)*('Dvd Calendar'!$V$418&lt;=GRID_TO)*((('Dvd Calendar'!$V$418&lt;=VAL_DATE)+(COUNTIF('Dvd Calendar'!$E$425:$AR$425,'Dvd Calendar'!$V$418)=0))&gt;0)=0,"",'Dvd Calendar'!$V$418*1000000000+ISNUMBER('Dvd Calendar'!$V$421)*100000000+('Dvd Calendar'!$V$423=SPECIAL_LBL)*10000000+(N('Dvd Calendar'!$V$417)&gt;0)*(N('Dvd Calendar'!$V$417)&lt;=VAL_SERIAL)*1000000+38*1000+18))</f>
        <v/>
      </c>
      <c r="EW49" s="121">
        <f>IF(N('Dvd Calendar'!$W$418)=0,"",IF(('Dvd Calendar'!$W$418&gt;=GRID_FROM)*('Dvd Calendar'!$W$418&lt;=GRID_TO)*((('Dvd Calendar'!$W$418&lt;=VAL_DATE)+(COUNTIF('Dvd Calendar'!$E$425:$AR$425,'Dvd Calendar'!$W$418)=0))&gt;0)=0,"",'Dvd Calendar'!$W$418*1000000000+ISNUMBER('Dvd Calendar'!$W$421)*100000000+('Dvd Calendar'!$W$423=SPECIAL_LBL)*10000000+(N('Dvd Calendar'!$W$417)&gt;0)*(N('Dvd Calendar'!$W$417)&lt;=VAL_SERIAL)*1000000+38*1000+19))</f>
        <v/>
      </c>
      <c r="EX49" s="121">
        <f>IF(N('Dvd Calendar'!$X$418)=0,"",IF(('Dvd Calendar'!$X$418&gt;=GRID_FROM)*('Dvd Calendar'!$X$418&lt;=GRID_TO)*((('Dvd Calendar'!$X$418&lt;=VAL_DATE)+(COUNTIF('Dvd Calendar'!$E$425:$AR$425,'Dvd Calendar'!$X$418)=0))&gt;0)=0,"",'Dvd Calendar'!$X$418*1000000000+ISNUMBER('Dvd Calendar'!$X$421)*100000000+('Dvd Calendar'!$X$423=SPECIAL_LBL)*10000000+(N('Dvd Calendar'!$X$417)&gt;0)*(N('Dvd Calendar'!$X$417)&lt;=VAL_SERIAL)*1000000+38*1000+20))</f>
        <v/>
      </c>
      <c r="EY49" s="121">
        <f>IF(N('Dvd Calendar'!$Y$418)=0,"",IF(('Dvd Calendar'!$Y$418&gt;=GRID_FROM)*('Dvd Calendar'!$Y$418&lt;=GRID_TO)*((('Dvd Calendar'!$Y$418&lt;=VAL_DATE)+(COUNTIF('Dvd Calendar'!$E$425:$AR$425,'Dvd Calendar'!$Y$418)=0))&gt;0)=0,"",'Dvd Calendar'!$Y$418*1000000000+ISNUMBER('Dvd Calendar'!$Y$421)*100000000+('Dvd Calendar'!$Y$423=SPECIAL_LBL)*10000000+(N('Dvd Calendar'!$Y$417)&gt;0)*(N('Dvd Calendar'!$Y$417)&lt;=VAL_SERIAL)*1000000+38*1000+21))</f>
        <v/>
      </c>
      <c r="EZ49" s="121">
        <f>IF(N('Dvd Calendar'!$Z$418)=0,"",IF(('Dvd Calendar'!$Z$418&gt;=GRID_FROM)*('Dvd Calendar'!$Z$418&lt;=GRID_TO)*((('Dvd Calendar'!$Z$418&lt;=VAL_DATE)+(COUNTIF('Dvd Calendar'!$E$425:$AR$425,'Dvd Calendar'!$Z$418)=0))&gt;0)=0,"",'Dvd Calendar'!$Z$418*1000000000+ISNUMBER('Dvd Calendar'!$Z$421)*100000000+('Dvd Calendar'!$Z$423=SPECIAL_LBL)*10000000+(N('Dvd Calendar'!$Z$417)&gt;0)*(N('Dvd Calendar'!$Z$417)&lt;=VAL_SERIAL)*1000000+38*1000+22))</f>
        <v/>
      </c>
      <c r="FA49" s="121">
        <f>IF(N('Dvd Calendar'!$AA$418)=0,"",IF(('Dvd Calendar'!$AA$418&gt;=GRID_FROM)*('Dvd Calendar'!$AA$418&lt;=GRID_TO)*((('Dvd Calendar'!$AA$418&lt;=VAL_DATE)+(COUNTIF('Dvd Calendar'!$E$425:$AR$425,'Dvd Calendar'!$AA$418)=0))&gt;0)=0,"",'Dvd Calendar'!$AA$418*1000000000+ISNUMBER('Dvd Calendar'!$AA$421)*100000000+('Dvd Calendar'!$AA$423=SPECIAL_LBL)*10000000+(N('Dvd Calendar'!$AA$417)&gt;0)*(N('Dvd Calendar'!$AA$417)&lt;=VAL_SERIAL)*1000000+38*1000+23))</f>
        <v/>
      </c>
      <c r="FB49" s="121">
        <f>IF(N('Dvd Calendar'!$AB$418)=0,"",IF(('Dvd Calendar'!$AB$418&gt;=GRID_FROM)*('Dvd Calendar'!$AB$418&lt;=GRID_TO)*((('Dvd Calendar'!$AB$418&lt;=VAL_DATE)+(COUNTIF('Dvd Calendar'!$E$425:$AR$425,'Dvd Calendar'!$AB$418)=0))&gt;0)=0,"",'Dvd Calendar'!$AB$418*1000000000+ISNUMBER('Dvd Calendar'!$AB$421)*100000000+('Dvd Calendar'!$AB$423=SPECIAL_LBL)*10000000+(N('Dvd Calendar'!$AB$417)&gt;0)*(N('Dvd Calendar'!$AB$417)&lt;=VAL_SERIAL)*1000000+38*1000+24))</f>
        <v/>
      </c>
      <c r="FC49" s="121">
        <f>IF(N('Dvd Calendar'!$AC$418)=0,"",IF(('Dvd Calendar'!$AC$418&gt;=GRID_FROM)*('Dvd Calendar'!$AC$418&lt;=GRID_TO)*((('Dvd Calendar'!$AC$418&lt;=VAL_DATE)+(COUNTIF('Dvd Calendar'!$E$425:$AR$425,'Dvd Calendar'!$AC$418)=0))&gt;0)=0,"",'Dvd Calendar'!$AC$418*1000000000+ISNUMBER('Dvd Calendar'!$AC$421)*100000000+('Dvd Calendar'!$AC$423=SPECIAL_LBL)*10000000+(N('Dvd Calendar'!$AC$417)&gt;0)*(N('Dvd Calendar'!$AC$417)&lt;=VAL_SERIAL)*1000000+38*1000+25))</f>
        <v/>
      </c>
      <c r="FD49" s="121">
        <f>IF(N('Dvd Calendar'!$AD$418)=0,"",IF(('Dvd Calendar'!$AD$418&gt;=GRID_FROM)*('Dvd Calendar'!$AD$418&lt;=GRID_TO)*((('Dvd Calendar'!$AD$418&lt;=VAL_DATE)+(COUNTIF('Dvd Calendar'!$E$425:$AR$425,'Dvd Calendar'!$AD$418)=0))&gt;0)=0,"",'Dvd Calendar'!$AD$418*1000000000+ISNUMBER('Dvd Calendar'!$AD$421)*100000000+('Dvd Calendar'!$AD$423=SPECIAL_LBL)*10000000+(N('Dvd Calendar'!$AD$417)&gt;0)*(N('Dvd Calendar'!$AD$417)&lt;=VAL_SERIAL)*1000000+38*1000+26))</f>
        <v/>
      </c>
      <c r="FE49" s="121">
        <f>IF(N('Dvd Calendar'!$AE$418)=0,"",IF(('Dvd Calendar'!$AE$418&gt;=GRID_FROM)*('Dvd Calendar'!$AE$418&lt;=GRID_TO)*((('Dvd Calendar'!$AE$418&lt;=VAL_DATE)+(COUNTIF('Dvd Calendar'!$E$425:$AR$425,'Dvd Calendar'!$AE$418)=0))&gt;0)=0,"",'Dvd Calendar'!$AE$418*1000000000+ISNUMBER('Dvd Calendar'!$AE$421)*100000000+('Dvd Calendar'!$AE$423=SPECIAL_LBL)*10000000+(N('Dvd Calendar'!$AE$417)&gt;0)*(N('Dvd Calendar'!$AE$417)&lt;=VAL_SERIAL)*1000000+38*1000+27))</f>
        <v/>
      </c>
      <c r="FF49" s="121">
        <f>IF(N('Dvd Calendar'!$AF$418)=0,"",IF(('Dvd Calendar'!$AF$418&gt;=GRID_FROM)*('Dvd Calendar'!$AF$418&lt;=GRID_TO)*((('Dvd Calendar'!$AF$418&lt;=VAL_DATE)+(COUNTIF('Dvd Calendar'!$E$425:$AR$425,'Dvd Calendar'!$AF$418)=0))&gt;0)=0,"",'Dvd Calendar'!$AF$418*1000000000+ISNUMBER('Dvd Calendar'!$AF$421)*100000000+('Dvd Calendar'!$AF$423=SPECIAL_LBL)*10000000+(N('Dvd Calendar'!$AF$417)&gt;0)*(N('Dvd Calendar'!$AF$417)&lt;=VAL_SERIAL)*1000000+38*1000+28))</f>
        <v/>
      </c>
      <c r="FG49" s="121">
        <f>IF(N('Dvd Calendar'!$AG$418)=0,"",IF(('Dvd Calendar'!$AG$418&gt;=GRID_FROM)*('Dvd Calendar'!$AG$418&lt;=GRID_TO)*((('Dvd Calendar'!$AG$418&lt;=VAL_DATE)+(COUNTIF('Dvd Calendar'!$E$425:$AR$425,'Dvd Calendar'!$AG$418)=0))&gt;0)=0,"",'Dvd Calendar'!$AG$418*1000000000+ISNUMBER('Dvd Calendar'!$AG$421)*100000000+('Dvd Calendar'!$AG$423=SPECIAL_LBL)*10000000+(N('Dvd Calendar'!$AG$417)&gt;0)*(N('Dvd Calendar'!$AG$417)&lt;=VAL_SERIAL)*1000000+38*1000+29))</f>
        <v/>
      </c>
      <c r="FH49" s="121">
        <f>IF(N('Dvd Calendar'!$AH$418)=0,"",IF(('Dvd Calendar'!$AH$418&gt;=GRID_FROM)*('Dvd Calendar'!$AH$418&lt;=GRID_TO)*((('Dvd Calendar'!$AH$418&lt;=VAL_DATE)+(COUNTIF('Dvd Calendar'!$E$425:$AR$425,'Dvd Calendar'!$AH$418)=0))&gt;0)=0,"",'Dvd Calendar'!$AH$418*1000000000+ISNUMBER('Dvd Calendar'!$AH$421)*100000000+('Dvd Calendar'!$AH$423=SPECIAL_LBL)*10000000+(N('Dvd Calendar'!$AH$417)&gt;0)*(N('Dvd Calendar'!$AH$417)&lt;=VAL_SERIAL)*1000000+38*1000+30))</f>
        <v/>
      </c>
      <c r="FI49" s="121">
        <f>IF(N('Dvd Calendar'!$AI$418)=0,"",IF(('Dvd Calendar'!$AI$418&gt;=GRID_FROM)*('Dvd Calendar'!$AI$418&lt;=GRID_TO)*((('Dvd Calendar'!$AI$418&lt;=VAL_DATE)+(COUNTIF('Dvd Calendar'!$E$425:$AR$425,'Dvd Calendar'!$AI$418)=0))&gt;0)=0,"",'Dvd Calendar'!$AI$418*1000000000+ISNUMBER('Dvd Calendar'!$AI$421)*100000000+('Dvd Calendar'!$AI$423=SPECIAL_LBL)*10000000+(N('Dvd Calendar'!$AI$417)&gt;0)*(N('Dvd Calendar'!$AI$417)&lt;=VAL_SERIAL)*1000000+38*1000+31))</f>
        <v/>
      </c>
      <c r="FJ49" s="121">
        <f>IF(N('Dvd Calendar'!$AJ$418)=0,"",IF(('Dvd Calendar'!$AJ$418&gt;=GRID_FROM)*('Dvd Calendar'!$AJ$418&lt;=GRID_TO)*((('Dvd Calendar'!$AJ$418&lt;=VAL_DATE)+(COUNTIF('Dvd Calendar'!$E$425:$AR$425,'Dvd Calendar'!$AJ$418)=0))&gt;0)=0,"",'Dvd Calendar'!$AJ$418*1000000000+ISNUMBER('Dvd Calendar'!$AJ$421)*100000000+('Dvd Calendar'!$AJ$423=SPECIAL_LBL)*10000000+(N('Dvd Calendar'!$AJ$417)&gt;0)*(N('Dvd Calendar'!$AJ$417)&lt;=VAL_SERIAL)*1000000+38*1000+32))</f>
        <v/>
      </c>
      <c r="FK49" s="121">
        <f>IF(N('Dvd Calendar'!$AK$418)=0,"",IF(('Dvd Calendar'!$AK$418&gt;=GRID_FROM)*('Dvd Calendar'!$AK$418&lt;=GRID_TO)*((('Dvd Calendar'!$AK$418&lt;=VAL_DATE)+(COUNTIF('Dvd Calendar'!$E$425:$AR$425,'Dvd Calendar'!$AK$418)=0))&gt;0)=0,"",'Dvd Calendar'!$AK$418*1000000000+ISNUMBER('Dvd Calendar'!$AK$421)*100000000+('Dvd Calendar'!$AK$423=SPECIAL_LBL)*10000000+(N('Dvd Calendar'!$AK$417)&gt;0)*(N('Dvd Calendar'!$AK$417)&lt;=VAL_SERIAL)*1000000+38*1000+33))</f>
        <v/>
      </c>
      <c r="FL49" s="121">
        <f>IF(N('Dvd Calendar'!$AL$418)=0,"",IF(('Dvd Calendar'!$AL$418&gt;=GRID_FROM)*('Dvd Calendar'!$AL$418&lt;=GRID_TO)*((('Dvd Calendar'!$AL$418&lt;=VAL_DATE)+(COUNTIF('Dvd Calendar'!$E$425:$AR$425,'Dvd Calendar'!$AL$418)=0))&gt;0)=0,"",'Dvd Calendar'!$AL$418*1000000000+ISNUMBER('Dvd Calendar'!$AL$421)*100000000+('Dvd Calendar'!$AL$423=SPECIAL_LBL)*10000000+(N('Dvd Calendar'!$AL$417)&gt;0)*(N('Dvd Calendar'!$AL$417)&lt;=VAL_SERIAL)*1000000+38*1000+34))</f>
        <v/>
      </c>
      <c r="FM49" s="121">
        <f>IF(N('Dvd Calendar'!$AM$418)=0,"",IF(('Dvd Calendar'!$AM$418&gt;=GRID_FROM)*('Dvd Calendar'!$AM$418&lt;=GRID_TO)*((('Dvd Calendar'!$AM$418&lt;=VAL_DATE)+(COUNTIF('Dvd Calendar'!$E$425:$AR$425,'Dvd Calendar'!$AM$418)=0))&gt;0)=0,"",'Dvd Calendar'!$AM$418*1000000000+ISNUMBER('Dvd Calendar'!$AM$421)*100000000+('Dvd Calendar'!$AM$423=SPECIAL_LBL)*10000000+(N('Dvd Calendar'!$AM$417)&gt;0)*(N('Dvd Calendar'!$AM$417)&lt;=VAL_SERIAL)*1000000+38*1000+35))</f>
        <v/>
      </c>
      <c r="FN49" s="121">
        <f>IF(N('Dvd Calendar'!$AN$418)=0,"",IF(('Dvd Calendar'!$AN$418&gt;=GRID_FROM)*('Dvd Calendar'!$AN$418&lt;=GRID_TO)*((('Dvd Calendar'!$AN$418&lt;=VAL_DATE)+(COUNTIF('Dvd Calendar'!$E$425:$AR$425,'Dvd Calendar'!$AN$418)=0))&gt;0)=0,"",'Dvd Calendar'!$AN$418*1000000000+ISNUMBER('Dvd Calendar'!$AN$421)*100000000+('Dvd Calendar'!$AN$423=SPECIAL_LBL)*10000000+(N('Dvd Calendar'!$AN$417)&gt;0)*(N('Dvd Calendar'!$AN$417)&lt;=VAL_SERIAL)*1000000+38*1000+36))</f>
        <v/>
      </c>
      <c r="FO49" s="121">
        <f>IF(N('Dvd Calendar'!$AO$418)=0,"",IF(('Dvd Calendar'!$AO$418&gt;=GRID_FROM)*('Dvd Calendar'!$AO$418&lt;=GRID_TO)*((('Dvd Calendar'!$AO$418&lt;=VAL_DATE)+(COUNTIF('Dvd Calendar'!$E$425:$AR$425,'Dvd Calendar'!$AO$418)=0))&gt;0)=0,"",'Dvd Calendar'!$AO$418*1000000000+ISNUMBER('Dvd Calendar'!$AO$421)*100000000+('Dvd Calendar'!$AO$423=SPECIAL_LBL)*10000000+(N('Dvd Calendar'!$AO$417)&gt;0)*(N('Dvd Calendar'!$AO$417)&lt;=VAL_SERIAL)*1000000+38*1000+37))</f>
        <v/>
      </c>
      <c r="FP49" s="121">
        <f>IF(N('Dvd Calendar'!$AP$418)=0,"",IF(('Dvd Calendar'!$AP$418&gt;=GRID_FROM)*('Dvd Calendar'!$AP$418&lt;=GRID_TO)*((('Dvd Calendar'!$AP$418&lt;=VAL_DATE)+(COUNTIF('Dvd Calendar'!$E$425:$AR$425,'Dvd Calendar'!$AP$418)=0))&gt;0)=0,"",'Dvd Calendar'!$AP$418*1000000000+ISNUMBER('Dvd Calendar'!$AP$421)*100000000+('Dvd Calendar'!$AP$423=SPECIAL_LBL)*10000000+(N('Dvd Calendar'!$AP$417)&gt;0)*(N('Dvd Calendar'!$AP$417)&lt;=VAL_SERIAL)*1000000+38*1000+38))</f>
        <v/>
      </c>
      <c r="FQ49" s="121">
        <f>IF(N('Dvd Calendar'!$AQ$418)=0,"",IF(('Dvd Calendar'!$AQ$418&gt;=GRID_FROM)*('Dvd Calendar'!$AQ$418&lt;=GRID_TO)*((('Dvd Calendar'!$AQ$418&lt;=VAL_DATE)+(COUNTIF('Dvd Calendar'!$E$425:$AR$425,'Dvd Calendar'!$AQ$418)=0))&gt;0)=0,"",'Dvd Calendar'!$AQ$418*1000000000+ISNUMBER('Dvd Calendar'!$AQ$421)*100000000+('Dvd Calendar'!$AQ$423=SPECIAL_LBL)*10000000+(N('Dvd Calendar'!$AQ$417)&gt;0)*(N('Dvd Calendar'!$AQ$417)&lt;=VAL_SERIAL)*1000000+38*1000+39))</f>
        <v/>
      </c>
      <c r="FR49" s="121">
        <f>IF(N('Dvd Calendar'!$AR$418)=0,"",IF(('Dvd Calendar'!$AR$418&gt;=GRID_FROM)*('Dvd Calendar'!$AR$418&lt;=GRID_TO)*((('Dvd Calendar'!$AR$418&lt;=VAL_DATE)+(COUNTIF('Dvd Calendar'!$E$425:$AR$425,'Dvd Calendar'!$AR$418)=0))&gt;0)=0,"",'Dvd Calendar'!$AR$418*1000000000+ISNUMBER('Dvd Calendar'!$AR$421)*100000000+('Dvd Calendar'!$AR$423=SPECIAL_LBL)*10000000+(N('Dvd Calendar'!$AR$417)&gt;0)*(N('Dvd Calendar'!$AR$417)&lt;=VAL_SERIAL)*1000000+38*1000+40))</f>
        <v/>
      </c>
      <c r="FS49" s="121">
        <f>IF(N('Dvd Calendar'!$E$425)=0,"",IF(('Dvd Calendar'!$E$425&gt;=GRID_FROM)*('Dvd Calendar'!$E$425&lt;=GRID_TO)*('Dvd Calendar'!$E$425&gt;VAL_DATE)=0,"",'Dvd Calendar'!$E$425*1000000000+ISNUMBER('Dvd Calendar'!$E$426)*100000000+0*10000000+(N('Dvd Calendar'!$E$424)&gt;0)*(N('Dvd Calendar'!$E$424)&lt;=VAL_SERIAL)*1000000+38*1000+41))</f>
        <v/>
      </c>
      <c r="FT49" s="121">
        <f>IF(N('Dvd Calendar'!$F$425)=0,"",IF(('Dvd Calendar'!$F$425&gt;=GRID_FROM)*('Dvd Calendar'!$F$425&lt;=GRID_TO)*('Dvd Calendar'!$F$425&gt;VAL_DATE)=0,"",'Dvd Calendar'!$F$425*1000000000+ISNUMBER('Dvd Calendar'!$F$426)*100000000+0*10000000+(N('Dvd Calendar'!$F$424)&gt;0)*(N('Dvd Calendar'!$F$424)&lt;=VAL_SERIAL)*1000000+38*1000+42))</f>
        <v/>
      </c>
      <c r="FU49" s="121">
        <f>IF(N('Dvd Calendar'!$G$425)=0,"",IF(('Dvd Calendar'!$G$425&gt;=GRID_FROM)*('Dvd Calendar'!$G$425&lt;=GRID_TO)*('Dvd Calendar'!$G$425&gt;VAL_DATE)=0,"",'Dvd Calendar'!$G$425*1000000000+ISNUMBER('Dvd Calendar'!$G$426)*100000000+0*10000000+(N('Dvd Calendar'!$G$424)&gt;0)*(N('Dvd Calendar'!$G$424)&lt;=VAL_SERIAL)*1000000+38*1000+43))</f>
        <v/>
      </c>
      <c r="FV49" s="121">
        <f>IF(N('Dvd Calendar'!$H$425)=0,"",IF(('Dvd Calendar'!$H$425&gt;=GRID_FROM)*('Dvd Calendar'!$H$425&lt;=GRID_TO)*('Dvd Calendar'!$H$425&gt;VAL_DATE)=0,"",'Dvd Calendar'!$H$425*1000000000+ISNUMBER('Dvd Calendar'!$H$426)*100000000+0*10000000+(N('Dvd Calendar'!$H$424)&gt;0)*(N('Dvd Calendar'!$H$424)&lt;=VAL_SERIAL)*1000000+38*1000+44))</f>
        <v/>
      </c>
      <c r="FW49" s="121">
        <f>IF(N('Dvd Calendar'!$I$425)=0,"",IF(('Dvd Calendar'!$I$425&gt;=GRID_FROM)*('Dvd Calendar'!$I$425&lt;=GRID_TO)*('Dvd Calendar'!$I$425&gt;VAL_DATE)=0,"",'Dvd Calendar'!$I$425*1000000000+ISNUMBER('Dvd Calendar'!$I$426)*100000000+0*10000000+(N('Dvd Calendar'!$I$424)&gt;0)*(N('Dvd Calendar'!$I$424)&lt;=VAL_SERIAL)*1000000+38*1000+45))</f>
        <v/>
      </c>
      <c r="FX49" s="121">
        <f>IF(N('Dvd Calendar'!$J$425)=0,"",IF(('Dvd Calendar'!$J$425&gt;=GRID_FROM)*('Dvd Calendar'!$J$425&lt;=GRID_TO)*('Dvd Calendar'!$J$425&gt;VAL_DATE)=0,"",'Dvd Calendar'!$J$425*1000000000+ISNUMBER('Dvd Calendar'!$J$426)*100000000+0*10000000+(N('Dvd Calendar'!$J$424)&gt;0)*(N('Dvd Calendar'!$J$424)&lt;=VAL_SERIAL)*1000000+38*1000+46))</f>
        <v/>
      </c>
      <c r="FY49" s="121">
        <f>IF(N('Dvd Calendar'!$K$425)=0,"",IF(('Dvd Calendar'!$K$425&gt;=GRID_FROM)*('Dvd Calendar'!$K$425&lt;=GRID_TO)*('Dvd Calendar'!$K$425&gt;VAL_DATE)=0,"",'Dvd Calendar'!$K$425*1000000000+ISNUMBER('Dvd Calendar'!$K$426)*100000000+0*10000000+(N('Dvd Calendar'!$K$424)&gt;0)*(N('Dvd Calendar'!$K$424)&lt;=VAL_SERIAL)*1000000+38*1000+47))</f>
        <v/>
      </c>
      <c r="FZ49" s="121">
        <f>IF(N('Dvd Calendar'!$L$425)=0,"",IF(('Dvd Calendar'!$L$425&gt;=GRID_FROM)*('Dvd Calendar'!$L$425&lt;=GRID_TO)*('Dvd Calendar'!$L$425&gt;VAL_DATE)=0,"",'Dvd Calendar'!$L$425*1000000000+ISNUMBER('Dvd Calendar'!$L$426)*100000000+0*10000000+(N('Dvd Calendar'!$L$424)&gt;0)*(N('Dvd Calendar'!$L$424)&lt;=VAL_SERIAL)*1000000+38*1000+48))</f>
        <v/>
      </c>
      <c r="GA49" s="121">
        <f>IF(N('Dvd Calendar'!$M$425)=0,"",IF(('Dvd Calendar'!$M$425&gt;=GRID_FROM)*('Dvd Calendar'!$M$425&lt;=GRID_TO)*('Dvd Calendar'!$M$425&gt;VAL_DATE)=0,"",'Dvd Calendar'!$M$425*1000000000+ISNUMBER('Dvd Calendar'!$M$426)*100000000+0*10000000+(N('Dvd Calendar'!$M$424)&gt;0)*(N('Dvd Calendar'!$M$424)&lt;=VAL_SERIAL)*1000000+38*1000+49))</f>
        <v/>
      </c>
      <c r="GB49" s="121">
        <f>IF(N('Dvd Calendar'!$N$425)=0,"",IF(('Dvd Calendar'!$N$425&gt;=GRID_FROM)*('Dvd Calendar'!$N$425&lt;=GRID_TO)*('Dvd Calendar'!$N$425&gt;VAL_DATE)=0,"",'Dvd Calendar'!$N$425*1000000000+ISNUMBER('Dvd Calendar'!$N$426)*100000000+0*10000000+(N('Dvd Calendar'!$N$424)&gt;0)*(N('Dvd Calendar'!$N$424)&lt;=VAL_SERIAL)*1000000+38*1000+50))</f>
        <v/>
      </c>
      <c r="GC49" s="121">
        <f>IF(N('Dvd Calendar'!$O$425)=0,"",IF(('Dvd Calendar'!$O$425&gt;=GRID_FROM)*('Dvd Calendar'!$O$425&lt;=GRID_TO)*('Dvd Calendar'!$O$425&gt;VAL_DATE)=0,"",'Dvd Calendar'!$O$425*1000000000+ISNUMBER('Dvd Calendar'!$O$426)*100000000+0*10000000+(N('Dvd Calendar'!$O$424)&gt;0)*(N('Dvd Calendar'!$O$424)&lt;=VAL_SERIAL)*1000000+38*1000+51))</f>
        <v/>
      </c>
      <c r="GD49" s="121">
        <f>IF(N('Dvd Calendar'!$P$425)=0,"",IF(('Dvd Calendar'!$P$425&gt;=GRID_FROM)*('Dvd Calendar'!$P$425&lt;=GRID_TO)*('Dvd Calendar'!$P$425&gt;VAL_DATE)=0,"",'Dvd Calendar'!$P$425*1000000000+ISNUMBER('Dvd Calendar'!$P$426)*100000000+0*10000000+(N('Dvd Calendar'!$P$424)&gt;0)*(N('Dvd Calendar'!$P$424)&lt;=VAL_SERIAL)*1000000+38*1000+52))</f>
        <v/>
      </c>
      <c r="GE49" s="121">
        <f>IF(N('Dvd Calendar'!$Q$425)=0,"",IF(('Dvd Calendar'!$Q$425&gt;=GRID_FROM)*('Dvd Calendar'!$Q$425&lt;=GRID_TO)*('Dvd Calendar'!$Q$425&gt;VAL_DATE)=0,"",'Dvd Calendar'!$Q$425*1000000000+ISNUMBER('Dvd Calendar'!$Q$426)*100000000+0*10000000+(N('Dvd Calendar'!$Q$424)&gt;0)*(N('Dvd Calendar'!$Q$424)&lt;=VAL_SERIAL)*1000000+38*1000+53))</f>
        <v/>
      </c>
      <c r="GF49" s="121">
        <f>IF(N('Dvd Calendar'!$R$425)=0,"",IF(('Dvd Calendar'!$R$425&gt;=GRID_FROM)*('Dvd Calendar'!$R$425&lt;=GRID_TO)*('Dvd Calendar'!$R$425&gt;VAL_DATE)=0,"",'Dvd Calendar'!$R$425*1000000000+ISNUMBER('Dvd Calendar'!$R$426)*100000000+0*10000000+(N('Dvd Calendar'!$R$424)&gt;0)*(N('Dvd Calendar'!$R$424)&lt;=VAL_SERIAL)*1000000+38*1000+54))</f>
        <v/>
      </c>
      <c r="GG49" s="121">
        <f>IF(N('Dvd Calendar'!$S$425)=0,"",IF(('Dvd Calendar'!$S$425&gt;=GRID_FROM)*('Dvd Calendar'!$S$425&lt;=GRID_TO)*('Dvd Calendar'!$S$425&gt;VAL_DATE)=0,"",'Dvd Calendar'!$S$425*1000000000+ISNUMBER('Dvd Calendar'!$S$426)*100000000+0*10000000+(N('Dvd Calendar'!$S$424)&gt;0)*(N('Dvd Calendar'!$S$424)&lt;=VAL_SERIAL)*1000000+38*1000+55))</f>
        <v/>
      </c>
      <c r="GH49" s="121">
        <f>IF(N('Dvd Calendar'!$T$425)=0,"",IF(('Dvd Calendar'!$T$425&gt;=GRID_FROM)*('Dvd Calendar'!$T$425&lt;=GRID_TO)*('Dvd Calendar'!$T$425&gt;VAL_DATE)=0,"",'Dvd Calendar'!$T$425*1000000000+ISNUMBER('Dvd Calendar'!$T$426)*100000000+0*10000000+(N('Dvd Calendar'!$T$424)&gt;0)*(N('Dvd Calendar'!$T$424)&lt;=VAL_SERIAL)*1000000+38*1000+56))</f>
        <v/>
      </c>
      <c r="GI49" s="121">
        <f>IF(N('Dvd Calendar'!$U$425)=0,"",IF(('Dvd Calendar'!$U$425&gt;=GRID_FROM)*('Dvd Calendar'!$U$425&lt;=GRID_TO)*('Dvd Calendar'!$U$425&gt;VAL_DATE)=0,"",'Dvd Calendar'!$U$425*1000000000+ISNUMBER('Dvd Calendar'!$U$426)*100000000+0*10000000+(N('Dvd Calendar'!$U$424)&gt;0)*(N('Dvd Calendar'!$U$424)&lt;=VAL_SERIAL)*1000000+38*1000+57))</f>
        <v/>
      </c>
      <c r="GJ49" s="121">
        <f>IF(N('Dvd Calendar'!$V$425)=0,"",IF(('Dvd Calendar'!$V$425&gt;=GRID_FROM)*('Dvd Calendar'!$V$425&lt;=GRID_TO)*('Dvd Calendar'!$V$425&gt;VAL_DATE)=0,"",'Dvd Calendar'!$V$425*1000000000+ISNUMBER('Dvd Calendar'!$V$426)*100000000+0*10000000+(N('Dvd Calendar'!$V$424)&gt;0)*(N('Dvd Calendar'!$V$424)&lt;=VAL_SERIAL)*1000000+38*1000+58))</f>
        <v/>
      </c>
      <c r="GK49" s="121">
        <f>IF(N('Dvd Calendar'!$W$425)=0,"",IF(('Dvd Calendar'!$W$425&gt;=GRID_FROM)*('Dvd Calendar'!$W$425&lt;=GRID_TO)*('Dvd Calendar'!$W$425&gt;VAL_DATE)=0,"",'Dvd Calendar'!$W$425*1000000000+ISNUMBER('Dvd Calendar'!$W$426)*100000000+0*10000000+(N('Dvd Calendar'!$W$424)&gt;0)*(N('Dvd Calendar'!$W$424)&lt;=VAL_SERIAL)*1000000+38*1000+59))</f>
        <v/>
      </c>
      <c r="GL49" s="121">
        <f>IF(N('Dvd Calendar'!$X$425)=0,"",IF(('Dvd Calendar'!$X$425&gt;=GRID_FROM)*('Dvd Calendar'!$X$425&lt;=GRID_TO)*('Dvd Calendar'!$X$425&gt;VAL_DATE)=0,"",'Dvd Calendar'!$X$425*1000000000+ISNUMBER('Dvd Calendar'!$X$426)*100000000+0*10000000+(N('Dvd Calendar'!$X$424)&gt;0)*(N('Dvd Calendar'!$X$424)&lt;=VAL_SERIAL)*1000000+38*1000+60))</f>
        <v/>
      </c>
      <c r="GM49" s="121">
        <f>IF(N('Dvd Calendar'!$Y$425)=0,"",IF(('Dvd Calendar'!$Y$425&gt;=GRID_FROM)*('Dvd Calendar'!$Y$425&lt;=GRID_TO)*('Dvd Calendar'!$Y$425&gt;VAL_DATE)=0,"",'Dvd Calendar'!$Y$425*1000000000+ISNUMBER('Dvd Calendar'!$Y$426)*100000000+0*10000000+(N('Dvd Calendar'!$Y$424)&gt;0)*(N('Dvd Calendar'!$Y$424)&lt;=VAL_SERIAL)*1000000+38*1000+61))</f>
        <v/>
      </c>
      <c r="GN49" s="121">
        <f>IF(N('Dvd Calendar'!$Z$425)=0,"",IF(('Dvd Calendar'!$Z$425&gt;=GRID_FROM)*('Dvd Calendar'!$Z$425&lt;=GRID_TO)*('Dvd Calendar'!$Z$425&gt;VAL_DATE)=0,"",'Dvd Calendar'!$Z$425*1000000000+ISNUMBER('Dvd Calendar'!$Z$426)*100000000+0*10000000+(N('Dvd Calendar'!$Z$424)&gt;0)*(N('Dvd Calendar'!$Z$424)&lt;=VAL_SERIAL)*1000000+38*1000+62))</f>
        <v/>
      </c>
      <c r="GO49" s="121">
        <f>IF(N('Dvd Calendar'!$AA$425)=0,"",IF(('Dvd Calendar'!$AA$425&gt;=GRID_FROM)*('Dvd Calendar'!$AA$425&lt;=GRID_TO)*('Dvd Calendar'!$AA$425&gt;VAL_DATE)=0,"",'Dvd Calendar'!$AA$425*1000000000+ISNUMBER('Dvd Calendar'!$AA$426)*100000000+0*10000000+(N('Dvd Calendar'!$AA$424)&gt;0)*(N('Dvd Calendar'!$AA$424)&lt;=VAL_SERIAL)*1000000+38*1000+63))</f>
        <v/>
      </c>
      <c r="GP49" s="121">
        <f>IF(N('Dvd Calendar'!$AB$425)=0,"",IF(('Dvd Calendar'!$AB$425&gt;=GRID_FROM)*('Dvd Calendar'!$AB$425&lt;=GRID_TO)*('Dvd Calendar'!$AB$425&gt;VAL_DATE)=0,"",'Dvd Calendar'!$AB$425*1000000000+ISNUMBER('Dvd Calendar'!$AB$426)*100000000+0*10000000+(N('Dvd Calendar'!$AB$424)&gt;0)*(N('Dvd Calendar'!$AB$424)&lt;=VAL_SERIAL)*1000000+38*1000+64))</f>
        <v/>
      </c>
      <c r="GQ49" s="121">
        <f>IF(N('Dvd Calendar'!$AC$425)=0,"",IF(('Dvd Calendar'!$AC$425&gt;=GRID_FROM)*('Dvd Calendar'!$AC$425&lt;=GRID_TO)*('Dvd Calendar'!$AC$425&gt;VAL_DATE)=0,"",'Dvd Calendar'!$AC$425*1000000000+ISNUMBER('Dvd Calendar'!$AC$426)*100000000+0*10000000+(N('Dvd Calendar'!$AC$424)&gt;0)*(N('Dvd Calendar'!$AC$424)&lt;=VAL_SERIAL)*1000000+38*1000+65))</f>
        <v/>
      </c>
    </row>
    <row r="50">
      <c r="B50" s="2">
        <f>IF(HSI!$C$45="","",HSI!$C$45)</f>
        <v/>
      </c>
      <c r="C50" s="161">
        <f>IF(EE50="","",IF(ISNUMBER('Dvd Calendar'!$E$432)=FALSE,"",IF((('Dvd Calendar'!$E$434=TYPE1)*(TYPE1&lt;&gt;"")+('Dvd Calendar'!$E$434=TYPE2)*(TYPE2&lt;&gt;"")+('Dvd Calendar'!$E$434=TYPE3)*(TYPE3&lt;&gt;"")+('Dvd Calendar'!$E$434=TYPE4)*(TYPE4&lt;&gt;"")+('Dvd Calendar'!$E$434=SPECIAL_LBL)*(INC_SPECIALS="Y"))=0,"",'Dvd Calendar'!$E$432)))</f>
        <v/>
      </c>
      <c r="D50" s="161">
        <f>IF(EF50="","",IF(ISNUMBER('Dvd Calendar'!$F$432)=FALSE,"",IF((('Dvd Calendar'!$F$434=TYPE1)*(TYPE1&lt;&gt;"")+('Dvd Calendar'!$F$434=TYPE2)*(TYPE2&lt;&gt;"")+('Dvd Calendar'!$F$434=TYPE3)*(TYPE3&lt;&gt;"")+('Dvd Calendar'!$F$434=TYPE4)*(TYPE4&lt;&gt;"")+('Dvd Calendar'!$F$434=SPECIAL_LBL)*(INC_SPECIALS="Y"))=0,"",'Dvd Calendar'!$F$432)))</f>
        <v/>
      </c>
      <c r="E50" s="161">
        <f>IF(EG50="","",IF(ISNUMBER('Dvd Calendar'!$G$432)=FALSE,"",IF((('Dvd Calendar'!$G$434=TYPE1)*(TYPE1&lt;&gt;"")+('Dvd Calendar'!$G$434=TYPE2)*(TYPE2&lt;&gt;"")+('Dvd Calendar'!$G$434=TYPE3)*(TYPE3&lt;&gt;"")+('Dvd Calendar'!$G$434=TYPE4)*(TYPE4&lt;&gt;"")+('Dvd Calendar'!$G$434=SPECIAL_LBL)*(INC_SPECIALS="Y"))=0,"",'Dvd Calendar'!$G$432)))</f>
        <v/>
      </c>
      <c r="F50" s="161">
        <f>IF(EH50="","",IF(ISNUMBER('Dvd Calendar'!$H$432)=FALSE,"",IF((('Dvd Calendar'!$H$434=TYPE1)*(TYPE1&lt;&gt;"")+('Dvd Calendar'!$H$434=TYPE2)*(TYPE2&lt;&gt;"")+('Dvd Calendar'!$H$434=TYPE3)*(TYPE3&lt;&gt;"")+('Dvd Calendar'!$H$434=TYPE4)*(TYPE4&lt;&gt;"")+('Dvd Calendar'!$H$434=SPECIAL_LBL)*(INC_SPECIALS="Y"))=0,"",'Dvd Calendar'!$H$432)))</f>
        <v/>
      </c>
      <c r="G50" s="161">
        <f>IF(EI50="","",IF(ISNUMBER('Dvd Calendar'!$I$432)=FALSE,"",IF((('Dvd Calendar'!$I$434=TYPE1)*(TYPE1&lt;&gt;"")+('Dvd Calendar'!$I$434=TYPE2)*(TYPE2&lt;&gt;"")+('Dvd Calendar'!$I$434=TYPE3)*(TYPE3&lt;&gt;"")+('Dvd Calendar'!$I$434=TYPE4)*(TYPE4&lt;&gt;"")+('Dvd Calendar'!$I$434=SPECIAL_LBL)*(INC_SPECIALS="Y"))=0,"",'Dvd Calendar'!$I$432)))</f>
        <v/>
      </c>
      <c r="H50" s="161">
        <f>IF(EJ50="","",IF(ISNUMBER('Dvd Calendar'!$J$432)=FALSE,"",IF((('Dvd Calendar'!$J$434=TYPE1)*(TYPE1&lt;&gt;"")+('Dvd Calendar'!$J$434=TYPE2)*(TYPE2&lt;&gt;"")+('Dvd Calendar'!$J$434=TYPE3)*(TYPE3&lt;&gt;"")+('Dvd Calendar'!$J$434=TYPE4)*(TYPE4&lt;&gt;"")+('Dvd Calendar'!$J$434=SPECIAL_LBL)*(INC_SPECIALS="Y"))=0,"",'Dvd Calendar'!$J$432)))</f>
        <v/>
      </c>
      <c r="I50" s="161">
        <f>IF(EK50="","",IF(ISNUMBER('Dvd Calendar'!$K$432)=FALSE,"",IF((('Dvd Calendar'!$K$434=TYPE1)*(TYPE1&lt;&gt;"")+('Dvd Calendar'!$K$434=TYPE2)*(TYPE2&lt;&gt;"")+('Dvd Calendar'!$K$434=TYPE3)*(TYPE3&lt;&gt;"")+('Dvd Calendar'!$K$434=TYPE4)*(TYPE4&lt;&gt;"")+('Dvd Calendar'!$K$434=SPECIAL_LBL)*(INC_SPECIALS="Y"))=0,"",'Dvd Calendar'!$K$432)))</f>
        <v/>
      </c>
      <c r="J50" s="161">
        <f>IF(EL50="","",IF(ISNUMBER('Dvd Calendar'!$L$432)=FALSE,"",IF((('Dvd Calendar'!$L$434=TYPE1)*(TYPE1&lt;&gt;"")+('Dvd Calendar'!$L$434=TYPE2)*(TYPE2&lt;&gt;"")+('Dvd Calendar'!$L$434=TYPE3)*(TYPE3&lt;&gt;"")+('Dvd Calendar'!$L$434=TYPE4)*(TYPE4&lt;&gt;"")+('Dvd Calendar'!$L$434=SPECIAL_LBL)*(INC_SPECIALS="Y"))=0,"",'Dvd Calendar'!$L$432)))</f>
        <v/>
      </c>
      <c r="K50" s="161">
        <f>IF(EM50="","",IF(ISNUMBER('Dvd Calendar'!$M$432)=FALSE,"",IF((('Dvd Calendar'!$M$434=TYPE1)*(TYPE1&lt;&gt;"")+('Dvd Calendar'!$M$434=TYPE2)*(TYPE2&lt;&gt;"")+('Dvd Calendar'!$M$434=TYPE3)*(TYPE3&lt;&gt;"")+('Dvd Calendar'!$M$434=TYPE4)*(TYPE4&lt;&gt;"")+('Dvd Calendar'!$M$434=SPECIAL_LBL)*(INC_SPECIALS="Y"))=0,"",'Dvd Calendar'!$M$432)))</f>
        <v/>
      </c>
      <c r="L50" s="161">
        <f>IF(EN50="","",IF(ISNUMBER('Dvd Calendar'!$N$432)=FALSE,"",IF((('Dvd Calendar'!$N$434=TYPE1)*(TYPE1&lt;&gt;"")+('Dvd Calendar'!$N$434=TYPE2)*(TYPE2&lt;&gt;"")+('Dvd Calendar'!$N$434=TYPE3)*(TYPE3&lt;&gt;"")+('Dvd Calendar'!$N$434=TYPE4)*(TYPE4&lt;&gt;"")+('Dvd Calendar'!$N$434=SPECIAL_LBL)*(INC_SPECIALS="Y"))=0,"",'Dvd Calendar'!$N$432)))</f>
        <v/>
      </c>
      <c r="M50" s="161">
        <f>IF(EO50="","",IF(ISNUMBER('Dvd Calendar'!$O$432)=FALSE,"",IF((('Dvd Calendar'!$O$434=TYPE1)*(TYPE1&lt;&gt;"")+('Dvd Calendar'!$O$434=TYPE2)*(TYPE2&lt;&gt;"")+('Dvd Calendar'!$O$434=TYPE3)*(TYPE3&lt;&gt;"")+('Dvd Calendar'!$O$434=TYPE4)*(TYPE4&lt;&gt;"")+('Dvd Calendar'!$O$434=SPECIAL_LBL)*(INC_SPECIALS="Y"))=0,"",'Dvd Calendar'!$O$432)))</f>
        <v/>
      </c>
      <c r="N50" s="161">
        <f>IF(EP50="","",IF(ISNUMBER('Dvd Calendar'!$P$432)=FALSE,"",IF((('Dvd Calendar'!$P$434=TYPE1)*(TYPE1&lt;&gt;"")+('Dvd Calendar'!$P$434=TYPE2)*(TYPE2&lt;&gt;"")+('Dvd Calendar'!$P$434=TYPE3)*(TYPE3&lt;&gt;"")+('Dvd Calendar'!$P$434=TYPE4)*(TYPE4&lt;&gt;"")+('Dvd Calendar'!$P$434=SPECIAL_LBL)*(INC_SPECIALS="Y"))=0,"",'Dvd Calendar'!$P$432)))</f>
        <v/>
      </c>
      <c r="O50" s="161">
        <f>IF(EQ50="","",IF(ISNUMBER('Dvd Calendar'!$Q$432)=FALSE,"",IF((('Dvd Calendar'!$Q$434=TYPE1)*(TYPE1&lt;&gt;"")+('Dvd Calendar'!$Q$434=TYPE2)*(TYPE2&lt;&gt;"")+('Dvd Calendar'!$Q$434=TYPE3)*(TYPE3&lt;&gt;"")+('Dvd Calendar'!$Q$434=TYPE4)*(TYPE4&lt;&gt;"")+('Dvd Calendar'!$Q$434=SPECIAL_LBL)*(INC_SPECIALS="Y"))=0,"",'Dvd Calendar'!$Q$432)))</f>
        <v/>
      </c>
      <c r="P50" s="161">
        <f>IF(ER50="","",IF(ISNUMBER('Dvd Calendar'!$R$432)=FALSE,"",IF((('Dvd Calendar'!$R$434=TYPE1)*(TYPE1&lt;&gt;"")+('Dvd Calendar'!$R$434=TYPE2)*(TYPE2&lt;&gt;"")+('Dvd Calendar'!$R$434=TYPE3)*(TYPE3&lt;&gt;"")+('Dvd Calendar'!$R$434=TYPE4)*(TYPE4&lt;&gt;"")+('Dvd Calendar'!$R$434=SPECIAL_LBL)*(INC_SPECIALS="Y"))=0,"",'Dvd Calendar'!$R$432)))</f>
        <v/>
      </c>
      <c r="Q50" s="161">
        <f>IF(ES50="","",IF(ISNUMBER('Dvd Calendar'!$S$432)=FALSE,"",IF((('Dvd Calendar'!$S$434=TYPE1)*(TYPE1&lt;&gt;"")+('Dvd Calendar'!$S$434=TYPE2)*(TYPE2&lt;&gt;"")+('Dvd Calendar'!$S$434=TYPE3)*(TYPE3&lt;&gt;"")+('Dvd Calendar'!$S$434=TYPE4)*(TYPE4&lt;&gt;"")+('Dvd Calendar'!$S$434=SPECIAL_LBL)*(INC_SPECIALS="Y"))=0,"",'Dvd Calendar'!$S$432)))</f>
        <v/>
      </c>
      <c r="R50" s="161">
        <f>IF(ET50="","",IF(ISNUMBER('Dvd Calendar'!$T$432)=FALSE,"",IF((('Dvd Calendar'!$T$434=TYPE1)*(TYPE1&lt;&gt;"")+('Dvd Calendar'!$T$434=TYPE2)*(TYPE2&lt;&gt;"")+('Dvd Calendar'!$T$434=TYPE3)*(TYPE3&lt;&gt;"")+('Dvd Calendar'!$T$434=TYPE4)*(TYPE4&lt;&gt;"")+('Dvd Calendar'!$T$434=SPECIAL_LBL)*(INC_SPECIALS="Y"))=0,"",'Dvd Calendar'!$T$432)))</f>
        <v/>
      </c>
      <c r="S50" s="161">
        <f>IF(EU50="","",IF(ISNUMBER('Dvd Calendar'!$U$432)=FALSE,"",IF((('Dvd Calendar'!$U$434=TYPE1)*(TYPE1&lt;&gt;"")+('Dvd Calendar'!$U$434=TYPE2)*(TYPE2&lt;&gt;"")+('Dvd Calendar'!$U$434=TYPE3)*(TYPE3&lt;&gt;"")+('Dvd Calendar'!$U$434=TYPE4)*(TYPE4&lt;&gt;"")+('Dvd Calendar'!$U$434=SPECIAL_LBL)*(INC_SPECIALS="Y"))=0,"",'Dvd Calendar'!$U$432)))</f>
        <v/>
      </c>
      <c r="T50" s="161">
        <f>IF(EV50="","",IF(ISNUMBER('Dvd Calendar'!$V$432)=FALSE,"",IF((('Dvd Calendar'!$V$434=TYPE1)*(TYPE1&lt;&gt;"")+('Dvd Calendar'!$V$434=TYPE2)*(TYPE2&lt;&gt;"")+('Dvd Calendar'!$V$434=TYPE3)*(TYPE3&lt;&gt;"")+('Dvd Calendar'!$V$434=TYPE4)*(TYPE4&lt;&gt;"")+('Dvd Calendar'!$V$434=SPECIAL_LBL)*(INC_SPECIALS="Y"))=0,"",'Dvd Calendar'!$V$432)))</f>
        <v/>
      </c>
      <c r="U50" s="161">
        <f>IF(EW50="","",IF(ISNUMBER('Dvd Calendar'!$W$432)=FALSE,"",IF((('Dvd Calendar'!$W$434=TYPE1)*(TYPE1&lt;&gt;"")+('Dvd Calendar'!$W$434=TYPE2)*(TYPE2&lt;&gt;"")+('Dvd Calendar'!$W$434=TYPE3)*(TYPE3&lt;&gt;"")+('Dvd Calendar'!$W$434=TYPE4)*(TYPE4&lt;&gt;"")+('Dvd Calendar'!$W$434=SPECIAL_LBL)*(INC_SPECIALS="Y"))=0,"",'Dvd Calendar'!$W$432)))</f>
        <v/>
      </c>
      <c r="V50" s="161">
        <f>IF(EX50="","",IF(ISNUMBER('Dvd Calendar'!$X$432)=FALSE,"",IF((('Dvd Calendar'!$X$434=TYPE1)*(TYPE1&lt;&gt;"")+('Dvd Calendar'!$X$434=TYPE2)*(TYPE2&lt;&gt;"")+('Dvd Calendar'!$X$434=TYPE3)*(TYPE3&lt;&gt;"")+('Dvd Calendar'!$X$434=TYPE4)*(TYPE4&lt;&gt;"")+('Dvd Calendar'!$X$434=SPECIAL_LBL)*(INC_SPECIALS="Y"))=0,"",'Dvd Calendar'!$X$432)))</f>
        <v/>
      </c>
      <c r="W50" s="161">
        <f>IF(EY50="","",IF(ISNUMBER('Dvd Calendar'!$Y$432)=FALSE,"",IF((('Dvd Calendar'!$Y$434=TYPE1)*(TYPE1&lt;&gt;"")+('Dvd Calendar'!$Y$434=TYPE2)*(TYPE2&lt;&gt;"")+('Dvd Calendar'!$Y$434=TYPE3)*(TYPE3&lt;&gt;"")+('Dvd Calendar'!$Y$434=TYPE4)*(TYPE4&lt;&gt;"")+('Dvd Calendar'!$Y$434=SPECIAL_LBL)*(INC_SPECIALS="Y"))=0,"",'Dvd Calendar'!$Y$432)))</f>
        <v/>
      </c>
      <c r="X50" s="161">
        <f>IF(EZ50="","",IF(ISNUMBER('Dvd Calendar'!$Z$432)=FALSE,"",IF((('Dvd Calendar'!$Z$434=TYPE1)*(TYPE1&lt;&gt;"")+('Dvd Calendar'!$Z$434=TYPE2)*(TYPE2&lt;&gt;"")+('Dvd Calendar'!$Z$434=TYPE3)*(TYPE3&lt;&gt;"")+('Dvd Calendar'!$Z$434=TYPE4)*(TYPE4&lt;&gt;"")+('Dvd Calendar'!$Z$434=SPECIAL_LBL)*(INC_SPECIALS="Y"))=0,"",'Dvd Calendar'!$Z$432)))</f>
        <v/>
      </c>
      <c r="Y50" s="161">
        <f>IF(FA50="","",IF(ISNUMBER('Dvd Calendar'!$AA$432)=FALSE,"",IF((('Dvd Calendar'!$AA$434=TYPE1)*(TYPE1&lt;&gt;"")+('Dvd Calendar'!$AA$434=TYPE2)*(TYPE2&lt;&gt;"")+('Dvd Calendar'!$AA$434=TYPE3)*(TYPE3&lt;&gt;"")+('Dvd Calendar'!$AA$434=TYPE4)*(TYPE4&lt;&gt;"")+('Dvd Calendar'!$AA$434=SPECIAL_LBL)*(INC_SPECIALS="Y"))=0,"",'Dvd Calendar'!$AA$432)))</f>
        <v/>
      </c>
      <c r="Z50" s="161">
        <f>IF(FB50="","",IF(ISNUMBER('Dvd Calendar'!$AB$432)=FALSE,"",IF((('Dvd Calendar'!$AB$434=TYPE1)*(TYPE1&lt;&gt;"")+('Dvd Calendar'!$AB$434=TYPE2)*(TYPE2&lt;&gt;"")+('Dvd Calendar'!$AB$434=TYPE3)*(TYPE3&lt;&gt;"")+('Dvd Calendar'!$AB$434=TYPE4)*(TYPE4&lt;&gt;"")+('Dvd Calendar'!$AB$434=SPECIAL_LBL)*(INC_SPECIALS="Y"))=0,"",'Dvd Calendar'!$AB$432)))</f>
        <v/>
      </c>
      <c r="AA50" s="161">
        <f>IF(FC50="","",IF(ISNUMBER('Dvd Calendar'!$AC$432)=FALSE,"",IF((('Dvd Calendar'!$AC$434=TYPE1)*(TYPE1&lt;&gt;"")+('Dvd Calendar'!$AC$434=TYPE2)*(TYPE2&lt;&gt;"")+('Dvd Calendar'!$AC$434=TYPE3)*(TYPE3&lt;&gt;"")+('Dvd Calendar'!$AC$434=TYPE4)*(TYPE4&lt;&gt;"")+('Dvd Calendar'!$AC$434=SPECIAL_LBL)*(INC_SPECIALS="Y"))=0,"",'Dvd Calendar'!$AC$432)))</f>
        <v/>
      </c>
      <c r="AB50" s="161">
        <f>IF(FD50="","",IF(ISNUMBER('Dvd Calendar'!$AD$432)=FALSE,"",IF((('Dvd Calendar'!$AD$434=TYPE1)*(TYPE1&lt;&gt;"")+('Dvd Calendar'!$AD$434=TYPE2)*(TYPE2&lt;&gt;"")+('Dvd Calendar'!$AD$434=TYPE3)*(TYPE3&lt;&gt;"")+('Dvd Calendar'!$AD$434=TYPE4)*(TYPE4&lt;&gt;"")+('Dvd Calendar'!$AD$434=SPECIAL_LBL)*(INC_SPECIALS="Y"))=0,"",'Dvd Calendar'!$AD$432)))</f>
        <v/>
      </c>
      <c r="AC50" s="161">
        <f>IF(FE50="","",IF(ISNUMBER('Dvd Calendar'!$AE$432)=FALSE,"",IF((('Dvd Calendar'!$AE$434=TYPE1)*(TYPE1&lt;&gt;"")+('Dvd Calendar'!$AE$434=TYPE2)*(TYPE2&lt;&gt;"")+('Dvd Calendar'!$AE$434=TYPE3)*(TYPE3&lt;&gt;"")+('Dvd Calendar'!$AE$434=TYPE4)*(TYPE4&lt;&gt;"")+('Dvd Calendar'!$AE$434=SPECIAL_LBL)*(INC_SPECIALS="Y"))=0,"",'Dvd Calendar'!$AE$432)))</f>
        <v/>
      </c>
      <c r="AD50" s="161">
        <f>IF(FF50="","",IF(ISNUMBER('Dvd Calendar'!$AF$432)=FALSE,"",IF((('Dvd Calendar'!$AF$434=TYPE1)*(TYPE1&lt;&gt;"")+('Dvd Calendar'!$AF$434=TYPE2)*(TYPE2&lt;&gt;"")+('Dvd Calendar'!$AF$434=TYPE3)*(TYPE3&lt;&gt;"")+('Dvd Calendar'!$AF$434=TYPE4)*(TYPE4&lt;&gt;"")+('Dvd Calendar'!$AF$434=SPECIAL_LBL)*(INC_SPECIALS="Y"))=0,"",'Dvd Calendar'!$AF$432)))</f>
        <v/>
      </c>
      <c r="AE50" s="161">
        <f>IF(FG50="","",IF(ISNUMBER('Dvd Calendar'!$AG$432)=FALSE,"",IF((('Dvd Calendar'!$AG$434=TYPE1)*(TYPE1&lt;&gt;"")+('Dvd Calendar'!$AG$434=TYPE2)*(TYPE2&lt;&gt;"")+('Dvd Calendar'!$AG$434=TYPE3)*(TYPE3&lt;&gt;"")+('Dvd Calendar'!$AG$434=TYPE4)*(TYPE4&lt;&gt;"")+('Dvd Calendar'!$AG$434=SPECIAL_LBL)*(INC_SPECIALS="Y"))=0,"",'Dvd Calendar'!$AG$432)))</f>
        <v/>
      </c>
      <c r="AF50" s="161">
        <f>IF(FH50="","",IF(ISNUMBER('Dvd Calendar'!$AH$432)=FALSE,"",IF((('Dvd Calendar'!$AH$434=TYPE1)*(TYPE1&lt;&gt;"")+('Dvd Calendar'!$AH$434=TYPE2)*(TYPE2&lt;&gt;"")+('Dvd Calendar'!$AH$434=TYPE3)*(TYPE3&lt;&gt;"")+('Dvd Calendar'!$AH$434=TYPE4)*(TYPE4&lt;&gt;"")+('Dvd Calendar'!$AH$434=SPECIAL_LBL)*(INC_SPECIALS="Y"))=0,"",'Dvd Calendar'!$AH$432)))</f>
        <v/>
      </c>
      <c r="AG50" s="161">
        <f>IF(FI50="","",IF(ISNUMBER('Dvd Calendar'!$AI$432)=FALSE,"",IF((('Dvd Calendar'!$AI$434=TYPE1)*(TYPE1&lt;&gt;"")+('Dvd Calendar'!$AI$434=TYPE2)*(TYPE2&lt;&gt;"")+('Dvd Calendar'!$AI$434=TYPE3)*(TYPE3&lt;&gt;"")+('Dvd Calendar'!$AI$434=TYPE4)*(TYPE4&lt;&gt;"")+('Dvd Calendar'!$AI$434=SPECIAL_LBL)*(INC_SPECIALS="Y"))=0,"",'Dvd Calendar'!$AI$432)))</f>
        <v/>
      </c>
      <c r="AH50" s="161">
        <f>IF(FJ50="","",IF(ISNUMBER('Dvd Calendar'!$AJ$432)=FALSE,"",IF((('Dvd Calendar'!$AJ$434=TYPE1)*(TYPE1&lt;&gt;"")+('Dvd Calendar'!$AJ$434=TYPE2)*(TYPE2&lt;&gt;"")+('Dvd Calendar'!$AJ$434=TYPE3)*(TYPE3&lt;&gt;"")+('Dvd Calendar'!$AJ$434=TYPE4)*(TYPE4&lt;&gt;"")+('Dvd Calendar'!$AJ$434=SPECIAL_LBL)*(INC_SPECIALS="Y"))=0,"",'Dvd Calendar'!$AJ$432)))</f>
        <v/>
      </c>
      <c r="AI50" s="161">
        <f>IF(FK50="","",IF(ISNUMBER('Dvd Calendar'!$AK$432)=FALSE,"",IF((('Dvd Calendar'!$AK$434=TYPE1)*(TYPE1&lt;&gt;"")+('Dvd Calendar'!$AK$434=TYPE2)*(TYPE2&lt;&gt;"")+('Dvd Calendar'!$AK$434=TYPE3)*(TYPE3&lt;&gt;"")+('Dvd Calendar'!$AK$434=TYPE4)*(TYPE4&lt;&gt;"")+('Dvd Calendar'!$AK$434=SPECIAL_LBL)*(INC_SPECIALS="Y"))=0,"",'Dvd Calendar'!$AK$432)))</f>
        <v/>
      </c>
      <c r="AJ50" s="161">
        <f>IF(FL50="","",IF(ISNUMBER('Dvd Calendar'!$AL$432)=FALSE,"",IF((('Dvd Calendar'!$AL$434=TYPE1)*(TYPE1&lt;&gt;"")+('Dvd Calendar'!$AL$434=TYPE2)*(TYPE2&lt;&gt;"")+('Dvd Calendar'!$AL$434=TYPE3)*(TYPE3&lt;&gt;"")+('Dvd Calendar'!$AL$434=TYPE4)*(TYPE4&lt;&gt;"")+('Dvd Calendar'!$AL$434=SPECIAL_LBL)*(INC_SPECIALS="Y"))=0,"",'Dvd Calendar'!$AL$432)))</f>
        <v/>
      </c>
      <c r="AK50" s="161">
        <f>IF(FM50="","",IF(ISNUMBER('Dvd Calendar'!$AM$432)=FALSE,"",IF((('Dvd Calendar'!$AM$434=TYPE1)*(TYPE1&lt;&gt;"")+('Dvd Calendar'!$AM$434=TYPE2)*(TYPE2&lt;&gt;"")+('Dvd Calendar'!$AM$434=TYPE3)*(TYPE3&lt;&gt;"")+('Dvd Calendar'!$AM$434=TYPE4)*(TYPE4&lt;&gt;"")+('Dvd Calendar'!$AM$434=SPECIAL_LBL)*(INC_SPECIALS="Y"))=0,"",'Dvd Calendar'!$AM$432)))</f>
        <v/>
      </c>
      <c r="AL50" s="161">
        <f>IF(FN50="","",IF(ISNUMBER('Dvd Calendar'!$AN$432)=FALSE,"",IF((('Dvd Calendar'!$AN$434=TYPE1)*(TYPE1&lt;&gt;"")+('Dvd Calendar'!$AN$434=TYPE2)*(TYPE2&lt;&gt;"")+('Dvd Calendar'!$AN$434=TYPE3)*(TYPE3&lt;&gt;"")+('Dvd Calendar'!$AN$434=TYPE4)*(TYPE4&lt;&gt;"")+('Dvd Calendar'!$AN$434=SPECIAL_LBL)*(INC_SPECIALS="Y"))=0,"",'Dvd Calendar'!$AN$432)))</f>
        <v/>
      </c>
      <c r="AM50" s="161">
        <f>IF(FO50="","",IF(ISNUMBER('Dvd Calendar'!$AO$432)=FALSE,"",IF((('Dvd Calendar'!$AO$434=TYPE1)*(TYPE1&lt;&gt;"")+('Dvd Calendar'!$AO$434=TYPE2)*(TYPE2&lt;&gt;"")+('Dvd Calendar'!$AO$434=TYPE3)*(TYPE3&lt;&gt;"")+('Dvd Calendar'!$AO$434=TYPE4)*(TYPE4&lt;&gt;"")+('Dvd Calendar'!$AO$434=SPECIAL_LBL)*(INC_SPECIALS="Y"))=0,"",'Dvd Calendar'!$AO$432)))</f>
        <v/>
      </c>
      <c r="AN50" s="161">
        <f>IF(FP50="","",IF(ISNUMBER('Dvd Calendar'!$AP$432)=FALSE,"",IF((('Dvd Calendar'!$AP$434=TYPE1)*(TYPE1&lt;&gt;"")+('Dvd Calendar'!$AP$434=TYPE2)*(TYPE2&lt;&gt;"")+('Dvd Calendar'!$AP$434=TYPE3)*(TYPE3&lt;&gt;"")+('Dvd Calendar'!$AP$434=TYPE4)*(TYPE4&lt;&gt;"")+('Dvd Calendar'!$AP$434=SPECIAL_LBL)*(INC_SPECIALS="Y"))=0,"",'Dvd Calendar'!$AP$432)))</f>
        <v/>
      </c>
      <c r="AO50" s="161">
        <f>IF(FQ50="","",IF(ISNUMBER('Dvd Calendar'!$AQ$432)=FALSE,"",IF((('Dvd Calendar'!$AQ$434=TYPE1)*(TYPE1&lt;&gt;"")+('Dvd Calendar'!$AQ$434=TYPE2)*(TYPE2&lt;&gt;"")+('Dvd Calendar'!$AQ$434=TYPE3)*(TYPE3&lt;&gt;"")+('Dvd Calendar'!$AQ$434=TYPE4)*(TYPE4&lt;&gt;"")+('Dvd Calendar'!$AQ$434=SPECIAL_LBL)*(INC_SPECIALS="Y"))=0,"",'Dvd Calendar'!$AQ$432)))</f>
        <v/>
      </c>
      <c r="AP50" s="161">
        <f>IF(FR50="","",IF(ISNUMBER('Dvd Calendar'!$AR$432)=FALSE,"",IF((('Dvd Calendar'!$AR$434=TYPE1)*(TYPE1&lt;&gt;"")+('Dvd Calendar'!$AR$434=TYPE2)*(TYPE2&lt;&gt;"")+('Dvd Calendar'!$AR$434=TYPE3)*(TYPE3&lt;&gt;"")+('Dvd Calendar'!$AR$434=TYPE4)*(TYPE4&lt;&gt;"")+('Dvd Calendar'!$AR$434=SPECIAL_LBL)*(INC_SPECIALS="Y"))=0,"",'Dvd Calendar'!$AR$432)))</f>
        <v/>
      </c>
      <c r="AQ50" s="161">
        <f>IF(FS50="","",IF(ISNUMBER('Dvd Calendar'!$E$437)=FALSE,"",'Dvd Calendar'!$E$437))</f>
        <v/>
      </c>
      <c r="AR50" s="161">
        <f>IF(FT50="","",IF(ISNUMBER('Dvd Calendar'!$F$437)=FALSE,"",'Dvd Calendar'!$F$437))</f>
        <v/>
      </c>
      <c r="AS50" s="161">
        <f>IF(FU50="","",IF(ISNUMBER('Dvd Calendar'!$G$437)=FALSE,"",'Dvd Calendar'!$G$437))</f>
        <v/>
      </c>
      <c r="AT50" s="161">
        <f>IF(FV50="","",IF(ISNUMBER('Dvd Calendar'!$H$437)=FALSE,"",'Dvd Calendar'!$H$437))</f>
        <v/>
      </c>
      <c r="AU50" s="161">
        <f>IF(FW50="","",IF(ISNUMBER('Dvd Calendar'!$I$437)=FALSE,"",'Dvd Calendar'!$I$437))</f>
        <v/>
      </c>
      <c r="AV50" s="161">
        <f>IF(FX50="","",IF(ISNUMBER('Dvd Calendar'!$J$437)=FALSE,"",'Dvd Calendar'!$J$437))</f>
        <v/>
      </c>
      <c r="AW50" s="161">
        <f>IF(FY50="","",IF(ISNUMBER('Dvd Calendar'!$K$437)=FALSE,"",'Dvd Calendar'!$K$437))</f>
        <v/>
      </c>
      <c r="AX50" s="161">
        <f>IF(FZ50="","",IF(ISNUMBER('Dvd Calendar'!$L$437)=FALSE,"",'Dvd Calendar'!$L$437))</f>
        <v/>
      </c>
      <c r="AY50" s="161">
        <f>IF(GA50="","",IF(ISNUMBER('Dvd Calendar'!$M$437)=FALSE,"",'Dvd Calendar'!$M$437))</f>
        <v/>
      </c>
      <c r="AZ50" s="161">
        <f>IF(GB50="","",IF(ISNUMBER('Dvd Calendar'!$N$437)=FALSE,"",'Dvd Calendar'!$N$437))</f>
        <v/>
      </c>
      <c r="BA50" s="161">
        <f>IF(GC50="","",IF(ISNUMBER('Dvd Calendar'!$O$437)=FALSE,"",'Dvd Calendar'!$O$437))</f>
        <v/>
      </c>
      <c r="BB50" s="161">
        <f>IF(GD50="","",IF(ISNUMBER('Dvd Calendar'!$P$437)=FALSE,"",'Dvd Calendar'!$P$437))</f>
        <v/>
      </c>
      <c r="BC50" s="161">
        <f>IF(GE50="","",IF(ISNUMBER('Dvd Calendar'!$Q$437)=FALSE,"",'Dvd Calendar'!$Q$437))</f>
        <v/>
      </c>
      <c r="BD50" s="161">
        <f>IF(GF50="","",IF(ISNUMBER('Dvd Calendar'!$R$437)=FALSE,"",'Dvd Calendar'!$R$437))</f>
        <v/>
      </c>
      <c r="BE50" s="161">
        <f>IF(GG50="","",IF(ISNUMBER('Dvd Calendar'!$S$437)=FALSE,"",'Dvd Calendar'!$S$437))</f>
        <v/>
      </c>
      <c r="BF50" s="161">
        <f>IF(GH50="","",IF(ISNUMBER('Dvd Calendar'!$T$437)=FALSE,"",'Dvd Calendar'!$T$437))</f>
        <v/>
      </c>
      <c r="BG50" s="161">
        <f>IF(GI50="","",IF(ISNUMBER('Dvd Calendar'!$U$437)=FALSE,"",'Dvd Calendar'!$U$437))</f>
        <v/>
      </c>
      <c r="BH50" s="161">
        <f>IF(GJ50="","",IF(ISNUMBER('Dvd Calendar'!$V$437)=FALSE,"",'Dvd Calendar'!$V$437))</f>
        <v/>
      </c>
      <c r="BI50" s="161">
        <f>IF(GK50="","",IF(ISNUMBER('Dvd Calendar'!$W$437)=FALSE,"",'Dvd Calendar'!$W$437))</f>
        <v/>
      </c>
      <c r="BJ50" s="161">
        <f>IF(GL50="","",IF(ISNUMBER('Dvd Calendar'!$X$437)=FALSE,"",'Dvd Calendar'!$X$437))</f>
        <v/>
      </c>
      <c r="BK50" s="161">
        <f>IF(GM50="","",IF(ISNUMBER('Dvd Calendar'!$Y$437)=FALSE,"",'Dvd Calendar'!$Y$437))</f>
        <v/>
      </c>
      <c r="BL50" s="161">
        <f>IF(GN50="","",IF(ISNUMBER('Dvd Calendar'!$Z$437)=FALSE,"",'Dvd Calendar'!$Z$437))</f>
        <v/>
      </c>
      <c r="BM50" s="161">
        <f>IF(GO50="","",IF(ISNUMBER('Dvd Calendar'!$AA$437)=FALSE,"",'Dvd Calendar'!$AA$437))</f>
        <v/>
      </c>
      <c r="BN50" s="161">
        <f>IF(GP50="","",IF(ISNUMBER('Dvd Calendar'!$AB$437)=FALSE,"",'Dvd Calendar'!$AB$437))</f>
        <v/>
      </c>
      <c r="BO50" s="161">
        <f>IF(GQ50="","",IF(ISNUMBER('Dvd Calendar'!$AC$437)=FALSE,"",'Dvd Calendar'!$AC$437))</f>
        <v/>
      </c>
      <c r="BQ50" s="161">
        <f>IF(C50="","",IFERROR(C50*HSI!$B$45*HSI!$G$45/HSI!$B$3,""))</f>
        <v/>
      </c>
      <c r="BR50" s="161">
        <f>IF(D50="","",IFERROR(D50*HSI!$B$45*HSI!$G$45/HSI!$B$3,""))</f>
        <v/>
      </c>
      <c r="BS50" s="161">
        <f>IF(E50="","",IFERROR(E50*HSI!$B$45*HSI!$G$45/HSI!$B$3,""))</f>
        <v/>
      </c>
      <c r="BT50" s="161">
        <f>IF(F50="","",IFERROR(F50*HSI!$B$45*HSI!$G$45/HSI!$B$3,""))</f>
        <v/>
      </c>
      <c r="BU50" s="161">
        <f>IF(G50="","",IFERROR(G50*HSI!$B$45*HSI!$G$45/HSI!$B$3,""))</f>
        <v/>
      </c>
      <c r="BV50" s="161">
        <f>IF(H50="","",IFERROR(H50*HSI!$B$45*HSI!$G$45/HSI!$B$3,""))</f>
        <v/>
      </c>
      <c r="BW50" s="161">
        <f>IF(I50="","",IFERROR(I50*HSI!$B$45*HSI!$G$45/HSI!$B$3,""))</f>
        <v/>
      </c>
      <c r="BX50" s="161">
        <f>IF(J50="","",IFERROR(J50*HSI!$B$45*HSI!$G$45/HSI!$B$3,""))</f>
        <v/>
      </c>
      <c r="BY50" s="161">
        <f>IF(K50="","",IFERROR(K50*HSI!$B$45*HSI!$G$45/HSI!$B$3,""))</f>
        <v/>
      </c>
      <c r="BZ50" s="161">
        <f>IF(L50="","",IFERROR(L50*HSI!$B$45*HSI!$G$45/HSI!$B$3,""))</f>
        <v/>
      </c>
      <c r="CA50" s="161">
        <f>IF(M50="","",IFERROR(M50*HSI!$B$45*HSI!$G$45/HSI!$B$3,""))</f>
        <v/>
      </c>
      <c r="CB50" s="161">
        <f>IF(N50="","",IFERROR(N50*HSI!$B$45*HSI!$G$45/HSI!$B$3,""))</f>
        <v/>
      </c>
      <c r="CC50" s="161">
        <f>IF(O50="","",IFERROR(O50*HSI!$B$45*HSI!$G$45/HSI!$B$3,""))</f>
        <v/>
      </c>
      <c r="CD50" s="161">
        <f>IF(P50="","",IFERROR(P50*HSI!$B$45*HSI!$G$45/HSI!$B$3,""))</f>
        <v/>
      </c>
      <c r="CE50" s="161">
        <f>IF(Q50="","",IFERROR(Q50*HSI!$B$45*HSI!$G$45/HSI!$B$3,""))</f>
        <v/>
      </c>
      <c r="CF50" s="161">
        <f>IF(R50="","",IFERROR(R50*HSI!$B$45*HSI!$G$45/HSI!$B$3,""))</f>
        <v/>
      </c>
      <c r="CG50" s="161">
        <f>IF(S50="","",IFERROR(S50*HSI!$B$45*HSI!$G$45/HSI!$B$3,""))</f>
        <v/>
      </c>
      <c r="CH50" s="161">
        <f>IF(T50="","",IFERROR(T50*HSI!$B$45*HSI!$G$45/HSI!$B$3,""))</f>
        <v/>
      </c>
      <c r="CI50" s="161">
        <f>IF(U50="","",IFERROR(U50*HSI!$B$45*HSI!$G$45/HSI!$B$3,""))</f>
        <v/>
      </c>
      <c r="CJ50" s="161">
        <f>IF(V50="","",IFERROR(V50*HSI!$B$45*HSI!$G$45/HSI!$B$3,""))</f>
        <v/>
      </c>
      <c r="CK50" s="161">
        <f>IF(W50="","",IFERROR(W50*HSI!$B$45*HSI!$G$45/HSI!$B$3,""))</f>
        <v/>
      </c>
      <c r="CL50" s="161">
        <f>IF(X50="","",IFERROR(X50*HSI!$B$45*HSI!$G$45/HSI!$B$3,""))</f>
        <v/>
      </c>
      <c r="CM50" s="161">
        <f>IF(Y50="","",IFERROR(Y50*HSI!$B$45*HSI!$G$45/HSI!$B$3,""))</f>
        <v/>
      </c>
      <c r="CN50" s="161">
        <f>IF(Z50="","",IFERROR(Z50*HSI!$B$45*HSI!$G$45/HSI!$B$3,""))</f>
        <v/>
      </c>
      <c r="CO50" s="161">
        <f>IF(AA50="","",IFERROR(AA50*HSI!$B$45*HSI!$G$45/HSI!$B$3,""))</f>
        <v/>
      </c>
      <c r="CP50" s="161">
        <f>IF(AB50="","",IFERROR(AB50*HSI!$B$45*HSI!$G$45/HSI!$B$3,""))</f>
        <v/>
      </c>
      <c r="CQ50" s="161">
        <f>IF(AC50="","",IFERROR(AC50*HSI!$B$45*HSI!$G$45/HSI!$B$3,""))</f>
        <v/>
      </c>
      <c r="CR50" s="161">
        <f>IF(AD50="","",IFERROR(AD50*HSI!$B$45*HSI!$G$45/HSI!$B$3,""))</f>
        <v/>
      </c>
      <c r="CS50" s="161">
        <f>IF(AE50="","",IFERROR(AE50*HSI!$B$45*HSI!$G$45/HSI!$B$3,""))</f>
        <v/>
      </c>
      <c r="CT50" s="161">
        <f>IF(AF50="","",IFERROR(AF50*HSI!$B$45*HSI!$G$45/HSI!$B$3,""))</f>
        <v/>
      </c>
      <c r="CU50" s="161">
        <f>IF(AG50="","",IFERROR(AG50*HSI!$B$45*HSI!$G$45/HSI!$B$3,""))</f>
        <v/>
      </c>
      <c r="CV50" s="161">
        <f>IF(AH50="","",IFERROR(AH50*HSI!$B$45*HSI!$G$45/HSI!$B$3,""))</f>
        <v/>
      </c>
      <c r="CW50" s="161">
        <f>IF(AI50="","",IFERROR(AI50*HSI!$B$45*HSI!$G$45/HSI!$B$3,""))</f>
        <v/>
      </c>
      <c r="CX50" s="161">
        <f>IF(AJ50="","",IFERROR(AJ50*HSI!$B$45*HSI!$G$45/HSI!$B$3,""))</f>
        <v/>
      </c>
      <c r="CY50" s="161">
        <f>IF(AK50="","",IFERROR(AK50*HSI!$B$45*HSI!$G$45/HSI!$B$3,""))</f>
        <v/>
      </c>
      <c r="CZ50" s="161">
        <f>IF(AL50="","",IFERROR(AL50*HSI!$B$45*HSI!$G$45/HSI!$B$3,""))</f>
        <v/>
      </c>
      <c r="DA50" s="161">
        <f>IF(AM50="","",IFERROR(AM50*HSI!$B$45*HSI!$G$45/HSI!$B$3,""))</f>
        <v/>
      </c>
      <c r="DB50" s="161">
        <f>IF(AN50="","",IFERROR(AN50*HSI!$B$45*HSI!$G$45/HSI!$B$3,""))</f>
        <v/>
      </c>
      <c r="DC50" s="161">
        <f>IF(AO50="","",IFERROR(AO50*HSI!$B$45*HSI!$G$45/HSI!$B$3,""))</f>
        <v/>
      </c>
      <c r="DD50" s="161">
        <f>IF(AP50="","",IFERROR(AP50*HSI!$B$45*HSI!$G$45/HSI!$B$3,""))</f>
        <v/>
      </c>
      <c r="DE50" s="161">
        <f>IF(AQ50="","",IFERROR(AQ50*HSI!$B$45*HSI!$G$45/HSI!$B$3,""))</f>
        <v/>
      </c>
      <c r="DF50" s="161">
        <f>IF(AR50="","",IFERROR(AR50*HSI!$B$45*HSI!$G$45/HSI!$B$3,""))</f>
        <v/>
      </c>
      <c r="DG50" s="161">
        <f>IF(AS50="","",IFERROR(AS50*HSI!$B$45*HSI!$G$45/HSI!$B$3,""))</f>
        <v/>
      </c>
      <c r="DH50" s="161">
        <f>IF(AT50="","",IFERROR(AT50*HSI!$B$45*HSI!$G$45/HSI!$B$3,""))</f>
        <v/>
      </c>
      <c r="DI50" s="161">
        <f>IF(AU50="","",IFERROR(AU50*HSI!$B$45*HSI!$G$45/HSI!$B$3,""))</f>
        <v/>
      </c>
      <c r="DJ50" s="161">
        <f>IF(AV50="","",IFERROR(AV50*HSI!$B$45*HSI!$G$45/HSI!$B$3,""))</f>
        <v/>
      </c>
      <c r="DK50" s="161">
        <f>IF(AW50="","",IFERROR(AW50*HSI!$B$45*HSI!$G$45/HSI!$B$3,""))</f>
        <v/>
      </c>
      <c r="DL50" s="161">
        <f>IF(AX50="","",IFERROR(AX50*HSI!$B$45*HSI!$G$45/HSI!$B$3,""))</f>
        <v/>
      </c>
      <c r="DM50" s="161">
        <f>IF(AY50="","",IFERROR(AY50*HSI!$B$45*HSI!$G$45/HSI!$B$3,""))</f>
        <v/>
      </c>
      <c r="DN50" s="161">
        <f>IF(AZ50="","",IFERROR(AZ50*HSI!$B$45*HSI!$G$45/HSI!$B$3,""))</f>
        <v/>
      </c>
      <c r="DO50" s="161">
        <f>IF(BA50="","",IFERROR(BA50*HSI!$B$45*HSI!$G$45/HSI!$B$3,""))</f>
        <v/>
      </c>
      <c r="DP50" s="161">
        <f>IF(BB50="","",IFERROR(BB50*HSI!$B$45*HSI!$G$45/HSI!$B$3,""))</f>
        <v/>
      </c>
      <c r="DQ50" s="161">
        <f>IF(BC50="","",IFERROR(BC50*HSI!$B$45*HSI!$G$45/HSI!$B$3,""))</f>
        <v/>
      </c>
      <c r="DR50" s="161">
        <f>IF(BD50="","",IFERROR(BD50*HSI!$B$45*HSI!$G$45/HSI!$B$3,""))</f>
        <v/>
      </c>
      <c r="DS50" s="161">
        <f>IF(BE50="","",IFERROR(BE50*HSI!$B$45*HSI!$G$45/HSI!$B$3,""))</f>
        <v/>
      </c>
      <c r="DT50" s="161">
        <f>IF(BF50="","",IFERROR(BF50*HSI!$B$45*HSI!$G$45/HSI!$B$3,""))</f>
        <v/>
      </c>
      <c r="DU50" s="161">
        <f>IF(BG50="","",IFERROR(BG50*HSI!$B$45*HSI!$G$45/HSI!$B$3,""))</f>
        <v/>
      </c>
      <c r="DV50" s="161">
        <f>IF(BH50="","",IFERROR(BH50*HSI!$B$45*HSI!$G$45/HSI!$B$3,""))</f>
        <v/>
      </c>
      <c r="DW50" s="161">
        <f>IF(BI50="","",IFERROR(BI50*HSI!$B$45*HSI!$G$45/HSI!$B$3,""))</f>
        <v/>
      </c>
      <c r="DX50" s="161">
        <f>IF(BJ50="","",IFERROR(BJ50*HSI!$B$45*HSI!$G$45/HSI!$B$3,""))</f>
        <v/>
      </c>
      <c r="DY50" s="161">
        <f>IF(BK50="","",IFERROR(BK50*HSI!$B$45*HSI!$G$45/HSI!$B$3,""))</f>
        <v/>
      </c>
      <c r="DZ50" s="161">
        <f>IF(BL50="","",IFERROR(BL50*HSI!$B$45*HSI!$G$45/HSI!$B$3,""))</f>
        <v/>
      </c>
      <c r="EA50" s="161">
        <f>IF(BM50="","",IFERROR(BM50*HSI!$B$45*HSI!$G$45/HSI!$B$3,""))</f>
        <v/>
      </c>
      <c r="EB50" s="161">
        <f>IF(BN50="","",IFERROR(BN50*HSI!$B$45*HSI!$G$45/HSI!$B$3,""))</f>
        <v/>
      </c>
      <c r="EC50" s="161">
        <f>IF(BO50="","",IFERROR(BO50*HSI!$B$45*HSI!$G$45/HSI!$B$3,""))</f>
        <v/>
      </c>
      <c r="EE50" s="121">
        <f>IF(N('Dvd Calendar'!$E$429)=0,"",IF(('Dvd Calendar'!$E$429&gt;=GRID_FROM)*('Dvd Calendar'!$E$429&lt;=GRID_TO)*((('Dvd Calendar'!$E$429&lt;=VAL_DATE)+(COUNTIF('Dvd Calendar'!$E$436:$AR$436,'Dvd Calendar'!$E$429)=0))&gt;0)=0,"",'Dvd Calendar'!$E$429*1000000000+ISNUMBER('Dvd Calendar'!$E$432)*100000000+('Dvd Calendar'!$E$434=SPECIAL_LBL)*10000000+(N('Dvd Calendar'!$E$428)&gt;0)*(N('Dvd Calendar'!$E$428)&lt;=VAL_SERIAL)*1000000+39*1000+1))</f>
        <v/>
      </c>
      <c r="EF50" s="121">
        <f>IF(N('Dvd Calendar'!$F$429)=0,"",IF(('Dvd Calendar'!$F$429&gt;=GRID_FROM)*('Dvd Calendar'!$F$429&lt;=GRID_TO)*((('Dvd Calendar'!$F$429&lt;=VAL_DATE)+(COUNTIF('Dvd Calendar'!$E$436:$AR$436,'Dvd Calendar'!$F$429)=0))&gt;0)=0,"",'Dvd Calendar'!$F$429*1000000000+ISNUMBER('Dvd Calendar'!$F$432)*100000000+('Dvd Calendar'!$F$434=SPECIAL_LBL)*10000000+(N('Dvd Calendar'!$F$428)&gt;0)*(N('Dvd Calendar'!$F$428)&lt;=VAL_SERIAL)*1000000+39*1000+2))</f>
        <v/>
      </c>
      <c r="EG50" s="121">
        <f>IF(N('Dvd Calendar'!$G$429)=0,"",IF(('Dvd Calendar'!$G$429&gt;=GRID_FROM)*('Dvd Calendar'!$G$429&lt;=GRID_TO)*((('Dvd Calendar'!$G$429&lt;=VAL_DATE)+(COUNTIF('Dvd Calendar'!$E$436:$AR$436,'Dvd Calendar'!$G$429)=0))&gt;0)=0,"",'Dvd Calendar'!$G$429*1000000000+ISNUMBER('Dvd Calendar'!$G$432)*100000000+('Dvd Calendar'!$G$434=SPECIAL_LBL)*10000000+(N('Dvd Calendar'!$G$428)&gt;0)*(N('Dvd Calendar'!$G$428)&lt;=VAL_SERIAL)*1000000+39*1000+3))</f>
        <v/>
      </c>
      <c r="EH50" s="121">
        <f>IF(N('Dvd Calendar'!$H$429)=0,"",IF(('Dvd Calendar'!$H$429&gt;=GRID_FROM)*('Dvd Calendar'!$H$429&lt;=GRID_TO)*((('Dvd Calendar'!$H$429&lt;=VAL_DATE)+(COUNTIF('Dvd Calendar'!$E$436:$AR$436,'Dvd Calendar'!$H$429)=0))&gt;0)=0,"",'Dvd Calendar'!$H$429*1000000000+ISNUMBER('Dvd Calendar'!$H$432)*100000000+('Dvd Calendar'!$H$434=SPECIAL_LBL)*10000000+(N('Dvd Calendar'!$H$428)&gt;0)*(N('Dvd Calendar'!$H$428)&lt;=VAL_SERIAL)*1000000+39*1000+4))</f>
        <v/>
      </c>
      <c r="EI50" s="121">
        <f>IF(N('Dvd Calendar'!$I$429)=0,"",IF(('Dvd Calendar'!$I$429&gt;=GRID_FROM)*('Dvd Calendar'!$I$429&lt;=GRID_TO)*((('Dvd Calendar'!$I$429&lt;=VAL_DATE)+(COUNTIF('Dvd Calendar'!$E$436:$AR$436,'Dvd Calendar'!$I$429)=0))&gt;0)=0,"",'Dvd Calendar'!$I$429*1000000000+ISNUMBER('Dvd Calendar'!$I$432)*100000000+('Dvd Calendar'!$I$434=SPECIAL_LBL)*10000000+(N('Dvd Calendar'!$I$428)&gt;0)*(N('Dvd Calendar'!$I$428)&lt;=VAL_SERIAL)*1000000+39*1000+5))</f>
        <v/>
      </c>
      <c r="EJ50" s="121">
        <f>IF(N('Dvd Calendar'!$J$429)=0,"",IF(('Dvd Calendar'!$J$429&gt;=GRID_FROM)*('Dvd Calendar'!$J$429&lt;=GRID_TO)*((('Dvd Calendar'!$J$429&lt;=VAL_DATE)+(COUNTIF('Dvd Calendar'!$E$436:$AR$436,'Dvd Calendar'!$J$429)=0))&gt;0)=0,"",'Dvd Calendar'!$J$429*1000000000+ISNUMBER('Dvd Calendar'!$J$432)*100000000+('Dvd Calendar'!$J$434=SPECIAL_LBL)*10000000+(N('Dvd Calendar'!$J$428)&gt;0)*(N('Dvd Calendar'!$J$428)&lt;=VAL_SERIAL)*1000000+39*1000+6))</f>
        <v/>
      </c>
      <c r="EK50" s="121">
        <f>IF(N('Dvd Calendar'!$K$429)=0,"",IF(('Dvd Calendar'!$K$429&gt;=GRID_FROM)*('Dvd Calendar'!$K$429&lt;=GRID_TO)*((('Dvd Calendar'!$K$429&lt;=VAL_DATE)+(COUNTIF('Dvd Calendar'!$E$436:$AR$436,'Dvd Calendar'!$K$429)=0))&gt;0)=0,"",'Dvd Calendar'!$K$429*1000000000+ISNUMBER('Dvd Calendar'!$K$432)*100000000+('Dvd Calendar'!$K$434=SPECIAL_LBL)*10000000+(N('Dvd Calendar'!$K$428)&gt;0)*(N('Dvd Calendar'!$K$428)&lt;=VAL_SERIAL)*1000000+39*1000+7))</f>
        <v/>
      </c>
      <c r="EL50" s="121">
        <f>IF(N('Dvd Calendar'!$L$429)=0,"",IF(('Dvd Calendar'!$L$429&gt;=GRID_FROM)*('Dvd Calendar'!$L$429&lt;=GRID_TO)*((('Dvd Calendar'!$L$429&lt;=VAL_DATE)+(COUNTIF('Dvd Calendar'!$E$436:$AR$436,'Dvd Calendar'!$L$429)=0))&gt;0)=0,"",'Dvd Calendar'!$L$429*1000000000+ISNUMBER('Dvd Calendar'!$L$432)*100000000+('Dvd Calendar'!$L$434=SPECIAL_LBL)*10000000+(N('Dvd Calendar'!$L$428)&gt;0)*(N('Dvd Calendar'!$L$428)&lt;=VAL_SERIAL)*1000000+39*1000+8))</f>
        <v/>
      </c>
      <c r="EM50" s="121">
        <f>IF(N('Dvd Calendar'!$M$429)=0,"",IF(('Dvd Calendar'!$M$429&gt;=GRID_FROM)*('Dvd Calendar'!$M$429&lt;=GRID_TO)*((('Dvd Calendar'!$M$429&lt;=VAL_DATE)+(COUNTIF('Dvd Calendar'!$E$436:$AR$436,'Dvd Calendar'!$M$429)=0))&gt;0)=0,"",'Dvd Calendar'!$M$429*1000000000+ISNUMBER('Dvd Calendar'!$M$432)*100000000+('Dvd Calendar'!$M$434=SPECIAL_LBL)*10000000+(N('Dvd Calendar'!$M$428)&gt;0)*(N('Dvd Calendar'!$M$428)&lt;=VAL_SERIAL)*1000000+39*1000+9))</f>
        <v/>
      </c>
      <c r="EN50" s="121">
        <f>IF(N('Dvd Calendar'!$N$429)=0,"",IF(('Dvd Calendar'!$N$429&gt;=GRID_FROM)*('Dvd Calendar'!$N$429&lt;=GRID_TO)*((('Dvd Calendar'!$N$429&lt;=VAL_DATE)+(COUNTIF('Dvd Calendar'!$E$436:$AR$436,'Dvd Calendar'!$N$429)=0))&gt;0)=0,"",'Dvd Calendar'!$N$429*1000000000+ISNUMBER('Dvd Calendar'!$N$432)*100000000+('Dvd Calendar'!$N$434=SPECIAL_LBL)*10000000+(N('Dvd Calendar'!$N$428)&gt;0)*(N('Dvd Calendar'!$N$428)&lt;=VAL_SERIAL)*1000000+39*1000+10))</f>
        <v/>
      </c>
      <c r="EO50" s="121">
        <f>IF(N('Dvd Calendar'!$O$429)=0,"",IF(('Dvd Calendar'!$O$429&gt;=GRID_FROM)*('Dvd Calendar'!$O$429&lt;=GRID_TO)*((('Dvd Calendar'!$O$429&lt;=VAL_DATE)+(COUNTIF('Dvd Calendar'!$E$436:$AR$436,'Dvd Calendar'!$O$429)=0))&gt;0)=0,"",'Dvd Calendar'!$O$429*1000000000+ISNUMBER('Dvd Calendar'!$O$432)*100000000+('Dvd Calendar'!$O$434=SPECIAL_LBL)*10000000+(N('Dvd Calendar'!$O$428)&gt;0)*(N('Dvd Calendar'!$O$428)&lt;=VAL_SERIAL)*1000000+39*1000+11))</f>
        <v/>
      </c>
      <c r="EP50" s="121">
        <f>IF(N('Dvd Calendar'!$P$429)=0,"",IF(('Dvd Calendar'!$P$429&gt;=GRID_FROM)*('Dvd Calendar'!$P$429&lt;=GRID_TO)*((('Dvd Calendar'!$P$429&lt;=VAL_DATE)+(COUNTIF('Dvd Calendar'!$E$436:$AR$436,'Dvd Calendar'!$P$429)=0))&gt;0)=0,"",'Dvd Calendar'!$P$429*1000000000+ISNUMBER('Dvd Calendar'!$P$432)*100000000+('Dvd Calendar'!$P$434=SPECIAL_LBL)*10000000+(N('Dvd Calendar'!$P$428)&gt;0)*(N('Dvd Calendar'!$P$428)&lt;=VAL_SERIAL)*1000000+39*1000+12))</f>
        <v/>
      </c>
      <c r="EQ50" s="121">
        <f>IF(N('Dvd Calendar'!$Q$429)=0,"",IF(('Dvd Calendar'!$Q$429&gt;=GRID_FROM)*('Dvd Calendar'!$Q$429&lt;=GRID_TO)*((('Dvd Calendar'!$Q$429&lt;=VAL_DATE)+(COUNTIF('Dvd Calendar'!$E$436:$AR$436,'Dvd Calendar'!$Q$429)=0))&gt;0)=0,"",'Dvd Calendar'!$Q$429*1000000000+ISNUMBER('Dvd Calendar'!$Q$432)*100000000+('Dvd Calendar'!$Q$434=SPECIAL_LBL)*10000000+(N('Dvd Calendar'!$Q$428)&gt;0)*(N('Dvd Calendar'!$Q$428)&lt;=VAL_SERIAL)*1000000+39*1000+13))</f>
        <v/>
      </c>
      <c r="ER50" s="121">
        <f>IF(N('Dvd Calendar'!$R$429)=0,"",IF(('Dvd Calendar'!$R$429&gt;=GRID_FROM)*('Dvd Calendar'!$R$429&lt;=GRID_TO)*((('Dvd Calendar'!$R$429&lt;=VAL_DATE)+(COUNTIF('Dvd Calendar'!$E$436:$AR$436,'Dvd Calendar'!$R$429)=0))&gt;0)=0,"",'Dvd Calendar'!$R$429*1000000000+ISNUMBER('Dvd Calendar'!$R$432)*100000000+('Dvd Calendar'!$R$434=SPECIAL_LBL)*10000000+(N('Dvd Calendar'!$R$428)&gt;0)*(N('Dvd Calendar'!$R$428)&lt;=VAL_SERIAL)*1000000+39*1000+14))</f>
        <v/>
      </c>
      <c r="ES50" s="121">
        <f>IF(N('Dvd Calendar'!$S$429)=0,"",IF(('Dvd Calendar'!$S$429&gt;=GRID_FROM)*('Dvd Calendar'!$S$429&lt;=GRID_TO)*((('Dvd Calendar'!$S$429&lt;=VAL_DATE)+(COUNTIF('Dvd Calendar'!$E$436:$AR$436,'Dvd Calendar'!$S$429)=0))&gt;0)=0,"",'Dvd Calendar'!$S$429*1000000000+ISNUMBER('Dvd Calendar'!$S$432)*100000000+('Dvd Calendar'!$S$434=SPECIAL_LBL)*10000000+(N('Dvd Calendar'!$S$428)&gt;0)*(N('Dvd Calendar'!$S$428)&lt;=VAL_SERIAL)*1000000+39*1000+15))</f>
        <v/>
      </c>
      <c r="ET50" s="121">
        <f>IF(N('Dvd Calendar'!$T$429)=0,"",IF(('Dvd Calendar'!$T$429&gt;=GRID_FROM)*('Dvd Calendar'!$T$429&lt;=GRID_TO)*((('Dvd Calendar'!$T$429&lt;=VAL_DATE)+(COUNTIF('Dvd Calendar'!$E$436:$AR$436,'Dvd Calendar'!$T$429)=0))&gt;0)=0,"",'Dvd Calendar'!$T$429*1000000000+ISNUMBER('Dvd Calendar'!$T$432)*100000000+('Dvd Calendar'!$T$434=SPECIAL_LBL)*10000000+(N('Dvd Calendar'!$T$428)&gt;0)*(N('Dvd Calendar'!$T$428)&lt;=VAL_SERIAL)*1000000+39*1000+16))</f>
        <v/>
      </c>
      <c r="EU50" s="121">
        <f>IF(N('Dvd Calendar'!$U$429)=0,"",IF(('Dvd Calendar'!$U$429&gt;=GRID_FROM)*('Dvd Calendar'!$U$429&lt;=GRID_TO)*((('Dvd Calendar'!$U$429&lt;=VAL_DATE)+(COUNTIF('Dvd Calendar'!$E$436:$AR$436,'Dvd Calendar'!$U$429)=0))&gt;0)=0,"",'Dvd Calendar'!$U$429*1000000000+ISNUMBER('Dvd Calendar'!$U$432)*100000000+('Dvd Calendar'!$U$434=SPECIAL_LBL)*10000000+(N('Dvd Calendar'!$U$428)&gt;0)*(N('Dvd Calendar'!$U$428)&lt;=VAL_SERIAL)*1000000+39*1000+17))</f>
        <v/>
      </c>
      <c r="EV50" s="121">
        <f>IF(N('Dvd Calendar'!$V$429)=0,"",IF(('Dvd Calendar'!$V$429&gt;=GRID_FROM)*('Dvd Calendar'!$V$429&lt;=GRID_TO)*((('Dvd Calendar'!$V$429&lt;=VAL_DATE)+(COUNTIF('Dvd Calendar'!$E$436:$AR$436,'Dvd Calendar'!$V$429)=0))&gt;0)=0,"",'Dvd Calendar'!$V$429*1000000000+ISNUMBER('Dvd Calendar'!$V$432)*100000000+('Dvd Calendar'!$V$434=SPECIAL_LBL)*10000000+(N('Dvd Calendar'!$V$428)&gt;0)*(N('Dvd Calendar'!$V$428)&lt;=VAL_SERIAL)*1000000+39*1000+18))</f>
        <v/>
      </c>
      <c r="EW50" s="121">
        <f>IF(N('Dvd Calendar'!$W$429)=0,"",IF(('Dvd Calendar'!$W$429&gt;=GRID_FROM)*('Dvd Calendar'!$W$429&lt;=GRID_TO)*((('Dvd Calendar'!$W$429&lt;=VAL_DATE)+(COUNTIF('Dvd Calendar'!$E$436:$AR$436,'Dvd Calendar'!$W$429)=0))&gt;0)=0,"",'Dvd Calendar'!$W$429*1000000000+ISNUMBER('Dvd Calendar'!$W$432)*100000000+('Dvd Calendar'!$W$434=SPECIAL_LBL)*10000000+(N('Dvd Calendar'!$W$428)&gt;0)*(N('Dvd Calendar'!$W$428)&lt;=VAL_SERIAL)*1000000+39*1000+19))</f>
        <v/>
      </c>
      <c r="EX50" s="121">
        <f>IF(N('Dvd Calendar'!$X$429)=0,"",IF(('Dvd Calendar'!$X$429&gt;=GRID_FROM)*('Dvd Calendar'!$X$429&lt;=GRID_TO)*((('Dvd Calendar'!$X$429&lt;=VAL_DATE)+(COUNTIF('Dvd Calendar'!$E$436:$AR$436,'Dvd Calendar'!$X$429)=0))&gt;0)=0,"",'Dvd Calendar'!$X$429*1000000000+ISNUMBER('Dvd Calendar'!$X$432)*100000000+('Dvd Calendar'!$X$434=SPECIAL_LBL)*10000000+(N('Dvd Calendar'!$X$428)&gt;0)*(N('Dvd Calendar'!$X$428)&lt;=VAL_SERIAL)*1000000+39*1000+20))</f>
        <v/>
      </c>
      <c r="EY50" s="121">
        <f>IF(N('Dvd Calendar'!$Y$429)=0,"",IF(('Dvd Calendar'!$Y$429&gt;=GRID_FROM)*('Dvd Calendar'!$Y$429&lt;=GRID_TO)*((('Dvd Calendar'!$Y$429&lt;=VAL_DATE)+(COUNTIF('Dvd Calendar'!$E$436:$AR$436,'Dvd Calendar'!$Y$429)=0))&gt;0)=0,"",'Dvd Calendar'!$Y$429*1000000000+ISNUMBER('Dvd Calendar'!$Y$432)*100000000+('Dvd Calendar'!$Y$434=SPECIAL_LBL)*10000000+(N('Dvd Calendar'!$Y$428)&gt;0)*(N('Dvd Calendar'!$Y$428)&lt;=VAL_SERIAL)*1000000+39*1000+21))</f>
        <v/>
      </c>
      <c r="EZ50" s="121">
        <f>IF(N('Dvd Calendar'!$Z$429)=0,"",IF(('Dvd Calendar'!$Z$429&gt;=GRID_FROM)*('Dvd Calendar'!$Z$429&lt;=GRID_TO)*((('Dvd Calendar'!$Z$429&lt;=VAL_DATE)+(COUNTIF('Dvd Calendar'!$E$436:$AR$436,'Dvd Calendar'!$Z$429)=0))&gt;0)=0,"",'Dvd Calendar'!$Z$429*1000000000+ISNUMBER('Dvd Calendar'!$Z$432)*100000000+('Dvd Calendar'!$Z$434=SPECIAL_LBL)*10000000+(N('Dvd Calendar'!$Z$428)&gt;0)*(N('Dvd Calendar'!$Z$428)&lt;=VAL_SERIAL)*1000000+39*1000+22))</f>
        <v/>
      </c>
      <c r="FA50" s="121">
        <f>IF(N('Dvd Calendar'!$AA$429)=0,"",IF(('Dvd Calendar'!$AA$429&gt;=GRID_FROM)*('Dvd Calendar'!$AA$429&lt;=GRID_TO)*((('Dvd Calendar'!$AA$429&lt;=VAL_DATE)+(COUNTIF('Dvd Calendar'!$E$436:$AR$436,'Dvd Calendar'!$AA$429)=0))&gt;0)=0,"",'Dvd Calendar'!$AA$429*1000000000+ISNUMBER('Dvd Calendar'!$AA$432)*100000000+('Dvd Calendar'!$AA$434=SPECIAL_LBL)*10000000+(N('Dvd Calendar'!$AA$428)&gt;0)*(N('Dvd Calendar'!$AA$428)&lt;=VAL_SERIAL)*1000000+39*1000+23))</f>
        <v/>
      </c>
      <c r="FB50" s="121">
        <f>IF(N('Dvd Calendar'!$AB$429)=0,"",IF(('Dvd Calendar'!$AB$429&gt;=GRID_FROM)*('Dvd Calendar'!$AB$429&lt;=GRID_TO)*((('Dvd Calendar'!$AB$429&lt;=VAL_DATE)+(COUNTIF('Dvd Calendar'!$E$436:$AR$436,'Dvd Calendar'!$AB$429)=0))&gt;0)=0,"",'Dvd Calendar'!$AB$429*1000000000+ISNUMBER('Dvd Calendar'!$AB$432)*100000000+('Dvd Calendar'!$AB$434=SPECIAL_LBL)*10000000+(N('Dvd Calendar'!$AB$428)&gt;0)*(N('Dvd Calendar'!$AB$428)&lt;=VAL_SERIAL)*1000000+39*1000+24))</f>
        <v/>
      </c>
      <c r="FC50" s="121">
        <f>IF(N('Dvd Calendar'!$AC$429)=0,"",IF(('Dvd Calendar'!$AC$429&gt;=GRID_FROM)*('Dvd Calendar'!$AC$429&lt;=GRID_TO)*((('Dvd Calendar'!$AC$429&lt;=VAL_DATE)+(COUNTIF('Dvd Calendar'!$E$436:$AR$436,'Dvd Calendar'!$AC$429)=0))&gt;0)=0,"",'Dvd Calendar'!$AC$429*1000000000+ISNUMBER('Dvd Calendar'!$AC$432)*100000000+('Dvd Calendar'!$AC$434=SPECIAL_LBL)*10000000+(N('Dvd Calendar'!$AC$428)&gt;0)*(N('Dvd Calendar'!$AC$428)&lt;=VAL_SERIAL)*1000000+39*1000+25))</f>
        <v/>
      </c>
      <c r="FD50" s="121">
        <f>IF(N('Dvd Calendar'!$AD$429)=0,"",IF(('Dvd Calendar'!$AD$429&gt;=GRID_FROM)*('Dvd Calendar'!$AD$429&lt;=GRID_TO)*((('Dvd Calendar'!$AD$429&lt;=VAL_DATE)+(COUNTIF('Dvd Calendar'!$E$436:$AR$436,'Dvd Calendar'!$AD$429)=0))&gt;0)=0,"",'Dvd Calendar'!$AD$429*1000000000+ISNUMBER('Dvd Calendar'!$AD$432)*100000000+('Dvd Calendar'!$AD$434=SPECIAL_LBL)*10000000+(N('Dvd Calendar'!$AD$428)&gt;0)*(N('Dvd Calendar'!$AD$428)&lt;=VAL_SERIAL)*1000000+39*1000+26))</f>
        <v/>
      </c>
      <c r="FE50" s="121">
        <f>IF(N('Dvd Calendar'!$AE$429)=0,"",IF(('Dvd Calendar'!$AE$429&gt;=GRID_FROM)*('Dvd Calendar'!$AE$429&lt;=GRID_TO)*((('Dvd Calendar'!$AE$429&lt;=VAL_DATE)+(COUNTIF('Dvd Calendar'!$E$436:$AR$436,'Dvd Calendar'!$AE$429)=0))&gt;0)=0,"",'Dvd Calendar'!$AE$429*1000000000+ISNUMBER('Dvd Calendar'!$AE$432)*100000000+('Dvd Calendar'!$AE$434=SPECIAL_LBL)*10000000+(N('Dvd Calendar'!$AE$428)&gt;0)*(N('Dvd Calendar'!$AE$428)&lt;=VAL_SERIAL)*1000000+39*1000+27))</f>
        <v/>
      </c>
      <c r="FF50" s="121">
        <f>IF(N('Dvd Calendar'!$AF$429)=0,"",IF(('Dvd Calendar'!$AF$429&gt;=GRID_FROM)*('Dvd Calendar'!$AF$429&lt;=GRID_TO)*((('Dvd Calendar'!$AF$429&lt;=VAL_DATE)+(COUNTIF('Dvd Calendar'!$E$436:$AR$436,'Dvd Calendar'!$AF$429)=0))&gt;0)=0,"",'Dvd Calendar'!$AF$429*1000000000+ISNUMBER('Dvd Calendar'!$AF$432)*100000000+('Dvd Calendar'!$AF$434=SPECIAL_LBL)*10000000+(N('Dvd Calendar'!$AF$428)&gt;0)*(N('Dvd Calendar'!$AF$428)&lt;=VAL_SERIAL)*1000000+39*1000+28))</f>
        <v/>
      </c>
      <c r="FG50" s="121">
        <f>IF(N('Dvd Calendar'!$AG$429)=0,"",IF(('Dvd Calendar'!$AG$429&gt;=GRID_FROM)*('Dvd Calendar'!$AG$429&lt;=GRID_TO)*((('Dvd Calendar'!$AG$429&lt;=VAL_DATE)+(COUNTIF('Dvd Calendar'!$E$436:$AR$436,'Dvd Calendar'!$AG$429)=0))&gt;0)=0,"",'Dvd Calendar'!$AG$429*1000000000+ISNUMBER('Dvd Calendar'!$AG$432)*100000000+('Dvd Calendar'!$AG$434=SPECIAL_LBL)*10000000+(N('Dvd Calendar'!$AG$428)&gt;0)*(N('Dvd Calendar'!$AG$428)&lt;=VAL_SERIAL)*1000000+39*1000+29))</f>
        <v/>
      </c>
      <c r="FH50" s="121">
        <f>IF(N('Dvd Calendar'!$AH$429)=0,"",IF(('Dvd Calendar'!$AH$429&gt;=GRID_FROM)*('Dvd Calendar'!$AH$429&lt;=GRID_TO)*((('Dvd Calendar'!$AH$429&lt;=VAL_DATE)+(COUNTIF('Dvd Calendar'!$E$436:$AR$436,'Dvd Calendar'!$AH$429)=0))&gt;0)=0,"",'Dvd Calendar'!$AH$429*1000000000+ISNUMBER('Dvd Calendar'!$AH$432)*100000000+('Dvd Calendar'!$AH$434=SPECIAL_LBL)*10000000+(N('Dvd Calendar'!$AH$428)&gt;0)*(N('Dvd Calendar'!$AH$428)&lt;=VAL_SERIAL)*1000000+39*1000+30))</f>
        <v/>
      </c>
      <c r="FI50" s="121">
        <f>IF(N('Dvd Calendar'!$AI$429)=0,"",IF(('Dvd Calendar'!$AI$429&gt;=GRID_FROM)*('Dvd Calendar'!$AI$429&lt;=GRID_TO)*((('Dvd Calendar'!$AI$429&lt;=VAL_DATE)+(COUNTIF('Dvd Calendar'!$E$436:$AR$436,'Dvd Calendar'!$AI$429)=0))&gt;0)=0,"",'Dvd Calendar'!$AI$429*1000000000+ISNUMBER('Dvd Calendar'!$AI$432)*100000000+('Dvd Calendar'!$AI$434=SPECIAL_LBL)*10000000+(N('Dvd Calendar'!$AI$428)&gt;0)*(N('Dvd Calendar'!$AI$428)&lt;=VAL_SERIAL)*1000000+39*1000+31))</f>
        <v/>
      </c>
      <c r="FJ50" s="121">
        <f>IF(N('Dvd Calendar'!$AJ$429)=0,"",IF(('Dvd Calendar'!$AJ$429&gt;=GRID_FROM)*('Dvd Calendar'!$AJ$429&lt;=GRID_TO)*((('Dvd Calendar'!$AJ$429&lt;=VAL_DATE)+(COUNTIF('Dvd Calendar'!$E$436:$AR$436,'Dvd Calendar'!$AJ$429)=0))&gt;0)=0,"",'Dvd Calendar'!$AJ$429*1000000000+ISNUMBER('Dvd Calendar'!$AJ$432)*100000000+('Dvd Calendar'!$AJ$434=SPECIAL_LBL)*10000000+(N('Dvd Calendar'!$AJ$428)&gt;0)*(N('Dvd Calendar'!$AJ$428)&lt;=VAL_SERIAL)*1000000+39*1000+32))</f>
        <v/>
      </c>
      <c r="FK50" s="121">
        <f>IF(N('Dvd Calendar'!$AK$429)=0,"",IF(('Dvd Calendar'!$AK$429&gt;=GRID_FROM)*('Dvd Calendar'!$AK$429&lt;=GRID_TO)*((('Dvd Calendar'!$AK$429&lt;=VAL_DATE)+(COUNTIF('Dvd Calendar'!$E$436:$AR$436,'Dvd Calendar'!$AK$429)=0))&gt;0)=0,"",'Dvd Calendar'!$AK$429*1000000000+ISNUMBER('Dvd Calendar'!$AK$432)*100000000+('Dvd Calendar'!$AK$434=SPECIAL_LBL)*10000000+(N('Dvd Calendar'!$AK$428)&gt;0)*(N('Dvd Calendar'!$AK$428)&lt;=VAL_SERIAL)*1000000+39*1000+33))</f>
        <v/>
      </c>
      <c r="FL50" s="121">
        <f>IF(N('Dvd Calendar'!$AL$429)=0,"",IF(('Dvd Calendar'!$AL$429&gt;=GRID_FROM)*('Dvd Calendar'!$AL$429&lt;=GRID_TO)*((('Dvd Calendar'!$AL$429&lt;=VAL_DATE)+(COUNTIF('Dvd Calendar'!$E$436:$AR$436,'Dvd Calendar'!$AL$429)=0))&gt;0)=0,"",'Dvd Calendar'!$AL$429*1000000000+ISNUMBER('Dvd Calendar'!$AL$432)*100000000+('Dvd Calendar'!$AL$434=SPECIAL_LBL)*10000000+(N('Dvd Calendar'!$AL$428)&gt;0)*(N('Dvd Calendar'!$AL$428)&lt;=VAL_SERIAL)*1000000+39*1000+34))</f>
        <v/>
      </c>
      <c r="FM50" s="121">
        <f>IF(N('Dvd Calendar'!$AM$429)=0,"",IF(('Dvd Calendar'!$AM$429&gt;=GRID_FROM)*('Dvd Calendar'!$AM$429&lt;=GRID_TO)*((('Dvd Calendar'!$AM$429&lt;=VAL_DATE)+(COUNTIF('Dvd Calendar'!$E$436:$AR$436,'Dvd Calendar'!$AM$429)=0))&gt;0)=0,"",'Dvd Calendar'!$AM$429*1000000000+ISNUMBER('Dvd Calendar'!$AM$432)*100000000+('Dvd Calendar'!$AM$434=SPECIAL_LBL)*10000000+(N('Dvd Calendar'!$AM$428)&gt;0)*(N('Dvd Calendar'!$AM$428)&lt;=VAL_SERIAL)*1000000+39*1000+35))</f>
        <v/>
      </c>
      <c r="FN50" s="121">
        <f>IF(N('Dvd Calendar'!$AN$429)=0,"",IF(('Dvd Calendar'!$AN$429&gt;=GRID_FROM)*('Dvd Calendar'!$AN$429&lt;=GRID_TO)*((('Dvd Calendar'!$AN$429&lt;=VAL_DATE)+(COUNTIF('Dvd Calendar'!$E$436:$AR$436,'Dvd Calendar'!$AN$429)=0))&gt;0)=0,"",'Dvd Calendar'!$AN$429*1000000000+ISNUMBER('Dvd Calendar'!$AN$432)*100000000+('Dvd Calendar'!$AN$434=SPECIAL_LBL)*10000000+(N('Dvd Calendar'!$AN$428)&gt;0)*(N('Dvd Calendar'!$AN$428)&lt;=VAL_SERIAL)*1000000+39*1000+36))</f>
        <v/>
      </c>
      <c r="FO50" s="121">
        <f>IF(N('Dvd Calendar'!$AO$429)=0,"",IF(('Dvd Calendar'!$AO$429&gt;=GRID_FROM)*('Dvd Calendar'!$AO$429&lt;=GRID_TO)*((('Dvd Calendar'!$AO$429&lt;=VAL_DATE)+(COUNTIF('Dvd Calendar'!$E$436:$AR$436,'Dvd Calendar'!$AO$429)=0))&gt;0)=0,"",'Dvd Calendar'!$AO$429*1000000000+ISNUMBER('Dvd Calendar'!$AO$432)*100000000+('Dvd Calendar'!$AO$434=SPECIAL_LBL)*10000000+(N('Dvd Calendar'!$AO$428)&gt;0)*(N('Dvd Calendar'!$AO$428)&lt;=VAL_SERIAL)*1000000+39*1000+37))</f>
        <v/>
      </c>
      <c r="FP50" s="121">
        <f>IF(N('Dvd Calendar'!$AP$429)=0,"",IF(('Dvd Calendar'!$AP$429&gt;=GRID_FROM)*('Dvd Calendar'!$AP$429&lt;=GRID_TO)*((('Dvd Calendar'!$AP$429&lt;=VAL_DATE)+(COUNTIF('Dvd Calendar'!$E$436:$AR$436,'Dvd Calendar'!$AP$429)=0))&gt;0)=0,"",'Dvd Calendar'!$AP$429*1000000000+ISNUMBER('Dvd Calendar'!$AP$432)*100000000+('Dvd Calendar'!$AP$434=SPECIAL_LBL)*10000000+(N('Dvd Calendar'!$AP$428)&gt;0)*(N('Dvd Calendar'!$AP$428)&lt;=VAL_SERIAL)*1000000+39*1000+38))</f>
        <v/>
      </c>
      <c r="FQ50" s="121">
        <f>IF(N('Dvd Calendar'!$AQ$429)=0,"",IF(('Dvd Calendar'!$AQ$429&gt;=GRID_FROM)*('Dvd Calendar'!$AQ$429&lt;=GRID_TO)*((('Dvd Calendar'!$AQ$429&lt;=VAL_DATE)+(COUNTIF('Dvd Calendar'!$E$436:$AR$436,'Dvd Calendar'!$AQ$429)=0))&gt;0)=0,"",'Dvd Calendar'!$AQ$429*1000000000+ISNUMBER('Dvd Calendar'!$AQ$432)*100000000+('Dvd Calendar'!$AQ$434=SPECIAL_LBL)*10000000+(N('Dvd Calendar'!$AQ$428)&gt;0)*(N('Dvd Calendar'!$AQ$428)&lt;=VAL_SERIAL)*1000000+39*1000+39))</f>
        <v/>
      </c>
      <c r="FR50" s="121">
        <f>IF(N('Dvd Calendar'!$AR$429)=0,"",IF(('Dvd Calendar'!$AR$429&gt;=GRID_FROM)*('Dvd Calendar'!$AR$429&lt;=GRID_TO)*((('Dvd Calendar'!$AR$429&lt;=VAL_DATE)+(COUNTIF('Dvd Calendar'!$E$436:$AR$436,'Dvd Calendar'!$AR$429)=0))&gt;0)=0,"",'Dvd Calendar'!$AR$429*1000000000+ISNUMBER('Dvd Calendar'!$AR$432)*100000000+('Dvd Calendar'!$AR$434=SPECIAL_LBL)*10000000+(N('Dvd Calendar'!$AR$428)&gt;0)*(N('Dvd Calendar'!$AR$428)&lt;=VAL_SERIAL)*1000000+39*1000+40))</f>
        <v/>
      </c>
      <c r="FS50" s="121">
        <f>IF(N('Dvd Calendar'!$E$436)=0,"",IF(('Dvd Calendar'!$E$436&gt;=GRID_FROM)*('Dvd Calendar'!$E$436&lt;=GRID_TO)*('Dvd Calendar'!$E$436&gt;VAL_DATE)=0,"",'Dvd Calendar'!$E$436*1000000000+ISNUMBER('Dvd Calendar'!$E$437)*100000000+0*10000000+(N('Dvd Calendar'!$E$435)&gt;0)*(N('Dvd Calendar'!$E$435)&lt;=VAL_SERIAL)*1000000+39*1000+41))</f>
        <v/>
      </c>
      <c r="FT50" s="121">
        <f>IF(N('Dvd Calendar'!$F$436)=0,"",IF(('Dvd Calendar'!$F$436&gt;=GRID_FROM)*('Dvd Calendar'!$F$436&lt;=GRID_TO)*('Dvd Calendar'!$F$436&gt;VAL_DATE)=0,"",'Dvd Calendar'!$F$436*1000000000+ISNUMBER('Dvd Calendar'!$F$437)*100000000+0*10000000+(N('Dvd Calendar'!$F$435)&gt;0)*(N('Dvd Calendar'!$F$435)&lt;=VAL_SERIAL)*1000000+39*1000+42))</f>
        <v/>
      </c>
      <c r="FU50" s="121">
        <f>IF(N('Dvd Calendar'!$G$436)=0,"",IF(('Dvd Calendar'!$G$436&gt;=GRID_FROM)*('Dvd Calendar'!$G$436&lt;=GRID_TO)*('Dvd Calendar'!$G$436&gt;VAL_DATE)=0,"",'Dvd Calendar'!$G$436*1000000000+ISNUMBER('Dvd Calendar'!$G$437)*100000000+0*10000000+(N('Dvd Calendar'!$G$435)&gt;0)*(N('Dvd Calendar'!$G$435)&lt;=VAL_SERIAL)*1000000+39*1000+43))</f>
        <v/>
      </c>
      <c r="FV50" s="121">
        <f>IF(N('Dvd Calendar'!$H$436)=0,"",IF(('Dvd Calendar'!$H$436&gt;=GRID_FROM)*('Dvd Calendar'!$H$436&lt;=GRID_TO)*('Dvd Calendar'!$H$436&gt;VAL_DATE)=0,"",'Dvd Calendar'!$H$436*1000000000+ISNUMBER('Dvd Calendar'!$H$437)*100000000+0*10000000+(N('Dvd Calendar'!$H$435)&gt;0)*(N('Dvd Calendar'!$H$435)&lt;=VAL_SERIAL)*1000000+39*1000+44))</f>
        <v/>
      </c>
      <c r="FW50" s="121">
        <f>IF(N('Dvd Calendar'!$I$436)=0,"",IF(('Dvd Calendar'!$I$436&gt;=GRID_FROM)*('Dvd Calendar'!$I$436&lt;=GRID_TO)*('Dvd Calendar'!$I$436&gt;VAL_DATE)=0,"",'Dvd Calendar'!$I$436*1000000000+ISNUMBER('Dvd Calendar'!$I$437)*100000000+0*10000000+(N('Dvd Calendar'!$I$435)&gt;0)*(N('Dvd Calendar'!$I$435)&lt;=VAL_SERIAL)*1000000+39*1000+45))</f>
        <v/>
      </c>
      <c r="FX50" s="121">
        <f>IF(N('Dvd Calendar'!$J$436)=0,"",IF(('Dvd Calendar'!$J$436&gt;=GRID_FROM)*('Dvd Calendar'!$J$436&lt;=GRID_TO)*('Dvd Calendar'!$J$436&gt;VAL_DATE)=0,"",'Dvd Calendar'!$J$436*1000000000+ISNUMBER('Dvd Calendar'!$J$437)*100000000+0*10000000+(N('Dvd Calendar'!$J$435)&gt;0)*(N('Dvd Calendar'!$J$435)&lt;=VAL_SERIAL)*1000000+39*1000+46))</f>
        <v/>
      </c>
      <c r="FY50" s="121">
        <f>IF(N('Dvd Calendar'!$K$436)=0,"",IF(('Dvd Calendar'!$K$436&gt;=GRID_FROM)*('Dvd Calendar'!$K$436&lt;=GRID_TO)*('Dvd Calendar'!$K$436&gt;VAL_DATE)=0,"",'Dvd Calendar'!$K$436*1000000000+ISNUMBER('Dvd Calendar'!$K$437)*100000000+0*10000000+(N('Dvd Calendar'!$K$435)&gt;0)*(N('Dvd Calendar'!$K$435)&lt;=VAL_SERIAL)*1000000+39*1000+47))</f>
        <v/>
      </c>
      <c r="FZ50" s="121">
        <f>IF(N('Dvd Calendar'!$L$436)=0,"",IF(('Dvd Calendar'!$L$436&gt;=GRID_FROM)*('Dvd Calendar'!$L$436&lt;=GRID_TO)*('Dvd Calendar'!$L$436&gt;VAL_DATE)=0,"",'Dvd Calendar'!$L$436*1000000000+ISNUMBER('Dvd Calendar'!$L$437)*100000000+0*10000000+(N('Dvd Calendar'!$L$435)&gt;0)*(N('Dvd Calendar'!$L$435)&lt;=VAL_SERIAL)*1000000+39*1000+48))</f>
        <v/>
      </c>
      <c r="GA50" s="121">
        <f>IF(N('Dvd Calendar'!$M$436)=0,"",IF(('Dvd Calendar'!$M$436&gt;=GRID_FROM)*('Dvd Calendar'!$M$436&lt;=GRID_TO)*('Dvd Calendar'!$M$436&gt;VAL_DATE)=0,"",'Dvd Calendar'!$M$436*1000000000+ISNUMBER('Dvd Calendar'!$M$437)*100000000+0*10000000+(N('Dvd Calendar'!$M$435)&gt;0)*(N('Dvd Calendar'!$M$435)&lt;=VAL_SERIAL)*1000000+39*1000+49))</f>
        <v/>
      </c>
      <c r="GB50" s="121">
        <f>IF(N('Dvd Calendar'!$N$436)=0,"",IF(('Dvd Calendar'!$N$436&gt;=GRID_FROM)*('Dvd Calendar'!$N$436&lt;=GRID_TO)*('Dvd Calendar'!$N$436&gt;VAL_DATE)=0,"",'Dvd Calendar'!$N$436*1000000000+ISNUMBER('Dvd Calendar'!$N$437)*100000000+0*10000000+(N('Dvd Calendar'!$N$435)&gt;0)*(N('Dvd Calendar'!$N$435)&lt;=VAL_SERIAL)*1000000+39*1000+50))</f>
        <v/>
      </c>
      <c r="GC50" s="121">
        <f>IF(N('Dvd Calendar'!$O$436)=0,"",IF(('Dvd Calendar'!$O$436&gt;=GRID_FROM)*('Dvd Calendar'!$O$436&lt;=GRID_TO)*('Dvd Calendar'!$O$436&gt;VAL_DATE)=0,"",'Dvd Calendar'!$O$436*1000000000+ISNUMBER('Dvd Calendar'!$O$437)*100000000+0*10000000+(N('Dvd Calendar'!$O$435)&gt;0)*(N('Dvd Calendar'!$O$435)&lt;=VAL_SERIAL)*1000000+39*1000+51))</f>
        <v/>
      </c>
      <c r="GD50" s="121">
        <f>IF(N('Dvd Calendar'!$P$436)=0,"",IF(('Dvd Calendar'!$P$436&gt;=GRID_FROM)*('Dvd Calendar'!$P$436&lt;=GRID_TO)*('Dvd Calendar'!$P$436&gt;VAL_DATE)=0,"",'Dvd Calendar'!$P$436*1000000000+ISNUMBER('Dvd Calendar'!$P$437)*100000000+0*10000000+(N('Dvd Calendar'!$P$435)&gt;0)*(N('Dvd Calendar'!$P$435)&lt;=VAL_SERIAL)*1000000+39*1000+52))</f>
        <v/>
      </c>
      <c r="GE50" s="121">
        <f>IF(N('Dvd Calendar'!$Q$436)=0,"",IF(('Dvd Calendar'!$Q$436&gt;=GRID_FROM)*('Dvd Calendar'!$Q$436&lt;=GRID_TO)*('Dvd Calendar'!$Q$436&gt;VAL_DATE)=0,"",'Dvd Calendar'!$Q$436*1000000000+ISNUMBER('Dvd Calendar'!$Q$437)*100000000+0*10000000+(N('Dvd Calendar'!$Q$435)&gt;0)*(N('Dvd Calendar'!$Q$435)&lt;=VAL_SERIAL)*1000000+39*1000+53))</f>
        <v/>
      </c>
      <c r="GF50" s="121">
        <f>IF(N('Dvd Calendar'!$R$436)=0,"",IF(('Dvd Calendar'!$R$436&gt;=GRID_FROM)*('Dvd Calendar'!$R$436&lt;=GRID_TO)*('Dvd Calendar'!$R$436&gt;VAL_DATE)=0,"",'Dvd Calendar'!$R$436*1000000000+ISNUMBER('Dvd Calendar'!$R$437)*100000000+0*10000000+(N('Dvd Calendar'!$R$435)&gt;0)*(N('Dvd Calendar'!$R$435)&lt;=VAL_SERIAL)*1000000+39*1000+54))</f>
        <v/>
      </c>
      <c r="GG50" s="121">
        <f>IF(N('Dvd Calendar'!$S$436)=0,"",IF(('Dvd Calendar'!$S$436&gt;=GRID_FROM)*('Dvd Calendar'!$S$436&lt;=GRID_TO)*('Dvd Calendar'!$S$436&gt;VAL_DATE)=0,"",'Dvd Calendar'!$S$436*1000000000+ISNUMBER('Dvd Calendar'!$S$437)*100000000+0*10000000+(N('Dvd Calendar'!$S$435)&gt;0)*(N('Dvd Calendar'!$S$435)&lt;=VAL_SERIAL)*1000000+39*1000+55))</f>
        <v/>
      </c>
      <c r="GH50" s="121">
        <f>IF(N('Dvd Calendar'!$T$436)=0,"",IF(('Dvd Calendar'!$T$436&gt;=GRID_FROM)*('Dvd Calendar'!$T$436&lt;=GRID_TO)*('Dvd Calendar'!$T$436&gt;VAL_DATE)=0,"",'Dvd Calendar'!$T$436*1000000000+ISNUMBER('Dvd Calendar'!$T$437)*100000000+0*10000000+(N('Dvd Calendar'!$T$435)&gt;0)*(N('Dvd Calendar'!$T$435)&lt;=VAL_SERIAL)*1000000+39*1000+56))</f>
        <v/>
      </c>
      <c r="GI50" s="121">
        <f>IF(N('Dvd Calendar'!$U$436)=0,"",IF(('Dvd Calendar'!$U$436&gt;=GRID_FROM)*('Dvd Calendar'!$U$436&lt;=GRID_TO)*('Dvd Calendar'!$U$436&gt;VAL_DATE)=0,"",'Dvd Calendar'!$U$436*1000000000+ISNUMBER('Dvd Calendar'!$U$437)*100000000+0*10000000+(N('Dvd Calendar'!$U$435)&gt;0)*(N('Dvd Calendar'!$U$435)&lt;=VAL_SERIAL)*1000000+39*1000+57))</f>
        <v/>
      </c>
      <c r="GJ50" s="121">
        <f>IF(N('Dvd Calendar'!$V$436)=0,"",IF(('Dvd Calendar'!$V$436&gt;=GRID_FROM)*('Dvd Calendar'!$V$436&lt;=GRID_TO)*('Dvd Calendar'!$V$436&gt;VAL_DATE)=0,"",'Dvd Calendar'!$V$436*1000000000+ISNUMBER('Dvd Calendar'!$V$437)*100000000+0*10000000+(N('Dvd Calendar'!$V$435)&gt;0)*(N('Dvd Calendar'!$V$435)&lt;=VAL_SERIAL)*1000000+39*1000+58))</f>
        <v/>
      </c>
      <c r="GK50" s="121">
        <f>IF(N('Dvd Calendar'!$W$436)=0,"",IF(('Dvd Calendar'!$W$436&gt;=GRID_FROM)*('Dvd Calendar'!$W$436&lt;=GRID_TO)*('Dvd Calendar'!$W$436&gt;VAL_DATE)=0,"",'Dvd Calendar'!$W$436*1000000000+ISNUMBER('Dvd Calendar'!$W$437)*100000000+0*10000000+(N('Dvd Calendar'!$W$435)&gt;0)*(N('Dvd Calendar'!$W$435)&lt;=VAL_SERIAL)*1000000+39*1000+59))</f>
        <v/>
      </c>
      <c r="GL50" s="121">
        <f>IF(N('Dvd Calendar'!$X$436)=0,"",IF(('Dvd Calendar'!$X$436&gt;=GRID_FROM)*('Dvd Calendar'!$X$436&lt;=GRID_TO)*('Dvd Calendar'!$X$436&gt;VAL_DATE)=0,"",'Dvd Calendar'!$X$436*1000000000+ISNUMBER('Dvd Calendar'!$X$437)*100000000+0*10000000+(N('Dvd Calendar'!$X$435)&gt;0)*(N('Dvd Calendar'!$X$435)&lt;=VAL_SERIAL)*1000000+39*1000+60))</f>
        <v/>
      </c>
      <c r="GM50" s="121">
        <f>IF(N('Dvd Calendar'!$Y$436)=0,"",IF(('Dvd Calendar'!$Y$436&gt;=GRID_FROM)*('Dvd Calendar'!$Y$436&lt;=GRID_TO)*('Dvd Calendar'!$Y$436&gt;VAL_DATE)=0,"",'Dvd Calendar'!$Y$436*1000000000+ISNUMBER('Dvd Calendar'!$Y$437)*100000000+0*10000000+(N('Dvd Calendar'!$Y$435)&gt;0)*(N('Dvd Calendar'!$Y$435)&lt;=VAL_SERIAL)*1000000+39*1000+61))</f>
        <v/>
      </c>
      <c r="GN50" s="121">
        <f>IF(N('Dvd Calendar'!$Z$436)=0,"",IF(('Dvd Calendar'!$Z$436&gt;=GRID_FROM)*('Dvd Calendar'!$Z$436&lt;=GRID_TO)*('Dvd Calendar'!$Z$436&gt;VAL_DATE)=0,"",'Dvd Calendar'!$Z$436*1000000000+ISNUMBER('Dvd Calendar'!$Z$437)*100000000+0*10000000+(N('Dvd Calendar'!$Z$435)&gt;0)*(N('Dvd Calendar'!$Z$435)&lt;=VAL_SERIAL)*1000000+39*1000+62))</f>
        <v/>
      </c>
      <c r="GO50" s="121">
        <f>IF(N('Dvd Calendar'!$AA$436)=0,"",IF(('Dvd Calendar'!$AA$436&gt;=GRID_FROM)*('Dvd Calendar'!$AA$436&lt;=GRID_TO)*('Dvd Calendar'!$AA$436&gt;VAL_DATE)=0,"",'Dvd Calendar'!$AA$436*1000000000+ISNUMBER('Dvd Calendar'!$AA$437)*100000000+0*10000000+(N('Dvd Calendar'!$AA$435)&gt;0)*(N('Dvd Calendar'!$AA$435)&lt;=VAL_SERIAL)*1000000+39*1000+63))</f>
        <v/>
      </c>
      <c r="GP50" s="121">
        <f>IF(N('Dvd Calendar'!$AB$436)=0,"",IF(('Dvd Calendar'!$AB$436&gt;=GRID_FROM)*('Dvd Calendar'!$AB$436&lt;=GRID_TO)*('Dvd Calendar'!$AB$436&gt;VAL_DATE)=0,"",'Dvd Calendar'!$AB$436*1000000000+ISNUMBER('Dvd Calendar'!$AB$437)*100000000+0*10000000+(N('Dvd Calendar'!$AB$435)&gt;0)*(N('Dvd Calendar'!$AB$435)&lt;=VAL_SERIAL)*1000000+39*1000+64))</f>
        <v/>
      </c>
      <c r="GQ50" s="121">
        <f>IF(N('Dvd Calendar'!$AC$436)=0,"",IF(('Dvd Calendar'!$AC$436&gt;=GRID_FROM)*('Dvd Calendar'!$AC$436&lt;=GRID_TO)*('Dvd Calendar'!$AC$436&gt;VAL_DATE)=0,"",'Dvd Calendar'!$AC$436*1000000000+ISNUMBER('Dvd Calendar'!$AC$437)*100000000+0*10000000+(N('Dvd Calendar'!$AC$435)&gt;0)*(N('Dvd Calendar'!$AC$435)&lt;=VAL_SERIAL)*1000000+39*1000+65))</f>
        <v/>
      </c>
    </row>
    <row r="51">
      <c r="B51" s="2">
        <f>IF(HSI!$C$46="","",HSI!$C$46)</f>
        <v/>
      </c>
      <c r="C51" s="161">
        <f>IF(EE51="","",IF(ISNUMBER('Dvd Calendar'!$E$443)=FALSE,"",IF((('Dvd Calendar'!$E$445=TYPE1)*(TYPE1&lt;&gt;"")+('Dvd Calendar'!$E$445=TYPE2)*(TYPE2&lt;&gt;"")+('Dvd Calendar'!$E$445=TYPE3)*(TYPE3&lt;&gt;"")+('Dvd Calendar'!$E$445=TYPE4)*(TYPE4&lt;&gt;"")+('Dvd Calendar'!$E$445=SPECIAL_LBL)*(INC_SPECIALS="Y"))=0,"",'Dvd Calendar'!$E$443)))</f>
        <v/>
      </c>
      <c r="D51" s="161">
        <f>IF(EF51="","",IF(ISNUMBER('Dvd Calendar'!$F$443)=FALSE,"",IF((('Dvd Calendar'!$F$445=TYPE1)*(TYPE1&lt;&gt;"")+('Dvd Calendar'!$F$445=TYPE2)*(TYPE2&lt;&gt;"")+('Dvd Calendar'!$F$445=TYPE3)*(TYPE3&lt;&gt;"")+('Dvd Calendar'!$F$445=TYPE4)*(TYPE4&lt;&gt;"")+('Dvd Calendar'!$F$445=SPECIAL_LBL)*(INC_SPECIALS="Y"))=0,"",'Dvd Calendar'!$F$443)))</f>
        <v/>
      </c>
      <c r="E51" s="161">
        <f>IF(EG51="","",IF(ISNUMBER('Dvd Calendar'!$G$443)=FALSE,"",IF((('Dvd Calendar'!$G$445=TYPE1)*(TYPE1&lt;&gt;"")+('Dvd Calendar'!$G$445=TYPE2)*(TYPE2&lt;&gt;"")+('Dvd Calendar'!$G$445=TYPE3)*(TYPE3&lt;&gt;"")+('Dvd Calendar'!$G$445=TYPE4)*(TYPE4&lt;&gt;"")+('Dvd Calendar'!$G$445=SPECIAL_LBL)*(INC_SPECIALS="Y"))=0,"",'Dvd Calendar'!$G$443)))</f>
        <v/>
      </c>
      <c r="F51" s="161">
        <f>IF(EH51="","",IF(ISNUMBER('Dvd Calendar'!$H$443)=FALSE,"",IF((('Dvd Calendar'!$H$445=TYPE1)*(TYPE1&lt;&gt;"")+('Dvd Calendar'!$H$445=TYPE2)*(TYPE2&lt;&gt;"")+('Dvd Calendar'!$H$445=TYPE3)*(TYPE3&lt;&gt;"")+('Dvd Calendar'!$H$445=TYPE4)*(TYPE4&lt;&gt;"")+('Dvd Calendar'!$H$445=SPECIAL_LBL)*(INC_SPECIALS="Y"))=0,"",'Dvd Calendar'!$H$443)))</f>
        <v/>
      </c>
      <c r="G51" s="161">
        <f>IF(EI51="","",IF(ISNUMBER('Dvd Calendar'!$I$443)=FALSE,"",IF((('Dvd Calendar'!$I$445=TYPE1)*(TYPE1&lt;&gt;"")+('Dvd Calendar'!$I$445=TYPE2)*(TYPE2&lt;&gt;"")+('Dvd Calendar'!$I$445=TYPE3)*(TYPE3&lt;&gt;"")+('Dvd Calendar'!$I$445=TYPE4)*(TYPE4&lt;&gt;"")+('Dvd Calendar'!$I$445=SPECIAL_LBL)*(INC_SPECIALS="Y"))=0,"",'Dvd Calendar'!$I$443)))</f>
        <v/>
      </c>
      <c r="H51" s="161">
        <f>IF(EJ51="","",IF(ISNUMBER('Dvd Calendar'!$J$443)=FALSE,"",IF((('Dvd Calendar'!$J$445=TYPE1)*(TYPE1&lt;&gt;"")+('Dvd Calendar'!$J$445=TYPE2)*(TYPE2&lt;&gt;"")+('Dvd Calendar'!$J$445=TYPE3)*(TYPE3&lt;&gt;"")+('Dvd Calendar'!$J$445=TYPE4)*(TYPE4&lt;&gt;"")+('Dvd Calendar'!$J$445=SPECIAL_LBL)*(INC_SPECIALS="Y"))=0,"",'Dvd Calendar'!$J$443)))</f>
        <v/>
      </c>
      <c r="I51" s="161">
        <f>IF(EK51="","",IF(ISNUMBER('Dvd Calendar'!$K$443)=FALSE,"",IF((('Dvd Calendar'!$K$445=TYPE1)*(TYPE1&lt;&gt;"")+('Dvd Calendar'!$K$445=TYPE2)*(TYPE2&lt;&gt;"")+('Dvd Calendar'!$K$445=TYPE3)*(TYPE3&lt;&gt;"")+('Dvd Calendar'!$K$445=TYPE4)*(TYPE4&lt;&gt;"")+('Dvd Calendar'!$K$445=SPECIAL_LBL)*(INC_SPECIALS="Y"))=0,"",'Dvd Calendar'!$K$443)))</f>
        <v/>
      </c>
      <c r="J51" s="161">
        <f>IF(EL51="","",IF(ISNUMBER('Dvd Calendar'!$L$443)=FALSE,"",IF((('Dvd Calendar'!$L$445=TYPE1)*(TYPE1&lt;&gt;"")+('Dvd Calendar'!$L$445=TYPE2)*(TYPE2&lt;&gt;"")+('Dvd Calendar'!$L$445=TYPE3)*(TYPE3&lt;&gt;"")+('Dvd Calendar'!$L$445=TYPE4)*(TYPE4&lt;&gt;"")+('Dvd Calendar'!$L$445=SPECIAL_LBL)*(INC_SPECIALS="Y"))=0,"",'Dvd Calendar'!$L$443)))</f>
        <v/>
      </c>
      <c r="K51" s="161">
        <f>IF(EM51="","",IF(ISNUMBER('Dvd Calendar'!$M$443)=FALSE,"",IF((('Dvd Calendar'!$M$445=TYPE1)*(TYPE1&lt;&gt;"")+('Dvd Calendar'!$M$445=TYPE2)*(TYPE2&lt;&gt;"")+('Dvd Calendar'!$M$445=TYPE3)*(TYPE3&lt;&gt;"")+('Dvd Calendar'!$M$445=TYPE4)*(TYPE4&lt;&gt;"")+('Dvd Calendar'!$M$445=SPECIAL_LBL)*(INC_SPECIALS="Y"))=0,"",'Dvd Calendar'!$M$443)))</f>
        <v/>
      </c>
      <c r="L51" s="161">
        <f>IF(EN51="","",IF(ISNUMBER('Dvd Calendar'!$N$443)=FALSE,"",IF((('Dvd Calendar'!$N$445=TYPE1)*(TYPE1&lt;&gt;"")+('Dvd Calendar'!$N$445=TYPE2)*(TYPE2&lt;&gt;"")+('Dvd Calendar'!$N$445=TYPE3)*(TYPE3&lt;&gt;"")+('Dvd Calendar'!$N$445=TYPE4)*(TYPE4&lt;&gt;"")+('Dvd Calendar'!$N$445=SPECIAL_LBL)*(INC_SPECIALS="Y"))=0,"",'Dvd Calendar'!$N$443)))</f>
        <v/>
      </c>
      <c r="M51" s="161">
        <f>IF(EO51="","",IF(ISNUMBER('Dvd Calendar'!$O$443)=FALSE,"",IF((('Dvd Calendar'!$O$445=TYPE1)*(TYPE1&lt;&gt;"")+('Dvd Calendar'!$O$445=TYPE2)*(TYPE2&lt;&gt;"")+('Dvd Calendar'!$O$445=TYPE3)*(TYPE3&lt;&gt;"")+('Dvd Calendar'!$O$445=TYPE4)*(TYPE4&lt;&gt;"")+('Dvd Calendar'!$O$445=SPECIAL_LBL)*(INC_SPECIALS="Y"))=0,"",'Dvd Calendar'!$O$443)))</f>
        <v/>
      </c>
      <c r="N51" s="161">
        <f>IF(EP51="","",IF(ISNUMBER('Dvd Calendar'!$P$443)=FALSE,"",IF((('Dvd Calendar'!$P$445=TYPE1)*(TYPE1&lt;&gt;"")+('Dvd Calendar'!$P$445=TYPE2)*(TYPE2&lt;&gt;"")+('Dvd Calendar'!$P$445=TYPE3)*(TYPE3&lt;&gt;"")+('Dvd Calendar'!$P$445=TYPE4)*(TYPE4&lt;&gt;"")+('Dvd Calendar'!$P$445=SPECIAL_LBL)*(INC_SPECIALS="Y"))=0,"",'Dvd Calendar'!$P$443)))</f>
        <v/>
      </c>
      <c r="O51" s="161">
        <f>IF(EQ51="","",IF(ISNUMBER('Dvd Calendar'!$Q$443)=FALSE,"",IF((('Dvd Calendar'!$Q$445=TYPE1)*(TYPE1&lt;&gt;"")+('Dvd Calendar'!$Q$445=TYPE2)*(TYPE2&lt;&gt;"")+('Dvd Calendar'!$Q$445=TYPE3)*(TYPE3&lt;&gt;"")+('Dvd Calendar'!$Q$445=TYPE4)*(TYPE4&lt;&gt;"")+('Dvd Calendar'!$Q$445=SPECIAL_LBL)*(INC_SPECIALS="Y"))=0,"",'Dvd Calendar'!$Q$443)))</f>
        <v/>
      </c>
      <c r="P51" s="161">
        <f>IF(ER51="","",IF(ISNUMBER('Dvd Calendar'!$R$443)=FALSE,"",IF((('Dvd Calendar'!$R$445=TYPE1)*(TYPE1&lt;&gt;"")+('Dvd Calendar'!$R$445=TYPE2)*(TYPE2&lt;&gt;"")+('Dvd Calendar'!$R$445=TYPE3)*(TYPE3&lt;&gt;"")+('Dvd Calendar'!$R$445=TYPE4)*(TYPE4&lt;&gt;"")+('Dvd Calendar'!$R$445=SPECIAL_LBL)*(INC_SPECIALS="Y"))=0,"",'Dvd Calendar'!$R$443)))</f>
        <v/>
      </c>
      <c r="Q51" s="161">
        <f>IF(ES51="","",IF(ISNUMBER('Dvd Calendar'!$S$443)=FALSE,"",IF((('Dvd Calendar'!$S$445=TYPE1)*(TYPE1&lt;&gt;"")+('Dvd Calendar'!$S$445=TYPE2)*(TYPE2&lt;&gt;"")+('Dvd Calendar'!$S$445=TYPE3)*(TYPE3&lt;&gt;"")+('Dvd Calendar'!$S$445=TYPE4)*(TYPE4&lt;&gt;"")+('Dvd Calendar'!$S$445=SPECIAL_LBL)*(INC_SPECIALS="Y"))=0,"",'Dvd Calendar'!$S$443)))</f>
        <v/>
      </c>
      <c r="R51" s="161">
        <f>IF(ET51="","",IF(ISNUMBER('Dvd Calendar'!$T$443)=FALSE,"",IF((('Dvd Calendar'!$T$445=TYPE1)*(TYPE1&lt;&gt;"")+('Dvd Calendar'!$T$445=TYPE2)*(TYPE2&lt;&gt;"")+('Dvd Calendar'!$T$445=TYPE3)*(TYPE3&lt;&gt;"")+('Dvd Calendar'!$T$445=TYPE4)*(TYPE4&lt;&gt;"")+('Dvd Calendar'!$T$445=SPECIAL_LBL)*(INC_SPECIALS="Y"))=0,"",'Dvd Calendar'!$T$443)))</f>
        <v/>
      </c>
      <c r="S51" s="161">
        <f>IF(EU51="","",IF(ISNUMBER('Dvd Calendar'!$U$443)=FALSE,"",IF((('Dvd Calendar'!$U$445=TYPE1)*(TYPE1&lt;&gt;"")+('Dvd Calendar'!$U$445=TYPE2)*(TYPE2&lt;&gt;"")+('Dvd Calendar'!$U$445=TYPE3)*(TYPE3&lt;&gt;"")+('Dvd Calendar'!$U$445=TYPE4)*(TYPE4&lt;&gt;"")+('Dvd Calendar'!$U$445=SPECIAL_LBL)*(INC_SPECIALS="Y"))=0,"",'Dvd Calendar'!$U$443)))</f>
        <v/>
      </c>
      <c r="T51" s="161">
        <f>IF(EV51="","",IF(ISNUMBER('Dvd Calendar'!$V$443)=FALSE,"",IF((('Dvd Calendar'!$V$445=TYPE1)*(TYPE1&lt;&gt;"")+('Dvd Calendar'!$V$445=TYPE2)*(TYPE2&lt;&gt;"")+('Dvd Calendar'!$V$445=TYPE3)*(TYPE3&lt;&gt;"")+('Dvd Calendar'!$V$445=TYPE4)*(TYPE4&lt;&gt;"")+('Dvd Calendar'!$V$445=SPECIAL_LBL)*(INC_SPECIALS="Y"))=0,"",'Dvd Calendar'!$V$443)))</f>
        <v/>
      </c>
      <c r="U51" s="161">
        <f>IF(EW51="","",IF(ISNUMBER('Dvd Calendar'!$W$443)=FALSE,"",IF((('Dvd Calendar'!$W$445=TYPE1)*(TYPE1&lt;&gt;"")+('Dvd Calendar'!$W$445=TYPE2)*(TYPE2&lt;&gt;"")+('Dvd Calendar'!$W$445=TYPE3)*(TYPE3&lt;&gt;"")+('Dvd Calendar'!$W$445=TYPE4)*(TYPE4&lt;&gt;"")+('Dvd Calendar'!$W$445=SPECIAL_LBL)*(INC_SPECIALS="Y"))=0,"",'Dvd Calendar'!$W$443)))</f>
        <v/>
      </c>
      <c r="V51" s="161">
        <f>IF(EX51="","",IF(ISNUMBER('Dvd Calendar'!$X$443)=FALSE,"",IF((('Dvd Calendar'!$X$445=TYPE1)*(TYPE1&lt;&gt;"")+('Dvd Calendar'!$X$445=TYPE2)*(TYPE2&lt;&gt;"")+('Dvd Calendar'!$X$445=TYPE3)*(TYPE3&lt;&gt;"")+('Dvd Calendar'!$X$445=TYPE4)*(TYPE4&lt;&gt;"")+('Dvd Calendar'!$X$445=SPECIAL_LBL)*(INC_SPECIALS="Y"))=0,"",'Dvd Calendar'!$X$443)))</f>
        <v/>
      </c>
      <c r="W51" s="161">
        <f>IF(EY51="","",IF(ISNUMBER('Dvd Calendar'!$Y$443)=FALSE,"",IF((('Dvd Calendar'!$Y$445=TYPE1)*(TYPE1&lt;&gt;"")+('Dvd Calendar'!$Y$445=TYPE2)*(TYPE2&lt;&gt;"")+('Dvd Calendar'!$Y$445=TYPE3)*(TYPE3&lt;&gt;"")+('Dvd Calendar'!$Y$445=TYPE4)*(TYPE4&lt;&gt;"")+('Dvd Calendar'!$Y$445=SPECIAL_LBL)*(INC_SPECIALS="Y"))=0,"",'Dvd Calendar'!$Y$443)))</f>
        <v/>
      </c>
      <c r="X51" s="161">
        <f>IF(EZ51="","",IF(ISNUMBER('Dvd Calendar'!$Z$443)=FALSE,"",IF((('Dvd Calendar'!$Z$445=TYPE1)*(TYPE1&lt;&gt;"")+('Dvd Calendar'!$Z$445=TYPE2)*(TYPE2&lt;&gt;"")+('Dvd Calendar'!$Z$445=TYPE3)*(TYPE3&lt;&gt;"")+('Dvd Calendar'!$Z$445=TYPE4)*(TYPE4&lt;&gt;"")+('Dvd Calendar'!$Z$445=SPECIAL_LBL)*(INC_SPECIALS="Y"))=0,"",'Dvd Calendar'!$Z$443)))</f>
        <v/>
      </c>
      <c r="Y51" s="161">
        <f>IF(FA51="","",IF(ISNUMBER('Dvd Calendar'!$AA$443)=FALSE,"",IF((('Dvd Calendar'!$AA$445=TYPE1)*(TYPE1&lt;&gt;"")+('Dvd Calendar'!$AA$445=TYPE2)*(TYPE2&lt;&gt;"")+('Dvd Calendar'!$AA$445=TYPE3)*(TYPE3&lt;&gt;"")+('Dvd Calendar'!$AA$445=TYPE4)*(TYPE4&lt;&gt;"")+('Dvd Calendar'!$AA$445=SPECIAL_LBL)*(INC_SPECIALS="Y"))=0,"",'Dvd Calendar'!$AA$443)))</f>
        <v/>
      </c>
      <c r="Z51" s="161">
        <f>IF(FB51="","",IF(ISNUMBER('Dvd Calendar'!$AB$443)=FALSE,"",IF((('Dvd Calendar'!$AB$445=TYPE1)*(TYPE1&lt;&gt;"")+('Dvd Calendar'!$AB$445=TYPE2)*(TYPE2&lt;&gt;"")+('Dvd Calendar'!$AB$445=TYPE3)*(TYPE3&lt;&gt;"")+('Dvd Calendar'!$AB$445=TYPE4)*(TYPE4&lt;&gt;"")+('Dvd Calendar'!$AB$445=SPECIAL_LBL)*(INC_SPECIALS="Y"))=0,"",'Dvd Calendar'!$AB$443)))</f>
        <v/>
      </c>
      <c r="AA51" s="161">
        <f>IF(FC51="","",IF(ISNUMBER('Dvd Calendar'!$AC$443)=FALSE,"",IF((('Dvd Calendar'!$AC$445=TYPE1)*(TYPE1&lt;&gt;"")+('Dvd Calendar'!$AC$445=TYPE2)*(TYPE2&lt;&gt;"")+('Dvd Calendar'!$AC$445=TYPE3)*(TYPE3&lt;&gt;"")+('Dvd Calendar'!$AC$445=TYPE4)*(TYPE4&lt;&gt;"")+('Dvd Calendar'!$AC$445=SPECIAL_LBL)*(INC_SPECIALS="Y"))=0,"",'Dvd Calendar'!$AC$443)))</f>
        <v/>
      </c>
      <c r="AB51" s="161">
        <f>IF(FD51="","",IF(ISNUMBER('Dvd Calendar'!$AD$443)=FALSE,"",IF((('Dvd Calendar'!$AD$445=TYPE1)*(TYPE1&lt;&gt;"")+('Dvd Calendar'!$AD$445=TYPE2)*(TYPE2&lt;&gt;"")+('Dvd Calendar'!$AD$445=TYPE3)*(TYPE3&lt;&gt;"")+('Dvd Calendar'!$AD$445=TYPE4)*(TYPE4&lt;&gt;"")+('Dvd Calendar'!$AD$445=SPECIAL_LBL)*(INC_SPECIALS="Y"))=0,"",'Dvd Calendar'!$AD$443)))</f>
        <v/>
      </c>
      <c r="AC51" s="161">
        <f>IF(FE51="","",IF(ISNUMBER('Dvd Calendar'!$AE$443)=FALSE,"",IF((('Dvd Calendar'!$AE$445=TYPE1)*(TYPE1&lt;&gt;"")+('Dvd Calendar'!$AE$445=TYPE2)*(TYPE2&lt;&gt;"")+('Dvd Calendar'!$AE$445=TYPE3)*(TYPE3&lt;&gt;"")+('Dvd Calendar'!$AE$445=TYPE4)*(TYPE4&lt;&gt;"")+('Dvd Calendar'!$AE$445=SPECIAL_LBL)*(INC_SPECIALS="Y"))=0,"",'Dvd Calendar'!$AE$443)))</f>
        <v/>
      </c>
      <c r="AD51" s="161">
        <f>IF(FF51="","",IF(ISNUMBER('Dvd Calendar'!$AF$443)=FALSE,"",IF((('Dvd Calendar'!$AF$445=TYPE1)*(TYPE1&lt;&gt;"")+('Dvd Calendar'!$AF$445=TYPE2)*(TYPE2&lt;&gt;"")+('Dvd Calendar'!$AF$445=TYPE3)*(TYPE3&lt;&gt;"")+('Dvd Calendar'!$AF$445=TYPE4)*(TYPE4&lt;&gt;"")+('Dvd Calendar'!$AF$445=SPECIAL_LBL)*(INC_SPECIALS="Y"))=0,"",'Dvd Calendar'!$AF$443)))</f>
        <v/>
      </c>
      <c r="AE51" s="161">
        <f>IF(FG51="","",IF(ISNUMBER('Dvd Calendar'!$AG$443)=FALSE,"",IF((('Dvd Calendar'!$AG$445=TYPE1)*(TYPE1&lt;&gt;"")+('Dvd Calendar'!$AG$445=TYPE2)*(TYPE2&lt;&gt;"")+('Dvd Calendar'!$AG$445=TYPE3)*(TYPE3&lt;&gt;"")+('Dvd Calendar'!$AG$445=TYPE4)*(TYPE4&lt;&gt;"")+('Dvd Calendar'!$AG$445=SPECIAL_LBL)*(INC_SPECIALS="Y"))=0,"",'Dvd Calendar'!$AG$443)))</f>
        <v/>
      </c>
      <c r="AF51" s="161">
        <f>IF(FH51="","",IF(ISNUMBER('Dvd Calendar'!$AH$443)=FALSE,"",IF((('Dvd Calendar'!$AH$445=TYPE1)*(TYPE1&lt;&gt;"")+('Dvd Calendar'!$AH$445=TYPE2)*(TYPE2&lt;&gt;"")+('Dvd Calendar'!$AH$445=TYPE3)*(TYPE3&lt;&gt;"")+('Dvd Calendar'!$AH$445=TYPE4)*(TYPE4&lt;&gt;"")+('Dvd Calendar'!$AH$445=SPECIAL_LBL)*(INC_SPECIALS="Y"))=0,"",'Dvd Calendar'!$AH$443)))</f>
        <v/>
      </c>
      <c r="AG51" s="161">
        <f>IF(FI51="","",IF(ISNUMBER('Dvd Calendar'!$AI$443)=FALSE,"",IF((('Dvd Calendar'!$AI$445=TYPE1)*(TYPE1&lt;&gt;"")+('Dvd Calendar'!$AI$445=TYPE2)*(TYPE2&lt;&gt;"")+('Dvd Calendar'!$AI$445=TYPE3)*(TYPE3&lt;&gt;"")+('Dvd Calendar'!$AI$445=TYPE4)*(TYPE4&lt;&gt;"")+('Dvd Calendar'!$AI$445=SPECIAL_LBL)*(INC_SPECIALS="Y"))=0,"",'Dvd Calendar'!$AI$443)))</f>
        <v/>
      </c>
      <c r="AH51" s="161">
        <f>IF(FJ51="","",IF(ISNUMBER('Dvd Calendar'!$AJ$443)=FALSE,"",IF((('Dvd Calendar'!$AJ$445=TYPE1)*(TYPE1&lt;&gt;"")+('Dvd Calendar'!$AJ$445=TYPE2)*(TYPE2&lt;&gt;"")+('Dvd Calendar'!$AJ$445=TYPE3)*(TYPE3&lt;&gt;"")+('Dvd Calendar'!$AJ$445=TYPE4)*(TYPE4&lt;&gt;"")+('Dvd Calendar'!$AJ$445=SPECIAL_LBL)*(INC_SPECIALS="Y"))=0,"",'Dvd Calendar'!$AJ$443)))</f>
        <v/>
      </c>
      <c r="AI51" s="161">
        <f>IF(FK51="","",IF(ISNUMBER('Dvd Calendar'!$AK$443)=FALSE,"",IF((('Dvd Calendar'!$AK$445=TYPE1)*(TYPE1&lt;&gt;"")+('Dvd Calendar'!$AK$445=TYPE2)*(TYPE2&lt;&gt;"")+('Dvd Calendar'!$AK$445=TYPE3)*(TYPE3&lt;&gt;"")+('Dvd Calendar'!$AK$445=TYPE4)*(TYPE4&lt;&gt;"")+('Dvd Calendar'!$AK$445=SPECIAL_LBL)*(INC_SPECIALS="Y"))=0,"",'Dvd Calendar'!$AK$443)))</f>
        <v/>
      </c>
      <c r="AJ51" s="161">
        <f>IF(FL51="","",IF(ISNUMBER('Dvd Calendar'!$AL$443)=FALSE,"",IF((('Dvd Calendar'!$AL$445=TYPE1)*(TYPE1&lt;&gt;"")+('Dvd Calendar'!$AL$445=TYPE2)*(TYPE2&lt;&gt;"")+('Dvd Calendar'!$AL$445=TYPE3)*(TYPE3&lt;&gt;"")+('Dvd Calendar'!$AL$445=TYPE4)*(TYPE4&lt;&gt;"")+('Dvd Calendar'!$AL$445=SPECIAL_LBL)*(INC_SPECIALS="Y"))=0,"",'Dvd Calendar'!$AL$443)))</f>
        <v/>
      </c>
      <c r="AK51" s="161">
        <f>IF(FM51="","",IF(ISNUMBER('Dvd Calendar'!$AM$443)=FALSE,"",IF((('Dvd Calendar'!$AM$445=TYPE1)*(TYPE1&lt;&gt;"")+('Dvd Calendar'!$AM$445=TYPE2)*(TYPE2&lt;&gt;"")+('Dvd Calendar'!$AM$445=TYPE3)*(TYPE3&lt;&gt;"")+('Dvd Calendar'!$AM$445=TYPE4)*(TYPE4&lt;&gt;"")+('Dvd Calendar'!$AM$445=SPECIAL_LBL)*(INC_SPECIALS="Y"))=0,"",'Dvd Calendar'!$AM$443)))</f>
        <v/>
      </c>
      <c r="AL51" s="161">
        <f>IF(FN51="","",IF(ISNUMBER('Dvd Calendar'!$AN$443)=FALSE,"",IF((('Dvd Calendar'!$AN$445=TYPE1)*(TYPE1&lt;&gt;"")+('Dvd Calendar'!$AN$445=TYPE2)*(TYPE2&lt;&gt;"")+('Dvd Calendar'!$AN$445=TYPE3)*(TYPE3&lt;&gt;"")+('Dvd Calendar'!$AN$445=TYPE4)*(TYPE4&lt;&gt;"")+('Dvd Calendar'!$AN$445=SPECIAL_LBL)*(INC_SPECIALS="Y"))=0,"",'Dvd Calendar'!$AN$443)))</f>
        <v/>
      </c>
      <c r="AM51" s="161">
        <f>IF(FO51="","",IF(ISNUMBER('Dvd Calendar'!$AO$443)=FALSE,"",IF((('Dvd Calendar'!$AO$445=TYPE1)*(TYPE1&lt;&gt;"")+('Dvd Calendar'!$AO$445=TYPE2)*(TYPE2&lt;&gt;"")+('Dvd Calendar'!$AO$445=TYPE3)*(TYPE3&lt;&gt;"")+('Dvd Calendar'!$AO$445=TYPE4)*(TYPE4&lt;&gt;"")+('Dvd Calendar'!$AO$445=SPECIAL_LBL)*(INC_SPECIALS="Y"))=0,"",'Dvd Calendar'!$AO$443)))</f>
        <v/>
      </c>
      <c r="AN51" s="161">
        <f>IF(FP51="","",IF(ISNUMBER('Dvd Calendar'!$AP$443)=FALSE,"",IF((('Dvd Calendar'!$AP$445=TYPE1)*(TYPE1&lt;&gt;"")+('Dvd Calendar'!$AP$445=TYPE2)*(TYPE2&lt;&gt;"")+('Dvd Calendar'!$AP$445=TYPE3)*(TYPE3&lt;&gt;"")+('Dvd Calendar'!$AP$445=TYPE4)*(TYPE4&lt;&gt;"")+('Dvd Calendar'!$AP$445=SPECIAL_LBL)*(INC_SPECIALS="Y"))=0,"",'Dvd Calendar'!$AP$443)))</f>
        <v/>
      </c>
      <c r="AO51" s="161">
        <f>IF(FQ51="","",IF(ISNUMBER('Dvd Calendar'!$AQ$443)=FALSE,"",IF((('Dvd Calendar'!$AQ$445=TYPE1)*(TYPE1&lt;&gt;"")+('Dvd Calendar'!$AQ$445=TYPE2)*(TYPE2&lt;&gt;"")+('Dvd Calendar'!$AQ$445=TYPE3)*(TYPE3&lt;&gt;"")+('Dvd Calendar'!$AQ$445=TYPE4)*(TYPE4&lt;&gt;"")+('Dvd Calendar'!$AQ$445=SPECIAL_LBL)*(INC_SPECIALS="Y"))=0,"",'Dvd Calendar'!$AQ$443)))</f>
        <v/>
      </c>
      <c r="AP51" s="161">
        <f>IF(FR51="","",IF(ISNUMBER('Dvd Calendar'!$AR$443)=FALSE,"",IF((('Dvd Calendar'!$AR$445=TYPE1)*(TYPE1&lt;&gt;"")+('Dvd Calendar'!$AR$445=TYPE2)*(TYPE2&lt;&gt;"")+('Dvd Calendar'!$AR$445=TYPE3)*(TYPE3&lt;&gt;"")+('Dvd Calendar'!$AR$445=TYPE4)*(TYPE4&lt;&gt;"")+('Dvd Calendar'!$AR$445=SPECIAL_LBL)*(INC_SPECIALS="Y"))=0,"",'Dvd Calendar'!$AR$443)))</f>
        <v/>
      </c>
      <c r="AQ51" s="161">
        <f>IF(FS51="","",IF(ISNUMBER('Dvd Calendar'!$E$448)=FALSE,"",'Dvd Calendar'!$E$448))</f>
        <v/>
      </c>
      <c r="AR51" s="161">
        <f>IF(FT51="","",IF(ISNUMBER('Dvd Calendar'!$F$448)=FALSE,"",'Dvd Calendar'!$F$448))</f>
        <v/>
      </c>
      <c r="AS51" s="161">
        <f>IF(FU51="","",IF(ISNUMBER('Dvd Calendar'!$G$448)=FALSE,"",'Dvd Calendar'!$G$448))</f>
        <v/>
      </c>
      <c r="AT51" s="161">
        <f>IF(FV51="","",IF(ISNUMBER('Dvd Calendar'!$H$448)=FALSE,"",'Dvd Calendar'!$H$448))</f>
        <v/>
      </c>
      <c r="AU51" s="161">
        <f>IF(FW51="","",IF(ISNUMBER('Dvd Calendar'!$I$448)=FALSE,"",'Dvd Calendar'!$I$448))</f>
        <v/>
      </c>
      <c r="AV51" s="161">
        <f>IF(FX51="","",IF(ISNUMBER('Dvd Calendar'!$J$448)=FALSE,"",'Dvd Calendar'!$J$448))</f>
        <v/>
      </c>
      <c r="AW51" s="161">
        <f>IF(FY51="","",IF(ISNUMBER('Dvd Calendar'!$K$448)=FALSE,"",'Dvd Calendar'!$K$448))</f>
        <v/>
      </c>
      <c r="AX51" s="161">
        <f>IF(FZ51="","",IF(ISNUMBER('Dvd Calendar'!$L$448)=FALSE,"",'Dvd Calendar'!$L$448))</f>
        <v/>
      </c>
      <c r="AY51" s="161">
        <f>IF(GA51="","",IF(ISNUMBER('Dvd Calendar'!$M$448)=FALSE,"",'Dvd Calendar'!$M$448))</f>
        <v/>
      </c>
      <c r="AZ51" s="161">
        <f>IF(GB51="","",IF(ISNUMBER('Dvd Calendar'!$N$448)=FALSE,"",'Dvd Calendar'!$N$448))</f>
        <v/>
      </c>
      <c r="BA51" s="161">
        <f>IF(GC51="","",IF(ISNUMBER('Dvd Calendar'!$O$448)=FALSE,"",'Dvd Calendar'!$O$448))</f>
        <v/>
      </c>
      <c r="BB51" s="161">
        <f>IF(GD51="","",IF(ISNUMBER('Dvd Calendar'!$P$448)=FALSE,"",'Dvd Calendar'!$P$448))</f>
        <v/>
      </c>
      <c r="BC51" s="161">
        <f>IF(GE51="","",IF(ISNUMBER('Dvd Calendar'!$Q$448)=FALSE,"",'Dvd Calendar'!$Q$448))</f>
        <v/>
      </c>
      <c r="BD51" s="161">
        <f>IF(GF51="","",IF(ISNUMBER('Dvd Calendar'!$R$448)=FALSE,"",'Dvd Calendar'!$R$448))</f>
        <v/>
      </c>
      <c r="BE51" s="161">
        <f>IF(GG51="","",IF(ISNUMBER('Dvd Calendar'!$S$448)=FALSE,"",'Dvd Calendar'!$S$448))</f>
        <v/>
      </c>
      <c r="BF51" s="161">
        <f>IF(GH51="","",IF(ISNUMBER('Dvd Calendar'!$T$448)=FALSE,"",'Dvd Calendar'!$T$448))</f>
        <v/>
      </c>
      <c r="BG51" s="161">
        <f>IF(GI51="","",IF(ISNUMBER('Dvd Calendar'!$U$448)=FALSE,"",'Dvd Calendar'!$U$448))</f>
        <v/>
      </c>
      <c r="BH51" s="161">
        <f>IF(GJ51="","",IF(ISNUMBER('Dvd Calendar'!$V$448)=FALSE,"",'Dvd Calendar'!$V$448))</f>
        <v/>
      </c>
      <c r="BI51" s="161">
        <f>IF(GK51="","",IF(ISNUMBER('Dvd Calendar'!$W$448)=FALSE,"",'Dvd Calendar'!$W$448))</f>
        <v/>
      </c>
      <c r="BJ51" s="161">
        <f>IF(GL51="","",IF(ISNUMBER('Dvd Calendar'!$X$448)=FALSE,"",'Dvd Calendar'!$X$448))</f>
        <v/>
      </c>
      <c r="BK51" s="161">
        <f>IF(GM51="","",IF(ISNUMBER('Dvd Calendar'!$Y$448)=FALSE,"",'Dvd Calendar'!$Y$448))</f>
        <v/>
      </c>
      <c r="BL51" s="161">
        <f>IF(GN51="","",IF(ISNUMBER('Dvd Calendar'!$Z$448)=FALSE,"",'Dvd Calendar'!$Z$448))</f>
        <v/>
      </c>
      <c r="BM51" s="161">
        <f>IF(GO51="","",IF(ISNUMBER('Dvd Calendar'!$AA$448)=FALSE,"",'Dvd Calendar'!$AA$448))</f>
        <v/>
      </c>
      <c r="BN51" s="161">
        <f>IF(GP51="","",IF(ISNUMBER('Dvd Calendar'!$AB$448)=FALSE,"",'Dvd Calendar'!$AB$448))</f>
        <v/>
      </c>
      <c r="BO51" s="161">
        <f>IF(GQ51="","",IF(ISNUMBER('Dvd Calendar'!$AC$448)=FALSE,"",'Dvd Calendar'!$AC$448))</f>
        <v/>
      </c>
      <c r="BQ51" s="161">
        <f>IF(C51="","",IFERROR(C51*HSI!$B$46*HSI!$G$46/HSI!$B$3,""))</f>
        <v/>
      </c>
      <c r="BR51" s="161">
        <f>IF(D51="","",IFERROR(D51*HSI!$B$46*HSI!$G$46/HSI!$B$3,""))</f>
        <v/>
      </c>
      <c r="BS51" s="161">
        <f>IF(E51="","",IFERROR(E51*HSI!$B$46*HSI!$G$46/HSI!$B$3,""))</f>
        <v/>
      </c>
      <c r="BT51" s="161">
        <f>IF(F51="","",IFERROR(F51*HSI!$B$46*HSI!$G$46/HSI!$B$3,""))</f>
        <v/>
      </c>
      <c r="BU51" s="161">
        <f>IF(G51="","",IFERROR(G51*HSI!$B$46*HSI!$G$46/HSI!$B$3,""))</f>
        <v/>
      </c>
      <c r="BV51" s="161">
        <f>IF(H51="","",IFERROR(H51*HSI!$B$46*HSI!$G$46/HSI!$B$3,""))</f>
        <v/>
      </c>
      <c r="BW51" s="161">
        <f>IF(I51="","",IFERROR(I51*HSI!$B$46*HSI!$G$46/HSI!$B$3,""))</f>
        <v/>
      </c>
      <c r="BX51" s="161">
        <f>IF(J51="","",IFERROR(J51*HSI!$B$46*HSI!$G$46/HSI!$B$3,""))</f>
        <v/>
      </c>
      <c r="BY51" s="161">
        <f>IF(K51="","",IFERROR(K51*HSI!$B$46*HSI!$G$46/HSI!$B$3,""))</f>
        <v/>
      </c>
      <c r="BZ51" s="161">
        <f>IF(L51="","",IFERROR(L51*HSI!$B$46*HSI!$G$46/HSI!$B$3,""))</f>
        <v/>
      </c>
      <c r="CA51" s="161">
        <f>IF(M51="","",IFERROR(M51*HSI!$B$46*HSI!$G$46/HSI!$B$3,""))</f>
        <v/>
      </c>
      <c r="CB51" s="161">
        <f>IF(N51="","",IFERROR(N51*HSI!$B$46*HSI!$G$46/HSI!$B$3,""))</f>
        <v/>
      </c>
      <c r="CC51" s="161">
        <f>IF(O51="","",IFERROR(O51*HSI!$B$46*HSI!$G$46/HSI!$B$3,""))</f>
        <v/>
      </c>
      <c r="CD51" s="161">
        <f>IF(P51="","",IFERROR(P51*HSI!$B$46*HSI!$G$46/HSI!$B$3,""))</f>
        <v/>
      </c>
      <c r="CE51" s="161">
        <f>IF(Q51="","",IFERROR(Q51*HSI!$B$46*HSI!$G$46/HSI!$B$3,""))</f>
        <v/>
      </c>
      <c r="CF51" s="161">
        <f>IF(R51="","",IFERROR(R51*HSI!$B$46*HSI!$G$46/HSI!$B$3,""))</f>
        <v/>
      </c>
      <c r="CG51" s="161">
        <f>IF(S51="","",IFERROR(S51*HSI!$B$46*HSI!$G$46/HSI!$B$3,""))</f>
        <v/>
      </c>
      <c r="CH51" s="161">
        <f>IF(T51="","",IFERROR(T51*HSI!$B$46*HSI!$G$46/HSI!$B$3,""))</f>
        <v/>
      </c>
      <c r="CI51" s="161">
        <f>IF(U51="","",IFERROR(U51*HSI!$B$46*HSI!$G$46/HSI!$B$3,""))</f>
        <v/>
      </c>
      <c r="CJ51" s="161">
        <f>IF(V51="","",IFERROR(V51*HSI!$B$46*HSI!$G$46/HSI!$B$3,""))</f>
        <v/>
      </c>
      <c r="CK51" s="161">
        <f>IF(W51="","",IFERROR(W51*HSI!$B$46*HSI!$G$46/HSI!$B$3,""))</f>
        <v/>
      </c>
      <c r="CL51" s="161">
        <f>IF(X51="","",IFERROR(X51*HSI!$B$46*HSI!$G$46/HSI!$B$3,""))</f>
        <v/>
      </c>
      <c r="CM51" s="161">
        <f>IF(Y51="","",IFERROR(Y51*HSI!$B$46*HSI!$G$46/HSI!$B$3,""))</f>
        <v/>
      </c>
      <c r="CN51" s="161">
        <f>IF(Z51="","",IFERROR(Z51*HSI!$B$46*HSI!$G$46/HSI!$B$3,""))</f>
        <v/>
      </c>
      <c r="CO51" s="161">
        <f>IF(AA51="","",IFERROR(AA51*HSI!$B$46*HSI!$G$46/HSI!$B$3,""))</f>
        <v/>
      </c>
      <c r="CP51" s="161">
        <f>IF(AB51="","",IFERROR(AB51*HSI!$B$46*HSI!$G$46/HSI!$B$3,""))</f>
        <v/>
      </c>
      <c r="CQ51" s="161">
        <f>IF(AC51="","",IFERROR(AC51*HSI!$B$46*HSI!$G$46/HSI!$B$3,""))</f>
        <v/>
      </c>
      <c r="CR51" s="161">
        <f>IF(AD51="","",IFERROR(AD51*HSI!$B$46*HSI!$G$46/HSI!$B$3,""))</f>
        <v/>
      </c>
      <c r="CS51" s="161">
        <f>IF(AE51="","",IFERROR(AE51*HSI!$B$46*HSI!$G$46/HSI!$B$3,""))</f>
        <v/>
      </c>
      <c r="CT51" s="161">
        <f>IF(AF51="","",IFERROR(AF51*HSI!$B$46*HSI!$G$46/HSI!$B$3,""))</f>
        <v/>
      </c>
      <c r="CU51" s="161">
        <f>IF(AG51="","",IFERROR(AG51*HSI!$B$46*HSI!$G$46/HSI!$B$3,""))</f>
        <v/>
      </c>
      <c r="CV51" s="161">
        <f>IF(AH51="","",IFERROR(AH51*HSI!$B$46*HSI!$G$46/HSI!$B$3,""))</f>
        <v/>
      </c>
      <c r="CW51" s="161">
        <f>IF(AI51="","",IFERROR(AI51*HSI!$B$46*HSI!$G$46/HSI!$B$3,""))</f>
        <v/>
      </c>
      <c r="CX51" s="161">
        <f>IF(AJ51="","",IFERROR(AJ51*HSI!$B$46*HSI!$G$46/HSI!$B$3,""))</f>
        <v/>
      </c>
      <c r="CY51" s="161">
        <f>IF(AK51="","",IFERROR(AK51*HSI!$B$46*HSI!$G$46/HSI!$B$3,""))</f>
        <v/>
      </c>
      <c r="CZ51" s="161">
        <f>IF(AL51="","",IFERROR(AL51*HSI!$B$46*HSI!$G$46/HSI!$B$3,""))</f>
        <v/>
      </c>
      <c r="DA51" s="161">
        <f>IF(AM51="","",IFERROR(AM51*HSI!$B$46*HSI!$G$46/HSI!$B$3,""))</f>
        <v/>
      </c>
      <c r="DB51" s="161">
        <f>IF(AN51="","",IFERROR(AN51*HSI!$B$46*HSI!$G$46/HSI!$B$3,""))</f>
        <v/>
      </c>
      <c r="DC51" s="161">
        <f>IF(AO51="","",IFERROR(AO51*HSI!$B$46*HSI!$G$46/HSI!$B$3,""))</f>
        <v/>
      </c>
      <c r="DD51" s="161">
        <f>IF(AP51="","",IFERROR(AP51*HSI!$B$46*HSI!$G$46/HSI!$B$3,""))</f>
        <v/>
      </c>
      <c r="DE51" s="161">
        <f>IF(AQ51="","",IFERROR(AQ51*HSI!$B$46*HSI!$G$46/HSI!$B$3,""))</f>
        <v/>
      </c>
      <c r="DF51" s="161">
        <f>IF(AR51="","",IFERROR(AR51*HSI!$B$46*HSI!$G$46/HSI!$B$3,""))</f>
        <v/>
      </c>
      <c r="DG51" s="161">
        <f>IF(AS51="","",IFERROR(AS51*HSI!$B$46*HSI!$G$46/HSI!$B$3,""))</f>
        <v/>
      </c>
      <c r="DH51" s="161">
        <f>IF(AT51="","",IFERROR(AT51*HSI!$B$46*HSI!$G$46/HSI!$B$3,""))</f>
        <v/>
      </c>
      <c r="DI51" s="161">
        <f>IF(AU51="","",IFERROR(AU51*HSI!$B$46*HSI!$G$46/HSI!$B$3,""))</f>
        <v/>
      </c>
      <c r="DJ51" s="161">
        <f>IF(AV51="","",IFERROR(AV51*HSI!$B$46*HSI!$G$46/HSI!$B$3,""))</f>
        <v/>
      </c>
      <c r="DK51" s="161">
        <f>IF(AW51="","",IFERROR(AW51*HSI!$B$46*HSI!$G$46/HSI!$B$3,""))</f>
        <v/>
      </c>
      <c r="DL51" s="161">
        <f>IF(AX51="","",IFERROR(AX51*HSI!$B$46*HSI!$G$46/HSI!$B$3,""))</f>
        <v/>
      </c>
      <c r="DM51" s="161">
        <f>IF(AY51="","",IFERROR(AY51*HSI!$B$46*HSI!$G$46/HSI!$B$3,""))</f>
        <v/>
      </c>
      <c r="DN51" s="161">
        <f>IF(AZ51="","",IFERROR(AZ51*HSI!$B$46*HSI!$G$46/HSI!$B$3,""))</f>
        <v/>
      </c>
      <c r="DO51" s="161">
        <f>IF(BA51="","",IFERROR(BA51*HSI!$B$46*HSI!$G$46/HSI!$B$3,""))</f>
        <v/>
      </c>
      <c r="DP51" s="161">
        <f>IF(BB51="","",IFERROR(BB51*HSI!$B$46*HSI!$G$46/HSI!$B$3,""))</f>
        <v/>
      </c>
      <c r="DQ51" s="161">
        <f>IF(BC51="","",IFERROR(BC51*HSI!$B$46*HSI!$G$46/HSI!$B$3,""))</f>
        <v/>
      </c>
      <c r="DR51" s="161">
        <f>IF(BD51="","",IFERROR(BD51*HSI!$B$46*HSI!$G$46/HSI!$B$3,""))</f>
        <v/>
      </c>
      <c r="DS51" s="161">
        <f>IF(BE51="","",IFERROR(BE51*HSI!$B$46*HSI!$G$46/HSI!$B$3,""))</f>
        <v/>
      </c>
      <c r="DT51" s="161">
        <f>IF(BF51="","",IFERROR(BF51*HSI!$B$46*HSI!$G$46/HSI!$B$3,""))</f>
        <v/>
      </c>
      <c r="DU51" s="161">
        <f>IF(BG51="","",IFERROR(BG51*HSI!$B$46*HSI!$G$46/HSI!$B$3,""))</f>
        <v/>
      </c>
      <c r="DV51" s="161">
        <f>IF(BH51="","",IFERROR(BH51*HSI!$B$46*HSI!$G$46/HSI!$B$3,""))</f>
        <v/>
      </c>
      <c r="DW51" s="161">
        <f>IF(BI51="","",IFERROR(BI51*HSI!$B$46*HSI!$G$46/HSI!$B$3,""))</f>
        <v/>
      </c>
      <c r="DX51" s="161">
        <f>IF(BJ51="","",IFERROR(BJ51*HSI!$B$46*HSI!$G$46/HSI!$B$3,""))</f>
        <v/>
      </c>
      <c r="DY51" s="161">
        <f>IF(BK51="","",IFERROR(BK51*HSI!$B$46*HSI!$G$46/HSI!$B$3,""))</f>
        <v/>
      </c>
      <c r="DZ51" s="161">
        <f>IF(BL51="","",IFERROR(BL51*HSI!$B$46*HSI!$G$46/HSI!$B$3,""))</f>
        <v/>
      </c>
      <c r="EA51" s="161">
        <f>IF(BM51="","",IFERROR(BM51*HSI!$B$46*HSI!$G$46/HSI!$B$3,""))</f>
        <v/>
      </c>
      <c r="EB51" s="161">
        <f>IF(BN51="","",IFERROR(BN51*HSI!$B$46*HSI!$G$46/HSI!$B$3,""))</f>
        <v/>
      </c>
      <c r="EC51" s="161">
        <f>IF(BO51="","",IFERROR(BO51*HSI!$B$46*HSI!$G$46/HSI!$B$3,""))</f>
        <v/>
      </c>
      <c r="EE51" s="121">
        <f>IF(N('Dvd Calendar'!$E$440)=0,"",IF(('Dvd Calendar'!$E$440&gt;=GRID_FROM)*('Dvd Calendar'!$E$440&lt;=GRID_TO)*((('Dvd Calendar'!$E$440&lt;=VAL_DATE)+(COUNTIF('Dvd Calendar'!$E$447:$AR$447,'Dvd Calendar'!$E$440)=0))&gt;0)=0,"",'Dvd Calendar'!$E$440*1000000000+ISNUMBER('Dvd Calendar'!$E$443)*100000000+('Dvd Calendar'!$E$445=SPECIAL_LBL)*10000000+(N('Dvd Calendar'!$E$439)&gt;0)*(N('Dvd Calendar'!$E$439)&lt;=VAL_SERIAL)*1000000+40*1000+1))</f>
        <v/>
      </c>
      <c r="EF51" s="121">
        <f>IF(N('Dvd Calendar'!$F$440)=0,"",IF(('Dvd Calendar'!$F$440&gt;=GRID_FROM)*('Dvd Calendar'!$F$440&lt;=GRID_TO)*((('Dvd Calendar'!$F$440&lt;=VAL_DATE)+(COUNTIF('Dvd Calendar'!$E$447:$AR$447,'Dvd Calendar'!$F$440)=0))&gt;0)=0,"",'Dvd Calendar'!$F$440*1000000000+ISNUMBER('Dvd Calendar'!$F$443)*100000000+('Dvd Calendar'!$F$445=SPECIAL_LBL)*10000000+(N('Dvd Calendar'!$F$439)&gt;0)*(N('Dvd Calendar'!$F$439)&lt;=VAL_SERIAL)*1000000+40*1000+2))</f>
        <v/>
      </c>
      <c r="EG51" s="121">
        <f>IF(N('Dvd Calendar'!$G$440)=0,"",IF(('Dvd Calendar'!$G$440&gt;=GRID_FROM)*('Dvd Calendar'!$G$440&lt;=GRID_TO)*((('Dvd Calendar'!$G$440&lt;=VAL_DATE)+(COUNTIF('Dvd Calendar'!$E$447:$AR$447,'Dvd Calendar'!$G$440)=0))&gt;0)=0,"",'Dvd Calendar'!$G$440*1000000000+ISNUMBER('Dvd Calendar'!$G$443)*100000000+('Dvd Calendar'!$G$445=SPECIAL_LBL)*10000000+(N('Dvd Calendar'!$G$439)&gt;0)*(N('Dvd Calendar'!$G$439)&lt;=VAL_SERIAL)*1000000+40*1000+3))</f>
        <v/>
      </c>
      <c r="EH51" s="121">
        <f>IF(N('Dvd Calendar'!$H$440)=0,"",IF(('Dvd Calendar'!$H$440&gt;=GRID_FROM)*('Dvd Calendar'!$H$440&lt;=GRID_TO)*((('Dvd Calendar'!$H$440&lt;=VAL_DATE)+(COUNTIF('Dvd Calendar'!$E$447:$AR$447,'Dvd Calendar'!$H$440)=0))&gt;0)=0,"",'Dvd Calendar'!$H$440*1000000000+ISNUMBER('Dvd Calendar'!$H$443)*100000000+('Dvd Calendar'!$H$445=SPECIAL_LBL)*10000000+(N('Dvd Calendar'!$H$439)&gt;0)*(N('Dvd Calendar'!$H$439)&lt;=VAL_SERIAL)*1000000+40*1000+4))</f>
        <v/>
      </c>
      <c r="EI51" s="121">
        <f>IF(N('Dvd Calendar'!$I$440)=0,"",IF(('Dvd Calendar'!$I$440&gt;=GRID_FROM)*('Dvd Calendar'!$I$440&lt;=GRID_TO)*((('Dvd Calendar'!$I$440&lt;=VAL_DATE)+(COUNTIF('Dvd Calendar'!$E$447:$AR$447,'Dvd Calendar'!$I$440)=0))&gt;0)=0,"",'Dvd Calendar'!$I$440*1000000000+ISNUMBER('Dvd Calendar'!$I$443)*100000000+('Dvd Calendar'!$I$445=SPECIAL_LBL)*10000000+(N('Dvd Calendar'!$I$439)&gt;0)*(N('Dvd Calendar'!$I$439)&lt;=VAL_SERIAL)*1000000+40*1000+5))</f>
        <v/>
      </c>
      <c r="EJ51" s="121">
        <f>IF(N('Dvd Calendar'!$J$440)=0,"",IF(('Dvd Calendar'!$J$440&gt;=GRID_FROM)*('Dvd Calendar'!$J$440&lt;=GRID_TO)*((('Dvd Calendar'!$J$440&lt;=VAL_DATE)+(COUNTIF('Dvd Calendar'!$E$447:$AR$447,'Dvd Calendar'!$J$440)=0))&gt;0)=0,"",'Dvd Calendar'!$J$440*1000000000+ISNUMBER('Dvd Calendar'!$J$443)*100000000+('Dvd Calendar'!$J$445=SPECIAL_LBL)*10000000+(N('Dvd Calendar'!$J$439)&gt;0)*(N('Dvd Calendar'!$J$439)&lt;=VAL_SERIAL)*1000000+40*1000+6))</f>
        <v/>
      </c>
      <c r="EK51" s="121">
        <f>IF(N('Dvd Calendar'!$K$440)=0,"",IF(('Dvd Calendar'!$K$440&gt;=GRID_FROM)*('Dvd Calendar'!$K$440&lt;=GRID_TO)*((('Dvd Calendar'!$K$440&lt;=VAL_DATE)+(COUNTIF('Dvd Calendar'!$E$447:$AR$447,'Dvd Calendar'!$K$440)=0))&gt;0)=0,"",'Dvd Calendar'!$K$440*1000000000+ISNUMBER('Dvd Calendar'!$K$443)*100000000+('Dvd Calendar'!$K$445=SPECIAL_LBL)*10000000+(N('Dvd Calendar'!$K$439)&gt;0)*(N('Dvd Calendar'!$K$439)&lt;=VAL_SERIAL)*1000000+40*1000+7))</f>
        <v/>
      </c>
      <c r="EL51" s="121">
        <f>IF(N('Dvd Calendar'!$L$440)=0,"",IF(('Dvd Calendar'!$L$440&gt;=GRID_FROM)*('Dvd Calendar'!$L$440&lt;=GRID_TO)*((('Dvd Calendar'!$L$440&lt;=VAL_DATE)+(COUNTIF('Dvd Calendar'!$E$447:$AR$447,'Dvd Calendar'!$L$440)=0))&gt;0)=0,"",'Dvd Calendar'!$L$440*1000000000+ISNUMBER('Dvd Calendar'!$L$443)*100000000+('Dvd Calendar'!$L$445=SPECIAL_LBL)*10000000+(N('Dvd Calendar'!$L$439)&gt;0)*(N('Dvd Calendar'!$L$439)&lt;=VAL_SERIAL)*1000000+40*1000+8))</f>
        <v/>
      </c>
      <c r="EM51" s="121">
        <f>IF(N('Dvd Calendar'!$M$440)=0,"",IF(('Dvd Calendar'!$M$440&gt;=GRID_FROM)*('Dvd Calendar'!$M$440&lt;=GRID_TO)*((('Dvd Calendar'!$M$440&lt;=VAL_DATE)+(COUNTIF('Dvd Calendar'!$E$447:$AR$447,'Dvd Calendar'!$M$440)=0))&gt;0)=0,"",'Dvd Calendar'!$M$440*1000000000+ISNUMBER('Dvd Calendar'!$M$443)*100000000+('Dvd Calendar'!$M$445=SPECIAL_LBL)*10000000+(N('Dvd Calendar'!$M$439)&gt;0)*(N('Dvd Calendar'!$M$439)&lt;=VAL_SERIAL)*1000000+40*1000+9))</f>
        <v/>
      </c>
      <c r="EN51" s="121">
        <f>IF(N('Dvd Calendar'!$N$440)=0,"",IF(('Dvd Calendar'!$N$440&gt;=GRID_FROM)*('Dvd Calendar'!$N$440&lt;=GRID_TO)*((('Dvd Calendar'!$N$440&lt;=VAL_DATE)+(COUNTIF('Dvd Calendar'!$E$447:$AR$447,'Dvd Calendar'!$N$440)=0))&gt;0)=0,"",'Dvd Calendar'!$N$440*1000000000+ISNUMBER('Dvd Calendar'!$N$443)*100000000+('Dvd Calendar'!$N$445=SPECIAL_LBL)*10000000+(N('Dvd Calendar'!$N$439)&gt;0)*(N('Dvd Calendar'!$N$439)&lt;=VAL_SERIAL)*1000000+40*1000+10))</f>
        <v/>
      </c>
      <c r="EO51" s="121">
        <f>IF(N('Dvd Calendar'!$O$440)=0,"",IF(('Dvd Calendar'!$O$440&gt;=GRID_FROM)*('Dvd Calendar'!$O$440&lt;=GRID_TO)*((('Dvd Calendar'!$O$440&lt;=VAL_DATE)+(COUNTIF('Dvd Calendar'!$E$447:$AR$447,'Dvd Calendar'!$O$440)=0))&gt;0)=0,"",'Dvd Calendar'!$O$440*1000000000+ISNUMBER('Dvd Calendar'!$O$443)*100000000+('Dvd Calendar'!$O$445=SPECIAL_LBL)*10000000+(N('Dvd Calendar'!$O$439)&gt;0)*(N('Dvd Calendar'!$O$439)&lt;=VAL_SERIAL)*1000000+40*1000+11))</f>
        <v/>
      </c>
      <c r="EP51" s="121">
        <f>IF(N('Dvd Calendar'!$P$440)=0,"",IF(('Dvd Calendar'!$P$440&gt;=GRID_FROM)*('Dvd Calendar'!$P$440&lt;=GRID_TO)*((('Dvd Calendar'!$P$440&lt;=VAL_DATE)+(COUNTIF('Dvd Calendar'!$E$447:$AR$447,'Dvd Calendar'!$P$440)=0))&gt;0)=0,"",'Dvd Calendar'!$P$440*1000000000+ISNUMBER('Dvd Calendar'!$P$443)*100000000+('Dvd Calendar'!$P$445=SPECIAL_LBL)*10000000+(N('Dvd Calendar'!$P$439)&gt;0)*(N('Dvd Calendar'!$P$439)&lt;=VAL_SERIAL)*1000000+40*1000+12))</f>
        <v/>
      </c>
      <c r="EQ51" s="121">
        <f>IF(N('Dvd Calendar'!$Q$440)=0,"",IF(('Dvd Calendar'!$Q$440&gt;=GRID_FROM)*('Dvd Calendar'!$Q$440&lt;=GRID_TO)*((('Dvd Calendar'!$Q$440&lt;=VAL_DATE)+(COUNTIF('Dvd Calendar'!$E$447:$AR$447,'Dvd Calendar'!$Q$440)=0))&gt;0)=0,"",'Dvd Calendar'!$Q$440*1000000000+ISNUMBER('Dvd Calendar'!$Q$443)*100000000+('Dvd Calendar'!$Q$445=SPECIAL_LBL)*10000000+(N('Dvd Calendar'!$Q$439)&gt;0)*(N('Dvd Calendar'!$Q$439)&lt;=VAL_SERIAL)*1000000+40*1000+13))</f>
        <v/>
      </c>
      <c r="ER51" s="121">
        <f>IF(N('Dvd Calendar'!$R$440)=0,"",IF(('Dvd Calendar'!$R$440&gt;=GRID_FROM)*('Dvd Calendar'!$R$440&lt;=GRID_TO)*((('Dvd Calendar'!$R$440&lt;=VAL_DATE)+(COUNTIF('Dvd Calendar'!$E$447:$AR$447,'Dvd Calendar'!$R$440)=0))&gt;0)=0,"",'Dvd Calendar'!$R$440*1000000000+ISNUMBER('Dvd Calendar'!$R$443)*100000000+('Dvd Calendar'!$R$445=SPECIAL_LBL)*10000000+(N('Dvd Calendar'!$R$439)&gt;0)*(N('Dvd Calendar'!$R$439)&lt;=VAL_SERIAL)*1000000+40*1000+14))</f>
        <v/>
      </c>
      <c r="ES51" s="121">
        <f>IF(N('Dvd Calendar'!$S$440)=0,"",IF(('Dvd Calendar'!$S$440&gt;=GRID_FROM)*('Dvd Calendar'!$S$440&lt;=GRID_TO)*((('Dvd Calendar'!$S$440&lt;=VAL_DATE)+(COUNTIF('Dvd Calendar'!$E$447:$AR$447,'Dvd Calendar'!$S$440)=0))&gt;0)=0,"",'Dvd Calendar'!$S$440*1000000000+ISNUMBER('Dvd Calendar'!$S$443)*100000000+('Dvd Calendar'!$S$445=SPECIAL_LBL)*10000000+(N('Dvd Calendar'!$S$439)&gt;0)*(N('Dvd Calendar'!$S$439)&lt;=VAL_SERIAL)*1000000+40*1000+15))</f>
        <v/>
      </c>
      <c r="ET51" s="121">
        <f>IF(N('Dvd Calendar'!$T$440)=0,"",IF(('Dvd Calendar'!$T$440&gt;=GRID_FROM)*('Dvd Calendar'!$T$440&lt;=GRID_TO)*((('Dvd Calendar'!$T$440&lt;=VAL_DATE)+(COUNTIF('Dvd Calendar'!$E$447:$AR$447,'Dvd Calendar'!$T$440)=0))&gt;0)=0,"",'Dvd Calendar'!$T$440*1000000000+ISNUMBER('Dvd Calendar'!$T$443)*100000000+('Dvd Calendar'!$T$445=SPECIAL_LBL)*10000000+(N('Dvd Calendar'!$T$439)&gt;0)*(N('Dvd Calendar'!$T$439)&lt;=VAL_SERIAL)*1000000+40*1000+16))</f>
        <v/>
      </c>
      <c r="EU51" s="121">
        <f>IF(N('Dvd Calendar'!$U$440)=0,"",IF(('Dvd Calendar'!$U$440&gt;=GRID_FROM)*('Dvd Calendar'!$U$440&lt;=GRID_TO)*((('Dvd Calendar'!$U$440&lt;=VAL_DATE)+(COUNTIF('Dvd Calendar'!$E$447:$AR$447,'Dvd Calendar'!$U$440)=0))&gt;0)=0,"",'Dvd Calendar'!$U$440*1000000000+ISNUMBER('Dvd Calendar'!$U$443)*100000000+('Dvd Calendar'!$U$445=SPECIAL_LBL)*10000000+(N('Dvd Calendar'!$U$439)&gt;0)*(N('Dvd Calendar'!$U$439)&lt;=VAL_SERIAL)*1000000+40*1000+17))</f>
        <v/>
      </c>
      <c r="EV51" s="121">
        <f>IF(N('Dvd Calendar'!$V$440)=0,"",IF(('Dvd Calendar'!$V$440&gt;=GRID_FROM)*('Dvd Calendar'!$V$440&lt;=GRID_TO)*((('Dvd Calendar'!$V$440&lt;=VAL_DATE)+(COUNTIF('Dvd Calendar'!$E$447:$AR$447,'Dvd Calendar'!$V$440)=0))&gt;0)=0,"",'Dvd Calendar'!$V$440*1000000000+ISNUMBER('Dvd Calendar'!$V$443)*100000000+('Dvd Calendar'!$V$445=SPECIAL_LBL)*10000000+(N('Dvd Calendar'!$V$439)&gt;0)*(N('Dvd Calendar'!$V$439)&lt;=VAL_SERIAL)*1000000+40*1000+18))</f>
        <v/>
      </c>
      <c r="EW51" s="121">
        <f>IF(N('Dvd Calendar'!$W$440)=0,"",IF(('Dvd Calendar'!$W$440&gt;=GRID_FROM)*('Dvd Calendar'!$W$440&lt;=GRID_TO)*((('Dvd Calendar'!$W$440&lt;=VAL_DATE)+(COUNTIF('Dvd Calendar'!$E$447:$AR$447,'Dvd Calendar'!$W$440)=0))&gt;0)=0,"",'Dvd Calendar'!$W$440*1000000000+ISNUMBER('Dvd Calendar'!$W$443)*100000000+('Dvd Calendar'!$W$445=SPECIAL_LBL)*10000000+(N('Dvd Calendar'!$W$439)&gt;0)*(N('Dvd Calendar'!$W$439)&lt;=VAL_SERIAL)*1000000+40*1000+19))</f>
        <v/>
      </c>
      <c r="EX51" s="121">
        <f>IF(N('Dvd Calendar'!$X$440)=0,"",IF(('Dvd Calendar'!$X$440&gt;=GRID_FROM)*('Dvd Calendar'!$X$440&lt;=GRID_TO)*((('Dvd Calendar'!$X$440&lt;=VAL_DATE)+(COUNTIF('Dvd Calendar'!$E$447:$AR$447,'Dvd Calendar'!$X$440)=0))&gt;0)=0,"",'Dvd Calendar'!$X$440*1000000000+ISNUMBER('Dvd Calendar'!$X$443)*100000000+('Dvd Calendar'!$X$445=SPECIAL_LBL)*10000000+(N('Dvd Calendar'!$X$439)&gt;0)*(N('Dvd Calendar'!$X$439)&lt;=VAL_SERIAL)*1000000+40*1000+20))</f>
        <v/>
      </c>
      <c r="EY51" s="121">
        <f>IF(N('Dvd Calendar'!$Y$440)=0,"",IF(('Dvd Calendar'!$Y$440&gt;=GRID_FROM)*('Dvd Calendar'!$Y$440&lt;=GRID_TO)*((('Dvd Calendar'!$Y$440&lt;=VAL_DATE)+(COUNTIF('Dvd Calendar'!$E$447:$AR$447,'Dvd Calendar'!$Y$440)=0))&gt;0)=0,"",'Dvd Calendar'!$Y$440*1000000000+ISNUMBER('Dvd Calendar'!$Y$443)*100000000+('Dvd Calendar'!$Y$445=SPECIAL_LBL)*10000000+(N('Dvd Calendar'!$Y$439)&gt;0)*(N('Dvd Calendar'!$Y$439)&lt;=VAL_SERIAL)*1000000+40*1000+21))</f>
        <v/>
      </c>
      <c r="EZ51" s="121">
        <f>IF(N('Dvd Calendar'!$Z$440)=0,"",IF(('Dvd Calendar'!$Z$440&gt;=GRID_FROM)*('Dvd Calendar'!$Z$440&lt;=GRID_TO)*((('Dvd Calendar'!$Z$440&lt;=VAL_DATE)+(COUNTIF('Dvd Calendar'!$E$447:$AR$447,'Dvd Calendar'!$Z$440)=0))&gt;0)=0,"",'Dvd Calendar'!$Z$440*1000000000+ISNUMBER('Dvd Calendar'!$Z$443)*100000000+('Dvd Calendar'!$Z$445=SPECIAL_LBL)*10000000+(N('Dvd Calendar'!$Z$439)&gt;0)*(N('Dvd Calendar'!$Z$439)&lt;=VAL_SERIAL)*1000000+40*1000+22))</f>
        <v/>
      </c>
      <c r="FA51" s="121">
        <f>IF(N('Dvd Calendar'!$AA$440)=0,"",IF(('Dvd Calendar'!$AA$440&gt;=GRID_FROM)*('Dvd Calendar'!$AA$440&lt;=GRID_TO)*((('Dvd Calendar'!$AA$440&lt;=VAL_DATE)+(COUNTIF('Dvd Calendar'!$E$447:$AR$447,'Dvd Calendar'!$AA$440)=0))&gt;0)=0,"",'Dvd Calendar'!$AA$440*1000000000+ISNUMBER('Dvd Calendar'!$AA$443)*100000000+('Dvd Calendar'!$AA$445=SPECIAL_LBL)*10000000+(N('Dvd Calendar'!$AA$439)&gt;0)*(N('Dvd Calendar'!$AA$439)&lt;=VAL_SERIAL)*1000000+40*1000+23))</f>
        <v/>
      </c>
      <c r="FB51" s="121">
        <f>IF(N('Dvd Calendar'!$AB$440)=0,"",IF(('Dvd Calendar'!$AB$440&gt;=GRID_FROM)*('Dvd Calendar'!$AB$440&lt;=GRID_TO)*((('Dvd Calendar'!$AB$440&lt;=VAL_DATE)+(COUNTIF('Dvd Calendar'!$E$447:$AR$447,'Dvd Calendar'!$AB$440)=0))&gt;0)=0,"",'Dvd Calendar'!$AB$440*1000000000+ISNUMBER('Dvd Calendar'!$AB$443)*100000000+('Dvd Calendar'!$AB$445=SPECIAL_LBL)*10000000+(N('Dvd Calendar'!$AB$439)&gt;0)*(N('Dvd Calendar'!$AB$439)&lt;=VAL_SERIAL)*1000000+40*1000+24))</f>
        <v/>
      </c>
      <c r="FC51" s="121">
        <f>IF(N('Dvd Calendar'!$AC$440)=0,"",IF(('Dvd Calendar'!$AC$440&gt;=GRID_FROM)*('Dvd Calendar'!$AC$440&lt;=GRID_TO)*((('Dvd Calendar'!$AC$440&lt;=VAL_DATE)+(COUNTIF('Dvd Calendar'!$E$447:$AR$447,'Dvd Calendar'!$AC$440)=0))&gt;0)=0,"",'Dvd Calendar'!$AC$440*1000000000+ISNUMBER('Dvd Calendar'!$AC$443)*100000000+('Dvd Calendar'!$AC$445=SPECIAL_LBL)*10000000+(N('Dvd Calendar'!$AC$439)&gt;0)*(N('Dvd Calendar'!$AC$439)&lt;=VAL_SERIAL)*1000000+40*1000+25))</f>
        <v/>
      </c>
      <c r="FD51" s="121">
        <f>IF(N('Dvd Calendar'!$AD$440)=0,"",IF(('Dvd Calendar'!$AD$440&gt;=GRID_FROM)*('Dvd Calendar'!$AD$440&lt;=GRID_TO)*((('Dvd Calendar'!$AD$440&lt;=VAL_DATE)+(COUNTIF('Dvd Calendar'!$E$447:$AR$447,'Dvd Calendar'!$AD$440)=0))&gt;0)=0,"",'Dvd Calendar'!$AD$440*1000000000+ISNUMBER('Dvd Calendar'!$AD$443)*100000000+('Dvd Calendar'!$AD$445=SPECIAL_LBL)*10000000+(N('Dvd Calendar'!$AD$439)&gt;0)*(N('Dvd Calendar'!$AD$439)&lt;=VAL_SERIAL)*1000000+40*1000+26))</f>
        <v/>
      </c>
      <c r="FE51" s="121">
        <f>IF(N('Dvd Calendar'!$AE$440)=0,"",IF(('Dvd Calendar'!$AE$440&gt;=GRID_FROM)*('Dvd Calendar'!$AE$440&lt;=GRID_TO)*((('Dvd Calendar'!$AE$440&lt;=VAL_DATE)+(COUNTIF('Dvd Calendar'!$E$447:$AR$447,'Dvd Calendar'!$AE$440)=0))&gt;0)=0,"",'Dvd Calendar'!$AE$440*1000000000+ISNUMBER('Dvd Calendar'!$AE$443)*100000000+('Dvd Calendar'!$AE$445=SPECIAL_LBL)*10000000+(N('Dvd Calendar'!$AE$439)&gt;0)*(N('Dvd Calendar'!$AE$439)&lt;=VAL_SERIAL)*1000000+40*1000+27))</f>
        <v/>
      </c>
      <c r="FF51" s="121">
        <f>IF(N('Dvd Calendar'!$AF$440)=0,"",IF(('Dvd Calendar'!$AF$440&gt;=GRID_FROM)*('Dvd Calendar'!$AF$440&lt;=GRID_TO)*((('Dvd Calendar'!$AF$440&lt;=VAL_DATE)+(COUNTIF('Dvd Calendar'!$E$447:$AR$447,'Dvd Calendar'!$AF$440)=0))&gt;0)=0,"",'Dvd Calendar'!$AF$440*1000000000+ISNUMBER('Dvd Calendar'!$AF$443)*100000000+('Dvd Calendar'!$AF$445=SPECIAL_LBL)*10000000+(N('Dvd Calendar'!$AF$439)&gt;0)*(N('Dvd Calendar'!$AF$439)&lt;=VAL_SERIAL)*1000000+40*1000+28))</f>
        <v/>
      </c>
      <c r="FG51" s="121">
        <f>IF(N('Dvd Calendar'!$AG$440)=0,"",IF(('Dvd Calendar'!$AG$440&gt;=GRID_FROM)*('Dvd Calendar'!$AG$440&lt;=GRID_TO)*((('Dvd Calendar'!$AG$440&lt;=VAL_DATE)+(COUNTIF('Dvd Calendar'!$E$447:$AR$447,'Dvd Calendar'!$AG$440)=0))&gt;0)=0,"",'Dvd Calendar'!$AG$440*1000000000+ISNUMBER('Dvd Calendar'!$AG$443)*100000000+('Dvd Calendar'!$AG$445=SPECIAL_LBL)*10000000+(N('Dvd Calendar'!$AG$439)&gt;0)*(N('Dvd Calendar'!$AG$439)&lt;=VAL_SERIAL)*1000000+40*1000+29))</f>
        <v/>
      </c>
      <c r="FH51" s="121">
        <f>IF(N('Dvd Calendar'!$AH$440)=0,"",IF(('Dvd Calendar'!$AH$440&gt;=GRID_FROM)*('Dvd Calendar'!$AH$440&lt;=GRID_TO)*((('Dvd Calendar'!$AH$440&lt;=VAL_DATE)+(COUNTIF('Dvd Calendar'!$E$447:$AR$447,'Dvd Calendar'!$AH$440)=0))&gt;0)=0,"",'Dvd Calendar'!$AH$440*1000000000+ISNUMBER('Dvd Calendar'!$AH$443)*100000000+('Dvd Calendar'!$AH$445=SPECIAL_LBL)*10000000+(N('Dvd Calendar'!$AH$439)&gt;0)*(N('Dvd Calendar'!$AH$439)&lt;=VAL_SERIAL)*1000000+40*1000+30))</f>
        <v/>
      </c>
      <c r="FI51" s="121">
        <f>IF(N('Dvd Calendar'!$AI$440)=0,"",IF(('Dvd Calendar'!$AI$440&gt;=GRID_FROM)*('Dvd Calendar'!$AI$440&lt;=GRID_TO)*((('Dvd Calendar'!$AI$440&lt;=VAL_DATE)+(COUNTIF('Dvd Calendar'!$E$447:$AR$447,'Dvd Calendar'!$AI$440)=0))&gt;0)=0,"",'Dvd Calendar'!$AI$440*1000000000+ISNUMBER('Dvd Calendar'!$AI$443)*100000000+('Dvd Calendar'!$AI$445=SPECIAL_LBL)*10000000+(N('Dvd Calendar'!$AI$439)&gt;0)*(N('Dvd Calendar'!$AI$439)&lt;=VAL_SERIAL)*1000000+40*1000+31))</f>
        <v/>
      </c>
      <c r="FJ51" s="121">
        <f>IF(N('Dvd Calendar'!$AJ$440)=0,"",IF(('Dvd Calendar'!$AJ$440&gt;=GRID_FROM)*('Dvd Calendar'!$AJ$440&lt;=GRID_TO)*((('Dvd Calendar'!$AJ$440&lt;=VAL_DATE)+(COUNTIF('Dvd Calendar'!$E$447:$AR$447,'Dvd Calendar'!$AJ$440)=0))&gt;0)=0,"",'Dvd Calendar'!$AJ$440*1000000000+ISNUMBER('Dvd Calendar'!$AJ$443)*100000000+('Dvd Calendar'!$AJ$445=SPECIAL_LBL)*10000000+(N('Dvd Calendar'!$AJ$439)&gt;0)*(N('Dvd Calendar'!$AJ$439)&lt;=VAL_SERIAL)*1000000+40*1000+32))</f>
        <v/>
      </c>
      <c r="FK51" s="121">
        <f>IF(N('Dvd Calendar'!$AK$440)=0,"",IF(('Dvd Calendar'!$AK$440&gt;=GRID_FROM)*('Dvd Calendar'!$AK$440&lt;=GRID_TO)*((('Dvd Calendar'!$AK$440&lt;=VAL_DATE)+(COUNTIF('Dvd Calendar'!$E$447:$AR$447,'Dvd Calendar'!$AK$440)=0))&gt;0)=0,"",'Dvd Calendar'!$AK$440*1000000000+ISNUMBER('Dvd Calendar'!$AK$443)*100000000+('Dvd Calendar'!$AK$445=SPECIAL_LBL)*10000000+(N('Dvd Calendar'!$AK$439)&gt;0)*(N('Dvd Calendar'!$AK$439)&lt;=VAL_SERIAL)*1000000+40*1000+33))</f>
        <v/>
      </c>
      <c r="FL51" s="121">
        <f>IF(N('Dvd Calendar'!$AL$440)=0,"",IF(('Dvd Calendar'!$AL$440&gt;=GRID_FROM)*('Dvd Calendar'!$AL$440&lt;=GRID_TO)*((('Dvd Calendar'!$AL$440&lt;=VAL_DATE)+(COUNTIF('Dvd Calendar'!$E$447:$AR$447,'Dvd Calendar'!$AL$440)=0))&gt;0)=0,"",'Dvd Calendar'!$AL$440*1000000000+ISNUMBER('Dvd Calendar'!$AL$443)*100000000+('Dvd Calendar'!$AL$445=SPECIAL_LBL)*10000000+(N('Dvd Calendar'!$AL$439)&gt;0)*(N('Dvd Calendar'!$AL$439)&lt;=VAL_SERIAL)*1000000+40*1000+34))</f>
        <v/>
      </c>
      <c r="FM51" s="121">
        <f>IF(N('Dvd Calendar'!$AM$440)=0,"",IF(('Dvd Calendar'!$AM$440&gt;=GRID_FROM)*('Dvd Calendar'!$AM$440&lt;=GRID_TO)*((('Dvd Calendar'!$AM$440&lt;=VAL_DATE)+(COUNTIF('Dvd Calendar'!$E$447:$AR$447,'Dvd Calendar'!$AM$440)=0))&gt;0)=0,"",'Dvd Calendar'!$AM$440*1000000000+ISNUMBER('Dvd Calendar'!$AM$443)*100000000+('Dvd Calendar'!$AM$445=SPECIAL_LBL)*10000000+(N('Dvd Calendar'!$AM$439)&gt;0)*(N('Dvd Calendar'!$AM$439)&lt;=VAL_SERIAL)*1000000+40*1000+35))</f>
        <v/>
      </c>
      <c r="FN51" s="121">
        <f>IF(N('Dvd Calendar'!$AN$440)=0,"",IF(('Dvd Calendar'!$AN$440&gt;=GRID_FROM)*('Dvd Calendar'!$AN$440&lt;=GRID_TO)*((('Dvd Calendar'!$AN$440&lt;=VAL_DATE)+(COUNTIF('Dvd Calendar'!$E$447:$AR$447,'Dvd Calendar'!$AN$440)=0))&gt;0)=0,"",'Dvd Calendar'!$AN$440*1000000000+ISNUMBER('Dvd Calendar'!$AN$443)*100000000+('Dvd Calendar'!$AN$445=SPECIAL_LBL)*10000000+(N('Dvd Calendar'!$AN$439)&gt;0)*(N('Dvd Calendar'!$AN$439)&lt;=VAL_SERIAL)*1000000+40*1000+36))</f>
        <v/>
      </c>
      <c r="FO51" s="121">
        <f>IF(N('Dvd Calendar'!$AO$440)=0,"",IF(('Dvd Calendar'!$AO$440&gt;=GRID_FROM)*('Dvd Calendar'!$AO$440&lt;=GRID_TO)*((('Dvd Calendar'!$AO$440&lt;=VAL_DATE)+(COUNTIF('Dvd Calendar'!$E$447:$AR$447,'Dvd Calendar'!$AO$440)=0))&gt;0)=0,"",'Dvd Calendar'!$AO$440*1000000000+ISNUMBER('Dvd Calendar'!$AO$443)*100000000+('Dvd Calendar'!$AO$445=SPECIAL_LBL)*10000000+(N('Dvd Calendar'!$AO$439)&gt;0)*(N('Dvd Calendar'!$AO$439)&lt;=VAL_SERIAL)*1000000+40*1000+37))</f>
        <v/>
      </c>
      <c r="FP51" s="121">
        <f>IF(N('Dvd Calendar'!$AP$440)=0,"",IF(('Dvd Calendar'!$AP$440&gt;=GRID_FROM)*('Dvd Calendar'!$AP$440&lt;=GRID_TO)*((('Dvd Calendar'!$AP$440&lt;=VAL_DATE)+(COUNTIF('Dvd Calendar'!$E$447:$AR$447,'Dvd Calendar'!$AP$440)=0))&gt;0)=0,"",'Dvd Calendar'!$AP$440*1000000000+ISNUMBER('Dvd Calendar'!$AP$443)*100000000+('Dvd Calendar'!$AP$445=SPECIAL_LBL)*10000000+(N('Dvd Calendar'!$AP$439)&gt;0)*(N('Dvd Calendar'!$AP$439)&lt;=VAL_SERIAL)*1000000+40*1000+38))</f>
        <v/>
      </c>
      <c r="FQ51" s="121">
        <f>IF(N('Dvd Calendar'!$AQ$440)=0,"",IF(('Dvd Calendar'!$AQ$440&gt;=GRID_FROM)*('Dvd Calendar'!$AQ$440&lt;=GRID_TO)*((('Dvd Calendar'!$AQ$440&lt;=VAL_DATE)+(COUNTIF('Dvd Calendar'!$E$447:$AR$447,'Dvd Calendar'!$AQ$440)=0))&gt;0)=0,"",'Dvd Calendar'!$AQ$440*1000000000+ISNUMBER('Dvd Calendar'!$AQ$443)*100000000+('Dvd Calendar'!$AQ$445=SPECIAL_LBL)*10000000+(N('Dvd Calendar'!$AQ$439)&gt;0)*(N('Dvd Calendar'!$AQ$439)&lt;=VAL_SERIAL)*1000000+40*1000+39))</f>
        <v/>
      </c>
      <c r="FR51" s="121">
        <f>IF(N('Dvd Calendar'!$AR$440)=0,"",IF(('Dvd Calendar'!$AR$440&gt;=GRID_FROM)*('Dvd Calendar'!$AR$440&lt;=GRID_TO)*((('Dvd Calendar'!$AR$440&lt;=VAL_DATE)+(COUNTIF('Dvd Calendar'!$E$447:$AR$447,'Dvd Calendar'!$AR$440)=0))&gt;0)=0,"",'Dvd Calendar'!$AR$440*1000000000+ISNUMBER('Dvd Calendar'!$AR$443)*100000000+('Dvd Calendar'!$AR$445=SPECIAL_LBL)*10000000+(N('Dvd Calendar'!$AR$439)&gt;0)*(N('Dvd Calendar'!$AR$439)&lt;=VAL_SERIAL)*1000000+40*1000+40))</f>
        <v/>
      </c>
      <c r="FS51" s="121">
        <f>IF(N('Dvd Calendar'!$E$447)=0,"",IF(('Dvd Calendar'!$E$447&gt;=GRID_FROM)*('Dvd Calendar'!$E$447&lt;=GRID_TO)*('Dvd Calendar'!$E$447&gt;VAL_DATE)=0,"",'Dvd Calendar'!$E$447*1000000000+ISNUMBER('Dvd Calendar'!$E$448)*100000000+0*10000000+(N('Dvd Calendar'!$E$446)&gt;0)*(N('Dvd Calendar'!$E$446)&lt;=VAL_SERIAL)*1000000+40*1000+41))</f>
        <v/>
      </c>
      <c r="FT51" s="121">
        <f>IF(N('Dvd Calendar'!$F$447)=0,"",IF(('Dvd Calendar'!$F$447&gt;=GRID_FROM)*('Dvd Calendar'!$F$447&lt;=GRID_TO)*('Dvd Calendar'!$F$447&gt;VAL_DATE)=0,"",'Dvd Calendar'!$F$447*1000000000+ISNUMBER('Dvd Calendar'!$F$448)*100000000+0*10000000+(N('Dvd Calendar'!$F$446)&gt;0)*(N('Dvd Calendar'!$F$446)&lt;=VAL_SERIAL)*1000000+40*1000+42))</f>
        <v/>
      </c>
      <c r="FU51" s="121">
        <f>IF(N('Dvd Calendar'!$G$447)=0,"",IF(('Dvd Calendar'!$G$447&gt;=GRID_FROM)*('Dvd Calendar'!$G$447&lt;=GRID_TO)*('Dvd Calendar'!$G$447&gt;VAL_DATE)=0,"",'Dvd Calendar'!$G$447*1000000000+ISNUMBER('Dvd Calendar'!$G$448)*100000000+0*10000000+(N('Dvd Calendar'!$G$446)&gt;0)*(N('Dvd Calendar'!$G$446)&lt;=VAL_SERIAL)*1000000+40*1000+43))</f>
        <v/>
      </c>
      <c r="FV51" s="121">
        <f>IF(N('Dvd Calendar'!$H$447)=0,"",IF(('Dvd Calendar'!$H$447&gt;=GRID_FROM)*('Dvd Calendar'!$H$447&lt;=GRID_TO)*('Dvd Calendar'!$H$447&gt;VAL_DATE)=0,"",'Dvd Calendar'!$H$447*1000000000+ISNUMBER('Dvd Calendar'!$H$448)*100000000+0*10000000+(N('Dvd Calendar'!$H$446)&gt;0)*(N('Dvd Calendar'!$H$446)&lt;=VAL_SERIAL)*1000000+40*1000+44))</f>
        <v/>
      </c>
      <c r="FW51" s="121">
        <f>IF(N('Dvd Calendar'!$I$447)=0,"",IF(('Dvd Calendar'!$I$447&gt;=GRID_FROM)*('Dvd Calendar'!$I$447&lt;=GRID_TO)*('Dvd Calendar'!$I$447&gt;VAL_DATE)=0,"",'Dvd Calendar'!$I$447*1000000000+ISNUMBER('Dvd Calendar'!$I$448)*100000000+0*10000000+(N('Dvd Calendar'!$I$446)&gt;0)*(N('Dvd Calendar'!$I$446)&lt;=VAL_SERIAL)*1000000+40*1000+45))</f>
        <v/>
      </c>
      <c r="FX51" s="121">
        <f>IF(N('Dvd Calendar'!$J$447)=0,"",IF(('Dvd Calendar'!$J$447&gt;=GRID_FROM)*('Dvd Calendar'!$J$447&lt;=GRID_TO)*('Dvd Calendar'!$J$447&gt;VAL_DATE)=0,"",'Dvd Calendar'!$J$447*1000000000+ISNUMBER('Dvd Calendar'!$J$448)*100000000+0*10000000+(N('Dvd Calendar'!$J$446)&gt;0)*(N('Dvd Calendar'!$J$446)&lt;=VAL_SERIAL)*1000000+40*1000+46))</f>
        <v/>
      </c>
      <c r="FY51" s="121">
        <f>IF(N('Dvd Calendar'!$K$447)=0,"",IF(('Dvd Calendar'!$K$447&gt;=GRID_FROM)*('Dvd Calendar'!$K$447&lt;=GRID_TO)*('Dvd Calendar'!$K$447&gt;VAL_DATE)=0,"",'Dvd Calendar'!$K$447*1000000000+ISNUMBER('Dvd Calendar'!$K$448)*100000000+0*10000000+(N('Dvd Calendar'!$K$446)&gt;0)*(N('Dvd Calendar'!$K$446)&lt;=VAL_SERIAL)*1000000+40*1000+47))</f>
        <v/>
      </c>
      <c r="FZ51" s="121">
        <f>IF(N('Dvd Calendar'!$L$447)=0,"",IF(('Dvd Calendar'!$L$447&gt;=GRID_FROM)*('Dvd Calendar'!$L$447&lt;=GRID_TO)*('Dvd Calendar'!$L$447&gt;VAL_DATE)=0,"",'Dvd Calendar'!$L$447*1000000000+ISNUMBER('Dvd Calendar'!$L$448)*100000000+0*10000000+(N('Dvd Calendar'!$L$446)&gt;0)*(N('Dvd Calendar'!$L$446)&lt;=VAL_SERIAL)*1000000+40*1000+48))</f>
        <v/>
      </c>
      <c r="GA51" s="121">
        <f>IF(N('Dvd Calendar'!$M$447)=0,"",IF(('Dvd Calendar'!$M$447&gt;=GRID_FROM)*('Dvd Calendar'!$M$447&lt;=GRID_TO)*('Dvd Calendar'!$M$447&gt;VAL_DATE)=0,"",'Dvd Calendar'!$M$447*1000000000+ISNUMBER('Dvd Calendar'!$M$448)*100000000+0*10000000+(N('Dvd Calendar'!$M$446)&gt;0)*(N('Dvd Calendar'!$M$446)&lt;=VAL_SERIAL)*1000000+40*1000+49))</f>
        <v/>
      </c>
      <c r="GB51" s="121">
        <f>IF(N('Dvd Calendar'!$N$447)=0,"",IF(('Dvd Calendar'!$N$447&gt;=GRID_FROM)*('Dvd Calendar'!$N$447&lt;=GRID_TO)*('Dvd Calendar'!$N$447&gt;VAL_DATE)=0,"",'Dvd Calendar'!$N$447*1000000000+ISNUMBER('Dvd Calendar'!$N$448)*100000000+0*10000000+(N('Dvd Calendar'!$N$446)&gt;0)*(N('Dvd Calendar'!$N$446)&lt;=VAL_SERIAL)*1000000+40*1000+50))</f>
        <v/>
      </c>
      <c r="GC51" s="121">
        <f>IF(N('Dvd Calendar'!$O$447)=0,"",IF(('Dvd Calendar'!$O$447&gt;=GRID_FROM)*('Dvd Calendar'!$O$447&lt;=GRID_TO)*('Dvd Calendar'!$O$447&gt;VAL_DATE)=0,"",'Dvd Calendar'!$O$447*1000000000+ISNUMBER('Dvd Calendar'!$O$448)*100000000+0*10000000+(N('Dvd Calendar'!$O$446)&gt;0)*(N('Dvd Calendar'!$O$446)&lt;=VAL_SERIAL)*1000000+40*1000+51))</f>
        <v/>
      </c>
      <c r="GD51" s="121">
        <f>IF(N('Dvd Calendar'!$P$447)=0,"",IF(('Dvd Calendar'!$P$447&gt;=GRID_FROM)*('Dvd Calendar'!$P$447&lt;=GRID_TO)*('Dvd Calendar'!$P$447&gt;VAL_DATE)=0,"",'Dvd Calendar'!$P$447*1000000000+ISNUMBER('Dvd Calendar'!$P$448)*100000000+0*10000000+(N('Dvd Calendar'!$P$446)&gt;0)*(N('Dvd Calendar'!$P$446)&lt;=VAL_SERIAL)*1000000+40*1000+52))</f>
        <v/>
      </c>
      <c r="GE51" s="121">
        <f>IF(N('Dvd Calendar'!$Q$447)=0,"",IF(('Dvd Calendar'!$Q$447&gt;=GRID_FROM)*('Dvd Calendar'!$Q$447&lt;=GRID_TO)*('Dvd Calendar'!$Q$447&gt;VAL_DATE)=0,"",'Dvd Calendar'!$Q$447*1000000000+ISNUMBER('Dvd Calendar'!$Q$448)*100000000+0*10000000+(N('Dvd Calendar'!$Q$446)&gt;0)*(N('Dvd Calendar'!$Q$446)&lt;=VAL_SERIAL)*1000000+40*1000+53))</f>
        <v/>
      </c>
      <c r="GF51" s="121">
        <f>IF(N('Dvd Calendar'!$R$447)=0,"",IF(('Dvd Calendar'!$R$447&gt;=GRID_FROM)*('Dvd Calendar'!$R$447&lt;=GRID_TO)*('Dvd Calendar'!$R$447&gt;VAL_DATE)=0,"",'Dvd Calendar'!$R$447*1000000000+ISNUMBER('Dvd Calendar'!$R$448)*100000000+0*10000000+(N('Dvd Calendar'!$R$446)&gt;0)*(N('Dvd Calendar'!$R$446)&lt;=VAL_SERIAL)*1000000+40*1000+54))</f>
        <v/>
      </c>
      <c r="GG51" s="121">
        <f>IF(N('Dvd Calendar'!$S$447)=0,"",IF(('Dvd Calendar'!$S$447&gt;=GRID_FROM)*('Dvd Calendar'!$S$447&lt;=GRID_TO)*('Dvd Calendar'!$S$447&gt;VAL_DATE)=0,"",'Dvd Calendar'!$S$447*1000000000+ISNUMBER('Dvd Calendar'!$S$448)*100000000+0*10000000+(N('Dvd Calendar'!$S$446)&gt;0)*(N('Dvd Calendar'!$S$446)&lt;=VAL_SERIAL)*1000000+40*1000+55))</f>
        <v/>
      </c>
      <c r="GH51" s="121">
        <f>IF(N('Dvd Calendar'!$T$447)=0,"",IF(('Dvd Calendar'!$T$447&gt;=GRID_FROM)*('Dvd Calendar'!$T$447&lt;=GRID_TO)*('Dvd Calendar'!$T$447&gt;VAL_DATE)=0,"",'Dvd Calendar'!$T$447*1000000000+ISNUMBER('Dvd Calendar'!$T$448)*100000000+0*10000000+(N('Dvd Calendar'!$T$446)&gt;0)*(N('Dvd Calendar'!$T$446)&lt;=VAL_SERIAL)*1000000+40*1000+56))</f>
        <v/>
      </c>
      <c r="GI51" s="121">
        <f>IF(N('Dvd Calendar'!$U$447)=0,"",IF(('Dvd Calendar'!$U$447&gt;=GRID_FROM)*('Dvd Calendar'!$U$447&lt;=GRID_TO)*('Dvd Calendar'!$U$447&gt;VAL_DATE)=0,"",'Dvd Calendar'!$U$447*1000000000+ISNUMBER('Dvd Calendar'!$U$448)*100000000+0*10000000+(N('Dvd Calendar'!$U$446)&gt;0)*(N('Dvd Calendar'!$U$446)&lt;=VAL_SERIAL)*1000000+40*1000+57))</f>
        <v/>
      </c>
      <c r="GJ51" s="121">
        <f>IF(N('Dvd Calendar'!$V$447)=0,"",IF(('Dvd Calendar'!$V$447&gt;=GRID_FROM)*('Dvd Calendar'!$V$447&lt;=GRID_TO)*('Dvd Calendar'!$V$447&gt;VAL_DATE)=0,"",'Dvd Calendar'!$V$447*1000000000+ISNUMBER('Dvd Calendar'!$V$448)*100000000+0*10000000+(N('Dvd Calendar'!$V$446)&gt;0)*(N('Dvd Calendar'!$V$446)&lt;=VAL_SERIAL)*1000000+40*1000+58))</f>
        <v/>
      </c>
      <c r="GK51" s="121">
        <f>IF(N('Dvd Calendar'!$W$447)=0,"",IF(('Dvd Calendar'!$W$447&gt;=GRID_FROM)*('Dvd Calendar'!$W$447&lt;=GRID_TO)*('Dvd Calendar'!$W$447&gt;VAL_DATE)=0,"",'Dvd Calendar'!$W$447*1000000000+ISNUMBER('Dvd Calendar'!$W$448)*100000000+0*10000000+(N('Dvd Calendar'!$W$446)&gt;0)*(N('Dvd Calendar'!$W$446)&lt;=VAL_SERIAL)*1000000+40*1000+59))</f>
        <v/>
      </c>
      <c r="GL51" s="121">
        <f>IF(N('Dvd Calendar'!$X$447)=0,"",IF(('Dvd Calendar'!$X$447&gt;=GRID_FROM)*('Dvd Calendar'!$X$447&lt;=GRID_TO)*('Dvd Calendar'!$X$447&gt;VAL_DATE)=0,"",'Dvd Calendar'!$X$447*1000000000+ISNUMBER('Dvd Calendar'!$X$448)*100000000+0*10000000+(N('Dvd Calendar'!$X$446)&gt;0)*(N('Dvd Calendar'!$X$446)&lt;=VAL_SERIAL)*1000000+40*1000+60))</f>
        <v/>
      </c>
      <c r="GM51" s="121">
        <f>IF(N('Dvd Calendar'!$Y$447)=0,"",IF(('Dvd Calendar'!$Y$447&gt;=GRID_FROM)*('Dvd Calendar'!$Y$447&lt;=GRID_TO)*('Dvd Calendar'!$Y$447&gt;VAL_DATE)=0,"",'Dvd Calendar'!$Y$447*1000000000+ISNUMBER('Dvd Calendar'!$Y$448)*100000000+0*10000000+(N('Dvd Calendar'!$Y$446)&gt;0)*(N('Dvd Calendar'!$Y$446)&lt;=VAL_SERIAL)*1000000+40*1000+61))</f>
        <v/>
      </c>
      <c r="GN51" s="121">
        <f>IF(N('Dvd Calendar'!$Z$447)=0,"",IF(('Dvd Calendar'!$Z$447&gt;=GRID_FROM)*('Dvd Calendar'!$Z$447&lt;=GRID_TO)*('Dvd Calendar'!$Z$447&gt;VAL_DATE)=0,"",'Dvd Calendar'!$Z$447*1000000000+ISNUMBER('Dvd Calendar'!$Z$448)*100000000+0*10000000+(N('Dvd Calendar'!$Z$446)&gt;0)*(N('Dvd Calendar'!$Z$446)&lt;=VAL_SERIAL)*1000000+40*1000+62))</f>
        <v/>
      </c>
      <c r="GO51" s="121">
        <f>IF(N('Dvd Calendar'!$AA$447)=0,"",IF(('Dvd Calendar'!$AA$447&gt;=GRID_FROM)*('Dvd Calendar'!$AA$447&lt;=GRID_TO)*('Dvd Calendar'!$AA$447&gt;VAL_DATE)=0,"",'Dvd Calendar'!$AA$447*1000000000+ISNUMBER('Dvd Calendar'!$AA$448)*100000000+0*10000000+(N('Dvd Calendar'!$AA$446)&gt;0)*(N('Dvd Calendar'!$AA$446)&lt;=VAL_SERIAL)*1000000+40*1000+63))</f>
        <v/>
      </c>
      <c r="GP51" s="121">
        <f>IF(N('Dvd Calendar'!$AB$447)=0,"",IF(('Dvd Calendar'!$AB$447&gt;=GRID_FROM)*('Dvd Calendar'!$AB$447&lt;=GRID_TO)*('Dvd Calendar'!$AB$447&gt;VAL_DATE)=0,"",'Dvd Calendar'!$AB$447*1000000000+ISNUMBER('Dvd Calendar'!$AB$448)*100000000+0*10000000+(N('Dvd Calendar'!$AB$446)&gt;0)*(N('Dvd Calendar'!$AB$446)&lt;=VAL_SERIAL)*1000000+40*1000+64))</f>
        <v/>
      </c>
      <c r="GQ51" s="121">
        <f>IF(N('Dvd Calendar'!$AC$447)=0,"",IF(('Dvd Calendar'!$AC$447&gt;=GRID_FROM)*('Dvd Calendar'!$AC$447&lt;=GRID_TO)*('Dvd Calendar'!$AC$447&gt;VAL_DATE)=0,"",'Dvd Calendar'!$AC$447*1000000000+ISNUMBER('Dvd Calendar'!$AC$448)*100000000+0*10000000+(N('Dvd Calendar'!$AC$446)&gt;0)*(N('Dvd Calendar'!$AC$446)&lt;=VAL_SERIAL)*1000000+40*1000+65))</f>
        <v/>
      </c>
    </row>
    <row r="52">
      <c r="B52" s="2">
        <f>IF(HSI!$C$47="","",HSI!$C$47)</f>
        <v/>
      </c>
      <c r="C52" s="161">
        <f>IF(EE52="","",IF(ISNUMBER('Dvd Calendar'!$E$454)=FALSE,"",IF((('Dvd Calendar'!$E$456=TYPE1)*(TYPE1&lt;&gt;"")+('Dvd Calendar'!$E$456=TYPE2)*(TYPE2&lt;&gt;"")+('Dvd Calendar'!$E$456=TYPE3)*(TYPE3&lt;&gt;"")+('Dvd Calendar'!$E$456=TYPE4)*(TYPE4&lt;&gt;"")+('Dvd Calendar'!$E$456=SPECIAL_LBL)*(INC_SPECIALS="Y"))=0,"",'Dvd Calendar'!$E$454)))</f>
        <v/>
      </c>
      <c r="D52" s="161">
        <f>IF(EF52="","",IF(ISNUMBER('Dvd Calendar'!$F$454)=FALSE,"",IF((('Dvd Calendar'!$F$456=TYPE1)*(TYPE1&lt;&gt;"")+('Dvd Calendar'!$F$456=TYPE2)*(TYPE2&lt;&gt;"")+('Dvd Calendar'!$F$456=TYPE3)*(TYPE3&lt;&gt;"")+('Dvd Calendar'!$F$456=TYPE4)*(TYPE4&lt;&gt;"")+('Dvd Calendar'!$F$456=SPECIAL_LBL)*(INC_SPECIALS="Y"))=0,"",'Dvd Calendar'!$F$454)))</f>
        <v/>
      </c>
      <c r="E52" s="161">
        <f>IF(EG52="","",IF(ISNUMBER('Dvd Calendar'!$G$454)=FALSE,"",IF((('Dvd Calendar'!$G$456=TYPE1)*(TYPE1&lt;&gt;"")+('Dvd Calendar'!$G$456=TYPE2)*(TYPE2&lt;&gt;"")+('Dvd Calendar'!$G$456=TYPE3)*(TYPE3&lt;&gt;"")+('Dvd Calendar'!$G$456=TYPE4)*(TYPE4&lt;&gt;"")+('Dvd Calendar'!$G$456=SPECIAL_LBL)*(INC_SPECIALS="Y"))=0,"",'Dvd Calendar'!$G$454)))</f>
        <v/>
      </c>
      <c r="F52" s="161">
        <f>IF(EH52="","",IF(ISNUMBER('Dvd Calendar'!$H$454)=FALSE,"",IF((('Dvd Calendar'!$H$456=TYPE1)*(TYPE1&lt;&gt;"")+('Dvd Calendar'!$H$456=TYPE2)*(TYPE2&lt;&gt;"")+('Dvd Calendar'!$H$456=TYPE3)*(TYPE3&lt;&gt;"")+('Dvd Calendar'!$H$456=TYPE4)*(TYPE4&lt;&gt;"")+('Dvd Calendar'!$H$456=SPECIAL_LBL)*(INC_SPECIALS="Y"))=0,"",'Dvd Calendar'!$H$454)))</f>
        <v/>
      </c>
      <c r="G52" s="161">
        <f>IF(EI52="","",IF(ISNUMBER('Dvd Calendar'!$I$454)=FALSE,"",IF((('Dvd Calendar'!$I$456=TYPE1)*(TYPE1&lt;&gt;"")+('Dvd Calendar'!$I$456=TYPE2)*(TYPE2&lt;&gt;"")+('Dvd Calendar'!$I$456=TYPE3)*(TYPE3&lt;&gt;"")+('Dvd Calendar'!$I$456=TYPE4)*(TYPE4&lt;&gt;"")+('Dvd Calendar'!$I$456=SPECIAL_LBL)*(INC_SPECIALS="Y"))=0,"",'Dvd Calendar'!$I$454)))</f>
        <v/>
      </c>
      <c r="H52" s="161">
        <f>IF(EJ52="","",IF(ISNUMBER('Dvd Calendar'!$J$454)=FALSE,"",IF((('Dvd Calendar'!$J$456=TYPE1)*(TYPE1&lt;&gt;"")+('Dvd Calendar'!$J$456=TYPE2)*(TYPE2&lt;&gt;"")+('Dvd Calendar'!$J$456=TYPE3)*(TYPE3&lt;&gt;"")+('Dvd Calendar'!$J$456=TYPE4)*(TYPE4&lt;&gt;"")+('Dvd Calendar'!$J$456=SPECIAL_LBL)*(INC_SPECIALS="Y"))=0,"",'Dvd Calendar'!$J$454)))</f>
        <v/>
      </c>
      <c r="I52" s="161">
        <f>IF(EK52="","",IF(ISNUMBER('Dvd Calendar'!$K$454)=FALSE,"",IF((('Dvd Calendar'!$K$456=TYPE1)*(TYPE1&lt;&gt;"")+('Dvd Calendar'!$K$456=TYPE2)*(TYPE2&lt;&gt;"")+('Dvd Calendar'!$K$456=TYPE3)*(TYPE3&lt;&gt;"")+('Dvd Calendar'!$K$456=TYPE4)*(TYPE4&lt;&gt;"")+('Dvd Calendar'!$K$456=SPECIAL_LBL)*(INC_SPECIALS="Y"))=0,"",'Dvd Calendar'!$K$454)))</f>
        <v/>
      </c>
      <c r="J52" s="161">
        <f>IF(EL52="","",IF(ISNUMBER('Dvd Calendar'!$L$454)=FALSE,"",IF((('Dvd Calendar'!$L$456=TYPE1)*(TYPE1&lt;&gt;"")+('Dvd Calendar'!$L$456=TYPE2)*(TYPE2&lt;&gt;"")+('Dvd Calendar'!$L$456=TYPE3)*(TYPE3&lt;&gt;"")+('Dvd Calendar'!$L$456=TYPE4)*(TYPE4&lt;&gt;"")+('Dvd Calendar'!$L$456=SPECIAL_LBL)*(INC_SPECIALS="Y"))=0,"",'Dvd Calendar'!$L$454)))</f>
        <v/>
      </c>
      <c r="K52" s="161">
        <f>IF(EM52="","",IF(ISNUMBER('Dvd Calendar'!$M$454)=FALSE,"",IF((('Dvd Calendar'!$M$456=TYPE1)*(TYPE1&lt;&gt;"")+('Dvd Calendar'!$M$456=TYPE2)*(TYPE2&lt;&gt;"")+('Dvd Calendar'!$M$456=TYPE3)*(TYPE3&lt;&gt;"")+('Dvd Calendar'!$M$456=TYPE4)*(TYPE4&lt;&gt;"")+('Dvd Calendar'!$M$456=SPECIAL_LBL)*(INC_SPECIALS="Y"))=0,"",'Dvd Calendar'!$M$454)))</f>
        <v/>
      </c>
      <c r="L52" s="161">
        <f>IF(EN52="","",IF(ISNUMBER('Dvd Calendar'!$N$454)=FALSE,"",IF((('Dvd Calendar'!$N$456=TYPE1)*(TYPE1&lt;&gt;"")+('Dvd Calendar'!$N$456=TYPE2)*(TYPE2&lt;&gt;"")+('Dvd Calendar'!$N$456=TYPE3)*(TYPE3&lt;&gt;"")+('Dvd Calendar'!$N$456=TYPE4)*(TYPE4&lt;&gt;"")+('Dvd Calendar'!$N$456=SPECIAL_LBL)*(INC_SPECIALS="Y"))=0,"",'Dvd Calendar'!$N$454)))</f>
        <v/>
      </c>
      <c r="M52" s="161">
        <f>IF(EO52="","",IF(ISNUMBER('Dvd Calendar'!$O$454)=FALSE,"",IF((('Dvd Calendar'!$O$456=TYPE1)*(TYPE1&lt;&gt;"")+('Dvd Calendar'!$O$456=TYPE2)*(TYPE2&lt;&gt;"")+('Dvd Calendar'!$O$456=TYPE3)*(TYPE3&lt;&gt;"")+('Dvd Calendar'!$O$456=TYPE4)*(TYPE4&lt;&gt;"")+('Dvd Calendar'!$O$456=SPECIAL_LBL)*(INC_SPECIALS="Y"))=0,"",'Dvd Calendar'!$O$454)))</f>
        <v/>
      </c>
      <c r="N52" s="161">
        <f>IF(EP52="","",IF(ISNUMBER('Dvd Calendar'!$P$454)=FALSE,"",IF((('Dvd Calendar'!$P$456=TYPE1)*(TYPE1&lt;&gt;"")+('Dvd Calendar'!$P$456=TYPE2)*(TYPE2&lt;&gt;"")+('Dvd Calendar'!$P$456=TYPE3)*(TYPE3&lt;&gt;"")+('Dvd Calendar'!$P$456=TYPE4)*(TYPE4&lt;&gt;"")+('Dvd Calendar'!$P$456=SPECIAL_LBL)*(INC_SPECIALS="Y"))=0,"",'Dvd Calendar'!$P$454)))</f>
        <v/>
      </c>
      <c r="O52" s="161">
        <f>IF(EQ52="","",IF(ISNUMBER('Dvd Calendar'!$Q$454)=FALSE,"",IF((('Dvd Calendar'!$Q$456=TYPE1)*(TYPE1&lt;&gt;"")+('Dvd Calendar'!$Q$456=TYPE2)*(TYPE2&lt;&gt;"")+('Dvd Calendar'!$Q$456=TYPE3)*(TYPE3&lt;&gt;"")+('Dvd Calendar'!$Q$456=TYPE4)*(TYPE4&lt;&gt;"")+('Dvd Calendar'!$Q$456=SPECIAL_LBL)*(INC_SPECIALS="Y"))=0,"",'Dvd Calendar'!$Q$454)))</f>
        <v/>
      </c>
      <c r="P52" s="161">
        <f>IF(ER52="","",IF(ISNUMBER('Dvd Calendar'!$R$454)=FALSE,"",IF((('Dvd Calendar'!$R$456=TYPE1)*(TYPE1&lt;&gt;"")+('Dvd Calendar'!$R$456=TYPE2)*(TYPE2&lt;&gt;"")+('Dvd Calendar'!$R$456=TYPE3)*(TYPE3&lt;&gt;"")+('Dvd Calendar'!$R$456=TYPE4)*(TYPE4&lt;&gt;"")+('Dvd Calendar'!$R$456=SPECIAL_LBL)*(INC_SPECIALS="Y"))=0,"",'Dvd Calendar'!$R$454)))</f>
        <v/>
      </c>
      <c r="Q52" s="161">
        <f>IF(ES52="","",IF(ISNUMBER('Dvd Calendar'!$S$454)=FALSE,"",IF((('Dvd Calendar'!$S$456=TYPE1)*(TYPE1&lt;&gt;"")+('Dvd Calendar'!$S$456=TYPE2)*(TYPE2&lt;&gt;"")+('Dvd Calendar'!$S$456=TYPE3)*(TYPE3&lt;&gt;"")+('Dvd Calendar'!$S$456=TYPE4)*(TYPE4&lt;&gt;"")+('Dvd Calendar'!$S$456=SPECIAL_LBL)*(INC_SPECIALS="Y"))=0,"",'Dvd Calendar'!$S$454)))</f>
        <v/>
      </c>
      <c r="R52" s="161">
        <f>IF(ET52="","",IF(ISNUMBER('Dvd Calendar'!$T$454)=FALSE,"",IF((('Dvd Calendar'!$T$456=TYPE1)*(TYPE1&lt;&gt;"")+('Dvd Calendar'!$T$456=TYPE2)*(TYPE2&lt;&gt;"")+('Dvd Calendar'!$T$456=TYPE3)*(TYPE3&lt;&gt;"")+('Dvd Calendar'!$T$456=TYPE4)*(TYPE4&lt;&gt;"")+('Dvd Calendar'!$T$456=SPECIAL_LBL)*(INC_SPECIALS="Y"))=0,"",'Dvd Calendar'!$T$454)))</f>
        <v/>
      </c>
      <c r="S52" s="161">
        <f>IF(EU52="","",IF(ISNUMBER('Dvd Calendar'!$U$454)=FALSE,"",IF((('Dvd Calendar'!$U$456=TYPE1)*(TYPE1&lt;&gt;"")+('Dvd Calendar'!$U$456=TYPE2)*(TYPE2&lt;&gt;"")+('Dvd Calendar'!$U$456=TYPE3)*(TYPE3&lt;&gt;"")+('Dvd Calendar'!$U$456=TYPE4)*(TYPE4&lt;&gt;"")+('Dvd Calendar'!$U$456=SPECIAL_LBL)*(INC_SPECIALS="Y"))=0,"",'Dvd Calendar'!$U$454)))</f>
        <v/>
      </c>
      <c r="T52" s="161">
        <f>IF(EV52="","",IF(ISNUMBER('Dvd Calendar'!$V$454)=FALSE,"",IF((('Dvd Calendar'!$V$456=TYPE1)*(TYPE1&lt;&gt;"")+('Dvd Calendar'!$V$456=TYPE2)*(TYPE2&lt;&gt;"")+('Dvd Calendar'!$V$456=TYPE3)*(TYPE3&lt;&gt;"")+('Dvd Calendar'!$V$456=TYPE4)*(TYPE4&lt;&gt;"")+('Dvd Calendar'!$V$456=SPECIAL_LBL)*(INC_SPECIALS="Y"))=0,"",'Dvd Calendar'!$V$454)))</f>
        <v/>
      </c>
      <c r="U52" s="161">
        <f>IF(EW52="","",IF(ISNUMBER('Dvd Calendar'!$W$454)=FALSE,"",IF((('Dvd Calendar'!$W$456=TYPE1)*(TYPE1&lt;&gt;"")+('Dvd Calendar'!$W$456=TYPE2)*(TYPE2&lt;&gt;"")+('Dvd Calendar'!$W$456=TYPE3)*(TYPE3&lt;&gt;"")+('Dvd Calendar'!$W$456=TYPE4)*(TYPE4&lt;&gt;"")+('Dvd Calendar'!$W$456=SPECIAL_LBL)*(INC_SPECIALS="Y"))=0,"",'Dvd Calendar'!$W$454)))</f>
        <v/>
      </c>
      <c r="V52" s="161">
        <f>IF(EX52="","",IF(ISNUMBER('Dvd Calendar'!$X$454)=FALSE,"",IF((('Dvd Calendar'!$X$456=TYPE1)*(TYPE1&lt;&gt;"")+('Dvd Calendar'!$X$456=TYPE2)*(TYPE2&lt;&gt;"")+('Dvd Calendar'!$X$456=TYPE3)*(TYPE3&lt;&gt;"")+('Dvd Calendar'!$X$456=TYPE4)*(TYPE4&lt;&gt;"")+('Dvd Calendar'!$X$456=SPECIAL_LBL)*(INC_SPECIALS="Y"))=0,"",'Dvd Calendar'!$X$454)))</f>
        <v/>
      </c>
      <c r="W52" s="161">
        <f>IF(EY52="","",IF(ISNUMBER('Dvd Calendar'!$Y$454)=FALSE,"",IF((('Dvd Calendar'!$Y$456=TYPE1)*(TYPE1&lt;&gt;"")+('Dvd Calendar'!$Y$456=TYPE2)*(TYPE2&lt;&gt;"")+('Dvd Calendar'!$Y$456=TYPE3)*(TYPE3&lt;&gt;"")+('Dvd Calendar'!$Y$456=TYPE4)*(TYPE4&lt;&gt;"")+('Dvd Calendar'!$Y$456=SPECIAL_LBL)*(INC_SPECIALS="Y"))=0,"",'Dvd Calendar'!$Y$454)))</f>
        <v/>
      </c>
      <c r="X52" s="161">
        <f>IF(EZ52="","",IF(ISNUMBER('Dvd Calendar'!$Z$454)=FALSE,"",IF((('Dvd Calendar'!$Z$456=TYPE1)*(TYPE1&lt;&gt;"")+('Dvd Calendar'!$Z$456=TYPE2)*(TYPE2&lt;&gt;"")+('Dvd Calendar'!$Z$456=TYPE3)*(TYPE3&lt;&gt;"")+('Dvd Calendar'!$Z$456=TYPE4)*(TYPE4&lt;&gt;"")+('Dvd Calendar'!$Z$456=SPECIAL_LBL)*(INC_SPECIALS="Y"))=0,"",'Dvd Calendar'!$Z$454)))</f>
        <v/>
      </c>
      <c r="Y52" s="161">
        <f>IF(FA52="","",IF(ISNUMBER('Dvd Calendar'!$AA$454)=FALSE,"",IF((('Dvd Calendar'!$AA$456=TYPE1)*(TYPE1&lt;&gt;"")+('Dvd Calendar'!$AA$456=TYPE2)*(TYPE2&lt;&gt;"")+('Dvd Calendar'!$AA$456=TYPE3)*(TYPE3&lt;&gt;"")+('Dvd Calendar'!$AA$456=TYPE4)*(TYPE4&lt;&gt;"")+('Dvd Calendar'!$AA$456=SPECIAL_LBL)*(INC_SPECIALS="Y"))=0,"",'Dvd Calendar'!$AA$454)))</f>
        <v/>
      </c>
      <c r="Z52" s="161">
        <f>IF(FB52="","",IF(ISNUMBER('Dvd Calendar'!$AB$454)=FALSE,"",IF((('Dvd Calendar'!$AB$456=TYPE1)*(TYPE1&lt;&gt;"")+('Dvd Calendar'!$AB$456=TYPE2)*(TYPE2&lt;&gt;"")+('Dvd Calendar'!$AB$456=TYPE3)*(TYPE3&lt;&gt;"")+('Dvd Calendar'!$AB$456=TYPE4)*(TYPE4&lt;&gt;"")+('Dvd Calendar'!$AB$456=SPECIAL_LBL)*(INC_SPECIALS="Y"))=0,"",'Dvd Calendar'!$AB$454)))</f>
        <v/>
      </c>
      <c r="AA52" s="161">
        <f>IF(FC52="","",IF(ISNUMBER('Dvd Calendar'!$AC$454)=FALSE,"",IF((('Dvd Calendar'!$AC$456=TYPE1)*(TYPE1&lt;&gt;"")+('Dvd Calendar'!$AC$456=TYPE2)*(TYPE2&lt;&gt;"")+('Dvd Calendar'!$AC$456=TYPE3)*(TYPE3&lt;&gt;"")+('Dvd Calendar'!$AC$456=TYPE4)*(TYPE4&lt;&gt;"")+('Dvd Calendar'!$AC$456=SPECIAL_LBL)*(INC_SPECIALS="Y"))=0,"",'Dvd Calendar'!$AC$454)))</f>
        <v/>
      </c>
      <c r="AB52" s="161">
        <f>IF(FD52="","",IF(ISNUMBER('Dvd Calendar'!$AD$454)=FALSE,"",IF((('Dvd Calendar'!$AD$456=TYPE1)*(TYPE1&lt;&gt;"")+('Dvd Calendar'!$AD$456=TYPE2)*(TYPE2&lt;&gt;"")+('Dvd Calendar'!$AD$456=TYPE3)*(TYPE3&lt;&gt;"")+('Dvd Calendar'!$AD$456=TYPE4)*(TYPE4&lt;&gt;"")+('Dvd Calendar'!$AD$456=SPECIAL_LBL)*(INC_SPECIALS="Y"))=0,"",'Dvd Calendar'!$AD$454)))</f>
        <v/>
      </c>
      <c r="AC52" s="161">
        <f>IF(FE52="","",IF(ISNUMBER('Dvd Calendar'!$AE$454)=FALSE,"",IF((('Dvd Calendar'!$AE$456=TYPE1)*(TYPE1&lt;&gt;"")+('Dvd Calendar'!$AE$456=TYPE2)*(TYPE2&lt;&gt;"")+('Dvd Calendar'!$AE$456=TYPE3)*(TYPE3&lt;&gt;"")+('Dvd Calendar'!$AE$456=TYPE4)*(TYPE4&lt;&gt;"")+('Dvd Calendar'!$AE$456=SPECIAL_LBL)*(INC_SPECIALS="Y"))=0,"",'Dvd Calendar'!$AE$454)))</f>
        <v/>
      </c>
      <c r="AD52" s="161">
        <f>IF(FF52="","",IF(ISNUMBER('Dvd Calendar'!$AF$454)=FALSE,"",IF((('Dvd Calendar'!$AF$456=TYPE1)*(TYPE1&lt;&gt;"")+('Dvd Calendar'!$AF$456=TYPE2)*(TYPE2&lt;&gt;"")+('Dvd Calendar'!$AF$456=TYPE3)*(TYPE3&lt;&gt;"")+('Dvd Calendar'!$AF$456=TYPE4)*(TYPE4&lt;&gt;"")+('Dvd Calendar'!$AF$456=SPECIAL_LBL)*(INC_SPECIALS="Y"))=0,"",'Dvd Calendar'!$AF$454)))</f>
        <v/>
      </c>
      <c r="AE52" s="161">
        <f>IF(FG52="","",IF(ISNUMBER('Dvd Calendar'!$AG$454)=FALSE,"",IF((('Dvd Calendar'!$AG$456=TYPE1)*(TYPE1&lt;&gt;"")+('Dvd Calendar'!$AG$456=TYPE2)*(TYPE2&lt;&gt;"")+('Dvd Calendar'!$AG$456=TYPE3)*(TYPE3&lt;&gt;"")+('Dvd Calendar'!$AG$456=TYPE4)*(TYPE4&lt;&gt;"")+('Dvd Calendar'!$AG$456=SPECIAL_LBL)*(INC_SPECIALS="Y"))=0,"",'Dvd Calendar'!$AG$454)))</f>
        <v/>
      </c>
      <c r="AF52" s="161">
        <f>IF(FH52="","",IF(ISNUMBER('Dvd Calendar'!$AH$454)=FALSE,"",IF((('Dvd Calendar'!$AH$456=TYPE1)*(TYPE1&lt;&gt;"")+('Dvd Calendar'!$AH$456=TYPE2)*(TYPE2&lt;&gt;"")+('Dvd Calendar'!$AH$456=TYPE3)*(TYPE3&lt;&gt;"")+('Dvd Calendar'!$AH$456=TYPE4)*(TYPE4&lt;&gt;"")+('Dvd Calendar'!$AH$456=SPECIAL_LBL)*(INC_SPECIALS="Y"))=0,"",'Dvd Calendar'!$AH$454)))</f>
        <v/>
      </c>
      <c r="AG52" s="161">
        <f>IF(FI52="","",IF(ISNUMBER('Dvd Calendar'!$AI$454)=FALSE,"",IF((('Dvd Calendar'!$AI$456=TYPE1)*(TYPE1&lt;&gt;"")+('Dvd Calendar'!$AI$456=TYPE2)*(TYPE2&lt;&gt;"")+('Dvd Calendar'!$AI$456=TYPE3)*(TYPE3&lt;&gt;"")+('Dvd Calendar'!$AI$456=TYPE4)*(TYPE4&lt;&gt;"")+('Dvd Calendar'!$AI$456=SPECIAL_LBL)*(INC_SPECIALS="Y"))=0,"",'Dvd Calendar'!$AI$454)))</f>
        <v/>
      </c>
      <c r="AH52" s="161">
        <f>IF(FJ52="","",IF(ISNUMBER('Dvd Calendar'!$AJ$454)=FALSE,"",IF((('Dvd Calendar'!$AJ$456=TYPE1)*(TYPE1&lt;&gt;"")+('Dvd Calendar'!$AJ$456=TYPE2)*(TYPE2&lt;&gt;"")+('Dvd Calendar'!$AJ$456=TYPE3)*(TYPE3&lt;&gt;"")+('Dvd Calendar'!$AJ$456=TYPE4)*(TYPE4&lt;&gt;"")+('Dvd Calendar'!$AJ$456=SPECIAL_LBL)*(INC_SPECIALS="Y"))=0,"",'Dvd Calendar'!$AJ$454)))</f>
        <v/>
      </c>
      <c r="AI52" s="161">
        <f>IF(FK52="","",IF(ISNUMBER('Dvd Calendar'!$AK$454)=FALSE,"",IF((('Dvd Calendar'!$AK$456=TYPE1)*(TYPE1&lt;&gt;"")+('Dvd Calendar'!$AK$456=TYPE2)*(TYPE2&lt;&gt;"")+('Dvd Calendar'!$AK$456=TYPE3)*(TYPE3&lt;&gt;"")+('Dvd Calendar'!$AK$456=TYPE4)*(TYPE4&lt;&gt;"")+('Dvd Calendar'!$AK$456=SPECIAL_LBL)*(INC_SPECIALS="Y"))=0,"",'Dvd Calendar'!$AK$454)))</f>
        <v/>
      </c>
      <c r="AJ52" s="161">
        <f>IF(FL52="","",IF(ISNUMBER('Dvd Calendar'!$AL$454)=FALSE,"",IF((('Dvd Calendar'!$AL$456=TYPE1)*(TYPE1&lt;&gt;"")+('Dvd Calendar'!$AL$456=TYPE2)*(TYPE2&lt;&gt;"")+('Dvd Calendar'!$AL$456=TYPE3)*(TYPE3&lt;&gt;"")+('Dvd Calendar'!$AL$456=TYPE4)*(TYPE4&lt;&gt;"")+('Dvd Calendar'!$AL$456=SPECIAL_LBL)*(INC_SPECIALS="Y"))=0,"",'Dvd Calendar'!$AL$454)))</f>
        <v/>
      </c>
      <c r="AK52" s="161">
        <f>IF(FM52="","",IF(ISNUMBER('Dvd Calendar'!$AM$454)=FALSE,"",IF((('Dvd Calendar'!$AM$456=TYPE1)*(TYPE1&lt;&gt;"")+('Dvd Calendar'!$AM$456=TYPE2)*(TYPE2&lt;&gt;"")+('Dvd Calendar'!$AM$456=TYPE3)*(TYPE3&lt;&gt;"")+('Dvd Calendar'!$AM$456=TYPE4)*(TYPE4&lt;&gt;"")+('Dvd Calendar'!$AM$456=SPECIAL_LBL)*(INC_SPECIALS="Y"))=0,"",'Dvd Calendar'!$AM$454)))</f>
        <v/>
      </c>
      <c r="AL52" s="161">
        <f>IF(FN52="","",IF(ISNUMBER('Dvd Calendar'!$AN$454)=FALSE,"",IF((('Dvd Calendar'!$AN$456=TYPE1)*(TYPE1&lt;&gt;"")+('Dvd Calendar'!$AN$456=TYPE2)*(TYPE2&lt;&gt;"")+('Dvd Calendar'!$AN$456=TYPE3)*(TYPE3&lt;&gt;"")+('Dvd Calendar'!$AN$456=TYPE4)*(TYPE4&lt;&gt;"")+('Dvd Calendar'!$AN$456=SPECIAL_LBL)*(INC_SPECIALS="Y"))=0,"",'Dvd Calendar'!$AN$454)))</f>
        <v/>
      </c>
      <c r="AM52" s="161">
        <f>IF(FO52="","",IF(ISNUMBER('Dvd Calendar'!$AO$454)=FALSE,"",IF((('Dvd Calendar'!$AO$456=TYPE1)*(TYPE1&lt;&gt;"")+('Dvd Calendar'!$AO$456=TYPE2)*(TYPE2&lt;&gt;"")+('Dvd Calendar'!$AO$456=TYPE3)*(TYPE3&lt;&gt;"")+('Dvd Calendar'!$AO$456=TYPE4)*(TYPE4&lt;&gt;"")+('Dvd Calendar'!$AO$456=SPECIAL_LBL)*(INC_SPECIALS="Y"))=0,"",'Dvd Calendar'!$AO$454)))</f>
        <v/>
      </c>
      <c r="AN52" s="161">
        <f>IF(FP52="","",IF(ISNUMBER('Dvd Calendar'!$AP$454)=FALSE,"",IF((('Dvd Calendar'!$AP$456=TYPE1)*(TYPE1&lt;&gt;"")+('Dvd Calendar'!$AP$456=TYPE2)*(TYPE2&lt;&gt;"")+('Dvd Calendar'!$AP$456=TYPE3)*(TYPE3&lt;&gt;"")+('Dvd Calendar'!$AP$456=TYPE4)*(TYPE4&lt;&gt;"")+('Dvd Calendar'!$AP$456=SPECIAL_LBL)*(INC_SPECIALS="Y"))=0,"",'Dvd Calendar'!$AP$454)))</f>
        <v/>
      </c>
      <c r="AO52" s="161">
        <f>IF(FQ52="","",IF(ISNUMBER('Dvd Calendar'!$AQ$454)=FALSE,"",IF((('Dvd Calendar'!$AQ$456=TYPE1)*(TYPE1&lt;&gt;"")+('Dvd Calendar'!$AQ$456=TYPE2)*(TYPE2&lt;&gt;"")+('Dvd Calendar'!$AQ$456=TYPE3)*(TYPE3&lt;&gt;"")+('Dvd Calendar'!$AQ$456=TYPE4)*(TYPE4&lt;&gt;"")+('Dvd Calendar'!$AQ$456=SPECIAL_LBL)*(INC_SPECIALS="Y"))=0,"",'Dvd Calendar'!$AQ$454)))</f>
        <v/>
      </c>
      <c r="AP52" s="161">
        <f>IF(FR52="","",IF(ISNUMBER('Dvd Calendar'!$AR$454)=FALSE,"",IF((('Dvd Calendar'!$AR$456=TYPE1)*(TYPE1&lt;&gt;"")+('Dvd Calendar'!$AR$456=TYPE2)*(TYPE2&lt;&gt;"")+('Dvd Calendar'!$AR$456=TYPE3)*(TYPE3&lt;&gt;"")+('Dvd Calendar'!$AR$456=TYPE4)*(TYPE4&lt;&gt;"")+('Dvd Calendar'!$AR$456=SPECIAL_LBL)*(INC_SPECIALS="Y"))=0,"",'Dvd Calendar'!$AR$454)))</f>
        <v/>
      </c>
      <c r="AQ52" s="161">
        <f>IF(FS52="","",IF(ISNUMBER('Dvd Calendar'!$E$459)=FALSE,"",'Dvd Calendar'!$E$459))</f>
        <v/>
      </c>
      <c r="AR52" s="161">
        <f>IF(FT52="","",IF(ISNUMBER('Dvd Calendar'!$F$459)=FALSE,"",'Dvd Calendar'!$F$459))</f>
        <v/>
      </c>
      <c r="AS52" s="161">
        <f>IF(FU52="","",IF(ISNUMBER('Dvd Calendar'!$G$459)=FALSE,"",'Dvd Calendar'!$G$459))</f>
        <v/>
      </c>
      <c r="AT52" s="161">
        <f>IF(FV52="","",IF(ISNUMBER('Dvd Calendar'!$H$459)=FALSE,"",'Dvd Calendar'!$H$459))</f>
        <v/>
      </c>
      <c r="AU52" s="161">
        <f>IF(FW52="","",IF(ISNUMBER('Dvd Calendar'!$I$459)=FALSE,"",'Dvd Calendar'!$I$459))</f>
        <v/>
      </c>
      <c r="AV52" s="161">
        <f>IF(FX52="","",IF(ISNUMBER('Dvd Calendar'!$J$459)=FALSE,"",'Dvd Calendar'!$J$459))</f>
        <v/>
      </c>
      <c r="AW52" s="161">
        <f>IF(FY52="","",IF(ISNUMBER('Dvd Calendar'!$K$459)=FALSE,"",'Dvd Calendar'!$K$459))</f>
        <v/>
      </c>
      <c r="AX52" s="161">
        <f>IF(FZ52="","",IF(ISNUMBER('Dvd Calendar'!$L$459)=FALSE,"",'Dvd Calendar'!$L$459))</f>
        <v/>
      </c>
      <c r="AY52" s="161">
        <f>IF(GA52="","",IF(ISNUMBER('Dvd Calendar'!$M$459)=FALSE,"",'Dvd Calendar'!$M$459))</f>
        <v/>
      </c>
      <c r="AZ52" s="161">
        <f>IF(GB52="","",IF(ISNUMBER('Dvd Calendar'!$N$459)=FALSE,"",'Dvd Calendar'!$N$459))</f>
        <v/>
      </c>
      <c r="BA52" s="161">
        <f>IF(GC52="","",IF(ISNUMBER('Dvd Calendar'!$O$459)=FALSE,"",'Dvd Calendar'!$O$459))</f>
        <v/>
      </c>
      <c r="BB52" s="161">
        <f>IF(GD52="","",IF(ISNUMBER('Dvd Calendar'!$P$459)=FALSE,"",'Dvd Calendar'!$P$459))</f>
        <v/>
      </c>
      <c r="BC52" s="161">
        <f>IF(GE52="","",IF(ISNUMBER('Dvd Calendar'!$Q$459)=FALSE,"",'Dvd Calendar'!$Q$459))</f>
        <v/>
      </c>
      <c r="BD52" s="161">
        <f>IF(GF52="","",IF(ISNUMBER('Dvd Calendar'!$R$459)=FALSE,"",'Dvd Calendar'!$R$459))</f>
        <v/>
      </c>
      <c r="BE52" s="161">
        <f>IF(GG52="","",IF(ISNUMBER('Dvd Calendar'!$S$459)=FALSE,"",'Dvd Calendar'!$S$459))</f>
        <v/>
      </c>
      <c r="BF52" s="161">
        <f>IF(GH52="","",IF(ISNUMBER('Dvd Calendar'!$T$459)=FALSE,"",'Dvd Calendar'!$T$459))</f>
        <v/>
      </c>
      <c r="BG52" s="161">
        <f>IF(GI52="","",IF(ISNUMBER('Dvd Calendar'!$U$459)=FALSE,"",'Dvd Calendar'!$U$459))</f>
        <v/>
      </c>
      <c r="BH52" s="161">
        <f>IF(GJ52="","",IF(ISNUMBER('Dvd Calendar'!$V$459)=FALSE,"",'Dvd Calendar'!$V$459))</f>
        <v/>
      </c>
      <c r="BI52" s="161">
        <f>IF(GK52="","",IF(ISNUMBER('Dvd Calendar'!$W$459)=FALSE,"",'Dvd Calendar'!$W$459))</f>
        <v/>
      </c>
      <c r="BJ52" s="161">
        <f>IF(GL52="","",IF(ISNUMBER('Dvd Calendar'!$X$459)=FALSE,"",'Dvd Calendar'!$X$459))</f>
        <v/>
      </c>
      <c r="BK52" s="161">
        <f>IF(GM52="","",IF(ISNUMBER('Dvd Calendar'!$Y$459)=FALSE,"",'Dvd Calendar'!$Y$459))</f>
        <v/>
      </c>
      <c r="BL52" s="161">
        <f>IF(GN52="","",IF(ISNUMBER('Dvd Calendar'!$Z$459)=FALSE,"",'Dvd Calendar'!$Z$459))</f>
        <v/>
      </c>
      <c r="BM52" s="161">
        <f>IF(GO52="","",IF(ISNUMBER('Dvd Calendar'!$AA$459)=FALSE,"",'Dvd Calendar'!$AA$459))</f>
        <v/>
      </c>
      <c r="BN52" s="161">
        <f>IF(GP52="","",IF(ISNUMBER('Dvd Calendar'!$AB$459)=FALSE,"",'Dvd Calendar'!$AB$459))</f>
        <v/>
      </c>
      <c r="BO52" s="161">
        <f>IF(GQ52="","",IF(ISNUMBER('Dvd Calendar'!$AC$459)=FALSE,"",'Dvd Calendar'!$AC$459))</f>
        <v/>
      </c>
      <c r="BQ52" s="161">
        <f>IF(C52="","",IFERROR(C52*HSI!$B$47*HSI!$G$47/HSI!$B$3,""))</f>
        <v/>
      </c>
      <c r="BR52" s="161">
        <f>IF(D52="","",IFERROR(D52*HSI!$B$47*HSI!$G$47/HSI!$B$3,""))</f>
        <v/>
      </c>
      <c r="BS52" s="161">
        <f>IF(E52="","",IFERROR(E52*HSI!$B$47*HSI!$G$47/HSI!$B$3,""))</f>
        <v/>
      </c>
      <c r="BT52" s="161">
        <f>IF(F52="","",IFERROR(F52*HSI!$B$47*HSI!$G$47/HSI!$B$3,""))</f>
        <v/>
      </c>
      <c r="BU52" s="161">
        <f>IF(G52="","",IFERROR(G52*HSI!$B$47*HSI!$G$47/HSI!$B$3,""))</f>
        <v/>
      </c>
      <c r="BV52" s="161">
        <f>IF(H52="","",IFERROR(H52*HSI!$B$47*HSI!$G$47/HSI!$B$3,""))</f>
        <v/>
      </c>
      <c r="BW52" s="161">
        <f>IF(I52="","",IFERROR(I52*HSI!$B$47*HSI!$G$47/HSI!$B$3,""))</f>
        <v/>
      </c>
      <c r="BX52" s="161">
        <f>IF(J52="","",IFERROR(J52*HSI!$B$47*HSI!$G$47/HSI!$B$3,""))</f>
        <v/>
      </c>
      <c r="BY52" s="161">
        <f>IF(K52="","",IFERROR(K52*HSI!$B$47*HSI!$G$47/HSI!$B$3,""))</f>
        <v/>
      </c>
      <c r="BZ52" s="161">
        <f>IF(L52="","",IFERROR(L52*HSI!$B$47*HSI!$G$47/HSI!$B$3,""))</f>
        <v/>
      </c>
      <c r="CA52" s="161">
        <f>IF(M52="","",IFERROR(M52*HSI!$B$47*HSI!$G$47/HSI!$B$3,""))</f>
        <v/>
      </c>
      <c r="CB52" s="161">
        <f>IF(N52="","",IFERROR(N52*HSI!$B$47*HSI!$G$47/HSI!$B$3,""))</f>
        <v/>
      </c>
      <c r="CC52" s="161">
        <f>IF(O52="","",IFERROR(O52*HSI!$B$47*HSI!$G$47/HSI!$B$3,""))</f>
        <v/>
      </c>
      <c r="CD52" s="161">
        <f>IF(P52="","",IFERROR(P52*HSI!$B$47*HSI!$G$47/HSI!$B$3,""))</f>
        <v/>
      </c>
      <c r="CE52" s="161">
        <f>IF(Q52="","",IFERROR(Q52*HSI!$B$47*HSI!$G$47/HSI!$B$3,""))</f>
        <v/>
      </c>
      <c r="CF52" s="161">
        <f>IF(R52="","",IFERROR(R52*HSI!$B$47*HSI!$G$47/HSI!$B$3,""))</f>
        <v/>
      </c>
      <c r="CG52" s="161">
        <f>IF(S52="","",IFERROR(S52*HSI!$B$47*HSI!$G$47/HSI!$B$3,""))</f>
        <v/>
      </c>
      <c r="CH52" s="161">
        <f>IF(T52="","",IFERROR(T52*HSI!$B$47*HSI!$G$47/HSI!$B$3,""))</f>
        <v/>
      </c>
      <c r="CI52" s="161">
        <f>IF(U52="","",IFERROR(U52*HSI!$B$47*HSI!$G$47/HSI!$B$3,""))</f>
        <v/>
      </c>
      <c r="CJ52" s="161">
        <f>IF(V52="","",IFERROR(V52*HSI!$B$47*HSI!$G$47/HSI!$B$3,""))</f>
        <v/>
      </c>
      <c r="CK52" s="161">
        <f>IF(W52="","",IFERROR(W52*HSI!$B$47*HSI!$G$47/HSI!$B$3,""))</f>
        <v/>
      </c>
      <c r="CL52" s="161">
        <f>IF(X52="","",IFERROR(X52*HSI!$B$47*HSI!$G$47/HSI!$B$3,""))</f>
        <v/>
      </c>
      <c r="CM52" s="161">
        <f>IF(Y52="","",IFERROR(Y52*HSI!$B$47*HSI!$G$47/HSI!$B$3,""))</f>
        <v/>
      </c>
      <c r="CN52" s="161">
        <f>IF(Z52="","",IFERROR(Z52*HSI!$B$47*HSI!$G$47/HSI!$B$3,""))</f>
        <v/>
      </c>
      <c r="CO52" s="161">
        <f>IF(AA52="","",IFERROR(AA52*HSI!$B$47*HSI!$G$47/HSI!$B$3,""))</f>
        <v/>
      </c>
      <c r="CP52" s="161">
        <f>IF(AB52="","",IFERROR(AB52*HSI!$B$47*HSI!$G$47/HSI!$B$3,""))</f>
        <v/>
      </c>
      <c r="CQ52" s="161">
        <f>IF(AC52="","",IFERROR(AC52*HSI!$B$47*HSI!$G$47/HSI!$B$3,""))</f>
        <v/>
      </c>
      <c r="CR52" s="161">
        <f>IF(AD52="","",IFERROR(AD52*HSI!$B$47*HSI!$G$47/HSI!$B$3,""))</f>
        <v/>
      </c>
      <c r="CS52" s="161">
        <f>IF(AE52="","",IFERROR(AE52*HSI!$B$47*HSI!$G$47/HSI!$B$3,""))</f>
        <v/>
      </c>
      <c r="CT52" s="161">
        <f>IF(AF52="","",IFERROR(AF52*HSI!$B$47*HSI!$G$47/HSI!$B$3,""))</f>
        <v/>
      </c>
      <c r="CU52" s="161">
        <f>IF(AG52="","",IFERROR(AG52*HSI!$B$47*HSI!$G$47/HSI!$B$3,""))</f>
        <v/>
      </c>
      <c r="CV52" s="161">
        <f>IF(AH52="","",IFERROR(AH52*HSI!$B$47*HSI!$G$47/HSI!$B$3,""))</f>
        <v/>
      </c>
      <c r="CW52" s="161">
        <f>IF(AI52="","",IFERROR(AI52*HSI!$B$47*HSI!$G$47/HSI!$B$3,""))</f>
        <v/>
      </c>
      <c r="CX52" s="161">
        <f>IF(AJ52="","",IFERROR(AJ52*HSI!$B$47*HSI!$G$47/HSI!$B$3,""))</f>
        <v/>
      </c>
      <c r="CY52" s="161">
        <f>IF(AK52="","",IFERROR(AK52*HSI!$B$47*HSI!$G$47/HSI!$B$3,""))</f>
        <v/>
      </c>
      <c r="CZ52" s="161">
        <f>IF(AL52="","",IFERROR(AL52*HSI!$B$47*HSI!$G$47/HSI!$B$3,""))</f>
        <v/>
      </c>
      <c r="DA52" s="161">
        <f>IF(AM52="","",IFERROR(AM52*HSI!$B$47*HSI!$G$47/HSI!$B$3,""))</f>
        <v/>
      </c>
      <c r="DB52" s="161">
        <f>IF(AN52="","",IFERROR(AN52*HSI!$B$47*HSI!$G$47/HSI!$B$3,""))</f>
        <v/>
      </c>
      <c r="DC52" s="161">
        <f>IF(AO52="","",IFERROR(AO52*HSI!$B$47*HSI!$G$47/HSI!$B$3,""))</f>
        <v/>
      </c>
      <c r="DD52" s="161">
        <f>IF(AP52="","",IFERROR(AP52*HSI!$B$47*HSI!$G$47/HSI!$B$3,""))</f>
        <v/>
      </c>
      <c r="DE52" s="161">
        <f>IF(AQ52="","",IFERROR(AQ52*HSI!$B$47*HSI!$G$47/HSI!$B$3,""))</f>
        <v/>
      </c>
      <c r="DF52" s="161">
        <f>IF(AR52="","",IFERROR(AR52*HSI!$B$47*HSI!$G$47/HSI!$B$3,""))</f>
        <v/>
      </c>
      <c r="DG52" s="161">
        <f>IF(AS52="","",IFERROR(AS52*HSI!$B$47*HSI!$G$47/HSI!$B$3,""))</f>
        <v/>
      </c>
      <c r="DH52" s="161">
        <f>IF(AT52="","",IFERROR(AT52*HSI!$B$47*HSI!$G$47/HSI!$B$3,""))</f>
        <v/>
      </c>
      <c r="DI52" s="161">
        <f>IF(AU52="","",IFERROR(AU52*HSI!$B$47*HSI!$G$47/HSI!$B$3,""))</f>
        <v/>
      </c>
      <c r="DJ52" s="161">
        <f>IF(AV52="","",IFERROR(AV52*HSI!$B$47*HSI!$G$47/HSI!$B$3,""))</f>
        <v/>
      </c>
      <c r="DK52" s="161">
        <f>IF(AW52="","",IFERROR(AW52*HSI!$B$47*HSI!$G$47/HSI!$B$3,""))</f>
        <v/>
      </c>
      <c r="DL52" s="161">
        <f>IF(AX52="","",IFERROR(AX52*HSI!$B$47*HSI!$G$47/HSI!$B$3,""))</f>
        <v/>
      </c>
      <c r="DM52" s="161">
        <f>IF(AY52="","",IFERROR(AY52*HSI!$B$47*HSI!$G$47/HSI!$B$3,""))</f>
        <v/>
      </c>
      <c r="DN52" s="161">
        <f>IF(AZ52="","",IFERROR(AZ52*HSI!$B$47*HSI!$G$47/HSI!$B$3,""))</f>
        <v/>
      </c>
      <c r="DO52" s="161">
        <f>IF(BA52="","",IFERROR(BA52*HSI!$B$47*HSI!$G$47/HSI!$B$3,""))</f>
        <v/>
      </c>
      <c r="DP52" s="161">
        <f>IF(BB52="","",IFERROR(BB52*HSI!$B$47*HSI!$G$47/HSI!$B$3,""))</f>
        <v/>
      </c>
      <c r="DQ52" s="161">
        <f>IF(BC52="","",IFERROR(BC52*HSI!$B$47*HSI!$G$47/HSI!$B$3,""))</f>
        <v/>
      </c>
      <c r="DR52" s="161">
        <f>IF(BD52="","",IFERROR(BD52*HSI!$B$47*HSI!$G$47/HSI!$B$3,""))</f>
        <v/>
      </c>
      <c r="DS52" s="161">
        <f>IF(BE52="","",IFERROR(BE52*HSI!$B$47*HSI!$G$47/HSI!$B$3,""))</f>
        <v/>
      </c>
      <c r="DT52" s="161">
        <f>IF(BF52="","",IFERROR(BF52*HSI!$B$47*HSI!$G$47/HSI!$B$3,""))</f>
        <v/>
      </c>
      <c r="DU52" s="161">
        <f>IF(BG52="","",IFERROR(BG52*HSI!$B$47*HSI!$G$47/HSI!$B$3,""))</f>
        <v/>
      </c>
      <c r="DV52" s="161">
        <f>IF(BH52="","",IFERROR(BH52*HSI!$B$47*HSI!$G$47/HSI!$B$3,""))</f>
        <v/>
      </c>
      <c r="DW52" s="161">
        <f>IF(BI52="","",IFERROR(BI52*HSI!$B$47*HSI!$G$47/HSI!$B$3,""))</f>
        <v/>
      </c>
      <c r="DX52" s="161">
        <f>IF(BJ52="","",IFERROR(BJ52*HSI!$B$47*HSI!$G$47/HSI!$B$3,""))</f>
        <v/>
      </c>
      <c r="DY52" s="161">
        <f>IF(BK52="","",IFERROR(BK52*HSI!$B$47*HSI!$G$47/HSI!$B$3,""))</f>
        <v/>
      </c>
      <c r="DZ52" s="161">
        <f>IF(BL52="","",IFERROR(BL52*HSI!$B$47*HSI!$G$47/HSI!$B$3,""))</f>
        <v/>
      </c>
      <c r="EA52" s="161">
        <f>IF(BM52="","",IFERROR(BM52*HSI!$B$47*HSI!$G$47/HSI!$B$3,""))</f>
        <v/>
      </c>
      <c r="EB52" s="161">
        <f>IF(BN52="","",IFERROR(BN52*HSI!$B$47*HSI!$G$47/HSI!$B$3,""))</f>
        <v/>
      </c>
      <c r="EC52" s="161">
        <f>IF(BO52="","",IFERROR(BO52*HSI!$B$47*HSI!$G$47/HSI!$B$3,""))</f>
        <v/>
      </c>
      <c r="EE52" s="121">
        <f>IF(N('Dvd Calendar'!$E$451)=0,"",IF(('Dvd Calendar'!$E$451&gt;=GRID_FROM)*('Dvd Calendar'!$E$451&lt;=GRID_TO)*((('Dvd Calendar'!$E$451&lt;=VAL_DATE)+(COUNTIF('Dvd Calendar'!$E$458:$AR$458,'Dvd Calendar'!$E$451)=0))&gt;0)=0,"",'Dvd Calendar'!$E$451*1000000000+ISNUMBER('Dvd Calendar'!$E$454)*100000000+('Dvd Calendar'!$E$456=SPECIAL_LBL)*10000000+(N('Dvd Calendar'!$E$450)&gt;0)*(N('Dvd Calendar'!$E$450)&lt;=VAL_SERIAL)*1000000+41*1000+1))</f>
        <v/>
      </c>
      <c r="EF52" s="121">
        <f>IF(N('Dvd Calendar'!$F$451)=0,"",IF(('Dvd Calendar'!$F$451&gt;=GRID_FROM)*('Dvd Calendar'!$F$451&lt;=GRID_TO)*((('Dvd Calendar'!$F$451&lt;=VAL_DATE)+(COUNTIF('Dvd Calendar'!$E$458:$AR$458,'Dvd Calendar'!$F$451)=0))&gt;0)=0,"",'Dvd Calendar'!$F$451*1000000000+ISNUMBER('Dvd Calendar'!$F$454)*100000000+('Dvd Calendar'!$F$456=SPECIAL_LBL)*10000000+(N('Dvd Calendar'!$F$450)&gt;0)*(N('Dvd Calendar'!$F$450)&lt;=VAL_SERIAL)*1000000+41*1000+2))</f>
        <v/>
      </c>
      <c r="EG52" s="121">
        <f>IF(N('Dvd Calendar'!$G$451)=0,"",IF(('Dvd Calendar'!$G$451&gt;=GRID_FROM)*('Dvd Calendar'!$G$451&lt;=GRID_TO)*((('Dvd Calendar'!$G$451&lt;=VAL_DATE)+(COUNTIF('Dvd Calendar'!$E$458:$AR$458,'Dvd Calendar'!$G$451)=0))&gt;0)=0,"",'Dvd Calendar'!$G$451*1000000000+ISNUMBER('Dvd Calendar'!$G$454)*100000000+('Dvd Calendar'!$G$456=SPECIAL_LBL)*10000000+(N('Dvd Calendar'!$G$450)&gt;0)*(N('Dvd Calendar'!$G$450)&lt;=VAL_SERIAL)*1000000+41*1000+3))</f>
        <v/>
      </c>
      <c r="EH52" s="121">
        <f>IF(N('Dvd Calendar'!$H$451)=0,"",IF(('Dvd Calendar'!$H$451&gt;=GRID_FROM)*('Dvd Calendar'!$H$451&lt;=GRID_TO)*((('Dvd Calendar'!$H$451&lt;=VAL_DATE)+(COUNTIF('Dvd Calendar'!$E$458:$AR$458,'Dvd Calendar'!$H$451)=0))&gt;0)=0,"",'Dvd Calendar'!$H$451*1000000000+ISNUMBER('Dvd Calendar'!$H$454)*100000000+('Dvd Calendar'!$H$456=SPECIAL_LBL)*10000000+(N('Dvd Calendar'!$H$450)&gt;0)*(N('Dvd Calendar'!$H$450)&lt;=VAL_SERIAL)*1000000+41*1000+4))</f>
        <v/>
      </c>
      <c r="EI52" s="121">
        <f>IF(N('Dvd Calendar'!$I$451)=0,"",IF(('Dvd Calendar'!$I$451&gt;=GRID_FROM)*('Dvd Calendar'!$I$451&lt;=GRID_TO)*((('Dvd Calendar'!$I$451&lt;=VAL_DATE)+(COUNTIF('Dvd Calendar'!$E$458:$AR$458,'Dvd Calendar'!$I$451)=0))&gt;0)=0,"",'Dvd Calendar'!$I$451*1000000000+ISNUMBER('Dvd Calendar'!$I$454)*100000000+('Dvd Calendar'!$I$456=SPECIAL_LBL)*10000000+(N('Dvd Calendar'!$I$450)&gt;0)*(N('Dvd Calendar'!$I$450)&lt;=VAL_SERIAL)*1000000+41*1000+5))</f>
        <v/>
      </c>
      <c r="EJ52" s="121">
        <f>IF(N('Dvd Calendar'!$J$451)=0,"",IF(('Dvd Calendar'!$J$451&gt;=GRID_FROM)*('Dvd Calendar'!$J$451&lt;=GRID_TO)*((('Dvd Calendar'!$J$451&lt;=VAL_DATE)+(COUNTIF('Dvd Calendar'!$E$458:$AR$458,'Dvd Calendar'!$J$451)=0))&gt;0)=0,"",'Dvd Calendar'!$J$451*1000000000+ISNUMBER('Dvd Calendar'!$J$454)*100000000+('Dvd Calendar'!$J$456=SPECIAL_LBL)*10000000+(N('Dvd Calendar'!$J$450)&gt;0)*(N('Dvd Calendar'!$J$450)&lt;=VAL_SERIAL)*1000000+41*1000+6))</f>
        <v/>
      </c>
      <c r="EK52" s="121">
        <f>IF(N('Dvd Calendar'!$K$451)=0,"",IF(('Dvd Calendar'!$K$451&gt;=GRID_FROM)*('Dvd Calendar'!$K$451&lt;=GRID_TO)*((('Dvd Calendar'!$K$451&lt;=VAL_DATE)+(COUNTIF('Dvd Calendar'!$E$458:$AR$458,'Dvd Calendar'!$K$451)=0))&gt;0)=0,"",'Dvd Calendar'!$K$451*1000000000+ISNUMBER('Dvd Calendar'!$K$454)*100000000+('Dvd Calendar'!$K$456=SPECIAL_LBL)*10000000+(N('Dvd Calendar'!$K$450)&gt;0)*(N('Dvd Calendar'!$K$450)&lt;=VAL_SERIAL)*1000000+41*1000+7))</f>
        <v/>
      </c>
      <c r="EL52" s="121">
        <f>IF(N('Dvd Calendar'!$L$451)=0,"",IF(('Dvd Calendar'!$L$451&gt;=GRID_FROM)*('Dvd Calendar'!$L$451&lt;=GRID_TO)*((('Dvd Calendar'!$L$451&lt;=VAL_DATE)+(COUNTIF('Dvd Calendar'!$E$458:$AR$458,'Dvd Calendar'!$L$451)=0))&gt;0)=0,"",'Dvd Calendar'!$L$451*1000000000+ISNUMBER('Dvd Calendar'!$L$454)*100000000+('Dvd Calendar'!$L$456=SPECIAL_LBL)*10000000+(N('Dvd Calendar'!$L$450)&gt;0)*(N('Dvd Calendar'!$L$450)&lt;=VAL_SERIAL)*1000000+41*1000+8))</f>
        <v/>
      </c>
      <c r="EM52" s="121">
        <f>IF(N('Dvd Calendar'!$M$451)=0,"",IF(('Dvd Calendar'!$M$451&gt;=GRID_FROM)*('Dvd Calendar'!$M$451&lt;=GRID_TO)*((('Dvd Calendar'!$M$451&lt;=VAL_DATE)+(COUNTIF('Dvd Calendar'!$E$458:$AR$458,'Dvd Calendar'!$M$451)=0))&gt;0)=0,"",'Dvd Calendar'!$M$451*1000000000+ISNUMBER('Dvd Calendar'!$M$454)*100000000+('Dvd Calendar'!$M$456=SPECIAL_LBL)*10000000+(N('Dvd Calendar'!$M$450)&gt;0)*(N('Dvd Calendar'!$M$450)&lt;=VAL_SERIAL)*1000000+41*1000+9))</f>
        <v/>
      </c>
      <c r="EN52" s="121">
        <f>IF(N('Dvd Calendar'!$N$451)=0,"",IF(('Dvd Calendar'!$N$451&gt;=GRID_FROM)*('Dvd Calendar'!$N$451&lt;=GRID_TO)*((('Dvd Calendar'!$N$451&lt;=VAL_DATE)+(COUNTIF('Dvd Calendar'!$E$458:$AR$458,'Dvd Calendar'!$N$451)=0))&gt;0)=0,"",'Dvd Calendar'!$N$451*1000000000+ISNUMBER('Dvd Calendar'!$N$454)*100000000+('Dvd Calendar'!$N$456=SPECIAL_LBL)*10000000+(N('Dvd Calendar'!$N$450)&gt;0)*(N('Dvd Calendar'!$N$450)&lt;=VAL_SERIAL)*1000000+41*1000+10))</f>
        <v/>
      </c>
      <c r="EO52" s="121">
        <f>IF(N('Dvd Calendar'!$O$451)=0,"",IF(('Dvd Calendar'!$O$451&gt;=GRID_FROM)*('Dvd Calendar'!$O$451&lt;=GRID_TO)*((('Dvd Calendar'!$O$451&lt;=VAL_DATE)+(COUNTIF('Dvd Calendar'!$E$458:$AR$458,'Dvd Calendar'!$O$451)=0))&gt;0)=0,"",'Dvd Calendar'!$O$451*1000000000+ISNUMBER('Dvd Calendar'!$O$454)*100000000+('Dvd Calendar'!$O$456=SPECIAL_LBL)*10000000+(N('Dvd Calendar'!$O$450)&gt;0)*(N('Dvd Calendar'!$O$450)&lt;=VAL_SERIAL)*1000000+41*1000+11))</f>
        <v/>
      </c>
      <c r="EP52" s="121">
        <f>IF(N('Dvd Calendar'!$P$451)=0,"",IF(('Dvd Calendar'!$P$451&gt;=GRID_FROM)*('Dvd Calendar'!$P$451&lt;=GRID_TO)*((('Dvd Calendar'!$P$451&lt;=VAL_DATE)+(COUNTIF('Dvd Calendar'!$E$458:$AR$458,'Dvd Calendar'!$P$451)=0))&gt;0)=0,"",'Dvd Calendar'!$P$451*1000000000+ISNUMBER('Dvd Calendar'!$P$454)*100000000+('Dvd Calendar'!$P$456=SPECIAL_LBL)*10000000+(N('Dvd Calendar'!$P$450)&gt;0)*(N('Dvd Calendar'!$P$450)&lt;=VAL_SERIAL)*1000000+41*1000+12))</f>
        <v/>
      </c>
      <c r="EQ52" s="121">
        <f>IF(N('Dvd Calendar'!$Q$451)=0,"",IF(('Dvd Calendar'!$Q$451&gt;=GRID_FROM)*('Dvd Calendar'!$Q$451&lt;=GRID_TO)*((('Dvd Calendar'!$Q$451&lt;=VAL_DATE)+(COUNTIF('Dvd Calendar'!$E$458:$AR$458,'Dvd Calendar'!$Q$451)=0))&gt;0)=0,"",'Dvd Calendar'!$Q$451*1000000000+ISNUMBER('Dvd Calendar'!$Q$454)*100000000+('Dvd Calendar'!$Q$456=SPECIAL_LBL)*10000000+(N('Dvd Calendar'!$Q$450)&gt;0)*(N('Dvd Calendar'!$Q$450)&lt;=VAL_SERIAL)*1000000+41*1000+13))</f>
        <v/>
      </c>
      <c r="ER52" s="121">
        <f>IF(N('Dvd Calendar'!$R$451)=0,"",IF(('Dvd Calendar'!$R$451&gt;=GRID_FROM)*('Dvd Calendar'!$R$451&lt;=GRID_TO)*((('Dvd Calendar'!$R$451&lt;=VAL_DATE)+(COUNTIF('Dvd Calendar'!$E$458:$AR$458,'Dvd Calendar'!$R$451)=0))&gt;0)=0,"",'Dvd Calendar'!$R$451*1000000000+ISNUMBER('Dvd Calendar'!$R$454)*100000000+('Dvd Calendar'!$R$456=SPECIAL_LBL)*10000000+(N('Dvd Calendar'!$R$450)&gt;0)*(N('Dvd Calendar'!$R$450)&lt;=VAL_SERIAL)*1000000+41*1000+14))</f>
        <v/>
      </c>
      <c r="ES52" s="121">
        <f>IF(N('Dvd Calendar'!$S$451)=0,"",IF(('Dvd Calendar'!$S$451&gt;=GRID_FROM)*('Dvd Calendar'!$S$451&lt;=GRID_TO)*((('Dvd Calendar'!$S$451&lt;=VAL_DATE)+(COUNTIF('Dvd Calendar'!$E$458:$AR$458,'Dvd Calendar'!$S$451)=0))&gt;0)=0,"",'Dvd Calendar'!$S$451*1000000000+ISNUMBER('Dvd Calendar'!$S$454)*100000000+('Dvd Calendar'!$S$456=SPECIAL_LBL)*10000000+(N('Dvd Calendar'!$S$450)&gt;0)*(N('Dvd Calendar'!$S$450)&lt;=VAL_SERIAL)*1000000+41*1000+15))</f>
        <v/>
      </c>
      <c r="ET52" s="121">
        <f>IF(N('Dvd Calendar'!$T$451)=0,"",IF(('Dvd Calendar'!$T$451&gt;=GRID_FROM)*('Dvd Calendar'!$T$451&lt;=GRID_TO)*((('Dvd Calendar'!$T$451&lt;=VAL_DATE)+(COUNTIF('Dvd Calendar'!$E$458:$AR$458,'Dvd Calendar'!$T$451)=0))&gt;0)=0,"",'Dvd Calendar'!$T$451*1000000000+ISNUMBER('Dvd Calendar'!$T$454)*100000000+('Dvd Calendar'!$T$456=SPECIAL_LBL)*10000000+(N('Dvd Calendar'!$T$450)&gt;0)*(N('Dvd Calendar'!$T$450)&lt;=VAL_SERIAL)*1000000+41*1000+16))</f>
        <v/>
      </c>
      <c r="EU52" s="121">
        <f>IF(N('Dvd Calendar'!$U$451)=0,"",IF(('Dvd Calendar'!$U$451&gt;=GRID_FROM)*('Dvd Calendar'!$U$451&lt;=GRID_TO)*((('Dvd Calendar'!$U$451&lt;=VAL_DATE)+(COUNTIF('Dvd Calendar'!$E$458:$AR$458,'Dvd Calendar'!$U$451)=0))&gt;0)=0,"",'Dvd Calendar'!$U$451*1000000000+ISNUMBER('Dvd Calendar'!$U$454)*100000000+('Dvd Calendar'!$U$456=SPECIAL_LBL)*10000000+(N('Dvd Calendar'!$U$450)&gt;0)*(N('Dvd Calendar'!$U$450)&lt;=VAL_SERIAL)*1000000+41*1000+17))</f>
        <v/>
      </c>
      <c r="EV52" s="121">
        <f>IF(N('Dvd Calendar'!$V$451)=0,"",IF(('Dvd Calendar'!$V$451&gt;=GRID_FROM)*('Dvd Calendar'!$V$451&lt;=GRID_TO)*((('Dvd Calendar'!$V$451&lt;=VAL_DATE)+(COUNTIF('Dvd Calendar'!$E$458:$AR$458,'Dvd Calendar'!$V$451)=0))&gt;0)=0,"",'Dvd Calendar'!$V$451*1000000000+ISNUMBER('Dvd Calendar'!$V$454)*100000000+('Dvd Calendar'!$V$456=SPECIAL_LBL)*10000000+(N('Dvd Calendar'!$V$450)&gt;0)*(N('Dvd Calendar'!$V$450)&lt;=VAL_SERIAL)*1000000+41*1000+18))</f>
        <v/>
      </c>
      <c r="EW52" s="121">
        <f>IF(N('Dvd Calendar'!$W$451)=0,"",IF(('Dvd Calendar'!$W$451&gt;=GRID_FROM)*('Dvd Calendar'!$W$451&lt;=GRID_TO)*((('Dvd Calendar'!$W$451&lt;=VAL_DATE)+(COUNTIF('Dvd Calendar'!$E$458:$AR$458,'Dvd Calendar'!$W$451)=0))&gt;0)=0,"",'Dvd Calendar'!$W$451*1000000000+ISNUMBER('Dvd Calendar'!$W$454)*100000000+('Dvd Calendar'!$W$456=SPECIAL_LBL)*10000000+(N('Dvd Calendar'!$W$450)&gt;0)*(N('Dvd Calendar'!$W$450)&lt;=VAL_SERIAL)*1000000+41*1000+19))</f>
        <v/>
      </c>
      <c r="EX52" s="121">
        <f>IF(N('Dvd Calendar'!$X$451)=0,"",IF(('Dvd Calendar'!$X$451&gt;=GRID_FROM)*('Dvd Calendar'!$X$451&lt;=GRID_TO)*((('Dvd Calendar'!$X$451&lt;=VAL_DATE)+(COUNTIF('Dvd Calendar'!$E$458:$AR$458,'Dvd Calendar'!$X$451)=0))&gt;0)=0,"",'Dvd Calendar'!$X$451*1000000000+ISNUMBER('Dvd Calendar'!$X$454)*100000000+('Dvd Calendar'!$X$456=SPECIAL_LBL)*10000000+(N('Dvd Calendar'!$X$450)&gt;0)*(N('Dvd Calendar'!$X$450)&lt;=VAL_SERIAL)*1000000+41*1000+20))</f>
        <v/>
      </c>
      <c r="EY52" s="121">
        <f>IF(N('Dvd Calendar'!$Y$451)=0,"",IF(('Dvd Calendar'!$Y$451&gt;=GRID_FROM)*('Dvd Calendar'!$Y$451&lt;=GRID_TO)*((('Dvd Calendar'!$Y$451&lt;=VAL_DATE)+(COUNTIF('Dvd Calendar'!$E$458:$AR$458,'Dvd Calendar'!$Y$451)=0))&gt;0)=0,"",'Dvd Calendar'!$Y$451*1000000000+ISNUMBER('Dvd Calendar'!$Y$454)*100000000+('Dvd Calendar'!$Y$456=SPECIAL_LBL)*10000000+(N('Dvd Calendar'!$Y$450)&gt;0)*(N('Dvd Calendar'!$Y$450)&lt;=VAL_SERIAL)*1000000+41*1000+21))</f>
        <v/>
      </c>
      <c r="EZ52" s="121">
        <f>IF(N('Dvd Calendar'!$Z$451)=0,"",IF(('Dvd Calendar'!$Z$451&gt;=GRID_FROM)*('Dvd Calendar'!$Z$451&lt;=GRID_TO)*((('Dvd Calendar'!$Z$451&lt;=VAL_DATE)+(COUNTIF('Dvd Calendar'!$E$458:$AR$458,'Dvd Calendar'!$Z$451)=0))&gt;0)=0,"",'Dvd Calendar'!$Z$451*1000000000+ISNUMBER('Dvd Calendar'!$Z$454)*100000000+('Dvd Calendar'!$Z$456=SPECIAL_LBL)*10000000+(N('Dvd Calendar'!$Z$450)&gt;0)*(N('Dvd Calendar'!$Z$450)&lt;=VAL_SERIAL)*1000000+41*1000+22))</f>
        <v/>
      </c>
      <c r="FA52" s="121">
        <f>IF(N('Dvd Calendar'!$AA$451)=0,"",IF(('Dvd Calendar'!$AA$451&gt;=GRID_FROM)*('Dvd Calendar'!$AA$451&lt;=GRID_TO)*((('Dvd Calendar'!$AA$451&lt;=VAL_DATE)+(COUNTIF('Dvd Calendar'!$E$458:$AR$458,'Dvd Calendar'!$AA$451)=0))&gt;0)=0,"",'Dvd Calendar'!$AA$451*1000000000+ISNUMBER('Dvd Calendar'!$AA$454)*100000000+('Dvd Calendar'!$AA$456=SPECIAL_LBL)*10000000+(N('Dvd Calendar'!$AA$450)&gt;0)*(N('Dvd Calendar'!$AA$450)&lt;=VAL_SERIAL)*1000000+41*1000+23))</f>
        <v/>
      </c>
      <c r="FB52" s="121">
        <f>IF(N('Dvd Calendar'!$AB$451)=0,"",IF(('Dvd Calendar'!$AB$451&gt;=GRID_FROM)*('Dvd Calendar'!$AB$451&lt;=GRID_TO)*((('Dvd Calendar'!$AB$451&lt;=VAL_DATE)+(COUNTIF('Dvd Calendar'!$E$458:$AR$458,'Dvd Calendar'!$AB$451)=0))&gt;0)=0,"",'Dvd Calendar'!$AB$451*1000000000+ISNUMBER('Dvd Calendar'!$AB$454)*100000000+('Dvd Calendar'!$AB$456=SPECIAL_LBL)*10000000+(N('Dvd Calendar'!$AB$450)&gt;0)*(N('Dvd Calendar'!$AB$450)&lt;=VAL_SERIAL)*1000000+41*1000+24))</f>
        <v/>
      </c>
      <c r="FC52" s="121">
        <f>IF(N('Dvd Calendar'!$AC$451)=0,"",IF(('Dvd Calendar'!$AC$451&gt;=GRID_FROM)*('Dvd Calendar'!$AC$451&lt;=GRID_TO)*((('Dvd Calendar'!$AC$451&lt;=VAL_DATE)+(COUNTIF('Dvd Calendar'!$E$458:$AR$458,'Dvd Calendar'!$AC$451)=0))&gt;0)=0,"",'Dvd Calendar'!$AC$451*1000000000+ISNUMBER('Dvd Calendar'!$AC$454)*100000000+('Dvd Calendar'!$AC$456=SPECIAL_LBL)*10000000+(N('Dvd Calendar'!$AC$450)&gt;0)*(N('Dvd Calendar'!$AC$450)&lt;=VAL_SERIAL)*1000000+41*1000+25))</f>
        <v/>
      </c>
      <c r="FD52" s="121">
        <f>IF(N('Dvd Calendar'!$AD$451)=0,"",IF(('Dvd Calendar'!$AD$451&gt;=GRID_FROM)*('Dvd Calendar'!$AD$451&lt;=GRID_TO)*((('Dvd Calendar'!$AD$451&lt;=VAL_DATE)+(COUNTIF('Dvd Calendar'!$E$458:$AR$458,'Dvd Calendar'!$AD$451)=0))&gt;0)=0,"",'Dvd Calendar'!$AD$451*1000000000+ISNUMBER('Dvd Calendar'!$AD$454)*100000000+('Dvd Calendar'!$AD$456=SPECIAL_LBL)*10000000+(N('Dvd Calendar'!$AD$450)&gt;0)*(N('Dvd Calendar'!$AD$450)&lt;=VAL_SERIAL)*1000000+41*1000+26))</f>
        <v/>
      </c>
      <c r="FE52" s="121">
        <f>IF(N('Dvd Calendar'!$AE$451)=0,"",IF(('Dvd Calendar'!$AE$451&gt;=GRID_FROM)*('Dvd Calendar'!$AE$451&lt;=GRID_TO)*((('Dvd Calendar'!$AE$451&lt;=VAL_DATE)+(COUNTIF('Dvd Calendar'!$E$458:$AR$458,'Dvd Calendar'!$AE$451)=0))&gt;0)=0,"",'Dvd Calendar'!$AE$451*1000000000+ISNUMBER('Dvd Calendar'!$AE$454)*100000000+('Dvd Calendar'!$AE$456=SPECIAL_LBL)*10000000+(N('Dvd Calendar'!$AE$450)&gt;0)*(N('Dvd Calendar'!$AE$450)&lt;=VAL_SERIAL)*1000000+41*1000+27))</f>
        <v/>
      </c>
      <c r="FF52" s="121">
        <f>IF(N('Dvd Calendar'!$AF$451)=0,"",IF(('Dvd Calendar'!$AF$451&gt;=GRID_FROM)*('Dvd Calendar'!$AF$451&lt;=GRID_TO)*((('Dvd Calendar'!$AF$451&lt;=VAL_DATE)+(COUNTIF('Dvd Calendar'!$E$458:$AR$458,'Dvd Calendar'!$AF$451)=0))&gt;0)=0,"",'Dvd Calendar'!$AF$451*1000000000+ISNUMBER('Dvd Calendar'!$AF$454)*100000000+('Dvd Calendar'!$AF$456=SPECIAL_LBL)*10000000+(N('Dvd Calendar'!$AF$450)&gt;0)*(N('Dvd Calendar'!$AF$450)&lt;=VAL_SERIAL)*1000000+41*1000+28))</f>
        <v/>
      </c>
      <c r="FG52" s="121">
        <f>IF(N('Dvd Calendar'!$AG$451)=0,"",IF(('Dvd Calendar'!$AG$451&gt;=GRID_FROM)*('Dvd Calendar'!$AG$451&lt;=GRID_TO)*((('Dvd Calendar'!$AG$451&lt;=VAL_DATE)+(COUNTIF('Dvd Calendar'!$E$458:$AR$458,'Dvd Calendar'!$AG$451)=0))&gt;0)=0,"",'Dvd Calendar'!$AG$451*1000000000+ISNUMBER('Dvd Calendar'!$AG$454)*100000000+('Dvd Calendar'!$AG$456=SPECIAL_LBL)*10000000+(N('Dvd Calendar'!$AG$450)&gt;0)*(N('Dvd Calendar'!$AG$450)&lt;=VAL_SERIAL)*1000000+41*1000+29))</f>
        <v/>
      </c>
      <c r="FH52" s="121">
        <f>IF(N('Dvd Calendar'!$AH$451)=0,"",IF(('Dvd Calendar'!$AH$451&gt;=GRID_FROM)*('Dvd Calendar'!$AH$451&lt;=GRID_TO)*((('Dvd Calendar'!$AH$451&lt;=VAL_DATE)+(COUNTIF('Dvd Calendar'!$E$458:$AR$458,'Dvd Calendar'!$AH$451)=0))&gt;0)=0,"",'Dvd Calendar'!$AH$451*1000000000+ISNUMBER('Dvd Calendar'!$AH$454)*100000000+('Dvd Calendar'!$AH$456=SPECIAL_LBL)*10000000+(N('Dvd Calendar'!$AH$450)&gt;0)*(N('Dvd Calendar'!$AH$450)&lt;=VAL_SERIAL)*1000000+41*1000+30))</f>
        <v/>
      </c>
      <c r="FI52" s="121">
        <f>IF(N('Dvd Calendar'!$AI$451)=0,"",IF(('Dvd Calendar'!$AI$451&gt;=GRID_FROM)*('Dvd Calendar'!$AI$451&lt;=GRID_TO)*((('Dvd Calendar'!$AI$451&lt;=VAL_DATE)+(COUNTIF('Dvd Calendar'!$E$458:$AR$458,'Dvd Calendar'!$AI$451)=0))&gt;0)=0,"",'Dvd Calendar'!$AI$451*1000000000+ISNUMBER('Dvd Calendar'!$AI$454)*100000000+('Dvd Calendar'!$AI$456=SPECIAL_LBL)*10000000+(N('Dvd Calendar'!$AI$450)&gt;0)*(N('Dvd Calendar'!$AI$450)&lt;=VAL_SERIAL)*1000000+41*1000+31))</f>
        <v/>
      </c>
      <c r="FJ52" s="121">
        <f>IF(N('Dvd Calendar'!$AJ$451)=0,"",IF(('Dvd Calendar'!$AJ$451&gt;=GRID_FROM)*('Dvd Calendar'!$AJ$451&lt;=GRID_TO)*((('Dvd Calendar'!$AJ$451&lt;=VAL_DATE)+(COUNTIF('Dvd Calendar'!$E$458:$AR$458,'Dvd Calendar'!$AJ$451)=0))&gt;0)=0,"",'Dvd Calendar'!$AJ$451*1000000000+ISNUMBER('Dvd Calendar'!$AJ$454)*100000000+('Dvd Calendar'!$AJ$456=SPECIAL_LBL)*10000000+(N('Dvd Calendar'!$AJ$450)&gt;0)*(N('Dvd Calendar'!$AJ$450)&lt;=VAL_SERIAL)*1000000+41*1000+32))</f>
        <v/>
      </c>
      <c r="FK52" s="121">
        <f>IF(N('Dvd Calendar'!$AK$451)=0,"",IF(('Dvd Calendar'!$AK$451&gt;=GRID_FROM)*('Dvd Calendar'!$AK$451&lt;=GRID_TO)*((('Dvd Calendar'!$AK$451&lt;=VAL_DATE)+(COUNTIF('Dvd Calendar'!$E$458:$AR$458,'Dvd Calendar'!$AK$451)=0))&gt;0)=0,"",'Dvd Calendar'!$AK$451*1000000000+ISNUMBER('Dvd Calendar'!$AK$454)*100000000+('Dvd Calendar'!$AK$456=SPECIAL_LBL)*10000000+(N('Dvd Calendar'!$AK$450)&gt;0)*(N('Dvd Calendar'!$AK$450)&lt;=VAL_SERIAL)*1000000+41*1000+33))</f>
        <v/>
      </c>
      <c r="FL52" s="121">
        <f>IF(N('Dvd Calendar'!$AL$451)=0,"",IF(('Dvd Calendar'!$AL$451&gt;=GRID_FROM)*('Dvd Calendar'!$AL$451&lt;=GRID_TO)*((('Dvd Calendar'!$AL$451&lt;=VAL_DATE)+(COUNTIF('Dvd Calendar'!$E$458:$AR$458,'Dvd Calendar'!$AL$451)=0))&gt;0)=0,"",'Dvd Calendar'!$AL$451*1000000000+ISNUMBER('Dvd Calendar'!$AL$454)*100000000+('Dvd Calendar'!$AL$456=SPECIAL_LBL)*10000000+(N('Dvd Calendar'!$AL$450)&gt;0)*(N('Dvd Calendar'!$AL$450)&lt;=VAL_SERIAL)*1000000+41*1000+34))</f>
        <v/>
      </c>
      <c r="FM52" s="121">
        <f>IF(N('Dvd Calendar'!$AM$451)=0,"",IF(('Dvd Calendar'!$AM$451&gt;=GRID_FROM)*('Dvd Calendar'!$AM$451&lt;=GRID_TO)*((('Dvd Calendar'!$AM$451&lt;=VAL_DATE)+(COUNTIF('Dvd Calendar'!$E$458:$AR$458,'Dvd Calendar'!$AM$451)=0))&gt;0)=0,"",'Dvd Calendar'!$AM$451*1000000000+ISNUMBER('Dvd Calendar'!$AM$454)*100000000+('Dvd Calendar'!$AM$456=SPECIAL_LBL)*10000000+(N('Dvd Calendar'!$AM$450)&gt;0)*(N('Dvd Calendar'!$AM$450)&lt;=VAL_SERIAL)*1000000+41*1000+35))</f>
        <v/>
      </c>
      <c r="FN52" s="121">
        <f>IF(N('Dvd Calendar'!$AN$451)=0,"",IF(('Dvd Calendar'!$AN$451&gt;=GRID_FROM)*('Dvd Calendar'!$AN$451&lt;=GRID_TO)*((('Dvd Calendar'!$AN$451&lt;=VAL_DATE)+(COUNTIF('Dvd Calendar'!$E$458:$AR$458,'Dvd Calendar'!$AN$451)=0))&gt;0)=0,"",'Dvd Calendar'!$AN$451*1000000000+ISNUMBER('Dvd Calendar'!$AN$454)*100000000+('Dvd Calendar'!$AN$456=SPECIAL_LBL)*10000000+(N('Dvd Calendar'!$AN$450)&gt;0)*(N('Dvd Calendar'!$AN$450)&lt;=VAL_SERIAL)*1000000+41*1000+36))</f>
        <v/>
      </c>
      <c r="FO52" s="121">
        <f>IF(N('Dvd Calendar'!$AO$451)=0,"",IF(('Dvd Calendar'!$AO$451&gt;=GRID_FROM)*('Dvd Calendar'!$AO$451&lt;=GRID_TO)*((('Dvd Calendar'!$AO$451&lt;=VAL_DATE)+(COUNTIF('Dvd Calendar'!$E$458:$AR$458,'Dvd Calendar'!$AO$451)=0))&gt;0)=0,"",'Dvd Calendar'!$AO$451*1000000000+ISNUMBER('Dvd Calendar'!$AO$454)*100000000+('Dvd Calendar'!$AO$456=SPECIAL_LBL)*10000000+(N('Dvd Calendar'!$AO$450)&gt;0)*(N('Dvd Calendar'!$AO$450)&lt;=VAL_SERIAL)*1000000+41*1000+37))</f>
        <v/>
      </c>
      <c r="FP52" s="121">
        <f>IF(N('Dvd Calendar'!$AP$451)=0,"",IF(('Dvd Calendar'!$AP$451&gt;=GRID_FROM)*('Dvd Calendar'!$AP$451&lt;=GRID_TO)*((('Dvd Calendar'!$AP$451&lt;=VAL_DATE)+(COUNTIF('Dvd Calendar'!$E$458:$AR$458,'Dvd Calendar'!$AP$451)=0))&gt;0)=0,"",'Dvd Calendar'!$AP$451*1000000000+ISNUMBER('Dvd Calendar'!$AP$454)*100000000+('Dvd Calendar'!$AP$456=SPECIAL_LBL)*10000000+(N('Dvd Calendar'!$AP$450)&gt;0)*(N('Dvd Calendar'!$AP$450)&lt;=VAL_SERIAL)*1000000+41*1000+38))</f>
        <v/>
      </c>
      <c r="FQ52" s="121">
        <f>IF(N('Dvd Calendar'!$AQ$451)=0,"",IF(('Dvd Calendar'!$AQ$451&gt;=GRID_FROM)*('Dvd Calendar'!$AQ$451&lt;=GRID_TO)*((('Dvd Calendar'!$AQ$451&lt;=VAL_DATE)+(COUNTIF('Dvd Calendar'!$E$458:$AR$458,'Dvd Calendar'!$AQ$451)=0))&gt;0)=0,"",'Dvd Calendar'!$AQ$451*1000000000+ISNUMBER('Dvd Calendar'!$AQ$454)*100000000+('Dvd Calendar'!$AQ$456=SPECIAL_LBL)*10000000+(N('Dvd Calendar'!$AQ$450)&gt;0)*(N('Dvd Calendar'!$AQ$450)&lt;=VAL_SERIAL)*1000000+41*1000+39))</f>
        <v/>
      </c>
      <c r="FR52" s="121">
        <f>IF(N('Dvd Calendar'!$AR$451)=0,"",IF(('Dvd Calendar'!$AR$451&gt;=GRID_FROM)*('Dvd Calendar'!$AR$451&lt;=GRID_TO)*((('Dvd Calendar'!$AR$451&lt;=VAL_DATE)+(COUNTIF('Dvd Calendar'!$E$458:$AR$458,'Dvd Calendar'!$AR$451)=0))&gt;0)=0,"",'Dvd Calendar'!$AR$451*1000000000+ISNUMBER('Dvd Calendar'!$AR$454)*100000000+('Dvd Calendar'!$AR$456=SPECIAL_LBL)*10000000+(N('Dvd Calendar'!$AR$450)&gt;0)*(N('Dvd Calendar'!$AR$450)&lt;=VAL_SERIAL)*1000000+41*1000+40))</f>
        <v/>
      </c>
      <c r="FS52" s="121">
        <f>IF(N('Dvd Calendar'!$E$458)=0,"",IF(('Dvd Calendar'!$E$458&gt;=GRID_FROM)*('Dvd Calendar'!$E$458&lt;=GRID_TO)*('Dvd Calendar'!$E$458&gt;VAL_DATE)=0,"",'Dvd Calendar'!$E$458*1000000000+ISNUMBER('Dvd Calendar'!$E$459)*100000000+0*10000000+(N('Dvd Calendar'!$E$457)&gt;0)*(N('Dvd Calendar'!$E$457)&lt;=VAL_SERIAL)*1000000+41*1000+41))</f>
        <v/>
      </c>
      <c r="FT52" s="121">
        <f>IF(N('Dvd Calendar'!$F$458)=0,"",IF(('Dvd Calendar'!$F$458&gt;=GRID_FROM)*('Dvd Calendar'!$F$458&lt;=GRID_TO)*('Dvd Calendar'!$F$458&gt;VAL_DATE)=0,"",'Dvd Calendar'!$F$458*1000000000+ISNUMBER('Dvd Calendar'!$F$459)*100000000+0*10000000+(N('Dvd Calendar'!$F$457)&gt;0)*(N('Dvd Calendar'!$F$457)&lt;=VAL_SERIAL)*1000000+41*1000+42))</f>
        <v/>
      </c>
      <c r="FU52" s="121">
        <f>IF(N('Dvd Calendar'!$G$458)=0,"",IF(('Dvd Calendar'!$G$458&gt;=GRID_FROM)*('Dvd Calendar'!$G$458&lt;=GRID_TO)*('Dvd Calendar'!$G$458&gt;VAL_DATE)=0,"",'Dvd Calendar'!$G$458*1000000000+ISNUMBER('Dvd Calendar'!$G$459)*100000000+0*10000000+(N('Dvd Calendar'!$G$457)&gt;0)*(N('Dvd Calendar'!$G$457)&lt;=VAL_SERIAL)*1000000+41*1000+43))</f>
        <v/>
      </c>
      <c r="FV52" s="121">
        <f>IF(N('Dvd Calendar'!$H$458)=0,"",IF(('Dvd Calendar'!$H$458&gt;=GRID_FROM)*('Dvd Calendar'!$H$458&lt;=GRID_TO)*('Dvd Calendar'!$H$458&gt;VAL_DATE)=0,"",'Dvd Calendar'!$H$458*1000000000+ISNUMBER('Dvd Calendar'!$H$459)*100000000+0*10000000+(N('Dvd Calendar'!$H$457)&gt;0)*(N('Dvd Calendar'!$H$457)&lt;=VAL_SERIAL)*1000000+41*1000+44))</f>
        <v/>
      </c>
      <c r="FW52" s="121">
        <f>IF(N('Dvd Calendar'!$I$458)=0,"",IF(('Dvd Calendar'!$I$458&gt;=GRID_FROM)*('Dvd Calendar'!$I$458&lt;=GRID_TO)*('Dvd Calendar'!$I$458&gt;VAL_DATE)=0,"",'Dvd Calendar'!$I$458*1000000000+ISNUMBER('Dvd Calendar'!$I$459)*100000000+0*10000000+(N('Dvd Calendar'!$I$457)&gt;0)*(N('Dvd Calendar'!$I$457)&lt;=VAL_SERIAL)*1000000+41*1000+45))</f>
        <v/>
      </c>
      <c r="FX52" s="121">
        <f>IF(N('Dvd Calendar'!$J$458)=0,"",IF(('Dvd Calendar'!$J$458&gt;=GRID_FROM)*('Dvd Calendar'!$J$458&lt;=GRID_TO)*('Dvd Calendar'!$J$458&gt;VAL_DATE)=0,"",'Dvd Calendar'!$J$458*1000000000+ISNUMBER('Dvd Calendar'!$J$459)*100000000+0*10000000+(N('Dvd Calendar'!$J$457)&gt;0)*(N('Dvd Calendar'!$J$457)&lt;=VAL_SERIAL)*1000000+41*1000+46))</f>
        <v/>
      </c>
      <c r="FY52" s="121">
        <f>IF(N('Dvd Calendar'!$K$458)=0,"",IF(('Dvd Calendar'!$K$458&gt;=GRID_FROM)*('Dvd Calendar'!$K$458&lt;=GRID_TO)*('Dvd Calendar'!$K$458&gt;VAL_DATE)=0,"",'Dvd Calendar'!$K$458*1000000000+ISNUMBER('Dvd Calendar'!$K$459)*100000000+0*10000000+(N('Dvd Calendar'!$K$457)&gt;0)*(N('Dvd Calendar'!$K$457)&lt;=VAL_SERIAL)*1000000+41*1000+47))</f>
        <v/>
      </c>
      <c r="FZ52" s="121">
        <f>IF(N('Dvd Calendar'!$L$458)=0,"",IF(('Dvd Calendar'!$L$458&gt;=GRID_FROM)*('Dvd Calendar'!$L$458&lt;=GRID_TO)*('Dvd Calendar'!$L$458&gt;VAL_DATE)=0,"",'Dvd Calendar'!$L$458*1000000000+ISNUMBER('Dvd Calendar'!$L$459)*100000000+0*10000000+(N('Dvd Calendar'!$L$457)&gt;0)*(N('Dvd Calendar'!$L$457)&lt;=VAL_SERIAL)*1000000+41*1000+48))</f>
        <v/>
      </c>
      <c r="GA52" s="121">
        <f>IF(N('Dvd Calendar'!$M$458)=0,"",IF(('Dvd Calendar'!$M$458&gt;=GRID_FROM)*('Dvd Calendar'!$M$458&lt;=GRID_TO)*('Dvd Calendar'!$M$458&gt;VAL_DATE)=0,"",'Dvd Calendar'!$M$458*1000000000+ISNUMBER('Dvd Calendar'!$M$459)*100000000+0*10000000+(N('Dvd Calendar'!$M$457)&gt;0)*(N('Dvd Calendar'!$M$457)&lt;=VAL_SERIAL)*1000000+41*1000+49))</f>
        <v/>
      </c>
      <c r="GB52" s="121">
        <f>IF(N('Dvd Calendar'!$N$458)=0,"",IF(('Dvd Calendar'!$N$458&gt;=GRID_FROM)*('Dvd Calendar'!$N$458&lt;=GRID_TO)*('Dvd Calendar'!$N$458&gt;VAL_DATE)=0,"",'Dvd Calendar'!$N$458*1000000000+ISNUMBER('Dvd Calendar'!$N$459)*100000000+0*10000000+(N('Dvd Calendar'!$N$457)&gt;0)*(N('Dvd Calendar'!$N$457)&lt;=VAL_SERIAL)*1000000+41*1000+50))</f>
        <v/>
      </c>
      <c r="GC52" s="121">
        <f>IF(N('Dvd Calendar'!$O$458)=0,"",IF(('Dvd Calendar'!$O$458&gt;=GRID_FROM)*('Dvd Calendar'!$O$458&lt;=GRID_TO)*('Dvd Calendar'!$O$458&gt;VAL_DATE)=0,"",'Dvd Calendar'!$O$458*1000000000+ISNUMBER('Dvd Calendar'!$O$459)*100000000+0*10000000+(N('Dvd Calendar'!$O$457)&gt;0)*(N('Dvd Calendar'!$O$457)&lt;=VAL_SERIAL)*1000000+41*1000+51))</f>
        <v/>
      </c>
      <c r="GD52" s="121">
        <f>IF(N('Dvd Calendar'!$P$458)=0,"",IF(('Dvd Calendar'!$P$458&gt;=GRID_FROM)*('Dvd Calendar'!$P$458&lt;=GRID_TO)*('Dvd Calendar'!$P$458&gt;VAL_DATE)=0,"",'Dvd Calendar'!$P$458*1000000000+ISNUMBER('Dvd Calendar'!$P$459)*100000000+0*10000000+(N('Dvd Calendar'!$P$457)&gt;0)*(N('Dvd Calendar'!$P$457)&lt;=VAL_SERIAL)*1000000+41*1000+52))</f>
        <v/>
      </c>
      <c r="GE52" s="121">
        <f>IF(N('Dvd Calendar'!$Q$458)=0,"",IF(('Dvd Calendar'!$Q$458&gt;=GRID_FROM)*('Dvd Calendar'!$Q$458&lt;=GRID_TO)*('Dvd Calendar'!$Q$458&gt;VAL_DATE)=0,"",'Dvd Calendar'!$Q$458*1000000000+ISNUMBER('Dvd Calendar'!$Q$459)*100000000+0*10000000+(N('Dvd Calendar'!$Q$457)&gt;0)*(N('Dvd Calendar'!$Q$457)&lt;=VAL_SERIAL)*1000000+41*1000+53))</f>
        <v/>
      </c>
      <c r="GF52" s="121">
        <f>IF(N('Dvd Calendar'!$R$458)=0,"",IF(('Dvd Calendar'!$R$458&gt;=GRID_FROM)*('Dvd Calendar'!$R$458&lt;=GRID_TO)*('Dvd Calendar'!$R$458&gt;VAL_DATE)=0,"",'Dvd Calendar'!$R$458*1000000000+ISNUMBER('Dvd Calendar'!$R$459)*100000000+0*10000000+(N('Dvd Calendar'!$R$457)&gt;0)*(N('Dvd Calendar'!$R$457)&lt;=VAL_SERIAL)*1000000+41*1000+54))</f>
        <v/>
      </c>
      <c r="GG52" s="121">
        <f>IF(N('Dvd Calendar'!$S$458)=0,"",IF(('Dvd Calendar'!$S$458&gt;=GRID_FROM)*('Dvd Calendar'!$S$458&lt;=GRID_TO)*('Dvd Calendar'!$S$458&gt;VAL_DATE)=0,"",'Dvd Calendar'!$S$458*1000000000+ISNUMBER('Dvd Calendar'!$S$459)*100000000+0*10000000+(N('Dvd Calendar'!$S$457)&gt;0)*(N('Dvd Calendar'!$S$457)&lt;=VAL_SERIAL)*1000000+41*1000+55))</f>
        <v/>
      </c>
      <c r="GH52" s="121">
        <f>IF(N('Dvd Calendar'!$T$458)=0,"",IF(('Dvd Calendar'!$T$458&gt;=GRID_FROM)*('Dvd Calendar'!$T$458&lt;=GRID_TO)*('Dvd Calendar'!$T$458&gt;VAL_DATE)=0,"",'Dvd Calendar'!$T$458*1000000000+ISNUMBER('Dvd Calendar'!$T$459)*100000000+0*10000000+(N('Dvd Calendar'!$T$457)&gt;0)*(N('Dvd Calendar'!$T$457)&lt;=VAL_SERIAL)*1000000+41*1000+56))</f>
        <v/>
      </c>
      <c r="GI52" s="121">
        <f>IF(N('Dvd Calendar'!$U$458)=0,"",IF(('Dvd Calendar'!$U$458&gt;=GRID_FROM)*('Dvd Calendar'!$U$458&lt;=GRID_TO)*('Dvd Calendar'!$U$458&gt;VAL_DATE)=0,"",'Dvd Calendar'!$U$458*1000000000+ISNUMBER('Dvd Calendar'!$U$459)*100000000+0*10000000+(N('Dvd Calendar'!$U$457)&gt;0)*(N('Dvd Calendar'!$U$457)&lt;=VAL_SERIAL)*1000000+41*1000+57))</f>
        <v/>
      </c>
      <c r="GJ52" s="121">
        <f>IF(N('Dvd Calendar'!$V$458)=0,"",IF(('Dvd Calendar'!$V$458&gt;=GRID_FROM)*('Dvd Calendar'!$V$458&lt;=GRID_TO)*('Dvd Calendar'!$V$458&gt;VAL_DATE)=0,"",'Dvd Calendar'!$V$458*1000000000+ISNUMBER('Dvd Calendar'!$V$459)*100000000+0*10000000+(N('Dvd Calendar'!$V$457)&gt;0)*(N('Dvd Calendar'!$V$457)&lt;=VAL_SERIAL)*1000000+41*1000+58))</f>
        <v/>
      </c>
      <c r="GK52" s="121">
        <f>IF(N('Dvd Calendar'!$W$458)=0,"",IF(('Dvd Calendar'!$W$458&gt;=GRID_FROM)*('Dvd Calendar'!$W$458&lt;=GRID_TO)*('Dvd Calendar'!$W$458&gt;VAL_DATE)=0,"",'Dvd Calendar'!$W$458*1000000000+ISNUMBER('Dvd Calendar'!$W$459)*100000000+0*10000000+(N('Dvd Calendar'!$W$457)&gt;0)*(N('Dvd Calendar'!$W$457)&lt;=VAL_SERIAL)*1000000+41*1000+59))</f>
        <v/>
      </c>
      <c r="GL52" s="121">
        <f>IF(N('Dvd Calendar'!$X$458)=0,"",IF(('Dvd Calendar'!$X$458&gt;=GRID_FROM)*('Dvd Calendar'!$X$458&lt;=GRID_TO)*('Dvd Calendar'!$X$458&gt;VAL_DATE)=0,"",'Dvd Calendar'!$X$458*1000000000+ISNUMBER('Dvd Calendar'!$X$459)*100000000+0*10000000+(N('Dvd Calendar'!$X$457)&gt;0)*(N('Dvd Calendar'!$X$457)&lt;=VAL_SERIAL)*1000000+41*1000+60))</f>
        <v/>
      </c>
      <c r="GM52" s="121">
        <f>IF(N('Dvd Calendar'!$Y$458)=0,"",IF(('Dvd Calendar'!$Y$458&gt;=GRID_FROM)*('Dvd Calendar'!$Y$458&lt;=GRID_TO)*('Dvd Calendar'!$Y$458&gt;VAL_DATE)=0,"",'Dvd Calendar'!$Y$458*1000000000+ISNUMBER('Dvd Calendar'!$Y$459)*100000000+0*10000000+(N('Dvd Calendar'!$Y$457)&gt;0)*(N('Dvd Calendar'!$Y$457)&lt;=VAL_SERIAL)*1000000+41*1000+61))</f>
        <v/>
      </c>
      <c r="GN52" s="121">
        <f>IF(N('Dvd Calendar'!$Z$458)=0,"",IF(('Dvd Calendar'!$Z$458&gt;=GRID_FROM)*('Dvd Calendar'!$Z$458&lt;=GRID_TO)*('Dvd Calendar'!$Z$458&gt;VAL_DATE)=0,"",'Dvd Calendar'!$Z$458*1000000000+ISNUMBER('Dvd Calendar'!$Z$459)*100000000+0*10000000+(N('Dvd Calendar'!$Z$457)&gt;0)*(N('Dvd Calendar'!$Z$457)&lt;=VAL_SERIAL)*1000000+41*1000+62))</f>
        <v/>
      </c>
      <c r="GO52" s="121">
        <f>IF(N('Dvd Calendar'!$AA$458)=0,"",IF(('Dvd Calendar'!$AA$458&gt;=GRID_FROM)*('Dvd Calendar'!$AA$458&lt;=GRID_TO)*('Dvd Calendar'!$AA$458&gt;VAL_DATE)=0,"",'Dvd Calendar'!$AA$458*1000000000+ISNUMBER('Dvd Calendar'!$AA$459)*100000000+0*10000000+(N('Dvd Calendar'!$AA$457)&gt;0)*(N('Dvd Calendar'!$AA$457)&lt;=VAL_SERIAL)*1000000+41*1000+63))</f>
        <v/>
      </c>
      <c r="GP52" s="121">
        <f>IF(N('Dvd Calendar'!$AB$458)=0,"",IF(('Dvd Calendar'!$AB$458&gt;=GRID_FROM)*('Dvd Calendar'!$AB$458&lt;=GRID_TO)*('Dvd Calendar'!$AB$458&gt;VAL_DATE)=0,"",'Dvd Calendar'!$AB$458*1000000000+ISNUMBER('Dvd Calendar'!$AB$459)*100000000+0*10000000+(N('Dvd Calendar'!$AB$457)&gt;0)*(N('Dvd Calendar'!$AB$457)&lt;=VAL_SERIAL)*1000000+41*1000+64))</f>
        <v/>
      </c>
      <c r="GQ52" s="121">
        <f>IF(N('Dvd Calendar'!$AC$458)=0,"",IF(('Dvd Calendar'!$AC$458&gt;=GRID_FROM)*('Dvd Calendar'!$AC$458&lt;=GRID_TO)*('Dvd Calendar'!$AC$458&gt;VAL_DATE)=0,"",'Dvd Calendar'!$AC$458*1000000000+ISNUMBER('Dvd Calendar'!$AC$459)*100000000+0*10000000+(N('Dvd Calendar'!$AC$457)&gt;0)*(N('Dvd Calendar'!$AC$457)&lt;=VAL_SERIAL)*1000000+41*1000+65))</f>
        <v/>
      </c>
    </row>
    <row r="53">
      <c r="B53" s="2">
        <f>IF(HSI!$C$48="","",HSI!$C$48)</f>
        <v/>
      </c>
      <c r="C53" s="161">
        <f>IF(EE53="","",IF(ISNUMBER('Dvd Calendar'!$E$465)=FALSE,"",IF((('Dvd Calendar'!$E$467=TYPE1)*(TYPE1&lt;&gt;"")+('Dvd Calendar'!$E$467=TYPE2)*(TYPE2&lt;&gt;"")+('Dvd Calendar'!$E$467=TYPE3)*(TYPE3&lt;&gt;"")+('Dvd Calendar'!$E$467=TYPE4)*(TYPE4&lt;&gt;"")+('Dvd Calendar'!$E$467=SPECIAL_LBL)*(INC_SPECIALS="Y"))=0,"",'Dvd Calendar'!$E$465)))</f>
        <v/>
      </c>
      <c r="D53" s="161">
        <f>IF(EF53="","",IF(ISNUMBER('Dvd Calendar'!$F$465)=FALSE,"",IF((('Dvd Calendar'!$F$467=TYPE1)*(TYPE1&lt;&gt;"")+('Dvd Calendar'!$F$467=TYPE2)*(TYPE2&lt;&gt;"")+('Dvd Calendar'!$F$467=TYPE3)*(TYPE3&lt;&gt;"")+('Dvd Calendar'!$F$467=TYPE4)*(TYPE4&lt;&gt;"")+('Dvd Calendar'!$F$467=SPECIAL_LBL)*(INC_SPECIALS="Y"))=0,"",'Dvd Calendar'!$F$465)))</f>
        <v/>
      </c>
      <c r="E53" s="161">
        <f>IF(EG53="","",IF(ISNUMBER('Dvd Calendar'!$G$465)=FALSE,"",IF((('Dvd Calendar'!$G$467=TYPE1)*(TYPE1&lt;&gt;"")+('Dvd Calendar'!$G$467=TYPE2)*(TYPE2&lt;&gt;"")+('Dvd Calendar'!$G$467=TYPE3)*(TYPE3&lt;&gt;"")+('Dvd Calendar'!$G$467=TYPE4)*(TYPE4&lt;&gt;"")+('Dvd Calendar'!$G$467=SPECIAL_LBL)*(INC_SPECIALS="Y"))=0,"",'Dvd Calendar'!$G$465)))</f>
        <v/>
      </c>
      <c r="F53" s="161">
        <f>IF(EH53="","",IF(ISNUMBER('Dvd Calendar'!$H$465)=FALSE,"",IF((('Dvd Calendar'!$H$467=TYPE1)*(TYPE1&lt;&gt;"")+('Dvd Calendar'!$H$467=TYPE2)*(TYPE2&lt;&gt;"")+('Dvd Calendar'!$H$467=TYPE3)*(TYPE3&lt;&gt;"")+('Dvd Calendar'!$H$467=TYPE4)*(TYPE4&lt;&gt;"")+('Dvd Calendar'!$H$467=SPECIAL_LBL)*(INC_SPECIALS="Y"))=0,"",'Dvd Calendar'!$H$465)))</f>
        <v/>
      </c>
      <c r="G53" s="161">
        <f>IF(EI53="","",IF(ISNUMBER('Dvd Calendar'!$I$465)=FALSE,"",IF((('Dvd Calendar'!$I$467=TYPE1)*(TYPE1&lt;&gt;"")+('Dvd Calendar'!$I$467=TYPE2)*(TYPE2&lt;&gt;"")+('Dvd Calendar'!$I$467=TYPE3)*(TYPE3&lt;&gt;"")+('Dvd Calendar'!$I$467=TYPE4)*(TYPE4&lt;&gt;"")+('Dvd Calendar'!$I$467=SPECIAL_LBL)*(INC_SPECIALS="Y"))=0,"",'Dvd Calendar'!$I$465)))</f>
        <v/>
      </c>
      <c r="H53" s="161">
        <f>IF(EJ53="","",IF(ISNUMBER('Dvd Calendar'!$J$465)=FALSE,"",IF((('Dvd Calendar'!$J$467=TYPE1)*(TYPE1&lt;&gt;"")+('Dvd Calendar'!$J$467=TYPE2)*(TYPE2&lt;&gt;"")+('Dvd Calendar'!$J$467=TYPE3)*(TYPE3&lt;&gt;"")+('Dvd Calendar'!$J$467=TYPE4)*(TYPE4&lt;&gt;"")+('Dvd Calendar'!$J$467=SPECIAL_LBL)*(INC_SPECIALS="Y"))=0,"",'Dvd Calendar'!$J$465)))</f>
        <v/>
      </c>
      <c r="I53" s="161">
        <f>IF(EK53="","",IF(ISNUMBER('Dvd Calendar'!$K$465)=FALSE,"",IF((('Dvd Calendar'!$K$467=TYPE1)*(TYPE1&lt;&gt;"")+('Dvd Calendar'!$K$467=TYPE2)*(TYPE2&lt;&gt;"")+('Dvd Calendar'!$K$467=TYPE3)*(TYPE3&lt;&gt;"")+('Dvd Calendar'!$K$467=TYPE4)*(TYPE4&lt;&gt;"")+('Dvd Calendar'!$K$467=SPECIAL_LBL)*(INC_SPECIALS="Y"))=0,"",'Dvd Calendar'!$K$465)))</f>
        <v/>
      </c>
      <c r="J53" s="161">
        <f>IF(EL53="","",IF(ISNUMBER('Dvd Calendar'!$L$465)=FALSE,"",IF((('Dvd Calendar'!$L$467=TYPE1)*(TYPE1&lt;&gt;"")+('Dvd Calendar'!$L$467=TYPE2)*(TYPE2&lt;&gt;"")+('Dvd Calendar'!$L$467=TYPE3)*(TYPE3&lt;&gt;"")+('Dvd Calendar'!$L$467=TYPE4)*(TYPE4&lt;&gt;"")+('Dvd Calendar'!$L$467=SPECIAL_LBL)*(INC_SPECIALS="Y"))=0,"",'Dvd Calendar'!$L$465)))</f>
        <v/>
      </c>
      <c r="K53" s="161">
        <f>IF(EM53="","",IF(ISNUMBER('Dvd Calendar'!$M$465)=FALSE,"",IF((('Dvd Calendar'!$M$467=TYPE1)*(TYPE1&lt;&gt;"")+('Dvd Calendar'!$M$467=TYPE2)*(TYPE2&lt;&gt;"")+('Dvd Calendar'!$M$467=TYPE3)*(TYPE3&lt;&gt;"")+('Dvd Calendar'!$M$467=TYPE4)*(TYPE4&lt;&gt;"")+('Dvd Calendar'!$M$467=SPECIAL_LBL)*(INC_SPECIALS="Y"))=0,"",'Dvd Calendar'!$M$465)))</f>
        <v/>
      </c>
      <c r="L53" s="161">
        <f>IF(EN53="","",IF(ISNUMBER('Dvd Calendar'!$N$465)=FALSE,"",IF((('Dvd Calendar'!$N$467=TYPE1)*(TYPE1&lt;&gt;"")+('Dvd Calendar'!$N$467=TYPE2)*(TYPE2&lt;&gt;"")+('Dvd Calendar'!$N$467=TYPE3)*(TYPE3&lt;&gt;"")+('Dvd Calendar'!$N$467=TYPE4)*(TYPE4&lt;&gt;"")+('Dvd Calendar'!$N$467=SPECIAL_LBL)*(INC_SPECIALS="Y"))=0,"",'Dvd Calendar'!$N$465)))</f>
        <v/>
      </c>
      <c r="M53" s="161">
        <f>IF(EO53="","",IF(ISNUMBER('Dvd Calendar'!$O$465)=FALSE,"",IF((('Dvd Calendar'!$O$467=TYPE1)*(TYPE1&lt;&gt;"")+('Dvd Calendar'!$O$467=TYPE2)*(TYPE2&lt;&gt;"")+('Dvd Calendar'!$O$467=TYPE3)*(TYPE3&lt;&gt;"")+('Dvd Calendar'!$O$467=TYPE4)*(TYPE4&lt;&gt;"")+('Dvd Calendar'!$O$467=SPECIAL_LBL)*(INC_SPECIALS="Y"))=0,"",'Dvd Calendar'!$O$465)))</f>
        <v/>
      </c>
      <c r="N53" s="161">
        <f>IF(EP53="","",IF(ISNUMBER('Dvd Calendar'!$P$465)=FALSE,"",IF((('Dvd Calendar'!$P$467=TYPE1)*(TYPE1&lt;&gt;"")+('Dvd Calendar'!$P$467=TYPE2)*(TYPE2&lt;&gt;"")+('Dvd Calendar'!$P$467=TYPE3)*(TYPE3&lt;&gt;"")+('Dvd Calendar'!$P$467=TYPE4)*(TYPE4&lt;&gt;"")+('Dvd Calendar'!$P$467=SPECIAL_LBL)*(INC_SPECIALS="Y"))=0,"",'Dvd Calendar'!$P$465)))</f>
        <v/>
      </c>
      <c r="O53" s="161">
        <f>IF(EQ53="","",IF(ISNUMBER('Dvd Calendar'!$Q$465)=FALSE,"",IF((('Dvd Calendar'!$Q$467=TYPE1)*(TYPE1&lt;&gt;"")+('Dvd Calendar'!$Q$467=TYPE2)*(TYPE2&lt;&gt;"")+('Dvd Calendar'!$Q$467=TYPE3)*(TYPE3&lt;&gt;"")+('Dvd Calendar'!$Q$467=TYPE4)*(TYPE4&lt;&gt;"")+('Dvd Calendar'!$Q$467=SPECIAL_LBL)*(INC_SPECIALS="Y"))=0,"",'Dvd Calendar'!$Q$465)))</f>
        <v/>
      </c>
      <c r="P53" s="161">
        <f>IF(ER53="","",IF(ISNUMBER('Dvd Calendar'!$R$465)=FALSE,"",IF((('Dvd Calendar'!$R$467=TYPE1)*(TYPE1&lt;&gt;"")+('Dvd Calendar'!$R$467=TYPE2)*(TYPE2&lt;&gt;"")+('Dvd Calendar'!$R$467=TYPE3)*(TYPE3&lt;&gt;"")+('Dvd Calendar'!$R$467=TYPE4)*(TYPE4&lt;&gt;"")+('Dvd Calendar'!$R$467=SPECIAL_LBL)*(INC_SPECIALS="Y"))=0,"",'Dvd Calendar'!$R$465)))</f>
        <v/>
      </c>
      <c r="Q53" s="161">
        <f>IF(ES53="","",IF(ISNUMBER('Dvd Calendar'!$S$465)=FALSE,"",IF((('Dvd Calendar'!$S$467=TYPE1)*(TYPE1&lt;&gt;"")+('Dvd Calendar'!$S$467=TYPE2)*(TYPE2&lt;&gt;"")+('Dvd Calendar'!$S$467=TYPE3)*(TYPE3&lt;&gt;"")+('Dvd Calendar'!$S$467=TYPE4)*(TYPE4&lt;&gt;"")+('Dvd Calendar'!$S$467=SPECIAL_LBL)*(INC_SPECIALS="Y"))=0,"",'Dvd Calendar'!$S$465)))</f>
        <v/>
      </c>
      <c r="R53" s="161">
        <f>IF(ET53="","",IF(ISNUMBER('Dvd Calendar'!$T$465)=FALSE,"",IF((('Dvd Calendar'!$T$467=TYPE1)*(TYPE1&lt;&gt;"")+('Dvd Calendar'!$T$467=TYPE2)*(TYPE2&lt;&gt;"")+('Dvd Calendar'!$T$467=TYPE3)*(TYPE3&lt;&gt;"")+('Dvd Calendar'!$T$467=TYPE4)*(TYPE4&lt;&gt;"")+('Dvd Calendar'!$T$467=SPECIAL_LBL)*(INC_SPECIALS="Y"))=0,"",'Dvd Calendar'!$T$465)))</f>
        <v/>
      </c>
      <c r="S53" s="161">
        <f>IF(EU53="","",IF(ISNUMBER('Dvd Calendar'!$U$465)=FALSE,"",IF((('Dvd Calendar'!$U$467=TYPE1)*(TYPE1&lt;&gt;"")+('Dvd Calendar'!$U$467=TYPE2)*(TYPE2&lt;&gt;"")+('Dvd Calendar'!$U$467=TYPE3)*(TYPE3&lt;&gt;"")+('Dvd Calendar'!$U$467=TYPE4)*(TYPE4&lt;&gt;"")+('Dvd Calendar'!$U$467=SPECIAL_LBL)*(INC_SPECIALS="Y"))=0,"",'Dvd Calendar'!$U$465)))</f>
        <v/>
      </c>
      <c r="T53" s="161">
        <f>IF(EV53="","",IF(ISNUMBER('Dvd Calendar'!$V$465)=FALSE,"",IF((('Dvd Calendar'!$V$467=TYPE1)*(TYPE1&lt;&gt;"")+('Dvd Calendar'!$V$467=TYPE2)*(TYPE2&lt;&gt;"")+('Dvd Calendar'!$V$467=TYPE3)*(TYPE3&lt;&gt;"")+('Dvd Calendar'!$V$467=TYPE4)*(TYPE4&lt;&gt;"")+('Dvd Calendar'!$V$467=SPECIAL_LBL)*(INC_SPECIALS="Y"))=0,"",'Dvd Calendar'!$V$465)))</f>
        <v/>
      </c>
      <c r="U53" s="161">
        <f>IF(EW53="","",IF(ISNUMBER('Dvd Calendar'!$W$465)=FALSE,"",IF((('Dvd Calendar'!$W$467=TYPE1)*(TYPE1&lt;&gt;"")+('Dvd Calendar'!$W$467=TYPE2)*(TYPE2&lt;&gt;"")+('Dvd Calendar'!$W$467=TYPE3)*(TYPE3&lt;&gt;"")+('Dvd Calendar'!$W$467=TYPE4)*(TYPE4&lt;&gt;"")+('Dvd Calendar'!$W$467=SPECIAL_LBL)*(INC_SPECIALS="Y"))=0,"",'Dvd Calendar'!$W$465)))</f>
        <v/>
      </c>
      <c r="V53" s="161">
        <f>IF(EX53="","",IF(ISNUMBER('Dvd Calendar'!$X$465)=FALSE,"",IF((('Dvd Calendar'!$X$467=TYPE1)*(TYPE1&lt;&gt;"")+('Dvd Calendar'!$X$467=TYPE2)*(TYPE2&lt;&gt;"")+('Dvd Calendar'!$X$467=TYPE3)*(TYPE3&lt;&gt;"")+('Dvd Calendar'!$X$467=TYPE4)*(TYPE4&lt;&gt;"")+('Dvd Calendar'!$X$467=SPECIAL_LBL)*(INC_SPECIALS="Y"))=0,"",'Dvd Calendar'!$X$465)))</f>
        <v/>
      </c>
      <c r="W53" s="161">
        <f>IF(EY53="","",IF(ISNUMBER('Dvd Calendar'!$Y$465)=FALSE,"",IF((('Dvd Calendar'!$Y$467=TYPE1)*(TYPE1&lt;&gt;"")+('Dvd Calendar'!$Y$467=TYPE2)*(TYPE2&lt;&gt;"")+('Dvd Calendar'!$Y$467=TYPE3)*(TYPE3&lt;&gt;"")+('Dvd Calendar'!$Y$467=TYPE4)*(TYPE4&lt;&gt;"")+('Dvd Calendar'!$Y$467=SPECIAL_LBL)*(INC_SPECIALS="Y"))=0,"",'Dvd Calendar'!$Y$465)))</f>
        <v/>
      </c>
      <c r="X53" s="161">
        <f>IF(EZ53="","",IF(ISNUMBER('Dvd Calendar'!$Z$465)=FALSE,"",IF((('Dvd Calendar'!$Z$467=TYPE1)*(TYPE1&lt;&gt;"")+('Dvd Calendar'!$Z$467=TYPE2)*(TYPE2&lt;&gt;"")+('Dvd Calendar'!$Z$467=TYPE3)*(TYPE3&lt;&gt;"")+('Dvd Calendar'!$Z$467=TYPE4)*(TYPE4&lt;&gt;"")+('Dvd Calendar'!$Z$467=SPECIAL_LBL)*(INC_SPECIALS="Y"))=0,"",'Dvd Calendar'!$Z$465)))</f>
        <v/>
      </c>
      <c r="Y53" s="161">
        <f>IF(FA53="","",IF(ISNUMBER('Dvd Calendar'!$AA$465)=FALSE,"",IF((('Dvd Calendar'!$AA$467=TYPE1)*(TYPE1&lt;&gt;"")+('Dvd Calendar'!$AA$467=TYPE2)*(TYPE2&lt;&gt;"")+('Dvd Calendar'!$AA$467=TYPE3)*(TYPE3&lt;&gt;"")+('Dvd Calendar'!$AA$467=TYPE4)*(TYPE4&lt;&gt;"")+('Dvd Calendar'!$AA$467=SPECIAL_LBL)*(INC_SPECIALS="Y"))=0,"",'Dvd Calendar'!$AA$465)))</f>
        <v/>
      </c>
      <c r="Z53" s="161">
        <f>IF(FB53="","",IF(ISNUMBER('Dvd Calendar'!$AB$465)=FALSE,"",IF((('Dvd Calendar'!$AB$467=TYPE1)*(TYPE1&lt;&gt;"")+('Dvd Calendar'!$AB$467=TYPE2)*(TYPE2&lt;&gt;"")+('Dvd Calendar'!$AB$467=TYPE3)*(TYPE3&lt;&gt;"")+('Dvd Calendar'!$AB$467=TYPE4)*(TYPE4&lt;&gt;"")+('Dvd Calendar'!$AB$467=SPECIAL_LBL)*(INC_SPECIALS="Y"))=0,"",'Dvd Calendar'!$AB$465)))</f>
        <v/>
      </c>
      <c r="AA53" s="161">
        <f>IF(FC53="","",IF(ISNUMBER('Dvd Calendar'!$AC$465)=FALSE,"",IF((('Dvd Calendar'!$AC$467=TYPE1)*(TYPE1&lt;&gt;"")+('Dvd Calendar'!$AC$467=TYPE2)*(TYPE2&lt;&gt;"")+('Dvd Calendar'!$AC$467=TYPE3)*(TYPE3&lt;&gt;"")+('Dvd Calendar'!$AC$467=TYPE4)*(TYPE4&lt;&gt;"")+('Dvd Calendar'!$AC$467=SPECIAL_LBL)*(INC_SPECIALS="Y"))=0,"",'Dvd Calendar'!$AC$465)))</f>
        <v/>
      </c>
      <c r="AB53" s="161">
        <f>IF(FD53="","",IF(ISNUMBER('Dvd Calendar'!$AD$465)=FALSE,"",IF((('Dvd Calendar'!$AD$467=TYPE1)*(TYPE1&lt;&gt;"")+('Dvd Calendar'!$AD$467=TYPE2)*(TYPE2&lt;&gt;"")+('Dvd Calendar'!$AD$467=TYPE3)*(TYPE3&lt;&gt;"")+('Dvd Calendar'!$AD$467=TYPE4)*(TYPE4&lt;&gt;"")+('Dvd Calendar'!$AD$467=SPECIAL_LBL)*(INC_SPECIALS="Y"))=0,"",'Dvd Calendar'!$AD$465)))</f>
        <v/>
      </c>
      <c r="AC53" s="161">
        <f>IF(FE53="","",IF(ISNUMBER('Dvd Calendar'!$AE$465)=FALSE,"",IF((('Dvd Calendar'!$AE$467=TYPE1)*(TYPE1&lt;&gt;"")+('Dvd Calendar'!$AE$467=TYPE2)*(TYPE2&lt;&gt;"")+('Dvd Calendar'!$AE$467=TYPE3)*(TYPE3&lt;&gt;"")+('Dvd Calendar'!$AE$467=TYPE4)*(TYPE4&lt;&gt;"")+('Dvd Calendar'!$AE$467=SPECIAL_LBL)*(INC_SPECIALS="Y"))=0,"",'Dvd Calendar'!$AE$465)))</f>
        <v/>
      </c>
      <c r="AD53" s="161">
        <f>IF(FF53="","",IF(ISNUMBER('Dvd Calendar'!$AF$465)=FALSE,"",IF((('Dvd Calendar'!$AF$467=TYPE1)*(TYPE1&lt;&gt;"")+('Dvd Calendar'!$AF$467=TYPE2)*(TYPE2&lt;&gt;"")+('Dvd Calendar'!$AF$467=TYPE3)*(TYPE3&lt;&gt;"")+('Dvd Calendar'!$AF$467=TYPE4)*(TYPE4&lt;&gt;"")+('Dvd Calendar'!$AF$467=SPECIAL_LBL)*(INC_SPECIALS="Y"))=0,"",'Dvd Calendar'!$AF$465)))</f>
        <v/>
      </c>
      <c r="AE53" s="161">
        <f>IF(FG53="","",IF(ISNUMBER('Dvd Calendar'!$AG$465)=FALSE,"",IF((('Dvd Calendar'!$AG$467=TYPE1)*(TYPE1&lt;&gt;"")+('Dvd Calendar'!$AG$467=TYPE2)*(TYPE2&lt;&gt;"")+('Dvd Calendar'!$AG$467=TYPE3)*(TYPE3&lt;&gt;"")+('Dvd Calendar'!$AG$467=TYPE4)*(TYPE4&lt;&gt;"")+('Dvd Calendar'!$AG$467=SPECIAL_LBL)*(INC_SPECIALS="Y"))=0,"",'Dvd Calendar'!$AG$465)))</f>
        <v/>
      </c>
      <c r="AF53" s="161">
        <f>IF(FH53="","",IF(ISNUMBER('Dvd Calendar'!$AH$465)=FALSE,"",IF((('Dvd Calendar'!$AH$467=TYPE1)*(TYPE1&lt;&gt;"")+('Dvd Calendar'!$AH$467=TYPE2)*(TYPE2&lt;&gt;"")+('Dvd Calendar'!$AH$467=TYPE3)*(TYPE3&lt;&gt;"")+('Dvd Calendar'!$AH$467=TYPE4)*(TYPE4&lt;&gt;"")+('Dvd Calendar'!$AH$467=SPECIAL_LBL)*(INC_SPECIALS="Y"))=0,"",'Dvd Calendar'!$AH$465)))</f>
        <v/>
      </c>
      <c r="AG53" s="161">
        <f>IF(FI53="","",IF(ISNUMBER('Dvd Calendar'!$AI$465)=FALSE,"",IF((('Dvd Calendar'!$AI$467=TYPE1)*(TYPE1&lt;&gt;"")+('Dvd Calendar'!$AI$467=TYPE2)*(TYPE2&lt;&gt;"")+('Dvd Calendar'!$AI$467=TYPE3)*(TYPE3&lt;&gt;"")+('Dvd Calendar'!$AI$467=TYPE4)*(TYPE4&lt;&gt;"")+('Dvd Calendar'!$AI$467=SPECIAL_LBL)*(INC_SPECIALS="Y"))=0,"",'Dvd Calendar'!$AI$465)))</f>
        <v/>
      </c>
      <c r="AH53" s="161">
        <f>IF(FJ53="","",IF(ISNUMBER('Dvd Calendar'!$AJ$465)=FALSE,"",IF((('Dvd Calendar'!$AJ$467=TYPE1)*(TYPE1&lt;&gt;"")+('Dvd Calendar'!$AJ$467=TYPE2)*(TYPE2&lt;&gt;"")+('Dvd Calendar'!$AJ$467=TYPE3)*(TYPE3&lt;&gt;"")+('Dvd Calendar'!$AJ$467=TYPE4)*(TYPE4&lt;&gt;"")+('Dvd Calendar'!$AJ$467=SPECIAL_LBL)*(INC_SPECIALS="Y"))=0,"",'Dvd Calendar'!$AJ$465)))</f>
        <v/>
      </c>
      <c r="AI53" s="161">
        <f>IF(FK53="","",IF(ISNUMBER('Dvd Calendar'!$AK$465)=FALSE,"",IF((('Dvd Calendar'!$AK$467=TYPE1)*(TYPE1&lt;&gt;"")+('Dvd Calendar'!$AK$467=TYPE2)*(TYPE2&lt;&gt;"")+('Dvd Calendar'!$AK$467=TYPE3)*(TYPE3&lt;&gt;"")+('Dvd Calendar'!$AK$467=TYPE4)*(TYPE4&lt;&gt;"")+('Dvd Calendar'!$AK$467=SPECIAL_LBL)*(INC_SPECIALS="Y"))=0,"",'Dvd Calendar'!$AK$465)))</f>
        <v/>
      </c>
      <c r="AJ53" s="161">
        <f>IF(FL53="","",IF(ISNUMBER('Dvd Calendar'!$AL$465)=FALSE,"",IF((('Dvd Calendar'!$AL$467=TYPE1)*(TYPE1&lt;&gt;"")+('Dvd Calendar'!$AL$467=TYPE2)*(TYPE2&lt;&gt;"")+('Dvd Calendar'!$AL$467=TYPE3)*(TYPE3&lt;&gt;"")+('Dvd Calendar'!$AL$467=TYPE4)*(TYPE4&lt;&gt;"")+('Dvd Calendar'!$AL$467=SPECIAL_LBL)*(INC_SPECIALS="Y"))=0,"",'Dvd Calendar'!$AL$465)))</f>
        <v/>
      </c>
      <c r="AK53" s="161">
        <f>IF(FM53="","",IF(ISNUMBER('Dvd Calendar'!$AM$465)=FALSE,"",IF((('Dvd Calendar'!$AM$467=TYPE1)*(TYPE1&lt;&gt;"")+('Dvd Calendar'!$AM$467=TYPE2)*(TYPE2&lt;&gt;"")+('Dvd Calendar'!$AM$467=TYPE3)*(TYPE3&lt;&gt;"")+('Dvd Calendar'!$AM$467=TYPE4)*(TYPE4&lt;&gt;"")+('Dvd Calendar'!$AM$467=SPECIAL_LBL)*(INC_SPECIALS="Y"))=0,"",'Dvd Calendar'!$AM$465)))</f>
        <v/>
      </c>
      <c r="AL53" s="161">
        <f>IF(FN53="","",IF(ISNUMBER('Dvd Calendar'!$AN$465)=FALSE,"",IF((('Dvd Calendar'!$AN$467=TYPE1)*(TYPE1&lt;&gt;"")+('Dvd Calendar'!$AN$467=TYPE2)*(TYPE2&lt;&gt;"")+('Dvd Calendar'!$AN$467=TYPE3)*(TYPE3&lt;&gt;"")+('Dvd Calendar'!$AN$467=TYPE4)*(TYPE4&lt;&gt;"")+('Dvd Calendar'!$AN$467=SPECIAL_LBL)*(INC_SPECIALS="Y"))=0,"",'Dvd Calendar'!$AN$465)))</f>
        <v/>
      </c>
      <c r="AM53" s="161">
        <f>IF(FO53="","",IF(ISNUMBER('Dvd Calendar'!$AO$465)=FALSE,"",IF((('Dvd Calendar'!$AO$467=TYPE1)*(TYPE1&lt;&gt;"")+('Dvd Calendar'!$AO$467=TYPE2)*(TYPE2&lt;&gt;"")+('Dvd Calendar'!$AO$467=TYPE3)*(TYPE3&lt;&gt;"")+('Dvd Calendar'!$AO$467=TYPE4)*(TYPE4&lt;&gt;"")+('Dvd Calendar'!$AO$467=SPECIAL_LBL)*(INC_SPECIALS="Y"))=0,"",'Dvd Calendar'!$AO$465)))</f>
        <v/>
      </c>
      <c r="AN53" s="161">
        <f>IF(FP53="","",IF(ISNUMBER('Dvd Calendar'!$AP$465)=FALSE,"",IF((('Dvd Calendar'!$AP$467=TYPE1)*(TYPE1&lt;&gt;"")+('Dvd Calendar'!$AP$467=TYPE2)*(TYPE2&lt;&gt;"")+('Dvd Calendar'!$AP$467=TYPE3)*(TYPE3&lt;&gt;"")+('Dvd Calendar'!$AP$467=TYPE4)*(TYPE4&lt;&gt;"")+('Dvd Calendar'!$AP$467=SPECIAL_LBL)*(INC_SPECIALS="Y"))=0,"",'Dvd Calendar'!$AP$465)))</f>
        <v/>
      </c>
      <c r="AO53" s="161">
        <f>IF(FQ53="","",IF(ISNUMBER('Dvd Calendar'!$AQ$465)=FALSE,"",IF((('Dvd Calendar'!$AQ$467=TYPE1)*(TYPE1&lt;&gt;"")+('Dvd Calendar'!$AQ$467=TYPE2)*(TYPE2&lt;&gt;"")+('Dvd Calendar'!$AQ$467=TYPE3)*(TYPE3&lt;&gt;"")+('Dvd Calendar'!$AQ$467=TYPE4)*(TYPE4&lt;&gt;"")+('Dvd Calendar'!$AQ$467=SPECIAL_LBL)*(INC_SPECIALS="Y"))=0,"",'Dvd Calendar'!$AQ$465)))</f>
        <v/>
      </c>
      <c r="AP53" s="161">
        <f>IF(FR53="","",IF(ISNUMBER('Dvd Calendar'!$AR$465)=FALSE,"",IF((('Dvd Calendar'!$AR$467=TYPE1)*(TYPE1&lt;&gt;"")+('Dvd Calendar'!$AR$467=TYPE2)*(TYPE2&lt;&gt;"")+('Dvd Calendar'!$AR$467=TYPE3)*(TYPE3&lt;&gt;"")+('Dvd Calendar'!$AR$467=TYPE4)*(TYPE4&lt;&gt;"")+('Dvd Calendar'!$AR$467=SPECIAL_LBL)*(INC_SPECIALS="Y"))=0,"",'Dvd Calendar'!$AR$465)))</f>
        <v/>
      </c>
      <c r="AQ53" s="161">
        <f>IF(FS53="","",IF(ISNUMBER('Dvd Calendar'!$E$470)=FALSE,"",'Dvd Calendar'!$E$470))</f>
        <v/>
      </c>
      <c r="AR53" s="161">
        <f>IF(FT53="","",IF(ISNUMBER('Dvd Calendar'!$F$470)=FALSE,"",'Dvd Calendar'!$F$470))</f>
        <v/>
      </c>
      <c r="AS53" s="161">
        <f>IF(FU53="","",IF(ISNUMBER('Dvd Calendar'!$G$470)=FALSE,"",'Dvd Calendar'!$G$470))</f>
        <v/>
      </c>
      <c r="AT53" s="161">
        <f>IF(FV53="","",IF(ISNUMBER('Dvd Calendar'!$H$470)=FALSE,"",'Dvd Calendar'!$H$470))</f>
        <v/>
      </c>
      <c r="AU53" s="161">
        <f>IF(FW53="","",IF(ISNUMBER('Dvd Calendar'!$I$470)=FALSE,"",'Dvd Calendar'!$I$470))</f>
        <v/>
      </c>
      <c r="AV53" s="161">
        <f>IF(FX53="","",IF(ISNUMBER('Dvd Calendar'!$J$470)=FALSE,"",'Dvd Calendar'!$J$470))</f>
        <v/>
      </c>
      <c r="AW53" s="161">
        <f>IF(FY53="","",IF(ISNUMBER('Dvd Calendar'!$K$470)=FALSE,"",'Dvd Calendar'!$K$470))</f>
        <v/>
      </c>
      <c r="AX53" s="161">
        <f>IF(FZ53="","",IF(ISNUMBER('Dvd Calendar'!$L$470)=FALSE,"",'Dvd Calendar'!$L$470))</f>
        <v/>
      </c>
      <c r="AY53" s="161">
        <f>IF(GA53="","",IF(ISNUMBER('Dvd Calendar'!$M$470)=FALSE,"",'Dvd Calendar'!$M$470))</f>
        <v/>
      </c>
      <c r="AZ53" s="161">
        <f>IF(GB53="","",IF(ISNUMBER('Dvd Calendar'!$N$470)=FALSE,"",'Dvd Calendar'!$N$470))</f>
        <v/>
      </c>
      <c r="BA53" s="161">
        <f>IF(GC53="","",IF(ISNUMBER('Dvd Calendar'!$O$470)=FALSE,"",'Dvd Calendar'!$O$470))</f>
        <v/>
      </c>
      <c r="BB53" s="161">
        <f>IF(GD53="","",IF(ISNUMBER('Dvd Calendar'!$P$470)=FALSE,"",'Dvd Calendar'!$P$470))</f>
        <v/>
      </c>
      <c r="BC53" s="161">
        <f>IF(GE53="","",IF(ISNUMBER('Dvd Calendar'!$Q$470)=FALSE,"",'Dvd Calendar'!$Q$470))</f>
        <v/>
      </c>
      <c r="BD53" s="161">
        <f>IF(GF53="","",IF(ISNUMBER('Dvd Calendar'!$R$470)=FALSE,"",'Dvd Calendar'!$R$470))</f>
        <v/>
      </c>
      <c r="BE53" s="161">
        <f>IF(GG53="","",IF(ISNUMBER('Dvd Calendar'!$S$470)=FALSE,"",'Dvd Calendar'!$S$470))</f>
        <v/>
      </c>
      <c r="BF53" s="161">
        <f>IF(GH53="","",IF(ISNUMBER('Dvd Calendar'!$T$470)=FALSE,"",'Dvd Calendar'!$T$470))</f>
        <v/>
      </c>
      <c r="BG53" s="161">
        <f>IF(GI53="","",IF(ISNUMBER('Dvd Calendar'!$U$470)=FALSE,"",'Dvd Calendar'!$U$470))</f>
        <v/>
      </c>
      <c r="BH53" s="161">
        <f>IF(GJ53="","",IF(ISNUMBER('Dvd Calendar'!$V$470)=FALSE,"",'Dvd Calendar'!$V$470))</f>
        <v/>
      </c>
      <c r="BI53" s="161">
        <f>IF(GK53="","",IF(ISNUMBER('Dvd Calendar'!$W$470)=FALSE,"",'Dvd Calendar'!$W$470))</f>
        <v/>
      </c>
      <c r="BJ53" s="161">
        <f>IF(GL53="","",IF(ISNUMBER('Dvd Calendar'!$X$470)=FALSE,"",'Dvd Calendar'!$X$470))</f>
        <v/>
      </c>
      <c r="BK53" s="161">
        <f>IF(GM53="","",IF(ISNUMBER('Dvd Calendar'!$Y$470)=FALSE,"",'Dvd Calendar'!$Y$470))</f>
        <v/>
      </c>
      <c r="BL53" s="161">
        <f>IF(GN53="","",IF(ISNUMBER('Dvd Calendar'!$Z$470)=FALSE,"",'Dvd Calendar'!$Z$470))</f>
        <v/>
      </c>
      <c r="BM53" s="161">
        <f>IF(GO53="","",IF(ISNUMBER('Dvd Calendar'!$AA$470)=FALSE,"",'Dvd Calendar'!$AA$470))</f>
        <v/>
      </c>
      <c r="BN53" s="161">
        <f>IF(GP53="","",IF(ISNUMBER('Dvd Calendar'!$AB$470)=FALSE,"",'Dvd Calendar'!$AB$470))</f>
        <v/>
      </c>
      <c r="BO53" s="161">
        <f>IF(GQ53="","",IF(ISNUMBER('Dvd Calendar'!$AC$470)=FALSE,"",'Dvd Calendar'!$AC$470))</f>
        <v/>
      </c>
      <c r="BQ53" s="161">
        <f>IF(C53="","",IFERROR(C53*HSI!$B$48*HSI!$G$48/HSI!$B$3,""))</f>
        <v/>
      </c>
      <c r="BR53" s="161">
        <f>IF(D53="","",IFERROR(D53*HSI!$B$48*HSI!$G$48/HSI!$B$3,""))</f>
        <v/>
      </c>
      <c r="BS53" s="161">
        <f>IF(E53="","",IFERROR(E53*HSI!$B$48*HSI!$G$48/HSI!$B$3,""))</f>
        <v/>
      </c>
      <c r="BT53" s="161">
        <f>IF(F53="","",IFERROR(F53*HSI!$B$48*HSI!$G$48/HSI!$B$3,""))</f>
        <v/>
      </c>
      <c r="BU53" s="161">
        <f>IF(G53="","",IFERROR(G53*HSI!$B$48*HSI!$G$48/HSI!$B$3,""))</f>
        <v/>
      </c>
      <c r="BV53" s="161">
        <f>IF(H53="","",IFERROR(H53*HSI!$B$48*HSI!$G$48/HSI!$B$3,""))</f>
        <v/>
      </c>
      <c r="BW53" s="161">
        <f>IF(I53="","",IFERROR(I53*HSI!$B$48*HSI!$G$48/HSI!$B$3,""))</f>
        <v/>
      </c>
      <c r="BX53" s="161">
        <f>IF(J53="","",IFERROR(J53*HSI!$B$48*HSI!$G$48/HSI!$B$3,""))</f>
        <v/>
      </c>
      <c r="BY53" s="161">
        <f>IF(K53="","",IFERROR(K53*HSI!$B$48*HSI!$G$48/HSI!$B$3,""))</f>
        <v/>
      </c>
      <c r="BZ53" s="161">
        <f>IF(L53="","",IFERROR(L53*HSI!$B$48*HSI!$G$48/HSI!$B$3,""))</f>
        <v/>
      </c>
      <c r="CA53" s="161">
        <f>IF(M53="","",IFERROR(M53*HSI!$B$48*HSI!$G$48/HSI!$B$3,""))</f>
        <v/>
      </c>
      <c r="CB53" s="161">
        <f>IF(N53="","",IFERROR(N53*HSI!$B$48*HSI!$G$48/HSI!$B$3,""))</f>
        <v/>
      </c>
      <c r="CC53" s="161">
        <f>IF(O53="","",IFERROR(O53*HSI!$B$48*HSI!$G$48/HSI!$B$3,""))</f>
        <v/>
      </c>
      <c r="CD53" s="161">
        <f>IF(P53="","",IFERROR(P53*HSI!$B$48*HSI!$G$48/HSI!$B$3,""))</f>
        <v/>
      </c>
      <c r="CE53" s="161">
        <f>IF(Q53="","",IFERROR(Q53*HSI!$B$48*HSI!$G$48/HSI!$B$3,""))</f>
        <v/>
      </c>
      <c r="CF53" s="161">
        <f>IF(R53="","",IFERROR(R53*HSI!$B$48*HSI!$G$48/HSI!$B$3,""))</f>
        <v/>
      </c>
      <c r="CG53" s="161">
        <f>IF(S53="","",IFERROR(S53*HSI!$B$48*HSI!$G$48/HSI!$B$3,""))</f>
        <v/>
      </c>
      <c r="CH53" s="161">
        <f>IF(T53="","",IFERROR(T53*HSI!$B$48*HSI!$G$48/HSI!$B$3,""))</f>
        <v/>
      </c>
      <c r="CI53" s="161">
        <f>IF(U53="","",IFERROR(U53*HSI!$B$48*HSI!$G$48/HSI!$B$3,""))</f>
        <v/>
      </c>
      <c r="CJ53" s="161">
        <f>IF(V53="","",IFERROR(V53*HSI!$B$48*HSI!$G$48/HSI!$B$3,""))</f>
        <v/>
      </c>
      <c r="CK53" s="161">
        <f>IF(W53="","",IFERROR(W53*HSI!$B$48*HSI!$G$48/HSI!$B$3,""))</f>
        <v/>
      </c>
      <c r="CL53" s="161">
        <f>IF(X53="","",IFERROR(X53*HSI!$B$48*HSI!$G$48/HSI!$B$3,""))</f>
        <v/>
      </c>
      <c r="CM53" s="161">
        <f>IF(Y53="","",IFERROR(Y53*HSI!$B$48*HSI!$G$48/HSI!$B$3,""))</f>
        <v/>
      </c>
      <c r="CN53" s="161">
        <f>IF(Z53="","",IFERROR(Z53*HSI!$B$48*HSI!$G$48/HSI!$B$3,""))</f>
        <v/>
      </c>
      <c r="CO53" s="161">
        <f>IF(AA53="","",IFERROR(AA53*HSI!$B$48*HSI!$G$48/HSI!$B$3,""))</f>
        <v/>
      </c>
      <c r="CP53" s="161">
        <f>IF(AB53="","",IFERROR(AB53*HSI!$B$48*HSI!$G$48/HSI!$B$3,""))</f>
        <v/>
      </c>
      <c r="CQ53" s="161">
        <f>IF(AC53="","",IFERROR(AC53*HSI!$B$48*HSI!$G$48/HSI!$B$3,""))</f>
        <v/>
      </c>
      <c r="CR53" s="161">
        <f>IF(AD53="","",IFERROR(AD53*HSI!$B$48*HSI!$G$48/HSI!$B$3,""))</f>
        <v/>
      </c>
      <c r="CS53" s="161">
        <f>IF(AE53="","",IFERROR(AE53*HSI!$B$48*HSI!$G$48/HSI!$B$3,""))</f>
        <v/>
      </c>
      <c r="CT53" s="161">
        <f>IF(AF53="","",IFERROR(AF53*HSI!$B$48*HSI!$G$48/HSI!$B$3,""))</f>
        <v/>
      </c>
      <c r="CU53" s="161">
        <f>IF(AG53="","",IFERROR(AG53*HSI!$B$48*HSI!$G$48/HSI!$B$3,""))</f>
        <v/>
      </c>
      <c r="CV53" s="161">
        <f>IF(AH53="","",IFERROR(AH53*HSI!$B$48*HSI!$G$48/HSI!$B$3,""))</f>
        <v/>
      </c>
      <c r="CW53" s="161">
        <f>IF(AI53="","",IFERROR(AI53*HSI!$B$48*HSI!$G$48/HSI!$B$3,""))</f>
        <v/>
      </c>
      <c r="CX53" s="161">
        <f>IF(AJ53="","",IFERROR(AJ53*HSI!$B$48*HSI!$G$48/HSI!$B$3,""))</f>
        <v/>
      </c>
      <c r="CY53" s="161">
        <f>IF(AK53="","",IFERROR(AK53*HSI!$B$48*HSI!$G$48/HSI!$B$3,""))</f>
        <v/>
      </c>
      <c r="CZ53" s="161">
        <f>IF(AL53="","",IFERROR(AL53*HSI!$B$48*HSI!$G$48/HSI!$B$3,""))</f>
        <v/>
      </c>
      <c r="DA53" s="161">
        <f>IF(AM53="","",IFERROR(AM53*HSI!$B$48*HSI!$G$48/HSI!$B$3,""))</f>
        <v/>
      </c>
      <c r="DB53" s="161">
        <f>IF(AN53="","",IFERROR(AN53*HSI!$B$48*HSI!$G$48/HSI!$B$3,""))</f>
        <v/>
      </c>
      <c r="DC53" s="161">
        <f>IF(AO53="","",IFERROR(AO53*HSI!$B$48*HSI!$G$48/HSI!$B$3,""))</f>
        <v/>
      </c>
      <c r="DD53" s="161">
        <f>IF(AP53="","",IFERROR(AP53*HSI!$B$48*HSI!$G$48/HSI!$B$3,""))</f>
        <v/>
      </c>
      <c r="DE53" s="161">
        <f>IF(AQ53="","",IFERROR(AQ53*HSI!$B$48*HSI!$G$48/HSI!$B$3,""))</f>
        <v/>
      </c>
      <c r="DF53" s="161">
        <f>IF(AR53="","",IFERROR(AR53*HSI!$B$48*HSI!$G$48/HSI!$B$3,""))</f>
        <v/>
      </c>
      <c r="DG53" s="161">
        <f>IF(AS53="","",IFERROR(AS53*HSI!$B$48*HSI!$G$48/HSI!$B$3,""))</f>
        <v/>
      </c>
      <c r="DH53" s="161">
        <f>IF(AT53="","",IFERROR(AT53*HSI!$B$48*HSI!$G$48/HSI!$B$3,""))</f>
        <v/>
      </c>
      <c r="DI53" s="161">
        <f>IF(AU53="","",IFERROR(AU53*HSI!$B$48*HSI!$G$48/HSI!$B$3,""))</f>
        <v/>
      </c>
      <c r="DJ53" s="161">
        <f>IF(AV53="","",IFERROR(AV53*HSI!$B$48*HSI!$G$48/HSI!$B$3,""))</f>
        <v/>
      </c>
      <c r="DK53" s="161">
        <f>IF(AW53="","",IFERROR(AW53*HSI!$B$48*HSI!$G$48/HSI!$B$3,""))</f>
        <v/>
      </c>
      <c r="DL53" s="161">
        <f>IF(AX53="","",IFERROR(AX53*HSI!$B$48*HSI!$G$48/HSI!$B$3,""))</f>
        <v/>
      </c>
      <c r="DM53" s="161">
        <f>IF(AY53="","",IFERROR(AY53*HSI!$B$48*HSI!$G$48/HSI!$B$3,""))</f>
        <v/>
      </c>
      <c r="DN53" s="161">
        <f>IF(AZ53="","",IFERROR(AZ53*HSI!$B$48*HSI!$G$48/HSI!$B$3,""))</f>
        <v/>
      </c>
      <c r="DO53" s="161">
        <f>IF(BA53="","",IFERROR(BA53*HSI!$B$48*HSI!$G$48/HSI!$B$3,""))</f>
        <v/>
      </c>
      <c r="DP53" s="161">
        <f>IF(BB53="","",IFERROR(BB53*HSI!$B$48*HSI!$G$48/HSI!$B$3,""))</f>
        <v/>
      </c>
      <c r="DQ53" s="161">
        <f>IF(BC53="","",IFERROR(BC53*HSI!$B$48*HSI!$G$48/HSI!$B$3,""))</f>
        <v/>
      </c>
      <c r="DR53" s="161">
        <f>IF(BD53="","",IFERROR(BD53*HSI!$B$48*HSI!$G$48/HSI!$B$3,""))</f>
        <v/>
      </c>
      <c r="DS53" s="161">
        <f>IF(BE53="","",IFERROR(BE53*HSI!$B$48*HSI!$G$48/HSI!$B$3,""))</f>
        <v/>
      </c>
      <c r="DT53" s="161">
        <f>IF(BF53="","",IFERROR(BF53*HSI!$B$48*HSI!$G$48/HSI!$B$3,""))</f>
        <v/>
      </c>
      <c r="DU53" s="161">
        <f>IF(BG53="","",IFERROR(BG53*HSI!$B$48*HSI!$G$48/HSI!$B$3,""))</f>
        <v/>
      </c>
      <c r="DV53" s="161">
        <f>IF(BH53="","",IFERROR(BH53*HSI!$B$48*HSI!$G$48/HSI!$B$3,""))</f>
        <v/>
      </c>
      <c r="DW53" s="161">
        <f>IF(BI53="","",IFERROR(BI53*HSI!$B$48*HSI!$G$48/HSI!$B$3,""))</f>
        <v/>
      </c>
      <c r="DX53" s="161">
        <f>IF(BJ53="","",IFERROR(BJ53*HSI!$B$48*HSI!$G$48/HSI!$B$3,""))</f>
        <v/>
      </c>
      <c r="DY53" s="161">
        <f>IF(BK53="","",IFERROR(BK53*HSI!$B$48*HSI!$G$48/HSI!$B$3,""))</f>
        <v/>
      </c>
      <c r="DZ53" s="161">
        <f>IF(BL53="","",IFERROR(BL53*HSI!$B$48*HSI!$G$48/HSI!$B$3,""))</f>
        <v/>
      </c>
      <c r="EA53" s="161">
        <f>IF(BM53="","",IFERROR(BM53*HSI!$B$48*HSI!$G$48/HSI!$B$3,""))</f>
        <v/>
      </c>
      <c r="EB53" s="161">
        <f>IF(BN53="","",IFERROR(BN53*HSI!$B$48*HSI!$G$48/HSI!$B$3,""))</f>
        <v/>
      </c>
      <c r="EC53" s="161">
        <f>IF(BO53="","",IFERROR(BO53*HSI!$B$48*HSI!$G$48/HSI!$B$3,""))</f>
        <v/>
      </c>
      <c r="EE53" s="121">
        <f>IF(N('Dvd Calendar'!$E$462)=0,"",IF(('Dvd Calendar'!$E$462&gt;=GRID_FROM)*('Dvd Calendar'!$E$462&lt;=GRID_TO)*((('Dvd Calendar'!$E$462&lt;=VAL_DATE)+(COUNTIF('Dvd Calendar'!$E$469:$AR$469,'Dvd Calendar'!$E$462)=0))&gt;0)=0,"",'Dvd Calendar'!$E$462*1000000000+ISNUMBER('Dvd Calendar'!$E$465)*100000000+('Dvd Calendar'!$E$467=SPECIAL_LBL)*10000000+(N('Dvd Calendar'!$E$461)&gt;0)*(N('Dvd Calendar'!$E$461)&lt;=VAL_SERIAL)*1000000+42*1000+1))</f>
        <v/>
      </c>
      <c r="EF53" s="121">
        <f>IF(N('Dvd Calendar'!$F$462)=0,"",IF(('Dvd Calendar'!$F$462&gt;=GRID_FROM)*('Dvd Calendar'!$F$462&lt;=GRID_TO)*((('Dvd Calendar'!$F$462&lt;=VAL_DATE)+(COUNTIF('Dvd Calendar'!$E$469:$AR$469,'Dvd Calendar'!$F$462)=0))&gt;0)=0,"",'Dvd Calendar'!$F$462*1000000000+ISNUMBER('Dvd Calendar'!$F$465)*100000000+('Dvd Calendar'!$F$467=SPECIAL_LBL)*10000000+(N('Dvd Calendar'!$F$461)&gt;0)*(N('Dvd Calendar'!$F$461)&lt;=VAL_SERIAL)*1000000+42*1000+2))</f>
        <v/>
      </c>
      <c r="EG53" s="121">
        <f>IF(N('Dvd Calendar'!$G$462)=0,"",IF(('Dvd Calendar'!$G$462&gt;=GRID_FROM)*('Dvd Calendar'!$G$462&lt;=GRID_TO)*((('Dvd Calendar'!$G$462&lt;=VAL_DATE)+(COUNTIF('Dvd Calendar'!$E$469:$AR$469,'Dvd Calendar'!$G$462)=0))&gt;0)=0,"",'Dvd Calendar'!$G$462*1000000000+ISNUMBER('Dvd Calendar'!$G$465)*100000000+('Dvd Calendar'!$G$467=SPECIAL_LBL)*10000000+(N('Dvd Calendar'!$G$461)&gt;0)*(N('Dvd Calendar'!$G$461)&lt;=VAL_SERIAL)*1000000+42*1000+3))</f>
        <v/>
      </c>
      <c r="EH53" s="121">
        <f>IF(N('Dvd Calendar'!$H$462)=0,"",IF(('Dvd Calendar'!$H$462&gt;=GRID_FROM)*('Dvd Calendar'!$H$462&lt;=GRID_TO)*((('Dvd Calendar'!$H$462&lt;=VAL_DATE)+(COUNTIF('Dvd Calendar'!$E$469:$AR$469,'Dvd Calendar'!$H$462)=0))&gt;0)=0,"",'Dvd Calendar'!$H$462*1000000000+ISNUMBER('Dvd Calendar'!$H$465)*100000000+('Dvd Calendar'!$H$467=SPECIAL_LBL)*10000000+(N('Dvd Calendar'!$H$461)&gt;0)*(N('Dvd Calendar'!$H$461)&lt;=VAL_SERIAL)*1000000+42*1000+4))</f>
        <v/>
      </c>
      <c r="EI53" s="121">
        <f>IF(N('Dvd Calendar'!$I$462)=0,"",IF(('Dvd Calendar'!$I$462&gt;=GRID_FROM)*('Dvd Calendar'!$I$462&lt;=GRID_TO)*((('Dvd Calendar'!$I$462&lt;=VAL_DATE)+(COUNTIF('Dvd Calendar'!$E$469:$AR$469,'Dvd Calendar'!$I$462)=0))&gt;0)=0,"",'Dvd Calendar'!$I$462*1000000000+ISNUMBER('Dvd Calendar'!$I$465)*100000000+('Dvd Calendar'!$I$467=SPECIAL_LBL)*10000000+(N('Dvd Calendar'!$I$461)&gt;0)*(N('Dvd Calendar'!$I$461)&lt;=VAL_SERIAL)*1000000+42*1000+5))</f>
        <v/>
      </c>
      <c r="EJ53" s="121">
        <f>IF(N('Dvd Calendar'!$J$462)=0,"",IF(('Dvd Calendar'!$J$462&gt;=GRID_FROM)*('Dvd Calendar'!$J$462&lt;=GRID_TO)*((('Dvd Calendar'!$J$462&lt;=VAL_DATE)+(COUNTIF('Dvd Calendar'!$E$469:$AR$469,'Dvd Calendar'!$J$462)=0))&gt;0)=0,"",'Dvd Calendar'!$J$462*1000000000+ISNUMBER('Dvd Calendar'!$J$465)*100000000+('Dvd Calendar'!$J$467=SPECIAL_LBL)*10000000+(N('Dvd Calendar'!$J$461)&gt;0)*(N('Dvd Calendar'!$J$461)&lt;=VAL_SERIAL)*1000000+42*1000+6))</f>
        <v/>
      </c>
      <c r="EK53" s="121">
        <f>IF(N('Dvd Calendar'!$K$462)=0,"",IF(('Dvd Calendar'!$K$462&gt;=GRID_FROM)*('Dvd Calendar'!$K$462&lt;=GRID_TO)*((('Dvd Calendar'!$K$462&lt;=VAL_DATE)+(COUNTIF('Dvd Calendar'!$E$469:$AR$469,'Dvd Calendar'!$K$462)=0))&gt;0)=0,"",'Dvd Calendar'!$K$462*1000000000+ISNUMBER('Dvd Calendar'!$K$465)*100000000+('Dvd Calendar'!$K$467=SPECIAL_LBL)*10000000+(N('Dvd Calendar'!$K$461)&gt;0)*(N('Dvd Calendar'!$K$461)&lt;=VAL_SERIAL)*1000000+42*1000+7))</f>
        <v/>
      </c>
      <c r="EL53" s="121">
        <f>IF(N('Dvd Calendar'!$L$462)=0,"",IF(('Dvd Calendar'!$L$462&gt;=GRID_FROM)*('Dvd Calendar'!$L$462&lt;=GRID_TO)*((('Dvd Calendar'!$L$462&lt;=VAL_DATE)+(COUNTIF('Dvd Calendar'!$E$469:$AR$469,'Dvd Calendar'!$L$462)=0))&gt;0)=0,"",'Dvd Calendar'!$L$462*1000000000+ISNUMBER('Dvd Calendar'!$L$465)*100000000+('Dvd Calendar'!$L$467=SPECIAL_LBL)*10000000+(N('Dvd Calendar'!$L$461)&gt;0)*(N('Dvd Calendar'!$L$461)&lt;=VAL_SERIAL)*1000000+42*1000+8))</f>
        <v/>
      </c>
      <c r="EM53" s="121">
        <f>IF(N('Dvd Calendar'!$M$462)=0,"",IF(('Dvd Calendar'!$M$462&gt;=GRID_FROM)*('Dvd Calendar'!$M$462&lt;=GRID_TO)*((('Dvd Calendar'!$M$462&lt;=VAL_DATE)+(COUNTIF('Dvd Calendar'!$E$469:$AR$469,'Dvd Calendar'!$M$462)=0))&gt;0)=0,"",'Dvd Calendar'!$M$462*1000000000+ISNUMBER('Dvd Calendar'!$M$465)*100000000+('Dvd Calendar'!$M$467=SPECIAL_LBL)*10000000+(N('Dvd Calendar'!$M$461)&gt;0)*(N('Dvd Calendar'!$M$461)&lt;=VAL_SERIAL)*1000000+42*1000+9))</f>
        <v/>
      </c>
      <c r="EN53" s="121">
        <f>IF(N('Dvd Calendar'!$N$462)=0,"",IF(('Dvd Calendar'!$N$462&gt;=GRID_FROM)*('Dvd Calendar'!$N$462&lt;=GRID_TO)*((('Dvd Calendar'!$N$462&lt;=VAL_DATE)+(COUNTIF('Dvd Calendar'!$E$469:$AR$469,'Dvd Calendar'!$N$462)=0))&gt;0)=0,"",'Dvd Calendar'!$N$462*1000000000+ISNUMBER('Dvd Calendar'!$N$465)*100000000+('Dvd Calendar'!$N$467=SPECIAL_LBL)*10000000+(N('Dvd Calendar'!$N$461)&gt;0)*(N('Dvd Calendar'!$N$461)&lt;=VAL_SERIAL)*1000000+42*1000+10))</f>
        <v/>
      </c>
      <c r="EO53" s="121">
        <f>IF(N('Dvd Calendar'!$O$462)=0,"",IF(('Dvd Calendar'!$O$462&gt;=GRID_FROM)*('Dvd Calendar'!$O$462&lt;=GRID_TO)*((('Dvd Calendar'!$O$462&lt;=VAL_DATE)+(COUNTIF('Dvd Calendar'!$E$469:$AR$469,'Dvd Calendar'!$O$462)=0))&gt;0)=0,"",'Dvd Calendar'!$O$462*1000000000+ISNUMBER('Dvd Calendar'!$O$465)*100000000+('Dvd Calendar'!$O$467=SPECIAL_LBL)*10000000+(N('Dvd Calendar'!$O$461)&gt;0)*(N('Dvd Calendar'!$O$461)&lt;=VAL_SERIAL)*1000000+42*1000+11))</f>
        <v/>
      </c>
      <c r="EP53" s="121">
        <f>IF(N('Dvd Calendar'!$P$462)=0,"",IF(('Dvd Calendar'!$P$462&gt;=GRID_FROM)*('Dvd Calendar'!$P$462&lt;=GRID_TO)*((('Dvd Calendar'!$P$462&lt;=VAL_DATE)+(COUNTIF('Dvd Calendar'!$E$469:$AR$469,'Dvd Calendar'!$P$462)=0))&gt;0)=0,"",'Dvd Calendar'!$P$462*1000000000+ISNUMBER('Dvd Calendar'!$P$465)*100000000+('Dvd Calendar'!$P$467=SPECIAL_LBL)*10000000+(N('Dvd Calendar'!$P$461)&gt;0)*(N('Dvd Calendar'!$P$461)&lt;=VAL_SERIAL)*1000000+42*1000+12))</f>
        <v/>
      </c>
      <c r="EQ53" s="121">
        <f>IF(N('Dvd Calendar'!$Q$462)=0,"",IF(('Dvd Calendar'!$Q$462&gt;=GRID_FROM)*('Dvd Calendar'!$Q$462&lt;=GRID_TO)*((('Dvd Calendar'!$Q$462&lt;=VAL_DATE)+(COUNTIF('Dvd Calendar'!$E$469:$AR$469,'Dvd Calendar'!$Q$462)=0))&gt;0)=0,"",'Dvd Calendar'!$Q$462*1000000000+ISNUMBER('Dvd Calendar'!$Q$465)*100000000+('Dvd Calendar'!$Q$467=SPECIAL_LBL)*10000000+(N('Dvd Calendar'!$Q$461)&gt;0)*(N('Dvd Calendar'!$Q$461)&lt;=VAL_SERIAL)*1000000+42*1000+13))</f>
        <v/>
      </c>
      <c r="ER53" s="121">
        <f>IF(N('Dvd Calendar'!$R$462)=0,"",IF(('Dvd Calendar'!$R$462&gt;=GRID_FROM)*('Dvd Calendar'!$R$462&lt;=GRID_TO)*((('Dvd Calendar'!$R$462&lt;=VAL_DATE)+(COUNTIF('Dvd Calendar'!$E$469:$AR$469,'Dvd Calendar'!$R$462)=0))&gt;0)=0,"",'Dvd Calendar'!$R$462*1000000000+ISNUMBER('Dvd Calendar'!$R$465)*100000000+('Dvd Calendar'!$R$467=SPECIAL_LBL)*10000000+(N('Dvd Calendar'!$R$461)&gt;0)*(N('Dvd Calendar'!$R$461)&lt;=VAL_SERIAL)*1000000+42*1000+14))</f>
        <v/>
      </c>
      <c r="ES53" s="121">
        <f>IF(N('Dvd Calendar'!$S$462)=0,"",IF(('Dvd Calendar'!$S$462&gt;=GRID_FROM)*('Dvd Calendar'!$S$462&lt;=GRID_TO)*((('Dvd Calendar'!$S$462&lt;=VAL_DATE)+(COUNTIF('Dvd Calendar'!$E$469:$AR$469,'Dvd Calendar'!$S$462)=0))&gt;0)=0,"",'Dvd Calendar'!$S$462*1000000000+ISNUMBER('Dvd Calendar'!$S$465)*100000000+('Dvd Calendar'!$S$467=SPECIAL_LBL)*10000000+(N('Dvd Calendar'!$S$461)&gt;0)*(N('Dvd Calendar'!$S$461)&lt;=VAL_SERIAL)*1000000+42*1000+15))</f>
        <v/>
      </c>
      <c r="ET53" s="121">
        <f>IF(N('Dvd Calendar'!$T$462)=0,"",IF(('Dvd Calendar'!$T$462&gt;=GRID_FROM)*('Dvd Calendar'!$T$462&lt;=GRID_TO)*((('Dvd Calendar'!$T$462&lt;=VAL_DATE)+(COUNTIF('Dvd Calendar'!$E$469:$AR$469,'Dvd Calendar'!$T$462)=0))&gt;0)=0,"",'Dvd Calendar'!$T$462*1000000000+ISNUMBER('Dvd Calendar'!$T$465)*100000000+('Dvd Calendar'!$T$467=SPECIAL_LBL)*10000000+(N('Dvd Calendar'!$T$461)&gt;0)*(N('Dvd Calendar'!$T$461)&lt;=VAL_SERIAL)*1000000+42*1000+16))</f>
        <v/>
      </c>
      <c r="EU53" s="121">
        <f>IF(N('Dvd Calendar'!$U$462)=0,"",IF(('Dvd Calendar'!$U$462&gt;=GRID_FROM)*('Dvd Calendar'!$U$462&lt;=GRID_TO)*((('Dvd Calendar'!$U$462&lt;=VAL_DATE)+(COUNTIF('Dvd Calendar'!$E$469:$AR$469,'Dvd Calendar'!$U$462)=0))&gt;0)=0,"",'Dvd Calendar'!$U$462*1000000000+ISNUMBER('Dvd Calendar'!$U$465)*100000000+('Dvd Calendar'!$U$467=SPECIAL_LBL)*10000000+(N('Dvd Calendar'!$U$461)&gt;0)*(N('Dvd Calendar'!$U$461)&lt;=VAL_SERIAL)*1000000+42*1000+17))</f>
        <v/>
      </c>
      <c r="EV53" s="121">
        <f>IF(N('Dvd Calendar'!$V$462)=0,"",IF(('Dvd Calendar'!$V$462&gt;=GRID_FROM)*('Dvd Calendar'!$V$462&lt;=GRID_TO)*((('Dvd Calendar'!$V$462&lt;=VAL_DATE)+(COUNTIF('Dvd Calendar'!$E$469:$AR$469,'Dvd Calendar'!$V$462)=0))&gt;0)=0,"",'Dvd Calendar'!$V$462*1000000000+ISNUMBER('Dvd Calendar'!$V$465)*100000000+('Dvd Calendar'!$V$467=SPECIAL_LBL)*10000000+(N('Dvd Calendar'!$V$461)&gt;0)*(N('Dvd Calendar'!$V$461)&lt;=VAL_SERIAL)*1000000+42*1000+18))</f>
        <v/>
      </c>
      <c r="EW53" s="121">
        <f>IF(N('Dvd Calendar'!$W$462)=0,"",IF(('Dvd Calendar'!$W$462&gt;=GRID_FROM)*('Dvd Calendar'!$W$462&lt;=GRID_TO)*((('Dvd Calendar'!$W$462&lt;=VAL_DATE)+(COUNTIF('Dvd Calendar'!$E$469:$AR$469,'Dvd Calendar'!$W$462)=0))&gt;0)=0,"",'Dvd Calendar'!$W$462*1000000000+ISNUMBER('Dvd Calendar'!$W$465)*100000000+('Dvd Calendar'!$W$467=SPECIAL_LBL)*10000000+(N('Dvd Calendar'!$W$461)&gt;0)*(N('Dvd Calendar'!$W$461)&lt;=VAL_SERIAL)*1000000+42*1000+19))</f>
        <v/>
      </c>
      <c r="EX53" s="121">
        <f>IF(N('Dvd Calendar'!$X$462)=0,"",IF(('Dvd Calendar'!$X$462&gt;=GRID_FROM)*('Dvd Calendar'!$X$462&lt;=GRID_TO)*((('Dvd Calendar'!$X$462&lt;=VAL_DATE)+(COUNTIF('Dvd Calendar'!$E$469:$AR$469,'Dvd Calendar'!$X$462)=0))&gt;0)=0,"",'Dvd Calendar'!$X$462*1000000000+ISNUMBER('Dvd Calendar'!$X$465)*100000000+('Dvd Calendar'!$X$467=SPECIAL_LBL)*10000000+(N('Dvd Calendar'!$X$461)&gt;0)*(N('Dvd Calendar'!$X$461)&lt;=VAL_SERIAL)*1000000+42*1000+20))</f>
        <v/>
      </c>
      <c r="EY53" s="121">
        <f>IF(N('Dvd Calendar'!$Y$462)=0,"",IF(('Dvd Calendar'!$Y$462&gt;=GRID_FROM)*('Dvd Calendar'!$Y$462&lt;=GRID_TO)*((('Dvd Calendar'!$Y$462&lt;=VAL_DATE)+(COUNTIF('Dvd Calendar'!$E$469:$AR$469,'Dvd Calendar'!$Y$462)=0))&gt;0)=0,"",'Dvd Calendar'!$Y$462*1000000000+ISNUMBER('Dvd Calendar'!$Y$465)*100000000+('Dvd Calendar'!$Y$467=SPECIAL_LBL)*10000000+(N('Dvd Calendar'!$Y$461)&gt;0)*(N('Dvd Calendar'!$Y$461)&lt;=VAL_SERIAL)*1000000+42*1000+21))</f>
        <v/>
      </c>
      <c r="EZ53" s="121">
        <f>IF(N('Dvd Calendar'!$Z$462)=0,"",IF(('Dvd Calendar'!$Z$462&gt;=GRID_FROM)*('Dvd Calendar'!$Z$462&lt;=GRID_TO)*((('Dvd Calendar'!$Z$462&lt;=VAL_DATE)+(COUNTIF('Dvd Calendar'!$E$469:$AR$469,'Dvd Calendar'!$Z$462)=0))&gt;0)=0,"",'Dvd Calendar'!$Z$462*1000000000+ISNUMBER('Dvd Calendar'!$Z$465)*100000000+('Dvd Calendar'!$Z$467=SPECIAL_LBL)*10000000+(N('Dvd Calendar'!$Z$461)&gt;0)*(N('Dvd Calendar'!$Z$461)&lt;=VAL_SERIAL)*1000000+42*1000+22))</f>
        <v/>
      </c>
      <c r="FA53" s="121">
        <f>IF(N('Dvd Calendar'!$AA$462)=0,"",IF(('Dvd Calendar'!$AA$462&gt;=GRID_FROM)*('Dvd Calendar'!$AA$462&lt;=GRID_TO)*((('Dvd Calendar'!$AA$462&lt;=VAL_DATE)+(COUNTIF('Dvd Calendar'!$E$469:$AR$469,'Dvd Calendar'!$AA$462)=0))&gt;0)=0,"",'Dvd Calendar'!$AA$462*1000000000+ISNUMBER('Dvd Calendar'!$AA$465)*100000000+('Dvd Calendar'!$AA$467=SPECIAL_LBL)*10000000+(N('Dvd Calendar'!$AA$461)&gt;0)*(N('Dvd Calendar'!$AA$461)&lt;=VAL_SERIAL)*1000000+42*1000+23))</f>
        <v/>
      </c>
      <c r="FB53" s="121">
        <f>IF(N('Dvd Calendar'!$AB$462)=0,"",IF(('Dvd Calendar'!$AB$462&gt;=GRID_FROM)*('Dvd Calendar'!$AB$462&lt;=GRID_TO)*((('Dvd Calendar'!$AB$462&lt;=VAL_DATE)+(COUNTIF('Dvd Calendar'!$E$469:$AR$469,'Dvd Calendar'!$AB$462)=0))&gt;0)=0,"",'Dvd Calendar'!$AB$462*1000000000+ISNUMBER('Dvd Calendar'!$AB$465)*100000000+('Dvd Calendar'!$AB$467=SPECIAL_LBL)*10000000+(N('Dvd Calendar'!$AB$461)&gt;0)*(N('Dvd Calendar'!$AB$461)&lt;=VAL_SERIAL)*1000000+42*1000+24))</f>
        <v/>
      </c>
      <c r="FC53" s="121">
        <f>IF(N('Dvd Calendar'!$AC$462)=0,"",IF(('Dvd Calendar'!$AC$462&gt;=GRID_FROM)*('Dvd Calendar'!$AC$462&lt;=GRID_TO)*((('Dvd Calendar'!$AC$462&lt;=VAL_DATE)+(COUNTIF('Dvd Calendar'!$E$469:$AR$469,'Dvd Calendar'!$AC$462)=0))&gt;0)=0,"",'Dvd Calendar'!$AC$462*1000000000+ISNUMBER('Dvd Calendar'!$AC$465)*100000000+('Dvd Calendar'!$AC$467=SPECIAL_LBL)*10000000+(N('Dvd Calendar'!$AC$461)&gt;0)*(N('Dvd Calendar'!$AC$461)&lt;=VAL_SERIAL)*1000000+42*1000+25))</f>
        <v/>
      </c>
      <c r="FD53" s="121">
        <f>IF(N('Dvd Calendar'!$AD$462)=0,"",IF(('Dvd Calendar'!$AD$462&gt;=GRID_FROM)*('Dvd Calendar'!$AD$462&lt;=GRID_TO)*((('Dvd Calendar'!$AD$462&lt;=VAL_DATE)+(COUNTIF('Dvd Calendar'!$E$469:$AR$469,'Dvd Calendar'!$AD$462)=0))&gt;0)=0,"",'Dvd Calendar'!$AD$462*1000000000+ISNUMBER('Dvd Calendar'!$AD$465)*100000000+('Dvd Calendar'!$AD$467=SPECIAL_LBL)*10000000+(N('Dvd Calendar'!$AD$461)&gt;0)*(N('Dvd Calendar'!$AD$461)&lt;=VAL_SERIAL)*1000000+42*1000+26))</f>
        <v/>
      </c>
      <c r="FE53" s="121">
        <f>IF(N('Dvd Calendar'!$AE$462)=0,"",IF(('Dvd Calendar'!$AE$462&gt;=GRID_FROM)*('Dvd Calendar'!$AE$462&lt;=GRID_TO)*((('Dvd Calendar'!$AE$462&lt;=VAL_DATE)+(COUNTIF('Dvd Calendar'!$E$469:$AR$469,'Dvd Calendar'!$AE$462)=0))&gt;0)=0,"",'Dvd Calendar'!$AE$462*1000000000+ISNUMBER('Dvd Calendar'!$AE$465)*100000000+('Dvd Calendar'!$AE$467=SPECIAL_LBL)*10000000+(N('Dvd Calendar'!$AE$461)&gt;0)*(N('Dvd Calendar'!$AE$461)&lt;=VAL_SERIAL)*1000000+42*1000+27))</f>
        <v/>
      </c>
      <c r="FF53" s="121">
        <f>IF(N('Dvd Calendar'!$AF$462)=0,"",IF(('Dvd Calendar'!$AF$462&gt;=GRID_FROM)*('Dvd Calendar'!$AF$462&lt;=GRID_TO)*((('Dvd Calendar'!$AF$462&lt;=VAL_DATE)+(COUNTIF('Dvd Calendar'!$E$469:$AR$469,'Dvd Calendar'!$AF$462)=0))&gt;0)=0,"",'Dvd Calendar'!$AF$462*1000000000+ISNUMBER('Dvd Calendar'!$AF$465)*100000000+('Dvd Calendar'!$AF$467=SPECIAL_LBL)*10000000+(N('Dvd Calendar'!$AF$461)&gt;0)*(N('Dvd Calendar'!$AF$461)&lt;=VAL_SERIAL)*1000000+42*1000+28))</f>
        <v/>
      </c>
      <c r="FG53" s="121">
        <f>IF(N('Dvd Calendar'!$AG$462)=0,"",IF(('Dvd Calendar'!$AG$462&gt;=GRID_FROM)*('Dvd Calendar'!$AG$462&lt;=GRID_TO)*((('Dvd Calendar'!$AG$462&lt;=VAL_DATE)+(COUNTIF('Dvd Calendar'!$E$469:$AR$469,'Dvd Calendar'!$AG$462)=0))&gt;0)=0,"",'Dvd Calendar'!$AG$462*1000000000+ISNUMBER('Dvd Calendar'!$AG$465)*100000000+('Dvd Calendar'!$AG$467=SPECIAL_LBL)*10000000+(N('Dvd Calendar'!$AG$461)&gt;0)*(N('Dvd Calendar'!$AG$461)&lt;=VAL_SERIAL)*1000000+42*1000+29))</f>
        <v/>
      </c>
      <c r="FH53" s="121">
        <f>IF(N('Dvd Calendar'!$AH$462)=0,"",IF(('Dvd Calendar'!$AH$462&gt;=GRID_FROM)*('Dvd Calendar'!$AH$462&lt;=GRID_TO)*((('Dvd Calendar'!$AH$462&lt;=VAL_DATE)+(COUNTIF('Dvd Calendar'!$E$469:$AR$469,'Dvd Calendar'!$AH$462)=0))&gt;0)=0,"",'Dvd Calendar'!$AH$462*1000000000+ISNUMBER('Dvd Calendar'!$AH$465)*100000000+('Dvd Calendar'!$AH$467=SPECIAL_LBL)*10000000+(N('Dvd Calendar'!$AH$461)&gt;0)*(N('Dvd Calendar'!$AH$461)&lt;=VAL_SERIAL)*1000000+42*1000+30))</f>
        <v/>
      </c>
      <c r="FI53" s="121">
        <f>IF(N('Dvd Calendar'!$AI$462)=0,"",IF(('Dvd Calendar'!$AI$462&gt;=GRID_FROM)*('Dvd Calendar'!$AI$462&lt;=GRID_TO)*((('Dvd Calendar'!$AI$462&lt;=VAL_DATE)+(COUNTIF('Dvd Calendar'!$E$469:$AR$469,'Dvd Calendar'!$AI$462)=0))&gt;0)=0,"",'Dvd Calendar'!$AI$462*1000000000+ISNUMBER('Dvd Calendar'!$AI$465)*100000000+('Dvd Calendar'!$AI$467=SPECIAL_LBL)*10000000+(N('Dvd Calendar'!$AI$461)&gt;0)*(N('Dvd Calendar'!$AI$461)&lt;=VAL_SERIAL)*1000000+42*1000+31))</f>
        <v/>
      </c>
      <c r="FJ53" s="121">
        <f>IF(N('Dvd Calendar'!$AJ$462)=0,"",IF(('Dvd Calendar'!$AJ$462&gt;=GRID_FROM)*('Dvd Calendar'!$AJ$462&lt;=GRID_TO)*((('Dvd Calendar'!$AJ$462&lt;=VAL_DATE)+(COUNTIF('Dvd Calendar'!$E$469:$AR$469,'Dvd Calendar'!$AJ$462)=0))&gt;0)=0,"",'Dvd Calendar'!$AJ$462*1000000000+ISNUMBER('Dvd Calendar'!$AJ$465)*100000000+('Dvd Calendar'!$AJ$467=SPECIAL_LBL)*10000000+(N('Dvd Calendar'!$AJ$461)&gt;0)*(N('Dvd Calendar'!$AJ$461)&lt;=VAL_SERIAL)*1000000+42*1000+32))</f>
        <v/>
      </c>
      <c r="FK53" s="121">
        <f>IF(N('Dvd Calendar'!$AK$462)=0,"",IF(('Dvd Calendar'!$AK$462&gt;=GRID_FROM)*('Dvd Calendar'!$AK$462&lt;=GRID_TO)*((('Dvd Calendar'!$AK$462&lt;=VAL_DATE)+(COUNTIF('Dvd Calendar'!$E$469:$AR$469,'Dvd Calendar'!$AK$462)=0))&gt;0)=0,"",'Dvd Calendar'!$AK$462*1000000000+ISNUMBER('Dvd Calendar'!$AK$465)*100000000+('Dvd Calendar'!$AK$467=SPECIAL_LBL)*10000000+(N('Dvd Calendar'!$AK$461)&gt;0)*(N('Dvd Calendar'!$AK$461)&lt;=VAL_SERIAL)*1000000+42*1000+33))</f>
        <v/>
      </c>
      <c r="FL53" s="121">
        <f>IF(N('Dvd Calendar'!$AL$462)=0,"",IF(('Dvd Calendar'!$AL$462&gt;=GRID_FROM)*('Dvd Calendar'!$AL$462&lt;=GRID_TO)*((('Dvd Calendar'!$AL$462&lt;=VAL_DATE)+(COUNTIF('Dvd Calendar'!$E$469:$AR$469,'Dvd Calendar'!$AL$462)=0))&gt;0)=0,"",'Dvd Calendar'!$AL$462*1000000000+ISNUMBER('Dvd Calendar'!$AL$465)*100000000+('Dvd Calendar'!$AL$467=SPECIAL_LBL)*10000000+(N('Dvd Calendar'!$AL$461)&gt;0)*(N('Dvd Calendar'!$AL$461)&lt;=VAL_SERIAL)*1000000+42*1000+34))</f>
        <v/>
      </c>
      <c r="FM53" s="121">
        <f>IF(N('Dvd Calendar'!$AM$462)=0,"",IF(('Dvd Calendar'!$AM$462&gt;=GRID_FROM)*('Dvd Calendar'!$AM$462&lt;=GRID_TO)*((('Dvd Calendar'!$AM$462&lt;=VAL_DATE)+(COUNTIF('Dvd Calendar'!$E$469:$AR$469,'Dvd Calendar'!$AM$462)=0))&gt;0)=0,"",'Dvd Calendar'!$AM$462*1000000000+ISNUMBER('Dvd Calendar'!$AM$465)*100000000+('Dvd Calendar'!$AM$467=SPECIAL_LBL)*10000000+(N('Dvd Calendar'!$AM$461)&gt;0)*(N('Dvd Calendar'!$AM$461)&lt;=VAL_SERIAL)*1000000+42*1000+35))</f>
        <v/>
      </c>
      <c r="FN53" s="121">
        <f>IF(N('Dvd Calendar'!$AN$462)=0,"",IF(('Dvd Calendar'!$AN$462&gt;=GRID_FROM)*('Dvd Calendar'!$AN$462&lt;=GRID_TO)*((('Dvd Calendar'!$AN$462&lt;=VAL_DATE)+(COUNTIF('Dvd Calendar'!$E$469:$AR$469,'Dvd Calendar'!$AN$462)=0))&gt;0)=0,"",'Dvd Calendar'!$AN$462*1000000000+ISNUMBER('Dvd Calendar'!$AN$465)*100000000+('Dvd Calendar'!$AN$467=SPECIAL_LBL)*10000000+(N('Dvd Calendar'!$AN$461)&gt;0)*(N('Dvd Calendar'!$AN$461)&lt;=VAL_SERIAL)*1000000+42*1000+36))</f>
        <v/>
      </c>
      <c r="FO53" s="121">
        <f>IF(N('Dvd Calendar'!$AO$462)=0,"",IF(('Dvd Calendar'!$AO$462&gt;=GRID_FROM)*('Dvd Calendar'!$AO$462&lt;=GRID_TO)*((('Dvd Calendar'!$AO$462&lt;=VAL_DATE)+(COUNTIF('Dvd Calendar'!$E$469:$AR$469,'Dvd Calendar'!$AO$462)=0))&gt;0)=0,"",'Dvd Calendar'!$AO$462*1000000000+ISNUMBER('Dvd Calendar'!$AO$465)*100000000+('Dvd Calendar'!$AO$467=SPECIAL_LBL)*10000000+(N('Dvd Calendar'!$AO$461)&gt;0)*(N('Dvd Calendar'!$AO$461)&lt;=VAL_SERIAL)*1000000+42*1000+37))</f>
        <v/>
      </c>
      <c r="FP53" s="121">
        <f>IF(N('Dvd Calendar'!$AP$462)=0,"",IF(('Dvd Calendar'!$AP$462&gt;=GRID_FROM)*('Dvd Calendar'!$AP$462&lt;=GRID_TO)*((('Dvd Calendar'!$AP$462&lt;=VAL_DATE)+(COUNTIF('Dvd Calendar'!$E$469:$AR$469,'Dvd Calendar'!$AP$462)=0))&gt;0)=0,"",'Dvd Calendar'!$AP$462*1000000000+ISNUMBER('Dvd Calendar'!$AP$465)*100000000+('Dvd Calendar'!$AP$467=SPECIAL_LBL)*10000000+(N('Dvd Calendar'!$AP$461)&gt;0)*(N('Dvd Calendar'!$AP$461)&lt;=VAL_SERIAL)*1000000+42*1000+38))</f>
        <v/>
      </c>
      <c r="FQ53" s="121">
        <f>IF(N('Dvd Calendar'!$AQ$462)=0,"",IF(('Dvd Calendar'!$AQ$462&gt;=GRID_FROM)*('Dvd Calendar'!$AQ$462&lt;=GRID_TO)*((('Dvd Calendar'!$AQ$462&lt;=VAL_DATE)+(COUNTIF('Dvd Calendar'!$E$469:$AR$469,'Dvd Calendar'!$AQ$462)=0))&gt;0)=0,"",'Dvd Calendar'!$AQ$462*1000000000+ISNUMBER('Dvd Calendar'!$AQ$465)*100000000+('Dvd Calendar'!$AQ$467=SPECIAL_LBL)*10000000+(N('Dvd Calendar'!$AQ$461)&gt;0)*(N('Dvd Calendar'!$AQ$461)&lt;=VAL_SERIAL)*1000000+42*1000+39))</f>
        <v/>
      </c>
      <c r="FR53" s="121">
        <f>IF(N('Dvd Calendar'!$AR$462)=0,"",IF(('Dvd Calendar'!$AR$462&gt;=GRID_FROM)*('Dvd Calendar'!$AR$462&lt;=GRID_TO)*((('Dvd Calendar'!$AR$462&lt;=VAL_DATE)+(COUNTIF('Dvd Calendar'!$E$469:$AR$469,'Dvd Calendar'!$AR$462)=0))&gt;0)=0,"",'Dvd Calendar'!$AR$462*1000000000+ISNUMBER('Dvd Calendar'!$AR$465)*100000000+('Dvd Calendar'!$AR$467=SPECIAL_LBL)*10000000+(N('Dvd Calendar'!$AR$461)&gt;0)*(N('Dvd Calendar'!$AR$461)&lt;=VAL_SERIAL)*1000000+42*1000+40))</f>
        <v/>
      </c>
      <c r="FS53" s="121">
        <f>IF(N('Dvd Calendar'!$E$469)=0,"",IF(('Dvd Calendar'!$E$469&gt;=GRID_FROM)*('Dvd Calendar'!$E$469&lt;=GRID_TO)*('Dvd Calendar'!$E$469&gt;VAL_DATE)=0,"",'Dvd Calendar'!$E$469*1000000000+ISNUMBER('Dvd Calendar'!$E$470)*100000000+0*10000000+(N('Dvd Calendar'!$E$468)&gt;0)*(N('Dvd Calendar'!$E$468)&lt;=VAL_SERIAL)*1000000+42*1000+41))</f>
        <v/>
      </c>
      <c r="FT53" s="121">
        <f>IF(N('Dvd Calendar'!$F$469)=0,"",IF(('Dvd Calendar'!$F$469&gt;=GRID_FROM)*('Dvd Calendar'!$F$469&lt;=GRID_TO)*('Dvd Calendar'!$F$469&gt;VAL_DATE)=0,"",'Dvd Calendar'!$F$469*1000000000+ISNUMBER('Dvd Calendar'!$F$470)*100000000+0*10000000+(N('Dvd Calendar'!$F$468)&gt;0)*(N('Dvd Calendar'!$F$468)&lt;=VAL_SERIAL)*1000000+42*1000+42))</f>
        <v/>
      </c>
      <c r="FU53" s="121">
        <f>IF(N('Dvd Calendar'!$G$469)=0,"",IF(('Dvd Calendar'!$G$469&gt;=GRID_FROM)*('Dvd Calendar'!$G$469&lt;=GRID_TO)*('Dvd Calendar'!$G$469&gt;VAL_DATE)=0,"",'Dvd Calendar'!$G$469*1000000000+ISNUMBER('Dvd Calendar'!$G$470)*100000000+0*10000000+(N('Dvd Calendar'!$G$468)&gt;0)*(N('Dvd Calendar'!$G$468)&lt;=VAL_SERIAL)*1000000+42*1000+43))</f>
        <v/>
      </c>
      <c r="FV53" s="121">
        <f>IF(N('Dvd Calendar'!$H$469)=0,"",IF(('Dvd Calendar'!$H$469&gt;=GRID_FROM)*('Dvd Calendar'!$H$469&lt;=GRID_TO)*('Dvd Calendar'!$H$469&gt;VAL_DATE)=0,"",'Dvd Calendar'!$H$469*1000000000+ISNUMBER('Dvd Calendar'!$H$470)*100000000+0*10000000+(N('Dvd Calendar'!$H$468)&gt;0)*(N('Dvd Calendar'!$H$468)&lt;=VAL_SERIAL)*1000000+42*1000+44))</f>
        <v/>
      </c>
      <c r="FW53" s="121">
        <f>IF(N('Dvd Calendar'!$I$469)=0,"",IF(('Dvd Calendar'!$I$469&gt;=GRID_FROM)*('Dvd Calendar'!$I$469&lt;=GRID_TO)*('Dvd Calendar'!$I$469&gt;VAL_DATE)=0,"",'Dvd Calendar'!$I$469*1000000000+ISNUMBER('Dvd Calendar'!$I$470)*100000000+0*10000000+(N('Dvd Calendar'!$I$468)&gt;0)*(N('Dvd Calendar'!$I$468)&lt;=VAL_SERIAL)*1000000+42*1000+45))</f>
        <v/>
      </c>
      <c r="FX53" s="121">
        <f>IF(N('Dvd Calendar'!$J$469)=0,"",IF(('Dvd Calendar'!$J$469&gt;=GRID_FROM)*('Dvd Calendar'!$J$469&lt;=GRID_TO)*('Dvd Calendar'!$J$469&gt;VAL_DATE)=0,"",'Dvd Calendar'!$J$469*1000000000+ISNUMBER('Dvd Calendar'!$J$470)*100000000+0*10000000+(N('Dvd Calendar'!$J$468)&gt;0)*(N('Dvd Calendar'!$J$468)&lt;=VAL_SERIAL)*1000000+42*1000+46))</f>
        <v/>
      </c>
      <c r="FY53" s="121">
        <f>IF(N('Dvd Calendar'!$K$469)=0,"",IF(('Dvd Calendar'!$K$469&gt;=GRID_FROM)*('Dvd Calendar'!$K$469&lt;=GRID_TO)*('Dvd Calendar'!$K$469&gt;VAL_DATE)=0,"",'Dvd Calendar'!$K$469*1000000000+ISNUMBER('Dvd Calendar'!$K$470)*100000000+0*10000000+(N('Dvd Calendar'!$K$468)&gt;0)*(N('Dvd Calendar'!$K$468)&lt;=VAL_SERIAL)*1000000+42*1000+47))</f>
        <v/>
      </c>
      <c r="FZ53" s="121">
        <f>IF(N('Dvd Calendar'!$L$469)=0,"",IF(('Dvd Calendar'!$L$469&gt;=GRID_FROM)*('Dvd Calendar'!$L$469&lt;=GRID_TO)*('Dvd Calendar'!$L$469&gt;VAL_DATE)=0,"",'Dvd Calendar'!$L$469*1000000000+ISNUMBER('Dvd Calendar'!$L$470)*100000000+0*10000000+(N('Dvd Calendar'!$L$468)&gt;0)*(N('Dvd Calendar'!$L$468)&lt;=VAL_SERIAL)*1000000+42*1000+48))</f>
        <v/>
      </c>
      <c r="GA53" s="121">
        <f>IF(N('Dvd Calendar'!$M$469)=0,"",IF(('Dvd Calendar'!$M$469&gt;=GRID_FROM)*('Dvd Calendar'!$M$469&lt;=GRID_TO)*('Dvd Calendar'!$M$469&gt;VAL_DATE)=0,"",'Dvd Calendar'!$M$469*1000000000+ISNUMBER('Dvd Calendar'!$M$470)*100000000+0*10000000+(N('Dvd Calendar'!$M$468)&gt;0)*(N('Dvd Calendar'!$M$468)&lt;=VAL_SERIAL)*1000000+42*1000+49))</f>
        <v/>
      </c>
      <c r="GB53" s="121">
        <f>IF(N('Dvd Calendar'!$N$469)=0,"",IF(('Dvd Calendar'!$N$469&gt;=GRID_FROM)*('Dvd Calendar'!$N$469&lt;=GRID_TO)*('Dvd Calendar'!$N$469&gt;VAL_DATE)=0,"",'Dvd Calendar'!$N$469*1000000000+ISNUMBER('Dvd Calendar'!$N$470)*100000000+0*10000000+(N('Dvd Calendar'!$N$468)&gt;0)*(N('Dvd Calendar'!$N$468)&lt;=VAL_SERIAL)*1000000+42*1000+50))</f>
        <v/>
      </c>
      <c r="GC53" s="121">
        <f>IF(N('Dvd Calendar'!$O$469)=0,"",IF(('Dvd Calendar'!$O$469&gt;=GRID_FROM)*('Dvd Calendar'!$O$469&lt;=GRID_TO)*('Dvd Calendar'!$O$469&gt;VAL_DATE)=0,"",'Dvd Calendar'!$O$469*1000000000+ISNUMBER('Dvd Calendar'!$O$470)*100000000+0*10000000+(N('Dvd Calendar'!$O$468)&gt;0)*(N('Dvd Calendar'!$O$468)&lt;=VAL_SERIAL)*1000000+42*1000+51))</f>
        <v/>
      </c>
      <c r="GD53" s="121">
        <f>IF(N('Dvd Calendar'!$P$469)=0,"",IF(('Dvd Calendar'!$P$469&gt;=GRID_FROM)*('Dvd Calendar'!$P$469&lt;=GRID_TO)*('Dvd Calendar'!$P$469&gt;VAL_DATE)=0,"",'Dvd Calendar'!$P$469*1000000000+ISNUMBER('Dvd Calendar'!$P$470)*100000000+0*10000000+(N('Dvd Calendar'!$P$468)&gt;0)*(N('Dvd Calendar'!$P$468)&lt;=VAL_SERIAL)*1000000+42*1000+52))</f>
        <v/>
      </c>
      <c r="GE53" s="121">
        <f>IF(N('Dvd Calendar'!$Q$469)=0,"",IF(('Dvd Calendar'!$Q$469&gt;=GRID_FROM)*('Dvd Calendar'!$Q$469&lt;=GRID_TO)*('Dvd Calendar'!$Q$469&gt;VAL_DATE)=0,"",'Dvd Calendar'!$Q$469*1000000000+ISNUMBER('Dvd Calendar'!$Q$470)*100000000+0*10000000+(N('Dvd Calendar'!$Q$468)&gt;0)*(N('Dvd Calendar'!$Q$468)&lt;=VAL_SERIAL)*1000000+42*1000+53))</f>
        <v/>
      </c>
      <c r="GF53" s="121">
        <f>IF(N('Dvd Calendar'!$R$469)=0,"",IF(('Dvd Calendar'!$R$469&gt;=GRID_FROM)*('Dvd Calendar'!$R$469&lt;=GRID_TO)*('Dvd Calendar'!$R$469&gt;VAL_DATE)=0,"",'Dvd Calendar'!$R$469*1000000000+ISNUMBER('Dvd Calendar'!$R$470)*100000000+0*10000000+(N('Dvd Calendar'!$R$468)&gt;0)*(N('Dvd Calendar'!$R$468)&lt;=VAL_SERIAL)*1000000+42*1000+54))</f>
        <v/>
      </c>
      <c r="GG53" s="121">
        <f>IF(N('Dvd Calendar'!$S$469)=0,"",IF(('Dvd Calendar'!$S$469&gt;=GRID_FROM)*('Dvd Calendar'!$S$469&lt;=GRID_TO)*('Dvd Calendar'!$S$469&gt;VAL_DATE)=0,"",'Dvd Calendar'!$S$469*1000000000+ISNUMBER('Dvd Calendar'!$S$470)*100000000+0*10000000+(N('Dvd Calendar'!$S$468)&gt;0)*(N('Dvd Calendar'!$S$468)&lt;=VAL_SERIAL)*1000000+42*1000+55))</f>
        <v/>
      </c>
      <c r="GH53" s="121">
        <f>IF(N('Dvd Calendar'!$T$469)=0,"",IF(('Dvd Calendar'!$T$469&gt;=GRID_FROM)*('Dvd Calendar'!$T$469&lt;=GRID_TO)*('Dvd Calendar'!$T$469&gt;VAL_DATE)=0,"",'Dvd Calendar'!$T$469*1000000000+ISNUMBER('Dvd Calendar'!$T$470)*100000000+0*10000000+(N('Dvd Calendar'!$T$468)&gt;0)*(N('Dvd Calendar'!$T$468)&lt;=VAL_SERIAL)*1000000+42*1000+56))</f>
        <v/>
      </c>
      <c r="GI53" s="121">
        <f>IF(N('Dvd Calendar'!$U$469)=0,"",IF(('Dvd Calendar'!$U$469&gt;=GRID_FROM)*('Dvd Calendar'!$U$469&lt;=GRID_TO)*('Dvd Calendar'!$U$469&gt;VAL_DATE)=0,"",'Dvd Calendar'!$U$469*1000000000+ISNUMBER('Dvd Calendar'!$U$470)*100000000+0*10000000+(N('Dvd Calendar'!$U$468)&gt;0)*(N('Dvd Calendar'!$U$468)&lt;=VAL_SERIAL)*1000000+42*1000+57))</f>
        <v/>
      </c>
      <c r="GJ53" s="121">
        <f>IF(N('Dvd Calendar'!$V$469)=0,"",IF(('Dvd Calendar'!$V$469&gt;=GRID_FROM)*('Dvd Calendar'!$V$469&lt;=GRID_TO)*('Dvd Calendar'!$V$469&gt;VAL_DATE)=0,"",'Dvd Calendar'!$V$469*1000000000+ISNUMBER('Dvd Calendar'!$V$470)*100000000+0*10000000+(N('Dvd Calendar'!$V$468)&gt;0)*(N('Dvd Calendar'!$V$468)&lt;=VAL_SERIAL)*1000000+42*1000+58))</f>
        <v/>
      </c>
      <c r="GK53" s="121">
        <f>IF(N('Dvd Calendar'!$W$469)=0,"",IF(('Dvd Calendar'!$W$469&gt;=GRID_FROM)*('Dvd Calendar'!$W$469&lt;=GRID_TO)*('Dvd Calendar'!$W$469&gt;VAL_DATE)=0,"",'Dvd Calendar'!$W$469*1000000000+ISNUMBER('Dvd Calendar'!$W$470)*100000000+0*10000000+(N('Dvd Calendar'!$W$468)&gt;0)*(N('Dvd Calendar'!$W$468)&lt;=VAL_SERIAL)*1000000+42*1000+59))</f>
        <v/>
      </c>
      <c r="GL53" s="121">
        <f>IF(N('Dvd Calendar'!$X$469)=0,"",IF(('Dvd Calendar'!$X$469&gt;=GRID_FROM)*('Dvd Calendar'!$X$469&lt;=GRID_TO)*('Dvd Calendar'!$X$469&gt;VAL_DATE)=0,"",'Dvd Calendar'!$X$469*1000000000+ISNUMBER('Dvd Calendar'!$X$470)*100000000+0*10000000+(N('Dvd Calendar'!$X$468)&gt;0)*(N('Dvd Calendar'!$X$468)&lt;=VAL_SERIAL)*1000000+42*1000+60))</f>
        <v/>
      </c>
      <c r="GM53" s="121">
        <f>IF(N('Dvd Calendar'!$Y$469)=0,"",IF(('Dvd Calendar'!$Y$469&gt;=GRID_FROM)*('Dvd Calendar'!$Y$469&lt;=GRID_TO)*('Dvd Calendar'!$Y$469&gt;VAL_DATE)=0,"",'Dvd Calendar'!$Y$469*1000000000+ISNUMBER('Dvd Calendar'!$Y$470)*100000000+0*10000000+(N('Dvd Calendar'!$Y$468)&gt;0)*(N('Dvd Calendar'!$Y$468)&lt;=VAL_SERIAL)*1000000+42*1000+61))</f>
        <v/>
      </c>
      <c r="GN53" s="121">
        <f>IF(N('Dvd Calendar'!$Z$469)=0,"",IF(('Dvd Calendar'!$Z$469&gt;=GRID_FROM)*('Dvd Calendar'!$Z$469&lt;=GRID_TO)*('Dvd Calendar'!$Z$469&gt;VAL_DATE)=0,"",'Dvd Calendar'!$Z$469*1000000000+ISNUMBER('Dvd Calendar'!$Z$470)*100000000+0*10000000+(N('Dvd Calendar'!$Z$468)&gt;0)*(N('Dvd Calendar'!$Z$468)&lt;=VAL_SERIAL)*1000000+42*1000+62))</f>
        <v/>
      </c>
      <c r="GO53" s="121">
        <f>IF(N('Dvd Calendar'!$AA$469)=0,"",IF(('Dvd Calendar'!$AA$469&gt;=GRID_FROM)*('Dvd Calendar'!$AA$469&lt;=GRID_TO)*('Dvd Calendar'!$AA$469&gt;VAL_DATE)=0,"",'Dvd Calendar'!$AA$469*1000000000+ISNUMBER('Dvd Calendar'!$AA$470)*100000000+0*10000000+(N('Dvd Calendar'!$AA$468)&gt;0)*(N('Dvd Calendar'!$AA$468)&lt;=VAL_SERIAL)*1000000+42*1000+63))</f>
        <v/>
      </c>
      <c r="GP53" s="121">
        <f>IF(N('Dvd Calendar'!$AB$469)=0,"",IF(('Dvd Calendar'!$AB$469&gt;=GRID_FROM)*('Dvd Calendar'!$AB$469&lt;=GRID_TO)*('Dvd Calendar'!$AB$469&gt;VAL_DATE)=0,"",'Dvd Calendar'!$AB$469*1000000000+ISNUMBER('Dvd Calendar'!$AB$470)*100000000+0*10000000+(N('Dvd Calendar'!$AB$468)&gt;0)*(N('Dvd Calendar'!$AB$468)&lt;=VAL_SERIAL)*1000000+42*1000+64))</f>
        <v/>
      </c>
      <c r="GQ53" s="121">
        <f>IF(N('Dvd Calendar'!$AC$469)=0,"",IF(('Dvd Calendar'!$AC$469&gt;=GRID_FROM)*('Dvd Calendar'!$AC$469&lt;=GRID_TO)*('Dvd Calendar'!$AC$469&gt;VAL_DATE)=0,"",'Dvd Calendar'!$AC$469*1000000000+ISNUMBER('Dvd Calendar'!$AC$470)*100000000+0*10000000+(N('Dvd Calendar'!$AC$468)&gt;0)*(N('Dvd Calendar'!$AC$468)&lt;=VAL_SERIAL)*1000000+42*1000+65))</f>
        <v/>
      </c>
    </row>
    <row r="54">
      <c r="B54" s="2">
        <f>IF(HSI!$C$49="","",HSI!$C$49)</f>
        <v/>
      </c>
      <c r="C54" s="161">
        <f>IF(EE54="","",IF(ISNUMBER('Dvd Calendar'!$E$476)=FALSE,"",IF((('Dvd Calendar'!$E$478=TYPE1)*(TYPE1&lt;&gt;"")+('Dvd Calendar'!$E$478=TYPE2)*(TYPE2&lt;&gt;"")+('Dvd Calendar'!$E$478=TYPE3)*(TYPE3&lt;&gt;"")+('Dvd Calendar'!$E$478=TYPE4)*(TYPE4&lt;&gt;"")+('Dvd Calendar'!$E$478=SPECIAL_LBL)*(INC_SPECIALS="Y"))=0,"",'Dvd Calendar'!$E$476)))</f>
        <v/>
      </c>
      <c r="D54" s="161">
        <f>IF(EF54="","",IF(ISNUMBER('Dvd Calendar'!$F$476)=FALSE,"",IF((('Dvd Calendar'!$F$478=TYPE1)*(TYPE1&lt;&gt;"")+('Dvd Calendar'!$F$478=TYPE2)*(TYPE2&lt;&gt;"")+('Dvd Calendar'!$F$478=TYPE3)*(TYPE3&lt;&gt;"")+('Dvd Calendar'!$F$478=TYPE4)*(TYPE4&lt;&gt;"")+('Dvd Calendar'!$F$478=SPECIAL_LBL)*(INC_SPECIALS="Y"))=0,"",'Dvd Calendar'!$F$476)))</f>
        <v/>
      </c>
      <c r="E54" s="161">
        <f>IF(EG54="","",IF(ISNUMBER('Dvd Calendar'!$G$476)=FALSE,"",IF((('Dvd Calendar'!$G$478=TYPE1)*(TYPE1&lt;&gt;"")+('Dvd Calendar'!$G$478=TYPE2)*(TYPE2&lt;&gt;"")+('Dvd Calendar'!$G$478=TYPE3)*(TYPE3&lt;&gt;"")+('Dvd Calendar'!$G$478=TYPE4)*(TYPE4&lt;&gt;"")+('Dvd Calendar'!$G$478=SPECIAL_LBL)*(INC_SPECIALS="Y"))=0,"",'Dvd Calendar'!$G$476)))</f>
        <v/>
      </c>
      <c r="F54" s="161">
        <f>IF(EH54="","",IF(ISNUMBER('Dvd Calendar'!$H$476)=FALSE,"",IF((('Dvd Calendar'!$H$478=TYPE1)*(TYPE1&lt;&gt;"")+('Dvd Calendar'!$H$478=TYPE2)*(TYPE2&lt;&gt;"")+('Dvd Calendar'!$H$478=TYPE3)*(TYPE3&lt;&gt;"")+('Dvd Calendar'!$H$478=TYPE4)*(TYPE4&lt;&gt;"")+('Dvd Calendar'!$H$478=SPECIAL_LBL)*(INC_SPECIALS="Y"))=0,"",'Dvd Calendar'!$H$476)))</f>
        <v/>
      </c>
      <c r="G54" s="161">
        <f>IF(EI54="","",IF(ISNUMBER('Dvd Calendar'!$I$476)=FALSE,"",IF((('Dvd Calendar'!$I$478=TYPE1)*(TYPE1&lt;&gt;"")+('Dvd Calendar'!$I$478=TYPE2)*(TYPE2&lt;&gt;"")+('Dvd Calendar'!$I$478=TYPE3)*(TYPE3&lt;&gt;"")+('Dvd Calendar'!$I$478=TYPE4)*(TYPE4&lt;&gt;"")+('Dvd Calendar'!$I$478=SPECIAL_LBL)*(INC_SPECIALS="Y"))=0,"",'Dvd Calendar'!$I$476)))</f>
        <v/>
      </c>
      <c r="H54" s="161">
        <f>IF(EJ54="","",IF(ISNUMBER('Dvd Calendar'!$J$476)=FALSE,"",IF((('Dvd Calendar'!$J$478=TYPE1)*(TYPE1&lt;&gt;"")+('Dvd Calendar'!$J$478=TYPE2)*(TYPE2&lt;&gt;"")+('Dvd Calendar'!$J$478=TYPE3)*(TYPE3&lt;&gt;"")+('Dvd Calendar'!$J$478=TYPE4)*(TYPE4&lt;&gt;"")+('Dvd Calendar'!$J$478=SPECIAL_LBL)*(INC_SPECIALS="Y"))=0,"",'Dvd Calendar'!$J$476)))</f>
        <v/>
      </c>
      <c r="I54" s="161">
        <f>IF(EK54="","",IF(ISNUMBER('Dvd Calendar'!$K$476)=FALSE,"",IF((('Dvd Calendar'!$K$478=TYPE1)*(TYPE1&lt;&gt;"")+('Dvd Calendar'!$K$478=TYPE2)*(TYPE2&lt;&gt;"")+('Dvd Calendar'!$K$478=TYPE3)*(TYPE3&lt;&gt;"")+('Dvd Calendar'!$K$478=TYPE4)*(TYPE4&lt;&gt;"")+('Dvd Calendar'!$K$478=SPECIAL_LBL)*(INC_SPECIALS="Y"))=0,"",'Dvd Calendar'!$K$476)))</f>
        <v/>
      </c>
      <c r="J54" s="161">
        <f>IF(EL54="","",IF(ISNUMBER('Dvd Calendar'!$L$476)=FALSE,"",IF((('Dvd Calendar'!$L$478=TYPE1)*(TYPE1&lt;&gt;"")+('Dvd Calendar'!$L$478=TYPE2)*(TYPE2&lt;&gt;"")+('Dvd Calendar'!$L$478=TYPE3)*(TYPE3&lt;&gt;"")+('Dvd Calendar'!$L$478=TYPE4)*(TYPE4&lt;&gt;"")+('Dvd Calendar'!$L$478=SPECIAL_LBL)*(INC_SPECIALS="Y"))=0,"",'Dvd Calendar'!$L$476)))</f>
        <v/>
      </c>
      <c r="K54" s="161">
        <f>IF(EM54="","",IF(ISNUMBER('Dvd Calendar'!$M$476)=FALSE,"",IF((('Dvd Calendar'!$M$478=TYPE1)*(TYPE1&lt;&gt;"")+('Dvd Calendar'!$M$478=TYPE2)*(TYPE2&lt;&gt;"")+('Dvd Calendar'!$M$478=TYPE3)*(TYPE3&lt;&gt;"")+('Dvd Calendar'!$M$478=TYPE4)*(TYPE4&lt;&gt;"")+('Dvd Calendar'!$M$478=SPECIAL_LBL)*(INC_SPECIALS="Y"))=0,"",'Dvd Calendar'!$M$476)))</f>
        <v/>
      </c>
      <c r="L54" s="161">
        <f>IF(EN54="","",IF(ISNUMBER('Dvd Calendar'!$N$476)=FALSE,"",IF((('Dvd Calendar'!$N$478=TYPE1)*(TYPE1&lt;&gt;"")+('Dvd Calendar'!$N$478=TYPE2)*(TYPE2&lt;&gt;"")+('Dvd Calendar'!$N$478=TYPE3)*(TYPE3&lt;&gt;"")+('Dvd Calendar'!$N$478=TYPE4)*(TYPE4&lt;&gt;"")+('Dvd Calendar'!$N$478=SPECIAL_LBL)*(INC_SPECIALS="Y"))=0,"",'Dvd Calendar'!$N$476)))</f>
        <v/>
      </c>
      <c r="M54" s="161">
        <f>IF(EO54="","",IF(ISNUMBER('Dvd Calendar'!$O$476)=FALSE,"",IF((('Dvd Calendar'!$O$478=TYPE1)*(TYPE1&lt;&gt;"")+('Dvd Calendar'!$O$478=TYPE2)*(TYPE2&lt;&gt;"")+('Dvd Calendar'!$O$478=TYPE3)*(TYPE3&lt;&gt;"")+('Dvd Calendar'!$O$478=TYPE4)*(TYPE4&lt;&gt;"")+('Dvd Calendar'!$O$478=SPECIAL_LBL)*(INC_SPECIALS="Y"))=0,"",'Dvd Calendar'!$O$476)))</f>
        <v/>
      </c>
      <c r="N54" s="161">
        <f>IF(EP54="","",IF(ISNUMBER('Dvd Calendar'!$P$476)=FALSE,"",IF((('Dvd Calendar'!$P$478=TYPE1)*(TYPE1&lt;&gt;"")+('Dvd Calendar'!$P$478=TYPE2)*(TYPE2&lt;&gt;"")+('Dvd Calendar'!$P$478=TYPE3)*(TYPE3&lt;&gt;"")+('Dvd Calendar'!$P$478=TYPE4)*(TYPE4&lt;&gt;"")+('Dvd Calendar'!$P$478=SPECIAL_LBL)*(INC_SPECIALS="Y"))=0,"",'Dvd Calendar'!$P$476)))</f>
        <v/>
      </c>
      <c r="O54" s="161">
        <f>IF(EQ54="","",IF(ISNUMBER('Dvd Calendar'!$Q$476)=FALSE,"",IF((('Dvd Calendar'!$Q$478=TYPE1)*(TYPE1&lt;&gt;"")+('Dvd Calendar'!$Q$478=TYPE2)*(TYPE2&lt;&gt;"")+('Dvd Calendar'!$Q$478=TYPE3)*(TYPE3&lt;&gt;"")+('Dvd Calendar'!$Q$478=TYPE4)*(TYPE4&lt;&gt;"")+('Dvd Calendar'!$Q$478=SPECIAL_LBL)*(INC_SPECIALS="Y"))=0,"",'Dvd Calendar'!$Q$476)))</f>
        <v/>
      </c>
      <c r="P54" s="161">
        <f>IF(ER54="","",IF(ISNUMBER('Dvd Calendar'!$R$476)=FALSE,"",IF((('Dvd Calendar'!$R$478=TYPE1)*(TYPE1&lt;&gt;"")+('Dvd Calendar'!$R$478=TYPE2)*(TYPE2&lt;&gt;"")+('Dvd Calendar'!$R$478=TYPE3)*(TYPE3&lt;&gt;"")+('Dvd Calendar'!$R$478=TYPE4)*(TYPE4&lt;&gt;"")+('Dvd Calendar'!$R$478=SPECIAL_LBL)*(INC_SPECIALS="Y"))=0,"",'Dvd Calendar'!$R$476)))</f>
        <v/>
      </c>
      <c r="Q54" s="161">
        <f>IF(ES54="","",IF(ISNUMBER('Dvd Calendar'!$S$476)=FALSE,"",IF((('Dvd Calendar'!$S$478=TYPE1)*(TYPE1&lt;&gt;"")+('Dvd Calendar'!$S$478=TYPE2)*(TYPE2&lt;&gt;"")+('Dvd Calendar'!$S$478=TYPE3)*(TYPE3&lt;&gt;"")+('Dvd Calendar'!$S$478=TYPE4)*(TYPE4&lt;&gt;"")+('Dvd Calendar'!$S$478=SPECIAL_LBL)*(INC_SPECIALS="Y"))=0,"",'Dvd Calendar'!$S$476)))</f>
        <v/>
      </c>
      <c r="R54" s="161">
        <f>IF(ET54="","",IF(ISNUMBER('Dvd Calendar'!$T$476)=FALSE,"",IF((('Dvd Calendar'!$T$478=TYPE1)*(TYPE1&lt;&gt;"")+('Dvd Calendar'!$T$478=TYPE2)*(TYPE2&lt;&gt;"")+('Dvd Calendar'!$T$478=TYPE3)*(TYPE3&lt;&gt;"")+('Dvd Calendar'!$T$478=TYPE4)*(TYPE4&lt;&gt;"")+('Dvd Calendar'!$T$478=SPECIAL_LBL)*(INC_SPECIALS="Y"))=0,"",'Dvd Calendar'!$T$476)))</f>
        <v/>
      </c>
      <c r="S54" s="161">
        <f>IF(EU54="","",IF(ISNUMBER('Dvd Calendar'!$U$476)=FALSE,"",IF((('Dvd Calendar'!$U$478=TYPE1)*(TYPE1&lt;&gt;"")+('Dvd Calendar'!$U$478=TYPE2)*(TYPE2&lt;&gt;"")+('Dvd Calendar'!$U$478=TYPE3)*(TYPE3&lt;&gt;"")+('Dvd Calendar'!$U$478=TYPE4)*(TYPE4&lt;&gt;"")+('Dvd Calendar'!$U$478=SPECIAL_LBL)*(INC_SPECIALS="Y"))=0,"",'Dvd Calendar'!$U$476)))</f>
        <v/>
      </c>
      <c r="T54" s="161">
        <f>IF(EV54="","",IF(ISNUMBER('Dvd Calendar'!$V$476)=FALSE,"",IF((('Dvd Calendar'!$V$478=TYPE1)*(TYPE1&lt;&gt;"")+('Dvd Calendar'!$V$478=TYPE2)*(TYPE2&lt;&gt;"")+('Dvd Calendar'!$V$478=TYPE3)*(TYPE3&lt;&gt;"")+('Dvd Calendar'!$V$478=TYPE4)*(TYPE4&lt;&gt;"")+('Dvd Calendar'!$V$478=SPECIAL_LBL)*(INC_SPECIALS="Y"))=0,"",'Dvd Calendar'!$V$476)))</f>
        <v/>
      </c>
      <c r="U54" s="161">
        <f>IF(EW54="","",IF(ISNUMBER('Dvd Calendar'!$W$476)=FALSE,"",IF((('Dvd Calendar'!$W$478=TYPE1)*(TYPE1&lt;&gt;"")+('Dvd Calendar'!$W$478=TYPE2)*(TYPE2&lt;&gt;"")+('Dvd Calendar'!$W$478=TYPE3)*(TYPE3&lt;&gt;"")+('Dvd Calendar'!$W$478=TYPE4)*(TYPE4&lt;&gt;"")+('Dvd Calendar'!$W$478=SPECIAL_LBL)*(INC_SPECIALS="Y"))=0,"",'Dvd Calendar'!$W$476)))</f>
        <v/>
      </c>
      <c r="V54" s="161">
        <f>IF(EX54="","",IF(ISNUMBER('Dvd Calendar'!$X$476)=FALSE,"",IF((('Dvd Calendar'!$X$478=TYPE1)*(TYPE1&lt;&gt;"")+('Dvd Calendar'!$X$478=TYPE2)*(TYPE2&lt;&gt;"")+('Dvd Calendar'!$X$478=TYPE3)*(TYPE3&lt;&gt;"")+('Dvd Calendar'!$X$478=TYPE4)*(TYPE4&lt;&gt;"")+('Dvd Calendar'!$X$478=SPECIAL_LBL)*(INC_SPECIALS="Y"))=0,"",'Dvd Calendar'!$X$476)))</f>
        <v/>
      </c>
      <c r="W54" s="161">
        <f>IF(EY54="","",IF(ISNUMBER('Dvd Calendar'!$Y$476)=FALSE,"",IF((('Dvd Calendar'!$Y$478=TYPE1)*(TYPE1&lt;&gt;"")+('Dvd Calendar'!$Y$478=TYPE2)*(TYPE2&lt;&gt;"")+('Dvd Calendar'!$Y$478=TYPE3)*(TYPE3&lt;&gt;"")+('Dvd Calendar'!$Y$478=TYPE4)*(TYPE4&lt;&gt;"")+('Dvd Calendar'!$Y$478=SPECIAL_LBL)*(INC_SPECIALS="Y"))=0,"",'Dvd Calendar'!$Y$476)))</f>
        <v/>
      </c>
      <c r="X54" s="161">
        <f>IF(EZ54="","",IF(ISNUMBER('Dvd Calendar'!$Z$476)=FALSE,"",IF((('Dvd Calendar'!$Z$478=TYPE1)*(TYPE1&lt;&gt;"")+('Dvd Calendar'!$Z$478=TYPE2)*(TYPE2&lt;&gt;"")+('Dvd Calendar'!$Z$478=TYPE3)*(TYPE3&lt;&gt;"")+('Dvd Calendar'!$Z$478=TYPE4)*(TYPE4&lt;&gt;"")+('Dvd Calendar'!$Z$478=SPECIAL_LBL)*(INC_SPECIALS="Y"))=0,"",'Dvd Calendar'!$Z$476)))</f>
        <v/>
      </c>
      <c r="Y54" s="161">
        <f>IF(FA54="","",IF(ISNUMBER('Dvd Calendar'!$AA$476)=FALSE,"",IF((('Dvd Calendar'!$AA$478=TYPE1)*(TYPE1&lt;&gt;"")+('Dvd Calendar'!$AA$478=TYPE2)*(TYPE2&lt;&gt;"")+('Dvd Calendar'!$AA$478=TYPE3)*(TYPE3&lt;&gt;"")+('Dvd Calendar'!$AA$478=TYPE4)*(TYPE4&lt;&gt;"")+('Dvd Calendar'!$AA$478=SPECIAL_LBL)*(INC_SPECIALS="Y"))=0,"",'Dvd Calendar'!$AA$476)))</f>
        <v/>
      </c>
      <c r="Z54" s="161">
        <f>IF(FB54="","",IF(ISNUMBER('Dvd Calendar'!$AB$476)=FALSE,"",IF((('Dvd Calendar'!$AB$478=TYPE1)*(TYPE1&lt;&gt;"")+('Dvd Calendar'!$AB$478=TYPE2)*(TYPE2&lt;&gt;"")+('Dvd Calendar'!$AB$478=TYPE3)*(TYPE3&lt;&gt;"")+('Dvd Calendar'!$AB$478=TYPE4)*(TYPE4&lt;&gt;"")+('Dvd Calendar'!$AB$478=SPECIAL_LBL)*(INC_SPECIALS="Y"))=0,"",'Dvd Calendar'!$AB$476)))</f>
        <v/>
      </c>
      <c r="AA54" s="161">
        <f>IF(FC54="","",IF(ISNUMBER('Dvd Calendar'!$AC$476)=FALSE,"",IF((('Dvd Calendar'!$AC$478=TYPE1)*(TYPE1&lt;&gt;"")+('Dvd Calendar'!$AC$478=TYPE2)*(TYPE2&lt;&gt;"")+('Dvd Calendar'!$AC$478=TYPE3)*(TYPE3&lt;&gt;"")+('Dvd Calendar'!$AC$478=TYPE4)*(TYPE4&lt;&gt;"")+('Dvd Calendar'!$AC$478=SPECIAL_LBL)*(INC_SPECIALS="Y"))=0,"",'Dvd Calendar'!$AC$476)))</f>
        <v/>
      </c>
      <c r="AB54" s="161">
        <f>IF(FD54="","",IF(ISNUMBER('Dvd Calendar'!$AD$476)=FALSE,"",IF((('Dvd Calendar'!$AD$478=TYPE1)*(TYPE1&lt;&gt;"")+('Dvd Calendar'!$AD$478=TYPE2)*(TYPE2&lt;&gt;"")+('Dvd Calendar'!$AD$478=TYPE3)*(TYPE3&lt;&gt;"")+('Dvd Calendar'!$AD$478=TYPE4)*(TYPE4&lt;&gt;"")+('Dvd Calendar'!$AD$478=SPECIAL_LBL)*(INC_SPECIALS="Y"))=0,"",'Dvd Calendar'!$AD$476)))</f>
        <v/>
      </c>
      <c r="AC54" s="161">
        <f>IF(FE54="","",IF(ISNUMBER('Dvd Calendar'!$AE$476)=FALSE,"",IF((('Dvd Calendar'!$AE$478=TYPE1)*(TYPE1&lt;&gt;"")+('Dvd Calendar'!$AE$478=TYPE2)*(TYPE2&lt;&gt;"")+('Dvd Calendar'!$AE$478=TYPE3)*(TYPE3&lt;&gt;"")+('Dvd Calendar'!$AE$478=TYPE4)*(TYPE4&lt;&gt;"")+('Dvd Calendar'!$AE$478=SPECIAL_LBL)*(INC_SPECIALS="Y"))=0,"",'Dvd Calendar'!$AE$476)))</f>
        <v/>
      </c>
      <c r="AD54" s="161">
        <f>IF(FF54="","",IF(ISNUMBER('Dvd Calendar'!$AF$476)=FALSE,"",IF((('Dvd Calendar'!$AF$478=TYPE1)*(TYPE1&lt;&gt;"")+('Dvd Calendar'!$AF$478=TYPE2)*(TYPE2&lt;&gt;"")+('Dvd Calendar'!$AF$478=TYPE3)*(TYPE3&lt;&gt;"")+('Dvd Calendar'!$AF$478=TYPE4)*(TYPE4&lt;&gt;"")+('Dvd Calendar'!$AF$478=SPECIAL_LBL)*(INC_SPECIALS="Y"))=0,"",'Dvd Calendar'!$AF$476)))</f>
        <v/>
      </c>
      <c r="AE54" s="161">
        <f>IF(FG54="","",IF(ISNUMBER('Dvd Calendar'!$AG$476)=FALSE,"",IF((('Dvd Calendar'!$AG$478=TYPE1)*(TYPE1&lt;&gt;"")+('Dvd Calendar'!$AG$478=TYPE2)*(TYPE2&lt;&gt;"")+('Dvd Calendar'!$AG$478=TYPE3)*(TYPE3&lt;&gt;"")+('Dvd Calendar'!$AG$478=TYPE4)*(TYPE4&lt;&gt;"")+('Dvd Calendar'!$AG$478=SPECIAL_LBL)*(INC_SPECIALS="Y"))=0,"",'Dvd Calendar'!$AG$476)))</f>
        <v/>
      </c>
      <c r="AF54" s="161">
        <f>IF(FH54="","",IF(ISNUMBER('Dvd Calendar'!$AH$476)=FALSE,"",IF((('Dvd Calendar'!$AH$478=TYPE1)*(TYPE1&lt;&gt;"")+('Dvd Calendar'!$AH$478=TYPE2)*(TYPE2&lt;&gt;"")+('Dvd Calendar'!$AH$478=TYPE3)*(TYPE3&lt;&gt;"")+('Dvd Calendar'!$AH$478=TYPE4)*(TYPE4&lt;&gt;"")+('Dvd Calendar'!$AH$478=SPECIAL_LBL)*(INC_SPECIALS="Y"))=0,"",'Dvd Calendar'!$AH$476)))</f>
        <v/>
      </c>
      <c r="AG54" s="161">
        <f>IF(FI54="","",IF(ISNUMBER('Dvd Calendar'!$AI$476)=FALSE,"",IF((('Dvd Calendar'!$AI$478=TYPE1)*(TYPE1&lt;&gt;"")+('Dvd Calendar'!$AI$478=TYPE2)*(TYPE2&lt;&gt;"")+('Dvd Calendar'!$AI$478=TYPE3)*(TYPE3&lt;&gt;"")+('Dvd Calendar'!$AI$478=TYPE4)*(TYPE4&lt;&gt;"")+('Dvd Calendar'!$AI$478=SPECIAL_LBL)*(INC_SPECIALS="Y"))=0,"",'Dvd Calendar'!$AI$476)))</f>
        <v/>
      </c>
      <c r="AH54" s="161">
        <f>IF(FJ54="","",IF(ISNUMBER('Dvd Calendar'!$AJ$476)=FALSE,"",IF((('Dvd Calendar'!$AJ$478=TYPE1)*(TYPE1&lt;&gt;"")+('Dvd Calendar'!$AJ$478=TYPE2)*(TYPE2&lt;&gt;"")+('Dvd Calendar'!$AJ$478=TYPE3)*(TYPE3&lt;&gt;"")+('Dvd Calendar'!$AJ$478=TYPE4)*(TYPE4&lt;&gt;"")+('Dvd Calendar'!$AJ$478=SPECIAL_LBL)*(INC_SPECIALS="Y"))=0,"",'Dvd Calendar'!$AJ$476)))</f>
        <v/>
      </c>
      <c r="AI54" s="161">
        <f>IF(FK54="","",IF(ISNUMBER('Dvd Calendar'!$AK$476)=FALSE,"",IF((('Dvd Calendar'!$AK$478=TYPE1)*(TYPE1&lt;&gt;"")+('Dvd Calendar'!$AK$478=TYPE2)*(TYPE2&lt;&gt;"")+('Dvd Calendar'!$AK$478=TYPE3)*(TYPE3&lt;&gt;"")+('Dvd Calendar'!$AK$478=TYPE4)*(TYPE4&lt;&gt;"")+('Dvd Calendar'!$AK$478=SPECIAL_LBL)*(INC_SPECIALS="Y"))=0,"",'Dvd Calendar'!$AK$476)))</f>
        <v/>
      </c>
      <c r="AJ54" s="161">
        <f>IF(FL54="","",IF(ISNUMBER('Dvd Calendar'!$AL$476)=FALSE,"",IF((('Dvd Calendar'!$AL$478=TYPE1)*(TYPE1&lt;&gt;"")+('Dvd Calendar'!$AL$478=TYPE2)*(TYPE2&lt;&gt;"")+('Dvd Calendar'!$AL$478=TYPE3)*(TYPE3&lt;&gt;"")+('Dvd Calendar'!$AL$478=TYPE4)*(TYPE4&lt;&gt;"")+('Dvd Calendar'!$AL$478=SPECIAL_LBL)*(INC_SPECIALS="Y"))=0,"",'Dvd Calendar'!$AL$476)))</f>
        <v/>
      </c>
      <c r="AK54" s="161">
        <f>IF(FM54="","",IF(ISNUMBER('Dvd Calendar'!$AM$476)=FALSE,"",IF((('Dvd Calendar'!$AM$478=TYPE1)*(TYPE1&lt;&gt;"")+('Dvd Calendar'!$AM$478=TYPE2)*(TYPE2&lt;&gt;"")+('Dvd Calendar'!$AM$478=TYPE3)*(TYPE3&lt;&gt;"")+('Dvd Calendar'!$AM$478=TYPE4)*(TYPE4&lt;&gt;"")+('Dvd Calendar'!$AM$478=SPECIAL_LBL)*(INC_SPECIALS="Y"))=0,"",'Dvd Calendar'!$AM$476)))</f>
        <v/>
      </c>
      <c r="AL54" s="161">
        <f>IF(FN54="","",IF(ISNUMBER('Dvd Calendar'!$AN$476)=FALSE,"",IF((('Dvd Calendar'!$AN$478=TYPE1)*(TYPE1&lt;&gt;"")+('Dvd Calendar'!$AN$478=TYPE2)*(TYPE2&lt;&gt;"")+('Dvd Calendar'!$AN$478=TYPE3)*(TYPE3&lt;&gt;"")+('Dvd Calendar'!$AN$478=TYPE4)*(TYPE4&lt;&gt;"")+('Dvd Calendar'!$AN$478=SPECIAL_LBL)*(INC_SPECIALS="Y"))=0,"",'Dvd Calendar'!$AN$476)))</f>
        <v/>
      </c>
      <c r="AM54" s="161">
        <f>IF(FO54="","",IF(ISNUMBER('Dvd Calendar'!$AO$476)=FALSE,"",IF((('Dvd Calendar'!$AO$478=TYPE1)*(TYPE1&lt;&gt;"")+('Dvd Calendar'!$AO$478=TYPE2)*(TYPE2&lt;&gt;"")+('Dvd Calendar'!$AO$478=TYPE3)*(TYPE3&lt;&gt;"")+('Dvd Calendar'!$AO$478=TYPE4)*(TYPE4&lt;&gt;"")+('Dvd Calendar'!$AO$478=SPECIAL_LBL)*(INC_SPECIALS="Y"))=0,"",'Dvd Calendar'!$AO$476)))</f>
        <v/>
      </c>
      <c r="AN54" s="161">
        <f>IF(FP54="","",IF(ISNUMBER('Dvd Calendar'!$AP$476)=FALSE,"",IF((('Dvd Calendar'!$AP$478=TYPE1)*(TYPE1&lt;&gt;"")+('Dvd Calendar'!$AP$478=TYPE2)*(TYPE2&lt;&gt;"")+('Dvd Calendar'!$AP$478=TYPE3)*(TYPE3&lt;&gt;"")+('Dvd Calendar'!$AP$478=TYPE4)*(TYPE4&lt;&gt;"")+('Dvd Calendar'!$AP$478=SPECIAL_LBL)*(INC_SPECIALS="Y"))=0,"",'Dvd Calendar'!$AP$476)))</f>
        <v/>
      </c>
      <c r="AO54" s="161">
        <f>IF(FQ54="","",IF(ISNUMBER('Dvd Calendar'!$AQ$476)=FALSE,"",IF((('Dvd Calendar'!$AQ$478=TYPE1)*(TYPE1&lt;&gt;"")+('Dvd Calendar'!$AQ$478=TYPE2)*(TYPE2&lt;&gt;"")+('Dvd Calendar'!$AQ$478=TYPE3)*(TYPE3&lt;&gt;"")+('Dvd Calendar'!$AQ$478=TYPE4)*(TYPE4&lt;&gt;"")+('Dvd Calendar'!$AQ$478=SPECIAL_LBL)*(INC_SPECIALS="Y"))=0,"",'Dvd Calendar'!$AQ$476)))</f>
        <v/>
      </c>
      <c r="AP54" s="161">
        <f>IF(FR54="","",IF(ISNUMBER('Dvd Calendar'!$AR$476)=FALSE,"",IF((('Dvd Calendar'!$AR$478=TYPE1)*(TYPE1&lt;&gt;"")+('Dvd Calendar'!$AR$478=TYPE2)*(TYPE2&lt;&gt;"")+('Dvd Calendar'!$AR$478=TYPE3)*(TYPE3&lt;&gt;"")+('Dvd Calendar'!$AR$478=TYPE4)*(TYPE4&lt;&gt;"")+('Dvd Calendar'!$AR$478=SPECIAL_LBL)*(INC_SPECIALS="Y"))=0,"",'Dvd Calendar'!$AR$476)))</f>
        <v/>
      </c>
      <c r="AQ54" s="161">
        <f>IF(FS54="","",IF(ISNUMBER('Dvd Calendar'!$E$481)=FALSE,"",'Dvd Calendar'!$E$481))</f>
        <v/>
      </c>
      <c r="AR54" s="161">
        <f>IF(FT54="","",IF(ISNUMBER('Dvd Calendar'!$F$481)=FALSE,"",'Dvd Calendar'!$F$481))</f>
        <v/>
      </c>
      <c r="AS54" s="161">
        <f>IF(FU54="","",IF(ISNUMBER('Dvd Calendar'!$G$481)=FALSE,"",'Dvd Calendar'!$G$481))</f>
        <v/>
      </c>
      <c r="AT54" s="161">
        <f>IF(FV54="","",IF(ISNUMBER('Dvd Calendar'!$H$481)=FALSE,"",'Dvd Calendar'!$H$481))</f>
        <v/>
      </c>
      <c r="AU54" s="161">
        <f>IF(FW54="","",IF(ISNUMBER('Dvd Calendar'!$I$481)=FALSE,"",'Dvd Calendar'!$I$481))</f>
        <v/>
      </c>
      <c r="AV54" s="161">
        <f>IF(FX54="","",IF(ISNUMBER('Dvd Calendar'!$J$481)=FALSE,"",'Dvd Calendar'!$J$481))</f>
        <v/>
      </c>
      <c r="AW54" s="161">
        <f>IF(FY54="","",IF(ISNUMBER('Dvd Calendar'!$K$481)=FALSE,"",'Dvd Calendar'!$K$481))</f>
        <v/>
      </c>
      <c r="AX54" s="161">
        <f>IF(FZ54="","",IF(ISNUMBER('Dvd Calendar'!$L$481)=FALSE,"",'Dvd Calendar'!$L$481))</f>
        <v/>
      </c>
      <c r="AY54" s="161">
        <f>IF(GA54="","",IF(ISNUMBER('Dvd Calendar'!$M$481)=FALSE,"",'Dvd Calendar'!$M$481))</f>
        <v/>
      </c>
      <c r="AZ54" s="161">
        <f>IF(GB54="","",IF(ISNUMBER('Dvd Calendar'!$N$481)=FALSE,"",'Dvd Calendar'!$N$481))</f>
        <v/>
      </c>
      <c r="BA54" s="161">
        <f>IF(GC54="","",IF(ISNUMBER('Dvd Calendar'!$O$481)=FALSE,"",'Dvd Calendar'!$O$481))</f>
        <v/>
      </c>
      <c r="BB54" s="161">
        <f>IF(GD54="","",IF(ISNUMBER('Dvd Calendar'!$P$481)=FALSE,"",'Dvd Calendar'!$P$481))</f>
        <v/>
      </c>
      <c r="BC54" s="161">
        <f>IF(GE54="","",IF(ISNUMBER('Dvd Calendar'!$Q$481)=FALSE,"",'Dvd Calendar'!$Q$481))</f>
        <v/>
      </c>
      <c r="BD54" s="161">
        <f>IF(GF54="","",IF(ISNUMBER('Dvd Calendar'!$R$481)=FALSE,"",'Dvd Calendar'!$R$481))</f>
        <v/>
      </c>
      <c r="BE54" s="161">
        <f>IF(GG54="","",IF(ISNUMBER('Dvd Calendar'!$S$481)=FALSE,"",'Dvd Calendar'!$S$481))</f>
        <v/>
      </c>
      <c r="BF54" s="161">
        <f>IF(GH54="","",IF(ISNUMBER('Dvd Calendar'!$T$481)=FALSE,"",'Dvd Calendar'!$T$481))</f>
        <v/>
      </c>
      <c r="BG54" s="161">
        <f>IF(GI54="","",IF(ISNUMBER('Dvd Calendar'!$U$481)=FALSE,"",'Dvd Calendar'!$U$481))</f>
        <v/>
      </c>
      <c r="BH54" s="161">
        <f>IF(GJ54="","",IF(ISNUMBER('Dvd Calendar'!$V$481)=FALSE,"",'Dvd Calendar'!$V$481))</f>
        <v/>
      </c>
      <c r="BI54" s="161">
        <f>IF(GK54="","",IF(ISNUMBER('Dvd Calendar'!$W$481)=FALSE,"",'Dvd Calendar'!$W$481))</f>
        <v/>
      </c>
      <c r="BJ54" s="161">
        <f>IF(GL54="","",IF(ISNUMBER('Dvd Calendar'!$X$481)=FALSE,"",'Dvd Calendar'!$X$481))</f>
        <v/>
      </c>
      <c r="BK54" s="161">
        <f>IF(GM54="","",IF(ISNUMBER('Dvd Calendar'!$Y$481)=FALSE,"",'Dvd Calendar'!$Y$481))</f>
        <v/>
      </c>
      <c r="BL54" s="161">
        <f>IF(GN54="","",IF(ISNUMBER('Dvd Calendar'!$Z$481)=FALSE,"",'Dvd Calendar'!$Z$481))</f>
        <v/>
      </c>
      <c r="BM54" s="161">
        <f>IF(GO54="","",IF(ISNUMBER('Dvd Calendar'!$AA$481)=FALSE,"",'Dvd Calendar'!$AA$481))</f>
        <v/>
      </c>
      <c r="BN54" s="161">
        <f>IF(GP54="","",IF(ISNUMBER('Dvd Calendar'!$AB$481)=FALSE,"",'Dvd Calendar'!$AB$481))</f>
        <v/>
      </c>
      <c r="BO54" s="161">
        <f>IF(GQ54="","",IF(ISNUMBER('Dvd Calendar'!$AC$481)=FALSE,"",'Dvd Calendar'!$AC$481))</f>
        <v/>
      </c>
      <c r="BQ54" s="161">
        <f>IF(C54="","",IFERROR(C54*HSI!$B$49*HSI!$G$49/HSI!$B$3,""))</f>
        <v/>
      </c>
      <c r="BR54" s="161">
        <f>IF(D54="","",IFERROR(D54*HSI!$B$49*HSI!$G$49/HSI!$B$3,""))</f>
        <v/>
      </c>
      <c r="BS54" s="161">
        <f>IF(E54="","",IFERROR(E54*HSI!$B$49*HSI!$G$49/HSI!$B$3,""))</f>
        <v/>
      </c>
      <c r="BT54" s="161">
        <f>IF(F54="","",IFERROR(F54*HSI!$B$49*HSI!$G$49/HSI!$B$3,""))</f>
        <v/>
      </c>
      <c r="BU54" s="161">
        <f>IF(G54="","",IFERROR(G54*HSI!$B$49*HSI!$G$49/HSI!$B$3,""))</f>
        <v/>
      </c>
      <c r="BV54" s="161">
        <f>IF(H54="","",IFERROR(H54*HSI!$B$49*HSI!$G$49/HSI!$B$3,""))</f>
        <v/>
      </c>
      <c r="BW54" s="161">
        <f>IF(I54="","",IFERROR(I54*HSI!$B$49*HSI!$G$49/HSI!$B$3,""))</f>
        <v/>
      </c>
      <c r="BX54" s="161">
        <f>IF(J54="","",IFERROR(J54*HSI!$B$49*HSI!$G$49/HSI!$B$3,""))</f>
        <v/>
      </c>
      <c r="BY54" s="161">
        <f>IF(K54="","",IFERROR(K54*HSI!$B$49*HSI!$G$49/HSI!$B$3,""))</f>
        <v/>
      </c>
      <c r="BZ54" s="161">
        <f>IF(L54="","",IFERROR(L54*HSI!$B$49*HSI!$G$49/HSI!$B$3,""))</f>
        <v/>
      </c>
      <c r="CA54" s="161">
        <f>IF(M54="","",IFERROR(M54*HSI!$B$49*HSI!$G$49/HSI!$B$3,""))</f>
        <v/>
      </c>
      <c r="CB54" s="161">
        <f>IF(N54="","",IFERROR(N54*HSI!$B$49*HSI!$G$49/HSI!$B$3,""))</f>
        <v/>
      </c>
      <c r="CC54" s="161">
        <f>IF(O54="","",IFERROR(O54*HSI!$B$49*HSI!$G$49/HSI!$B$3,""))</f>
        <v/>
      </c>
      <c r="CD54" s="161">
        <f>IF(P54="","",IFERROR(P54*HSI!$B$49*HSI!$G$49/HSI!$B$3,""))</f>
        <v/>
      </c>
      <c r="CE54" s="161">
        <f>IF(Q54="","",IFERROR(Q54*HSI!$B$49*HSI!$G$49/HSI!$B$3,""))</f>
        <v/>
      </c>
      <c r="CF54" s="161">
        <f>IF(R54="","",IFERROR(R54*HSI!$B$49*HSI!$G$49/HSI!$B$3,""))</f>
        <v/>
      </c>
      <c r="CG54" s="161">
        <f>IF(S54="","",IFERROR(S54*HSI!$B$49*HSI!$G$49/HSI!$B$3,""))</f>
        <v/>
      </c>
      <c r="CH54" s="161">
        <f>IF(T54="","",IFERROR(T54*HSI!$B$49*HSI!$G$49/HSI!$B$3,""))</f>
        <v/>
      </c>
      <c r="CI54" s="161">
        <f>IF(U54="","",IFERROR(U54*HSI!$B$49*HSI!$G$49/HSI!$B$3,""))</f>
        <v/>
      </c>
      <c r="CJ54" s="161">
        <f>IF(V54="","",IFERROR(V54*HSI!$B$49*HSI!$G$49/HSI!$B$3,""))</f>
        <v/>
      </c>
      <c r="CK54" s="161">
        <f>IF(W54="","",IFERROR(W54*HSI!$B$49*HSI!$G$49/HSI!$B$3,""))</f>
        <v/>
      </c>
      <c r="CL54" s="161">
        <f>IF(X54="","",IFERROR(X54*HSI!$B$49*HSI!$G$49/HSI!$B$3,""))</f>
        <v/>
      </c>
      <c r="CM54" s="161">
        <f>IF(Y54="","",IFERROR(Y54*HSI!$B$49*HSI!$G$49/HSI!$B$3,""))</f>
        <v/>
      </c>
      <c r="CN54" s="161">
        <f>IF(Z54="","",IFERROR(Z54*HSI!$B$49*HSI!$G$49/HSI!$B$3,""))</f>
        <v/>
      </c>
      <c r="CO54" s="161">
        <f>IF(AA54="","",IFERROR(AA54*HSI!$B$49*HSI!$G$49/HSI!$B$3,""))</f>
        <v/>
      </c>
      <c r="CP54" s="161">
        <f>IF(AB54="","",IFERROR(AB54*HSI!$B$49*HSI!$G$49/HSI!$B$3,""))</f>
        <v/>
      </c>
      <c r="CQ54" s="161">
        <f>IF(AC54="","",IFERROR(AC54*HSI!$B$49*HSI!$G$49/HSI!$B$3,""))</f>
        <v/>
      </c>
      <c r="CR54" s="161">
        <f>IF(AD54="","",IFERROR(AD54*HSI!$B$49*HSI!$G$49/HSI!$B$3,""))</f>
        <v/>
      </c>
      <c r="CS54" s="161">
        <f>IF(AE54="","",IFERROR(AE54*HSI!$B$49*HSI!$G$49/HSI!$B$3,""))</f>
        <v/>
      </c>
      <c r="CT54" s="161">
        <f>IF(AF54="","",IFERROR(AF54*HSI!$B$49*HSI!$G$49/HSI!$B$3,""))</f>
        <v/>
      </c>
      <c r="CU54" s="161">
        <f>IF(AG54="","",IFERROR(AG54*HSI!$B$49*HSI!$G$49/HSI!$B$3,""))</f>
        <v/>
      </c>
      <c r="CV54" s="161">
        <f>IF(AH54="","",IFERROR(AH54*HSI!$B$49*HSI!$G$49/HSI!$B$3,""))</f>
        <v/>
      </c>
      <c r="CW54" s="161">
        <f>IF(AI54="","",IFERROR(AI54*HSI!$B$49*HSI!$G$49/HSI!$B$3,""))</f>
        <v/>
      </c>
      <c r="CX54" s="161">
        <f>IF(AJ54="","",IFERROR(AJ54*HSI!$B$49*HSI!$G$49/HSI!$B$3,""))</f>
        <v/>
      </c>
      <c r="CY54" s="161">
        <f>IF(AK54="","",IFERROR(AK54*HSI!$B$49*HSI!$G$49/HSI!$B$3,""))</f>
        <v/>
      </c>
      <c r="CZ54" s="161">
        <f>IF(AL54="","",IFERROR(AL54*HSI!$B$49*HSI!$G$49/HSI!$B$3,""))</f>
        <v/>
      </c>
      <c r="DA54" s="161">
        <f>IF(AM54="","",IFERROR(AM54*HSI!$B$49*HSI!$G$49/HSI!$B$3,""))</f>
        <v/>
      </c>
      <c r="DB54" s="161">
        <f>IF(AN54="","",IFERROR(AN54*HSI!$B$49*HSI!$G$49/HSI!$B$3,""))</f>
        <v/>
      </c>
      <c r="DC54" s="161">
        <f>IF(AO54="","",IFERROR(AO54*HSI!$B$49*HSI!$G$49/HSI!$B$3,""))</f>
        <v/>
      </c>
      <c r="DD54" s="161">
        <f>IF(AP54="","",IFERROR(AP54*HSI!$B$49*HSI!$G$49/HSI!$B$3,""))</f>
        <v/>
      </c>
      <c r="DE54" s="161">
        <f>IF(AQ54="","",IFERROR(AQ54*HSI!$B$49*HSI!$G$49/HSI!$B$3,""))</f>
        <v/>
      </c>
      <c r="DF54" s="161">
        <f>IF(AR54="","",IFERROR(AR54*HSI!$B$49*HSI!$G$49/HSI!$B$3,""))</f>
        <v/>
      </c>
      <c r="DG54" s="161">
        <f>IF(AS54="","",IFERROR(AS54*HSI!$B$49*HSI!$G$49/HSI!$B$3,""))</f>
        <v/>
      </c>
      <c r="DH54" s="161">
        <f>IF(AT54="","",IFERROR(AT54*HSI!$B$49*HSI!$G$49/HSI!$B$3,""))</f>
        <v/>
      </c>
      <c r="DI54" s="161">
        <f>IF(AU54="","",IFERROR(AU54*HSI!$B$49*HSI!$G$49/HSI!$B$3,""))</f>
        <v/>
      </c>
      <c r="DJ54" s="161">
        <f>IF(AV54="","",IFERROR(AV54*HSI!$B$49*HSI!$G$49/HSI!$B$3,""))</f>
        <v/>
      </c>
      <c r="DK54" s="161">
        <f>IF(AW54="","",IFERROR(AW54*HSI!$B$49*HSI!$G$49/HSI!$B$3,""))</f>
        <v/>
      </c>
      <c r="DL54" s="161">
        <f>IF(AX54="","",IFERROR(AX54*HSI!$B$49*HSI!$G$49/HSI!$B$3,""))</f>
        <v/>
      </c>
      <c r="DM54" s="161">
        <f>IF(AY54="","",IFERROR(AY54*HSI!$B$49*HSI!$G$49/HSI!$B$3,""))</f>
        <v/>
      </c>
      <c r="DN54" s="161">
        <f>IF(AZ54="","",IFERROR(AZ54*HSI!$B$49*HSI!$G$49/HSI!$B$3,""))</f>
        <v/>
      </c>
      <c r="DO54" s="161">
        <f>IF(BA54="","",IFERROR(BA54*HSI!$B$49*HSI!$G$49/HSI!$B$3,""))</f>
        <v/>
      </c>
      <c r="DP54" s="161">
        <f>IF(BB54="","",IFERROR(BB54*HSI!$B$49*HSI!$G$49/HSI!$B$3,""))</f>
        <v/>
      </c>
      <c r="DQ54" s="161">
        <f>IF(BC54="","",IFERROR(BC54*HSI!$B$49*HSI!$G$49/HSI!$B$3,""))</f>
        <v/>
      </c>
      <c r="DR54" s="161">
        <f>IF(BD54="","",IFERROR(BD54*HSI!$B$49*HSI!$G$49/HSI!$B$3,""))</f>
        <v/>
      </c>
      <c r="DS54" s="161">
        <f>IF(BE54="","",IFERROR(BE54*HSI!$B$49*HSI!$G$49/HSI!$B$3,""))</f>
        <v/>
      </c>
      <c r="DT54" s="161">
        <f>IF(BF54="","",IFERROR(BF54*HSI!$B$49*HSI!$G$49/HSI!$B$3,""))</f>
        <v/>
      </c>
      <c r="DU54" s="161">
        <f>IF(BG54="","",IFERROR(BG54*HSI!$B$49*HSI!$G$49/HSI!$B$3,""))</f>
        <v/>
      </c>
      <c r="DV54" s="161">
        <f>IF(BH54="","",IFERROR(BH54*HSI!$B$49*HSI!$G$49/HSI!$B$3,""))</f>
        <v/>
      </c>
      <c r="DW54" s="161">
        <f>IF(BI54="","",IFERROR(BI54*HSI!$B$49*HSI!$G$49/HSI!$B$3,""))</f>
        <v/>
      </c>
      <c r="DX54" s="161">
        <f>IF(BJ54="","",IFERROR(BJ54*HSI!$B$49*HSI!$G$49/HSI!$B$3,""))</f>
        <v/>
      </c>
      <c r="DY54" s="161">
        <f>IF(BK54="","",IFERROR(BK54*HSI!$B$49*HSI!$G$49/HSI!$B$3,""))</f>
        <v/>
      </c>
      <c r="DZ54" s="161">
        <f>IF(BL54="","",IFERROR(BL54*HSI!$B$49*HSI!$G$49/HSI!$B$3,""))</f>
        <v/>
      </c>
      <c r="EA54" s="161">
        <f>IF(BM54="","",IFERROR(BM54*HSI!$B$49*HSI!$G$49/HSI!$B$3,""))</f>
        <v/>
      </c>
      <c r="EB54" s="161">
        <f>IF(BN54="","",IFERROR(BN54*HSI!$B$49*HSI!$G$49/HSI!$B$3,""))</f>
        <v/>
      </c>
      <c r="EC54" s="161">
        <f>IF(BO54="","",IFERROR(BO54*HSI!$B$49*HSI!$G$49/HSI!$B$3,""))</f>
        <v/>
      </c>
      <c r="EE54" s="121">
        <f>IF(N('Dvd Calendar'!$E$473)=0,"",IF(('Dvd Calendar'!$E$473&gt;=GRID_FROM)*('Dvd Calendar'!$E$473&lt;=GRID_TO)*((('Dvd Calendar'!$E$473&lt;=VAL_DATE)+(COUNTIF('Dvd Calendar'!$E$480:$AR$480,'Dvd Calendar'!$E$473)=0))&gt;0)=0,"",'Dvd Calendar'!$E$473*1000000000+ISNUMBER('Dvd Calendar'!$E$476)*100000000+('Dvd Calendar'!$E$478=SPECIAL_LBL)*10000000+(N('Dvd Calendar'!$E$472)&gt;0)*(N('Dvd Calendar'!$E$472)&lt;=VAL_SERIAL)*1000000+43*1000+1))</f>
        <v/>
      </c>
      <c r="EF54" s="121">
        <f>IF(N('Dvd Calendar'!$F$473)=0,"",IF(('Dvd Calendar'!$F$473&gt;=GRID_FROM)*('Dvd Calendar'!$F$473&lt;=GRID_TO)*((('Dvd Calendar'!$F$473&lt;=VAL_DATE)+(COUNTIF('Dvd Calendar'!$E$480:$AR$480,'Dvd Calendar'!$F$473)=0))&gt;0)=0,"",'Dvd Calendar'!$F$473*1000000000+ISNUMBER('Dvd Calendar'!$F$476)*100000000+('Dvd Calendar'!$F$478=SPECIAL_LBL)*10000000+(N('Dvd Calendar'!$F$472)&gt;0)*(N('Dvd Calendar'!$F$472)&lt;=VAL_SERIAL)*1000000+43*1000+2))</f>
        <v/>
      </c>
      <c r="EG54" s="121">
        <f>IF(N('Dvd Calendar'!$G$473)=0,"",IF(('Dvd Calendar'!$G$473&gt;=GRID_FROM)*('Dvd Calendar'!$G$473&lt;=GRID_TO)*((('Dvd Calendar'!$G$473&lt;=VAL_DATE)+(COUNTIF('Dvd Calendar'!$E$480:$AR$480,'Dvd Calendar'!$G$473)=0))&gt;0)=0,"",'Dvd Calendar'!$G$473*1000000000+ISNUMBER('Dvd Calendar'!$G$476)*100000000+('Dvd Calendar'!$G$478=SPECIAL_LBL)*10000000+(N('Dvd Calendar'!$G$472)&gt;0)*(N('Dvd Calendar'!$G$472)&lt;=VAL_SERIAL)*1000000+43*1000+3))</f>
        <v/>
      </c>
      <c r="EH54" s="121">
        <f>IF(N('Dvd Calendar'!$H$473)=0,"",IF(('Dvd Calendar'!$H$473&gt;=GRID_FROM)*('Dvd Calendar'!$H$473&lt;=GRID_TO)*((('Dvd Calendar'!$H$473&lt;=VAL_DATE)+(COUNTIF('Dvd Calendar'!$E$480:$AR$480,'Dvd Calendar'!$H$473)=0))&gt;0)=0,"",'Dvd Calendar'!$H$473*1000000000+ISNUMBER('Dvd Calendar'!$H$476)*100000000+('Dvd Calendar'!$H$478=SPECIAL_LBL)*10000000+(N('Dvd Calendar'!$H$472)&gt;0)*(N('Dvd Calendar'!$H$472)&lt;=VAL_SERIAL)*1000000+43*1000+4))</f>
        <v/>
      </c>
      <c r="EI54" s="121">
        <f>IF(N('Dvd Calendar'!$I$473)=0,"",IF(('Dvd Calendar'!$I$473&gt;=GRID_FROM)*('Dvd Calendar'!$I$473&lt;=GRID_TO)*((('Dvd Calendar'!$I$473&lt;=VAL_DATE)+(COUNTIF('Dvd Calendar'!$E$480:$AR$480,'Dvd Calendar'!$I$473)=0))&gt;0)=0,"",'Dvd Calendar'!$I$473*1000000000+ISNUMBER('Dvd Calendar'!$I$476)*100000000+('Dvd Calendar'!$I$478=SPECIAL_LBL)*10000000+(N('Dvd Calendar'!$I$472)&gt;0)*(N('Dvd Calendar'!$I$472)&lt;=VAL_SERIAL)*1000000+43*1000+5))</f>
        <v/>
      </c>
      <c r="EJ54" s="121">
        <f>IF(N('Dvd Calendar'!$J$473)=0,"",IF(('Dvd Calendar'!$J$473&gt;=GRID_FROM)*('Dvd Calendar'!$J$473&lt;=GRID_TO)*((('Dvd Calendar'!$J$473&lt;=VAL_DATE)+(COUNTIF('Dvd Calendar'!$E$480:$AR$480,'Dvd Calendar'!$J$473)=0))&gt;0)=0,"",'Dvd Calendar'!$J$473*1000000000+ISNUMBER('Dvd Calendar'!$J$476)*100000000+('Dvd Calendar'!$J$478=SPECIAL_LBL)*10000000+(N('Dvd Calendar'!$J$472)&gt;0)*(N('Dvd Calendar'!$J$472)&lt;=VAL_SERIAL)*1000000+43*1000+6))</f>
        <v/>
      </c>
      <c r="EK54" s="121">
        <f>IF(N('Dvd Calendar'!$K$473)=0,"",IF(('Dvd Calendar'!$K$473&gt;=GRID_FROM)*('Dvd Calendar'!$K$473&lt;=GRID_TO)*((('Dvd Calendar'!$K$473&lt;=VAL_DATE)+(COUNTIF('Dvd Calendar'!$E$480:$AR$480,'Dvd Calendar'!$K$473)=0))&gt;0)=0,"",'Dvd Calendar'!$K$473*1000000000+ISNUMBER('Dvd Calendar'!$K$476)*100000000+('Dvd Calendar'!$K$478=SPECIAL_LBL)*10000000+(N('Dvd Calendar'!$K$472)&gt;0)*(N('Dvd Calendar'!$K$472)&lt;=VAL_SERIAL)*1000000+43*1000+7))</f>
        <v/>
      </c>
      <c r="EL54" s="121">
        <f>IF(N('Dvd Calendar'!$L$473)=0,"",IF(('Dvd Calendar'!$L$473&gt;=GRID_FROM)*('Dvd Calendar'!$L$473&lt;=GRID_TO)*((('Dvd Calendar'!$L$473&lt;=VAL_DATE)+(COUNTIF('Dvd Calendar'!$E$480:$AR$480,'Dvd Calendar'!$L$473)=0))&gt;0)=0,"",'Dvd Calendar'!$L$473*1000000000+ISNUMBER('Dvd Calendar'!$L$476)*100000000+('Dvd Calendar'!$L$478=SPECIAL_LBL)*10000000+(N('Dvd Calendar'!$L$472)&gt;0)*(N('Dvd Calendar'!$L$472)&lt;=VAL_SERIAL)*1000000+43*1000+8))</f>
        <v/>
      </c>
      <c r="EM54" s="121">
        <f>IF(N('Dvd Calendar'!$M$473)=0,"",IF(('Dvd Calendar'!$M$473&gt;=GRID_FROM)*('Dvd Calendar'!$M$473&lt;=GRID_TO)*((('Dvd Calendar'!$M$473&lt;=VAL_DATE)+(COUNTIF('Dvd Calendar'!$E$480:$AR$480,'Dvd Calendar'!$M$473)=0))&gt;0)=0,"",'Dvd Calendar'!$M$473*1000000000+ISNUMBER('Dvd Calendar'!$M$476)*100000000+('Dvd Calendar'!$M$478=SPECIAL_LBL)*10000000+(N('Dvd Calendar'!$M$472)&gt;0)*(N('Dvd Calendar'!$M$472)&lt;=VAL_SERIAL)*1000000+43*1000+9))</f>
        <v/>
      </c>
      <c r="EN54" s="121">
        <f>IF(N('Dvd Calendar'!$N$473)=0,"",IF(('Dvd Calendar'!$N$473&gt;=GRID_FROM)*('Dvd Calendar'!$N$473&lt;=GRID_TO)*((('Dvd Calendar'!$N$473&lt;=VAL_DATE)+(COUNTIF('Dvd Calendar'!$E$480:$AR$480,'Dvd Calendar'!$N$473)=0))&gt;0)=0,"",'Dvd Calendar'!$N$473*1000000000+ISNUMBER('Dvd Calendar'!$N$476)*100000000+('Dvd Calendar'!$N$478=SPECIAL_LBL)*10000000+(N('Dvd Calendar'!$N$472)&gt;0)*(N('Dvd Calendar'!$N$472)&lt;=VAL_SERIAL)*1000000+43*1000+10))</f>
        <v/>
      </c>
      <c r="EO54" s="121">
        <f>IF(N('Dvd Calendar'!$O$473)=0,"",IF(('Dvd Calendar'!$O$473&gt;=GRID_FROM)*('Dvd Calendar'!$O$473&lt;=GRID_TO)*((('Dvd Calendar'!$O$473&lt;=VAL_DATE)+(COUNTIF('Dvd Calendar'!$E$480:$AR$480,'Dvd Calendar'!$O$473)=0))&gt;0)=0,"",'Dvd Calendar'!$O$473*1000000000+ISNUMBER('Dvd Calendar'!$O$476)*100000000+('Dvd Calendar'!$O$478=SPECIAL_LBL)*10000000+(N('Dvd Calendar'!$O$472)&gt;0)*(N('Dvd Calendar'!$O$472)&lt;=VAL_SERIAL)*1000000+43*1000+11))</f>
        <v/>
      </c>
      <c r="EP54" s="121">
        <f>IF(N('Dvd Calendar'!$P$473)=0,"",IF(('Dvd Calendar'!$P$473&gt;=GRID_FROM)*('Dvd Calendar'!$P$473&lt;=GRID_TO)*((('Dvd Calendar'!$P$473&lt;=VAL_DATE)+(COUNTIF('Dvd Calendar'!$E$480:$AR$480,'Dvd Calendar'!$P$473)=0))&gt;0)=0,"",'Dvd Calendar'!$P$473*1000000000+ISNUMBER('Dvd Calendar'!$P$476)*100000000+('Dvd Calendar'!$P$478=SPECIAL_LBL)*10000000+(N('Dvd Calendar'!$P$472)&gt;0)*(N('Dvd Calendar'!$P$472)&lt;=VAL_SERIAL)*1000000+43*1000+12))</f>
        <v/>
      </c>
      <c r="EQ54" s="121">
        <f>IF(N('Dvd Calendar'!$Q$473)=0,"",IF(('Dvd Calendar'!$Q$473&gt;=GRID_FROM)*('Dvd Calendar'!$Q$473&lt;=GRID_TO)*((('Dvd Calendar'!$Q$473&lt;=VAL_DATE)+(COUNTIF('Dvd Calendar'!$E$480:$AR$480,'Dvd Calendar'!$Q$473)=0))&gt;0)=0,"",'Dvd Calendar'!$Q$473*1000000000+ISNUMBER('Dvd Calendar'!$Q$476)*100000000+('Dvd Calendar'!$Q$478=SPECIAL_LBL)*10000000+(N('Dvd Calendar'!$Q$472)&gt;0)*(N('Dvd Calendar'!$Q$472)&lt;=VAL_SERIAL)*1000000+43*1000+13))</f>
        <v/>
      </c>
      <c r="ER54" s="121">
        <f>IF(N('Dvd Calendar'!$R$473)=0,"",IF(('Dvd Calendar'!$R$473&gt;=GRID_FROM)*('Dvd Calendar'!$R$473&lt;=GRID_TO)*((('Dvd Calendar'!$R$473&lt;=VAL_DATE)+(COUNTIF('Dvd Calendar'!$E$480:$AR$480,'Dvd Calendar'!$R$473)=0))&gt;0)=0,"",'Dvd Calendar'!$R$473*1000000000+ISNUMBER('Dvd Calendar'!$R$476)*100000000+('Dvd Calendar'!$R$478=SPECIAL_LBL)*10000000+(N('Dvd Calendar'!$R$472)&gt;0)*(N('Dvd Calendar'!$R$472)&lt;=VAL_SERIAL)*1000000+43*1000+14))</f>
        <v/>
      </c>
      <c r="ES54" s="121">
        <f>IF(N('Dvd Calendar'!$S$473)=0,"",IF(('Dvd Calendar'!$S$473&gt;=GRID_FROM)*('Dvd Calendar'!$S$473&lt;=GRID_TO)*((('Dvd Calendar'!$S$473&lt;=VAL_DATE)+(COUNTIF('Dvd Calendar'!$E$480:$AR$480,'Dvd Calendar'!$S$473)=0))&gt;0)=0,"",'Dvd Calendar'!$S$473*1000000000+ISNUMBER('Dvd Calendar'!$S$476)*100000000+('Dvd Calendar'!$S$478=SPECIAL_LBL)*10000000+(N('Dvd Calendar'!$S$472)&gt;0)*(N('Dvd Calendar'!$S$472)&lt;=VAL_SERIAL)*1000000+43*1000+15))</f>
        <v/>
      </c>
      <c r="ET54" s="121">
        <f>IF(N('Dvd Calendar'!$T$473)=0,"",IF(('Dvd Calendar'!$T$473&gt;=GRID_FROM)*('Dvd Calendar'!$T$473&lt;=GRID_TO)*((('Dvd Calendar'!$T$473&lt;=VAL_DATE)+(COUNTIF('Dvd Calendar'!$E$480:$AR$480,'Dvd Calendar'!$T$473)=0))&gt;0)=0,"",'Dvd Calendar'!$T$473*1000000000+ISNUMBER('Dvd Calendar'!$T$476)*100000000+('Dvd Calendar'!$T$478=SPECIAL_LBL)*10000000+(N('Dvd Calendar'!$T$472)&gt;0)*(N('Dvd Calendar'!$T$472)&lt;=VAL_SERIAL)*1000000+43*1000+16))</f>
        <v/>
      </c>
      <c r="EU54" s="121">
        <f>IF(N('Dvd Calendar'!$U$473)=0,"",IF(('Dvd Calendar'!$U$473&gt;=GRID_FROM)*('Dvd Calendar'!$U$473&lt;=GRID_TO)*((('Dvd Calendar'!$U$473&lt;=VAL_DATE)+(COUNTIF('Dvd Calendar'!$E$480:$AR$480,'Dvd Calendar'!$U$473)=0))&gt;0)=0,"",'Dvd Calendar'!$U$473*1000000000+ISNUMBER('Dvd Calendar'!$U$476)*100000000+('Dvd Calendar'!$U$478=SPECIAL_LBL)*10000000+(N('Dvd Calendar'!$U$472)&gt;0)*(N('Dvd Calendar'!$U$472)&lt;=VAL_SERIAL)*1000000+43*1000+17))</f>
        <v/>
      </c>
      <c r="EV54" s="121">
        <f>IF(N('Dvd Calendar'!$V$473)=0,"",IF(('Dvd Calendar'!$V$473&gt;=GRID_FROM)*('Dvd Calendar'!$V$473&lt;=GRID_TO)*((('Dvd Calendar'!$V$473&lt;=VAL_DATE)+(COUNTIF('Dvd Calendar'!$E$480:$AR$480,'Dvd Calendar'!$V$473)=0))&gt;0)=0,"",'Dvd Calendar'!$V$473*1000000000+ISNUMBER('Dvd Calendar'!$V$476)*100000000+('Dvd Calendar'!$V$478=SPECIAL_LBL)*10000000+(N('Dvd Calendar'!$V$472)&gt;0)*(N('Dvd Calendar'!$V$472)&lt;=VAL_SERIAL)*1000000+43*1000+18))</f>
        <v/>
      </c>
      <c r="EW54" s="121">
        <f>IF(N('Dvd Calendar'!$W$473)=0,"",IF(('Dvd Calendar'!$W$473&gt;=GRID_FROM)*('Dvd Calendar'!$W$473&lt;=GRID_TO)*((('Dvd Calendar'!$W$473&lt;=VAL_DATE)+(COUNTIF('Dvd Calendar'!$E$480:$AR$480,'Dvd Calendar'!$W$473)=0))&gt;0)=0,"",'Dvd Calendar'!$W$473*1000000000+ISNUMBER('Dvd Calendar'!$W$476)*100000000+('Dvd Calendar'!$W$478=SPECIAL_LBL)*10000000+(N('Dvd Calendar'!$W$472)&gt;0)*(N('Dvd Calendar'!$W$472)&lt;=VAL_SERIAL)*1000000+43*1000+19))</f>
        <v/>
      </c>
      <c r="EX54" s="121">
        <f>IF(N('Dvd Calendar'!$X$473)=0,"",IF(('Dvd Calendar'!$X$473&gt;=GRID_FROM)*('Dvd Calendar'!$X$473&lt;=GRID_TO)*((('Dvd Calendar'!$X$473&lt;=VAL_DATE)+(COUNTIF('Dvd Calendar'!$E$480:$AR$480,'Dvd Calendar'!$X$473)=0))&gt;0)=0,"",'Dvd Calendar'!$X$473*1000000000+ISNUMBER('Dvd Calendar'!$X$476)*100000000+('Dvd Calendar'!$X$478=SPECIAL_LBL)*10000000+(N('Dvd Calendar'!$X$472)&gt;0)*(N('Dvd Calendar'!$X$472)&lt;=VAL_SERIAL)*1000000+43*1000+20))</f>
        <v/>
      </c>
      <c r="EY54" s="121">
        <f>IF(N('Dvd Calendar'!$Y$473)=0,"",IF(('Dvd Calendar'!$Y$473&gt;=GRID_FROM)*('Dvd Calendar'!$Y$473&lt;=GRID_TO)*((('Dvd Calendar'!$Y$473&lt;=VAL_DATE)+(COUNTIF('Dvd Calendar'!$E$480:$AR$480,'Dvd Calendar'!$Y$473)=0))&gt;0)=0,"",'Dvd Calendar'!$Y$473*1000000000+ISNUMBER('Dvd Calendar'!$Y$476)*100000000+('Dvd Calendar'!$Y$478=SPECIAL_LBL)*10000000+(N('Dvd Calendar'!$Y$472)&gt;0)*(N('Dvd Calendar'!$Y$472)&lt;=VAL_SERIAL)*1000000+43*1000+21))</f>
        <v/>
      </c>
      <c r="EZ54" s="121">
        <f>IF(N('Dvd Calendar'!$Z$473)=0,"",IF(('Dvd Calendar'!$Z$473&gt;=GRID_FROM)*('Dvd Calendar'!$Z$473&lt;=GRID_TO)*((('Dvd Calendar'!$Z$473&lt;=VAL_DATE)+(COUNTIF('Dvd Calendar'!$E$480:$AR$480,'Dvd Calendar'!$Z$473)=0))&gt;0)=0,"",'Dvd Calendar'!$Z$473*1000000000+ISNUMBER('Dvd Calendar'!$Z$476)*100000000+('Dvd Calendar'!$Z$478=SPECIAL_LBL)*10000000+(N('Dvd Calendar'!$Z$472)&gt;0)*(N('Dvd Calendar'!$Z$472)&lt;=VAL_SERIAL)*1000000+43*1000+22))</f>
        <v/>
      </c>
      <c r="FA54" s="121">
        <f>IF(N('Dvd Calendar'!$AA$473)=0,"",IF(('Dvd Calendar'!$AA$473&gt;=GRID_FROM)*('Dvd Calendar'!$AA$473&lt;=GRID_TO)*((('Dvd Calendar'!$AA$473&lt;=VAL_DATE)+(COUNTIF('Dvd Calendar'!$E$480:$AR$480,'Dvd Calendar'!$AA$473)=0))&gt;0)=0,"",'Dvd Calendar'!$AA$473*1000000000+ISNUMBER('Dvd Calendar'!$AA$476)*100000000+('Dvd Calendar'!$AA$478=SPECIAL_LBL)*10000000+(N('Dvd Calendar'!$AA$472)&gt;0)*(N('Dvd Calendar'!$AA$472)&lt;=VAL_SERIAL)*1000000+43*1000+23))</f>
        <v/>
      </c>
      <c r="FB54" s="121">
        <f>IF(N('Dvd Calendar'!$AB$473)=0,"",IF(('Dvd Calendar'!$AB$473&gt;=GRID_FROM)*('Dvd Calendar'!$AB$473&lt;=GRID_TO)*((('Dvd Calendar'!$AB$473&lt;=VAL_DATE)+(COUNTIF('Dvd Calendar'!$E$480:$AR$480,'Dvd Calendar'!$AB$473)=0))&gt;0)=0,"",'Dvd Calendar'!$AB$473*1000000000+ISNUMBER('Dvd Calendar'!$AB$476)*100000000+('Dvd Calendar'!$AB$478=SPECIAL_LBL)*10000000+(N('Dvd Calendar'!$AB$472)&gt;0)*(N('Dvd Calendar'!$AB$472)&lt;=VAL_SERIAL)*1000000+43*1000+24))</f>
        <v/>
      </c>
      <c r="FC54" s="121">
        <f>IF(N('Dvd Calendar'!$AC$473)=0,"",IF(('Dvd Calendar'!$AC$473&gt;=GRID_FROM)*('Dvd Calendar'!$AC$473&lt;=GRID_TO)*((('Dvd Calendar'!$AC$473&lt;=VAL_DATE)+(COUNTIF('Dvd Calendar'!$E$480:$AR$480,'Dvd Calendar'!$AC$473)=0))&gt;0)=0,"",'Dvd Calendar'!$AC$473*1000000000+ISNUMBER('Dvd Calendar'!$AC$476)*100000000+('Dvd Calendar'!$AC$478=SPECIAL_LBL)*10000000+(N('Dvd Calendar'!$AC$472)&gt;0)*(N('Dvd Calendar'!$AC$472)&lt;=VAL_SERIAL)*1000000+43*1000+25))</f>
        <v/>
      </c>
      <c r="FD54" s="121">
        <f>IF(N('Dvd Calendar'!$AD$473)=0,"",IF(('Dvd Calendar'!$AD$473&gt;=GRID_FROM)*('Dvd Calendar'!$AD$473&lt;=GRID_TO)*((('Dvd Calendar'!$AD$473&lt;=VAL_DATE)+(COUNTIF('Dvd Calendar'!$E$480:$AR$480,'Dvd Calendar'!$AD$473)=0))&gt;0)=0,"",'Dvd Calendar'!$AD$473*1000000000+ISNUMBER('Dvd Calendar'!$AD$476)*100000000+('Dvd Calendar'!$AD$478=SPECIAL_LBL)*10000000+(N('Dvd Calendar'!$AD$472)&gt;0)*(N('Dvd Calendar'!$AD$472)&lt;=VAL_SERIAL)*1000000+43*1000+26))</f>
        <v/>
      </c>
      <c r="FE54" s="121">
        <f>IF(N('Dvd Calendar'!$AE$473)=0,"",IF(('Dvd Calendar'!$AE$473&gt;=GRID_FROM)*('Dvd Calendar'!$AE$473&lt;=GRID_TO)*((('Dvd Calendar'!$AE$473&lt;=VAL_DATE)+(COUNTIF('Dvd Calendar'!$E$480:$AR$480,'Dvd Calendar'!$AE$473)=0))&gt;0)=0,"",'Dvd Calendar'!$AE$473*1000000000+ISNUMBER('Dvd Calendar'!$AE$476)*100000000+('Dvd Calendar'!$AE$478=SPECIAL_LBL)*10000000+(N('Dvd Calendar'!$AE$472)&gt;0)*(N('Dvd Calendar'!$AE$472)&lt;=VAL_SERIAL)*1000000+43*1000+27))</f>
        <v/>
      </c>
      <c r="FF54" s="121">
        <f>IF(N('Dvd Calendar'!$AF$473)=0,"",IF(('Dvd Calendar'!$AF$473&gt;=GRID_FROM)*('Dvd Calendar'!$AF$473&lt;=GRID_TO)*((('Dvd Calendar'!$AF$473&lt;=VAL_DATE)+(COUNTIF('Dvd Calendar'!$E$480:$AR$480,'Dvd Calendar'!$AF$473)=0))&gt;0)=0,"",'Dvd Calendar'!$AF$473*1000000000+ISNUMBER('Dvd Calendar'!$AF$476)*100000000+('Dvd Calendar'!$AF$478=SPECIAL_LBL)*10000000+(N('Dvd Calendar'!$AF$472)&gt;0)*(N('Dvd Calendar'!$AF$472)&lt;=VAL_SERIAL)*1000000+43*1000+28))</f>
        <v/>
      </c>
      <c r="FG54" s="121">
        <f>IF(N('Dvd Calendar'!$AG$473)=0,"",IF(('Dvd Calendar'!$AG$473&gt;=GRID_FROM)*('Dvd Calendar'!$AG$473&lt;=GRID_TO)*((('Dvd Calendar'!$AG$473&lt;=VAL_DATE)+(COUNTIF('Dvd Calendar'!$E$480:$AR$480,'Dvd Calendar'!$AG$473)=0))&gt;0)=0,"",'Dvd Calendar'!$AG$473*1000000000+ISNUMBER('Dvd Calendar'!$AG$476)*100000000+('Dvd Calendar'!$AG$478=SPECIAL_LBL)*10000000+(N('Dvd Calendar'!$AG$472)&gt;0)*(N('Dvd Calendar'!$AG$472)&lt;=VAL_SERIAL)*1000000+43*1000+29))</f>
        <v/>
      </c>
      <c r="FH54" s="121">
        <f>IF(N('Dvd Calendar'!$AH$473)=0,"",IF(('Dvd Calendar'!$AH$473&gt;=GRID_FROM)*('Dvd Calendar'!$AH$473&lt;=GRID_TO)*((('Dvd Calendar'!$AH$473&lt;=VAL_DATE)+(COUNTIF('Dvd Calendar'!$E$480:$AR$480,'Dvd Calendar'!$AH$473)=0))&gt;0)=0,"",'Dvd Calendar'!$AH$473*1000000000+ISNUMBER('Dvd Calendar'!$AH$476)*100000000+('Dvd Calendar'!$AH$478=SPECIAL_LBL)*10000000+(N('Dvd Calendar'!$AH$472)&gt;0)*(N('Dvd Calendar'!$AH$472)&lt;=VAL_SERIAL)*1000000+43*1000+30))</f>
        <v/>
      </c>
      <c r="FI54" s="121">
        <f>IF(N('Dvd Calendar'!$AI$473)=0,"",IF(('Dvd Calendar'!$AI$473&gt;=GRID_FROM)*('Dvd Calendar'!$AI$473&lt;=GRID_TO)*((('Dvd Calendar'!$AI$473&lt;=VAL_DATE)+(COUNTIF('Dvd Calendar'!$E$480:$AR$480,'Dvd Calendar'!$AI$473)=0))&gt;0)=0,"",'Dvd Calendar'!$AI$473*1000000000+ISNUMBER('Dvd Calendar'!$AI$476)*100000000+('Dvd Calendar'!$AI$478=SPECIAL_LBL)*10000000+(N('Dvd Calendar'!$AI$472)&gt;0)*(N('Dvd Calendar'!$AI$472)&lt;=VAL_SERIAL)*1000000+43*1000+31))</f>
        <v/>
      </c>
      <c r="FJ54" s="121">
        <f>IF(N('Dvd Calendar'!$AJ$473)=0,"",IF(('Dvd Calendar'!$AJ$473&gt;=GRID_FROM)*('Dvd Calendar'!$AJ$473&lt;=GRID_TO)*((('Dvd Calendar'!$AJ$473&lt;=VAL_DATE)+(COUNTIF('Dvd Calendar'!$E$480:$AR$480,'Dvd Calendar'!$AJ$473)=0))&gt;0)=0,"",'Dvd Calendar'!$AJ$473*1000000000+ISNUMBER('Dvd Calendar'!$AJ$476)*100000000+('Dvd Calendar'!$AJ$478=SPECIAL_LBL)*10000000+(N('Dvd Calendar'!$AJ$472)&gt;0)*(N('Dvd Calendar'!$AJ$472)&lt;=VAL_SERIAL)*1000000+43*1000+32))</f>
        <v/>
      </c>
      <c r="FK54" s="121">
        <f>IF(N('Dvd Calendar'!$AK$473)=0,"",IF(('Dvd Calendar'!$AK$473&gt;=GRID_FROM)*('Dvd Calendar'!$AK$473&lt;=GRID_TO)*((('Dvd Calendar'!$AK$473&lt;=VAL_DATE)+(COUNTIF('Dvd Calendar'!$E$480:$AR$480,'Dvd Calendar'!$AK$473)=0))&gt;0)=0,"",'Dvd Calendar'!$AK$473*1000000000+ISNUMBER('Dvd Calendar'!$AK$476)*100000000+('Dvd Calendar'!$AK$478=SPECIAL_LBL)*10000000+(N('Dvd Calendar'!$AK$472)&gt;0)*(N('Dvd Calendar'!$AK$472)&lt;=VAL_SERIAL)*1000000+43*1000+33))</f>
        <v/>
      </c>
      <c r="FL54" s="121">
        <f>IF(N('Dvd Calendar'!$AL$473)=0,"",IF(('Dvd Calendar'!$AL$473&gt;=GRID_FROM)*('Dvd Calendar'!$AL$473&lt;=GRID_TO)*((('Dvd Calendar'!$AL$473&lt;=VAL_DATE)+(COUNTIF('Dvd Calendar'!$E$480:$AR$480,'Dvd Calendar'!$AL$473)=0))&gt;0)=0,"",'Dvd Calendar'!$AL$473*1000000000+ISNUMBER('Dvd Calendar'!$AL$476)*100000000+('Dvd Calendar'!$AL$478=SPECIAL_LBL)*10000000+(N('Dvd Calendar'!$AL$472)&gt;0)*(N('Dvd Calendar'!$AL$472)&lt;=VAL_SERIAL)*1000000+43*1000+34))</f>
        <v/>
      </c>
      <c r="FM54" s="121">
        <f>IF(N('Dvd Calendar'!$AM$473)=0,"",IF(('Dvd Calendar'!$AM$473&gt;=GRID_FROM)*('Dvd Calendar'!$AM$473&lt;=GRID_TO)*((('Dvd Calendar'!$AM$473&lt;=VAL_DATE)+(COUNTIF('Dvd Calendar'!$E$480:$AR$480,'Dvd Calendar'!$AM$473)=0))&gt;0)=0,"",'Dvd Calendar'!$AM$473*1000000000+ISNUMBER('Dvd Calendar'!$AM$476)*100000000+('Dvd Calendar'!$AM$478=SPECIAL_LBL)*10000000+(N('Dvd Calendar'!$AM$472)&gt;0)*(N('Dvd Calendar'!$AM$472)&lt;=VAL_SERIAL)*1000000+43*1000+35))</f>
        <v/>
      </c>
      <c r="FN54" s="121">
        <f>IF(N('Dvd Calendar'!$AN$473)=0,"",IF(('Dvd Calendar'!$AN$473&gt;=GRID_FROM)*('Dvd Calendar'!$AN$473&lt;=GRID_TO)*((('Dvd Calendar'!$AN$473&lt;=VAL_DATE)+(COUNTIF('Dvd Calendar'!$E$480:$AR$480,'Dvd Calendar'!$AN$473)=0))&gt;0)=0,"",'Dvd Calendar'!$AN$473*1000000000+ISNUMBER('Dvd Calendar'!$AN$476)*100000000+('Dvd Calendar'!$AN$478=SPECIAL_LBL)*10000000+(N('Dvd Calendar'!$AN$472)&gt;0)*(N('Dvd Calendar'!$AN$472)&lt;=VAL_SERIAL)*1000000+43*1000+36))</f>
        <v/>
      </c>
      <c r="FO54" s="121">
        <f>IF(N('Dvd Calendar'!$AO$473)=0,"",IF(('Dvd Calendar'!$AO$473&gt;=GRID_FROM)*('Dvd Calendar'!$AO$473&lt;=GRID_TO)*((('Dvd Calendar'!$AO$473&lt;=VAL_DATE)+(COUNTIF('Dvd Calendar'!$E$480:$AR$480,'Dvd Calendar'!$AO$473)=0))&gt;0)=0,"",'Dvd Calendar'!$AO$473*1000000000+ISNUMBER('Dvd Calendar'!$AO$476)*100000000+('Dvd Calendar'!$AO$478=SPECIAL_LBL)*10000000+(N('Dvd Calendar'!$AO$472)&gt;0)*(N('Dvd Calendar'!$AO$472)&lt;=VAL_SERIAL)*1000000+43*1000+37))</f>
        <v/>
      </c>
      <c r="FP54" s="121">
        <f>IF(N('Dvd Calendar'!$AP$473)=0,"",IF(('Dvd Calendar'!$AP$473&gt;=GRID_FROM)*('Dvd Calendar'!$AP$473&lt;=GRID_TO)*((('Dvd Calendar'!$AP$473&lt;=VAL_DATE)+(COUNTIF('Dvd Calendar'!$E$480:$AR$480,'Dvd Calendar'!$AP$473)=0))&gt;0)=0,"",'Dvd Calendar'!$AP$473*1000000000+ISNUMBER('Dvd Calendar'!$AP$476)*100000000+('Dvd Calendar'!$AP$478=SPECIAL_LBL)*10000000+(N('Dvd Calendar'!$AP$472)&gt;0)*(N('Dvd Calendar'!$AP$472)&lt;=VAL_SERIAL)*1000000+43*1000+38))</f>
        <v/>
      </c>
      <c r="FQ54" s="121">
        <f>IF(N('Dvd Calendar'!$AQ$473)=0,"",IF(('Dvd Calendar'!$AQ$473&gt;=GRID_FROM)*('Dvd Calendar'!$AQ$473&lt;=GRID_TO)*((('Dvd Calendar'!$AQ$473&lt;=VAL_DATE)+(COUNTIF('Dvd Calendar'!$E$480:$AR$480,'Dvd Calendar'!$AQ$473)=0))&gt;0)=0,"",'Dvd Calendar'!$AQ$473*1000000000+ISNUMBER('Dvd Calendar'!$AQ$476)*100000000+('Dvd Calendar'!$AQ$478=SPECIAL_LBL)*10000000+(N('Dvd Calendar'!$AQ$472)&gt;0)*(N('Dvd Calendar'!$AQ$472)&lt;=VAL_SERIAL)*1000000+43*1000+39))</f>
        <v/>
      </c>
      <c r="FR54" s="121">
        <f>IF(N('Dvd Calendar'!$AR$473)=0,"",IF(('Dvd Calendar'!$AR$473&gt;=GRID_FROM)*('Dvd Calendar'!$AR$473&lt;=GRID_TO)*((('Dvd Calendar'!$AR$473&lt;=VAL_DATE)+(COUNTIF('Dvd Calendar'!$E$480:$AR$480,'Dvd Calendar'!$AR$473)=0))&gt;0)=0,"",'Dvd Calendar'!$AR$473*1000000000+ISNUMBER('Dvd Calendar'!$AR$476)*100000000+('Dvd Calendar'!$AR$478=SPECIAL_LBL)*10000000+(N('Dvd Calendar'!$AR$472)&gt;0)*(N('Dvd Calendar'!$AR$472)&lt;=VAL_SERIAL)*1000000+43*1000+40))</f>
        <v/>
      </c>
      <c r="FS54" s="121">
        <f>IF(N('Dvd Calendar'!$E$480)=0,"",IF(('Dvd Calendar'!$E$480&gt;=GRID_FROM)*('Dvd Calendar'!$E$480&lt;=GRID_TO)*('Dvd Calendar'!$E$480&gt;VAL_DATE)=0,"",'Dvd Calendar'!$E$480*1000000000+ISNUMBER('Dvd Calendar'!$E$481)*100000000+0*10000000+(N('Dvd Calendar'!$E$479)&gt;0)*(N('Dvd Calendar'!$E$479)&lt;=VAL_SERIAL)*1000000+43*1000+41))</f>
        <v/>
      </c>
      <c r="FT54" s="121">
        <f>IF(N('Dvd Calendar'!$F$480)=0,"",IF(('Dvd Calendar'!$F$480&gt;=GRID_FROM)*('Dvd Calendar'!$F$480&lt;=GRID_TO)*('Dvd Calendar'!$F$480&gt;VAL_DATE)=0,"",'Dvd Calendar'!$F$480*1000000000+ISNUMBER('Dvd Calendar'!$F$481)*100000000+0*10000000+(N('Dvd Calendar'!$F$479)&gt;0)*(N('Dvd Calendar'!$F$479)&lt;=VAL_SERIAL)*1000000+43*1000+42))</f>
        <v/>
      </c>
      <c r="FU54" s="121">
        <f>IF(N('Dvd Calendar'!$G$480)=0,"",IF(('Dvd Calendar'!$G$480&gt;=GRID_FROM)*('Dvd Calendar'!$G$480&lt;=GRID_TO)*('Dvd Calendar'!$G$480&gt;VAL_DATE)=0,"",'Dvd Calendar'!$G$480*1000000000+ISNUMBER('Dvd Calendar'!$G$481)*100000000+0*10000000+(N('Dvd Calendar'!$G$479)&gt;0)*(N('Dvd Calendar'!$G$479)&lt;=VAL_SERIAL)*1000000+43*1000+43))</f>
        <v/>
      </c>
      <c r="FV54" s="121">
        <f>IF(N('Dvd Calendar'!$H$480)=0,"",IF(('Dvd Calendar'!$H$480&gt;=GRID_FROM)*('Dvd Calendar'!$H$480&lt;=GRID_TO)*('Dvd Calendar'!$H$480&gt;VAL_DATE)=0,"",'Dvd Calendar'!$H$480*1000000000+ISNUMBER('Dvd Calendar'!$H$481)*100000000+0*10000000+(N('Dvd Calendar'!$H$479)&gt;0)*(N('Dvd Calendar'!$H$479)&lt;=VAL_SERIAL)*1000000+43*1000+44))</f>
        <v/>
      </c>
      <c r="FW54" s="121">
        <f>IF(N('Dvd Calendar'!$I$480)=0,"",IF(('Dvd Calendar'!$I$480&gt;=GRID_FROM)*('Dvd Calendar'!$I$480&lt;=GRID_TO)*('Dvd Calendar'!$I$480&gt;VAL_DATE)=0,"",'Dvd Calendar'!$I$480*1000000000+ISNUMBER('Dvd Calendar'!$I$481)*100000000+0*10000000+(N('Dvd Calendar'!$I$479)&gt;0)*(N('Dvd Calendar'!$I$479)&lt;=VAL_SERIAL)*1000000+43*1000+45))</f>
        <v/>
      </c>
      <c r="FX54" s="121">
        <f>IF(N('Dvd Calendar'!$J$480)=0,"",IF(('Dvd Calendar'!$J$480&gt;=GRID_FROM)*('Dvd Calendar'!$J$480&lt;=GRID_TO)*('Dvd Calendar'!$J$480&gt;VAL_DATE)=0,"",'Dvd Calendar'!$J$480*1000000000+ISNUMBER('Dvd Calendar'!$J$481)*100000000+0*10000000+(N('Dvd Calendar'!$J$479)&gt;0)*(N('Dvd Calendar'!$J$479)&lt;=VAL_SERIAL)*1000000+43*1000+46))</f>
        <v/>
      </c>
      <c r="FY54" s="121">
        <f>IF(N('Dvd Calendar'!$K$480)=0,"",IF(('Dvd Calendar'!$K$480&gt;=GRID_FROM)*('Dvd Calendar'!$K$480&lt;=GRID_TO)*('Dvd Calendar'!$K$480&gt;VAL_DATE)=0,"",'Dvd Calendar'!$K$480*1000000000+ISNUMBER('Dvd Calendar'!$K$481)*100000000+0*10000000+(N('Dvd Calendar'!$K$479)&gt;0)*(N('Dvd Calendar'!$K$479)&lt;=VAL_SERIAL)*1000000+43*1000+47))</f>
        <v/>
      </c>
      <c r="FZ54" s="121">
        <f>IF(N('Dvd Calendar'!$L$480)=0,"",IF(('Dvd Calendar'!$L$480&gt;=GRID_FROM)*('Dvd Calendar'!$L$480&lt;=GRID_TO)*('Dvd Calendar'!$L$480&gt;VAL_DATE)=0,"",'Dvd Calendar'!$L$480*1000000000+ISNUMBER('Dvd Calendar'!$L$481)*100000000+0*10000000+(N('Dvd Calendar'!$L$479)&gt;0)*(N('Dvd Calendar'!$L$479)&lt;=VAL_SERIAL)*1000000+43*1000+48))</f>
        <v/>
      </c>
      <c r="GA54" s="121">
        <f>IF(N('Dvd Calendar'!$M$480)=0,"",IF(('Dvd Calendar'!$M$480&gt;=GRID_FROM)*('Dvd Calendar'!$M$480&lt;=GRID_TO)*('Dvd Calendar'!$M$480&gt;VAL_DATE)=0,"",'Dvd Calendar'!$M$480*1000000000+ISNUMBER('Dvd Calendar'!$M$481)*100000000+0*10000000+(N('Dvd Calendar'!$M$479)&gt;0)*(N('Dvd Calendar'!$M$479)&lt;=VAL_SERIAL)*1000000+43*1000+49))</f>
        <v/>
      </c>
      <c r="GB54" s="121">
        <f>IF(N('Dvd Calendar'!$N$480)=0,"",IF(('Dvd Calendar'!$N$480&gt;=GRID_FROM)*('Dvd Calendar'!$N$480&lt;=GRID_TO)*('Dvd Calendar'!$N$480&gt;VAL_DATE)=0,"",'Dvd Calendar'!$N$480*1000000000+ISNUMBER('Dvd Calendar'!$N$481)*100000000+0*10000000+(N('Dvd Calendar'!$N$479)&gt;0)*(N('Dvd Calendar'!$N$479)&lt;=VAL_SERIAL)*1000000+43*1000+50))</f>
        <v/>
      </c>
      <c r="GC54" s="121">
        <f>IF(N('Dvd Calendar'!$O$480)=0,"",IF(('Dvd Calendar'!$O$480&gt;=GRID_FROM)*('Dvd Calendar'!$O$480&lt;=GRID_TO)*('Dvd Calendar'!$O$480&gt;VAL_DATE)=0,"",'Dvd Calendar'!$O$480*1000000000+ISNUMBER('Dvd Calendar'!$O$481)*100000000+0*10000000+(N('Dvd Calendar'!$O$479)&gt;0)*(N('Dvd Calendar'!$O$479)&lt;=VAL_SERIAL)*1000000+43*1000+51))</f>
        <v/>
      </c>
      <c r="GD54" s="121">
        <f>IF(N('Dvd Calendar'!$P$480)=0,"",IF(('Dvd Calendar'!$P$480&gt;=GRID_FROM)*('Dvd Calendar'!$P$480&lt;=GRID_TO)*('Dvd Calendar'!$P$480&gt;VAL_DATE)=0,"",'Dvd Calendar'!$P$480*1000000000+ISNUMBER('Dvd Calendar'!$P$481)*100000000+0*10000000+(N('Dvd Calendar'!$P$479)&gt;0)*(N('Dvd Calendar'!$P$479)&lt;=VAL_SERIAL)*1000000+43*1000+52))</f>
        <v/>
      </c>
      <c r="GE54" s="121">
        <f>IF(N('Dvd Calendar'!$Q$480)=0,"",IF(('Dvd Calendar'!$Q$480&gt;=GRID_FROM)*('Dvd Calendar'!$Q$480&lt;=GRID_TO)*('Dvd Calendar'!$Q$480&gt;VAL_DATE)=0,"",'Dvd Calendar'!$Q$480*1000000000+ISNUMBER('Dvd Calendar'!$Q$481)*100000000+0*10000000+(N('Dvd Calendar'!$Q$479)&gt;0)*(N('Dvd Calendar'!$Q$479)&lt;=VAL_SERIAL)*1000000+43*1000+53))</f>
        <v/>
      </c>
      <c r="GF54" s="121">
        <f>IF(N('Dvd Calendar'!$R$480)=0,"",IF(('Dvd Calendar'!$R$480&gt;=GRID_FROM)*('Dvd Calendar'!$R$480&lt;=GRID_TO)*('Dvd Calendar'!$R$480&gt;VAL_DATE)=0,"",'Dvd Calendar'!$R$480*1000000000+ISNUMBER('Dvd Calendar'!$R$481)*100000000+0*10000000+(N('Dvd Calendar'!$R$479)&gt;0)*(N('Dvd Calendar'!$R$479)&lt;=VAL_SERIAL)*1000000+43*1000+54))</f>
        <v/>
      </c>
      <c r="GG54" s="121">
        <f>IF(N('Dvd Calendar'!$S$480)=0,"",IF(('Dvd Calendar'!$S$480&gt;=GRID_FROM)*('Dvd Calendar'!$S$480&lt;=GRID_TO)*('Dvd Calendar'!$S$480&gt;VAL_DATE)=0,"",'Dvd Calendar'!$S$480*1000000000+ISNUMBER('Dvd Calendar'!$S$481)*100000000+0*10000000+(N('Dvd Calendar'!$S$479)&gt;0)*(N('Dvd Calendar'!$S$479)&lt;=VAL_SERIAL)*1000000+43*1000+55))</f>
        <v/>
      </c>
      <c r="GH54" s="121">
        <f>IF(N('Dvd Calendar'!$T$480)=0,"",IF(('Dvd Calendar'!$T$480&gt;=GRID_FROM)*('Dvd Calendar'!$T$480&lt;=GRID_TO)*('Dvd Calendar'!$T$480&gt;VAL_DATE)=0,"",'Dvd Calendar'!$T$480*1000000000+ISNUMBER('Dvd Calendar'!$T$481)*100000000+0*10000000+(N('Dvd Calendar'!$T$479)&gt;0)*(N('Dvd Calendar'!$T$479)&lt;=VAL_SERIAL)*1000000+43*1000+56))</f>
        <v/>
      </c>
      <c r="GI54" s="121">
        <f>IF(N('Dvd Calendar'!$U$480)=0,"",IF(('Dvd Calendar'!$U$480&gt;=GRID_FROM)*('Dvd Calendar'!$U$480&lt;=GRID_TO)*('Dvd Calendar'!$U$480&gt;VAL_DATE)=0,"",'Dvd Calendar'!$U$480*1000000000+ISNUMBER('Dvd Calendar'!$U$481)*100000000+0*10000000+(N('Dvd Calendar'!$U$479)&gt;0)*(N('Dvd Calendar'!$U$479)&lt;=VAL_SERIAL)*1000000+43*1000+57))</f>
        <v/>
      </c>
      <c r="GJ54" s="121">
        <f>IF(N('Dvd Calendar'!$V$480)=0,"",IF(('Dvd Calendar'!$V$480&gt;=GRID_FROM)*('Dvd Calendar'!$V$480&lt;=GRID_TO)*('Dvd Calendar'!$V$480&gt;VAL_DATE)=0,"",'Dvd Calendar'!$V$480*1000000000+ISNUMBER('Dvd Calendar'!$V$481)*100000000+0*10000000+(N('Dvd Calendar'!$V$479)&gt;0)*(N('Dvd Calendar'!$V$479)&lt;=VAL_SERIAL)*1000000+43*1000+58))</f>
        <v/>
      </c>
      <c r="GK54" s="121">
        <f>IF(N('Dvd Calendar'!$W$480)=0,"",IF(('Dvd Calendar'!$W$480&gt;=GRID_FROM)*('Dvd Calendar'!$W$480&lt;=GRID_TO)*('Dvd Calendar'!$W$480&gt;VAL_DATE)=0,"",'Dvd Calendar'!$W$480*1000000000+ISNUMBER('Dvd Calendar'!$W$481)*100000000+0*10000000+(N('Dvd Calendar'!$W$479)&gt;0)*(N('Dvd Calendar'!$W$479)&lt;=VAL_SERIAL)*1000000+43*1000+59))</f>
        <v/>
      </c>
      <c r="GL54" s="121">
        <f>IF(N('Dvd Calendar'!$X$480)=0,"",IF(('Dvd Calendar'!$X$480&gt;=GRID_FROM)*('Dvd Calendar'!$X$480&lt;=GRID_TO)*('Dvd Calendar'!$X$480&gt;VAL_DATE)=0,"",'Dvd Calendar'!$X$480*1000000000+ISNUMBER('Dvd Calendar'!$X$481)*100000000+0*10000000+(N('Dvd Calendar'!$X$479)&gt;0)*(N('Dvd Calendar'!$X$479)&lt;=VAL_SERIAL)*1000000+43*1000+60))</f>
        <v/>
      </c>
      <c r="GM54" s="121">
        <f>IF(N('Dvd Calendar'!$Y$480)=0,"",IF(('Dvd Calendar'!$Y$480&gt;=GRID_FROM)*('Dvd Calendar'!$Y$480&lt;=GRID_TO)*('Dvd Calendar'!$Y$480&gt;VAL_DATE)=0,"",'Dvd Calendar'!$Y$480*1000000000+ISNUMBER('Dvd Calendar'!$Y$481)*100000000+0*10000000+(N('Dvd Calendar'!$Y$479)&gt;0)*(N('Dvd Calendar'!$Y$479)&lt;=VAL_SERIAL)*1000000+43*1000+61))</f>
        <v/>
      </c>
      <c r="GN54" s="121">
        <f>IF(N('Dvd Calendar'!$Z$480)=0,"",IF(('Dvd Calendar'!$Z$480&gt;=GRID_FROM)*('Dvd Calendar'!$Z$480&lt;=GRID_TO)*('Dvd Calendar'!$Z$480&gt;VAL_DATE)=0,"",'Dvd Calendar'!$Z$480*1000000000+ISNUMBER('Dvd Calendar'!$Z$481)*100000000+0*10000000+(N('Dvd Calendar'!$Z$479)&gt;0)*(N('Dvd Calendar'!$Z$479)&lt;=VAL_SERIAL)*1000000+43*1000+62))</f>
        <v/>
      </c>
      <c r="GO54" s="121">
        <f>IF(N('Dvd Calendar'!$AA$480)=0,"",IF(('Dvd Calendar'!$AA$480&gt;=GRID_FROM)*('Dvd Calendar'!$AA$480&lt;=GRID_TO)*('Dvd Calendar'!$AA$480&gt;VAL_DATE)=0,"",'Dvd Calendar'!$AA$480*1000000000+ISNUMBER('Dvd Calendar'!$AA$481)*100000000+0*10000000+(N('Dvd Calendar'!$AA$479)&gt;0)*(N('Dvd Calendar'!$AA$479)&lt;=VAL_SERIAL)*1000000+43*1000+63))</f>
        <v/>
      </c>
      <c r="GP54" s="121">
        <f>IF(N('Dvd Calendar'!$AB$480)=0,"",IF(('Dvd Calendar'!$AB$480&gt;=GRID_FROM)*('Dvd Calendar'!$AB$480&lt;=GRID_TO)*('Dvd Calendar'!$AB$480&gt;VAL_DATE)=0,"",'Dvd Calendar'!$AB$480*1000000000+ISNUMBER('Dvd Calendar'!$AB$481)*100000000+0*10000000+(N('Dvd Calendar'!$AB$479)&gt;0)*(N('Dvd Calendar'!$AB$479)&lt;=VAL_SERIAL)*1000000+43*1000+64))</f>
        <v/>
      </c>
      <c r="GQ54" s="121">
        <f>IF(N('Dvd Calendar'!$AC$480)=0,"",IF(('Dvd Calendar'!$AC$480&gt;=GRID_FROM)*('Dvd Calendar'!$AC$480&lt;=GRID_TO)*('Dvd Calendar'!$AC$480&gt;VAL_DATE)=0,"",'Dvd Calendar'!$AC$480*1000000000+ISNUMBER('Dvd Calendar'!$AC$481)*100000000+0*10000000+(N('Dvd Calendar'!$AC$479)&gt;0)*(N('Dvd Calendar'!$AC$479)&lt;=VAL_SERIAL)*1000000+43*1000+65))</f>
        <v/>
      </c>
    </row>
    <row r="55">
      <c r="B55" s="2">
        <f>IF(HSI!$C$50="","",HSI!$C$50)</f>
        <v/>
      </c>
      <c r="C55" s="161">
        <f>IF(EE55="","",IF(ISNUMBER('Dvd Calendar'!$E$487)=FALSE,"",IF((('Dvd Calendar'!$E$489=TYPE1)*(TYPE1&lt;&gt;"")+('Dvd Calendar'!$E$489=TYPE2)*(TYPE2&lt;&gt;"")+('Dvd Calendar'!$E$489=TYPE3)*(TYPE3&lt;&gt;"")+('Dvd Calendar'!$E$489=TYPE4)*(TYPE4&lt;&gt;"")+('Dvd Calendar'!$E$489=SPECIAL_LBL)*(INC_SPECIALS="Y"))=0,"",'Dvd Calendar'!$E$487)))</f>
        <v/>
      </c>
      <c r="D55" s="161">
        <f>IF(EF55="","",IF(ISNUMBER('Dvd Calendar'!$F$487)=FALSE,"",IF((('Dvd Calendar'!$F$489=TYPE1)*(TYPE1&lt;&gt;"")+('Dvd Calendar'!$F$489=TYPE2)*(TYPE2&lt;&gt;"")+('Dvd Calendar'!$F$489=TYPE3)*(TYPE3&lt;&gt;"")+('Dvd Calendar'!$F$489=TYPE4)*(TYPE4&lt;&gt;"")+('Dvd Calendar'!$F$489=SPECIAL_LBL)*(INC_SPECIALS="Y"))=0,"",'Dvd Calendar'!$F$487)))</f>
        <v/>
      </c>
      <c r="E55" s="161">
        <f>IF(EG55="","",IF(ISNUMBER('Dvd Calendar'!$G$487)=FALSE,"",IF((('Dvd Calendar'!$G$489=TYPE1)*(TYPE1&lt;&gt;"")+('Dvd Calendar'!$G$489=TYPE2)*(TYPE2&lt;&gt;"")+('Dvd Calendar'!$G$489=TYPE3)*(TYPE3&lt;&gt;"")+('Dvd Calendar'!$G$489=TYPE4)*(TYPE4&lt;&gt;"")+('Dvd Calendar'!$G$489=SPECIAL_LBL)*(INC_SPECIALS="Y"))=0,"",'Dvd Calendar'!$G$487)))</f>
        <v/>
      </c>
      <c r="F55" s="161">
        <f>IF(EH55="","",IF(ISNUMBER('Dvd Calendar'!$H$487)=FALSE,"",IF((('Dvd Calendar'!$H$489=TYPE1)*(TYPE1&lt;&gt;"")+('Dvd Calendar'!$H$489=TYPE2)*(TYPE2&lt;&gt;"")+('Dvd Calendar'!$H$489=TYPE3)*(TYPE3&lt;&gt;"")+('Dvd Calendar'!$H$489=TYPE4)*(TYPE4&lt;&gt;"")+('Dvd Calendar'!$H$489=SPECIAL_LBL)*(INC_SPECIALS="Y"))=0,"",'Dvd Calendar'!$H$487)))</f>
        <v/>
      </c>
      <c r="G55" s="161">
        <f>IF(EI55="","",IF(ISNUMBER('Dvd Calendar'!$I$487)=FALSE,"",IF((('Dvd Calendar'!$I$489=TYPE1)*(TYPE1&lt;&gt;"")+('Dvd Calendar'!$I$489=TYPE2)*(TYPE2&lt;&gt;"")+('Dvd Calendar'!$I$489=TYPE3)*(TYPE3&lt;&gt;"")+('Dvd Calendar'!$I$489=TYPE4)*(TYPE4&lt;&gt;"")+('Dvd Calendar'!$I$489=SPECIAL_LBL)*(INC_SPECIALS="Y"))=0,"",'Dvd Calendar'!$I$487)))</f>
        <v/>
      </c>
      <c r="H55" s="161">
        <f>IF(EJ55="","",IF(ISNUMBER('Dvd Calendar'!$J$487)=FALSE,"",IF((('Dvd Calendar'!$J$489=TYPE1)*(TYPE1&lt;&gt;"")+('Dvd Calendar'!$J$489=TYPE2)*(TYPE2&lt;&gt;"")+('Dvd Calendar'!$J$489=TYPE3)*(TYPE3&lt;&gt;"")+('Dvd Calendar'!$J$489=TYPE4)*(TYPE4&lt;&gt;"")+('Dvd Calendar'!$J$489=SPECIAL_LBL)*(INC_SPECIALS="Y"))=0,"",'Dvd Calendar'!$J$487)))</f>
        <v/>
      </c>
      <c r="I55" s="161">
        <f>IF(EK55="","",IF(ISNUMBER('Dvd Calendar'!$K$487)=FALSE,"",IF((('Dvd Calendar'!$K$489=TYPE1)*(TYPE1&lt;&gt;"")+('Dvd Calendar'!$K$489=TYPE2)*(TYPE2&lt;&gt;"")+('Dvd Calendar'!$K$489=TYPE3)*(TYPE3&lt;&gt;"")+('Dvd Calendar'!$K$489=TYPE4)*(TYPE4&lt;&gt;"")+('Dvd Calendar'!$K$489=SPECIAL_LBL)*(INC_SPECIALS="Y"))=0,"",'Dvd Calendar'!$K$487)))</f>
        <v/>
      </c>
      <c r="J55" s="161">
        <f>IF(EL55="","",IF(ISNUMBER('Dvd Calendar'!$L$487)=FALSE,"",IF((('Dvd Calendar'!$L$489=TYPE1)*(TYPE1&lt;&gt;"")+('Dvd Calendar'!$L$489=TYPE2)*(TYPE2&lt;&gt;"")+('Dvd Calendar'!$L$489=TYPE3)*(TYPE3&lt;&gt;"")+('Dvd Calendar'!$L$489=TYPE4)*(TYPE4&lt;&gt;"")+('Dvd Calendar'!$L$489=SPECIAL_LBL)*(INC_SPECIALS="Y"))=0,"",'Dvd Calendar'!$L$487)))</f>
        <v/>
      </c>
      <c r="K55" s="161">
        <f>IF(EM55="","",IF(ISNUMBER('Dvd Calendar'!$M$487)=FALSE,"",IF((('Dvd Calendar'!$M$489=TYPE1)*(TYPE1&lt;&gt;"")+('Dvd Calendar'!$M$489=TYPE2)*(TYPE2&lt;&gt;"")+('Dvd Calendar'!$M$489=TYPE3)*(TYPE3&lt;&gt;"")+('Dvd Calendar'!$M$489=TYPE4)*(TYPE4&lt;&gt;"")+('Dvd Calendar'!$M$489=SPECIAL_LBL)*(INC_SPECIALS="Y"))=0,"",'Dvd Calendar'!$M$487)))</f>
        <v/>
      </c>
      <c r="L55" s="161">
        <f>IF(EN55="","",IF(ISNUMBER('Dvd Calendar'!$N$487)=FALSE,"",IF((('Dvd Calendar'!$N$489=TYPE1)*(TYPE1&lt;&gt;"")+('Dvd Calendar'!$N$489=TYPE2)*(TYPE2&lt;&gt;"")+('Dvd Calendar'!$N$489=TYPE3)*(TYPE3&lt;&gt;"")+('Dvd Calendar'!$N$489=TYPE4)*(TYPE4&lt;&gt;"")+('Dvd Calendar'!$N$489=SPECIAL_LBL)*(INC_SPECIALS="Y"))=0,"",'Dvd Calendar'!$N$487)))</f>
        <v/>
      </c>
      <c r="M55" s="161">
        <f>IF(EO55="","",IF(ISNUMBER('Dvd Calendar'!$O$487)=FALSE,"",IF((('Dvd Calendar'!$O$489=TYPE1)*(TYPE1&lt;&gt;"")+('Dvd Calendar'!$O$489=TYPE2)*(TYPE2&lt;&gt;"")+('Dvd Calendar'!$O$489=TYPE3)*(TYPE3&lt;&gt;"")+('Dvd Calendar'!$O$489=TYPE4)*(TYPE4&lt;&gt;"")+('Dvd Calendar'!$O$489=SPECIAL_LBL)*(INC_SPECIALS="Y"))=0,"",'Dvd Calendar'!$O$487)))</f>
        <v/>
      </c>
      <c r="N55" s="161">
        <f>IF(EP55="","",IF(ISNUMBER('Dvd Calendar'!$P$487)=FALSE,"",IF((('Dvd Calendar'!$P$489=TYPE1)*(TYPE1&lt;&gt;"")+('Dvd Calendar'!$P$489=TYPE2)*(TYPE2&lt;&gt;"")+('Dvd Calendar'!$P$489=TYPE3)*(TYPE3&lt;&gt;"")+('Dvd Calendar'!$P$489=TYPE4)*(TYPE4&lt;&gt;"")+('Dvd Calendar'!$P$489=SPECIAL_LBL)*(INC_SPECIALS="Y"))=0,"",'Dvd Calendar'!$P$487)))</f>
        <v/>
      </c>
      <c r="O55" s="161">
        <f>IF(EQ55="","",IF(ISNUMBER('Dvd Calendar'!$Q$487)=FALSE,"",IF((('Dvd Calendar'!$Q$489=TYPE1)*(TYPE1&lt;&gt;"")+('Dvd Calendar'!$Q$489=TYPE2)*(TYPE2&lt;&gt;"")+('Dvd Calendar'!$Q$489=TYPE3)*(TYPE3&lt;&gt;"")+('Dvd Calendar'!$Q$489=TYPE4)*(TYPE4&lt;&gt;"")+('Dvd Calendar'!$Q$489=SPECIAL_LBL)*(INC_SPECIALS="Y"))=0,"",'Dvd Calendar'!$Q$487)))</f>
        <v/>
      </c>
      <c r="P55" s="161">
        <f>IF(ER55="","",IF(ISNUMBER('Dvd Calendar'!$R$487)=FALSE,"",IF((('Dvd Calendar'!$R$489=TYPE1)*(TYPE1&lt;&gt;"")+('Dvd Calendar'!$R$489=TYPE2)*(TYPE2&lt;&gt;"")+('Dvd Calendar'!$R$489=TYPE3)*(TYPE3&lt;&gt;"")+('Dvd Calendar'!$R$489=TYPE4)*(TYPE4&lt;&gt;"")+('Dvd Calendar'!$R$489=SPECIAL_LBL)*(INC_SPECIALS="Y"))=0,"",'Dvd Calendar'!$R$487)))</f>
        <v/>
      </c>
      <c r="Q55" s="161">
        <f>IF(ES55="","",IF(ISNUMBER('Dvd Calendar'!$S$487)=FALSE,"",IF((('Dvd Calendar'!$S$489=TYPE1)*(TYPE1&lt;&gt;"")+('Dvd Calendar'!$S$489=TYPE2)*(TYPE2&lt;&gt;"")+('Dvd Calendar'!$S$489=TYPE3)*(TYPE3&lt;&gt;"")+('Dvd Calendar'!$S$489=TYPE4)*(TYPE4&lt;&gt;"")+('Dvd Calendar'!$S$489=SPECIAL_LBL)*(INC_SPECIALS="Y"))=0,"",'Dvd Calendar'!$S$487)))</f>
        <v/>
      </c>
      <c r="R55" s="161">
        <f>IF(ET55="","",IF(ISNUMBER('Dvd Calendar'!$T$487)=FALSE,"",IF((('Dvd Calendar'!$T$489=TYPE1)*(TYPE1&lt;&gt;"")+('Dvd Calendar'!$T$489=TYPE2)*(TYPE2&lt;&gt;"")+('Dvd Calendar'!$T$489=TYPE3)*(TYPE3&lt;&gt;"")+('Dvd Calendar'!$T$489=TYPE4)*(TYPE4&lt;&gt;"")+('Dvd Calendar'!$T$489=SPECIAL_LBL)*(INC_SPECIALS="Y"))=0,"",'Dvd Calendar'!$T$487)))</f>
        <v/>
      </c>
      <c r="S55" s="161">
        <f>IF(EU55="","",IF(ISNUMBER('Dvd Calendar'!$U$487)=FALSE,"",IF((('Dvd Calendar'!$U$489=TYPE1)*(TYPE1&lt;&gt;"")+('Dvd Calendar'!$U$489=TYPE2)*(TYPE2&lt;&gt;"")+('Dvd Calendar'!$U$489=TYPE3)*(TYPE3&lt;&gt;"")+('Dvd Calendar'!$U$489=TYPE4)*(TYPE4&lt;&gt;"")+('Dvd Calendar'!$U$489=SPECIAL_LBL)*(INC_SPECIALS="Y"))=0,"",'Dvd Calendar'!$U$487)))</f>
        <v/>
      </c>
      <c r="T55" s="161">
        <f>IF(EV55="","",IF(ISNUMBER('Dvd Calendar'!$V$487)=FALSE,"",IF((('Dvd Calendar'!$V$489=TYPE1)*(TYPE1&lt;&gt;"")+('Dvd Calendar'!$V$489=TYPE2)*(TYPE2&lt;&gt;"")+('Dvd Calendar'!$V$489=TYPE3)*(TYPE3&lt;&gt;"")+('Dvd Calendar'!$V$489=TYPE4)*(TYPE4&lt;&gt;"")+('Dvd Calendar'!$V$489=SPECIAL_LBL)*(INC_SPECIALS="Y"))=0,"",'Dvd Calendar'!$V$487)))</f>
        <v/>
      </c>
      <c r="U55" s="161">
        <f>IF(EW55="","",IF(ISNUMBER('Dvd Calendar'!$W$487)=FALSE,"",IF((('Dvd Calendar'!$W$489=TYPE1)*(TYPE1&lt;&gt;"")+('Dvd Calendar'!$W$489=TYPE2)*(TYPE2&lt;&gt;"")+('Dvd Calendar'!$W$489=TYPE3)*(TYPE3&lt;&gt;"")+('Dvd Calendar'!$W$489=TYPE4)*(TYPE4&lt;&gt;"")+('Dvd Calendar'!$W$489=SPECIAL_LBL)*(INC_SPECIALS="Y"))=0,"",'Dvd Calendar'!$W$487)))</f>
        <v/>
      </c>
      <c r="V55" s="161">
        <f>IF(EX55="","",IF(ISNUMBER('Dvd Calendar'!$X$487)=FALSE,"",IF((('Dvd Calendar'!$X$489=TYPE1)*(TYPE1&lt;&gt;"")+('Dvd Calendar'!$X$489=TYPE2)*(TYPE2&lt;&gt;"")+('Dvd Calendar'!$X$489=TYPE3)*(TYPE3&lt;&gt;"")+('Dvd Calendar'!$X$489=TYPE4)*(TYPE4&lt;&gt;"")+('Dvd Calendar'!$X$489=SPECIAL_LBL)*(INC_SPECIALS="Y"))=0,"",'Dvd Calendar'!$X$487)))</f>
        <v/>
      </c>
      <c r="W55" s="161">
        <f>IF(EY55="","",IF(ISNUMBER('Dvd Calendar'!$Y$487)=FALSE,"",IF((('Dvd Calendar'!$Y$489=TYPE1)*(TYPE1&lt;&gt;"")+('Dvd Calendar'!$Y$489=TYPE2)*(TYPE2&lt;&gt;"")+('Dvd Calendar'!$Y$489=TYPE3)*(TYPE3&lt;&gt;"")+('Dvd Calendar'!$Y$489=TYPE4)*(TYPE4&lt;&gt;"")+('Dvd Calendar'!$Y$489=SPECIAL_LBL)*(INC_SPECIALS="Y"))=0,"",'Dvd Calendar'!$Y$487)))</f>
        <v/>
      </c>
      <c r="X55" s="161">
        <f>IF(EZ55="","",IF(ISNUMBER('Dvd Calendar'!$Z$487)=FALSE,"",IF((('Dvd Calendar'!$Z$489=TYPE1)*(TYPE1&lt;&gt;"")+('Dvd Calendar'!$Z$489=TYPE2)*(TYPE2&lt;&gt;"")+('Dvd Calendar'!$Z$489=TYPE3)*(TYPE3&lt;&gt;"")+('Dvd Calendar'!$Z$489=TYPE4)*(TYPE4&lt;&gt;"")+('Dvd Calendar'!$Z$489=SPECIAL_LBL)*(INC_SPECIALS="Y"))=0,"",'Dvd Calendar'!$Z$487)))</f>
        <v/>
      </c>
      <c r="Y55" s="161">
        <f>IF(FA55="","",IF(ISNUMBER('Dvd Calendar'!$AA$487)=FALSE,"",IF((('Dvd Calendar'!$AA$489=TYPE1)*(TYPE1&lt;&gt;"")+('Dvd Calendar'!$AA$489=TYPE2)*(TYPE2&lt;&gt;"")+('Dvd Calendar'!$AA$489=TYPE3)*(TYPE3&lt;&gt;"")+('Dvd Calendar'!$AA$489=TYPE4)*(TYPE4&lt;&gt;"")+('Dvd Calendar'!$AA$489=SPECIAL_LBL)*(INC_SPECIALS="Y"))=0,"",'Dvd Calendar'!$AA$487)))</f>
        <v/>
      </c>
      <c r="Z55" s="161">
        <f>IF(FB55="","",IF(ISNUMBER('Dvd Calendar'!$AB$487)=FALSE,"",IF((('Dvd Calendar'!$AB$489=TYPE1)*(TYPE1&lt;&gt;"")+('Dvd Calendar'!$AB$489=TYPE2)*(TYPE2&lt;&gt;"")+('Dvd Calendar'!$AB$489=TYPE3)*(TYPE3&lt;&gt;"")+('Dvd Calendar'!$AB$489=TYPE4)*(TYPE4&lt;&gt;"")+('Dvd Calendar'!$AB$489=SPECIAL_LBL)*(INC_SPECIALS="Y"))=0,"",'Dvd Calendar'!$AB$487)))</f>
        <v/>
      </c>
      <c r="AA55" s="161">
        <f>IF(FC55="","",IF(ISNUMBER('Dvd Calendar'!$AC$487)=FALSE,"",IF((('Dvd Calendar'!$AC$489=TYPE1)*(TYPE1&lt;&gt;"")+('Dvd Calendar'!$AC$489=TYPE2)*(TYPE2&lt;&gt;"")+('Dvd Calendar'!$AC$489=TYPE3)*(TYPE3&lt;&gt;"")+('Dvd Calendar'!$AC$489=TYPE4)*(TYPE4&lt;&gt;"")+('Dvd Calendar'!$AC$489=SPECIAL_LBL)*(INC_SPECIALS="Y"))=0,"",'Dvd Calendar'!$AC$487)))</f>
        <v/>
      </c>
      <c r="AB55" s="161">
        <f>IF(FD55="","",IF(ISNUMBER('Dvd Calendar'!$AD$487)=FALSE,"",IF((('Dvd Calendar'!$AD$489=TYPE1)*(TYPE1&lt;&gt;"")+('Dvd Calendar'!$AD$489=TYPE2)*(TYPE2&lt;&gt;"")+('Dvd Calendar'!$AD$489=TYPE3)*(TYPE3&lt;&gt;"")+('Dvd Calendar'!$AD$489=TYPE4)*(TYPE4&lt;&gt;"")+('Dvd Calendar'!$AD$489=SPECIAL_LBL)*(INC_SPECIALS="Y"))=0,"",'Dvd Calendar'!$AD$487)))</f>
        <v/>
      </c>
      <c r="AC55" s="161">
        <f>IF(FE55="","",IF(ISNUMBER('Dvd Calendar'!$AE$487)=FALSE,"",IF((('Dvd Calendar'!$AE$489=TYPE1)*(TYPE1&lt;&gt;"")+('Dvd Calendar'!$AE$489=TYPE2)*(TYPE2&lt;&gt;"")+('Dvd Calendar'!$AE$489=TYPE3)*(TYPE3&lt;&gt;"")+('Dvd Calendar'!$AE$489=TYPE4)*(TYPE4&lt;&gt;"")+('Dvd Calendar'!$AE$489=SPECIAL_LBL)*(INC_SPECIALS="Y"))=0,"",'Dvd Calendar'!$AE$487)))</f>
        <v/>
      </c>
      <c r="AD55" s="161">
        <f>IF(FF55="","",IF(ISNUMBER('Dvd Calendar'!$AF$487)=FALSE,"",IF((('Dvd Calendar'!$AF$489=TYPE1)*(TYPE1&lt;&gt;"")+('Dvd Calendar'!$AF$489=TYPE2)*(TYPE2&lt;&gt;"")+('Dvd Calendar'!$AF$489=TYPE3)*(TYPE3&lt;&gt;"")+('Dvd Calendar'!$AF$489=TYPE4)*(TYPE4&lt;&gt;"")+('Dvd Calendar'!$AF$489=SPECIAL_LBL)*(INC_SPECIALS="Y"))=0,"",'Dvd Calendar'!$AF$487)))</f>
        <v/>
      </c>
      <c r="AE55" s="161">
        <f>IF(FG55="","",IF(ISNUMBER('Dvd Calendar'!$AG$487)=FALSE,"",IF((('Dvd Calendar'!$AG$489=TYPE1)*(TYPE1&lt;&gt;"")+('Dvd Calendar'!$AG$489=TYPE2)*(TYPE2&lt;&gt;"")+('Dvd Calendar'!$AG$489=TYPE3)*(TYPE3&lt;&gt;"")+('Dvd Calendar'!$AG$489=TYPE4)*(TYPE4&lt;&gt;"")+('Dvd Calendar'!$AG$489=SPECIAL_LBL)*(INC_SPECIALS="Y"))=0,"",'Dvd Calendar'!$AG$487)))</f>
        <v/>
      </c>
      <c r="AF55" s="161">
        <f>IF(FH55="","",IF(ISNUMBER('Dvd Calendar'!$AH$487)=FALSE,"",IF((('Dvd Calendar'!$AH$489=TYPE1)*(TYPE1&lt;&gt;"")+('Dvd Calendar'!$AH$489=TYPE2)*(TYPE2&lt;&gt;"")+('Dvd Calendar'!$AH$489=TYPE3)*(TYPE3&lt;&gt;"")+('Dvd Calendar'!$AH$489=TYPE4)*(TYPE4&lt;&gt;"")+('Dvd Calendar'!$AH$489=SPECIAL_LBL)*(INC_SPECIALS="Y"))=0,"",'Dvd Calendar'!$AH$487)))</f>
        <v/>
      </c>
      <c r="AG55" s="161">
        <f>IF(FI55="","",IF(ISNUMBER('Dvd Calendar'!$AI$487)=FALSE,"",IF((('Dvd Calendar'!$AI$489=TYPE1)*(TYPE1&lt;&gt;"")+('Dvd Calendar'!$AI$489=TYPE2)*(TYPE2&lt;&gt;"")+('Dvd Calendar'!$AI$489=TYPE3)*(TYPE3&lt;&gt;"")+('Dvd Calendar'!$AI$489=TYPE4)*(TYPE4&lt;&gt;"")+('Dvd Calendar'!$AI$489=SPECIAL_LBL)*(INC_SPECIALS="Y"))=0,"",'Dvd Calendar'!$AI$487)))</f>
        <v/>
      </c>
      <c r="AH55" s="161">
        <f>IF(FJ55="","",IF(ISNUMBER('Dvd Calendar'!$AJ$487)=FALSE,"",IF((('Dvd Calendar'!$AJ$489=TYPE1)*(TYPE1&lt;&gt;"")+('Dvd Calendar'!$AJ$489=TYPE2)*(TYPE2&lt;&gt;"")+('Dvd Calendar'!$AJ$489=TYPE3)*(TYPE3&lt;&gt;"")+('Dvd Calendar'!$AJ$489=TYPE4)*(TYPE4&lt;&gt;"")+('Dvd Calendar'!$AJ$489=SPECIAL_LBL)*(INC_SPECIALS="Y"))=0,"",'Dvd Calendar'!$AJ$487)))</f>
        <v/>
      </c>
      <c r="AI55" s="161">
        <f>IF(FK55="","",IF(ISNUMBER('Dvd Calendar'!$AK$487)=FALSE,"",IF((('Dvd Calendar'!$AK$489=TYPE1)*(TYPE1&lt;&gt;"")+('Dvd Calendar'!$AK$489=TYPE2)*(TYPE2&lt;&gt;"")+('Dvd Calendar'!$AK$489=TYPE3)*(TYPE3&lt;&gt;"")+('Dvd Calendar'!$AK$489=TYPE4)*(TYPE4&lt;&gt;"")+('Dvd Calendar'!$AK$489=SPECIAL_LBL)*(INC_SPECIALS="Y"))=0,"",'Dvd Calendar'!$AK$487)))</f>
        <v/>
      </c>
      <c r="AJ55" s="161">
        <f>IF(FL55="","",IF(ISNUMBER('Dvd Calendar'!$AL$487)=FALSE,"",IF((('Dvd Calendar'!$AL$489=TYPE1)*(TYPE1&lt;&gt;"")+('Dvd Calendar'!$AL$489=TYPE2)*(TYPE2&lt;&gt;"")+('Dvd Calendar'!$AL$489=TYPE3)*(TYPE3&lt;&gt;"")+('Dvd Calendar'!$AL$489=TYPE4)*(TYPE4&lt;&gt;"")+('Dvd Calendar'!$AL$489=SPECIAL_LBL)*(INC_SPECIALS="Y"))=0,"",'Dvd Calendar'!$AL$487)))</f>
        <v/>
      </c>
      <c r="AK55" s="161">
        <f>IF(FM55="","",IF(ISNUMBER('Dvd Calendar'!$AM$487)=FALSE,"",IF((('Dvd Calendar'!$AM$489=TYPE1)*(TYPE1&lt;&gt;"")+('Dvd Calendar'!$AM$489=TYPE2)*(TYPE2&lt;&gt;"")+('Dvd Calendar'!$AM$489=TYPE3)*(TYPE3&lt;&gt;"")+('Dvd Calendar'!$AM$489=TYPE4)*(TYPE4&lt;&gt;"")+('Dvd Calendar'!$AM$489=SPECIAL_LBL)*(INC_SPECIALS="Y"))=0,"",'Dvd Calendar'!$AM$487)))</f>
        <v/>
      </c>
      <c r="AL55" s="161">
        <f>IF(FN55="","",IF(ISNUMBER('Dvd Calendar'!$AN$487)=FALSE,"",IF((('Dvd Calendar'!$AN$489=TYPE1)*(TYPE1&lt;&gt;"")+('Dvd Calendar'!$AN$489=TYPE2)*(TYPE2&lt;&gt;"")+('Dvd Calendar'!$AN$489=TYPE3)*(TYPE3&lt;&gt;"")+('Dvd Calendar'!$AN$489=TYPE4)*(TYPE4&lt;&gt;"")+('Dvd Calendar'!$AN$489=SPECIAL_LBL)*(INC_SPECIALS="Y"))=0,"",'Dvd Calendar'!$AN$487)))</f>
        <v/>
      </c>
      <c r="AM55" s="161">
        <f>IF(FO55="","",IF(ISNUMBER('Dvd Calendar'!$AO$487)=FALSE,"",IF((('Dvd Calendar'!$AO$489=TYPE1)*(TYPE1&lt;&gt;"")+('Dvd Calendar'!$AO$489=TYPE2)*(TYPE2&lt;&gt;"")+('Dvd Calendar'!$AO$489=TYPE3)*(TYPE3&lt;&gt;"")+('Dvd Calendar'!$AO$489=TYPE4)*(TYPE4&lt;&gt;"")+('Dvd Calendar'!$AO$489=SPECIAL_LBL)*(INC_SPECIALS="Y"))=0,"",'Dvd Calendar'!$AO$487)))</f>
        <v/>
      </c>
      <c r="AN55" s="161">
        <f>IF(FP55="","",IF(ISNUMBER('Dvd Calendar'!$AP$487)=FALSE,"",IF((('Dvd Calendar'!$AP$489=TYPE1)*(TYPE1&lt;&gt;"")+('Dvd Calendar'!$AP$489=TYPE2)*(TYPE2&lt;&gt;"")+('Dvd Calendar'!$AP$489=TYPE3)*(TYPE3&lt;&gt;"")+('Dvd Calendar'!$AP$489=TYPE4)*(TYPE4&lt;&gt;"")+('Dvd Calendar'!$AP$489=SPECIAL_LBL)*(INC_SPECIALS="Y"))=0,"",'Dvd Calendar'!$AP$487)))</f>
        <v/>
      </c>
      <c r="AO55" s="161">
        <f>IF(FQ55="","",IF(ISNUMBER('Dvd Calendar'!$AQ$487)=FALSE,"",IF((('Dvd Calendar'!$AQ$489=TYPE1)*(TYPE1&lt;&gt;"")+('Dvd Calendar'!$AQ$489=TYPE2)*(TYPE2&lt;&gt;"")+('Dvd Calendar'!$AQ$489=TYPE3)*(TYPE3&lt;&gt;"")+('Dvd Calendar'!$AQ$489=TYPE4)*(TYPE4&lt;&gt;"")+('Dvd Calendar'!$AQ$489=SPECIAL_LBL)*(INC_SPECIALS="Y"))=0,"",'Dvd Calendar'!$AQ$487)))</f>
        <v/>
      </c>
      <c r="AP55" s="161">
        <f>IF(FR55="","",IF(ISNUMBER('Dvd Calendar'!$AR$487)=FALSE,"",IF((('Dvd Calendar'!$AR$489=TYPE1)*(TYPE1&lt;&gt;"")+('Dvd Calendar'!$AR$489=TYPE2)*(TYPE2&lt;&gt;"")+('Dvd Calendar'!$AR$489=TYPE3)*(TYPE3&lt;&gt;"")+('Dvd Calendar'!$AR$489=TYPE4)*(TYPE4&lt;&gt;"")+('Dvd Calendar'!$AR$489=SPECIAL_LBL)*(INC_SPECIALS="Y"))=0,"",'Dvd Calendar'!$AR$487)))</f>
        <v/>
      </c>
      <c r="AQ55" s="161">
        <f>IF(FS55="","",IF(ISNUMBER('Dvd Calendar'!$E$492)=FALSE,"",'Dvd Calendar'!$E$492))</f>
        <v/>
      </c>
      <c r="AR55" s="161">
        <f>IF(FT55="","",IF(ISNUMBER('Dvd Calendar'!$F$492)=FALSE,"",'Dvd Calendar'!$F$492))</f>
        <v/>
      </c>
      <c r="AS55" s="161">
        <f>IF(FU55="","",IF(ISNUMBER('Dvd Calendar'!$G$492)=FALSE,"",'Dvd Calendar'!$G$492))</f>
        <v/>
      </c>
      <c r="AT55" s="161">
        <f>IF(FV55="","",IF(ISNUMBER('Dvd Calendar'!$H$492)=FALSE,"",'Dvd Calendar'!$H$492))</f>
        <v/>
      </c>
      <c r="AU55" s="161">
        <f>IF(FW55="","",IF(ISNUMBER('Dvd Calendar'!$I$492)=FALSE,"",'Dvd Calendar'!$I$492))</f>
        <v/>
      </c>
      <c r="AV55" s="161">
        <f>IF(FX55="","",IF(ISNUMBER('Dvd Calendar'!$J$492)=FALSE,"",'Dvd Calendar'!$J$492))</f>
        <v/>
      </c>
      <c r="AW55" s="161">
        <f>IF(FY55="","",IF(ISNUMBER('Dvd Calendar'!$K$492)=FALSE,"",'Dvd Calendar'!$K$492))</f>
        <v/>
      </c>
      <c r="AX55" s="161">
        <f>IF(FZ55="","",IF(ISNUMBER('Dvd Calendar'!$L$492)=FALSE,"",'Dvd Calendar'!$L$492))</f>
        <v/>
      </c>
      <c r="AY55" s="161">
        <f>IF(GA55="","",IF(ISNUMBER('Dvd Calendar'!$M$492)=FALSE,"",'Dvd Calendar'!$M$492))</f>
        <v/>
      </c>
      <c r="AZ55" s="161">
        <f>IF(GB55="","",IF(ISNUMBER('Dvd Calendar'!$N$492)=FALSE,"",'Dvd Calendar'!$N$492))</f>
        <v/>
      </c>
      <c r="BA55" s="161">
        <f>IF(GC55="","",IF(ISNUMBER('Dvd Calendar'!$O$492)=FALSE,"",'Dvd Calendar'!$O$492))</f>
        <v/>
      </c>
      <c r="BB55" s="161">
        <f>IF(GD55="","",IF(ISNUMBER('Dvd Calendar'!$P$492)=FALSE,"",'Dvd Calendar'!$P$492))</f>
        <v/>
      </c>
      <c r="BC55" s="161">
        <f>IF(GE55="","",IF(ISNUMBER('Dvd Calendar'!$Q$492)=FALSE,"",'Dvd Calendar'!$Q$492))</f>
        <v/>
      </c>
      <c r="BD55" s="161">
        <f>IF(GF55="","",IF(ISNUMBER('Dvd Calendar'!$R$492)=FALSE,"",'Dvd Calendar'!$R$492))</f>
        <v/>
      </c>
      <c r="BE55" s="161">
        <f>IF(GG55="","",IF(ISNUMBER('Dvd Calendar'!$S$492)=FALSE,"",'Dvd Calendar'!$S$492))</f>
        <v/>
      </c>
      <c r="BF55" s="161">
        <f>IF(GH55="","",IF(ISNUMBER('Dvd Calendar'!$T$492)=FALSE,"",'Dvd Calendar'!$T$492))</f>
        <v/>
      </c>
      <c r="BG55" s="161">
        <f>IF(GI55="","",IF(ISNUMBER('Dvd Calendar'!$U$492)=FALSE,"",'Dvd Calendar'!$U$492))</f>
        <v/>
      </c>
      <c r="BH55" s="161">
        <f>IF(GJ55="","",IF(ISNUMBER('Dvd Calendar'!$V$492)=FALSE,"",'Dvd Calendar'!$V$492))</f>
        <v/>
      </c>
      <c r="BI55" s="161">
        <f>IF(GK55="","",IF(ISNUMBER('Dvd Calendar'!$W$492)=FALSE,"",'Dvd Calendar'!$W$492))</f>
        <v/>
      </c>
      <c r="BJ55" s="161">
        <f>IF(GL55="","",IF(ISNUMBER('Dvd Calendar'!$X$492)=FALSE,"",'Dvd Calendar'!$X$492))</f>
        <v/>
      </c>
      <c r="BK55" s="161">
        <f>IF(GM55="","",IF(ISNUMBER('Dvd Calendar'!$Y$492)=FALSE,"",'Dvd Calendar'!$Y$492))</f>
        <v/>
      </c>
      <c r="BL55" s="161">
        <f>IF(GN55="","",IF(ISNUMBER('Dvd Calendar'!$Z$492)=FALSE,"",'Dvd Calendar'!$Z$492))</f>
        <v/>
      </c>
      <c r="BM55" s="161">
        <f>IF(GO55="","",IF(ISNUMBER('Dvd Calendar'!$AA$492)=FALSE,"",'Dvd Calendar'!$AA$492))</f>
        <v/>
      </c>
      <c r="BN55" s="161">
        <f>IF(GP55="","",IF(ISNUMBER('Dvd Calendar'!$AB$492)=FALSE,"",'Dvd Calendar'!$AB$492))</f>
        <v/>
      </c>
      <c r="BO55" s="161">
        <f>IF(GQ55="","",IF(ISNUMBER('Dvd Calendar'!$AC$492)=FALSE,"",'Dvd Calendar'!$AC$492))</f>
        <v/>
      </c>
      <c r="BQ55" s="161">
        <f>IF(C55="","",IFERROR(C55*HSI!$B$50*HSI!$G$50/HSI!$B$3,""))</f>
        <v/>
      </c>
      <c r="BR55" s="161">
        <f>IF(D55="","",IFERROR(D55*HSI!$B$50*HSI!$G$50/HSI!$B$3,""))</f>
        <v/>
      </c>
      <c r="BS55" s="161">
        <f>IF(E55="","",IFERROR(E55*HSI!$B$50*HSI!$G$50/HSI!$B$3,""))</f>
        <v/>
      </c>
      <c r="BT55" s="161">
        <f>IF(F55="","",IFERROR(F55*HSI!$B$50*HSI!$G$50/HSI!$B$3,""))</f>
        <v/>
      </c>
      <c r="BU55" s="161">
        <f>IF(G55="","",IFERROR(G55*HSI!$B$50*HSI!$G$50/HSI!$B$3,""))</f>
        <v/>
      </c>
      <c r="BV55" s="161">
        <f>IF(H55="","",IFERROR(H55*HSI!$B$50*HSI!$G$50/HSI!$B$3,""))</f>
        <v/>
      </c>
      <c r="BW55" s="161">
        <f>IF(I55="","",IFERROR(I55*HSI!$B$50*HSI!$G$50/HSI!$B$3,""))</f>
        <v/>
      </c>
      <c r="BX55" s="161">
        <f>IF(J55="","",IFERROR(J55*HSI!$B$50*HSI!$G$50/HSI!$B$3,""))</f>
        <v/>
      </c>
      <c r="BY55" s="161">
        <f>IF(K55="","",IFERROR(K55*HSI!$B$50*HSI!$G$50/HSI!$B$3,""))</f>
        <v/>
      </c>
      <c r="BZ55" s="161">
        <f>IF(L55="","",IFERROR(L55*HSI!$B$50*HSI!$G$50/HSI!$B$3,""))</f>
        <v/>
      </c>
      <c r="CA55" s="161">
        <f>IF(M55="","",IFERROR(M55*HSI!$B$50*HSI!$G$50/HSI!$B$3,""))</f>
        <v/>
      </c>
      <c r="CB55" s="161">
        <f>IF(N55="","",IFERROR(N55*HSI!$B$50*HSI!$G$50/HSI!$B$3,""))</f>
        <v/>
      </c>
      <c r="CC55" s="161">
        <f>IF(O55="","",IFERROR(O55*HSI!$B$50*HSI!$G$50/HSI!$B$3,""))</f>
        <v/>
      </c>
      <c r="CD55" s="161">
        <f>IF(P55="","",IFERROR(P55*HSI!$B$50*HSI!$G$50/HSI!$B$3,""))</f>
        <v/>
      </c>
      <c r="CE55" s="161">
        <f>IF(Q55="","",IFERROR(Q55*HSI!$B$50*HSI!$G$50/HSI!$B$3,""))</f>
        <v/>
      </c>
      <c r="CF55" s="161">
        <f>IF(R55="","",IFERROR(R55*HSI!$B$50*HSI!$G$50/HSI!$B$3,""))</f>
        <v/>
      </c>
      <c r="CG55" s="161">
        <f>IF(S55="","",IFERROR(S55*HSI!$B$50*HSI!$G$50/HSI!$B$3,""))</f>
        <v/>
      </c>
      <c r="CH55" s="161">
        <f>IF(T55="","",IFERROR(T55*HSI!$B$50*HSI!$G$50/HSI!$B$3,""))</f>
        <v/>
      </c>
      <c r="CI55" s="161">
        <f>IF(U55="","",IFERROR(U55*HSI!$B$50*HSI!$G$50/HSI!$B$3,""))</f>
        <v/>
      </c>
      <c r="CJ55" s="161">
        <f>IF(V55="","",IFERROR(V55*HSI!$B$50*HSI!$G$50/HSI!$B$3,""))</f>
        <v/>
      </c>
      <c r="CK55" s="161">
        <f>IF(W55="","",IFERROR(W55*HSI!$B$50*HSI!$G$50/HSI!$B$3,""))</f>
        <v/>
      </c>
      <c r="CL55" s="161">
        <f>IF(X55="","",IFERROR(X55*HSI!$B$50*HSI!$G$50/HSI!$B$3,""))</f>
        <v/>
      </c>
      <c r="CM55" s="161">
        <f>IF(Y55="","",IFERROR(Y55*HSI!$B$50*HSI!$G$50/HSI!$B$3,""))</f>
        <v/>
      </c>
      <c r="CN55" s="161">
        <f>IF(Z55="","",IFERROR(Z55*HSI!$B$50*HSI!$G$50/HSI!$B$3,""))</f>
        <v/>
      </c>
      <c r="CO55" s="161">
        <f>IF(AA55="","",IFERROR(AA55*HSI!$B$50*HSI!$G$50/HSI!$B$3,""))</f>
        <v/>
      </c>
      <c r="CP55" s="161">
        <f>IF(AB55="","",IFERROR(AB55*HSI!$B$50*HSI!$G$50/HSI!$B$3,""))</f>
        <v/>
      </c>
      <c r="CQ55" s="161">
        <f>IF(AC55="","",IFERROR(AC55*HSI!$B$50*HSI!$G$50/HSI!$B$3,""))</f>
        <v/>
      </c>
      <c r="CR55" s="161">
        <f>IF(AD55="","",IFERROR(AD55*HSI!$B$50*HSI!$G$50/HSI!$B$3,""))</f>
        <v/>
      </c>
      <c r="CS55" s="161">
        <f>IF(AE55="","",IFERROR(AE55*HSI!$B$50*HSI!$G$50/HSI!$B$3,""))</f>
        <v/>
      </c>
      <c r="CT55" s="161">
        <f>IF(AF55="","",IFERROR(AF55*HSI!$B$50*HSI!$G$50/HSI!$B$3,""))</f>
        <v/>
      </c>
      <c r="CU55" s="161">
        <f>IF(AG55="","",IFERROR(AG55*HSI!$B$50*HSI!$G$50/HSI!$B$3,""))</f>
        <v/>
      </c>
      <c r="CV55" s="161">
        <f>IF(AH55="","",IFERROR(AH55*HSI!$B$50*HSI!$G$50/HSI!$B$3,""))</f>
        <v/>
      </c>
      <c r="CW55" s="161">
        <f>IF(AI55="","",IFERROR(AI55*HSI!$B$50*HSI!$G$50/HSI!$B$3,""))</f>
        <v/>
      </c>
      <c r="CX55" s="161">
        <f>IF(AJ55="","",IFERROR(AJ55*HSI!$B$50*HSI!$G$50/HSI!$B$3,""))</f>
        <v/>
      </c>
      <c r="CY55" s="161">
        <f>IF(AK55="","",IFERROR(AK55*HSI!$B$50*HSI!$G$50/HSI!$B$3,""))</f>
        <v/>
      </c>
      <c r="CZ55" s="161">
        <f>IF(AL55="","",IFERROR(AL55*HSI!$B$50*HSI!$G$50/HSI!$B$3,""))</f>
        <v/>
      </c>
      <c r="DA55" s="161">
        <f>IF(AM55="","",IFERROR(AM55*HSI!$B$50*HSI!$G$50/HSI!$B$3,""))</f>
        <v/>
      </c>
      <c r="DB55" s="161">
        <f>IF(AN55="","",IFERROR(AN55*HSI!$B$50*HSI!$G$50/HSI!$B$3,""))</f>
        <v/>
      </c>
      <c r="DC55" s="161">
        <f>IF(AO55="","",IFERROR(AO55*HSI!$B$50*HSI!$G$50/HSI!$B$3,""))</f>
        <v/>
      </c>
      <c r="DD55" s="161">
        <f>IF(AP55="","",IFERROR(AP55*HSI!$B$50*HSI!$G$50/HSI!$B$3,""))</f>
        <v/>
      </c>
      <c r="DE55" s="161">
        <f>IF(AQ55="","",IFERROR(AQ55*HSI!$B$50*HSI!$G$50/HSI!$B$3,""))</f>
        <v/>
      </c>
      <c r="DF55" s="161">
        <f>IF(AR55="","",IFERROR(AR55*HSI!$B$50*HSI!$G$50/HSI!$B$3,""))</f>
        <v/>
      </c>
      <c r="DG55" s="161">
        <f>IF(AS55="","",IFERROR(AS55*HSI!$B$50*HSI!$G$50/HSI!$B$3,""))</f>
        <v/>
      </c>
      <c r="DH55" s="161">
        <f>IF(AT55="","",IFERROR(AT55*HSI!$B$50*HSI!$G$50/HSI!$B$3,""))</f>
        <v/>
      </c>
      <c r="DI55" s="161">
        <f>IF(AU55="","",IFERROR(AU55*HSI!$B$50*HSI!$G$50/HSI!$B$3,""))</f>
        <v/>
      </c>
      <c r="DJ55" s="161">
        <f>IF(AV55="","",IFERROR(AV55*HSI!$B$50*HSI!$G$50/HSI!$B$3,""))</f>
        <v/>
      </c>
      <c r="DK55" s="161">
        <f>IF(AW55="","",IFERROR(AW55*HSI!$B$50*HSI!$G$50/HSI!$B$3,""))</f>
        <v/>
      </c>
      <c r="DL55" s="161">
        <f>IF(AX55="","",IFERROR(AX55*HSI!$B$50*HSI!$G$50/HSI!$B$3,""))</f>
        <v/>
      </c>
      <c r="DM55" s="161">
        <f>IF(AY55="","",IFERROR(AY55*HSI!$B$50*HSI!$G$50/HSI!$B$3,""))</f>
        <v/>
      </c>
      <c r="DN55" s="161">
        <f>IF(AZ55="","",IFERROR(AZ55*HSI!$B$50*HSI!$G$50/HSI!$B$3,""))</f>
        <v/>
      </c>
      <c r="DO55" s="161">
        <f>IF(BA55="","",IFERROR(BA55*HSI!$B$50*HSI!$G$50/HSI!$B$3,""))</f>
        <v/>
      </c>
      <c r="DP55" s="161">
        <f>IF(BB55="","",IFERROR(BB55*HSI!$B$50*HSI!$G$50/HSI!$B$3,""))</f>
        <v/>
      </c>
      <c r="DQ55" s="161">
        <f>IF(BC55="","",IFERROR(BC55*HSI!$B$50*HSI!$G$50/HSI!$B$3,""))</f>
        <v/>
      </c>
      <c r="DR55" s="161">
        <f>IF(BD55="","",IFERROR(BD55*HSI!$B$50*HSI!$G$50/HSI!$B$3,""))</f>
        <v/>
      </c>
      <c r="DS55" s="161">
        <f>IF(BE55="","",IFERROR(BE55*HSI!$B$50*HSI!$G$50/HSI!$B$3,""))</f>
        <v/>
      </c>
      <c r="DT55" s="161">
        <f>IF(BF55="","",IFERROR(BF55*HSI!$B$50*HSI!$G$50/HSI!$B$3,""))</f>
        <v/>
      </c>
      <c r="DU55" s="161">
        <f>IF(BG55="","",IFERROR(BG55*HSI!$B$50*HSI!$G$50/HSI!$B$3,""))</f>
        <v/>
      </c>
      <c r="DV55" s="161">
        <f>IF(BH55="","",IFERROR(BH55*HSI!$B$50*HSI!$G$50/HSI!$B$3,""))</f>
        <v/>
      </c>
      <c r="DW55" s="161">
        <f>IF(BI55="","",IFERROR(BI55*HSI!$B$50*HSI!$G$50/HSI!$B$3,""))</f>
        <v/>
      </c>
      <c r="DX55" s="161">
        <f>IF(BJ55="","",IFERROR(BJ55*HSI!$B$50*HSI!$G$50/HSI!$B$3,""))</f>
        <v/>
      </c>
      <c r="DY55" s="161">
        <f>IF(BK55="","",IFERROR(BK55*HSI!$B$50*HSI!$G$50/HSI!$B$3,""))</f>
        <v/>
      </c>
      <c r="DZ55" s="161">
        <f>IF(BL55="","",IFERROR(BL55*HSI!$B$50*HSI!$G$50/HSI!$B$3,""))</f>
        <v/>
      </c>
      <c r="EA55" s="161">
        <f>IF(BM55="","",IFERROR(BM55*HSI!$B$50*HSI!$G$50/HSI!$B$3,""))</f>
        <v/>
      </c>
      <c r="EB55" s="161">
        <f>IF(BN55="","",IFERROR(BN55*HSI!$B$50*HSI!$G$50/HSI!$B$3,""))</f>
        <v/>
      </c>
      <c r="EC55" s="161">
        <f>IF(BO55="","",IFERROR(BO55*HSI!$B$50*HSI!$G$50/HSI!$B$3,""))</f>
        <v/>
      </c>
      <c r="EE55" s="121">
        <f>IF(N('Dvd Calendar'!$E$484)=0,"",IF(('Dvd Calendar'!$E$484&gt;=GRID_FROM)*('Dvd Calendar'!$E$484&lt;=GRID_TO)*((('Dvd Calendar'!$E$484&lt;=VAL_DATE)+(COUNTIF('Dvd Calendar'!$E$491:$AR$491,'Dvd Calendar'!$E$484)=0))&gt;0)=0,"",'Dvd Calendar'!$E$484*1000000000+ISNUMBER('Dvd Calendar'!$E$487)*100000000+('Dvd Calendar'!$E$489=SPECIAL_LBL)*10000000+(N('Dvd Calendar'!$E$483)&gt;0)*(N('Dvd Calendar'!$E$483)&lt;=VAL_SERIAL)*1000000+44*1000+1))</f>
        <v/>
      </c>
      <c r="EF55" s="121">
        <f>IF(N('Dvd Calendar'!$F$484)=0,"",IF(('Dvd Calendar'!$F$484&gt;=GRID_FROM)*('Dvd Calendar'!$F$484&lt;=GRID_TO)*((('Dvd Calendar'!$F$484&lt;=VAL_DATE)+(COUNTIF('Dvd Calendar'!$E$491:$AR$491,'Dvd Calendar'!$F$484)=0))&gt;0)=0,"",'Dvd Calendar'!$F$484*1000000000+ISNUMBER('Dvd Calendar'!$F$487)*100000000+('Dvd Calendar'!$F$489=SPECIAL_LBL)*10000000+(N('Dvd Calendar'!$F$483)&gt;0)*(N('Dvd Calendar'!$F$483)&lt;=VAL_SERIAL)*1000000+44*1000+2))</f>
        <v/>
      </c>
      <c r="EG55" s="121">
        <f>IF(N('Dvd Calendar'!$G$484)=0,"",IF(('Dvd Calendar'!$G$484&gt;=GRID_FROM)*('Dvd Calendar'!$G$484&lt;=GRID_TO)*((('Dvd Calendar'!$G$484&lt;=VAL_DATE)+(COUNTIF('Dvd Calendar'!$E$491:$AR$491,'Dvd Calendar'!$G$484)=0))&gt;0)=0,"",'Dvd Calendar'!$G$484*1000000000+ISNUMBER('Dvd Calendar'!$G$487)*100000000+('Dvd Calendar'!$G$489=SPECIAL_LBL)*10000000+(N('Dvd Calendar'!$G$483)&gt;0)*(N('Dvd Calendar'!$G$483)&lt;=VAL_SERIAL)*1000000+44*1000+3))</f>
        <v/>
      </c>
      <c r="EH55" s="121">
        <f>IF(N('Dvd Calendar'!$H$484)=0,"",IF(('Dvd Calendar'!$H$484&gt;=GRID_FROM)*('Dvd Calendar'!$H$484&lt;=GRID_TO)*((('Dvd Calendar'!$H$484&lt;=VAL_DATE)+(COUNTIF('Dvd Calendar'!$E$491:$AR$491,'Dvd Calendar'!$H$484)=0))&gt;0)=0,"",'Dvd Calendar'!$H$484*1000000000+ISNUMBER('Dvd Calendar'!$H$487)*100000000+('Dvd Calendar'!$H$489=SPECIAL_LBL)*10000000+(N('Dvd Calendar'!$H$483)&gt;0)*(N('Dvd Calendar'!$H$483)&lt;=VAL_SERIAL)*1000000+44*1000+4))</f>
        <v/>
      </c>
      <c r="EI55" s="121">
        <f>IF(N('Dvd Calendar'!$I$484)=0,"",IF(('Dvd Calendar'!$I$484&gt;=GRID_FROM)*('Dvd Calendar'!$I$484&lt;=GRID_TO)*((('Dvd Calendar'!$I$484&lt;=VAL_DATE)+(COUNTIF('Dvd Calendar'!$E$491:$AR$491,'Dvd Calendar'!$I$484)=0))&gt;0)=0,"",'Dvd Calendar'!$I$484*1000000000+ISNUMBER('Dvd Calendar'!$I$487)*100000000+('Dvd Calendar'!$I$489=SPECIAL_LBL)*10000000+(N('Dvd Calendar'!$I$483)&gt;0)*(N('Dvd Calendar'!$I$483)&lt;=VAL_SERIAL)*1000000+44*1000+5))</f>
        <v/>
      </c>
      <c r="EJ55" s="121">
        <f>IF(N('Dvd Calendar'!$J$484)=0,"",IF(('Dvd Calendar'!$J$484&gt;=GRID_FROM)*('Dvd Calendar'!$J$484&lt;=GRID_TO)*((('Dvd Calendar'!$J$484&lt;=VAL_DATE)+(COUNTIF('Dvd Calendar'!$E$491:$AR$491,'Dvd Calendar'!$J$484)=0))&gt;0)=0,"",'Dvd Calendar'!$J$484*1000000000+ISNUMBER('Dvd Calendar'!$J$487)*100000000+('Dvd Calendar'!$J$489=SPECIAL_LBL)*10000000+(N('Dvd Calendar'!$J$483)&gt;0)*(N('Dvd Calendar'!$J$483)&lt;=VAL_SERIAL)*1000000+44*1000+6))</f>
        <v/>
      </c>
      <c r="EK55" s="121">
        <f>IF(N('Dvd Calendar'!$K$484)=0,"",IF(('Dvd Calendar'!$K$484&gt;=GRID_FROM)*('Dvd Calendar'!$K$484&lt;=GRID_TO)*((('Dvd Calendar'!$K$484&lt;=VAL_DATE)+(COUNTIF('Dvd Calendar'!$E$491:$AR$491,'Dvd Calendar'!$K$484)=0))&gt;0)=0,"",'Dvd Calendar'!$K$484*1000000000+ISNUMBER('Dvd Calendar'!$K$487)*100000000+('Dvd Calendar'!$K$489=SPECIAL_LBL)*10000000+(N('Dvd Calendar'!$K$483)&gt;0)*(N('Dvd Calendar'!$K$483)&lt;=VAL_SERIAL)*1000000+44*1000+7))</f>
        <v/>
      </c>
      <c r="EL55" s="121">
        <f>IF(N('Dvd Calendar'!$L$484)=0,"",IF(('Dvd Calendar'!$L$484&gt;=GRID_FROM)*('Dvd Calendar'!$L$484&lt;=GRID_TO)*((('Dvd Calendar'!$L$484&lt;=VAL_DATE)+(COUNTIF('Dvd Calendar'!$E$491:$AR$491,'Dvd Calendar'!$L$484)=0))&gt;0)=0,"",'Dvd Calendar'!$L$484*1000000000+ISNUMBER('Dvd Calendar'!$L$487)*100000000+('Dvd Calendar'!$L$489=SPECIAL_LBL)*10000000+(N('Dvd Calendar'!$L$483)&gt;0)*(N('Dvd Calendar'!$L$483)&lt;=VAL_SERIAL)*1000000+44*1000+8))</f>
        <v/>
      </c>
      <c r="EM55" s="121">
        <f>IF(N('Dvd Calendar'!$M$484)=0,"",IF(('Dvd Calendar'!$M$484&gt;=GRID_FROM)*('Dvd Calendar'!$M$484&lt;=GRID_TO)*((('Dvd Calendar'!$M$484&lt;=VAL_DATE)+(COUNTIF('Dvd Calendar'!$E$491:$AR$491,'Dvd Calendar'!$M$484)=0))&gt;0)=0,"",'Dvd Calendar'!$M$484*1000000000+ISNUMBER('Dvd Calendar'!$M$487)*100000000+('Dvd Calendar'!$M$489=SPECIAL_LBL)*10000000+(N('Dvd Calendar'!$M$483)&gt;0)*(N('Dvd Calendar'!$M$483)&lt;=VAL_SERIAL)*1000000+44*1000+9))</f>
        <v/>
      </c>
      <c r="EN55" s="121">
        <f>IF(N('Dvd Calendar'!$N$484)=0,"",IF(('Dvd Calendar'!$N$484&gt;=GRID_FROM)*('Dvd Calendar'!$N$484&lt;=GRID_TO)*((('Dvd Calendar'!$N$484&lt;=VAL_DATE)+(COUNTIF('Dvd Calendar'!$E$491:$AR$491,'Dvd Calendar'!$N$484)=0))&gt;0)=0,"",'Dvd Calendar'!$N$484*1000000000+ISNUMBER('Dvd Calendar'!$N$487)*100000000+('Dvd Calendar'!$N$489=SPECIAL_LBL)*10000000+(N('Dvd Calendar'!$N$483)&gt;0)*(N('Dvd Calendar'!$N$483)&lt;=VAL_SERIAL)*1000000+44*1000+10))</f>
        <v/>
      </c>
      <c r="EO55" s="121">
        <f>IF(N('Dvd Calendar'!$O$484)=0,"",IF(('Dvd Calendar'!$O$484&gt;=GRID_FROM)*('Dvd Calendar'!$O$484&lt;=GRID_TO)*((('Dvd Calendar'!$O$484&lt;=VAL_DATE)+(COUNTIF('Dvd Calendar'!$E$491:$AR$491,'Dvd Calendar'!$O$484)=0))&gt;0)=0,"",'Dvd Calendar'!$O$484*1000000000+ISNUMBER('Dvd Calendar'!$O$487)*100000000+('Dvd Calendar'!$O$489=SPECIAL_LBL)*10000000+(N('Dvd Calendar'!$O$483)&gt;0)*(N('Dvd Calendar'!$O$483)&lt;=VAL_SERIAL)*1000000+44*1000+11))</f>
        <v/>
      </c>
      <c r="EP55" s="121">
        <f>IF(N('Dvd Calendar'!$P$484)=0,"",IF(('Dvd Calendar'!$P$484&gt;=GRID_FROM)*('Dvd Calendar'!$P$484&lt;=GRID_TO)*((('Dvd Calendar'!$P$484&lt;=VAL_DATE)+(COUNTIF('Dvd Calendar'!$E$491:$AR$491,'Dvd Calendar'!$P$484)=0))&gt;0)=0,"",'Dvd Calendar'!$P$484*1000000000+ISNUMBER('Dvd Calendar'!$P$487)*100000000+('Dvd Calendar'!$P$489=SPECIAL_LBL)*10000000+(N('Dvd Calendar'!$P$483)&gt;0)*(N('Dvd Calendar'!$P$483)&lt;=VAL_SERIAL)*1000000+44*1000+12))</f>
        <v/>
      </c>
      <c r="EQ55" s="121">
        <f>IF(N('Dvd Calendar'!$Q$484)=0,"",IF(('Dvd Calendar'!$Q$484&gt;=GRID_FROM)*('Dvd Calendar'!$Q$484&lt;=GRID_TO)*((('Dvd Calendar'!$Q$484&lt;=VAL_DATE)+(COUNTIF('Dvd Calendar'!$E$491:$AR$491,'Dvd Calendar'!$Q$484)=0))&gt;0)=0,"",'Dvd Calendar'!$Q$484*1000000000+ISNUMBER('Dvd Calendar'!$Q$487)*100000000+('Dvd Calendar'!$Q$489=SPECIAL_LBL)*10000000+(N('Dvd Calendar'!$Q$483)&gt;0)*(N('Dvd Calendar'!$Q$483)&lt;=VAL_SERIAL)*1000000+44*1000+13))</f>
        <v/>
      </c>
      <c r="ER55" s="121">
        <f>IF(N('Dvd Calendar'!$R$484)=0,"",IF(('Dvd Calendar'!$R$484&gt;=GRID_FROM)*('Dvd Calendar'!$R$484&lt;=GRID_TO)*((('Dvd Calendar'!$R$484&lt;=VAL_DATE)+(COUNTIF('Dvd Calendar'!$E$491:$AR$491,'Dvd Calendar'!$R$484)=0))&gt;0)=0,"",'Dvd Calendar'!$R$484*1000000000+ISNUMBER('Dvd Calendar'!$R$487)*100000000+('Dvd Calendar'!$R$489=SPECIAL_LBL)*10000000+(N('Dvd Calendar'!$R$483)&gt;0)*(N('Dvd Calendar'!$R$483)&lt;=VAL_SERIAL)*1000000+44*1000+14))</f>
        <v/>
      </c>
      <c r="ES55" s="121">
        <f>IF(N('Dvd Calendar'!$S$484)=0,"",IF(('Dvd Calendar'!$S$484&gt;=GRID_FROM)*('Dvd Calendar'!$S$484&lt;=GRID_TO)*((('Dvd Calendar'!$S$484&lt;=VAL_DATE)+(COUNTIF('Dvd Calendar'!$E$491:$AR$491,'Dvd Calendar'!$S$484)=0))&gt;0)=0,"",'Dvd Calendar'!$S$484*1000000000+ISNUMBER('Dvd Calendar'!$S$487)*100000000+('Dvd Calendar'!$S$489=SPECIAL_LBL)*10000000+(N('Dvd Calendar'!$S$483)&gt;0)*(N('Dvd Calendar'!$S$483)&lt;=VAL_SERIAL)*1000000+44*1000+15))</f>
        <v/>
      </c>
      <c r="ET55" s="121">
        <f>IF(N('Dvd Calendar'!$T$484)=0,"",IF(('Dvd Calendar'!$T$484&gt;=GRID_FROM)*('Dvd Calendar'!$T$484&lt;=GRID_TO)*((('Dvd Calendar'!$T$484&lt;=VAL_DATE)+(COUNTIF('Dvd Calendar'!$E$491:$AR$491,'Dvd Calendar'!$T$484)=0))&gt;0)=0,"",'Dvd Calendar'!$T$484*1000000000+ISNUMBER('Dvd Calendar'!$T$487)*100000000+('Dvd Calendar'!$T$489=SPECIAL_LBL)*10000000+(N('Dvd Calendar'!$T$483)&gt;0)*(N('Dvd Calendar'!$T$483)&lt;=VAL_SERIAL)*1000000+44*1000+16))</f>
        <v/>
      </c>
      <c r="EU55" s="121">
        <f>IF(N('Dvd Calendar'!$U$484)=0,"",IF(('Dvd Calendar'!$U$484&gt;=GRID_FROM)*('Dvd Calendar'!$U$484&lt;=GRID_TO)*((('Dvd Calendar'!$U$484&lt;=VAL_DATE)+(COUNTIF('Dvd Calendar'!$E$491:$AR$491,'Dvd Calendar'!$U$484)=0))&gt;0)=0,"",'Dvd Calendar'!$U$484*1000000000+ISNUMBER('Dvd Calendar'!$U$487)*100000000+('Dvd Calendar'!$U$489=SPECIAL_LBL)*10000000+(N('Dvd Calendar'!$U$483)&gt;0)*(N('Dvd Calendar'!$U$483)&lt;=VAL_SERIAL)*1000000+44*1000+17))</f>
        <v/>
      </c>
      <c r="EV55" s="121">
        <f>IF(N('Dvd Calendar'!$V$484)=0,"",IF(('Dvd Calendar'!$V$484&gt;=GRID_FROM)*('Dvd Calendar'!$V$484&lt;=GRID_TO)*((('Dvd Calendar'!$V$484&lt;=VAL_DATE)+(COUNTIF('Dvd Calendar'!$E$491:$AR$491,'Dvd Calendar'!$V$484)=0))&gt;0)=0,"",'Dvd Calendar'!$V$484*1000000000+ISNUMBER('Dvd Calendar'!$V$487)*100000000+('Dvd Calendar'!$V$489=SPECIAL_LBL)*10000000+(N('Dvd Calendar'!$V$483)&gt;0)*(N('Dvd Calendar'!$V$483)&lt;=VAL_SERIAL)*1000000+44*1000+18))</f>
        <v/>
      </c>
      <c r="EW55" s="121">
        <f>IF(N('Dvd Calendar'!$W$484)=0,"",IF(('Dvd Calendar'!$W$484&gt;=GRID_FROM)*('Dvd Calendar'!$W$484&lt;=GRID_TO)*((('Dvd Calendar'!$W$484&lt;=VAL_DATE)+(COUNTIF('Dvd Calendar'!$E$491:$AR$491,'Dvd Calendar'!$W$484)=0))&gt;0)=0,"",'Dvd Calendar'!$W$484*1000000000+ISNUMBER('Dvd Calendar'!$W$487)*100000000+('Dvd Calendar'!$W$489=SPECIAL_LBL)*10000000+(N('Dvd Calendar'!$W$483)&gt;0)*(N('Dvd Calendar'!$W$483)&lt;=VAL_SERIAL)*1000000+44*1000+19))</f>
        <v/>
      </c>
      <c r="EX55" s="121">
        <f>IF(N('Dvd Calendar'!$X$484)=0,"",IF(('Dvd Calendar'!$X$484&gt;=GRID_FROM)*('Dvd Calendar'!$X$484&lt;=GRID_TO)*((('Dvd Calendar'!$X$484&lt;=VAL_DATE)+(COUNTIF('Dvd Calendar'!$E$491:$AR$491,'Dvd Calendar'!$X$484)=0))&gt;0)=0,"",'Dvd Calendar'!$X$484*1000000000+ISNUMBER('Dvd Calendar'!$X$487)*100000000+('Dvd Calendar'!$X$489=SPECIAL_LBL)*10000000+(N('Dvd Calendar'!$X$483)&gt;0)*(N('Dvd Calendar'!$X$483)&lt;=VAL_SERIAL)*1000000+44*1000+20))</f>
        <v/>
      </c>
      <c r="EY55" s="121">
        <f>IF(N('Dvd Calendar'!$Y$484)=0,"",IF(('Dvd Calendar'!$Y$484&gt;=GRID_FROM)*('Dvd Calendar'!$Y$484&lt;=GRID_TO)*((('Dvd Calendar'!$Y$484&lt;=VAL_DATE)+(COUNTIF('Dvd Calendar'!$E$491:$AR$491,'Dvd Calendar'!$Y$484)=0))&gt;0)=0,"",'Dvd Calendar'!$Y$484*1000000000+ISNUMBER('Dvd Calendar'!$Y$487)*100000000+('Dvd Calendar'!$Y$489=SPECIAL_LBL)*10000000+(N('Dvd Calendar'!$Y$483)&gt;0)*(N('Dvd Calendar'!$Y$483)&lt;=VAL_SERIAL)*1000000+44*1000+21))</f>
        <v/>
      </c>
      <c r="EZ55" s="121">
        <f>IF(N('Dvd Calendar'!$Z$484)=0,"",IF(('Dvd Calendar'!$Z$484&gt;=GRID_FROM)*('Dvd Calendar'!$Z$484&lt;=GRID_TO)*((('Dvd Calendar'!$Z$484&lt;=VAL_DATE)+(COUNTIF('Dvd Calendar'!$E$491:$AR$491,'Dvd Calendar'!$Z$484)=0))&gt;0)=0,"",'Dvd Calendar'!$Z$484*1000000000+ISNUMBER('Dvd Calendar'!$Z$487)*100000000+('Dvd Calendar'!$Z$489=SPECIAL_LBL)*10000000+(N('Dvd Calendar'!$Z$483)&gt;0)*(N('Dvd Calendar'!$Z$483)&lt;=VAL_SERIAL)*1000000+44*1000+22))</f>
        <v/>
      </c>
      <c r="FA55" s="121">
        <f>IF(N('Dvd Calendar'!$AA$484)=0,"",IF(('Dvd Calendar'!$AA$484&gt;=GRID_FROM)*('Dvd Calendar'!$AA$484&lt;=GRID_TO)*((('Dvd Calendar'!$AA$484&lt;=VAL_DATE)+(COUNTIF('Dvd Calendar'!$E$491:$AR$491,'Dvd Calendar'!$AA$484)=0))&gt;0)=0,"",'Dvd Calendar'!$AA$484*1000000000+ISNUMBER('Dvd Calendar'!$AA$487)*100000000+('Dvd Calendar'!$AA$489=SPECIAL_LBL)*10000000+(N('Dvd Calendar'!$AA$483)&gt;0)*(N('Dvd Calendar'!$AA$483)&lt;=VAL_SERIAL)*1000000+44*1000+23))</f>
        <v/>
      </c>
      <c r="FB55" s="121">
        <f>IF(N('Dvd Calendar'!$AB$484)=0,"",IF(('Dvd Calendar'!$AB$484&gt;=GRID_FROM)*('Dvd Calendar'!$AB$484&lt;=GRID_TO)*((('Dvd Calendar'!$AB$484&lt;=VAL_DATE)+(COUNTIF('Dvd Calendar'!$E$491:$AR$491,'Dvd Calendar'!$AB$484)=0))&gt;0)=0,"",'Dvd Calendar'!$AB$484*1000000000+ISNUMBER('Dvd Calendar'!$AB$487)*100000000+('Dvd Calendar'!$AB$489=SPECIAL_LBL)*10000000+(N('Dvd Calendar'!$AB$483)&gt;0)*(N('Dvd Calendar'!$AB$483)&lt;=VAL_SERIAL)*1000000+44*1000+24))</f>
        <v/>
      </c>
      <c r="FC55" s="121">
        <f>IF(N('Dvd Calendar'!$AC$484)=0,"",IF(('Dvd Calendar'!$AC$484&gt;=GRID_FROM)*('Dvd Calendar'!$AC$484&lt;=GRID_TO)*((('Dvd Calendar'!$AC$484&lt;=VAL_DATE)+(COUNTIF('Dvd Calendar'!$E$491:$AR$491,'Dvd Calendar'!$AC$484)=0))&gt;0)=0,"",'Dvd Calendar'!$AC$484*1000000000+ISNUMBER('Dvd Calendar'!$AC$487)*100000000+('Dvd Calendar'!$AC$489=SPECIAL_LBL)*10000000+(N('Dvd Calendar'!$AC$483)&gt;0)*(N('Dvd Calendar'!$AC$483)&lt;=VAL_SERIAL)*1000000+44*1000+25))</f>
        <v/>
      </c>
      <c r="FD55" s="121">
        <f>IF(N('Dvd Calendar'!$AD$484)=0,"",IF(('Dvd Calendar'!$AD$484&gt;=GRID_FROM)*('Dvd Calendar'!$AD$484&lt;=GRID_TO)*((('Dvd Calendar'!$AD$484&lt;=VAL_DATE)+(COUNTIF('Dvd Calendar'!$E$491:$AR$491,'Dvd Calendar'!$AD$484)=0))&gt;0)=0,"",'Dvd Calendar'!$AD$484*1000000000+ISNUMBER('Dvd Calendar'!$AD$487)*100000000+('Dvd Calendar'!$AD$489=SPECIAL_LBL)*10000000+(N('Dvd Calendar'!$AD$483)&gt;0)*(N('Dvd Calendar'!$AD$483)&lt;=VAL_SERIAL)*1000000+44*1000+26))</f>
        <v/>
      </c>
      <c r="FE55" s="121">
        <f>IF(N('Dvd Calendar'!$AE$484)=0,"",IF(('Dvd Calendar'!$AE$484&gt;=GRID_FROM)*('Dvd Calendar'!$AE$484&lt;=GRID_TO)*((('Dvd Calendar'!$AE$484&lt;=VAL_DATE)+(COUNTIF('Dvd Calendar'!$E$491:$AR$491,'Dvd Calendar'!$AE$484)=0))&gt;0)=0,"",'Dvd Calendar'!$AE$484*1000000000+ISNUMBER('Dvd Calendar'!$AE$487)*100000000+('Dvd Calendar'!$AE$489=SPECIAL_LBL)*10000000+(N('Dvd Calendar'!$AE$483)&gt;0)*(N('Dvd Calendar'!$AE$483)&lt;=VAL_SERIAL)*1000000+44*1000+27))</f>
        <v/>
      </c>
      <c r="FF55" s="121">
        <f>IF(N('Dvd Calendar'!$AF$484)=0,"",IF(('Dvd Calendar'!$AF$484&gt;=GRID_FROM)*('Dvd Calendar'!$AF$484&lt;=GRID_TO)*((('Dvd Calendar'!$AF$484&lt;=VAL_DATE)+(COUNTIF('Dvd Calendar'!$E$491:$AR$491,'Dvd Calendar'!$AF$484)=0))&gt;0)=0,"",'Dvd Calendar'!$AF$484*1000000000+ISNUMBER('Dvd Calendar'!$AF$487)*100000000+('Dvd Calendar'!$AF$489=SPECIAL_LBL)*10000000+(N('Dvd Calendar'!$AF$483)&gt;0)*(N('Dvd Calendar'!$AF$483)&lt;=VAL_SERIAL)*1000000+44*1000+28))</f>
        <v/>
      </c>
      <c r="FG55" s="121">
        <f>IF(N('Dvd Calendar'!$AG$484)=0,"",IF(('Dvd Calendar'!$AG$484&gt;=GRID_FROM)*('Dvd Calendar'!$AG$484&lt;=GRID_TO)*((('Dvd Calendar'!$AG$484&lt;=VAL_DATE)+(COUNTIF('Dvd Calendar'!$E$491:$AR$491,'Dvd Calendar'!$AG$484)=0))&gt;0)=0,"",'Dvd Calendar'!$AG$484*1000000000+ISNUMBER('Dvd Calendar'!$AG$487)*100000000+('Dvd Calendar'!$AG$489=SPECIAL_LBL)*10000000+(N('Dvd Calendar'!$AG$483)&gt;0)*(N('Dvd Calendar'!$AG$483)&lt;=VAL_SERIAL)*1000000+44*1000+29))</f>
        <v/>
      </c>
      <c r="FH55" s="121">
        <f>IF(N('Dvd Calendar'!$AH$484)=0,"",IF(('Dvd Calendar'!$AH$484&gt;=GRID_FROM)*('Dvd Calendar'!$AH$484&lt;=GRID_TO)*((('Dvd Calendar'!$AH$484&lt;=VAL_DATE)+(COUNTIF('Dvd Calendar'!$E$491:$AR$491,'Dvd Calendar'!$AH$484)=0))&gt;0)=0,"",'Dvd Calendar'!$AH$484*1000000000+ISNUMBER('Dvd Calendar'!$AH$487)*100000000+('Dvd Calendar'!$AH$489=SPECIAL_LBL)*10000000+(N('Dvd Calendar'!$AH$483)&gt;0)*(N('Dvd Calendar'!$AH$483)&lt;=VAL_SERIAL)*1000000+44*1000+30))</f>
        <v/>
      </c>
      <c r="FI55" s="121">
        <f>IF(N('Dvd Calendar'!$AI$484)=0,"",IF(('Dvd Calendar'!$AI$484&gt;=GRID_FROM)*('Dvd Calendar'!$AI$484&lt;=GRID_TO)*((('Dvd Calendar'!$AI$484&lt;=VAL_DATE)+(COUNTIF('Dvd Calendar'!$E$491:$AR$491,'Dvd Calendar'!$AI$484)=0))&gt;0)=0,"",'Dvd Calendar'!$AI$484*1000000000+ISNUMBER('Dvd Calendar'!$AI$487)*100000000+('Dvd Calendar'!$AI$489=SPECIAL_LBL)*10000000+(N('Dvd Calendar'!$AI$483)&gt;0)*(N('Dvd Calendar'!$AI$483)&lt;=VAL_SERIAL)*1000000+44*1000+31))</f>
        <v/>
      </c>
      <c r="FJ55" s="121">
        <f>IF(N('Dvd Calendar'!$AJ$484)=0,"",IF(('Dvd Calendar'!$AJ$484&gt;=GRID_FROM)*('Dvd Calendar'!$AJ$484&lt;=GRID_TO)*((('Dvd Calendar'!$AJ$484&lt;=VAL_DATE)+(COUNTIF('Dvd Calendar'!$E$491:$AR$491,'Dvd Calendar'!$AJ$484)=0))&gt;0)=0,"",'Dvd Calendar'!$AJ$484*1000000000+ISNUMBER('Dvd Calendar'!$AJ$487)*100000000+('Dvd Calendar'!$AJ$489=SPECIAL_LBL)*10000000+(N('Dvd Calendar'!$AJ$483)&gt;0)*(N('Dvd Calendar'!$AJ$483)&lt;=VAL_SERIAL)*1000000+44*1000+32))</f>
        <v/>
      </c>
      <c r="FK55" s="121">
        <f>IF(N('Dvd Calendar'!$AK$484)=0,"",IF(('Dvd Calendar'!$AK$484&gt;=GRID_FROM)*('Dvd Calendar'!$AK$484&lt;=GRID_TO)*((('Dvd Calendar'!$AK$484&lt;=VAL_DATE)+(COUNTIF('Dvd Calendar'!$E$491:$AR$491,'Dvd Calendar'!$AK$484)=0))&gt;0)=0,"",'Dvd Calendar'!$AK$484*1000000000+ISNUMBER('Dvd Calendar'!$AK$487)*100000000+('Dvd Calendar'!$AK$489=SPECIAL_LBL)*10000000+(N('Dvd Calendar'!$AK$483)&gt;0)*(N('Dvd Calendar'!$AK$483)&lt;=VAL_SERIAL)*1000000+44*1000+33))</f>
        <v/>
      </c>
      <c r="FL55" s="121">
        <f>IF(N('Dvd Calendar'!$AL$484)=0,"",IF(('Dvd Calendar'!$AL$484&gt;=GRID_FROM)*('Dvd Calendar'!$AL$484&lt;=GRID_TO)*((('Dvd Calendar'!$AL$484&lt;=VAL_DATE)+(COUNTIF('Dvd Calendar'!$E$491:$AR$491,'Dvd Calendar'!$AL$484)=0))&gt;0)=0,"",'Dvd Calendar'!$AL$484*1000000000+ISNUMBER('Dvd Calendar'!$AL$487)*100000000+('Dvd Calendar'!$AL$489=SPECIAL_LBL)*10000000+(N('Dvd Calendar'!$AL$483)&gt;0)*(N('Dvd Calendar'!$AL$483)&lt;=VAL_SERIAL)*1000000+44*1000+34))</f>
        <v/>
      </c>
      <c r="FM55" s="121">
        <f>IF(N('Dvd Calendar'!$AM$484)=0,"",IF(('Dvd Calendar'!$AM$484&gt;=GRID_FROM)*('Dvd Calendar'!$AM$484&lt;=GRID_TO)*((('Dvd Calendar'!$AM$484&lt;=VAL_DATE)+(COUNTIF('Dvd Calendar'!$E$491:$AR$491,'Dvd Calendar'!$AM$484)=0))&gt;0)=0,"",'Dvd Calendar'!$AM$484*1000000000+ISNUMBER('Dvd Calendar'!$AM$487)*100000000+('Dvd Calendar'!$AM$489=SPECIAL_LBL)*10000000+(N('Dvd Calendar'!$AM$483)&gt;0)*(N('Dvd Calendar'!$AM$483)&lt;=VAL_SERIAL)*1000000+44*1000+35))</f>
        <v/>
      </c>
      <c r="FN55" s="121">
        <f>IF(N('Dvd Calendar'!$AN$484)=0,"",IF(('Dvd Calendar'!$AN$484&gt;=GRID_FROM)*('Dvd Calendar'!$AN$484&lt;=GRID_TO)*((('Dvd Calendar'!$AN$484&lt;=VAL_DATE)+(COUNTIF('Dvd Calendar'!$E$491:$AR$491,'Dvd Calendar'!$AN$484)=0))&gt;0)=0,"",'Dvd Calendar'!$AN$484*1000000000+ISNUMBER('Dvd Calendar'!$AN$487)*100000000+('Dvd Calendar'!$AN$489=SPECIAL_LBL)*10000000+(N('Dvd Calendar'!$AN$483)&gt;0)*(N('Dvd Calendar'!$AN$483)&lt;=VAL_SERIAL)*1000000+44*1000+36))</f>
        <v/>
      </c>
      <c r="FO55" s="121">
        <f>IF(N('Dvd Calendar'!$AO$484)=0,"",IF(('Dvd Calendar'!$AO$484&gt;=GRID_FROM)*('Dvd Calendar'!$AO$484&lt;=GRID_TO)*((('Dvd Calendar'!$AO$484&lt;=VAL_DATE)+(COUNTIF('Dvd Calendar'!$E$491:$AR$491,'Dvd Calendar'!$AO$484)=0))&gt;0)=0,"",'Dvd Calendar'!$AO$484*1000000000+ISNUMBER('Dvd Calendar'!$AO$487)*100000000+('Dvd Calendar'!$AO$489=SPECIAL_LBL)*10000000+(N('Dvd Calendar'!$AO$483)&gt;0)*(N('Dvd Calendar'!$AO$483)&lt;=VAL_SERIAL)*1000000+44*1000+37))</f>
        <v/>
      </c>
      <c r="FP55" s="121">
        <f>IF(N('Dvd Calendar'!$AP$484)=0,"",IF(('Dvd Calendar'!$AP$484&gt;=GRID_FROM)*('Dvd Calendar'!$AP$484&lt;=GRID_TO)*((('Dvd Calendar'!$AP$484&lt;=VAL_DATE)+(COUNTIF('Dvd Calendar'!$E$491:$AR$491,'Dvd Calendar'!$AP$484)=0))&gt;0)=0,"",'Dvd Calendar'!$AP$484*1000000000+ISNUMBER('Dvd Calendar'!$AP$487)*100000000+('Dvd Calendar'!$AP$489=SPECIAL_LBL)*10000000+(N('Dvd Calendar'!$AP$483)&gt;0)*(N('Dvd Calendar'!$AP$483)&lt;=VAL_SERIAL)*1000000+44*1000+38))</f>
        <v/>
      </c>
      <c r="FQ55" s="121">
        <f>IF(N('Dvd Calendar'!$AQ$484)=0,"",IF(('Dvd Calendar'!$AQ$484&gt;=GRID_FROM)*('Dvd Calendar'!$AQ$484&lt;=GRID_TO)*((('Dvd Calendar'!$AQ$484&lt;=VAL_DATE)+(COUNTIF('Dvd Calendar'!$E$491:$AR$491,'Dvd Calendar'!$AQ$484)=0))&gt;0)=0,"",'Dvd Calendar'!$AQ$484*1000000000+ISNUMBER('Dvd Calendar'!$AQ$487)*100000000+('Dvd Calendar'!$AQ$489=SPECIAL_LBL)*10000000+(N('Dvd Calendar'!$AQ$483)&gt;0)*(N('Dvd Calendar'!$AQ$483)&lt;=VAL_SERIAL)*1000000+44*1000+39))</f>
        <v/>
      </c>
      <c r="FR55" s="121">
        <f>IF(N('Dvd Calendar'!$AR$484)=0,"",IF(('Dvd Calendar'!$AR$484&gt;=GRID_FROM)*('Dvd Calendar'!$AR$484&lt;=GRID_TO)*((('Dvd Calendar'!$AR$484&lt;=VAL_DATE)+(COUNTIF('Dvd Calendar'!$E$491:$AR$491,'Dvd Calendar'!$AR$484)=0))&gt;0)=0,"",'Dvd Calendar'!$AR$484*1000000000+ISNUMBER('Dvd Calendar'!$AR$487)*100000000+('Dvd Calendar'!$AR$489=SPECIAL_LBL)*10000000+(N('Dvd Calendar'!$AR$483)&gt;0)*(N('Dvd Calendar'!$AR$483)&lt;=VAL_SERIAL)*1000000+44*1000+40))</f>
        <v/>
      </c>
      <c r="FS55" s="121">
        <f>IF(N('Dvd Calendar'!$E$491)=0,"",IF(('Dvd Calendar'!$E$491&gt;=GRID_FROM)*('Dvd Calendar'!$E$491&lt;=GRID_TO)*('Dvd Calendar'!$E$491&gt;VAL_DATE)=0,"",'Dvd Calendar'!$E$491*1000000000+ISNUMBER('Dvd Calendar'!$E$492)*100000000+0*10000000+(N('Dvd Calendar'!$E$490)&gt;0)*(N('Dvd Calendar'!$E$490)&lt;=VAL_SERIAL)*1000000+44*1000+41))</f>
        <v/>
      </c>
      <c r="FT55" s="121">
        <f>IF(N('Dvd Calendar'!$F$491)=0,"",IF(('Dvd Calendar'!$F$491&gt;=GRID_FROM)*('Dvd Calendar'!$F$491&lt;=GRID_TO)*('Dvd Calendar'!$F$491&gt;VAL_DATE)=0,"",'Dvd Calendar'!$F$491*1000000000+ISNUMBER('Dvd Calendar'!$F$492)*100000000+0*10000000+(N('Dvd Calendar'!$F$490)&gt;0)*(N('Dvd Calendar'!$F$490)&lt;=VAL_SERIAL)*1000000+44*1000+42))</f>
        <v/>
      </c>
      <c r="FU55" s="121">
        <f>IF(N('Dvd Calendar'!$G$491)=0,"",IF(('Dvd Calendar'!$G$491&gt;=GRID_FROM)*('Dvd Calendar'!$G$491&lt;=GRID_TO)*('Dvd Calendar'!$G$491&gt;VAL_DATE)=0,"",'Dvd Calendar'!$G$491*1000000000+ISNUMBER('Dvd Calendar'!$G$492)*100000000+0*10000000+(N('Dvd Calendar'!$G$490)&gt;0)*(N('Dvd Calendar'!$G$490)&lt;=VAL_SERIAL)*1000000+44*1000+43))</f>
        <v/>
      </c>
      <c r="FV55" s="121">
        <f>IF(N('Dvd Calendar'!$H$491)=0,"",IF(('Dvd Calendar'!$H$491&gt;=GRID_FROM)*('Dvd Calendar'!$H$491&lt;=GRID_TO)*('Dvd Calendar'!$H$491&gt;VAL_DATE)=0,"",'Dvd Calendar'!$H$491*1000000000+ISNUMBER('Dvd Calendar'!$H$492)*100000000+0*10000000+(N('Dvd Calendar'!$H$490)&gt;0)*(N('Dvd Calendar'!$H$490)&lt;=VAL_SERIAL)*1000000+44*1000+44))</f>
        <v/>
      </c>
      <c r="FW55" s="121">
        <f>IF(N('Dvd Calendar'!$I$491)=0,"",IF(('Dvd Calendar'!$I$491&gt;=GRID_FROM)*('Dvd Calendar'!$I$491&lt;=GRID_TO)*('Dvd Calendar'!$I$491&gt;VAL_DATE)=0,"",'Dvd Calendar'!$I$491*1000000000+ISNUMBER('Dvd Calendar'!$I$492)*100000000+0*10000000+(N('Dvd Calendar'!$I$490)&gt;0)*(N('Dvd Calendar'!$I$490)&lt;=VAL_SERIAL)*1000000+44*1000+45))</f>
        <v/>
      </c>
      <c r="FX55" s="121">
        <f>IF(N('Dvd Calendar'!$J$491)=0,"",IF(('Dvd Calendar'!$J$491&gt;=GRID_FROM)*('Dvd Calendar'!$J$491&lt;=GRID_TO)*('Dvd Calendar'!$J$491&gt;VAL_DATE)=0,"",'Dvd Calendar'!$J$491*1000000000+ISNUMBER('Dvd Calendar'!$J$492)*100000000+0*10000000+(N('Dvd Calendar'!$J$490)&gt;0)*(N('Dvd Calendar'!$J$490)&lt;=VAL_SERIAL)*1000000+44*1000+46))</f>
        <v/>
      </c>
      <c r="FY55" s="121">
        <f>IF(N('Dvd Calendar'!$K$491)=0,"",IF(('Dvd Calendar'!$K$491&gt;=GRID_FROM)*('Dvd Calendar'!$K$491&lt;=GRID_TO)*('Dvd Calendar'!$K$491&gt;VAL_DATE)=0,"",'Dvd Calendar'!$K$491*1000000000+ISNUMBER('Dvd Calendar'!$K$492)*100000000+0*10000000+(N('Dvd Calendar'!$K$490)&gt;0)*(N('Dvd Calendar'!$K$490)&lt;=VAL_SERIAL)*1000000+44*1000+47))</f>
        <v/>
      </c>
      <c r="FZ55" s="121">
        <f>IF(N('Dvd Calendar'!$L$491)=0,"",IF(('Dvd Calendar'!$L$491&gt;=GRID_FROM)*('Dvd Calendar'!$L$491&lt;=GRID_TO)*('Dvd Calendar'!$L$491&gt;VAL_DATE)=0,"",'Dvd Calendar'!$L$491*1000000000+ISNUMBER('Dvd Calendar'!$L$492)*100000000+0*10000000+(N('Dvd Calendar'!$L$490)&gt;0)*(N('Dvd Calendar'!$L$490)&lt;=VAL_SERIAL)*1000000+44*1000+48))</f>
        <v/>
      </c>
      <c r="GA55" s="121">
        <f>IF(N('Dvd Calendar'!$M$491)=0,"",IF(('Dvd Calendar'!$M$491&gt;=GRID_FROM)*('Dvd Calendar'!$M$491&lt;=GRID_TO)*('Dvd Calendar'!$M$491&gt;VAL_DATE)=0,"",'Dvd Calendar'!$M$491*1000000000+ISNUMBER('Dvd Calendar'!$M$492)*100000000+0*10000000+(N('Dvd Calendar'!$M$490)&gt;0)*(N('Dvd Calendar'!$M$490)&lt;=VAL_SERIAL)*1000000+44*1000+49))</f>
        <v/>
      </c>
      <c r="GB55" s="121">
        <f>IF(N('Dvd Calendar'!$N$491)=0,"",IF(('Dvd Calendar'!$N$491&gt;=GRID_FROM)*('Dvd Calendar'!$N$491&lt;=GRID_TO)*('Dvd Calendar'!$N$491&gt;VAL_DATE)=0,"",'Dvd Calendar'!$N$491*1000000000+ISNUMBER('Dvd Calendar'!$N$492)*100000000+0*10000000+(N('Dvd Calendar'!$N$490)&gt;0)*(N('Dvd Calendar'!$N$490)&lt;=VAL_SERIAL)*1000000+44*1000+50))</f>
        <v/>
      </c>
      <c r="GC55" s="121">
        <f>IF(N('Dvd Calendar'!$O$491)=0,"",IF(('Dvd Calendar'!$O$491&gt;=GRID_FROM)*('Dvd Calendar'!$O$491&lt;=GRID_TO)*('Dvd Calendar'!$O$491&gt;VAL_DATE)=0,"",'Dvd Calendar'!$O$491*1000000000+ISNUMBER('Dvd Calendar'!$O$492)*100000000+0*10000000+(N('Dvd Calendar'!$O$490)&gt;0)*(N('Dvd Calendar'!$O$490)&lt;=VAL_SERIAL)*1000000+44*1000+51))</f>
        <v/>
      </c>
      <c r="GD55" s="121">
        <f>IF(N('Dvd Calendar'!$P$491)=0,"",IF(('Dvd Calendar'!$P$491&gt;=GRID_FROM)*('Dvd Calendar'!$P$491&lt;=GRID_TO)*('Dvd Calendar'!$P$491&gt;VAL_DATE)=0,"",'Dvd Calendar'!$P$491*1000000000+ISNUMBER('Dvd Calendar'!$P$492)*100000000+0*10000000+(N('Dvd Calendar'!$P$490)&gt;0)*(N('Dvd Calendar'!$P$490)&lt;=VAL_SERIAL)*1000000+44*1000+52))</f>
        <v/>
      </c>
      <c r="GE55" s="121">
        <f>IF(N('Dvd Calendar'!$Q$491)=0,"",IF(('Dvd Calendar'!$Q$491&gt;=GRID_FROM)*('Dvd Calendar'!$Q$491&lt;=GRID_TO)*('Dvd Calendar'!$Q$491&gt;VAL_DATE)=0,"",'Dvd Calendar'!$Q$491*1000000000+ISNUMBER('Dvd Calendar'!$Q$492)*100000000+0*10000000+(N('Dvd Calendar'!$Q$490)&gt;0)*(N('Dvd Calendar'!$Q$490)&lt;=VAL_SERIAL)*1000000+44*1000+53))</f>
        <v/>
      </c>
      <c r="GF55" s="121">
        <f>IF(N('Dvd Calendar'!$R$491)=0,"",IF(('Dvd Calendar'!$R$491&gt;=GRID_FROM)*('Dvd Calendar'!$R$491&lt;=GRID_TO)*('Dvd Calendar'!$R$491&gt;VAL_DATE)=0,"",'Dvd Calendar'!$R$491*1000000000+ISNUMBER('Dvd Calendar'!$R$492)*100000000+0*10000000+(N('Dvd Calendar'!$R$490)&gt;0)*(N('Dvd Calendar'!$R$490)&lt;=VAL_SERIAL)*1000000+44*1000+54))</f>
        <v/>
      </c>
      <c r="GG55" s="121">
        <f>IF(N('Dvd Calendar'!$S$491)=0,"",IF(('Dvd Calendar'!$S$491&gt;=GRID_FROM)*('Dvd Calendar'!$S$491&lt;=GRID_TO)*('Dvd Calendar'!$S$491&gt;VAL_DATE)=0,"",'Dvd Calendar'!$S$491*1000000000+ISNUMBER('Dvd Calendar'!$S$492)*100000000+0*10000000+(N('Dvd Calendar'!$S$490)&gt;0)*(N('Dvd Calendar'!$S$490)&lt;=VAL_SERIAL)*1000000+44*1000+55))</f>
        <v/>
      </c>
      <c r="GH55" s="121">
        <f>IF(N('Dvd Calendar'!$T$491)=0,"",IF(('Dvd Calendar'!$T$491&gt;=GRID_FROM)*('Dvd Calendar'!$T$491&lt;=GRID_TO)*('Dvd Calendar'!$T$491&gt;VAL_DATE)=0,"",'Dvd Calendar'!$T$491*1000000000+ISNUMBER('Dvd Calendar'!$T$492)*100000000+0*10000000+(N('Dvd Calendar'!$T$490)&gt;0)*(N('Dvd Calendar'!$T$490)&lt;=VAL_SERIAL)*1000000+44*1000+56))</f>
        <v/>
      </c>
      <c r="GI55" s="121">
        <f>IF(N('Dvd Calendar'!$U$491)=0,"",IF(('Dvd Calendar'!$U$491&gt;=GRID_FROM)*('Dvd Calendar'!$U$491&lt;=GRID_TO)*('Dvd Calendar'!$U$491&gt;VAL_DATE)=0,"",'Dvd Calendar'!$U$491*1000000000+ISNUMBER('Dvd Calendar'!$U$492)*100000000+0*10000000+(N('Dvd Calendar'!$U$490)&gt;0)*(N('Dvd Calendar'!$U$490)&lt;=VAL_SERIAL)*1000000+44*1000+57))</f>
        <v/>
      </c>
      <c r="GJ55" s="121">
        <f>IF(N('Dvd Calendar'!$V$491)=0,"",IF(('Dvd Calendar'!$V$491&gt;=GRID_FROM)*('Dvd Calendar'!$V$491&lt;=GRID_TO)*('Dvd Calendar'!$V$491&gt;VAL_DATE)=0,"",'Dvd Calendar'!$V$491*1000000000+ISNUMBER('Dvd Calendar'!$V$492)*100000000+0*10000000+(N('Dvd Calendar'!$V$490)&gt;0)*(N('Dvd Calendar'!$V$490)&lt;=VAL_SERIAL)*1000000+44*1000+58))</f>
        <v/>
      </c>
      <c r="GK55" s="121">
        <f>IF(N('Dvd Calendar'!$W$491)=0,"",IF(('Dvd Calendar'!$W$491&gt;=GRID_FROM)*('Dvd Calendar'!$W$491&lt;=GRID_TO)*('Dvd Calendar'!$W$491&gt;VAL_DATE)=0,"",'Dvd Calendar'!$W$491*1000000000+ISNUMBER('Dvd Calendar'!$W$492)*100000000+0*10000000+(N('Dvd Calendar'!$W$490)&gt;0)*(N('Dvd Calendar'!$W$490)&lt;=VAL_SERIAL)*1000000+44*1000+59))</f>
        <v/>
      </c>
      <c r="GL55" s="121">
        <f>IF(N('Dvd Calendar'!$X$491)=0,"",IF(('Dvd Calendar'!$X$491&gt;=GRID_FROM)*('Dvd Calendar'!$X$491&lt;=GRID_TO)*('Dvd Calendar'!$X$491&gt;VAL_DATE)=0,"",'Dvd Calendar'!$X$491*1000000000+ISNUMBER('Dvd Calendar'!$X$492)*100000000+0*10000000+(N('Dvd Calendar'!$X$490)&gt;0)*(N('Dvd Calendar'!$X$490)&lt;=VAL_SERIAL)*1000000+44*1000+60))</f>
        <v/>
      </c>
      <c r="GM55" s="121">
        <f>IF(N('Dvd Calendar'!$Y$491)=0,"",IF(('Dvd Calendar'!$Y$491&gt;=GRID_FROM)*('Dvd Calendar'!$Y$491&lt;=GRID_TO)*('Dvd Calendar'!$Y$491&gt;VAL_DATE)=0,"",'Dvd Calendar'!$Y$491*1000000000+ISNUMBER('Dvd Calendar'!$Y$492)*100000000+0*10000000+(N('Dvd Calendar'!$Y$490)&gt;0)*(N('Dvd Calendar'!$Y$490)&lt;=VAL_SERIAL)*1000000+44*1000+61))</f>
        <v/>
      </c>
      <c r="GN55" s="121">
        <f>IF(N('Dvd Calendar'!$Z$491)=0,"",IF(('Dvd Calendar'!$Z$491&gt;=GRID_FROM)*('Dvd Calendar'!$Z$491&lt;=GRID_TO)*('Dvd Calendar'!$Z$491&gt;VAL_DATE)=0,"",'Dvd Calendar'!$Z$491*1000000000+ISNUMBER('Dvd Calendar'!$Z$492)*100000000+0*10000000+(N('Dvd Calendar'!$Z$490)&gt;0)*(N('Dvd Calendar'!$Z$490)&lt;=VAL_SERIAL)*1000000+44*1000+62))</f>
        <v/>
      </c>
      <c r="GO55" s="121">
        <f>IF(N('Dvd Calendar'!$AA$491)=0,"",IF(('Dvd Calendar'!$AA$491&gt;=GRID_FROM)*('Dvd Calendar'!$AA$491&lt;=GRID_TO)*('Dvd Calendar'!$AA$491&gt;VAL_DATE)=0,"",'Dvd Calendar'!$AA$491*1000000000+ISNUMBER('Dvd Calendar'!$AA$492)*100000000+0*10000000+(N('Dvd Calendar'!$AA$490)&gt;0)*(N('Dvd Calendar'!$AA$490)&lt;=VAL_SERIAL)*1000000+44*1000+63))</f>
        <v/>
      </c>
      <c r="GP55" s="121">
        <f>IF(N('Dvd Calendar'!$AB$491)=0,"",IF(('Dvd Calendar'!$AB$491&gt;=GRID_FROM)*('Dvd Calendar'!$AB$491&lt;=GRID_TO)*('Dvd Calendar'!$AB$491&gt;VAL_DATE)=0,"",'Dvd Calendar'!$AB$491*1000000000+ISNUMBER('Dvd Calendar'!$AB$492)*100000000+0*10000000+(N('Dvd Calendar'!$AB$490)&gt;0)*(N('Dvd Calendar'!$AB$490)&lt;=VAL_SERIAL)*1000000+44*1000+64))</f>
        <v/>
      </c>
      <c r="GQ55" s="121">
        <f>IF(N('Dvd Calendar'!$AC$491)=0,"",IF(('Dvd Calendar'!$AC$491&gt;=GRID_FROM)*('Dvd Calendar'!$AC$491&lt;=GRID_TO)*('Dvd Calendar'!$AC$491&gt;VAL_DATE)=0,"",'Dvd Calendar'!$AC$491*1000000000+ISNUMBER('Dvd Calendar'!$AC$492)*100000000+0*10000000+(N('Dvd Calendar'!$AC$490)&gt;0)*(N('Dvd Calendar'!$AC$490)&lt;=VAL_SERIAL)*1000000+44*1000+65))</f>
        <v/>
      </c>
    </row>
    <row r="56">
      <c r="B56" s="2">
        <f>IF(HSI!$C$51="","",HSI!$C$51)</f>
        <v/>
      </c>
      <c r="C56" s="161">
        <f>IF(EE56="","",IF(ISNUMBER('Dvd Calendar'!$E$498)=FALSE,"",IF((('Dvd Calendar'!$E$500=TYPE1)*(TYPE1&lt;&gt;"")+('Dvd Calendar'!$E$500=TYPE2)*(TYPE2&lt;&gt;"")+('Dvd Calendar'!$E$500=TYPE3)*(TYPE3&lt;&gt;"")+('Dvd Calendar'!$E$500=TYPE4)*(TYPE4&lt;&gt;"")+('Dvd Calendar'!$E$500=SPECIAL_LBL)*(INC_SPECIALS="Y"))=0,"",'Dvd Calendar'!$E$498)))</f>
        <v/>
      </c>
      <c r="D56" s="161">
        <f>IF(EF56="","",IF(ISNUMBER('Dvd Calendar'!$F$498)=FALSE,"",IF((('Dvd Calendar'!$F$500=TYPE1)*(TYPE1&lt;&gt;"")+('Dvd Calendar'!$F$500=TYPE2)*(TYPE2&lt;&gt;"")+('Dvd Calendar'!$F$500=TYPE3)*(TYPE3&lt;&gt;"")+('Dvd Calendar'!$F$500=TYPE4)*(TYPE4&lt;&gt;"")+('Dvd Calendar'!$F$500=SPECIAL_LBL)*(INC_SPECIALS="Y"))=0,"",'Dvd Calendar'!$F$498)))</f>
        <v/>
      </c>
      <c r="E56" s="161">
        <f>IF(EG56="","",IF(ISNUMBER('Dvd Calendar'!$G$498)=FALSE,"",IF((('Dvd Calendar'!$G$500=TYPE1)*(TYPE1&lt;&gt;"")+('Dvd Calendar'!$G$500=TYPE2)*(TYPE2&lt;&gt;"")+('Dvd Calendar'!$G$500=TYPE3)*(TYPE3&lt;&gt;"")+('Dvd Calendar'!$G$500=TYPE4)*(TYPE4&lt;&gt;"")+('Dvd Calendar'!$G$500=SPECIAL_LBL)*(INC_SPECIALS="Y"))=0,"",'Dvd Calendar'!$G$498)))</f>
        <v/>
      </c>
      <c r="F56" s="161">
        <f>IF(EH56="","",IF(ISNUMBER('Dvd Calendar'!$H$498)=FALSE,"",IF((('Dvd Calendar'!$H$500=TYPE1)*(TYPE1&lt;&gt;"")+('Dvd Calendar'!$H$500=TYPE2)*(TYPE2&lt;&gt;"")+('Dvd Calendar'!$H$500=TYPE3)*(TYPE3&lt;&gt;"")+('Dvd Calendar'!$H$500=TYPE4)*(TYPE4&lt;&gt;"")+('Dvd Calendar'!$H$500=SPECIAL_LBL)*(INC_SPECIALS="Y"))=0,"",'Dvd Calendar'!$H$498)))</f>
        <v/>
      </c>
      <c r="G56" s="161">
        <f>IF(EI56="","",IF(ISNUMBER('Dvd Calendar'!$I$498)=FALSE,"",IF((('Dvd Calendar'!$I$500=TYPE1)*(TYPE1&lt;&gt;"")+('Dvd Calendar'!$I$500=TYPE2)*(TYPE2&lt;&gt;"")+('Dvd Calendar'!$I$500=TYPE3)*(TYPE3&lt;&gt;"")+('Dvd Calendar'!$I$500=TYPE4)*(TYPE4&lt;&gt;"")+('Dvd Calendar'!$I$500=SPECIAL_LBL)*(INC_SPECIALS="Y"))=0,"",'Dvd Calendar'!$I$498)))</f>
        <v/>
      </c>
      <c r="H56" s="161">
        <f>IF(EJ56="","",IF(ISNUMBER('Dvd Calendar'!$J$498)=FALSE,"",IF((('Dvd Calendar'!$J$500=TYPE1)*(TYPE1&lt;&gt;"")+('Dvd Calendar'!$J$500=TYPE2)*(TYPE2&lt;&gt;"")+('Dvd Calendar'!$J$500=TYPE3)*(TYPE3&lt;&gt;"")+('Dvd Calendar'!$J$500=TYPE4)*(TYPE4&lt;&gt;"")+('Dvd Calendar'!$J$500=SPECIAL_LBL)*(INC_SPECIALS="Y"))=0,"",'Dvd Calendar'!$J$498)))</f>
        <v/>
      </c>
      <c r="I56" s="161">
        <f>IF(EK56="","",IF(ISNUMBER('Dvd Calendar'!$K$498)=FALSE,"",IF((('Dvd Calendar'!$K$500=TYPE1)*(TYPE1&lt;&gt;"")+('Dvd Calendar'!$K$500=TYPE2)*(TYPE2&lt;&gt;"")+('Dvd Calendar'!$K$500=TYPE3)*(TYPE3&lt;&gt;"")+('Dvd Calendar'!$K$500=TYPE4)*(TYPE4&lt;&gt;"")+('Dvd Calendar'!$K$500=SPECIAL_LBL)*(INC_SPECIALS="Y"))=0,"",'Dvd Calendar'!$K$498)))</f>
        <v/>
      </c>
      <c r="J56" s="161">
        <f>IF(EL56="","",IF(ISNUMBER('Dvd Calendar'!$L$498)=FALSE,"",IF((('Dvd Calendar'!$L$500=TYPE1)*(TYPE1&lt;&gt;"")+('Dvd Calendar'!$L$500=TYPE2)*(TYPE2&lt;&gt;"")+('Dvd Calendar'!$L$500=TYPE3)*(TYPE3&lt;&gt;"")+('Dvd Calendar'!$L$500=TYPE4)*(TYPE4&lt;&gt;"")+('Dvd Calendar'!$L$500=SPECIAL_LBL)*(INC_SPECIALS="Y"))=0,"",'Dvd Calendar'!$L$498)))</f>
        <v/>
      </c>
      <c r="K56" s="161">
        <f>IF(EM56="","",IF(ISNUMBER('Dvd Calendar'!$M$498)=FALSE,"",IF((('Dvd Calendar'!$M$500=TYPE1)*(TYPE1&lt;&gt;"")+('Dvd Calendar'!$M$500=TYPE2)*(TYPE2&lt;&gt;"")+('Dvd Calendar'!$M$500=TYPE3)*(TYPE3&lt;&gt;"")+('Dvd Calendar'!$M$500=TYPE4)*(TYPE4&lt;&gt;"")+('Dvd Calendar'!$M$500=SPECIAL_LBL)*(INC_SPECIALS="Y"))=0,"",'Dvd Calendar'!$M$498)))</f>
        <v/>
      </c>
      <c r="L56" s="161">
        <f>IF(EN56="","",IF(ISNUMBER('Dvd Calendar'!$N$498)=FALSE,"",IF((('Dvd Calendar'!$N$500=TYPE1)*(TYPE1&lt;&gt;"")+('Dvd Calendar'!$N$500=TYPE2)*(TYPE2&lt;&gt;"")+('Dvd Calendar'!$N$500=TYPE3)*(TYPE3&lt;&gt;"")+('Dvd Calendar'!$N$500=TYPE4)*(TYPE4&lt;&gt;"")+('Dvd Calendar'!$N$500=SPECIAL_LBL)*(INC_SPECIALS="Y"))=0,"",'Dvd Calendar'!$N$498)))</f>
        <v/>
      </c>
      <c r="M56" s="161">
        <f>IF(EO56="","",IF(ISNUMBER('Dvd Calendar'!$O$498)=FALSE,"",IF((('Dvd Calendar'!$O$500=TYPE1)*(TYPE1&lt;&gt;"")+('Dvd Calendar'!$O$500=TYPE2)*(TYPE2&lt;&gt;"")+('Dvd Calendar'!$O$500=TYPE3)*(TYPE3&lt;&gt;"")+('Dvd Calendar'!$O$500=TYPE4)*(TYPE4&lt;&gt;"")+('Dvd Calendar'!$O$500=SPECIAL_LBL)*(INC_SPECIALS="Y"))=0,"",'Dvd Calendar'!$O$498)))</f>
        <v/>
      </c>
      <c r="N56" s="161">
        <f>IF(EP56="","",IF(ISNUMBER('Dvd Calendar'!$P$498)=FALSE,"",IF((('Dvd Calendar'!$P$500=TYPE1)*(TYPE1&lt;&gt;"")+('Dvd Calendar'!$P$500=TYPE2)*(TYPE2&lt;&gt;"")+('Dvd Calendar'!$P$500=TYPE3)*(TYPE3&lt;&gt;"")+('Dvd Calendar'!$P$500=TYPE4)*(TYPE4&lt;&gt;"")+('Dvd Calendar'!$P$500=SPECIAL_LBL)*(INC_SPECIALS="Y"))=0,"",'Dvd Calendar'!$P$498)))</f>
        <v/>
      </c>
      <c r="O56" s="161">
        <f>IF(EQ56="","",IF(ISNUMBER('Dvd Calendar'!$Q$498)=FALSE,"",IF((('Dvd Calendar'!$Q$500=TYPE1)*(TYPE1&lt;&gt;"")+('Dvd Calendar'!$Q$500=TYPE2)*(TYPE2&lt;&gt;"")+('Dvd Calendar'!$Q$500=TYPE3)*(TYPE3&lt;&gt;"")+('Dvd Calendar'!$Q$500=TYPE4)*(TYPE4&lt;&gt;"")+('Dvd Calendar'!$Q$500=SPECIAL_LBL)*(INC_SPECIALS="Y"))=0,"",'Dvd Calendar'!$Q$498)))</f>
        <v/>
      </c>
      <c r="P56" s="161">
        <f>IF(ER56="","",IF(ISNUMBER('Dvd Calendar'!$R$498)=FALSE,"",IF((('Dvd Calendar'!$R$500=TYPE1)*(TYPE1&lt;&gt;"")+('Dvd Calendar'!$R$500=TYPE2)*(TYPE2&lt;&gt;"")+('Dvd Calendar'!$R$500=TYPE3)*(TYPE3&lt;&gt;"")+('Dvd Calendar'!$R$500=TYPE4)*(TYPE4&lt;&gt;"")+('Dvd Calendar'!$R$500=SPECIAL_LBL)*(INC_SPECIALS="Y"))=0,"",'Dvd Calendar'!$R$498)))</f>
        <v/>
      </c>
      <c r="Q56" s="161">
        <f>IF(ES56="","",IF(ISNUMBER('Dvd Calendar'!$S$498)=FALSE,"",IF((('Dvd Calendar'!$S$500=TYPE1)*(TYPE1&lt;&gt;"")+('Dvd Calendar'!$S$500=TYPE2)*(TYPE2&lt;&gt;"")+('Dvd Calendar'!$S$500=TYPE3)*(TYPE3&lt;&gt;"")+('Dvd Calendar'!$S$500=TYPE4)*(TYPE4&lt;&gt;"")+('Dvd Calendar'!$S$500=SPECIAL_LBL)*(INC_SPECIALS="Y"))=0,"",'Dvd Calendar'!$S$498)))</f>
        <v/>
      </c>
      <c r="R56" s="161">
        <f>IF(ET56="","",IF(ISNUMBER('Dvd Calendar'!$T$498)=FALSE,"",IF((('Dvd Calendar'!$T$500=TYPE1)*(TYPE1&lt;&gt;"")+('Dvd Calendar'!$T$500=TYPE2)*(TYPE2&lt;&gt;"")+('Dvd Calendar'!$T$500=TYPE3)*(TYPE3&lt;&gt;"")+('Dvd Calendar'!$T$500=TYPE4)*(TYPE4&lt;&gt;"")+('Dvd Calendar'!$T$500=SPECIAL_LBL)*(INC_SPECIALS="Y"))=0,"",'Dvd Calendar'!$T$498)))</f>
        <v/>
      </c>
      <c r="S56" s="161">
        <f>IF(EU56="","",IF(ISNUMBER('Dvd Calendar'!$U$498)=FALSE,"",IF((('Dvd Calendar'!$U$500=TYPE1)*(TYPE1&lt;&gt;"")+('Dvd Calendar'!$U$500=TYPE2)*(TYPE2&lt;&gt;"")+('Dvd Calendar'!$U$500=TYPE3)*(TYPE3&lt;&gt;"")+('Dvd Calendar'!$U$500=TYPE4)*(TYPE4&lt;&gt;"")+('Dvd Calendar'!$U$500=SPECIAL_LBL)*(INC_SPECIALS="Y"))=0,"",'Dvd Calendar'!$U$498)))</f>
        <v/>
      </c>
      <c r="T56" s="161">
        <f>IF(EV56="","",IF(ISNUMBER('Dvd Calendar'!$V$498)=FALSE,"",IF((('Dvd Calendar'!$V$500=TYPE1)*(TYPE1&lt;&gt;"")+('Dvd Calendar'!$V$500=TYPE2)*(TYPE2&lt;&gt;"")+('Dvd Calendar'!$V$500=TYPE3)*(TYPE3&lt;&gt;"")+('Dvd Calendar'!$V$500=TYPE4)*(TYPE4&lt;&gt;"")+('Dvd Calendar'!$V$500=SPECIAL_LBL)*(INC_SPECIALS="Y"))=0,"",'Dvd Calendar'!$V$498)))</f>
        <v/>
      </c>
      <c r="U56" s="161">
        <f>IF(EW56="","",IF(ISNUMBER('Dvd Calendar'!$W$498)=FALSE,"",IF((('Dvd Calendar'!$W$500=TYPE1)*(TYPE1&lt;&gt;"")+('Dvd Calendar'!$W$500=TYPE2)*(TYPE2&lt;&gt;"")+('Dvd Calendar'!$W$500=TYPE3)*(TYPE3&lt;&gt;"")+('Dvd Calendar'!$W$500=TYPE4)*(TYPE4&lt;&gt;"")+('Dvd Calendar'!$W$500=SPECIAL_LBL)*(INC_SPECIALS="Y"))=0,"",'Dvd Calendar'!$W$498)))</f>
        <v/>
      </c>
      <c r="V56" s="161">
        <f>IF(EX56="","",IF(ISNUMBER('Dvd Calendar'!$X$498)=FALSE,"",IF((('Dvd Calendar'!$X$500=TYPE1)*(TYPE1&lt;&gt;"")+('Dvd Calendar'!$X$500=TYPE2)*(TYPE2&lt;&gt;"")+('Dvd Calendar'!$X$500=TYPE3)*(TYPE3&lt;&gt;"")+('Dvd Calendar'!$X$500=TYPE4)*(TYPE4&lt;&gt;"")+('Dvd Calendar'!$X$500=SPECIAL_LBL)*(INC_SPECIALS="Y"))=0,"",'Dvd Calendar'!$X$498)))</f>
        <v/>
      </c>
      <c r="W56" s="161">
        <f>IF(EY56="","",IF(ISNUMBER('Dvd Calendar'!$Y$498)=FALSE,"",IF((('Dvd Calendar'!$Y$500=TYPE1)*(TYPE1&lt;&gt;"")+('Dvd Calendar'!$Y$500=TYPE2)*(TYPE2&lt;&gt;"")+('Dvd Calendar'!$Y$500=TYPE3)*(TYPE3&lt;&gt;"")+('Dvd Calendar'!$Y$500=TYPE4)*(TYPE4&lt;&gt;"")+('Dvd Calendar'!$Y$500=SPECIAL_LBL)*(INC_SPECIALS="Y"))=0,"",'Dvd Calendar'!$Y$498)))</f>
        <v/>
      </c>
      <c r="X56" s="161">
        <f>IF(EZ56="","",IF(ISNUMBER('Dvd Calendar'!$Z$498)=FALSE,"",IF((('Dvd Calendar'!$Z$500=TYPE1)*(TYPE1&lt;&gt;"")+('Dvd Calendar'!$Z$500=TYPE2)*(TYPE2&lt;&gt;"")+('Dvd Calendar'!$Z$500=TYPE3)*(TYPE3&lt;&gt;"")+('Dvd Calendar'!$Z$500=TYPE4)*(TYPE4&lt;&gt;"")+('Dvd Calendar'!$Z$500=SPECIAL_LBL)*(INC_SPECIALS="Y"))=0,"",'Dvd Calendar'!$Z$498)))</f>
        <v/>
      </c>
      <c r="Y56" s="161">
        <f>IF(FA56="","",IF(ISNUMBER('Dvd Calendar'!$AA$498)=FALSE,"",IF((('Dvd Calendar'!$AA$500=TYPE1)*(TYPE1&lt;&gt;"")+('Dvd Calendar'!$AA$500=TYPE2)*(TYPE2&lt;&gt;"")+('Dvd Calendar'!$AA$500=TYPE3)*(TYPE3&lt;&gt;"")+('Dvd Calendar'!$AA$500=TYPE4)*(TYPE4&lt;&gt;"")+('Dvd Calendar'!$AA$500=SPECIAL_LBL)*(INC_SPECIALS="Y"))=0,"",'Dvd Calendar'!$AA$498)))</f>
        <v/>
      </c>
      <c r="Z56" s="161">
        <f>IF(FB56="","",IF(ISNUMBER('Dvd Calendar'!$AB$498)=FALSE,"",IF((('Dvd Calendar'!$AB$500=TYPE1)*(TYPE1&lt;&gt;"")+('Dvd Calendar'!$AB$500=TYPE2)*(TYPE2&lt;&gt;"")+('Dvd Calendar'!$AB$500=TYPE3)*(TYPE3&lt;&gt;"")+('Dvd Calendar'!$AB$500=TYPE4)*(TYPE4&lt;&gt;"")+('Dvd Calendar'!$AB$500=SPECIAL_LBL)*(INC_SPECIALS="Y"))=0,"",'Dvd Calendar'!$AB$498)))</f>
        <v/>
      </c>
      <c r="AA56" s="161">
        <f>IF(FC56="","",IF(ISNUMBER('Dvd Calendar'!$AC$498)=FALSE,"",IF((('Dvd Calendar'!$AC$500=TYPE1)*(TYPE1&lt;&gt;"")+('Dvd Calendar'!$AC$500=TYPE2)*(TYPE2&lt;&gt;"")+('Dvd Calendar'!$AC$500=TYPE3)*(TYPE3&lt;&gt;"")+('Dvd Calendar'!$AC$500=TYPE4)*(TYPE4&lt;&gt;"")+('Dvd Calendar'!$AC$500=SPECIAL_LBL)*(INC_SPECIALS="Y"))=0,"",'Dvd Calendar'!$AC$498)))</f>
        <v/>
      </c>
      <c r="AB56" s="161">
        <f>IF(FD56="","",IF(ISNUMBER('Dvd Calendar'!$AD$498)=FALSE,"",IF((('Dvd Calendar'!$AD$500=TYPE1)*(TYPE1&lt;&gt;"")+('Dvd Calendar'!$AD$500=TYPE2)*(TYPE2&lt;&gt;"")+('Dvd Calendar'!$AD$500=TYPE3)*(TYPE3&lt;&gt;"")+('Dvd Calendar'!$AD$500=TYPE4)*(TYPE4&lt;&gt;"")+('Dvd Calendar'!$AD$500=SPECIAL_LBL)*(INC_SPECIALS="Y"))=0,"",'Dvd Calendar'!$AD$498)))</f>
        <v/>
      </c>
      <c r="AC56" s="161">
        <f>IF(FE56="","",IF(ISNUMBER('Dvd Calendar'!$AE$498)=FALSE,"",IF((('Dvd Calendar'!$AE$500=TYPE1)*(TYPE1&lt;&gt;"")+('Dvd Calendar'!$AE$500=TYPE2)*(TYPE2&lt;&gt;"")+('Dvd Calendar'!$AE$500=TYPE3)*(TYPE3&lt;&gt;"")+('Dvd Calendar'!$AE$500=TYPE4)*(TYPE4&lt;&gt;"")+('Dvd Calendar'!$AE$500=SPECIAL_LBL)*(INC_SPECIALS="Y"))=0,"",'Dvd Calendar'!$AE$498)))</f>
        <v/>
      </c>
      <c r="AD56" s="161">
        <f>IF(FF56="","",IF(ISNUMBER('Dvd Calendar'!$AF$498)=FALSE,"",IF((('Dvd Calendar'!$AF$500=TYPE1)*(TYPE1&lt;&gt;"")+('Dvd Calendar'!$AF$500=TYPE2)*(TYPE2&lt;&gt;"")+('Dvd Calendar'!$AF$500=TYPE3)*(TYPE3&lt;&gt;"")+('Dvd Calendar'!$AF$500=TYPE4)*(TYPE4&lt;&gt;"")+('Dvd Calendar'!$AF$500=SPECIAL_LBL)*(INC_SPECIALS="Y"))=0,"",'Dvd Calendar'!$AF$498)))</f>
        <v/>
      </c>
      <c r="AE56" s="161">
        <f>IF(FG56="","",IF(ISNUMBER('Dvd Calendar'!$AG$498)=FALSE,"",IF((('Dvd Calendar'!$AG$500=TYPE1)*(TYPE1&lt;&gt;"")+('Dvd Calendar'!$AG$500=TYPE2)*(TYPE2&lt;&gt;"")+('Dvd Calendar'!$AG$500=TYPE3)*(TYPE3&lt;&gt;"")+('Dvd Calendar'!$AG$500=TYPE4)*(TYPE4&lt;&gt;"")+('Dvd Calendar'!$AG$500=SPECIAL_LBL)*(INC_SPECIALS="Y"))=0,"",'Dvd Calendar'!$AG$498)))</f>
        <v/>
      </c>
      <c r="AF56" s="161">
        <f>IF(FH56="","",IF(ISNUMBER('Dvd Calendar'!$AH$498)=FALSE,"",IF((('Dvd Calendar'!$AH$500=TYPE1)*(TYPE1&lt;&gt;"")+('Dvd Calendar'!$AH$500=TYPE2)*(TYPE2&lt;&gt;"")+('Dvd Calendar'!$AH$500=TYPE3)*(TYPE3&lt;&gt;"")+('Dvd Calendar'!$AH$500=TYPE4)*(TYPE4&lt;&gt;"")+('Dvd Calendar'!$AH$500=SPECIAL_LBL)*(INC_SPECIALS="Y"))=0,"",'Dvd Calendar'!$AH$498)))</f>
        <v/>
      </c>
      <c r="AG56" s="161">
        <f>IF(FI56="","",IF(ISNUMBER('Dvd Calendar'!$AI$498)=FALSE,"",IF((('Dvd Calendar'!$AI$500=TYPE1)*(TYPE1&lt;&gt;"")+('Dvd Calendar'!$AI$500=TYPE2)*(TYPE2&lt;&gt;"")+('Dvd Calendar'!$AI$500=TYPE3)*(TYPE3&lt;&gt;"")+('Dvd Calendar'!$AI$500=TYPE4)*(TYPE4&lt;&gt;"")+('Dvd Calendar'!$AI$500=SPECIAL_LBL)*(INC_SPECIALS="Y"))=0,"",'Dvd Calendar'!$AI$498)))</f>
        <v/>
      </c>
      <c r="AH56" s="161">
        <f>IF(FJ56="","",IF(ISNUMBER('Dvd Calendar'!$AJ$498)=FALSE,"",IF((('Dvd Calendar'!$AJ$500=TYPE1)*(TYPE1&lt;&gt;"")+('Dvd Calendar'!$AJ$500=TYPE2)*(TYPE2&lt;&gt;"")+('Dvd Calendar'!$AJ$500=TYPE3)*(TYPE3&lt;&gt;"")+('Dvd Calendar'!$AJ$500=TYPE4)*(TYPE4&lt;&gt;"")+('Dvd Calendar'!$AJ$500=SPECIAL_LBL)*(INC_SPECIALS="Y"))=0,"",'Dvd Calendar'!$AJ$498)))</f>
        <v/>
      </c>
      <c r="AI56" s="161">
        <f>IF(FK56="","",IF(ISNUMBER('Dvd Calendar'!$AK$498)=FALSE,"",IF((('Dvd Calendar'!$AK$500=TYPE1)*(TYPE1&lt;&gt;"")+('Dvd Calendar'!$AK$500=TYPE2)*(TYPE2&lt;&gt;"")+('Dvd Calendar'!$AK$500=TYPE3)*(TYPE3&lt;&gt;"")+('Dvd Calendar'!$AK$500=TYPE4)*(TYPE4&lt;&gt;"")+('Dvd Calendar'!$AK$500=SPECIAL_LBL)*(INC_SPECIALS="Y"))=0,"",'Dvd Calendar'!$AK$498)))</f>
        <v/>
      </c>
      <c r="AJ56" s="161">
        <f>IF(FL56="","",IF(ISNUMBER('Dvd Calendar'!$AL$498)=FALSE,"",IF((('Dvd Calendar'!$AL$500=TYPE1)*(TYPE1&lt;&gt;"")+('Dvd Calendar'!$AL$500=TYPE2)*(TYPE2&lt;&gt;"")+('Dvd Calendar'!$AL$500=TYPE3)*(TYPE3&lt;&gt;"")+('Dvd Calendar'!$AL$500=TYPE4)*(TYPE4&lt;&gt;"")+('Dvd Calendar'!$AL$500=SPECIAL_LBL)*(INC_SPECIALS="Y"))=0,"",'Dvd Calendar'!$AL$498)))</f>
        <v/>
      </c>
      <c r="AK56" s="161">
        <f>IF(FM56="","",IF(ISNUMBER('Dvd Calendar'!$AM$498)=FALSE,"",IF((('Dvd Calendar'!$AM$500=TYPE1)*(TYPE1&lt;&gt;"")+('Dvd Calendar'!$AM$500=TYPE2)*(TYPE2&lt;&gt;"")+('Dvd Calendar'!$AM$500=TYPE3)*(TYPE3&lt;&gt;"")+('Dvd Calendar'!$AM$500=TYPE4)*(TYPE4&lt;&gt;"")+('Dvd Calendar'!$AM$500=SPECIAL_LBL)*(INC_SPECIALS="Y"))=0,"",'Dvd Calendar'!$AM$498)))</f>
        <v/>
      </c>
      <c r="AL56" s="161">
        <f>IF(FN56="","",IF(ISNUMBER('Dvd Calendar'!$AN$498)=FALSE,"",IF((('Dvd Calendar'!$AN$500=TYPE1)*(TYPE1&lt;&gt;"")+('Dvd Calendar'!$AN$500=TYPE2)*(TYPE2&lt;&gt;"")+('Dvd Calendar'!$AN$500=TYPE3)*(TYPE3&lt;&gt;"")+('Dvd Calendar'!$AN$500=TYPE4)*(TYPE4&lt;&gt;"")+('Dvd Calendar'!$AN$500=SPECIAL_LBL)*(INC_SPECIALS="Y"))=0,"",'Dvd Calendar'!$AN$498)))</f>
        <v/>
      </c>
      <c r="AM56" s="161">
        <f>IF(FO56="","",IF(ISNUMBER('Dvd Calendar'!$AO$498)=FALSE,"",IF((('Dvd Calendar'!$AO$500=TYPE1)*(TYPE1&lt;&gt;"")+('Dvd Calendar'!$AO$500=TYPE2)*(TYPE2&lt;&gt;"")+('Dvd Calendar'!$AO$500=TYPE3)*(TYPE3&lt;&gt;"")+('Dvd Calendar'!$AO$500=TYPE4)*(TYPE4&lt;&gt;"")+('Dvd Calendar'!$AO$500=SPECIAL_LBL)*(INC_SPECIALS="Y"))=0,"",'Dvd Calendar'!$AO$498)))</f>
        <v/>
      </c>
      <c r="AN56" s="161">
        <f>IF(FP56="","",IF(ISNUMBER('Dvd Calendar'!$AP$498)=FALSE,"",IF((('Dvd Calendar'!$AP$500=TYPE1)*(TYPE1&lt;&gt;"")+('Dvd Calendar'!$AP$500=TYPE2)*(TYPE2&lt;&gt;"")+('Dvd Calendar'!$AP$500=TYPE3)*(TYPE3&lt;&gt;"")+('Dvd Calendar'!$AP$500=TYPE4)*(TYPE4&lt;&gt;"")+('Dvd Calendar'!$AP$500=SPECIAL_LBL)*(INC_SPECIALS="Y"))=0,"",'Dvd Calendar'!$AP$498)))</f>
        <v/>
      </c>
      <c r="AO56" s="161">
        <f>IF(FQ56="","",IF(ISNUMBER('Dvd Calendar'!$AQ$498)=FALSE,"",IF((('Dvd Calendar'!$AQ$500=TYPE1)*(TYPE1&lt;&gt;"")+('Dvd Calendar'!$AQ$500=TYPE2)*(TYPE2&lt;&gt;"")+('Dvd Calendar'!$AQ$500=TYPE3)*(TYPE3&lt;&gt;"")+('Dvd Calendar'!$AQ$500=TYPE4)*(TYPE4&lt;&gt;"")+('Dvd Calendar'!$AQ$500=SPECIAL_LBL)*(INC_SPECIALS="Y"))=0,"",'Dvd Calendar'!$AQ$498)))</f>
        <v/>
      </c>
      <c r="AP56" s="161">
        <f>IF(FR56="","",IF(ISNUMBER('Dvd Calendar'!$AR$498)=FALSE,"",IF((('Dvd Calendar'!$AR$500=TYPE1)*(TYPE1&lt;&gt;"")+('Dvd Calendar'!$AR$500=TYPE2)*(TYPE2&lt;&gt;"")+('Dvd Calendar'!$AR$500=TYPE3)*(TYPE3&lt;&gt;"")+('Dvd Calendar'!$AR$500=TYPE4)*(TYPE4&lt;&gt;"")+('Dvd Calendar'!$AR$500=SPECIAL_LBL)*(INC_SPECIALS="Y"))=0,"",'Dvd Calendar'!$AR$498)))</f>
        <v/>
      </c>
      <c r="AQ56" s="161">
        <f>IF(FS56="","",IF(ISNUMBER('Dvd Calendar'!$E$503)=FALSE,"",'Dvd Calendar'!$E$503))</f>
        <v/>
      </c>
      <c r="AR56" s="161">
        <f>IF(FT56="","",IF(ISNUMBER('Dvd Calendar'!$F$503)=FALSE,"",'Dvd Calendar'!$F$503))</f>
        <v/>
      </c>
      <c r="AS56" s="161">
        <f>IF(FU56="","",IF(ISNUMBER('Dvd Calendar'!$G$503)=FALSE,"",'Dvd Calendar'!$G$503))</f>
        <v/>
      </c>
      <c r="AT56" s="161">
        <f>IF(FV56="","",IF(ISNUMBER('Dvd Calendar'!$H$503)=FALSE,"",'Dvd Calendar'!$H$503))</f>
        <v/>
      </c>
      <c r="AU56" s="161">
        <f>IF(FW56="","",IF(ISNUMBER('Dvd Calendar'!$I$503)=FALSE,"",'Dvd Calendar'!$I$503))</f>
        <v/>
      </c>
      <c r="AV56" s="161">
        <f>IF(FX56="","",IF(ISNUMBER('Dvd Calendar'!$J$503)=FALSE,"",'Dvd Calendar'!$J$503))</f>
        <v/>
      </c>
      <c r="AW56" s="161">
        <f>IF(FY56="","",IF(ISNUMBER('Dvd Calendar'!$K$503)=FALSE,"",'Dvd Calendar'!$K$503))</f>
        <v/>
      </c>
      <c r="AX56" s="161">
        <f>IF(FZ56="","",IF(ISNUMBER('Dvd Calendar'!$L$503)=FALSE,"",'Dvd Calendar'!$L$503))</f>
        <v/>
      </c>
      <c r="AY56" s="161">
        <f>IF(GA56="","",IF(ISNUMBER('Dvd Calendar'!$M$503)=FALSE,"",'Dvd Calendar'!$M$503))</f>
        <v/>
      </c>
      <c r="AZ56" s="161">
        <f>IF(GB56="","",IF(ISNUMBER('Dvd Calendar'!$N$503)=FALSE,"",'Dvd Calendar'!$N$503))</f>
        <v/>
      </c>
      <c r="BA56" s="161">
        <f>IF(GC56="","",IF(ISNUMBER('Dvd Calendar'!$O$503)=FALSE,"",'Dvd Calendar'!$O$503))</f>
        <v/>
      </c>
      <c r="BB56" s="161">
        <f>IF(GD56="","",IF(ISNUMBER('Dvd Calendar'!$P$503)=FALSE,"",'Dvd Calendar'!$P$503))</f>
        <v/>
      </c>
      <c r="BC56" s="161">
        <f>IF(GE56="","",IF(ISNUMBER('Dvd Calendar'!$Q$503)=FALSE,"",'Dvd Calendar'!$Q$503))</f>
        <v/>
      </c>
      <c r="BD56" s="161">
        <f>IF(GF56="","",IF(ISNUMBER('Dvd Calendar'!$R$503)=FALSE,"",'Dvd Calendar'!$R$503))</f>
        <v/>
      </c>
      <c r="BE56" s="161">
        <f>IF(GG56="","",IF(ISNUMBER('Dvd Calendar'!$S$503)=FALSE,"",'Dvd Calendar'!$S$503))</f>
        <v/>
      </c>
      <c r="BF56" s="161">
        <f>IF(GH56="","",IF(ISNUMBER('Dvd Calendar'!$T$503)=FALSE,"",'Dvd Calendar'!$T$503))</f>
        <v/>
      </c>
      <c r="BG56" s="161">
        <f>IF(GI56="","",IF(ISNUMBER('Dvd Calendar'!$U$503)=FALSE,"",'Dvd Calendar'!$U$503))</f>
        <v/>
      </c>
      <c r="BH56" s="161">
        <f>IF(GJ56="","",IF(ISNUMBER('Dvd Calendar'!$V$503)=FALSE,"",'Dvd Calendar'!$V$503))</f>
        <v/>
      </c>
      <c r="BI56" s="161">
        <f>IF(GK56="","",IF(ISNUMBER('Dvd Calendar'!$W$503)=FALSE,"",'Dvd Calendar'!$W$503))</f>
        <v/>
      </c>
      <c r="BJ56" s="161">
        <f>IF(GL56="","",IF(ISNUMBER('Dvd Calendar'!$X$503)=FALSE,"",'Dvd Calendar'!$X$503))</f>
        <v/>
      </c>
      <c r="BK56" s="161">
        <f>IF(GM56="","",IF(ISNUMBER('Dvd Calendar'!$Y$503)=FALSE,"",'Dvd Calendar'!$Y$503))</f>
        <v/>
      </c>
      <c r="BL56" s="161">
        <f>IF(GN56="","",IF(ISNUMBER('Dvd Calendar'!$Z$503)=FALSE,"",'Dvd Calendar'!$Z$503))</f>
        <v/>
      </c>
      <c r="BM56" s="161">
        <f>IF(GO56="","",IF(ISNUMBER('Dvd Calendar'!$AA$503)=FALSE,"",'Dvd Calendar'!$AA$503))</f>
        <v/>
      </c>
      <c r="BN56" s="161">
        <f>IF(GP56="","",IF(ISNUMBER('Dvd Calendar'!$AB$503)=FALSE,"",'Dvd Calendar'!$AB$503))</f>
        <v/>
      </c>
      <c r="BO56" s="161">
        <f>IF(GQ56="","",IF(ISNUMBER('Dvd Calendar'!$AC$503)=FALSE,"",'Dvd Calendar'!$AC$503))</f>
        <v/>
      </c>
      <c r="BQ56" s="161">
        <f>IF(C56="","",IFERROR(C56*HSI!$B$51*HSI!$G$51/HSI!$B$3,""))</f>
        <v/>
      </c>
      <c r="BR56" s="161">
        <f>IF(D56="","",IFERROR(D56*HSI!$B$51*HSI!$G$51/HSI!$B$3,""))</f>
        <v/>
      </c>
      <c r="BS56" s="161">
        <f>IF(E56="","",IFERROR(E56*HSI!$B$51*HSI!$G$51/HSI!$B$3,""))</f>
        <v/>
      </c>
      <c r="BT56" s="161">
        <f>IF(F56="","",IFERROR(F56*HSI!$B$51*HSI!$G$51/HSI!$B$3,""))</f>
        <v/>
      </c>
      <c r="BU56" s="161">
        <f>IF(G56="","",IFERROR(G56*HSI!$B$51*HSI!$G$51/HSI!$B$3,""))</f>
        <v/>
      </c>
      <c r="BV56" s="161">
        <f>IF(H56="","",IFERROR(H56*HSI!$B$51*HSI!$G$51/HSI!$B$3,""))</f>
        <v/>
      </c>
      <c r="BW56" s="161">
        <f>IF(I56="","",IFERROR(I56*HSI!$B$51*HSI!$G$51/HSI!$B$3,""))</f>
        <v/>
      </c>
      <c r="BX56" s="161">
        <f>IF(J56="","",IFERROR(J56*HSI!$B$51*HSI!$G$51/HSI!$B$3,""))</f>
        <v/>
      </c>
      <c r="BY56" s="161">
        <f>IF(K56="","",IFERROR(K56*HSI!$B$51*HSI!$G$51/HSI!$B$3,""))</f>
        <v/>
      </c>
      <c r="BZ56" s="161">
        <f>IF(L56="","",IFERROR(L56*HSI!$B$51*HSI!$G$51/HSI!$B$3,""))</f>
        <v/>
      </c>
      <c r="CA56" s="161">
        <f>IF(M56="","",IFERROR(M56*HSI!$B$51*HSI!$G$51/HSI!$B$3,""))</f>
        <v/>
      </c>
      <c r="CB56" s="161">
        <f>IF(N56="","",IFERROR(N56*HSI!$B$51*HSI!$G$51/HSI!$B$3,""))</f>
        <v/>
      </c>
      <c r="CC56" s="161">
        <f>IF(O56="","",IFERROR(O56*HSI!$B$51*HSI!$G$51/HSI!$B$3,""))</f>
        <v/>
      </c>
      <c r="CD56" s="161">
        <f>IF(P56="","",IFERROR(P56*HSI!$B$51*HSI!$G$51/HSI!$B$3,""))</f>
        <v/>
      </c>
      <c r="CE56" s="161">
        <f>IF(Q56="","",IFERROR(Q56*HSI!$B$51*HSI!$G$51/HSI!$B$3,""))</f>
        <v/>
      </c>
      <c r="CF56" s="161">
        <f>IF(R56="","",IFERROR(R56*HSI!$B$51*HSI!$G$51/HSI!$B$3,""))</f>
        <v/>
      </c>
      <c r="CG56" s="161">
        <f>IF(S56="","",IFERROR(S56*HSI!$B$51*HSI!$G$51/HSI!$B$3,""))</f>
        <v/>
      </c>
      <c r="CH56" s="161">
        <f>IF(T56="","",IFERROR(T56*HSI!$B$51*HSI!$G$51/HSI!$B$3,""))</f>
        <v/>
      </c>
      <c r="CI56" s="161">
        <f>IF(U56="","",IFERROR(U56*HSI!$B$51*HSI!$G$51/HSI!$B$3,""))</f>
        <v/>
      </c>
      <c r="CJ56" s="161">
        <f>IF(V56="","",IFERROR(V56*HSI!$B$51*HSI!$G$51/HSI!$B$3,""))</f>
        <v/>
      </c>
      <c r="CK56" s="161">
        <f>IF(W56="","",IFERROR(W56*HSI!$B$51*HSI!$G$51/HSI!$B$3,""))</f>
        <v/>
      </c>
      <c r="CL56" s="161">
        <f>IF(X56="","",IFERROR(X56*HSI!$B$51*HSI!$G$51/HSI!$B$3,""))</f>
        <v/>
      </c>
      <c r="CM56" s="161">
        <f>IF(Y56="","",IFERROR(Y56*HSI!$B$51*HSI!$G$51/HSI!$B$3,""))</f>
        <v/>
      </c>
      <c r="CN56" s="161">
        <f>IF(Z56="","",IFERROR(Z56*HSI!$B$51*HSI!$G$51/HSI!$B$3,""))</f>
        <v/>
      </c>
      <c r="CO56" s="161">
        <f>IF(AA56="","",IFERROR(AA56*HSI!$B$51*HSI!$G$51/HSI!$B$3,""))</f>
        <v/>
      </c>
      <c r="CP56" s="161">
        <f>IF(AB56="","",IFERROR(AB56*HSI!$B$51*HSI!$G$51/HSI!$B$3,""))</f>
        <v/>
      </c>
      <c r="CQ56" s="161">
        <f>IF(AC56="","",IFERROR(AC56*HSI!$B$51*HSI!$G$51/HSI!$B$3,""))</f>
        <v/>
      </c>
      <c r="CR56" s="161">
        <f>IF(AD56="","",IFERROR(AD56*HSI!$B$51*HSI!$G$51/HSI!$B$3,""))</f>
        <v/>
      </c>
      <c r="CS56" s="161">
        <f>IF(AE56="","",IFERROR(AE56*HSI!$B$51*HSI!$G$51/HSI!$B$3,""))</f>
        <v/>
      </c>
      <c r="CT56" s="161">
        <f>IF(AF56="","",IFERROR(AF56*HSI!$B$51*HSI!$G$51/HSI!$B$3,""))</f>
        <v/>
      </c>
      <c r="CU56" s="161">
        <f>IF(AG56="","",IFERROR(AG56*HSI!$B$51*HSI!$G$51/HSI!$B$3,""))</f>
        <v/>
      </c>
      <c r="CV56" s="161">
        <f>IF(AH56="","",IFERROR(AH56*HSI!$B$51*HSI!$G$51/HSI!$B$3,""))</f>
        <v/>
      </c>
      <c r="CW56" s="161">
        <f>IF(AI56="","",IFERROR(AI56*HSI!$B$51*HSI!$G$51/HSI!$B$3,""))</f>
        <v/>
      </c>
      <c r="CX56" s="161">
        <f>IF(AJ56="","",IFERROR(AJ56*HSI!$B$51*HSI!$G$51/HSI!$B$3,""))</f>
        <v/>
      </c>
      <c r="CY56" s="161">
        <f>IF(AK56="","",IFERROR(AK56*HSI!$B$51*HSI!$G$51/HSI!$B$3,""))</f>
        <v/>
      </c>
      <c r="CZ56" s="161">
        <f>IF(AL56="","",IFERROR(AL56*HSI!$B$51*HSI!$G$51/HSI!$B$3,""))</f>
        <v/>
      </c>
      <c r="DA56" s="161">
        <f>IF(AM56="","",IFERROR(AM56*HSI!$B$51*HSI!$G$51/HSI!$B$3,""))</f>
        <v/>
      </c>
      <c r="DB56" s="161">
        <f>IF(AN56="","",IFERROR(AN56*HSI!$B$51*HSI!$G$51/HSI!$B$3,""))</f>
        <v/>
      </c>
      <c r="DC56" s="161">
        <f>IF(AO56="","",IFERROR(AO56*HSI!$B$51*HSI!$G$51/HSI!$B$3,""))</f>
        <v/>
      </c>
      <c r="DD56" s="161">
        <f>IF(AP56="","",IFERROR(AP56*HSI!$B$51*HSI!$G$51/HSI!$B$3,""))</f>
        <v/>
      </c>
      <c r="DE56" s="161">
        <f>IF(AQ56="","",IFERROR(AQ56*HSI!$B$51*HSI!$G$51/HSI!$B$3,""))</f>
        <v/>
      </c>
      <c r="DF56" s="161">
        <f>IF(AR56="","",IFERROR(AR56*HSI!$B$51*HSI!$G$51/HSI!$B$3,""))</f>
        <v/>
      </c>
      <c r="DG56" s="161">
        <f>IF(AS56="","",IFERROR(AS56*HSI!$B$51*HSI!$G$51/HSI!$B$3,""))</f>
        <v/>
      </c>
      <c r="DH56" s="161">
        <f>IF(AT56="","",IFERROR(AT56*HSI!$B$51*HSI!$G$51/HSI!$B$3,""))</f>
        <v/>
      </c>
      <c r="DI56" s="161">
        <f>IF(AU56="","",IFERROR(AU56*HSI!$B$51*HSI!$G$51/HSI!$B$3,""))</f>
        <v/>
      </c>
      <c r="DJ56" s="161">
        <f>IF(AV56="","",IFERROR(AV56*HSI!$B$51*HSI!$G$51/HSI!$B$3,""))</f>
        <v/>
      </c>
      <c r="DK56" s="161">
        <f>IF(AW56="","",IFERROR(AW56*HSI!$B$51*HSI!$G$51/HSI!$B$3,""))</f>
        <v/>
      </c>
      <c r="DL56" s="161">
        <f>IF(AX56="","",IFERROR(AX56*HSI!$B$51*HSI!$G$51/HSI!$B$3,""))</f>
        <v/>
      </c>
      <c r="DM56" s="161">
        <f>IF(AY56="","",IFERROR(AY56*HSI!$B$51*HSI!$G$51/HSI!$B$3,""))</f>
        <v/>
      </c>
      <c r="DN56" s="161">
        <f>IF(AZ56="","",IFERROR(AZ56*HSI!$B$51*HSI!$G$51/HSI!$B$3,""))</f>
        <v/>
      </c>
      <c r="DO56" s="161">
        <f>IF(BA56="","",IFERROR(BA56*HSI!$B$51*HSI!$G$51/HSI!$B$3,""))</f>
        <v/>
      </c>
      <c r="DP56" s="161">
        <f>IF(BB56="","",IFERROR(BB56*HSI!$B$51*HSI!$G$51/HSI!$B$3,""))</f>
        <v/>
      </c>
      <c r="DQ56" s="161">
        <f>IF(BC56="","",IFERROR(BC56*HSI!$B$51*HSI!$G$51/HSI!$B$3,""))</f>
        <v/>
      </c>
      <c r="DR56" s="161">
        <f>IF(BD56="","",IFERROR(BD56*HSI!$B$51*HSI!$G$51/HSI!$B$3,""))</f>
        <v/>
      </c>
      <c r="DS56" s="161">
        <f>IF(BE56="","",IFERROR(BE56*HSI!$B$51*HSI!$G$51/HSI!$B$3,""))</f>
        <v/>
      </c>
      <c r="DT56" s="161">
        <f>IF(BF56="","",IFERROR(BF56*HSI!$B$51*HSI!$G$51/HSI!$B$3,""))</f>
        <v/>
      </c>
      <c r="DU56" s="161">
        <f>IF(BG56="","",IFERROR(BG56*HSI!$B$51*HSI!$G$51/HSI!$B$3,""))</f>
        <v/>
      </c>
      <c r="DV56" s="161">
        <f>IF(BH56="","",IFERROR(BH56*HSI!$B$51*HSI!$G$51/HSI!$B$3,""))</f>
        <v/>
      </c>
      <c r="DW56" s="161">
        <f>IF(BI56="","",IFERROR(BI56*HSI!$B$51*HSI!$G$51/HSI!$B$3,""))</f>
        <v/>
      </c>
      <c r="DX56" s="161">
        <f>IF(BJ56="","",IFERROR(BJ56*HSI!$B$51*HSI!$G$51/HSI!$B$3,""))</f>
        <v/>
      </c>
      <c r="DY56" s="161">
        <f>IF(BK56="","",IFERROR(BK56*HSI!$B$51*HSI!$G$51/HSI!$B$3,""))</f>
        <v/>
      </c>
      <c r="DZ56" s="161">
        <f>IF(BL56="","",IFERROR(BL56*HSI!$B$51*HSI!$G$51/HSI!$B$3,""))</f>
        <v/>
      </c>
      <c r="EA56" s="161">
        <f>IF(BM56="","",IFERROR(BM56*HSI!$B$51*HSI!$G$51/HSI!$B$3,""))</f>
        <v/>
      </c>
      <c r="EB56" s="161">
        <f>IF(BN56="","",IFERROR(BN56*HSI!$B$51*HSI!$G$51/HSI!$B$3,""))</f>
        <v/>
      </c>
      <c r="EC56" s="161">
        <f>IF(BO56="","",IFERROR(BO56*HSI!$B$51*HSI!$G$51/HSI!$B$3,""))</f>
        <v/>
      </c>
      <c r="EE56" s="121">
        <f>IF(N('Dvd Calendar'!$E$495)=0,"",IF(('Dvd Calendar'!$E$495&gt;=GRID_FROM)*('Dvd Calendar'!$E$495&lt;=GRID_TO)*((('Dvd Calendar'!$E$495&lt;=VAL_DATE)+(COUNTIF('Dvd Calendar'!$E$502:$AR$502,'Dvd Calendar'!$E$495)=0))&gt;0)=0,"",'Dvd Calendar'!$E$495*1000000000+ISNUMBER('Dvd Calendar'!$E$498)*100000000+('Dvd Calendar'!$E$500=SPECIAL_LBL)*10000000+(N('Dvd Calendar'!$E$494)&gt;0)*(N('Dvd Calendar'!$E$494)&lt;=VAL_SERIAL)*1000000+45*1000+1))</f>
        <v/>
      </c>
      <c r="EF56" s="121">
        <f>IF(N('Dvd Calendar'!$F$495)=0,"",IF(('Dvd Calendar'!$F$495&gt;=GRID_FROM)*('Dvd Calendar'!$F$495&lt;=GRID_TO)*((('Dvd Calendar'!$F$495&lt;=VAL_DATE)+(COUNTIF('Dvd Calendar'!$E$502:$AR$502,'Dvd Calendar'!$F$495)=0))&gt;0)=0,"",'Dvd Calendar'!$F$495*1000000000+ISNUMBER('Dvd Calendar'!$F$498)*100000000+('Dvd Calendar'!$F$500=SPECIAL_LBL)*10000000+(N('Dvd Calendar'!$F$494)&gt;0)*(N('Dvd Calendar'!$F$494)&lt;=VAL_SERIAL)*1000000+45*1000+2))</f>
        <v/>
      </c>
      <c r="EG56" s="121">
        <f>IF(N('Dvd Calendar'!$G$495)=0,"",IF(('Dvd Calendar'!$G$495&gt;=GRID_FROM)*('Dvd Calendar'!$G$495&lt;=GRID_TO)*((('Dvd Calendar'!$G$495&lt;=VAL_DATE)+(COUNTIF('Dvd Calendar'!$E$502:$AR$502,'Dvd Calendar'!$G$495)=0))&gt;0)=0,"",'Dvd Calendar'!$G$495*1000000000+ISNUMBER('Dvd Calendar'!$G$498)*100000000+('Dvd Calendar'!$G$500=SPECIAL_LBL)*10000000+(N('Dvd Calendar'!$G$494)&gt;0)*(N('Dvd Calendar'!$G$494)&lt;=VAL_SERIAL)*1000000+45*1000+3))</f>
        <v/>
      </c>
      <c r="EH56" s="121">
        <f>IF(N('Dvd Calendar'!$H$495)=0,"",IF(('Dvd Calendar'!$H$495&gt;=GRID_FROM)*('Dvd Calendar'!$H$495&lt;=GRID_TO)*((('Dvd Calendar'!$H$495&lt;=VAL_DATE)+(COUNTIF('Dvd Calendar'!$E$502:$AR$502,'Dvd Calendar'!$H$495)=0))&gt;0)=0,"",'Dvd Calendar'!$H$495*1000000000+ISNUMBER('Dvd Calendar'!$H$498)*100000000+('Dvd Calendar'!$H$500=SPECIAL_LBL)*10000000+(N('Dvd Calendar'!$H$494)&gt;0)*(N('Dvd Calendar'!$H$494)&lt;=VAL_SERIAL)*1000000+45*1000+4))</f>
        <v/>
      </c>
      <c r="EI56" s="121">
        <f>IF(N('Dvd Calendar'!$I$495)=0,"",IF(('Dvd Calendar'!$I$495&gt;=GRID_FROM)*('Dvd Calendar'!$I$495&lt;=GRID_TO)*((('Dvd Calendar'!$I$495&lt;=VAL_DATE)+(COUNTIF('Dvd Calendar'!$E$502:$AR$502,'Dvd Calendar'!$I$495)=0))&gt;0)=0,"",'Dvd Calendar'!$I$495*1000000000+ISNUMBER('Dvd Calendar'!$I$498)*100000000+('Dvd Calendar'!$I$500=SPECIAL_LBL)*10000000+(N('Dvd Calendar'!$I$494)&gt;0)*(N('Dvd Calendar'!$I$494)&lt;=VAL_SERIAL)*1000000+45*1000+5))</f>
        <v/>
      </c>
      <c r="EJ56" s="121">
        <f>IF(N('Dvd Calendar'!$J$495)=0,"",IF(('Dvd Calendar'!$J$495&gt;=GRID_FROM)*('Dvd Calendar'!$J$495&lt;=GRID_TO)*((('Dvd Calendar'!$J$495&lt;=VAL_DATE)+(COUNTIF('Dvd Calendar'!$E$502:$AR$502,'Dvd Calendar'!$J$495)=0))&gt;0)=0,"",'Dvd Calendar'!$J$495*1000000000+ISNUMBER('Dvd Calendar'!$J$498)*100000000+('Dvd Calendar'!$J$500=SPECIAL_LBL)*10000000+(N('Dvd Calendar'!$J$494)&gt;0)*(N('Dvd Calendar'!$J$494)&lt;=VAL_SERIAL)*1000000+45*1000+6))</f>
        <v/>
      </c>
      <c r="EK56" s="121">
        <f>IF(N('Dvd Calendar'!$K$495)=0,"",IF(('Dvd Calendar'!$K$495&gt;=GRID_FROM)*('Dvd Calendar'!$K$495&lt;=GRID_TO)*((('Dvd Calendar'!$K$495&lt;=VAL_DATE)+(COUNTIF('Dvd Calendar'!$E$502:$AR$502,'Dvd Calendar'!$K$495)=0))&gt;0)=0,"",'Dvd Calendar'!$K$495*1000000000+ISNUMBER('Dvd Calendar'!$K$498)*100000000+('Dvd Calendar'!$K$500=SPECIAL_LBL)*10000000+(N('Dvd Calendar'!$K$494)&gt;0)*(N('Dvd Calendar'!$K$494)&lt;=VAL_SERIAL)*1000000+45*1000+7))</f>
        <v/>
      </c>
      <c r="EL56" s="121">
        <f>IF(N('Dvd Calendar'!$L$495)=0,"",IF(('Dvd Calendar'!$L$495&gt;=GRID_FROM)*('Dvd Calendar'!$L$495&lt;=GRID_TO)*((('Dvd Calendar'!$L$495&lt;=VAL_DATE)+(COUNTIF('Dvd Calendar'!$E$502:$AR$502,'Dvd Calendar'!$L$495)=0))&gt;0)=0,"",'Dvd Calendar'!$L$495*1000000000+ISNUMBER('Dvd Calendar'!$L$498)*100000000+('Dvd Calendar'!$L$500=SPECIAL_LBL)*10000000+(N('Dvd Calendar'!$L$494)&gt;0)*(N('Dvd Calendar'!$L$494)&lt;=VAL_SERIAL)*1000000+45*1000+8))</f>
        <v/>
      </c>
      <c r="EM56" s="121">
        <f>IF(N('Dvd Calendar'!$M$495)=0,"",IF(('Dvd Calendar'!$M$495&gt;=GRID_FROM)*('Dvd Calendar'!$M$495&lt;=GRID_TO)*((('Dvd Calendar'!$M$495&lt;=VAL_DATE)+(COUNTIF('Dvd Calendar'!$E$502:$AR$502,'Dvd Calendar'!$M$495)=0))&gt;0)=0,"",'Dvd Calendar'!$M$495*1000000000+ISNUMBER('Dvd Calendar'!$M$498)*100000000+('Dvd Calendar'!$M$500=SPECIAL_LBL)*10000000+(N('Dvd Calendar'!$M$494)&gt;0)*(N('Dvd Calendar'!$M$494)&lt;=VAL_SERIAL)*1000000+45*1000+9))</f>
        <v/>
      </c>
      <c r="EN56" s="121">
        <f>IF(N('Dvd Calendar'!$N$495)=0,"",IF(('Dvd Calendar'!$N$495&gt;=GRID_FROM)*('Dvd Calendar'!$N$495&lt;=GRID_TO)*((('Dvd Calendar'!$N$495&lt;=VAL_DATE)+(COUNTIF('Dvd Calendar'!$E$502:$AR$502,'Dvd Calendar'!$N$495)=0))&gt;0)=0,"",'Dvd Calendar'!$N$495*1000000000+ISNUMBER('Dvd Calendar'!$N$498)*100000000+('Dvd Calendar'!$N$500=SPECIAL_LBL)*10000000+(N('Dvd Calendar'!$N$494)&gt;0)*(N('Dvd Calendar'!$N$494)&lt;=VAL_SERIAL)*1000000+45*1000+10))</f>
        <v/>
      </c>
      <c r="EO56" s="121">
        <f>IF(N('Dvd Calendar'!$O$495)=0,"",IF(('Dvd Calendar'!$O$495&gt;=GRID_FROM)*('Dvd Calendar'!$O$495&lt;=GRID_TO)*((('Dvd Calendar'!$O$495&lt;=VAL_DATE)+(COUNTIF('Dvd Calendar'!$E$502:$AR$502,'Dvd Calendar'!$O$495)=0))&gt;0)=0,"",'Dvd Calendar'!$O$495*1000000000+ISNUMBER('Dvd Calendar'!$O$498)*100000000+('Dvd Calendar'!$O$500=SPECIAL_LBL)*10000000+(N('Dvd Calendar'!$O$494)&gt;0)*(N('Dvd Calendar'!$O$494)&lt;=VAL_SERIAL)*1000000+45*1000+11))</f>
        <v/>
      </c>
      <c r="EP56" s="121">
        <f>IF(N('Dvd Calendar'!$P$495)=0,"",IF(('Dvd Calendar'!$P$495&gt;=GRID_FROM)*('Dvd Calendar'!$P$495&lt;=GRID_TO)*((('Dvd Calendar'!$P$495&lt;=VAL_DATE)+(COUNTIF('Dvd Calendar'!$E$502:$AR$502,'Dvd Calendar'!$P$495)=0))&gt;0)=0,"",'Dvd Calendar'!$P$495*1000000000+ISNUMBER('Dvd Calendar'!$P$498)*100000000+('Dvd Calendar'!$P$500=SPECIAL_LBL)*10000000+(N('Dvd Calendar'!$P$494)&gt;0)*(N('Dvd Calendar'!$P$494)&lt;=VAL_SERIAL)*1000000+45*1000+12))</f>
        <v/>
      </c>
      <c r="EQ56" s="121">
        <f>IF(N('Dvd Calendar'!$Q$495)=0,"",IF(('Dvd Calendar'!$Q$495&gt;=GRID_FROM)*('Dvd Calendar'!$Q$495&lt;=GRID_TO)*((('Dvd Calendar'!$Q$495&lt;=VAL_DATE)+(COUNTIF('Dvd Calendar'!$E$502:$AR$502,'Dvd Calendar'!$Q$495)=0))&gt;0)=0,"",'Dvd Calendar'!$Q$495*1000000000+ISNUMBER('Dvd Calendar'!$Q$498)*100000000+('Dvd Calendar'!$Q$500=SPECIAL_LBL)*10000000+(N('Dvd Calendar'!$Q$494)&gt;0)*(N('Dvd Calendar'!$Q$494)&lt;=VAL_SERIAL)*1000000+45*1000+13))</f>
        <v/>
      </c>
      <c r="ER56" s="121">
        <f>IF(N('Dvd Calendar'!$R$495)=0,"",IF(('Dvd Calendar'!$R$495&gt;=GRID_FROM)*('Dvd Calendar'!$R$495&lt;=GRID_TO)*((('Dvd Calendar'!$R$495&lt;=VAL_DATE)+(COUNTIF('Dvd Calendar'!$E$502:$AR$502,'Dvd Calendar'!$R$495)=0))&gt;0)=0,"",'Dvd Calendar'!$R$495*1000000000+ISNUMBER('Dvd Calendar'!$R$498)*100000000+('Dvd Calendar'!$R$500=SPECIAL_LBL)*10000000+(N('Dvd Calendar'!$R$494)&gt;0)*(N('Dvd Calendar'!$R$494)&lt;=VAL_SERIAL)*1000000+45*1000+14))</f>
        <v/>
      </c>
      <c r="ES56" s="121">
        <f>IF(N('Dvd Calendar'!$S$495)=0,"",IF(('Dvd Calendar'!$S$495&gt;=GRID_FROM)*('Dvd Calendar'!$S$495&lt;=GRID_TO)*((('Dvd Calendar'!$S$495&lt;=VAL_DATE)+(COUNTIF('Dvd Calendar'!$E$502:$AR$502,'Dvd Calendar'!$S$495)=0))&gt;0)=0,"",'Dvd Calendar'!$S$495*1000000000+ISNUMBER('Dvd Calendar'!$S$498)*100000000+('Dvd Calendar'!$S$500=SPECIAL_LBL)*10000000+(N('Dvd Calendar'!$S$494)&gt;0)*(N('Dvd Calendar'!$S$494)&lt;=VAL_SERIAL)*1000000+45*1000+15))</f>
        <v/>
      </c>
      <c r="ET56" s="121">
        <f>IF(N('Dvd Calendar'!$T$495)=0,"",IF(('Dvd Calendar'!$T$495&gt;=GRID_FROM)*('Dvd Calendar'!$T$495&lt;=GRID_TO)*((('Dvd Calendar'!$T$495&lt;=VAL_DATE)+(COUNTIF('Dvd Calendar'!$E$502:$AR$502,'Dvd Calendar'!$T$495)=0))&gt;0)=0,"",'Dvd Calendar'!$T$495*1000000000+ISNUMBER('Dvd Calendar'!$T$498)*100000000+('Dvd Calendar'!$T$500=SPECIAL_LBL)*10000000+(N('Dvd Calendar'!$T$494)&gt;0)*(N('Dvd Calendar'!$T$494)&lt;=VAL_SERIAL)*1000000+45*1000+16))</f>
        <v/>
      </c>
      <c r="EU56" s="121">
        <f>IF(N('Dvd Calendar'!$U$495)=0,"",IF(('Dvd Calendar'!$U$495&gt;=GRID_FROM)*('Dvd Calendar'!$U$495&lt;=GRID_TO)*((('Dvd Calendar'!$U$495&lt;=VAL_DATE)+(COUNTIF('Dvd Calendar'!$E$502:$AR$502,'Dvd Calendar'!$U$495)=0))&gt;0)=0,"",'Dvd Calendar'!$U$495*1000000000+ISNUMBER('Dvd Calendar'!$U$498)*100000000+('Dvd Calendar'!$U$500=SPECIAL_LBL)*10000000+(N('Dvd Calendar'!$U$494)&gt;0)*(N('Dvd Calendar'!$U$494)&lt;=VAL_SERIAL)*1000000+45*1000+17))</f>
        <v/>
      </c>
      <c r="EV56" s="121">
        <f>IF(N('Dvd Calendar'!$V$495)=0,"",IF(('Dvd Calendar'!$V$495&gt;=GRID_FROM)*('Dvd Calendar'!$V$495&lt;=GRID_TO)*((('Dvd Calendar'!$V$495&lt;=VAL_DATE)+(COUNTIF('Dvd Calendar'!$E$502:$AR$502,'Dvd Calendar'!$V$495)=0))&gt;0)=0,"",'Dvd Calendar'!$V$495*1000000000+ISNUMBER('Dvd Calendar'!$V$498)*100000000+('Dvd Calendar'!$V$500=SPECIAL_LBL)*10000000+(N('Dvd Calendar'!$V$494)&gt;0)*(N('Dvd Calendar'!$V$494)&lt;=VAL_SERIAL)*1000000+45*1000+18))</f>
        <v/>
      </c>
      <c r="EW56" s="121">
        <f>IF(N('Dvd Calendar'!$W$495)=0,"",IF(('Dvd Calendar'!$W$495&gt;=GRID_FROM)*('Dvd Calendar'!$W$495&lt;=GRID_TO)*((('Dvd Calendar'!$W$495&lt;=VAL_DATE)+(COUNTIF('Dvd Calendar'!$E$502:$AR$502,'Dvd Calendar'!$W$495)=0))&gt;0)=0,"",'Dvd Calendar'!$W$495*1000000000+ISNUMBER('Dvd Calendar'!$W$498)*100000000+('Dvd Calendar'!$W$500=SPECIAL_LBL)*10000000+(N('Dvd Calendar'!$W$494)&gt;0)*(N('Dvd Calendar'!$W$494)&lt;=VAL_SERIAL)*1000000+45*1000+19))</f>
        <v/>
      </c>
      <c r="EX56" s="121">
        <f>IF(N('Dvd Calendar'!$X$495)=0,"",IF(('Dvd Calendar'!$X$495&gt;=GRID_FROM)*('Dvd Calendar'!$X$495&lt;=GRID_TO)*((('Dvd Calendar'!$X$495&lt;=VAL_DATE)+(COUNTIF('Dvd Calendar'!$E$502:$AR$502,'Dvd Calendar'!$X$495)=0))&gt;0)=0,"",'Dvd Calendar'!$X$495*1000000000+ISNUMBER('Dvd Calendar'!$X$498)*100000000+('Dvd Calendar'!$X$500=SPECIAL_LBL)*10000000+(N('Dvd Calendar'!$X$494)&gt;0)*(N('Dvd Calendar'!$X$494)&lt;=VAL_SERIAL)*1000000+45*1000+20))</f>
        <v/>
      </c>
      <c r="EY56" s="121">
        <f>IF(N('Dvd Calendar'!$Y$495)=0,"",IF(('Dvd Calendar'!$Y$495&gt;=GRID_FROM)*('Dvd Calendar'!$Y$495&lt;=GRID_TO)*((('Dvd Calendar'!$Y$495&lt;=VAL_DATE)+(COUNTIF('Dvd Calendar'!$E$502:$AR$502,'Dvd Calendar'!$Y$495)=0))&gt;0)=0,"",'Dvd Calendar'!$Y$495*1000000000+ISNUMBER('Dvd Calendar'!$Y$498)*100000000+('Dvd Calendar'!$Y$500=SPECIAL_LBL)*10000000+(N('Dvd Calendar'!$Y$494)&gt;0)*(N('Dvd Calendar'!$Y$494)&lt;=VAL_SERIAL)*1000000+45*1000+21))</f>
        <v/>
      </c>
      <c r="EZ56" s="121">
        <f>IF(N('Dvd Calendar'!$Z$495)=0,"",IF(('Dvd Calendar'!$Z$495&gt;=GRID_FROM)*('Dvd Calendar'!$Z$495&lt;=GRID_TO)*((('Dvd Calendar'!$Z$495&lt;=VAL_DATE)+(COUNTIF('Dvd Calendar'!$E$502:$AR$502,'Dvd Calendar'!$Z$495)=0))&gt;0)=0,"",'Dvd Calendar'!$Z$495*1000000000+ISNUMBER('Dvd Calendar'!$Z$498)*100000000+('Dvd Calendar'!$Z$500=SPECIAL_LBL)*10000000+(N('Dvd Calendar'!$Z$494)&gt;0)*(N('Dvd Calendar'!$Z$494)&lt;=VAL_SERIAL)*1000000+45*1000+22))</f>
        <v/>
      </c>
      <c r="FA56" s="121">
        <f>IF(N('Dvd Calendar'!$AA$495)=0,"",IF(('Dvd Calendar'!$AA$495&gt;=GRID_FROM)*('Dvd Calendar'!$AA$495&lt;=GRID_TO)*((('Dvd Calendar'!$AA$495&lt;=VAL_DATE)+(COUNTIF('Dvd Calendar'!$E$502:$AR$502,'Dvd Calendar'!$AA$495)=0))&gt;0)=0,"",'Dvd Calendar'!$AA$495*1000000000+ISNUMBER('Dvd Calendar'!$AA$498)*100000000+('Dvd Calendar'!$AA$500=SPECIAL_LBL)*10000000+(N('Dvd Calendar'!$AA$494)&gt;0)*(N('Dvd Calendar'!$AA$494)&lt;=VAL_SERIAL)*1000000+45*1000+23))</f>
        <v/>
      </c>
      <c r="FB56" s="121">
        <f>IF(N('Dvd Calendar'!$AB$495)=0,"",IF(('Dvd Calendar'!$AB$495&gt;=GRID_FROM)*('Dvd Calendar'!$AB$495&lt;=GRID_TO)*((('Dvd Calendar'!$AB$495&lt;=VAL_DATE)+(COUNTIF('Dvd Calendar'!$E$502:$AR$502,'Dvd Calendar'!$AB$495)=0))&gt;0)=0,"",'Dvd Calendar'!$AB$495*1000000000+ISNUMBER('Dvd Calendar'!$AB$498)*100000000+('Dvd Calendar'!$AB$500=SPECIAL_LBL)*10000000+(N('Dvd Calendar'!$AB$494)&gt;0)*(N('Dvd Calendar'!$AB$494)&lt;=VAL_SERIAL)*1000000+45*1000+24))</f>
        <v/>
      </c>
      <c r="FC56" s="121">
        <f>IF(N('Dvd Calendar'!$AC$495)=0,"",IF(('Dvd Calendar'!$AC$495&gt;=GRID_FROM)*('Dvd Calendar'!$AC$495&lt;=GRID_TO)*((('Dvd Calendar'!$AC$495&lt;=VAL_DATE)+(COUNTIF('Dvd Calendar'!$E$502:$AR$502,'Dvd Calendar'!$AC$495)=0))&gt;0)=0,"",'Dvd Calendar'!$AC$495*1000000000+ISNUMBER('Dvd Calendar'!$AC$498)*100000000+('Dvd Calendar'!$AC$500=SPECIAL_LBL)*10000000+(N('Dvd Calendar'!$AC$494)&gt;0)*(N('Dvd Calendar'!$AC$494)&lt;=VAL_SERIAL)*1000000+45*1000+25))</f>
        <v/>
      </c>
      <c r="FD56" s="121">
        <f>IF(N('Dvd Calendar'!$AD$495)=0,"",IF(('Dvd Calendar'!$AD$495&gt;=GRID_FROM)*('Dvd Calendar'!$AD$495&lt;=GRID_TO)*((('Dvd Calendar'!$AD$495&lt;=VAL_DATE)+(COUNTIF('Dvd Calendar'!$E$502:$AR$502,'Dvd Calendar'!$AD$495)=0))&gt;0)=0,"",'Dvd Calendar'!$AD$495*1000000000+ISNUMBER('Dvd Calendar'!$AD$498)*100000000+('Dvd Calendar'!$AD$500=SPECIAL_LBL)*10000000+(N('Dvd Calendar'!$AD$494)&gt;0)*(N('Dvd Calendar'!$AD$494)&lt;=VAL_SERIAL)*1000000+45*1000+26))</f>
        <v/>
      </c>
      <c r="FE56" s="121">
        <f>IF(N('Dvd Calendar'!$AE$495)=0,"",IF(('Dvd Calendar'!$AE$495&gt;=GRID_FROM)*('Dvd Calendar'!$AE$495&lt;=GRID_TO)*((('Dvd Calendar'!$AE$495&lt;=VAL_DATE)+(COUNTIF('Dvd Calendar'!$E$502:$AR$502,'Dvd Calendar'!$AE$495)=0))&gt;0)=0,"",'Dvd Calendar'!$AE$495*1000000000+ISNUMBER('Dvd Calendar'!$AE$498)*100000000+('Dvd Calendar'!$AE$500=SPECIAL_LBL)*10000000+(N('Dvd Calendar'!$AE$494)&gt;0)*(N('Dvd Calendar'!$AE$494)&lt;=VAL_SERIAL)*1000000+45*1000+27))</f>
        <v/>
      </c>
      <c r="FF56" s="121">
        <f>IF(N('Dvd Calendar'!$AF$495)=0,"",IF(('Dvd Calendar'!$AF$495&gt;=GRID_FROM)*('Dvd Calendar'!$AF$495&lt;=GRID_TO)*((('Dvd Calendar'!$AF$495&lt;=VAL_DATE)+(COUNTIF('Dvd Calendar'!$E$502:$AR$502,'Dvd Calendar'!$AF$495)=0))&gt;0)=0,"",'Dvd Calendar'!$AF$495*1000000000+ISNUMBER('Dvd Calendar'!$AF$498)*100000000+('Dvd Calendar'!$AF$500=SPECIAL_LBL)*10000000+(N('Dvd Calendar'!$AF$494)&gt;0)*(N('Dvd Calendar'!$AF$494)&lt;=VAL_SERIAL)*1000000+45*1000+28))</f>
        <v/>
      </c>
      <c r="FG56" s="121">
        <f>IF(N('Dvd Calendar'!$AG$495)=0,"",IF(('Dvd Calendar'!$AG$495&gt;=GRID_FROM)*('Dvd Calendar'!$AG$495&lt;=GRID_TO)*((('Dvd Calendar'!$AG$495&lt;=VAL_DATE)+(COUNTIF('Dvd Calendar'!$E$502:$AR$502,'Dvd Calendar'!$AG$495)=0))&gt;0)=0,"",'Dvd Calendar'!$AG$495*1000000000+ISNUMBER('Dvd Calendar'!$AG$498)*100000000+('Dvd Calendar'!$AG$500=SPECIAL_LBL)*10000000+(N('Dvd Calendar'!$AG$494)&gt;0)*(N('Dvd Calendar'!$AG$494)&lt;=VAL_SERIAL)*1000000+45*1000+29))</f>
        <v/>
      </c>
      <c r="FH56" s="121">
        <f>IF(N('Dvd Calendar'!$AH$495)=0,"",IF(('Dvd Calendar'!$AH$495&gt;=GRID_FROM)*('Dvd Calendar'!$AH$495&lt;=GRID_TO)*((('Dvd Calendar'!$AH$495&lt;=VAL_DATE)+(COUNTIF('Dvd Calendar'!$E$502:$AR$502,'Dvd Calendar'!$AH$495)=0))&gt;0)=0,"",'Dvd Calendar'!$AH$495*1000000000+ISNUMBER('Dvd Calendar'!$AH$498)*100000000+('Dvd Calendar'!$AH$500=SPECIAL_LBL)*10000000+(N('Dvd Calendar'!$AH$494)&gt;0)*(N('Dvd Calendar'!$AH$494)&lt;=VAL_SERIAL)*1000000+45*1000+30))</f>
        <v/>
      </c>
      <c r="FI56" s="121">
        <f>IF(N('Dvd Calendar'!$AI$495)=0,"",IF(('Dvd Calendar'!$AI$495&gt;=GRID_FROM)*('Dvd Calendar'!$AI$495&lt;=GRID_TO)*((('Dvd Calendar'!$AI$495&lt;=VAL_DATE)+(COUNTIF('Dvd Calendar'!$E$502:$AR$502,'Dvd Calendar'!$AI$495)=0))&gt;0)=0,"",'Dvd Calendar'!$AI$495*1000000000+ISNUMBER('Dvd Calendar'!$AI$498)*100000000+('Dvd Calendar'!$AI$500=SPECIAL_LBL)*10000000+(N('Dvd Calendar'!$AI$494)&gt;0)*(N('Dvd Calendar'!$AI$494)&lt;=VAL_SERIAL)*1000000+45*1000+31))</f>
        <v/>
      </c>
      <c r="FJ56" s="121">
        <f>IF(N('Dvd Calendar'!$AJ$495)=0,"",IF(('Dvd Calendar'!$AJ$495&gt;=GRID_FROM)*('Dvd Calendar'!$AJ$495&lt;=GRID_TO)*((('Dvd Calendar'!$AJ$495&lt;=VAL_DATE)+(COUNTIF('Dvd Calendar'!$E$502:$AR$502,'Dvd Calendar'!$AJ$495)=0))&gt;0)=0,"",'Dvd Calendar'!$AJ$495*1000000000+ISNUMBER('Dvd Calendar'!$AJ$498)*100000000+('Dvd Calendar'!$AJ$500=SPECIAL_LBL)*10000000+(N('Dvd Calendar'!$AJ$494)&gt;0)*(N('Dvd Calendar'!$AJ$494)&lt;=VAL_SERIAL)*1000000+45*1000+32))</f>
        <v/>
      </c>
      <c r="FK56" s="121">
        <f>IF(N('Dvd Calendar'!$AK$495)=0,"",IF(('Dvd Calendar'!$AK$495&gt;=GRID_FROM)*('Dvd Calendar'!$AK$495&lt;=GRID_TO)*((('Dvd Calendar'!$AK$495&lt;=VAL_DATE)+(COUNTIF('Dvd Calendar'!$E$502:$AR$502,'Dvd Calendar'!$AK$495)=0))&gt;0)=0,"",'Dvd Calendar'!$AK$495*1000000000+ISNUMBER('Dvd Calendar'!$AK$498)*100000000+('Dvd Calendar'!$AK$500=SPECIAL_LBL)*10000000+(N('Dvd Calendar'!$AK$494)&gt;0)*(N('Dvd Calendar'!$AK$494)&lt;=VAL_SERIAL)*1000000+45*1000+33))</f>
        <v/>
      </c>
      <c r="FL56" s="121">
        <f>IF(N('Dvd Calendar'!$AL$495)=0,"",IF(('Dvd Calendar'!$AL$495&gt;=GRID_FROM)*('Dvd Calendar'!$AL$495&lt;=GRID_TO)*((('Dvd Calendar'!$AL$495&lt;=VAL_DATE)+(COUNTIF('Dvd Calendar'!$E$502:$AR$502,'Dvd Calendar'!$AL$495)=0))&gt;0)=0,"",'Dvd Calendar'!$AL$495*1000000000+ISNUMBER('Dvd Calendar'!$AL$498)*100000000+('Dvd Calendar'!$AL$500=SPECIAL_LBL)*10000000+(N('Dvd Calendar'!$AL$494)&gt;0)*(N('Dvd Calendar'!$AL$494)&lt;=VAL_SERIAL)*1000000+45*1000+34))</f>
        <v/>
      </c>
      <c r="FM56" s="121">
        <f>IF(N('Dvd Calendar'!$AM$495)=0,"",IF(('Dvd Calendar'!$AM$495&gt;=GRID_FROM)*('Dvd Calendar'!$AM$495&lt;=GRID_TO)*((('Dvd Calendar'!$AM$495&lt;=VAL_DATE)+(COUNTIF('Dvd Calendar'!$E$502:$AR$502,'Dvd Calendar'!$AM$495)=0))&gt;0)=0,"",'Dvd Calendar'!$AM$495*1000000000+ISNUMBER('Dvd Calendar'!$AM$498)*100000000+('Dvd Calendar'!$AM$500=SPECIAL_LBL)*10000000+(N('Dvd Calendar'!$AM$494)&gt;0)*(N('Dvd Calendar'!$AM$494)&lt;=VAL_SERIAL)*1000000+45*1000+35))</f>
        <v/>
      </c>
      <c r="FN56" s="121">
        <f>IF(N('Dvd Calendar'!$AN$495)=0,"",IF(('Dvd Calendar'!$AN$495&gt;=GRID_FROM)*('Dvd Calendar'!$AN$495&lt;=GRID_TO)*((('Dvd Calendar'!$AN$495&lt;=VAL_DATE)+(COUNTIF('Dvd Calendar'!$E$502:$AR$502,'Dvd Calendar'!$AN$495)=0))&gt;0)=0,"",'Dvd Calendar'!$AN$495*1000000000+ISNUMBER('Dvd Calendar'!$AN$498)*100000000+('Dvd Calendar'!$AN$500=SPECIAL_LBL)*10000000+(N('Dvd Calendar'!$AN$494)&gt;0)*(N('Dvd Calendar'!$AN$494)&lt;=VAL_SERIAL)*1000000+45*1000+36))</f>
        <v/>
      </c>
      <c r="FO56" s="121">
        <f>IF(N('Dvd Calendar'!$AO$495)=0,"",IF(('Dvd Calendar'!$AO$495&gt;=GRID_FROM)*('Dvd Calendar'!$AO$495&lt;=GRID_TO)*((('Dvd Calendar'!$AO$495&lt;=VAL_DATE)+(COUNTIF('Dvd Calendar'!$E$502:$AR$502,'Dvd Calendar'!$AO$495)=0))&gt;0)=0,"",'Dvd Calendar'!$AO$495*1000000000+ISNUMBER('Dvd Calendar'!$AO$498)*100000000+('Dvd Calendar'!$AO$500=SPECIAL_LBL)*10000000+(N('Dvd Calendar'!$AO$494)&gt;0)*(N('Dvd Calendar'!$AO$494)&lt;=VAL_SERIAL)*1000000+45*1000+37))</f>
        <v/>
      </c>
      <c r="FP56" s="121">
        <f>IF(N('Dvd Calendar'!$AP$495)=0,"",IF(('Dvd Calendar'!$AP$495&gt;=GRID_FROM)*('Dvd Calendar'!$AP$495&lt;=GRID_TO)*((('Dvd Calendar'!$AP$495&lt;=VAL_DATE)+(COUNTIF('Dvd Calendar'!$E$502:$AR$502,'Dvd Calendar'!$AP$495)=0))&gt;0)=0,"",'Dvd Calendar'!$AP$495*1000000000+ISNUMBER('Dvd Calendar'!$AP$498)*100000000+('Dvd Calendar'!$AP$500=SPECIAL_LBL)*10000000+(N('Dvd Calendar'!$AP$494)&gt;0)*(N('Dvd Calendar'!$AP$494)&lt;=VAL_SERIAL)*1000000+45*1000+38))</f>
        <v/>
      </c>
      <c r="FQ56" s="121">
        <f>IF(N('Dvd Calendar'!$AQ$495)=0,"",IF(('Dvd Calendar'!$AQ$495&gt;=GRID_FROM)*('Dvd Calendar'!$AQ$495&lt;=GRID_TO)*((('Dvd Calendar'!$AQ$495&lt;=VAL_DATE)+(COUNTIF('Dvd Calendar'!$E$502:$AR$502,'Dvd Calendar'!$AQ$495)=0))&gt;0)=0,"",'Dvd Calendar'!$AQ$495*1000000000+ISNUMBER('Dvd Calendar'!$AQ$498)*100000000+('Dvd Calendar'!$AQ$500=SPECIAL_LBL)*10000000+(N('Dvd Calendar'!$AQ$494)&gt;0)*(N('Dvd Calendar'!$AQ$494)&lt;=VAL_SERIAL)*1000000+45*1000+39))</f>
        <v/>
      </c>
      <c r="FR56" s="121">
        <f>IF(N('Dvd Calendar'!$AR$495)=0,"",IF(('Dvd Calendar'!$AR$495&gt;=GRID_FROM)*('Dvd Calendar'!$AR$495&lt;=GRID_TO)*((('Dvd Calendar'!$AR$495&lt;=VAL_DATE)+(COUNTIF('Dvd Calendar'!$E$502:$AR$502,'Dvd Calendar'!$AR$495)=0))&gt;0)=0,"",'Dvd Calendar'!$AR$495*1000000000+ISNUMBER('Dvd Calendar'!$AR$498)*100000000+('Dvd Calendar'!$AR$500=SPECIAL_LBL)*10000000+(N('Dvd Calendar'!$AR$494)&gt;0)*(N('Dvd Calendar'!$AR$494)&lt;=VAL_SERIAL)*1000000+45*1000+40))</f>
        <v/>
      </c>
      <c r="FS56" s="121">
        <f>IF(N('Dvd Calendar'!$E$502)=0,"",IF(('Dvd Calendar'!$E$502&gt;=GRID_FROM)*('Dvd Calendar'!$E$502&lt;=GRID_TO)*('Dvd Calendar'!$E$502&gt;VAL_DATE)=0,"",'Dvd Calendar'!$E$502*1000000000+ISNUMBER('Dvd Calendar'!$E$503)*100000000+0*10000000+(N('Dvd Calendar'!$E$501)&gt;0)*(N('Dvd Calendar'!$E$501)&lt;=VAL_SERIAL)*1000000+45*1000+41))</f>
        <v/>
      </c>
      <c r="FT56" s="121">
        <f>IF(N('Dvd Calendar'!$F$502)=0,"",IF(('Dvd Calendar'!$F$502&gt;=GRID_FROM)*('Dvd Calendar'!$F$502&lt;=GRID_TO)*('Dvd Calendar'!$F$502&gt;VAL_DATE)=0,"",'Dvd Calendar'!$F$502*1000000000+ISNUMBER('Dvd Calendar'!$F$503)*100000000+0*10000000+(N('Dvd Calendar'!$F$501)&gt;0)*(N('Dvd Calendar'!$F$501)&lt;=VAL_SERIAL)*1000000+45*1000+42))</f>
        <v/>
      </c>
      <c r="FU56" s="121">
        <f>IF(N('Dvd Calendar'!$G$502)=0,"",IF(('Dvd Calendar'!$G$502&gt;=GRID_FROM)*('Dvd Calendar'!$G$502&lt;=GRID_TO)*('Dvd Calendar'!$G$502&gt;VAL_DATE)=0,"",'Dvd Calendar'!$G$502*1000000000+ISNUMBER('Dvd Calendar'!$G$503)*100000000+0*10000000+(N('Dvd Calendar'!$G$501)&gt;0)*(N('Dvd Calendar'!$G$501)&lt;=VAL_SERIAL)*1000000+45*1000+43))</f>
        <v/>
      </c>
      <c r="FV56" s="121">
        <f>IF(N('Dvd Calendar'!$H$502)=0,"",IF(('Dvd Calendar'!$H$502&gt;=GRID_FROM)*('Dvd Calendar'!$H$502&lt;=GRID_TO)*('Dvd Calendar'!$H$502&gt;VAL_DATE)=0,"",'Dvd Calendar'!$H$502*1000000000+ISNUMBER('Dvd Calendar'!$H$503)*100000000+0*10000000+(N('Dvd Calendar'!$H$501)&gt;0)*(N('Dvd Calendar'!$H$501)&lt;=VAL_SERIAL)*1000000+45*1000+44))</f>
        <v/>
      </c>
      <c r="FW56" s="121">
        <f>IF(N('Dvd Calendar'!$I$502)=0,"",IF(('Dvd Calendar'!$I$502&gt;=GRID_FROM)*('Dvd Calendar'!$I$502&lt;=GRID_TO)*('Dvd Calendar'!$I$502&gt;VAL_DATE)=0,"",'Dvd Calendar'!$I$502*1000000000+ISNUMBER('Dvd Calendar'!$I$503)*100000000+0*10000000+(N('Dvd Calendar'!$I$501)&gt;0)*(N('Dvd Calendar'!$I$501)&lt;=VAL_SERIAL)*1000000+45*1000+45))</f>
        <v/>
      </c>
      <c r="FX56" s="121">
        <f>IF(N('Dvd Calendar'!$J$502)=0,"",IF(('Dvd Calendar'!$J$502&gt;=GRID_FROM)*('Dvd Calendar'!$J$502&lt;=GRID_TO)*('Dvd Calendar'!$J$502&gt;VAL_DATE)=0,"",'Dvd Calendar'!$J$502*1000000000+ISNUMBER('Dvd Calendar'!$J$503)*100000000+0*10000000+(N('Dvd Calendar'!$J$501)&gt;0)*(N('Dvd Calendar'!$J$501)&lt;=VAL_SERIAL)*1000000+45*1000+46))</f>
        <v/>
      </c>
      <c r="FY56" s="121">
        <f>IF(N('Dvd Calendar'!$K$502)=0,"",IF(('Dvd Calendar'!$K$502&gt;=GRID_FROM)*('Dvd Calendar'!$K$502&lt;=GRID_TO)*('Dvd Calendar'!$K$502&gt;VAL_DATE)=0,"",'Dvd Calendar'!$K$502*1000000000+ISNUMBER('Dvd Calendar'!$K$503)*100000000+0*10000000+(N('Dvd Calendar'!$K$501)&gt;0)*(N('Dvd Calendar'!$K$501)&lt;=VAL_SERIAL)*1000000+45*1000+47))</f>
        <v/>
      </c>
      <c r="FZ56" s="121">
        <f>IF(N('Dvd Calendar'!$L$502)=0,"",IF(('Dvd Calendar'!$L$502&gt;=GRID_FROM)*('Dvd Calendar'!$L$502&lt;=GRID_TO)*('Dvd Calendar'!$L$502&gt;VAL_DATE)=0,"",'Dvd Calendar'!$L$502*1000000000+ISNUMBER('Dvd Calendar'!$L$503)*100000000+0*10000000+(N('Dvd Calendar'!$L$501)&gt;0)*(N('Dvd Calendar'!$L$501)&lt;=VAL_SERIAL)*1000000+45*1000+48))</f>
        <v/>
      </c>
      <c r="GA56" s="121">
        <f>IF(N('Dvd Calendar'!$M$502)=0,"",IF(('Dvd Calendar'!$M$502&gt;=GRID_FROM)*('Dvd Calendar'!$M$502&lt;=GRID_TO)*('Dvd Calendar'!$M$502&gt;VAL_DATE)=0,"",'Dvd Calendar'!$M$502*1000000000+ISNUMBER('Dvd Calendar'!$M$503)*100000000+0*10000000+(N('Dvd Calendar'!$M$501)&gt;0)*(N('Dvd Calendar'!$M$501)&lt;=VAL_SERIAL)*1000000+45*1000+49))</f>
        <v/>
      </c>
      <c r="GB56" s="121">
        <f>IF(N('Dvd Calendar'!$N$502)=0,"",IF(('Dvd Calendar'!$N$502&gt;=GRID_FROM)*('Dvd Calendar'!$N$502&lt;=GRID_TO)*('Dvd Calendar'!$N$502&gt;VAL_DATE)=0,"",'Dvd Calendar'!$N$502*1000000000+ISNUMBER('Dvd Calendar'!$N$503)*100000000+0*10000000+(N('Dvd Calendar'!$N$501)&gt;0)*(N('Dvd Calendar'!$N$501)&lt;=VAL_SERIAL)*1000000+45*1000+50))</f>
        <v/>
      </c>
      <c r="GC56" s="121">
        <f>IF(N('Dvd Calendar'!$O$502)=0,"",IF(('Dvd Calendar'!$O$502&gt;=GRID_FROM)*('Dvd Calendar'!$O$502&lt;=GRID_TO)*('Dvd Calendar'!$O$502&gt;VAL_DATE)=0,"",'Dvd Calendar'!$O$502*1000000000+ISNUMBER('Dvd Calendar'!$O$503)*100000000+0*10000000+(N('Dvd Calendar'!$O$501)&gt;0)*(N('Dvd Calendar'!$O$501)&lt;=VAL_SERIAL)*1000000+45*1000+51))</f>
        <v/>
      </c>
      <c r="GD56" s="121">
        <f>IF(N('Dvd Calendar'!$P$502)=0,"",IF(('Dvd Calendar'!$P$502&gt;=GRID_FROM)*('Dvd Calendar'!$P$502&lt;=GRID_TO)*('Dvd Calendar'!$P$502&gt;VAL_DATE)=0,"",'Dvd Calendar'!$P$502*1000000000+ISNUMBER('Dvd Calendar'!$P$503)*100000000+0*10000000+(N('Dvd Calendar'!$P$501)&gt;0)*(N('Dvd Calendar'!$P$501)&lt;=VAL_SERIAL)*1000000+45*1000+52))</f>
        <v/>
      </c>
      <c r="GE56" s="121">
        <f>IF(N('Dvd Calendar'!$Q$502)=0,"",IF(('Dvd Calendar'!$Q$502&gt;=GRID_FROM)*('Dvd Calendar'!$Q$502&lt;=GRID_TO)*('Dvd Calendar'!$Q$502&gt;VAL_DATE)=0,"",'Dvd Calendar'!$Q$502*1000000000+ISNUMBER('Dvd Calendar'!$Q$503)*100000000+0*10000000+(N('Dvd Calendar'!$Q$501)&gt;0)*(N('Dvd Calendar'!$Q$501)&lt;=VAL_SERIAL)*1000000+45*1000+53))</f>
        <v/>
      </c>
      <c r="GF56" s="121">
        <f>IF(N('Dvd Calendar'!$R$502)=0,"",IF(('Dvd Calendar'!$R$502&gt;=GRID_FROM)*('Dvd Calendar'!$R$502&lt;=GRID_TO)*('Dvd Calendar'!$R$502&gt;VAL_DATE)=0,"",'Dvd Calendar'!$R$502*1000000000+ISNUMBER('Dvd Calendar'!$R$503)*100000000+0*10000000+(N('Dvd Calendar'!$R$501)&gt;0)*(N('Dvd Calendar'!$R$501)&lt;=VAL_SERIAL)*1000000+45*1000+54))</f>
        <v/>
      </c>
      <c r="GG56" s="121">
        <f>IF(N('Dvd Calendar'!$S$502)=0,"",IF(('Dvd Calendar'!$S$502&gt;=GRID_FROM)*('Dvd Calendar'!$S$502&lt;=GRID_TO)*('Dvd Calendar'!$S$502&gt;VAL_DATE)=0,"",'Dvd Calendar'!$S$502*1000000000+ISNUMBER('Dvd Calendar'!$S$503)*100000000+0*10000000+(N('Dvd Calendar'!$S$501)&gt;0)*(N('Dvd Calendar'!$S$501)&lt;=VAL_SERIAL)*1000000+45*1000+55))</f>
        <v/>
      </c>
      <c r="GH56" s="121">
        <f>IF(N('Dvd Calendar'!$T$502)=0,"",IF(('Dvd Calendar'!$T$502&gt;=GRID_FROM)*('Dvd Calendar'!$T$502&lt;=GRID_TO)*('Dvd Calendar'!$T$502&gt;VAL_DATE)=0,"",'Dvd Calendar'!$T$502*1000000000+ISNUMBER('Dvd Calendar'!$T$503)*100000000+0*10000000+(N('Dvd Calendar'!$T$501)&gt;0)*(N('Dvd Calendar'!$T$501)&lt;=VAL_SERIAL)*1000000+45*1000+56))</f>
        <v/>
      </c>
      <c r="GI56" s="121">
        <f>IF(N('Dvd Calendar'!$U$502)=0,"",IF(('Dvd Calendar'!$U$502&gt;=GRID_FROM)*('Dvd Calendar'!$U$502&lt;=GRID_TO)*('Dvd Calendar'!$U$502&gt;VAL_DATE)=0,"",'Dvd Calendar'!$U$502*1000000000+ISNUMBER('Dvd Calendar'!$U$503)*100000000+0*10000000+(N('Dvd Calendar'!$U$501)&gt;0)*(N('Dvd Calendar'!$U$501)&lt;=VAL_SERIAL)*1000000+45*1000+57))</f>
        <v/>
      </c>
      <c r="GJ56" s="121">
        <f>IF(N('Dvd Calendar'!$V$502)=0,"",IF(('Dvd Calendar'!$V$502&gt;=GRID_FROM)*('Dvd Calendar'!$V$502&lt;=GRID_TO)*('Dvd Calendar'!$V$502&gt;VAL_DATE)=0,"",'Dvd Calendar'!$V$502*1000000000+ISNUMBER('Dvd Calendar'!$V$503)*100000000+0*10000000+(N('Dvd Calendar'!$V$501)&gt;0)*(N('Dvd Calendar'!$V$501)&lt;=VAL_SERIAL)*1000000+45*1000+58))</f>
        <v/>
      </c>
      <c r="GK56" s="121">
        <f>IF(N('Dvd Calendar'!$W$502)=0,"",IF(('Dvd Calendar'!$W$502&gt;=GRID_FROM)*('Dvd Calendar'!$W$502&lt;=GRID_TO)*('Dvd Calendar'!$W$502&gt;VAL_DATE)=0,"",'Dvd Calendar'!$W$502*1000000000+ISNUMBER('Dvd Calendar'!$W$503)*100000000+0*10000000+(N('Dvd Calendar'!$W$501)&gt;0)*(N('Dvd Calendar'!$W$501)&lt;=VAL_SERIAL)*1000000+45*1000+59))</f>
        <v/>
      </c>
      <c r="GL56" s="121">
        <f>IF(N('Dvd Calendar'!$X$502)=0,"",IF(('Dvd Calendar'!$X$502&gt;=GRID_FROM)*('Dvd Calendar'!$X$502&lt;=GRID_TO)*('Dvd Calendar'!$X$502&gt;VAL_DATE)=0,"",'Dvd Calendar'!$X$502*1000000000+ISNUMBER('Dvd Calendar'!$X$503)*100000000+0*10000000+(N('Dvd Calendar'!$X$501)&gt;0)*(N('Dvd Calendar'!$X$501)&lt;=VAL_SERIAL)*1000000+45*1000+60))</f>
        <v/>
      </c>
      <c r="GM56" s="121">
        <f>IF(N('Dvd Calendar'!$Y$502)=0,"",IF(('Dvd Calendar'!$Y$502&gt;=GRID_FROM)*('Dvd Calendar'!$Y$502&lt;=GRID_TO)*('Dvd Calendar'!$Y$502&gt;VAL_DATE)=0,"",'Dvd Calendar'!$Y$502*1000000000+ISNUMBER('Dvd Calendar'!$Y$503)*100000000+0*10000000+(N('Dvd Calendar'!$Y$501)&gt;0)*(N('Dvd Calendar'!$Y$501)&lt;=VAL_SERIAL)*1000000+45*1000+61))</f>
        <v/>
      </c>
      <c r="GN56" s="121">
        <f>IF(N('Dvd Calendar'!$Z$502)=0,"",IF(('Dvd Calendar'!$Z$502&gt;=GRID_FROM)*('Dvd Calendar'!$Z$502&lt;=GRID_TO)*('Dvd Calendar'!$Z$502&gt;VAL_DATE)=0,"",'Dvd Calendar'!$Z$502*1000000000+ISNUMBER('Dvd Calendar'!$Z$503)*100000000+0*10000000+(N('Dvd Calendar'!$Z$501)&gt;0)*(N('Dvd Calendar'!$Z$501)&lt;=VAL_SERIAL)*1000000+45*1000+62))</f>
        <v/>
      </c>
      <c r="GO56" s="121">
        <f>IF(N('Dvd Calendar'!$AA$502)=0,"",IF(('Dvd Calendar'!$AA$502&gt;=GRID_FROM)*('Dvd Calendar'!$AA$502&lt;=GRID_TO)*('Dvd Calendar'!$AA$502&gt;VAL_DATE)=0,"",'Dvd Calendar'!$AA$502*1000000000+ISNUMBER('Dvd Calendar'!$AA$503)*100000000+0*10000000+(N('Dvd Calendar'!$AA$501)&gt;0)*(N('Dvd Calendar'!$AA$501)&lt;=VAL_SERIAL)*1000000+45*1000+63))</f>
        <v/>
      </c>
      <c r="GP56" s="121">
        <f>IF(N('Dvd Calendar'!$AB$502)=0,"",IF(('Dvd Calendar'!$AB$502&gt;=GRID_FROM)*('Dvd Calendar'!$AB$502&lt;=GRID_TO)*('Dvd Calendar'!$AB$502&gt;VAL_DATE)=0,"",'Dvd Calendar'!$AB$502*1000000000+ISNUMBER('Dvd Calendar'!$AB$503)*100000000+0*10000000+(N('Dvd Calendar'!$AB$501)&gt;0)*(N('Dvd Calendar'!$AB$501)&lt;=VAL_SERIAL)*1000000+45*1000+64))</f>
        <v/>
      </c>
      <c r="GQ56" s="121">
        <f>IF(N('Dvd Calendar'!$AC$502)=0,"",IF(('Dvd Calendar'!$AC$502&gt;=GRID_FROM)*('Dvd Calendar'!$AC$502&lt;=GRID_TO)*('Dvd Calendar'!$AC$502&gt;VAL_DATE)=0,"",'Dvd Calendar'!$AC$502*1000000000+ISNUMBER('Dvd Calendar'!$AC$503)*100000000+0*10000000+(N('Dvd Calendar'!$AC$501)&gt;0)*(N('Dvd Calendar'!$AC$501)&lt;=VAL_SERIAL)*1000000+45*1000+65))</f>
        <v/>
      </c>
    </row>
    <row r="57">
      <c r="B57" s="2">
        <f>IF(HSI!$C$52="","",HSI!$C$52)</f>
        <v/>
      </c>
      <c r="C57" s="161">
        <f>IF(EE57="","",IF(ISNUMBER('Dvd Calendar'!$E$509)=FALSE,"",IF((('Dvd Calendar'!$E$511=TYPE1)*(TYPE1&lt;&gt;"")+('Dvd Calendar'!$E$511=TYPE2)*(TYPE2&lt;&gt;"")+('Dvd Calendar'!$E$511=TYPE3)*(TYPE3&lt;&gt;"")+('Dvd Calendar'!$E$511=TYPE4)*(TYPE4&lt;&gt;"")+('Dvd Calendar'!$E$511=SPECIAL_LBL)*(INC_SPECIALS="Y"))=0,"",'Dvd Calendar'!$E$509)))</f>
        <v/>
      </c>
      <c r="D57" s="161">
        <f>IF(EF57="","",IF(ISNUMBER('Dvd Calendar'!$F$509)=FALSE,"",IF((('Dvd Calendar'!$F$511=TYPE1)*(TYPE1&lt;&gt;"")+('Dvd Calendar'!$F$511=TYPE2)*(TYPE2&lt;&gt;"")+('Dvd Calendar'!$F$511=TYPE3)*(TYPE3&lt;&gt;"")+('Dvd Calendar'!$F$511=TYPE4)*(TYPE4&lt;&gt;"")+('Dvd Calendar'!$F$511=SPECIAL_LBL)*(INC_SPECIALS="Y"))=0,"",'Dvd Calendar'!$F$509)))</f>
        <v/>
      </c>
      <c r="E57" s="161">
        <f>IF(EG57="","",IF(ISNUMBER('Dvd Calendar'!$G$509)=FALSE,"",IF((('Dvd Calendar'!$G$511=TYPE1)*(TYPE1&lt;&gt;"")+('Dvd Calendar'!$G$511=TYPE2)*(TYPE2&lt;&gt;"")+('Dvd Calendar'!$G$511=TYPE3)*(TYPE3&lt;&gt;"")+('Dvd Calendar'!$G$511=TYPE4)*(TYPE4&lt;&gt;"")+('Dvd Calendar'!$G$511=SPECIAL_LBL)*(INC_SPECIALS="Y"))=0,"",'Dvd Calendar'!$G$509)))</f>
        <v/>
      </c>
      <c r="F57" s="161">
        <f>IF(EH57="","",IF(ISNUMBER('Dvd Calendar'!$H$509)=FALSE,"",IF((('Dvd Calendar'!$H$511=TYPE1)*(TYPE1&lt;&gt;"")+('Dvd Calendar'!$H$511=TYPE2)*(TYPE2&lt;&gt;"")+('Dvd Calendar'!$H$511=TYPE3)*(TYPE3&lt;&gt;"")+('Dvd Calendar'!$H$511=TYPE4)*(TYPE4&lt;&gt;"")+('Dvd Calendar'!$H$511=SPECIAL_LBL)*(INC_SPECIALS="Y"))=0,"",'Dvd Calendar'!$H$509)))</f>
        <v/>
      </c>
      <c r="G57" s="161">
        <f>IF(EI57="","",IF(ISNUMBER('Dvd Calendar'!$I$509)=FALSE,"",IF((('Dvd Calendar'!$I$511=TYPE1)*(TYPE1&lt;&gt;"")+('Dvd Calendar'!$I$511=TYPE2)*(TYPE2&lt;&gt;"")+('Dvd Calendar'!$I$511=TYPE3)*(TYPE3&lt;&gt;"")+('Dvd Calendar'!$I$511=TYPE4)*(TYPE4&lt;&gt;"")+('Dvd Calendar'!$I$511=SPECIAL_LBL)*(INC_SPECIALS="Y"))=0,"",'Dvd Calendar'!$I$509)))</f>
        <v/>
      </c>
      <c r="H57" s="161">
        <f>IF(EJ57="","",IF(ISNUMBER('Dvd Calendar'!$J$509)=FALSE,"",IF((('Dvd Calendar'!$J$511=TYPE1)*(TYPE1&lt;&gt;"")+('Dvd Calendar'!$J$511=TYPE2)*(TYPE2&lt;&gt;"")+('Dvd Calendar'!$J$511=TYPE3)*(TYPE3&lt;&gt;"")+('Dvd Calendar'!$J$511=TYPE4)*(TYPE4&lt;&gt;"")+('Dvd Calendar'!$J$511=SPECIAL_LBL)*(INC_SPECIALS="Y"))=0,"",'Dvd Calendar'!$J$509)))</f>
        <v/>
      </c>
      <c r="I57" s="161">
        <f>IF(EK57="","",IF(ISNUMBER('Dvd Calendar'!$K$509)=FALSE,"",IF((('Dvd Calendar'!$K$511=TYPE1)*(TYPE1&lt;&gt;"")+('Dvd Calendar'!$K$511=TYPE2)*(TYPE2&lt;&gt;"")+('Dvd Calendar'!$K$511=TYPE3)*(TYPE3&lt;&gt;"")+('Dvd Calendar'!$K$511=TYPE4)*(TYPE4&lt;&gt;"")+('Dvd Calendar'!$K$511=SPECIAL_LBL)*(INC_SPECIALS="Y"))=0,"",'Dvd Calendar'!$K$509)))</f>
        <v/>
      </c>
      <c r="J57" s="161">
        <f>IF(EL57="","",IF(ISNUMBER('Dvd Calendar'!$L$509)=FALSE,"",IF((('Dvd Calendar'!$L$511=TYPE1)*(TYPE1&lt;&gt;"")+('Dvd Calendar'!$L$511=TYPE2)*(TYPE2&lt;&gt;"")+('Dvd Calendar'!$L$511=TYPE3)*(TYPE3&lt;&gt;"")+('Dvd Calendar'!$L$511=TYPE4)*(TYPE4&lt;&gt;"")+('Dvd Calendar'!$L$511=SPECIAL_LBL)*(INC_SPECIALS="Y"))=0,"",'Dvd Calendar'!$L$509)))</f>
        <v/>
      </c>
      <c r="K57" s="161">
        <f>IF(EM57="","",IF(ISNUMBER('Dvd Calendar'!$M$509)=FALSE,"",IF((('Dvd Calendar'!$M$511=TYPE1)*(TYPE1&lt;&gt;"")+('Dvd Calendar'!$M$511=TYPE2)*(TYPE2&lt;&gt;"")+('Dvd Calendar'!$M$511=TYPE3)*(TYPE3&lt;&gt;"")+('Dvd Calendar'!$M$511=TYPE4)*(TYPE4&lt;&gt;"")+('Dvd Calendar'!$M$511=SPECIAL_LBL)*(INC_SPECIALS="Y"))=0,"",'Dvd Calendar'!$M$509)))</f>
        <v/>
      </c>
      <c r="L57" s="161">
        <f>IF(EN57="","",IF(ISNUMBER('Dvd Calendar'!$N$509)=FALSE,"",IF((('Dvd Calendar'!$N$511=TYPE1)*(TYPE1&lt;&gt;"")+('Dvd Calendar'!$N$511=TYPE2)*(TYPE2&lt;&gt;"")+('Dvd Calendar'!$N$511=TYPE3)*(TYPE3&lt;&gt;"")+('Dvd Calendar'!$N$511=TYPE4)*(TYPE4&lt;&gt;"")+('Dvd Calendar'!$N$511=SPECIAL_LBL)*(INC_SPECIALS="Y"))=0,"",'Dvd Calendar'!$N$509)))</f>
        <v/>
      </c>
      <c r="M57" s="161">
        <f>IF(EO57="","",IF(ISNUMBER('Dvd Calendar'!$O$509)=FALSE,"",IF((('Dvd Calendar'!$O$511=TYPE1)*(TYPE1&lt;&gt;"")+('Dvd Calendar'!$O$511=TYPE2)*(TYPE2&lt;&gt;"")+('Dvd Calendar'!$O$511=TYPE3)*(TYPE3&lt;&gt;"")+('Dvd Calendar'!$O$511=TYPE4)*(TYPE4&lt;&gt;"")+('Dvd Calendar'!$O$511=SPECIAL_LBL)*(INC_SPECIALS="Y"))=0,"",'Dvd Calendar'!$O$509)))</f>
        <v/>
      </c>
      <c r="N57" s="161">
        <f>IF(EP57="","",IF(ISNUMBER('Dvd Calendar'!$P$509)=FALSE,"",IF((('Dvd Calendar'!$P$511=TYPE1)*(TYPE1&lt;&gt;"")+('Dvd Calendar'!$P$511=TYPE2)*(TYPE2&lt;&gt;"")+('Dvd Calendar'!$P$511=TYPE3)*(TYPE3&lt;&gt;"")+('Dvd Calendar'!$P$511=TYPE4)*(TYPE4&lt;&gt;"")+('Dvd Calendar'!$P$511=SPECIAL_LBL)*(INC_SPECIALS="Y"))=0,"",'Dvd Calendar'!$P$509)))</f>
        <v/>
      </c>
      <c r="O57" s="161">
        <f>IF(EQ57="","",IF(ISNUMBER('Dvd Calendar'!$Q$509)=FALSE,"",IF((('Dvd Calendar'!$Q$511=TYPE1)*(TYPE1&lt;&gt;"")+('Dvd Calendar'!$Q$511=TYPE2)*(TYPE2&lt;&gt;"")+('Dvd Calendar'!$Q$511=TYPE3)*(TYPE3&lt;&gt;"")+('Dvd Calendar'!$Q$511=TYPE4)*(TYPE4&lt;&gt;"")+('Dvd Calendar'!$Q$511=SPECIAL_LBL)*(INC_SPECIALS="Y"))=0,"",'Dvd Calendar'!$Q$509)))</f>
        <v/>
      </c>
      <c r="P57" s="161">
        <f>IF(ER57="","",IF(ISNUMBER('Dvd Calendar'!$R$509)=FALSE,"",IF((('Dvd Calendar'!$R$511=TYPE1)*(TYPE1&lt;&gt;"")+('Dvd Calendar'!$R$511=TYPE2)*(TYPE2&lt;&gt;"")+('Dvd Calendar'!$R$511=TYPE3)*(TYPE3&lt;&gt;"")+('Dvd Calendar'!$R$511=TYPE4)*(TYPE4&lt;&gt;"")+('Dvd Calendar'!$R$511=SPECIAL_LBL)*(INC_SPECIALS="Y"))=0,"",'Dvd Calendar'!$R$509)))</f>
        <v/>
      </c>
      <c r="Q57" s="161">
        <f>IF(ES57="","",IF(ISNUMBER('Dvd Calendar'!$S$509)=FALSE,"",IF((('Dvd Calendar'!$S$511=TYPE1)*(TYPE1&lt;&gt;"")+('Dvd Calendar'!$S$511=TYPE2)*(TYPE2&lt;&gt;"")+('Dvd Calendar'!$S$511=TYPE3)*(TYPE3&lt;&gt;"")+('Dvd Calendar'!$S$511=TYPE4)*(TYPE4&lt;&gt;"")+('Dvd Calendar'!$S$511=SPECIAL_LBL)*(INC_SPECIALS="Y"))=0,"",'Dvd Calendar'!$S$509)))</f>
        <v/>
      </c>
      <c r="R57" s="161">
        <f>IF(ET57="","",IF(ISNUMBER('Dvd Calendar'!$T$509)=FALSE,"",IF((('Dvd Calendar'!$T$511=TYPE1)*(TYPE1&lt;&gt;"")+('Dvd Calendar'!$T$511=TYPE2)*(TYPE2&lt;&gt;"")+('Dvd Calendar'!$T$511=TYPE3)*(TYPE3&lt;&gt;"")+('Dvd Calendar'!$T$511=TYPE4)*(TYPE4&lt;&gt;"")+('Dvd Calendar'!$T$511=SPECIAL_LBL)*(INC_SPECIALS="Y"))=0,"",'Dvd Calendar'!$T$509)))</f>
        <v/>
      </c>
      <c r="S57" s="161">
        <f>IF(EU57="","",IF(ISNUMBER('Dvd Calendar'!$U$509)=FALSE,"",IF((('Dvd Calendar'!$U$511=TYPE1)*(TYPE1&lt;&gt;"")+('Dvd Calendar'!$U$511=TYPE2)*(TYPE2&lt;&gt;"")+('Dvd Calendar'!$U$511=TYPE3)*(TYPE3&lt;&gt;"")+('Dvd Calendar'!$U$511=TYPE4)*(TYPE4&lt;&gt;"")+('Dvd Calendar'!$U$511=SPECIAL_LBL)*(INC_SPECIALS="Y"))=0,"",'Dvd Calendar'!$U$509)))</f>
        <v/>
      </c>
      <c r="T57" s="161">
        <f>IF(EV57="","",IF(ISNUMBER('Dvd Calendar'!$V$509)=FALSE,"",IF((('Dvd Calendar'!$V$511=TYPE1)*(TYPE1&lt;&gt;"")+('Dvd Calendar'!$V$511=TYPE2)*(TYPE2&lt;&gt;"")+('Dvd Calendar'!$V$511=TYPE3)*(TYPE3&lt;&gt;"")+('Dvd Calendar'!$V$511=TYPE4)*(TYPE4&lt;&gt;"")+('Dvd Calendar'!$V$511=SPECIAL_LBL)*(INC_SPECIALS="Y"))=0,"",'Dvd Calendar'!$V$509)))</f>
        <v/>
      </c>
      <c r="U57" s="161">
        <f>IF(EW57="","",IF(ISNUMBER('Dvd Calendar'!$W$509)=FALSE,"",IF((('Dvd Calendar'!$W$511=TYPE1)*(TYPE1&lt;&gt;"")+('Dvd Calendar'!$W$511=TYPE2)*(TYPE2&lt;&gt;"")+('Dvd Calendar'!$W$511=TYPE3)*(TYPE3&lt;&gt;"")+('Dvd Calendar'!$W$511=TYPE4)*(TYPE4&lt;&gt;"")+('Dvd Calendar'!$W$511=SPECIAL_LBL)*(INC_SPECIALS="Y"))=0,"",'Dvd Calendar'!$W$509)))</f>
        <v/>
      </c>
      <c r="V57" s="161">
        <f>IF(EX57="","",IF(ISNUMBER('Dvd Calendar'!$X$509)=FALSE,"",IF((('Dvd Calendar'!$X$511=TYPE1)*(TYPE1&lt;&gt;"")+('Dvd Calendar'!$X$511=TYPE2)*(TYPE2&lt;&gt;"")+('Dvd Calendar'!$X$511=TYPE3)*(TYPE3&lt;&gt;"")+('Dvd Calendar'!$X$511=TYPE4)*(TYPE4&lt;&gt;"")+('Dvd Calendar'!$X$511=SPECIAL_LBL)*(INC_SPECIALS="Y"))=0,"",'Dvd Calendar'!$X$509)))</f>
        <v/>
      </c>
      <c r="W57" s="161">
        <f>IF(EY57="","",IF(ISNUMBER('Dvd Calendar'!$Y$509)=FALSE,"",IF((('Dvd Calendar'!$Y$511=TYPE1)*(TYPE1&lt;&gt;"")+('Dvd Calendar'!$Y$511=TYPE2)*(TYPE2&lt;&gt;"")+('Dvd Calendar'!$Y$511=TYPE3)*(TYPE3&lt;&gt;"")+('Dvd Calendar'!$Y$511=TYPE4)*(TYPE4&lt;&gt;"")+('Dvd Calendar'!$Y$511=SPECIAL_LBL)*(INC_SPECIALS="Y"))=0,"",'Dvd Calendar'!$Y$509)))</f>
        <v/>
      </c>
      <c r="X57" s="161">
        <f>IF(EZ57="","",IF(ISNUMBER('Dvd Calendar'!$Z$509)=FALSE,"",IF((('Dvd Calendar'!$Z$511=TYPE1)*(TYPE1&lt;&gt;"")+('Dvd Calendar'!$Z$511=TYPE2)*(TYPE2&lt;&gt;"")+('Dvd Calendar'!$Z$511=TYPE3)*(TYPE3&lt;&gt;"")+('Dvd Calendar'!$Z$511=TYPE4)*(TYPE4&lt;&gt;"")+('Dvd Calendar'!$Z$511=SPECIAL_LBL)*(INC_SPECIALS="Y"))=0,"",'Dvd Calendar'!$Z$509)))</f>
        <v/>
      </c>
      <c r="Y57" s="161">
        <f>IF(FA57="","",IF(ISNUMBER('Dvd Calendar'!$AA$509)=FALSE,"",IF((('Dvd Calendar'!$AA$511=TYPE1)*(TYPE1&lt;&gt;"")+('Dvd Calendar'!$AA$511=TYPE2)*(TYPE2&lt;&gt;"")+('Dvd Calendar'!$AA$511=TYPE3)*(TYPE3&lt;&gt;"")+('Dvd Calendar'!$AA$511=TYPE4)*(TYPE4&lt;&gt;"")+('Dvd Calendar'!$AA$511=SPECIAL_LBL)*(INC_SPECIALS="Y"))=0,"",'Dvd Calendar'!$AA$509)))</f>
        <v/>
      </c>
      <c r="Z57" s="161">
        <f>IF(FB57="","",IF(ISNUMBER('Dvd Calendar'!$AB$509)=FALSE,"",IF((('Dvd Calendar'!$AB$511=TYPE1)*(TYPE1&lt;&gt;"")+('Dvd Calendar'!$AB$511=TYPE2)*(TYPE2&lt;&gt;"")+('Dvd Calendar'!$AB$511=TYPE3)*(TYPE3&lt;&gt;"")+('Dvd Calendar'!$AB$511=TYPE4)*(TYPE4&lt;&gt;"")+('Dvd Calendar'!$AB$511=SPECIAL_LBL)*(INC_SPECIALS="Y"))=0,"",'Dvd Calendar'!$AB$509)))</f>
        <v/>
      </c>
      <c r="AA57" s="161">
        <f>IF(FC57="","",IF(ISNUMBER('Dvd Calendar'!$AC$509)=FALSE,"",IF((('Dvd Calendar'!$AC$511=TYPE1)*(TYPE1&lt;&gt;"")+('Dvd Calendar'!$AC$511=TYPE2)*(TYPE2&lt;&gt;"")+('Dvd Calendar'!$AC$511=TYPE3)*(TYPE3&lt;&gt;"")+('Dvd Calendar'!$AC$511=TYPE4)*(TYPE4&lt;&gt;"")+('Dvd Calendar'!$AC$511=SPECIAL_LBL)*(INC_SPECIALS="Y"))=0,"",'Dvd Calendar'!$AC$509)))</f>
        <v/>
      </c>
      <c r="AB57" s="161">
        <f>IF(FD57="","",IF(ISNUMBER('Dvd Calendar'!$AD$509)=FALSE,"",IF((('Dvd Calendar'!$AD$511=TYPE1)*(TYPE1&lt;&gt;"")+('Dvd Calendar'!$AD$511=TYPE2)*(TYPE2&lt;&gt;"")+('Dvd Calendar'!$AD$511=TYPE3)*(TYPE3&lt;&gt;"")+('Dvd Calendar'!$AD$511=TYPE4)*(TYPE4&lt;&gt;"")+('Dvd Calendar'!$AD$511=SPECIAL_LBL)*(INC_SPECIALS="Y"))=0,"",'Dvd Calendar'!$AD$509)))</f>
        <v/>
      </c>
      <c r="AC57" s="161">
        <f>IF(FE57="","",IF(ISNUMBER('Dvd Calendar'!$AE$509)=FALSE,"",IF((('Dvd Calendar'!$AE$511=TYPE1)*(TYPE1&lt;&gt;"")+('Dvd Calendar'!$AE$511=TYPE2)*(TYPE2&lt;&gt;"")+('Dvd Calendar'!$AE$511=TYPE3)*(TYPE3&lt;&gt;"")+('Dvd Calendar'!$AE$511=TYPE4)*(TYPE4&lt;&gt;"")+('Dvd Calendar'!$AE$511=SPECIAL_LBL)*(INC_SPECIALS="Y"))=0,"",'Dvd Calendar'!$AE$509)))</f>
        <v/>
      </c>
      <c r="AD57" s="161">
        <f>IF(FF57="","",IF(ISNUMBER('Dvd Calendar'!$AF$509)=FALSE,"",IF((('Dvd Calendar'!$AF$511=TYPE1)*(TYPE1&lt;&gt;"")+('Dvd Calendar'!$AF$511=TYPE2)*(TYPE2&lt;&gt;"")+('Dvd Calendar'!$AF$511=TYPE3)*(TYPE3&lt;&gt;"")+('Dvd Calendar'!$AF$511=TYPE4)*(TYPE4&lt;&gt;"")+('Dvd Calendar'!$AF$511=SPECIAL_LBL)*(INC_SPECIALS="Y"))=0,"",'Dvd Calendar'!$AF$509)))</f>
        <v/>
      </c>
      <c r="AE57" s="161">
        <f>IF(FG57="","",IF(ISNUMBER('Dvd Calendar'!$AG$509)=FALSE,"",IF((('Dvd Calendar'!$AG$511=TYPE1)*(TYPE1&lt;&gt;"")+('Dvd Calendar'!$AG$511=TYPE2)*(TYPE2&lt;&gt;"")+('Dvd Calendar'!$AG$511=TYPE3)*(TYPE3&lt;&gt;"")+('Dvd Calendar'!$AG$511=TYPE4)*(TYPE4&lt;&gt;"")+('Dvd Calendar'!$AG$511=SPECIAL_LBL)*(INC_SPECIALS="Y"))=0,"",'Dvd Calendar'!$AG$509)))</f>
        <v/>
      </c>
      <c r="AF57" s="161">
        <f>IF(FH57="","",IF(ISNUMBER('Dvd Calendar'!$AH$509)=FALSE,"",IF((('Dvd Calendar'!$AH$511=TYPE1)*(TYPE1&lt;&gt;"")+('Dvd Calendar'!$AH$511=TYPE2)*(TYPE2&lt;&gt;"")+('Dvd Calendar'!$AH$511=TYPE3)*(TYPE3&lt;&gt;"")+('Dvd Calendar'!$AH$511=TYPE4)*(TYPE4&lt;&gt;"")+('Dvd Calendar'!$AH$511=SPECIAL_LBL)*(INC_SPECIALS="Y"))=0,"",'Dvd Calendar'!$AH$509)))</f>
        <v/>
      </c>
      <c r="AG57" s="161">
        <f>IF(FI57="","",IF(ISNUMBER('Dvd Calendar'!$AI$509)=FALSE,"",IF((('Dvd Calendar'!$AI$511=TYPE1)*(TYPE1&lt;&gt;"")+('Dvd Calendar'!$AI$511=TYPE2)*(TYPE2&lt;&gt;"")+('Dvd Calendar'!$AI$511=TYPE3)*(TYPE3&lt;&gt;"")+('Dvd Calendar'!$AI$511=TYPE4)*(TYPE4&lt;&gt;"")+('Dvd Calendar'!$AI$511=SPECIAL_LBL)*(INC_SPECIALS="Y"))=0,"",'Dvd Calendar'!$AI$509)))</f>
        <v/>
      </c>
      <c r="AH57" s="161">
        <f>IF(FJ57="","",IF(ISNUMBER('Dvd Calendar'!$AJ$509)=FALSE,"",IF((('Dvd Calendar'!$AJ$511=TYPE1)*(TYPE1&lt;&gt;"")+('Dvd Calendar'!$AJ$511=TYPE2)*(TYPE2&lt;&gt;"")+('Dvd Calendar'!$AJ$511=TYPE3)*(TYPE3&lt;&gt;"")+('Dvd Calendar'!$AJ$511=TYPE4)*(TYPE4&lt;&gt;"")+('Dvd Calendar'!$AJ$511=SPECIAL_LBL)*(INC_SPECIALS="Y"))=0,"",'Dvd Calendar'!$AJ$509)))</f>
        <v/>
      </c>
      <c r="AI57" s="161">
        <f>IF(FK57="","",IF(ISNUMBER('Dvd Calendar'!$AK$509)=FALSE,"",IF((('Dvd Calendar'!$AK$511=TYPE1)*(TYPE1&lt;&gt;"")+('Dvd Calendar'!$AK$511=TYPE2)*(TYPE2&lt;&gt;"")+('Dvd Calendar'!$AK$511=TYPE3)*(TYPE3&lt;&gt;"")+('Dvd Calendar'!$AK$511=TYPE4)*(TYPE4&lt;&gt;"")+('Dvd Calendar'!$AK$511=SPECIAL_LBL)*(INC_SPECIALS="Y"))=0,"",'Dvd Calendar'!$AK$509)))</f>
        <v/>
      </c>
      <c r="AJ57" s="161">
        <f>IF(FL57="","",IF(ISNUMBER('Dvd Calendar'!$AL$509)=FALSE,"",IF((('Dvd Calendar'!$AL$511=TYPE1)*(TYPE1&lt;&gt;"")+('Dvd Calendar'!$AL$511=TYPE2)*(TYPE2&lt;&gt;"")+('Dvd Calendar'!$AL$511=TYPE3)*(TYPE3&lt;&gt;"")+('Dvd Calendar'!$AL$511=TYPE4)*(TYPE4&lt;&gt;"")+('Dvd Calendar'!$AL$511=SPECIAL_LBL)*(INC_SPECIALS="Y"))=0,"",'Dvd Calendar'!$AL$509)))</f>
        <v/>
      </c>
      <c r="AK57" s="161">
        <f>IF(FM57="","",IF(ISNUMBER('Dvd Calendar'!$AM$509)=FALSE,"",IF((('Dvd Calendar'!$AM$511=TYPE1)*(TYPE1&lt;&gt;"")+('Dvd Calendar'!$AM$511=TYPE2)*(TYPE2&lt;&gt;"")+('Dvd Calendar'!$AM$511=TYPE3)*(TYPE3&lt;&gt;"")+('Dvd Calendar'!$AM$511=TYPE4)*(TYPE4&lt;&gt;"")+('Dvd Calendar'!$AM$511=SPECIAL_LBL)*(INC_SPECIALS="Y"))=0,"",'Dvd Calendar'!$AM$509)))</f>
        <v/>
      </c>
      <c r="AL57" s="161">
        <f>IF(FN57="","",IF(ISNUMBER('Dvd Calendar'!$AN$509)=FALSE,"",IF((('Dvd Calendar'!$AN$511=TYPE1)*(TYPE1&lt;&gt;"")+('Dvd Calendar'!$AN$511=TYPE2)*(TYPE2&lt;&gt;"")+('Dvd Calendar'!$AN$511=TYPE3)*(TYPE3&lt;&gt;"")+('Dvd Calendar'!$AN$511=TYPE4)*(TYPE4&lt;&gt;"")+('Dvd Calendar'!$AN$511=SPECIAL_LBL)*(INC_SPECIALS="Y"))=0,"",'Dvd Calendar'!$AN$509)))</f>
        <v/>
      </c>
      <c r="AM57" s="161">
        <f>IF(FO57="","",IF(ISNUMBER('Dvd Calendar'!$AO$509)=FALSE,"",IF((('Dvd Calendar'!$AO$511=TYPE1)*(TYPE1&lt;&gt;"")+('Dvd Calendar'!$AO$511=TYPE2)*(TYPE2&lt;&gt;"")+('Dvd Calendar'!$AO$511=TYPE3)*(TYPE3&lt;&gt;"")+('Dvd Calendar'!$AO$511=TYPE4)*(TYPE4&lt;&gt;"")+('Dvd Calendar'!$AO$511=SPECIAL_LBL)*(INC_SPECIALS="Y"))=0,"",'Dvd Calendar'!$AO$509)))</f>
        <v/>
      </c>
      <c r="AN57" s="161">
        <f>IF(FP57="","",IF(ISNUMBER('Dvd Calendar'!$AP$509)=FALSE,"",IF((('Dvd Calendar'!$AP$511=TYPE1)*(TYPE1&lt;&gt;"")+('Dvd Calendar'!$AP$511=TYPE2)*(TYPE2&lt;&gt;"")+('Dvd Calendar'!$AP$511=TYPE3)*(TYPE3&lt;&gt;"")+('Dvd Calendar'!$AP$511=TYPE4)*(TYPE4&lt;&gt;"")+('Dvd Calendar'!$AP$511=SPECIAL_LBL)*(INC_SPECIALS="Y"))=0,"",'Dvd Calendar'!$AP$509)))</f>
        <v/>
      </c>
      <c r="AO57" s="161">
        <f>IF(FQ57="","",IF(ISNUMBER('Dvd Calendar'!$AQ$509)=FALSE,"",IF((('Dvd Calendar'!$AQ$511=TYPE1)*(TYPE1&lt;&gt;"")+('Dvd Calendar'!$AQ$511=TYPE2)*(TYPE2&lt;&gt;"")+('Dvd Calendar'!$AQ$511=TYPE3)*(TYPE3&lt;&gt;"")+('Dvd Calendar'!$AQ$511=TYPE4)*(TYPE4&lt;&gt;"")+('Dvd Calendar'!$AQ$511=SPECIAL_LBL)*(INC_SPECIALS="Y"))=0,"",'Dvd Calendar'!$AQ$509)))</f>
        <v/>
      </c>
      <c r="AP57" s="161">
        <f>IF(FR57="","",IF(ISNUMBER('Dvd Calendar'!$AR$509)=FALSE,"",IF((('Dvd Calendar'!$AR$511=TYPE1)*(TYPE1&lt;&gt;"")+('Dvd Calendar'!$AR$511=TYPE2)*(TYPE2&lt;&gt;"")+('Dvd Calendar'!$AR$511=TYPE3)*(TYPE3&lt;&gt;"")+('Dvd Calendar'!$AR$511=TYPE4)*(TYPE4&lt;&gt;"")+('Dvd Calendar'!$AR$511=SPECIAL_LBL)*(INC_SPECIALS="Y"))=0,"",'Dvd Calendar'!$AR$509)))</f>
        <v/>
      </c>
      <c r="AQ57" s="161">
        <f>IF(FS57="","",IF(ISNUMBER('Dvd Calendar'!$E$514)=FALSE,"",'Dvd Calendar'!$E$514))</f>
        <v/>
      </c>
      <c r="AR57" s="161">
        <f>IF(FT57="","",IF(ISNUMBER('Dvd Calendar'!$F$514)=FALSE,"",'Dvd Calendar'!$F$514))</f>
        <v/>
      </c>
      <c r="AS57" s="161">
        <f>IF(FU57="","",IF(ISNUMBER('Dvd Calendar'!$G$514)=FALSE,"",'Dvd Calendar'!$G$514))</f>
        <v/>
      </c>
      <c r="AT57" s="161">
        <f>IF(FV57="","",IF(ISNUMBER('Dvd Calendar'!$H$514)=FALSE,"",'Dvd Calendar'!$H$514))</f>
        <v/>
      </c>
      <c r="AU57" s="161">
        <f>IF(FW57="","",IF(ISNUMBER('Dvd Calendar'!$I$514)=FALSE,"",'Dvd Calendar'!$I$514))</f>
        <v/>
      </c>
      <c r="AV57" s="161">
        <f>IF(FX57="","",IF(ISNUMBER('Dvd Calendar'!$J$514)=FALSE,"",'Dvd Calendar'!$J$514))</f>
        <v/>
      </c>
      <c r="AW57" s="161">
        <f>IF(FY57="","",IF(ISNUMBER('Dvd Calendar'!$K$514)=FALSE,"",'Dvd Calendar'!$K$514))</f>
        <v/>
      </c>
      <c r="AX57" s="161">
        <f>IF(FZ57="","",IF(ISNUMBER('Dvd Calendar'!$L$514)=FALSE,"",'Dvd Calendar'!$L$514))</f>
        <v/>
      </c>
      <c r="AY57" s="161">
        <f>IF(GA57="","",IF(ISNUMBER('Dvd Calendar'!$M$514)=FALSE,"",'Dvd Calendar'!$M$514))</f>
        <v/>
      </c>
      <c r="AZ57" s="161">
        <f>IF(GB57="","",IF(ISNUMBER('Dvd Calendar'!$N$514)=FALSE,"",'Dvd Calendar'!$N$514))</f>
        <v/>
      </c>
      <c r="BA57" s="161">
        <f>IF(GC57="","",IF(ISNUMBER('Dvd Calendar'!$O$514)=FALSE,"",'Dvd Calendar'!$O$514))</f>
        <v/>
      </c>
      <c r="BB57" s="161">
        <f>IF(GD57="","",IF(ISNUMBER('Dvd Calendar'!$P$514)=FALSE,"",'Dvd Calendar'!$P$514))</f>
        <v/>
      </c>
      <c r="BC57" s="161">
        <f>IF(GE57="","",IF(ISNUMBER('Dvd Calendar'!$Q$514)=FALSE,"",'Dvd Calendar'!$Q$514))</f>
        <v/>
      </c>
      <c r="BD57" s="161">
        <f>IF(GF57="","",IF(ISNUMBER('Dvd Calendar'!$R$514)=FALSE,"",'Dvd Calendar'!$R$514))</f>
        <v/>
      </c>
      <c r="BE57" s="161">
        <f>IF(GG57="","",IF(ISNUMBER('Dvd Calendar'!$S$514)=FALSE,"",'Dvd Calendar'!$S$514))</f>
        <v/>
      </c>
      <c r="BF57" s="161">
        <f>IF(GH57="","",IF(ISNUMBER('Dvd Calendar'!$T$514)=FALSE,"",'Dvd Calendar'!$T$514))</f>
        <v/>
      </c>
      <c r="BG57" s="161">
        <f>IF(GI57="","",IF(ISNUMBER('Dvd Calendar'!$U$514)=FALSE,"",'Dvd Calendar'!$U$514))</f>
        <v/>
      </c>
      <c r="BH57" s="161">
        <f>IF(GJ57="","",IF(ISNUMBER('Dvd Calendar'!$V$514)=FALSE,"",'Dvd Calendar'!$V$514))</f>
        <v/>
      </c>
      <c r="BI57" s="161">
        <f>IF(GK57="","",IF(ISNUMBER('Dvd Calendar'!$W$514)=FALSE,"",'Dvd Calendar'!$W$514))</f>
        <v/>
      </c>
      <c r="BJ57" s="161">
        <f>IF(GL57="","",IF(ISNUMBER('Dvd Calendar'!$X$514)=FALSE,"",'Dvd Calendar'!$X$514))</f>
        <v/>
      </c>
      <c r="BK57" s="161">
        <f>IF(GM57="","",IF(ISNUMBER('Dvd Calendar'!$Y$514)=FALSE,"",'Dvd Calendar'!$Y$514))</f>
        <v/>
      </c>
      <c r="BL57" s="161">
        <f>IF(GN57="","",IF(ISNUMBER('Dvd Calendar'!$Z$514)=FALSE,"",'Dvd Calendar'!$Z$514))</f>
        <v/>
      </c>
      <c r="BM57" s="161">
        <f>IF(GO57="","",IF(ISNUMBER('Dvd Calendar'!$AA$514)=FALSE,"",'Dvd Calendar'!$AA$514))</f>
        <v/>
      </c>
      <c r="BN57" s="161">
        <f>IF(GP57="","",IF(ISNUMBER('Dvd Calendar'!$AB$514)=FALSE,"",'Dvd Calendar'!$AB$514))</f>
        <v/>
      </c>
      <c r="BO57" s="161">
        <f>IF(GQ57="","",IF(ISNUMBER('Dvd Calendar'!$AC$514)=FALSE,"",'Dvd Calendar'!$AC$514))</f>
        <v/>
      </c>
      <c r="BQ57" s="161">
        <f>IF(C57="","",IFERROR(C57*HSI!$B$52*HSI!$G$52/HSI!$B$3,""))</f>
        <v/>
      </c>
      <c r="BR57" s="161">
        <f>IF(D57="","",IFERROR(D57*HSI!$B$52*HSI!$G$52/HSI!$B$3,""))</f>
        <v/>
      </c>
      <c r="BS57" s="161">
        <f>IF(E57="","",IFERROR(E57*HSI!$B$52*HSI!$G$52/HSI!$B$3,""))</f>
        <v/>
      </c>
      <c r="BT57" s="161">
        <f>IF(F57="","",IFERROR(F57*HSI!$B$52*HSI!$G$52/HSI!$B$3,""))</f>
        <v/>
      </c>
      <c r="BU57" s="161">
        <f>IF(G57="","",IFERROR(G57*HSI!$B$52*HSI!$G$52/HSI!$B$3,""))</f>
        <v/>
      </c>
      <c r="BV57" s="161">
        <f>IF(H57="","",IFERROR(H57*HSI!$B$52*HSI!$G$52/HSI!$B$3,""))</f>
        <v/>
      </c>
      <c r="BW57" s="161">
        <f>IF(I57="","",IFERROR(I57*HSI!$B$52*HSI!$G$52/HSI!$B$3,""))</f>
        <v/>
      </c>
      <c r="BX57" s="161">
        <f>IF(J57="","",IFERROR(J57*HSI!$B$52*HSI!$G$52/HSI!$B$3,""))</f>
        <v/>
      </c>
      <c r="BY57" s="161">
        <f>IF(K57="","",IFERROR(K57*HSI!$B$52*HSI!$G$52/HSI!$B$3,""))</f>
        <v/>
      </c>
      <c r="BZ57" s="161">
        <f>IF(L57="","",IFERROR(L57*HSI!$B$52*HSI!$G$52/HSI!$B$3,""))</f>
        <v/>
      </c>
      <c r="CA57" s="161">
        <f>IF(M57="","",IFERROR(M57*HSI!$B$52*HSI!$G$52/HSI!$B$3,""))</f>
        <v/>
      </c>
      <c r="CB57" s="161">
        <f>IF(N57="","",IFERROR(N57*HSI!$B$52*HSI!$G$52/HSI!$B$3,""))</f>
        <v/>
      </c>
      <c r="CC57" s="161">
        <f>IF(O57="","",IFERROR(O57*HSI!$B$52*HSI!$G$52/HSI!$B$3,""))</f>
        <v/>
      </c>
      <c r="CD57" s="161">
        <f>IF(P57="","",IFERROR(P57*HSI!$B$52*HSI!$G$52/HSI!$B$3,""))</f>
        <v/>
      </c>
      <c r="CE57" s="161">
        <f>IF(Q57="","",IFERROR(Q57*HSI!$B$52*HSI!$G$52/HSI!$B$3,""))</f>
        <v/>
      </c>
      <c r="CF57" s="161">
        <f>IF(R57="","",IFERROR(R57*HSI!$B$52*HSI!$G$52/HSI!$B$3,""))</f>
        <v/>
      </c>
      <c r="CG57" s="161">
        <f>IF(S57="","",IFERROR(S57*HSI!$B$52*HSI!$G$52/HSI!$B$3,""))</f>
        <v/>
      </c>
      <c r="CH57" s="161">
        <f>IF(T57="","",IFERROR(T57*HSI!$B$52*HSI!$G$52/HSI!$B$3,""))</f>
        <v/>
      </c>
      <c r="CI57" s="161">
        <f>IF(U57="","",IFERROR(U57*HSI!$B$52*HSI!$G$52/HSI!$B$3,""))</f>
        <v/>
      </c>
      <c r="CJ57" s="161">
        <f>IF(V57="","",IFERROR(V57*HSI!$B$52*HSI!$G$52/HSI!$B$3,""))</f>
        <v/>
      </c>
      <c r="CK57" s="161">
        <f>IF(W57="","",IFERROR(W57*HSI!$B$52*HSI!$G$52/HSI!$B$3,""))</f>
        <v/>
      </c>
      <c r="CL57" s="161">
        <f>IF(X57="","",IFERROR(X57*HSI!$B$52*HSI!$G$52/HSI!$B$3,""))</f>
        <v/>
      </c>
      <c r="CM57" s="161">
        <f>IF(Y57="","",IFERROR(Y57*HSI!$B$52*HSI!$G$52/HSI!$B$3,""))</f>
        <v/>
      </c>
      <c r="CN57" s="161">
        <f>IF(Z57="","",IFERROR(Z57*HSI!$B$52*HSI!$G$52/HSI!$B$3,""))</f>
        <v/>
      </c>
      <c r="CO57" s="161">
        <f>IF(AA57="","",IFERROR(AA57*HSI!$B$52*HSI!$G$52/HSI!$B$3,""))</f>
        <v/>
      </c>
      <c r="CP57" s="161">
        <f>IF(AB57="","",IFERROR(AB57*HSI!$B$52*HSI!$G$52/HSI!$B$3,""))</f>
        <v/>
      </c>
      <c r="CQ57" s="161">
        <f>IF(AC57="","",IFERROR(AC57*HSI!$B$52*HSI!$G$52/HSI!$B$3,""))</f>
        <v/>
      </c>
      <c r="CR57" s="161">
        <f>IF(AD57="","",IFERROR(AD57*HSI!$B$52*HSI!$G$52/HSI!$B$3,""))</f>
        <v/>
      </c>
      <c r="CS57" s="161">
        <f>IF(AE57="","",IFERROR(AE57*HSI!$B$52*HSI!$G$52/HSI!$B$3,""))</f>
        <v/>
      </c>
      <c r="CT57" s="161">
        <f>IF(AF57="","",IFERROR(AF57*HSI!$B$52*HSI!$G$52/HSI!$B$3,""))</f>
        <v/>
      </c>
      <c r="CU57" s="161">
        <f>IF(AG57="","",IFERROR(AG57*HSI!$B$52*HSI!$G$52/HSI!$B$3,""))</f>
        <v/>
      </c>
      <c r="CV57" s="161">
        <f>IF(AH57="","",IFERROR(AH57*HSI!$B$52*HSI!$G$52/HSI!$B$3,""))</f>
        <v/>
      </c>
      <c r="CW57" s="161">
        <f>IF(AI57="","",IFERROR(AI57*HSI!$B$52*HSI!$G$52/HSI!$B$3,""))</f>
        <v/>
      </c>
      <c r="CX57" s="161">
        <f>IF(AJ57="","",IFERROR(AJ57*HSI!$B$52*HSI!$G$52/HSI!$B$3,""))</f>
        <v/>
      </c>
      <c r="CY57" s="161">
        <f>IF(AK57="","",IFERROR(AK57*HSI!$B$52*HSI!$G$52/HSI!$B$3,""))</f>
        <v/>
      </c>
      <c r="CZ57" s="161">
        <f>IF(AL57="","",IFERROR(AL57*HSI!$B$52*HSI!$G$52/HSI!$B$3,""))</f>
        <v/>
      </c>
      <c r="DA57" s="161">
        <f>IF(AM57="","",IFERROR(AM57*HSI!$B$52*HSI!$G$52/HSI!$B$3,""))</f>
        <v/>
      </c>
      <c r="DB57" s="161">
        <f>IF(AN57="","",IFERROR(AN57*HSI!$B$52*HSI!$G$52/HSI!$B$3,""))</f>
        <v/>
      </c>
      <c r="DC57" s="161">
        <f>IF(AO57="","",IFERROR(AO57*HSI!$B$52*HSI!$G$52/HSI!$B$3,""))</f>
        <v/>
      </c>
      <c r="DD57" s="161">
        <f>IF(AP57="","",IFERROR(AP57*HSI!$B$52*HSI!$G$52/HSI!$B$3,""))</f>
        <v/>
      </c>
      <c r="DE57" s="161">
        <f>IF(AQ57="","",IFERROR(AQ57*HSI!$B$52*HSI!$G$52/HSI!$B$3,""))</f>
        <v/>
      </c>
      <c r="DF57" s="161">
        <f>IF(AR57="","",IFERROR(AR57*HSI!$B$52*HSI!$G$52/HSI!$B$3,""))</f>
        <v/>
      </c>
      <c r="DG57" s="161">
        <f>IF(AS57="","",IFERROR(AS57*HSI!$B$52*HSI!$G$52/HSI!$B$3,""))</f>
        <v/>
      </c>
      <c r="DH57" s="161">
        <f>IF(AT57="","",IFERROR(AT57*HSI!$B$52*HSI!$G$52/HSI!$B$3,""))</f>
        <v/>
      </c>
      <c r="DI57" s="161">
        <f>IF(AU57="","",IFERROR(AU57*HSI!$B$52*HSI!$G$52/HSI!$B$3,""))</f>
        <v/>
      </c>
      <c r="DJ57" s="161">
        <f>IF(AV57="","",IFERROR(AV57*HSI!$B$52*HSI!$G$52/HSI!$B$3,""))</f>
        <v/>
      </c>
      <c r="DK57" s="161">
        <f>IF(AW57="","",IFERROR(AW57*HSI!$B$52*HSI!$G$52/HSI!$B$3,""))</f>
        <v/>
      </c>
      <c r="DL57" s="161">
        <f>IF(AX57="","",IFERROR(AX57*HSI!$B$52*HSI!$G$52/HSI!$B$3,""))</f>
        <v/>
      </c>
      <c r="DM57" s="161">
        <f>IF(AY57="","",IFERROR(AY57*HSI!$B$52*HSI!$G$52/HSI!$B$3,""))</f>
        <v/>
      </c>
      <c r="DN57" s="161">
        <f>IF(AZ57="","",IFERROR(AZ57*HSI!$B$52*HSI!$G$52/HSI!$B$3,""))</f>
        <v/>
      </c>
      <c r="DO57" s="161">
        <f>IF(BA57="","",IFERROR(BA57*HSI!$B$52*HSI!$G$52/HSI!$B$3,""))</f>
        <v/>
      </c>
      <c r="DP57" s="161">
        <f>IF(BB57="","",IFERROR(BB57*HSI!$B$52*HSI!$G$52/HSI!$B$3,""))</f>
        <v/>
      </c>
      <c r="DQ57" s="161">
        <f>IF(BC57="","",IFERROR(BC57*HSI!$B$52*HSI!$G$52/HSI!$B$3,""))</f>
        <v/>
      </c>
      <c r="DR57" s="161">
        <f>IF(BD57="","",IFERROR(BD57*HSI!$B$52*HSI!$G$52/HSI!$B$3,""))</f>
        <v/>
      </c>
      <c r="DS57" s="161">
        <f>IF(BE57="","",IFERROR(BE57*HSI!$B$52*HSI!$G$52/HSI!$B$3,""))</f>
        <v/>
      </c>
      <c r="DT57" s="161">
        <f>IF(BF57="","",IFERROR(BF57*HSI!$B$52*HSI!$G$52/HSI!$B$3,""))</f>
        <v/>
      </c>
      <c r="DU57" s="161">
        <f>IF(BG57="","",IFERROR(BG57*HSI!$B$52*HSI!$G$52/HSI!$B$3,""))</f>
        <v/>
      </c>
      <c r="DV57" s="161">
        <f>IF(BH57="","",IFERROR(BH57*HSI!$B$52*HSI!$G$52/HSI!$B$3,""))</f>
        <v/>
      </c>
      <c r="DW57" s="161">
        <f>IF(BI57="","",IFERROR(BI57*HSI!$B$52*HSI!$G$52/HSI!$B$3,""))</f>
        <v/>
      </c>
      <c r="DX57" s="161">
        <f>IF(BJ57="","",IFERROR(BJ57*HSI!$B$52*HSI!$G$52/HSI!$B$3,""))</f>
        <v/>
      </c>
      <c r="DY57" s="161">
        <f>IF(BK57="","",IFERROR(BK57*HSI!$B$52*HSI!$G$52/HSI!$B$3,""))</f>
        <v/>
      </c>
      <c r="DZ57" s="161">
        <f>IF(BL57="","",IFERROR(BL57*HSI!$B$52*HSI!$G$52/HSI!$B$3,""))</f>
        <v/>
      </c>
      <c r="EA57" s="161">
        <f>IF(BM57="","",IFERROR(BM57*HSI!$B$52*HSI!$G$52/HSI!$B$3,""))</f>
        <v/>
      </c>
      <c r="EB57" s="161">
        <f>IF(BN57="","",IFERROR(BN57*HSI!$B$52*HSI!$G$52/HSI!$B$3,""))</f>
        <v/>
      </c>
      <c r="EC57" s="161">
        <f>IF(BO57="","",IFERROR(BO57*HSI!$B$52*HSI!$G$52/HSI!$B$3,""))</f>
        <v/>
      </c>
      <c r="EE57" s="121">
        <f>IF(N('Dvd Calendar'!$E$506)=0,"",IF(('Dvd Calendar'!$E$506&gt;=GRID_FROM)*('Dvd Calendar'!$E$506&lt;=GRID_TO)*((('Dvd Calendar'!$E$506&lt;=VAL_DATE)+(COUNTIF('Dvd Calendar'!$E$513:$AR$513,'Dvd Calendar'!$E$506)=0))&gt;0)=0,"",'Dvd Calendar'!$E$506*1000000000+ISNUMBER('Dvd Calendar'!$E$509)*100000000+('Dvd Calendar'!$E$511=SPECIAL_LBL)*10000000+(N('Dvd Calendar'!$E$505)&gt;0)*(N('Dvd Calendar'!$E$505)&lt;=VAL_SERIAL)*1000000+46*1000+1))</f>
        <v/>
      </c>
      <c r="EF57" s="121">
        <f>IF(N('Dvd Calendar'!$F$506)=0,"",IF(('Dvd Calendar'!$F$506&gt;=GRID_FROM)*('Dvd Calendar'!$F$506&lt;=GRID_TO)*((('Dvd Calendar'!$F$506&lt;=VAL_DATE)+(COUNTIF('Dvd Calendar'!$E$513:$AR$513,'Dvd Calendar'!$F$506)=0))&gt;0)=0,"",'Dvd Calendar'!$F$506*1000000000+ISNUMBER('Dvd Calendar'!$F$509)*100000000+('Dvd Calendar'!$F$511=SPECIAL_LBL)*10000000+(N('Dvd Calendar'!$F$505)&gt;0)*(N('Dvd Calendar'!$F$505)&lt;=VAL_SERIAL)*1000000+46*1000+2))</f>
        <v/>
      </c>
      <c r="EG57" s="121">
        <f>IF(N('Dvd Calendar'!$G$506)=0,"",IF(('Dvd Calendar'!$G$506&gt;=GRID_FROM)*('Dvd Calendar'!$G$506&lt;=GRID_TO)*((('Dvd Calendar'!$G$506&lt;=VAL_DATE)+(COUNTIF('Dvd Calendar'!$E$513:$AR$513,'Dvd Calendar'!$G$506)=0))&gt;0)=0,"",'Dvd Calendar'!$G$506*1000000000+ISNUMBER('Dvd Calendar'!$G$509)*100000000+('Dvd Calendar'!$G$511=SPECIAL_LBL)*10000000+(N('Dvd Calendar'!$G$505)&gt;0)*(N('Dvd Calendar'!$G$505)&lt;=VAL_SERIAL)*1000000+46*1000+3))</f>
        <v/>
      </c>
      <c r="EH57" s="121">
        <f>IF(N('Dvd Calendar'!$H$506)=0,"",IF(('Dvd Calendar'!$H$506&gt;=GRID_FROM)*('Dvd Calendar'!$H$506&lt;=GRID_TO)*((('Dvd Calendar'!$H$506&lt;=VAL_DATE)+(COUNTIF('Dvd Calendar'!$E$513:$AR$513,'Dvd Calendar'!$H$506)=0))&gt;0)=0,"",'Dvd Calendar'!$H$506*1000000000+ISNUMBER('Dvd Calendar'!$H$509)*100000000+('Dvd Calendar'!$H$511=SPECIAL_LBL)*10000000+(N('Dvd Calendar'!$H$505)&gt;0)*(N('Dvd Calendar'!$H$505)&lt;=VAL_SERIAL)*1000000+46*1000+4))</f>
        <v/>
      </c>
      <c r="EI57" s="121">
        <f>IF(N('Dvd Calendar'!$I$506)=0,"",IF(('Dvd Calendar'!$I$506&gt;=GRID_FROM)*('Dvd Calendar'!$I$506&lt;=GRID_TO)*((('Dvd Calendar'!$I$506&lt;=VAL_DATE)+(COUNTIF('Dvd Calendar'!$E$513:$AR$513,'Dvd Calendar'!$I$506)=0))&gt;0)=0,"",'Dvd Calendar'!$I$506*1000000000+ISNUMBER('Dvd Calendar'!$I$509)*100000000+('Dvd Calendar'!$I$511=SPECIAL_LBL)*10000000+(N('Dvd Calendar'!$I$505)&gt;0)*(N('Dvd Calendar'!$I$505)&lt;=VAL_SERIAL)*1000000+46*1000+5))</f>
        <v/>
      </c>
      <c r="EJ57" s="121">
        <f>IF(N('Dvd Calendar'!$J$506)=0,"",IF(('Dvd Calendar'!$J$506&gt;=GRID_FROM)*('Dvd Calendar'!$J$506&lt;=GRID_TO)*((('Dvd Calendar'!$J$506&lt;=VAL_DATE)+(COUNTIF('Dvd Calendar'!$E$513:$AR$513,'Dvd Calendar'!$J$506)=0))&gt;0)=0,"",'Dvd Calendar'!$J$506*1000000000+ISNUMBER('Dvd Calendar'!$J$509)*100000000+('Dvd Calendar'!$J$511=SPECIAL_LBL)*10000000+(N('Dvd Calendar'!$J$505)&gt;0)*(N('Dvd Calendar'!$J$505)&lt;=VAL_SERIAL)*1000000+46*1000+6))</f>
        <v/>
      </c>
      <c r="EK57" s="121">
        <f>IF(N('Dvd Calendar'!$K$506)=0,"",IF(('Dvd Calendar'!$K$506&gt;=GRID_FROM)*('Dvd Calendar'!$K$506&lt;=GRID_TO)*((('Dvd Calendar'!$K$506&lt;=VAL_DATE)+(COUNTIF('Dvd Calendar'!$E$513:$AR$513,'Dvd Calendar'!$K$506)=0))&gt;0)=0,"",'Dvd Calendar'!$K$506*1000000000+ISNUMBER('Dvd Calendar'!$K$509)*100000000+('Dvd Calendar'!$K$511=SPECIAL_LBL)*10000000+(N('Dvd Calendar'!$K$505)&gt;0)*(N('Dvd Calendar'!$K$505)&lt;=VAL_SERIAL)*1000000+46*1000+7))</f>
        <v/>
      </c>
      <c r="EL57" s="121">
        <f>IF(N('Dvd Calendar'!$L$506)=0,"",IF(('Dvd Calendar'!$L$506&gt;=GRID_FROM)*('Dvd Calendar'!$L$506&lt;=GRID_TO)*((('Dvd Calendar'!$L$506&lt;=VAL_DATE)+(COUNTIF('Dvd Calendar'!$E$513:$AR$513,'Dvd Calendar'!$L$506)=0))&gt;0)=0,"",'Dvd Calendar'!$L$506*1000000000+ISNUMBER('Dvd Calendar'!$L$509)*100000000+('Dvd Calendar'!$L$511=SPECIAL_LBL)*10000000+(N('Dvd Calendar'!$L$505)&gt;0)*(N('Dvd Calendar'!$L$505)&lt;=VAL_SERIAL)*1000000+46*1000+8))</f>
        <v/>
      </c>
      <c r="EM57" s="121">
        <f>IF(N('Dvd Calendar'!$M$506)=0,"",IF(('Dvd Calendar'!$M$506&gt;=GRID_FROM)*('Dvd Calendar'!$M$506&lt;=GRID_TO)*((('Dvd Calendar'!$M$506&lt;=VAL_DATE)+(COUNTIF('Dvd Calendar'!$E$513:$AR$513,'Dvd Calendar'!$M$506)=0))&gt;0)=0,"",'Dvd Calendar'!$M$506*1000000000+ISNUMBER('Dvd Calendar'!$M$509)*100000000+('Dvd Calendar'!$M$511=SPECIAL_LBL)*10000000+(N('Dvd Calendar'!$M$505)&gt;0)*(N('Dvd Calendar'!$M$505)&lt;=VAL_SERIAL)*1000000+46*1000+9))</f>
        <v/>
      </c>
      <c r="EN57" s="121">
        <f>IF(N('Dvd Calendar'!$N$506)=0,"",IF(('Dvd Calendar'!$N$506&gt;=GRID_FROM)*('Dvd Calendar'!$N$506&lt;=GRID_TO)*((('Dvd Calendar'!$N$506&lt;=VAL_DATE)+(COUNTIF('Dvd Calendar'!$E$513:$AR$513,'Dvd Calendar'!$N$506)=0))&gt;0)=0,"",'Dvd Calendar'!$N$506*1000000000+ISNUMBER('Dvd Calendar'!$N$509)*100000000+('Dvd Calendar'!$N$511=SPECIAL_LBL)*10000000+(N('Dvd Calendar'!$N$505)&gt;0)*(N('Dvd Calendar'!$N$505)&lt;=VAL_SERIAL)*1000000+46*1000+10))</f>
        <v/>
      </c>
      <c r="EO57" s="121">
        <f>IF(N('Dvd Calendar'!$O$506)=0,"",IF(('Dvd Calendar'!$O$506&gt;=GRID_FROM)*('Dvd Calendar'!$O$506&lt;=GRID_TO)*((('Dvd Calendar'!$O$506&lt;=VAL_DATE)+(COUNTIF('Dvd Calendar'!$E$513:$AR$513,'Dvd Calendar'!$O$506)=0))&gt;0)=0,"",'Dvd Calendar'!$O$506*1000000000+ISNUMBER('Dvd Calendar'!$O$509)*100000000+('Dvd Calendar'!$O$511=SPECIAL_LBL)*10000000+(N('Dvd Calendar'!$O$505)&gt;0)*(N('Dvd Calendar'!$O$505)&lt;=VAL_SERIAL)*1000000+46*1000+11))</f>
        <v/>
      </c>
      <c r="EP57" s="121">
        <f>IF(N('Dvd Calendar'!$P$506)=0,"",IF(('Dvd Calendar'!$P$506&gt;=GRID_FROM)*('Dvd Calendar'!$P$506&lt;=GRID_TO)*((('Dvd Calendar'!$P$506&lt;=VAL_DATE)+(COUNTIF('Dvd Calendar'!$E$513:$AR$513,'Dvd Calendar'!$P$506)=0))&gt;0)=0,"",'Dvd Calendar'!$P$506*1000000000+ISNUMBER('Dvd Calendar'!$P$509)*100000000+('Dvd Calendar'!$P$511=SPECIAL_LBL)*10000000+(N('Dvd Calendar'!$P$505)&gt;0)*(N('Dvd Calendar'!$P$505)&lt;=VAL_SERIAL)*1000000+46*1000+12))</f>
        <v/>
      </c>
      <c r="EQ57" s="121">
        <f>IF(N('Dvd Calendar'!$Q$506)=0,"",IF(('Dvd Calendar'!$Q$506&gt;=GRID_FROM)*('Dvd Calendar'!$Q$506&lt;=GRID_TO)*((('Dvd Calendar'!$Q$506&lt;=VAL_DATE)+(COUNTIF('Dvd Calendar'!$E$513:$AR$513,'Dvd Calendar'!$Q$506)=0))&gt;0)=0,"",'Dvd Calendar'!$Q$506*1000000000+ISNUMBER('Dvd Calendar'!$Q$509)*100000000+('Dvd Calendar'!$Q$511=SPECIAL_LBL)*10000000+(N('Dvd Calendar'!$Q$505)&gt;0)*(N('Dvd Calendar'!$Q$505)&lt;=VAL_SERIAL)*1000000+46*1000+13))</f>
        <v/>
      </c>
      <c r="ER57" s="121">
        <f>IF(N('Dvd Calendar'!$R$506)=0,"",IF(('Dvd Calendar'!$R$506&gt;=GRID_FROM)*('Dvd Calendar'!$R$506&lt;=GRID_TO)*((('Dvd Calendar'!$R$506&lt;=VAL_DATE)+(COUNTIF('Dvd Calendar'!$E$513:$AR$513,'Dvd Calendar'!$R$506)=0))&gt;0)=0,"",'Dvd Calendar'!$R$506*1000000000+ISNUMBER('Dvd Calendar'!$R$509)*100000000+('Dvd Calendar'!$R$511=SPECIAL_LBL)*10000000+(N('Dvd Calendar'!$R$505)&gt;0)*(N('Dvd Calendar'!$R$505)&lt;=VAL_SERIAL)*1000000+46*1000+14))</f>
        <v/>
      </c>
      <c r="ES57" s="121">
        <f>IF(N('Dvd Calendar'!$S$506)=0,"",IF(('Dvd Calendar'!$S$506&gt;=GRID_FROM)*('Dvd Calendar'!$S$506&lt;=GRID_TO)*((('Dvd Calendar'!$S$506&lt;=VAL_DATE)+(COUNTIF('Dvd Calendar'!$E$513:$AR$513,'Dvd Calendar'!$S$506)=0))&gt;0)=0,"",'Dvd Calendar'!$S$506*1000000000+ISNUMBER('Dvd Calendar'!$S$509)*100000000+('Dvd Calendar'!$S$511=SPECIAL_LBL)*10000000+(N('Dvd Calendar'!$S$505)&gt;0)*(N('Dvd Calendar'!$S$505)&lt;=VAL_SERIAL)*1000000+46*1000+15))</f>
        <v/>
      </c>
      <c r="ET57" s="121">
        <f>IF(N('Dvd Calendar'!$T$506)=0,"",IF(('Dvd Calendar'!$T$506&gt;=GRID_FROM)*('Dvd Calendar'!$T$506&lt;=GRID_TO)*((('Dvd Calendar'!$T$506&lt;=VAL_DATE)+(COUNTIF('Dvd Calendar'!$E$513:$AR$513,'Dvd Calendar'!$T$506)=0))&gt;0)=0,"",'Dvd Calendar'!$T$506*1000000000+ISNUMBER('Dvd Calendar'!$T$509)*100000000+('Dvd Calendar'!$T$511=SPECIAL_LBL)*10000000+(N('Dvd Calendar'!$T$505)&gt;0)*(N('Dvd Calendar'!$T$505)&lt;=VAL_SERIAL)*1000000+46*1000+16))</f>
        <v/>
      </c>
      <c r="EU57" s="121">
        <f>IF(N('Dvd Calendar'!$U$506)=0,"",IF(('Dvd Calendar'!$U$506&gt;=GRID_FROM)*('Dvd Calendar'!$U$506&lt;=GRID_TO)*((('Dvd Calendar'!$U$506&lt;=VAL_DATE)+(COUNTIF('Dvd Calendar'!$E$513:$AR$513,'Dvd Calendar'!$U$506)=0))&gt;0)=0,"",'Dvd Calendar'!$U$506*1000000000+ISNUMBER('Dvd Calendar'!$U$509)*100000000+('Dvd Calendar'!$U$511=SPECIAL_LBL)*10000000+(N('Dvd Calendar'!$U$505)&gt;0)*(N('Dvd Calendar'!$U$505)&lt;=VAL_SERIAL)*1000000+46*1000+17))</f>
        <v/>
      </c>
      <c r="EV57" s="121">
        <f>IF(N('Dvd Calendar'!$V$506)=0,"",IF(('Dvd Calendar'!$V$506&gt;=GRID_FROM)*('Dvd Calendar'!$V$506&lt;=GRID_TO)*((('Dvd Calendar'!$V$506&lt;=VAL_DATE)+(COUNTIF('Dvd Calendar'!$E$513:$AR$513,'Dvd Calendar'!$V$506)=0))&gt;0)=0,"",'Dvd Calendar'!$V$506*1000000000+ISNUMBER('Dvd Calendar'!$V$509)*100000000+('Dvd Calendar'!$V$511=SPECIAL_LBL)*10000000+(N('Dvd Calendar'!$V$505)&gt;0)*(N('Dvd Calendar'!$V$505)&lt;=VAL_SERIAL)*1000000+46*1000+18))</f>
        <v/>
      </c>
      <c r="EW57" s="121">
        <f>IF(N('Dvd Calendar'!$W$506)=0,"",IF(('Dvd Calendar'!$W$506&gt;=GRID_FROM)*('Dvd Calendar'!$W$506&lt;=GRID_TO)*((('Dvd Calendar'!$W$506&lt;=VAL_DATE)+(COUNTIF('Dvd Calendar'!$E$513:$AR$513,'Dvd Calendar'!$W$506)=0))&gt;0)=0,"",'Dvd Calendar'!$W$506*1000000000+ISNUMBER('Dvd Calendar'!$W$509)*100000000+('Dvd Calendar'!$W$511=SPECIAL_LBL)*10000000+(N('Dvd Calendar'!$W$505)&gt;0)*(N('Dvd Calendar'!$W$505)&lt;=VAL_SERIAL)*1000000+46*1000+19))</f>
        <v/>
      </c>
      <c r="EX57" s="121">
        <f>IF(N('Dvd Calendar'!$X$506)=0,"",IF(('Dvd Calendar'!$X$506&gt;=GRID_FROM)*('Dvd Calendar'!$X$506&lt;=GRID_TO)*((('Dvd Calendar'!$X$506&lt;=VAL_DATE)+(COUNTIF('Dvd Calendar'!$E$513:$AR$513,'Dvd Calendar'!$X$506)=0))&gt;0)=0,"",'Dvd Calendar'!$X$506*1000000000+ISNUMBER('Dvd Calendar'!$X$509)*100000000+('Dvd Calendar'!$X$511=SPECIAL_LBL)*10000000+(N('Dvd Calendar'!$X$505)&gt;0)*(N('Dvd Calendar'!$X$505)&lt;=VAL_SERIAL)*1000000+46*1000+20))</f>
        <v/>
      </c>
      <c r="EY57" s="121">
        <f>IF(N('Dvd Calendar'!$Y$506)=0,"",IF(('Dvd Calendar'!$Y$506&gt;=GRID_FROM)*('Dvd Calendar'!$Y$506&lt;=GRID_TO)*((('Dvd Calendar'!$Y$506&lt;=VAL_DATE)+(COUNTIF('Dvd Calendar'!$E$513:$AR$513,'Dvd Calendar'!$Y$506)=0))&gt;0)=0,"",'Dvd Calendar'!$Y$506*1000000000+ISNUMBER('Dvd Calendar'!$Y$509)*100000000+('Dvd Calendar'!$Y$511=SPECIAL_LBL)*10000000+(N('Dvd Calendar'!$Y$505)&gt;0)*(N('Dvd Calendar'!$Y$505)&lt;=VAL_SERIAL)*1000000+46*1000+21))</f>
        <v/>
      </c>
      <c r="EZ57" s="121">
        <f>IF(N('Dvd Calendar'!$Z$506)=0,"",IF(('Dvd Calendar'!$Z$506&gt;=GRID_FROM)*('Dvd Calendar'!$Z$506&lt;=GRID_TO)*((('Dvd Calendar'!$Z$506&lt;=VAL_DATE)+(COUNTIF('Dvd Calendar'!$E$513:$AR$513,'Dvd Calendar'!$Z$506)=0))&gt;0)=0,"",'Dvd Calendar'!$Z$506*1000000000+ISNUMBER('Dvd Calendar'!$Z$509)*100000000+('Dvd Calendar'!$Z$511=SPECIAL_LBL)*10000000+(N('Dvd Calendar'!$Z$505)&gt;0)*(N('Dvd Calendar'!$Z$505)&lt;=VAL_SERIAL)*1000000+46*1000+22))</f>
        <v/>
      </c>
      <c r="FA57" s="121">
        <f>IF(N('Dvd Calendar'!$AA$506)=0,"",IF(('Dvd Calendar'!$AA$506&gt;=GRID_FROM)*('Dvd Calendar'!$AA$506&lt;=GRID_TO)*((('Dvd Calendar'!$AA$506&lt;=VAL_DATE)+(COUNTIF('Dvd Calendar'!$E$513:$AR$513,'Dvd Calendar'!$AA$506)=0))&gt;0)=0,"",'Dvd Calendar'!$AA$506*1000000000+ISNUMBER('Dvd Calendar'!$AA$509)*100000000+('Dvd Calendar'!$AA$511=SPECIAL_LBL)*10000000+(N('Dvd Calendar'!$AA$505)&gt;0)*(N('Dvd Calendar'!$AA$505)&lt;=VAL_SERIAL)*1000000+46*1000+23))</f>
        <v/>
      </c>
      <c r="FB57" s="121">
        <f>IF(N('Dvd Calendar'!$AB$506)=0,"",IF(('Dvd Calendar'!$AB$506&gt;=GRID_FROM)*('Dvd Calendar'!$AB$506&lt;=GRID_TO)*((('Dvd Calendar'!$AB$506&lt;=VAL_DATE)+(COUNTIF('Dvd Calendar'!$E$513:$AR$513,'Dvd Calendar'!$AB$506)=0))&gt;0)=0,"",'Dvd Calendar'!$AB$506*1000000000+ISNUMBER('Dvd Calendar'!$AB$509)*100000000+('Dvd Calendar'!$AB$511=SPECIAL_LBL)*10000000+(N('Dvd Calendar'!$AB$505)&gt;0)*(N('Dvd Calendar'!$AB$505)&lt;=VAL_SERIAL)*1000000+46*1000+24))</f>
        <v/>
      </c>
      <c r="FC57" s="121">
        <f>IF(N('Dvd Calendar'!$AC$506)=0,"",IF(('Dvd Calendar'!$AC$506&gt;=GRID_FROM)*('Dvd Calendar'!$AC$506&lt;=GRID_TO)*((('Dvd Calendar'!$AC$506&lt;=VAL_DATE)+(COUNTIF('Dvd Calendar'!$E$513:$AR$513,'Dvd Calendar'!$AC$506)=0))&gt;0)=0,"",'Dvd Calendar'!$AC$506*1000000000+ISNUMBER('Dvd Calendar'!$AC$509)*100000000+('Dvd Calendar'!$AC$511=SPECIAL_LBL)*10000000+(N('Dvd Calendar'!$AC$505)&gt;0)*(N('Dvd Calendar'!$AC$505)&lt;=VAL_SERIAL)*1000000+46*1000+25))</f>
        <v/>
      </c>
      <c r="FD57" s="121">
        <f>IF(N('Dvd Calendar'!$AD$506)=0,"",IF(('Dvd Calendar'!$AD$506&gt;=GRID_FROM)*('Dvd Calendar'!$AD$506&lt;=GRID_TO)*((('Dvd Calendar'!$AD$506&lt;=VAL_DATE)+(COUNTIF('Dvd Calendar'!$E$513:$AR$513,'Dvd Calendar'!$AD$506)=0))&gt;0)=0,"",'Dvd Calendar'!$AD$506*1000000000+ISNUMBER('Dvd Calendar'!$AD$509)*100000000+('Dvd Calendar'!$AD$511=SPECIAL_LBL)*10000000+(N('Dvd Calendar'!$AD$505)&gt;0)*(N('Dvd Calendar'!$AD$505)&lt;=VAL_SERIAL)*1000000+46*1000+26))</f>
        <v/>
      </c>
      <c r="FE57" s="121">
        <f>IF(N('Dvd Calendar'!$AE$506)=0,"",IF(('Dvd Calendar'!$AE$506&gt;=GRID_FROM)*('Dvd Calendar'!$AE$506&lt;=GRID_TO)*((('Dvd Calendar'!$AE$506&lt;=VAL_DATE)+(COUNTIF('Dvd Calendar'!$E$513:$AR$513,'Dvd Calendar'!$AE$506)=0))&gt;0)=0,"",'Dvd Calendar'!$AE$506*1000000000+ISNUMBER('Dvd Calendar'!$AE$509)*100000000+('Dvd Calendar'!$AE$511=SPECIAL_LBL)*10000000+(N('Dvd Calendar'!$AE$505)&gt;0)*(N('Dvd Calendar'!$AE$505)&lt;=VAL_SERIAL)*1000000+46*1000+27))</f>
        <v/>
      </c>
      <c r="FF57" s="121">
        <f>IF(N('Dvd Calendar'!$AF$506)=0,"",IF(('Dvd Calendar'!$AF$506&gt;=GRID_FROM)*('Dvd Calendar'!$AF$506&lt;=GRID_TO)*((('Dvd Calendar'!$AF$506&lt;=VAL_DATE)+(COUNTIF('Dvd Calendar'!$E$513:$AR$513,'Dvd Calendar'!$AF$506)=0))&gt;0)=0,"",'Dvd Calendar'!$AF$506*1000000000+ISNUMBER('Dvd Calendar'!$AF$509)*100000000+('Dvd Calendar'!$AF$511=SPECIAL_LBL)*10000000+(N('Dvd Calendar'!$AF$505)&gt;0)*(N('Dvd Calendar'!$AF$505)&lt;=VAL_SERIAL)*1000000+46*1000+28))</f>
        <v/>
      </c>
      <c r="FG57" s="121">
        <f>IF(N('Dvd Calendar'!$AG$506)=0,"",IF(('Dvd Calendar'!$AG$506&gt;=GRID_FROM)*('Dvd Calendar'!$AG$506&lt;=GRID_TO)*((('Dvd Calendar'!$AG$506&lt;=VAL_DATE)+(COUNTIF('Dvd Calendar'!$E$513:$AR$513,'Dvd Calendar'!$AG$506)=0))&gt;0)=0,"",'Dvd Calendar'!$AG$506*1000000000+ISNUMBER('Dvd Calendar'!$AG$509)*100000000+('Dvd Calendar'!$AG$511=SPECIAL_LBL)*10000000+(N('Dvd Calendar'!$AG$505)&gt;0)*(N('Dvd Calendar'!$AG$505)&lt;=VAL_SERIAL)*1000000+46*1000+29))</f>
        <v/>
      </c>
      <c r="FH57" s="121">
        <f>IF(N('Dvd Calendar'!$AH$506)=0,"",IF(('Dvd Calendar'!$AH$506&gt;=GRID_FROM)*('Dvd Calendar'!$AH$506&lt;=GRID_TO)*((('Dvd Calendar'!$AH$506&lt;=VAL_DATE)+(COUNTIF('Dvd Calendar'!$E$513:$AR$513,'Dvd Calendar'!$AH$506)=0))&gt;0)=0,"",'Dvd Calendar'!$AH$506*1000000000+ISNUMBER('Dvd Calendar'!$AH$509)*100000000+('Dvd Calendar'!$AH$511=SPECIAL_LBL)*10000000+(N('Dvd Calendar'!$AH$505)&gt;0)*(N('Dvd Calendar'!$AH$505)&lt;=VAL_SERIAL)*1000000+46*1000+30))</f>
        <v/>
      </c>
      <c r="FI57" s="121">
        <f>IF(N('Dvd Calendar'!$AI$506)=0,"",IF(('Dvd Calendar'!$AI$506&gt;=GRID_FROM)*('Dvd Calendar'!$AI$506&lt;=GRID_TO)*((('Dvd Calendar'!$AI$506&lt;=VAL_DATE)+(COUNTIF('Dvd Calendar'!$E$513:$AR$513,'Dvd Calendar'!$AI$506)=0))&gt;0)=0,"",'Dvd Calendar'!$AI$506*1000000000+ISNUMBER('Dvd Calendar'!$AI$509)*100000000+('Dvd Calendar'!$AI$511=SPECIAL_LBL)*10000000+(N('Dvd Calendar'!$AI$505)&gt;0)*(N('Dvd Calendar'!$AI$505)&lt;=VAL_SERIAL)*1000000+46*1000+31))</f>
        <v/>
      </c>
      <c r="FJ57" s="121">
        <f>IF(N('Dvd Calendar'!$AJ$506)=0,"",IF(('Dvd Calendar'!$AJ$506&gt;=GRID_FROM)*('Dvd Calendar'!$AJ$506&lt;=GRID_TO)*((('Dvd Calendar'!$AJ$506&lt;=VAL_DATE)+(COUNTIF('Dvd Calendar'!$E$513:$AR$513,'Dvd Calendar'!$AJ$506)=0))&gt;0)=0,"",'Dvd Calendar'!$AJ$506*1000000000+ISNUMBER('Dvd Calendar'!$AJ$509)*100000000+('Dvd Calendar'!$AJ$511=SPECIAL_LBL)*10000000+(N('Dvd Calendar'!$AJ$505)&gt;0)*(N('Dvd Calendar'!$AJ$505)&lt;=VAL_SERIAL)*1000000+46*1000+32))</f>
        <v/>
      </c>
      <c r="FK57" s="121">
        <f>IF(N('Dvd Calendar'!$AK$506)=0,"",IF(('Dvd Calendar'!$AK$506&gt;=GRID_FROM)*('Dvd Calendar'!$AK$506&lt;=GRID_TO)*((('Dvd Calendar'!$AK$506&lt;=VAL_DATE)+(COUNTIF('Dvd Calendar'!$E$513:$AR$513,'Dvd Calendar'!$AK$506)=0))&gt;0)=0,"",'Dvd Calendar'!$AK$506*1000000000+ISNUMBER('Dvd Calendar'!$AK$509)*100000000+('Dvd Calendar'!$AK$511=SPECIAL_LBL)*10000000+(N('Dvd Calendar'!$AK$505)&gt;0)*(N('Dvd Calendar'!$AK$505)&lt;=VAL_SERIAL)*1000000+46*1000+33))</f>
        <v/>
      </c>
      <c r="FL57" s="121">
        <f>IF(N('Dvd Calendar'!$AL$506)=0,"",IF(('Dvd Calendar'!$AL$506&gt;=GRID_FROM)*('Dvd Calendar'!$AL$506&lt;=GRID_TO)*((('Dvd Calendar'!$AL$506&lt;=VAL_DATE)+(COUNTIF('Dvd Calendar'!$E$513:$AR$513,'Dvd Calendar'!$AL$506)=0))&gt;0)=0,"",'Dvd Calendar'!$AL$506*1000000000+ISNUMBER('Dvd Calendar'!$AL$509)*100000000+('Dvd Calendar'!$AL$511=SPECIAL_LBL)*10000000+(N('Dvd Calendar'!$AL$505)&gt;0)*(N('Dvd Calendar'!$AL$505)&lt;=VAL_SERIAL)*1000000+46*1000+34))</f>
        <v/>
      </c>
      <c r="FM57" s="121">
        <f>IF(N('Dvd Calendar'!$AM$506)=0,"",IF(('Dvd Calendar'!$AM$506&gt;=GRID_FROM)*('Dvd Calendar'!$AM$506&lt;=GRID_TO)*((('Dvd Calendar'!$AM$506&lt;=VAL_DATE)+(COUNTIF('Dvd Calendar'!$E$513:$AR$513,'Dvd Calendar'!$AM$506)=0))&gt;0)=0,"",'Dvd Calendar'!$AM$506*1000000000+ISNUMBER('Dvd Calendar'!$AM$509)*100000000+('Dvd Calendar'!$AM$511=SPECIAL_LBL)*10000000+(N('Dvd Calendar'!$AM$505)&gt;0)*(N('Dvd Calendar'!$AM$505)&lt;=VAL_SERIAL)*1000000+46*1000+35))</f>
        <v/>
      </c>
      <c r="FN57" s="121">
        <f>IF(N('Dvd Calendar'!$AN$506)=0,"",IF(('Dvd Calendar'!$AN$506&gt;=GRID_FROM)*('Dvd Calendar'!$AN$506&lt;=GRID_TO)*((('Dvd Calendar'!$AN$506&lt;=VAL_DATE)+(COUNTIF('Dvd Calendar'!$E$513:$AR$513,'Dvd Calendar'!$AN$506)=0))&gt;0)=0,"",'Dvd Calendar'!$AN$506*1000000000+ISNUMBER('Dvd Calendar'!$AN$509)*100000000+('Dvd Calendar'!$AN$511=SPECIAL_LBL)*10000000+(N('Dvd Calendar'!$AN$505)&gt;0)*(N('Dvd Calendar'!$AN$505)&lt;=VAL_SERIAL)*1000000+46*1000+36))</f>
        <v/>
      </c>
      <c r="FO57" s="121">
        <f>IF(N('Dvd Calendar'!$AO$506)=0,"",IF(('Dvd Calendar'!$AO$506&gt;=GRID_FROM)*('Dvd Calendar'!$AO$506&lt;=GRID_TO)*((('Dvd Calendar'!$AO$506&lt;=VAL_DATE)+(COUNTIF('Dvd Calendar'!$E$513:$AR$513,'Dvd Calendar'!$AO$506)=0))&gt;0)=0,"",'Dvd Calendar'!$AO$506*1000000000+ISNUMBER('Dvd Calendar'!$AO$509)*100000000+('Dvd Calendar'!$AO$511=SPECIAL_LBL)*10000000+(N('Dvd Calendar'!$AO$505)&gt;0)*(N('Dvd Calendar'!$AO$505)&lt;=VAL_SERIAL)*1000000+46*1000+37))</f>
        <v/>
      </c>
      <c r="FP57" s="121">
        <f>IF(N('Dvd Calendar'!$AP$506)=0,"",IF(('Dvd Calendar'!$AP$506&gt;=GRID_FROM)*('Dvd Calendar'!$AP$506&lt;=GRID_TO)*((('Dvd Calendar'!$AP$506&lt;=VAL_DATE)+(COUNTIF('Dvd Calendar'!$E$513:$AR$513,'Dvd Calendar'!$AP$506)=0))&gt;0)=0,"",'Dvd Calendar'!$AP$506*1000000000+ISNUMBER('Dvd Calendar'!$AP$509)*100000000+('Dvd Calendar'!$AP$511=SPECIAL_LBL)*10000000+(N('Dvd Calendar'!$AP$505)&gt;0)*(N('Dvd Calendar'!$AP$505)&lt;=VAL_SERIAL)*1000000+46*1000+38))</f>
        <v/>
      </c>
      <c r="FQ57" s="121">
        <f>IF(N('Dvd Calendar'!$AQ$506)=0,"",IF(('Dvd Calendar'!$AQ$506&gt;=GRID_FROM)*('Dvd Calendar'!$AQ$506&lt;=GRID_TO)*((('Dvd Calendar'!$AQ$506&lt;=VAL_DATE)+(COUNTIF('Dvd Calendar'!$E$513:$AR$513,'Dvd Calendar'!$AQ$506)=0))&gt;0)=0,"",'Dvd Calendar'!$AQ$506*1000000000+ISNUMBER('Dvd Calendar'!$AQ$509)*100000000+('Dvd Calendar'!$AQ$511=SPECIAL_LBL)*10000000+(N('Dvd Calendar'!$AQ$505)&gt;0)*(N('Dvd Calendar'!$AQ$505)&lt;=VAL_SERIAL)*1000000+46*1000+39))</f>
        <v/>
      </c>
      <c r="FR57" s="121">
        <f>IF(N('Dvd Calendar'!$AR$506)=0,"",IF(('Dvd Calendar'!$AR$506&gt;=GRID_FROM)*('Dvd Calendar'!$AR$506&lt;=GRID_TO)*((('Dvd Calendar'!$AR$506&lt;=VAL_DATE)+(COUNTIF('Dvd Calendar'!$E$513:$AR$513,'Dvd Calendar'!$AR$506)=0))&gt;0)=0,"",'Dvd Calendar'!$AR$506*1000000000+ISNUMBER('Dvd Calendar'!$AR$509)*100000000+('Dvd Calendar'!$AR$511=SPECIAL_LBL)*10000000+(N('Dvd Calendar'!$AR$505)&gt;0)*(N('Dvd Calendar'!$AR$505)&lt;=VAL_SERIAL)*1000000+46*1000+40))</f>
        <v/>
      </c>
      <c r="FS57" s="121">
        <f>IF(N('Dvd Calendar'!$E$513)=0,"",IF(('Dvd Calendar'!$E$513&gt;=GRID_FROM)*('Dvd Calendar'!$E$513&lt;=GRID_TO)*('Dvd Calendar'!$E$513&gt;VAL_DATE)=0,"",'Dvd Calendar'!$E$513*1000000000+ISNUMBER('Dvd Calendar'!$E$514)*100000000+0*10000000+(N('Dvd Calendar'!$E$512)&gt;0)*(N('Dvd Calendar'!$E$512)&lt;=VAL_SERIAL)*1000000+46*1000+41))</f>
        <v/>
      </c>
      <c r="FT57" s="121">
        <f>IF(N('Dvd Calendar'!$F$513)=0,"",IF(('Dvd Calendar'!$F$513&gt;=GRID_FROM)*('Dvd Calendar'!$F$513&lt;=GRID_TO)*('Dvd Calendar'!$F$513&gt;VAL_DATE)=0,"",'Dvd Calendar'!$F$513*1000000000+ISNUMBER('Dvd Calendar'!$F$514)*100000000+0*10000000+(N('Dvd Calendar'!$F$512)&gt;0)*(N('Dvd Calendar'!$F$512)&lt;=VAL_SERIAL)*1000000+46*1000+42))</f>
        <v/>
      </c>
      <c r="FU57" s="121">
        <f>IF(N('Dvd Calendar'!$G$513)=0,"",IF(('Dvd Calendar'!$G$513&gt;=GRID_FROM)*('Dvd Calendar'!$G$513&lt;=GRID_TO)*('Dvd Calendar'!$G$513&gt;VAL_DATE)=0,"",'Dvd Calendar'!$G$513*1000000000+ISNUMBER('Dvd Calendar'!$G$514)*100000000+0*10000000+(N('Dvd Calendar'!$G$512)&gt;0)*(N('Dvd Calendar'!$G$512)&lt;=VAL_SERIAL)*1000000+46*1000+43))</f>
        <v/>
      </c>
      <c r="FV57" s="121">
        <f>IF(N('Dvd Calendar'!$H$513)=0,"",IF(('Dvd Calendar'!$H$513&gt;=GRID_FROM)*('Dvd Calendar'!$H$513&lt;=GRID_TO)*('Dvd Calendar'!$H$513&gt;VAL_DATE)=0,"",'Dvd Calendar'!$H$513*1000000000+ISNUMBER('Dvd Calendar'!$H$514)*100000000+0*10000000+(N('Dvd Calendar'!$H$512)&gt;0)*(N('Dvd Calendar'!$H$512)&lt;=VAL_SERIAL)*1000000+46*1000+44))</f>
        <v/>
      </c>
      <c r="FW57" s="121">
        <f>IF(N('Dvd Calendar'!$I$513)=0,"",IF(('Dvd Calendar'!$I$513&gt;=GRID_FROM)*('Dvd Calendar'!$I$513&lt;=GRID_TO)*('Dvd Calendar'!$I$513&gt;VAL_DATE)=0,"",'Dvd Calendar'!$I$513*1000000000+ISNUMBER('Dvd Calendar'!$I$514)*100000000+0*10000000+(N('Dvd Calendar'!$I$512)&gt;0)*(N('Dvd Calendar'!$I$512)&lt;=VAL_SERIAL)*1000000+46*1000+45))</f>
        <v/>
      </c>
      <c r="FX57" s="121">
        <f>IF(N('Dvd Calendar'!$J$513)=0,"",IF(('Dvd Calendar'!$J$513&gt;=GRID_FROM)*('Dvd Calendar'!$J$513&lt;=GRID_TO)*('Dvd Calendar'!$J$513&gt;VAL_DATE)=0,"",'Dvd Calendar'!$J$513*1000000000+ISNUMBER('Dvd Calendar'!$J$514)*100000000+0*10000000+(N('Dvd Calendar'!$J$512)&gt;0)*(N('Dvd Calendar'!$J$512)&lt;=VAL_SERIAL)*1000000+46*1000+46))</f>
        <v/>
      </c>
      <c r="FY57" s="121">
        <f>IF(N('Dvd Calendar'!$K$513)=0,"",IF(('Dvd Calendar'!$K$513&gt;=GRID_FROM)*('Dvd Calendar'!$K$513&lt;=GRID_TO)*('Dvd Calendar'!$K$513&gt;VAL_DATE)=0,"",'Dvd Calendar'!$K$513*1000000000+ISNUMBER('Dvd Calendar'!$K$514)*100000000+0*10000000+(N('Dvd Calendar'!$K$512)&gt;0)*(N('Dvd Calendar'!$K$512)&lt;=VAL_SERIAL)*1000000+46*1000+47))</f>
        <v/>
      </c>
      <c r="FZ57" s="121">
        <f>IF(N('Dvd Calendar'!$L$513)=0,"",IF(('Dvd Calendar'!$L$513&gt;=GRID_FROM)*('Dvd Calendar'!$L$513&lt;=GRID_TO)*('Dvd Calendar'!$L$513&gt;VAL_DATE)=0,"",'Dvd Calendar'!$L$513*1000000000+ISNUMBER('Dvd Calendar'!$L$514)*100000000+0*10000000+(N('Dvd Calendar'!$L$512)&gt;0)*(N('Dvd Calendar'!$L$512)&lt;=VAL_SERIAL)*1000000+46*1000+48))</f>
        <v/>
      </c>
      <c r="GA57" s="121">
        <f>IF(N('Dvd Calendar'!$M$513)=0,"",IF(('Dvd Calendar'!$M$513&gt;=GRID_FROM)*('Dvd Calendar'!$M$513&lt;=GRID_TO)*('Dvd Calendar'!$M$513&gt;VAL_DATE)=0,"",'Dvd Calendar'!$M$513*1000000000+ISNUMBER('Dvd Calendar'!$M$514)*100000000+0*10000000+(N('Dvd Calendar'!$M$512)&gt;0)*(N('Dvd Calendar'!$M$512)&lt;=VAL_SERIAL)*1000000+46*1000+49))</f>
        <v/>
      </c>
      <c r="GB57" s="121">
        <f>IF(N('Dvd Calendar'!$N$513)=0,"",IF(('Dvd Calendar'!$N$513&gt;=GRID_FROM)*('Dvd Calendar'!$N$513&lt;=GRID_TO)*('Dvd Calendar'!$N$513&gt;VAL_DATE)=0,"",'Dvd Calendar'!$N$513*1000000000+ISNUMBER('Dvd Calendar'!$N$514)*100000000+0*10000000+(N('Dvd Calendar'!$N$512)&gt;0)*(N('Dvd Calendar'!$N$512)&lt;=VAL_SERIAL)*1000000+46*1000+50))</f>
        <v/>
      </c>
      <c r="GC57" s="121">
        <f>IF(N('Dvd Calendar'!$O$513)=0,"",IF(('Dvd Calendar'!$O$513&gt;=GRID_FROM)*('Dvd Calendar'!$O$513&lt;=GRID_TO)*('Dvd Calendar'!$O$513&gt;VAL_DATE)=0,"",'Dvd Calendar'!$O$513*1000000000+ISNUMBER('Dvd Calendar'!$O$514)*100000000+0*10000000+(N('Dvd Calendar'!$O$512)&gt;0)*(N('Dvd Calendar'!$O$512)&lt;=VAL_SERIAL)*1000000+46*1000+51))</f>
        <v/>
      </c>
      <c r="GD57" s="121">
        <f>IF(N('Dvd Calendar'!$P$513)=0,"",IF(('Dvd Calendar'!$P$513&gt;=GRID_FROM)*('Dvd Calendar'!$P$513&lt;=GRID_TO)*('Dvd Calendar'!$P$513&gt;VAL_DATE)=0,"",'Dvd Calendar'!$P$513*1000000000+ISNUMBER('Dvd Calendar'!$P$514)*100000000+0*10000000+(N('Dvd Calendar'!$P$512)&gt;0)*(N('Dvd Calendar'!$P$512)&lt;=VAL_SERIAL)*1000000+46*1000+52))</f>
        <v/>
      </c>
      <c r="GE57" s="121">
        <f>IF(N('Dvd Calendar'!$Q$513)=0,"",IF(('Dvd Calendar'!$Q$513&gt;=GRID_FROM)*('Dvd Calendar'!$Q$513&lt;=GRID_TO)*('Dvd Calendar'!$Q$513&gt;VAL_DATE)=0,"",'Dvd Calendar'!$Q$513*1000000000+ISNUMBER('Dvd Calendar'!$Q$514)*100000000+0*10000000+(N('Dvd Calendar'!$Q$512)&gt;0)*(N('Dvd Calendar'!$Q$512)&lt;=VAL_SERIAL)*1000000+46*1000+53))</f>
        <v/>
      </c>
      <c r="GF57" s="121">
        <f>IF(N('Dvd Calendar'!$R$513)=0,"",IF(('Dvd Calendar'!$R$513&gt;=GRID_FROM)*('Dvd Calendar'!$R$513&lt;=GRID_TO)*('Dvd Calendar'!$R$513&gt;VAL_DATE)=0,"",'Dvd Calendar'!$R$513*1000000000+ISNUMBER('Dvd Calendar'!$R$514)*100000000+0*10000000+(N('Dvd Calendar'!$R$512)&gt;0)*(N('Dvd Calendar'!$R$512)&lt;=VAL_SERIAL)*1000000+46*1000+54))</f>
        <v/>
      </c>
      <c r="GG57" s="121">
        <f>IF(N('Dvd Calendar'!$S$513)=0,"",IF(('Dvd Calendar'!$S$513&gt;=GRID_FROM)*('Dvd Calendar'!$S$513&lt;=GRID_TO)*('Dvd Calendar'!$S$513&gt;VAL_DATE)=0,"",'Dvd Calendar'!$S$513*1000000000+ISNUMBER('Dvd Calendar'!$S$514)*100000000+0*10000000+(N('Dvd Calendar'!$S$512)&gt;0)*(N('Dvd Calendar'!$S$512)&lt;=VAL_SERIAL)*1000000+46*1000+55))</f>
        <v/>
      </c>
      <c r="GH57" s="121">
        <f>IF(N('Dvd Calendar'!$T$513)=0,"",IF(('Dvd Calendar'!$T$513&gt;=GRID_FROM)*('Dvd Calendar'!$T$513&lt;=GRID_TO)*('Dvd Calendar'!$T$513&gt;VAL_DATE)=0,"",'Dvd Calendar'!$T$513*1000000000+ISNUMBER('Dvd Calendar'!$T$514)*100000000+0*10000000+(N('Dvd Calendar'!$T$512)&gt;0)*(N('Dvd Calendar'!$T$512)&lt;=VAL_SERIAL)*1000000+46*1000+56))</f>
        <v/>
      </c>
      <c r="GI57" s="121">
        <f>IF(N('Dvd Calendar'!$U$513)=0,"",IF(('Dvd Calendar'!$U$513&gt;=GRID_FROM)*('Dvd Calendar'!$U$513&lt;=GRID_TO)*('Dvd Calendar'!$U$513&gt;VAL_DATE)=0,"",'Dvd Calendar'!$U$513*1000000000+ISNUMBER('Dvd Calendar'!$U$514)*100000000+0*10000000+(N('Dvd Calendar'!$U$512)&gt;0)*(N('Dvd Calendar'!$U$512)&lt;=VAL_SERIAL)*1000000+46*1000+57))</f>
        <v/>
      </c>
      <c r="GJ57" s="121">
        <f>IF(N('Dvd Calendar'!$V$513)=0,"",IF(('Dvd Calendar'!$V$513&gt;=GRID_FROM)*('Dvd Calendar'!$V$513&lt;=GRID_TO)*('Dvd Calendar'!$V$513&gt;VAL_DATE)=0,"",'Dvd Calendar'!$V$513*1000000000+ISNUMBER('Dvd Calendar'!$V$514)*100000000+0*10000000+(N('Dvd Calendar'!$V$512)&gt;0)*(N('Dvd Calendar'!$V$512)&lt;=VAL_SERIAL)*1000000+46*1000+58))</f>
        <v/>
      </c>
      <c r="GK57" s="121">
        <f>IF(N('Dvd Calendar'!$W$513)=0,"",IF(('Dvd Calendar'!$W$513&gt;=GRID_FROM)*('Dvd Calendar'!$W$513&lt;=GRID_TO)*('Dvd Calendar'!$W$513&gt;VAL_DATE)=0,"",'Dvd Calendar'!$W$513*1000000000+ISNUMBER('Dvd Calendar'!$W$514)*100000000+0*10000000+(N('Dvd Calendar'!$W$512)&gt;0)*(N('Dvd Calendar'!$W$512)&lt;=VAL_SERIAL)*1000000+46*1000+59))</f>
        <v/>
      </c>
      <c r="GL57" s="121">
        <f>IF(N('Dvd Calendar'!$X$513)=0,"",IF(('Dvd Calendar'!$X$513&gt;=GRID_FROM)*('Dvd Calendar'!$X$513&lt;=GRID_TO)*('Dvd Calendar'!$X$513&gt;VAL_DATE)=0,"",'Dvd Calendar'!$X$513*1000000000+ISNUMBER('Dvd Calendar'!$X$514)*100000000+0*10000000+(N('Dvd Calendar'!$X$512)&gt;0)*(N('Dvd Calendar'!$X$512)&lt;=VAL_SERIAL)*1000000+46*1000+60))</f>
        <v/>
      </c>
      <c r="GM57" s="121">
        <f>IF(N('Dvd Calendar'!$Y$513)=0,"",IF(('Dvd Calendar'!$Y$513&gt;=GRID_FROM)*('Dvd Calendar'!$Y$513&lt;=GRID_TO)*('Dvd Calendar'!$Y$513&gt;VAL_DATE)=0,"",'Dvd Calendar'!$Y$513*1000000000+ISNUMBER('Dvd Calendar'!$Y$514)*100000000+0*10000000+(N('Dvd Calendar'!$Y$512)&gt;0)*(N('Dvd Calendar'!$Y$512)&lt;=VAL_SERIAL)*1000000+46*1000+61))</f>
        <v/>
      </c>
      <c r="GN57" s="121">
        <f>IF(N('Dvd Calendar'!$Z$513)=0,"",IF(('Dvd Calendar'!$Z$513&gt;=GRID_FROM)*('Dvd Calendar'!$Z$513&lt;=GRID_TO)*('Dvd Calendar'!$Z$513&gt;VAL_DATE)=0,"",'Dvd Calendar'!$Z$513*1000000000+ISNUMBER('Dvd Calendar'!$Z$514)*100000000+0*10000000+(N('Dvd Calendar'!$Z$512)&gt;0)*(N('Dvd Calendar'!$Z$512)&lt;=VAL_SERIAL)*1000000+46*1000+62))</f>
        <v/>
      </c>
      <c r="GO57" s="121">
        <f>IF(N('Dvd Calendar'!$AA$513)=0,"",IF(('Dvd Calendar'!$AA$513&gt;=GRID_FROM)*('Dvd Calendar'!$AA$513&lt;=GRID_TO)*('Dvd Calendar'!$AA$513&gt;VAL_DATE)=0,"",'Dvd Calendar'!$AA$513*1000000000+ISNUMBER('Dvd Calendar'!$AA$514)*100000000+0*10000000+(N('Dvd Calendar'!$AA$512)&gt;0)*(N('Dvd Calendar'!$AA$512)&lt;=VAL_SERIAL)*1000000+46*1000+63))</f>
        <v/>
      </c>
      <c r="GP57" s="121">
        <f>IF(N('Dvd Calendar'!$AB$513)=0,"",IF(('Dvd Calendar'!$AB$513&gt;=GRID_FROM)*('Dvd Calendar'!$AB$513&lt;=GRID_TO)*('Dvd Calendar'!$AB$513&gt;VAL_DATE)=0,"",'Dvd Calendar'!$AB$513*1000000000+ISNUMBER('Dvd Calendar'!$AB$514)*100000000+0*10000000+(N('Dvd Calendar'!$AB$512)&gt;0)*(N('Dvd Calendar'!$AB$512)&lt;=VAL_SERIAL)*1000000+46*1000+64))</f>
        <v/>
      </c>
      <c r="GQ57" s="121">
        <f>IF(N('Dvd Calendar'!$AC$513)=0,"",IF(('Dvd Calendar'!$AC$513&gt;=GRID_FROM)*('Dvd Calendar'!$AC$513&lt;=GRID_TO)*('Dvd Calendar'!$AC$513&gt;VAL_DATE)=0,"",'Dvd Calendar'!$AC$513*1000000000+ISNUMBER('Dvd Calendar'!$AC$514)*100000000+0*10000000+(N('Dvd Calendar'!$AC$512)&gt;0)*(N('Dvd Calendar'!$AC$512)&lt;=VAL_SERIAL)*1000000+46*1000+65))</f>
        <v/>
      </c>
    </row>
    <row r="58">
      <c r="B58" s="2">
        <f>IF(HSI!$C$53="","",HSI!$C$53)</f>
        <v/>
      </c>
      <c r="C58" s="161">
        <f>IF(EE58="","",IF(ISNUMBER('Dvd Calendar'!$E$520)=FALSE,"",IF((('Dvd Calendar'!$E$522=TYPE1)*(TYPE1&lt;&gt;"")+('Dvd Calendar'!$E$522=TYPE2)*(TYPE2&lt;&gt;"")+('Dvd Calendar'!$E$522=TYPE3)*(TYPE3&lt;&gt;"")+('Dvd Calendar'!$E$522=TYPE4)*(TYPE4&lt;&gt;"")+('Dvd Calendar'!$E$522=SPECIAL_LBL)*(INC_SPECIALS="Y"))=0,"",'Dvd Calendar'!$E$520)))</f>
        <v/>
      </c>
      <c r="D58" s="161">
        <f>IF(EF58="","",IF(ISNUMBER('Dvd Calendar'!$F$520)=FALSE,"",IF((('Dvd Calendar'!$F$522=TYPE1)*(TYPE1&lt;&gt;"")+('Dvd Calendar'!$F$522=TYPE2)*(TYPE2&lt;&gt;"")+('Dvd Calendar'!$F$522=TYPE3)*(TYPE3&lt;&gt;"")+('Dvd Calendar'!$F$522=TYPE4)*(TYPE4&lt;&gt;"")+('Dvd Calendar'!$F$522=SPECIAL_LBL)*(INC_SPECIALS="Y"))=0,"",'Dvd Calendar'!$F$520)))</f>
        <v/>
      </c>
      <c r="E58" s="161">
        <f>IF(EG58="","",IF(ISNUMBER('Dvd Calendar'!$G$520)=FALSE,"",IF((('Dvd Calendar'!$G$522=TYPE1)*(TYPE1&lt;&gt;"")+('Dvd Calendar'!$G$522=TYPE2)*(TYPE2&lt;&gt;"")+('Dvd Calendar'!$G$522=TYPE3)*(TYPE3&lt;&gt;"")+('Dvd Calendar'!$G$522=TYPE4)*(TYPE4&lt;&gt;"")+('Dvd Calendar'!$G$522=SPECIAL_LBL)*(INC_SPECIALS="Y"))=0,"",'Dvd Calendar'!$G$520)))</f>
        <v/>
      </c>
      <c r="F58" s="161">
        <f>IF(EH58="","",IF(ISNUMBER('Dvd Calendar'!$H$520)=FALSE,"",IF((('Dvd Calendar'!$H$522=TYPE1)*(TYPE1&lt;&gt;"")+('Dvd Calendar'!$H$522=TYPE2)*(TYPE2&lt;&gt;"")+('Dvd Calendar'!$H$522=TYPE3)*(TYPE3&lt;&gt;"")+('Dvd Calendar'!$H$522=TYPE4)*(TYPE4&lt;&gt;"")+('Dvd Calendar'!$H$522=SPECIAL_LBL)*(INC_SPECIALS="Y"))=0,"",'Dvd Calendar'!$H$520)))</f>
        <v/>
      </c>
      <c r="G58" s="161">
        <f>IF(EI58="","",IF(ISNUMBER('Dvd Calendar'!$I$520)=FALSE,"",IF((('Dvd Calendar'!$I$522=TYPE1)*(TYPE1&lt;&gt;"")+('Dvd Calendar'!$I$522=TYPE2)*(TYPE2&lt;&gt;"")+('Dvd Calendar'!$I$522=TYPE3)*(TYPE3&lt;&gt;"")+('Dvd Calendar'!$I$522=TYPE4)*(TYPE4&lt;&gt;"")+('Dvd Calendar'!$I$522=SPECIAL_LBL)*(INC_SPECIALS="Y"))=0,"",'Dvd Calendar'!$I$520)))</f>
        <v/>
      </c>
      <c r="H58" s="161">
        <f>IF(EJ58="","",IF(ISNUMBER('Dvd Calendar'!$J$520)=FALSE,"",IF((('Dvd Calendar'!$J$522=TYPE1)*(TYPE1&lt;&gt;"")+('Dvd Calendar'!$J$522=TYPE2)*(TYPE2&lt;&gt;"")+('Dvd Calendar'!$J$522=TYPE3)*(TYPE3&lt;&gt;"")+('Dvd Calendar'!$J$522=TYPE4)*(TYPE4&lt;&gt;"")+('Dvd Calendar'!$J$522=SPECIAL_LBL)*(INC_SPECIALS="Y"))=0,"",'Dvd Calendar'!$J$520)))</f>
        <v/>
      </c>
      <c r="I58" s="161">
        <f>IF(EK58="","",IF(ISNUMBER('Dvd Calendar'!$K$520)=FALSE,"",IF((('Dvd Calendar'!$K$522=TYPE1)*(TYPE1&lt;&gt;"")+('Dvd Calendar'!$K$522=TYPE2)*(TYPE2&lt;&gt;"")+('Dvd Calendar'!$K$522=TYPE3)*(TYPE3&lt;&gt;"")+('Dvd Calendar'!$K$522=TYPE4)*(TYPE4&lt;&gt;"")+('Dvd Calendar'!$K$522=SPECIAL_LBL)*(INC_SPECIALS="Y"))=0,"",'Dvd Calendar'!$K$520)))</f>
        <v/>
      </c>
      <c r="J58" s="161">
        <f>IF(EL58="","",IF(ISNUMBER('Dvd Calendar'!$L$520)=FALSE,"",IF((('Dvd Calendar'!$L$522=TYPE1)*(TYPE1&lt;&gt;"")+('Dvd Calendar'!$L$522=TYPE2)*(TYPE2&lt;&gt;"")+('Dvd Calendar'!$L$522=TYPE3)*(TYPE3&lt;&gt;"")+('Dvd Calendar'!$L$522=TYPE4)*(TYPE4&lt;&gt;"")+('Dvd Calendar'!$L$522=SPECIAL_LBL)*(INC_SPECIALS="Y"))=0,"",'Dvd Calendar'!$L$520)))</f>
        <v/>
      </c>
      <c r="K58" s="161">
        <f>IF(EM58="","",IF(ISNUMBER('Dvd Calendar'!$M$520)=FALSE,"",IF((('Dvd Calendar'!$M$522=TYPE1)*(TYPE1&lt;&gt;"")+('Dvd Calendar'!$M$522=TYPE2)*(TYPE2&lt;&gt;"")+('Dvd Calendar'!$M$522=TYPE3)*(TYPE3&lt;&gt;"")+('Dvd Calendar'!$M$522=TYPE4)*(TYPE4&lt;&gt;"")+('Dvd Calendar'!$M$522=SPECIAL_LBL)*(INC_SPECIALS="Y"))=0,"",'Dvd Calendar'!$M$520)))</f>
        <v/>
      </c>
      <c r="L58" s="161">
        <f>IF(EN58="","",IF(ISNUMBER('Dvd Calendar'!$N$520)=FALSE,"",IF((('Dvd Calendar'!$N$522=TYPE1)*(TYPE1&lt;&gt;"")+('Dvd Calendar'!$N$522=TYPE2)*(TYPE2&lt;&gt;"")+('Dvd Calendar'!$N$522=TYPE3)*(TYPE3&lt;&gt;"")+('Dvd Calendar'!$N$522=TYPE4)*(TYPE4&lt;&gt;"")+('Dvd Calendar'!$N$522=SPECIAL_LBL)*(INC_SPECIALS="Y"))=0,"",'Dvd Calendar'!$N$520)))</f>
        <v/>
      </c>
      <c r="M58" s="161">
        <f>IF(EO58="","",IF(ISNUMBER('Dvd Calendar'!$O$520)=FALSE,"",IF((('Dvd Calendar'!$O$522=TYPE1)*(TYPE1&lt;&gt;"")+('Dvd Calendar'!$O$522=TYPE2)*(TYPE2&lt;&gt;"")+('Dvd Calendar'!$O$522=TYPE3)*(TYPE3&lt;&gt;"")+('Dvd Calendar'!$O$522=TYPE4)*(TYPE4&lt;&gt;"")+('Dvd Calendar'!$O$522=SPECIAL_LBL)*(INC_SPECIALS="Y"))=0,"",'Dvd Calendar'!$O$520)))</f>
        <v/>
      </c>
      <c r="N58" s="161">
        <f>IF(EP58="","",IF(ISNUMBER('Dvd Calendar'!$P$520)=FALSE,"",IF((('Dvd Calendar'!$P$522=TYPE1)*(TYPE1&lt;&gt;"")+('Dvd Calendar'!$P$522=TYPE2)*(TYPE2&lt;&gt;"")+('Dvd Calendar'!$P$522=TYPE3)*(TYPE3&lt;&gt;"")+('Dvd Calendar'!$P$522=TYPE4)*(TYPE4&lt;&gt;"")+('Dvd Calendar'!$P$522=SPECIAL_LBL)*(INC_SPECIALS="Y"))=0,"",'Dvd Calendar'!$P$520)))</f>
        <v/>
      </c>
      <c r="O58" s="161">
        <f>IF(EQ58="","",IF(ISNUMBER('Dvd Calendar'!$Q$520)=FALSE,"",IF((('Dvd Calendar'!$Q$522=TYPE1)*(TYPE1&lt;&gt;"")+('Dvd Calendar'!$Q$522=TYPE2)*(TYPE2&lt;&gt;"")+('Dvd Calendar'!$Q$522=TYPE3)*(TYPE3&lt;&gt;"")+('Dvd Calendar'!$Q$522=TYPE4)*(TYPE4&lt;&gt;"")+('Dvd Calendar'!$Q$522=SPECIAL_LBL)*(INC_SPECIALS="Y"))=0,"",'Dvd Calendar'!$Q$520)))</f>
        <v/>
      </c>
      <c r="P58" s="161">
        <f>IF(ER58="","",IF(ISNUMBER('Dvd Calendar'!$R$520)=FALSE,"",IF((('Dvd Calendar'!$R$522=TYPE1)*(TYPE1&lt;&gt;"")+('Dvd Calendar'!$R$522=TYPE2)*(TYPE2&lt;&gt;"")+('Dvd Calendar'!$R$522=TYPE3)*(TYPE3&lt;&gt;"")+('Dvd Calendar'!$R$522=TYPE4)*(TYPE4&lt;&gt;"")+('Dvd Calendar'!$R$522=SPECIAL_LBL)*(INC_SPECIALS="Y"))=0,"",'Dvd Calendar'!$R$520)))</f>
        <v/>
      </c>
      <c r="Q58" s="161">
        <f>IF(ES58="","",IF(ISNUMBER('Dvd Calendar'!$S$520)=FALSE,"",IF((('Dvd Calendar'!$S$522=TYPE1)*(TYPE1&lt;&gt;"")+('Dvd Calendar'!$S$522=TYPE2)*(TYPE2&lt;&gt;"")+('Dvd Calendar'!$S$522=TYPE3)*(TYPE3&lt;&gt;"")+('Dvd Calendar'!$S$522=TYPE4)*(TYPE4&lt;&gt;"")+('Dvd Calendar'!$S$522=SPECIAL_LBL)*(INC_SPECIALS="Y"))=0,"",'Dvd Calendar'!$S$520)))</f>
        <v/>
      </c>
      <c r="R58" s="161">
        <f>IF(ET58="","",IF(ISNUMBER('Dvd Calendar'!$T$520)=FALSE,"",IF((('Dvd Calendar'!$T$522=TYPE1)*(TYPE1&lt;&gt;"")+('Dvd Calendar'!$T$522=TYPE2)*(TYPE2&lt;&gt;"")+('Dvd Calendar'!$T$522=TYPE3)*(TYPE3&lt;&gt;"")+('Dvd Calendar'!$T$522=TYPE4)*(TYPE4&lt;&gt;"")+('Dvd Calendar'!$T$522=SPECIAL_LBL)*(INC_SPECIALS="Y"))=0,"",'Dvd Calendar'!$T$520)))</f>
        <v/>
      </c>
      <c r="S58" s="161">
        <f>IF(EU58="","",IF(ISNUMBER('Dvd Calendar'!$U$520)=FALSE,"",IF((('Dvd Calendar'!$U$522=TYPE1)*(TYPE1&lt;&gt;"")+('Dvd Calendar'!$U$522=TYPE2)*(TYPE2&lt;&gt;"")+('Dvd Calendar'!$U$522=TYPE3)*(TYPE3&lt;&gt;"")+('Dvd Calendar'!$U$522=TYPE4)*(TYPE4&lt;&gt;"")+('Dvd Calendar'!$U$522=SPECIAL_LBL)*(INC_SPECIALS="Y"))=0,"",'Dvd Calendar'!$U$520)))</f>
        <v/>
      </c>
      <c r="T58" s="161">
        <f>IF(EV58="","",IF(ISNUMBER('Dvd Calendar'!$V$520)=FALSE,"",IF((('Dvd Calendar'!$V$522=TYPE1)*(TYPE1&lt;&gt;"")+('Dvd Calendar'!$V$522=TYPE2)*(TYPE2&lt;&gt;"")+('Dvd Calendar'!$V$522=TYPE3)*(TYPE3&lt;&gt;"")+('Dvd Calendar'!$V$522=TYPE4)*(TYPE4&lt;&gt;"")+('Dvd Calendar'!$V$522=SPECIAL_LBL)*(INC_SPECIALS="Y"))=0,"",'Dvd Calendar'!$V$520)))</f>
        <v/>
      </c>
      <c r="U58" s="161">
        <f>IF(EW58="","",IF(ISNUMBER('Dvd Calendar'!$W$520)=FALSE,"",IF((('Dvd Calendar'!$W$522=TYPE1)*(TYPE1&lt;&gt;"")+('Dvd Calendar'!$W$522=TYPE2)*(TYPE2&lt;&gt;"")+('Dvd Calendar'!$W$522=TYPE3)*(TYPE3&lt;&gt;"")+('Dvd Calendar'!$W$522=TYPE4)*(TYPE4&lt;&gt;"")+('Dvd Calendar'!$W$522=SPECIAL_LBL)*(INC_SPECIALS="Y"))=0,"",'Dvd Calendar'!$W$520)))</f>
        <v/>
      </c>
      <c r="V58" s="161">
        <f>IF(EX58="","",IF(ISNUMBER('Dvd Calendar'!$X$520)=FALSE,"",IF((('Dvd Calendar'!$X$522=TYPE1)*(TYPE1&lt;&gt;"")+('Dvd Calendar'!$X$522=TYPE2)*(TYPE2&lt;&gt;"")+('Dvd Calendar'!$X$522=TYPE3)*(TYPE3&lt;&gt;"")+('Dvd Calendar'!$X$522=TYPE4)*(TYPE4&lt;&gt;"")+('Dvd Calendar'!$X$522=SPECIAL_LBL)*(INC_SPECIALS="Y"))=0,"",'Dvd Calendar'!$X$520)))</f>
        <v/>
      </c>
      <c r="W58" s="161">
        <f>IF(EY58="","",IF(ISNUMBER('Dvd Calendar'!$Y$520)=FALSE,"",IF((('Dvd Calendar'!$Y$522=TYPE1)*(TYPE1&lt;&gt;"")+('Dvd Calendar'!$Y$522=TYPE2)*(TYPE2&lt;&gt;"")+('Dvd Calendar'!$Y$522=TYPE3)*(TYPE3&lt;&gt;"")+('Dvd Calendar'!$Y$522=TYPE4)*(TYPE4&lt;&gt;"")+('Dvd Calendar'!$Y$522=SPECIAL_LBL)*(INC_SPECIALS="Y"))=0,"",'Dvd Calendar'!$Y$520)))</f>
        <v/>
      </c>
      <c r="X58" s="161">
        <f>IF(EZ58="","",IF(ISNUMBER('Dvd Calendar'!$Z$520)=FALSE,"",IF((('Dvd Calendar'!$Z$522=TYPE1)*(TYPE1&lt;&gt;"")+('Dvd Calendar'!$Z$522=TYPE2)*(TYPE2&lt;&gt;"")+('Dvd Calendar'!$Z$522=TYPE3)*(TYPE3&lt;&gt;"")+('Dvd Calendar'!$Z$522=TYPE4)*(TYPE4&lt;&gt;"")+('Dvd Calendar'!$Z$522=SPECIAL_LBL)*(INC_SPECIALS="Y"))=0,"",'Dvd Calendar'!$Z$520)))</f>
        <v/>
      </c>
      <c r="Y58" s="161">
        <f>IF(FA58="","",IF(ISNUMBER('Dvd Calendar'!$AA$520)=FALSE,"",IF((('Dvd Calendar'!$AA$522=TYPE1)*(TYPE1&lt;&gt;"")+('Dvd Calendar'!$AA$522=TYPE2)*(TYPE2&lt;&gt;"")+('Dvd Calendar'!$AA$522=TYPE3)*(TYPE3&lt;&gt;"")+('Dvd Calendar'!$AA$522=TYPE4)*(TYPE4&lt;&gt;"")+('Dvd Calendar'!$AA$522=SPECIAL_LBL)*(INC_SPECIALS="Y"))=0,"",'Dvd Calendar'!$AA$520)))</f>
        <v/>
      </c>
      <c r="Z58" s="161">
        <f>IF(FB58="","",IF(ISNUMBER('Dvd Calendar'!$AB$520)=FALSE,"",IF((('Dvd Calendar'!$AB$522=TYPE1)*(TYPE1&lt;&gt;"")+('Dvd Calendar'!$AB$522=TYPE2)*(TYPE2&lt;&gt;"")+('Dvd Calendar'!$AB$522=TYPE3)*(TYPE3&lt;&gt;"")+('Dvd Calendar'!$AB$522=TYPE4)*(TYPE4&lt;&gt;"")+('Dvd Calendar'!$AB$522=SPECIAL_LBL)*(INC_SPECIALS="Y"))=0,"",'Dvd Calendar'!$AB$520)))</f>
        <v/>
      </c>
      <c r="AA58" s="161">
        <f>IF(FC58="","",IF(ISNUMBER('Dvd Calendar'!$AC$520)=FALSE,"",IF((('Dvd Calendar'!$AC$522=TYPE1)*(TYPE1&lt;&gt;"")+('Dvd Calendar'!$AC$522=TYPE2)*(TYPE2&lt;&gt;"")+('Dvd Calendar'!$AC$522=TYPE3)*(TYPE3&lt;&gt;"")+('Dvd Calendar'!$AC$522=TYPE4)*(TYPE4&lt;&gt;"")+('Dvd Calendar'!$AC$522=SPECIAL_LBL)*(INC_SPECIALS="Y"))=0,"",'Dvd Calendar'!$AC$520)))</f>
        <v/>
      </c>
      <c r="AB58" s="161">
        <f>IF(FD58="","",IF(ISNUMBER('Dvd Calendar'!$AD$520)=FALSE,"",IF((('Dvd Calendar'!$AD$522=TYPE1)*(TYPE1&lt;&gt;"")+('Dvd Calendar'!$AD$522=TYPE2)*(TYPE2&lt;&gt;"")+('Dvd Calendar'!$AD$522=TYPE3)*(TYPE3&lt;&gt;"")+('Dvd Calendar'!$AD$522=TYPE4)*(TYPE4&lt;&gt;"")+('Dvd Calendar'!$AD$522=SPECIAL_LBL)*(INC_SPECIALS="Y"))=0,"",'Dvd Calendar'!$AD$520)))</f>
        <v/>
      </c>
      <c r="AC58" s="161">
        <f>IF(FE58="","",IF(ISNUMBER('Dvd Calendar'!$AE$520)=FALSE,"",IF((('Dvd Calendar'!$AE$522=TYPE1)*(TYPE1&lt;&gt;"")+('Dvd Calendar'!$AE$522=TYPE2)*(TYPE2&lt;&gt;"")+('Dvd Calendar'!$AE$522=TYPE3)*(TYPE3&lt;&gt;"")+('Dvd Calendar'!$AE$522=TYPE4)*(TYPE4&lt;&gt;"")+('Dvd Calendar'!$AE$522=SPECIAL_LBL)*(INC_SPECIALS="Y"))=0,"",'Dvd Calendar'!$AE$520)))</f>
        <v/>
      </c>
      <c r="AD58" s="161">
        <f>IF(FF58="","",IF(ISNUMBER('Dvd Calendar'!$AF$520)=FALSE,"",IF((('Dvd Calendar'!$AF$522=TYPE1)*(TYPE1&lt;&gt;"")+('Dvd Calendar'!$AF$522=TYPE2)*(TYPE2&lt;&gt;"")+('Dvd Calendar'!$AF$522=TYPE3)*(TYPE3&lt;&gt;"")+('Dvd Calendar'!$AF$522=TYPE4)*(TYPE4&lt;&gt;"")+('Dvd Calendar'!$AF$522=SPECIAL_LBL)*(INC_SPECIALS="Y"))=0,"",'Dvd Calendar'!$AF$520)))</f>
        <v/>
      </c>
      <c r="AE58" s="161">
        <f>IF(FG58="","",IF(ISNUMBER('Dvd Calendar'!$AG$520)=FALSE,"",IF((('Dvd Calendar'!$AG$522=TYPE1)*(TYPE1&lt;&gt;"")+('Dvd Calendar'!$AG$522=TYPE2)*(TYPE2&lt;&gt;"")+('Dvd Calendar'!$AG$522=TYPE3)*(TYPE3&lt;&gt;"")+('Dvd Calendar'!$AG$522=TYPE4)*(TYPE4&lt;&gt;"")+('Dvd Calendar'!$AG$522=SPECIAL_LBL)*(INC_SPECIALS="Y"))=0,"",'Dvd Calendar'!$AG$520)))</f>
        <v/>
      </c>
      <c r="AF58" s="161">
        <f>IF(FH58="","",IF(ISNUMBER('Dvd Calendar'!$AH$520)=FALSE,"",IF((('Dvd Calendar'!$AH$522=TYPE1)*(TYPE1&lt;&gt;"")+('Dvd Calendar'!$AH$522=TYPE2)*(TYPE2&lt;&gt;"")+('Dvd Calendar'!$AH$522=TYPE3)*(TYPE3&lt;&gt;"")+('Dvd Calendar'!$AH$522=TYPE4)*(TYPE4&lt;&gt;"")+('Dvd Calendar'!$AH$522=SPECIAL_LBL)*(INC_SPECIALS="Y"))=0,"",'Dvd Calendar'!$AH$520)))</f>
        <v/>
      </c>
      <c r="AG58" s="161">
        <f>IF(FI58="","",IF(ISNUMBER('Dvd Calendar'!$AI$520)=FALSE,"",IF((('Dvd Calendar'!$AI$522=TYPE1)*(TYPE1&lt;&gt;"")+('Dvd Calendar'!$AI$522=TYPE2)*(TYPE2&lt;&gt;"")+('Dvd Calendar'!$AI$522=TYPE3)*(TYPE3&lt;&gt;"")+('Dvd Calendar'!$AI$522=TYPE4)*(TYPE4&lt;&gt;"")+('Dvd Calendar'!$AI$522=SPECIAL_LBL)*(INC_SPECIALS="Y"))=0,"",'Dvd Calendar'!$AI$520)))</f>
        <v/>
      </c>
      <c r="AH58" s="161">
        <f>IF(FJ58="","",IF(ISNUMBER('Dvd Calendar'!$AJ$520)=FALSE,"",IF((('Dvd Calendar'!$AJ$522=TYPE1)*(TYPE1&lt;&gt;"")+('Dvd Calendar'!$AJ$522=TYPE2)*(TYPE2&lt;&gt;"")+('Dvd Calendar'!$AJ$522=TYPE3)*(TYPE3&lt;&gt;"")+('Dvd Calendar'!$AJ$522=TYPE4)*(TYPE4&lt;&gt;"")+('Dvd Calendar'!$AJ$522=SPECIAL_LBL)*(INC_SPECIALS="Y"))=0,"",'Dvd Calendar'!$AJ$520)))</f>
        <v/>
      </c>
      <c r="AI58" s="161">
        <f>IF(FK58="","",IF(ISNUMBER('Dvd Calendar'!$AK$520)=FALSE,"",IF((('Dvd Calendar'!$AK$522=TYPE1)*(TYPE1&lt;&gt;"")+('Dvd Calendar'!$AK$522=TYPE2)*(TYPE2&lt;&gt;"")+('Dvd Calendar'!$AK$522=TYPE3)*(TYPE3&lt;&gt;"")+('Dvd Calendar'!$AK$522=TYPE4)*(TYPE4&lt;&gt;"")+('Dvd Calendar'!$AK$522=SPECIAL_LBL)*(INC_SPECIALS="Y"))=0,"",'Dvd Calendar'!$AK$520)))</f>
        <v/>
      </c>
      <c r="AJ58" s="161">
        <f>IF(FL58="","",IF(ISNUMBER('Dvd Calendar'!$AL$520)=FALSE,"",IF((('Dvd Calendar'!$AL$522=TYPE1)*(TYPE1&lt;&gt;"")+('Dvd Calendar'!$AL$522=TYPE2)*(TYPE2&lt;&gt;"")+('Dvd Calendar'!$AL$522=TYPE3)*(TYPE3&lt;&gt;"")+('Dvd Calendar'!$AL$522=TYPE4)*(TYPE4&lt;&gt;"")+('Dvd Calendar'!$AL$522=SPECIAL_LBL)*(INC_SPECIALS="Y"))=0,"",'Dvd Calendar'!$AL$520)))</f>
        <v/>
      </c>
      <c r="AK58" s="161">
        <f>IF(FM58="","",IF(ISNUMBER('Dvd Calendar'!$AM$520)=FALSE,"",IF((('Dvd Calendar'!$AM$522=TYPE1)*(TYPE1&lt;&gt;"")+('Dvd Calendar'!$AM$522=TYPE2)*(TYPE2&lt;&gt;"")+('Dvd Calendar'!$AM$522=TYPE3)*(TYPE3&lt;&gt;"")+('Dvd Calendar'!$AM$522=TYPE4)*(TYPE4&lt;&gt;"")+('Dvd Calendar'!$AM$522=SPECIAL_LBL)*(INC_SPECIALS="Y"))=0,"",'Dvd Calendar'!$AM$520)))</f>
        <v/>
      </c>
      <c r="AL58" s="161">
        <f>IF(FN58="","",IF(ISNUMBER('Dvd Calendar'!$AN$520)=FALSE,"",IF((('Dvd Calendar'!$AN$522=TYPE1)*(TYPE1&lt;&gt;"")+('Dvd Calendar'!$AN$522=TYPE2)*(TYPE2&lt;&gt;"")+('Dvd Calendar'!$AN$522=TYPE3)*(TYPE3&lt;&gt;"")+('Dvd Calendar'!$AN$522=TYPE4)*(TYPE4&lt;&gt;"")+('Dvd Calendar'!$AN$522=SPECIAL_LBL)*(INC_SPECIALS="Y"))=0,"",'Dvd Calendar'!$AN$520)))</f>
        <v/>
      </c>
      <c r="AM58" s="161">
        <f>IF(FO58="","",IF(ISNUMBER('Dvd Calendar'!$AO$520)=FALSE,"",IF((('Dvd Calendar'!$AO$522=TYPE1)*(TYPE1&lt;&gt;"")+('Dvd Calendar'!$AO$522=TYPE2)*(TYPE2&lt;&gt;"")+('Dvd Calendar'!$AO$522=TYPE3)*(TYPE3&lt;&gt;"")+('Dvd Calendar'!$AO$522=TYPE4)*(TYPE4&lt;&gt;"")+('Dvd Calendar'!$AO$522=SPECIAL_LBL)*(INC_SPECIALS="Y"))=0,"",'Dvd Calendar'!$AO$520)))</f>
        <v/>
      </c>
      <c r="AN58" s="161">
        <f>IF(FP58="","",IF(ISNUMBER('Dvd Calendar'!$AP$520)=FALSE,"",IF((('Dvd Calendar'!$AP$522=TYPE1)*(TYPE1&lt;&gt;"")+('Dvd Calendar'!$AP$522=TYPE2)*(TYPE2&lt;&gt;"")+('Dvd Calendar'!$AP$522=TYPE3)*(TYPE3&lt;&gt;"")+('Dvd Calendar'!$AP$522=TYPE4)*(TYPE4&lt;&gt;"")+('Dvd Calendar'!$AP$522=SPECIAL_LBL)*(INC_SPECIALS="Y"))=0,"",'Dvd Calendar'!$AP$520)))</f>
        <v/>
      </c>
      <c r="AO58" s="161">
        <f>IF(FQ58="","",IF(ISNUMBER('Dvd Calendar'!$AQ$520)=FALSE,"",IF((('Dvd Calendar'!$AQ$522=TYPE1)*(TYPE1&lt;&gt;"")+('Dvd Calendar'!$AQ$522=TYPE2)*(TYPE2&lt;&gt;"")+('Dvd Calendar'!$AQ$522=TYPE3)*(TYPE3&lt;&gt;"")+('Dvd Calendar'!$AQ$522=TYPE4)*(TYPE4&lt;&gt;"")+('Dvd Calendar'!$AQ$522=SPECIAL_LBL)*(INC_SPECIALS="Y"))=0,"",'Dvd Calendar'!$AQ$520)))</f>
        <v/>
      </c>
      <c r="AP58" s="161">
        <f>IF(FR58="","",IF(ISNUMBER('Dvd Calendar'!$AR$520)=FALSE,"",IF((('Dvd Calendar'!$AR$522=TYPE1)*(TYPE1&lt;&gt;"")+('Dvd Calendar'!$AR$522=TYPE2)*(TYPE2&lt;&gt;"")+('Dvd Calendar'!$AR$522=TYPE3)*(TYPE3&lt;&gt;"")+('Dvd Calendar'!$AR$522=TYPE4)*(TYPE4&lt;&gt;"")+('Dvd Calendar'!$AR$522=SPECIAL_LBL)*(INC_SPECIALS="Y"))=0,"",'Dvd Calendar'!$AR$520)))</f>
        <v/>
      </c>
      <c r="AQ58" s="161">
        <f>IF(FS58="","",IF(ISNUMBER('Dvd Calendar'!$E$525)=FALSE,"",'Dvd Calendar'!$E$525))</f>
        <v/>
      </c>
      <c r="AR58" s="161">
        <f>IF(FT58="","",IF(ISNUMBER('Dvd Calendar'!$F$525)=FALSE,"",'Dvd Calendar'!$F$525))</f>
        <v/>
      </c>
      <c r="AS58" s="161">
        <f>IF(FU58="","",IF(ISNUMBER('Dvd Calendar'!$G$525)=FALSE,"",'Dvd Calendar'!$G$525))</f>
        <v/>
      </c>
      <c r="AT58" s="161">
        <f>IF(FV58="","",IF(ISNUMBER('Dvd Calendar'!$H$525)=FALSE,"",'Dvd Calendar'!$H$525))</f>
        <v/>
      </c>
      <c r="AU58" s="161">
        <f>IF(FW58="","",IF(ISNUMBER('Dvd Calendar'!$I$525)=FALSE,"",'Dvd Calendar'!$I$525))</f>
        <v/>
      </c>
      <c r="AV58" s="161">
        <f>IF(FX58="","",IF(ISNUMBER('Dvd Calendar'!$J$525)=FALSE,"",'Dvd Calendar'!$J$525))</f>
        <v/>
      </c>
      <c r="AW58" s="161">
        <f>IF(FY58="","",IF(ISNUMBER('Dvd Calendar'!$K$525)=FALSE,"",'Dvd Calendar'!$K$525))</f>
        <v/>
      </c>
      <c r="AX58" s="161">
        <f>IF(FZ58="","",IF(ISNUMBER('Dvd Calendar'!$L$525)=FALSE,"",'Dvd Calendar'!$L$525))</f>
        <v/>
      </c>
      <c r="AY58" s="161">
        <f>IF(GA58="","",IF(ISNUMBER('Dvd Calendar'!$M$525)=FALSE,"",'Dvd Calendar'!$M$525))</f>
        <v/>
      </c>
      <c r="AZ58" s="161">
        <f>IF(GB58="","",IF(ISNUMBER('Dvd Calendar'!$N$525)=FALSE,"",'Dvd Calendar'!$N$525))</f>
        <v/>
      </c>
      <c r="BA58" s="161">
        <f>IF(GC58="","",IF(ISNUMBER('Dvd Calendar'!$O$525)=FALSE,"",'Dvd Calendar'!$O$525))</f>
        <v/>
      </c>
      <c r="BB58" s="161">
        <f>IF(GD58="","",IF(ISNUMBER('Dvd Calendar'!$P$525)=FALSE,"",'Dvd Calendar'!$P$525))</f>
        <v/>
      </c>
      <c r="BC58" s="161">
        <f>IF(GE58="","",IF(ISNUMBER('Dvd Calendar'!$Q$525)=FALSE,"",'Dvd Calendar'!$Q$525))</f>
        <v/>
      </c>
      <c r="BD58" s="161">
        <f>IF(GF58="","",IF(ISNUMBER('Dvd Calendar'!$R$525)=FALSE,"",'Dvd Calendar'!$R$525))</f>
        <v/>
      </c>
      <c r="BE58" s="161">
        <f>IF(GG58="","",IF(ISNUMBER('Dvd Calendar'!$S$525)=FALSE,"",'Dvd Calendar'!$S$525))</f>
        <v/>
      </c>
      <c r="BF58" s="161">
        <f>IF(GH58="","",IF(ISNUMBER('Dvd Calendar'!$T$525)=FALSE,"",'Dvd Calendar'!$T$525))</f>
        <v/>
      </c>
      <c r="BG58" s="161">
        <f>IF(GI58="","",IF(ISNUMBER('Dvd Calendar'!$U$525)=FALSE,"",'Dvd Calendar'!$U$525))</f>
        <v/>
      </c>
      <c r="BH58" s="161">
        <f>IF(GJ58="","",IF(ISNUMBER('Dvd Calendar'!$V$525)=FALSE,"",'Dvd Calendar'!$V$525))</f>
        <v/>
      </c>
      <c r="BI58" s="161">
        <f>IF(GK58="","",IF(ISNUMBER('Dvd Calendar'!$W$525)=FALSE,"",'Dvd Calendar'!$W$525))</f>
        <v/>
      </c>
      <c r="BJ58" s="161">
        <f>IF(GL58="","",IF(ISNUMBER('Dvd Calendar'!$X$525)=FALSE,"",'Dvd Calendar'!$X$525))</f>
        <v/>
      </c>
      <c r="BK58" s="161">
        <f>IF(GM58="","",IF(ISNUMBER('Dvd Calendar'!$Y$525)=FALSE,"",'Dvd Calendar'!$Y$525))</f>
        <v/>
      </c>
      <c r="BL58" s="161">
        <f>IF(GN58="","",IF(ISNUMBER('Dvd Calendar'!$Z$525)=FALSE,"",'Dvd Calendar'!$Z$525))</f>
        <v/>
      </c>
      <c r="BM58" s="161">
        <f>IF(GO58="","",IF(ISNUMBER('Dvd Calendar'!$AA$525)=FALSE,"",'Dvd Calendar'!$AA$525))</f>
        <v/>
      </c>
      <c r="BN58" s="161">
        <f>IF(GP58="","",IF(ISNUMBER('Dvd Calendar'!$AB$525)=FALSE,"",'Dvd Calendar'!$AB$525))</f>
        <v/>
      </c>
      <c r="BO58" s="161">
        <f>IF(GQ58="","",IF(ISNUMBER('Dvd Calendar'!$AC$525)=FALSE,"",'Dvd Calendar'!$AC$525))</f>
        <v/>
      </c>
      <c r="BQ58" s="161">
        <f>IF(C58="","",IFERROR(C58*HSI!$B$53*HSI!$G$53/HSI!$B$3,""))</f>
        <v/>
      </c>
      <c r="BR58" s="161">
        <f>IF(D58="","",IFERROR(D58*HSI!$B$53*HSI!$G$53/HSI!$B$3,""))</f>
        <v/>
      </c>
      <c r="BS58" s="161">
        <f>IF(E58="","",IFERROR(E58*HSI!$B$53*HSI!$G$53/HSI!$B$3,""))</f>
        <v/>
      </c>
      <c r="BT58" s="161">
        <f>IF(F58="","",IFERROR(F58*HSI!$B$53*HSI!$G$53/HSI!$B$3,""))</f>
        <v/>
      </c>
      <c r="BU58" s="161">
        <f>IF(G58="","",IFERROR(G58*HSI!$B$53*HSI!$G$53/HSI!$B$3,""))</f>
        <v/>
      </c>
      <c r="BV58" s="161">
        <f>IF(H58="","",IFERROR(H58*HSI!$B$53*HSI!$G$53/HSI!$B$3,""))</f>
        <v/>
      </c>
      <c r="BW58" s="161">
        <f>IF(I58="","",IFERROR(I58*HSI!$B$53*HSI!$G$53/HSI!$B$3,""))</f>
        <v/>
      </c>
      <c r="BX58" s="161">
        <f>IF(J58="","",IFERROR(J58*HSI!$B$53*HSI!$G$53/HSI!$B$3,""))</f>
        <v/>
      </c>
      <c r="BY58" s="161">
        <f>IF(K58="","",IFERROR(K58*HSI!$B$53*HSI!$G$53/HSI!$B$3,""))</f>
        <v/>
      </c>
      <c r="BZ58" s="161">
        <f>IF(L58="","",IFERROR(L58*HSI!$B$53*HSI!$G$53/HSI!$B$3,""))</f>
        <v/>
      </c>
      <c r="CA58" s="161">
        <f>IF(M58="","",IFERROR(M58*HSI!$B$53*HSI!$G$53/HSI!$B$3,""))</f>
        <v/>
      </c>
      <c r="CB58" s="161">
        <f>IF(N58="","",IFERROR(N58*HSI!$B$53*HSI!$G$53/HSI!$B$3,""))</f>
        <v/>
      </c>
      <c r="CC58" s="161">
        <f>IF(O58="","",IFERROR(O58*HSI!$B$53*HSI!$G$53/HSI!$B$3,""))</f>
        <v/>
      </c>
      <c r="CD58" s="161">
        <f>IF(P58="","",IFERROR(P58*HSI!$B$53*HSI!$G$53/HSI!$B$3,""))</f>
        <v/>
      </c>
      <c r="CE58" s="161">
        <f>IF(Q58="","",IFERROR(Q58*HSI!$B$53*HSI!$G$53/HSI!$B$3,""))</f>
        <v/>
      </c>
      <c r="CF58" s="161">
        <f>IF(R58="","",IFERROR(R58*HSI!$B$53*HSI!$G$53/HSI!$B$3,""))</f>
        <v/>
      </c>
      <c r="CG58" s="161">
        <f>IF(S58="","",IFERROR(S58*HSI!$B$53*HSI!$G$53/HSI!$B$3,""))</f>
        <v/>
      </c>
      <c r="CH58" s="161">
        <f>IF(T58="","",IFERROR(T58*HSI!$B$53*HSI!$G$53/HSI!$B$3,""))</f>
        <v/>
      </c>
      <c r="CI58" s="161">
        <f>IF(U58="","",IFERROR(U58*HSI!$B$53*HSI!$G$53/HSI!$B$3,""))</f>
        <v/>
      </c>
      <c r="CJ58" s="161">
        <f>IF(V58="","",IFERROR(V58*HSI!$B$53*HSI!$G$53/HSI!$B$3,""))</f>
        <v/>
      </c>
      <c r="CK58" s="161">
        <f>IF(W58="","",IFERROR(W58*HSI!$B$53*HSI!$G$53/HSI!$B$3,""))</f>
        <v/>
      </c>
      <c r="CL58" s="161">
        <f>IF(X58="","",IFERROR(X58*HSI!$B$53*HSI!$G$53/HSI!$B$3,""))</f>
        <v/>
      </c>
      <c r="CM58" s="161">
        <f>IF(Y58="","",IFERROR(Y58*HSI!$B$53*HSI!$G$53/HSI!$B$3,""))</f>
        <v/>
      </c>
      <c r="CN58" s="161">
        <f>IF(Z58="","",IFERROR(Z58*HSI!$B$53*HSI!$G$53/HSI!$B$3,""))</f>
        <v/>
      </c>
      <c r="CO58" s="161">
        <f>IF(AA58="","",IFERROR(AA58*HSI!$B$53*HSI!$G$53/HSI!$B$3,""))</f>
        <v/>
      </c>
      <c r="CP58" s="161">
        <f>IF(AB58="","",IFERROR(AB58*HSI!$B$53*HSI!$G$53/HSI!$B$3,""))</f>
        <v/>
      </c>
      <c r="CQ58" s="161">
        <f>IF(AC58="","",IFERROR(AC58*HSI!$B$53*HSI!$G$53/HSI!$B$3,""))</f>
        <v/>
      </c>
      <c r="CR58" s="161">
        <f>IF(AD58="","",IFERROR(AD58*HSI!$B$53*HSI!$G$53/HSI!$B$3,""))</f>
        <v/>
      </c>
      <c r="CS58" s="161">
        <f>IF(AE58="","",IFERROR(AE58*HSI!$B$53*HSI!$G$53/HSI!$B$3,""))</f>
        <v/>
      </c>
      <c r="CT58" s="161">
        <f>IF(AF58="","",IFERROR(AF58*HSI!$B$53*HSI!$G$53/HSI!$B$3,""))</f>
        <v/>
      </c>
      <c r="CU58" s="161">
        <f>IF(AG58="","",IFERROR(AG58*HSI!$B$53*HSI!$G$53/HSI!$B$3,""))</f>
        <v/>
      </c>
      <c r="CV58" s="161">
        <f>IF(AH58="","",IFERROR(AH58*HSI!$B$53*HSI!$G$53/HSI!$B$3,""))</f>
        <v/>
      </c>
      <c r="CW58" s="161">
        <f>IF(AI58="","",IFERROR(AI58*HSI!$B$53*HSI!$G$53/HSI!$B$3,""))</f>
        <v/>
      </c>
      <c r="CX58" s="161">
        <f>IF(AJ58="","",IFERROR(AJ58*HSI!$B$53*HSI!$G$53/HSI!$B$3,""))</f>
        <v/>
      </c>
      <c r="CY58" s="161">
        <f>IF(AK58="","",IFERROR(AK58*HSI!$B$53*HSI!$G$53/HSI!$B$3,""))</f>
        <v/>
      </c>
      <c r="CZ58" s="161">
        <f>IF(AL58="","",IFERROR(AL58*HSI!$B$53*HSI!$G$53/HSI!$B$3,""))</f>
        <v/>
      </c>
      <c r="DA58" s="161">
        <f>IF(AM58="","",IFERROR(AM58*HSI!$B$53*HSI!$G$53/HSI!$B$3,""))</f>
        <v/>
      </c>
      <c r="DB58" s="161">
        <f>IF(AN58="","",IFERROR(AN58*HSI!$B$53*HSI!$G$53/HSI!$B$3,""))</f>
        <v/>
      </c>
      <c r="DC58" s="161">
        <f>IF(AO58="","",IFERROR(AO58*HSI!$B$53*HSI!$G$53/HSI!$B$3,""))</f>
        <v/>
      </c>
      <c r="DD58" s="161">
        <f>IF(AP58="","",IFERROR(AP58*HSI!$B$53*HSI!$G$53/HSI!$B$3,""))</f>
        <v/>
      </c>
      <c r="DE58" s="161">
        <f>IF(AQ58="","",IFERROR(AQ58*HSI!$B$53*HSI!$G$53/HSI!$B$3,""))</f>
        <v/>
      </c>
      <c r="DF58" s="161">
        <f>IF(AR58="","",IFERROR(AR58*HSI!$B$53*HSI!$G$53/HSI!$B$3,""))</f>
        <v/>
      </c>
      <c r="DG58" s="161">
        <f>IF(AS58="","",IFERROR(AS58*HSI!$B$53*HSI!$G$53/HSI!$B$3,""))</f>
        <v/>
      </c>
      <c r="DH58" s="161">
        <f>IF(AT58="","",IFERROR(AT58*HSI!$B$53*HSI!$G$53/HSI!$B$3,""))</f>
        <v/>
      </c>
      <c r="DI58" s="161">
        <f>IF(AU58="","",IFERROR(AU58*HSI!$B$53*HSI!$G$53/HSI!$B$3,""))</f>
        <v/>
      </c>
      <c r="DJ58" s="161">
        <f>IF(AV58="","",IFERROR(AV58*HSI!$B$53*HSI!$G$53/HSI!$B$3,""))</f>
        <v/>
      </c>
      <c r="DK58" s="161">
        <f>IF(AW58="","",IFERROR(AW58*HSI!$B$53*HSI!$G$53/HSI!$B$3,""))</f>
        <v/>
      </c>
      <c r="DL58" s="161">
        <f>IF(AX58="","",IFERROR(AX58*HSI!$B$53*HSI!$G$53/HSI!$B$3,""))</f>
        <v/>
      </c>
      <c r="DM58" s="161">
        <f>IF(AY58="","",IFERROR(AY58*HSI!$B$53*HSI!$G$53/HSI!$B$3,""))</f>
        <v/>
      </c>
      <c r="DN58" s="161">
        <f>IF(AZ58="","",IFERROR(AZ58*HSI!$B$53*HSI!$G$53/HSI!$B$3,""))</f>
        <v/>
      </c>
      <c r="DO58" s="161">
        <f>IF(BA58="","",IFERROR(BA58*HSI!$B$53*HSI!$G$53/HSI!$B$3,""))</f>
        <v/>
      </c>
      <c r="DP58" s="161">
        <f>IF(BB58="","",IFERROR(BB58*HSI!$B$53*HSI!$G$53/HSI!$B$3,""))</f>
        <v/>
      </c>
      <c r="DQ58" s="161">
        <f>IF(BC58="","",IFERROR(BC58*HSI!$B$53*HSI!$G$53/HSI!$B$3,""))</f>
        <v/>
      </c>
      <c r="DR58" s="161">
        <f>IF(BD58="","",IFERROR(BD58*HSI!$B$53*HSI!$G$53/HSI!$B$3,""))</f>
        <v/>
      </c>
      <c r="DS58" s="161">
        <f>IF(BE58="","",IFERROR(BE58*HSI!$B$53*HSI!$G$53/HSI!$B$3,""))</f>
        <v/>
      </c>
      <c r="DT58" s="161">
        <f>IF(BF58="","",IFERROR(BF58*HSI!$B$53*HSI!$G$53/HSI!$B$3,""))</f>
        <v/>
      </c>
      <c r="DU58" s="161">
        <f>IF(BG58="","",IFERROR(BG58*HSI!$B$53*HSI!$G$53/HSI!$B$3,""))</f>
        <v/>
      </c>
      <c r="DV58" s="161">
        <f>IF(BH58="","",IFERROR(BH58*HSI!$B$53*HSI!$G$53/HSI!$B$3,""))</f>
        <v/>
      </c>
      <c r="DW58" s="161">
        <f>IF(BI58="","",IFERROR(BI58*HSI!$B$53*HSI!$G$53/HSI!$B$3,""))</f>
        <v/>
      </c>
      <c r="DX58" s="161">
        <f>IF(BJ58="","",IFERROR(BJ58*HSI!$B$53*HSI!$G$53/HSI!$B$3,""))</f>
        <v/>
      </c>
      <c r="DY58" s="161">
        <f>IF(BK58="","",IFERROR(BK58*HSI!$B$53*HSI!$G$53/HSI!$B$3,""))</f>
        <v/>
      </c>
      <c r="DZ58" s="161">
        <f>IF(BL58="","",IFERROR(BL58*HSI!$B$53*HSI!$G$53/HSI!$B$3,""))</f>
        <v/>
      </c>
      <c r="EA58" s="161">
        <f>IF(BM58="","",IFERROR(BM58*HSI!$B$53*HSI!$G$53/HSI!$B$3,""))</f>
        <v/>
      </c>
      <c r="EB58" s="161">
        <f>IF(BN58="","",IFERROR(BN58*HSI!$B$53*HSI!$G$53/HSI!$B$3,""))</f>
        <v/>
      </c>
      <c r="EC58" s="161">
        <f>IF(BO58="","",IFERROR(BO58*HSI!$B$53*HSI!$G$53/HSI!$B$3,""))</f>
        <v/>
      </c>
      <c r="EE58" s="121">
        <f>IF(N('Dvd Calendar'!$E$517)=0,"",IF(('Dvd Calendar'!$E$517&gt;=GRID_FROM)*('Dvd Calendar'!$E$517&lt;=GRID_TO)*((('Dvd Calendar'!$E$517&lt;=VAL_DATE)+(COUNTIF('Dvd Calendar'!$E$524:$AR$524,'Dvd Calendar'!$E$517)=0))&gt;0)=0,"",'Dvd Calendar'!$E$517*1000000000+ISNUMBER('Dvd Calendar'!$E$520)*100000000+('Dvd Calendar'!$E$522=SPECIAL_LBL)*10000000+(N('Dvd Calendar'!$E$516)&gt;0)*(N('Dvd Calendar'!$E$516)&lt;=VAL_SERIAL)*1000000+47*1000+1))</f>
        <v/>
      </c>
      <c r="EF58" s="121">
        <f>IF(N('Dvd Calendar'!$F$517)=0,"",IF(('Dvd Calendar'!$F$517&gt;=GRID_FROM)*('Dvd Calendar'!$F$517&lt;=GRID_TO)*((('Dvd Calendar'!$F$517&lt;=VAL_DATE)+(COUNTIF('Dvd Calendar'!$E$524:$AR$524,'Dvd Calendar'!$F$517)=0))&gt;0)=0,"",'Dvd Calendar'!$F$517*1000000000+ISNUMBER('Dvd Calendar'!$F$520)*100000000+('Dvd Calendar'!$F$522=SPECIAL_LBL)*10000000+(N('Dvd Calendar'!$F$516)&gt;0)*(N('Dvd Calendar'!$F$516)&lt;=VAL_SERIAL)*1000000+47*1000+2))</f>
        <v/>
      </c>
      <c r="EG58" s="121">
        <f>IF(N('Dvd Calendar'!$G$517)=0,"",IF(('Dvd Calendar'!$G$517&gt;=GRID_FROM)*('Dvd Calendar'!$G$517&lt;=GRID_TO)*((('Dvd Calendar'!$G$517&lt;=VAL_DATE)+(COUNTIF('Dvd Calendar'!$E$524:$AR$524,'Dvd Calendar'!$G$517)=0))&gt;0)=0,"",'Dvd Calendar'!$G$517*1000000000+ISNUMBER('Dvd Calendar'!$G$520)*100000000+('Dvd Calendar'!$G$522=SPECIAL_LBL)*10000000+(N('Dvd Calendar'!$G$516)&gt;0)*(N('Dvd Calendar'!$G$516)&lt;=VAL_SERIAL)*1000000+47*1000+3))</f>
        <v/>
      </c>
      <c r="EH58" s="121">
        <f>IF(N('Dvd Calendar'!$H$517)=0,"",IF(('Dvd Calendar'!$H$517&gt;=GRID_FROM)*('Dvd Calendar'!$H$517&lt;=GRID_TO)*((('Dvd Calendar'!$H$517&lt;=VAL_DATE)+(COUNTIF('Dvd Calendar'!$E$524:$AR$524,'Dvd Calendar'!$H$517)=0))&gt;0)=0,"",'Dvd Calendar'!$H$517*1000000000+ISNUMBER('Dvd Calendar'!$H$520)*100000000+('Dvd Calendar'!$H$522=SPECIAL_LBL)*10000000+(N('Dvd Calendar'!$H$516)&gt;0)*(N('Dvd Calendar'!$H$516)&lt;=VAL_SERIAL)*1000000+47*1000+4))</f>
        <v/>
      </c>
      <c r="EI58" s="121">
        <f>IF(N('Dvd Calendar'!$I$517)=0,"",IF(('Dvd Calendar'!$I$517&gt;=GRID_FROM)*('Dvd Calendar'!$I$517&lt;=GRID_TO)*((('Dvd Calendar'!$I$517&lt;=VAL_DATE)+(COUNTIF('Dvd Calendar'!$E$524:$AR$524,'Dvd Calendar'!$I$517)=0))&gt;0)=0,"",'Dvd Calendar'!$I$517*1000000000+ISNUMBER('Dvd Calendar'!$I$520)*100000000+('Dvd Calendar'!$I$522=SPECIAL_LBL)*10000000+(N('Dvd Calendar'!$I$516)&gt;0)*(N('Dvd Calendar'!$I$516)&lt;=VAL_SERIAL)*1000000+47*1000+5))</f>
        <v/>
      </c>
      <c r="EJ58" s="121">
        <f>IF(N('Dvd Calendar'!$J$517)=0,"",IF(('Dvd Calendar'!$J$517&gt;=GRID_FROM)*('Dvd Calendar'!$J$517&lt;=GRID_TO)*((('Dvd Calendar'!$J$517&lt;=VAL_DATE)+(COUNTIF('Dvd Calendar'!$E$524:$AR$524,'Dvd Calendar'!$J$517)=0))&gt;0)=0,"",'Dvd Calendar'!$J$517*1000000000+ISNUMBER('Dvd Calendar'!$J$520)*100000000+('Dvd Calendar'!$J$522=SPECIAL_LBL)*10000000+(N('Dvd Calendar'!$J$516)&gt;0)*(N('Dvd Calendar'!$J$516)&lt;=VAL_SERIAL)*1000000+47*1000+6))</f>
        <v/>
      </c>
      <c r="EK58" s="121">
        <f>IF(N('Dvd Calendar'!$K$517)=0,"",IF(('Dvd Calendar'!$K$517&gt;=GRID_FROM)*('Dvd Calendar'!$K$517&lt;=GRID_TO)*((('Dvd Calendar'!$K$517&lt;=VAL_DATE)+(COUNTIF('Dvd Calendar'!$E$524:$AR$524,'Dvd Calendar'!$K$517)=0))&gt;0)=0,"",'Dvd Calendar'!$K$517*1000000000+ISNUMBER('Dvd Calendar'!$K$520)*100000000+('Dvd Calendar'!$K$522=SPECIAL_LBL)*10000000+(N('Dvd Calendar'!$K$516)&gt;0)*(N('Dvd Calendar'!$K$516)&lt;=VAL_SERIAL)*1000000+47*1000+7))</f>
        <v/>
      </c>
      <c r="EL58" s="121">
        <f>IF(N('Dvd Calendar'!$L$517)=0,"",IF(('Dvd Calendar'!$L$517&gt;=GRID_FROM)*('Dvd Calendar'!$L$517&lt;=GRID_TO)*((('Dvd Calendar'!$L$517&lt;=VAL_DATE)+(COUNTIF('Dvd Calendar'!$E$524:$AR$524,'Dvd Calendar'!$L$517)=0))&gt;0)=0,"",'Dvd Calendar'!$L$517*1000000000+ISNUMBER('Dvd Calendar'!$L$520)*100000000+('Dvd Calendar'!$L$522=SPECIAL_LBL)*10000000+(N('Dvd Calendar'!$L$516)&gt;0)*(N('Dvd Calendar'!$L$516)&lt;=VAL_SERIAL)*1000000+47*1000+8))</f>
        <v/>
      </c>
      <c r="EM58" s="121">
        <f>IF(N('Dvd Calendar'!$M$517)=0,"",IF(('Dvd Calendar'!$M$517&gt;=GRID_FROM)*('Dvd Calendar'!$M$517&lt;=GRID_TO)*((('Dvd Calendar'!$M$517&lt;=VAL_DATE)+(COUNTIF('Dvd Calendar'!$E$524:$AR$524,'Dvd Calendar'!$M$517)=0))&gt;0)=0,"",'Dvd Calendar'!$M$517*1000000000+ISNUMBER('Dvd Calendar'!$M$520)*100000000+('Dvd Calendar'!$M$522=SPECIAL_LBL)*10000000+(N('Dvd Calendar'!$M$516)&gt;0)*(N('Dvd Calendar'!$M$516)&lt;=VAL_SERIAL)*1000000+47*1000+9))</f>
        <v/>
      </c>
      <c r="EN58" s="121">
        <f>IF(N('Dvd Calendar'!$N$517)=0,"",IF(('Dvd Calendar'!$N$517&gt;=GRID_FROM)*('Dvd Calendar'!$N$517&lt;=GRID_TO)*((('Dvd Calendar'!$N$517&lt;=VAL_DATE)+(COUNTIF('Dvd Calendar'!$E$524:$AR$524,'Dvd Calendar'!$N$517)=0))&gt;0)=0,"",'Dvd Calendar'!$N$517*1000000000+ISNUMBER('Dvd Calendar'!$N$520)*100000000+('Dvd Calendar'!$N$522=SPECIAL_LBL)*10000000+(N('Dvd Calendar'!$N$516)&gt;0)*(N('Dvd Calendar'!$N$516)&lt;=VAL_SERIAL)*1000000+47*1000+10))</f>
        <v/>
      </c>
      <c r="EO58" s="121">
        <f>IF(N('Dvd Calendar'!$O$517)=0,"",IF(('Dvd Calendar'!$O$517&gt;=GRID_FROM)*('Dvd Calendar'!$O$517&lt;=GRID_TO)*((('Dvd Calendar'!$O$517&lt;=VAL_DATE)+(COUNTIF('Dvd Calendar'!$E$524:$AR$524,'Dvd Calendar'!$O$517)=0))&gt;0)=0,"",'Dvd Calendar'!$O$517*1000000000+ISNUMBER('Dvd Calendar'!$O$520)*100000000+('Dvd Calendar'!$O$522=SPECIAL_LBL)*10000000+(N('Dvd Calendar'!$O$516)&gt;0)*(N('Dvd Calendar'!$O$516)&lt;=VAL_SERIAL)*1000000+47*1000+11))</f>
        <v/>
      </c>
      <c r="EP58" s="121">
        <f>IF(N('Dvd Calendar'!$P$517)=0,"",IF(('Dvd Calendar'!$P$517&gt;=GRID_FROM)*('Dvd Calendar'!$P$517&lt;=GRID_TO)*((('Dvd Calendar'!$P$517&lt;=VAL_DATE)+(COUNTIF('Dvd Calendar'!$E$524:$AR$524,'Dvd Calendar'!$P$517)=0))&gt;0)=0,"",'Dvd Calendar'!$P$517*1000000000+ISNUMBER('Dvd Calendar'!$P$520)*100000000+('Dvd Calendar'!$P$522=SPECIAL_LBL)*10000000+(N('Dvd Calendar'!$P$516)&gt;0)*(N('Dvd Calendar'!$P$516)&lt;=VAL_SERIAL)*1000000+47*1000+12))</f>
        <v/>
      </c>
      <c r="EQ58" s="121">
        <f>IF(N('Dvd Calendar'!$Q$517)=0,"",IF(('Dvd Calendar'!$Q$517&gt;=GRID_FROM)*('Dvd Calendar'!$Q$517&lt;=GRID_TO)*((('Dvd Calendar'!$Q$517&lt;=VAL_DATE)+(COUNTIF('Dvd Calendar'!$E$524:$AR$524,'Dvd Calendar'!$Q$517)=0))&gt;0)=0,"",'Dvd Calendar'!$Q$517*1000000000+ISNUMBER('Dvd Calendar'!$Q$520)*100000000+('Dvd Calendar'!$Q$522=SPECIAL_LBL)*10000000+(N('Dvd Calendar'!$Q$516)&gt;0)*(N('Dvd Calendar'!$Q$516)&lt;=VAL_SERIAL)*1000000+47*1000+13))</f>
        <v/>
      </c>
      <c r="ER58" s="121">
        <f>IF(N('Dvd Calendar'!$R$517)=0,"",IF(('Dvd Calendar'!$R$517&gt;=GRID_FROM)*('Dvd Calendar'!$R$517&lt;=GRID_TO)*((('Dvd Calendar'!$R$517&lt;=VAL_DATE)+(COUNTIF('Dvd Calendar'!$E$524:$AR$524,'Dvd Calendar'!$R$517)=0))&gt;0)=0,"",'Dvd Calendar'!$R$517*1000000000+ISNUMBER('Dvd Calendar'!$R$520)*100000000+('Dvd Calendar'!$R$522=SPECIAL_LBL)*10000000+(N('Dvd Calendar'!$R$516)&gt;0)*(N('Dvd Calendar'!$R$516)&lt;=VAL_SERIAL)*1000000+47*1000+14))</f>
        <v/>
      </c>
      <c r="ES58" s="121">
        <f>IF(N('Dvd Calendar'!$S$517)=0,"",IF(('Dvd Calendar'!$S$517&gt;=GRID_FROM)*('Dvd Calendar'!$S$517&lt;=GRID_TO)*((('Dvd Calendar'!$S$517&lt;=VAL_DATE)+(COUNTIF('Dvd Calendar'!$E$524:$AR$524,'Dvd Calendar'!$S$517)=0))&gt;0)=0,"",'Dvd Calendar'!$S$517*1000000000+ISNUMBER('Dvd Calendar'!$S$520)*100000000+('Dvd Calendar'!$S$522=SPECIAL_LBL)*10000000+(N('Dvd Calendar'!$S$516)&gt;0)*(N('Dvd Calendar'!$S$516)&lt;=VAL_SERIAL)*1000000+47*1000+15))</f>
        <v/>
      </c>
      <c r="ET58" s="121">
        <f>IF(N('Dvd Calendar'!$T$517)=0,"",IF(('Dvd Calendar'!$T$517&gt;=GRID_FROM)*('Dvd Calendar'!$T$517&lt;=GRID_TO)*((('Dvd Calendar'!$T$517&lt;=VAL_DATE)+(COUNTIF('Dvd Calendar'!$E$524:$AR$524,'Dvd Calendar'!$T$517)=0))&gt;0)=0,"",'Dvd Calendar'!$T$517*1000000000+ISNUMBER('Dvd Calendar'!$T$520)*100000000+('Dvd Calendar'!$T$522=SPECIAL_LBL)*10000000+(N('Dvd Calendar'!$T$516)&gt;0)*(N('Dvd Calendar'!$T$516)&lt;=VAL_SERIAL)*1000000+47*1000+16))</f>
        <v/>
      </c>
      <c r="EU58" s="121">
        <f>IF(N('Dvd Calendar'!$U$517)=0,"",IF(('Dvd Calendar'!$U$517&gt;=GRID_FROM)*('Dvd Calendar'!$U$517&lt;=GRID_TO)*((('Dvd Calendar'!$U$517&lt;=VAL_DATE)+(COUNTIF('Dvd Calendar'!$E$524:$AR$524,'Dvd Calendar'!$U$517)=0))&gt;0)=0,"",'Dvd Calendar'!$U$517*1000000000+ISNUMBER('Dvd Calendar'!$U$520)*100000000+('Dvd Calendar'!$U$522=SPECIAL_LBL)*10000000+(N('Dvd Calendar'!$U$516)&gt;0)*(N('Dvd Calendar'!$U$516)&lt;=VAL_SERIAL)*1000000+47*1000+17))</f>
        <v/>
      </c>
      <c r="EV58" s="121">
        <f>IF(N('Dvd Calendar'!$V$517)=0,"",IF(('Dvd Calendar'!$V$517&gt;=GRID_FROM)*('Dvd Calendar'!$V$517&lt;=GRID_TO)*((('Dvd Calendar'!$V$517&lt;=VAL_DATE)+(COUNTIF('Dvd Calendar'!$E$524:$AR$524,'Dvd Calendar'!$V$517)=0))&gt;0)=0,"",'Dvd Calendar'!$V$517*1000000000+ISNUMBER('Dvd Calendar'!$V$520)*100000000+('Dvd Calendar'!$V$522=SPECIAL_LBL)*10000000+(N('Dvd Calendar'!$V$516)&gt;0)*(N('Dvd Calendar'!$V$516)&lt;=VAL_SERIAL)*1000000+47*1000+18))</f>
        <v/>
      </c>
      <c r="EW58" s="121">
        <f>IF(N('Dvd Calendar'!$W$517)=0,"",IF(('Dvd Calendar'!$W$517&gt;=GRID_FROM)*('Dvd Calendar'!$W$517&lt;=GRID_TO)*((('Dvd Calendar'!$W$517&lt;=VAL_DATE)+(COUNTIF('Dvd Calendar'!$E$524:$AR$524,'Dvd Calendar'!$W$517)=0))&gt;0)=0,"",'Dvd Calendar'!$W$517*1000000000+ISNUMBER('Dvd Calendar'!$W$520)*100000000+('Dvd Calendar'!$W$522=SPECIAL_LBL)*10000000+(N('Dvd Calendar'!$W$516)&gt;0)*(N('Dvd Calendar'!$W$516)&lt;=VAL_SERIAL)*1000000+47*1000+19))</f>
        <v/>
      </c>
      <c r="EX58" s="121">
        <f>IF(N('Dvd Calendar'!$X$517)=0,"",IF(('Dvd Calendar'!$X$517&gt;=GRID_FROM)*('Dvd Calendar'!$X$517&lt;=GRID_TO)*((('Dvd Calendar'!$X$517&lt;=VAL_DATE)+(COUNTIF('Dvd Calendar'!$E$524:$AR$524,'Dvd Calendar'!$X$517)=0))&gt;0)=0,"",'Dvd Calendar'!$X$517*1000000000+ISNUMBER('Dvd Calendar'!$X$520)*100000000+('Dvd Calendar'!$X$522=SPECIAL_LBL)*10000000+(N('Dvd Calendar'!$X$516)&gt;0)*(N('Dvd Calendar'!$X$516)&lt;=VAL_SERIAL)*1000000+47*1000+20))</f>
        <v/>
      </c>
      <c r="EY58" s="121">
        <f>IF(N('Dvd Calendar'!$Y$517)=0,"",IF(('Dvd Calendar'!$Y$517&gt;=GRID_FROM)*('Dvd Calendar'!$Y$517&lt;=GRID_TO)*((('Dvd Calendar'!$Y$517&lt;=VAL_DATE)+(COUNTIF('Dvd Calendar'!$E$524:$AR$524,'Dvd Calendar'!$Y$517)=0))&gt;0)=0,"",'Dvd Calendar'!$Y$517*1000000000+ISNUMBER('Dvd Calendar'!$Y$520)*100000000+('Dvd Calendar'!$Y$522=SPECIAL_LBL)*10000000+(N('Dvd Calendar'!$Y$516)&gt;0)*(N('Dvd Calendar'!$Y$516)&lt;=VAL_SERIAL)*1000000+47*1000+21))</f>
        <v/>
      </c>
      <c r="EZ58" s="121">
        <f>IF(N('Dvd Calendar'!$Z$517)=0,"",IF(('Dvd Calendar'!$Z$517&gt;=GRID_FROM)*('Dvd Calendar'!$Z$517&lt;=GRID_TO)*((('Dvd Calendar'!$Z$517&lt;=VAL_DATE)+(COUNTIF('Dvd Calendar'!$E$524:$AR$524,'Dvd Calendar'!$Z$517)=0))&gt;0)=0,"",'Dvd Calendar'!$Z$517*1000000000+ISNUMBER('Dvd Calendar'!$Z$520)*100000000+('Dvd Calendar'!$Z$522=SPECIAL_LBL)*10000000+(N('Dvd Calendar'!$Z$516)&gt;0)*(N('Dvd Calendar'!$Z$516)&lt;=VAL_SERIAL)*1000000+47*1000+22))</f>
        <v/>
      </c>
      <c r="FA58" s="121">
        <f>IF(N('Dvd Calendar'!$AA$517)=0,"",IF(('Dvd Calendar'!$AA$517&gt;=GRID_FROM)*('Dvd Calendar'!$AA$517&lt;=GRID_TO)*((('Dvd Calendar'!$AA$517&lt;=VAL_DATE)+(COUNTIF('Dvd Calendar'!$E$524:$AR$524,'Dvd Calendar'!$AA$517)=0))&gt;0)=0,"",'Dvd Calendar'!$AA$517*1000000000+ISNUMBER('Dvd Calendar'!$AA$520)*100000000+('Dvd Calendar'!$AA$522=SPECIAL_LBL)*10000000+(N('Dvd Calendar'!$AA$516)&gt;0)*(N('Dvd Calendar'!$AA$516)&lt;=VAL_SERIAL)*1000000+47*1000+23))</f>
        <v/>
      </c>
      <c r="FB58" s="121">
        <f>IF(N('Dvd Calendar'!$AB$517)=0,"",IF(('Dvd Calendar'!$AB$517&gt;=GRID_FROM)*('Dvd Calendar'!$AB$517&lt;=GRID_TO)*((('Dvd Calendar'!$AB$517&lt;=VAL_DATE)+(COUNTIF('Dvd Calendar'!$E$524:$AR$524,'Dvd Calendar'!$AB$517)=0))&gt;0)=0,"",'Dvd Calendar'!$AB$517*1000000000+ISNUMBER('Dvd Calendar'!$AB$520)*100000000+('Dvd Calendar'!$AB$522=SPECIAL_LBL)*10000000+(N('Dvd Calendar'!$AB$516)&gt;0)*(N('Dvd Calendar'!$AB$516)&lt;=VAL_SERIAL)*1000000+47*1000+24))</f>
        <v/>
      </c>
      <c r="FC58" s="121">
        <f>IF(N('Dvd Calendar'!$AC$517)=0,"",IF(('Dvd Calendar'!$AC$517&gt;=GRID_FROM)*('Dvd Calendar'!$AC$517&lt;=GRID_TO)*((('Dvd Calendar'!$AC$517&lt;=VAL_DATE)+(COUNTIF('Dvd Calendar'!$E$524:$AR$524,'Dvd Calendar'!$AC$517)=0))&gt;0)=0,"",'Dvd Calendar'!$AC$517*1000000000+ISNUMBER('Dvd Calendar'!$AC$520)*100000000+('Dvd Calendar'!$AC$522=SPECIAL_LBL)*10000000+(N('Dvd Calendar'!$AC$516)&gt;0)*(N('Dvd Calendar'!$AC$516)&lt;=VAL_SERIAL)*1000000+47*1000+25))</f>
        <v/>
      </c>
      <c r="FD58" s="121">
        <f>IF(N('Dvd Calendar'!$AD$517)=0,"",IF(('Dvd Calendar'!$AD$517&gt;=GRID_FROM)*('Dvd Calendar'!$AD$517&lt;=GRID_TO)*((('Dvd Calendar'!$AD$517&lt;=VAL_DATE)+(COUNTIF('Dvd Calendar'!$E$524:$AR$524,'Dvd Calendar'!$AD$517)=0))&gt;0)=0,"",'Dvd Calendar'!$AD$517*1000000000+ISNUMBER('Dvd Calendar'!$AD$520)*100000000+('Dvd Calendar'!$AD$522=SPECIAL_LBL)*10000000+(N('Dvd Calendar'!$AD$516)&gt;0)*(N('Dvd Calendar'!$AD$516)&lt;=VAL_SERIAL)*1000000+47*1000+26))</f>
        <v/>
      </c>
      <c r="FE58" s="121">
        <f>IF(N('Dvd Calendar'!$AE$517)=0,"",IF(('Dvd Calendar'!$AE$517&gt;=GRID_FROM)*('Dvd Calendar'!$AE$517&lt;=GRID_TO)*((('Dvd Calendar'!$AE$517&lt;=VAL_DATE)+(COUNTIF('Dvd Calendar'!$E$524:$AR$524,'Dvd Calendar'!$AE$517)=0))&gt;0)=0,"",'Dvd Calendar'!$AE$517*1000000000+ISNUMBER('Dvd Calendar'!$AE$520)*100000000+('Dvd Calendar'!$AE$522=SPECIAL_LBL)*10000000+(N('Dvd Calendar'!$AE$516)&gt;0)*(N('Dvd Calendar'!$AE$516)&lt;=VAL_SERIAL)*1000000+47*1000+27))</f>
        <v/>
      </c>
      <c r="FF58" s="121">
        <f>IF(N('Dvd Calendar'!$AF$517)=0,"",IF(('Dvd Calendar'!$AF$517&gt;=GRID_FROM)*('Dvd Calendar'!$AF$517&lt;=GRID_TO)*((('Dvd Calendar'!$AF$517&lt;=VAL_DATE)+(COUNTIF('Dvd Calendar'!$E$524:$AR$524,'Dvd Calendar'!$AF$517)=0))&gt;0)=0,"",'Dvd Calendar'!$AF$517*1000000000+ISNUMBER('Dvd Calendar'!$AF$520)*100000000+('Dvd Calendar'!$AF$522=SPECIAL_LBL)*10000000+(N('Dvd Calendar'!$AF$516)&gt;0)*(N('Dvd Calendar'!$AF$516)&lt;=VAL_SERIAL)*1000000+47*1000+28))</f>
        <v/>
      </c>
      <c r="FG58" s="121">
        <f>IF(N('Dvd Calendar'!$AG$517)=0,"",IF(('Dvd Calendar'!$AG$517&gt;=GRID_FROM)*('Dvd Calendar'!$AG$517&lt;=GRID_TO)*((('Dvd Calendar'!$AG$517&lt;=VAL_DATE)+(COUNTIF('Dvd Calendar'!$E$524:$AR$524,'Dvd Calendar'!$AG$517)=0))&gt;0)=0,"",'Dvd Calendar'!$AG$517*1000000000+ISNUMBER('Dvd Calendar'!$AG$520)*100000000+('Dvd Calendar'!$AG$522=SPECIAL_LBL)*10000000+(N('Dvd Calendar'!$AG$516)&gt;0)*(N('Dvd Calendar'!$AG$516)&lt;=VAL_SERIAL)*1000000+47*1000+29))</f>
        <v/>
      </c>
      <c r="FH58" s="121">
        <f>IF(N('Dvd Calendar'!$AH$517)=0,"",IF(('Dvd Calendar'!$AH$517&gt;=GRID_FROM)*('Dvd Calendar'!$AH$517&lt;=GRID_TO)*((('Dvd Calendar'!$AH$517&lt;=VAL_DATE)+(COUNTIF('Dvd Calendar'!$E$524:$AR$524,'Dvd Calendar'!$AH$517)=0))&gt;0)=0,"",'Dvd Calendar'!$AH$517*1000000000+ISNUMBER('Dvd Calendar'!$AH$520)*100000000+('Dvd Calendar'!$AH$522=SPECIAL_LBL)*10000000+(N('Dvd Calendar'!$AH$516)&gt;0)*(N('Dvd Calendar'!$AH$516)&lt;=VAL_SERIAL)*1000000+47*1000+30))</f>
        <v/>
      </c>
      <c r="FI58" s="121">
        <f>IF(N('Dvd Calendar'!$AI$517)=0,"",IF(('Dvd Calendar'!$AI$517&gt;=GRID_FROM)*('Dvd Calendar'!$AI$517&lt;=GRID_TO)*((('Dvd Calendar'!$AI$517&lt;=VAL_DATE)+(COUNTIF('Dvd Calendar'!$E$524:$AR$524,'Dvd Calendar'!$AI$517)=0))&gt;0)=0,"",'Dvd Calendar'!$AI$517*1000000000+ISNUMBER('Dvd Calendar'!$AI$520)*100000000+('Dvd Calendar'!$AI$522=SPECIAL_LBL)*10000000+(N('Dvd Calendar'!$AI$516)&gt;0)*(N('Dvd Calendar'!$AI$516)&lt;=VAL_SERIAL)*1000000+47*1000+31))</f>
        <v/>
      </c>
      <c r="FJ58" s="121">
        <f>IF(N('Dvd Calendar'!$AJ$517)=0,"",IF(('Dvd Calendar'!$AJ$517&gt;=GRID_FROM)*('Dvd Calendar'!$AJ$517&lt;=GRID_TO)*((('Dvd Calendar'!$AJ$517&lt;=VAL_DATE)+(COUNTIF('Dvd Calendar'!$E$524:$AR$524,'Dvd Calendar'!$AJ$517)=0))&gt;0)=0,"",'Dvd Calendar'!$AJ$517*1000000000+ISNUMBER('Dvd Calendar'!$AJ$520)*100000000+('Dvd Calendar'!$AJ$522=SPECIAL_LBL)*10000000+(N('Dvd Calendar'!$AJ$516)&gt;0)*(N('Dvd Calendar'!$AJ$516)&lt;=VAL_SERIAL)*1000000+47*1000+32))</f>
        <v/>
      </c>
      <c r="FK58" s="121">
        <f>IF(N('Dvd Calendar'!$AK$517)=0,"",IF(('Dvd Calendar'!$AK$517&gt;=GRID_FROM)*('Dvd Calendar'!$AK$517&lt;=GRID_TO)*((('Dvd Calendar'!$AK$517&lt;=VAL_DATE)+(COUNTIF('Dvd Calendar'!$E$524:$AR$524,'Dvd Calendar'!$AK$517)=0))&gt;0)=0,"",'Dvd Calendar'!$AK$517*1000000000+ISNUMBER('Dvd Calendar'!$AK$520)*100000000+('Dvd Calendar'!$AK$522=SPECIAL_LBL)*10000000+(N('Dvd Calendar'!$AK$516)&gt;0)*(N('Dvd Calendar'!$AK$516)&lt;=VAL_SERIAL)*1000000+47*1000+33))</f>
        <v/>
      </c>
      <c r="FL58" s="121">
        <f>IF(N('Dvd Calendar'!$AL$517)=0,"",IF(('Dvd Calendar'!$AL$517&gt;=GRID_FROM)*('Dvd Calendar'!$AL$517&lt;=GRID_TO)*((('Dvd Calendar'!$AL$517&lt;=VAL_DATE)+(COUNTIF('Dvd Calendar'!$E$524:$AR$524,'Dvd Calendar'!$AL$517)=0))&gt;0)=0,"",'Dvd Calendar'!$AL$517*1000000000+ISNUMBER('Dvd Calendar'!$AL$520)*100000000+('Dvd Calendar'!$AL$522=SPECIAL_LBL)*10000000+(N('Dvd Calendar'!$AL$516)&gt;0)*(N('Dvd Calendar'!$AL$516)&lt;=VAL_SERIAL)*1000000+47*1000+34))</f>
        <v/>
      </c>
      <c r="FM58" s="121">
        <f>IF(N('Dvd Calendar'!$AM$517)=0,"",IF(('Dvd Calendar'!$AM$517&gt;=GRID_FROM)*('Dvd Calendar'!$AM$517&lt;=GRID_TO)*((('Dvd Calendar'!$AM$517&lt;=VAL_DATE)+(COUNTIF('Dvd Calendar'!$E$524:$AR$524,'Dvd Calendar'!$AM$517)=0))&gt;0)=0,"",'Dvd Calendar'!$AM$517*1000000000+ISNUMBER('Dvd Calendar'!$AM$520)*100000000+('Dvd Calendar'!$AM$522=SPECIAL_LBL)*10000000+(N('Dvd Calendar'!$AM$516)&gt;0)*(N('Dvd Calendar'!$AM$516)&lt;=VAL_SERIAL)*1000000+47*1000+35))</f>
        <v/>
      </c>
      <c r="FN58" s="121">
        <f>IF(N('Dvd Calendar'!$AN$517)=0,"",IF(('Dvd Calendar'!$AN$517&gt;=GRID_FROM)*('Dvd Calendar'!$AN$517&lt;=GRID_TO)*((('Dvd Calendar'!$AN$517&lt;=VAL_DATE)+(COUNTIF('Dvd Calendar'!$E$524:$AR$524,'Dvd Calendar'!$AN$517)=0))&gt;0)=0,"",'Dvd Calendar'!$AN$517*1000000000+ISNUMBER('Dvd Calendar'!$AN$520)*100000000+('Dvd Calendar'!$AN$522=SPECIAL_LBL)*10000000+(N('Dvd Calendar'!$AN$516)&gt;0)*(N('Dvd Calendar'!$AN$516)&lt;=VAL_SERIAL)*1000000+47*1000+36))</f>
        <v/>
      </c>
      <c r="FO58" s="121">
        <f>IF(N('Dvd Calendar'!$AO$517)=0,"",IF(('Dvd Calendar'!$AO$517&gt;=GRID_FROM)*('Dvd Calendar'!$AO$517&lt;=GRID_TO)*((('Dvd Calendar'!$AO$517&lt;=VAL_DATE)+(COUNTIF('Dvd Calendar'!$E$524:$AR$524,'Dvd Calendar'!$AO$517)=0))&gt;0)=0,"",'Dvd Calendar'!$AO$517*1000000000+ISNUMBER('Dvd Calendar'!$AO$520)*100000000+('Dvd Calendar'!$AO$522=SPECIAL_LBL)*10000000+(N('Dvd Calendar'!$AO$516)&gt;0)*(N('Dvd Calendar'!$AO$516)&lt;=VAL_SERIAL)*1000000+47*1000+37))</f>
        <v/>
      </c>
      <c r="FP58" s="121">
        <f>IF(N('Dvd Calendar'!$AP$517)=0,"",IF(('Dvd Calendar'!$AP$517&gt;=GRID_FROM)*('Dvd Calendar'!$AP$517&lt;=GRID_TO)*((('Dvd Calendar'!$AP$517&lt;=VAL_DATE)+(COUNTIF('Dvd Calendar'!$E$524:$AR$524,'Dvd Calendar'!$AP$517)=0))&gt;0)=0,"",'Dvd Calendar'!$AP$517*1000000000+ISNUMBER('Dvd Calendar'!$AP$520)*100000000+('Dvd Calendar'!$AP$522=SPECIAL_LBL)*10000000+(N('Dvd Calendar'!$AP$516)&gt;0)*(N('Dvd Calendar'!$AP$516)&lt;=VAL_SERIAL)*1000000+47*1000+38))</f>
        <v/>
      </c>
      <c r="FQ58" s="121">
        <f>IF(N('Dvd Calendar'!$AQ$517)=0,"",IF(('Dvd Calendar'!$AQ$517&gt;=GRID_FROM)*('Dvd Calendar'!$AQ$517&lt;=GRID_TO)*((('Dvd Calendar'!$AQ$517&lt;=VAL_DATE)+(COUNTIF('Dvd Calendar'!$E$524:$AR$524,'Dvd Calendar'!$AQ$517)=0))&gt;0)=0,"",'Dvd Calendar'!$AQ$517*1000000000+ISNUMBER('Dvd Calendar'!$AQ$520)*100000000+('Dvd Calendar'!$AQ$522=SPECIAL_LBL)*10000000+(N('Dvd Calendar'!$AQ$516)&gt;0)*(N('Dvd Calendar'!$AQ$516)&lt;=VAL_SERIAL)*1000000+47*1000+39))</f>
        <v/>
      </c>
      <c r="FR58" s="121">
        <f>IF(N('Dvd Calendar'!$AR$517)=0,"",IF(('Dvd Calendar'!$AR$517&gt;=GRID_FROM)*('Dvd Calendar'!$AR$517&lt;=GRID_TO)*((('Dvd Calendar'!$AR$517&lt;=VAL_DATE)+(COUNTIF('Dvd Calendar'!$E$524:$AR$524,'Dvd Calendar'!$AR$517)=0))&gt;0)=0,"",'Dvd Calendar'!$AR$517*1000000000+ISNUMBER('Dvd Calendar'!$AR$520)*100000000+('Dvd Calendar'!$AR$522=SPECIAL_LBL)*10000000+(N('Dvd Calendar'!$AR$516)&gt;0)*(N('Dvd Calendar'!$AR$516)&lt;=VAL_SERIAL)*1000000+47*1000+40))</f>
        <v/>
      </c>
      <c r="FS58" s="121">
        <f>IF(N('Dvd Calendar'!$E$524)=0,"",IF(('Dvd Calendar'!$E$524&gt;=GRID_FROM)*('Dvd Calendar'!$E$524&lt;=GRID_TO)*('Dvd Calendar'!$E$524&gt;VAL_DATE)=0,"",'Dvd Calendar'!$E$524*1000000000+ISNUMBER('Dvd Calendar'!$E$525)*100000000+0*10000000+(N('Dvd Calendar'!$E$523)&gt;0)*(N('Dvd Calendar'!$E$523)&lt;=VAL_SERIAL)*1000000+47*1000+41))</f>
        <v/>
      </c>
      <c r="FT58" s="121">
        <f>IF(N('Dvd Calendar'!$F$524)=0,"",IF(('Dvd Calendar'!$F$524&gt;=GRID_FROM)*('Dvd Calendar'!$F$524&lt;=GRID_TO)*('Dvd Calendar'!$F$524&gt;VAL_DATE)=0,"",'Dvd Calendar'!$F$524*1000000000+ISNUMBER('Dvd Calendar'!$F$525)*100000000+0*10000000+(N('Dvd Calendar'!$F$523)&gt;0)*(N('Dvd Calendar'!$F$523)&lt;=VAL_SERIAL)*1000000+47*1000+42))</f>
        <v/>
      </c>
      <c r="FU58" s="121">
        <f>IF(N('Dvd Calendar'!$G$524)=0,"",IF(('Dvd Calendar'!$G$524&gt;=GRID_FROM)*('Dvd Calendar'!$G$524&lt;=GRID_TO)*('Dvd Calendar'!$G$524&gt;VAL_DATE)=0,"",'Dvd Calendar'!$G$524*1000000000+ISNUMBER('Dvd Calendar'!$G$525)*100000000+0*10000000+(N('Dvd Calendar'!$G$523)&gt;0)*(N('Dvd Calendar'!$G$523)&lt;=VAL_SERIAL)*1000000+47*1000+43))</f>
        <v/>
      </c>
      <c r="FV58" s="121">
        <f>IF(N('Dvd Calendar'!$H$524)=0,"",IF(('Dvd Calendar'!$H$524&gt;=GRID_FROM)*('Dvd Calendar'!$H$524&lt;=GRID_TO)*('Dvd Calendar'!$H$524&gt;VAL_DATE)=0,"",'Dvd Calendar'!$H$524*1000000000+ISNUMBER('Dvd Calendar'!$H$525)*100000000+0*10000000+(N('Dvd Calendar'!$H$523)&gt;0)*(N('Dvd Calendar'!$H$523)&lt;=VAL_SERIAL)*1000000+47*1000+44))</f>
        <v/>
      </c>
      <c r="FW58" s="121">
        <f>IF(N('Dvd Calendar'!$I$524)=0,"",IF(('Dvd Calendar'!$I$524&gt;=GRID_FROM)*('Dvd Calendar'!$I$524&lt;=GRID_TO)*('Dvd Calendar'!$I$524&gt;VAL_DATE)=0,"",'Dvd Calendar'!$I$524*1000000000+ISNUMBER('Dvd Calendar'!$I$525)*100000000+0*10000000+(N('Dvd Calendar'!$I$523)&gt;0)*(N('Dvd Calendar'!$I$523)&lt;=VAL_SERIAL)*1000000+47*1000+45))</f>
        <v/>
      </c>
      <c r="FX58" s="121">
        <f>IF(N('Dvd Calendar'!$J$524)=0,"",IF(('Dvd Calendar'!$J$524&gt;=GRID_FROM)*('Dvd Calendar'!$J$524&lt;=GRID_TO)*('Dvd Calendar'!$J$524&gt;VAL_DATE)=0,"",'Dvd Calendar'!$J$524*1000000000+ISNUMBER('Dvd Calendar'!$J$525)*100000000+0*10000000+(N('Dvd Calendar'!$J$523)&gt;0)*(N('Dvd Calendar'!$J$523)&lt;=VAL_SERIAL)*1000000+47*1000+46))</f>
        <v/>
      </c>
      <c r="FY58" s="121">
        <f>IF(N('Dvd Calendar'!$K$524)=0,"",IF(('Dvd Calendar'!$K$524&gt;=GRID_FROM)*('Dvd Calendar'!$K$524&lt;=GRID_TO)*('Dvd Calendar'!$K$524&gt;VAL_DATE)=0,"",'Dvd Calendar'!$K$524*1000000000+ISNUMBER('Dvd Calendar'!$K$525)*100000000+0*10000000+(N('Dvd Calendar'!$K$523)&gt;0)*(N('Dvd Calendar'!$K$523)&lt;=VAL_SERIAL)*1000000+47*1000+47))</f>
        <v/>
      </c>
      <c r="FZ58" s="121">
        <f>IF(N('Dvd Calendar'!$L$524)=0,"",IF(('Dvd Calendar'!$L$524&gt;=GRID_FROM)*('Dvd Calendar'!$L$524&lt;=GRID_TO)*('Dvd Calendar'!$L$524&gt;VAL_DATE)=0,"",'Dvd Calendar'!$L$524*1000000000+ISNUMBER('Dvd Calendar'!$L$525)*100000000+0*10000000+(N('Dvd Calendar'!$L$523)&gt;0)*(N('Dvd Calendar'!$L$523)&lt;=VAL_SERIAL)*1000000+47*1000+48))</f>
        <v/>
      </c>
      <c r="GA58" s="121">
        <f>IF(N('Dvd Calendar'!$M$524)=0,"",IF(('Dvd Calendar'!$M$524&gt;=GRID_FROM)*('Dvd Calendar'!$M$524&lt;=GRID_TO)*('Dvd Calendar'!$M$524&gt;VAL_DATE)=0,"",'Dvd Calendar'!$M$524*1000000000+ISNUMBER('Dvd Calendar'!$M$525)*100000000+0*10000000+(N('Dvd Calendar'!$M$523)&gt;0)*(N('Dvd Calendar'!$M$523)&lt;=VAL_SERIAL)*1000000+47*1000+49))</f>
        <v/>
      </c>
      <c r="GB58" s="121">
        <f>IF(N('Dvd Calendar'!$N$524)=0,"",IF(('Dvd Calendar'!$N$524&gt;=GRID_FROM)*('Dvd Calendar'!$N$524&lt;=GRID_TO)*('Dvd Calendar'!$N$524&gt;VAL_DATE)=0,"",'Dvd Calendar'!$N$524*1000000000+ISNUMBER('Dvd Calendar'!$N$525)*100000000+0*10000000+(N('Dvd Calendar'!$N$523)&gt;0)*(N('Dvd Calendar'!$N$523)&lt;=VAL_SERIAL)*1000000+47*1000+50))</f>
        <v/>
      </c>
      <c r="GC58" s="121">
        <f>IF(N('Dvd Calendar'!$O$524)=0,"",IF(('Dvd Calendar'!$O$524&gt;=GRID_FROM)*('Dvd Calendar'!$O$524&lt;=GRID_TO)*('Dvd Calendar'!$O$524&gt;VAL_DATE)=0,"",'Dvd Calendar'!$O$524*1000000000+ISNUMBER('Dvd Calendar'!$O$525)*100000000+0*10000000+(N('Dvd Calendar'!$O$523)&gt;0)*(N('Dvd Calendar'!$O$523)&lt;=VAL_SERIAL)*1000000+47*1000+51))</f>
        <v/>
      </c>
      <c r="GD58" s="121">
        <f>IF(N('Dvd Calendar'!$P$524)=0,"",IF(('Dvd Calendar'!$P$524&gt;=GRID_FROM)*('Dvd Calendar'!$P$524&lt;=GRID_TO)*('Dvd Calendar'!$P$524&gt;VAL_DATE)=0,"",'Dvd Calendar'!$P$524*1000000000+ISNUMBER('Dvd Calendar'!$P$525)*100000000+0*10000000+(N('Dvd Calendar'!$P$523)&gt;0)*(N('Dvd Calendar'!$P$523)&lt;=VAL_SERIAL)*1000000+47*1000+52))</f>
        <v/>
      </c>
      <c r="GE58" s="121">
        <f>IF(N('Dvd Calendar'!$Q$524)=0,"",IF(('Dvd Calendar'!$Q$524&gt;=GRID_FROM)*('Dvd Calendar'!$Q$524&lt;=GRID_TO)*('Dvd Calendar'!$Q$524&gt;VAL_DATE)=0,"",'Dvd Calendar'!$Q$524*1000000000+ISNUMBER('Dvd Calendar'!$Q$525)*100000000+0*10000000+(N('Dvd Calendar'!$Q$523)&gt;0)*(N('Dvd Calendar'!$Q$523)&lt;=VAL_SERIAL)*1000000+47*1000+53))</f>
        <v/>
      </c>
      <c r="GF58" s="121">
        <f>IF(N('Dvd Calendar'!$R$524)=0,"",IF(('Dvd Calendar'!$R$524&gt;=GRID_FROM)*('Dvd Calendar'!$R$524&lt;=GRID_TO)*('Dvd Calendar'!$R$524&gt;VAL_DATE)=0,"",'Dvd Calendar'!$R$524*1000000000+ISNUMBER('Dvd Calendar'!$R$525)*100000000+0*10000000+(N('Dvd Calendar'!$R$523)&gt;0)*(N('Dvd Calendar'!$R$523)&lt;=VAL_SERIAL)*1000000+47*1000+54))</f>
        <v/>
      </c>
      <c r="GG58" s="121">
        <f>IF(N('Dvd Calendar'!$S$524)=0,"",IF(('Dvd Calendar'!$S$524&gt;=GRID_FROM)*('Dvd Calendar'!$S$524&lt;=GRID_TO)*('Dvd Calendar'!$S$524&gt;VAL_DATE)=0,"",'Dvd Calendar'!$S$524*1000000000+ISNUMBER('Dvd Calendar'!$S$525)*100000000+0*10000000+(N('Dvd Calendar'!$S$523)&gt;0)*(N('Dvd Calendar'!$S$523)&lt;=VAL_SERIAL)*1000000+47*1000+55))</f>
        <v/>
      </c>
      <c r="GH58" s="121">
        <f>IF(N('Dvd Calendar'!$T$524)=0,"",IF(('Dvd Calendar'!$T$524&gt;=GRID_FROM)*('Dvd Calendar'!$T$524&lt;=GRID_TO)*('Dvd Calendar'!$T$524&gt;VAL_DATE)=0,"",'Dvd Calendar'!$T$524*1000000000+ISNUMBER('Dvd Calendar'!$T$525)*100000000+0*10000000+(N('Dvd Calendar'!$T$523)&gt;0)*(N('Dvd Calendar'!$T$523)&lt;=VAL_SERIAL)*1000000+47*1000+56))</f>
        <v/>
      </c>
      <c r="GI58" s="121">
        <f>IF(N('Dvd Calendar'!$U$524)=0,"",IF(('Dvd Calendar'!$U$524&gt;=GRID_FROM)*('Dvd Calendar'!$U$524&lt;=GRID_TO)*('Dvd Calendar'!$U$524&gt;VAL_DATE)=0,"",'Dvd Calendar'!$U$524*1000000000+ISNUMBER('Dvd Calendar'!$U$525)*100000000+0*10000000+(N('Dvd Calendar'!$U$523)&gt;0)*(N('Dvd Calendar'!$U$523)&lt;=VAL_SERIAL)*1000000+47*1000+57))</f>
        <v/>
      </c>
      <c r="GJ58" s="121">
        <f>IF(N('Dvd Calendar'!$V$524)=0,"",IF(('Dvd Calendar'!$V$524&gt;=GRID_FROM)*('Dvd Calendar'!$V$524&lt;=GRID_TO)*('Dvd Calendar'!$V$524&gt;VAL_DATE)=0,"",'Dvd Calendar'!$V$524*1000000000+ISNUMBER('Dvd Calendar'!$V$525)*100000000+0*10000000+(N('Dvd Calendar'!$V$523)&gt;0)*(N('Dvd Calendar'!$V$523)&lt;=VAL_SERIAL)*1000000+47*1000+58))</f>
        <v/>
      </c>
      <c r="GK58" s="121">
        <f>IF(N('Dvd Calendar'!$W$524)=0,"",IF(('Dvd Calendar'!$W$524&gt;=GRID_FROM)*('Dvd Calendar'!$W$524&lt;=GRID_TO)*('Dvd Calendar'!$W$524&gt;VAL_DATE)=0,"",'Dvd Calendar'!$W$524*1000000000+ISNUMBER('Dvd Calendar'!$W$525)*100000000+0*10000000+(N('Dvd Calendar'!$W$523)&gt;0)*(N('Dvd Calendar'!$W$523)&lt;=VAL_SERIAL)*1000000+47*1000+59))</f>
        <v/>
      </c>
      <c r="GL58" s="121">
        <f>IF(N('Dvd Calendar'!$X$524)=0,"",IF(('Dvd Calendar'!$X$524&gt;=GRID_FROM)*('Dvd Calendar'!$X$524&lt;=GRID_TO)*('Dvd Calendar'!$X$524&gt;VAL_DATE)=0,"",'Dvd Calendar'!$X$524*1000000000+ISNUMBER('Dvd Calendar'!$X$525)*100000000+0*10000000+(N('Dvd Calendar'!$X$523)&gt;0)*(N('Dvd Calendar'!$X$523)&lt;=VAL_SERIAL)*1000000+47*1000+60))</f>
        <v/>
      </c>
      <c r="GM58" s="121">
        <f>IF(N('Dvd Calendar'!$Y$524)=0,"",IF(('Dvd Calendar'!$Y$524&gt;=GRID_FROM)*('Dvd Calendar'!$Y$524&lt;=GRID_TO)*('Dvd Calendar'!$Y$524&gt;VAL_DATE)=0,"",'Dvd Calendar'!$Y$524*1000000000+ISNUMBER('Dvd Calendar'!$Y$525)*100000000+0*10000000+(N('Dvd Calendar'!$Y$523)&gt;0)*(N('Dvd Calendar'!$Y$523)&lt;=VAL_SERIAL)*1000000+47*1000+61))</f>
        <v/>
      </c>
      <c r="GN58" s="121">
        <f>IF(N('Dvd Calendar'!$Z$524)=0,"",IF(('Dvd Calendar'!$Z$524&gt;=GRID_FROM)*('Dvd Calendar'!$Z$524&lt;=GRID_TO)*('Dvd Calendar'!$Z$524&gt;VAL_DATE)=0,"",'Dvd Calendar'!$Z$524*1000000000+ISNUMBER('Dvd Calendar'!$Z$525)*100000000+0*10000000+(N('Dvd Calendar'!$Z$523)&gt;0)*(N('Dvd Calendar'!$Z$523)&lt;=VAL_SERIAL)*1000000+47*1000+62))</f>
        <v/>
      </c>
      <c r="GO58" s="121">
        <f>IF(N('Dvd Calendar'!$AA$524)=0,"",IF(('Dvd Calendar'!$AA$524&gt;=GRID_FROM)*('Dvd Calendar'!$AA$524&lt;=GRID_TO)*('Dvd Calendar'!$AA$524&gt;VAL_DATE)=0,"",'Dvd Calendar'!$AA$524*1000000000+ISNUMBER('Dvd Calendar'!$AA$525)*100000000+0*10000000+(N('Dvd Calendar'!$AA$523)&gt;0)*(N('Dvd Calendar'!$AA$523)&lt;=VAL_SERIAL)*1000000+47*1000+63))</f>
        <v/>
      </c>
      <c r="GP58" s="121">
        <f>IF(N('Dvd Calendar'!$AB$524)=0,"",IF(('Dvd Calendar'!$AB$524&gt;=GRID_FROM)*('Dvd Calendar'!$AB$524&lt;=GRID_TO)*('Dvd Calendar'!$AB$524&gt;VAL_DATE)=0,"",'Dvd Calendar'!$AB$524*1000000000+ISNUMBER('Dvd Calendar'!$AB$525)*100000000+0*10000000+(N('Dvd Calendar'!$AB$523)&gt;0)*(N('Dvd Calendar'!$AB$523)&lt;=VAL_SERIAL)*1000000+47*1000+64))</f>
        <v/>
      </c>
      <c r="GQ58" s="121">
        <f>IF(N('Dvd Calendar'!$AC$524)=0,"",IF(('Dvd Calendar'!$AC$524&gt;=GRID_FROM)*('Dvd Calendar'!$AC$524&lt;=GRID_TO)*('Dvd Calendar'!$AC$524&gt;VAL_DATE)=0,"",'Dvd Calendar'!$AC$524*1000000000+ISNUMBER('Dvd Calendar'!$AC$525)*100000000+0*10000000+(N('Dvd Calendar'!$AC$523)&gt;0)*(N('Dvd Calendar'!$AC$523)&lt;=VAL_SERIAL)*1000000+47*1000+65))</f>
        <v/>
      </c>
    </row>
    <row r="59">
      <c r="B59" s="2">
        <f>IF(HSI!$C$54="","",HSI!$C$54)</f>
        <v/>
      </c>
      <c r="C59" s="161">
        <f>IF(EE59="","",IF(ISNUMBER('Dvd Calendar'!$E$531)=FALSE,"",IF((('Dvd Calendar'!$E$533=TYPE1)*(TYPE1&lt;&gt;"")+('Dvd Calendar'!$E$533=TYPE2)*(TYPE2&lt;&gt;"")+('Dvd Calendar'!$E$533=TYPE3)*(TYPE3&lt;&gt;"")+('Dvd Calendar'!$E$533=TYPE4)*(TYPE4&lt;&gt;"")+('Dvd Calendar'!$E$533=SPECIAL_LBL)*(INC_SPECIALS="Y"))=0,"",'Dvd Calendar'!$E$531)))</f>
        <v/>
      </c>
      <c r="D59" s="161">
        <f>IF(EF59="","",IF(ISNUMBER('Dvd Calendar'!$F$531)=FALSE,"",IF((('Dvd Calendar'!$F$533=TYPE1)*(TYPE1&lt;&gt;"")+('Dvd Calendar'!$F$533=TYPE2)*(TYPE2&lt;&gt;"")+('Dvd Calendar'!$F$533=TYPE3)*(TYPE3&lt;&gt;"")+('Dvd Calendar'!$F$533=TYPE4)*(TYPE4&lt;&gt;"")+('Dvd Calendar'!$F$533=SPECIAL_LBL)*(INC_SPECIALS="Y"))=0,"",'Dvd Calendar'!$F$531)))</f>
        <v/>
      </c>
      <c r="E59" s="161">
        <f>IF(EG59="","",IF(ISNUMBER('Dvd Calendar'!$G$531)=FALSE,"",IF((('Dvd Calendar'!$G$533=TYPE1)*(TYPE1&lt;&gt;"")+('Dvd Calendar'!$G$533=TYPE2)*(TYPE2&lt;&gt;"")+('Dvd Calendar'!$G$533=TYPE3)*(TYPE3&lt;&gt;"")+('Dvd Calendar'!$G$533=TYPE4)*(TYPE4&lt;&gt;"")+('Dvd Calendar'!$G$533=SPECIAL_LBL)*(INC_SPECIALS="Y"))=0,"",'Dvd Calendar'!$G$531)))</f>
        <v/>
      </c>
      <c r="F59" s="161">
        <f>IF(EH59="","",IF(ISNUMBER('Dvd Calendar'!$H$531)=FALSE,"",IF((('Dvd Calendar'!$H$533=TYPE1)*(TYPE1&lt;&gt;"")+('Dvd Calendar'!$H$533=TYPE2)*(TYPE2&lt;&gt;"")+('Dvd Calendar'!$H$533=TYPE3)*(TYPE3&lt;&gt;"")+('Dvd Calendar'!$H$533=TYPE4)*(TYPE4&lt;&gt;"")+('Dvd Calendar'!$H$533=SPECIAL_LBL)*(INC_SPECIALS="Y"))=0,"",'Dvd Calendar'!$H$531)))</f>
        <v/>
      </c>
      <c r="G59" s="161">
        <f>IF(EI59="","",IF(ISNUMBER('Dvd Calendar'!$I$531)=FALSE,"",IF((('Dvd Calendar'!$I$533=TYPE1)*(TYPE1&lt;&gt;"")+('Dvd Calendar'!$I$533=TYPE2)*(TYPE2&lt;&gt;"")+('Dvd Calendar'!$I$533=TYPE3)*(TYPE3&lt;&gt;"")+('Dvd Calendar'!$I$533=TYPE4)*(TYPE4&lt;&gt;"")+('Dvd Calendar'!$I$533=SPECIAL_LBL)*(INC_SPECIALS="Y"))=0,"",'Dvd Calendar'!$I$531)))</f>
        <v/>
      </c>
      <c r="H59" s="161">
        <f>IF(EJ59="","",IF(ISNUMBER('Dvd Calendar'!$J$531)=FALSE,"",IF((('Dvd Calendar'!$J$533=TYPE1)*(TYPE1&lt;&gt;"")+('Dvd Calendar'!$J$533=TYPE2)*(TYPE2&lt;&gt;"")+('Dvd Calendar'!$J$533=TYPE3)*(TYPE3&lt;&gt;"")+('Dvd Calendar'!$J$533=TYPE4)*(TYPE4&lt;&gt;"")+('Dvd Calendar'!$J$533=SPECIAL_LBL)*(INC_SPECIALS="Y"))=0,"",'Dvd Calendar'!$J$531)))</f>
        <v/>
      </c>
      <c r="I59" s="161">
        <f>IF(EK59="","",IF(ISNUMBER('Dvd Calendar'!$K$531)=FALSE,"",IF((('Dvd Calendar'!$K$533=TYPE1)*(TYPE1&lt;&gt;"")+('Dvd Calendar'!$K$533=TYPE2)*(TYPE2&lt;&gt;"")+('Dvd Calendar'!$K$533=TYPE3)*(TYPE3&lt;&gt;"")+('Dvd Calendar'!$K$533=TYPE4)*(TYPE4&lt;&gt;"")+('Dvd Calendar'!$K$533=SPECIAL_LBL)*(INC_SPECIALS="Y"))=0,"",'Dvd Calendar'!$K$531)))</f>
        <v/>
      </c>
      <c r="J59" s="161">
        <f>IF(EL59="","",IF(ISNUMBER('Dvd Calendar'!$L$531)=FALSE,"",IF((('Dvd Calendar'!$L$533=TYPE1)*(TYPE1&lt;&gt;"")+('Dvd Calendar'!$L$533=TYPE2)*(TYPE2&lt;&gt;"")+('Dvd Calendar'!$L$533=TYPE3)*(TYPE3&lt;&gt;"")+('Dvd Calendar'!$L$533=TYPE4)*(TYPE4&lt;&gt;"")+('Dvd Calendar'!$L$533=SPECIAL_LBL)*(INC_SPECIALS="Y"))=0,"",'Dvd Calendar'!$L$531)))</f>
        <v/>
      </c>
      <c r="K59" s="161">
        <f>IF(EM59="","",IF(ISNUMBER('Dvd Calendar'!$M$531)=FALSE,"",IF((('Dvd Calendar'!$M$533=TYPE1)*(TYPE1&lt;&gt;"")+('Dvd Calendar'!$M$533=TYPE2)*(TYPE2&lt;&gt;"")+('Dvd Calendar'!$M$533=TYPE3)*(TYPE3&lt;&gt;"")+('Dvd Calendar'!$M$533=TYPE4)*(TYPE4&lt;&gt;"")+('Dvd Calendar'!$M$533=SPECIAL_LBL)*(INC_SPECIALS="Y"))=0,"",'Dvd Calendar'!$M$531)))</f>
        <v/>
      </c>
      <c r="L59" s="161">
        <f>IF(EN59="","",IF(ISNUMBER('Dvd Calendar'!$N$531)=FALSE,"",IF((('Dvd Calendar'!$N$533=TYPE1)*(TYPE1&lt;&gt;"")+('Dvd Calendar'!$N$533=TYPE2)*(TYPE2&lt;&gt;"")+('Dvd Calendar'!$N$533=TYPE3)*(TYPE3&lt;&gt;"")+('Dvd Calendar'!$N$533=TYPE4)*(TYPE4&lt;&gt;"")+('Dvd Calendar'!$N$533=SPECIAL_LBL)*(INC_SPECIALS="Y"))=0,"",'Dvd Calendar'!$N$531)))</f>
        <v/>
      </c>
      <c r="M59" s="161">
        <f>IF(EO59="","",IF(ISNUMBER('Dvd Calendar'!$O$531)=FALSE,"",IF((('Dvd Calendar'!$O$533=TYPE1)*(TYPE1&lt;&gt;"")+('Dvd Calendar'!$O$533=TYPE2)*(TYPE2&lt;&gt;"")+('Dvd Calendar'!$O$533=TYPE3)*(TYPE3&lt;&gt;"")+('Dvd Calendar'!$O$533=TYPE4)*(TYPE4&lt;&gt;"")+('Dvd Calendar'!$O$533=SPECIAL_LBL)*(INC_SPECIALS="Y"))=0,"",'Dvd Calendar'!$O$531)))</f>
        <v/>
      </c>
      <c r="N59" s="161">
        <f>IF(EP59="","",IF(ISNUMBER('Dvd Calendar'!$P$531)=FALSE,"",IF((('Dvd Calendar'!$P$533=TYPE1)*(TYPE1&lt;&gt;"")+('Dvd Calendar'!$P$533=TYPE2)*(TYPE2&lt;&gt;"")+('Dvd Calendar'!$P$533=TYPE3)*(TYPE3&lt;&gt;"")+('Dvd Calendar'!$P$533=TYPE4)*(TYPE4&lt;&gt;"")+('Dvd Calendar'!$P$533=SPECIAL_LBL)*(INC_SPECIALS="Y"))=0,"",'Dvd Calendar'!$P$531)))</f>
        <v/>
      </c>
      <c r="O59" s="161">
        <f>IF(EQ59="","",IF(ISNUMBER('Dvd Calendar'!$Q$531)=FALSE,"",IF((('Dvd Calendar'!$Q$533=TYPE1)*(TYPE1&lt;&gt;"")+('Dvd Calendar'!$Q$533=TYPE2)*(TYPE2&lt;&gt;"")+('Dvd Calendar'!$Q$533=TYPE3)*(TYPE3&lt;&gt;"")+('Dvd Calendar'!$Q$533=TYPE4)*(TYPE4&lt;&gt;"")+('Dvd Calendar'!$Q$533=SPECIAL_LBL)*(INC_SPECIALS="Y"))=0,"",'Dvd Calendar'!$Q$531)))</f>
        <v/>
      </c>
      <c r="P59" s="161">
        <f>IF(ER59="","",IF(ISNUMBER('Dvd Calendar'!$R$531)=FALSE,"",IF((('Dvd Calendar'!$R$533=TYPE1)*(TYPE1&lt;&gt;"")+('Dvd Calendar'!$R$533=TYPE2)*(TYPE2&lt;&gt;"")+('Dvd Calendar'!$R$533=TYPE3)*(TYPE3&lt;&gt;"")+('Dvd Calendar'!$R$533=TYPE4)*(TYPE4&lt;&gt;"")+('Dvd Calendar'!$R$533=SPECIAL_LBL)*(INC_SPECIALS="Y"))=0,"",'Dvd Calendar'!$R$531)))</f>
        <v/>
      </c>
      <c r="Q59" s="161">
        <f>IF(ES59="","",IF(ISNUMBER('Dvd Calendar'!$S$531)=FALSE,"",IF((('Dvd Calendar'!$S$533=TYPE1)*(TYPE1&lt;&gt;"")+('Dvd Calendar'!$S$533=TYPE2)*(TYPE2&lt;&gt;"")+('Dvd Calendar'!$S$533=TYPE3)*(TYPE3&lt;&gt;"")+('Dvd Calendar'!$S$533=TYPE4)*(TYPE4&lt;&gt;"")+('Dvd Calendar'!$S$533=SPECIAL_LBL)*(INC_SPECIALS="Y"))=0,"",'Dvd Calendar'!$S$531)))</f>
        <v/>
      </c>
      <c r="R59" s="161">
        <f>IF(ET59="","",IF(ISNUMBER('Dvd Calendar'!$T$531)=FALSE,"",IF((('Dvd Calendar'!$T$533=TYPE1)*(TYPE1&lt;&gt;"")+('Dvd Calendar'!$T$533=TYPE2)*(TYPE2&lt;&gt;"")+('Dvd Calendar'!$T$533=TYPE3)*(TYPE3&lt;&gt;"")+('Dvd Calendar'!$T$533=TYPE4)*(TYPE4&lt;&gt;"")+('Dvd Calendar'!$T$533=SPECIAL_LBL)*(INC_SPECIALS="Y"))=0,"",'Dvd Calendar'!$T$531)))</f>
        <v/>
      </c>
      <c r="S59" s="161">
        <f>IF(EU59="","",IF(ISNUMBER('Dvd Calendar'!$U$531)=FALSE,"",IF((('Dvd Calendar'!$U$533=TYPE1)*(TYPE1&lt;&gt;"")+('Dvd Calendar'!$U$533=TYPE2)*(TYPE2&lt;&gt;"")+('Dvd Calendar'!$U$533=TYPE3)*(TYPE3&lt;&gt;"")+('Dvd Calendar'!$U$533=TYPE4)*(TYPE4&lt;&gt;"")+('Dvd Calendar'!$U$533=SPECIAL_LBL)*(INC_SPECIALS="Y"))=0,"",'Dvd Calendar'!$U$531)))</f>
        <v/>
      </c>
      <c r="T59" s="161">
        <f>IF(EV59="","",IF(ISNUMBER('Dvd Calendar'!$V$531)=FALSE,"",IF((('Dvd Calendar'!$V$533=TYPE1)*(TYPE1&lt;&gt;"")+('Dvd Calendar'!$V$533=TYPE2)*(TYPE2&lt;&gt;"")+('Dvd Calendar'!$V$533=TYPE3)*(TYPE3&lt;&gt;"")+('Dvd Calendar'!$V$533=TYPE4)*(TYPE4&lt;&gt;"")+('Dvd Calendar'!$V$533=SPECIAL_LBL)*(INC_SPECIALS="Y"))=0,"",'Dvd Calendar'!$V$531)))</f>
        <v/>
      </c>
      <c r="U59" s="161">
        <f>IF(EW59="","",IF(ISNUMBER('Dvd Calendar'!$W$531)=FALSE,"",IF((('Dvd Calendar'!$W$533=TYPE1)*(TYPE1&lt;&gt;"")+('Dvd Calendar'!$W$533=TYPE2)*(TYPE2&lt;&gt;"")+('Dvd Calendar'!$W$533=TYPE3)*(TYPE3&lt;&gt;"")+('Dvd Calendar'!$W$533=TYPE4)*(TYPE4&lt;&gt;"")+('Dvd Calendar'!$W$533=SPECIAL_LBL)*(INC_SPECIALS="Y"))=0,"",'Dvd Calendar'!$W$531)))</f>
        <v/>
      </c>
      <c r="V59" s="161">
        <f>IF(EX59="","",IF(ISNUMBER('Dvd Calendar'!$X$531)=FALSE,"",IF((('Dvd Calendar'!$X$533=TYPE1)*(TYPE1&lt;&gt;"")+('Dvd Calendar'!$X$533=TYPE2)*(TYPE2&lt;&gt;"")+('Dvd Calendar'!$X$533=TYPE3)*(TYPE3&lt;&gt;"")+('Dvd Calendar'!$X$533=TYPE4)*(TYPE4&lt;&gt;"")+('Dvd Calendar'!$X$533=SPECIAL_LBL)*(INC_SPECIALS="Y"))=0,"",'Dvd Calendar'!$X$531)))</f>
        <v/>
      </c>
      <c r="W59" s="161">
        <f>IF(EY59="","",IF(ISNUMBER('Dvd Calendar'!$Y$531)=FALSE,"",IF((('Dvd Calendar'!$Y$533=TYPE1)*(TYPE1&lt;&gt;"")+('Dvd Calendar'!$Y$533=TYPE2)*(TYPE2&lt;&gt;"")+('Dvd Calendar'!$Y$533=TYPE3)*(TYPE3&lt;&gt;"")+('Dvd Calendar'!$Y$533=TYPE4)*(TYPE4&lt;&gt;"")+('Dvd Calendar'!$Y$533=SPECIAL_LBL)*(INC_SPECIALS="Y"))=0,"",'Dvd Calendar'!$Y$531)))</f>
        <v/>
      </c>
      <c r="X59" s="161">
        <f>IF(EZ59="","",IF(ISNUMBER('Dvd Calendar'!$Z$531)=FALSE,"",IF((('Dvd Calendar'!$Z$533=TYPE1)*(TYPE1&lt;&gt;"")+('Dvd Calendar'!$Z$533=TYPE2)*(TYPE2&lt;&gt;"")+('Dvd Calendar'!$Z$533=TYPE3)*(TYPE3&lt;&gt;"")+('Dvd Calendar'!$Z$533=TYPE4)*(TYPE4&lt;&gt;"")+('Dvd Calendar'!$Z$533=SPECIAL_LBL)*(INC_SPECIALS="Y"))=0,"",'Dvd Calendar'!$Z$531)))</f>
        <v/>
      </c>
      <c r="Y59" s="161">
        <f>IF(FA59="","",IF(ISNUMBER('Dvd Calendar'!$AA$531)=FALSE,"",IF((('Dvd Calendar'!$AA$533=TYPE1)*(TYPE1&lt;&gt;"")+('Dvd Calendar'!$AA$533=TYPE2)*(TYPE2&lt;&gt;"")+('Dvd Calendar'!$AA$533=TYPE3)*(TYPE3&lt;&gt;"")+('Dvd Calendar'!$AA$533=TYPE4)*(TYPE4&lt;&gt;"")+('Dvd Calendar'!$AA$533=SPECIAL_LBL)*(INC_SPECIALS="Y"))=0,"",'Dvd Calendar'!$AA$531)))</f>
        <v/>
      </c>
      <c r="Z59" s="161">
        <f>IF(FB59="","",IF(ISNUMBER('Dvd Calendar'!$AB$531)=FALSE,"",IF((('Dvd Calendar'!$AB$533=TYPE1)*(TYPE1&lt;&gt;"")+('Dvd Calendar'!$AB$533=TYPE2)*(TYPE2&lt;&gt;"")+('Dvd Calendar'!$AB$533=TYPE3)*(TYPE3&lt;&gt;"")+('Dvd Calendar'!$AB$533=TYPE4)*(TYPE4&lt;&gt;"")+('Dvd Calendar'!$AB$533=SPECIAL_LBL)*(INC_SPECIALS="Y"))=0,"",'Dvd Calendar'!$AB$531)))</f>
        <v/>
      </c>
      <c r="AA59" s="161">
        <f>IF(FC59="","",IF(ISNUMBER('Dvd Calendar'!$AC$531)=FALSE,"",IF((('Dvd Calendar'!$AC$533=TYPE1)*(TYPE1&lt;&gt;"")+('Dvd Calendar'!$AC$533=TYPE2)*(TYPE2&lt;&gt;"")+('Dvd Calendar'!$AC$533=TYPE3)*(TYPE3&lt;&gt;"")+('Dvd Calendar'!$AC$533=TYPE4)*(TYPE4&lt;&gt;"")+('Dvd Calendar'!$AC$533=SPECIAL_LBL)*(INC_SPECIALS="Y"))=0,"",'Dvd Calendar'!$AC$531)))</f>
        <v/>
      </c>
      <c r="AB59" s="161">
        <f>IF(FD59="","",IF(ISNUMBER('Dvd Calendar'!$AD$531)=FALSE,"",IF((('Dvd Calendar'!$AD$533=TYPE1)*(TYPE1&lt;&gt;"")+('Dvd Calendar'!$AD$533=TYPE2)*(TYPE2&lt;&gt;"")+('Dvd Calendar'!$AD$533=TYPE3)*(TYPE3&lt;&gt;"")+('Dvd Calendar'!$AD$533=TYPE4)*(TYPE4&lt;&gt;"")+('Dvd Calendar'!$AD$533=SPECIAL_LBL)*(INC_SPECIALS="Y"))=0,"",'Dvd Calendar'!$AD$531)))</f>
        <v/>
      </c>
      <c r="AC59" s="161">
        <f>IF(FE59="","",IF(ISNUMBER('Dvd Calendar'!$AE$531)=FALSE,"",IF((('Dvd Calendar'!$AE$533=TYPE1)*(TYPE1&lt;&gt;"")+('Dvd Calendar'!$AE$533=TYPE2)*(TYPE2&lt;&gt;"")+('Dvd Calendar'!$AE$533=TYPE3)*(TYPE3&lt;&gt;"")+('Dvd Calendar'!$AE$533=TYPE4)*(TYPE4&lt;&gt;"")+('Dvd Calendar'!$AE$533=SPECIAL_LBL)*(INC_SPECIALS="Y"))=0,"",'Dvd Calendar'!$AE$531)))</f>
        <v/>
      </c>
      <c r="AD59" s="161">
        <f>IF(FF59="","",IF(ISNUMBER('Dvd Calendar'!$AF$531)=FALSE,"",IF((('Dvd Calendar'!$AF$533=TYPE1)*(TYPE1&lt;&gt;"")+('Dvd Calendar'!$AF$533=TYPE2)*(TYPE2&lt;&gt;"")+('Dvd Calendar'!$AF$533=TYPE3)*(TYPE3&lt;&gt;"")+('Dvd Calendar'!$AF$533=TYPE4)*(TYPE4&lt;&gt;"")+('Dvd Calendar'!$AF$533=SPECIAL_LBL)*(INC_SPECIALS="Y"))=0,"",'Dvd Calendar'!$AF$531)))</f>
        <v/>
      </c>
      <c r="AE59" s="161">
        <f>IF(FG59="","",IF(ISNUMBER('Dvd Calendar'!$AG$531)=FALSE,"",IF((('Dvd Calendar'!$AG$533=TYPE1)*(TYPE1&lt;&gt;"")+('Dvd Calendar'!$AG$533=TYPE2)*(TYPE2&lt;&gt;"")+('Dvd Calendar'!$AG$533=TYPE3)*(TYPE3&lt;&gt;"")+('Dvd Calendar'!$AG$533=TYPE4)*(TYPE4&lt;&gt;"")+('Dvd Calendar'!$AG$533=SPECIAL_LBL)*(INC_SPECIALS="Y"))=0,"",'Dvd Calendar'!$AG$531)))</f>
        <v/>
      </c>
      <c r="AF59" s="161">
        <f>IF(FH59="","",IF(ISNUMBER('Dvd Calendar'!$AH$531)=FALSE,"",IF((('Dvd Calendar'!$AH$533=TYPE1)*(TYPE1&lt;&gt;"")+('Dvd Calendar'!$AH$533=TYPE2)*(TYPE2&lt;&gt;"")+('Dvd Calendar'!$AH$533=TYPE3)*(TYPE3&lt;&gt;"")+('Dvd Calendar'!$AH$533=TYPE4)*(TYPE4&lt;&gt;"")+('Dvd Calendar'!$AH$533=SPECIAL_LBL)*(INC_SPECIALS="Y"))=0,"",'Dvd Calendar'!$AH$531)))</f>
        <v/>
      </c>
      <c r="AG59" s="161">
        <f>IF(FI59="","",IF(ISNUMBER('Dvd Calendar'!$AI$531)=FALSE,"",IF((('Dvd Calendar'!$AI$533=TYPE1)*(TYPE1&lt;&gt;"")+('Dvd Calendar'!$AI$533=TYPE2)*(TYPE2&lt;&gt;"")+('Dvd Calendar'!$AI$533=TYPE3)*(TYPE3&lt;&gt;"")+('Dvd Calendar'!$AI$533=TYPE4)*(TYPE4&lt;&gt;"")+('Dvd Calendar'!$AI$533=SPECIAL_LBL)*(INC_SPECIALS="Y"))=0,"",'Dvd Calendar'!$AI$531)))</f>
        <v/>
      </c>
      <c r="AH59" s="161">
        <f>IF(FJ59="","",IF(ISNUMBER('Dvd Calendar'!$AJ$531)=FALSE,"",IF((('Dvd Calendar'!$AJ$533=TYPE1)*(TYPE1&lt;&gt;"")+('Dvd Calendar'!$AJ$533=TYPE2)*(TYPE2&lt;&gt;"")+('Dvd Calendar'!$AJ$533=TYPE3)*(TYPE3&lt;&gt;"")+('Dvd Calendar'!$AJ$533=TYPE4)*(TYPE4&lt;&gt;"")+('Dvd Calendar'!$AJ$533=SPECIAL_LBL)*(INC_SPECIALS="Y"))=0,"",'Dvd Calendar'!$AJ$531)))</f>
        <v/>
      </c>
      <c r="AI59" s="161">
        <f>IF(FK59="","",IF(ISNUMBER('Dvd Calendar'!$AK$531)=FALSE,"",IF((('Dvd Calendar'!$AK$533=TYPE1)*(TYPE1&lt;&gt;"")+('Dvd Calendar'!$AK$533=TYPE2)*(TYPE2&lt;&gt;"")+('Dvd Calendar'!$AK$533=TYPE3)*(TYPE3&lt;&gt;"")+('Dvd Calendar'!$AK$533=TYPE4)*(TYPE4&lt;&gt;"")+('Dvd Calendar'!$AK$533=SPECIAL_LBL)*(INC_SPECIALS="Y"))=0,"",'Dvd Calendar'!$AK$531)))</f>
        <v/>
      </c>
      <c r="AJ59" s="161">
        <f>IF(FL59="","",IF(ISNUMBER('Dvd Calendar'!$AL$531)=FALSE,"",IF((('Dvd Calendar'!$AL$533=TYPE1)*(TYPE1&lt;&gt;"")+('Dvd Calendar'!$AL$533=TYPE2)*(TYPE2&lt;&gt;"")+('Dvd Calendar'!$AL$533=TYPE3)*(TYPE3&lt;&gt;"")+('Dvd Calendar'!$AL$533=TYPE4)*(TYPE4&lt;&gt;"")+('Dvd Calendar'!$AL$533=SPECIAL_LBL)*(INC_SPECIALS="Y"))=0,"",'Dvd Calendar'!$AL$531)))</f>
        <v/>
      </c>
      <c r="AK59" s="161">
        <f>IF(FM59="","",IF(ISNUMBER('Dvd Calendar'!$AM$531)=FALSE,"",IF((('Dvd Calendar'!$AM$533=TYPE1)*(TYPE1&lt;&gt;"")+('Dvd Calendar'!$AM$533=TYPE2)*(TYPE2&lt;&gt;"")+('Dvd Calendar'!$AM$533=TYPE3)*(TYPE3&lt;&gt;"")+('Dvd Calendar'!$AM$533=TYPE4)*(TYPE4&lt;&gt;"")+('Dvd Calendar'!$AM$533=SPECIAL_LBL)*(INC_SPECIALS="Y"))=0,"",'Dvd Calendar'!$AM$531)))</f>
        <v/>
      </c>
      <c r="AL59" s="161">
        <f>IF(FN59="","",IF(ISNUMBER('Dvd Calendar'!$AN$531)=FALSE,"",IF((('Dvd Calendar'!$AN$533=TYPE1)*(TYPE1&lt;&gt;"")+('Dvd Calendar'!$AN$533=TYPE2)*(TYPE2&lt;&gt;"")+('Dvd Calendar'!$AN$533=TYPE3)*(TYPE3&lt;&gt;"")+('Dvd Calendar'!$AN$533=TYPE4)*(TYPE4&lt;&gt;"")+('Dvd Calendar'!$AN$533=SPECIAL_LBL)*(INC_SPECIALS="Y"))=0,"",'Dvd Calendar'!$AN$531)))</f>
        <v/>
      </c>
      <c r="AM59" s="161">
        <f>IF(FO59="","",IF(ISNUMBER('Dvd Calendar'!$AO$531)=FALSE,"",IF((('Dvd Calendar'!$AO$533=TYPE1)*(TYPE1&lt;&gt;"")+('Dvd Calendar'!$AO$533=TYPE2)*(TYPE2&lt;&gt;"")+('Dvd Calendar'!$AO$533=TYPE3)*(TYPE3&lt;&gt;"")+('Dvd Calendar'!$AO$533=TYPE4)*(TYPE4&lt;&gt;"")+('Dvd Calendar'!$AO$533=SPECIAL_LBL)*(INC_SPECIALS="Y"))=0,"",'Dvd Calendar'!$AO$531)))</f>
        <v/>
      </c>
      <c r="AN59" s="161">
        <f>IF(FP59="","",IF(ISNUMBER('Dvd Calendar'!$AP$531)=FALSE,"",IF((('Dvd Calendar'!$AP$533=TYPE1)*(TYPE1&lt;&gt;"")+('Dvd Calendar'!$AP$533=TYPE2)*(TYPE2&lt;&gt;"")+('Dvd Calendar'!$AP$533=TYPE3)*(TYPE3&lt;&gt;"")+('Dvd Calendar'!$AP$533=TYPE4)*(TYPE4&lt;&gt;"")+('Dvd Calendar'!$AP$533=SPECIAL_LBL)*(INC_SPECIALS="Y"))=0,"",'Dvd Calendar'!$AP$531)))</f>
        <v/>
      </c>
      <c r="AO59" s="161">
        <f>IF(FQ59="","",IF(ISNUMBER('Dvd Calendar'!$AQ$531)=FALSE,"",IF((('Dvd Calendar'!$AQ$533=TYPE1)*(TYPE1&lt;&gt;"")+('Dvd Calendar'!$AQ$533=TYPE2)*(TYPE2&lt;&gt;"")+('Dvd Calendar'!$AQ$533=TYPE3)*(TYPE3&lt;&gt;"")+('Dvd Calendar'!$AQ$533=TYPE4)*(TYPE4&lt;&gt;"")+('Dvd Calendar'!$AQ$533=SPECIAL_LBL)*(INC_SPECIALS="Y"))=0,"",'Dvd Calendar'!$AQ$531)))</f>
        <v/>
      </c>
      <c r="AP59" s="161">
        <f>IF(FR59="","",IF(ISNUMBER('Dvd Calendar'!$AR$531)=FALSE,"",IF((('Dvd Calendar'!$AR$533=TYPE1)*(TYPE1&lt;&gt;"")+('Dvd Calendar'!$AR$533=TYPE2)*(TYPE2&lt;&gt;"")+('Dvd Calendar'!$AR$533=TYPE3)*(TYPE3&lt;&gt;"")+('Dvd Calendar'!$AR$533=TYPE4)*(TYPE4&lt;&gt;"")+('Dvd Calendar'!$AR$533=SPECIAL_LBL)*(INC_SPECIALS="Y"))=0,"",'Dvd Calendar'!$AR$531)))</f>
        <v/>
      </c>
      <c r="AQ59" s="161">
        <f>IF(FS59="","",IF(ISNUMBER('Dvd Calendar'!$E$536)=FALSE,"",'Dvd Calendar'!$E$536))</f>
        <v/>
      </c>
      <c r="AR59" s="161">
        <f>IF(FT59="","",IF(ISNUMBER('Dvd Calendar'!$F$536)=FALSE,"",'Dvd Calendar'!$F$536))</f>
        <v/>
      </c>
      <c r="AS59" s="161">
        <f>IF(FU59="","",IF(ISNUMBER('Dvd Calendar'!$G$536)=FALSE,"",'Dvd Calendar'!$G$536))</f>
        <v/>
      </c>
      <c r="AT59" s="161">
        <f>IF(FV59="","",IF(ISNUMBER('Dvd Calendar'!$H$536)=FALSE,"",'Dvd Calendar'!$H$536))</f>
        <v/>
      </c>
      <c r="AU59" s="161">
        <f>IF(FW59="","",IF(ISNUMBER('Dvd Calendar'!$I$536)=FALSE,"",'Dvd Calendar'!$I$536))</f>
        <v/>
      </c>
      <c r="AV59" s="161">
        <f>IF(FX59="","",IF(ISNUMBER('Dvd Calendar'!$J$536)=FALSE,"",'Dvd Calendar'!$J$536))</f>
        <v/>
      </c>
      <c r="AW59" s="161">
        <f>IF(FY59="","",IF(ISNUMBER('Dvd Calendar'!$K$536)=FALSE,"",'Dvd Calendar'!$K$536))</f>
        <v/>
      </c>
      <c r="AX59" s="161">
        <f>IF(FZ59="","",IF(ISNUMBER('Dvd Calendar'!$L$536)=FALSE,"",'Dvd Calendar'!$L$536))</f>
        <v/>
      </c>
      <c r="AY59" s="161">
        <f>IF(GA59="","",IF(ISNUMBER('Dvd Calendar'!$M$536)=FALSE,"",'Dvd Calendar'!$M$536))</f>
        <v/>
      </c>
      <c r="AZ59" s="161">
        <f>IF(GB59="","",IF(ISNUMBER('Dvd Calendar'!$N$536)=FALSE,"",'Dvd Calendar'!$N$536))</f>
        <v/>
      </c>
      <c r="BA59" s="161">
        <f>IF(GC59="","",IF(ISNUMBER('Dvd Calendar'!$O$536)=FALSE,"",'Dvd Calendar'!$O$536))</f>
        <v/>
      </c>
      <c r="BB59" s="161">
        <f>IF(GD59="","",IF(ISNUMBER('Dvd Calendar'!$P$536)=FALSE,"",'Dvd Calendar'!$P$536))</f>
        <v/>
      </c>
      <c r="BC59" s="161">
        <f>IF(GE59="","",IF(ISNUMBER('Dvd Calendar'!$Q$536)=FALSE,"",'Dvd Calendar'!$Q$536))</f>
        <v/>
      </c>
      <c r="BD59" s="161">
        <f>IF(GF59="","",IF(ISNUMBER('Dvd Calendar'!$R$536)=FALSE,"",'Dvd Calendar'!$R$536))</f>
        <v/>
      </c>
      <c r="BE59" s="161">
        <f>IF(GG59="","",IF(ISNUMBER('Dvd Calendar'!$S$536)=FALSE,"",'Dvd Calendar'!$S$536))</f>
        <v/>
      </c>
      <c r="BF59" s="161">
        <f>IF(GH59="","",IF(ISNUMBER('Dvd Calendar'!$T$536)=FALSE,"",'Dvd Calendar'!$T$536))</f>
        <v/>
      </c>
      <c r="BG59" s="161">
        <f>IF(GI59="","",IF(ISNUMBER('Dvd Calendar'!$U$536)=FALSE,"",'Dvd Calendar'!$U$536))</f>
        <v/>
      </c>
      <c r="BH59" s="161">
        <f>IF(GJ59="","",IF(ISNUMBER('Dvd Calendar'!$V$536)=FALSE,"",'Dvd Calendar'!$V$536))</f>
        <v/>
      </c>
      <c r="BI59" s="161">
        <f>IF(GK59="","",IF(ISNUMBER('Dvd Calendar'!$W$536)=FALSE,"",'Dvd Calendar'!$W$536))</f>
        <v/>
      </c>
      <c r="BJ59" s="161">
        <f>IF(GL59="","",IF(ISNUMBER('Dvd Calendar'!$X$536)=FALSE,"",'Dvd Calendar'!$X$536))</f>
        <v/>
      </c>
      <c r="BK59" s="161">
        <f>IF(GM59="","",IF(ISNUMBER('Dvd Calendar'!$Y$536)=FALSE,"",'Dvd Calendar'!$Y$536))</f>
        <v/>
      </c>
      <c r="BL59" s="161">
        <f>IF(GN59="","",IF(ISNUMBER('Dvd Calendar'!$Z$536)=FALSE,"",'Dvd Calendar'!$Z$536))</f>
        <v/>
      </c>
      <c r="BM59" s="161">
        <f>IF(GO59="","",IF(ISNUMBER('Dvd Calendar'!$AA$536)=FALSE,"",'Dvd Calendar'!$AA$536))</f>
        <v/>
      </c>
      <c r="BN59" s="161">
        <f>IF(GP59="","",IF(ISNUMBER('Dvd Calendar'!$AB$536)=FALSE,"",'Dvd Calendar'!$AB$536))</f>
        <v/>
      </c>
      <c r="BO59" s="161">
        <f>IF(GQ59="","",IF(ISNUMBER('Dvd Calendar'!$AC$536)=FALSE,"",'Dvd Calendar'!$AC$536))</f>
        <v/>
      </c>
      <c r="BQ59" s="161">
        <f>IF(C59="","",IFERROR(C59*HSI!$B$54*HSI!$G$54/HSI!$B$3,""))</f>
        <v/>
      </c>
      <c r="BR59" s="161">
        <f>IF(D59="","",IFERROR(D59*HSI!$B$54*HSI!$G$54/HSI!$B$3,""))</f>
        <v/>
      </c>
      <c r="BS59" s="161">
        <f>IF(E59="","",IFERROR(E59*HSI!$B$54*HSI!$G$54/HSI!$B$3,""))</f>
        <v/>
      </c>
      <c r="BT59" s="161">
        <f>IF(F59="","",IFERROR(F59*HSI!$B$54*HSI!$G$54/HSI!$B$3,""))</f>
        <v/>
      </c>
      <c r="BU59" s="161">
        <f>IF(G59="","",IFERROR(G59*HSI!$B$54*HSI!$G$54/HSI!$B$3,""))</f>
        <v/>
      </c>
      <c r="BV59" s="161">
        <f>IF(H59="","",IFERROR(H59*HSI!$B$54*HSI!$G$54/HSI!$B$3,""))</f>
        <v/>
      </c>
      <c r="BW59" s="161">
        <f>IF(I59="","",IFERROR(I59*HSI!$B$54*HSI!$G$54/HSI!$B$3,""))</f>
        <v/>
      </c>
      <c r="BX59" s="161">
        <f>IF(J59="","",IFERROR(J59*HSI!$B$54*HSI!$G$54/HSI!$B$3,""))</f>
        <v/>
      </c>
      <c r="BY59" s="161">
        <f>IF(K59="","",IFERROR(K59*HSI!$B$54*HSI!$G$54/HSI!$B$3,""))</f>
        <v/>
      </c>
      <c r="BZ59" s="161">
        <f>IF(L59="","",IFERROR(L59*HSI!$B$54*HSI!$G$54/HSI!$B$3,""))</f>
        <v/>
      </c>
      <c r="CA59" s="161">
        <f>IF(M59="","",IFERROR(M59*HSI!$B$54*HSI!$G$54/HSI!$B$3,""))</f>
        <v/>
      </c>
      <c r="CB59" s="161">
        <f>IF(N59="","",IFERROR(N59*HSI!$B$54*HSI!$G$54/HSI!$B$3,""))</f>
        <v/>
      </c>
      <c r="CC59" s="161">
        <f>IF(O59="","",IFERROR(O59*HSI!$B$54*HSI!$G$54/HSI!$B$3,""))</f>
        <v/>
      </c>
      <c r="CD59" s="161">
        <f>IF(P59="","",IFERROR(P59*HSI!$B$54*HSI!$G$54/HSI!$B$3,""))</f>
        <v/>
      </c>
      <c r="CE59" s="161">
        <f>IF(Q59="","",IFERROR(Q59*HSI!$B$54*HSI!$G$54/HSI!$B$3,""))</f>
        <v/>
      </c>
      <c r="CF59" s="161">
        <f>IF(R59="","",IFERROR(R59*HSI!$B$54*HSI!$G$54/HSI!$B$3,""))</f>
        <v/>
      </c>
      <c r="CG59" s="161">
        <f>IF(S59="","",IFERROR(S59*HSI!$B$54*HSI!$G$54/HSI!$B$3,""))</f>
        <v/>
      </c>
      <c r="CH59" s="161">
        <f>IF(T59="","",IFERROR(T59*HSI!$B$54*HSI!$G$54/HSI!$B$3,""))</f>
        <v/>
      </c>
      <c r="CI59" s="161">
        <f>IF(U59="","",IFERROR(U59*HSI!$B$54*HSI!$G$54/HSI!$B$3,""))</f>
        <v/>
      </c>
      <c r="CJ59" s="161">
        <f>IF(V59="","",IFERROR(V59*HSI!$B$54*HSI!$G$54/HSI!$B$3,""))</f>
        <v/>
      </c>
      <c r="CK59" s="161">
        <f>IF(W59="","",IFERROR(W59*HSI!$B$54*HSI!$G$54/HSI!$B$3,""))</f>
        <v/>
      </c>
      <c r="CL59" s="161">
        <f>IF(X59="","",IFERROR(X59*HSI!$B$54*HSI!$G$54/HSI!$B$3,""))</f>
        <v/>
      </c>
      <c r="CM59" s="161">
        <f>IF(Y59="","",IFERROR(Y59*HSI!$B$54*HSI!$G$54/HSI!$B$3,""))</f>
        <v/>
      </c>
      <c r="CN59" s="161">
        <f>IF(Z59="","",IFERROR(Z59*HSI!$B$54*HSI!$G$54/HSI!$B$3,""))</f>
        <v/>
      </c>
      <c r="CO59" s="161">
        <f>IF(AA59="","",IFERROR(AA59*HSI!$B$54*HSI!$G$54/HSI!$B$3,""))</f>
        <v/>
      </c>
      <c r="CP59" s="161">
        <f>IF(AB59="","",IFERROR(AB59*HSI!$B$54*HSI!$G$54/HSI!$B$3,""))</f>
        <v/>
      </c>
      <c r="CQ59" s="161">
        <f>IF(AC59="","",IFERROR(AC59*HSI!$B$54*HSI!$G$54/HSI!$B$3,""))</f>
        <v/>
      </c>
      <c r="CR59" s="161">
        <f>IF(AD59="","",IFERROR(AD59*HSI!$B$54*HSI!$G$54/HSI!$B$3,""))</f>
        <v/>
      </c>
      <c r="CS59" s="161">
        <f>IF(AE59="","",IFERROR(AE59*HSI!$B$54*HSI!$G$54/HSI!$B$3,""))</f>
        <v/>
      </c>
      <c r="CT59" s="161">
        <f>IF(AF59="","",IFERROR(AF59*HSI!$B$54*HSI!$G$54/HSI!$B$3,""))</f>
        <v/>
      </c>
      <c r="CU59" s="161">
        <f>IF(AG59="","",IFERROR(AG59*HSI!$B$54*HSI!$G$54/HSI!$B$3,""))</f>
        <v/>
      </c>
      <c r="CV59" s="161">
        <f>IF(AH59="","",IFERROR(AH59*HSI!$B$54*HSI!$G$54/HSI!$B$3,""))</f>
        <v/>
      </c>
      <c r="CW59" s="161">
        <f>IF(AI59="","",IFERROR(AI59*HSI!$B$54*HSI!$G$54/HSI!$B$3,""))</f>
        <v/>
      </c>
      <c r="CX59" s="161">
        <f>IF(AJ59="","",IFERROR(AJ59*HSI!$B$54*HSI!$G$54/HSI!$B$3,""))</f>
        <v/>
      </c>
      <c r="CY59" s="161">
        <f>IF(AK59="","",IFERROR(AK59*HSI!$B$54*HSI!$G$54/HSI!$B$3,""))</f>
        <v/>
      </c>
      <c r="CZ59" s="161">
        <f>IF(AL59="","",IFERROR(AL59*HSI!$B$54*HSI!$G$54/HSI!$B$3,""))</f>
        <v/>
      </c>
      <c r="DA59" s="161">
        <f>IF(AM59="","",IFERROR(AM59*HSI!$B$54*HSI!$G$54/HSI!$B$3,""))</f>
        <v/>
      </c>
      <c r="DB59" s="161">
        <f>IF(AN59="","",IFERROR(AN59*HSI!$B$54*HSI!$G$54/HSI!$B$3,""))</f>
        <v/>
      </c>
      <c r="DC59" s="161">
        <f>IF(AO59="","",IFERROR(AO59*HSI!$B$54*HSI!$G$54/HSI!$B$3,""))</f>
        <v/>
      </c>
      <c r="DD59" s="161">
        <f>IF(AP59="","",IFERROR(AP59*HSI!$B$54*HSI!$G$54/HSI!$B$3,""))</f>
        <v/>
      </c>
      <c r="DE59" s="161">
        <f>IF(AQ59="","",IFERROR(AQ59*HSI!$B$54*HSI!$G$54/HSI!$B$3,""))</f>
        <v/>
      </c>
      <c r="DF59" s="161">
        <f>IF(AR59="","",IFERROR(AR59*HSI!$B$54*HSI!$G$54/HSI!$B$3,""))</f>
        <v/>
      </c>
      <c r="DG59" s="161">
        <f>IF(AS59="","",IFERROR(AS59*HSI!$B$54*HSI!$G$54/HSI!$B$3,""))</f>
        <v/>
      </c>
      <c r="DH59" s="161">
        <f>IF(AT59="","",IFERROR(AT59*HSI!$B$54*HSI!$G$54/HSI!$B$3,""))</f>
        <v/>
      </c>
      <c r="DI59" s="161">
        <f>IF(AU59="","",IFERROR(AU59*HSI!$B$54*HSI!$G$54/HSI!$B$3,""))</f>
        <v/>
      </c>
      <c r="DJ59" s="161">
        <f>IF(AV59="","",IFERROR(AV59*HSI!$B$54*HSI!$G$54/HSI!$B$3,""))</f>
        <v/>
      </c>
      <c r="DK59" s="161">
        <f>IF(AW59="","",IFERROR(AW59*HSI!$B$54*HSI!$G$54/HSI!$B$3,""))</f>
        <v/>
      </c>
      <c r="DL59" s="161">
        <f>IF(AX59="","",IFERROR(AX59*HSI!$B$54*HSI!$G$54/HSI!$B$3,""))</f>
        <v/>
      </c>
      <c r="DM59" s="161">
        <f>IF(AY59="","",IFERROR(AY59*HSI!$B$54*HSI!$G$54/HSI!$B$3,""))</f>
        <v/>
      </c>
      <c r="DN59" s="161">
        <f>IF(AZ59="","",IFERROR(AZ59*HSI!$B$54*HSI!$G$54/HSI!$B$3,""))</f>
        <v/>
      </c>
      <c r="DO59" s="161">
        <f>IF(BA59="","",IFERROR(BA59*HSI!$B$54*HSI!$G$54/HSI!$B$3,""))</f>
        <v/>
      </c>
      <c r="DP59" s="161">
        <f>IF(BB59="","",IFERROR(BB59*HSI!$B$54*HSI!$G$54/HSI!$B$3,""))</f>
        <v/>
      </c>
      <c r="DQ59" s="161">
        <f>IF(BC59="","",IFERROR(BC59*HSI!$B$54*HSI!$G$54/HSI!$B$3,""))</f>
        <v/>
      </c>
      <c r="DR59" s="161">
        <f>IF(BD59="","",IFERROR(BD59*HSI!$B$54*HSI!$G$54/HSI!$B$3,""))</f>
        <v/>
      </c>
      <c r="DS59" s="161">
        <f>IF(BE59="","",IFERROR(BE59*HSI!$B$54*HSI!$G$54/HSI!$B$3,""))</f>
        <v/>
      </c>
      <c r="DT59" s="161">
        <f>IF(BF59="","",IFERROR(BF59*HSI!$B$54*HSI!$G$54/HSI!$B$3,""))</f>
        <v/>
      </c>
      <c r="DU59" s="161">
        <f>IF(BG59="","",IFERROR(BG59*HSI!$B$54*HSI!$G$54/HSI!$B$3,""))</f>
        <v/>
      </c>
      <c r="DV59" s="161">
        <f>IF(BH59="","",IFERROR(BH59*HSI!$B$54*HSI!$G$54/HSI!$B$3,""))</f>
        <v/>
      </c>
      <c r="DW59" s="161">
        <f>IF(BI59="","",IFERROR(BI59*HSI!$B$54*HSI!$G$54/HSI!$B$3,""))</f>
        <v/>
      </c>
      <c r="DX59" s="161">
        <f>IF(BJ59="","",IFERROR(BJ59*HSI!$B$54*HSI!$G$54/HSI!$B$3,""))</f>
        <v/>
      </c>
      <c r="DY59" s="161">
        <f>IF(BK59="","",IFERROR(BK59*HSI!$B$54*HSI!$G$54/HSI!$B$3,""))</f>
        <v/>
      </c>
      <c r="DZ59" s="161">
        <f>IF(BL59="","",IFERROR(BL59*HSI!$B$54*HSI!$G$54/HSI!$B$3,""))</f>
        <v/>
      </c>
      <c r="EA59" s="161">
        <f>IF(BM59="","",IFERROR(BM59*HSI!$B$54*HSI!$G$54/HSI!$B$3,""))</f>
        <v/>
      </c>
      <c r="EB59" s="161">
        <f>IF(BN59="","",IFERROR(BN59*HSI!$B$54*HSI!$G$54/HSI!$B$3,""))</f>
        <v/>
      </c>
      <c r="EC59" s="161">
        <f>IF(BO59="","",IFERROR(BO59*HSI!$B$54*HSI!$G$54/HSI!$B$3,""))</f>
        <v/>
      </c>
      <c r="EE59" s="121">
        <f>IF(N('Dvd Calendar'!$E$528)=0,"",IF(('Dvd Calendar'!$E$528&gt;=GRID_FROM)*('Dvd Calendar'!$E$528&lt;=GRID_TO)*((('Dvd Calendar'!$E$528&lt;=VAL_DATE)+(COUNTIF('Dvd Calendar'!$E$535:$AR$535,'Dvd Calendar'!$E$528)=0))&gt;0)=0,"",'Dvd Calendar'!$E$528*1000000000+ISNUMBER('Dvd Calendar'!$E$531)*100000000+('Dvd Calendar'!$E$533=SPECIAL_LBL)*10000000+(N('Dvd Calendar'!$E$527)&gt;0)*(N('Dvd Calendar'!$E$527)&lt;=VAL_SERIAL)*1000000+48*1000+1))</f>
        <v/>
      </c>
      <c r="EF59" s="121">
        <f>IF(N('Dvd Calendar'!$F$528)=0,"",IF(('Dvd Calendar'!$F$528&gt;=GRID_FROM)*('Dvd Calendar'!$F$528&lt;=GRID_TO)*((('Dvd Calendar'!$F$528&lt;=VAL_DATE)+(COUNTIF('Dvd Calendar'!$E$535:$AR$535,'Dvd Calendar'!$F$528)=0))&gt;0)=0,"",'Dvd Calendar'!$F$528*1000000000+ISNUMBER('Dvd Calendar'!$F$531)*100000000+('Dvd Calendar'!$F$533=SPECIAL_LBL)*10000000+(N('Dvd Calendar'!$F$527)&gt;0)*(N('Dvd Calendar'!$F$527)&lt;=VAL_SERIAL)*1000000+48*1000+2))</f>
        <v/>
      </c>
      <c r="EG59" s="121">
        <f>IF(N('Dvd Calendar'!$G$528)=0,"",IF(('Dvd Calendar'!$G$528&gt;=GRID_FROM)*('Dvd Calendar'!$G$528&lt;=GRID_TO)*((('Dvd Calendar'!$G$528&lt;=VAL_DATE)+(COUNTIF('Dvd Calendar'!$E$535:$AR$535,'Dvd Calendar'!$G$528)=0))&gt;0)=0,"",'Dvd Calendar'!$G$528*1000000000+ISNUMBER('Dvd Calendar'!$G$531)*100000000+('Dvd Calendar'!$G$533=SPECIAL_LBL)*10000000+(N('Dvd Calendar'!$G$527)&gt;0)*(N('Dvd Calendar'!$G$527)&lt;=VAL_SERIAL)*1000000+48*1000+3))</f>
        <v/>
      </c>
      <c r="EH59" s="121">
        <f>IF(N('Dvd Calendar'!$H$528)=0,"",IF(('Dvd Calendar'!$H$528&gt;=GRID_FROM)*('Dvd Calendar'!$H$528&lt;=GRID_TO)*((('Dvd Calendar'!$H$528&lt;=VAL_DATE)+(COUNTIF('Dvd Calendar'!$E$535:$AR$535,'Dvd Calendar'!$H$528)=0))&gt;0)=0,"",'Dvd Calendar'!$H$528*1000000000+ISNUMBER('Dvd Calendar'!$H$531)*100000000+('Dvd Calendar'!$H$533=SPECIAL_LBL)*10000000+(N('Dvd Calendar'!$H$527)&gt;0)*(N('Dvd Calendar'!$H$527)&lt;=VAL_SERIAL)*1000000+48*1000+4))</f>
        <v/>
      </c>
      <c r="EI59" s="121">
        <f>IF(N('Dvd Calendar'!$I$528)=0,"",IF(('Dvd Calendar'!$I$528&gt;=GRID_FROM)*('Dvd Calendar'!$I$528&lt;=GRID_TO)*((('Dvd Calendar'!$I$528&lt;=VAL_DATE)+(COUNTIF('Dvd Calendar'!$E$535:$AR$535,'Dvd Calendar'!$I$528)=0))&gt;0)=0,"",'Dvd Calendar'!$I$528*1000000000+ISNUMBER('Dvd Calendar'!$I$531)*100000000+('Dvd Calendar'!$I$533=SPECIAL_LBL)*10000000+(N('Dvd Calendar'!$I$527)&gt;0)*(N('Dvd Calendar'!$I$527)&lt;=VAL_SERIAL)*1000000+48*1000+5))</f>
        <v/>
      </c>
      <c r="EJ59" s="121">
        <f>IF(N('Dvd Calendar'!$J$528)=0,"",IF(('Dvd Calendar'!$J$528&gt;=GRID_FROM)*('Dvd Calendar'!$J$528&lt;=GRID_TO)*((('Dvd Calendar'!$J$528&lt;=VAL_DATE)+(COUNTIF('Dvd Calendar'!$E$535:$AR$535,'Dvd Calendar'!$J$528)=0))&gt;0)=0,"",'Dvd Calendar'!$J$528*1000000000+ISNUMBER('Dvd Calendar'!$J$531)*100000000+('Dvd Calendar'!$J$533=SPECIAL_LBL)*10000000+(N('Dvd Calendar'!$J$527)&gt;0)*(N('Dvd Calendar'!$J$527)&lt;=VAL_SERIAL)*1000000+48*1000+6))</f>
        <v/>
      </c>
      <c r="EK59" s="121">
        <f>IF(N('Dvd Calendar'!$K$528)=0,"",IF(('Dvd Calendar'!$K$528&gt;=GRID_FROM)*('Dvd Calendar'!$K$528&lt;=GRID_TO)*((('Dvd Calendar'!$K$528&lt;=VAL_DATE)+(COUNTIF('Dvd Calendar'!$E$535:$AR$535,'Dvd Calendar'!$K$528)=0))&gt;0)=0,"",'Dvd Calendar'!$K$528*1000000000+ISNUMBER('Dvd Calendar'!$K$531)*100000000+('Dvd Calendar'!$K$533=SPECIAL_LBL)*10000000+(N('Dvd Calendar'!$K$527)&gt;0)*(N('Dvd Calendar'!$K$527)&lt;=VAL_SERIAL)*1000000+48*1000+7))</f>
        <v/>
      </c>
      <c r="EL59" s="121">
        <f>IF(N('Dvd Calendar'!$L$528)=0,"",IF(('Dvd Calendar'!$L$528&gt;=GRID_FROM)*('Dvd Calendar'!$L$528&lt;=GRID_TO)*((('Dvd Calendar'!$L$528&lt;=VAL_DATE)+(COUNTIF('Dvd Calendar'!$E$535:$AR$535,'Dvd Calendar'!$L$528)=0))&gt;0)=0,"",'Dvd Calendar'!$L$528*1000000000+ISNUMBER('Dvd Calendar'!$L$531)*100000000+('Dvd Calendar'!$L$533=SPECIAL_LBL)*10000000+(N('Dvd Calendar'!$L$527)&gt;0)*(N('Dvd Calendar'!$L$527)&lt;=VAL_SERIAL)*1000000+48*1000+8))</f>
        <v/>
      </c>
      <c r="EM59" s="121">
        <f>IF(N('Dvd Calendar'!$M$528)=0,"",IF(('Dvd Calendar'!$M$528&gt;=GRID_FROM)*('Dvd Calendar'!$M$528&lt;=GRID_TO)*((('Dvd Calendar'!$M$528&lt;=VAL_DATE)+(COUNTIF('Dvd Calendar'!$E$535:$AR$535,'Dvd Calendar'!$M$528)=0))&gt;0)=0,"",'Dvd Calendar'!$M$528*1000000000+ISNUMBER('Dvd Calendar'!$M$531)*100000000+('Dvd Calendar'!$M$533=SPECIAL_LBL)*10000000+(N('Dvd Calendar'!$M$527)&gt;0)*(N('Dvd Calendar'!$M$527)&lt;=VAL_SERIAL)*1000000+48*1000+9))</f>
        <v/>
      </c>
      <c r="EN59" s="121">
        <f>IF(N('Dvd Calendar'!$N$528)=0,"",IF(('Dvd Calendar'!$N$528&gt;=GRID_FROM)*('Dvd Calendar'!$N$528&lt;=GRID_TO)*((('Dvd Calendar'!$N$528&lt;=VAL_DATE)+(COUNTIF('Dvd Calendar'!$E$535:$AR$535,'Dvd Calendar'!$N$528)=0))&gt;0)=0,"",'Dvd Calendar'!$N$528*1000000000+ISNUMBER('Dvd Calendar'!$N$531)*100000000+('Dvd Calendar'!$N$533=SPECIAL_LBL)*10000000+(N('Dvd Calendar'!$N$527)&gt;0)*(N('Dvd Calendar'!$N$527)&lt;=VAL_SERIAL)*1000000+48*1000+10))</f>
        <v/>
      </c>
      <c r="EO59" s="121">
        <f>IF(N('Dvd Calendar'!$O$528)=0,"",IF(('Dvd Calendar'!$O$528&gt;=GRID_FROM)*('Dvd Calendar'!$O$528&lt;=GRID_TO)*((('Dvd Calendar'!$O$528&lt;=VAL_DATE)+(COUNTIF('Dvd Calendar'!$E$535:$AR$535,'Dvd Calendar'!$O$528)=0))&gt;0)=0,"",'Dvd Calendar'!$O$528*1000000000+ISNUMBER('Dvd Calendar'!$O$531)*100000000+('Dvd Calendar'!$O$533=SPECIAL_LBL)*10000000+(N('Dvd Calendar'!$O$527)&gt;0)*(N('Dvd Calendar'!$O$527)&lt;=VAL_SERIAL)*1000000+48*1000+11))</f>
        <v/>
      </c>
      <c r="EP59" s="121">
        <f>IF(N('Dvd Calendar'!$P$528)=0,"",IF(('Dvd Calendar'!$P$528&gt;=GRID_FROM)*('Dvd Calendar'!$P$528&lt;=GRID_TO)*((('Dvd Calendar'!$P$528&lt;=VAL_DATE)+(COUNTIF('Dvd Calendar'!$E$535:$AR$535,'Dvd Calendar'!$P$528)=0))&gt;0)=0,"",'Dvd Calendar'!$P$528*1000000000+ISNUMBER('Dvd Calendar'!$P$531)*100000000+('Dvd Calendar'!$P$533=SPECIAL_LBL)*10000000+(N('Dvd Calendar'!$P$527)&gt;0)*(N('Dvd Calendar'!$P$527)&lt;=VAL_SERIAL)*1000000+48*1000+12))</f>
        <v/>
      </c>
      <c r="EQ59" s="121">
        <f>IF(N('Dvd Calendar'!$Q$528)=0,"",IF(('Dvd Calendar'!$Q$528&gt;=GRID_FROM)*('Dvd Calendar'!$Q$528&lt;=GRID_TO)*((('Dvd Calendar'!$Q$528&lt;=VAL_DATE)+(COUNTIF('Dvd Calendar'!$E$535:$AR$535,'Dvd Calendar'!$Q$528)=0))&gt;0)=0,"",'Dvd Calendar'!$Q$528*1000000000+ISNUMBER('Dvd Calendar'!$Q$531)*100000000+('Dvd Calendar'!$Q$533=SPECIAL_LBL)*10000000+(N('Dvd Calendar'!$Q$527)&gt;0)*(N('Dvd Calendar'!$Q$527)&lt;=VAL_SERIAL)*1000000+48*1000+13))</f>
        <v/>
      </c>
      <c r="ER59" s="121">
        <f>IF(N('Dvd Calendar'!$R$528)=0,"",IF(('Dvd Calendar'!$R$528&gt;=GRID_FROM)*('Dvd Calendar'!$R$528&lt;=GRID_TO)*((('Dvd Calendar'!$R$528&lt;=VAL_DATE)+(COUNTIF('Dvd Calendar'!$E$535:$AR$535,'Dvd Calendar'!$R$528)=0))&gt;0)=0,"",'Dvd Calendar'!$R$528*1000000000+ISNUMBER('Dvd Calendar'!$R$531)*100000000+('Dvd Calendar'!$R$533=SPECIAL_LBL)*10000000+(N('Dvd Calendar'!$R$527)&gt;0)*(N('Dvd Calendar'!$R$527)&lt;=VAL_SERIAL)*1000000+48*1000+14))</f>
        <v/>
      </c>
      <c r="ES59" s="121">
        <f>IF(N('Dvd Calendar'!$S$528)=0,"",IF(('Dvd Calendar'!$S$528&gt;=GRID_FROM)*('Dvd Calendar'!$S$528&lt;=GRID_TO)*((('Dvd Calendar'!$S$528&lt;=VAL_DATE)+(COUNTIF('Dvd Calendar'!$E$535:$AR$535,'Dvd Calendar'!$S$528)=0))&gt;0)=0,"",'Dvd Calendar'!$S$528*1000000000+ISNUMBER('Dvd Calendar'!$S$531)*100000000+('Dvd Calendar'!$S$533=SPECIAL_LBL)*10000000+(N('Dvd Calendar'!$S$527)&gt;0)*(N('Dvd Calendar'!$S$527)&lt;=VAL_SERIAL)*1000000+48*1000+15))</f>
        <v/>
      </c>
      <c r="ET59" s="121">
        <f>IF(N('Dvd Calendar'!$T$528)=0,"",IF(('Dvd Calendar'!$T$528&gt;=GRID_FROM)*('Dvd Calendar'!$T$528&lt;=GRID_TO)*((('Dvd Calendar'!$T$528&lt;=VAL_DATE)+(COUNTIF('Dvd Calendar'!$E$535:$AR$535,'Dvd Calendar'!$T$528)=0))&gt;0)=0,"",'Dvd Calendar'!$T$528*1000000000+ISNUMBER('Dvd Calendar'!$T$531)*100000000+('Dvd Calendar'!$T$533=SPECIAL_LBL)*10000000+(N('Dvd Calendar'!$T$527)&gt;0)*(N('Dvd Calendar'!$T$527)&lt;=VAL_SERIAL)*1000000+48*1000+16))</f>
        <v/>
      </c>
      <c r="EU59" s="121">
        <f>IF(N('Dvd Calendar'!$U$528)=0,"",IF(('Dvd Calendar'!$U$528&gt;=GRID_FROM)*('Dvd Calendar'!$U$528&lt;=GRID_TO)*((('Dvd Calendar'!$U$528&lt;=VAL_DATE)+(COUNTIF('Dvd Calendar'!$E$535:$AR$535,'Dvd Calendar'!$U$528)=0))&gt;0)=0,"",'Dvd Calendar'!$U$528*1000000000+ISNUMBER('Dvd Calendar'!$U$531)*100000000+('Dvd Calendar'!$U$533=SPECIAL_LBL)*10000000+(N('Dvd Calendar'!$U$527)&gt;0)*(N('Dvd Calendar'!$U$527)&lt;=VAL_SERIAL)*1000000+48*1000+17))</f>
        <v/>
      </c>
      <c r="EV59" s="121">
        <f>IF(N('Dvd Calendar'!$V$528)=0,"",IF(('Dvd Calendar'!$V$528&gt;=GRID_FROM)*('Dvd Calendar'!$V$528&lt;=GRID_TO)*((('Dvd Calendar'!$V$528&lt;=VAL_DATE)+(COUNTIF('Dvd Calendar'!$E$535:$AR$535,'Dvd Calendar'!$V$528)=0))&gt;0)=0,"",'Dvd Calendar'!$V$528*1000000000+ISNUMBER('Dvd Calendar'!$V$531)*100000000+('Dvd Calendar'!$V$533=SPECIAL_LBL)*10000000+(N('Dvd Calendar'!$V$527)&gt;0)*(N('Dvd Calendar'!$V$527)&lt;=VAL_SERIAL)*1000000+48*1000+18))</f>
        <v/>
      </c>
      <c r="EW59" s="121">
        <f>IF(N('Dvd Calendar'!$W$528)=0,"",IF(('Dvd Calendar'!$W$528&gt;=GRID_FROM)*('Dvd Calendar'!$W$528&lt;=GRID_TO)*((('Dvd Calendar'!$W$528&lt;=VAL_DATE)+(COUNTIF('Dvd Calendar'!$E$535:$AR$535,'Dvd Calendar'!$W$528)=0))&gt;0)=0,"",'Dvd Calendar'!$W$528*1000000000+ISNUMBER('Dvd Calendar'!$W$531)*100000000+('Dvd Calendar'!$W$533=SPECIAL_LBL)*10000000+(N('Dvd Calendar'!$W$527)&gt;0)*(N('Dvd Calendar'!$W$527)&lt;=VAL_SERIAL)*1000000+48*1000+19))</f>
        <v/>
      </c>
      <c r="EX59" s="121">
        <f>IF(N('Dvd Calendar'!$X$528)=0,"",IF(('Dvd Calendar'!$X$528&gt;=GRID_FROM)*('Dvd Calendar'!$X$528&lt;=GRID_TO)*((('Dvd Calendar'!$X$528&lt;=VAL_DATE)+(COUNTIF('Dvd Calendar'!$E$535:$AR$535,'Dvd Calendar'!$X$528)=0))&gt;0)=0,"",'Dvd Calendar'!$X$528*1000000000+ISNUMBER('Dvd Calendar'!$X$531)*100000000+('Dvd Calendar'!$X$533=SPECIAL_LBL)*10000000+(N('Dvd Calendar'!$X$527)&gt;0)*(N('Dvd Calendar'!$X$527)&lt;=VAL_SERIAL)*1000000+48*1000+20))</f>
        <v/>
      </c>
      <c r="EY59" s="121">
        <f>IF(N('Dvd Calendar'!$Y$528)=0,"",IF(('Dvd Calendar'!$Y$528&gt;=GRID_FROM)*('Dvd Calendar'!$Y$528&lt;=GRID_TO)*((('Dvd Calendar'!$Y$528&lt;=VAL_DATE)+(COUNTIF('Dvd Calendar'!$E$535:$AR$535,'Dvd Calendar'!$Y$528)=0))&gt;0)=0,"",'Dvd Calendar'!$Y$528*1000000000+ISNUMBER('Dvd Calendar'!$Y$531)*100000000+('Dvd Calendar'!$Y$533=SPECIAL_LBL)*10000000+(N('Dvd Calendar'!$Y$527)&gt;0)*(N('Dvd Calendar'!$Y$527)&lt;=VAL_SERIAL)*1000000+48*1000+21))</f>
        <v/>
      </c>
      <c r="EZ59" s="121">
        <f>IF(N('Dvd Calendar'!$Z$528)=0,"",IF(('Dvd Calendar'!$Z$528&gt;=GRID_FROM)*('Dvd Calendar'!$Z$528&lt;=GRID_TO)*((('Dvd Calendar'!$Z$528&lt;=VAL_DATE)+(COUNTIF('Dvd Calendar'!$E$535:$AR$535,'Dvd Calendar'!$Z$528)=0))&gt;0)=0,"",'Dvd Calendar'!$Z$528*1000000000+ISNUMBER('Dvd Calendar'!$Z$531)*100000000+('Dvd Calendar'!$Z$533=SPECIAL_LBL)*10000000+(N('Dvd Calendar'!$Z$527)&gt;0)*(N('Dvd Calendar'!$Z$527)&lt;=VAL_SERIAL)*1000000+48*1000+22))</f>
        <v/>
      </c>
      <c r="FA59" s="121">
        <f>IF(N('Dvd Calendar'!$AA$528)=0,"",IF(('Dvd Calendar'!$AA$528&gt;=GRID_FROM)*('Dvd Calendar'!$AA$528&lt;=GRID_TO)*((('Dvd Calendar'!$AA$528&lt;=VAL_DATE)+(COUNTIF('Dvd Calendar'!$E$535:$AR$535,'Dvd Calendar'!$AA$528)=0))&gt;0)=0,"",'Dvd Calendar'!$AA$528*1000000000+ISNUMBER('Dvd Calendar'!$AA$531)*100000000+('Dvd Calendar'!$AA$533=SPECIAL_LBL)*10000000+(N('Dvd Calendar'!$AA$527)&gt;0)*(N('Dvd Calendar'!$AA$527)&lt;=VAL_SERIAL)*1000000+48*1000+23))</f>
        <v/>
      </c>
      <c r="FB59" s="121">
        <f>IF(N('Dvd Calendar'!$AB$528)=0,"",IF(('Dvd Calendar'!$AB$528&gt;=GRID_FROM)*('Dvd Calendar'!$AB$528&lt;=GRID_TO)*((('Dvd Calendar'!$AB$528&lt;=VAL_DATE)+(COUNTIF('Dvd Calendar'!$E$535:$AR$535,'Dvd Calendar'!$AB$528)=0))&gt;0)=0,"",'Dvd Calendar'!$AB$528*1000000000+ISNUMBER('Dvd Calendar'!$AB$531)*100000000+('Dvd Calendar'!$AB$533=SPECIAL_LBL)*10000000+(N('Dvd Calendar'!$AB$527)&gt;0)*(N('Dvd Calendar'!$AB$527)&lt;=VAL_SERIAL)*1000000+48*1000+24))</f>
        <v/>
      </c>
      <c r="FC59" s="121">
        <f>IF(N('Dvd Calendar'!$AC$528)=0,"",IF(('Dvd Calendar'!$AC$528&gt;=GRID_FROM)*('Dvd Calendar'!$AC$528&lt;=GRID_TO)*((('Dvd Calendar'!$AC$528&lt;=VAL_DATE)+(COUNTIF('Dvd Calendar'!$E$535:$AR$535,'Dvd Calendar'!$AC$528)=0))&gt;0)=0,"",'Dvd Calendar'!$AC$528*1000000000+ISNUMBER('Dvd Calendar'!$AC$531)*100000000+('Dvd Calendar'!$AC$533=SPECIAL_LBL)*10000000+(N('Dvd Calendar'!$AC$527)&gt;0)*(N('Dvd Calendar'!$AC$527)&lt;=VAL_SERIAL)*1000000+48*1000+25))</f>
        <v/>
      </c>
      <c r="FD59" s="121">
        <f>IF(N('Dvd Calendar'!$AD$528)=0,"",IF(('Dvd Calendar'!$AD$528&gt;=GRID_FROM)*('Dvd Calendar'!$AD$528&lt;=GRID_TO)*((('Dvd Calendar'!$AD$528&lt;=VAL_DATE)+(COUNTIF('Dvd Calendar'!$E$535:$AR$535,'Dvd Calendar'!$AD$528)=0))&gt;0)=0,"",'Dvd Calendar'!$AD$528*1000000000+ISNUMBER('Dvd Calendar'!$AD$531)*100000000+('Dvd Calendar'!$AD$533=SPECIAL_LBL)*10000000+(N('Dvd Calendar'!$AD$527)&gt;0)*(N('Dvd Calendar'!$AD$527)&lt;=VAL_SERIAL)*1000000+48*1000+26))</f>
        <v/>
      </c>
      <c r="FE59" s="121">
        <f>IF(N('Dvd Calendar'!$AE$528)=0,"",IF(('Dvd Calendar'!$AE$528&gt;=GRID_FROM)*('Dvd Calendar'!$AE$528&lt;=GRID_TO)*((('Dvd Calendar'!$AE$528&lt;=VAL_DATE)+(COUNTIF('Dvd Calendar'!$E$535:$AR$535,'Dvd Calendar'!$AE$528)=0))&gt;0)=0,"",'Dvd Calendar'!$AE$528*1000000000+ISNUMBER('Dvd Calendar'!$AE$531)*100000000+('Dvd Calendar'!$AE$533=SPECIAL_LBL)*10000000+(N('Dvd Calendar'!$AE$527)&gt;0)*(N('Dvd Calendar'!$AE$527)&lt;=VAL_SERIAL)*1000000+48*1000+27))</f>
        <v/>
      </c>
      <c r="FF59" s="121">
        <f>IF(N('Dvd Calendar'!$AF$528)=0,"",IF(('Dvd Calendar'!$AF$528&gt;=GRID_FROM)*('Dvd Calendar'!$AF$528&lt;=GRID_TO)*((('Dvd Calendar'!$AF$528&lt;=VAL_DATE)+(COUNTIF('Dvd Calendar'!$E$535:$AR$535,'Dvd Calendar'!$AF$528)=0))&gt;0)=0,"",'Dvd Calendar'!$AF$528*1000000000+ISNUMBER('Dvd Calendar'!$AF$531)*100000000+('Dvd Calendar'!$AF$533=SPECIAL_LBL)*10000000+(N('Dvd Calendar'!$AF$527)&gt;0)*(N('Dvd Calendar'!$AF$527)&lt;=VAL_SERIAL)*1000000+48*1000+28))</f>
        <v/>
      </c>
      <c r="FG59" s="121">
        <f>IF(N('Dvd Calendar'!$AG$528)=0,"",IF(('Dvd Calendar'!$AG$528&gt;=GRID_FROM)*('Dvd Calendar'!$AG$528&lt;=GRID_TO)*((('Dvd Calendar'!$AG$528&lt;=VAL_DATE)+(COUNTIF('Dvd Calendar'!$E$535:$AR$535,'Dvd Calendar'!$AG$528)=0))&gt;0)=0,"",'Dvd Calendar'!$AG$528*1000000000+ISNUMBER('Dvd Calendar'!$AG$531)*100000000+('Dvd Calendar'!$AG$533=SPECIAL_LBL)*10000000+(N('Dvd Calendar'!$AG$527)&gt;0)*(N('Dvd Calendar'!$AG$527)&lt;=VAL_SERIAL)*1000000+48*1000+29))</f>
        <v/>
      </c>
      <c r="FH59" s="121">
        <f>IF(N('Dvd Calendar'!$AH$528)=0,"",IF(('Dvd Calendar'!$AH$528&gt;=GRID_FROM)*('Dvd Calendar'!$AH$528&lt;=GRID_TO)*((('Dvd Calendar'!$AH$528&lt;=VAL_DATE)+(COUNTIF('Dvd Calendar'!$E$535:$AR$535,'Dvd Calendar'!$AH$528)=0))&gt;0)=0,"",'Dvd Calendar'!$AH$528*1000000000+ISNUMBER('Dvd Calendar'!$AH$531)*100000000+('Dvd Calendar'!$AH$533=SPECIAL_LBL)*10000000+(N('Dvd Calendar'!$AH$527)&gt;0)*(N('Dvd Calendar'!$AH$527)&lt;=VAL_SERIAL)*1000000+48*1000+30))</f>
        <v/>
      </c>
      <c r="FI59" s="121">
        <f>IF(N('Dvd Calendar'!$AI$528)=0,"",IF(('Dvd Calendar'!$AI$528&gt;=GRID_FROM)*('Dvd Calendar'!$AI$528&lt;=GRID_TO)*((('Dvd Calendar'!$AI$528&lt;=VAL_DATE)+(COUNTIF('Dvd Calendar'!$E$535:$AR$535,'Dvd Calendar'!$AI$528)=0))&gt;0)=0,"",'Dvd Calendar'!$AI$528*1000000000+ISNUMBER('Dvd Calendar'!$AI$531)*100000000+('Dvd Calendar'!$AI$533=SPECIAL_LBL)*10000000+(N('Dvd Calendar'!$AI$527)&gt;0)*(N('Dvd Calendar'!$AI$527)&lt;=VAL_SERIAL)*1000000+48*1000+31))</f>
        <v/>
      </c>
      <c r="FJ59" s="121">
        <f>IF(N('Dvd Calendar'!$AJ$528)=0,"",IF(('Dvd Calendar'!$AJ$528&gt;=GRID_FROM)*('Dvd Calendar'!$AJ$528&lt;=GRID_TO)*((('Dvd Calendar'!$AJ$528&lt;=VAL_DATE)+(COUNTIF('Dvd Calendar'!$E$535:$AR$535,'Dvd Calendar'!$AJ$528)=0))&gt;0)=0,"",'Dvd Calendar'!$AJ$528*1000000000+ISNUMBER('Dvd Calendar'!$AJ$531)*100000000+('Dvd Calendar'!$AJ$533=SPECIAL_LBL)*10000000+(N('Dvd Calendar'!$AJ$527)&gt;0)*(N('Dvd Calendar'!$AJ$527)&lt;=VAL_SERIAL)*1000000+48*1000+32))</f>
        <v/>
      </c>
      <c r="FK59" s="121">
        <f>IF(N('Dvd Calendar'!$AK$528)=0,"",IF(('Dvd Calendar'!$AK$528&gt;=GRID_FROM)*('Dvd Calendar'!$AK$528&lt;=GRID_TO)*((('Dvd Calendar'!$AK$528&lt;=VAL_DATE)+(COUNTIF('Dvd Calendar'!$E$535:$AR$535,'Dvd Calendar'!$AK$528)=0))&gt;0)=0,"",'Dvd Calendar'!$AK$528*1000000000+ISNUMBER('Dvd Calendar'!$AK$531)*100000000+('Dvd Calendar'!$AK$533=SPECIAL_LBL)*10000000+(N('Dvd Calendar'!$AK$527)&gt;0)*(N('Dvd Calendar'!$AK$527)&lt;=VAL_SERIAL)*1000000+48*1000+33))</f>
        <v/>
      </c>
      <c r="FL59" s="121">
        <f>IF(N('Dvd Calendar'!$AL$528)=0,"",IF(('Dvd Calendar'!$AL$528&gt;=GRID_FROM)*('Dvd Calendar'!$AL$528&lt;=GRID_TO)*((('Dvd Calendar'!$AL$528&lt;=VAL_DATE)+(COUNTIF('Dvd Calendar'!$E$535:$AR$535,'Dvd Calendar'!$AL$528)=0))&gt;0)=0,"",'Dvd Calendar'!$AL$528*1000000000+ISNUMBER('Dvd Calendar'!$AL$531)*100000000+('Dvd Calendar'!$AL$533=SPECIAL_LBL)*10000000+(N('Dvd Calendar'!$AL$527)&gt;0)*(N('Dvd Calendar'!$AL$527)&lt;=VAL_SERIAL)*1000000+48*1000+34))</f>
        <v/>
      </c>
      <c r="FM59" s="121">
        <f>IF(N('Dvd Calendar'!$AM$528)=0,"",IF(('Dvd Calendar'!$AM$528&gt;=GRID_FROM)*('Dvd Calendar'!$AM$528&lt;=GRID_TO)*((('Dvd Calendar'!$AM$528&lt;=VAL_DATE)+(COUNTIF('Dvd Calendar'!$E$535:$AR$535,'Dvd Calendar'!$AM$528)=0))&gt;0)=0,"",'Dvd Calendar'!$AM$528*1000000000+ISNUMBER('Dvd Calendar'!$AM$531)*100000000+('Dvd Calendar'!$AM$533=SPECIAL_LBL)*10000000+(N('Dvd Calendar'!$AM$527)&gt;0)*(N('Dvd Calendar'!$AM$527)&lt;=VAL_SERIAL)*1000000+48*1000+35))</f>
        <v/>
      </c>
      <c r="FN59" s="121">
        <f>IF(N('Dvd Calendar'!$AN$528)=0,"",IF(('Dvd Calendar'!$AN$528&gt;=GRID_FROM)*('Dvd Calendar'!$AN$528&lt;=GRID_TO)*((('Dvd Calendar'!$AN$528&lt;=VAL_DATE)+(COUNTIF('Dvd Calendar'!$E$535:$AR$535,'Dvd Calendar'!$AN$528)=0))&gt;0)=0,"",'Dvd Calendar'!$AN$528*1000000000+ISNUMBER('Dvd Calendar'!$AN$531)*100000000+('Dvd Calendar'!$AN$533=SPECIAL_LBL)*10000000+(N('Dvd Calendar'!$AN$527)&gt;0)*(N('Dvd Calendar'!$AN$527)&lt;=VAL_SERIAL)*1000000+48*1000+36))</f>
        <v/>
      </c>
      <c r="FO59" s="121">
        <f>IF(N('Dvd Calendar'!$AO$528)=0,"",IF(('Dvd Calendar'!$AO$528&gt;=GRID_FROM)*('Dvd Calendar'!$AO$528&lt;=GRID_TO)*((('Dvd Calendar'!$AO$528&lt;=VAL_DATE)+(COUNTIF('Dvd Calendar'!$E$535:$AR$535,'Dvd Calendar'!$AO$528)=0))&gt;0)=0,"",'Dvd Calendar'!$AO$528*1000000000+ISNUMBER('Dvd Calendar'!$AO$531)*100000000+('Dvd Calendar'!$AO$533=SPECIAL_LBL)*10000000+(N('Dvd Calendar'!$AO$527)&gt;0)*(N('Dvd Calendar'!$AO$527)&lt;=VAL_SERIAL)*1000000+48*1000+37))</f>
        <v/>
      </c>
      <c r="FP59" s="121">
        <f>IF(N('Dvd Calendar'!$AP$528)=0,"",IF(('Dvd Calendar'!$AP$528&gt;=GRID_FROM)*('Dvd Calendar'!$AP$528&lt;=GRID_TO)*((('Dvd Calendar'!$AP$528&lt;=VAL_DATE)+(COUNTIF('Dvd Calendar'!$E$535:$AR$535,'Dvd Calendar'!$AP$528)=0))&gt;0)=0,"",'Dvd Calendar'!$AP$528*1000000000+ISNUMBER('Dvd Calendar'!$AP$531)*100000000+('Dvd Calendar'!$AP$533=SPECIAL_LBL)*10000000+(N('Dvd Calendar'!$AP$527)&gt;0)*(N('Dvd Calendar'!$AP$527)&lt;=VAL_SERIAL)*1000000+48*1000+38))</f>
        <v/>
      </c>
      <c r="FQ59" s="121">
        <f>IF(N('Dvd Calendar'!$AQ$528)=0,"",IF(('Dvd Calendar'!$AQ$528&gt;=GRID_FROM)*('Dvd Calendar'!$AQ$528&lt;=GRID_TO)*((('Dvd Calendar'!$AQ$528&lt;=VAL_DATE)+(COUNTIF('Dvd Calendar'!$E$535:$AR$535,'Dvd Calendar'!$AQ$528)=0))&gt;0)=0,"",'Dvd Calendar'!$AQ$528*1000000000+ISNUMBER('Dvd Calendar'!$AQ$531)*100000000+('Dvd Calendar'!$AQ$533=SPECIAL_LBL)*10000000+(N('Dvd Calendar'!$AQ$527)&gt;0)*(N('Dvd Calendar'!$AQ$527)&lt;=VAL_SERIAL)*1000000+48*1000+39))</f>
        <v/>
      </c>
      <c r="FR59" s="121">
        <f>IF(N('Dvd Calendar'!$AR$528)=0,"",IF(('Dvd Calendar'!$AR$528&gt;=GRID_FROM)*('Dvd Calendar'!$AR$528&lt;=GRID_TO)*((('Dvd Calendar'!$AR$528&lt;=VAL_DATE)+(COUNTIF('Dvd Calendar'!$E$535:$AR$535,'Dvd Calendar'!$AR$528)=0))&gt;0)=0,"",'Dvd Calendar'!$AR$528*1000000000+ISNUMBER('Dvd Calendar'!$AR$531)*100000000+('Dvd Calendar'!$AR$533=SPECIAL_LBL)*10000000+(N('Dvd Calendar'!$AR$527)&gt;0)*(N('Dvd Calendar'!$AR$527)&lt;=VAL_SERIAL)*1000000+48*1000+40))</f>
        <v/>
      </c>
      <c r="FS59" s="121">
        <f>IF(N('Dvd Calendar'!$E$535)=0,"",IF(('Dvd Calendar'!$E$535&gt;=GRID_FROM)*('Dvd Calendar'!$E$535&lt;=GRID_TO)*('Dvd Calendar'!$E$535&gt;VAL_DATE)=0,"",'Dvd Calendar'!$E$535*1000000000+ISNUMBER('Dvd Calendar'!$E$536)*100000000+0*10000000+(N('Dvd Calendar'!$E$534)&gt;0)*(N('Dvd Calendar'!$E$534)&lt;=VAL_SERIAL)*1000000+48*1000+41))</f>
        <v/>
      </c>
      <c r="FT59" s="121">
        <f>IF(N('Dvd Calendar'!$F$535)=0,"",IF(('Dvd Calendar'!$F$535&gt;=GRID_FROM)*('Dvd Calendar'!$F$535&lt;=GRID_TO)*('Dvd Calendar'!$F$535&gt;VAL_DATE)=0,"",'Dvd Calendar'!$F$535*1000000000+ISNUMBER('Dvd Calendar'!$F$536)*100000000+0*10000000+(N('Dvd Calendar'!$F$534)&gt;0)*(N('Dvd Calendar'!$F$534)&lt;=VAL_SERIAL)*1000000+48*1000+42))</f>
        <v/>
      </c>
      <c r="FU59" s="121">
        <f>IF(N('Dvd Calendar'!$G$535)=0,"",IF(('Dvd Calendar'!$G$535&gt;=GRID_FROM)*('Dvd Calendar'!$G$535&lt;=GRID_TO)*('Dvd Calendar'!$G$535&gt;VAL_DATE)=0,"",'Dvd Calendar'!$G$535*1000000000+ISNUMBER('Dvd Calendar'!$G$536)*100000000+0*10000000+(N('Dvd Calendar'!$G$534)&gt;0)*(N('Dvd Calendar'!$G$534)&lt;=VAL_SERIAL)*1000000+48*1000+43))</f>
        <v/>
      </c>
      <c r="FV59" s="121">
        <f>IF(N('Dvd Calendar'!$H$535)=0,"",IF(('Dvd Calendar'!$H$535&gt;=GRID_FROM)*('Dvd Calendar'!$H$535&lt;=GRID_TO)*('Dvd Calendar'!$H$535&gt;VAL_DATE)=0,"",'Dvd Calendar'!$H$535*1000000000+ISNUMBER('Dvd Calendar'!$H$536)*100000000+0*10000000+(N('Dvd Calendar'!$H$534)&gt;0)*(N('Dvd Calendar'!$H$534)&lt;=VAL_SERIAL)*1000000+48*1000+44))</f>
        <v/>
      </c>
      <c r="FW59" s="121">
        <f>IF(N('Dvd Calendar'!$I$535)=0,"",IF(('Dvd Calendar'!$I$535&gt;=GRID_FROM)*('Dvd Calendar'!$I$535&lt;=GRID_TO)*('Dvd Calendar'!$I$535&gt;VAL_DATE)=0,"",'Dvd Calendar'!$I$535*1000000000+ISNUMBER('Dvd Calendar'!$I$536)*100000000+0*10000000+(N('Dvd Calendar'!$I$534)&gt;0)*(N('Dvd Calendar'!$I$534)&lt;=VAL_SERIAL)*1000000+48*1000+45))</f>
        <v/>
      </c>
      <c r="FX59" s="121">
        <f>IF(N('Dvd Calendar'!$J$535)=0,"",IF(('Dvd Calendar'!$J$535&gt;=GRID_FROM)*('Dvd Calendar'!$J$535&lt;=GRID_TO)*('Dvd Calendar'!$J$535&gt;VAL_DATE)=0,"",'Dvd Calendar'!$J$535*1000000000+ISNUMBER('Dvd Calendar'!$J$536)*100000000+0*10000000+(N('Dvd Calendar'!$J$534)&gt;0)*(N('Dvd Calendar'!$J$534)&lt;=VAL_SERIAL)*1000000+48*1000+46))</f>
        <v/>
      </c>
      <c r="FY59" s="121">
        <f>IF(N('Dvd Calendar'!$K$535)=0,"",IF(('Dvd Calendar'!$K$535&gt;=GRID_FROM)*('Dvd Calendar'!$K$535&lt;=GRID_TO)*('Dvd Calendar'!$K$535&gt;VAL_DATE)=0,"",'Dvd Calendar'!$K$535*1000000000+ISNUMBER('Dvd Calendar'!$K$536)*100000000+0*10000000+(N('Dvd Calendar'!$K$534)&gt;0)*(N('Dvd Calendar'!$K$534)&lt;=VAL_SERIAL)*1000000+48*1000+47))</f>
        <v/>
      </c>
      <c r="FZ59" s="121">
        <f>IF(N('Dvd Calendar'!$L$535)=0,"",IF(('Dvd Calendar'!$L$535&gt;=GRID_FROM)*('Dvd Calendar'!$L$535&lt;=GRID_TO)*('Dvd Calendar'!$L$535&gt;VAL_DATE)=0,"",'Dvd Calendar'!$L$535*1000000000+ISNUMBER('Dvd Calendar'!$L$536)*100000000+0*10000000+(N('Dvd Calendar'!$L$534)&gt;0)*(N('Dvd Calendar'!$L$534)&lt;=VAL_SERIAL)*1000000+48*1000+48))</f>
        <v/>
      </c>
      <c r="GA59" s="121">
        <f>IF(N('Dvd Calendar'!$M$535)=0,"",IF(('Dvd Calendar'!$M$535&gt;=GRID_FROM)*('Dvd Calendar'!$M$535&lt;=GRID_TO)*('Dvd Calendar'!$M$535&gt;VAL_DATE)=0,"",'Dvd Calendar'!$M$535*1000000000+ISNUMBER('Dvd Calendar'!$M$536)*100000000+0*10000000+(N('Dvd Calendar'!$M$534)&gt;0)*(N('Dvd Calendar'!$M$534)&lt;=VAL_SERIAL)*1000000+48*1000+49))</f>
        <v/>
      </c>
      <c r="GB59" s="121">
        <f>IF(N('Dvd Calendar'!$N$535)=0,"",IF(('Dvd Calendar'!$N$535&gt;=GRID_FROM)*('Dvd Calendar'!$N$535&lt;=GRID_TO)*('Dvd Calendar'!$N$535&gt;VAL_DATE)=0,"",'Dvd Calendar'!$N$535*1000000000+ISNUMBER('Dvd Calendar'!$N$536)*100000000+0*10000000+(N('Dvd Calendar'!$N$534)&gt;0)*(N('Dvd Calendar'!$N$534)&lt;=VAL_SERIAL)*1000000+48*1000+50))</f>
        <v/>
      </c>
      <c r="GC59" s="121">
        <f>IF(N('Dvd Calendar'!$O$535)=0,"",IF(('Dvd Calendar'!$O$535&gt;=GRID_FROM)*('Dvd Calendar'!$O$535&lt;=GRID_TO)*('Dvd Calendar'!$O$535&gt;VAL_DATE)=0,"",'Dvd Calendar'!$O$535*1000000000+ISNUMBER('Dvd Calendar'!$O$536)*100000000+0*10000000+(N('Dvd Calendar'!$O$534)&gt;0)*(N('Dvd Calendar'!$O$534)&lt;=VAL_SERIAL)*1000000+48*1000+51))</f>
        <v/>
      </c>
      <c r="GD59" s="121">
        <f>IF(N('Dvd Calendar'!$P$535)=0,"",IF(('Dvd Calendar'!$P$535&gt;=GRID_FROM)*('Dvd Calendar'!$P$535&lt;=GRID_TO)*('Dvd Calendar'!$P$535&gt;VAL_DATE)=0,"",'Dvd Calendar'!$P$535*1000000000+ISNUMBER('Dvd Calendar'!$P$536)*100000000+0*10000000+(N('Dvd Calendar'!$P$534)&gt;0)*(N('Dvd Calendar'!$P$534)&lt;=VAL_SERIAL)*1000000+48*1000+52))</f>
        <v/>
      </c>
      <c r="GE59" s="121">
        <f>IF(N('Dvd Calendar'!$Q$535)=0,"",IF(('Dvd Calendar'!$Q$535&gt;=GRID_FROM)*('Dvd Calendar'!$Q$535&lt;=GRID_TO)*('Dvd Calendar'!$Q$535&gt;VAL_DATE)=0,"",'Dvd Calendar'!$Q$535*1000000000+ISNUMBER('Dvd Calendar'!$Q$536)*100000000+0*10000000+(N('Dvd Calendar'!$Q$534)&gt;0)*(N('Dvd Calendar'!$Q$534)&lt;=VAL_SERIAL)*1000000+48*1000+53))</f>
        <v/>
      </c>
      <c r="GF59" s="121">
        <f>IF(N('Dvd Calendar'!$R$535)=0,"",IF(('Dvd Calendar'!$R$535&gt;=GRID_FROM)*('Dvd Calendar'!$R$535&lt;=GRID_TO)*('Dvd Calendar'!$R$535&gt;VAL_DATE)=0,"",'Dvd Calendar'!$R$535*1000000000+ISNUMBER('Dvd Calendar'!$R$536)*100000000+0*10000000+(N('Dvd Calendar'!$R$534)&gt;0)*(N('Dvd Calendar'!$R$534)&lt;=VAL_SERIAL)*1000000+48*1000+54))</f>
        <v/>
      </c>
      <c r="GG59" s="121">
        <f>IF(N('Dvd Calendar'!$S$535)=0,"",IF(('Dvd Calendar'!$S$535&gt;=GRID_FROM)*('Dvd Calendar'!$S$535&lt;=GRID_TO)*('Dvd Calendar'!$S$535&gt;VAL_DATE)=0,"",'Dvd Calendar'!$S$535*1000000000+ISNUMBER('Dvd Calendar'!$S$536)*100000000+0*10000000+(N('Dvd Calendar'!$S$534)&gt;0)*(N('Dvd Calendar'!$S$534)&lt;=VAL_SERIAL)*1000000+48*1000+55))</f>
        <v/>
      </c>
      <c r="GH59" s="121">
        <f>IF(N('Dvd Calendar'!$T$535)=0,"",IF(('Dvd Calendar'!$T$535&gt;=GRID_FROM)*('Dvd Calendar'!$T$535&lt;=GRID_TO)*('Dvd Calendar'!$T$535&gt;VAL_DATE)=0,"",'Dvd Calendar'!$T$535*1000000000+ISNUMBER('Dvd Calendar'!$T$536)*100000000+0*10000000+(N('Dvd Calendar'!$T$534)&gt;0)*(N('Dvd Calendar'!$T$534)&lt;=VAL_SERIAL)*1000000+48*1000+56))</f>
        <v/>
      </c>
      <c r="GI59" s="121">
        <f>IF(N('Dvd Calendar'!$U$535)=0,"",IF(('Dvd Calendar'!$U$535&gt;=GRID_FROM)*('Dvd Calendar'!$U$535&lt;=GRID_TO)*('Dvd Calendar'!$U$535&gt;VAL_DATE)=0,"",'Dvd Calendar'!$U$535*1000000000+ISNUMBER('Dvd Calendar'!$U$536)*100000000+0*10000000+(N('Dvd Calendar'!$U$534)&gt;0)*(N('Dvd Calendar'!$U$534)&lt;=VAL_SERIAL)*1000000+48*1000+57))</f>
        <v/>
      </c>
      <c r="GJ59" s="121">
        <f>IF(N('Dvd Calendar'!$V$535)=0,"",IF(('Dvd Calendar'!$V$535&gt;=GRID_FROM)*('Dvd Calendar'!$V$535&lt;=GRID_TO)*('Dvd Calendar'!$V$535&gt;VAL_DATE)=0,"",'Dvd Calendar'!$V$535*1000000000+ISNUMBER('Dvd Calendar'!$V$536)*100000000+0*10000000+(N('Dvd Calendar'!$V$534)&gt;0)*(N('Dvd Calendar'!$V$534)&lt;=VAL_SERIAL)*1000000+48*1000+58))</f>
        <v/>
      </c>
      <c r="GK59" s="121">
        <f>IF(N('Dvd Calendar'!$W$535)=0,"",IF(('Dvd Calendar'!$W$535&gt;=GRID_FROM)*('Dvd Calendar'!$W$535&lt;=GRID_TO)*('Dvd Calendar'!$W$535&gt;VAL_DATE)=0,"",'Dvd Calendar'!$W$535*1000000000+ISNUMBER('Dvd Calendar'!$W$536)*100000000+0*10000000+(N('Dvd Calendar'!$W$534)&gt;0)*(N('Dvd Calendar'!$W$534)&lt;=VAL_SERIAL)*1000000+48*1000+59))</f>
        <v/>
      </c>
      <c r="GL59" s="121">
        <f>IF(N('Dvd Calendar'!$X$535)=0,"",IF(('Dvd Calendar'!$X$535&gt;=GRID_FROM)*('Dvd Calendar'!$X$535&lt;=GRID_TO)*('Dvd Calendar'!$X$535&gt;VAL_DATE)=0,"",'Dvd Calendar'!$X$535*1000000000+ISNUMBER('Dvd Calendar'!$X$536)*100000000+0*10000000+(N('Dvd Calendar'!$X$534)&gt;0)*(N('Dvd Calendar'!$X$534)&lt;=VAL_SERIAL)*1000000+48*1000+60))</f>
        <v/>
      </c>
      <c r="GM59" s="121">
        <f>IF(N('Dvd Calendar'!$Y$535)=0,"",IF(('Dvd Calendar'!$Y$535&gt;=GRID_FROM)*('Dvd Calendar'!$Y$535&lt;=GRID_TO)*('Dvd Calendar'!$Y$535&gt;VAL_DATE)=0,"",'Dvd Calendar'!$Y$535*1000000000+ISNUMBER('Dvd Calendar'!$Y$536)*100000000+0*10000000+(N('Dvd Calendar'!$Y$534)&gt;0)*(N('Dvd Calendar'!$Y$534)&lt;=VAL_SERIAL)*1000000+48*1000+61))</f>
        <v/>
      </c>
      <c r="GN59" s="121">
        <f>IF(N('Dvd Calendar'!$Z$535)=0,"",IF(('Dvd Calendar'!$Z$535&gt;=GRID_FROM)*('Dvd Calendar'!$Z$535&lt;=GRID_TO)*('Dvd Calendar'!$Z$535&gt;VAL_DATE)=0,"",'Dvd Calendar'!$Z$535*1000000000+ISNUMBER('Dvd Calendar'!$Z$536)*100000000+0*10000000+(N('Dvd Calendar'!$Z$534)&gt;0)*(N('Dvd Calendar'!$Z$534)&lt;=VAL_SERIAL)*1000000+48*1000+62))</f>
        <v/>
      </c>
      <c r="GO59" s="121">
        <f>IF(N('Dvd Calendar'!$AA$535)=0,"",IF(('Dvd Calendar'!$AA$535&gt;=GRID_FROM)*('Dvd Calendar'!$AA$535&lt;=GRID_TO)*('Dvd Calendar'!$AA$535&gt;VAL_DATE)=0,"",'Dvd Calendar'!$AA$535*1000000000+ISNUMBER('Dvd Calendar'!$AA$536)*100000000+0*10000000+(N('Dvd Calendar'!$AA$534)&gt;0)*(N('Dvd Calendar'!$AA$534)&lt;=VAL_SERIAL)*1000000+48*1000+63))</f>
        <v/>
      </c>
      <c r="GP59" s="121">
        <f>IF(N('Dvd Calendar'!$AB$535)=0,"",IF(('Dvd Calendar'!$AB$535&gt;=GRID_FROM)*('Dvd Calendar'!$AB$535&lt;=GRID_TO)*('Dvd Calendar'!$AB$535&gt;VAL_DATE)=0,"",'Dvd Calendar'!$AB$535*1000000000+ISNUMBER('Dvd Calendar'!$AB$536)*100000000+0*10000000+(N('Dvd Calendar'!$AB$534)&gt;0)*(N('Dvd Calendar'!$AB$534)&lt;=VAL_SERIAL)*1000000+48*1000+64))</f>
        <v/>
      </c>
      <c r="GQ59" s="121">
        <f>IF(N('Dvd Calendar'!$AC$535)=0,"",IF(('Dvd Calendar'!$AC$535&gt;=GRID_FROM)*('Dvd Calendar'!$AC$535&lt;=GRID_TO)*('Dvd Calendar'!$AC$535&gt;VAL_DATE)=0,"",'Dvd Calendar'!$AC$535*1000000000+ISNUMBER('Dvd Calendar'!$AC$536)*100000000+0*10000000+(N('Dvd Calendar'!$AC$534)&gt;0)*(N('Dvd Calendar'!$AC$534)&lt;=VAL_SERIAL)*1000000+48*1000+65))</f>
        <v/>
      </c>
    </row>
    <row r="60">
      <c r="B60" s="2">
        <f>IF(HSI!$C$55="","",HSI!$C$55)</f>
        <v/>
      </c>
      <c r="C60" s="161">
        <f>IF(EE60="","",IF(ISNUMBER('Dvd Calendar'!$E$542)=FALSE,"",IF((('Dvd Calendar'!$E$544=TYPE1)*(TYPE1&lt;&gt;"")+('Dvd Calendar'!$E$544=TYPE2)*(TYPE2&lt;&gt;"")+('Dvd Calendar'!$E$544=TYPE3)*(TYPE3&lt;&gt;"")+('Dvd Calendar'!$E$544=TYPE4)*(TYPE4&lt;&gt;"")+('Dvd Calendar'!$E$544=SPECIAL_LBL)*(INC_SPECIALS="Y"))=0,"",'Dvd Calendar'!$E$542)))</f>
        <v/>
      </c>
      <c r="D60" s="161">
        <f>IF(EF60="","",IF(ISNUMBER('Dvd Calendar'!$F$542)=FALSE,"",IF((('Dvd Calendar'!$F$544=TYPE1)*(TYPE1&lt;&gt;"")+('Dvd Calendar'!$F$544=TYPE2)*(TYPE2&lt;&gt;"")+('Dvd Calendar'!$F$544=TYPE3)*(TYPE3&lt;&gt;"")+('Dvd Calendar'!$F$544=TYPE4)*(TYPE4&lt;&gt;"")+('Dvd Calendar'!$F$544=SPECIAL_LBL)*(INC_SPECIALS="Y"))=0,"",'Dvd Calendar'!$F$542)))</f>
        <v/>
      </c>
      <c r="E60" s="161">
        <f>IF(EG60="","",IF(ISNUMBER('Dvd Calendar'!$G$542)=FALSE,"",IF((('Dvd Calendar'!$G$544=TYPE1)*(TYPE1&lt;&gt;"")+('Dvd Calendar'!$G$544=TYPE2)*(TYPE2&lt;&gt;"")+('Dvd Calendar'!$G$544=TYPE3)*(TYPE3&lt;&gt;"")+('Dvd Calendar'!$G$544=TYPE4)*(TYPE4&lt;&gt;"")+('Dvd Calendar'!$G$544=SPECIAL_LBL)*(INC_SPECIALS="Y"))=0,"",'Dvd Calendar'!$G$542)))</f>
        <v/>
      </c>
      <c r="F60" s="161">
        <f>IF(EH60="","",IF(ISNUMBER('Dvd Calendar'!$H$542)=FALSE,"",IF((('Dvd Calendar'!$H$544=TYPE1)*(TYPE1&lt;&gt;"")+('Dvd Calendar'!$H$544=TYPE2)*(TYPE2&lt;&gt;"")+('Dvd Calendar'!$H$544=TYPE3)*(TYPE3&lt;&gt;"")+('Dvd Calendar'!$H$544=TYPE4)*(TYPE4&lt;&gt;"")+('Dvd Calendar'!$H$544=SPECIAL_LBL)*(INC_SPECIALS="Y"))=0,"",'Dvd Calendar'!$H$542)))</f>
        <v/>
      </c>
      <c r="G60" s="161">
        <f>IF(EI60="","",IF(ISNUMBER('Dvd Calendar'!$I$542)=FALSE,"",IF((('Dvd Calendar'!$I$544=TYPE1)*(TYPE1&lt;&gt;"")+('Dvd Calendar'!$I$544=TYPE2)*(TYPE2&lt;&gt;"")+('Dvd Calendar'!$I$544=TYPE3)*(TYPE3&lt;&gt;"")+('Dvd Calendar'!$I$544=TYPE4)*(TYPE4&lt;&gt;"")+('Dvd Calendar'!$I$544=SPECIAL_LBL)*(INC_SPECIALS="Y"))=0,"",'Dvd Calendar'!$I$542)))</f>
        <v/>
      </c>
      <c r="H60" s="161">
        <f>IF(EJ60="","",IF(ISNUMBER('Dvd Calendar'!$J$542)=FALSE,"",IF((('Dvd Calendar'!$J$544=TYPE1)*(TYPE1&lt;&gt;"")+('Dvd Calendar'!$J$544=TYPE2)*(TYPE2&lt;&gt;"")+('Dvd Calendar'!$J$544=TYPE3)*(TYPE3&lt;&gt;"")+('Dvd Calendar'!$J$544=TYPE4)*(TYPE4&lt;&gt;"")+('Dvd Calendar'!$J$544=SPECIAL_LBL)*(INC_SPECIALS="Y"))=0,"",'Dvd Calendar'!$J$542)))</f>
        <v/>
      </c>
      <c r="I60" s="161">
        <f>IF(EK60="","",IF(ISNUMBER('Dvd Calendar'!$K$542)=FALSE,"",IF((('Dvd Calendar'!$K$544=TYPE1)*(TYPE1&lt;&gt;"")+('Dvd Calendar'!$K$544=TYPE2)*(TYPE2&lt;&gt;"")+('Dvd Calendar'!$K$544=TYPE3)*(TYPE3&lt;&gt;"")+('Dvd Calendar'!$K$544=TYPE4)*(TYPE4&lt;&gt;"")+('Dvd Calendar'!$K$544=SPECIAL_LBL)*(INC_SPECIALS="Y"))=0,"",'Dvd Calendar'!$K$542)))</f>
        <v/>
      </c>
      <c r="J60" s="161">
        <f>IF(EL60="","",IF(ISNUMBER('Dvd Calendar'!$L$542)=FALSE,"",IF((('Dvd Calendar'!$L$544=TYPE1)*(TYPE1&lt;&gt;"")+('Dvd Calendar'!$L$544=TYPE2)*(TYPE2&lt;&gt;"")+('Dvd Calendar'!$L$544=TYPE3)*(TYPE3&lt;&gt;"")+('Dvd Calendar'!$L$544=TYPE4)*(TYPE4&lt;&gt;"")+('Dvd Calendar'!$L$544=SPECIAL_LBL)*(INC_SPECIALS="Y"))=0,"",'Dvd Calendar'!$L$542)))</f>
        <v/>
      </c>
      <c r="K60" s="161">
        <f>IF(EM60="","",IF(ISNUMBER('Dvd Calendar'!$M$542)=FALSE,"",IF((('Dvd Calendar'!$M$544=TYPE1)*(TYPE1&lt;&gt;"")+('Dvd Calendar'!$M$544=TYPE2)*(TYPE2&lt;&gt;"")+('Dvd Calendar'!$M$544=TYPE3)*(TYPE3&lt;&gt;"")+('Dvd Calendar'!$M$544=TYPE4)*(TYPE4&lt;&gt;"")+('Dvd Calendar'!$M$544=SPECIAL_LBL)*(INC_SPECIALS="Y"))=0,"",'Dvd Calendar'!$M$542)))</f>
        <v/>
      </c>
      <c r="L60" s="161">
        <f>IF(EN60="","",IF(ISNUMBER('Dvd Calendar'!$N$542)=FALSE,"",IF((('Dvd Calendar'!$N$544=TYPE1)*(TYPE1&lt;&gt;"")+('Dvd Calendar'!$N$544=TYPE2)*(TYPE2&lt;&gt;"")+('Dvd Calendar'!$N$544=TYPE3)*(TYPE3&lt;&gt;"")+('Dvd Calendar'!$N$544=TYPE4)*(TYPE4&lt;&gt;"")+('Dvd Calendar'!$N$544=SPECIAL_LBL)*(INC_SPECIALS="Y"))=0,"",'Dvd Calendar'!$N$542)))</f>
        <v/>
      </c>
      <c r="M60" s="161">
        <f>IF(EO60="","",IF(ISNUMBER('Dvd Calendar'!$O$542)=FALSE,"",IF((('Dvd Calendar'!$O$544=TYPE1)*(TYPE1&lt;&gt;"")+('Dvd Calendar'!$O$544=TYPE2)*(TYPE2&lt;&gt;"")+('Dvd Calendar'!$O$544=TYPE3)*(TYPE3&lt;&gt;"")+('Dvd Calendar'!$O$544=TYPE4)*(TYPE4&lt;&gt;"")+('Dvd Calendar'!$O$544=SPECIAL_LBL)*(INC_SPECIALS="Y"))=0,"",'Dvd Calendar'!$O$542)))</f>
        <v/>
      </c>
      <c r="N60" s="161">
        <f>IF(EP60="","",IF(ISNUMBER('Dvd Calendar'!$P$542)=FALSE,"",IF((('Dvd Calendar'!$P$544=TYPE1)*(TYPE1&lt;&gt;"")+('Dvd Calendar'!$P$544=TYPE2)*(TYPE2&lt;&gt;"")+('Dvd Calendar'!$P$544=TYPE3)*(TYPE3&lt;&gt;"")+('Dvd Calendar'!$P$544=TYPE4)*(TYPE4&lt;&gt;"")+('Dvd Calendar'!$P$544=SPECIAL_LBL)*(INC_SPECIALS="Y"))=0,"",'Dvd Calendar'!$P$542)))</f>
        <v/>
      </c>
      <c r="O60" s="161">
        <f>IF(EQ60="","",IF(ISNUMBER('Dvd Calendar'!$Q$542)=FALSE,"",IF((('Dvd Calendar'!$Q$544=TYPE1)*(TYPE1&lt;&gt;"")+('Dvd Calendar'!$Q$544=TYPE2)*(TYPE2&lt;&gt;"")+('Dvd Calendar'!$Q$544=TYPE3)*(TYPE3&lt;&gt;"")+('Dvd Calendar'!$Q$544=TYPE4)*(TYPE4&lt;&gt;"")+('Dvd Calendar'!$Q$544=SPECIAL_LBL)*(INC_SPECIALS="Y"))=0,"",'Dvd Calendar'!$Q$542)))</f>
        <v/>
      </c>
      <c r="P60" s="161">
        <f>IF(ER60="","",IF(ISNUMBER('Dvd Calendar'!$R$542)=FALSE,"",IF((('Dvd Calendar'!$R$544=TYPE1)*(TYPE1&lt;&gt;"")+('Dvd Calendar'!$R$544=TYPE2)*(TYPE2&lt;&gt;"")+('Dvd Calendar'!$R$544=TYPE3)*(TYPE3&lt;&gt;"")+('Dvd Calendar'!$R$544=TYPE4)*(TYPE4&lt;&gt;"")+('Dvd Calendar'!$R$544=SPECIAL_LBL)*(INC_SPECIALS="Y"))=0,"",'Dvd Calendar'!$R$542)))</f>
        <v/>
      </c>
      <c r="Q60" s="161">
        <f>IF(ES60="","",IF(ISNUMBER('Dvd Calendar'!$S$542)=FALSE,"",IF((('Dvd Calendar'!$S$544=TYPE1)*(TYPE1&lt;&gt;"")+('Dvd Calendar'!$S$544=TYPE2)*(TYPE2&lt;&gt;"")+('Dvd Calendar'!$S$544=TYPE3)*(TYPE3&lt;&gt;"")+('Dvd Calendar'!$S$544=TYPE4)*(TYPE4&lt;&gt;"")+('Dvd Calendar'!$S$544=SPECIAL_LBL)*(INC_SPECIALS="Y"))=0,"",'Dvd Calendar'!$S$542)))</f>
        <v/>
      </c>
      <c r="R60" s="161">
        <f>IF(ET60="","",IF(ISNUMBER('Dvd Calendar'!$T$542)=FALSE,"",IF((('Dvd Calendar'!$T$544=TYPE1)*(TYPE1&lt;&gt;"")+('Dvd Calendar'!$T$544=TYPE2)*(TYPE2&lt;&gt;"")+('Dvd Calendar'!$T$544=TYPE3)*(TYPE3&lt;&gt;"")+('Dvd Calendar'!$T$544=TYPE4)*(TYPE4&lt;&gt;"")+('Dvd Calendar'!$T$544=SPECIAL_LBL)*(INC_SPECIALS="Y"))=0,"",'Dvd Calendar'!$T$542)))</f>
        <v/>
      </c>
      <c r="S60" s="161">
        <f>IF(EU60="","",IF(ISNUMBER('Dvd Calendar'!$U$542)=FALSE,"",IF((('Dvd Calendar'!$U$544=TYPE1)*(TYPE1&lt;&gt;"")+('Dvd Calendar'!$U$544=TYPE2)*(TYPE2&lt;&gt;"")+('Dvd Calendar'!$U$544=TYPE3)*(TYPE3&lt;&gt;"")+('Dvd Calendar'!$U$544=TYPE4)*(TYPE4&lt;&gt;"")+('Dvd Calendar'!$U$544=SPECIAL_LBL)*(INC_SPECIALS="Y"))=0,"",'Dvd Calendar'!$U$542)))</f>
        <v/>
      </c>
      <c r="T60" s="161">
        <f>IF(EV60="","",IF(ISNUMBER('Dvd Calendar'!$V$542)=FALSE,"",IF((('Dvd Calendar'!$V$544=TYPE1)*(TYPE1&lt;&gt;"")+('Dvd Calendar'!$V$544=TYPE2)*(TYPE2&lt;&gt;"")+('Dvd Calendar'!$V$544=TYPE3)*(TYPE3&lt;&gt;"")+('Dvd Calendar'!$V$544=TYPE4)*(TYPE4&lt;&gt;"")+('Dvd Calendar'!$V$544=SPECIAL_LBL)*(INC_SPECIALS="Y"))=0,"",'Dvd Calendar'!$V$542)))</f>
        <v/>
      </c>
      <c r="U60" s="161">
        <f>IF(EW60="","",IF(ISNUMBER('Dvd Calendar'!$W$542)=FALSE,"",IF((('Dvd Calendar'!$W$544=TYPE1)*(TYPE1&lt;&gt;"")+('Dvd Calendar'!$W$544=TYPE2)*(TYPE2&lt;&gt;"")+('Dvd Calendar'!$W$544=TYPE3)*(TYPE3&lt;&gt;"")+('Dvd Calendar'!$W$544=TYPE4)*(TYPE4&lt;&gt;"")+('Dvd Calendar'!$W$544=SPECIAL_LBL)*(INC_SPECIALS="Y"))=0,"",'Dvd Calendar'!$W$542)))</f>
        <v/>
      </c>
      <c r="V60" s="161">
        <f>IF(EX60="","",IF(ISNUMBER('Dvd Calendar'!$X$542)=FALSE,"",IF((('Dvd Calendar'!$X$544=TYPE1)*(TYPE1&lt;&gt;"")+('Dvd Calendar'!$X$544=TYPE2)*(TYPE2&lt;&gt;"")+('Dvd Calendar'!$X$544=TYPE3)*(TYPE3&lt;&gt;"")+('Dvd Calendar'!$X$544=TYPE4)*(TYPE4&lt;&gt;"")+('Dvd Calendar'!$X$544=SPECIAL_LBL)*(INC_SPECIALS="Y"))=0,"",'Dvd Calendar'!$X$542)))</f>
        <v/>
      </c>
      <c r="W60" s="161">
        <f>IF(EY60="","",IF(ISNUMBER('Dvd Calendar'!$Y$542)=FALSE,"",IF((('Dvd Calendar'!$Y$544=TYPE1)*(TYPE1&lt;&gt;"")+('Dvd Calendar'!$Y$544=TYPE2)*(TYPE2&lt;&gt;"")+('Dvd Calendar'!$Y$544=TYPE3)*(TYPE3&lt;&gt;"")+('Dvd Calendar'!$Y$544=TYPE4)*(TYPE4&lt;&gt;"")+('Dvd Calendar'!$Y$544=SPECIAL_LBL)*(INC_SPECIALS="Y"))=0,"",'Dvd Calendar'!$Y$542)))</f>
        <v/>
      </c>
      <c r="X60" s="161">
        <f>IF(EZ60="","",IF(ISNUMBER('Dvd Calendar'!$Z$542)=FALSE,"",IF((('Dvd Calendar'!$Z$544=TYPE1)*(TYPE1&lt;&gt;"")+('Dvd Calendar'!$Z$544=TYPE2)*(TYPE2&lt;&gt;"")+('Dvd Calendar'!$Z$544=TYPE3)*(TYPE3&lt;&gt;"")+('Dvd Calendar'!$Z$544=TYPE4)*(TYPE4&lt;&gt;"")+('Dvd Calendar'!$Z$544=SPECIAL_LBL)*(INC_SPECIALS="Y"))=0,"",'Dvd Calendar'!$Z$542)))</f>
        <v/>
      </c>
      <c r="Y60" s="161">
        <f>IF(FA60="","",IF(ISNUMBER('Dvd Calendar'!$AA$542)=FALSE,"",IF((('Dvd Calendar'!$AA$544=TYPE1)*(TYPE1&lt;&gt;"")+('Dvd Calendar'!$AA$544=TYPE2)*(TYPE2&lt;&gt;"")+('Dvd Calendar'!$AA$544=TYPE3)*(TYPE3&lt;&gt;"")+('Dvd Calendar'!$AA$544=TYPE4)*(TYPE4&lt;&gt;"")+('Dvd Calendar'!$AA$544=SPECIAL_LBL)*(INC_SPECIALS="Y"))=0,"",'Dvd Calendar'!$AA$542)))</f>
        <v/>
      </c>
      <c r="Z60" s="161">
        <f>IF(FB60="","",IF(ISNUMBER('Dvd Calendar'!$AB$542)=FALSE,"",IF((('Dvd Calendar'!$AB$544=TYPE1)*(TYPE1&lt;&gt;"")+('Dvd Calendar'!$AB$544=TYPE2)*(TYPE2&lt;&gt;"")+('Dvd Calendar'!$AB$544=TYPE3)*(TYPE3&lt;&gt;"")+('Dvd Calendar'!$AB$544=TYPE4)*(TYPE4&lt;&gt;"")+('Dvd Calendar'!$AB$544=SPECIAL_LBL)*(INC_SPECIALS="Y"))=0,"",'Dvd Calendar'!$AB$542)))</f>
        <v/>
      </c>
      <c r="AA60" s="161">
        <f>IF(FC60="","",IF(ISNUMBER('Dvd Calendar'!$AC$542)=FALSE,"",IF((('Dvd Calendar'!$AC$544=TYPE1)*(TYPE1&lt;&gt;"")+('Dvd Calendar'!$AC$544=TYPE2)*(TYPE2&lt;&gt;"")+('Dvd Calendar'!$AC$544=TYPE3)*(TYPE3&lt;&gt;"")+('Dvd Calendar'!$AC$544=TYPE4)*(TYPE4&lt;&gt;"")+('Dvd Calendar'!$AC$544=SPECIAL_LBL)*(INC_SPECIALS="Y"))=0,"",'Dvd Calendar'!$AC$542)))</f>
        <v/>
      </c>
      <c r="AB60" s="161">
        <f>IF(FD60="","",IF(ISNUMBER('Dvd Calendar'!$AD$542)=FALSE,"",IF((('Dvd Calendar'!$AD$544=TYPE1)*(TYPE1&lt;&gt;"")+('Dvd Calendar'!$AD$544=TYPE2)*(TYPE2&lt;&gt;"")+('Dvd Calendar'!$AD$544=TYPE3)*(TYPE3&lt;&gt;"")+('Dvd Calendar'!$AD$544=TYPE4)*(TYPE4&lt;&gt;"")+('Dvd Calendar'!$AD$544=SPECIAL_LBL)*(INC_SPECIALS="Y"))=0,"",'Dvd Calendar'!$AD$542)))</f>
        <v/>
      </c>
      <c r="AC60" s="161">
        <f>IF(FE60="","",IF(ISNUMBER('Dvd Calendar'!$AE$542)=FALSE,"",IF((('Dvd Calendar'!$AE$544=TYPE1)*(TYPE1&lt;&gt;"")+('Dvd Calendar'!$AE$544=TYPE2)*(TYPE2&lt;&gt;"")+('Dvd Calendar'!$AE$544=TYPE3)*(TYPE3&lt;&gt;"")+('Dvd Calendar'!$AE$544=TYPE4)*(TYPE4&lt;&gt;"")+('Dvd Calendar'!$AE$544=SPECIAL_LBL)*(INC_SPECIALS="Y"))=0,"",'Dvd Calendar'!$AE$542)))</f>
        <v/>
      </c>
      <c r="AD60" s="161">
        <f>IF(FF60="","",IF(ISNUMBER('Dvd Calendar'!$AF$542)=FALSE,"",IF((('Dvd Calendar'!$AF$544=TYPE1)*(TYPE1&lt;&gt;"")+('Dvd Calendar'!$AF$544=TYPE2)*(TYPE2&lt;&gt;"")+('Dvd Calendar'!$AF$544=TYPE3)*(TYPE3&lt;&gt;"")+('Dvd Calendar'!$AF$544=TYPE4)*(TYPE4&lt;&gt;"")+('Dvd Calendar'!$AF$544=SPECIAL_LBL)*(INC_SPECIALS="Y"))=0,"",'Dvd Calendar'!$AF$542)))</f>
        <v/>
      </c>
      <c r="AE60" s="161">
        <f>IF(FG60="","",IF(ISNUMBER('Dvd Calendar'!$AG$542)=FALSE,"",IF((('Dvd Calendar'!$AG$544=TYPE1)*(TYPE1&lt;&gt;"")+('Dvd Calendar'!$AG$544=TYPE2)*(TYPE2&lt;&gt;"")+('Dvd Calendar'!$AG$544=TYPE3)*(TYPE3&lt;&gt;"")+('Dvd Calendar'!$AG$544=TYPE4)*(TYPE4&lt;&gt;"")+('Dvd Calendar'!$AG$544=SPECIAL_LBL)*(INC_SPECIALS="Y"))=0,"",'Dvd Calendar'!$AG$542)))</f>
        <v/>
      </c>
      <c r="AF60" s="161">
        <f>IF(FH60="","",IF(ISNUMBER('Dvd Calendar'!$AH$542)=FALSE,"",IF((('Dvd Calendar'!$AH$544=TYPE1)*(TYPE1&lt;&gt;"")+('Dvd Calendar'!$AH$544=TYPE2)*(TYPE2&lt;&gt;"")+('Dvd Calendar'!$AH$544=TYPE3)*(TYPE3&lt;&gt;"")+('Dvd Calendar'!$AH$544=TYPE4)*(TYPE4&lt;&gt;"")+('Dvd Calendar'!$AH$544=SPECIAL_LBL)*(INC_SPECIALS="Y"))=0,"",'Dvd Calendar'!$AH$542)))</f>
        <v/>
      </c>
      <c r="AG60" s="161">
        <f>IF(FI60="","",IF(ISNUMBER('Dvd Calendar'!$AI$542)=FALSE,"",IF((('Dvd Calendar'!$AI$544=TYPE1)*(TYPE1&lt;&gt;"")+('Dvd Calendar'!$AI$544=TYPE2)*(TYPE2&lt;&gt;"")+('Dvd Calendar'!$AI$544=TYPE3)*(TYPE3&lt;&gt;"")+('Dvd Calendar'!$AI$544=TYPE4)*(TYPE4&lt;&gt;"")+('Dvd Calendar'!$AI$544=SPECIAL_LBL)*(INC_SPECIALS="Y"))=0,"",'Dvd Calendar'!$AI$542)))</f>
        <v/>
      </c>
      <c r="AH60" s="161">
        <f>IF(FJ60="","",IF(ISNUMBER('Dvd Calendar'!$AJ$542)=FALSE,"",IF((('Dvd Calendar'!$AJ$544=TYPE1)*(TYPE1&lt;&gt;"")+('Dvd Calendar'!$AJ$544=TYPE2)*(TYPE2&lt;&gt;"")+('Dvd Calendar'!$AJ$544=TYPE3)*(TYPE3&lt;&gt;"")+('Dvd Calendar'!$AJ$544=TYPE4)*(TYPE4&lt;&gt;"")+('Dvd Calendar'!$AJ$544=SPECIAL_LBL)*(INC_SPECIALS="Y"))=0,"",'Dvd Calendar'!$AJ$542)))</f>
        <v/>
      </c>
      <c r="AI60" s="161">
        <f>IF(FK60="","",IF(ISNUMBER('Dvd Calendar'!$AK$542)=FALSE,"",IF((('Dvd Calendar'!$AK$544=TYPE1)*(TYPE1&lt;&gt;"")+('Dvd Calendar'!$AK$544=TYPE2)*(TYPE2&lt;&gt;"")+('Dvd Calendar'!$AK$544=TYPE3)*(TYPE3&lt;&gt;"")+('Dvd Calendar'!$AK$544=TYPE4)*(TYPE4&lt;&gt;"")+('Dvd Calendar'!$AK$544=SPECIAL_LBL)*(INC_SPECIALS="Y"))=0,"",'Dvd Calendar'!$AK$542)))</f>
        <v/>
      </c>
      <c r="AJ60" s="161">
        <f>IF(FL60="","",IF(ISNUMBER('Dvd Calendar'!$AL$542)=FALSE,"",IF((('Dvd Calendar'!$AL$544=TYPE1)*(TYPE1&lt;&gt;"")+('Dvd Calendar'!$AL$544=TYPE2)*(TYPE2&lt;&gt;"")+('Dvd Calendar'!$AL$544=TYPE3)*(TYPE3&lt;&gt;"")+('Dvd Calendar'!$AL$544=TYPE4)*(TYPE4&lt;&gt;"")+('Dvd Calendar'!$AL$544=SPECIAL_LBL)*(INC_SPECIALS="Y"))=0,"",'Dvd Calendar'!$AL$542)))</f>
        <v/>
      </c>
      <c r="AK60" s="161">
        <f>IF(FM60="","",IF(ISNUMBER('Dvd Calendar'!$AM$542)=FALSE,"",IF((('Dvd Calendar'!$AM$544=TYPE1)*(TYPE1&lt;&gt;"")+('Dvd Calendar'!$AM$544=TYPE2)*(TYPE2&lt;&gt;"")+('Dvd Calendar'!$AM$544=TYPE3)*(TYPE3&lt;&gt;"")+('Dvd Calendar'!$AM$544=TYPE4)*(TYPE4&lt;&gt;"")+('Dvd Calendar'!$AM$544=SPECIAL_LBL)*(INC_SPECIALS="Y"))=0,"",'Dvd Calendar'!$AM$542)))</f>
        <v/>
      </c>
      <c r="AL60" s="161">
        <f>IF(FN60="","",IF(ISNUMBER('Dvd Calendar'!$AN$542)=FALSE,"",IF((('Dvd Calendar'!$AN$544=TYPE1)*(TYPE1&lt;&gt;"")+('Dvd Calendar'!$AN$544=TYPE2)*(TYPE2&lt;&gt;"")+('Dvd Calendar'!$AN$544=TYPE3)*(TYPE3&lt;&gt;"")+('Dvd Calendar'!$AN$544=TYPE4)*(TYPE4&lt;&gt;"")+('Dvd Calendar'!$AN$544=SPECIAL_LBL)*(INC_SPECIALS="Y"))=0,"",'Dvd Calendar'!$AN$542)))</f>
        <v/>
      </c>
      <c r="AM60" s="161">
        <f>IF(FO60="","",IF(ISNUMBER('Dvd Calendar'!$AO$542)=FALSE,"",IF((('Dvd Calendar'!$AO$544=TYPE1)*(TYPE1&lt;&gt;"")+('Dvd Calendar'!$AO$544=TYPE2)*(TYPE2&lt;&gt;"")+('Dvd Calendar'!$AO$544=TYPE3)*(TYPE3&lt;&gt;"")+('Dvd Calendar'!$AO$544=TYPE4)*(TYPE4&lt;&gt;"")+('Dvd Calendar'!$AO$544=SPECIAL_LBL)*(INC_SPECIALS="Y"))=0,"",'Dvd Calendar'!$AO$542)))</f>
        <v/>
      </c>
      <c r="AN60" s="161">
        <f>IF(FP60="","",IF(ISNUMBER('Dvd Calendar'!$AP$542)=FALSE,"",IF((('Dvd Calendar'!$AP$544=TYPE1)*(TYPE1&lt;&gt;"")+('Dvd Calendar'!$AP$544=TYPE2)*(TYPE2&lt;&gt;"")+('Dvd Calendar'!$AP$544=TYPE3)*(TYPE3&lt;&gt;"")+('Dvd Calendar'!$AP$544=TYPE4)*(TYPE4&lt;&gt;"")+('Dvd Calendar'!$AP$544=SPECIAL_LBL)*(INC_SPECIALS="Y"))=0,"",'Dvd Calendar'!$AP$542)))</f>
        <v/>
      </c>
      <c r="AO60" s="161">
        <f>IF(FQ60="","",IF(ISNUMBER('Dvd Calendar'!$AQ$542)=FALSE,"",IF((('Dvd Calendar'!$AQ$544=TYPE1)*(TYPE1&lt;&gt;"")+('Dvd Calendar'!$AQ$544=TYPE2)*(TYPE2&lt;&gt;"")+('Dvd Calendar'!$AQ$544=TYPE3)*(TYPE3&lt;&gt;"")+('Dvd Calendar'!$AQ$544=TYPE4)*(TYPE4&lt;&gt;"")+('Dvd Calendar'!$AQ$544=SPECIAL_LBL)*(INC_SPECIALS="Y"))=0,"",'Dvd Calendar'!$AQ$542)))</f>
        <v/>
      </c>
      <c r="AP60" s="161">
        <f>IF(FR60="","",IF(ISNUMBER('Dvd Calendar'!$AR$542)=FALSE,"",IF((('Dvd Calendar'!$AR$544=TYPE1)*(TYPE1&lt;&gt;"")+('Dvd Calendar'!$AR$544=TYPE2)*(TYPE2&lt;&gt;"")+('Dvd Calendar'!$AR$544=TYPE3)*(TYPE3&lt;&gt;"")+('Dvd Calendar'!$AR$544=TYPE4)*(TYPE4&lt;&gt;"")+('Dvd Calendar'!$AR$544=SPECIAL_LBL)*(INC_SPECIALS="Y"))=0,"",'Dvd Calendar'!$AR$542)))</f>
        <v/>
      </c>
      <c r="AQ60" s="161">
        <f>IF(FS60="","",IF(ISNUMBER('Dvd Calendar'!$E$547)=FALSE,"",'Dvd Calendar'!$E$547))</f>
        <v/>
      </c>
      <c r="AR60" s="161">
        <f>IF(FT60="","",IF(ISNUMBER('Dvd Calendar'!$F$547)=FALSE,"",'Dvd Calendar'!$F$547))</f>
        <v/>
      </c>
      <c r="AS60" s="161">
        <f>IF(FU60="","",IF(ISNUMBER('Dvd Calendar'!$G$547)=FALSE,"",'Dvd Calendar'!$G$547))</f>
        <v/>
      </c>
      <c r="AT60" s="161">
        <f>IF(FV60="","",IF(ISNUMBER('Dvd Calendar'!$H$547)=FALSE,"",'Dvd Calendar'!$H$547))</f>
        <v/>
      </c>
      <c r="AU60" s="161">
        <f>IF(FW60="","",IF(ISNUMBER('Dvd Calendar'!$I$547)=FALSE,"",'Dvd Calendar'!$I$547))</f>
        <v/>
      </c>
      <c r="AV60" s="161">
        <f>IF(FX60="","",IF(ISNUMBER('Dvd Calendar'!$J$547)=FALSE,"",'Dvd Calendar'!$J$547))</f>
        <v/>
      </c>
      <c r="AW60" s="161">
        <f>IF(FY60="","",IF(ISNUMBER('Dvd Calendar'!$K$547)=FALSE,"",'Dvd Calendar'!$K$547))</f>
        <v/>
      </c>
      <c r="AX60" s="161">
        <f>IF(FZ60="","",IF(ISNUMBER('Dvd Calendar'!$L$547)=FALSE,"",'Dvd Calendar'!$L$547))</f>
        <v/>
      </c>
      <c r="AY60" s="161">
        <f>IF(GA60="","",IF(ISNUMBER('Dvd Calendar'!$M$547)=FALSE,"",'Dvd Calendar'!$M$547))</f>
        <v/>
      </c>
      <c r="AZ60" s="161">
        <f>IF(GB60="","",IF(ISNUMBER('Dvd Calendar'!$N$547)=FALSE,"",'Dvd Calendar'!$N$547))</f>
        <v/>
      </c>
      <c r="BA60" s="161">
        <f>IF(GC60="","",IF(ISNUMBER('Dvd Calendar'!$O$547)=FALSE,"",'Dvd Calendar'!$O$547))</f>
        <v/>
      </c>
      <c r="BB60" s="161">
        <f>IF(GD60="","",IF(ISNUMBER('Dvd Calendar'!$P$547)=FALSE,"",'Dvd Calendar'!$P$547))</f>
        <v/>
      </c>
      <c r="BC60" s="161">
        <f>IF(GE60="","",IF(ISNUMBER('Dvd Calendar'!$Q$547)=FALSE,"",'Dvd Calendar'!$Q$547))</f>
        <v/>
      </c>
      <c r="BD60" s="161">
        <f>IF(GF60="","",IF(ISNUMBER('Dvd Calendar'!$R$547)=FALSE,"",'Dvd Calendar'!$R$547))</f>
        <v/>
      </c>
      <c r="BE60" s="161">
        <f>IF(GG60="","",IF(ISNUMBER('Dvd Calendar'!$S$547)=FALSE,"",'Dvd Calendar'!$S$547))</f>
        <v/>
      </c>
      <c r="BF60" s="161">
        <f>IF(GH60="","",IF(ISNUMBER('Dvd Calendar'!$T$547)=FALSE,"",'Dvd Calendar'!$T$547))</f>
        <v/>
      </c>
      <c r="BG60" s="161">
        <f>IF(GI60="","",IF(ISNUMBER('Dvd Calendar'!$U$547)=FALSE,"",'Dvd Calendar'!$U$547))</f>
        <v/>
      </c>
      <c r="BH60" s="161">
        <f>IF(GJ60="","",IF(ISNUMBER('Dvd Calendar'!$V$547)=FALSE,"",'Dvd Calendar'!$V$547))</f>
        <v/>
      </c>
      <c r="BI60" s="161">
        <f>IF(GK60="","",IF(ISNUMBER('Dvd Calendar'!$W$547)=FALSE,"",'Dvd Calendar'!$W$547))</f>
        <v/>
      </c>
      <c r="BJ60" s="161">
        <f>IF(GL60="","",IF(ISNUMBER('Dvd Calendar'!$X$547)=FALSE,"",'Dvd Calendar'!$X$547))</f>
        <v/>
      </c>
      <c r="BK60" s="161">
        <f>IF(GM60="","",IF(ISNUMBER('Dvd Calendar'!$Y$547)=FALSE,"",'Dvd Calendar'!$Y$547))</f>
        <v/>
      </c>
      <c r="BL60" s="161">
        <f>IF(GN60="","",IF(ISNUMBER('Dvd Calendar'!$Z$547)=FALSE,"",'Dvd Calendar'!$Z$547))</f>
        <v/>
      </c>
      <c r="BM60" s="161">
        <f>IF(GO60="","",IF(ISNUMBER('Dvd Calendar'!$AA$547)=FALSE,"",'Dvd Calendar'!$AA$547))</f>
        <v/>
      </c>
      <c r="BN60" s="161">
        <f>IF(GP60="","",IF(ISNUMBER('Dvd Calendar'!$AB$547)=FALSE,"",'Dvd Calendar'!$AB$547))</f>
        <v/>
      </c>
      <c r="BO60" s="161">
        <f>IF(GQ60="","",IF(ISNUMBER('Dvd Calendar'!$AC$547)=FALSE,"",'Dvd Calendar'!$AC$547))</f>
        <v/>
      </c>
      <c r="BQ60" s="161">
        <f>IF(C60="","",IFERROR(C60*HSI!$B$55*HSI!$G$55/HSI!$B$3,""))</f>
        <v/>
      </c>
      <c r="BR60" s="161">
        <f>IF(D60="","",IFERROR(D60*HSI!$B$55*HSI!$G$55/HSI!$B$3,""))</f>
        <v/>
      </c>
      <c r="BS60" s="161">
        <f>IF(E60="","",IFERROR(E60*HSI!$B$55*HSI!$G$55/HSI!$B$3,""))</f>
        <v/>
      </c>
      <c r="BT60" s="161">
        <f>IF(F60="","",IFERROR(F60*HSI!$B$55*HSI!$G$55/HSI!$B$3,""))</f>
        <v/>
      </c>
      <c r="BU60" s="161">
        <f>IF(G60="","",IFERROR(G60*HSI!$B$55*HSI!$G$55/HSI!$B$3,""))</f>
        <v/>
      </c>
      <c r="BV60" s="161">
        <f>IF(H60="","",IFERROR(H60*HSI!$B$55*HSI!$G$55/HSI!$B$3,""))</f>
        <v/>
      </c>
      <c r="BW60" s="161">
        <f>IF(I60="","",IFERROR(I60*HSI!$B$55*HSI!$G$55/HSI!$B$3,""))</f>
        <v/>
      </c>
      <c r="BX60" s="161">
        <f>IF(J60="","",IFERROR(J60*HSI!$B$55*HSI!$G$55/HSI!$B$3,""))</f>
        <v/>
      </c>
      <c r="BY60" s="161">
        <f>IF(K60="","",IFERROR(K60*HSI!$B$55*HSI!$G$55/HSI!$B$3,""))</f>
        <v/>
      </c>
      <c r="BZ60" s="161">
        <f>IF(L60="","",IFERROR(L60*HSI!$B$55*HSI!$G$55/HSI!$B$3,""))</f>
        <v/>
      </c>
      <c r="CA60" s="161">
        <f>IF(M60="","",IFERROR(M60*HSI!$B$55*HSI!$G$55/HSI!$B$3,""))</f>
        <v/>
      </c>
      <c r="CB60" s="161">
        <f>IF(N60="","",IFERROR(N60*HSI!$B$55*HSI!$G$55/HSI!$B$3,""))</f>
        <v/>
      </c>
      <c r="CC60" s="161">
        <f>IF(O60="","",IFERROR(O60*HSI!$B$55*HSI!$G$55/HSI!$B$3,""))</f>
        <v/>
      </c>
      <c r="CD60" s="161">
        <f>IF(P60="","",IFERROR(P60*HSI!$B$55*HSI!$G$55/HSI!$B$3,""))</f>
        <v/>
      </c>
      <c r="CE60" s="161">
        <f>IF(Q60="","",IFERROR(Q60*HSI!$B$55*HSI!$G$55/HSI!$B$3,""))</f>
        <v/>
      </c>
      <c r="CF60" s="161">
        <f>IF(R60="","",IFERROR(R60*HSI!$B$55*HSI!$G$55/HSI!$B$3,""))</f>
        <v/>
      </c>
      <c r="CG60" s="161">
        <f>IF(S60="","",IFERROR(S60*HSI!$B$55*HSI!$G$55/HSI!$B$3,""))</f>
        <v/>
      </c>
      <c r="CH60" s="161">
        <f>IF(T60="","",IFERROR(T60*HSI!$B$55*HSI!$G$55/HSI!$B$3,""))</f>
        <v/>
      </c>
      <c r="CI60" s="161">
        <f>IF(U60="","",IFERROR(U60*HSI!$B$55*HSI!$G$55/HSI!$B$3,""))</f>
        <v/>
      </c>
      <c r="CJ60" s="161">
        <f>IF(V60="","",IFERROR(V60*HSI!$B$55*HSI!$G$55/HSI!$B$3,""))</f>
        <v/>
      </c>
      <c r="CK60" s="161">
        <f>IF(W60="","",IFERROR(W60*HSI!$B$55*HSI!$G$55/HSI!$B$3,""))</f>
        <v/>
      </c>
      <c r="CL60" s="161">
        <f>IF(X60="","",IFERROR(X60*HSI!$B$55*HSI!$G$55/HSI!$B$3,""))</f>
        <v/>
      </c>
      <c r="CM60" s="161">
        <f>IF(Y60="","",IFERROR(Y60*HSI!$B$55*HSI!$G$55/HSI!$B$3,""))</f>
        <v/>
      </c>
      <c r="CN60" s="161">
        <f>IF(Z60="","",IFERROR(Z60*HSI!$B$55*HSI!$G$55/HSI!$B$3,""))</f>
        <v/>
      </c>
      <c r="CO60" s="161">
        <f>IF(AA60="","",IFERROR(AA60*HSI!$B$55*HSI!$G$55/HSI!$B$3,""))</f>
        <v/>
      </c>
      <c r="CP60" s="161">
        <f>IF(AB60="","",IFERROR(AB60*HSI!$B$55*HSI!$G$55/HSI!$B$3,""))</f>
        <v/>
      </c>
      <c r="CQ60" s="161">
        <f>IF(AC60="","",IFERROR(AC60*HSI!$B$55*HSI!$G$55/HSI!$B$3,""))</f>
        <v/>
      </c>
      <c r="CR60" s="161">
        <f>IF(AD60="","",IFERROR(AD60*HSI!$B$55*HSI!$G$55/HSI!$B$3,""))</f>
        <v/>
      </c>
      <c r="CS60" s="161">
        <f>IF(AE60="","",IFERROR(AE60*HSI!$B$55*HSI!$G$55/HSI!$B$3,""))</f>
        <v/>
      </c>
      <c r="CT60" s="161">
        <f>IF(AF60="","",IFERROR(AF60*HSI!$B$55*HSI!$G$55/HSI!$B$3,""))</f>
        <v/>
      </c>
      <c r="CU60" s="161">
        <f>IF(AG60="","",IFERROR(AG60*HSI!$B$55*HSI!$G$55/HSI!$B$3,""))</f>
        <v/>
      </c>
      <c r="CV60" s="161">
        <f>IF(AH60="","",IFERROR(AH60*HSI!$B$55*HSI!$G$55/HSI!$B$3,""))</f>
        <v/>
      </c>
      <c r="CW60" s="161">
        <f>IF(AI60="","",IFERROR(AI60*HSI!$B$55*HSI!$G$55/HSI!$B$3,""))</f>
        <v/>
      </c>
      <c r="CX60" s="161">
        <f>IF(AJ60="","",IFERROR(AJ60*HSI!$B$55*HSI!$G$55/HSI!$B$3,""))</f>
        <v/>
      </c>
      <c r="CY60" s="161">
        <f>IF(AK60="","",IFERROR(AK60*HSI!$B$55*HSI!$G$55/HSI!$B$3,""))</f>
        <v/>
      </c>
      <c r="CZ60" s="161">
        <f>IF(AL60="","",IFERROR(AL60*HSI!$B$55*HSI!$G$55/HSI!$B$3,""))</f>
        <v/>
      </c>
      <c r="DA60" s="161">
        <f>IF(AM60="","",IFERROR(AM60*HSI!$B$55*HSI!$G$55/HSI!$B$3,""))</f>
        <v/>
      </c>
      <c r="DB60" s="161">
        <f>IF(AN60="","",IFERROR(AN60*HSI!$B$55*HSI!$G$55/HSI!$B$3,""))</f>
        <v/>
      </c>
      <c r="DC60" s="161">
        <f>IF(AO60="","",IFERROR(AO60*HSI!$B$55*HSI!$G$55/HSI!$B$3,""))</f>
        <v/>
      </c>
      <c r="DD60" s="161">
        <f>IF(AP60="","",IFERROR(AP60*HSI!$B$55*HSI!$G$55/HSI!$B$3,""))</f>
        <v/>
      </c>
      <c r="DE60" s="161">
        <f>IF(AQ60="","",IFERROR(AQ60*HSI!$B$55*HSI!$G$55/HSI!$B$3,""))</f>
        <v/>
      </c>
      <c r="DF60" s="161">
        <f>IF(AR60="","",IFERROR(AR60*HSI!$B$55*HSI!$G$55/HSI!$B$3,""))</f>
        <v/>
      </c>
      <c r="DG60" s="161">
        <f>IF(AS60="","",IFERROR(AS60*HSI!$B$55*HSI!$G$55/HSI!$B$3,""))</f>
        <v/>
      </c>
      <c r="DH60" s="161">
        <f>IF(AT60="","",IFERROR(AT60*HSI!$B$55*HSI!$G$55/HSI!$B$3,""))</f>
        <v/>
      </c>
      <c r="DI60" s="161">
        <f>IF(AU60="","",IFERROR(AU60*HSI!$B$55*HSI!$G$55/HSI!$B$3,""))</f>
        <v/>
      </c>
      <c r="DJ60" s="161">
        <f>IF(AV60="","",IFERROR(AV60*HSI!$B$55*HSI!$G$55/HSI!$B$3,""))</f>
        <v/>
      </c>
      <c r="DK60" s="161">
        <f>IF(AW60="","",IFERROR(AW60*HSI!$B$55*HSI!$G$55/HSI!$B$3,""))</f>
        <v/>
      </c>
      <c r="DL60" s="161">
        <f>IF(AX60="","",IFERROR(AX60*HSI!$B$55*HSI!$G$55/HSI!$B$3,""))</f>
        <v/>
      </c>
      <c r="DM60" s="161">
        <f>IF(AY60="","",IFERROR(AY60*HSI!$B$55*HSI!$G$55/HSI!$B$3,""))</f>
        <v/>
      </c>
      <c r="DN60" s="161">
        <f>IF(AZ60="","",IFERROR(AZ60*HSI!$B$55*HSI!$G$55/HSI!$B$3,""))</f>
        <v/>
      </c>
      <c r="DO60" s="161">
        <f>IF(BA60="","",IFERROR(BA60*HSI!$B$55*HSI!$G$55/HSI!$B$3,""))</f>
        <v/>
      </c>
      <c r="DP60" s="161">
        <f>IF(BB60="","",IFERROR(BB60*HSI!$B$55*HSI!$G$55/HSI!$B$3,""))</f>
        <v/>
      </c>
      <c r="DQ60" s="161">
        <f>IF(BC60="","",IFERROR(BC60*HSI!$B$55*HSI!$G$55/HSI!$B$3,""))</f>
        <v/>
      </c>
      <c r="DR60" s="161">
        <f>IF(BD60="","",IFERROR(BD60*HSI!$B$55*HSI!$G$55/HSI!$B$3,""))</f>
        <v/>
      </c>
      <c r="DS60" s="161">
        <f>IF(BE60="","",IFERROR(BE60*HSI!$B$55*HSI!$G$55/HSI!$B$3,""))</f>
        <v/>
      </c>
      <c r="DT60" s="161">
        <f>IF(BF60="","",IFERROR(BF60*HSI!$B$55*HSI!$G$55/HSI!$B$3,""))</f>
        <v/>
      </c>
      <c r="DU60" s="161">
        <f>IF(BG60="","",IFERROR(BG60*HSI!$B$55*HSI!$G$55/HSI!$B$3,""))</f>
        <v/>
      </c>
      <c r="DV60" s="161">
        <f>IF(BH60="","",IFERROR(BH60*HSI!$B$55*HSI!$G$55/HSI!$B$3,""))</f>
        <v/>
      </c>
      <c r="DW60" s="161">
        <f>IF(BI60="","",IFERROR(BI60*HSI!$B$55*HSI!$G$55/HSI!$B$3,""))</f>
        <v/>
      </c>
      <c r="DX60" s="161">
        <f>IF(BJ60="","",IFERROR(BJ60*HSI!$B$55*HSI!$G$55/HSI!$B$3,""))</f>
        <v/>
      </c>
      <c r="DY60" s="161">
        <f>IF(BK60="","",IFERROR(BK60*HSI!$B$55*HSI!$G$55/HSI!$B$3,""))</f>
        <v/>
      </c>
      <c r="DZ60" s="161">
        <f>IF(BL60="","",IFERROR(BL60*HSI!$B$55*HSI!$G$55/HSI!$B$3,""))</f>
        <v/>
      </c>
      <c r="EA60" s="161">
        <f>IF(BM60="","",IFERROR(BM60*HSI!$B$55*HSI!$G$55/HSI!$B$3,""))</f>
        <v/>
      </c>
      <c r="EB60" s="161">
        <f>IF(BN60="","",IFERROR(BN60*HSI!$B$55*HSI!$G$55/HSI!$B$3,""))</f>
        <v/>
      </c>
      <c r="EC60" s="161">
        <f>IF(BO60="","",IFERROR(BO60*HSI!$B$55*HSI!$G$55/HSI!$B$3,""))</f>
        <v/>
      </c>
      <c r="EE60" s="121">
        <f>IF(N('Dvd Calendar'!$E$539)=0,"",IF(('Dvd Calendar'!$E$539&gt;=GRID_FROM)*('Dvd Calendar'!$E$539&lt;=GRID_TO)*((('Dvd Calendar'!$E$539&lt;=VAL_DATE)+(COUNTIF('Dvd Calendar'!$E$546:$AR$546,'Dvd Calendar'!$E$539)=0))&gt;0)=0,"",'Dvd Calendar'!$E$539*1000000000+ISNUMBER('Dvd Calendar'!$E$542)*100000000+('Dvd Calendar'!$E$544=SPECIAL_LBL)*10000000+(N('Dvd Calendar'!$E$538)&gt;0)*(N('Dvd Calendar'!$E$538)&lt;=VAL_SERIAL)*1000000+49*1000+1))</f>
        <v/>
      </c>
      <c r="EF60" s="121">
        <f>IF(N('Dvd Calendar'!$F$539)=0,"",IF(('Dvd Calendar'!$F$539&gt;=GRID_FROM)*('Dvd Calendar'!$F$539&lt;=GRID_TO)*((('Dvd Calendar'!$F$539&lt;=VAL_DATE)+(COUNTIF('Dvd Calendar'!$E$546:$AR$546,'Dvd Calendar'!$F$539)=0))&gt;0)=0,"",'Dvd Calendar'!$F$539*1000000000+ISNUMBER('Dvd Calendar'!$F$542)*100000000+('Dvd Calendar'!$F$544=SPECIAL_LBL)*10000000+(N('Dvd Calendar'!$F$538)&gt;0)*(N('Dvd Calendar'!$F$538)&lt;=VAL_SERIAL)*1000000+49*1000+2))</f>
        <v/>
      </c>
      <c r="EG60" s="121">
        <f>IF(N('Dvd Calendar'!$G$539)=0,"",IF(('Dvd Calendar'!$G$539&gt;=GRID_FROM)*('Dvd Calendar'!$G$539&lt;=GRID_TO)*((('Dvd Calendar'!$G$539&lt;=VAL_DATE)+(COUNTIF('Dvd Calendar'!$E$546:$AR$546,'Dvd Calendar'!$G$539)=0))&gt;0)=0,"",'Dvd Calendar'!$G$539*1000000000+ISNUMBER('Dvd Calendar'!$G$542)*100000000+('Dvd Calendar'!$G$544=SPECIAL_LBL)*10000000+(N('Dvd Calendar'!$G$538)&gt;0)*(N('Dvd Calendar'!$G$538)&lt;=VAL_SERIAL)*1000000+49*1000+3))</f>
        <v/>
      </c>
      <c r="EH60" s="121">
        <f>IF(N('Dvd Calendar'!$H$539)=0,"",IF(('Dvd Calendar'!$H$539&gt;=GRID_FROM)*('Dvd Calendar'!$H$539&lt;=GRID_TO)*((('Dvd Calendar'!$H$539&lt;=VAL_DATE)+(COUNTIF('Dvd Calendar'!$E$546:$AR$546,'Dvd Calendar'!$H$539)=0))&gt;0)=0,"",'Dvd Calendar'!$H$539*1000000000+ISNUMBER('Dvd Calendar'!$H$542)*100000000+('Dvd Calendar'!$H$544=SPECIAL_LBL)*10000000+(N('Dvd Calendar'!$H$538)&gt;0)*(N('Dvd Calendar'!$H$538)&lt;=VAL_SERIAL)*1000000+49*1000+4))</f>
        <v/>
      </c>
      <c r="EI60" s="121">
        <f>IF(N('Dvd Calendar'!$I$539)=0,"",IF(('Dvd Calendar'!$I$539&gt;=GRID_FROM)*('Dvd Calendar'!$I$539&lt;=GRID_TO)*((('Dvd Calendar'!$I$539&lt;=VAL_DATE)+(COUNTIF('Dvd Calendar'!$E$546:$AR$546,'Dvd Calendar'!$I$539)=0))&gt;0)=0,"",'Dvd Calendar'!$I$539*1000000000+ISNUMBER('Dvd Calendar'!$I$542)*100000000+('Dvd Calendar'!$I$544=SPECIAL_LBL)*10000000+(N('Dvd Calendar'!$I$538)&gt;0)*(N('Dvd Calendar'!$I$538)&lt;=VAL_SERIAL)*1000000+49*1000+5))</f>
        <v/>
      </c>
      <c r="EJ60" s="121">
        <f>IF(N('Dvd Calendar'!$J$539)=0,"",IF(('Dvd Calendar'!$J$539&gt;=GRID_FROM)*('Dvd Calendar'!$J$539&lt;=GRID_TO)*((('Dvd Calendar'!$J$539&lt;=VAL_DATE)+(COUNTIF('Dvd Calendar'!$E$546:$AR$546,'Dvd Calendar'!$J$539)=0))&gt;0)=0,"",'Dvd Calendar'!$J$539*1000000000+ISNUMBER('Dvd Calendar'!$J$542)*100000000+('Dvd Calendar'!$J$544=SPECIAL_LBL)*10000000+(N('Dvd Calendar'!$J$538)&gt;0)*(N('Dvd Calendar'!$J$538)&lt;=VAL_SERIAL)*1000000+49*1000+6))</f>
        <v/>
      </c>
      <c r="EK60" s="121">
        <f>IF(N('Dvd Calendar'!$K$539)=0,"",IF(('Dvd Calendar'!$K$539&gt;=GRID_FROM)*('Dvd Calendar'!$K$539&lt;=GRID_TO)*((('Dvd Calendar'!$K$539&lt;=VAL_DATE)+(COUNTIF('Dvd Calendar'!$E$546:$AR$546,'Dvd Calendar'!$K$539)=0))&gt;0)=0,"",'Dvd Calendar'!$K$539*1000000000+ISNUMBER('Dvd Calendar'!$K$542)*100000000+('Dvd Calendar'!$K$544=SPECIAL_LBL)*10000000+(N('Dvd Calendar'!$K$538)&gt;0)*(N('Dvd Calendar'!$K$538)&lt;=VAL_SERIAL)*1000000+49*1000+7))</f>
        <v/>
      </c>
      <c r="EL60" s="121">
        <f>IF(N('Dvd Calendar'!$L$539)=0,"",IF(('Dvd Calendar'!$L$539&gt;=GRID_FROM)*('Dvd Calendar'!$L$539&lt;=GRID_TO)*((('Dvd Calendar'!$L$539&lt;=VAL_DATE)+(COUNTIF('Dvd Calendar'!$E$546:$AR$546,'Dvd Calendar'!$L$539)=0))&gt;0)=0,"",'Dvd Calendar'!$L$539*1000000000+ISNUMBER('Dvd Calendar'!$L$542)*100000000+('Dvd Calendar'!$L$544=SPECIAL_LBL)*10000000+(N('Dvd Calendar'!$L$538)&gt;0)*(N('Dvd Calendar'!$L$538)&lt;=VAL_SERIAL)*1000000+49*1000+8))</f>
        <v/>
      </c>
      <c r="EM60" s="121">
        <f>IF(N('Dvd Calendar'!$M$539)=0,"",IF(('Dvd Calendar'!$M$539&gt;=GRID_FROM)*('Dvd Calendar'!$M$539&lt;=GRID_TO)*((('Dvd Calendar'!$M$539&lt;=VAL_DATE)+(COUNTIF('Dvd Calendar'!$E$546:$AR$546,'Dvd Calendar'!$M$539)=0))&gt;0)=0,"",'Dvd Calendar'!$M$539*1000000000+ISNUMBER('Dvd Calendar'!$M$542)*100000000+('Dvd Calendar'!$M$544=SPECIAL_LBL)*10000000+(N('Dvd Calendar'!$M$538)&gt;0)*(N('Dvd Calendar'!$M$538)&lt;=VAL_SERIAL)*1000000+49*1000+9))</f>
        <v/>
      </c>
      <c r="EN60" s="121">
        <f>IF(N('Dvd Calendar'!$N$539)=0,"",IF(('Dvd Calendar'!$N$539&gt;=GRID_FROM)*('Dvd Calendar'!$N$539&lt;=GRID_TO)*((('Dvd Calendar'!$N$539&lt;=VAL_DATE)+(COUNTIF('Dvd Calendar'!$E$546:$AR$546,'Dvd Calendar'!$N$539)=0))&gt;0)=0,"",'Dvd Calendar'!$N$539*1000000000+ISNUMBER('Dvd Calendar'!$N$542)*100000000+('Dvd Calendar'!$N$544=SPECIAL_LBL)*10000000+(N('Dvd Calendar'!$N$538)&gt;0)*(N('Dvd Calendar'!$N$538)&lt;=VAL_SERIAL)*1000000+49*1000+10))</f>
        <v/>
      </c>
      <c r="EO60" s="121">
        <f>IF(N('Dvd Calendar'!$O$539)=0,"",IF(('Dvd Calendar'!$O$539&gt;=GRID_FROM)*('Dvd Calendar'!$O$539&lt;=GRID_TO)*((('Dvd Calendar'!$O$539&lt;=VAL_DATE)+(COUNTIF('Dvd Calendar'!$E$546:$AR$546,'Dvd Calendar'!$O$539)=0))&gt;0)=0,"",'Dvd Calendar'!$O$539*1000000000+ISNUMBER('Dvd Calendar'!$O$542)*100000000+('Dvd Calendar'!$O$544=SPECIAL_LBL)*10000000+(N('Dvd Calendar'!$O$538)&gt;0)*(N('Dvd Calendar'!$O$538)&lt;=VAL_SERIAL)*1000000+49*1000+11))</f>
        <v/>
      </c>
      <c r="EP60" s="121">
        <f>IF(N('Dvd Calendar'!$P$539)=0,"",IF(('Dvd Calendar'!$P$539&gt;=GRID_FROM)*('Dvd Calendar'!$P$539&lt;=GRID_TO)*((('Dvd Calendar'!$P$539&lt;=VAL_DATE)+(COUNTIF('Dvd Calendar'!$E$546:$AR$546,'Dvd Calendar'!$P$539)=0))&gt;0)=0,"",'Dvd Calendar'!$P$539*1000000000+ISNUMBER('Dvd Calendar'!$P$542)*100000000+('Dvd Calendar'!$P$544=SPECIAL_LBL)*10000000+(N('Dvd Calendar'!$P$538)&gt;0)*(N('Dvd Calendar'!$P$538)&lt;=VAL_SERIAL)*1000000+49*1000+12))</f>
        <v/>
      </c>
      <c r="EQ60" s="121">
        <f>IF(N('Dvd Calendar'!$Q$539)=0,"",IF(('Dvd Calendar'!$Q$539&gt;=GRID_FROM)*('Dvd Calendar'!$Q$539&lt;=GRID_TO)*((('Dvd Calendar'!$Q$539&lt;=VAL_DATE)+(COUNTIF('Dvd Calendar'!$E$546:$AR$546,'Dvd Calendar'!$Q$539)=0))&gt;0)=0,"",'Dvd Calendar'!$Q$539*1000000000+ISNUMBER('Dvd Calendar'!$Q$542)*100000000+('Dvd Calendar'!$Q$544=SPECIAL_LBL)*10000000+(N('Dvd Calendar'!$Q$538)&gt;0)*(N('Dvd Calendar'!$Q$538)&lt;=VAL_SERIAL)*1000000+49*1000+13))</f>
        <v/>
      </c>
      <c r="ER60" s="121">
        <f>IF(N('Dvd Calendar'!$R$539)=0,"",IF(('Dvd Calendar'!$R$539&gt;=GRID_FROM)*('Dvd Calendar'!$R$539&lt;=GRID_TO)*((('Dvd Calendar'!$R$539&lt;=VAL_DATE)+(COUNTIF('Dvd Calendar'!$E$546:$AR$546,'Dvd Calendar'!$R$539)=0))&gt;0)=0,"",'Dvd Calendar'!$R$539*1000000000+ISNUMBER('Dvd Calendar'!$R$542)*100000000+('Dvd Calendar'!$R$544=SPECIAL_LBL)*10000000+(N('Dvd Calendar'!$R$538)&gt;0)*(N('Dvd Calendar'!$R$538)&lt;=VAL_SERIAL)*1000000+49*1000+14))</f>
        <v/>
      </c>
      <c r="ES60" s="121">
        <f>IF(N('Dvd Calendar'!$S$539)=0,"",IF(('Dvd Calendar'!$S$539&gt;=GRID_FROM)*('Dvd Calendar'!$S$539&lt;=GRID_TO)*((('Dvd Calendar'!$S$539&lt;=VAL_DATE)+(COUNTIF('Dvd Calendar'!$E$546:$AR$546,'Dvd Calendar'!$S$539)=0))&gt;0)=0,"",'Dvd Calendar'!$S$539*1000000000+ISNUMBER('Dvd Calendar'!$S$542)*100000000+('Dvd Calendar'!$S$544=SPECIAL_LBL)*10000000+(N('Dvd Calendar'!$S$538)&gt;0)*(N('Dvd Calendar'!$S$538)&lt;=VAL_SERIAL)*1000000+49*1000+15))</f>
        <v/>
      </c>
      <c r="ET60" s="121">
        <f>IF(N('Dvd Calendar'!$T$539)=0,"",IF(('Dvd Calendar'!$T$539&gt;=GRID_FROM)*('Dvd Calendar'!$T$539&lt;=GRID_TO)*((('Dvd Calendar'!$T$539&lt;=VAL_DATE)+(COUNTIF('Dvd Calendar'!$E$546:$AR$546,'Dvd Calendar'!$T$539)=0))&gt;0)=0,"",'Dvd Calendar'!$T$539*1000000000+ISNUMBER('Dvd Calendar'!$T$542)*100000000+('Dvd Calendar'!$T$544=SPECIAL_LBL)*10000000+(N('Dvd Calendar'!$T$538)&gt;0)*(N('Dvd Calendar'!$T$538)&lt;=VAL_SERIAL)*1000000+49*1000+16))</f>
        <v/>
      </c>
      <c r="EU60" s="121">
        <f>IF(N('Dvd Calendar'!$U$539)=0,"",IF(('Dvd Calendar'!$U$539&gt;=GRID_FROM)*('Dvd Calendar'!$U$539&lt;=GRID_TO)*((('Dvd Calendar'!$U$539&lt;=VAL_DATE)+(COUNTIF('Dvd Calendar'!$E$546:$AR$546,'Dvd Calendar'!$U$539)=0))&gt;0)=0,"",'Dvd Calendar'!$U$539*1000000000+ISNUMBER('Dvd Calendar'!$U$542)*100000000+('Dvd Calendar'!$U$544=SPECIAL_LBL)*10000000+(N('Dvd Calendar'!$U$538)&gt;0)*(N('Dvd Calendar'!$U$538)&lt;=VAL_SERIAL)*1000000+49*1000+17))</f>
        <v/>
      </c>
      <c r="EV60" s="121">
        <f>IF(N('Dvd Calendar'!$V$539)=0,"",IF(('Dvd Calendar'!$V$539&gt;=GRID_FROM)*('Dvd Calendar'!$V$539&lt;=GRID_TO)*((('Dvd Calendar'!$V$539&lt;=VAL_DATE)+(COUNTIF('Dvd Calendar'!$E$546:$AR$546,'Dvd Calendar'!$V$539)=0))&gt;0)=0,"",'Dvd Calendar'!$V$539*1000000000+ISNUMBER('Dvd Calendar'!$V$542)*100000000+('Dvd Calendar'!$V$544=SPECIAL_LBL)*10000000+(N('Dvd Calendar'!$V$538)&gt;0)*(N('Dvd Calendar'!$V$538)&lt;=VAL_SERIAL)*1000000+49*1000+18))</f>
        <v/>
      </c>
      <c r="EW60" s="121">
        <f>IF(N('Dvd Calendar'!$W$539)=0,"",IF(('Dvd Calendar'!$W$539&gt;=GRID_FROM)*('Dvd Calendar'!$W$539&lt;=GRID_TO)*((('Dvd Calendar'!$W$539&lt;=VAL_DATE)+(COUNTIF('Dvd Calendar'!$E$546:$AR$546,'Dvd Calendar'!$W$539)=0))&gt;0)=0,"",'Dvd Calendar'!$W$539*1000000000+ISNUMBER('Dvd Calendar'!$W$542)*100000000+('Dvd Calendar'!$W$544=SPECIAL_LBL)*10000000+(N('Dvd Calendar'!$W$538)&gt;0)*(N('Dvd Calendar'!$W$538)&lt;=VAL_SERIAL)*1000000+49*1000+19))</f>
        <v/>
      </c>
      <c r="EX60" s="121">
        <f>IF(N('Dvd Calendar'!$X$539)=0,"",IF(('Dvd Calendar'!$X$539&gt;=GRID_FROM)*('Dvd Calendar'!$X$539&lt;=GRID_TO)*((('Dvd Calendar'!$X$539&lt;=VAL_DATE)+(COUNTIF('Dvd Calendar'!$E$546:$AR$546,'Dvd Calendar'!$X$539)=0))&gt;0)=0,"",'Dvd Calendar'!$X$539*1000000000+ISNUMBER('Dvd Calendar'!$X$542)*100000000+('Dvd Calendar'!$X$544=SPECIAL_LBL)*10000000+(N('Dvd Calendar'!$X$538)&gt;0)*(N('Dvd Calendar'!$X$538)&lt;=VAL_SERIAL)*1000000+49*1000+20))</f>
        <v/>
      </c>
      <c r="EY60" s="121">
        <f>IF(N('Dvd Calendar'!$Y$539)=0,"",IF(('Dvd Calendar'!$Y$539&gt;=GRID_FROM)*('Dvd Calendar'!$Y$539&lt;=GRID_TO)*((('Dvd Calendar'!$Y$539&lt;=VAL_DATE)+(COUNTIF('Dvd Calendar'!$E$546:$AR$546,'Dvd Calendar'!$Y$539)=0))&gt;0)=0,"",'Dvd Calendar'!$Y$539*1000000000+ISNUMBER('Dvd Calendar'!$Y$542)*100000000+('Dvd Calendar'!$Y$544=SPECIAL_LBL)*10000000+(N('Dvd Calendar'!$Y$538)&gt;0)*(N('Dvd Calendar'!$Y$538)&lt;=VAL_SERIAL)*1000000+49*1000+21))</f>
        <v/>
      </c>
      <c r="EZ60" s="121">
        <f>IF(N('Dvd Calendar'!$Z$539)=0,"",IF(('Dvd Calendar'!$Z$539&gt;=GRID_FROM)*('Dvd Calendar'!$Z$539&lt;=GRID_TO)*((('Dvd Calendar'!$Z$539&lt;=VAL_DATE)+(COUNTIF('Dvd Calendar'!$E$546:$AR$546,'Dvd Calendar'!$Z$539)=0))&gt;0)=0,"",'Dvd Calendar'!$Z$539*1000000000+ISNUMBER('Dvd Calendar'!$Z$542)*100000000+('Dvd Calendar'!$Z$544=SPECIAL_LBL)*10000000+(N('Dvd Calendar'!$Z$538)&gt;0)*(N('Dvd Calendar'!$Z$538)&lt;=VAL_SERIAL)*1000000+49*1000+22))</f>
        <v/>
      </c>
      <c r="FA60" s="121">
        <f>IF(N('Dvd Calendar'!$AA$539)=0,"",IF(('Dvd Calendar'!$AA$539&gt;=GRID_FROM)*('Dvd Calendar'!$AA$539&lt;=GRID_TO)*((('Dvd Calendar'!$AA$539&lt;=VAL_DATE)+(COUNTIF('Dvd Calendar'!$E$546:$AR$546,'Dvd Calendar'!$AA$539)=0))&gt;0)=0,"",'Dvd Calendar'!$AA$539*1000000000+ISNUMBER('Dvd Calendar'!$AA$542)*100000000+('Dvd Calendar'!$AA$544=SPECIAL_LBL)*10000000+(N('Dvd Calendar'!$AA$538)&gt;0)*(N('Dvd Calendar'!$AA$538)&lt;=VAL_SERIAL)*1000000+49*1000+23))</f>
        <v/>
      </c>
      <c r="FB60" s="121">
        <f>IF(N('Dvd Calendar'!$AB$539)=0,"",IF(('Dvd Calendar'!$AB$539&gt;=GRID_FROM)*('Dvd Calendar'!$AB$539&lt;=GRID_TO)*((('Dvd Calendar'!$AB$539&lt;=VAL_DATE)+(COUNTIF('Dvd Calendar'!$E$546:$AR$546,'Dvd Calendar'!$AB$539)=0))&gt;0)=0,"",'Dvd Calendar'!$AB$539*1000000000+ISNUMBER('Dvd Calendar'!$AB$542)*100000000+('Dvd Calendar'!$AB$544=SPECIAL_LBL)*10000000+(N('Dvd Calendar'!$AB$538)&gt;0)*(N('Dvd Calendar'!$AB$538)&lt;=VAL_SERIAL)*1000000+49*1000+24))</f>
        <v/>
      </c>
      <c r="FC60" s="121">
        <f>IF(N('Dvd Calendar'!$AC$539)=0,"",IF(('Dvd Calendar'!$AC$539&gt;=GRID_FROM)*('Dvd Calendar'!$AC$539&lt;=GRID_TO)*((('Dvd Calendar'!$AC$539&lt;=VAL_DATE)+(COUNTIF('Dvd Calendar'!$E$546:$AR$546,'Dvd Calendar'!$AC$539)=0))&gt;0)=0,"",'Dvd Calendar'!$AC$539*1000000000+ISNUMBER('Dvd Calendar'!$AC$542)*100000000+('Dvd Calendar'!$AC$544=SPECIAL_LBL)*10000000+(N('Dvd Calendar'!$AC$538)&gt;0)*(N('Dvd Calendar'!$AC$538)&lt;=VAL_SERIAL)*1000000+49*1000+25))</f>
        <v/>
      </c>
      <c r="FD60" s="121">
        <f>IF(N('Dvd Calendar'!$AD$539)=0,"",IF(('Dvd Calendar'!$AD$539&gt;=GRID_FROM)*('Dvd Calendar'!$AD$539&lt;=GRID_TO)*((('Dvd Calendar'!$AD$539&lt;=VAL_DATE)+(COUNTIF('Dvd Calendar'!$E$546:$AR$546,'Dvd Calendar'!$AD$539)=0))&gt;0)=0,"",'Dvd Calendar'!$AD$539*1000000000+ISNUMBER('Dvd Calendar'!$AD$542)*100000000+('Dvd Calendar'!$AD$544=SPECIAL_LBL)*10000000+(N('Dvd Calendar'!$AD$538)&gt;0)*(N('Dvd Calendar'!$AD$538)&lt;=VAL_SERIAL)*1000000+49*1000+26))</f>
        <v/>
      </c>
      <c r="FE60" s="121">
        <f>IF(N('Dvd Calendar'!$AE$539)=0,"",IF(('Dvd Calendar'!$AE$539&gt;=GRID_FROM)*('Dvd Calendar'!$AE$539&lt;=GRID_TO)*((('Dvd Calendar'!$AE$539&lt;=VAL_DATE)+(COUNTIF('Dvd Calendar'!$E$546:$AR$546,'Dvd Calendar'!$AE$539)=0))&gt;0)=0,"",'Dvd Calendar'!$AE$539*1000000000+ISNUMBER('Dvd Calendar'!$AE$542)*100000000+('Dvd Calendar'!$AE$544=SPECIAL_LBL)*10000000+(N('Dvd Calendar'!$AE$538)&gt;0)*(N('Dvd Calendar'!$AE$538)&lt;=VAL_SERIAL)*1000000+49*1000+27))</f>
        <v/>
      </c>
      <c r="FF60" s="121">
        <f>IF(N('Dvd Calendar'!$AF$539)=0,"",IF(('Dvd Calendar'!$AF$539&gt;=GRID_FROM)*('Dvd Calendar'!$AF$539&lt;=GRID_TO)*((('Dvd Calendar'!$AF$539&lt;=VAL_DATE)+(COUNTIF('Dvd Calendar'!$E$546:$AR$546,'Dvd Calendar'!$AF$539)=0))&gt;0)=0,"",'Dvd Calendar'!$AF$539*1000000000+ISNUMBER('Dvd Calendar'!$AF$542)*100000000+('Dvd Calendar'!$AF$544=SPECIAL_LBL)*10000000+(N('Dvd Calendar'!$AF$538)&gt;0)*(N('Dvd Calendar'!$AF$538)&lt;=VAL_SERIAL)*1000000+49*1000+28))</f>
        <v/>
      </c>
      <c r="FG60" s="121">
        <f>IF(N('Dvd Calendar'!$AG$539)=0,"",IF(('Dvd Calendar'!$AG$539&gt;=GRID_FROM)*('Dvd Calendar'!$AG$539&lt;=GRID_TO)*((('Dvd Calendar'!$AG$539&lt;=VAL_DATE)+(COUNTIF('Dvd Calendar'!$E$546:$AR$546,'Dvd Calendar'!$AG$539)=0))&gt;0)=0,"",'Dvd Calendar'!$AG$539*1000000000+ISNUMBER('Dvd Calendar'!$AG$542)*100000000+('Dvd Calendar'!$AG$544=SPECIAL_LBL)*10000000+(N('Dvd Calendar'!$AG$538)&gt;0)*(N('Dvd Calendar'!$AG$538)&lt;=VAL_SERIAL)*1000000+49*1000+29))</f>
        <v/>
      </c>
      <c r="FH60" s="121">
        <f>IF(N('Dvd Calendar'!$AH$539)=0,"",IF(('Dvd Calendar'!$AH$539&gt;=GRID_FROM)*('Dvd Calendar'!$AH$539&lt;=GRID_TO)*((('Dvd Calendar'!$AH$539&lt;=VAL_DATE)+(COUNTIF('Dvd Calendar'!$E$546:$AR$546,'Dvd Calendar'!$AH$539)=0))&gt;0)=0,"",'Dvd Calendar'!$AH$539*1000000000+ISNUMBER('Dvd Calendar'!$AH$542)*100000000+('Dvd Calendar'!$AH$544=SPECIAL_LBL)*10000000+(N('Dvd Calendar'!$AH$538)&gt;0)*(N('Dvd Calendar'!$AH$538)&lt;=VAL_SERIAL)*1000000+49*1000+30))</f>
        <v/>
      </c>
      <c r="FI60" s="121">
        <f>IF(N('Dvd Calendar'!$AI$539)=0,"",IF(('Dvd Calendar'!$AI$539&gt;=GRID_FROM)*('Dvd Calendar'!$AI$539&lt;=GRID_TO)*((('Dvd Calendar'!$AI$539&lt;=VAL_DATE)+(COUNTIF('Dvd Calendar'!$E$546:$AR$546,'Dvd Calendar'!$AI$539)=0))&gt;0)=0,"",'Dvd Calendar'!$AI$539*1000000000+ISNUMBER('Dvd Calendar'!$AI$542)*100000000+('Dvd Calendar'!$AI$544=SPECIAL_LBL)*10000000+(N('Dvd Calendar'!$AI$538)&gt;0)*(N('Dvd Calendar'!$AI$538)&lt;=VAL_SERIAL)*1000000+49*1000+31))</f>
        <v/>
      </c>
      <c r="FJ60" s="121">
        <f>IF(N('Dvd Calendar'!$AJ$539)=0,"",IF(('Dvd Calendar'!$AJ$539&gt;=GRID_FROM)*('Dvd Calendar'!$AJ$539&lt;=GRID_TO)*((('Dvd Calendar'!$AJ$539&lt;=VAL_DATE)+(COUNTIF('Dvd Calendar'!$E$546:$AR$546,'Dvd Calendar'!$AJ$539)=0))&gt;0)=0,"",'Dvd Calendar'!$AJ$539*1000000000+ISNUMBER('Dvd Calendar'!$AJ$542)*100000000+('Dvd Calendar'!$AJ$544=SPECIAL_LBL)*10000000+(N('Dvd Calendar'!$AJ$538)&gt;0)*(N('Dvd Calendar'!$AJ$538)&lt;=VAL_SERIAL)*1000000+49*1000+32))</f>
        <v/>
      </c>
      <c r="FK60" s="121">
        <f>IF(N('Dvd Calendar'!$AK$539)=0,"",IF(('Dvd Calendar'!$AK$539&gt;=GRID_FROM)*('Dvd Calendar'!$AK$539&lt;=GRID_TO)*((('Dvd Calendar'!$AK$539&lt;=VAL_DATE)+(COUNTIF('Dvd Calendar'!$E$546:$AR$546,'Dvd Calendar'!$AK$539)=0))&gt;0)=0,"",'Dvd Calendar'!$AK$539*1000000000+ISNUMBER('Dvd Calendar'!$AK$542)*100000000+('Dvd Calendar'!$AK$544=SPECIAL_LBL)*10000000+(N('Dvd Calendar'!$AK$538)&gt;0)*(N('Dvd Calendar'!$AK$538)&lt;=VAL_SERIAL)*1000000+49*1000+33))</f>
        <v/>
      </c>
      <c r="FL60" s="121">
        <f>IF(N('Dvd Calendar'!$AL$539)=0,"",IF(('Dvd Calendar'!$AL$539&gt;=GRID_FROM)*('Dvd Calendar'!$AL$539&lt;=GRID_TO)*((('Dvd Calendar'!$AL$539&lt;=VAL_DATE)+(COUNTIF('Dvd Calendar'!$E$546:$AR$546,'Dvd Calendar'!$AL$539)=0))&gt;0)=0,"",'Dvd Calendar'!$AL$539*1000000000+ISNUMBER('Dvd Calendar'!$AL$542)*100000000+('Dvd Calendar'!$AL$544=SPECIAL_LBL)*10000000+(N('Dvd Calendar'!$AL$538)&gt;0)*(N('Dvd Calendar'!$AL$538)&lt;=VAL_SERIAL)*1000000+49*1000+34))</f>
        <v/>
      </c>
      <c r="FM60" s="121">
        <f>IF(N('Dvd Calendar'!$AM$539)=0,"",IF(('Dvd Calendar'!$AM$539&gt;=GRID_FROM)*('Dvd Calendar'!$AM$539&lt;=GRID_TO)*((('Dvd Calendar'!$AM$539&lt;=VAL_DATE)+(COUNTIF('Dvd Calendar'!$E$546:$AR$546,'Dvd Calendar'!$AM$539)=0))&gt;0)=0,"",'Dvd Calendar'!$AM$539*1000000000+ISNUMBER('Dvd Calendar'!$AM$542)*100000000+('Dvd Calendar'!$AM$544=SPECIAL_LBL)*10000000+(N('Dvd Calendar'!$AM$538)&gt;0)*(N('Dvd Calendar'!$AM$538)&lt;=VAL_SERIAL)*1000000+49*1000+35))</f>
        <v/>
      </c>
      <c r="FN60" s="121">
        <f>IF(N('Dvd Calendar'!$AN$539)=0,"",IF(('Dvd Calendar'!$AN$539&gt;=GRID_FROM)*('Dvd Calendar'!$AN$539&lt;=GRID_TO)*((('Dvd Calendar'!$AN$539&lt;=VAL_DATE)+(COUNTIF('Dvd Calendar'!$E$546:$AR$546,'Dvd Calendar'!$AN$539)=0))&gt;0)=0,"",'Dvd Calendar'!$AN$539*1000000000+ISNUMBER('Dvd Calendar'!$AN$542)*100000000+('Dvd Calendar'!$AN$544=SPECIAL_LBL)*10000000+(N('Dvd Calendar'!$AN$538)&gt;0)*(N('Dvd Calendar'!$AN$538)&lt;=VAL_SERIAL)*1000000+49*1000+36))</f>
        <v/>
      </c>
      <c r="FO60" s="121">
        <f>IF(N('Dvd Calendar'!$AO$539)=0,"",IF(('Dvd Calendar'!$AO$539&gt;=GRID_FROM)*('Dvd Calendar'!$AO$539&lt;=GRID_TO)*((('Dvd Calendar'!$AO$539&lt;=VAL_DATE)+(COUNTIF('Dvd Calendar'!$E$546:$AR$546,'Dvd Calendar'!$AO$539)=0))&gt;0)=0,"",'Dvd Calendar'!$AO$539*1000000000+ISNUMBER('Dvd Calendar'!$AO$542)*100000000+('Dvd Calendar'!$AO$544=SPECIAL_LBL)*10000000+(N('Dvd Calendar'!$AO$538)&gt;0)*(N('Dvd Calendar'!$AO$538)&lt;=VAL_SERIAL)*1000000+49*1000+37))</f>
        <v/>
      </c>
      <c r="FP60" s="121">
        <f>IF(N('Dvd Calendar'!$AP$539)=0,"",IF(('Dvd Calendar'!$AP$539&gt;=GRID_FROM)*('Dvd Calendar'!$AP$539&lt;=GRID_TO)*((('Dvd Calendar'!$AP$539&lt;=VAL_DATE)+(COUNTIF('Dvd Calendar'!$E$546:$AR$546,'Dvd Calendar'!$AP$539)=0))&gt;0)=0,"",'Dvd Calendar'!$AP$539*1000000000+ISNUMBER('Dvd Calendar'!$AP$542)*100000000+('Dvd Calendar'!$AP$544=SPECIAL_LBL)*10000000+(N('Dvd Calendar'!$AP$538)&gt;0)*(N('Dvd Calendar'!$AP$538)&lt;=VAL_SERIAL)*1000000+49*1000+38))</f>
        <v/>
      </c>
      <c r="FQ60" s="121">
        <f>IF(N('Dvd Calendar'!$AQ$539)=0,"",IF(('Dvd Calendar'!$AQ$539&gt;=GRID_FROM)*('Dvd Calendar'!$AQ$539&lt;=GRID_TO)*((('Dvd Calendar'!$AQ$539&lt;=VAL_DATE)+(COUNTIF('Dvd Calendar'!$E$546:$AR$546,'Dvd Calendar'!$AQ$539)=0))&gt;0)=0,"",'Dvd Calendar'!$AQ$539*1000000000+ISNUMBER('Dvd Calendar'!$AQ$542)*100000000+('Dvd Calendar'!$AQ$544=SPECIAL_LBL)*10000000+(N('Dvd Calendar'!$AQ$538)&gt;0)*(N('Dvd Calendar'!$AQ$538)&lt;=VAL_SERIAL)*1000000+49*1000+39))</f>
        <v/>
      </c>
      <c r="FR60" s="121">
        <f>IF(N('Dvd Calendar'!$AR$539)=0,"",IF(('Dvd Calendar'!$AR$539&gt;=GRID_FROM)*('Dvd Calendar'!$AR$539&lt;=GRID_TO)*((('Dvd Calendar'!$AR$539&lt;=VAL_DATE)+(COUNTIF('Dvd Calendar'!$E$546:$AR$546,'Dvd Calendar'!$AR$539)=0))&gt;0)=0,"",'Dvd Calendar'!$AR$539*1000000000+ISNUMBER('Dvd Calendar'!$AR$542)*100000000+('Dvd Calendar'!$AR$544=SPECIAL_LBL)*10000000+(N('Dvd Calendar'!$AR$538)&gt;0)*(N('Dvd Calendar'!$AR$538)&lt;=VAL_SERIAL)*1000000+49*1000+40))</f>
        <v/>
      </c>
      <c r="FS60" s="121">
        <f>IF(N('Dvd Calendar'!$E$546)=0,"",IF(('Dvd Calendar'!$E$546&gt;=GRID_FROM)*('Dvd Calendar'!$E$546&lt;=GRID_TO)*('Dvd Calendar'!$E$546&gt;VAL_DATE)=0,"",'Dvd Calendar'!$E$546*1000000000+ISNUMBER('Dvd Calendar'!$E$547)*100000000+0*10000000+(N('Dvd Calendar'!$E$545)&gt;0)*(N('Dvd Calendar'!$E$545)&lt;=VAL_SERIAL)*1000000+49*1000+41))</f>
        <v/>
      </c>
      <c r="FT60" s="121">
        <f>IF(N('Dvd Calendar'!$F$546)=0,"",IF(('Dvd Calendar'!$F$546&gt;=GRID_FROM)*('Dvd Calendar'!$F$546&lt;=GRID_TO)*('Dvd Calendar'!$F$546&gt;VAL_DATE)=0,"",'Dvd Calendar'!$F$546*1000000000+ISNUMBER('Dvd Calendar'!$F$547)*100000000+0*10000000+(N('Dvd Calendar'!$F$545)&gt;0)*(N('Dvd Calendar'!$F$545)&lt;=VAL_SERIAL)*1000000+49*1000+42))</f>
        <v/>
      </c>
      <c r="FU60" s="121">
        <f>IF(N('Dvd Calendar'!$G$546)=0,"",IF(('Dvd Calendar'!$G$546&gt;=GRID_FROM)*('Dvd Calendar'!$G$546&lt;=GRID_TO)*('Dvd Calendar'!$G$546&gt;VAL_DATE)=0,"",'Dvd Calendar'!$G$546*1000000000+ISNUMBER('Dvd Calendar'!$G$547)*100000000+0*10000000+(N('Dvd Calendar'!$G$545)&gt;0)*(N('Dvd Calendar'!$G$545)&lt;=VAL_SERIAL)*1000000+49*1000+43))</f>
        <v/>
      </c>
      <c r="FV60" s="121">
        <f>IF(N('Dvd Calendar'!$H$546)=0,"",IF(('Dvd Calendar'!$H$546&gt;=GRID_FROM)*('Dvd Calendar'!$H$546&lt;=GRID_TO)*('Dvd Calendar'!$H$546&gt;VAL_DATE)=0,"",'Dvd Calendar'!$H$546*1000000000+ISNUMBER('Dvd Calendar'!$H$547)*100000000+0*10000000+(N('Dvd Calendar'!$H$545)&gt;0)*(N('Dvd Calendar'!$H$545)&lt;=VAL_SERIAL)*1000000+49*1000+44))</f>
        <v/>
      </c>
      <c r="FW60" s="121">
        <f>IF(N('Dvd Calendar'!$I$546)=0,"",IF(('Dvd Calendar'!$I$546&gt;=GRID_FROM)*('Dvd Calendar'!$I$546&lt;=GRID_TO)*('Dvd Calendar'!$I$546&gt;VAL_DATE)=0,"",'Dvd Calendar'!$I$546*1000000000+ISNUMBER('Dvd Calendar'!$I$547)*100000000+0*10000000+(N('Dvd Calendar'!$I$545)&gt;0)*(N('Dvd Calendar'!$I$545)&lt;=VAL_SERIAL)*1000000+49*1000+45))</f>
        <v/>
      </c>
      <c r="FX60" s="121">
        <f>IF(N('Dvd Calendar'!$J$546)=0,"",IF(('Dvd Calendar'!$J$546&gt;=GRID_FROM)*('Dvd Calendar'!$J$546&lt;=GRID_TO)*('Dvd Calendar'!$J$546&gt;VAL_DATE)=0,"",'Dvd Calendar'!$J$546*1000000000+ISNUMBER('Dvd Calendar'!$J$547)*100000000+0*10000000+(N('Dvd Calendar'!$J$545)&gt;0)*(N('Dvd Calendar'!$J$545)&lt;=VAL_SERIAL)*1000000+49*1000+46))</f>
        <v/>
      </c>
      <c r="FY60" s="121">
        <f>IF(N('Dvd Calendar'!$K$546)=0,"",IF(('Dvd Calendar'!$K$546&gt;=GRID_FROM)*('Dvd Calendar'!$K$546&lt;=GRID_TO)*('Dvd Calendar'!$K$546&gt;VAL_DATE)=0,"",'Dvd Calendar'!$K$546*1000000000+ISNUMBER('Dvd Calendar'!$K$547)*100000000+0*10000000+(N('Dvd Calendar'!$K$545)&gt;0)*(N('Dvd Calendar'!$K$545)&lt;=VAL_SERIAL)*1000000+49*1000+47))</f>
        <v/>
      </c>
      <c r="FZ60" s="121">
        <f>IF(N('Dvd Calendar'!$L$546)=0,"",IF(('Dvd Calendar'!$L$546&gt;=GRID_FROM)*('Dvd Calendar'!$L$546&lt;=GRID_TO)*('Dvd Calendar'!$L$546&gt;VAL_DATE)=0,"",'Dvd Calendar'!$L$546*1000000000+ISNUMBER('Dvd Calendar'!$L$547)*100000000+0*10000000+(N('Dvd Calendar'!$L$545)&gt;0)*(N('Dvd Calendar'!$L$545)&lt;=VAL_SERIAL)*1000000+49*1000+48))</f>
        <v/>
      </c>
      <c r="GA60" s="121">
        <f>IF(N('Dvd Calendar'!$M$546)=0,"",IF(('Dvd Calendar'!$M$546&gt;=GRID_FROM)*('Dvd Calendar'!$M$546&lt;=GRID_TO)*('Dvd Calendar'!$M$546&gt;VAL_DATE)=0,"",'Dvd Calendar'!$M$546*1000000000+ISNUMBER('Dvd Calendar'!$M$547)*100000000+0*10000000+(N('Dvd Calendar'!$M$545)&gt;0)*(N('Dvd Calendar'!$M$545)&lt;=VAL_SERIAL)*1000000+49*1000+49))</f>
        <v/>
      </c>
      <c r="GB60" s="121">
        <f>IF(N('Dvd Calendar'!$N$546)=0,"",IF(('Dvd Calendar'!$N$546&gt;=GRID_FROM)*('Dvd Calendar'!$N$546&lt;=GRID_TO)*('Dvd Calendar'!$N$546&gt;VAL_DATE)=0,"",'Dvd Calendar'!$N$546*1000000000+ISNUMBER('Dvd Calendar'!$N$547)*100000000+0*10000000+(N('Dvd Calendar'!$N$545)&gt;0)*(N('Dvd Calendar'!$N$545)&lt;=VAL_SERIAL)*1000000+49*1000+50))</f>
        <v/>
      </c>
      <c r="GC60" s="121">
        <f>IF(N('Dvd Calendar'!$O$546)=0,"",IF(('Dvd Calendar'!$O$546&gt;=GRID_FROM)*('Dvd Calendar'!$O$546&lt;=GRID_TO)*('Dvd Calendar'!$O$546&gt;VAL_DATE)=0,"",'Dvd Calendar'!$O$546*1000000000+ISNUMBER('Dvd Calendar'!$O$547)*100000000+0*10000000+(N('Dvd Calendar'!$O$545)&gt;0)*(N('Dvd Calendar'!$O$545)&lt;=VAL_SERIAL)*1000000+49*1000+51))</f>
        <v/>
      </c>
      <c r="GD60" s="121">
        <f>IF(N('Dvd Calendar'!$P$546)=0,"",IF(('Dvd Calendar'!$P$546&gt;=GRID_FROM)*('Dvd Calendar'!$P$546&lt;=GRID_TO)*('Dvd Calendar'!$P$546&gt;VAL_DATE)=0,"",'Dvd Calendar'!$P$546*1000000000+ISNUMBER('Dvd Calendar'!$P$547)*100000000+0*10000000+(N('Dvd Calendar'!$P$545)&gt;0)*(N('Dvd Calendar'!$P$545)&lt;=VAL_SERIAL)*1000000+49*1000+52))</f>
        <v/>
      </c>
      <c r="GE60" s="121">
        <f>IF(N('Dvd Calendar'!$Q$546)=0,"",IF(('Dvd Calendar'!$Q$546&gt;=GRID_FROM)*('Dvd Calendar'!$Q$546&lt;=GRID_TO)*('Dvd Calendar'!$Q$546&gt;VAL_DATE)=0,"",'Dvd Calendar'!$Q$546*1000000000+ISNUMBER('Dvd Calendar'!$Q$547)*100000000+0*10000000+(N('Dvd Calendar'!$Q$545)&gt;0)*(N('Dvd Calendar'!$Q$545)&lt;=VAL_SERIAL)*1000000+49*1000+53))</f>
        <v/>
      </c>
      <c r="GF60" s="121">
        <f>IF(N('Dvd Calendar'!$R$546)=0,"",IF(('Dvd Calendar'!$R$546&gt;=GRID_FROM)*('Dvd Calendar'!$R$546&lt;=GRID_TO)*('Dvd Calendar'!$R$546&gt;VAL_DATE)=0,"",'Dvd Calendar'!$R$546*1000000000+ISNUMBER('Dvd Calendar'!$R$547)*100000000+0*10000000+(N('Dvd Calendar'!$R$545)&gt;0)*(N('Dvd Calendar'!$R$545)&lt;=VAL_SERIAL)*1000000+49*1000+54))</f>
        <v/>
      </c>
      <c r="GG60" s="121">
        <f>IF(N('Dvd Calendar'!$S$546)=0,"",IF(('Dvd Calendar'!$S$546&gt;=GRID_FROM)*('Dvd Calendar'!$S$546&lt;=GRID_TO)*('Dvd Calendar'!$S$546&gt;VAL_DATE)=0,"",'Dvd Calendar'!$S$546*1000000000+ISNUMBER('Dvd Calendar'!$S$547)*100000000+0*10000000+(N('Dvd Calendar'!$S$545)&gt;0)*(N('Dvd Calendar'!$S$545)&lt;=VAL_SERIAL)*1000000+49*1000+55))</f>
        <v/>
      </c>
      <c r="GH60" s="121">
        <f>IF(N('Dvd Calendar'!$T$546)=0,"",IF(('Dvd Calendar'!$T$546&gt;=GRID_FROM)*('Dvd Calendar'!$T$546&lt;=GRID_TO)*('Dvd Calendar'!$T$546&gt;VAL_DATE)=0,"",'Dvd Calendar'!$T$546*1000000000+ISNUMBER('Dvd Calendar'!$T$547)*100000000+0*10000000+(N('Dvd Calendar'!$T$545)&gt;0)*(N('Dvd Calendar'!$T$545)&lt;=VAL_SERIAL)*1000000+49*1000+56))</f>
        <v/>
      </c>
      <c r="GI60" s="121">
        <f>IF(N('Dvd Calendar'!$U$546)=0,"",IF(('Dvd Calendar'!$U$546&gt;=GRID_FROM)*('Dvd Calendar'!$U$546&lt;=GRID_TO)*('Dvd Calendar'!$U$546&gt;VAL_DATE)=0,"",'Dvd Calendar'!$U$546*1000000000+ISNUMBER('Dvd Calendar'!$U$547)*100000000+0*10000000+(N('Dvd Calendar'!$U$545)&gt;0)*(N('Dvd Calendar'!$U$545)&lt;=VAL_SERIAL)*1000000+49*1000+57))</f>
        <v/>
      </c>
      <c r="GJ60" s="121">
        <f>IF(N('Dvd Calendar'!$V$546)=0,"",IF(('Dvd Calendar'!$V$546&gt;=GRID_FROM)*('Dvd Calendar'!$V$546&lt;=GRID_TO)*('Dvd Calendar'!$V$546&gt;VAL_DATE)=0,"",'Dvd Calendar'!$V$546*1000000000+ISNUMBER('Dvd Calendar'!$V$547)*100000000+0*10000000+(N('Dvd Calendar'!$V$545)&gt;0)*(N('Dvd Calendar'!$V$545)&lt;=VAL_SERIAL)*1000000+49*1000+58))</f>
        <v/>
      </c>
      <c r="GK60" s="121">
        <f>IF(N('Dvd Calendar'!$W$546)=0,"",IF(('Dvd Calendar'!$W$546&gt;=GRID_FROM)*('Dvd Calendar'!$W$546&lt;=GRID_TO)*('Dvd Calendar'!$W$546&gt;VAL_DATE)=0,"",'Dvd Calendar'!$W$546*1000000000+ISNUMBER('Dvd Calendar'!$W$547)*100000000+0*10000000+(N('Dvd Calendar'!$W$545)&gt;0)*(N('Dvd Calendar'!$W$545)&lt;=VAL_SERIAL)*1000000+49*1000+59))</f>
        <v/>
      </c>
      <c r="GL60" s="121">
        <f>IF(N('Dvd Calendar'!$X$546)=0,"",IF(('Dvd Calendar'!$X$546&gt;=GRID_FROM)*('Dvd Calendar'!$X$546&lt;=GRID_TO)*('Dvd Calendar'!$X$546&gt;VAL_DATE)=0,"",'Dvd Calendar'!$X$546*1000000000+ISNUMBER('Dvd Calendar'!$X$547)*100000000+0*10000000+(N('Dvd Calendar'!$X$545)&gt;0)*(N('Dvd Calendar'!$X$545)&lt;=VAL_SERIAL)*1000000+49*1000+60))</f>
        <v/>
      </c>
      <c r="GM60" s="121">
        <f>IF(N('Dvd Calendar'!$Y$546)=0,"",IF(('Dvd Calendar'!$Y$546&gt;=GRID_FROM)*('Dvd Calendar'!$Y$546&lt;=GRID_TO)*('Dvd Calendar'!$Y$546&gt;VAL_DATE)=0,"",'Dvd Calendar'!$Y$546*1000000000+ISNUMBER('Dvd Calendar'!$Y$547)*100000000+0*10000000+(N('Dvd Calendar'!$Y$545)&gt;0)*(N('Dvd Calendar'!$Y$545)&lt;=VAL_SERIAL)*1000000+49*1000+61))</f>
        <v/>
      </c>
      <c r="GN60" s="121">
        <f>IF(N('Dvd Calendar'!$Z$546)=0,"",IF(('Dvd Calendar'!$Z$546&gt;=GRID_FROM)*('Dvd Calendar'!$Z$546&lt;=GRID_TO)*('Dvd Calendar'!$Z$546&gt;VAL_DATE)=0,"",'Dvd Calendar'!$Z$546*1000000000+ISNUMBER('Dvd Calendar'!$Z$547)*100000000+0*10000000+(N('Dvd Calendar'!$Z$545)&gt;0)*(N('Dvd Calendar'!$Z$545)&lt;=VAL_SERIAL)*1000000+49*1000+62))</f>
        <v/>
      </c>
      <c r="GO60" s="121">
        <f>IF(N('Dvd Calendar'!$AA$546)=0,"",IF(('Dvd Calendar'!$AA$546&gt;=GRID_FROM)*('Dvd Calendar'!$AA$546&lt;=GRID_TO)*('Dvd Calendar'!$AA$546&gt;VAL_DATE)=0,"",'Dvd Calendar'!$AA$546*1000000000+ISNUMBER('Dvd Calendar'!$AA$547)*100000000+0*10000000+(N('Dvd Calendar'!$AA$545)&gt;0)*(N('Dvd Calendar'!$AA$545)&lt;=VAL_SERIAL)*1000000+49*1000+63))</f>
        <v/>
      </c>
      <c r="GP60" s="121">
        <f>IF(N('Dvd Calendar'!$AB$546)=0,"",IF(('Dvd Calendar'!$AB$546&gt;=GRID_FROM)*('Dvd Calendar'!$AB$546&lt;=GRID_TO)*('Dvd Calendar'!$AB$546&gt;VAL_DATE)=0,"",'Dvd Calendar'!$AB$546*1000000000+ISNUMBER('Dvd Calendar'!$AB$547)*100000000+0*10000000+(N('Dvd Calendar'!$AB$545)&gt;0)*(N('Dvd Calendar'!$AB$545)&lt;=VAL_SERIAL)*1000000+49*1000+64))</f>
        <v/>
      </c>
      <c r="GQ60" s="121">
        <f>IF(N('Dvd Calendar'!$AC$546)=0,"",IF(('Dvd Calendar'!$AC$546&gt;=GRID_FROM)*('Dvd Calendar'!$AC$546&lt;=GRID_TO)*('Dvd Calendar'!$AC$546&gt;VAL_DATE)=0,"",'Dvd Calendar'!$AC$546*1000000000+ISNUMBER('Dvd Calendar'!$AC$547)*100000000+0*10000000+(N('Dvd Calendar'!$AC$545)&gt;0)*(N('Dvd Calendar'!$AC$545)&lt;=VAL_SERIAL)*1000000+49*1000+65))</f>
        <v/>
      </c>
    </row>
    <row r="61">
      <c r="B61" s="2">
        <f>IF(HSI!$C$56="","",HSI!$C$56)</f>
        <v/>
      </c>
      <c r="C61" s="161">
        <f>IF(EE61="","",IF(ISNUMBER('Dvd Calendar'!$E$553)=FALSE,"",IF((('Dvd Calendar'!$E$555=TYPE1)*(TYPE1&lt;&gt;"")+('Dvd Calendar'!$E$555=TYPE2)*(TYPE2&lt;&gt;"")+('Dvd Calendar'!$E$555=TYPE3)*(TYPE3&lt;&gt;"")+('Dvd Calendar'!$E$555=TYPE4)*(TYPE4&lt;&gt;"")+('Dvd Calendar'!$E$555=SPECIAL_LBL)*(INC_SPECIALS="Y"))=0,"",'Dvd Calendar'!$E$553)))</f>
        <v/>
      </c>
      <c r="D61" s="161">
        <f>IF(EF61="","",IF(ISNUMBER('Dvd Calendar'!$F$553)=FALSE,"",IF((('Dvd Calendar'!$F$555=TYPE1)*(TYPE1&lt;&gt;"")+('Dvd Calendar'!$F$555=TYPE2)*(TYPE2&lt;&gt;"")+('Dvd Calendar'!$F$555=TYPE3)*(TYPE3&lt;&gt;"")+('Dvd Calendar'!$F$555=TYPE4)*(TYPE4&lt;&gt;"")+('Dvd Calendar'!$F$555=SPECIAL_LBL)*(INC_SPECIALS="Y"))=0,"",'Dvd Calendar'!$F$553)))</f>
        <v/>
      </c>
      <c r="E61" s="161">
        <f>IF(EG61="","",IF(ISNUMBER('Dvd Calendar'!$G$553)=FALSE,"",IF((('Dvd Calendar'!$G$555=TYPE1)*(TYPE1&lt;&gt;"")+('Dvd Calendar'!$G$555=TYPE2)*(TYPE2&lt;&gt;"")+('Dvd Calendar'!$G$555=TYPE3)*(TYPE3&lt;&gt;"")+('Dvd Calendar'!$G$555=TYPE4)*(TYPE4&lt;&gt;"")+('Dvd Calendar'!$G$555=SPECIAL_LBL)*(INC_SPECIALS="Y"))=0,"",'Dvd Calendar'!$G$553)))</f>
        <v/>
      </c>
      <c r="F61" s="161">
        <f>IF(EH61="","",IF(ISNUMBER('Dvd Calendar'!$H$553)=FALSE,"",IF((('Dvd Calendar'!$H$555=TYPE1)*(TYPE1&lt;&gt;"")+('Dvd Calendar'!$H$555=TYPE2)*(TYPE2&lt;&gt;"")+('Dvd Calendar'!$H$555=TYPE3)*(TYPE3&lt;&gt;"")+('Dvd Calendar'!$H$555=TYPE4)*(TYPE4&lt;&gt;"")+('Dvd Calendar'!$H$555=SPECIAL_LBL)*(INC_SPECIALS="Y"))=0,"",'Dvd Calendar'!$H$553)))</f>
        <v/>
      </c>
      <c r="G61" s="161">
        <f>IF(EI61="","",IF(ISNUMBER('Dvd Calendar'!$I$553)=FALSE,"",IF((('Dvd Calendar'!$I$555=TYPE1)*(TYPE1&lt;&gt;"")+('Dvd Calendar'!$I$555=TYPE2)*(TYPE2&lt;&gt;"")+('Dvd Calendar'!$I$555=TYPE3)*(TYPE3&lt;&gt;"")+('Dvd Calendar'!$I$555=TYPE4)*(TYPE4&lt;&gt;"")+('Dvd Calendar'!$I$555=SPECIAL_LBL)*(INC_SPECIALS="Y"))=0,"",'Dvd Calendar'!$I$553)))</f>
        <v/>
      </c>
      <c r="H61" s="161">
        <f>IF(EJ61="","",IF(ISNUMBER('Dvd Calendar'!$J$553)=FALSE,"",IF((('Dvd Calendar'!$J$555=TYPE1)*(TYPE1&lt;&gt;"")+('Dvd Calendar'!$J$555=TYPE2)*(TYPE2&lt;&gt;"")+('Dvd Calendar'!$J$555=TYPE3)*(TYPE3&lt;&gt;"")+('Dvd Calendar'!$J$555=TYPE4)*(TYPE4&lt;&gt;"")+('Dvd Calendar'!$J$555=SPECIAL_LBL)*(INC_SPECIALS="Y"))=0,"",'Dvd Calendar'!$J$553)))</f>
        <v/>
      </c>
      <c r="I61" s="161">
        <f>IF(EK61="","",IF(ISNUMBER('Dvd Calendar'!$K$553)=FALSE,"",IF((('Dvd Calendar'!$K$555=TYPE1)*(TYPE1&lt;&gt;"")+('Dvd Calendar'!$K$555=TYPE2)*(TYPE2&lt;&gt;"")+('Dvd Calendar'!$K$555=TYPE3)*(TYPE3&lt;&gt;"")+('Dvd Calendar'!$K$555=TYPE4)*(TYPE4&lt;&gt;"")+('Dvd Calendar'!$K$555=SPECIAL_LBL)*(INC_SPECIALS="Y"))=0,"",'Dvd Calendar'!$K$553)))</f>
        <v/>
      </c>
      <c r="J61" s="161">
        <f>IF(EL61="","",IF(ISNUMBER('Dvd Calendar'!$L$553)=FALSE,"",IF((('Dvd Calendar'!$L$555=TYPE1)*(TYPE1&lt;&gt;"")+('Dvd Calendar'!$L$555=TYPE2)*(TYPE2&lt;&gt;"")+('Dvd Calendar'!$L$555=TYPE3)*(TYPE3&lt;&gt;"")+('Dvd Calendar'!$L$555=TYPE4)*(TYPE4&lt;&gt;"")+('Dvd Calendar'!$L$555=SPECIAL_LBL)*(INC_SPECIALS="Y"))=0,"",'Dvd Calendar'!$L$553)))</f>
        <v/>
      </c>
      <c r="K61" s="161">
        <f>IF(EM61="","",IF(ISNUMBER('Dvd Calendar'!$M$553)=FALSE,"",IF((('Dvd Calendar'!$M$555=TYPE1)*(TYPE1&lt;&gt;"")+('Dvd Calendar'!$M$555=TYPE2)*(TYPE2&lt;&gt;"")+('Dvd Calendar'!$M$555=TYPE3)*(TYPE3&lt;&gt;"")+('Dvd Calendar'!$M$555=TYPE4)*(TYPE4&lt;&gt;"")+('Dvd Calendar'!$M$555=SPECIAL_LBL)*(INC_SPECIALS="Y"))=0,"",'Dvd Calendar'!$M$553)))</f>
        <v/>
      </c>
      <c r="L61" s="161">
        <f>IF(EN61="","",IF(ISNUMBER('Dvd Calendar'!$N$553)=FALSE,"",IF((('Dvd Calendar'!$N$555=TYPE1)*(TYPE1&lt;&gt;"")+('Dvd Calendar'!$N$555=TYPE2)*(TYPE2&lt;&gt;"")+('Dvd Calendar'!$N$555=TYPE3)*(TYPE3&lt;&gt;"")+('Dvd Calendar'!$N$555=TYPE4)*(TYPE4&lt;&gt;"")+('Dvd Calendar'!$N$555=SPECIAL_LBL)*(INC_SPECIALS="Y"))=0,"",'Dvd Calendar'!$N$553)))</f>
        <v/>
      </c>
      <c r="M61" s="161">
        <f>IF(EO61="","",IF(ISNUMBER('Dvd Calendar'!$O$553)=FALSE,"",IF((('Dvd Calendar'!$O$555=TYPE1)*(TYPE1&lt;&gt;"")+('Dvd Calendar'!$O$555=TYPE2)*(TYPE2&lt;&gt;"")+('Dvd Calendar'!$O$555=TYPE3)*(TYPE3&lt;&gt;"")+('Dvd Calendar'!$O$555=TYPE4)*(TYPE4&lt;&gt;"")+('Dvd Calendar'!$O$555=SPECIAL_LBL)*(INC_SPECIALS="Y"))=0,"",'Dvd Calendar'!$O$553)))</f>
        <v/>
      </c>
      <c r="N61" s="161">
        <f>IF(EP61="","",IF(ISNUMBER('Dvd Calendar'!$P$553)=FALSE,"",IF((('Dvd Calendar'!$P$555=TYPE1)*(TYPE1&lt;&gt;"")+('Dvd Calendar'!$P$555=TYPE2)*(TYPE2&lt;&gt;"")+('Dvd Calendar'!$P$555=TYPE3)*(TYPE3&lt;&gt;"")+('Dvd Calendar'!$P$555=TYPE4)*(TYPE4&lt;&gt;"")+('Dvd Calendar'!$P$555=SPECIAL_LBL)*(INC_SPECIALS="Y"))=0,"",'Dvd Calendar'!$P$553)))</f>
        <v/>
      </c>
      <c r="O61" s="161">
        <f>IF(EQ61="","",IF(ISNUMBER('Dvd Calendar'!$Q$553)=FALSE,"",IF((('Dvd Calendar'!$Q$555=TYPE1)*(TYPE1&lt;&gt;"")+('Dvd Calendar'!$Q$555=TYPE2)*(TYPE2&lt;&gt;"")+('Dvd Calendar'!$Q$555=TYPE3)*(TYPE3&lt;&gt;"")+('Dvd Calendar'!$Q$555=TYPE4)*(TYPE4&lt;&gt;"")+('Dvd Calendar'!$Q$555=SPECIAL_LBL)*(INC_SPECIALS="Y"))=0,"",'Dvd Calendar'!$Q$553)))</f>
        <v/>
      </c>
      <c r="P61" s="161">
        <f>IF(ER61="","",IF(ISNUMBER('Dvd Calendar'!$R$553)=FALSE,"",IF((('Dvd Calendar'!$R$555=TYPE1)*(TYPE1&lt;&gt;"")+('Dvd Calendar'!$R$555=TYPE2)*(TYPE2&lt;&gt;"")+('Dvd Calendar'!$R$555=TYPE3)*(TYPE3&lt;&gt;"")+('Dvd Calendar'!$R$555=TYPE4)*(TYPE4&lt;&gt;"")+('Dvd Calendar'!$R$555=SPECIAL_LBL)*(INC_SPECIALS="Y"))=0,"",'Dvd Calendar'!$R$553)))</f>
        <v/>
      </c>
      <c r="Q61" s="161">
        <f>IF(ES61="","",IF(ISNUMBER('Dvd Calendar'!$S$553)=FALSE,"",IF((('Dvd Calendar'!$S$555=TYPE1)*(TYPE1&lt;&gt;"")+('Dvd Calendar'!$S$555=TYPE2)*(TYPE2&lt;&gt;"")+('Dvd Calendar'!$S$555=TYPE3)*(TYPE3&lt;&gt;"")+('Dvd Calendar'!$S$555=TYPE4)*(TYPE4&lt;&gt;"")+('Dvd Calendar'!$S$555=SPECIAL_LBL)*(INC_SPECIALS="Y"))=0,"",'Dvd Calendar'!$S$553)))</f>
        <v/>
      </c>
      <c r="R61" s="161">
        <f>IF(ET61="","",IF(ISNUMBER('Dvd Calendar'!$T$553)=FALSE,"",IF((('Dvd Calendar'!$T$555=TYPE1)*(TYPE1&lt;&gt;"")+('Dvd Calendar'!$T$555=TYPE2)*(TYPE2&lt;&gt;"")+('Dvd Calendar'!$T$555=TYPE3)*(TYPE3&lt;&gt;"")+('Dvd Calendar'!$T$555=TYPE4)*(TYPE4&lt;&gt;"")+('Dvd Calendar'!$T$555=SPECIAL_LBL)*(INC_SPECIALS="Y"))=0,"",'Dvd Calendar'!$T$553)))</f>
        <v/>
      </c>
      <c r="S61" s="161">
        <f>IF(EU61="","",IF(ISNUMBER('Dvd Calendar'!$U$553)=FALSE,"",IF((('Dvd Calendar'!$U$555=TYPE1)*(TYPE1&lt;&gt;"")+('Dvd Calendar'!$U$555=TYPE2)*(TYPE2&lt;&gt;"")+('Dvd Calendar'!$U$555=TYPE3)*(TYPE3&lt;&gt;"")+('Dvd Calendar'!$U$555=TYPE4)*(TYPE4&lt;&gt;"")+('Dvd Calendar'!$U$555=SPECIAL_LBL)*(INC_SPECIALS="Y"))=0,"",'Dvd Calendar'!$U$553)))</f>
        <v/>
      </c>
      <c r="T61" s="161">
        <f>IF(EV61="","",IF(ISNUMBER('Dvd Calendar'!$V$553)=FALSE,"",IF((('Dvd Calendar'!$V$555=TYPE1)*(TYPE1&lt;&gt;"")+('Dvd Calendar'!$V$555=TYPE2)*(TYPE2&lt;&gt;"")+('Dvd Calendar'!$V$555=TYPE3)*(TYPE3&lt;&gt;"")+('Dvd Calendar'!$V$555=TYPE4)*(TYPE4&lt;&gt;"")+('Dvd Calendar'!$V$555=SPECIAL_LBL)*(INC_SPECIALS="Y"))=0,"",'Dvd Calendar'!$V$553)))</f>
        <v/>
      </c>
      <c r="U61" s="161">
        <f>IF(EW61="","",IF(ISNUMBER('Dvd Calendar'!$W$553)=FALSE,"",IF((('Dvd Calendar'!$W$555=TYPE1)*(TYPE1&lt;&gt;"")+('Dvd Calendar'!$W$555=TYPE2)*(TYPE2&lt;&gt;"")+('Dvd Calendar'!$W$555=TYPE3)*(TYPE3&lt;&gt;"")+('Dvd Calendar'!$W$555=TYPE4)*(TYPE4&lt;&gt;"")+('Dvd Calendar'!$W$555=SPECIAL_LBL)*(INC_SPECIALS="Y"))=0,"",'Dvd Calendar'!$W$553)))</f>
        <v/>
      </c>
      <c r="V61" s="161">
        <f>IF(EX61="","",IF(ISNUMBER('Dvd Calendar'!$X$553)=FALSE,"",IF((('Dvd Calendar'!$X$555=TYPE1)*(TYPE1&lt;&gt;"")+('Dvd Calendar'!$X$555=TYPE2)*(TYPE2&lt;&gt;"")+('Dvd Calendar'!$X$555=TYPE3)*(TYPE3&lt;&gt;"")+('Dvd Calendar'!$X$555=TYPE4)*(TYPE4&lt;&gt;"")+('Dvd Calendar'!$X$555=SPECIAL_LBL)*(INC_SPECIALS="Y"))=0,"",'Dvd Calendar'!$X$553)))</f>
        <v/>
      </c>
      <c r="W61" s="161">
        <f>IF(EY61="","",IF(ISNUMBER('Dvd Calendar'!$Y$553)=FALSE,"",IF((('Dvd Calendar'!$Y$555=TYPE1)*(TYPE1&lt;&gt;"")+('Dvd Calendar'!$Y$555=TYPE2)*(TYPE2&lt;&gt;"")+('Dvd Calendar'!$Y$555=TYPE3)*(TYPE3&lt;&gt;"")+('Dvd Calendar'!$Y$555=TYPE4)*(TYPE4&lt;&gt;"")+('Dvd Calendar'!$Y$555=SPECIAL_LBL)*(INC_SPECIALS="Y"))=0,"",'Dvd Calendar'!$Y$553)))</f>
        <v/>
      </c>
      <c r="X61" s="161">
        <f>IF(EZ61="","",IF(ISNUMBER('Dvd Calendar'!$Z$553)=FALSE,"",IF((('Dvd Calendar'!$Z$555=TYPE1)*(TYPE1&lt;&gt;"")+('Dvd Calendar'!$Z$555=TYPE2)*(TYPE2&lt;&gt;"")+('Dvd Calendar'!$Z$555=TYPE3)*(TYPE3&lt;&gt;"")+('Dvd Calendar'!$Z$555=TYPE4)*(TYPE4&lt;&gt;"")+('Dvd Calendar'!$Z$555=SPECIAL_LBL)*(INC_SPECIALS="Y"))=0,"",'Dvd Calendar'!$Z$553)))</f>
        <v/>
      </c>
      <c r="Y61" s="161">
        <f>IF(FA61="","",IF(ISNUMBER('Dvd Calendar'!$AA$553)=FALSE,"",IF((('Dvd Calendar'!$AA$555=TYPE1)*(TYPE1&lt;&gt;"")+('Dvd Calendar'!$AA$555=TYPE2)*(TYPE2&lt;&gt;"")+('Dvd Calendar'!$AA$555=TYPE3)*(TYPE3&lt;&gt;"")+('Dvd Calendar'!$AA$555=TYPE4)*(TYPE4&lt;&gt;"")+('Dvd Calendar'!$AA$555=SPECIAL_LBL)*(INC_SPECIALS="Y"))=0,"",'Dvd Calendar'!$AA$553)))</f>
        <v/>
      </c>
      <c r="Z61" s="161">
        <f>IF(FB61="","",IF(ISNUMBER('Dvd Calendar'!$AB$553)=FALSE,"",IF((('Dvd Calendar'!$AB$555=TYPE1)*(TYPE1&lt;&gt;"")+('Dvd Calendar'!$AB$555=TYPE2)*(TYPE2&lt;&gt;"")+('Dvd Calendar'!$AB$555=TYPE3)*(TYPE3&lt;&gt;"")+('Dvd Calendar'!$AB$555=TYPE4)*(TYPE4&lt;&gt;"")+('Dvd Calendar'!$AB$555=SPECIAL_LBL)*(INC_SPECIALS="Y"))=0,"",'Dvd Calendar'!$AB$553)))</f>
        <v/>
      </c>
      <c r="AA61" s="161">
        <f>IF(FC61="","",IF(ISNUMBER('Dvd Calendar'!$AC$553)=FALSE,"",IF((('Dvd Calendar'!$AC$555=TYPE1)*(TYPE1&lt;&gt;"")+('Dvd Calendar'!$AC$555=TYPE2)*(TYPE2&lt;&gt;"")+('Dvd Calendar'!$AC$555=TYPE3)*(TYPE3&lt;&gt;"")+('Dvd Calendar'!$AC$555=TYPE4)*(TYPE4&lt;&gt;"")+('Dvd Calendar'!$AC$555=SPECIAL_LBL)*(INC_SPECIALS="Y"))=0,"",'Dvd Calendar'!$AC$553)))</f>
        <v/>
      </c>
      <c r="AB61" s="161">
        <f>IF(FD61="","",IF(ISNUMBER('Dvd Calendar'!$AD$553)=FALSE,"",IF((('Dvd Calendar'!$AD$555=TYPE1)*(TYPE1&lt;&gt;"")+('Dvd Calendar'!$AD$555=TYPE2)*(TYPE2&lt;&gt;"")+('Dvd Calendar'!$AD$555=TYPE3)*(TYPE3&lt;&gt;"")+('Dvd Calendar'!$AD$555=TYPE4)*(TYPE4&lt;&gt;"")+('Dvd Calendar'!$AD$555=SPECIAL_LBL)*(INC_SPECIALS="Y"))=0,"",'Dvd Calendar'!$AD$553)))</f>
        <v/>
      </c>
      <c r="AC61" s="161">
        <f>IF(FE61="","",IF(ISNUMBER('Dvd Calendar'!$AE$553)=FALSE,"",IF((('Dvd Calendar'!$AE$555=TYPE1)*(TYPE1&lt;&gt;"")+('Dvd Calendar'!$AE$555=TYPE2)*(TYPE2&lt;&gt;"")+('Dvd Calendar'!$AE$555=TYPE3)*(TYPE3&lt;&gt;"")+('Dvd Calendar'!$AE$555=TYPE4)*(TYPE4&lt;&gt;"")+('Dvd Calendar'!$AE$555=SPECIAL_LBL)*(INC_SPECIALS="Y"))=0,"",'Dvd Calendar'!$AE$553)))</f>
        <v/>
      </c>
      <c r="AD61" s="161">
        <f>IF(FF61="","",IF(ISNUMBER('Dvd Calendar'!$AF$553)=FALSE,"",IF((('Dvd Calendar'!$AF$555=TYPE1)*(TYPE1&lt;&gt;"")+('Dvd Calendar'!$AF$555=TYPE2)*(TYPE2&lt;&gt;"")+('Dvd Calendar'!$AF$555=TYPE3)*(TYPE3&lt;&gt;"")+('Dvd Calendar'!$AF$555=TYPE4)*(TYPE4&lt;&gt;"")+('Dvd Calendar'!$AF$555=SPECIAL_LBL)*(INC_SPECIALS="Y"))=0,"",'Dvd Calendar'!$AF$553)))</f>
        <v/>
      </c>
      <c r="AE61" s="161">
        <f>IF(FG61="","",IF(ISNUMBER('Dvd Calendar'!$AG$553)=FALSE,"",IF((('Dvd Calendar'!$AG$555=TYPE1)*(TYPE1&lt;&gt;"")+('Dvd Calendar'!$AG$555=TYPE2)*(TYPE2&lt;&gt;"")+('Dvd Calendar'!$AG$555=TYPE3)*(TYPE3&lt;&gt;"")+('Dvd Calendar'!$AG$555=TYPE4)*(TYPE4&lt;&gt;"")+('Dvd Calendar'!$AG$555=SPECIAL_LBL)*(INC_SPECIALS="Y"))=0,"",'Dvd Calendar'!$AG$553)))</f>
        <v/>
      </c>
      <c r="AF61" s="161">
        <f>IF(FH61="","",IF(ISNUMBER('Dvd Calendar'!$AH$553)=FALSE,"",IF((('Dvd Calendar'!$AH$555=TYPE1)*(TYPE1&lt;&gt;"")+('Dvd Calendar'!$AH$555=TYPE2)*(TYPE2&lt;&gt;"")+('Dvd Calendar'!$AH$555=TYPE3)*(TYPE3&lt;&gt;"")+('Dvd Calendar'!$AH$555=TYPE4)*(TYPE4&lt;&gt;"")+('Dvd Calendar'!$AH$555=SPECIAL_LBL)*(INC_SPECIALS="Y"))=0,"",'Dvd Calendar'!$AH$553)))</f>
        <v/>
      </c>
      <c r="AG61" s="161">
        <f>IF(FI61="","",IF(ISNUMBER('Dvd Calendar'!$AI$553)=FALSE,"",IF((('Dvd Calendar'!$AI$555=TYPE1)*(TYPE1&lt;&gt;"")+('Dvd Calendar'!$AI$555=TYPE2)*(TYPE2&lt;&gt;"")+('Dvd Calendar'!$AI$555=TYPE3)*(TYPE3&lt;&gt;"")+('Dvd Calendar'!$AI$555=TYPE4)*(TYPE4&lt;&gt;"")+('Dvd Calendar'!$AI$555=SPECIAL_LBL)*(INC_SPECIALS="Y"))=0,"",'Dvd Calendar'!$AI$553)))</f>
        <v/>
      </c>
      <c r="AH61" s="161">
        <f>IF(FJ61="","",IF(ISNUMBER('Dvd Calendar'!$AJ$553)=FALSE,"",IF((('Dvd Calendar'!$AJ$555=TYPE1)*(TYPE1&lt;&gt;"")+('Dvd Calendar'!$AJ$555=TYPE2)*(TYPE2&lt;&gt;"")+('Dvd Calendar'!$AJ$555=TYPE3)*(TYPE3&lt;&gt;"")+('Dvd Calendar'!$AJ$555=TYPE4)*(TYPE4&lt;&gt;"")+('Dvd Calendar'!$AJ$555=SPECIAL_LBL)*(INC_SPECIALS="Y"))=0,"",'Dvd Calendar'!$AJ$553)))</f>
        <v/>
      </c>
      <c r="AI61" s="161">
        <f>IF(FK61="","",IF(ISNUMBER('Dvd Calendar'!$AK$553)=FALSE,"",IF((('Dvd Calendar'!$AK$555=TYPE1)*(TYPE1&lt;&gt;"")+('Dvd Calendar'!$AK$555=TYPE2)*(TYPE2&lt;&gt;"")+('Dvd Calendar'!$AK$555=TYPE3)*(TYPE3&lt;&gt;"")+('Dvd Calendar'!$AK$555=TYPE4)*(TYPE4&lt;&gt;"")+('Dvd Calendar'!$AK$555=SPECIAL_LBL)*(INC_SPECIALS="Y"))=0,"",'Dvd Calendar'!$AK$553)))</f>
        <v/>
      </c>
      <c r="AJ61" s="161">
        <f>IF(FL61="","",IF(ISNUMBER('Dvd Calendar'!$AL$553)=FALSE,"",IF((('Dvd Calendar'!$AL$555=TYPE1)*(TYPE1&lt;&gt;"")+('Dvd Calendar'!$AL$555=TYPE2)*(TYPE2&lt;&gt;"")+('Dvd Calendar'!$AL$555=TYPE3)*(TYPE3&lt;&gt;"")+('Dvd Calendar'!$AL$555=TYPE4)*(TYPE4&lt;&gt;"")+('Dvd Calendar'!$AL$555=SPECIAL_LBL)*(INC_SPECIALS="Y"))=0,"",'Dvd Calendar'!$AL$553)))</f>
        <v/>
      </c>
      <c r="AK61" s="161">
        <f>IF(FM61="","",IF(ISNUMBER('Dvd Calendar'!$AM$553)=FALSE,"",IF((('Dvd Calendar'!$AM$555=TYPE1)*(TYPE1&lt;&gt;"")+('Dvd Calendar'!$AM$555=TYPE2)*(TYPE2&lt;&gt;"")+('Dvd Calendar'!$AM$555=TYPE3)*(TYPE3&lt;&gt;"")+('Dvd Calendar'!$AM$555=TYPE4)*(TYPE4&lt;&gt;"")+('Dvd Calendar'!$AM$555=SPECIAL_LBL)*(INC_SPECIALS="Y"))=0,"",'Dvd Calendar'!$AM$553)))</f>
        <v/>
      </c>
      <c r="AL61" s="161">
        <f>IF(FN61="","",IF(ISNUMBER('Dvd Calendar'!$AN$553)=FALSE,"",IF((('Dvd Calendar'!$AN$555=TYPE1)*(TYPE1&lt;&gt;"")+('Dvd Calendar'!$AN$555=TYPE2)*(TYPE2&lt;&gt;"")+('Dvd Calendar'!$AN$555=TYPE3)*(TYPE3&lt;&gt;"")+('Dvd Calendar'!$AN$555=TYPE4)*(TYPE4&lt;&gt;"")+('Dvd Calendar'!$AN$555=SPECIAL_LBL)*(INC_SPECIALS="Y"))=0,"",'Dvd Calendar'!$AN$553)))</f>
        <v/>
      </c>
      <c r="AM61" s="161">
        <f>IF(FO61="","",IF(ISNUMBER('Dvd Calendar'!$AO$553)=FALSE,"",IF((('Dvd Calendar'!$AO$555=TYPE1)*(TYPE1&lt;&gt;"")+('Dvd Calendar'!$AO$555=TYPE2)*(TYPE2&lt;&gt;"")+('Dvd Calendar'!$AO$555=TYPE3)*(TYPE3&lt;&gt;"")+('Dvd Calendar'!$AO$555=TYPE4)*(TYPE4&lt;&gt;"")+('Dvd Calendar'!$AO$555=SPECIAL_LBL)*(INC_SPECIALS="Y"))=0,"",'Dvd Calendar'!$AO$553)))</f>
        <v/>
      </c>
      <c r="AN61" s="161">
        <f>IF(FP61="","",IF(ISNUMBER('Dvd Calendar'!$AP$553)=FALSE,"",IF((('Dvd Calendar'!$AP$555=TYPE1)*(TYPE1&lt;&gt;"")+('Dvd Calendar'!$AP$555=TYPE2)*(TYPE2&lt;&gt;"")+('Dvd Calendar'!$AP$555=TYPE3)*(TYPE3&lt;&gt;"")+('Dvd Calendar'!$AP$555=TYPE4)*(TYPE4&lt;&gt;"")+('Dvd Calendar'!$AP$555=SPECIAL_LBL)*(INC_SPECIALS="Y"))=0,"",'Dvd Calendar'!$AP$553)))</f>
        <v/>
      </c>
      <c r="AO61" s="161">
        <f>IF(FQ61="","",IF(ISNUMBER('Dvd Calendar'!$AQ$553)=FALSE,"",IF((('Dvd Calendar'!$AQ$555=TYPE1)*(TYPE1&lt;&gt;"")+('Dvd Calendar'!$AQ$555=TYPE2)*(TYPE2&lt;&gt;"")+('Dvd Calendar'!$AQ$555=TYPE3)*(TYPE3&lt;&gt;"")+('Dvd Calendar'!$AQ$555=TYPE4)*(TYPE4&lt;&gt;"")+('Dvd Calendar'!$AQ$555=SPECIAL_LBL)*(INC_SPECIALS="Y"))=0,"",'Dvd Calendar'!$AQ$553)))</f>
        <v/>
      </c>
      <c r="AP61" s="161">
        <f>IF(FR61="","",IF(ISNUMBER('Dvd Calendar'!$AR$553)=FALSE,"",IF((('Dvd Calendar'!$AR$555=TYPE1)*(TYPE1&lt;&gt;"")+('Dvd Calendar'!$AR$555=TYPE2)*(TYPE2&lt;&gt;"")+('Dvd Calendar'!$AR$555=TYPE3)*(TYPE3&lt;&gt;"")+('Dvd Calendar'!$AR$555=TYPE4)*(TYPE4&lt;&gt;"")+('Dvd Calendar'!$AR$555=SPECIAL_LBL)*(INC_SPECIALS="Y"))=0,"",'Dvd Calendar'!$AR$553)))</f>
        <v/>
      </c>
      <c r="AQ61" s="161">
        <f>IF(FS61="","",IF(ISNUMBER('Dvd Calendar'!$E$558)=FALSE,"",'Dvd Calendar'!$E$558))</f>
        <v/>
      </c>
      <c r="AR61" s="161">
        <f>IF(FT61="","",IF(ISNUMBER('Dvd Calendar'!$F$558)=FALSE,"",'Dvd Calendar'!$F$558))</f>
        <v/>
      </c>
      <c r="AS61" s="161">
        <f>IF(FU61="","",IF(ISNUMBER('Dvd Calendar'!$G$558)=FALSE,"",'Dvd Calendar'!$G$558))</f>
        <v/>
      </c>
      <c r="AT61" s="161">
        <f>IF(FV61="","",IF(ISNUMBER('Dvd Calendar'!$H$558)=FALSE,"",'Dvd Calendar'!$H$558))</f>
        <v/>
      </c>
      <c r="AU61" s="161">
        <f>IF(FW61="","",IF(ISNUMBER('Dvd Calendar'!$I$558)=FALSE,"",'Dvd Calendar'!$I$558))</f>
        <v/>
      </c>
      <c r="AV61" s="161">
        <f>IF(FX61="","",IF(ISNUMBER('Dvd Calendar'!$J$558)=FALSE,"",'Dvd Calendar'!$J$558))</f>
        <v/>
      </c>
      <c r="AW61" s="161">
        <f>IF(FY61="","",IF(ISNUMBER('Dvd Calendar'!$K$558)=FALSE,"",'Dvd Calendar'!$K$558))</f>
        <v/>
      </c>
      <c r="AX61" s="161">
        <f>IF(FZ61="","",IF(ISNUMBER('Dvd Calendar'!$L$558)=FALSE,"",'Dvd Calendar'!$L$558))</f>
        <v/>
      </c>
      <c r="AY61" s="161">
        <f>IF(GA61="","",IF(ISNUMBER('Dvd Calendar'!$M$558)=FALSE,"",'Dvd Calendar'!$M$558))</f>
        <v/>
      </c>
      <c r="AZ61" s="161">
        <f>IF(GB61="","",IF(ISNUMBER('Dvd Calendar'!$N$558)=FALSE,"",'Dvd Calendar'!$N$558))</f>
        <v/>
      </c>
      <c r="BA61" s="161">
        <f>IF(GC61="","",IF(ISNUMBER('Dvd Calendar'!$O$558)=FALSE,"",'Dvd Calendar'!$O$558))</f>
        <v/>
      </c>
      <c r="BB61" s="161">
        <f>IF(GD61="","",IF(ISNUMBER('Dvd Calendar'!$P$558)=FALSE,"",'Dvd Calendar'!$P$558))</f>
        <v/>
      </c>
      <c r="BC61" s="161">
        <f>IF(GE61="","",IF(ISNUMBER('Dvd Calendar'!$Q$558)=FALSE,"",'Dvd Calendar'!$Q$558))</f>
        <v/>
      </c>
      <c r="BD61" s="161">
        <f>IF(GF61="","",IF(ISNUMBER('Dvd Calendar'!$R$558)=FALSE,"",'Dvd Calendar'!$R$558))</f>
        <v/>
      </c>
      <c r="BE61" s="161">
        <f>IF(GG61="","",IF(ISNUMBER('Dvd Calendar'!$S$558)=FALSE,"",'Dvd Calendar'!$S$558))</f>
        <v/>
      </c>
      <c r="BF61" s="161">
        <f>IF(GH61="","",IF(ISNUMBER('Dvd Calendar'!$T$558)=FALSE,"",'Dvd Calendar'!$T$558))</f>
        <v/>
      </c>
      <c r="BG61" s="161">
        <f>IF(GI61="","",IF(ISNUMBER('Dvd Calendar'!$U$558)=FALSE,"",'Dvd Calendar'!$U$558))</f>
        <v/>
      </c>
      <c r="BH61" s="161">
        <f>IF(GJ61="","",IF(ISNUMBER('Dvd Calendar'!$V$558)=FALSE,"",'Dvd Calendar'!$V$558))</f>
        <v/>
      </c>
      <c r="BI61" s="161">
        <f>IF(GK61="","",IF(ISNUMBER('Dvd Calendar'!$W$558)=FALSE,"",'Dvd Calendar'!$W$558))</f>
        <v/>
      </c>
      <c r="BJ61" s="161">
        <f>IF(GL61="","",IF(ISNUMBER('Dvd Calendar'!$X$558)=FALSE,"",'Dvd Calendar'!$X$558))</f>
        <v/>
      </c>
      <c r="BK61" s="161">
        <f>IF(GM61="","",IF(ISNUMBER('Dvd Calendar'!$Y$558)=FALSE,"",'Dvd Calendar'!$Y$558))</f>
        <v/>
      </c>
      <c r="BL61" s="161">
        <f>IF(GN61="","",IF(ISNUMBER('Dvd Calendar'!$Z$558)=FALSE,"",'Dvd Calendar'!$Z$558))</f>
        <v/>
      </c>
      <c r="BM61" s="161">
        <f>IF(GO61="","",IF(ISNUMBER('Dvd Calendar'!$AA$558)=FALSE,"",'Dvd Calendar'!$AA$558))</f>
        <v/>
      </c>
      <c r="BN61" s="161">
        <f>IF(GP61="","",IF(ISNUMBER('Dvd Calendar'!$AB$558)=FALSE,"",'Dvd Calendar'!$AB$558))</f>
        <v/>
      </c>
      <c r="BO61" s="161">
        <f>IF(GQ61="","",IF(ISNUMBER('Dvd Calendar'!$AC$558)=FALSE,"",'Dvd Calendar'!$AC$558))</f>
        <v/>
      </c>
      <c r="BQ61" s="161">
        <f>IF(C61="","",IFERROR(C61*HSI!$B$56*HSI!$G$56/HSI!$B$3,""))</f>
        <v/>
      </c>
      <c r="BR61" s="161">
        <f>IF(D61="","",IFERROR(D61*HSI!$B$56*HSI!$G$56/HSI!$B$3,""))</f>
        <v/>
      </c>
      <c r="BS61" s="161">
        <f>IF(E61="","",IFERROR(E61*HSI!$B$56*HSI!$G$56/HSI!$B$3,""))</f>
        <v/>
      </c>
      <c r="BT61" s="161">
        <f>IF(F61="","",IFERROR(F61*HSI!$B$56*HSI!$G$56/HSI!$B$3,""))</f>
        <v/>
      </c>
      <c r="BU61" s="161">
        <f>IF(G61="","",IFERROR(G61*HSI!$B$56*HSI!$G$56/HSI!$B$3,""))</f>
        <v/>
      </c>
      <c r="BV61" s="161">
        <f>IF(H61="","",IFERROR(H61*HSI!$B$56*HSI!$G$56/HSI!$B$3,""))</f>
        <v/>
      </c>
      <c r="BW61" s="161">
        <f>IF(I61="","",IFERROR(I61*HSI!$B$56*HSI!$G$56/HSI!$B$3,""))</f>
        <v/>
      </c>
      <c r="BX61" s="161">
        <f>IF(J61="","",IFERROR(J61*HSI!$B$56*HSI!$G$56/HSI!$B$3,""))</f>
        <v/>
      </c>
      <c r="BY61" s="161">
        <f>IF(K61="","",IFERROR(K61*HSI!$B$56*HSI!$G$56/HSI!$B$3,""))</f>
        <v/>
      </c>
      <c r="BZ61" s="161">
        <f>IF(L61="","",IFERROR(L61*HSI!$B$56*HSI!$G$56/HSI!$B$3,""))</f>
        <v/>
      </c>
      <c r="CA61" s="161">
        <f>IF(M61="","",IFERROR(M61*HSI!$B$56*HSI!$G$56/HSI!$B$3,""))</f>
        <v/>
      </c>
      <c r="CB61" s="161">
        <f>IF(N61="","",IFERROR(N61*HSI!$B$56*HSI!$G$56/HSI!$B$3,""))</f>
        <v/>
      </c>
      <c r="CC61" s="161">
        <f>IF(O61="","",IFERROR(O61*HSI!$B$56*HSI!$G$56/HSI!$B$3,""))</f>
        <v/>
      </c>
      <c r="CD61" s="161">
        <f>IF(P61="","",IFERROR(P61*HSI!$B$56*HSI!$G$56/HSI!$B$3,""))</f>
        <v/>
      </c>
      <c r="CE61" s="161">
        <f>IF(Q61="","",IFERROR(Q61*HSI!$B$56*HSI!$G$56/HSI!$B$3,""))</f>
        <v/>
      </c>
      <c r="CF61" s="161">
        <f>IF(R61="","",IFERROR(R61*HSI!$B$56*HSI!$G$56/HSI!$B$3,""))</f>
        <v/>
      </c>
      <c r="CG61" s="161">
        <f>IF(S61="","",IFERROR(S61*HSI!$B$56*HSI!$G$56/HSI!$B$3,""))</f>
        <v/>
      </c>
      <c r="CH61" s="161">
        <f>IF(T61="","",IFERROR(T61*HSI!$B$56*HSI!$G$56/HSI!$B$3,""))</f>
        <v/>
      </c>
      <c r="CI61" s="161">
        <f>IF(U61="","",IFERROR(U61*HSI!$B$56*HSI!$G$56/HSI!$B$3,""))</f>
        <v/>
      </c>
      <c r="CJ61" s="161">
        <f>IF(V61="","",IFERROR(V61*HSI!$B$56*HSI!$G$56/HSI!$B$3,""))</f>
        <v/>
      </c>
      <c r="CK61" s="161">
        <f>IF(W61="","",IFERROR(W61*HSI!$B$56*HSI!$G$56/HSI!$B$3,""))</f>
        <v/>
      </c>
      <c r="CL61" s="161">
        <f>IF(X61="","",IFERROR(X61*HSI!$B$56*HSI!$G$56/HSI!$B$3,""))</f>
        <v/>
      </c>
      <c r="CM61" s="161">
        <f>IF(Y61="","",IFERROR(Y61*HSI!$B$56*HSI!$G$56/HSI!$B$3,""))</f>
        <v/>
      </c>
      <c r="CN61" s="161">
        <f>IF(Z61="","",IFERROR(Z61*HSI!$B$56*HSI!$G$56/HSI!$B$3,""))</f>
        <v/>
      </c>
      <c r="CO61" s="161">
        <f>IF(AA61="","",IFERROR(AA61*HSI!$B$56*HSI!$G$56/HSI!$B$3,""))</f>
        <v/>
      </c>
      <c r="CP61" s="161">
        <f>IF(AB61="","",IFERROR(AB61*HSI!$B$56*HSI!$G$56/HSI!$B$3,""))</f>
        <v/>
      </c>
      <c r="CQ61" s="161">
        <f>IF(AC61="","",IFERROR(AC61*HSI!$B$56*HSI!$G$56/HSI!$B$3,""))</f>
        <v/>
      </c>
      <c r="CR61" s="161">
        <f>IF(AD61="","",IFERROR(AD61*HSI!$B$56*HSI!$G$56/HSI!$B$3,""))</f>
        <v/>
      </c>
      <c r="CS61" s="161">
        <f>IF(AE61="","",IFERROR(AE61*HSI!$B$56*HSI!$G$56/HSI!$B$3,""))</f>
        <v/>
      </c>
      <c r="CT61" s="161">
        <f>IF(AF61="","",IFERROR(AF61*HSI!$B$56*HSI!$G$56/HSI!$B$3,""))</f>
        <v/>
      </c>
      <c r="CU61" s="161">
        <f>IF(AG61="","",IFERROR(AG61*HSI!$B$56*HSI!$G$56/HSI!$B$3,""))</f>
        <v/>
      </c>
      <c r="CV61" s="161">
        <f>IF(AH61="","",IFERROR(AH61*HSI!$B$56*HSI!$G$56/HSI!$B$3,""))</f>
        <v/>
      </c>
      <c r="CW61" s="161">
        <f>IF(AI61="","",IFERROR(AI61*HSI!$B$56*HSI!$G$56/HSI!$B$3,""))</f>
        <v/>
      </c>
      <c r="CX61" s="161">
        <f>IF(AJ61="","",IFERROR(AJ61*HSI!$B$56*HSI!$G$56/HSI!$B$3,""))</f>
        <v/>
      </c>
      <c r="CY61" s="161">
        <f>IF(AK61="","",IFERROR(AK61*HSI!$B$56*HSI!$G$56/HSI!$B$3,""))</f>
        <v/>
      </c>
      <c r="CZ61" s="161">
        <f>IF(AL61="","",IFERROR(AL61*HSI!$B$56*HSI!$G$56/HSI!$B$3,""))</f>
        <v/>
      </c>
      <c r="DA61" s="161">
        <f>IF(AM61="","",IFERROR(AM61*HSI!$B$56*HSI!$G$56/HSI!$B$3,""))</f>
        <v/>
      </c>
      <c r="DB61" s="161">
        <f>IF(AN61="","",IFERROR(AN61*HSI!$B$56*HSI!$G$56/HSI!$B$3,""))</f>
        <v/>
      </c>
      <c r="DC61" s="161">
        <f>IF(AO61="","",IFERROR(AO61*HSI!$B$56*HSI!$G$56/HSI!$B$3,""))</f>
        <v/>
      </c>
      <c r="DD61" s="161">
        <f>IF(AP61="","",IFERROR(AP61*HSI!$B$56*HSI!$G$56/HSI!$B$3,""))</f>
        <v/>
      </c>
      <c r="DE61" s="161">
        <f>IF(AQ61="","",IFERROR(AQ61*HSI!$B$56*HSI!$G$56/HSI!$B$3,""))</f>
        <v/>
      </c>
      <c r="DF61" s="161">
        <f>IF(AR61="","",IFERROR(AR61*HSI!$B$56*HSI!$G$56/HSI!$B$3,""))</f>
        <v/>
      </c>
      <c r="DG61" s="161">
        <f>IF(AS61="","",IFERROR(AS61*HSI!$B$56*HSI!$G$56/HSI!$B$3,""))</f>
        <v/>
      </c>
      <c r="DH61" s="161">
        <f>IF(AT61="","",IFERROR(AT61*HSI!$B$56*HSI!$G$56/HSI!$B$3,""))</f>
        <v/>
      </c>
      <c r="DI61" s="161">
        <f>IF(AU61="","",IFERROR(AU61*HSI!$B$56*HSI!$G$56/HSI!$B$3,""))</f>
        <v/>
      </c>
      <c r="DJ61" s="161">
        <f>IF(AV61="","",IFERROR(AV61*HSI!$B$56*HSI!$G$56/HSI!$B$3,""))</f>
        <v/>
      </c>
      <c r="DK61" s="161">
        <f>IF(AW61="","",IFERROR(AW61*HSI!$B$56*HSI!$G$56/HSI!$B$3,""))</f>
        <v/>
      </c>
      <c r="DL61" s="161">
        <f>IF(AX61="","",IFERROR(AX61*HSI!$B$56*HSI!$G$56/HSI!$B$3,""))</f>
        <v/>
      </c>
      <c r="DM61" s="161">
        <f>IF(AY61="","",IFERROR(AY61*HSI!$B$56*HSI!$G$56/HSI!$B$3,""))</f>
        <v/>
      </c>
      <c r="DN61" s="161">
        <f>IF(AZ61="","",IFERROR(AZ61*HSI!$B$56*HSI!$G$56/HSI!$B$3,""))</f>
        <v/>
      </c>
      <c r="DO61" s="161">
        <f>IF(BA61="","",IFERROR(BA61*HSI!$B$56*HSI!$G$56/HSI!$B$3,""))</f>
        <v/>
      </c>
      <c r="DP61" s="161">
        <f>IF(BB61="","",IFERROR(BB61*HSI!$B$56*HSI!$G$56/HSI!$B$3,""))</f>
        <v/>
      </c>
      <c r="DQ61" s="161">
        <f>IF(BC61="","",IFERROR(BC61*HSI!$B$56*HSI!$G$56/HSI!$B$3,""))</f>
        <v/>
      </c>
      <c r="DR61" s="161">
        <f>IF(BD61="","",IFERROR(BD61*HSI!$B$56*HSI!$G$56/HSI!$B$3,""))</f>
        <v/>
      </c>
      <c r="DS61" s="161">
        <f>IF(BE61="","",IFERROR(BE61*HSI!$B$56*HSI!$G$56/HSI!$B$3,""))</f>
        <v/>
      </c>
      <c r="DT61" s="161">
        <f>IF(BF61="","",IFERROR(BF61*HSI!$B$56*HSI!$G$56/HSI!$B$3,""))</f>
        <v/>
      </c>
      <c r="DU61" s="161">
        <f>IF(BG61="","",IFERROR(BG61*HSI!$B$56*HSI!$G$56/HSI!$B$3,""))</f>
        <v/>
      </c>
      <c r="DV61" s="161">
        <f>IF(BH61="","",IFERROR(BH61*HSI!$B$56*HSI!$G$56/HSI!$B$3,""))</f>
        <v/>
      </c>
      <c r="DW61" s="161">
        <f>IF(BI61="","",IFERROR(BI61*HSI!$B$56*HSI!$G$56/HSI!$B$3,""))</f>
        <v/>
      </c>
      <c r="DX61" s="161">
        <f>IF(BJ61="","",IFERROR(BJ61*HSI!$B$56*HSI!$G$56/HSI!$B$3,""))</f>
        <v/>
      </c>
      <c r="DY61" s="161">
        <f>IF(BK61="","",IFERROR(BK61*HSI!$B$56*HSI!$G$56/HSI!$B$3,""))</f>
        <v/>
      </c>
      <c r="DZ61" s="161">
        <f>IF(BL61="","",IFERROR(BL61*HSI!$B$56*HSI!$G$56/HSI!$B$3,""))</f>
        <v/>
      </c>
      <c r="EA61" s="161">
        <f>IF(BM61="","",IFERROR(BM61*HSI!$B$56*HSI!$G$56/HSI!$B$3,""))</f>
        <v/>
      </c>
      <c r="EB61" s="161">
        <f>IF(BN61="","",IFERROR(BN61*HSI!$B$56*HSI!$G$56/HSI!$B$3,""))</f>
        <v/>
      </c>
      <c r="EC61" s="161">
        <f>IF(BO61="","",IFERROR(BO61*HSI!$B$56*HSI!$G$56/HSI!$B$3,""))</f>
        <v/>
      </c>
      <c r="EE61" s="121">
        <f>IF(N('Dvd Calendar'!$E$550)=0,"",IF(('Dvd Calendar'!$E$550&gt;=GRID_FROM)*('Dvd Calendar'!$E$550&lt;=GRID_TO)*((('Dvd Calendar'!$E$550&lt;=VAL_DATE)+(COUNTIF('Dvd Calendar'!$E$557:$AR$557,'Dvd Calendar'!$E$550)=0))&gt;0)=0,"",'Dvd Calendar'!$E$550*1000000000+ISNUMBER('Dvd Calendar'!$E$553)*100000000+('Dvd Calendar'!$E$555=SPECIAL_LBL)*10000000+(N('Dvd Calendar'!$E$549)&gt;0)*(N('Dvd Calendar'!$E$549)&lt;=VAL_SERIAL)*1000000+50*1000+1))</f>
        <v/>
      </c>
      <c r="EF61" s="121">
        <f>IF(N('Dvd Calendar'!$F$550)=0,"",IF(('Dvd Calendar'!$F$550&gt;=GRID_FROM)*('Dvd Calendar'!$F$550&lt;=GRID_TO)*((('Dvd Calendar'!$F$550&lt;=VAL_DATE)+(COUNTIF('Dvd Calendar'!$E$557:$AR$557,'Dvd Calendar'!$F$550)=0))&gt;0)=0,"",'Dvd Calendar'!$F$550*1000000000+ISNUMBER('Dvd Calendar'!$F$553)*100000000+('Dvd Calendar'!$F$555=SPECIAL_LBL)*10000000+(N('Dvd Calendar'!$F$549)&gt;0)*(N('Dvd Calendar'!$F$549)&lt;=VAL_SERIAL)*1000000+50*1000+2))</f>
        <v/>
      </c>
      <c r="EG61" s="121">
        <f>IF(N('Dvd Calendar'!$G$550)=0,"",IF(('Dvd Calendar'!$G$550&gt;=GRID_FROM)*('Dvd Calendar'!$G$550&lt;=GRID_TO)*((('Dvd Calendar'!$G$550&lt;=VAL_DATE)+(COUNTIF('Dvd Calendar'!$E$557:$AR$557,'Dvd Calendar'!$G$550)=0))&gt;0)=0,"",'Dvd Calendar'!$G$550*1000000000+ISNUMBER('Dvd Calendar'!$G$553)*100000000+('Dvd Calendar'!$G$555=SPECIAL_LBL)*10000000+(N('Dvd Calendar'!$G$549)&gt;0)*(N('Dvd Calendar'!$G$549)&lt;=VAL_SERIAL)*1000000+50*1000+3))</f>
        <v/>
      </c>
      <c r="EH61" s="121">
        <f>IF(N('Dvd Calendar'!$H$550)=0,"",IF(('Dvd Calendar'!$H$550&gt;=GRID_FROM)*('Dvd Calendar'!$H$550&lt;=GRID_TO)*((('Dvd Calendar'!$H$550&lt;=VAL_DATE)+(COUNTIF('Dvd Calendar'!$E$557:$AR$557,'Dvd Calendar'!$H$550)=0))&gt;0)=0,"",'Dvd Calendar'!$H$550*1000000000+ISNUMBER('Dvd Calendar'!$H$553)*100000000+('Dvd Calendar'!$H$555=SPECIAL_LBL)*10000000+(N('Dvd Calendar'!$H$549)&gt;0)*(N('Dvd Calendar'!$H$549)&lt;=VAL_SERIAL)*1000000+50*1000+4))</f>
        <v/>
      </c>
      <c r="EI61" s="121">
        <f>IF(N('Dvd Calendar'!$I$550)=0,"",IF(('Dvd Calendar'!$I$550&gt;=GRID_FROM)*('Dvd Calendar'!$I$550&lt;=GRID_TO)*((('Dvd Calendar'!$I$550&lt;=VAL_DATE)+(COUNTIF('Dvd Calendar'!$E$557:$AR$557,'Dvd Calendar'!$I$550)=0))&gt;0)=0,"",'Dvd Calendar'!$I$550*1000000000+ISNUMBER('Dvd Calendar'!$I$553)*100000000+('Dvd Calendar'!$I$555=SPECIAL_LBL)*10000000+(N('Dvd Calendar'!$I$549)&gt;0)*(N('Dvd Calendar'!$I$549)&lt;=VAL_SERIAL)*1000000+50*1000+5))</f>
        <v/>
      </c>
      <c r="EJ61" s="121">
        <f>IF(N('Dvd Calendar'!$J$550)=0,"",IF(('Dvd Calendar'!$J$550&gt;=GRID_FROM)*('Dvd Calendar'!$J$550&lt;=GRID_TO)*((('Dvd Calendar'!$J$550&lt;=VAL_DATE)+(COUNTIF('Dvd Calendar'!$E$557:$AR$557,'Dvd Calendar'!$J$550)=0))&gt;0)=0,"",'Dvd Calendar'!$J$550*1000000000+ISNUMBER('Dvd Calendar'!$J$553)*100000000+('Dvd Calendar'!$J$555=SPECIAL_LBL)*10000000+(N('Dvd Calendar'!$J$549)&gt;0)*(N('Dvd Calendar'!$J$549)&lt;=VAL_SERIAL)*1000000+50*1000+6))</f>
        <v/>
      </c>
      <c r="EK61" s="121">
        <f>IF(N('Dvd Calendar'!$K$550)=0,"",IF(('Dvd Calendar'!$K$550&gt;=GRID_FROM)*('Dvd Calendar'!$K$550&lt;=GRID_TO)*((('Dvd Calendar'!$K$550&lt;=VAL_DATE)+(COUNTIF('Dvd Calendar'!$E$557:$AR$557,'Dvd Calendar'!$K$550)=0))&gt;0)=0,"",'Dvd Calendar'!$K$550*1000000000+ISNUMBER('Dvd Calendar'!$K$553)*100000000+('Dvd Calendar'!$K$555=SPECIAL_LBL)*10000000+(N('Dvd Calendar'!$K$549)&gt;0)*(N('Dvd Calendar'!$K$549)&lt;=VAL_SERIAL)*1000000+50*1000+7))</f>
        <v/>
      </c>
      <c r="EL61" s="121">
        <f>IF(N('Dvd Calendar'!$L$550)=0,"",IF(('Dvd Calendar'!$L$550&gt;=GRID_FROM)*('Dvd Calendar'!$L$550&lt;=GRID_TO)*((('Dvd Calendar'!$L$550&lt;=VAL_DATE)+(COUNTIF('Dvd Calendar'!$E$557:$AR$557,'Dvd Calendar'!$L$550)=0))&gt;0)=0,"",'Dvd Calendar'!$L$550*1000000000+ISNUMBER('Dvd Calendar'!$L$553)*100000000+('Dvd Calendar'!$L$555=SPECIAL_LBL)*10000000+(N('Dvd Calendar'!$L$549)&gt;0)*(N('Dvd Calendar'!$L$549)&lt;=VAL_SERIAL)*1000000+50*1000+8))</f>
        <v/>
      </c>
      <c r="EM61" s="121">
        <f>IF(N('Dvd Calendar'!$M$550)=0,"",IF(('Dvd Calendar'!$M$550&gt;=GRID_FROM)*('Dvd Calendar'!$M$550&lt;=GRID_TO)*((('Dvd Calendar'!$M$550&lt;=VAL_DATE)+(COUNTIF('Dvd Calendar'!$E$557:$AR$557,'Dvd Calendar'!$M$550)=0))&gt;0)=0,"",'Dvd Calendar'!$M$550*1000000000+ISNUMBER('Dvd Calendar'!$M$553)*100000000+('Dvd Calendar'!$M$555=SPECIAL_LBL)*10000000+(N('Dvd Calendar'!$M$549)&gt;0)*(N('Dvd Calendar'!$M$549)&lt;=VAL_SERIAL)*1000000+50*1000+9))</f>
        <v/>
      </c>
      <c r="EN61" s="121">
        <f>IF(N('Dvd Calendar'!$N$550)=0,"",IF(('Dvd Calendar'!$N$550&gt;=GRID_FROM)*('Dvd Calendar'!$N$550&lt;=GRID_TO)*((('Dvd Calendar'!$N$550&lt;=VAL_DATE)+(COUNTIF('Dvd Calendar'!$E$557:$AR$557,'Dvd Calendar'!$N$550)=0))&gt;0)=0,"",'Dvd Calendar'!$N$550*1000000000+ISNUMBER('Dvd Calendar'!$N$553)*100000000+('Dvd Calendar'!$N$555=SPECIAL_LBL)*10000000+(N('Dvd Calendar'!$N$549)&gt;0)*(N('Dvd Calendar'!$N$549)&lt;=VAL_SERIAL)*1000000+50*1000+10))</f>
        <v/>
      </c>
      <c r="EO61" s="121">
        <f>IF(N('Dvd Calendar'!$O$550)=0,"",IF(('Dvd Calendar'!$O$550&gt;=GRID_FROM)*('Dvd Calendar'!$O$550&lt;=GRID_TO)*((('Dvd Calendar'!$O$550&lt;=VAL_DATE)+(COUNTIF('Dvd Calendar'!$E$557:$AR$557,'Dvd Calendar'!$O$550)=0))&gt;0)=0,"",'Dvd Calendar'!$O$550*1000000000+ISNUMBER('Dvd Calendar'!$O$553)*100000000+('Dvd Calendar'!$O$555=SPECIAL_LBL)*10000000+(N('Dvd Calendar'!$O$549)&gt;0)*(N('Dvd Calendar'!$O$549)&lt;=VAL_SERIAL)*1000000+50*1000+11))</f>
        <v/>
      </c>
      <c r="EP61" s="121">
        <f>IF(N('Dvd Calendar'!$P$550)=0,"",IF(('Dvd Calendar'!$P$550&gt;=GRID_FROM)*('Dvd Calendar'!$P$550&lt;=GRID_TO)*((('Dvd Calendar'!$P$550&lt;=VAL_DATE)+(COUNTIF('Dvd Calendar'!$E$557:$AR$557,'Dvd Calendar'!$P$550)=0))&gt;0)=0,"",'Dvd Calendar'!$P$550*1000000000+ISNUMBER('Dvd Calendar'!$P$553)*100000000+('Dvd Calendar'!$P$555=SPECIAL_LBL)*10000000+(N('Dvd Calendar'!$P$549)&gt;0)*(N('Dvd Calendar'!$P$549)&lt;=VAL_SERIAL)*1000000+50*1000+12))</f>
        <v/>
      </c>
      <c r="EQ61" s="121">
        <f>IF(N('Dvd Calendar'!$Q$550)=0,"",IF(('Dvd Calendar'!$Q$550&gt;=GRID_FROM)*('Dvd Calendar'!$Q$550&lt;=GRID_TO)*((('Dvd Calendar'!$Q$550&lt;=VAL_DATE)+(COUNTIF('Dvd Calendar'!$E$557:$AR$557,'Dvd Calendar'!$Q$550)=0))&gt;0)=0,"",'Dvd Calendar'!$Q$550*1000000000+ISNUMBER('Dvd Calendar'!$Q$553)*100000000+('Dvd Calendar'!$Q$555=SPECIAL_LBL)*10000000+(N('Dvd Calendar'!$Q$549)&gt;0)*(N('Dvd Calendar'!$Q$549)&lt;=VAL_SERIAL)*1000000+50*1000+13))</f>
        <v/>
      </c>
      <c r="ER61" s="121">
        <f>IF(N('Dvd Calendar'!$R$550)=0,"",IF(('Dvd Calendar'!$R$550&gt;=GRID_FROM)*('Dvd Calendar'!$R$550&lt;=GRID_TO)*((('Dvd Calendar'!$R$550&lt;=VAL_DATE)+(COUNTIF('Dvd Calendar'!$E$557:$AR$557,'Dvd Calendar'!$R$550)=0))&gt;0)=0,"",'Dvd Calendar'!$R$550*1000000000+ISNUMBER('Dvd Calendar'!$R$553)*100000000+('Dvd Calendar'!$R$555=SPECIAL_LBL)*10000000+(N('Dvd Calendar'!$R$549)&gt;0)*(N('Dvd Calendar'!$R$549)&lt;=VAL_SERIAL)*1000000+50*1000+14))</f>
        <v/>
      </c>
      <c r="ES61" s="121">
        <f>IF(N('Dvd Calendar'!$S$550)=0,"",IF(('Dvd Calendar'!$S$550&gt;=GRID_FROM)*('Dvd Calendar'!$S$550&lt;=GRID_TO)*((('Dvd Calendar'!$S$550&lt;=VAL_DATE)+(COUNTIF('Dvd Calendar'!$E$557:$AR$557,'Dvd Calendar'!$S$550)=0))&gt;0)=0,"",'Dvd Calendar'!$S$550*1000000000+ISNUMBER('Dvd Calendar'!$S$553)*100000000+('Dvd Calendar'!$S$555=SPECIAL_LBL)*10000000+(N('Dvd Calendar'!$S$549)&gt;0)*(N('Dvd Calendar'!$S$549)&lt;=VAL_SERIAL)*1000000+50*1000+15))</f>
        <v/>
      </c>
      <c r="ET61" s="121">
        <f>IF(N('Dvd Calendar'!$T$550)=0,"",IF(('Dvd Calendar'!$T$550&gt;=GRID_FROM)*('Dvd Calendar'!$T$550&lt;=GRID_TO)*((('Dvd Calendar'!$T$550&lt;=VAL_DATE)+(COUNTIF('Dvd Calendar'!$E$557:$AR$557,'Dvd Calendar'!$T$550)=0))&gt;0)=0,"",'Dvd Calendar'!$T$550*1000000000+ISNUMBER('Dvd Calendar'!$T$553)*100000000+('Dvd Calendar'!$T$555=SPECIAL_LBL)*10000000+(N('Dvd Calendar'!$T$549)&gt;0)*(N('Dvd Calendar'!$T$549)&lt;=VAL_SERIAL)*1000000+50*1000+16))</f>
        <v/>
      </c>
      <c r="EU61" s="121">
        <f>IF(N('Dvd Calendar'!$U$550)=0,"",IF(('Dvd Calendar'!$U$550&gt;=GRID_FROM)*('Dvd Calendar'!$U$550&lt;=GRID_TO)*((('Dvd Calendar'!$U$550&lt;=VAL_DATE)+(COUNTIF('Dvd Calendar'!$E$557:$AR$557,'Dvd Calendar'!$U$550)=0))&gt;0)=0,"",'Dvd Calendar'!$U$550*1000000000+ISNUMBER('Dvd Calendar'!$U$553)*100000000+('Dvd Calendar'!$U$555=SPECIAL_LBL)*10000000+(N('Dvd Calendar'!$U$549)&gt;0)*(N('Dvd Calendar'!$U$549)&lt;=VAL_SERIAL)*1000000+50*1000+17))</f>
        <v/>
      </c>
      <c r="EV61" s="121">
        <f>IF(N('Dvd Calendar'!$V$550)=0,"",IF(('Dvd Calendar'!$V$550&gt;=GRID_FROM)*('Dvd Calendar'!$V$550&lt;=GRID_TO)*((('Dvd Calendar'!$V$550&lt;=VAL_DATE)+(COUNTIF('Dvd Calendar'!$E$557:$AR$557,'Dvd Calendar'!$V$550)=0))&gt;0)=0,"",'Dvd Calendar'!$V$550*1000000000+ISNUMBER('Dvd Calendar'!$V$553)*100000000+('Dvd Calendar'!$V$555=SPECIAL_LBL)*10000000+(N('Dvd Calendar'!$V$549)&gt;0)*(N('Dvd Calendar'!$V$549)&lt;=VAL_SERIAL)*1000000+50*1000+18))</f>
        <v/>
      </c>
      <c r="EW61" s="121">
        <f>IF(N('Dvd Calendar'!$W$550)=0,"",IF(('Dvd Calendar'!$W$550&gt;=GRID_FROM)*('Dvd Calendar'!$W$550&lt;=GRID_TO)*((('Dvd Calendar'!$W$550&lt;=VAL_DATE)+(COUNTIF('Dvd Calendar'!$E$557:$AR$557,'Dvd Calendar'!$W$550)=0))&gt;0)=0,"",'Dvd Calendar'!$W$550*1000000000+ISNUMBER('Dvd Calendar'!$W$553)*100000000+('Dvd Calendar'!$W$555=SPECIAL_LBL)*10000000+(N('Dvd Calendar'!$W$549)&gt;0)*(N('Dvd Calendar'!$W$549)&lt;=VAL_SERIAL)*1000000+50*1000+19))</f>
        <v/>
      </c>
      <c r="EX61" s="121">
        <f>IF(N('Dvd Calendar'!$X$550)=0,"",IF(('Dvd Calendar'!$X$550&gt;=GRID_FROM)*('Dvd Calendar'!$X$550&lt;=GRID_TO)*((('Dvd Calendar'!$X$550&lt;=VAL_DATE)+(COUNTIF('Dvd Calendar'!$E$557:$AR$557,'Dvd Calendar'!$X$550)=0))&gt;0)=0,"",'Dvd Calendar'!$X$550*1000000000+ISNUMBER('Dvd Calendar'!$X$553)*100000000+('Dvd Calendar'!$X$555=SPECIAL_LBL)*10000000+(N('Dvd Calendar'!$X$549)&gt;0)*(N('Dvd Calendar'!$X$549)&lt;=VAL_SERIAL)*1000000+50*1000+20))</f>
        <v/>
      </c>
      <c r="EY61" s="121">
        <f>IF(N('Dvd Calendar'!$Y$550)=0,"",IF(('Dvd Calendar'!$Y$550&gt;=GRID_FROM)*('Dvd Calendar'!$Y$550&lt;=GRID_TO)*((('Dvd Calendar'!$Y$550&lt;=VAL_DATE)+(COUNTIF('Dvd Calendar'!$E$557:$AR$557,'Dvd Calendar'!$Y$550)=0))&gt;0)=0,"",'Dvd Calendar'!$Y$550*1000000000+ISNUMBER('Dvd Calendar'!$Y$553)*100000000+('Dvd Calendar'!$Y$555=SPECIAL_LBL)*10000000+(N('Dvd Calendar'!$Y$549)&gt;0)*(N('Dvd Calendar'!$Y$549)&lt;=VAL_SERIAL)*1000000+50*1000+21))</f>
        <v/>
      </c>
      <c r="EZ61" s="121">
        <f>IF(N('Dvd Calendar'!$Z$550)=0,"",IF(('Dvd Calendar'!$Z$550&gt;=GRID_FROM)*('Dvd Calendar'!$Z$550&lt;=GRID_TO)*((('Dvd Calendar'!$Z$550&lt;=VAL_DATE)+(COUNTIF('Dvd Calendar'!$E$557:$AR$557,'Dvd Calendar'!$Z$550)=0))&gt;0)=0,"",'Dvd Calendar'!$Z$550*1000000000+ISNUMBER('Dvd Calendar'!$Z$553)*100000000+('Dvd Calendar'!$Z$555=SPECIAL_LBL)*10000000+(N('Dvd Calendar'!$Z$549)&gt;0)*(N('Dvd Calendar'!$Z$549)&lt;=VAL_SERIAL)*1000000+50*1000+22))</f>
        <v/>
      </c>
      <c r="FA61" s="121">
        <f>IF(N('Dvd Calendar'!$AA$550)=0,"",IF(('Dvd Calendar'!$AA$550&gt;=GRID_FROM)*('Dvd Calendar'!$AA$550&lt;=GRID_TO)*((('Dvd Calendar'!$AA$550&lt;=VAL_DATE)+(COUNTIF('Dvd Calendar'!$E$557:$AR$557,'Dvd Calendar'!$AA$550)=0))&gt;0)=0,"",'Dvd Calendar'!$AA$550*1000000000+ISNUMBER('Dvd Calendar'!$AA$553)*100000000+('Dvd Calendar'!$AA$555=SPECIAL_LBL)*10000000+(N('Dvd Calendar'!$AA$549)&gt;0)*(N('Dvd Calendar'!$AA$549)&lt;=VAL_SERIAL)*1000000+50*1000+23))</f>
        <v/>
      </c>
      <c r="FB61" s="121">
        <f>IF(N('Dvd Calendar'!$AB$550)=0,"",IF(('Dvd Calendar'!$AB$550&gt;=GRID_FROM)*('Dvd Calendar'!$AB$550&lt;=GRID_TO)*((('Dvd Calendar'!$AB$550&lt;=VAL_DATE)+(COUNTIF('Dvd Calendar'!$E$557:$AR$557,'Dvd Calendar'!$AB$550)=0))&gt;0)=0,"",'Dvd Calendar'!$AB$550*1000000000+ISNUMBER('Dvd Calendar'!$AB$553)*100000000+('Dvd Calendar'!$AB$555=SPECIAL_LBL)*10000000+(N('Dvd Calendar'!$AB$549)&gt;0)*(N('Dvd Calendar'!$AB$549)&lt;=VAL_SERIAL)*1000000+50*1000+24))</f>
        <v/>
      </c>
      <c r="FC61" s="121">
        <f>IF(N('Dvd Calendar'!$AC$550)=0,"",IF(('Dvd Calendar'!$AC$550&gt;=GRID_FROM)*('Dvd Calendar'!$AC$550&lt;=GRID_TO)*((('Dvd Calendar'!$AC$550&lt;=VAL_DATE)+(COUNTIF('Dvd Calendar'!$E$557:$AR$557,'Dvd Calendar'!$AC$550)=0))&gt;0)=0,"",'Dvd Calendar'!$AC$550*1000000000+ISNUMBER('Dvd Calendar'!$AC$553)*100000000+('Dvd Calendar'!$AC$555=SPECIAL_LBL)*10000000+(N('Dvd Calendar'!$AC$549)&gt;0)*(N('Dvd Calendar'!$AC$549)&lt;=VAL_SERIAL)*1000000+50*1000+25))</f>
        <v/>
      </c>
      <c r="FD61" s="121">
        <f>IF(N('Dvd Calendar'!$AD$550)=0,"",IF(('Dvd Calendar'!$AD$550&gt;=GRID_FROM)*('Dvd Calendar'!$AD$550&lt;=GRID_TO)*((('Dvd Calendar'!$AD$550&lt;=VAL_DATE)+(COUNTIF('Dvd Calendar'!$E$557:$AR$557,'Dvd Calendar'!$AD$550)=0))&gt;0)=0,"",'Dvd Calendar'!$AD$550*1000000000+ISNUMBER('Dvd Calendar'!$AD$553)*100000000+('Dvd Calendar'!$AD$555=SPECIAL_LBL)*10000000+(N('Dvd Calendar'!$AD$549)&gt;0)*(N('Dvd Calendar'!$AD$549)&lt;=VAL_SERIAL)*1000000+50*1000+26))</f>
        <v/>
      </c>
      <c r="FE61" s="121">
        <f>IF(N('Dvd Calendar'!$AE$550)=0,"",IF(('Dvd Calendar'!$AE$550&gt;=GRID_FROM)*('Dvd Calendar'!$AE$550&lt;=GRID_TO)*((('Dvd Calendar'!$AE$550&lt;=VAL_DATE)+(COUNTIF('Dvd Calendar'!$E$557:$AR$557,'Dvd Calendar'!$AE$550)=0))&gt;0)=0,"",'Dvd Calendar'!$AE$550*1000000000+ISNUMBER('Dvd Calendar'!$AE$553)*100000000+('Dvd Calendar'!$AE$555=SPECIAL_LBL)*10000000+(N('Dvd Calendar'!$AE$549)&gt;0)*(N('Dvd Calendar'!$AE$549)&lt;=VAL_SERIAL)*1000000+50*1000+27))</f>
        <v/>
      </c>
      <c r="FF61" s="121">
        <f>IF(N('Dvd Calendar'!$AF$550)=0,"",IF(('Dvd Calendar'!$AF$550&gt;=GRID_FROM)*('Dvd Calendar'!$AF$550&lt;=GRID_TO)*((('Dvd Calendar'!$AF$550&lt;=VAL_DATE)+(COUNTIF('Dvd Calendar'!$E$557:$AR$557,'Dvd Calendar'!$AF$550)=0))&gt;0)=0,"",'Dvd Calendar'!$AF$550*1000000000+ISNUMBER('Dvd Calendar'!$AF$553)*100000000+('Dvd Calendar'!$AF$555=SPECIAL_LBL)*10000000+(N('Dvd Calendar'!$AF$549)&gt;0)*(N('Dvd Calendar'!$AF$549)&lt;=VAL_SERIAL)*1000000+50*1000+28))</f>
        <v/>
      </c>
      <c r="FG61" s="121">
        <f>IF(N('Dvd Calendar'!$AG$550)=0,"",IF(('Dvd Calendar'!$AG$550&gt;=GRID_FROM)*('Dvd Calendar'!$AG$550&lt;=GRID_TO)*((('Dvd Calendar'!$AG$550&lt;=VAL_DATE)+(COUNTIF('Dvd Calendar'!$E$557:$AR$557,'Dvd Calendar'!$AG$550)=0))&gt;0)=0,"",'Dvd Calendar'!$AG$550*1000000000+ISNUMBER('Dvd Calendar'!$AG$553)*100000000+('Dvd Calendar'!$AG$555=SPECIAL_LBL)*10000000+(N('Dvd Calendar'!$AG$549)&gt;0)*(N('Dvd Calendar'!$AG$549)&lt;=VAL_SERIAL)*1000000+50*1000+29))</f>
        <v/>
      </c>
      <c r="FH61" s="121">
        <f>IF(N('Dvd Calendar'!$AH$550)=0,"",IF(('Dvd Calendar'!$AH$550&gt;=GRID_FROM)*('Dvd Calendar'!$AH$550&lt;=GRID_TO)*((('Dvd Calendar'!$AH$550&lt;=VAL_DATE)+(COUNTIF('Dvd Calendar'!$E$557:$AR$557,'Dvd Calendar'!$AH$550)=0))&gt;0)=0,"",'Dvd Calendar'!$AH$550*1000000000+ISNUMBER('Dvd Calendar'!$AH$553)*100000000+('Dvd Calendar'!$AH$555=SPECIAL_LBL)*10000000+(N('Dvd Calendar'!$AH$549)&gt;0)*(N('Dvd Calendar'!$AH$549)&lt;=VAL_SERIAL)*1000000+50*1000+30))</f>
        <v/>
      </c>
      <c r="FI61" s="121">
        <f>IF(N('Dvd Calendar'!$AI$550)=0,"",IF(('Dvd Calendar'!$AI$550&gt;=GRID_FROM)*('Dvd Calendar'!$AI$550&lt;=GRID_TO)*((('Dvd Calendar'!$AI$550&lt;=VAL_DATE)+(COUNTIF('Dvd Calendar'!$E$557:$AR$557,'Dvd Calendar'!$AI$550)=0))&gt;0)=0,"",'Dvd Calendar'!$AI$550*1000000000+ISNUMBER('Dvd Calendar'!$AI$553)*100000000+('Dvd Calendar'!$AI$555=SPECIAL_LBL)*10000000+(N('Dvd Calendar'!$AI$549)&gt;0)*(N('Dvd Calendar'!$AI$549)&lt;=VAL_SERIAL)*1000000+50*1000+31))</f>
        <v/>
      </c>
      <c r="FJ61" s="121">
        <f>IF(N('Dvd Calendar'!$AJ$550)=0,"",IF(('Dvd Calendar'!$AJ$550&gt;=GRID_FROM)*('Dvd Calendar'!$AJ$550&lt;=GRID_TO)*((('Dvd Calendar'!$AJ$550&lt;=VAL_DATE)+(COUNTIF('Dvd Calendar'!$E$557:$AR$557,'Dvd Calendar'!$AJ$550)=0))&gt;0)=0,"",'Dvd Calendar'!$AJ$550*1000000000+ISNUMBER('Dvd Calendar'!$AJ$553)*100000000+('Dvd Calendar'!$AJ$555=SPECIAL_LBL)*10000000+(N('Dvd Calendar'!$AJ$549)&gt;0)*(N('Dvd Calendar'!$AJ$549)&lt;=VAL_SERIAL)*1000000+50*1000+32))</f>
        <v/>
      </c>
      <c r="FK61" s="121">
        <f>IF(N('Dvd Calendar'!$AK$550)=0,"",IF(('Dvd Calendar'!$AK$550&gt;=GRID_FROM)*('Dvd Calendar'!$AK$550&lt;=GRID_TO)*((('Dvd Calendar'!$AK$550&lt;=VAL_DATE)+(COUNTIF('Dvd Calendar'!$E$557:$AR$557,'Dvd Calendar'!$AK$550)=0))&gt;0)=0,"",'Dvd Calendar'!$AK$550*1000000000+ISNUMBER('Dvd Calendar'!$AK$553)*100000000+('Dvd Calendar'!$AK$555=SPECIAL_LBL)*10000000+(N('Dvd Calendar'!$AK$549)&gt;0)*(N('Dvd Calendar'!$AK$549)&lt;=VAL_SERIAL)*1000000+50*1000+33))</f>
        <v/>
      </c>
      <c r="FL61" s="121">
        <f>IF(N('Dvd Calendar'!$AL$550)=0,"",IF(('Dvd Calendar'!$AL$550&gt;=GRID_FROM)*('Dvd Calendar'!$AL$550&lt;=GRID_TO)*((('Dvd Calendar'!$AL$550&lt;=VAL_DATE)+(COUNTIF('Dvd Calendar'!$E$557:$AR$557,'Dvd Calendar'!$AL$550)=0))&gt;0)=0,"",'Dvd Calendar'!$AL$550*1000000000+ISNUMBER('Dvd Calendar'!$AL$553)*100000000+('Dvd Calendar'!$AL$555=SPECIAL_LBL)*10000000+(N('Dvd Calendar'!$AL$549)&gt;0)*(N('Dvd Calendar'!$AL$549)&lt;=VAL_SERIAL)*1000000+50*1000+34))</f>
        <v/>
      </c>
      <c r="FM61" s="121">
        <f>IF(N('Dvd Calendar'!$AM$550)=0,"",IF(('Dvd Calendar'!$AM$550&gt;=GRID_FROM)*('Dvd Calendar'!$AM$550&lt;=GRID_TO)*((('Dvd Calendar'!$AM$550&lt;=VAL_DATE)+(COUNTIF('Dvd Calendar'!$E$557:$AR$557,'Dvd Calendar'!$AM$550)=0))&gt;0)=0,"",'Dvd Calendar'!$AM$550*1000000000+ISNUMBER('Dvd Calendar'!$AM$553)*100000000+('Dvd Calendar'!$AM$555=SPECIAL_LBL)*10000000+(N('Dvd Calendar'!$AM$549)&gt;0)*(N('Dvd Calendar'!$AM$549)&lt;=VAL_SERIAL)*1000000+50*1000+35))</f>
        <v/>
      </c>
      <c r="FN61" s="121">
        <f>IF(N('Dvd Calendar'!$AN$550)=0,"",IF(('Dvd Calendar'!$AN$550&gt;=GRID_FROM)*('Dvd Calendar'!$AN$550&lt;=GRID_TO)*((('Dvd Calendar'!$AN$550&lt;=VAL_DATE)+(COUNTIF('Dvd Calendar'!$E$557:$AR$557,'Dvd Calendar'!$AN$550)=0))&gt;0)=0,"",'Dvd Calendar'!$AN$550*1000000000+ISNUMBER('Dvd Calendar'!$AN$553)*100000000+('Dvd Calendar'!$AN$555=SPECIAL_LBL)*10000000+(N('Dvd Calendar'!$AN$549)&gt;0)*(N('Dvd Calendar'!$AN$549)&lt;=VAL_SERIAL)*1000000+50*1000+36))</f>
        <v/>
      </c>
      <c r="FO61" s="121">
        <f>IF(N('Dvd Calendar'!$AO$550)=0,"",IF(('Dvd Calendar'!$AO$550&gt;=GRID_FROM)*('Dvd Calendar'!$AO$550&lt;=GRID_TO)*((('Dvd Calendar'!$AO$550&lt;=VAL_DATE)+(COUNTIF('Dvd Calendar'!$E$557:$AR$557,'Dvd Calendar'!$AO$550)=0))&gt;0)=0,"",'Dvd Calendar'!$AO$550*1000000000+ISNUMBER('Dvd Calendar'!$AO$553)*100000000+('Dvd Calendar'!$AO$555=SPECIAL_LBL)*10000000+(N('Dvd Calendar'!$AO$549)&gt;0)*(N('Dvd Calendar'!$AO$549)&lt;=VAL_SERIAL)*1000000+50*1000+37))</f>
        <v/>
      </c>
      <c r="FP61" s="121">
        <f>IF(N('Dvd Calendar'!$AP$550)=0,"",IF(('Dvd Calendar'!$AP$550&gt;=GRID_FROM)*('Dvd Calendar'!$AP$550&lt;=GRID_TO)*((('Dvd Calendar'!$AP$550&lt;=VAL_DATE)+(COUNTIF('Dvd Calendar'!$E$557:$AR$557,'Dvd Calendar'!$AP$550)=0))&gt;0)=0,"",'Dvd Calendar'!$AP$550*1000000000+ISNUMBER('Dvd Calendar'!$AP$553)*100000000+('Dvd Calendar'!$AP$555=SPECIAL_LBL)*10000000+(N('Dvd Calendar'!$AP$549)&gt;0)*(N('Dvd Calendar'!$AP$549)&lt;=VAL_SERIAL)*1000000+50*1000+38))</f>
        <v/>
      </c>
      <c r="FQ61" s="121">
        <f>IF(N('Dvd Calendar'!$AQ$550)=0,"",IF(('Dvd Calendar'!$AQ$550&gt;=GRID_FROM)*('Dvd Calendar'!$AQ$550&lt;=GRID_TO)*((('Dvd Calendar'!$AQ$550&lt;=VAL_DATE)+(COUNTIF('Dvd Calendar'!$E$557:$AR$557,'Dvd Calendar'!$AQ$550)=0))&gt;0)=0,"",'Dvd Calendar'!$AQ$550*1000000000+ISNUMBER('Dvd Calendar'!$AQ$553)*100000000+('Dvd Calendar'!$AQ$555=SPECIAL_LBL)*10000000+(N('Dvd Calendar'!$AQ$549)&gt;0)*(N('Dvd Calendar'!$AQ$549)&lt;=VAL_SERIAL)*1000000+50*1000+39))</f>
        <v/>
      </c>
      <c r="FR61" s="121">
        <f>IF(N('Dvd Calendar'!$AR$550)=0,"",IF(('Dvd Calendar'!$AR$550&gt;=GRID_FROM)*('Dvd Calendar'!$AR$550&lt;=GRID_TO)*((('Dvd Calendar'!$AR$550&lt;=VAL_DATE)+(COUNTIF('Dvd Calendar'!$E$557:$AR$557,'Dvd Calendar'!$AR$550)=0))&gt;0)=0,"",'Dvd Calendar'!$AR$550*1000000000+ISNUMBER('Dvd Calendar'!$AR$553)*100000000+('Dvd Calendar'!$AR$555=SPECIAL_LBL)*10000000+(N('Dvd Calendar'!$AR$549)&gt;0)*(N('Dvd Calendar'!$AR$549)&lt;=VAL_SERIAL)*1000000+50*1000+40))</f>
        <v/>
      </c>
      <c r="FS61" s="121">
        <f>IF(N('Dvd Calendar'!$E$557)=0,"",IF(('Dvd Calendar'!$E$557&gt;=GRID_FROM)*('Dvd Calendar'!$E$557&lt;=GRID_TO)*('Dvd Calendar'!$E$557&gt;VAL_DATE)=0,"",'Dvd Calendar'!$E$557*1000000000+ISNUMBER('Dvd Calendar'!$E$558)*100000000+0*10000000+(N('Dvd Calendar'!$E$556)&gt;0)*(N('Dvd Calendar'!$E$556)&lt;=VAL_SERIAL)*1000000+50*1000+41))</f>
        <v/>
      </c>
      <c r="FT61" s="121">
        <f>IF(N('Dvd Calendar'!$F$557)=0,"",IF(('Dvd Calendar'!$F$557&gt;=GRID_FROM)*('Dvd Calendar'!$F$557&lt;=GRID_TO)*('Dvd Calendar'!$F$557&gt;VAL_DATE)=0,"",'Dvd Calendar'!$F$557*1000000000+ISNUMBER('Dvd Calendar'!$F$558)*100000000+0*10000000+(N('Dvd Calendar'!$F$556)&gt;0)*(N('Dvd Calendar'!$F$556)&lt;=VAL_SERIAL)*1000000+50*1000+42))</f>
        <v/>
      </c>
      <c r="FU61" s="121">
        <f>IF(N('Dvd Calendar'!$G$557)=0,"",IF(('Dvd Calendar'!$G$557&gt;=GRID_FROM)*('Dvd Calendar'!$G$557&lt;=GRID_TO)*('Dvd Calendar'!$G$557&gt;VAL_DATE)=0,"",'Dvd Calendar'!$G$557*1000000000+ISNUMBER('Dvd Calendar'!$G$558)*100000000+0*10000000+(N('Dvd Calendar'!$G$556)&gt;0)*(N('Dvd Calendar'!$G$556)&lt;=VAL_SERIAL)*1000000+50*1000+43))</f>
        <v/>
      </c>
      <c r="FV61" s="121">
        <f>IF(N('Dvd Calendar'!$H$557)=0,"",IF(('Dvd Calendar'!$H$557&gt;=GRID_FROM)*('Dvd Calendar'!$H$557&lt;=GRID_TO)*('Dvd Calendar'!$H$557&gt;VAL_DATE)=0,"",'Dvd Calendar'!$H$557*1000000000+ISNUMBER('Dvd Calendar'!$H$558)*100000000+0*10000000+(N('Dvd Calendar'!$H$556)&gt;0)*(N('Dvd Calendar'!$H$556)&lt;=VAL_SERIAL)*1000000+50*1000+44))</f>
        <v/>
      </c>
      <c r="FW61" s="121">
        <f>IF(N('Dvd Calendar'!$I$557)=0,"",IF(('Dvd Calendar'!$I$557&gt;=GRID_FROM)*('Dvd Calendar'!$I$557&lt;=GRID_TO)*('Dvd Calendar'!$I$557&gt;VAL_DATE)=0,"",'Dvd Calendar'!$I$557*1000000000+ISNUMBER('Dvd Calendar'!$I$558)*100000000+0*10000000+(N('Dvd Calendar'!$I$556)&gt;0)*(N('Dvd Calendar'!$I$556)&lt;=VAL_SERIAL)*1000000+50*1000+45))</f>
        <v/>
      </c>
      <c r="FX61" s="121">
        <f>IF(N('Dvd Calendar'!$J$557)=0,"",IF(('Dvd Calendar'!$J$557&gt;=GRID_FROM)*('Dvd Calendar'!$J$557&lt;=GRID_TO)*('Dvd Calendar'!$J$557&gt;VAL_DATE)=0,"",'Dvd Calendar'!$J$557*1000000000+ISNUMBER('Dvd Calendar'!$J$558)*100000000+0*10000000+(N('Dvd Calendar'!$J$556)&gt;0)*(N('Dvd Calendar'!$J$556)&lt;=VAL_SERIAL)*1000000+50*1000+46))</f>
        <v/>
      </c>
      <c r="FY61" s="121">
        <f>IF(N('Dvd Calendar'!$K$557)=0,"",IF(('Dvd Calendar'!$K$557&gt;=GRID_FROM)*('Dvd Calendar'!$K$557&lt;=GRID_TO)*('Dvd Calendar'!$K$557&gt;VAL_DATE)=0,"",'Dvd Calendar'!$K$557*1000000000+ISNUMBER('Dvd Calendar'!$K$558)*100000000+0*10000000+(N('Dvd Calendar'!$K$556)&gt;0)*(N('Dvd Calendar'!$K$556)&lt;=VAL_SERIAL)*1000000+50*1000+47))</f>
        <v/>
      </c>
      <c r="FZ61" s="121">
        <f>IF(N('Dvd Calendar'!$L$557)=0,"",IF(('Dvd Calendar'!$L$557&gt;=GRID_FROM)*('Dvd Calendar'!$L$557&lt;=GRID_TO)*('Dvd Calendar'!$L$557&gt;VAL_DATE)=0,"",'Dvd Calendar'!$L$557*1000000000+ISNUMBER('Dvd Calendar'!$L$558)*100000000+0*10000000+(N('Dvd Calendar'!$L$556)&gt;0)*(N('Dvd Calendar'!$L$556)&lt;=VAL_SERIAL)*1000000+50*1000+48))</f>
        <v/>
      </c>
      <c r="GA61" s="121">
        <f>IF(N('Dvd Calendar'!$M$557)=0,"",IF(('Dvd Calendar'!$M$557&gt;=GRID_FROM)*('Dvd Calendar'!$M$557&lt;=GRID_TO)*('Dvd Calendar'!$M$557&gt;VAL_DATE)=0,"",'Dvd Calendar'!$M$557*1000000000+ISNUMBER('Dvd Calendar'!$M$558)*100000000+0*10000000+(N('Dvd Calendar'!$M$556)&gt;0)*(N('Dvd Calendar'!$M$556)&lt;=VAL_SERIAL)*1000000+50*1000+49))</f>
        <v/>
      </c>
      <c r="GB61" s="121">
        <f>IF(N('Dvd Calendar'!$N$557)=0,"",IF(('Dvd Calendar'!$N$557&gt;=GRID_FROM)*('Dvd Calendar'!$N$557&lt;=GRID_TO)*('Dvd Calendar'!$N$557&gt;VAL_DATE)=0,"",'Dvd Calendar'!$N$557*1000000000+ISNUMBER('Dvd Calendar'!$N$558)*100000000+0*10000000+(N('Dvd Calendar'!$N$556)&gt;0)*(N('Dvd Calendar'!$N$556)&lt;=VAL_SERIAL)*1000000+50*1000+50))</f>
        <v/>
      </c>
      <c r="GC61" s="121">
        <f>IF(N('Dvd Calendar'!$O$557)=0,"",IF(('Dvd Calendar'!$O$557&gt;=GRID_FROM)*('Dvd Calendar'!$O$557&lt;=GRID_TO)*('Dvd Calendar'!$O$557&gt;VAL_DATE)=0,"",'Dvd Calendar'!$O$557*1000000000+ISNUMBER('Dvd Calendar'!$O$558)*100000000+0*10000000+(N('Dvd Calendar'!$O$556)&gt;0)*(N('Dvd Calendar'!$O$556)&lt;=VAL_SERIAL)*1000000+50*1000+51))</f>
        <v/>
      </c>
      <c r="GD61" s="121">
        <f>IF(N('Dvd Calendar'!$P$557)=0,"",IF(('Dvd Calendar'!$P$557&gt;=GRID_FROM)*('Dvd Calendar'!$P$557&lt;=GRID_TO)*('Dvd Calendar'!$P$557&gt;VAL_DATE)=0,"",'Dvd Calendar'!$P$557*1000000000+ISNUMBER('Dvd Calendar'!$P$558)*100000000+0*10000000+(N('Dvd Calendar'!$P$556)&gt;0)*(N('Dvd Calendar'!$P$556)&lt;=VAL_SERIAL)*1000000+50*1000+52))</f>
        <v/>
      </c>
      <c r="GE61" s="121">
        <f>IF(N('Dvd Calendar'!$Q$557)=0,"",IF(('Dvd Calendar'!$Q$557&gt;=GRID_FROM)*('Dvd Calendar'!$Q$557&lt;=GRID_TO)*('Dvd Calendar'!$Q$557&gt;VAL_DATE)=0,"",'Dvd Calendar'!$Q$557*1000000000+ISNUMBER('Dvd Calendar'!$Q$558)*100000000+0*10000000+(N('Dvd Calendar'!$Q$556)&gt;0)*(N('Dvd Calendar'!$Q$556)&lt;=VAL_SERIAL)*1000000+50*1000+53))</f>
        <v/>
      </c>
      <c r="GF61" s="121">
        <f>IF(N('Dvd Calendar'!$R$557)=0,"",IF(('Dvd Calendar'!$R$557&gt;=GRID_FROM)*('Dvd Calendar'!$R$557&lt;=GRID_TO)*('Dvd Calendar'!$R$557&gt;VAL_DATE)=0,"",'Dvd Calendar'!$R$557*1000000000+ISNUMBER('Dvd Calendar'!$R$558)*100000000+0*10000000+(N('Dvd Calendar'!$R$556)&gt;0)*(N('Dvd Calendar'!$R$556)&lt;=VAL_SERIAL)*1000000+50*1000+54))</f>
        <v/>
      </c>
      <c r="GG61" s="121">
        <f>IF(N('Dvd Calendar'!$S$557)=0,"",IF(('Dvd Calendar'!$S$557&gt;=GRID_FROM)*('Dvd Calendar'!$S$557&lt;=GRID_TO)*('Dvd Calendar'!$S$557&gt;VAL_DATE)=0,"",'Dvd Calendar'!$S$557*1000000000+ISNUMBER('Dvd Calendar'!$S$558)*100000000+0*10000000+(N('Dvd Calendar'!$S$556)&gt;0)*(N('Dvd Calendar'!$S$556)&lt;=VAL_SERIAL)*1000000+50*1000+55))</f>
        <v/>
      </c>
      <c r="GH61" s="121">
        <f>IF(N('Dvd Calendar'!$T$557)=0,"",IF(('Dvd Calendar'!$T$557&gt;=GRID_FROM)*('Dvd Calendar'!$T$557&lt;=GRID_TO)*('Dvd Calendar'!$T$557&gt;VAL_DATE)=0,"",'Dvd Calendar'!$T$557*1000000000+ISNUMBER('Dvd Calendar'!$T$558)*100000000+0*10000000+(N('Dvd Calendar'!$T$556)&gt;0)*(N('Dvd Calendar'!$T$556)&lt;=VAL_SERIAL)*1000000+50*1000+56))</f>
        <v/>
      </c>
      <c r="GI61" s="121">
        <f>IF(N('Dvd Calendar'!$U$557)=0,"",IF(('Dvd Calendar'!$U$557&gt;=GRID_FROM)*('Dvd Calendar'!$U$557&lt;=GRID_TO)*('Dvd Calendar'!$U$557&gt;VAL_DATE)=0,"",'Dvd Calendar'!$U$557*1000000000+ISNUMBER('Dvd Calendar'!$U$558)*100000000+0*10000000+(N('Dvd Calendar'!$U$556)&gt;0)*(N('Dvd Calendar'!$U$556)&lt;=VAL_SERIAL)*1000000+50*1000+57))</f>
        <v/>
      </c>
      <c r="GJ61" s="121">
        <f>IF(N('Dvd Calendar'!$V$557)=0,"",IF(('Dvd Calendar'!$V$557&gt;=GRID_FROM)*('Dvd Calendar'!$V$557&lt;=GRID_TO)*('Dvd Calendar'!$V$557&gt;VAL_DATE)=0,"",'Dvd Calendar'!$V$557*1000000000+ISNUMBER('Dvd Calendar'!$V$558)*100000000+0*10000000+(N('Dvd Calendar'!$V$556)&gt;0)*(N('Dvd Calendar'!$V$556)&lt;=VAL_SERIAL)*1000000+50*1000+58))</f>
        <v/>
      </c>
      <c r="GK61" s="121">
        <f>IF(N('Dvd Calendar'!$W$557)=0,"",IF(('Dvd Calendar'!$W$557&gt;=GRID_FROM)*('Dvd Calendar'!$W$557&lt;=GRID_TO)*('Dvd Calendar'!$W$557&gt;VAL_DATE)=0,"",'Dvd Calendar'!$W$557*1000000000+ISNUMBER('Dvd Calendar'!$W$558)*100000000+0*10000000+(N('Dvd Calendar'!$W$556)&gt;0)*(N('Dvd Calendar'!$W$556)&lt;=VAL_SERIAL)*1000000+50*1000+59))</f>
        <v/>
      </c>
      <c r="GL61" s="121">
        <f>IF(N('Dvd Calendar'!$X$557)=0,"",IF(('Dvd Calendar'!$X$557&gt;=GRID_FROM)*('Dvd Calendar'!$X$557&lt;=GRID_TO)*('Dvd Calendar'!$X$557&gt;VAL_DATE)=0,"",'Dvd Calendar'!$X$557*1000000000+ISNUMBER('Dvd Calendar'!$X$558)*100000000+0*10000000+(N('Dvd Calendar'!$X$556)&gt;0)*(N('Dvd Calendar'!$X$556)&lt;=VAL_SERIAL)*1000000+50*1000+60))</f>
        <v/>
      </c>
      <c r="GM61" s="121">
        <f>IF(N('Dvd Calendar'!$Y$557)=0,"",IF(('Dvd Calendar'!$Y$557&gt;=GRID_FROM)*('Dvd Calendar'!$Y$557&lt;=GRID_TO)*('Dvd Calendar'!$Y$557&gt;VAL_DATE)=0,"",'Dvd Calendar'!$Y$557*1000000000+ISNUMBER('Dvd Calendar'!$Y$558)*100000000+0*10000000+(N('Dvd Calendar'!$Y$556)&gt;0)*(N('Dvd Calendar'!$Y$556)&lt;=VAL_SERIAL)*1000000+50*1000+61))</f>
        <v/>
      </c>
      <c r="GN61" s="121">
        <f>IF(N('Dvd Calendar'!$Z$557)=0,"",IF(('Dvd Calendar'!$Z$557&gt;=GRID_FROM)*('Dvd Calendar'!$Z$557&lt;=GRID_TO)*('Dvd Calendar'!$Z$557&gt;VAL_DATE)=0,"",'Dvd Calendar'!$Z$557*1000000000+ISNUMBER('Dvd Calendar'!$Z$558)*100000000+0*10000000+(N('Dvd Calendar'!$Z$556)&gt;0)*(N('Dvd Calendar'!$Z$556)&lt;=VAL_SERIAL)*1000000+50*1000+62))</f>
        <v/>
      </c>
      <c r="GO61" s="121">
        <f>IF(N('Dvd Calendar'!$AA$557)=0,"",IF(('Dvd Calendar'!$AA$557&gt;=GRID_FROM)*('Dvd Calendar'!$AA$557&lt;=GRID_TO)*('Dvd Calendar'!$AA$557&gt;VAL_DATE)=0,"",'Dvd Calendar'!$AA$557*1000000000+ISNUMBER('Dvd Calendar'!$AA$558)*100000000+0*10000000+(N('Dvd Calendar'!$AA$556)&gt;0)*(N('Dvd Calendar'!$AA$556)&lt;=VAL_SERIAL)*1000000+50*1000+63))</f>
        <v/>
      </c>
      <c r="GP61" s="121">
        <f>IF(N('Dvd Calendar'!$AB$557)=0,"",IF(('Dvd Calendar'!$AB$557&gt;=GRID_FROM)*('Dvd Calendar'!$AB$557&lt;=GRID_TO)*('Dvd Calendar'!$AB$557&gt;VAL_DATE)=0,"",'Dvd Calendar'!$AB$557*1000000000+ISNUMBER('Dvd Calendar'!$AB$558)*100000000+0*10000000+(N('Dvd Calendar'!$AB$556)&gt;0)*(N('Dvd Calendar'!$AB$556)&lt;=VAL_SERIAL)*1000000+50*1000+64))</f>
        <v/>
      </c>
      <c r="GQ61" s="121">
        <f>IF(N('Dvd Calendar'!$AC$557)=0,"",IF(('Dvd Calendar'!$AC$557&gt;=GRID_FROM)*('Dvd Calendar'!$AC$557&lt;=GRID_TO)*('Dvd Calendar'!$AC$557&gt;VAL_DATE)=0,"",'Dvd Calendar'!$AC$557*1000000000+ISNUMBER('Dvd Calendar'!$AC$558)*100000000+0*10000000+(N('Dvd Calendar'!$AC$556)&gt;0)*(N('Dvd Calendar'!$AC$556)&lt;=VAL_SERIAL)*1000000+50*1000+65))</f>
        <v/>
      </c>
    </row>
    <row r="62">
      <c r="B62" s="2">
        <f>IF(HSI!$C$57="","",HSI!$C$57)</f>
        <v/>
      </c>
      <c r="C62" s="161">
        <f>IF(EE62="","",IF(ISNUMBER('Dvd Calendar'!$E$564)=FALSE,"",IF((('Dvd Calendar'!$E$566=TYPE1)*(TYPE1&lt;&gt;"")+('Dvd Calendar'!$E$566=TYPE2)*(TYPE2&lt;&gt;"")+('Dvd Calendar'!$E$566=TYPE3)*(TYPE3&lt;&gt;"")+('Dvd Calendar'!$E$566=TYPE4)*(TYPE4&lt;&gt;"")+('Dvd Calendar'!$E$566=SPECIAL_LBL)*(INC_SPECIALS="Y"))=0,"",'Dvd Calendar'!$E$564)))</f>
        <v/>
      </c>
      <c r="D62" s="161">
        <f>IF(EF62="","",IF(ISNUMBER('Dvd Calendar'!$F$564)=FALSE,"",IF((('Dvd Calendar'!$F$566=TYPE1)*(TYPE1&lt;&gt;"")+('Dvd Calendar'!$F$566=TYPE2)*(TYPE2&lt;&gt;"")+('Dvd Calendar'!$F$566=TYPE3)*(TYPE3&lt;&gt;"")+('Dvd Calendar'!$F$566=TYPE4)*(TYPE4&lt;&gt;"")+('Dvd Calendar'!$F$566=SPECIAL_LBL)*(INC_SPECIALS="Y"))=0,"",'Dvd Calendar'!$F$564)))</f>
        <v/>
      </c>
      <c r="E62" s="161">
        <f>IF(EG62="","",IF(ISNUMBER('Dvd Calendar'!$G$564)=FALSE,"",IF((('Dvd Calendar'!$G$566=TYPE1)*(TYPE1&lt;&gt;"")+('Dvd Calendar'!$G$566=TYPE2)*(TYPE2&lt;&gt;"")+('Dvd Calendar'!$G$566=TYPE3)*(TYPE3&lt;&gt;"")+('Dvd Calendar'!$G$566=TYPE4)*(TYPE4&lt;&gt;"")+('Dvd Calendar'!$G$566=SPECIAL_LBL)*(INC_SPECIALS="Y"))=0,"",'Dvd Calendar'!$G$564)))</f>
        <v/>
      </c>
      <c r="F62" s="161">
        <f>IF(EH62="","",IF(ISNUMBER('Dvd Calendar'!$H$564)=FALSE,"",IF((('Dvd Calendar'!$H$566=TYPE1)*(TYPE1&lt;&gt;"")+('Dvd Calendar'!$H$566=TYPE2)*(TYPE2&lt;&gt;"")+('Dvd Calendar'!$H$566=TYPE3)*(TYPE3&lt;&gt;"")+('Dvd Calendar'!$H$566=TYPE4)*(TYPE4&lt;&gt;"")+('Dvd Calendar'!$H$566=SPECIAL_LBL)*(INC_SPECIALS="Y"))=0,"",'Dvd Calendar'!$H$564)))</f>
        <v/>
      </c>
      <c r="G62" s="161">
        <f>IF(EI62="","",IF(ISNUMBER('Dvd Calendar'!$I$564)=FALSE,"",IF((('Dvd Calendar'!$I$566=TYPE1)*(TYPE1&lt;&gt;"")+('Dvd Calendar'!$I$566=TYPE2)*(TYPE2&lt;&gt;"")+('Dvd Calendar'!$I$566=TYPE3)*(TYPE3&lt;&gt;"")+('Dvd Calendar'!$I$566=TYPE4)*(TYPE4&lt;&gt;"")+('Dvd Calendar'!$I$566=SPECIAL_LBL)*(INC_SPECIALS="Y"))=0,"",'Dvd Calendar'!$I$564)))</f>
        <v/>
      </c>
      <c r="H62" s="161">
        <f>IF(EJ62="","",IF(ISNUMBER('Dvd Calendar'!$J$564)=FALSE,"",IF((('Dvd Calendar'!$J$566=TYPE1)*(TYPE1&lt;&gt;"")+('Dvd Calendar'!$J$566=TYPE2)*(TYPE2&lt;&gt;"")+('Dvd Calendar'!$J$566=TYPE3)*(TYPE3&lt;&gt;"")+('Dvd Calendar'!$J$566=TYPE4)*(TYPE4&lt;&gt;"")+('Dvd Calendar'!$J$566=SPECIAL_LBL)*(INC_SPECIALS="Y"))=0,"",'Dvd Calendar'!$J$564)))</f>
        <v/>
      </c>
      <c r="I62" s="161">
        <f>IF(EK62="","",IF(ISNUMBER('Dvd Calendar'!$K$564)=FALSE,"",IF((('Dvd Calendar'!$K$566=TYPE1)*(TYPE1&lt;&gt;"")+('Dvd Calendar'!$K$566=TYPE2)*(TYPE2&lt;&gt;"")+('Dvd Calendar'!$K$566=TYPE3)*(TYPE3&lt;&gt;"")+('Dvd Calendar'!$K$566=TYPE4)*(TYPE4&lt;&gt;"")+('Dvd Calendar'!$K$566=SPECIAL_LBL)*(INC_SPECIALS="Y"))=0,"",'Dvd Calendar'!$K$564)))</f>
        <v/>
      </c>
      <c r="J62" s="161">
        <f>IF(EL62="","",IF(ISNUMBER('Dvd Calendar'!$L$564)=FALSE,"",IF((('Dvd Calendar'!$L$566=TYPE1)*(TYPE1&lt;&gt;"")+('Dvd Calendar'!$L$566=TYPE2)*(TYPE2&lt;&gt;"")+('Dvd Calendar'!$L$566=TYPE3)*(TYPE3&lt;&gt;"")+('Dvd Calendar'!$L$566=TYPE4)*(TYPE4&lt;&gt;"")+('Dvd Calendar'!$L$566=SPECIAL_LBL)*(INC_SPECIALS="Y"))=0,"",'Dvd Calendar'!$L$564)))</f>
        <v/>
      </c>
      <c r="K62" s="161">
        <f>IF(EM62="","",IF(ISNUMBER('Dvd Calendar'!$M$564)=FALSE,"",IF((('Dvd Calendar'!$M$566=TYPE1)*(TYPE1&lt;&gt;"")+('Dvd Calendar'!$M$566=TYPE2)*(TYPE2&lt;&gt;"")+('Dvd Calendar'!$M$566=TYPE3)*(TYPE3&lt;&gt;"")+('Dvd Calendar'!$M$566=TYPE4)*(TYPE4&lt;&gt;"")+('Dvd Calendar'!$M$566=SPECIAL_LBL)*(INC_SPECIALS="Y"))=0,"",'Dvd Calendar'!$M$564)))</f>
        <v/>
      </c>
      <c r="L62" s="161">
        <f>IF(EN62="","",IF(ISNUMBER('Dvd Calendar'!$N$564)=FALSE,"",IF((('Dvd Calendar'!$N$566=TYPE1)*(TYPE1&lt;&gt;"")+('Dvd Calendar'!$N$566=TYPE2)*(TYPE2&lt;&gt;"")+('Dvd Calendar'!$N$566=TYPE3)*(TYPE3&lt;&gt;"")+('Dvd Calendar'!$N$566=TYPE4)*(TYPE4&lt;&gt;"")+('Dvd Calendar'!$N$566=SPECIAL_LBL)*(INC_SPECIALS="Y"))=0,"",'Dvd Calendar'!$N$564)))</f>
        <v/>
      </c>
      <c r="M62" s="161">
        <f>IF(EO62="","",IF(ISNUMBER('Dvd Calendar'!$O$564)=FALSE,"",IF((('Dvd Calendar'!$O$566=TYPE1)*(TYPE1&lt;&gt;"")+('Dvd Calendar'!$O$566=TYPE2)*(TYPE2&lt;&gt;"")+('Dvd Calendar'!$O$566=TYPE3)*(TYPE3&lt;&gt;"")+('Dvd Calendar'!$O$566=TYPE4)*(TYPE4&lt;&gt;"")+('Dvd Calendar'!$O$566=SPECIAL_LBL)*(INC_SPECIALS="Y"))=0,"",'Dvd Calendar'!$O$564)))</f>
        <v/>
      </c>
      <c r="N62" s="161">
        <f>IF(EP62="","",IF(ISNUMBER('Dvd Calendar'!$P$564)=FALSE,"",IF((('Dvd Calendar'!$P$566=TYPE1)*(TYPE1&lt;&gt;"")+('Dvd Calendar'!$P$566=TYPE2)*(TYPE2&lt;&gt;"")+('Dvd Calendar'!$P$566=TYPE3)*(TYPE3&lt;&gt;"")+('Dvd Calendar'!$P$566=TYPE4)*(TYPE4&lt;&gt;"")+('Dvd Calendar'!$P$566=SPECIAL_LBL)*(INC_SPECIALS="Y"))=0,"",'Dvd Calendar'!$P$564)))</f>
        <v/>
      </c>
      <c r="O62" s="161">
        <f>IF(EQ62="","",IF(ISNUMBER('Dvd Calendar'!$Q$564)=FALSE,"",IF((('Dvd Calendar'!$Q$566=TYPE1)*(TYPE1&lt;&gt;"")+('Dvd Calendar'!$Q$566=TYPE2)*(TYPE2&lt;&gt;"")+('Dvd Calendar'!$Q$566=TYPE3)*(TYPE3&lt;&gt;"")+('Dvd Calendar'!$Q$566=TYPE4)*(TYPE4&lt;&gt;"")+('Dvd Calendar'!$Q$566=SPECIAL_LBL)*(INC_SPECIALS="Y"))=0,"",'Dvd Calendar'!$Q$564)))</f>
        <v/>
      </c>
      <c r="P62" s="161">
        <f>IF(ER62="","",IF(ISNUMBER('Dvd Calendar'!$R$564)=FALSE,"",IF((('Dvd Calendar'!$R$566=TYPE1)*(TYPE1&lt;&gt;"")+('Dvd Calendar'!$R$566=TYPE2)*(TYPE2&lt;&gt;"")+('Dvd Calendar'!$R$566=TYPE3)*(TYPE3&lt;&gt;"")+('Dvd Calendar'!$R$566=TYPE4)*(TYPE4&lt;&gt;"")+('Dvd Calendar'!$R$566=SPECIAL_LBL)*(INC_SPECIALS="Y"))=0,"",'Dvd Calendar'!$R$564)))</f>
        <v/>
      </c>
      <c r="Q62" s="161">
        <f>IF(ES62="","",IF(ISNUMBER('Dvd Calendar'!$S$564)=FALSE,"",IF((('Dvd Calendar'!$S$566=TYPE1)*(TYPE1&lt;&gt;"")+('Dvd Calendar'!$S$566=TYPE2)*(TYPE2&lt;&gt;"")+('Dvd Calendar'!$S$566=TYPE3)*(TYPE3&lt;&gt;"")+('Dvd Calendar'!$S$566=TYPE4)*(TYPE4&lt;&gt;"")+('Dvd Calendar'!$S$566=SPECIAL_LBL)*(INC_SPECIALS="Y"))=0,"",'Dvd Calendar'!$S$564)))</f>
        <v/>
      </c>
      <c r="R62" s="161">
        <f>IF(ET62="","",IF(ISNUMBER('Dvd Calendar'!$T$564)=FALSE,"",IF((('Dvd Calendar'!$T$566=TYPE1)*(TYPE1&lt;&gt;"")+('Dvd Calendar'!$T$566=TYPE2)*(TYPE2&lt;&gt;"")+('Dvd Calendar'!$T$566=TYPE3)*(TYPE3&lt;&gt;"")+('Dvd Calendar'!$T$566=TYPE4)*(TYPE4&lt;&gt;"")+('Dvd Calendar'!$T$566=SPECIAL_LBL)*(INC_SPECIALS="Y"))=0,"",'Dvd Calendar'!$T$564)))</f>
        <v/>
      </c>
      <c r="S62" s="161">
        <f>IF(EU62="","",IF(ISNUMBER('Dvd Calendar'!$U$564)=FALSE,"",IF((('Dvd Calendar'!$U$566=TYPE1)*(TYPE1&lt;&gt;"")+('Dvd Calendar'!$U$566=TYPE2)*(TYPE2&lt;&gt;"")+('Dvd Calendar'!$U$566=TYPE3)*(TYPE3&lt;&gt;"")+('Dvd Calendar'!$U$566=TYPE4)*(TYPE4&lt;&gt;"")+('Dvd Calendar'!$U$566=SPECIAL_LBL)*(INC_SPECIALS="Y"))=0,"",'Dvd Calendar'!$U$564)))</f>
        <v/>
      </c>
      <c r="T62" s="161">
        <f>IF(EV62="","",IF(ISNUMBER('Dvd Calendar'!$V$564)=FALSE,"",IF((('Dvd Calendar'!$V$566=TYPE1)*(TYPE1&lt;&gt;"")+('Dvd Calendar'!$V$566=TYPE2)*(TYPE2&lt;&gt;"")+('Dvd Calendar'!$V$566=TYPE3)*(TYPE3&lt;&gt;"")+('Dvd Calendar'!$V$566=TYPE4)*(TYPE4&lt;&gt;"")+('Dvd Calendar'!$V$566=SPECIAL_LBL)*(INC_SPECIALS="Y"))=0,"",'Dvd Calendar'!$V$564)))</f>
        <v/>
      </c>
      <c r="U62" s="161">
        <f>IF(EW62="","",IF(ISNUMBER('Dvd Calendar'!$W$564)=FALSE,"",IF((('Dvd Calendar'!$W$566=TYPE1)*(TYPE1&lt;&gt;"")+('Dvd Calendar'!$W$566=TYPE2)*(TYPE2&lt;&gt;"")+('Dvd Calendar'!$W$566=TYPE3)*(TYPE3&lt;&gt;"")+('Dvd Calendar'!$W$566=TYPE4)*(TYPE4&lt;&gt;"")+('Dvd Calendar'!$W$566=SPECIAL_LBL)*(INC_SPECIALS="Y"))=0,"",'Dvd Calendar'!$W$564)))</f>
        <v/>
      </c>
      <c r="V62" s="161">
        <f>IF(EX62="","",IF(ISNUMBER('Dvd Calendar'!$X$564)=FALSE,"",IF((('Dvd Calendar'!$X$566=TYPE1)*(TYPE1&lt;&gt;"")+('Dvd Calendar'!$X$566=TYPE2)*(TYPE2&lt;&gt;"")+('Dvd Calendar'!$X$566=TYPE3)*(TYPE3&lt;&gt;"")+('Dvd Calendar'!$X$566=TYPE4)*(TYPE4&lt;&gt;"")+('Dvd Calendar'!$X$566=SPECIAL_LBL)*(INC_SPECIALS="Y"))=0,"",'Dvd Calendar'!$X$564)))</f>
        <v/>
      </c>
      <c r="W62" s="161">
        <f>IF(EY62="","",IF(ISNUMBER('Dvd Calendar'!$Y$564)=FALSE,"",IF((('Dvd Calendar'!$Y$566=TYPE1)*(TYPE1&lt;&gt;"")+('Dvd Calendar'!$Y$566=TYPE2)*(TYPE2&lt;&gt;"")+('Dvd Calendar'!$Y$566=TYPE3)*(TYPE3&lt;&gt;"")+('Dvd Calendar'!$Y$566=TYPE4)*(TYPE4&lt;&gt;"")+('Dvd Calendar'!$Y$566=SPECIAL_LBL)*(INC_SPECIALS="Y"))=0,"",'Dvd Calendar'!$Y$564)))</f>
        <v/>
      </c>
      <c r="X62" s="161">
        <f>IF(EZ62="","",IF(ISNUMBER('Dvd Calendar'!$Z$564)=FALSE,"",IF((('Dvd Calendar'!$Z$566=TYPE1)*(TYPE1&lt;&gt;"")+('Dvd Calendar'!$Z$566=TYPE2)*(TYPE2&lt;&gt;"")+('Dvd Calendar'!$Z$566=TYPE3)*(TYPE3&lt;&gt;"")+('Dvd Calendar'!$Z$566=TYPE4)*(TYPE4&lt;&gt;"")+('Dvd Calendar'!$Z$566=SPECIAL_LBL)*(INC_SPECIALS="Y"))=0,"",'Dvd Calendar'!$Z$564)))</f>
        <v/>
      </c>
      <c r="Y62" s="161">
        <f>IF(FA62="","",IF(ISNUMBER('Dvd Calendar'!$AA$564)=FALSE,"",IF((('Dvd Calendar'!$AA$566=TYPE1)*(TYPE1&lt;&gt;"")+('Dvd Calendar'!$AA$566=TYPE2)*(TYPE2&lt;&gt;"")+('Dvd Calendar'!$AA$566=TYPE3)*(TYPE3&lt;&gt;"")+('Dvd Calendar'!$AA$566=TYPE4)*(TYPE4&lt;&gt;"")+('Dvd Calendar'!$AA$566=SPECIAL_LBL)*(INC_SPECIALS="Y"))=0,"",'Dvd Calendar'!$AA$564)))</f>
        <v/>
      </c>
      <c r="Z62" s="161">
        <f>IF(FB62="","",IF(ISNUMBER('Dvd Calendar'!$AB$564)=FALSE,"",IF((('Dvd Calendar'!$AB$566=TYPE1)*(TYPE1&lt;&gt;"")+('Dvd Calendar'!$AB$566=TYPE2)*(TYPE2&lt;&gt;"")+('Dvd Calendar'!$AB$566=TYPE3)*(TYPE3&lt;&gt;"")+('Dvd Calendar'!$AB$566=TYPE4)*(TYPE4&lt;&gt;"")+('Dvd Calendar'!$AB$566=SPECIAL_LBL)*(INC_SPECIALS="Y"))=0,"",'Dvd Calendar'!$AB$564)))</f>
        <v/>
      </c>
      <c r="AA62" s="161">
        <f>IF(FC62="","",IF(ISNUMBER('Dvd Calendar'!$AC$564)=FALSE,"",IF((('Dvd Calendar'!$AC$566=TYPE1)*(TYPE1&lt;&gt;"")+('Dvd Calendar'!$AC$566=TYPE2)*(TYPE2&lt;&gt;"")+('Dvd Calendar'!$AC$566=TYPE3)*(TYPE3&lt;&gt;"")+('Dvd Calendar'!$AC$566=TYPE4)*(TYPE4&lt;&gt;"")+('Dvd Calendar'!$AC$566=SPECIAL_LBL)*(INC_SPECIALS="Y"))=0,"",'Dvd Calendar'!$AC$564)))</f>
        <v/>
      </c>
      <c r="AB62" s="161">
        <f>IF(FD62="","",IF(ISNUMBER('Dvd Calendar'!$AD$564)=FALSE,"",IF((('Dvd Calendar'!$AD$566=TYPE1)*(TYPE1&lt;&gt;"")+('Dvd Calendar'!$AD$566=TYPE2)*(TYPE2&lt;&gt;"")+('Dvd Calendar'!$AD$566=TYPE3)*(TYPE3&lt;&gt;"")+('Dvd Calendar'!$AD$566=TYPE4)*(TYPE4&lt;&gt;"")+('Dvd Calendar'!$AD$566=SPECIAL_LBL)*(INC_SPECIALS="Y"))=0,"",'Dvd Calendar'!$AD$564)))</f>
        <v/>
      </c>
      <c r="AC62" s="161">
        <f>IF(FE62="","",IF(ISNUMBER('Dvd Calendar'!$AE$564)=FALSE,"",IF((('Dvd Calendar'!$AE$566=TYPE1)*(TYPE1&lt;&gt;"")+('Dvd Calendar'!$AE$566=TYPE2)*(TYPE2&lt;&gt;"")+('Dvd Calendar'!$AE$566=TYPE3)*(TYPE3&lt;&gt;"")+('Dvd Calendar'!$AE$566=TYPE4)*(TYPE4&lt;&gt;"")+('Dvd Calendar'!$AE$566=SPECIAL_LBL)*(INC_SPECIALS="Y"))=0,"",'Dvd Calendar'!$AE$564)))</f>
        <v/>
      </c>
      <c r="AD62" s="161">
        <f>IF(FF62="","",IF(ISNUMBER('Dvd Calendar'!$AF$564)=FALSE,"",IF((('Dvd Calendar'!$AF$566=TYPE1)*(TYPE1&lt;&gt;"")+('Dvd Calendar'!$AF$566=TYPE2)*(TYPE2&lt;&gt;"")+('Dvd Calendar'!$AF$566=TYPE3)*(TYPE3&lt;&gt;"")+('Dvd Calendar'!$AF$566=TYPE4)*(TYPE4&lt;&gt;"")+('Dvd Calendar'!$AF$566=SPECIAL_LBL)*(INC_SPECIALS="Y"))=0,"",'Dvd Calendar'!$AF$564)))</f>
        <v/>
      </c>
      <c r="AE62" s="161">
        <f>IF(FG62="","",IF(ISNUMBER('Dvd Calendar'!$AG$564)=FALSE,"",IF((('Dvd Calendar'!$AG$566=TYPE1)*(TYPE1&lt;&gt;"")+('Dvd Calendar'!$AG$566=TYPE2)*(TYPE2&lt;&gt;"")+('Dvd Calendar'!$AG$566=TYPE3)*(TYPE3&lt;&gt;"")+('Dvd Calendar'!$AG$566=TYPE4)*(TYPE4&lt;&gt;"")+('Dvd Calendar'!$AG$566=SPECIAL_LBL)*(INC_SPECIALS="Y"))=0,"",'Dvd Calendar'!$AG$564)))</f>
        <v/>
      </c>
      <c r="AF62" s="161">
        <f>IF(FH62="","",IF(ISNUMBER('Dvd Calendar'!$AH$564)=FALSE,"",IF((('Dvd Calendar'!$AH$566=TYPE1)*(TYPE1&lt;&gt;"")+('Dvd Calendar'!$AH$566=TYPE2)*(TYPE2&lt;&gt;"")+('Dvd Calendar'!$AH$566=TYPE3)*(TYPE3&lt;&gt;"")+('Dvd Calendar'!$AH$566=TYPE4)*(TYPE4&lt;&gt;"")+('Dvd Calendar'!$AH$566=SPECIAL_LBL)*(INC_SPECIALS="Y"))=0,"",'Dvd Calendar'!$AH$564)))</f>
        <v/>
      </c>
      <c r="AG62" s="161">
        <f>IF(FI62="","",IF(ISNUMBER('Dvd Calendar'!$AI$564)=FALSE,"",IF((('Dvd Calendar'!$AI$566=TYPE1)*(TYPE1&lt;&gt;"")+('Dvd Calendar'!$AI$566=TYPE2)*(TYPE2&lt;&gt;"")+('Dvd Calendar'!$AI$566=TYPE3)*(TYPE3&lt;&gt;"")+('Dvd Calendar'!$AI$566=TYPE4)*(TYPE4&lt;&gt;"")+('Dvd Calendar'!$AI$566=SPECIAL_LBL)*(INC_SPECIALS="Y"))=0,"",'Dvd Calendar'!$AI$564)))</f>
        <v/>
      </c>
      <c r="AH62" s="161">
        <f>IF(FJ62="","",IF(ISNUMBER('Dvd Calendar'!$AJ$564)=FALSE,"",IF((('Dvd Calendar'!$AJ$566=TYPE1)*(TYPE1&lt;&gt;"")+('Dvd Calendar'!$AJ$566=TYPE2)*(TYPE2&lt;&gt;"")+('Dvd Calendar'!$AJ$566=TYPE3)*(TYPE3&lt;&gt;"")+('Dvd Calendar'!$AJ$566=TYPE4)*(TYPE4&lt;&gt;"")+('Dvd Calendar'!$AJ$566=SPECIAL_LBL)*(INC_SPECIALS="Y"))=0,"",'Dvd Calendar'!$AJ$564)))</f>
        <v/>
      </c>
      <c r="AI62" s="161">
        <f>IF(FK62="","",IF(ISNUMBER('Dvd Calendar'!$AK$564)=FALSE,"",IF((('Dvd Calendar'!$AK$566=TYPE1)*(TYPE1&lt;&gt;"")+('Dvd Calendar'!$AK$566=TYPE2)*(TYPE2&lt;&gt;"")+('Dvd Calendar'!$AK$566=TYPE3)*(TYPE3&lt;&gt;"")+('Dvd Calendar'!$AK$566=TYPE4)*(TYPE4&lt;&gt;"")+('Dvd Calendar'!$AK$566=SPECIAL_LBL)*(INC_SPECIALS="Y"))=0,"",'Dvd Calendar'!$AK$564)))</f>
        <v/>
      </c>
      <c r="AJ62" s="161">
        <f>IF(FL62="","",IF(ISNUMBER('Dvd Calendar'!$AL$564)=FALSE,"",IF((('Dvd Calendar'!$AL$566=TYPE1)*(TYPE1&lt;&gt;"")+('Dvd Calendar'!$AL$566=TYPE2)*(TYPE2&lt;&gt;"")+('Dvd Calendar'!$AL$566=TYPE3)*(TYPE3&lt;&gt;"")+('Dvd Calendar'!$AL$566=TYPE4)*(TYPE4&lt;&gt;"")+('Dvd Calendar'!$AL$566=SPECIAL_LBL)*(INC_SPECIALS="Y"))=0,"",'Dvd Calendar'!$AL$564)))</f>
        <v/>
      </c>
      <c r="AK62" s="161">
        <f>IF(FM62="","",IF(ISNUMBER('Dvd Calendar'!$AM$564)=FALSE,"",IF((('Dvd Calendar'!$AM$566=TYPE1)*(TYPE1&lt;&gt;"")+('Dvd Calendar'!$AM$566=TYPE2)*(TYPE2&lt;&gt;"")+('Dvd Calendar'!$AM$566=TYPE3)*(TYPE3&lt;&gt;"")+('Dvd Calendar'!$AM$566=TYPE4)*(TYPE4&lt;&gt;"")+('Dvd Calendar'!$AM$566=SPECIAL_LBL)*(INC_SPECIALS="Y"))=0,"",'Dvd Calendar'!$AM$564)))</f>
        <v/>
      </c>
      <c r="AL62" s="161">
        <f>IF(FN62="","",IF(ISNUMBER('Dvd Calendar'!$AN$564)=FALSE,"",IF((('Dvd Calendar'!$AN$566=TYPE1)*(TYPE1&lt;&gt;"")+('Dvd Calendar'!$AN$566=TYPE2)*(TYPE2&lt;&gt;"")+('Dvd Calendar'!$AN$566=TYPE3)*(TYPE3&lt;&gt;"")+('Dvd Calendar'!$AN$566=TYPE4)*(TYPE4&lt;&gt;"")+('Dvd Calendar'!$AN$566=SPECIAL_LBL)*(INC_SPECIALS="Y"))=0,"",'Dvd Calendar'!$AN$564)))</f>
        <v/>
      </c>
      <c r="AM62" s="161">
        <f>IF(FO62="","",IF(ISNUMBER('Dvd Calendar'!$AO$564)=FALSE,"",IF((('Dvd Calendar'!$AO$566=TYPE1)*(TYPE1&lt;&gt;"")+('Dvd Calendar'!$AO$566=TYPE2)*(TYPE2&lt;&gt;"")+('Dvd Calendar'!$AO$566=TYPE3)*(TYPE3&lt;&gt;"")+('Dvd Calendar'!$AO$566=TYPE4)*(TYPE4&lt;&gt;"")+('Dvd Calendar'!$AO$566=SPECIAL_LBL)*(INC_SPECIALS="Y"))=0,"",'Dvd Calendar'!$AO$564)))</f>
        <v/>
      </c>
      <c r="AN62" s="161">
        <f>IF(FP62="","",IF(ISNUMBER('Dvd Calendar'!$AP$564)=FALSE,"",IF((('Dvd Calendar'!$AP$566=TYPE1)*(TYPE1&lt;&gt;"")+('Dvd Calendar'!$AP$566=TYPE2)*(TYPE2&lt;&gt;"")+('Dvd Calendar'!$AP$566=TYPE3)*(TYPE3&lt;&gt;"")+('Dvd Calendar'!$AP$566=TYPE4)*(TYPE4&lt;&gt;"")+('Dvd Calendar'!$AP$566=SPECIAL_LBL)*(INC_SPECIALS="Y"))=0,"",'Dvd Calendar'!$AP$564)))</f>
        <v/>
      </c>
      <c r="AO62" s="161">
        <f>IF(FQ62="","",IF(ISNUMBER('Dvd Calendar'!$AQ$564)=FALSE,"",IF((('Dvd Calendar'!$AQ$566=TYPE1)*(TYPE1&lt;&gt;"")+('Dvd Calendar'!$AQ$566=TYPE2)*(TYPE2&lt;&gt;"")+('Dvd Calendar'!$AQ$566=TYPE3)*(TYPE3&lt;&gt;"")+('Dvd Calendar'!$AQ$566=TYPE4)*(TYPE4&lt;&gt;"")+('Dvd Calendar'!$AQ$566=SPECIAL_LBL)*(INC_SPECIALS="Y"))=0,"",'Dvd Calendar'!$AQ$564)))</f>
        <v/>
      </c>
      <c r="AP62" s="161">
        <f>IF(FR62="","",IF(ISNUMBER('Dvd Calendar'!$AR$564)=FALSE,"",IF((('Dvd Calendar'!$AR$566=TYPE1)*(TYPE1&lt;&gt;"")+('Dvd Calendar'!$AR$566=TYPE2)*(TYPE2&lt;&gt;"")+('Dvd Calendar'!$AR$566=TYPE3)*(TYPE3&lt;&gt;"")+('Dvd Calendar'!$AR$566=TYPE4)*(TYPE4&lt;&gt;"")+('Dvd Calendar'!$AR$566=SPECIAL_LBL)*(INC_SPECIALS="Y"))=0,"",'Dvd Calendar'!$AR$564)))</f>
        <v/>
      </c>
      <c r="AQ62" s="161">
        <f>IF(FS62="","",IF(ISNUMBER('Dvd Calendar'!$E$569)=FALSE,"",'Dvd Calendar'!$E$569))</f>
        <v/>
      </c>
      <c r="AR62" s="161">
        <f>IF(FT62="","",IF(ISNUMBER('Dvd Calendar'!$F$569)=FALSE,"",'Dvd Calendar'!$F$569))</f>
        <v/>
      </c>
      <c r="AS62" s="161">
        <f>IF(FU62="","",IF(ISNUMBER('Dvd Calendar'!$G$569)=FALSE,"",'Dvd Calendar'!$G$569))</f>
        <v/>
      </c>
      <c r="AT62" s="161">
        <f>IF(FV62="","",IF(ISNUMBER('Dvd Calendar'!$H$569)=FALSE,"",'Dvd Calendar'!$H$569))</f>
        <v/>
      </c>
      <c r="AU62" s="161">
        <f>IF(FW62="","",IF(ISNUMBER('Dvd Calendar'!$I$569)=FALSE,"",'Dvd Calendar'!$I$569))</f>
        <v/>
      </c>
      <c r="AV62" s="161">
        <f>IF(FX62="","",IF(ISNUMBER('Dvd Calendar'!$J$569)=FALSE,"",'Dvd Calendar'!$J$569))</f>
        <v/>
      </c>
      <c r="AW62" s="161">
        <f>IF(FY62="","",IF(ISNUMBER('Dvd Calendar'!$K$569)=FALSE,"",'Dvd Calendar'!$K$569))</f>
        <v/>
      </c>
      <c r="AX62" s="161">
        <f>IF(FZ62="","",IF(ISNUMBER('Dvd Calendar'!$L$569)=FALSE,"",'Dvd Calendar'!$L$569))</f>
        <v/>
      </c>
      <c r="AY62" s="161">
        <f>IF(GA62="","",IF(ISNUMBER('Dvd Calendar'!$M$569)=FALSE,"",'Dvd Calendar'!$M$569))</f>
        <v/>
      </c>
      <c r="AZ62" s="161">
        <f>IF(GB62="","",IF(ISNUMBER('Dvd Calendar'!$N$569)=FALSE,"",'Dvd Calendar'!$N$569))</f>
        <v/>
      </c>
      <c r="BA62" s="161">
        <f>IF(GC62="","",IF(ISNUMBER('Dvd Calendar'!$O$569)=FALSE,"",'Dvd Calendar'!$O$569))</f>
        <v/>
      </c>
      <c r="BB62" s="161">
        <f>IF(GD62="","",IF(ISNUMBER('Dvd Calendar'!$P$569)=FALSE,"",'Dvd Calendar'!$P$569))</f>
        <v/>
      </c>
      <c r="BC62" s="161">
        <f>IF(GE62="","",IF(ISNUMBER('Dvd Calendar'!$Q$569)=FALSE,"",'Dvd Calendar'!$Q$569))</f>
        <v/>
      </c>
      <c r="BD62" s="161">
        <f>IF(GF62="","",IF(ISNUMBER('Dvd Calendar'!$R$569)=FALSE,"",'Dvd Calendar'!$R$569))</f>
        <v/>
      </c>
      <c r="BE62" s="161">
        <f>IF(GG62="","",IF(ISNUMBER('Dvd Calendar'!$S$569)=FALSE,"",'Dvd Calendar'!$S$569))</f>
        <v/>
      </c>
      <c r="BF62" s="161">
        <f>IF(GH62="","",IF(ISNUMBER('Dvd Calendar'!$T$569)=FALSE,"",'Dvd Calendar'!$T$569))</f>
        <v/>
      </c>
      <c r="BG62" s="161">
        <f>IF(GI62="","",IF(ISNUMBER('Dvd Calendar'!$U$569)=FALSE,"",'Dvd Calendar'!$U$569))</f>
        <v/>
      </c>
      <c r="BH62" s="161">
        <f>IF(GJ62="","",IF(ISNUMBER('Dvd Calendar'!$V$569)=FALSE,"",'Dvd Calendar'!$V$569))</f>
        <v/>
      </c>
      <c r="BI62" s="161">
        <f>IF(GK62="","",IF(ISNUMBER('Dvd Calendar'!$W$569)=FALSE,"",'Dvd Calendar'!$W$569))</f>
        <v/>
      </c>
      <c r="BJ62" s="161">
        <f>IF(GL62="","",IF(ISNUMBER('Dvd Calendar'!$X$569)=FALSE,"",'Dvd Calendar'!$X$569))</f>
        <v/>
      </c>
      <c r="BK62" s="161">
        <f>IF(GM62="","",IF(ISNUMBER('Dvd Calendar'!$Y$569)=FALSE,"",'Dvd Calendar'!$Y$569))</f>
        <v/>
      </c>
      <c r="BL62" s="161">
        <f>IF(GN62="","",IF(ISNUMBER('Dvd Calendar'!$Z$569)=FALSE,"",'Dvd Calendar'!$Z$569))</f>
        <v/>
      </c>
      <c r="BM62" s="161">
        <f>IF(GO62="","",IF(ISNUMBER('Dvd Calendar'!$AA$569)=FALSE,"",'Dvd Calendar'!$AA$569))</f>
        <v/>
      </c>
      <c r="BN62" s="161">
        <f>IF(GP62="","",IF(ISNUMBER('Dvd Calendar'!$AB$569)=FALSE,"",'Dvd Calendar'!$AB$569))</f>
        <v/>
      </c>
      <c r="BO62" s="161">
        <f>IF(GQ62="","",IF(ISNUMBER('Dvd Calendar'!$AC$569)=FALSE,"",'Dvd Calendar'!$AC$569))</f>
        <v/>
      </c>
      <c r="BQ62" s="161">
        <f>IF(C62="","",IFERROR(C62*HSI!$B$57*HSI!$G$57/HSI!$B$3,""))</f>
        <v/>
      </c>
      <c r="BR62" s="161">
        <f>IF(D62="","",IFERROR(D62*HSI!$B$57*HSI!$G$57/HSI!$B$3,""))</f>
        <v/>
      </c>
      <c r="BS62" s="161">
        <f>IF(E62="","",IFERROR(E62*HSI!$B$57*HSI!$G$57/HSI!$B$3,""))</f>
        <v/>
      </c>
      <c r="BT62" s="161">
        <f>IF(F62="","",IFERROR(F62*HSI!$B$57*HSI!$G$57/HSI!$B$3,""))</f>
        <v/>
      </c>
      <c r="BU62" s="161">
        <f>IF(G62="","",IFERROR(G62*HSI!$B$57*HSI!$G$57/HSI!$B$3,""))</f>
        <v/>
      </c>
      <c r="BV62" s="161">
        <f>IF(H62="","",IFERROR(H62*HSI!$B$57*HSI!$G$57/HSI!$B$3,""))</f>
        <v/>
      </c>
      <c r="BW62" s="161">
        <f>IF(I62="","",IFERROR(I62*HSI!$B$57*HSI!$G$57/HSI!$B$3,""))</f>
        <v/>
      </c>
      <c r="BX62" s="161">
        <f>IF(J62="","",IFERROR(J62*HSI!$B$57*HSI!$G$57/HSI!$B$3,""))</f>
        <v/>
      </c>
      <c r="BY62" s="161">
        <f>IF(K62="","",IFERROR(K62*HSI!$B$57*HSI!$G$57/HSI!$B$3,""))</f>
        <v/>
      </c>
      <c r="BZ62" s="161">
        <f>IF(L62="","",IFERROR(L62*HSI!$B$57*HSI!$G$57/HSI!$B$3,""))</f>
        <v/>
      </c>
      <c r="CA62" s="161">
        <f>IF(M62="","",IFERROR(M62*HSI!$B$57*HSI!$G$57/HSI!$B$3,""))</f>
        <v/>
      </c>
      <c r="CB62" s="161">
        <f>IF(N62="","",IFERROR(N62*HSI!$B$57*HSI!$G$57/HSI!$B$3,""))</f>
        <v/>
      </c>
      <c r="CC62" s="161">
        <f>IF(O62="","",IFERROR(O62*HSI!$B$57*HSI!$G$57/HSI!$B$3,""))</f>
        <v/>
      </c>
      <c r="CD62" s="161">
        <f>IF(P62="","",IFERROR(P62*HSI!$B$57*HSI!$G$57/HSI!$B$3,""))</f>
        <v/>
      </c>
      <c r="CE62" s="161">
        <f>IF(Q62="","",IFERROR(Q62*HSI!$B$57*HSI!$G$57/HSI!$B$3,""))</f>
        <v/>
      </c>
      <c r="CF62" s="161">
        <f>IF(R62="","",IFERROR(R62*HSI!$B$57*HSI!$G$57/HSI!$B$3,""))</f>
        <v/>
      </c>
      <c r="CG62" s="161">
        <f>IF(S62="","",IFERROR(S62*HSI!$B$57*HSI!$G$57/HSI!$B$3,""))</f>
        <v/>
      </c>
      <c r="CH62" s="161">
        <f>IF(T62="","",IFERROR(T62*HSI!$B$57*HSI!$G$57/HSI!$B$3,""))</f>
        <v/>
      </c>
      <c r="CI62" s="161">
        <f>IF(U62="","",IFERROR(U62*HSI!$B$57*HSI!$G$57/HSI!$B$3,""))</f>
        <v/>
      </c>
      <c r="CJ62" s="161">
        <f>IF(V62="","",IFERROR(V62*HSI!$B$57*HSI!$G$57/HSI!$B$3,""))</f>
        <v/>
      </c>
      <c r="CK62" s="161">
        <f>IF(W62="","",IFERROR(W62*HSI!$B$57*HSI!$G$57/HSI!$B$3,""))</f>
        <v/>
      </c>
      <c r="CL62" s="161">
        <f>IF(X62="","",IFERROR(X62*HSI!$B$57*HSI!$G$57/HSI!$B$3,""))</f>
        <v/>
      </c>
      <c r="CM62" s="161">
        <f>IF(Y62="","",IFERROR(Y62*HSI!$B$57*HSI!$G$57/HSI!$B$3,""))</f>
        <v/>
      </c>
      <c r="CN62" s="161">
        <f>IF(Z62="","",IFERROR(Z62*HSI!$B$57*HSI!$G$57/HSI!$B$3,""))</f>
        <v/>
      </c>
      <c r="CO62" s="161">
        <f>IF(AA62="","",IFERROR(AA62*HSI!$B$57*HSI!$G$57/HSI!$B$3,""))</f>
        <v/>
      </c>
      <c r="CP62" s="161">
        <f>IF(AB62="","",IFERROR(AB62*HSI!$B$57*HSI!$G$57/HSI!$B$3,""))</f>
        <v/>
      </c>
      <c r="CQ62" s="161">
        <f>IF(AC62="","",IFERROR(AC62*HSI!$B$57*HSI!$G$57/HSI!$B$3,""))</f>
        <v/>
      </c>
      <c r="CR62" s="161">
        <f>IF(AD62="","",IFERROR(AD62*HSI!$B$57*HSI!$G$57/HSI!$B$3,""))</f>
        <v/>
      </c>
      <c r="CS62" s="161">
        <f>IF(AE62="","",IFERROR(AE62*HSI!$B$57*HSI!$G$57/HSI!$B$3,""))</f>
        <v/>
      </c>
      <c r="CT62" s="161">
        <f>IF(AF62="","",IFERROR(AF62*HSI!$B$57*HSI!$G$57/HSI!$B$3,""))</f>
        <v/>
      </c>
      <c r="CU62" s="161">
        <f>IF(AG62="","",IFERROR(AG62*HSI!$B$57*HSI!$G$57/HSI!$B$3,""))</f>
        <v/>
      </c>
      <c r="CV62" s="161">
        <f>IF(AH62="","",IFERROR(AH62*HSI!$B$57*HSI!$G$57/HSI!$B$3,""))</f>
        <v/>
      </c>
      <c r="CW62" s="161">
        <f>IF(AI62="","",IFERROR(AI62*HSI!$B$57*HSI!$G$57/HSI!$B$3,""))</f>
        <v/>
      </c>
      <c r="CX62" s="161">
        <f>IF(AJ62="","",IFERROR(AJ62*HSI!$B$57*HSI!$G$57/HSI!$B$3,""))</f>
        <v/>
      </c>
      <c r="CY62" s="161">
        <f>IF(AK62="","",IFERROR(AK62*HSI!$B$57*HSI!$G$57/HSI!$B$3,""))</f>
        <v/>
      </c>
      <c r="CZ62" s="161">
        <f>IF(AL62="","",IFERROR(AL62*HSI!$B$57*HSI!$G$57/HSI!$B$3,""))</f>
        <v/>
      </c>
      <c r="DA62" s="161">
        <f>IF(AM62="","",IFERROR(AM62*HSI!$B$57*HSI!$G$57/HSI!$B$3,""))</f>
        <v/>
      </c>
      <c r="DB62" s="161">
        <f>IF(AN62="","",IFERROR(AN62*HSI!$B$57*HSI!$G$57/HSI!$B$3,""))</f>
        <v/>
      </c>
      <c r="DC62" s="161">
        <f>IF(AO62="","",IFERROR(AO62*HSI!$B$57*HSI!$G$57/HSI!$B$3,""))</f>
        <v/>
      </c>
      <c r="DD62" s="161">
        <f>IF(AP62="","",IFERROR(AP62*HSI!$B$57*HSI!$G$57/HSI!$B$3,""))</f>
        <v/>
      </c>
      <c r="DE62" s="161">
        <f>IF(AQ62="","",IFERROR(AQ62*HSI!$B$57*HSI!$G$57/HSI!$B$3,""))</f>
        <v/>
      </c>
      <c r="DF62" s="161">
        <f>IF(AR62="","",IFERROR(AR62*HSI!$B$57*HSI!$G$57/HSI!$B$3,""))</f>
        <v/>
      </c>
      <c r="DG62" s="161">
        <f>IF(AS62="","",IFERROR(AS62*HSI!$B$57*HSI!$G$57/HSI!$B$3,""))</f>
        <v/>
      </c>
      <c r="DH62" s="161">
        <f>IF(AT62="","",IFERROR(AT62*HSI!$B$57*HSI!$G$57/HSI!$B$3,""))</f>
        <v/>
      </c>
      <c r="DI62" s="161">
        <f>IF(AU62="","",IFERROR(AU62*HSI!$B$57*HSI!$G$57/HSI!$B$3,""))</f>
        <v/>
      </c>
      <c r="DJ62" s="161">
        <f>IF(AV62="","",IFERROR(AV62*HSI!$B$57*HSI!$G$57/HSI!$B$3,""))</f>
        <v/>
      </c>
      <c r="DK62" s="161">
        <f>IF(AW62="","",IFERROR(AW62*HSI!$B$57*HSI!$G$57/HSI!$B$3,""))</f>
        <v/>
      </c>
      <c r="DL62" s="161">
        <f>IF(AX62="","",IFERROR(AX62*HSI!$B$57*HSI!$G$57/HSI!$B$3,""))</f>
        <v/>
      </c>
      <c r="DM62" s="161">
        <f>IF(AY62="","",IFERROR(AY62*HSI!$B$57*HSI!$G$57/HSI!$B$3,""))</f>
        <v/>
      </c>
      <c r="DN62" s="161">
        <f>IF(AZ62="","",IFERROR(AZ62*HSI!$B$57*HSI!$G$57/HSI!$B$3,""))</f>
        <v/>
      </c>
      <c r="DO62" s="161">
        <f>IF(BA62="","",IFERROR(BA62*HSI!$B$57*HSI!$G$57/HSI!$B$3,""))</f>
        <v/>
      </c>
      <c r="DP62" s="161">
        <f>IF(BB62="","",IFERROR(BB62*HSI!$B$57*HSI!$G$57/HSI!$B$3,""))</f>
        <v/>
      </c>
      <c r="DQ62" s="161">
        <f>IF(BC62="","",IFERROR(BC62*HSI!$B$57*HSI!$G$57/HSI!$B$3,""))</f>
        <v/>
      </c>
      <c r="DR62" s="161">
        <f>IF(BD62="","",IFERROR(BD62*HSI!$B$57*HSI!$G$57/HSI!$B$3,""))</f>
        <v/>
      </c>
      <c r="DS62" s="161">
        <f>IF(BE62="","",IFERROR(BE62*HSI!$B$57*HSI!$G$57/HSI!$B$3,""))</f>
        <v/>
      </c>
      <c r="DT62" s="161">
        <f>IF(BF62="","",IFERROR(BF62*HSI!$B$57*HSI!$G$57/HSI!$B$3,""))</f>
        <v/>
      </c>
      <c r="DU62" s="161">
        <f>IF(BG62="","",IFERROR(BG62*HSI!$B$57*HSI!$G$57/HSI!$B$3,""))</f>
        <v/>
      </c>
      <c r="DV62" s="161">
        <f>IF(BH62="","",IFERROR(BH62*HSI!$B$57*HSI!$G$57/HSI!$B$3,""))</f>
        <v/>
      </c>
      <c r="DW62" s="161">
        <f>IF(BI62="","",IFERROR(BI62*HSI!$B$57*HSI!$G$57/HSI!$B$3,""))</f>
        <v/>
      </c>
      <c r="DX62" s="161">
        <f>IF(BJ62="","",IFERROR(BJ62*HSI!$B$57*HSI!$G$57/HSI!$B$3,""))</f>
        <v/>
      </c>
      <c r="DY62" s="161">
        <f>IF(BK62="","",IFERROR(BK62*HSI!$B$57*HSI!$G$57/HSI!$B$3,""))</f>
        <v/>
      </c>
      <c r="DZ62" s="161">
        <f>IF(BL62="","",IFERROR(BL62*HSI!$B$57*HSI!$G$57/HSI!$B$3,""))</f>
        <v/>
      </c>
      <c r="EA62" s="161">
        <f>IF(BM62="","",IFERROR(BM62*HSI!$B$57*HSI!$G$57/HSI!$B$3,""))</f>
        <v/>
      </c>
      <c r="EB62" s="161">
        <f>IF(BN62="","",IFERROR(BN62*HSI!$B$57*HSI!$G$57/HSI!$B$3,""))</f>
        <v/>
      </c>
      <c r="EC62" s="161">
        <f>IF(BO62="","",IFERROR(BO62*HSI!$B$57*HSI!$G$57/HSI!$B$3,""))</f>
        <v/>
      </c>
      <c r="EE62" s="121">
        <f>IF(N('Dvd Calendar'!$E$561)=0,"",IF(('Dvd Calendar'!$E$561&gt;=GRID_FROM)*('Dvd Calendar'!$E$561&lt;=GRID_TO)*((('Dvd Calendar'!$E$561&lt;=VAL_DATE)+(COUNTIF('Dvd Calendar'!$E$568:$AR$568,'Dvd Calendar'!$E$561)=0))&gt;0)=0,"",'Dvd Calendar'!$E$561*1000000000+ISNUMBER('Dvd Calendar'!$E$564)*100000000+('Dvd Calendar'!$E$566=SPECIAL_LBL)*10000000+(N('Dvd Calendar'!$E$560)&gt;0)*(N('Dvd Calendar'!$E$560)&lt;=VAL_SERIAL)*1000000+51*1000+1))</f>
        <v/>
      </c>
      <c r="EF62" s="121">
        <f>IF(N('Dvd Calendar'!$F$561)=0,"",IF(('Dvd Calendar'!$F$561&gt;=GRID_FROM)*('Dvd Calendar'!$F$561&lt;=GRID_TO)*((('Dvd Calendar'!$F$561&lt;=VAL_DATE)+(COUNTIF('Dvd Calendar'!$E$568:$AR$568,'Dvd Calendar'!$F$561)=0))&gt;0)=0,"",'Dvd Calendar'!$F$561*1000000000+ISNUMBER('Dvd Calendar'!$F$564)*100000000+('Dvd Calendar'!$F$566=SPECIAL_LBL)*10000000+(N('Dvd Calendar'!$F$560)&gt;0)*(N('Dvd Calendar'!$F$560)&lt;=VAL_SERIAL)*1000000+51*1000+2))</f>
        <v/>
      </c>
      <c r="EG62" s="121">
        <f>IF(N('Dvd Calendar'!$G$561)=0,"",IF(('Dvd Calendar'!$G$561&gt;=GRID_FROM)*('Dvd Calendar'!$G$561&lt;=GRID_TO)*((('Dvd Calendar'!$G$561&lt;=VAL_DATE)+(COUNTIF('Dvd Calendar'!$E$568:$AR$568,'Dvd Calendar'!$G$561)=0))&gt;0)=0,"",'Dvd Calendar'!$G$561*1000000000+ISNUMBER('Dvd Calendar'!$G$564)*100000000+('Dvd Calendar'!$G$566=SPECIAL_LBL)*10000000+(N('Dvd Calendar'!$G$560)&gt;0)*(N('Dvd Calendar'!$G$560)&lt;=VAL_SERIAL)*1000000+51*1000+3))</f>
        <v/>
      </c>
      <c r="EH62" s="121">
        <f>IF(N('Dvd Calendar'!$H$561)=0,"",IF(('Dvd Calendar'!$H$561&gt;=GRID_FROM)*('Dvd Calendar'!$H$561&lt;=GRID_TO)*((('Dvd Calendar'!$H$561&lt;=VAL_DATE)+(COUNTIF('Dvd Calendar'!$E$568:$AR$568,'Dvd Calendar'!$H$561)=0))&gt;0)=0,"",'Dvd Calendar'!$H$561*1000000000+ISNUMBER('Dvd Calendar'!$H$564)*100000000+('Dvd Calendar'!$H$566=SPECIAL_LBL)*10000000+(N('Dvd Calendar'!$H$560)&gt;0)*(N('Dvd Calendar'!$H$560)&lt;=VAL_SERIAL)*1000000+51*1000+4))</f>
        <v/>
      </c>
      <c r="EI62" s="121">
        <f>IF(N('Dvd Calendar'!$I$561)=0,"",IF(('Dvd Calendar'!$I$561&gt;=GRID_FROM)*('Dvd Calendar'!$I$561&lt;=GRID_TO)*((('Dvd Calendar'!$I$561&lt;=VAL_DATE)+(COUNTIF('Dvd Calendar'!$E$568:$AR$568,'Dvd Calendar'!$I$561)=0))&gt;0)=0,"",'Dvd Calendar'!$I$561*1000000000+ISNUMBER('Dvd Calendar'!$I$564)*100000000+('Dvd Calendar'!$I$566=SPECIAL_LBL)*10000000+(N('Dvd Calendar'!$I$560)&gt;0)*(N('Dvd Calendar'!$I$560)&lt;=VAL_SERIAL)*1000000+51*1000+5))</f>
        <v/>
      </c>
      <c r="EJ62" s="121">
        <f>IF(N('Dvd Calendar'!$J$561)=0,"",IF(('Dvd Calendar'!$J$561&gt;=GRID_FROM)*('Dvd Calendar'!$J$561&lt;=GRID_TO)*((('Dvd Calendar'!$J$561&lt;=VAL_DATE)+(COUNTIF('Dvd Calendar'!$E$568:$AR$568,'Dvd Calendar'!$J$561)=0))&gt;0)=0,"",'Dvd Calendar'!$J$561*1000000000+ISNUMBER('Dvd Calendar'!$J$564)*100000000+('Dvd Calendar'!$J$566=SPECIAL_LBL)*10000000+(N('Dvd Calendar'!$J$560)&gt;0)*(N('Dvd Calendar'!$J$560)&lt;=VAL_SERIAL)*1000000+51*1000+6))</f>
        <v/>
      </c>
      <c r="EK62" s="121">
        <f>IF(N('Dvd Calendar'!$K$561)=0,"",IF(('Dvd Calendar'!$K$561&gt;=GRID_FROM)*('Dvd Calendar'!$K$561&lt;=GRID_TO)*((('Dvd Calendar'!$K$561&lt;=VAL_DATE)+(COUNTIF('Dvd Calendar'!$E$568:$AR$568,'Dvd Calendar'!$K$561)=0))&gt;0)=0,"",'Dvd Calendar'!$K$561*1000000000+ISNUMBER('Dvd Calendar'!$K$564)*100000000+('Dvd Calendar'!$K$566=SPECIAL_LBL)*10000000+(N('Dvd Calendar'!$K$560)&gt;0)*(N('Dvd Calendar'!$K$560)&lt;=VAL_SERIAL)*1000000+51*1000+7))</f>
        <v/>
      </c>
      <c r="EL62" s="121">
        <f>IF(N('Dvd Calendar'!$L$561)=0,"",IF(('Dvd Calendar'!$L$561&gt;=GRID_FROM)*('Dvd Calendar'!$L$561&lt;=GRID_TO)*((('Dvd Calendar'!$L$561&lt;=VAL_DATE)+(COUNTIF('Dvd Calendar'!$E$568:$AR$568,'Dvd Calendar'!$L$561)=0))&gt;0)=0,"",'Dvd Calendar'!$L$561*1000000000+ISNUMBER('Dvd Calendar'!$L$564)*100000000+('Dvd Calendar'!$L$566=SPECIAL_LBL)*10000000+(N('Dvd Calendar'!$L$560)&gt;0)*(N('Dvd Calendar'!$L$560)&lt;=VAL_SERIAL)*1000000+51*1000+8))</f>
        <v/>
      </c>
      <c r="EM62" s="121">
        <f>IF(N('Dvd Calendar'!$M$561)=0,"",IF(('Dvd Calendar'!$M$561&gt;=GRID_FROM)*('Dvd Calendar'!$M$561&lt;=GRID_TO)*((('Dvd Calendar'!$M$561&lt;=VAL_DATE)+(COUNTIF('Dvd Calendar'!$E$568:$AR$568,'Dvd Calendar'!$M$561)=0))&gt;0)=0,"",'Dvd Calendar'!$M$561*1000000000+ISNUMBER('Dvd Calendar'!$M$564)*100000000+('Dvd Calendar'!$M$566=SPECIAL_LBL)*10000000+(N('Dvd Calendar'!$M$560)&gt;0)*(N('Dvd Calendar'!$M$560)&lt;=VAL_SERIAL)*1000000+51*1000+9))</f>
        <v/>
      </c>
      <c r="EN62" s="121">
        <f>IF(N('Dvd Calendar'!$N$561)=0,"",IF(('Dvd Calendar'!$N$561&gt;=GRID_FROM)*('Dvd Calendar'!$N$561&lt;=GRID_TO)*((('Dvd Calendar'!$N$561&lt;=VAL_DATE)+(COUNTIF('Dvd Calendar'!$E$568:$AR$568,'Dvd Calendar'!$N$561)=0))&gt;0)=0,"",'Dvd Calendar'!$N$561*1000000000+ISNUMBER('Dvd Calendar'!$N$564)*100000000+('Dvd Calendar'!$N$566=SPECIAL_LBL)*10000000+(N('Dvd Calendar'!$N$560)&gt;0)*(N('Dvd Calendar'!$N$560)&lt;=VAL_SERIAL)*1000000+51*1000+10))</f>
        <v/>
      </c>
      <c r="EO62" s="121">
        <f>IF(N('Dvd Calendar'!$O$561)=0,"",IF(('Dvd Calendar'!$O$561&gt;=GRID_FROM)*('Dvd Calendar'!$O$561&lt;=GRID_TO)*((('Dvd Calendar'!$O$561&lt;=VAL_DATE)+(COUNTIF('Dvd Calendar'!$E$568:$AR$568,'Dvd Calendar'!$O$561)=0))&gt;0)=0,"",'Dvd Calendar'!$O$561*1000000000+ISNUMBER('Dvd Calendar'!$O$564)*100000000+('Dvd Calendar'!$O$566=SPECIAL_LBL)*10000000+(N('Dvd Calendar'!$O$560)&gt;0)*(N('Dvd Calendar'!$O$560)&lt;=VAL_SERIAL)*1000000+51*1000+11))</f>
        <v/>
      </c>
      <c r="EP62" s="121">
        <f>IF(N('Dvd Calendar'!$P$561)=0,"",IF(('Dvd Calendar'!$P$561&gt;=GRID_FROM)*('Dvd Calendar'!$P$561&lt;=GRID_TO)*((('Dvd Calendar'!$P$561&lt;=VAL_DATE)+(COUNTIF('Dvd Calendar'!$E$568:$AR$568,'Dvd Calendar'!$P$561)=0))&gt;0)=0,"",'Dvd Calendar'!$P$561*1000000000+ISNUMBER('Dvd Calendar'!$P$564)*100000000+('Dvd Calendar'!$P$566=SPECIAL_LBL)*10000000+(N('Dvd Calendar'!$P$560)&gt;0)*(N('Dvd Calendar'!$P$560)&lt;=VAL_SERIAL)*1000000+51*1000+12))</f>
        <v/>
      </c>
      <c r="EQ62" s="121">
        <f>IF(N('Dvd Calendar'!$Q$561)=0,"",IF(('Dvd Calendar'!$Q$561&gt;=GRID_FROM)*('Dvd Calendar'!$Q$561&lt;=GRID_TO)*((('Dvd Calendar'!$Q$561&lt;=VAL_DATE)+(COUNTIF('Dvd Calendar'!$E$568:$AR$568,'Dvd Calendar'!$Q$561)=0))&gt;0)=0,"",'Dvd Calendar'!$Q$561*1000000000+ISNUMBER('Dvd Calendar'!$Q$564)*100000000+('Dvd Calendar'!$Q$566=SPECIAL_LBL)*10000000+(N('Dvd Calendar'!$Q$560)&gt;0)*(N('Dvd Calendar'!$Q$560)&lt;=VAL_SERIAL)*1000000+51*1000+13))</f>
        <v/>
      </c>
      <c r="ER62" s="121">
        <f>IF(N('Dvd Calendar'!$R$561)=0,"",IF(('Dvd Calendar'!$R$561&gt;=GRID_FROM)*('Dvd Calendar'!$R$561&lt;=GRID_TO)*((('Dvd Calendar'!$R$561&lt;=VAL_DATE)+(COUNTIF('Dvd Calendar'!$E$568:$AR$568,'Dvd Calendar'!$R$561)=0))&gt;0)=0,"",'Dvd Calendar'!$R$561*1000000000+ISNUMBER('Dvd Calendar'!$R$564)*100000000+('Dvd Calendar'!$R$566=SPECIAL_LBL)*10000000+(N('Dvd Calendar'!$R$560)&gt;0)*(N('Dvd Calendar'!$R$560)&lt;=VAL_SERIAL)*1000000+51*1000+14))</f>
        <v/>
      </c>
      <c r="ES62" s="121">
        <f>IF(N('Dvd Calendar'!$S$561)=0,"",IF(('Dvd Calendar'!$S$561&gt;=GRID_FROM)*('Dvd Calendar'!$S$561&lt;=GRID_TO)*((('Dvd Calendar'!$S$561&lt;=VAL_DATE)+(COUNTIF('Dvd Calendar'!$E$568:$AR$568,'Dvd Calendar'!$S$561)=0))&gt;0)=0,"",'Dvd Calendar'!$S$561*1000000000+ISNUMBER('Dvd Calendar'!$S$564)*100000000+('Dvd Calendar'!$S$566=SPECIAL_LBL)*10000000+(N('Dvd Calendar'!$S$560)&gt;0)*(N('Dvd Calendar'!$S$560)&lt;=VAL_SERIAL)*1000000+51*1000+15))</f>
        <v/>
      </c>
      <c r="ET62" s="121">
        <f>IF(N('Dvd Calendar'!$T$561)=0,"",IF(('Dvd Calendar'!$T$561&gt;=GRID_FROM)*('Dvd Calendar'!$T$561&lt;=GRID_TO)*((('Dvd Calendar'!$T$561&lt;=VAL_DATE)+(COUNTIF('Dvd Calendar'!$E$568:$AR$568,'Dvd Calendar'!$T$561)=0))&gt;0)=0,"",'Dvd Calendar'!$T$561*1000000000+ISNUMBER('Dvd Calendar'!$T$564)*100000000+('Dvd Calendar'!$T$566=SPECIAL_LBL)*10000000+(N('Dvd Calendar'!$T$560)&gt;0)*(N('Dvd Calendar'!$T$560)&lt;=VAL_SERIAL)*1000000+51*1000+16))</f>
        <v/>
      </c>
      <c r="EU62" s="121">
        <f>IF(N('Dvd Calendar'!$U$561)=0,"",IF(('Dvd Calendar'!$U$561&gt;=GRID_FROM)*('Dvd Calendar'!$U$561&lt;=GRID_TO)*((('Dvd Calendar'!$U$561&lt;=VAL_DATE)+(COUNTIF('Dvd Calendar'!$E$568:$AR$568,'Dvd Calendar'!$U$561)=0))&gt;0)=0,"",'Dvd Calendar'!$U$561*1000000000+ISNUMBER('Dvd Calendar'!$U$564)*100000000+('Dvd Calendar'!$U$566=SPECIAL_LBL)*10000000+(N('Dvd Calendar'!$U$560)&gt;0)*(N('Dvd Calendar'!$U$560)&lt;=VAL_SERIAL)*1000000+51*1000+17))</f>
        <v/>
      </c>
      <c r="EV62" s="121">
        <f>IF(N('Dvd Calendar'!$V$561)=0,"",IF(('Dvd Calendar'!$V$561&gt;=GRID_FROM)*('Dvd Calendar'!$V$561&lt;=GRID_TO)*((('Dvd Calendar'!$V$561&lt;=VAL_DATE)+(COUNTIF('Dvd Calendar'!$E$568:$AR$568,'Dvd Calendar'!$V$561)=0))&gt;0)=0,"",'Dvd Calendar'!$V$561*1000000000+ISNUMBER('Dvd Calendar'!$V$564)*100000000+('Dvd Calendar'!$V$566=SPECIAL_LBL)*10000000+(N('Dvd Calendar'!$V$560)&gt;0)*(N('Dvd Calendar'!$V$560)&lt;=VAL_SERIAL)*1000000+51*1000+18))</f>
        <v/>
      </c>
      <c r="EW62" s="121">
        <f>IF(N('Dvd Calendar'!$W$561)=0,"",IF(('Dvd Calendar'!$W$561&gt;=GRID_FROM)*('Dvd Calendar'!$W$561&lt;=GRID_TO)*((('Dvd Calendar'!$W$561&lt;=VAL_DATE)+(COUNTIF('Dvd Calendar'!$E$568:$AR$568,'Dvd Calendar'!$W$561)=0))&gt;0)=0,"",'Dvd Calendar'!$W$561*1000000000+ISNUMBER('Dvd Calendar'!$W$564)*100000000+('Dvd Calendar'!$W$566=SPECIAL_LBL)*10000000+(N('Dvd Calendar'!$W$560)&gt;0)*(N('Dvd Calendar'!$W$560)&lt;=VAL_SERIAL)*1000000+51*1000+19))</f>
        <v/>
      </c>
      <c r="EX62" s="121">
        <f>IF(N('Dvd Calendar'!$X$561)=0,"",IF(('Dvd Calendar'!$X$561&gt;=GRID_FROM)*('Dvd Calendar'!$X$561&lt;=GRID_TO)*((('Dvd Calendar'!$X$561&lt;=VAL_DATE)+(COUNTIF('Dvd Calendar'!$E$568:$AR$568,'Dvd Calendar'!$X$561)=0))&gt;0)=0,"",'Dvd Calendar'!$X$561*1000000000+ISNUMBER('Dvd Calendar'!$X$564)*100000000+('Dvd Calendar'!$X$566=SPECIAL_LBL)*10000000+(N('Dvd Calendar'!$X$560)&gt;0)*(N('Dvd Calendar'!$X$560)&lt;=VAL_SERIAL)*1000000+51*1000+20))</f>
        <v/>
      </c>
      <c r="EY62" s="121">
        <f>IF(N('Dvd Calendar'!$Y$561)=0,"",IF(('Dvd Calendar'!$Y$561&gt;=GRID_FROM)*('Dvd Calendar'!$Y$561&lt;=GRID_TO)*((('Dvd Calendar'!$Y$561&lt;=VAL_DATE)+(COUNTIF('Dvd Calendar'!$E$568:$AR$568,'Dvd Calendar'!$Y$561)=0))&gt;0)=0,"",'Dvd Calendar'!$Y$561*1000000000+ISNUMBER('Dvd Calendar'!$Y$564)*100000000+('Dvd Calendar'!$Y$566=SPECIAL_LBL)*10000000+(N('Dvd Calendar'!$Y$560)&gt;0)*(N('Dvd Calendar'!$Y$560)&lt;=VAL_SERIAL)*1000000+51*1000+21))</f>
        <v/>
      </c>
      <c r="EZ62" s="121">
        <f>IF(N('Dvd Calendar'!$Z$561)=0,"",IF(('Dvd Calendar'!$Z$561&gt;=GRID_FROM)*('Dvd Calendar'!$Z$561&lt;=GRID_TO)*((('Dvd Calendar'!$Z$561&lt;=VAL_DATE)+(COUNTIF('Dvd Calendar'!$E$568:$AR$568,'Dvd Calendar'!$Z$561)=0))&gt;0)=0,"",'Dvd Calendar'!$Z$561*1000000000+ISNUMBER('Dvd Calendar'!$Z$564)*100000000+('Dvd Calendar'!$Z$566=SPECIAL_LBL)*10000000+(N('Dvd Calendar'!$Z$560)&gt;0)*(N('Dvd Calendar'!$Z$560)&lt;=VAL_SERIAL)*1000000+51*1000+22))</f>
        <v/>
      </c>
      <c r="FA62" s="121">
        <f>IF(N('Dvd Calendar'!$AA$561)=0,"",IF(('Dvd Calendar'!$AA$561&gt;=GRID_FROM)*('Dvd Calendar'!$AA$561&lt;=GRID_TO)*((('Dvd Calendar'!$AA$561&lt;=VAL_DATE)+(COUNTIF('Dvd Calendar'!$E$568:$AR$568,'Dvd Calendar'!$AA$561)=0))&gt;0)=0,"",'Dvd Calendar'!$AA$561*1000000000+ISNUMBER('Dvd Calendar'!$AA$564)*100000000+('Dvd Calendar'!$AA$566=SPECIAL_LBL)*10000000+(N('Dvd Calendar'!$AA$560)&gt;0)*(N('Dvd Calendar'!$AA$560)&lt;=VAL_SERIAL)*1000000+51*1000+23))</f>
        <v/>
      </c>
      <c r="FB62" s="121">
        <f>IF(N('Dvd Calendar'!$AB$561)=0,"",IF(('Dvd Calendar'!$AB$561&gt;=GRID_FROM)*('Dvd Calendar'!$AB$561&lt;=GRID_TO)*((('Dvd Calendar'!$AB$561&lt;=VAL_DATE)+(COUNTIF('Dvd Calendar'!$E$568:$AR$568,'Dvd Calendar'!$AB$561)=0))&gt;0)=0,"",'Dvd Calendar'!$AB$561*1000000000+ISNUMBER('Dvd Calendar'!$AB$564)*100000000+('Dvd Calendar'!$AB$566=SPECIAL_LBL)*10000000+(N('Dvd Calendar'!$AB$560)&gt;0)*(N('Dvd Calendar'!$AB$560)&lt;=VAL_SERIAL)*1000000+51*1000+24))</f>
        <v/>
      </c>
      <c r="FC62" s="121">
        <f>IF(N('Dvd Calendar'!$AC$561)=0,"",IF(('Dvd Calendar'!$AC$561&gt;=GRID_FROM)*('Dvd Calendar'!$AC$561&lt;=GRID_TO)*((('Dvd Calendar'!$AC$561&lt;=VAL_DATE)+(COUNTIF('Dvd Calendar'!$E$568:$AR$568,'Dvd Calendar'!$AC$561)=0))&gt;0)=0,"",'Dvd Calendar'!$AC$561*1000000000+ISNUMBER('Dvd Calendar'!$AC$564)*100000000+('Dvd Calendar'!$AC$566=SPECIAL_LBL)*10000000+(N('Dvd Calendar'!$AC$560)&gt;0)*(N('Dvd Calendar'!$AC$560)&lt;=VAL_SERIAL)*1000000+51*1000+25))</f>
        <v/>
      </c>
      <c r="FD62" s="121">
        <f>IF(N('Dvd Calendar'!$AD$561)=0,"",IF(('Dvd Calendar'!$AD$561&gt;=GRID_FROM)*('Dvd Calendar'!$AD$561&lt;=GRID_TO)*((('Dvd Calendar'!$AD$561&lt;=VAL_DATE)+(COUNTIF('Dvd Calendar'!$E$568:$AR$568,'Dvd Calendar'!$AD$561)=0))&gt;0)=0,"",'Dvd Calendar'!$AD$561*1000000000+ISNUMBER('Dvd Calendar'!$AD$564)*100000000+('Dvd Calendar'!$AD$566=SPECIAL_LBL)*10000000+(N('Dvd Calendar'!$AD$560)&gt;0)*(N('Dvd Calendar'!$AD$560)&lt;=VAL_SERIAL)*1000000+51*1000+26))</f>
        <v/>
      </c>
      <c r="FE62" s="121">
        <f>IF(N('Dvd Calendar'!$AE$561)=0,"",IF(('Dvd Calendar'!$AE$561&gt;=GRID_FROM)*('Dvd Calendar'!$AE$561&lt;=GRID_TO)*((('Dvd Calendar'!$AE$561&lt;=VAL_DATE)+(COUNTIF('Dvd Calendar'!$E$568:$AR$568,'Dvd Calendar'!$AE$561)=0))&gt;0)=0,"",'Dvd Calendar'!$AE$561*1000000000+ISNUMBER('Dvd Calendar'!$AE$564)*100000000+('Dvd Calendar'!$AE$566=SPECIAL_LBL)*10000000+(N('Dvd Calendar'!$AE$560)&gt;0)*(N('Dvd Calendar'!$AE$560)&lt;=VAL_SERIAL)*1000000+51*1000+27))</f>
        <v/>
      </c>
      <c r="FF62" s="121">
        <f>IF(N('Dvd Calendar'!$AF$561)=0,"",IF(('Dvd Calendar'!$AF$561&gt;=GRID_FROM)*('Dvd Calendar'!$AF$561&lt;=GRID_TO)*((('Dvd Calendar'!$AF$561&lt;=VAL_DATE)+(COUNTIF('Dvd Calendar'!$E$568:$AR$568,'Dvd Calendar'!$AF$561)=0))&gt;0)=0,"",'Dvd Calendar'!$AF$561*1000000000+ISNUMBER('Dvd Calendar'!$AF$564)*100000000+('Dvd Calendar'!$AF$566=SPECIAL_LBL)*10000000+(N('Dvd Calendar'!$AF$560)&gt;0)*(N('Dvd Calendar'!$AF$560)&lt;=VAL_SERIAL)*1000000+51*1000+28))</f>
        <v/>
      </c>
      <c r="FG62" s="121">
        <f>IF(N('Dvd Calendar'!$AG$561)=0,"",IF(('Dvd Calendar'!$AG$561&gt;=GRID_FROM)*('Dvd Calendar'!$AG$561&lt;=GRID_TO)*((('Dvd Calendar'!$AG$561&lt;=VAL_DATE)+(COUNTIF('Dvd Calendar'!$E$568:$AR$568,'Dvd Calendar'!$AG$561)=0))&gt;0)=0,"",'Dvd Calendar'!$AG$561*1000000000+ISNUMBER('Dvd Calendar'!$AG$564)*100000000+('Dvd Calendar'!$AG$566=SPECIAL_LBL)*10000000+(N('Dvd Calendar'!$AG$560)&gt;0)*(N('Dvd Calendar'!$AG$560)&lt;=VAL_SERIAL)*1000000+51*1000+29))</f>
        <v/>
      </c>
      <c r="FH62" s="121">
        <f>IF(N('Dvd Calendar'!$AH$561)=0,"",IF(('Dvd Calendar'!$AH$561&gt;=GRID_FROM)*('Dvd Calendar'!$AH$561&lt;=GRID_TO)*((('Dvd Calendar'!$AH$561&lt;=VAL_DATE)+(COUNTIF('Dvd Calendar'!$E$568:$AR$568,'Dvd Calendar'!$AH$561)=0))&gt;0)=0,"",'Dvd Calendar'!$AH$561*1000000000+ISNUMBER('Dvd Calendar'!$AH$564)*100000000+('Dvd Calendar'!$AH$566=SPECIAL_LBL)*10000000+(N('Dvd Calendar'!$AH$560)&gt;0)*(N('Dvd Calendar'!$AH$560)&lt;=VAL_SERIAL)*1000000+51*1000+30))</f>
        <v/>
      </c>
      <c r="FI62" s="121">
        <f>IF(N('Dvd Calendar'!$AI$561)=0,"",IF(('Dvd Calendar'!$AI$561&gt;=GRID_FROM)*('Dvd Calendar'!$AI$561&lt;=GRID_TO)*((('Dvd Calendar'!$AI$561&lt;=VAL_DATE)+(COUNTIF('Dvd Calendar'!$E$568:$AR$568,'Dvd Calendar'!$AI$561)=0))&gt;0)=0,"",'Dvd Calendar'!$AI$561*1000000000+ISNUMBER('Dvd Calendar'!$AI$564)*100000000+('Dvd Calendar'!$AI$566=SPECIAL_LBL)*10000000+(N('Dvd Calendar'!$AI$560)&gt;0)*(N('Dvd Calendar'!$AI$560)&lt;=VAL_SERIAL)*1000000+51*1000+31))</f>
        <v/>
      </c>
      <c r="FJ62" s="121">
        <f>IF(N('Dvd Calendar'!$AJ$561)=0,"",IF(('Dvd Calendar'!$AJ$561&gt;=GRID_FROM)*('Dvd Calendar'!$AJ$561&lt;=GRID_TO)*((('Dvd Calendar'!$AJ$561&lt;=VAL_DATE)+(COUNTIF('Dvd Calendar'!$E$568:$AR$568,'Dvd Calendar'!$AJ$561)=0))&gt;0)=0,"",'Dvd Calendar'!$AJ$561*1000000000+ISNUMBER('Dvd Calendar'!$AJ$564)*100000000+('Dvd Calendar'!$AJ$566=SPECIAL_LBL)*10000000+(N('Dvd Calendar'!$AJ$560)&gt;0)*(N('Dvd Calendar'!$AJ$560)&lt;=VAL_SERIAL)*1000000+51*1000+32))</f>
        <v/>
      </c>
      <c r="FK62" s="121">
        <f>IF(N('Dvd Calendar'!$AK$561)=0,"",IF(('Dvd Calendar'!$AK$561&gt;=GRID_FROM)*('Dvd Calendar'!$AK$561&lt;=GRID_TO)*((('Dvd Calendar'!$AK$561&lt;=VAL_DATE)+(COUNTIF('Dvd Calendar'!$E$568:$AR$568,'Dvd Calendar'!$AK$561)=0))&gt;0)=0,"",'Dvd Calendar'!$AK$561*1000000000+ISNUMBER('Dvd Calendar'!$AK$564)*100000000+('Dvd Calendar'!$AK$566=SPECIAL_LBL)*10000000+(N('Dvd Calendar'!$AK$560)&gt;0)*(N('Dvd Calendar'!$AK$560)&lt;=VAL_SERIAL)*1000000+51*1000+33))</f>
        <v/>
      </c>
      <c r="FL62" s="121">
        <f>IF(N('Dvd Calendar'!$AL$561)=0,"",IF(('Dvd Calendar'!$AL$561&gt;=GRID_FROM)*('Dvd Calendar'!$AL$561&lt;=GRID_TO)*((('Dvd Calendar'!$AL$561&lt;=VAL_DATE)+(COUNTIF('Dvd Calendar'!$E$568:$AR$568,'Dvd Calendar'!$AL$561)=0))&gt;0)=0,"",'Dvd Calendar'!$AL$561*1000000000+ISNUMBER('Dvd Calendar'!$AL$564)*100000000+('Dvd Calendar'!$AL$566=SPECIAL_LBL)*10000000+(N('Dvd Calendar'!$AL$560)&gt;0)*(N('Dvd Calendar'!$AL$560)&lt;=VAL_SERIAL)*1000000+51*1000+34))</f>
        <v/>
      </c>
      <c r="FM62" s="121">
        <f>IF(N('Dvd Calendar'!$AM$561)=0,"",IF(('Dvd Calendar'!$AM$561&gt;=GRID_FROM)*('Dvd Calendar'!$AM$561&lt;=GRID_TO)*((('Dvd Calendar'!$AM$561&lt;=VAL_DATE)+(COUNTIF('Dvd Calendar'!$E$568:$AR$568,'Dvd Calendar'!$AM$561)=0))&gt;0)=0,"",'Dvd Calendar'!$AM$561*1000000000+ISNUMBER('Dvd Calendar'!$AM$564)*100000000+('Dvd Calendar'!$AM$566=SPECIAL_LBL)*10000000+(N('Dvd Calendar'!$AM$560)&gt;0)*(N('Dvd Calendar'!$AM$560)&lt;=VAL_SERIAL)*1000000+51*1000+35))</f>
        <v/>
      </c>
      <c r="FN62" s="121">
        <f>IF(N('Dvd Calendar'!$AN$561)=0,"",IF(('Dvd Calendar'!$AN$561&gt;=GRID_FROM)*('Dvd Calendar'!$AN$561&lt;=GRID_TO)*((('Dvd Calendar'!$AN$561&lt;=VAL_DATE)+(COUNTIF('Dvd Calendar'!$E$568:$AR$568,'Dvd Calendar'!$AN$561)=0))&gt;0)=0,"",'Dvd Calendar'!$AN$561*1000000000+ISNUMBER('Dvd Calendar'!$AN$564)*100000000+('Dvd Calendar'!$AN$566=SPECIAL_LBL)*10000000+(N('Dvd Calendar'!$AN$560)&gt;0)*(N('Dvd Calendar'!$AN$560)&lt;=VAL_SERIAL)*1000000+51*1000+36))</f>
        <v/>
      </c>
      <c r="FO62" s="121">
        <f>IF(N('Dvd Calendar'!$AO$561)=0,"",IF(('Dvd Calendar'!$AO$561&gt;=GRID_FROM)*('Dvd Calendar'!$AO$561&lt;=GRID_TO)*((('Dvd Calendar'!$AO$561&lt;=VAL_DATE)+(COUNTIF('Dvd Calendar'!$E$568:$AR$568,'Dvd Calendar'!$AO$561)=0))&gt;0)=0,"",'Dvd Calendar'!$AO$561*1000000000+ISNUMBER('Dvd Calendar'!$AO$564)*100000000+('Dvd Calendar'!$AO$566=SPECIAL_LBL)*10000000+(N('Dvd Calendar'!$AO$560)&gt;0)*(N('Dvd Calendar'!$AO$560)&lt;=VAL_SERIAL)*1000000+51*1000+37))</f>
        <v/>
      </c>
      <c r="FP62" s="121">
        <f>IF(N('Dvd Calendar'!$AP$561)=0,"",IF(('Dvd Calendar'!$AP$561&gt;=GRID_FROM)*('Dvd Calendar'!$AP$561&lt;=GRID_TO)*((('Dvd Calendar'!$AP$561&lt;=VAL_DATE)+(COUNTIF('Dvd Calendar'!$E$568:$AR$568,'Dvd Calendar'!$AP$561)=0))&gt;0)=0,"",'Dvd Calendar'!$AP$561*1000000000+ISNUMBER('Dvd Calendar'!$AP$564)*100000000+('Dvd Calendar'!$AP$566=SPECIAL_LBL)*10000000+(N('Dvd Calendar'!$AP$560)&gt;0)*(N('Dvd Calendar'!$AP$560)&lt;=VAL_SERIAL)*1000000+51*1000+38))</f>
        <v/>
      </c>
      <c r="FQ62" s="121">
        <f>IF(N('Dvd Calendar'!$AQ$561)=0,"",IF(('Dvd Calendar'!$AQ$561&gt;=GRID_FROM)*('Dvd Calendar'!$AQ$561&lt;=GRID_TO)*((('Dvd Calendar'!$AQ$561&lt;=VAL_DATE)+(COUNTIF('Dvd Calendar'!$E$568:$AR$568,'Dvd Calendar'!$AQ$561)=0))&gt;0)=0,"",'Dvd Calendar'!$AQ$561*1000000000+ISNUMBER('Dvd Calendar'!$AQ$564)*100000000+('Dvd Calendar'!$AQ$566=SPECIAL_LBL)*10000000+(N('Dvd Calendar'!$AQ$560)&gt;0)*(N('Dvd Calendar'!$AQ$560)&lt;=VAL_SERIAL)*1000000+51*1000+39))</f>
        <v/>
      </c>
      <c r="FR62" s="121">
        <f>IF(N('Dvd Calendar'!$AR$561)=0,"",IF(('Dvd Calendar'!$AR$561&gt;=GRID_FROM)*('Dvd Calendar'!$AR$561&lt;=GRID_TO)*((('Dvd Calendar'!$AR$561&lt;=VAL_DATE)+(COUNTIF('Dvd Calendar'!$E$568:$AR$568,'Dvd Calendar'!$AR$561)=0))&gt;0)=0,"",'Dvd Calendar'!$AR$561*1000000000+ISNUMBER('Dvd Calendar'!$AR$564)*100000000+('Dvd Calendar'!$AR$566=SPECIAL_LBL)*10000000+(N('Dvd Calendar'!$AR$560)&gt;0)*(N('Dvd Calendar'!$AR$560)&lt;=VAL_SERIAL)*1000000+51*1000+40))</f>
        <v/>
      </c>
      <c r="FS62" s="121">
        <f>IF(N('Dvd Calendar'!$E$568)=0,"",IF(('Dvd Calendar'!$E$568&gt;=GRID_FROM)*('Dvd Calendar'!$E$568&lt;=GRID_TO)*('Dvd Calendar'!$E$568&gt;VAL_DATE)=0,"",'Dvd Calendar'!$E$568*1000000000+ISNUMBER('Dvd Calendar'!$E$569)*100000000+0*10000000+(N('Dvd Calendar'!$E$567)&gt;0)*(N('Dvd Calendar'!$E$567)&lt;=VAL_SERIAL)*1000000+51*1000+41))</f>
        <v/>
      </c>
      <c r="FT62" s="121">
        <f>IF(N('Dvd Calendar'!$F$568)=0,"",IF(('Dvd Calendar'!$F$568&gt;=GRID_FROM)*('Dvd Calendar'!$F$568&lt;=GRID_TO)*('Dvd Calendar'!$F$568&gt;VAL_DATE)=0,"",'Dvd Calendar'!$F$568*1000000000+ISNUMBER('Dvd Calendar'!$F$569)*100000000+0*10000000+(N('Dvd Calendar'!$F$567)&gt;0)*(N('Dvd Calendar'!$F$567)&lt;=VAL_SERIAL)*1000000+51*1000+42))</f>
        <v/>
      </c>
      <c r="FU62" s="121">
        <f>IF(N('Dvd Calendar'!$G$568)=0,"",IF(('Dvd Calendar'!$G$568&gt;=GRID_FROM)*('Dvd Calendar'!$G$568&lt;=GRID_TO)*('Dvd Calendar'!$G$568&gt;VAL_DATE)=0,"",'Dvd Calendar'!$G$568*1000000000+ISNUMBER('Dvd Calendar'!$G$569)*100000000+0*10000000+(N('Dvd Calendar'!$G$567)&gt;0)*(N('Dvd Calendar'!$G$567)&lt;=VAL_SERIAL)*1000000+51*1000+43))</f>
        <v/>
      </c>
      <c r="FV62" s="121">
        <f>IF(N('Dvd Calendar'!$H$568)=0,"",IF(('Dvd Calendar'!$H$568&gt;=GRID_FROM)*('Dvd Calendar'!$H$568&lt;=GRID_TO)*('Dvd Calendar'!$H$568&gt;VAL_DATE)=0,"",'Dvd Calendar'!$H$568*1000000000+ISNUMBER('Dvd Calendar'!$H$569)*100000000+0*10000000+(N('Dvd Calendar'!$H$567)&gt;0)*(N('Dvd Calendar'!$H$567)&lt;=VAL_SERIAL)*1000000+51*1000+44))</f>
        <v/>
      </c>
      <c r="FW62" s="121">
        <f>IF(N('Dvd Calendar'!$I$568)=0,"",IF(('Dvd Calendar'!$I$568&gt;=GRID_FROM)*('Dvd Calendar'!$I$568&lt;=GRID_TO)*('Dvd Calendar'!$I$568&gt;VAL_DATE)=0,"",'Dvd Calendar'!$I$568*1000000000+ISNUMBER('Dvd Calendar'!$I$569)*100000000+0*10000000+(N('Dvd Calendar'!$I$567)&gt;0)*(N('Dvd Calendar'!$I$567)&lt;=VAL_SERIAL)*1000000+51*1000+45))</f>
        <v/>
      </c>
      <c r="FX62" s="121">
        <f>IF(N('Dvd Calendar'!$J$568)=0,"",IF(('Dvd Calendar'!$J$568&gt;=GRID_FROM)*('Dvd Calendar'!$J$568&lt;=GRID_TO)*('Dvd Calendar'!$J$568&gt;VAL_DATE)=0,"",'Dvd Calendar'!$J$568*1000000000+ISNUMBER('Dvd Calendar'!$J$569)*100000000+0*10000000+(N('Dvd Calendar'!$J$567)&gt;0)*(N('Dvd Calendar'!$J$567)&lt;=VAL_SERIAL)*1000000+51*1000+46))</f>
        <v/>
      </c>
      <c r="FY62" s="121">
        <f>IF(N('Dvd Calendar'!$K$568)=0,"",IF(('Dvd Calendar'!$K$568&gt;=GRID_FROM)*('Dvd Calendar'!$K$568&lt;=GRID_TO)*('Dvd Calendar'!$K$568&gt;VAL_DATE)=0,"",'Dvd Calendar'!$K$568*1000000000+ISNUMBER('Dvd Calendar'!$K$569)*100000000+0*10000000+(N('Dvd Calendar'!$K$567)&gt;0)*(N('Dvd Calendar'!$K$567)&lt;=VAL_SERIAL)*1000000+51*1000+47))</f>
        <v/>
      </c>
      <c r="FZ62" s="121">
        <f>IF(N('Dvd Calendar'!$L$568)=0,"",IF(('Dvd Calendar'!$L$568&gt;=GRID_FROM)*('Dvd Calendar'!$L$568&lt;=GRID_TO)*('Dvd Calendar'!$L$568&gt;VAL_DATE)=0,"",'Dvd Calendar'!$L$568*1000000000+ISNUMBER('Dvd Calendar'!$L$569)*100000000+0*10000000+(N('Dvd Calendar'!$L$567)&gt;0)*(N('Dvd Calendar'!$L$567)&lt;=VAL_SERIAL)*1000000+51*1000+48))</f>
        <v/>
      </c>
      <c r="GA62" s="121">
        <f>IF(N('Dvd Calendar'!$M$568)=0,"",IF(('Dvd Calendar'!$M$568&gt;=GRID_FROM)*('Dvd Calendar'!$M$568&lt;=GRID_TO)*('Dvd Calendar'!$M$568&gt;VAL_DATE)=0,"",'Dvd Calendar'!$M$568*1000000000+ISNUMBER('Dvd Calendar'!$M$569)*100000000+0*10000000+(N('Dvd Calendar'!$M$567)&gt;0)*(N('Dvd Calendar'!$M$567)&lt;=VAL_SERIAL)*1000000+51*1000+49))</f>
        <v/>
      </c>
      <c r="GB62" s="121">
        <f>IF(N('Dvd Calendar'!$N$568)=0,"",IF(('Dvd Calendar'!$N$568&gt;=GRID_FROM)*('Dvd Calendar'!$N$568&lt;=GRID_TO)*('Dvd Calendar'!$N$568&gt;VAL_DATE)=0,"",'Dvd Calendar'!$N$568*1000000000+ISNUMBER('Dvd Calendar'!$N$569)*100000000+0*10000000+(N('Dvd Calendar'!$N$567)&gt;0)*(N('Dvd Calendar'!$N$567)&lt;=VAL_SERIAL)*1000000+51*1000+50))</f>
        <v/>
      </c>
      <c r="GC62" s="121">
        <f>IF(N('Dvd Calendar'!$O$568)=0,"",IF(('Dvd Calendar'!$O$568&gt;=GRID_FROM)*('Dvd Calendar'!$O$568&lt;=GRID_TO)*('Dvd Calendar'!$O$568&gt;VAL_DATE)=0,"",'Dvd Calendar'!$O$568*1000000000+ISNUMBER('Dvd Calendar'!$O$569)*100000000+0*10000000+(N('Dvd Calendar'!$O$567)&gt;0)*(N('Dvd Calendar'!$O$567)&lt;=VAL_SERIAL)*1000000+51*1000+51))</f>
        <v/>
      </c>
      <c r="GD62" s="121">
        <f>IF(N('Dvd Calendar'!$P$568)=0,"",IF(('Dvd Calendar'!$P$568&gt;=GRID_FROM)*('Dvd Calendar'!$P$568&lt;=GRID_TO)*('Dvd Calendar'!$P$568&gt;VAL_DATE)=0,"",'Dvd Calendar'!$P$568*1000000000+ISNUMBER('Dvd Calendar'!$P$569)*100000000+0*10000000+(N('Dvd Calendar'!$P$567)&gt;0)*(N('Dvd Calendar'!$P$567)&lt;=VAL_SERIAL)*1000000+51*1000+52))</f>
        <v/>
      </c>
      <c r="GE62" s="121">
        <f>IF(N('Dvd Calendar'!$Q$568)=0,"",IF(('Dvd Calendar'!$Q$568&gt;=GRID_FROM)*('Dvd Calendar'!$Q$568&lt;=GRID_TO)*('Dvd Calendar'!$Q$568&gt;VAL_DATE)=0,"",'Dvd Calendar'!$Q$568*1000000000+ISNUMBER('Dvd Calendar'!$Q$569)*100000000+0*10000000+(N('Dvd Calendar'!$Q$567)&gt;0)*(N('Dvd Calendar'!$Q$567)&lt;=VAL_SERIAL)*1000000+51*1000+53))</f>
        <v/>
      </c>
      <c r="GF62" s="121">
        <f>IF(N('Dvd Calendar'!$R$568)=0,"",IF(('Dvd Calendar'!$R$568&gt;=GRID_FROM)*('Dvd Calendar'!$R$568&lt;=GRID_TO)*('Dvd Calendar'!$R$568&gt;VAL_DATE)=0,"",'Dvd Calendar'!$R$568*1000000000+ISNUMBER('Dvd Calendar'!$R$569)*100000000+0*10000000+(N('Dvd Calendar'!$R$567)&gt;0)*(N('Dvd Calendar'!$R$567)&lt;=VAL_SERIAL)*1000000+51*1000+54))</f>
        <v/>
      </c>
      <c r="GG62" s="121">
        <f>IF(N('Dvd Calendar'!$S$568)=0,"",IF(('Dvd Calendar'!$S$568&gt;=GRID_FROM)*('Dvd Calendar'!$S$568&lt;=GRID_TO)*('Dvd Calendar'!$S$568&gt;VAL_DATE)=0,"",'Dvd Calendar'!$S$568*1000000000+ISNUMBER('Dvd Calendar'!$S$569)*100000000+0*10000000+(N('Dvd Calendar'!$S$567)&gt;0)*(N('Dvd Calendar'!$S$567)&lt;=VAL_SERIAL)*1000000+51*1000+55))</f>
        <v/>
      </c>
      <c r="GH62" s="121">
        <f>IF(N('Dvd Calendar'!$T$568)=0,"",IF(('Dvd Calendar'!$T$568&gt;=GRID_FROM)*('Dvd Calendar'!$T$568&lt;=GRID_TO)*('Dvd Calendar'!$T$568&gt;VAL_DATE)=0,"",'Dvd Calendar'!$T$568*1000000000+ISNUMBER('Dvd Calendar'!$T$569)*100000000+0*10000000+(N('Dvd Calendar'!$T$567)&gt;0)*(N('Dvd Calendar'!$T$567)&lt;=VAL_SERIAL)*1000000+51*1000+56))</f>
        <v/>
      </c>
      <c r="GI62" s="121">
        <f>IF(N('Dvd Calendar'!$U$568)=0,"",IF(('Dvd Calendar'!$U$568&gt;=GRID_FROM)*('Dvd Calendar'!$U$568&lt;=GRID_TO)*('Dvd Calendar'!$U$568&gt;VAL_DATE)=0,"",'Dvd Calendar'!$U$568*1000000000+ISNUMBER('Dvd Calendar'!$U$569)*100000000+0*10000000+(N('Dvd Calendar'!$U$567)&gt;0)*(N('Dvd Calendar'!$U$567)&lt;=VAL_SERIAL)*1000000+51*1000+57))</f>
        <v/>
      </c>
      <c r="GJ62" s="121">
        <f>IF(N('Dvd Calendar'!$V$568)=0,"",IF(('Dvd Calendar'!$V$568&gt;=GRID_FROM)*('Dvd Calendar'!$V$568&lt;=GRID_TO)*('Dvd Calendar'!$V$568&gt;VAL_DATE)=0,"",'Dvd Calendar'!$V$568*1000000000+ISNUMBER('Dvd Calendar'!$V$569)*100000000+0*10000000+(N('Dvd Calendar'!$V$567)&gt;0)*(N('Dvd Calendar'!$V$567)&lt;=VAL_SERIAL)*1000000+51*1000+58))</f>
        <v/>
      </c>
      <c r="GK62" s="121">
        <f>IF(N('Dvd Calendar'!$W$568)=0,"",IF(('Dvd Calendar'!$W$568&gt;=GRID_FROM)*('Dvd Calendar'!$W$568&lt;=GRID_TO)*('Dvd Calendar'!$W$568&gt;VAL_DATE)=0,"",'Dvd Calendar'!$W$568*1000000000+ISNUMBER('Dvd Calendar'!$W$569)*100000000+0*10000000+(N('Dvd Calendar'!$W$567)&gt;0)*(N('Dvd Calendar'!$W$567)&lt;=VAL_SERIAL)*1000000+51*1000+59))</f>
        <v/>
      </c>
      <c r="GL62" s="121">
        <f>IF(N('Dvd Calendar'!$X$568)=0,"",IF(('Dvd Calendar'!$X$568&gt;=GRID_FROM)*('Dvd Calendar'!$X$568&lt;=GRID_TO)*('Dvd Calendar'!$X$568&gt;VAL_DATE)=0,"",'Dvd Calendar'!$X$568*1000000000+ISNUMBER('Dvd Calendar'!$X$569)*100000000+0*10000000+(N('Dvd Calendar'!$X$567)&gt;0)*(N('Dvd Calendar'!$X$567)&lt;=VAL_SERIAL)*1000000+51*1000+60))</f>
        <v/>
      </c>
      <c r="GM62" s="121">
        <f>IF(N('Dvd Calendar'!$Y$568)=0,"",IF(('Dvd Calendar'!$Y$568&gt;=GRID_FROM)*('Dvd Calendar'!$Y$568&lt;=GRID_TO)*('Dvd Calendar'!$Y$568&gt;VAL_DATE)=0,"",'Dvd Calendar'!$Y$568*1000000000+ISNUMBER('Dvd Calendar'!$Y$569)*100000000+0*10000000+(N('Dvd Calendar'!$Y$567)&gt;0)*(N('Dvd Calendar'!$Y$567)&lt;=VAL_SERIAL)*1000000+51*1000+61))</f>
        <v/>
      </c>
      <c r="GN62" s="121">
        <f>IF(N('Dvd Calendar'!$Z$568)=0,"",IF(('Dvd Calendar'!$Z$568&gt;=GRID_FROM)*('Dvd Calendar'!$Z$568&lt;=GRID_TO)*('Dvd Calendar'!$Z$568&gt;VAL_DATE)=0,"",'Dvd Calendar'!$Z$568*1000000000+ISNUMBER('Dvd Calendar'!$Z$569)*100000000+0*10000000+(N('Dvd Calendar'!$Z$567)&gt;0)*(N('Dvd Calendar'!$Z$567)&lt;=VAL_SERIAL)*1000000+51*1000+62))</f>
        <v/>
      </c>
      <c r="GO62" s="121">
        <f>IF(N('Dvd Calendar'!$AA$568)=0,"",IF(('Dvd Calendar'!$AA$568&gt;=GRID_FROM)*('Dvd Calendar'!$AA$568&lt;=GRID_TO)*('Dvd Calendar'!$AA$568&gt;VAL_DATE)=0,"",'Dvd Calendar'!$AA$568*1000000000+ISNUMBER('Dvd Calendar'!$AA$569)*100000000+0*10000000+(N('Dvd Calendar'!$AA$567)&gt;0)*(N('Dvd Calendar'!$AA$567)&lt;=VAL_SERIAL)*1000000+51*1000+63))</f>
        <v/>
      </c>
      <c r="GP62" s="121">
        <f>IF(N('Dvd Calendar'!$AB$568)=0,"",IF(('Dvd Calendar'!$AB$568&gt;=GRID_FROM)*('Dvd Calendar'!$AB$568&lt;=GRID_TO)*('Dvd Calendar'!$AB$568&gt;VAL_DATE)=0,"",'Dvd Calendar'!$AB$568*1000000000+ISNUMBER('Dvd Calendar'!$AB$569)*100000000+0*10000000+(N('Dvd Calendar'!$AB$567)&gt;0)*(N('Dvd Calendar'!$AB$567)&lt;=VAL_SERIAL)*1000000+51*1000+64))</f>
        <v/>
      </c>
      <c r="GQ62" s="121">
        <f>IF(N('Dvd Calendar'!$AC$568)=0,"",IF(('Dvd Calendar'!$AC$568&gt;=GRID_FROM)*('Dvd Calendar'!$AC$568&lt;=GRID_TO)*('Dvd Calendar'!$AC$568&gt;VAL_DATE)=0,"",'Dvd Calendar'!$AC$568*1000000000+ISNUMBER('Dvd Calendar'!$AC$569)*100000000+0*10000000+(N('Dvd Calendar'!$AC$567)&gt;0)*(N('Dvd Calendar'!$AC$567)&lt;=VAL_SERIAL)*1000000+51*1000+65))</f>
        <v/>
      </c>
    </row>
    <row r="63">
      <c r="B63" s="2">
        <f>IF(HSI!$C$58="","",HSI!$C$58)</f>
        <v/>
      </c>
      <c r="C63" s="161">
        <f>IF(EE63="","",IF(ISNUMBER('Dvd Calendar'!$E$575)=FALSE,"",IF((('Dvd Calendar'!$E$577=TYPE1)*(TYPE1&lt;&gt;"")+('Dvd Calendar'!$E$577=TYPE2)*(TYPE2&lt;&gt;"")+('Dvd Calendar'!$E$577=TYPE3)*(TYPE3&lt;&gt;"")+('Dvd Calendar'!$E$577=TYPE4)*(TYPE4&lt;&gt;"")+('Dvd Calendar'!$E$577=SPECIAL_LBL)*(INC_SPECIALS="Y"))=0,"",'Dvd Calendar'!$E$575)))</f>
        <v/>
      </c>
      <c r="D63" s="161">
        <f>IF(EF63="","",IF(ISNUMBER('Dvd Calendar'!$F$575)=FALSE,"",IF((('Dvd Calendar'!$F$577=TYPE1)*(TYPE1&lt;&gt;"")+('Dvd Calendar'!$F$577=TYPE2)*(TYPE2&lt;&gt;"")+('Dvd Calendar'!$F$577=TYPE3)*(TYPE3&lt;&gt;"")+('Dvd Calendar'!$F$577=TYPE4)*(TYPE4&lt;&gt;"")+('Dvd Calendar'!$F$577=SPECIAL_LBL)*(INC_SPECIALS="Y"))=0,"",'Dvd Calendar'!$F$575)))</f>
        <v/>
      </c>
      <c r="E63" s="161">
        <f>IF(EG63="","",IF(ISNUMBER('Dvd Calendar'!$G$575)=FALSE,"",IF((('Dvd Calendar'!$G$577=TYPE1)*(TYPE1&lt;&gt;"")+('Dvd Calendar'!$G$577=TYPE2)*(TYPE2&lt;&gt;"")+('Dvd Calendar'!$G$577=TYPE3)*(TYPE3&lt;&gt;"")+('Dvd Calendar'!$G$577=TYPE4)*(TYPE4&lt;&gt;"")+('Dvd Calendar'!$G$577=SPECIAL_LBL)*(INC_SPECIALS="Y"))=0,"",'Dvd Calendar'!$G$575)))</f>
        <v/>
      </c>
      <c r="F63" s="161">
        <f>IF(EH63="","",IF(ISNUMBER('Dvd Calendar'!$H$575)=FALSE,"",IF((('Dvd Calendar'!$H$577=TYPE1)*(TYPE1&lt;&gt;"")+('Dvd Calendar'!$H$577=TYPE2)*(TYPE2&lt;&gt;"")+('Dvd Calendar'!$H$577=TYPE3)*(TYPE3&lt;&gt;"")+('Dvd Calendar'!$H$577=TYPE4)*(TYPE4&lt;&gt;"")+('Dvd Calendar'!$H$577=SPECIAL_LBL)*(INC_SPECIALS="Y"))=0,"",'Dvd Calendar'!$H$575)))</f>
        <v/>
      </c>
      <c r="G63" s="161">
        <f>IF(EI63="","",IF(ISNUMBER('Dvd Calendar'!$I$575)=FALSE,"",IF((('Dvd Calendar'!$I$577=TYPE1)*(TYPE1&lt;&gt;"")+('Dvd Calendar'!$I$577=TYPE2)*(TYPE2&lt;&gt;"")+('Dvd Calendar'!$I$577=TYPE3)*(TYPE3&lt;&gt;"")+('Dvd Calendar'!$I$577=TYPE4)*(TYPE4&lt;&gt;"")+('Dvd Calendar'!$I$577=SPECIAL_LBL)*(INC_SPECIALS="Y"))=0,"",'Dvd Calendar'!$I$575)))</f>
        <v/>
      </c>
      <c r="H63" s="161">
        <f>IF(EJ63="","",IF(ISNUMBER('Dvd Calendar'!$J$575)=FALSE,"",IF((('Dvd Calendar'!$J$577=TYPE1)*(TYPE1&lt;&gt;"")+('Dvd Calendar'!$J$577=TYPE2)*(TYPE2&lt;&gt;"")+('Dvd Calendar'!$J$577=TYPE3)*(TYPE3&lt;&gt;"")+('Dvd Calendar'!$J$577=TYPE4)*(TYPE4&lt;&gt;"")+('Dvd Calendar'!$J$577=SPECIAL_LBL)*(INC_SPECIALS="Y"))=0,"",'Dvd Calendar'!$J$575)))</f>
        <v/>
      </c>
      <c r="I63" s="161">
        <f>IF(EK63="","",IF(ISNUMBER('Dvd Calendar'!$K$575)=FALSE,"",IF((('Dvd Calendar'!$K$577=TYPE1)*(TYPE1&lt;&gt;"")+('Dvd Calendar'!$K$577=TYPE2)*(TYPE2&lt;&gt;"")+('Dvd Calendar'!$K$577=TYPE3)*(TYPE3&lt;&gt;"")+('Dvd Calendar'!$K$577=TYPE4)*(TYPE4&lt;&gt;"")+('Dvd Calendar'!$K$577=SPECIAL_LBL)*(INC_SPECIALS="Y"))=0,"",'Dvd Calendar'!$K$575)))</f>
        <v/>
      </c>
      <c r="J63" s="161">
        <f>IF(EL63="","",IF(ISNUMBER('Dvd Calendar'!$L$575)=FALSE,"",IF((('Dvd Calendar'!$L$577=TYPE1)*(TYPE1&lt;&gt;"")+('Dvd Calendar'!$L$577=TYPE2)*(TYPE2&lt;&gt;"")+('Dvd Calendar'!$L$577=TYPE3)*(TYPE3&lt;&gt;"")+('Dvd Calendar'!$L$577=TYPE4)*(TYPE4&lt;&gt;"")+('Dvd Calendar'!$L$577=SPECIAL_LBL)*(INC_SPECIALS="Y"))=0,"",'Dvd Calendar'!$L$575)))</f>
        <v/>
      </c>
      <c r="K63" s="161">
        <f>IF(EM63="","",IF(ISNUMBER('Dvd Calendar'!$M$575)=FALSE,"",IF((('Dvd Calendar'!$M$577=TYPE1)*(TYPE1&lt;&gt;"")+('Dvd Calendar'!$M$577=TYPE2)*(TYPE2&lt;&gt;"")+('Dvd Calendar'!$M$577=TYPE3)*(TYPE3&lt;&gt;"")+('Dvd Calendar'!$M$577=TYPE4)*(TYPE4&lt;&gt;"")+('Dvd Calendar'!$M$577=SPECIAL_LBL)*(INC_SPECIALS="Y"))=0,"",'Dvd Calendar'!$M$575)))</f>
        <v/>
      </c>
      <c r="L63" s="161">
        <f>IF(EN63="","",IF(ISNUMBER('Dvd Calendar'!$N$575)=FALSE,"",IF((('Dvd Calendar'!$N$577=TYPE1)*(TYPE1&lt;&gt;"")+('Dvd Calendar'!$N$577=TYPE2)*(TYPE2&lt;&gt;"")+('Dvd Calendar'!$N$577=TYPE3)*(TYPE3&lt;&gt;"")+('Dvd Calendar'!$N$577=TYPE4)*(TYPE4&lt;&gt;"")+('Dvd Calendar'!$N$577=SPECIAL_LBL)*(INC_SPECIALS="Y"))=0,"",'Dvd Calendar'!$N$575)))</f>
        <v/>
      </c>
      <c r="M63" s="161">
        <f>IF(EO63="","",IF(ISNUMBER('Dvd Calendar'!$O$575)=FALSE,"",IF((('Dvd Calendar'!$O$577=TYPE1)*(TYPE1&lt;&gt;"")+('Dvd Calendar'!$O$577=TYPE2)*(TYPE2&lt;&gt;"")+('Dvd Calendar'!$O$577=TYPE3)*(TYPE3&lt;&gt;"")+('Dvd Calendar'!$O$577=TYPE4)*(TYPE4&lt;&gt;"")+('Dvd Calendar'!$O$577=SPECIAL_LBL)*(INC_SPECIALS="Y"))=0,"",'Dvd Calendar'!$O$575)))</f>
        <v/>
      </c>
      <c r="N63" s="161">
        <f>IF(EP63="","",IF(ISNUMBER('Dvd Calendar'!$P$575)=FALSE,"",IF((('Dvd Calendar'!$P$577=TYPE1)*(TYPE1&lt;&gt;"")+('Dvd Calendar'!$P$577=TYPE2)*(TYPE2&lt;&gt;"")+('Dvd Calendar'!$P$577=TYPE3)*(TYPE3&lt;&gt;"")+('Dvd Calendar'!$P$577=TYPE4)*(TYPE4&lt;&gt;"")+('Dvd Calendar'!$P$577=SPECIAL_LBL)*(INC_SPECIALS="Y"))=0,"",'Dvd Calendar'!$P$575)))</f>
        <v/>
      </c>
      <c r="O63" s="161">
        <f>IF(EQ63="","",IF(ISNUMBER('Dvd Calendar'!$Q$575)=FALSE,"",IF((('Dvd Calendar'!$Q$577=TYPE1)*(TYPE1&lt;&gt;"")+('Dvd Calendar'!$Q$577=TYPE2)*(TYPE2&lt;&gt;"")+('Dvd Calendar'!$Q$577=TYPE3)*(TYPE3&lt;&gt;"")+('Dvd Calendar'!$Q$577=TYPE4)*(TYPE4&lt;&gt;"")+('Dvd Calendar'!$Q$577=SPECIAL_LBL)*(INC_SPECIALS="Y"))=0,"",'Dvd Calendar'!$Q$575)))</f>
        <v/>
      </c>
      <c r="P63" s="161">
        <f>IF(ER63="","",IF(ISNUMBER('Dvd Calendar'!$R$575)=FALSE,"",IF((('Dvd Calendar'!$R$577=TYPE1)*(TYPE1&lt;&gt;"")+('Dvd Calendar'!$R$577=TYPE2)*(TYPE2&lt;&gt;"")+('Dvd Calendar'!$R$577=TYPE3)*(TYPE3&lt;&gt;"")+('Dvd Calendar'!$R$577=TYPE4)*(TYPE4&lt;&gt;"")+('Dvd Calendar'!$R$577=SPECIAL_LBL)*(INC_SPECIALS="Y"))=0,"",'Dvd Calendar'!$R$575)))</f>
        <v/>
      </c>
      <c r="Q63" s="161">
        <f>IF(ES63="","",IF(ISNUMBER('Dvd Calendar'!$S$575)=FALSE,"",IF((('Dvd Calendar'!$S$577=TYPE1)*(TYPE1&lt;&gt;"")+('Dvd Calendar'!$S$577=TYPE2)*(TYPE2&lt;&gt;"")+('Dvd Calendar'!$S$577=TYPE3)*(TYPE3&lt;&gt;"")+('Dvd Calendar'!$S$577=TYPE4)*(TYPE4&lt;&gt;"")+('Dvd Calendar'!$S$577=SPECIAL_LBL)*(INC_SPECIALS="Y"))=0,"",'Dvd Calendar'!$S$575)))</f>
        <v/>
      </c>
      <c r="R63" s="161">
        <f>IF(ET63="","",IF(ISNUMBER('Dvd Calendar'!$T$575)=FALSE,"",IF((('Dvd Calendar'!$T$577=TYPE1)*(TYPE1&lt;&gt;"")+('Dvd Calendar'!$T$577=TYPE2)*(TYPE2&lt;&gt;"")+('Dvd Calendar'!$T$577=TYPE3)*(TYPE3&lt;&gt;"")+('Dvd Calendar'!$T$577=TYPE4)*(TYPE4&lt;&gt;"")+('Dvd Calendar'!$T$577=SPECIAL_LBL)*(INC_SPECIALS="Y"))=0,"",'Dvd Calendar'!$T$575)))</f>
        <v/>
      </c>
      <c r="S63" s="161">
        <f>IF(EU63="","",IF(ISNUMBER('Dvd Calendar'!$U$575)=FALSE,"",IF((('Dvd Calendar'!$U$577=TYPE1)*(TYPE1&lt;&gt;"")+('Dvd Calendar'!$U$577=TYPE2)*(TYPE2&lt;&gt;"")+('Dvd Calendar'!$U$577=TYPE3)*(TYPE3&lt;&gt;"")+('Dvd Calendar'!$U$577=TYPE4)*(TYPE4&lt;&gt;"")+('Dvd Calendar'!$U$577=SPECIAL_LBL)*(INC_SPECIALS="Y"))=0,"",'Dvd Calendar'!$U$575)))</f>
        <v/>
      </c>
      <c r="T63" s="161">
        <f>IF(EV63="","",IF(ISNUMBER('Dvd Calendar'!$V$575)=FALSE,"",IF((('Dvd Calendar'!$V$577=TYPE1)*(TYPE1&lt;&gt;"")+('Dvd Calendar'!$V$577=TYPE2)*(TYPE2&lt;&gt;"")+('Dvd Calendar'!$V$577=TYPE3)*(TYPE3&lt;&gt;"")+('Dvd Calendar'!$V$577=TYPE4)*(TYPE4&lt;&gt;"")+('Dvd Calendar'!$V$577=SPECIAL_LBL)*(INC_SPECIALS="Y"))=0,"",'Dvd Calendar'!$V$575)))</f>
        <v/>
      </c>
      <c r="U63" s="161">
        <f>IF(EW63="","",IF(ISNUMBER('Dvd Calendar'!$W$575)=FALSE,"",IF((('Dvd Calendar'!$W$577=TYPE1)*(TYPE1&lt;&gt;"")+('Dvd Calendar'!$W$577=TYPE2)*(TYPE2&lt;&gt;"")+('Dvd Calendar'!$W$577=TYPE3)*(TYPE3&lt;&gt;"")+('Dvd Calendar'!$W$577=TYPE4)*(TYPE4&lt;&gt;"")+('Dvd Calendar'!$W$577=SPECIAL_LBL)*(INC_SPECIALS="Y"))=0,"",'Dvd Calendar'!$W$575)))</f>
        <v/>
      </c>
      <c r="V63" s="161">
        <f>IF(EX63="","",IF(ISNUMBER('Dvd Calendar'!$X$575)=FALSE,"",IF((('Dvd Calendar'!$X$577=TYPE1)*(TYPE1&lt;&gt;"")+('Dvd Calendar'!$X$577=TYPE2)*(TYPE2&lt;&gt;"")+('Dvd Calendar'!$X$577=TYPE3)*(TYPE3&lt;&gt;"")+('Dvd Calendar'!$X$577=TYPE4)*(TYPE4&lt;&gt;"")+('Dvd Calendar'!$X$577=SPECIAL_LBL)*(INC_SPECIALS="Y"))=0,"",'Dvd Calendar'!$X$575)))</f>
        <v/>
      </c>
      <c r="W63" s="161">
        <f>IF(EY63="","",IF(ISNUMBER('Dvd Calendar'!$Y$575)=FALSE,"",IF((('Dvd Calendar'!$Y$577=TYPE1)*(TYPE1&lt;&gt;"")+('Dvd Calendar'!$Y$577=TYPE2)*(TYPE2&lt;&gt;"")+('Dvd Calendar'!$Y$577=TYPE3)*(TYPE3&lt;&gt;"")+('Dvd Calendar'!$Y$577=TYPE4)*(TYPE4&lt;&gt;"")+('Dvd Calendar'!$Y$577=SPECIAL_LBL)*(INC_SPECIALS="Y"))=0,"",'Dvd Calendar'!$Y$575)))</f>
        <v/>
      </c>
      <c r="X63" s="161">
        <f>IF(EZ63="","",IF(ISNUMBER('Dvd Calendar'!$Z$575)=FALSE,"",IF((('Dvd Calendar'!$Z$577=TYPE1)*(TYPE1&lt;&gt;"")+('Dvd Calendar'!$Z$577=TYPE2)*(TYPE2&lt;&gt;"")+('Dvd Calendar'!$Z$577=TYPE3)*(TYPE3&lt;&gt;"")+('Dvd Calendar'!$Z$577=TYPE4)*(TYPE4&lt;&gt;"")+('Dvd Calendar'!$Z$577=SPECIAL_LBL)*(INC_SPECIALS="Y"))=0,"",'Dvd Calendar'!$Z$575)))</f>
        <v/>
      </c>
      <c r="Y63" s="161">
        <f>IF(FA63="","",IF(ISNUMBER('Dvd Calendar'!$AA$575)=FALSE,"",IF((('Dvd Calendar'!$AA$577=TYPE1)*(TYPE1&lt;&gt;"")+('Dvd Calendar'!$AA$577=TYPE2)*(TYPE2&lt;&gt;"")+('Dvd Calendar'!$AA$577=TYPE3)*(TYPE3&lt;&gt;"")+('Dvd Calendar'!$AA$577=TYPE4)*(TYPE4&lt;&gt;"")+('Dvd Calendar'!$AA$577=SPECIAL_LBL)*(INC_SPECIALS="Y"))=0,"",'Dvd Calendar'!$AA$575)))</f>
        <v/>
      </c>
      <c r="Z63" s="161">
        <f>IF(FB63="","",IF(ISNUMBER('Dvd Calendar'!$AB$575)=FALSE,"",IF((('Dvd Calendar'!$AB$577=TYPE1)*(TYPE1&lt;&gt;"")+('Dvd Calendar'!$AB$577=TYPE2)*(TYPE2&lt;&gt;"")+('Dvd Calendar'!$AB$577=TYPE3)*(TYPE3&lt;&gt;"")+('Dvd Calendar'!$AB$577=TYPE4)*(TYPE4&lt;&gt;"")+('Dvd Calendar'!$AB$577=SPECIAL_LBL)*(INC_SPECIALS="Y"))=0,"",'Dvd Calendar'!$AB$575)))</f>
        <v/>
      </c>
      <c r="AA63" s="161">
        <f>IF(FC63="","",IF(ISNUMBER('Dvd Calendar'!$AC$575)=FALSE,"",IF((('Dvd Calendar'!$AC$577=TYPE1)*(TYPE1&lt;&gt;"")+('Dvd Calendar'!$AC$577=TYPE2)*(TYPE2&lt;&gt;"")+('Dvd Calendar'!$AC$577=TYPE3)*(TYPE3&lt;&gt;"")+('Dvd Calendar'!$AC$577=TYPE4)*(TYPE4&lt;&gt;"")+('Dvd Calendar'!$AC$577=SPECIAL_LBL)*(INC_SPECIALS="Y"))=0,"",'Dvd Calendar'!$AC$575)))</f>
        <v/>
      </c>
      <c r="AB63" s="161">
        <f>IF(FD63="","",IF(ISNUMBER('Dvd Calendar'!$AD$575)=FALSE,"",IF((('Dvd Calendar'!$AD$577=TYPE1)*(TYPE1&lt;&gt;"")+('Dvd Calendar'!$AD$577=TYPE2)*(TYPE2&lt;&gt;"")+('Dvd Calendar'!$AD$577=TYPE3)*(TYPE3&lt;&gt;"")+('Dvd Calendar'!$AD$577=TYPE4)*(TYPE4&lt;&gt;"")+('Dvd Calendar'!$AD$577=SPECIAL_LBL)*(INC_SPECIALS="Y"))=0,"",'Dvd Calendar'!$AD$575)))</f>
        <v/>
      </c>
      <c r="AC63" s="161">
        <f>IF(FE63="","",IF(ISNUMBER('Dvd Calendar'!$AE$575)=FALSE,"",IF((('Dvd Calendar'!$AE$577=TYPE1)*(TYPE1&lt;&gt;"")+('Dvd Calendar'!$AE$577=TYPE2)*(TYPE2&lt;&gt;"")+('Dvd Calendar'!$AE$577=TYPE3)*(TYPE3&lt;&gt;"")+('Dvd Calendar'!$AE$577=TYPE4)*(TYPE4&lt;&gt;"")+('Dvd Calendar'!$AE$577=SPECIAL_LBL)*(INC_SPECIALS="Y"))=0,"",'Dvd Calendar'!$AE$575)))</f>
        <v/>
      </c>
      <c r="AD63" s="161">
        <f>IF(FF63="","",IF(ISNUMBER('Dvd Calendar'!$AF$575)=FALSE,"",IF((('Dvd Calendar'!$AF$577=TYPE1)*(TYPE1&lt;&gt;"")+('Dvd Calendar'!$AF$577=TYPE2)*(TYPE2&lt;&gt;"")+('Dvd Calendar'!$AF$577=TYPE3)*(TYPE3&lt;&gt;"")+('Dvd Calendar'!$AF$577=TYPE4)*(TYPE4&lt;&gt;"")+('Dvd Calendar'!$AF$577=SPECIAL_LBL)*(INC_SPECIALS="Y"))=0,"",'Dvd Calendar'!$AF$575)))</f>
        <v/>
      </c>
      <c r="AE63" s="161">
        <f>IF(FG63="","",IF(ISNUMBER('Dvd Calendar'!$AG$575)=FALSE,"",IF((('Dvd Calendar'!$AG$577=TYPE1)*(TYPE1&lt;&gt;"")+('Dvd Calendar'!$AG$577=TYPE2)*(TYPE2&lt;&gt;"")+('Dvd Calendar'!$AG$577=TYPE3)*(TYPE3&lt;&gt;"")+('Dvd Calendar'!$AG$577=TYPE4)*(TYPE4&lt;&gt;"")+('Dvd Calendar'!$AG$577=SPECIAL_LBL)*(INC_SPECIALS="Y"))=0,"",'Dvd Calendar'!$AG$575)))</f>
        <v/>
      </c>
      <c r="AF63" s="161">
        <f>IF(FH63="","",IF(ISNUMBER('Dvd Calendar'!$AH$575)=FALSE,"",IF((('Dvd Calendar'!$AH$577=TYPE1)*(TYPE1&lt;&gt;"")+('Dvd Calendar'!$AH$577=TYPE2)*(TYPE2&lt;&gt;"")+('Dvd Calendar'!$AH$577=TYPE3)*(TYPE3&lt;&gt;"")+('Dvd Calendar'!$AH$577=TYPE4)*(TYPE4&lt;&gt;"")+('Dvd Calendar'!$AH$577=SPECIAL_LBL)*(INC_SPECIALS="Y"))=0,"",'Dvd Calendar'!$AH$575)))</f>
        <v/>
      </c>
      <c r="AG63" s="161">
        <f>IF(FI63="","",IF(ISNUMBER('Dvd Calendar'!$AI$575)=FALSE,"",IF((('Dvd Calendar'!$AI$577=TYPE1)*(TYPE1&lt;&gt;"")+('Dvd Calendar'!$AI$577=TYPE2)*(TYPE2&lt;&gt;"")+('Dvd Calendar'!$AI$577=TYPE3)*(TYPE3&lt;&gt;"")+('Dvd Calendar'!$AI$577=TYPE4)*(TYPE4&lt;&gt;"")+('Dvd Calendar'!$AI$577=SPECIAL_LBL)*(INC_SPECIALS="Y"))=0,"",'Dvd Calendar'!$AI$575)))</f>
        <v/>
      </c>
      <c r="AH63" s="161">
        <f>IF(FJ63="","",IF(ISNUMBER('Dvd Calendar'!$AJ$575)=FALSE,"",IF((('Dvd Calendar'!$AJ$577=TYPE1)*(TYPE1&lt;&gt;"")+('Dvd Calendar'!$AJ$577=TYPE2)*(TYPE2&lt;&gt;"")+('Dvd Calendar'!$AJ$577=TYPE3)*(TYPE3&lt;&gt;"")+('Dvd Calendar'!$AJ$577=TYPE4)*(TYPE4&lt;&gt;"")+('Dvd Calendar'!$AJ$577=SPECIAL_LBL)*(INC_SPECIALS="Y"))=0,"",'Dvd Calendar'!$AJ$575)))</f>
        <v/>
      </c>
      <c r="AI63" s="161">
        <f>IF(FK63="","",IF(ISNUMBER('Dvd Calendar'!$AK$575)=FALSE,"",IF((('Dvd Calendar'!$AK$577=TYPE1)*(TYPE1&lt;&gt;"")+('Dvd Calendar'!$AK$577=TYPE2)*(TYPE2&lt;&gt;"")+('Dvd Calendar'!$AK$577=TYPE3)*(TYPE3&lt;&gt;"")+('Dvd Calendar'!$AK$577=TYPE4)*(TYPE4&lt;&gt;"")+('Dvd Calendar'!$AK$577=SPECIAL_LBL)*(INC_SPECIALS="Y"))=0,"",'Dvd Calendar'!$AK$575)))</f>
        <v/>
      </c>
      <c r="AJ63" s="161">
        <f>IF(FL63="","",IF(ISNUMBER('Dvd Calendar'!$AL$575)=FALSE,"",IF((('Dvd Calendar'!$AL$577=TYPE1)*(TYPE1&lt;&gt;"")+('Dvd Calendar'!$AL$577=TYPE2)*(TYPE2&lt;&gt;"")+('Dvd Calendar'!$AL$577=TYPE3)*(TYPE3&lt;&gt;"")+('Dvd Calendar'!$AL$577=TYPE4)*(TYPE4&lt;&gt;"")+('Dvd Calendar'!$AL$577=SPECIAL_LBL)*(INC_SPECIALS="Y"))=0,"",'Dvd Calendar'!$AL$575)))</f>
        <v/>
      </c>
      <c r="AK63" s="161">
        <f>IF(FM63="","",IF(ISNUMBER('Dvd Calendar'!$AM$575)=FALSE,"",IF((('Dvd Calendar'!$AM$577=TYPE1)*(TYPE1&lt;&gt;"")+('Dvd Calendar'!$AM$577=TYPE2)*(TYPE2&lt;&gt;"")+('Dvd Calendar'!$AM$577=TYPE3)*(TYPE3&lt;&gt;"")+('Dvd Calendar'!$AM$577=TYPE4)*(TYPE4&lt;&gt;"")+('Dvd Calendar'!$AM$577=SPECIAL_LBL)*(INC_SPECIALS="Y"))=0,"",'Dvd Calendar'!$AM$575)))</f>
        <v/>
      </c>
      <c r="AL63" s="161">
        <f>IF(FN63="","",IF(ISNUMBER('Dvd Calendar'!$AN$575)=FALSE,"",IF((('Dvd Calendar'!$AN$577=TYPE1)*(TYPE1&lt;&gt;"")+('Dvd Calendar'!$AN$577=TYPE2)*(TYPE2&lt;&gt;"")+('Dvd Calendar'!$AN$577=TYPE3)*(TYPE3&lt;&gt;"")+('Dvd Calendar'!$AN$577=TYPE4)*(TYPE4&lt;&gt;"")+('Dvd Calendar'!$AN$577=SPECIAL_LBL)*(INC_SPECIALS="Y"))=0,"",'Dvd Calendar'!$AN$575)))</f>
        <v/>
      </c>
      <c r="AM63" s="161">
        <f>IF(FO63="","",IF(ISNUMBER('Dvd Calendar'!$AO$575)=FALSE,"",IF((('Dvd Calendar'!$AO$577=TYPE1)*(TYPE1&lt;&gt;"")+('Dvd Calendar'!$AO$577=TYPE2)*(TYPE2&lt;&gt;"")+('Dvd Calendar'!$AO$577=TYPE3)*(TYPE3&lt;&gt;"")+('Dvd Calendar'!$AO$577=TYPE4)*(TYPE4&lt;&gt;"")+('Dvd Calendar'!$AO$577=SPECIAL_LBL)*(INC_SPECIALS="Y"))=0,"",'Dvd Calendar'!$AO$575)))</f>
        <v/>
      </c>
      <c r="AN63" s="161">
        <f>IF(FP63="","",IF(ISNUMBER('Dvd Calendar'!$AP$575)=FALSE,"",IF((('Dvd Calendar'!$AP$577=TYPE1)*(TYPE1&lt;&gt;"")+('Dvd Calendar'!$AP$577=TYPE2)*(TYPE2&lt;&gt;"")+('Dvd Calendar'!$AP$577=TYPE3)*(TYPE3&lt;&gt;"")+('Dvd Calendar'!$AP$577=TYPE4)*(TYPE4&lt;&gt;"")+('Dvd Calendar'!$AP$577=SPECIAL_LBL)*(INC_SPECIALS="Y"))=0,"",'Dvd Calendar'!$AP$575)))</f>
        <v/>
      </c>
      <c r="AO63" s="161">
        <f>IF(FQ63="","",IF(ISNUMBER('Dvd Calendar'!$AQ$575)=FALSE,"",IF((('Dvd Calendar'!$AQ$577=TYPE1)*(TYPE1&lt;&gt;"")+('Dvd Calendar'!$AQ$577=TYPE2)*(TYPE2&lt;&gt;"")+('Dvd Calendar'!$AQ$577=TYPE3)*(TYPE3&lt;&gt;"")+('Dvd Calendar'!$AQ$577=TYPE4)*(TYPE4&lt;&gt;"")+('Dvd Calendar'!$AQ$577=SPECIAL_LBL)*(INC_SPECIALS="Y"))=0,"",'Dvd Calendar'!$AQ$575)))</f>
        <v/>
      </c>
      <c r="AP63" s="161">
        <f>IF(FR63="","",IF(ISNUMBER('Dvd Calendar'!$AR$575)=FALSE,"",IF((('Dvd Calendar'!$AR$577=TYPE1)*(TYPE1&lt;&gt;"")+('Dvd Calendar'!$AR$577=TYPE2)*(TYPE2&lt;&gt;"")+('Dvd Calendar'!$AR$577=TYPE3)*(TYPE3&lt;&gt;"")+('Dvd Calendar'!$AR$577=TYPE4)*(TYPE4&lt;&gt;"")+('Dvd Calendar'!$AR$577=SPECIAL_LBL)*(INC_SPECIALS="Y"))=0,"",'Dvd Calendar'!$AR$575)))</f>
        <v/>
      </c>
      <c r="AQ63" s="161">
        <f>IF(FS63="","",IF(ISNUMBER('Dvd Calendar'!$E$580)=FALSE,"",'Dvd Calendar'!$E$580))</f>
        <v/>
      </c>
      <c r="AR63" s="161">
        <f>IF(FT63="","",IF(ISNUMBER('Dvd Calendar'!$F$580)=FALSE,"",'Dvd Calendar'!$F$580))</f>
        <v/>
      </c>
      <c r="AS63" s="161">
        <f>IF(FU63="","",IF(ISNUMBER('Dvd Calendar'!$G$580)=FALSE,"",'Dvd Calendar'!$G$580))</f>
        <v/>
      </c>
      <c r="AT63" s="161">
        <f>IF(FV63="","",IF(ISNUMBER('Dvd Calendar'!$H$580)=FALSE,"",'Dvd Calendar'!$H$580))</f>
        <v/>
      </c>
      <c r="AU63" s="161">
        <f>IF(FW63="","",IF(ISNUMBER('Dvd Calendar'!$I$580)=FALSE,"",'Dvd Calendar'!$I$580))</f>
        <v/>
      </c>
      <c r="AV63" s="161">
        <f>IF(FX63="","",IF(ISNUMBER('Dvd Calendar'!$J$580)=FALSE,"",'Dvd Calendar'!$J$580))</f>
        <v/>
      </c>
      <c r="AW63" s="161">
        <f>IF(FY63="","",IF(ISNUMBER('Dvd Calendar'!$K$580)=FALSE,"",'Dvd Calendar'!$K$580))</f>
        <v/>
      </c>
      <c r="AX63" s="161">
        <f>IF(FZ63="","",IF(ISNUMBER('Dvd Calendar'!$L$580)=FALSE,"",'Dvd Calendar'!$L$580))</f>
        <v/>
      </c>
      <c r="AY63" s="161">
        <f>IF(GA63="","",IF(ISNUMBER('Dvd Calendar'!$M$580)=FALSE,"",'Dvd Calendar'!$M$580))</f>
        <v/>
      </c>
      <c r="AZ63" s="161">
        <f>IF(GB63="","",IF(ISNUMBER('Dvd Calendar'!$N$580)=FALSE,"",'Dvd Calendar'!$N$580))</f>
        <v/>
      </c>
      <c r="BA63" s="161">
        <f>IF(GC63="","",IF(ISNUMBER('Dvd Calendar'!$O$580)=FALSE,"",'Dvd Calendar'!$O$580))</f>
        <v/>
      </c>
      <c r="BB63" s="161">
        <f>IF(GD63="","",IF(ISNUMBER('Dvd Calendar'!$P$580)=FALSE,"",'Dvd Calendar'!$P$580))</f>
        <v/>
      </c>
      <c r="BC63" s="161">
        <f>IF(GE63="","",IF(ISNUMBER('Dvd Calendar'!$Q$580)=FALSE,"",'Dvd Calendar'!$Q$580))</f>
        <v/>
      </c>
      <c r="BD63" s="161">
        <f>IF(GF63="","",IF(ISNUMBER('Dvd Calendar'!$R$580)=FALSE,"",'Dvd Calendar'!$R$580))</f>
        <v/>
      </c>
      <c r="BE63" s="161">
        <f>IF(GG63="","",IF(ISNUMBER('Dvd Calendar'!$S$580)=FALSE,"",'Dvd Calendar'!$S$580))</f>
        <v/>
      </c>
      <c r="BF63" s="161">
        <f>IF(GH63="","",IF(ISNUMBER('Dvd Calendar'!$T$580)=FALSE,"",'Dvd Calendar'!$T$580))</f>
        <v/>
      </c>
      <c r="BG63" s="161">
        <f>IF(GI63="","",IF(ISNUMBER('Dvd Calendar'!$U$580)=FALSE,"",'Dvd Calendar'!$U$580))</f>
        <v/>
      </c>
      <c r="BH63" s="161">
        <f>IF(GJ63="","",IF(ISNUMBER('Dvd Calendar'!$V$580)=FALSE,"",'Dvd Calendar'!$V$580))</f>
        <v/>
      </c>
      <c r="BI63" s="161">
        <f>IF(GK63="","",IF(ISNUMBER('Dvd Calendar'!$W$580)=FALSE,"",'Dvd Calendar'!$W$580))</f>
        <v/>
      </c>
      <c r="BJ63" s="161">
        <f>IF(GL63="","",IF(ISNUMBER('Dvd Calendar'!$X$580)=FALSE,"",'Dvd Calendar'!$X$580))</f>
        <v/>
      </c>
      <c r="BK63" s="161">
        <f>IF(GM63="","",IF(ISNUMBER('Dvd Calendar'!$Y$580)=FALSE,"",'Dvd Calendar'!$Y$580))</f>
        <v/>
      </c>
      <c r="BL63" s="161">
        <f>IF(GN63="","",IF(ISNUMBER('Dvd Calendar'!$Z$580)=FALSE,"",'Dvd Calendar'!$Z$580))</f>
        <v/>
      </c>
      <c r="BM63" s="161">
        <f>IF(GO63="","",IF(ISNUMBER('Dvd Calendar'!$AA$580)=FALSE,"",'Dvd Calendar'!$AA$580))</f>
        <v/>
      </c>
      <c r="BN63" s="161">
        <f>IF(GP63="","",IF(ISNUMBER('Dvd Calendar'!$AB$580)=FALSE,"",'Dvd Calendar'!$AB$580))</f>
        <v/>
      </c>
      <c r="BO63" s="161">
        <f>IF(GQ63="","",IF(ISNUMBER('Dvd Calendar'!$AC$580)=FALSE,"",'Dvd Calendar'!$AC$580))</f>
        <v/>
      </c>
      <c r="BQ63" s="161">
        <f>IF(C63="","",IFERROR(C63*HSI!$B$58*HSI!$G$58/HSI!$B$3,""))</f>
        <v/>
      </c>
      <c r="BR63" s="161">
        <f>IF(D63="","",IFERROR(D63*HSI!$B$58*HSI!$G$58/HSI!$B$3,""))</f>
        <v/>
      </c>
      <c r="BS63" s="161">
        <f>IF(E63="","",IFERROR(E63*HSI!$B$58*HSI!$G$58/HSI!$B$3,""))</f>
        <v/>
      </c>
      <c r="BT63" s="161">
        <f>IF(F63="","",IFERROR(F63*HSI!$B$58*HSI!$G$58/HSI!$B$3,""))</f>
        <v/>
      </c>
      <c r="BU63" s="161">
        <f>IF(G63="","",IFERROR(G63*HSI!$B$58*HSI!$G$58/HSI!$B$3,""))</f>
        <v/>
      </c>
      <c r="BV63" s="161">
        <f>IF(H63="","",IFERROR(H63*HSI!$B$58*HSI!$G$58/HSI!$B$3,""))</f>
        <v/>
      </c>
      <c r="BW63" s="161">
        <f>IF(I63="","",IFERROR(I63*HSI!$B$58*HSI!$G$58/HSI!$B$3,""))</f>
        <v/>
      </c>
      <c r="BX63" s="161">
        <f>IF(J63="","",IFERROR(J63*HSI!$B$58*HSI!$G$58/HSI!$B$3,""))</f>
        <v/>
      </c>
      <c r="BY63" s="161">
        <f>IF(K63="","",IFERROR(K63*HSI!$B$58*HSI!$G$58/HSI!$B$3,""))</f>
        <v/>
      </c>
      <c r="BZ63" s="161">
        <f>IF(L63="","",IFERROR(L63*HSI!$B$58*HSI!$G$58/HSI!$B$3,""))</f>
        <v/>
      </c>
      <c r="CA63" s="161">
        <f>IF(M63="","",IFERROR(M63*HSI!$B$58*HSI!$G$58/HSI!$B$3,""))</f>
        <v/>
      </c>
      <c r="CB63" s="161">
        <f>IF(N63="","",IFERROR(N63*HSI!$B$58*HSI!$G$58/HSI!$B$3,""))</f>
        <v/>
      </c>
      <c r="CC63" s="161">
        <f>IF(O63="","",IFERROR(O63*HSI!$B$58*HSI!$G$58/HSI!$B$3,""))</f>
        <v/>
      </c>
      <c r="CD63" s="161">
        <f>IF(P63="","",IFERROR(P63*HSI!$B$58*HSI!$G$58/HSI!$B$3,""))</f>
        <v/>
      </c>
      <c r="CE63" s="161">
        <f>IF(Q63="","",IFERROR(Q63*HSI!$B$58*HSI!$G$58/HSI!$B$3,""))</f>
        <v/>
      </c>
      <c r="CF63" s="161">
        <f>IF(R63="","",IFERROR(R63*HSI!$B$58*HSI!$G$58/HSI!$B$3,""))</f>
        <v/>
      </c>
      <c r="CG63" s="161">
        <f>IF(S63="","",IFERROR(S63*HSI!$B$58*HSI!$G$58/HSI!$B$3,""))</f>
        <v/>
      </c>
      <c r="CH63" s="161">
        <f>IF(T63="","",IFERROR(T63*HSI!$B$58*HSI!$G$58/HSI!$B$3,""))</f>
        <v/>
      </c>
      <c r="CI63" s="161">
        <f>IF(U63="","",IFERROR(U63*HSI!$B$58*HSI!$G$58/HSI!$B$3,""))</f>
        <v/>
      </c>
      <c r="CJ63" s="161">
        <f>IF(V63="","",IFERROR(V63*HSI!$B$58*HSI!$G$58/HSI!$B$3,""))</f>
        <v/>
      </c>
      <c r="CK63" s="161">
        <f>IF(W63="","",IFERROR(W63*HSI!$B$58*HSI!$G$58/HSI!$B$3,""))</f>
        <v/>
      </c>
      <c r="CL63" s="161">
        <f>IF(X63="","",IFERROR(X63*HSI!$B$58*HSI!$G$58/HSI!$B$3,""))</f>
        <v/>
      </c>
      <c r="CM63" s="161">
        <f>IF(Y63="","",IFERROR(Y63*HSI!$B$58*HSI!$G$58/HSI!$B$3,""))</f>
        <v/>
      </c>
      <c r="CN63" s="161">
        <f>IF(Z63="","",IFERROR(Z63*HSI!$B$58*HSI!$G$58/HSI!$B$3,""))</f>
        <v/>
      </c>
      <c r="CO63" s="161">
        <f>IF(AA63="","",IFERROR(AA63*HSI!$B$58*HSI!$G$58/HSI!$B$3,""))</f>
        <v/>
      </c>
      <c r="CP63" s="161">
        <f>IF(AB63="","",IFERROR(AB63*HSI!$B$58*HSI!$G$58/HSI!$B$3,""))</f>
        <v/>
      </c>
      <c r="CQ63" s="161">
        <f>IF(AC63="","",IFERROR(AC63*HSI!$B$58*HSI!$G$58/HSI!$B$3,""))</f>
        <v/>
      </c>
      <c r="CR63" s="161">
        <f>IF(AD63="","",IFERROR(AD63*HSI!$B$58*HSI!$G$58/HSI!$B$3,""))</f>
        <v/>
      </c>
      <c r="CS63" s="161">
        <f>IF(AE63="","",IFERROR(AE63*HSI!$B$58*HSI!$G$58/HSI!$B$3,""))</f>
        <v/>
      </c>
      <c r="CT63" s="161">
        <f>IF(AF63="","",IFERROR(AF63*HSI!$B$58*HSI!$G$58/HSI!$B$3,""))</f>
        <v/>
      </c>
      <c r="CU63" s="161">
        <f>IF(AG63="","",IFERROR(AG63*HSI!$B$58*HSI!$G$58/HSI!$B$3,""))</f>
        <v/>
      </c>
      <c r="CV63" s="161">
        <f>IF(AH63="","",IFERROR(AH63*HSI!$B$58*HSI!$G$58/HSI!$B$3,""))</f>
        <v/>
      </c>
      <c r="CW63" s="161">
        <f>IF(AI63="","",IFERROR(AI63*HSI!$B$58*HSI!$G$58/HSI!$B$3,""))</f>
        <v/>
      </c>
      <c r="CX63" s="161">
        <f>IF(AJ63="","",IFERROR(AJ63*HSI!$B$58*HSI!$G$58/HSI!$B$3,""))</f>
        <v/>
      </c>
      <c r="CY63" s="161">
        <f>IF(AK63="","",IFERROR(AK63*HSI!$B$58*HSI!$G$58/HSI!$B$3,""))</f>
        <v/>
      </c>
      <c r="CZ63" s="161">
        <f>IF(AL63="","",IFERROR(AL63*HSI!$B$58*HSI!$G$58/HSI!$B$3,""))</f>
        <v/>
      </c>
      <c r="DA63" s="161">
        <f>IF(AM63="","",IFERROR(AM63*HSI!$B$58*HSI!$G$58/HSI!$B$3,""))</f>
        <v/>
      </c>
      <c r="DB63" s="161">
        <f>IF(AN63="","",IFERROR(AN63*HSI!$B$58*HSI!$G$58/HSI!$B$3,""))</f>
        <v/>
      </c>
      <c r="DC63" s="161">
        <f>IF(AO63="","",IFERROR(AO63*HSI!$B$58*HSI!$G$58/HSI!$B$3,""))</f>
        <v/>
      </c>
      <c r="DD63" s="161">
        <f>IF(AP63="","",IFERROR(AP63*HSI!$B$58*HSI!$G$58/HSI!$B$3,""))</f>
        <v/>
      </c>
      <c r="DE63" s="161">
        <f>IF(AQ63="","",IFERROR(AQ63*HSI!$B$58*HSI!$G$58/HSI!$B$3,""))</f>
        <v/>
      </c>
      <c r="DF63" s="161">
        <f>IF(AR63="","",IFERROR(AR63*HSI!$B$58*HSI!$G$58/HSI!$B$3,""))</f>
        <v/>
      </c>
      <c r="DG63" s="161">
        <f>IF(AS63="","",IFERROR(AS63*HSI!$B$58*HSI!$G$58/HSI!$B$3,""))</f>
        <v/>
      </c>
      <c r="DH63" s="161">
        <f>IF(AT63="","",IFERROR(AT63*HSI!$B$58*HSI!$G$58/HSI!$B$3,""))</f>
        <v/>
      </c>
      <c r="DI63" s="161">
        <f>IF(AU63="","",IFERROR(AU63*HSI!$B$58*HSI!$G$58/HSI!$B$3,""))</f>
        <v/>
      </c>
      <c r="DJ63" s="161">
        <f>IF(AV63="","",IFERROR(AV63*HSI!$B$58*HSI!$G$58/HSI!$B$3,""))</f>
        <v/>
      </c>
      <c r="DK63" s="161">
        <f>IF(AW63="","",IFERROR(AW63*HSI!$B$58*HSI!$G$58/HSI!$B$3,""))</f>
        <v/>
      </c>
      <c r="DL63" s="161">
        <f>IF(AX63="","",IFERROR(AX63*HSI!$B$58*HSI!$G$58/HSI!$B$3,""))</f>
        <v/>
      </c>
      <c r="DM63" s="161">
        <f>IF(AY63="","",IFERROR(AY63*HSI!$B$58*HSI!$G$58/HSI!$B$3,""))</f>
        <v/>
      </c>
      <c r="DN63" s="161">
        <f>IF(AZ63="","",IFERROR(AZ63*HSI!$B$58*HSI!$G$58/HSI!$B$3,""))</f>
        <v/>
      </c>
      <c r="DO63" s="161">
        <f>IF(BA63="","",IFERROR(BA63*HSI!$B$58*HSI!$G$58/HSI!$B$3,""))</f>
        <v/>
      </c>
      <c r="DP63" s="161">
        <f>IF(BB63="","",IFERROR(BB63*HSI!$B$58*HSI!$G$58/HSI!$B$3,""))</f>
        <v/>
      </c>
      <c r="DQ63" s="161">
        <f>IF(BC63="","",IFERROR(BC63*HSI!$B$58*HSI!$G$58/HSI!$B$3,""))</f>
        <v/>
      </c>
      <c r="DR63" s="161">
        <f>IF(BD63="","",IFERROR(BD63*HSI!$B$58*HSI!$G$58/HSI!$B$3,""))</f>
        <v/>
      </c>
      <c r="DS63" s="161">
        <f>IF(BE63="","",IFERROR(BE63*HSI!$B$58*HSI!$G$58/HSI!$B$3,""))</f>
        <v/>
      </c>
      <c r="DT63" s="161">
        <f>IF(BF63="","",IFERROR(BF63*HSI!$B$58*HSI!$G$58/HSI!$B$3,""))</f>
        <v/>
      </c>
      <c r="DU63" s="161">
        <f>IF(BG63="","",IFERROR(BG63*HSI!$B$58*HSI!$G$58/HSI!$B$3,""))</f>
        <v/>
      </c>
      <c r="DV63" s="161">
        <f>IF(BH63="","",IFERROR(BH63*HSI!$B$58*HSI!$G$58/HSI!$B$3,""))</f>
        <v/>
      </c>
      <c r="DW63" s="161">
        <f>IF(BI63="","",IFERROR(BI63*HSI!$B$58*HSI!$G$58/HSI!$B$3,""))</f>
        <v/>
      </c>
      <c r="DX63" s="161">
        <f>IF(BJ63="","",IFERROR(BJ63*HSI!$B$58*HSI!$G$58/HSI!$B$3,""))</f>
        <v/>
      </c>
      <c r="DY63" s="161">
        <f>IF(BK63="","",IFERROR(BK63*HSI!$B$58*HSI!$G$58/HSI!$B$3,""))</f>
        <v/>
      </c>
      <c r="DZ63" s="161">
        <f>IF(BL63="","",IFERROR(BL63*HSI!$B$58*HSI!$G$58/HSI!$B$3,""))</f>
        <v/>
      </c>
      <c r="EA63" s="161">
        <f>IF(BM63="","",IFERROR(BM63*HSI!$B$58*HSI!$G$58/HSI!$B$3,""))</f>
        <v/>
      </c>
      <c r="EB63" s="161">
        <f>IF(BN63="","",IFERROR(BN63*HSI!$B$58*HSI!$G$58/HSI!$B$3,""))</f>
        <v/>
      </c>
      <c r="EC63" s="161">
        <f>IF(BO63="","",IFERROR(BO63*HSI!$B$58*HSI!$G$58/HSI!$B$3,""))</f>
        <v/>
      </c>
      <c r="EE63" s="121">
        <f>IF(N('Dvd Calendar'!$E$572)=0,"",IF(('Dvd Calendar'!$E$572&gt;=GRID_FROM)*('Dvd Calendar'!$E$572&lt;=GRID_TO)*((('Dvd Calendar'!$E$572&lt;=VAL_DATE)+(COUNTIF('Dvd Calendar'!$E$579:$AR$579,'Dvd Calendar'!$E$572)=0))&gt;0)=0,"",'Dvd Calendar'!$E$572*1000000000+ISNUMBER('Dvd Calendar'!$E$575)*100000000+('Dvd Calendar'!$E$577=SPECIAL_LBL)*10000000+(N('Dvd Calendar'!$E$571)&gt;0)*(N('Dvd Calendar'!$E$571)&lt;=VAL_SERIAL)*1000000+52*1000+1))</f>
        <v/>
      </c>
      <c r="EF63" s="121">
        <f>IF(N('Dvd Calendar'!$F$572)=0,"",IF(('Dvd Calendar'!$F$572&gt;=GRID_FROM)*('Dvd Calendar'!$F$572&lt;=GRID_TO)*((('Dvd Calendar'!$F$572&lt;=VAL_DATE)+(COUNTIF('Dvd Calendar'!$E$579:$AR$579,'Dvd Calendar'!$F$572)=0))&gt;0)=0,"",'Dvd Calendar'!$F$572*1000000000+ISNUMBER('Dvd Calendar'!$F$575)*100000000+('Dvd Calendar'!$F$577=SPECIAL_LBL)*10000000+(N('Dvd Calendar'!$F$571)&gt;0)*(N('Dvd Calendar'!$F$571)&lt;=VAL_SERIAL)*1000000+52*1000+2))</f>
        <v/>
      </c>
      <c r="EG63" s="121">
        <f>IF(N('Dvd Calendar'!$G$572)=0,"",IF(('Dvd Calendar'!$G$572&gt;=GRID_FROM)*('Dvd Calendar'!$G$572&lt;=GRID_TO)*((('Dvd Calendar'!$G$572&lt;=VAL_DATE)+(COUNTIF('Dvd Calendar'!$E$579:$AR$579,'Dvd Calendar'!$G$572)=0))&gt;0)=0,"",'Dvd Calendar'!$G$572*1000000000+ISNUMBER('Dvd Calendar'!$G$575)*100000000+('Dvd Calendar'!$G$577=SPECIAL_LBL)*10000000+(N('Dvd Calendar'!$G$571)&gt;0)*(N('Dvd Calendar'!$G$571)&lt;=VAL_SERIAL)*1000000+52*1000+3))</f>
        <v/>
      </c>
      <c r="EH63" s="121">
        <f>IF(N('Dvd Calendar'!$H$572)=0,"",IF(('Dvd Calendar'!$H$572&gt;=GRID_FROM)*('Dvd Calendar'!$H$572&lt;=GRID_TO)*((('Dvd Calendar'!$H$572&lt;=VAL_DATE)+(COUNTIF('Dvd Calendar'!$E$579:$AR$579,'Dvd Calendar'!$H$572)=0))&gt;0)=0,"",'Dvd Calendar'!$H$572*1000000000+ISNUMBER('Dvd Calendar'!$H$575)*100000000+('Dvd Calendar'!$H$577=SPECIAL_LBL)*10000000+(N('Dvd Calendar'!$H$571)&gt;0)*(N('Dvd Calendar'!$H$571)&lt;=VAL_SERIAL)*1000000+52*1000+4))</f>
        <v/>
      </c>
      <c r="EI63" s="121">
        <f>IF(N('Dvd Calendar'!$I$572)=0,"",IF(('Dvd Calendar'!$I$572&gt;=GRID_FROM)*('Dvd Calendar'!$I$572&lt;=GRID_TO)*((('Dvd Calendar'!$I$572&lt;=VAL_DATE)+(COUNTIF('Dvd Calendar'!$E$579:$AR$579,'Dvd Calendar'!$I$572)=0))&gt;0)=0,"",'Dvd Calendar'!$I$572*1000000000+ISNUMBER('Dvd Calendar'!$I$575)*100000000+('Dvd Calendar'!$I$577=SPECIAL_LBL)*10000000+(N('Dvd Calendar'!$I$571)&gt;0)*(N('Dvd Calendar'!$I$571)&lt;=VAL_SERIAL)*1000000+52*1000+5))</f>
        <v/>
      </c>
      <c r="EJ63" s="121">
        <f>IF(N('Dvd Calendar'!$J$572)=0,"",IF(('Dvd Calendar'!$J$572&gt;=GRID_FROM)*('Dvd Calendar'!$J$572&lt;=GRID_TO)*((('Dvd Calendar'!$J$572&lt;=VAL_DATE)+(COUNTIF('Dvd Calendar'!$E$579:$AR$579,'Dvd Calendar'!$J$572)=0))&gt;0)=0,"",'Dvd Calendar'!$J$572*1000000000+ISNUMBER('Dvd Calendar'!$J$575)*100000000+('Dvd Calendar'!$J$577=SPECIAL_LBL)*10000000+(N('Dvd Calendar'!$J$571)&gt;0)*(N('Dvd Calendar'!$J$571)&lt;=VAL_SERIAL)*1000000+52*1000+6))</f>
        <v/>
      </c>
      <c r="EK63" s="121">
        <f>IF(N('Dvd Calendar'!$K$572)=0,"",IF(('Dvd Calendar'!$K$572&gt;=GRID_FROM)*('Dvd Calendar'!$K$572&lt;=GRID_TO)*((('Dvd Calendar'!$K$572&lt;=VAL_DATE)+(COUNTIF('Dvd Calendar'!$E$579:$AR$579,'Dvd Calendar'!$K$572)=0))&gt;0)=0,"",'Dvd Calendar'!$K$572*1000000000+ISNUMBER('Dvd Calendar'!$K$575)*100000000+('Dvd Calendar'!$K$577=SPECIAL_LBL)*10000000+(N('Dvd Calendar'!$K$571)&gt;0)*(N('Dvd Calendar'!$K$571)&lt;=VAL_SERIAL)*1000000+52*1000+7))</f>
        <v/>
      </c>
      <c r="EL63" s="121">
        <f>IF(N('Dvd Calendar'!$L$572)=0,"",IF(('Dvd Calendar'!$L$572&gt;=GRID_FROM)*('Dvd Calendar'!$L$572&lt;=GRID_TO)*((('Dvd Calendar'!$L$572&lt;=VAL_DATE)+(COUNTIF('Dvd Calendar'!$E$579:$AR$579,'Dvd Calendar'!$L$572)=0))&gt;0)=0,"",'Dvd Calendar'!$L$572*1000000000+ISNUMBER('Dvd Calendar'!$L$575)*100000000+('Dvd Calendar'!$L$577=SPECIAL_LBL)*10000000+(N('Dvd Calendar'!$L$571)&gt;0)*(N('Dvd Calendar'!$L$571)&lt;=VAL_SERIAL)*1000000+52*1000+8))</f>
        <v/>
      </c>
      <c r="EM63" s="121">
        <f>IF(N('Dvd Calendar'!$M$572)=0,"",IF(('Dvd Calendar'!$M$572&gt;=GRID_FROM)*('Dvd Calendar'!$M$572&lt;=GRID_TO)*((('Dvd Calendar'!$M$572&lt;=VAL_DATE)+(COUNTIF('Dvd Calendar'!$E$579:$AR$579,'Dvd Calendar'!$M$572)=0))&gt;0)=0,"",'Dvd Calendar'!$M$572*1000000000+ISNUMBER('Dvd Calendar'!$M$575)*100000000+('Dvd Calendar'!$M$577=SPECIAL_LBL)*10000000+(N('Dvd Calendar'!$M$571)&gt;0)*(N('Dvd Calendar'!$M$571)&lt;=VAL_SERIAL)*1000000+52*1000+9))</f>
        <v/>
      </c>
      <c r="EN63" s="121">
        <f>IF(N('Dvd Calendar'!$N$572)=0,"",IF(('Dvd Calendar'!$N$572&gt;=GRID_FROM)*('Dvd Calendar'!$N$572&lt;=GRID_TO)*((('Dvd Calendar'!$N$572&lt;=VAL_DATE)+(COUNTIF('Dvd Calendar'!$E$579:$AR$579,'Dvd Calendar'!$N$572)=0))&gt;0)=0,"",'Dvd Calendar'!$N$572*1000000000+ISNUMBER('Dvd Calendar'!$N$575)*100000000+('Dvd Calendar'!$N$577=SPECIAL_LBL)*10000000+(N('Dvd Calendar'!$N$571)&gt;0)*(N('Dvd Calendar'!$N$571)&lt;=VAL_SERIAL)*1000000+52*1000+10))</f>
        <v/>
      </c>
      <c r="EO63" s="121">
        <f>IF(N('Dvd Calendar'!$O$572)=0,"",IF(('Dvd Calendar'!$O$572&gt;=GRID_FROM)*('Dvd Calendar'!$O$572&lt;=GRID_TO)*((('Dvd Calendar'!$O$572&lt;=VAL_DATE)+(COUNTIF('Dvd Calendar'!$E$579:$AR$579,'Dvd Calendar'!$O$572)=0))&gt;0)=0,"",'Dvd Calendar'!$O$572*1000000000+ISNUMBER('Dvd Calendar'!$O$575)*100000000+('Dvd Calendar'!$O$577=SPECIAL_LBL)*10000000+(N('Dvd Calendar'!$O$571)&gt;0)*(N('Dvd Calendar'!$O$571)&lt;=VAL_SERIAL)*1000000+52*1000+11))</f>
        <v/>
      </c>
      <c r="EP63" s="121">
        <f>IF(N('Dvd Calendar'!$P$572)=0,"",IF(('Dvd Calendar'!$P$572&gt;=GRID_FROM)*('Dvd Calendar'!$P$572&lt;=GRID_TO)*((('Dvd Calendar'!$P$572&lt;=VAL_DATE)+(COUNTIF('Dvd Calendar'!$E$579:$AR$579,'Dvd Calendar'!$P$572)=0))&gt;0)=0,"",'Dvd Calendar'!$P$572*1000000000+ISNUMBER('Dvd Calendar'!$P$575)*100000000+('Dvd Calendar'!$P$577=SPECIAL_LBL)*10000000+(N('Dvd Calendar'!$P$571)&gt;0)*(N('Dvd Calendar'!$P$571)&lt;=VAL_SERIAL)*1000000+52*1000+12))</f>
        <v/>
      </c>
      <c r="EQ63" s="121">
        <f>IF(N('Dvd Calendar'!$Q$572)=0,"",IF(('Dvd Calendar'!$Q$572&gt;=GRID_FROM)*('Dvd Calendar'!$Q$572&lt;=GRID_TO)*((('Dvd Calendar'!$Q$572&lt;=VAL_DATE)+(COUNTIF('Dvd Calendar'!$E$579:$AR$579,'Dvd Calendar'!$Q$572)=0))&gt;0)=0,"",'Dvd Calendar'!$Q$572*1000000000+ISNUMBER('Dvd Calendar'!$Q$575)*100000000+('Dvd Calendar'!$Q$577=SPECIAL_LBL)*10000000+(N('Dvd Calendar'!$Q$571)&gt;0)*(N('Dvd Calendar'!$Q$571)&lt;=VAL_SERIAL)*1000000+52*1000+13))</f>
        <v/>
      </c>
      <c r="ER63" s="121">
        <f>IF(N('Dvd Calendar'!$R$572)=0,"",IF(('Dvd Calendar'!$R$572&gt;=GRID_FROM)*('Dvd Calendar'!$R$572&lt;=GRID_TO)*((('Dvd Calendar'!$R$572&lt;=VAL_DATE)+(COUNTIF('Dvd Calendar'!$E$579:$AR$579,'Dvd Calendar'!$R$572)=0))&gt;0)=0,"",'Dvd Calendar'!$R$572*1000000000+ISNUMBER('Dvd Calendar'!$R$575)*100000000+('Dvd Calendar'!$R$577=SPECIAL_LBL)*10000000+(N('Dvd Calendar'!$R$571)&gt;0)*(N('Dvd Calendar'!$R$571)&lt;=VAL_SERIAL)*1000000+52*1000+14))</f>
        <v/>
      </c>
      <c r="ES63" s="121">
        <f>IF(N('Dvd Calendar'!$S$572)=0,"",IF(('Dvd Calendar'!$S$572&gt;=GRID_FROM)*('Dvd Calendar'!$S$572&lt;=GRID_TO)*((('Dvd Calendar'!$S$572&lt;=VAL_DATE)+(COUNTIF('Dvd Calendar'!$E$579:$AR$579,'Dvd Calendar'!$S$572)=0))&gt;0)=0,"",'Dvd Calendar'!$S$572*1000000000+ISNUMBER('Dvd Calendar'!$S$575)*100000000+('Dvd Calendar'!$S$577=SPECIAL_LBL)*10000000+(N('Dvd Calendar'!$S$571)&gt;0)*(N('Dvd Calendar'!$S$571)&lt;=VAL_SERIAL)*1000000+52*1000+15))</f>
        <v/>
      </c>
      <c r="ET63" s="121">
        <f>IF(N('Dvd Calendar'!$T$572)=0,"",IF(('Dvd Calendar'!$T$572&gt;=GRID_FROM)*('Dvd Calendar'!$T$572&lt;=GRID_TO)*((('Dvd Calendar'!$T$572&lt;=VAL_DATE)+(COUNTIF('Dvd Calendar'!$E$579:$AR$579,'Dvd Calendar'!$T$572)=0))&gt;0)=0,"",'Dvd Calendar'!$T$572*1000000000+ISNUMBER('Dvd Calendar'!$T$575)*100000000+('Dvd Calendar'!$T$577=SPECIAL_LBL)*10000000+(N('Dvd Calendar'!$T$571)&gt;0)*(N('Dvd Calendar'!$T$571)&lt;=VAL_SERIAL)*1000000+52*1000+16))</f>
        <v/>
      </c>
      <c r="EU63" s="121">
        <f>IF(N('Dvd Calendar'!$U$572)=0,"",IF(('Dvd Calendar'!$U$572&gt;=GRID_FROM)*('Dvd Calendar'!$U$572&lt;=GRID_TO)*((('Dvd Calendar'!$U$572&lt;=VAL_DATE)+(COUNTIF('Dvd Calendar'!$E$579:$AR$579,'Dvd Calendar'!$U$572)=0))&gt;0)=0,"",'Dvd Calendar'!$U$572*1000000000+ISNUMBER('Dvd Calendar'!$U$575)*100000000+('Dvd Calendar'!$U$577=SPECIAL_LBL)*10000000+(N('Dvd Calendar'!$U$571)&gt;0)*(N('Dvd Calendar'!$U$571)&lt;=VAL_SERIAL)*1000000+52*1000+17))</f>
        <v/>
      </c>
      <c r="EV63" s="121">
        <f>IF(N('Dvd Calendar'!$V$572)=0,"",IF(('Dvd Calendar'!$V$572&gt;=GRID_FROM)*('Dvd Calendar'!$V$572&lt;=GRID_TO)*((('Dvd Calendar'!$V$572&lt;=VAL_DATE)+(COUNTIF('Dvd Calendar'!$E$579:$AR$579,'Dvd Calendar'!$V$572)=0))&gt;0)=0,"",'Dvd Calendar'!$V$572*1000000000+ISNUMBER('Dvd Calendar'!$V$575)*100000000+('Dvd Calendar'!$V$577=SPECIAL_LBL)*10000000+(N('Dvd Calendar'!$V$571)&gt;0)*(N('Dvd Calendar'!$V$571)&lt;=VAL_SERIAL)*1000000+52*1000+18))</f>
        <v/>
      </c>
      <c r="EW63" s="121">
        <f>IF(N('Dvd Calendar'!$W$572)=0,"",IF(('Dvd Calendar'!$W$572&gt;=GRID_FROM)*('Dvd Calendar'!$W$572&lt;=GRID_TO)*((('Dvd Calendar'!$W$572&lt;=VAL_DATE)+(COUNTIF('Dvd Calendar'!$E$579:$AR$579,'Dvd Calendar'!$W$572)=0))&gt;0)=0,"",'Dvd Calendar'!$W$572*1000000000+ISNUMBER('Dvd Calendar'!$W$575)*100000000+('Dvd Calendar'!$W$577=SPECIAL_LBL)*10000000+(N('Dvd Calendar'!$W$571)&gt;0)*(N('Dvd Calendar'!$W$571)&lt;=VAL_SERIAL)*1000000+52*1000+19))</f>
        <v/>
      </c>
      <c r="EX63" s="121">
        <f>IF(N('Dvd Calendar'!$X$572)=0,"",IF(('Dvd Calendar'!$X$572&gt;=GRID_FROM)*('Dvd Calendar'!$X$572&lt;=GRID_TO)*((('Dvd Calendar'!$X$572&lt;=VAL_DATE)+(COUNTIF('Dvd Calendar'!$E$579:$AR$579,'Dvd Calendar'!$X$572)=0))&gt;0)=0,"",'Dvd Calendar'!$X$572*1000000000+ISNUMBER('Dvd Calendar'!$X$575)*100000000+('Dvd Calendar'!$X$577=SPECIAL_LBL)*10000000+(N('Dvd Calendar'!$X$571)&gt;0)*(N('Dvd Calendar'!$X$571)&lt;=VAL_SERIAL)*1000000+52*1000+20))</f>
        <v/>
      </c>
      <c r="EY63" s="121">
        <f>IF(N('Dvd Calendar'!$Y$572)=0,"",IF(('Dvd Calendar'!$Y$572&gt;=GRID_FROM)*('Dvd Calendar'!$Y$572&lt;=GRID_TO)*((('Dvd Calendar'!$Y$572&lt;=VAL_DATE)+(COUNTIF('Dvd Calendar'!$E$579:$AR$579,'Dvd Calendar'!$Y$572)=0))&gt;0)=0,"",'Dvd Calendar'!$Y$572*1000000000+ISNUMBER('Dvd Calendar'!$Y$575)*100000000+('Dvd Calendar'!$Y$577=SPECIAL_LBL)*10000000+(N('Dvd Calendar'!$Y$571)&gt;0)*(N('Dvd Calendar'!$Y$571)&lt;=VAL_SERIAL)*1000000+52*1000+21))</f>
        <v/>
      </c>
      <c r="EZ63" s="121">
        <f>IF(N('Dvd Calendar'!$Z$572)=0,"",IF(('Dvd Calendar'!$Z$572&gt;=GRID_FROM)*('Dvd Calendar'!$Z$572&lt;=GRID_TO)*((('Dvd Calendar'!$Z$572&lt;=VAL_DATE)+(COUNTIF('Dvd Calendar'!$E$579:$AR$579,'Dvd Calendar'!$Z$572)=0))&gt;0)=0,"",'Dvd Calendar'!$Z$572*1000000000+ISNUMBER('Dvd Calendar'!$Z$575)*100000000+('Dvd Calendar'!$Z$577=SPECIAL_LBL)*10000000+(N('Dvd Calendar'!$Z$571)&gt;0)*(N('Dvd Calendar'!$Z$571)&lt;=VAL_SERIAL)*1000000+52*1000+22))</f>
        <v/>
      </c>
      <c r="FA63" s="121">
        <f>IF(N('Dvd Calendar'!$AA$572)=0,"",IF(('Dvd Calendar'!$AA$572&gt;=GRID_FROM)*('Dvd Calendar'!$AA$572&lt;=GRID_TO)*((('Dvd Calendar'!$AA$572&lt;=VAL_DATE)+(COUNTIF('Dvd Calendar'!$E$579:$AR$579,'Dvd Calendar'!$AA$572)=0))&gt;0)=0,"",'Dvd Calendar'!$AA$572*1000000000+ISNUMBER('Dvd Calendar'!$AA$575)*100000000+('Dvd Calendar'!$AA$577=SPECIAL_LBL)*10000000+(N('Dvd Calendar'!$AA$571)&gt;0)*(N('Dvd Calendar'!$AA$571)&lt;=VAL_SERIAL)*1000000+52*1000+23))</f>
        <v/>
      </c>
      <c r="FB63" s="121">
        <f>IF(N('Dvd Calendar'!$AB$572)=0,"",IF(('Dvd Calendar'!$AB$572&gt;=GRID_FROM)*('Dvd Calendar'!$AB$572&lt;=GRID_TO)*((('Dvd Calendar'!$AB$572&lt;=VAL_DATE)+(COUNTIF('Dvd Calendar'!$E$579:$AR$579,'Dvd Calendar'!$AB$572)=0))&gt;0)=0,"",'Dvd Calendar'!$AB$572*1000000000+ISNUMBER('Dvd Calendar'!$AB$575)*100000000+('Dvd Calendar'!$AB$577=SPECIAL_LBL)*10000000+(N('Dvd Calendar'!$AB$571)&gt;0)*(N('Dvd Calendar'!$AB$571)&lt;=VAL_SERIAL)*1000000+52*1000+24))</f>
        <v/>
      </c>
      <c r="FC63" s="121">
        <f>IF(N('Dvd Calendar'!$AC$572)=0,"",IF(('Dvd Calendar'!$AC$572&gt;=GRID_FROM)*('Dvd Calendar'!$AC$572&lt;=GRID_TO)*((('Dvd Calendar'!$AC$572&lt;=VAL_DATE)+(COUNTIF('Dvd Calendar'!$E$579:$AR$579,'Dvd Calendar'!$AC$572)=0))&gt;0)=0,"",'Dvd Calendar'!$AC$572*1000000000+ISNUMBER('Dvd Calendar'!$AC$575)*100000000+('Dvd Calendar'!$AC$577=SPECIAL_LBL)*10000000+(N('Dvd Calendar'!$AC$571)&gt;0)*(N('Dvd Calendar'!$AC$571)&lt;=VAL_SERIAL)*1000000+52*1000+25))</f>
        <v/>
      </c>
      <c r="FD63" s="121">
        <f>IF(N('Dvd Calendar'!$AD$572)=0,"",IF(('Dvd Calendar'!$AD$572&gt;=GRID_FROM)*('Dvd Calendar'!$AD$572&lt;=GRID_TO)*((('Dvd Calendar'!$AD$572&lt;=VAL_DATE)+(COUNTIF('Dvd Calendar'!$E$579:$AR$579,'Dvd Calendar'!$AD$572)=0))&gt;0)=0,"",'Dvd Calendar'!$AD$572*1000000000+ISNUMBER('Dvd Calendar'!$AD$575)*100000000+('Dvd Calendar'!$AD$577=SPECIAL_LBL)*10000000+(N('Dvd Calendar'!$AD$571)&gt;0)*(N('Dvd Calendar'!$AD$571)&lt;=VAL_SERIAL)*1000000+52*1000+26))</f>
        <v/>
      </c>
      <c r="FE63" s="121">
        <f>IF(N('Dvd Calendar'!$AE$572)=0,"",IF(('Dvd Calendar'!$AE$572&gt;=GRID_FROM)*('Dvd Calendar'!$AE$572&lt;=GRID_TO)*((('Dvd Calendar'!$AE$572&lt;=VAL_DATE)+(COUNTIF('Dvd Calendar'!$E$579:$AR$579,'Dvd Calendar'!$AE$572)=0))&gt;0)=0,"",'Dvd Calendar'!$AE$572*1000000000+ISNUMBER('Dvd Calendar'!$AE$575)*100000000+('Dvd Calendar'!$AE$577=SPECIAL_LBL)*10000000+(N('Dvd Calendar'!$AE$571)&gt;0)*(N('Dvd Calendar'!$AE$571)&lt;=VAL_SERIAL)*1000000+52*1000+27))</f>
        <v/>
      </c>
      <c r="FF63" s="121">
        <f>IF(N('Dvd Calendar'!$AF$572)=0,"",IF(('Dvd Calendar'!$AF$572&gt;=GRID_FROM)*('Dvd Calendar'!$AF$572&lt;=GRID_TO)*((('Dvd Calendar'!$AF$572&lt;=VAL_DATE)+(COUNTIF('Dvd Calendar'!$E$579:$AR$579,'Dvd Calendar'!$AF$572)=0))&gt;0)=0,"",'Dvd Calendar'!$AF$572*1000000000+ISNUMBER('Dvd Calendar'!$AF$575)*100000000+('Dvd Calendar'!$AF$577=SPECIAL_LBL)*10000000+(N('Dvd Calendar'!$AF$571)&gt;0)*(N('Dvd Calendar'!$AF$571)&lt;=VAL_SERIAL)*1000000+52*1000+28))</f>
        <v/>
      </c>
      <c r="FG63" s="121">
        <f>IF(N('Dvd Calendar'!$AG$572)=0,"",IF(('Dvd Calendar'!$AG$572&gt;=GRID_FROM)*('Dvd Calendar'!$AG$572&lt;=GRID_TO)*((('Dvd Calendar'!$AG$572&lt;=VAL_DATE)+(COUNTIF('Dvd Calendar'!$E$579:$AR$579,'Dvd Calendar'!$AG$572)=0))&gt;0)=0,"",'Dvd Calendar'!$AG$572*1000000000+ISNUMBER('Dvd Calendar'!$AG$575)*100000000+('Dvd Calendar'!$AG$577=SPECIAL_LBL)*10000000+(N('Dvd Calendar'!$AG$571)&gt;0)*(N('Dvd Calendar'!$AG$571)&lt;=VAL_SERIAL)*1000000+52*1000+29))</f>
        <v/>
      </c>
      <c r="FH63" s="121">
        <f>IF(N('Dvd Calendar'!$AH$572)=0,"",IF(('Dvd Calendar'!$AH$572&gt;=GRID_FROM)*('Dvd Calendar'!$AH$572&lt;=GRID_TO)*((('Dvd Calendar'!$AH$572&lt;=VAL_DATE)+(COUNTIF('Dvd Calendar'!$E$579:$AR$579,'Dvd Calendar'!$AH$572)=0))&gt;0)=0,"",'Dvd Calendar'!$AH$572*1000000000+ISNUMBER('Dvd Calendar'!$AH$575)*100000000+('Dvd Calendar'!$AH$577=SPECIAL_LBL)*10000000+(N('Dvd Calendar'!$AH$571)&gt;0)*(N('Dvd Calendar'!$AH$571)&lt;=VAL_SERIAL)*1000000+52*1000+30))</f>
        <v/>
      </c>
      <c r="FI63" s="121">
        <f>IF(N('Dvd Calendar'!$AI$572)=0,"",IF(('Dvd Calendar'!$AI$572&gt;=GRID_FROM)*('Dvd Calendar'!$AI$572&lt;=GRID_TO)*((('Dvd Calendar'!$AI$572&lt;=VAL_DATE)+(COUNTIF('Dvd Calendar'!$E$579:$AR$579,'Dvd Calendar'!$AI$572)=0))&gt;0)=0,"",'Dvd Calendar'!$AI$572*1000000000+ISNUMBER('Dvd Calendar'!$AI$575)*100000000+('Dvd Calendar'!$AI$577=SPECIAL_LBL)*10000000+(N('Dvd Calendar'!$AI$571)&gt;0)*(N('Dvd Calendar'!$AI$571)&lt;=VAL_SERIAL)*1000000+52*1000+31))</f>
        <v/>
      </c>
      <c r="FJ63" s="121">
        <f>IF(N('Dvd Calendar'!$AJ$572)=0,"",IF(('Dvd Calendar'!$AJ$572&gt;=GRID_FROM)*('Dvd Calendar'!$AJ$572&lt;=GRID_TO)*((('Dvd Calendar'!$AJ$572&lt;=VAL_DATE)+(COUNTIF('Dvd Calendar'!$E$579:$AR$579,'Dvd Calendar'!$AJ$572)=0))&gt;0)=0,"",'Dvd Calendar'!$AJ$572*1000000000+ISNUMBER('Dvd Calendar'!$AJ$575)*100000000+('Dvd Calendar'!$AJ$577=SPECIAL_LBL)*10000000+(N('Dvd Calendar'!$AJ$571)&gt;0)*(N('Dvd Calendar'!$AJ$571)&lt;=VAL_SERIAL)*1000000+52*1000+32))</f>
        <v/>
      </c>
      <c r="FK63" s="121">
        <f>IF(N('Dvd Calendar'!$AK$572)=0,"",IF(('Dvd Calendar'!$AK$572&gt;=GRID_FROM)*('Dvd Calendar'!$AK$572&lt;=GRID_TO)*((('Dvd Calendar'!$AK$572&lt;=VAL_DATE)+(COUNTIF('Dvd Calendar'!$E$579:$AR$579,'Dvd Calendar'!$AK$572)=0))&gt;0)=0,"",'Dvd Calendar'!$AK$572*1000000000+ISNUMBER('Dvd Calendar'!$AK$575)*100000000+('Dvd Calendar'!$AK$577=SPECIAL_LBL)*10000000+(N('Dvd Calendar'!$AK$571)&gt;0)*(N('Dvd Calendar'!$AK$571)&lt;=VAL_SERIAL)*1000000+52*1000+33))</f>
        <v/>
      </c>
      <c r="FL63" s="121">
        <f>IF(N('Dvd Calendar'!$AL$572)=0,"",IF(('Dvd Calendar'!$AL$572&gt;=GRID_FROM)*('Dvd Calendar'!$AL$572&lt;=GRID_TO)*((('Dvd Calendar'!$AL$572&lt;=VAL_DATE)+(COUNTIF('Dvd Calendar'!$E$579:$AR$579,'Dvd Calendar'!$AL$572)=0))&gt;0)=0,"",'Dvd Calendar'!$AL$572*1000000000+ISNUMBER('Dvd Calendar'!$AL$575)*100000000+('Dvd Calendar'!$AL$577=SPECIAL_LBL)*10000000+(N('Dvd Calendar'!$AL$571)&gt;0)*(N('Dvd Calendar'!$AL$571)&lt;=VAL_SERIAL)*1000000+52*1000+34))</f>
        <v/>
      </c>
      <c r="FM63" s="121">
        <f>IF(N('Dvd Calendar'!$AM$572)=0,"",IF(('Dvd Calendar'!$AM$572&gt;=GRID_FROM)*('Dvd Calendar'!$AM$572&lt;=GRID_TO)*((('Dvd Calendar'!$AM$572&lt;=VAL_DATE)+(COUNTIF('Dvd Calendar'!$E$579:$AR$579,'Dvd Calendar'!$AM$572)=0))&gt;0)=0,"",'Dvd Calendar'!$AM$572*1000000000+ISNUMBER('Dvd Calendar'!$AM$575)*100000000+('Dvd Calendar'!$AM$577=SPECIAL_LBL)*10000000+(N('Dvd Calendar'!$AM$571)&gt;0)*(N('Dvd Calendar'!$AM$571)&lt;=VAL_SERIAL)*1000000+52*1000+35))</f>
        <v/>
      </c>
      <c r="FN63" s="121">
        <f>IF(N('Dvd Calendar'!$AN$572)=0,"",IF(('Dvd Calendar'!$AN$572&gt;=GRID_FROM)*('Dvd Calendar'!$AN$572&lt;=GRID_TO)*((('Dvd Calendar'!$AN$572&lt;=VAL_DATE)+(COUNTIF('Dvd Calendar'!$E$579:$AR$579,'Dvd Calendar'!$AN$572)=0))&gt;0)=0,"",'Dvd Calendar'!$AN$572*1000000000+ISNUMBER('Dvd Calendar'!$AN$575)*100000000+('Dvd Calendar'!$AN$577=SPECIAL_LBL)*10000000+(N('Dvd Calendar'!$AN$571)&gt;0)*(N('Dvd Calendar'!$AN$571)&lt;=VAL_SERIAL)*1000000+52*1000+36))</f>
        <v/>
      </c>
      <c r="FO63" s="121">
        <f>IF(N('Dvd Calendar'!$AO$572)=0,"",IF(('Dvd Calendar'!$AO$572&gt;=GRID_FROM)*('Dvd Calendar'!$AO$572&lt;=GRID_TO)*((('Dvd Calendar'!$AO$572&lt;=VAL_DATE)+(COUNTIF('Dvd Calendar'!$E$579:$AR$579,'Dvd Calendar'!$AO$572)=0))&gt;0)=0,"",'Dvd Calendar'!$AO$572*1000000000+ISNUMBER('Dvd Calendar'!$AO$575)*100000000+('Dvd Calendar'!$AO$577=SPECIAL_LBL)*10000000+(N('Dvd Calendar'!$AO$571)&gt;0)*(N('Dvd Calendar'!$AO$571)&lt;=VAL_SERIAL)*1000000+52*1000+37))</f>
        <v/>
      </c>
      <c r="FP63" s="121">
        <f>IF(N('Dvd Calendar'!$AP$572)=0,"",IF(('Dvd Calendar'!$AP$572&gt;=GRID_FROM)*('Dvd Calendar'!$AP$572&lt;=GRID_TO)*((('Dvd Calendar'!$AP$572&lt;=VAL_DATE)+(COUNTIF('Dvd Calendar'!$E$579:$AR$579,'Dvd Calendar'!$AP$572)=0))&gt;0)=0,"",'Dvd Calendar'!$AP$572*1000000000+ISNUMBER('Dvd Calendar'!$AP$575)*100000000+('Dvd Calendar'!$AP$577=SPECIAL_LBL)*10000000+(N('Dvd Calendar'!$AP$571)&gt;0)*(N('Dvd Calendar'!$AP$571)&lt;=VAL_SERIAL)*1000000+52*1000+38))</f>
        <v/>
      </c>
      <c r="FQ63" s="121">
        <f>IF(N('Dvd Calendar'!$AQ$572)=0,"",IF(('Dvd Calendar'!$AQ$572&gt;=GRID_FROM)*('Dvd Calendar'!$AQ$572&lt;=GRID_TO)*((('Dvd Calendar'!$AQ$572&lt;=VAL_DATE)+(COUNTIF('Dvd Calendar'!$E$579:$AR$579,'Dvd Calendar'!$AQ$572)=0))&gt;0)=0,"",'Dvd Calendar'!$AQ$572*1000000000+ISNUMBER('Dvd Calendar'!$AQ$575)*100000000+('Dvd Calendar'!$AQ$577=SPECIAL_LBL)*10000000+(N('Dvd Calendar'!$AQ$571)&gt;0)*(N('Dvd Calendar'!$AQ$571)&lt;=VAL_SERIAL)*1000000+52*1000+39))</f>
        <v/>
      </c>
      <c r="FR63" s="121">
        <f>IF(N('Dvd Calendar'!$AR$572)=0,"",IF(('Dvd Calendar'!$AR$572&gt;=GRID_FROM)*('Dvd Calendar'!$AR$572&lt;=GRID_TO)*((('Dvd Calendar'!$AR$572&lt;=VAL_DATE)+(COUNTIF('Dvd Calendar'!$E$579:$AR$579,'Dvd Calendar'!$AR$572)=0))&gt;0)=0,"",'Dvd Calendar'!$AR$572*1000000000+ISNUMBER('Dvd Calendar'!$AR$575)*100000000+('Dvd Calendar'!$AR$577=SPECIAL_LBL)*10000000+(N('Dvd Calendar'!$AR$571)&gt;0)*(N('Dvd Calendar'!$AR$571)&lt;=VAL_SERIAL)*1000000+52*1000+40))</f>
        <v/>
      </c>
      <c r="FS63" s="121">
        <f>IF(N('Dvd Calendar'!$E$579)=0,"",IF(('Dvd Calendar'!$E$579&gt;=GRID_FROM)*('Dvd Calendar'!$E$579&lt;=GRID_TO)*('Dvd Calendar'!$E$579&gt;VAL_DATE)=0,"",'Dvd Calendar'!$E$579*1000000000+ISNUMBER('Dvd Calendar'!$E$580)*100000000+0*10000000+(N('Dvd Calendar'!$E$578)&gt;0)*(N('Dvd Calendar'!$E$578)&lt;=VAL_SERIAL)*1000000+52*1000+41))</f>
        <v/>
      </c>
      <c r="FT63" s="121">
        <f>IF(N('Dvd Calendar'!$F$579)=0,"",IF(('Dvd Calendar'!$F$579&gt;=GRID_FROM)*('Dvd Calendar'!$F$579&lt;=GRID_TO)*('Dvd Calendar'!$F$579&gt;VAL_DATE)=0,"",'Dvd Calendar'!$F$579*1000000000+ISNUMBER('Dvd Calendar'!$F$580)*100000000+0*10000000+(N('Dvd Calendar'!$F$578)&gt;0)*(N('Dvd Calendar'!$F$578)&lt;=VAL_SERIAL)*1000000+52*1000+42))</f>
        <v/>
      </c>
      <c r="FU63" s="121">
        <f>IF(N('Dvd Calendar'!$G$579)=0,"",IF(('Dvd Calendar'!$G$579&gt;=GRID_FROM)*('Dvd Calendar'!$G$579&lt;=GRID_TO)*('Dvd Calendar'!$G$579&gt;VAL_DATE)=0,"",'Dvd Calendar'!$G$579*1000000000+ISNUMBER('Dvd Calendar'!$G$580)*100000000+0*10000000+(N('Dvd Calendar'!$G$578)&gt;0)*(N('Dvd Calendar'!$G$578)&lt;=VAL_SERIAL)*1000000+52*1000+43))</f>
        <v/>
      </c>
      <c r="FV63" s="121">
        <f>IF(N('Dvd Calendar'!$H$579)=0,"",IF(('Dvd Calendar'!$H$579&gt;=GRID_FROM)*('Dvd Calendar'!$H$579&lt;=GRID_TO)*('Dvd Calendar'!$H$579&gt;VAL_DATE)=0,"",'Dvd Calendar'!$H$579*1000000000+ISNUMBER('Dvd Calendar'!$H$580)*100000000+0*10000000+(N('Dvd Calendar'!$H$578)&gt;0)*(N('Dvd Calendar'!$H$578)&lt;=VAL_SERIAL)*1000000+52*1000+44))</f>
        <v/>
      </c>
      <c r="FW63" s="121">
        <f>IF(N('Dvd Calendar'!$I$579)=0,"",IF(('Dvd Calendar'!$I$579&gt;=GRID_FROM)*('Dvd Calendar'!$I$579&lt;=GRID_TO)*('Dvd Calendar'!$I$579&gt;VAL_DATE)=0,"",'Dvd Calendar'!$I$579*1000000000+ISNUMBER('Dvd Calendar'!$I$580)*100000000+0*10000000+(N('Dvd Calendar'!$I$578)&gt;0)*(N('Dvd Calendar'!$I$578)&lt;=VAL_SERIAL)*1000000+52*1000+45))</f>
        <v/>
      </c>
      <c r="FX63" s="121">
        <f>IF(N('Dvd Calendar'!$J$579)=0,"",IF(('Dvd Calendar'!$J$579&gt;=GRID_FROM)*('Dvd Calendar'!$J$579&lt;=GRID_TO)*('Dvd Calendar'!$J$579&gt;VAL_DATE)=0,"",'Dvd Calendar'!$J$579*1000000000+ISNUMBER('Dvd Calendar'!$J$580)*100000000+0*10000000+(N('Dvd Calendar'!$J$578)&gt;0)*(N('Dvd Calendar'!$J$578)&lt;=VAL_SERIAL)*1000000+52*1000+46))</f>
        <v/>
      </c>
      <c r="FY63" s="121">
        <f>IF(N('Dvd Calendar'!$K$579)=0,"",IF(('Dvd Calendar'!$K$579&gt;=GRID_FROM)*('Dvd Calendar'!$K$579&lt;=GRID_TO)*('Dvd Calendar'!$K$579&gt;VAL_DATE)=0,"",'Dvd Calendar'!$K$579*1000000000+ISNUMBER('Dvd Calendar'!$K$580)*100000000+0*10000000+(N('Dvd Calendar'!$K$578)&gt;0)*(N('Dvd Calendar'!$K$578)&lt;=VAL_SERIAL)*1000000+52*1000+47))</f>
        <v/>
      </c>
      <c r="FZ63" s="121">
        <f>IF(N('Dvd Calendar'!$L$579)=0,"",IF(('Dvd Calendar'!$L$579&gt;=GRID_FROM)*('Dvd Calendar'!$L$579&lt;=GRID_TO)*('Dvd Calendar'!$L$579&gt;VAL_DATE)=0,"",'Dvd Calendar'!$L$579*1000000000+ISNUMBER('Dvd Calendar'!$L$580)*100000000+0*10000000+(N('Dvd Calendar'!$L$578)&gt;0)*(N('Dvd Calendar'!$L$578)&lt;=VAL_SERIAL)*1000000+52*1000+48))</f>
        <v/>
      </c>
      <c r="GA63" s="121">
        <f>IF(N('Dvd Calendar'!$M$579)=0,"",IF(('Dvd Calendar'!$M$579&gt;=GRID_FROM)*('Dvd Calendar'!$M$579&lt;=GRID_TO)*('Dvd Calendar'!$M$579&gt;VAL_DATE)=0,"",'Dvd Calendar'!$M$579*1000000000+ISNUMBER('Dvd Calendar'!$M$580)*100000000+0*10000000+(N('Dvd Calendar'!$M$578)&gt;0)*(N('Dvd Calendar'!$M$578)&lt;=VAL_SERIAL)*1000000+52*1000+49))</f>
        <v/>
      </c>
      <c r="GB63" s="121">
        <f>IF(N('Dvd Calendar'!$N$579)=0,"",IF(('Dvd Calendar'!$N$579&gt;=GRID_FROM)*('Dvd Calendar'!$N$579&lt;=GRID_TO)*('Dvd Calendar'!$N$579&gt;VAL_DATE)=0,"",'Dvd Calendar'!$N$579*1000000000+ISNUMBER('Dvd Calendar'!$N$580)*100000000+0*10000000+(N('Dvd Calendar'!$N$578)&gt;0)*(N('Dvd Calendar'!$N$578)&lt;=VAL_SERIAL)*1000000+52*1000+50))</f>
        <v/>
      </c>
      <c r="GC63" s="121">
        <f>IF(N('Dvd Calendar'!$O$579)=0,"",IF(('Dvd Calendar'!$O$579&gt;=GRID_FROM)*('Dvd Calendar'!$O$579&lt;=GRID_TO)*('Dvd Calendar'!$O$579&gt;VAL_DATE)=0,"",'Dvd Calendar'!$O$579*1000000000+ISNUMBER('Dvd Calendar'!$O$580)*100000000+0*10000000+(N('Dvd Calendar'!$O$578)&gt;0)*(N('Dvd Calendar'!$O$578)&lt;=VAL_SERIAL)*1000000+52*1000+51))</f>
        <v/>
      </c>
      <c r="GD63" s="121">
        <f>IF(N('Dvd Calendar'!$P$579)=0,"",IF(('Dvd Calendar'!$P$579&gt;=GRID_FROM)*('Dvd Calendar'!$P$579&lt;=GRID_TO)*('Dvd Calendar'!$P$579&gt;VAL_DATE)=0,"",'Dvd Calendar'!$P$579*1000000000+ISNUMBER('Dvd Calendar'!$P$580)*100000000+0*10000000+(N('Dvd Calendar'!$P$578)&gt;0)*(N('Dvd Calendar'!$P$578)&lt;=VAL_SERIAL)*1000000+52*1000+52))</f>
        <v/>
      </c>
      <c r="GE63" s="121">
        <f>IF(N('Dvd Calendar'!$Q$579)=0,"",IF(('Dvd Calendar'!$Q$579&gt;=GRID_FROM)*('Dvd Calendar'!$Q$579&lt;=GRID_TO)*('Dvd Calendar'!$Q$579&gt;VAL_DATE)=0,"",'Dvd Calendar'!$Q$579*1000000000+ISNUMBER('Dvd Calendar'!$Q$580)*100000000+0*10000000+(N('Dvd Calendar'!$Q$578)&gt;0)*(N('Dvd Calendar'!$Q$578)&lt;=VAL_SERIAL)*1000000+52*1000+53))</f>
        <v/>
      </c>
      <c r="GF63" s="121">
        <f>IF(N('Dvd Calendar'!$R$579)=0,"",IF(('Dvd Calendar'!$R$579&gt;=GRID_FROM)*('Dvd Calendar'!$R$579&lt;=GRID_TO)*('Dvd Calendar'!$R$579&gt;VAL_DATE)=0,"",'Dvd Calendar'!$R$579*1000000000+ISNUMBER('Dvd Calendar'!$R$580)*100000000+0*10000000+(N('Dvd Calendar'!$R$578)&gt;0)*(N('Dvd Calendar'!$R$578)&lt;=VAL_SERIAL)*1000000+52*1000+54))</f>
        <v/>
      </c>
      <c r="GG63" s="121">
        <f>IF(N('Dvd Calendar'!$S$579)=0,"",IF(('Dvd Calendar'!$S$579&gt;=GRID_FROM)*('Dvd Calendar'!$S$579&lt;=GRID_TO)*('Dvd Calendar'!$S$579&gt;VAL_DATE)=0,"",'Dvd Calendar'!$S$579*1000000000+ISNUMBER('Dvd Calendar'!$S$580)*100000000+0*10000000+(N('Dvd Calendar'!$S$578)&gt;0)*(N('Dvd Calendar'!$S$578)&lt;=VAL_SERIAL)*1000000+52*1000+55))</f>
        <v/>
      </c>
      <c r="GH63" s="121">
        <f>IF(N('Dvd Calendar'!$T$579)=0,"",IF(('Dvd Calendar'!$T$579&gt;=GRID_FROM)*('Dvd Calendar'!$T$579&lt;=GRID_TO)*('Dvd Calendar'!$T$579&gt;VAL_DATE)=0,"",'Dvd Calendar'!$T$579*1000000000+ISNUMBER('Dvd Calendar'!$T$580)*100000000+0*10000000+(N('Dvd Calendar'!$T$578)&gt;0)*(N('Dvd Calendar'!$T$578)&lt;=VAL_SERIAL)*1000000+52*1000+56))</f>
        <v/>
      </c>
      <c r="GI63" s="121">
        <f>IF(N('Dvd Calendar'!$U$579)=0,"",IF(('Dvd Calendar'!$U$579&gt;=GRID_FROM)*('Dvd Calendar'!$U$579&lt;=GRID_TO)*('Dvd Calendar'!$U$579&gt;VAL_DATE)=0,"",'Dvd Calendar'!$U$579*1000000000+ISNUMBER('Dvd Calendar'!$U$580)*100000000+0*10000000+(N('Dvd Calendar'!$U$578)&gt;0)*(N('Dvd Calendar'!$U$578)&lt;=VAL_SERIAL)*1000000+52*1000+57))</f>
        <v/>
      </c>
      <c r="GJ63" s="121">
        <f>IF(N('Dvd Calendar'!$V$579)=0,"",IF(('Dvd Calendar'!$V$579&gt;=GRID_FROM)*('Dvd Calendar'!$V$579&lt;=GRID_TO)*('Dvd Calendar'!$V$579&gt;VAL_DATE)=0,"",'Dvd Calendar'!$V$579*1000000000+ISNUMBER('Dvd Calendar'!$V$580)*100000000+0*10000000+(N('Dvd Calendar'!$V$578)&gt;0)*(N('Dvd Calendar'!$V$578)&lt;=VAL_SERIAL)*1000000+52*1000+58))</f>
        <v/>
      </c>
      <c r="GK63" s="121">
        <f>IF(N('Dvd Calendar'!$W$579)=0,"",IF(('Dvd Calendar'!$W$579&gt;=GRID_FROM)*('Dvd Calendar'!$W$579&lt;=GRID_TO)*('Dvd Calendar'!$W$579&gt;VAL_DATE)=0,"",'Dvd Calendar'!$W$579*1000000000+ISNUMBER('Dvd Calendar'!$W$580)*100000000+0*10000000+(N('Dvd Calendar'!$W$578)&gt;0)*(N('Dvd Calendar'!$W$578)&lt;=VAL_SERIAL)*1000000+52*1000+59))</f>
        <v/>
      </c>
      <c r="GL63" s="121">
        <f>IF(N('Dvd Calendar'!$X$579)=0,"",IF(('Dvd Calendar'!$X$579&gt;=GRID_FROM)*('Dvd Calendar'!$X$579&lt;=GRID_TO)*('Dvd Calendar'!$X$579&gt;VAL_DATE)=0,"",'Dvd Calendar'!$X$579*1000000000+ISNUMBER('Dvd Calendar'!$X$580)*100000000+0*10000000+(N('Dvd Calendar'!$X$578)&gt;0)*(N('Dvd Calendar'!$X$578)&lt;=VAL_SERIAL)*1000000+52*1000+60))</f>
        <v/>
      </c>
      <c r="GM63" s="121">
        <f>IF(N('Dvd Calendar'!$Y$579)=0,"",IF(('Dvd Calendar'!$Y$579&gt;=GRID_FROM)*('Dvd Calendar'!$Y$579&lt;=GRID_TO)*('Dvd Calendar'!$Y$579&gt;VAL_DATE)=0,"",'Dvd Calendar'!$Y$579*1000000000+ISNUMBER('Dvd Calendar'!$Y$580)*100000000+0*10000000+(N('Dvd Calendar'!$Y$578)&gt;0)*(N('Dvd Calendar'!$Y$578)&lt;=VAL_SERIAL)*1000000+52*1000+61))</f>
        <v/>
      </c>
      <c r="GN63" s="121">
        <f>IF(N('Dvd Calendar'!$Z$579)=0,"",IF(('Dvd Calendar'!$Z$579&gt;=GRID_FROM)*('Dvd Calendar'!$Z$579&lt;=GRID_TO)*('Dvd Calendar'!$Z$579&gt;VAL_DATE)=0,"",'Dvd Calendar'!$Z$579*1000000000+ISNUMBER('Dvd Calendar'!$Z$580)*100000000+0*10000000+(N('Dvd Calendar'!$Z$578)&gt;0)*(N('Dvd Calendar'!$Z$578)&lt;=VAL_SERIAL)*1000000+52*1000+62))</f>
        <v/>
      </c>
      <c r="GO63" s="121">
        <f>IF(N('Dvd Calendar'!$AA$579)=0,"",IF(('Dvd Calendar'!$AA$579&gt;=GRID_FROM)*('Dvd Calendar'!$AA$579&lt;=GRID_TO)*('Dvd Calendar'!$AA$579&gt;VAL_DATE)=0,"",'Dvd Calendar'!$AA$579*1000000000+ISNUMBER('Dvd Calendar'!$AA$580)*100000000+0*10000000+(N('Dvd Calendar'!$AA$578)&gt;0)*(N('Dvd Calendar'!$AA$578)&lt;=VAL_SERIAL)*1000000+52*1000+63))</f>
        <v/>
      </c>
      <c r="GP63" s="121">
        <f>IF(N('Dvd Calendar'!$AB$579)=0,"",IF(('Dvd Calendar'!$AB$579&gt;=GRID_FROM)*('Dvd Calendar'!$AB$579&lt;=GRID_TO)*('Dvd Calendar'!$AB$579&gt;VAL_DATE)=0,"",'Dvd Calendar'!$AB$579*1000000000+ISNUMBER('Dvd Calendar'!$AB$580)*100000000+0*10000000+(N('Dvd Calendar'!$AB$578)&gt;0)*(N('Dvd Calendar'!$AB$578)&lt;=VAL_SERIAL)*1000000+52*1000+64))</f>
        <v/>
      </c>
      <c r="GQ63" s="121">
        <f>IF(N('Dvd Calendar'!$AC$579)=0,"",IF(('Dvd Calendar'!$AC$579&gt;=GRID_FROM)*('Dvd Calendar'!$AC$579&lt;=GRID_TO)*('Dvd Calendar'!$AC$579&gt;VAL_DATE)=0,"",'Dvd Calendar'!$AC$579*1000000000+ISNUMBER('Dvd Calendar'!$AC$580)*100000000+0*10000000+(N('Dvd Calendar'!$AC$578)&gt;0)*(N('Dvd Calendar'!$AC$578)&lt;=VAL_SERIAL)*1000000+52*1000+65))</f>
        <v/>
      </c>
    </row>
    <row r="64">
      <c r="B64" s="2">
        <f>IF(HSI!$C$59="","",HSI!$C$59)</f>
        <v/>
      </c>
      <c r="C64" s="161">
        <f>IF(EE64="","",IF(ISNUMBER('Dvd Calendar'!$E$586)=FALSE,"",IF((('Dvd Calendar'!$E$588=TYPE1)*(TYPE1&lt;&gt;"")+('Dvd Calendar'!$E$588=TYPE2)*(TYPE2&lt;&gt;"")+('Dvd Calendar'!$E$588=TYPE3)*(TYPE3&lt;&gt;"")+('Dvd Calendar'!$E$588=TYPE4)*(TYPE4&lt;&gt;"")+('Dvd Calendar'!$E$588=SPECIAL_LBL)*(INC_SPECIALS="Y"))=0,"",'Dvd Calendar'!$E$586)))</f>
        <v/>
      </c>
      <c r="D64" s="161">
        <f>IF(EF64="","",IF(ISNUMBER('Dvd Calendar'!$F$586)=FALSE,"",IF((('Dvd Calendar'!$F$588=TYPE1)*(TYPE1&lt;&gt;"")+('Dvd Calendar'!$F$588=TYPE2)*(TYPE2&lt;&gt;"")+('Dvd Calendar'!$F$588=TYPE3)*(TYPE3&lt;&gt;"")+('Dvd Calendar'!$F$588=TYPE4)*(TYPE4&lt;&gt;"")+('Dvd Calendar'!$F$588=SPECIAL_LBL)*(INC_SPECIALS="Y"))=0,"",'Dvd Calendar'!$F$586)))</f>
        <v/>
      </c>
      <c r="E64" s="161">
        <f>IF(EG64="","",IF(ISNUMBER('Dvd Calendar'!$G$586)=FALSE,"",IF((('Dvd Calendar'!$G$588=TYPE1)*(TYPE1&lt;&gt;"")+('Dvd Calendar'!$G$588=TYPE2)*(TYPE2&lt;&gt;"")+('Dvd Calendar'!$G$588=TYPE3)*(TYPE3&lt;&gt;"")+('Dvd Calendar'!$G$588=TYPE4)*(TYPE4&lt;&gt;"")+('Dvd Calendar'!$G$588=SPECIAL_LBL)*(INC_SPECIALS="Y"))=0,"",'Dvd Calendar'!$G$586)))</f>
        <v/>
      </c>
      <c r="F64" s="161">
        <f>IF(EH64="","",IF(ISNUMBER('Dvd Calendar'!$H$586)=FALSE,"",IF((('Dvd Calendar'!$H$588=TYPE1)*(TYPE1&lt;&gt;"")+('Dvd Calendar'!$H$588=TYPE2)*(TYPE2&lt;&gt;"")+('Dvd Calendar'!$H$588=TYPE3)*(TYPE3&lt;&gt;"")+('Dvd Calendar'!$H$588=TYPE4)*(TYPE4&lt;&gt;"")+('Dvd Calendar'!$H$588=SPECIAL_LBL)*(INC_SPECIALS="Y"))=0,"",'Dvd Calendar'!$H$586)))</f>
        <v/>
      </c>
      <c r="G64" s="161">
        <f>IF(EI64="","",IF(ISNUMBER('Dvd Calendar'!$I$586)=FALSE,"",IF((('Dvd Calendar'!$I$588=TYPE1)*(TYPE1&lt;&gt;"")+('Dvd Calendar'!$I$588=TYPE2)*(TYPE2&lt;&gt;"")+('Dvd Calendar'!$I$588=TYPE3)*(TYPE3&lt;&gt;"")+('Dvd Calendar'!$I$588=TYPE4)*(TYPE4&lt;&gt;"")+('Dvd Calendar'!$I$588=SPECIAL_LBL)*(INC_SPECIALS="Y"))=0,"",'Dvd Calendar'!$I$586)))</f>
        <v/>
      </c>
      <c r="H64" s="161">
        <f>IF(EJ64="","",IF(ISNUMBER('Dvd Calendar'!$J$586)=FALSE,"",IF((('Dvd Calendar'!$J$588=TYPE1)*(TYPE1&lt;&gt;"")+('Dvd Calendar'!$J$588=TYPE2)*(TYPE2&lt;&gt;"")+('Dvd Calendar'!$J$588=TYPE3)*(TYPE3&lt;&gt;"")+('Dvd Calendar'!$J$588=TYPE4)*(TYPE4&lt;&gt;"")+('Dvd Calendar'!$J$588=SPECIAL_LBL)*(INC_SPECIALS="Y"))=0,"",'Dvd Calendar'!$J$586)))</f>
        <v/>
      </c>
      <c r="I64" s="161">
        <f>IF(EK64="","",IF(ISNUMBER('Dvd Calendar'!$K$586)=FALSE,"",IF((('Dvd Calendar'!$K$588=TYPE1)*(TYPE1&lt;&gt;"")+('Dvd Calendar'!$K$588=TYPE2)*(TYPE2&lt;&gt;"")+('Dvd Calendar'!$K$588=TYPE3)*(TYPE3&lt;&gt;"")+('Dvd Calendar'!$K$588=TYPE4)*(TYPE4&lt;&gt;"")+('Dvd Calendar'!$K$588=SPECIAL_LBL)*(INC_SPECIALS="Y"))=0,"",'Dvd Calendar'!$K$586)))</f>
        <v/>
      </c>
      <c r="J64" s="161">
        <f>IF(EL64="","",IF(ISNUMBER('Dvd Calendar'!$L$586)=FALSE,"",IF((('Dvd Calendar'!$L$588=TYPE1)*(TYPE1&lt;&gt;"")+('Dvd Calendar'!$L$588=TYPE2)*(TYPE2&lt;&gt;"")+('Dvd Calendar'!$L$588=TYPE3)*(TYPE3&lt;&gt;"")+('Dvd Calendar'!$L$588=TYPE4)*(TYPE4&lt;&gt;"")+('Dvd Calendar'!$L$588=SPECIAL_LBL)*(INC_SPECIALS="Y"))=0,"",'Dvd Calendar'!$L$586)))</f>
        <v/>
      </c>
      <c r="K64" s="161">
        <f>IF(EM64="","",IF(ISNUMBER('Dvd Calendar'!$M$586)=FALSE,"",IF((('Dvd Calendar'!$M$588=TYPE1)*(TYPE1&lt;&gt;"")+('Dvd Calendar'!$M$588=TYPE2)*(TYPE2&lt;&gt;"")+('Dvd Calendar'!$M$588=TYPE3)*(TYPE3&lt;&gt;"")+('Dvd Calendar'!$M$588=TYPE4)*(TYPE4&lt;&gt;"")+('Dvd Calendar'!$M$588=SPECIAL_LBL)*(INC_SPECIALS="Y"))=0,"",'Dvd Calendar'!$M$586)))</f>
        <v/>
      </c>
      <c r="L64" s="161">
        <f>IF(EN64="","",IF(ISNUMBER('Dvd Calendar'!$N$586)=FALSE,"",IF((('Dvd Calendar'!$N$588=TYPE1)*(TYPE1&lt;&gt;"")+('Dvd Calendar'!$N$588=TYPE2)*(TYPE2&lt;&gt;"")+('Dvd Calendar'!$N$588=TYPE3)*(TYPE3&lt;&gt;"")+('Dvd Calendar'!$N$588=TYPE4)*(TYPE4&lt;&gt;"")+('Dvd Calendar'!$N$588=SPECIAL_LBL)*(INC_SPECIALS="Y"))=0,"",'Dvd Calendar'!$N$586)))</f>
        <v/>
      </c>
      <c r="M64" s="161">
        <f>IF(EO64="","",IF(ISNUMBER('Dvd Calendar'!$O$586)=FALSE,"",IF((('Dvd Calendar'!$O$588=TYPE1)*(TYPE1&lt;&gt;"")+('Dvd Calendar'!$O$588=TYPE2)*(TYPE2&lt;&gt;"")+('Dvd Calendar'!$O$588=TYPE3)*(TYPE3&lt;&gt;"")+('Dvd Calendar'!$O$588=TYPE4)*(TYPE4&lt;&gt;"")+('Dvd Calendar'!$O$588=SPECIAL_LBL)*(INC_SPECIALS="Y"))=0,"",'Dvd Calendar'!$O$586)))</f>
        <v/>
      </c>
      <c r="N64" s="161">
        <f>IF(EP64="","",IF(ISNUMBER('Dvd Calendar'!$P$586)=FALSE,"",IF((('Dvd Calendar'!$P$588=TYPE1)*(TYPE1&lt;&gt;"")+('Dvd Calendar'!$P$588=TYPE2)*(TYPE2&lt;&gt;"")+('Dvd Calendar'!$P$588=TYPE3)*(TYPE3&lt;&gt;"")+('Dvd Calendar'!$P$588=TYPE4)*(TYPE4&lt;&gt;"")+('Dvd Calendar'!$P$588=SPECIAL_LBL)*(INC_SPECIALS="Y"))=0,"",'Dvd Calendar'!$P$586)))</f>
        <v/>
      </c>
      <c r="O64" s="161">
        <f>IF(EQ64="","",IF(ISNUMBER('Dvd Calendar'!$Q$586)=FALSE,"",IF((('Dvd Calendar'!$Q$588=TYPE1)*(TYPE1&lt;&gt;"")+('Dvd Calendar'!$Q$588=TYPE2)*(TYPE2&lt;&gt;"")+('Dvd Calendar'!$Q$588=TYPE3)*(TYPE3&lt;&gt;"")+('Dvd Calendar'!$Q$588=TYPE4)*(TYPE4&lt;&gt;"")+('Dvd Calendar'!$Q$588=SPECIAL_LBL)*(INC_SPECIALS="Y"))=0,"",'Dvd Calendar'!$Q$586)))</f>
        <v/>
      </c>
      <c r="P64" s="161">
        <f>IF(ER64="","",IF(ISNUMBER('Dvd Calendar'!$R$586)=FALSE,"",IF((('Dvd Calendar'!$R$588=TYPE1)*(TYPE1&lt;&gt;"")+('Dvd Calendar'!$R$588=TYPE2)*(TYPE2&lt;&gt;"")+('Dvd Calendar'!$R$588=TYPE3)*(TYPE3&lt;&gt;"")+('Dvd Calendar'!$R$588=TYPE4)*(TYPE4&lt;&gt;"")+('Dvd Calendar'!$R$588=SPECIAL_LBL)*(INC_SPECIALS="Y"))=0,"",'Dvd Calendar'!$R$586)))</f>
        <v/>
      </c>
      <c r="Q64" s="161">
        <f>IF(ES64="","",IF(ISNUMBER('Dvd Calendar'!$S$586)=FALSE,"",IF((('Dvd Calendar'!$S$588=TYPE1)*(TYPE1&lt;&gt;"")+('Dvd Calendar'!$S$588=TYPE2)*(TYPE2&lt;&gt;"")+('Dvd Calendar'!$S$588=TYPE3)*(TYPE3&lt;&gt;"")+('Dvd Calendar'!$S$588=TYPE4)*(TYPE4&lt;&gt;"")+('Dvd Calendar'!$S$588=SPECIAL_LBL)*(INC_SPECIALS="Y"))=0,"",'Dvd Calendar'!$S$586)))</f>
        <v/>
      </c>
      <c r="R64" s="161">
        <f>IF(ET64="","",IF(ISNUMBER('Dvd Calendar'!$T$586)=FALSE,"",IF((('Dvd Calendar'!$T$588=TYPE1)*(TYPE1&lt;&gt;"")+('Dvd Calendar'!$T$588=TYPE2)*(TYPE2&lt;&gt;"")+('Dvd Calendar'!$T$588=TYPE3)*(TYPE3&lt;&gt;"")+('Dvd Calendar'!$T$588=TYPE4)*(TYPE4&lt;&gt;"")+('Dvd Calendar'!$T$588=SPECIAL_LBL)*(INC_SPECIALS="Y"))=0,"",'Dvd Calendar'!$T$586)))</f>
        <v/>
      </c>
      <c r="S64" s="161">
        <f>IF(EU64="","",IF(ISNUMBER('Dvd Calendar'!$U$586)=FALSE,"",IF((('Dvd Calendar'!$U$588=TYPE1)*(TYPE1&lt;&gt;"")+('Dvd Calendar'!$U$588=TYPE2)*(TYPE2&lt;&gt;"")+('Dvd Calendar'!$U$588=TYPE3)*(TYPE3&lt;&gt;"")+('Dvd Calendar'!$U$588=TYPE4)*(TYPE4&lt;&gt;"")+('Dvd Calendar'!$U$588=SPECIAL_LBL)*(INC_SPECIALS="Y"))=0,"",'Dvd Calendar'!$U$586)))</f>
        <v/>
      </c>
      <c r="T64" s="161">
        <f>IF(EV64="","",IF(ISNUMBER('Dvd Calendar'!$V$586)=FALSE,"",IF((('Dvd Calendar'!$V$588=TYPE1)*(TYPE1&lt;&gt;"")+('Dvd Calendar'!$V$588=TYPE2)*(TYPE2&lt;&gt;"")+('Dvd Calendar'!$V$588=TYPE3)*(TYPE3&lt;&gt;"")+('Dvd Calendar'!$V$588=TYPE4)*(TYPE4&lt;&gt;"")+('Dvd Calendar'!$V$588=SPECIAL_LBL)*(INC_SPECIALS="Y"))=0,"",'Dvd Calendar'!$V$586)))</f>
        <v/>
      </c>
      <c r="U64" s="161">
        <f>IF(EW64="","",IF(ISNUMBER('Dvd Calendar'!$W$586)=FALSE,"",IF((('Dvd Calendar'!$W$588=TYPE1)*(TYPE1&lt;&gt;"")+('Dvd Calendar'!$W$588=TYPE2)*(TYPE2&lt;&gt;"")+('Dvd Calendar'!$W$588=TYPE3)*(TYPE3&lt;&gt;"")+('Dvd Calendar'!$W$588=TYPE4)*(TYPE4&lt;&gt;"")+('Dvd Calendar'!$W$588=SPECIAL_LBL)*(INC_SPECIALS="Y"))=0,"",'Dvd Calendar'!$W$586)))</f>
        <v/>
      </c>
      <c r="V64" s="161">
        <f>IF(EX64="","",IF(ISNUMBER('Dvd Calendar'!$X$586)=FALSE,"",IF((('Dvd Calendar'!$X$588=TYPE1)*(TYPE1&lt;&gt;"")+('Dvd Calendar'!$X$588=TYPE2)*(TYPE2&lt;&gt;"")+('Dvd Calendar'!$X$588=TYPE3)*(TYPE3&lt;&gt;"")+('Dvd Calendar'!$X$588=TYPE4)*(TYPE4&lt;&gt;"")+('Dvd Calendar'!$X$588=SPECIAL_LBL)*(INC_SPECIALS="Y"))=0,"",'Dvd Calendar'!$X$586)))</f>
        <v/>
      </c>
      <c r="W64" s="161">
        <f>IF(EY64="","",IF(ISNUMBER('Dvd Calendar'!$Y$586)=FALSE,"",IF((('Dvd Calendar'!$Y$588=TYPE1)*(TYPE1&lt;&gt;"")+('Dvd Calendar'!$Y$588=TYPE2)*(TYPE2&lt;&gt;"")+('Dvd Calendar'!$Y$588=TYPE3)*(TYPE3&lt;&gt;"")+('Dvd Calendar'!$Y$588=TYPE4)*(TYPE4&lt;&gt;"")+('Dvd Calendar'!$Y$588=SPECIAL_LBL)*(INC_SPECIALS="Y"))=0,"",'Dvd Calendar'!$Y$586)))</f>
        <v/>
      </c>
      <c r="X64" s="161">
        <f>IF(EZ64="","",IF(ISNUMBER('Dvd Calendar'!$Z$586)=FALSE,"",IF((('Dvd Calendar'!$Z$588=TYPE1)*(TYPE1&lt;&gt;"")+('Dvd Calendar'!$Z$588=TYPE2)*(TYPE2&lt;&gt;"")+('Dvd Calendar'!$Z$588=TYPE3)*(TYPE3&lt;&gt;"")+('Dvd Calendar'!$Z$588=TYPE4)*(TYPE4&lt;&gt;"")+('Dvd Calendar'!$Z$588=SPECIAL_LBL)*(INC_SPECIALS="Y"))=0,"",'Dvd Calendar'!$Z$586)))</f>
        <v/>
      </c>
      <c r="Y64" s="161">
        <f>IF(FA64="","",IF(ISNUMBER('Dvd Calendar'!$AA$586)=FALSE,"",IF((('Dvd Calendar'!$AA$588=TYPE1)*(TYPE1&lt;&gt;"")+('Dvd Calendar'!$AA$588=TYPE2)*(TYPE2&lt;&gt;"")+('Dvd Calendar'!$AA$588=TYPE3)*(TYPE3&lt;&gt;"")+('Dvd Calendar'!$AA$588=TYPE4)*(TYPE4&lt;&gt;"")+('Dvd Calendar'!$AA$588=SPECIAL_LBL)*(INC_SPECIALS="Y"))=0,"",'Dvd Calendar'!$AA$586)))</f>
        <v/>
      </c>
      <c r="Z64" s="161">
        <f>IF(FB64="","",IF(ISNUMBER('Dvd Calendar'!$AB$586)=FALSE,"",IF((('Dvd Calendar'!$AB$588=TYPE1)*(TYPE1&lt;&gt;"")+('Dvd Calendar'!$AB$588=TYPE2)*(TYPE2&lt;&gt;"")+('Dvd Calendar'!$AB$588=TYPE3)*(TYPE3&lt;&gt;"")+('Dvd Calendar'!$AB$588=TYPE4)*(TYPE4&lt;&gt;"")+('Dvd Calendar'!$AB$588=SPECIAL_LBL)*(INC_SPECIALS="Y"))=0,"",'Dvd Calendar'!$AB$586)))</f>
        <v/>
      </c>
      <c r="AA64" s="161">
        <f>IF(FC64="","",IF(ISNUMBER('Dvd Calendar'!$AC$586)=FALSE,"",IF((('Dvd Calendar'!$AC$588=TYPE1)*(TYPE1&lt;&gt;"")+('Dvd Calendar'!$AC$588=TYPE2)*(TYPE2&lt;&gt;"")+('Dvd Calendar'!$AC$588=TYPE3)*(TYPE3&lt;&gt;"")+('Dvd Calendar'!$AC$588=TYPE4)*(TYPE4&lt;&gt;"")+('Dvd Calendar'!$AC$588=SPECIAL_LBL)*(INC_SPECIALS="Y"))=0,"",'Dvd Calendar'!$AC$586)))</f>
        <v/>
      </c>
      <c r="AB64" s="161">
        <f>IF(FD64="","",IF(ISNUMBER('Dvd Calendar'!$AD$586)=FALSE,"",IF((('Dvd Calendar'!$AD$588=TYPE1)*(TYPE1&lt;&gt;"")+('Dvd Calendar'!$AD$588=TYPE2)*(TYPE2&lt;&gt;"")+('Dvd Calendar'!$AD$588=TYPE3)*(TYPE3&lt;&gt;"")+('Dvd Calendar'!$AD$588=TYPE4)*(TYPE4&lt;&gt;"")+('Dvd Calendar'!$AD$588=SPECIAL_LBL)*(INC_SPECIALS="Y"))=0,"",'Dvd Calendar'!$AD$586)))</f>
        <v/>
      </c>
      <c r="AC64" s="161">
        <f>IF(FE64="","",IF(ISNUMBER('Dvd Calendar'!$AE$586)=FALSE,"",IF((('Dvd Calendar'!$AE$588=TYPE1)*(TYPE1&lt;&gt;"")+('Dvd Calendar'!$AE$588=TYPE2)*(TYPE2&lt;&gt;"")+('Dvd Calendar'!$AE$588=TYPE3)*(TYPE3&lt;&gt;"")+('Dvd Calendar'!$AE$588=TYPE4)*(TYPE4&lt;&gt;"")+('Dvd Calendar'!$AE$588=SPECIAL_LBL)*(INC_SPECIALS="Y"))=0,"",'Dvd Calendar'!$AE$586)))</f>
        <v/>
      </c>
      <c r="AD64" s="161">
        <f>IF(FF64="","",IF(ISNUMBER('Dvd Calendar'!$AF$586)=FALSE,"",IF((('Dvd Calendar'!$AF$588=TYPE1)*(TYPE1&lt;&gt;"")+('Dvd Calendar'!$AF$588=TYPE2)*(TYPE2&lt;&gt;"")+('Dvd Calendar'!$AF$588=TYPE3)*(TYPE3&lt;&gt;"")+('Dvd Calendar'!$AF$588=TYPE4)*(TYPE4&lt;&gt;"")+('Dvd Calendar'!$AF$588=SPECIAL_LBL)*(INC_SPECIALS="Y"))=0,"",'Dvd Calendar'!$AF$586)))</f>
        <v/>
      </c>
      <c r="AE64" s="161">
        <f>IF(FG64="","",IF(ISNUMBER('Dvd Calendar'!$AG$586)=FALSE,"",IF((('Dvd Calendar'!$AG$588=TYPE1)*(TYPE1&lt;&gt;"")+('Dvd Calendar'!$AG$588=TYPE2)*(TYPE2&lt;&gt;"")+('Dvd Calendar'!$AG$588=TYPE3)*(TYPE3&lt;&gt;"")+('Dvd Calendar'!$AG$588=TYPE4)*(TYPE4&lt;&gt;"")+('Dvd Calendar'!$AG$588=SPECIAL_LBL)*(INC_SPECIALS="Y"))=0,"",'Dvd Calendar'!$AG$586)))</f>
        <v/>
      </c>
      <c r="AF64" s="161">
        <f>IF(FH64="","",IF(ISNUMBER('Dvd Calendar'!$AH$586)=FALSE,"",IF((('Dvd Calendar'!$AH$588=TYPE1)*(TYPE1&lt;&gt;"")+('Dvd Calendar'!$AH$588=TYPE2)*(TYPE2&lt;&gt;"")+('Dvd Calendar'!$AH$588=TYPE3)*(TYPE3&lt;&gt;"")+('Dvd Calendar'!$AH$588=TYPE4)*(TYPE4&lt;&gt;"")+('Dvd Calendar'!$AH$588=SPECIAL_LBL)*(INC_SPECIALS="Y"))=0,"",'Dvd Calendar'!$AH$586)))</f>
        <v/>
      </c>
      <c r="AG64" s="161">
        <f>IF(FI64="","",IF(ISNUMBER('Dvd Calendar'!$AI$586)=FALSE,"",IF((('Dvd Calendar'!$AI$588=TYPE1)*(TYPE1&lt;&gt;"")+('Dvd Calendar'!$AI$588=TYPE2)*(TYPE2&lt;&gt;"")+('Dvd Calendar'!$AI$588=TYPE3)*(TYPE3&lt;&gt;"")+('Dvd Calendar'!$AI$588=TYPE4)*(TYPE4&lt;&gt;"")+('Dvd Calendar'!$AI$588=SPECIAL_LBL)*(INC_SPECIALS="Y"))=0,"",'Dvd Calendar'!$AI$586)))</f>
        <v/>
      </c>
      <c r="AH64" s="161">
        <f>IF(FJ64="","",IF(ISNUMBER('Dvd Calendar'!$AJ$586)=FALSE,"",IF((('Dvd Calendar'!$AJ$588=TYPE1)*(TYPE1&lt;&gt;"")+('Dvd Calendar'!$AJ$588=TYPE2)*(TYPE2&lt;&gt;"")+('Dvd Calendar'!$AJ$588=TYPE3)*(TYPE3&lt;&gt;"")+('Dvd Calendar'!$AJ$588=TYPE4)*(TYPE4&lt;&gt;"")+('Dvd Calendar'!$AJ$588=SPECIAL_LBL)*(INC_SPECIALS="Y"))=0,"",'Dvd Calendar'!$AJ$586)))</f>
        <v/>
      </c>
      <c r="AI64" s="161">
        <f>IF(FK64="","",IF(ISNUMBER('Dvd Calendar'!$AK$586)=FALSE,"",IF((('Dvd Calendar'!$AK$588=TYPE1)*(TYPE1&lt;&gt;"")+('Dvd Calendar'!$AK$588=TYPE2)*(TYPE2&lt;&gt;"")+('Dvd Calendar'!$AK$588=TYPE3)*(TYPE3&lt;&gt;"")+('Dvd Calendar'!$AK$588=TYPE4)*(TYPE4&lt;&gt;"")+('Dvd Calendar'!$AK$588=SPECIAL_LBL)*(INC_SPECIALS="Y"))=0,"",'Dvd Calendar'!$AK$586)))</f>
        <v/>
      </c>
      <c r="AJ64" s="161">
        <f>IF(FL64="","",IF(ISNUMBER('Dvd Calendar'!$AL$586)=FALSE,"",IF((('Dvd Calendar'!$AL$588=TYPE1)*(TYPE1&lt;&gt;"")+('Dvd Calendar'!$AL$588=TYPE2)*(TYPE2&lt;&gt;"")+('Dvd Calendar'!$AL$588=TYPE3)*(TYPE3&lt;&gt;"")+('Dvd Calendar'!$AL$588=TYPE4)*(TYPE4&lt;&gt;"")+('Dvd Calendar'!$AL$588=SPECIAL_LBL)*(INC_SPECIALS="Y"))=0,"",'Dvd Calendar'!$AL$586)))</f>
        <v/>
      </c>
      <c r="AK64" s="161">
        <f>IF(FM64="","",IF(ISNUMBER('Dvd Calendar'!$AM$586)=FALSE,"",IF((('Dvd Calendar'!$AM$588=TYPE1)*(TYPE1&lt;&gt;"")+('Dvd Calendar'!$AM$588=TYPE2)*(TYPE2&lt;&gt;"")+('Dvd Calendar'!$AM$588=TYPE3)*(TYPE3&lt;&gt;"")+('Dvd Calendar'!$AM$588=TYPE4)*(TYPE4&lt;&gt;"")+('Dvd Calendar'!$AM$588=SPECIAL_LBL)*(INC_SPECIALS="Y"))=0,"",'Dvd Calendar'!$AM$586)))</f>
        <v/>
      </c>
      <c r="AL64" s="161">
        <f>IF(FN64="","",IF(ISNUMBER('Dvd Calendar'!$AN$586)=FALSE,"",IF((('Dvd Calendar'!$AN$588=TYPE1)*(TYPE1&lt;&gt;"")+('Dvd Calendar'!$AN$588=TYPE2)*(TYPE2&lt;&gt;"")+('Dvd Calendar'!$AN$588=TYPE3)*(TYPE3&lt;&gt;"")+('Dvd Calendar'!$AN$588=TYPE4)*(TYPE4&lt;&gt;"")+('Dvd Calendar'!$AN$588=SPECIAL_LBL)*(INC_SPECIALS="Y"))=0,"",'Dvd Calendar'!$AN$586)))</f>
        <v/>
      </c>
      <c r="AM64" s="161">
        <f>IF(FO64="","",IF(ISNUMBER('Dvd Calendar'!$AO$586)=FALSE,"",IF((('Dvd Calendar'!$AO$588=TYPE1)*(TYPE1&lt;&gt;"")+('Dvd Calendar'!$AO$588=TYPE2)*(TYPE2&lt;&gt;"")+('Dvd Calendar'!$AO$588=TYPE3)*(TYPE3&lt;&gt;"")+('Dvd Calendar'!$AO$588=TYPE4)*(TYPE4&lt;&gt;"")+('Dvd Calendar'!$AO$588=SPECIAL_LBL)*(INC_SPECIALS="Y"))=0,"",'Dvd Calendar'!$AO$586)))</f>
        <v/>
      </c>
      <c r="AN64" s="161">
        <f>IF(FP64="","",IF(ISNUMBER('Dvd Calendar'!$AP$586)=FALSE,"",IF((('Dvd Calendar'!$AP$588=TYPE1)*(TYPE1&lt;&gt;"")+('Dvd Calendar'!$AP$588=TYPE2)*(TYPE2&lt;&gt;"")+('Dvd Calendar'!$AP$588=TYPE3)*(TYPE3&lt;&gt;"")+('Dvd Calendar'!$AP$588=TYPE4)*(TYPE4&lt;&gt;"")+('Dvd Calendar'!$AP$588=SPECIAL_LBL)*(INC_SPECIALS="Y"))=0,"",'Dvd Calendar'!$AP$586)))</f>
        <v/>
      </c>
      <c r="AO64" s="161">
        <f>IF(FQ64="","",IF(ISNUMBER('Dvd Calendar'!$AQ$586)=FALSE,"",IF((('Dvd Calendar'!$AQ$588=TYPE1)*(TYPE1&lt;&gt;"")+('Dvd Calendar'!$AQ$588=TYPE2)*(TYPE2&lt;&gt;"")+('Dvd Calendar'!$AQ$588=TYPE3)*(TYPE3&lt;&gt;"")+('Dvd Calendar'!$AQ$588=TYPE4)*(TYPE4&lt;&gt;"")+('Dvd Calendar'!$AQ$588=SPECIAL_LBL)*(INC_SPECIALS="Y"))=0,"",'Dvd Calendar'!$AQ$586)))</f>
        <v/>
      </c>
      <c r="AP64" s="161">
        <f>IF(FR64="","",IF(ISNUMBER('Dvd Calendar'!$AR$586)=FALSE,"",IF((('Dvd Calendar'!$AR$588=TYPE1)*(TYPE1&lt;&gt;"")+('Dvd Calendar'!$AR$588=TYPE2)*(TYPE2&lt;&gt;"")+('Dvd Calendar'!$AR$588=TYPE3)*(TYPE3&lt;&gt;"")+('Dvd Calendar'!$AR$588=TYPE4)*(TYPE4&lt;&gt;"")+('Dvd Calendar'!$AR$588=SPECIAL_LBL)*(INC_SPECIALS="Y"))=0,"",'Dvd Calendar'!$AR$586)))</f>
        <v/>
      </c>
      <c r="AQ64" s="161">
        <f>IF(FS64="","",IF(ISNUMBER('Dvd Calendar'!$E$591)=FALSE,"",'Dvd Calendar'!$E$591))</f>
        <v/>
      </c>
      <c r="AR64" s="161">
        <f>IF(FT64="","",IF(ISNUMBER('Dvd Calendar'!$F$591)=FALSE,"",'Dvd Calendar'!$F$591))</f>
        <v/>
      </c>
      <c r="AS64" s="161">
        <f>IF(FU64="","",IF(ISNUMBER('Dvd Calendar'!$G$591)=FALSE,"",'Dvd Calendar'!$G$591))</f>
        <v/>
      </c>
      <c r="AT64" s="161">
        <f>IF(FV64="","",IF(ISNUMBER('Dvd Calendar'!$H$591)=FALSE,"",'Dvd Calendar'!$H$591))</f>
        <v/>
      </c>
      <c r="AU64" s="161">
        <f>IF(FW64="","",IF(ISNUMBER('Dvd Calendar'!$I$591)=FALSE,"",'Dvd Calendar'!$I$591))</f>
        <v/>
      </c>
      <c r="AV64" s="161">
        <f>IF(FX64="","",IF(ISNUMBER('Dvd Calendar'!$J$591)=FALSE,"",'Dvd Calendar'!$J$591))</f>
        <v/>
      </c>
      <c r="AW64" s="161">
        <f>IF(FY64="","",IF(ISNUMBER('Dvd Calendar'!$K$591)=FALSE,"",'Dvd Calendar'!$K$591))</f>
        <v/>
      </c>
      <c r="AX64" s="161">
        <f>IF(FZ64="","",IF(ISNUMBER('Dvd Calendar'!$L$591)=FALSE,"",'Dvd Calendar'!$L$591))</f>
        <v/>
      </c>
      <c r="AY64" s="161">
        <f>IF(GA64="","",IF(ISNUMBER('Dvd Calendar'!$M$591)=FALSE,"",'Dvd Calendar'!$M$591))</f>
        <v/>
      </c>
      <c r="AZ64" s="161">
        <f>IF(GB64="","",IF(ISNUMBER('Dvd Calendar'!$N$591)=FALSE,"",'Dvd Calendar'!$N$591))</f>
        <v/>
      </c>
      <c r="BA64" s="161">
        <f>IF(GC64="","",IF(ISNUMBER('Dvd Calendar'!$O$591)=FALSE,"",'Dvd Calendar'!$O$591))</f>
        <v/>
      </c>
      <c r="BB64" s="161">
        <f>IF(GD64="","",IF(ISNUMBER('Dvd Calendar'!$P$591)=FALSE,"",'Dvd Calendar'!$P$591))</f>
        <v/>
      </c>
      <c r="BC64" s="161">
        <f>IF(GE64="","",IF(ISNUMBER('Dvd Calendar'!$Q$591)=FALSE,"",'Dvd Calendar'!$Q$591))</f>
        <v/>
      </c>
      <c r="BD64" s="161">
        <f>IF(GF64="","",IF(ISNUMBER('Dvd Calendar'!$R$591)=FALSE,"",'Dvd Calendar'!$R$591))</f>
        <v/>
      </c>
      <c r="BE64" s="161">
        <f>IF(GG64="","",IF(ISNUMBER('Dvd Calendar'!$S$591)=FALSE,"",'Dvd Calendar'!$S$591))</f>
        <v/>
      </c>
      <c r="BF64" s="161">
        <f>IF(GH64="","",IF(ISNUMBER('Dvd Calendar'!$T$591)=FALSE,"",'Dvd Calendar'!$T$591))</f>
        <v/>
      </c>
      <c r="BG64" s="161">
        <f>IF(GI64="","",IF(ISNUMBER('Dvd Calendar'!$U$591)=FALSE,"",'Dvd Calendar'!$U$591))</f>
        <v/>
      </c>
      <c r="BH64" s="161">
        <f>IF(GJ64="","",IF(ISNUMBER('Dvd Calendar'!$V$591)=FALSE,"",'Dvd Calendar'!$V$591))</f>
        <v/>
      </c>
      <c r="BI64" s="161">
        <f>IF(GK64="","",IF(ISNUMBER('Dvd Calendar'!$W$591)=FALSE,"",'Dvd Calendar'!$W$591))</f>
        <v/>
      </c>
      <c r="BJ64" s="161">
        <f>IF(GL64="","",IF(ISNUMBER('Dvd Calendar'!$X$591)=FALSE,"",'Dvd Calendar'!$X$591))</f>
        <v/>
      </c>
      <c r="BK64" s="161">
        <f>IF(GM64="","",IF(ISNUMBER('Dvd Calendar'!$Y$591)=FALSE,"",'Dvd Calendar'!$Y$591))</f>
        <v/>
      </c>
      <c r="BL64" s="161">
        <f>IF(GN64="","",IF(ISNUMBER('Dvd Calendar'!$Z$591)=FALSE,"",'Dvd Calendar'!$Z$591))</f>
        <v/>
      </c>
      <c r="BM64" s="161">
        <f>IF(GO64="","",IF(ISNUMBER('Dvd Calendar'!$AA$591)=FALSE,"",'Dvd Calendar'!$AA$591))</f>
        <v/>
      </c>
      <c r="BN64" s="161">
        <f>IF(GP64="","",IF(ISNUMBER('Dvd Calendar'!$AB$591)=FALSE,"",'Dvd Calendar'!$AB$591))</f>
        <v/>
      </c>
      <c r="BO64" s="161">
        <f>IF(GQ64="","",IF(ISNUMBER('Dvd Calendar'!$AC$591)=FALSE,"",'Dvd Calendar'!$AC$591))</f>
        <v/>
      </c>
      <c r="BQ64" s="161">
        <f>IF(C64="","",IFERROR(C64*HSI!$B$59*HSI!$G$59/HSI!$B$3,""))</f>
        <v/>
      </c>
      <c r="BR64" s="161">
        <f>IF(D64="","",IFERROR(D64*HSI!$B$59*HSI!$G$59/HSI!$B$3,""))</f>
        <v/>
      </c>
      <c r="BS64" s="161">
        <f>IF(E64="","",IFERROR(E64*HSI!$B$59*HSI!$G$59/HSI!$B$3,""))</f>
        <v/>
      </c>
      <c r="BT64" s="161">
        <f>IF(F64="","",IFERROR(F64*HSI!$B$59*HSI!$G$59/HSI!$B$3,""))</f>
        <v/>
      </c>
      <c r="BU64" s="161">
        <f>IF(G64="","",IFERROR(G64*HSI!$B$59*HSI!$G$59/HSI!$B$3,""))</f>
        <v/>
      </c>
      <c r="BV64" s="161">
        <f>IF(H64="","",IFERROR(H64*HSI!$B$59*HSI!$G$59/HSI!$B$3,""))</f>
        <v/>
      </c>
      <c r="BW64" s="161">
        <f>IF(I64="","",IFERROR(I64*HSI!$B$59*HSI!$G$59/HSI!$B$3,""))</f>
        <v/>
      </c>
      <c r="BX64" s="161">
        <f>IF(J64="","",IFERROR(J64*HSI!$B$59*HSI!$G$59/HSI!$B$3,""))</f>
        <v/>
      </c>
      <c r="BY64" s="161">
        <f>IF(K64="","",IFERROR(K64*HSI!$B$59*HSI!$G$59/HSI!$B$3,""))</f>
        <v/>
      </c>
      <c r="BZ64" s="161">
        <f>IF(L64="","",IFERROR(L64*HSI!$B$59*HSI!$G$59/HSI!$B$3,""))</f>
        <v/>
      </c>
      <c r="CA64" s="161">
        <f>IF(M64="","",IFERROR(M64*HSI!$B$59*HSI!$G$59/HSI!$B$3,""))</f>
        <v/>
      </c>
      <c r="CB64" s="161">
        <f>IF(N64="","",IFERROR(N64*HSI!$B$59*HSI!$G$59/HSI!$B$3,""))</f>
        <v/>
      </c>
      <c r="CC64" s="161">
        <f>IF(O64="","",IFERROR(O64*HSI!$B$59*HSI!$G$59/HSI!$B$3,""))</f>
        <v/>
      </c>
      <c r="CD64" s="161">
        <f>IF(P64="","",IFERROR(P64*HSI!$B$59*HSI!$G$59/HSI!$B$3,""))</f>
        <v/>
      </c>
      <c r="CE64" s="161">
        <f>IF(Q64="","",IFERROR(Q64*HSI!$B$59*HSI!$G$59/HSI!$B$3,""))</f>
        <v/>
      </c>
      <c r="CF64" s="161">
        <f>IF(R64="","",IFERROR(R64*HSI!$B$59*HSI!$G$59/HSI!$B$3,""))</f>
        <v/>
      </c>
      <c r="CG64" s="161">
        <f>IF(S64="","",IFERROR(S64*HSI!$B$59*HSI!$G$59/HSI!$B$3,""))</f>
        <v/>
      </c>
      <c r="CH64" s="161">
        <f>IF(T64="","",IFERROR(T64*HSI!$B$59*HSI!$G$59/HSI!$B$3,""))</f>
        <v/>
      </c>
      <c r="CI64" s="161">
        <f>IF(U64="","",IFERROR(U64*HSI!$B$59*HSI!$G$59/HSI!$B$3,""))</f>
        <v/>
      </c>
      <c r="CJ64" s="161">
        <f>IF(V64="","",IFERROR(V64*HSI!$B$59*HSI!$G$59/HSI!$B$3,""))</f>
        <v/>
      </c>
      <c r="CK64" s="161">
        <f>IF(W64="","",IFERROR(W64*HSI!$B$59*HSI!$G$59/HSI!$B$3,""))</f>
        <v/>
      </c>
      <c r="CL64" s="161">
        <f>IF(X64="","",IFERROR(X64*HSI!$B$59*HSI!$G$59/HSI!$B$3,""))</f>
        <v/>
      </c>
      <c r="CM64" s="161">
        <f>IF(Y64="","",IFERROR(Y64*HSI!$B$59*HSI!$G$59/HSI!$B$3,""))</f>
        <v/>
      </c>
      <c r="CN64" s="161">
        <f>IF(Z64="","",IFERROR(Z64*HSI!$B$59*HSI!$G$59/HSI!$B$3,""))</f>
        <v/>
      </c>
      <c r="CO64" s="161">
        <f>IF(AA64="","",IFERROR(AA64*HSI!$B$59*HSI!$G$59/HSI!$B$3,""))</f>
        <v/>
      </c>
      <c r="CP64" s="161">
        <f>IF(AB64="","",IFERROR(AB64*HSI!$B$59*HSI!$G$59/HSI!$B$3,""))</f>
        <v/>
      </c>
      <c r="CQ64" s="161">
        <f>IF(AC64="","",IFERROR(AC64*HSI!$B$59*HSI!$G$59/HSI!$B$3,""))</f>
        <v/>
      </c>
      <c r="CR64" s="161">
        <f>IF(AD64="","",IFERROR(AD64*HSI!$B$59*HSI!$G$59/HSI!$B$3,""))</f>
        <v/>
      </c>
      <c r="CS64" s="161">
        <f>IF(AE64="","",IFERROR(AE64*HSI!$B$59*HSI!$G$59/HSI!$B$3,""))</f>
        <v/>
      </c>
      <c r="CT64" s="161">
        <f>IF(AF64="","",IFERROR(AF64*HSI!$B$59*HSI!$G$59/HSI!$B$3,""))</f>
        <v/>
      </c>
      <c r="CU64" s="161">
        <f>IF(AG64="","",IFERROR(AG64*HSI!$B$59*HSI!$G$59/HSI!$B$3,""))</f>
        <v/>
      </c>
      <c r="CV64" s="161">
        <f>IF(AH64="","",IFERROR(AH64*HSI!$B$59*HSI!$G$59/HSI!$B$3,""))</f>
        <v/>
      </c>
      <c r="CW64" s="161">
        <f>IF(AI64="","",IFERROR(AI64*HSI!$B$59*HSI!$G$59/HSI!$B$3,""))</f>
        <v/>
      </c>
      <c r="CX64" s="161">
        <f>IF(AJ64="","",IFERROR(AJ64*HSI!$B$59*HSI!$G$59/HSI!$B$3,""))</f>
        <v/>
      </c>
      <c r="CY64" s="161">
        <f>IF(AK64="","",IFERROR(AK64*HSI!$B$59*HSI!$G$59/HSI!$B$3,""))</f>
        <v/>
      </c>
      <c r="CZ64" s="161">
        <f>IF(AL64="","",IFERROR(AL64*HSI!$B$59*HSI!$G$59/HSI!$B$3,""))</f>
        <v/>
      </c>
      <c r="DA64" s="161">
        <f>IF(AM64="","",IFERROR(AM64*HSI!$B$59*HSI!$G$59/HSI!$B$3,""))</f>
        <v/>
      </c>
      <c r="DB64" s="161">
        <f>IF(AN64="","",IFERROR(AN64*HSI!$B$59*HSI!$G$59/HSI!$B$3,""))</f>
        <v/>
      </c>
      <c r="DC64" s="161">
        <f>IF(AO64="","",IFERROR(AO64*HSI!$B$59*HSI!$G$59/HSI!$B$3,""))</f>
        <v/>
      </c>
      <c r="DD64" s="161">
        <f>IF(AP64="","",IFERROR(AP64*HSI!$B$59*HSI!$G$59/HSI!$B$3,""))</f>
        <v/>
      </c>
      <c r="DE64" s="161">
        <f>IF(AQ64="","",IFERROR(AQ64*HSI!$B$59*HSI!$G$59/HSI!$B$3,""))</f>
        <v/>
      </c>
      <c r="DF64" s="161">
        <f>IF(AR64="","",IFERROR(AR64*HSI!$B$59*HSI!$G$59/HSI!$B$3,""))</f>
        <v/>
      </c>
      <c r="DG64" s="161">
        <f>IF(AS64="","",IFERROR(AS64*HSI!$B$59*HSI!$G$59/HSI!$B$3,""))</f>
        <v/>
      </c>
      <c r="DH64" s="161">
        <f>IF(AT64="","",IFERROR(AT64*HSI!$B$59*HSI!$G$59/HSI!$B$3,""))</f>
        <v/>
      </c>
      <c r="DI64" s="161">
        <f>IF(AU64="","",IFERROR(AU64*HSI!$B$59*HSI!$G$59/HSI!$B$3,""))</f>
        <v/>
      </c>
      <c r="DJ64" s="161">
        <f>IF(AV64="","",IFERROR(AV64*HSI!$B$59*HSI!$G$59/HSI!$B$3,""))</f>
        <v/>
      </c>
      <c r="DK64" s="161">
        <f>IF(AW64="","",IFERROR(AW64*HSI!$B$59*HSI!$G$59/HSI!$B$3,""))</f>
        <v/>
      </c>
      <c r="DL64" s="161">
        <f>IF(AX64="","",IFERROR(AX64*HSI!$B$59*HSI!$G$59/HSI!$B$3,""))</f>
        <v/>
      </c>
      <c r="DM64" s="161">
        <f>IF(AY64="","",IFERROR(AY64*HSI!$B$59*HSI!$G$59/HSI!$B$3,""))</f>
        <v/>
      </c>
      <c r="DN64" s="161">
        <f>IF(AZ64="","",IFERROR(AZ64*HSI!$B$59*HSI!$G$59/HSI!$B$3,""))</f>
        <v/>
      </c>
      <c r="DO64" s="161">
        <f>IF(BA64="","",IFERROR(BA64*HSI!$B$59*HSI!$G$59/HSI!$B$3,""))</f>
        <v/>
      </c>
      <c r="DP64" s="161">
        <f>IF(BB64="","",IFERROR(BB64*HSI!$B$59*HSI!$G$59/HSI!$B$3,""))</f>
        <v/>
      </c>
      <c r="DQ64" s="161">
        <f>IF(BC64="","",IFERROR(BC64*HSI!$B$59*HSI!$G$59/HSI!$B$3,""))</f>
        <v/>
      </c>
      <c r="DR64" s="161">
        <f>IF(BD64="","",IFERROR(BD64*HSI!$B$59*HSI!$G$59/HSI!$B$3,""))</f>
        <v/>
      </c>
      <c r="DS64" s="161">
        <f>IF(BE64="","",IFERROR(BE64*HSI!$B$59*HSI!$G$59/HSI!$B$3,""))</f>
        <v/>
      </c>
      <c r="DT64" s="161">
        <f>IF(BF64="","",IFERROR(BF64*HSI!$B$59*HSI!$G$59/HSI!$B$3,""))</f>
        <v/>
      </c>
      <c r="DU64" s="161">
        <f>IF(BG64="","",IFERROR(BG64*HSI!$B$59*HSI!$G$59/HSI!$B$3,""))</f>
        <v/>
      </c>
      <c r="DV64" s="161">
        <f>IF(BH64="","",IFERROR(BH64*HSI!$B$59*HSI!$G$59/HSI!$B$3,""))</f>
        <v/>
      </c>
      <c r="DW64" s="161">
        <f>IF(BI64="","",IFERROR(BI64*HSI!$B$59*HSI!$G$59/HSI!$B$3,""))</f>
        <v/>
      </c>
      <c r="DX64" s="161">
        <f>IF(BJ64="","",IFERROR(BJ64*HSI!$B$59*HSI!$G$59/HSI!$B$3,""))</f>
        <v/>
      </c>
      <c r="DY64" s="161">
        <f>IF(BK64="","",IFERROR(BK64*HSI!$B$59*HSI!$G$59/HSI!$B$3,""))</f>
        <v/>
      </c>
      <c r="DZ64" s="161">
        <f>IF(BL64="","",IFERROR(BL64*HSI!$B$59*HSI!$G$59/HSI!$B$3,""))</f>
        <v/>
      </c>
      <c r="EA64" s="161">
        <f>IF(BM64="","",IFERROR(BM64*HSI!$B$59*HSI!$G$59/HSI!$B$3,""))</f>
        <v/>
      </c>
      <c r="EB64" s="161">
        <f>IF(BN64="","",IFERROR(BN64*HSI!$B$59*HSI!$G$59/HSI!$B$3,""))</f>
        <v/>
      </c>
      <c r="EC64" s="161">
        <f>IF(BO64="","",IFERROR(BO64*HSI!$B$59*HSI!$G$59/HSI!$B$3,""))</f>
        <v/>
      </c>
      <c r="EE64" s="121">
        <f>IF(N('Dvd Calendar'!$E$583)=0,"",IF(('Dvd Calendar'!$E$583&gt;=GRID_FROM)*('Dvd Calendar'!$E$583&lt;=GRID_TO)*((('Dvd Calendar'!$E$583&lt;=VAL_DATE)+(COUNTIF('Dvd Calendar'!$E$590:$AR$590,'Dvd Calendar'!$E$583)=0))&gt;0)=0,"",'Dvd Calendar'!$E$583*1000000000+ISNUMBER('Dvd Calendar'!$E$586)*100000000+('Dvd Calendar'!$E$588=SPECIAL_LBL)*10000000+(N('Dvd Calendar'!$E$582)&gt;0)*(N('Dvd Calendar'!$E$582)&lt;=VAL_SERIAL)*1000000+53*1000+1))</f>
        <v/>
      </c>
      <c r="EF64" s="121">
        <f>IF(N('Dvd Calendar'!$F$583)=0,"",IF(('Dvd Calendar'!$F$583&gt;=GRID_FROM)*('Dvd Calendar'!$F$583&lt;=GRID_TO)*((('Dvd Calendar'!$F$583&lt;=VAL_DATE)+(COUNTIF('Dvd Calendar'!$E$590:$AR$590,'Dvd Calendar'!$F$583)=0))&gt;0)=0,"",'Dvd Calendar'!$F$583*1000000000+ISNUMBER('Dvd Calendar'!$F$586)*100000000+('Dvd Calendar'!$F$588=SPECIAL_LBL)*10000000+(N('Dvd Calendar'!$F$582)&gt;0)*(N('Dvd Calendar'!$F$582)&lt;=VAL_SERIAL)*1000000+53*1000+2))</f>
        <v/>
      </c>
      <c r="EG64" s="121">
        <f>IF(N('Dvd Calendar'!$G$583)=0,"",IF(('Dvd Calendar'!$G$583&gt;=GRID_FROM)*('Dvd Calendar'!$G$583&lt;=GRID_TO)*((('Dvd Calendar'!$G$583&lt;=VAL_DATE)+(COUNTIF('Dvd Calendar'!$E$590:$AR$590,'Dvd Calendar'!$G$583)=0))&gt;0)=0,"",'Dvd Calendar'!$G$583*1000000000+ISNUMBER('Dvd Calendar'!$G$586)*100000000+('Dvd Calendar'!$G$588=SPECIAL_LBL)*10000000+(N('Dvd Calendar'!$G$582)&gt;0)*(N('Dvd Calendar'!$G$582)&lt;=VAL_SERIAL)*1000000+53*1000+3))</f>
        <v/>
      </c>
      <c r="EH64" s="121">
        <f>IF(N('Dvd Calendar'!$H$583)=0,"",IF(('Dvd Calendar'!$H$583&gt;=GRID_FROM)*('Dvd Calendar'!$H$583&lt;=GRID_TO)*((('Dvd Calendar'!$H$583&lt;=VAL_DATE)+(COUNTIF('Dvd Calendar'!$E$590:$AR$590,'Dvd Calendar'!$H$583)=0))&gt;0)=0,"",'Dvd Calendar'!$H$583*1000000000+ISNUMBER('Dvd Calendar'!$H$586)*100000000+('Dvd Calendar'!$H$588=SPECIAL_LBL)*10000000+(N('Dvd Calendar'!$H$582)&gt;0)*(N('Dvd Calendar'!$H$582)&lt;=VAL_SERIAL)*1000000+53*1000+4))</f>
        <v/>
      </c>
      <c r="EI64" s="121">
        <f>IF(N('Dvd Calendar'!$I$583)=0,"",IF(('Dvd Calendar'!$I$583&gt;=GRID_FROM)*('Dvd Calendar'!$I$583&lt;=GRID_TO)*((('Dvd Calendar'!$I$583&lt;=VAL_DATE)+(COUNTIF('Dvd Calendar'!$E$590:$AR$590,'Dvd Calendar'!$I$583)=0))&gt;0)=0,"",'Dvd Calendar'!$I$583*1000000000+ISNUMBER('Dvd Calendar'!$I$586)*100000000+('Dvd Calendar'!$I$588=SPECIAL_LBL)*10000000+(N('Dvd Calendar'!$I$582)&gt;0)*(N('Dvd Calendar'!$I$582)&lt;=VAL_SERIAL)*1000000+53*1000+5))</f>
        <v/>
      </c>
      <c r="EJ64" s="121">
        <f>IF(N('Dvd Calendar'!$J$583)=0,"",IF(('Dvd Calendar'!$J$583&gt;=GRID_FROM)*('Dvd Calendar'!$J$583&lt;=GRID_TO)*((('Dvd Calendar'!$J$583&lt;=VAL_DATE)+(COUNTIF('Dvd Calendar'!$E$590:$AR$590,'Dvd Calendar'!$J$583)=0))&gt;0)=0,"",'Dvd Calendar'!$J$583*1000000000+ISNUMBER('Dvd Calendar'!$J$586)*100000000+('Dvd Calendar'!$J$588=SPECIAL_LBL)*10000000+(N('Dvd Calendar'!$J$582)&gt;0)*(N('Dvd Calendar'!$J$582)&lt;=VAL_SERIAL)*1000000+53*1000+6))</f>
        <v/>
      </c>
      <c r="EK64" s="121">
        <f>IF(N('Dvd Calendar'!$K$583)=0,"",IF(('Dvd Calendar'!$K$583&gt;=GRID_FROM)*('Dvd Calendar'!$K$583&lt;=GRID_TO)*((('Dvd Calendar'!$K$583&lt;=VAL_DATE)+(COUNTIF('Dvd Calendar'!$E$590:$AR$590,'Dvd Calendar'!$K$583)=0))&gt;0)=0,"",'Dvd Calendar'!$K$583*1000000000+ISNUMBER('Dvd Calendar'!$K$586)*100000000+('Dvd Calendar'!$K$588=SPECIAL_LBL)*10000000+(N('Dvd Calendar'!$K$582)&gt;0)*(N('Dvd Calendar'!$K$582)&lt;=VAL_SERIAL)*1000000+53*1000+7))</f>
        <v/>
      </c>
      <c r="EL64" s="121">
        <f>IF(N('Dvd Calendar'!$L$583)=0,"",IF(('Dvd Calendar'!$L$583&gt;=GRID_FROM)*('Dvd Calendar'!$L$583&lt;=GRID_TO)*((('Dvd Calendar'!$L$583&lt;=VAL_DATE)+(COUNTIF('Dvd Calendar'!$E$590:$AR$590,'Dvd Calendar'!$L$583)=0))&gt;0)=0,"",'Dvd Calendar'!$L$583*1000000000+ISNUMBER('Dvd Calendar'!$L$586)*100000000+('Dvd Calendar'!$L$588=SPECIAL_LBL)*10000000+(N('Dvd Calendar'!$L$582)&gt;0)*(N('Dvd Calendar'!$L$582)&lt;=VAL_SERIAL)*1000000+53*1000+8))</f>
        <v/>
      </c>
      <c r="EM64" s="121">
        <f>IF(N('Dvd Calendar'!$M$583)=0,"",IF(('Dvd Calendar'!$M$583&gt;=GRID_FROM)*('Dvd Calendar'!$M$583&lt;=GRID_TO)*((('Dvd Calendar'!$M$583&lt;=VAL_DATE)+(COUNTIF('Dvd Calendar'!$E$590:$AR$590,'Dvd Calendar'!$M$583)=0))&gt;0)=0,"",'Dvd Calendar'!$M$583*1000000000+ISNUMBER('Dvd Calendar'!$M$586)*100000000+('Dvd Calendar'!$M$588=SPECIAL_LBL)*10000000+(N('Dvd Calendar'!$M$582)&gt;0)*(N('Dvd Calendar'!$M$582)&lt;=VAL_SERIAL)*1000000+53*1000+9))</f>
        <v/>
      </c>
      <c r="EN64" s="121">
        <f>IF(N('Dvd Calendar'!$N$583)=0,"",IF(('Dvd Calendar'!$N$583&gt;=GRID_FROM)*('Dvd Calendar'!$N$583&lt;=GRID_TO)*((('Dvd Calendar'!$N$583&lt;=VAL_DATE)+(COUNTIF('Dvd Calendar'!$E$590:$AR$590,'Dvd Calendar'!$N$583)=0))&gt;0)=0,"",'Dvd Calendar'!$N$583*1000000000+ISNUMBER('Dvd Calendar'!$N$586)*100000000+('Dvd Calendar'!$N$588=SPECIAL_LBL)*10000000+(N('Dvd Calendar'!$N$582)&gt;0)*(N('Dvd Calendar'!$N$582)&lt;=VAL_SERIAL)*1000000+53*1000+10))</f>
        <v/>
      </c>
      <c r="EO64" s="121">
        <f>IF(N('Dvd Calendar'!$O$583)=0,"",IF(('Dvd Calendar'!$O$583&gt;=GRID_FROM)*('Dvd Calendar'!$O$583&lt;=GRID_TO)*((('Dvd Calendar'!$O$583&lt;=VAL_DATE)+(COUNTIF('Dvd Calendar'!$E$590:$AR$590,'Dvd Calendar'!$O$583)=0))&gt;0)=0,"",'Dvd Calendar'!$O$583*1000000000+ISNUMBER('Dvd Calendar'!$O$586)*100000000+('Dvd Calendar'!$O$588=SPECIAL_LBL)*10000000+(N('Dvd Calendar'!$O$582)&gt;0)*(N('Dvd Calendar'!$O$582)&lt;=VAL_SERIAL)*1000000+53*1000+11))</f>
        <v/>
      </c>
      <c r="EP64" s="121">
        <f>IF(N('Dvd Calendar'!$P$583)=0,"",IF(('Dvd Calendar'!$P$583&gt;=GRID_FROM)*('Dvd Calendar'!$P$583&lt;=GRID_TO)*((('Dvd Calendar'!$P$583&lt;=VAL_DATE)+(COUNTIF('Dvd Calendar'!$E$590:$AR$590,'Dvd Calendar'!$P$583)=0))&gt;0)=0,"",'Dvd Calendar'!$P$583*1000000000+ISNUMBER('Dvd Calendar'!$P$586)*100000000+('Dvd Calendar'!$P$588=SPECIAL_LBL)*10000000+(N('Dvd Calendar'!$P$582)&gt;0)*(N('Dvd Calendar'!$P$582)&lt;=VAL_SERIAL)*1000000+53*1000+12))</f>
        <v/>
      </c>
      <c r="EQ64" s="121">
        <f>IF(N('Dvd Calendar'!$Q$583)=0,"",IF(('Dvd Calendar'!$Q$583&gt;=GRID_FROM)*('Dvd Calendar'!$Q$583&lt;=GRID_TO)*((('Dvd Calendar'!$Q$583&lt;=VAL_DATE)+(COUNTIF('Dvd Calendar'!$E$590:$AR$590,'Dvd Calendar'!$Q$583)=0))&gt;0)=0,"",'Dvd Calendar'!$Q$583*1000000000+ISNUMBER('Dvd Calendar'!$Q$586)*100000000+('Dvd Calendar'!$Q$588=SPECIAL_LBL)*10000000+(N('Dvd Calendar'!$Q$582)&gt;0)*(N('Dvd Calendar'!$Q$582)&lt;=VAL_SERIAL)*1000000+53*1000+13))</f>
        <v/>
      </c>
      <c r="ER64" s="121">
        <f>IF(N('Dvd Calendar'!$R$583)=0,"",IF(('Dvd Calendar'!$R$583&gt;=GRID_FROM)*('Dvd Calendar'!$R$583&lt;=GRID_TO)*((('Dvd Calendar'!$R$583&lt;=VAL_DATE)+(COUNTIF('Dvd Calendar'!$E$590:$AR$590,'Dvd Calendar'!$R$583)=0))&gt;0)=0,"",'Dvd Calendar'!$R$583*1000000000+ISNUMBER('Dvd Calendar'!$R$586)*100000000+('Dvd Calendar'!$R$588=SPECIAL_LBL)*10000000+(N('Dvd Calendar'!$R$582)&gt;0)*(N('Dvd Calendar'!$R$582)&lt;=VAL_SERIAL)*1000000+53*1000+14))</f>
        <v/>
      </c>
      <c r="ES64" s="121">
        <f>IF(N('Dvd Calendar'!$S$583)=0,"",IF(('Dvd Calendar'!$S$583&gt;=GRID_FROM)*('Dvd Calendar'!$S$583&lt;=GRID_TO)*((('Dvd Calendar'!$S$583&lt;=VAL_DATE)+(COUNTIF('Dvd Calendar'!$E$590:$AR$590,'Dvd Calendar'!$S$583)=0))&gt;0)=0,"",'Dvd Calendar'!$S$583*1000000000+ISNUMBER('Dvd Calendar'!$S$586)*100000000+('Dvd Calendar'!$S$588=SPECIAL_LBL)*10000000+(N('Dvd Calendar'!$S$582)&gt;0)*(N('Dvd Calendar'!$S$582)&lt;=VAL_SERIAL)*1000000+53*1000+15))</f>
        <v/>
      </c>
      <c r="ET64" s="121">
        <f>IF(N('Dvd Calendar'!$T$583)=0,"",IF(('Dvd Calendar'!$T$583&gt;=GRID_FROM)*('Dvd Calendar'!$T$583&lt;=GRID_TO)*((('Dvd Calendar'!$T$583&lt;=VAL_DATE)+(COUNTIF('Dvd Calendar'!$E$590:$AR$590,'Dvd Calendar'!$T$583)=0))&gt;0)=0,"",'Dvd Calendar'!$T$583*1000000000+ISNUMBER('Dvd Calendar'!$T$586)*100000000+('Dvd Calendar'!$T$588=SPECIAL_LBL)*10000000+(N('Dvd Calendar'!$T$582)&gt;0)*(N('Dvd Calendar'!$T$582)&lt;=VAL_SERIAL)*1000000+53*1000+16))</f>
        <v/>
      </c>
      <c r="EU64" s="121">
        <f>IF(N('Dvd Calendar'!$U$583)=0,"",IF(('Dvd Calendar'!$U$583&gt;=GRID_FROM)*('Dvd Calendar'!$U$583&lt;=GRID_TO)*((('Dvd Calendar'!$U$583&lt;=VAL_DATE)+(COUNTIF('Dvd Calendar'!$E$590:$AR$590,'Dvd Calendar'!$U$583)=0))&gt;0)=0,"",'Dvd Calendar'!$U$583*1000000000+ISNUMBER('Dvd Calendar'!$U$586)*100000000+('Dvd Calendar'!$U$588=SPECIAL_LBL)*10000000+(N('Dvd Calendar'!$U$582)&gt;0)*(N('Dvd Calendar'!$U$582)&lt;=VAL_SERIAL)*1000000+53*1000+17))</f>
        <v/>
      </c>
      <c r="EV64" s="121">
        <f>IF(N('Dvd Calendar'!$V$583)=0,"",IF(('Dvd Calendar'!$V$583&gt;=GRID_FROM)*('Dvd Calendar'!$V$583&lt;=GRID_TO)*((('Dvd Calendar'!$V$583&lt;=VAL_DATE)+(COUNTIF('Dvd Calendar'!$E$590:$AR$590,'Dvd Calendar'!$V$583)=0))&gt;0)=0,"",'Dvd Calendar'!$V$583*1000000000+ISNUMBER('Dvd Calendar'!$V$586)*100000000+('Dvd Calendar'!$V$588=SPECIAL_LBL)*10000000+(N('Dvd Calendar'!$V$582)&gt;0)*(N('Dvd Calendar'!$V$582)&lt;=VAL_SERIAL)*1000000+53*1000+18))</f>
        <v/>
      </c>
      <c r="EW64" s="121">
        <f>IF(N('Dvd Calendar'!$W$583)=0,"",IF(('Dvd Calendar'!$W$583&gt;=GRID_FROM)*('Dvd Calendar'!$W$583&lt;=GRID_TO)*((('Dvd Calendar'!$W$583&lt;=VAL_DATE)+(COUNTIF('Dvd Calendar'!$E$590:$AR$590,'Dvd Calendar'!$W$583)=0))&gt;0)=0,"",'Dvd Calendar'!$W$583*1000000000+ISNUMBER('Dvd Calendar'!$W$586)*100000000+('Dvd Calendar'!$W$588=SPECIAL_LBL)*10000000+(N('Dvd Calendar'!$W$582)&gt;0)*(N('Dvd Calendar'!$W$582)&lt;=VAL_SERIAL)*1000000+53*1000+19))</f>
        <v/>
      </c>
      <c r="EX64" s="121">
        <f>IF(N('Dvd Calendar'!$X$583)=0,"",IF(('Dvd Calendar'!$X$583&gt;=GRID_FROM)*('Dvd Calendar'!$X$583&lt;=GRID_TO)*((('Dvd Calendar'!$X$583&lt;=VAL_DATE)+(COUNTIF('Dvd Calendar'!$E$590:$AR$590,'Dvd Calendar'!$X$583)=0))&gt;0)=0,"",'Dvd Calendar'!$X$583*1000000000+ISNUMBER('Dvd Calendar'!$X$586)*100000000+('Dvd Calendar'!$X$588=SPECIAL_LBL)*10000000+(N('Dvd Calendar'!$X$582)&gt;0)*(N('Dvd Calendar'!$X$582)&lt;=VAL_SERIAL)*1000000+53*1000+20))</f>
        <v/>
      </c>
      <c r="EY64" s="121">
        <f>IF(N('Dvd Calendar'!$Y$583)=0,"",IF(('Dvd Calendar'!$Y$583&gt;=GRID_FROM)*('Dvd Calendar'!$Y$583&lt;=GRID_TO)*((('Dvd Calendar'!$Y$583&lt;=VAL_DATE)+(COUNTIF('Dvd Calendar'!$E$590:$AR$590,'Dvd Calendar'!$Y$583)=0))&gt;0)=0,"",'Dvd Calendar'!$Y$583*1000000000+ISNUMBER('Dvd Calendar'!$Y$586)*100000000+('Dvd Calendar'!$Y$588=SPECIAL_LBL)*10000000+(N('Dvd Calendar'!$Y$582)&gt;0)*(N('Dvd Calendar'!$Y$582)&lt;=VAL_SERIAL)*1000000+53*1000+21))</f>
        <v/>
      </c>
      <c r="EZ64" s="121">
        <f>IF(N('Dvd Calendar'!$Z$583)=0,"",IF(('Dvd Calendar'!$Z$583&gt;=GRID_FROM)*('Dvd Calendar'!$Z$583&lt;=GRID_TO)*((('Dvd Calendar'!$Z$583&lt;=VAL_DATE)+(COUNTIF('Dvd Calendar'!$E$590:$AR$590,'Dvd Calendar'!$Z$583)=0))&gt;0)=0,"",'Dvd Calendar'!$Z$583*1000000000+ISNUMBER('Dvd Calendar'!$Z$586)*100000000+('Dvd Calendar'!$Z$588=SPECIAL_LBL)*10000000+(N('Dvd Calendar'!$Z$582)&gt;0)*(N('Dvd Calendar'!$Z$582)&lt;=VAL_SERIAL)*1000000+53*1000+22))</f>
        <v/>
      </c>
      <c r="FA64" s="121">
        <f>IF(N('Dvd Calendar'!$AA$583)=0,"",IF(('Dvd Calendar'!$AA$583&gt;=GRID_FROM)*('Dvd Calendar'!$AA$583&lt;=GRID_TO)*((('Dvd Calendar'!$AA$583&lt;=VAL_DATE)+(COUNTIF('Dvd Calendar'!$E$590:$AR$590,'Dvd Calendar'!$AA$583)=0))&gt;0)=0,"",'Dvd Calendar'!$AA$583*1000000000+ISNUMBER('Dvd Calendar'!$AA$586)*100000000+('Dvd Calendar'!$AA$588=SPECIAL_LBL)*10000000+(N('Dvd Calendar'!$AA$582)&gt;0)*(N('Dvd Calendar'!$AA$582)&lt;=VAL_SERIAL)*1000000+53*1000+23))</f>
        <v/>
      </c>
      <c r="FB64" s="121">
        <f>IF(N('Dvd Calendar'!$AB$583)=0,"",IF(('Dvd Calendar'!$AB$583&gt;=GRID_FROM)*('Dvd Calendar'!$AB$583&lt;=GRID_TO)*((('Dvd Calendar'!$AB$583&lt;=VAL_DATE)+(COUNTIF('Dvd Calendar'!$E$590:$AR$590,'Dvd Calendar'!$AB$583)=0))&gt;0)=0,"",'Dvd Calendar'!$AB$583*1000000000+ISNUMBER('Dvd Calendar'!$AB$586)*100000000+('Dvd Calendar'!$AB$588=SPECIAL_LBL)*10000000+(N('Dvd Calendar'!$AB$582)&gt;0)*(N('Dvd Calendar'!$AB$582)&lt;=VAL_SERIAL)*1000000+53*1000+24))</f>
        <v/>
      </c>
      <c r="FC64" s="121">
        <f>IF(N('Dvd Calendar'!$AC$583)=0,"",IF(('Dvd Calendar'!$AC$583&gt;=GRID_FROM)*('Dvd Calendar'!$AC$583&lt;=GRID_TO)*((('Dvd Calendar'!$AC$583&lt;=VAL_DATE)+(COUNTIF('Dvd Calendar'!$E$590:$AR$590,'Dvd Calendar'!$AC$583)=0))&gt;0)=0,"",'Dvd Calendar'!$AC$583*1000000000+ISNUMBER('Dvd Calendar'!$AC$586)*100000000+('Dvd Calendar'!$AC$588=SPECIAL_LBL)*10000000+(N('Dvd Calendar'!$AC$582)&gt;0)*(N('Dvd Calendar'!$AC$582)&lt;=VAL_SERIAL)*1000000+53*1000+25))</f>
        <v/>
      </c>
      <c r="FD64" s="121">
        <f>IF(N('Dvd Calendar'!$AD$583)=0,"",IF(('Dvd Calendar'!$AD$583&gt;=GRID_FROM)*('Dvd Calendar'!$AD$583&lt;=GRID_TO)*((('Dvd Calendar'!$AD$583&lt;=VAL_DATE)+(COUNTIF('Dvd Calendar'!$E$590:$AR$590,'Dvd Calendar'!$AD$583)=0))&gt;0)=0,"",'Dvd Calendar'!$AD$583*1000000000+ISNUMBER('Dvd Calendar'!$AD$586)*100000000+('Dvd Calendar'!$AD$588=SPECIAL_LBL)*10000000+(N('Dvd Calendar'!$AD$582)&gt;0)*(N('Dvd Calendar'!$AD$582)&lt;=VAL_SERIAL)*1000000+53*1000+26))</f>
        <v/>
      </c>
      <c r="FE64" s="121">
        <f>IF(N('Dvd Calendar'!$AE$583)=0,"",IF(('Dvd Calendar'!$AE$583&gt;=GRID_FROM)*('Dvd Calendar'!$AE$583&lt;=GRID_TO)*((('Dvd Calendar'!$AE$583&lt;=VAL_DATE)+(COUNTIF('Dvd Calendar'!$E$590:$AR$590,'Dvd Calendar'!$AE$583)=0))&gt;0)=0,"",'Dvd Calendar'!$AE$583*1000000000+ISNUMBER('Dvd Calendar'!$AE$586)*100000000+('Dvd Calendar'!$AE$588=SPECIAL_LBL)*10000000+(N('Dvd Calendar'!$AE$582)&gt;0)*(N('Dvd Calendar'!$AE$582)&lt;=VAL_SERIAL)*1000000+53*1000+27))</f>
        <v/>
      </c>
      <c r="FF64" s="121">
        <f>IF(N('Dvd Calendar'!$AF$583)=0,"",IF(('Dvd Calendar'!$AF$583&gt;=GRID_FROM)*('Dvd Calendar'!$AF$583&lt;=GRID_TO)*((('Dvd Calendar'!$AF$583&lt;=VAL_DATE)+(COUNTIF('Dvd Calendar'!$E$590:$AR$590,'Dvd Calendar'!$AF$583)=0))&gt;0)=0,"",'Dvd Calendar'!$AF$583*1000000000+ISNUMBER('Dvd Calendar'!$AF$586)*100000000+('Dvd Calendar'!$AF$588=SPECIAL_LBL)*10000000+(N('Dvd Calendar'!$AF$582)&gt;0)*(N('Dvd Calendar'!$AF$582)&lt;=VAL_SERIAL)*1000000+53*1000+28))</f>
        <v/>
      </c>
      <c r="FG64" s="121">
        <f>IF(N('Dvd Calendar'!$AG$583)=0,"",IF(('Dvd Calendar'!$AG$583&gt;=GRID_FROM)*('Dvd Calendar'!$AG$583&lt;=GRID_TO)*((('Dvd Calendar'!$AG$583&lt;=VAL_DATE)+(COUNTIF('Dvd Calendar'!$E$590:$AR$590,'Dvd Calendar'!$AG$583)=0))&gt;0)=0,"",'Dvd Calendar'!$AG$583*1000000000+ISNUMBER('Dvd Calendar'!$AG$586)*100000000+('Dvd Calendar'!$AG$588=SPECIAL_LBL)*10000000+(N('Dvd Calendar'!$AG$582)&gt;0)*(N('Dvd Calendar'!$AG$582)&lt;=VAL_SERIAL)*1000000+53*1000+29))</f>
        <v/>
      </c>
      <c r="FH64" s="121">
        <f>IF(N('Dvd Calendar'!$AH$583)=0,"",IF(('Dvd Calendar'!$AH$583&gt;=GRID_FROM)*('Dvd Calendar'!$AH$583&lt;=GRID_TO)*((('Dvd Calendar'!$AH$583&lt;=VAL_DATE)+(COUNTIF('Dvd Calendar'!$E$590:$AR$590,'Dvd Calendar'!$AH$583)=0))&gt;0)=0,"",'Dvd Calendar'!$AH$583*1000000000+ISNUMBER('Dvd Calendar'!$AH$586)*100000000+('Dvd Calendar'!$AH$588=SPECIAL_LBL)*10000000+(N('Dvd Calendar'!$AH$582)&gt;0)*(N('Dvd Calendar'!$AH$582)&lt;=VAL_SERIAL)*1000000+53*1000+30))</f>
        <v/>
      </c>
      <c r="FI64" s="121">
        <f>IF(N('Dvd Calendar'!$AI$583)=0,"",IF(('Dvd Calendar'!$AI$583&gt;=GRID_FROM)*('Dvd Calendar'!$AI$583&lt;=GRID_TO)*((('Dvd Calendar'!$AI$583&lt;=VAL_DATE)+(COUNTIF('Dvd Calendar'!$E$590:$AR$590,'Dvd Calendar'!$AI$583)=0))&gt;0)=0,"",'Dvd Calendar'!$AI$583*1000000000+ISNUMBER('Dvd Calendar'!$AI$586)*100000000+('Dvd Calendar'!$AI$588=SPECIAL_LBL)*10000000+(N('Dvd Calendar'!$AI$582)&gt;0)*(N('Dvd Calendar'!$AI$582)&lt;=VAL_SERIAL)*1000000+53*1000+31))</f>
        <v/>
      </c>
      <c r="FJ64" s="121">
        <f>IF(N('Dvd Calendar'!$AJ$583)=0,"",IF(('Dvd Calendar'!$AJ$583&gt;=GRID_FROM)*('Dvd Calendar'!$AJ$583&lt;=GRID_TO)*((('Dvd Calendar'!$AJ$583&lt;=VAL_DATE)+(COUNTIF('Dvd Calendar'!$E$590:$AR$590,'Dvd Calendar'!$AJ$583)=0))&gt;0)=0,"",'Dvd Calendar'!$AJ$583*1000000000+ISNUMBER('Dvd Calendar'!$AJ$586)*100000000+('Dvd Calendar'!$AJ$588=SPECIAL_LBL)*10000000+(N('Dvd Calendar'!$AJ$582)&gt;0)*(N('Dvd Calendar'!$AJ$582)&lt;=VAL_SERIAL)*1000000+53*1000+32))</f>
        <v/>
      </c>
      <c r="FK64" s="121">
        <f>IF(N('Dvd Calendar'!$AK$583)=0,"",IF(('Dvd Calendar'!$AK$583&gt;=GRID_FROM)*('Dvd Calendar'!$AK$583&lt;=GRID_TO)*((('Dvd Calendar'!$AK$583&lt;=VAL_DATE)+(COUNTIF('Dvd Calendar'!$E$590:$AR$590,'Dvd Calendar'!$AK$583)=0))&gt;0)=0,"",'Dvd Calendar'!$AK$583*1000000000+ISNUMBER('Dvd Calendar'!$AK$586)*100000000+('Dvd Calendar'!$AK$588=SPECIAL_LBL)*10000000+(N('Dvd Calendar'!$AK$582)&gt;0)*(N('Dvd Calendar'!$AK$582)&lt;=VAL_SERIAL)*1000000+53*1000+33))</f>
        <v/>
      </c>
      <c r="FL64" s="121">
        <f>IF(N('Dvd Calendar'!$AL$583)=0,"",IF(('Dvd Calendar'!$AL$583&gt;=GRID_FROM)*('Dvd Calendar'!$AL$583&lt;=GRID_TO)*((('Dvd Calendar'!$AL$583&lt;=VAL_DATE)+(COUNTIF('Dvd Calendar'!$E$590:$AR$590,'Dvd Calendar'!$AL$583)=0))&gt;0)=0,"",'Dvd Calendar'!$AL$583*1000000000+ISNUMBER('Dvd Calendar'!$AL$586)*100000000+('Dvd Calendar'!$AL$588=SPECIAL_LBL)*10000000+(N('Dvd Calendar'!$AL$582)&gt;0)*(N('Dvd Calendar'!$AL$582)&lt;=VAL_SERIAL)*1000000+53*1000+34))</f>
        <v/>
      </c>
      <c r="FM64" s="121">
        <f>IF(N('Dvd Calendar'!$AM$583)=0,"",IF(('Dvd Calendar'!$AM$583&gt;=GRID_FROM)*('Dvd Calendar'!$AM$583&lt;=GRID_TO)*((('Dvd Calendar'!$AM$583&lt;=VAL_DATE)+(COUNTIF('Dvd Calendar'!$E$590:$AR$590,'Dvd Calendar'!$AM$583)=0))&gt;0)=0,"",'Dvd Calendar'!$AM$583*1000000000+ISNUMBER('Dvd Calendar'!$AM$586)*100000000+('Dvd Calendar'!$AM$588=SPECIAL_LBL)*10000000+(N('Dvd Calendar'!$AM$582)&gt;0)*(N('Dvd Calendar'!$AM$582)&lt;=VAL_SERIAL)*1000000+53*1000+35))</f>
        <v/>
      </c>
      <c r="FN64" s="121">
        <f>IF(N('Dvd Calendar'!$AN$583)=0,"",IF(('Dvd Calendar'!$AN$583&gt;=GRID_FROM)*('Dvd Calendar'!$AN$583&lt;=GRID_TO)*((('Dvd Calendar'!$AN$583&lt;=VAL_DATE)+(COUNTIF('Dvd Calendar'!$E$590:$AR$590,'Dvd Calendar'!$AN$583)=0))&gt;0)=0,"",'Dvd Calendar'!$AN$583*1000000000+ISNUMBER('Dvd Calendar'!$AN$586)*100000000+('Dvd Calendar'!$AN$588=SPECIAL_LBL)*10000000+(N('Dvd Calendar'!$AN$582)&gt;0)*(N('Dvd Calendar'!$AN$582)&lt;=VAL_SERIAL)*1000000+53*1000+36))</f>
        <v/>
      </c>
      <c r="FO64" s="121">
        <f>IF(N('Dvd Calendar'!$AO$583)=0,"",IF(('Dvd Calendar'!$AO$583&gt;=GRID_FROM)*('Dvd Calendar'!$AO$583&lt;=GRID_TO)*((('Dvd Calendar'!$AO$583&lt;=VAL_DATE)+(COUNTIF('Dvd Calendar'!$E$590:$AR$590,'Dvd Calendar'!$AO$583)=0))&gt;0)=0,"",'Dvd Calendar'!$AO$583*1000000000+ISNUMBER('Dvd Calendar'!$AO$586)*100000000+('Dvd Calendar'!$AO$588=SPECIAL_LBL)*10000000+(N('Dvd Calendar'!$AO$582)&gt;0)*(N('Dvd Calendar'!$AO$582)&lt;=VAL_SERIAL)*1000000+53*1000+37))</f>
        <v/>
      </c>
      <c r="FP64" s="121">
        <f>IF(N('Dvd Calendar'!$AP$583)=0,"",IF(('Dvd Calendar'!$AP$583&gt;=GRID_FROM)*('Dvd Calendar'!$AP$583&lt;=GRID_TO)*((('Dvd Calendar'!$AP$583&lt;=VAL_DATE)+(COUNTIF('Dvd Calendar'!$E$590:$AR$590,'Dvd Calendar'!$AP$583)=0))&gt;0)=0,"",'Dvd Calendar'!$AP$583*1000000000+ISNUMBER('Dvd Calendar'!$AP$586)*100000000+('Dvd Calendar'!$AP$588=SPECIAL_LBL)*10000000+(N('Dvd Calendar'!$AP$582)&gt;0)*(N('Dvd Calendar'!$AP$582)&lt;=VAL_SERIAL)*1000000+53*1000+38))</f>
        <v/>
      </c>
      <c r="FQ64" s="121">
        <f>IF(N('Dvd Calendar'!$AQ$583)=0,"",IF(('Dvd Calendar'!$AQ$583&gt;=GRID_FROM)*('Dvd Calendar'!$AQ$583&lt;=GRID_TO)*((('Dvd Calendar'!$AQ$583&lt;=VAL_DATE)+(COUNTIF('Dvd Calendar'!$E$590:$AR$590,'Dvd Calendar'!$AQ$583)=0))&gt;0)=0,"",'Dvd Calendar'!$AQ$583*1000000000+ISNUMBER('Dvd Calendar'!$AQ$586)*100000000+('Dvd Calendar'!$AQ$588=SPECIAL_LBL)*10000000+(N('Dvd Calendar'!$AQ$582)&gt;0)*(N('Dvd Calendar'!$AQ$582)&lt;=VAL_SERIAL)*1000000+53*1000+39))</f>
        <v/>
      </c>
      <c r="FR64" s="121">
        <f>IF(N('Dvd Calendar'!$AR$583)=0,"",IF(('Dvd Calendar'!$AR$583&gt;=GRID_FROM)*('Dvd Calendar'!$AR$583&lt;=GRID_TO)*((('Dvd Calendar'!$AR$583&lt;=VAL_DATE)+(COUNTIF('Dvd Calendar'!$E$590:$AR$590,'Dvd Calendar'!$AR$583)=0))&gt;0)=0,"",'Dvd Calendar'!$AR$583*1000000000+ISNUMBER('Dvd Calendar'!$AR$586)*100000000+('Dvd Calendar'!$AR$588=SPECIAL_LBL)*10000000+(N('Dvd Calendar'!$AR$582)&gt;0)*(N('Dvd Calendar'!$AR$582)&lt;=VAL_SERIAL)*1000000+53*1000+40))</f>
        <v/>
      </c>
      <c r="FS64" s="121">
        <f>IF(N('Dvd Calendar'!$E$590)=0,"",IF(('Dvd Calendar'!$E$590&gt;=GRID_FROM)*('Dvd Calendar'!$E$590&lt;=GRID_TO)*('Dvd Calendar'!$E$590&gt;VAL_DATE)=0,"",'Dvd Calendar'!$E$590*1000000000+ISNUMBER('Dvd Calendar'!$E$591)*100000000+0*10000000+(N('Dvd Calendar'!$E$589)&gt;0)*(N('Dvd Calendar'!$E$589)&lt;=VAL_SERIAL)*1000000+53*1000+41))</f>
        <v/>
      </c>
      <c r="FT64" s="121">
        <f>IF(N('Dvd Calendar'!$F$590)=0,"",IF(('Dvd Calendar'!$F$590&gt;=GRID_FROM)*('Dvd Calendar'!$F$590&lt;=GRID_TO)*('Dvd Calendar'!$F$590&gt;VAL_DATE)=0,"",'Dvd Calendar'!$F$590*1000000000+ISNUMBER('Dvd Calendar'!$F$591)*100000000+0*10000000+(N('Dvd Calendar'!$F$589)&gt;0)*(N('Dvd Calendar'!$F$589)&lt;=VAL_SERIAL)*1000000+53*1000+42))</f>
        <v/>
      </c>
      <c r="FU64" s="121">
        <f>IF(N('Dvd Calendar'!$G$590)=0,"",IF(('Dvd Calendar'!$G$590&gt;=GRID_FROM)*('Dvd Calendar'!$G$590&lt;=GRID_TO)*('Dvd Calendar'!$G$590&gt;VAL_DATE)=0,"",'Dvd Calendar'!$G$590*1000000000+ISNUMBER('Dvd Calendar'!$G$591)*100000000+0*10000000+(N('Dvd Calendar'!$G$589)&gt;0)*(N('Dvd Calendar'!$G$589)&lt;=VAL_SERIAL)*1000000+53*1000+43))</f>
        <v/>
      </c>
      <c r="FV64" s="121">
        <f>IF(N('Dvd Calendar'!$H$590)=0,"",IF(('Dvd Calendar'!$H$590&gt;=GRID_FROM)*('Dvd Calendar'!$H$590&lt;=GRID_TO)*('Dvd Calendar'!$H$590&gt;VAL_DATE)=0,"",'Dvd Calendar'!$H$590*1000000000+ISNUMBER('Dvd Calendar'!$H$591)*100000000+0*10000000+(N('Dvd Calendar'!$H$589)&gt;0)*(N('Dvd Calendar'!$H$589)&lt;=VAL_SERIAL)*1000000+53*1000+44))</f>
        <v/>
      </c>
      <c r="FW64" s="121">
        <f>IF(N('Dvd Calendar'!$I$590)=0,"",IF(('Dvd Calendar'!$I$590&gt;=GRID_FROM)*('Dvd Calendar'!$I$590&lt;=GRID_TO)*('Dvd Calendar'!$I$590&gt;VAL_DATE)=0,"",'Dvd Calendar'!$I$590*1000000000+ISNUMBER('Dvd Calendar'!$I$591)*100000000+0*10000000+(N('Dvd Calendar'!$I$589)&gt;0)*(N('Dvd Calendar'!$I$589)&lt;=VAL_SERIAL)*1000000+53*1000+45))</f>
        <v/>
      </c>
      <c r="FX64" s="121">
        <f>IF(N('Dvd Calendar'!$J$590)=0,"",IF(('Dvd Calendar'!$J$590&gt;=GRID_FROM)*('Dvd Calendar'!$J$590&lt;=GRID_TO)*('Dvd Calendar'!$J$590&gt;VAL_DATE)=0,"",'Dvd Calendar'!$J$590*1000000000+ISNUMBER('Dvd Calendar'!$J$591)*100000000+0*10000000+(N('Dvd Calendar'!$J$589)&gt;0)*(N('Dvd Calendar'!$J$589)&lt;=VAL_SERIAL)*1000000+53*1000+46))</f>
        <v/>
      </c>
      <c r="FY64" s="121">
        <f>IF(N('Dvd Calendar'!$K$590)=0,"",IF(('Dvd Calendar'!$K$590&gt;=GRID_FROM)*('Dvd Calendar'!$K$590&lt;=GRID_TO)*('Dvd Calendar'!$K$590&gt;VAL_DATE)=0,"",'Dvd Calendar'!$K$590*1000000000+ISNUMBER('Dvd Calendar'!$K$591)*100000000+0*10000000+(N('Dvd Calendar'!$K$589)&gt;0)*(N('Dvd Calendar'!$K$589)&lt;=VAL_SERIAL)*1000000+53*1000+47))</f>
        <v/>
      </c>
      <c r="FZ64" s="121">
        <f>IF(N('Dvd Calendar'!$L$590)=0,"",IF(('Dvd Calendar'!$L$590&gt;=GRID_FROM)*('Dvd Calendar'!$L$590&lt;=GRID_TO)*('Dvd Calendar'!$L$590&gt;VAL_DATE)=0,"",'Dvd Calendar'!$L$590*1000000000+ISNUMBER('Dvd Calendar'!$L$591)*100000000+0*10000000+(N('Dvd Calendar'!$L$589)&gt;0)*(N('Dvd Calendar'!$L$589)&lt;=VAL_SERIAL)*1000000+53*1000+48))</f>
        <v/>
      </c>
      <c r="GA64" s="121">
        <f>IF(N('Dvd Calendar'!$M$590)=0,"",IF(('Dvd Calendar'!$M$590&gt;=GRID_FROM)*('Dvd Calendar'!$M$590&lt;=GRID_TO)*('Dvd Calendar'!$M$590&gt;VAL_DATE)=0,"",'Dvd Calendar'!$M$590*1000000000+ISNUMBER('Dvd Calendar'!$M$591)*100000000+0*10000000+(N('Dvd Calendar'!$M$589)&gt;0)*(N('Dvd Calendar'!$M$589)&lt;=VAL_SERIAL)*1000000+53*1000+49))</f>
        <v/>
      </c>
      <c r="GB64" s="121">
        <f>IF(N('Dvd Calendar'!$N$590)=0,"",IF(('Dvd Calendar'!$N$590&gt;=GRID_FROM)*('Dvd Calendar'!$N$590&lt;=GRID_TO)*('Dvd Calendar'!$N$590&gt;VAL_DATE)=0,"",'Dvd Calendar'!$N$590*1000000000+ISNUMBER('Dvd Calendar'!$N$591)*100000000+0*10000000+(N('Dvd Calendar'!$N$589)&gt;0)*(N('Dvd Calendar'!$N$589)&lt;=VAL_SERIAL)*1000000+53*1000+50))</f>
        <v/>
      </c>
      <c r="GC64" s="121">
        <f>IF(N('Dvd Calendar'!$O$590)=0,"",IF(('Dvd Calendar'!$O$590&gt;=GRID_FROM)*('Dvd Calendar'!$O$590&lt;=GRID_TO)*('Dvd Calendar'!$O$590&gt;VAL_DATE)=0,"",'Dvd Calendar'!$O$590*1000000000+ISNUMBER('Dvd Calendar'!$O$591)*100000000+0*10000000+(N('Dvd Calendar'!$O$589)&gt;0)*(N('Dvd Calendar'!$O$589)&lt;=VAL_SERIAL)*1000000+53*1000+51))</f>
        <v/>
      </c>
      <c r="GD64" s="121">
        <f>IF(N('Dvd Calendar'!$P$590)=0,"",IF(('Dvd Calendar'!$P$590&gt;=GRID_FROM)*('Dvd Calendar'!$P$590&lt;=GRID_TO)*('Dvd Calendar'!$P$590&gt;VAL_DATE)=0,"",'Dvd Calendar'!$P$590*1000000000+ISNUMBER('Dvd Calendar'!$P$591)*100000000+0*10000000+(N('Dvd Calendar'!$P$589)&gt;0)*(N('Dvd Calendar'!$P$589)&lt;=VAL_SERIAL)*1000000+53*1000+52))</f>
        <v/>
      </c>
      <c r="GE64" s="121">
        <f>IF(N('Dvd Calendar'!$Q$590)=0,"",IF(('Dvd Calendar'!$Q$590&gt;=GRID_FROM)*('Dvd Calendar'!$Q$590&lt;=GRID_TO)*('Dvd Calendar'!$Q$590&gt;VAL_DATE)=0,"",'Dvd Calendar'!$Q$590*1000000000+ISNUMBER('Dvd Calendar'!$Q$591)*100000000+0*10000000+(N('Dvd Calendar'!$Q$589)&gt;0)*(N('Dvd Calendar'!$Q$589)&lt;=VAL_SERIAL)*1000000+53*1000+53))</f>
        <v/>
      </c>
      <c r="GF64" s="121">
        <f>IF(N('Dvd Calendar'!$R$590)=0,"",IF(('Dvd Calendar'!$R$590&gt;=GRID_FROM)*('Dvd Calendar'!$R$590&lt;=GRID_TO)*('Dvd Calendar'!$R$590&gt;VAL_DATE)=0,"",'Dvd Calendar'!$R$590*1000000000+ISNUMBER('Dvd Calendar'!$R$591)*100000000+0*10000000+(N('Dvd Calendar'!$R$589)&gt;0)*(N('Dvd Calendar'!$R$589)&lt;=VAL_SERIAL)*1000000+53*1000+54))</f>
        <v/>
      </c>
      <c r="GG64" s="121">
        <f>IF(N('Dvd Calendar'!$S$590)=0,"",IF(('Dvd Calendar'!$S$590&gt;=GRID_FROM)*('Dvd Calendar'!$S$590&lt;=GRID_TO)*('Dvd Calendar'!$S$590&gt;VAL_DATE)=0,"",'Dvd Calendar'!$S$590*1000000000+ISNUMBER('Dvd Calendar'!$S$591)*100000000+0*10000000+(N('Dvd Calendar'!$S$589)&gt;0)*(N('Dvd Calendar'!$S$589)&lt;=VAL_SERIAL)*1000000+53*1000+55))</f>
        <v/>
      </c>
      <c r="GH64" s="121">
        <f>IF(N('Dvd Calendar'!$T$590)=0,"",IF(('Dvd Calendar'!$T$590&gt;=GRID_FROM)*('Dvd Calendar'!$T$590&lt;=GRID_TO)*('Dvd Calendar'!$T$590&gt;VAL_DATE)=0,"",'Dvd Calendar'!$T$590*1000000000+ISNUMBER('Dvd Calendar'!$T$591)*100000000+0*10000000+(N('Dvd Calendar'!$T$589)&gt;0)*(N('Dvd Calendar'!$T$589)&lt;=VAL_SERIAL)*1000000+53*1000+56))</f>
        <v/>
      </c>
      <c r="GI64" s="121">
        <f>IF(N('Dvd Calendar'!$U$590)=0,"",IF(('Dvd Calendar'!$U$590&gt;=GRID_FROM)*('Dvd Calendar'!$U$590&lt;=GRID_TO)*('Dvd Calendar'!$U$590&gt;VAL_DATE)=0,"",'Dvd Calendar'!$U$590*1000000000+ISNUMBER('Dvd Calendar'!$U$591)*100000000+0*10000000+(N('Dvd Calendar'!$U$589)&gt;0)*(N('Dvd Calendar'!$U$589)&lt;=VAL_SERIAL)*1000000+53*1000+57))</f>
        <v/>
      </c>
      <c r="GJ64" s="121">
        <f>IF(N('Dvd Calendar'!$V$590)=0,"",IF(('Dvd Calendar'!$V$590&gt;=GRID_FROM)*('Dvd Calendar'!$V$590&lt;=GRID_TO)*('Dvd Calendar'!$V$590&gt;VAL_DATE)=0,"",'Dvd Calendar'!$V$590*1000000000+ISNUMBER('Dvd Calendar'!$V$591)*100000000+0*10000000+(N('Dvd Calendar'!$V$589)&gt;0)*(N('Dvd Calendar'!$V$589)&lt;=VAL_SERIAL)*1000000+53*1000+58))</f>
        <v/>
      </c>
      <c r="GK64" s="121">
        <f>IF(N('Dvd Calendar'!$W$590)=0,"",IF(('Dvd Calendar'!$W$590&gt;=GRID_FROM)*('Dvd Calendar'!$W$590&lt;=GRID_TO)*('Dvd Calendar'!$W$590&gt;VAL_DATE)=0,"",'Dvd Calendar'!$W$590*1000000000+ISNUMBER('Dvd Calendar'!$W$591)*100000000+0*10000000+(N('Dvd Calendar'!$W$589)&gt;0)*(N('Dvd Calendar'!$W$589)&lt;=VAL_SERIAL)*1000000+53*1000+59))</f>
        <v/>
      </c>
      <c r="GL64" s="121">
        <f>IF(N('Dvd Calendar'!$X$590)=0,"",IF(('Dvd Calendar'!$X$590&gt;=GRID_FROM)*('Dvd Calendar'!$X$590&lt;=GRID_TO)*('Dvd Calendar'!$X$590&gt;VAL_DATE)=0,"",'Dvd Calendar'!$X$590*1000000000+ISNUMBER('Dvd Calendar'!$X$591)*100000000+0*10000000+(N('Dvd Calendar'!$X$589)&gt;0)*(N('Dvd Calendar'!$X$589)&lt;=VAL_SERIAL)*1000000+53*1000+60))</f>
        <v/>
      </c>
      <c r="GM64" s="121">
        <f>IF(N('Dvd Calendar'!$Y$590)=0,"",IF(('Dvd Calendar'!$Y$590&gt;=GRID_FROM)*('Dvd Calendar'!$Y$590&lt;=GRID_TO)*('Dvd Calendar'!$Y$590&gt;VAL_DATE)=0,"",'Dvd Calendar'!$Y$590*1000000000+ISNUMBER('Dvd Calendar'!$Y$591)*100000000+0*10000000+(N('Dvd Calendar'!$Y$589)&gt;0)*(N('Dvd Calendar'!$Y$589)&lt;=VAL_SERIAL)*1000000+53*1000+61))</f>
        <v/>
      </c>
      <c r="GN64" s="121">
        <f>IF(N('Dvd Calendar'!$Z$590)=0,"",IF(('Dvd Calendar'!$Z$590&gt;=GRID_FROM)*('Dvd Calendar'!$Z$590&lt;=GRID_TO)*('Dvd Calendar'!$Z$590&gt;VAL_DATE)=0,"",'Dvd Calendar'!$Z$590*1000000000+ISNUMBER('Dvd Calendar'!$Z$591)*100000000+0*10000000+(N('Dvd Calendar'!$Z$589)&gt;0)*(N('Dvd Calendar'!$Z$589)&lt;=VAL_SERIAL)*1000000+53*1000+62))</f>
        <v/>
      </c>
      <c r="GO64" s="121">
        <f>IF(N('Dvd Calendar'!$AA$590)=0,"",IF(('Dvd Calendar'!$AA$590&gt;=GRID_FROM)*('Dvd Calendar'!$AA$590&lt;=GRID_TO)*('Dvd Calendar'!$AA$590&gt;VAL_DATE)=0,"",'Dvd Calendar'!$AA$590*1000000000+ISNUMBER('Dvd Calendar'!$AA$591)*100000000+0*10000000+(N('Dvd Calendar'!$AA$589)&gt;0)*(N('Dvd Calendar'!$AA$589)&lt;=VAL_SERIAL)*1000000+53*1000+63))</f>
        <v/>
      </c>
      <c r="GP64" s="121">
        <f>IF(N('Dvd Calendar'!$AB$590)=0,"",IF(('Dvd Calendar'!$AB$590&gt;=GRID_FROM)*('Dvd Calendar'!$AB$590&lt;=GRID_TO)*('Dvd Calendar'!$AB$590&gt;VAL_DATE)=0,"",'Dvd Calendar'!$AB$590*1000000000+ISNUMBER('Dvd Calendar'!$AB$591)*100000000+0*10000000+(N('Dvd Calendar'!$AB$589)&gt;0)*(N('Dvd Calendar'!$AB$589)&lt;=VAL_SERIAL)*1000000+53*1000+64))</f>
        <v/>
      </c>
      <c r="GQ64" s="121">
        <f>IF(N('Dvd Calendar'!$AC$590)=0,"",IF(('Dvd Calendar'!$AC$590&gt;=GRID_FROM)*('Dvd Calendar'!$AC$590&lt;=GRID_TO)*('Dvd Calendar'!$AC$590&gt;VAL_DATE)=0,"",'Dvd Calendar'!$AC$590*1000000000+ISNUMBER('Dvd Calendar'!$AC$591)*100000000+0*10000000+(N('Dvd Calendar'!$AC$589)&gt;0)*(N('Dvd Calendar'!$AC$589)&lt;=VAL_SERIAL)*1000000+53*1000+65))</f>
        <v/>
      </c>
    </row>
    <row r="65">
      <c r="B65" s="2">
        <f>IF(HSI!$C$60="","",HSI!$C$60)</f>
        <v/>
      </c>
      <c r="C65" s="161">
        <f>IF(EE65="","",IF(ISNUMBER('Dvd Calendar'!$E$597)=FALSE,"",IF((('Dvd Calendar'!$E$599=TYPE1)*(TYPE1&lt;&gt;"")+('Dvd Calendar'!$E$599=TYPE2)*(TYPE2&lt;&gt;"")+('Dvd Calendar'!$E$599=TYPE3)*(TYPE3&lt;&gt;"")+('Dvd Calendar'!$E$599=TYPE4)*(TYPE4&lt;&gt;"")+('Dvd Calendar'!$E$599=SPECIAL_LBL)*(INC_SPECIALS="Y"))=0,"",'Dvd Calendar'!$E$597)))</f>
        <v/>
      </c>
      <c r="D65" s="161">
        <f>IF(EF65="","",IF(ISNUMBER('Dvd Calendar'!$F$597)=FALSE,"",IF((('Dvd Calendar'!$F$599=TYPE1)*(TYPE1&lt;&gt;"")+('Dvd Calendar'!$F$599=TYPE2)*(TYPE2&lt;&gt;"")+('Dvd Calendar'!$F$599=TYPE3)*(TYPE3&lt;&gt;"")+('Dvd Calendar'!$F$599=TYPE4)*(TYPE4&lt;&gt;"")+('Dvd Calendar'!$F$599=SPECIAL_LBL)*(INC_SPECIALS="Y"))=0,"",'Dvd Calendar'!$F$597)))</f>
        <v/>
      </c>
      <c r="E65" s="161">
        <f>IF(EG65="","",IF(ISNUMBER('Dvd Calendar'!$G$597)=FALSE,"",IF((('Dvd Calendar'!$G$599=TYPE1)*(TYPE1&lt;&gt;"")+('Dvd Calendar'!$G$599=TYPE2)*(TYPE2&lt;&gt;"")+('Dvd Calendar'!$G$599=TYPE3)*(TYPE3&lt;&gt;"")+('Dvd Calendar'!$G$599=TYPE4)*(TYPE4&lt;&gt;"")+('Dvd Calendar'!$G$599=SPECIAL_LBL)*(INC_SPECIALS="Y"))=0,"",'Dvd Calendar'!$G$597)))</f>
        <v/>
      </c>
      <c r="F65" s="161">
        <f>IF(EH65="","",IF(ISNUMBER('Dvd Calendar'!$H$597)=FALSE,"",IF((('Dvd Calendar'!$H$599=TYPE1)*(TYPE1&lt;&gt;"")+('Dvd Calendar'!$H$599=TYPE2)*(TYPE2&lt;&gt;"")+('Dvd Calendar'!$H$599=TYPE3)*(TYPE3&lt;&gt;"")+('Dvd Calendar'!$H$599=TYPE4)*(TYPE4&lt;&gt;"")+('Dvd Calendar'!$H$599=SPECIAL_LBL)*(INC_SPECIALS="Y"))=0,"",'Dvd Calendar'!$H$597)))</f>
        <v/>
      </c>
      <c r="G65" s="161">
        <f>IF(EI65="","",IF(ISNUMBER('Dvd Calendar'!$I$597)=FALSE,"",IF((('Dvd Calendar'!$I$599=TYPE1)*(TYPE1&lt;&gt;"")+('Dvd Calendar'!$I$599=TYPE2)*(TYPE2&lt;&gt;"")+('Dvd Calendar'!$I$599=TYPE3)*(TYPE3&lt;&gt;"")+('Dvd Calendar'!$I$599=TYPE4)*(TYPE4&lt;&gt;"")+('Dvd Calendar'!$I$599=SPECIAL_LBL)*(INC_SPECIALS="Y"))=0,"",'Dvd Calendar'!$I$597)))</f>
        <v/>
      </c>
      <c r="H65" s="161">
        <f>IF(EJ65="","",IF(ISNUMBER('Dvd Calendar'!$J$597)=FALSE,"",IF((('Dvd Calendar'!$J$599=TYPE1)*(TYPE1&lt;&gt;"")+('Dvd Calendar'!$J$599=TYPE2)*(TYPE2&lt;&gt;"")+('Dvd Calendar'!$J$599=TYPE3)*(TYPE3&lt;&gt;"")+('Dvd Calendar'!$J$599=TYPE4)*(TYPE4&lt;&gt;"")+('Dvd Calendar'!$J$599=SPECIAL_LBL)*(INC_SPECIALS="Y"))=0,"",'Dvd Calendar'!$J$597)))</f>
        <v/>
      </c>
      <c r="I65" s="161">
        <f>IF(EK65="","",IF(ISNUMBER('Dvd Calendar'!$K$597)=FALSE,"",IF((('Dvd Calendar'!$K$599=TYPE1)*(TYPE1&lt;&gt;"")+('Dvd Calendar'!$K$599=TYPE2)*(TYPE2&lt;&gt;"")+('Dvd Calendar'!$K$599=TYPE3)*(TYPE3&lt;&gt;"")+('Dvd Calendar'!$K$599=TYPE4)*(TYPE4&lt;&gt;"")+('Dvd Calendar'!$K$599=SPECIAL_LBL)*(INC_SPECIALS="Y"))=0,"",'Dvd Calendar'!$K$597)))</f>
        <v/>
      </c>
      <c r="J65" s="161">
        <f>IF(EL65="","",IF(ISNUMBER('Dvd Calendar'!$L$597)=FALSE,"",IF((('Dvd Calendar'!$L$599=TYPE1)*(TYPE1&lt;&gt;"")+('Dvd Calendar'!$L$599=TYPE2)*(TYPE2&lt;&gt;"")+('Dvd Calendar'!$L$599=TYPE3)*(TYPE3&lt;&gt;"")+('Dvd Calendar'!$L$599=TYPE4)*(TYPE4&lt;&gt;"")+('Dvd Calendar'!$L$599=SPECIAL_LBL)*(INC_SPECIALS="Y"))=0,"",'Dvd Calendar'!$L$597)))</f>
        <v/>
      </c>
      <c r="K65" s="161">
        <f>IF(EM65="","",IF(ISNUMBER('Dvd Calendar'!$M$597)=FALSE,"",IF((('Dvd Calendar'!$M$599=TYPE1)*(TYPE1&lt;&gt;"")+('Dvd Calendar'!$M$599=TYPE2)*(TYPE2&lt;&gt;"")+('Dvd Calendar'!$M$599=TYPE3)*(TYPE3&lt;&gt;"")+('Dvd Calendar'!$M$599=TYPE4)*(TYPE4&lt;&gt;"")+('Dvd Calendar'!$M$599=SPECIAL_LBL)*(INC_SPECIALS="Y"))=0,"",'Dvd Calendar'!$M$597)))</f>
        <v/>
      </c>
      <c r="L65" s="161">
        <f>IF(EN65="","",IF(ISNUMBER('Dvd Calendar'!$N$597)=FALSE,"",IF((('Dvd Calendar'!$N$599=TYPE1)*(TYPE1&lt;&gt;"")+('Dvd Calendar'!$N$599=TYPE2)*(TYPE2&lt;&gt;"")+('Dvd Calendar'!$N$599=TYPE3)*(TYPE3&lt;&gt;"")+('Dvd Calendar'!$N$599=TYPE4)*(TYPE4&lt;&gt;"")+('Dvd Calendar'!$N$599=SPECIAL_LBL)*(INC_SPECIALS="Y"))=0,"",'Dvd Calendar'!$N$597)))</f>
        <v/>
      </c>
      <c r="M65" s="161">
        <f>IF(EO65="","",IF(ISNUMBER('Dvd Calendar'!$O$597)=FALSE,"",IF((('Dvd Calendar'!$O$599=TYPE1)*(TYPE1&lt;&gt;"")+('Dvd Calendar'!$O$599=TYPE2)*(TYPE2&lt;&gt;"")+('Dvd Calendar'!$O$599=TYPE3)*(TYPE3&lt;&gt;"")+('Dvd Calendar'!$O$599=TYPE4)*(TYPE4&lt;&gt;"")+('Dvd Calendar'!$O$599=SPECIAL_LBL)*(INC_SPECIALS="Y"))=0,"",'Dvd Calendar'!$O$597)))</f>
        <v/>
      </c>
      <c r="N65" s="161">
        <f>IF(EP65="","",IF(ISNUMBER('Dvd Calendar'!$P$597)=FALSE,"",IF((('Dvd Calendar'!$P$599=TYPE1)*(TYPE1&lt;&gt;"")+('Dvd Calendar'!$P$599=TYPE2)*(TYPE2&lt;&gt;"")+('Dvd Calendar'!$P$599=TYPE3)*(TYPE3&lt;&gt;"")+('Dvd Calendar'!$P$599=TYPE4)*(TYPE4&lt;&gt;"")+('Dvd Calendar'!$P$599=SPECIAL_LBL)*(INC_SPECIALS="Y"))=0,"",'Dvd Calendar'!$P$597)))</f>
        <v/>
      </c>
      <c r="O65" s="161">
        <f>IF(EQ65="","",IF(ISNUMBER('Dvd Calendar'!$Q$597)=FALSE,"",IF((('Dvd Calendar'!$Q$599=TYPE1)*(TYPE1&lt;&gt;"")+('Dvd Calendar'!$Q$599=TYPE2)*(TYPE2&lt;&gt;"")+('Dvd Calendar'!$Q$599=TYPE3)*(TYPE3&lt;&gt;"")+('Dvd Calendar'!$Q$599=TYPE4)*(TYPE4&lt;&gt;"")+('Dvd Calendar'!$Q$599=SPECIAL_LBL)*(INC_SPECIALS="Y"))=0,"",'Dvd Calendar'!$Q$597)))</f>
        <v/>
      </c>
      <c r="P65" s="161">
        <f>IF(ER65="","",IF(ISNUMBER('Dvd Calendar'!$R$597)=FALSE,"",IF((('Dvd Calendar'!$R$599=TYPE1)*(TYPE1&lt;&gt;"")+('Dvd Calendar'!$R$599=TYPE2)*(TYPE2&lt;&gt;"")+('Dvd Calendar'!$R$599=TYPE3)*(TYPE3&lt;&gt;"")+('Dvd Calendar'!$R$599=TYPE4)*(TYPE4&lt;&gt;"")+('Dvd Calendar'!$R$599=SPECIAL_LBL)*(INC_SPECIALS="Y"))=0,"",'Dvd Calendar'!$R$597)))</f>
        <v/>
      </c>
      <c r="Q65" s="161">
        <f>IF(ES65="","",IF(ISNUMBER('Dvd Calendar'!$S$597)=FALSE,"",IF((('Dvd Calendar'!$S$599=TYPE1)*(TYPE1&lt;&gt;"")+('Dvd Calendar'!$S$599=TYPE2)*(TYPE2&lt;&gt;"")+('Dvd Calendar'!$S$599=TYPE3)*(TYPE3&lt;&gt;"")+('Dvd Calendar'!$S$599=TYPE4)*(TYPE4&lt;&gt;"")+('Dvd Calendar'!$S$599=SPECIAL_LBL)*(INC_SPECIALS="Y"))=0,"",'Dvd Calendar'!$S$597)))</f>
        <v/>
      </c>
      <c r="R65" s="161">
        <f>IF(ET65="","",IF(ISNUMBER('Dvd Calendar'!$T$597)=FALSE,"",IF((('Dvd Calendar'!$T$599=TYPE1)*(TYPE1&lt;&gt;"")+('Dvd Calendar'!$T$599=TYPE2)*(TYPE2&lt;&gt;"")+('Dvd Calendar'!$T$599=TYPE3)*(TYPE3&lt;&gt;"")+('Dvd Calendar'!$T$599=TYPE4)*(TYPE4&lt;&gt;"")+('Dvd Calendar'!$T$599=SPECIAL_LBL)*(INC_SPECIALS="Y"))=0,"",'Dvd Calendar'!$T$597)))</f>
        <v/>
      </c>
      <c r="S65" s="161">
        <f>IF(EU65="","",IF(ISNUMBER('Dvd Calendar'!$U$597)=FALSE,"",IF((('Dvd Calendar'!$U$599=TYPE1)*(TYPE1&lt;&gt;"")+('Dvd Calendar'!$U$599=TYPE2)*(TYPE2&lt;&gt;"")+('Dvd Calendar'!$U$599=TYPE3)*(TYPE3&lt;&gt;"")+('Dvd Calendar'!$U$599=TYPE4)*(TYPE4&lt;&gt;"")+('Dvd Calendar'!$U$599=SPECIAL_LBL)*(INC_SPECIALS="Y"))=0,"",'Dvd Calendar'!$U$597)))</f>
        <v/>
      </c>
      <c r="T65" s="161">
        <f>IF(EV65="","",IF(ISNUMBER('Dvd Calendar'!$V$597)=FALSE,"",IF((('Dvd Calendar'!$V$599=TYPE1)*(TYPE1&lt;&gt;"")+('Dvd Calendar'!$V$599=TYPE2)*(TYPE2&lt;&gt;"")+('Dvd Calendar'!$V$599=TYPE3)*(TYPE3&lt;&gt;"")+('Dvd Calendar'!$V$599=TYPE4)*(TYPE4&lt;&gt;"")+('Dvd Calendar'!$V$599=SPECIAL_LBL)*(INC_SPECIALS="Y"))=0,"",'Dvd Calendar'!$V$597)))</f>
        <v/>
      </c>
      <c r="U65" s="161">
        <f>IF(EW65="","",IF(ISNUMBER('Dvd Calendar'!$W$597)=FALSE,"",IF((('Dvd Calendar'!$W$599=TYPE1)*(TYPE1&lt;&gt;"")+('Dvd Calendar'!$W$599=TYPE2)*(TYPE2&lt;&gt;"")+('Dvd Calendar'!$W$599=TYPE3)*(TYPE3&lt;&gt;"")+('Dvd Calendar'!$W$599=TYPE4)*(TYPE4&lt;&gt;"")+('Dvd Calendar'!$W$599=SPECIAL_LBL)*(INC_SPECIALS="Y"))=0,"",'Dvd Calendar'!$W$597)))</f>
        <v/>
      </c>
      <c r="V65" s="161">
        <f>IF(EX65="","",IF(ISNUMBER('Dvd Calendar'!$X$597)=FALSE,"",IF((('Dvd Calendar'!$X$599=TYPE1)*(TYPE1&lt;&gt;"")+('Dvd Calendar'!$X$599=TYPE2)*(TYPE2&lt;&gt;"")+('Dvd Calendar'!$X$599=TYPE3)*(TYPE3&lt;&gt;"")+('Dvd Calendar'!$X$599=TYPE4)*(TYPE4&lt;&gt;"")+('Dvd Calendar'!$X$599=SPECIAL_LBL)*(INC_SPECIALS="Y"))=0,"",'Dvd Calendar'!$X$597)))</f>
        <v/>
      </c>
      <c r="W65" s="161">
        <f>IF(EY65="","",IF(ISNUMBER('Dvd Calendar'!$Y$597)=FALSE,"",IF((('Dvd Calendar'!$Y$599=TYPE1)*(TYPE1&lt;&gt;"")+('Dvd Calendar'!$Y$599=TYPE2)*(TYPE2&lt;&gt;"")+('Dvd Calendar'!$Y$599=TYPE3)*(TYPE3&lt;&gt;"")+('Dvd Calendar'!$Y$599=TYPE4)*(TYPE4&lt;&gt;"")+('Dvd Calendar'!$Y$599=SPECIAL_LBL)*(INC_SPECIALS="Y"))=0,"",'Dvd Calendar'!$Y$597)))</f>
        <v/>
      </c>
      <c r="X65" s="161">
        <f>IF(EZ65="","",IF(ISNUMBER('Dvd Calendar'!$Z$597)=FALSE,"",IF((('Dvd Calendar'!$Z$599=TYPE1)*(TYPE1&lt;&gt;"")+('Dvd Calendar'!$Z$599=TYPE2)*(TYPE2&lt;&gt;"")+('Dvd Calendar'!$Z$599=TYPE3)*(TYPE3&lt;&gt;"")+('Dvd Calendar'!$Z$599=TYPE4)*(TYPE4&lt;&gt;"")+('Dvd Calendar'!$Z$599=SPECIAL_LBL)*(INC_SPECIALS="Y"))=0,"",'Dvd Calendar'!$Z$597)))</f>
        <v/>
      </c>
      <c r="Y65" s="161">
        <f>IF(FA65="","",IF(ISNUMBER('Dvd Calendar'!$AA$597)=FALSE,"",IF((('Dvd Calendar'!$AA$599=TYPE1)*(TYPE1&lt;&gt;"")+('Dvd Calendar'!$AA$599=TYPE2)*(TYPE2&lt;&gt;"")+('Dvd Calendar'!$AA$599=TYPE3)*(TYPE3&lt;&gt;"")+('Dvd Calendar'!$AA$599=TYPE4)*(TYPE4&lt;&gt;"")+('Dvd Calendar'!$AA$599=SPECIAL_LBL)*(INC_SPECIALS="Y"))=0,"",'Dvd Calendar'!$AA$597)))</f>
        <v/>
      </c>
      <c r="Z65" s="161">
        <f>IF(FB65="","",IF(ISNUMBER('Dvd Calendar'!$AB$597)=FALSE,"",IF((('Dvd Calendar'!$AB$599=TYPE1)*(TYPE1&lt;&gt;"")+('Dvd Calendar'!$AB$599=TYPE2)*(TYPE2&lt;&gt;"")+('Dvd Calendar'!$AB$599=TYPE3)*(TYPE3&lt;&gt;"")+('Dvd Calendar'!$AB$599=TYPE4)*(TYPE4&lt;&gt;"")+('Dvd Calendar'!$AB$599=SPECIAL_LBL)*(INC_SPECIALS="Y"))=0,"",'Dvd Calendar'!$AB$597)))</f>
        <v/>
      </c>
      <c r="AA65" s="161">
        <f>IF(FC65="","",IF(ISNUMBER('Dvd Calendar'!$AC$597)=FALSE,"",IF((('Dvd Calendar'!$AC$599=TYPE1)*(TYPE1&lt;&gt;"")+('Dvd Calendar'!$AC$599=TYPE2)*(TYPE2&lt;&gt;"")+('Dvd Calendar'!$AC$599=TYPE3)*(TYPE3&lt;&gt;"")+('Dvd Calendar'!$AC$599=TYPE4)*(TYPE4&lt;&gt;"")+('Dvd Calendar'!$AC$599=SPECIAL_LBL)*(INC_SPECIALS="Y"))=0,"",'Dvd Calendar'!$AC$597)))</f>
        <v/>
      </c>
      <c r="AB65" s="161">
        <f>IF(FD65="","",IF(ISNUMBER('Dvd Calendar'!$AD$597)=FALSE,"",IF((('Dvd Calendar'!$AD$599=TYPE1)*(TYPE1&lt;&gt;"")+('Dvd Calendar'!$AD$599=TYPE2)*(TYPE2&lt;&gt;"")+('Dvd Calendar'!$AD$599=TYPE3)*(TYPE3&lt;&gt;"")+('Dvd Calendar'!$AD$599=TYPE4)*(TYPE4&lt;&gt;"")+('Dvd Calendar'!$AD$599=SPECIAL_LBL)*(INC_SPECIALS="Y"))=0,"",'Dvd Calendar'!$AD$597)))</f>
        <v/>
      </c>
      <c r="AC65" s="161">
        <f>IF(FE65="","",IF(ISNUMBER('Dvd Calendar'!$AE$597)=FALSE,"",IF((('Dvd Calendar'!$AE$599=TYPE1)*(TYPE1&lt;&gt;"")+('Dvd Calendar'!$AE$599=TYPE2)*(TYPE2&lt;&gt;"")+('Dvd Calendar'!$AE$599=TYPE3)*(TYPE3&lt;&gt;"")+('Dvd Calendar'!$AE$599=TYPE4)*(TYPE4&lt;&gt;"")+('Dvd Calendar'!$AE$599=SPECIAL_LBL)*(INC_SPECIALS="Y"))=0,"",'Dvd Calendar'!$AE$597)))</f>
        <v/>
      </c>
      <c r="AD65" s="161">
        <f>IF(FF65="","",IF(ISNUMBER('Dvd Calendar'!$AF$597)=FALSE,"",IF((('Dvd Calendar'!$AF$599=TYPE1)*(TYPE1&lt;&gt;"")+('Dvd Calendar'!$AF$599=TYPE2)*(TYPE2&lt;&gt;"")+('Dvd Calendar'!$AF$599=TYPE3)*(TYPE3&lt;&gt;"")+('Dvd Calendar'!$AF$599=TYPE4)*(TYPE4&lt;&gt;"")+('Dvd Calendar'!$AF$599=SPECIAL_LBL)*(INC_SPECIALS="Y"))=0,"",'Dvd Calendar'!$AF$597)))</f>
        <v/>
      </c>
      <c r="AE65" s="161">
        <f>IF(FG65="","",IF(ISNUMBER('Dvd Calendar'!$AG$597)=FALSE,"",IF((('Dvd Calendar'!$AG$599=TYPE1)*(TYPE1&lt;&gt;"")+('Dvd Calendar'!$AG$599=TYPE2)*(TYPE2&lt;&gt;"")+('Dvd Calendar'!$AG$599=TYPE3)*(TYPE3&lt;&gt;"")+('Dvd Calendar'!$AG$599=TYPE4)*(TYPE4&lt;&gt;"")+('Dvd Calendar'!$AG$599=SPECIAL_LBL)*(INC_SPECIALS="Y"))=0,"",'Dvd Calendar'!$AG$597)))</f>
        <v/>
      </c>
      <c r="AF65" s="161">
        <f>IF(FH65="","",IF(ISNUMBER('Dvd Calendar'!$AH$597)=FALSE,"",IF((('Dvd Calendar'!$AH$599=TYPE1)*(TYPE1&lt;&gt;"")+('Dvd Calendar'!$AH$599=TYPE2)*(TYPE2&lt;&gt;"")+('Dvd Calendar'!$AH$599=TYPE3)*(TYPE3&lt;&gt;"")+('Dvd Calendar'!$AH$599=TYPE4)*(TYPE4&lt;&gt;"")+('Dvd Calendar'!$AH$599=SPECIAL_LBL)*(INC_SPECIALS="Y"))=0,"",'Dvd Calendar'!$AH$597)))</f>
        <v/>
      </c>
      <c r="AG65" s="161">
        <f>IF(FI65="","",IF(ISNUMBER('Dvd Calendar'!$AI$597)=FALSE,"",IF((('Dvd Calendar'!$AI$599=TYPE1)*(TYPE1&lt;&gt;"")+('Dvd Calendar'!$AI$599=TYPE2)*(TYPE2&lt;&gt;"")+('Dvd Calendar'!$AI$599=TYPE3)*(TYPE3&lt;&gt;"")+('Dvd Calendar'!$AI$599=TYPE4)*(TYPE4&lt;&gt;"")+('Dvd Calendar'!$AI$599=SPECIAL_LBL)*(INC_SPECIALS="Y"))=0,"",'Dvd Calendar'!$AI$597)))</f>
        <v/>
      </c>
      <c r="AH65" s="161">
        <f>IF(FJ65="","",IF(ISNUMBER('Dvd Calendar'!$AJ$597)=FALSE,"",IF((('Dvd Calendar'!$AJ$599=TYPE1)*(TYPE1&lt;&gt;"")+('Dvd Calendar'!$AJ$599=TYPE2)*(TYPE2&lt;&gt;"")+('Dvd Calendar'!$AJ$599=TYPE3)*(TYPE3&lt;&gt;"")+('Dvd Calendar'!$AJ$599=TYPE4)*(TYPE4&lt;&gt;"")+('Dvd Calendar'!$AJ$599=SPECIAL_LBL)*(INC_SPECIALS="Y"))=0,"",'Dvd Calendar'!$AJ$597)))</f>
        <v/>
      </c>
      <c r="AI65" s="161">
        <f>IF(FK65="","",IF(ISNUMBER('Dvd Calendar'!$AK$597)=FALSE,"",IF((('Dvd Calendar'!$AK$599=TYPE1)*(TYPE1&lt;&gt;"")+('Dvd Calendar'!$AK$599=TYPE2)*(TYPE2&lt;&gt;"")+('Dvd Calendar'!$AK$599=TYPE3)*(TYPE3&lt;&gt;"")+('Dvd Calendar'!$AK$599=TYPE4)*(TYPE4&lt;&gt;"")+('Dvd Calendar'!$AK$599=SPECIAL_LBL)*(INC_SPECIALS="Y"))=0,"",'Dvd Calendar'!$AK$597)))</f>
        <v/>
      </c>
      <c r="AJ65" s="161">
        <f>IF(FL65="","",IF(ISNUMBER('Dvd Calendar'!$AL$597)=FALSE,"",IF((('Dvd Calendar'!$AL$599=TYPE1)*(TYPE1&lt;&gt;"")+('Dvd Calendar'!$AL$599=TYPE2)*(TYPE2&lt;&gt;"")+('Dvd Calendar'!$AL$599=TYPE3)*(TYPE3&lt;&gt;"")+('Dvd Calendar'!$AL$599=TYPE4)*(TYPE4&lt;&gt;"")+('Dvd Calendar'!$AL$599=SPECIAL_LBL)*(INC_SPECIALS="Y"))=0,"",'Dvd Calendar'!$AL$597)))</f>
        <v/>
      </c>
      <c r="AK65" s="161">
        <f>IF(FM65="","",IF(ISNUMBER('Dvd Calendar'!$AM$597)=FALSE,"",IF((('Dvd Calendar'!$AM$599=TYPE1)*(TYPE1&lt;&gt;"")+('Dvd Calendar'!$AM$599=TYPE2)*(TYPE2&lt;&gt;"")+('Dvd Calendar'!$AM$599=TYPE3)*(TYPE3&lt;&gt;"")+('Dvd Calendar'!$AM$599=TYPE4)*(TYPE4&lt;&gt;"")+('Dvd Calendar'!$AM$599=SPECIAL_LBL)*(INC_SPECIALS="Y"))=0,"",'Dvd Calendar'!$AM$597)))</f>
        <v/>
      </c>
      <c r="AL65" s="161">
        <f>IF(FN65="","",IF(ISNUMBER('Dvd Calendar'!$AN$597)=FALSE,"",IF((('Dvd Calendar'!$AN$599=TYPE1)*(TYPE1&lt;&gt;"")+('Dvd Calendar'!$AN$599=TYPE2)*(TYPE2&lt;&gt;"")+('Dvd Calendar'!$AN$599=TYPE3)*(TYPE3&lt;&gt;"")+('Dvd Calendar'!$AN$599=TYPE4)*(TYPE4&lt;&gt;"")+('Dvd Calendar'!$AN$599=SPECIAL_LBL)*(INC_SPECIALS="Y"))=0,"",'Dvd Calendar'!$AN$597)))</f>
        <v/>
      </c>
      <c r="AM65" s="161">
        <f>IF(FO65="","",IF(ISNUMBER('Dvd Calendar'!$AO$597)=FALSE,"",IF((('Dvd Calendar'!$AO$599=TYPE1)*(TYPE1&lt;&gt;"")+('Dvd Calendar'!$AO$599=TYPE2)*(TYPE2&lt;&gt;"")+('Dvd Calendar'!$AO$599=TYPE3)*(TYPE3&lt;&gt;"")+('Dvd Calendar'!$AO$599=TYPE4)*(TYPE4&lt;&gt;"")+('Dvd Calendar'!$AO$599=SPECIAL_LBL)*(INC_SPECIALS="Y"))=0,"",'Dvd Calendar'!$AO$597)))</f>
        <v/>
      </c>
      <c r="AN65" s="161">
        <f>IF(FP65="","",IF(ISNUMBER('Dvd Calendar'!$AP$597)=FALSE,"",IF((('Dvd Calendar'!$AP$599=TYPE1)*(TYPE1&lt;&gt;"")+('Dvd Calendar'!$AP$599=TYPE2)*(TYPE2&lt;&gt;"")+('Dvd Calendar'!$AP$599=TYPE3)*(TYPE3&lt;&gt;"")+('Dvd Calendar'!$AP$599=TYPE4)*(TYPE4&lt;&gt;"")+('Dvd Calendar'!$AP$599=SPECIAL_LBL)*(INC_SPECIALS="Y"))=0,"",'Dvd Calendar'!$AP$597)))</f>
        <v/>
      </c>
      <c r="AO65" s="161">
        <f>IF(FQ65="","",IF(ISNUMBER('Dvd Calendar'!$AQ$597)=FALSE,"",IF((('Dvd Calendar'!$AQ$599=TYPE1)*(TYPE1&lt;&gt;"")+('Dvd Calendar'!$AQ$599=TYPE2)*(TYPE2&lt;&gt;"")+('Dvd Calendar'!$AQ$599=TYPE3)*(TYPE3&lt;&gt;"")+('Dvd Calendar'!$AQ$599=TYPE4)*(TYPE4&lt;&gt;"")+('Dvd Calendar'!$AQ$599=SPECIAL_LBL)*(INC_SPECIALS="Y"))=0,"",'Dvd Calendar'!$AQ$597)))</f>
        <v/>
      </c>
      <c r="AP65" s="161">
        <f>IF(FR65="","",IF(ISNUMBER('Dvd Calendar'!$AR$597)=FALSE,"",IF((('Dvd Calendar'!$AR$599=TYPE1)*(TYPE1&lt;&gt;"")+('Dvd Calendar'!$AR$599=TYPE2)*(TYPE2&lt;&gt;"")+('Dvd Calendar'!$AR$599=TYPE3)*(TYPE3&lt;&gt;"")+('Dvd Calendar'!$AR$599=TYPE4)*(TYPE4&lt;&gt;"")+('Dvd Calendar'!$AR$599=SPECIAL_LBL)*(INC_SPECIALS="Y"))=0,"",'Dvd Calendar'!$AR$597)))</f>
        <v/>
      </c>
      <c r="AQ65" s="161">
        <f>IF(FS65="","",IF(ISNUMBER('Dvd Calendar'!$E$602)=FALSE,"",'Dvd Calendar'!$E$602))</f>
        <v/>
      </c>
      <c r="AR65" s="161">
        <f>IF(FT65="","",IF(ISNUMBER('Dvd Calendar'!$F$602)=FALSE,"",'Dvd Calendar'!$F$602))</f>
        <v/>
      </c>
      <c r="AS65" s="161">
        <f>IF(FU65="","",IF(ISNUMBER('Dvd Calendar'!$G$602)=FALSE,"",'Dvd Calendar'!$G$602))</f>
        <v/>
      </c>
      <c r="AT65" s="161">
        <f>IF(FV65="","",IF(ISNUMBER('Dvd Calendar'!$H$602)=FALSE,"",'Dvd Calendar'!$H$602))</f>
        <v/>
      </c>
      <c r="AU65" s="161">
        <f>IF(FW65="","",IF(ISNUMBER('Dvd Calendar'!$I$602)=FALSE,"",'Dvd Calendar'!$I$602))</f>
        <v/>
      </c>
      <c r="AV65" s="161">
        <f>IF(FX65="","",IF(ISNUMBER('Dvd Calendar'!$J$602)=FALSE,"",'Dvd Calendar'!$J$602))</f>
        <v/>
      </c>
      <c r="AW65" s="161">
        <f>IF(FY65="","",IF(ISNUMBER('Dvd Calendar'!$K$602)=FALSE,"",'Dvd Calendar'!$K$602))</f>
        <v/>
      </c>
      <c r="AX65" s="161">
        <f>IF(FZ65="","",IF(ISNUMBER('Dvd Calendar'!$L$602)=FALSE,"",'Dvd Calendar'!$L$602))</f>
        <v/>
      </c>
      <c r="AY65" s="161">
        <f>IF(GA65="","",IF(ISNUMBER('Dvd Calendar'!$M$602)=FALSE,"",'Dvd Calendar'!$M$602))</f>
        <v/>
      </c>
      <c r="AZ65" s="161">
        <f>IF(GB65="","",IF(ISNUMBER('Dvd Calendar'!$N$602)=FALSE,"",'Dvd Calendar'!$N$602))</f>
        <v/>
      </c>
      <c r="BA65" s="161">
        <f>IF(GC65="","",IF(ISNUMBER('Dvd Calendar'!$O$602)=FALSE,"",'Dvd Calendar'!$O$602))</f>
        <v/>
      </c>
      <c r="BB65" s="161">
        <f>IF(GD65="","",IF(ISNUMBER('Dvd Calendar'!$P$602)=FALSE,"",'Dvd Calendar'!$P$602))</f>
        <v/>
      </c>
      <c r="BC65" s="161">
        <f>IF(GE65="","",IF(ISNUMBER('Dvd Calendar'!$Q$602)=FALSE,"",'Dvd Calendar'!$Q$602))</f>
        <v/>
      </c>
      <c r="BD65" s="161">
        <f>IF(GF65="","",IF(ISNUMBER('Dvd Calendar'!$R$602)=FALSE,"",'Dvd Calendar'!$R$602))</f>
        <v/>
      </c>
      <c r="BE65" s="161">
        <f>IF(GG65="","",IF(ISNUMBER('Dvd Calendar'!$S$602)=FALSE,"",'Dvd Calendar'!$S$602))</f>
        <v/>
      </c>
      <c r="BF65" s="161">
        <f>IF(GH65="","",IF(ISNUMBER('Dvd Calendar'!$T$602)=FALSE,"",'Dvd Calendar'!$T$602))</f>
        <v/>
      </c>
      <c r="BG65" s="161">
        <f>IF(GI65="","",IF(ISNUMBER('Dvd Calendar'!$U$602)=FALSE,"",'Dvd Calendar'!$U$602))</f>
        <v/>
      </c>
      <c r="BH65" s="161">
        <f>IF(GJ65="","",IF(ISNUMBER('Dvd Calendar'!$V$602)=FALSE,"",'Dvd Calendar'!$V$602))</f>
        <v/>
      </c>
      <c r="BI65" s="161">
        <f>IF(GK65="","",IF(ISNUMBER('Dvd Calendar'!$W$602)=FALSE,"",'Dvd Calendar'!$W$602))</f>
        <v/>
      </c>
      <c r="BJ65" s="161">
        <f>IF(GL65="","",IF(ISNUMBER('Dvd Calendar'!$X$602)=FALSE,"",'Dvd Calendar'!$X$602))</f>
        <v/>
      </c>
      <c r="BK65" s="161">
        <f>IF(GM65="","",IF(ISNUMBER('Dvd Calendar'!$Y$602)=FALSE,"",'Dvd Calendar'!$Y$602))</f>
        <v/>
      </c>
      <c r="BL65" s="161">
        <f>IF(GN65="","",IF(ISNUMBER('Dvd Calendar'!$Z$602)=FALSE,"",'Dvd Calendar'!$Z$602))</f>
        <v/>
      </c>
      <c r="BM65" s="161">
        <f>IF(GO65="","",IF(ISNUMBER('Dvd Calendar'!$AA$602)=FALSE,"",'Dvd Calendar'!$AA$602))</f>
        <v/>
      </c>
      <c r="BN65" s="161">
        <f>IF(GP65="","",IF(ISNUMBER('Dvd Calendar'!$AB$602)=FALSE,"",'Dvd Calendar'!$AB$602))</f>
        <v/>
      </c>
      <c r="BO65" s="161">
        <f>IF(GQ65="","",IF(ISNUMBER('Dvd Calendar'!$AC$602)=FALSE,"",'Dvd Calendar'!$AC$602))</f>
        <v/>
      </c>
      <c r="BQ65" s="161">
        <f>IF(C65="","",IFERROR(C65*HSI!$B$60*HSI!$G$60/HSI!$B$3,""))</f>
        <v/>
      </c>
      <c r="BR65" s="161">
        <f>IF(D65="","",IFERROR(D65*HSI!$B$60*HSI!$G$60/HSI!$B$3,""))</f>
        <v/>
      </c>
      <c r="BS65" s="161">
        <f>IF(E65="","",IFERROR(E65*HSI!$B$60*HSI!$G$60/HSI!$B$3,""))</f>
        <v/>
      </c>
      <c r="BT65" s="161">
        <f>IF(F65="","",IFERROR(F65*HSI!$B$60*HSI!$G$60/HSI!$B$3,""))</f>
        <v/>
      </c>
      <c r="BU65" s="161">
        <f>IF(G65="","",IFERROR(G65*HSI!$B$60*HSI!$G$60/HSI!$B$3,""))</f>
        <v/>
      </c>
      <c r="BV65" s="161">
        <f>IF(H65="","",IFERROR(H65*HSI!$B$60*HSI!$G$60/HSI!$B$3,""))</f>
        <v/>
      </c>
      <c r="BW65" s="161">
        <f>IF(I65="","",IFERROR(I65*HSI!$B$60*HSI!$G$60/HSI!$B$3,""))</f>
        <v/>
      </c>
      <c r="BX65" s="161">
        <f>IF(J65="","",IFERROR(J65*HSI!$B$60*HSI!$G$60/HSI!$B$3,""))</f>
        <v/>
      </c>
      <c r="BY65" s="161">
        <f>IF(K65="","",IFERROR(K65*HSI!$B$60*HSI!$G$60/HSI!$B$3,""))</f>
        <v/>
      </c>
      <c r="BZ65" s="161">
        <f>IF(L65="","",IFERROR(L65*HSI!$B$60*HSI!$G$60/HSI!$B$3,""))</f>
        <v/>
      </c>
      <c r="CA65" s="161">
        <f>IF(M65="","",IFERROR(M65*HSI!$B$60*HSI!$G$60/HSI!$B$3,""))</f>
        <v/>
      </c>
      <c r="CB65" s="161">
        <f>IF(N65="","",IFERROR(N65*HSI!$B$60*HSI!$G$60/HSI!$B$3,""))</f>
        <v/>
      </c>
      <c r="CC65" s="161">
        <f>IF(O65="","",IFERROR(O65*HSI!$B$60*HSI!$G$60/HSI!$B$3,""))</f>
        <v/>
      </c>
      <c r="CD65" s="161">
        <f>IF(P65="","",IFERROR(P65*HSI!$B$60*HSI!$G$60/HSI!$B$3,""))</f>
        <v/>
      </c>
      <c r="CE65" s="161">
        <f>IF(Q65="","",IFERROR(Q65*HSI!$B$60*HSI!$G$60/HSI!$B$3,""))</f>
        <v/>
      </c>
      <c r="CF65" s="161">
        <f>IF(R65="","",IFERROR(R65*HSI!$B$60*HSI!$G$60/HSI!$B$3,""))</f>
        <v/>
      </c>
      <c r="CG65" s="161">
        <f>IF(S65="","",IFERROR(S65*HSI!$B$60*HSI!$G$60/HSI!$B$3,""))</f>
        <v/>
      </c>
      <c r="CH65" s="161">
        <f>IF(T65="","",IFERROR(T65*HSI!$B$60*HSI!$G$60/HSI!$B$3,""))</f>
        <v/>
      </c>
      <c r="CI65" s="161">
        <f>IF(U65="","",IFERROR(U65*HSI!$B$60*HSI!$G$60/HSI!$B$3,""))</f>
        <v/>
      </c>
      <c r="CJ65" s="161">
        <f>IF(V65="","",IFERROR(V65*HSI!$B$60*HSI!$G$60/HSI!$B$3,""))</f>
        <v/>
      </c>
      <c r="CK65" s="161">
        <f>IF(W65="","",IFERROR(W65*HSI!$B$60*HSI!$G$60/HSI!$B$3,""))</f>
        <v/>
      </c>
      <c r="CL65" s="161">
        <f>IF(X65="","",IFERROR(X65*HSI!$B$60*HSI!$G$60/HSI!$B$3,""))</f>
        <v/>
      </c>
      <c r="CM65" s="161">
        <f>IF(Y65="","",IFERROR(Y65*HSI!$B$60*HSI!$G$60/HSI!$B$3,""))</f>
        <v/>
      </c>
      <c r="CN65" s="161">
        <f>IF(Z65="","",IFERROR(Z65*HSI!$B$60*HSI!$G$60/HSI!$B$3,""))</f>
        <v/>
      </c>
      <c r="CO65" s="161">
        <f>IF(AA65="","",IFERROR(AA65*HSI!$B$60*HSI!$G$60/HSI!$B$3,""))</f>
        <v/>
      </c>
      <c r="CP65" s="161">
        <f>IF(AB65="","",IFERROR(AB65*HSI!$B$60*HSI!$G$60/HSI!$B$3,""))</f>
        <v/>
      </c>
      <c r="CQ65" s="161">
        <f>IF(AC65="","",IFERROR(AC65*HSI!$B$60*HSI!$G$60/HSI!$B$3,""))</f>
        <v/>
      </c>
      <c r="CR65" s="161">
        <f>IF(AD65="","",IFERROR(AD65*HSI!$B$60*HSI!$G$60/HSI!$B$3,""))</f>
        <v/>
      </c>
      <c r="CS65" s="161">
        <f>IF(AE65="","",IFERROR(AE65*HSI!$B$60*HSI!$G$60/HSI!$B$3,""))</f>
        <v/>
      </c>
      <c r="CT65" s="161">
        <f>IF(AF65="","",IFERROR(AF65*HSI!$B$60*HSI!$G$60/HSI!$B$3,""))</f>
        <v/>
      </c>
      <c r="CU65" s="161">
        <f>IF(AG65="","",IFERROR(AG65*HSI!$B$60*HSI!$G$60/HSI!$B$3,""))</f>
        <v/>
      </c>
      <c r="CV65" s="161">
        <f>IF(AH65="","",IFERROR(AH65*HSI!$B$60*HSI!$G$60/HSI!$B$3,""))</f>
        <v/>
      </c>
      <c r="CW65" s="161">
        <f>IF(AI65="","",IFERROR(AI65*HSI!$B$60*HSI!$G$60/HSI!$B$3,""))</f>
        <v/>
      </c>
      <c r="CX65" s="161">
        <f>IF(AJ65="","",IFERROR(AJ65*HSI!$B$60*HSI!$G$60/HSI!$B$3,""))</f>
        <v/>
      </c>
      <c r="CY65" s="161">
        <f>IF(AK65="","",IFERROR(AK65*HSI!$B$60*HSI!$G$60/HSI!$B$3,""))</f>
        <v/>
      </c>
      <c r="CZ65" s="161">
        <f>IF(AL65="","",IFERROR(AL65*HSI!$B$60*HSI!$G$60/HSI!$B$3,""))</f>
        <v/>
      </c>
      <c r="DA65" s="161">
        <f>IF(AM65="","",IFERROR(AM65*HSI!$B$60*HSI!$G$60/HSI!$B$3,""))</f>
        <v/>
      </c>
      <c r="DB65" s="161">
        <f>IF(AN65="","",IFERROR(AN65*HSI!$B$60*HSI!$G$60/HSI!$B$3,""))</f>
        <v/>
      </c>
      <c r="DC65" s="161">
        <f>IF(AO65="","",IFERROR(AO65*HSI!$B$60*HSI!$G$60/HSI!$B$3,""))</f>
        <v/>
      </c>
      <c r="DD65" s="161">
        <f>IF(AP65="","",IFERROR(AP65*HSI!$B$60*HSI!$G$60/HSI!$B$3,""))</f>
        <v/>
      </c>
      <c r="DE65" s="161">
        <f>IF(AQ65="","",IFERROR(AQ65*HSI!$B$60*HSI!$G$60/HSI!$B$3,""))</f>
        <v/>
      </c>
      <c r="DF65" s="161">
        <f>IF(AR65="","",IFERROR(AR65*HSI!$B$60*HSI!$G$60/HSI!$B$3,""))</f>
        <v/>
      </c>
      <c r="DG65" s="161">
        <f>IF(AS65="","",IFERROR(AS65*HSI!$B$60*HSI!$G$60/HSI!$B$3,""))</f>
        <v/>
      </c>
      <c r="DH65" s="161">
        <f>IF(AT65="","",IFERROR(AT65*HSI!$B$60*HSI!$G$60/HSI!$B$3,""))</f>
        <v/>
      </c>
      <c r="DI65" s="161">
        <f>IF(AU65="","",IFERROR(AU65*HSI!$B$60*HSI!$G$60/HSI!$B$3,""))</f>
        <v/>
      </c>
      <c r="DJ65" s="161">
        <f>IF(AV65="","",IFERROR(AV65*HSI!$B$60*HSI!$G$60/HSI!$B$3,""))</f>
        <v/>
      </c>
      <c r="DK65" s="161">
        <f>IF(AW65="","",IFERROR(AW65*HSI!$B$60*HSI!$G$60/HSI!$B$3,""))</f>
        <v/>
      </c>
      <c r="DL65" s="161">
        <f>IF(AX65="","",IFERROR(AX65*HSI!$B$60*HSI!$G$60/HSI!$B$3,""))</f>
        <v/>
      </c>
      <c r="DM65" s="161">
        <f>IF(AY65="","",IFERROR(AY65*HSI!$B$60*HSI!$G$60/HSI!$B$3,""))</f>
        <v/>
      </c>
      <c r="DN65" s="161">
        <f>IF(AZ65="","",IFERROR(AZ65*HSI!$B$60*HSI!$G$60/HSI!$B$3,""))</f>
        <v/>
      </c>
      <c r="DO65" s="161">
        <f>IF(BA65="","",IFERROR(BA65*HSI!$B$60*HSI!$G$60/HSI!$B$3,""))</f>
        <v/>
      </c>
      <c r="DP65" s="161">
        <f>IF(BB65="","",IFERROR(BB65*HSI!$B$60*HSI!$G$60/HSI!$B$3,""))</f>
        <v/>
      </c>
      <c r="DQ65" s="161">
        <f>IF(BC65="","",IFERROR(BC65*HSI!$B$60*HSI!$G$60/HSI!$B$3,""))</f>
        <v/>
      </c>
      <c r="DR65" s="161">
        <f>IF(BD65="","",IFERROR(BD65*HSI!$B$60*HSI!$G$60/HSI!$B$3,""))</f>
        <v/>
      </c>
      <c r="DS65" s="161">
        <f>IF(BE65="","",IFERROR(BE65*HSI!$B$60*HSI!$G$60/HSI!$B$3,""))</f>
        <v/>
      </c>
      <c r="DT65" s="161">
        <f>IF(BF65="","",IFERROR(BF65*HSI!$B$60*HSI!$G$60/HSI!$B$3,""))</f>
        <v/>
      </c>
      <c r="DU65" s="161">
        <f>IF(BG65="","",IFERROR(BG65*HSI!$B$60*HSI!$G$60/HSI!$B$3,""))</f>
        <v/>
      </c>
      <c r="DV65" s="161">
        <f>IF(BH65="","",IFERROR(BH65*HSI!$B$60*HSI!$G$60/HSI!$B$3,""))</f>
        <v/>
      </c>
      <c r="DW65" s="161">
        <f>IF(BI65="","",IFERROR(BI65*HSI!$B$60*HSI!$G$60/HSI!$B$3,""))</f>
        <v/>
      </c>
      <c r="DX65" s="161">
        <f>IF(BJ65="","",IFERROR(BJ65*HSI!$B$60*HSI!$G$60/HSI!$B$3,""))</f>
        <v/>
      </c>
      <c r="DY65" s="161">
        <f>IF(BK65="","",IFERROR(BK65*HSI!$B$60*HSI!$G$60/HSI!$B$3,""))</f>
        <v/>
      </c>
      <c r="DZ65" s="161">
        <f>IF(BL65="","",IFERROR(BL65*HSI!$B$60*HSI!$G$60/HSI!$B$3,""))</f>
        <v/>
      </c>
      <c r="EA65" s="161">
        <f>IF(BM65="","",IFERROR(BM65*HSI!$B$60*HSI!$G$60/HSI!$B$3,""))</f>
        <v/>
      </c>
      <c r="EB65" s="161">
        <f>IF(BN65="","",IFERROR(BN65*HSI!$B$60*HSI!$G$60/HSI!$B$3,""))</f>
        <v/>
      </c>
      <c r="EC65" s="161">
        <f>IF(BO65="","",IFERROR(BO65*HSI!$B$60*HSI!$G$60/HSI!$B$3,""))</f>
        <v/>
      </c>
      <c r="EE65" s="121">
        <f>IF(N('Dvd Calendar'!$E$594)=0,"",IF(('Dvd Calendar'!$E$594&gt;=GRID_FROM)*('Dvd Calendar'!$E$594&lt;=GRID_TO)*((('Dvd Calendar'!$E$594&lt;=VAL_DATE)+(COUNTIF('Dvd Calendar'!$E$601:$AR$601,'Dvd Calendar'!$E$594)=0))&gt;0)=0,"",'Dvd Calendar'!$E$594*1000000000+ISNUMBER('Dvd Calendar'!$E$597)*100000000+('Dvd Calendar'!$E$599=SPECIAL_LBL)*10000000+(N('Dvd Calendar'!$E$593)&gt;0)*(N('Dvd Calendar'!$E$593)&lt;=VAL_SERIAL)*1000000+54*1000+1))</f>
        <v/>
      </c>
      <c r="EF65" s="121">
        <f>IF(N('Dvd Calendar'!$F$594)=0,"",IF(('Dvd Calendar'!$F$594&gt;=GRID_FROM)*('Dvd Calendar'!$F$594&lt;=GRID_TO)*((('Dvd Calendar'!$F$594&lt;=VAL_DATE)+(COUNTIF('Dvd Calendar'!$E$601:$AR$601,'Dvd Calendar'!$F$594)=0))&gt;0)=0,"",'Dvd Calendar'!$F$594*1000000000+ISNUMBER('Dvd Calendar'!$F$597)*100000000+('Dvd Calendar'!$F$599=SPECIAL_LBL)*10000000+(N('Dvd Calendar'!$F$593)&gt;0)*(N('Dvd Calendar'!$F$593)&lt;=VAL_SERIAL)*1000000+54*1000+2))</f>
        <v/>
      </c>
      <c r="EG65" s="121">
        <f>IF(N('Dvd Calendar'!$G$594)=0,"",IF(('Dvd Calendar'!$G$594&gt;=GRID_FROM)*('Dvd Calendar'!$G$594&lt;=GRID_TO)*((('Dvd Calendar'!$G$594&lt;=VAL_DATE)+(COUNTIF('Dvd Calendar'!$E$601:$AR$601,'Dvd Calendar'!$G$594)=0))&gt;0)=0,"",'Dvd Calendar'!$G$594*1000000000+ISNUMBER('Dvd Calendar'!$G$597)*100000000+('Dvd Calendar'!$G$599=SPECIAL_LBL)*10000000+(N('Dvd Calendar'!$G$593)&gt;0)*(N('Dvd Calendar'!$G$593)&lt;=VAL_SERIAL)*1000000+54*1000+3))</f>
        <v/>
      </c>
      <c r="EH65" s="121">
        <f>IF(N('Dvd Calendar'!$H$594)=0,"",IF(('Dvd Calendar'!$H$594&gt;=GRID_FROM)*('Dvd Calendar'!$H$594&lt;=GRID_TO)*((('Dvd Calendar'!$H$594&lt;=VAL_DATE)+(COUNTIF('Dvd Calendar'!$E$601:$AR$601,'Dvd Calendar'!$H$594)=0))&gt;0)=0,"",'Dvd Calendar'!$H$594*1000000000+ISNUMBER('Dvd Calendar'!$H$597)*100000000+('Dvd Calendar'!$H$599=SPECIAL_LBL)*10000000+(N('Dvd Calendar'!$H$593)&gt;0)*(N('Dvd Calendar'!$H$593)&lt;=VAL_SERIAL)*1000000+54*1000+4))</f>
        <v/>
      </c>
      <c r="EI65" s="121">
        <f>IF(N('Dvd Calendar'!$I$594)=0,"",IF(('Dvd Calendar'!$I$594&gt;=GRID_FROM)*('Dvd Calendar'!$I$594&lt;=GRID_TO)*((('Dvd Calendar'!$I$594&lt;=VAL_DATE)+(COUNTIF('Dvd Calendar'!$E$601:$AR$601,'Dvd Calendar'!$I$594)=0))&gt;0)=0,"",'Dvd Calendar'!$I$594*1000000000+ISNUMBER('Dvd Calendar'!$I$597)*100000000+('Dvd Calendar'!$I$599=SPECIAL_LBL)*10000000+(N('Dvd Calendar'!$I$593)&gt;0)*(N('Dvd Calendar'!$I$593)&lt;=VAL_SERIAL)*1000000+54*1000+5))</f>
        <v/>
      </c>
      <c r="EJ65" s="121">
        <f>IF(N('Dvd Calendar'!$J$594)=0,"",IF(('Dvd Calendar'!$J$594&gt;=GRID_FROM)*('Dvd Calendar'!$J$594&lt;=GRID_TO)*((('Dvd Calendar'!$J$594&lt;=VAL_DATE)+(COUNTIF('Dvd Calendar'!$E$601:$AR$601,'Dvd Calendar'!$J$594)=0))&gt;0)=0,"",'Dvd Calendar'!$J$594*1000000000+ISNUMBER('Dvd Calendar'!$J$597)*100000000+('Dvd Calendar'!$J$599=SPECIAL_LBL)*10000000+(N('Dvd Calendar'!$J$593)&gt;0)*(N('Dvd Calendar'!$J$593)&lt;=VAL_SERIAL)*1000000+54*1000+6))</f>
        <v/>
      </c>
      <c r="EK65" s="121">
        <f>IF(N('Dvd Calendar'!$K$594)=0,"",IF(('Dvd Calendar'!$K$594&gt;=GRID_FROM)*('Dvd Calendar'!$K$594&lt;=GRID_TO)*((('Dvd Calendar'!$K$594&lt;=VAL_DATE)+(COUNTIF('Dvd Calendar'!$E$601:$AR$601,'Dvd Calendar'!$K$594)=0))&gt;0)=0,"",'Dvd Calendar'!$K$594*1000000000+ISNUMBER('Dvd Calendar'!$K$597)*100000000+('Dvd Calendar'!$K$599=SPECIAL_LBL)*10000000+(N('Dvd Calendar'!$K$593)&gt;0)*(N('Dvd Calendar'!$K$593)&lt;=VAL_SERIAL)*1000000+54*1000+7))</f>
        <v/>
      </c>
      <c r="EL65" s="121">
        <f>IF(N('Dvd Calendar'!$L$594)=0,"",IF(('Dvd Calendar'!$L$594&gt;=GRID_FROM)*('Dvd Calendar'!$L$594&lt;=GRID_TO)*((('Dvd Calendar'!$L$594&lt;=VAL_DATE)+(COUNTIF('Dvd Calendar'!$E$601:$AR$601,'Dvd Calendar'!$L$594)=0))&gt;0)=0,"",'Dvd Calendar'!$L$594*1000000000+ISNUMBER('Dvd Calendar'!$L$597)*100000000+('Dvd Calendar'!$L$599=SPECIAL_LBL)*10000000+(N('Dvd Calendar'!$L$593)&gt;0)*(N('Dvd Calendar'!$L$593)&lt;=VAL_SERIAL)*1000000+54*1000+8))</f>
        <v/>
      </c>
      <c r="EM65" s="121">
        <f>IF(N('Dvd Calendar'!$M$594)=0,"",IF(('Dvd Calendar'!$M$594&gt;=GRID_FROM)*('Dvd Calendar'!$M$594&lt;=GRID_TO)*((('Dvd Calendar'!$M$594&lt;=VAL_DATE)+(COUNTIF('Dvd Calendar'!$E$601:$AR$601,'Dvd Calendar'!$M$594)=0))&gt;0)=0,"",'Dvd Calendar'!$M$594*1000000000+ISNUMBER('Dvd Calendar'!$M$597)*100000000+('Dvd Calendar'!$M$599=SPECIAL_LBL)*10000000+(N('Dvd Calendar'!$M$593)&gt;0)*(N('Dvd Calendar'!$M$593)&lt;=VAL_SERIAL)*1000000+54*1000+9))</f>
        <v/>
      </c>
      <c r="EN65" s="121">
        <f>IF(N('Dvd Calendar'!$N$594)=0,"",IF(('Dvd Calendar'!$N$594&gt;=GRID_FROM)*('Dvd Calendar'!$N$594&lt;=GRID_TO)*((('Dvd Calendar'!$N$594&lt;=VAL_DATE)+(COUNTIF('Dvd Calendar'!$E$601:$AR$601,'Dvd Calendar'!$N$594)=0))&gt;0)=0,"",'Dvd Calendar'!$N$594*1000000000+ISNUMBER('Dvd Calendar'!$N$597)*100000000+('Dvd Calendar'!$N$599=SPECIAL_LBL)*10000000+(N('Dvd Calendar'!$N$593)&gt;0)*(N('Dvd Calendar'!$N$593)&lt;=VAL_SERIAL)*1000000+54*1000+10))</f>
        <v/>
      </c>
      <c r="EO65" s="121">
        <f>IF(N('Dvd Calendar'!$O$594)=0,"",IF(('Dvd Calendar'!$O$594&gt;=GRID_FROM)*('Dvd Calendar'!$O$594&lt;=GRID_TO)*((('Dvd Calendar'!$O$594&lt;=VAL_DATE)+(COUNTIF('Dvd Calendar'!$E$601:$AR$601,'Dvd Calendar'!$O$594)=0))&gt;0)=0,"",'Dvd Calendar'!$O$594*1000000000+ISNUMBER('Dvd Calendar'!$O$597)*100000000+('Dvd Calendar'!$O$599=SPECIAL_LBL)*10000000+(N('Dvd Calendar'!$O$593)&gt;0)*(N('Dvd Calendar'!$O$593)&lt;=VAL_SERIAL)*1000000+54*1000+11))</f>
        <v/>
      </c>
      <c r="EP65" s="121">
        <f>IF(N('Dvd Calendar'!$P$594)=0,"",IF(('Dvd Calendar'!$P$594&gt;=GRID_FROM)*('Dvd Calendar'!$P$594&lt;=GRID_TO)*((('Dvd Calendar'!$P$594&lt;=VAL_DATE)+(COUNTIF('Dvd Calendar'!$E$601:$AR$601,'Dvd Calendar'!$P$594)=0))&gt;0)=0,"",'Dvd Calendar'!$P$594*1000000000+ISNUMBER('Dvd Calendar'!$P$597)*100000000+('Dvd Calendar'!$P$599=SPECIAL_LBL)*10000000+(N('Dvd Calendar'!$P$593)&gt;0)*(N('Dvd Calendar'!$P$593)&lt;=VAL_SERIAL)*1000000+54*1000+12))</f>
        <v/>
      </c>
      <c r="EQ65" s="121">
        <f>IF(N('Dvd Calendar'!$Q$594)=0,"",IF(('Dvd Calendar'!$Q$594&gt;=GRID_FROM)*('Dvd Calendar'!$Q$594&lt;=GRID_TO)*((('Dvd Calendar'!$Q$594&lt;=VAL_DATE)+(COUNTIF('Dvd Calendar'!$E$601:$AR$601,'Dvd Calendar'!$Q$594)=0))&gt;0)=0,"",'Dvd Calendar'!$Q$594*1000000000+ISNUMBER('Dvd Calendar'!$Q$597)*100000000+('Dvd Calendar'!$Q$599=SPECIAL_LBL)*10000000+(N('Dvd Calendar'!$Q$593)&gt;0)*(N('Dvd Calendar'!$Q$593)&lt;=VAL_SERIAL)*1000000+54*1000+13))</f>
        <v/>
      </c>
      <c r="ER65" s="121">
        <f>IF(N('Dvd Calendar'!$R$594)=0,"",IF(('Dvd Calendar'!$R$594&gt;=GRID_FROM)*('Dvd Calendar'!$R$594&lt;=GRID_TO)*((('Dvd Calendar'!$R$594&lt;=VAL_DATE)+(COUNTIF('Dvd Calendar'!$E$601:$AR$601,'Dvd Calendar'!$R$594)=0))&gt;0)=0,"",'Dvd Calendar'!$R$594*1000000000+ISNUMBER('Dvd Calendar'!$R$597)*100000000+('Dvd Calendar'!$R$599=SPECIAL_LBL)*10000000+(N('Dvd Calendar'!$R$593)&gt;0)*(N('Dvd Calendar'!$R$593)&lt;=VAL_SERIAL)*1000000+54*1000+14))</f>
        <v/>
      </c>
      <c r="ES65" s="121">
        <f>IF(N('Dvd Calendar'!$S$594)=0,"",IF(('Dvd Calendar'!$S$594&gt;=GRID_FROM)*('Dvd Calendar'!$S$594&lt;=GRID_TO)*((('Dvd Calendar'!$S$594&lt;=VAL_DATE)+(COUNTIF('Dvd Calendar'!$E$601:$AR$601,'Dvd Calendar'!$S$594)=0))&gt;0)=0,"",'Dvd Calendar'!$S$594*1000000000+ISNUMBER('Dvd Calendar'!$S$597)*100000000+('Dvd Calendar'!$S$599=SPECIAL_LBL)*10000000+(N('Dvd Calendar'!$S$593)&gt;0)*(N('Dvd Calendar'!$S$593)&lt;=VAL_SERIAL)*1000000+54*1000+15))</f>
        <v/>
      </c>
      <c r="ET65" s="121">
        <f>IF(N('Dvd Calendar'!$T$594)=0,"",IF(('Dvd Calendar'!$T$594&gt;=GRID_FROM)*('Dvd Calendar'!$T$594&lt;=GRID_TO)*((('Dvd Calendar'!$T$594&lt;=VAL_DATE)+(COUNTIF('Dvd Calendar'!$E$601:$AR$601,'Dvd Calendar'!$T$594)=0))&gt;0)=0,"",'Dvd Calendar'!$T$594*1000000000+ISNUMBER('Dvd Calendar'!$T$597)*100000000+('Dvd Calendar'!$T$599=SPECIAL_LBL)*10000000+(N('Dvd Calendar'!$T$593)&gt;0)*(N('Dvd Calendar'!$T$593)&lt;=VAL_SERIAL)*1000000+54*1000+16))</f>
        <v/>
      </c>
      <c r="EU65" s="121">
        <f>IF(N('Dvd Calendar'!$U$594)=0,"",IF(('Dvd Calendar'!$U$594&gt;=GRID_FROM)*('Dvd Calendar'!$U$594&lt;=GRID_TO)*((('Dvd Calendar'!$U$594&lt;=VAL_DATE)+(COUNTIF('Dvd Calendar'!$E$601:$AR$601,'Dvd Calendar'!$U$594)=0))&gt;0)=0,"",'Dvd Calendar'!$U$594*1000000000+ISNUMBER('Dvd Calendar'!$U$597)*100000000+('Dvd Calendar'!$U$599=SPECIAL_LBL)*10000000+(N('Dvd Calendar'!$U$593)&gt;0)*(N('Dvd Calendar'!$U$593)&lt;=VAL_SERIAL)*1000000+54*1000+17))</f>
        <v/>
      </c>
      <c r="EV65" s="121">
        <f>IF(N('Dvd Calendar'!$V$594)=0,"",IF(('Dvd Calendar'!$V$594&gt;=GRID_FROM)*('Dvd Calendar'!$V$594&lt;=GRID_TO)*((('Dvd Calendar'!$V$594&lt;=VAL_DATE)+(COUNTIF('Dvd Calendar'!$E$601:$AR$601,'Dvd Calendar'!$V$594)=0))&gt;0)=0,"",'Dvd Calendar'!$V$594*1000000000+ISNUMBER('Dvd Calendar'!$V$597)*100000000+('Dvd Calendar'!$V$599=SPECIAL_LBL)*10000000+(N('Dvd Calendar'!$V$593)&gt;0)*(N('Dvd Calendar'!$V$593)&lt;=VAL_SERIAL)*1000000+54*1000+18))</f>
        <v/>
      </c>
      <c r="EW65" s="121">
        <f>IF(N('Dvd Calendar'!$W$594)=0,"",IF(('Dvd Calendar'!$W$594&gt;=GRID_FROM)*('Dvd Calendar'!$W$594&lt;=GRID_TO)*((('Dvd Calendar'!$W$594&lt;=VAL_DATE)+(COUNTIF('Dvd Calendar'!$E$601:$AR$601,'Dvd Calendar'!$W$594)=0))&gt;0)=0,"",'Dvd Calendar'!$W$594*1000000000+ISNUMBER('Dvd Calendar'!$W$597)*100000000+('Dvd Calendar'!$W$599=SPECIAL_LBL)*10000000+(N('Dvd Calendar'!$W$593)&gt;0)*(N('Dvd Calendar'!$W$593)&lt;=VAL_SERIAL)*1000000+54*1000+19))</f>
        <v/>
      </c>
      <c r="EX65" s="121">
        <f>IF(N('Dvd Calendar'!$X$594)=0,"",IF(('Dvd Calendar'!$X$594&gt;=GRID_FROM)*('Dvd Calendar'!$X$594&lt;=GRID_TO)*((('Dvd Calendar'!$X$594&lt;=VAL_DATE)+(COUNTIF('Dvd Calendar'!$E$601:$AR$601,'Dvd Calendar'!$X$594)=0))&gt;0)=0,"",'Dvd Calendar'!$X$594*1000000000+ISNUMBER('Dvd Calendar'!$X$597)*100000000+('Dvd Calendar'!$X$599=SPECIAL_LBL)*10000000+(N('Dvd Calendar'!$X$593)&gt;0)*(N('Dvd Calendar'!$X$593)&lt;=VAL_SERIAL)*1000000+54*1000+20))</f>
        <v/>
      </c>
      <c r="EY65" s="121">
        <f>IF(N('Dvd Calendar'!$Y$594)=0,"",IF(('Dvd Calendar'!$Y$594&gt;=GRID_FROM)*('Dvd Calendar'!$Y$594&lt;=GRID_TO)*((('Dvd Calendar'!$Y$594&lt;=VAL_DATE)+(COUNTIF('Dvd Calendar'!$E$601:$AR$601,'Dvd Calendar'!$Y$594)=0))&gt;0)=0,"",'Dvd Calendar'!$Y$594*1000000000+ISNUMBER('Dvd Calendar'!$Y$597)*100000000+('Dvd Calendar'!$Y$599=SPECIAL_LBL)*10000000+(N('Dvd Calendar'!$Y$593)&gt;0)*(N('Dvd Calendar'!$Y$593)&lt;=VAL_SERIAL)*1000000+54*1000+21))</f>
        <v/>
      </c>
      <c r="EZ65" s="121">
        <f>IF(N('Dvd Calendar'!$Z$594)=0,"",IF(('Dvd Calendar'!$Z$594&gt;=GRID_FROM)*('Dvd Calendar'!$Z$594&lt;=GRID_TO)*((('Dvd Calendar'!$Z$594&lt;=VAL_DATE)+(COUNTIF('Dvd Calendar'!$E$601:$AR$601,'Dvd Calendar'!$Z$594)=0))&gt;0)=0,"",'Dvd Calendar'!$Z$594*1000000000+ISNUMBER('Dvd Calendar'!$Z$597)*100000000+('Dvd Calendar'!$Z$599=SPECIAL_LBL)*10000000+(N('Dvd Calendar'!$Z$593)&gt;0)*(N('Dvd Calendar'!$Z$593)&lt;=VAL_SERIAL)*1000000+54*1000+22))</f>
        <v/>
      </c>
      <c r="FA65" s="121">
        <f>IF(N('Dvd Calendar'!$AA$594)=0,"",IF(('Dvd Calendar'!$AA$594&gt;=GRID_FROM)*('Dvd Calendar'!$AA$594&lt;=GRID_TO)*((('Dvd Calendar'!$AA$594&lt;=VAL_DATE)+(COUNTIF('Dvd Calendar'!$E$601:$AR$601,'Dvd Calendar'!$AA$594)=0))&gt;0)=0,"",'Dvd Calendar'!$AA$594*1000000000+ISNUMBER('Dvd Calendar'!$AA$597)*100000000+('Dvd Calendar'!$AA$599=SPECIAL_LBL)*10000000+(N('Dvd Calendar'!$AA$593)&gt;0)*(N('Dvd Calendar'!$AA$593)&lt;=VAL_SERIAL)*1000000+54*1000+23))</f>
        <v/>
      </c>
      <c r="FB65" s="121">
        <f>IF(N('Dvd Calendar'!$AB$594)=0,"",IF(('Dvd Calendar'!$AB$594&gt;=GRID_FROM)*('Dvd Calendar'!$AB$594&lt;=GRID_TO)*((('Dvd Calendar'!$AB$594&lt;=VAL_DATE)+(COUNTIF('Dvd Calendar'!$E$601:$AR$601,'Dvd Calendar'!$AB$594)=0))&gt;0)=0,"",'Dvd Calendar'!$AB$594*1000000000+ISNUMBER('Dvd Calendar'!$AB$597)*100000000+('Dvd Calendar'!$AB$599=SPECIAL_LBL)*10000000+(N('Dvd Calendar'!$AB$593)&gt;0)*(N('Dvd Calendar'!$AB$593)&lt;=VAL_SERIAL)*1000000+54*1000+24))</f>
        <v/>
      </c>
      <c r="FC65" s="121">
        <f>IF(N('Dvd Calendar'!$AC$594)=0,"",IF(('Dvd Calendar'!$AC$594&gt;=GRID_FROM)*('Dvd Calendar'!$AC$594&lt;=GRID_TO)*((('Dvd Calendar'!$AC$594&lt;=VAL_DATE)+(COUNTIF('Dvd Calendar'!$E$601:$AR$601,'Dvd Calendar'!$AC$594)=0))&gt;0)=0,"",'Dvd Calendar'!$AC$594*1000000000+ISNUMBER('Dvd Calendar'!$AC$597)*100000000+('Dvd Calendar'!$AC$599=SPECIAL_LBL)*10000000+(N('Dvd Calendar'!$AC$593)&gt;0)*(N('Dvd Calendar'!$AC$593)&lt;=VAL_SERIAL)*1000000+54*1000+25))</f>
        <v/>
      </c>
      <c r="FD65" s="121">
        <f>IF(N('Dvd Calendar'!$AD$594)=0,"",IF(('Dvd Calendar'!$AD$594&gt;=GRID_FROM)*('Dvd Calendar'!$AD$594&lt;=GRID_TO)*((('Dvd Calendar'!$AD$594&lt;=VAL_DATE)+(COUNTIF('Dvd Calendar'!$E$601:$AR$601,'Dvd Calendar'!$AD$594)=0))&gt;0)=0,"",'Dvd Calendar'!$AD$594*1000000000+ISNUMBER('Dvd Calendar'!$AD$597)*100000000+('Dvd Calendar'!$AD$599=SPECIAL_LBL)*10000000+(N('Dvd Calendar'!$AD$593)&gt;0)*(N('Dvd Calendar'!$AD$593)&lt;=VAL_SERIAL)*1000000+54*1000+26))</f>
        <v/>
      </c>
      <c r="FE65" s="121">
        <f>IF(N('Dvd Calendar'!$AE$594)=0,"",IF(('Dvd Calendar'!$AE$594&gt;=GRID_FROM)*('Dvd Calendar'!$AE$594&lt;=GRID_TO)*((('Dvd Calendar'!$AE$594&lt;=VAL_DATE)+(COUNTIF('Dvd Calendar'!$E$601:$AR$601,'Dvd Calendar'!$AE$594)=0))&gt;0)=0,"",'Dvd Calendar'!$AE$594*1000000000+ISNUMBER('Dvd Calendar'!$AE$597)*100000000+('Dvd Calendar'!$AE$599=SPECIAL_LBL)*10000000+(N('Dvd Calendar'!$AE$593)&gt;0)*(N('Dvd Calendar'!$AE$593)&lt;=VAL_SERIAL)*1000000+54*1000+27))</f>
        <v/>
      </c>
      <c r="FF65" s="121">
        <f>IF(N('Dvd Calendar'!$AF$594)=0,"",IF(('Dvd Calendar'!$AF$594&gt;=GRID_FROM)*('Dvd Calendar'!$AF$594&lt;=GRID_TO)*((('Dvd Calendar'!$AF$594&lt;=VAL_DATE)+(COUNTIF('Dvd Calendar'!$E$601:$AR$601,'Dvd Calendar'!$AF$594)=0))&gt;0)=0,"",'Dvd Calendar'!$AF$594*1000000000+ISNUMBER('Dvd Calendar'!$AF$597)*100000000+('Dvd Calendar'!$AF$599=SPECIAL_LBL)*10000000+(N('Dvd Calendar'!$AF$593)&gt;0)*(N('Dvd Calendar'!$AF$593)&lt;=VAL_SERIAL)*1000000+54*1000+28))</f>
        <v/>
      </c>
      <c r="FG65" s="121">
        <f>IF(N('Dvd Calendar'!$AG$594)=0,"",IF(('Dvd Calendar'!$AG$594&gt;=GRID_FROM)*('Dvd Calendar'!$AG$594&lt;=GRID_TO)*((('Dvd Calendar'!$AG$594&lt;=VAL_DATE)+(COUNTIF('Dvd Calendar'!$E$601:$AR$601,'Dvd Calendar'!$AG$594)=0))&gt;0)=0,"",'Dvd Calendar'!$AG$594*1000000000+ISNUMBER('Dvd Calendar'!$AG$597)*100000000+('Dvd Calendar'!$AG$599=SPECIAL_LBL)*10000000+(N('Dvd Calendar'!$AG$593)&gt;0)*(N('Dvd Calendar'!$AG$593)&lt;=VAL_SERIAL)*1000000+54*1000+29))</f>
        <v/>
      </c>
      <c r="FH65" s="121">
        <f>IF(N('Dvd Calendar'!$AH$594)=0,"",IF(('Dvd Calendar'!$AH$594&gt;=GRID_FROM)*('Dvd Calendar'!$AH$594&lt;=GRID_TO)*((('Dvd Calendar'!$AH$594&lt;=VAL_DATE)+(COUNTIF('Dvd Calendar'!$E$601:$AR$601,'Dvd Calendar'!$AH$594)=0))&gt;0)=0,"",'Dvd Calendar'!$AH$594*1000000000+ISNUMBER('Dvd Calendar'!$AH$597)*100000000+('Dvd Calendar'!$AH$599=SPECIAL_LBL)*10000000+(N('Dvd Calendar'!$AH$593)&gt;0)*(N('Dvd Calendar'!$AH$593)&lt;=VAL_SERIAL)*1000000+54*1000+30))</f>
        <v/>
      </c>
      <c r="FI65" s="121">
        <f>IF(N('Dvd Calendar'!$AI$594)=0,"",IF(('Dvd Calendar'!$AI$594&gt;=GRID_FROM)*('Dvd Calendar'!$AI$594&lt;=GRID_TO)*((('Dvd Calendar'!$AI$594&lt;=VAL_DATE)+(COUNTIF('Dvd Calendar'!$E$601:$AR$601,'Dvd Calendar'!$AI$594)=0))&gt;0)=0,"",'Dvd Calendar'!$AI$594*1000000000+ISNUMBER('Dvd Calendar'!$AI$597)*100000000+('Dvd Calendar'!$AI$599=SPECIAL_LBL)*10000000+(N('Dvd Calendar'!$AI$593)&gt;0)*(N('Dvd Calendar'!$AI$593)&lt;=VAL_SERIAL)*1000000+54*1000+31))</f>
        <v/>
      </c>
      <c r="FJ65" s="121">
        <f>IF(N('Dvd Calendar'!$AJ$594)=0,"",IF(('Dvd Calendar'!$AJ$594&gt;=GRID_FROM)*('Dvd Calendar'!$AJ$594&lt;=GRID_TO)*((('Dvd Calendar'!$AJ$594&lt;=VAL_DATE)+(COUNTIF('Dvd Calendar'!$E$601:$AR$601,'Dvd Calendar'!$AJ$594)=0))&gt;0)=0,"",'Dvd Calendar'!$AJ$594*1000000000+ISNUMBER('Dvd Calendar'!$AJ$597)*100000000+('Dvd Calendar'!$AJ$599=SPECIAL_LBL)*10000000+(N('Dvd Calendar'!$AJ$593)&gt;0)*(N('Dvd Calendar'!$AJ$593)&lt;=VAL_SERIAL)*1000000+54*1000+32))</f>
        <v/>
      </c>
      <c r="FK65" s="121">
        <f>IF(N('Dvd Calendar'!$AK$594)=0,"",IF(('Dvd Calendar'!$AK$594&gt;=GRID_FROM)*('Dvd Calendar'!$AK$594&lt;=GRID_TO)*((('Dvd Calendar'!$AK$594&lt;=VAL_DATE)+(COUNTIF('Dvd Calendar'!$E$601:$AR$601,'Dvd Calendar'!$AK$594)=0))&gt;0)=0,"",'Dvd Calendar'!$AK$594*1000000000+ISNUMBER('Dvd Calendar'!$AK$597)*100000000+('Dvd Calendar'!$AK$599=SPECIAL_LBL)*10000000+(N('Dvd Calendar'!$AK$593)&gt;0)*(N('Dvd Calendar'!$AK$593)&lt;=VAL_SERIAL)*1000000+54*1000+33))</f>
        <v/>
      </c>
      <c r="FL65" s="121">
        <f>IF(N('Dvd Calendar'!$AL$594)=0,"",IF(('Dvd Calendar'!$AL$594&gt;=GRID_FROM)*('Dvd Calendar'!$AL$594&lt;=GRID_TO)*((('Dvd Calendar'!$AL$594&lt;=VAL_DATE)+(COUNTIF('Dvd Calendar'!$E$601:$AR$601,'Dvd Calendar'!$AL$594)=0))&gt;0)=0,"",'Dvd Calendar'!$AL$594*1000000000+ISNUMBER('Dvd Calendar'!$AL$597)*100000000+('Dvd Calendar'!$AL$599=SPECIAL_LBL)*10000000+(N('Dvd Calendar'!$AL$593)&gt;0)*(N('Dvd Calendar'!$AL$593)&lt;=VAL_SERIAL)*1000000+54*1000+34))</f>
        <v/>
      </c>
      <c r="FM65" s="121">
        <f>IF(N('Dvd Calendar'!$AM$594)=0,"",IF(('Dvd Calendar'!$AM$594&gt;=GRID_FROM)*('Dvd Calendar'!$AM$594&lt;=GRID_TO)*((('Dvd Calendar'!$AM$594&lt;=VAL_DATE)+(COUNTIF('Dvd Calendar'!$E$601:$AR$601,'Dvd Calendar'!$AM$594)=0))&gt;0)=0,"",'Dvd Calendar'!$AM$594*1000000000+ISNUMBER('Dvd Calendar'!$AM$597)*100000000+('Dvd Calendar'!$AM$599=SPECIAL_LBL)*10000000+(N('Dvd Calendar'!$AM$593)&gt;0)*(N('Dvd Calendar'!$AM$593)&lt;=VAL_SERIAL)*1000000+54*1000+35))</f>
        <v/>
      </c>
      <c r="FN65" s="121">
        <f>IF(N('Dvd Calendar'!$AN$594)=0,"",IF(('Dvd Calendar'!$AN$594&gt;=GRID_FROM)*('Dvd Calendar'!$AN$594&lt;=GRID_TO)*((('Dvd Calendar'!$AN$594&lt;=VAL_DATE)+(COUNTIF('Dvd Calendar'!$E$601:$AR$601,'Dvd Calendar'!$AN$594)=0))&gt;0)=0,"",'Dvd Calendar'!$AN$594*1000000000+ISNUMBER('Dvd Calendar'!$AN$597)*100000000+('Dvd Calendar'!$AN$599=SPECIAL_LBL)*10000000+(N('Dvd Calendar'!$AN$593)&gt;0)*(N('Dvd Calendar'!$AN$593)&lt;=VAL_SERIAL)*1000000+54*1000+36))</f>
        <v/>
      </c>
      <c r="FO65" s="121">
        <f>IF(N('Dvd Calendar'!$AO$594)=0,"",IF(('Dvd Calendar'!$AO$594&gt;=GRID_FROM)*('Dvd Calendar'!$AO$594&lt;=GRID_TO)*((('Dvd Calendar'!$AO$594&lt;=VAL_DATE)+(COUNTIF('Dvd Calendar'!$E$601:$AR$601,'Dvd Calendar'!$AO$594)=0))&gt;0)=0,"",'Dvd Calendar'!$AO$594*1000000000+ISNUMBER('Dvd Calendar'!$AO$597)*100000000+('Dvd Calendar'!$AO$599=SPECIAL_LBL)*10000000+(N('Dvd Calendar'!$AO$593)&gt;0)*(N('Dvd Calendar'!$AO$593)&lt;=VAL_SERIAL)*1000000+54*1000+37))</f>
        <v/>
      </c>
      <c r="FP65" s="121">
        <f>IF(N('Dvd Calendar'!$AP$594)=0,"",IF(('Dvd Calendar'!$AP$594&gt;=GRID_FROM)*('Dvd Calendar'!$AP$594&lt;=GRID_TO)*((('Dvd Calendar'!$AP$594&lt;=VAL_DATE)+(COUNTIF('Dvd Calendar'!$E$601:$AR$601,'Dvd Calendar'!$AP$594)=0))&gt;0)=0,"",'Dvd Calendar'!$AP$594*1000000000+ISNUMBER('Dvd Calendar'!$AP$597)*100000000+('Dvd Calendar'!$AP$599=SPECIAL_LBL)*10000000+(N('Dvd Calendar'!$AP$593)&gt;0)*(N('Dvd Calendar'!$AP$593)&lt;=VAL_SERIAL)*1000000+54*1000+38))</f>
        <v/>
      </c>
      <c r="FQ65" s="121">
        <f>IF(N('Dvd Calendar'!$AQ$594)=0,"",IF(('Dvd Calendar'!$AQ$594&gt;=GRID_FROM)*('Dvd Calendar'!$AQ$594&lt;=GRID_TO)*((('Dvd Calendar'!$AQ$594&lt;=VAL_DATE)+(COUNTIF('Dvd Calendar'!$E$601:$AR$601,'Dvd Calendar'!$AQ$594)=0))&gt;0)=0,"",'Dvd Calendar'!$AQ$594*1000000000+ISNUMBER('Dvd Calendar'!$AQ$597)*100000000+('Dvd Calendar'!$AQ$599=SPECIAL_LBL)*10000000+(N('Dvd Calendar'!$AQ$593)&gt;0)*(N('Dvd Calendar'!$AQ$593)&lt;=VAL_SERIAL)*1000000+54*1000+39))</f>
        <v/>
      </c>
      <c r="FR65" s="121">
        <f>IF(N('Dvd Calendar'!$AR$594)=0,"",IF(('Dvd Calendar'!$AR$594&gt;=GRID_FROM)*('Dvd Calendar'!$AR$594&lt;=GRID_TO)*((('Dvd Calendar'!$AR$594&lt;=VAL_DATE)+(COUNTIF('Dvd Calendar'!$E$601:$AR$601,'Dvd Calendar'!$AR$594)=0))&gt;0)=0,"",'Dvd Calendar'!$AR$594*1000000000+ISNUMBER('Dvd Calendar'!$AR$597)*100000000+('Dvd Calendar'!$AR$599=SPECIAL_LBL)*10000000+(N('Dvd Calendar'!$AR$593)&gt;0)*(N('Dvd Calendar'!$AR$593)&lt;=VAL_SERIAL)*1000000+54*1000+40))</f>
        <v/>
      </c>
      <c r="FS65" s="121">
        <f>IF(N('Dvd Calendar'!$E$601)=0,"",IF(('Dvd Calendar'!$E$601&gt;=GRID_FROM)*('Dvd Calendar'!$E$601&lt;=GRID_TO)*('Dvd Calendar'!$E$601&gt;VAL_DATE)=0,"",'Dvd Calendar'!$E$601*1000000000+ISNUMBER('Dvd Calendar'!$E$602)*100000000+0*10000000+(N('Dvd Calendar'!$E$600)&gt;0)*(N('Dvd Calendar'!$E$600)&lt;=VAL_SERIAL)*1000000+54*1000+41))</f>
        <v/>
      </c>
      <c r="FT65" s="121">
        <f>IF(N('Dvd Calendar'!$F$601)=0,"",IF(('Dvd Calendar'!$F$601&gt;=GRID_FROM)*('Dvd Calendar'!$F$601&lt;=GRID_TO)*('Dvd Calendar'!$F$601&gt;VAL_DATE)=0,"",'Dvd Calendar'!$F$601*1000000000+ISNUMBER('Dvd Calendar'!$F$602)*100000000+0*10000000+(N('Dvd Calendar'!$F$600)&gt;0)*(N('Dvd Calendar'!$F$600)&lt;=VAL_SERIAL)*1000000+54*1000+42))</f>
        <v/>
      </c>
      <c r="FU65" s="121">
        <f>IF(N('Dvd Calendar'!$G$601)=0,"",IF(('Dvd Calendar'!$G$601&gt;=GRID_FROM)*('Dvd Calendar'!$G$601&lt;=GRID_TO)*('Dvd Calendar'!$G$601&gt;VAL_DATE)=0,"",'Dvd Calendar'!$G$601*1000000000+ISNUMBER('Dvd Calendar'!$G$602)*100000000+0*10000000+(N('Dvd Calendar'!$G$600)&gt;0)*(N('Dvd Calendar'!$G$600)&lt;=VAL_SERIAL)*1000000+54*1000+43))</f>
        <v/>
      </c>
      <c r="FV65" s="121">
        <f>IF(N('Dvd Calendar'!$H$601)=0,"",IF(('Dvd Calendar'!$H$601&gt;=GRID_FROM)*('Dvd Calendar'!$H$601&lt;=GRID_TO)*('Dvd Calendar'!$H$601&gt;VAL_DATE)=0,"",'Dvd Calendar'!$H$601*1000000000+ISNUMBER('Dvd Calendar'!$H$602)*100000000+0*10000000+(N('Dvd Calendar'!$H$600)&gt;0)*(N('Dvd Calendar'!$H$600)&lt;=VAL_SERIAL)*1000000+54*1000+44))</f>
        <v/>
      </c>
      <c r="FW65" s="121">
        <f>IF(N('Dvd Calendar'!$I$601)=0,"",IF(('Dvd Calendar'!$I$601&gt;=GRID_FROM)*('Dvd Calendar'!$I$601&lt;=GRID_TO)*('Dvd Calendar'!$I$601&gt;VAL_DATE)=0,"",'Dvd Calendar'!$I$601*1000000000+ISNUMBER('Dvd Calendar'!$I$602)*100000000+0*10000000+(N('Dvd Calendar'!$I$600)&gt;0)*(N('Dvd Calendar'!$I$600)&lt;=VAL_SERIAL)*1000000+54*1000+45))</f>
        <v/>
      </c>
      <c r="FX65" s="121">
        <f>IF(N('Dvd Calendar'!$J$601)=0,"",IF(('Dvd Calendar'!$J$601&gt;=GRID_FROM)*('Dvd Calendar'!$J$601&lt;=GRID_TO)*('Dvd Calendar'!$J$601&gt;VAL_DATE)=0,"",'Dvd Calendar'!$J$601*1000000000+ISNUMBER('Dvd Calendar'!$J$602)*100000000+0*10000000+(N('Dvd Calendar'!$J$600)&gt;0)*(N('Dvd Calendar'!$J$600)&lt;=VAL_SERIAL)*1000000+54*1000+46))</f>
        <v/>
      </c>
      <c r="FY65" s="121">
        <f>IF(N('Dvd Calendar'!$K$601)=0,"",IF(('Dvd Calendar'!$K$601&gt;=GRID_FROM)*('Dvd Calendar'!$K$601&lt;=GRID_TO)*('Dvd Calendar'!$K$601&gt;VAL_DATE)=0,"",'Dvd Calendar'!$K$601*1000000000+ISNUMBER('Dvd Calendar'!$K$602)*100000000+0*10000000+(N('Dvd Calendar'!$K$600)&gt;0)*(N('Dvd Calendar'!$K$600)&lt;=VAL_SERIAL)*1000000+54*1000+47))</f>
        <v/>
      </c>
      <c r="FZ65" s="121">
        <f>IF(N('Dvd Calendar'!$L$601)=0,"",IF(('Dvd Calendar'!$L$601&gt;=GRID_FROM)*('Dvd Calendar'!$L$601&lt;=GRID_TO)*('Dvd Calendar'!$L$601&gt;VAL_DATE)=0,"",'Dvd Calendar'!$L$601*1000000000+ISNUMBER('Dvd Calendar'!$L$602)*100000000+0*10000000+(N('Dvd Calendar'!$L$600)&gt;0)*(N('Dvd Calendar'!$L$600)&lt;=VAL_SERIAL)*1000000+54*1000+48))</f>
        <v/>
      </c>
      <c r="GA65" s="121">
        <f>IF(N('Dvd Calendar'!$M$601)=0,"",IF(('Dvd Calendar'!$M$601&gt;=GRID_FROM)*('Dvd Calendar'!$M$601&lt;=GRID_TO)*('Dvd Calendar'!$M$601&gt;VAL_DATE)=0,"",'Dvd Calendar'!$M$601*1000000000+ISNUMBER('Dvd Calendar'!$M$602)*100000000+0*10000000+(N('Dvd Calendar'!$M$600)&gt;0)*(N('Dvd Calendar'!$M$600)&lt;=VAL_SERIAL)*1000000+54*1000+49))</f>
        <v/>
      </c>
      <c r="GB65" s="121">
        <f>IF(N('Dvd Calendar'!$N$601)=0,"",IF(('Dvd Calendar'!$N$601&gt;=GRID_FROM)*('Dvd Calendar'!$N$601&lt;=GRID_TO)*('Dvd Calendar'!$N$601&gt;VAL_DATE)=0,"",'Dvd Calendar'!$N$601*1000000000+ISNUMBER('Dvd Calendar'!$N$602)*100000000+0*10000000+(N('Dvd Calendar'!$N$600)&gt;0)*(N('Dvd Calendar'!$N$600)&lt;=VAL_SERIAL)*1000000+54*1000+50))</f>
        <v/>
      </c>
      <c r="GC65" s="121">
        <f>IF(N('Dvd Calendar'!$O$601)=0,"",IF(('Dvd Calendar'!$O$601&gt;=GRID_FROM)*('Dvd Calendar'!$O$601&lt;=GRID_TO)*('Dvd Calendar'!$O$601&gt;VAL_DATE)=0,"",'Dvd Calendar'!$O$601*1000000000+ISNUMBER('Dvd Calendar'!$O$602)*100000000+0*10000000+(N('Dvd Calendar'!$O$600)&gt;0)*(N('Dvd Calendar'!$O$600)&lt;=VAL_SERIAL)*1000000+54*1000+51))</f>
        <v/>
      </c>
      <c r="GD65" s="121">
        <f>IF(N('Dvd Calendar'!$P$601)=0,"",IF(('Dvd Calendar'!$P$601&gt;=GRID_FROM)*('Dvd Calendar'!$P$601&lt;=GRID_TO)*('Dvd Calendar'!$P$601&gt;VAL_DATE)=0,"",'Dvd Calendar'!$P$601*1000000000+ISNUMBER('Dvd Calendar'!$P$602)*100000000+0*10000000+(N('Dvd Calendar'!$P$600)&gt;0)*(N('Dvd Calendar'!$P$600)&lt;=VAL_SERIAL)*1000000+54*1000+52))</f>
        <v/>
      </c>
      <c r="GE65" s="121">
        <f>IF(N('Dvd Calendar'!$Q$601)=0,"",IF(('Dvd Calendar'!$Q$601&gt;=GRID_FROM)*('Dvd Calendar'!$Q$601&lt;=GRID_TO)*('Dvd Calendar'!$Q$601&gt;VAL_DATE)=0,"",'Dvd Calendar'!$Q$601*1000000000+ISNUMBER('Dvd Calendar'!$Q$602)*100000000+0*10000000+(N('Dvd Calendar'!$Q$600)&gt;0)*(N('Dvd Calendar'!$Q$600)&lt;=VAL_SERIAL)*1000000+54*1000+53))</f>
        <v/>
      </c>
      <c r="GF65" s="121">
        <f>IF(N('Dvd Calendar'!$R$601)=0,"",IF(('Dvd Calendar'!$R$601&gt;=GRID_FROM)*('Dvd Calendar'!$R$601&lt;=GRID_TO)*('Dvd Calendar'!$R$601&gt;VAL_DATE)=0,"",'Dvd Calendar'!$R$601*1000000000+ISNUMBER('Dvd Calendar'!$R$602)*100000000+0*10000000+(N('Dvd Calendar'!$R$600)&gt;0)*(N('Dvd Calendar'!$R$600)&lt;=VAL_SERIAL)*1000000+54*1000+54))</f>
        <v/>
      </c>
      <c r="GG65" s="121">
        <f>IF(N('Dvd Calendar'!$S$601)=0,"",IF(('Dvd Calendar'!$S$601&gt;=GRID_FROM)*('Dvd Calendar'!$S$601&lt;=GRID_TO)*('Dvd Calendar'!$S$601&gt;VAL_DATE)=0,"",'Dvd Calendar'!$S$601*1000000000+ISNUMBER('Dvd Calendar'!$S$602)*100000000+0*10000000+(N('Dvd Calendar'!$S$600)&gt;0)*(N('Dvd Calendar'!$S$600)&lt;=VAL_SERIAL)*1000000+54*1000+55))</f>
        <v/>
      </c>
      <c r="GH65" s="121">
        <f>IF(N('Dvd Calendar'!$T$601)=0,"",IF(('Dvd Calendar'!$T$601&gt;=GRID_FROM)*('Dvd Calendar'!$T$601&lt;=GRID_TO)*('Dvd Calendar'!$T$601&gt;VAL_DATE)=0,"",'Dvd Calendar'!$T$601*1000000000+ISNUMBER('Dvd Calendar'!$T$602)*100000000+0*10000000+(N('Dvd Calendar'!$T$600)&gt;0)*(N('Dvd Calendar'!$T$600)&lt;=VAL_SERIAL)*1000000+54*1000+56))</f>
        <v/>
      </c>
      <c r="GI65" s="121">
        <f>IF(N('Dvd Calendar'!$U$601)=0,"",IF(('Dvd Calendar'!$U$601&gt;=GRID_FROM)*('Dvd Calendar'!$U$601&lt;=GRID_TO)*('Dvd Calendar'!$U$601&gt;VAL_DATE)=0,"",'Dvd Calendar'!$U$601*1000000000+ISNUMBER('Dvd Calendar'!$U$602)*100000000+0*10000000+(N('Dvd Calendar'!$U$600)&gt;0)*(N('Dvd Calendar'!$U$600)&lt;=VAL_SERIAL)*1000000+54*1000+57))</f>
        <v/>
      </c>
      <c r="GJ65" s="121">
        <f>IF(N('Dvd Calendar'!$V$601)=0,"",IF(('Dvd Calendar'!$V$601&gt;=GRID_FROM)*('Dvd Calendar'!$V$601&lt;=GRID_TO)*('Dvd Calendar'!$V$601&gt;VAL_DATE)=0,"",'Dvd Calendar'!$V$601*1000000000+ISNUMBER('Dvd Calendar'!$V$602)*100000000+0*10000000+(N('Dvd Calendar'!$V$600)&gt;0)*(N('Dvd Calendar'!$V$600)&lt;=VAL_SERIAL)*1000000+54*1000+58))</f>
        <v/>
      </c>
      <c r="GK65" s="121">
        <f>IF(N('Dvd Calendar'!$W$601)=0,"",IF(('Dvd Calendar'!$W$601&gt;=GRID_FROM)*('Dvd Calendar'!$W$601&lt;=GRID_TO)*('Dvd Calendar'!$W$601&gt;VAL_DATE)=0,"",'Dvd Calendar'!$W$601*1000000000+ISNUMBER('Dvd Calendar'!$W$602)*100000000+0*10000000+(N('Dvd Calendar'!$W$600)&gt;0)*(N('Dvd Calendar'!$W$600)&lt;=VAL_SERIAL)*1000000+54*1000+59))</f>
        <v/>
      </c>
      <c r="GL65" s="121">
        <f>IF(N('Dvd Calendar'!$X$601)=0,"",IF(('Dvd Calendar'!$X$601&gt;=GRID_FROM)*('Dvd Calendar'!$X$601&lt;=GRID_TO)*('Dvd Calendar'!$X$601&gt;VAL_DATE)=0,"",'Dvd Calendar'!$X$601*1000000000+ISNUMBER('Dvd Calendar'!$X$602)*100000000+0*10000000+(N('Dvd Calendar'!$X$600)&gt;0)*(N('Dvd Calendar'!$X$600)&lt;=VAL_SERIAL)*1000000+54*1000+60))</f>
        <v/>
      </c>
      <c r="GM65" s="121">
        <f>IF(N('Dvd Calendar'!$Y$601)=0,"",IF(('Dvd Calendar'!$Y$601&gt;=GRID_FROM)*('Dvd Calendar'!$Y$601&lt;=GRID_TO)*('Dvd Calendar'!$Y$601&gt;VAL_DATE)=0,"",'Dvd Calendar'!$Y$601*1000000000+ISNUMBER('Dvd Calendar'!$Y$602)*100000000+0*10000000+(N('Dvd Calendar'!$Y$600)&gt;0)*(N('Dvd Calendar'!$Y$600)&lt;=VAL_SERIAL)*1000000+54*1000+61))</f>
        <v/>
      </c>
      <c r="GN65" s="121">
        <f>IF(N('Dvd Calendar'!$Z$601)=0,"",IF(('Dvd Calendar'!$Z$601&gt;=GRID_FROM)*('Dvd Calendar'!$Z$601&lt;=GRID_TO)*('Dvd Calendar'!$Z$601&gt;VAL_DATE)=0,"",'Dvd Calendar'!$Z$601*1000000000+ISNUMBER('Dvd Calendar'!$Z$602)*100000000+0*10000000+(N('Dvd Calendar'!$Z$600)&gt;0)*(N('Dvd Calendar'!$Z$600)&lt;=VAL_SERIAL)*1000000+54*1000+62))</f>
        <v/>
      </c>
      <c r="GO65" s="121">
        <f>IF(N('Dvd Calendar'!$AA$601)=0,"",IF(('Dvd Calendar'!$AA$601&gt;=GRID_FROM)*('Dvd Calendar'!$AA$601&lt;=GRID_TO)*('Dvd Calendar'!$AA$601&gt;VAL_DATE)=0,"",'Dvd Calendar'!$AA$601*1000000000+ISNUMBER('Dvd Calendar'!$AA$602)*100000000+0*10000000+(N('Dvd Calendar'!$AA$600)&gt;0)*(N('Dvd Calendar'!$AA$600)&lt;=VAL_SERIAL)*1000000+54*1000+63))</f>
        <v/>
      </c>
      <c r="GP65" s="121">
        <f>IF(N('Dvd Calendar'!$AB$601)=0,"",IF(('Dvd Calendar'!$AB$601&gt;=GRID_FROM)*('Dvd Calendar'!$AB$601&lt;=GRID_TO)*('Dvd Calendar'!$AB$601&gt;VAL_DATE)=0,"",'Dvd Calendar'!$AB$601*1000000000+ISNUMBER('Dvd Calendar'!$AB$602)*100000000+0*10000000+(N('Dvd Calendar'!$AB$600)&gt;0)*(N('Dvd Calendar'!$AB$600)&lt;=VAL_SERIAL)*1000000+54*1000+64))</f>
        <v/>
      </c>
      <c r="GQ65" s="121">
        <f>IF(N('Dvd Calendar'!$AC$601)=0,"",IF(('Dvd Calendar'!$AC$601&gt;=GRID_FROM)*('Dvd Calendar'!$AC$601&lt;=GRID_TO)*('Dvd Calendar'!$AC$601&gt;VAL_DATE)=0,"",'Dvd Calendar'!$AC$601*1000000000+ISNUMBER('Dvd Calendar'!$AC$602)*100000000+0*10000000+(N('Dvd Calendar'!$AC$600)&gt;0)*(N('Dvd Calendar'!$AC$600)&lt;=VAL_SERIAL)*1000000+54*1000+65))</f>
        <v/>
      </c>
    </row>
    <row r="66">
      <c r="B66" s="2">
        <f>IF(HSI!$C$61="","",HSI!$C$61)</f>
        <v/>
      </c>
      <c r="C66" s="161">
        <f>IF(EE66="","",IF(ISNUMBER('Dvd Calendar'!$E$608)=FALSE,"",IF((('Dvd Calendar'!$E$610=TYPE1)*(TYPE1&lt;&gt;"")+('Dvd Calendar'!$E$610=TYPE2)*(TYPE2&lt;&gt;"")+('Dvd Calendar'!$E$610=TYPE3)*(TYPE3&lt;&gt;"")+('Dvd Calendar'!$E$610=TYPE4)*(TYPE4&lt;&gt;"")+('Dvd Calendar'!$E$610=SPECIAL_LBL)*(INC_SPECIALS="Y"))=0,"",'Dvd Calendar'!$E$608)))</f>
        <v/>
      </c>
      <c r="D66" s="161">
        <f>IF(EF66="","",IF(ISNUMBER('Dvd Calendar'!$F$608)=FALSE,"",IF((('Dvd Calendar'!$F$610=TYPE1)*(TYPE1&lt;&gt;"")+('Dvd Calendar'!$F$610=TYPE2)*(TYPE2&lt;&gt;"")+('Dvd Calendar'!$F$610=TYPE3)*(TYPE3&lt;&gt;"")+('Dvd Calendar'!$F$610=TYPE4)*(TYPE4&lt;&gt;"")+('Dvd Calendar'!$F$610=SPECIAL_LBL)*(INC_SPECIALS="Y"))=0,"",'Dvd Calendar'!$F$608)))</f>
        <v/>
      </c>
      <c r="E66" s="161">
        <f>IF(EG66="","",IF(ISNUMBER('Dvd Calendar'!$G$608)=FALSE,"",IF((('Dvd Calendar'!$G$610=TYPE1)*(TYPE1&lt;&gt;"")+('Dvd Calendar'!$G$610=TYPE2)*(TYPE2&lt;&gt;"")+('Dvd Calendar'!$G$610=TYPE3)*(TYPE3&lt;&gt;"")+('Dvd Calendar'!$G$610=TYPE4)*(TYPE4&lt;&gt;"")+('Dvd Calendar'!$G$610=SPECIAL_LBL)*(INC_SPECIALS="Y"))=0,"",'Dvd Calendar'!$G$608)))</f>
        <v/>
      </c>
      <c r="F66" s="161">
        <f>IF(EH66="","",IF(ISNUMBER('Dvd Calendar'!$H$608)=FALSE,"",IF((('Dvd Calendar'!$H$610=TYPE1)*(TYPE1&lt;&gt;"")+('Dvd Calendar'!$H$610=TYPE2)*(TYPE2&lt;&gt;"")+('Dvd Calendar'!$H$610=TYPE3)*(TYPE3&lt;&gt;"")+('Dvd Calendar'!$H$610=TYPE4)*(TYPE4&lt;&gt;"")+('Dvd Calendar'!$H$610=SPECIAL_LBL)*(INC_SPECIALS="Y"))=0,"",'Dvd Calendar'!$H$608)))</f>
        <v/>
      </c>
      <c r="G66" s="161">
        <f>IF(EI66="","",IF(ISNUMBER('Dvd Calendar'!$I$608)=FALSE,"",IF((('Dvd Calendar'!$I$610=TYPE1)*(TYPE1&lt;&gt;"")+('Dvd Calendar'!$I$610=TYPE2)*(TYPE2&lt;&gt;"")+('Dvd Calendar'!$I$610=TYPE3)*(TYPE3&lt;&gt;"")+('Dvd Calendar'!$I$610=TYPE4)*(TYPE4&lt;&gt;"")+('Dvd Calendar'!$I$610=SPECIAL_LBL)*(INC_SPECIALS="Y"))=0,"",'Dvd Calendar'!$I$608)))</f>
        <v/>
      </c>
      <c r="H66" s="161">
        <f>IF(EJ66="","",IF(ISNUMBER('Dvd Calendar'!$J$608)=FALSE,"",IF((('Dvd Calendar'!$J$610=TYPE1)*(TYPE1&lt;&gt;"")+('Dvd Calendar'!$J$610=TYPE2)*(TYPE2&lt;&gt;"")+('Dvd Calendar'!$J$610=TYPE3)*(TYPE3&lt;&gt;"")+('Dvd Calendar'!$J$610=TYPE4)*(TYPE4&lt;&gt;"")+('Dvd Calendar'!$J$610=SPECIAL_LBL)*(INC_SPECIALS="Y"))=0,"",'Dvd Calendar'!$J$608)))</f>
        <v/>
      </c>
      <c r="I66" s="161">
        <f>IF(EK66="","",IF(ISNUMBER('Dvd Calendar'!$K$608)=FALSE,"",IF((('Dvd Calendar'!$K$610=TYPE1)*(TYPE1&lt;&gt;"")+('Dvd Calendar'!$K$610=TYPE2)*(TYPE2&lt;&gt;"")+('Dvd Calendar'!$K$610=TYPE3)*(TYPE3&lt;&gt;"")+('Dvd Calendar'!$K$610=TYPE4)*(TYPE4&lt;&gt;"")+('Dvd Calendar'!$K$610=SPECIAL_LBL)*(INC_SPECIALS="Y"))=0,"",'Dvd Calendar'!$K$608)))</f>
        <v/>
      </c>
      <c r="J66" s="161">
        <f>IF(EL66="","",IF(ISNUMBER('Dvd Calendar'!$L$608)=FALSE,"",IF((('Dvd Calendar'!$L$610=TYPE1)*(TYPE1&lt;&gt;"")+('Dvd Calendar'!$L$610=TYPE2)*(TYPE2&lt;&gt;"")+('Dvd Calendar'!$L$610=TYPE3)*(TYPE3&lt;&gt;"")+('Dvd Calendar'!$L$610=TYPE4)*(TYPE4&lt;&gt;"")+('Dvd Calendar'!$L$610=SPECIAL_LBL)*(INC_SPECIALS="Y"))=0,"",'Dvd Calendar'!$L$608)))</f>
        <v/>
      </c>
      <c r="K66" s="161">
        <f>IF(EM66="","",IF(ISNUMBER('Dvd Calendar'!$M$608)=FALSE,"",IF((('Dvd Calendar'!$M$610=TYPE1)*(TYPE1&lt;&gt;"")+('Dvd Calendar'!$M$610=TYPE2)*(TYPE2&lt;&gt;"")+('Dvd Calendar'!$M$610=TYPE3)*(TYPE3&lt;&gt;"")+('Dvd Calendar'!$M$610=TYPE4)*(TYPE4&lt;&gt;"")+('Dvd Calendar'!$M$610=SPECIAL_LBL)*(INC_SPECIALS="Y"))=0,"",'Dvd Calendar'!$M$608)))</f>
        <v/>
      </c>
      <c r="L66" s="161">
        <f>IF(EN66="","",IF(ISNUMBER('Dvd Calendar'!$N$608)=FALSE,"",IF((('Dvd Calendar'!$N$610=TYPE1)*(TYPE1&lt;&gt;"")+('Dvd Calendar'!$N$610=TYPE2)*(TYPE2&lt;&gt;"")+('Dvd Calendar'!$N$610=TYPE3)*(TYPE3&lt;&gt;"")+('Dvd Calendar'!$N$610=TYPE4)*(TYPE4&lt;&gt;"")+('Dvd Calendar'!$N$610=SPECIAL_LBL)*(INC_SPECIALS="Y"))=0,"",'Dvd Calendar'!$N$608)))</f>
        <v/>
      </c>
      <c r="M66" s="161">
        <f>IF(EO66="","",IF(ISNUMBER('Dvd Calendar'!$O$608)=FALSE,"",IF((('Dvd Calendar'!$O$610=TYPE1)*(TYPE1&lt;&gt;"")+('Dvd Calendar'!$O$610=TYPE2)*(TYPE2&lt;&gt;"")+('Dvd Calendar'!$O$610=TYPE3)*(TYPE3&lt;&gt;"")+('Dvd Calendar'!$O$610=TYPE4)*(TYPE4&lt;&gt;"")+('Dvd Calendar'!$O$610=SPECIAL_LBL)*(INC_SPECIALS="Y"))=0,"",'Dvd Calendar'!$O$608)))</f>
        <v/>
      </c>
      <c r="N66" s="161">
        <f>IF(EP66="","",IF(ISNUMBER('Dvd Calendar'!$P$608)=FALSE,"",IF((('Dvd Calendar'!$P$610=TYPE1)*(TYPE1&lt;&gt;"")+('Dvd Calendar'!$P$610=TYPE2)*(TYPE2&lt;&gt;"")+('Dvd Calendar'!$P$610=TYPE3)*(TYPE3&lt;&gt;"")+('Dvd Calendar'!$P$610=TYPE4)*(TYPE4&lt;&gt;"")+('Dvd Calendar'!$P$610=SPECIAL_LBL)*(INC_SPECIALS="Y"))=0,"",'Dvd Calendar'!$P$608)))</f>
        <v/>
      </c>
      <c r="O66" s="161">
        <f>IF(EQ66="","",IF(ISNUMBER('Dvd Calendar'!$Q$608)=FALSE,"",IF((('Dvd Calendar'!$Q$610=TYPE1)*(TYPE1&lt;&gt;"")+('Dvd Calendar'!$Q$610=TYPE2)*(TYPE2&lt;&gt;"")+('Dvd Calendar'!$Q$610=TYPE3)*(TYPE3&lt;&gt;"")+('Dvd Calendar'!$Q$610=TYPE4)*(TYPE4&lt;&gt;"")+('Dvd Calendar'!$Q$610=SPECIAL_LBL)*(INC_SPECIALS="Y"))=0,"",'Dvd Calendar'!$Q$608)))</f>
        <v/>
      </c>
      <c r="P66" s="161">
        <f>IF(ER66="","",IF(ISNUMBER('Dvd Calendar'!$R$608)=FALSE,"",IF((('Dvd Calendar'!$R$610=TYPE1)*(TYPE1&lt;&gt;"")+('Dvd Calendar'!$R$610=TYPE2)*(TYPE2&lt;&gt;"")+('Dvd Calendar'!$R$610=TYPE3)*(TYPE3&lt;&gt;"")+('Dvd Calendar'!$R$610=TYPE4)*(TYPE4&lt;&gt;"")+('Dvd Calendar'!$R$610=SPECIAL_LBL)*(INC_SPECIALS="Y"))=0,"",'Dvd Calendar'!$R$608)))</f>
        <v/>
      </c>
      <c r="Q66" s="161">
        <f>IF(ES66="","",IF(ISNUMBER('Dvd Calendar'!$S$608)=FALSE,"",IF((('Dvd Calendar'!$S$610=TYPE1)*(TYPE1&lt;&gt;"")+('Dvd Calendar'!$S$610=TYPE2)*(TYPE2&lt;&gt;"")+('Dvd Calendar'!$S$610=TYPE3)*(TYPE3&lt;&gt;"")+('Dvd Calendar'!$S$610=TYPE4)*(TYPE4&lt;&gt;"")+('Dvd Calendar'!$S$610=SPECIAL_LBL)*(INC_SPECIALS="Y"))=0,"",'Dvd Calendar'!$S$608)))</f>
        <v/>
      </c>
      <c r="R66" s="161">
        <f>IF(ET66="","",IF(ISNUMBER('Dvd Calendar'!$T$608)=FALSE,"",IF((('Dvd Calendar'!$T$610=TYPE1)*(TYPE1&lt;&gt;"")+('Dvd Calendar'!$T$610=TYPE2)*(TYPE2&lt;&gt;"")+('Dvd Calendar'!$T$610=TYPE3)*(TYPE3&lt;&gt;"")+('Dvd Calendar'!$T$610=TYPE4)*(TYPE4&lt;&gt;"")+('Dvd Calendar'!$T$610=SPECIAL_LBL)*(INC_SPECIALS="Y"))=0,"",'Dvd Calendar'!$T$608)))</f>
        <v/>
      </c>
      <c r="S66" s="161">
        <f>IF(EU66="","",IF(ISNUMBER('Dvd Calendar'!$U$608)=FALSE,"",IF((('Dvd Calendar'!$U$610=TYPE1)*(TYPE1&lt;&gt;"")+('Dvd Calendar'!$U$610=TYPE2)*(TYPE2&lt;&gt;"")+('Dvd Calendar'!$U$610=TYPE3)*(TYPE3&lt;&gt;"")+('Dvd Calendar'!$U$610=TYPE4)*(TYPE4&lt;&gt;"")+('Dvd Calendar'!$U$610=SPECIAL_LBL)*(INC_SPECIALS="Y"))=0,"",'Dvd Calendar'!$U$608)))</f>
        <v/>
      </c>
      <c r="T66" s="161">
        <f>IF(EV66="","",IF(ISNUMBER('Dvd Calendar'!$V$608)=FALSE,"",IF((('Dvd Calendar'!$V$610=TYPE1)*(TYPE1&lt;&gt;"")+('Dvd Calendar'!$V$610=TYPE2)*(TYPE2&lt;&gt;"")+('Dvd Calendar'!$V$610=TYPE3)*(TYPE3&lt;&gt;"")+('Dvd Calendar'!$V$610=TYPE4)*(TYPE4&lt;&gt;"")+('Dvd Calendar'!$V$610=SPECIAL_LBL)*(INC_SPECIALS="Y"))=0,"",'Dvd Calendar'!$V$608)))</f>
        <v/>
      </c>
      <c r="U66" s="161">
        <f>IF(EW66="","",IF(ISNUMBER('Dvd Calendar'!$W$608)=FALSE,"",IF((('Dvd Calendar'!$W$610=TYPE1)*(TYPE1&lt;&gt;"")+('Dvd Calendar'!$W$610=TYPE2)*(TYPE2&lt;&gt;"")+('Dvd Calendar'!$W$610=TYPE3)*(TYPE3&lt;&gt;"")+('Dvd Calendar'!$W$610=TYPE4)*(TYPE4&lt;&gt;"")+('Dvd Calendar'!$W$610=SPECIAL_LBL)*(INC_SPECIALS="Y"))=0,"",'Dvd Calendar'!$W$608)))</f>
        <v/>
      </c>
      <c r="V66" s="161">
        <f>IF(EX66="","",IF(ISNUMBER('Dvd Calendar'!$X$608)=FALSE,"",IF((('Dvd Calendar'!$X$610=TYPE1)*(TYPE1&lt;&gt;"")+('Dvd Calendar'!$X$610=TYPE2)*(TYPE2&lt;&gt;"")+('Dvd Calendar'!$X$610=TYPE3)*(TYPE3&lt;&gt;"")+('Dvd Calendar'!$X$610=TYPE4)*(TYPE4&lt;&gt;"")+('Dvd Calendar'!$X$610=SPECIAL_LBL)*(INC_SPECIALS="Y"))=0,"",'Dvd Calendar'!$X$608)))</f>
        <v/>
      </c>
      <c r="W66" s="161">
        <f>IF(EY66="","",IF(ISNUMBER('Dvd Calendar'!$Y$608)=FALSE,"",IF((('Dvd Calendar'!$Y$610=TYPE1)*(TYPE1&lt;&gt;"")+('Dvd Calendar'!$Y$610=TYPE2)*(TYPE2&lt;&gt;"")+('Dvd Calendar'!$Y$610=TYPE3)*(TYPE3&lt;&gt;"")+('Dvd Calendar'!$Y$610=TYPE4)*(TYPE4&lt;&gt;"")+('Dvd Calendar'!$Y$610=SPECIAL_LBL)*(INC_SPECIALS="Y"))=0,"",'Dvd Calendar'!$Y$608)))</f>
        <v/>
      </c>
      <c r="X66" s="161">
        <f>IF(EZ66="","",IF(ISNUMBER('Dvd Calendar'!$Z$608)=FALSE,"",IF((('Dvd Calendar'!$Z$610=TYPE1)*(TYPE1&lt;&gt;"")+('Dvd Calendar'!$Z$610=TYPE2)*(TYPE2&lt;&gt;"")+('Dvd Calendar'!$Z$610=TYPE3)*(TYPE3&lt;&gt;"")+('Dvd Calendar'!$Z$610=TYPE4)*(TYPE4&lt;&gt;"")+('Dvd Calendar'!$Z$610=SPECIAL_LBL)*(INC_SPECIALS="Y"))=0,"",'Dvd Calendar'!$Z$608)))</f>
        <v/>
      </c>
      <c r="Y66" s="161">
        <f>IF(FA66="","",IF(ISNUMBER('Dvd Calendar'!$AA$608)=FALSE,"",IF((('Dvd Calendar'!$AA$610=TYPE1)*(TYPE1&lt;&gt;"")+('Dvd Calendar'!$AA$610=TYPE2)*(TYPE2&lt;&gt;"")+('Dvd Calendar'!$AA$610=TYPE3)*(TYPE3&lt;&gt;"")+('Dvd Calendar'!$AA$610=TYPE4)*(TYPE4&lt;&gt;"")+('Dvd Calendar'!$AA$610=SPECIAL_LBL)*(INC_SPECIALS="Y"))=0,"",'Dvd Calendar'!$AA$608)))</f>
        <v/>
      </c>
      <c r="Z66" s="161">
        <f>IF(FB66="","",IF(ISNUMBER('Dvd Calendar'!$AB$608)=FALSE,"",IF((('Dvd Calendar'!$AB$610=TYPE1)*(TYPE1&lt;&gt;"")+('Dvd Calendar'!$AB$610=TYPE2)*(TYPE2&lt;&gt;"")+('Dvd Calendar'!$AB$610=TYPE3)*(TYPE3&lt;&gt;"")+('Dvd Calendar'!$AB$610=TYPE4)*(TYPE4&lt;&gt;"")+('Dvd Calendar'!$AB$610=SPECIAL_LBL)*(INC_SPECIALS="Y"))=0,"",'Dvd Calendar'!$AB$608)))</f>
        <v/>
      </c>
      <c r="AA66" s="161">
        <f>IF(FC66="","",IF(ISNUMBER('Dvd Calendar'!$AC$608)=FALSE,"",IF((('Dvd Calendar'!$AC$610=TYPE1)*(TYPE1&lt;&gt;"")+('Dvd Calendar'!$AC$610=TYPE2)*(TYPE2&lt;&gt;"")+('Dvd Calendar'!$AC$610=TYPE3)*(TYPE3&lt;&gt;"")+('Dvd Calendar'!$AC$610=TYPE4)*(TYPE4&lt;&gt;"")+('Dvd Calendar'!$AC$610=SPECIAL_LBL)*(INC_SPECIALS="Y"))=0,"",'Dvd Calendar'!$AC$608)))</f>
        <v/>
      </c>
      <c r="AB66" s="161">
        <f>IF(FD66="","",IF(ISNUMBER('Dvd Calendar'!$AD$608)=FALSE,"",IF((('Dvd Calendar'!$AD$610=TYPE1)*(TYPE1&lt;&gt;"")+('Dvd Calendar'!$AD$610=TYPE2)*(TYPE2&lt;&gt;"")+('Dvd Calendar'!$AD$610=TYPE3)*(TYPE3&lt;&gt;"")+('Dvd Calendar'!$AD$610=TYPE4)*(TYPE4&lt;&gt;"")+('Dvd Calendar'!$AD$610=SPECIAL_LBL)*(INC_SPECIALS="Y"))=0,"",'Dvd Calendar'!$AD$608)))</f>
        <v/>
      </c>
      <c r="AC66" s="161">
        <f>IF(FE66="","",IF(ISNUMBER('Dvd Calendar'!$AE$608)=FALSE,"",IF((('Dvd Calendar'!$AE$610=TYPE1)*(TYPE1&lt;&gt;"")+('Dvd Calendar'!$AE$610=TYPE2)*(TYPE2&lt;&gt;"")+('Dvd Calendar'!$AE$610=TYPE3)*(TYPE3&lt;&gt;"")+('Dvd Calendar'!$AE$610=TYPE4)*(TYPE4&lt;&gt;"")+('Dvd Calendar'!$AE$610=SPECIAL_LBL)*(INC_SPECIALS="Y"))=0,"",'Dvd Calendar'!$AE$608)))</f>
        <v/>
      </c>
      <c r="AD66" s="161">
        <f>IF(FF66="","",IF(ISNUMBER('Dvd Calendar'!$AF$608)=FALSE,"",IF((('Dvd Calendar'!$AF$610=TYPE1)*(TYPE1&lt;&gt;"")+('Dvd Calendar'!$AF$610=TYPE2)*(TYPE2&lt;&gt;"")+('Dvd Calendar'!$AF$610=TYPE3)*(TYPE3&lt;&gt;"")+('Dvd Calendar'!$AF$610=TYPE4)*(TYPE4&lt;&gt;"")+('Dvd Calendar'!$AF$610=SPECIAL_LBL)*(INC_SPECIALS="Y"))=0,"",'Dvd Calendar'!$AF$608)))</f>
        <v/>
      </c>
      <c r="AE66" s="161">
        <f>IF(FG66="","",IF(ISNUMBER('Dvd Calendar'!$AG$608)=FALSE,"",IF((('Dvd Calendar'!$AG$610=TYPE1)*(TYPE1&lt;&gt;"")+('Dvd Calendar'!$AG$610=TYPE2)*(TYPE2&lt;&gt;"")+('Dvd Calendar'!$AG$610=TYPE3)*(TYPE3&lt;&gt;"")+('Dvd Calendar'!$AG$610=TYPE4)*(TYPE4&lt;&gt;"")+('Dvd Calendar'!$AG$610=SPECIAL_LBL)*(INC_SPECIALS="Y"))=0,"",'Dvd Calendar'!$AG$608)))</f>
        <v/>
      </c>
      <c r="AF66" s="161">
        <f>IF(FH66="","",IF(ISNUMBER('Dvd Calendar'!$AH$608)=FALSE,"",IF((('Dvd Calendar'!$AH$610=TYPE1)*(TYPE1&lt;&gt;"")+('Dvd Calendar'!$AH$610=TYPE2)*(TYPE2&lt;&gt;"")+('Dvd Calendar'!$AH$610=TYPE3)*(TYPE3&lt;&gt;"")+('Dvd Calendar'!$AH$610=TYPE4)*(TYPE4&lt;&gt;"")+('Dvd Calendar'!$AH$610=SPECIAL_LBL)*(INC_SPECIALS="Y"))=0,"",'Dvd Calendar'!$AH$608)))</f>
        <v/>
      </c>
      <c r="AG66" s="161">
        <f>IF(FI66="","",IF(ISNUMBER('Dvd Calendar'!$AI$608)=FALSE,"",IF((('Dvd Calendar'!$AI$610=TYPE1)*(TYPE1&lt;&gt;"")+('Dvd Calendar'!$AI$610=TYPE2)*(TYPE2&lt;&gt;"")+('Dvd Calendar'!$AI$610=TYPE3)*(TYPE3&lt;&gt;"")+('Dvd Calendar'!$AI$610=TYPE4)*(TYPE4&lt;&gt;"")+('Dvd Calendar'!$AI$610=SPECIAL_LBL)*(INC_SPECIALS="Y"))=0,"",'Dvd Calendar'!$AI$608)))</f>
        <v/>
      </c>
      <c r="AH66" s="161">
        <f>IF(FJ66="","",IF(ISNUMBER('Dvd Calendar'!$AJ$608)=FALSE,"",IF((('Dvd Calendar'!$AJ$610=TYPE1)*(TYPE1&lt;&gt;"")+('Dvd Calendar'!$AJ$610=TYPE2)*(TYPE2&lt;&gt;"")+('Dvd Calendar'!$AJ$610=TYPE3)*(TYPE3&lt;&gt;"")+('Dvd Calendar'!$AJ$610=TYPE4)*(TYPE4&lt;&gt;"")+('Dvd Calendar'!$AJ$610=SPECIAL_LBL)*(INC_SPECIALS="Y"))=0,"",'Dvd Calendar'!$AJ$608)))</f>
        <v/>
      </c>
      <c r="AI66" s="161">
        <f>IF(FK66="","",IF(ISNUMBER('Dvd Calendar'!$AK$608)=FALSE,"",IF((('Dvd Calendar'!$AK$610=TYPE1)*(TYPE1&lt;&gt;"")+('Dvd Calendar'!$AK$610=TYPE2)*(TYPE2&lt;&gt;"")+('Dvd Calendar'!$AK$610=TYPE3)*(TYPE3&lt;&gt;"")+('Dvd Calendar'!$AK$610=TYPE4)*(TYPE4&lt;&gt;"")+('Dvd Calendar'!$AK$610=SPECIAL_LBL)*(INC_SPECIALS="Y"))=0,"",'Dvd Calendar'!$AK$608)))</f>
        <v/>
      </c>
      <c r="AJ66" s="161">
        <f>IF(FL66="","",IF(ISNUMBER('Dvd Calendar'!$AL$608)=FALSE,"",IF((('Dvd Calendar'!$AL$610=TYPE1)*(TYPE1&lt;&gt;"")+('Dvd Calendar'!$AL$610=TYPE2)*(TYPE2&lt;&gt;"")+('Dvd Calendar'!$AL$610=TYPE3)*(TYPE3&lt;&gt;"")+('Dvd Calendar'!$AL$610=TYPE4)*(TYPE4&lt;&gt;"")+('Dvd Calendar'!$AL$610=SPECIAL_LBL)*(INC_SPECIALS="Y"))=0,"",'Dvd Calendar'!$AL$608)))</f>
        <v/>
      </c>
      <c r="AK66" s="161">
        <f>IF(FM66="","",IF(ISNUMBER('Dvd Calendar'!$AM$608)=FALSE,"",IF((('Dvd Calendar'!$AM$610=TYPE1)*(TYPE1&lt;&gt;"")+('Dvd Calendar'!$AM$610=TYPE2)*(TYPE2&lt;&gt;"")+('Dvd Calendar'!$AM$610=TYPE3)*(TYPE3&lt;&gt;"")+('Dvd Calendar'!$AM$610=TYPE4)*(TYPE4&lt;&gt;"")+('Dvd Calendar'!$AM$610=SPECIAL_LBL)*(INC_SPECIALS="Y"))=0,"",'Dvd Calendar'!$AM$608)))</f>
        <v/>
      </c>
      <c r="AL66" s="161">
        <f>IF(FN66="","",IF(ISNUMBER('Dvd Calendar'!$AN$608)=FALSE,"",IF((('Dvd Calendar'!$AN$610=TYPE1)*(TYPE1&lt;&gt;"")+('Dvd Calendar'!$AN$610=TYPE2)*(TYPE2&lt;&gt;"")+('Dvd Calendar'!$AN$610=TYPE3)*(TYPE3&lt;&gt;"")+('Dvd Calendar'!$AN$610=TYPE4)*(TYPE4&lt;&gt;"")+('Dvd Calendar'!$AN$610=SPECIAL_LBL)*(INC_SPECIALS="Y"))=0,"",'Dvd Calendar'!$AN$608)))</f>
        <v/>
      </c>
      <c r="AM66" s="161">
        <f>IF(FO66="","",IF(ISNUMBER('Dvd Calendar'!$AO$608)=FALSE,"",IF((('Dvd Calendar'!$AO$610=TYPE1)*(TYPE1&lt;&gt;"")+('Dvd Calendar'!$AO$610=TYPE2)*(TYPE2&lt;&gt;"")+('Dvd Calendar'!$AO$610=TYPE3)*(TYPE3&lt;&gt;"")+('Dvd Calendar'!$AO$610=TYPE4)*(TYPE4&lt;&gt;"")+('Dvd Calendar'!$AO$610=SPECIAL_LBL)*(INC_SPECIALS="Y"))=0,"",'Dvd Calendar'!$AO$608)))</f>
        <v/>
      </c>
      <c r="AN66" s="161">
        <f>IF(FP66="","",IF(ISNUMBER('Dvd Calendar'!$AP$608)=FALSE,"",IF((('Dvd Calendar'!$AP$610=TYPE1)*(TYPE1&lt;&gt;"")+('Dvd Calendar'!$AP$610=TYPE2)*(TYPE2&lt;&gt;"")+('Dvd Calendar'!$AP$610=TYPE3)*(TYPE3&lt;&gt;"")+('Dvd Calendar'!$AP$610=TYPE4)*(TYPE4&lt;&gt;"")+('Dvd Calendar'!$AP$610=SPECIAL_LBL)*(INC_SPECIALS="Y"))=0,"",'Dvd Calendar'!$AP$608)))</f>
        <v/>
      </c>
      <c r="AO66" s="161">
        <f>IF(FQ66="","",IF(ISNUMBER('Dvd Calendar'!$AQ$608)=FALSE,"",IF((('Dvd Calendar'!$AQ$610=TYPE1)*(TYPE1&lt;&gt;"")+('Dvd Calendar'!$AQ$610=TYPE2)*(TYPE2&lt;&gt;"")+('Dvd Calendar'!$AQ$610=TYPE3)*(TYPE3&lt;&gt;"")+('Dvd Calendar'!$AQ$610=TYPE4)*(TYPE4&lt;&gt;"")+('Dvd Calendar'!$AQ$610=SPECIAL_LBL)*(INC_SPECIALS="Y"))=0,"",'Dvd Calendar'!$AQ$608)))</f>
        <v/>
      </c>
      <c r="AP66" s="161">
        <f>IF(FR66="","",IF(ISNUMBER('Dvd Calendar'!$AR$608)=FALSE,"",IF((('Dvd Calendar'!$AR$610=TYPE1)*(TYPE1&lt;&gt;"")+('Dvd Calendar'!$AR$610=TYPE2)*(TYPE2&lt;&gt;"")+('Dvd Calendar'!$AR$610=TYPE3)*(TYPE3&lt;&gt;"")+('Dvd Calendar'!$AR$610=TYPE4)*(TYPE4&lt;&gt;"")+('Dvd Calendar'!$AR$610=SPECIAL_LBL)*(INC_SPECIALS="Y"))=0,"",'Dvd Calendar'!$AR$608)))</f>
        <v/>
      </c>
      <c r="AQ66" s="161">
        <f>IF(FS66="","",IF(ISNUMBER('Dvd Calendar'!$E$613)=FALSE,"",'Dvd Calendar'!$E$613))</f>
        <v/>
      </c>
      <c r="AR66" s="161">
        <f>IF(FT66="","",IF(ISNUMBER('Dvd Calendar'!$F$613)=FALSE,"",'Dvd Calendar'!$F$613))</f>
        <v/>
      </c>
      <c r="AS66" s="161">
        <f>IF(FU66="","",IF(ISNUMBER('Dvd Calendar'!$G$613)=FALSE,"",'Dvd Calendar'!$G$613))</f>
        <v/>
      </c>
      <c r="AT66" s="161">
        <f>IF(FV66="","",IF(ISNUMBER('Dvd Calendar'!$H$613)=FALSE,"",'Dvd Calendar'!$H$613))</f>
        <v/>
      </c>
      <c r="AU66" s="161">
        <f>IF(FW66="","",IF(ISNUMBER('Dvd Calendar'!$I$613)=FALSE,"",'Dvd Calendar'!$I$613))</f>
        <v/>
      </c>
      <c r="AV66" s="161">
        <f>IF(FX66="","",IF(ISNUMBER('Dvd Calendar'!$J$613)=FALSE,"",'Dvd Calendar'!$J$613))</f>
        <v/>
      </c>
      <c r="AW66" s="161">
        <f>IF(FY66="","",IF(ISNUMBER('Dvd Calendar'!$K$613)=FALSE,"",'Dvd Calendar'!$K$613))</f>
        <v/>
      </c>
      <c r="AX66" s="161">
        <f>IF(FZ66="","",IF(ISNUMBER('Dvd Calendar'!$L$613)=FALSE,"",'Dvd Calendar'!$L$613))</f>
        <v/>
      </c>
      <c r="AY66" s="161">
        <f>IF(GA66="","",IF(ISNUMBER('Dvd Calendar'!$M$613)=FALSE,"",'Dvd Calendar'!$M$613))</f>
        <v/>
      </c>
      <c r="AZ66" s="161">
        <f>IF(GB66="","",IF(ISNUMBER('Dvd Calendar'!$N$613)=FALSE,"",'Dvd Calendar'!$N$613))</f>
        <v/>
      </c>
      <c r="BA66" s="161">
        <f>IF(GC66="","",IF(ISNUMBER('Dvd Calendar'!$O$613)=FALSE,"",'Dvd Calendar'!$O$613))</f>
        <v/>
      </c>
      <c r="BB66" s="161">
        <f>IF(GD66="","",IF(ISNUMBER('Dvd Calendar'!$P$613)=FALSE,"",'Dvd Calendar'!$P$613))</f>
        <v/>
      </c>
      <c r="BC66" s="161">
        <f>IF(GE66="","",IF(ISNUMBER('Dvd Calendar'!$Q$613)=FALSE,"",'Dvd Calendar'!$Q$613))</f>
        <v/>
      </c>
      <c r="BD66" s="161">
        <f>IF(GF66="","",IF(ISNUMBER('Dvd Calendar'!$R$613)=FALSE,"",'Dvd Calendar'!$R$613))</f>
        <v/>
      </c>
      <c r="BE66" s="161">
        <f>IF(GG66="","",IF(ISNUMBER('Dvd Calendar'!$S$613)=FALSE,"",'Dvd Calendar'!$S$613))</f>
        <v/>
      </c>
      <c r="BF66" s="161">
        <f>IF(GH66="","",IF(ISNUMBER('Dvd Calendar'!$T$613)=FALSE,"",'Dvd Calendar'!$T$613))</f>
        <v/>
      </c>
      <c r="BG66" s="161">
        <f>IF(GI66="","",IF(ISNUMBER('Dvd Calendar'!$U$613)=FALSE,"",'Dvd Calendar'!$U$613))</f>
        <v/>
      </c>
      <c r="BH66" s="161">
        <f>IF(GJ66="","",IF(ISNUMBER('Dvd Calendar'!$V$613)=FALSE,"",'Dvd Calendar'!$V$613))</f>
        <v/>
      </c>
      <c r="BI66" s="161">
        <f>IF(GK66="","",IF(ISNUMBER('Dvd Calendar'!$W$613)=FALSE,"",'Dvd Calendar'!$W$613))</f>
        <v/>
      </c>
      <c r="BJ66" s="161">
        <f>IF(GL66="","",IF(ISNUMBER('Dvd Calendar'!$X$613)=FALSE,"",'Dvd Calendar'!$X$613))</f>
        <v/>
      </c>
      <c r="BK66" s="161">
        <f>IF(GM66="","",IF(ISNUMBER('Dvd Calendar'!$Y$613)=FALSE,"",'Dvd Calendar'!$Y$613))</f>
        <v/>
      </c>
      <c r="BL66" s="161">
        <f>IF(GN66="","",IF(ISNUMBER('Dvd Calendar'!$Z$613)=FALSE,"",'Dvd Calendar'!$Z$613))</f>
        <v/>
      </c>
      <c r="BM66" s="161">
        <f>IF(GO66="","",IF(ISNUMBER('Dvd Calendar'!$AA$613)=FALSE,"",'Dvd Calendar'!$AA$613))</f>
        <v/>
      </c>
      <c r="BN66" s="161">
        <f>IF(GP66="","",IF(ISNUMBER('Dvd Calendar'!$AB$613)=FALSE,"",'Dvd Calendar'!$AB$613))</f>
        <v/>
      </c>
      <c r="BO66" s="161">
        <f>IF(GQ66="","",IF(ISNUMBER('Dvd Calendar'!$AC$613)=FALSE,"",'Dvd Calendar'!$AC$613))</f>
        <v/>
      </c>
      <c r="BQ66" s="161">
        <f>IF(C66="","",IFERROR(C66*HSI!$B$61*HSI!$G$61/HSI!$B$3,""))</f>
        <v/>
      </c>
      <c r="BR66" s="161">
        <f>IF(D66="","",IFERROR(D66*HSI!$B$61*HSI!$G$61/HSI!$B$3,""))</f>
        <v/>
      </c>
      <c r="BS66" s="161">
        <f>IF(E66="","",IFERROR(E66*HSI!$B$61*HSI!$G$61/HSI!$B$3,""))</f>
        <v/>
      </c>
      <c r="BT66" s="161">
        <f>IF(F66="","",IFERROR(F66*HSI!$B$61*HSI!$G$61/HSI!$B$3,""))</f>
        <v/>
      </c>
      <c r="BU66" s="161">
        <f>IF(G66="","",IFERROR(G66*HSI!$B$61*HSI!$G$61/HSI!$B$3,""))</f>
        <v/>
      </c>
      <c r="BV66" s="161">
        <f>IF(H66="","",IFERROR(H66*HSI!$B$61*HSI!$G$61/HSI!$B$3,""))</f>
        <v/>
      </c>
      <c r="BW66" s="161">
        <f>IF(I66="","",IFERROR(I66*HSI!$B$61*HSI!$G$61/HSI!$B$3,""))</f>
        <v/>
      </c>
      <c r="BX66" s="161">
        <f>IF(J66="","",IFERROR(J66*HSI!$B$61*HSI!$G$61/HSI!$B$3,""))</f>
        <v/>
      </c>
      <c r="BY66" s="161">
        <f>IF(K66="","",IFERROR(K66*HSI!$B$61*HSI!$G$61/HSI!$B$3,""))</f>
        <v/>
      </c>
      <c r="BZ66" s="161">
        <f>IF(L66="","",IFERROR(L66*HSI!$B$61*HSI!$G$61/HSI!$B$3,""))</f>
        <v/>
      </c>
      <c r="CA66" s="161">
        <f>IF(M66="","",IFERROR(M66*HSI!$B$61*HSI!$G$61/HSI!$B$3,""))</f>
        <v/>
      </c>
      <c r="CB66" s="161">
        <f>IF(N66="","",IFERROR(N66*HSI!$B$61*HSI!$G$61/HSI!$B$3,""))</f>
        <v/>
      </c>
      <c r="CC66" s="161">
        <f>IF(O66="","",IFERROR(O66*HSI!$B$61*HSI!$G$61/HSI!$B$3,""))</f>
        <v/>
      </c>
      <c r="CD66" s="161">
        <f>IF(P66="","",IFERROR(P66*HSI!$B$61*HSI!$G$61/HSI!$B$3,""))</f>
        <v/>
      </c>
      <c r="CE66" s="161">
        <f>IF(Q66="","",IFERROR(Q66*HSI!$B$61*HSI!$G$61/HSI!$B$3,""))</f>
        <v/>
      </c>
      <c r="CF66" s="161">
        <f>IF(R66="","",IFERROR(R66*HSI!$B$61*HSI!$G$61/HSI!$B$3,""))</f>
        <v/>
      </c>
      <c r="CG66" s="161">
        <f>IF(S66="","",IFERROR(S66*HSI!$B$61*HSI!$G$61/HSI!$B$3,""))</f>
        <v/>
      </c>
      <c r="CH66" s="161">
        <f>IF(T66="","",IFERROR(T66*HSI!$B$61*HSI!$G$61/HSI!$B$3,""))</f>
        <v/>
      </c>
      <c r="CI66" s="161">
        <f>IF(U66="","",IFERROR(U66*HSI!$B$61*HSI!$G$61/HSI!$B$3,""))</f>
        <v/>
      </c>
      <c r="CJ66" s="161">
        <f>IF(V66="","",IFERROR(V66*HSI!$B$61*HSI!$G$61/HSI!$B$3,""))</f>
        <v/>
      </c>
      <c r="CK66" s="161">
        <f>IF(W66="","",IFERROR(W66*HSI!$B$61*HSI!$G$61/HSI!$B$3,""))</f>
        <v/>
      </c>
      <c r="CL66" s="161">
        <f>IF(X66="","",IFERROR(X66*HSI!$B$61*HSI!$G$61/HSI!$B$3,""))</f>
        <v/>
      </c>
      <c r="CM66" s="161">
        <f>IF(Y66="","",IFERROR(Y66*HSI!$B$61*HSI!$G$61/HSI!$B$3,""))</f>
        <v/>
      </c>
      <c r="CN66" s="161">
        <f>IF(Z66="","",IFERROR(Z66*HSI!$B$61*HSI!$G$61/HSI!$B$3,""))</f>
        <v/>
      </c>
      <c r="CO66" s="161">
        <f>IF(AA66="","",IFERROR(AA66*HSI!$B$61*HSI!$G$61/HSI!$B$3,""))</f>
        <v/>
      </c>
      <c r="CP66" s="161">
        <f>IF(AB66="","",IFERROR(AB66*HSI!$B$61*HSI!$G$61/HSI!$B$3,""))</f>
        <v/>
      </c>
      <c r="CQ66" s="161">
        <f>IF(AC66="","",IFERROR(AC66*HSI!$B$61*HSI!$G$61/HSI!$B$3,""))</f>
        <v/>
      </c>
      <c r="CR66" s="161">
        <f>IF(AD66="","",IFERROR(AD66*HSI!$B$61*HSI!$G$61/HSI!$B$3,""))</f>
        <v/>
      </c>
      <c r="CS66" s="161">
        <f>IF(AE66="","",IFERROR(AE66*HSI!$B$61*HSI!$G$61/HSI!$B$3,""))</f>
        <v/>
      </c>
      <c r="CT66" s="161">
        <f>IF(AF66="","",IFERROR(AF66*HSI!$B$61*HSI!$G$61/HSI!$B$3,""))</f>
        <v/>
      </c>
      <c r="CU66" s="161">
        <f>IF(AG66="","",IFERROR(AG66*HSI!$B$61*HSI!$G$61/HSI!$B$3,""))</f>
        <v/>
      </c>
      <c r="CV66" s="161">
        <f>IF(AH66="","",IFERROR(AH66*HSI!$B$61*HSI!$G$61/HSI!$B$3,""))</f>
        <v/>
      </c>
      <c r="CW66" s="161">
        <f>IF(AI66="","",IFERROR(AI66*HSI!$B$61*HSI!$G$61/HSI!$B$3,""))</f>
        <v/>
      </c>
      <c r="CX66" s="161">
        <f>IF(AJ66="","",IFERROR(AJ66*HSI!$B$61*HSI!$G$61/HSI!$B$3,""))</f>
        <v/>
      </c>
      <c r="CY66" s="161">
        <f>IF(AK66="","",IFERROR(AK66*HSI!$B$61*HSI!$G$61/HSI!$B$3,""))</f>
        <v/>
      </c>
      <c r="CZ66" s="161">
        <f>IF(AL66="","",IFERROR(AL66*HSI!$B$61*HSI!$G$61/HSI!$B$3,""))</f>
        <v/>
      </c>
      <c r="DA66" s="161">
        <f>IF(AM66="","",IFERROR(AM66*HSI!$B$61*HSI!$G$61/HSI!$B$3,""))</f>
        <v/>
      </c>
      <c r="DB66" s="161">
        <f>IF(AN66="","",IFERROR(AN66*HSI!$B$61*HSI!$G$61/HSI!$B$3,""))</f>
        <v/>
      </c>
      <c r="DC66" s="161">
        <f>IF(AO66="","",IFERROR(AO66*HSI!$B$61*HSI!$G$61/HSI!$B$3,""))</f>
        <v/>
      </c>
      <c r="DD66" s="161">
        <f>IF(AP66="","",IFERROR(AP66*HSI!$B$61*HSI!$G$61/HSI!$B$3,""))</f>
        <v/>
      </c>
      <c r="DE66" s="161">
        <f>IF(AQ66="","",IFERROR(AQ66*HSI!$B$61*HSI!$G$61/HSI!$B$3,""))</f>
        <v/>
      </c>
      <c r="DF66" s="161">
        <f>IF(AR66="","",IFERROR(AR66*HSI!$B$61*HSI!$G$61/HSI!$B$3,""))</f>
        <v/>
      </c>
      <c r="DG66" s="161">
        <f>IF(AS66="","",IFERROR(AS66*HSI!$B$61*HSI!$G$61/HSI!$B$3,""))</f>
        <v/>
      </c>
      <c r="DH66" s="161">
        <f>IF(AT66="","",IFERROR(AT66*HSI!$B$61*HSI!$G$61/HSI!$B$3,""))</f>
        <v/>
      </c>
      <c r="DI66" s="161">
        <f>IF(AU66="","",IFERROR(AU66*HSI!$B$61*HSI!$G$61/HSI!$B$3,""))</f>
        <v/>
      </c>
      <c r="DJ66" s="161">
        <f>IF(AV66="","",IFERROR(AV66*HSI!$B$61*HSI!$G$61/HSI!$B$3,""))</f>
        <v/>
      </c>
      <c r="DK66" s="161">
        <f>IF(AW66="","",IFERROR(AW66*HSI!$B$61*HSI!$G$61/HSI!$B$3,""))</f>
        <v/>
      </c>
      <c r="DL66" s="161">
        <f>IF(AX66="","",IFERROR(AX66*HSI!$B$61*HSI!$G$61/HSI!$B$3,""))</f>
        <v/>
      </c>
      <c r="DM66" s="161">
        <f>IF(AY66="","",IFERROR(AY66*HSI!$B$61*HSI!$G$61/HSI!$B$3,""))</f>
        <v/>
      </c>
      <c r="DN66" s="161">
        <f>IF(AZ66="","",IFERROR(AZ66*HSI!$B$61*HSI!$G$61/HSI!$B$3,""))</f>
        <v/>
      </c>
      <c r="DO66" s="161">
        <f>IF(BA66="","",IFERROR(BA66*HSI!$B$61*HSI!$G$61/HSI!$B$3,""))</f>
        <v/>
      </c>
      <c r="DP66" s="161">
        <f>IF(BB66="","",IFERROR(BB66*HSI!$B$61*HSI!$G$61/HSI!$B$3,""))</f>
        <v/>
      </c>
      <c r="DQ66" s="161">
        <f>IF(BC66="","",IFERROR(BC66*HSI!$B$61*HSI!$G$61/HSI!$B$3,""))</f>
        <v/>
      </c>
      <c r="DR66" s="161">
        <f>IF(BD66="","",IFERROR(BD66*HSI!$B$61*HSI!$G$61/HSI!$B$3,""))</f>
        <v/>
      </c>
      <c r="DS66" s="161">
        <f>IF(BE66="","",IFERROR(BE66*HSI!$B$61*HSI!$G$61/HSI!$B$3,""))</f>
        <v/>
      </c>
      <c r="DT66" s="161">
        <f>IF(BF66="","",IFERROR(BF66*HSI!$B$61*HSI!$G$61/HSI!$B$3,""))</f>
        <v/>
      </c>
      <c r="DU66" s="161">
        <f>IF(BG66="","",IFERROR(BG66*HSI!$B$61*HSI!$G$61/HSI!$B$3,""))</f>
        <v/>
      </c>
      <c r="DV66" s="161">
        <f>IF(BH66="","",IFERROR(BH66*HSI!$B$61*HSI!$G$61/HSI!$B$3,""))</f>
        <v/>
      </c>
      <c r="DW66" s="161">
        <f>IF(BI66="","",IFERROR(BI66*HSI!$B$61*HSI!$G$61/HSI!$B$3,""))</f>
        <v/>
      </c>
      <c r="DX66" s="161">
        <f>IF(BJ66="","",IFERROR(BJ66*HSI!$B$61*HSI!$G$61/HSI!$B$3,""))</f>
        <v/>
      </c>
      <c r="DY66" s="161">
        <f>IF(BK66="","",IFERROR(BK66*HSI!$B$61*HSI!$G$61/HSI!$B$3,""))</f>
        <v/>
      </c>
      <c r="DZ66" s="161">
        <f>IF(BL66="","",IFERROR(BL66*HSI!$B$61*HSI!$G$61/HSI!$B$3,""))</f>
        <v/>
      </c>
      <c r="EA66" s="161">
        <f>IF(BM66="","",IFERROR(BM66*HSI!$B$61*HSI!$G$61/HSI!$B$3,""))</f>
        <v/>
      </c>
      <c r="EB66" s="161">
        <f>IF(BN66="","",IFERROR(BN66*HSI!$B$61*HSI!$G$61/HSI!$B$3,""))</f>
        <v/>
      </c>
      <c r="EC66" s="161">
        <f>IF(BO66="","",IFERROR(BO66*HSI!$B$61*HSI!$G$61/HSI!$B$3,""))</f>
        <v/>
      </c>
      <c r="EE66" s="121">
        <f>IF(N('Dvd Calendar'!$E$605)=0,"",IF(('Dvd Calendar'!$E$605&gt;=GRID_FROM)*('Dvd Calendar'!$E$605&lt;=GRID_TO)*((('Dvd Calendar'!$E$605&lt;=VAL_DATE)+(COUNTIF('Dvd Calendar'!$E$612:$AR$612,'Dvd Calendar'!$E$605)=0))&gt;0)=0,"",'Dvd Calendar'!$E$605*1000000000+ISNUMBER('Dvd Calendar'!$E$608)*100000000+('Dvd Calendar'!$E$610=SPECIAL_LBL)*10000000+(N('Dvd Calendar'!$E$604)&gt;0)*(N('Dvd Calendar'!$E$604)&lt;=VAL_SERIAL)*1000000+55*1000+1))</f>
        <v/>
      </c>
      <c r="EF66" s="121">
        <f>IF(N('Dvd Calendar'!$F$605)=0,"",IF(('Dvd Calendar'!$F$605&gt;=GRID_FROM)*('Dvd Calendar'!$F$605&lt;=GRID_TO)*((('Dvd Calendar'!$F$605&lt;=VAL_DATE)+(COUNTIF('Dvd Calendar'!$E$612:$AR$612,'Dvd Calendar'!$F$605)=0))&gt;0)=0,"",'Dvd Calendar'!$F$605*1000000000+ISNUMBER('Dvd Calendar'!$F$608)*100000000+('Dvd Calendar'!$F$610=SPECIAL_LBL)*10000000+(N('Dvd Calendar'!$F$604)&gt;0)*(N('Dvd Calendar'!$F$604)&lt;=VAL_SERIAL)*1000000+55*1000+2))</f>
        <v/>
      </c>
      <c r="EG66" s="121">
        <f>IF(N('Dvd Calendar'!$G$605)=0,"",IF(('Dvd Calendar'!$G$605&gt;=GRID_FROM)*('Dvd Calendar'!$G$605&lt;=GRID_TO)*((('Dvd Calendar'!$G$605&lt;=VAL_DATE)+(COUNTIF('Dvd Calendar'!$E$612:$AR$612,'Dvd Calendar'!$G$605)=0))&gt;0)=0,"",'Dvd Calendar'!$G$605*1000000000+ISNUMBER('Dvd Calendar'!$G$608)*100000000+('Dvd Calendar'!$G$610=SPECIAL_LBL)*10000000+(N('Dvd Calendar'!$G$604)&gt;0)*(N('Dvd Calendar'!$G$604)&lt;=VAL_SERIAL)*1000000+55*1000+3))</f>
        <v/>
      </c>
      <c r="EH66" s="121">
        <f>IF(N('Dvd Calendar'!$H$605)=0,"",IF(('Dvd Calendar'!$H$605&gt;=GRID_FROM)*('Dvd Calendar'!$H$605&lt;=GRID_TO)*((('Dvd Calendar'!$H$605&lt;=VAL_DATE)+(COUNTIF('Dvd Calendar'!$E$612:$AR$612,'Dvd Calendar'!$H$605)=0))&gt;0)=0,"",'Dvd Calendar'!$H$605*1000000000+ISNUMBER('Dvd Calendar'!$H$608)*100000000+('Dvd Calendar'!$H$610=SPECIAL_LBL)*10000000+(N('Dvd Calendar'!$H$604)&gt;0)*(N('Dvd Calendar'!$H$604)&lt;=VAL_SERIAL)*1000000+55*1000+4))</f>
        <v/>
      </c>
      <c r="EI66" s="121">
        <f>IF(N('Dvd Calendar'!$I$605)=0,"",IF(('Dvd Calendar'!$I$605&gt;=GRID_FROM)*('Dvd Calendar'!$I$605&lt;=GRID_TO)*((('Dvd Calendar'!$I$605&lt;=VAL_DATE)+(COUNTIF('Dvd Calendar'!$E$612:$AR$612,'Dvd Calendar'!$I$605)=0))&gt;0)=0,"",'Dvd Calendar'!$I$605*1000000000+ISNUMBER('Dvd Calendar'!$I$608)*100000000+('Dvd Calendar'!$I$610=SPECIAL_LBL)*10000000+(N('Dvd Calendar'!$I$604)&gt;0)*(N('Dvd Calendar'!$I$604)&lt;=VAL_SERIAL)*1000000+55*1000+5))</f>
        <v/>
      </c>
      <c r="EJ66" s="121">
        <f>IF(N('Dvd Calendar'!$J$605)=0,"",IF(('Dvd Calendar'!$J$605&gt;=GRID_FROM)*('Dvd Calendar'!$J$605&lt;=GRID_TO)*((('Dvd Calendar'!$J$605&lt;=VAL_DATE)+(COUNTIF('Dvd Calendar'!$E$612:$AR$612,'Dvd Calendar'!$J$605)=0))&gt;0)=0,"",'Dvd Calendar'!$J$605*1000000000+ISNUMBER('Dvd Calendar'!$J$608)*100000000+('Dvd Calendar'!$J$610=SPECIAL_LBL)*10000000+(N('Dvd Calendar'!$J$604)&gt;0)*(N('Dvd Calendar'!$J$604)&lt;=VAL_SERIAL)*1000000+55*1000+6))</f>
        <v/>
      </c>
      <c r="EK66" s="121">
        <f>IF(N('Dvd Calendar'!$K$605)=0,"",IF(('Dvd Calendar'!$K$605&gt;=GRID_FROM)*('Dvd Calendar'!$K$605&lt;=GRID_TO)*((('Dvd Calendar'!$K$605&lt;=VAL_DATE)+(COUNTIF('Dvd Calendar'!$E$612:$AR$612,'Dvd Calendar'!$K$605)=0))&gt;0)=0,"",'Dvd Calendar'!$K$605*1000000000+ISNUMBER('Dvd Calendar'!$K$608)*100000000+('Dvd Calendar'!$K$610=SPECIAL_LBL)*10000000+(N('Dvd Calendar'!$K$604)&gt;0)*(N('Dvd Calendar'!$K$604)&lt;=VAL_SERIAL)*1000000+55*1000+7))</f>
        <v/>
      </c>
      <c r="EL66" s="121">
        <f>IF(N('Dvd Calendar'!$L$605)=0,"",IF(('Dvd Calendar'!$L$605&gt;=GRID_FROM)*('Dvd Calendar'!$L$605&lt;=GRID_TO)*((('Dvd Calendar'!$L$605&lt;=VAL_DATE)+(COUNTIF('Dvd Calendar'!$E$612:$AR$612,'Dvd Calendar'!$L$605)=0))&gt;0)=0,"",'Dvd Calendar'!$L$605*1000000000+ISNUMBER('Dvd Calendar'!$L$608)*100000000+('Dvd Calendar'!$L$610=SPECIAL_LBL)*10000000+(N('Dvd Calendar'!$L$604)&gt;0)*(N('Dvd Calendar'!$L$604)&lt;=VAL_SERIAL)*1000000+55*1000+8))</f>
        <v/>
      </c>
      <c r="EM66" s="121">
        <f>IF(N('Dvd Calendar'!$M$605)=0,"",IF(('Dvd Calendar'!$M$605&gt;=GRID_FROM)*('Dvd Calendar'!$M$605&lt;=GRID_TO)*((('Dvd Calendar'!$M$605&lt;=VAL_DATE)+(COUNTIF('Dvd Calendar'!$E$612:$AR$612,'Dvd Calendar'!$M$605)=0))&gt;0)=0,"",'Dvd Calendar'!$M$605*1000000000+ISNUMBER('Dvd Calendar'!$M$608)*100000000+('Dvd Calendar'!$M$610=SPECIAL_LBL)*10000000+(N('Dvd Calendar'!$M$604)&gt;0)*(N('Dvd Calendar'!$M$604)&lt;=VAL_SERIAL)*1000000+55*1000+9))</f>
        <v/>
      </c>
      <c r="EN66" s="121">
        <f>IF(N('Dvd Calendar'!$N$605)=0,"",IF(('Dvd Calendar'!$N$605&gt;=GRID_FROM)*('Dvd Calendar'!$N$605&lt;=GRID_TO)*((('Dvd Calendar'!$N$605&lt;=VAL_DATE)+(COUNTIF('Dvd Calendar'!$E$612:$AR$612,'Dvd Calendar'!$N$605)=0))&gt;0)=0,"",'Dvd Calendar'!$N$605*1000000000+ISNUMBER('Dvd Calendar'!$N$608)*100000000+('Dvd Calendar'!$N$610=SPECIAL_LBL)*10000000+(N('Dvd Calendar'!$N$604)&gt;0)*(N('Dvd Calendar'!$N$604)&lt;=VAL_SERIAL)*1000000+55*1000+10))</f>
        <v/>
      </c>
      <c r="EO66" s="121">
        <f>IF(N('Dvd Calendar'!$O$605)=0,"",IF(('Dvd Calendar'!$O$605&gt;=GRID_FROM)*('Dvd Calendar'!$O$605&lt;=GRID_TO)*((('Dvd Calendar'!$O$605&lt;=VAL_DATE)+(COUNTIF('Dvd Calendar'!$E$612:$AR$612,'Dvd Calendar'!$O$605)=0))&gt;0)=0,"",'Dvd Calendar'!$O$605*1000000000+ISNUMBER('Dvd Calendar'!$O$608)*100000000+('Dvd Calendar'!$O$610=SPECIAL_LBL)*10000000+(N('Dvd Calendar'!$O$604)&gt;0)*(N('Dvd Calendar'!$O$604)&lt;=VAL_SERIAL)*1000000+55*1000+11))</f>
        <v/>
      </c>
      <c r="EP66" s="121">
        <f>IF(N('Dvd Calendar'!$P$605)=0,"",IF(('Dvd Calendar'!$P$605&gt;=GRID_FROM)*('Dvd Calendar'!$P$605&lt;=GRID_TO)*((('Dvd Calendar'!$P$605&lt;=VAL_DATE)+(COUNTIF('Dvd Calendar'!$E$612:$AR$612,'Dvd Calendar'!$P$605)=0))&gt;0)=0,"",'Dvd Calendar'!$P$605*1000000000+ISNUMBER('Dvd Calendar'!$P$608)*100000000+('Dvd Calendar'!$P$610=SPECIAL_LBL)*10000000+(N('Dvd Calendar'!$P$604)&gt;0)*(N('Dvd Calendar'!$P$604)&lt;=VAL_SERIAL)*1000000+55*1000+12))</f>
        <v/>
      </c>
      <c r="EQ66" s="121">
        <f>IF(N('Dvd Calendar'!$Q$605)=0,"",IF(('Dvd Calendar'!$Q$605&gt;=GRID_FROM)*('Dvd Calendar'!$Q$605&lt;=GRID_TO)*((('Dvd Calendar'!$Q$605&lt;=VAL_DATE)+(COUNTIF('Dvd Calendar'!$E$612:$AR$612,'Dvd Calendar'!$Q$605)=0))&gt;0)=0,"",'Dvd Calendar'!$Q$605*1000000000+ISNUMBER('Dvd Calendar'!$Q$608)*100000000+('Dvd Calendar'!$Q$610=SPECIAL_LBL)*10000000+(N('Dvd Calendar'!$Q$604)&gt;0)*(N('Dvd Calendar'!$Q$604)&lt;=VAL_SERIAL)*1000000+55*1000+13))</f>
        <v/>
      </c>
      <c r="ER66" s="121">
        <f>IF(N('Dvd Calendar'!$R$605)=0,"",IF(('Dvd Calendar'!$R$605&gt;=GRID_FROM)*('Dvd Calendar'!$R$605&lt;=GRID_TO)*((('Dvd Calendar'!$R$605&lt;=VAL_DATE)+(COUNTIF('Dvd Calendar'!$E$612:$AR$612,'Dvd Calendar'!$R$605)=0))&gt;0)=0,"",'Dvd Calendar'!$R$605*1000000000+ISNUMBER('Dvd Calendar'!$R$608)*100000000+('Dvd Calendar'!$R$610=SPECIAL_LBL)*10000000+(N('Dvd Calendar'!$R$604)&gt;0)*(N('Dvd Calendar'!$R$604)&lt;=VAL_SERIAL)*1000000+55*1000+14))</f>
        <v/>
      </c>
      <c r="ES66" s="121">
        <f>IF(N('Dvd Calendar'!$S$605)=0,"",IF(('Dvd Calendar'!$S$605&gt;=GRID_FROM)*('Dvd Calendar'!$S$605&lt;=GRID_TO)*((('Dvd Calendar'!$S$605&lt;=VAL_DATE)+(COUNTIF('Dvd Calendar'!$E$612:$AR$612,'Dvd Calendar'!$S$605)=0))&gt;0)=0,"",'Dvd Calendar'!$S$605*1000000000+ISNUMBER('Dvd Calendar'!$S$608)*100000000+('Dvd Calendar'!$S$610=SPECIAL_LBL)*10000000+(N('Dvd Calendar'!$S$604)&gt;0)*(N('Dvd Calendar'!$S$604)&lt;=VAL_SERIAL)*1000000+55*1000+15))</f>
        <v/>
      </c>
      <c r="ET66" s="121">
        <f>IF(N('Dvd Calendar'!$T$605)=0,"",IF(('Dvd Calendar'!$T$605&gt;=GRID_FROM)*('Dvd Calendar'!$T$605&lt;=GRID_TO)*((('Dvd Calendar'!$T$605&lt;=VAL_DATE)+(COUNTIF('Dvd Calendar'!$E$612:$AR$612,'Dvd Calendar'!$T$605)=0))&gt;0)=0,"",'Dvd Calendar'!$T$605*1000000000+ISNUMBER('Dvd Calendar'!$T$608)*100000000+('Dvd Calendar'!$T$610=SPECIAL_LBL)*10000000+(N('Dvd Calendar'!$T$604)&gt;0)*(N('Dvd Calendar'!$T$604)&lt;=VAL_SERIAL)*1000000+55*1000+16))</f>
        <v/>
      </c>
      <c r="EU66" s="121">
        <f>IF(N('Dvd Calendar'!$U$605)=0,"",IF(('Dvd Calendar'!$U$605&gt;=GRID_FROM)*('Dvd Calendar'!$U$605&lt;=GRID_TO)*((('Dvd Calendar'!$U$605&lt;=VAL_DATE)+(COUNTIF('Dvd Calendar'!$E$612:$AR$612,'Dvd Calendar'!$U$605)=0))&gt;0)=0,"",'Dvd Calendar'!$U$605*1000000000+ISNUMBER('Dvd Calendar'!$U$608)*100000000+('Dvd Calendar'!$U$610=SPECIAL_LBL)*10000000+(N('Dvd Calendar'!$U$604)&gt;0)*(N('Dvd Calendar'!$U$604)&lt;=VAL_SERIAL)*1000000+55*1000+17))</f>
        <v/>
      </c>
      <c r="EV66" s="121">
        <f>IF(N('Dvd Calendar'!$V$605)=0,"",IF(('Dvd Calendar'!$V$605&gt;=GRID_FROM)*('Dvd Calendar'!$V$605&lt;=GRID_TO)*((('Dvd Calendar'!$V$605&lt;=VAL_DATE)+(COUNTIF('Dvd Calendar'!$E$612:$AR$612,'Dvd Calendar'!$V$605)=0))&gt;0)=0,"",'Dvd Calendar'!$V$605*1000000000+ISNUMBER('Dvd Calendar'!$V$608)*100000000+('Dvd Calendar'!$V$610=SPECIAL_LBL)*10000000+(N('Dvd Calendar'!$V$604)&gt;0)*(N('Dvd Calendar'!$V$604)&lt;=VAL_SERIAL)*1000000+55*1000+18))</f>
        <v/>
      </c>
      <c r="EW66" s="121">
        <f>IF(N('Dvd Calendar'!$W$605)=0,"",IF(('Dvd Calendar'!$W$605&gt;=GRID_FROM)*('Dvd Calendar'!$W$605&lt;=GRID_TO)*((('Dvd Calendar'!$W$605&lt;=VAL_DATE)+(COUNTIF('Dvd Calendar'!$E$612:$AR$612,'Dvd Calendar'!$W$605)=0))&gt;0)=0,"",'Dvd Calendar'!$W$605*1000000000+ISNUMBER('Dvd Calendar'!$W$608)*100000000+('Dvd Calendar'!$W$610=SPECIAL_LBL)*10000000+(N('Dvd Calendar'!$W$604)&gt;0)*(N('Dvd Calendar'!$W$604)&lt;=VAL_SERIAL)*1000000+55*1000+19))</f>
        <v/>
      </c>
      <c r="EX66" s="121">
        <f>IF(N('Dvd Calendar'!$X$605)=0,"",IF(('Dvd Calendar'!$X$605&gt;=GRID_FROM)*('Dvd Calendar'!$X$605&lt;=GRID_TO)*((('Dvd Calendar'!$X$605&lt;=VAL_DATE)+(COUNTIF('Dvd Calendar'!$E$612:$AR$612,'Dvd Calendar'!$X$605)=0))&gt;0)=0,"",'Dvd Calendar'!$X$605*1000000000+ISNUMBER('Dvd Calendar'!$X$608)*100000000+('Dvd Calendar'!$X$610=SPECIAL_LBL)*10000000+(N('Dvd Calendar'!$X$604)&gt;0)*(N('Dvd Calendar'!$X$604)&lt;=VAL_SERIAL)*1000000+55*1000+20))</f>
        <v/>
      </c>
      <c r="EY66" s="121">
        <f>IF(N('Dvd Calendar'!$Y$605)=0,"",IF(('Dvd Calendar'!$Y$605&gt;=GRID_FROM)*('Dvd Calendar'!$Y$605&lt;=GRID_TO)*((('Dvd Calendar'!$Y$605&lt;=VAL_DATE)+(COUNTIF('Dvd Calendar'!$E$612:$AR$612,'Dvd Calendar'!$Y$605)=0))&gt;0)=0,"",'Dvd Calendar'!$Y$605*1000000000+ISNUMBER('Dvd Calendar'!$Y$608)*100000000+('Dvd Calendar'!$Y$610=SPECIAL_LBL)*10000000+(N('Dvd Calendar'!$Y$604)&gt;0)*(N('Dvd Calendar'!$Y$604)&lt;=VAL_SERIAL)*1000000+55*1000+21))</f>
        <v/>
      </c>
      <c r="EZ66" s="121">
        <f>IF(N('Dvd Calendar'!$Z$605)=0,"",IF(('Dvd Calendar'!$Z$605&gt;=GRID_FROM)*('Dvd Calendar'!$Z$605&lt;=GRID_TO)*((('Dvd Calendar'!$Z$605&lt;=VAL_DATE)+(COUNTIF('Dvd Calendar'!$E$612:$AR$612,'Dvd Calendar'!$Z$605)=0))&gt;0)=0,"",'Dvd Calendar'!$Z$605*1000000000+ISNUMBER('Dvd Calendar'!$Z$608)*100000000+('Dvd Calendar'!$Z$610=SPECIAL_LBL)*10000000+(N('Dvd Calendar'!$Z$604)&gt;0)*(N('Dvd Calendar'!$Z$604)&lt;=VAL_SERIAL)*1000000+55*1000+22))</f>
        <v/>
      </c>
      <c r="FA66" s="121">
        <f>IF(N('Dvd Calendar'!$AA$605)=0,"",IF(('Dvd Calendar'!$AA$605&gt;=GRID_FROM)*('Dvd Calendar'!$AA$605&lt;=GRID_TO)*((('Dvd Calendar'!$AA$605&lt;=VAL_DATE)+(COUNTIF('Dvd Calendar'!$E$612:$AR$612,'Dvd Calendar'!$AA$605)=0))&gt;0)=0,"",'Dvd Calendar'!$AA$605*1000000000+ISNUMBER('Dvd Calendar'!$AA$608)*100000000+('Dvd Calendar'!$AA$610=SPECIAL_LBL)*10000000+(N('Dvd Calendar'!$AA$604)&gt;0)*(N('Dvd Calendar'!$AA$604)&lt;=VAL_SERIAL)*1000000+55*1000+23))</f>
        <v/>
      </c>
      <c r="FB66" s="121">
        <f>IF(N('Dvd Calendar'!$AB$605)=0,"",IF(('Dvd Calendar'!$AB$605&gt;=GRID_FROM)*('Dvd Calendar'!$AB$605&lt;=GRID_TO)*((('Dvd Calendar'!$AB$605&lt;=VAL_DATE)+(COUNTIF('Dvd Calendar'!$E$612:$AR$612,'Dvd Calendar'!$AB$605)=0))&gt;0)=0,"",'Dvd Calendar'!$AB$605*1000000000+ISNUMBER('Dvd Calendar'!$AB$608)*100000000+('Dvd Calendar'!$AB$610=SPECIAL_LBL)*10000000+(N('Dvd Calendar'!$AB$604)&gt;0)*(N('Dvd Calendar'!$AB$604)&lt;=VAL_SERIAL)*1000000+55*1000+24))</f>
        <v/>
      </c>
      <c r="FC66" s="121">
        <f>IF(N('Dvd Calendar'!$AC$605)=0,"",IF(('Dvd Calendar'!$AC$605&gt;=GRID_FROM)*('Dvd Calendar'!$AC$605&lt;=GRID_TO)*((('Dvd Calendar'!$AC$605&lt;=VAL_DATE)+(COUNTIF('Dvd Calendar'!$E$612:$AR$612,'Dvd Calendar'!$AC$605)=0))&gt;0)=0,"",'Dvd Calendar'!$AC$605*1000000000+ISNUMBER('Dvd Calendar'!$AC$608)*100000000+('Dvd Calendar'!$AC$610=SPECIAL_LBL)*10000000+(N('Dvd Calendar'!$AC$604)&gt;0)*(N('Dvd Calendar'!$AC$604)&lt;=VAL_SERIAL)*1000000+55*1000+25))</f>
        <v/>
      </c>
      <c r="FD66" s="121">
        <f>IF(N('Dvd Calendar'!$AD$605)=0,"",IF(('Dvd Calendar'!$AD$605&gt;=GRID_FROM)*('Dvd Calendar'!$AD$605&lt;=GRID_TO)*((('Dvd Calendar'!$AD$605&lt;=VAL_DATE)+(COUNTIF('Dvd Calendar'!$E$612:$AR$612,'Dvd Calendar'!$AD$605)=0))&gt;0)=0,"",'Dvd Calendar'!$AD$605*1000000000+ISNUMBER('Dvd Calendar'!$AD$608)*100000000+('Dvd Calendar'!$AD$610=SPECIAL_LBL)*10000000+(N('Dvd Calendar'!$AD$604)&gt;0)*(N('Dvd Calendar'!$AD$604)&lt;=VAL_SERIAL)*1000000+55*1000+26))</f>
        <v/>
      </c>
      <c r="FE66" s="121">
        <f>IF(N('Dvd Calendar'!$AE$605)=0,"",IF(('Dvd Calendar'!$AE$605&gt;=GRID_FROM)*('Dvd Calendar'!$AE$605&lt;=GRID_TO)*((('Dvd Calendar'!$AE$605&lt;=VAL_DATE)+(COUNTIF('Dvd Calendar'!$E$612:$AR$612,'Dvd Calendar'!$AE$605)=0))&gt;0)=0,"",'Dvd Calendar'!$AE$605*1000000000+ISNUMBER('Dvd Calendar'!$AE$608)*100000000+('Dvd Calendar'!$AE$610=SPECIAL_LBL)*10000000+(N('Dvd Calendar'!$AE$604)&gt;0)*(N('Dvd Calendar'!$AE$604)&lt;=VAL_SERIAL)*1000000+55*1000+27))</f>
        <v/>
      </c>
      <c r="FF66" s="121">
        <f>IF(N('Dvd Calendar'!$AF$605)=0,"",IF(('Dvd Calendar'!$AF$605&gt;=GRID_FROM)*('Dvd Calendar'!$AF$605&lt;=GRID_TO)*((('Dvd Calendar'!$AF$605&lt;=VAL_DATE)+(COUNTIF('Dvd Calendar'!$E$612:$AR$612,'Dvd Calendar'!$AF$605)=0))&gt;0)=0,"",'Dvd Calendar'!$AF$605*1000000000+ISNUMBER('Dvd Calendar'!$AF$608)*100000000+('Dvd Calendar'!$AF$610=SPECIAL_LBL)*10000000+(N('Dvd Calendar'!$AF$604)&gt;0)*(N('Dvd Calendar'!$AF$604)&lt;=VAL_SERIAL)*1000000+55*1000+28))</f>
        <v/>
      </c>
      <c r="FG66" s="121">
        <f>IF(N('Dvd Calendar'!$AG$605)=0,"",IF(('Dvd Calendar'!$AG$605&gt;=GRID_FROM)*('Dvd Calendar'!$AG$605&lt;=GRID_TO)*((('Dvd Calendar'!$AG$605&lt;=VAL_DATE)+(COUNTIF('Dvd Calendar'!$E$612:$AR$612,'Dvd Calendar'!$AG$605)=0))&gt;0)=0,"",'Dvd Calendar'!$AG$605*1000000000+ISNUMBER('Dvd Calendar'!$AG$608)*100000000+('Dvd Calendar'!$AG$610=SPECIAL_LBL)*10000000+(N('Dvd Calendar'!$AG$604)&gt;0)*(N('Dvd Calendar'!$AG$604)&lt;=VAL_SERIAL)*1000000+55*1000+29))</f>
        <v/>
      </c>
      <c r="FH66" s="121">
        <f>IF(N('Dvd Calendar'!$AH$605)=0,"",IF(('Dvd Calendar'!$AH$605&gt;=GRID_FROM)*('Dvd Calendar'!$AH$605&lt;=GRID_TO)*((('Dvd Calendar'!$AH$605&lt;=VAL_DATE)+(COUNTIF('Dvd Calendar'!$E$612:$AR$612,'Dvd Calendar'!$AH$605)=0))&gt;0)=0,"",'Dvd Calendar'!$AH$605*1000000000+ISNUMBER('Dvd Calendar'!$AH$608)*100000000+('Dvd Calendar'!$AH$610=SPECIAL_LBL)*10000000+(N('Dvd Calendar'!$AH$604)&gt;0)*(N('Dvd Calendar'!$AH$604)&lt;=VAL_SERIAL)*1000000+55*1000+30))</f>
        <v/>
      </c>
      <c r="FI66" s="121">
        <f>IF(N('Dvd Calendar'!$AI$605)=0,"",IF(('Dvd Calendar'!$AI$605&gt;=GRID_FROM)*('Dvd Calendar'!$AI$605&lt;=GRID_TO)*((('Dvd Calendar'!$AI$605&lt;=VAL_DATE)+(COUNTIF('Dvd Calendar'!$E$612:$AR$612,'Dvd Calendar'!$AI$605)=0))&gt;0)=0,"",'Dvd Calendar'!$AI$605*1000000000+ISNUMBER('Dvd Calendar'!$AI$608)*100000000+('Dvd Calendar'!$AI$610=SPECIAL_LBL)*10000000+(N('Dvd Calendar'!$AI$604)&gt;0)*(N('Dvd Calendar'!$AI$604)&lt;=VAL_SERIAL)*1000000+55*1000+31))</f>
        <v/>
      </c>
      <c r="FJ66" s="121">
        <f>IF(N('Dvd Calendar'!$AJ$605)=0,"",IF(('Dvd Calendar'!$AJ$605&gt;=GRID_FROM)*('Dvd Calendar'!$AJ$605&lt;=GRID_TO)*((('Dvd Calendar'!$AJ$605&lt;=VAL_DATE)+(COUNTIF('Dvd Calendar'!$E$612:$AR$612,'Dvd Calendar'!$AJ$605)=0))&gt;0)=0,"",'Dvd Calendar'!$AJ$605*1000000000+ISNUMBER('Dvd Calendar'!$AJ$608)*100000000+('Dvd Calendar'!$AJ$610=SPECIAL_LBL)*10000000+(N('Dvd Calendar'!$AJ$604)&gt;0)*(N('Dvd Calendar'!$AJ$604)&lt;=VAL_SERIAL)*1000000+55*1000+32))</f>
        <v/>
      </c>
      <c r="FK66" s="121">
        <f>IF(N('Dvd Calendar'!$AK$605)=0,"",IF(('Dvd Calendar'!$AK$605&gt;=GRID_FROM)*('Dvd Calendar'!$AK$605&lt;=GRID_TO)*((('Dvd Calendar'!$AK$605&lt;=VAL_DATE)+(COUNTIF('Dvd Calendar'!$E$612:$AR$612,'Dvd Calendar'!$AK$605)=0))&gt;0)=0,"",'Dvd Calendar'!$AK$605*1000000000+ISNUMBER('Dvd Calendar'!$AK$608)*100000000+('Dvd Calendar'!$AK$610=SPECIAL_LBL)*10000000+(N('Dvd Calendar'!$AK$604)&gt;0)*(N('Dvd Calendar'!$AK$604)&lt;=VAL_SERIAL)*1000000+55*1000+33))</f>
        <v/>
      </c>
      <c r="FL66" s="121">
        <f>IF(N('Dvd Calendar'!$AL$605)=0,"",IF(('Dvd Calendar'!$AL$605&gt;=GRID_FROM)*('Dvd Calendar'!$AL$605&lt;=GRID_TO)*((('Dvd Calendar'!$AL$605&lt;=VAL_DATE)+(COUNTIF('Dvd Calendar'!$E$612:$AR$612,'Dvd Calendar'!$AL$605)=0))&gt;0)=0,"",'Dvd Calendar'!$AL$605*1000000000+ISNUMBER('Dvd Calendar'!$AL$608)*100000000+('Dvd Calendar'!$AL$610=SPECIAL_LBL)*10000000+(N('Dvd Calendar'!$AL$604)&gt;0)*(N('Dvd Calendar'!$AL$604)&lt;=VAL_SERIAL)*1000000+55*1000+34))</f>
        <v/>
      </c>
      <c r="FM66" s="121">
        <f>IF(N('Dvd Calendar'!$AM$605)=0,"",IF(('Dvd Calendar'!$AM$605&gt;=GRID_FROM)*('Dvd Calendar'!$AM$605&lt;=GRID_TO)*((('Dvd Calendar'!$AM$605&lt;=VAL_DATE)+(COUNTIF('Dvd Calendar'!$E$612:$AR$612,'Dvd Calendar'!$AM$605)=0))&gt;0)=0,"",'Dvd Calendar'!$AM$605*1000000000+ISNUMBER('Dvd Calendar'!$AM$608)*100000000+('Dvd Calendar'!$AM$610=SPECIAL_LBL)*10000000+(N('Dvd Calendar'!$AM$604)&gt;0)*(N('Dvd Calendar'!$AM$604)&lt;=VAL_SERIAL)*1000000+55*1000+35))</f>
        <v/>
      </c>
      <c r="FN66" s="121">
        <f>IF(N('Dvd Calendar'!$AN$605)=0,"",IF(('Dvd Calendar'!$AN$605&gt;=GRID_FROM)*('Dvd Calendar'!$AN$605&lt;=GRID_TO)*((('Dvd Calendar'!$AN$605&lt;=VAL_DATE)+(COUNTIF('Dvd Calendar'!$E$612:$AR$612,'Dvd Calendar'!$AN$605)=0))&gt;0)=0,"",'Dvd Calendar'!$AN$605*1000000000+ISNUMBER('Dvd Calendar'!$AN$608)*100000000+('Dvd Calendar'!$AN$610=SPECIAL_LBL)*10000000+(N('Dvd Calendar'!$AN$604)&gt;0)*(N('Dvd Calendar'!$AN$604)&lt;=VAL_SERIAL)*1000000+55*1000+36))</f>
        <v/>
      </c>
      <c r="FO66" s="121">
        <f>IF(N('Dvd Calendar'!$AO$605)=0,"",IF(('Dvd Calendar'!$AO$605&gt;=GRID_FROM)*('Dvd Calendar'!$AO$605&lt;=GRID_TO)*((('Dvd Calendar'!$AO$605&lt;=VAL_DATE)+(COUNTIF('Dvd Calendar'!$E$612:$AR$612,'Dvd Calendar'!$AO$605)=0))&gt;0)=0,"",'Dvd Calendar'!$AO$605*1000000000+ISNUMBER('Dvd Calendar'!$AO$608)*100000000+('Dvd Calendar'!$AO$610=SPECIAL_LBL)*10000000+(N('Dvd Calendar'!$AO$604)&gt;0)*(N('Dvd Calendar'!$AO$604)&lt;=VAL_SERIAL)*1000000+55*1000+37))</f>
        <v/>
      </c>
      <c r="FP66" s="121">
        <f>IF(N('Dvd Calendar'!$AP$605)=0,"",IF(('Dvd Calendar'!$AP$605&gt;=GRID_FROM)*('Dvd Calendar'!$AP$605&lt;=GRID_TO)*((('Dvd Calendar'!$AP$605&lt;=VAL_DATE)+(COUNTIF('Dvd Calendar'!$E$612:$AR$612,'Dvd Calendar'!$AP$605)=0))&gt;0)=0,"",'Dvd Calendar'!$AP$605*1000000000+ISNUMBER('Dvd Calendar'!$AP$608)*100000000+('Dvd Calendar'!$AP$610=SPECIAL_LBL)*10000000+(N('Dvd Calendar'!$AP$604)&gt;0)*(N('Dvd Calendar'!$AP$604)&lt;=VAL_SERIAL)*1000000+55*1000+38))</f>
        <v/>
      </c>
      <c r="FQ66" s="121">
        <f>IF(N('Dvd Calendar'!$AQ$605)=0,"",IF(('Dvd Calendar'!$AQ$605&gt;=GRID_FROM)*('Dvd Calendar'!$AQ$605&lt;=GRID_TO)*((('Dvd Calendar'!$AQ$605&lt;=VAL_DATE)+(COUNTIF('Dvd Calendar'!$E$612:$AR$612,'Dvd Calendar'!$AQ$605)=0))&gt;0)=0,"",'Dvd Calendar'!$AQ$605*1000000000+ISNUMBER('Dvd Calendar'!$AQ$608)*100000000+('Dvd Calendar'!$AQ$610=SPECIAL_LBL)*10000000+(N('Dvd Calendar'!$AQ$604)&gt;0)*(N('Dvd Calendar'!$AQ$604)&lt;=VAL_SERIAL)*1000000+55*1000+39))</f>
        <v/>
      </c>
      <c r="FR66" s="121">
        <f>IF(N('Dvd Calendar'!$AR$605)=0,"",IF(('Dvd Calendar'!$AR$605&gt;=GRID_FROM)*('Dvd Calendar'!$AR$605&lt;=GRID_TO)*((('Dvd Calendar'!$AR$605&lt;=VAL_DATE)+(COUNTIF('Dvd Calendar'!$E$612:$AR$612,'Dvd Calendar'!$AR$605)=0))&gt;0)=0,"",'Dvd Calendar'!$AR$605*1000000000+ISNUMBER('Dvd Calendar'!$AR$608)*100000000+('Dvd Calendar'!$AR$610=SPECIAL_LBL)*10000000+(N('Dvd Calendar'!$AR$604)&gt;0)*(N('Dvd Calendar'!$AR$604)&lt;=VAL_SERIAL)*1000000+55*1000+40))</f>
        <v/>
      </c>
      <c r="FS66" s="121">
        <f>IF(N('Dvd Calendar'!$E$612)=0,"",IF(('Dvd Calendar'!$E$612&gt;=GRID_FROM)*('Dvd Calendar'!$E$612&lt;=GRID_TO)*('Dvd Calendar'!$E$612&gt;VAL_DATE)=0,"",'Dvd Calendar'!$E$612*1000000000+ISNUMBER('Dvd Calendar'!$E$613)*100000000+0*10000000+(N('Dvd Calendar'!$E$611)&gt;0)*(N('Dvd Calendar'!$E$611)&lt;=VAL_SERIAL)*1000000+55*1000+41))</f>
        <v/>
      </c>
      <c r="FT66" s="121">
        <f>IF(N('Dvd Calendar'!$F$612)=0,"",IF(('Dvd Calendar'!$F$612&gt;=GRID_FROM)*('Dvd Calendar'!$F$612&lt;=GRID_TO)*('Dvd Calendar'!$F$612&gt;VAL_DATE)=0,"",'Dvd Calendar'!$F$612*1000000000+ISNUMBER('Dvd Calendar'!$F$613)*100000000+0*10000000+(N('Dvd Calendar'!$F$611)&gt;0)*(N('Dvd Calendar'!$F$611)&lt;=VAL_SERIAL)*1000000+55*1000+42))</f>
        <v/>
      </c>
      <c r="FU66" s="121">
        <f>IF(N('Dvd Calendar'!$G$612)=0,"",IF(('Dvd Calendar'!$G$612&gt;=GRID_FROM)*('Dvd Calendar'!$G$612&lt;=GRID_TO)*('Dvd Calendar'!$G$612&gt;VAL_DATE)=0,"",'Dvd Calendar'!$G$612*1000000000+ISNUMBER('Dvd Calendar'!$G$613)*100000000+0*10000000+(N('Dvd Calendar'!$G$611)&gt;0)*(N('Dvd Calendar'!$G$611)&lt;=VAL_SERIAL)*1000000+55*1000+43))</f>
        <v/>
      </c>
      <c r="FV66" s="121">
        <f>IF(N('Dvd Calendar'!$H$612)=0,"",IF(('Dvd Calendar'!$H$612&gt;=GRID_FROM)*('Dvd Calendar'!$H$612&lt;=GRID_TO)*('Dvd Calendar'!$H$612&gt;VAL_DATE)=0,"",'Dvd Calendar'!$H$612*1000000000+ISNUMBER('Dvd Calendar'!$H$613)*100000000+0*10000000+(N('Dvd Calendar'!$H$611)&gt;0)*(N('Dvd Calendar'!$H$611)&lt;=VAL_SERIAL)*1000000+55*1000+44))</f>
        <v/>
      </c>
      <c r="FW66" s="121">
        <f>IF(N('Dvd Calendar'!$I$612)=0,"",IF(('Dvd Calendar'!$I$612&gt;=GRID_FROM)*('Dvd Calendar'!$I$612&lt;=GRID_TO)*('Dvd Calendar'!$I$612&gt;VAL_DATE)=0,"",'Dvd Calendar'!$I$612*1000000000+ISNUMBER('Dvd Calendar'!$I$613)*100000000+0*10000000+(N('Dvd Calendar'!$I$611)&gt;0)*(N('Dvd Calendar'!$I$611)&lt;=VAL_SERIAL)*1000000+55*1000+45))</f>
        <v/>
      </c>
      <c r="FX66" s="121">
        <f>IF(N('Dvd Calendar'!$J$612)=0,"",IF(('Dvd Calendar'!$J$612&gt;=GRID_FROM)*('Dvd Calendar'!$J$612&lt;=GRID_TO)*('Dvd Calendar'!$J$612&gt;VAL_DATE)=0,"",'Dvd Calendar'!$J$612*1000000000+ISNUMBER('Dvd Calendar'!$J$613)*100000000+0*10000000+(N('Dvd Calendar'!$J$611)&gt;0)*(N('Dvd Calendar'!$J$611)&lt;=VAL_SERIAL)*1000000+55*1000+46))</f>
        <v/>
      </c>
      <c r="FY66" s="121">
        <f>IF(N('Dvd Calendar'!$K$612)=0,"",IF(('Dvd Calendar'!$K$612&gt;=GRID_FROM)*('Dvd Calendar'!$K$612&lt;=GRID_TO)*('Dvd Calendar'!$K$612&gt;VAL_DATE)=0,"",'Dvd Calendar'!$K$612*1000000000+ISNUMBER('Dvd Calendar'!$K$613)*100000000+0*10000000+(N('Dvd Calendar'!$K$611)&gt;0)*(N('Dvd Calendar'!$K$611)&lt;=VAL_SERIAL)*1000000+55*1000+47))</f>
        <v/>
      </c>
      <c r="FZ66" s="121">
        <f>IF(N('Dvd Calendar'!$L$612)=0,"",IF(('Dvd Calendar'!$L$612&gt;=GRID_FROM)*('Dvd Calendar'!$L$612&lt;=GRID_TO)*('Dvd Calendar'!$L$612&gt;VAL_DATE)=0,"",'Dvd Calendar'!$L$612*1000000000+ISNUMBER('Dvd Calendar'!$L$613)*100000000+0*10000000+(N('Dvd Calendar'!$L$611)&gt;0)*(N('Dvd Calendar'!$L$611)&lt;=VAL_SERIAL)*1000000+55*1000+48))</f>
        <v/>
      </c>
      <c r="GA66" s="121">
        <f>IF(N('Dvd Calendar'!$M$612)=0,"",IF(('Dvd Calendar'!$M$612&gt;=GRID_FROM)*('Dvd Calendar'!$M$612&lt;=GRID_TO)*('Dvd Calendar'!$M$612&gt;VAL_DATE)=0,"",'Dvd Calendar'!$M$612*1000000000+ISNUMBER('Dvd Calendar'!$M$613)*100000000+0*10000000+(N('Dvd Calendar'!$M$611)&gt;0)*(N('Dvd Calendar'!$M$611)&lt;=VAL_SERIAL)*1000000+55*1000+49))</f>
        <v/>
      </c>
      <c r="GB66" s="121">
        <f>IF(N('Dvd Calendar'!$N$612)=0,"",IF(('Dvd Calendar'!$N$612&gt;=GRID_FROM)*('Dvd Calendar'!$N$612&lt;=GRID_TO)*('Dvd Calendar'!$N$612&gt;VAL_DATE)=0,"",'Dvd Calendar'!$N$612*1000000000+ISNUMBER('Dvd Calendar'!$N$613)*100000000+0*10000000+(N('Dvd Calendar'!$N$611)&gt;0)*(N('Dvd Calendar'!$N$611)&lt;=VAL_SERIAL)*1000000+55*1000+50))</f>
        <v/>
      </c>
      <c r="GC66" s="121">
        <f>IF(N('Dvd Calendar'!$O$612)=0,"",IF(('Dvd Calendar'!$O$612&gt;=GRID_FROM)*('Dvd Calendar'!$O$612&lt;=GRID_TO)*('Dvd Calendar'!$O$612&gt;VAL_DATE)=0,"",'Dvd Calendar'!$O$612*1000000000+ISNUMBER('Dvd Calendar'!$O$613)*100000000+0*10000000+(N('Dvd Calendar'!$O$611)&gt;0)*(N('Dvd Calendar'!$O$611)&lt;=VAL_SERIAL)*1000000+55*1000+51))</f>
        <v/>
      </c>
      <c r="GD66" s="121">
        <f>IF(N('Dvd Calendar'!$P$612)=0,"",IF(('Dvd Calendar'!$P$612&gt;=GRID_FROM)*('Dvd Calendar'!$P$612&lt;=GRID_TO)*('Dvd Calendar'!$P$612&gt;VAL_DATE)=0,"",'Dvd Calendar'!$P$612*1000000000+ISNUMBER('Dvd Calendar'!$P$613)*100000000+0*10000000+(N('Dvd Calendar'!$P$611)&gt;0)*(N('Dvd Calendar'!$P$611)&lt;=VAL_SERIAL)*1000000+55*1000+52))</f>
        <v/>
      </c>
      <c r="GE66" s="121">
        <f>IF(N('Dvd Calendar'!$Q$612)=0,"",IF(('Dvd Calendar'!$Q$612&gt;=GRID_FROM)*('Dvd Calendar'!$Q$612&lt;=GRID_TO)*('Dvd Calendar'!$Q$612&gt;VAL_DATE)=0,"",'Dvd Calendar'!$Q$612*1000000000+ISNUMBER('Dvd Calendar'!$Q$613)*100000000+0*10000000+(N('Dvd Calendar'!$Q$611)&gt;0)*(N('Dvd Calendar'!$Q$611)&lt;=VAL_SERIAL)*1000000+55*1000+53))</f>
        <v/>
      </c>
      <c r="GF66" s="121">
        <f>IF(N('Dvd Calendar'!$R$612)=0,"",IF(('Dvd Calendar'!$R$612&gt;=GRID_FROM)*('Dvd Calendar'!$R$612&lt;=GRID_TO)*('Dvd Calendar'!$R$612&gt;VAL_DATE)=0,"",'Dvd Calendar'!$R$612*1000000000+ISNUMBER('Dvd Calendar'!$R$613)*100000000+0*10000000+(N('Dvd Calendar'!$R$611)&gt;0)*(N('Dvd Calendar'!$R$611)&lt;=VAL_SERIAL)*1000000+55*1000+54))</f>
        <v/>
      </c>
      <c r="GG66" s="121">
        <f>IF(N('Dvd Calendar'!$S$612)=0,"",IF(('Dvd Calendar'!$S$612&gt;=GRID_FROM)*('Dvd Calendar'!$S$612&lt;=GRID_TO)*('Dvd Calendar'!$S$612&gt;VAL_DATE)=0,"",'Dvd Calendar'!$S$612*1000000000+ISNUMBER('Dvd Calendar'!$S$613)*100000000+0*10000000+(N('Dvd Calendar'!$S$611)&gt;0)*(N('Dvd Calendar'!$S$611)&lt;=VAL_SERIAL)*1000000+55*1000+55))</f>
        <v/>
      </c>
      <c r="GH66" s="121">
        <f>IF(N('Dvd Calendar'!$T$612)=0,"",IF(('Dvd Calendar'!$T$612&gt;=GRID_FROM)*('Dvd Calendar'!$T$612&lt;=GRID_TO)*('Dvd Calendar'!$T$612&gt;VAL_DATE)=0,"",'Dvd Calendar'!$T$612*1000000000+ISNUMBER('Dvd Calendar'!$T$613)*100000000+0*10000000+(N('Dvd Calendar'!$T$611)&gt;0)*(N('Dvd Calendar'!$T$611)&lt;=VAL_SERIAL)*1000000+55*1000+56))</f>
        <v/>
      </c>
      <c r="GI66" s="121">
        <f>IF(N('Dvd Calendar'!$U$612)=0,"",IF(('Dvd Calendar'!$U$612&gt;=GRID_FROM)*('Dvd Calendar'!$U$612&lt;=GRID_TO)*('Dvd Calendar'!$U$612&gt;VAL_DATE)=0,"",'Dvd Calendar'!$U$612*1000000000+ISNUMBER('Dvd Calendar'!$U$613)*100000000+0*10000000+(N('Dvd Calendar'!$U$611)&gt;0)*(N('Dvd Calendar'!$U$611)&lt;=VAL_SERIAL)*1000000+55*1000+57))</f>
        <v/>
      </c>
      <c r="GJ66" s="121">
        <f>IF(N('Dvd Calendar'!$V$612)=0,"",IF(('Dvd Calendar'!$V$612&gt;=GRID_FROM)*('Dvd Calendar'!$V$612&lt;=GRID_TO)*('Dvd Calendar'!$V$612&gt;VAL_DATE)=0,"",'Dvd Calendar'!$V$612*1000000000+ISNUMBER('Dvd Calendar'!$V$613)*100000000+0*10000000+(N('Dvd Calendar'!$V$611)&gt;0)*(N('Dvd Calendar'!$V$611)&lt;=VAL_SERIAL)*1000000+55*1000+58))</f>
        <v/>
      </c>
      <c r="GK66" s="121">
        <f>IF(N('Dvd Calendar'!$W$612)=0,"",IF(('Dvd Calendar'!$W$612&gt;=GRID_FROM)*('Dvd Calendar'!$W$612&lt;=GRID_TO)*('Dvd Calendar'!$W$612&gt;VAL_DATE)=0,"",'Dvd Calendar'!$W$612*1000000000+ISNUMBER('Dvd Calendar'!$W$613)*100000000+0*10000000+(N('Dvd Calendar'!$W$611)&gt;0)*(N('Dvd Calendar'!$W$611)&lt;=VAL_SERIAL)*1000000+55*1000+59))</f>
        <v/>
      </c>
      <c r="GL66" s="121">
        <f>IF(N('Dvd Calendar'!$X$612)=0,"",IF(('Dvd Calendar'!$X$612&gt;=GRID_FROM)*('Dvd Calendar'!$X$612&lt;=GRID_TO)*('Dvd Calendar'!$X$612&gt;VAL_DATE)=0,"",'Dvd Calendar'!$X$612*1000000000+ISNUMBER('Dvd Calendar'!$X$613)*100000000+0*10000000+(N('Dvd Calendar'!$X$611)&gt;0)*(N('Dvd Calendar'!$X$611)&lt;=VAL_SERIAL)*1000000+55*1000+60))</f>
        <v/>
      </c>
      <c r="GM66" s="121">
        <f>IF(N('Dvd Calendar'!$Y$612)=0,"",IF(('Dvd Calendar'!$Y$612&gt;=GRID_FROM)*('Dvd Calendar'!$Y$612&lt;=GRID_TO)*('Dvd Calendar'!$Y$612&gt;VAL_DATE)=0,"",'Dvd Calendar'!$Y$612*1000000000+ISNUMBER('Dvd Calendar'!$Y$613)*100000000+0*10000000+(N('Dvd Calendar'!$Y$611)&gt;0)*(N('Dvd Calendar'!$Y$611)&lt;=VAL_SERIAL)*1000000+55*1000+61))</f>
        <v/>
      </c>
      <c r="GN66" s="121">
        <f>IF(N('Dvd Calendar'!$Z$612)=0,"",IF(('Dvd Calendar'!$Z$612&gt;=GRID_FROM)*('Dvd Calendar'!$Z$612&lt;=GRID_TO)*('Dvd Calendar'!$Z$612&gt;VAL_DATE)=0,"",'Dvd Calendar'!$Z$612*1000000000+ISNUMBER('Dvd Calendar'!$Z$613)*100000000+0*10000000+(N('Dvd Calendar'!$Z$611)&gt;0)*(N('Dvd Calendar'!$Z$611)&lt;=VAL_SERIAL)*1000000+55*1000+62))</f>
        <v/>
      </c>
      <c r="GO66" s="121">
        <f>IF(N('Dvd Calendar'!$AA$612)=0,"",IF(('Dvd Calendar'!$AA$612&gt;=GRID_FROM)*('Dvd Calendar'!$AA$612&lt;=GRID_TO)*('Dvd Calendar'!$AA$612&gt;VAL_DATE)=0,"",'Dvd Calendar'!$AA$612*1000000000+ISNUMBER('Dvd Calendar'!$AA$613)*100000000+0*10000000+(N('Dvd Calendar'!$AA$611)&gt;0)*(N('Dvd Calendar'!$AA$611)&lt;=VAL_SERIAL)*1000000+55*1000+63))</f>
        <v/>
      </c>
      <c r="GP66" s="121">
        <f>IF(N('Dvd Calendar'!$AB$612)=0,"",IF(('Dvd Calendar'!$AB$612&gt;=GRID_FROM)*('Dvd Calendar'!$AB$612&lt;=GRID_TO)*('Dvd Calendar'!$AB$612&gt;VAL_DATE)=0,"",'Dvd Calendar'!$AB$612*1000000000+ISNUMBER('Dvd Calendar'!$AB$613)*100000000+0*10000000+(N('Dvd Calendar'!$AB$611)&gt;0)*(N('Dvd Calendar'!$AB$611)&lt;=VAL_SERIAL)*1000000+55*1000+64))</f>
        <v/>
      </c>
      <c r="GQ66" s="121">
        <f>IF(N('Dvd Calendar'!$AC$612)=0,"",IF(('Dvd Calendar'!$AC$612&gt;=GRID_FROM)*('Dvd Calendar'!$AC$612&lt;=GRID_TO)*('Dvd Calendar'!$AC$612&gt;VAL_DATE)=0,"",'Dvd Calendar'!$AC$612*1000000000+ISNUMBER('Dvd Calendar'!$AC$613)*100000000+0*10000000+(N('Dvd Calendar'!$AC$611)&gt;0)*(N('Dvd Calendar'!$AC$611)&lt;=VAL_SERIAL)*1000000+55*1000+65))</f>
        <v/>
      </c>
    </row>
    <row r="67">
      <c r="B67" s="2">
        <f>IF(HSI!$C$62="","",HSI!$C$62)</f>
        <v/>
      </c>
      <c r="C67" s="161">
        <f>IF(EE67="","",IF(ISNUMBER('Dvd Calendar'!$E$619)=FALSE,"",IF((('Dvd Calendar'!$E$621=TYPE1)*(TYPE1&lt;&gt;"")+('Dvd Calendar'!$E$621=TYPE2)*(TYPE2&lt;&gt;"")+('Dvd Calendar'!$E$621=TYPE3)*(TYPE3&lt;&gt;"")+('Dvd Calendar'!$E$621=TYPE4)*(TYPE4&lt;&gt;"")+('Dvd Calendar'!$E$621=SPECIAL_LBL)*(INC_SPECIALS="Y"))=0,"",'Dvd Calendar'!$E$619)))</f>
        <v/>
      </c>
      <c r="D67" s="161">
        <f>IF(EF67="","",IF(ISNUMBER('Dvd Calendar'!$F$619)=FALSE,"",IF((('Dvd Calendar'!$F$621=TYPE1)*(TYPE1&lt;&gt;"")+('Dvd Calendar'!$F$621=TYPE2)*(TYPE2&lt;&gt;"")+('Dvd Calendar'!$F$621=TYPE3)*(TYPE3&lt;&gt;"")+('Dvd Calendar'!$F$621=TYPE4)*(TYPE4&lt;&gt;"")+('Dvd Calendar'!$F$621=SPECIAL_LBL)*(INC_SPECIALS="Y"))=0,"",'Dvd Calendar'!$F$619)))</f>
        <v/>
      </c>
      <c r="E67" s="161">
        <f>IF(EG67="","",IF(ISNUMBER('Dvd Calendar'!$G$619)=FALSE,"",IF((('Dvd Calendar'!$G$621=TYPE1)*(TYPE1&lt;&gt;"")+('Dvd Calendar'!$G$621=TYPE2)*(TYPE2&lt;&gt;"")+('Dvd Calendar'!$G$621=TYPE3)*(TYPE3&lt;&gt;"")+('Dvd Calendar'!$G$621=TYPE4)*(TYPE4&lt;&gt;"")+('Dvd Calendar'!$G$621=SPECIAL_LBL)*(INC_SPECIALS="Y"))=0,"",'Dvd Calendar'!$G$619)))</f>
        <v/>
      </c>
      <c r="F67" s="161">
        <f>IF(EH67="","",IF(ISNUMBER('Dvd Calendar'!$H$619)=FALSE,"",IF((('Dvd Calendar'!$H$621=TYPE1)*(TYPE1&lt;&gt;"")+('Dvd Calendar'!$H$621=TYPE2)*(TYPE2&lt;&gt;"")+('Dvd Calendar'!$H$621=TYPE3)*(TYPE3&lt;&gt;"")+('Dvd Calendar'!$H$621=TYPE4)*(TYPE4&lt;&gt;"")+('Dvd Calendar'!$H$621=SPECIAL_LBL)*(INC_SPECIALS="Y"))=0,"",'Dvd Calendar'!$H$619)))</f>
        <v/>
      </c>
      <c r="G67" s="161">
        <f>IF(EI67="","",IF(ISNUMBER('Dvd Calendar'!$I$619)=FALSE,"",IF((('Dvd Calendar'!$I$621=TYPE1)*(TYPE1&lt;&gt;"")+('Dvd Calendar'!$I$621=TYPE2)*(TYPE2&lt;&gt;"")+('Dvd Calendar'!$I$621=TYPE3)*(TYPE3&lt;&gt;"")+('Dvd Calendar'!$I$621=TYPE4)*(TYPE4&lt;&gt;"")+('Dvd Calendar'!$I$621=SPECIAL_LBL)*(INC_SPECIALS="Y"))=0,"",'Dvd Calendar'!$I$619)))</f>
        <v/>
      </c>
      <c r="H67" s="161">
        <f>IF(EJ67="","",IF(ISNUMBER('Dvd Calendar'!$J$619)=FALSE,"",IF((('Dvd Calendar'!$J$621=TYPE1)*(TYPE1&lt;&gt;"")+('Dvd Calendar'!$J$621=TYPE2)*(TYPE2&lt;&gt;"")+('Dvd Calendar'!$J$621=TYPE3)*(TYPE3&lt;&gt;"")+('Dvd Calendar'!$J$621=TYPE4)*(TYPE4&lt;&gt;"")+('Dvd Calendar'!$J$621=SPECIAL_LBL)*(INC_SPECIALS="Y"))=0,"",'Dvd Calendar'!$J$619)))</f>
        <v/>
      </c>
      <c r="I67" s="161">
        <f>IF(EK67="","",IF(ISNUMBER('Dvd Calendar'!$K$619)=FALSE,"",IF((('Dvd Calendar'!$K$621=TYPE1)*(TYPE1&lt;&gt;"")+('Dvd Calendar'!$K$621=TYPE2)*(TYPE2&lt;&gt;"")+('Dvd Calendar'!$K$621=TYPE3)*(TYPE3&lt;&gt;"")+('Dvd Calendar'!$K$621=TYPE4)*(TYPE4&lt;&gt;"")+('Dvd Calendar'!$K$621=SPECIAL_LBL)*(INC_SPECIALS="Y"))=0,"",'Dvd Calendar'!$K$619)))</f>
        <v/>
      </c>
      <c r="J67" s="161">
        <f>IF(EL67="","",IF(ISNUMBER('Dvd Calendar'!$L$619)=FALSE,"",IF((('Dvd Calendar'!$L$621=TYPE1)*(TYPE1&lt;&gt;"")+('Dvd Calendar'!$L$621=TYPE2)*(TYPE2&lt;&gt;"")+('Dvd Calendar'!$L$621=TYPE3)*(TYPE3&lt;&gt;"")+('Dvd Calendar'!$L$621=TYPE4)*(TYPE4&lt;&gt;"")+('Dvd Calendar'!$L$621=SPECIAL_LBL)*(INC_SPECIALS="Y"))=0,"",'Dvd Calendar'!$L$619)))</f>
        <v/>
      </c>
      <c r="K67" s="161">
        <f>IF(EM67="","",IF(ISNUMBER('Dvd Calendar'!$M$619)=FALSE,"",IF((('Dvd Calendar'!$M$621=TYPE1)*(TYPE1&lt;&gt;"")+('Dvd Calendar'!$M$621=TYPE2)*(TYPE2&lt;&gt;"")+('Dvd Calendar'!$M$621=TYPE3)*(TYPE3&lt;&gt;"")+('Dvd Calendar'!$M$621=TYPE4)*(TYPE4&lt;&gt;"")+('Dvd Calendar'!$M$621=SPECIAL_LBL)*(INC_SPECIALS="Y"))=0,"",'Dvd Calendar'!$M$619)))</f>
        <v/>
      </c>
      <c r="L67" s="161">
        <f>IF(EN67="","",IF(ISNUMBER('Dvd Calendar'!$N$619)=FALSE,"",IF((('Dvd Calendar'!$N$621=TYPE1)*(TYPE1&lt;&gt;"")+('Dvd Calendar'!$N$621=TYPE2)*(TYPE2&lt;&gt;"")+('Dvd Calendar'!$N$621=TYPE3)*(TYPE3&lt;&gt;"")+('Dvd Calendar'!$N$621=TYPE4)*(TYPE4&lt;&gt;"")+('Dvd Calendar'!$N$621=SPECIAL_LBL)*(INC_SPECIALS="Y"))=0,"",'Dvd Calendar'!$N$619)))</f>
        <v/>
      </c>
      <c r="M67" s="161">
        <f>IF(EO67="","",IF(ISNUMBER('Dvd Calendar'!$O$619)=FALSE,"",IF((('Dvd Calendar'!$O$621=TYPE1)*(TYPE1&lt;&gt;"")+('Dvd Calendar'!$O$621=TYPE2)*(TYPE2&lt;&gt;"")+('Dvd Calendar'!$O$621=TYPE3)*(TYPE3&lt;&gt;"")+('Dvd Calendar'!$O$621=TYPE4)*(TYPE4&lt;&gt;"")+('Dvd Calendar'!$O$621=SPECIAL_LBL)*(INC_SPECIALS="Y"))=0,"",'Dvd Calendar'!$O$619)))</f>
        <v/>
      </c>
      <c r="N67" s="161">
        <f>IF(EP67="","",IF(ISNUMBER('Dvd Calendar'!$P$619)=FALSE,"",IF((('Dvd Calendar'!$P$621=TYPE1)*(TYPE1&lt;&gt;"")+('Dvd Calendar'!$P$621=TYPE2)*(TYPE2&lt;&gt;"")+('Dvd Calendar'!$P$621=TYPE3)*(TYPE3&lt;&gt;"")+('Dvd Calendar'!$P$621=TYPE4)*(TYPE4&lt;&gt;"")+('Dvd Calendar'!$P$621=SPECIAL_LBL)*(INC_SPECIALS="Y"))=0,"",'Dvd Calendar'!$P$619)))</f>
        <v/>
      </c>
      <c r="O67" s="161">
        <f>IF(EQ67="","",IF(ISNUMBER('Dvd Calendar'!$Q$619)=FALSE,"",IF((('Dvd Calendar'!$Q$621=TYPE1)*(TYPE1&lt;&gt;"")+('Dvd Calendar'!$Q$621=TYPE2)*(TYPE2&lt;&gt;"")+('Dvd Calendar'!$Q$621=TYPE3)*(TYPE3&lt;&gt;"")+('Dvd Calendar'!$Q$621=TYPE4)*(TYPE4&lt;&gt;"")+('Dvd Calendar'!$Q$621=SPECIAL_LBL)*(INC_SPECIALS="Y"))=0,"",'Dvd Calendar'!$Q$619)))</f>
        <v/>
      </c>
      <c r="P67" s="161">
        <f>IF(ER67="","",IF(ISNUMBER('Dvd Calendar'!$R$619)=FALSE,"",IF((('Dvd Calendar'!$R$621=TYPE1)*(TYPE1&lt;&gt;"")+('Dvd Calendar'!$R$621=TYPE2)*(TYPE2&lt;&gt;"")+('Dvd Calendar'!$R$621=TYPE3)*(TYPE3&lt;&gt;"")+('Dvd Calendar'!$R$621=TYPE4)*(TYPE4&lt;&gt;"")+('Dvd Calendar'!$R$621=SPECIAL_LBL)*(INC_SPECIALS="Y"))=0,"",'Dvd Calendar'!$R$619)))</f>
        <v/>
      </c>
      <c r="Q67" s="161">
        <f>IF(ES67="","",IF(ISNUMBER('Dvd Calendar'!$S$619)=FALSE,"",IF((('Dvd Calendar'!$S$621=TYPE1)*(TYPE1&lt;&gt;"")+('Dvd Calendar'!$S$621=TYPE2)*(TYPE2&lt;&gt;"")+('Dvd Calendar'!$S$621=TYPE3)*(TYPE3&lt;&gt;"")+('Dvd Calendar'!$S$621=TYPE4)*(TYPE4&lt;&gt;"")+('Dvd Calendar'!$S$621=SPECIAL_LBL)*(INC_SPECIALS="Y"))=0,"",'Dvd Calendar'!$S$619)))</f>
        <v/>
      </c>
      <c r="R67" s="161">
        <f>IF(ET67="","",IF(ISNUMBER('Dvd Calendar'!$T$619)=FALSE,"",IF((('Dvd Calendar'!$T$621=TYPE1)*(TYPE1&lt;&gt;"")+('Dvd Calendar'!$T$621=TYPE2)*(TYPE2&lt;&gt;"")+('Dvd Calendar'!$T$621=TYPE3)*(TYPE3&lt;&gt;"")+('Dvd Calendar'!$T$621=TYPE4)*(TYPE4&lt;&gt;"")+('Dvd Calendar'!$T$621=SPECIAL_LBL)*(INC_SPECIALS="Y"))=0,"",'Dvd Calendar'!$T$619)))</f>
        <v/>
      </c>
      <c r="S67" s="161">
        <f>IF(EU67="","",IF(ISNUMBER('Dvd Calendar'!$U$619)=FALSE,"",IF((('Dvd Calendar'!$U$621=TYPE1)*(TYPE1&lt;&gt;"")+('Dvd Calendar'!$U$621=TYPE2)*(TYPE2&lt;&gt;"")+('Dvd Calendar'!$U$621=TYPE3)*(TYPE3&lt;&gt;"")+('Dvd Calendar'!$U$621=TYPE4)*(TYPE4&lt;&gt;"")+('Dvd Calendar'!$U$621=SPECIAL_LBL)*(INC_SPECIALS="Y"))=0,"",'Dvd Calendar'!$U$619)))</f>
        <v/>
      </c>
      <c r="T67" s="161">
        <f>IF(EV67="","",IF(ISNUMBER('Dvd Calendar'!$V$619)=FALSE,"",IF((('Dvd Calendar'!$V$621=TYPE1)*(TYPE1&lt;&gt;"")+('Dvd Calendar'!$V$621=TYPE2)*(TYPE2&lt;&gt;"")+('Dvd Calendar'!$V$621=TYPE3)*(TYPE3&lt;&gt;"")+('Dvd Calendar'!$V$621=TYPE4)*(TYPE4&lt;&gt;"")+('Dvd Calendar'!$V$621=SPECIAL_LBL)*(INC_SPECIALS="Y"))=0,"",'Dvd Calendar'!$V$619)))</f>
        <v/>
      </c>
      <c r="U67" s="161">
        <f>IF(EW67="","",IF(ISNUMBER('Dvd Calendar'!$W$619)=FALSE,"",IF((('Dvd Calendar'!$W$621=TYPE1)*(TYPE1&lt;&gt;"")+('Dvd Calendar'!$W$621=TYPE2)*(TYPE2&lt;&gt;"")+('Dvd Calendar'!$W$621=TYPE3)*(TYPE3&lt;&gt;"")+('Dvd Calendar'!$W$621=TYPE4)*(TYPE4&lt;&gt;"")+('Dvd Calendar'!$W$621=SPECIAL_LBL)*(INC_SPECIALS="Y"))=0,"",'Dvd Calendar'!$W$619)))</f>
        <v/>
      </c>
      <c r="V67" s="161">
        <f>IF(EX67="","",IF(ISNUMBER('Dvd Calendar'!$X$619)=FALSE,"",IF((('Dvd Calendar'!$X$621=TYPE1)*(TYPE1&lt;&gt;"")+('Dvd Calendar'!$X$621=TYPE2)*(TYPE2&lt;&gt;"")+('Dvd Calendar'!$X$621=TYPE3)*(TYPE3&lt;&gt;"")+('Dvd Calendar'!$X$621=TYPE4)*(TYPE4&lt;&gt;"")+('Dvd Calendar'!$X$621=SPECIAL_LBL)*(INC_SPECIALS="Y"))=0,"",'Dvd Calendar'!$X$619)))</f>
        <v/>
      </c>
      <c r="W67" s="161">
        <f>IF(EY67="","",IF(ISNUMBER('Dvd Calendar'!$Y$619)=FALSE,"",IF((('Dvd Calendar'!$Y$621=TYPE1)*(TYPE1&lt;&gt;"")+('Dvd Calendar'!$Y$621=TYPE2)*(TYPE2&lt;&gt;"")+('Dvd Calendar'!$Y$621=TYPE3)*(TYPE3&lt;&gt;"")+('Dvd Calendar'!$Y$621=TYPE4)*(TYPE4&lt;&gt;"")+('Dvd Calendar'!$Y$621=SPECIAL_LBL)*(INC_SPECIALS="Y"))=0,"",'Dvd Calendar'!$Y$619)))</f>
        <v/>
      </c>
      <c r="X67" s="161">
        <f>IF(EZ67="","",IF(ISNUMBER('Dvd Calendar'!$Z$619)=FALSE,"",IF((('Dvd Calendar'!$Z$621=TYPE1)*(TYPE1&lt;&gt;"")+('Dvd Calendar'!$Z$621=TYPE2)*(TYPE2&lt;&gt;"")+('Dvd Calendar'!$Z$621=TYPE3)*(TYPE3&lt;&gt;"")+('Dvd Calendar'!$Z$621=TYPE4)*(TYPE4&lt;&gt;"")+('Dvd Calendar'!$Z$621=SPECIAL_LBL)*(INC_SPECIALS="Y"))=0,"",'Dvd Calendar'!$Z$619)))</f>
        <v/>
      </c>
      <c r="Y67" s="161">
        <f>IF(FA67="","",IF(ISNUMBER('Dvd Calendar'!$AA$619)=FALSE,"",IF((('Dvd Calendar'!$AA$621=TYPE1)*(TYPE1&lt;&gt;"")+('Dvd Calendar'!$AA$621=TYPE2)*(TYPE2&lt;&gt;"")+('Dvd Calendar'!$AA$621=TYPE3)*(TYPE3&lt;&gt;"")+('Dvd Calendar'!$AA$621=TYPE4)*(TYPE4&lt;&gt;"")+('Dvd Calendar'!$AA$621=SPECIAL_LBL)*(INC_SPECIALS="Y"))=0,"",'Dvd Calendar'!$AA$619)))</f>
        <v/>
      </c>
      <c r="Z67" s="161">
        <f>IF(FB67="","",IF(ISNUMBER('Dvd Calendar'!$AB$619)=FALSE,"",IF((('Dvd Calendar'!$AB$621=TYPE1)*(TYPE1&lt;&gt;"")+('Dvd Calendar'!$AB$621=TYPE2)*(TYPE2&lt;&gt;"")+('Dvd Calendar'!$AB$621=TYPE3)*(TYPE3&lt;&gt;"")+('Dvd Calendar'!$AB$621=TYPE4)*(TYPE4&lt;&gt;"")+('Dvd Calendar'!$AB$621=SPECIAL_LBL)*(INC_SPECIALS="Y"))=0,"",'Dvd Calendar'!$AB$619)))</f>
        <v/>
      </c>
      <c r="AA67" s="161">
        <f>IF(FC67="","",IF(ISNUMBER('Dvd Calendar'!$AC$619)=FALSE,"",IF((('Dvd Calendar'!$AC$621=TYPE1)*(TYPE1&lt;&gt;"")+('Dvd Calendar'!$AC$621=TYPE2)*(TYPE2&lt;&gt;"")+('Dvd Calendar'!$AC$621=TYPE3)*(TYPE3&lt;&gt;"")+('Dvd Calendar'!$AC$621=TYPE4)*(TYPE4&lt;&gt;"")+('Dvd Calendar'!$AC$621=SPECIAL_LBL)*(INC_SPECIALS="Y"))=0,"",'Dvd Calendar'!$AC$619)))</f>
        <v/>
      </c>
      <c r="AB67" s="161">
        <f>IF(FD67="","",IF(ISNUMBER('Dvd Calendar'!$AD$619)=FALSE,"",IF((('Dvd Calendar'!$AD$621=TYPE1)*(TYPE1&lt;&gt;"")+('Dvd Calendar'!$AD$621=TYPE2)*(TYPE2&lt;&gt;"")+('Dvd Calendar'!$AD$621=TYPE3)*(TYPE3&lt;&gt;"")+('Dvd Calendar'!$AD$621=TYPE4)*(TYPE4&lt;&gt;"")+('Dvd Calendar'!$AD$621=SPECIAL_LBL)*(INC_SPECIALS="Y"))=0,"",'Dvd Calendar'!$AD$619)))</f>
        <v/>
      </c>
      <c r="AC67" s="161">
        <f>IF(FE67="","",IF(ISNUMBER('Dvd Calendar'!$AE$619)=FALSE,"",IF((('Dvd Calendar'!$AE$621=TYPE1)*(TYPE1&lt;&gt;"")+('Dvd Calendar'!$AE$621=TYPE2)*(TYPE2&lt;&gt;"")+('Dvd Calendar'!$AE$621=TYPE3)*(TYPE3&lt;&gt;"")+('Dvd Calendar'!$AE$621=TYPE4)*(TYPE4&lt;&gt;"")+('Dvd Calendar'!$AE$621=SPECIAL_LBL)*(INC_SPECIALS="Y"))=0,"",'Dvd Calendar'!$AE$619)))</f>
        <v/>
      </c>
      <c r="AD67" s="161">
        <f>IF(FF67="","",IF(ISNUMBER('Dvd Calendar'!$AF$619)=FALSE,"",IF((('Dvd Calendar'!$AF$621=TYPE1)*(TYPE1&lt;&gt;"")+('Dvd Calendar'!$AF$621=TYPE2)*(TYPE2&lt;&gt;"")+('Dvd Calendar'!$AF$621=TYPE3)*(TYPE3&lt;&gt;"")+('Dvd Calendar'!$AF$621=TYPE4)*(TYPE4&lt;&gt;"")+('Dvd Calendar'!$AF$621=SPECIAL_LBL)*(INC_SPECIALS="Y"))=0,"",'Dvd Calendar'!$AF$619)))</f>
        <v/>
      </c>
      <c r="AE67" s="161">
        <f>IF(FG67="","",IF(ISNUMBER('Dvd Calendar'!$AG$619)=FALSE,"",IF((('Dvd Calendar'!$AG$621=TYPE1)*(TYPE1&lt;&gt;"")+('Dvd Calendar'!$AG$621=TYPE2)*(TYPE2&lt;&gt;"")+('Dvd Calendar'!$AG$621=TYPE3)*(TYPE3&lt;&gt;"")+('Dvd Calendar'!$AG$621=TYPE4)*(TYPE4&lt;&gt;"")+('Dvd Calendar'!$AG$621=SPECIAL_LBL)*(INC_SPECIALS="Y"))=0,"",'Dvd Calendar'!$AG$619)))</f>
        <v/>
      </c>
      <c r="AF67" s="161">
        <f>IF(FH67="","",IF(ISNUMBER('Dvd Calendar'!$AH$619)=FALSE,"",IF((('Dvd Calendar'!$AH$621=TYPE1)*(TYPE1&lt;&gt;"")+('Dvd Calendar'!$AH$621=TYPE2)*(TYPE2&lt;&gt;"")+('Dvd Calendar'!$AH$621=TYPE3)*(TYPE3&lt;&gt;"")+('Dvd Calendar'!$AH$621=TYPE4)*(TYPE4&lt;&gt;"")+('Dvd Calendar'!$AH$621=SPECIAL_LBL)*(INC_SPECIALS="Y"))=0,"",'Dvd Calendar'!$AH$619)))</f>
        <v/>
      </c>
      <c r="AG67" s="161">
        <f>IF(FI67="","",IF(ISNUMBER('Dvd Calendar'!$AI$619)=FALSE,"",IF((('Dvd Calendar'!$AI$621=TYPE1)*(TYPE1&lt;&gt;"")+('Dvd Calendar'!$AI$621=TYPE2)*(TYPE2&lt;&gt;"")+('Dvd Calendar'!$AI$621=TYPE3)*(TYPE3&lt;&gt;"")+('Dvd Calendar'!$AI$621=TYPE4)*(TYPE4&lt;&gt;"")+('Dvd Calendar'!$AI$621=SPECIAL_LBL)*(INC_SPECIALS="Y"))=0,"",'Dvd Calendar'!$AI$619)))</f>
        <v/>
      </c>
      <c r="AH67" s="161">
        <f>IF(FJ67="","",IF(ISNUMBER('Dvd Calendar'!$AJ$619)=FALSE,"",IF((('Dvd Calendar'!$AJ$621=TYPE1)*(TYPE1&lt;&gt;"")+('Dvd Calendar'!$AJ$621=TYPE2)*(TYPE2&lt;&gt;"")+('Dvd Calendar'!$AJ$621=TYPE3)*(TYPE3&lt;&gt;"")+('Dvd Calendar'!$AJ$621=TYPE4)*(TYPE4&lt;&gt;"")+('Dvd Calendar'!$AJ$621=SPECIAL_LBL)*(INC_SPECIALS="Y"))=0,"",'Dvd Calendar'!$AJ$619)))</f>
        <v/>
      </c>
      <c r="AI67" s="161">
        <f>IF(FK67="","",IF(ISNUMBER('Dvd Calendar'!$AK$619)=FALSE,"",IF((('Dvd Calendar'!$AK$621=TYPE1)*(TYPE1&lt;&gt;"")+('Dvd Calendar'!$AK$621=TYPE2)*(TYPE2&lt;&gt;"")+('Dvd Calendar'!$AK$621=TYPE3)*(TYPE3&lt;&gt;"")+('Dvd Calendar'!$AK$621=TYPE4)*(TYPE4&lt;&gt;"")+('Dvd Calendar'!$AK$621=SPECIAL_LBL)*(INC_SPECIALS="Y"))=0,"",'Dvd Calendar'!$AK$619)))</f>
        <v/>
      </c>
      <c r="AJ67" s="161">
        <f>IF(FL67="","",IF(ISNUMBER('Dvd Calendar'!$AL$619)=FALSE,"",IF((('Dvd Calendar'!$AL$621=TYPE1)*(TYPE1&lt;&gt;"")+('Dvd Calendar'!$AL$621=TYPE2)*(TYPE2&lt;&gt;"")+('Dvd Calendar'!$AL$621=TYPE3)*(TYPE3&lt;&gt;"")+('Dvd Calendar'!$AL$621=TYPE4)*(TYPE4&lt;&gt;"")+('Dvd Calendar'!$AL$621=SPECIAL_LBL)*(INC_SPECIALS="Y"))=0,"",'Dvd Calendar'!$AL$619)))</f>
        <v/>
      </c>
      <c r="AK67" s="161">
        <f>IF(FM67="","",IF(ISNUMBER('Dvd Calendar'!$AM$619)=FALSE,"",IF((('Dvd Calendar'!$AM$621=TYPE1)*(TYPE1&lt;&gt;"")+('Dvd Calendar'!$AM$621=TYPE2)*(TYPE2&lt;&gt;"")+('Dvd Calendar'!$AM$621=TYPE3)*(TYPE3&lt;&gt;"")+('Dvd Calendar'!$AM$621=TYPE4)*(TYPE4&lt;&gt;"")+('Dvd Calendar'!$AM$621=SPECIAL_LBL)*(INC_SPECIALS="Y"))=0,"",'Dvd Calendar'!$AM$619)))</f>
        <v/>
      </c>
      <c r="AL67" s="161">
        <f>IF(FN67="","",IF(ISNUMBER('Dvd Calendar'!$AN$619)=FALSE,"",IF((('Dvd Calendar'!$AN$621=TYPE1)*(TYPE1&lt;&gt;"")+('Dvd Calendar'!$AN$621=TYPE2)*(TYPE2&lt;&gt;"")+('Dvd Calendar'!$AN$621=TYPE3)*(TYPE3&lt;&gt;"")+('Dvd Calendar'!$AN$621=TYPE4)*(TYPE4&lt;&gt;"")+('Dvd Calendar'!$AN$621=SPECIAL_LBL)*(INC_SPECIALS="Y"))=0,"",'Dvd Calendar'!$AN$619)))</f>
        <v/>
      </c>
      <c r="AM67" s="161">
        <f>IF(FO67="","",IF(ISNUMBER('Dvd Calendar'!$AO$619)=FALSE,"",IF((('Dvd Calendar'!$AO$621=TYPE1)*(TYPE1&lt;&gt;"")+('Dvd Calendar'!$AO$621=TYPE2)*(TYPE2&lt;&gt;"")+('Dvd Calendar'!$AO$621=TYPE3)*(TYPE3&lt;&gt;"")+('Dvd Calendar'!$AO$621=TYPE4)*(TYPE4&lt;&gt;"")+('Dvd Calendar'!$AO$621=SPECIAL_LBL)*(INC_SPECIALS="Y"))=0,"",'Dvd Calendar'!$AO$619)))</f>
        <v/>
      </c>
      <c r="AN67" s="161">
        <f>IF(FP67="","",IF(ISNUMBER('Dvd Calendar'!$AP$619)=FALSE,"",IF((('Dvd Calendar'!$AP$621=TYPE1)*(TYPE1&lt;&gt;"")+('Dvd Calendar'!$AP$621=TYPE2)*(TYPE2&lt;&gt;"")+('Dvd Calendar'!$AP$621=TYPE3)*(TYPE3&lt;&gt;"")+('Dvd Calendar'!$AP$621=TYPE4)*(TYPE4&lt;&gt;"")+('Dvd Calendar'!$AP$621=SPECIAL_LBL)*(INC_SPECIALS="Y"))=0,"",'Dvd Calendar'!$AP$619)))</f>
        <v/>
      </c>
      <c r="AO67" s="161">
        <f>IF(FQ67="","",IF(ISNUMBER('Dvd Calendar'!$AQ$619)=FALSE,"",IF((('Dvd Calendar'!$AQ$621=TYPE1)*(TYPE1&lt;&gt;"")+('Dvd Calendar'!$AQ$621=TYPE2)*(TYPE2&lt;&gt;"")+('Dvd Calendar'!$AQ$621=TYPE3)*(TYPE3&lt;&gt;"")+('Dvd Calendar'!$AQ$621=TYPE4)*(TYPE4&lt;&gt;"")+('Dvd Calendar'!$AQ$621=SPECIAL_LBL)*(INC_SPECIALS="Y"))=0,"",'Dvd Calendar'!$AQ$619)))</f>
        <v/>
      </c>
      <c r="AP67" s="161">
        <f>IF(FR67="","",IF(ISNUMBER('Dvd Calendar'!$AR$619)=FALSE,"",IF((('Dvd Calendar'!$AR$621=TYPE1)*(TYPE1&lt;&gt;"")+('Dvd Calendar'!$AR$621=TYPE2)*(TYPE2&lt;&gt;"")+('Dvd Calendar'!$AR$621=TYPE3)*(TYPE3&lt;&gt;"")+('Dvd Calendar'!$AR$621=TYPE4)*(TYPE4&lt;&gt;"")+('Dvd Calendar'!$AR$621=SPECIAL_LBL)*(INC_SPECIALS="Y"))=0,"",'Dvd Calendar'!$AR$619)))</f>
        <v/>
      </c>
      <c r="AQ67" s="161">
        <f>IF(FS67="","",IF(ISNUMBER('Dvd Calendar'!$E$624)=FALSE,"",'Dvd Calendar'!$E$624))</f>
        <v/>
      </c>
      <c r="AR67" s="161">
        <f>IF(FT67="","",IF(ISNUMBER('Dvd Calendar'!$F$624)=FALSE,"",'Dvd Calendar'!$F$624))</f>
        <v/>
      </c>
      <c r="AS67" s="161">
        <f>IF(FU67="","",IF(ISNUMBER('Dvd Calendar'!$G$624)=FALSE,"",'Dvd Calendar'!$G$624))</f>
        <v/>
      </c>
      <c r="AT67" s="161">
        <f>IF(FV67="","",IF(ISNUMBER('Dvd Calendar'!$H$624)=FALSE,"",'Dvd Calendar'!$H$624))</f>
        <v/>
      </c>
      <c r="AU67" s="161">
        <f>IF(FW67="","",IF(ISNUMBER('Dvd Calendar'!$I$624)=FALSE,"",'Dvd Calendar'!$I$624))</f>
        <v/>
      </c>
      <c r="AV67" s="161">
        <f>IF(FX67="","",IF(ISNUMBER('Dvd Calendar'!$J$624)=FALSE,"",'Dvd Calendar'!$J$624))</f>
        <v/>
      </c>
      <c r="AW67" s="161">
        <f>IF(FY67="","",IF(ISNUMBER('Dvd Calendar'!$K$624)=FALSE,"",'Dvd Calendar'!$K$624))</f>
        <v/>
      </c>
      <c r="AX67" s="161">
        <f>IF(FZ67="","",IF(ISNUMBER('Dvd Calendar'!$L$624)=FALSE,"",'Dvd Calendar'!$L$624))</f>
        <v/>
      </c>
      <c r="AY67" s="161">
        <f>IF(GA67="","",IF(ISNUMBER('Dvd Calendar'!$M$624)=FALSE,"",'Dvd Calendar'!$M$624))</f>
        <v/>
      </c>
      <c r="AZ67" s="161">
        <f>IF(GB67="","",IF(ISNUMBER('Dvd Calendar'!$N$624)=FALSE,"",'Dvd Calendar'!$N$624))</f>
        <v/>
      </c>
      <c r="BA67" s="161">
        <f>IF(GC67="","",IF(ISNUMBER('Dvd Calendar'!$O$624)=FALSE,"",'Dvd Calendar'!$O$624))</f>
        <v/>
      </c>
      <c r="BB67" s="161">
        <f>IF(GD67="","",IF(ISNUMBER('Dvd Calendar'!$P$624)=FALSE,"",'Dvd Calendar'!$P$624))</f>
        <v/>
      </c>
      <c r="BC67" s="161">
        <f>IF(GE67="","",IF(ISNUMBER('Dvd Calendar'!$Q$624)=FALSE,"",'Dvd Calendar'!$Q$624))</f>
        <v/>
      </c>
      <c r="BD67" s="161">
        <f>IF(GF67="","",IF(ISNUMBER('Dvd Calendar'!$R$624)=FALSE,"",'Dvd Calendar'!$R$624))</f>
        <v/>
      </c>
      <c r="BE67" s="161">
        <f>IF(GG67="","",IF(ISNUMBER('Dvd Calendar'!$S$624)=FALSE,"",'Dvd Calendar'!$S$624))</f>
        <v/>
      </c>
      <c r="BF67" s="161">
        <f>IF(GH67="","",IF(ISNUMBER('Dvd Calendar'!$T$624)=FALSE,"",'Dvd Calendar'!$T$624))</f>
        <v/>
      </c>
      <c r="BG67" s="161">
        <f>IF(GI67="","",IF(ISNUMBER('Dvd Calendar'!$U$624)=FALSE,"",'Dvd Calendar'!$U$624))</f>
        <v/>
      </c>
      <c r="BH67" s="161">
        <f>IF(GJ67="","",IF(ISNUMBER('Dvd Calendar'!$V$624)=FALSE,"",'Dvd Calendar'!$V$624))</f>
        <v/>
      </c>
      <c r="BI67" s="161">
        <f>IF(GK67="","",IF(ISNUMBER('Dvd Calendar'!$W$624)=FALSE,"",'Dvd Calendar'!$W$624))</f>
        <v/>
      </c>
      <c r="BJ67" s="161">
        <f>IF(GL67="","",IF(ISNUMBER('Dvd Calendar'!$X$624)=FALSE,"",'Dvd Calendar'!$X$624))</f>
        <v/>
      </c>
      <c r="BK67" s="161">
        <f>IF(GM67="","",IF(ISNUMBER('Dvd Calendar'!$Y$624)=FALSE,"",'Dvd Calendar'!$Y$624))</f>
        <v/>
      </c>
      <c r="BL67" s="161">
        <f>IF(GN67="","",IF(ISNUMBER('Dvd Calendar'!$Z$624)=FALSE,"",'Dvd Calendar'!$Z$624))</f>
        <v/>
      </c>
      <c r="BM67" s="161">
        <f>IF(GO67="","",IF(ISNUMBER('Dvd Calendar'!$AA$624)=FALSE,"",'Dvd Calendar'!$AA$624))</f>
        <v/>
      </c>
      <c r="BN67" s="161">
        <f>IF(GP67="","",IF(ISNUMBER('Dvd Calendar'!$AB$624)=FALSE,"",'Dvd Calendar'!$AB$624))</f>
        <v/>
      </c>
      <c r="BO67" s="161">
        <f>IF(GQ67="","",IF(ISNUMBER('Dvd Calendar'!$AC$624)=FALSE,"",'Dvd Calendar'!$AC$624))</f>
        <v/>
      </c>
      <c r="BQ67" s="161">
        <f>IF(C67="","",IFERROR(C67*HSI!$B$62*HSI!$G$62/HSI!$B$3,""))</f>
        <v/>
      </c>
      <c r="BR67" s="161">
        <f>IF(D67="","",IFERROR(D67*HSI!$B$62*HSI!$G$62/HSI!$B$3,""))</f>
        <v/>
      </c>
      <c r="BS67" s="161">
        <f>IF(E67="","",IFERROR(E67*HSI!$B$62*HSI!$G$62/HSI!$B$3,""))</f>
        <v/>
      </c>
      <c r="BT67" s="161">
        <f>IF(F67="","",IFERROR(F67*HSI!$B$62*HSI!$G$62/HSI!$B$3,""))</f>
        <v/>
      </c>
      <c r="BU67" s="161">
        <f>IF(G67="","",IFERROR(G67*HSI!$B$62*HSI!$G$62/HSI!$B$3,""))</f>
        <v/>
      </c>
      <c r="BV67" s="161">
        <f>IF(H67="","",IFERROR(H67*HSI!$B$62*HSI!$G$62/HSI!$B$3,""))</f>
        <v/>
      </c>
      <c r="BW67" s="161">
        <f>IF(I67="","",IFERROR(I67*HSI!$B$62*HSI!$G$62/HSI!$B$3,""))</f>
        <v/>
      </c>
      <c r="BX67" s="161">
        <f>IF(J67="","",IFERROR(J67*HSI!$B$62*HSI!$G$62/HSI!$B$3,""))</f>
        <v/>
      </c>
      <c r="BY67" s="161">
        <f>IF(K67="","",IFERROR(K67*HSI!$B$62*HSI!$G$62/HSI!$B$3,""))</f>
        <v/>
      </c>
      <c r="BZ67" s="161">
        <f>IF(L67="","",IFERROR(L67*HSI!$B$62*HSI!$G$62/HSI!$B$3,""))</f>
        <v/>
      </c>
      <c r="CA67" s="161">
        <f>IF(M67="","",IFERROR(M67*HSI!$B$62*HSI!$G$62/HSI!$B$3,""))</f>
        <v/>
      </c>
      <c r="CB67" s="161">
        <f>IF(N67="","",IFERROR(N67*HSI!$B$62*HSI!$G$62/HSI!$B$3,""))</f>
        <v/>
      </c>
      <c r="CC67" s="161">
        <f>IF(O67="","",IFERROR(O67*HSI!$B$62*HSI!$G$62/HSI!$B$3,""))</f>
        <v/>
      </c>
      <c r="CD67" s="161">
        <f>IF(P67="","",IFERROR(P67*HSI!$B$62*HSI!$G$62/HSI!$B$3,""))</f>
        <v/>
      </c>
      <c r="CE67" s="161">
        <f>IF(Q67="","",IFERROR(Q67*HSI!$B$62*HSI!$G$62/HSI!$B$3,""))</f>
        <v/>
      </c>
      <c r="CF67" s="161">
        <f>IF(R67="","",IFERROR(R67*HSI!$B$62*HSI!$G$62/HSI!$B$3,""))</f>
        <v/>
      </c>
      <c r="CG67" s="161">
        <f>IF(S67="","",IFERROR(S67*HSI!$B$62*HSI!$G$62/HSI!$B$3,""))</f>
        <v/>
      </c>
      <c r="CH67" s="161">
        <f>IF(T67="","",IFERROR(T67*HSI!$B$62*HSI!$G$62/HSI!$B$3,""))</f>
        <v/>
      </c>
      <c r="CI67" s="161">
        <f>IF(U67="","",IFERROR(U67*HSI!$B$62*HSI!$G$62/HSI!$B$3,""))</f>
        <v/>
      </c>
      <c r="CJ67" s="161">
        <f>IF(V67="","",IFERROR(V67*HSI!$B$62*HSI!$G$62/HSI!$B$3,""))</f>
        <v/>
      </c>
      <c r="CK67" s="161">
        <f>IF(W67="","",IFERROR(W67*HSI!$B$62*HSI!$G$62/HSI!$B$3,""))</f>
        <v/>
      </c>
      <c r="CL67" s="161">
        <f>IF(X67="","",IFERROR(X67*HSI!$B$62*HSI!$G$62/HSI!$B$3,""))</f>
        <v/>
      </c>
      <c r="CM67" s="161">
        <f>IF(Y67="","",IFERROR(Y67*HSI!$B$62*HSI!$G$62/HSI!$B$3,""))</f>
        <v/>
      </c>
      <c r="CN67" s="161">
        <f>IF(Z67="","",IFERROR(Z67*HSI!$B$62*HSI!$G$62/HSI!$B$3,""))</f>
        <v/>
      </c>
      <c r="CO67" s="161">
        <f>IF(AA67="","",IFERROR(AA67*HSI!$B$62*HSI!$G$62/HSI!$B$3,""))</f>
        <v/>
      </c>
      <c r="CP67" s="161">
        <f>IF(AB67="","",IFERROR(AB67*HSI!$B$62*HSI!$G$62/HSI!$B$3,""))</f>
        <v/>
      </c>
      <c r="CQ67" s="161">
        <f>IF(AC67="","",IFERROR(AC67*HSI!$B$62*HSI!$G$62/HSI!$B$3,""))</f>
        <v/>
      </c>
      <c r="CR67" s="161">
        <f>IF(AD67="","",IFERROR(AD67*HSI!$B$62*HSI!$G$62/HSI!$B$3,""))</f>
        <v/>
      </c>
      <c r="CS67" s="161">
        <f>IF(AE67="","",IFERROR(AE67*HSI!$B$62*HSI!$G$62/HSI!$B$3,""))</f>
        <v/>
      </c>
      <c r="CT67" s="161">
        <f>IF(AF67="","",IFERROR(AF67*HSI!$B$62*HSI!$G$62/HSI!$B$3,""))</f>
        <v/>
      </c>
      <c r="CU67" s="161">
        <f>IF(AG67="","",IFERROR(AG67*HSI!$B$62*HSI!$G$62/HSI!$B$3,""))</f>
        <v/>
      </c>
      <c r="CV67" s="161">
        <f>IF(AH67="","",IFERROR(AH67*HSI!$B$62*HSI!$G$62/HSI!$B$3,""))</f>
        <v/>
      </c>
      <c r="CW67" s="161">
        <f>IF(AI67="","",IFERROR(AI67*HSI!$B$62*HSI!$G$62/HSI!$B$3,""))</f>
        <v/>
      </c>
      <c r="CX67" s="161">
        <f>IF(AJ67="","",IFERROR(AJ67*HSI!$B$62*HSI!$G$62/HSI!$B$3,""))</f>
        <v/>
      </c>
      <c r="CY67" s="161">
        <f>IF(AK67="","",IFERROR(AK67*HSI!$B$62*HSI!$G$62/HSI!$B$3,""))</f>
        <v/>
      </c>
      <c r="CZ67" s="161">
        <f>IF(AL67="","",IFERROR(AL67*HSI!$B$62*HSI!$G$62/HSI!$B$3,""))</f>
        <v/>
      </c>
      <c r="DA67" s="161">
        <f>IF(AM67="","",IFERROR(AM67*HSI!$B$62*HSI!$G$62/HSI!$B$3,""))</f>
        <v/>
      </c>
      <c r="DB67" s="161">
        <f>IF(AN67="","",IFERROR(AN67*HSI!$B$62*HSI!$G$62/HSI!$B$3,""))</f>
        <v/>
      </c>
      <c r="DC67" s="161">
        <f>IF(AO67="","",IFERROR(AO67*HSI!$B$62*HSI!$G$62/HSI!$B$3,""))</f>
        <v/>
      </c>
      <c r="DD67" s="161">
        <f>IF(AP67="","",IFERROR(AP67*HSI!$B$62*HSI!$G$62/HSI!$B$3,""))</f>
        <v/>
      </c>
      <c r="DE67" s="161">
        <f>IF(AQ67="","",IFERROR(AQ67*HSI!$B$62*HSI!$G$62/HSI!$B$3,""))</f>
        <v/>
      </c>
      <c r="DF67" s="161">
        <f>IF(AR67="","",IFERROR(AR67*HSI!$B$62*HSI!$G$62/HSI!$B$3,""))</f>
        <v/>
      </c>
      <c r="DG67" s="161">
        <f>IF(AS67="","",IFERROR(AS67*HSI!$B$62*HSI!$G$62/HSI!$B$3,""))</f>
        <v/>
      </c>
      <c r="DH67" s="161">
        <f>IF(AT67="","",IFERROR(AT67*HSI!$B$62*HSI!$G$62/HSI!$B$3,""))</f>
        <v/>
      </c>
      <c r="DI67" s="161">
        <f>IF(AU67="","",IFERROR(AU67*HSI!$B$62*HSI!$G$62/HSI!$B$3,""))</f>
        <v/>
      </c>
      <c r="DJ67" s="161">
        <f>IF(AV67="","",IFERROR(AV67*HSI!$B$62*HSI!$G$62/HSI!$B$3,""))</f>
        <v/>
      </c>
      <c r="DK67" s="161">
        <f>IF(AW67="","",IFERROR(AW67*HSI!$B$62*HSI!$G$62/HSI!$B$3,""))</f>
        <v/>
      </c>
      <c r="DL67" s="161">
        <f>IF(AX67="","",IFERROR(AX67*HSI!$B$62*HSI!$G$62/HSI!$B$3,""))</f>
        <v/>
      </c>
      <c r="DM67" s="161">
        <f>IF(AY67="","",IFERROR(AY67*HSI!$B$62*HSI!$G$62/HSI!$B$3,""))</f>
        <v/>
      </c>
      <c r="DN67" s="161">
        <f>IF(AZ67="","",IFERROR(AZ67*HSI!$B$62*HSI!$G$62/HSI!$B$3,""))</f>
        <v/>
      </c>
      <c r="DO67" s="161">
        <f>IF(BA67="","",IFERROR(BA67*HSI!$B$62*HSI!$G$62/HSI!$B$3,""))</f>
        <v/>
      </c>
      <c r="DP67" s="161">
        <f>IF(BB67="","",IFERROR(BB67*HSI!$B$62*HSI!$G$62/HSI!$B$3,""))</f>
        <v/>
      </c>
      <c r="DQ67" s="161">
        <f>IF(BC67="","",IFERROR(BC67*HSI!$B$62*HSI!$G$62/HSI!$B$3,""))</f>
        <v/>
      </c>
      <c r="DR67" s="161">
        <f>IF(BD67="","",IFERROR(BD67*HSI!$B$62*HSI!$G$62/HSI!$B$3,""))</f>
        <v/>
      </c>
      <c r="DS67" s="161">
        <f>IF(BE67="","",IFERROR(BE67*HSI!$B$62*HSI!$G$62/HSI!$B$3,""))</f>
        <v/>
      </c>
      <c r="DT67" s="161">
        <f>IF(BF67="","",IFERROR(BF67*HSI!$B$62*HSI!$G$62/HSI!$B$3,""))</f>
        <v/>
      </c>
      <c r="DU67" s="161">
        <f>IF(BG67="","",IFERROR(BG67*HSI!$B$62*HSI!$G$62/HSI!$B$3,""))</f>
        <v/>
      </c>
      <c r="DV67" s="161">
        <f>IF(BH67="","",IFERROR(BH67*HSI!$B$62*HSI!$G$62/HSI!$B$3,""))</f>
        <v/>
      </c>
      <c r="DW67" s="161">
        <f>IF(BI67="","",IFERROR(BI67*HSI!$B$62*HSI!$G$62/HSI!$B$3,""))</f>
        <v/>
      </c>
      <c r="DX67" s="161">
        <f>IF(BJ67="","",IFERROR(BJ67*HSI!$B$62*HSI!$G$62/HSI!$B$3,""))</f>
        <v/>
      </c>
      <c r="DY67" s="161">
        <f>IF(BK67="","",IFERROR(BK67*HSI!$B$62*HSI!$G$62/HSI!$B$3,""))</f>
        <v/>
      </c>
      <c r="DZ67" s="161">
        <f>IF(BL67="","",IFERROR(BL67*HSI!$B$62*HSI!$G$62/HSI!$B$3,""))</f>
        <v/>
      </c>
      <c r="EA67" s="161">
        <f>IF(BM67="","",IFERROR(BM67*HSI!$B$62*HSI!$G$62/HSI!$B$3,""))</f>
        <v/>
      </c>
      <c r="EB67" s="161">
        <f>IF(BN67="","",IFERROR(BN67*HSI!$B$62*HSI!$G$62/HSI!$B$3,""))</f>
        <v/>
      </c>
      <c r="EC67" s="161">
        <f>IF(BO67="","",IFERROR(BO67*HSI!$B$62*HSI!$G$62/HSI!$B$3,""))</f>
        <v/>
      </c>
      <c r="EE67" s="121">
        <f>IF(N('Dvd Calendar'!$E$616)=0,"",IF(('Dvd Calendar'!$E$616&gt;=GRID_FROM)*('Dvd Calendar'!$E$616&lt;=GRID_TO)*((('Dvd Calendar'!$E$616&lt;=VAL_DATE)+(COUNTIF('Dvd Calendar'!$E$623:$AR$623,'Dvd Calendar'!$E$616)=0))&gt;0)=0,"",'Dvd Calendar'!$E$616*1000000000+ISNUMBER('Dvd Calendar'!$E$619)*100000000+('Dvd Calendar'!$E$621=SPECIAL_LBL)*10000000+(N('Dvd Calendar'!$E$615)&gt;0)*(N('Dvd Calendar'!$E$615)&lt;=VAL_SERIAL)*1000000+56*1000+1))</f>
        <v/>
      </c>
      <c r="EF67" s="121">
        <f>IF(N('Dvd Calendar'!$F$616)=0,"",IF(('Dvd Calendar'!$F$616&gt;=GRID_FROM)*('Dvd Calendar'!$F$616&lt;=GRID_TO)*((('Dvd Calendar'!$F$616&lt;=VAL_DATE)+(COUNTIF('Dvd Calendar'!$E$623:$AR$623,'Dvd Calendar'!$F$616)=0))&gt;0)=0,"",'Dvd Calendar'!$F$616*1000000000+ISNUMBER('Dvd Calendar'!$F$619)*100000000+('Dvd Calendar'!$F$621=SPECIAL_LBL)*10000000+(N('Dvd Calendar'!$F$615)&gt;0)*(N('Dvd Calendar'!$F$615)&lt;=VAL_SERIAL)*1000000+56*1000+2))</f>
        <v/>
      </c>
      <c r="EG67" s="121">
        <f>IF(N('Dvd Calendar'!$G$616)=0,"",IF(('Dvd Calendar'!$G$616&gt;=GRID_FROM)*('Dvd Calendar'!$G$616&lt;=GRID_TO)*((('Dvd Calendar'!$G$616&lt;=VAL_DATE)+(COUNTIF('Dvd Calendar'!$E$623:$AR$623,'Dvd Calendar'!$G$616)=0))&gt;0)=0,"",'Dvd Calendar'!$G$616*1000000000+ISNUMBER('Dvd Calendar'!$G$619)*100000000+('Dvd Calendar'!$G$621=SPECIAL_LBL)*10000000+(N('Dvd Calendar'!$G$615)&gt;0)*(N('Dvd Calendar'!$G$615)&lt;=VAL_SERIAL)*1000000+56*1000+3))</f>
        <v/>
      </c>
      <c r="EH67" s="121">
        <f>IF(N('Dvd Calendar'!$H$616)=0,"",IF(('Dvd Calendar'!$H$616&gt;=GRID_FROM)*('Dvd Calendar'!$H$616&lt;=GRID_TO)*((('Dvd Calendar'!$H$616&lt;=VAL_DATE)+(COUNTIF('Dvd Calendar'!$E$623:$AR$623,'Dvd Calendar'!$H$616)=0))&gt;0)=0,"",'Dvd Calendar'!$H$616*1000000000+ISNUMBER('Dvd Calendar'!$H$619)*100000000+('Dvd Calendar'!$H$621=SPECIAL_LBL)*10000000+(N('Dvd Calendar'!$H$615)&gt;0)*(N('Dvd Calendar'!$H$615)&lt;=VAL_SERIAL)*1000000+56*1000+4))</f>
        <v/>
      </c>
      <c r="EI67" s="121">
        <f>IF(N('Dvd Calendar'!$I$616)=0,"",IF(('Dvd Calendar'!$I$616&gt;=GRID_FROM)*('Dvd Calendar'!$I$616&lt;=GRID_TO)*((('Dvd Calendar'!$I$616&lt;=VAL_DATE)+(COUNTIF('Dvd Calendar'!$E$623:$AR$623,'Dvd Calendar'!$I$616)=0))&gt;0)=0,"",'Dvd Calendar'!$I$616*1000000000+ISNUMBER('Dvd Calendar'!$I$619)*100000000+('Dvd Calendar'!$I$621=SPECIAL_LBL)*10000000+(N('Dvd Calendar'!$I$615)&gt;0)*(N('Dvd Calendar'!$I$615)&lt;=VAL_SERIAL)*1000000+56*1000+5))</f>
        <v/>
      </c>
      <c r="EJ67" s="121">
        <f>IF(N('Dvd Calendar'!$J$616)=0,"",IF(('Dvd Calendar'!$J$616&gt;=GRID_FROM)*('Dvd Calendar'!$J$616&lt;=GRID_TO)*((('Dvd Calendar'!$J$616&lt;=VAL_DATE)+(COUNTIF('Dvd Calendar'!$E$623:$AR$623,'Dvd Calendar'!$J$616)=0))&gt;0)=0,"",'Dvd Calendar'!$J$616*1000000000+ISNUMBER('Dvd Calendar'!$J$619)*100000000+('Dvd Calendar'!$J$621=SPECIAL_LBL)*10000000+(N('Dvd Calendar'!$J$615)&gt;0)*(N('Dvd Calendar'!$J$615)&lt;=VAL_SERIAL)*1000000+56*1000+6))</f>
        <v/>
      </c>
      <c r="EK67" s="121">
        <f>IF(N('Dvd Calendar'!$K$616)=0,"",IF(('Dvd Calendar'!$K$616&gt;=GRID_FROM)*('Dvd Calendar'!$K$616&lt;=GRID_TO)*((('Dvd Calendar'!$K$616&lt;=VAL_DATE)+(COUNTIF('Dvd Calendar'!$E$623:$AR$623,'Dvd Calendar'!$K$616)=0))&gt;0)=0,"",'Dvd Calendar'!$K$616*1000000000+ISNUMBER('Dvd Calendar'!$K$619)*100000000+('Dvd Calendar'!$K$621=SPECIAL_LBL)*10000000+(N('Dvd Calendar'!$K$615)&gt;0)*(N('Dvd Calendar'!$K$615)&lt;=VAL_SERIAL)*1000000+56*1000+7))</f>
        <v/>
      </c>
      <c r="EL67" s="121">
        <f>IF(N('Dvd Calendar'!$L$616)=0,"",IF(('Dvd Calendar'!$L$616&gt;=GRID_FROM)*('Dvd Calendar'!$L$616&lt;=GRID_TO)*((('Dvd Calendar'!$L$616&lt;=VAL_DATE)+(COUNTIF('Dvd Calendar'!$E$623:$AR$623,'Dvd Calendar'!$L$616)=0))&gt;0)=0,"",'Dvd Calendar'!$L$616*1000000000+ISNUMBER('Dvd Calendar'!$L$619)*100000000+('Dvd Calendar'!$L$621=SPECIAL_LBL)*10000000+(N('Dvd Calendar'!$L$615)&gt;0)*(N('Dvd Calendar'!$L$615)&lt;=VAL_SERIAL)*1000000+56*1000+8))</f>
        <v/>
      </c>
      <c r="EM67" s="121">
        <f>IF(N('Dvd Calendar'!$M$616)=0,"",IF(('Dvd Calendar'!$M$616&gt;=GRID_FROM)*('Dvd Calendar'!$M$616&lt;=GRID_TO)*((('Dvd Calendar'!$M$616&lt;=VAL_DATE)+(COUNTIF('Dvd Calendar'!$E$623:$AR$623,'Dvd Calendar'!$M$616)=0))&gt;0)=0,"",'Dvd Calendar'!$M$616*1000000000+ISNUMBER('Dvd Calendar'!$M$619)*100000000+('Dvd Calendar'!$M$621=SPECIAL_LBL)*10000000+(N('Dvd Calendar'!$M$615)&gt;0)*(N('Dvd Calendar'!$M$615)&lt;=VAL_SERIAL)*1000000+56*1000+9))</f>
        <v/>
      </c>
      <c r="EN67" s="121">
        <f>IF(N('Dvd Calendar'!$N$616)=0,"",IF(('Dvd Calendar'!$N$616&gt;=GRID_FROM)*('Dvd Calendar'!$N$616&lt;=GRID_TO)*((('Dvd Calendar'!$N$616&lt;=VAL_DATE)+(COUNTIF('Dvd Calendar'!$E$623:$AR$623,'Dvd Calendar'!$N$616)=0))&gt;0)=0,"",'Dvd Calendar'!$N$616*1000000000+ISNUMBER('Dvd Calendar'!$N$619)*100000000+('Dvd Calendar'!$N$621=SPECIAL_LBL)*10000000+(N('Dvd Calendar'!$N$615)&gt;0)*(N('Dvd Calendar'!$N$615)&lt;=VAL_SERIAL)*1000000+56*1000+10))</f>
        <v/>
      </c>
      <c r="EO67" s="121">
        <f>IF(N('Dvd Calendar'!$O$616)=0,"",IF(('Dvd Calendar'!$O$616&gt;=GRID_FROM)*('Dvd Calendar'!$O$616&lt;=GRID_TO)*((('Dvd Calendar'!$O$616&lt;=VAL_DATE)+(COUNTIF('Dvd Calendar'!$E$623:$AR$623,'Dvd Calendar'!$O$616)=0))&gt;0)=0,"",'Dvd Calendar'!$O$616*1000000000+ISNUMBER('Dvd Calendar'!$O$619)*100000000+('Dvd Calendar'!$O$621=SPECIAL_LBL)*10000000+(N('Dvd Calendar'!$O$615)&gt;0)*(N('Dvd Calendar'!$O$615)&lt;=VAL_SERIAL)*1000000+56*1000+11))</f>
        <v/>
      </c>
      <c r="EP67" s="121">
        <f>IF(N('Dvd Calendar'!$P$616)=0,"",IF(('Dvd Calendar'!$P$616&gt;=GRID_FROM)*('Dvd Calendar'!$P$616&lt;=GRID_TO)*((('Dvd Calendar'!$P$616&lt;=VAL_DATE)+(COUNTIF('Dvd Calendar'!$E$623:$AR$623,'Dvd Calendar'!$P$616)=0))&gt;0)=0,"",'Dvd Calendar'!$P$616*1000000000+ISNUMBER('Dvd Calendar'!$P$619)*100000000+('Dvd Calendar'!$P$621=SPECIAL_LBL)*10000000+(N('Dvd Calendar'!$P$615)&gt;0)*(N('Dvd Calendar'!$P$615)&lt;=VAL_SERIAL)*1000000+56*1000+12))</f>
        <v/>
      </c>
      <c r="EQ67" s="121">
        <f>IF(N('Dvd Calendar'!$Q$616)=0,"",IF(('Dvd Calendar'!$Q$616&gt;=GRID_FROM)*('Dvd Calendar'!$Q$616&lt;=GRID_TO)*((('Dvd Calendar'!$Q$616&lt;=VAL_DATE)+(COUNTIF('Dvd Calendar'!$E$623:$AR$623,'Dvd Calendar'!$Q$616)=0))&gt;0)=0,"",'Dvd Calendar'!$Q$616*1000000000+ISNUMBER('Dvd Calendar'!$Q$619)*100000000+('Dvd Calendar'!$Q$621=SPECIAL_LBL)*10000000+(N('Dvd Calendar'!$Q$615)&gt;0)*(N('Dvd Calendar'!$Q$615)&lt;=VAL_SERIAL)*1000000+56*1000+13))</f>
        <v/>
      </c>
      <c r="ER67" s="121">
        <f>IF(N('Dvd Calendar'!$R$616)=0,"",IF(('Dvd Calendar'!$R$616&gt;=GRID_FROM)*('Dvd Calendar'!$R$616&lt;=GRID_TO)*((('Dvd Calendar'!$R$616&lt;=VAL_DATE)+(COUNTIF('Dvd Calendar'!$E$623:$AR$623,'Dvd Calendar'!$R$616)=0))&gt;0)=0,"",'Dvd Calendar'!$R$616*1000000000+ISNUMBER('Dvd Calendar'!$R$619)*100000000+('Dvd Calendar'!$R$621=SPECIAL_LBL)*10000000+(N('Dvd Calendar'!$R$615)&gt;0)*(N('Dvd Calendar'!$R$615)&lt;=VAL_SERIAL)*1000000+56*1000+14))</f>
        <v/>
      </c>
      <c r="ES67" s="121">
        <f>IF(N('Dvd Calendar'!$S$616)=0,"",IF(('Dvd Calendar'!$S$616&gt;=GRID_FROM)*('Dvd Calendar'!$S$616&lt;=GRID_TO)*((('Dvd Calendar'!$S$616&lt;=VAL_DATE)+(COUNTIF('Dvd Calendar'!$E$623:$AR$623,'Dvd Calendar'!$S$616)=0))&gt;0)=0,"",'Dvd Calendar'!$S$616*1000000000+ISNUMBER('Dvd Calendar'!$S$619)*100000000+('Dvd Calendar'!$S$621=SPECIAL_LBL)*10000000+(N('Dvd Calendar'!$S$615)&gt;0)*(N('Dvd Calendar'!$S$615)&lt;=VAL_SERIAL)*1000000+56*1000+15))</f>
        <v/>
      </c>
      <c r="ET67" s="121">
        <f>IF(N('Dvd Calendar'!$T$616)=0,"",IF(('Dvd Calendar'!$T$616&gt;=GRID_FROM)*('Dvd Calendar'!$T$616&lt;=GRID_TO)*((('Dvd Calendar'!$T$616&lt;=VAL_DATE)+(COUNTIF('Dvd Calendar'!$E$623:$AR$623,'Dvd Calendar'!$T$616)=0))&gt;0)=0,"",'Dvd Calendar'!$T$616*1000000000+ISNUMBER('Dvd Calendar'!$T$619)*100000000+('Dvd Calendar'!$T$621=SPECIAL_LBL)*10000000+(N('Dvd Calendar'!$T$615)&gt;0)*(N('Dvd Calendar'!$T$615)&lt;=VAL_SERIAL)*1000000+56*1000+16))</f>
        <v/>
      </c>
      <c r="EU67" s="121">
        <f>IF(N('Dvd Calendar'!$U$616)=0,"",IF(('Dvd Calendar'!$U$616&gt;=GRID_FROM)*('Dvd Calendar'!$U$616&lt;=GRID_TO)*((('Dvd Calendar'!$U$616&lt;=VAL_DATE)+(COUNTIF('Dvd Calendar'!$E$623:$AR$623,'Dvd Calendar'!$U$616)=0))&gt;0)=0,"",'Dvd Calendar'!$U$616*1000000000+ISNUMBER('Dvd Calendar'!$U$619)*100000000+('Dvd Calendar'!$U$621=SPECIAL_LBL)*10000000+(N('Dvd Calendar'!$U$615)&gt;0)*(N('Dvd Calendar'!$U$615)&lt;=VAL_SERIAL)*1000000+56*1000+17))</f>
        <v/>
      </c>
      <c r="EV67" s="121">
        <f>IF(N('Dvd Calendar'!$V$616)=0,"",IF(('Dvd Calendar'!$V$616&gt;=GRID_FROM)*('Dvd Calendar'!$V$616&lt;=GRID_TO)*((('Dvd Calendar'!$V$616&lt;=VAL_DATE)+(COUNTIF('Dvd Calendar'!$E$623:$AR$623,'Dvd Calendar'!$V$616)=0))&gt;0)=0,"",'Dvd Calendar'!$V$616*1000000000+ISNUMBER('Dvd Calendar'!$V$619)*100000000+('Dvd Calendar'!$V$621=SPECIAL_LBL)*10000000+(N('Dvd Calendar'!$V$615)&gt;0)*(N('Dvd Calendar'!$V$615)&lt;=VAL_SERIAL)*1000000+56*1000+18))</f>
        <v/>
      </c>
      <c r="EW67" s="121">
        <f>IF(N('Dvd Calendar'!$W$616)=0,"",IF(('Dvd Calendar'!$W$616&gt;=GRID_FROM)*('Dvd Calendar'!$W$616&lt;=GRID_TO)*((('Dvd Calendar'!$W$616&lt;=VAL_DATE)+(COUNTIF('Dvd Calendar'!$E$623:$AR$623,'Dvd Calendar'!$W$616)=0))&gt;0)=0,"",'Dvd Calendar'!$W$616*1000000000+ISNUMBER('Dvd Calendar'!$W$619)*100000000+('Dvd Calendar'!$W$621=SPECIAL_LBL)*10000000+(N('Dvd Calendar'!$W$615)&gt;0)*(N('Dvd Calendar'!$W$615)&lt;=VAL_SERIAL)*1000000+56*1000+19))</f>
        <v/>
      </c>
      <c r="EX67" s="121">
        <f>IF(N('Dvd Calendar'!$X$616)=0,"",IF(('Dvd Calendar'!$X$616&gt;=GRID_FROM)*('Dvd Calendar'!$X$616&lt;=GRID_TO)*((('Dvd Calendar'!$X$616&lt;=VAL_DATE)+(COUNTIF('Dvd Calendar'!$E$623:$AR$623,'Dvd Calendar'!$X$616)=0))&gt;0)=0,"",'Dvd Calendar'!$X$616*1000000000+ISNUMBER('Dvd Calendar'!$X$619)*100000000+('Dvd Calendar'!$X$621=SPECIAL_LBL)*10000000+(N('Dvd Calendar'!$X$615)&gt;0)*(N('Dvd Calendar'!$X$615)&lt;=VAL_SERIAL)*1000000+56*1000+20))</f>
        <v/>
      </c>
      <c r="EY67" s="121">
        <f>IF(N('Dvd Calendar'!$Y$616)=0,"",IF(('Dvd Calendar'!$Y$616&gt;=GRID_FROM)*('Dvd Calendar'!$Y$616&lt;=GRID_TO)*((('Dvd Calendar'!$Y$616&lt;=VAL_DATE)+(COUNTIF('Dvd Calendar'!$E$623:$AR$623,'Dvd Calendar'!$Y$616)=0))&gt;0)=0,"",'Dvd Calendar'!$Y$616*1000000000+ISNUMBER('Dvd Calendar'!$Y$619)*100000000+('Dvd Calendar'!$Y$621=SPECIAL_LBL)*10000000+(N('Dvd Calendar'!$Y$615)&gt;0)*(N('Dvd Calendar'!$Y$615)&lt;=VAL_SERIAL)*1000000+56*1000+21))</f>
        <v/>
      </c>
      <c r="EZ67" s="121">
        <f>IF(N('Dvd Calendar'!$Z$616)=0,"",IF(('Dvd Calendar'!$Z$616&gt;=GRID_FROM)*('Dvd Calendar'!$Z$616&lt;=GRID_TO)*((('Dvd Calendar'!$Z$616&lt;=VAL_DATE)+(COUNTIF('Dvd Calendar'!$E$623:$AR$623,'Dvd Calendar'!$Z$616)=0))&gt;0)=0,"",'Dvd Calendar'!$Z$616*1000000000+ISNUMBER('Dvd Calendar'!$Z$619)*100000000+('Dvd Calendar'!$Z$621=SPECIAL_LBL)*10000000+(N('Dvd Calendar'!$Z$615)&gt;0)*(N('Dvd Calendar'!$Z$615)&lt;=VAL_SERIAL)*1000000+56*1000+22))</f>
        <v/>
      </c>
      <c r="FA67" s="121">
        <f>IF(N('Dvd Calendar'!$AA$616)=0,"",IF(('Dvd Calendar'!$AA$616&gt;=GRID_FROM)*('Dvd Calendar'!$AA$616&lt;=GRID_TO)*((('Dvd Calendar'!$AA$616&lt;=VAL_DATE)+(COUNTIF('Dvd Calendar'!$E$623:$AR$623,'Dvd Calendar'!$AA$616)=0))&gt;0)=0,"",'Dvd Calendar'!$AA$616*1000000000+ISNUMBER('Dvd Calendar'!$AA$619)*100000000+('Dvd Calendar'!$AA$621=SPECIAL_LBL)*10000000+(N('Dvd Calendar'!$AA$615)&gt;0)*(N('Dvd Calendar'!$AA$615)&lt;=VAL_SERIAL)*1000000+56*1000+23))</f>
        <v/>
      </c>
      <c r="FB67" s="121">
        <f>IF(N('Dvd Calendar'!$AB$616)=0,"",IF(('Dvd Calendar'!$AB$616&gt;=GRID_FROM)*('Dvd Calendar'!$AB$616&lt;=GRID_TO)*((('Dvd Calendar'!$AB$616&lt;=VAL_DATE)+(COUNTIF('Dvd Calendar'!$E$623:$AR$623,'Dvd Calendar'!$AB$616)=0))&gt;0)=0,"",'Dvd Calendar'!$AB$616*1000000000+ISNUMBER('Dvd Calendar'!$AB$619)*100000000+('Dvd Calendar'!$AB$621=SPECIAL_LBL)*10000000+(N('Dvd Calendar'!$AB$615)&gt;0)*(N('Dvd Calendar'!$AB$615)&lt;=VAL_SERIAL)*1000000+56*1000+24))</f>
        <v/>
      </c>
      <c r="FC67" s="121">
        <f>IF(N('Dvd Calendar'!$AC$616)=0,"",IF(('Dvd Calendar'!$AC$616&gt;=GRID_FROM)*('Dvd Calendar'!$AC$616&lt;=GRID_TO)*((('Dvd Calendar'!$AC$616&lt;=VAL_DATE)+(COUNTIF('Dvd Calendar'!$E$623:$AR$623,'Dvd Calendar'!$AC$616)=0))&gt;0)=0,"",'Dvd Calendar'!$AC$616*1000000000+ISNUMBER('Dvd Calendar'!$AC$619)*100000000+('Dvd Calendar'!$AC$621=SPECIAL_LBL)*10000000+(N('Dvd Calendar'!$AC$615)&gt;0)*(N('Dvd Calendar'!$AC$615)&lt;=VAL_SERIAL)*1000000+56*1000+25))</f>
        <v/>
      </c>
      <c r="FD67" s="121">
        <f>IF(N('Dvd Calendar'!$AD$616)=0,"",IF(('Dvd Calendar'!$AD$616&gt;=GRID_FROM)*('Dvd Calendar'!$AD$616&lt;=GRID_TO)*((('Dvd Calendar'!$AD$616&lt;=VAL_DATE)+(COUNTIF('Dvd Calendar'!$E$623:$AR$623,'Dvd Calendar'!$AD$616)=0))&gt;0)=0,"",'Dvd Calendar'!$AD$616*1000000000+ISNUMBER('Dvd Calendar'!$AD$619)*100000000+('Dvd Calendar'!$AD$621=SPECIAL_LBL)*10000000+(N('Dvd Calendar'!$AD$615)&gt;0)*(N('Dvd Calendar'!$AD$615)&lt;=VAL_SERIAL)*1000000+56*1000+26))</f>
        <v/>
      </c>
      <c r="FE67" s="121">
        <f>IF(N('Dvd Calendar'!$AE$616)=0,"",IF(('Dvd Calendar'!$AE$616&gt;=GRID_FROM)*('Dvd Calendar'!$AE$616&lt;=GRID_TO)*((('Dvd Calendar'!$AE$616&lt;=VAL_DATE)+(COUNTIF('Dvd Calendar'!$E$623:$AR$623,'Dvd Calendar'!$AE$616)=0))&gt;0)=0,"",'Dvd Calendar'!$AE$616*1000000000+ISNUMBER('Dvd Calendar'!$AE$619)*100000000+('Dvd Calendar'!$AE$621=SPECIAL_LBL)*10000000+(N('Dvd Calendar'!$AE$615)&gt;0)*(N('Dvd Calendar'!$AE$615)&lt;=VAL_SERIAL)*1000000+56*1000+27))</f>
        <v/>
      </c>
      <c r="FF67" s="121">
        <f>IF(N('Dvd Calendar'!$AF$616)=0,"",IF(('Dvd Calendar'!$AF$616&gt;=GRID_FROM)*('Dvd Calendar'!$AF$616&lt;=GRID_TO)*((('Dvd Calendar'!$AF$616&lt;=VAL_DATE)+(COUNTIF('Dvd Calendar'!$E$623:$AR$623,'Dvd Calendar'!$AF$616)=0))&gt;0)=0,"",'Dvd Calendar'!$AF$616*1000000000+ISNUMBER('Dvd Calendar'!$AF$619)*100000000+('Dvd Calendar'!$AF$621=SPECIAL_LBL)*10000000+(N('Dvd Calendar'!$AF$615)&gt;0)*(N('Dvd Calendar'!$AF$615)&lt;=VAL_SERIAL)*1000000+56*1000+28))</f>
        <v/>
      </c>
      <c r="FG67" s="121">
        <f>IF(N('Dvd Calendar'!$AG$616)=0,"",IF(('Dvd Calendar'!$AG$616&gt;=GRID_FROM)*('Dvd Calendar'!$AG$616&lt;=GRID_TO)*((('Dvd Calendar'!$AG$616&lt;=VAL_DATE)+(COUNTIF('Dvd Calendar'!$E$623:$AR$623,'Dvd Calendar'!$AG$616)=0))&gt;0)=0,"",'Dvd Calendar'!$AG$616*1000000000+ISNUMBER('Dvd Calendar'!$AG$619)*100000000+('Dvd Calendar'!$AG$621=SPECIAL_LBL)*10000000+(N('Dvd Calendar'!$AG$615)&gt;0)*(N('Dvd Calendar'!$AG$615)&lt;=VAL_SERIAL)*1000000+56*1000+29))</f>
        <v/>
      </c>
      <c r="FH67" s="121">
        <f>IF(N('Dvd Calendar'!$AH$616)=0,"",IF(('Dvd Calendar'!$AH$616&gt;=GRID_FROM)*('Dvd Calendar'!$AH$616&lt;=GRID_TO)*((('Dvd Calendar'!$AH$616&lt;=VAL_DATE)+(COUNTIF('Dvd Calendar'!$E$623:$AR$623,'Dvd Calendar'!$AH$616)=0))&gt;0)=0,"",'Dvd Calendar'!$AH$616*1000000000+ISNUMBER('Dvd Calendar'!$AH$619)*100000000+('Dvd Calendar'!$AH$621=SPECIAL_LBL)*10000000+(N('Dvd Calendar'!$AH$615)&gt;0)*(N('Dvd Calendar'!$AH$615)&lt;=VAL_SERIAL)*1000000+56*1000+30))</f>
        <v/>
      </c>
      <c r="FI67" s="121">
        <f>IF(N('Dvd Calendar'!$AI$616)=0,"",IF(('Dvd Calendar'!$AI$616&gt;=GRID_FROM)*('Dvd Calendar'!$AI$616&lt;=GRID_TO)*((('Dvd Calendar'!$AI$616&lt;=VAL_DATE)+(COUNTIF('Dvd Calendar'!$E$623:$AR$623,'Dvd Calendar'!$AI$616)=0))&gt;0)=0,"",'Dvd Calendar'!$AI$616*1000000000+ISNUMBER('Dvd Calendar'!$AI$619)*100000000+('Dvd Calendar'!$AI$621=SPECIAL_LBL)*10000000+(N('Dvd Calendar'!$AI$615)&gt;0)*(N('Dvd Calendar'!$AI$615)&lt;=VAL_SERIAL)*1000000+56*1000+31))</f>
        <v/>
      </c>
      <c r="FJ67" s="121">
        <f>IF(N('Dvd Calendar'!$AJ$616)=0,"",IF(('Dvd Calendar'!$AJ$616&gt;=GRID_FROM)*('Dvd Calendar'!$AJ$616&lt;=GRID_TO)*((('Dvd Calendar'!$AJ$616&lt;=VAL_DATE)+(COUNTIF('Dvd Calendar'!$E$623:$AR$623,'Dvd Calendar'!$AJ$616)=0))&gt;0)=0,"",'Dvd Calendar'!$AJ$616*1000000000+ISNUMBER('Dvd Calendar'!$AJ$619)*100000000+('Dvd Calendar'!$AJ$621=SPECIAL_LBL)*10000000+(N('Dvd Calendar'!$AJ$615)&gt;0)*(N('Dvd Calendar'!$AJ$615)&lt;=VAL_SERIAL)*1000000+56*1000+32))</f>
        <v/>
      </c>
      <c r="FK67" s="121">
        <f>IF(N('Dvd Calendar'!$AK$616)=0,"",IF(('Dvd Calendar'!$AK$616&gt;=GRID_FROM)*('Dvd Calendar'!$AK$616&lt;=GRID_TO)*((('Dvd Calendar'!$AK$616&lt;=VAL_DATE)+(COUNTIF('Dvd Calendar'!$E$623:$AR$623,'Dvd Calendar'!$AK$616)=0))&gt;0)=0,"",'Dvd Calendar'!$AK$616*1000000000+ISNUMBER('Dvd Calendar'!$AK$619)*100000000+('Dvd Calendar'!$AK$621=SPECIAL_LBL)*10000000+(N('Dvd Calendar'!$AK$615)&gt;0)*(N('Dvd Calendar'!$AK$615)&lt;=VAL_SERIAL)*1000000+56*1000+33))</f>
        <v/>
      </c>
      <c r="FL67" s="121">
        <f>IF(N('Dvd Calendar'!$AL$616)=0,"",IF(('Dvd Calendar'!$AL$616&gt;=GRID_FROM)*('Dvd Calendar'!$AL$616&lt;=GRID_TO)*((('Dvd Calendar'!$AL$616&lt;=VAL_DATE)+(COUNTIF('Dvd Calendar'!$E$623:$AR$623,'Dvd Calendar'!$AL$616)=0))&gt;0)=0,"",'Dvd Calendar'!$AL$616*1000000000+ISNUMBER('Dvd Calendar'!$AL$619)*100000000+('Dvd Calendar'!$AL$621=SPECIAL_LBL)*10000000+(N('Dvd Calendar'!$AL$615)&gt;0)*(N('Dvd Calendar'!$AL$615)&lt;=VAL_SERIAL)*1000000+56*1000+34))</f>
        <v/>
      </c>
      <c r="FM67" s="121">
        <f>IF(N('Dvd Calendar'!$AM$616)=0,"",IF(('Dvd Calendar'!$AM$616&gt;=GRID_FROM)*('Dvd Calendar'!$AM$616&lt;=GRID_TO)*((('Dvd Calendar'!$AM$616&lt;=VAL_DATE)+(COUNTIF('Dvd Calendar'!$E$623:$AR$623,'Dvd Calendar'!$AM$616)=0))&gt;0)=0,"",'Dvd Calendar'!$AM$616*1000000000+ISNUMBER('Dvd Calendar'!$AM$619)*100000000+('Dvd Calendar'!$AM$621=SPECIAL_LBL)*10000000+(N('Dvd Calendar'!$AM$615)&gt;0)*(N('Dvd Calendar'!$AM$615)&lt;=VAL_SERIAL)*1000000+56*1000+35))</f>
        <v/>
      </c>
      <c r="FN67" s="121">
        <f>IF(N('Dvd Calendar'!$AN$616)=0,"",IF(('Dvd Calendar'!$AN$616&gt;=GRID_FROM)*('Dvd Calendar'!$AN$616&lt;=GRID_TO)*((('Dvd Calendar'!$AN$616&lt;=VAL_DATE)+(COUNTIF('Dvd Calendar'!$E$623:$AR$623,'Dvd Calendar'!$AN$616)=0))&gt;0)=0,"",'Dvd Calendar'!$AN$616*1000000000+ISNUMBER('Dvd Calendar'!$AN$619)*100000000+('Dvd Calendar'!$AN$621=SPECIAL_LBL)*10000000+(N('Dvd Calendar'!$AN$615)&gt;0)*(N('Dvd Calendar'!$AN$615)&lt;=VAL_SERIAL)*1000000+56*1000+36))</f>
        <v/>
      </c>
      <c r="FO67" s="121">
        <f>IF(N('Dvd Calendar'!$AO$616)=0,"",IF(('Dvd Calendar'!$AO$616&gt;=GRID_FROM)*('Dvd Calendar'!$AO$616&lt;=GRID_TO)*((('Dvd Calendar'!$AO$616&lt;=VAL_DATE)+(COUNTIF('Dvd Calendar'!$E$623:$AR$623,'Dvd Calendar'!$AO$616)=0))&gt;0)=0,"",'Dvd Calendar'!$AO$616*1000000000+ISNUMBER('Dvd Calendar'!$AO$619)*100000000+('Dvd Calendar'!$AO$621=SPECIAL_LBL)*10000000+(N('Dvd Calendar'!$AO$615)&gt;0)*(N('Dvd Calendar'!$AO$615)&lt;=VAL_SERIAL)*1000000+56*1000+37))</f>
        <v/>
      </c>
      <c r="FP67" s="121">
        <f>IF(N('Dvd Calendar'!$AP$616)=0,"",IF(('Dvd Calendar'!$AP$616&gt;=GRID_FROM)*('Dvd Calendar'!$AP$616&lt;=GRID_TO)*((('Dvd Calendar'!$AP$616&lt;=VAL_DATE)+(COUNTIF('Dvd Calendar'!$E$623:$AR$623,'Dvd Calendar'!$AP$616)=0))&gt;0)=0,"",'Dvd Calendar'!$AP$616*1000000000+ISNUMBER('Dvd Calendar'!$AP$619)*100000000+('Dvd Calendar'!$AP$621=SPECIAL_LBL)*10000000+(N('Dvd Calendar'!$AP$615)&gt;0)*(N('Dvd Calendar'!$AP$615)&lt;=VAL_SERIAL)*1000000+56*1000+38))</f>
        <v/>
      </c>
      <c r="FQ67" s="121">
        <f>IF(N('Dvd Calendar'!$AQ$616)=0,"",IF(('Dvd Calendar'!$AQ$616&gt;=GRID_FROM)*('Dvd Calendar'!$AQ$616&lt;=GRID_TO)*((('Dvd Calendar'!$AQ$616&lt;=VAL_DATE)+(COUNTIF('Dvd Calendar'!$E$623:$AR$623,'Dvd Calendar'!$AQ$616)=0))&gt;0)=0,"",'Dvd Calendar'!$AQ$616*1000000000+ISNUMBER('Dvd Calendar'!$AQ$619)*100000000+('Dvd Calendar'!$AQ$621=SPECIAL_LBL)*10000000+(N('Dvd Calendar'!$AQ$615)&gt;0)*(N('Dvd Calendar'!$AQ$615)&lt;=VAL_SERIAL)*1000000+56*1000+39))</f>
        <v/>
      </c>
      <c r="FR67" s="121">
        <f>IF(N('Dvd Calendar'!$AR$616)=0,"",IF(('Dvd Calendar'!$AR$616&gt;=GRID_FROM)*('Dvd Calendar'!$AR$616&lt;=GRID_TO)*((('Dvd Calendar'!$AR$616&lt;=VAL_DATE)+(COUNTIF('Dvd Calendar'!$E$623:$AR$623,'Dvd Calendar'!$AR$616)=0))&gt;0)=0,"",'Dvd Calendar'!$AR$616*1000000000+ISNUMBER('Dvd Calendar'!$AR$619)*100000000+('Dvd Calendar'!$AR$621=SPECIAL_LBL)*10000000+(N('Dvd Calendar'!$AR$615)&gt;0)*(N('Dvd Calendar'!$AR$615)&lt;=VAL_SERIAL)*1000000+56*1000+40))</f>
        <v/>
      </c>
      <c r="FS67" s="121">
        <f>IF(N('Dvd Calendar'!$E$623)=0,"",IF(('Dvd Calendar'!$E$623&gt;=GRID_FROM)*('Dvd Calendar'!$E$623&lt;=GRID_TO)*('Dvd Calendar'!$E$623&gt;VAL_DATE)=0,"",'Dvd Calendar'!$E$623*1000000000+ISNUMBER('Dvd Calendar'!$E$624)*100000000+0*10000000+(N('Dvd Calendar'!$E$622)&gt;0)*(N('Dvd Calendar'!$E$622)&lt;=VAL_SERIAL)*1000000+56*1000+41))</f>
        <v/>
      </c>
      <c r="FT67" s="121">
        <f>IF(N('Dvd Calendar'!$F$623)=0,"",IF(('Dvd Calendar'!$F$623&gt;=GRID_FROM)*('Dvd Calendar'!$F$623&lt;=GRID_TO)*('Dvd Calendar'!$F$623&gt;VAL_DATE)=0,"",'Dvd Calendar'!$F$623*1000000000+ISNUMBER('Dvd Calendar'!$F$624)*100000000+0*10000000+(N('Dvd Calendar'!$F$622)&gt;0)*(N('Dvd Calendar'!$F$622)&lt;=VAL_SERIAL)*1000000+56*1000+42))</f>
        <v/>
      </c>
      <c r="FU67" s="121">
        <f>IF(N('Dvd Calendar'!$G$623)=0,"",IF(('Dvd Calendar'!$G$623&gt;=GRID_FROM)*('Dvd Calendar'!$G$623&lt;=GRID_TO)*('Dvd Calendar'!$G$623&gt;VAL_DATE)=0,"",'Dvd Calendar'!$G$623*1000000000+ISNUMBER('Dvd Calendar'!$G$624)*100000000+0*10000000+(N('Dvd Calendar'!$G$622)&gt;0)*(N('Dvd Calendar'!$G$622)&lt;=VAL_SERIAL)*1000000+56*1000+43))</f>
        <v/>
      </c>
      <c r="FV67" s="121">
        <f>IF(N('Dvd Calendar'!$H$623)=0,"",IF(('Dvd Calendar'!$H$623&gt;=GRID_FROM)*('Dvd Calendar'!$H$623&lt;=GRID_TO)*('Dvd Calendar'!$H$623&gt;VAL_DATE)=0,"",'Dvd Calendar'!$H$623*1000000000+ISNUMBER('Dvd Calendar'!$H$624)*100000000+0*10000000+(N('Dvd Calendar'!$H$622)&gt;0)*(N('Dvd Calendar'!$H$622)&lt;=VAL_SERIAL)*1000000+56*1000+44))</f>
        <v/>
      </c>
      <c r="FW67" s="121">
        <f>IF(N('Dvd Calendar'!$I$623)=0,"",IF(('Dvd Calendar'!$I$623&gt;=GRID_FROM)*('Dvd Calendar'!$I$623&lt;=GRID_TO)*('Dvd Calendar'!$I$623&gt;VAL_DATE)=0,"",'Dvd Calendar'!$I$623*1000000000+ISNUMBER('Dvd Calendar'!$I$624)*100000000+0*10000000+(N('Dvd Calendar'!$I$622)&gt;0)*(N('Dvd Calendar'!$I$622)&lt;=VAL_SERIAL)*1000000+56*1000+45))</f>
        <v/>
      </c>
      <c r="FX67" s="121">
        <f>IF(N('Dvd Calendar'!$J$623)=0,"",IF(('Dvd Calendar'!$J$623&gt;=GRID_FROM)*('Dvd Calendar'!$J$623&lt;=GRID_TO)*('Dvd Calendar'!$J$623&gt;VAL_DATE)=0,"",'Dvd Calendar'!$J$623*1000000000+ISNUMBER('Dvd Calendar'!$J$624)*100000000+0*10000000+(N('Dvd Calendar'!$J$622)&gt;0)*(N('Dvd Calendar'!$J$622)&lt;=VAL_SERIAL)*1000000+56*1000+46))</f>
        <v/>
      </c>
      <c r="FY67" s="121">
        <f>IF(N('Dvd Calendar'!$K$623)=0,"",IF(('Dvd Calendar'!$K$623&gt;=GRID_FROM)*('Dvd Calendar'!$K$623&lt;=GRID_TO)*('Dvd Calendar'!$K$623&gt;VAL_DATE)=0,"",'Dvd Calendar'!$K$623*1000000000+ISNUMBER('Dvd Calendar'!$K$624)*100000000+0*10000000+(N('Dvd Calendar'!$K$622)&gt;0)*(N('Dvd Calendar'!$K$622)&lt;=VAL_SERIAL)*1000000+56*1000+47))</f>
        <v/>
      </c>
      <c r="FZ67" s="121">
        <f>IF(N('Dvd Calendar'!$L$623)=0,"",IF(('Dvd Calendar'!$L$623&gt;=GRID_FROM)*('Dvd Calendar'!$L$623&lt;=GRID_TO)*('Dvd Calendar'!$L$623&gt;VAL_DATE)=0,"",'Dvd Calendar'!$L$623*1000000000+ISNUMBER('Dvd Calendar'!$L$624)*100000000+0*10000000+(N('Dvd Calendar'!$L$622)&gt;0)*(N('Dvd Calendar'!$L$622)&lt;=VAL_SERIAL)*1000000+56*1000+48))</f>
        <v/>
      </c>
      <c r="GA67" s="121">
        <f>IF(N('Dvd Calendar'!$M$623)=0,"",IF(('Dvd Calendar'!$M$623&gt;=GRID_FROM)*('Dvd Calendar'!$M$623&lt;=GRID_TO)*('Dvd Calendar'!$M$623&gt;VAL_DATE)=0,"",'Dvd Calendar'!$M$623*1000000000+ISNUMBER('Dvd Calendar'!$M$624)*100000000+0*10000000+(N('Dvd Calendar'!$M$622)&gt;0)*(N('Dvd Calendar'!$M$622)&lt;=VAL_SERIAL)*1000000+56*1000+49))</f>
        <v/>
      </c>
      <c r="GB67" s="121">
        <f>IF(N('Dvd Calendar'!$N$623)=0,"",IF(('Dvd Calendar'!$N$623&gt;=GRID_FROM)*('Dvd Calendar'!$N$623&lt;=GRID_TO)*('Dvd Calendar'!$N$623&gt;VAL_DATE)=0,"",'Dvd Calendar'!$N$623*1000000000+ISNUMBER('Dvd Calendar'!$N$624)*100000000+0*10000000+(N('Dvd Calendar'!$N$622)&gt;0)*(N('Dvd Calendar'!$N$622)&lt;=VAL_SERIAL)*1000000+56*1000+50))</f>
        <v/>
      </c>
      <c r="GC67" s="121">
        <f>IF(N('Dvd Calendar'!$O$623)=0,"",IF(('Dvd Calendar'!$O$623&gt;=GRID_FROM)*('Dvd Calendar'!$O$623&lt;=GRID_TO)*('Dvd Calendar'!$O$623&gt;VAL_DATE)=0,"",'Dvd Calendar'!$O$623*1000000000+ISNUMBER('Dvd Calendar'!$O$624)*100000000+0*10000000+(N('Dvd Calendar'!$O$622)&gt;0)*(N('Dvd Calendar'!$O$622)&lt;=VAL_SERIAL)*1000000+56*1000+51))</f>
        <v/>
      </c>
      <c r="GD67" s="121">
        <f>IF(N('Dvd Calendar'!$P$623)=0,"",IF(('Dvd Calendar'!$P$623&gt;=GRID_FROM)*('Dvd Calendar'!$P$623&lt;=GRID_TO)*('Dvd Calendar'!$P$623&gt;VAL_DATE)=0,"",'Dvd Calendar'!$P$623*1000000000+ISNUMBER('Dvd Calendar'!$P$624)*100000000+0*10000000+(N('Dvd Calendar'!$P$622)&gt;0)*(N('Dvd Calendar'!$P$622)&lt;=VAL_SERIAL)*1000000+56*1000+52))</f>
        <v/>
      </c>
      <c r="GE67" s="121">
        <f>IF(N('Dvd Calendar'!$Q$623)=0,"",IF(('Dvd Calendar'!$Q$623&gt;=GRID_FROM)*('Dvd Calendar'!$Q$623&lt;=GRID_TO)*('Dvd Calendar'!$Q$623&gt;VAL_DATE)=0,"",'Dvd Calendar'!$Q$623*1000000000+ISNUMBER('Dvd Calendar'!$Q$624)*100000000+0*10000000+(N('Dvd Calendar'!$Q$622)&gt;0)*(N('Dvd Calendar'!$Q$622)&lt;=VAL_SERIAL)*1000000+56*1000+53))</f>
        <v/>
      </c>
      <c r="GF67" s="121">
        <f>IF(N('Dvd Calendar'!$R$623)=0,"",IF(('Dvd Calendar'!$R$623&gt;=GRID_FROM)*('Dvd Calendar'!$R$623&lt;=GRID_TO)*('Dvd Calendar'!$R$623&gt;VAL_DATE)=0,"",'Dvd Calendar'!$R$623*1000000000+ISNUMBER('Dvd Calendar'!$R$624)*100000000+0*10000000+(N('Dvd Calendar'!$R$622)&gt;0)*(N('Dvd Calendar'!$R$622)&lt;=VAL_SERIAL)*1000000+56*1000+54))</f>
        <v/>
      </c>
      <c r="GG67" s="121">
        <f>IF(N('Dvd Calendar'!$S$623)=0,"",IF(('Dvd Calendar'!$S$623&gt;=GRID_FROM)*('Dvd Calendar'!$S$623&lt;=GRID_TO)*('Dvd Calendar'!$S$623&gt;VAL_DATE)=0,"",'Dvd Calendar'!$S$623*1000000000+ISNUMBER('Dvd Calendar'!$S$624)*100000000+0*10000000+(N('Dvd Calendar'!$S$622)&gt;0)*(N('Dvd Calendar'!$S$622)&lt;=VAL_SERIAL)*1000000+56*1000+55))</f>
        <v/>
      </c>
      <c r="GH67" s="121">
        <f>IF(N('Dvd Calendar'!$T$623)=0,"",IF(('Dvd Calendar'!$T$623&gt;=GRID_FROM)*('Dvd Calendar'!$T$623&lt;=GRID_TO)*('Dvd Calendar'!$T$623&gt;VAL_DATE)=0,"",'Dvd Calendar'!$T$623*1000000000+ISNUMBER('Dvd Calendar'!$T$624)*100000000+0*10000000+(N('Dvd Calendar'!$T$622)&gt;0)*(N('Dvd Calendar'!$T$622)&lt;=VAL_SERIAL)*1000000+56*1000+56))</f>
        <v/>
      </c>
      <c r="GI67" s="121">
        <f>IF(N('Dvd Calendar'!$U$623)=0,"",IF(('Dvd Calendar'!$U$623&gt;=GRID_FROM)*('Dvd Calendar'!$U$623&lt;=GRID_TO)*('Dvd Calendar'!$U$623&gt;VAL_DATE)=0,"",'Dvd Calendar'!$U$623*1000000000+ISNUMBER('Dvd Calendar'!$U$624)*100000000+0*10000000+(N('Dvd Calendar'!$U$622)&gt;0)*(N('Dvd Calendar'!$U$622)&lt;=VAL_SERIAL)*1000000+56*1000+57))</f>
        <v/>
      </c>
      <c r="GJ67" s="121">
        <f>IF(N('Dvd Calendar'!$V$623)=0,"",IF(('Dvd Calendar'!$V$623&gt;=GRID_FROM)*('Dvd Calendar'!$V$623&lt;=GRID_TO)*('Dvd Calendar'!$V$623&gt;VAL_DATE)=0,"",'Dvd Calendar'!$V$623*1000000000+ISNUMBER('Dvd Calendar'!$V$624)*100000000+0*10000000+(N('Dvd Calendar'!$V$622)&gt;0)*(N('Dvd Calendar'!$V$622)&lt;=VAL_SERIAL)*1000000+56*1000+58))</f>
        <v/>
      </c>
      <c r="GK67" s="121">
        <f>IF(N('Dvd Calendar'!$W$623)=0,"",IF(('Dvd Calendar'!$W$623&gt;=GRID_FROM)*('Dvd Calendar'!$W$623&lt;=GRID_TO)*('Dvd Calendar'!$W$623&gt;VAL_DATE)=0,"",'Dvd Calendar'!$W$623*1000000000+ISNUMBER('Dvd Calendar'!$W$624)*100000000+0*10000000+(N('Dvd Calendar'!$W$622)&gt;0)*(N('Dvd Calendar'!$W$622)&lt;=VAL_SERIAL)*1000000+56*1000+59))</f>
        <v/>
      </c>
      <c r="GL67" s="121">
        <f>IF(N('Dvd Calendar'!$X$623)=0,"",IF(('Dvd Calendar'!$X$623&gt;=GRID_FROM)*('Dvd Calendar'!$X$623&lt;=GRID_TO)*('Dvd Calendar'!$X$623&gt;VAL_DATE)=0,"",'Dvd Calendar'!$X$623*1000000000+ISNUMBER('Dvd Calendar'!$X$624)*100000000+0*10000000+(N('Dvd Calendar'!$X$622)&gt;0)*(N('Dvd Calendar'!$X$622)&lt;=VAL_SERIAL)*1000000+56*1000+60))</f>
        <v/>
      </c>
      <c r="GM67" s="121">
        <f>IF(N('Dvd Calendar'!$Y$623)=0,"",IF(('Dvd Calendar'!$Y$623&gt;=GRID_FROM)*('Dvd Calendar'!$Y$623&lt;=GRID_TO)*('Dvd Calendar'!$Y$623&gt;VAL_DATE)=0,"",'Dvd Calendar'!$Y$623*1000000000+ISNUMBER('Dvd Calendar'!$Y$624)*100000000+0*10000000+(N('Dvd Calendar'!$Y$622)&gt;0)*(N('Dvd Calendar'!$Y$622)&lt;=VAL_SERIAL)*1000000+56*1000+61))</f>
        <v/>
      </c>
      <c r="GN67" s="121">
        <f>IF(N('Dvd Calendar'!$Z$623)=0,"",IF(('Dvd Calendar'!$Z$623&gt;=GRID_FROM)*('Dvd Calendar'!$Z$623&lt;=GRID_TO)*('Dvd Calendar'!$Z$623&gt;VAL_DATE)=0,"",'Dvd Calendar'!$Z$623*1000000000+ISNUMBER('Dvd Calendar'!$Z$624)*100000000+0*10000000+(N('Dvd Calendar'!$Z$622)&gt;0)*(N('Dvd Calendar'!$Z$622)&lt;=VAL_SERIAL)*1000000+56*1000+62))</f>
        <v/>
      </c>
      <c r="GO67" s="121">
        <f>IF(N('Dvd Calendar'!$AA$623)=0,"",IF(('Dvd Calendar'!$AA$623&gt;=GRID_FROM)*('Dvd Calendar'!$AA$623&lt;=GRID_TO)*('Dvd Calendar'!$AA$623&gt;VAL_DATE)=0,"",'Dvd Calendar'!$AA$623*1000000000+ISNUMBER('Dvd Calendar'!$AA$624)*100000000+0*10000000+(N('Dvd Calendar'!$AA$622)&gt;0)*(N('Dvd Calendar'!$AA$622)&lt;=VAL_SERIAL)*1000000+56*1000+63))</f>
        <v/>
      </c>
      <c r="GP67" s="121">
        <f>IF(N('Dvd Calendar'!$AB$623)=0,"",IF(('Dvd Calendar'!$AB$623&gt;=GRID_FROM)*('Dvd Calendar'!$AB$623&lt;=GRID_TO)*('Dvd Calendar'!$AB$623&gt;VAL_DATE)=0,"",'Dvd Calendar'!$AB$623*1000000000+ISNUMBER('Dvd Calendar'!$AB$624)*100000000+0*10000000+(N('Dvd Calendar'!$AB$622)&gt;0)*(N('Dvd Calendar'!$AB$622)&lt;=VAL_SERIAL)*1000000+56*1000+64))</f>
        <v/>
      </c>
      <c r="GQ67" s="121">
        <f>IF(N('Dvd Calendar'!$AC$623)=0,"",IF(('Dvd Calendar'!$AC$623&gt;=GRID_FROM)*('Dvd Calendar'!$AC$623&lt;=GRID_TO)*('Dvd Calendar'!$AC$623&gt;VAL_DATE)=0,"",'Dvd Calendar'!$AC$623*1000000000+ISNUMBER('Dvd Calendar'!$AC$624)*100000000+0*10000000+(N('Dvd Calendar'!$AC$622)&gt;0)*(N('Dvd Calendar'!$AC$622)&lt;=VAL_SERIAL)*1000000+56*1000+65))</f>
        <v/>
      </c>
    </row>
    <row r="68">
      <c r="B68" s="2">
        <f>IF(HSI!$C$63="","",HSI!$C$63)</f>
        <v/>
      </c>
      <c r="C68" s="161">
        <f>IF(EE68="","",IF(ISNUMBER('Dvd Calendar'!$E$630)=FALSE,"",IF((('Dvd Calendar'!$E$632=TYPE1)*(TYPE1&lt;&gt;"")+('Dvd Calendar'!$E$632=TYPE2)*(TYPE2&lt;&gt;"")+('Dvd Calendar'!$E$632=TYPE3)*(TYPE3&lt;&gt;"")+('Dvd Calendar'!$E$632=TYPE4)*(TYPE4&lt;&gt;"")+('Dvd Calendar'!$E$632=SPECIAL_LBL)*(INC_SPECIALS="Y"))=0,"",'Dvd Calendar'!$E$630)))</f>
        <v/>
      </c>
      <c r="D68" s="161">
        <f>IF(EF68="","",IF(ISNUMBER('Dvd Calendar'!$F$630)=FALSE,"",IF((('Dvd Calendar'!$F$632=TYPE1)*(TYPE1&lt;&gt;"")+('Dvd Calendar'!$F$632=TYPE2)*(TYPE2&lt;&gt;"")+('Dvd Calendar'!$F$632=TYPE3)*(TYPE3&lt;&gt;"")+('Dvd Calendar'!$F$632=TYPE4)*(TYPE4&lt;&gt;"")+('Dvd Calendar'!$F$632=SPECIAL_LBL)*(INC_SPECIALS="Y"))=0,"",'Dvd Calendar'!$F$630)))</f>
        <v/>
      </c>
      <c r="E68" s="161">
        <f>IF(EG68="","",IF(ISNUMBER('Dvd Calendar'!$G$630)=FALSE,"",IF((('Dvd Calendar'!$G$632=TYPE1)*(TYPE1&lt;&gt;"")+('Dvd Calendar'!$G$632=TYPE2)*(TYPE2&lt;&gt;"")+('Dvd Calendar'!$G$632=TYPE3)*(TYPE3&lt;&gt;"")+('Dvd Calendar'!$G$632=TYPE4)*(TYPE4&lt;&gt;"")+('Dvd Calendar'!$G$632=SPECIAL_LBL)*(INC_SPECIALS="Y"))=0,"",'Dvd Calendar'!$G$630)))</f>
        <v/>
      </c>
      <c r="F68" s="161">
        <f>IF(EH68="","",IF(ISNUMBER('Dvd Calendar'!$H$630)=FALSE,"",IF((('Dvd Calendar'!$H$632=TYPE1)*(TYPE1&lt;&gt;"")+('Dvd Calendar'!$H$632=TYPE2)*(TYPE2&lt;&gt;"")+('Dvd Calendar'!$H$632=TYPE3)*(TYPE3&lt;&gt;"")+('Dvd Calendar'!$H$632=TYPE4)*(TYPE4&lt;&gt;"")+('Dvd Calendar'!$H$632=SPECIAL_LBL)*(INC_SPECIALS="Y"))=0,"",'Dvd Calendar'!$H$630)))</f>
        <v/>
      </c>
      <c r="G68" s="161">
        <f>IF(EI68="","",IF(ISNUMBER('Dvd Calendar'!$I$630)=FALSE,"",IF((('Dvd Calendar'!$I$632=TYPE1)*(TYPE1&lt;&gt;"")+('Dvd Calendar'!$I$632=TYPE2)*(TYPE2&lt;&gt;"")+('Dvd Calendar'!$I$632=TYPE3)*(TYPE3&lt;&gt;"")+('Dvd Calendar'!$I$632=TYPE4)*(TYPE4&lt;&gt;"")+('Dvd Calendar'!$I$632=SPECIAL_LBL)*(INC_SPECIALS="Y"))=0,"",'Dvd Calendar'!$I$630)))</f>
        <v/>
      </c>
      <c r="H68" s="161">
        <f>IF(EJ68="","",IF(ISNUMBER('Dvd Calendar'!$J$630)=FALSE,"",IF((('Dvd Calendar'!$J$632=TYPE1)*(TYPE1&lt;&gt;"")+('Dvd Calendar'!$J$632=TYPE2)*(TYPE2&lt;&gt;"")+('Dvd Calendar'!$J$632=TYPE3)*(TYPE3&lt;&gt;"")+('Dvd Calendar'!$J$632=TYPE4)*(TYPE4&lt;&gt;"")+('Dvd Calendar'!$J$632=SPECIAL_LBL)*(INC_SPECIALS="Y"))=0,"",'Dvd Calendar'!$J$630)))</f>
        <v/>
      </c>
      <c r="I68" s="161">
        <f>IF(EK68="","",IF(ISNUMBER('Dvd Calendar'!$K$630)=FALSE,"",IF((('Dvd Calendar'!$K$632=TYPE1)*(TYPE1&lt;&gt;"")+('Dvd Calendar'!$K$632=TYPE2)*(TYPE2&lt;&gt;"")+('Dvd Calendar'!$K$632=TYPE3)*(TYPE3&lt;&gt;"")+('Dvd Calendar'!$K$632=TYPE4)*(TYPE4&lt;&gt;"")+('Dvd Calendar'!$K$632=SPECIAL_LBL)*(INC_SPECIALS="Y"))=0,"",'Dvd Calendar'!$K$630)))</f>
        <v/>
      </c>
      <c r="J68" s="161">
        <f>IF(EL68="","",IF(ISNUMBER('Dvd Calendar'!$L$630)=FALSE,"",IF((('Dvd Calendar'!$L$632=TYPE1)*(TYPE1&lt;&gt;"")+('Dvd Calendar'!$L$632=TYPE2)*(TYPE2&lt;&gt;"")+('Dvd Calendar'!$L$632=TYPE3)*(TYPE3&lt;&gt;"")+('Dvd Calendar'!$L$632=TYPE4)*(TYPE4&lt;&gt;"")+('Dvd Calendar'!$L$632=SPECIAL_LBL)*(INC_SPECIALS="Y"))=0,"",'Dvd Calendar'!$L$630)))</f>
        <v/>
      </c>
      <c r="K68" s="161">
        <f>IF(EM68="","",IF(ISNUMBER('Dvd Calendar'!$M$630)=FALSE,"",IF((('Dvd Calendar'!$M$632=TYPE1)*(TYPE1&lt;&gt;"")+('Dvd Calendar'!$M$632=TYPE2)*(TYPE2&lt;&gt;"")+('Dvd Calendar'!$M$632=TYPE3)*(TYPE3&lt;&gt;"")+('Dvd Calendar'!$M$632=TYPE4)*(TYPE4&lt;&gt;"")+('Dvd Calendar'!$M$632=SPECIAL_LBL)*(INC_SPECIALS="Y"))=0,"",'Dvd Calendar'!$M$630)))</f>
        <v/>
      </c>
      <c r="L68" s="161">
        <f>IF(EN68="","",IF(ISNUMBER('Dvd Calendar'!$N$630)=FALSE,"",IF((('Dvd Calendar'!$N$632=TYPE1)*(TYPE1&lt;&gt;"")+('Dvd Calendar'!$N$632=TYPE2)*(TYPE2&lt;&gt;"")+('Dvd Calendar'!$N$632=TYPE3)*(TYPE3&lt;&gt;"")+('Dvd Calendar'!$N$632=TYPE4)*(TYPE4&lt;&gt;"")+('Dvd Calendar'!$N$632=SPECIAL_LBL)*(INC_SPECIALS="Y"))=0,"",'Dvd Calendar'!$N$630)))</f>
        <v/>
      </c>
      <c r="M68" s="161">
        <f>IF(EO68="","",IF(ISNUMBER('Dvd Calendar'!$O$630)=FALSE,"",IF((('Dvd Calendar'!$O$632=TYPE1)*(TYPE1&lt;&gt;"")+('Dvd Calendar'!$O$632=TYPE2)*(TYPE2&lt;&gt;"")+('Dvd Calendar'!$O$632=TYPE3)*(TYPE3&lt;&gt;"")+('Dvd Calendar'!$O$632=TYPE4)*(TYPE4&lt;&gt;"")+('Dvd Calendar'!$O$632=SPECIAL_LBL)*(INC_SPECIALS="Y"))=0,"",'Dvd Calendar'!$O$630)))</f>
        <v/>
      </c>
      <c r="N68" s="161">
        <f>IF(EP68="","",IF(ISNUMBER('Dvd Calendar'!$P$630)=FALSE,"",IF((('Dvd Calendar'!$P$632=TYPE1)*(TYPE1&lt;&gt;"")+('Dvd Calendar'!$P$632=TYPE2)*(TYPE2&lt;&gt;"")+('Dvd Calendar'!$P$632=TYPE3)*(TYPE3&lt;&gt;"")+('Dvd Calendar'!$P$632=TYPE4)*(TYPE4&lt;&gt;"")+('Dvd Calendar'!$P$632=SPECIAL_LBL)*(INC_SPECIALS="Y"))=0,"",'Dvd Calendar'!$P$630)))</f>
        <v/>
      </c>
      <c r="O68" s="161">
        <f>IF(EQ68="","",IF(ISNUMBER('Dvd Calendar'!$Q$630)=FALSE,"",IF((('Dvd Calendar'!$Q$632=TYPE1)*(TYPE1&lt;&gt;"")+('Dvd Calendar'!$Q$632=TYPE2)*(TYPE2&lt;&gt;"")+('Dvd Calendar'!$Q$632=TYPE3)*(TYPE3&lt;&gt;"")+('Dvd Calendar'!$Q$632=TYPE4)*(TYPE4&lt;&gt;"")+('Dvd Calendar'!$Q$632=SPECIAL_LBL)*(INC_SPECIALS="Y"))=0,"",'Dvd Calendar'!$Q$630)))</f>
        <v/>
      </c>
      <c r="P68" s="161">
        <f>IF(ER68="","",IF(ISNUMBER('Dvd Calendar'!$R$630)=FALSE,"",IF((('Dvd Calendar'!$R$632=TYPE1)*(TYPE1&lt;&gt;"")+('Dvd Calendar'!$R$632=TYPE2)*(TYPE2&lt;&gt;"")+('Dvd Calendar'!$R$632=TYPE3)*(TYPE3&lt;&gt;"")+('Dvd Calendar'!$R$632=TYPE4)*(TYPE4&lt;&gt;"")+('Dvd Calendar'!$R$632=SPECIAL_LBL)*(INC_SPECIALS="Y"))=0,"",'Dvd Calendar'!$R$630)))</f>
        <v/>
      </c>
      <c r="Q68" s="161">
        <f>IF(ES68="","",IF(ISNUMBER('Dvd Calendar'!$S$630)=FALSE,"",IF((('Dvd Calendar'!$S$632=TYPE1)*(TYPE1&lt;&gt;"")+('Dvd Calendar'!$S$632=TYPE2)*(TYPE2&lt;&gt;"")+('Dvd Calendar'!$S$632=TYPE3)*(TYPE3&lt;&gt;"")+('Dvd Calendar'!$S$632=TYPE4)*(TYPE4&lt;&gt;"")+('Dvd Calendar'!$S$632=SPECIAL_LBL)*(INC_SPECIALS="Y"))=0,"",'Dvd Calendar'!$S$630)))</f>
        <v/>
      </c>
      <c r="R68" s="161">
        <f>IF(ET68="","",IF(ISNUMBER('Dvd Calendar'!$T$630)=FALSE,"",IF((('Dvd Calendar'!$T$632=TYPE1)*(TYPE1&lt;&gt;"")+('Dvd Calendar'!$T$632=TYPE2)*(TYPE2&lt;&gt;"")+('Dvd Calendar'!$T$632=TYPE3)*(TYPE3&lt;&gt;"")+('Dvd Calendar'!$T$632=TYPE4)*(TYPE4&lt;&gt;"")+('Dvd Calendar'!$T$632=SPECIAL_LBL)*(INC_SPECIALS="Y"))=0,"",'Dvd Calendar'!$T$630)))</f>
        <v/>
      </c>
      <c r="S68" s="161">
        <f>IF(EU68="","",IF(ISNUMBER('Dvd Calendar'!$U$630)=FALSE,"",IF((('Dvd Calendar'!$U$632=TYPE1)*(TYPE1&lt;&gt;"")+('Dvd Calendar'!$U$632=TYPE2)*(TYPE2&lt;&gt;"")+('Dvd Calendar'!$U$632=TYPE3)*(TYPE3&lt;&gt;"")+('Dvd Calendar'!$U$632=TYPE4)*(TYPE4&lt;&gt;"")+('Dvd Calendar'!$U$632=SPECIAL_LBL)*(INC_SPECIALS="Y"))=0,"",'Dvd Calendar'!$U$630)))</f>
        <v/>
      </c>
      <c r="T68" s="161">
        <f>IF(EV68="","",IF(ISNUMBER('Dvd Calendar'!$V$630)=FALSE,"",IF((('Dvd Calendar'!$V$632=TYPE1)*(TYPE1&lt;&gt;"")+('Dvd Calendar'!$V$632=TYPE2)*(TYPE2&lt;&gt;"")+('Dvd Calendar'!$V$632=TYPE3)*(TYPE3&lt;&gt;"")+('Dvd Calendar'!$V$632=TYPE4)*(TYPE4&lt;&gt;"")+('Dvd Calendar'!$V$632=SPECIAL_LBL)*(INC_SPECIALS="Y"))=0,"",'Dvd Calendar'!$V$630)))</f>
        <v/>
      </c>
      <c r="U68" s="161">
        <f>IF(EW68="","",IF(ISNUMBER('Dvd Calendar'!$W$630)=FALSE,"",IF((('Dvd Calendar'!$W$632=TYPE1)*(TYPE1&lt;&gt;"")+('Dvd Calendar'!$W$632=TYPE2)*(TYPE2&lt;&gt;"")+('Dvd Calendar'!$W$632=TYPE3)*(TYPE3&lt;&gt;"")+('Dvd Calendar'!$W$632=TYPE4)*(TYPE4&lt;&gt;"")+('Dvd Calendar'!$W$632=SPECIAL_LBL)*(INC_SPECIALS="Y"))=0,"",'Dvd Calendar'!$W$630)))</f>
        <v/>
      </c>
      <c r="V68" s="161">
        <f>IF(EX68="","",IF(ISNUMBER('Dvd Calendar'!$X$630)=FALSE,"",IF((('Dvd Calendar'!$X$632=TYPE1)*(TYPE1&lt;&gt;"")+('Dvd Calendar'!$X$632=TYPE2)*(TYPE2&lt;&gt;"")+('Dvd Calendar'!$X$632=TYPE3)*(TYPE3&lt;&gt;"")+('Dvd Calendar'!$X$632=TYPE4)*(TYPE4&lt;&gt;"")+('Dvd Calendar'!$X$632=SPECIAL_LBL)*(INC_SPECIALS="Y"))=0,"",'Dvd Calendar'!$X$630)))</f>
        <v/>
      </c>
      <c r="W68" s="161">
        <f>IF(EY68="","",IF(ISNUMBER('Dvd Calendar'!$Y$630)=FALSE,"",IF((('Dvd Calendar'!$Y$632=TYPE1)*(TYPE1&lt;&gt;"")+('Dvd Calendar'!$Y$632=TYPE2)*(TYPE2&lt;&gt;"")+('Dvd Calendar'!$Y$632=TYPE3)*(TYPE3&lt;&gt;"")+('Dvd Calendar'!$Y$632=TYPE4)*(TYPE4&lt;&gt;"")+('Dvd Calendar'!$Y$632=SPECIAL_LBL)*(INC_SPECIALS="Y"))=0,"",'Dvd Calendar'!$Y$630)))</f>
        <v/>
      </c>
      <c r="X68" s="161">
        <f>IF(EZ68="","",IF(ISNUMBER('Dvd Calendar'!$Z$630)=FALSE,"",IF((('Dvd Calendar'!$Z$632=TYPE1)*(TYPE1&lt;&gt;"")+('Dvd Calendar'!$Z$632=TYPE2)*(TYPE2&lt;&gt;"")+('Dvd Calendar'!$Z$632=TYPE3)*(TYPE3&lt;&gt;"")+('Dvd Calendar'!$Z$632=TYPE4)*(TYPE4&lt;&gt;"")+('Dvd Calendar'!$Z$632=SPECIAL_LBL)*(INC_SPECIALS="Y"))=0,"",'Dvd Calendar'!$Z$630)))</f>
        <v/>
      </c>
      <c r="Y68" s="161">
        <f>IF(FA68="","",IF(ISNUMBER('Dvd Calendar'!$AA$630)=FALSE,"",IF((('Dvd Calendar'!$AA$632=TYPE1)*(TYPE1&lt;&gt;"")+('Dvd Calendar'!$AA$632=TYPE2)*(TYPE2&lt;&gt;"")+('Dvd Calendar'!$AA$632=TYPE3)*(TYPE3&lt;&gt;"")+('Dvd Calendar'!$AA$632=TYPE4)*(TYPE4&lt;&gt;"")+('Dvd Calendar'!$AA$632=SPECIAL_LBL)*(INC_SPECIALS="Y"))=0,"",'Dvd Calendar'!$AA$630)))</f>
        <v/>
      </c>
      <c r="Z68" s="161">
        <f>IF(FB68="","",IF(ISNUMBER('Dvd Calendar'!$AB$630)=FALSE,"",IF((('Dvd Calendar'!$AB$632=TYPE1)*(TYPE1&lt;&gt;"")+('Dvd Calendar'!$AB$632=TYPE2)*(TYPE2&lt;&gt;"")+('Dvd Calendar'!$AB$632=TYPE3)*(TYPE3&lt;&gt;"")+('Dvd Calendar'!$AB$632=TYPE4)*(TYPE4&lt;&gt;"")+('Dvd Calendar'!$AB$632=SPECIAL_LBL)*(INC_SPECIALS="Y"))=0,"",'Dvd Calendar'!$AB$630)))</f>
        <v/>
      </c>
      <c r="AA68" s="161">
        <f>IF(FC68="","",IF(ISNUMBER('Dvd Calendar'!$AC$630)=FALSE,"",IF((('Dvd Calendar'!$AC$632=TYPE1)*(TYPE1&lt;&gt;"")+('Dvd Calendar'!$AC$632=TYPE2)*(TYPE2&lt;&gt;"")+('Dvd Calendar'!$AC$632=TYPE3)*(TYPE3&lt;&gt;"")+('Dvd Calendar'!$AC$632=TYPE4)*(TYPE4&lt;&gt;"")+('Dvd Calendar'!$AC$632=SPECIAL_LBL)*(INC_SPECIALS="Y"))=0,"",'Dvd Calendar'!$AC$630)))</f>
        <v/>
      </c>
      <c r="AB68" s="161">
        <f>IF(FD68="","",IF(ISNUMBER('Dvd Calendar'!$AD$630)=FALSE,"",IF((('Dvd Calendar'!$AD$632=TYPE1)*(TYPE1&lt;&gt;"")+('Dvd Calendar'!$AD$632=TYPE2)*(TYPE2&lt;&gt;"")+('Dvd Calendar'!$AD$632=TYPE3)*(TYPE3&lt;&gt;"")+('Dvd Calendar'!$AD$632=TYPE4)*(TYPE4&lt;&gt;"")+('Dvd Calendar'!$AD$632=SPECIAL_LBL)*(INC_SPECIALS="Y"))=0,"",'Dvd Calendar'!$AD$630)))</f>
        <v/>
      </c>
      <c r="AC68" s="161">
        <f>IF(FE68="","",IF(ISNUMBER('Dvd Calendar'!$AE$630)=FALSE,"",IF((('Dvd Calendar'!$AE$632=TYPE1)*(TYPE1&lt;&gt;"")+('Dvd Calendar'!$AE$632=TYPE2)*(TYPE2&lt;&gt;"")+('Dvd Calendar'!$AE$632=TYPE3)*(TYPE3&lt;&gt;"")+('Dvd Calendar'!$AE$632=TYPE4)*(TYPE4&lt;&gt;"")+('Dvd Calendar'!$AE$632=SPECIAL_LBL)*(INC_SPECIALS="Y"))=0,"",'Dvd Calendar'!$AE$630)))</f>
        <v/>
      </c>
      <c r="AD68" s="161">
        <f>IF(FF68="","",IF(ISNUMBER('Dvd Calendar'!$AF$630)=FALSE,"",IF((('Dvd Calendar'!$AF$632=TYPE1)*(TYPE1&lt;&gt;"")+('Dvd Calendar'!$AF$632=TYPE2)*(TYPE2&lt;&gt;"")+('Dvd Calendar'!$AF$632=TYPE3)*(TYPE3&lt;&gt;"")+('Dvd Calendar'!$AF$632=TYPE4)*(TYPE4&lt;&gt;"")+('Dvd Calendar'!$AF$632=SPECIAL_LBL)*(INC_SPECIALS="Y"))=0,"",'Dvd Calendar'!$AF$630)))</f>
        <v/>
      </c>
      <c r="AE68" s="161">
        <f>IF(FG68="","",IF(ISNUMBER('Dvd Calendar'!$AG$630)=FALSE,"",IF((('Dvd Calendar'!$AG$632=TYPE1)*(TYPE1&lt;&gt;"")+('Dvd Calendar'!$AG$632=TYPE2)*(TYPE2&lt;&gt;"")+('Dvd Calendar'!$AG$632=TYPE3)*(TYPE3&lt;&gt;"")+('Dvd Calendar'!$AG$632=TYPE4)*(TYPE4&lt;&gt;"")+('Dvd Calendar'!$AG$632=SPECIAL_LBL)*(INC_SPECIALS="Y"))=0,"",'Dvd Calendar'!$AG$630)))</f>
        <v/>
      </c>
      <c r="AF68" s="161">
        <f>IF(FH68="","",IF(ISNUMBER('Dvd Calendar'!$AH$630)=FALSE,"",IF((('Dvd Calendar'!$AH$632=TYPE1)*(TYPE1&lt;&gt;"")+('Dvd Calendar'!$AH$632=TYPE2)*(TYPE2&lt;&gt;"")+('Dvd Calendar'!$AH$632=TYPE3)*(TYPE3&lt;&gt;"")+('Dvd Calendar'!$AH$632=TYPE4)*(TYPE4&lt;&gt;"")+('Dvd Calendar'!$AH$632=SPECIAL_LBL)*(INC_SPECIALS="Y"))=0,"",'Dvd Calendar'!$AH$630)))</f>
        <v/>
      </c>
      <c r="AG68" s="161">
        <f>IF(FI68="","",IF(ISNUMBER('Dvd Calendar'!$AI$630)=FALSE,"",IF((('Dvd Calendar'!$AI$632=TYPE1)*(TYPE1&lt;&gt;"")+('Dvd Calendar'!$AI$632=TYPE2)*(TYPE2&lt;&gt;"")+('Dvd Calendar'!$AI$632=TYPE3)*(TYPE3&lt;&gt;"")+('Dvd Calendar'!$AI$632=TYPE4)*(TYPE4&lt;&gt;"")+('Dvd Calendar'!$AI$632=SPECIAL_LBL)*(INC_SPECIALS="Y"))=0,"",'Dvd Calendar'!$AI$630)))</f>
        <v/>
      </c>
      <c r="AH68" s="161">
        <f>IF(FJ68="","",IF(ISNUMBER('Dvd Calendar'!$AJ$630)=FALSE,"",IF((('Dvd Calendar'!$AJ$632=TYPE1)*(TYPE1&lt;&gt;"")+('Dvd Calendar'!$AJ$632=TYPE2)*(TYPE2&lt;&gt;"")+('Dvd Calendar'!$AJ$632=TYPE3)*(TYPE3&lt;&gt;"")+('Dvd Calendar'!$AJ$632=TYPE4)*(TYPE4&lt;&gt;"")+('Dvd Calendar'!$AJ$632=SPECIAL_LBL)*(INC_SPECIALS="Y"))=0,"",'Dvd Calendar'!$AJ$630)))</f>
        <v/>
      </c>
      <c r="AI68" s="161">
        <f>IF(FK68="","",IF(ISNUMBER('Dvd Calendar'!$AK$630)=FALSE,"",IF((('Dvd Calendar'!$AK$632=TYPE1)*(TYPE1&lt;&gt;"")+('Dvd Calendar'!$AK$632=TYPE2)*(TYPE2&lt;&gt;"")+('Dvd Calendar'!$AK$632=TYPE3)*(TYPE3&lt;&gt;"")+('Dvd Calendar'!$AK$632=TYPE4)*(TYPE4&lt;&gt;"")+('Dvd Calendar'!$AK$632=SPECIAL_LBL)*(INC_SPECIALS="Y"))=0,"",'Dvd Calendar'!$AK$630)))</f>
        <v/>
      </c>
      <c r="AJ68" s="161">
        <f>IF(FL68="","",IF(ISNUMBER('Dvd Calendar'!$AL$630)=FALSE,"",IF((('Dvd Calendar'!$AL$632=TYPE1)*(TYPE1&lt;&gt;"")+('Dvd Calendar'!$AL$632=TYPE2)*(TYPE2&lt;&gt;"")+('Dvd Calendar'!$AL$632=TYPE3)*(TYPE3&lt;&gt;"")+('Dvd Calendar'!$AL$632=TYPE4)*(TYPE4&lt;&gt;"")+('Dvd Calendar'!$AL$632=SPECIAL_LBL)*(INC_SPECIALS="Y"))=0,"",'Dvd Calendar'!$AL$630)))</f>
        <v/>
      </c>
      <c r="AK68" s="161">
        <f>IF(FM68="","",IF(ISNUMBER('Dvd Calendar'!$AM$630)=FALSE,"",IF((('Dvd Calendar'!$AM$632=TYPE1)*(TYPE1&lt;&gt;"")+('Dvd Calendar'!$AM$632=TYPE2)*(TYPE2&lt;&gt;"")+('Dvd Calendar'!$AM$632=TYPE3)*(TYPE3&lt;&gt;"")+('Dvd Calendar'!$AM$632=TYPE4)*(TYPE4&lt;&gt;"")+('Dvd Calendar'!$AM$632=SPECIAL_LBL)*(INC_SPECIALS="Y"))=0,"",'Dvd Calendar'!$AM$630)))</f>
        <v/>
      </c>
      <c r="AL68" s="161">
        <f>IF(FN68="","",IF(ISNUMBER('Dvd Calendar'!$AN$630)=FALSE,"",IF((('Dvd Calendar'!$AN$632=TYPE1)*(TYPE1&lt;&gt;"")+('Dvd Calendar'!$AN$632=TYPE2)*(TYPE2&lt;&gt;"")+('Dvd Calendar'!$AN$632=TYPE3)*(TYPE3&lt;&gt;"")+('Dvd Calendar'!$AN$632=TYPE4)*(TYPE4&lt;&gt;"")+('Dvd Calendar'!$AN$632=SPECIAL_LBL)*(INC_SPECIALS="Y"))=0,"",'Dvd Calendar'!$AN$630)))</f>
        <v/>
      </c>
      <c r="AM68" s="161">
        <f>IF(FO68="","",IF(ISNUMBER('Dvd Calendar'!$AO$630)=FALSE,"",IF((('Dvd Calendar'!$AO$632=TYPE1)*(TYPE1&lt;&gt;"")+('Dvd Calendar'!$AO$632=TYPE2)*(TYPE2&lt;&gt;"")+('Dvd Calendar'!$AO$632=TYPE3)*(TYPE3&lt;&gt;"")+('Dvd Calendar'!$AO$632=TYPE4)*(TYPE4&lt;&gt;"")+('Dvd Calendar'!$AO$632=SPECIAL_LBL)*(INC_SPECIALS="Y"))=0,"",'Dvd Calendar'!$AO$630)))</f>
        <v/>
      </c>
      <c r="AN68" s="161">
        <f>IF(FP68="","",IF(ISNUMBER('Dvd Calendar'!$AP$630)=FALSE,"",IF((('Dvd Calendar'!$AP$632=TYPE1)*(TYPE1&lt;&gt;"")+('Dvd Calendar'!$AP$632=TYPE2)*(TYPE2&lt;&gt;"")+('Dvd Calendar'!$AP$632=TYPE3)*(TYPE3&lt;&gt;"")+('Dvd Calendar'!$AP$632=TYPE4)*(TYPE4&lt;&gt;"")+('Dvd Calendar'!$AP$632=SPECIAL_LBL)*(INC_SPECIALS="Y"))=0,"",'Dvd Calendar'!$AP$630)))</f>
        <v/>
      </c>
      <c r="AO68" s="161">
        <f>IF(FQ68="","",IF(ISNUMBER('Dvd Calendar'!$AQ$630)=FALSE,"",IF((('Dvd Calendar'!$AQ$632=TYPE1)*(TYPE1&lt;&gt;"")+('Dvd Calendar'!$AQ$632=TYPE2)*(TYPE2&lt;&gt;"")+('Dvd Calendar'!$AQ$632=TYPE3)*(TYPE3&lt;&gt;"")+('Dvd Calendar'!$AQ$632=TYPE4)*(TYPE4&lt;&gt;"")+('Dvd Calendar'!$AQ$632=SPECIAL_LBL)*(INC_SPECIALS="Y"))=0,"",'Dvd Calendar'!$AQ$630)))</f>
        <v/>
      </c>
      <c r="AP68" s="161">
        <f>IF(FR68="","",IF(ISNUMBER('Dvd Calendar'!$AR$630)=FALSE,"",IF((('Dvd Calendar'!$AR$632=TYPE1)*(TYPE1&lt;&gt;"")+('Dvd Calendar'!$AR$632=TYPE2)*(TYPE2&lt;&gt;"")+('Dvd Calendar'!$AR$632=TYPE3)*(TYPE3&lt;&gt;"")+('Dvd Calendar'!$AR$632=TYPE4)*(TYPE4&lt;&gt;"")+('Dvd Calendar'!$AR$632=SPECIAL_LBL)*(INC_SPECIALS="Y"))=0,"",'Dvd Calendar'!$AR$630)))</f>
        <v/>
      </c>
      <c r="AQ68" s="161">
        <f>IF(FS68="","",IF(ISNUMBER('Dvd Calendar'!$E$635)=FALSE,"",'Dvd Calendar'!$E$635))</f>
        <v/>
      </c>
      <c r="AR68" s="161">
        <f>IF(FT68="","",IF(ISNUMBER('Dvd Calendar'!$F$635)=FALSE,"",'Dvd Calendar'!$F$635))</f>
        <v/>
      </c>
      <c r="AS68" s="161">
        <f>IF(FU68="","",IF(ISNUMBER('Dvd Calendar'!$G$635)=FALSE,"",'Dvd Calendar'!$G$635))</f>
        <v/>
      </c>
      <c r="AT68" s="161">
        <f>IF(FV68="","",IF(ISNUMBER('Dvd Calendar'!$H$635)=FALSE,"",'Dvd Calendar'!$H$635))</f>
        <v/>
      </c>
      <c r="AU68" s="161">
        <f>IF(FW68="","",IF(ISNUMBER('Dvd Calendar'!$I$635)=FALSE,"",'Dvd Calendar'!$I$635))</f>
        <v/>
      </c>
      <c r="AV68" s="161">
        <f>IF(FX68="","",IF(ISNUMBER('Dvd Calendar'!$J$635)=FALSE,"",'Dvd Calendar'!$J$635))</f>
        <v/>
      </c>
      <c r="AW68" s="161">
        <f>IF(FY68="","",IF(ISNUMBER('Dvd Calendar'!$K$635)=FALSE,"",'Dvd Calendar'!$K$635))</f>
        <v/>
      </c>
      <c r="AX68" s="161">
        <f>IF(FZ68="","",IF(ISNUMBER('Dvd Calendar'!$L$635)=FALSE,"",'Dvd Calendar'!$L$635))</f>
        <v/>
      </c>
      <c r="AY68" s="161">
        <f>IF(GA68="","",IF(ISNUMBER('Dvd Calendar'!$M$635)=FALSE,"",'Dvd Calendar'!$M$635))</f>
        <v/>
      </c>
      <c r="AZ68" s="161">
        <f>IF(GB68="","",IF(ISNUMBER('Dvd Calendar'!$N$635)=FALSE,"",'Dvd Calendar'!$N$635))</f>
        <v/>
      </c>
      <c r="BA68" s="161">
        <f>IF(GC68="","",IF(ISNUMBER('Dvd Calendar'!$O$635)=FALSE,"",'Dvd Calendar'!$O$635))</f>
        <v/>
      </c>
      <c r="BB68" s="161">
        <f>IF(GD68="","",IF(ISNUMBER('Dvd Calendar'!$P$635)=FALSE,"",'Dvd Calendar'!$P$635))</f>
        <v/>
      </c>
      <c r="BC68" s="161">
        <f>IF(GE68="","",IF(ISNUMBER('Dvd Calendar'!$Q$635)=FALSE,"",'Dvd Calendar'!$Q$635))</f>
        <v/>
      </c>
      <c r="BD68" s="161">
        <f>IF(GF68="","",IF(ISNUMBER('Dvd Calendar'!$R$635)=FALSE,"",'Dvd Calendar'!$R$635))</f>
        <v/>
      </c>
      <c r="BE68" s="161">
        <f>IF(GG68="","",IF(ISNUMBER('Dvd Calendar'!$S$635)=FALSE,"",'Dvd Calendar'!$S$635))</f>
        <v/>
      </c>
      <c r="BF68" s="161">
        <f>IF(GH68="","",IF(ISNUMBER('Dvd Calendar'!$T$635)=FALSE,"",'Dvd Calendar'!$T$635))</f>
        <v/>
      </c>
      <c r="BG68" s="161">
        <f>IF(GI68="","",IF(ISNUMBER('Dvd Calendar'!$U$635)=FALSE,"",'Dvd Calendar'!$U$635))</f>
        <v/>
      </c>
      <c r="BH68" s="161">
        <f>IF(GJ68="","",IF(ISNUMBER('Dvd Calendar'!$V$635)=FALSE,"",'Dvd Calendar'!$V$635))</f>
        <v/>
      </c>
      <c r="BI68" s="161">
        <f>IF(GK68="","",IF(ISNUMBER('Dvd Calendar'!$W$635)=FALSE,"",'Dvd Calendar'!$W$635))</f>
        <v/>
      </c>
      <c r="BJ68" s="161">
        <f>IF(GL68="","",IF(ISNUMBER('Dvd Calendar'!$X$635)=FALSE,"",'Dvd Calendar'!$X$635))</f>
        <v/>
      </c>
      <c r="BK68" s="161">
        <f>IF(GM68="","",IF(ISNUMBER('Dvd Calendar'!$Y$635)=FALSE,"",'Dvd Calendar'!$Y$635))</f>
        <v/>
      </c>
      <c r="BL68" s="161">
        <f>IF(GN68="","",IF(ISNUMBER('Dvd Calendar'!$Z$635)=FALSE,"",'Dvd Calendar'!$Z$635))</f>
        <v/>
      </c>
      <c r="BM68" s="161">
        <f>IF(GO68="","",IF(ISNUMBER('Dvd Calendar'!$AA$635)=FALSE,"",'Dvd Calendar'!$AA$635))</f>
        <v/>
      </c>
      <c r="BN68" s="161">
        <f>IF(GP68="","",IF(ISNUMBER('Dvd Calendar'!$AB$635)=FALSE,"",'Dvd Calendar'!$AB$635))</f>
        <v/>
      </c>
      <c r="BO68" s="161">
        <f>IF(GQ68="","",IF(ISNUMBER('Dvd Calendar'!$AC$635)=FALSE,"",'Dvd Calendar'!$AC$635))</f>
        <v/>
      </c>
      <c r="BQ68" s="161">
        <f>IF(C68="","",IFERROR(C68*HSI!$B$63*HSI!$G$63/HSI!$B$3,""))</f>
        <v/>
      </c>
      <c r="BR68" s="161">
        <f>IF(D68="","",IFERROR(D68*HSI!$B$63*HSI!$G$63/HSI!$B$3,""))</f>
        <v/>
      </c>
      <c r="BS68" s="161">
        <f>IF(E68="","",IFERROR(E68*HSI!$B$63*HSI!$G$63/HSI!$B$3,""))</f>
        <v/>
      </c>
      <c r="BT68" s="161">
        <f>IF(F68="","",IFERROR(F68*HSI!$B$63*HSI!$G$63/HSI!$B$3,""))</f>
        <v/>
      </c>
      <c r="BU68" s="161">
        <f>IF(G68="","",IFERROR(G68*HSI!$B$63*HSI!$G$63/HSI!$B$3,""))</f>
        <v/>
      </c>
      <c r="BV68" s="161">
        <f>IF(H68="","",IFERROR(H68*HSI!$B$63*HSI!$G$63/HSI!$B$3,""))</f>
        <v/>
      </c>
      <c r="BW68" s="161">
        <f>IF(I68="","",IFERROR(I68*HSI!$B$63*HSI!$G$63/HSI!$B$3,""))</f>
        <v/>
      </c>
      <c r="BX68" s="161">
        <f>IF(J68="","",IFERROR(J68*HSI!$B$63*HSI!$G$63/HSI!$B$3,""))</f>
        <v/>
      </c>
      <c r="BY68" s="161">
        <f>IF(K68="","",IFERROR(K68*HSI!$B$63*HSI!$G$63/HSI!$B$3,""))</f>
        <v/>
      </c>
      <c r="BZ68" s="161">
        <f>IF(L68="","",IFERROR(L68*HSI!$B$63*HSI!$G$63/HSI!$B$3,""))</f>
        <v/>
      </c>
      <c r="CA68" s="161">
        <f>IF(M68="","",IFERROR(M68*HSI!$B$63*HSI!$G$63/HSI!$B$3,""))</f>
        <v/>
      </c>
      <c r="CB68" s="161">
        <f>IF(N68="","",IFERROR(N68*HSI!$B$63*HSI!$G$63/HSI!$B$3,""))</f>
        <v/>
      </c>
      <c r="CC68" s="161">
        <f>IF(O68="","",IFERROR(O68*HSI!$B$63*HSI!$G$63/HSI!$B$3,""))</f>
        <v/>
      </c>
      <c r="CD68" s="161">
        <f>IF(P68="","",IFERROR(P68*HSI!$B$63*HSI!$G$63/HSI!$B$3,""))</f>
        <v/>
      </c>
      <c r="CE68" s="161">
        <f>IF(Q68="","",IFERROR(Q68*HSI!$B$63*HSI!$G$63/HSI!$B$3,""))</f>
        <v/>
      </c>
      <c r="CF68" s="161">
        <f>IF(R68="","",IFERROR(R68*HSI!$B$63*HSI!$G$63/HSI!$B$3,""))</f>
        <v/>
      </c>
      <c r="CG68" s="161">
        <f>IF(S68="","",IFERROR(S68*HSI!$B$63*HSI!$G$63/HSI!$B$3,""))</f>
        <v/>
      </c>
      <c r="CH68" s="161">
        <f>IF(T68="","",IFERROR(T68*HSI!$B$63*HSI!$G$63/HSI!$B$3,""))</f>
        <v/>
      </c>
      <c r="CI68" s="161">
        <f>IF(U68="","",IFERROR(U68*HSI!$B$63*HSI!$G$63/HSI!$B$3,""))</f>
        <v/>
      </c>
      <c r="CJ68" s="161">
        <f>IF(V68="","",IFERROR(V68*HSI!$B$63*HSI!$G$63/HSI!$B$3,""))</f>
        <v/>
      </c>
      <c r="CK68" s="161">
        <f>IF(W68="","",IFERROR(W68*HSI!$B$63*HSI!$G$63/HSI!$B$3,""))</f>
        <v/>
      </c>
      <c r="CL68" s="161">
        <f>IF(X68="","",IFERROR(X68*HSI!$B$63*HSI!$G$63/HSI!$B$3,""))</f>
        <v/>
      </c>
      <c r="CM68" s="161">
        <f>IF(Y68="","",IFERROR(Y68*HSI!$B$63*HSI!$G$63/HSI!$B$3,""))</f>
        <v/>
      </c>
      <c r="CN68" s="161">
        <f>IF(Z68="","",IFERROR(Z68*HSI!$B$63*HSI!$G$63/HSI!$B$3,""))</f>
        <v/>
      </c>
      <c r="CO68" s="161">
        <f>IF(AA68="","",IFERROR(AA68*HSI!$B$63*HSI!$G$63/HSI!$B$3,""))</f>
        <v/>
      </c>
      <c r="CP68" s="161">
        <f>IF(AB68="","",IFERROR(AB68*HSI!$B$63*HSI!$G$63/HSI!$B$3,""))</f>
        <v/>
      </c>
      <c r="CQ68" s="161">
        <f>IF(AC68="","",IFERROR(AC68*HSI!$B$63*HSI!$G$63/HSI!$B$3,""))</f>
        <v/>
      </c>
      <c r="CR68" s="161">
        <f>IF(AD68="","",IFERROR(AD68*HSI!$B$63*HSI!$G$63/HSI!$B$3,""))</f>
        <v/>
      </c>
      <c r="CS68" s="161">
        <f>IF(AE68="","",IFERROR(AE68*HSI!$B$63*HSI!$G$63/HSI!$B$3,""))</f>
        <v/>
      </c>
      <c r="CT68" s="161">
        <f>IF(AF68="","",IFERROR(AF68*HSI!$B$63*HSI!$G$63/HSI!$B$3,""))</f>
        <v/>
      </c>
      <c r="CU68" s="161">
        <f>IF(AG68="","",IFERROR(AG68*HSI!$B$63*HSI!$G$63/HSI!$B$3,""))</f>
        <v/>
      </c>
      <c r="CV68" s="161">
        <f>IF(AH68="","",IFERROR(AH68*HSI!$B$63*HSI!$G$63/HSI!$B$3,""))</f>
        <v/>
      </c>
      <c r="CW68" s="161">
        <f>IF(AI68="","",IFERROR(AI68*HSI!$B$63*HSI!$G$63/HSI!$B$3,""))</f>
        <v/>
      </c>
      <c r="CX68" s="161">
        <f>IF(AJ68="","",IFERROR(AJ68*HSI!$B$63*HSI!$G$63/HSI!$B$3,""))</f>
        <v/>
      </c>
      <c r="CY68" s="161">
        <f>IF(AK68="","",IFERROR(AK68*HSI!$B$63*HSI!$G$63/HSI!$B$3,""))</f>
        <v/>
      </c>
      <c r="CZ68" s="161">
        <f>IF(AL68="","",IFERROR(AL68*HSI!$B$63*HSI!$G$63/HSI!$B$3,""))</f>
        <v/>
      </c>
      <c r="DA68" s="161">
        <f>IF(AM68="","",IFERROR(AM68*HSI!$B$63*HSI!$G$63/HSI!$B$3,""))</f>
        <v/>
      </c>
      <c r="DB68" s="161">
        <f>IF(AN68="","",IFERROR(AN68*HSI!$B$63*HSI!$G$63/HSI!$B$3,""))</f>
        <v/>
      </c>
      <c r="DC68" s="161">
        <f>IF(AO68="","",IFERROR(AO68*HSI!$B$63*HSI!$G$63/HSI!$B$3,""))</f>
        <v/>
      </c>
      <c r="DD68" s="161">
        <f>IF(AP68="","",IFERROR(AP68*HSI!$B$63*HSI!$G$63/HSI!$B$3,""))</f>
        <v/>
      </c>
      <c r="DE68" s="161">
        <f>IF(AQ68="","",IFERROR(AQ68*HSI!$B$63*HSI!$G$63/HSI!$B$3,""))</f>
        <v/>
      </c>
      <c r="DF68" s="161">
        <f>IF(AR68="","",IFERROR(AR68*HSI!$B$63*HSI!$G$63/HSI!$B$3,""))</f>
        <v/>
      </c>
      <c r="DG68" s="161">
        <f>IF(AS68="","",IFERROR(AS68*HSI!$B$63*HSI!$G$63/HSI!$B$3,""))</f>
        <v/>
      </c>
      <c r="DH68" s="161">
        <f>IF(AT68="","",IFERROR(AT68*HSI!$B$63*HSI!$G$63/HSI!$B$3,""))</f>
        <v/>
      </c>
      <c r="DI68" s="161">
        <f>IF(AU68="","",IFERROR(AU68*HSI!$B$63*HSI!$G$63/HSI!$B$3,""))</f>
        <v/>
      </c>
      <c r="DJ68" s="161">
        <f>IF(AV68="","",IFERROR(AV68*HSI!$B$63*HSI!$G$63/HSI!$B$3,""))</f>
        <v/>
      </c>
      <c r="DK68" s="161">
        <f>IF(AW68="","",IFERROR(AW68*HSI!$B$63*HSI!$G$63/HSI!$B$3,""))</f>
        <v/>
      </c>
      <c r="DL68" s="161">
        <f>IF(AX68="","",IFERROR(AX68*HSI!$B$63*HSI!$G$63/HSI!$B$3,""))</f>
        <v/>
      </c>
      <c r="DM68" s="161">
        <f>IF(AY68="","",IFERROR(AY68*HSI!$B$63*HSI!$G$63/HSI!$B$3,""))</f>
        <v/>
      </c>
      <c r="DN68" s="161">
        <f>IF(AZ68="","",IFERROR(AZ68*HSI!$B$63*HSI!$G$63/HSI!$B$3,""))</f>
        <v/>
      </c>
      <c r="DO68" s="161">
        <f>IF(BA68="","",IFERROR(BA68*HSI!$B$63*HSI!$G$63/HSI!$B$3,""))</f>
        <v/>
      </c>
      <c r="DP68" s="161">
        <f>IF(BB68="","",IFERROR(BB68*HSI!$B$63*HSI!$G$63/HSI!$B$3,""))</f>
        <v/>
      </c>
      <c r="DQ68" s="161">
        <f>IF(BC68="","",IFERROR(BC68*HSI!$B$63*HSI!$G$63/HSI!$B$3,""))</f>
        <v/>
      </c>
      <c r="DR68" s="161">
        <f>IF(BD68="","",IFERROR(BD68*HSI!$B$63*HSI!$G$63/HSI!$B$3,""))</f>
        <v/>
      </c>
      <c r="DS68" s="161">
        <f>IF(BE68="","",IFERROR(BE68*HSI!$B$63*HSI!$G$63/HSI!$B$3,""))</f>
        <v/>
      </c>
      <c r="DT68" s="161">
        <f>IF(BF68="","",IFERROR(BF68*HSI!$B$63*HSI!$G$63/HSI!$B$3,""))</f>
        <v/>
      </c>
      <c r="DU68" s="161">
        <f>IF(BG68="","",IFERROR(BG68*HSI!$B$63*HSI!$G$63/HSI!$B$3,""))</f>
        <v/>
      </c>
      <c r="DV68" s="161">
        <f>IF(BH68="","",IFERROR(BH68*HSI!$B$63*HSI!$G$63/HSI!$B$3,""))</f>
        <v/>
      </c>
      <c r="DW68" s="161">
        <f>IF(BI68="","",IFERROR(BI68*HSI!$B$63*HSI!$G$63/HSI!$B$3,""))</f>
        <v/>
      </c>
      <c r="DX68" s="161">
        <f>IF(BJ68="","",IFERROR(BJ68*HSI!$B$63*HSI!$G$63/HSI!$B$3,""))</f>
        <v/>
      </c>
      <c r="DY68" s="161">
        <f>IF(BK68="","",IFERROR(BK68*HSI!$B$63*HSI!$G$63/HSI!$B$3,""))</f>
        <v/>
      </c>
      <c r="DZ68" s="161">
        <f>IF(BL68="","",IFERROR(BL68*HSI!$B$63*HSI!$G$63/HSI!$B$3,""))</f>
        <v/>
      </c>
      <c r="EA68" s="161">
        <f>IF(BM68="","",IFERROR(BM68*HSI!$B$63*HSI!$G$63/HSI!$B$3,""))</f>
        <v/>
      </c>
      <c r="EB68" s="161">
        <f>IF(BN68="","",IFERROR(BN68*HSI!$B$63*HSI!$G$63/HSI!$B$3,""))</f>
        <v/>
      </c>
      <c r="EC68" s="161">
        <f>IF(BO68="","",IFERROR(BO68*HSI!$B$63*HSI!$G$63/HSI!$B$3,""))</f>
        <v/>
      </c>
      <c r="EE68" s="121">
        <f>IF(N('Dvd Calendar'!$E$627)=0,"",IF(('Dvd Calendar'!$E$627&gt;=GRID_FROM)*('Dvd Calendar'!$E$627&lt;=GRID_TO)*((('Dvd Calendar'!$E$627&lt;=VAL_DATE)+(COUNTIF('Dvd Calendar'!$E$634:$AR$634,'Dvd Calendar'!$E$627)=0))&gt;0)=0,"",'Dvd Calendar'!$E$627*1000000000+ISNUMBER('Dvd Calendar'!$E$630)*100000000+('Dvd Calendar'!$E$632=SPECIAL_LBL)*10000000+(N('Dvd Calendar'!$E$626)&gt;0)*(N('Dvd Calendar'!$E$626)&lt;=VAL_SERIAL)*1000000+57*1000+1))</f>
        <v/>
      </c>
      <c r="EF68" s="121">
        <f>IF(N('Dvd Calendar'!$F$627)=0,"",IF(('Dvd Calendar'!$F$627&gt;=GRID_FROM)*('Dvd Calendar'!$F$627&lt;=GRID_TO)*((('Dvd Calendar'!$F$627&lt;=VAL_DATE)+(COUNTIF('Dvd Calendar'!$E$634:$AR$634,'Dvd Calendar'!$F$627)=0))&gt;0)=0,"",'Dvd Calendar'!$F$627*1000000000+ISNUMBER('Dvd Calendar'!$F$630)*100000000+('Dvd Calendar'!$F$632=SPECIAL_LBL)*10000000+(N('Dvd Calendar'!$F$626)&gt;0)*(N('Dvd Calendar'!$F$626)&lt;=VAL_SERIAL)*1000000+57*1000+2))</f>
        <v/>
      </c>
      <c r="EG68" s="121">
        <f>IF(N('Dvd Calendar'!$G$627)=0,"",IF(('Dvd Calendar'!$G$627&gt;=GRID_FROM)*('Dvd Calendar'!$G$627&lt;=GRID_TO)*((('Dvd Calendar'!$G$627&lt;=VAL_DATE)+(COUNTIF('Dvd Calendar'!$E$634:$AR$634,'Dvd Calendar'!$G$627)=0))&gt;0)=0,"",'Dvd Calendar'!$G$627*1000000000+ISNUMBER('Dvd Calendar'!$G$630)*100000000+('Dvd Calendar'!$G$632=SPECIAL_LBL)*10000000+(N('Dvd Calendar'!$G$626)&gt;0)*(N('Dvd Calendar'!$G$626)&lt;=VAL_SERIAL)*1000000+57*1000+3))</f>
        <v/>
      </c>
      <c r="EH68" s="121">
        <f>IF(N('Dvd Calendar'!$H$627)=0,"",IF(('Dvd Calendar'!$H$627&gt;=GRID_FROM)*('Dvd Calendar'!$H$627&lt;=GRID_TO)*((('Dvd Calendar'!$H$627&lt;=VAL_DATE)+(COUNTIF('Dvd Calendar'!$E$634:$AR$634,'Dvd Calendar'!$H$627)=0))&gt;0)=0,"",'Dvd Calendar'!$H$627*1000000000+ISNUMBER('Dvd Calendar'!$H$630)*100000000+('Dvd Calendar'!$H$632=SPECIAL_LBL)*10000000+(N('Dvd Calendar'!$H$626)&gt;0)*(N('Dvd Calendar'!$H$626)&lt;=VAL_SERIAL)*1000000+57*1000+4))</f>
        <v/>
      </c>
      <c r="EI68" s="121">
        <f>IF(N('Dvd Calendar'!$I$627)=0,"",IF(('Dvd Calendar'!$I$627&gt;=GRID_FROM)*('Dvd Calendar'!$I$627&lt;=GRID_TO)*((('Dvd Calendar'!$I$627&lt;=VAL_DATE)+(COUNTIF('Dvd Calendar'!$E$634:$AR$634,'Dvd Calendar'!$I$627)=0))&gt;0)=0,"",'Dvd Calendar'!$I$627*1000000000+ISNUMBER('Dvd Calendar'!$I$630)*100000000+('Dvd Calendar'!$I$632=SPECIAL_LBL)*10000000+(N('Dvd Calendar'!$I$626)&gt;0)*(N('Dvd Calendar'!$I$626)&lt;=VAL_SERIAL)*1000000+57*1000+5))</f>
        <v/>
      </c>
      <c r="EJ68" s="121">
        <f>IF(N('Dvd Calendar'!$J$627)=0,"",IF(('Dvd Calendar'!$J$627&gt;=GRID_FROM)*('Dvd Calendar'!$J$627&lt;=GRID_TO)*((('Dvd Calendar'!$J$627&lt;=VAL_DATE)+(COUNTIF('Dvd Calendar'!$E$634:$AR$634,'Dvd Calendar'!$J$627)=0))&gt;0)=0,"",'Dvd Calendar'!$J$627*1000000000+ISNUMBER('Dvd Calendar'!$J$630)*100000000+('Dvd Calendar'!$J$632=SPECIAL_LBL)*10000000+(N('Dvd Calendar'!$J$626)&gt;0)*(N('Dvd Calendar'!$J$626)&lt;=VAL_SERIAL)*1000000+57*1000+6))</f>
        <v/>
      </c>
      <c r="EK68" s="121">
        <f>IF(N('Dvd Calendar'!$K$627)=0,"",IF(('Dvd Calendar'!$K$627&gt;=GRID_FROM)*('Dvd Calendar'!$K$627&lt;=GRID_TO)*((('Dvd Calendar'!$K$627&lt;=VAL_DATE)+(COUNTIF('Dvd Calendar'!$E$634:$AR$634,'Dvd Calendar'!$K$627)=0))&gt;0)=0,"",'Dvd Calendar'!$K$627*1000000000+ISNUMBER('Dvd Calendar'!$K$630)*100000000+('Dvd Calendar'!$K$632=SPECIAL_LBL)*10000000+(N('Dvd Calendar'!$K$626)&gt;0)*(N('Dvd Calendar'!$K$626)&lt;=VAL_SERIAL)*1000000+57*1000+7))</f>
        <v/>
      </c>
      <c r="EL68" s="121">
        <f>IF(N('Dvd Calendar'!$L$627)=0,"",IF(('Dvd Calendar'!$L$627&gt;=GRID_FROM)*('Dvd Calendar'!$L$627&lt;=GRID_TO)*((('Dvd Calendar'!$L$627&lt;=VAL_DATE)+(COUNTIF('Dvd Calendar'!$E$634:$AR$634,'Dvd Calendar'!$L$627)=0))&gt;0)=0,"",'Dvd Calendar'!$L$627*1000000000+ISNUMBER('Dvd Calendar'!$L$630)*100000000+('Dvd Calendar'!$L$632=SPECIAL_LBL)*10000000+(N('Dvd Calendar'!$L$626)&gt;0)*(N('Dvd Calendar'!$L$626)&lt;=VAL_SERIAL)*1000000+57*1000+8))</f>
        <v/>
      </c>
      <c r="EM68" s="121">
        <f>IF(N('Dvd Calendar'!$M$627)=0,"",IF(('Dvd Calendar'!$M$627&gt;=GRID_FROM)*('Dvd Calendar'!$M$627&lt;=GRID_TO)*((('Dvd Calendar'!$M$627&lt;=VAL_DATE)+(COUNTIF('Dvd Calendar'!$E$634:$AR$634,'Dvd Calendar'!$M$627)=0))&gt;0)=0,"",'Dvd Calendar'!$M$627*1000000000+ISNUMBER('Dvd Calendar'!$M$630)*100000000+('Dvd Calendar'!$M$632=SPECIAL_LBL)*10000000+(N('Dvd Calendar'!$M$626)&gt;0)*(N('Dvd Calendar'!$M$626)&lt;=VAL_SERIAL)*1000000+57*1000+9))</f>
        <v/>
      </c>
      <c r="EN68" s="121">
        <f>IF(N('Dvd Calendar'!$N$627)=0,"",IF(('Dvd Calendar'!$N$627&gt;=GRID_FROM)*('Dvd Calendar'!$N$627&lt;=GRID_TO)*((('Dvd Calendar'!$N$627&lt;=VAL_DATE)+(COUNTIF('Dvd Calendar'!$E$634:$AR$634,'Dvd Calendar'!$N$627)=0))&gt;0)=0,"",'Dvd Calendar'!$N$627*1000000000+ISNUMBER('Dvd Calendar'!$N$630)*100000000+('Dvd Calendar'!$N$632=SPECIAL_LBL)*10000000+(N('Dvd Calendar'!$N$626)&gt;0)*(N('Dvd Calendar'!$N$626)&lt;=VAL_SERIAL)*1000000+57*1000+10))</f>
        <v/>
      </c>
      <c r="EO68" s="121">
        <f>IF(N('Dvd Calendar'!$O$627)=0,"",IF(('Dvd Calendar'!$O$627&gt;=GRID_FROM)*('Dvd Calendar'!$O$627&lt;=GRID_TO)*((('Dvd Calendar'!$O$627&lt;=VAL_DATE)+(COUNTIF('Dvd Calendar'!$E$634:$AR$634,'Dvd Calendar'!$O$627)=0))&gt;0)=0,"",'Dvd Calendar'!$O$627*1000000000+ISNUMBER('Dvd Calendar'!$O$630)*100000000+('Dvd Calendar'!$O$632=SPECIAL_LBL)*10000000+(N('Dvd Calendar'!$O$626)&gt;0)*(N('Dvd Calendar'!$O$626)&lt;=VAL_SERIAL)*1000000+57*1000+11))</f>
        <v/>
      </c>
      <c r="EP68" s="121">
        <f>IF(N('Dvd Calendar'!$P$627)=0,"",IF(('Dvd Calendar'!$P$627&gt;=GRID_FROM)*('Dvd Calendar'!$P$627&lt;=GRID_TO)*((('Dvd Calendar'!$P$627&lt;=VAL_DATE)+(COUNTIF('Dvd Calendar'!$E$634:$AR$634,'Dvd Calendar'!$P$627)=0))&gt;0)=0,"",'Dvd Calendar'!$P$627*1000000000+ISNUMBER('Dvd Calendar'!$P$630)*100000000+('Dvd Calendar'!$P$632=SPECIAL_LBL)*10000000+(N('Dvd Calendar'!$P$626)&gt;0)*(N('Dvd Calendar'!$P$626)&lt;=VAL_SERIAL)*1000000+57*1000+12))</f>
        <v/>
      </c>
      <c r="EQ68" s="121">
        <f>IF(N('Dvd Calendar'!$Q$627)=0,"",IF(('Dvd Calendar'!$Q$627&gt;=GRID_FROM)*('Dvd Calendar'!$Q$627&lt;=GRID_TO)*((('Dvd Calendar'!$Q$627&lt;=VAL_DATE)+(COUNTIF('Dvd Calendar'!$E$634:$AR$634,'Dvd Calendar'!$Q$627)=0))&gt;0)=0,"",'Dvd Calendar'!$Q$627*1000000000+ISNUMBER('Dvd Calendar'!$Q$630)*100000000+('Dvd Calendar'!$Q$632=SPECIAL_LBL)*10000000+(N('Dvd Calendar'!$Q$626)&gt;0)*(N('Dvd Calendar'!$Q$626)&lt;=VAL_SERIAL)*1000000+57*1000+13))</f>
        <v/>
      </c>
      <c r="ER68" s="121">
        <f>IF(N('Dvd Calendar'!$R$627)=0,"",IF(('Dvd Calendar'!$R$627&gt;=GRID_FROM)*('Dvd Calendar'!$R$627&lt;=GRID_TO)*((('Dvd Calendar'!$R$627&lt;=VAL_DATE)+(COUNTIF('Dvd Calendar'!$E$634:$AR$634,'Dvd Calendar'!$R$627)=0))&gt;0)=0,"",'Dvd Calendar'!$R$627*1000000000+ISNUMBER('Dvd Calendar'!$R$630)*100000000+('Dvd Calendar'!$R$632=SPECIAL_LBL)*10000000+(N('Dvd Calendar'!$R$626)&gt;0)*(N('Dvd Calendar'!$R$626)&lt;=VAL_SERIAL)*1000000+57*1000+14))</f>
        <v/>
      </c>
      <c r="ES68" s="121">
        <f>IF(N('Dvd Calendar'!$S$627)=0,"",IF(('Dvd Calendar'!$S$627&gt;=GRID_FROM)*('Dvd Calendar'!$S$627&lt;=GRID_TO)*((('Dvd Calendar'!$S$627&lt;=VAL_DATE)+(COUNTIF('Dvd Calendar'!$E$634:$AR$634,'Dvd Calendar'!$S$627)=0))&gt;0)=0,"",'Dvd Calendar'!$S$627*1000000000+ISNUMBER('Dvd Calendar'!$S$630)*100000000+('Dvd Calendar'!$S$632=SPECIAL_LBL)*10000000+(N('Dvd Calendar'!$S$626)&gt;0)*(N('Dvd Calendar'!$S$626)&lt;=VAL_SERIAL)*1000000+57*1000+15))</f>
        <v/>
      </c>
      <c r="ET68" s="121">
        <f>IF(N('Dvd Calendar'!$T$627)=0,"",IF(('Dvd Calendar'!$T$627&gt;=GRID_FROM)*('Dvd Calendar'!$T$627&lt;=GRID_TO)*((('Dvd Calendar'!$T$627&lt;=VAL_DATE)+(COUNTIF('Dvd Calendar'!$E$634:$AR$634,'Dvd Calendar'!$T$627)=0))&gt;0)=0,"",'Dvd Calendar'!$T$627*1000000000+ISNUMBER('Dvd Calendar'!$T$630)*100000000+('Dvd Calendar'!$T$632=SPECIAL_LBL)*10000000+(N('Dvd Calendar'!$T$626)&gt;0)*(N('Dvd Calendar'!$T$626)&lt;=VAL_SERIAL)*1000000+57*1000+16))</f>
        <v/>
      </c>
      <c r="EU68" s="121">
        <f>IF(N('Dvd Calendar'!$U$627)=0,"",IF(('Dvd Calendar'!$U$627&gt;=GRID_FROM)*('Dvd Calendar'!$U$627&lt;=GRID_TO)*((('Dvd Calendar'!$U$627&lt;=VAL_DATE)+(COUNTIF('Dvd Calendar'!$E$634:$AR$634,'Dvd Calendar'!$U$627)=0))&gt;0)=0,"",'Dvd Calendar'!$U$627*1000000000+ISNUMBER('Dvd Calendar'!$U$630)*100000000+('Dvd Calendar'!$U$632=SPECIAL_LBL)*10000000+(N('Dvd Calendar'!$U$626)&gt;0)*(N('Dvd Calendar'!$U$626)&lt;=VAL_SERIAL)*1000000+57*1000+17))</f>
        <v/>
      </c>
      <c r="EV68" s="121">
        <f>IF(N('Dvd Calendar'!$V$627)=0,"",IF(('Dvd Calendar'!$V$627&gt;=GRID_FROM)*('Dvd Calendar'!$V$627&lt;=GRID_TO)*((('Dvd Calendar'!$V$627&lt;=VAL_DATE)+(COUNTIF('Dvd Calendar'!$E$634:$AR$634,'Dvd Calendar'!$V$627)=0))&gt;0)=0,"",'Dvd Calendar'!$V$627*1000000000+ISNUMBER('Dvd Calendar'!$V$630)*100000000+('Dvd Calendar'!$V$632=SPECIAL_LBL)*10000000+(N('Dvd Calendar'!$V$626)&gt;0)*(N('Dvd Calendar'!$V$626)&lt;=VAL_SERIAL)*1000000+57*1000+18))</f>
        <v/>
      </c>
      <c r="EW68" s="121">
        <f>IF(N('Dvd Calendar'!$W$627)=0,"",IF(('Dvd Calendar'!$W$627&gt;=GRID_FROM)*('Dvd Calendar'!$W$627&lt;=GRID_TO)*((('Dvd Calendar'!$W$627&lt;=VAL_DATE)+(COUNTIF('Dvd Calendar'!$E$634:$AR$634,'Dvd Calendar'!$W$627)=0))&gt;0)=0,"",'Dvd Calendar'!$W$627*1000000000+ISNUMBER('Dvd Calendar'!$W$630)*100000000+('Dvd Calendar'!$W$632=SPECIAL_LBL)*10000000+(N('Dvd Calendar'!$W$626)&gt;0)*(N('Dvd Calendar'!$W$626)&lt;=VAL_SERIAL)*1000000+57*1000+19))</f>
        <v/>
      </c>
      <c r="EX68" s="121">
        <f>IF(N('Dvd Calendar'!$X$627)=0,"",IF(('Dvd Calendar'!$X$627&gt;=GRID_FROM)*('Dvd Calendar'!$X$627&lt;=GRID_TO)*((('Dvd Calendar'!$X$627&lt;=VAL_DATE)+(COUNTIF('Dvd Calendar'!$E$634:$AR$634,'Dvd Calendar'!$X$627)=0))&gt;0)=0,"",'Dvd Calendar'!$X$627*1000000000+ISNUMBER('Dvd Calendar'!$X$630)*100000000+('Dvd Calendar'!$X$632=SPECIAL_LBL)*10000000+(N('Dvd Calendar'!$X$626)&gt;0)*(N('Dvd Calendar'!$X$626)&lt;=VAL_SERIAL)*1000000+57*1000+20))</f>
        <v/>
      </c>
      <c r="EY68" s="121">
        <f>IF(N('Dvd Calendar'!$Y$627)=0,"",IF(('Dvd Calendar'!$Y$627&gt;=GRID_FROM)*('Dvd Calendar'!$Y$627&lt;=GRID_TO)*((('Dvd Calendar'!$Y$627&lt;=VAL_DATE)+(COUNTIF('Dvd Calendar'!$E$634:$AR$634,'Dvd Calendar'!$Y$627)=0))&gt;0)=0,"",'Dvd Calendar'!$Y$627*1000000000+ISNUMBER('Dvd Calendar'!$Y$630)*100000000+('Dvd Calendar'!$Y$632=SPECIAL_LBL)*10000000+(N('Dvd Calendar'!$Y$626)&gt;0)*(N('Dvd Calendar'!$Y$626)&lt;=VAL_SERIAL)*1000000+57*1000+21))</f>
        <v/>
      </c>
      <c r="EZ68" s="121">
        <f>IF(N('Dvd Calendar'!$Z$627)=0,"",IF(('Dvd Calendar'!$Z$627&gt;=GRID_FROM)*('Dvd Calendar'!$Z$627&lt;=GRID_TO)*((('Dvd Calendar'!$Z$627&lt;=VAL_DATE)+(COUNTIF('Dvd Calendar'!$E$634:$AR$634,'Dvd Calendar'!$Z$627)=0))&gt;0)=0,"",'Dvd Calendar'!$Z$627*1000000000+ISNUMBER('Dvd Calendar'!$Z$630)*100000000+('Dvd Calendar'!$Z$632=SPECIAL_LBL)*10000000+(N('Dvd Calendar'!$Z$626)&gt;0)*(N('Dvd Calendar'!$Z$626)&lt;=VAL_SERIAL)*1000000+57*1000+22))</f>
        <v/>
      </c>
      <c r="FA68" s="121">
        <f>IF(N('Dvd Calendar'!$AA$627)=0,"",IF(('Dvd Calendar'!$AA$627&gt;=GRID_FROM)*('Dvd Calendar'!$AA$627&lt;=GRID_TO)*((('Dvd Calendar'!$AA$627&lt;=VAL_DATE)+(COUNTIF('Dvd Calendar'!$E$634:$AR$634,'Dvd Calendar'!$AA$627)=0))&gt;0)=0,"",'Dvd Calendar'!$AA$627*1000000000+ISNUMBER('Dvd Calendar'!$AA$630)*100000000+('Dvd Calendar'!$AA$632=SPECIAL_LBL)*10000000+(N('Dvd Calendar'!$AA$626)&gt;0)*(N('Dvd Calendar'!$AA$626)&lt;=VAL_SERIAL)*1000000+57*1000+23))</f>
        <v/>
      </c>
      <c r="FB68" s="121">
        <f>IF(N('Dvd Calendar'!$AB$627)=0,"",IF(('Dvd Calendar'!$AB$627&gt;=GRID_FROM)*('Dvd Calendar'!$AB$627&lt;=GRID_TO)*((('Dvd Calendar'!$AB$627&lt;=VAL_DATE)+(COUNTIF('Dvd Calendar'!$E$634:$AR$634,'Dvd Calendar'!$AB$627)=0))&gt;0)=0,"",'Dvd Calendar'!$AB$627*1000000000+ISNUMBER('Dvd Calendar'!$AB$630)*100000000+('Dvd Calendar'!$AB$632=SPECIAL_LBL)*10000000+(N('Dvd Calendar'!$AB$626)&gt;0)*(N('Dvd Calendar'!$AB$626)&lt;=VAL_SERIAL)*1000000+57*1000+24))</f>
        <v/>
      </c>
      <c r="FC68" s="121">
        <f>IF(N('Dvd Calendar'!$AC$627)=0,"",IF(('Dvd Calendar'!$AC$627&gt;=GRID_FROM)*('Dvd Calendar'!$AC$627&lt;=GRID_TO)*((('Dvd Calendar'!$AC$627&lt;=VAL_DATE)+(COUNTIF('Dvd Calendar'!$E$634:$AR$634,'Dvd Calendar'!$AC$627)=0))&gt;0)=0,"",'Dvd Calendar'!$AC$627*1000000000+ISNUMBER('Dvd Calendar'!$AC$630)*100000000+('Dvd Calendar'!$AC$632=SPECIAL_LBL)*10000000+(N('Dvd Calendar'!$AC$626)&gt;0)*(N('Dvd Calendar'!$AC$626)&lt;=VAL_SERIAL)*1000000+57*1000+25))</f>
        <v/>
      </c>
      <c r="FD68" s="121">
        <f>IF(N('Dvd Calendar'!$AD$627)=0,"",IF(('Dvd Calendar'!$AD$627&gt;=GRID_FROM)*('Dvd Calendar'!$AD$627&lt;=GRID_TO)*((('Dvd Calendar'!$AD$627&lt;=VAL_DATE)+(COUNTIF('Dvd Calendar'!$E$634:$AR$634,'Dvd Calendar'!$AD$627)=0))&gt;0)=0,"",'Dvd Calendar'!$AD$627*1000000000+ISNUMBER('Dvd Calendar'!$AD$630)*100000000+('Dvd Calendar'!$AD$632=SPECIAL_LBL)*10000000+(N('Dvd Calendar'!$AD$626)&gt;0)*(N('Dvd Calendar'!$AD$626)&lt;=VAL_SERIAL)*1000000+57*1000+26))</f>
        <v/>
      </c>
      <c r="FE68" s="121">
        <f>IF(N('Dvd Calendar'!$AE$627)=0,"",IF(('Dvd Calendar'!$AE$627&gt;=GRID_FROM)*('Dvd Calendar'!$AE$627&lt;=GRID_TO)*((('Dvd Calendar'!$AE$627&lt;=VAL_DATE)+(COUNTIF('Dvd Calendar'!$E$634:$AR$634,'Dvd Calendar'!$AE$627)=0))&gt;0)=0,"",'Dvd Calendar'!$AE$627*1000000000+ISNUMBER('Dvd Calendar'!$AE$630)*100000000+('Dvd Calendar'!$AE$632=SPECIAL_LBL)*10000000+(N('Dvd Calendar'!$AE$626)&gt;0)*(N('Dvd Calendar'!$AE$626)&lt;=VAL_SERIAL)*1000000+57*1000+27))</f>
        <v/>
      </c>
      <c r="FF68" s="121">
        <f>IF(N('Dvd Calendar'!$AF$627)=0,"",IF(('Dvd Calendar'!$AF$627&gt;=GRID_FROM)*('Dvd Calendar'!$AF$627&lt;=GRID_TO)*((('Dvd Calendar'!$AF$627&lt;=VAL_DATE)+(COUNTIF('Dvd Calendar'!$E$634:$AR$634,'Dvd Calendar'!$AF$627)=0))&gt;0)=0,"",'Dvd Calendar'!$AF$627*1000000000+ISNUMBER('Dvd Calendar'!$AF$630)*100000000+('Dvd Calendar'!$AF$632=SPECIAL_LBL)*10000000+(N('Dvd Calendar'!$AF$626)&gt;0)*(N('Dvd Calendar'!$AF$626)&lt;=VAL_SERIAL)*1000000+57*1000+28))</f>
        <v/>
      </c>
      <c r="FG68" s="121">
        <f>IF(N('Dvd Calendar'!$AG$627)=0,"",IF(('Dvd Calendar'!$AG$627&gt;=GRID_FROM)*('Dvd Calendar'!$AG$627&lt;=GRID_TO)*((('Dvd Calendar'!$AG$627&lt;=VAL_DATE)+(COUNTIF('Dvd Calendar'!$E$634:$AR$634,'Dvd Calendar'!$AG$627)=0))&gt;0)=0,"",'Dvd Calendar'!$AG$627*1000000000+ISNUMBER('Dvd Calendar'!$AG$630)*100000000+('Dvd Calendar'!$AG$632=SPECIAL_LBL)*10000000+(N('Dvd Calendar'!$AG$626)&gt;0)*(N('Dvd Calendar'!$AG$626)&lt;=VAL_SERIAL)*1000000+57*1000+29))</f>
        <v/>
      </c>
      <c r="FH68" s="121">
        <f>IF(N('Dvd Calendar'!$AH$627)=0,"",IF(('Dvd Calendar'!$AH$627&gt;=GRID_FROM)*('Dvd Calendar'!$AH$627&lt;=GRID_TO)*((('Dvd Calendar'!$AH$627&lt;=VAL_DATE)+(COUNTIF('Dvd Calendar'!$E$634:$AR$634,'Dvd Calendar'!$AH$627)=0))&gt;0)=0,"",'Dvd Calendar'!$AH$627*1000000000+ISNUMBER('Dvd Calendar'!$AH$630)*100000000+('Dvd Calendar'!$AH$632=SPECIAL_LBL)*10000000+(N('Dvd Calendar'!$AH$626)&gt;0)*(N('Dvd Calendar'!$AH$626)&lt;=VAL_SERIAL)*1000000+57*1000+30))</f>
        <v/>
      </c>
      <c r="FI68" s="121">
        <f>IF(N('Dvd Calendar'!$AI$627)=0,"",IF(('Dvd Calendar'!$AI$627&gt;=GRID_FROM)*('Dvd Calendar'!$AI$627&lt;=GRID_TO)*((('Dvd Calendar'!$AI$627&lt;=VAL_DATE)+(COUNTIF('Dvd Calendar'!$E$634:$AR$634,'Dvd Calendar'!$AI$627)=0))&gt;0)=0,"",'Dvd Calendar'!$AI$627*1000000000+ISNUMBER('Dvd Calendar'!$AI$630)*100000000+('Dvd Calendar'!$AI$632=SPECIAL_LBL)*10000000+(N('Dvd Calendar'!$AI$626)&gt;0)*(N('Dvd Calendar'!$AI$626)&lt;=VAL_SERIAL)*1000000+57*1000+31))</f>
        <v/>
      </c>
      <c r="FJ68" s="121">
        <f>IF(N('Dvd Calendar'!$AJ$627)=0,"",IF(('Dvd Calendar'!$AJ$627&gt;=GRID_FROM)*('Dvd Calendar'!$AJ$627&lt;=GRID_TO)*((('Dvd Calendar'!$AJ$627&lt;=VAL_DATE)+(COUNTIF('Dvd Calendar'!$E$634:$AR$634,'Dvd Calendar'!$AJ$627)=0))&gt;0)=0,"",'Dvd Calendar'!$AJ$627*1000000000+ISNUMBER('Dvd Calendar'!$AJ$630)*100000000+('Dvd Calendar'!$AJ$632=SPECIAL_LBL)*10000000+(N('Dvd Calendar'!$AJ$626)&gt;0)*(N('Dvd Calendar'!$AJ$626)&lt;=VAL_SERIAL)*1000000+57*1000+32))</f>
        <v/>
      </c>
      <c r="FK68" s="121">
        <f>IF(N('Dvd Calendar'!$AK$627)=0,"",IF(('Dvd Calendar'!$AK$627&gt;=GRID_FROM)*('Dvd Calendar'!$AK$627&lt;=GRID_TO)*((('Dvd Calendar'!$AK$627&lt;=VAL_DATE)+(COUNTIF('Dvd Calendar'!$E$634:$AR$634,'Dvd Calendar'!$AK$627)=0))&gt;0)=0,"",'Dvd Calendar'!$AK$627*1000000000+ISNUMBER('Dvd Calendar'!$AK$630)*100000000+('Dvd Calendar'!$AK$632=SPECIAL_LBL)*10000000+(N('Dvd Calendar'!$AK$626)&gt;0)*(N('Dvd Calendar'!$AK$626)&lt;=VAL_SERIAL)*1000000+57*1000+33))</f>
        <v/>
      </c>
      <c r="FL68" s="121">
        <f>IF(N('Dvd Calendar'!$AL$627)=0,"",IF(('Dvd Calendar'!$AL$627&gt;=GRID_FROM)*('Dvd Calendar'!$AL$627&lt;=GRID_TO)*((('Dvd Calendar'!$AL$627&lt;=VAL_DATE)+(COUNTIF('Dvd Calendar'!$E$634:$AR$634,'Dvd Calendar'!$AL$627)=0))&gt;0)=0,"",'Dvd Calendar'!$AL$627*1000000000+ISNUMBER('Dvd Calendar'!$AL$630)*100000000+('Dvd Calendar'!$AL$632=SPECIAL_LBL)*10000000+(N('Dvd Calendar'!$AL$626)&gt;0)*(N('Dvd Calendar'!$AL$626)&lt;=VAL_SERIAL)*1000000+57*1000+34))</f>
        <v/>
      </c>
      <c r="FM68" s="121">
        <f>IF(N('Dvd Calendar'!$AM$627)=0,"",IF(('Dvd Calendar'!$AM$627&gt;=GRID_FROM)*('Dvd Calendar'!$AM$627&lt;=GRID_TO)*((('Dvd Calendar'!$AM$627&lt;=VAL_DATE)+(COUNTIF('Dvd Calendar'!$E$634:$AR$634,'Dvd Calendar'!$AM$627)=0))&gt;0)=0,"",'Dvd Calendar'!$AM$627*1000000000+ISNUMBER('Dvd Calendar'!$AM$630)*100000000+('Dvd Calendar'!$AM$632=SPECIAL_LBL)*10000000+(N('Dvd Calendar'!$AM$626)&gt;0)*(N('Dvd Calendar'!$AM$626)&lt;=VAL_SERIAL)*1000000+57*1000+35))</f>
        <v/>
      </c>
      <c r="FN68" s="121">
        <f>IF(N('Dvd Calendar'!$AN$627)=0,"",IF(('Dvd Calendar'!$AN$627&gt;=GRID_FROM)*('Dvd Calendar'!$AN$627&lt;=GRID_TO)*((('Dvd Calendar'!$AN$627&lt;=VAL_DATE)+(COUNTIF('Dvd Calendar'!$E$634:$AR$634,'Dvd Calendar'!$AN$627)=0))&gt;0)=0,"",'Dvd Calendar'!$AN$627*1000000000+ISNUMBER('Dvd Calendar'!$AN$630)*100000000+('Dvd Calendar'!$AN$632=SPECIAL_LBL)*10000000+(N('Dvd Calendar'!$AN$626)&gt;0)*(N('Dvd Calendar'!$AN$626)&lt;=VAL_SERIAL)*1000000+57*1000+36))</f>
        <v/>
      </c>
      <c r="FO68" s="121">
        <f>IF(N('Dvd Calendar'!$AO$627)=0,"",IF(('Dvd Calendar'!$AO$627&gt;=GRID_FROM)*('Dvd Calendar'!$AO$627&lt;=GRID_TO)*((('Dvd Calendar'!$AO$627&lt;=VAL_DATE)+(COUNTIF('Dvd Calendar'!$E$634:$AR$634,'Dvd Calendar'!$AO$627)=0))&gt;0)=0,"",'Dvd Calendar'!$AO$627*1000000000+ISNUMBER('Dvd Calendar'!$AO$630)*100000000+('Dvd Calendar'!$AO$632=SPECIAL_LBL)*10000000+(N('Dvd Calendar'!$AO$626)&gt;0)*(N('Dvd Calendar'!$AO$626)&lt;=VAL_SERIAL)*1000000+57*1000+37))</f>
        <v/>
      </c>
      <c r="FP68" s="121">
        <f>IF(N('Dvd Calendar'!$AP$627)=0,"",IF(('Dvd Calendar'!$AP$627&gt;=GRID_FROM)*('Dvd Calendar'!$AP$627&lt;=GRID_TO)*((('Dvd Calendar'!$AP$627&lt;=VAL_DATE)+(COUNTIF('Dvd Calendar'!$E$634:$AR$634,'Dvd Calendar'!$AP$627)=0))&gt;0)=0,"",'Dvd Calendar'!$AP$627*1000000000+ISNUMBER('Dvd Calendar'!$AP$630)*100000000+('Dvd Calendar'!$AP$632=SPECIAL_LBL)*10000000+(N('Dvd Calendar'!$AP$626)&gt;0)*(N('Dvd Calendar'!$AP$626)&lt;=VAL_SERIAL)*1000000+57*1000+38))</f>
        <v/>
      </c>
      <c r="FQ68" s="121">
        <f>IF(N('Dvd Calendar'!$AQ$627)=0,"",IF(('Dvd Calendar'!$AQ$627&gt;=GRID_FROM)*('Dvd Calendar'!$AQ$627&lt;=GRID_TO)*((('Dvd Calendar'!$AQ$627&lt;=VAL_DATE)+(COUNTIF('Dvd Calendar'!$E$634:$AR$634,'Dvd Calendar'!$AQ$627)=0))&gt;0)=0,"",'Dvd Calendar'!$AQ$627*1000000000+ISNUMBER('Dvd Calendar'!$AQ$630)*100000000+('Dvd Calendar'!$AQ$632=SPECIAL_LBL)*10000000+(N('Dvd Calendar'!$AQ$626)&gt;0)*(N('Dvd Calendar'!$AQ$626)&lt;=VAL_SERIAL)*1000000+57*1000+39))</f>
        <v/>
      </c>
      <c r="FR68" s="121">
        <f>IF(N('Dvd Calendar'!$AR$627)=0,"",IF(('Dvd Calendar'!$AR$627&gt;=GRID_FROM)*('Dvd Calendar'!$AR$627&lt;=GRID_TO)*((('Dvd Calendar'!$AR$627&lt;=VAL_DATE)+(COUNTIF('Dvd Calendar'!$E$634:$AR$634,'Dvd Calendar'!$AR$627)=0))&gt;0)=0,"",'Dvd Calendar'!$AR$627*1000000000+ISNUMBER('Dvd Calendar'!$AR$630)*100000000+('Dvd Calendar'!$AR$632=SPECIAL_LBL)*10000000+(N('Dvd Calendar'!$AR$626)&gt;0)*(N('Dvd Calendar'!$AR$626)&lt;=VAL_SERIAL)*1000000+57*1000+40))</f>
        <v/>
      </c>
      <c r="FS68" s="121">
        <f>IF(N('Dvd Calendar'!$E$634)=0,"",IF(('Dvd Calendar'!$E$634&gt;=GRID_FROM)*('Dvd Calendar'!$E$634&lt;=GRID_TO)*('Dvd Calendar'!$E$634&gt;VAL_DATE)=0,"",'Dvd Calendar'!$E$634*1000000000+ISNUMBER('Dvd Calendar'!$E$635)*100000000+0*10000000+(N('Dvd Calendar'!$E$633)&gt;0)*(N('Dvd Calendar'!$E$633)&lt;=VAL_SERIAL)*1000000+57*1000+41))</f>
        <v/>
      </c>
      <c r="FT68" s="121">
        <f>IF(N('Dvd Calendar'!$F$634)=0,"",IF(('Dvd Calendar'!$F$634&gt;=GRID_FROM)*('Dvd Calendar'!$F$634&lt;=GRID_TO)*('Dvd Calendar'!$F$634&gt;VAL_DATE)=0,"",'Dvd Calendar'!$F$634*1000000000+ISNUMBER('Dvd Calendar'!$F$635)*100000000+0*10000000+(N('Dvd Calendar'!$F$633)&gt;0)*(N('Dvd Calendar'!$F$633)&lt;=VAL_SERIAL)*1000000+57*1000+42))</f>
        <v/>
      </c>
      <c r="FU68" s="121">
        <f>IF(N('Dvd Calendar'!$G$634)=0,"",IF(('Dvd Calendar'!$G$634&gt;=GRID_FROM)*('Dvd Calendar'!$G$634&lt;=GRID_TO)*('Dvd Calendar'!$G$634&gt;VAL_DATE)=0,"",'Dvd Calendar'!$G$634*1000000000+ISNUMBER('Dvd Calendar'!$G$635)*100000000+0*10000000+(N('Dvd Calendar'!$G$633)&gt;0)*(N('Dvd Calendar'!$G$633)&lt;=VAL_SERIAL)*1000000+57*1000+43))</f>
        <v/>
      </c>
      <c r="FV68" s="121">
        <f>IF(N('Dvd Calendar'!$H$634)=0,"",IF(('Dvd Calendar'!$H$634&gt;=GRID_FROM)*('Dvd Calendar'!$H$634&lt;=GRID_TO)*('Dvd Calendar'!$H$634&gt;VAL_DATE)=0,"",'Dvd Calendar'!$H$634*1000000000+ISNUMBER('Dvd Calendar'!$H$635)*100000000+0*10000000+(N('Dvd Calendar'!$H$633)&gt;0)*(N('Dvd Calendar'!$H$633)&lt;=VAL_SERIAL)*1000000+57*1000+44))</f>
        <v/>
      </c>
      <c r="FW68" s="121">
        <f>IF(N('Dvd Calendar'!$I$634)=0,"",IF(('Dvd Calendar'!$I$634&gt;=GRID_FROM)*('Dvd Calendar'!$I$634&lt;=GRID_TO)*('Dvd Calendar'!$I$634&gt;VAL_DATE)=0,"",'Dvd Calendar'!$I$634*1000000000+ISNUMBER('Dvd Calendar'!$I$635)*100000000+0*10000000+(N('Dvd Calendar'!$I$633)&gt;0)*(N('Dvd Calendar'!$I$633)&lt;=VAL_SERIAL)*1000000+57*1000+45))</f>
        <v/>
      </c>
      <c r="FX68" s="121">
        <f>IF(N('Dvd Calendar'!$J$634)=0,"",IF(('Dvd Calendar'!$J$634&gt;=GRID_FROM)*('Dvd Calendar'!$J$634&lt;=GRID_TO)*('Dvd Calendar'!$J$634&gt;VAL_DATE)=0,"",'Dvd Calendar'!$J$634*1000000000+ISNUMBER('Dvd Calendar'!$J$635)*100000000+0*10000000+(N('Dvd Calendar'!$J$633)&gt;0)*(N('Dvd Calendar'!$J$633)&lt;=VAL_SERIAL)*1000000+57*1000+46))</f>
        <v/>
      </c>
      <c r="FY68" s="121">
        <f>IF(N('Dvd Calendar'!$K$634)=0,"",IF(('Dvd Calendar'!$K$634&gt;=GRID_FROM)*('Dvd Calendar'!$K$634&lt;=GRID_TO)*('Dvd Calendar'!$K$634&gt;VAL_DATE)=0,"",'Dvd Calendar'!$K$634*1000000000+ISNUMBER('Dvd Calendar'!$K$635)*100000000+0*10000000+(N('Dvd Calendar'!$K$633)&gt;0)*(N('Dvd Calendar'!$K$633)&lt;=VAL_SERIAL)*1000000+57*1000+47))</f>
        <v/>
      </c>
      <c r="FZ68" s="121">
        <f>IF(N('Dvd Calendar'!$L$634)=0,"",IF(('Dvd Calendar'!$L$634&gt;=GRID_FROM)*('Dvd Calendar'!$L$634&lt;=GRID_TO)*('Dvd Calendar'!$L$634&gt;VAL_DATE)=0,"",'Dvd Calendar'!$L$634*1000000000+ISNUMBER('Dvd Calendar'!$L$635)*100000000+0*10000000+(N('Dvd Calendar'!$L$633)&gt;0)*(N('Dvd Calendar'!$L$633)&lt;=VAL_SERIAL)*1000000+57*1000+48))</f>
        <v/>
      </c>
      <c r="GA68" s="121">
        <f>IF(N('Dvd Calendar'!$M$634)=0,"",IF(('Dvd Calendar'!$M$634&gt;=GRID_FROM)*('Dvd Calendar'!$M$634&lt;=GRID_TO)*('Dvd Calendar'!$M$634&gt;VAL_DATE)=0,"",'Dvd Calendar'!$M$634*1000000000+ISNUMBER('Dvd Calendar'!$M$635)*100000000+0*10000000+(N('Dvd Calendar'!$M$633)&gt;0)*(N('Dvd Calendar'!$M$633)&lt;=VAL_SERIAL)*1000000+57*1000+49))</f>
        <v/>
      </c>
      <c r="GB68" s="121">
        <f>IF(N('Dvd Calendar'!$N$634)=0,"",IF(('Dvd Calendar'!$N$634&gt;=GRID_FROM)*('Dvd Calendar'!$N$634&lt;=GRID_TO)*('Dvd Calendar'!$N$634&gt;VAL_DATE)=0,"",'Dvd Calendar'!$N$634*1000000000+ISNUMBER('Dvd Calendar'!$N$635)*100000000+0*10000000+(N('Dvd Calendar'!$N$633)&gt;0)*(N('Dvd Calendar'!$N$633)&lt;=VAL_SERIAL)*1000000+57*1000+50))</f>
        <v/>
      </c>
      <c r="GC68" s="121">
        <f>IF(N('Dvd Calendar'!$O$634)=0,"",IF(('Dvd Calendar'!$O$634&gt;=GRID_FROM)*('Dvd Calendar'!$O$634&lt;=GRID_TO)*('Dvd Calendar'!$O$634&gt;VAL_DATE)=0,"",'Dvd Calendar'!$O$634*1000000000+ISNUMBER('Dvd Calendar'!$O$635)*100000000+0*10000000+(N('Dvd Calendar'!$O$633)&gt;0)*(N('Dvd Calendar'!$O$633)&lt;=VAL_SERIAL)*1000000+57*1000+51))</f>
        <v/>
      </c>
      <c r="GD68" s="121">
        <f>IF(N('Dvd Calendar'!$P$634)=0,"",IF(('Dvd Calendar'!$P$634&gt;=GRID_FROM)*('Dvd Calendar'!$P$634&lt;=GRID_TO)*('Dvd Calendar'!$P$634&gt;VAL_DATE)=0,"",'Dvd Calendar'!$P$634*1000000000+ISNUMBER('Dvd Calendar'!$P$635)*100000000+0*10000000+(N('Dvd Calendar'!$P$633)&gt;0)*(N('Dvd Calendar'!$P$633)&lt;=VAL_SERIAL)*1000000+57*1000+52))</f>
        <v/>
      </c>
      <c r="GE68" s="121">
        <f>IF(N('Dvd Calendar'!$Q$634)=0,"",IF(('Dvd Calendar'!$Q$634&gt;=GRID_FROM)*('Dvd Calendar'!$Q$634&lt;=GRID_TO)*('Dvd Calendar'!$Q$634&gt;VAL_DATE)=0,"",'Dvd Calendar'!$Q$634*1000000000+ISNUMBER('Dvd Calendar'!$Q$635)*100000000+0*10000000+(N('Dvd Calendar'!$Q$633)&gt;0)*(N('Dvd Calendar'!$Q$633)&lt;=VAL_SERIAL)*1000000+57*1000+53))</f>
        <v/>
      </c>
      <c r="GF68" s="121">
        <f>IF(N('Dvd Calendar'!$R$634)=0,"",IF(('Dvd Calendar'!$R$634&gt;=GRID_FROM)*('Dvd Calendar'!$R$634&lt;=GRID_TO)*('Dvd Calendar'!$R$634&gt;VAL_DATE)=0,"",'Dvd Calendar'!$R$634*1000000000+ISNUMBER('Dvd Calendar'!$R$635)*100000000+0*10000000+(N('Dvd Calendar'!$R$633)&gt;0)*(N('Dvd Calendar'!$R$633)&lt;=VAL_SERIAL)*1000000+57*1000+54))</f>
        <v/>
      </c>
      <c r="GG68" s="121">
        <f>IF(N('Dvd Calendar'!$S$634)=0,"",IF(('Dvd Calendar'!$S$634&gt;=GRID_FROM)*('Dvd Calendar'!$S$634&lt;=GRID_TO)*('Dvd Calendar'!$S$634&gt;VAL_DATE)=0,"",'Dvd Calendar'!$S$634*1000000000+ISNUMBER('Dvd Calendar'!$S$635)*100000000+0*10000000+(N('Dvd Calendar'!$S$633)&gt;0)*(N('Dvd Calendar'!$S$633)&lt;=VAL_SERIAL)*1000000+57*1000+55))</f>
        <v/>
      </c>
      <c r="GH68" s="121">
        <f>IF(N('Dvd Calendar'!$T$634)=0,"",IF(('Dvd Calendar'!$T$634&gt;=GRID_FROM)*('Dvd Calendar'!$T$634&lt;=GRID_TO)*('Dvd Calendar'!$T$634&gt;VAL_DATE)=0,"",'Dvd Calendar'!$T$634*1000000000+ISNUMBER('Dvd Calendar'!$T$635)*100000000+0*10000000+(N('Dvd Calendar'!$T$633)&gt;0)*(N('Dvd Calendar'!$T$633)&lt;=VAL_SERIAL)*1000000+57*1000+56))</f>
        <v/>
      </c>
      <c r="GI68" s="121">
        <f>IF(N('Dvd Calendar'!$U$634)=0,"",IF(('Dvd Calendar'!$U$634&gt;=GRID_FROM)*('Dvd Calendar'!$U$634&lt;=GRID_TO)*('Dvd Calendar'!$U$634&gt;VAL_DATE)=0,"",'Dvd Calendar'!$U$634*1000000000+ISNUMBER('Dvd Calendar'!$U$635)*100000000+0*10000000+(N('Dvd Calendar'!$U$633)&gt;0)*(N('Dvd Calendar'!$U$633)&lt;=VAL_SERIAL)*1000000+57*1000+57))</f>
        <v/>
      </c>
      <c r="GJ68" s="121">
        <f>IF(N('Dvd Calendar'!$V$634)=0,"",IF(('Dvd Calendar'!$V$634&gt;=GRID_FROM)*('Dvd Calendar'!$V$634&lt;=GRID_TO)*('Dvd Calendar'!$V$634&gt;VAL_DATE)=0,"",'Dvd Calendar'!$V$634*1000000000+ISNUMBER('Dvd Calendar'!$V$635)*100000000+0*10000000+(N('Dvd Calendar'!$V$633)&gt;0)*(N('Dvd Calendar'!$V$633)&lt;=VAL_SERIAL)*1000000+57*1000+58))</f>
        <v/>
      </c>
      <c r="GK68" s="121">
        <f>IF(N('Dvd Calendar'!$W$634)=0,"",IF(('Dvd Calendar'!$W$634&gt;=GRID_FROM)*('Dvd Calendar'!$W$634&lt;=GRID_TO)*('Dvd Calendar'!$W$634&gt;VAL_DATE)=0,"",'Dvd Calendar'!$W$634*1000000000+ISNUMBER('Dvd Calendar'!$W$635)*100000000+0*10000000+(N('Dvd Calendar'!$W$633)&gt;0)*(N('Dvd Calendar'!$W$633)&lt;=VAL_SERIAL)*1000000+57*1000+59))</f>
        <v/>
      </c>
      <c r="GL68" s="121">
        <f>IF(N('Dvd Calendar'!$X$634)=0,"",IF(('Dvd Calendar'!$X$634&gt;=GRID_FROM)*('Dvd Calendar'!$X$634&lt;=GRID_TO)*('Dvd Calendar'!$X$634&gt;VAL_DATE)=0,"",'Dvd Calendar'!$X$634*1000000000+ISNUMBER('Dvd Calendar'!$X$635)*100000000+0*10000000+(N('Dvd Calendar'!$X$633)&gt;0)*(N('Dvd Calendar'!$X$633)&lt;=VAL_SERIAL)*1000000+57*1000+60))</f>
        <v/>
      </c>
      <c r="GM68" s="121">
        <f>IF(N('Dvd Calendar'!$Y$634)=0,"",IF(('Dvd Calendar'!$Y$634&gt;=GRID_FROM)*('Dvd Calendar'!$Y$634&lt;=GRID_TO)*('Dvd Calendar'!$Y$634&gt;VAL_DATE)=0,"",'Dvd Calendar'!$Y$634*1000000000+ISNUMBER('Dvd Calendar'!$Y$635)*100000000+0*10000000+(N('Dvd Calendar'!$Y$633)&gt;0)*(N('Dvd Calendar'!$Y$633)&lt;=VAL_SERIAL)*1000000+57*1000+61))</f>
        <v/>
      </c>
      <c r="GN68" s="121">
        <f>IF(N('Dvd Calendar'!$Z$634)=0,"",IF(('Dvd Calendar'!$Z$634&gt;=GRID_FROM)*('Dvd Calendar'!$Z$634&lt;=GRID_TO)*('Dvd Calendar'!$Z$634&gt;VAL_DATE)=0,"",'Dvd Calendar'!$Z$634*1000000000+ISNUMBER('Dvd Calendar'!$Z$635)*100000000+0*10000000+(N('Dvd Calendar'!$Z$633)&gt;0)*(N('Dvd Calendar'!$Z$633)&lt;=VAL_SERIAL)*1000000+57*1000+62))</f>
        <v/>
      </c>
      <c r="GO68" s="121">
        <f>IF(N('Dvd Calendar'!$AA$634)=0,"",IF(('Dvd Calendar'!$AA$634&gt;=GRID_FROM)*('Dvd Calendar'!$AA$634&lt;=GRID_TO)*('Dvd Calendar'!$AA$634&gt;VAL_DATE)=0,"",'Dvd Calendar'!$AA$634*1000000000+ISNUMBER('Dvd Calendar'!$AA$635)*100000000+0*10000000+(N('Dvd Calendar'!$AA$633)&gt;0)*(N('Dvd Calendar'!$AA$633)&lt;=VAL_SERIAL)*1000000+57*1000+63))</f>
        <v/>
      </c>
      <c r="GP68" s="121">
        <f>IF(N('Dvd Calendar'!$AB$634)=0,"",IF(('Dvd Calendar'!$AB$634&gt;=GRID_FROM)*('Dvd Calendar'!$AB$634&lt;=GRID_TO)*('Dvd Calendar'!$AB$634&gt;VAL_DATE)=0,"",'Dvd Calendar'!$AB$634*1000000000+ISNUMBER('Dvd Calendar'!$AB$635)*100000000+0*10000000+(N('Dvd Calendar'!$AB$633)&gt;0)*(N('Dvd Calendar'!$AB$633)&lt;=VAL_SERIAL)*1000000+57*1000+64))</f>
        <v/>
      </c>
      <c r="GQ68" s="121">
        <f>IF(N('Dvd Calendar'!$AC$634)=0,"",IF(('Dvd Calendar'!$AC$634&gt;=GRID_FROM)*('Dvd Calendar'!$AC$634&lt;=GRID_TO)*('Dvd Calendar'!$AC$634&gt;VAL_DATE)=0,"",'Dvd Calendar'!$AC$634*1000000000+ISNUMBER('Dvd Calendar'!$AC$635)*100000000+0*10000000+(N('Dvd Calendar'!$AC$633)&gt;0)*(N('Dvd Calendar'!$AC$633)&lt;=VAL_SERIAL)*1000000+57*1000+65))</f>
        <v/>
      </c>
    </row>
    <row r="69">
      <c r="B69" s="2">
        <f>IF(HSI!$C$64="","",HSI!$C$64)</f>
        <v/>
      </c>
      <c r="C69" s="161">
        <f>IF(EE69="","",IF(ISNUMBER('Dvd Calendar'!$E$641)=FALSE,"",IF((('Dvd Calendar'!$E$643=TYPE1)*(TYPE1&lt;&gt;"")+('Dvd Calendar'!$E$643=TYPE2)*(TYPE2&lt;&gt;"")+('Dvd Calendar'!$E$643=TYPE3)*(TYPE3&lt;&gt;"")+('Dvd Calendar'!$E$643=TYPE4)*(TYPE4&lt;&gt;"")+('Dvd Calendar'!$E$643=SPECIAL_LBL)*(INC_SPECIALS="Y"))=0,"",'Dvd Calendar'!$E$641)))</f>
        <v/>
      </c>
      <c r="D69" s="161">
        <f>IF(EF69="","",IF(ISNUMBER('Dvd Calendar'!$F$641)=FALSE,"",IF((('Dvd Calendar'!$F$643=TYPE1)*(TYPE1&lt;&gt;"")+('Dvd Calendar'!$F$643=TYPE2)*(TYPE2&lt;&gt;"")+('Dvd Calendar'!$F$643=TYPE3)*(TYPE3&lt;&gt;"")+('Dvd Calendar'!$F$643=TYPE4)*(TYPE4&lt;&gt;"")+('Dvd Calendar'!$F$643=SPECIAL_LBL)*(INC_SPECIALS="Y"))=0,"",'Dvd Calendar'!$F$641)))</f>
        <v/>
      </c>
      <c r="E69" s="161">
        <f>IF(EG69="","",IF(ISNUMBER('Dvd Calendar'!$G$641)=FALSE,"",IF((('Dvd Calendar'!$G$643=TYPE1)*(TYPE1&lt;&gt;"")+('Dvd Calendar'!$G$643=TYPE2)*(TYPE2&lt;&gt;"")+('Dvd Calendar'!$G$643=TYPE3)*(TYPE3&lt;&gt;"")+('Dvd Calendar'!$G$643=TYPE4)*(TYPE4&lt;&gt;"")+('Dvd Calendar'!$G$643=SPECIAL_LBL)*(INC_SPECIALS="Y"))=0,"",'Dvd Calendar'!$G$641)))</f>
        <v/>
      </c>
      <c r="F69" s="161">
        <f>IF(EH69="","",IF(ISNUMBER('Dvd Calendar'!$H$641)=FALSE,"",IF((('Dvd Calendar'!$H$643=TYPE1)*(TYPE1&lt;&gt;"")+('Dvd Calendar'!$H$643=TYPE2)*(TYPE2&lt;&gt;"")+('Dvd Calendar'!$H$643=TYPE3)*(TYPE3&lt;&gt;"")+('Dvd Calendar'!$H$643=TYPE4)*(TYPE4&lt;&gt;"")+('Dvd Calendar'!$H$643=SPECIAL_LBL)*(INC_SPECIALS="Y"))=0,"",'Dvd Calendar'!$H$641)))</f>
        <v/>
      </c>
      <c r="G69" s="161">
        <f>IF(EI69="","",IF(ISNUMBER('Dvd Calendar'!$I$641)=FALSE,"",IF((('Dvd Calendar'!$I$643=TYPE1)*(TYPE1&lt;&gt;"")+('Dvd Calendar'!$I$643=TYPE2)*(TYPE2&lt;&gt;"")+('Dvd Calendar'!$I$643=TYPE3)*(TYPE3&lt;&gt;"")+('Dvd Calendar'!$I$643=TYPE4)*(TYPE4&lt;&gt;"")+('Dvd Calendar'!$I$643=SPECIAL_LBL)*(INC_SPECIALS="Y"))=0,"",'Dvd Calendar'!$I$641)))</f>
        <v/>
      </c>
      <c r="H69" s="161">
        <f>IF(EJ69="","",IF(ISNUMBER('Dvd Calendar'!$J$641)=FALSE,"",IF((('Dvd Calendar'!$J$643=TYPE1)*(TYPE1&lt;&gt;"")+('Dvd Calendar'!$J$643=TYPE2)*(TYPE2&lt;&gt;"")+('Dvd Calendar'!$J$643=TYPE3)*(TYPE3&lt;&gt;"")+('Dvd Calendar'!$J$643=TYPE4)*(TYPE4&lt;&gt;"")+('Dvd Calendar'!$J$643=SPECIAL_LBL)*(INC_SPECIALS="Y"))=0,"",'Dvd Calendar'!$J$641)))</f>
        <v/>
      </c>
      <c r="I69" s="161">
        <f>IF(EK69="","",IF(ISNUMBER('Dvd Calendar'!$K$641)=FALSE,"",IF((('Dvd Calendar'!$K$643=TYPE1)*(TYPE1&lt;&gt;"")+('Dvd Calendar'!$K$643=TYPE2)*(TYPE2&lt;&gt;"")+('Dvd Calendar'!$K$643=TYPE3)*(TYPE3&lt;&gt;"")+('Dvd Calendar'!$K$643=TYPE4)*(TYPE4&lt;&gt;"")+('Dvd Calendar'!$K$643=SPECIAL_LBL)*(INC_SPECIALS="Y"))=0,"",'Dvd Calendar'!$K$641)))</f>
        <v/>
      </c>
      <c r="J69" s="161">
        <f>IF(EL69="","",IF(ISNUMBER('Dvd Calendar'!$L$641)=FALSE,"",IF((('Dvd Calendar'!$L$643=TYPE1)*(TYPE1&lt;&gt;"")+('Dvd Calendar'!$L$643=TYPE2)*(TYPE2&lt;&gt;"")+('Dvd Calendar'!$L$643=TYPE3)*(TYPE3&lt;&gt;"")+('Dvd Calendar'!$L$643=TYPE4)*(TYPE4&lt;&gt;"")+('Dvd Calendar'!$L$643=SPECIAL_LBL)*(INC_SPECIALS="Y"))=0,"",'Dvd Calendar'!$L$641)))</f>
        <v/>
      </c>
      <c r="K69" s="161">
        <f>IF(EM69="","",IF(ISNUMBER('Dvd Calendar'!$M$641)=FALSE,"",IF((('Dvd Calendar'!$M$643=TYPE1)*(TYPE1&lt;&gt;"")+('Dvd Calendar'!$M$643=TYPE2)*(TYPE2&lt;&gt;"")+('Dvd Calendar'!$M$643=TYPE3)*(TYPE3&lt;&gt;"")+('Dvd Calendar'!$M$643=TYPE4)*(TYPE4&lt;&gt;"")+('Dvd Calendar'!$M$643=SPECIAL_LBL)*(INC_SPECIALS="Y"))=0,"",'Dvd Calendar'!$M$641)))</f>
        <v/>
      </c>
      <c r="L69" s="161">
        <f>IF(EN69="","",IF(ISNUMBER('Dvd Calendar'!$N$641)=FALSE,"",IF((('Dvd Calendar'!$N$643=TYPE1)*(TYPE1&lt;&gt;"")+('Dvd Calendar'!$N$643=TYPE2)*(TYPE2&lt;&gt;"")+('Dvd Calendar'!$N$643=TYPE3)*(TYPE3&lt;&gt;"")+('Dvd Calendar'!$N$643=TYPE4)*(TYPE4&lt;&gt;"")+('Dvd Calendar'!$N$643=SPECIAL_LBL)*(INC_SPECIALS="Y"))=0,"",'Dvd Calendar'!$N$641)))</f>
        <v/>
      </c>
      <c r="M69" s="161">
        <f>IF(EO69="","",IF(ISNUMBER('Dvd Calendar'!$O$641)=FALSE,"",IF((('Dvd Calendar'!$O$643=TYPE1)*(TYPE1&lt;&gt;"")+('Dvd Calendar'!$O$643=TYPE2)*(TYPE2&lt;&gt;"")+('Dvd Calendar'!$O$643=TYPE3)*(TYPE3&lt;&gt;"")+('Dvd Calendar'!$O$643=TYPE4)*(TYPE4&lt;&gt;"")+('Dvd Calendar'!$O$643=SPECIAL_LBL)*(INC_SPECIALS="Y"))=0,"",'Dvd Calendar'!$O$641)))</f>
        <v/>
      </c>
      <c r="N69" s="161">
        <f>IF(EP69="","",IF(ISNUMBER('Dvd Calendar'!$P$641)=FALSE,"",IF((('Dvd Calendar'!$P$643=TYPE1)*(TYPE1&lt;&gt;"")+('Dvd Calendar'!$P$643=TYPE2)*(TYPE2&lt;&gt;"")+('Dvd Calendar'!$P$643=TYPE3)*(TYPE3&lt;&gt;"")+('Dvd Calendar'!$P$643=TYPE4)*(TYPE4&lt;&gt;"")+('Dvd Calendar'!$P$643=SPECIAL_LBL)*(INC_SPECIALS="Y"))=0,"",'Dvd Calendar'!$P$641)))</f>
        <v/>
      </c>
      <c r="O69" s="161">
        <f>IF(EQ69="","",IF(ISNUMBER('Dvd Calendar'!$Q$641)=FALSE,"",IF((('Dvd Calendar'!$Q$643=TYPE1)*(TYPE1&lt;&gt;"")+('Dvd Calendar'!$Q$643=TYPE2)*(TYPE2&lt;&gt;"")+('Dvd Calendar'!$Q$643=TYPE3)*(TYPE3&lt;&gt;"")+('Dvd Calendar'!$Q$643=TYPE4)*(TYPE4&lt;&gt;"")+('Dvd Calendar'!$Q$643=SPECIAL_LBL)*(INC_SPECIALS="Y"))=0,"",'Dvd Calendar'!$Q$641)))</f>
        <v/>
      </c>
      <c r="P69" s="161">
        <f>IF(ER69="","",IF(ISNUMBER('Dvd Calendar'!$R$641)=FALSE,"",IF((('Dvd Calendar'!$R$643=TYPE1)*(TYPE1&lt;&gt;"")+('Dvd Calendar'!$R$643=TYPE2)*(TYPE2&lt;&gt;"")+('Dvd Calendar'!$R$643=TYPE3)*(TYPE3&lt;&gt;"")+('Dvd Calendar'!$R$643=TYPE4)*(TYPE4&lt;&gt;"")+('Dvd Calendar'!$R$643=SPECIAL_LBL)*(INC_SPECIALS="Y"))=0,"",'Dvd Calendar'!$R$641)))</f>
        <v/>
      </c>
      <c r="Q69" s="161">
        <f>IF(ES69="","",IF(ISNUMBER('Dvd Calendar'!$S$641)=FALSE,"",IF((('Dvd Calendar'!$S$643=TYPE1)*(TYPE1&lt;&gt;"")+('Dvd Calendar'!$S$643=TYPE2)*(TYPE2&lt;&gt;"")+('Dvd Calendar'!$S$643=TYPE3)*(TYPE3&lt;&gt;"")+('Dvd Calendar'!$S$643=TYPE4)*(TYPE4&lt;&gt;"")+('Dvd Calendar'!$S$643=SPECIAL_LBL)*(INC_SPECIALS="Y"))=0,"",'Dvd Calendar'!$S$641)))</f>
        <v/>
      </c>
      <c r="R69" s="161">
        <f>IF(ET69="","",IF(ISNUMBER('Dvd Calendar'!$T$641)=FALSE,"",IF((('Dvd Calendar'!$T$643=TYPE1)*(TYPE1&lt;&gt;"")+('Dvd Calendar'!$T$643=TYPE2)*(TYPE2&lt;&gt;"")+('Dvd Calendar'!$T$643=TYPE3)*(TYPE3&lt;&gt;"")+('Dvd Calendar'!$T$643=TYPE4)*(TYPE4&lt;&gt;"")+('Dvd Calendar'!$T$643=SPECIAL_LBL)*(INC_SPECIALS="Y"))=0,"",'Dvd Calendar'!$T$641)))</f>
        <v/>
      </c>
      <c r="S69" s="161">
        <f>IF(EU69="","",IF(ISNUMBER('Dvd Calendar'!$U$641)=FALSE,"",IF((('Dvd Calendar'!$U$643=TYPE1)*(TYPE1&lt;&gt;"")+('Dvd Calendar'!$U$643=TYPE2)*(TYPE2&lt;&gt;"")+('Dvd Calendar'!$U$643=TYPE3)*(TYPE3&lt;&gt;"")+('Dvd Calendar'!$U$643=TYPE4)*(TYPE4&lt;&gt;"")+('Dvd Calendar'!$U$643=SPECIAL_LBL)*(INC_SPECIALS="Y"))=0,"",'Dvd Calendar'!$U$641)))</f>
        <v/>
      </c>
      <c r="T69" s="161">
        <f>IF(EV69="","",IF(ISNUMBER('Dvd Calendar'!$V$641)=FALSE,"",IF((('Dvd Calendar'!$V$643=TYPE1)*(TYPE1&lt;&gt;"")+('Dvd Calendar'!$V$643=TYPE2)*(TYPE2&lt;&gt;"")+('Dvd Calendar'!$V$643=TYPE3)*(TYPE3&lt;&gt;"")+('Dvd Calendar'!$V$643=TYPE4)*(TYPE4&lt;&gt;"")+('Dvd Calendar'!$V$643=SPECIAL_LBL)*(INC_SPECIALS="Y"))=0,"",'Dvd Calendar'!$V$641)))</f>
        <v/>
      </c>
      <c r="U69" s="161">
        <f>IF(EW69="","",IF(ISNUMBER('Dvd Calendar'!$W$641)=FALSE,"",IF((('Dvd Calendar'!$W$643=TYPE1)*(TYPE1&lt;&gt;"")+('Dvd Calendar'!$W$643=TYPE2)*(TYPE2&lt;&gt;"")+('Dvd Calendar'!$W$643=TYPE3)*(TYPE3&lt;&gt;"")+('Dvd Calendar'!$W$643=TYPE4)*(TYPE4&lt;&gt;"")+('Dvd Calendar'!$W$643=SPECIAL_LBL)*(INC_SPECIALS="Y"))=0,"",'Dvd Calendar'!$W$641)))</f>
        <v/>
      </c>
      <c r="V69" s="161">
        <f>IF(EX69="","",IF(ISNUMBER('Dvd Calendar'!$X$641)=FALSE,"",IF((('Dvd Calendar'!$X$643=TYPE1)*(TYPE1&lt;&gt;"")+('Dvd Calendar'!$X$643=TYPE2)*(TYPE2&lt;&gt;"")+('Dvd Calendar'!$X$643=TYPE3)*(TYPE3&lt;&gt;"")+('Dvd Calendar'!$X$643=TYPE4)*(TYPE4&lt;&gt;"")+('Dvd Calendar'!$X$643=SPECIAL_LBL)*(INC_SPECIALS="Y"))=0,"",'Dvd Calendar'!$X$641)))</f>
        <v/>
      </c>
      <c r="W69" s="161">
        <f>IF(EY69="","",IF(ISNUMBER('Dvd Calendar'!$Y$641)=FALSE,"",IF((('Dvd Calendar'!$Y$643=TYPE1)*(TYPE1&lt;&gt;"")+('Dvd Calendar'!$Y$643=TYPE2)*(TYPE2&lt;&gt;"")+('Dvd Calendar'!$Y$643=TYPE3)*(TYPE3&lt;&gt;"")+('Dvd Calendar'!$Y$643=TYPE4)*(TYPE4&lt;&gt;"")+('Dvd Calendar'!$Y$643=SPECIAL_LBL)*(INC_SPECIALS="Y"))=0,"",'Dvd Calendar'!$Y$641)))</f>
        <v/>
      </c>
      <c r="X69" s="161">
        <f>IF(EZ69="","",IF(ISNUMBER('Dvd Calendar'!$Z$641)=FALSE,"",IF((('Dvd Calendar'!$Z$643=TYPE1)*(TYPE1&lt;&gt;"")+('Dvd Calendar'!$Z$643=TYPE2)*(TYPE2&lt;&gt;"")+('Dvd Calendar'!$Z$643=TYPE3)*(TYPE3&lt;&gt;"")+('Dvd Calendar'!$Z$643=TYPE4)*(TYPE4&lt;&gt;"")+('Dvd Calendar'!$Z$643=SPECIAL_LBL)*(INC_SPECIALS="Y"))=0,"",'Dvd Calendar'!$Z$641)))</f>
        <v/>
      </c>
      <c r="Y69" s="161">
        <f>IF(FA69="","",IF(ISNUMBER('Dvd Calendar'!$AA$641)=FALSE,"",IF((('Dvd Calendar'!$AA$643=TYPE1)*(TYPE1&lt;&gt;"")+('Dvd Calendar'!$AA$643=TYPE2)*(TYPE2&lt;&gt;"")+('Dvd Calendar'!$AA$643=TYPE3)*(TYPE3&lt;&gt;"")+('Dvd Calendar'!$AA$643=TYPE4)*(TYPE4&lt;&gt;"")+('Dvd Calendar'!$AA$643=SPECIAL_LBL)*(INC_SPECIALS="Y"))=0,"",'Dvd Calendar'!$AA$641)))</f>
        <v/>
      </c>
      <c r="Z69" s="161">
        <f>IF(FB69="","",IF(ISNUMBER('Dvd Calendar'!$AB$641)=FALSE,"",IF((('Dvd Calendar'!$AB$643=TYPE1)*(TYPE1&lt;&gt;"")+('Dvd Calendar'!$AB$643=TYPE2)*(TYPE2&lt;&gt;"")+('Dvd Calendar'!$AB$643=TYPE3)*(TYPE3&lt;&gt;"")+('Dvd Calendar'!$AB$643=TYPE4)*(TYPE4&lt;&gt;"")+('Dvd Calendar'!$AB$643=SPECIAL_LBL)*(INC_SPECIALS="Y"))=0,"",'Dvd Calendar'!$AB$641)))</f>
        <v/>
      </c>
      <c r="AA69" s="161">
        <f>IF(FC69="","",IF(ISNUMBER('Dvd Calendar'!$AC$641)=FALSE,"",IF((('Dvd Calendar'!$AC$643=TYPE1)*(TYPE1&lt;&gt;"")+('Dvd Calendar'!$AC$643=TYPE2)*(TYPE2&lt;&gt;"")+('Dvd Calendar'!$AC$643=TYPE3)*(TYPE3&lt;&gt;"")+('Dvd Calendar'!$AC$643=TYPE4)*(TYPE4&lt;&gt;"")+('Dvd Calendar'!$AC$643=SPECIAL_LBL)*(INC_SPECIALS="Y"))=0,"",'Dvd Calendar'!$AC$641)))</f>
        <v/>
      </c>
      <c r="AB69" s="161">
        <f>IF(FD69="","",IF(ISNUMBER('Dvd Calendar'!$AD$641)=FALSE,"",IF((('Dvd Calendar'!$AD$643=TYPE1)*(TYPE1&lt;&gt;"")+('Dvd Calendar'!$AD$643=TYPE2)*(TYPE2&lt;&gt;"")+('Dvd Calendar'!$AD$643=TYPE3)*(TYPE3&lt;&gt;"")+('Dvd Calendar'!$AD$643=TYPE4)*(TYPE4&lt;&gt;"")+('Dvd Calendar'!$AD$643=SPECIAL_LBL)*(INC_SPECIALS="Y"))=0,"",'Dvd Calendar'!$AD$641)))</f>
        <v/>
      </c>
      <c r="AC69" s="161">
        <f>IF(FE69="","",IF(ISNUMBER('Dvd Calendar'!$AE$641)=FALSE,"",IF((('Dvd Calendar'!$AE$643=TYPE1)*(TYPE1&lt;&gt;"")+('Dvd Calendar'!$AE$643=TYPE2)*(TYPE2&lt;&gt;"")+('Dvd Calendar'!$AE$643=TYPE3)*(TYPE3&lt;&gt;"")+('Dvd Calendar'!$AE$643=TYPE4)*(TYPE4&lt;&gt;"")+('Dvd Calendar'!$AE$643=SPECIAL_LBL)*(INC_SPECIALS="Y"))=0,"",'Dvd Calendar'!$AE$641)))</f>
        <v/>
      </c>
      <c r="AD69" s="161">
        <f>IF(FF69="","",IF(ISNUMBER('Dvd Calendar'!$AF$641)=FALSE,"",IF((('Dvd Calendar'!$AF$643=TYPE1)*(TYPE1&lt;&gt;"")+('Dvd Calendar'!$AF$643=TYPE2)*(TYPE2&lt;&gt;"")+('Dvd Calendar'!$AF$643=TYPE3)*(TYPE3&lt;&gt;"")+('Dvd Calendar'!$AF$643=TYPE4)*(TYPE4&lt;&gt;"")+('Dvd Calendar'!$AF$643=SPECIAL_LBL)*(INC_SPECIALS="Y"))=0,"",'Dvd Calendar'!$AF$641)))</f>
        <v/>
      </c>
      <c r="AE69" s="161">
        <f>IF(FG69="","",IF(ISNUMBER('Dvd Calendar'!$AG$641)=FALSE,"",IF((('Dvd Calendar'!$AG$643=TYPE1)*(TYPE1&lt;&gt;"")+('Dvd Calendar'!$AG$643=TYPE2)*(TYPE2&lt;&gt;"")+('Dvd Calendar'!$AG$643=TYPE3)*(TYPE3&lt;&gt;"")+('Dvd Calendar'!$AG$643=TYPE4)*(TYPE4&lt;&gt;"")+('Dvd Calendar'!$AG$643=SPECIAL_LBL)*(INC_SPECIALS="Y"))=0,"",'Dvd Calendar'!$AG$641)))</f>
        <v/>
      </c>
      <c r="AF69" s="161">
        <f>IF(FH69="","",IF(ISNUMBER('Dvd Calendar'!$AH$641)=FALSE,"",IF((('Dvd Calendar'!$AH$643=TYPE1)*(TYPE1&lt;&gt;"")+('Dvd Calendar'!$AH$643=TYPE2)*(TYPE2&lt;&gt;"")+('Dvd Calendar'!$AH$643=TYPE3)*(TYPE3&lt;&gt;"")+('Dvd Calendar'!$AH$643=TYPE4)*(TYPE4&lt;&gt;"")+('Dvd Calendar'!$AH$643=SPECIAL_LBL)*(INC_SPECIALS="Y"))=0,"",'Dvd Calendar'!$AH$641)))</f>
        <v/>
      </c>
      <c r="AG69" s="161">
        <f>IF(FI69="","",IF(ISNUMBER('Dvd Calendar'!$AI$641)=FALSE,"",IF((('Dvd Calendar'!$AI$643=TYPE1)*(TYPE1&lt;&gt;"")+('Dvd Calendar'!$AI$643=TYPE2)*(TYPE2&lt;&gt;"")+('Dvd Calendar'!$AI$643=TYPE3)*(TYPE3&lt;&gt;"")+('Dvd Calendar'!$AI$643=TYPE4)*(TYPE4&lt;&gt;"")+('Dvd Calendar'!$AI$643=SPECIAL_LBL)*(INC_SPECIALS="Y"))=0,"",'Dvd Calendar'!$AI$641)))</f>
        <v/>
      </c>
      <c r="AH69" s="161">
        <f>IF(FJ69="","",IF(ISNUMBER('Dvd Calendar'!$AJ$641)=FALSE,"",IF((('Dvd Calendar'!$AJ$643=TYPE1)*(TYPE1&lt;&gt;"")+('Dvd Calendar'!$AJ$643=TYPE2)*(TYPE2&lt;&gt;"")+('Dvd Calendar'!$AJ$643=TYPE3)*(TYPE3&lt;&gt;"")+('Dvd Calendar'!$AJ$643=TYPE4)*(TYPE4&lt;&gt;"")+('Dvd Calendar'!$AJ$643=SPECIAL_LBL)*(INC_SPECIALS="Y"))=0,"",'Dvd Calendar'!$AJ$641)))</f>
        <v/>
      </c>
      <c r="AI69" s="161">
        <f>IF(FK69="","",IF(ISNUMBER('Dvd Calendar'!$AK$641)=FALSE,"",IF((('Dvd Calendar'!$AK$643=TYPE1)*(TYPE1&lt;&gt;"")+('Dvd Calendar'!$AK$643=TYPE2)*(TYPE2&lt;&gt;"")+('Dvd Calendar'!$AK$643=TYPE3)*(TYPE3&lt;&gt;"")+('Dvd Calendar'!$AK$643=TYPE4)*(TYPE4&lt;&gt;"")+('Dvd Calendar'!$AK$643=SPECIAL_LBL)*(INC_SPECIALS="Y"))=0,"",'Dvd Calendar'!$AK$641)))</f>
        <v/>
      </c>
      <c r="AJ69" s="161">
        <f>IF(FL69="","",IF(ISNUMBER('Dvd Calendar'!$AL$641)=FALSE,"",IF((('Dvd Calendar'!$AL$643=TYPE1)*(TYPE1&lt;&gt;"")+('Dvd Calendar'!$AL$643=TYPE2)*(TYPE2&lt;&gt;"")+('Dvd Calendar'!$AL$643=TYPE3)*(TYPE3&lt;&gt;"")+('Dvd Calendar'!$AL$643=TYPE4)*(TYPE4&lt;&gt;"")+('Dvd Calendar'!$AL$643=SPECIAL_LBL)*(INC_SPECIALS="Y"))=0,"",'Dvd Calendar'!$AL$641)))</f>
        <v/>
      </c>
      <c r="AK69" s="161">
        <f>IF(FM69="","",IF(ISNUMBER('Dvd Calendar'!$AM$641)=FALSE,"",IF((('Dvd Calendar'!$AM$643=TYPE1)*(TYPE1&lt;&gt;"")+('Dvd Calendar'!$AM$643=TYPE2)*(TYPE2&lt;&gt;"")+('Dvd Calendar'!$AM$643=TYPE3)*(TYPE3&lt;&gt;"")+('Dvd Calendar'!$AM$643=TYPE4)*(TYPE4&lt;&gt;"")+('Dvd Calendar'!$AM$643=SPECIAL_LBL)*(INC_SPECIALS="Y"))=0,"",'Dvd Calendar'!$AM$641)))</f>
        <v/>
      </c>
      <c r="AL69" s="161">
        <f>IF(FN69="","",IF(ISNUMBER('Dvd Calendar'!$AN$641)=FALSE,"",IF((('Dvd Calendar'!$AN$643=TYPE1)*(TYPE1&lt;&gt;"")+('Dvd Calendar'!$AN$643=TYPE2)*(TYPE2&lt;&gt;"")+('Dvd Calendar'!$AN$643=TYPE3)*(TYPE3&lt;&gt;"")+('Dvd Calendar'!$AN$643=TYPE4)*(TYPE4&lt;&gt;"")+('Dvd Calendar'!$AN$643=SPECIAL_LBL)*(INC_SPECIALS="Y"))=0,"",'Dvd Calendar'!$AN$641)))</f>
        <v/>
      </c>
      <c r="AM69" s="161">
        <f>IF(FO69="","",IF(ISNUMBER('Dvd Calendar'!$AO$641)=FALSE,"",IF((('Dvd Calendar'!$AO$643=TYPE1)*(TYPE1&lt;&gt;"")+('Dvd Calendar'!$AO$643=TYPE2)*(TYPE2&lt;&gt;"")+('Dvd Calendar'!$AO$643=TYPE3)*(TYPE3&lt;&gt;"")+('Dvd Calendar'!$AO$643=TYPE4)*(TYPE4&lt;&gt;"")+('Dvd Calendar'!$AO$643=SPECIAL_LBL)*(INC_SPECIALS="Y"))=0,"",'Dvd Calendar'!$AO$641)))</f>
        <v/>
      </c>
      <c r="AN69" s="161">
        <f>IF(FP69="","",IF(ISNUMBER('Dvd Calendar'!$AP$641)=FALSE,"",IF((('Dvd Calendar'!$AP$643=TYPE1)*(TYPE1&lt;&gt;"")+('Dvd Calendar'!$AP$643=TYPE2)*(TYPE2&lt;&gt;"")+('Dvd Calendar'!$AP$643=TYPE3)*(TYPE3&lt;&gt;"")+('Dvd Calendar'!$AP$643=TYPE4)*(TYPE4&lt;&gt;"")+('Dvd Calendar'!$AP$643=SPECIAL_LBL)*(INC_SPECIALS="Y"))=0,"",'Dvd Calendar'!$AP$641)))</f>
        <v/>
      </c>
      <c r="AO69" s="161">
        <f>IF(FQ69="","",IF(ISNUMBER('Dvd Calendar'!$AQ$641)=FALSE,"",IF((('Dvd Calendar'!$AQ$643=TYPE1)*(TYPE1&lt;&gt;"")+('Dvd Calendar'!$AQ$643=TYPE2)*(TYPE2&lt;&gt;"")+('Dvd Calendar'!$AQ$643=TYPE3)*(TYPE3&lt;&gt;"")+('Dvd Calendar'!$AQ$643=TYPE4)*(TYPE4&lt;&gt;"")+('Dvd Calendar'!$AQ$643=SPECIAL_LBL)*(INC_SPECIALS="Y"))=0,"",'Dvd Calendar'!$AQ$641)))</f>
        <v/>
      </c>
      <c r="AP69" s="161">
        <f>IF(FR69="","",IF(ISNUMBER('Dvd Calendar'!$AR$641)=FALSE,"",IF((('Dvd Calendar'!$AR$643=TYPE1)*(TYPE1&lt;&gt;"")+('Dvd Calendar'!$AR$643=TYPE2)*(TYPE2&lt;&gt;"")+('Dvd Calendar'!$AR$643=TYPE3)*(TYPE3&lt;&gt;"")+('Dvd Calendar'!$AR$643=TYPE4)*(TYPE4&lt;&gt;"")+('Dvd Calendar'!$AR$643=SPECIAL_LBL)*(INC_SPECIALS="Y"))=0,"",'Dvd Calendar'!$AR$641)))</f>
        <v/>
      </c>
      <c r="AQ69" s="161">
        <f>IF(FS69="","",IF(ISNUMBER('Dvd Calendar'!$E$646)=FALSE,"",'Dvd Calendar'!$E$646))</f>
        <v/>
      </c>
      <c r="AR69" s="161">
        <f>IF(FT69="","",IF(ISNUMBER('Dvd Calendar'!$F$646)=FALSE,"",'Dvd Calendar'!$F$646))</f>
        <v/>
      </c>
      <c r="AS69" s="161">
        <f>IF(FU69="","",IF(ISNUMBER('Dvd Calendar'!$G$646)=FALSE,"",'Dvd Calendar'!$G$646))</f>
        <v/>
      </c>
      <c r="AT69" s="161">
        <f>IF(FV69="","",IF(ISNUMBER('Dvd Calendar'!$H$646)=FALSE,"",'Dvd Calendar'!$H$646))</f>
        <v/>
      </c>
      <c r="AU69" s="161">
        <f>IF(FW69="","",IF(ISNUMBER('Dvd Calendar'!$I$646)=FALSE,"",'Dvd Calendar'!$I$646))</f>
        <v/>
      </c>
      <c r="AV69" s="161">
        <f>IF(FX69="","",IF(ISNUMBER('Dvd Calendar'!$J$646)=FALSE,"",'Dvd Calendar'!$J$646))</f>
        <v/>
      </c>
      <c r="AW69" s="161">
        <f>IF(FY69="","",IF(ISNUMBER('Dvd Calendar'!$K$646)=FALSE,"",'Dvd Calendar'!$K$646))</f>
        <v/>
      </c>
      <c r="AX69" s="161">
        <f>IF(FZ69="","",IF(ISNUMBER('Dvd Calendar'!$L$646)=FALSE,"",'Dvd Calendar'!$L$646))</f>
        <v/>
      </c>
      <c r="AY69" s="161">
        <f>IF(GA69="","",IF(ISNUMBER('Dvd Calendar'!$M$646)=FALSE,"",'Dvd Calendar'!$M$646))</f>
        <v/>
      </c>
      <c r="AZ69" s="161">
        <f>IF(GB69="","",IF(ISNUMBER('Dvd Calendar'!$N$646)=FALSE,"",'Dvd Calendar'!$N$646))</f>
        <v/>
      </c>
      <c r="BA69" s="161">
        <f>IF(GC69="","",IF(ISNUMBER('Dvd Calendar'!$O$646)=FALSE,"",'Dvd Calendar'!$O$646))</f>
        <v/>
      </c>
      <c r="BB69" s="161">
        <f>IF(GD69="","",IF(ISNUMBER('Dvd Calendar'!$P$646)=FALSE,"",'Dvd Calendar'!$P$646))</f>
        <v/>
      </c>
      <c r="BC69" s="161">
        <f>IF(GE69="","",IF(ISNUMBER('Dvd Calendar'!$Q$646)=FALSE,"",'Dvd Calendar'!$Q$646))</f>
        <v/>
      </c>
      <c r="BD69" s="161">
        <f>IF(GF69="","",IF(ISNUMBER('Dvd Calendar'!$R$646)=FALSE,"",'Dvd Calendar'!$R$646))</f>
        <v/>
      </c>
      <c r="BE69" s="161">
        <f>IF(GG69="","",IF(ISNUMBER('Dvd Calendar'!$S$646)=FALSE,"",'Dvd Calendar'!$S$646))</f>
        <v/>
      </c>
      <c r="BF69" s="161">
        <f>IF(GH69="","",IF(ISNUMBER('Dvd Calendar'!$T$646)=FALSE,"",'Dvd Calendar'!$T$646))</f>
        <v/>
      </c>
      <c r="BG69" s="161">
        <f>IF(GI69="","",IF(ISNUMBER('Dvd Calendar'!$U$646)=FALSE,"",'Dvd Calendar'!$U$646))</f>
        <v/>
      </c>
      <c r="BH69" s="161">
        <f>IF(GJ69="","",IF(ISNUMBER('Dvd Calendar'!$V$646)=FALSE,"",'Dvd Calendar'!$V$646))</f>
        <v/>
      </c>
      <c r="BI69" s="161">
        <f>IF(GK69="","",IF(ISNUMBER('Dvd Calendar'!$W$646)=FALSE,"",'Dvd Calendar'!$W$646))</f>
        <v/>
      </c>
      <c r="BJ69" s="161">
        <f>IF(GL69="","",IF(ISNUMBER('Dvd Calendar'!$X$646)=FALSE,"",'Dvd Calendar'!$X$646))</f>
        <v/>
      </c>
      <c r="BK69" s="161">
        <f>IF(GM69="","",IF(ISNUMBER('Dvd Calendar'!$Y$646)=FALSE,"",'Dvd Calendar'!$Y$646))</f>
        <v/>
      </c>
      <c r="BL69" s="161">
        <f>IF(GN69="","",IF(ISNUMBER('Dvd Calendar'!$Z$646)=FALSE,"",'Dvd Calendar'!$Z$646))</f>
        <v/>
      </c>
      <c r="BM69" s="161">
        <f>IF(GO69="","",IF(ISNUMBER('Dvd Calendar'!$AA$646)=FALSE,"",'Dvd Calendar'!$AA$646))</f>
        <v/>
      </c>
      <c r="BN69" s="161">
        <f>IF(GP69="","",IF(ISNUMBER('Dvd Calendar'!$AB$646)=FALSE,"",'Dvd Calendar'!$AB$646))</f>
        <v/>
      </c>
      <c r="BO69" s="161">
        <f>IF(GQ69="","",IF(ISNUMBER('Dvd Calendar'!$AC$646)=FALSE,"",'Dvd Calendar'!$AC$646))</f>
        <v/>
      </c>
      <c r="BQ69" s="161">
        <f>IF(C69="","",IFERROR(C69*HSI!$B$64*HSI!$G$64/HSI!$B$3,""))</f>
        <v/>
      </c>
      <c r="BR69" s="161">
        <f>IF(D69="","",IFERROR(D69*HSI!$B$64*HSI!$G$64/HSI!$B$3,""))</f>
        <v/>
      </c>
      <c r="BS69" s="161">
        <f>IF(E69="","",IFERROR(E69*HSI!$B$64*HSI!$G$64/HSI!$B$3,""))</f>
        <v/>
      </c>
      <c r="BT69" s="161">
        <f>IF(F69="","",IFERROR(F69*HSI!$B$64*HSI!$G$64/HSI!$B$3,""))</f>
        <v/>
      </c>
      <c r="BU69" s="161">
        <f>IF(G69="","",IFERROR(G69*HSI!$B$64*HSI!$G$64/HSI!$B$3,""))</f>
        <v/>
      </c>
      <c r="BV69" s="161">
        <f>IF(H69="","",IFERROR(H69*HSI!$B$64*HSI!$G$64/HSI!$B$3,""))</f>
        <v/>
      </c>
      <c r="BW69" s="161">
        <f>IF(I69="","",IFERROR(I69*HSI!$B$64*HSI!$G$64/HSI!$B$3,""))</f>
        <v/>
      </c>
      <c r="BX69" s="161">
        <f>IF(J69="","",IFERROR(J69*HSI!$B$64*HSI!$G$64/HSI!$B$3,""))</f>
        <v/>
      </c>
      <c r="BY69" s="161">
        <f>IF(K69="","",IFERROR(K69*HSI!$B$64*HSI!$G$64/HSI!$B$3,""))</f>
        <v/>
      </c>
      <c r="BZ69" s="161">
        <f>IF(L69="","",IFERROR(L69*HSI!$B$64*HSI!$G$64/HSI!$B$3,""))</f>
        <v/>
      </c>
      <c r="CA69" s="161">
        <f>IF(M69="","",IFERROR(M69*HSI!$B$64*HSI!$G$64/HSI!$B$3,""))</f>
        <v/>
      </c>
      <c r="CB69" s="161">
        <f>IF(N69="","",IFERROR(N69*HSI!$B$64*HSI!$G$64/HSI!$B$3,""))</f>
        <v/>
      </c>
      <c r="CC69" s="161">
        <f>IF(O69="","",IFERROR(O69*HSI!$B$64*HSI!$G$64/HSI!$B$3,""))</f>
        <v/>
      </c>
      <c r="CD69" s="161">
        <f>IF(P69="","",IFERROR(P69*HSI!$B$64*HSI!$G$64/HSI!$B$3,""))</f>
        <v/>
      </c>
      <c r="CE69" s="161">
        <f>IF(Q69="","",IFERROR(Q69*HSI!$B$64*HSI!$G$64/HSI!$B$3,""))</f>
        <v/>
      </c>
      <c r="CF69" s="161">
        <f>IF(R69="","",IFERROR(R69*HSI!$B$64*HSI!$G$64/HSI!$B$3,""))</f>
        <v/>
      </c>
      <c r="CG69" s="161">
        <f>IF(S69="","",IFERROR(S69*HSI!$B$64*HSI!$G$64/HSI!$B$3,""))</f>
        <v/>
      </c>
      <c r="CH69" s="161">
        <f>IF(T69="","",IFERROR(T69*HSI!$B$64*HSI!$G$64/HSI!$B$3,""))</f>
        <v/>
      </c>
      <c r="CI69" s="161">
        <f>IF(U69="","",IFERROR(U69*HSI!$B$64*HSI!$G$64/HSI!$B$3,""))</f>
        <v/>
      </c>
      <c r="CJ69" s="161">
        <f>IF(V69="","",IFERROR(V69*HSI!$B$64*HSI!$G$64/HSI!$B$3,""))</f>
        <v/>
      </c>
      <c r="CK69" s="161">
        <f>IF(W69="","",IFERROR(W69*HSI!$B$64*HSI!$G$64/HSI!$B$3,""))</f>
        <v/>
      </c>
      <c r="CL69" s="161">
        <f>IF(X69="","",IFERROR(X69*HSI!$B$64*HSI!$G$64/HSI!$B$3,""))</f>
        <v/>
      </c>
      <c r="CM69" s="161">
        <f>IF(Y69="","",IFERROR(Y69*HSI!$B$64*HSI!$G$64/HSI!$B$3,""))</f>
        <v/>
      </c>
      <c r="CN69" s="161">
        <f>IF(Z69="","",IFERROR(Z69*HSI!$B$64*HSI!$G$64/HSI!$B$3,""))</f>
        <v/>
      </c>
      <c r="CO69" s="161">
        <f>IF(AA69="","",IFERROR(AA69*HSI!$B$64*HSI!$G$64/HSI!$B$3,""))</f>
        <v/>
      </c>
      <c r="CP69" s="161">
        <f>IF(AB69="","",IFERROR(AB69*HSI!$B$64*HSI!$G$64/HSI!$B$3,""))</f>
        <v/>
      </c>
      <c r="CQ69" s="161">
        <f>IF(AC69="","",IFERROR(AC69*HSI!$B$64*HSI!$G$64/HSI!$B$3,""))</f>
        <v/>
      </c>
      <c r="CR69" s="161">
        <f>IF(AD69="","",IFERROR(AD69*HSI!$B$64*HSI!$G$64/HSI!$B$3,""))</f>
        <v/>
      </c>
      <c r="CS69" s="161">
        <f>IF(AE69="","",IFERROR(AE69*HSI!$B$64*HSI!$G$64/HSI!$B$3,""))</f>
        <v/>
      </c>
      <c r="CT69" s="161">
        <f>IF(AF69="","",IFERROR(AF69*HSI!$B$64*HSI!$G$64/HSI!$B$3,""))</f>
        <v/>
      </c>
      <c r="CU69" s="161">
        <f>IF(AG69="","",IFERROR(AG69*HSI!$B$64*HSI!$G$64/HSI!$B$3,""))</f>
        <v/>
      </c>
      <c r="CV69" s="161">
        <f>IF(AH69="","",IFERROR(AH69*HSI!$B$64*HSI!$G$64/HSI!$B$3,""))</f>
        <v/>
      </c>
      <c r="CW69" s="161">
        <f>IF(AI69="","",IFERROR(AI69*HSI!$B$64*HSI!$G$64/HSI!$B$3,""))</f>
        <v/>
      </c>
      <c r="CX69" s="161">
        <f>IF(AJ69="","",IFERROR(AJ69*HSI!$B$64*HSI!$G$64/HSI!$B$3,""))</f>
        <v/>
      </c>
      <c r="CY69" s="161">
        <f>IF(AK69="","",IFERROR(AK69*HSI!$B$64*HSI!$G$64/HSI!$B$3,""))</f>
        <v/>
      </c>
      <c r="CZ69" s="161">
        <f>IF(AL69="","",IFERROR(AL69*HSI!$B$64*HSI!$G$64/HSI!$B$3,""))</f>
        <v/>
      </c>
      <c r="DA69" s="161">
        <f>IF(AM69="","",IFERROR(AM69*HSI!$B$64*HSI!$G$64/HSI!$B$3,""))</f>
        <v/>
      </c>
      <c r="DB69" s="161">
        <f>IF(AN69="","",IFERROR(AN69*HSI!$B$64*HSI!$G$64/HSI!$B$3,""))</f>
        <v/>
      </c>
      <c r="DC69" s="161">
        <f>IF(AO69="","",IFERROR(AO69*HSI!$B$64*HSI!$G$64/HSI!$B$3,""))</f>
        <v/>
      </c>
      <c r="DD69" s="161">
        <f>IF(AP69="","",IFERROR(AP69*HSI!$B$64*HSI!$G$64/HSI!$B$3,""))</f>
        <v/>
      </c>
      <c r="DE69" s="161">
        <f>IF(AQ69="","",IFERROR(AQ69*HSI!$B$64*HSI!$G$64/HSI!$B$3,""))</f>
        <v/>
      </c>
      <c r="DF69" s="161">
        <f>IF(AR69="","",IFERROR(AR69*HSI!$B$64*HSI!$G$64/HSI!$B$3,""))</f>
        <v/>
      </c>
      <c r="DG69" s="161">
        <f>IF(AS69="","",IFERROR(AS69*HSI!$B$64*HSI!$G$64/HSI!$B$3,""))</f>
        <v/>
      </c>
      <c r="DH69" s="161">
        <f>IF(AT69="","",IFERROR(AT69*HSI!$B$64*HSI!$G$64/HSI!$B$3,""))</f>
        <v/>
      </c>
      <c r="DI69" s="161">
        <f>IF(AU69="","",IFERROR(AU69*HSI!$B$64*HSI!$G$64/HSI!$B$3,""))</f>
        <v/>
      </c>
      <c r="DJ69" s="161">
        <f>IF(AV69="","",IFERROR(AV69*HSI!$B$64*HSI!$G$64/HSI!$B$3,""))</f>
        <v/>
      </c>
      <c r="DK69" s="161">
        <f>IF(AW69="","",IFERROR(AW69*HSI!$B$64*HSI!$G$64/HSI!$B$3,""))</f>
        <v/>
      </c>
      <c r="DL69" s="161">
        <f>IF(AX69="","",IFERROR(AX69*HSI!$B$64*HSI!$G$64/HSI!$B$3,""))</f>
        <v/>
      </c>
      <c r="DM69" s="161">
        <f>IF(AY69="","",IFERROR(AY69*HSI!$B$64*HSI!$G$64/HSI!$B$3,""))</f>
        <v/>
      </c>
      <c r="DN69" s="161">
        <f>IF(AZ69="","",IFERROR(AZ69*HSI!$B$64*HSI!$G$64/HSI!$B$3,""))</f>
        <v/>
      </c>
      <c r="DO69" s="161">
        <f>IF(BA69="","",IFERROR(BA69*HSI!$B$64*HSI!$G$64/HSI!$B$3,""))</f>
        <v/>
      </c>
      <c r="DP69" s="161">
        <f>IF(BB69="","",IFERROR(BB69*HSI!$B$64*HSI!$G$64/HSI!$B$3,""))</f>
        <v/>
      </c>
      <c r="DQ69" s="161">
        <f>IF(BC69="","",IFERROR(BC69*HSI!$B$64*HSI!$G$64/HSI!$B$3,""))</f>
        <v/>
      </c>
      <c r="DR69" s="161">
        <f>IF(BD69="","",IFERROR(BD69*HSI!$B$64*HSI!$G$64/HSI!$B$3,""))</f>
        <v/>
      </c>
      <c r="DS69" s="161">
        <f>IF(BE69="","",IFERROR(BE69*HSI!$B$64*HSI!$G$64/HSI!$B$3,""))</f>
        <v/>
      </c>
      <c r="DT69" s="161">
        <f>IF(BF69="","",IFERROR(BF69*HSI!$B$64*HSI!$G$64/HSI!$B$3,""))</f>
        <v/>
      </c>
      <c r="DU69" s="161">
        <f>IF(BG69="","",IFERROR(BG69*HSI!$B$64*HSI!$G$64/HSI!$B$3,""))</f>
        <v/>
      </c>
      <c r="DV69" s="161">
        <f>IF(BH69="","",IFERROR(BH69*HSI!$B$64*HSI!$G$64/HSI!$B$3,""))</f>
        <v/>
      </c>
      <c r="DW69" s="161">
        <f>IF(BI69="","",IFERROR(BI69*HSI!$B$64*HSI!$G$64/HSI!$B$3,""))</f>
        <v/>
      </c>
      <c r="DX69" s="161">
        <f>IF(BJ69="","",IFERROR(BJ69*HSI!$B$64*HSI!$G$64/HSI!$B$3,""))</f>
        <v/>
      </c>
      <c r="DY69" s="161">
        <f>IF(BK69="","",IFERROR(BK69*HSI!$B$64*HSI!$G$64/HSI!$B$3,""))</f>
        <v/>
      </c>
      <c r="DZ69" s="161">
        <f>IF(BL69="","",IFERROR(BL69*HSI!$B$64*HSI!$G$64/HSI!$B$3,""))</f>
        <v/>
      </c>
      <c r="EA69" s="161">
        <f>IF(BM69="","",IFERROR(BM69*HSI!$B$64*HSI!$G$64/HSI!$B$3,""))</f>
        <v/>
      </c>
      <c r="EB69" s="161">
        <f>IF(BN69="","",IFERROR(BN69*HSI!$B$64*HSI!$G$64/HSI!$B$3,""))</f>
        <v/>
      </c>
      <c r="EC69" s="161">
        <f>IF(BO69="","",IFERROR(BO69*HSI!$B$64*HSI!$G$64/HSI!$B$3,""))</f>
        <v/>
      </c>
      <c r="EE69" s="121">
        <f>IF(N('Dvd Calendar'!$E$638)=0,"",IF(('Dvd Calendar'!$E$638&gt;=GRID_FROM)*('Dvd Calendar'!$E$638&lt;=GRID_TO)*((('Dvd Calendar'!$E$638&lt;=VAL_DATE)+(COUNTIF('Dvd Calendar'!$E$645:$AR$645,'Dvd Calendar'!$E$638)=0))&gt;0)=0,"",'Dvd Calendar'!$E$638*1000000000+ISNUMBER('Dvd Calendar'!$E$641)*100000000+('Dvd Calendar'!$E$643=SPECIAL_LBL)*10000000+(N('Dvd Calendar'!$E$637)&gt;0)*(N('Dvd Calendar'!$E$637)&lt;=VAL_SERIAL)*1000000+58*1000+1))</f>
        <v/>
      </c>
      <c r="EF69" s="121">
        <f>IF(N('Dvd Calendar'!$F$638)=0,"",IF(('Dvd Calendar'!$F$638&gt;=GRID_FROM)*('Dvd Calendar'!$F$638&lt;=GRID_TO)*((('Dvd Calendar'!$F$638&lt;=VAL_DATE)+(COUNTIF('Dvd Calendar'!$E$645:$AR$645,'Dvd Calendar'!$F$638)=0))&gt;0)=0,"",'Dvd Calendar'!$F$638*1000000000+ISNUMBER('Dvd Calendar'!$F$641)*100000000+('Dvd Calendar'!$F$643=SPECIAL_LBL)*10000000+(N('Dvd Calendar'!$F$637)&gt;0)*(N('Dvd Calendar'!$F$637)&lt;=VAL_SERIAL)*1000000+58*1000+2))</f>
        <v/>
      </c>
      <c r="EG69" s="121">
        <f>IF(N('Dvd Calendar'!$G$638)=0,"",IF(('Dvd Calendar'!$G$638&gt;=GRID_FROM)*('Dvd Calendar'!$G$638&lt;=GRID_TO)*((('Dvd Calendar'!$G$638&lt;=VAL_DATE)+(COUNTIF('Dvd Calendar'!$E$645:$AR$645,'Dvd Calendar'!$G$638)=0))&gt;0)=0,"",'Dvd Calendar'!$G$638*1000000000+ISNUMBER('Dvd Calendar'!$G$641)*100000000+('Dvd Calendar'!$G$643=SPECIAL_LBL)*10000000+(N('Dvd Calendar'!$G$637)&gt;0)*(N('Dvd Calendar'!$G$637)&lt;=VAL_SERIAL)*1000000+58*1000+3))</f>
        <v/>
      </c>
      <c r="EH69" s="121">
        <f>IF(N('Dvd Calendar'!$H$638)=0,"",IF(('Dvd Calendar'!$H$638&gt;=GRID_FROM)*('Dvd Calendar'!$H$638&lt;=GRID_TO)*((('Dvd Calendar'!$H$638&lt;=VAL_DATE)+(COUNTIF('Dvd Calendar'!$E$645:$AR$645,'Dvd Calendar'!$H$638)=0))&gt;0)=0,"",'Dvd Calendar'!$H$638*1000000000+ISNUMBER('Dvd Calendar'!$H$641)*100000000+('Dvd Calendar'!$H$643=SPECIAL_LBL)*10000000+(N('Dvd Calendar'!$H$637)&gt;0)*(N('Dvd Calendar'!$H$637)&lt;=VAL_SERIAL)*1000000+58*1000+4))</f>
        <v/>
      </c>
      <c r="EI69" s="121">
        <f>IF(N('Dvd Calendar'!$I$638)=0,"",IF(('Dvd Calendar'!$I$638&gt;=GRID_FROM)*('Dvd Calendar'!$I$638&lt;=GRID_TO)*((('Dvd Calendar'!$I$638&lt;=VAL_DATE)+(COUNTIF('Dvd Calendar'!$E$645:$AR$645,'Dvd Calendar'!$I$638)=0))&gt;0)=0,"",'Dvd Calendar'!$I$638*1000000000+ISNUMBER('Dvd Calendar'!$I$641)*100000000+('Dvd Calendar'!$I$643=SPECIAL_LBL)*10000000+(N('Dvd Calendar'!$I$637)&gt;0)*(N('Dvd Calendar'!$I$637)&lt;=VAL_SERIAL)*1000000+58*1000+5))</f>
        <v/>
      </c>
      <c r="EJ69" s="121">
        <f>IF(N('Dvd Calendar'!$J$638)=0,"",IF(('Dvd Calendar'!$J$638&gt;=GRID_FROM)*('Dvd Calendar'!$J$638&lt;=GRID_TO)*((('Dvd Calendar'!$J$638&lt;=VAL_DATE)+(COUNTIF('Dvd Calendar'!$E$645:$AR$645,'Dvd Calendar'!$J$638)=0))&gt;0)=0,"",'Dvd Calendar'!$J$638*1000000000+ISNUMBER('Dvd Calendar'!$J$641)*100000000+('Dvd Calendar'!$J$643=SPECIAL_LBL)*10000000+(N('Dvd Calendar'!$J$637)&gt;0)*(N('Dvd Calendar'!$J$637)&lt;=VAL_SERIAL)*1000000+58*1000+6))</f>
        <v/>
      </c>
      <c r="EK69" s="121">
        <f>IF(N('Dvd Calendar'!$K$638)=0,"",IF(('Dvd Calendar'!$K$638&gt;=GRID_FROM)*('Dvd Calendar'!$K$638&lt;=GRID_TO)*((('Dvd Calendar'!$K$638&lt;=VAL_DATE)+(COUNTIF('Dvd Calendar'!$E$645:$AR$645,'Dvd Calendar'!$K$638)=0))&gt;0)=0,"",'Dvd Calendar'!$K$638*1000000000+ISNUMBER('Dvd Calendar'!$K$641)*100000000+('Dvd Calendar'!$K$643=SPECIAL_LBL)*10000000+(N('Dvd Calendar'!$K$637)&gt;0)*(N('Dvd Calendar'!$K$637)&lt;=VAL_SERIAL)*1000000+58*1000+7))</f>
        <v/>
      </c>
      <c r="EL69" s="121">
        <f>IF(N('Dvd Calendar'!$L$638)=0,"",IF(('Dvd Calendar'!$L$638&gt;=GRID_FROM)*('Dvd Calendar'!$L$638&lt;=GRID_TO)*((('Dvd Calendar'!$L$638&lt;=VAL_DATE)+(COUNTIF('Dvd Calendar'!$E$645:$AR$645,'Dvd Calendar'!$L$638)=0))&gt;0)=0,"",'Dvd Calendar'!$L$638*1000000000+ISNUMBER('Dvd Calendar'!$L$641)*100000000+('Dvd Calendar'!$L$643=SPECIAL_LBL)*10000000+(N('Dvd Calendar'!$L$637)&gt;0)*(N('Dvd Calendar'!$L$637)&lt;=VAL_SERIAL)*1000000+58*1000+8))</f>
        <v/>
      </c>
      <c r="EM69" s="121">
        <f>IF(N('Dvd Calendar'!$M$638)=0,"",IF(('Dvd Calendar'!$M$638&gt;=GRID_FROM)*('Dvd Calendar'!$M$638&lt;=GRID_TO)*((('Dvd Calendar'!$M$638&lt;=VAL_DATE)+(COUNTIF('Dvd Calendar'!$E$645:$AR$645,'Dvd Calendar'!$M$638)=0))&gt;0)=0,"",'Dvd Calendar'!$M$638*1000000000+ISNUMBER('Dvd Calendar'!$M$641)*100000000+('Dvd Calendar'!$M$643=SPECIAL_LBL)*10000000+(N('Dvd Calendar'!$M$637)&gt;0)*(N('Dvd Calendar'!$M$637)&lt;=VAL_SERIAL)*1000000+58*1000+9))</f>
        <v/>
      </c>
      <c r="EN69" s="121">
        <f>IF(N('Dvd Calendar'!$N$638)=0,"",IF(('Dvd Calendar'!$N$638&gt;=GRID_FROM)*('Dvd Calendar'!$N$638&lt;=GRID_TO)*((('Dvd Calendar'!$N$638&lt;=VAL_DATE)+(COUNTIF('Dvd Calendar'!$E$645:$AR$645,'Dvd Calendar'!$N$638)=0))&gt;0)=0,"",'Dvd Calendar'!$N$638*1000000000+ISNUMBER('Dvd Calendar'!$N$641)*100000000+('Dvd Calendar'!$N$643=SPECIAL_LBL)*10000000+(N('Dvd Calendar'!$N$637)&gt;0)*(N('Dvd Calendar'!$N$637)&lt;=VAL_SERIAL)*1000000+58*1000+10))</f>
        <v/>
      </c>
      <c r="EO69" s="121">
        <f>IF(N('Dvd Calendar'!$O$638)=0,"",IF(('Dvd Calendar'!$O$638&gt;=GRID_FROM)*('Dvd Calendar'!$O$638&lt;=GRID_TO)*((('Dvd Calendar'!$O$638&lt;=VAL_DATE)+(COUNTIF('Dvd Calendar'!$E$645:$AR$645,'Dvd Calendar'!$O$638)=0))&gt;0)=0,"",'Dvd Calendar'!$O$638*1000000000+ISNUMBER('Dvd Calendar'!$O$641)*100000000+('Dvd Calendar'!$O$643=SPECIAL_LBL)*10000000+(N('Dvd Calendar'!$O$637)&gt;0)*(N('Dvd Calendar'!$O$637)&lt;=VAL_SERIAL)*1000000+58*1000+11))</f>
        <v/>
      </c>
      <c r="EP69" s="121">
        <f>IF(N('Dvd Calendar'!$P$638)=0,"",IF(('Dvd Calendar'!$P$638&gt;=GRID_FROM)*('Dvd Calendar'!$P$638&lt;=GRID_TO)*((('Dvd Calendar'!$P$638&lt;=VAL_DATE)+(COUNTIF('Dvd Calendar'!$E$645:$AR$645,'Dvd Calendar'!$P$638)=0))&gt;0)=0,"",'Dvd Calendar'!$P$638*1000000000+ISNUMBER('Dvd Calendar'!$P$641)*100000000+('Dvd Calendar'!$P$643=SPECIAL_LBL)*10000000+(N('Dvd Calendar'!$P$637)&gt;0)*(N('Dvd Calendar'!$P$637)&lt;=VAL_SERIAL)*1000000+58*1000+12))</f>
        <v/>
      </c>
      <c r="EQ69" s="121">
        <f>IF(N('Dvd Calendar'!$Q$638)=0,"",IF(('Dvd Calendar'!$Q$638&gt;=GRID_FROM)*('Dvd Calendar'!$Q$638&lt;=GRID_TO)*((('Dvd Calendar'!$Q$638&lt;=VAL_DATE)+(COUNTIF('Dvd Calendar'!$E$645:$AR$645,'Dvd Calendar'!$Q$638)=0))&gt;0)=0,"",'Dvd Calendar'!$Q$638*1000000000+ISNUMBER('Dvd Calendar'!$Q$641)*100000000+('Dvd Calendar'!$Q$643=SPECIAL_LBL)*10000000+(N('Dvd Calendar'!$Q$637)&gt;0)*(N('Dvd Calendar'!$Q$637)&lt;=VAL_SERIAL)*1000000+58*1000+13))</f>
        <v/>
      </c>
      <c r="ER69" s="121">
        <f>IF(N('Dvd Calendar'!$R$638)=0,"",IF(('Dvd Calendar'!$R$638&gt;=GRID_FROM)*('Dvd Calendar'!$R$638&lt;=GRID_TO)*((('Dvd Calendar'!$R$638&lt;=VAL_DATE)+(COUNTIF('Dvd Calendar'!$E$645:$AR$645,'Dvd Calendar'!$R$638)=0))&gt;0)=0,"",'Dvd Calendar'!$R$638*1000000000+ISNUMBER('Dvd Calendar'!$R$641)*100000000+('Dvd Calendar'!$R$643=SPECIAL_LBL)*10000000+(N('Dvd Calendar'!$R$637)&gt;0)*(N('Dvd Calendar'!$R$637)&lt;=VAL_SERIAL)*1000000+58*1000+14))</f>
        <v/>
      </c>
      <c r="ES69" s="121">
        <f>IF(N('Dvd Calendar'!$S$638)=0,"",IF(('Dvd Calendar'!$S$638&gt;=GRID_FROM)*('Dvd Calendar'!$S$638&lt;=GRID_TO)*((('Dvd Calendar'!$S$638&lt;=VAL_DATE)+(COUNTIF('Dvd Calendar'!$E$645:$AR$645,'Dvd Calendar'!$S$638)=0))&gt;0)=0,"",'Dvd Calendar'!$S$638*1000000000+ISNUMBER('Dvd Calendar'!$S$641)*100000000+('Dvd Calendar'!$S$643=SPECIAL_LBL)*10000000+(N('Dvd Calendar'!$S$637)&gt;0)*(N('Dvd Calendar'!$S$637)&lt;=VAL_SERIAL)*1000000+58*1000+15))</f>
        <v/>
      </c>
      <c r="ET69" s="121">
        <f>IF(N('Dvd Calendar'!$T$638)=0,"",IF(('Dvd Calendar'!$T$638&gt;=GRID_FROM)*('Dvd Calendar'!$T$638&lt;=GRID_TO)*((('Dvd Calendar'!$T$638&lt;=VAL_DATE)+(COUNTIF('Dvd Calendar'!$E$645:$AR$645,'Dvd Calendar'!$T$638)=0))&gt;0)=0,"",'Dvd Calendar'!$T$638*1000000000+ISNUMBER('Dvd Calendar'!$T$641)*100000000+('Dvd Calendar'!$T$643=SPECIAL_LBL)*10000000+(N('Dvd Calendar'!$T$637)&gt;0)*(N('Dvd Calendar'!$T$637)&lt;=VAL_SERIAL)*1000000+58*1000+16))</f>
        <v/>
      </c>
      <c r="EU69" s="121">
        <f>IF(N('Dvd Calendar'!$U$638)=0,"",IF(('Dvd Calendar'!$U$638&gt;=GRID_FROM)*('Dvd Calendar'!$U$638&lt;=GRID_TO)*((('Dvd Calendar'!$U$638&lt;=VAL_DATE)+(COUNTIF('Dvd Calendar'!$E$645:$AR$645,'Dvd Calendar'!$U$638)=0))&gt;0)=0,"",'Dvd Calendar'!$U$638*1000000000+ISNUMBER('Dvd Calendar'!$U$641)*100000000+('Dvd Calendar'!$U$643=SPECIAL_LBL)*10000000+(N('Dvd Calendar'!$U$637)&gt;0)*(N('Dvd Calendar'!$U$637)&lt;=VAL_SERIAL)*1000000+58*1000+17))</f>
        <v/>
      </c>
      <c r="EV69" s="121">
        <f>IF(N('Dvd Calendar'!$V$638)=0,"",IF(('Dvd Calendar'!$V$638&gt;=GRID_FROM)*('Dvd Calendar'!$V$638&lt;=GRID_TO)*((('Dvd Calendar'!$V$638&lt;=VAL_DATE)+(COUNTIF('Dvd Calendar'!$E$645:$AR$645,'Dvd Calendar'!$V$638)=0))&gt;0)=0,"",'Dvd Calendar'!$V$638*1000000000+ISNUMBER('Dvd Calendar'!$V$641)*100000000+('Dvd Calendar'!$V$643=SPECIAL_LBL)*10000000+(N('Dvd Calendar'!$V$637)&gt;0)*(N('Dvd Calendar'!$V$637)&lt;=VAL_SERIAL)*1000000+58*1000+18))</f>
        <v/>
      </c>
      <c r="EW69" s="121">
        <f>IF(N('Dvd Calendar'!$W$638)=0,"",IF(('Dvd Calendar'!$W$638&gt;=GRID_FROM)*('Dvd Calendar'!$W$638&lt;=GRID_TO)*((('Dvd Calendar'!$W$638&lt;=VAL_DATE)+(COUNTIF('Dvd Calendar'!$E$645:$AR$645,'Dvd Calendar'!$W$638)=0))&gt;0)=0,"",'Dvd Calendar'!$W$638*1000000000+ISNUMBER('Dvd Calendar'!$W$641)*100000000+('Dvd Calendar'!$W$643=SPECIAL_LBL)*10000000+(N('Dvd Calendar'!$W$637)&gt;0)*(N('Dvd Calendar'!$W$637)&lt;=VAL_SERIAL)*1000000+58*1000+19))</f>
        <v/>
      </c>
      <c r="EX69" s="121">
        <f>IF(N('Dvd Calendar'!$X$638)=0,"",IF(('Dvd Calendar'!$X$638&gt;=GRID_FROM)*('Dvd Calendar'!$X$638&lt;=GRID_TO)*((('Dvd Calendar'!$X$638&lt;=VAL_DATE)+(COUNTIF('Dvd Calendar'!$E$645:$AR$645,'Dvd Calendar'!$X$638)=0))&gt;0)=0,"",'Dvd Calendar'!$X$638*1000000000+ISNUMBER('Dvd Calendar'!$X$641)*100000000+('Dvd Calendar'!$X$643=SPECIAL_LBL)*10000000+(N('Dvd Calendar'!$X$637)&gt;0)*(N('Dvd Calendar'!$X$637)&lt;=VAL_SERIAL)*1000000+58*1000+20))</f>
        <v/>
      </c>
      <c r="EY69" s="121">
        <f>IF(N('Dvd Calendar'!$Y$638)=0,"",IF(('Dvd Calendar'!$Y$638&gt;=GRID_FROM)*('Dvd Calendar'!$Y$638&lt;=GRID_TO)*((('Dvd Calendar'!$Y$638&lt;=VAL_DATE)+(COUNTIF('Dvd Calendar'!$E$645:$AR$645,'Dvd Calendar'!$Y$638)=0))&gt;0)=0,"",'Dvd Calendar'!$Y$638*1000000000+ISNUMBER('Dvd Calendar'!$Y$641)*100000000+('Dvd Calendar'!$Y$643=SPECIAL_LBL)*10000000+(N('Dvd Calendar'!$Y$637)&gt;0)*(N('Dvd Calendar'!$Y$637)&lt;=VAL_SERIAL)*1000000+58*1000+21))</f>
        <v/>
      </c>
      <c r="EZ69" s="121">
        <f>IF(N('Dvd Calendar'!$Z$638)=0,"",IF(('Dvd Calendar'!$Z$638&gt;=GRID_FROM)*('Dvd Calendar'!$Z$638&lt;=GRID_TO)*((('Dvd Calendar'!$Z$638&lt;=VAL_DATE)+(COUNTIF('Dvd Calendar'!$E$645:$AR$645,'Dvd Calendar'!$Z$638)=0))&gt;0)=0,"",'Dvd Calendar'!$Z$638*1000000000+ISNUMBER('Dvd Calendar'!$Z$641)*100000000+('Dvd Calendar'!$Z$643=SPECIAL_LBL)*10000000+(N('Dvd Calendar'!$Z$637)&gt;0)*(N('Dvd Calendar'!$Z$637)&lt;=VAL_SERIAL)*1000000+58*1000+22))</f>
        <v/>
      </c>
      <c r="FA69" s="121">
        <f>IF(N('Dvd Calendar'!$AA$638)=0,"",IF(('Dvd Calendar'!$AA$638&gt;=GRID_FROM)*('Dvd Calendar'!$AA$638&lt;=GRID_TO)*((('Dvd Calendar'!$AA$638&lt;=VAL_DATE)+(COUNTIF('Dvd Calendar'!$E$645:$AR$645,'Dvd Calendar'!$AA$638)=0))&gt;0)=0,"",'Dvd Calendar'!$AA$638*1000000000+ISNUMBER('Dvd Calendar'!$AA$641)*100000000+('Dvd Calendar'!$AA$643=SPECIAL_LBL)*10000000+(N('Dvd Calendar'!$AA$637)&gt;0)*(N('Dvd Calendar'!$AA$637)&lt;=VAL_SERIAL)*1000000+58*1000+23))</f>
        <v/>
      </c>
      <c r="FB69" s="121">
        <f>IF(N('Dvd Calendar'!$AB$638)=0,"",IF(('Dvd Calendar'!$AB$638&gt;=GRID_FROM)*('Dvd Calendar'!$AB$638&lt;=GRID_TO)*((('Dvd Calendar'!$AB$638&lt;=VAL_DATE)+(COUNTIF('Dvd Calendar'!$E$645:$AR$645,'Dvd Calendar'!$AB$638)=0))&gt;0)=0,"",'Dvd Calendar'!$AB$638*1000000000+ISNUMBER('Dvd Calendar'!$AB$641)*100000000+('Dvd Calendar'!$AB$643=SPECIAL_LBL)*10000000+(N('Dvd Calendar'!$AB$637)&gt;0)*(N('Dvd Calendar'!$AB$637)&lt;=VAL_SERIAL)*1000000+58*1000+24))</f>
        <v/>
      </c>
      <c r="FC69" s="121">
        <f>IF(N('Dvd Calendar'!$AC$638)=0,"",IF(('Dvd Calendar'!$AC$638&gt;=GRID_FROM)*('Dvd Calendar'!$AC$638&lt;=GRID_TO)*((('Dvd Calendar'!$AC$638&lt;=VAL_DATE)+(COUNTIF('Dvd Calendar'!$E$645:$AR$645,'Dvd Calendar'!$AC$638)=0))&gt;0)=0,"",'Dvd Calendar'!$AC$638*1000000000+ISNUMBER('Dvd Calendar'!$AC$641)*100000000+('Dvd Calendar'!$AC$643=SPECIAL_LBL)*10000000+(N('Dvd Calendar'!$AC$637)&gt;0)*(N('Dvd Calendar'!$AC$637)&lt;=VAL_SERIAL)*1000000+58*1000+25))</f>
        <v/>
      </c>
      <c r="FD69" s="121">
        <f>IF(N('Dvd Calendar'!$AD$638)=0,"",IF(('Dvd Calendar'!$AD$638&gt;=GRID_FROM)*('Dvd Calendar'!$AD$638&lt;=GRID_TO)*((('Dvd Calendar'!$AD$638&lt;=VAL_DATE)+(COUNTIF('Dvd Calendar'!$E$645:$AR$645,'Dvd Calendar'!$AD$638)=0))&gt;0)=0,"",'Dvd Calendar'!$AD$638*1000000000+ISNUMBER('Dvd Calendar'!$AD$641)*100000000+('Dvd Calendar'!$AD$643=SPECIAL_LBL)*10000000+(N('Dvd Calendar'!$AD$637)&gt;0)*(N('Dvd Calendar'!$AD$637)&lt;=VAL_SERIAL)*1000000+58*1000+26))</f>
        <v/>
      </c>
      <c r="FE69" s="121">
        <f>IF(N('Dvd Calendar'!$AE$638)=0,"",IF(('Dvd Calendar'!$AE$638&gt;=GRID_FROM)*('Dvd Calendar'!$AE$638&lt;=GRID_TO)*((('Dvd Calendar'!$AE$638&lt;=VAL_DATE)+(COUNTIF('Dvd Calendar'!$E$645:$AR$645,'Dvd Calendar'!$AE$638)=0))&gt;0)=0,"",'Dvd Calendar'!$AE$638*1000000000+ISNUMBER('Dvd Calendar'!$AE$641)*100000000+('Dvd Calendar'!$AE$643=SPECIAL_LBL)*10000000+(N('Dvd Calendar'!$AE$637)&gt;0)*(N('Dvd Calendar'!$AE$637)&lt;=VAL_SERIAL)*1000000+58*1000+27))</f>
        <v/>
      </c>
      <c r="FF69" s="121">
        <f>IF(N('Dvd Calendar'!$AF$638)=0,"",IF(('Dvd Calendar'!$AF$638&gt;=GRID_FROM)*('Dvd Calendar'!$AF$638&lt;=GRID_TO)*((('Dvd Calendar'!$AF$638&lt;=VAL_DATE)+(COUNTIF('Dvd Calendar'!$E$645:$AR$645,'Dvd Calendar'!$AF$638)=0))&gt;0)=0,"",'Dvd Calendar'!$AF$638*1000000000+ISNUMBER('Dvd Calendar'!$AF$641)*100000000+('Dvd Calendar'!$AF$643=SPECIAL_LBL)*10000000+(N('Dvd Calendar'!$AF$637)&gt;0)*(N('Dvd Calendar'!$AF$637)&lt;=VAL_SERIAL)*1000000+58*1000+28))</f>
        <v/>
      </c>
      <c r="FG69" s="121">
        <f>IF(N('Dvd Calendar'!$AG$638)=0,"",IF(('Dvd Calendar'!$AG$638&gt;=GRID_FROM)*('Dvd Calendar'!$AG$638&lt;=GRID_TO)*((('Dvd Calendar'!$AG$638&lt;=VAL_DATE)+(COUNTIF('Dvd Calendar'!$E$645:$AR$645,'Dvd Calendar'!$AG$638)=0))&gt;0)=0,"",'Dvd Calendar'!$AG$638*1000000000+ISNUMBER('Dvd Calendar'!$AG$641)*100000000+('Dvd Calendar'!$AG$643=SPECIAL_LBL)*10000000+(N('Dvd Calendar'!$AG$637)&gt;0)*(N('Dvd Calendar'!$AG$637)&lt;=VAL_SERIAL)*1000000+58*1000+29))</f>
        <v/>
      </c>
      <c r="FH69" s="121">
        <f>IF(N('Dvd Calendar'!$AH$638)=0,"",IF(('Dvd Calendar'!$AH$638&gt;=GRID_FROM)*('Dvd Calendar'!$AH$638&lt;=GRID_TO)*((('Dvd Calendar'!$AH$638&lt;=VAL_DATE)+(COUNTIF('Dvd Calendar'!$E$645:$AR$645,'Dvd Calendar'!$AH$638)=0))&gt;0)=0,"",'Dvd Calendar'!$AH$638*1000000000+ISNUMBER('Dvd Calendar'!$AH$641)*100000000+('Dvd Calendar'!$AH$643=SPECIAL_LBL)*10000000+(N('Dvd Calendar'!$AH$637)&gt;0)*(N('Dvd Calendar'!$AH$637)&lt;=VAL_SERIAL)*1000000+58*1000+30))</f>
        <v/>
      </c>
      <c r="FI69" s="121">
        <f>IF(N('Dvd Calendar'!$AI$638)=0,"",IF(('Dvd Calendar'!$AI$638&gt;=GRID_FROM)*('Dvd Calendar'!$AI$638&lt;=GRID_TO)*((('Dvd Calendar'!$AI$638&lt;=VAL_DATE)+(COUNTIF('Dvd Calendar'!$E$645:$AR$645,'Dvd Calendar'!$AI$638)=0))&gt;0)=0,"",'Dvd Calendar'!$AI$638*1000000000+ISNUMBER('Dvd Calendar'!$AI$641)*100000000+('Dvd Calendar'!$AI$643=SPECIAL_LBL)*10000000+(N('Dvd Calendar'!$AI$637)&gt;0)*(N('Dvd Calendar'!$AI$637)&lt;=VAL_SERIAL)*1000000+58*1000+31))</f>
        <v/>
      </c>
      <c r="FJ69" s="121">
        <f>IF(N('Dvd Calendar'!$AJ$638)=0,"",IF(('Dvd Calendar'!$AJ$638&gt;=GRID_FROM)*('Dvd Calendar'!$AJ$638&lt;=GRID_TO)*((('Dvd Calendar'!$AJ$638&lt;=VAL_DATE)+(COUNTIF('Dvd Calendar'!$E$645:$AR$645,'Dvd Calendar'!$AJ$638)=0))&gt;0)=0,"",'Dvd Calendar'!$AJ$638*1000000000+ISNUMBER('Dvd Calendar'!$AJ$641)*100000000+('Dvd Calendar'!$AJ$643=SPECIAL_LBL)*10000000+(N('Dvd Calendar'!$AJ$637)&gt;0)*(N('Dvd Calendar'!$AJ$637)&lt;=VAL_SERIAL)*1000000+58*1000+32))</f>
        <v/>
      </c>
      <c r="FK69" s="121">
        <f>IF(N('Dvd Calendar'!$AK$638)=0,"",IF(('Dvd Calendar'!$AK$638&gt;=GRID_FROM)*('Dvd Calendar'!$AK$638&lt;=GRID_TO)*((('Dvd Calendar'!$AK$638&lt;=VAL_DATE)+(COUNTIF('Dvd Calendar'!$E$645:$AR$645,'Dvd Calendar'!$AK$638)=0))&gt;0)=0,"",'Dvd Calendar'!$AK$638*1000000000+ISNUMBER('Dvd Calendar'!$AK$641)*100000000+('Dvd Calendar'!$AK$643=SPECIAL_LBL)*10000000+(N('Dvd Calendar'!$AK$637)&gt;0)*(N('Dvd Calendar'!$AK$637)&lt;=VAL_SERIAL)*1000000+58*1000+33))</f>
        <v/>
      </c>
      <c r="FL69" s="121">
        <f>IF(N('Dvd Calendar'!$AL$638)=0,"",IF(('Dvd Calendar'!$AL$638&gt;=GRID_FROM)*('Dvd Calendar'!$AL$638&lt;=GRID_TO)*((('Dvd Calendar'!$AL$638&lt;=VAL_DATE)+(COUNTIF('Dvd Calendar'!$E$645:$AR$645,'Dvd Calendar'!$AL$638)=0))&gt;0)=0,"",'Dvd Calendar'!$AL$638*1000000000+ISNUMBER('Dvd Calendar'!$AL$641)*100000000+('Dvd Calendar'!$AL$643=SPECIAL_LBL)*10000000+(N('Dvd Calendar'!$AL$637)&gt;0)*(N('Dvd Calendar'!$AL$637)&lt;=VAL_SERIAL)*1000000+58*1000+34))</f>
        <v/>
      </c>
      <c r="FM69" s="121">
        <f>IF(N('Dvd Calendar'!$AM$638)=0,"",IF(('Dvd Calendar'!$AM$638&gt;=GRID_FROM)*('Dvd Calendar'!$AM$638&lt;=GRID_TO)*((('Dvd Calendar'!$AM$638&lt;=VAL_DATE)+(COUNTIF('Dvd Calendar'!$E$645:$AR$645,'Dvd Calendar'!$AM$638)=0))&gt;0)=0,"",'Dvd Calendar'!$AM$638*1000000000+ISNUMBER('Dvd Calendar'!$AM$641)*100000000+('Dvd Calendar'!$AM$643=SPECIAL_LBL)*10000000+(N('Dvd Calendar'!$AM$637)&gt;0)*(N('Dvd Calendar'!$AM$637)&lt;=VAL_SERIAL)*1000000+58*1000+35))</f>
        <v/>
      </c>
      <c r="FN69" s="121">
        <f>IF(N('Dvd Calendar'!$AN$638)=0,"",IF(('Dvd Calendar'!$AN$638&gt;=GRID_FROM)*('Dvd Calendar'!$AN$638&lt;=GRID_TO)*((('Dvd Calendar'!$AN$638&lt;=VAL_DATE)+(COUNTIF('Dvd Calendar'!$E$645:$AR$645,'Dvd Calendar'!$AN$638)=0))&gt;0)=0,"",'Dvd Calendar'!$AN$638*1000000000+ISNUMBER('Dvd Calendar'!$AN$641)*100000000+('Dvd Calendar'!$AN$643=SPECIAL_LBL)*10000000+(N('Dvd Calendar'!$AN$637)&gt;0)*(N('Dvd Calendar'!$AN$637)&lt;=VAL_SERIAL)*1000000+58*1000+36))</f>
        <v/>
      </c>
      <c r="FO69" s="121">
        <f>IF(N('Dvd Calendar'!$AO$638)=0,"",IF(('Dvd Calendar'!$AO$638&gt;=GRID_FROM)*('Dvd Calendar'!$AO$638&lt;=GRID_TO)*((('Dvd Calendar'!$AO$638&lt;=VAL_DATE)+(COUNTIF('Dvd Calendar'!$E$645:$AR$645,'Dvd Calendar'!$AO$638)=0))&gt;0)=0,"",'Dvd Calendar'!$AO$638*1000000000+ISNUMBER('Dvd Calendar'!$AO$641)*100000000+('Dvd Calendar'!$AO$643=SPECIAL_LBL)*10000000+(N('Dvd Calendar'!$AO$637)&gt;0)*(N('Dvd Calendar'!$AO$637)&lt;=VAL_SERIAL)*1000000+58*1000+37))</f>
        <v/>
      </c>
      <c r="FP69" s="121">
        <f>IF(N('Dvd Calendar'!$AP$638)=0,"",IF(('Dvd Calendar'!$AP$638&gt;=GRID_FROM)*('Dvd Calendar'!$AP$638&lt;=GRID_TO)*((('Dvd Calendar'!$AP$638&lt;=VAL_DATE)+(COUNTIF('Dvd Calendar'!$E$645:$AR$645,'Dvd Calendar'!$AP$638)=0))&gt;0)=0,"",'Dvd Calendar'!$AP$638*1000000000+ISNUMBER('Dvd Calendar'!$AP$641)*100000000+('Dvd Calendar'!$AP$643=SPECIAL_LBL)*10000000+(N('Dvd Calendar'!$AP$637)&gt;0)*(N('Dvd Calendar'!$AP$637)&lt;=VAL_SERIAL)*1000000+58*1000+38))</f>
        <v/>
      </c>
      <c r="FQ69" s="121">
        <f>IF(N('Dvd Calendar'!$AQ$638)=0,"",IF(('Dvd Calendar'!$AQ$638&gt;=GRID_FROM)*('Dvd Calendar'!$AQ$638&lt;=GRID_TO)*((('Dvd Calendar'!$AQ$638&lt;=VAL_DATE)+(COUNTIF('Dvd Calendar'!$E$645:$AR$645,'Dvd Calendar'!$AQ$638)=0))&gt;0)=0,"",'Dvd Calendar'!$AQ$638*1000000000+ISNUMBER('Dvd Calendar'!$AQ$641)*100000000+('Dvd Calendar'!$AQ$643=SPECIAL_LBL)*10000000+(N('Dvd Calendar'!$AQ$637)&gt;0)*(N('Dvd Calendar'!$AQ$637)&lt;=VAL_SERIAL)*1000000+58*1000+39))</f>
        <v/>
      </c>
      <c r="FR69" s="121">
        <f>IF(N('Dvd Calendar'!$AR$638)=0,"",IF(('Dvd Calendar'!$AR$638&gt;=GRID_FROM)*('Dvd Calendar'!$AR$638&lt;=GRID_TO)*((('Dvd Calendar'!$AR$638&lt;=VAL_DATE)+(COUNTIF('Dvd Calendar'!$E$645:$AR$645,'Dvd Calendar'!$AR$638)=0))&gt;0)=0,"",'Dvd Calendar'!$AR$638*1000000000+ISNUMBER('Dvd Calendar'!$AR$641)*100000000+('Dvd Calendar'!$AR$643=SPECIAL_LBL)*10000000+(N('Dvd Calendar'!$AR$637)&gt;0)*(N('Dvd Calendar'!$AR$637)&lt;=VAL_SERIAL)*1000000+58*1000+40))</f>
        <v/>
      </c>
      <c r="FS69" s="121">
        <f>IF(N('Dvd Calendar'!$E$645)=0,"",IF(('Dvd Calendar'!$E$645&gt;=GRID_FROM)*('Dvd Calendar'!$E$645&lt;=GRID_TO)*('Dvd Calendar'!$E$645&gt;VAL_DATE)=0,"",'Dvd Calendar'!$E$645*1000000000+ISNUMBER('Dvd Calendar'!$E$646)*100000000+0*10000000+(N('Dvd Calendar'!$E$644)&gt;0)*(N('Dvd Calendar'!$E$644)&lt;=VAL_SERIAL)*1000000+58*1000+41))</f>
        <v/>
      </c>
      <c r="FT69" s="121">
        <f>IF(N('Dvd Calendar'!$F$645)=0,"",IF(('Dvd Calendar'!$F$645&gt;=GRID_FROM)*('Dvd Calendar'!$F$645&lt;=GRID_TO)*('Dvd Calendar'!$F$645&gt;VAL_DATE)=0,"",'Dvd Calendar'!$F$645*1000000000+ISNUMBER('Dvd Calendar'!$F$646)*100000000+0*10000000+(N('Dvd Calendar'!$F$644)&gt;0)*(N('Dvd Calendar'!$F$644)&lt;=VAL_SERIAL)*1000000+58*1000+42))</f>
        <v/>
      </c>
      <c r="FU69" s="121">
        <f>IF(N('Dvd Calendar'!$G$645)=0,"",IF(('Dvd Calendar'!$G$645&gt;=GRID_FROM)*('Dvd Calendar'!$G$645&lt;=GRID_TO)*('Dvd Calendar'!$G$645&gt;VAL_DATE)=0,"",'Dvd Calendar'!$G$645*1000000000+ISNUMBER('Dvd Calendar'!$G$646)*100000000+0*10000000+(N('Dvd Calendar'!$G$644)&gt;0)*(N('Dvd Calendar'!$G$644)&lt;=VAL_SERIAL)*1000000+58*1000+43))</f>
        <v/>
      </c>
      <c r="FV69" s="121">
        <f>IF(N('Dvd Calendar'!$H$645)=0,"",IF(('Dvd Calendar'!$H$645&gt;=GRID_FROM)*('Dvd Calendar'!$H$645&lt;=GRID_TO)*('Dvd Calendar'!$H$645&gt;VAL_DATE)=0,"",'Dvd Calendar'!$H$645*1000000000+ISNUMBER('Dvd Calendar'!$H$646)*100000000+0*10000000+(N('Dvd Calendar'!$H$644)&gt;0)*(N('Dvd Calendar'!$H$644)&lt;=VAL_SERIAL)*1000000+58*1000+44))</f>
        <v/>
      </c>
      <c r="FW69" s="121">
        <f>IF(N('Dvd Calendar'!$I$645)=0,"",IF(('Dvd Calendar'!$I$645&gt;=GRID_FROM)*('Dvd Calendar'!$I$645&lt;=GRID_TO)*('Dvd Calendar'!$I$645&gt;VAL_DATE)=0,"",'Dvd Calendar'!$I$645*1000000000+ISNUMBER('Dvd Calendar'!$I$646)*100000000+0*10000000+(N('Dvd Calendar'!$I$644)&gt;0)*(N('Dvd Calendar'!$I$644)&lt;=VAL_SERIAL)*1000000+58*1000+45))</f>
        <v/>
      </c>
      <c r="FX69" s="121">
        <f>IF(N('Dvd Calendar'!$J$645)=0,"",IF(('Dvd Calendar'!$J$645&gt;=GRID_FROM)*('Dvd Calendar'!$J$645&lt;=GRID_TO)*('Dvd Calendar'!$J$645&gt;VAL_DATE)=0,"",'Dvd Calendar'!$J$645*1000000000+ISNUMBER('Dvd Calendar'!$J$646)*100000000+0*10000000+(N('Dvd Calendar'!$J$644)&gt;0)*(N('Dvd Calendar'!$J$644)&lt;=VAL_SERIAL)*1000000+58*1000+46))</f>
        <v/>
      </c>
      <c r="FY69" s="121">
        <f>IF(N('Dvd Calendar'!$K$645)=0,"",IF(('Dvd Calendar'!$K$645&gt;=GRID_FROM)*('Dvd Calendar'!$K$645&lt;=GRID_TO)*('Dvd Calendar'!$K$645&gt;VAL_DATE)=0,"",'Dvd Calendar'!$K$645*1000000000+ISNUMBER('Dvd Calendar'!$K$646)*100000000+0*10000000+(N('Dvd Calendar'!$K$644)&gt;0)*(N('Dvd Calendar'!$K$644)&lt;=VAL_SERIAL)*1000000+58*1000+47))</f>
        <v/>
      </c>
      <c r="FZ69" s="121">
        <f>IF(N('Dvd Calendar'!$L$645)=0,"",IF(('Dvd Calendar'!$L$645&gt;=GRID_FROM)*('Dvd Calendar'!$L$645&lt;=GRID_TO)*('Dvd Calendar'!$L$645&gt;VAL_DATE)=0,"",'Dvd Calendar'!$L$645*1000000000+ISNUMBER('Dvd Calendar'!$L$646)*100000000+0*10000000+(N('Dvd Calendar'!$L$644)&gt;0)*(N('Dvd Calendar'!$L$644)&lt;=VAL_SERIAL)*1000000+58*1000+48))</f>
        <v/>
      </c>
      <c r="GA69" s="121">
        <f>IF(N('Dvd Calendar'!$M$645)=0,"",IF(('Dvd Calendar'!$M$645&gt;=GRID_FROM)*('Dvd Calendar'!$M$645&lt;=GRID_TO)*('Dvd Calendar'!$M$645&gt;VAL_DATE)=0,"",'Dvd Calendar'!$M$645*1000000000+ISNUMBER('Dvd Calendar'!$M$646)*100000000+0*10000000+(N('Dvd Calendar'!$M$644)&gt;0)*(N('Dvd Calendar'!$M$644)&lt;=VAL_SERIAL)*1000000+58*1000+49))</f>
        <v/>
      </c>
      <c r="GB69" s="121">
        <f>IF(N('Dvd Calendar'!$N$645)=0,"",IF(('Dvd Calendar'!$N$645&gt;=GRID_FROM)*('Dvd Calendar'!$N$645&lt;=GRID_TO)*('Dvd Calendar'!$N$645&gt;VAL_DATE)=0,"",'Dvd Calendar'!$N$645*1000000000+ISNUMBER('Dvd Calendar'!$N$646)*100000000+0*10000000+(N('Dvd Calendar'!$N$644)&gt;0)*(N('Dvd Calendar'!$N$644)&lt;=VAL_SERIAL)*1000000+58*1000+50))</f>
        <v/>
      </c>
      <c r="GC69" s="121">
        <f>IF(N('Dvd Calendar'!$O$645)=0,"",IF(('Dvd Calendar'!$O$645&gt;=GRID_FROM)*('Dvd Calendar'!$O$645&lt;=GRID_TO)*('Dvd Calendar'!$O$645&gt;VAL_DATE)=0,"",'Dvd Calendar'!$O$645*1000000000+ISNUMBER('Dvd Calendar'!$O$646)*100000000+0*10000000+(N('Dvd Calendar'!$O$644)&gt;0)*(N('Dvd Calendar'!$O$644)&lt;=VAL_SERIAL)*1000000+58*1000+51))</f>
        <v/>
      </c>
      <c r="GD69" s="121">
        <f>IF(N('Dvd Calendar'!$P$645)=0,"",IF(('Dvd Calendar'!$P$645&gt;=GRID_FROM)*('Dvd Calendar'!$P$645&lt;=GRID_TO)*('Dvd Calendar'!$P$645&gt;VAL_DATE)=0,"",'Dvd Calendar'!$P$645*1000000000+ISNUMBER('Dvd Calendar'!$P$646)*100000000+0*10000000+(N('Dvd Calendar'!$P$644)&gt;0)*(N('Dvd Calendar'!$P$644)&lt;=VAL_SERIAL)*1000000+58*1000+52))</f>
        <v/>
      </c>
      <c r="GE69" s="121">
        <f>IF(N('Dvd Calendar'!$Q$645)=0,"",IF(('Dvd Calendar'!$Q$645&gt;=GRID_FROM)*('Dvd Calendar'!$Q$645&lt;=GRID_TO)*('Dvd Calendar'!$Q$645&gt;VAL_DATE)=0,"",'Dvd Calendar'!$Q$645*1000000000+ISNUMBER('Dvd Calendar'!$Q$646)*100000000+0*10000000+(N('Dvd Calendar'!$Q$644)&gt;0)*(N('Dvd Calendar'!$Q$644)&lt;=VAL_SERIAL)*1000000+58*1000+53))</f>
        <v/>
      </c>
      <c r="GF69" s="121">
        <f>IF(N('Dvd Calendar'!$R$645)=0,"",IF(('Dvd Calendar'!$R$645&gt;=GRID_FROM)*('Dvd Calendar'!$R$645&lt;=GRID_TO)*('Dvd Calendar'!$R$645&gt;VAL_DATE)=0,"",'Dvd Calendar'!$R$645*1000000000+ISNUMBER('Dvd Calendar'!$R$646)*100000000+0*10000000+(N('Dvd Calendar'!$R$644)&gt;0)*(N('Dvd Calendar'!$R$644)&lt;=VAL_SERIAL)*1000000+58*1000+54))</f>
        <v/>
      </c>
      <c r="GG69" s="121">
        <f>IF(N('Dvd Calendar'!$S$645)=0,"",IF(('Dvd Calendar'!$S$645&gt;=GRID_FROM)*('Dvd Calendar'!$S$645&lt;=GRID_TO)*('Dvd Calendar'!$S$645&gt;VAL_DATE)=0,"",'Dvd Calendar'!$S$645*1000000000+ISNUMBER('Dvd Calendar'!$S$646)*100000000+0*10000000+(N('Dvd Calendar'!$S$644)&gt;0)*(N('Dvd Calendar'!$S$644)&lt;=VAL_SERIAL)*1000000+58*1000+55))</f>
        <v/>
      </c>
      <c r="GH69" s="121">
        <f>IF(N('Dvd Calendar'!$T$645)=0,"",IF(('Dvd Calendar'!$T$645&gt;=GRID_FROM)*('Dvd Calendar'!$T$645&lt;=GRID_TO)*('Dvd Calendar'!$T$645&gt;VAL_DATE)=0,"",'Dvd Calendar'!$T$645*1000000000+ISNUMBER('Dvd Calendar'!$T$646)*100000000+0*10000000+(N('Dvd Calendar'!$T$644)&gt;0)*(N('Dvd Calendar'!$T$644)&lt;=VAL_SERIAL)*1000000+58*1000+56))</f>
        <v/>
      </c>
      <c r="GI69" s="121">
        <f>IF(N('Dvd Calendar'!$U$645)=0,"",IF(('Dvd Calendar'!$U$645&gt;=GRID_FROM)*('Dvd Calendar'!$U$645&lt;=GRID_TO)*('Dvd Calendar'!$U$645&gt;VAL_DATE)=0,"",'Dvd Calendar'!$U$645*1000000000+ISNUMBER('Dvd Calendar'!$U$646)*100000000+0*10000000+(N('Dvd Calendar'!$U$644)&gt;0)*(N('Dvd Calendar'!$U$644)&lt;=VAL_SERIAL)*1000000+58*1000+57))</f>
        <v/>
      </c>
      <c r="GJ69" s="121">
        <f>IF(N('Dvd Calendar'!$V$645)=0,"",IF(('Dvd Calendar'!$V$645&gt;=GRID_FROM)*('Dvd Calendar'!$V$645&lt;=GRID_TO)*('Dvd Calendar'!$V$645&gt;VAL_DATE)=0,"",'Dvd Calendar'!$V$645*1000000000+ISNUMBER('Dvd Calendar'!$V$646)*100000000+0*10000000+(N('Dvd Calendar'!$V$644)&gt;0)*(N('Dvd Calendar'!$V$644)&lt;=VAL_SERIAL)*1000000+58*1000+58))</f>
        <v/>
      </c>
      <c r="GK69" s="121">
        <f>IF(N('Dvd Calendar'!$W$645)=0,"",IF(('Dvd Calendar'!$W$645&gt;=GRID_FROM)*('Dvd Calendar'!$W$645&lt;=GRID_TO)*('Dvd Calendar'!$W$645&gt;VAL_DATE)=0,"",'Dvd Calendar'!$W$645*1000000000+ISNUMBER('Dvd Calendar'!$W$646)*100000000+0*10000000+(N('Dvd Calendar'!$W$644)&gt;0)*(N('Dvd Calendar'!$W$644)&lt;=VAL_SERIAL)*1000000+58*1000+59))</f>
        <v/>
      </c>
      <c r="GL69" s="121">
        <f>IF(N('Dvd Calendar'!$X$645)=0,"",IF(('Dvd Calendar'!$X$645&gt;=GRID_FROM)*('Dvd Calendar'!$X$645&lt;=GRID_TO)*('Dvd Calendar'!$X$645&gt;VAL_DATE)=0,"",'Dvd Calendar'!$X$645*1000000000+ISNUMBER('Dvd Calendar'!$X$646)*100000000+0*10000000+(N('Dvd Calendar'!$X$644)&gt;0)*(N('Dvd Calendar'!$X$644)&lt;=VAL_SERIAL)*1000000+58*1000+60))</f>
        <v/>
      </c>
      <c r="GM69" s="121">
        <f>IF(N('Dvd Calendar'!$Y$645)=0,"",IF(('Dvd Calendar'!$Y$645&gt;=GRID_FROM)*('Dvd Calendar'!$Y$645&lt;=GRID_TO)*('Dvd Calendar'!$Y$645&gt;VAL_DATE)=0,"",'Dvd Calendar'!$Y$645*1000000000+ISNUMBER('Dvd Calendar'!$Y$646)*100000000+0*10000000+(N('Dvd Calendar'!$Y$644)&gt;0)*(N('Dvd Calendar'!$Y$644)&lt;=VAL_SERIAL)*1000000+58*1000+61))</f>
        <v/>
      </c>
      <c r="GN69" s="121">
        <f>IF(N('Dvd Calendar'!$Z$645)=0,"",IF(('Dvd Calendar'!$Z$645&gt;=GRID_FROM)*('Dvd Calendar'!$Z$645&lt;=GRID_TO)*('Dvd Calendar'!$Z$645&gt;VAL_DATE)=0,"",'Dvd Calendar'!$Z$645*1000000000+ISNUMBER('Dvd Calendar'!$Z$646)*100000000+0*10000000+(N('Dvd Calendar'!$Z$644)&gt;0)*(N('Dvd Calendar'!$Z$644)&lt;=VAL_SERIAL)*1000000+58*1000+62))</f>
        <v/>
      </c>
      <c r="GO69" s="121">
        <f>IF(N('Dvd Calendar'!$AA$645)=0,"",IF(('Dvd Calendar'!$AA$645&gt;=GRID_FROM)*('Dvd Calendar'!$AA$645&lt;=GRID_TO)*('Dvd Calendar'!$AA$645&gt;VAL_DATE)=0,"",'Dvd Calendar'!$AA$645*1000000000+ISNUMBER('Dvd Calendar'!$AA$646)*100000000+0*10000000+(N('Dvd Calendar'!$AA$644)&gt;0)*(N('Dvd Calendar'!$AA$644)&lt;=VAL_SERIAL)*1000000+58*1000+63))</f>
        <v/>
      </c>
      <c r="GP69" s="121">
        <f>IF(N('Dvd Calendar'!$AB$645)=0,"",IF(('Dvd Calendar'!$AB$645&gt;=GRID_FROM)*('Dvd Calendar'!$AB$645&lt;=GRID_TO)*('Dvd Calendar'!$AB$645&gt;VAL_DATE)=0,"",'Dvd Calendar'!$AB$645*1000000000+ISNUMBER('Dvd Calendar'!$AB$646)*100000000+0*10000000+(N('Dvd Calendar'!$AB$644)&gt;0)*(N('Dvd Calendar'!$AB$644)&lt;=VAL_SERIAL)*1000000+58*1000+64))</f>
        <v/>
      </c>
      <c r="GQ69" s="121">
        <f>IF(N('Dvd Calendar'!$AC$645)=0,"",IF(('Dvd Calendar'!$AC$645&gt;=GRID_FROM)*('Dvd Calendar'!$AC$645&lt;=GRID_TO)*('Dvd Calendar'!$AC$645&gt;VAL_DATE)=0,"",'Dvd Calendar'!$AC$645*1000000000+ISNUMBER('Dvd Calendar'!$AC$646)*100000000+0*10000000+(N('Dvd Calendar'!$AC$644)&gt;0)*(N('Dvd Calendar'!$AC$644)&lt;=VAL_SERIAL)*1000000+58*1000+65))</f>
        <v/>
      </c>
    </row>
    <row r="70">
      <c r="B70" s="2">
        <f>IF(HSI!$C$65="","",HSI!$C$65)</f>
        <v/>
      </c>
      <c r="C70" s="161">
        <f>IF(EE70="","",IF(ISNUMBER('Dvd Calendar'!$E$652)=FALSE,"",IF((('Dvd Calendar'!$E$654=TYPE1)*(TYPE1&lt;&gt;"")+('Dvd Calendar'!$E$654=TYPE2)*(TYPE2&lt;&gt;"")+('Dvd Calendar'!$E$654=TYPE3)*(TYPE3&lt;&gt;"")+('Dvd Calendar'!$E$654=TYPE4)*(TYPE4&lt;&gt;"")+('Dvd Calendar'!$E$654=SPECIAL_LBL)*(INC_SPECIALS="Y"))=0,"",'Dvd Calendar'!$E$652)))</f>
        <v/>
      </c>
      <c r="D70" s="161">
        <f>IF(EF70="","",IF(ISNUMBER('Dvd Calendar'!$F$652)=FALSE,"",IF((('Dvd Calendar'!$F$654=TYPE1)*(TYPE1&lt;&gt;"")+('Dvd Calendar'!$F$654=TYPE2)*(TYPE2&lt;&gt;"")+('Dvd Calendar'!$F$654=TYPE3)*(TYPE3&lt;&gt;"")+('Dvd Calendar'!$F$654=TYPE4)*(TYPE4&lt;&gt;"")+('Dvd Calendar'!$F$654=SPECIAL_LBL)*(INC_SPECIALS="Y"))=0,"",'Dvd Calendar'!$F$652)))</f>
        <v/>
      </c>
      <c r="E70" s="161">
        <f>IF(EG70="","",IF(ISNUMBER('Dvd Calendar'!$G$652)=FALSE,"",IF((('Dvd Calendar'!$G$654=TYPE1)*(TYPE1&lt;&gt;"")+('Dvd Calendar'!$G$654=TYPE2)*(TYPE2&lt;&gt;"")+('Dvd Calendar'!$G$654=TYPE3)*(TYPE3&lt;&gt;"")+('Dvd Calendar'!$G$654=TYPE4)*(TYPE4&lt;&gt;"")+('Dvd Calendar'!$G$654=SPECIAL_LBL)*(INC_SPECIALS="Y"))=0,"",'Dvd Calendar'!$G$652)))</f>
        <v/>
      </c>
      <c r="F70" s="161">
        <f>IF(EH70="","",IF(ISNUMBER('Dvd Calendar'!$H$652)=FALSE,"",IF((('Dvd Calendar'!$H$654=TYPE1)*(TYPE1&lt;&gt;"")+('Dvd Calendar'!$H$654=TYPE2)*(TYPE2&lt;&gt;"")+('Dvd Calendar'!$H$654=TYPE3)*(TYPE3&lt;&gt;"")+('Dvd Calendar'!$H$654=TYPE4)*(TYPE4&lt;&gt;"")+('Dvd Calendar'!$H$654=SPECIAL_LBL)*(INC_SPECIALS="Y"))=0,"",'Dvd Calendar'!$H$652)))</f>
        <v/>
      </c>
      <c r="G70" s="161">
        <f>IF(EI70="","",IF(ISNUMBER('Dvd Calendar'!$I$652)=FALSE,"",IF((('Dvd Calendar'!$I$654=TYPE1)*(TYPE1&lt;&gt;"")+('Dvd Calendar'!$I$654=TYPE2)*(TYPE2&lt;&gt;"")+('Dvd Calendar'!$I$654=TYPE3)*(TYPE3&lt;&gt;"")+('Dvd Calendar'!$I$654=TYPE4)*(TYPE4&lt;&gt;"")+('Dvd Calendar'!$I$654=SPECIAL_LBL)*(INC_SPECIALS="Y"))=0,"",'Dvd Calendar'!$I$652)))</f>
        <v/>
      </c>
      <c r="H70" s="161">
        <f>IF(EJ70="","",IF(ISNUMBER('Dvd Calendar'!$J$652)=FALSE,"",IF((('Dvd Calendar'!$J$654=TYPE1)*(TYPE1&lt;&gt;"")+('Dvd Calendar'!$J$654=TYPE2)*(TYPE2&lt;&gt;"")+('Dvd Calendar'!$J$654=TYPE3)*(TYPE3&lt;&gt;"")+('Dvd Calendar'!$J$654=TYPE4)*(TYPE4&lt;&gt;"")+('Dvd Calendar'!$J$654=SPECIAL_LBL)*(INC_SPECIALS="Y"))=0,"",'Dvd Calendar'!$J$652)))</f>
        <v/>
      </c>
      <c r="I70" s="161">
        <f>IF(EK70="","",IF(ISNUMBER('Dvd Calendar'!$K$652)=FALSE,"",IF((('Dvd Calendar'!$K$654=TYPE1)*(TYPE1&lt;&gt;"")+('Dvd Calendar'!$K$654=TYPE2)*(TYPE2&lt;&gt;"")+('Dvd Calendar'!$K$654=TYPE3)*(TYPE3&lt;&gt;"")+('Dvd Calendar'!$K$654=TYPE4)*(TYPE4&lt;&gt;"")+('Dvd Calendar'!$K$654=SPECIAL_LBL)*(INC_SPECIALS="Y"))=0,"",'Dvd Calendar'!$K$652)))</f>
        <v/>
      </c>
      <c r="J70" s="161">
        <f>IF(EL70="","",IF(ISNUMBER('Dvd Calendar'!$L$652)=FALSE,"",IF((('Dvd Calendar'!$L$654=TYPE1)*(TYPE1&lt;&gt;"")+('Dvd Calendar'!$L$654=TYPE2)*(TYPE2&lt;&gt;"")+('Dvd Calendar'!$L$654=TYPE3)*(TYPE3&lt;&gt;"")+('Dvd Calendar'!$L$654=TYPE4)*(TYPE4&lt;&gt;"")+('Dvd Calendar'!$L$654=SPECIAL_LBL)*(INC_SPECIALS="Y"))=0,"",'Dvd Calendar'!$L$652)))</f>
        <v/>
      </c>
      <c r="K70" s="161">
        <f>IF(EM70="","",IF(ISNUMBER('Dvd Calendar'!$M$652)=FALSE,"",IF((('Dvd Calendar'!$M$654=TYPE1)*(TYPE1&lt;&gt;"")+('Dvd Calendar'!$M$654=TYPE2)*(TYPE2&lt;&gt;"")+('Dvd Calendar'!$M$654=TYPE3)*(TYPE3&lt;&gt;"")+('Dvd Calendar'!$M$654=TYPE4)*(TYPE4&lt;&gt;"")+('Dvd Calendar'!$M$654=SPECIAL_LBL)*(INC_SPECIALS="Y"))=0,"",'Dvd Calendar'!$M$652)))</f>
        <v/>
      </c>
      <c r="L70" s="161">
        <f>IF(EN70="","",IF(ISNUMBER('Dvd Calendar'!$N$652)=FALSE,"",IF((('Dvd Calendar'!$N$654=TYPE1)*(TYPE1&lt;&gt;"")+('Dvd Calendar'!$N$654=TYPE2)*(TYPE2&lt;&gt;"")+('Dvd Calendar'!$N$654=TYPE3)*(TYPE3&lt;&gt;"")+('Dvd Calendar'!$N$654=TYPE4)*(TYPE4&lt;&gt;"")+('Dvd Calendar'!$N$654=SPECIAL_LBL)*(INC_SPECIALS="Y"))=0,"",'Dvd Calendar'!$N$652)))</f>
        <v/>
      </c>
      <c r="M70" s="161">
        <f>IF(EO70="","",IF(ISNUMBER('Dvd Calendar'!$O$652)=FALSE,"",IF((('Dvd Calendar'!$O$654=TYPE1)*(TYPE1&lt;&gt;"")+('Dvd Calendar'!$O$654=TYPE2)*(TYPE2&lt;&gt;"")+('Dvd Calendar'!$O$654=TYPE3)*(TYPE3&lt;&gt;"")+('Dvd Calendar'!$O$654=TYPE4)*(TYPE4&lt;&gt;"")+('Dvd Calendar'!$O$654=SPECIAL_LBL)*(INC_SPECIALS="Y"))=0,"",'Dvd Calendar'!$O$652)))</f>
        <v/>
      </c>
      <c r="N70" s="161">
        <f>IF(EP70="","",IF(ISNUMBER('Dvd Calendar'!$P$652)=FALSE,"",IF((('Dvd Calendar'!$P$654=TYPE1)*(TYPE1&lt;&gt;"")+('Dvd Calendar'!$P$654=TYPE2)*(TYPE2&lt;&gt;"")+('Dvd Calendar'!$P$654=TYPE3)*(TYPE3&lt;&gt;"")+('Dvd Calendar'!$P$654=TYPE4)*(TYPE4&lt;&gt;"")+('Dvd Calendar'!$P$654=SPECIAL_LBL)*(INC_SPECIALS="Y"))=0,"",'Dvd Calendar'!$P$652)))</f>
        <v/>
      </c>
      <c r="O70" s="161">
        <f>IF(EQ70="","",IF(ISNUMBER('Dvd Calendar'!$Q$652)=FALSE,"",IF((('Dvd Calendar'!$Q$654=TYPE1)*(TYPE1&lt;&gt;"")+('Dvd Calendar'!$Q$654=TYPE2)*(TYPE2&lt;&gt;"")+('Dvd Calendar'!$Q$654=TYPE3)*(TYPE3&lt;&gt;"")+('Dvd Calendar'!$Q$654=TYPE4)*(TYPE4&lt;&gt;"")+('Dvd Calendar'!$Q$654=SPECIAL_LBL)*(INC_SPECIALS="Y"))=0,"",'Dvd Calendar'!$Q$652)))</f>
        <v/>
      </c>
      <c r="P70" s="161">
        <f>IF(ER70="","",IF(ISNUMBER('Dvd Calendar'!$R$652)=FALSE,"",IF((('Dvd Calendar'!$R$654=TYPE1)*(TYPE1&lt;&gt;"")+('Dvd Calendar'!$R$654=TYPE2)*(TYPE2&lt;&gt;"")+('Dvd Calendar'!$R$654=TYPE3)*(TYPE3&lt;&gt;"")+('Dvd Calendar'!$R$654=TYPE4)*(TYPE4&lt;&gt;"")+('Dvd Calendar'!$R$654=SPECIAL_LBL)*(INC_SPECIALS="Y"))=0,"",'Dvd Calendar'!$R$652)))</f>
        <v/>
      </c>
      <c r="Q70" s="161">
        <f>IF(ES70="","",IF(ISNUMBER('Dvd Calendar'!$S$652)=FALSE,"",IF((('Dvd Calendar'!$S$654=TYPE1)*(TYPE1&lt;&gt;"")+('Dvd Calendar'!$S$654=TYPE2)*(TYPE2&lt;&gt;"")+('Dvd Calendar'!$S$654=TYPE3)*(TYPE3&lt;&gt;"")+('Dvd Calendar'!$S$654=TYPE4)*(TYPE4&lt;&gt;"")+('Dvd Calendar'!$S$654=SPECIAL_LBL)*(INC_SPECIALS="Y"))=0,"",'Dvd Calendar'!$S$652)))</f>
        <v/>
      </c>
      <c r="R70" s="161">
        <f>IF(ET70="","",IF(ISNUMBER('Dvd Calendar'!$T$652)=FALSE,"",IF((('Dvd Calendar'!$T$654=TYPE1)*(TYPE1&lt;&gt;"")+('Dvd Calendar'!$T$654=TYPE2)*(TYPE2&lt;&gt;"")+('Dvd Calendar'!$T$654=TYPE3)*(TYPE3&lt;&gt;"")+('Dvd Calendar'!$T$654=TYPE4)*(TYPE4&lt;&gt;"")+('Dvd Calendar'!$T$654=SPECIAL_LBL)*(INC_SPECIALS="Y"))=0,"",'Dvd Calendar'!$T$652)))</f>
        <v/>
      </c>
      <c r="S70" s="161">
        <f>IF(EU70="","",IF(ISNUMBER('Dvd Calendar'!$U$652)=FALSE,"",IF((('Dvd Calendar'!$U$654=TYPE1)*(TYPE1&lt;&gt;"")+('Dvd Calendar'!$U$654=TYPE2)*(TYPE2&lt;&gt;"")+('Dvd Calendar'!$U$654=TYPE3)*(TYPE3&lt;&gt;"")+('Dvd Calendar'!$U$654=TYPE4)*(TYPE4&lt;&gt;"")+('Dvd Calendar'!$U$654=SPECIAL_LBL)*(INC_SPECIALS="Y"))=0,"",'Dvd Calendar'!$U$652)))</f>
        <v/>
      </c>
      <c r="T70" s="161">
        <f>IF(EV70="","",IF(ISNUMBER('Dvd Calendar'!$V$652)=FALSE,"",IF((('Dvd Calendar'!$V$654=TYPE1)*(TYPE1&lt;&gt;"")+('Dvd Calendar'!$V$654=TYPE2)*(TYPE2&lt;&gt;"")+('Dvd Calendar'!$V$654=TYPE3)*(TYPE3&lt;&gt;"")+('Dvd Calendar'!$V$654=TYPE4)*(TYPE4&lt;&gt;"")+('Dvd Calendar'!$V$654=SPECIAL_LBL)*(INC_SPECIALS="Y"))=0,"",'Dvd Calendar'!$V$652)))</f>
        <v/>
      </c>
      <c r="U70" s="161">
        <f>IF(EW70="","",IF(ISNUMBER('Dvd Calendar'!$W$652)=FALSE,"",IF((('Dvd Calendar'!$W$654=TYPE1)*(TYPE1&lt;&gt;"")+('Dvd Calendar'!$W$654=TYPE2)*(TYPE2&lt;&gt;"")+('Dvd Calendar'!$W$654=TYPE3)*(TYPE3&lt;&gt;"")+('Dvd Calendar'!$W$654=TYPE4)*(TYPE4&lt;&gt;"")+('Dvd Calendar'!$W$654=SPECIAL_LBL)*(INC_SPECIALS="Y"))=0,"",'Dvd Calendar'!$W$652)))</f>
        <v/>
      </c>
      <c r="V70" s="161">
        <f>IF(EX70="","",IF(ISNUMBER('Dvd Calendar'!$X$652)=FALSE,"",IF((('Dvd Calendar'!$X$654=TYPE1)*(TYPE1&lt;&gt;"")+('Dvd Calendar'!$X$654=TYPE2)*(TYPE2&lt;&gt;"")+('Dvd Calendar'!$X$654=TYPE3)*(TYPE3&lt;&gt;"")+('Dvd Calendar'!$X$654=TYPE4)*(TYPE4&lt;&gt;"")+('Dvd Calendar'!$X$654=SPECIAL_LBL)*(INC_SPECIALS="Y"))=0,"",'Dvd Calendar'!$X$652)))</f>
        <v/>
      </c>
      <c r="W70" s="161">
        <f>IF(EY70="","",IF(ISNUMBER('Dvd Calendar'!$Y$652)=FALSE,"",IF((('Dvd Calendar'!$Y$654=TYPE1)*(TYPE1&lt;&gt;"")+('Dvd Calendar'!$Y$654=TYPE2)*(TYPE2&lt;&gt;"")+('Dvd Calendar'!$Y$654=TYPE3)*(TYPE3&lt;&gt;"")+('Dvd Calendar'!$Y$654=TYPE4)*(TYPE4&lt;&gt;"")+('Dvd Calendar'!$Y$654=SPECIAL_LBL)*(INC_SPECIALS="Y"))=0,"",'Dvd Calendar'!$Y$652)))</f>
        <v/>
      </c>
      <c r="X70" s="161">
        <f>IF(EZ70="","",IF(ISNUMBER('Dvd Calendar'!$Z$652)=FALSE,"",IF((('Dvd Calendar'!$Z$654=TYPE1)*(TYPE1&lt;&gt;"")+('Dvd Calendar'!$Z$654=TYPE2)*(TYPE2&lt;&gt;"")+('Dvd Calendar'!$Z$654=TYPE3)*(TYPE3&lt;&gt;"")+('Dvd Calendar'!$Z$654=TYPE4)*(TYPE4&lt;&gt;"")+('Dvd Calendar'!$Z$654=SPECIAL_LBL)*(INC_SPECIALS="Y"))=0,"",'Dvd Calendar'!$Z$652)))</f>
        <v/>
      </c>
      <c r="Y70" s="161">
        <f>IF(FA70="","",IF(ISNUMBER('Dvd Calendar'!$AA$652)=FALSE,"",IF((('Dvd Calendar'!$AA$654=TYPE1)*(TYPE1&lt;&gt;"")+('Dvd Calendar'!$AA$654=TYPE2)*(TYPE2&lt;&gt;"")+('Dvd Calendar'!$AA$654=TYPE3)*(TYPE3&lt;&gt;"")+('Dvd Calendar'!$AA$654=TYPE4)*(TYPE4&lt;&gt;"")+('Dvd Calendar'!$AA$654=SPECIAL_LBL)*(INC_SPECIALS="Y"))=0,"",'Dvd Calendar'!$AA$652)))</f>
        <v/>
      </c>
      <c r="Z70" s="161">
        <f>IF(FB70="","",IF(ISNUMBER('Dvd Calendar'!$AB$652)=FALSE,"",IF((('Dvd Calendar'!$AB$654=TYPE1)*(TYPE1&lt;&gt;"")+('Dvd Calendar'!$AB$654=TYPE2)*(TYPE2&lt;&gt;"")+('Dvd Calendar'!$AB$654=TYPE3)*(TYPE3&lt;&gt;"")+('Dvd Calendar'!$AB$654=TYPE4)*(TYPE4&lt;&gt;"")+('Dvd Calendar'!$AB$654=SPECIAL_LBL)*(INC_SPECIALS="Y"))=0,"",'Dvd Calendar'!$AB$652)))</f>
        <v/>
      </c>
      <c r="AA70" s="161">
        <f>IF(FC70="","",IF(ISNUMBER('Dvd Calendar'!$AC$652)=FALSE,"",IF((('Dvd Calendar'!$AC$654=TYPE1)*(TYPE1&lt;&gt;"")+('Dvd Calendar'!$AC$654=TYPE2)*(TYPE2&lt;&gt;"")+('Dvd Calendar'!$AC$654=TYPE3)*(TYPE3&lt;&gt;"")+('Dvd Calendar'!$AC$654=TYPE4)*(TYPE4&lt;&gt;"")+('Dvd Calendar'!$AC$654=SPECIAL_LBL)*(INC_SPECIALS="Y"))=0,"",'Dvd Calendar'!$AC$652)))</f>
        <v/>
      </c>
      <c r="AB70" s="161">
        <f>IF(FD70="","",IF(ISNUMBER('Dvd Calendar'!$AD$652)=FALSE,"",IF((('Dvd Calendar'!$AD$654=TYPE1)*(TYPE1&lt;&gt;"")+('Dvd Calendar'!$AD$654=TYPE2)*(TYPE2&lt;&gt;"")+('Dvd Calendar'!$AD$654=TYPE3)*(TYPE3&lt;&gt;"")+('Dvd Calendar'!$AD$654=TYPE4)*(TYPE4&lt;&gt;"")+('Dvd Calendar'!$AD$654=SPECIAL_LBL)*(INC_SPECIALS="Y"))=0,"",'Dvd Calendar'!$AD$652)))</f>
        <v/>
      </c>
      <c r="AC70" s="161">
        <f>IF(FE70="","",IF(ISNUMBER('Dvd Calendar'!$AE$652)=FALSE,"",IF((('Dvd Calendar'!$AE$654=TYPE1)*(TYPE1&lt;&gt;"")+('Dvd Calendar'!$AE$654=TYPE2)*(TYPE2&lt;&gt;"")+('Dvd Calendar'!$AE$654=TYPE3)*(TYPE3&lt;&gt;"")+('Dvd Calendar'!$AE$654=TYPE4)*(TYPE4&lt;&gt;"")+('Dvd Calendar'!$AE$654=SPECIAL_LBL)*(INC_SPECIALS="Y"))=0,"",'Dvd Calendar'!$AE$652)))</f>
        <v/>
      </c>
      <c r="AD70" s="161">
        <f>IF(FF70="","",IF(ISNUMBER('Dvd Calendar'!$AF$652)=FALSE,"",IF((('Dvd Calendar'!$AF$654=TYPE1)*(TYPE1&lt;&gt;"")+('Dvd Calendar'!$AF$654=TYPE2)*(TYPE2&lt;&gt;"")+('Dvd Calendar'!$AF$654=TYPE3)*(TYPE3&lt;&gt;"")+('Dvd Calendar'!$AF$654=TYPE4)*(TYPE4&lt;&gt;"")+('Dvd Calendar'!$AF$654=SPECIAL_LBL)*(INC_SPECIALS="Y"))=0,"",'Dvd Calendar'!$AF$652)))</f>
        <v/>
      </c>
      <c r="AE70" s="161">
        <f>IF(FG70="","",IF(ISNUMBER('Dvd Calendar'!$AG$652)=FALSE,"",IF((('Dvd Calendar'!$AG$654=TYPE1)*(TYPE1&lt;&gt;"")+('Dvd Calendar'!$AG$654=TYPE2)*(TYPE2&lt;&gt;"")+('Dvd Calendar'!$AG$654=TYPE3)*(TYPE3&lt;&gt;"")+('Dvd Calendar'!$AG$654=TYPE4)*(TYPE4&lt;&gt;"")+('Dvd Calendar'!$AG$654=SPECIAL_LBL)*(INC_SPECIALS="Y"))=0,"",'Dvd Calendar'!$AG$652)))</f>
        <v/>
      </c>
      <c r="AF70" s="161">
        <f>IF(FH70="","",IF(ISNUMBER('Dvd Calendar'!$AH$652)=FALSE,"",IF((('Dvd Calendar'!$AH$654=TYPE1)*(TYPE1&lt;&gt;"")+('Dvd Calendar'!$AH$654=TYPE2)*(TYPE2&lt;&gt;"")+('Dvd Calendar'!$AH$654=TYPE3)*(TYPE3&lt;&gt;"")+('Dvd Calendar'!$AH$654=TYPE4)*(TYPE4&lt;&gt;"")+('Dvd Calendar'!$AH$654=SPECIAL_LBL)*(INC_SPECIALS="Y"))=0,"",'Dvd Calendar'!$AH$652)))</f>
        <v/>
      </c>
      <c r="AG70" s="161">
        <f>IF(FI70="","",IF(ISNUMBER('Dvd Calendar'!$AI$652)=FALSE,"",IF((('Dvd Calendar'!$AI$654=TYPE1)*(TYPE1&lt;&gt;"")+('Dvd Calendar'!$AI$654=TYPE2)*(TYPE2&lt;&gt;"")+('Dvd Calendar'!$AI$654=TYPE3)*(TYPE3&lt;&gt;"")+('Dvd Calendar'!$AI$654=TYPE4)*(TYPE4&lt;&gt;"")+('Dvd Calendar'!$AI$654=SPECIAL_LBL)*(INC_SPECIALS="Y"))=0,"",'Dvd Calendar'!$AI$652)))</f>
        <v/>
      </c>
      <c r="AH70" s="161">
        <f>IF(FJ70="","",IF(ISNUMBER('Dvd Calendar'!$AJ$652)=FALSE,"",IF((('Dvd Calendar'!$AJ$654=TYPE1)*(TYPE1&lt;&gt;"")+('Dvd Calendar'!$AJ$654=TYPE2)*(TYPE2&lt;&gt;"")+('Dvd Calendar'!$AJ$654=TYPE3)*(TYPE3&lt;&gt;"")+('Dvd Calendar'!$AJ$654=TYPE4)*(TYPE4&lt;&gt;"")+('Dvd Calendar'!$AJ$654=SPECIAL_LBL)*(INC_SPECIALS="Y"))=0,"",'Dvd Calendar'!$AJ$652)))</f>
        <v/>
      </c>
      <c r="AI70" s="161">
        <f>IF(FK70="","",IF(ISNUMBER('Dvd Calendar'!$AK$652)=FALSE,"",IF((('Dvd Calendar'!$AK$654=TYPE1)*(TYPE1&lt;&gt;"")+('Dvd Calendar'!$AK$654=TYPE2)*(TYPE2&lt;&gt;"")+('Dvd Calendar'!$AK$654=TYPE3)*(TYPE3&lt;&gt;"")+('Dvd Calendar'!$AK$654=TYPE4)*(TYPE4&lt;&gt;"")+('Dvd Calendar'!$AK$654=SPECIAL_LBL)*(INC_SPECIALS="Y"))=0,"",'Dvd Calendar'!$AK$652)))</f>
        <v/>
      </c>
      <c r="AJ70" s="161">
        <f>IF(FL70="","",IF(ISNUMBER('Dvd Calendar'!$AL$652)=FALSE,"",IF((('Dvd Calendar'!$AL$654=TYPE1)*(TYPE1&lt;&gt;"")+('Dvd Calendar'!$AL$654=TYPE2)*(TYPE2&lt;&gt;"")+('Dvd Calendar'!$AL$654=TYPE3)*(TYPE3&lt;&gt;"")+('Dvd Calendar'!$AL$654=TYPE4)*(TYPE4&lt;&gt;"")+('Dvd Calendar'!$AL$654=SPECIAL_LBL)*(INC_SPECIALS="Y"))=0,"",'Dvd Calendar'!$AL$652)))</f>
        <v/>
      </c>
      <c r="AK70" s="161">
        <f>IF(FM70="","",IF(ISNUMBER('Dvd Calendar'!$AM$652)=FALSE,"",IF((('Dvd Calendar'!$AM$654=TYPE1)*(TYPE1&lt;&gt;"")+('Dvd Calendar'!$AM$654=TYPE2)*(TYPE2&lt;&gt;"")+('Dvd Calendar'!$AM$654=TYPE3)*(TYPE3&lt;&gt;"")+('Dvd Calendar'!$AM$654=TYPE4)*(TYPE4&lt;&gt;"")+('Dvd Calendar'!$AM$654=SPECIAL_LBL)*(INC_SPECIALS="Y"))=0,"",'Dvd Calendar'!$AM$652)))</f>
        <v/>
      </c>
      <c r="AL70" s="161">
        <f>IF(FN70="","",IF(ISNUMBER('Dvd Calendar'!$AN$652)=FALSE,"",IF((('Dvd Calendar'!$AN$654=TYPE1)*(TYPE1&lt;&gt;"")+('Dvd Calendar'!$AN$654=TYPE2)*(TYPE2&lt;&gt;"")+('Dvd Calendar'!$AN$654=TYPE3)*(TYPE3&lt;&gt;"")+('Dvd Calendar'!$AN$654=TYPE4)*(TYPE4&lt;&gt;"")+('Dvd Calendar'!$AN$654=SPECIAL_LBL)*(INC_SPECIALS="Y"))=0,"",'Dvd Calendar'!$AN$652)))</f>
        <v/>
      </c>
      <c r="AM70" s="161">
        <f>IF(FO70="","",IF(ISNUMBER('Dvd Calendar'!$AO$652)=FALSE,"",IF((('Dvd Calendar'!$AO$654=TYPE1)*(TYPE1&lt;&gt;"")+('Dvd Calendar'!$AO$654=TYPE2)*(TYPE2&lt;&gt;"")+('Dvd Calendar'!$AO$654=TYPE3)*(TYPE3&lt;&gt;"")+('Dvd Calendar'!$AO$654=TYPE4)*(TYPE4&lt;&gt;"")+('Dvd Calendar'!$AO$654=SPECIAL_LBL)*(INC_SPECIALS="Y"))=0,"",'Dvd Calendar'!$AO$652)))</f>
        <v/>
      </c>
      <c r="AN70" s="161">
        <f>IF(FP70="","",IF(ISNUMBER('Dvd Calendar'!$AP$652)=FALSE,"",IF((('Dvd Calendar'!$AP$654=TYPE1)*(TYPE1&lt;&gt;"")+('Dvd Calendar'!$AP$654=TYPE2)*(TYPE2&lt;&gt;"")+('Dvd Calendar'!$AP$654=TYPE3)*(TYPE3&lt;&gt;"")+('Dvd Calendar'!$AP$654=TYPE4)*(TYPE4&lt;&gt;"")+('Dvd Calendar'!$AP$654=SPECIAL_LBL)*(INC_SPECIALS="Y"))=0,"",'Dvd Calendar'!$AP$652)))</f>
        <v/>
      </c>
      <c r="AO70" s="161">
        <f>IF(FQ70="","",IF(ISNUMBER('Dvd Calendar'!$AQ$652)=FALSE,"",IF((('Dvd Calendar'!$AQ$654=TYPE1)*(TYPE1&lt;&gt;"")+('Dvd Calendar'!$AQ$654=TYPE2)*(TYPE2&lt;&gt;"")+('Dvd Calendar'!$AQ$654=TYPE3)*(TYPE3&lt;&gt;"")+('Dvd Calendar'!$AQ$654=TYPE4)*(TYPE4&lt;&gt;"")+('Dvd Calendar'!$AQ$654=SPECIAL_LBL)*(INC_SPECIALS="Y"))=0,"",'Dvd Calendar'!$AQ$652)))</f>
        <v/>
      </c>
      <c r="AP70" s="161">
        <f>IF(FR70="","",IF(ISNUMBER('Dvd Calendar'!$AR$652)=FALSE,"",IF((('Dvd Calendar'!$AR$654=TYPE1)*(TYPE1&lt;&gt;"")+('Dvd Calendar'!$AR$654=TYPE2)*(TYPE2&lt;&gt;"")+('Dvd Calendar'!$AR$654=TYPE3)*(TYPE3&lt;&gt;"")+('Dvd Calendar'!$AR$654=TYPE4)*(TYPE4&lt;&gt;"")+('Dvd Calendar'!$AR$654=SPECIAL_LBL)*(INC_SPECIALS="Y"))=0,"",'Dvd Calendar'!$AR$652)))</f>
        <v/>
      </c>
      <c r="AQ70" s="161">
        <f>IF(FS70="","",IF(ISNUMBER('Dvd Calendar'!$E$657)=FALSE,"",'Dvd Calendar'!$E$657))</f>
        <v/>
      </c>
      <c r="AR70" s="161">
        <f>IF(FT70="","",IF(ISNUMBER('Dvd Calendar'!$F$657)=FALSE,"",'Dvd Calendar'!$F$657))</f>
        <v/>
      </c>
      <c r="AS70" s="161">
        <f>IF(FU70="","",IF(ISNUMBER('Dvd Calendar'!$G$657)=FALSE,"",'Dvd Calendar'!$G$657))</f>
        <v/>
      </c>
      <c r="AT70" s="161">
        <f>IF(FV70="","",IF(ISNUMBER('Dvd Calendar'!$H$657)=FALSE,"",'Dvd Calendar'!$H$657))</f>
        <v/>
      </c>
      <c r="AU70" s="161">
        <f>IF(FW70="","",IF(ISNUMBER('Dvd Calendar'!$I$657)=FALSE,"",'Dvd Calendar'!$I$657))</f>
        <v/>
      </c>
      <c r="AV70" s="161">
        <f>IF(FX70="","",IF(ISNUMBER('Dvd Calendar'!$J$657)=FALSE,"",'Dvd Calendar'!$J$657))</f>
        <v/>
      </c>
      <c r="AW70" s="161">
        <f>IF(FY70="","",IF(ISNUMBER('Dvd Calendar'!$K$657)=FALSE,"",'Dvd Calendar'!$K$657))</f>
        <v/>
      </c>
      <c r="AX70" s="161">
        <f>IF(FZ70="","",IF(ISNUMBER('Dvd Calendar'!$L$657)=FALSE,"",'Dvd Calendar'!$L$657))</f>
        <v/>
      </c>
      <c r="AY70" s="161">
        <f>IF(GA70="","",IF(ISNUMBER('Dvd Calendar'!$M$657)=FALSE,"",'Dvd Calendar'!$M$657))</f>
        <v/>
      </c>
      <c r="AZ70" s="161">
        <f>IF(GB70="","",IF(ISNUMBER('Dvd Calendar'!$N$657)=FALSE,"",'Dvd Calendar'!$N$657))</f>
        <v/>
      </c>
      <c r="BA70" s="161">
        <f>IF(GC70="","",IF(ISNUMBER('Dvd Calendar'!$O$657)=FALSE,"",'Dvd Calendar'!$O$657))</f>
        <v/>
      </c>
      <c r="BB70" s="161">
        <f>IF(GD70="","",IF(ISNUMBER('Dvd Calendar'!$P$657)=FALSE,"",'Dvd Calendar'!$P$657))</f>
        <v/>
      </c>
      <c r="BC70" s="161">
        <f>IF(GE70="","",IF(ISNUMBER('Dvd Calendar'!$Q$657)=FALSE,"",'Dvd Calendar'!$Q$657))</f>
        <v/>
      </c>
      <c r="BD70" s="161">
        <f>IF(GF70="","",IF(ISNUMBER('Dvd Calendar'!$R$657)=FALSE,"",'Dvd Calendar'!$R$657))</f>
        <v/>
      </c>
      <c r="BE70" s="161">
        <f>IF(GG70="","",IF(ISNUMBER('Dvd Calendar'!$S$657)=FALSE,"",'Dvd Calendar'!$S$657))</f>
        <v/>
      </c>
      <c r="BF70" s="161">
        <f>IF(GH70="","",IF(ISNUMBER('Dvd Calendar'!$T$657)=FALSE,"",'Dvd Calendar'!$T$657))</f>
        <v/>
      </c>
      <c r="BG70" s="161">
        <f>IF(GI70="","",IF(ISNUMBER('Dvd Calendar'!$U$657)=FALSE,"",'Dvd Calendar'!$U$657))</f>
        <v/>
      </c>
      <c r="BH70" s="161">
        <f>IF(GJ70="","",IF(ISNUMBER('Dvd Calendar'!$V$657)=FALSE,"",'Dvd Calendar'!$V$657))</f>
        <v/>
      </c>
      <c r="BI70" s="161">
        <f>IF(GK70="","",IF(ISNUMBER('Dvd Calendar'!$W$657)=FALSE,"",'Dvd Calendar'!$W$657))</f>
        <v/>
      </c>
      <c r="BJ70" s="161">
        <f>IF(GL70="","",IF(ISNUMBER('Dvd Calendar'!$X$657)=FALSE,"",'Dvd Calendar'!$X$657))</f>
        <v/>
      </c>
      <c r="BK70" s="161">
        <f>IF(GM70="","",IF(ISNUMBER('Dvd Calendar'!$Y$657)=FALSE,"",'Dvd Calendar'!$Y$657))</f>
        <v/>
      </c>
      <c r="BL70" s="161">
        <f>IF(GN70="","",IF(ISNUMBER('Dvd Calendar'!$Z$657)=FALSE,"",'Dvd Calendar'!$Z$657))</f>
        <v/>
      </c>
      <c r="BM70" s="161">
        <f>IF(GO70="","",IF(ISNUMBER('Dvd Calendar'!$AA$657)=FALSE,"",'Dvd Calendar'!$AA$657))</f>
        <v/>
      </c>
      <c r="BN70" s="161">
        <f>IF(GP70="","",IF(ISNUMBER('Dvd Calendar'!$AB$657)=FALSE,"",'Dvd Calendar'!$AB$657))</f>
        <v/>
      </c>
      <c r="BO70" s="161">
        <f>IF(GQ70="","",IF(ISNUMBER('Dvd Calendar'!$AC$657)=FALSE,"",'Dvd Calendar'!$AC$657))</f>
        <v/>
      </c>
      <c r="BQ70" s="161">
        <f>IF(C70="","",IFERROR(C70*HSI!$B$65*HSI!$G$65/HSI!$B$3,""))</f>
        <v/>
      </c>
      <c r="BR70" s="161">
        <f>IF(D70="","",IFERROR(D70*HSI!$B$65*HSI!$G$65/HSI!$B$3,""))</f>
        <v/>
      </c>
      <c r="BS70" s="161">
        <f>IF(E70="","",IFERROR(E70*HSI!$B$65*HSI!$G$65/HSI!$B$3,""))</f>
        <v/>
      </c>
      <c r="BT70" s="161">
        <f>IF(F70="","",IFERROR(F70*HSI!$B$65*HSI!$G$65/HSI!$B$3,""))</f>
        <v/>
      </c>
      <c r="BU70" s="161">
        <f>IF(G70="","",IFERROR(G70*HSI!$B$65*HSI!$G$65/HSI!$B$3,""))</f>
        <v/>
      </c>
      <c r="BV70" s="161">
        <f>IF(H70="","",IFERROR(H70*HSI!$B$65*HSI!$G$65/HSI!$B$3,""))</f>
        <v/>
      </c>
      <c r="BW70" s="161">
        <f>IF(I70="","",IFERROR(I70*HSI!$B$65*HSI!$G$65/HSI!$B$3,""))</f>
        <v/>
      </c>
      <c r="BX70" s="161">
        <f>IF(J70="","",IFERROR(J70*HSI!$B$65*HSI!$G$65/HSI!$B$3,""))</f>
        <v/>
      </c>
      <c r="BY70" s="161">
        <f>IF(K70="","",IFERROR(K70*HSI!$B$65*HSI!$G$65/HSI!$B$3,""))</f>
        <v/>
      </c>
      <c r="BZ70" s="161">
        <f>IF(L70="","",IFERROR(L70*HSI!$B$65*HSI!$G$65/HSI!$B$3,""))</f>
        <v/>
      </c>
      <c r="CA70" s="161">
        <f>IF(M70="","",IFERROR(M70*HSI!$B$65*HSI!$G$65/HSI!$B$3,""))</f>
        <v/>
      </c>
      <c r="CB70" s="161">
        <f>IF(N70="","",IFERROR(N70*HSI!$B$65*HSI!$G$65/HSI!$B$3,""))</f>
        <v/>
      </c>
      <c r="CC70" s="161">
        <f>IF(O70="","",IFERROR(O70*HSI!$B$65*HSI!$G$65/HSI!$B$3,""))</f>
        <v/>
      </c>
      <c r="CD70" s="161">
        <f>IF(P70="","",IFERROR(P70*HSI!$B$65*HSI!$G$65/HSI!$B$3,""))</f>
        <v/>
      </c>
      <c r="CE70" s="161">
        <f>IF(Q70="","",IFERROR(Q70*HSI!$B$65*HSI!$G$65/HSI!$B$3,""))</f>
        <v/>
      </c>
      <c r="CF70" s="161">
        <f>IF(R70="","",IFERROR(R70*HSI!$B$65*HSI!$G$65/HSI!$B$3,""))</f>
        <v/>
      </c>
      <c r="CG70" s="161">
        <f>IF(S70="","",IFERROR(S70*HSI!$B$65*HSI!$G$65/HSI!$B$3,""))</f>
        <v/>
      </c>
      <c r="CH70" s="161">
        <f>IF(T70="","",IFERROR(T70*HSI!$B$65*HSI!$G$65/HSI!$B$3,""))</f>
        <v/>
      </c>
      <c r="CI70" s="161">
        <f>IF(U70="","",IFERROR(U70*HSI!$B$65*HSI!$G$65/HSI!$B$3,""))</f>
        <v/>
      </c>
      <c r="CJ70" s="161">
        <f>IF(V70="","",IFERROR(V70*HSI!$B$65*HSI!$G$65/HSI!$B$3,""))</f>
        <v/>
      </c>
      <c r="CK70" s="161">
        <f>IF(W70="","",IFERROR(W70*HSI!$B$65*HSI!$G$65/HSI!$B$3,""))</f>
        <v/>
      </c>
      <c r="CL70" s="161">
        <f>IF(X70="","",IFERROR(X70*HSI!$B$65*HSI!$G$65/HSI!$B$3,""))</f>
        <v/>
      </c>
      <c r="CM70" s="161">
        <f>IF(Y70="","",IFERROR(Y70*HSI!$B$65*HSI!$G$65/HSI!$B$3,""))</f>
        <v/>
      </c>
      <c r="CN70" s="161">
        <f>IF(Z70="","",IFERROR(Z70*HSI!$B$65*HSI!$G$65/HSI!$B$3,""))</f>
        <v/>
      </c>
      <c r="CO70" s="161">
        <f>IF(AA70="","",IFERROR(AA70*HSI!$B$65*HSI!$G$65/HSI!$B$3,""))</f>
        <v/>
      </c>
      <c r="CP70" s="161">
        <f>IF(AB70="","",IFERROR(AB70*HSI!$B$65*HSI!$G$65/HSI!$B$3,""))</f>
        <v/>
      </c>
      <c r="CQ70" s="161">
        <f>IF(AC70="","",IFERROR(AC70*HSI!$B$65*HSI!$G$65/HSI!$B$3,""))</f>
        <v/>
      </c>
      <c r="CR70" s="161">
        <f>IF(AD70="","",IFERROR(AD70*HSI!$B$65*HSI!$G$65/HSI!$B$3,""))</f>
        <v/>
      </c>
      <c r="CS70" s="161">
        <f>IF(AE70="","",IFERROR(AE70*HSI!$B$65*HSI!$G$65/HSI!$B$3,""))</f>
        <v/>
      </c>
      <c r="CT70" s="161">
        <f>IF(AF70="","",IFERROR(AF70*HSI!$B$65*HSI!$G$65/HSI!$B$3,""))</f>
        <v/>
      </c>
      <c r="CU70" s="161">
        <f>IF(AG70="","",IFERROR(AG70*HSI!$B$65*HSI!$G$65/HSI!$B$3,""))</f>
        <v/>
      </c>
      <c r="CV70" s="161">
        <f>IF(AH70="","",IFERROR(AH70*HSI!$B$65*HSI!$G$65/HSI!$B$3,""))</f>
        <v/>
      </c>
      <c r="CW70" s="161">
        <f>IF(AI70="","",IFERROR(AI70*HSI!$B$65*HSI!$G$65/HSI!$B$3,""))</f>
        <v/>
      </c>
      <c r="CX70" s="161">
        <f>IF(AJ70="","",IFERROR(AJ70*HSI!$B$65*HSI!$G$65/HSI!$B$3,""))</f>
        <v/>
      </c>
      <c r="CY70" s="161">
        <f>IF(AK70="","",IFERROR(AK70*HSI!$B$65*HSI!$G$65/HSI!$B$3,""))</f>
        <v/>
      </c>
      <c r="CZ70" s="161">
        <f>IF(AL70="","",IFERROR(AL70*HSI!$B$65*HSI!$G$65/HSI!$B$3,""))</f>
        <v/>
      </c>
      <c r="DA70" s="161">
        <f>IF(AM70="","",IFERROR(AM70*HSI!$B$65*HSI!$G$65/HSI!$B$3,""))</f>
        <v/>
      </c>
      <c r="DB70" s="161">
        <f>IF(AN70="","",IFERROR(AN70*HSI!$B$65*HSI!$G$65/HSI!$B$3,""))</f>
        <v/>
      </c>
      <c r="DC70" s="161">
        <f>IF(AO70="","",IFERROR(AO70*HSI!$B$65*HSI!$G$65/HSI!$B$3,""))</f>
        <v/>
      </c>
      <c r="DD70" s="161">
        <f>IF(AP70="","",IFERROR(AP70*HSI!$B$65*HSI!$G$65/HSI!$B$3,""))</f>
        <v/>
      </c>
      <c r="DE70" s="161">
        <f>IF(AQ70="","",IFERROR(AQ70*HSI!$B$65*HSI!$G$65/HSI!$B$3,""))</f>
        <v/>
      </c>
      <c r="DF70" s="161">
        <f>IF(AR70="","",IFERROR(AR70*HSI!$B$65*HSI!$G$65/HSI!$B$3,""))</f>
        <v/>
      </c>
      <c r="DG70" s="161">
        <f>IF(AS70="","",IFERROR(AS70*HSI!$B$65*HSI!$G$65/HSI!$B$3,""))</f>
        <v/>
      </c>
      <c r="DH70" s="161">
        <f>IF(AT70="","",IFERROR(AT70*HSI!$B$65*HSI!$G$65/HSI!$B$3,""))</f>
        <v/>
      </c>
      <c r="DI70" s="161">
        <f>IF(AU70="","",IFERROR(AU70*HSI!$B$65*HSI!$G$65/HSI!$B$3,""))</f>
        <v/>
      </c>
      <c r="DJ70" s="161">
        <f>IF(AV70="","",IFERROR(AV70*HSI!$B$65*HSI!$G$65/HSI!$B$3,""))</f>
        <v/>
      </c>
      <c r="DK70" s="161">
        <f>IF(AW70="","",IFERROR(AW70*HSI!$B$65*HSI!$G$65/HSI!$B$3,""))</f>
        <v/>
      </c>
      <c r="DL70" s="161">
        <f>IF(AX70="","",IFERROR(AX70*HSI!$B$65*HSI!$G$65/HSI!$B$3,""))</f>
        <v/>
      </c>
      <c r="DM70" s="161">
        <f>IF(AY70="","",IFERROR(AY70*HSI!$B$65*HSI!$G$65/HSI!$B$3,""))</f>
        <v/>
      </c>
      <c r="DN70" s="161">
        <f>IF(AZ70="","",IFERROR(AZ70*HSI!$B$65*HSI!$G$65/HSI!$B$3,""))</f>
        <v/>
      </c>
      <c r="DO70" s="161">
        <f>IF(BA70="","",IFERROR(BA70*HSI!$B$65*HSI!$G$65/HSI!$B$3,""))</f>
        <v/>
      </c>
      <c r="DP70" s="161">
        <f>IF(BB70="","",IFERROR(BB70*HSI!$B$65*HSI!$G$65/HSI!$B$3,""))</f>
        <v/>
      </c>
      <c r="DQ70" s="161">
        <f>IF(BC70="","",IFERROR(BC70*HSI!$B$65*HSI!$G$65/HSI!$B$3,""))</f>
        <v/>
      </c>
      <c r="DR70" s="161">
        <f>IF(BD70="","",IFERROR(BD70*HSI!$B$65*HSI!$G$65/HSI!$B$3,""))</f>
        <v/>
      </c>
      <c r="DS70" s="161">
        <f>IF(BE70="","",IFERROR(BE70*HSI!$B$65*HSI!$G$65/HSI!$B$3,""))</f>
        <v/>
      </c>
      <c r="DT70" s="161">
        <f>IF(BF70="","",IFERROR(BF70*HSI!$B$65*HSI!$G$65/HSI!$B$3,""))</f>
        <v/>
      </c>
      <c r="DU70" s="161">
        <f>IF(BG70="","",IFERROR(BG70*HSI!$B$65*HSI!$G$65/HSI!$B$3,""))</f>
        <v/>
      </c>
      <c r="DV70" s="161">
        <f>IF(BH70="","",IFERROR(BH70*HSI!$B$65*HSI!$G$65/HSI!$B$3,""))</f>
        <v/>
      </c>
      <c r="DW70" s="161">
        <f>IF(BI70="","",IFERROR(BI70*HSI!$B$65*HSI!$G$65/HSI!$B$3,""))</f>
        <v/>
      </c>
      <c r="DX70" s="161">
        <f>IF(BJ70="","",IFERROR(BJ70*HSI!$B$65*HSI!$G$65/HSI!$B$3,""))</f>
        <v/>
      </c>
      <c r="DY70" s="161">
        <f>IF(BK70="","",IFERROR(BK70*HSI!$B$65*HSI!$G$65/HSI!$B$3,""))</f>
        <v/>
      </c>
      <c r="DZ70" s="161">
        <f>IF(BL70="","",IFERROR(BL70*HSI!$B$65*HSI!$G$65/HSI!$B$3,""))</f>
        <v/>
      </c>
      <c r="EA70" s="161">
        <f>IF(BM70="","",IFERROR(BM70*HSI!$B$65*HSI!$G$65/HSI!$B$3,""))</f>
        <v/>
      </c>
      <c r="EB70" s="161">
        <f>IF(BN70="","",IFERROR(BN70*HSI!$B$65*HSI!$G$65/HSI!$B$3,""))</f>
        <v/>
      </c>
      <c r="EC70" s="161">
        <f>IF(BO70="","",IFERROR(BO70*HSI!$B$65*HSI!$G$65/HSI!$B$3,""))</f>
        <v/>
      </c>
      <c r="EE70" s="121">
        <f>IF(N('Dvd Calendar'!$E$649)=0,"",IF(('Dvd Calendar'!$E$649&gt;=GRID_FROM)*('Dvd Calendar'!$E$649&lt;=GRID_TO)*((('Dvd Calendar'!$E$649&lt;=VAL_DATE)+(COUNTIF('Dvd Calendar'!$E$656:$AR$656,'Dvd Calendar'!$E$649)=0))&gt;0)=0,"",'Dvd Calendar'!$E$649*1000000000+ISNUMBER('Dvd Calendar'!$E$652)*100000000+('Dvd Calendar'!$E$654=SPECIAL_LBL)*10000000+(N('Dvd Calendar'!$E$648)&gt;0)*(N('Dvd Calendar'!$E$648)&lt;=VAL_SERIAL)*1000000+59*1000+1))</f>
        <v/>
      </c>
      <c r="EF70" s="121">
        <f>IF(N('Dvd Calendar'!$F$649)=0,"",IF(('Dvd Calendar'!$F$649&gt;=GRID_FROM)*('Dvd Calendar'!$F$649&lt;=GRID_TO)*((('Dvd Calendar'!$F$649&lt;=VAL_DATE)+(COUNTIF('Dvd Calendar'!$E$656:$AR$656,'Dvd Calendar'!$F$649)=0))&gt;0)=0,"",'Dvd Calendar'!$F$649*1000000000+ISNUMBER('Dvd Calendar'!$F$652)*100000000+('Dvd Calendar'!$F$654=SPECIAL_LBL)*10000000+(N('Dvd Calendar'!$F$648)&gt;0)*(N('Dvd Calendar'!$F$648)&lt;=VAL_SERIAL)*1000000+59*1000+2))</f>
        <v/>
      </c>
      <c r="EG70" s="121">
        <f>IF(N('Dvd Calendar'!$G$649)=0,"",IF(('Dvd Calendar'!$G$649&gt;=GRID_FROM)*('Dvd Calendar'!$G$649&lt;=GRID_TO)*((('Dvd Calendar'!$G$649&lt;=VAL_DATE)+(COUNTIF('Dvd Calendar'!$E$656:$AR$656,'Dvd Calendar'!$G$649)=0))&gt;0)=0,"",'Dvd Calendar'!$G$649*1000000000+ISNUMBER('Dvd Calendar'!$G$652)*100000000+('Dvd Calendar'!$G$654=SPECIAL_LBL)*10000000+(N('Dvd Calendar'!$G$648)&gt;0)*(N('Dvd Calendar'!$G$648)&lt;=VAL_SERIAL)*1000000+59*1000+3))</f>
        <v/>
      </c>
      <c r="EH70" s="121">
        <f>IF(N('Dvd Calendar'!$H$649)=0,"",IF(('Dvd Calendar'!$H$649&gt;=GRID_FROM)*('Dvd Calendar'!$H$649&lt;=GRID_TO)*((('Dvd Calendar'!$H$649&lt;=VAL_DATE)+(COUNTIF('Dvd Calendar'!$E$656:$AR$656,'Dvd Calendar'!$H$649)=0))&gt;0)=0,"",'Dvd Calendar'!$H$649*1000000000+ISNUMBER('Dvd Calendar'!$H$652)*100000000+('Dvd Calendar'!$H$654=SPECIAL_LBL)*10000000+(N('Dvd Calendar'!$H$648)&gt;0)*(N('Dvd Calendar'!$H$648)&lt;=VAL_SERIAL)*1000000+59*1000+4))</f>
        <v/>
      </c>
      <c r="EI70" s="121">
        <f>IF(N('Dvd Calendar'!$I$649)=0,"",IF(('Dvd Calendar'!$I$649&gt;=GRID_FROM)*('Dvd Calendar'!$I$649&lt;=GRID_TO)*((('Dvd Calendar'!$I$649&lt;=VAL_DATE)+(COUNTIF('Dvd Calendar'!$E$656:$AR$656,'Dvd Calendar'!$I$649)=0))&gt;0)=0,"",'Dvd Calendar'!$I$649*1000000000+ISNUMBER('Dvd Calendar'!$I$652)*100000000+('Dvd Calendar'!$I$654=SPECIAL_LBL)*10000000+(N('Dvd Calendar'!$I$648)&gt;0)*(N('Dvd Calendar'!$I$648)&lt;=VAL_SERIAL)*1000000+59*1000+5))</f>
        <v/>
      </c>
      <c r="EJ70" s="121">
        <f>IF(N('Dvd Calendar'!$J$649)=0,"",IF(('Dvd Calendar'!$J$649&gt;=GRID_FROM)*('Dvd Calendar'!$J$649&lt;=GRID_TO)*((('Dvd Calendar'!$J$649&lt;=VAL_DATE)+(COUNTIF('Dvd Calendar'!$E$656:$AR$656,'Dvd Calendar'!$J$649)=0))&gt;0)=0,"",'Dvd Calendar'!$J$649*1000000000+ISNUMBER('Dvd Calendar'!$J$652)*100000000+('Dvd Calendar'!$J$654=SPECIAL_LBL)*10000000+(N('Dvd Calendar'!$J$648)&gt;0)*(N('Dvd Calendar'!$J$648)&lt;=VAL_SERIAL)*1000000+59*1000+6))</f>
        <v/>
      </c>
      <c r="EK70" s="121">
        <f>IF(N('Dvd Calendar'!$K$649)=0,"",IF(('Dvd Calendar'!$K$649&gt;=GRID_FROM)*('Dvd Calendar'!$K$649&lt;=GRID_TO)*((('Dvd Calendar'!$K$649&lt;=VAL_DATE)+(COUNTIF('Dvd Calendar'!$E$656:$AR$656,'Dvd Calendar'!$K$649)=0))&gt;0)=0,"",'Dvd Calendar'!$K$649*1000000000+ISNUMBER('Dvd Calendar'!$K$652)*100000000+('Dvd Calendar'!$K$654=SPECIAL_LBL)*10000000+(N('Dvd Calendar'!$K$648)&gt;0)*(N('Dvd Calendar'!$K$648)&lt;=VAL_SERIAL)*1000000+59*1000+7))</f>
        <v/>
      </c>
      <c r="EL70" s="121">
        <f>IF(N('Dvd Calendar'!$L$649)=0,"",IF(('Dvd Calendar'!$L$649&gt;=GRID_FROM)*('Dvd Calendar'!$L$649&lt;=GRID_TO)*((('Dvd Calendar'!$L$649&lt;=VAL_DATE)+(COUNTIF('Dvd Calendar'!$E$656:$AR$656,'Dvd Calendar'!$L$649)=0))&gt;0)=0,"",'Dvd Calendar'!$L$649*1000000000+ISNUMBER('Dvd Calendar'!$L$652)*100000000+('Dvd Calendar'!$L$654=SPECIAL_LBL)*10000000+(N('Dvd Calendar'!$L$648)&gt;0)*(N('Dvd Calendar'!$L$648)&lt;=VAL_SERIAL)*1000000+59*1000+8))</f>
        <v/>
      </c>
      <c r="EM70" s="121">
        <f>IF(N('Dvd Calendar'!$M$649)=0,"",IF(('Dvd Calendar'!$M$649&gt;=GRID_FROM)*('Dvd Calendar'!$M$649&lt;=GRID_TO)*((('Dvd Calendar'!$M$649&lt;=VAL_DATE)+(COUNTIF('Dvd Calendar'!$E$656:$AR$656,'Dvd Calendar'!$M$649)=0))&gt;0)=0,"",'Dvd Calendar'!$M$649*1000000000+ISNUMBER('Dvd Calendar'!$M$652)*100000000+('Dvd Calendar'!$M$654=SPECIAL_LBL)*10000000+(N('Dvd Calendar'!$M$648)&gt;0)*(N('Dvd Calendar'!$M$648)&lt;=VAL_SERIAL)*1000000+59*1000+9))</f>
        <v/>
      </c>
      <c r="EN70" s="121">
        <f>IF(N('Dvd Calendar'!$N$649)=0,"",IF(('Dvd Calendar'!$N$649&gt;=GRID_FROM)*('Dvd Calendar'!$N$649&lt;=GRID_TO)*((('Dvd Calendar'!$N$649&lt;=VAL_DATE)+(COUNTIF('Dvd Calendar'!$E$656:$AR$656,'Dvd Calendar'!$N$649)=0))&gt;0)=0,"",'Dvd Calendar'!$N$649*1000000000+ISNUMBER('Dvd Calendar'!$N$652)*100000000+('Dvd Calendar'!$N$654=SPECIAL_LBL)*10000000+(N('Dvd Calendar'!$N$648)&gt;0)*(N('Dvd Calendar'!$N$648)&lt;=VAL_SERIAL)*1000000+59*1000+10))</f>
        <v/>
      </c>
      <c r="EO70" s="121">
        <f>IF(N('Dvd Calendar'!$O$649)=0,"",IF(('Dvd Calendar'!$O$649&gt;=GRID_FROM)*('Dvd Calendar'!$O$649&lt;=GRID_TO)*((('Dvd Calendar'!$O$649&lt;=VAL_DATE)+(COUNTIF('Dvd Calendar'!$E$656:$AR$656,'Dvd Calendar'!$O$649)=0))&gt;0)=0,"",'Dvd Calendar'!$O$649*1000000000+ISNUMBER('Dvd Calendar'!$O$652)*100000000+('Dvd Calendar'!$O$654=SPECIAL_LBL)*10000000+(N('Dvd Calendar'!$O$648)&gt;0)*(N('Dvd Calendar'!$O$648)&lt;=VAL_SERIAL)*1000000+59*1000+11))</f>
        <v/>
      </c>
      <c r="EP70" s="121">
        <f>IF(N('Dvd Calendar'!$P$649)=0,"",IF(('Dvd Calendar'!$P$649&gt;=GRID_FROM)*('Dvd Calendar'!$P$649&lt;=GRID_TO)*((('Dvd Calendar'!$P$649&lt;=VAL_DATE)+(COUNTIF('Dvd Calendar'!$E$656:$AR$656,'Dvd Calendar'!$P$649)=0))&gt;0)=0,"",'Dvd Calendar'!$P$649*1000000000+ISNUMBER('Dvd Calendar'!$P$652)*100000000+('Dvd Calendar'!$P$654=SPECIAL_LBL)*10000000+(N('Dvd Calendar'!$P$648)&gt;0)*(N('Dvd Calendar'!$P$648)&lt;=VAL_SERIAL)*1000000+59*1000+12))</f>
        <v/>
      </c>
      <c r="EQ70" s="121">
        <f>IF(N('Dvd Calendar'!$Q$649)=0,"",IF(('Dvd Calendar'!$Q$649&gt;=GRID_FROM)*('Dvd Calendar'!$Q$649&lt;=GRID_TO)*((('Dvd Calendar'!$Q$649&lt;=VAL_DATE)+(COUNTIF('Dvd Calendar'!$E$656:$AR$656,'Dvd Calendar'!$Q$649)=0))&gt;0)=0,"",'Dvd Calendar'!$Q$649*1000000000+ISNUMBER('Dvd Calendar'!$Q$652)*100000000+('Dvd Calendar'!$Q$654=SPECIAL_LBL)*10000000+(N('Dvd Calendar'!$Q$648)&gt;0)*(N('Dvd Calendar'!$Q$648)&lt;=VAL_SERIAL)*1000000+59*1000+13))</f>
        <v/>
      </c>
      <c r="ER70" s="121">
        <f>IF(N('Dvd Calendar'!$R$649)=0,"",IF(('Dvd Calendar'!$R$649&gt;=GRID_FROM)*('Dvd Calendar'!$R$649&lt;=GRID_TO)*((('Dvd Calendar'!$R$649&lt;=VAL_DATE)+(COUNTIF('Dvd Calendar'!$E$656:$AR$656,'Dvd Calendar'!$R$649)=0))&gt;0)=0,"",'Dvd Calendar'!$R$649*1000000000+ISNUMBER('Dvd Calendar'!$R$652)*100000000+('Dvd Calendar'!$R$654=SPECIAL_LBL)*10000000+(N('Dvd Calendar'!$R$648)&gt;0)*(N('Dvd Calendar'!$R$648)&lt;=VAL_SERIAL)*1000000+59*1000+14))</f>
        <v/>
      </c>
      <c r="ES70" s="121">
        <f>IF(N('Dvd Calendar'!$S$649)=0,"",IF(('Dvd Calendar'!$S$649&gt;=GRID_FROM)*('Dvd Calendar'!$S$649&lt;=GRID_TO)*((('Dvd Calendar'!$S$649&lt;=VAL_DATE)+(COUNTIF('Dvd Calendar'!$E$656:$AR$656,'Dvd Calendar'!$S$649)=0))&gt;0)=0,"",'Dvd Calendar'!$S$649*1000000000+ISNUMBER('Dvd Calendar'!$S$652)*100000000+('Dvd Calendar'!$S$654=SPECIAL_LBL)*10000000+(N('Dvd Calendar'!$S$648)&gt;0)*(N('Dvd Calendar'!$S$648)&lt;=VAL_SERIAL)*1000000+59*1000+15))</f>
        <v/>
      </c>
      <c r="ET70" s="121">
        <f>IF(N('Dvd Calendar'!$T$649)=0,"",IF(('Dvd Calendar'!$T$649&gt;=GRID_FROM)*('Dvd Calendar'!$T$649&lt;=GRID_TO)*((('Dvd Calendar'!$T$649&lt;=VAL_DATE)+(COUNTIF('Dvd Calendar'!$E$656:$AR$656,'Dvd Calendar'!$T$649)=0))&gt;0)=0,"",'Dvd Calendar'!$T$649*1000000000+ISNUMBER('Dvd Calendar'!$T$652)*100000000+('Dvd Calendar'!$T$654=SPECIAL_LBL)*10000000+(N('Dvd Calendar'!$T$648)&gt;0)*(N('Dvd Calendar'!$T$648)&lt;=VAL_SERIAL)*1000000+59*1000+16))</f>
        <v/>
      </c>
      <c r="EU70" s="121">
        <f>IF(N('Dvd Calendar'!$U$649)=0,"",IF(('Dvd Calendar'!$U$649&gt;=GRID_FROM)*('Dvd Calendar'!$U$649&lt;=GRID_TO)*((('Dvd Calendar'!$U$649&lt;=VAL_DATE)+(COUNTIF('Dvd Calendar'!$E$656:$AR$656,'Dvd Calendar'!$U$649)=0))&gt;0)=0,"",'Dvd Calendar'!$U$649*1000000000+ISNUMBER('Dvd Calendar'!$U$652)*100000000+('Dvd Calendar'!$U$654=SPECIAL_LBL)*10000000+(N('Dvd Calendar'!$U$648)&gt;0)*(N('Dvd Calendar'!$U$648)&lt;=VAL_SERIAL)*1000000+59*1000+17))</f>
        <v/>
      </c>
      <c r="EV70" s="121">
        <f>IF(N('Dvd Calendar'!$V$649)=0,"",IF(('Dvd Calendar'!$V$649&gt;=GRID_FROM)*('Dvd Calendar'!$V$649&lt;=GRID_TO)*((('Dvd Calendar'!$V$649&lt;=VAL_DATE)+(COUNTIF('Dvd Calendar'!$E$656:$AR$656,'Dvd Calendar'!$V$649)=0))&gt;0)=0,"",'Dvd Calendar'!$V$649*1000000000+ISNUMBER('Dvd Calendar'!$V$652)*100000000+('Dvd Calendar'!$V$654=SPECIAL_LBL)*10000000+(N('Dvd Calendar'!$V$648)&gt;0)*(N('Dvd Calendar'!$V$648)&lt;=VAL_SERIAL)*1000000+59*1000+18))</f>
        <v/>
      </c>
      <c r="EW70" s="121">
        <f>IF(N('Dvd Calendar'!$W$649)=0,"",IF(('Dvd Calendar'!$W$649&gt;=GRID_FROM)*('Dvd Calendar'!$W$649&lt;=GRID_TO)*((('Dvd Calendar'!$W$649&lt;=VAL_DATE)+(COUNTIF('Dvd Calendar'!$E$656:$AR$656,'Dvd Calendar'!$W$649)=0))&gt;0)=0,"",'Dvd Calendar'!$W$649*1000000000+ISNUMBER('Dvd Calendar'!$W$652)*100000000+('Dvd Calendar'!$W$654=SPECIAL_LBL)*10000000+(N('Dvd Calendar'!$W$648)&gt;0)*(N('Dvd Calendar'!$W$648)&lt;=VAL_SERIAL)*1000000+59*1000+19))</f>
        <v/>
      </c>
      <c r="EX70" s="121">
        <f>IF(N('Dvd Calendar'!$X$649)=0,"",IF(('Dvd Calendar'!$X$649&gt;=GRID_FROM)*('Dvd Calendar'!$X$649&lt;=GRID_TO)*((('Dvd Calendar'!$X$649&lt;=VAL_DATE)+(COUNTIF('Dvd Calendar'!$E$656:$AR$656,'Dvd Calendar'!$X$649)=0))&gt;0)=0,"",'Dvd Calendar'!$X$649*1000000000+ISNUMBER('Dvd Calendar'!$X$652)*100000000+('Dvd Calendar'!$X$654=SPECIAL_LBL)*10000000+(N('Dvd Calendar'!$X$648)&gt;0)*(N('Dvd Calendar'!$X$648)&lt;=VAL_SERIAL)*1000000+59*1000+20))</f>
        <v/>
      </c>
      <c r="EY70" s="121">
        <f>IF(N('Dvd Calendar'!$Y$649)=0,"",IF(('Dvd Calendar'!$Y$649&gt;=GRID_FROM)*('Dvd Calendar'!$Y$649&lt;=GRID_TO)*((('Dvd Calendar'!$Y$649&lt;=VAL_DATE)+(COUNTIF('Dvd Calendar'!$E$656:$AR$656,'Dvd Calendar'!$Y$649)=0))&gt;0)=0,"",'Dvd Calendar'!$Y$649*1000000000+ISNUMBER('Dvd Calendar'!$Y$652)*100000000+('Dvd Calendar'!$Y$654=SPECIAL_LBL)*10000000+(N('Dvd Calendar'!$Y$648)&gt;0)*(N('Dvd Calendar'!$Y$648)&lt;=VAL_SERIAL)*1000000+59*1000+21))</f>
        <v/>
      </c>
      <c r="EZ70" s="121">
        <f>IF(N('Dvd Calendar'!$Z$649)=0,"",IF(('Dvd Calendar'!$Z$649&gt;=GRID_FROM)*('Dvd Calendar'!$Z$649&lt;=GRID_TO)*((('Dvd Calendar'!$Z$649&lt;=VAL_DATE)+(COUNTIF('Dvd Calendar'!$E$656:$AR$656,'Dvd Calendar'!$Z$649)=0))&gt;0)=0,"",'Dvd Calendar'!$Z$649*1000000000+ISNUMBER('Dvd Calendar'!$Z$652)*100000000+('Dvd Calendar'!$Z$654=SPECIAL_LBL)*10000000+(N('Dvd Calendar'!$Z$648)&gt;0)*(N('Dvd Calendar'!$Z$648)&lt;=VAL_SERIAL)*1000000+59*1000+22))</f>
        <v/>
      </c>
      <c r="FA70" s="121">
        <f>IF(N('Dvd Calendar'!$AA$649)=0,"",IF(('Dvd Calendar'!$AA$649&gt;=GRID_FROM)*('Dvd Calendar'!$AA$649&lt;=GRID_TO)*((('Dvd Calendar'!$AA$649&lt;=VAL_DATE)+(COUNTIF('Dvd Calendar'!$E$656:$AR$656,'Dvd Calendar'!$AA$649)=0))&gt;0)=0,"",'Dvd Calendar'!$AA$649*1000000000+ISNUMBER('Dvd Calendar'!$AA$652)*100000000+('Dvd Calendar'!$AA$654=SPECIAL_LBL)*10000000+(N('Dvd Calendar'!$AA$648)&gt;0)*(N('Dvd Calendar'!$AA$648)&lt;=VAL_SERIAL)*1000000+59*1000+23))</f>
        <v/>
      </c>
      <c r="FB70" s="121">
        <f>IF(N('Dvd Calendar'!$AB$649)=0,"",IF(('Dvd Calendar'!$AB$649&gt;=GRID_FROM)*('Dvd Calendar'!$AB$649&lt;=GRID_TO)*((('Dvd Calendar'!$AB$649&lt;=VAL_DATE)+(COUNTIF('Dvd Calendar'!$E$656:$AR$656,'Dvd Calendar'!$AB$649)=0))&gt;0)=0,"",'Dvd Calendar'!$AB$649*1000000000+ISNUMBER('Dvd Calendar'!$AB$652)*100000000+('Dvd Calendar'!$AB$654=SPECIAL_LBL)*10000000+(N('Dvd Calendar'!$AB$648)&gt;0)*(N('Dvd Calendar'!$AB$648)&lt;=VAL_SERIAL)*1000000+59*1000+24))</f>
        <v/>
      </c>
      <c r="FC70" s="121">
        <f>IF(N('Dvd Calendar'!$AC$649)=0,"",IF(('Dvd Calendar'!$AC$649&gt;=GRID_FROM)*('Dvd Calendar'!$AC$649&lt;=GRID_TO)*((('Dvd Calendar'!$AC$649&lt;=VAL_DATE)+(COUNTIF('Dvd Calendar'!$E$656:$AR$656,'Dvd Calendar'!$AC$649)=0))&gt;0)=0,"",'Dvd Calendar'!$AC$649*1000000000+ISNUMBER('Dvd Calendar'!$AC$652)*100000000+('Dvd Calendar'!$AC$654=SPECIAL_LBL)*10000000+(N('Dvd Calendar'!$AC$648)&gt;0)*(N('Dvd Calendar'!$AC$648)&lt;=VAL_SERIAL)*1000000+59*1000+25))</f>
        <v/>
      </c>
      <c r="FD70" s="121">
        <f>IF(N('Dvd Calendar'!$AD$649)=0,"",IF(('Dvd Calendar'!$AD$649&gt;=GRID_FROM)*('Dvd Calendar'!$AD$649&lt;=GRID_TO)*((('Dvd Calendar'!$AD$649&lt;=VAL_DATE)+(COUNTIF('Dvd Calendar'!$E$656:$AR$656,'Dvd Calendar'!$AD$649)=0))&gt;0)=0,"",'Dvd Calendar'!$AD$649*1000000000+ISNUMBER('Dvd Calendar'!$AD$652)*100000000+('Dvd Calendar'!$AD$654=SPECIAL_LBL)*10000000+(N('Dvd Calendar'!$AD$648)&gt;0)*(N('Dvd Calendar'!$AD$648)&lt;=VAL_SERIAL)*1000000+59*1000+26))</f>
        <v/>
      </c>
      <c r="FE70" s="121">
        <f>IF(N('Dvd Calendar'!$AE$649)=0,"",IF(('Dvd Calendar'!$AE$649&gt;=GRID_FROM)*('Dvd Calendar'!$AE$649&lt;=GRID_TO)*((('Dvd Calendar'!$AE$649&lt;=VAL_DATE)+(COUNTIF('Dvd Calendar'!$E$656:$AR$656,'Dvd Calendar'!$AE$649)=0))&gt;0)=0,"",'Dvd Calendar'!$AE$649*1000000000+ISNUMBER('Dvd Calendar'!$AE$652)*100000000+('Dvd Calendar'!$AE$654=SPECIAL_LBL)*10000000+(N('Dvd Calendar'!$AE$648)&gt;0)*(N('Dvd Calendar'!$AE$648)&lt;=VAL_SERIAL)*1000000+59*1000+27))</f>
        <v/>
      </c>
      <c r="FF70" s="121">
        <f>IF(N('Dvd Calendar'!$AF$649)=0,"",IF(('Dvd Calendar'!$AF$649&gt;=GRID_FROM)*('Dvd Calendar'!$AF$649&lt;=GRID_TO)*((('Dvd Calendar'!$AF$649&lt;=VAL_DATE)+(COUNTIF('Dvd Calendar'!$E$656:$AR$656,'Dvd Calendar'!$AF$649)=0))&gt;0)=0,"",'Dvd Calendar'!$AF$649*1000000000+ISNUMBER('Dvd Calendar'!$AF$652)*100000000+('Dvd Calendar'!$AF$654=SPECIAL_LBL)*10000000+(N('Dvd Calendar'!$AF$648)&gt;0)*(N('Dvd Calendar'!$AF$648)&lt;=VAL_SERIAL)*1000000+59*1000+28))</f>
        <v/>
      </c>
      <c r="FG70" s="121">
        <f>IF(N('Dvd Calendar'!$AG$649)=0,"",IF(('Dvd Calendar'!$AG$649&gt;=GRID_FROM)*('Dvd Calendar'!$AG$649&lt;=GRID_TO)*((('Dvd Calendar'!$AG$649&lt;=VAL_DATE)+(COUNTIF('Dvd Calendar'!$E$656:$AR$656,'Dvd Calendar'!$AG$649)=0))&gt;0)=0,"",'Dvd Calendar'!$AG$649*1000000000+ISNUMBER('Dvd Calendar'!$AG$652)*100000000+('Dvd Calendar'!$AG$654=SPECIAL_LBL)*10000000+(N('Dvd Calendar'!$AG$648)&gt;0)*(N('Dvd Calendar'!$AG$648)&lt;=VAL_SERIAL)*1000000+59*1000+29))</f>
        <v/>
      </c>
      <c r="FH70" s="121">
        <f>IF(N('Dvd Calendar'!$AH$649)=0,"",IF(('Dvd Calendar'!$AH$649&gt;=GRID_FROM)*('Dvd Calendar'!$AH$649&lt;=GRID_TO)*((('Dvd Calendar'!$AH$649&lt;=VAL_DATE)+(COUNTIF('Dvd Calendar'!$E$656:$AR$656,'Dvd Calendar'!$AH$649)=0))&gt;0)=0,"",'Dvd Calendar'!$AH$649*1000000000+ISNUMBER('Dvd Calendar'!$AH$652)*100000000+('Dvd Calendar'!$AH$654=SPECIAL_LBL)*10000000+(N('Dvd Calendar'!$AH$648)&gt;0)*(N('Dvd Calendar'!$AH$648)&lt;=VAL_SERIAL)*1000000+59*1000+30))</f>
        <v/>
      </c>
      <c r="FI70" s="121">
        <f>IF(N('Dvd Calendar'!$AI$649)=0,"",IF(('Dvd Calendar'!$AI$649&gt;=GRID_FROM)*('Dvd Calendar'!$AI$649&lt;=GRID_TO)*((('Dvd Calendar'!$AI$649&lt;=VAL_DATE)+(COUNTIF('Dvd Calendar'!$E$656:$AR$656,'Dvd Calendar'!$AI$649)=0))&gt;0)=0,"",'Dvd Calendar'!$AI$649*1000000000+ISNUMBER('Dvd Calendar'!$AI$652)*100000000+('Dvd Calendar'!$AI$654=SPECIAL_LBL)*10000000+(N('Dvd Calendar'!$AI$648)&gt;0)*(N('Dvd Calendar'!$AI$648)&lt;=VAL_SERIAL)*1000000+59*1000+31))</f>
        <v/>
      </c>
      <c r="FJ70" s="121">
        <f>IF(N('Dvd Calendar'!$AJ$649)=0,"",IF(('Dvd Calendar'!$AJ$649&gt;=GRID_FROM)*('Dvd Calendar'!$AJ$649&lt;=GRID_TO)*((('Dvd Calendar'!$AJ$649&lt;=VAL_DATE)+(COUNTIF('Dvd Calendar'!$E$656:$AR$656,'Dvd Calendar'!$AJ$649)=0))&gt;0)=0,"",'Dvd Calendar'!$AJ$649*1000000000+ISNUMBER('Dvd Calendar'!$AJ$652)*100000000+('Dvd Calendar'!$AJ$654=SPECIAL_LBL)*10000000+(N('Dvd Calendar'!$AJ$648)&gt;0)*(N('Dvd Calendar'!$AJ$648)&lt;=VAL_SERIAL)*1000000+59*1000+32))</f>
        <v/>
      </c>
      <c r="FK70" s="121">
        <f>IF(N('Dvd Calendar'!$AK$649)=0,"",IF(('Dvd Calendar'!$AK$649&gt;=GRID_FROM)*('Dvd Calendar'!$AK$649&lt;=GRID_TO)*((('Dvd Calendar'!$AK$649&lt;=VAL_DATE)+(COUNTIF('Dvd Calendar'!$E$656:$AR$656,'Dvd Calendar'!$AK$649)=0))&gt;0)=0,"",'Dvd Calendar'!$AK$649*1000000000+ISNUMBER('Dvd Calendar'!$AK$652)*100000000+('Dvd Calendar'!$AK$654=SPECIAL_LBL)*10000000+(N('Dvd Calendar'!$AK$648)&gt;0)*(N('Dvd Calendar'!$AK$648)&lt;=VAL_SERIAL)*1000000+59*1000+33))</f>
        <v/>
      </c>
      <c r="FL70" s="121">
        <f>IF(N('Dvd Calendar'!$AL$649)=0,"",IF(('Dvd Calendar'!$AL$649&gt;=GRID_FROM)*('Dvd Calendar'!$AL$649&lt;=GRID_TO)*((('Dvd Calendar'!$AL$649&lt;=VAL_DATE)+(COUNTIF('Dvd Calendar'!$E$656:$AR$656,'Dvd Calendar'!$AL$649)=0))&gt;0)=0,"",'Dvd Calendar'!$AL$649*1000000000+ISNUMBER('Dvd Calendar'!$AL$652)*100000000+('Dvd Calendar'!$AL$654=SPECIAL_LBL)*10000000+(N('Dvd Calendar'!$AL$648)&gt;0)*(N('Dvd Calendar'!$AL$648)&lt;=VAL_SERIAL)*1000000+59*1000+34))</f>
        <v/>
      </c>
      <c r="FM70" s="121">
        <f>IF(N('Dvd Calendar'!$AM$649)=0,"",IF(('Dvd Calendar'!$AM$649&gt;=GRID_FROM)*('Dvd Calendar'!$AM$649&lt;=GRID_TO)*((('Dvd Calendar'!$AM$649&lt;=VAL_DATE)+(COUNTIF('Dvd Calendar'!$E$656:$AR$656,'Dvd Calendar'!$AM$649)=0))&gt;0)=0,"",'Dvd Calendar'!$AM$649*1000000000+ISNUMBER('Dvd Calendar'!$AM$652)*100000000+('Dvd Calendar'!$AM$654=SPECIAL_LBL)*10000000+(N('Dvd Calendar'!$AM$648)&gt;0)*(N('Dvd Calendar'!$AM$648)&lt;=VAL_SERIAL)*1000000+59*1000+35))</f>
        <v/>
      </c>
      <c r="FN70" s="121">
        <f>IF(N('Dvd Calendar'!$AN$649)=0,"",IF(('Dvd Calendar'!$AN$649&gt;=GRID_FROM)*('Dvd Calendar'!$AN$649&lt;=GRID_TO)*((('Dvd Calendar'!$AN$649&lt;=VAL_DATE)+(COUNTIF('Dvd Calendar'!$E$656:$AR$656,'Dvd Calendar'!$AN$649)=0))&gt;0)=0,"",'Dvd Calendar'!$AN$649*1000000000+ISNUMBER('Dvd Calendar'!$AN$652)*100000000+('Dvd Calendar'!$AN$654=SPECIAL_LBL)*10000000+(N('Dvd Calendar'!$AN$648)&gt;0)*(N('Dvd Calendar'!$AN$648)&lt;=VAL_SERIAL)*1000000+59*1000+36))</f>
        <v/>
      </c>
      <c r="FO70" s="121">
        <f>IF(N('Dvd Calendar'!$AO$649)=0,"",IF(('Dvd Calendar'!$AO$649&gt;=GRID_FROM)*('Dvd Calendar'!$AO$649&lt;=GRID_TO)*((('Dvd Calendar'!$AO$649&lt;=VAL_DATE)+(COUNTIF('Dvd Calendar'!$E$656:$AR$656,'Dvd Calendar'!$AO$649)=0))&gt;0)=0,"",'Dvd Calendar'!$AO$649*1000000000+ISNUMBER('Dvd Calendar'!$AO$652)*100000000+('Dvd Calendar'!$AO$654=SPECIAL_LBL)*10000000+(N('Dvd Calendar'!$AO$648)&gt;0)*(N('Dvd Calendar'!$AO$648)&lt;=VAL_SERIAL)*1000000+59*1000+37))</f>
        <v/>
      </c>
      <c r="FP70" s="121">
        <f>IF(N('Dvd Calendar'!$AP$649)=0,"",IF(('Dvd Calendar'!$AP$649&gt;=GRID_FROM)*('Dvd Calendar'!$AP$649&lt;=GRID_TO)*((('Dvd Calendar'!$AP$649&lt;=VAL_DATE)+(COUNTIF('Dvd Calendar'!$E$656:$AR$656,'Dvd Calendar'!$AP$649)=0))&gt;0)=0,"",'Dvd Calendar'!$AP$649*1000000000+ISNUMBER('Dvd Calendar'!$AP$652)*100000000+('Dvd Calendar'!$AP$654=SPECIAL_LBL)*10000000+(N('Dvd Calendar'!$AP$648)&gt;0)*(N('Dvd Calendar'!$AP$648)&lt;=VAL_SERIAL)*1000000+59*1000+38))</f>
        <v/>
      </c>
      <c r="FQ70" s="121">
        <f>IF(N('Dvd Calendar'!$AQ$649)=0,"",IF(('Dvd Calendar'!$AQ$649&gt;=GRID_FROM)*('Dvd Calendar'!$AQ$649&lt;=GRID_TO)*((('Dvd Calendar'!$AQ$649&lt;=VAL_DATE)+(COUNTIF('Dvd Calendar'!$E$656:$AR$656,'Dvd Calendar'!$AQ$649)=0))&gt;0)=0,"",'Dvd Calendar'!$AQ$649*1000000000+ISNUMBER('Dvd Calendar'!$AQ$652)*100000000+('Dvd Calendar'!$AQ$654=SPECIAL_LBL)*10000000+(N('Dvd Calendar'!$AQ$648)&gt;0)*(N('Dvd Calendar'!$AQ$648)&lt;=VAL_SERIAL)*1000000+59*1000+39))</f>
        <v/>
      </c>
      <c r="FR70" s="121">
        <f>IF(N('Dvd Calendar'!$AR$649)=0,"",IF(('Dvd Calendar'!$AR$649&gt;=GRID_FROM)*('Dvd Calendar'!$AR$649&lt;=GRID_TO)*((('Dvd Calendar'!$AR$649&lt;=VAL_DATE)+(COUNTIF('Dvd Calendar'!$E$656:$AR$656,'Dvd Calendar'!$AR$649)=0))&gt;0)=0,"",'Dvd Calendar'!$AR$649*1000000000+ISNUMBER('Dvd Calendar'!$AR$652)*100000000+('Dvd Calendar'!$AR$654=SPECIAL_LBL)*10000000+(N('Dvd Calendar'!$AR$648)&gt;0)*(N('Dvd Calendar'!$AR$648)&lt;=VAL_SERIAL)*1000000+59*1000+40))</f>
        <v/>
      </c>
      <c r="FS70" s="121">
        <f>IF(N('Dvd Calendar'!$E$656)=0,"",IF(('Dvd Calendar'!$E$656&gt;=GRID_FROM)*('Dvd Calendar'!$E$656&lt;=GRID_TO)*('Dvd Calendar'!$E$656&gt;VAL_DATE)=0,"",'Dvd Calendar'!$E$656*1000000000+ISNUMBER('Dvd Calendar'!$E$657)*100000000+0*10000000+(N('Dvd Calendar'!$E$655)&gt;0)*(N('Dvd Calendar'!$E$655)&lt;=VAL_SERIAL)*1000000+59*1000+41))</f>
        <v/>
      </c>
      <c r="FT70" s="121">
        <f>IF(N('Dvd Calendar'!$F$656)=0,"",IF(('Dvd Calendar'!$F$656&gt;=GRID_FROM)*('Dvd Calendar'!$F$656&lt;=GRID_TO)*('Dvd Calendar'!$F$656&gt;VAL_DATE)=0,"",'Dvd Calendar'!$F$656*1000000000+ISNUMBER('Dvd Calendar'!$F$657)*100000000+0*10000000+(N('Dvd Calendar'!$F$655)&gt;0)*(N('Dvd Calendar'!$F$655)&lt;=VAL_SERIAL)*1000000+59*1000+42))</f>
        <v/>
      </c>
      <c r="FU70" s="121">
        <f>IF(N('Dvd Calendar'!$G$656)=0,"",IF(('Dvd Calendar'!$G$656&gt;=GRID_FROM)*('Dvd Calendar'!$G$656&lt;=GRID_TO)*('Dvd Calendar'!$G$656&gt;VAL_DATE)=0,"",'Dvd Calendar'!$G$656*1000000000+ISNUMBER('Dvd Calendar'!$G$657)*100000000+0*10000000+(N('Dvd Calendar'!$G$655)&gt;0)*(N('Dvd Calendar'!$G$655)&lt;=VAL_SERIAL)*1000000+59*1000+43))</f>
        <v/>
      </c>
      <c r="FV70" s="121">
        <f>IF(N('Dvd Calendar'!$H$656)=0,"",IF(('Dvd Calendar'!$H$656&gt;=GRID_FROM)*('Dvd Calendar'!$H$656&lt;=GRID_TO)*('Dvd Calendar'!$H$656&gt;VAL_DATE)=0,"",'Dvd Calendar'!$H$656*1000000000+ISNUMBER('Dvd Calendar'!$H$657)*100000000+0*10000000+(N('Dvd Calendar'!$H$655)&gt;0)*(N('Dvd Calendar'!$H$655)&lt;=VAL_SERIAL)*1000000+59*1000+44))</f>
        <v/>
      </c>
      <c r="FW70" s="121">
        <f>IF(N('Dvd Calendar'!$I$656)=0,"",IF(('Dvd Calendar'!$I$656&gt;=GRID_FROM)*('Dvd Calendar'!$I$656&lt;=GRID_TO)*('Dvd Calendar'!$I$656&gt;VAL_DATE)=0,"",'Dvd Calendar'!$I$656*1000000000+ISNUMBER('Dvd Calendar'!$I$657)*100000000+0*10000000+(N('Dvd Calendar'!$I$655)&gt;0)*(N('Dvd Calendar'!$I$655)&lt;=VAL_SERIAL)*1000000+59*1000+45))</f>
        <v/>
      </c>
      <c r="FX70" s="121">
        <f>IF(N('Dvd Calendar'!$J$656)=0,"",IF(('Dvd Calendar'!$J$656&gt;=GRID_FROM)*('Dvd Calendar'!$J$656&lt;=GRID_TO)*('Dvd Calendar'!$J$656&gt;VAL_DATE)=0,"",'Dvd Calendar'!$J$656*1000000000+ISNUMBER('Dvd Calendar'!$J$657)*100000000+0*10000000+(N('Dvd Calendar'!$J$655)&gt;0)*(N('Dvd Calendar'!$J$655)&lt;=VAL_SERIAL)*1000000+59*1000+46))</f>
        <v/>
      </c>
      <c r="FY70" s="121">
        <f>IF(N('Dvd Calendar'!$K$656)=0,"",IF(('Dvd Calendar'!$K$656&gt;=GRID_FROM)*('Dvd Calendar'!$K$656&lt;=GRID_TO)*('Dvd Calendar'!$K$656&gt;VAL_DATE)=0,"",'Dvd Calendar'!$K$656*1000000000+ISNUMBER('Dvd Calendar'!$K$657)*100000000+0*10000000+(N('Dvd Calendar'!$K$655)&gt;0)*(N('Dvd Calendar'!$K$655)&lt;=VAL_SERIAL)*1000000+59*1000+47))</f>
        <v/>
      </c>
      <c r="FZ70" s="121">
        <f>IF(N('Dvd Calendar'!$L$656)=0,"",IF(('Dvd Calendar'!$L$656&gt;=GRID_FROM)*('Dvd Calendar'!$L$656&lt;=GRID_TO)*('Dvd Calendar'!$L$656&gt;VAL_DATE)=0,"",'Dvd Calendar'!$L$656*1000000000+ISNUMBER('Dvd Calendar'!$L$657)*100000000+0*10000000+(N('Dvd Calendar'!$L$655)&gt;0)*(N('Dvd Calendar'!$L$655)&lt;=VAL_SERIAL)*1000000+59*1000+48))</f>
        <v/>
      </c>
      <c r="GA70" s="121">
        <f>IF(N('Dvd Calendar'!$M$656)=0,"",IF(('Dvd Calendar'!$M$656&gt;=GRID_FROM)*('Dvd Calendar'!$M$656&lt;=GRID_TO)*('Dvd Calendar'!$M$656&gt;VAL_DATE)=0,"",'Dvd Calendar'!$M$656*1000000000+ISNUMBER('Dvd Calendar'!$M$657)*100000000+0*10000000+(N('Dvd Calendar'!$M$655)&gt;0)*(N('Dvd Calendar'!$M$655)&lt;=VAL_SERIAL)*1000000+59*1000+49))</f>
        <v/>
      </c>
      <c r="GB70" s="121">
        <f>IF(N('Dvd Calendar'!$N$656)=0,"",IF(('Dvd Calendar'!$N$656&gt;=GRID_FROM)*('Dvd Calendar'!$N$656&lt;=GRID_TO)*('Dvd Calendar'!$N$656&gt;VAL_DATE)=0,"",'Dvd Calendar'!$N$656*1000000000+ISNUMBER('Dvd Calendar'!$N$657)*100000000+0*10000000+(N('Dvd Calendar'!$N$655)&gt;0)*(N('Dvd Calendar'!$N$655)&lt;=VAL_SERIAL)*1000000+59*1000+50))</f>
        <v/>
      </c>
      <c r="GC70" s="121">
        <f>IF(N('Dvd Calendar'!$O$656)=0,"",IF(('Dvd Calendar'!$O$656&gt;=GRID_FROM)*('Dvd Calendar'!$O$656&lt;=GRID_TO)*('Dvd Calendar'!$O$656&gt;VAL_DATE)=0,"",'Dvd Calendar'!$O$656*1000000000+ISNUMBER('Dvd Calendar'!$O$657)*100000000+0*10000000+(N('Dvd Calendar'!$O$655)&gt;0)*(N('Dvd Calendar'!$O$655)&lt;=VAL_SERIAL)*1000000+59*1000+51))</f>
        <v/>
      </c>
      <c r="GD70" s="121">
        <f>IF(N('Dvd Calendar'!$P$656)=0,"",IF(('Dvd Calendar'!$P$656&gt;=GRID_FROM)*('Dvd Calendar'!$P$656&lt;=GRID_TO)*('Dvd Calendar'!$P$656&gt;VAL_DATE)=0,"",'Dvd Calendar'!$P$656*1000000000+ISNUMBER('Dvd Calendar'!$P$657)*100000000+0*10000000+(N('Dvd Calendar'!$P$655)&gt;0)*(N('Dvd Calendar'!$P$655)&lt;=VAL_SERIAL)*1000000+59*1000+52))</f>
        <v/>
      </c>
      <c r="GE70" s="121">
        <f>IF(N('Dvd Calendar'!$Q$656)=0,"",IF(('Dvd Calendar'!$Q$656&gt;=GRID_FROM)*('Dvd Calendar'!$Q$656&lt;=GRID_TO)*('Dvd Calendar'!$Q$656&gt;VAL_DATE)=0,"",'Dvd Calendar'!$Q$656*1000000000+ISNUMBER('Dvd Calendar'!$Q$657)*100000000+0*10000000+(N('Dvd Calendar'!$Q$655)&gt;0)*(N('Dvd Calendar'!$Q$655)&lt;=VAL_SERIAL)*1000000+59*1000+53))</f>
        <v/>
      </c>
      <c r="GF70" s="121">
        <f>IF(N('Dvd Calendar'!$R$656)=0,"",IF(('Dvd Calendar'!$R$656&gt;=GRID_FROM)*('Dvd Calendar'!$R$656&lt;=GRID_TO)*('Dvd Calendar'!$R$656&gt;VAL_DATE)=0,"",'Dvd Calendar'!$R$656*1000000000+ISNUMBER('Dvd Calendar'!$R$657)*100000000+0*10000000+(N('Dvd Calendar'!$R$655)&gt;0)*(N('Dvd Calendar'!$R$655)&lt;=VAL_SERIAL)*1000000+59*1000+54))</f>
        <v/>
      </c>
      <c r="GG70" s="121">
        <f>IF(N('Dvd Calendar'!$S$656)=0,"",IF(('Dvd Calendar'!$S$656&gt;=GRID_FROM)*('Dvd Calendar'!$S$656&lt;=GRID_TO)*('Dvd Calendar'!$S$656&gt;VAL_DATE)=0,"",'Dvd Calendar'!$S$656*1000000000+ISNUMBER('Dvd Calendar'!$S$657)*100000000+0*10000000+(N('Dvd Calendar'!$S$655)&gt;0)*(N('Dvd Calendar'!$S$655)&lt;=VAL_SERIAL)*1000000+59*1000+55))</f>
        <v/>
      </c>
      <c r="GH70" s="121">
        <f>IF(N('Dvd Calendar'!$T$656)=0,"",IF(('Dvd Calendar'!$T$656&gt;=GRID_FROM)*('Dvd Calendar'!$T$656&lt;=GRID_TO)*('Dvd Calendar'!$T$656&gt;VAL_DATE)=0,"",'Dvd Calendar'!$T$656*1000000000+ISNUMBER('Dvd Calendar'!$T$657)*100000000+0*10000000+(N('Dvd Calendar'!$T$655)&gt;0)*(N('Dvd Calendar'!$T$655)&lt;=VAL_SERIAL)*1000000+59*1000+56))</f>
        <v/>
      </c>
      <c r="GI70" s="121">
        <f>IF(N('Dvd Calendar'!$U$656)=0,"",IF(('Dvd Calendar'!$U$656&gt;=GRID_FROM)*('Dvd Calendar'!$U$656&lt;=GRID_TO)*('Dvd Calendar'!$U$656&gt;VAL_DATE)=0,"",'Dvd Calendar'!$U$656*1000000000+ISNUMBER('Dvd Calendar'!$U$657)*100000000+0*10000000+(N('Dvd Calendar'!$U$655)&gt;0)*(N('Dvd Calendar'!$U$655)&lt;=VAL_SERIAL)*1000000+59*1000+57))</f>
        <v/>
      </c>
      <c r="GJ70" s="121">
        <f>IF(N('Dvd Calendar'!$V$656)=0,"",IF(('Dvd Calendar'!$V$656&gt;=GRID_FROM)*('Dvd Calendar'!$V$656&lt;=GRID_TO)*('Dvd Calendar'!$V$656&gt;VAL_DATE)=0,"",'Dvd Calendar'!$V$656*1000000000+ISNUMBER('Dvd Calendar'!$V$657)*100000000+0*10000000+(N('Dvd Calendar'!$V$655)&gt;0)*(N('Dvd Calendar'!$V$655)&lt;=VAL_SERIAL)*1000000+59*1000+58))</f>
        <v/>
      </c>
      <c r="GK70" s="121">
        <f>IF(N('Dvd Calendar'!$W$656)=0,"",IF(('Dvd Calendar'!$W$656&gt;=GRID_FROM)*('Dvd Calendar'!$W$656&lt;=GRID_TO)*('Dvd Calendar'!$W$656&gt;VAL_DATE)=0,"",'Dvd Calendar'!$W$656*1000000000+ISNUMBER('Dvd Calendar'!$W$657)*100000000+0*10000000+(N('Dvd Calendar'!$W$655)&gt;0)*(N('Dvd Calendar'!$W$655)&lt;=VAL_SERIAL)*1000000+59*1000+59))</f>
        <v/>
      </c>
      <c r="GL70" s="121">
        <f>IF(N('Dvd Calendar'!$X$656)=0,"",IF(('Dvd Calendar'!$X$656&gt;=GRID_FROM)*('Dvd Calendar'!$X$656&lt;=GRID_TO)*('Dvd Calendar'!$X$656&gt;VAL_DATE)=0,"",'Dvd Calendar'!$X$656*1000000000+ISNUMBER('Dvd Calendar'!$X$657)*100000000+0*10000000+(N('Dvd Calendar'!$X$655)&gt;0)*(N('Dvd Calendar'!$X$655)&lt;=VAL_SERIAL)*1000000+59*1000+60))</f>
        <v/>
      </c>
      <c r="GM70" s="121">
        <f>IF(N('Dvd Calendar'!$Y$656)=0,"",IF(('Dvd Calendar'!$Y$656&gt;=GRID_FROM)*('Dvd Calendar'!$Y$656&lt;=GRID_TO)*('Dvd Calendar'!$Y$656&gt;VAL_DATE)=0,"",'Dvd Calendar'!$Y$656*1000000000+ISNUMBER('Dvd Calendar'!$Y$657)*100000000+0*10000000+(N('Dvd Calendar'!$Y$655)&gt;0)*(N('Dvd Calendar'!$Y$655)&lt;=VAL_SERIAL)*1000000+59*1000+61))</f>
        <v/>
      </c>
      <c r="GN70" s="121">
        <f>IF(N('Dvd Calendar'!$Z$656)=0,"",IF(('Dvd Calendar'!$Z$656&gt;=GRID_FROM)*('Dvd Calendar'!$Z$656&lt;=GRID_TO)*('Dvd Calendar'!$Z$656&gt;VAL_DATE)=0,"",'Dvd Calendar'!$Z$656*1000000000+ISNUMBER('Dvd Calendar'!$Z$657)*100000000+0*10000000+(N('Dvd Calendar'!$Z$655)&gt;0)*(N('Dvd Calendar'!$Z$655)&lt;=VAL_SERIAL)*1000000+59*1000+62))</f>
        <v/>
      </c>
      <c r="GO70" s="121">
        <f>IF(N('Dvd Calendar'!$AA$656)=0,"",IF(('Dvd Calendar'!$AA$656&gt;=GRID_FROM)*('Dvd Calendar'!$AA$656&lt;=GRID_TO)*('Dvd Calendar'!$AA$656&gt;VAL_DATE)=0,"",'Dvd Calendar'!$AA$656*1000000000+ISNUMBER('Dvd Calendar'!$AA$657)*100000000+0*10000000+(N('Dvd Calendar'!$AA$655)&gt;0)*(N('Dvd Calendar'!$AA$655)&lt;=VAL_SERIAL)*1000000+59*1000+63))</f>
        <v/>
      </c>
      <c r="GP70" s="121">
        <f>IF(N('Dvd Calendar'!$AB$656)=0,"",IF(('Dvd Calendar'!$AB$656&gt;=GRID_FROM)*('Dvd Calendar'!$AB$656&lt;=GRID_TO)*('Dvd Calendar'!$AB$656&gt;VAL_DATE)=0,"",'Dvd Calendar'!$AB$656*1000000000+ISNUMBER('Dvd Calendar'!$AB$657)*100000000+0*10000000+(N('Dvd Calendar'!$AB$655)&gt;0)*(N('Dvd Calendar'!$AB$655)&lt;=VAL_SERIAL)*1000000+59*1000+64))</f>
        <v/>
      </c>
      <c r="GQ70" s="121">
        <f>IF(N('Dvd Calendar'!$AC$656)=0,"",IF(('Dvd Calendar'!$AC$656&gt;=GRID_FROM)*('Dvd Calendar'!$AC$656&lt;=GRID_TO)*('Dvd Calendar'!$AC$656&gt;VAL_DATE)=0,"",'Dvd Calendar'!$AC$656*1000000000+ISNUMBER('Dvd Calendar'!$AC$657)*100000000+0*10000000+(N('Dvd Calendar'!$AC$655)&gt;0)*(N('Dvd Calendar'!$AC$655)&lt;=VAL_SERIAL)*1000000+59*1000+65))</f>
        <v/>
      </c>
    </row>
    <row r="71">
      <c r="B71" s="2">
        <f>IF(HSI!$C$66="","",HSI!$C$66)</f>
        <v/>
      </c>
      <c r="C71" s="161">
        <f>IF(EE71="","",IF(ISNUMBER('Dvd Calendar'!$E$663)=FALSE,"",IF((('Dvd Calendar'!$E$665=TYPE1)*(TYPE1&lt;&gt;"")+('Dvd Calendar'!$E$665=TYPE2)*(TYPE2&lt;&gt;"")+('Dvd Calendar'!$E$665=TYPE3)*(TYPE3&lt;&gt;"")+('Dvd Calendar'!$E$665=TYPE4)*(TYPE4&lt;&gt;"")+('Dvd Calendar'!$E$665=SPECIAL_LBL)*(INC_SPECIALS="Y"))=0,"",'Dvd Calendar'!$E$663)))</f>
        <v/>
      </c>
      <c r="D71" s="161">
        <f>IF(EF71="","",IF(ISNUMBER('Dvd Calendar'!$F$663)=FALSE,"",IF((('Dvd Calendar'!$F$665=TYPE1)*(TYPE1&lt;&gt;"")+('Dvd Calendar'!$F$665=TYPE2)*(TYPE2&lt;&gt;"")+('Dvd Calendar'!$F$665=TYPE3)*(TYPE3&lt;&gt;"")+('Dvd Calendar'!$F$665=TYPE4)*(TYPE4&lt;&gt;"")+('Dvd Calendar'!$F$665=SPECIAL_LBL)*(INC_SPECIALS="Y"))=0,"",'Dvd Calendar'!$F$663)))</f>
        <v/>
      </c>
      <c r="E71" s="161">
        <f>IF(EG71="","",IF(ISNUMBER('Dvd Calendar'!$G$663)=FALSE,"",IF((('Dvd Calendar'!$G$665=TYPE1)*(TYPE1&lt;&gt;"")+('Dvd Calendar'!$G$665=TYPE2)*(TYPE2&lt;&gt;"")+('Dvd Calendar'!$G$665=TYPE3)*(TYPE3&lt;&gt;"")+('Dvd Calendar'!$G$665=TYPE4)*(TYPE4&lt;&gt;"")+('Dvd Calendar'!$G$665=SPECIAL_LBL)*(INC_SPECIALS="Y"))=0,"",'Dvd Calendar'!$G$663)))</f>
        <v/>
      </c>
      <c r="F71" s="161">
        <f>IF(EH71="","",IF(ISNUMBER('Dvd Calendar'!$H$663)=FALSE,"",IF((('Dvd Calendar'!$H$665=TYPE1)*(TYPE1&lt;&gt;"")+('Dvd Calendar'!$H$665=TYPE2)*(TYPE2&lt;&gt;"")+('Dvd Calendar'!$H$665=TYPE3)*(TYPE3&lt;&gt;"")+('Dvd Calendar'!$H$665=TYPE4)*(TYPE4&lt;&gt;"")+('Dvd Calendar'!$H$665=SPECIAL_LBL)*(INC_SPECIALS="Y"))=0,"",'Dvd Calendar'!$H$663)))</f>
        <v/>
      </c>
      <c r="G71" s="161">
        <f>IF(EI71="","",IF(ISNUMBER('Dvd Calendar'!$I$663)=FALSE,"",IF((('Dvd Calendar'!$I$665=TYPE1)*(TYPE1&lt;&gt;"")+('Dvd Calendar'!$I$665=TYPE2)*(TYPE2&lt;&gt;"")+('Dvd Calendar'!$I$665=TYPE3)*(TYPE3&lt;&gt;"")+('Dvd Calendar'!$I$665=TYPE4)*(TYPE4&lt;&gt;"")+('Dvd Calendar'!$I$665=SPECIAL_LBL)*(INC_SPECIALS="Y"))=0,"",'Dvd Calendar'!$I$663)))</f>
        <v/>
      </c>
      <c r="H71" s="161">
        <f>IF(EJ71="","",IF(ISNUMBER('Dvd Calendar'!$J$663)=FALSE,"",IF((('Dvd Calendar'!$J$665=TYPE1)*(TYPE1&lt;&gt;"")+('Dvd Calendar'!$J$665=TYPE2)*(TYPE2&lt;&gt;"")+('Dvd Calendar'!$J$665=TYPE3)*(TYPE3&lt;&gt;"")+('Dvd Calendar'!$J$665=TYPE4)*(TYPE4&lt;&gt;"")+('Dvd Calendar'!$J$665=SPECIAL_LBL)*(INC_SPECIALS="Y"))=0,"",'Dvd Calendar'!$J$663)))</f>
        <v/>
      </c>
      <c r="I71" s="161">
        <f>IF(EK71="","",IF(ISNUMBER('Dvd Calendar'!$K$663)=FALSE,"",IF((('Dvd Calendar'!$K$665=TYPE1)*(TYPE1&lt;&gt;"")+('Dvd Calendar'!$K$665=TYPE2)*(TYPE2&lt;&gt;"")+('Dvd Calendar'!$K$665=TYPE3)*(TYPE3&lt;&gt;"")+('Dvd Calendar'!$K$665=TYPE4)*(TYPE4&lt;&gt;"")+('Dvd Calendar'!$K$665=SPECIAL_LBL)*(INC_SPECIALS="Y"))=0,"",'Dvd Calendar'!$K$663)))</f>
        <v/>
      </c>
      <c r="J71" s="161">
        <f>IF(EL71="","",IF(ISNUMBER('Dvd Calendar'!$L$663)=FALSE,"",IF((('Dvd Calendar'!$L$665=TYPE1)*(TYPE1&lt;&gt;"")+('Dvd Calendar'!$L$665=TYPE2)*(TYPE2&lt;&gt;"")+('Dvd Calendar'!$L$665=TYPE3)*(TYPE3&lt;&gt;"")+('Dvd Calendar'!$L$665=TYPE4)*(TYPE4&lt;&gt;"")+('Dvd Calendar'!$L$665=SPECIAL_LBL)*(INC_SPECIALS="Y"))=0,"",'Dvd Calendar'!$L$663)))</f>
        <v/>
      </c>
      <c r="K71" s="161">
        <f>IF(EM71="","",IF(ISNUMBER('Dvd Calendar'!$M$663)=FALSE,"",IF((('Dvd Calendar'!$M$665=TYPE1)*(TYPE1&lt;&gt;"")+('Dvd Calendar'!$M$665=TYPE2)*(TYPE2&lt;&gt;"")+('Dvd Calendar'!$M$665=TYPE3)*(TYPE3&lt;&gt;"")+('Dvd Calendar'!$M$665=TYPE4)*(TYPE4&lt;&gt;"")+('Dvd Calendar'!$M$665=SPECIAL_LBL)*(INC_SPECIALS="Y"))=0,"",'Dvd Calendar'!$M$663)))</f>
        <v/>
      </c>
      <c r="L71" s="161">
        <f>IF(EN71="","",IF(ISNUMBER('Dvd Calendar'!$N$663)=FALSE,"",IF((('Dvd Calendar'!$N$665=TYPE1)*(TYPE1&lt;&gt;"")+('Dvd Calendar'!$N$665=TYPE2)*(TYPE2&lt;&gt;"")+('Dvd Calendar'!$N$665=TYPE3)*(TYPE3&lt;&gt;"")+('Dvd Calendar'!$N$665=TYPE4)*(TYPE4&lt;&gt;"")+('Dvd Calendar'!$N$665=SPECIAL_LBL)*(INC_SPECIALS="Y"))=0,"",'Dvd Calendar'!$N$663)))</f>
        <v/>
      </c>
      <c r="M71" s="161">
        <f>IF(EO71="","",IF(ISNUMBER('Dvd Calendar'!$O$663)=FALSE,"",IF((('Dvd Calendar'!$O$665=TYPE1)*(TYPE1&lt;&gt;"")+('Dvd Calendar'!$O$665=TYPE2)*(TYPE2&lt;&gt;"")+('Dvd Calendar'!$O$665=TYPE3)*(TYPE3&lt;&gt;"")+('Dvd Calendar'!$O$665=TYPE4)*(TYPE4&lt;&gt;"")+('Dvd Calendar'!$O$665=SPECIAL_LBL)*(INC_SPECIALS="Y"))=0,"",'Dvd Calendar'!$O$663)))</f>
        <v/>
      </c>
      <c r="N71" s="161">
        <f>IF(EP71="","",IF(ISNUMBER('Dvd Calendar'!$P$663)=FALSE,"",IF((('Dvd Calendar'!$P$665=TYPE1)*(TYPE1&lt;&gt;"")+('Dvd Calendar'!$P$665=TYPE2)*(TYPE2&lt;&gt;"")+('Dvd Calendar'!$P$665=TYPE3)*(TYPE3&lt;&gt;"")+('Dvd Calendar'!$P$665=TYPE4)*(TYPE4&lt;&gt;"")+('Dvd Calendar'!$P$665=SPECIAL_LBL)*(INC_SPECIALS="Y"))=0,"",'Dvd Calendar'!$P$663)))</f>
        <v/>
      </c>
      <c r="O71" s="161">
        <f>IF(EQ71="","",IF(ISNUMBER('Dvd Calendar'!$Q$663)=FALSE,"",IF((('Dvd Calendar'!$Q$665=TYPE1)*(TYPE1&lt;&gt;"")+('Dvd Calendar'!$Q$665=TYPE2)*(TYPE2&lt;&gt;"")+('Dvd Calendar'!$Q$665=TYPE3)*(TYPE3&lt;&gt;"")+('Dvd Calendar'!$Q$665=TYPE4)*(TYPE4&lt;&gt;"")+('Dvd Calendar'!$Q$665=SPECIAL_LBL)*(INC_SPECIALS="Y"))=0,"",'Dvd Calendar'!$Q$663)))</f>
        <v/>
      </c>
      <c r="P71" s="161">
        <f>IF(ER71="","",IF(ISNUMBER('Dvd Calendar'!$R$663)=FALSE,"",IF((('Dvd Calendar'!$R$665=TYPE1)*(TYPE1&lt;&gt;"")+('Dvd Calendar'!$R$665=TYPE2)*(TYPE2&lt;&gt;"")+('Dvd Calendar'!$R$665=TYPE3)*(TYPE3&lt;&gt;"")+('Dvd Calendar'!$R$665=TYPE4)*(TYPE4&lt;&gt;"")+('Dvd Calendar'!$R$665=SPECIAL_LBL)*(INC_SPECIALS="Y"))=0,"",'Dvd Calendar'!$R$663)))</f>
        <v/>
      </c>
      <c r="Q71" s="161">
        <f>IF(ES71="","",IF(ISNUMBER('Dvd Calendar'!$S$663)=FALSE,"",IF((('Dvd Calendar'!$S$665=TYPE1)*(TYPE1&lt;&gt;"")+('Dvd Calendar'!$S$665=TYPE2)*(TYPE2&lt;&gt;"")+('Dvd Calendar'!$S$665=TYPE3)*(TYPE3&lt;&gt;"")+('Dvd Calendar'!$S$665=TYPE4)*(TYPE4&lt;&gt;"")+('Dvd Calendar'!$S$665=SPECIAL_LBL)*(INC_SPECIALS="Y"))=0,"",'Dvd Calendar'!$S$663)))</f>
        <v/>
      </c>
      <c r="R71" s="161">
        <f>IF(ET71="","",IF(ISNUMBER('Dvd Calendar'!$T$663)=FALSE,"",IF((('Dvd Calendar'!$T$665=TYPE1)*(TYPE1&lt;&gt;"")+('Dvd Calendar'!$T$665=TYPE2)*(TYPE2&lt;&gt;"")+('Dvd Calendar'!$T$665=TYPE3)*(TYPE3&lt;&gt;"")+('Dvd Calendar'!$T$665=TYPE4)*(TYPE4&lt;&gt;"")+('Dvd Calendar'!$T$665=SPECIAL_LBL)*(INC_SPECIALS="Y"))=0,"",'Dvd Calendar'!$T$663)))</f>
        <v/>
      </c>
      <c r="S71" s="161">
        <f>IF(EU71="","",IF(ISNUMBER('Dvd Calendar'!$U$663)=FALSE,"",IF((('Dvd Calendar'!$U$665=TYPE1)*(TYPE1&lt;&gt;"")+('Dvd Calendar'!$U$665=TYPE2)*(TYPE2&lt;&gt;"")+('Dvd Calendar'!$U$665=TYPE3)*(TYPE3&lt;&gt;"")+('Dvd Calendar'!$U$665=TYPE4)*(TYPE4&lt;&gt;"")+('Dvd Calendar'!$U$665=SPECIAL_LBL)*(INC_SPECIALS="Y"))=0,"",'Dvd Calendar'!$U$663)))</f>
        <v/>
      </c>
      <c r="T71" s="161">
        <f>IF(EV71="","",IF(ISNUMBER('Dvd Calendar'!$V$663)=FALSE,"",IF((('Dvd Calendar'!$V$665=TYPE1)*(TYPE1&lt;&gt;"")+('Dvd Calendar'!$V$665=TYPE2)*(TYPE2&lt;&gt;"")+('Dvd Calendar'!$V$665=TYPE3)*(TYPE3&lt;&gt;"")+('Dvd Calendar'!$V$665=TYPE4)*(TYPE4&lt;&gt;"")+('Dvd Calendar'!$V$665=SPECIAL_LBL)*(INC_SPECIALS="Y"))=0,"",'Dvd Calendar'!$V$663)))</f>
        <v/>
      </c>
      <c r="U71" s="161">
        <f>IF(EW71="","",IF(ISNUMBER('Dvd Calendar'!$W$663)=FALSE,"",IF((('Dvd Calendar'!$W$665=TYPE1)*(TYPE1&lt;&gt;"")+('Dvd Calendar'!$W$665=TYPE2)*(TYPE2&lt;&gt;"")+('Dvd Calendar'!$W$665=TYPE3)*(TYPE3&lt;&gt;"")+('Dvd Calendar'!$W$665=TYPE4)*(TYPE4&lt;&gt;"")+('Dvd Calendar'!$W$665=SPECIAL_LBL)*(INC_SPECIALS="Y"))=0,"",'Dvd Calendar'!$W$663)))</f>
        <v/>
      </c>
      <c r="V71" s="161">
        <f>IF(EX71="","",IF(ISNUMBER('Dvd Calendar'!$X$663)=FALSE,"",IF((('Dvd Calendar'!$X$665=TYPE1)*(TYPE1&lt;&gt;"")+('Dvd Calendar'!$X$665=TYPE2)*(TYPE2&lt;&gt;"")+('Dvd Calendar'!$X$665=TYPE3)*(TYPE3&lt;&gt;"")+('Dvd Calendar'!$X$665=TYPE4)*(TYPE4&lt;&gt;"")+('Dvd Calendar'!$X$665=SPECIAL_LBL)*(INC_SPECIALS="Y"))=0,"",'Dvd Calendar'!$X$663)))</f>
        <v/>
      </c>
      <c r="W71" s="161">
        <f>IF(EY71="","",IF(ISNUMBER('Dvd Calendar'!$Y$663)=FALSE,"",IF((('Dvd Calendar'!$Y$665=TYPE1)*(TYPE1&lt;&gt;"")+('Dvd Calendar'!$Y$665=TYPE2)*(TYPE2&lt;&gt;"")+('Dvd Calendar'!$Y$665=TYPE3)*(TYPE3&lt;&gt;"")+('Dvd Calendar'!$Y$665=TYPE4)*(TYPE4&lt;&gt;"")+('Dvd Calendar'!$Y$665=SPECIAL_LBL)*(INC_SPECIALS="Y"))=0,"",'Dvd Calendar'!$Y$663)))</f>
        <v/>
      </c>
      <c r="X71" s="161">
        <f>IF(EZ71="","",IF(ISNUMBER('Dvd Calendar'!$Z$663)=FALSE,"",IF((('Dvd Calendar'!$Z$665=TYPE1)*(TYPE1&lt;&gt;"")+('Dvd Calendar'!$Z$665=TYPE2)*(TYPE2&lt;&gt;"")+('Dvd Calendar'!$Z$665=TYPE3)*(TYPE3&lt;&gt;"")+('Dvd Calendar'!$Z$665=TYPE4)*(TYPE4&lt;&gt;"")+('Dvd Calendar'!$Z$665=SPECIAL_LBL)*(INC_SPECIALS="Y"))=0,"",'Dvd Calendar'!$Z$663)))</f>
        <v/>
      </c>
      <c r="Y71" s="161">
        <f>IF(FA71="","",IF(ISNUMBER('Dvd Calendar'!$AA$663)=FALSE,"",IF((('Dvd Calendar'!$AA$665=TYPE1)*(TYPE1&lt;&gt;"")+('Dvd Calendar'!$AA$665=TYPE2)*(TYPE2&lt;&gt;"")+('Dvd Calendar'!$AA$665=TYPE3)*(TYPE3&lt;&gt;"")+('Dvd Calendar'!$AA$665=TYPE4)*(TYPE4&lt;&gt;"")+('Dvd Calendar'!$AA$665=SPECIAL_LBL)*(INC_SPECIALS="Y"))=0,"",'Dvd Calendar'!$AA$663)))</f>
        <v/>
      </c>
      <c r="Z71" s="161">
        <f>IF(FB71="","",IF(ISNUMBER('Dvd Calendar'!$AB$663)=FALSE,"",IF((('Dvd Calendar'!$AB$665=TYPE1)*(TYPE1&lt;&gt;"")+('Dvd Calendar'!$AB$665=TYPE2)*(TYPE2&lt;&gt;"")+('Dvd Calendar'!$AB$665=TYPE3)*(TYPE3&lt;&gt;"")+('Dvd Calendar'!$AB$665=TYPE4)*(TYPE4&lt;&gt;"")+('Dvd Calendar'!$AB$665=SPECIAL_LBL)*(INC_SPECIALS="Y"))=0,"",'Dvd Calendar'!$AB$663)))</f>
        <v/>
      </c>
      <c r="AA71" s="161">
        <f>IF(FC71="","",IF(ISNUMBER('Dvd Calendar'!$AC$663)=FALSE,"",IF((('Dvd Calendar'!$AC$665=TYPE1)*(TYPE1&lt;&gt;"")+('Dvd Calendar'!$AC$665=TYPE2)*(TYPE2&lt;&gt;"")+('Dvd Calendar'!$AC$665=TYPE3)*(TYPE3&lt;&gt;"")+('Dvd Calendar'!$AC$665=TYPE4)*(TYPE4&lt;&gt;"")+('Dvd Calendar'!$AC$665=SPECIAL_LBL)*(INC_SPECIALS="Y"))=0,"",'Dvd Calendar'!$AC$663)))</f>
        <v/>
      </c>
      <c r="AB71" s="161">
        <f>IF(FD71="","",IF(ISNUMBER('Dvd Calendar'!$AD$663)=FALSE,"",IF((('Dvd Calendar'!$AD$665=TYPE1)*(TYPE1&lt;&gt;"")+('Dvd Calendar'!$AD$665=TYPE2)*(TYPE2&lt;&gt;"")+('Dvd Calendar'!$AD$665=TYPE3)*(TYPE3&lt;&gt;"")+('Dvd Calendar'!$AD$665=TYPE4)*(TYPE4&lt;&gt;"")+('Dvd Calendar'!$AD$665=SPECIAL_LBL)*(INC_SPECIALS="Y"))=0,"",'Dvd Calendar'!$AD$663)))</f>
        <v/>
      </c>
      <c r="AC71" s="161">
        <f>IF(FE71="","",IF(ISNUMBER('Dvd Calendar'!$AE$663)=FALSE,"",IF((('Dvd Calendar'!$AE$665=TYPE1)*(TYPE1&lt;&gt;"")+('Dvd Calendar'!$AE$665=TYPE2)*(TYPE2&lt;&gt;"")+('Dvd Calendar'!$AE$665=TYPE3)*(TYPE3&lt;&gt;"")+('Dvd Calendar'!$AE$665=TYPE4)*(TYPE4&lt;&gt;"")+('Dvd Calendar'!$AE$665=SPECIAL_LBL)*(INC_SPECIALS="Y"))=0,"",'Dvd Calendar'!$AE$663)))</f>
        <v/>
      </c>
      <c r="AD71" s="161">
        <f>IF(FF71="","",IF(ISNUMBER('Dvd Calendar'!$AF$663)=FALSE,"",IF((('Dvd Calendar'!$AF$665=TYPE1)*(TYPE1&lt;&gt;"")+('Dvd Calendar'!$AF$665=TYPE2)*(TYPE2&lt;&gt;"")+('Dvd Calendar'!$AF$665=TYPE3)*(TYPE3&lt;&gt;"")+('Dvd Calendar'!$AF$665=TYPE4)*(TYPE4&lt;&gt;"")+('Dvd Calendar'!$AF$665=SPECIAL_LBL)*(INC_SPECIALS="Y"))=0,"",'Dvd Calendar'!$AF$663)))</f>
        <v/>
      </c>
      <c r="AE71" s="161">
        <f>IF(FG71="","",IF(ISNUMBER('Dvd Calendar'!$AG$663)=FALSE,"",IF((('Dvd Calendar'!$AG$665=TYPE1)*(TYPE1&lt;&gt;"")+('Dvd Calendar'!$AG$665=TYPE2)*(TYPE2&lt;&gt;"")+('Dvd Calendar'!$AG$665=TYPE3)*(TYPE3&lt;&gt;"")+('Dvd Calendar'!$AG$665=TYPE4)*(TYPE4&lt;&gt;"")+('Dvd Calendar'!$AG$665=SPECIAL_LBL)*(INC_SPECIALS="Y"))=0,"",'Dvd Calendar'!$AG$663)))</f>
        <v/>
      </c>
      <c r="AF71" s="161">
        <f>IF(FH71="","",IF(ISNUMBER('Dvd Calendar'!$AH$663)=FALSE,"",IF((('Dvd Calendar'!$AH$665=TYPE1)*(TYPE1&lt;&gt;"")+('Dvd Calendar'!$AH$665=TYPE2)*(TYPE2&lt;&gt;"")+('Dvd Calendar'!$AH$665=TYPE3)*(TYPE3&lt;&gt;"")+('Dvd Calendar'!$AH$665=TYPE4)*(TYPE4&lt;&gt;"")+('Dvd Calendar'!$AH$665=SPECIAL_LBL)*(INC_SPECIALS="Y"))=0,"",'Dvd Calendar'!$AH$663)))</f>
        <v/>
      </c>
      <c r="AG71" s="161">
        <f>IF(FI71="","",IF(ISNUMBER('Dvd Calendar'!$AI$663)=FALSE,"",IF((('Dvd Calendar'!$AI$665=TYPE1)*(TYPE1&lt;&gt;"")+('Dvd Calendar'!$AI$665=TYPE2)*(TYPE2&lt;&gt;"")+('Dvd Calendar'!$AI$665=TYPE3)*(TYPE3&lt;&gt;"")+('Dvd Calendar'!$AI$665=TYPE4)*(TYPE4&lt;&gt;"")+('Dvd Calendar'!$AI$665=SPECIAL_LBL)*(INC_SPECIALS="Y"))=0,"",'Dvd Calendar'!$AI$663)))</f>
        <v/>
      </c>
      <c r="AH71" s="161">
        <f>IF(FJ71="","",IF(ISNUMBER('Dvd Calendar'!$AJ$663)=FALSE,"",IF((('Dvd Calendar'!$AJ$665=TYPE1)*(TYPE1&lt;&gt;"")+('Dvd Calendar'!$AJ$665=TYPE2)*(TYPE2&lt;&gt;"")+('Dvd Calendar'!$AJ$665=TYPE3)*(TYPE3&lt;&gt;"")+('Dvd Calendar'!$AJ$665=TYPE4)*(TYPE4&lt;&gt;"")+('Dvd Calendar'!$AJ$665=SPECIAL_LBL)*(INC_SPECIALS="Y"))=0,"",'Dvd Calendar'!$AJ$663)))</f>
        <v/>
      </c>
      <c r="AI71" s="161">
        <f>IF(FK71="","",IF(ISNUMBER('Dvd Calendar'!$AK$663)=FALSE,"",IF((('Dvd Calendar'!$AK$665=TYPE1)*(TYPE1&lt;&gt;"")+('Dvd Calendar'!$AK$665=TYPE2)*(TYPE2&lt;&gt;"")+('Dvd Calendar'!$AK$665=TYPE3)*(TYPE3&lt;&gt;"")+('Dvd Calendar'!$AK$665=TYPE4)*(TYPE4&lt;&gt;"")+('Dvd Calendar'!$AK$665=SPECIAL_LBL)*(INC_SPECIALS="Y"))=0,"",'Dvd Calendar'!$AK$663)))</f>
        <v/>
      </c>
      <c r="AJ71" s="161">
        <f>IF(FL71="","",IF(ISNUMBER('Dvd Calendar'!$AL$663)=FALSE,"",IF((('Dvd Calendar'!$AL$665=TYPE1)*(TYPE1&lt;&gt;"")+('Dvd Calendar'!$AL$665=TYPE2)*(TYPE2&lt;&gt;"")+('Dvd Calendar'!$AL$665=TYPE3)*(TYPE3&lt;&gt;"")+('Dvd Calendar'!$AL$665=TYPE4)*(TYPE4&lt;&gt;"")+('Dvd Calendar'!$AL$665=SPECIAL_LBL)*(INC_SPECIALS="Y"))=0,"",'Dvd Calendar'!$AL$663)))</f>
        <v/>
      </c>
      <c r="AK71" s="161">
        <f>IF(FM71="","",IF(ISNUMBER('Dvd Calendar'!$AM$663)=FALSE,"",IF((('Dvd Calendar'!$AM$665=TYPE1)*(TYPE1&lt;&gt;"")+('Dvd Calendar'!$AM$665=TYPE2)*(TYPE2&lt;&gt;"")+('Dvd Calendar'!$AM$665=TYPE3)*(TYPE3&lt;&gt;"")+('Dvd Calendar'!$AM$665=TYPE4)*(TYPE4&lt;&gt;"")+('Dvd Calendar'!$AM$665=SPECIAL_LBL)*(INC_SPECIALS="Y"))=0,"",'Dvd Calendar'!$AM$663)))</f>
        <v/>
      </c>
      <c r="AL71" s="161">
        <f>IF(FN71="","",IF(ISNUMBER('Dvd Calendar'!$AN$663)=FALSE,"",IF((('Dvd Calendar'!$AN$665=TYPE1)*(TYPE1&lt;&gt;"")+('Dvd Calendar'!$AN$665=TYPE2)*(TYPE2&lt;&gt;"")+('Dvd Calendar'!$AN$665=TYPE3)*(TYPE3&lt;&gt;"")+('Dvd Calendar'!$AN$665=TYPE4)*(TYPE4&lt;&gt;"")+('Dvd Calendar'!$AN$665=SPECIAL_LBL)*(INC_SPECIALS="Y"))=0,"",'Dvd Calendar'!$AN$663)))</f>
        <v/>
      </c>
      <c r="AM71" s="161">
        <f>IF(FO71="","",IF(ISNUMBER('Dvd Calendar'!$AO$663)=FALSE,"",IF((('Dvd Calendar'!$AO$665=TYPE1)*(TYPE1&lt;&gt;"")+('Dvd Calendar'!$AO$665=TYPE2)*(TYPE2&lt;&gt;"")+('Dvd Calendar'!$AO$665=TYPE3)*(TYPE3&lt;&gt;"")+('Dvd Calendar'!$AO$665=TYPE4)*(TYPE4&lt;&gt;"")+('Dvd Calendar'!$AO$665=SPECIAL_LBL)*(INC_SPECIALS="Y"))=0,"",'Dvd Calendar'!$AO$663)))</f>
        <v/>
      </c>
      <c r="AN71" s="161">
        <f>IF(FP71="","",IF(ISNUMBER('Dvd Calendar'!$AP$663)=FALSE,"",IF((('Dvd Calendar'!$AP$665=TYPE1)*(TYPE1&lt;&gt;"")+('Dvd Calendar'!$AP$665=TYPE2)*(TYPE2&lt;&gt;"")+('Dvd Calendar'!$AP$665=TYPE3)*(TYPE3&lt;&gt;"")+('Dvd Calendar'!$AP$665=TYPE4)*(TYPE4&lt;&gt;"")+('Dvd Calendar'!$AP$665=SPECIAL_LBL)*(INC_SPECIALS="Y"))=0,"",'Dvd Calendar'!$AP$663)))</f>
        <v/>
      </c>
      <c r="AO71" s="161">
        <f>IF(FQ71="","",IF(ISNUMBER('Dvd Calendar'!$AQ$663)=FALSE,"",IF((('Dvd Calendar'!$AQ$665=TYPE1)*(TYPE1&lt;&gt;"")+('Dvd Calendar'!$AQ$665=TYPE2)*(TYPE2&lt;&gt;"")+('Dvd Calendar'!$AQ$665=TYPE3)*(TYPE3&lt;&gt;"")+('Dvd Calendar'!$AQ$665=TYPE4)*(TYPE4&lt;&gt;"")+('Dvd Calendar'!$AQ$665=SPECIAL_LBL)*(INC_SPECIALS="Y"))=0,"",'Dvd Calendar'!$AQ$663)))</f>
        <v/>
      </c>
      <c r="AP71" s="161">
        <f>IF(FR71="","",IF(ISNUMBER('Dvd Calendar'!$AR$663)=FALSE,"",IF((('Dvd Calendar'!$AR$665=TYPE1)*(TYPE1&lt;&gt;"")+('Dvd Calendar'!$AR$665=TYPE2)*(TYPE2&lt;&gt;"")+('Dvd Calendar'!$AR$665=TYPE3)*(TYPE3&lt;&gt;"")+('Dvd Calendar'!$AR$665=TYPE4)*(TYPE4&lt;&gt;"")+('Dvd Calendar'!$AR$665=SPECIAL_LBL)*(INC_SPECIALS="Y"))=0,"",'Dvd Calendar'!$AR$663)))</f>
        <v/>
      </c>
      <c r="AQ71" s="161">
        <f>IF(FS71="","",IF(ISNUMBER('Dvd Calendar'!$E$668)=FALSE,"",'Dvd Calendar'!$E$668))</f>
        <v/>
      </c>
      <c r="AR71" s="161">
        <f>IF(FT71="","",IF(ISNUMBER('Dvd Calendar'!$F$668)=FALSE,"",'Dvd Calendar'!$F$668))</f>
        <v/>
      </c>
      <c r="AS71" s="161">
        <f>IF(FU71="","",IF(ISNUMBER('Dvd Calendar'!$G$668)=FALSE,"",'Dvd Calendar'!$G$668))</f>
        <v/>
      </c>
      <c r="AT71" s="161">
        <f>IF(FV71="","",IF(ISNUMBER('Dvd Calendar'!$H$668)=FALSE,"",'Dvd Calendar'!$H$668))</f>
        <v/>
      </c>
      <c r="AU71" s="161">
        <f>IF(FW71="","",IF(ISNUMBER('Dvd Calendar'!$I$668)=FALSE,"",'Dvd Calendar'!$I$668))</f>
        <v/>
      </c>
      <c r="AV71" s="161">
        <f>IF(FX71="","",IF(ISNUMBER('Dvd Calendar'!$J$668)=FALSE,"",'Dvd Calendar'!$J$668))</f>
        <v/>
      </c>
      <c r="AW71" s="161">
        <f>IF(FY71="","",IF(ISNUMBER('Dvd Calendar'!$K$668)=FALSE,"",'Dvd Calendar'!$K$668))</f>
        <v/>
      </c>
      <c r="AX71" s="161">
        <f>IF(FZ71="","",IF(ISNUMBER('Dvd Calendar'!$L$668)=FALSE,"",'Dvd Calendar'!$L$668))</f>
        <v/>
      </c>
      <c r="AY71" s="161">
        <f>IF(GA71="","",IF(ISNUMBER('Dvd Calendar'!$M$668)=FALSE,"",'Dvd Calendar'!$M$668))</f>
        <v/>
      </c>
      <c r="AZ71" s="161">
        <f>IF(GB71="","",IF(ISNUMBER('Dvd Calendar'!$N$668)=FALSE,"",'Dvd Calendar'!$N$668))</f>
        <v/>
      </c>
      <c r="BA71" s="161">
        <f>IF(GC71="","",IF(ISNUMBER('Dvd Calendar'!$O$668)=FALSE,"",'Dvd Calendar'!$O$668))</f>
        <v/>
      </c>
      <c r="BB71" s="161">
        <f>IF(GD71="","",IF(ISNUMBER('Dvd Calendar'!$P$668)=FALSE,"",'Dvd Calendar'!$P$668))</f>
        <v/>
      </c>
      <c r="BC71" s="161">
        <f>IF(GE71="","",IF(ISNUMBER('Dvd Calendar'!$Q$668)=FALSE,"",'Dvd Calendar'!$Q$668))</f>
        <v/>
      </c>
      <c r="BD71" s="161">
        <f>IF(GF71="","",IF(ISNUMBER('Dvd Calendar'!$R$668)=FALSE,"",'Dvd Calendar'!$R$668))</f>
        <v/>
      </c>
      <c r="BE71" s="161">
        <f>IF(GG71="","",IF(ISNUMBER('Dvd Calendar'!$S$668)=FALSE,"",'Dvd Calendar'!$S$668))</f>
        <v/>
      </c>
      <c r="BF71" s="161">
        <f>IF(GH71="","",IF(ISNUMBER('Dvd Calendar'!$T$668)=FALSE,"",'Dvd Calendar'!$T$668))</f>
        <v/>
      </c>
      <c r="BG71" s="161">
        <f>IF(GI71="","",IF(ISNUMBER('Dvd Calendar'!$U$668)=FALSE,"",'Dvd Calendar'!$U$668))</f>
        <v/>
      </c>
      <c r="BH71" s="161">
        <f>IF(GJ71="","",IF(ISNUMBER('Dvd Calendar'!$V$668)=FALSE,"",'Dvd Calendar'!$V$668))</f>
        <v/>
      </c>
      <c r="BI71" s="161">
        <f>IF(GK71="","",IF(ISNUMBER('Dvd Calendar'!$W$668)=FALSE,"",'Dvd Calendar'!$W$668))</f>
        <v/>
      </c>
      <c r="BJ71" s="161">
        <f>IF(GL71="","",IF(ISNUMBER('Dvd Calendar'!$X$668)=FALSE,"",'Dvd Calendar'!$X$668))</f>
        <v/>
      </c>
      <c r="BK71" s="161">
        <f>IF(GM71="","",IF(ISNUMBER('Dvd Calendar'!$Y$668)=FALSE,"",'Dvd Calendar'!$Y$668))</f>
        <v/>
      </c>
      <c r="BL71" s="161">
        <f>IF(GN71="","",IF(ISNUMBER('Dvd Calendar'!$Z$668)=FALSE,"",'Dvd Calendar'!$Z$668))</f>
        <v/>
      </c>
      <c r="BM71" s="161">
        <f>IF(GO71="","",IF(ISNUMBER('Dvd Calendar'!$AA$668)=FALSE,"",'Dvd Calendar'!$AA$668))</f>
        <v/>
      </c>
      <c r="BN71" s="161">
        <f>IF(GP71="","",IF(ISNUMBER('Dvd Calendar'!$AB$668)=FALSE,"",'Dvd Calendar'!$AB$668))</f>
        <v/>
      </c>
      <c r="BO71" s="161">
        <f>IF(GQ71="","",IF(ISNUMBER('Dvd Calendar'!$AC$668)=FALSE,"",'Dvd Calendar'!$AC$668))</f>
        <v/>
      </c>
      <c r="BQ71" s="161">
        <f>IF(C71="","",IFERROR(C71*HSI!$B$66*HSI!$G$66/HSI!$B$3,""))</f>
        <v/>
      </c>
      <c r="BR71" s="161">
        <f>IF(D71="","",IFERROR(D71*HSI!$B$66*HSI!$G$66/HSI!$B$3,""))</f>
        <v/>
      </c>
      <c r="BS71" s="161">
        <f>IF(E71="","",IFERROR(E71*HSI!$B$66*HSI!$G$66/HSI!$B$3,""))</f>
        <v/>
      </c>
      <c r="BT71" s="161">
        <f>IF(F71="","",IFERROR(F71*HSI!$B$66*HSI!$G$66/HSI!$B$3,""))</f>
        <v/>
      </c>
      <c r="BU71" s="161">
        <f>IF(G71="","",IFERROR(G71*HSI!$B$66*HSI!$G$66/HSI!$B$3,""))</f>
        <v/>
      </c>
      <c r="BV71" s="161">
        <f>IF(H71="","",IFERROR(H71*HSI!$B$66*HSI!$G$66/HSI!$B$3,""))</f>
        <v/>
      </c>
      <c r="BW71" s="161">
        <f>IF(I71="","",IFERROR(I71*HSI!$B$66*HSI!$G$66/HSI!$B$3,""))</f>
        <v/>
      </c>
      <c r="BX71" s="161">
        <f>IF(J71="","",IFERROR(J71*HSI!$B$66*HSI!$G$66/HSI!$B$3,""))</f>
        <v/>
      </c>
      <c r="BY71" s="161">
        <f>IF(K71="","",IFERROR(K71*HSI!$B$66*HSI!$G$66/HSI!$B$3,""))</f>
        <v/>
      </c>
      <c r="BZ71" s="161">
        <f>IF(L71="","",IFERROR(L71*HSI!$B$66*HSI!$G$66/HSI!$B$3,""))</f>
        <v/>
      </c>
      <c r="CA71" s="161">
        <f>IF(M71="","",IFERROR(M71*HSI!$B$66*HSI!$G$66/HSI!$B$3,""))</f>
        <v/>
      </c>
      <c r="CB71" s="161">
        <f>IF(N71="","",IFERROR(N71*HSI!$B$66*HSI!$G$66/HSI!$B$3,""))</f>
        <v/>
      </c>
      <c r="CC71" s="161">
        <f>IF(O71="","",IFERROR(O71*HSI!$B$66*HSI!$G$66/HSI!$B$3,""))</f>
        <v/>
      </c>
      <c r="CD71" s="161">
        <f>IF(P71="","",IFERROR(P71*HSI!$B$66*HSI!$G$66/HSI!$B$3,""))</f>
        <v/>
      </c>
      <c r="CE71" s="161">
        <f>IF(Q71="","",IFERROR(Q71*HSI!$B$66*HSI!$G$66/HSI!$B$3,""))</f>
        <v/>
      </c>
      <c r="CF71" s="161">
        <f>IF(R71="","",IFERROR(R71*HSI!$B$66*HSI!$G$66/HSI!$B$3,""))</f>
        <v/>
      </c>
      <c r="CG71" s="161">
        <f>IF(S71="","",IFERROR(S71*HSI!$B$66*HSI!$G$66/HSI!$B$3,""))</f>
        <v/>
      </c>
      <c r="CH71" s="161">
        <f>IF(T71="","",IFERROR(T71*HSI!$B$66*HSI!$G$66/HSI!$B$3,""))</f>
        <v/>
      </c>
      <c r="CI71" s="161">
        <f>IF(U71="","",IFERROR(U71*HSI!$B$66*HSI!$G$66/HSI!$B$3,""))</f>
        <v/>
      </c>
      <c r="CJ71" s="161">
        <f>IF(V71="","",IFERROR(V71*HSI!$B$66*HSI!$G$66/HSI!$B$3,""))</f>
        <v/>
      </c>
      <c r="CK71" s="161">
        <f>IF(W71="","",IFERROR(W71*HSI!$B$66*HSI!$G$66/HSI!$B$3,""))</f>
        <v/>
      </c>
      <c r="CL71" s="161">
        <f>IF(X71="","",IFERROR(X71*HSI!$B$66*HSI!$G$66/HSI!$B$3,""))</f>
        <v/>
      </c>
      <c r="CM71" s="161">
        <f>IF(Y71="","",IFERROR(Y71*HSI!$B$66*HSI!$G$66/HSI!$B$3,""))</f>
        <v/>
      </c>
      <c r="CN71" s="161">
        <f>IF(Z71="","",IFERROR(Z71*HSI!$B$66*HSI!$G$66/HSI!$B$3,""))</f>
        <v/>
      </c>
      <c r="CO71" s="161">
        <f>IF(AA71="","",IFERROR(AA71*HSI!$B$66*HSI!$G$66/HSI!$B$3,""))</f>
        <v/>
      </c>
      <c r="CP71" s="161">
        <f>IF(AB71="","",IFERROR(AB71*HSI!$B$66*HSI!$G$66/HSI!$B$3,""))</f>
        <v/>
      </c>
      <c r="CQ71" s="161">
        <f>IF(AC71="","",IFERROR(AC71*HSI!$B$66*HSI!$G$66/HSI!$B$3,""))</f>
        <v/>
      </c>
      <c r="CR71" s="161">
        <f>IF(AD71="","",IFERROR(AD71*HSI!$B$66*HSI!$G$66/HSI!$B$3,""))</f>
        <v/>
      </c>
      <c r="CS71" s="161">
        <f>IF(AE71="","",IFERROR(AE71*HSI!$B$66*HSI!$G$66/HSI!$B$3,""))</f>
        <v/>
      </c>
      <c r="CT71" s="161">
        <f>IF(AF71="","",IFERROR(AF71*HSI!$B$66*HSI!$G$66/HSI!$B$3,""))</f>
        <v/>
      </c>
      <c r="CU71" s="161">
        <f>IF(AG71="","",IFERROR(AG71*HSI!$B$66*HSI!$G$66/HSI!$B$3,""))</f>
        <v/>
      </c>
      <c r="CV71" s="161">
        <f>IF(AH71="","",IFERROR(AH71*HSI!$B$66*HSI!$G$66/HSI!$B$3,""))</f>
        <v/>
      </c>
      <c r="CW71" s="161">
        <f>IF(AI71="","",IFERROR(AI71*HSI!$B$66*HSI!$G$66/HSI!$B$3,""))</f>
        <v/>
      </c>
      <c r="CX71" s="161">
        <f>IF(AJ71="","",IFERROR(AJ71*HSI!$B$66*HSI!$G$66/HSI!$B$3,""))</f>
        <v/>
      </c>
      <c r="CY71" s="161">
        <f>IF(AK71="","",IFERROR(AK71*HSI!$B$66*HSI!$G$66/HSI!$B$3,""))</f>
        <v/>
      </c>
      <c r="CZ71" s="161">
        <f>IF(AL71="","",IFERROR(AL71*HSI!$B$66*HSI!$G$66/HSI!$B$3,""))</f>
        <v/>
      </c>
      <c r="DA71" s="161">
        <f>IF(AM71="","",IFERROR(AM71*HSI!$B$66*HSI!$G$66/HSI!$B$3,""))</f>
        <v/>
      </c>
      <c r="DB71" s="161">
        <f>IF(AN71="","",IFERROR(AN71*HSI!$B$66*HSI!$G$66/HSI!$B$3,""))</f>
        <v/>
      </c>
      <c r="DC71" s="161">
        <f>IF(AO71="","",IFERROR(AO71*HSI!$B$66*HSI!$G$66/HSI!$B$3,""))</f>
        <v/>
      </c>
      <c r="DD71" s="161">
        <f>IF(AP71="","",IFERROR(AP71*HSI!$B$66*HSI!$G$66/HSI!$B$3,""))</f>
        <v/>
      </c>
      <c r="DE71" s="161">
        <f>IF(AQ71="","",IFERROR(AQ71*HSI!$B$66*HSI!$G$66/HSI!$B$3,""))</f>
        <v/>
      </c>
      <c r="DF71" s="161">
        <f>IF(AR71="","",IFERROR(AR71*HSI!$B$66*HSI!$G$66/HSI!$B$3,""))</f>
        <v/>
      </c>
      <c r="DG71" s="161">
        <f>IF(AS71="","",IFERROR(AS71*HSI!$B$66*HSI!$G$66/HSI!$B$3,""))</f>
        <v/>
      </c>
      <c r="DH71" s="161">
        <f>IF(AT71="","",IFERROR(AT71*HSI!$B$66*HSI!$G$66/HSI!$B$3,""))</f>
        <v/>
      </c>
      <c r="DI71" s="161">
        <f>IF(AU71="","",IFERROR(AU71*HSI!$B$66*HSI!$G$66/HSI!$B$3,""))</f>
        <v/>
      </c>
      <c r="DJ71" s="161">
        <f>IF(AV71="","",IFERROR(AV71*HSI!$B$66*HSI!$G$66/HSI!$B$3,""))</f>
        <v/>
      </c>
      <c r="DK71" s="161">
        <f>IF(AW71="","",IFERROR(AW71*HSI!$B$66*HSI!$G$66/HSI!$B$3,""))</f>
        <v/>
      </c>
      <c r="DL71" s="161">
        <f>IF(AX71="","",IFERROR(AX71*HSI!$B$66*HSI!$G$66/HSI!$B$3,""))</f>
        <v/>
      </c>
      <c r="DM71" s="161">
        <f>IF(AY71="","",IFERROR(AY71*HSI!$B$66*HSI!$G$66/HSI!$B$3,""))</f>
        <v/>
      </c>
      <c r="DN71" s="161">
        <f>IF(AZ71="","",IFERROR(AZ71*HSI!$B$66*HSI!$G$66/HSI!$B$3,""))</f>
        <v/>
      </c>
      <c r="DO71" s="161">
        <f>IF(BA71="","",IFERROR(BA71*HSI!$B$66*HSI!$G$66/HSI!$B$3,""))</f>
        <v/>
      </c>
      <c r="DP71" s="161">
        <f>IF(BB71="","",IFERROR(BB71*HSI!$B$66*HSI!$G$66/HSI!$B$3,""))</f>
        <v/>
      </c>
      <c r="DQ71" s="161">
        <f>IF(BC71="","",IFERROR(BC71*HSI!$B$66*HSI!$G$66/HSI!$B$3,""))</f>
        <v/>
      </c>
      <c r="DR71" s="161">
        <f>IF(BD71="","",IFERROR(BD71*HSI!$B$66*HSI!$G$66/HSI!$B$3,""))</f>
        <v/>
      </c>
      <c r="DS71" s="161">
        <f>IF(BE71="","",IFERROR(BE71*HSI!$B$66*HSI!$G$66/HSI!$B$3,""))</f>
        <v/>
      </c>
      <c r="DT71" s="161">
        <f>IF(BF71="","",IFERROR(BF71*HSI!$B$66*HSI!$G$66/HSI!$B$3,""))</f>
        <v/>
      </c>
      <c r="DU71" s="161">
        <f>IF(BG71="","",IFERROR(BG71*HSI!$B$66*HSI!$G$66/HSI!$B$3,""))</f>
        <v/>
      </c>
      <c r="DV71" s="161">
        <f>IF(BH71="","",IFERROR(BH71*HSI!$B$66*HSI!$G$66/HSI!$B$3,""))</f>
        <v/>
      </c>
      <c r="DW71" s="161">
        <f>IF(BI71="","",IFERROR(BI71*HSI!$B$66*HSI!$G$66/HSI!$B$3,""))</f>
        <v/>
      </c>
      <c r="DX71" s="161">
        <f>IF(BJ71="","",IFERROR(BJ71*HSI!$B$66*HSI!$G$66/HSI!$B$3,""))</f>
        <v/>
      </c>
      <c r="DY71" s="161">
        <f>IF(BK71="","",IFERROR(BK71*HSI!$B$66*HSI!$G$66/HSI!$B$3,""))</f>
        <v/>
      </c>
      <c r="DZ71" s="161">
        <f>IF(BL71="","",IFERROR(BL71*HSI!$B$66*HSI!$G$66/HSI!$B$3,""))</f>
        <v/>
      </c>
      <c r="EA71" s="161">
        <f>IF(BM71="","",IFERROR(BM71*HSI!$B$66*HSI!$G$66/HSI!$B$3,""))</f>
        <v/>
      </c>
      <c r="EB71" s="161">
        <f>IF(BN71="","",IFERROR(BN71*HSI!$B$66*HSI!$G$66/HSI!$B$3,""))</f>
        <v/>
      </c>
      <c r="EC71" s="161">
        <f>IF(BO71="","",IFERROR(BO71*HSI!$B$66*HSI!$G$66/HSI!$B$3,""))</f>
        <v/>
      </c>
      <c r="EE71" s="121">
        <f>IF(N('Dvd Calendar'!$E$660)=0,"",IF(('Dvd Calendar'!$E$660&gt;=GRID_FROM)*('Dvd Calendar'!$E$660&lt;=GRID_TO)*((('Dvd Calendar'!$E$660&lt;=VAL_DATE)+(COUNTIF('Dvd Calendar'!$E$667:$AR$667,'Dvd Calendar'!$E$660)=0))&gt;0)=0,"",'Dvd Calendar'!$E$660*1000000000+ISNUMBER('Dvd Calendar'!$E$663)*100000000+('Dvd Calendar'!$E$665=SPECIAL_LBL)*10000000+(N('Dvd Calendar'!$E$659)&gt;0)*(N('Dvd Calendar'!$E$659)&lt;=VAL_SERIAL)*1000000+60*1000+1))</f>
        <v/>
      </c>
      <c r="EF71" s="121">
        <f>IF(N('Dvd Calendar'!$F$660)=0,"",IF(('Dvd Calendar'!$F$660&gt;=GRID_FROM)*('Dvd Calendar'!$F$660&lt;=GRID_TO)*((('Dvd Calendar'!$F$660&lt;=VAL_DATE)+(COUNTIF('Dvd Calendar'!$E$667:$AR$667,'Dvd Calendar'!$F$660)=0))&gt;0)=0,"",'Dvd Calendar'!$F$660*1000000000+ISNUMBER('Dvd Calendar'!$F$663)*100000000+('Dvd Calendar'!$F$665=SPECIAL_LBL)*10000000+(N('Dvd Calendar'!$F$659)&gt;0)*(N('Dvd Calendar'!$F$659)&lt;=VAL_SERIAL)*1000000+60*1000+2))</f>
        <v/>
      </c>
      <c r="EG71" s="121">
        <f>IF(N('Dvd Calendar'!$G$660)=0,"",IF(('Dvd Calendar'!$G$660&gt;=GRID_FROM)*('Dvd Calendar'!$G$660&lt;=GRID_TO)*((('Dvd Calendar'!$G$660&lt;=VAL_DATE)+(COUNTIF('Dvd Calendar'!$E$667:$AR$667,'Dvd Calendar'!$G$660)=0))&gt;0)=0,"",'Dvd Calendar'!$G$660*1000000000+ISNUMBER('Dvd Calendar'!$G$663)*100000000+('Dvd Calendar'!$G$665=SPECIAL_LBL)*10000000+(N('Dvd Calendar'!$G$659)&gt;0)*(N('Dvd Calendar'!$G$659)&lt;=VAL_SERIAL)*1000000+60*1000+3))</f>
        <v/>
      </c>
      <c r="EH71" s="121">
        <f>IF(N('Dvd Calendar'!$H$660)=0,"",IF(('Dvd Calendar'!$H$660&gt;=GRID_FROM)*('Dvd Calendar'!$H$660&lt;=GRID_TO)*((('Dvd Calendar'!$H$660&lt;=VAL_DATE)+(COUNTIF('Dvd Calendar'!$E$667:$AR$667,'Dvd Calendar'!$H$660)=0))&gt;0)=0,"",'Dvd Calendar'!$H$660*1000000000+ISNUMBER('Dvd Calendar'!$H$663)*100000000+('Dvd Calendar'!$H$665=SPECIAL_LBL)*10000000+(N('Dvd Calendar'!$H$659)&gt;0)*(N('Dvd Calendar'!$H$659)&lt;=VAL_SERIAL)*1000000+60*1000+4))</f>
        <v/>
      </c>
      <c r="EI71" s="121">
        <f>IF(N('Dvd Calendar'!$I$660)=0,"",IF(('Dvd Calendar'!$I$660&gt;=GRID_FROM)*('Dvd Calendar'!$I$660&lt;=GRID_TO)*((('Dvd Calendar'!$I$660&lt;=VAL_DATE)+(COUNTIF('Dvd Calendar'!$E$667:$AR$667,'Dvd Calendar'!$I$660)=0))&gt;0)=0,"",'Dvd Calendar'!$I$660*1000000000+ISNUMBER('Dvd Calendar'!$I$663)*100000000+('Dvd Calendar'!$I$665=SPECIAL_LBL)*10000000+(N('Dvd Calendar'!$I$659)&gt;0)*(N('Dvd Calendar'!$I$659)&lt;=VAL_SERIAL)*1000000+60*1000+5))</f>
        <v/>
      </c>
      <c r="EJ71" s="121">
        <f>IF(N('Dvd Calendar'!$J$660)=0,"",IF(('Dvd Calendar'!$J$660&gt;=GRID_FROM)*('Dvd Calendar'!$J$660&lt;=GRID_TO)*((('Dvd Calendar'!$J$660&lt;=VAL_DATE)+(COUNTIF('Dvd Calendar'!$E$667:$AR$667,'Dvd Calendar'!$J$660)=0))&gt;0)=0,"",'Dvd Calendar'!$J$660*1000000000+ISNUMBER('Dvd Calendar'!$J$663)*100000000+('Dvd Calendar'!$J$665=SPECIAL_LBL)*10000000+(N('Dvd Calendar'!$J$659)&gt;0)*(N('Dvd Calendar'!$J$659)&lt;=VAL_SERIAL)*1000000+60*1000+6))</f>
        <v/>
      </c>
      <c r="EK71" s="121">
        <f>IF(N('Dvd Calendar'!$K$660)=0,"",IF(('Dvd Calendar'!$K$660&gt;=GRID_FROM)*('Dvd Calendar'!$K$660&lt;=GRID_TO)*((('Dvd Calendar'!$K$660&lt;=VAL_DATE)+(COUNTIF('Dvd Calendar'!$E$667:$AR$667,'Dvd Calendar'!$K$660)=0))&gt;0)=0,"",'Dvd Calendar'!$K$660*1000000000+ISNUMBER('Dvd Calendar'!$K$663)*100000000+('Dvd Calendar'!$K$665=SPECIAL_LBL)*10000000+(N('Dvd Calendar'!$K$659)&gt;0)*(N('Dvd Calendar'!$K$659)&lt;=VAL_SERIAL)*1000000+60*1000+7))</f>
        <v/>
      </c>
      <c r="EL71" s="121">
        <f>IF(N('Dvd Calendar'!$L$660)=0,"",IF(('Dvd Calendar'!$L$660&gt;=GRID_FROM)*('Dvd Calendar'!$L$660&lt;=GRID_TO)*((('Dvd Calendar'!$L$660&lt;=VAL_DATE)+(COUNTIF('Dvd Calendar'!$E$667:$AR$667,'Dvd Calendar'!$L$660)=0))&gt;0)=0,"",'Dvd Calendar'!$L$660*1000000000+ISNUMBER('Dvd Calendar'!$L$663)*100000000+('Dvd Calendar'!$L$665=SPECIAL_LBL)*10000000+(N('Dvd Calendar'!$L$659)&gt;0)*(N('Dvd Calendar'!$L$659)&lt;=VAL_SERIAL)*1000000+60*1000+8))</f>
        <v/>
      </c>
      <c r="EM71" s="121">
        <f>IF(N('Dvd Calendar'!$M$660)=0,"",IF(('Dvd Calendar'!$M$660&gt;=GRID_FROM)*('Dvd Calendar'!$M$660&lt;=GRID_TO)*((('Dvd Calendar'!$M$660&lt;=VAL_DATE)+(COUNTIF('Dvd Calendar'!$E$667:$AR$667,'Dvd Calendar'!$M$660)=0))&gt;0)=0,"",'Dvd Calendar'!$M$660*1000000000+ISNUMBER('Dvd Calendar'!$M$663)*100000000+('Dvd Calendar'!$M$665=SPECIAL_LBL)*10000000+(N('Dvd Calendar'!$M$659)&gt;0)*(N('Dvd Calendar'!$M$659)&lt;=VAL_SERIAL)*1000000+60*1000+9))</f>
        <v/>
      </c>
      <c r="EN71" s="121">
        <f>IF(N('Dvd Calendar'!$N$660)=0,"",IF(('Dvd Calendar'!$N$660&gt;=GRID_FROM)*('Dvd Calendar'!$N$660&lt;=GRID_TO)*((('Dvd Calendar'!$N$660&lt;=VAL_DATE)+(COUNTIF('Dvd Calendar'!$E$667:$AR$667,'Dvd Calendar'!$N$660)=0))&gt;0)=0,"",'Dvd Calendar'!$N$660*1000000000+ISNUMBER('Dvd Calendar'!$N$663)*100000000+('Dvd Calendar'!$N$665=SPECIAL_LBL)*10000000+(N('Dvd Calendar'!$N$659)&gt;0)*(N('Dvd Calendar'!$N$659)&lt;=VAL_SERIAL)*1000000+60*1000+10))</f>
        <v/>
      </c>
      <c r="EO71" s="121">
        <f>IF(N('Dvd Calendar'!$O$660)=0,"",IF(('Dvd Calendar'!$O$660&gt;=GRID_FROM)*('Dvd Calendar'!$O$660&lt;=GRID_TO)*((('Dvd Calendar'!$O$660&lt;=VAL_DATE)+(COUNTIF('Dvd Calendar'!$E$667:$AR$667,'Dvd Calendar'!$O$660)=0))&gt;0)=0,"",'Dvd Calendar'!$O$660*1000000000+ISNUMBER('Dvd Calendar'!$O$663)*100000000+('Dvd Calendar'!$O$665=SPECIAL_LBL)*10000000+(N('Dvd Calendar'!$O$659)&gt;0)*(N('Dvd Calendar'!$O$659)&lt;=VAL_SERIAL)*1000000+60*1000+11))</f>
        <v/>
      </c>
      <c r="EP71" s="121">
        <f>IF(N('Dvd Calendar'!$P$660)=0,"",IF(('Dvd Calendar'!$P$660&gt;=GRID_FROM)*('Dvd Calendar'!$P$660&lt;=GRID_TO)*((('Dvd Calendar'!$P$660&lt;=VAL_DATE)+(COUNTIF('Dvd Calendar'!$E$667:$AR$667,'Dvd Calendar'!$P$660)=0))&gt;0)=0,"",'Dvd Calendar'!$P$660*1000000000+ISNUMBER('Dvd Calendar'!$P$663)*100000000+('Dvd Calendar'!$P$665=SPECIAL_LBL)*10000000+(N('Dvd Calendar'!$P$659)&gt;0)*(N('Dvd Calendar'!$P$659)&lt;=VAL_SERIAL)*1000000+60*1000+12))</f>
        <v/>
      </c>
      <c r="EQ71" s="121">
        <f>IF(N('Dvd Calendar'!$Q$660)=0,"",IF(('Dvd Calendar'!$Q$660&gt;=GRID_FROM)*('Dvd Calendar'!$Q$660&lt;=GRID_TO)*((('Dvd Calendar'!$Q$660&lt;=VAL_DATE)+(COUNTIF('Dvd Calendar'!$E$667:$AR$667,'Dvd Calendar'!$Q$660)=0))&gt;0)=0,"",'Dvd Calendar'!$Q$660*1000000000+ISNUMBER('Dvd Calendar'!$Q$663)*100000000+('Dvd Calendar'!$Q$665=SPECIAL_LBL)*10000000+(N('Dvd Calendar'!$Q$659)&gt;0)*(N('Dvd Calendar'!$Q$659)&lt;=VAL_SERIAL)*1000000+60*1000+13))</f>
        <v/>
      </c>
      <c r="ER71" s="121">
        <f>IF(N('Dvd Calendar'!$R$660)=0,"",IF(('Dvd Calendar'!$R$660&gt;=GRID_FROM)*('Dvd Calendar'!$R$660&lt;=GRID_TO)*((('Dvd Calendar'!$R$660&lt;=VAL_DATE)+(COUNTIF('Dvd Calendar'!$E$667:$AR$667,'Dvd Calendar'!$R$660)=0))&gt;0)=0,"",'Dvd Calendar'!$R$660*1000000000+ISNUMBER('Dvd Calendar'!$R$663)*100000000+('Dvd Calendar'!$R$665=SPECIAL_LBL)*10000000+(N('Dvd Calendar'!$R$659)&gt;0)*(N('Dvd Calendar'!$R$659)&lt;=VAL_SERIAL)*1000000+60*1000+14))</f>
        <v/>
      </c>
      <c r="ES71" s="121">
        <f>IF(N('Dvd Calendar'!$S$660)=0,"",IF(('Dvd Calendar'!$S$660&gt;=GRID_FROM)*('Dvd Calendar'!$S$660&lt;=GRID_TO)*((('Dvd Calendar'!$S$660&lt;=VAL_DATE)+(COUNTIF('Dvd Calendar'!$E$667:$AR$667,'Dvd Calendar'!$S$660)=0))&gt;0)=0,"",'Dvd Calendar'!$S$660*1000000000+ISNUMBER('Dvd Calendar'!$S$663)*100000000+('Dvd Calendar'!$S$665=SPECIAL_LBL)*10000000+(N('Dvd Calendar'!$S$659)&gt;0)*(N('Dvd Calendar'!$S$659)&lt;=VAL_SERIAL)*1000000+60*1000+15))</f>
        <v/>
      </c>
      <c r="ET71" s="121">
        <f>IF(N('Dvd Calendar'!$T$660)=0,"",IF(('Dvd Calendar'!$T$660&gt;=GRID_FROM)*('Dvd Calendar'!$T$660&lt;=GRID_TO)*((('Dvd Calendar'!$T$660&lt;=VAL_DATE)+(COUNTIF('Dvd Calendar'!$E$667:$AR$667,'Dvd Calendar'!$T$660)=0))&gt;0)=0,"",'Dvd Calendar'!$T$660*1000000000+ISNUMBER('Dvd Calendar'!$T$663)*100000000+('Dvd Calendar'!$T$665=SPECIAL_LBL)*10000000+(N('Dvd Calendar'!$T$659)&gt;0)*(N('Dvd Calendar'!$T$659)&lt;=VAL_SERIAL)*1000000+60*1000+16))</f>
        <v/>
      </c>
      <c r="EU71" s="121">
        <f>IF(N('Dvd Calendar'!$U$660)=0,"",IF(('Dvd Calendar'!$U$660&gt;=GRID_FROM)*('Dvd Calendar'!$U$660&lt;=GRID_TO)*((('Dvd Calendar'!$U$660&lt;=VAL_DATE)+(COUNTIF('Dvd Calendar'!$E$667:$AR$667,'Dvd Calendar'!$U$660)=0))&gt;0)=0,"",'Dvd Calendar'!$U$660*1000000000+ISNUMBER('Dvd Calendar'!$U$663)*100000000+('Dvd Calendar'!$U$665=SPECIAL_LBL)*10000000+(N('Dvd Calendar'!$U$659)&gt;0)*(N('Dvd Calendar'!$U$659)&lt;=VAL_SERIAL)*1000000+60*1000+17))</f>
        <v/>
      </c>
      <c r="EV71" s="121">
        <f>IF(N('Dvd Calendar'!$V$660)=0,"",IF(('Dvd Calendar'!$V$660&gt;=GRID_FROM)*('Dvd Calendar'!$V$660&lt;=GRID_TO)*((('Dvd Calendar'!$V$660&lt;=VAL_DATE)+(COUNTIF('Dvd Calendar'!$E$667:$AR$667,'Dvd Calendar'!$V$660)=0))&gt;0)=0,"",'Dvd Calendar'!$V$660*1000000000+ISNUMBER('Dvd Calendar'!$V$663)*100000000+('Dvd Calendar'!$V$665=SPECIAL_LBL)*10000000+(N('Dvd Calendar'!$V$659)&gt;0)*(N('Dvd Calendar'!$V$659)&lt;=VAL_SERIAL)*1000000+60*1000+18))</f>
        <v/>
      </c>
      <c r="EW71" s="121">
        <f>IF(N('Dvd Calendar'!$W$660)=0,"",IF(('Dvd Calendar'!$W$660&gt;=GRID_FROM)*('Dvd Calendar'!$W$660&lt;=GRID_TO)*((('Dvd Calendar'!$W$660&lt;=VAL_DATE)+(COUNTIF('Dvd Calendar'!$E$667:$AR$667,'Dvd Calendar'!$W$660)=0))&gt;0)=0,"",'Dvd Calendar'!$W$660*1000000000+ISNUMBER('Dvd Calendar'!$W$663)*100000000+('Dvd Calendar'!$W$665=SPECIAL_LBL)*10000000+(N('Dvd Calendar'!$W$659)&gt;0)*(N('Dvd Calendar'!$W$659)&lt;=VAL_SERIAL)*1000000+60*1000+19))</f>
        <v/>
      </c>
      <c r="EX71" s="121">
        <f>IF(N('Dvd Calendar'!$X$660)=0,"",IF(('Dvd Calendar'!$X$660&gt;=GRID_FROM)*('Dvd Calendar'!$X$660&lt;=GRID_TO)*((('Dvd Calendar'!$X$660&lt;=VAL_DATE)+(COUNTIF('Dvd Calendar'!$E$667:$AR$667,'Dvd Calendar'!$X$660)=0))&gt;0)=0,"",'Dvd Calendar'!$X$660*1000000000+ISNUMBER('Dvd Calendar'!$X$663)*100000000+('Dvd Calendar'!$X$665=SPECIAL_LBL)*10000000+(N('Dvd Calendar'!$X$659)&gt;0)*(N('Dvd Calendar'!$X$659)&lt;=VAL_SERIAL)*1000000+60*1000+20))</f>
        <v/>
      </c>
      <c r="EY71" s="121">
        <f>IF(N('Dvd Calendar'!$Y$660)=0,"",IF(('Dvd Calendar'!$Y$660&gt;=GRID_FROM)*('Dvd Calendar'!$Y$660&lt;=GRID_TO)*((('Dvd Calendar'!$Y$660&lt;=VAL_DATE)+(COUNTIF('Dvd Calendar'!$E$667:$AR$667,'Dvd Calendar'!$Y$660)=0))&gt;0)=0,"",'Dvd Calendar'!$Y$660*1000000000+ISNUMBER('Dvd Calendar'!$Y$663)*100000000+('Dvd Calendar'!$Y$665=SPECIAL_LBL)*10000000+(N('Dvd Calendar'!$Y$659)&gt;0)*(N('Dvd Calendar'!$Y$659)&lt;=VAL_SERIAL)*1000000+60*1000+21))</f>
        <v/>
      </c>
      <c r="EZ71" s="121">
        <f>IF(N('Dvd Calendar'!$Z$660)=0,"",IF(('Dvd Calendar'!$Z$660&gt;=GRID_FROM)*('Dvd Calendar'!$Z$660&lt;=GRID_TO)*((('Dvd Calendar'!$Z$660&lt;=VAL_DATE)+(COUNTIF('Dvd Calendar'!$E$667:$AR$667,'Dvd Calendar'!$Z$660)=0))&gt;0)=0,"",'Dvd Calendar'!$Z$660*1000000000+ISNUMBER('Dvd Calendar'!$Z$663)*100000000+('Dvd Calendar'!$Z$665=SPECIAL_LBL)*10000000+(N('Dvd Calendar'!$Z$659)&gt;0)*(N('Dvd Calendar'!$Z$659)&lt;=VAL_SERIAL)*1000000+60*1000+22))</f>
        <v/>
      </c>
      <c r="FA71" s="121">
        <f>IF(N('Dvd Calendar'!$AA$660)=0,"",IF(('Dvd Calendar'!$AA$660&gt;=GRID_FROM)*('Dvd Calendar'!$AA$660&lt;=GRID_TO)*((('Dvd Calendar'!$AA$660&lt;=VAL_DATE)+(COUNTIF('Dvd Calendar'!$E$667:$AR$667,'Dvd Calendar'!$AA$660)=0))&gt;0)=0,"",'Dvd Calendar'!$AA$660*1000000000+ISNUMBER('Dvd Calendar'!$AA$663)*100000000+('Dvd Calendar'!$AA$665=SPECIAL_LBL)*10000000+(N('Dvd Calendar'!$AA$659)&gt;0)*(N('Dvd Calendar'!$AA$659)&lt;=VAL_SERIAL)*1000000+60*1000+23))</f>
        <v/>
      </c>
      <c r="FB71" s="121">
        <f>IF(N('Dvd Calendar'!$AB$660)=0,"",IF(('Dvd Calendar'!$AB$660&gt;=GRID_FROM)*('Dvd Calendar'!$AB$660&lt;=GRID_TO)*((('Dvd Calendar'!$AB$660&lt;=VAL_DATE)+(COUNTIF('Dvd Calendar'!$E$667:$AR$667,'Dvd Calendar'!$AB$660)=0))&gt;0)=0,"",'Dvd Calendar'!$AB$660*1000000000+ISNUMBER('Dvd Calendar'!$AB$663)*100000000+('Dvd Calendar'!$AB$665=SPECIAL_LBL)*10000000+(N('Dvd Calendar'!$AB$659)&gt;0)*(N('Dvd Calendar'!$AB$659)&lt;=VAL_SERIAL)*1000000+60*1000+24))</f>
        <v/>
      </c>
      <c r="FC71" s="121">
        <f>IF(N('Dvd Calendar'!$AC$660)=0,"",IF(('Dvd Calendar'!$AC$660&gt;=GRID_FROM)*('Dvd Calendar'!$AC$660&lt;=GRID_TO)*((('Dvd Calendar'!$AC$660&lt;=VAL_DATE)+(COUNTIF('Dvd Calendar'!$E$667:$AR$667,'Dvd Calendar'!$AC$660)=0))&gt;0)=0,"",'Dvd Calendar'!$AC$660*1000000000+ISNUMBER('Dvd Calendar'!$AC$663)*100000000+('Dvd Calendar'!$AC$665=SPECIAL_LBL)*10000000+(N('Dvd Calendar'!$AC$659)&gt;0)*(N('Dvd Calendar'!$AC$659)&lt;=VAL_SERIAL)*1000000+60*1000+25))</f>
        <v/>
      </c>
      <c r="FD71" s="121">
        <f>IF(N('Dvd Calendar'!$AD$660)=0,"",IF(('Dvd Calendar'!$AD$660&gt;=GRID_FROM)*('Dvd Calendar'!$AD$660&lt;=GRID_TO)*((('Dvd Calendar'!$AD$660&lt;=VAL_DATE)+(COUNTIF('Dvd Calendar'!$E$667:$AR$667,'Dvd Calendar'!$AD$660)=0))&gt;0)=0,"",'Dvd Calendar'!$AD$660*1000000000+ISNUMBER('Dvd Calendar'!$AD$663)*100000000+('Dvd Calendar'!$AD$665=SPECIAL_LBL)*10000000+(N('Dvd Calendar'!$AD$659)&gt;0)*(N('Dvd Calendar'!$AD$659)&lt;=VAL_SERIAL)*1000000+60*1000+26))</f>
        <v/>
      </c>
      <c r="FE71" s="121">
        <f>IF(N('Dvd Calendar'!$AE$660)=0,"",IF(('Dvd Calendar'!$AE$660&gt;=GRID_FROM)*('Dvd Calendar'!$AE$660&lt;=GRID_TO)*((('Dvd Calendar'!$AE$660&lt;=VAL_DATE)+(COUNTIF('Dvd Calendar'!$E$667:$AR$667,'Dvd Calendar'!$AE$660)=0))&gt;0)=0,"",'Dvd Calendar'!$AE$660*1000000000+ISNUMBER('Dvd Calendar'!$AE$663)*100000000+('Dvd Calendar'!$AE$665=SPECIAL_LBL)*10000000+(N('Dvd Calendar'!$AE$659)&gt;0)*(N('Dvd Calendar'!$AE$659)&lt;=VAL_SERIAL)*1000000+60*1000+27))</f>
        <v/>
      </c>
      <c r="FF71" s="121">
        <f>IF(N('Dvd Calendar'!$AF$660)=0,"",IF(('Dvd Calendar'!$AF$660&gt;=GRID_FROM)*('Dvd Calendar'!$AF$660&lt;=GRID_TO)*((('Dvd Calendar'!$AF$660&lt;=VAL_DATE)+(COUNTIF('Dvd Calendar'!$E$667:$AR$667,'Dvd Calendar'!$AF$660)=0))&gt;0)=0,"",'Dvd Calendar'!$AF$660*1000000000+ISNUMBER('Dvd Calendar'!$AF$663)*100000000+('Dvd Calendar'!$AF$665=SPECIAL_LBL)*10000000+(N('Dvd Calendar'!$AF$659)&gt;0)*(N('Dvd Calendar'!$AF$659)&lt;=VAL_SERIAL)*1000000+60*1000+28))</f>
        <v/>
      </c>
      <c r="FG71" s="121">
        <f>IF(N('Dvd Calendar'!$AG$660)=0,"",IF(('Dvd Calendar'!$AG$660&gt;=GRID_FROM)*('Dvd Calendar'!$AG$660&lt;=GRID_TO)*((('Dvd Calendar'!$AG$660&lt;=VAL_DATE)+(COUNTIF('Dvd Calendar'!$E$667:$AR$667,'Dvd Calendar'!$AG$660)=0))&gt;0)=0,"",'Dvd Calendar'!$AG$660*1000000000+ISNUMBER('Dvd Calendar'!$AG$663)*100000000+('Dvd Calendar'!$AG$665=SPECIAL_LBL)*10000000+(N('Dvd Calendar'!$AG$659)&gt;0)*(N('Dvd Calendar'!$AG$659)&lt;=VAL_SERIAL)*1000000+60*1000+29))</f>
        <v/>
      </c>
      <c r="FH71" s="121">
        <f>IF(N('Dvd Calendar'!$AH$660)=0,"",IF(('Dvd Calendar'!$AH$660&gt;=GRID_FROM)*('Dvd Calendar'!$AH$660&lt;=GRID_TO)*((('Dvd Calendar'!$AH$660&lt;=VAL_DATE)+(COUNTIF('Dvd Calendar'!$E$667:$AR$667,'Dvd Calendar'!$AH$660)=0))&gt;0)=0,"",'Dvd Calendar'!$AH$660*1000000000+ISNUMBER('Dvd Calendar'!$AH$663)*100000000+('Dvd Calendar'!$AH$665=SPECIAL_LBL)*10000000+(N('Dvd Calendar'!$AH$659)&gt;0)*(N('Dvd Calendar'!$AH$659)&lt;=VAL_SERIAL)*1000000+60*1000+30))</f>
        <v/>
      </c>
      <c r="FI71" s="121">
        <f>IF(N('Dvd Calendar'!$AI$660)=0,"",IF(('Dvd Calendar'!$AI$660&gt;=GRID_FROM)*('Dvd Calendar'!$AI$660&lt;=GRID_TO)*((('Dvd Calendar'!$AI$660&lt;=VAL_DATE)+(COUNTIF('Dvd Calendar'!$E$667:$AR$667,'Dvd Calendar'!$AI$660)=0))&gt;0)=0,"",'Dvd Calendar'!$AI$660*1000000000+ISNUMBER('Dvd Calendar'!$AI$663)*100000000+('Dvd Calendar'!$AI$665=SPECIAL_LBL)*10000000+(N('Dvd Calendar'!$AI$659)&gt;0)*(N('Dvd Calendar'!$AI$659)&lt;=VAL_SERIAL)*1000000+60*1000+31))</f>
        <v/>
      </c>
      <c r="FJ71" s="121">
        <f>IF(N('Dvd Calendar'!$AJ$660)=0,"",IF(('Dvd Calendar'!$AJ$660&gt;=GRID_FROM)*('Dvd Calendar'!$AJ$660&lt;=GRID_TO)*((('Dvd Calendar'!$AJ$660&lt;=VAL_DATE)+(COUNTIF('Dvd Calendar'!$E$667:$AR$667,'Dvd Calendar'!$AJ$660)=0))&gt;0)=0,"",'Dvd Calendar'!$AJ$660*1000000000+ISNUMBER('Dvd Calendar'!$AJ$663)*100000000+('Dvd Calendar'!$AJ$665=SPECIAL_LBL)*10000000+(N('Dvd Calendar'!$AJ$659)&gt;0)*(N('Dvd Calendar'!$AJ$659)&lt;=VAL_SERIAL)*1000000+60*1000+32))</f>
        <v/>
      </c>
      <c r="FK71" s="121">
        <f>IF(N('Dvd Calendar'!$AK$660)=0,"",IF(('Dvd Calendar'!$AK$660&gt;=GRID_FROM)*('Dvd Calendar'!$AK$660&lt;=GRID_TO)*((('Dvd Calendar'!$AK$660&lt;=VAL_DATE)+(COUNTIF('Dvd Calendar'!$E$667:$AR$667,'Dvd Calendar'!$AK$660)=0))&gt;0)=0,"",'Dvd Calendar'!$AK$660*1000000000+ISNUMBER('Dvd Calendar'!$AK$663)*100000000+('Dvd Calendar'!$AK$665=SPECIAL_LBL)*10000000+(N('Dvd Calendar'!$AK$659)&gt;0)*(N('Dvd Calendar'!$AK$659)&lt;=VAL_SERIAL)*1000000+60*1000+33))</f>
        <v/>
      </c>
      <c r="FL71" s="121">
        <f>IF(N('Dvd Calendar'!$AL$660)=0,"",IF(('Dvd Calendar'!$AL$660&gt;=GRID_FROM)*('Dvd Calendar'!$AL$660&lt;=GRID_TO)*((('Dvd Calendar'!$AL$660&lt;=VAL_DATE)+(COUNTIF('Dvd Calendar'!$E$667:$AR$667,'Dvd Calendar'!$AL$660)=0))&gt;0)=0,"",'Dvd Calendar'!$AL$660*1000000000+ISNUMBER('Dvd Calendar'!$AL$663)*100000000+('Dvd Calendar'!$AL$665=SPECIAL_LBL)*10000000+(N('Dvd Calendar'!$AL$659)&gt;0)*(N('Dvd Calendar'!$AL$659)&lt;=VAL_SERIAL)*1000000+60*1000+34))</f>
        <v/>
      </c>
      <c r="FM71" s="121">
        <f>IF(N('Dvd Calendar'!$AM$660)=0,"",IF(('Dvd Calendar'!$AM$660&gt;=GRID_FROM)*('Dvd Calendar'!$AM$660&lt;=GRID_TO)*((('Dvd Calendar'!$AM$660&lt;=VAL_DATE)+(COUNTIF('Dvd Calendar'!$E$667:$AR$667,'Dvd Calendar'!$AM$660)=0))&gt;0)=0,"",'Dvd Calendar'!$AM$660*1000000000+ISNUMBER('Dvd Calendar'!$AM$663)*100000000+('Dvd Calendar'!$AM$665=SPECIAL_LBL)*10000000+(N('Dvd Calendar'!$AM$659)&gt;0)*(N('Dvd Calendar'!$AM$659)&lt;=VAL_SERIAL)*1000000+60*1000+35))</f>
        <v/>
      </c>
      <c r="FN71" s="121">
        <f>IF(N('Dvd Calendar'!$AN$660)=0,"",IF(('Dvd Calendar'!$AN$660&gt;=GRID_FROM)*('Dvd Calendar'!$AN$660&lt;=GRID_TO)*((('Dvd Calendar'!$AN$660&lt;=VAL_DATE)+(COUNTIF('Dvd Calendar'!$E$667:$AR$667,'Dvd Calendar'!$AN$660)=0))&gt;0)=0,"",'Dvd Calendar'!$AN$660*1000000000+ISNUMBER('Dvd Calendar'!$AN$663)*100000000+('Dvd Calendar'!$AN$665=SPECIAL_LBL)*10000000+(N('Dvd Calendar'!$AN$659)&gt;0)*(N('Dvd Calendar'!$AN$659)&lt;=VAL_SERIAL)*1000000+60*1000+36))</f>
        <v/>
      </c>
      <c r="FO71" s="121">
        <f>IF(N('Dvd Calendar'!$AO$660)=0,"",IF(('Dvd Calendar'!$AO$660&gt;=GRID_FROM)*('Dvd Calendar'!$AO$660&lt;=GRID_TO)*((('Dvd Calendar'!$AO$660&lt;=VAL_DATE)+(COUNTIF('Dvd Calendar'!$E$667:$AR$667,'Dvd Calendar'!$AO$660)=0))&gt;0)=0,"",'Dvd Calendar'!$AO$660*1000000000+ISNUMBER('Dvd Calendar'!$AO$663)*100000000+('Dvd Calendar'!$AO$665=SPECIAL_LBL)*10000000+(N('Dvd Calendar'!$AO$659)&gt;0)*(N('Dvd Calendar'!$AO$659)&lt;=VAL_SERIAL)*1000000+60*1000+37))</f>
        <v/>
      </c>
      <c r="FP71" s="121">
        <f>IF(N('Dvd Calendar'!$AP$660)=0,"",IF(('Dvd Calendar'!$AP$660&gt;=GRID_FROM)*('Dvd Calendar'!$AP$660&lt;=GRID_TO)*((('Dvd Calendar'!$AP$660&lt;=VAL_DATE)+(COUNTIF('Dvd Calendar'!$E$667:$AR$667,'Dvd Calendar'!$AP$660)=0))&gt;0)=0,"",'Dvd Calendar'!$AP$660*1000000000+ISNUMBER('Dvd Calendar'!$AP$663)*100000000+('Dvd Calendar'!$AP$665=SPECIAL_LBL)*10000000+(N('Dvd Calendar'!$AP$659)&gt;0)*(N('Dvd Calendar'!$AP$659)&lt;=VAL_SERIAL)*1000000+60*1000+38))</f>
        <v/>
      </c>
      <c r="FQ71" s="121">
        <f>IF(N('Dvd Calendar'!$AQ$660)=0,"",IF(('Dvd Calendar'!$AQ$660&gt;=GRID_FROM)*('Dvd Calendar'!$AQ$660&lt;=GRID_TO)*((('Dvd Calendar'!$AQ$660&lt;=VAL_DATE)+(COUNTIF('Dvd Calendar'!$E$667:$AR$667,'Dvd Calendar'!$AQ$660)=0))&gt;0)=0,"",'Dvd Calendar'!$AQ$660*1000000000+ISNUMBER('Dvd Calendar'!$AQ$663)*100000000+('Dvd Calendar'!$AQ$665=SPECIAL_LBL)*10000000+(N('Dvd Calendar'!$AQ$659)&gt;0)*(N('Dvd Calendar'!$AQ$659)&lt;=VAL_SERIAL)*1000000+60*1000+39))</f>
        <v/>
      </c>
      <c r="FR71" s="121">
        <f>IF(N('Dvd Calendar'!$AR$660)=0,"",IF(('Dvd Calendar'!$AR$660&gt;=GRID_FROM)*('Dvd Calendar'!$AR$660&lt;=GRID_TO)*((('Dvd Calendar'!$AR$660&lt;=VAL_DATE)+(COUNTIF('Dvd Calendar'!$E$667:$AR$667,'Dvd Calendar'!$AR$660)=0))&gt;0)=0,"",'Dvd Calendar'!$AR$660*1000000000+ISNUMBER('Dvd Calendar'!$AR$663)*100000000+('Dvd Calendar'!$AR$665=SPECIAL_LBL)*10000000+(N('Dvd Calendar'!$AR$659)&gt;0)*(N('Dvd Calendar'!$AR$659)&lt;=VAL_SERIAL)*1000000+60*1000+40))</f>
        <v/>
      </c>
      <c r="FS71" s="121">
        <f>IF(N('Dvd Calendar'!$E$667)=0,"",IF(('Dvd Calendar'!$E$667&gt;=GRID_FROM)*('Dvd Calendar'!$E$667&lt;=GRID_TO)*('Dvd Calendar'!$E$667&gt;VAL_DATE)=0,"",'Dvd Calendar'!$E$667*1000000000+ISNUMBER('Dvd Calendar'!$E$668)*100000000+0*10000000+(N('Dvd Calendar'!$E$666)&gt;0)*(N('Dvd Calendar'!$E$666)&lt;=VAL_SERIAL)*1000000+60*1000+41))</f>
        <v/>
      </c>
      <c r="FT71" s="121">
        <f>IF(N('Dvd Calendar'!$F$667)=0,"",IF(('Dvd Calendar'!$F$667&gt;=GRID_FROM)*('Dvd Calendar'!$F$667&lt;=GRID_TO)*('Dvd Calendar'!$F$667&gt;VAL_DATE)=0,"",'Dvd Calendar'!$F$667*1000000000+ISNUMBER('Dvd Calendar'!$F$668)*100000000+0*10000000+(N('Dvd Calendar'!$F$666)&gt;0)*(N('Dvd Calendar'!$F$666)&lt;=VAL_SERIAL)*1000000+60*1000+42))</f>
        <v/>
      </c>
      <c r="FU71" s="121">
        <f>IF(N('Dvd Calendar'!$G$667)=0,"",IF(('Dvd Calendar'!$G$667&gt;=GRID_FROM)*('Dvd Calendar'!$G$667&lt;=GRID_TO)*('Dvd Calendar'!$G$667&gt;VAL_DATE)=0,"",'Dvd Calendar'!$G$667*1000000000+ISNUMBER('Dvd Calendar'!$G$668)*100000000+0*10000000+(N('Dvd Calendar'!$G$666)&gt;0)*(N('Dvd Calendar'!$G$666)&lt;=VAL_SERIAL)*1000000+60*1000+43))</f>
        <v/>
      </c>
      <c r="FV71" s="121">
        <f>IF(N('Dvd Calendar'!$H$667)=0,"",IF(('Dvd Calendar'!$H$667&gt;=GRID_FROM)*('Dvd Calendar'!$H$667&lt;=GRID_TO)*('Dvd Calendar'!$H$667&gt;VAL_DATE)=0,"",'Dvd Calendar'!$H$667*1000000000+ISNUMBER('Dvd Calendar'!$H$668)*100000000+0*10000000+(N('Dvd Calendar'!$H$666)&gt;0)*(N('Dvd Calendar'!$H$666)&lt;=VAL_SERIAL)*1000000+60*1000+44))</f>
        <v/>
      </c>
      <c r="FW71" s="121">
        <f>IF(N('Dvd Calendar'!$I$667)=0,"",IF(('Dvd Calendar'!$I$667&gt;=GRID_FROM)*('Dvd Calendar'!$I$667&lt;=GRID_TO)*('Dvd Calendar'!$I$667&gt;VAL_DATE)=0,"",'Dvd Calendar'!$I$667*1000000000+ISNUMBER('Dvd Calendar'!$I$668)*100000000+0*10000000+(N('Dvd Calendar'!$I$666)&gt;0)*(N('Dvd Calendar'!$I$666)&lt;=VAL_SERIAL)*1000000+60*1000+45))</f>
        <v/>
      </c>
      <c r="FX71" s="121">
        <f>IF(N('Dvd Calendar'!$J$667)=0,"",IF(('Dvd Calendar'!$J$667&gt;=GRID_FROM)*('Dvd Calendar'!$J$667&lt;=GRID_TO)*('Dvd Calendar'!$J$667&gt;VAL_DATE)=0,"",'Dvd Calendar'!$J$667*1000000000+ISNUMBER('Dvd Calendar'!$J$668)*100000000+0*10000000+(N('Dvd Calendar'!$J$666)&gt;0)*(N('Dvd Calendar'!$J$666)&lt;=VAL_SERIAL)*1000000+60*1000+46))</f>
        <v/>
      </c>
      <c r="FY71" s="121">
        <f>IF(N('Dvd Calendar'!$K$667)=0,"",IF(('Dvd Calendar'!$K$667&gt;=GRID_FROM)*('Dvd Calendar'!$K$667&lt;=GRID_TO)*('Dvd Calendar'!$K$667&gt;VAL_DATE)=0,"",'Dvd Calendar'!$K$667*1000000000+ISNUMBER('Dvd Calendar'!$K$668)*100000000+0*10000000+(N('Dvd Calendar'!$K$666)&gt;0)*(N('Dvd Calendar'!$K$666)&lt;=VAL_SERIAL)*1000000+60*1000+47))</f>
        <v/>
      </c>
      <c r="FZ71" s="121">
        <f>IF(N('Dvd Calendar'!$L$667)=0,"",IF(('Dvd Calendar'!$L$667&gt;=GRID_FROM)*('Dvd Calendar'!$L$667&lt;=GRID_TO)*('Dvd Calendar'!$L$667&gt;VAL_DATE)=0,"",'Dvd Calendar'!$L$667*1000000000+ISNUMBER('Dvd Calendar'!$L$668)*100000000+0*10000000+(N('Dvd Calendar'!$L$666)&gt;0)*(N('Dvd Calendar'!$L$666)&lt;=VAL_SERIAL)*1000000+60*1000+48))</f>
        <v/>
      </c>
      <c r="GA71" s="121">
        <f>IF(N('Dvd Calendar'!$M$667)=0,"",IF(('Dvd Calendar'!$M$667&gt;=GRID_FROM)*('Dvd Calendar'!$M$667&lt;=GRID_TO)*('Dvd Calendar'!$M$667&gt;VAL_DATE)=0,"",'Dvd Calendar'!$M$667*1000000000+ISNUMBER('Dvd Calendar'!$M$668)*100000000+0*10000000+(N('Dvd Calendar'!$M$666)&gt;0)*(N('Dvd Calendar'!$M$666)&lt;=VAL_SERIAL)*1000000+60*1000+49))</f>
        <v/>
      </c>
      <c r="GB71" s="121">
        <f>IF(N('Dvd Calendar'!$N$667)=0,"",IF(('Dvd Calendar'!$N$667&gt;=GRID_FROM)*('Dvd Calendar'!$N$667&lt;=GRID_TO)*('Dvd Calendar'!$N$667&gt;VAL_DATE)=0,"",'Dvd Calendar'!$N$667*1000000000+ISNUMBER('Dvd Calendar'!$N$668)*100000000+0*10000000+(N('Dvd Calendar'!$N$666)&gt;0)*(N('Dvd Calendar'!$N$666)&lt;=VAL_SERIAL)*1000000+60*1000+50))</f>
        <v/>
      </c>
      <c r="GC71" s="121">
        <f>IF(N('Dvd Calendar'!$O$667)=0,"",IF(('Dvd Calendar'!$O$667&gt;=GRID_FROM)*('Dvd Calendar'!$O$667&lt;=GRID_TO)*('Dvd Calendar'!$O$667&gt;VAL_DATE)=0,"",'Dvd Calendar'!$O$667*1000000000+ISNUMBER('Dvd Calendar'!$O$668)*100000000+0*10000000+(N('Dvd Calendar'!$O$666)&gt;0)*(N('Dvd Calendar'!$O$666)&lt;=VAL_SERIAL)*1000000+60*1000+51))</f>
        <v/>
      </c>
      <c r="GD71" s="121">
        <f>IF(N('Dvd Calendar'!$P$667)=0,"",IF(('Dvd Calendar'!$P$667&gt;=GRID_FROM)*('Dvd Calendar'!$P$667&lt;=GRID_TO)*('Dvd Calendar'!$P$667&gt;VAL_DATE)=0,"",'Dvd Calendar'!$P$667*1000000000+ISNUMBER('Dvd Calendar'!$P$668)*100000000+0*10000000+(N('Dvd Calendar'!$P$666)&gt;0)*(N('Dvd Calendar'!$P$666)&lt;=VAL_SERIAL)*1000000+60*1000+52))</f>
        <v/>
      </c>
      <c r="GE71" s="121">
        <f>IF(N('Dvd Calendar'!$Q$667)=0,"",IF(('Dvd Calendar'!$Q$667&gt;=GRID_FROM)*('Dvd Calendar'!$Q$667&lt;=GRID_TO)*('Dvd Calendar'!$Q$667&gt;VAL_DATE)=0,"",'Dvd Calendar'!$Q$667*1000000000+ISNUMBER('Dvd Calendar'!$Q$668)*100000000+0*10000000+(N('Dvd Calendar'!$Q$666)&gt;0)*(N('Dvd Calendar'!$Q$666)&lt;=VAL_SERIAL)*1000000+60*1000+53))</f>
        <v/>
      </c>
      <c r="GF71" s="121">
        <f>IF(N('Dvd Calendar'!$R$667)=0,"",IF(('Dvd Calendar'!$R$667&gt;=GRID_FROM)*('Dvd Calendar'!$R$667&lt;=GRID_TO)*('Dvd Calendar'!$R$667&gt;VAL_DATE)=0,"",'Dvd Calendar'!$R$667*1000000000+ISNUMBER('Dvd Calendar'!$R$668)*100000000+0*10000000+(N('Dvd Calendar'!$R$666)&gt;0)*(N('Dvd Calendar'!$R$666)&lt;=VAL_SERIAL)*1000000+60*1000+54))</f>
        <v/>
      </c>
      <c r="GG71" s="121">
        <f>IF(N('Dvd Calendar'!$S$667)=0,"",IF(('Dvd Calendar'!$S$667&gt;=GRID_FROM)*('Dvd Calendar'!$S$667&lt;=GRID_TO)*('Dvd Calendar'!$S$667&gt;VAL_DATE)=0,"",'Dvd Calendar'!$S$667*1000000000+ISNUMBER('Dvd Calendar'!$S$668)*100000000+0*10000000+(N('Dvd Calendar'!$S$666)&gt;0)*(N('Dvd Calendar'!$S$666)&lt;=VAL_SERIAL)*1000000+60*1000+55))</f>
        <v/>
      </c>
      <c r="GH71" s="121">
        <f>IF(N('Dvd Calendar'!$T$667)=0,"",IF(('Dvd Calendar'!$T$667&gt;=GRID_FROM)*('Dvd Calendar'!$T$667&lt;=GRID_TO)*('Dvd Calendar'!$T$667&gt;VAL_DATE)=0,"",'Dvd Calendar'!$T$667*1000000000+ISNUMBER('Dvd Calendar'!$T$668)*100000000+0*10000000+(N('Dvd Calendar'!$T$666)&gt;0)*(N('Dvd Calendar'!$T$666)&lt;=VAL_SERIAL)*1000000+60*1000+56))</f>
        <v/>
      </c>
      <c r="GI71" s="121">
        <f>IF(N('Dvd Calendar'!$U$667)=0,"",IF(('Dvd Calendar'!$U$667&gt;=GRID_FROM)*('Dvd Calendar'!$U$667&lt;=GRID_TO)*('Dvd Calendar'!$U$667&gt;VAL_DATE)=0,"",'Dvd Calendar'!$U$667*1000000000+ISNUMBER('Dvd Calendar'!$U$668)*100000000+0*10000000+(N('Dvd Calendar'!$U$666)&gt;0)*(N('Dvd Calendar'!$U$666)&lt;=VAL_SERIAL)*1000000+60*1000+57))</f>
        <v/>
      </c>
      <c r="GJ71" s="121">
        <f>IF(N('Dvd Calendar'!$V$667)=0,"",IF(('Dvd Calendar'!$V$667&gt;=GRID_FROM)*('Dvd Calendar'!$V$667&lt;=GRID_TO)*('Dvd Calendar'!$V$667&gt;VAL_DATE)=0,"",'Dvd Calendar'!$V$667*1000000000+ISNUMBER('Dvd Calendar'!$V$668)*100000000+0*10000000+(N('Dvd Calendar'!$V$666)&gt;0)*(N('Dvd Calendar'!$V$666)&lt;=VAL_SERIAL)*1000000+60*1000+58))</f>
        <v/>
      </c>
      <c r="GK71" s="121">
        <f>IF(N('Dvd Calendar'!$W$667)=0,"",IF(('Dvd Calendar'!$W$667&gt;=GRID_FROM)*('Dvd Calendar'!$W$667&lt;=GRID_TO)*('Dvd Calendar'!$W$667&gt;VAL_DATE)=0,"",'Dvd Calendar'!$W$667*1000000000+ISNUMBER('Dvd Calendar'!$W$668)*100000000+0*10000000+(N('Dvd Calendar'!$W$666)&gt;0)*(N('Dvd Calendar'!$W$666)&lt;=VAL_SERIAL)*1000000+60*1000+59))</f>
        <v/>
      </c>
      <c r="GL71" s="121">
        <f>IF(N('Dvd Calendar'!$X$667)=0,"",IF(('Dvd Calendar'!$X$667&gt;=GRID_FROM)*('Dvd Calendar'!$X$667&lt;=GRID_TO)*('Dvd Calendar'!$X$667&gt;VAL_DATE)=0,"",'Dvd Calendar'!$X$667*1000000000+ISNUMBER('Dvd Calendar'!$X$668)*100000000+0*10000000+(N('Dvd Calendar'!$X$666)&gt;0)*(N('Dvd Calendar'!$X$666)&lt;=VAL_SERIAL)*1000000+60*1000+60))</f>
        <v/>
      </c>
      <c r="GM71" s="121">
        <f>IF(N('Dvd Calendar'!$Y$667)=0,"",IF(('Dvd Calendar'!$Y$667&gt;=GRID_FROM)*('Dvd Calendar'!$Y$667&lt;=GRID_TO)*('Dvd Calendar'!$Y$667&gt;VAL_DATE)=0,"",'Dvd Calendar'!$Y$667*1000000000+ISNUMBER('Dvd Calendar'!$Y$668)*100000000+0*10000000+(N('Dvd Calendar'!$Y$666)&gt;0)*(N('Dvd Calendar'!$Y$666)&lt;=VAL_SERIAL)*1000000+60*1000+61))</f>
        <v/>
      </c>
      <c r="GN71" s="121">
        <f>IF(N('Dvd Calendar'!$Z$667)=0,"",IF(('Dvd Calendar'!$Z$667&gt;=GRID_FROM)*('Dvd Calendar'!$Z$667&lt;=GRID_TO)*('Dvd Calendar'!$Z$667&gt;VAL_DATE)=0,"",'Dvd Calendar'!$Z$667*1000000000+ISNUMBER('Dvd Calendar'!$Z$668)*100000000+0*10000000+(N('Dvd Calendar'!$Z$666)&gt;0)*(N('Dvd Calendar'!$Z$666)&lt;=VAL_SERIAL)*1000000+60*1000+62))</f>
        <v/>
      </c>
      <c r="GO71" s="121">
        <f>IF(N('Dvd Calendar'!$AA$667)=0,"",IF(('Dvd Calendar'!$AA$667&gt;=GRID_FROM)*('Dvd Calendar'!$AA$667&lt;=GRID_TO)*('Dvd Calendar'!$AA$667&gt;VAL_DATE)=0,"",'Dvd Calendar'!$AA$667*1000000000+ISNUMBER('Dvd Calendar'!$AA$668)*100000000+0*10000000+(N('Dvd Calendar'!$AA$666)&gt;0)*(N('Dvd Calendar'!$AA$666)&lt;=VAL_SERIAL)*1000000+60*1000+63))</f>
        <v/>
      </c>
      <c r="GP71" s="121">
        <f>IF(N('Dvd Calendar'!$AB$667)=0,"",IF(('Dvd Calendar'!$AB$667&gt;=GRID_FROM)*('Dvd Calendar'!$AB$667&lt;=GRID_TO)*('Dvd Calendar'!$AB$667&gt;VAL_DATE)=0,"",'Dvd Calendar'!$AB$667*1000000000+ISNUMBER('Dvd Calendar'!$AB$668)*100000000+0*10000000+(N('Dvd Calendar'!$AB$666)&gt;0)*(N('Dvd Calendar'!$AB$666)&lt;=VAL_SERIAL)*1000000+60*1000+64))</f>
        <v/>
      </c>
      <c r="GQ71" s="121">
        <f>IF(N('Dvd Calendar'!$AC$667)=0,"",IF(('Dvd Calendar'!$AC$667&gt;=GRID_FROM)*('Dvd Calendar'!$AC$667&lt;=GRID_TO)*('Dvd Calendar'!$AC$667&gt;VAL_DATE)=0,"",'Dvd Calendar'!$AC$667*1000000000+ISNUMBER('Dvd Calendar'!$AC$668)*100000000+0*10000000+(N('Dvd Calendar'!$AC$666)&gt;0)*(N('Dvd Calendar'!$AC$666)&lt;=VAL_SERIAL)*1000000+60*1000+65))</f>
        <v/>
      </c>
    </row>
    <row r="72">
      <c r="B72" s="2">
        <f>IF(HSI!$C$67="","",HSI!$C$67)</f>
        <v/>
      </c>
      <c r="C72" s="161">
        <f>IF(EE72="","",IF(ISNUMBER('Dvd Calendar'!$E$674)=FALSE,"",IF((('Dvd Calendar'!$E$676=TYPE1)*(TYPE1&lt;&gt;"")+('Dvd Calendar'!$E$676=TYPE2)*(TYPE2&lt;&gt;"")+('Dvd Calendar'!$E$676=TYPE3)*(TYPE3&lt;&gt;"")+('Dvd Calendar'!$E$676=TYPE4)*(TYPE4&lt;&gt;"")+('Dvd Calendar'!$E$676=SPECIAL_LBL)*(INC_SPECIALS="Y"))=0,"",'Dvd Calendar'!$E$674)))</f>
        <v/>
      </c>
      <c r="D72" s="161">
        <f>IF(EF72="","",IF(ISNUMBER('Dvd Calendar'!$F$674)=FALSE,"",IF((('Dvd Calendar'!$F$676=TYPE1)*(TYPE1&lt;&gt;"")+('Dvd Calendar'!$F$676=TYPE2)*(TYPE2&lt;&gt;"")+('Dvd Calendar'!$F$676=TYPE3)*(TYPE3&lt;&gt;"")+('Dvd Calendar'!$F$676=TYPE4)*(TYPE4&lt;&gt;"")+('Dvd Calendar'!$F$676=SPECIAL_LBL)*(INC_SPECIALS="Y"))=0,"",'Dvd Calendar'!$F$674)))</f>
        <v/>
      </c>
      <c r="E72" s="161">
        <f>IF(EG72="","",IF(ISNUMBER('Dvd Calendar'!$G$674)=FALSE,"",IF((('Dvd Calendar'!$G$676=TYPE1)*(TYPE1&lt;&gt;"")+('Dvd Calendar'!$G$676=TYPE2)*(TYPE2&lt;&gt;"")+('Dvd Calendar'!$G$676=TYPE3)*(TYPE3&lt;&gt;"")+('Dvd Calendar'!$G$676=TYPE4)*(TYPE4&lt;&gt;"")+('Dvd Calendar'!$G$676=SPECIAL_LBL)*(INC_SPECIALS="Y"))=0,"",'Dvd Calendar'!$G$674)))</f>
        <v/>
      </c>
      <c r="F72" s="161">
        <f>IF(EH72="","",IF(ISNUMBER('Dvd Calendar'!$H$674)=FALSE,"",IF((('Dvd Calendar'!$H$676=TYPE1)*(TYPE1&lt;&gt;"")+('Dvd Calendar'!$H$676=TYPE2)*(TYPE2&lt;&gt;"")+('Dvd Calendar'!$H$676=TYPE3)*(TYPE3&lt;&gt;"")+('Dvd Calendar'!$H$676=TYPE4)*(TYPE4&lt;&gt;"")+('Dvd Calendar'!$H$676=SPECIAL_LBL)*(INC_SPECIALS="Y"))=0,"",'Dvd Calendar'!$H$674)))</f>
        <v/>
      </c>
      <c r="G72" s="161">
        <f>IF(EI72="","",IF(ISNUMBER('Dvd Calendar'!$I$674)=FALSE,"",IF((('Dvd Calendar'!$I$676=TYPE1)*(TYPE1&lt;&gt;"")+('Dvd Calendar'!$I$676=TYPE2)*(TYPE2&lt;&gt;"")+('Dvd Calendar'!$I$676=TYPE3)*(TYPE3&lt;&gt;"")+('Dvd Calendar'!$I$676=TYPE4)*(TYPE4&lt;&gt;"")+('Dvd Calendar'!$I$676=SPECIAL_LBL)*(INC_SPECIALS="Y"))=0,"",'Dvd Calendar'!$I$674)))</f>
        <v/>
      </c>
      <c r="H72" s="161">
        <f>IF(EJ72="","",IF(ISNUMBER('Dvd Calendar'!$J$674)=FALSE,"",IF((('Dvd Calendar'!$J$676=TYPE1)*(TYPE1&lt;&gt;"")+('Dvd Calendar'!$J$676=TYPE2)*(TYPE2&lt;&gt;"")+('Dvd Calendar'!$J$676=TYPE3)*(TYPE3&lt;&gt;"")+('Dvd Calendar'!$J$676=TYPE4)*(TYPE4&lt;&gt;"")+('Dvd Calendar'!$J$676=SPECIAL_LBL)*(INC_SPECIALS="Y"))=0,"",'Dvd Calendar'!$J$674)))</f>
        <v/>
      </c>
      <c r="I72" s="161">
        <f>IF(EK72="","",IF(ISNUMBER('Dvd Calendar'!$K$674)=FALSE,"",IF((('Dvd Calendar'!$K$676=TYPE1)*(TYPE1&lt;&gt;"")+('Dvd Calendar'!$K$676=TYPE2)*(TYPE2&lt;&gt;"")+('Dvd Calendar'!$K$676=TYPE3)*(TYPE3&lt;&gt;"")+('Dvd Calendar'!$K$676=TYPE4)*(TYPE4&lt;&gt;"")+('Dvd Calendar'!$K$676=SPECIAL_LBL)*(INC_SPECIALS="Y"))=0,"",'Dvd Calendar'!$K$674)))</f>
        <v/>
      </c>
      <c r="J72" s="161">
        <f>IF(EL72="","",IF(ISNUMBER('Dvd Calendar'!$L$674)=FALSE,"",IF((('Dvd Calendar'!$L$676=TYPE1)*(TYPE1&lt;&gt;"")+('Dvd Calendar'!$L$676=TYPE2)*(TYPE2&lt;&gt;"")+('Dvd Calendar'!$L$676=TYPE3)*(TYPE3&lt;&gt;"")+('Dvd Calendar'!$L$676=TYPE4)*(TYPE4&lt;&gt;"")+('Dvd Calendar'!$L$676=SPECIAL_LBL)*(INC_SPECIALS="Y"))=0,"",'Dvd Calendar'!$L$674)))</f>
        <v/>
      </c>
      <c r="K72" s="161">
        <f>IF(EM72="","",IF(ISNUMBER('Dvd Calendar'!$M$674)=FALSE,"",IF((('Dvd Calendar'!$M$676=TYPE1)*(TYPE1&lt;&gt;"")+('Dvd Calendar'!$M$676=TYPE2)*(TYPE2&lt;&gt;"")+('Dvd Calendar'!$M$676=TYPE3)*(TYPE3&lt;&gt;"")+('Dvd Calendar'!$M$676=TYPE4)*(TYPE4&lt;&gt;"")+('Dvd Calendar'!$M$676=SPECIAL_LBL)*(INC_SPECIALS="Y"))=0,"",'Dvd Calendar'!$M$674)))</f>
        <v/>
      </c>
      <c r="L72" s="161">
        <f>IF(EN72="","",IF(ISNUMBER('Dvd Calendar'!$N$674)=FALSE,"",IF((('Dvd Calendar'!$N$676=TYPE1)*(TYPE1&lt;&gt;"")+('Dvd Calendar'!$N$676=TYPE2)*(TYPE2&lt;&gt;"")+('Dvd Calendar'!$N$676=TYPE3)*(TYPE3&lt;&gt;"")+('Dvd Calendar'!$N$676=TYPE4)*(TYPE4&lt;&gt;"")+('Dvd Calendar'!$N$676=SPECIAL_LBL)*(INC_SPECIALS="Y"))=0,"",'Dvd Calendar'!$N$674)))</f>
        <v/>
      </c>
      <c r="M72" s="161">
        <f>IF(EO72="","",IF(ISNUMBER('Dvd Calendar'!$O$674)=FALSE,"",IF((('Dvd Calendar'!$O$676=TYPE1)*(TYPE1&lt;&gt;"")+('Dvd Calendar'!$O$676=TYPE2)*(TYPE2&lt;&gt;"")+('Dvd Calendar'!$O$676=TYPE3)*(TYPE3&lt;&gt;"")+('Dvd Calendar'!$O$676=TYPE4)*(TYPE4&lt;&gt;"")+('Dvd Calendar'!$O$676=SPECIAL_LBL)*(INC_SPECIALS="Y"))=0,"",'Dvd Calendar'!$O$674)))</f>
        <v/>
      </c>
      <c r="N72" s="161">
        <f>IF(EP72="","",IF(ISNUMBER('Dvd Calendar'!$P$674)=FALSE,"",IF((('Dvd Calendar'!$P$676=TYPE1)*(TYPE1&lt;&gt;"")+('Dvd Calendar'!$P$676=TYPE2)*(TYPE2&lt;&gt;"")+('Dvd Calendar'!$P$676=TYPE3)*(TYPE3&lt;&gt;"")+('Dvd Calendar'!$P$676=TYPE4)*(TYPE4&lt;&gt;"")+('Dvd Calendar'!$P$676=SPECIAL_LBL)*(INC_SPECIALS="Y"))=0,"",'Dvd Calendar'!$P$674)))</f>
        <v/>
      </c>
      <c r="O72" s="161">
        <f>IF(EQ72="","",IF(ISNUMBER('Dvd Calendar'!$Q$674)=FALSE,"",IF((('Dvd Calendar'!$Q$676=TYPE1)*(TYPE1&lt;&gt;"")+('Dvd Calendar'!$Q$676=TYPE2)*(TYPE2&lt;&gt;"")+('Dvd Calendar'!$Q$676=TYPE3)*(TYPE3&lt;&gt;"")+('Dvd Calendar'!$Q$676=TYPE4)*(TYPE4&lt;&gt;"")+('Dvd Calendar'!$Q$676=SPECIAL_LBL)*(INC_SPECIALS="Y"))=0,"",'Dvd Calendar'!$Q$674)))</f>
        <v/>
      </c>
      <c r="P72" s="161">
        <f>IF(ER72="","",IF(ISNUMBER('Dvd Calendar'!$R$674)=FALSE,"",IF((('Dvd Calendar'!$R$676=TYPE1)*(TYPE1&lt;&gt;"")+('Dvd Calendar'!$R$676=TYPE2)*(TYPE2&lt;&gt;"")+('Dvd Calendar'!$R$676=TYPE3)*(TYPE3&lt;&gt;"")+('Dvd Calendar'!$R$676=TYPE4)*(TYPE4&lt;&gt;"")+('Dvd Calendar'!$R$676=SPECIAL_LBL)*(INC_SPECIALS="Y"))=0,"",'Dvd Calendar'!$R$674)))</f>
        <v/>
      </c>
      <c r="Q72" s="161">
        <f>IF(ES72="","",IF(ISNUMBER('Dvd Calendar'!$S$674)=FALSE,"",IF((('Dvd Calendar'!$S$676=TYPE1)*(TYPE1&lt;&gt;"")+('Dvd Calendar'!$S$676=TYPE2)*(TYPE2&lt;&gt;"")+('Dvd Calendar'!$S$676=TYPE3)*(TYPE3&lt;&gt;"")+('Dvd Calendar'!$S$676=TYPE4)*(TYPE4&lt;&gt;"")+('Dvd Calendar'!$S$676=SPECIAL_LBL)*(INC_SPECIALS="Y"))=0,"",'Dvd Calendar'!$S$674)))</f>
        <v/>
      </c>
      <c r="R72" s="161">
        <f>IF(ET72="","",IF(ISNUMBER('Dvd Calendar'!$T$674)=FALSE,"",IF((('Dvd Calendar'!$T$676=TYPE1)*(TYPE1&lt;&gt;"")+('Dvd Calendar'!$T$676=TYPE2)*(TYPE2&lt;&gt;"")+('Dvd Calendar'!$T$676=TYPE3)*(TYPE3&lt;&gt;"")+('Dvd Calendar'!$T$676=TYPE4)*(TYPE4&lt;&gt;"")+('Dvd Calendar'!$T$676=SPECIAL_LBL)*(INC_SPECIALS="Y"))=0,"",'Dvd Calendar'!$T$674)))</f>
        <v/>
      </c>
      <c r="S72" s="161">
        <f>IF(EU72="","",IF(ISNUMBER('Dvd Calendar'!$U$674)=FALSE,"",IF((('Dvd Calendar'!$U$676=TYPE1)*(TYPE1&lt;&gt;"")+('Dvd Calendar'!$U$676=TYPE2)*(TYPE2&lt;&gt;"")+('Dvd Calendar'!$U$676=TYPE3)*(TYPE3&lt;&gt;"")+('Dvd Calendar'!$U$676=TYPE4)*(TYPE4&lt;&gt;"")+('Dvd Calendar'!$U$676=SPECIAL_LBL)*(INC_SPECIALS="Y"))=0,"",'Dvd Calendar'!$U$674)))</f>
        <v/>
      </c>
      <c r="T72" s="161">
        <f>IF(EV72="","",IF(ISNUMBER('Dvd Calendar'!$V$674)=FALSE,"",IF((('Dvd Calendar'!$V$676=TYPE1)*(TYPE1&lt;&gt;"")+('Dvd Calendar'!$V$676=TYPE2)*(TYPE2&lt;&gt;"")+('Dvd Calendar'!$V$676=TYPE3)*(TYPE3&lt;&gt;"")+('Dvd Calendar'!$V$676=TYPE4)*(TYPE4&lt;&gt;"")+('Dvd Calendar'!$V$676=SPECIAL_LBL)*(INC_SPECIALS="Y"))=0,"",'Dvd Calendar'!$V$674)))</f>
        <v/>
      </c>
      <c r="U72" s="161">
        <f>IF(EW72="","",IF(ISNUMBER('Dvd Calendar'!$W$674)=FALSE,"",IF((('Dvd Calendar'!$W$676=TYPE1)*(TYPE1&lt;&gt;"")+('Dvd Calendar'!$W$676=TYPE2)*(TYPE2&lt;&gt;"")+('Dvd Calendar'!$W$676=TYPE3)*(TYPE3&lt;&gt;"")+('Dvd Calendar'!$W$676=TYPE4)*(TYPE4&lt;&gt;"")+('Dvd Calendar'!$W$676=SPECIAL_LBL)*(INC_SPECIALS="Y"))=0,"",'Dvd Calendar'!$W$674)))</f>
        <v/>
      </c>
      <c r="V72" s="161">
        <f>IF(EX72="","",IF(ISNUMBER('Dvd Calendar'!$X$674)=FALSE,"",IF((('Dvd Calendar'!$X$676=TYPE1)*(TYPE1&lt;&gt;"")+('Dvd Calendar'!$X$676=TYPE2)*(TYPE2&lt;&gt;"")+('Dvd Calendar'!$X$676=TYPE3)*(TYPE3&lt;&gt;"")+('Dvd Calendar'!$X$676=TYPE4)*(TYPE4&lt;&gt;"")+('Dvd Calendar'!$X$676=SPECIAL_LBL)*(INC_SPECIALS="Y"))=0,"",'Dvd Calendar'!$X$674)))</f>
        <v/>
      </c>
      <c r="W72" s="161">
        <f>IF(EY72="","",IF(ISNUMBER('Dvd Calendar'!$Y$674)=FALSE,"",IF((('Dvd Calendar'!$Y$676=TYPE1)*(TYPE1&lt;&gt;"")+('Dvd Calendar'!$Y$676=TYPE2)*(TYPE2&lt;&gt;"")+('Dvd Calendar'!$Y$676=TYPE3)*(TYPE3&lt;&gt;"")+('Dvd Calendar'!$Y$676=TYPE4)*(TYPE4&lt;&gt;"")+('Dvd Calendar'!$Y$676=SPECIAL_LBL)*(INC_SPECIALS="Y"))=0,"",'Dvd Calendar'!$Y$674)))</f>
        <v/>
      </c>
      <c r="X72" s="161">
        <f>IF(EZ72="","",IF(ISNUMBER('Dvd Calendar'!$Z$674)=FALSE,"",IF((('Dvd Calendar'!$Z$676=TYPE1)*(TYPE1&lt;&gt;"")+('Dvd Calendar'!$Z$676=TYPE2)*(TYPE2&lt;&gt;"")+('Dvd Calendar'!$Z$676=TYPE3)*(TYPE3&lt;&gt;"")+('Dvd Calendar'!$Z$676=TYPE4)*(TYPE4&lt;&gt;"")+('Dvd Calendar'!$Z$676=SPECIAL_LBL)*(INC_SPECIALS="Y"))=0,"",'Dvd Calendar'!$Z$674)))</f>
        <v/>
      </c>
      <c r="Y72" s="161">
        <f>IF(FA72="","",IF(ISNUMBER('Dvd Calendar'!$AA$674)=FALSE,"",IF((('Dvd Calendar'!$AA$676=TYPE1)*(TYPE1&lt;&gt;"")+('Dvd Calendar'!$AA$676=TYPE2)*(TYPE2&lt;&gt;"")+('Dvd Calendar'!$AA$676=TYPE3)*(TYPE3&lt;&gt;"")+('Dvd Calendar'!$AA$676=TYPE4)*(TYPE4&lt;&gt;"")+('Dvd Calendar'!$AA$676=SPECIAL_LBL)*(INC_SPECIALS="Y"))=0,"",'Dvd Calendar'!$AA$674)))</f>
        <v/>
      </c>
      <c r="Z72" s="161">
        <f>IF(FB72="","",IF(ISNUMBER('Dvd Calendar'!$AB$674)=FALSE,"",IF((('Dvd Calendar'!$AB$676=TYPE1)*(TYPE1&lt;&gt;"")+('Dvd Calendar'!$AB$676=TYPE2)*(TYPE2&lt;&gt;"")+('Dvd Calendar'!$AB$676=TYPE3)*(TYPE3&lt;&gt;"")+('Dvd Calendar'!$AB$676=TYPE4)*(TYPE4&lt;&gt;"")+('Dvd Calendar'!$AB$676=SPECIAL_LBL)*(INC_SPECIALS="Y"))=0,"",'Dvd Calendar'!$AB$674)))</f>
        <v/>
      </c>
      <c r="AA72" s="161">
        <f>IF(FC72="","",IF(ISNUMBER('Dvd Calendar'!$AC$674)=FALSE,"",IF((('Dvd Calendar'!$AC$676=TYPE1)*(TYPE1&lt;&gt;"")+('Dvd Calendar'!$AC$676=TYPE2)*(TYPE2&lt;&gt;"")+('Dvd Calendar'!$AC$676=TYPE3)*(TYPE3&lt;&gt;"")+('Dvd Calendar'!$AC$676=TYPE4)*(TYPE4&lt;&gt;"")+('Dvd Calendar'!$AC$676=SPECIAL_LBL)*(INC_SPECIALS="Y"))=0,"",'Dvd Calendar'!$AC$674)))</f>
        <v/>
      </c>
      <c r="AB72" s="161">
        <f>IF(FD72="","",IF(ISNUMBER('Dvd Calendar'!$AD$674)=FALSE,"",IF((('Dvd Calendar'!$AD$676=TYPE1)*(TYPE1&lt;&gt;"")+('Dvd Calendar'!$AD$676=TYPE2)*(TYPE2&lt;&gt;"")+('Dvd Calendar'!$AD$676=TYPE3)*(TYPE3&lt;&gt;"")+('Dvd Calendar'!$AD$676=TYPE4)*(TYPE4&lt;&gt;"")+('Dvd Calendar'!$AD$676=SPECIAL_LBL)*(INC_SPECIALS="Y"))=0,"",'Dvd Calendar'!$AD$674)))</f>
        <v/>
      </c>
      <c r="AC72" s="161">
        <f>IF(FE72="","",IF(ISNUMBER('Dvd Calendar'!$AE$674)=FALSE,"",IF((('Dvd Calendar'!$AE$676=TYPE1)*(TYPE1&lt;&gt;"")+('Dvd Calendar'!$AE$676=TYPE2)*(TYPE2&lt;&gt;"")+('Dvd Calendar'!$AE$676=TYPE3)*(TYPE3&lt;&gt;"")+('Dvd Calendar'!$AE$676=TYPE4)*(TYPE4&lt;&gt;"")+('Dvd Calendar'!$AE$676=SPECIAL_LBL)*(INC_SPECIALS="Y"))=0,"",'Dvd Calendar'!$AE$674)))</f>
        <v/>
      </c>
      <c r="AD72" s="161">
        <f>IF(FF72="","",IF(ISNUMBER('Dvd Calendar'!$AF$674)=FALSE,"",IF((('Dvd Calendar'!$AF$676=TYPE1)*(TYPE1&lt;&gt;"")+('Dvd Calendar'!$AF$676=TYPE2)*(TYPE2&lt;&gt;"")+('Dvd Calendar'!$AF$676=TYPE3)*(TYPE3&lt;&gt;"")+('Dvd Calendar'!$AF$676=TYPE4)*(TYPE4&lt;&gt;"")+('Dvd Calendar'!$AF$676=SPECIAL_LBL)*(INC_SPECIALS="Y"))=0,"",'Dvd Calendar'!$AF$674)))</f>
        <v/>
      </c>
      <c r="AE72" s="161">
        <f>IF(FG72="","",IF(ISNUMBER('Dvd Calendar'!$AG$674)=FALSE,"",IF((('Dvd Calendar'!$AG$676=TYPE1)*(TYPE1&lt;&gt;"")+('Dvd Calendar'!$AG$676=TYPE2)*(TYPE2&lt;&gt;"")+('Dvd Calendar'!$AG$676=TYPE3)*(TYPE3&lt;&gt;"")+('Dvd Calendar'!$AG$676=TYPE4)*(TYPE4&lt;&gt;"")+('Dvd Calendar'!$AG$676=SPECIAL_LBL)*(INC_SPECIALS="Y"))=0,"",'Dvd Calendar'!$AG$674)))</f>
        <v/>
      </c>
      <c r="AF72" s="161">
        <f>IF(FH72="","",IF(ISNUMBER('Dvd Calendar'!$AH$674)=FALSE,"",IF((('Dvd Calendar'!$AH$676=TYPE1)*(TYPE1&lt;&gt;"")+('Dvd Calendar'!$AH$676=TYPE2)*(TYPE2&lt;&gt;"")+('Dvd Calendar'!$AH$676=TYPE3)*(TYPE3&lt;&gt;"")+('Dvd Calendar'!$AH$676=TYPE4)*(TYPE4&lt;&gt;"")+('Dvd Calendar'!$AH$676=SPECIAL_LBL)*(INC_SPECIALS="Y"))=0,"",'Dvd Calendar'!$AH$674)))</f>
        <v/>
      </c>
      <c r="AG72" s="161">
        <f>IF(FI72="","",IF(ISNUMBER('Dvd Calendar'!$AI$674)=FALSE,"",IF((('Dvd Calendar'!$AI$676=TYPE1)*(TYPE1&lt;&gt;"")+('Dvd Calendar'!$AI$676=TYPE2)*(TYPE2&lt;&gt;"")+('Dvd Calendar'!$AI$676=TYPE3)*(TYPE3&lt;&gt;"")+('Dvd Calendar'!$AI$676=TYPE4)*(TYPE4&lt;&gt;"")+('Dvd Calendar'!$AI$676=SPECIAL_LBL)*(INC_SPECIALS="Y"))=0,"",'Dvd Calendar'!$AI$674)))</f>
        <v/>
      </c>
      <c r="AH72" s="161">
        <f>IF(FJ72="","",IF(ISNUMBER('Dvd Calendar'!$AJ$674)=FALSE,"",IF((('Dvd Calendar'!$AJ$676=TYPE1)*(TYPE1&lt;&gt;"")+('Dvd Calendar'!$AJ$676=TYPE2)*(TYPE2&lt;&gt;"")+('Dvd Calendar'!$AJ$676=TYPE3)*(TYPE3&lt;&gt;"")+('Dvd Calendar'!$AJ$676=TYPE4)*(TYPE4&lt;&gt;"")+('Dvd Calendar'!$AJ$676=SPECIAL_LBL)*(INC_SPECIALS="Y"))=0,"",'Dvd Calendar'!$AJ$674)))</f>
        <v/>
      </c>
      <c r="AI72" s="161">
        <f>IF(FK72="","",IF(ISNUMBER('Dvd Calendar'!$AK$674)=FALSE,"",IF((('Dvd Calendar'!$AK$676=TYPE1)*(TYPE1&lt;&gt;"")+('Dvd Calendar'!$AK$676=TYPE2)*(TYPE2&lt;&gt;"")+('Dvd Calendar'!$AK$676=TYPE3)*(TYPE3&lt;&gt;"")+('Dvd Calendar'!$AK$676=TYPE4)*(TYPE4&lt;&gt;"")+('Dvd Calendar'!$AK$676=SPECIAL_LBL)*(INC_SPECIALS="Y"))=0,"",'Dvd Calendar'!$AK$674)))</f>
        <v/>
      </c>
      <c r="AJ72" s="161">
        <f>IF(FL72="","",IF(ISNUMBER('Dvd Calendar'!$AL$674)=FALSE,"",IF((('Dvd Calendar'!$AL$676=TYPE1)*(TYPE1&lt;&gt;"")+('Dvd Calendar'!$AL$676=TYPE2)*(TYPE2&lt;&gt;"")+('Dvd Calendar'!$AL$676=TYPE3)*(TYPE3&lt;&gt;"")+('Dvd Calendar'!$AL$676=TYPE4)*(TYPE4&lt;&gt;"")+('Dvd Calendar'!$AL$676=SPECIAL_LBL)*(INC_SPECIALS="Y"))=0,"",'Dvd Calendar'!$AL$674)))</f>
        <v/>
      </c>
      <c r="AK72" s="161">
        <f>IF(FM72="","",IF(ISNUMBER('Dvd Calendar'!$AM$674)=FALSE,"",IF((('Dvd Calendar'!$AM$676=TYPE1)*(TYPE1&lt;&gt;"")+('Dvd Calendar'!$AM$676=TYPE2)*(TYPE2&lt;&gt;"")+('Dvd Calendar'!$AM$676=TYPE3)*(TYPE3&lt;&gt;"")+('Dvd Calendar'!$AM$676=TYPE4)*(TYPE4&lt;&gt;"")+('Dvd Calendar'!$AM$676=SPECIAL_LBL)*(INC_SPECIALS="Y"))=0,"",'Dvd Calendar'!$AM$674)))</f>
        <v/>
      </c>
      <c r="AL72" s="161">
        <f>IF(FN72="","",IF(ISNUMBER('Dvd Calendar'!$AN$674)=FALSE,"",IF((('Dvd Calendar'!$AN$676=TYPE1)*(TYPE1&lt;&gt;"")+('Dvd Calendar'!$AN$676=TYPE2)*(TYPE2&lt;&gt;"")+('Dvd Calendar'!$AN$676=TYPE3)*(TYPE3&lt;&gt;"")+('Dvd Calendar'!$AN$676=TYPE4)*(TYPE4&lt;&gt;"")+('Dvd Calendar'!$AN$676=SPECIAL_LBL)*(INC_SPECIALS="Y"))=0,"",'Dvd Calendar'!$AN$674)))</f>
        <v/>
      </c>
      <c r="AM72" s="161">
        <f>IF(FO72="","",IF(ISNUMBER('Dvd Calendar'!$AO$674)=FALSE,"",IF((('Dvd Calendar'!$AO$676=TYPE1)*(TYPE1&lt;&gt;"")+('Dvd Calendar'!$AO$676=TYPE2)*(TYPE2&lt;&gt;"")+('Dvd Calendar'!$AO$676=TYPE3)*(TYPE3&lt;&gt;"")+('Dvd Calendar'!$AO$676=TYPE4)*(TYPE4&lt;&gt;"")+('Dvd Calendar'!$AO$676=SPECIAL_LBL)*(INC_SPECIALS="Y"))=0,"",'Dvd Calendar'!$AO$674)))</f>
        <v/>
      </c>
      <c r="AN72" s="161">
        <f>IF(FP72="","",IF(ISNUMBER('Dvd Calendar'!$AP$674)=FALSE,"",IF((('Dvd Calendar'!$AP$676=TYPE1)*(TYPE1&lt;&gt;"")+('Dvd Calendar'!$AP$676=TYPE2)*(TYPE2&lt;&gt;"")+('Dvd Calendar'!$AP$676=TYPE3)*(TYPE3&lt;&gt;"")+('Dvd Calendar'!$AP$676=TYPE4)*(TYPE4&lt;&gt;"")+('Dvd Calendar'!$AP$676=SPECIAL_LBL)*(INC_SPECIALS="Y"))=0,"",'Dvd Calendar'!$AP$674)))</f>
        <v/>
      </c>
      <c r="AO72" s="161">
        <f>IF(FQ72="","",IF(ISNUMBER('Dvd Calendar'!$AQ$674)=FALSE,"",IF((('Dvd Calendar'!$AQ$676=TYPE1)*(TYPE1&lt;&gt;"")+('Dvd Calendar'!$AQ$676=TYPE2)*(TYPE2&lt;&gt;"")+('Dvd Calendar'!$AQ$676=TYPE3)*(TYPE3&lt;&gt;"")+('Dvd Calendar'!$AQ$676=TYPE4)*(TYPE4&lt;&gt;"")+('Dvd Calendar'!$AQ$676=SPECIAL_LBL)*(INC_SPECIALS="Y"))=0,"",'Dvd Calendar'!$AQ$674)))</f>
        <v/>
      </c>
      <c r="AP72" s="161">
        <f>IF(FR72="","",IF(ISNUMBER('Dvd Calendar'!$AR$674)=FALSE,"",IF((('Dvd Calendar'!$AR$676=TYPE1)*(TYPE1&lt;&gt;"")+('Dvd Calendar'!$AR$676=TYPE2)*(TYPE2&lt;&gt;"")+('Dvd Calendar'!$AR$676=TYPE3)*(TYPE3&lt;&gt;"")+('Dvd Calendar'!$AR$676=TYPE4)*(TYPE4&lt;&gt;"")+('Dvd Calendar'!$AR$676=SPECIAL_LBL)*(INC_SPECIALS="Y"))=0,"",'Dvd Calendar'!$AR$674)))</f>
        <v/>
      </c>
      <c r="AQ72" s="161">
        <f>IF(FS72="","",IF(ISNUMBER('Dvd Calendar'!$E$679)=FALSE,"",'Dvd Calendar'!$E$679))</f>
        <v/>
      </c>
      <c r="AR72" s="161">
        <f>IF(FT72="","",IF(ISNUMBER('Dvd Calendar'!$F$679)=FALSE,"",'Dvd Calendar'!$F$679))</f>
        <v/>
      </c>
      <c r="AS72" s="161">
        <f>IF(FU72="","",IF(ISNUMBER('Dvd Calendar'!$G$679)=FALSE,"",'Dvd Calendar'!$G$679))</f>
        <v/>
      </c>
      <c r="AT72" s="161">
        <f>IF(FV72="","",IF(ISNUMBER('Dvd Calendar'!$H$679)=FALSE,"",'Dvd Calendar'!$H$679))</f>
        <v/>
      </c>
      <c r="AU72" s="161">
        <f>IF(FW72="","",IF(ISNUMBER('Dvd Calendar'!$I$679)=FALSE,"",'Dvd Calendar'!$I$679))</f>
        <v/>
      </c>
      <c r="AV72" s="161">
        <f>IF(FX72="","",IF(ISNUMBER('Dvd Calendar'!$J$679)=FALSE,"",'Dvd Calendar'!$J$679))</f>
        <v/>
      </c>
      <c r="AW72" s="161">
        <f>IF(FY72="","",IF(ISNUMBER('Dvd Calendar'!$K$679)=FALSE,"",'Dvd Calendar'!$K$679))</f>
        <v/>
      </c>
      <c r="AX72" s="161">
        <f>IF(FZ72="","",IF(ISNUMBER('Dvd Calendar'!$L$679)=FALSE,"",'Dvd Calendar'!$L$679))</f>
        <v/>
      </c>
      <c r="AY72" s="161">
        <f>IF(GA72="","",IF(ISNUMBER('Dvd Calendar'!$M$679)=FALSE,"",'Dvd Calendar'!$M$679))</f>
        <v/>
      </c>
      <c r="AZ72" s="161">
        <f>IF(GB72="","",IF(ISNUMBER('Dvd Calendar'!$N$679)=FALSE,"",'Dvd Calendar'!$N$679))</f>
        <v/>
      </c>
      <c r="BA72" s="161">
        <f>IF(GC72="","",IF(ISNUMBER('Dvd Calendar'!$O$679)=FALSE,"",'Dvd Calendar'!$O$679))</f>
        <v/>
      </c>
      <c r="BB72" s="161">
        <f>IF(GD72="","",IF(ISNUMBER('Dvd Calendar'!$P$679)=FALSE,"",'Dvd Calendar'!$P$679))</f>
        <v/>
      </c>
      <c r="BC72" s="161">
        <f>IF(GE72="","",IF(ISNUMBER('Dvd Calendar'!$Q$679)=FALSE,"",'Dvd Calendar'!$Q$679))</f>
        <v/>
      </c>
      <c r="BD72" s="161">
        <f>IF(GF72="","",IF(ISNUMBER('Dvd Calendar'!$R$679)=FALSE,"",'Dvd Calendar'!$R$679))</f>
        <v/>
      </c>
      <c r="BE72" s="161">
        <f>IF(GG72="","",IF(ISNUMBER('Dvd Calendar'!$S$679)=FALSE,"",'Dvd Calendar'!$S$679))</f>
        <v/>
      </c>
      <c r="BF72" s="161">
        <f>IF(GH72="","",IF(ISNUMBER('Dvd Calendar'!$T$679)=FALSE,"",'Dvd Calendar'!$T$679))</f>
        <v/>
      </c>
      <c r="BG72" s="161">
        <f>IF(GI72="","",IF(ISNUMBER('Dvd Calendar'!$U$679)=FALSE,"",'Dvd Calendar'!$U$679))</f>
        <v/>
      </c>
      <c r="BH72" s="161">
        <f>IF(GJ72="","",IF(ISNUMBER('Dvd Calendar'!$V$679)=FALSE,"",'Dvd Calendar'!$V$679))</f>
        <v/>
      </c>
      <c r="BI72" s="161">
        <f>IF(GK72="","",IF(ISNUMBER('Dvd Calendar'!$W$679)=FALSE,"",'Dvd Calendar'!$W$679))</f>
        <v/>
      </c>
      <c r="BJ72" s="161">
        <f>IF(GL72="","",IF(ISNUMBER('Dvd Calendar'!$X$679)=FALSE,"",'Dvd Calendar'!$X$679))</f>
        <v/>
      </c>
      <c r="BK72" s="161">
        <f>IF(GM72="","",IF(ISNUMBER('Dvd Calendar'!$Y$679)=FALSE,"",'Dvd Calendar'!$Y$679))</f>
        <v/>
      </c>
      <c r="BL72" s="161">
        <f>IF(GN72="","",IF(ISNUMBER('Dvd Calendar'!$Z$679)=FALSE,"",'Dvd Calendar'!$Z$679))</f>
        <v/>
      </c>
      <c r="BM72" s="161">
        <f>IF(GO72="","",IF(ISNUMBER('Dvd Calendar'!$AA$679)=FALSE,"",'Dvd Calendar'!$AA$679))</f>
        <v/>
      </c>
      <c r="BN72" s="161">
        <f>IF(GP72="","",IF(ISNUMBER('Dvd Calendar'!$AB$679)=FALSE,"",'Dvd Calendar'!$AB$679))</f>
        <v/>
      </c>
      <c r="BO72" s="161">
        <f>IF(GQ72="","",IF(ISNUMBER('Dvd Calendar'!$AC$679)=FALSE,"",'Dvd Calendar'!$AC$679))</f>
        <v/>
      </c>
      <c r="BQ72" s="161">
        <f>IF(C72="","",IFERROR(C72*HSI!$B$67*HSI!$G$67/HSI!$B$3,""))</f>
        <v/>
      </c>
      <c r="BR72" s="161">
        <f>IF(D72="","",IFERROR(D72*HSI!$B$67*HSI!$G$67/HSI!$B$3,""))</f>
        <v/>
      </c>
      <c r="BS72" s="161">
        <f>IF(E72="","",IFERROR(E72*HSI!$B$67*HSI!$G$67/HSI!$B$3,""))</f>
        <v/>
      </c>
      <c r="BT72" s="161">
        <f>IF(F72="","",IFERROR(F72*HSI!$B$67*HSI!$G$67/HSI!$B$3,""))</f>
        <v/>
      </c>
      <c r="BU72" s="161">
        <f>IF(G72="","",IFERROR(G72*HSI!$B$67*HSI!$G$67/HSI!$B$3,""))</f>
        <v/>
      </c>
      <c r="BV72" s="161">
        <f>IF(H72="","",IFERROR(H72*HSI!$B$67*HSI!$G$67/HSI!$B$3,""))</f>
        <v/>
      </c>
      <c r="BW72" s="161">
        <f>IF(I72="","",IFERROR(I72*HSI!$B$67*HSI!$G$67/HSI!$B$3,""))</f>
        <v/>
      </c>
      <c r="BX72" s="161">
        <f>IF(J72="","",IFERROR(J72*HSI!$B$67*HSI!$G$67/HSI!$B$3,""))</f>
        <v/>
      </c>
      <c r="BY72" s="161">
        <f>IF(K72="","",IFERROR(K72*HSI!$B$67*HSI!$G$67/HSI!$B$3,""))</f>
        <v/>
      </c>
      <c r="BZ72" s="161">
        <f>IF(L72="","",IFERROR(L72*HSI!$B$67*HSI!$G$67/HSI!$B$3,""))</f>
        <v/>
      </c>
      <c r="CA72" s="161">
        <f>IF(M72="","",IFERROR(M72*HSI!$B$67*HSI!$G$67/HSI!$B$3,""))</f>
        <v/>
      </c>
      <c r="CB72" s="161">
        <f>IF(N72="","",IFERROR(N72*HSI!$B$67*HSI!$G$67/HSI!$B$3,""))</f>
        <v/>
      </c>
      <c r="CC72" s="161">
        <f>IF(O72="","",IFERROR(O72*HSI!$B$67*HSI!$G$67/HSI!$B$3,""))</f>
        <v/>
      </c>
      <c r="CD72" s="161">
        <f>IF(P72="","",IFERROR(P72*HSI!$B$67*HSI!$G$67/HSI!$B$3,""))</f>
        <v/>
      </c>
      <c r="CE72" s="161">
        <f>IF(Q72="","",IFERROR(Q72*HSI!$B$67*HSI!$G$67/HSI!$B$3,""))</f>
        <v/>
      </c>
      <c r="CF72" s="161">
        <f>IF(R72="","",IFERROR(R72*HSI!$B$67*HSI!$G$67/HSI!$B$3,""))</f>
        <v/>
      </c>
      <c r="CG72" s="161">
        <f>IF(S72="","",IFERROR(S72*HSI!$B$67*HSI!$G$67/HSI!$B$3,""))</f>
        <v/>
      </c>
      <c r="CH72" s="161">
        <f>IF(T72="","",IFERROR(T72*HSI!$B$67*HSI!$G$67/HSI!$B$3,""))</f>
        <v/>
      </c>
      <c r="CI72" s="161">
        <f>IF(U72="","",IFERROR(U72*HSI!$B$67*HSI!$G$67/HSI!$B$3,""))</f>
        <v/>
      </c>
      <c r="CJ72" s="161">
        <f>IF(V72="","",IFERROR(V72*HSI!$B$67*HSI!$G$67/HSI!$B$3,""))</f>
        <v/>
      </c>
      <c r="CK72" s="161">
        <f>IF(W72="","",IFERROR(W72*HSI!$B$67*HSI!$G$67/HSI!$B$3,""))</f>
        <v/>
      </c>
      <c r="CL72" s="161">
        <f>IF(X72="","",IFERROR(X72*HSI!$B$67*HSI!$G$67/HSI!$B$3,""))</f>
        <v/>
      </c>
      <c r="CM72" s="161">
        <f>IF(Y72="","",IFERROR(Y72*HSI!$B$67*HSI!$G$67/HSI!$B$3,""))</f>
        <v/>
      </c>
      <c r="CN72" s="161">
        <f>IF(Z72="","",IFERROR(Z72*HSI!$B$67*HSI!$G$67/HSI!$B$3,""))</f>
        <v/>
      </c>
      <c r="CO72" s="161">
        <f>IF(AA72="","",IFERROR(AA72*HSI!$B$67*HSI!$G$67/HSI!$B$3,""))</f>
        <v/>
      </c>
      <c r="CP72" s="161">
        <f>IF(AB72="","",IFERROR(AB72*HSI!$B$67*HSI!$G$67/HSI!$B$3,""))</f>
        <v/>
      </c>
      <c r="CQ72" s="161">
        <f>IF(AC72="","",IFERROR(AC72*HSI!$B$67*HSI!$G$67/HSI!$B$3,""))</f>
        <v/>
      </c>
      <c r="CR72" s="161">
        <f>IF(AD72="","",IFERROR(AD72*HSI!$B$67*HSI!$G$67/HSI!$B$3,""))</f>
        <v/>
      </c>
      <c r="CS72" s="161">
        <f>IF(AE72="","",IFERROR(AE72*HSI!$B$67*HSI!$G$67/HSI!$B$3,""))</f>
        <v/>
      </c>
      <c r="CT72" s="161">
        <f>IF(AF72="","",IFERROR(AF72*HSI!$B$67*HSI!$G$67/HSI!$B$3,""))</f>
        <v/>
      </c>
      <c r="CU72" s="161">
        <f>IF(AG72="","",IFERROR(AG72*HSI!$B$67*HSI!$G$67/HSI!$B$3,""))</f>
        <v/>
      </c>
      <c r="CV72" s="161">
        <f>IF(AH72="","",IFERROR(AH72*HSI!$B$67*HSI!$G$67/HSI!$B$3,""))</f>
        <v/>
      </c>
      <c r="CW72" s="161">
        <f>IF(AI72="","",IFERROR(AI72*HSI!$B$67*HSI!$G$67/HSI!$B$3,""))</f>
        <v/>
      </c>
      <c r="CX72" s="161">
        <f>IF(AJ72="","",IFERROR(AJ72*HSI!$B$67*HSI!$G$67/HSI!$B$3,""))</f>
        <v/>
      </c>
      <c r="CY72" s="161">
        <f>IF(AK72="","",IFERROR(AK72*HSI!$B$67*HSI!$G$67/HSI!$B$3,""))</f>
        <v/>
      </c>
      <c r="CZ72" s="161">
        <f>IF(AL72="","",IFERROR(AL72*HSI!$B$67*HSI!$G$67/HSI!$B$3,""))</f>
        <v/>
      </c>
      <c r="DA72" s="161">
        <f>IF(AM72="","",IFERROR(AM72*HSI!$B$67*HSI!$G$67/HSI!$B$3,""))</f>
        <v/>
      </c>
      <c r="DB72" s="161">
        <f>IF(AN72="","",IFERROR(AN72*HSI!$B$67*HSI!$G$67/HSI!$B$3,""))</f>
        <v/>
      </c>
      <c r="DC72" s="161">
        <f>IF(AO72="","",IFERROR(AO72*HSI!$B$67*HSI!$G$67/HSI!$B$3,""))</f>
        <v/>
      </c>
      <c r="DD72" s="161">
        <f>IF(AP72="","",IFERROR(AP72*HSI!$B$67*HSI!$G$67/HSI!$B$3,""))</f>
        <v/>
      </c>
      <c r="DE72" s="161">
        <f>IF(AQ72="","",IFERROR(AQ72*HSI!$B$67*HSI!$G$67/HSI!$B$3,""))</f>
        <v/>
      </c>
      <c r="DF72" s="161">
        <f>IF(AR72="","",IFERROR(AR72*HSI!$B$67*HSI!$G$67/HSI!$B$3,""))</f>
        <v/>
      </c>
      <c r="DG72" s="161">
        <f>IF(AS72="","",IFERROR(AS72*HSI!$B$67*HSI!$G$67/HSI!$B$3,""))</f>
        <v/>
      </c>
      <c r="DH72" s="161">
        <f>IF(AT72="","",IFERROR(AT72*HSI!$B$67*HSI!$G$67/HSI!$B$3,""))</f>
        <v/>
      </c>
      <c r="DI72" s="161">
        <f>IF(AU72="","",IFERROR(AU72*HSI!$B$67*HSI!$G$67/HSI!$B$3,""))</f>
        <v/>
      </c>
      <c r="DJ72" s="161">
        <f>IF(AV72="","",IFERROR(AV72*HSI!$B$67*HSI!$G$67/HSI!$B$3,""))</f>
        <v/>
      </c>
      <c r="DK72" s="161">
        <f>IF(AW72="","",IFERROR(AW72*HSI!$B$67*HSI!$G$67/HSI!$B$3,""))</f>
        <v/>
      </c>
      <c r="DL72" s="161">
        <f>IF(AX72="","",IFERROR(AX72*HSI!$B$67*HSI!$G$67/HSI!$B$3,""))</f>
        <v/>
      </c>
      <c r="DM72" s="161">
        <f>IF(AY72="","",IFERROR(AY72*HSI!$B$67*HSI!$G$67/HSI!$B$3,""))</f>
        <v/>
      </c>
      <c r="DN72" s="161">
        <f>IF(AZ72="","",IFERROR(AZ72*HSI!$B$67*HSI!$G$67/HSI!$B$3,""))</f>
        <v/>
      </c>
      <c r="DO72" s="161">
        <f>IF(BA72="","",IFERROR(BA72*HSI!$B$67*HSI!$G$67/HSI!$B$3,""))</f>
        <v/>
      </c>
      <c r="DP72" s="161">
        <f>IF(BB72="","",IFERROR(BB72*HSI!$B$67*HSI!$G$67/HSI!$B$3,""))</f>
        <v/>
      </c>
      <c r="DQ72" s="161">
        <f>IF(BC72="","",IFERROR(BC72*HSI!$B$67*HSI!$G$67/HSI!$B$3,""))</f>
        <v/>
      </c>
      <c r="DR72" s="161">
        <f>IF(BD72="","",IFERROR(BD72*HSI!$B$67*HSI!$G$67/HSI!$B$3,""))</f>
        <v/>
      </c>
      <c r="DS72" s="161">
        <f>IF(BE72="","",IFERROR(BE72*HSI!$B$67*HSI!$G$67/HSI!$B$3,""))</f>
        <v/>
      </c>
      <c r="DT72" s="161">
        <f>IF(BF72="","",IFERROR(BF72*HSI!$B$67*HSI!$G$67/HSI!$B$3,""))</f>
        <v/>
      </c>
      <c r="DU72" s="161">
        <f>IF(BG72="","",IFERROR(BG72*HSI!$B$67*HSI!$G$67/HSI!$B$3,""))</f>
        <v/>
      </c>
      <c r="DV72" s="161">
        <f>IF(BH72="","",IFERROR(BH72*HSI!$B$67*HSI!$G$67/HSI!$B$3,""))</f>
        <v/>
      </c>
      <c r="DW72" s="161">
        <f>IF(BI72="","",IFERROR(BI72*HSI!$B$67*HSI!$G$67/HSI!$B$3,""))</f>
        <v/>
      </c>
      <c r="DX72" s="161">
        <f>IF(BJ72="","",IFERROR(BJ72*HSI!$B$67*HSI!$G$67/HSI!$B$3,""))</f>
        <v/>
      </c>
      <c r="DY72" s="161">
        <f>IF(BK72="","",IFERROR(BK72*HSI!$B$67*HSI!$G$67/HSI!$B$3,""))</f>
        <v/>
      </c>
      <c r="DZ72" s="161">
        <f>IF(BL72="","",IFERROR(BL72*HSI!$B$67*HSI!$G$67/HSI!$B$3,""))</f>
        <v/>
      </c>
      <c r="EA72" s="161">
        <f>IF(BM72="","",IFERROR(BM72*HSI!$B$67*HSI!$G$67/HSI!$B$3,""))</f>
        <v/>
      </c>
      <c r="EB72" s="161">
        <f>IF(BN72="","",IFERROR(BN72*HSI!$B$67*HSI!$G$67/HSI!$B$3,""))</f>
        <v/>
      </c>
      <c r="EC72" s="161">
        <f>IF(BO72="","",IFERROR(BO72*HSI!$B$67*HSI!$G$67/HSI!$B$3,""))</f>
        <v/>
      </c>
      <c r="EE72" s="121">
        <f>IF(N('Dvd Calendar'!$E$671)=0,"",IF(('Dvd Calendar'!$E$671&gt;=GRID_FROM)*('Dvd Calendar'!$E$671&lt;=GRID_TO)*((('Dvd Calendar'!$E$671&lt;=VAL_DATE)+(COUNTIF('Dvd Calendar'!$E$678:$AR$678,'Dvd Calendar'!$E$671)=0))&gt;0)=0,"",'Dvd Calendar'!$E$671*1000000000+ISNUMBER('Dvd Calendar'!$E$674)*100000000+('Dvd Calendar'!$E$676=SPECIAL_LBL)*10000000+(N('Dvd Calendar'!$E$670)&gt;0)*(N('Dvd Calendar'!$E$670)&lt;=VAL_SERIAL)*1000000+61*1000+1))</f>
        <v/>
      </c>
      <c r="EF72" s="121">
        <f>IF(N('Dvd Calendar'!$F$671)=0,"",IF(('Dvd Calendar'!$F$671&gt;=GRID_FROM)*('Dvd Calendar'!$F$671&lt;=GRID_TO)*((('Dvd Calendar'!$F$671&lt;=VAL_DATE)+(COUNTIF('Dvd Calendar'!$E$678:$AR$678,'Dvd Calendar'!$F$671)=0))&gt;0)=0,"",'Dvd Calendar'!$F$671*1000000000+ISNUMBER('Dvd Calendar'!$F$674)*100000000+('Dvd Calendar'!$F$676=SPECIAL_LBL)*10000000+(N('Dvd Calendar'!$F$670)&gt;0)*(N('Dvd Calendar'!$F$670)&lt;=VAL_SERIAL)*1000000+61*1000+2))</f>
        <v/>
      </c>
      <c r="EG72" s="121">
        <f>IF(N('Dvd Calendar'!$G$671)=0,"",IF(('Dvd Calendar'!$G$671&gt;=GRID_FROM)*('Dvd Calendar'!$G$671&lt;=GRID_TO)*((('Dvd Calendar'!$G$671&lt;=VAL_DATE)+(COUNTIF('Dvd Calendar'!$E$678:$AR$678,'Dvd Calendar'!$G$671)=0))&gt;0)=0,"",'Dvd Calendar'!$G$671*1000000000+ISNUMBER('Dvd Calendar'!$G$674)*100000000+('Dvd Calendar'!$G$676=SPECIAL_LBL)*10000000+(N('Dvd Calendar'!$G$670)&gt;0)*(N('Dvd Calendar'!$G$670)&lt;=VAL_SERIAL)*1000000+61*1000+3))</f>
        <v/>
      </c>
      <c r="EH72" s="121">
        <f>IF(N('Dvd Calendar'!$H$671)=0,"",IF(('Dvd Calendar'!$H$671&gt;=GRID_FROM)*('Dvd Calendar'!$H$671&lt;=GRID_TO)*((('Dvd Calendar'!$H$671&lt;=VAL_DATE)+(COUNTIF('Dvd Calendar'!$E$678:$AR$678,'Dvd Calendar'!$H$671)=0))&gt;0)=0,"",'Dvd Calendar'!$H$671*1000000000+ISNUMBER('Dvd Calendar'!$H$674)*100000000+('Dvd Calendar'!$H$676=SPECIAL_LBL)*10000000+(N('Dvd Calendar'!$H$670)&gt;0)*(N('Dvd Calendar'!$H$670)&lt;=VAL_SERIAL)*1000000+61*1000+4))</f>
        <v/>
      </c>
      <c r="EI72" s="121">
        <f>IF(N('Dvd Calendar'!$I$671)=0,"",IF(('Dvd Calendar'!$I$671&gt;=GRID_FROM)*('Dvd Calendar'!$I$671&lt;=GRID_TO)*((('Dvd Calendar'!$I$671&lt;=VAL_DATE)+(COUNTIF('Dvd Calendar'!$E$678:$AR$678,'Dvd Calendar'!$I$671)=0))&gt;0)=0,"",'Dvd Calendar'!$I$671*1000000000+ISNUMBER('Dvd Calendar'!$I$674)*100000000+('Dvd Calendar'!$I$676=SPECIAL_LBL)*10000000+(N('Dvd Calendar'!$I$670)&gt;0)*(N('Dvd Calendar'!$I$670)&lt;=VAL_SERIAL)*1000000+61*1000+5))</f>
        <v/>
      </c>
      <c r="EJ72" s="121">
        <f>IF(N('Dvd Calendar'!$J$671)=0,"",IF(('Dvd Calendar'!$J$671&gt;=GRID_FROM)*('Dvd Calendar'!$J$671&lt;=GRID_TO)*((('Dvd Calendar'!$J$671&lt;=VAL_DATE)+(COUNTIF('Dvd Calendar'!$E$678:$AR$678,'Dvd Calendar'!$J$671)=0))&gt;0)=0,"",'Dvd Calendar'!$J$671*1000000000+ISNUMBER('Dvd Calendar'!$J$674)*100000000+('Dvd Calendar'!$J$676=SPECIAL_LBL)*10000000+(N('Dvd Calendar'!$J$670)&gt;0)*(N('Dvd Calendar'!$J$670)&lt;=VAL_SERIAL)*1000000+61*1000+6))</f>
        <v/>
      </c>
      <c r="EK72" s="121">
        <f>IF(N('Dvd Calendar'!$K$671)=0,"",IF(('Dvd Calendar'!$K$671&gt;=GRID_FROM)*('Dvd Calendar'!$K$671&lt;=GRID_TO)*((('Dvd Calendar'!$K$671&lt;=VAL_DATE)+(COUNTIF('Dvd Calendar'!$E$678:$AR$678,'Dvd Calendar'!$K$671)=0))&gt;0)=0,"",'Dvd Calendar'!$K$671*1000000000+ISNUMBER('Dvd Calendar'!$K$674)*100000000+('Dvd Calendar'!$K$676=SPECIAL_LBL)*10000000+(N('Dvd Calendar'!$K$670)&gt;0)*(N('Dvd Calendar'!$K$670)&lt;=VAL_SERIAL)*1000000+61*1000+7))</f>
        <v/>
      </c>
      <c r="EL72" s="121">
        <f>IF(N('Dvd Calendar'!$L$671)=0,"",IF(('Dvd Calendar'!$L$671&gt;=GRID_FROM)*('Dvd Calendar'!$L$671&lt;=GRID_TO)*((('Dvd Calendar'!$L$671&lt;=VAL_DATE)+(COUNTIF('Dvd Calendar'!$E$678:$AR$678,'Dvd Calendar'!$L$671)=0))&gt;0)=0,"",'Dvd Calendar'!$L$671*1000000000+ISNUMBER('Dvd Calendar'!$L$674)*100000000+('Dvd Calendar'!$L$676=SPECIAL_LBL)*10000000+(N('Dvd Calendar'!$L$670)&gt;0)*(N('Dvd Calendar'!$L$670)&lt;=VAL_SERIAL)*1000000+61*1000+8))</f>
        <v/>
      </c>
      <c r="EM72" s="121">
        <f>IF(N('Dvd Calendar'!$M$671)=0,"",IF(('Dvd Calendar'!$M$671&gt;=GRID_FROM)*('Dvd Calendar'!$M$671&lt;=GRID_TO)*((('Dvd Calendar'!$M$671&lt;=VAL_DATE)+(COUNTIF('Dvd Calendar'!$E$678:$AR$678,'Dvd Calendar'!$M$671)=0))&gt;0)=0,"",'Dvd Calendar'!$M$671*1000000000+ISNUMBER('Dvd Calendar'!$M$674)*100000000+('Dvd Calendar'!$M$676=SPECIAL_LBL)*10000000+(N('Dvd Calendar'!$M$670)&gt;0)*(N('Dvd Calendar'!$M$670)&lt;=VAL_SERIAL)*1000000+61*1000+9))</f>
        <v/>
      </c>
      <c r="EN72" s="121">
        <f>IF(N('Dvd Calendar'!$N$671)=0,"",IF(('Dvd Calendar'!$N$671&gt;=GRID_FROM)*('Dvd Calendar'!$N$671&lt;=GRID_TO)*((('Dvd Calendar'!$N$671&lt;=VAL_DATE)+(COUNTIF('Dvd Calendar'!$E$678:$AR$678,'Dvd Calendar'!$N$671)=0))&gt;0)=0,"",'Dvd Calendar'!$N$671*1000000000+ISNUMBER('Dvd Calendar'!$N$674)*100000000+('Dvd Calendar'!$N$676=SPECIAL_LBL)*10000000+(N('Dvd Calendar'!$N$670)&gt;0)*(N('Dvd Calendar'!$N$670)&lt;=VAL_SERIAL)*1000000+61*1000+10))</f>
        <v/>
      </c>
      <c r="EO72" s="121">
        <f>IF(N('Dvd Calendar'!$O$671)=0,"",IF(('Dvd Calendar'!$O$671&gt;=GRID_FROM)*('Dvd Calendar'!$O$671&lt;=GRID_TO)*((('Dvd Calendar'!$O$671&lt;=VAL_DATE)+(COUNTIF('Dvd Calendar'!$E$678:$AR$678,'Dvd Calendar'!$O$671)=0))&gt;0)=0,"",'Dvd Calendar'!$O$671*1000000000+ISNUMBER('Dvd Calendar'!$O$674)*100000000+('Dvd Calendar'!$O$676=SPECIAL_LBL)*10000000+(N('Dvd Calendar'!$O$670)&gt;0)*(N('Dvd Calendar'!$O$670)&lt;=VAL_SERIAL)*1000000+61*1000+11))</f>
        <v/>
      </c>
      <c r="EP72" s="121">
        <f>IF(N('Dvd Calendar'!$P$671)=0,"",IF(('Dvd Calendar'!$P$671&gt;=GRID_FROM)*('Dvd Calendar'!$P$671&lt;=GRID_TO)*((('Dvd Calendar'!$P$671&lt;=VAL_DATE)+(COUNTIF('Dvd Calendar'!$E$678:$AR$678,'Dvd Calendar'!$P$671)=0))&gt;0)=0,"",'Dvd Calendar'!$P$671*1000000000+ISNUMBER('Dvd Calendar'!$P$674)*100000000+('Dvd Calendar'!$P$676=SPECIAL_LBL)*10000000+(N('Dvd Calendar'!$P$670)&gt;0)*(N('Dvd Calendar'!$P$670)&lt;=VAL_SERIAL)*1000000+61*1000+12))</f>
        <v/>
      </c>
      <c r="EQ72" s="121">
        <f>IF(N('Dvd Calendar'!$Q$671)=0,"",IF(('Dvd Calendar'!$Q$671&gt;=GRID_FROM)*('Dvd Calendar'!$Q$671&lt;=GRID_TO)*((('Dvd Calendar'!$Q$671&lt;=VAL_DATE)+(COUNTIF('Dvd Calendar'!$E$678:$AR$678,'Dvd Calendar'!$Q$671)=0))&gt;0)=0,"",'Dvd Calendar'!$Q$671*1000000000+ISNUMBER('Dvd Calendar'!$Q$674)*100000000+('Dvd Calendar'!$Q$676=SPECIAL_LBL)*10000000+(N('Dvd Calendar'!$Q$670)&gt;0)*(N('Dvd Calendar'!$Q$670)&lt;=VAL_SERIAL)*1000000+61*1000+13))</f>
        <v/>
      </c>
      <c r="ER72" s="121">
        <f>IF(N('Dvd Calendar'!$R$671)=0,"",IF(('Dvd Calendar'!$R$671&gt;=GRID_FROM)*('Dvd Calendar'!$R$671&lt;=GRID_TO)*((('Dvd Calendar'!$R$671&lt;=VAL_DATE)+(COUNTIF('Dvd Calendar'!$E$678:$AR$678,'Dvd Calendar'!$R$671)=0))&gt;0)=0,"",'Dvd Calendar'!$R$671*1000000000+ISNUMBER('Dvd Calendar'!$R$674)*100000000+('Dvd Calendar'!$R$676=SPECIAL_LBL)*10000000+(N('Dvd Calendar'!$R$670)&gt;0)*(N('Dvd Calendar'!$R$670)&lt;=VAL_SERIAL)*1000000+61*1000+14))</f>
        <v/>
      </c>
      <c r="ES72" s="121">
        <f>IF(N('Dvd Calendar'!$S$671)=0,"",IF(('Dvd Calendar'!$S$671&gt;=GRID_FROM)*('Dvd Calendar'!$S$671&lt;=GRID_TO)*((('Dvd Calendar'!$S$671&lt;=VAL_DATE)+(COUNTIF('Dvd Calendar'!$E$678:$AR$678,'Dvd Calendar'!$S$671)=0))&gt;0)=0,"",'Dvd Calendar'!$S$671*1000000000+ISNUMBER('Dvd Calendar'!$S$674)*100000000+('Dvd Calendar'!$S$676=SPECIAL_LBL)*10000000+(N('Dvd Calendar'!$S$670)&gt;0)*(N('Dvd Calendar'!$S$670)&lt;=VAL_SERIAL)*1000000+61*1000+15))</f>
        <v/>
      </c>
      <c r="ET72" s="121">
        <f>IF(N('Dvd Calendar'!$T$671)=0,"",IF(('Dvd Calendar'!$T$671&gt;=GRID_FROM)*('Dvd Calendar'!$T$671&lt;=GRID_TO)*((('Dvd Calendar'!$T$671&lt;=VAL_DATE)+(COUNTIF('Dvd Calendar'!$E$678:$AR$678,'Dvd Calendar'!$T$671)=0))&gt;0)=0,"",'Dvd Calendar'!$T$671*1000000000+ISNUMBER('Dvd Calendar'!$T$674)*100000000+('Dvd Calendar'!$T$676=SPECIAL_LBL)*10000000+(N('Dvd Calendar'!$T$670)&gt;0)*(N('Dvd Calendar'!$T$670)&lt;=VAL_SERIAL)*1000000+61*1000+16))</f>
        <v/>
      </c>
      <c r="EU72" s="121">
        <f>IF(N('Dvd Calendar'!$U$671)=0,"",IF(('Dvd Calendar'!$U$671&gt;=GRID_FROM)*('Dvd Calendar'!$U$671&lt;=GRID_TO)*((('Dvd Calendar'!$U$671&lt;=VAL_DATE)+(COUNTIF('Dvd Calendar'!$E$678:$AR$678,'Dvd Calendar'!$U$671)=0))&gt;0)=0,"",'Dvd Calendar'!$U$671*1000000000+ISNUMBER('Dvd Calendar'!$U$674)*100000000+('Dvd Calendar'!$U$676=SPECIAL_LBL)*10000000+(N('Dvd Calendar'!$U$670)&gt;0)*(N('Dvd Calendar'!$U$670)&lt;=VAL_SERIAL)*1000000+61*1000+17))</f>
        <v/>
      </c>
      <c r="EV72" s="121">
        <f>IF(N('Dvd Calendar'!$V$671)=0,"",IF(('Dvd Calendar'!$V$671&gt;=GRID_FROM)*('Dvd Calendar'!$V$671&lt;=GRID_TO)*((('Dvd Calendar'!$V$671&lt;=VAL_DATE)+(COUNTIF('Dvd Calendar'!$E$678:$AR$678,'Dvd Calendar'!$V$671)=0))&gt;0)=0,"",'Dvd Calendar'!$V$671*1000000000+ISNUMBER('Dvd Calendar'!$V$674)*100000000+('Dvd Calendar'!$V$676=SPECIAL_LBL)*10000000+(N('Dvd Calendar'!$V$670)&gt;0)*(N('Dvd Calendar'!$V$670)&lt;=VAL_SERIAL)*1000000+61*1000+18))</f>
        <v/>
      </c>
      <c r="EW72" s="121">
        <f>IF(N('Dvd Calendar'!$W$671)=0,"",IF(('Dvd Calendar'!$W$671&gt;=GRID_FROM)*('Dvd Calendar'!$W$671&lt;=GRID_TO)*((('Dvd Calendar'!$W$671&lt;=VAL_DATE)+(COUNTIF('Dvd Calendar'!$E$678:$AR$678,'Dvd Calendar'!$W$671)=0))&gt;0)=0,"",'Dvd Calendar'!$W$671*1000000000+ISNUMBER('Dvd Calendar'!$W$674)*100000000+('Dvd Calendar'!$W$676=SPECIAL_LBL)*10000000+(N('Dvd Calendar'!$W$670)&gt;0)*(N('Dvd Calendar'!$W$670)&lt;=VAL_SERIAL)*1000000+61*1000+19))</f>
        <v/>
      </c>
      <c r="EX72" s="121">
        <f>IF(N('Dvd Calendar'!$X$671)=0,"",IF(('Dvd Calendar'!$X$671&gt;=GRID_FROM)*('Dvd Calendar'!$X$671&lt;=GRID_TO)*((('Dvd Calendar'!$X$671&lt;=VAL_DATE)+(COUNTIF('Dvd Calendar'!$E$678:$AR$678,'Dvd Calendar'!$X$671)=0))&gt;0)=0,"",'Dvd Calendar'!$X$671*1000000000+ISNUMBER('Dvd Calendar'!$X$674)*100000000+('Dvd Calendar'!$X$676=SPECIAL_LBL)*10000000+(N('Dvd Calendar'!$X$670)&gt;0)*(N('Dvd Calendar'!$X$670)&lt;=VAL_SERIAL)*1000000+61*1000+20))</f>
        <v/>
      </c>
      <c r="EY72" s="121">
        <f>IF(N('Dvd Calendar'!$Y$671)=0,"",IF(('Dvd Calendar'!$Y$671&gt;=GRID_FROM)*('Dvd Calendar'!$Y$671&lt;=GRID_TO)*((('Dvd Calendar'!$Y$671&lt;=VAL_DATE)+(COUNTIF('Dvd Calendar'!$E$678:$AR$678,'Dvd Calendar'!$Y$671)=0))&gt;0)=0,"",'Dvd Calendar'!$Y$671*1000000000+ISNUMBER('Dvd Calendar'!$Y$674)*100000000+('Dvd Calendar'!$Y$676=SPECIAL_LBL)*10000000+(N('Dvd Calendar'!$Y$670)&gt;0)*(N('Dvd Calendar'!$Y$670)&lt;=VAL_SERIAL)*1000000+61*1000+21))</f>
        <v/>
      </c>
      <c r="EZ72" s="121">
        <f>IF(N('Dvd Calendar'!$Z$671)=0,"",IF(('Dvd Calendar'!$Z$671&gt;=GRID_FROM)*('Dvd Calendar'!$Z$671&lt;=GRID_TO)*((('Dvd Calendar'!$Z$671&lt;=VAL_DATE)+(COUNTIF('Dvd Calendar'!$E$678:$AR$678,'Dvd Calendar'!$Z$671)=0))&gt;0)=0,"",'Dvd Calendar'!$Z$671*1000000000+ISNUMBER('Dvd Calendar'!$Z$674)*100000000+('Dvd Calendar'!$Z$676=SPECIAL_LBL)*10000000+(N('Dvd Calendar'!$Z$670)&gt;0)*(N('Dvd Calendar'!$Z$670)&lt;=VAL_SERIAL)*1000000+61*1000+22))</f>
        <v/>
      </c>
      <c r="FA72" s="121">
        <f>IF(N('Dvd Calendar'!$AA$671)=0,"",IF(('Dvd Calendar'!$AA$671&gt;=GRID_FROM)*('Dvd Calendar'!$AA$671&lt;=GRID_TO)*((('Dvd Calendar'!$AA$671&lt;=VAL_DATE)+(COUNTIF('Dvd Calendar'!$E$678:$AR$678,'Dvd Calendar'!$AA$671)=0))&gt;0)=0,"",'Dvd Calendar'!$AA$671*1000000000+ISNUMBER('Dvd Calendar'!$AA$674)*100000000+('Dvd Calendar'!$AA$676=SPECIAL_LBL)*10000000+(N('Dvd Calendar'!$AA$670)&gt;0)*(N('Dvd Calendar'!$AA$670)&lt;=VAL_SERIAL)*1000000+61*1000+23))</f>
        <v/>
      </c>
      <c r="FB72" s="121">
        <f>IF(N('Dvd Calendar'!$AB$671)=0,"",IF(('Dvd Calendar'!$AB$671&gt;=GRID_FROM)*('Dvd Calendar'!$AB$671&lt;=GRID_TO)*((('Dvd Calendar'!$AB$671&lt;=VAL_DATE)+(COUNTIF('Dvd Calendar'!$E$678:$AR$678,'Dvd Calendar'!$AB$671)=0))&gt;0)=0,"",'Dvd Calendar'!$AB$671*1000000000+ISNUMBER('Dvd Calendar'!$AB$674)*100000000+('Dvd Calendar'!$AB$676=SPECIAL_LBL)*10000000+(N('Dvd Calendar'!$AB$670)&gt;0)*(N('Dvd Calendar'!$AB$670)&lt;=VAL_SERIAL)*1000000+61*1000+24))</f>
        <v/>
      </c>
      <c r="FC72" s="121">
        <f>IF(N('Dvd Calendar'!$AC$671)=0,"",IF(('Dvd Calendar'!$AC$671&gt;=GRID_FROM)*('Dvd Calendar'!$AC$671&lt;=GRID_TO)*((('Dvd Calendar'!$AC$671&lt;=VAL_DATE)+(COUNTIF('Dvd Calendar'!$E$678:$AR$678,'Dvd Calendar'!$AC$671)=0))&gt;0)=0,"",'Dvd Calendar'!$AC$671*1000000000+ISNUMBER('Dvd Calendar'!$AC$674)*100000000+('Dvd Calendar'!$AC$676=SPECIAL_LBL)*10000000+(N('Dvd Calendar'!$AC$670)&gt;0)*(N('Dvd Calendar'!$AC$670)&lt;=VAL_SERIAL)*1000000+61*1000+25))</f>
        <v/>
      </c>
      <c r="FD72" s="121">
        <f>IF(N('Dvd Calendar'!$AD$671)=0,"",IF(('Dvd Calendar'!$AD$671&gt;=GRID_FROM)*('Dvd Calendar'!$AD$671&lt;=GRID_TO)*((('Dvd Calendar'!$AD$671&lt;=VAL_DATE)+(COUNTIF('Dvd Calendar'!$E$678:$AR$678,'Dvd Calendar'!$AD$671)=0))&gt;0)=0,"",'Dvd Calendar'!$AD$671*1000000000+ISNUMBER('Dvd Calendar'!$AD$674)*100000000+('Dvd Calendar'!$AD$676=SPECIAL_LBL)*10000000+(N('Dvd Calendar'!$AD$670)&gt;0)*(N('Dvd Calendar'!$AD$670)&lt;=VAL_SERIAL)*1000000+61*1000+26))</f>
        <v/>
      </c>
      <c r="FE72" s="121">
        <f>IF(N('Dvd Calendar'!$AE$671)=0,"",IF(('Dvd Calendar'!$AE$671&gt;=GRID_FROM)*('Dvd Calendar'!$AE$671&lt;=GRID_TO)*((('Dvd Calendar'!$AE$671&lt;=VAL_DATE)+(COUNTIF('Dvd Calendar'!$E$678:$AR$678,'Dvd Calendar'!$AE$671)=0))&gt;0)=0,"",'Dvd Calendar'!$AE$671*1000000000+ISNUMBER('Dvd Calendar'!$AE$674)*100000000+('Dvd Calendar'!$AE$676=SPECIAL_LBL)*10000000+(N('Dvd Calendar'!$AE$670)&gt;0)*(N('Dvd Calendar'!$AE$670)&lt;=VAL_SERIAL)*1000000+61*1000+27))</f>
        <v/>
      </c>
      <c r="FF72" s="121">
        <f>IF(N('Dvd Calendar'!$AF$671)=0,"",IF(('Dvd Calendar'!$AF$671&gt;=GRID_FROM)*('Dvd Calendar'!$AF$671&lt;=GRID_TO)*((('Dvd Calendar'!$AF$671&lt;=VAL_DATE)+(COUNTIF('Dvd Calendar'!$E$678:$AR$678,'Dvd Calendar'!$AF$671)=0))&gt;0)=0,"",'Dvd Calendar'!$AF$671*1000000000+ISNUMBER('Dvd Calendar'!$AF$674)*100000000+('Dvd Calendar'!$AF$676=SPECIAL_LBL)*10000000+(N('Dvd Calendar'!$AF$670)&gt;0)*(N('Dvd Calendar'!$AF$670)&lt;=VAL_SERIAL)*1000000+61*1000+28))</f>
        <v/>
      </c>
      <c r="FG72" s="121">
        <f>IF(N('Dvd Calendar'!$AG$671)=0,"",IF(('Dvd Calendar'!$AG$671&gt;=GRID_FROM)*('Dvd Calendar'!$AG$671&lt;=GRID_TO)*((('Dvd Calendar'!$AG$671&lt;=VAL_DATE)+(COUNTIF('Dvd Calendar'!$E$678:$AR$678,'Dvd Calendar'!$AG$671)=0))&gt;0)=0,"",'Dvd Calendar'!$AG$671*1000000000+ISNUMBER('Dvd Calendar'!$AG$674)*100000000+('Dvd Calendar'!$AG$676=SPECIAL_LBL)*10000000+(N('Dvd Calendar'!$AG$670)&gt;0)*(N('Dvd Calendar'!$AG$670)&lt;=VAL_SERIAL)*1000000+61*1000+29))</f>
        <v/>
      </c>
      <c r="FH72" s="121">
        <f>IF(N('Dvd Calendar'!$AH$671)=0,"",IF(('Dvd Calendar'!$AH$671&gt;=GRID_FROM)*('Dvd Calendar'!$AH$671&lt;=GRID_TO)*((('Dvd Calendar'!$AH$671&lt;=VAL_DATE)+(COUNTIF('Dvd Calendar'!$E$678:$AR$678,'Dvd Calendar'!$AH$671)=0))&gt;0)=0,"",'Dvd Calendar'!$AH$671*1000000000+ISNUMBER('Dvd Calendar'!$AH$674)*100000000+('Dvd Calendar'!$AH$676=SPECIAL_LBL)*10000000+(N('Dvd Calendar'!$AH$670)&gt;0)*(N('Dvd Calendar'!$AH$670)&lt;=VAL_SERIAL)*1000000+61*1000+30))</f>
        <v/>
      </c>
      <c r="FI72" s="121">
        <f>IF(N('Dvd Calendar'!$AI$671)=0,"",IF(('Dvd Calendar'!$AI$671&gt;=GRID_FROM)*('Dvd Calendar'!$AI$671&lt;=GRID_TO)*((('Dvd Calendar'!$AI$671&lt;=VAL_DATE)+(COUNTIF('Dvd Calendar'!$E$678:$AR$678,'Dvd Calendar'!$AI$671)=0))&gt;0)=0,"",'Dvd Calendar'!$AI$671*1000000000+ISNUMBER('Dvd Calendar'!$AI$674)*100000000+('Dvd Calendar'!$AI$676=SPECIAL_LBL)*10000000+(N('Dvd Calendar'!$AI$670)&gt;0)*(N('Dvd Calendar'!$AI$670)&lt;=VAL_SERIAL)*1000000+61*1000+31))</f>
        <v/>
      </c>
      <c r="FJ72" s="121">
        <f>IF(N('Dvd Calendar'!$AJ$671)=0,"",IF(('Dvd Calendar'!$AJ$671&gt;=GRID_FROM)*('Dvd Calendar'!$AJ$671&lt;=GRID_TO)*((('Dvd Calendar'!$AJ$671&lt;=VAL_DATE)+(COUNTIF('Dvd Calendar'!$E$678:$AR$678,'Dvd Calendar'!$AJ$671)=0))&gt;0)=0,"",'Dvd Calendar'!$AJ$671*1000000000+ISNUMBER('Dvd Calendar'!$AJ$674)*100000000+('Dvd Calendar'!$AJ$676=SPECIAL_LBL)*10000000+(N('Dvd Calendar'!$AJ$670)&gt;0)*(N('Dvd Calendar'!$AJ$670)&lt;=VAL_SERIAL)*1000000+61*1000+32))</f>
        <v/>
      </c>
      <c r="FK72" s="121">
        <f>IF(N('Dvd Calendar'!$AK$671)=0,"",IF(('Dvd Calendar'!$AK$671&gt;=GRID_FROM)*('Dvd Calendar'!$AK$671&lt;=GRID_TO)*((('Dvd Calendar'!$AK$671&lt;=VAL_DATE)+(COUNTIF('Dvd Calendar'!$E$678:$AR$678,'Dvd Calendar'!$AK$671)=0))&gt;0)=0,"",'Dvd Calendar'!$AK$671*1000000000+ISNUMBER('Dvd Calendar'!$AK$674)*100000000+('Dvd Calendar'!$AK$676=SPECIAL_LBL)*10000000+(N('Dvd Calendar'!$AK$670)&gt;0)*(N('Dvd Calendar'!$AK$670)&lt;=VAL_SERIAL)*1000000+61*1000+33))</f>
        <v/>
      </c>
      <c r="FL72" s="121">
        <f>IF(N('Dvd Calendar'!$AL$671)=0,"",IF(('Dvd Calendar'!$AL$671&gt;=GRID_FROM)*('Dvd Calendar'!$AL$671&lt;=GRID_TO)*((('Dvd Calendar'!$AL$671&lt;=VAL_DATE)+(COUNTIF('Dvd Calendar'!$E$678:$AR$678,'Dvd Calendar'!$AL$671)=0))&gt;0)=0,"",'Dvd Calendar'!$AL$671*1000000000+ISNUMBER('Dvd Calendar'!$AL$674)*100000000+('Dvd Calendar'!$AL$676=SPECIAL_LBL)*10000000+(N('Dvd Calendar'!$AL$670)&gt;0)*(N('Dvd Calendar'!$AL$670)&lt;=VAL_SERIAL)*1000000+61*1000+34))</f>
        <v/>
      </c>
      <c r="FM72" s="121">
        <f>IF(N('Dvd Calendar'!$AM$671)=0,"",IF(('Dvd Calendar'!$AM$671&gt;=GRID_FROM)*('Dvd Calendar'!$AM$671&lt;=GRID_TO)*((('Dvd Calendar'!$AM$671&lt;=VAL_DATE)+(COUNTIF('Dvd Calendar'!$E$678:$AR$678,'Dvd Calendar'!$AM$671)=0))&gt;0)=0,"",'Dvd Calendar'!$AM$671*1000000000+ISNUMBER('Dvd Calendar'!$AM$674)*100000000+('Dvd Calendar'!$AM$676=SPECIAL_LBL)*10000000+(N('Dvd Calendar'!$AM$670)&gt;0)*(N('Dvd Calendar'!$AM$670)&lt;=VAL_SERIAL)*1000000+61*1000+35))</f>
        <v/>
      </c>
      <c r="FN72" s="121">
        <f>IF(N('Dvd Calendar'!$AN$671)=0,"",IF(('Dvd Calendar'!$AN$671&gt;=GRID_FROM)*('Dvd Calendar'!$AN$671&lt;=GRID_TO)*((('Dvd Calendar'!$AN$671&lt;=VAL_DATE)+(COUNTIF('Dvd Calendar'!$E$678:$AR$678,'Dvd Calendar'!$AN$671)=0))&gt;0)=0,"",'Dvd Calendar'!$AN$671*1000000000+ISNUMBER('Dvd Calendar'!$AN$674)*100000000+('Dvd Calendar'!$AN$676=SPECIAL_LBL)*10000000+(N('Dvd Calendar'!$AN$670)&gt;0)*(N('Dvd Calendar'!$AN$670)&lt;=VAL_SERIAL)*1000000+61*1000+36))</f>
        <v/>
      </c>
      <c r="FO72" s="121">
        <f>IF(N('Dvd Calendar'!$AO$671)=0,"",IF(('Dvd Calendar'!$AO$671&gt;=GRID_FROM)*('Dvd Calendar'!$AO$671&lt;=GRID_TO)*((('Dvd Calendar'!$AO$671&lt;=VAL_DATE)+(COUNTIF('Dvd Calendar'!$E$678:$AR$678,'Dvd Calendar'!$AO$671)=0))&gt;0)=0,"",'Dvd Calendar'!$AO$671*1000000000+ISNUMBER('Dvd Calendar'!$AO$674)*100000000+('Dvd Calendar'!$AO$676=SPECIAL_LBL)*10000000+(N('Dvd Calendar'!$AO$670)&gt;0)*(N('Dvd Calendar'!$AO$670)&lt;=VAL_SERIAL)*1000000+61*1000+37))</f>
        <v/>
      </c>
      <c r="FP72" s="121">
        <f>IF(N('Dvd Calendar'!$AP$671)=0,"",IF(('Dvd Calendar'!$AP$671&gt;=GRID_FROM)*('Dvd Calendar'!$AP$671&lt;=GRID_TO)*((('Dvd Calendar'!$AP$671&lt;=VAL_DATE)+(COUNTIF('Dvd Calendar'!$E$678:$AR$678,'Dvd Calendar'!$AP$671)=0))&gt;0)=0,"",'Dvd Calendar'!$AP$671*1000000000+ISNUMBER('Dvd Calendar'!$AP$674)*100000000+('Dvd Calendar'!$AP$676=SPECIAL_LBL)*10000000+(N('Dvd Calendar'!$AP$670)&gt;0)*(N('Dvd Calendar'!$AP$670)&lt;=VAL_SERIAL)*1000000+61*1000+38))</f>
        <v/>
      </c>
      <c r="FQ72" s="121">
        <f>IF(N('Dvd Calendar'!$AQ$671)=0,"",IF(('Dvd Calendar'!$AQ$671&gt;=GRID_FROM)*('Dvd Calendar'!$AQ$671&lt;=GRID_TO)*((('Dvd Calendar'!$AQ$671&lt;=VAL_DATE)+(COUNTIF('Dvd Calendar'!$E$678:$AR$678,'Dvd Calendar'!$AQ$671)=0))&gt;0)=0,"",'Dvd Calendar'!$AQ$671*1000000000+ISNUMBER('Dvd Calendar'!$AQ$674)*100000000+('Dvd Calendar'!$AQ$676=SPECIAL_LBL)*10000000+(N('Dvd Calendar'!$AQ$670)&gt;0)*(N('Dvd Calendar'!$AQ$670)&lt;=VAL_SERIAL)*1000000+61*1000+39))</f>
        <v/>
      </c>
      <c r="FR72" s="121">
        <f>IF(N('Dvd Calendar'!$AR$671)=0,"",IF(('Dvd Calendar'!$AR$671&gt;=GRID_FROM)*('Dvd Calendar'!$AR$671&lt;=GRID_TO)*((('Dvd Calendar'!$AR$671&lt;=VAL_DATE)+(COUNTIF('Dvd Calendar'!$E$678:$AR$678,'Dvd Calendar'!$AR$671)=0))&gt;0)=0,"",'Dvd Calendar'!$AR$671*1000000000+ISNUMBER('Dvd Calendar'!$AR$674)*100000000+('Dvd Calendar'!$AR$676=SPECIAL_LBL)*10000000+(N('Dvd Calendar'!$AR$670)&gt;0)*(N('Dvd Calendar'!$AR$670)&lt;=VAL_SERIAL)*1000000+61*1000+40))</f>
        <v/>
      </c>
      <c r="FS72" s="121">
        <f>IF(N('Dvd Calendar'!$E$678)=0,"",IF(('Dvd Calendar'!$E$678&gt;=GRID_FROM)*('Dvd Calendar'!$E$678&lt;=GRID_TO)*('Dvd Calendar'!$E$678&gt;VAL_DATE)=0,"",'Dvd Calendar'!$E$678*1000000000+ISNUMBER('Dvd Calendar'!$E$679)*100000000+0*10000000+(N('Dvd Calendar'!$E$677)&gt;0)*(N('Dvd Calendar'!$E$677)&lt;=VAL_SERIAL)*1000000+61*1000+41))</f>
        <v/>
      </c>
      <c r="FT72" s="121">
        <f>IF(N('Dvd Calendar'!$F$678)=0,"",IF(('Dvd Calendar'!$F$678&gt;=GRID_FROM)*('Dvd Calendar'!$F$678&lt;=GRID_TO)*('Dvd Calendar'!$F$678&gt;VAL_DATE)=0,"",'Dvd Calendar'!$F$678*1000000000+ISNUMBER('Dvd Calendar'!$F$679)*100000000+0*10000000+(N('Dvd Calendar'!$F$677)&gt;0)*(N('Dvd Calendar'!$F$677)&lt;=VAL_SERIAL)*1000000+61*1000+42))</f>
        <v/>
      </c>
      <c r="FU72" s="121">
        <f>IF(N('Dvd Calendar'!$G$678)=0,"",IF(('Dvd Calendar'!$G$678&gt;=GRID_FROM)*('Dvd Calendar'!$G$678&lt;=GRID_TO)*('Dvd Calendar'!$G$678&gt;VAL_DATE)=0,"",'Dvd Calendar'!$G$678*1000000000+ISNUMBER('Dvd Calendar'!$G$679)*100000000+0*10000000+(N('Dvd Calendar'!$G$677)&gt;0)*(N('Dvd Calendar'!$G$677)&lt;=VAL_SERIAL)*1000000+61*1000+43))</f>
        <v/>
      </c>
      <c r="FV72" s="121">
        <f>IF(N('Dvd Calendar'!$H$678)=0,"",IF(('Dvd Calendar'!$H$678&gt;=GRID_FROM)*('Dvd Calendar'!$H$678&lt;=GRID_TO)*('Dvd Calendar'!$H$678&gt;VAL_DATE)=0,"",'Dvd Calendar'!$H$678*1000000000+ISNUMBER('Dvd Calendar'!$H$679)*100000000+0*10000000+(N('Dvd Calendar'!$H$677)&gt;0)*(N('Dvd Calendar'!$H$677)&lt;=VAL_SERIAL)*1000000+61*1000+44))</f>
        <v/>
      </c>
      <c r="FW72" s="121">
        <f>IF(N('Dvd Calendar'!$I$678)=0,"",IF(('Dvd Calendar'!$I$678&gt;=GRID_FROM)*('Dvd Calendar'!$I$678&lt;=GRID_TO)*('Dvd Calendar'!$I$678&gt;VAL_DATE)=0,"",'Dvd Calendar'!$I$678*1000000000+ISNUMBER('Dvd Calendar'!$I$679)*100000000+0*10000000+(N('Dvd Calendar'!$I$677)&gt;0)*(N('Dvd Calendar'!$I$677)&lt;=VAL_SERIAL)*1000000+61*1000+45))</f>
        <v/>
      </c>
      <c r="FX72" s="121">
        <f>IF(N('Dvd Calendar'!$J$678)=0,"",IF(('Dvd Calendar'!$J$678&gt;=GRID_FROM)*('Dvd Calendar'!$J$678&lt;=GRID_TO)*('Dvd Calendar'!$J$678&gt;VAL_DATE)=0,"",'Dvd Calendar'!$J$678*1000000000+ISNUMBER('Dvd Calendar'!$J$679)*100000000+0*10000000+(N('Dvd Calendar'!$J$677)&gt;0)*(N('Dvd Calendar'!$J$677)&lt;=VAL_SERIAL)*1000000+61*1000+46))</f>
        <v/>
      </c>
      <c r="FY72" s="121">
        <f>IF(N('Dvd Calendar'!$K$678)=0,"",IF(('Dvd Calendar'!$K$678&gt;=GRID_FROM)*('Dvd Calendar'!$K$678&lt;=GRID_TO)*('Dvd Calendar'!$K$678&gt;VAL_DATE)=0,"",'Dvd Calendar'!$K$678*1000000000+ISNUMBER('Dvd Calendar'!$K$679)*100000000+0*10000000+(N('Dvd Calendar'!$K$677)&gt;0)*(N('Dvd Calendar'!$K$677)&lt;=VAL_SERIAL)*1000000+61*1000+47))</f>
        <v/>
      </c>
      <c r="FZ72" s="121">
        <f>IF(N('Dvd Calendar'!$L$678)=0,"",IF(('Dvd Calendar'!$L$678&gt;=GRID_FROM)*('Dvd Calendar'!$L$678&lt;=GRID_TO)*('Dvd Calendar'!$L$678&gt;VAL_DATE)=0,"",'Dvd Calendar'!$L$678*1000000000+ISNUMBER('Dvd Calendar'!$L$679)*100000000+0*10000000+(N('Dvd Calendar'!$L$677)&gt;0)*(N('Dvd Calendar'!$L$677)&lt;=VAL_SERIAL)*1000000+61*1000+48))</f>
        <v/>
      </c>
      <c r="GA72" s="121">
        <f>IF(N('Dvd Calendar'!$M$678)=0,"",IF(('Dvd Calendar'!$M$678&gt;=GRID_FROM)*('Dvd Calendar'!$M$678&lt;=GRID_TO)*('Dvd Calendar'!$M$678&gt;VAL_DATE)=0,"",'Dvd Calendar'!$M$678*1000000000+ISNUMBER('Dvd Calendar'!$M$679)*100000000+0*10000000+(N('Dvd Calendar'!$M$677)&gt;0)*(N('Dvd Calendar'!$M$677)&lt;=VAL_SERIAL)*1000000+61*1000+49))</f>
        <v/>
      </c>
      <c r="GB72" s="121">
        <f>IF(N('Dvd Calendar'!$N$678)=0,"",IF(('Dvd Calendar'!$N$678&gt;=GRID_FROM)*('Dvd Calendar'!$N$678&lt;=GRID_TO)*('Dvd Calendar'!$N$678&gt;VAL_DATE)=0,"",'Dvd Calendar'!$N$678*1000000000+ISNUMBER('Dvd Calendar'!$N$679)*100000000+0*10000000+(N('Dvd Calendar'!$N$677)&gt;0)*(N('Dvd Calendar'!$N$677)&lt;=VAL_SERIAL)*1000000+61*1000+50))</f>
        <v/>
      </c>
      <c r="GC72" s="121">
        <f>IF(N('Dvd Calendar'!$O$678)=0,"",IF(('Dvd Calendar'!$O$678&gt;=GRID_FROM)*('Dvd Calendar'!$O$678&lt;=GRID_TO)*('Dvd Calendar'!$O$678&gt;VAL_DATE)=0,"",'Dvd Calendar'!$O$678*1000000000+ISNUMBER('Dvd Calendar'!$O$679)*100000000+0*10000000+(N('Dvd Calendar'!$O$677)&gt;0)*(N('Dvd Calendar'!$O$677)&lt;=VAL_SERIAL)*1000000+61*1000+51))</f>
        <v/>
      </c>
      <c r="GD72" s="121">
        <f>IF(N('Dvd Calendar'!$P$678)=0,"",IF(('Dvd Calendar'!$P$678&gt;=GRID_FROM)*('Dvd Calendar'!$P$678&lt;=GRID_TO)*('Dvd Calendar'!$P$678&gt;VAL_DATE)=0,"",'Dvd Calendar'!$P$678*1000000000+ISNUMBER('Dvd Calendar'!$P$679)*100000000+0*10000000+(N('Dvd Calendar'!$P$677)&gt;0)*(N('Dvd Calendar'!$P$677)&lt;=VAL_SERIAL)*1000000+61*1000+52))</f>
        <v/>
      </c>
      <c r="GE72" s="121">
        <f>IF(N('Dvd Calendar'!$Q$678)=0,"",IF(('Dvd Calendar'!$Q$678&gt;=GRID_FROM)*('Dvd Calendar'!$Q$678&lt;=GRID_TO)*('Dvd Calendar'!$Q$678&gt;VAL_DATE)=0,"",'Dvd Calendar'!$Q$678*1000000000+ISNUMBER('Dvd Calendar'!$Q$679)*100000000+0*10000000+(N('Dvd Calendar'!$Q$677)&gt;0)*(N('Dvd Calendar'!$Q$677)&lt;=VAL_SERIAL)*1000000+61*1000+53))</f>
        <v/>
      </c>
      <c r="GF72" s="121">
        <f>IF(N('Dvd Calendar'!$R$678)=0,"",IF(('Dvd Calendar'!$R$678&gt;=GRID_FROM)*('Dvd Calendar'!$R$678&lt;=GRID_TO)*('Dvd Calendar'!$R$678&gt;VAL_DATE)=0,"",'Dvd Calendar'!$R$678*1000000000+ISNUMBER('Dvd Calendar'!$R$679)*100000000+0*10000000+(N('Dvd Calendar'!$R$677)&gt;0)*(N('Dvd Calendar'!$R$677)&lt;=VAL_SERIAL)*1000000+61*1000+54))</f>
        <v/>
      </c>
      <c r="GG72" s="121">
        <f>IF(N('Dvd Calendar'!$S$678)=0,"",IF(('Dvd Calendar'!$S$678&gt;=GRID_FROM)*('Dvd Calendar'!$S$678&lt;=GRID_TO)*('Dvd Calendar'!$S$678&gt;VAL_DATE)=0,"",'Dvd Calendar'!$S$678*1000000000+ISNUMBER('Dvd Calendar'!$S$679)*100000000+0*10000000+(N('Dvd Calendar'!$S$677)&gt;0)*(N('Dvd Calendar'!$S$677)&lt;=VAL_SERIAL)*1000000+61*1000+55))</f>
        <v/>
      </c>
      <c r="GH72" s="121">
        <f>IF(N('Dvd Calendar'!$T$678)=0,"",IF(('Dvd Calendar'!$T$678&gt;=GRID_FROM)*('Dvd Calendar'!$T$678&lt;=GRID_TO)*('Dvd Calendar'!$T$678&gt;VAL_DATE)=0,"",'Dvd Calendar'!$T$678*1000000000+ISNUMBER('Dvd Calendar'!$T$679)*100000000+0*10000000+(N('Dvd Calendar'!$T$677)&gt;0)*(N('Dvd Calendar'!$T$677)&lt;=VAL_SERIAL)*1000000+61*1000+56))</f>
        <v/>
      </c>
      <c r="GI72" s="121">
        <f>IF(N('Dvd Calendar'!$U$678)=0,"",IF(('Dvd Calendar'!$U$678&gt;=GRID_FROM)*('Dvd Calendar'!$U$678&lt;=GRID_TO)*('Dvd Calendar'!$U$678&gt;VAL_DATE)=0,"",'Dvd Calendar'!$U$678*1000000000+ISNUMBER('Dvd Calendar'!$U$679)*100000000+0*10000000+(N('Dvd Calendar'!$U$677)&gt;0)*(N('Dvd Calendar'!$U$677)&lt;=VAL_SERIAL)*1000000+61*1000+57))</f>
        <v/>
      </c>
      <c r="GJ72" s="121">
        <f>IF(N('Dvd Calendar'!$V$678)=0,"",IF(('Dvd Calendar'!$V$678&gt;=GRID_FROM)*('Dvd Calendar'!$V$678&lt;=GRID_TO)*('Dvd Calendar'!$V$678&gt;VAL_DATE)=0,"",'Dvd Calendar'!$V$678*1000000000+ISNUMBER('Dvd Calendar'!$V$679)*100000000+0*10000000+(N('Dvd Calendar'!$V$677)&gt;0)*(N('Dvd Calendar'!$V$677)&lt;=VAL_SERIAL)*1000000+61*1000+58))</f>
        <v/>
      </c>
      <c r="GK72" s="121">
        <f>IF(N('Dvd Calendar'!$W$678)=0,"",IF(('Dvd Calendar'!$W$678&gt;=GRID_FROM)*('Dvd Calendar'!$W$678&lt;=GRID_TO)*('Dvd Calendar'!$W$678&gt;VAL_DATE)=0,"",'Dvd Calendar'!$W$678*1000000000+ISNUMBER('Dvd Calendar'!$W$679)*100000000+0*10000000+(N('Dvd Calendar'!$W$677)&gt;0)*(N('Dvd Calendar'!$W$677)&lt;=VAL_SERIAL)*1000000+61*1000+59))</f>
        <v/>
      </c>
      <c r="GL72" s="121">
        <f>IF(N('Dvd Calendar'!$X$678)=0,"",IF(('Dvd Calendar'!$X$678&gt;=GRID_FROM)*('Dvd Calendar'!$X$678&lt;=GRID_TO)*('Dvd Calendar'!$X$678&gt;VAL_DATE)=0,"",'Dvd Calendar'!$X$678*1000000000+ISNUMBER('Dvd Calendar'!$X$679)*100000000+0*10000000+(N('Dvd Calendar'!$X$677)&gt;0)*(N('Dvd Calendar'!$X$677)&lt;=VAL_SERIAL)*1000000+61*1000+60))</f>
        <v/>
      </c>
      <c r="GM72" s="121">
        <f>IF(N('Dvd Calendar'!$Y$678)=0,"",IF(('Dvd Calendar'!$Y$678&gt;=GRID_FROM)*('Dvd Calendar'!$Y$678&lt;=GRID_TO)*('Dvd Calendar'!$Y$678&gt;VAL_DATE)=0,"",'Dvd Calendar'!$Y$678*1000000000+ISNUMBER('Dvd Calendar'!$Y$679)*100000000+0*10000000+(N('Dvd Calendar'!$Y$677)&gt;0)*(N('Dvd Calendar'!$Y$677)&lt;=VAL_SERIAL)*1000000+61*1000+61))</f>
        <v/>
      </c>
      <c r="GN72" s="121">
        <f>IF(N('Dvd Calendar'!$Z$678)=0,"",IF(('Dvd Calendar'!$Z$678&gt;=GRID_FROM)*('Dvd Calendar'!$Z$678&lt;=GRID_TO)*('Dvd Calendar'!$Z$678&gt;VAL_DATE)=0,"",'Dvd Calendar'!$Z$678*1000000000+ISNUMBER('Dvd Calendar'!$Z$679)*100000000+0*10000000+(N('Dvd Calendar'!$Z$677)&gt;0)*(N('Dvd Calendar'!$Z$677)&lt;=VAL_SERIAL)*1000000+61*1000+62))</f>
        <v/>
      </c>
      <c r="GO72" s="121">
        <f>IF(N('Dvd Calendar'!$AA$678)=0,"",IF(('Dvd Calendar'!$AA$678&gt;=GRID_FROM)*('Dvd Calendar'!$AA$678&lt;=GRID_TO)*('Dvd Calendar'!$AA$678&gt;VAL_DATE)=0,"",'Dvd Calendar'!$AA$678*1000000000+ISNUMBER('Dvd Calendar'!$AA$679)*100000000+0*10000000+(N('Dvd Calendar'!$AA$677)&gt;0)*(N('Dvd Calendar'!$AA$677)&lt;=VAL_SERIAL)*1000000+61*1000+63))</f>
        <v/>
      </c>
      <c r="GP72" s="121">
        <f>IF(N('Dvd Calendar'!$AB$678)=0,"",IF(('Dvd Calendar'!$AB$678&gt;=GRID_FROM)*('Dvd Calendar'!$AB$678&lt;=GRID_TO)*('Dvd Calendar'!$AB$678&gt;VAL_DATE)=0,"",'Dvd Calendar'!$AB$678*1000000000+ISNUMBER('Dvd Calendar'!$AB$679)*100000000+0*10000000+(N('Dvd Calendar'!$AB$677)&gt;0)*(N('Dvd Calendar'!$AB$677)&lt;=VAL_SERIAL)*1000000+61*1000+64))</f>
        <v/>
      </c>
      <c r="GQ72" s="121">
        <f>IF(N('Dvd Calendar'!$AC$678)=0,"",IF(('Dvd Calendar'!$AC$678&gt;=GRID_FROM)*('Dvd Calendar'!$AC$678&lt;=GRID_TO)*('Dvd Calendar'!$AC$678&gt;VAL_DATE)=0,"",'Dvd Calendar'!$AC$678*1000000000+ISNUMBER('Dvd Calendar'!$AC$679)*100000000+0*10000000+(N('Dvd Calendar'!$AC$677)&gt;0)*(N('Dvd Calendar'!$AC$677)&lt;=VAL_SERIAL)*1000000+61*1000+65))</f>
        <v/>
      </c>
    </row>
    <row r="73">
      <c r="B73" s="2">
        <f>IF(HSI!$C$68="","",HSI!$C$68)</f>
        <v/>
      </c>
      <c r="C73" s="161">
        <f>IF(EE73="","",IF(ISNUMBER('Dvd Calendar'!$E$685)=FALSE,"",IF((('Dvd Calendar'!$E$687=TYPE1)*(TYPE1&lt;&gt;"")+('Dvd Calendar'!$E$687=TYPE2)*(TYPE2&lt;&gt;"")+('Dvd Calendar'!$E$687=TYPE3)*(TYPE3&lt;&gt;"")+('Dvd Calendar'!$E$687=TYPE4)*(TYPE4&lt;&gt;"")+('Dvd Calendar'!$E$687=SPECIAL_LBL)*(INC_SPECIALS="Y"))=0,"",'Dvd Calendar'!$E$685)))</f>
        <v/>
      </c>
      <c r="D73" s="161">
        <f>IF(EF73="","",IF(ISNUMBER('Dvd Calendar'!$F$685)=FALSE,"",IF((('Dvd Calendar'!$F$687=TYPE1)*(TYPE1&lt;&gt;"")+('Dvd Calendar'!$F$687=TYPE2)*(TYPE2&lt;&gt;"")+('Dvd Calendar'!$F$687=TYPE3)*(TYPE3&lt;&gt;"")+('Dvd Calendar'!$F$687=TYPE4)*(TYPE4&lt;&gt;"")+('Dvd Calendar'!$F$687=SPECIAL_LBL)*(INC_SPECIALS="Y"))=0,"",'Dvd Calendar'!$F$685)))</f>
        <v/>
      </c>
      <c r="E73" s="161">
        <f>IF(EG73="","",IF(ISNUMBER('Dvd Calendar'!$G$685)=FALSE,"",IF((('Dvd Calendar'!$G$687=TYPE1)*(TYPE1&lt;&gt;"")+('Dvd Calendar'!$G$687=TYPE2)*(TYPE2&lt;&gt;"")+('Dvd Calendar'!$G$687=TYPE3)*(TYPE3&lt;&gt;"")+('Dvd Calendar'!$G$687=TYPE4)*(TYPE4&lt;&gt;"")+('Dvd Calendar'!$G$687=SPECIAL_LBL)*(INC_SPECIALS="Y"))=0,"",'Dvd Calendar'!$G$685)))</f>
        <v/>
      </c>
      <c r="F73" s="161">
        <f>IF(EH73="","",IF(ISNUMBER('Dvd Calendar'!$H$685)=FALSE,"",IF((('Dvd Calendar'!$H$687=TYPE1)*(TYPE1&lt;&gt;"")+('Dvd Calendar'!$H$687=TYPE2)*(TYPE2&lt;&gt;"")+('Dvd Calendar'!$H$687=TYPE3)*(TYPE3&lt;&gt;"")+('Dvd Calendar'!$H$687=TYPE4)*(TYPE4&lt;&gt;"")+('Dvd Calendar'!$H$687=SPECIAL_LBL)*(INC_SPECIALS="Y"))=0,"",'Dvd Calendar'!$H$685)))</f>
        <v/>
      </c>
      <c r="G73" s="161">
        <f>IF(EI73="","",IF(ISNUMBER('Dvd Calendar'!$I$685)=FALSE,"",IF((('Dvd Calendar'!$I$687=TYPE1)*(TYPE1&lt;&gt;"")+('Dvd Calendar'!$I$687=TYPE2)*(TYPE2&lt;&gt;"")+('Dvd Calendar'!$I$687=TYPE3)*(TYPE3&lt;&gt;"")+('Dvd Calendar'!$I$687=TYPE4)*(TYPE4&lt;&gt;"")+('Dvd Calendar'!$I$687=SPECIAL_LBL)*(INC_SPECIALS="Y"))=0,"",'Dvd Calendar'!$I$685)))</f>
        <v/>
      </c>
      <c r="H73" s="161">
        <f>IF(EJ73="","",IF(ISNUMBER('Dvd Calendar'!$J$685)=FALSE,"",IF((('Dvd Calendar'!$J$687=TYPE1)*(TYPE1&lt;&gt;"")+('Dvd Calendar'!$J$687=TYPE2)*(TYPE2&lt;&gt;"")+('Dvd Calendar'!$J$687=TYPE3)*(TYPE3&lt;&gt;"")+('Dvd Calendar'!$J$687=TYPE4)*(TYPE4&lt;&gt;"")+('Dvd Calendar'!$J$687=SPECIAL_LBL)*(INC_SPECIALS="Y"))=0,"",'Dvd Calendar'!$J$685)))</f>
        <v/>
      </c>
      <c r="I73" s="161">
        <f>IF(EK73="","",IF(ISNUMBER('Dvd Calendar'!$K$685)=FALSE,"",IF((('Dvd Calendar'!$K$687=TYPE1)*(TYPE1&lt;&gt;"")+('Dvd Calendar'!$K$687=TYPE2)*(TYPE2&lt;&gt;"")+('Dvd Calendar'!$K$687=TYPE3)*(TYPE3&lt;&gt;"")+('Dvd Calendar'!$K$687=TYPE4)*(TYPE4&lt;&gt;"")+('Dvd Calendar'!$K$687=SPECIAL_LBL)*(INC_SPECIALS="Y"))=0,"",'Dvd Calendar'!$K$685)))</f>
        <v/>
      </c>
      <c r="J73" s="161">
        <f>IF(EL73="","",IF(ISNUMBER('Dvd Calendar'!$L$685)=FALSE,"",IF((('Dvd Calendar'!$L$687=TYPE1)*(TYPE1&lt;&gt;"")+('Dvd Calendar'!$L$687=TYPE2)*(TYPE2&lt;&gt;"")+('Dvd Calendar'!$L$687=TYPE3)*(TYPE3&lt;&gt;"")+('Dvd Calendar'!$L$687=TYPE4)*(TYPE4&lt;&gt;"")+('Dvd Calendar'!$L$687=SPECIAL_LBL)*(INC_SPECIALS="Y"))=0,"",'Dvd Calendar'!$L$685)))</f>
        <v/>
      </c>
      <c r="K73" s="161">
        <f>IF(EM73="","",IF(ISNUMBER('Dvd Calendar'!$M$685)=FALSE,"",IF((('Dvd Calendar'!$M$687=TYPE1)*(TYPE1&lt;&gt;"")+('Dvd Calendar'!$M$687=TYPE2)*(TYPE2&lt;&gt;"")+('Dvd Calendar'!$M$687=TYPE3)*(TYPE3&lt;&gt;"")+('Dvd Calendar'!$M$687=TYPE4)*(TYPE4&lt;&gt;"")+('Dvd Calendar'!$M$687=SPECIAL_LBL)*(INC_SPECIALS="Y"))=0,"",'Dvd Calendar'!$M$685)))</f>
        <v/>
      </c>
      <c r="L73" s="161">
        <f>IF(EN73="","",IF(ISNUMBER('Dvd Calendar'!$N$685)=FALSE,"",IF((('Dvd Calendar'!$N$687=TYPE1)*(TYPE1&lt;&gt;"")+('Dvd Calendar'!$N$687=TYPE2)*(TYPE2&lt;&gt;"")+('Dvd Calendar'!$N$687=TYPE3)*(TYPE3&lt;&gt;"")+('Dvd Calendar'!$N$687=TYPE4)*(TYPE4&lt;&gt;"")+('Dvd Calendar'!$N$687=SPECIAL_LBL)*(INC_SPECIALS="Y"))=0,"",'Dvd Calendar'!$N$685)))</f>
        <v/>
      </c>
      <c r="M73" s="161">
        <f>IF(EO73="","",IF(ISNUMBER('Dvd Calendar'!$O$685)=FALSE,"",IF((('Dvd Calendar'!$O$687=TYPE1)*(TYPE1&lt;&gt;"")+('Dvd Calendar'!$O$687=TYPE2)*(TYPE2&lt;&gt;"")+('Dvd Calendar'!$O$687=TYPE3)*(TYPE3&lt;&gt;"")+('Dvd Calendar'!$O$687=TYPE4)*(TYPE4&lt;&gt;"")+('Dvd Calendar'!$O$687=SPECIAL_LBL)*(INC_SPECIALS="Y"))=0,"",'Dvd Calendar'!$O$685)))</f>
        <v/>
      </c>
      <c r="N73" s="161">
        <f>IF(EP73="","",IF(ISNUMBER('Dvd Calendar'!$P$685)=FALSE,"",IF((('Dvd Calendar'!$P$687=TYPE1)*(TYPE1&lt;&gt;"")+('Dvd Calendar'!$P$687=TYPE2)*(TYPE2&lt;&gt;"")+('Dvd Calendar'!$P$687=TYPE3)*(TYPE3&lt;&gt;"")+('Dvd Calendar'!$P$687=TYPE4)*(TYPE4&lt;&gt;"")+('Dvd Calendar'!$P$687=SPECIAL_LBL)*(INC_SPECIALS="Y"))=0,"",'Dvd Calendar'!$P$685)))</f>
        <v/>
      </c>
      <c r="O73" s="161">
        <f>IF(EQ73="","",IF(ISNUMBER('Dvd Calendar'!$Q$685)=FALSE,"",IF((('Dvd Calendar'!$Q$687=TYPE1)*(TYPE1&lt;&gt;"")+('Dvd Calendar'!$Q$687=TYPE2)*(TYPE2&lt;&gt;"")+('Dvd Calendar'!$Q$687=TYPE3)*(TYPE3&lt;&gt;"")+('Dvd Calendar'!$Q$687=TYPE4)*(TYPE4&lt;&gt;"")+('Dvd Calendar'!$Q$687=SPECIAL_LBL)*(INC_SPECIALS="Y"))=0,"",'Dvd Calendar'!$Q$685)))</f>
        <v/>
      </c>
      <c r="P73" s="161">
        <f>IF(ER73="","",IF(ISNUMBER('Dvd Calendar'!$R$685)=FALSE,"",IF((('Dvd Calendar'!$R$687=TYPE1)*(TYPE1&lt;&gt;"")+('Dvd Calendar'!$R$687=TYPE2)*(TYPE2&lt;&gt;"")+('Dvd Calendar'!$R$687=TYPE3)*(TYPE3&lt;&gt;"")+('Dvd Calendar'!$R$687=TYPE4)*(TYPE4&lt;&gt;"")+('Dvd Calendar'!$R$687=SPECIAL_LBL)*(INC_SPECIALS="Y"))=0,"",'Dvd Calendar'!$R$685)))</f>
        <v/>
      </c>
      <c r="Q73" s="161">
        <f>IF(ES73="","",IF(ISNUMBER('Dvd Calendar'!$S$685)=FALSE,"",IF((('Dvd Calendar'!$S$687=TYPE1)*(TYPE1&lt;&gt;"")+('Dvd Calendar'!$S$687=TYPE2)*(TYPE2&lt;&gt;"")+('Dvd Calendar'!$S$687=TYPE3)*(TYPE3&lt;&gt;"")+('Dvd Calendar'!$S$687=TYPE4)*(TYPE4&lt;&gt;"")+('Dvd Calendar'!$S$687=SPECIAL_LBL)*(INC_SPECIALS="Y"))=0,"",'Dvd Calendar'!$S$685)))</f>
        <v/>
      </c>
      <c r="R73" s="161">
        <f>IF(ET73="","",IF(ISNUMBER('Dvd Calendar'!$T$685)=FALSE,"",IF((('Dvd Calendar'!$T$687=TYPE1)*(TYPE1&lt;&gt;"")+('Dvd Calendar'!$T$687=TYPE2)*(TYPE2&lt;&gt;"")+('Dvd Calendar'!$T$687=TYPE3)*(TYPE3&lt;&gt;"")+('Dvd Calendar'!$T$687=TYPE4)*(TYPE4&lt;&gt;"")+('Dvd Calendar'!$T$687=SPECIAL_LBL)*(INC_SPECIALS="Y"))=0,"",'Dvd Calendar'!$T$685)))</f>
        <v/>
      </c>
      <c r="S73" s="161">
        <f>IF(EU73="","",IF(ISNUMBER('Dvd Calendar'!$U$685)=FALSE,"",IF((('Dvd Calendar'!$U$687=TYPE1)*(TYPE1&lt;&gt;"")+('Dvd Calendar'!$U$687=TYPE2)*(TYPE2&lt;&gt;"")+('Dvd Calendar'!$U$687=TYPE3)*(TYPE3&lt;&gt;"")+('Dvd Calendar'!$U$687=TYPE4)*(TYPE4&lt;&gt;"")+('Dvd Calendar'!$U$687=SPECIAL_LBL)*(INC_SPECIALS="Y"))=0,"",'Dvd Calendar'!$U$685)))</f>
        <v/>
      </c>
      <c r="T73" s="161">
        <f>IF(EV73="","",IF(ISNUMBER('Dvd Calendar'!$V$685)=FALSE,"",IF((('Dvd Calendar'!$V$687=TYPE1)*(TYPE1&lt;&gt;"")+('Dvd Calendar'!$V$687=TYPE2)*(TYPE2&lt;&gt;"")+('Dvd Calendar'!$V$687=TYPE3)*(TYPE3&lt;&gt;"")+('Dvd Calendar'!$V$687=TYPE4)*(TYPE4&lt;&gt;"")+('Dvd Calendar'!$V$687=SPECIAL_LBL)*(INC_SPECIALS="Y"))=0,"",'Dvd Calendar'!$V$685)))</f>
        <v/>
      </c>
      <c r="U73" s="161">
        <f>IF(EW73="","",IF(ISNUMBER('Dvd Calendar'!$W$685)=FALSE,"",IF((('Dvd Calendar'!$W$687=TYPE1)*(TYPE1&lt;&gt;"")+('Dvd Calendar'!$W$687=TYPE2)*(TYPE2&lt;&gt;"")+('Dvd Calendar'!$W$687=TYPE3)*(TYPE3&lt;&gt;"")+('Dvd Calendar'!$W$687=TYPE4)*(TYPE4&lt;&gt;"")+('Dvd Calendar'!$W$687=SPECIAL_LBL)*(INC_SPECIALS="Y"))=0,"",'Dvd Calendar'!$W$685)))</f>
        <v/>
      </c>
      <c r="V73" s="161">
        <f>IF(EX73="","",IF(ISNUMBER('Dvd Calendar'!$X$685)=FALSE,"",IF((('Dvd Calendar'!$X$687=TYPE1)*(TYPE1&lt;&gt;"")+('Dvd Calendar'!$X$687=TYPE2)*(TYPE2&lt;&gt;"")+('Dvd Calendar'!$X$687=TYPE3)*(TYPE3&lt;&gt;"")+('Dvd Calendar'!$X$687=TYPE4)*(TYPE4&lt;&gt;"")+('Dvd Calendar'!$X$687=SPECIAL_LBL)*(INC_SPECIALS="Y"))=0,"",'Dvd Calendar'!$X$685)))</f>
        <v/>
      </c>
      <c r="W73" s="161">
        <f>IF(EY73="","",IF(ISNUMBER('Dvd Calendar'!$Y$685)=FALSE,"",IF((('Dvd Calendar'!$Y$687=TYPE1)*(TYPE1&lt;&gt;"")+('Dvd Calendar'!$Y$687=TYPE2)*(TYPE2&lt;&gt;"")+('Dvd Calendar'!$Y$687=TYPE3)*(TYPE3&lt;&gt;"")+('Dvd Calendar'!$Y$687=TYPE4)*(TYPE4&lt;&gt;"")+('Dvd Calendar'!$Y$687=SPECIAL_LBL)*(INC_SPECIALS="Y"))=0,"",'Dvd Calendar'!$Y$685)))</f>
        <v/>
      </c>
      <c r="X73" s="161">
        <f>IF(EZ73="","",IF(ISNUMBER('Dvd Calendar'!$Z$685)=FALSE,"",IF((('Dvd Calendar'!$Z$687=TYPE1)*(TYPE1&lt;&gt;"")+('Dvd Calendar'!$Z$687=TYPE2)*(TYPE2&lt;&gt;"")+('Dvd Calendar'!$Z$687=TYPE3)*(TYPE3&lt;&gt;"")+('Dvd Calendar'!$Z$687=TYPE4)*(TYPE4&lt;&gt;"")+('Dvd Calendar'!$Z$687=SPECIAL_LBL)*(INC_SPECIALS="Y"))=0,"",'Dvd Calendar'!$Z$685)))</f>
        <v/>
      </c>
      <c r="Y73" s="161">
        <f>IF(FA73="","",IF(ISNUMBER('Dvd Calendar'!$AA$685)=FALSE,"",IF((('Dvd Calendar'!$AA$687=TYPE1)*(TYPE1&lt;&gt;"")+('Dvd Calendar'!$AA$687=TYPE2)*(TYPE2&lt;&gt;"")+('Dvd Calendar'!$AA$687=TYPE3)*(TYPE3&lt;&gt;"")+('Dvd Calendar'!$AA$687=TYPE4)*(TYPE4&lt;&gt;"")+('Dvd Calendar'!$AA$687=SPECIAL_LBL)*(INC_SPECIALS="Y"))=0,"",'Dvd Calendar'!$AA$685)))</f>
        <v/>
      </c>
      <c r="Z73" s="161">
        <f>IF(FB73="","",IF(ISNUMBER('Dvd Calendar'!$AB$685)=FALSE,"",IF((('Dvd Calendar'!$AB$687=TYPE1)*(TYPE1&lt;&gt;"")+('Dvd Calendar'!$AB$687=TYPE2)*(TYPE2&lt;&gt;"")+('Dvd Calendar'!$AB$687=TYPE3)*(TYPE3&lt;&gt;"")+('Dvd Calendar'!$AB$687=TYPE4)*(TYPE4&lt;&gt;"")+('Dvd Calendar'!$AB$687=SPECIAL_LBL)*(INC_SPECIALS="Y"))=0,"",'Dvd Calendar'!$AB$685)))</f>
        <v/>
      </c>
      <c r="AA73" s="161">
        <f>IF(FC73="","",IF(ISNUMBER('Dvd Calendar'!$AC$685)=FALSE,"",IF((('Dvd Calendar'!$AC$687=TYPE1)*(TYPE1&lt;&gt;"")+('Dvd Calendar'!$AC$687=TYPE2)*(TYPE2&lt;&gt;"")+('Dvd Calendar'!$AC$687=TYPE3)*(TYPE3&lt;&gt;"")+('Dvd Calendar'!$AC$687=TYPE4)*(TYPE4&lt;&gt;"")+('Dvd Calendar'!$AC$687=SPECIAL_LBL)*(INC_SPECIALS="Y"))=0,"",'Dvd Calendar'!$AC$685)))</f>
        <v/>
      </c>
      <c r="AB73" s="161">
        <f>IF(FD73="","",IF(ISNUMBER('Dvd Calendar'!$AD$685)=FALSE,"",IF((('Dvd Calendar'!$AD$687=TYPE1)*(TYPE1&lt;&gt;"")+('Dvd Calendar'!$AD$687=TYPE2)*(TYPE2&lt;&gt;"")+('Dvd Calendar'!$AD$687=TYPE3)*(TYPE3&lt;&gt;"")+('Dvd Calendar'!$AD$687=TYPE4)*(TYPE4&lt;&gt;"")+('Dvd Calendar'!$AD$687=SPECIAL_LBL)*(INC_SPECIALS="Y"))=0,"",'Dvd Calendar'!$AD$685)))</f>
        <v/>
      </c>
      <c r="AC73" s="161">
        <f>IF(FE73="","",IF(ISNUMBER('Dvd Calendar'!$AE$685)=FALSE,"",IF((('Dvd Calendar'!$AE$687=TYPE1)*(TYPE1&lt;&gt;"")+('Dvd Calendar'!$AE$687=TYPE2)*(TYPE2&lt;&gt;"")+('Dvd Calendar'!$AE$687=TYPE3)*(TYPE3&lt;&gt;"")+('Dvd Calendar'!$AE$687=TYPE4)*(TYPE4&lt;&gt;"")+('Dvd Calendar'!$AE$687=SPECIAL_LBL)*(INC_SPECIALS="Y"))=0,"",'Dvd Calendar'!$AE$685)))</f>
        <v/>
      </c>
      <c r="AD73" s="161">
        <f>IF(FF73="","",IF(ISNUMBER('Dvd Calendar'!$AF$685)=FALSE,"",IF((('Dvd Calendar'!$AF$687=TYPE1)*(TYPE1&lt;&gt;"")+('Dvd Calendar'!$AF$687=TYPE2)*(TYPE2&lt;&gt;"")+('Dvd Calendar'!$AF$687=TYPE3)*(TYPE3&lt;&gt;"")+('Dvd Calendar'!$AF$687=TYPE4)*(TYPE4&lt;&gt;"")+('Dvd Calendar'!$AF$687=SPECIAL_LBL)*(INC_SPECIALS="Y"))=0,"",'Dvd Calendar'!$AF$685)))</f>
        <v/>
      </c>
      <c r="AE73" s="161">
        <f>IF(FG73="","",IF(ISNUMBER('Dvd Calendar'!$AG$685)=FALSE,"",IF((('Dvd Calendar'!$AG$687=TYPE1)*(TYPE1&lt;&gt;"")+('Dvd Calendar'!$AG$687=TYPE2)*(TYPE2&lt;&gt;"")+('Dvd Calendar'!$AG$687=TYPE3)*(TYPE3&lt;&gt;"")+('Dvd Calendar'!$AG$687=TYPE4)*(TYPE4&lt;&gt;"")+('Dvd Calendar'!$AG$687=SPECIAL_LBL)*(INC_SPECIALS="Y"))=0,"",'Dvd Calendar'!$AG$685)))</f>
        <v/>
      </c>
      <c r="AF73" s="161">
        <f>IF(FH73="","",IF(ISNUMBER('Dvd Calendar'!$AH$685)=FALSE,"",IF((('Dvd Calendar'!$AH$687=TYPE1)*(TYPE1&lt;&gt;"")+('Dvd Calendar'!$AH$687=TYPE2)*(TYPE2&lt;&gt;"")+('Dvd Calendar'!$AH$687=TYPE3)*(TYPE3&lt;&gt;"")+('Dvd Calendar'!$AH$687=TYPE4)*(TYPE4&lt;&gt;"")+('Dvd Calendar'!$AH$687=SPECIAL_LBL)*(INC_SPECIALS="Y"))=0,"",'Dvd Calendar'!$AH$685)))</f>
        <v/>
      </c>
      <c r="AG73" s="161">
        <f>IF(FI73="","",IF(ISNUMBER('Dvd Calendar'!$AI$685)=FALSE,"",IF((('Dvd Calendar'!$AI$687=TYPE1)*(TYPE1&lt;&gt;"")+('Dvd Calendar'!$AI$687=TYPE2)*(TYPE2&lt;&gt;"")+('Dvd Calendar'!$AI$687=TYPE3)*(TYPE3&lt;&gt;"")+('Dvd Calendar'!$AI$687=TYPE4)*(TYPE4&lt;&gt;"")+('Dvd Calendar'!$AI$687=SPECIAL_LBL)*(INC_SPECIALS="Y"))=0,"",'Dvd Calendar'!$AI$685)))</f>
        <v/>
      </c>
      <c r="AH73" s="161">
        <f>IF(FJ73="","",IF(ISNUMBER('Dvd Calendar'!$AJ$685)=FALSE,"",IF((('Dvd Calendar'!$AJ$687=TYPE1)*(TYPE1&lt;&gt;"")+('Dvd Calendar'!$AJ$687=TYPE2)*(TYPE2&lt;&gt;"")+('Dvd Calendar'!$AJ$687=TYPE3)*(TYPE3&lt;&gt;"")+('Dvd Calendar'!$AJ$687=TYPE4)*(TYPE4&lt;&gt;"")+('Dvd Calendar'!$AJ$687=SPECIAL_LBL)*(INC_SPECIALS="Y"))=0,"",'Dvd Calendar'!$AJ$685)))</f>
        <v/>
      </c>
      <c r="AI73" s="161">
        <f>IF(FK73="","",IF(ISNUMBER('Dvd Calendar'!$AK$685)=FALSE,"",IF((('Dvd Calendar'!$AK$687=TYPE1)*(TYPE1&lt;&gt;"")+('Dvd Calendar'!$AK$687=TYPE2)*(TYPE2&lt;&gt;"")+('Dvd Calendar'!$AK$687=TYPE3)*(TYPE3&lt;&gt;"")+('Dvd Calendar'!$AK$687=TYPE4)*(TYPE4&lt;&gt;"")+('Dvd Calendar'!$AK$687=SPECIAL_LBL)*(INC_SPECIALS="Y"))=0,"",'Dvd Calendar'!$AK$685)))</f>
        <v/>
      </c>
      <c r="AJ73" s="161">
        <f>IF(FL73="","",IF(ISNUMBER('Dvd Calendar'!$AL$685)=FALSE,"",IF((('Dvd Calendar'!$AL$687=TYPE1)*(TYPE1&lt;&gt;"")+('Dvd Calendar'!$AL$687=TYPE2)*(TYPE2&lt;&gt;"")+('Dvd Calendar'!$AL$687=TYPE3)*(TYPE3&lt;&gt;"")+('Dvd Calendar'!$AL$687=TYPE4)*(TYPE4&lt;&gt;"")+('Dvd Calendar'!$AL$687=SPECIAL_LBL)*(INC_SPECIALS="Y"))=0,"",'Dvd Calendar'!$AL$685)))</f>
        <v/>
      </c>
      <c r="AK73" s="161">
        <f>IF(FM73="","",IF(ISNUMBER('Dvd Calendar'!$AM$685)=FALSE,"",IF((('Dvd Calendar'!$AM$687=TYPE1)*(TYPE1&lt;&gt;"")+('Dvd Calendar'!$AM$687=TYPE2)*(TYPE2&lt;&gt;"")+('Dvd Calendar'!$AM$687=TYPE3)*(TYPE3&lt;&gt;"")+('Dvd Calendar'!$AM$687=TYPE4)*(TYPE4&lt;&gt;"")+('Dvd Calendar'!$AM$687=SPECIAL_LBL)*(INC_SPECIALS="Y"))=0,"",'Dvd Calendar'!$AM$685)))</f>
        <v/>
      </c>
      <c r="AL73" s="161">
        <f>IF(FN73="","",IF(ISNUMBER('Dvd Calendar'!$AN$685)=FALSE,"",IF((('Dvd Calendar'!$AN$687=TYPE1)*(TYPE1&lt;&gt;"")+('Dvd Calendar'!$AN$687=TYPE2)*(TYPE2&lt;&gt;"")+('Dvd Calendar'!$AN$687=TYPE3)*(TYPE3&lt;&gt;"")+('Dvd Calendar'!$AN$687=TYPE4)*(TYPE4&lt;&gt;"")+('Dvd Calendar'!$AN$687=SPECIAL_LBL)*(INC_SPECIALS="Y"))=0,"",'Dvd Calendar'!$AN$685)))</f>
        <v/>
      </c>
      <c r="AM73" s="161">
        <f>IF(FO73="","",IF(ISNUMBER('Dvd Calendar'!$AO$685)=FALSE,"",IF((('Dvd Calendar'!$AO$687=TYPE1)*(TYPE1&lt;&gt;"")+('Dvd Calendar'!$AO$687=TYPE2)*(TYPE2&lt;&gt;"")+('Dvd Calendar'!$AO$687=TYPE3)*(TYPE3&lt;&gt;"")+('Dvd Calendar'!$AO$687=TYPE4)*(TYPE4&lt;&gt;"")+('Dvd Calendar'!$AO$687=SPECIAL_LBL)*(INC_SPECIALS="Y"))=0,"",'Dvd Calendar'!$AO$685)))</f>
        <v/>
      </c>
      <c r="AN73" s="161">
        <f>IF(FP73="","",IF(ISNUMBER('Dvd Calendar'!$AP$685)=FALSE,"",IF((('Dvd Calendar'!$AP$687=TYPE1)*(TYPE1&lt;&gt;"")+('Dvd Calendar'!$AP$687=TYPE2)*(TYPE2&lt;&gt;"")+('Dvd Calendar'!$AP$687=TYPE3)*(TYPE3&lt;&gt;"")+('Dvd Calendar'!$AP$687=TYPE4)*(TYPE4&lt;&gt;"")+('Dvd Calendar'!$AP$687=SPECIAL_LBL)*(INC_SPECIALS="Y"))=0,"",'Dvd Calendar'!$AP$685)))</f>
        <v/>
      </c>
      <c r="AO73" s="161">
        <f>IF(FQ73="","",IF(ISNUMBER('Dvd Calendar'!$AQ$685)=FALSE,"",IF((('Dvd Calendar'!$AQ$687=TYPE1)*(TYPE1&lt;&gt;"")+('Dvd Calendar'!$AQ$687=TYPE2)*(TYPE2&lt;&gt;"")+('Dvd Calendar'!$AQ$687=TYPE3)*(TYPE3&lt;&gt;"")+('Dvd Calendar'!$AQ$687=TYPE4)*(TYPE4&lt;&gt;"")+('Dvd Calendar'!$AQ$687=SPECIAL_LBL)*(INC_SPECIALS="Y"))=0,"",'Dvd Calendar'!$AQ$685)))</f>
        <v/>
      </c>
      <c r="AP73" s="161">
        <f>IF(FR73="","",IF(ISNUMBER('Dvd Calendar'!$AR$685)=FALSE,"",IF((('Dvd Calendar'!$AR$687=TYPE1)*(TYPE1&lt;&gt;"")+('Dvd Calendar'!$AR$687=TYPE2)*(TYPE2&lt;&gt;"")+('Dvd Calendar'!$AR$687=TYPE3)*(TYPE3&lt;&gt;"")+('Dvd Calendar'!$AR$687=TYPE4)*(TYPE4&lt;&gt;"")+('Dvd Calendar'!$AR$687=SPECIAL_LBL)*(INC_SPECIALS="Y"))=0,"",'Dvd Calendar'!$AR$685)))</f>
        <v/>
      </c>
      <c r="AQ73" s="161">
        <f>IF(FS73="","",IF(ISNUMBER('Dvd Calendar'!$E$690)=FALSE,"",'Dvd Calendar'!$E$690))</f>
        <v/>
      </c>
      <c r="AR73" s="161">
        <f>IF(FT73="","",IF(ISNUMBER('Dvd Calendar'!$F$690)=FALSE,"",'Dvd Calendar'!$F$690))</f>
        <v/>
      </c>
      <c r="AS73" s="161">
        <f>IF(FU73="","",IF(ISNUMBER('Dvd Calendar'!$G$690)=FALSE,"",'Dvd Calendar'!$G$690))</f>
        <v/>
      </c>
      <c r="AT73" s="161">
        <f>IF(FV73="","",IF(ISNUMBER('Dvd Calendar'!$H$690)=FALSE,"",'Dvd Calendar'!$H$690))</f>
        <v/>
      </c>
      <c r="AU73" s="161">
        <f>IF(FW73="","",IF(ISNUMBER('Dvd Calendar'!$I$690)=FALSE,"",'Dvd Calendar'!$I$690))</f>
        <v/>
      </c>
      <c r="AV73" s="161">
        <f>IF(FX73="","",IF(ISNUMBER('Dvd Calendar'!$J$690)=FALSE,"",'Dvd Calendar'!$J$690))</f>
        <v/>
      </c>
      <c r="AW73" s="161">
        <f>IF(FY73="","",IF(ISNUMBER('Dvd Calendar'!$K$690)=FALSE,"",'Dvd Calendar'!$K$690))</f>
        <v/>
      </c>
      <c r="AX73" s="161">
        <f>IF(FZ73="","",IF(ISNUMBER('Dvd Calendar'!$L$690)=FALSE,"",'Dvd Calendar'!$L$690))</f>
        <v/>
      </c>
      <c r="AY73" s="161">
        <f>IF(GA73="","",IF(ISNUMBER('Dvd Calendar'!$M$690)=FALSE,"",'Dvd Calendar'!$M$690))</f>
        <v/>
      </c>
      <c r="AZ73" s="161">
        <f>IF(GB73="","",IF(ISNUMBER('Dvd Calendar'!$N$690)=FALSE,"",'Dvd Calendar'!$N$690))</f>
        <v/>
      </c>
      <c r="BA73" s="161">
        <f>IF(GC73="","",IF(ISNUMBER('Dvd Calendar'!$O$690)=FALSE,"",'Dvd Calendar'!$O$690))</f>
        <v/>
      </c>
      <c r="BB73" s="161">
        <f>IF(GD73="","",IF(ISNUMBER('Dvd Calendar'!$P$690)=FALSE,"",'Dvd Calendar'!$P$690))</f>
        <v/>
      </c>
      <c r="BC73" s="161">
        <f>IF(GE73="","",IF(ISNUMBER('Dvd Calendar'!$Q$690)=FALSE,"",'Dvd Calendar'!$Q$690))</f>
        <v/>
      </c>
      <c r="BD73" s="161">
        <f>IF(GF73="","",IF(ISNUMBER('Dvd Calendar'!$R$690)=FALSE,"",'Dvd Calendar'!$R$690))</f>
        <v/>
      </c>
      <c r="BE73" s="161">
        <f>IF(GG73="","",IF(ISNUMBER('Dvd Calendar'!$S$690)=FALSE,"",'Dvd Calendar'!$S$690))</f>
        <v/>
      </c>
      <c r="BF73" s="161">
        <f>IF(GH73="","",IF(ISNUMBER('Dvd Calendar'!$T$690)=FALSE,"",'Dvd Calendar'!$T$690))</f>
        <v/>
      </c>
      <c r="BG73" s="161">
        <f>IF(GI73="","",IF(ISNUMBER('Dvd Calendar'!$U$690)=FALSE,"",'Dvd Calendar'!$U$690))</f>
        <v/>
      </c>
      <c r="BH73" s="161">
        <f>IF(GJ73="","",IF(ISNUMBER('Dvd Calendar'!$V$690)=FALSE,"",'Dvd Calendar'!$V$690))</f>
        <v/>
      </c>
      <c r="BI73" s="161">
        <f>IF(GK73="","",IF(ISNUMBER('Dvd Calendar'!$W$690)=FALSE,"",'Dvd Calendar'!$W$690))</f>
        <v/>
      </c>
      <c r="BJ73" s="161">
        <f>IF(GL73="","",IF(ISNUMBER('Dvd Calendar'!$X$690)=FALSE,"",'Dvd Calendar'!$X$690))</f>
        <v/>
      </c>
      <c r="BK73" s="161">
        <f>IF(GM73="","",IF(ISNUMBER('Dvd Calendar'!$Y$690)=FALSE,"",'Dvd Calendar'!$Y$690))</f>
        <v/>
      </c>
      <c r="BL73" s="161">
        <f>IF(GN73="","",IF(ISNUMBER('Dvd Calendar'!$Z$690)=FALSE,"",'Dvd Calendar'!$Z$690))</f>
        <v/>
      </c>
      <c r="BM73" s="161">
        <f>IF(GO73="","",IF(ISNUMBER('Dvd Calendar'!$AA$690)=FALSE,"",'Dvd Calendar'!$AA$690))</f>
        <v/>
      </c>
      <c r="BN73" s="161">
        <f>IF(GP73="","",IF(ISNUMBER('Dvd Calendar'!$AB$690)=FALSE,"",'Dvd Calendar'!$AB$690))</f>
        <v/>
      </c>
      <c r="BO73" s="161">
        <f>IF(GQ73="","",IF(ISNUMBER('Dvd Calendar'!$AC$690)=FALSE,"",'Dvd Calendar'!$AC$690))</f>
        <v/>
      </c>
      <c r="BQ73" s="161">
        <f>IF(C73="","",IFERROR(C73*HSI!$B$68*HSI!$G$68/HSI!$B$3,""))</f>
        <v/>
      </c>
      <c r="BR73" s="161">
        <f>IF(D73="","",IFERROR(D73*HSI!$B$68*HSI!$G$68/HSI!$B$3,""))</f>
        <v/>
      </c>
      <c r="BS73" s="161">
        <f>IF(E73="","",IFERROR(E73*HSI!$B$68*HSI!$G$68/HSI!$B$3,""))</f>
        <v/>
      </c>
      <c r="BT73" s="161">
        <f>IF(F73="","",IFERROR(F73*HSI!$B$68*HSI!$G$68/HSI!$B$3,""))</f>
        <v/>
      </c>
      <c r="BU73" s="161">
        <f>IF(G73="","",IFERROR(G73*HSI!$B$68*HSI!$G$68/HSI!$B$3,""))</f>
        <v/>
      </c>
      <c r="BV73" s="161">
        <f>IF(H73="","",IFERROR(H73*HSI!$B$68*HSI!$G$68/HSI!$B$3,""))</f>
        <v/>
      </c>
      <c r="BW73" s="161">
        <f>IF(I73="","",IFERROR(I73*HSI!$B$68*HSI!$G$68/HSI!$B$3,""))</f>
        <v/>
      </c>
      <c r="BX73" s="161">
        <f>IF(J73="","",IFERROR(J73*HSI!$B$68*HSI!$G$68/HSI!$B$3,""))</f>
        <v/>
      </c>
      <c r="BY73" s="161">
        <f>IF(K73="","",IFERROR(K73*HSI!$B$68*HSI!$G$68/HSI!$B$3,""))</f>
        <v/>
      </c>
      <c r="BZ73" s="161">
        <f>IF(L73="","",IFERROR(L73*HSI!$B$68*HSI!$G$68/HSI!$B$3,""))</f>
        <v/>
      </c>
      <c r="CA73" s="161">
        <f>IF(M73="","",IFERROR(M73*HSI!$B$68*HSI!$G$68/HSI!$B$3,""))</f>
        <v/>
      </c>
      <c r="CB73" s="161">
        <f>IF(N73="","",IFERROR(N73*HSI!$B$68*HSI!$G$68/HSI!$B$3,""))</f>
        <v/>
      </c>
      <c r="CC73" s="161">
        <f>IF(O73="","",IFERROR(O73*HSI!$B$68*HSI!$G$68/HSI!$B$3,""))</f>
        <v/>
      </c>
      <c r="CD73" s="161">
        <f>IF(P73="","",IFERROR(P73*HSI!$B$68*HSI!$G$68/HSI!$B$3,""))</f>
        <v/>
      </c>
      <c r="CE73" s="161">
        <f>IF(Q73="","",IFERROR(Q73*HSI!$B$68*HSI!$G$68/HSI!$B$3,""))</f>
        <v/>
      </c>
      <c r="CF73" s="161">
        <f>IF(R73="","",IFERROR(R73*HSI!$B$68*HSI!$G$68/HSI!$B$3,""))</f>
        <v/>
      </c>
      <c r="CG73" s="161">
        <f>IF(S73="","",IFERROR(S73*HSI!$B$68*HSI!$G$68/HSI!$B$3,""))</f>
        <v/>
      </c>
      <c r="CH73" s="161">
        <f>IF(T73="","",IFERROR(T73*HSI!$B$68*HSI!$G$68/HSI!$B$3,""))</f>
        <v/>
      </c>
      <c r="CI73" s="161">
        <f>IF(U73="","",IFERROR(U73*HSI!$B$68*HSI!$G$68/HSI!$B$3,""))</f>
        <v/>
      </c>
      <c r="CJ73" s="161">
        <f>IF(V73="","",IFERROR(V73*HSI!$B$68*HSI!$G$68/HSI!$B$3,""))</f>
        <v/>
      </c>
      <c r="CK73" s="161">
        <f>IF(W73="","",IFERROR(W73*HSI!$B$68*HSI!$G$68/HSI!$B$3,""))</f>
        <v/>
      </c>
      <c r="CL73" s="161">
        <f>IF(X73="","",IFERROR(X73*HSI!$B$68*HSI!$G$68/HSI!$B$3,""))</f>
        <v/>
      </c>
      <c r="CM73" s="161">
        <f>IF(Y73="","",IFERROR(Y73*HSI!$B$68*HSI!$G$68/HSI!$B$3,""))</f>
        <v/>
      </c>
      <c r="CN73" s="161">
        <f>IF(Z73="","",IFERROR(Z73*HSI!$B$68*HSI!$G$68/HSI!$B$3,""))</f>
        <v/>
      </c>
      <c r="CO73" s="161">
        <f>IF(AA73="","",IFERROR(AA73*HSI!$B$68*HSI!$G$68/HSI!$B$3,""))</f>
        <v/>
      </c>
      <c r="CP73" s="161">
        <f>IF(AB73="","",IFERROR(AB73*HSI!$B$68*HSI!$G$68/HSI!$B$3,""))</f>
        <v/>
      </c>
      <c r="CQ73" s="161">
        <f>IF(AC73="","",IFERROR(AC73*HSI!$B$68*HSI!$G$68/HSI!$B$3,""))</f>
        <v/>
      </c>
      <c r="CR73" s="161">
        <f>IF(AD73="","",IFERROR(AD73*HSI!$B$68*HSI!$G$68/HSI!$B$3,""))</f>
        <v/>
      </c>
      <c r="CS73" s="161">
        <f>IF(AE73="","",IFERROR(AE73*HSI!$B$68*HSI!$G$68/HSI!$B$3,""))</f>
        <v/>
      </c>
      <c r="CT73" s="161">
        <f>IF(AF73="","",IFERROR(AF73*HSI!$B$68*HSI!$G$68/HSI!$B$3,""))</f>
        <v/>
      </c>
      <c r="CU73" s="161">
        <f>IF(AG73="","",IFERROR(AG73*HSI!$B$68*HSI!$G$68/HSI!$B$3,""))</f>
        <v/>
      </c>
      <c r="CV73" s="161">
        <f>IF(AH73="","",IFERROR(AH73*HSI!$B$68*HSI!$G$68/HSI!$B$3,""))</f>
        <v/>
      </c>
      <c r="CW73" s="161">
        <f>IF(AI73="","",IFERROR(AI73*HSI!$B$68*HSI!$G$68/HSI!$B$3,""))</f>
        <v/>
      </c>
      <c r="CX73" s="161">
        <f>IF(AJ73="","",IFERROR(AJ73*HSI!$B$68*HSI!$G$68/HSI!$B$3,""))</f>
        <v/>
      </c>
      <c r="CY73" s="161">
        <f>IF(AK73="","",IFERROR(AK73*HSI!$B$68*HSI!$G$68/HSI!$B$3,""))</f>
        <v/>
      </c>
      <c r="CZ73" s="161">
        <f>IF(AL73="","",IFERROR(AL73*HSI!$B$68*HSI!$G$68/HSI!$B$3,""))</f>
        <v/>
      </c>
      <c r="DA73" s="161">
        <f>IF(AM73="","",IFERROR(AM73*HSI!$B$68*HSI!$G$68/HSI!$B$3,""))</f>
        <v/>
      </c>
      <c r="DB73" s="161">
        <f>IF(AN73="","",IFERROR(AN73*HSI!$B$68*HSI!$G$68/HSI!$B$3,""))</f>
        <v/>
      </c>
      <c r="DC73" s="161">
        <f>IF(AO73="","",IFERROR(AO73*HSI!$B$68*HSI!$G$68/HSI!$B$3,""))</f>
        <v/>
      </c>
      <c r="DD73" s="161">
        <f>IF(AP73="","",IFERROR(AP73*HSI!$B$68*HSI!$G$68/HSI!$B$3,""))</f>
        <v/>
      </c>
      <c r="DE73" s="161">
        <f>IF(AQ73="","",IFERROR(AQ73*HSI!$B$68*HSI!$G$68/HSI!$B$3,""))</f>
        <v/>
      </c>
      <c r="DF73" s="161">
        <f>IF(AR73="","",IFERROR(AR73*HSI!$B$68*HSI!$G$68/HSI!$B$3,""))</f>
        <v/>
      </c>
      <c r="DG73" s="161">
        <f>IF(AS73="","",IFERROR(AS73*HSI!$B$68*HSI!$G$68/HSI!$B$3,""))</f>
        <v/>
      </c>
      <c r="DH73" s="161">
        <f>IF(AT73="","",IFERROR(AT73*HSI!$B$68*HSI!$G$68/HSI!$B$3,""))</f>
        <v/>
      </c>
      <c r="DI73" s="161">
        <f>IF(AU73="","",IFERROR(AU73*HSI!$B$68*HSI!$G$68/HSI!$B$3,""))</f>
        <v/>
      </c>
      <c r="DJ73" s="161">
        <f>IF(AV73="","",IFERROR(AV73*HSI!$B$68*HSI!$G$68/HSI!$B$3,""))</f>
        <v/>
      </c>
      <c r="DK73" s="161">
        <f>IF(AW73="","",IFERROR(AW73*HSI!$B$68*HSI!$G$68/HSI!$B$3,""))</f>
        <v/>
      </c>
      <c r="DL73" s="161">
        <f>IF(AX73="","",IFERROR(AX73*HSI!$B$68*HSI!$G$68/HSI!$B$3,""))</f>
        <v/>
      </c>
      <c r="DM73" s="161">
        <f>IF(AY73="","",IFERROR(AY73*HSI!$B$68*HSI!$G$68/HSI!$B$3,""))</f>
        <v/>
      </c>
      <c r="DN73" s="161">
        <f>IF(AZ73="","",IFERROR(AZ73*HSI!$B$68*HSI!$G$68/HSI!$B$3,""))</f>
        <v/>
      </c>
      <c r="DO73" s="161">
        <f>IF(BA73="","",IFERROR(BA73*HSI!$B$68*HSI!$G$68/HSI!$B$3,""))</f>
        <v/>
      </c>
      <c r="DP73" s="161">
        <f>IF(BB73="","",IFERROR(BB73*HSI!$B$68*HSI!$G$68/HSI!$B$3,""))</f>
        <v/>
      </c>
      <c r="DQ73" s="161">
        <f>IF(BC73="","",IFERROR(BC73*HSI!$B$68*HSI!$G$68/HSI!$B$3,""))</f>
        <v/>
      </c>
      <c r="DR73" s="161">
        <f>IF(BD73="","",IFERROR(BD73*HSI!$B$68*HSI!$G$68/HSI!$B$3,""))</f>
        <v/>
      </c>
      <c r="DS73" s="161">
        <f>IF(BE73="","",IFERROR(BE73*HSI!$B$68*HSI!$G$68/HSI!$B$3,""))</f>
        <v/>
      </c>
      <c r="DT73" s="161">
        <f>IF(BF73="","",IFERROR(BF73*HSI!$B$68*HSI!$G$68/HSI!$B$3,""))</f>
        <v/>
      </c>
      <c r="DU73" s="161">
        <f>IF(BG73="","",IFERROR(BG73*HSI!$B$68*HSI!$G$68/HSI!$B$3,""))</f>
        <v/>
      </c>
      <c r="DV73" s="161">
        <f>IF(BH73="","",IFERROR(BH73*HSI!$B$68*HSI!$G$68/HSI!$B$3,""))</f>
        <v/>
      </c>
      <c r="DW73" s="161">
        <f>IF(BI73="","",IFERROR(BI73*HSI!$B$68*HSI!$G$68/HSI!$B$3,""))</f>
        <v/>
      </c>
      <c r="DX73" s="161">
        <f>IF(BJ73="","",IFERROR(BJ73*HSI!$B$68*HSI!$G$68/HSI!$B$3,""))</f>
        <v/>
      </c>
      <c r="DY73" s="161">
        <f>IF(BK73="","",IFERROR(BK73*HSI!$B$68*HSI!$G$68/HSI!$B$3,""))</f>
        <v/>
      </c>
      <c r="DZ73" s="161">
        <f>IF(BL73="","",IFERROR(BL73*HSI!$B$68*HSI!$G$68/HSI!$B$3,""))</f>
        <v/>
      </c>
      <c r="EA73" s="161">
        <f>IF(BM73="","",IFERROR(BM73*HSI!$B$68*HSI!$G$68/HSI!$B$3,""))</f>
        <v/>
      </c>
      <c r="EB73" s="161">
        <f>IF(BN73="","",IFERROR(BN73*HSI!$B$68*HSI!$G$68/HSI!$B$3,""))</f>
        <v/>
      </c>
      <c r="EC73" s="161">
        <f>IF(BO73="","",IFERROR(BO73*HSI!$B$68*HSI!$G$68/HSI!$B$3,""))</f>
        <v/>
      </c>
      <c r="EE73" s="121">
        <f>IF(N('Dvd Calendar'!$E$682)=0,"",IF(('Dvd Calendar'!$E$682&gt;=GRID_FROM)*('Dvd Calendar'!$E$682&lt;=GRID_TO)*((('Dvd Calendar'!$E$682&lt;=VAL_DATE)+(COUNTIF('Dvd Calendar'!$E$689:$AR$689,'Dvd Calendar'!$E$682)=0))&gt;0)=0,"",'Dvd Calendar'!$E$682*1000000000+ISNUMBER('Dvd Calendar'!$E$685)*100000000+('Dvd Calendar'!$E$687=SPECIAL_LBL)*10000000+(N('Dvd Calendar'!$E$681)&gt;0)*(N('Dvd Calendar'!$E$681)&lt;=VAL_SERIAL)*1000000+62*1000+1))</f>
        <v/>
      </c>
      <c r="EF73" s="121">
        <f>IF(N('Dvd Calendar'!$F$682)=0,"",IF(('Dvd Calendar'!$F$682&gt;=GRID_FROM)*('Dvd Calendar'!$F$682&lt;=GRID_TO)*((('Dvd Calendar'!$F$682&lt;=VAL_DATE)+(COUNTIF('Dvd Calendar'!$E$689:$AR$689,'Dvd Calendar'!$F$682)=0))&gt;0)=0,"",'Dvd Calendar'!$F$682*1000000000+ISNUMBER('Dvd Calendar'!$F$685)*100000000+('Dvd Calendar'!$F$687=SPECIAL_LBL)*10000000+(N('Dvd Calendar'!$F$681)&gt;0)*(N('Dvd Calendar'!$F$681)&lt;=VAL_SERIAL)*1000000+62*1000+2))</f>
        <v/>
      </c>
      <c r="EG73" s="121">
        <f>IF(N('Dvd Calendar'!$G$682)=0,"",IF(('Dvd Calendar'!$G$682&gt;=GRID_FROM)*('Dvd Calendar'!$G$682&lt;=GRID_TO)*((('Dvd Calendar'!$G$682&lt;=VAL_DATE)+(COUNTIF('Dvd Calendar'!$E$689:$AR$689,'Dvd Calendar'!$G$682)=0))&gt;0)=0,"",'Dvd Calendar'!$G$682*1000000000+ISNUMBER('Dvd Calendar'!$G$685)*100000000+('Dvd Calendar'!$G$687=SPECIAL_LBL)*10000000+(N('Dvd Calendar'!$G$681)&gt;0)*(N('Dvd Calendar'!$G$681)&lt;=VAL_SERIAL)*1000000+62*1000+3))</f>
        <v/>
      </c>
      <c r="EH73" s="121">
        <f>IF(N('Dvd Calendar'!$H$682)=0,"",IF(('Dvd Calendar'!$H$682&gt;=GRID_FROM)*('Dvd Calendar'!$H$682&lt;=GRID_TO)*((('Dvd Calendar'!$H$682&lt;=VAL_DATE)+(COUNTIF('Dvd Calendar'!$E$689:$AR$689,'Dvd Calendar'!$H$682)=0))&gt;0)=0,"",'Dvd Calendar'!$H$682*1000000000+ISNUMBER('Dvd Calendar'!$H$685)*100000000+('Dvd Calendar'!$H$687=SPECIAL_LBL)*10000000+(N('Dvd Calendar'!$H$681)&gt;0)*(N('Dvd Calendar'!$H$681)&lt;=VAL_SERIAL)*1000000+62*1000+4))</f>
        <v/>
      </c>
      <c r="EI73" s="121">
        <f>IF(N('Dvd Calendar'!$I$682)=0,"",IF(('Dvd Calendar'!$I$682&gt;=GRID_FROM)*('Dvd Calendar'!$I$682&lt;=GRID_TO)*((('Dvd Calendar'!$I$682&lt;=VAL_DATE)+(COUNTIF('Dvd Calendar'!$E$689:$AR$689,'Dvd Calendar'!$I$682)=0))&gt;0)=0,"",'Dvd Calendar'!$I$682*1000000000+ISNUMBER('Dvd Calendar'!$I$685)*100000000+('Dvd Calendar'!$I$687=SPECIAL_LBL)*10000000+(N('Dvd Calendar'!$I$681)&gt;0)*(N('Dvd Calendar'!$I$681)&lt;=VAL_SERIAL)*1000000+62*1000+5))</f>
        <v/>
      </c>
      <c r="EJ73" s="121">
        <f>IF(N('Dvd Calendar'!$J$682)=0,"",IF(('Dvd Calendar'!$J$682&gt;=GRID_FROM)*('Dvd Calendar'!$J$682&lt;=GRID_TO)*((('Dvd Calendar'!$J$682&lt;=VAL_DATE)+(COUNTIF('Dvd Calendar'!$E$689:$AR$689,'Dvd Calendar'!$J$682)=0))&gt;0)=0,"",'Dvd Calendar'!$J$682*1000000000+ISNUMBER('Dvd Calendar'!$J$685)*100000000+('Dvd Calendar'!$J$687=SPECIAL_LBL)*10000000+(N('Dvd Calendar'!$J$681)&gt;0)*(N('Dvd Calendar'!$J$681)&lt;=VAL_SERIAL)*1000000+62*1000+6))</f>
        <v/>
      </c>
      <c r="EK73" s="121">
        <f>IF(N('Dvd Calendar'!$K$682)=0,"",IF(('Dvd Calendar'!$K$682&gt;=GRID_FROM)*('Dvd Calendar'!$K$682&lt;=GRID_TO)*((('Dvd Calendar'!$K$682&lt;=VAL_DATE)+(COUNTIF('Dvd Calendar'!$E$689:$AR$689,'Dvd Calendar'!$K$682)=0))&gt;0)=0,"",'Dvd Calendar'!$K$682*1000000000+ISNUMBER('Dvd Calendar'!$K$685)*100000000+('Dvd Calendar'!$K$687=SPECIAL_LBL)*10000000+(N('Dvd Calendar'!$K$681)&gt;0)*(N('Dvd Calendar'!$K$681)&lt;=VAL_SERIAL)*1000000+62*1000+7))</f>
        <v/>
      </c>
      <c r="EL73" s="121">
        <f>IF(N('Dvd Calendar'!$L$682)=0,"",IF(('Dvd Calendar'!$L$682&gt;=GRID_FROM)*('Dvd Calendar'!$L$682&lt;=GRID_TO)*((('Dvd Calendar'!$L$682&lt;=VAL_DATE)+(COUNTIF('Dvd Calendar'!$E$689:$AR$689,'Dvd Calendar'!$L$682)=0))&gt;0)=0,"",'Dvd Calendar'!$L$682*1000000000+ISNUMBER('Dvd Calendar'!$L$685)*100000000+('Dvd Calendar'!$L$687=SPECIAL_LBL)*10000000+(N('Dvd Calendar'!$L$681)&gt;0)*(N('Dvd Calendar'!$L$681)&lt;=VAL_SERIAL)*1000000+62*1000+8))</f>
        <v/>
      </c>
      <c r="EM73" s="121">
        <f>IF(N('Dvd Calendar'!$M$682)=0,"",IF(('Dvd Calendar'!$M$682&gt;=GRID_FROM)*('Dvd Calendar'!$M$682&lt;=GRID_TO)*((('Dvd Calendar'!$M$682&lt;=VAL_DATE)+(COUNTIF('Dvd Calendar'!$E$689:$AR$689,'Dvd Calendar'!$M$682)=0))&gt;0)=0,"",'Dvd Calendar'!$M$682*1000000000+ISNUMBER('Dvd Calendar'!$M$685)*100000000+('Dvd Calendar'!$M$687=SPECIAL_LBL)*10000000+(N('Dvd Calendar'!$M$681)&gt;0)*(N('Dvd Calendar'!$M$681)&lt;=VAL_SERIAL)*1000000+62*1000+9))</f>
        <v/>
      </c>
      <c r="EN73" s="121">
        <f>IF(N('Dvd Calendar'!$N$682)=0,"",IF(('Dvd Calendar'!$N$682&gt;=GRID_FROM)*('Dvd Calendar'!$N$682&lt;=GRID_TO)*((('Dvd Calendar'!$N$682&lt;=VAL_DATE)+(COUNTIF('Dvd Calendar'!$E$689:$AR$689,'Dvd Calendar'!$N$682)=0))&gt;0)=0,"",'Dvd Calendar'!$N$682*1000000000+ISNUMBER('Dvd Calendar'!$N$685)*100000000+('Dvd Calendar'!$N$687=SPECIAL_LBL)*10000000+(N('Dvd Calendar'!$N$681)&gt;0)*(N('Dvd Calendar'!$N$681)&lt;=VAL_SERIAL)*1000000+62*1000+10))</f>
        <v/>
      </c>
      <c r="EO73" s="121">
        <f>IF(N('Dvd Calendar'!$O$682)=0,"",IF(('Dvd Calendar'!$O$682&gt;=GRID_FROM)*('Dvd Calendar'!$O$682&lt;=GRID_TO)*((('Dvd Calendar'!$O$682&lt;=VAL_DATE)+(COUNTIF('Dvd Calendar'!$E$689:$AR$689,'Dvd Calendar'!$O$682)=0))&gt;0)=0,"",'Dvd Calendar'!$O$682*1000000000+ISNUMBER('Dvd Calendar'!$O$685)*100000000+('Dvd Calendar'!$O$687=SPECIAL_LBL)*10000000+(N('Dvd Calendar'!$O$681)&gt;0)*(N('Dvd Calendar'!$O$681)&lt;=VAL_SERIAL)*1000000+62*1000+11))</f>
        <v/>
      </c>
      <c r="EP73" s="121">
        <f>IF(N('Dvd Calendar'!$P$682)=0,"",IF(('Dvd Calendar'!$P$682&gt;=GRID_FROM)*('Dvd Calendar'!$P$682&lt;=GRID_TO)*((('Dvd Calendar'!$P$682&lt;=VAL_DATE)+(COUNTIF('Dvd Calendar'!$E$689:$AR$689,'Dvd Calendar'!$P$682)=0))&gt;0)=0,"",'Dvd Calendar'!$P$682*1000000000+ISNUMBER('Dvd Calendar'!$P$685)*100000000+('Dvd Calendar'!$P$687=SPECIAL_LBL)*10000000+(N('Dvd Calendar'!$P$681)&gt;0)*(N('Dvd Calendar'!$P$681)&lt;=VAL_SERIAL)*1000000+62*1000+12))</f>
        <v/>
      </c>
      <c r="EQ73" s="121">
        <f>IF(N('Dvd Calendar'!$Q$682)=0,"",IF(('Dvd Calendar'!$Q$682&gt;=GRID_FROM)*('Dvd Calendar'!$Q$682&lt;=GRID_TO)*((('Dvd Calendar'!$Q$682&lt;=VAL_DATE)+(COUNTIF('Dvd Calendar'!$E$689:$AR$689,'Dvd Calendar'!$Q$682)=0))&gt;0)=0,"",'Dvd Calendar'!$Q$682*1000000000+ISNUMBER('Dvd Calendar'!$Q$685)*100000000+('Dvd Calendar'!$Q$687=SPECIAL_LBL)*10000000+(N('Dvd Calendar'!$Q$681)&gt;0)*(N('Dvd Calendar'!$Q$681)&lt;=VAL_SERIAL)*1000000+62*1000+13))</f>
        <v/>
      </c>
      <c r="ER73" s="121">
        <f>IF(N('Dvd Calendar'!$R$682)=0,"",IF(('Dvd Calendar'!$R$682&gt;=GRID_FROM)*('Dvd Calendar'!$R$682&lt;=GRID_TO)*((('Dvd Calendar'!$R$682&lt;=VAL_DATE)+(COUNTIF('Dvd Calendar'!$E$689:$AR$689,'Dvd Calendar'!$R$682)=0))&gt;0)=0,"",'Dvd Calendar'!$R$682*1000000000+ISNUMBER('Dvd Calendar'!$R$685)*100000000+('Dvd Calendar'!$R$687=SPECIAL_LBL)*10000000+(N('Dvd Calendar'!$R$681)&gt;0)*(N('Dvd Calendar'!$R$681)&lt;=VAL_SERIAL)*1000000+62*1000+14))</f>
        <v/>
      </c>
      <c r="ES73" s="121">
        <f>IF(N('Dvd Calendar'!$S$682)=0,"",IF(('Dvd Calendar'!$S$682&gt;=GRID_FROM)*('Dvd Calendar'!$S$682&lt;=GRID_TO)*((('Dvd Calendar'!$S$682&lt;=VAL_DATE)+(COUNTIF('Dvd Calendar'!$E$689:$AR$689,'Dvd Calendar'!$S$682)=0))&gt;0)=0,"",'Dvd Calendar'!$S$682*1000000000+ISNUMBER('Dvd Calendar'!$S$685)*100000000+('Dvd Calendar'!$S$687=SPECIAL_LBL)*10000000+(N('Dvd Calendar'!$S$681)&gt;0)*(N('Dvd Calendar'!$S$681)&lt;=VAL_SERIAL)*1000000+62*1000+15))</f>
        <v/>
      </c>
      <c r="ET73" s="121">
        <f>IF(N('Dvd Calendar'!$T$682)=0,"",IF(('Dvd Calendar'!$T$682&gt;=GRID_FROM)*('Dvd Calendar'!$T$682&lt;=GRID_TO)*((('Dvd Calendar'!$T$682&lt;=VAL_DATE)+(COUNTIF('Dvd Calendar'!$E$689:$AR$689,'Dvd Calendar'!$T$682)=0))&gt;0)=0,"",'Dvd Calendar'!$T$682*1000000000+ISNUMBER('Dvd Calendar'!$T$685)*100000000+('Dvd Calendar'!$T$687=SPECIAL_LBL)*10000000+(N('Dvd Calendar'!$T$681)&gt;0)*(N('Dvd Calendar'!$T$681)&lt;=VAL_SERIAL)*1000000+62*1000+16))</f>
        <v/>
      </c>
      <c r="EU73" s="121">
        <f>IF(N('Dvd Calendar'!$U$682)=0,"",IF(('Dvd Calendar'!$U$682&gt;=GRID_FROM)*('Dvd Calendar'!$U$682&lt;=GRID_TO)*((('Dvd Calendar'!$U$682&lt;=VAL_DATE)+(COUNTIF('Dvd Calendar'!$E$689:$AR$689,'Dvd Calendar'!$U$682)=0))&gt;0)=0,"",'Dvd Calendar'!$U$682*1000000000+ISNUMBER('Dvd Calendar'!$U$685)*100000000+('Dvd Calendar'!$U$687=SPECIAL_LBL)*10000000+(N('Dvd Calendar'!$U$681)&gt;0)*(N('Dvd Calendar'!$U$681)&lt;=VAL_SERIAL)*1000000+62*1000+17))</f>
        <v/>
      </c>
      <c r="EV73" s="121">
        <f>IF(N('Dvd Calendar'!$V$682)=0,"",IF(('Dvd Calendar'!$V$682&gt;=GRID_FROM)*('Dvd Calendar'!$V$682&lt;=GRID_TO)*((('Dvd Calendar'!$V$682&lt;=VAL_DATE)+(COUNTIF('Dvd Calendar'!$E$689:$AR$689,'Dvd Calendar'!$V$682)=0))&gt;0)=0,"",'Dvd Calendar'!$V$682*1000000000+ISNUMBER('Dvd Calendar'!$V$685)*100000000+('Dvd Calendar'!$V$687=SPECIAL_LBL)*10000000+(N('Dvd Calendar'!$V$681)&gt;0)*(N('Dvd Calendar'!$V$681)&lt;=VAL_SERIAL)*1000000+62*1000+18))</f>
        <v/>
      </c>
      <c r="EW73" s="121">
        <f>IF(N('Dvd Calendar'!$W$682)=0,"",IF(('Dvd Calendar'!$W$682&gt;=GRID_FROM)*('Dvd Calendar'!$W$682&lt;=GRID_TO)*((('Dvd Calendar'!$W$682&lt;=VAL_DATE)+(COUNTIF('Dvd Calendar'!$E$689:$AR$689,'Dvd Calendar'!$W$682)=0))&gt;0)=0,"",'Dvd Calendar'!$W$682*1000000000+ISNUMBER('Dvd Calendar'!$W$685)*100000000+('Dvd Calendar'!$W$687=SPECIAL_LBL)*10000000+(N('Dvd Calendar'!$W$681)&gt;0)*(N('Dvd Calendar'!$W$681)&lt;=VAL_SERIAL)*1000000+62*1000+19))</f>
        <v/>
      </c>
      <c r="EX73" s="121">
        <f>IF(N('Dvd Calendar'!$X$682)=0,"",IF(('Dvd Calendar'!$X$682&gt;=GRID_FROM)*('Dvd Calendar'!$X$682&lt;=GRID_TO)*((('Dvd Calendar'!$X$682&lt;=VAL_DATE)+(COUNTIF('Dvd Calendar'!$E$689:$AR$689,'Dvd Calendar'!$X$682)=0))&gt;0)=0,"",'Dvd Calendar'!$X$682*1000000000+ISNUMBER('Dvd Calendar'!$X$685)*100000000+('Dvd Calendar'!$X$687=SPECIAL_LBL)*10000000+(N('Dvd Calendar'!$X$681)&gt;0)*(N('Dvd Calendar'!$X$681)&lt;=VAL_SERIAL)*1000000+62*1000+20))</f>
        <v/>
      </c>
      <c r="EY73" s="121">
        <f>IF(N('Dvd Calendar'!$Y$682)=0,"",IF(('Dvd Calendar'!$Y$682&gt;=GRID_FROM)*('Dvd Calendar'!$Y$682&lt;=GRID_TO)*((('Dvd Calendar'!$Y$682&lt;=VAL_DATE)+(COUNTIF('Dvd Calendar'!$E$689:$AR$689,'Dvd Calendar'!$Y$682)=0))&gt;0)=0,"",'Dvd Calendar'!$Y$682*1000000000+ISNUMBER('Dvd Calendar'!$Y$685)*100000000+('Dvd Calendar'!$Y$687=SPECIAL_LBL)*10000000+(N('Dvd Calendar'!$Y$681)&gt;0)*(N('Dvd Calendar'!$Y$681)&lt;=VAL_SERIAL)*1000000+62*1000+21))</f>
        <v/>
      </c>
      <c r="EZ73" s="121">
        <f>IF(N('Dvd Calendar'!$Z$682)=0,"",IF(('Dvd Calendar'!$Z$682&gt;=GRID_FROM)*('Dvd Calendar'!$Z$682&lt;=GRID_TO)*((('Dvd Calendar'!$Z$682&lt;=VAL_DATE)+(COUNTIF('Dvd Calendar'!$E$689:$AR$689,'Dvd Calendar'!$Z$682)=0))&gt;0)=0,"",'Dvd Calendar'!$Z$682*1000000000+ISNUMBER('Dvd Calendar'!$Z$685)*100000000+('Dvd Calendar'!$Z$687=SPECIAL_LBL)*10000000+(N('Dvd Calendar'!$Z$681)&gt;0)*(N('Dvd Calendar'!$Z$681)&lt;=VAL_SERIAL)*1000000+62*1000+22))</f>
        <v/>
      </c>
      <c r="FA73" s="121">
        <f>IF(N('Dvd Calendar'!$AA$682)=0,"",IF(('Dvd Calendar'!$AA$682&gt;=GRID_FROM)*('Dvd Calendar'!$AA$682&lt;=GRID_TO)*((('Dvd Calendar'!$AA$682&lt;=VAL_DATE)+(COUNTIF('Dvd Calendar'!$E$689:$AR$689,'Dvd Calendar'!$AA$682)=0))&gt;0)=0,"",'Dvd Calendar'!$AA$682*1000000000+ISNUMBER('Dvd Calendar'!$AA$685)*100000000+('Dvd Calendar'!$AA$687=SPECIAL_LBL)*10000000+(N('Dvd Calendar'!$AA$681)&gt;0)*(N('Dvd Calendar'!$AA$681)&lt;=VAL_SERIAL)*1000000+62*1000+23))</f>
        <v/>
      </c>
      <c r="FB73" s="121">
        <f>IF(N('Dvd Calendar'!$AB$682)=0,"",IF(('Dvd Calendar'!$AB$682&gt;=GRID_FROM)*('Dvd Calendar'!$AB$682&lt;=GRID_TO)*((('Dvd Calendar'!$AB$682&lt;=VAL_DATE)+(COUNTIF('Dvd Calendar'!$E$689:$AR$689,'Dvd Calendar'!$AB$682)=0))&gt;0)=0,"",'Dvd Calendar'!$AB$682*1000000000+ISNUMBER('Dvd Calendar'!$AB$685)*100000000+('Dvd Calendar'!$AB$687=SPECIAL_LBL)*10000000+(N('Dvd Calendar'!$AB$681)&gt;0)*(N('Dvd Calendar'!$AB$681)&lt;=VAL_SERIAL)*1000000+62*1000+24))</f>
        <v/>
      </c>
      <c r="FC73" s="121">
        <f>IF(N('Dvd Calendar'!$AC$682)=0,"",IF(('Dvd Calendar'!$AC$682&gt;=GRID_FROM)*('Dvd Calendar'!$AC$682&lt;=GRID_TO)*((('Dvd Calendar'!$AC$682&lt;=VAL_DATE)+(COUNTIF('Dvd Calendar'!$E$689:$AR$689,'Dvd Calendar'!$AC$682)=0))&gt;0)=0,"",'Dvd Calendar'!$AC$682*1000000000+ISNUMBER('Dvd Calendar'!$AC$685)*100000000+('Dvd Calendar'!$AC$687=SPECIAL_LBL)*10000000+(N('Dvd Calendar'!$AC$681)&gt;0)*(N('Dvd Calendar'!$AC$681)&lt;=VAL_SERIAL)*1000000+62*1000+25))</f>
        <v/>
      </c>
      <c r="FD73" s="121">
        <f>IF(N('Dvd Calendar'!$AD$682)=0,"",IF(('Dvd Calendar'!$AD$682&gt;=GRID_FROM)*('Dvd Calendar'!$AD$682&lt;=GRID_TO)*((('Dvd Calendar'!$AD$682&lt;=VAL_DATE)+(COUNTIF('Dvd Calendar'!$E$689:$AR$689,'Dvd Calendar'!$AD$682)=0))&gt;0)=0,"",'Dvd Calendar'!$AD$682*1000000000+ISNUMBER('Dvd Calendar'!$AD$685)*100000000+('Dvd Calendar'!$AD$687=SPECIAL_LBL)*10000000+(N('Dvd Calendar'!$AD$681)&gt;0)*(N('Dvd Calendar'!$AD$681)&lt;=VAL_SERIAL)*1000000+62*1000+26))</f>
        <v/>
      </c>
      <c r="FE73" s="121">
        <f>IF(N('Dvd Calendar'!$AE$682)=0,"",IF(('Dvd Calendar'!$AE$682&gt;=GRID_FROM)*('Dvd Calendar'!$AE$682&lt;=GRID_TO)*((('Dvd Calendar'!$AE$682&lt;=VAL_DATE)+(COUNTIF('Dvd Calendar'!$E$689:$AR$689,'Dvd Calendar'!$AE$682)=0))&gt;0)=0,"",'Dvd Calendar'!$AE$682*1000000000+ISNUMBER('Dvd Calendar'!$AE$685)*100000000+('Dvd Calendar'!$AE$687=SPECIAL_LBL)*10000000+(N('Dvd Calendar'!$AE$681)&gt;0)*(N('Dvd Calendar'!$AE$681)&lt;=VAL_SERIAL)*1000000+62*1000+27))</f>
        <v/>
      </c>
      <c r="FF73" s="121">
        <f>IF(N('Dvd Calendar'!$AF$682)=0,"",IF(('Dvd Calendar'!$AF$682&gt;=GRID_FROM)*('Dvd Calendar'!$AF$682&lt;=GRID_TO)*((('Dvd Calendar'!$AF$682&lt;=VAL_DATE)+(COUNTIF('Dvd Calendar'!$E$689:$AR$689,'Dvd Calendar'!$AF$682)=0))&gt;0)=0,"",'Dvd Calendar'!$AF$682*1000000000+ISNUMBER('Dvd Calendar'!$AF$685)*100000000+('Dvd Calendar'!$AF$687=SPECIAL_LBL)*10000000+(N('Dvd Calendar'!$AF$681)&gt;0)*(N('Dvd Calendar'!$AF$681)&lt;=VAL_SERIAL)*1000000+62*1000+28))</f>
        <v/>
      </c>
      <c r="FG73" s="121">
        <f>IF(N('Dvd Calendar'!$AG$682)=0,"",IF(('Dvd Calendar'!$AG$682&gt;=GRID_FROM)*('Dvd Calendar'!$AG$682&lt;=GRID_TO)*((('Dvd Calendar'!$AG$682&lt;=VAL_DATE)+(COUNTIF('Dvd Calendar'!$E$689:$AR$689,'Dvd Calendar'!$AG$682)=0))&gt;0)=0,"",'Dvd Calendar'!$AG$682*1000000000+ISNUMBER('Dvd Calendar'!$AG$685)*100000000+('Dvd Calendar'!$AG$687=SPECIAL_LBL)*10000000+(N('Dvd Calendar'!$AG$681)&gt;0)*(N('Dvd Calendar'!$AG$681)&lt;=VAL_SERIAL)*1000000+62*1000+29))</f>
        <v/>
      </c>
      <c r="FH73" s="121">
        <f>IF(N('Dvd Calendar'!$AH$682)=0,"",IF(('Dvd Calendar'!$AH$682&gt;=GRID_FROM)*('Dvd Calendar'!$AH$682&lt;=GRID_TO)*((('Dvd Calendar'!$AH$682&lt;=VAL_DATE)+(COUNTIF('Dvd Calendar'!$E$689:$AR$689,'Dvd Calendar'!$AH$682)=0))&gt;0)=0,"",'Dvd Calendar'!$AH$682*1000000000+ISNUMBER('Dvd Calendar'!$AH$685)*100000000+('Dvd Calendar'!$AH$687=SPECIAL_LBL)*10000000+(N('Dvd Calendar'!$AH$681)&gt;0)*(N('Dvd Calendar'!$AH$681)&lt;=VAL_SERIAL)*1000000+62*1000+30))</f>
        <v/>
      </c>
      <c r="FI73" s="121">
        <f>IF(N('Dvd Calendar'!$AI$682)=0,"",IF(('Dvd Calendar'!$AI$682&gt;=GRID_FROM)*('Dvd Calendar'!$AI$682&lt;=GRID_TO)*((('Dvd Calendar'!$AI$682&lt;=VAL_DATE)+(COUNTIF('Dvd Calendar'!$E$689:$AR$689,'Dvd Calendar'!$AI$682)=0))&gt;0)=0,"",'Dvd Calendar'!$AI$682*1000000000+ISNUMBER('Dvd Calendar'!$AI$685)*100000000+('Dvd Calendar'!$AI$687=SPECIAL_LBL)*10000000+(N('Dvd Calendar'!$AI$681)&gt;0)*(N('Dvd Calendar'!$AI$681)&lt;=VAL_SERIAL)*1000000+62*1000+31))</f>
        <v/>
      </c>
      <c r="FJ73" s="121">
        <f>IF(N('Dvd Calendar'!$AJ$682)=0,"",IF(('Dvd Calendar'!$AJ$682&gt;=GRID_FROM)*('Dvd Calendar'!$AJ$682&lt;=GRID_TO)*((('Dvd Calendar'!$AJ$682&lt;=VAL_DATE)+(COUNTIF('Dvd Calendar'!$E$689:$AR$689,'Dvd Calendar'!$AJ$682)=0))&gt;0)=0,"",'Dvd Calendar'!$AJ$682*1000000000+ISNUMBER('Dvd Calendar'!$AJ$685)*100000000+('Dvd Calendar'!$AJ$687=SPECIAL_LBL)*10000000+(N('Dvd Calendar'!$AJ$681)&gt;0)*(N('Dvd Calendar'!$AJ$681)&lt;=VAL_SERIAL)*1000000+62*1000+32))</f>
        <v/>
      </c>
      <c r="FK73" s="121">
        <f>IF(N('Dvd Calendar'!$AK$682)=0,"",IF(('Dvd Calendar'!$AK$682&gt;=GRID_FROM)*('Dvd Calendar'!$AK$682&lt;=GRID_TO)*((('Dvd Calendar'!$AK$682&lt;=VAL_DATE)+(COUNTIF('Dvd Calendar'!$E$689:$AR$689,'Dvd Calendar'!$AK$682)=0))&gt;0)=0,"",'Dvd Calendar'!$AK$682*1000000000+ISNUMBER('Dvd Calendar'!$AK$685)*100000000+('Dvd Calendar'!$AK$687=SPECIAL_LBL)*10000000+(N('Dvd Calendar'!$AK$681)&gt;0)*(N('Dvd Calendar'!$AK$681)&lt;=VAL_SERIAL)*1000000+62*1000+33))</f>
        <v/>
      </c>
      <c r="FL73" s="121">
        <f>IF(N('Dvd Calendar'!$AL$682)=0,"",IF(('Dvd Calendar'!$AL$682&gt;=GRID_FROM)*('Dvd Calendar'!$AL$682&lt;=GRID_TO)*((('Dvd Calendar'!$AL$682&lt;=VAL_DATE)+(COUNTIF('Dvd Calendar'!$E$689:$AR$689,'Dvd Calendar'!$AL$682)=0))&gt;0)=0,"",'Dvd Calendar'!$AL$682*1000000000+ISNUMBER('Dvd Calendar'!$AL$685)*100000000+('Dvd Calendar'!$AL$687=SPECIAL_LBL)*10000000+(N('Dvd Calendar'!$AL$681)&gt;0)*(N('Dvd Calendar'!$AL$681)&lt;=VAL_SERIAL)*1000000+62*1000+34))</f>
        <v/>
      </c>
      <c r="FM73" s="121">
        <f>IF(N('Dvd Calendar'!$AM$682)=0,"",IF(('Dvd Calendar'!$AM$682&gt;=GRID_FROM)*('Dvd Calendar'!$AM$682&lt;=GRID_TO)*((('Dvd Calendar'!$AM$682&lt;=VAL_DATE)+(COUNTIF('Dvd Calendar'!$E$689:$AR$689,'Dvd Calendar'!$AM$682)=0))&gt;0)=0,"",'Dvd Calendar'!$AM$682*1000000000+ISNUMBER('Dvd Calendar'!$AM$685)*100000000+('Dvd Calendar'!$AM$687=SPECIAL_LBL)*10000000+(N('Dvd Calendar'!$AM$681)&gt;0)*(N('Dvd Calendar'!$AM$681)&lt;=VAL_SERIAL)*1000000+62*1000+35))</f>
        <v/>
      </c>
      <c r="FN73" s="121">
        <f>IF(N('Dvd Calendar'!$AN$682)=0,"",IF(('Dvd Calendar'!$AN$682&gt;=GRID_FROM)*('Dvd Calendar'!$AN$682&lt;=GRID_TO)*((('Dvd Calendar'!$AN$682&lt;=VAL_DATE)+(COUNTIF('Dvd Calendar'!$E$689:$AR$689,'Dvd Calendar'!$AN$682)=0))&gt;0)=0,"",'Dvd Calendar'!$AN$682*1000000000+ISNUMBER('Dvd Calendar'!$AN$685)*100000000+('Dvd Calendar'!$AN$687=SPECIAL_LBL)*10000000+(N('Dvd Calendar'!$AN$681)&gt;0)*(N('Dvd Calendar'!$AN$681)&lt;=VAL_SERIAL)*1000000+62*1000+36))</f>
        <v/>
      </c>
      <c r="FO73" s="121">
        <f>IF(N('Dvd Calendar'!$AO$682)=0,"",IF(('Dvd Calendar'!$AO$682&gt;=GRID_FROM)*('Dvd Calendar'!$AO$682&lt;=GRID_TO)*((('Dvd Calendar'!$AO$682&lt;=VAL_DATE)+(COUNTIF('Dvd Calendar'!$E$689:$AR$689,'Dvd Calendar'!$AO$682)=0))&gt;0)=0,"",'Dvd Calendar'!$AO$682*1000000000+ISNUMBER('Dvd Calendar'!$AO$685)*100000000+('Dvd Calendar'!$AO$687=SPECIAL_LBL)*10000000+(N('Dvd Calendar'!$AO$681)&gt;0)*(N('Dvd Calendar'!$AO$681)&lt;=VAL_SERIAL)*1000000+62*1000+37))</f>
        <v/>
      </c>
      <c r="FP73" s="121">
        <f>IF(N('Dvd Calendar'!$AP$682)=0,"",IF(('Dvd Calendar'!$AP$682&gt;=GRID_FROM)*('Dvd Calendar'!$AP$682&lt;=GRID_TO)*((('Dvd Calendar'!$AP$682&lt;=VAL_DATE)+(COUNTIF('Dvd Calendar'!$E$689:$AR$689,'Dvd Calendar'!$AP$682)=0))&gt;0)=0,"",'Dvd Calendar'!$AP$682*1000000000+ISNUMBER('Dvd Calendar'!$AP$685)*100000000+('Dvd Calendar'!$AP$687=SPECIAL_LBL)*10000000+(N('Dvd Calendar'!$AP$681)&gt;0)*(N('Dvd Calendar'!$AP$681)&lt;=VAL_SERIAL)*1000000+62*1000+38))</f>
        <v/>
      </c>
      <c r="FQ73" s="121">
        <f>IF(N('Dvd Calendar'!$AQ$682)=0,"",IF(('Dvd Calendar'!$AQ$682&gt;=GRID_FROM)*('Dvd Calendar'!$AQ$682&lt;=GRID_TO)*((('Dvd Calendar'!$AQ$682&lt;=VAL_DATE)+(COUNTIF('Dvd Calendar'!$E$689:$AR$689,'Dvd Calendar'!$AQ$682)=0))&gt;0)=0,"",'Dvd Calendar'!$AQ$682*1000000000+ISNUMBER('Dvd Calendar'!$AQ$685)*100000000+('Dvd Calendar'!$AQ$687=SPECIAL_LBL)*10000000+(N('Dvd Calendar'!$AQ$681)&gt;0)*(N('Dvd Calendar'!$AQ$681)&lt;=VAL_SERIAL)*1000000+62*1000+39))</f>
        <v/>
      </c>
      <c r="FR73" s="121">
        <f>IF(N('Dvd Calendar'!$AR$682)=0,"",IF(('Dvd Calendar'!$AR$682&gt;=GRID_FROM)*('Dvd Calendar'!$AR$682&lt;=GRID_TO)*((('Dvd Calendar'!$AR$682&lt;=VAL_DATE)+(COUNTIF('Dvd Calendar'!$E$689:$AR$689,'Dvd Calendar'!$AR$682)=0))&gt;0)=0,"",'Dvd Calendar'!$AR$682*1000000000+ISNUMBER('Dvd Calendar'!$AR$685)*100000000+('Dvd Calendar'!$AR$687=SPECIAL_LBL)*10000000+(N('Dvd Calendar'!$AR$681)&gt;0)*(N('Dvd Calendar'!$AR$681)&lt;=VAL_SERIAL)*1000000+62*1000+40))</f>
        <v/>
      </c>
      <c r="FS73" s="121">
        <f>IF(N('Dvd Calendar'!$E$689)=0,"",IF(('Dvd Calendar'!$E$689&gt;=GRID_FROM)*('Dvd Calendar'!$E$689&lt;=GRID_TO)*('Dvd Calendar'!$E$689&gt;VAL_DATE)=0,"",'Dvd Calendar'!$E$689*1000000000+ISNUMBER('Dvd Calendar'!$E$690)*100000000+0*10000000+(N('Dvd Calendar'!$E$688)&gt;0)*(N('Dvd Calendar'!$E$688)&lt;=VAL_SERIAL)*1000000+62*1000+41))</f>
        <v/>
      </c>
      <c r="FT73" s="121">
        <f>IF(N('Dvd Calendar'!$F$689)=0,"",IF(('Dvd Calendar'!$F$689&gt;=GRID_FROM)*('Dvd Calendar'!$F$689&lt;=GRID_TO)*('Dvd Calendar'!$F$689&gt;VAL_DATE)=0,"",'Dvd Calendar'!$F$689*1000000000+ISNUMBER('Dvd Calendar'!$F$690)*100000000+0*10000000+(N('Dvd Calendar'!$F$688)&gt;0)*(N('Dvd Calendar'!$F$688)&lt;=VAL_SERIAL)*1000000+62*1000+42))</f>
        <v/>
      </c>
      <c r="FU73" s="121">
        <f>IF(N('Dvd Calendar'!$G$689)=0,"",IF(('Dvd Calendar'!$G$689&gt;=GRID_FROM)*('Dvd Calendar'!$G$689&lt;=GRID_TO)*('Dvd Calendar'!$G$689&gt;VAL_DATE)=0,"",'Dvd Calendar'!$G$689*1000000000+ISNUMBER('Dvd Calendar'!$G$690)*100000000+0*10000000+(N('Dvd Calendar'!$G$688)&gt;0)*(N('Dvd Calendar'!$G$688)&lt;=VAL_SERIAL)*1000000+62*1000+43))</f>
        <v/>
      </c>
      <c r="FV73" s="121">
        <f>IF(N('Dvd Calendar'!$H$689)=0,"",IF(('Dvd Calendar'!$H$689&gt;=GRID_FROM)*('Dvd Calendar'!$H$689&lt;=GRID_TO)*('Dvd Calendar'!$H$689&gt;VAL_DATE)=0,"",'Dvd Calendar'!$H$689*1000000000+ISNUMBER('Dvd Calendar'!$H$690)*100000000+0*10000000+(N('Dvd Calendar'!$H$688)&gt;0)*(N('Dvd Calendar'!$H$688)&lt;=VAL_SERIAL)*1000000+62*1000+44))</f>
        <v/>
      </c>
      <c r="FW73" s="121">
        <f>IF(N('Dvd Calendar'!$I$689)=0,"",IF(('Dvd Calendar'!$I$689&gt;=GRID_FROM)*('Dvd Calendar'!$I$689&lt;=GRID_TO)*('Dvd Calendar'!$I$689&gt;VAL_DATE)=0,"",'Dvd Calendar'!$I$689*1000000000+ISNUMBER('Dvd Calendar'!$I$690)*100000000+0*10000000+(N('Dvd Calendar'!$I$688)&gt;0)*(N('Dvd Calendar'!$I$688)&lt;=VAL_SERIAL)*1000000+62*1000+45))</f>
        <v/>
      </c>
      <c r="FX73" s="121">
        <f>IF(N('Dvd Calendar'!$J$689)=0,"",IF(('Dvd Calendar'!$J$689&gt;=GRID_FROM)*('Dvd Calendar'!$J$689&lt;=GRID_TO)*('Dvd Calendar'!$J$689&gt;VAL_DATE)=0,"",'Dvd Calendar'!$J$689*1000000000+ISNUMBER('Dvd Calendar'!$J$690)*100000000+0*10000000+(N('Dvd Calendar'!$J$688)&gt;0)*(N('Dvd Calendar'!$J$688)&lt;=VAL_SERIAL)*1000000+62*1000+46))</f>
        <v/>
      </c>
      <c r="FY73" s="121">
        <f>IF(N('Dvd Calendar'!$K$689)=0,"",IF(('Dvd Calendar'!$K$689&gt;=GRID_FROM)*('Dvd Calendar'!$K$689&lt;=GRID_TO)*('Dvd Calendar'!$K$689&gt;VAL_DATE)=0,"",'Dvd Calendar'!$K$689*1000000000+ISNUMBER('Dvd Calendar'!$K$690)*100000000+0*10000000+(N('Dvd Calendar'!$K$688)&gt;0)*(N('Dvd Calendar'!$K$688)&lt;=VAL_SERIAL)*1000000+62*1000+47))</f>
        <v/>
      </c>
      <c r="FZ73" s="121">
        <f>IF(N('Dvd Calendar'!$L$689)=0,"",IF(('Dvd Calendar'!$L$689&gt;=GRID_FROM)*('Dvd Calendar'!$L$689&lt;=GRID_TO)*('Dvd Calendar'!$L$689&gt;VAL_DATE)=0,"",'Dvd Calendar'!$L$689*1000000000+ISNUMBER('Dvd Calendar'!$L$690)*100000000+0*10000000+(N('Dvd Calendar'!$L$688)&gt;0)*(N('Dvd Calendar'!$L$688)&lt;=VAL_SERIAL)*1000000+62*1000+48))</f>
        <v/>
      </c>
      <c r="GA73" s="121">
        <f>IF(N('Dvd Calendar'!$M$689)=0,"",IF(('Dvd Calendar'!$M$689&gt;=GRID_FROM)*('Dvd Calendar'!$M$689&lt;=GRID_TO)*('Dvd Calendar'!$M$689&gt;VAL_DATE)=0,"",'Dvd Calendar'!$M$689*1000000000+ISNUMBER('Dvd Calendar'!$M$690)*100000000+0*10000000+(N('Dvd Calendar'!$M$688)&gt;0)*(N('Dvd Calendar'!$M$688)&lt;=VAL_SERIAL)*1000000+62*1000+49))</f>
        <v/>
      </c>
      <c r="GB73" s="121">
        <f>IF(N('Dvd Calendar'!$N$689)=0,"",IF(('Dvd Calendar'!$N$689&gt;=GRID_FROM)*('Dvd Calendar'!$N$689&lt;=GRID_TO)*('Dvd Calendar'!$N$689&gt;VAL_DATE)=0,"",'Dvd Calendar'!$N$689*1000000000+ISNUMBER('Dvd Calendar'!$N$690)*100000000+0*10000000+(N('Dvd Calendar'!$N$688)&gt;0)*(N('Dvd Calendar'!$N$688)&lt;=VAL_SERIAL)*1000000+62*1000+50))</f>
        <v/>
      </c>
      <c r="GC73" s="121">
        <f>IF(N('Dvd Calendar'!$O$689)=0,"",IF(('Dvd Calendar'!$O$689&gt;=GRID_FROM)*('Dvd Calendar'!$O$689&lt;=GRID_TO)*('Dvd Calendar'!$O$689&gt;VAL_DATE)=0,"",'Dvd Calendar'!$O$689*1000000000+ISNUMBER('Dvd Calendar'!$O$690)*100000000+0*10000000+(N('Dvd Calendar'!$O$688)&gt;0)*(N('Dvd Calendar'!$O$688)&lt;=VAL_SERIAL)*1000000+62*1000+51))</f>
        <v/>
      </c>
      <c r="GD73" s="121">
        <f>IF(N('Dvd Calendar'!$P$689)=0,"",IF(('Dvd Calendar'!$P$689&gt;=GRID_FROM)*('Dvd Calendar'!$P$689&lt;=GRID_TO)*('Dvd Calendar'!$P$689&gt;VAL_DATE)=0,"",'Dvd Calendar'!$P$689*1000000000+ISNUMBER('Dvd Calendar'!$P$690)*100000000+0*10000000+(N('Dvd Calendar'!$P$688)&gt;0)*(N('Dvd Calendar'!$P$688)&lt;=VAL_SERIAL)*1000000+62*1000+52))</f>
        <v/>
      </c>
      <c r="GE73" s="121">
        <f>IF(N('Dvd Calendar'!$Q$689)=0,"",IF(('Dvd Calendar'!$Q$689&gt;=GRID_FROM)*('Dvd Calendar'!$Q$689&lt;=GRID_TO)*('Dvd Calendar'!$Q$689&gt;VAL_DATE)=0,"",'Dvd Calendar'!$Q$689*1000000000+ISNUMBER('Dvd Calendar'!$Q$690)*100000000+0*10000000+(N('Dvd Calendar'!$Q$688)&gt;0)*(N('Dvd Calendar'!$Q$688)&lt;=VAL_SERIAL)*1000000+62*1000+53))</f>
        <v/>
      </c>
      <c r="GF73" s="121">
        <f>IF(N('Dvd Calendar'!$R$689)=0,"",IF(('Dvd Calendar'!$R$689&gt;=GRID_FROM)*('Dvd Calendar'!$R$689&lt;=GRID_TO)*('Dvd Calendar'!$R$689&gt;VAL_DATE)=0,"",'Dvd Calendar'!$R$689*1000000000+ISNUMBER('Dvd Calendar'!$R$690)*100000000+0*10000000+(N('Dvd Calendar'!$R$688)&gt;0)*(N('Dvd Calendar'!$R$688)&lt;=VAL_SERIAL)*1000000+62*1000+54))</f>
        <v/>
      </c>
      <c r="GG73" s="121">
        <f>IF(N('Dvd Calendar'!$S$689)=0,"",IF(('Dvd Calendar'!$S$689&gt;=GRID_FROM)*('Dvd Calendar'!$S$689&lt;=GRID_TO)*('Dvd Calendar'!$S$689&gt;VAL_DATE)=0,"",'Dvd Calendar'!$S$689*1000000000+ISNUMBER('Dvd Calendar'!$S$690)*100000000+0*10000000+(N('Dvd Calendar'!$S$688)&gt;0)*(N('Dvd Calendar'!$S$688)&lt;=VAL_SERIAL)*1000000+62*1000+55))</f>
        <v/>
      </c>
      <c r="GH73" s="121">
        <f>IF(N('Dvd Calendar'!$T$689)=0,"",IF(('Dvd Calendar'!$T$689&gt;=GRID_FROM)*('Dvd Calendar'!$T$689&lt;=GRID_TO)*('Dvd Calendar'!$T$689&gt;VAL_DATE)=0,"",'Dvd Calendar'!$T$689*1000000000+ISNUMBER('Dvd Calendar'!$T$690)*100000000+0*10000000+(N('Dvd Calendar'!$T$688)&gt;0)*(N('Dvd Calendar'!$T$688)&lt;=VAL_SERIAL)*1000000+62*1000+56))</f>
        <v/>
      </c>
      <c r="GI73" s="121">
        <f>IF(N('Dvd Calendar'!$U$689)=0,"",IF(('Dvd Calendar'!$U$689&gt;=GRID_FROM)*('Dvd Calendar'!$U$689&lt;=GRID_TO)*('Dvd Calendar'!$U$689&gt;VAL_DATE)=0,"",'Dvd Calendar'!$U$689*1000000000+ISNUMBER('Dvd Calendar'!$U$690)*100000000+0*10000000+(N('Dvd Calendar'!$U$688)&gt;0)*(N('Dvd Calendar'!$U$688)&lt;=VAL_SERIAL)*1000000+62*1000+57))</f>
        <v/>
      </c>
      <c r="GJ73" s="121">
        <f>IF(N('Dvd Calendar'!$V$689)=0,"",IF(('Dvd Calendar'!$V$689&gt;=GRID_FROM)*('Dvd Calendar'!$V$689&lt;=GRID_TO)*('Dvd Calendar'!$V$689&gt;VAL_DATE)=0,"",'Dvd Calendar'!$V$689*1000000000+ISNUMBER('Dvd Calendar'!$V$690)*100000000+0*10000000+(N('Dvd Calendar'!$V$688)&gt;0)*(N('Dvd Calendar'!$V$688)&lt;=VAL_SERIAL)*1000000+62*1000+58))</f>
        <v/>
      </c>
      <c r="GK73" s="121">
        <f>IF(N('Dvd Calendar'!$W$689)=0,"",IF(('Dvd Calendar'!$W$689&gt;=GRID_FROM)*('Dvd Calendar'!$W$689&lt;=GRID_TO)*('Dvd Calendar'!$W$689&gt;VAL_DATE)=0,"",'Dvd Calendar'!$W$689*1000000000+ISNUMBER('Dvd Calendar'!$W$690)*100000000+0*10000000+(N('Dvd Calendar'!$W$688)&gt;0)*(N('Dvd Calendar'!$W$688)&lt;=VAL_SERIAL)*1000000+62*1000+59))</f>
        <v/>
      </c>
      <c r="GL73" s="121">
        <f>IF(N('Dvd Calendar'!$X$689)=0,"",IF(('Dvd Calendar'!$X$689&gt;=GRID_FROM)*('Dvd Calendar'!$X$689&lt;=GRID_TO)*('Dvd Calendar'!$X$689&gt;VAL_DATE)=0,"",'Dvd Calendar'!$X$689*1000000000+ISNUMBER('Dvd Calendar'!$X$690)*100000000+0*10000000+(N('Dvd Calendar'!$X$688)&gt;0)*(N('Dvd Calendar'!$X$688)&lt;=VAL_SERIAL)*1000000+62*1000+60))</f>
        <v/>
      </c>
      <c r="GM73" s="121">
        <f>IF(N('Dvd Calendar'!$Y$689)=0,"",IF(('Dvd Calendar'!$Y$689&gt;=GRID_FROM)*('Dvd Calendar'!$Y$689&lt;=GRID_TO)*('Dvd Calendar'!$Y$689&gt;VAL_DATE)=0,"",'Dvd Calendar'!$Y$689*1000000000+ISNUMBER('Dvd Calendar'!$Y$690)*100000000+0*10000000+(N('Dvd Calendar'!$Y$688)&gt;0)*(N('Dvd Calendar'!$Y$688)&lt;=VAL_SERIAL)*1000000+62*1000+61))</f>
        <v/>
      </c>
      <c r="GN73" s="121">
        <f>IF(N('Dvd Calendar'!$Z$689)=0,"",IF(('Dvd Calendar'!$Z$689&gt;=GRID_FROM)*('Dvd Calendar'!$Z$689&lt;=GRID_TO)*('Dvd Calendar'!$Z$689&gt;VAL_DATE)=0,"",'Dvd Calendar'!$Z$689*1000000000+ISNUMBER('Dvd Calendar'!$Z$690)*100000000+0*10000000+(N('Dvd Calendar'!$Z$688)&gt;0)*(N('Dvd Calendar'!$Z$688)&lt;=VAL_SERIAL)*1000000+62*1000+62))</f>
        <v/>
      </c>
      <c r="GO73" s="121">
        <f>IF(N('Dvd Calendar'!$AA$689)=0,"",IF(('Dvd Calendar'!$AA$689&gt;=GRID_FROM)*('Dvd Calendar'!$AA$689&lt;=GRID_TO)*('Dvd Calendar'!$AA$689&gt;VAL_DATE)=0,"",'Dvd Calendar'!$AA$689*1000000000+ISNUMBER('Dvd Calendar'!$AA$690)*100000000+0*10000000+(N('Dvd Calendar'!$AA$688)&gt;0)*(N('Dvd Calendar'!$AA$688)&lt;=VAL_SERIAL)*1000000+62*1000+63))</f>
        <v/>
      </c>
      <c r="GP73" s="121">
        <f>IF(N('Dvd Calendar'!$AB$689)=0,"",IF(('Dvd Calendar'!$AB$689&gt;=GRID_FROM)*('Dvd Calendar'!$AB$689&lt;=GRID_TO)*('Dvd Calendar'!$AB$689&gt;VAL_DATE)=0,"",'Dvd Calendar'!$AB$689*1000000000+ISNUMBER('Dvd Calendar'!$AB$690)*100000000+0*10000000+(N('Dvd Calendar'!$AB$688)&gt;0)*(N('Dvd Calendar'!$AB$688)&lt;=VAL_SERIAL)*1000000+62*1000+64))</f>
        <v/>
      </c>
      <c r="GQ73" s="121">
        <f>IF(N('Dvd Calendar'!$AC$689)=0,"",IF(('Dvd Calendar'!$AC$689&gt;=GRID_FROM)*('Dvd Calendar'!$AC$689&lt;=GRID_TO)*('Dvd Calendar'!$AC$689&gt;VAL_DATE)=0,"",'Dvd Calendar'!$AC$689*1000000000+ISNUMBER('Dvd Calendar'!$AC$690)*100000000+0*10000000+(N('Dvd Calendar'!$AC$688)&gt;0)*(N('Dvd Calendar'!$AC$688)&lt;=VAL_SERIAL)*1000000+62*1000+65))</f>
        <v/>
      </c>
    </row>
    <row r="74">
      <c r="B74" s="2">
        <f>IF(HSI!$C$69="","",HSI!$C$69)</f>
        <v/>
      </c>
      <c r="C74" s="161">
        <f>IF(EE74="","",IF(ISNUMBER('Dvd Calendar'!$E$696)=FALSE,"",IF((('Dvd Calendar'!$E$698=TYPE1)*(TYPE1&lt;&gt;"")+('Dvd Calendar'!$E$698=TYPE2)*(TYPE2&lt;&gt;"")+('Dvd Calendar'!$E$698=TYPE3)*(TYPE3&lt;&gt;"")+('Dvd Calendar'!$E$698=TYPE4)*(TYPE4&lt;&gt;"")+('Dvd Calendar'!$E$698=SPECIAL_LBL)*(INC_SPECIALS="Y"))=0,"",'Dvd Calendar'!$E$696)))</f>
        <v/>
      </c>
      <c r="D74" s="161">
        <f>IF(EF74="","",IF(ISNUMBER('Dvd Calendar'!$F$696)=FALSE,"",IF((('Dvd Calendar'!$F$698=TYPE1)*(TYPE1&lt;&gt;"")+('Dvd Calendar'!$F$698=TYPE2)*(TYPE2&lt;&gt;"")+('Dvd Calendar'!$F$698=TYPE3)*(TYPE3&lt;&gt;"")+('Dvd Calendar'!$F$698=TYPE4)*(TYPE4&lt;&gt;"")+('Dvd Calendar'!$F$698=SPECIAL_LBL)*(INC_SPECIALS="Y"))=0,"",'Dvd Calendar'!$F$696)))</f>
        <v/>
      </c>
      <c r="E74" s="161">
        <f>IF(EG74="","",IF(ISNUMBER('Dvd Calendar'!$G$696)=FALSE,"",IF((('Dvd Calendar'!$G$698=TYPE1)*(TYPE1&lt;&gt;"")+('Dvd Calendar'!$G$698=TYPE2)*(TYPE2&lt;&gt;"")+('Dvd Calendar'!$G$698=TYPE3)*(TYPE3&lt;&gt;"")+('Dvd Calendar'!$G$698=TYPE4)*(TYPE4&lt;&gt;"")+('Dvd Calendar'!$G$698=SPECIAL_LBL)*(INC_SPECIALS="Y"))=0,"",'Dvd Calendar'!$G$696)))</f>
        <v/>
      </c>
      <c r="F74" s="161">
        <f>IF(EH74="","",IF(ISNUMBER('Dvd Calendar'!$H$696)=FALSE,"",IF((('Dvd Calendar'!$H$698=TYPE1)*(TYPE1&lt;&gt;"")+('Dvd Calendar'!$H$698=TYPE2)*(TYPE2&lt;&gt;"")+('Dvd Calendar'!$H$698=TYPE3)*(TYPE3&lt;&gt;"")+('Dvd Calendar'!$H$698=TYPE4)*(TYPE4&lt;&gt;"")+('Dvd Calendar'!$H$698=SPECIAL_LBL)*(INC_SPECIALS="Y"))=0,"",'Dvd Calendar'!$H$696)))</f>
        <v/>
      </c>
      <c r="G74" s="161">
        <f>IF(EI74="","",IF(ISNUMBER('Dvd Calendar'!$I$696)=FALSE,"",IF((('Dvd Calendar'!$I$698=TYPE1)*(TYPE1&lt;&gt;"")+('Dvd Calendar'!$I$698=TYPE2)*(TYPE2&lt;&gt;"")+('Dvd Calendar'!$I$698=TYPE3)*(TYPE3&lt;&gt;"")+('Dvd Calendar'!$I$698=TYPE4)*(TYPE4&lt;&gt;"")+('Dvd Calendar'!$I$698=SPECIAL_LBL)*(INC_SPECIALS="Y"))=0,"",'Dvd Calendar'!$I$696)))</f>
        <v/>
      </c>
      <c r="H74" s="161">
        <f>IF(EJ74="","",IF(ISNUMBER('Dvd Calendar'!$J$696)=FALSE,"",IF((('Dvd Calendar'!$J$698=TYPE1)*(TYPE1&lt;&gt;"")+('Dvd Calendar'!$J$698=TYPE2)*(TYPE2&lt;&gt;"")+('Dvd Calendar'!$J$698=TYPE3)*(TYPE3&lt;&gt;"")+('Dvd Calendar'!$J$698=TYPE4)*(TYPE4&lt;&gt;"")+('Dvd Calendar'!$J$698=SPECIAL_LBL)*(INC_SPECIALS="Y"))=0,"",'Dvd Calendar'!$J$696)))</f>
        <v/>
      </c>
      <c r="I74" s="161">
        <f>IF(EK74="","",IF(ISNUMBER('Dvd Calendar'!$K$696)=FALSE,"",IF((('Dvd Calendar'!$K$698=TYPE1)*(TYPE1&lt;&gt;"")+('Dvd Calendar'!$K$698=TYPE2)*(TYPE2&lt;&gt;"")+('Dvd Calendar'!$K$698=TYPE3)*(TYPE3&lt;&gt;"")+('Dvd Calendar'!$K$698=TYPE4)*(TYPE4&lt;&gt;"")+('Dvd Calendar'!$K$698=SPECIAL_LBL)*(INC_SPECIALS="Y"))=0,"",'Dvd Calendar'!$K$696)))</f>
        <v/>
      </c>
      <c r="J74" s="161">
        <f>IF(EL74="","",IF(ISNUMBER('Dvd Calendar'!$L$696)=FALSE,"",IF((('Dvd Calendar'!$L$698=TYPE1)*(TYPE1&lt;&gt;"")+('Dvd Calendar'!$L$698=TYPE2)*(TYPE2&lt;&gt;"")+('Dvd Calendar'!$L$698=TYPE3)*(TYPE3&lt;&gt;"")+('Dvd Calendar'!$L$698=TYPE4)*(TYPE4&lt;&gt;"")+('Dvd Calendar'!$L$698=SPECIAL_LBL)*(INC_SPECIALS="Y"))=0,"",'Dvd Calendar'!$L$696)))</f>
        <v/>
      </c>
      <c r="K74" s="161">
        <f>IF(EM74="","",IF(ISNUMBER('Dvd Calendar'!$M$696)=FALSE,"",IF((('Dvd Calendar'!$M$698=TYPE1)*(TYPE1&lt;&gt;"")+('Dvd Calendar'!$M$698=TYPE2)*(TYPE2&lt;&gt;"")+('Dvd Calendar'!$M$698=TYPE3)*(TYPE3&lt;&gt;"")+('Dvd Calendar'!$M$698=TYPE4)*(TYPE4&lt;&gt;"")+('Dvd Calendar'!$M$698=SPECIAL_LBL)*(INC_SPECIALS="Y"))=0,"",'Dvd Calendar'!$M$696)))</f>
        <v/>
      </c>
      <c r="L74" s="161">
        <f>IF(EN74="","",IF(ISNUMBER('Dvd Calendar'!$N$696)=FALSE,"",IF((('Dvd Calendar'!$N$698=TYPE1)*(TYPE1&lt;&gt;"")+('Dvd Calendar'!$N$698=TYPE2)*(TYPE2&lt;&gt;"")+('Dvd Calendar'!$N$698=TYPE3)*(TYPE3&lt;&gt;"")+('Dvd Calendar'!$N$698=TYPE4)*(TYPE4&lt;&gt;"")+('Dvd Calendar'!$N$698=SPECIAL_LBL)*(INC_SPECIALS="Y"))=0,"",'Dvd Calendar'!$N$696)))</f>
        <v/>
      </c>
      <c r="M74" s="161">
        <f>IF(EO74="","",IF(ISNUMBER('Dvd Calendar'!$O$696)=FALSE,"",IF((('Dvd Calendar'!$O$698=TYPE1)*(TYPE1&lt;&gt;"")+('Dvd Calendar'!$O$698=TYPE2)*(TYPE2&lt;&gt;"")+('Dvd Calendar'!$O$698=TYPE3)*(TYPE3&lt;&gt;"")+('Dvd Calendar'!$O$698=TYPE4)*(TYPE4&lt;&gt;"")+('Dvd Calendar'!$O$698=SPECIAL_LBL)*(INC_SPECIALS="Y"))=0,"",'Dvd Calendar'!$O$696)))</f>
        <v/>
      </c>
      <c r="N74" s="161">
        <f>IF(EP74="","",IF(ISNUMBER('Dvd Calendar'!$P$696)=FALSE,"",IF((('Dvd Calendar'!$P$698=TYPE1)*(TYPE1&lt;&gt;"")+('Dvd Calendar'!$P$698=TYPE2)*(TYPE2&lt;&gt;"")+('Dvd Calendar'!$P$698=TYPE3)*(TYPE3&lt;&gt;"")+('Dvd Calendar'!$P$698=TYPE4)*(TYPE4&lt;&gt;"")+('Dvd Calendar'!$P$698=SPECIAL_LBL)*(INC_SPECIALS="Y"))=0,"",'Dvd Calendar'!$P$696)))</f>
        <v/>
      </c>
      <c r="O74" s="161">
        <f>IF(EQ74="","",IF(ISNUMBER('Dvd Calendar'!$Q$696)=FALSE,"",IF((('Dvd Calendar'!$Q$698=TYPE1)*(TYPE1&lt;&gt;"")+('Dvd Calendar'!$Q$698=TYPE2)*(TYPE2&lt;&gt;"")+('Dvd Calendar'!$Q$698=TYPE3)*(TYPE3&lt;&gt;"")+('Dvd Calendar'!$Q$698=TYPE4)*(TYPE4&lt;&gt;"")+('Dvd Calendar'!$Q$698=SPECIAL_LBL)*(INC_SPECIALS="Y"))=0,"",'Dvd Calendar'!$Q$696)))</f>
        <v/>
      </c>
      <c r="P74" s="161">
        <f>IF(ER74="","",IF(ISNUMBER('Dvd Calendar'!$R$696)=FALSE,"",IF((('Dvd Calendar'!$R$698=TYPE1)*(TYPE1&lt;&gt;"")+('Dvd Calendar'!$R$698=TYPE2)*(TYPE2&lt;&gt;"")+('Dvd Calendar'!$R$698=TYPE3)*(TYPE3&lt;&gt;"")+('Dvd Calendar'!$R$698=TYPE4)*(TYPE4&lt;&gt;"")+('Dvd Calendar'!$R$698=SPECIAL_LBL)*(INC_SPECIALS="Y"))=0,"",'Dvd Calendar'!$R$696)))</f>
        <v/>
      </c>
      <c r="Q74" s="161">
        <f>IF(ES74="","",IF(ISNUMBER('Dvd Calendar'!$S$696)=FALSE,"",IF((('Dvd Calendar'!$S$698=TYPE1)*(TYPE1&lt;&gt;"")+('Dvd Calendar'!$S$698=TYPE2)*(TYPE2&lt;&gt;"")+('Dvd Calendar'!$S$698=TYPE3)*(TYPE3&lt;&gt;"")+('Dvd Calendar'!$S$698=TYPE4)*(TYPE4&lt;&gt;"")+('Dvd Calendar'!$S$698=SPECIAL_LBL)*(INC_SPECIALS="Y"))=0,"",'Dvd Calendar'!$S$696)))</f>
        <v/>
      </c>
      <c r="R74" s="161">
        <f>IF(ET74="","",IF(ISNUMBER('Dvd Calendar'!$T$696)=FALSE,"",IF((('Dvd Calendar'!$T$698=TYPE1)*(TYPE1&lt;&gt;"")+('Dvd Calendar'!$T$698=TYPE2)*(TYPE2&lt;&gt;"")+('Dvd Calendar'!$T$698=TYPE3)*(TYPE3&lt;&gt;"")+('Dvd Calendar'!$T$698=TYPE4)*(TYPE4&lt;&gt;"")+('Dvd Calendar'!$T$698=SPECIAL_LBL)*(INC_SPECIALS="Y"))=0,"",'Dvd Calendar'!$T$696)))</f>
        <v/>
      </c>
      <c r="S74" s="161">
        <f>IF(EU74="","",IF(ISNUMBER('Dvd Calendar'!$U$696)=FALSE,"",IF((('Dvd Calendar'!$U$698=TYPE1)*(TYPE1&lt;&gt;"")+('Dvd Calendar'!$U$698=TYPE2)*(TYPE2&lt;&gt;"")+('Dvd Calendar'!$U$698=TYPE3)*(TYPE3&lt;&gt;"")+('Dvd Calendar'!$U$698=TYPE4)*(TYPE4&lt;&gt;"")+('Dvd Calendar'!$U$698=SPECIAL_LBL)*(INC_SPECIALS="Y"))=0,"",'Dvd Calendar'!$U$696)))</f>
        <v/>
      </c>
      <c r="T74" s="161">
        <f>IF(EV74="","",IF(ISNUMBER('Dvd Calendar'!$V$696)=FALSE,"",IF((('Dvd Calendar'!$V$698=TYPE1)*(TYPE1&lt;&gt;"")+('Dvd Calendar'!$V$698=TYPE2)*(TYPE2&lt;&gt;"")+('Dvd Calendar'!$V$698=TYPE3)*(TYPE3&lt;&gt;"")+('Dvd Calendar'!$V$698=TYPE4)*(TYPE4&lt;&gt;"")+('Dvd Calendar'!$V$698=SPECIAL_LBL)*(INC_SPECIALS="Y"))=0,"",'Dvd Calendar'!$V$696)))</f>
        <v/>
      </c>
      <c r="U74" s="161">
        <f>IF(EW74="","",IF(ISNUMBER('Dvd Calendar'!$W$696)=FALSE,"",IF((('Dvd Calendar'!$W$698=TYPE1)*(TYPE1&lt;&gt;"")+('Dvd Calendar'!$W$698=TYPE2)*(TYPE2&lt;&gt;"")+('Dvd Calendar'!$W$698=TYPE3)*(TYPE3&lt;&gt;"")+('Dvd Calendar'!$W$698=TYPE4)*(TYPE4&lt;&gt;"")+('Dvd Calendar'!$W$698=SPECIAL_LBL)*(INC_SPECIALS="Y"))=0,"",'Dvd Calendar'!$W$696)))</f>
        <v/>
      </c>
      <c r="V74" s="161">
        <f>IF(EX74="","",IF(ISNUMBER('Dvd Calendar'!$X$696)=FALSE,"",IF((('Dvd Calendar'!$X$698=TYPE1)*(TYPE1&lt;&gt;"")+('Dvd Calendar'!$X$698=TYPE2)*(TYPE2&lt;&gt;"")+('Dvd Calendar'!$X$698=TYPE3)*(TYPE3&lt;&gt;"")+('Dvd Calendar'!$X$698=TYPE4)*(TYPE4&lt;&gt;"")+('Dvd Calendar'!$X$698=SPECIAL_LBL)*(INC_SPECIALS="Y"))=0,"",'Dvd Calendar'!$X$696)))</f>
        <v/>
      </c>
      <c r="W74" s="161">
        <f>IF(EY74="","",IF(ISNUMBER('Dvd Calendar'!$Y$696)=FALSE,"",IF((('Dvd Calendar'!$Y$698=TYPE1)*(TYPE1&lt;&gt;"")+('Dvd Calendar'!$Y$698=TYPE2)*(TYPE2&lt;&gt;"")+('Dvd Calendar'!$Y$698=TYPE3)*(TYPE3&lt;&gt;"")+('Dvd Calendar'!$Y$698=TYPE4)*(TYPE4&lt;&gt;"")+('Dvd Calendar'!$Y$698=SPECIAL_LBL)*(INC_SPECIALS="Y"))=0,"",'Dvd Calendar'!$Y$696)))</f>
        <v/>
      </c>
      <c r="X74" s="161">
        <f>IF(EZ74="","",IF(ISNUMBER('Dvd Calendar'!$Z$696)=FALSE,"",IF((('Dvd Calendar'!$Z$698=TYPE1)*(TYPE1&lt;&gt;"")+('Dvd Calendar'!$Z$698=TYPE2)*(TYPE2&lt;&gt;"")+('Dvd Calendar'!$Z$698=TYPE3)*(TYPE3&lt;&gt;"")+('Dvd Calendar'!$Z$698=TYPE4)*(TYPE4&lt;&gt;"")+('Dvd Calendar'!$Z$698=SPECIAL_LBL)*(INC_SPECIALS="Y"))=0,"",'Dvd Calendar'!$Z$696)))</f>
        <v/>
      </c>
      <c r="Y74" s="161">
        <f>IF(FA74="","",IF(ISNUMBER('Dvd Calendar'!$AA$696)=FALSE,"",IF((('Dvd Calendar'!$AA$698=TYPE1)*(TYPE1&lt;&gt;"")+('Dvd Calendar'!$AA$698=TYPE2)*(TYPE2&lt;&gt;"")+('Dvd Calendar'!$AA$698=TYPE3)*(TYPE3&lt;&gt;"")+('Dvd Calendar'!$AA$698=TYPE4)*(TYPE4&lt;&gt;"")+('Dvd Calendar'!$AA$698=SPECIAL_LBL)*(INC_SPECIALS="Y"))=0,"",'Dvd Calendar'!$AA$696)))</f>
        <v/>
      </c>
      <c r="Z74" s="161">
        <f>IF(FB74="","",IF(ISNUMBER('Dvd Calendar'!$AB$696)=FALSE,"",IF((('Dvd Calendar'!$AB$698=TYPE1)*(TYPE1&lt;&gt;"")+('Dvd Calendar'!$AB$698=TYPE2)*(TYPE2&lt;&gt;"")+('Dvd Calendar'!$AB$698=TYPE3)*(TYPE3&lt;&gt;"")+('Dvd Calendar'!$AB$698=TYPE4)*(TYPE4&lt;&gt;"")+('Dvd Calendar'!$AB$698=SPECIAL_LBL)*(INC_SPECIALS="Y"))=0,"",'Dvd Calendar'!$AB$696)))</f>
        <v/>
      </c>
      <c r="AA74" s="161">
        <f>IF(FC74="","",IF(ISNUMBER('Dvd Calendar'!$AC$696)=FALSE,"",IF((('Dvd Calendar'!$AC$698=TYPE1)*(TYPE1&lt;&gt;"")+('Dvd Calendar'!$AC$698=TYPE2)*(TYPE2&lt;&gt;"")+('Dvd Calendar'!$AC$698=TYPE3)*(TYPE3&lt;&gt;"")+('Dvd Calendar'!$AC$698=TYPE4)*(TYPE4&lt;&gt;"")+('Dvd Calendar'!$AC$698=SPECIAL_LBL)*(INC_SPECIALS="Y"))=0,"",'Dvd Calendar'!$AC$696)))</f>
        <v/>
      </c>
      <c r="AB74" s="161">
        <f>IF(FD74="","",IF(ISNUMBER('Dvd Calendar'!$AD$696)=FALSE,"",IF((('Dvd Calendar'!$AD$698=TYPE1)*(TYPE1&lt;&gt;"")+('Dvd Calendar'!$AD$698=TYPE2)*(TYPE2&lt;&gt;"")+('Dvd Calendar'!$AD$698=TYPE3)*(TYPE3&lt;&gt;"")+('Dvd Calendar'!$AD$698=TYPE4)*(TYPE4&lt;&gt;"")+('Dvd Calendar'!$AD$698=SPECIAL_LBL)*(INC_SPECIALS="Y"))=0,"",'Dvd Calendar'!$AD$696)))</f>
        <v/>
      </c>
      <c r="AC74" s="161">
        <f>IF(FE74="","",IF(ISNUMBER('Dvd Calendar'!$AE$696)=FALSE,"",IF((('Dvd Calendar'!$AE$698=TYPE1)*(TYPE1&lt;&gt;"")+('Dvd Calendar'!$AE$698=TYPE2)*(TYPE2&lt;&gt;"")+('Dvd Calendar'!$AE$698=TYPE3)*(TYPE3&lt;&gt;"")+('Dvd Calendar'!$AE$698=TYPE4)*(TYPE4&lt;&gt;"")+('Dvd Calendar'!$AE$698=SPECIAL_LBL)*(INC_SPECIALS="Y"))=0,"",'Dvd Calendar'!$AE$696)))</f>
        <v/>
      </c>
      <c r="AD74" s="161">
        <f>IF(FF74="","",IF(ISNUMBER('Dvd Calendar'!$AF$696)=FALSE,"",IF((('Dvd Calendar'!$AF$698=TYPE1)*(TYPE1&lt;&gt;"")+('Dvd Calendar'!$AF$698=TYPE2)*(TYPE2&lt;&gt;"")+('Dvd Calendar'!$AF$698=TYPE3)*(TYPE3&lt;&gt;"")+('Dvd Calendar'!$AF$698=TYPE4)*(TYPE4&lt;&gt;"")+('Dvd Calendar'!$AF$698=SPECIAL_LBL)*(INC_SPECIALS="Y"))=0,"",'Dvd Calendar'!$AF$696)))</f>
        <v/>
      </c>
      <c r="AE74" s="161">
        <f>IF(FG74="","",IF(ISNUMBER('Dvd Calendar'!$AG$696)=FALSE,"",IF((('Dvd Calendar'!$AG$698=TYPE1)*(TYPE1&lt;&gt;"")+('Dvd Calendar'!$AG$698=TYPE2)*(TYPE2&lt;&gt;"")+('Dvd Calendar'!$AG$698=TYPE3)*(TYPE3&lt;&gt;"")+('Dvd Calendar'!$AG$698=TYPE4)*(TYPE4&lt;&gt;"")+('Dvd Calendar'!$AG$698=SPECIAL_LBL)*(INC_SPECIALS="Y"))=0,"",'Dvd Calendar'!$AG$696)))</f>
        <v/>
      </c>
      <c r="AF74" s="161">
        <f>IF(FH74="","",IF(ISNUMBER('Dvd Calendar'!$AH$696)=FALSE,"",IF((('Dvd Calendar'!$AH$698=TYPE1)*(TYPE1&lt;&gt;"")+('Dvd Calendar'!$AH$698=TYPE2)*(TYPE2&lt;&gt;"")+('Dvd Calendar'!$AH$698=TYPE3)*(TYPE3&lt;&gt;"")+('Dvd Calendar'!$AH$698=TYPE4)*(TYPE4&lt;&gt;"")+('Dvd Calendar'!$AH$698=SPECIAL_LBL)*(INC_SPECIALS="Y"))=0,"",'Dvd Calendar'!$AH$696)))</f>
        <v/>
      </c>
      <c r="AG74" s="161">
        <f>IF(FI74="","",IF(ISNUMBER('Dvd Calendar'!$AI$696)=FALSE,"",IF((('Dvd Calendar'!$AI$698=TYPE1)*(TYPE1&lt;&gt;"")+('Dvd Calendar'!$AI$698=TYPE2)*(TYPE2&lt;&gt;"")+('Dvd Calendar'!$AI$698=TYPE3)*(TYPE3&lt;&gt;"")+('Dvd Calendar'!$AI$698=TYPE4)*(TYPE4&lt;&gt;"")+('Dvd Calendar'!$AI$698=SPECIAL_LBL)*(INC_SPECIALS="Y"))=0,"",'Dvd Calendar'!$AI$696)))</f>
        <v/>
      </c>
      <c r="AH74" s="161">
        <f>IF(FJ74="","",IF(ISNUMBER('Dvd Calendar'!$AJ$696)=FALSE,"",IF((('Dvd Calendar'!$AJ$698=TYPE1)*(TYPE1&lt;&gt;"")+('Dvd Calendar'!$AJ$698=TYPE2)*(TYPE2&lt;&gt;"")+('Dvd Calendar'!$AJ$698=TYPE3)*(TYPE3&lt;&gt;"")+('Dvd Calendar'!$AJ$698=TYPE4)*(TYPE4&lt;&gt;"")+('Dvd Calendar'!$AJ$698=SPECIAL_LBL)*(INC_SPECIALS="Y"))=0,"",'Dvd Calendar'!$AJ$696)))</f>
        <v/>
      </c>
      <c r="AI74" s="161">
        <f>IF(FK74="","",IF(ISNUMBER('Dvd Calendar'!$AK$696)=FALSE,"",IF((('Dvd Calendar'!$AK$698=TYPE1)*(TYPE1&lt;&gt;"")+('Dvd Calendar'!$AK$698=TYPE2)*(TYPE2&lt;&gt;"")+('Dvd Calendar'!$AK$698=TYPE3)*(TYPE3&lt;&gt;"")+('Dvd Calendar'!$AK$698=TYPE4)*(TYPE4&lt;&gt;"")+('Dvd Calendar'!$AK$698=SPECIAL_LBL)*(INC_SPECIALS="Y"))=0,"",'Dvd Calendar'!$AK$696)))</f>
        <v/>
      </c>
      <c r="AJ74" s="161">
        <f>IF(FL74="","",IF(ISNUMBER('Dvd Calendar'!$AL$696)=FALSE,"",IF((('Dvd Calendar'!$AL$698=TYPE1)*(TYPE1&lt;&gt;"")+('Dvd Calendar'!$AL$698=TYPE2)*(TYPE2&lt;&gt;"")+('Dvd Calendar'!$AL$698=TYPE3)*(TYPE3&lt;&gt;"")+('Dvd Calendar'!$AL$698=TYPE4)*(TYPE4&lt;&gt;"")+('Dvd Calendar'!$AL$698=SPECIAL_LBL)*(INC_SPECIALS="Y"))=0,"",'Dvd Calendar'!$AL$696)))</f>
        <v/>
      </c>
      <c r="AK74" s="161">
        <f>IF(FM74="","",IF(ISNUMBER('Dvd Calendar'!$AM$696)=FALSE,"",IF((('Dvd Calendar'!$AM$698=TYPE1)*(TYPE1&lt;&gt;"")+('Dvd Calendar'!$AM$698=TYPE2)*(TYPE2&lt;&gt;"")+('Dvd Calendar'!$AM$698=TYPE3)*(TYPE3&lt;&gt;"")+('Dvd Calendar'!$AM$698=TYPE4)*(TYPE4&lt;&gt;"")+('Dvd Calendar'!$AM$698=SPECIAL_LBL)*(INC_SPECIALS="Y"))=0,"",'Dvd Calendar'!$AM$696)))</f>
        <v/>
      </c>
      <c r="AL74" s="161">
        <f>IF(FN74="","",IF(ISNUMBER('Dvd Calendar'!$AN$696)=FALSE,"",IF((('Dvd Calendar'!$AN$698=TYPE1)*(TYPE1&lt;&gt;"")+('Dvd Calendar'!$AN$698=TYPE2)*(TYPE2&lt;&gt;"")+('Dvd Calendar'!$AN$698=TYPE3)*(TYPE3&lt;&gt;"")+('Dvd Calendar'!$AN$698=TYPE4)*(TYPE4&lt;&gt;"")+('Dvd Calendar'!$AN$698=SPECIAL_LBL)*(INC_SPECIALS="Y"))=0,"",'Dvd Calendar'!$AN$696)))</f>
        <v/>
      </c>
      <c r="AM74" s="161">
        <f>IF(FO74="","",IF(ISNUMBER('Dvd Calendar'!$AO$696)=FALSE,"",IF((('Dvd Calendar'!$AO$698=TYPE1)*(TYPE1&lt;&gt;"")+('Dvd Calendar'!$AO$698=TYPE2)*(TYPE2&lt;&gt;"")+('Dvd Calendar'!$AO$698=TYPE3)*(TYPE3&lt;&gt;"")+('Dvd Calendar'!$AO$698=TYPE4)*(TYPE4&lt;&gt;"")+('Dvd Calendar'!$AO$698=SPECIAL_LBL)*(INC_SPECIALS="Y"))=0,"",'Dvd Calendar'!$AO$696)))</f>
        <v/>
      </c>
      <c r="AN74" s="161">
        <f>IF(FP74="","",IF(ISNUMBER('Dvd Calendar'!$AP$696)=FALSE,"",IF((('Dvd Calendar'!$AP$698=TYPE1)*(TYPE1&lt;&gt;"")+('Dvd Calendar'!$AP$698=TYPE2)*(TYPE2&lt;&gt;"")+('Dvd Calendar'!$AP$698=TYPE3)*(TYPE3&lt;&gt;"")+('Dvd Calendar'!$AP$698=TYPE4)*(TYPE4&lt;&gt;"")+('Dvd Calendar'!$AP$698=SPECIAL_LBL)*(INC_SPECIALS="Y"))=0,"",'Dvd Calendar'!$AP$696)))</f>
        <v/>
      </c>
      <c r="AO74" s="161">
        <f>IF(FQ74="","",IF(ISNUMBER('Dvd Calendar'!$AQ$696)=FALSE,"",IF((('Dvd Calendar'!$AQ$698=TYPE1)*(TYPE1&lt;&gt;"")+('Dvd Calendar'!$AQ$698=TYPE2)*(TYPE2&lt;&gt;"")+('Dvd Calendar'!$AQ$698=TYPE3)*(TYPE3&lt;&gt;"")+('Dvd Calendar'!$AQ$698=TYPE4)*(TYPE4&lt;&gt;"")+('Dvd Calendar'!$AQ$698=SPECIAL_LBL)*(INC_SPECIALS="Y"))=0,"",'Dvd Calendar'!$AQ$696)))</f>
        <v/>
      </c>
      <c r="AP74" s="161">
        <f>IF(FR74="","",IF(ISNUMBER('Dvd Calendar'!$AR$696)=FALSE,"",IF((('Dvd Calendar'!$AR$698=TYPE1)*(TYPE1&lt;&gt;"")+('Dvd Calendar'!$AR$698=TYPE2)*(TYPE2&lt;&gt;"")+('Dvd Calendar'!$AR$698=TYPE3)*(TYPE3&lt;&gt;"")+('Dvd Calendar'!$AR$698=TYPE4)*(TYPE4&lt;&gt;"")+('Dvd Calendar'!$AR$698=SPECIAL_LBL)*(INC_SPECIALS="Y"))=0,"",'Dvd Calendar'!$AR$696)))</f>
        <v/>
      </c>
      <c r="AQ74" s="161">
        <f>IF(FS74="","",IF(ISNUMBER('Dvd Calendar'!$E$701)=FALSE,"",'Dvd Calendar'!$E$701))</f>
        <v/>
      </c>
      <c r="AR74" s="161">
        <f>IF(FT74="","",IF(ISNUMBER('Dvd Calendar'!$F$701)=FALSE,"",'Dvd Calendar'!$F$701))</f>
        <v/>
      </c>
      <c r="AS74" s="161">
        <f>IF(FU74="","",IF(ISNUMBER('Dvd Calendar'!$G$701)=FALSE,"",'Dvd Calendar'!$G$701))</f>
        <v/>
      </c>
      <c r="AT74" s="161">
        <f>IF(FV74="","",IF(ISNUMBER('Dvd Calendar'!$H$701)=FALSE,"",'Dvd Calendar'!$H$701))</f>
        <v/>
      </c>
      <c r="AU74" s="161">
        <f>IF(FW74="","",IF(ISNUMBER('Dvd Calendar'!$I$701)=FALSE,"",'Dvd Calendar'!$I$701))</f>
        <v/>
      </c>
      <c r="AV74" s="161">
        <f>IF(FX74="","",IF(ISNUMBER('Dvd Calendar'!$J$701)=FALSE,"",'Dvd Calendar'!$J$701))</f>
        <v/>
      </c>
      <c r="AW74" s="161">
        <f>IF(FY74="","",IF(ISNUMBER('Dvd Calendar'!$K$701)=FALSE,"",'Dvd Calendar'!$K$701))</f>
        <v/>
      </c>
      <c r="AX74" s="161">
        <f>IF(FZ74="","",IF(ISNUMBER('Dvd Calendar'!$L$701)=FALSE,"",'Dvd Calendar'!$L$701))</f>
        <v/>
      </c>
      <c r="AY74" s="161">
        <f>IF(GA74="","",IF(ISNUMBER('Dvd Calendar'!$M$701)=FALSE,"",'Dvd Calendar'!$M$701))</f>
        <v/>
      </c>
      <c r="AZ74" s="161">
        <f>IF(GB74="","",IF(ISNUMBER('Dvd Calendar'!$N$701)=FALSE,"",'Dvd Calendar'!$N$701))</f>
        <v/>
      </c>
      <c r="BA74" s="161">
        <f>IF(GC74="","",IF(ISNUMBER('Dvd Calendar'!$O$701)=FALSE,"",'Dvd Calendar'!$O$701))</f>
        <v/>
      </c>
      <c r="BB74" s="161">
        <f>IF(GD74="","",IF(ISNUMBER('Dvd Calendar'!$P$701)=FALSE,"",'Dvd Calendar'!$P$701))</f>
        <v/>
      </c>
      <c r="BC74" s="161">
        <f>IF(GE74="","",IF(ISNUMBER('Dvd Calendar'!$Q$701)=FALSE,"",'Dvd Calendar'!$Q$701))</f>
        <v/>
      </c>
      <c r="BD74" s="161">
        <f>IF(GF74="","",IF(ISNUMBER('Dvd Calendar'!$R$701)=FALSE,"",'Dvd Calendar'!$R$701))</f>
        <v/>
      </c>
      <c r="BE74" s="161">
        <f>IF(GG74="","",IF(ISNUMBER('Dvd Calendar'!$S$701)=FALSE,"",'Dvd Calendar'!$S$701))</f>
        <v/>
      </c>
      <c r="BF74" s="161">
        <f>IF(GH74="","",IF(ISNUMBER('Dvd Calendar'!$T$701)=FALSE,"",'Dvd Calendar'!$T$701))</f>
        <v/>
      </c>
      <c r="BG74" s="161">
        <f>IF(GI74="","",IF(ISNUMBER('Dvd Calendar'!$U$701)=FALSE,"",'Dvd Calendar'!$U$701))</f>
        <v/>
      </c>
      <c r="BH74" s="161">
        <f>IF(GJ74="","",IF(ISNUMBER('Dvd Calendar'!$V$701)=FALSE,"",'Dvd Calendar'!$V$701))</f>
        <v/>
      </c>
      <c r="BI74" s="161">
        <f>IF(GK74="","",IF(ISNUMBER('Dvd Calendar'!$W$701)=FALSE,"",'Dvd Calendar'!$W$701))</f>
        <v/>
      </c>
      <c r="BJ74" s="161">
        <f>IF(GL74="","",IF(ISNUMBER('Dvd Calendar'!$X$701)=FALSE,"",'Dvd Calendar'!$X$701))</f>
        <v/>
      </c>
      <c r="BK74" s="161">
        <f>IF(GM74="","",IF(ISNUMBER('Dvd Calendar'!$Y$701)=FALSE,"",'Dvd Calendar'!$Y$701))</f>
        <v/>
      </c>
      <c r="BL74" s="161">
        <f>IF(GN74="","",IF(ISNUMBER('Dvd Calendar'!$Z$701)=FALSE,"",'Dvd Calendar'!$Z$701))</f>
        <v/>
      </c>
      <c r="BM74" s="161">
        <f>IF(GO74="","",IF(ISNUMBER('Dvd Calendar'!$AA$701)=FALSE,"",'Dvd Calendar'!$AA$701))</f>
        <v/>
      </c>
      <c r="BN74" s="161">
        <f>IF(GP74="","",IF(ISNUMBER('Dvd Calendar'!$AB$701)=FALSE,"",'Dvd Calendar'!$AB$701))</f>
        <v/>
      </c>
      <c r="BO74" s="161">
        <f>IF(GQ74="","",IF(ISNUMBER('Dvd Calendar'!$AC$701)=FALSE,"",'Dvd Calendar'!$AC$701))</f>
        <v/>
      </c>
      <c r="BQ74" s="161">
        <f>IF(C74="","",IFERROR(C74*HSI!$B$69*HSI!$G$69/HSI!$B$3,""))</f>
        <v/>
      </c>
      <c r="BR74" s="161">
        <f>IF(D74="","",IFERROR(D74*HSI!$B$69*HSI!$G$69/HSI!$B$3,""))</f>
        <v/>
      </c>
      <c r="BS74" s="161">
        <f>IF(E74="","",IFERROR(E74*HSI!$B$69*HSI!$G$69/HSI!$B$3,""))</f>
        <v/>
      </c>
      <c r="BT74" s="161">
        <f>IF(F74="","",IFERROR(F74*HSI!$B$69*HSI!$G$69/HSI!$B$3,""))</f>
        <v/>
      </c>
      <c r="BU74" s="161">
        <f>IF(G74="","",IFERROR(G74*HSI!$B$69*HSI!$G$69/HSI!$B$3,""))</f>
        <v/>
      </c>
      <c r="BV74" s="161">
        <f>IF(H74="","",IFERROR(H74*HSI!$B$69*HSI!$G$69/HSI!$B$3,""))</f>
        <v/>
      </c>
      <c r="BW74" s="161">
        <f>IF(I74="","",IFERROR(I74*HSI!$B$69*HSI!$G$69/HSI!$B$3,""))</f>
        <v/>
      </c>
      <c r="BX74" s="161">
        <f>IF(J74="","",IFERROR(J74*HSI!$B$69*HSI!$G$69/HSI!$B$3,""))</f>
        <v/>
      </c>
      <c r="BY74" s="161">
        <f>IF(K74="","",IFERROR(K74*HSI!$B$69*HSI!$G$69/HSI!$B$3,""))</f>
        <v/>
      </c>
      <c r="BZ74" s="161">
        <f>IF(L74="","",IFERROR(L74*HSI!$B$69*HSI!$G$69/HSI!$B$3,""))</f>
        <v/>
      </c>
      <c r="CA74" s="161">
        <f>IF(M74="","",IFERROR(M74*HSI!$B$69*HSI!$G$69/HSI!$B$3,""))</f>
        <v/>
      </c>
      <c r="CB74" s="161">
        <f>IF(N74="","",IFERROR(N74*HSI!$B$69*HSI!$G$69/HSI!$B$3,""))</f>
        <v/>
      </c>
      <c r="CC74" s="161">
        <f>IF(O74="","",IFERROR(O74*HSI!$B$69*HSI!$G$69/HSI!$B$3,""))</f>
        <v/>
      </c>
      <c r="CD74" s="161">
        <f>IF(P74="","",IFERROR(P74*HSI!$B$69*HSI!$G$69/HSI!$B$3,""))</f>
        <v/>
      </c>
      <c r="CE74" s="161">
        <f>IF(Q74="","",IFERROR(Q74*HSI!$B$69*HSI!$G$69/HSI!$B$3,""))</f>
        <v/>
      </c>
      <c r="CF74" s="161">
        <f>IF(R74="","",IFERROR(R74*HSI!$B$69*HSI!$G$69/HSI!$B$3,""))</f>
        <v/>
      </c>
      <c r="CG74" s="161">
        <f>IF(S74="","",IFERROR(S74*HSI!$B$69*HSI!$G$69/HSI!$B$3,""))</f>
        <v/>
      </c>
      <c r="CH74" s="161">
        <f>IF(T74="","",IFERROR(T74*HSI!$B$69*HSI!$G$69/HSI!$B$3,""))</f>
        <v/>
      </c>
      <c r="CI74" s="161">
        <f>IF(U74="","",IFERROR(U74*HSI!$B$69*HSI!$G$69/HSI!$B$3,""))</f>
        <v/>
      </c>
      <c r="CJ74" s="161">
        <f>IF(V74="","",IFERROR(V74*HSI!$B$69*HSI!$G$69/HSI!$B$3,""))</f>
        <v/>
      </c>
      <c r="CK74" s="161">
        <f>IF(W74="","",IFERROR(W74*HSI!$B$69*HSI!$G$69/HSI!$B$3,""))</f>
        <v/>
      </c>
      <c r="CL74" s="161">
        <f>IF(X74="","",IFERROR(X74*HSI!$B$69*HSI!$G$69/HSI!$B$3,""))</f>
        <v/>
      </c>
      <c r="CM74" s="161">
        <f>IF(Y74="","",IFERROR(Y74*HSI!$B$69*HSI!$G$69/HSI!$B$3,""))</f>
        <v/>
      </c>
      <c r="CN74" s="161">
        <f>IF(Z74="","",IFERROR(Z74*HSI!$B$69*HSI!$G$69/HSI!$B$3,""))</f>
        <v/>
      </c>
      <c r="CO74" s="161">
        <f>IF(AA74="","",IFERROR(AA74*HSI!$B$69*HSI!$G$69/HSI!$B$3,""))</f>
        <v/>
      </c>
      <c r="CP74" s="161">
        <f>IF(AB74="","",IFERROR(AB74*HSI!$B$69*HSI!$G$69/HSI!$B$3,""))</f>
        <v/>
      </c>
      <c r="CQ74" s="161">
        <f>IF(AC74="","",IFERROR(AC74*HSI!$B$69*HSI!$G$69/HSI!$B$3,""))</f>
        <v/>
      </c>
      <c r="CR74" s="161">
        <f>IF(AD74="","",IFERROR(AD74*HSI!$B$69*HSI!$G$69/HSI!$B$3,""))</f>
        <v/>
      </c>
      <c r="CS74" s="161">
        <f>IF(AE74="","",IFERROR(AE74*HSI!$B$69*HSI!$G$69/HSI!$B$3,""))</f>
        <v/>
      </c>
      <c r="CT74" s="161">
        <f>IF(AF74="","",IFERROR(AF74*HSI!$B$69*HSI!$G$69/HSI!$B$3,""))</f>
        <v/>
      </c>
      <c r="CU74" s="161">
        <f>IF(AG74="","",IFERROR(AG74*HSI!$B$69*HSI!$G$69/HSI!$B$3,""))</f>
        <v/>
      </c>
      <c r="CV74" s="161">
        <f>IF(AH74="","",IFERROR(AH74*HSI!$B$69*HSI!$G$69/HSI!$B$3,""))</f>
        <v/>
      </c>
      <c r="CW74" s="161">
        <f>IF(AI74="","",IFERROR(AI74*HSI!$B$69*HSI!$G$69/HSI!$B$3,""))</f>
        <v/>
      </c>
      <c r="CX74" s="161">
        <f>IF(AJ74="","",IFERROR(AJ74*HSI!$B$69*HSI!$G$69/HSI!$B$3,""))</f>
        <v/>
      </c>
      <c r="CY74" s="161">
        <f>IF(AK74="","",IFERROR(AK74*HSI!$B$69*HSI!$G$69/HSI!$B$3,""))</f>
        <v/>
      </c>
      <c r="CZ74" s="161">
        <f>IF(AL74="","",IFERROR(AL74*HSI!$B$69*HSI!$G$69/HSI!$B$3,""))</f>
        <v/>
      </c>
      <c r="DA74" s="161">
        <f>IF(AM74="","",IFERROR(AM74*HSI!$B$69*HSI!$G$69/HSI!$B$3,""))</f>
        <v/>
      </c>
      <c r="DB74" s="161">
        <f>IF(AN74="","",IFERROR(AN74*HSI!$B$69*HSI!$G$69/HSI!$B$3,""))</f>
        <v/>
      </c>
      <c r="DC74" s="161">
        <f>IF(AO74="","",IFERROR(AO74*HSI!$B$69*HSI!$G$69/HSI!$B$3,""))</f>
        <v/>
      </c>
      <c r="DD74" s="161">
        <f>IF(AP74="","",IFERROR(AP74*HSI!$B$69*HSI!$G$69/HSI!$B$3,""))</f>
        <v/>
      </c>
      <c r="DE74" s="161">
        <f>IF(AQ74="","",IFERROR(AQ74*HSI!$B$69*HSI!$G$69/HSI!$B$3,""))</f>
        <v/>
      </c>
      <c r="DF74" s="161">
        <f>IF(AR74="","",IFERROR(AR74*HSI!$B$69*HSI!$G$69/HSI!$B$3,""))</f>
        <v/>
      </c>
      <c r="DG74" s="161">
        <f>IF(AS74="","",IFERROR(AS74*HSI!$B$69*HSI!$G$69/HSI!$B$3,""))</f>
        <v/>
      </c>
      <c r="DH74" s="161">
        <f>IF(AT74="","",IFERROR(AT74*HSI!$B$69*HSI!$G$69/HSI!$B$3,""))</f>
        <v/>
      </c>
      <c r="DI74" s="161">
        <f>IF(AU74="","",IFERROR(AU74*HSI!$B$69*HSI!$G$69/HSI!$B$3,""))</f>
        <v/>
      </c>
      <c r="DJ74" s="161">
        <f>IF(AV74="","",IFERROR(AV74*HSI!$B$69*HSI!$G$69/HSI!$B$3,""))</f>
        <v/>
      </c>
      <c r="DK74" s="161">
        <f>IF(AW74="","",IFERROR(AW74*HSI!$B$69*HSI!$G$69/HSI!$B$3,""))</f>
        <v/>
      </c>
      <c r="DL74" s="161">
        <f>IF(AX74="","",IFERROR(AX74*HSI!$B$69*HSI!$G$69/HSI!$B$3,""))</f>
        <v/>
      </c>
      <c r="DM74" s="161">
        <f>IF(AY74="","",IFERROR(AY74*HSI!$B$69*HSI!$G$69/HSI!$B$3,""))</f>
        <v/>
      </c>
      <c r="DN74" s="161">
        <f>IF(AZ74="","",IFERROR(AZ74*HSI!$B$69*HSI!$G$69/HSI!$B$3,""))</f>
        <v/>
      </c>
      <c r="DO74" s="161">
        <f>IF(BA74="","",IFERROR(BA74*HSI!$B$69*HSI!$G$69/HSI!$B$3,""))</f>
        <v/>
      </c>
      <c r="DP74" s="161">
        <f>IF(BB74="","",IFERROR(BB74*HSI!$B$69*HSI!$G$69/HSI!$B$3,""))</f>
        <v/>
      </c>
      <c r="DQ74" s="161">
        <f>IF(BC74="","",IFERROR(BC74*HSI!$B$69*HSI!$G$69/HSI!$B$3,""))</f>
        <v/>
      </c>
      <c r="DR74" s="161">
        <f>IF(BD74="","",IFERROR(BD74*HSI!$B$69*HSI!$G$69/HSI!$B$3,""))</f>
        <v/>
      </c>
      <c r="DS74" s="161">
        <f>IF(BE74="","",IFERROR(BE74*HSI!$B$69*HSI!$G$69/HSI!$B$3,""))</f>
        <v/>
      </c>
      <c r="DT74" s="161">
        <f>IF(BF74="","",IFERROR(BF74*HSI!$B$69*HSI!$G$69/HSI!$B$3,""))</f>
        <v/>
      </c>
      <c r="DU74" s="161">
        <f>IF(BG74="","",IFERROR(BG74*HSI!$B$69*HSI!$G$69/HSI!$B$3,""))</f>
        <v/>
      </c>
      <c r="DV74" s="161">
        <f>IF(BH74="","",IFERROR(BH74*HSI!$B$69*HSI!$G$69/HSI!$B$3,""))</f>
        <v/>
      </c>
      <c r="DW74" s="161">
        <f>IF(BI74="","",IFERROR(BI74*HSI!$B$69*HSI!$G$69/HSI!$B$3,""))</f>
        <v/>
      </c>
      <c r="DX74" s="161">
        <f>IF(BJ74="","",IFERROR(BJ74*HSI!$B$69*HSI!$G$69/HSI!$B$3,""))</f>
        <v/>
      </c>
      <c r="DY74" s="161">
        <f>IF(BK74="","",IFERROR(BK74*HSI!$B$69*HSI!$G$69/HSI!$B$3,""))</f>
        <v/>
      </c>
      <c r="DZ74" s="161">
        <f>IF(BL74="","",IFERROR(BL74*HSI!$B$69*HSI!$G$69/HSI!$B$3,""))</f>
        <v/>
      </c>
      <c r="EA74" s="161">
        <f>IF(BM74="","",IFERROR(BM74*HSI!$B$69*HSI!$G$69/HSI!$B$3,""))</f>
        <v/>
      </c>
      <c r="EB74" s="161">
        <f>IF(BN74="","",IFERROR(BN74*HSI!$B$69*HSI!$G$69/HSI!$B$3,""))</f>
        <v/>
      </c>
      <c r="EC74" s="161">
        <f>IF(BO74="","",IFERROR(BO74*HSI!$B$69*HSI!$G$69/HSI!$B$3,""))</f>
        <v/>
      </c>
      <c r="EE74" s="121">
        <f>IF(N('Dvd Calendar'!$E$693)=0,"",IF(('Dvd Calendar'!$E$693&gt;=GRID_FROM)*('Dvd Calendar'!$E$693&lt;=GRID_TO)*((('Dvd Calendar'!$E$693&lt;=VAL_DATE)+(COUNTIF('Dvd Calendar'!$E$700:$AR$700,'Dvd Calendar'!$E$693)=0))&gt;0)=0,"",'Dvd Calendar'!$E$693*1000000000+ISNUMBER('Dvd Calendar'!$E$696)*100000000+('Dvd Calendar'!$E$698=SPECIAL_LBL)*10000000+(N('Dvd Calendar'!$E$692)&gt;0)*(N('Dvd Calendar'!$E$692)&lt;=VAL_SERIAL)*1000000+63*1000+1))</f>
        <v/>
      </c>
      <c r="EF74" s="121">
        <f>IF(N('Dvd Calendar'!$F$693)=0,"",IF(('Dvd Calendar'!$F$693&gt;=GRID_FROM)*('Dvd Calendar'!$F$693&lt;=GRID_TO)*((('Dvd Calendar'!$F$693&lt;=VAL_DATE)+(COUNTIF('Dvd Calendar'!$E$700:$AR$700,'Dvd Calendar'!$F$693)=0))&gt;0)=0,"",'Dvd Calendar'!$F$693*1000000000+ISNUMBER('Dvd Calendar'!$F$696)*100000000+('Dvd Calendar'!$F$698=SPECIAL_LBL)*10000000+(N('Dvd Calendar'!$F$692)&gt;0)*(N('Dvd Calendar'!$F$692)&lt;=VAL_SERIAL)*1000000+63*1000+2))</f>
        <v/>
      </c>
      <c r="EG74" s="121">
        <f>IF(N('Dvd Calendar'!$G$693)=0,"",IF(('Dvd Calendar'!$G$693&gt;=GRID_FROM)*('Dvd Calendar'!$G$693&lt;=GRID_TO)*((('Dvd Calendar'!$G$693&lt;=VAL_DATE)+(COUNTIF('Dvd Calendar'!$E$700:$AR$700,'Dvd Calendar'!$G$693)=0))&gt;0)=0,"",'Dvd Calendar'!$G$693*1000000000+ISNUMBER('Dvd Calendar'!$G$696)*100000000+('Dvd Calendar'!$G$698=SPECIAL_LBL)*10000000+(N('Dvd Calendar'!$G$692)&gt;0)*(N('Dvd Calendar'!$G$692)&lt;=VAL_SERIAL)*1000000+63*1000+3))</f>
        <v/>
      </c>
      <c r="EH74" s="121">
        <f>IF(N('Dvd Calendar'!$H$693)=0,"",IF(('Dvd Calendar'!$H$693&gt;=GRID_FROM)*('Dvd Calendar'!$H$693&lt;=GRID_TO)*((('Dvd Calendar'!$H$693&lt;=VAL_DATE)+(COUNTIF('Dvd Calendar'!$E$700:$AR$700,'Dvd Calendar'!$H$693)=0))&gt;0)=0,"",'Dvd Calendar'!$H$693*1000000000+ISNUMBER('Dvd Calendar'!$H$696)*100000000+('Dvd Calendar'!$H$698=SPECIAL_LBL)*10000000+(N('Dvd Calendar'!$H$692)&gt;0)*(N('Dvd Calendar'!$H$692)&lt;=VAL_SERIAL)*1000000+63*1000+4))</f>
        <v/>
      </c>
      <c r="EI74" s="121">
        <f>IF(N('Dvd Calendar'!$I$693)=0,"",IF(('Dvd Calendar'!$I$693&gt;=GRID_FROM)*('Dvd Calendar'!$I$693&lt;=GRID_TO)*((('Dvd Calendar'!$I$693&lt;=VAL_DATE)+(COUNTIF('Dvd Calendar'!$E$700:$AR$700,'Dvd Calendar'!$I$693)=0))&gt;0)=0,"",'Dvd Calendar'!$I$693*1000000000+ISNUMBER('Dvd Calendar'!$I$696)*100000000+('Dvd Calendar'!$I$698=SPECIAL_LBL)*10000000+(N('Dvd Calendar'!$I$692)&gt;0)*(N('Dvd Calendar'!$I$692)&lt;=VAL_SERIAL)*1000000+63*1000+5))</f>
        <v/>
      </c>
      <c r="EJ74" s="121">
        <f>IF(N('Dvd Calendar'!$J$693)=0,"",IF(('Dvd Calendar'!$J$693&gt;=GRID_FROM)*('Dvd Calendar'!$J$693&lt;=GRID_TO)*((('Dvd Calendar'!$J$693&lt;=VAL_DATE)+(COUNTIF('Dvd Calendar'!$E$700:$AR$700,'Dvd Calendar'!$J$693)=0))&gt;0)=0,"",'Dvd Calendar'!$J$693*1000000000+ISNUMBER('Dvd Calendar'!$J$696)*100000000+('Dvd Calendar'!$J$698=SPECIAL_LBL)*10000000+(N('Dvd Calendar'!$J$692)&gt;0)*(N('Dvd Calendar'!$J$692)&lt;=VAL_SERIAL)*1000000+63*1000+6))</f>
        <v/>
      </c>
      <c r="EK74" s="121">
        <f>IF(N('Dvd Calendar'!$K$693)=0,"",IF(('Dvd Calendar'!$K$693&gt;=GRID_FROM)*('Dvd Calendar'!$K$693&lt;=GRID_TO)*((('Dvd Calendar'!$K$693&lt;=VAL_DATE)+(COUNTIF('Dvd Calendar'!$E$700:$AR$700,'Dvd Calendar'!$K$693)=0))&gt;0)=0,"",'Dvd Calendar'!$K$693*1000000000+ISNUMBER('Dvd Calendar'!$K$696)*100000000+('Dvd Calendar'!$K$698=SPECIAL_LBL)*10000000+(N('Dvd Calendar'!$K$692)&gt;0)*(N('Dvd Calendar'!$K$692)&lt;=VAL_SERIAL)*1000000+63*1000+7))</f>
        <v/>
      </c>
      <c r="EL74" s="121">
        <f>IF(N('Dvd Calendar'!$L$693)=0,"",IF(('Dvd Calendar'!$L$693&gt;=GRID_FROM)*('Dvd Calendar'!$L$693&lt;=GRID_TO)*((('Dvd Calendar'!$L$693&lt;=VAL_DATE)+(COUNTIF('Dvd Calendar'!$E$700:$AR$700,'Dvd Calendar'!$L$693)=0))&gt;0)=0,"",'Dvd Calendar'!$L$693*1000000000+ISNUMBER('Dvd Calendar'!$L$696)*100000000+('Dvd Calendar'!$L$698=SPECIAL_LBL)*10000000+(N('Dvd Calendar'!$L$692)&gt;0)*(N('Dvd Calendar'!$L$692)&lt;=VAL_SERIAL)*1000000+63*1000+8))</f>
        <v/>
      </c>
      <c r="EM74" s="121">
        <f>IF(N('Dvd Calendar'!$M$693)=0,"",IF(('Dvd Calendar'!$M$693&gt;=GRID_FROM)*('Dvd Calendar'!$M$693&lt;=GRID_TO)*((('Dvd Calendar'!$M$693&lt;=VAL_DATE)+(COUNTIF('Dvd Calendar'!$E$700:$AR$700,'Dvd Calendar'!$M$693)=0))&gt;0)=0,"",'Dvd Calendar'!$M$693*1000000000+ISNUMBER('Dvd Calendar'!$M$696)*100000000+('Dvd Calendar'!$M$698=SPECIAL_LBL)*10000000+(N('Dvd Calendar'!$M$692)&gt;0)*(N('Dvd Calendar'!$M$692)&lt;=VAL_SERIAL)*1000000+63*1000+9))</f>
        <v/>
      </c>
      <c r="EN74" s="121">
        <f>IF(N('Dvd Calendar'!$N$693)=0,"",IF(('Dvd Calendar'!$N$693&gt;=GRID_FROM)*('Dvd Calendar'!$N$693&lt;=GRID_TO)*((('Dvd Calendar'!$N$693&lt;=VAL_DATE)+(COUNTIF('Dvd Calendar'!$E$700:$AR$700,'Dvd Calendar'!$N$693)=0))&gt;0)=0,"",'Dvd Calendar'!$N$693*1000000000+ISNUMBER('Dvd Calendar'!$N$696)*100000000+('Dvd Calendar'!$N$698=SPECIAL_LBL)*10000000+(N('Dvd Calendar'!$N$692)&gt;0)*(N('Dvd Calendar'!$N$692)&lt;=VAL_SERIAL)*1000000+63*1000+10))</f>
        <v/>
      </c>
      <c r="EO74" s="121">
        <f>IF(N('Dvd Calendar'!$O$693)=0,"",IF(('Dvd Calendar'!$O$693&gt;=GRID_FROM)*('Dvd Calendar'!$O$693&lt;=GRID_TO)*((('Dvd Calendar'!$O$693&lt;=VAL_DATE)+(COUNTIF('Dvd Calendar'!$E$700:$AR$700,'Dvd Calendar'!$O$693)=0))&gt;0)=0,"",'Dvd Calendar'!$O$693*1000000000+ISNUMBER('Dvd Calendar'!$O$696)*100000000+('Dvd Calendar'!$O$698=SPECIAL_LBL)*10000000+(N('Dvd Calendar'!$O$692)&gt;0)*(N('Dvd Calendar'!$O$692)&lt;=VAL_SERIAL)*1000000+63*1000+11))</f>
        <v/>
      </c>
      <c r="EP74" s="121">
        <f>IF(N('Dvd Calendar'!$P$693)=0,"",IF(('Dvd Calendar'!$P$693&gt;=GRID_FROM)*('Dvd Calendar'!$P$693&lt;=GRID_TO)*((('Dvd Calendar'!$P$693&lt;=VAL_DATE)+(COUNTIF('Dvd Calendar'!$E$700:$AR$700,'Dvd Calendar'!$P$693)=0))&gt;0)=0,"",'Dvd Calendar'!$P$693*1000000000+ISNUMBER('Dvd Calendar'!$P$696)*100000000+('Dvd Calendar'!$P$698=SPECIAL_LBL)*10000000+(N('Dvd Calendar'!$P$692)&gt;0)*(N('Dvd Calendar'!$P$692)&lt;=VAL_SERIAL)*1000000+63*1000+12))</f>
        <v/>
      </c>
      <c r="EQ74" s="121">
        <f>IF(N('Dvd Calendar'!$Q$693)=0,"",IF(('Dvd Calendar'!$Q$693&gt;=GRID_FROM)*('Dvd Calendar'!$Q$693&lt;=GRID_TO)*((('Dvd Calendar'!$Q$693&lt;=VAL_DATE)+(COUNTIF('Dvd Calendar'!$E$700:$AR$700,'Dvd Calendar'!$Q$693)=0))&gt;0)=0,"",'Dvd Calendar'!$Q$693*1000000000+ISNUMBER('Dvd Calendar'!$Q$696)*100000000+('Dvd Calendar'!$Q$698=SPECIAL_LBL)*10000000+(N('Dvd Calendar'!$Q$692)&gt;0)*(N('Dvd Calendar'!$Q$692)&lt;=VAL_SERIAL)*1000000+63*1000+13))</f>
        <v/>
      </c>
      <c r="ER74" s="121">
        <f>IF(N('Dvd Calendar'!$R$693)=0,"",IF(('Dvd Calendar'!$R$693&gt;=GRID_FROM)*('Dvd Calendar'!$R$693&lt;=GRID_TO)*((('Dvd Calendar'!$R$693&lt;=VAL_DATE)+(COUNTIF('Dvd Calendar'!$E$700:$AR$700,'Dvd Calendar'!$R$693)=0))&gt;0)=0,"",'Dvd Calendar'!$R$693*1000000000+ISNUMBER('Dvd Calendar'!$R$696)*100000000+('Dvd Calendar'!$R$698=SPECIAL_LBL)*10000000+(N('Dvd Calendar'!$R$692)&gt;0)*(N('Dvd Calendar'!$R$692)&lt;=VAL_SERIAL)*1000000+63*1000+14))</f>
        <v/>
      </c>
      <c r="ES74" s="121">
        <f>IF(N('Dvd Calendar'!$S$693)=0,"",IF(('Dvd Calendar'!$S$693&gt;=GRID_FROM)*('Dvd Calendar'!$S$693&lt;=GRID_TO)*((('Dvd Calendar'!$S$693&lt;=VAL_DATE)+(COUNTIF('Dvd Calendar'!$E$700:$AR$700,'Dvd Calendar'!$S$693)=0))&gt;0)=0,"",'Dvd Calendar'!$S$693*1000000000+ISNUMBER('Dvd Calendar'!$S$696)*100000000+('Dvd Calendar'!$S$698=SPECIAL_LBL)*10000000+(N('Dvd Calendar'!$S$692)&gt;0)*(N('Dvd Calendar'!$S$692)&lt;=VAL_SERIAL)*1000000+63*1000+15))</f>
        <v/>
      </c>
      <c r="ET74" s="121">
        <f>IF(N('Dvd Calendar'!$T$693)=0,"",IF(('Dvd Calendar'!$T$693&gt;=GRID_FROM)*('Dvd Calendar'!$T$693&lt;=GRID_TO)*((('Dvd Calendar'!$T$693&lt;=VAL_DATE)+(COUNTIF('Dvd Calendar'!$E$700:$AR$700,'Dvd Calendar'!$T$693)=0))&gt;0)=0,"",'Dvd Calendar'!$T$693*1000000000+ISNUMBER('Dvd Calendar'!$T$696)*100000000+('Dvd Calendar'!$T$698=SPECIAL_LBL)*10000000+(N('Dvd Calendar'!$T$692)&gt;0)*(N('Dvd Calendar'!$T$692)&lt;=VAL_SERIAL)*1000000+63*1000+16))</f>
        <v/>
      </c>
      <c r="EU74" s="121">
        <f>IF(N('Dvd Calendar'!$U$693)=0,"",IF(('Dvd Calendar'!$U$693&gt;=GRID_FROM)*('Dvd Calendar'!$U$693&lt;=GRID_TO)*((('Dvd Calendar'!$U$693&lt;=VAL_DATE)+(COUNTIF('Dvd Calendar'!$E$700:$AR$700,'Dvd Calendar'!$U$693)=0))&gt;0)=0,"",'Dvd Calendar'!$U$693*1000000000+ISNUMBER('Dvd Calendar'!$U$696)*100000000+('Dvd Calendar'!$U$698=SPECIAL_LBL)*10000000+(N('Dvd Calendar'!$U$692)&gt;0)*(N('Dvd Calendar'!$U$692)&lt;=VAL_SERIAL)*1000000+63*1000+17))</f>
        <v/>
      </c>
      <c r="EV74" s="121">
        <f>IF(N('Dvd Calendar'!$V$693)=0,"",IF(('Dvd Calendar'!$V$693&gt;=GRID_FROM)*('Dvd Calendar'!$V$693&lt;=GRID_TO)*((('Dvd Calendar'!$V$693&lt;=VAL_DATE)+(COUNTIF('Dvd Calendar'!$E$700:$AR$700,'Dvd Calendar'!$V$693)=0))&gt;0)=0,"",'Dvd Calendar'!$V$693*1000000000+ISNUMBER('Dvd Calendar'!$V$696)*100000000+('Dvd Calendar'!$V$698=SPECIAL_LBL)*10000000+(N('Dvd Calendar'!$V$692)&gt;0)*(N('Dvd Calendar'!$V$692)&lt;=VAL_SERIAL)*1000000+63*1000+18))</f>
        <v/>
      </c>
      <c r="EW74" s="121">
        <f>IF(N('Dvd Calendar'!$W$693)=0,"",IF(('Dvd Calendar'!$W$693&gt;=GRID_FROM)*('Dvd Calendar'!$W$693&lt;=GRID_TO)*((('Dvd Calendar'!$W$693&lt;=VAL_DATE)+(COUNTIF('Dvd Calendar'!$E$700:$AR$700,'Dvd Calendar'!$W$693)=0))&gt;0)=0,"",'Dvd Calendar'!$W$693*1000000000+ISNUMBER('Dvd Calendar'!$W$696)*100000000+('Dvd Calendar'!$W$698=SPECIAL_LBL)*10000000+(N('Dvd Calendar'!$W$692)&gt;0)*(N('Dvd Calendar'!$W$692)&lt;=VAL_SERIAL)*1000000+63*1000+19))</f>
        <v/>
      </c>
      <c r="EX74" s="121">
        <f>IF(N('Dvd Calendar'!$X$693)=0,"",IF(('Dvd Calendar'!$X$693&gt;=GRID_FROM)*('Dvd Calendar'!$X$693&lt;=GRID_TO)*((('Dvd Calendar'!$X$693&lt;=VAL_DATE)+(COUNTIF('Dvd Calendar'!$E$700:$AR$700,'Dvd Calendar'!$X$693)=0))&gt;0)=0,"",'Dvd Calendar'!$X$693*1000000000+ISNUMBER('Dvd Calendar'!$X$696)*100000000+('Dvd Calendar'!$X$698=SPECIAL_LBL)*10000000+(N('Dvd Calendar'!$X$692)&gt;0)*(N('Dvd Calendar'!$X$692)&lt;=VAL_SERIAL)*1000000+63*1000+20))</f>
        <v/>
      </c>
      <c r="EY74" s="121">
        <f>IF(N('Dvd Calendar'!$Y$693)=0,"",IF(('Dvd Calendar'!$Y$693&gt;=GRID_FROM)*('Dvd Calendar'!$Y$693&lt;=GRID_TO)*((('Dvd Calendar'!$Y$693&lt;=VAL_DATE)+(COUNTIF('Dvd Calendar'!$E$700:$AR$700,'Dvd Calendar'!$Y$693)=0))&gt;0)=0,"",'Dvd Calendar'!$Y$693*1000000000+ISNUMBER('Dvd Calendar'!$Y$696)*100000000+('Dvd Calendar'!$Y$698=SPECIAL_LBL)*10000000+(N('Dvd Calendar'!$Y$692)&gt;0)*(N('Dvd Calendar'!$Y$692)&lt;=VAL_SERIAL)*1000000+63*1000+21))</f>
        <v/>
      </c>
      <c r="EZ74" s="121">
        <f>IF(N('Dvd Calendar'!$Z$693)=0,"",IF(('Dvd Calendar'!$Z$693&gt;=GRID_FROM)*('Dvd Calendar'!$Z$693&lt;=GRID_TO)*((('Dvd Calendar'!$Z$693&lt;=VAL_DATE)+(COUNTIF('Dvd Calendar'!$E$700:$AR$700,'Dvd Calendar'!$Z$693)=0))&gt;0)=0,"",'Dvd Calendar'!$Z$693*1000000000+ISNUMBER('Dvd Calendar'!$Z$696)*100000000+('Dvd Calendar'!$Z$698=SPECIAL_LBL)*10000000+(N('Dvd Calendar'!$Z$692)&gt;0)*(N('Dvd Calendar'!$Z$692)&lt;=VAL_SERIAL)*1000000+63*1000+22))</f>
        <v/>
      </c>
      <c r="FA74" s="121">
        <f>IF(N('Dvd Calendar'!$AA$693)=0,"",IF(('Dvd Calendar'!$AA$693&gt;=GRID_FROM)*('Dvd Calendar'!$AA$693&lt;=GRID_TO)*((('Dvd Calendar'!$AA$693&lt;=VAL_DATE)+(COUNTIF('Dvd Calendar'!$E$700:$AR$700,'Dvd Calendar'!$AA$693)=0))&gt;0)=0,"",'Dvd Calendar'!$AA$693*1000000000+ISNUMBER('Dvd Calendar'!$AA$696)*100000000+('Dvd Calendar'!$AA$698=SPECIAL_LBL)*10000000+(N('Dvd Calendar'!$AA$692)&gt;0)*(N('Dvd Calendar'!$AA$692)&lt;=VAL_SERIAL)*1000000+63*1000+23))</f>
        <v/>
      </c>
      <c r="FB74" s="121">
        <f>IF(N('Dvd Calendar'!$AB$693)=0,"",IF(('Dvd Calendar'!$AB$693&gt;=GRID_FROM)*('Dvd Calendar'!$AB$693&lt;=GRID_TO)*((('Dvd Calendar'!$AB$693&lt;=VAL_DATE)+(COUNTIF('Dvd Calendar'!$E$700:$AR$700,'Dvd Calendar'!$AB$693)=0))&gt;0)=0,"",'Dvd Calendar'!$AB$693*1000000000+ISNUMBER('Dvd Calendar'!$AB$696)*100000000+('Dvd Calendar'!$AB$698=SPECIAL_LBL)*10000000+(N('Dvd Calendar'!$AB$692)&gt;0)*(N('Dvd Calendar'!$AB$692)&lt;=VAL_SERIAL)*1000000+63*1000+24))</f>
        <v/>
      </c>
      <c r="FC74" s="121">
        <f>IF(N('Dvd Calendar'!$AC$693)=0,"",IF(('Dvd Calendar'!$AC$693&gt;=GRID_FROM)*('Dvd Calendar'!$AC$693&lt;=GRID_TO)*((('Dvd Calendar'!$AC$693&lt;=VAL_DATE)+(COUNTIF('Dvd Calendar'!$E$700:$AR$700,'Dvd Calendar'!$AC$693)=0))&gt;0)=0,"",'Dvd Calendar'!$AC$693*1000000000+ISNUMBER('Dvd Calendar'!$AC$696)*100000000+('Dvd Calendar'!$AC$698=SPECIAL_LBL)*10000000+(N('Dvd Calendar'!$AC$692)&gt;0)*(N('Dvd Calendar'!$AC$692)&lt;=VAL_SERIAL)*1000000+63*1000+25))</f>
        <v/>
      </c>
      <c r="FD74" s="121">
        <f>IF(N('Dvd Calendar'!$AD$693)=0,"",IF(('Dvd Calendar'!$AD$693&gt;=GRID_FROM)*('Dvd Calendar'!$AD$693&lt;=GRID_TO)*((('Dvd Calendar'!$AD$693&lt;=VAL_DATE)+(COUNTIF('Dvd Calendar'!$E$700:$AR$700,'Dvd Calendar'!$AD$693)=0))&gt;0)=0,"",'Dvd Calendar'!$AD$693*1000000000+ISNUMBER('Dvd Calendar'!$AD$696)*100000000+('Dvd Calendar'!$AD$698=SPECIAL_LBL)*10000000+(N('Dvd Calendar'!$AD$692)&gt;0)*(N('Dvd Calendar'!$AD$692)&lt;=VAL_SERIAL)*1000000+63*1000+26))</f>
        <v/>
      </c>
      <c r="FE74" s="121">
        <f>IF(N('Dvd Calendar'!$AE$693)=0,"",IF(('Dvd Calendar'!$AE$693&gt;=GRID_FROM)*('Dvd Calendar'!$AE$693&lt;=GRID_TO)*((('Dvd Calendar'!$AE$693&lt;=VAL_DATE)+(COUNTIF('Dvd Calendar'!$E$700:$AR$700,'Dvd Calendar'!$AE$693)=0))&gt;0)=0,"",'Dvd Calendar'!$AE$693*1000000000+ISNUMBER('Dvd Calendar'!$AE$696)*100000000+('Dvd Calendar'!$AE$698=SPECIAL_LBL)*10000000+(N('Dvd Calendar'!$AE$692)&gt;0)*(N('Dvd Calendar'!$AE$692)&lt;=VAL_SERIAL)*1000000+63*1000+27))</f>
        <v/>
      </c>
      <c r="FF74" s="121">
        <f>IF(N('Dvd Calendar'!$AF$693)=0,"",IF(('Dvd Calendar'!$AF$693&gt;=GRID_FROM)*('Dvd Calendar'!$AF$693&lt;=GRID_TO)*((('Dvd Calendar'!$AF$693&lt;=VAL_DATE)+(COUNTIF('Dvd Calendar'!$E$700:$AR$700,'Dvd Calendar'!$AF$693)=0))&gt;0)=0,"",'Dvd Calendar'!$AF$693*1000000000+ISNUMBER('Dvd Calendar'!$AF$696)*100000000+('Dvd Calendar'!$AF$698=SPECIAL_LBL)*10000000+(N('Dvd Calendar'!$AF$692)&gt;0)*(N('Dvd Calendar'!$AF$692)&lt;=VAL_SERIAL)*1000000+63*1000+28))</f>
        <v/>
      </c>
      <c r="FG74" s="121">
        <f>IF(N('Dvd Calendar'!$AG$693)=0,"",IF(('Dvd Calendar'!$AG$693&gt;=GRID_FROM)*('Dvd Calendar'!$AG$693&lt;=GRID_TO)*((('Dvd Calendar'!$AG$693&lt;=VAL_DATE)+(COUNTIF('Dvd Calendar'!$E$700:$AR$700,'Dvd Calendar'!$AG$693)=0))&gt;0)=0,"",'Dvd Calendar'!$AG$693*1000000000+ISNUMBER('Dvd Calendar'!$AG$696)*100000000+('Dvd Calendar'!$AG$698=SPECIAL_LBL)*10000000+(N('Dvd Calendar'!$AG$692)&gt;0)*(N('Dvd Calendar'!$AG$692)&lt;=VAL_SERIAL)*1000000+63*1000+29))</f>
        <v/>
      </c>
      <c r="FH74" s="121">
        <f>IF(N('Dvd Calendar'!$AH$693)=0,"",IF(('Dvd Calendar'!$AH$693&gt;=GRID_FROM)*('Dvd Calendar'!$AH$693&lt;=GRID_TO)*((('Dvd Calendar'!$AH$693&lt;=VAL_DATE)+(COUNTIF('Dvd Calendar'!$E$700:$AR$700,'Dvd Calendar'!$AH$693)=0))&gt;0)=0,"",'Dvd Calendar'!$AH$693*1000000000+ISNUMBER('Dvd Calendar'!$AH$696)*100000000+('Dvd Calendar'!$AH$698=SPECIAL_LBL)*10000000+(N('Dvd Calendar'!$AH$692)&gt;0)*(N('Dvd Calendar'!$AH$692)&lt;=VAL_SERIAL)*1000000+63*1000+30))</f>
        <v/>
      </c>
      <c r="FI74" s="121">
        <f>IF(N('Dvd Calendar'!$AI$693)=0,"",IF(('Dvd Calendar'!$AI$693&gt;=GRID_FROM)*('Dvd Calendar'!$AI$693&lt;=GRID_TO)*((('Dvd Calendar'!$AI$693&lt;=VAL_DATE)+(COUNTIF('Dvd Calendar'!$E$700:$AR$700,'Dvd Calendar'!$AI$693)=0))&gt;0)=0,"",'Dvd Calendar'!$AI$693*1000000000+ISNUMBER('Dvd Calendar'!$AI$696)*100000000+('Dvd Calendar'!$AI$698=SPECIAL_LBL)*10000000+(N('Dvd Calendar'!$AI$692)&gt;0)*(N('Dvd Calendar'!$AI$692)&lt;=VAL_SERIAL)*1000000+63*1000+31))</f>
        <v/>
      </c>
      <c r="FJ74" s="121">
        <f>IF(N('Dvd Calendar'!$AJ$693)=0,"",IF(('Dvd Calendar'!$AJ$693&gt;=GRID_FROM)*('Dvd Calendar'!$AJ$693&lt;=GRID_TO)*((('Dvd Calendar'!$AJ$693&lt;=VAL_DATE)+(COUNTIF('Dvd Calendar'!$E$700:$AR$700,'Dvd Calendar'!$AJ$693)=0))&gt;0)=0,"",'Dvd Calendar'!$AJ$693*1000000000+ISNUMBER('Dvd Calendar'!$AJ$696)*100000000+('Dvd Calendar'!$AJ$698=SPECIAL_LBL)*10000000+(N('Dvd Calendar'!$AJ$692)&gt;0)*(N('Dvd Calendar'!$AJ$692)&lt;=VAL_SERIAL)*1000000+63*1000+32))</f>
        <v/>
      </c>
      <c r="FK74" s="121">
        <f>IF(N('Dvd Calendar'!$AK$693)=0,"",IF(('Dvd Calendar'!$AK$693&gt;=GRID_FROM)*('Dvd Calendar'!$AK$693&lt;=GRID_TO)*((('Dvd Calendar'!$AK$693&lt;=VAL_DATE)+(COUNTIF('Dvd Calendar'!$E$700:$AR$700,'Dvd Calendar'!$AK$693)=0))&gt;0)=0,"",'Dvd Calendar'!$AK$693*1000000000+ISNUMBER('Dvd Calendar'!$AK$696)*100000000+('Dvd Calendar'!$AK$698=SPECIAL_LBL)*10000000+(N('Dvd Calendar'!$AK$692)&gt;0)*(N('Dvd Calendar'!$AK$692)&lt;=VAL_SERIAL)*1000000+63*1000+33))</f>
        <v/>
      </c>
      <c r="FL74" s="121">
        <f>IF(N('Dvd Calendar'!$AL$693)=0,"",IF(('Dvd Calendar'!$AL$693&gt;=GRID_FROM)*('Dvd Calendar'!$AL$693&lt;=GRID_TO)*((('Dvd Calendar'!$AL$693&lt;=VAL_DATE)+(COUNTIF('Dvd Calendar'!$E$700:$AR$700,'Dvd Calendar'!$AL$693)=0))&gt;0)=0,"",'Dvd Calendar'!$AL$693*1000000000+ISNUMBER('Dvd Calendar'!$AL$696)*100000000+('Dvd Calendar'!$AL$698=SPECIAL_LBL)*10000000+(N('Dvd Calendar'!$AL$692)&gt;0)*(N('Dvd Calendar'!$AL$692)&lt;=VAL_SERIAL)*1000000+63*1000+34))</f>
        <v/>
      </c>
      <c r="FM74" s="121">
        <f>IF(N('Dvd Calendar'!$AM$693)=0,"",IF(('Dvd Calendar'!$AM$693&gt;=GRID_FROM)*('Dvd Calendar'!$AM$693&lt;=GRID_TO)*((('Dvd Calendar'!$AM$693&lt;=VAL_DATE)+(COUNTIF('Dvd Calendar'!$E$700:$AR$700,'Dvd Calendar'!$AM$693)=0))&gt;0)=0,"",'Dvd Calendar'!$AM$693*1000000000+ISNUMBER('Dvd Calendar'!$AM$696)*100000000+('Dvd Calendar'!$AM$698=SPECIAL_LBL)*10000000+(N('Dvd Calendar'!$AM$692)&gt;0)*(N('Dvd Calendar'!$AM$692)&lt;=VAL_SERIAL)*1000000+63*1000+35))</f>
        <v/>
      </c>
      <c r="FN74" s="121">
        <f>IF(N('Dvd Calendar'!$AN$693)=0,"",IF(('Dvd Calendar'!$AN$693&gt;=GRID_FROM)*('Dvd Calendar'!$AN$693&lt;=GRID_TO)*((('Dvd Calendar'!$AN$693&lt;=VAL_DATE)+(COUNTIF('Dvd Calendar'!$E$700:$AR$700,'Dvd Calendar'!$AN$693)=0))&gt;0)=0,"",'Dvd Calendar'!$AN$693*1000000000+ISNUMBER('Dvd Calendar'!$AN$696)*100000000+('Dvd Calendar'!$AN$698=SPECIAL_LBL)*10000000+(N('Dvd Calendar'!$AN$692)&gt;0)*(N('Dvd Calendar'!$AN$692)&lt;=VAL_SERIAL)*1000000+63*1000+36))</f>
        <v/>
      </c>
      <c r="FO74" s="121">
        <f>IF(N('Dvd Calendar'!$AO$693)=0,"",IF(('Dvd Calendar'!$AO$693&gt;=GRID_FROM)*('Dvd Calendar'!$AO$693&lt;=GRID_TO)*((('Dvd Calendar'!$AO$693&lt;=VAL_DATE)+(COUNTIF('Dvd Calendar'!$E$700:$AR$700,'Dvd Calendar'!$AO$693)=0))&gt;0)=0,"",'Dvd Calendar'!$AO$693*1000000000+ISNUMBER('Dvd Calendar'!$AO$696)*100000000+('Dvd Calendar'!$AO$698=SPECIAL_LBL)*10000000+(N('Dvd Calendar'!$AO$692)&gt;0)*(N('Dvd Calendar'!$AO$692)&lt;=VAL_SERIAL)*1000000+63*1000+37))</f>
        <v/>
      </c>
      <c r="FP74" s="121">
        <f>IF(N('Dvd Calendar'!$AP$693)=0,"",IF(('Dvd Calendar'!$AP$693&gt;=GRID_FROM)*('Dvd Calendar'!$AP$693&lt;=GRID_TO)*((('Dvd Calendar'!$AP$693&lt;=VAL_DATE)+(COUNTIF('Dvd Calendar'!$E$700:$AR$700,'Dvd Calendar'!$AP$693)=0))&gt;0)=0,"",'Dvd Calendar'!$AP$693*1000000000+ISNUMBER('Dvd Calendar'!$AP$696)*100000000+('Dvd Calendar'!$AP$698=SPECIAL_LBL)*10000000+(N('Dvd Calendar'!$AP$692)&gt;0)*(N('Dvd Calendar'!$AP$692)&lt;=VAL_SERIAL)*1000000+63*1000+38))</f>
        <v/>
      </c>
      <c r="FQ74" s="121">
        <f>IF(N('Dvd Calendar'!$AQ$693)=0,"",IF(('Dvd Calendar'!$AQ$693&gt;=GRID_FROM)*('Dvd Calendar'!$AQ$693&lt;=GRID_TO)*((('Dvd Calendar'!$AQ$693&lt;=VAL_DATE)+(COUNTIF('Dvd Calendar'!$E$700:$AR$700,'Dvd Calendar'!$AQ$693)=0))&gt;0)=0,"",'Dvd Calendar'!$AQ$693*1000000000+ISNUMBER('Dvd Calendar'!$AQ$696)*100000000+('Dvd Calendar'!$AQ$698=SPECIAL_LBL)*10000000+(N('Dvd Calendar'!$AQ$692)&gt;0)*(N('Dvd Calendar'!$AQ$692)&lt;=VAL_SERIAL)*1000000+63*1000+39))</f>
        <v/>
      </c>
      <c r="FR74" s="121">
        <f>IF(N('Dvd Calendar'!$AR$693)=0,"",IF(('Dvd Calendar'!$AR$693&gt;=GRID_FROM)*('Dvd Calendar'!$AR$693&lt;=GRID_TO)*((('Dvd Calendar'!$AR$693&lt;=VAL_DATE)+(COUNTIF('Dvd Calendar'!$E$700:$AR$700,'Dvd Calendar'!$AR$693)=0))&gt;0)=0,"",'Dvd Calendar'!$AR$693*1000000000+ISNUMBER('Dvd Calendar'!$AR$696)*100000000+('Dvd Calendar'!$AR$698=SPECIAL_LBL)*10000000+(N('Dvd Calendar'!$AR$692)&gt;0)*(N('Dvd Calendar'!$AR$692)&lt;=VAL_SERIAL)*1000000+63*1000+40))</f>
        <v/>
      </c>
      <c r="FS74" s="121">
        <f>IF(N('Dvd Calendar'!$E$700)=0,"",IF(('Dvd Calendar'!$E$700&gt;=GRID_FROM)*('Dvd Calendar'!$E$700&lt;=GRID_TO)*('Dvd Calendar'!$E$700&gt;VAL_DATE)=0,"",'Dvd Calendar'!$E$700*1000000000+ISNUMBER('Dvd Calendar'!$E$701)*100000000+0*10000000+(N('Dvd Calendar'!$E$699)&gt;0)*(N('Dvd Calendar'!$E$699)&lt;=VAL_SERIAL)*1000000+63*1000+41))</f>
        <v/>
      </c>
      <c r="FT74" s="121">
        <f>IF(N('Dvd Calendar'!$F$700)=0,"",IF(('Dvd Calendar'!$F$700&gt;=GRID_FROM)*('Dvd Calendar'!$F$700&lt;=GRID_TO)*('Dvd Calendar'!$F$700&gt;VAL_DATE)=0,"",'Dvd Calendar'!$F$700*1000000000+ISNUMBER('Dvd Calendar'!$F$701)*100000000+0*10000000+(N('Dvd Calendar'!$F$699)&gt;0)*(N('Dvd Calendar'!$F$699)&lt;=VAL_SERIAL)*1000000+63*1000+42))</f>
        <v/>
      </c>
      <c r="FU74" s="121">
        <f>IF(N('Dvd Calendar'!$G$700)=0,"",IF(('Dvd Calendar'!$G$700&gt;=GRID_FROM)*('Dvd Calendar'!$G$700&lt;=GRID_TO)*('Dvd Calendar'!$G$700&gt;VAL_DATE)=0,"",'Dvd Calendar'!$G$700*1000000000+ISNUMBER('Dvd Calendar'!$G$701)*100000000+0*10000000+(N('Dvd Calendar'!$G$699)&gt;0)*(N('Dvd Calendar'!$G$699)&lt;=VAL_SERIAL)*1000000+63*1000+43))</f>
        <v/>
      </c>
      <c r="FV74" s="121">
        <f>IF(N('Dvd Calendar'!$H$700)=0,"",IF(('Dvd Calendar'!$H$700&gt;=GRID_FROM)*('Dvd Calendar'!$H$700&lt;=GRID_TO)*('Dvd Calendar'!$H$700&gt;VAL_DATE)=0,"",'Dvd Calendar'!$H$700*1000000000+ISNUMBER('Dvd Calendar'!$H$701)*100000000+0*10000000+(N('Dvd Calendar'!$H$699)&gt;0)*(N('Dvd Calendar'!$H$699)&lt;=VAL_SERIAL)*1000000+63*1000+44))</f>
        <v/>
      </c>
      <c r="FW74" s="121">
        <f>IF(N('Dvd Calendar'!$I$700)=0,"",IF(('Dvd Calendar'!$I$700&gt;=GRID_FROM)*('Dvd Calendar'!$I$700&lt;=GRID_TO)*('Dvd Calendar'!$I$700&gt;VAL_DATE)=0,"",'Dvd Calendar'!$I$700*1000000000+ISNUMBER('Dvd Calendar'!$I$701)*100000000+0*10000000+(N('Dvd Calendar'!$I$699)&gt;0)*(N('Dvd Calendar'!$I$699)&lt;=VAL_SERIAL)*1000000+63*1000+45))</f>
        <v/>
      </c>
      <c r="FX74" s="121">
        <f>IF(N('Dvd Calendar'!$J$700)=0,"",IF(('Dvd Calendar'!$J$700&gt;=GRID_FROM)*('Dvd Calendar'!$J$700&lt;=GRID_TO)*('Dvd Calendar'!$J$700&gt;VAL_DATE)=0,"",'Dvd Calendar'!$J$700*1000000000+ISNUMBER('Dvd Calendar'!$J$701)*100000000+0*10000000+(N('Dvd Calendar'!$J$699)&gt;0)*(N('Dvd Calendar'!$J$699)&lt;=VAL_SERIAL)*1000000+63*1000+46))</f>
        <v/>
      </c>
      <c r="FY74" s="121">
        <f>IF(N('Dvd Calendar'!$K$700)=0,"",IF(('Dvd Calendar'!$K$700&gt;=GRID_FROM)*('Dvd Calendar'!$K$700&lt;=GRID_TO)*('Dvd Calendar'!$K$700&gt;VAL_DATE)=0,"",'Dvd Calendar'!$K$700*1000000000+ISNUMBER('Dvd Calendar'!$K$701)*100000000+0*10000000+(N('Dvd Calendar'!$K$699)&gt;0)*(N('Dvd Calendar'!$K$699)&lt;=VAL_SERIAL)*1000000+63*1000+47))</f>
        <v/>
      </c>
      <c r="FZ74" s="121">
        <f>IF(N('Dvd Calendar'!$L$700)=0,"",IF(('Dvd Calendar'!$L$700&gt;=GRID_FROM)*('Dvd Calendar'!$L$700&lt;=GRID_TO)*('Dvd Calendar'!$L$700&gt;VAL_DATE)=0,"",'Dvd Calendar'!$L$700*1000000000+ISNUMBER('Dvd Calendar'!$L$701)*100000000+0*10000000+(N('Dvd Calendar'!$L$699)&gt;0)*(N('Dvd Calendar'!$L$699)&lt;=VAL_SERIAL)*1000000+63*1000+48))</f>
        <v/>
      </c>
      <c r="GA74" s="121">
        <f>IF(N('Dvd Calendar'!$M$700)=0,"",IF(('Dvd Calendar'!$M$700&gt;=GRID_FROM)*('Dvd Calendar'!$M$700&lt;=GRID_TO)*('Dvd Calendar'!$M$700&gt;VAL_DATE)=0,"",'Dvd Calendar'!$M$700*1000000000+ISNUMBER('Dvd Calendar'!$M$701)*100000000+0*10000000+(N('Dvd Calendar'!$M$699)&gt;0)*(N('Dvd Calendar'!$M$699)&lt;=VAL_SERIAL)*1000000+63*1000+49))</f>
        <v/>
      </c>
      <c r="GB74" s="121">
        <f>IF(N('Dvd Calendar'!$N$700)=0,"",IF(('Dvd Calendar'!$N$700&gt;=GRID_FROM)*('Dvd Calendar'!$N$700&lt;=GRID_TO)*('Dvd Calendar'!$N$700&gt;VAL_DATE)=0,"",'Dvd Calendar'!$N$700*1000000000+ISNUMBER('Dvd Calendar'!$N$701)*100000000+0*10000000+(N('Dvd Calendar'!$N$699)&gt;0)*(N('Dvd Calendar'!$N$699)&lt;=VAL_SERIAL)*1000000+63*1000+50))</f>
        <v/>
      </c>
      <c r="GC74" s="121">
        <f>IF(N('Dvd Calendar'!$O$700)=0,"",IF(('Dvd Calendar'!$O$700&gt;=GRID_FROM)*('Dvd Calendar'!$O$700&lt;=GRID_TO)*('Dvd Calendar'!$O$700&gt;VAL_DATE)=0,"",'Dvd Calendar'!$O$700*1000000000+ISNUMBER('Dvd Calendar'!$O$701)*100000000+0*10000000+(N('Dvd Calendar'!$O$699)&gt;0)*(N('Dvd Calendar'!$O$699)&lt;=VAL_SERIAL)*1000000+63*1000+51))</f>
        <v/>
      </c>
      <c r="GD74" s="121">
        <f>IF(N('Dvd Calendar'!$P$700)=0,"",IF(('Dvd Calendar'!$P$700&gt;=GRID_FROM)*('Dvd Calendar'!$P$700&lt;=GRID_TO)*('Dvd Calendar'!$P$700&gt;VAL_DATE)=0,"",'Dvd Calendar'!$P$700*1000000000+ISNUMBER('Dvd Calendar'!$P$701)*100000000+0*10000000+(N('Dvd Calendar'!$P$699)&gt;0)*(N('Dvd Calendar'!$P$699)&lt;=VAL_SERIAL)*1000000+63*1000+52))</f>
        <v/>
      </c>
      <c r="GE74" s="121">
        <f>IF(N('Dvd Calendar'!$Q$700)=0,"",IF(('Dvd Calendar'!$Q$700&gt;=GRID_FROM)*('Dvd Calendar'!$Q$700&lt;=GRID_TO)*('Dvd Calendar'!$Q$700&gt;VAL_DATE)=0,"",'Dvd Calendar'!$Q$700*1000000000+ISNUMBER('Dvd Calendar'!$Q$701)*100000000+0*10000000+(N('Dvd Calendar'!$Q$699)&gt;0)*(N('Dvd Calendar'!$Q$699)&lt;=VAL_SERIAL)*1000000+63*1000+53))</f>
        <v/>
      </c>
      <c r="GF74" s="121">
        <f>IF(N('Dvd Calendar'!$R$700)=0,"",IF(('Dvd Calendar'!$R$700&gt;=GRID_FROM)*('Dvd Calendar'!$R$700&lt;=GRID_TO)*('Dvd Calendar'!$R$700&gt;VAL_DATE)=0,"",'Dvd Calendar'!$R$700*1000000000+ISNUMBER('Dvd Calendar'!$R$701)*100000000+0*10000000+(N('Dvd Calendar'!$R$699)&gt;0)*(N('Dvd Calendar'!$R$699)&lt;=VAL_SERIAL)*1000000+63*1000+54))</f>
        <v/>
      </c>
      <c r="GG74" s="121">
        <f>IF(N('Dvd Calendar'!$S$700)=0,"",IF(('Dvd Calendar'!$S$700&gt;=GRID_FROM)*('Dvd Calendar'!$S$700&lt;=GRID_TO)*('Dvd Calendar'!$S$700&gt;VAL_DATE)=0,"",'Dvd Calendar'!$S$700*1000000000+ISNUMBER('Dvd Calendar'!$S$701)*100000000+0*10000000+(N('Dvd Calendar'!$S$699)&gt;0)*(N('Dvd Calendar'!$S$699)&lt;=VAL_SERIAL)*1000000+63*1000+55))</f>
        <v/>
      </c>
      <c r="GH74" s="121">
        <f>IF(N('Dvd Calendar'!$T$700)=0,"",IF(('Dvd Calendar'!$T$700&gt;=GRID_FROM)*('Dvd Calendar'!$T$700&lt;=GRID_TO)*('Dvd Calendar'!$T$700&gt;VAL_DATE)=0,"",'Dvd Calendar'!$T$700*1000000000+ISNUMBER('Dvd Calendar'!$T$701)*100000000+0*10000000+(N('Dvd Calendar'!$T$699)&gt;0)*(N('Dvd Calendar'!$T$699)&lt;=VAL_SERIAL)*1000000+63*1000+56))</f>
        <v/>
      </c>
      <c r="GI74" s="121">
        <f>IF(N('Dvd Calendar'!$U$700)=0,"",IF(('Dvd Calendar'!$U$700&gt;=GRID_FROM)*('Dvd Calendar'!$U$700&lt;=GRID_TO)*('Dvd Calendar'!$U$700&gt;VAL_DATE)=0,"",'Dvd Calendar'!$U$700*1000000000+ISNUMBER('Dvd Calendar'!$U$701)*100000000+0*10000000+(N('Dvd Calendar'!$U$699)&gt;0)*(N('Dvd Calendar'!$U$699)&lt;=VAL_SERIAL)*1000000+63*1000+57))</f>
        <v/>
      </c>
      <c r="GJ74" s="121">
        <f>IF(N('Dvd Calendar'!$V$700)=0,"",IF(('Dvd Calendar'!$V$700&gt;=GRID_FROM)*('Dvd Calendar'!$V$700&lt;=GRID_TO)*('Dvd Calendar'!$V$700&gt;VAL_DATE)=0,"",'Dvd Calendar'!$V$700*1000000000+ISNUMBER('Dvd Calendar'!$V$701)*100000000+0*10000000+(N('Dvd Calendar'!$V$699)&gt;0)*(N('Dvd Calendar'!$V$699)&lt;=VAL_SERIAL)*1000000+63*1000+58))</f>
        <v/>
      </c>
      <c r="GK74" s="121">
        <f>IF(N('Dvd Calendar'!$W$700)=0,"",IF(('Dvd Calendar'!$W$700&gt;=GRID_FROM)*('Dvd Calendar'!$W$700&lt;=GRID_TO)*('Dvd Calendar'!$W$700&gt;VAL_DATE)=0,"",'Dvd Calendar'!$W$700*1000000000+ISNUMBER('Dvd Calendar'!$W$701)*100000000+0*10000000+(N('Dvd Calendar'!$W$699)&gt;0)*(N('Dvd Calendar'!$W$699)&lt;=VAL_SERIAL)*1000000+63*1000+59))</f>
        <v/>
      </c>
      <c r="GL74" s="121">
        <f>IF(N('Dvd Calendar'!$X$700)=0,"",IF(('Dvd Calendar'!$X$700&gt;=GRID_FROM)*('Dvd Calendar'!$X$700&lt;=GRID_TO)*('Dvd Calendar'!$X$700&gt;VAL_DATE)=0,"",'Dvd Calendar'!$X$700*1000000000+ISNUMBER('Dvd Calendar'!$X$701)*100000000+0*10000000+(N('Dvd Calendar'!$X$699)&gt;0)*(N('Dvd Calendar'!$X$699)&lt;=VAL_SERIAL)*1000000+63*1000+60))</f>
        <v/>
      </c>
      <c r="GM74" s="121">
        <f>IF(N('Dvd Calendar'!$Y$700)=0,"",IF(('Dvd Calendar'!$Y$700&gt;=GRID_FROM)*('Dvd Calendar'!$Y$700&lt;=GRID_TO)*('Dvd Calendar'!$Y$700&gt;VAL_DATE)=0,"",'Dvd Calendar'!$Y$700*1000000000+ISNUMBER('Dvd Calendar'!$Y$701)*100000000+0*10000000+(N('Dvd Calendar'!$Y$699)&gt;0)*(N('Dvd Calendar'!$Y$699)&lt;=VAL_SERIAL)*1000000+63*1000+61))</f>
        <v/>
      </c>
      <c r="GN74" s="121">
        <f>IF(N('Dvd Calendar'!$Z$700)=0,"",IF(('Dvd Calendar'!$Z$700&gt;=GRID_FROM)*('Dvd Calendar'!$Z$700&lt;=GRID_TO)*('Dvd Calendar'!$Z$700&gt;VAL_DATE)=0,"",'Dvd Calendar'!$Z$700*1000000000+ISNUMBER('Dvd Calendar'!$Z$701)*100000000+0*10000000+(N('Dvd Calendar'!$Z$699)&gt;0)*(N('Dvd Calendar'!$Z$699)&lt;=VAL_SERIAL)*1000000+63*1000+62))</f>
        <v/>
      </c>
      <c r="GO74" s="121">
        <f>IF(N('Dvd Calendar'!$AA$700)=0,"",IF(('Dvd Calendar'!$AA$700&gt;=GRID_FROM)*('Dvd Calendar'!$AA$700&lt;=GRID_TO)*('Dvd Calendar'!$AA$700&gt;VAL_DATE)=0,"",'Dvd Calendar'!$AA$700*1000000000+ISNUMBER('Dvd Calendar'!$AA$701)*100000000+0*10000000+(N('Dvd Calendar'!$AA$699)&gt;0)*(N('Dvd Calendar'!$AA$699)&lt;=VAL_SERIAL)*1000000+63*1000+63))</f>
        <v/>
      </c>
      <c r="GP74" s="121">
        <f>IF(N('Dvd Calendar'!$AB$700)=0,"",IF(('Dvd Calendar'!$AB$700&gt;=GRID_FROM)*('Dvd Calendar'!$AB$700&lt;=GRID_TO)*('Dvd Calendar'!$AB$700&gt;VAL_DATE)=0,"",'Dvd Calendar'!$AB$700*1000000000+ISNUMBER('Dvd Calendar'!$AB$701)*100000000+0*10000000+(N('Dvd Calendar'!$AB$699)&gt;0)*(N('Dvd Calendar'!$AB$699)&lt;=VAL_SERIAL)*1000000+63*1000+64))</f>
        <v/>
      </c>
      <c r="GQ74" s="121">
        <f>IF(N('Dvd Calendar'!$AC$700)=0,"",IF(('Dvd Calendar'!$AC$700&gt;=GRID_FROM)*('Dvd Calendar'!$AC$700&lt;=GRID_TO)*('Dvd Calendar'!$AC$700&gt;VAL_DATE)=0,"",'Dvd Calendar'!$AC$700*1000000000+ISNUMBER('Dvd Calendar'!$AC$701)*100000000+0*10000000+(N('Dvd Calendar'!$AC$699)&gt;0)*(N('Dvd Calendar'!$AC$699)&lt;=VAL_SERIAL)*1000000+63*1000+65))</f>
        <v/>
      </c>
    </row>
    <row r="75">
      <c r="B75" s="2">
        <f>IF(HSI!$C$70="","",HSI!$C$70)</f>
        <v/>
      </c>
      <c r="C75" s="161">
        <f>IF(EE75="","",IF(ISNUMBER('Dvd Calendar'!$E$707)=FALSE,"",IF((('Dvd Calendar'!$E$709=TYPE1)*(TYPE1&lt;&gt;"")+('Dvd Calendar'!$E$709=TYPE2)*(TYPE2&lt;&gt;"")+('Dvd Calendar'!$E$709=TYPE3)*(TYPE3&lt;&gt;"")+('Dvd Calendar'!$E$709=TYPE4)*(TYPE4&lt;&gt;"")+('Dvd Calendar'!$E$709=SPECIAL_LBL)*(INC_SPECIALS="Y"))=0,"",'Dvd Calendar'!$E$707)))</f>
        <v/>
      </c>
      <c r="D75" s="161">
        <f>IF(EF75="","",IF(ISNUMBER('Dvd Calendar'!$F$707)=FALSE,"",IF((('Dvd Calendar'!$F$709=TYPE1)*(TYPE1&lt;&gt;"")+('Dvd Calendar'!$F$709=TYPE2)*(TYPE2&lt;&gt;"")+('Dvd Calendar'!$F$709=TYPE3)*(TYPE3&lt;&gt;"")+('Dvd Calendar'!$F$709=TYPE4)*(TYPE4&lt;&gt;"")+('Dvd Calendar'!$F$709=SPECIAL_LBL)*(INC_SPECIALS="Y"))=0,"",'Dvd Calendar'!$F$707)))</f>
        <v/>
      </c>
      <c r="E75" s="161">
        <f>IF(EG75="","",IF(ISNUMBER('Dvd Calendar'!$G$707)=FALSE,"",IF((('Dvd Calendar'!$G$709=TYPE1)*(TYPE1&lt;&gt;"")+('Dvd Calendar'!$G$709=TYPE2)*(TYPE2&lt;&gt;"")+('Dvd Calendar'!$G$709=TYPE3)*(TYPE3&lt;&gt;"")+('Dvd Calendar'!$G$709=TYPE4)*(TYPE4&lt;&gt;"")+('Dvd Calendar'!$G$709=SPECIAL_LBL)*(INC_SPECIALS="Y"))=0,"",'Dvd Calendar'!$G$707)))</f>
        <v/>
      </c>
      <c r="F75" s="161">
        <f>IF(EH75="","",IF(ISNUMBER('Dvd Calendar'!$H$707)=FALSE,"",IF((('Dvd Calendar'!$H$709=TYPE1)*(TYPE1&lt;&gt;"")+('Dvd Calendar'!$H$709=TYPE2)*(TYPE2&lt;&gt;"")+('Dvd Calendar'!$H$709=TYPE3)*(TYPE3&lt;&gt;"")+('Dvd Calendar'!$H$709=TYPE4)*(TYPE4&lt;&gt;"")+('Dvd Calendar'!$H$709=SPECIAL_LBL)*(INC_SPECIALS="Y"))=0,"",'Dvd Calendar'!$H$707)))</f>
        <v/>
      </c>
      <c r="G75" s="161">
        <f>IF(EI75="","",IF(ISNUMBER('Dvd Calendar'!$I$707)=FALSE,"",IF((('Dvd Calendar'!$I$709=TYPE1)*(TYPE1&lt;&gt;"")+('Dvd Calendar'!$I$709=TYPE2)*(TYPE2&lt;&gt;"")+('Dvd Calendar'!$I$709=TYPE3)*(TYPE3&lt;&gt;"")+('Dvd Calendar'!$I$709=TYPE4)*(TYPE4&lt;&gt;"")+('Dvd Calendar'!$I$709=SPECIAL_LBL)*(INC_SPECIALS="Y"))=0,"",'Dvd Calendar'!$I$707)))</f>
        <v/>
      </c>
      <c r="H75" s="161">
        <f>IF(EJ75="","",IF(ISNUMBER('Dvd Calendar'!$J$707)=FALSE,"",IF((('Dvd Calendar'!$J$709=TYPE1)*(TYPE1&lt;&gt;"")+('Dvd Calendar'!$J$709=TYPE2)*(TYPE2&lt;&gt;"")+('Dvd Calendar'!$J$709=TYPE3)*(TYPE3&lt;&gt;"")+('Dvd Calendar'!$J$709=TYPE4)*(TYPE4&lt;&gt;"")+('Dvd Calendar'!$J$709=SPECIAL_LBL)*(INC_SPECIALS="Y"))=0,"",'Dvd Calendar'!$J$707)))</f>
        <v/>
      </c>
      <c r="I75" s="161">
        <f>IF(EK75="","",IF(ISNUMBER('Dvd Calendar'!$K$707)=FALSE,"",IF((('Dvd Calendar'!$K$709=TYPE1)*(TYPE1&lt;&gt;"")+('Dvd Calendar'!$K$709=TYPE2)*(TYPE2&lt;&gt;"")+('Dvd Calendar'!$K$709=TYPE3)*(TYPE3&lt;&gt;"")+('Dvd Calendar'!$K$709=TYPE4)*(TYPE4&lt;&gt;"")+('Dvd Calendar'!$K$709=SPECIAL_LBL)*(INC_SPECIALS="Y"))=0,"",'Dvd Calendar'!$K$707)))</f>
        <v/>
      </c>
      <c r="J75" s="161">
        <f>IF(EL75="","",IF(ISNUMBER('Dvd Calendar'!$L$707)=FALSE,"",IF((('Dvd Calendar'!$L$709=TYPE1)*(TYPE1&lt;&gt;"")+('Dvd Calendar'!$L$709=TYPE2)*(TYPE2&lt;&gt;"")+('Dvd Calendar'!$L$709=TYPE3)*(TYPE3&lt;&gt;"")+('Dvd Calendar'!$L$709=TYPE4)*(TYPE4&lt;&gt;"")+('Dvd Calendar'!$L$709=SPECIAL_LBL)*(INC_SPECIALS="Y"))=0,"",'Dvd Calendar'!$L$707)))</f>
        <v/>
      </c>
      <c r="K75" s="161">
        <f>IF(EM75="","",IF(ISNUMBER('Dvd Calendar'!$M$707)=FALSE,"",IF((('Dvd Calendar'!$M$709=TYPE1)*(TYPE1&lt;&gt;"")+('Dvd Calendar'!$M$709=TYPE2)*(TYPE2&lt;&gt;"")+('Dvd Calendar'!$M$709=TYPE3)*(TYPE3&lt;&gt;"")+('Dvd Calendar'!$M$709=TYPE4)*(TYPE4&lt;&gt;"")+('Dvd Calendar'!$M$709=SPECIAL_LBL)*(INC_SPECIALS="Y"))=0,"",'Dvd Calendar'!$M$707)))</f>
        <v/>
      </c>
      <c r="L75" s="161">
        <f>IF(EN75="","",IF(ISNUMBER('Dvd Calendar'!$N$707)=FALSE,"",IF((('Dvd Calendar'!$N$709=TYPE1)*(TYPE1&lt;&gt;"")+('Dvd Calendar'!$N$709=TYPE2)*(TYPE2&lt;&gt;"")+('Dvd Calendar'!$N$709=TYPE3)*(TYPE3&lt;&gt;"")+('Dvd Calendar'!$N$709=TYPE4)*(TYPE4&lt;&gt;"")+('Dvd Calendar'!$N$709=SPECIAL_LBL)*(INC_SPECIALS="Y"))=0,"",'Dvd Calendar'!$N$707)))</f>
        <v/>
      </c>
      <c r="M75" s="161">
        <f>IF(EO75="","",IF(ISNUMBER('Dvd Calendar'!$O$707)=FALSE,"",IF((('Dvd Calendar'!$O$709=TYPE1)*(TYPE1&lt;&gt;"")+('Dvd Calendar'!$O$709=TYPE2)*(TYPE2&lt;&gt;"")+('Dvd Calendar'!$O$709=TYPE3)*(TYPE3&lt;&gt;"")+('Dvd Calendar'!$O$709=TYPE4)*(TYPE4&lt;&gt;"")+('Dvd Calendar'!$O$709=SPECIAL_LBL)*(INC_SPECIALS="Y"))=0,"",'Dvd Calendar'!$O$707)))</f>
        <v/>
      </c>
      <c r="N75" s="161">
        <f>IF(EP75="","",IF(ISNUMBER('Dvd Calendar'!$P$707)=FALSE,"",IF((('Dvd Calendar'!$P$709=TYPE1)*(TYPE1&lt;&gt;"")+('Dvd Calendar'!$P$709=TYPE2)*(TYPE2&lt;&gt;"")+('Dvd Calendar'!$P$709=TYPE3)*(TYPE3&lt;&gt;"")+('Dvd Calendar'!$P$709=TYPE4)*(TYPE4&lt;&gt;"")+('Dvd Calendar'!$P$709=SPECIAL_LBL)*(INC_SPECIALS="Y"))=0,"",'Dvd Calendar'!$P$707)))</f>
        <v/>
      </c>
      <c r="O75" s="161">
        <f>IF(EQ75="","",IF(ISNUMBER('Dvd Calendar'!$Q$707)=FALSE,"",IF((('Dvd Calendar'!$Q$709=TYPE1)*(TYPE1&lt;&gt;"")+('Dvd Calendar'!$Q$709=TYPE2)*(TYPE2&lt;&gt;"")+('Dvd Calendar'!$Q$709=TYPE3)*(TYPE3&lt;&gt;"")+('Dvd Calendar'!$Q$709=TYPE4)*(TYPE4&lt;&gt;"")+('Dvd Calendar'!$Q$709=SPECIAL_LBL)*(INC_SPECIALS="Y"))=0,"",'Dvd Calendar'!$Q$707)))</f>
        <v/>
      </c>
      <c r="P75" s="161">
        <f>IF(ER75="","",IF(ISNUMBER('Dvd Calendar'!$R$707)=FALSE,"",IF((('Dvd Calendar'!$R$709=TYPE1)*(TYPE1&lt;&gt;"")+('Dvd Calendar'!$R$709=TYPE2)*(TYPE2&lt;&gt;"")+('Dvd Calendar'!$R$709=TYPE3)*(TYPE3&lt;&gt;"")+('Dvd Calendar'!$R$709=TYPE4)*(TYPE4&lt;&gt;"")+('Dvd Calendar'!$R$709=SPECIAL_LBL)*(INC_SPECIALS="Y"))=0,"",'Dvd Calendar'!$R$707)))</f>
        <v/>
      </c>
      <c r="Q75" s="161">
        <f>IF(ES75="","",IF(ISNUMBER('Dvd Calendar'!$S$707)=FALSE,"",IF((('Dvd Calendar'!$S$709=TYPE1)*(TYPE1&lt;&gt;"")+('Dvd Calendar'!$S$709=TYPE2)*(TYPE2&lt;&gt;"")+('Dvd Calendar'!$S$709=TYPE3)*(TYPE3&lt;&gt;"")+('Dvd Calendar'!$S$709=TYPE4)*(TYPE4&lt;&gt;"")+('Dvd Calendar'!$S$709=SPECIAL_LBL)*(INC_SPECIALS="Y"))=0,"",'Dvd Calendar'!$S$707)))</f>
        <v/>
      </c>
      <c r="R75" s="161">
        <f>IF(ET75="","",IF(ISNUMBER('Dvd Calendar'!$T$707)=FALSE,"",IF((('Dvd Calendar'!$T$709=TYPE1)*(TYPE1&lt;&gt;"")+('Dvd Calendar'!$T$709=TYPE2)*(TYPE2&lt;&gt;"")+('Dvd Calendar'!$T$709=TYPE3)*(TYPE3&lt;&gt;"")+('Dvd Calendar'!$T$709=TYPE4)*(TYPE4&lt;&gt;"")+('Dvd Calendar'!$T$709=SPECIAL_LBL)*(INC_SPECIALS="Y"))=0,"",'Dvd Calendar'!$T$707)))</f>
        <v/>
      </c>
      <c r="S75" s="161">
        <f>IF(EU75="","",IF(ISNUMBER('Dvd Calendar'!$U$707)=FALSE,"",IF((('Dvd Calendar'!$U$709=TYPE1)*(TYPE1&lt;&gt;"")+('Dvd Calendar'!$U$709=TYPE2)*(TYPE2&lt;&gt;"")+('Dvd Calendar'!$U$709=TYPE3)*(TYPE3&lt;&gt;"")+('Dvd Calendar'!$U$709=TYPE4)*(TYPE4&lt;&gt;"")+('Dvd Calendar'!$U$709=SPECIAL_LBL)*(INC_SPECIALS="Y"))=0,"",'Dvd Calendar'!$U$707)))</f>
        <v/>
      </c>
      <c r="T75" s="161">
        <f>IF(EV75="","",IF(ISNUMBER('Dvd Calendar'!$V$707)=FALSE,"",IF((('Dvd Calendar'!$V$709=TYPE1)*(TYPE1&lt;&gt;"")+('Dvd Calendar'!$V$709=TYPE2)*(TYPE2&lt;&gt;"")+('Dvd Calendar'!$V$709=TYPE3)*(TYPE3&lt;&gt;"")+('Dvd Calendar'!$V$709=TYPE4)*(TYPE4&lt;&gt;"")+('Dvd Calendar'!$V$709=SPECIAL_LBL)*(INC_SPECIALS="Y"))=0,"",'Dvd Calendar'!$V$707)))</f>
        <v/>
      </c>
      <c r="U75" s="161">
        <f>IF(EW75="","",IF(ISNUMBER('Dvd Calendar'!$W$707)=FALSE,"",IF((('Dvd Calendar'!$W$709=TYPE1)*(TYPE1&lt;&gt;"")+('Dvd Calendar'!$W$709=TYPE2)*(TYPE2&lt;&gt;"")+('Dvd Calendar'!$W$709=TYPE3)*(TYPE3&lt;&gt;"")+('Dvd Calendar'!$W$709=TYPE4)*(TYPE4&lt;&gt;"")+('Dvd Calendar'!$W$709=SPECIAL_LBL)*(INC_SPECIALS="Y"))=0,"",'Dvd Calendar'!$W$707)))</f>
        <v/>
      </c>
      <c r="V75" s="161">
        <f>IF(EX75="","",IF(ISNUMBER('Dvd Calendar'!$X$707)=FALSE,"",IF((('Dvd Calendar'!$X$709=TYPE1)*(TYPE1&lt;&gt;"")+('Dvd Calendar'!$X$709=TYPE2)*(TYPE2&lt;&gt;"")+('Dvd Calendar'!$X$709=TYPE3)*(TYPE3&lt;&gt;"")+('Dvd Calendar'!$X$709=TYPE4)*(TYPE4&lt;&gt;"")+('Dvd Calendar'!$X$709=SPECIAL_LBL)*(INC_SPECIALS="Y"))=0,"",'Dvd Calendar'!$X$707)))</f>
        <v/>
      </c>
      <c r="W75" s="161">
        <f>IF(EY75="","",IF(ISNUMBER('Dvd Calendar'!$Y$707)=FALSE,"",IF((('Dvd Calendar'!$Y$709=TYPE1)*(TYPE1&lt;&gt;"")+('Dvd Calendar'!$Y$709=TYPE2)*(TYPE2&lt;&gt;"")+('Dvd Calendar'!$Y$709=TYPE3)*(TYPE3&lt;&gt;"")+('Dvd Calendar'!$Y$709=TYPE4)*(TYPE4&lt;&gt;"")+('Dvd Calendar'!$Y$709=SPECIAL_LBL)*(INC_SPECIALS="Y"))=0,"",'Dvd Calendar'!$Y$707)))</f>
        <v/>
      </c>
      <c r="X75" s="161">
        <f>IF(EZ75="","",IF(ISNUMBER('Dvd Calendar'!$Z$707)=FALSE,"",IF((('Dvd Calendar'!$Z$709=TYPE1)*(TYPE1&lt;&gt;"")+('Dvd Calendar'!$Z$709=TYPE2)*(TYPE2&lt;&gt;"")+('Dvd Calendar'!$Z$709=TYPE3)*(TYPE3&lt;&gt;"")+('Dvd Calendar'!$Z$709=TYPE4)*(TYPE4&lt;&gt;"")+('Dvd Calendar'!$Z$709=SPECIAL_LBL)*(INC_SPECIALS="Y"))=0,"",'Dvd Calendar'!$Z$707)))</f>
        <v/>
      </c>
      <c r="Y75" s="161">
        <f>IF(FA75="","",IF(ISNUMBER('Dvd Calendar'!$AA$707)=FALSE,"",IF((('Dvd Calendar'!$AA$709=TYPE1)*(TYPE1&lt;&gt;"")+('Dvd Calendar'!$AA$709=TYPE2)*(TYPE2&lt;&gt;"")+('Dvd Calendar'!$AA$709=TYPE3)*(TYPE3&lt;&gt;"")+('Dvd Calendar'!$AA$709=TYPE4)*(TYPE4&lt;&gt;"")+('Dvd Calendar'!$AA$709=SPECIAL_LBL)*(INC_SPECIALS="Y"))=0,"",'Dvd Calendar'!$AA$707)))</f>
        <v/>
      </c>
      <c r="Z75" s="161">
        <f>IF(FB75="","",IF(ISNUMBER('Dvd Calendar'!$AB$707)=FALSE,"",IF((('Dvd Calendar'!$AB$709=TYPE1)*(TYPE1&lt;&gt;"")+('Dvd Calendar'!$AB$709=TYPE2)*(TYPE2&lt;&gt;"")+('Dvd Calendar'!$AB$709=TYPE3)*(TYPE3&lt;&gt;"")+('Dvd Calendar'!$AB$709=TYPE4)*(TYPE4&lt;&gt;"")+('Dvd Calendar'!$AB$709=SPECIAL_LBL)*(INC_SPECIALS="Y"))=0,"",'Dvd Calendar'!$AB$707)))</f>
        <v/>
      </c>
      <c r="AA75" s="161">
        <f>IF(FC75="","",IF(ISNUMBER('Dvd Calendar'!$AC$707)=FALSE,"",IF((('Dvd Calendar'!$AC$709=TYPE1)*(TYPE1&lt;&gt;"")+('Dvd Calendar'!$AC$709=TYPE2)*(TYPE2&lt;&gt;"")+('Dvd Calendar'!$AC$709=TYPE3)*(TYPE3&lt;&gt;"")+('Dvd Calendar'!$AC$709=TYPE4)*(TYPE4&lt;&gt;"")+('Dvd Calendar'!$AC$709=SPECIAL_LBL)*(INC_SPECIALS="Y"))=0,"",'Dvd Calendar'!$AC$707)))</f>
        <v/>
      </c>
      <c r="AB75" s="161">
        <f>IF(FD75="","",IF(ISNUMBER('Dvd Calendar'!$AD$707)=FALSE,"",IF((('Dvd Calendar'!$AD$709=TYPE1)*(TYPE1&lt;&gt;"")+('Dvd Calendar'!$AD$709=TYPE2)*(TYPE2&lt;&gt;"")+('Dvd Calendar'!$AD$709=TYPE3)*(TYPE3&lt;&gt;"")+('Dvd Calendar'!$AD$709=TYPE4)*(TYPE4&lt;&gt;"")+('Dvd Calendar'!$AD$709=SPECIAL_LBL)*(INC_SPECIALS="Y"))=0,"",'Dvd Calendar'!$AD$707)))</f>
        <v/>
      </c>
      <c r="AC75" s="161">
        <f>IF(FE75="","",IF(ISNUMBER('Dvd Calendar'!$AE$707)=FALSE,"",IF((('Dvd Calendar'!$AE$709=TYPE1)*(TYPE1&lt;&gt;"")+('Dvd Calendar'!$AE$709=TYPE2)*(TYPE2&lt;&gt;"")+('Dvd Calendar'!$AE$709=TYPE3)*(TYPE3&lt;&gt;"")+('Dvd Calendar'!$AE$709=TYPE4)*(TYPE4&lt;&gt;"")+('Dvd Calendar'!$AE$709=SPECIAL_LBL)*(INC_SPECIALS="Y"))=0,"",'Dvd Calendar'!$AE$707)))</f>
        <v/>
      </c>
      <c r="AD75" s="161">
        <f>IF(FF75="","",IF(ISNUMBER('Dvd Calendar'!$AF$707)=FALSE,"",IF((('Dvd Calendar'!$AF$709=TYPE1)*(TYPE1&lt;&gt;"")+('Dvd Calendar'!$AF$709=TYPE2)*(TYPE2&lt;&gt;"")+('Dvd Calendar'!$AF$709=TYPE3)*(TYPE3&lt;&gt;"")+('Dvd Calendar'!$AF$709=TYPE4)*(TYPE4&lt;&gt;"")+('Dvd Calendar'!$AF$709=SPECIAL_LBL)*(INC_SPECIALS="Y"))=0,"",'Dvd Calendar'!$AF$707)))</f>
        <v/>
      </c>
      <c r="AE75" s="161">
        <f>IF(FG75="","",IF(ISNUMBER('Dvd Calendar'!$AG$707)=FALSE,"",IF((('Dvd Calendar'!$AG$709=TYPE1)*(TYPE1&lt;&gt;"")+('Dvd Calendar'!$AG$709=TYPE2)*(TYPE2&lt;&gt;"")+('Dvd Calendar'!$AG$709=TYPE3)*(TYPE3&lt;&gt;"")+('Dvd Calendar'!$AG$709=TYPE4)*(TYPE4&lt;&gt;"")+('Dvd Calendar'!$AG$709=SPECIAL_LBL)*(INC_SPECIALS="Y"))=0,"",'Dvd Calendar'!$AG$707)))</f>
        <v/>
      </c>
      <c r="AF75" s="161">
        <f>IF(FH75="","",IF(ISNUMBER('Dvd Calendar'!$AH$707)=FALSE,"",IF((('Dvd Calendar'!$AH$709=TYPE1)*(TYPE1&lt;&gt;"")+('Dvd Calendar'!$AH$709=TYPE2)*(TYPE2&lt;&gt;"")+('Dvd Calendar'!$AH$709=TYPE3)*(TYPE3&lt;&gt;"")+('Dvd Calendar'!$AH$709=TYPE4)*(TYPE4&lt;&gt;"")+('Dvd Calendar'!$AH$709=SPECIAL_LBL)*(INC_SPECIALS="Y"))=0,"",'Dvd Calendar'!$AH$707)))</f>
        <v/>
      </c>
      <c r="AG75" s="161">
        <f>IF(FI75="","",IF(ISNUMBER('Dvd Calendar'!$AI$707)=FALSE,"",IF((('Dvd Calendar'!$AI$709=TYPE1)*(TYPE1&lt;&gt;"")+('Dvd Calendar'!$AI$709=TYPE2)*(TYPE2&lt;&gt;"")+('Dvd Calendar'!$AI$709=TYPE3)*(TYPE3&lt;&gt;"")+('Dvd Calendar'!$AI$709=TYPE4)*(TYPE4&lt;&gt;"")+('Dvd Calendar'!$AI$709=SPECIAL_LBL)*(INC_SPECIALS="Y"))=0,"",'Dvd Calendar'!$AI$707)))</f>
        <v/>
      </c>
      <c r="AH75" s="161">
        <f>IF(FJ75="","",IF(ISNUMBER('Dvd Calendar'!$AJ$707)=FALSE,"",IF((('Dvd Calendar'!$AJ$709=TYPE1)*(TYPE1&lt;&gt;"")+('Dvd Calendar'!$AJ$709=TYPE2)*(TYPE2&lt;&gt;"")+('Dvd Calendar'!$AJ$709=TYPE3)*(TYPE3&lt;&gt;"")+('Dvd Calendar'!$AJ$709=TYPE4)*(TYPE4&lt;&gt;"")+('Dvd Calendar'!$AJ$709=SPECIAL_LBL)*(INC_SPECIALS="Y"))=0,"",'Dvd Calendar'!$AJ$707)))</f>
        <v/>
      </c>
      <c r="AI75" s="161">
        <f>IF(FK75="","",IF(ISNUMBER('Dvd Calendar'!$AK$707)=FALSE,"",IF((('Dvd Calendar'!$AK$709=TYPE1)*(TYPE1&lt;&gt;"")+('Dvd Calendar'!$AK$709=TYPE2)*(TYPE2&lt;&gt;"")+('Dvd Calendar'!$AK$709=TYPE3)*(TYPE3&lt;&gt;"")+('Dvd Calendar'!$AK$709=TYPE4)*(TYPE4&lt;&gt;"")+('Dvd Calendar'!$AK$709=SPECIAL_LBL)*(INC_SPECIALS="Y"))=0,"",'Dvd Calendar'!$AK$707)))</f>
        <v/>
      </c>
      <c r="AJ75" s="161">
        <f>IF(FL75="","",IF(ISNUMBER('Dvd Calendar'!$AL$707)=FALSE,"",IF((('Dvd Calendar'!$AL$709=TYPE1)*(TYPE1&lt;&gt;"")+('Dvd Calendar'!$AL$709=TYPE2)*(TYPE2&lt;&gt;"")+('Dvd Calendar'!$AL$709=TYPE3)*(TYPE3&lt;&gt;"")+('Dvd Calendar'!$AL$709=TYPE4)*(TYPE4&lt;&gt;"")+('Dvd Calendar'!$AL$709=SPECIAL_LBL)*(INC_SPECIALS="Y"))=0,"",'Dvd Calendar'!$AL$707)))</f>
        <v/>
      </c>
      <c r="AK75" s="161">
        <f>IF(FM75="","",IF(ISNUMBER('Dvd Calendar'!$AM$707)=FALSE,"",IF((('Dvd Calendar'!$AM$709=TYPE1)*(TYPE1&lt;&gt;"")+('Dvd Calendar'!$AM$709=TYPE2)*(TYPE2&lt;&gt;"")+('Dvd Calendar'!$AM$709=TYPE3)*(TYPE3&lt;&gt;"")+('Dvd Calendar'!$AM$709=TYPE4)*(TYPE4&lt;&gt;"")+('Dvd Calendar'!$AM$709=SPECIAL_LBL)*(INC_SPECIALS="Y"))=0,"",'Dvd Calendar'!$AM$707)))</f>
        <v/>
      </c>
      <c r="AL75" s="161">
        <f>IF(FN75="","",IF(ISNUMBER('Dvd Calendar'!$AN$707)=FALSE,"",IF((('Dvd Calendar'!$AN$709=TYPE1)*(TYPE1&lt;&gt;"")+('Dvd Calendar'!$AN$709=TYPE2)*(TYPE2&lt;&gt;"")+('Dvd Calendar'!$AN$709=TYPE3)*(TYPE3&lt;&gt;"")+('Dvd Calendar'!$AN$709=TYPE4)*(TYPE4&lt;&gt;"")+('Dvd Calendar'!$AN$709=SPECIAL_LBL)*(INC_SPECIALS="Y"))=0,"",'Dvd Calendar'!$AN$707)))</f>
        <v/>
      </c>
      <c r="AM75" s="161">
        <f>IF(FO75="","",IF(ISNUMBER('Dvd Calendar'!$AO$707)=FALSE,"",IF((('Dvd Calendar'!$AO$709=TYPE1)*(TYPE1&lt;&gt;"")+('Dvd Calendar'!$AO$709=TYPE2)*(TYPE2&lt;&gt;"")+('Dvd Calendar'!$AO$709=TYPE3)*(TYPE3&lt;&gt;"")+('Dvd Calendar'!$AO$709=TYPE4)*(TYPE4&lt;&gt;"")+('Dvd Calendar'!$AO$709=SPECIAL_LBL)*(INC_SPECIALS="Y"))=0,"",'Dvd Calendar'!$AO$707)))</f>
        <v/>
      </c>
      <c r="AN75" s="161">
        <f>IF(FP75="","",IF(ISNUMBER('Dvd Calendar'!$AP$707)=FALSE,"",IF((('Dvd Calendar'!$AP$709=TYPE1)*(TYPE1&lt;&gt;"")+('Dvd Calendar'!$AP$709=TYPE2)*(TYPE2&lt;&gt;"")+('Dvd Calendar'!$AP$709=TYPE3)*(TYPE3&lt;&gt;"")+('Dvd Calendar'!$AP$709=TYPE4)*(TYPE4&lt;&gt;"")+('Dvd Calendar'!$AP$709=SPECIAL_LBL)*(INC_SPECIALS="Y"))=0,"",'Dvd Calendar'!$AP$707)))</f>
        <v/>
      </c>
      <c r="AO75" s="161">
        <f>IF(FQ75="","",IF(ISNUMBER('Dvd Calendar'!$AQ$707)=FALSE,"",IF((('Dvd Calendar'!$AQ$709=TYPE1)*(TYPE1&lt;&gt;"")+('Dvd Calendar'!$AQ$709=TYPE2)*(TYPE2&lt;&gt;"")+('Dvd Calendar'!$AQ$709=TYPE3)*(TYPE3&lt;&gt;"")+('Dvd Calendar'!$AQ$709=TYPE4)*(TYPE4&lt;&gt;"")+('Dvd Calendar'!$AQ$709=SPECIAL_LBL)*(INC_SPECIALS="Y"))=0,"",'Dvd Calendar'!$AQ$707)))</f>
        <v/>
      </c>
      <c r="AP75" s="161">
        <f>IF(FR75="","",IF(ISNUMBER('Dvd Calendar'!$AR$707)=FALSE,"",IF((('Dvd Calendar'!$AR$709=TYPE1)*(TYPE1&lt;&gt;"")+('Dvd Calendar'!$AR$709=TYPE2)*(TYPE2&lt;&gt;"")+('Dvd Calendar'!$AR$709=TYPE3)*(TYPE3&lt;&gt;"")+('Dvd Calendar'!$AR$709=TYPE4)*(TYPE4&lt;&gt;"")+('Dvd Calendar'!$AR$709=SPECIAL_LBL)*(INC_SPECIALS="Y"))=0,"",'Dvd Calendar'!$AR$707)))</f>
        <v/>
      </c>
      <c r="AQ75" s="161">
        <f>IF(FS75="","",IF(ISNUMBER('Dvd Calendar'!$E$712)=FALSE,"",'Dvd Calendar'!$E$712))</f>
        <v/>
      </c>
      <c r="AR75" s="161">
        <f>IF(FT75="","",IF(ISNUMBER('Dvd Calendar'!$F$712)=FALSE,"",'Dvd Calendar'!$F$712))</f>
        <v/>
      </c>
      <c r="AS75" s="161">
        <f>IF(FU75="","",IF(ISNUMBER('Dvd Calendar'!$G$712)=FALSE,"",'Dvd Calendar'!$G$712))</f>
        <v/>
      </c>
      <c r="AT75" s="161">
        <f>IF(FV75="","",IF(ISNUMBER('Dvd Calendar'!$H$712)=FALSE,"",'Dvd Calendar'!$H$712))</f>
        <v/>
      </c>
      <c r="AU75" s="161">
        <f>IF(FW75="","",IF(ISNUMBER('Dvd Calendar'!$I$712)=FALSE,"",'Dvd Calendar'!$I$712))</f>
        <v/>
      </c>
      <c r="AV75" s="161">
        <f>IF(FX75="","",IF(ISNUMBER('Dvd Calendar'!$J$712)=FALSE,"",'Dvd Calendar'!$J$712))</f>
        <v/>
      </c>
      <c r="AW75" s="161">
        <f>IF(FY75="","",IF(ISNUMBER('Dvd Calendar'!$K$712)=FALSE,"",'Dvd Calendar'!$K$712))</f>
        <v/>
      </c>
      <c r="AX75" s="161">
        <f>IF(FZ75="","",IF(ISNUMBER('Dvd Calendar'!$L$712)=FALSE,"",'Dvd Calendar'!$L$712))</f>
        <v/>
      </c>
      <c r="AY75" s="161">
        <f>IF(GA75="","",IF(ISNUMBER('Dvd Calendar'!$M$712)=FALSE,"",'Dvd Calendar'!$M$712))</f>
        <v/>
      </c>
      <c r="AZ75" s="161">
        <f>IF(GB75="","",IF(ISNUMBER('Dvd Calendar'!$N$712)=FALSE,"",'Dvd Calendar'!$N$712))</f>
        <v/>
      </c>
      <c r="BA75" s="161">
        <f>IF(GC75="","",IF(ISNUMBER('Dvd Calendar'!$O$712)=FALSE,"",'Dvd Calendar'!$O$712))</f>
        <v/>
      </c>
      <c r="BB75" s="161">
        <f>IF(GD75="","",IF(ISNUMBER('Dvd Calendar'!$P$712)=FALSE,"",'Dvd Calendar'!$P$712))</f>
        <v/>
      </c>
      <c r="BC75" s="161">
        <f>IF(GE75="","",IF(ISNUMBER('Dvd Calendar'!$Q$712)=FALSE,"",'Dvd Calendar'!$Q$712))</f>
        <v/>
      </c>
      <c r="BD75" s="161">
        <f>IF(GF75="","",IF(ISNUMBER('Dvd Calendar'!$R$712)=FALSE,"",'Dvd Calendar'!$R$712))</f>
        <v/>
      </c>
      <c r="BE75" s="161">
        <f>IF(GG75="","",IF(ISNUMBER('Dvd Calendar'!$S$712)=FALSE,"",'Dvd Calendar'!$S$712))</f>
        <v/>
      </c>
      <c r="BF75" s="161">
        <f>IF(GH75="","",IF(ISNUMBER('Dvd Calendar'!$T$712)=FALSE,"",'Dvd Calendar'!$T$712))</f>
        <v/>
      </c>
      <c r="BG75" s="161">
        <f>IF(GI75="","",IF(ISNUMBER('Dvd Calendar'!$U$712)=FALSE,"",'Dvd Calendar'!$U$712))</f>
        <v/>
      </c>
      <c r="BH75" s="161">
        <f>IF(GJ75="","",IF(ISNUMBER('Dvd Calendar'!$V$712)=FALSE,"",'Dvd Calendar'!$V$712))</f>
        <v/>
      </c>
      <c r="BI75" s="161">
        <f>IF(GK75="","",IF(ISNUMBER('Dvd Calendar'!$W$712)=FALSE,"",'Dvd Calendar'!$W$712))</f>
        <v/>
      </c>
      <c r="BJ75" s="161">
        <f>IF(GL75="","",IF(ISNUMBER('Dvd Calendar'!$X$712)=FALSE,"",'Dvd Calendar'!$X$712))</f>
        <v/>
      </c>
      <c r="BK75" s="161">
        <f>IF(GM75="","",IF(ISNUMBER('Dvd Calendar'!$Y$712)=FALSE,"",'Dvd Calendar'!$Y$712))</f>
        <v/>
      </c>
      <c r="BL75" s="161">
        <f>IF(GN75="","",IF(ISNUMBER('Dvd Calendar'!$Z$712)=FALSE,"",'Dvd Calendar'!$Z$712))</f>
        <v/>
      </c>
      <c r="BM75" s="161">
        <f>IF(GO75="","",IF(ISNUMBER('Dvd Calendar'!$AA$712)=FALSE,"",'Dvd Calendar'!$AA$712))</f>
        <v/>
      </c>
      <c r="BN75" s="161">
        <f>IF(GP75="","",IF(ISNUMBER('Dvd Calendar'!$AB$712)=FALSE,"",'Dvd Calendar'!$AB$712))</f>
        <v/>
      </c>
      <c r="BO75" s="161">
        <f>IF(GQ75="","",IF(ISNUMBER('Dvd Calendar'!$AC$712)=FALSE,"",'Dvd Calendar'!$AC$712))</f>
        <v/>
      </c>
      <c r="BQ75" s="161">
        <f>IF(C75="","",IFERROR(C75*HSI!$B$70*HSI!$G$70/HSI!$B$3,""))</f>
        <v/>
      </c>
      <c r="BR75" s="161">
        <f>IF(D75="","",IFERROR(D75*HSI!$B$70*HSI!$G$70/HSI!$B$3,""))</f>
        <v/>
      </c>
      <c r="BS75" s="161">
        <f>IF(E75="","",IFERROR(E75*HSI!$B$70*HSI!$G$70/HSI!$B$3,""))</f>
        <v/>
      </c>
      <c r="BT75" s="161">
        <f>IF(F75="","",IFERROR(F75*HSI!$B$70*HSI!$G$70/HSI!$B$3,""))</f>
        <v/>
      </c>
      <c r="BU75" s="161">
        <f>IF(G75="","",IFERROR(G75*HSI!$B$70*HSI!$G$70/HSI!$B$3,""))</f>
        <v/>
      </c>
      <c r="BV75" s="161">
        <f>IF(H75="","",IFERROR(H75*HSI!$B$70*HSI!$G$70/HSI!$B$3,""))</f>
        <v/>
      </c>
      <c r="BW75" s="161">
        <f>IF(I75="","",IFERROR(I75*HSI!$B$70*HSI!$G$70/HSI!$B$3,""))</f>
        <v/>
      </c>
      <c r="BX75" s="161">
        <f>IF(J75="","",IFERROR(J75*HSI!$B$70*HSI!$G$70/HSI!$B$3,""))</f>
        <v/>
      </c>
      <c r="BY75" s="161">
        <f>IF(K75="","",IFERROR(K75*HSI!$B$70*HSI!$G$70/HSI!$B$3,""))</f>
        <v/>
      </c>
      <c r="BZ75" s="161">
        <f>IF(L75="","",IFERROR(L75*HSI!$B$70*HSI!$G$70/HSI!$B$3,""))</f>
        <v/>
      </c>
      <c r="CA75" s="161">
        <f>IF(M75="","",IFERROR(M75*HSI!$B$70*HSI!$G$70/HSI!$B$3,""))</f>
        <v/>
      </c>
      <c r="CB75" s="161">
        <f>IF(N75="","",IFERROR(N75*HSI!$B$70*HSI!$G$70/HSI!$B$3,""))</f>
        <v/>
      </c>
      <c r="CC75" s="161">
        <f>IF(O75="","",IFERROR(O75*HSI!$B$70*HSI!$G$70/HSI!$B$3,""))</f>
        <v/>
      </c>
      <c r="CD75" s="161">
        <f>IF(P75="","",IFERROR(P75*HSI!$B$70*HSI!$G$70/HSI!$B$3,""))</f>
        <v/>
      </c>
      <c r="CE75" s="161">
        <f>IF(Q75="","",IFERROR(Q75*HSI!$B$70*HSI!$G$70/HSI!$B$3,""))</f>
        <v/>
      </c>
      <c r="CF75" s="161">
        <f>IF(R75="","",IFERROR(R75*HSI!$B$70*HSI!$G$70/HSI!$B$3,""))</f>
        <v/>
      </c>
      <c r="CG75" s="161">
        <f>IF(S75="","",IFERROR(S75*HSI!$B$70*HSI!$G$70/HSI!$B$3,""))</f>
        <v/>
      </c>
      <c r="CH75" s="161">
        <f>IF(T75="","",IFERROR(T75*HSI!$B$70*HSI!$G$70/HSI!$B$3,""))</f>
        <v/>
      </c>
      <c r="CI75" s="161">
        <f>IF(U75="","",IFERROR(U75*HSI!$B$70*HSI!$G$70/HSI!$B$3,""))</f>
        <v/>
      </c>
      <c r="CJ75" s="161">
        <f>IF(V75="","",IFERROR(V75*HSI!$B$70*HSI!$G$70/HSI!$B$3,""))</f>
        <v/>
      </c>
      <c r="CK75" s="161">
        <f>IF(W75="","",IFERROR(W75*HSI!$B$70*HSI!$G$70/HSI!$B$3,""))</f>
        <v/>
      </c>
      <c r="CL75" s="161">
        <f>IF(X75="","",IFERROR(X75*HSI!$B$70*HSI!$G$70/HSI!$B$3,""))</f>
        <v/>
      </c>
      <c r="CM75" s="161">
        <f>IF(Y75="","",IFERROR(Y75*HSI!$B$70*HSI!$G$70/HSI!$B$3,""))</f>
        <v/>
      </c>
      <c r="CN75" s="161">
        <f>IF(Z75="","",IFERROR(Z75*HSI!$B$70*HSI!$G$70/HSI!$B$3,""))</f>
        <v/>
      </c>
      <c r="CO75" s="161">
        <f>IF(AA75="","",IFERROR(AA75*HSI!$B$70*HSI!$G$70/HSI!$B$3,""))</f>
        <v/>
      </c>
      <c r="CP75" s="161">
        <f>IF(AB75="","",IFERROR(AB75*HSI!$B$70*HSI!$G$70/HSI!$B$3,""))</f>
        <v/>
      </c>
      <c r="CQ75" s="161">
        <f>IF(AC75="","",IFERROR(AC75*HSI!$B$70*HSI!$G$70/HSI!$B$3,""))</f>
        <v/>
      </c>
      <c r="CR75" s="161">
        <f>IF(AD75="","",IFERROR(AD75*HSI!$B$70*HSI!$G$70/HSI!$B$3,""))</f>
        <v/>
      </c>
      <c r="CS75" s="161">
        <f>IF(AE75="","",IFERROR(AE75*HSI!$B$70*HSI!$G$70/HSI!$B$3,""))</f>
        <v/>
      </c>
      <c r="CT75" s="161">
        <f>IF(AF75="","",IFERROR(AF75*HSI!$B$70*HSI!$G$70/HSI!$B$3,""))</f>
        <v/>
      </c>
      <c r="CU75" s="161">
        <f>IF(AG75="","",IFERROR(AG75*HSI!$B$70*HSI!$G$70/HSI!$B$3,""))</f>
        <v/>
      </c>
      <c r="CV75" s="161">
        <f>IF(AH75="","",IFERROR(AH75*HSI!$B$70*HSI!$G$70/HSI!$B$3,""))</f>
        <v/>
      </c>
      <c r="CW75" s="161">
        <f>IF(AI75="","",IFERROR(AI75*HSI!$B$70*HSI!$G$70/HSI!$B$3,""))</f>
        <v/>
      </c>
      <c r="CX75" s="161">
        <f>IF(AJ75="","",IFERROR(AJ75*HSI!$B$70*HSI!$G$70/HSI!$B$3,""))</f>
        <v/>
      </c>
      <c r="CY75" s="161">
        <f>IF(AK75="","",IFERROR(AK75*HSI!$B$70*HSI!$G$70/HSI!$B$3,""))</f>
        <v/>
      </c>
      <c r="CZ75" s="161">
        <f>IF(AL75="","",IFERROR(AL75*HSI!$B$70*HSI!$G$70/HSI!$B$3,""))</f>
        <v/>
      </c>
      <c r="DA75" s="161">
        <f>IF(AM75="","",IFERROR(AM75*HSI!$B$70*HSI!$G$70/HSI!$B$3,""))</f>
        <v/>
      </c>
      <c r="DB75" s="161">
        <f>IF(AN75="","",IFERROR(AN75*HSI!$B$70*HSI!$G$70/HSI!$B$3,""))</f>
        <v/>
      </c>
      <c r="DC75" s="161">
        <f>IF(AO75="","",IFERROR(AO75*HSI!$B$70*HSI!$G$70/HSI!$B$3,""))</f>
        <v/>
      </c>
      <c r="DD75" s="161">
        <f>IF(AP75="","",IFERROR(AP75*HSI!$B$70*HSI!$G$70/HSI!$B$3,""))</f>
        <v/>
      </c>
      <c r="DE75" s="161">
        <f>IF(AQ75="","",IFERROR(AQ75*HSI!$B$70*HSI!$G$70/HSI!$B$3,""))</f>
        <v/>
      </c>
      <c r="DF75" s="161">
        <f>IF(AR75="","",IFERROR(AR75*HSI!$B$70*HSI!$G$70/HSI!$B$3,""))</f>
        <v/>
      </c>
      <c r="DG75" s="161">
        <f>IF(AS75="","",IFERROR(AS75*HSI!$B$70*HSI!$G$70/HSI!$B$3,""))</f>
        <v/>
      </c>
      <c r="DH75" s="161">
        <f>IF(AT75="","",IFERROR(AT75*HSI!$B$70*HSI!$G$70/HSI!$B$3,""))</f>
        <v/>
      </c>
      <c r="DI75" s="161">
        <f>IF(AU75="","",IFERROR(AU75*HSI!$B$70*HSI!$G$70/HSI!$B$3,""))</f>
        <v/>
      </c>
      <c r="DJ75" s="161">
        <f>IF(AV75="","",IFERROR(AV75*HSI!$B$70*HSI!$G$70/HSI!$B$3,""))</f>
        <v/>
      </c>
      <c r="DK75" s="161">
        <f>IF(AW75="","",IFERROR(AW75*HSI!$B$70*HSI!$G$70/HSI!$B$3,""))</f>
        <v/>
      </c>
      <c r="DL75" s="161">
        <f>IF(AX75="","",IFERROR(AX75*HSI!$B$70*HSI!$G$70/HSI!$B$3,""))</f>
        <v/>
      </c>
      <c r="DM75" s="161">
        <f>IF(AY75="","",IFERROR(AY75*HSI!$B$70*HSI!$G$70/HSI!$B$3,""))</f>
        <v/>
      </c>
      <c r="DN75" s="161">
        <f>IF(AZ75="","",IFERROR(AZ75*HSI!$B$70*HSI!$G$70/HSI!$B$3,""))</f>
        <v/>
      </c>
      <c r="DO75" s="161">
        <f>IF(BA75="","",IFERROR(BA75*HSI!$B$70*HSI!$G$70/HSI!$B$3,""))</f>
        <v/>
      </c>
      <c r="DP75" s="161">
        <f>IF(BB75="","",IFERROR(BB75*HSI!$B$70*HSI!$G$70/HSI!$B$3,""))</f>
        <v/>
      </c>
      <c r="DQ75" s="161">
        <f>IF(BC75="","",IFERROR(BC75*HSI!$B$70*HSI!$G$70/HSI!$B$3,""))</f>
        <v/>
      </c>
      <c r="DR75" s="161">
        <f>IF(BD75="","",IFERROR(BD75*HSI!$B$70*HSI!$G$70/HSI!$B$3,""))</f>
        <v/>
      </c>
      <c r="DS75" s="161">
        <f>IF(BE75="","",IFERROR(BE75*HSI!$B$70*HSI!$G$70/HSI!$B$3,""))</f>
        <v/>
      </c>
      <c r="DT75" s="161">
        <f>IF(BF75="","",IFERROR(BF75*HSI!$B$70*HSI!$G$70/HSI!$B$3,""))</f>
        <v/>
      </c>
      <c r="DU75" s="161">
        <f>IF(BG75="","",IFERROR(BG75*HSI!$B$70*HSI!$G$70/HSI!$B$3,""))</f>
        <v/>
      </c>
      <c r="DV75" s="161">
        <f>IF(BH75="","",IFERROR(BH75*HSI!$B$70*HSI!$G$70/HSI!$B$3,""))</f>
        <v/>
      </c>
      <c r="DW75" s="161">
        <f>IF(BI75="","",IFERROR(BI75*HSI!$B$70*HSI!$G$70/HSI!$B$3,""))</f>
        <v/>
      </c>
      <c r="DX75" s="161">
        <f>IF(BJ75="","",IFERROR(BJ75*HSI!$B$70*HSI!$G$70/HSI!$B$3,""))</f>
        <v/>
      </c>
      <c r="DY75" s="161">
        <f>IF(BK75="","",IFERROR(BK75*HSI!$B$70*HSI!$G$70/HSI!$B$3,""))</f>
        <v/>
      </c>
      <c r="DZ75" s="161">
        <f>IF(BL75="","",IFERROR(BL75*HSI!$B$70*HSI!$G$70/HSI!$B$3,""))</f>
        <v/>
      </c>
      <c r="EA75" s="161">
        <f>IF(BM75="","",IFERROR(BM75*HSI!$B$70*HSI!$G$70/HSI!$B$3,""))</f>
        <v/>
      </c>
      <c r="EB75" s="161">
        <f>IF(BN75="","",IFERROR(BN75*HSI!$B$70*HSI!$G$70/HSI!$B$3,""))</f>
        <v/>
      </c>
      <c r="EC75" s="161">
        <f>IF(BO75="","",IFERROR(BO75*HSI!$B$70*HSI!$G$70/HSI!$B$3,""))</f>
        <v/>
      </c>
      <c r="EE75" s="121">
        <f>IF(N('Dvd Calendar'!$E$704)=0,"",IF(('Dvd Calendar'!$E$704&gt;=GRID_FROM)*('Dvd Calendar'!$E$704&lt;=GRID_TO)*((('Dvd Calendar'!$E$704&lt;=VAL_DATE)+(COUNTIF('Dvd Calendar'!$E$711:$AR$711,'Dvd Calendar'!$E$704)=0))&gt;0)=0,"",'Dvd Calendar'!$E$704*1000000000+ISNUMBER('Dvd Calendar'!$E$707)*100000000+('Dvd Calendar'!$E$709=SPECIAL_LBL)*10000000+(N('Dvd Calendar'!$E$703)&gt;0)*(N('Dvd Calendar'!$E$703)&lt;=VAL_SERIAL)*1000000+64*1000+1))</f>
        <v/>
      </c>
      <c r="EF75" s="121">
        <f>IF(N('Dvd Calendar'!$F$704)=0,"",IF(('Dvd Calendar'!$F$704&gt;=GRID_FROM)*('Dvd Calendar'!$F$704&lt;=GRID_TO)*((('Dvd Calendar'!$F$704&lt;=VAL_DATE)+(COUNTIF('Dvd Calendar'!$E$711:$AR$711,'Dvd Calendar'!$F$704)=0))&gt;0)=0,"",'Dvd Calendar'!$F$704*1000000000+ISNUMBER('Dvd Calendar'!$F$707)*100000000+('Dvd Calendar'!$F$709=SPECIAL_LBL)*10000000+(N('Dvd Calendar'!$F$703)&gt;0)*(N('Dvd Calendar'!$F$703)&lt;=VAL_SERIAL)*1000000+64*1000+2))</f>
        <v/>
      </c>
      <c r="EG75" s="121">
        <f>IF(N('Dvd Calendar'!$G$704)=0,"",IF(('Dvd Calendar'!$G$704&gt;=GRID_FROM)*('Dvd Calendar'!$G$704&lt;=GRID_TO)*((('Dvd Calendar'!$G$704&lt;=VAL_DATE)+(COUNTIF('Dvd Calendar'!$E$711:$AR$711,'Dvd Calendar'!$G$704)=0))&gt;0)=0,"",'Dvd Calendar'!$G$704*1000000000+ISNUMBER('Dvd Calendar'!$G$707)*100000000+('Dvd Calendar'!$G$709=SPECIAL_LBL)*10000000+(N('Dvd Calendar'!$G$703)&gt;0)*(N('Dvd Calendar'!$G$703)&lt;=VAL_SERIAL)*1000000+64*1000+3))</f>
        <v/>
      </c>
      <c r="EH75" s="121">
        <f>IF(N('Dvd Calendar'!$H$704)=0,"",IF(('Dvd Calendar'!$H$704&gt;=GRID_FROM)*('Dvd Calendar'!$H$704&lt;=GRID_TO)*((('Dvd Calendar'!$H$704&lt;=VAL_DATE)+(COUNTIF('Dvd Calendar'!$E$711:$AR$711,'Dvd Calendar'!$H$704)=0))&gt;0)=0,"",'Dvd Calendar'!$H$704*1000000000+ISNUMBER('Dvd Calendar'!$H$707)*100000000+('Dvd Calendar'!$H$709=SPECIAL_LBL)*10000000+(N('Dvd Calendar'!$H$703)&gt;0)*(N('Dvd Calendar'!$H$703)&lt;=VAL_SERIAL)*1000000+64*1000+4))</f>
        <v/>
      </c>
      <c r="EI75" s="121">
        <f>IF(N('Dvd Calendar'!$I$704)=0,"",IF(('Dvd Calendar'!$I$704&gt;=GRID_FROM)*('Dvd Calendar'!$I$704&lt;=GRID_TO)*((('Dvd Calendar'!$I$704&lt;=VAL_DATE)+(COUNTIF('Dvd Calendar'!$E$711:$AR$711,'Dvd Calendar'!$I$704)=0))&gt;0)=0,"",'Dvd Calendar'!$I$704*1000000000+ISNUMBER('Dvd Calendar'!$I$707)*100000000+('Dvd Calendar'!$I$709=SPECIAL_LBL)*10000000+(N('Dvd Calendar'!$I$703)&gt;0)*(N('Dvd Calendar'!$I$703)&lt;=VAL_SERIAL)*1000000+64*1000+5))</f>
        <v/>
      </c>
      <c r="EJ75" s="121">
        <f>IF(N('Dvd Calendar'!$J$704)=0,"",IF(('Dvd Calendar'!$J$704&gt;=GRID_FROM)*('Dvd Calendar'!$J$704&lt;=GRID_TO)*((('Dvd Calendar'!$J$704&lt;=VAL_DATE)+(COUNTIF('Dvd Calendar'!$E$711:$AR$711,'Dvd Calendar'!$J$704)=0))&gt;0)=0,"",'Dvd Calendar'!$J$704*1000000000+ISNUMBER('Dvd Calendar'!$J$707)*100000000+('Dvd Calendar'!$J$709=SPECIAL_LBL)*10000000+(N('Dvd Calendar'!$J$703)&gt;0)*(N('Dvd Calendar'!$J$703)&lt;=VAL_SERIAL)*1000000+64*1000+6))</f>
        <v/>
      </c>
      <c r="EK75" s="121">
        <f>IF(N('Dvd Calendar'!$K$704)=0,"",IF(('Dvd Calendar'!$K$704&gt;=GRID_FROM)*('Dvd Calendar'!$K$704&lt;=GRID_TO)*((('Dvd Calendar'!$K$704&lt;=VAL_DATE)+(COUNTIF('Dvd Calendar'!$E$711:$AR$711,'Dvd Calendar'!$K$704)=0))&gt;0)=0,"",'Dvd Calendar'!$K$704*1000000000+ISNUMBER('Dvd Calendar'!$K$707)*100000000+('Dvd Calendar'!$K$709=SPECIAL_LBL)*10000000+(N('Dvd Calendar'!$K$703)&gt;0)*(N('Dvd Calendar'!$K$703)&lt;=VAL_SERIAL)*1000000+64*1000+7))</f>
        <v/>
      </c>
      <c r="EL75" s="121">
        <f>IF(N('Dvd Calendar'!$L$704)=0,"",IF(('Dvd Calendar'!$L$704&gt;=GRID_FROM)*('Dvd Calendar'!$L$704&lt;=GRID_TO)*((('Dvd Calendar'!$L$704&lt;=VAL_DATE)+(COUNTIF('Dvd Calendar'!$E$711:$AR$711,'Dvd Calendar'!$L$704)=0))&gt;0)=0,"",'Dvd Calendar'!$L$704*1000000000+ISNUMBER('Dvd Calendar'!$L$707)*100000000+('Dvd Calendar'!$L$709=SPECIAL_LBL)*10000000+(N('Dvd Calendar'!$L$703)&gt;0)*(N('Dvd Calendar'!$L$703)&lt;=VAL_SERIAL)*1000000+64*1000+8))</f>
        <v/>
      </c>
      <c r="EM75" s="121">
        <f>IF(N('Dvd Calendar'!$M$704)=0,"",IF(('Dvd Calendar'!$M$704&gt;=GRID_FROM)*('Dvd Calendar'!$M$704&lt;=GRID_TO)*((('Dvd Calendar'!$M$704&lt;=VAL_DATE)+(COUNTIF('Dvd Calendar'!$E$711:$AR$711,'Dvd Calendar'!$M$704)=0))&gt;0)=0,"",'Dvd Calendar'!$M$704*1000000000+ISNUMBER('Dvd Calendar'!$M$707)*100000000+('Dvd Calendar'!$M$709=SPECIAL_LBL)*10000000+(N('Dvd Calendar'!$M$703)&gt;0)*(N('Dvd Calendar'!$M$703)&lt;=VAL_SERIAL)*1000000+64*1000+9))</f>
        <v/>
      </c>
      <c r="EN75" s="121">
        <f>IF(N('Dvd Calendar'!$N$704)=0,"",IF(('Dvd Calendar'!$N$704&gt;=GRID_FROM)*('Dvd Calendar'!$N$704&lt;=GRID_TO)*((('Dvd Calendar'!$N$704&lt;=VAL_DATE)+(COUNTIF('Dvd Calendar'!$E$711:$AR$711,'Dvd Calendar'!$N$704)=0))&gt;0)=0,"",'Dvd Calendar'!$N$704*1000000000+ISNUMBER('Dvd Calendar'!$N$707)*100000000+('Dvd Calendar'!$N$709=SPECIAL_LBL)*10000000+(N('Dvd Calendar'!$N$703)&gt;0)*(N('Dvd Calendar'!$N$703)&lt;=VAL_SERIAL)*1000000+64*1000+10))</f>
        <v/>
      </c>
      <c r="EO75" s="121">
        <f>IF(N('Dvd Calendar'!$O$704)=0,"",IF(('Dvd Calendar'!$O$704&gt;=GRID_FROM)*('Dvd Calendar'!$O$704&lt;=GRID_TO)*((('Dvd Calendar'!$O$704&lt;=VAL_DATE)+(COUNTIF('Dvd Calendar'!$E$711:$AR$711,'Dvd Calendar'!$O$704)=0))&gt;0)=0,"",'Dvd Calendar'!$O$704*1000000000+ISNUMBER('Dvd Calendar'!$O$707)*100000000+('Dvd Calendar'!$O$709=SPECIAL_LBL)*10000000+(N('Dvd Calendar'!$O$703)&gt;0)*(N('Dvd Calendar'!$O$703)&lt;=VAL_SERIAL)*1000000+64*1000+11))</f>
        <v/>
      </c>
      <c r="EP75" s="121">
        <f>IF(N('Dvd Calendar'!$P$704)=0,"",IF(('Dvd Calendar'!$P$704&gt;=GRID_FROM)*('Dvd Calendar'!$P$704&lt;=GRID_TO)*((('Dvd Calendar'!$P$704&lt;=VAL_DATE)+(COUNTIF('Dvd Calendar'!$E$711:$AR$711,'Dvd Calendar'!$P$704)=0))&gt;0)=0,"",'Dvd Calendar'!$P$704*1000000000+ISNUMBER('Dvd Calendar'!$P$707)*100000000+('Dvd Calendar'!$P$709=SPECIAL_LBL)*10000000+(N('Dvd Calendar'!$P$703)&gt;0)*(N('Dvd Calendar'!$P$703)&lt;=VAL_SERIAL)*1000000+64*1000+12))</f>
        <v/>
      </c>
      <c r="EQ75" s="121">
        <f>IF(N('Dvd Calendar'!$Q$704)=0,"",IF(('Dvd Calendar'!$Q$704&gt;=GRID_FROM)*('Dvd Calendar'!$Q$704&lt;=GRID_TO)*((('Dvd Calendar'!$Q$704&lt;=VAL_DATE)+(COUNTIF('Dvd Calendar'!$E$711:$AR$711,'Dvd Calendar'!$Q$704)=0))&gt;0)=0,"",'Dvd Calendar'!$Q$704*1000000000+ISNUMBER('Dvd Calendar'!$Q$707)*100000000+('Dvd Calendar'!$Q$709=SPECIAL_LBL)*10000000+(N('Dvd Calendar'!$Q$703)&gt;0)*(N('Dvd Calendar'!$Q$703)&lt;=VAL_SERIAL)*1000000+64*1000+13))</f>
        <v/>
      </c>
      <c r="ER75" s="121">
        <f>IF(N('Dvd Calendar'!$R$704)=0,"",IF(('Dvd Calendar'!$R$704&gt;=GRID_FROM)*('Dvd Calendar'!$R$704&lt;=GRID_TO)*((('Dvd Calendar'!$R$704&lt;=VAL_DATE)+(COUNTIF('Dvd Calendar'!$E$711:$AR$711,'Dvd Calendar'!$R$704)=0))&gt;0)=0,"",'Dvd Calendar'!$R$704*1000000000+ISNUMBER('Dvd Calendar'!$R$707)*100000000+('Dvd Calendar'!$R$709=SPECIAL_LBL)*10000000+(N('Dvd Calendar'!$R$703)&gt;0)*(N('Dvd Calendar'!$R$703)&lt;=VAL_SERIAL)*1000000+64*1000+14))</f>
        <v/>
      </c>
      <c r="ES75" s="121">
        <f>IF(N('Dvd Calendar'!$S$704)=0,"",IF(('Dvd Calendar'!$S$704&gt;=GRID_FROM)*('Dvd Calendar'!$S$704&lt;=GRID_TO)*((('Dvd Calendar'!$S$704&lt;=VAL_DATE)+(COUNTIF('Dvd Calendar'!$E$711:$AR$711,'Dvd Calendar'!$S$704)=0))&gt;0)=0,"",'Dvd Calendar'!$S$704*1000000000+ISNUMBER('Dvd Calendar'!$S$707)*100000000+('Dvd Calendar'!$S$709=SPECIAL_LBL)*10000000+(N('Dvd Calendar'!$S$703)&gt;0)*(N('Dvd Calendar'!$S$703)&lt;=VAL_SERIAL)*1000000+64*1000+15))</f>
        <v/>
      </c>
      <c r="ET75" s="121">
        <f>IF(N('Dvd Calendar'!$T$704)=0,"",IF(('Dvd Calendar'!$T$704&gt;=GRID_FROM)*('Dvd Calendar'!$T$704&lt;=GRID_TO)*((('Dvd Calendar'!$T$704&lt;=VAL_DATE)+(COUNTIF('Dvd Calendar'!$E$711:$AR$711,'Dvd Calendar'!$T$704)=0))&gt;0)=0,"",'Dvd Calendar'!$T$704*1000000000+ISNUMBER('Dvd Calendar'!$T$707)*100000000+('Dvd Calendar'!$T$709=SPECIAL_LBL)*10000000+(N('Dvd Calendar'!$T$703)&gt;0)*(N('Dvd Calendar'!$T$703)&lt;=VAL_SERIAL)*1000000+64*1000+16))</f>
        <v/>
      </c>
      <c r="EU75" s="121">
        <f>IF(N('Dvd Calendar'!$U$704)=0,"",IF(('Dvd Calendar'!$U$704&gt;=GRID_FROM)*('Dvd Calendar'!$U$704&lt;=GRID_TO)*((('Dvd Calendar'!$U$704&lt;=VAL_DATE)+(COUNTIF('Dvd Calendar'!$E$711:$AR$711,'Dvd Calendar'!$U$704)=0))&gt;0)=0,"",'Dvd Calendar'!$U$704*1000000000+ISNUMBER('Dvd Calendar'!$U$707)*100000000+('Dvd Calendar'!$U$709=SPECIAL_LBL)*10000000+(N('Dvd Calendar'!$U$703)&gt;0)*(N('Dvd Calendar'!$U$703)&lt;=VAL_SERIAL)*1000000+64*1000+17))</f>
        <v/>
      </c>
      <c r="EV75" s="121">
        <f>IF(N('Dvd Calendar'!$V$704)=0,"",IF(('Dvd Calendar'!$V$704&gt;=GRID_FROM)*('Dvd Calendar'!$V$704&lt;=GRID_TO)*((('Dvd Calendar'!$V$704&lt;=VAL_DATE)+(COUNTIF('Dvd Calendar'!$E$711:$AR$711,'Dvd Calendar'!$V$704)=0))&gt;0)=0,"",'Dvd Calendar'!$V$704*1000000000+ISNUMBER('Dvd Calendar'!$V$707)*100000000+('Dvd Calendar'!$V$709=SPECIAL_LBL)*10000000+(N('Dvd Calendar'!$V$703)&gt;0)*(N('Dvd Calendar'!$V$703)&lt;=VAL_SERIAL)*1000000+64*1000+18))</f>
        <v/>
      </c>
      <c r="EW75" s="121">
        <f>IF(N('Dvd Calendar'!$W$704)=0,"",IF(('Dvd Calendar'!$W$704&gt;=GRID_FROM)*('Dvd Calendar'!$W$704&lt;=GRID_TO)*((('Dvd Calendar'!$W$704&lt;=VAL_DATE)+(COUNTIF('Dvd Calendar'!$E$711:$AR$711,'Dvd Calendar'!$W$704)=0))&gt;0)=0,"",'Dvd Calendar'!$W$704*1000000000+ISNUMBER('Dvd Calendar'!$W$707)*100000000+('Dvd Calendar'!$W$709=SPECIAL_LBL)*10000000+(N('Dvd Calendar'!$W$703)&gt;0)*(N('Dvd Calendar'!$W$703)&lt;=VAL_SERIAL)*1000000+64*1000+19))</f>
        <v/>
      </c>
      <c r="EX75" s="121">
        <f>IF(N('Dvd Calendar'!$X$704)=0,"",IF(('Dvd Calendar'!$X$704&gt;=GRID_FROM)*('Dvd Calendar'!$X$704&lt;=GRID_TO)*((('Dvd Calendar'!$X$704&lt;=VAL_DATE)+(COUNTIF('Dvd Calendar'!$E$711:$AR$711,'Dvd Calendar'!$X$704)=0))&gt;0)=0,"",'Dvd Calendar'!$X$704*1000000000+ISNUMBER('Dvd Calendar'!$X$707)*100000000+('Dvd Calendar'!$X$709=SPECIAL_LBL)*10000000+(N('Dvd Calendar'!$X$703)&gt;0)*(N('Dvd Calendar'!$X$703)&lt;=VAL_SERIAL)*1000000+64*1000+20))</f>
        <v/>
      </c>
      <c r="EY75" s="121">
        <f>IF(N('Dvd Calendar'!$Y$704)=0,"",IF(('Dvd Calendar'!$Y$704&gt;=GRID_FROM)*('Dvd Calendar'!$Y$704&lt;=GRID_TO)*((('Dvd Calendar'!$Y$704&lt;=VAL_DATE)+(COUNTIF('Dvd Calendar'!$E$711:$AR$711,'Dvd Calendar'!$Y$704)=0))&gt;0)=0,"",'Dvd Calendar'!$Y$704*1000000000+ISNUMBER('Dvd Calendar'!$Y$707)*100000000+('Dvd Calendar'!$Y$709=SPECIAL_LBL)*10000000+(N('Dvd Calendar'!$Y$703)&gt;0)*(N('Dvd Calendar'!$Y$703)&lt;=VAL_SERIAL)*1000000+64*1000+21))</f>
        <v/>
      </c>
      <c r="EZ75" s="121">
        <f>IF(N('Dvd Calendar'!$Z$704)=0,"",IF(('Dvd Calendar'!$Z$704&gt;=GRID_FROM)*('Dvd Calendar'!$Z$704&lt;=GRID_TO)*((('Dvd Calendar'!$Z$704&lt;=VAL_DATE)+(COUNTIF('Dvd Calendar'!$E$711:$AR$711,'Dvd Calendar'!$Z$704)=0))&gt;0)=0,"",'Dvd Calendar'!$Z$704*1000000000+ISNUMBER('Dvd Calendar'!$Z$707)*100000000+('Dvd Calendar'!$Z$709=SPECIAL_LBL)*10000000+(N('Dvd Calendar'!$Z$703)&gt;0)*(N('Dvd Calendar'!$Z$703)&lt;=VAL_SERIAL)*1000000+64*1000+22))</f>
        <v/>
      </c>
      <c r="FA75" s="121">
        <f>IF(N('Dvd Calendar'!$AA$704)=0,"",IF(('Dvd Calendar'!$AA$704&gt;=GRID_FROM)*('Dvd Calendar'!$AA$704&lt;=GRID_TO)*((('Dvd Calendar'!$AA$704&lt;=VAL_DATE)+(COUNTIF('Dvd Calendar'!$E$711:$AR$711,'Dvd Calendar'!$AA$704)=0))&gt;0)=0,"",'Dvd Calendar'!$AA$704*1000000000+ISNUMBER('Dvd Calendar'!$AA$707)*100000000+('Dvd Calendar'!$AA$709=SPECIAL_LBL)*10000000+(N('Dvd Calendar'!$AA$703)&gt;0)*(N('Dvd Calendar'!$AA$703)&lt;=VAL_SERIAL)*1000000+64*1000+23))</f>
        <v/>
      </c>
      <c r="FB75" s="121">
        <f>IF(N('Dvd Calendar'!$AB$704)=0,"",IF(('Dvd Calendar'!$AB$704&gt;=GRID_FROM)*('Dvd Calendar'!$AB$704&lt;=GRID_TO)*((('Dvd Calendar'!$AB$704&lt;=VAL_DATE)+(COUNTIF('Dvd Calendar'!$E$711:$AR$711,'Dvd Calendar'!$AB$704)=0))&gt;0)=0,"",'Dvd Calendar'!$AB$704*1000000000+ISNUMBER('Dvd Calendar'!$AB$707)*100000000+('Dvd Calendar'!$AB$709=SPECIAL_LBL)*10000000+(N('Dvd Calendar'!$AB$703)&gt;0)*(N('Dvd Calendar'!$AB$703)&lt;=VAL_SERIAL)*1000000+64*1000+24))</f>
        <v/>
      </c>
      <c r="FC75" s="121">
        <f>IF(N('Dvd Calendar'!$AC$704)=0,"",IF(('Dvd Calendar'!$AC$704&gt;=GRID_FROM)*('Dvd Calendar'!$AC$704&lt;=GRID_TO)*((('Dvd Calendar'!$AC$704&lt;=VAL_DATE)+(COUNTIF('Dvd Calendar'!$E$711:$AR$711,'Dvd Calendar'!$AC$704)=0))&gt;0)=0,"",'Dvd Calendar'!$AC$704*1000000000+ISNUMBER('Dvd Calendar'!$AC$707)*100000000+('Dvd Calendar'!$AC$709=SPECIAL_LBL)*10000000+(N('Dvd Calendar'!$AC$703)&gt;0)*(N('Dvd Calendar'!$AC$703)&lt;=VAL_SERIAL)*1000000+64*1000+25))</f>
        <v/>
      </c>
      <c r="FD75" s="121">
        <f>IF(N('Dvd Calendar'!$AD$704)=0,"",IF(('Dvd Calendar'!$AD$704&gt;=GRID_FROM)*('Dvd Calendar'!$AD$704&lt;=GRID_TO)*((('Dvd Calendar'!$AD$704&lt;=VAL_DATE)+(COUNTIF('Dvd Calendar'!$E$711:$AR$711,'Dvd Calendar'!$AD$704)=0))&gt;0)=0,"",'Dvd Calendar'!$AD$704*1000000000+ISNUMBER('Dvd Calendar'!$AD$707)*100000000+('Dvd Calendar'!$AD$709=SPECIAL_LBL)*10000000+(N('Dvd Calendar'!$AD$703)&gt;0)*(N('Dvd Calendar'!$AD$703)&lt;=VAL_SERIAL)*1000000+64*1000+26))</f>
        <v/>
      </c>
      <c r="FE75" s="121">
        <f>IF(N('Dvd Calendar'!$AE$704)=0,"",IF(('Dvd Calendar'!$AE$704&gt;=GRID_FROM)*('Dvd Calendar'!$AE$704&lt;=GRID_TO)*((('Dvd Calendar'!$AE$704&lt;=VAL_DATE)+(COUNTIF('Dvd Calendar'!$E$711:$AR$711,'Dvd Calendar'!$AE$704)=0))&gt;0)=0,"",'Dvd Calendar'!$AE$704*1000000000+ISNUMBER('Dvd Calendar'!$AE$707)*100000000+('Dvd Calendar'!$AE$709=SPECIAL_LBL)*10000000+(N('Dvd Calendar'!$AE$703)&gt;0)*(N('Dvd Calendar'!$AE$703)&lt;=VAL_SERIAL)*1000000+64*1000+27))</f>
        <v/>
      </c>
      <c r="FF75" s="121">
        <f>IF(N('Dvd Calendar'!$AF$704)=0,"",IF(('Dvd Calendar'!$AF$704&gt;=GRID_FROM)*('Dvd Calendar'!$AF$704&lt;=GRID_TO)*((('Dvd Calendar'!$AF$704&lt;=VAL_DATE)+(COUNTIF('Dvd Calendar'!$E$711:$AR$711,'Dvd Calendar'!$AF$704)=0))&gt;0)=0,"",'Dvd Calendar'!$AF$704*1000000000+ISNUMBER('Dvd Calendar'!$AF$707)*100000000+('Dvd Calendar'!$AF$709=SPECIAL_LBL)*10000000+(N('Dvd Calendar'!$AF$703)&gt;0)*(N('Dvd Calendar'!$AF$703)&lt;=VAL_SERIAL)*1000000+64*1000+28))</f>
        <v/>
      </c>
      <c r="FG75" s="121">
        <f>IF(N('Dvd Calendar'!$AG$704)=0,"",IF(('Dvd Calendar'!$AG$704&gt;=GRID_FROM)*('Dvd Calendar'!$AG$704&lt;=GRID_TO)*((('Dvd Calendar'!$AG$704&lt;=VAL_DATE)+(COUNTIF('Dvd Calendar'!$E$711:$AR$711,'Dvd Calendar'!$AG$704)=0))&gt;0)=0,"",'Dvd Calendar'!$AG$704*1000000000+ISNUMBER('Dvd Calendar'!$AG$707)*100000000+('Dvd Calendar'!$AG$709=SPECIAL_LBL)*10000000+(N('Dvd Calendar'!$AG$703)&gt;0)*(N('Dvd Calendar'!$AG$703)&lt;=VAL_SERIAL)*1000000+64*1000+29))</f>
        <v/>
      </c>
      <c r="FH75" s="121">
        <f>IF(N('Dvd Calendar'!$AH$704)=0,"",IF(('Dvd Calendar'!$AH$704&gt;=GRID_FROM)*('Dvd Calendar'!$AH$704&lt;=GRID_TO)*((('Dvd Calendar'!$AH$704&lt;=VAL_DATE)+(COUNTIF('Dvd Calendar'!$E$711:$AR$711,'Dvd Calendar'!$AH$704)=0))&gt;0)=0,"",'Dvd Calendar'!$AH$704*1000000000+ISNUMBER('Dvd Calendar'!$AH$707)*100000000+('Dvd Calendar'!$AH$709=SPECIAL_LBL)*10000000+(N('Dvd Calendar'!$AH$703)&gt;0)*(N('Dvd Calendar'!$AH$703)&lt;=VAL_SERIAL)*1000000+64*1000+30))</f>
        <v/>
      </c>
      <c r="FI75" s="121">
        <f>IF(N('Dvd Calendar'!$AI$704)=0,"",IF(('Dvd Calendar'!$AI$704&gt;=GRID_FROM)*('Dvd Calendar'!$AI$704&lt;=GRID_TO)*((('Dvd Calendar'!$AI$704&lt;=VAL_DATE)+(COUNTIF('Dvd Calendar'!$E$711:$AR$711,'Dvd Calendar'!$AI$704)=0))&gt;0)=0,"",'Dvd Calendar'!$AI$704*1000000000+ISNUMBER('Dvd Calendar'!$AI$707)*100000000+('Dvd Calendar'!$AI$709=SPECIAL_LBL)*10000000+(N('Dvd Calendar'!$AI$703)&gt;0)*(N('Dvd Calendar'!$AI$703)&lt;=VAL_SERIAL)*1000000+64*1000+31))</f>
        <v/>
      </c>
      <c r="FJ75" s="121">
        <f>IF(N('Dvd Calendar'!$AJ$704)=0,"",IF(('Dvd Calendar'!$AJ$704&gt;=GRID_FROM)*('Dvd Calendar'!$AJ$704&lt;=GRID_TO)*((('Dvd Calendar'!$AJ$704&lt;=VAL_DATE)+(COUNTIF('Dvd Calendar'!$E$711:$AR$711,'Dvd Calendar'!$AJ$704)=0))&gt;0)=0,"",'Dvd Calendar'!$AJ$704*1000000000+ISNUMBER('Dvd Calendar'!$AJ$707)*100000000+('Dvd Calendar'!$AJ$709=SPECIAL_LBL)*10000000+(N('Dvd Calendar'!$AJ$703)&gt;0)*(N('Dvd Calendar'!$AJ$703)&lt;=VAL_SERIAL)*1000000+64*1000+32))</f>
        <v/>
      </c>
      <c r="FK75" s="121">
        <f>IF(N('Dvd Calendar'!$AK$704)=0,"",IF(('Dvd Calendar'!$AK$704&gt;=GRID_FROM)*('Dvd Calendar'!$AK$704&lt;=GRID_TO)*((('Dvd Calendar'!$AK$704&lt;=VAL_DATE)+(COUNTIF('Dvd Calendar'!$E$711:$AR$711,'Dvd Calendar'!$AK$704)=0))&gt;0)=0,"",'Dvd Calendar'!$AK$704*1000000000+ISNUMBER('Dvd Calendar'!$AK$707)*100000000+('Dvd Calendar'!$AK$709=SPECIAL_LBL)*10000000+(N('Dvd Calendar'!$AK$703)&gt;0)*(N('Dvd Calendar'!$AK$703)&lt;=VAL_SERIAL)*1000000+64*1000+33))</f>
        <v/>
      </c>
      <c r="FL75" s="121">
        <f>IF(N('Dvd Calendar'!$AL$704)=0,"",IF(('Dvd Calendar'!$AL$704&gt;=GRID_FROM)*('Dvd Calendar'!$AL$704&lt;=GRID_TO)*((('Dvd Calendar'!$AL$704&lt;=VAL_DATE)+(COUNTIF('Dvd Calendar'!$E$711:$AR$711,'Dvd Calendar'!$AL$704)=0))&gt;0)=0,"",'Dvd Calendar'!$AL$704*1000000000+ISNUMBER('Dvd Calendar'!$AL$707)*100000000+('Dvd Calendar'!$AL$709=SPECIAL_LBL)*10000000+(N('Dvd Calendar'!$AL$703)&gt;0)*(N('Dvd Calendar'!$AL$703)&lt;=VAL_SERIAL)*1000000+64*1000+34))</f>
        <v/>
      </c>
      <c r="FM75" s="121">
        <f>IF(N('Dvd Calendar'!$AM$704)=0,"",IF(('Dvd Calendar'!$AM$704&gt;=GRID_FROM)*('Dvd Calendar'!$AM$704&lt;=GRID_TO)*((('Dvd Calendar'!$AM$704&lt;=VAL_DATE)+(COUNTIF('Dvd Calendar'!$E$711:$AR$711,'Dvd Calendar'!$AM$704)=0))&gt;0)=0,"",'Dvd Calendar'!$AM$704*1000000000+ISNUMBER('Dvd Calendar'!$AM$707)*100000000+('Dvd Calendar'!$AM$709=SPECIAL_LBL)*10000000+(N('Dvd Calendar'!$AM$703)&gt;0)*(N('Dvd Calendar'!$AM$703)&lt;=VAL_SERIAL)*1000000+64*1000+35))</f>
        <v/>
      </c>
      <c r="FN75" s="121">
        <f>IF(N('Dvd Calendar'!$AN$704)=0,"",IF(('Dvd Calendar'!$AN$704&gt;=GRID_FROM)*('Dvd Calendar'!$AN$704&lt;=GRID_TO)*((('Dvd Calendar'!$AN$704&lt;=VAL_DATE)+(COUNTIF('Dvd Calendar'!$E$711:$AR$711,'Dvd Calendar'!$AN$704)=0))&gt;0)=0,"",'Dvd Calendar'!$AN$704*1000000000+ISNUMBER('Dvd Calendar'!$AN$707)*100000000+('Dvd Calendar'!$AN$709=SPECIAL_LBL)*10000000+(N('Dvd Calendar'!$AN$703)&gt;0)*(N('Dvd Calendar'!$AN$703)&lt;=VAL_SERIAL)*1000000+64*1000+36))</f>
        <v/>
      </c>
      <c r="FO75" s="121">
        <f>IF(N('Dvd Calendar'!$AO$704)=0,"",IF(('Dvd Calendar'!$AO$704&gt;=GRID_FROM)*('Dvd Calendar'!$AO$704&lt;=GRID_TO)*((('Dvd Calendar'!$AO$704&lt;=VAL_DATE)+(COUNTIF('Dvd Calendar'!$E$711:$AR$711,'Dvd Calendar'!$AO$704)=0))&gt;0)=0,"",'Dvd Calendar'!$AO$704*1000000000+ISNUMBER('Dvd Calendar'!$AO$707)*100000000+('Dvd Calendar'!$AO$709=SPECIAL_LBL)*10000000+(N('Dvd Calendar'!$AO$703)&gt;0)*(N('Dvd Calendar'!$AO$703)&lt;=VAL_SERIAL)*1000000+64*1000+37))</f>
        <v/>
      </c>
      <c r="FP75" s="121">
        <f>IF(N('Dvd Calendar'!$AP$704)=0,"",IF(('Dvd Calendar'!$AP$704&gt;=GRID_FROM)*('Dvd Calendar'!$AP$704&lt;=GRID_TO)*((('Dvd Calendar'!$AP$704&lt;=VAL_DATE)+(COUNTIF('Dvd Calendar'!$E$711:$AR$711,'Dvd Calendar'!$AP$704)=0))&gt;0)=0,"",'Dvd Calendar'!$AP$704*1000000000+ISNUMBER('Dvd Calendar'!$AP$707)*100000000+('Dvd Calendar'!$AP$709=SPECIAL_LBL)*10000000+(N('Dvd Calendar'!$AP$703)&gt;0)*(N('Dvd Calendar'!$AP$703)&lt;=VAL_SERIAL)*1000000+64*1000+38))</f>
        <v/>
      </c>
      <c r="FQ75" s="121">
        <f>IF(N('Dvd Calendar'!$AQ$704)=0,"",IF(('Dvd Calendar'!$AQ$704&gt;=GRID_FROM)*('Dvd Calendar'!$AQ$704&lt;=GRID_TO)*((('Dvd Calendar'!$AQ$704&lt;=VAL_DATE)+(COUNTIF('Dvd Calendar'!$E$711:$AR$711,'Dvd Calendar'!$AQ$704)=0))&gt;0)=0,"",'Dvd Calendar'!$AQ$704*1000000000+ISNUMBER('Dvd Calendar'!$AQ$707)*100000000+('Dvd Calendar'!$AQ$709=SPECIAL_LBL)*10000000+(N('Dvd Calendar'!$AQ$703)&gt;0)*(N('Dvd Calendar'!$AQ$703)&lt;=VAL_SERIAL)*1000000+64*1000+39))</f>
        <v/>
      </c>
      <c r="FR75" s="121">
        <f>IF(N('Dvd Calendar'!$AR$704)=0,"",IF(('Dvd Calendar'!$AR$704&gt;=GRID_FROM)*('Dvd Calendar'!$AR$704&lt;=GRID_TO)*((('Dvd Calendar'!$AR$704&lt;=VAL_DATE)+(COUNTIF('Dvd Calendar'!$E$711:$AR$711,'Dvd Calendar'!$AR$704)=0))&gt;0)=0,"",'Dvd Calendar'!$AR$704*1000000000+ISNUMBER('Dvd Calendar'!$AR$707)*100000000+('Dvd Calendar'!$AR$709=SPECIAL_LBL)*10000000+(N('Dvd Calendar'!$AR$703)&gt;0)*(N('Dvd Calendar'!$AR$703)&lt;=VAL_SERIAL)*1000000+64*1000+40))</f>
        <v/>
      </c>
      <c r="FS75" s="121">
        <f>IF(N('Dvd Calendar'!$E$711)=0,"",IF(('Dvd Calendar'!$E$711&gt;=GRID_FROM)*('Dvd Calendar'!$E$711&lt;=GRID_TO)*('Dvd Calendar'!$E$711&gt;VAL_DATE)=0,"",'Dvd Calendar'!$E$711*1000000000+ISNUMBER('Dvd Calendar'!$E$712)*100000000+0*10000000+(N('Dvd Calendar'!$E$710)&gt;0)*(N('Dvd Calendar'!$E$710)&lt;=VAL_SERIAL)*1000000+64*1000+41))</f>
        <v/>
      </c>
      <c r="FT75" s="121">
        <f>IF(N('Dvd Calendar'!$F$711)=0,"",IF(('Dvd Calendar'!$F$711&gt;=GRID_FROM)*('Dvd Calendar'!$F$711&lt;=GRID_TO)*('Dvd Calendar'!$F$711&gt;VAL_DATE)=0,"",'Dvd Calendar'!$F$711*1000000000+ISNUMBER('Dvd Calendar'!$F$712)*100000000+0*10000000+(N('Dvd Calendar'!$F$710)&gt;0)*(N('Dvd Calendar'!$F$710)&lt;=VAL_SERIAL)*1000000+64*1000+42))</f>
        <v/>
      </c>
      <c r="FU75" s="121">
        <f>IF(N('Dvd Calendar'!$G$711)=0,"",IF(('Dvd Calendar'!$G$711&gt;=GRID_FROM)*('Dvd Calendar'!$G$711&lt;=GRID_TO)*('Dvd Calendar'!$G$711&gt;VAL_DATE)=0,"",'Dvd Calendar'!$G$711*1000000000+ISNUMBER('Dvd Calendar'!$G$712)*100000000+0*10000000+(N('Dvd Calendar'!$G$710)&gt;0)*(N('Dvd Calendar'!$G$710)&lt;=VAL_SERIAL)*1000000+64*1000+43))</f>
        <v/>
      </c>
      <c r="FV75" s="121">
        <f>IF(N('Dvd Calendar'!$H$711)=0,"",IF(('Dvd Calendar'!$H$711&gt;=GRID_FROM)*('Dvd Calendar'!$H$711&lt;=GRID_TO)*('Dvd Calendar'!$H$711&gt;VAL_DATE)=0,"",'Dvd Calendar'!$H$711*1000000000+ISNUMBER('Dvd Calendar'!$H$712)*100000000+0*10000000+(N('Dvd Calendar'!$H$710)&gt;0)*(N('Dvd Calendar'!$H$710)&lt;=VAL_SERIAL)*1000000+64*1000+44))</f>
        <v/>
      </c>
      <c r="FW75" s="121">
        <f>IF(N('Dvd Calendar'!$I$711)=0,"",IF(('Dvd Calendar'!$I$711&gt;=GRID_FROM)*('Dvd Calendar'!$I$711&lt;=GRID_TO)*('Dvd Calendar'!$I$711&gt;VAL_DATE)=0,"",'Dvd Calendar'!$I$711*1000000000+ISNUMBER('Dvd Calendar'!$I$712)*100000000+0*10000000+(N('Dvd Calendar'!$I$710)&gt;0)*(N('Dvd Calendar'!$I$710)&lt;=VAL_SERIAL)*1000000+64*1000+45))</f>
        <v/>
      </c>
      <c r="FX75" s="121">
        <f>IF(N('Dvd Calendar'!$J$711)=0,"",IF(('Dvd Calendar'!$J$711&gt;=GRID_FROM)*('Dvd Calendar'!$J$711&lt;=GRID_TO)*('Dvd Calendar'!$J$711&gt;VAL_DATE)=0,"",'Dvd Calendar'!$J$711*1000000000+ISNUMBER('Dvd Calendar'!$J$712)*100000000+0*10000000+(N('Dvd Calendar'!$J$710)&gt;0)*(N('Dvd Calendar'!$J$710)&lt;=VAL_SERIAL)*1000000+64*1000+46))</f>
        <v/>
      </c>
      <c r="FY75" s="121">
        <f>IF(N('Dvd Calendar'!$K$711)=0,"",IF(('Dvd Calendar'!$K$711&gt;=GRID_FROM)*('Dvd Calendar'!$K$711&lt;=GRID_TO)*('Dvd Calendar'!$K$711&gt;VAL_DATE)=0,"",'Dvd Calendar'!$K$711*1000000000+ISNUMBER('Dvd Calendar'!$K$712)*100000000+0*10000000+(N('Dvd Calendar'!$K$710)&gt;0)*(N('Dvd Calendar'!$K$710)&lt;=VAL_SERIAL)*1000000+64*1000+47))</f>
        <v/>
      </c>
      <c r="FZ75" s="121">
        <f>IF(N('Dvd Calendar'!$L$711)=0,"",IF(('Dvd Calendar'!$L$711&gt;=GRID_FROM)*('Dvd Calendar'!$L$711&lt;=GRID_TO)*('Dvd Calendar'!$L$711&gt;VAL_DATE)=0,"",'Dvd Calendar'!$L$711*1000000000+ISNUMBER('Dvd Calendar'!$L$712)*100000000+0*10000000+(N('Dvd Calendar'!$L$710)&gt;0)*(N('Dvd Calendar'!$L$710)&lt;=VAL_SERIAL)*1000000+64*1000+48))</f>
        <v/>
      </c>
      <c r="GA75" s="121">
        <f>IF(N('Dvd Calendar'!$M$711)=0,"",IF(('Dvd Calendar'!$M$711&gt;=GRID_FROM)*('Dvd Calendar'!$M$711&lt;=GRID_TO)*('Dvd Calendar'!$M$711&gt;VAL_DATE)=0,"",'Dvd Calendar'!$M$711*1000000000+ISNUMBER('Dvd Calendar'!$M$712)*100000000+0*10000000+(N('Dvd Calendar'!$M$710)&gt;0)*(N('Dvd Calendar'!$M$710)&lt;=VAL_SERIAL)*1000000+64*1000+49))</f>
        <v/>
      </c>
      <c r="GB75" s="121">
        <f>IF(N('Dvd Calendar'!$N$711)=0,"",IF(('Dvd Calendar'!$N$711&gt;=GRID_FROM)*('Dvd Calendar'!$N$711&lt;=GRID_TO)*('Dvd Calendar'!$N$711&gt;VAL_DATE)=0,"",'Dvd Calendar'!$N$711*1000000000+ISNUMBER('Dvd Calendar'!$N$712)*100000000+0*10000000+(N('Dvd Calendar'!$N$710)&gt;0)*(N('Dvd Calendar'!$N$710)&lt;=VAL_SERIAL)*1000000+64*1000+50))</f>
        <v/>
      </c>
      <c r="GC75" s="121">
        <f>IF(N('Dvd Calendar'!$O$711)=0,"",IF(('Dvd Calendar'!$O$711&gt;=GRID_FROM)*('Dvd Calendar'!$O$711&lt;=GRID_TO)*('Dvd Calendar'!$O$711&gt;VAL_DATE)=0,"",'Dvd Calendar'!$O$711*1000000000+ISNUMBER('Dvd Calendar'!$O$712)*100000000+0*10000000+(N('Dvd Calendar'!$O$710)&gt;0)*(N('Dvd Calendar'!$O$710)&lt;=VAL_SERIAL)*1000000+64*1000+51))</f>
        <v/>
      </c>
      <c r="GD75" s="121">
        <f>IF(N('Dvd Calendar'!$P$711)=0,"",IF(('Dvd Calendar'!$P$711&gt;=GRID_FROM)*('Dvd Calendar'!$P$711&lt;=GRID_TO)*('Dvd Calendar'!$P$711&gt;VAL_DATE)=0,"",'Dvd Calendar'!$P$711*1000000000+ISNUMBER('Dvd Calendar'!$P$712)*100000000+0*10000000+(N('Dvd Calendar'!$P$710)&gt;0)*(N('Dvd Calendar'!$P$710)&lt;=VAL_SERIAL)*1000000+64*1000+52))</f>
        <v/>
      </c>
      <c r="GE75" s="121">
        <f>IF(N('Dvd Calendar'!$Q$711)=0,"",IF(('Dvd Calendar'!$Q$711&gt;=GRID_FROM)*('Dvd Calendar'!$Q$711&lt;=GRID_TO)*('Dvd Calendar'!$Q$711&gt;VAL_DATE)=0,"",'Dvd Calendar'!$Q$711*1000000000+ISNUMBER('Dvd Calendar'!$Q$712)*100000000+0*10000000+(N('Dvd Calendar'!$Q$710)&gt;0)*(N('Dvd Calendar'!$Q$710)&lt;=VAL_SERIAL)*1000000+64*1000+53))</f>
        <v/>
      </c>
      <c r="GF75" s="121">
        <f>IF(N('Dvd Calendar'!$R$711)=0,"",IF(('Dvd Calendar'!$R$711&gt;=GRID_FROM)*('Dvd Calendar'!$R$711&lt;=GRID_TO)*('Dvd Calendar'!$R$711&gt;VAL_DATE)=0,"",'Dvd Calendar'!$R$711*1000000000+ISNUMBER('Dvd Calendar'!$R$712)*100000000+0*10000000+(N('Dvd Calendar'!$R$710)&gt;0)*(N('Dvd Calendar'!$R$710)&lt;=VAL_SERIAL)*1000000+64*1000+54))</f>
        <v/>
      </c>
      <c r="GG75" s="121">
        <f>IF(N('Dvd Calendar'!$S$711)=0,"",IF(('Dvd Calendar'!$S$711&gt;=GRID_FROM)*('Dvd Calendar'!$S$711&lt;=GRID_TO)*('Dvd Calendar'!$S$711&gt;VAL_DATE)=0,"",'Dvd Calendar'!$S$711*1000000000+ISNUMBER('Dvd Calendar'!$S$712)*100000000+0*10000000+(N('Dvd Calendar'!$S$710)&gt;0)*(N('Dvd Calendar'!$S$710)&lt;=VAL_SERIAL)*1000000+64*1000+55))</f>
        <v/>
      </c>
      <c r="GH75" s="121">
        <f>IF(N('Dvd Calendar'!$T$711)=0,"",IF(('Dvd Calendar'!$T$711&gt;=GRID_FROM)*('Dvd Calendar'!$T$711&lt;=GRID_TO)*('Dvd Calendar'!$T$711&gt;VAL_DATE)=0,"",'Dvd Calendar'!$T$711*1000000000+ISNUMBER('Dvd Calendar'!$T$712)*100000000+0*10000000+(N('Dvd Calendar'!$T$710)&gt;0)*(N('Dvd Calendar'!$T$710)&lt;=VAL_SERIAL)*1000000+64*1000+56))</f>
        <v/>
      </c>
      <c r="GI75" s="121">
        <f>IF(N('Dvd Calendar'!$U$711)=0,"",IF(('Dvd Calendar'!$U$711&gt;=GRID_FROM)*('Dvd Calendar'!$U$711&lt;=GRID_TO)*('Dvd Calendar'!$U$711&gt;VAL_DATE)=0,"",'Dvd Calendar'!$U$711*1000000000+ISNUMBER('Dvd Calendar'!$U$712)*100000000+0*10000000+(N('Dvd Calendar'!$U$710)&gt;0)*(N('Dvd Calendar'!$U$710)&lt;=VAL_SERIAL)*1000000+64*1000+57))</f>
        <v/>
      </c>
      <c r="GJ75" s="121">
        <f>IF(N('Dvd Calendar'!$V$711)=0,"",IF(('Dvd Calendar'!$V$711&gt;=GRID_FROM)*('Dvd Calendar'!$V$711&lt;=GRID_TO)*('Dvd Calendar'!$V$711&gt;VAL_DATE)=0,"",'Dvd Calendar'!$V$711*1000000000+ISNUMBER('Dvd Calendar'!$V$712)*100000000+0*10000000+(N('Dvd Calendar'!$V$710)&gt;0)*(N('Dvd Calendar'!$V$710)&lt;=VAL_SERIAL)*1000000+64*1000+58))</f>
        <v/>
      </c>
      <c r="GK75" s="121">
        <f>IF(N('Dvd Calendar'!$W$711)=0,"",IF(('Dvd Calendar'!$W$711&gt;=GRID_FROM)*('Dvd Calendar'!$W$711&lt;=GRID_TO)*('Dvd Calendar'!$W$711&gt;VAL_DATE)=0,"",'Dvd Calendar'!$W$711*1000000000+ISNUMBER('Dvd Calendar'!$W$712)*100000000+0*10000000+(N('Dvd Calendar'!$W$710)&gt;0)*(N('Dvd Calendar'!$W$710)&lt;=VAL_SERIAL)*1000000+64*1000+59))</f>
        <v/>
      </c>
      <c r="GL75" s="121">
        <f>IF(N('Dvd Calendar'!$X$711)=0,"",IF(('Dvd Calendar'!$X$711&gt;=GRID_FROM)*('Dvd Calendar'!$X$711&lt;=GRID_TO)*('Dvd Calendar'!$X$711&gt;VAL_DATE)=0,"",'Dvd Calendar'!$X$711*1000000000+ISNUMBER('Dvd Calendar'!$X$712)*100000000+0*10000000+(N('Dvd Calendar'!$X$710)&gt;0)*(N('Dvd Calendar'!$X$710)&lt;=VAL_SERIAL)*1000000+64*1000+60))</f>
        <v/>
      </c>
      <c r="GM75" s="121">
        <f>IF(N('Dvd Calendar'!$Y$711)=0,"",IF(('Dvd Calendar'!$Y$711&gt;=GRID_FROM)*('Dvd Calendar'!$Y$711&lt;=GRID_TO)*('Dvd Calendar'!$Y$711&gt;VAL_DATE)=0,"",'Dvd Calendar'!$Y$711*1000000000+ISNUMBER('Dvd Calendar'!$Y$712)*100000000+0*10000000+(N('Dvd Calendar'!$Y$710)&gt;0)*(N('Dvd Calendar'!$Y$710)&lt;=VAL_SERIAL)*1000000+64*1000+61))</f>
        <v/>
      </c>
      <c r="GN75" s="121">
        <f>IF(N('Dvd Calendar'!$Z$711)=0,"",IF(('Dvd Calendar'!$Z$711&gt;=GRID_FROM)*('Dvd Calendar'!$Z$711&lt;=GRID_TO)*('Dvd Calendar'!$Z$711&gt;VAL_DATE)=0,"",'Dvd Calendar'!$Z$711*1000000000+ISNUMBER('Dvd Calendar'!$Z$712)*100000000+0*10000000+(N('Dvd Calendar'!$Z$710)&gt;0)*(N('Dvd Calendar'!$Z$710)&lt;=VAL_SERIAL)*1000000+64*1000+62))</f>
        <v/>
      </c>
      <c r="GO75" s="121">
        <f>IF(N('Dvd Calendar'!$AA$711)=0,"",IF(('Dvd Calendar'!$AA$711&gt;=GRID_FROM)*('Dvd Calendar'!$AA$711&lt;=GRID_TO)*('Dvd Calendar'!$AA$711&gt;VAL_DATE)=0,"",'Dvd Calendar'!$AA$711*1000000000+ISNUMBER('Dvd Calendar'!$AA$712)*100000000+0*10000000+(N('Dvd Calendar'!$AA$710)&gt;0)*(N('Dvd Calendar'!$AA$710)&lt;=VAL_SERIAL)*1000000+64*1000+63))</f>
        <v/>
      </c>
      <c r="GP75" s="121">
        <f>IF(N('Dvd Calendar'!$AB$711)=0,"",IF(('Dvd Calendar'!$AB$711&gt;=GRID_FROM)*('Dvd Calendar'!$AB$711&lt;=GRID_TO)*('Dvd Calendar'!$AB$711&gt;VAL_DATE)=0,"",'Dvd Calendar'!$AB$711*1000000000+ISNUMBER('Dvd Calendar'!$AB$712)*100000000+0*10000000+(N('Dvd Calendar'!$AB$710)&gt;0)*(N('Dvd Calendar'!$AB$710)&lt;=VAL_SERIAL)*1000000+64*1000+64))</f>
        <v/>
      </c>
      <c r="GQ75" s="121">
        <f>IF(N('Dvd Calendar'!$AC$711)=0,"",IF(('Dvd Calendar'!$AC$711&gt;=GRID_FROM)*('Dvd Calendar'!$AC$711&lt;=GRID_TO)*('Dvd Calendar'!$AC$711&gt;VAL_DATE)=0,"",'Dvd Calendar'!$AC$711*1000000000+ISNUMBER('Dvd Calendar'!$AC$712)*100000000+0*10000000+(N('Dvd Calendar'!$AC$710)&gt;0)*(N('Dvd Calendar'!$AC$710)&lt;=VAL_SERIAL)*1000000+64*1000+65))</f>
        <v/>
      </c>
    </row>
    <row r="76">
      <c r="B76" s="2">
        <f>IF(HSI!$C$71="","",HSI!$C$71)</f>
        <v/>
      </c>
      <c r="C76" s="161">
        <f>IF(EE76="","",IF(ISNUMBER('Dvd Calendar'!$E$718)=FALSE,"",IF((('Dvd Calendar'!$E$720=TYPE1)*(TYPE1&lt;&gt;"")+('Dvd Calendar'!$E$720=TYPE2)*(TYPE2&lt;&gt;"")+('Dvd Calendar'!$E$720=TYPE3)*(TYPE3&lt;&gt;"")+('Dvd Calendar'!$E$720=TYPE4)*(TYPE4&lt;&gt;"")+('Dvd Calendar'!$E$720=SPECIAL_LBL)*(INC_SPECIALS="Y"))=0,"",'Dvd Calendar'!$E$718)))</f>
        <v/>
      </c>
      <c r="D76" s="161">
        <f>IF(EF76="","",IF(ISNUMBER('Dvd Calendar'!$F$718)=FALSE,"",IF((('Dvd Calendar'!$F$720=TYPE1)*(TYPE1&lt;&gt;"")+('Dvd Calendar'!$F$720=TYPE2)*(TYPE2&lt;&gt;"")+('Dvd Calendar'!$F$720=TYPE3)*(TYPE3&lt;&gt;"")+('Dvd Calendar'!$F$720=TYPE4)*(TYPE4&lt;&gt;"")+('Dvd Calendar'!$F$720=SPECIAL_LBL)*(INC_SPECIALS="Y"))=0,"",'Dvd Calendar'!$F$718)))</f>
        <v/>
      </c>
      <c r="E76" s="161">
        <f>IF(EG76="","",IF(ISNUMBER('Dvd Calendar'!$G$718)=FALSE,"",IF((('Dvd Calendar'!$G$720=TYPE1)*(TYPE1&lt;&gt;"")+('Dvd Calendar'!$G$720=TYPE2)*(TYPE2&lt;&gt;"")+('Dvd Calendar'!$G$720=TYPE3)*(TYPE3&lt;&gt;"")+('Dvd Calendar'!$G$720=TYPE4)*(TYPE4&lt;&gt;"")+('Dvd Calendar'!$G$720=SPECIAL_LBL)*(INC_SPECIALS="Y"))=0,"",'Dvd Calendar'!$G$718)))</f>
        <v/>
      </c>
      <c r="F76" s="161">
        <f>IF(EH76="","",IF(ISNUMBER('Dvd Calendar'!$H$718)=FALSE,"",IF((('Dvd Calendar'!$H$720=TYPE1)*(TYPE1&lt;&gt;"")+('Dvd Calendar'!$H$720=TYPE2)*(TYPE2&lt;&gt;"")+('Dvd Calendar'!$H$720=TYPE3)*(TYPE3&lt;&gt;"")+('Dvd Calendar'!$H$720=TYPE4)*(TYPE4&lt;&gt;"")+('Dvd Calendar'!$H$720=SPECIAL_LBL)*(INC_SPECIALS="Y"))=0,"",'Dvd Calendar'!$H$718)))</f>
        <v/>
      </c>
      <c r="G76" s="161">
        <f>IF(EI76="","",IF(ISNUMBER('Dvd Calendar'!$I$718)=FALSE,"",IF((('Dvd Calendar'!$I$720=TYPE1)*(TYPE1&lt;&gt;"")+('Dvd Calendar'!$I$720=TYPE2)*(TYPE2&lt;&gt;"")+('Dvd Calendar'!$I$720=TYPE3)*(TYPE3&lt;&gt;"")+('Dvd Calendar'!$I$720=TYPE4)*(TYPE4&lt;&gt;"")+('Dvd Calendar'!$I$720=SPECIAL_LBL)*(INC_SPECIALS="Y"))=0,"",'Dvd Calendar'!$I$718)))</f>
        <v/>
      </c>
      <c r="H76" s="161">
        <f>IF(EJ76="","",IF(ISNUMBER('Dvd Calendar'!$J$718)=FALSE,"",IF((('Dvd Calendar'!$J$720=TYPE1)*(TYPE1&lt;&gt;"")+('Dvd Calendar'!$J$720=TYPE2)*(TYPE2&lt;&gt;"")+('Dvd Calendar'!$J$720=TYPE3)*(TYPE3&lt;&gt;"")+('Dvd Calendar'!$J$720=TYPE4)*(TYPE4&lt;&gt;"")+('Dvd Calendar'!$J$720=SPECIAL_LBL)*(INC_SPECIALS="Y"))=0,"",'Dvd Calendar'!$J$718)))</f>
        <v/>
      </c>
      <c r="I76" s="161">
        <f>IF(EK76="","",IF(ISNUMBER('Dvd Calendar'!$K$718)=FALSE,"",IF((('Dvd Calendar'!$K$720=TYPE1)*(TYPE1&lt;&gt;"")+('Dvd Calendar'!$K$720=TYPE2)*(TYPE2&lt;&gt;"")+('Dvd Calendar'!$K$720=TYPE3)*(TYPE3&lt;&gt;"")+('Dvd Calendar'!$K$720=TYPE4)*(TYPE4&lt;&gt;"")+('Dvd Calendar'!$K$720=SPECIAL_LBL)*(INC_SPECIALS="Y"))=0,"",'Dvd Calendar'!$K$718)))</f>
        <v/>
      </c>
      <c r="J76" s="161">
        <f>IF(EL76="","",IF(ISNUMBER('Dvd Calendar'!$L$718)=FALSE,"",IF((('Dvd Calendar'!$L$720=TYPE1)*(TYPE1&lt;&gt;"")+('Dvd Calendar'!$L$720=TYPE2)*(TYPE2&lt;&gt;"")+('Dvd Calendar'!$L$720=TYPE3)*(TYPE3&lt;&gt;"")+('Dvd Calendar'!$L$720=TYPE4)*(TYPE4&lt;&gt;"")+('Dvd Calendar'!$L$720=SPECIAL_LBL)*(INC_SPECIALS="Y"))=0,"",'Dvd Calendar'!$L$718)))</f>
        <v/>
      </c>
      <c r="K76" s="161">
        <f>IF(EM76="","",IF(ISNUMBER('Dvd Calendar'!$M$718)=FALSE,"",IF((('Dvd Calendar'!$M$720=TYPE1)*(TYPE1&lt;&gt;"")+('Dvd Calendar'!$M$720=TYPE2)*(TYPE2&lt;&gt;"")+('Dvd Calendar'!$M$720=TYPE3)*(TYPE3&lt;&gt;"")+('Dvd Calendar'!$M$720=TYPE4)*(TYPE4&lt;&gt;"")+('Dvd Calendar'!$M$720=SPECIAL_LBL)*(INC_SPECIALS="Y"))=0,"",'Dvd Calendar'!$M$718)))</f>
        <v/>
      </c>
      <c r="L76" s="161">
        <f>IF(EN76="","",IF(ISNUMBER('Dvd Calendar'!$N$718)=FALSE,"",IF((('Dvd Calendar'!$N$720=TYPE1)*(TYPE1&lt;&gt;"")+('Dvd Calendar'!$N$720=TYPE2)*(TYPE2&lt;&gt;"")+('Dvd Calendar'!$N$720=TYPE3)*(TYPE3&lt;&gt;"")+('Dvd Calendar'!$N$720=TYPE4)*(TYPE4&lt;&gt;"")+('Dvd Calendar'!$N$720=SPECIAL_LBL)*(INC_SPECIALS="Y"))=0,"",'Dvd Calendar'!$N$718)))</f>
        <v/>
      </c>
      <c r="M76" s="161">
        <f>IF(EO76="","",IF(ISNUMBER('Dvd Calendar'!$O$718)=FALSE,"",IF((('Dvd Calendar'!$O$720=TYPE1)*(TYPE1&lt;&gt;"")+('Dvd Calendar'!$O$720=TYPE2)*(TYPE2&lt;&gt;"")+('Dvd Calendar'!$O$720=TYPE3)*(TYPE3&lt;&gt;"")+('Dvd Calendar'!$O$720=TYPE4)*(TYPE4&lt;&gt;"")+('Dvd Calendar'!$O$720=SPECIAL_LBL)*(INC_SPECIALS="Y"))=0,"",'Dvd Calendar'!$O$718)))</f>
        <v/>
      </c>
      <c r="N76" s="161">
        <f>IF(EP76="","",IF(ISNUMBER('Dvd Calendar'!$P$718)=FALSE,"",IF((('Dvd Calendar'!$P$720=TYPE1)*(TYPE1&lt;&gt;"")+('Dvd Calendar'!$P$720=TYPE2)*(TYPE2&lt;&gt;"")+('Dvd Calendar'!$P$720=TYPE3)*(TYPE3&lt;&gt;"")+('Dvd Calendar'!$P$720=TYPE4)*(TYPE4&lt;&gt;"")+('Dvd Calendar'!$P$720=SPECIAL_LBL)*(INC_SPECIALS="Y"))=0,"",'Dvd Calendar'!$P$718)))</f>
        <v/>
      </c>
      <c r="O76" s="161">
        <f>IF(EQ76="","",IF(ISNUMBER('Dvd Calendar'!$Q$718)=FALSE,"",IF((('Dvd Calendar'!$Q$720=TYPE1)*(TYPE1&lt;&gt;"")+('Dvd Calendar'!$Q$720=TYPE2)*(TYPE2&lt;&gt;"")+('Dvd Calendar'!$Q$720=TYPE3)*(TYPE3&lt;&gt;"")+('Dvd Calendar'!$Q$720=TYPE4)*(TYPE4&lt;&gt;"")+('Dvd Calendar'!$Q$720=SPECIAL_LBL)*(INC_SPECIALS="Y"))=0,"",'Dvd Calendar'!$Q$718)))</f>
        <v/>
      </c>
      <c r="P76" s="161">
        <f>IF(ER76="","",IF(ISNUMBER('Dvd Calendar'!$R$718)=FALSE,"",IF((('Dvd Calendar'!$R$720=TYPE1)*(TYPE1&lt;&gt;"")+('Dvd Calendar'!$R$720=TYPE2)*(TYPE2&lt;&gt;"")+('Dvd Calendar'!$R$720=TYPE3)*(TYPE3&lt;&gt;"")+('Dvd Calendar'!$R$720=TYPE4)*(TYPE4&lt;&gt;"")+('Dvd Calendar'!$R$720=SPECIAL_LBL)*(INC_SPECIALS="Y"))=0,"",'Dvd Calendar'!$R$718)))</f>
        <v/>
      </c>
      <c r="Q76" s="161">
        <f>IF(ES76="","",IF(ISNUMBER('Dvd Calendar'!$S$718)=FALSE,"",IF((('Dvd Calendar'!$S$720=TYPE1)*(TYPE1&lt;&gt;"")+('Dvd Calendar'!$S$720=TYPE2)*(TYPE2&lt;&gt;"")+('Dvd Calendar'!$S$720=TYPE3)*(TYPE3&lt;&gt;"")+('Dvd Calendar'!$S$720=TYPE4)*(TYPE4&lt;&gt;"")+('Dvd Calendar'!$S$720=SPECIAL_LBL)*(INC_SPECIALS="Y"))=0,"",'Dvd Calendar'!$S$718)))</f>
        <v/>
      </c>
      <c r="R76" s="161">
        <f>IF(ET76="","",IF(ISNUMBER('Dvd Calendar'!$T$718)=FALSE,"",IF((('Dvd Calendar'!$T$720=TYPE1)*(TYPE1&lt;&gt;"")+('Dvd Calendar'!$T$720=TYPE2)*(TYPE2&lt;&gt;"")+('Dvd Calendar'!$T$720=TYPE3)*(TYPE3&lt;&gt;"")+('Dvd Calendar'!$T$720=TYPE4)*(TYPE4&lt;&gt;"")+('Dvd Calendar'!$T$720=SPECIAL_LBL)*(INC_SPECIALS="Y"))=0,"",'Dvd Calendar'!$T$718)))</f>
        <v/>
      </c>
      <c r="S76" s="161">
        <f>IF(EU76="","",IF(ISNUMBER('Dvd Calendar'!$U$718)=FALSE,"",IF((('Dvd Calendar'!$U$720=TYPE1)*(TYPE1&lt;&gt;"")+('Dvd Calendar'!$U$720=TYPE2)*(TYPE2&lt;&gt;"")+('Dvd Calendar'!$U$720=TYPE3)*(TYPE3&lt;&gt;"")+('Dvd Calendar'!$U$720=TYPE4)*(TYPE4&lt;&gt;"")+('Dvd Calendar'!$U$720=SPECIAL_LBL)*(INC_SPECIALS="Y"))=0,"",'Dvd Calendar'!$U$718)))</f>
        <v/>
      </c>
      <c r="T76" s="161">
        <f>IF(EV76="","",IF(ISNUMBER('Dvd Calendar'!$V$718)=FALSE,"",IF((('Dvd Calendar'!$V$720=TYPE1)*(TYPE1&lt;&gt;"")+('Dvd Calendar'!$V$720=TYPE2)*(TYPE2&lt;&gt;"")+('Dvd Calendar'!$V$720=TYPE3)*(TYPE3&lt;&gt;"")+('Dvd Calendar'!$V$720=TYPE4)*(TYPE4&lt;&gt;"")+('Dvd Calendar'!$V$720=SPECIAL_LBL)*(INC_SPECIALS="Y"))=0,"",'Dvd Calendar'!$V$718)))</f>
        <v/>
      </c>
      <c r="U76" s="161">
        <f>IF(EW76="","",IF(ISNUMBER('Dvd Calendar'!$W$718)=FALSE,"",IF((('Dvd Calendar'!$W$720=TYPE1)*(TYPE1&lt;&gt;"")+('Dvd Calendar'!$W$720=TYPE2)*(TYPE2&lt;&gt;"")+('Dvd Calendar'!$W$720=TYPE3)*(TYPE3&lt;&gt;"")+('Dvd Calendar'!$W$720=TYPE4)*(TYPE4&lt;&gt;"")+('Dvd Calendar'!$W$720=SPECIAL_LBL)*(INC_SPECIALS="Y"))=0,"",'Dvd Calendar'!$W$718)))</f>
        <v/>
      </c>
      <c r="V76" s="161">
        <f>IF(EX76="","",IF(ISNUMBER('Dvd Calendar'!$X$718)=FALSE,"",IF((('Dvd Calendar'!$X$720=TYPE1)*(TYPE1&lt;&gt;"")+('Dvd Calendar'!$X$720=TYPE2)*(TYPE2&lt;&gt;"")+('Dvd Calendar'!$X$720=TYPE3)*(TYPE3&lt;&gt;"")+('Dvd Calendar'!$X$720=TYPE4)*(TYPE4&lt;&gt;"")+('Dvd Calendar'!$X$720=SPECIAL_LBL)*(INC_SPECIALS="Y"))=0,"",'Dvd Calendar'!$X$718)))</f>
        <v/>
      </c>
      <c r="W76" s="161">
        <f>IF(EY76="","",IF(ISNUMBER('Dvd Calendar'!$Y$718)=FALSE,"",IF((('Dvd Calendar'!$Y$720=TYPE1)*(TYPE1&lt;&gt;"")+('Dvd Calendar'!$Y$720=TYPE2)*(TYPE2&lt;&gt;"")+('Dvd Calendar'!$Y$720=TYPE3)*(TYPE3&lt;&gt;"")+('Dvd Calendar'!$Y$720=TYPE4)*(TYPE4&lt;&gt;"")+('Dvd Calendar'!$Y$720=SPECIAL_LBL)*(INC_SPECIALS="Y"))=0,"",'Dvd Calendar'!$Y$718)))</f>
        <v/>
      </c>
      <c r="X76" s="161">
        <f>IF(EZ76="","",IF(ISNUMBER('Dvd Calendar'!$Z$718)=FALSE,"",IF((('Dvd Calendar'!$Z$720=TYPE1)*(TYPE1&lt;&gt;"")+('Dvd Calendar'!$Z$720=TYPE2)*(TYPE2&lt;&gt;"")+('Dvd Calendar'!$Z$720=TYPE3)*(TYPE3&lt;&gt;"")+('Dvd Calendar'!$Z$720=TYPE4)*(TYPE4&lt;&gt;"")+('Dvd Calendar'!$Z$720=SPECIAL_LBL)*(INC_SPECIALS="Y"))=0,"",'Dvd Calendar'!$Z$718)))</f>
        <v/>
      </c>
      <c r="Y76" s="161">
        <f>IF(FA76="","",IF(ISNUMBER('Dvd Calendar'!$AA$718)=FALSE,"",IF((('Dvd Calendar'!$AA$720=TYPE1)*(TYPE1&lt;&gt;"")+('Dvd Calendar'!$AA$720=TYPE2)*(TYPE2&lt;&gt;"")+('Dvd Calendar'!$AA$720=TYPE3)*(TYPE3&lt;&gt;"")+('Dvd Calendar'!$AA$720=TYPE4)*(TYPE4&lt;&gt;"")+('Dvd Calendar'!$AA$720=SPECIAL_LBL)*(INC_SPECIALS="Y"))=0,"",'Dvd Calendar'!$AA$718)))</f>
        <v/>
      </c>
      <c r="Z76" s="161">
        <f>IF(FB76="","",IF(ISNUMBER('Dvd Calendar'!$AB$718)=FALSE,"",IF((('Dvd Calendar'!$AB$720=TYPE1)*(TYPE1&lt;&gt;"")+('Dvd Calendar'!$AB$720=TYPE2)*(TYPE2&lt;&gt;"")+('Dvd Calendar'!$AB$720=TYPE3)*(TYPE3&lt;&gt;"")+('Dvd Calendar'!$AB$720=TYPE4)*(TYPE4&lt;&gt;"")+('Dvd Calendar'!$AB$720=SPECIAL_LBL)*(INC_SPECIALS="Y"))=0,"",'Dvd Calendar'!$AB$718)))</f>
        <v/>
      </c>
      <c r="AA76" s="161">
        <f>IF(FC76="","",IF(ISNUMBER('Dvd Calendar'!$AC$718)=FALSE,"",IF((('Dvd Calendar'!$AC$720=TYPE1)*(TYPE1&lt;&gt;"")+('Dvd Calendar'!$AC$720=TYPE2)*(TYPE2&lt;&gt;"")+('Dvd Calendar'!$AC$720=TYPE3)*(TYPE3&lt;&gt;"")+('Dvd Calendar'!$AC$720=TYPE4)*(TYPE4&lt;&gt;"")+('Dvd Calendar'!$AC$720=SPECIAL_LBL)*(INC_SPECIALS="Y"))=0,"",'Dvd Calendar'!$AC$718)))</f>
        <v/>
      </c>
      <c r="AB76" s="161">
        <f>IF(FD76="","",IF(ISNUMBER('Dvd Calendar'!$AD$718)=FALSE,"",IF((('Dvd Calendar'!$AD$720=TYPE1)*(TYPE1&lt;&gt;"")+('Dvd Calendar'!$AD$720=TYPE2)*(TYPE2&lt;&gt;"")+('Dvd Calendar'!$AD$720=TYPE3)*(TYPE3&lt;&gt;"")+('Dvd Calendar'!$AD$720=TYPE4)*(TYPE4&lt;&gt;"")+('Dvd Calendar'!$AD$720=SPECIAL_LBL)*(INC_SPECIALS="Y"))=0,"",'Dvd Calendar'!$AD$718)))</f>
        <v/>
      </c>
      <c r="AC76" s="161">
        <f>IF(FE76="","",IF(ISNUMBER('Dvd Calendar'!$AE$718)=FALSE,"",IF((('Dvd Calendar'!$AE$720=TYPE1)*(TYPE1&lt;&gt;"")+('Dvd Calendar'!$AE$720=TYPE2)*(TYPE2&lt;&gt;"")+('Dvd Calendar'!$AE$720=TYPE3)*(TYPE3&lt;&gt;"")+('Dvd Calendar'!$AE$720=TYPE4)*(TYPE4&lt;&gt;"")+('Dvd Calendar'!$AE$720=SPECIAL_LBL)*(INC_SPECIALS="Y"))=0,"",'Dvd Calendar'!$AE$718)))</f>
        <v/>
      </c>
      <c r="AD76" s="161">
        <f>IF(FF76="","",IF(ISNUMBER('Dvd Calendar'!$AF$718)=FALSE,"",IF((('Dvd Calendar'!$AF$720=TYPE1)*(TYPE1&lt;&gt;"")+('Dvd Calendar'!$AF$720=TYPE2)*(TYPE2&lt;&gt;"")+('Dvd Calendar'!$AF$720=TYPE3)*(TYPE3&lt;&gt;"")+('Dvd Calendar'!$AF$720=TYPE4)*(TYPE4&lt;&gt;"")+('Dvd Calendar'!$AF$720=SPECIAL_LBL)*(INC_SPECIALS="Y"))=0,"",'Dvd Calendar'!$AF$718)))</f>
        <v/>
      </c>
      <c r="AE76" s="161">
        <f>IF(FG76="","",IF(ISNUMBER('Dvd Calendar'!$AG$718)=FALSE,"",IF((('Dvd Calendar'!$AG$720=TYPE1)*(TYPE1&lt;&gt;"")+('Dvd Calendar'!$AG$720=TYPE2)*(TYPE2&lt;&gt;"")+('Dvd Calendar'!$AG$720=TYPE3)*(TYPE3&lt;&gt;"")+('Dvd Calendar'!$AG$720=TYPE4)*(TYPE4&lt;&gt;"")+('Dvd Calendar'!$AG$720=SPECIAL_LBL)*(INC_SPECIALS="Y"))=0,"",'Dvd Calendar'!$AG$718)))</f>
        <v/>
      </c>
      <c r="AF76" s="161">
        <f>IF(FH76="","",IF(ISNUMBER('Dvd Calendar'!$AH$718)=FALSE,"",IF((('Dvd Calendar'!$AH$720=TYPE1)*(TYPE1&lt;&gt;"")+('Dvd Calendar'!$AH$720=TYPE2)*(TYPE2&lt;&gt;"")+('Dvd Calendar'!$AH$720=TYPE3)*(TYPE3&lt;&gt;"")+('Dvd Calendar'!$AH$720=TYPE4)*(TYPE4&lt;&gt;"")+('Dvd Calendar'!$AH$720=SPECIAL_LBL)*(INC_SPECIALS="Y"))=0,"",'Dvd Calendar'!$AH$718)))</f>
        <v/>
      </c>
      <c r="AG76" s="161">
        <f>IF(FI76="","",IF(ISNUMBER('Dvd Calendar'!$AI$718)=FALSE,"",IF((('Dvd Calendar'!$AI$720=TYPE1)*(TYPE1&lt;&gt;"")+('Dvd Calendar'!$AI$720=TYPE2)*(TYPE2&lt;&gt;"")+('Dvd Calendar'!$AI$720=TYPE3)*(TYPE3&lt;&gt;"")+('Dvd Calendar'!$AI$720=TYPE4)*(TYPE4&lt;&gt;"")+('Dvd Calendar'!$AI$720=SPECIAL_LBL)*(INC_SPECIALS="Y"))=0,"",'Dvd Calendar'!$AI$718)))</f>
        <v/>
      </c>
      <c r="AH76" s="161">
        <f>IF(FJ76="","",IF(ISNUMBER('Dvd Calendar'!$AJ$718)=FALSE,"",IF((('Dvd Calendar'!$AJ$720=TYPE1)*(TYPE1&lt;&gt;"")+('Dvd Calendar'!$AJ$720=TYPE2)*(TYPE2&lt;&gt;"")+('Dvd Calendar'!$AJ$720=TYPE3)*(TYPE3&lt;&gt;"")+('Dvd Calendar'!$AJ$720=TYPE4)*(TYPE4&lt;&gt;"")+('Dvd Calendar'!$AJ$720=SPECIAL_LBL)*(INC_SPECIALS="Y"))=0,"",'Dvd Calendar'!$AJ$718)))</f>
        <v/>
      </c>
      <c r="AI76" s="161">
        <f>IF(FK76="","",IF(ISNUMBER('Dvd Calendar'!$AK$718)=FALSE,"",IF((('Dvd Calendar'!$AK$720=TYPE1)*(TYPE1&lt;&gt;"")+('Dvd Calendar'!$AK$720=TYPE2)*(TYPE2&lt;&gt;"")+('Dvd Calendar'!$AK$720=TYPE3)*(TYPE3&lt;&gt;"")+('Dvd Calendar'!$AK$720=TYPE4)*(TYPE4&lt;&gt;"")+('Dvd Calendar'!$AK$720=SPECIAL_LBL)*(INC_SPECIALS="Y"))=0,"",'Dvd Calendar'!$AK$718)))</f>
        <v/>
      </c>
      <c r="AJ76" s="161">
        <f>IF(FL76="","",IF(ISNUMBER('Dvd Calendar'!$AL$718)=FALSE,"",IF((('Dvd Calendar'!$AL$720=TYPE1)*(TYPE1&lt;&gt;"")+('Dvd Calendar'!$AL$720=TYPE2)*(TYPE2&lt;&gt;"")+('Dvd Calendar'!$AL$720=TYPE3)*(TYPE3&lt;&gt;"")+('Dvd Calendar'!$AL$720=TYPE4)*(TYPE4&lt;&gt;"")+('Dvd Calendar'!$AL$720=SPECIAL_LBL)*(INC_SPECIALS="Y"))=0,"",'Dvd Calendar'!$AL$718)))</f>
        <v/>
      </c>
      <c r="AK76" s="161">
        <f>IF(FM76="","",IF(ISNUMBER('Dvd Calendar'!$AM$718)=FALSE,"",IF((('Dvd Calendar'!$AM$720=TYPE1)*(TYPE1&lt;&gt;"")+('Dvd Calendar'!$AM$720=TYPE2)*(TYPE2&lt;&gt;"")+('Dvd Calendar'!$AM$720=TYPE3)*(TYPE3&lt;&gt;"")+('Dvd Calendar'!$AM$720=TYPE4)*(TYPE4&lt;&gt;"")+('Dvd Calendar'!$AM$720=SPECIAL_LBL)*(INC_SPECIALS="Y"))=0,"",'Dvd Calendar'!$AM$718)))</f>
        <v/>
      </c>
      <c r="AL76" s="161">
        <f>IF(FN76="","",IF(ISNUMBER('Dvd Calendar'!$AN$718)=FALSE,"",IF((('Dvd Calendar'!$AN$720=TYPE1)*(TYPE1&lt;&gt;"")+('Dvd Calendar'!$AN$720=TYPE2)*(TYPE2&lt;&gt;"")+('Dvd Calendar'!$AN$720=TYPE3)*(TYPE3&lt;&gt;"")+('Dvd Calendar'!$AN$720=TYPE4)*(TYPE4&lt;&gt;"")+('Dvd Calendar'!$AN$720=SPECIAL_LBL)*(INC_SPECIALS="Y"))=0,"",'Dvd Calendar'!$AN$718)))</f>
        <v/>
      </c>
      <c r="AM76" s="161">
        <f>IF(FO76="","",IF(ISNUMBER('Dvd Calendar'!$AO$718)=FALSE,"",IF((('Dvd Calendar'!$AO$720=TYPE1)*(TYPE1&lt;&gt;"")+('Dvd Calendar'!$AO$720=TYPE2)*(TYPE2&lt;&gt;"")+('Dvd Calendar'!$AO$720=TYPE3)*(TYPE3&lt;&gt;"")+('Dvd Calendar'!$AO$720=TYPE4)*(TYPE4&lt;&gt;"")+('Dvd Calendar'!$AO$720=SPECIAL_LBL)*(INC_SPECIALS="Y"))=0,"",'Dvd Calendar'!$AO$718)))</f>
        <v/>
      </c>
      <c r="AN76" s="161">
        <f>IF(FP76="","",IF(ISNUMBER('Dvd Calendar'!$AP$718)=FALSE,"",IF((('Dvd Calendar'!$AP$720=TYPE1)*(TYPE1&lt;&gt;"")+('Dvd Calendar'!$AP$720=TYPE2)*(TYPE2&lt;&gt;"")+('Dvd Calendar'!$AP$720=TYPE3)*(TYPE3&lt;&gt;"")+('Dvd Calendar'!$AP$720=TYPE4)*(TYPE4&lt;&gt;"")+('Dvd Calendar'!$AP$720=SPECIAL_LBL)*(INC_SPECIALS="Y"))=0,"",'Dvd Calendar'!$AP$718)))</f>
        <v/>
      </c>
      <c r="AO76" s="161">
        <f>IF(FQ76="","",IF(ISNUMBER('Dvd Calendar'!$AQ$718)=FALSE,"",IF((('Dvd Calendar'!$AQ$720=TYPE1)*(TYPE1&lt;&gt;"")+('Dvd Calendar'!$AQ$720=TYPE2)*(TYPE2&lt;&gt;"")+('Dvd Calendar'!$AQ$720=TYPE3)*(TYPE3&lt;&gt;"")+('Dvd Calendar'!$AQ$720=TYPE4)*(TYPE4&lt;&gt;"")+('Dvd Calendar'!$AQ$720=SPECIAL_LBL)*(INC_SPECIALS="Y"))=0,"",'Dvd Calendar'!$AQ$718)))</f>
        <v/>
      </c>
      <c r="AP76" s="161">
        <f>IF(FR76="","",IF(ISNUMBER('Dvd Calendar'!$AR$718)=FALSE,"",IF((('Dvd Calendar'!$AR$720=TYPE1)*(TYPE1&lt;&gt;"")+('Dvd Calendar'!$AR$720=TYPE2)*(TYPE2&lt;&gt;"")+('Dvd Calendar'!$AR$720=TYPE3)*(TYPE3&lt;&gt;"")+('Dvd Calendar'!$AR$720=TYPE4)*(TYPE4&lt;&gt;"")+('Dvd Calendar'!$AR$720=SPECIAL_LBL)*(INC_SPECIALS="Y"))=0,"",'Dvd Calendar'!$AR$718)))</f>
        <v/>
      </c>
      <c r="AQ76" s="161">
        <f>IF(FS76="","",IF(ISNUMBER('Dvd Calendar'!$E$723)=FALSE,"",'Dvd Calendar'!$E$723))</f>
        <v/>
      </c>
      <c r="AR76" s="161">
        <f>IF(FT76="","",IF(ISNUMBER('Dvd Calendar'!$F$723)=FALSE,"",'Dvd Calendar'!$F$723))</f>
        <v/>
      </c>
      <c r="AS76" s="161">
        <f>IF(FU76="","",IF(ISNUMBER('Dvd Calendar'!$G$723)=FALSE,"",'Dvd Calendar'!$G$723))</f>
        <v/>
      </c>
      <c r="AT76" s="161">
        <f>IF(FV76="","",IF(ISNUMBER('Dvd Calendar'!$H$723)=FALSE,"",'Dvd Calendar'!$H$723))</f>
        <v/>
      </c>
      <c r="AU76" s="161">
        <f>IF(FW76="","",IF(ISNUMBER('Dvd Calendar'!$I$723)=FALSE,"",'Dvd Calendar'!$I$723))</f>
        <v/>
      </c>
      <c r="AV76" s="161">
        <f>IF(FX76="","",IF(ISNUMBER('Dvd Calendar'!$J$723)=FALSE,"",'Dvd Calendar'!$J$723))</f>
        <v/>
      </c>
      <c r="AW76" s="161">
        <f>IF(FY76="","",IF(ISNUMBER('Dvd Calendar'!$K$723)=FALSE,"",'Dvd Calendar'!$K$723))</f>
        <v/>
      </c>
      <c r="AX76" s="161">
        <f>IF(FZ76="","",IF(ISNUMBER('Dvd Calendar'!$L$723)=FALSE,"",'Dvd Calendar'!$L$723))</f>
        <v/>
      </c>
      <c r="AY76" s="161">
        <f>IF(GA76="","",IF(ISNUMBER('Dvd Calendar'!$M$723)=FALSE,"",'Dvd Calendar'!$M$723))</f>
        <v/>
      </c>
      <c r="AZ76" s="161">
        <f>IF(GB76="","",IF(ISNUMBER('Dvd Calendar'!$N$723)=FALSE,"",'Dvd Calendar'!$N$723))</f>
        <v/>
      </c>
      <c r="BA76" s="161">
        <f>IF(GC76="","",IF(ISNUMBER('Dvd Calendar'!$O$723)=FALSE,"",'Dvd Calendar'!$O$723))</f>
        <v/>
      </c>
      <c r="BB76" s="161">
        <f>IF(GD76="","",IF(ISNUMBER('Dvd Calendar'!$P$723)=FALSE,"",'Dvd Calendar'!$P$723))</f>
        <v/>
      </c>
      <c r="BC76" s="161">
        <f>IF(GE76="","",IF(ISNUMBER('Dvd Calendar'!$Q$723)=FALSE,"",'Dvd Calendar'!$Q$723))</f>
        <v/>
      </c>
      <c r="BD76" s="161">
        <f>IF(GF76="","",IF(ISNUMBER('Dvd Calendar'!$R$723)=FALSE,"",'Dvd Calendar'!$R$723))</f>
        <v/>
      </c>
      <c r="BE76" s="161">
        <f>IF(GG76="","",IF(ISNUMBER('Dvd Calendar'!$S$723)=FALSE,"",'Dvd Calendar'!$S$723))</f>
        <v/>
      </c>
      <c r="BF76" s="161">
        <f>IF(GH76="","",IF(ISNUMBER('Dvd Calendar'!$T$723)=FALSE,"",'Dvd Calendar'!$T$723))</f>
        <v/>
      </c>
      <c r="BG76" s="161">
        <f>IF(GI76="","",IF(ISNUMBER('Dvd Calendar'!$U$723)=FALSE,"",'Dvd Calendar'!$U$723))</f>
        <v/>
      </c>
      <c r="BH76" s="161">
        <f>IF(GJ76="","",IF(ISNUMBER('Dvd Calendar'!$V$723)=FALSE,"",'Dvd Calendar'!$V$723))</f>
        <v/>
      </c>
      <c r="BI76" s="161">
        <f>IF(GK76="","",IF(ISNUMBER('Dvd Calendar'!$W$723)=FALSE,"",'Dvd Calendar'!$W$723))</f>
        <v/>
      </c>
      <c r="BJ76" s="161">
        <f>IF(GL76="","",IF(ISNUMBER('Dvd Calendar'!$X$723)=FALSE,"",'Dvd Calendar'!$X$723))</f>
        <v/>
      </c>
      <c r="BK76" s="161">
        <f>IF(GM76="","",IF(ISNUMBER('Dvd Calendar'!$Y$723)=FALSE,"",'Dvd Calendar'!$Y$723))</f>
        <v/>
      </c>
      <c r="BL76" s="161">
        <f>IF(GN76="","",IF(ISNUMBER('Dvd Calendar'!$Z$723)=FALSE,"",'Dvd Calendar'!$Z$723))</f>
        <v/>
      </c>
      <c r="BM76" s="161">
        <f>IF(GO76="","",IF(ISNUMBER('Dvd Calendar'!$AA$723)=FALSE,"",'Dvd Calendar'!$AA$723))</f>
        <v/>
      </c>
      <c r="BN76" s="161">
        <f>IF(GP76="","",IF(ISNUMBER('Dvd Calendar'!$AB$723)=FALSE,"",'Dvd Calendar'!$AB$723))</f>
        <v/>
      </c>
      <c r="BO76" s="161">
        <f>IF(GQ76="","",IF(ISNUMBER('Dvd Calendar'!$AC$723)=FALSE,"",'Dvd Calendar'!$AC$723))</f>
        <v/>
      </c>
      <c r="BQ76" s="161">
        <f>IF(C76="","",IFERROR(C76*HSI!$B$71*HSI!$G$71/HSI!$B$3,""))</f>
        <v/>
      </c>
      <c r="BR76" s="161">
        <f>IF(D76="","",IFERROR(D76*HSI!$B$71*HSI!$G$71/HSI!$B$3,""))</f>
        <v/>
      </c>
      <c r="BS76" s="161">
        <f>IF(E76="","",IFERROR(E76*HSI!$B$71*HSI!$G$71/HSI!$B$3,""))</f>
        <v/>
      </c>
      <c r="BT76" s="161">
        <f>IF(F76="","",IFERROR(F76*HSI!$B$71*HSI!$G$71/HSI!$B$3,""))</f>
        <v/>
      </c>
      <c r="BU76" s="161">
        <f>IF(G76="","",IFERROR(G76*HSI!$B$71*HSI!$G$71/HSI!$B$3,""))</f>
        <v/>
      </c>
      <c r="BV76" s="161">
        <f>IF(H76="","",IFERROR(H76*HSI!$B$71*HSI!$G$71/HSI!$B$3,""))</f>
        <v/>
      </c>
      <c r="BW76" s="161">
        <f>IF(I76="","",IFERROR(I76*HSI!$B$71*HSI!$G$71/HSI!$B$3,""))</f>
        <v/>
      </c>
      <c r="BX76" s="161">
        <f>IF(J76="","",IFERROR(J76*HSI!$B$71*HSI!$G$71/HSI!$B$3,""))</f>
        <v/>
      </c>
      <c r="BY76" s="161">
        <f>IF(K76="","",IFERROR(K76*HSI!$B$71*HSI!$G$71/HSI!$B$3,""))</f>
        <v/>
      </c>
      <c r="BZ76" s="161">
        <f>IF(L76="","",IFERROR(L76*HSI!$B$71*HSI!$G$71/HSI!$B$3,""))</f>
        <v/>
      </c>
      <c r="CA76" s="161">
        <f>IF(M76="","",IFERROR(M76*HSI!$B$71*HSI!$G$71/HSI!$B$3,""))</f>
        <v/>
      </c>
      <c r="CB76" s="161">
        <f>IF(N76="","",IFERROR(N76*HSI!$B$71*HSI!$G$71/HSI!$B$3,""))</f>
        <v/>
      </c>
      <c r="CC76" s="161">
        <f>IF(O76="","",IFERROR(O76*HSI!$B$71*HSI!$G$71/HSI!$B$3,""))</f>
        <v/>
      </c>
      <c r="CD76" s="161">
        <f>IF(P76="","",IFERROR(P76*HSI!$B$71*HSI!$G$71/HSI!$B$3,""))</f>
        <v/>
      </c>
      <c r="CE76" s="161">
        <f>IF(Q76="","",IFERROR(Q76*HSI!$B$71*HSI!$G$71/HSI!$B$3,""))</f>
        <v/>
      </c>
      <c r="CF76" s="161">
        <f>IF(R76="","",IFERROR(R76*HSI!$B$71*HSI!$G$71/HSI!$B$3,""))</f>
        <v/>
      </c>
      <c r="CG76" s="161">
        <f>IF(S76="","",IFERROR(S76*HSI!$B$71*HSI!$G$71/HSI!$B$3,""))</f>
        <v/>
      </c>
      <c r="CH76" s="161">
        <f>IF(T76="","",IFERROR(T76*HSI!$B$71*HSI!$G$71/HSI!$B$3,""))</f>
        <v/>
      </c>
      <c r="CI76" s="161">
        <f>IF(U76="","",IFERROR(U76*HSI!$B$71*HSI!$G$71/HSI!$B$3,""))</f>
        <v/>
      </c>
      <c r="CJ76" s="161">
        <f>IF(V76="","",IFERROR(V76*HSI!$B$71*HSI!$G$71/HSI!$B$3,""))</f>
        <v/>
      </c>
      <c r="CK76" s="161">
        <f>IF(W76="","",IFERROR(W76*HSI!$B$71*HSI!$G$71/HSI!$B$3,""))</f>
        <v/>
      </c>
      <c r="CL76" s="161">
        <f>IF(X76="","",IFERROR(X76*HSI!$B$71*HSI!$G$71/HSI!$B$3,""))</f>
        <v/>
      </c>
      <c r="CM76" s="161">
        <f>IF(Y76="","",IFERROR(Y76*HSI!$B$71*HSI!$G$71/HSI!$B$3,""))</f>
        <v/>
      </c>
      <c r="CN76" s="161">
        <f>IF(Z76="","",IFERROR(Z76*HSI!$B$71*HSI!$G$71/HSI!$B$3,""))</f>
        <v/>
      </c>
      <c r="CO76" s="161">
        <f>IF(AA76="","",IFERROR(AA76*HSI!$B$71*HSI!$G$71/HSI!$B$3,""))</f>
        <v/>
      </c>
      <c r="CP76" s="161">
        <f>IF(AB76="","",IFERROR(AB76*HSI!$B$71*HSI!$G$71/HSI!$B$3,""))</f>
        <v/>
      </c>
      <c r="CQ76" s="161">
        <f>IF(AC76="","",IFERROR(AC76*HSI!$B$71*HSI!$G$71/HSI!$B$3,""))</f>
        <v/>
      </c>
      <c r="CR76" s="161">
        <f>IF(AD76="","",IFERROR(AD76*HSI!$B$71*HSI!$G$71/HSI!$B$3,""))</f>
        <v/>
      </c>
      <c r="CS76" s="161">
        <f>IF(AE76="","",IFERROR(AE76*HSI!$B$71*HSI!$G$71/HSI!$B$3,""))</f>
        <v/>
      </c>
      <c r="CT76" s="161">
        <f>IF(AF76="","",IFERROR(AF76*HSI!$B$71*HSI!$G$71/HSI!$B$3,""))</f>
        <v/>
      </c>
      <c r="CU76" s="161">
        <f>IF(AG76="","",IFERROR(AG76*HSI!$B$71*HSI!$G$71/HSI!$B$3,""))</f>
        <v/>
      </c>
      <c r="CV76" s="161">
        <f>IF(AH76="","",IFERROR(AH76*HSI!$B$71*HSI!$G$71/HSI!$B$3,""))</f>
        <v/>
      </c>
      <c r="CW76" s="161">
        <f>IF(AI76="","",IFERROR(AI76*HSI!$B$71*HSI!$G$71/HSI!$B$3,""))</f>
        <v/>
      </c>
      <c r="CX76" s="161">
        <f>IF(AJ76="","",IFERROR(AJ76*HSI!$B$71*HSI!$G$71/HSI!$B$3,""))</f>
        <v/>
      </c>
      <c r="CY76" s="161">
        <f>IF(AK76="","",IFERROR(AK76*HSI!$B$71*HSI!$G$71/HSI!$B$3,""))</f>
        <v/>
      </c>
      <c r="CZ76" s="161">
        <f>IF(AL76="","",IFERROR(AL76*HSI!$B$71*HSI!$G$71/HSI!$B$3,""))</f>
        <v/>
      </c>
      <c r="DA76" s="161">
        <f>IF(AM76="","",IFERROR(AM76*HSI!$B$71*HSI!$G$71/HSI!$B$3,""))</f>
        <v/>
      </c>
      <c r="DB76" s="161">
        <f>IF(AN76="","",IFERROR(AN76*HSI!$B$71*HSI!$G$71/HSI!$B$3,""))</f>
        <v/>
      </c>
      <c r="DC76" s="161">
        <f>IF(AO76="","",IFERROR(AO76*HSI!$B$71*HSI!$G$71/HSI!$B$3,""))</f>
        <v/>
      </c>
      <c r="DD76" s="161">
        <f>IF(AP76="","",IFERROR(AP76*HSI!$B$71*HSI!$G$71/HSI!$B$3,""))</f>
        <v/>
      </c>
      <c r="DE76" s="161">
        <f>IF(AQ76="","",IFERROR(AQ76*HSI!$B$71*HSI!$G$71/HSI!$B$3,""))</f>
        <v/>
      </c>
      <c r="DF76" s="161">
        <f>IF(AR76="","",IFERROR(AR76*HSI!$B$71*HSI!$G$71/HSI!$B$3,""))</f>
        <v/>
      </c>
      <c r="DG76" s="161">
        <f>IF(AS76="","",IFERROR(AS76*HSI!$B$71*HSI!$G$71/HSI!$B$3,""))</f>
        <v/>
      </c>
      <c r="DH76" s="161">
        <f>IF(AT76="","",IFERROR(AT76*HSI!$B$71*HSI!$G$71/HSI!$B$3,""))</f>
        <v/>
      </c>
      <c r="DI76" s="161">
        <f>IF(AU76="","",IFERROR(AU76*HSI!$B$71*HSI!$G$71/HSI!$B$3,""))</f>
        <v/>
      </c>
      <c r="DJ76" s="161">
        <f>IF(AV76="","",IFERROR(AV76*HSI!$B$71*HSI!$G$71/HSI!$B$3,""))</f>
        <v/>
      </c>
      <c r="DK76" s="161">
        <f>IF(AW76="","",IFERROR(AW76*HSI!$B$71*HSI!$G$71/HSI!$B$3,""))</f>
        <v/>
      </c>
      <c r="DL76" s="161">
        <f>IF(AX76="","",IFERROR(AX76*HSI!$B$71*HSI!$G$71/HSI!$B$3,""))</f>
        <v/>
      </c>
      <c r="DM76" s="161">
        <f>IF(AY76="","",IFERROR(AY76*HSI!$B$71*HSI!$G$71/HSI!$B$3,""))</f>
        <v/>
      </c>
      <c r="DN76" s="161">
        <f>IF(AZ76="","",IFERROR(AZ76*HSI!$B$71*HSI!$G$71/HSI!$B$3,""))</f>
        <v/>
      </c>
      <c r="DO76" s="161">
        <f>IF(BA76="","",IFERROR(BA76*HSI!$B$71*HSI!$G$71/HSI!$B$3,""))</f>
        <v/>
      </c>
      <c r="DP76" s="161">
        <f>IF(BB76="","",IFERROR(BB76*HSI!$B$71*HSI!$G$71/HSI!$B$3,""))</f>
        <v/>
      </c>
      <c r="DQ76" s="161">
        <f>IF(BC76="","",IFERROR(BC76*HSI!$B$71*HSI!$G$71/HSI!$B$3,""))</f>
        <v/>
      </c>
      <c r="DR76" s="161">
        <f>IF(BD76="","",IFERROR(BD76*HSI!$B$71*HSI!$G$71/HSI!$B$3,""))</f>
        <v/>
      </c>
      <c r="DS76" s="161">
        <f>IF(BE76="","",IFERROR(BE76*HSI!$B$71*HSI!$G$71/HSI!$B$3,""))</f>
        <v/>
      </c>
      <c r="DT76" s="161">
        <f>IF(BF76="","",IFERROR(BF76*HSI!$B$71*HSI!$G$71/HSI!$B$3,""))</f>
        <v/>
      </c>
      <c r="DU76" s="161">
        <f>IF(BG76="","",IFERROR(BG76*HSI!$B$71*HSI!$G$71/HSI!$B$3,""))</f>
        <v/>
      </c>
      <c r="DV76" s="161">
        <f>IF(BH76="","",IFERROR(BH76*HSI!$B$71*HSI!$G$71/HSI!$B$3,""))</f>
        <v/>
      </c>
      <c r="DW76" s="161">
        <f>IF(BI76="","",IFERROR(BI76*HSI!$B$71*HSI!$G$71/HSI!$B$3,""))</f>
        <v/>
      </c>
      <c r="DX76" s="161">
        <f>IF(BJ76="","",IFERROR(BJ76*HSI!$B$71*HSI!$G$71/HSI!$B$3,""))</f>
        <v/>
      </c>
      <c r="DY76" s="161">
        <f>IF(BK76="","",IFERROR(BK76*HSI!$B$71*HSI!$G$71/HSI!$B$3,""))</f>
        <v/>
      </c>
      <c r="DZ76" s="161">
        <f>IF(BL76="","",IFERROR(BL76*HSI!$B$71*HSI!$G$71/HSI!$B$3,""))</f>
        <v/>
      </c>
      <c r="EA76" s="161">
        <f>IF(BM76="","",IFERROR(BM76*HSI!$B$71*HSI!$G$71/HSI!$B$3,""))</f>
        <v/>
      </c>
      <c r="EB76" s="161">
        <f>IF(BN76="","",IFERROR(BN76*HSI!$B$71*HSI!$G$71/HSI!$B$3,""))</f>
        <v/>
      </c>
      <c r="EC76" s="161">
        <f>IF(BO76="","",IFERROR(BO76*HSI!$B$71*HSI!$G$71/HSI!$B$3,""))</f>
        <v/>
      </c>
      <c r="EE76" s="121">
        <f>IF(N('Dvd Calendar'!$E$715)=0,"",IF(('Dvd Calendar'!$E$715&gt;=GRID_FROM)*('Dvd Calendar'!$E$715&lt;=GRID_TO)*((('Dvd Calendar'!$E$715&lt;=VAL_DATE)+(COUNTIF('Dvd Calendar'!$E$722:$AR$722,'Dvd Calendar'!$E$715)=0))&gt;0)=0,"",'Dvd Calendar'!$E$715*1000000000+ISNUMBER('Dvd Calendar'!$E$718)*100000000+('Dvd Calendar'!$E$720=SPECIAL_LBL)*10000000+(N('Dvd Calendar'!$E$714)&gt;0)*(N('Dvd Calendar'!$E$714)&lt;=VAL_SERIAL)*1000000+65*1000+1))</f>
        <v/>
      </c>
      <c r="EF76" s="121">
        <f>IF(N('Dvd Calendar'!$F$715)=0,"",IF(('Dvd Calendar'!$F$715&gt;=GRID_FROM)*('Dvd Calendar'!$F$715&lt;=GRID_TO)*((('Dvd Calendar'!$F$715&lt;=VAL_DATE)+(COUNTIF('Dvd Calendar'!$E$722:$AR$722,'Dvd Calendar'!$F$715)=0))&gt;0)=0,"",'Dvd Calendar'!$F$715*1000000000+ISNUMBER('Dvd Calendar'!$F$718)*100000000+('Dvd Calendar'!$F$720=SPECIAL_LBL)*10000000+(N('Dvd Calendar'!$F$714)&gt;0)*(N('Dvd Calendar'!$F$714)&lt;=VAL_SERIAL)*1000000+65*1000+2))</f>
        <v/>
      </c>
      <c r="EG76" s="121">
        <f>IF(N('Dvd Calendar'!$G$715)=0,"",IF(('Dvd Calendar'!$G$715&gt;=GRID_FROM)*('Dvd Calendar'!$G$715&lt;=GRID_TO)*((('Dvd Calendar'!$G$715&lt;=VAL_DATE)+(COUNTIF('Dvd Calendar'!$E$722:$AR$722,'Dvd Calendar'!$G$715)=0))&gt;0)=0,"",'Dvd Calendar'!$G$715*1000000000+ISNUMBER('Dvd Calendar'!$G$718)*100000000+('Dvd Calendar'!$G$720=SPECIAL_LBL)*10000000+(N('Dvd Calendar'!$G$714)&gt;0)*(N('Dvd Calendar'!$G$714)&lt;=VAL_SERIAL)*1000000+65*1000+3))</f>
        <v/>
      </c>
      <c r="EH76" s="121">
        <f>IF(N('Dvd Calendar'!$H$715)=0,"",IF(('Dvd Calendar'!$H$715&gt;=GRID_FROM)*('Dvd Calendar'!$H$715&lt;=GRID_TO)*((('Dvd Calendar'!$H$715&lt;=VAL_DATE)+(COUNTIF('Dvd Calendar'!$E$722:$AR$722,'Dvd Calendar'!$H$715)=0))&gt;0)=0,"",'Dvd Calendar'!$H$715*1000000000+ISNUMBER('Dvd Calendar'!$H$718)*100000000+('Dvd Calendar'!$H$720=SPECIAL_LBL)*10000000+(N('Dvd Calendar'!$H$714)&gt;0)*(N('Dvd Calendar'!$H$714)&lt;=VAL_SERIAL)*1000000+65*1000+4))</f>
        <v/>
      </c>
      <c r="EI76" s="121">
        <f>IF(N('Dvd Calendar'!$I$715)=0,"",IF(('Dvd Calendar'!$I$715&gt;=GRID_FROM)*('Dvd Calendar'!$I$715&lt;=GRID_TO)*((('Dvd Calendar'!$I$715&lt;=VAL_DATE)+(COUNTIF('Dvd Calendar'!$E$722:$AR$722,'Dvd Calendar'!$I$715)=0))&gt;0)=0,"",'Dvd Calendar'!$I$715*1000000000+ISNUMBER('Dvd Calendar'!$I$718)*100000000+('Dvd Calendar'!$I$720=SPECIAL_LBL)*10000000+(N('Dvd Calendar'!$I$714)&gt;0)*(N('Dvd Calendar'!$I$714)&lt;=VAL_SERIAL)*1000000+65*1000+5))</f>
        <v/>
      </c>
      <c r="EJ76" s="121">
        <f>IF(N('Dvd Calendar'!$J$715)=0,"",IF(('Dvd Calendar'!$J$715&gt;=GRID_FROM)*('Dvd Calendar'!$J$715&lt;=GRID_TO)*((('Dvd Calendar'!$J$715&lt;=VAL_DATE)+(COUNTIF('Dvd Calendar'!$E$722:$AR$722,'Dvd Calendar'!$J$715)=0))&gt;0)=0,"",'Dvd Calendar'!$J$715*1000000000+ISNUMBER('Dvd Calendar'!$J$718)*100000000+('Dvd Calendar'!$J$720=SPECIAL_LBL)*10000000+(N('Dvd Calendar'!$J$714)&gt;0)*(N('Dvd Calendar'!$J$714)&lt;=VAL_SERIAL)*1000000+65*1000+6))</f>
        <v/>
      </c>
      <c r="EK76" s="121">
        <f>IF(N('Dvd Calendar'!$K$715)=0,"",IF(('Dvd Calendar'!$K$715&gt;=GRID_FROM)*('Dvd Calendar'!$K$715&lt;=GRID_TO)*((('Dvd Calendar'!$K$715&lt;=VAL_DATE)+(COUNTIF('Dvd Calendar'!$E$722:$AR$722,'Dvd Calendar'!$K$715)=0))&gt;0)=0,"",'Dvd Calendar'!$K$715*1000000000+ISNUMBER('Dvd Calendar'!$K$718)*100000000+('Dvd Calendar'!$K$720=SPECIAL_LBL)*10000000+(N('Dvd Calendar'!$K$714)&gt;0)*(N('Dvd Calendar'!$K$714)&lt;=VAL_SERIAL)*1000000+65*1000+7))</f>
        <v/>
      </c>
      <c r="EL76" s="121">
        <f>IF(N('Dvd Calendar'!$L$715)=0,"",IF(('Dvd Calendar'!$L$715&gt;=GRID_FROM)*('Dvd Calendar'!$L$715&lt;=GRID_TO)*((('Dvd Calendar'!$L$715&lt;=VAL_DATE)+(COUNTIF('Dvd Calendar'!$E$722:$AR$722,'Dvd Calendar'!$L$715)=0))&gt;0)=0,"",'Dvd Calendar'!$L$715*1000000000+ISNUMBER('Dvd Calendar'!$L$718)*100000000+('Dvd Calendar'!$L$720=SPECIAL_LBL)*10000000+(N('Dvd Calendar'!$L$714)&gt;0)*(N('Dvd Calendar'!$L$714)&lt;=VAL_SERIAL)*1000000+65*1000+8))</f>
        <v/>
      </c>
      <c r="EM76" s="121">
        <f>IF(N('Dvd Calendar'!$M$715)=0,"",IF(('Dvd Calendar'!$M$715&gt;=GRID_FROM)*('Dvd Calendar'!$M$715&lt;=GRID_TO)*((('Dvd Calendar'!$M$715&lt;=VAL_DATE)+(COUNTIF('Dvd Calendar'!$E$722:$AR$722,'Dvd Calendar'!$M$715)=0))&gt;0)=0,"",'Dvd Calendar'!$M$715*1000000000+ISNUMBER('Dvd Calendar'!$M$718)*100000000+('Dvd Calendar'!$M$720=SPECIAL_LBL)*10000000+(N('Dvd Calendar'!$M$714)&gt;0)*(N('Dvd Calendar'!$M$714)&lt;=VAL_SERIAL)*1000000+65*1000+9))</f>
        <v/>
      </c>
      <c r="EN76" s="121">
        <f>IF(N('Dvd Calendar'!$N$715)=0,"",IF(('Dvd Calendar'!$N$715&gt;=GRID_FROM)*('Dvd Calendar'!$N$715&lt;=GRID_TO)*((('Dvd Calendar'!$N$715&lt;=VAL_DATE)+(COUNTIF('Dvd Calendar'!$E$722:$AR$722,'Dvd Calendar'!$N$715)=0))&gt;0)=0,"",'Dvd Calendar'!$N$715*1000000000+ISNUMBER('Dvd Calendar'!$N$718)*100000000+('Dvd Calendar'!$N$720=SPECIAL_LBL)*10000000+(N('Dvd Calendar'!$N$714)&gt;0)*(N('Dvd Calendar'!$N$714)&lt;=VAL_SERIAL)*1000000+65*1000+10))</f>
        <v/>
      </c>
      <c r="EO76" s="121">
        <f>IF(N('Dvd Calendar'!$O$715)=0,"",IF(('Dvd Calendar'!$O$715&gt;=GRID_FROM)*('Dvd Calendar'!$O$715&lt;=GRID_TO)*((('Dvd Calendar'!$O$715&lt;=VAL_DATE)+(COUNTIF('Dvd Calendar'!$E$722:$AR$722,'Dvd Calendar'!$O$715)=0))&gt;0)=0,"",'Dvd Calendar'!$O$715*1000000000+ISNUMBER('Dvd Calendar'!$O$718)*100000000+('Dvd Calendar'!$O$720=SPECIAL_LBL)*10000000+(N('Dvd Calendar'!$O$714)&gt;0)*(N('Dvd Calendar'!$O$714)&lt;=VAL_SERIAL)*1000000+65*1000+11))</f>
        <v/>
      </c>
      <c r="EP76" s="121">
        <f>IF(N('Dvd Calendar'!$P$715)=0,"",IF(('Dvd Calendar'!$P$715&gt;=GRID_FROM)*('Dvd Calendar'!$P$715&lt;=GRID_TO)*((('Dvd Calendar'!$P$715&lt;=VAL_DATE)+(COUNTIF('Dvd Calendar'!$E$722:$AR$722,'Dvd Calendar'!$P$715)=0))&gt;0)=0,"",'Dvd Calendar'!$P$715*1000000000+ISNUMBER('Dvd Calendar'!$P$718)*100000000+('Dvd Calendar'!$P$720=SPECIAL_LBL)*10000000+(N('Dvd Calendar'!$P$714)&gt;0)*(N('Dvd Calendar'!$P$714)&lt;=VAL_SERIAL)*1000000+65*1000+12))</f>
        <v/>
      </c>
      <c r="EQ76" s="121">
        <f>IF(N('Dvd Calendar'!$Q$715)=0,"",IF(('Dvd Calendar'!$Q$715&gt;=GRID_FROM)*('Dvd Calendar'!$Q$715&lt;=GRID_TO)*((('Dvd Calendar'!$Q$715&lt;=VAL_DATE)+(COUNTIF('Dvd Calendar'!$E$722:$AR$722,'Dvd Calendar'!$Q$715)=0))&gt;0)=0,"",'Dvd Calendar'!$Q$715*1000000000+ISNUMBER('Dvd Calendar'!$Q$718)*100000000+('Dvd Calendar'!$Q$720=SPECIAL_LBL)*10000000+(N('Dvd Calendar'!$Q$714)&gt;0)*(N('Dvd Calendar'!$Q$714)&lt;=VAL_SERIAL)*1000000+65*1000+13))</f>
        <v/>
      </c>
      <c r="ER76" s="121">
        <f>IF(N('Dvd Calendar'!$R$715)=0,"",IF(('Dvd Calendar'!$R$715&gt;=GRID_FROM)*('Dvd Calendar'!$R$715&lt;=GRID_TO)*((('Dvd Calendar'!$R$715&lt;=VAL_DATE)+(COUNTIF('Dvd Calendar'!$E$722:$AR$722,'Dvd Calendar'!$R$715)=0))&gt;0)=0,"",'Dvd Calendar'!$R$715*1000000000+ISNUMBER('Dvd Calendar'!$R$718)*100000000+('Dvd Calendar'!$R$720=SPECIAL_LBL)*10000000+(N('Dvd Calendar'!$R$714)&gt;0)*(N('Dvd Calendar'!$R$714)&lt;=VAL_SERIAL)*1000000+65*1000+14))</f>
        <v/>
      </c>
      <c r="ES76" s="121">
        <f>IF(N('Dvd Calendar'!$S$715)=0,"",IF(('Dvd Calendar'!$S$715&gt;=GRID_FROM)*('Dvd Calendar'!$S$715&lt;=GRID_TO)*((('Dvd Calendar'!$S$715&lt;=VAL_DATE)+(COUNTIF('Dvd Calendar'!$E$722:$AR$722,'Dvd Calendar'!$S$715)=0))&gt;0)=0,"",'Dvd Calendar'!$S$715*1000000000+ISNUMBER('Dvd Calendar'!$S$718)*100000000+('Dvd Calendar'!$S$720=SPECIAL_LBL)*10000000+(N('Dvd Calendar'!$S$714)&gt;0)*(N('Dvd Calendar'!$S$714)&lt;=VAL_SERIAL)*1000000+65*1000+15))</f>
        <v/>
      </c>
      <c r="ET76" s="121">
        <f>IF(N('Dvd Calendar'!$T$715)=0,"",IF(('Dvd Calendar'!$T$715&gt;=GRID_FROM)*('Dvd Calendar'!$T$715&lt;=GRID_TO)*((('Dvd Calendar'!$T$715&lt;=VAL_DATE)+(COUNTIF('Dvd Calendar'!$E$722:$AR$722,'Dvd Calendar'!$T$715)=0))&gt;0)=0,"",'Dvd Calendar'!$T$715*1000000000+ISNUMBER('Dvd Calendar'!$T$718)*100000000+('Dvd Calendar'!$T$720=SPECIAL_LBL)*10000000+(N('Dvd Calendar'!$T$714)&gt;0)*(N('Dvd Calendar'!$T$714)&lt;=VAL_SERIAL)*1000000+65*1000+16))</f>
        <v/>
      </c>
      <c r="EU76" s="121">
        <f>IF(N('Dvd Calendar'!$U$715)=0,"",IF(('Dvd Calendar'!$U$715&gt;=GRID_FROM)*('Dvd Calendar'!$U$715&lt;=GRID_TO)*((('Dvd Calendar'!$U$715&lt;=VAL_DATE)+(COUNTIF('Dvd Calendar'!$E$722:$AR$722,'Dvd Calendar'!$U$715)=0))&gt;0)=0,"",'Dvd Calendar'!$U$715*1000000000+ISNUMBER('Dvd Calendar'!$U$718)*100000000+('Dvd Calendar'!$U$720=SPECIAL_LBL)*10000000+(N('Dvd Calendar'!$U$714)&gt;0)*(N('Dvd Calendar'!$U$714)&lt;=VAL_SERIAL)*1000000+65*1000+17))</f>
        <v/>
      </c>
      <c r="EV76" s="121">
        <f>IF(N('Dvd Calendar'!$V$715)=0,"",IF(('Dvd Calendar'!$V$715&gt;=GRID_FROM)*('Dvd Calendar'!$V$715&lt;=GRID_TO)*((('Dvd Calendar'!$V$715&lt;=VAL_DATE)+(COUNTIF('Dvd Calendar'!$E$722:$AR$722,'Dvd Calendar'!$V$715)=0))&gt;0)=0,"",'Dvd Calendar'!$V$715*1000000000+ISNUMBER('Dvd Calendar'!$V$718)*100000000+('Dvd Calendar'!$V$720=SPECIAL_LBL)*10000000+(N('Dvd Calendar'!$V$714)&gt;0)*(N('Dvd Calendar'!$V$714)&lt;=VAL_SERIAL)*1000000+65*1000+18))</f>
        <v/>
      </c>
      <c r="EW76" s="121">
        <f>IF(N('Dvd Calendar'!$W$715)=0,"",IF(('Dvd Calendar'!$W$715&gt;=GRID_FROM)*('Dvd Calendar'!$W$715&lt;=GRID_TO)*((('Dvd Calendar'!$W$715&lt;=VAL_DATE)+(COUNTIF('Dvd Calendar'!$E$722:$AR$722,'Dvd Calendar'!$W$715)=0))&gt;0)=0,"",'Dvd Calendar'!$W$715*1000000000+ISNUMBER('Dvd Calendar'!$W$718)*100000000+('Dvd Calendar'!$W$720=SPECIAL_LBL)*10000000+(N('Dvd Calendar'!$W$714)&gt;0)*(N('Dvd Calendar'!$W$714)&lt;=VAL_SERIAL)*1000000+65*1000+19))</f>
        <v/>
      </c>
      <c r="EX76" s="121">
        <f>IF(N('Dvd Calendar'!$X$715)=0,"",IF(('Dvd Calendar'!$X$715&gt;=GRID_FROM)*('Dvd Calendar'!$X$715&lt;=GRID_TO)*((('Dvd Calendar'!$X$715&lt;=VAL_DATE)+(COUNTIF('Dvd Calendar'!$E$722:$AR$722,'Dvd Calendar'!$X$715)=0))&gt;0)=0,"",'Dvd Calendar'!$X$715*1000000000+ISNUMBER('Dvd Calendar'!$X$718)*100000000+('Dvd Calendar'!$X$720=SPECIAL_LBL)*10000000+(N('Dvd Calendar'!$X$714)&gt;0)*(N('Dvd Calendar'!$X$714)&lt;=VAL_SERIAL)*1000000+65*1000+20))</f>
        <v/>
      </c>
      <c r="EY76" s="121">
        <f>IF(N('Dvd Calendar'!$Y$715)=0,"",IF(('Dvd Calendar'!$Y$715&gt;=GRID_FROM)*('Dvd Calendar'!$Y$715&lt;=GRID_TO)*((('Dvd Calendar'!$Y$715&lt;=VAL_DATE)+(COUNTIF('Dvd Calendar'!$E$722:$AR$722,'Dvd Calendar'!$Y$715)=0))&gt;0)=0,"",'Dvd Calendar'!$Y$715*1000000000+ISNUMBER('Dvd Calendar'!$Y$718)*100000000+('Dvd Calendar'!$Y$720=SPECIAL_LBL)*10000000+(N('Dvd Calendar'!$Y$714)&gt;0)*(N('Dvd Calendar'!$Y$714)&lt;=VAL_SERIAL)*1000000+65*1000+21))</f>
        <v/>
      </c>
      <c r="EZ76" s="121">
        <f>IF(N('Dvd Calendar'!$Z$715)=0,"",IF(('Dvd Calendar'!$Z$715&gt;=GRID_FROM)*('Dvd Calendar'!$Z$715&lt;=GRID_TO)*((('Dvd Calendar'!$Z$715&lt;=VAL_DATE)+(COUNTIF('Dvd Calendar'!$E$722:$AR$722,'Dvd Calendar'!$Z$715)=0))&gt;0)=0,"",'Dvd Calendar'!$Z$715*1000000000+ISNUMBER('Dvd Calendar'!$Z$718)*100000000+('Dvd Calendar'!$Z$720=SPECIAL_LBL)*10000000+(N('Dvd Calendar'!$Z$714)&gt;0)*(N('Dvd Calendar'!$Z$714)&lt;=VAL_SERIAL)*1000000+65*1000+22))</f>
        <v/>
      </c>
      <c r="FA76" s="121">
        <f>IF(N('Dvd Calendar'!$AA$715)=0,"",IF(('Dvd Calendar'!$AA$715&gt;=GRID_FROM)*('Dvd Calendar'!$AA$715&lt;=GRID_TO)*((('Dvd Calendar'!$AA$715&lt;=VAL_DATE)+(COUNTIF('Dvd Calendar'!$E$722:$AR$722,'Dvd Calendar'!$AA$715)=0))&gt;0)=0,"",'Dvd Calendar'!$AA$715*1000000000+ISNUMBER('Dvd Calendar'!$AA$718)*100000000+('Dvd Calendar'!$AA$720=SPECIAL_LBL)*10000000+(N('Dvd Calendar'!$AA$714)&gt;0)*(N('Dvd Calendar'!$AA$714)&lt;=VAL_SERIAL)*1000000+65*1000+23))</f>
        <v/>
      </c>
      <c r="FB76" s="121">
        <f>IF(N('Dvd Calendar'!$AB$715)=0,"",IF(('Dvd Calendar'!$AB$715&gt;=GRID_FROM)*('Dvd Calendar'!$AB$715&lt;=GRID_TO)*((('Dvd Calendar'!$AB$715&lt;=VAL_DATE)+(COUNTIF('Dvd Calendar'!$E$722:$AR$722,'Dvd Calendar'!$AB$715)=0))&gt;0)=0,"",'Dvd Calendar'!$AB$715*1000000000+ISNUMBER('Dvd Calendar'!$AB$718)*100000000+('Dvd Calendar'!$AB$720=SPECIAL_LBL)*10000000+(N('Dvd Calendar'!$AB$714)&gt;0)*(N('Dvd Calendar'!$AB$714)&lt;=VAL_SERIAL)*1000000+65*1000+24))</f>
        <v/>
      </c>
      <c r="FC76" s="121">
        <f>IF(N('Dvd Calendar'!$AC$715)=0,"",IF(('Dvd Calendar'!$AC$715&gt;=GRID_FROM)*('Dvd Calendar'!$AC$715&lt;=GRID_TO)*((('Dvd Calendar'!$AC$715&lt;=VAL_DATE)+(COUNTIF('Dvd Calendar'!$E$722:$AR$722,'Dvd Calendar'!$AC$715)=0))&gt;0)=0,"",'Dvd Calendar'!$AC$715*1000000000+ISNUMBER('Dvd Calendar'!$AC$718)*100000000+('Dvd Calendar'!$AC$720=SPECIAL_LBL)*10000000+(N('Dvd Calendar'!$AC$714)&gt;0)*(N('Dvd Calendar'!$AC$714)&lt;=VAL_SERIAL)*1000000+65*1000+25))</f>
        <v/>
      </c>
      <c r="FD76" s="121">
        <f>IF(N('Dvd Calendar'!$AD$715)=0,"",IF(('Dvd Calendar'!$AD$715&gt;=GRID_FROM)*('Dvd Calendar'!$AD$715&lt;=GRID_TO)*((('Dvd Calendar'!$AD$715&lt;=VAL_DATE)+(COUNTIF('Dvd Calendar'!$E$722:$AR$722,'Dvd Calendar'!$AD$715)=0))&gt;0)=0,"",'Dvd Calendar'!$AD$715*1000000000+ISNUMBER('Dvd Calendar'!$AD$718)*100000000+('Dvd Calendar'!$AD$720=SPECIAL_LBL)*10000000+(N('Dvd Calendar'!$AD$714)&gt;0)*(N('Dvd Calendar'!$AD$714)&lt;=VAL_SERIAL)*1000000+65*1000+26))</f>
        <v/>
      </c>
      <c r="FE76" s="121">
        <f>IF(N('Dvd Calendar'!$AE$715)=0,"",IF(('Dvd Calendar'!$AE$715&gt;=GRID_FROM)*('Dvd Calendar'!$AE$715&lt;=GRID_TO)*((('Dvd Calendar'!$AE$715&lt;=VAL_DATE)+(COUNTIF('Dvd Calendar'!$E$722:$AR$722,'Dvd Calendar'!$AE$715)=0))&gt;0)=0,"",'Dvd Calendar'!$AE$715*1000000000+ISNUMBER('Dvd Calendar'!$AE$718)*100000000+('Dvd Calendar'!$AE$720=SPECIAL_LBL)*10000000+(N('Dvd Calendar'!$AE$714)&gt;0)*(N('Dvd Calendar'!$AE$714)&lt;=VAL_SERIAL)*1000000+65*1000+27))</f>
        <v/>
      </c>
      <c r="FF76" s="121">
        <f>IF(N('Dvd Calendar'!$AF$715)=0,"",IF(('Dvd Calendar'!$AF$715&gt;=GRID_FROM)*('Dvd Calendar'!$AF$715&lt;=GRID_TO)*((('Dvd Calendar'!$AF$715&lt;=VAL_DATE)+(COUNTIF('Dvd Calendar'!$E$722:$AR$722,'Dvd Calendar'!$AF$715)=0))&gt;0)=0,"",'Dvd Calendar'!$AF$715*1000000000+ISNUMBER('Dvd Calendar'!$AF$718)*100000000+('Dvd Calendar'!$AF$720=SPECIAL_LBL)*10000000+(N('Dvd Calendar'!$AF$714)&gt;0)*(N('Dvd Calendar'!$AF$714)&lt;=VAL_SERIAL)*1000000+65*1000+28))</f>
        <v/>
      </c>
      <c r="FG76" s="121">
        <f>IF(N('Dvd Calendar'!$AG$715)=0,"",IF(('Dvd Calendar'!$AG$715&gt;=GRID_FROM)*('Dvd Calendar'!$AG$715&lt;=GRID_TO)*((('Dvd Calendar'!$AG$715&lt;=VAL_DATE)+(COUNTIF('Dvd Calendar'!$E$722:$AR$722,'Dvd Calendar'!$AG$715)=0))&gt;0)=0,"",'Dvd Calendar'!$AG$715*1000000000+ISNUMBER('Dvd Calendar'!$AG$718)*100000000+('Dvd Calendar'!$AG$720=SPECIAL_LBL)*10000000+(N('Dvd Calendar'!$AG$714)&gt;0)*(N('Dvd Calendar'!$AG$714)&lt;=VAL_SERIAL)*1000000+65*1000+29))</f>
        <v/>
      </c>
      <c r="FH76" s="121">
        <f>IF(N('Dvd Calendar'!$AH$715)=0,"",IF(('Dvd Calendar'!$AH$715&gt;=GRID_FROM)*('Dvd Calendar'!$AH$715&lt;=GRID_TO)*((('Dvd Calendar'!$AH$715&lt;=VAL_DATE)+(COUNTIF('Dvd Calendar'!$E$722:$AR$722,'Dvd Calendar'!$AH$715)=0))&gt;0)=0,"",'Dvd Calendar'!$AH$715*1000000000+ISNUMBER('Dvd Calendar'!$AH$718)*100000000+('Dvd Calendar'!$AH$720=SPECIAL_LBL)*10000000+(N('Dvd Calendar'!$AH$714)&gt;0)*(N('Dvd Calendar'!$AH$714)&lt;=VAL_SERIAL)*1000000+65*1000+30))</f>
        <v/>
      </c>
      <c r="FI76" s="121">
        <f>IF(N('Dvd Calendar'!$AI$715)=0,"",IF(('Dvd Calendar'!$AI$715&gt;=GRID_FROM)*('Dvd Calendar'!$AI$715&lt;=GRID_TO)*((('Dvd Calendar'!$AI$715&lt;=VAL_DATE)+(COUNTIF('Dvd Calendar'!$E$722:$AR$722,'Dvd Calendar'!$AI$715)=0))&gt;0)=0,"",'Dvd Calendar'!$AI$715*1000000000+ISNUMBER('Dvd Calendar'!$AI$718)*100000000+('Dvd Calendar'!$AI$720=SPECIAL_LBL)*10000000+(N('Dvd Calendar'!$AI$714)&gt;0)*(N('Dvd Calendar'!$AI$714)&lt;=VAL_SERIAL)*1000000+65*1000+31))</f>
        <v/>
      </c>
      <c r="FJ76" s="121">
        <f>IF(N('Dvd Calendar'!$AJ$715)=0,"",IF(('Dvd Calendar'!$AJ$715&gt;=GRID_FROM)*('Dvd Calendar'!$AJ$715&lt;=GRID_TO)*((('Dvd Calendar'!$AJ$715&lt;=VAL_DATE)+(COUNTIF('Dvd Calendar'!$E$722:$AR$722,'Dvd Calendar'!$AJ$715)=0))&gt;0)=0,"",'Dvd Calendar'!$AJ$715*1000000000+ISNUMBER('Dvd Calendar'!$AJ$718)*100000000+('Dvd Calendar'!$AJ$720=SPECIAL_LBL)*10000000+(N('Dvd Calendar'!$AJ$714)&gt;0)*(N('Dvd Calendar'!$AJ$714)&lt;=VAL_SERIAL)*1000000+65*1000+32))</f>
        <v/>
      </c>
      <c r="FK76" s="121">
        <f>IF(N('Dvd Calendar'!$AK$715)=0,"",IF(('Dvd Calendar'!$AK$715&gt;=GRID_FROM)*('Dvd Calendar'!$AK$715&lt;=GRID_TO)*((('Dvd Calendar'!$AK$715&lt;=VAL_DATE)+(COUNTIF('Dvd Calendar'!$E$722:$AR$722,'Dvd Calendar'!$AK$715)=0))&gt;0)=0,"",'Dvd Calendar'!$AK$715*1000000000+ISNUMBER('Dvd Calendar'!$AK$718)*100000000+('Dvd Calendar'!$AK$720=SPECIAL_LBL)*10000000+(N('Dvd Calendar'!$AK$714)&gt;0)*(N('Dvd Calendar'!$AK$714)&lt;=VAL_SERIAL)*1000000+65*1000+33))</f>
        <v/>
      </c>
      <c r="FL76" s="121">
        <f>IF(N('Dvd Calendar'!$AL$715)=0,"",IF(('Dvd Calendar'!$AL$715&gt;=GRID_FROM)*('Dvd Calendar'!$AL$715&lt;=GRID_TO)*((('Dvd Calendar'!$AL$715&lt;=VAL_DATE)+(COUNTIF('Dvd Calendar'!$E$722:$AR$722,'Dvd Calendar'!$AL$715)=0))&gt;0)=0,"",'Dvd Calendar'!$AL$715*1000000000+ISNUMBER('Dvd Calendar'!$AL$718)*100000000+('Dvd Calendar'!$AL$720=SPECIAL_LBL)*10000000+(N('Dvd Calendar'!$AL$714)&gt;0)*(N('Dvd Calendar'!$AL$714)&lt;=VAL_SERIAL)*1000000+65*1000+34))</f>
        <v/>
      </c>
      <c r="FM76" s="121">
        <f>IF(N('Dvd Calendar'!$AM$715)=0,"",IF(('Dvd Calendar'!$AM$715&gt;=GRID_FROM)*('Dvd Calendar'!$AM$715&lt;=GRID_TO)*((('Dvd Calendar'!$AM$715&lt;=VAL_DATE)+(COUNTIF('Dvd Calendar'!$E$722:$AR$722,'Dvd Calendar'!$AM$715)=0))&gt;0)=0,"",'Dvd Calendar'!$AM$715*1000000000+ISNUMBER('Dvd Calendar'!$AM$718)*100000000+('Dvd Calendar'!$AM$720=SPECIAL_LBL)*10000000+(N('Dvd Calendar'!$AM$714)&gt;0)*(N('Dvd Calendar'!$AM$714)&lt;=VAL_SERIAL)*1000000+65*1000+35))</f>
        <v/>
      </c>
      <c r="FN76" s="121">
        <f>IF(N('Dvd Calendar'!$AN$715)=0,"",IF(('Dvd Calendar'!$AN$715&gt;=GRID_FROM)*('Dvd Calendar'!$AN$715&lt;=GRID_TO)*((('Dvd Calendar'!$AN$715&lt;=VAL_DATE)+(COUNTIF('Dvd Calendar'!$E$722:$AR$722,'Dvd Calendar'!$AN$715)=0))&gt;0)=0,"",'Dvd Calendar'!$AN$715*1000000000+ISNUMBER('Dvd Calendar'!$AN$718)*100000000+('Dvd Calendar'!$AN$720=SPECIAL_LBL)*10000000+(N('Dvd Calendar'!$AN$714)&gt;0)*(N('Dvd Calendar'!$AN$714)&lt;=VAL_SERIAL)*1000000+65*1000+36))</f>
        <v/>
      </c>
      <c r="FO76" s="121">
        <f>IF(N('Dvd Calendar'!$AO$715)=0,"",IF(('Dvd Calendar'!$AO$715&gt;=GRID_FROM)*('Dvd Calendar'!$AO$715&lt;=GRID_TO)*((('Dvd Calendar'!$AO$715&lt;=VAL_DATE)+(COUNTIF('Dvd Calendar'!$E$722:$AR$722,'Dvd Calendar'!$AO$715)=0))&gt;0)=0,"",'Dvd Calendar'!$AO$715*1000000000+ISNUMBER('Dvd Calendar'!$AO$718)*100000000+('Dvd Calendar'!$AO$720=SPECIAL_LBL)*10000000+(N('Dvd Calendar'!$AO$714)&gt;0)*(N('Dvd Calendar'!$AO$714)&lt;=VAL_SERIAL)*1000000+65*1000+37))</f>
        <v/>
      </c>
      <c r="FP76" s="121">
        <f>IF(N('Dvd Calendar'!$AP$715)=0,"",IF(('Dvd Calendar'!$AP$715&gt;=GRID_FROM)*('Dvd Calendar'!$AP$715&lt;=GRID_TO)*((('Dvd Calendar'!$AP$715&lt;=VAL_DATE)+(COUNTIF('Dvd Calendar'!$E$722:$AR$722,'Dvd Calendar'!$AP$715)=0))&gt;0)=0,"",'Dvd Calendar'!$AP$715*1000000000+ISNUMBER('Dvd Calendar'!$AP$718)*100000000+('Dvd Calendar'!$AP$720=SPECIAL_LBL)*10000000+(N('Dvd Calendar'!$AP$714)&gt;0)*(N('Dvd Calendar'!$AP$714)&lt;=VAL_SERIAL)*1000000+65*1000+38))</f>
        <v/>
      </c>
      <c r="FQ76" s="121">
        <f>IF(N('Dvd Calendar'!$AQ$715)=0,"",IF(('Dvd Calendar'!$AQ$715&gt;=GRID_FROM)*('Dvd Calendar'!$AQ$715&lt;=GRID_TO)*((('Dvd Calendar'!$AQ$715&lt;=VAL_DATE)+(COUNTIF('Dvd Calendar'!$E$722:$AR$722,'Dvd Calendar'!$AQ$715)=0))&gt;0)=0,"",'Dvd Calendar'!$AQ$715*1000000000+ISNUMBER('Dvd Calendar'!$AQ$718)*100000000+('Dvd Calendar'!$AQ$720=SPECIAL_LBL)*10000000+(N('Dvd Calendar'!$AQ$714)&gt;0)*(N('Dvd Calendar'!$AQ$714)&lt;=VAL_SERIAL)*1000000+65*1000+39))</f>
        <v/>
      </c>
      <c r="FR76" s="121">
        <f>IF(N('Dvd Calendar'!$AR$715)=0,"",IF(('Dvd Calendar'!$AR$715&gt;=GRID_FROM)*('Dvd Calendar'!$AR$715&lt;=GRID_TO)*((('Dvd Calendar'!$AR$715&lt;=VAL_DATE)+(COUNTIF('Dvd Calendar'!$E$722:$AR$722,'Dvd Calendar'!$AR$715)=0))&gt;0)=0,"",'Dvd Calendar'!$AR$715*1000000000+ISNUMBER('Dvd Calendar'!$AR$718)*100000000+('Dvd Calendar'!$AR$720=SPECIAL_LBL)*10000000+(N('Dvd Calendar'!$AR$714)&gt;0)*(N('Dvd Calendar'!$AR$714)&lt;=VAL_SERIAL)*1000000+65*1000+40))</f>
        <v/>
      </c>
      <c r="FS76" s="121">
        <f>IF(N('Dvd Calendar'!$E$722)=0,"",IF(('Dvd Calendar'!$E$722&gt;=GRID_FROM)*('Dvd Calendar'!$E$722&lt;=GRID_TO)*('Dvd Calendar'!$E$722&gt;VAL_DATE)=0,"",'Dvd Calendar'!$E$722*1000000000+ISNUMBER('Dvd Calendar'!$E$723)*100000000+0*10000000+(N('Dvd Calendar'!$E$721)&gt;0)*(N('Dvd Calendar'!$E$721)&lt;=VAL_SERIAL)*1000000+65*1000+41))</f>
        <v/>
      </c>
      <c r="FT76" s="121">
        <f>IF(N('Dvd Calendar'!$F$722)=0,"",IF(('Dvd Calendar'!$F$722&gt;=GRID_FROM)*('Dvd Calendar'!$F$722&lt;=GRID_TO)*('Dvd Calendar'!$F$722&gt;VAL_DATE)=0,"",'Dvd Calendar'!$F$722*1000000000+ISNUMBER('Dvd Calendar'!$F$723)*100000000+0*10000000+(N('Dvd Calendar'!$F$721)&gt;0)*(N('Dvd Calendar'!$F$721)&lt;=VAL_SERIAL)*1000000+65*1000+42))</f>
        <v/>
      </c>
      <c r="FU76" s="121">
        <f>IF(N('Dvd Calendar'!$G$722)=0,"",IF(('Dvd Calendar'!$G$722&gt;=GRID_FROM)*('Dvd Calendar'!$G$722&lt;=GRID_TO)*('Dvd Calendar'!$G$722&gt;VAL_DATE)=0,"",'Dvd Calendar'!$G$722*1000000000+ISNUMBER('Dvd Calendar'!$G$723)*100000000+0*10000000+(N('Dvd Calendar'!$G$721)&gt;0)*(N('Dvd Calendar'!$G$721)&lt;=VAL_SERIAL)*1000000+65*1000+43))</f>
        <v/>
      </c>
      <c r="FV76" s="121">
        <f>IF(N('Dvd Calendar'!$H$722)=0,"",IF(('Dvd Calendar'!$H$722&gt;=GRID_FROM)*('Dvd Calendar'!$H$722&lt;=GRID_TO)*('Dvd Calendar'!$H$722&gt;VAL_DATE)=0,"",'Dvd Calendar'!$H$722*1000000000+ISNUMBER('Dvd Calendar'!$H$723)*100000000+0*10000000+(N('Dvd Calendar'!$H$721)&gt;0)*(N('Dvd Calendar'!$H$721)&lt;=VAL_SERIAL)*1000000+65*1000+44))</f>
        <v/>
      </c>
      <c r="FW76" s="121">
        <f>IF(N('Dvd Calendar'!$I$722)=0,"",IF(('Dvd Calendar'!$I$722&gt;=GRID_FROM)*('Dvd Calendar'!$I$722&lt;=GRID_TO)*('Dvd Calendar'!$I$722&gt;VAL_DATE)=0,"",'Dvd Calendar'!$I$722*1000000000+ISNUMBER('Dvd Calendar'!$I$723)*100000000+0*10000000+(N('Dvd Calendar'!$I$721)&gt;0)*(N('Dvd Calendar'!$I$721)&lt;=VAL_SERIAL)*1000000+65*1000+45))</f>
        <v/>
      </c>
      <c r="FX76" s="121">
        <f>IF(N('Dvd Calendar'!$J$722)=0,"",IF(('Dvd Calendar'!$J$722&gt;=GRID_FROM)*('Dvd Calendar'!$J$722&lt;=GRID_TO)*('Dvd Calendar'!$J$722&gt;VAL_DATE)=0,"",'Dvd Calendar'!$J$722*1000000000+ISNUMBER('Dvd Calendar'!$J$723)*100000000+0*10000000+(N('Dvd Calendar'!$J$721)&gt;0)*(N('Dvd Calendar'!$J$721)&lt;=VAL_SERIAL)*1000000+65*1000+46))</f>
        <v/>
      </c>
      <c r="FY76" s="121">
        <f>IF(N('Dvd Calendar'!$K$722)=0,"",IF(('Dvd Calendar'!$K$722&gt;=GRID_FROM)*('Dvd Calendar'!$K$722&lt;=GRID_TO)*('Dvd Calendar'!$K$722&gt;VAL_DATE)=0,"",'Dvd Calendar'!$K$722*1000000000+ISNUMBER('Dvd Calendar'!$K$723)*100000000+0*10000000+(N('Dvd Calendar'!$K$721)&gt;0)*(N('Dvd Calendar'!$K$721)&lt;=VAL_SERIAL)*1000000+65*1000+47))</f>
        <v/>
      </c>
      <c r="FZ76" s="121">
        <f>IF(N('Dvd Calendar'!$L$722)=0,"",IF(('Dvd Calendar'!$L$722&gt;=GRID_FROM)*('Dvd Calendar'!$L$722&lt;=GRID_TO)*('Dvd Calendar'!$L$722&gt;VAL_DATE)=0,"",'Dvd Calendar'!$L$722*1000000000+ISNUMBER('Dvd Calendar'!$L$723)*100000000+0*10000000+(N('Dvd Calendar'!$L$721)&gt;0)*(N('Dvd Calendar'!$L$721)&lt;=VAL_SERIAL)*1000000+65*1000+48))</f>
        <v/>
      </c>
      <c r="GA76" s="121">
        <f>IF(N('Dvd Calendar'!$M$722)=0,"",IF(('Dvd Calendar'!$M$722&gt;=GRID_FROM)*('Dvd Calendar'!$M$722&lt;=GRID_TO)*('Dvd Calendar'!$M$722&gt;VAL_DATE)=0,"",'Dvd Calendar'!$M$722*1000000000+ISNUMBER('Dvd Calendar'!$M$723)*100000000+0*10000000+(N('Dvd Calendar'!$M$721)&gt;0)*(N('Dvd Calendar'!$M$721)&lt;=VAL_SERIAL)*1000000+65*1000+49))</f>
        <v/>
      </c>
      <c r="GB76" s="121">
        <f>IF(N('Dvd Calendar'!$N$722)=0,"",IF(('Dvd Calendar'!$N$722&gt;=GRID_FROM)*('Dvd Calendar'!$N$722&lt;=GRID_TO)*('Dvd Calendar'!$N$722&gt;VAL_DATE)=0,"",'Dvd Calendar'!$N$722*1000000000+ISNUMBER('Dvd Calendar'!$N$723)*100000000+0*10000000+(N('Dvd Calendar'!$N$721)&gt;0)*(N('Dvd Calendar'!$N$721)&lt;=VAL_SERIAL)*1000000+65*1000+50))</f>
        <v/>
      </c>
      <c r="GC76" s="121">
        <f>IF(N('Dvd Calendar'!$O$722)=0,"",IF(('Dvd Calendar'!$O$722&gt;=GRID_FROM)*('Dvd Calendar'!$O$722&lt;=GRID_TO)*('Dvd Calendar'!$O$722&gt;VAL_DATE)=0,"",'Dvd Calendar'!$O$722*1000000000+ISNUMBER('Dvd Calendar'!$O$723)*100000000+0*10000000+(N('Dvd Calendar'!$O$721)&gt;0)*(N('Dvd Calendar'!$O$721)&lt;=VAL_SERIAL)*1000000+65*1000+51))</f>
        <v/>
      </c>
      <c r="GD76" s="121">
        <f>IF(N('Dvd Calendar'!$P$722)=0,"",IF(('Dvd Calendar'!$P$722&gt;=GRID_FROM)*('Dvd Calendar'!$P$722&lt;=GRID_TO)*('Dvd Calendar'!$P$722&gt;VAL_DATE)=0,"",'Dvd Calendar'!$P$722*1000000000+ISNUMBER('Dvd Calendar'!$P$723)*100000000+0*10000000+(N('Dvd Calendar'!$P$721)&gt;0)*(N('Dvd Calendar'!$P$721)&lt;=VAL_SERIAL)*1000000+65*1000+52))</f>
        <v/>
      </c>
      <c r="GE76" s="121">
        <f>IF(N('Dvd Calendar'!$Q$722)=0,"",IF(('Dvd Calendar'!$Q$722&gt;=GRID_FROM)*('Dvd Calendar'!$Q$722&lt;=GRID_TO)*('Dvd Calendar'!$Q$722&gt;VAL_DATE)=0,"",'Dvd Calendar'!$Q$722*1000000000+ISNUMBER('Dvd Calendar'!$Q$723)*100000000+0*10000000+(N('Dvd Calendar'!$Q$721)&gt;0)*(N('Dvd Calendar'!$Q$721)&lt;=VAL_SERIAL)*1000000+65*1000+53))</f>
        <v/>
      </c>
      <c r="GF76" s="121">
        <f>IF(N('Dvd Calendar'!$R$722)=0,"",IF(('Dvd Calendar'!$R$722&gt;=GRID_FROM)*('Dvd Calendar'!$R$722&lt;=GRID_TO)*('Dvd Calendar'!$R$722&gt;VAL_DATE)=0,"",'Dvd Calendar'!$R$722*1000000000+ISNUMBER('Dvd Calendar'!$R$723)*100000000+0*10000000+(N('Dvd Calendar'!$R$721)&gt;0)*(N('Dvd Calendar'!$R$721)&lt;=VAL_SERIAL)*1000000+65*1000+54))</f>
        <v/>
      </c>
      <c r="GG76" s="121">
        <f>IF(N('Dvd Calendar'!$S$722)=0,"",IF(('Dvd Calendar'!$S$722&gt;=GRID_FROM)*('Dvd Calendar'!$S$722&lt;=GRID_TO)*('Dvd Calendar'!$S$722&gt;VAL_DATE)=0,"",'Dvd Calendar'!$S$722*1000000000+ISNUMBER('Dvd Calendar'!$S$723)*100000000+0*10000000+(N('Dvd Calendar'!$S$721)&gt;0)*(N('Dvd Calendar'!$S$721)&lt;=VAL_SERIAL)*1000000+65*1000+55))</f>
        <v/>
      </c>
      <c r="GH76" s="121">
        <f>IF(N('Dvd Calendar'!$T$722)=0,"",IF(('Dvd Calendar'!$T$722&gt;=GRID_FROM)*('Dvd Calendar'!$T$722&lt;=GRID_TO)*('Dvd Calendar'!$T$722&gt;VAL_DATE)=0,"",'Dvd Calendar'!$T$722*1000000000+ISNUMBER('Dvd Calendar'!$T$723)*100000000+0*10000000+(N('Dvd Calendar'!$T$721)&gt;0)*(N('Dvd Calendar'!$T$721)&lt;=VAL_SERIAL)*1000000+65*1000+56))</f>
        <v/>
      </c>
      <c r="GI76" s="121">
        <f>IF(N('Dvd Calendar'!$U$722)=0,"",IF(('Dvd Calendar'!$U$722&gt;=GRID_FROM)*('Dvd Calendar'!$U$722&lt;=GRID_TO)*('Dvd Calendar'!$U$722&gt;VAL_DATE)=0,"",'Dvd Calendar'!$U$722*1000000000+ISNUMBER('Dvd Calendar'!$U$723)*100000000+0*10000000+(N('Dvd Calendar'!$U$721)&gt;0)*(N('Dvd Calendar'!$U$721)&lt;=VAL_SERIAL)*1000000+65*1000+57))</f>
        <v/>
      </c>
      <c r="GJ76" s="121">
        <f>IF(N('Dvd Calendar'!$V$722)=0,"",IF(('Dvd Calendar'!$V$722&gt;=GRID_FROM)*('Dvd Calendar'!$V$722&lt;=GRID_TO)*('Dvd Calendar'!$V$722&gt;VAL_DATE)=0,"",'Dvd Calendar'!$V$722*1000000000+ISNUMBER('Dvd Calendar'!$V$723)*100000000+0*10000000+(N('Dvd Calendar'!$V$721)&gt;0)*(N('Dvd Calendar'!$V$721)&lt;=VAL_SERIAL)*1000000+65*1000+58))</f>
        <v/>
      </c>
      <c r="GK76" s="121">
        <f>IF(N('Dvd Calendar'!$W$722)=0,"",IF(('Dvd Calendar'!$W$722&gt;=GRID_FROM)*('Dvd Calendar'!$W$722&lt;=GRID_TO)*('Dvd Calendar'!$W$722&gt;VAL_DATE)=0,"",'Dvd Calendar'!$W$722*1000000000+ISNUMBER('Dvd Calendar'!$W$723)*100000000+0*10000000+(N('Dvd Calendar'!$W$721)&gt;0)*(N('Dvd Calendar'!$W$721)&lt;=VAL_SERIAL)*1000000+65*1000+59))</f>
        <v/>
      </c>
      <c r="GL76" s="121">
        <f>IF(N('Dvd Calendar'!$X$722)=0,"",IF(('Dvd Calendar'!$X$722&gt;=GRID_FROM)*('Dvd Calendar'!$X$722&lt;=GRID_TO)*('Dvd Calendar'!$X$722&gt;VAL_DATE)=0,"",'Dvd Calendar'!$X$722*1000000000+ISNUMBER('Dvd Calendar'!$X$723)*100000000+0*10000000+(N('Dvd Calendar'!$X$721)&gt;0)*(N('Dvd Calendar'!$X$721)&lt;=VAL_SERIAL)*1000000+65*1000+60))</f>
        <v/>
      </c>
      <c r="GM76" s="121">
        <f>IF(N('Dvd Calendar'!$Y$722)=0,"",IF(('Dvd Calendar'!$Y$722&gt;=GRID_FROM)*('Dvd Calendar'!$Y$722&lt;=GRID_TO)*('Dvd Calendar'!$Y$722&gt;VAL_DATE)=0,"",'Dvd Calendar'!$Y$722*1000000000+ISNUMBER('Dvd Calendar'!$Y$723)*100000000+0*10000000+(N('Dvd Calendar'!$Y$721)&gt;0)*(N('Dvd Calendar'!$Y$721)&lt;=VAL_SERIAL)*1000000+65*1000+61))</f>
        <v/>
      </c>
      <c r="GN76" s="121">
        <f>IF(N('Dvd Calendar'!$Z$722)=0,"",IF(('Dvd Calendar'!$Z$722&gt;=GRID_FROM)*('Dvd Calendar'!$Z$722&lt;=GRID_TO)*('Dvd Calendar'!$Z$722&gt;VAL_DATE)=0,"",'Dvd Calendar'!$Z$722*1000000000+ISNUMBER('Dvd Calendar'!$Z$723)*100000000+0*10000000+(N('Dvd Calendar'!$Z$721)&gt;0)*(N('Dvd Calendar'!$Z$721)&lt;=VAL_SERIAL)*1000000+65*1000+62))</f>
        <v/>
      </c>
      <c r="GO76" s="121">
        <f>IF(N('Dvd Calendar'!$AA$722)=0,"",IF(('Dvd Calendar'!$AA$722&gt;=GRID_FROM)*('Dvd Calendar'!$AA$722&lt;=GRID_TO)*('Dvd Calendar'!$AA$722&gt;VAL_DATE)=0,"",'Dvd Calendar'!$AA$722*1000000000+ISNUMBER('Dvd Calendar'!$AA$723)*100000000+0*10000000+(N('Dvd Calendar'!$AA$721)&gt;0)*(N('Dvd Calendar'!$AA$721)&lt;=VAL_SERIAL)*1000000+65*1000+63))</f>
        <v/>
      </c>
      <c r="GP76" s="121">
        <f>IF(N('Dvd Calendar'!$AB$722)=0,"",IF(('Dvd Calendar'!$AB$722&gt;=GRID_FROM)*('Dvd Calendar'!$AB$722&lt;=GRID_TO)*('Dvd Calendar'!$AB$722&gt;VAL_DATE)=0,"",'Dvd Calendar'!$AB$722*1000000000+ISNUMBER('Dvd Calendar'!$AB$723)*100000000+0*10000000+(N('Dvd Calendar'!$AB$721)&gt;0)*(N('Dvd Calendar'!$AB$721)&lt;=VAL_SERIAL)*1000000+65*1000+64))</f>
        <v/>
      </c>
      <c r="GQ76" s="121">
        <f>IF(N('Dvd Calendar'!$AC$722)=0,"",IF(('Dvd Calendar'!$AC$722&gt;=GRID_FROM)*('Dvd Calendar'!$AC$722&lt;=GRID_TO)*('Dvd Calendar'!$AC$722&gt;VAL_DATE)=0,"",'Dvd Calendar'!$AC$722*1000000000+ISNUMBER('Dvd Calendar'!$AC$723)*100000000+0*10000000+(N('Dvd Calendar'!$AC$721)&gt;0)*(N('Dvd Calendar'!$AC$721)&lt;=VAL_SERIAL)*1000000+65*1000+65))</f>
        <v/>
      </c>
    </row>
    <row r="77">
      <c r="B77" s="2">
        <f>IF(HSI!$C$72="","",HSI!$C$72)</f>
        <v/>
      </c>
      <c r="C77" s="161">
        <f>IF(EE77="","",IF(ISNUMBER('Dvd Calendar'!$E$729)=FALSE,"",IF((('Dvd Calendar'!$E$731=TYPE1)*(TYPE1&lt;&gt;"")+('Dvd Calendar'!$E$731=TYPE2)*(TYPE2&lt;&gt;"")+('Dvd Calendar'!$E$731=TYPE3)*(TYPE3&lt;&gt;"")+('Dvd Calendar'!$E$731=TYPE4)*(TYPE4&lt;&gt;"")+('Dvd Calendar'!$E$731=SPECIAL_LBL)*(INC_SPECIALS="Y"))=0,"",'Dvd Calendar'!$E$729)))</f>
        <v/>
      </c>
      <c r="D77" s="161">
        <f>IF(EF77="","",IF(ISNUMBER('Dvd Calendar'!$F$729)=FALSE,"",IF((('Dvd Calendar'!$F$731=TYPE1)*(TYPE1&lt;&gt;"")+('Dvd Calendar'!$F$731=TYPE2)*(TYPE2&lt;&gt;"")+('Dvd Calendar'!$F$731=TYPE3)*(TYPE3&lt;&gt;"")+('Dvd Calendar'!$F$731=TYPE4)*(TYPE4&lt;&gt;"")+('Dvd Calendar'!$F$731=SPECIAL_LBL)*(INC_SPECIALS="Y"))=0,"",'Dvd Calendar'!$F$729)))</f>
        <v/>
      </c>
      <c r="E77" s="161">
        <f>IF(EG77="","",IF(ISNUMBER('Dvd Calendar'!$G$729)=FALSE,"",IF((('Dvd Calendar'!$G$731=TYPE1)*(TYPE1&lt;&gt;"")+('Dvd Calendar'!$G$731=TYPE2)*(TYPE2&lt;&gt;"")+('Dvd Calendar'!$G$731=TYPE3)*(TYPE3&lt;&gt;"")+('Dvd Calendar'!$G$731=TYPE4)*(TYPE4&lt;&gt;"")+('Dvd Calendar'!$G$731=SPECIAL_LBL)*(INC_SPECIALS="Y"))=0,"",'Dvd Calendar'!$G$729)))</f>
        <v/>
      </c>
      <c r="F77" s="161">
        <f>IF(EH77="","",IF(ISNUMBER('Dvd Calendar'!$H$729)=FALSE,"",IF((('Dvd Calendar'!$H$731=TYPE1)*(TYPE1&lt;&gt;"")+('Dvd Calendar'!$H$731=TYPE2)*(TYPE2&lt;&gt;"")+('Dvd Calendar'!$H$731=TYPE3)*(TYPE3&lt;&gt;"")+('Dvd Calendar'!$H$731=TYPE4)*(TYPE4&lt;&gt;"")+('Dvd Calendar'!$H$731=SPECIAL_LBL)*(INC_SPECIALS="Y"))=0,"",'Dvd Calendar'!$H$729)))</f>
        <v/>
      </c>
      <c r="G77" s="161">
        <f>IF(EI77="","",IF(ISNUMBER('Dvd Calendar'!$I$729)=FALSE,"",IF((('Dvd Calendar'!$I$731=TYPE1)*(TYPE1&lt;&gt;"")+('Dvd Calendar'!$I$731=TYPE2)*(TYPE2&lt;&gt;"")+('Dvd Calendar'!$I$731=TYPE3)*(TYPE3&lt;&gt;"")+('Dvd Calendar'!$I$731=TYPE4)*(TYPE4&lt;&gt;"")+('Dvd Calendar'!$I$731=SPECIAL_LBL)*(INC_SPECIALS="Y"))=0,"",'Dvd Calendar'!$I$729)))</f>
        <v/>
      </c>
      <c r="H77" s="161">
        <f>IF(EJ77="","",IF(ISNUMBER('Dvd Calendar'!$J$729)=FALSE,"",IF((('Dvd Calendar'!$J$731=TYPE1)*(TYPE1&lt;&gt;"")+('Dvd Calendar'!$J$731=TYPE2)*(TYPE2&lt;&gt;"")+('Dvd Calendar'!$J$731=TYPE3)*(TYPE3&lt;&gt;"")+('Dvd Calendar'!$J$731=TYPE4)*(TYPE4&lt;&gt;"")+('Dvd Calendar'!$J$731=SPECIAL_LBL)*(INC_SPECIALS="Y"))=0,"",'Dvd Calendar'!$J$729)))</f>
        <v/>
      </c>
      <c r="I77" s="161">
        <f>IF(EK77="","",IF(ISNUMBER('Dvd Calendar'!$K$729)=FALSE,"",IF((('Dvd Calendar'!$K$731=TYPE1)*(TYPE1&lt;&gt;"")+('Dvd Calendar'!$K$731=TYPE2)*(TYPE2&lt;&gt;"")+('Dvd Calendar'!$K$731=TYPE3)*(TYPE3&lt;&gt;"")+('Dvd Calendar'!$K$731=TYPE4)*(TYPE4&lt;&gt;"")+('Dvd Calendar'!$K$731=SPECIAL_LBL)*(INC_SPECIALS="Y"))=0,"",'Dvd Calendar'!$K$729)))</f>
        <v/>
      </c>
      <c r="J77" s="161">
        <f>IF(EL77="","",IF(ISNUMBER('Dvd Calendar'!$L$729)=FALSE,"",IF((('Dvd Calendar'!$L$731=TYPE1)*(TYPE1&lt;&gt;"")+('Dvd Calendar'!$L$731=TYPE2)*(TYPE2&lt;&gt;"")+('Dvd Calendar'!$L$731=TYPE3)*(TYPE3&lt;&gt;"")+('Dvd Calendar'!$L$731=TYPE4)*(TYPE4&lt;&gt;"")+('Dvd Calendar'!$L$731=SPECIAL_LBL)*(INC_SPECIALS="Y"))=0,"",'Dvd Calendar'!$L$729)))</f>
        <v/>
      </c>
      <c r="K77" s="161">
        <f>IF(EM77="","",IF(ISNUMBER('Dvd Calendar'!$M$729)=FALSE,"",IF((('Dvd Calendar'!$M$731=TYPE1)*(TYPE1&lt;&gt;"")+('Dvd Calendar'!$M$731=TYPE2)*(TYPE2&lt;&gt;"")+('Dvd Calendar'!$M$731=TYPE3)*(TYPE3&lt;&gt;"")+('Dvd Calendar'!$M$731=TYPE4)*(TYPE4&lt;&gt;"")+('Dvd Calendar'!$M$731=SPECIAL_LBL)*(INC_SPECIALS="Y"))=0,"",'Dvd Calendar'!$M$729)))</f>
        <v/>
      </c>
      <c r="L77" s="161">
        <f>IF(EN77="","",IF(ISNUMBER('Dvd Calendar'!$N$729)=FALSE,"",IF((('Dvd Calendar'!$N$731=TYPE1)*(TYPE1&lt;&gt;"")+('Dvd Calendar'!$N$731=TYPE2)*(TYPE2&lt;&gt;"")+('Dvd Calendar'!$N$731=TYPE3)*(TYPE3&lt;&gt;"")+('Dvd Calendar'!$N$731=TYPE4)*(TYPE4&lt;&gt;"")+('Dvd Calendar'!$N$731=SPECIAL_LBL)*(INC_SPECIALS="Y"))=0,"",'Dvd Calendar'!$N$729)))</f>
        <v/>
      </c>
      <c r="M77" s="161">
        <f>IF(EO77="","",IF(ISNUMBER('Dvd Calendar'!$O$729)=FALSE,"",IF((('Dvd Calendar'!$O$731=TYPE1)*(TYPE1&lt;&gt;"")+('Dvd Calendar'!$O$731=TYPE2)*(TYPE2&lt;&gt;"")+('Dvd Calendar'!$O$731=TYPE3)*(TYPE3&lt;&gt;"")+('Dvd Calendar'!$O$731=TYPE4)*(TYPE4&lt;&gt;"")+('Dvd Calendar'!$O$731=SPECIAL_LBL)*(INC_SPECIALS="Y"))=0,"",'Dvd Calendar'!$O$729)))</f>
        <v/>
      </c>
      <c r="N77" s="161">
        <f>IF(EP77="","",IF(ISNUMBER('Dvd Calendar'!$P$729)=FALSE,"",IF((('Dvd Calendar'!$P$731=TYPE1)*(TYPE1&lt;&gt;"")+('Dvd Calendar'!$P$731=TYPE2)*(TYPE2&lt;&gt;"")+('Dvd Calendar'!$P$731=TYPE3)*(TYPE3&lt;&gt;"")+('Dvd Calendar'!$P$731=TYPE4)*(TYPE4&lt;&gt;"")+('Dvd Calendar'!$P$731=SPECIAL_LBL)*(INC_SPECIALS="Y"))=0,"",'Dvd Calendar'!$P$729)))</f>
        <v/>
      </c>
      <c r="O77" s="161">
        <f>IF(EQ77="","",IF(ISNUMBER('Dvd Calendar'!$Q$729)=FALSE,"",IF((('Dvd Calendar'!$Q$731=TYPE1)*(TYPE1&lt;&gt;"")+('Dvd Calendar'!$Q$731=TYPE2)*(TYPE2&lt;&gt;"")+('Dvd Calendar'!$Q$731=TYPE3)*(TYPE3&lt;&gt;"")+('Dvd Calendar'!$Q$731=TYPE4)*(TYPE4&lt;&gt;"")+('Dvd Calendar'!$Q$731=SPECIAL_LBL)*(INC_SPECIALS="Y"))=0,"",'Dvd Calendar'!$Q$729)))</f>
        <v/>
      </c>
      <c r="P77" s="161">
        <f>IF(ER77="","",IF(ISNUMBER('Dvd Calendar'!$R$729)=FALSE,"",IF((('Dvd Calendar'!$R$731=TYPE1)*(TYPE1&lt;&gt;"")+('Dvd Calendar'!$R$731=TYPE2)*(TYPE2&lt;&gt;"")+('Dvd Calendar'!$R$731=TYPE3)*(TYPE3&lt;&gt;"")+('Dvd Calendar'!$R$731=TYPE4)*(TYPE4&lt;&gt;"")+('Dvd Calendar'!$R$731=SPECIAL_LBL)*(INC_SPECIALS="Y"))=0,"",'Dvd Calendar'!$R$729)))</f>
        <v/>
      </c>
      <c r="Q77" s="161">
        <f>IF(ES77="","",IF(ISNUMBER('Dvd Calendar'!$S$729)=FALSE,"",IF((('Dvd Calendar'!$S$731=TYPE1)*(TYPE1&lt;&gt;"")+('Dvd Calendar'!$S$731=TYPE2)*(TYPE2&lt;&gt;"")+('Dvd Calendar'!$S$731=TYPE3)*(TYPE3&lt;&gt;"")+('Dvd Calendar'!$S$731=TYPE4)*(TYPE4&lt;&gt;"")+('Dvd Calendar'!$S$731=SPECIAL_LBL)*(INC_SPECIALS="Y"))=0,"",'Dvd Calendar'!$S$729)))</f>
        <v/>
      </c>
      <c r="R77" s="161">
        <f>IF(ET77="","",IF(ISNUMBER('Dvd Calendar'!$T$729)=FALSE,"",IF((('Dvd Calendar'!$T$731=TYPE1)*(TYPE1&lt;&gt;"")+('Dvd Calendar'!$T$731=TYPE2)*(TYPE2&lt;&gt;"")+('Dvd Calendar'!$T$731=TYPE3)*(TYPE3&lt;&gt;"")+('Dvd Calendar'!$T$731=TYPE4)*(TYPE4&lt;&gt;"")+('Dvd Calendar'!$T$731=SPECIAL_LBL)*(INC_SPECIALS="Y"))=0,"",'Dvd Calendar'!$T$729)))</f>
        <v/>
      </c>
      <c r="S77" s="161">
        <f>IF(EU77="","",IF(ISNUMBER('Dvd Calendar'!$U$729)=FALSE,"",IF((('Dvd Calendar'!$U$731=TYPE1)*(TYPE1&lt;&gt;"")+('Dvd Calendar'!$U$731=TYPE2)*(TYPE2&lt;&gt;"")+('Dvd Calendar'!$U$731=TYPE3)*(TYPE3&lt;&gt;"")+('Dvd Calendar'!$U$731=TYPE4)*(TYPE4&lt;&gt;"")+('Dvd Calendar'!$U$731=SPECIAL_LBL)*(INC_SPECIALS="Y"))=0,"",'Dvd Calendar'!$U$729)))</f>
        <v/>
      </c>
      <c r="T77" s="161">
        <f>IF(EV77="","",IF(ISNUMBER('Dvd Calendar'!$V$729)=FALSE,"",IF((('Dvd Calendar'!$V$731=TYPE1)*(TYPE1&lt;&gt;"")+('Dvd Calendar'!$V$731=TYPE2)*(TYPE2&lt;&gt;"")+('Dvd Calendar'!$V$731=TYPE3)*(TYPE3&lt;&gt;"")+('Dvd Calendar'!$V$731=TYPE4)*(TYPE4&lt;&gt;"")+('Dvd Calendar'!$V$731=SPECIAL_LBL)*(INC_SPECIALS="Y"))=0,"",'Dvd Calendar'!$V$729)))</f>
        <v/>
      </c>
      <c r="U77" s="161">
        <f>IF(EW77="","",IF(ISNUMBER('Dvd Calendar'!$W$729)=FALSE,"",IF((('Dvd Calendar'!$W$731=TYPE1)*(TYPE1&lt;&gt;"")+('Dvd Calendar'!$W$731=TYPE2)*(TYPE2&lt;&gt;"")+('Dvd Calendar'!$W$731=TYPE3)*(TYPE3&lt;&gt;"")+('Dvd Calendar'!$W$731=TYPE4)*(TYPE4&lt;&gt;"")+('Dvd Calendar'!$W$731=SPECIAL_LBL)*(INC_SPECIALS="Y"))=0,"",'Dvd Calendar'!$W$729)))</f>
        <v/>
      </c>
      <c r="V77" s="161">
        <f>IF(EX77="","",IF(ISNUMBER('Dvd Calendar'!$X$729)=FALSE,"",IF((('Dvd Calendar'!$X$731=TYPE1)*(TYPE1&lt;&gt;"")+('Dvd Calendar'!$X$731=TYPE2)*(TYPE2&lt;&gt;"")+('Dvd Calendar'!$X$731=TYPE3)*(TYPE3&lt;&gt;"")+('Dvd Calendar'!$X$731=TYPE4)*(TYPE4&lt;&gt;"")+('Dvd Calendar'!$X$731=SPECIAL_LBL)*(INC_SPECIALS="Y"))=0,"",'Dvd Calendar'!$X$729)))</f>
        <v/>
      </c>
      <c r="W77" s="161">
        <f>IF(EY77="","",IF(ISNUMBER('Dvd Calendar'!$Y$729)=FALSE,"",IF((('Dvd Calendar'!$Y$731=TYPE1)*(TYPE1&lt;&gt;"")+('Dvd Calendar'!$Y$731=TYPE2)*(TYPE2&lt;&gt;"")+('Dvd Calendar'!$Y$731=TYPE3)*(TYPE3&lt;&gt;"")+('Dvd Calendar'!$Y$731=TYPE4)*(TYPE4&lt;&gt;"")+('Dvd Calendar'!$Y$731=SPECIAL_LBL)*(INC_SPECIALS="Y"))=0,"",'Dvd Calendar'!$Y$729)))</f>
        <v/>
      </c>
      <c r="X77" s="161">
        <f>IF(EZ77="","",IF(ISNUMBER('Dvd Calendar'!$Z$729)=FALSE,"",IF((('Dvd Calendar'!$Z$731=TYPE1)*(TYPE1&lt;&gt;"")+('Dvd Calendar'!$Z$731=TYPE2)*(TYPE2&lt;&gt;"")+('Dvd Calendar'!$Z$731=TYPE3)*(TYPE3&lt;&gt;"")+('Dvd Calendar'!$Z$731=TYPE4)*(TYPE4&lt;&gt;"")+('Dvd Calendar'!$Z$731=SPECIAL_LBL)*(INC_SPECIALS="Y"))=0,"",'Dvd Calendar'!$Z$729)))</f>
        <v/>
      </c>
      <c r="Y77" s="161">
        <f>IF(FA77="","",IF(ISNUMBER('Dvd Calendar'!$AA$729)=FALSE,"",IF((('Dvd Calendar'!$AA$731=TYPE1)*(TYPE1&lt;&gt;"")+('Dvd Calendar'!$AA$731=TYPE2)*(TYPE2&lt;&gt;"")+('Dvd Calendar'!$AA$731=TYPE3)*(TYPE3&lt;&gt;"")+('Dvd Calendar'!$AA$731=TYPE4)*(TYPE4&lt;&gt;"")+('Dvd Calendar'!$AA$731=SPECIAL_LBL)*(INC_SPECIALS="Y"))=0,"",'Dvd Calendar'!$AA$729)))</f>
        <v/>
      </c>
      <c r="Z77" s="161">
        <f>IF(FB77="","",IF(ISNUMBER('Dvd Calendar'!$AB$729)=FALSE,"",IF((('Dvd Calendar'!$AB$731=TYPE1)*(TYPE1&lt;&gt;"")+('Dvd Calendar'!$AB$731=TYPE2)*(TYPE2&lt;&gt;"")+('Dvd Calendar'!$AB$731=TYPE3)*(TYPE3&lt;&gt;"")+('Dvd Calendar'!$AB$731=TYPE4)*(TYPE4&lt;&gt;"")+('Dvd Calendar'!$AB$731=SPECIAL_LBL)*(INC_SPECIALS="Y"))=0,"",'Dvd Calendar'!$AB$729)))</f>
        <v/>
      </c>
      <c r="AA77" s="161">
        <f>IF(FC77="","",IF(ISNUMBER('Dvd Calendar'!$AC$729)=FALSE,"",IF((('Dvd Calendar'!$AC$731=TYPE1)*(TYPE1&lt;&gt;"")+('Dvd Calendar'!$AC$731=TYPE2)*(TYPE2&lt;&gt;"")+('Dvd Calendar'!$AC$731=TYPE3)*(TYPE3&lt;&gt;"")+('Dvd Calendar'!$AC$731=TYPE4)*(TYPE4&lt;&gt;"")+('Dvd Calendar'!$AC$731=SPECIAL_LBL)*(INC_SPECIALS="Y"))=0,"",'Dvd Calendar'!$AC$729)))</f>
        <v/>
      </c>
      <c r="AB77" s="161">
        <f>IF(FD77="","",IF(ISNUMBER('Dvd Calendar'!$AD$729)=FALSE,"",IF((('Dvd Calendar'!$AD$731=TYPE1)*(TYPE1&lt;&gt;"")+('Dvd Calendar'!$AD$731=TYPE2)*(TYPE2&lt;&gt;"")+('Dvd Calendar'!$AD$731=TYPE3)*(TYPE3&lt;&gt;"")+('Dvd Calendar'!$AD$731=TYPE4)*(TYPE4&lt;&gt;"")+('Dvd Calendar'!$AD$731=SPECIAL_LBL)*(INC_SPECIALS="Y"))=0,"",'Dvd Calendar'!$AD$729)))</f>
        <v/>
      </c>
      <c r="AC77" s="161">
        <f>IF(FE77="","",IF(ISNUMBER('Dvd Calendar'!$AE$729)=FALSE,"",IF((('Dvd Calendar'!$AE$731=TYPE1)*(TYPE1&lt;&gt;"")+('Dvd Calendar'!$AE$731=TYPE2)*(TYPE2&lt;&gt;"")+('Dvd Calendar'!$AE$731=TYPE3)*(TYPE3&lt;&gt;"")+('Dvd Calendar'!$AE$731=TYPE4)*(TYPE4&lt;&gt;"")+('Dvd Calendar'!$AE$731=SPECIAL_LBL)*(INC_SPECIALS="Y"))=0,"",'Dvd Calendar'!$AE$729)))</f>
        <v/>
      </c>
      <c r="AD77" s="161">
        <f>IF(FF77="","",IF(ISNUMBER('Dvd Calendar'!$AF$729)=FALSE,"",IF((('Dvd Calendar'!$AF$731=TYPE1)*(TYPE1&lt;&gt;"")+('Dvd Calendar'!$AF$731=TYPE2)*(TYPE2&lt;&gt;"")+('Dvd Calendar'!$AF$731=TYPE3)*(TYPE3&lt;&gt;"")+('Dvd Calendar'!$AF$731=TYPE4)*(TYPE4&lt;&gt;"")+('Dvd Calendar'!$AF$731=SPECIAL_LBL)*(INC_SPECIALS="Y"))=0,"",'Dvd Calendar'!$AF$729)))</f>
        <v/>
      </c>
      <c r="AE77" s="161">
        <f>IF(FG77="","",IF(ISNUMBER('Dvd Calendar'!$AG$729)=FALSE,"",IF((('Dvd Calendar'!$AG$731=TYPE1)*(TYPE1&lt;&gt;"")+('Dvd Calendar'!$AG$731=TYPE2)*(TYPE2&lt;&gt;"")+('Dvd Calendar'!$AG$731=TYPE3)*(TYPE3&lt;&gt;"")+('Dvd Calendar'!$AG$731=TYPE4)*(TYPE4&lt;&gt;"")+('Dvd Calendar'!$AG$731=SPECIAL_LBL)*(INC_SPECIALS="Y"))=0,"",'Dvd Calendar'!$AG$729)))</f>
        <v/>
      </c>
      <c r="AF77" s="161">
        <f>IF(FH77="","",IF(ISNUMBER('Dvd Calendar'!$AH$729)=FALSE,"",IF((('Dvd Calendar'!$AH$731=TYPE1)*(TYPE1&lt;&gt;"")+('Dvd Calendar'!$AH$731=TYPE2)*(TYPE2&lt;&gt;"")+('Dvd Calendar'!$AH$731=TYPE3)*(TYPE3&lt;&gt;"")+('Dvd Calendar'!$AH$731=TYPE4)*(TYPE4&lt;&gt;"")+('Dvd Calendar'!$AH$731=SPECIAL_LBL)*(INC_SPECIALS="Y"))=0,"",'Dvd Calendar'!$AH$729)))</f>
        <v/>
      </c>
      <c r="AG77" s="161">
        <f>IF(FI77="","",IF(ISNUMBER('Dvd Calendar'!$AI$729)=FALSE,"",IF((('Dvd Calendar'!$AI$731=TYPE1)*(TYPE1&lt;&gt;"")+('Dvd Calendar'!$AI$731=TYPE2)*(TYPE2&lt;&gt;"")+('Dvd Calendar'!$AI$731=TYPE3)*(TYPE3&lt;&gt;"")+('Dvd Calendar'!$AI$731=TYPE4)*(TYPE4&lt;&gt;"")+('Dvd Calendar'!$AI$731=SPECIAL_LBL)*(INC_SPECIALS="Y"))=0,"",'Dvd Calendar'!$AI$729)))</f>
        <v/>
      </c>
      <c r="AH77" s="161">
        <f>IF(FJ77="","",IF(ISNUMBER('Dvd Calendar'!$AJ$729)=FALSE,"",IF((('Dvd Calendar'!$AJ$731=TYPE1)*(TYPE1&lt;&gt;"")+('Dvd Calendar'!$AJ$731=TYPE2)*(TYPE2&lt;&gt;"")+('Dvd Calendar'!$AJ$731=TYPE3)*(TYPE3&lt;&gt;"")+('Dvd Calendar'!$AJ$731=TYPE4)*(TYPE4&lt;&gt;"")+('Dvd Calendar'!$AJ$731=SPECIAL_LBL)*(INC_SPECIALS="Y"))=0,"",'Dvd Calendar'!$AJ$729)))</f>
        <v/>
      </c>
      <c r="AI77" s="161">
        <f>IF(FK77="","",IF(ISNUMBER('Dvd Calendar'!$AK$729)=FALSE,"",IF((('Dvd Calendar'!$AK$731=TYPE1)*(TYPE1&lt;&gt;"")+('Dvd Calendar'!$AK$731=TYPE2)*(TYPE2&lt;&gt;"")+('Dvd Calendar'!$AK$731=TYPE3)*(TYPE3&lt;&gt;"")+('Dvd Calendar'!$AK$731=TYPE4)*(TYPE4&lt;&gt;"")+('Dvd Calendar'!$AK$731=SPECIAL_LBL)*(INC_SPECIALS="Y"))=0,"",'Dvd Calendar'!$AK$729)))</f>
        <v/>
      </c>
      <c r="AJ77" s="161">
        <f>IF(FL77="","",IF(ISNUMBER('Dvd Calendar'!$AL$729)=FALSE,"",IF((('Dvd Calendar'!$AL$731=TYPE1)*(TYPE1&lt;&gt;"")+('Dvd Calendar'!$AL$731=TYPE2)*(TYPE2&lt;&gt;"")+('Dvd Calendar'!$AL$731=TYPE3)*(TYPE3&lt;&gt;"")+('Dvd Calendar'!$AL$731=TYPE4)*(TYPE4&lt;&gt;"")+('Dvd Calendar'!$AL$731=SPECIAL_LBL)*(INC_SPECIALS="Y"))=0,"",'Dvd Calendar'!$AL$729)))</f>
        <v/>
      </c>
      <c r="AK77" s="161">
        <f>IF(FM77="","",IF(ISNUMBER('Dvd Calendar'!$AM$729)=FALSE,"",IF((('Dvd Calendar'!$AM$731=TYPE1)*(TYPE1&lt;&gt;"")+('Dvd Calendar'!$AM$731=TYPE2)*(TYPE2&lt;&gt;"")+('Dvd Calendar'!$AM$731=TYPE3)*(TYPE3&lt;&gt;"")+('Dvd Calendar'!$AM$731=TYPE4)*(TYPE4&lt;&gt;"")+('Dvd Calendar'!$AM$731=SPECIAL_LBL)*(INC_SPECIALS="Y"))=0,"",'Dvd Calendar'!$AM$729)))</f>
        <v/>
      </c>
      <c r="AL77" s="161">
        <f>IF(FN77="","",IF(ISNUMBER('Dvd Calendar'!$AN$729)=FALSE,"",IF((('Dvd Calendar'!$AN$731=TYPE1)*(TYPE1&lt;&gt;"")+('Dvd Calendar'!$AN$731=TYPE2)*(TYPE2&lt;&gt;"")+('Dvd Calendar'!$AN$731=TYPE3)*(TYPE3&lt;&gt;"")+('Dvd Calendar'!$AN$731=TYPE4)*(TYPE4&lt;&gt;"")+('Dvd Calendar'!$AN$731=SPECIAL_LBL)*(INC_SPECIALS="Y"))=0,"",'Dvd Calendar'!$AN$729)))</f>
        <v/>
      </c>
      <c r="AM77" s="161">
        <f>IF(FO77="","",IF(ISNUMBER('Dvd Calendar'!$AO$729)=FALSE,"",IF((('Dvd Calendar'!$AO$731=TYPE1)*(TYPE1&lt;&gt;"")+('Dvd Calendar'!$AO$731=TYPE2)*(TYPE2&lt;&gt;"")+('Dvd Calendar'!$AO$731=TYPE3)*(TYPE3&lt;&gt;"")+('Dvd Calendar'!$AO$731=TYPE4)*(TYPE4&lt;&gt;"")+('Dvd Calendar'!$AO$731=SPECIAL_LBL)*(INC_SPECIALS="Y"))=0,"",'Dvd Calendar'!$AO$729)))</f>
        <v/>
      </c>
      <c r="AN77" s="161">
        <f>IF(FP77="","",IF(ISNUMBER('Dvd Calendar'!$AP$729)=FALSE,"",IF((('Dvd Calendar'!$AP$731=TYPE1)*(TYPE1&lt;&gt;"")+('Dvd Calendar'!$AP$731=TYPE2)*(TYPE2&lt;&gt;"")+('Dvd Calendar'!$AP$731=TYPE3)*(TYPE3&lt;&gt;"")+('Dvd Calendar'!$AP$731=TYPE4)*(TYPE4&lt;&gt;"")+('Dvd Calendar'!$AP$731=SPECIAL_LBL)*(INC_SPECIALS="Y"))=0,"",'Dvd Calendar'!$AP$729)))</f>
        <v/>
      </c>
      <c r="AO77" s="161">
        <f>IF(FQ77="","",IF(ISNUMBER('Dvd Calendar'!$AQ$729)=FALSE,"",IF((('Dvd Calendar'!$AQ$731=TYPE1)*(TYPE1&lt;&gt;"")+('Dvd Calendar'!$AQ$731=TYPE2)*(TYPE2&lt;&gt;"")+('Dvd Calendar'!$AQ$731=TYPE3)*(TYPE3&lt;&gt;"")+('Dvd Calendar'!$AQ$731=TYPE4)*(TYPE4&lt;&gt;"")+('Dvd Calendar'!$AQ$731=SPECIAL_LBL)*(INC_SPECIALS="Y"))=0,"",'Dvd Calendar'!$AQ$729)))</f>
        <v/>
      </c>
      <c r="AP77" s="161">
        <f>IF(FR77="","",IF(ISNUMBER('Dvd Calendar'!$AR$729)=FALSE,"",IF((('Dvd Calendar'!$AR$731=TYPE1)*(TYPE1&lt;&gt;"")+('Dvd Calendar'!$AR$731=TYPE2)*(TYPE2&lt;&gt;"")+('Dvd Calendar'!$AR$731=TYPE3)*(TYPE3&lt;&gt;"")+('Dvd Calendar'!$AR$731=TYPE4)*(TYPE4&lt;&gt;"")+('Dvd Calendar'!$AR$731=SPECIAL_LBL)*(INC_SPECIALS="Y"))=0,"",'Dvd Calendar'!$AR$729)))</f>
        <v/>
      </c>
      <c r="AQ77" s="161">
        <f>IF(FS77="","",IF(ISNUMBER('Dvd Calendar'!$E$734)=FALSE,"",'Dvd Calendar'!$E$734))</f>
        <v/>
      </c>
      <c r="AR77" s="161">
        <f>IF(FT77="","",IF(ISNUMBER('Dvd Calendar'!$F$734)=FALSE,"",'Dvd Calendar'!$F$734))</f>
        <v/>
      </c>
      <c r="AS77" s="161">
        <f>IF(FU77="","",IF(ISNUMBER('Dvd Calendar'!$G$734)=FALSE,"",'Dvd Calendar'!$G$734))</f>
        <v/>
      </c>
      <c r="AT77" s="161">
        <f>IF(FV77="","",IF(ISNUMBER('Dvd Calendar'!$H$734)=FALSE,"",'Dvd Calendar'!$H$734))</f>
        <v/>
      </c>
      <c r="AU77" s="161">
        <f>IF(FW77="","",IF(ISNUMBER('Dvd Calendar'!$I$734)=FALSE,"",'Dvd Calendar'!$I$734))</f>
        <v/>
      </c>
      <c r="AV77" s="161">
        <f>IF(FX77="","",IF(ISNUMBER('Dvd Calendar'!$J$734)=FALSE,"",'Dvd Calendar'!$J$734))</f>
        <v/>
      </c>
      <c r="AW77" s="161">
        <f>IF(FY77="","",IF(ISNUMBER('Dvd Calendar'!$K$734)=FALSE,"",'Dvd Calendar'!$K$734))</f>
        <v/>
      </c>
      <c r="AX77" s="161">
        <f>IF(FZ77="","",IF(ISNUMBER('Dvd Calendar'!$L$734)=FALSE,"",'Dvd Calendar'!$L$734))</f>
        <v/>
      </c>
      <c r="AY77" s="161">
        <f>IF(GA77="","",IF(ISNUMBER('Dvd Calendar'!$M$734)=FALSE,"",'Dvd Calendar'!$M$734))</f>
        <v/>
      </c>
      <c r="AZ77" s="161">
        <f>IF(GB77="","",IF(ISNUMBER('Dvd Calendar'!$N$734)=FALSE,"",'Dvd Calendar'!$N$734))</f>
        <v/>
      </c>
      <c r="BA77" s="161">
        <f>IF(GC77="","",IF(ISNUMBER('Dvd Calendar'!$O$734)=FALSE,"",'Dvd Calendar'!$O$734))</f>
        <v/>
      </c>
      <c r="BB77" s="161">
        <f>IF(GD77="","",IF(ISNUMBER('Dvd Calendar'!$P$734)=FALSE,"",'Dvd Calendar'!$P$734))</f>
        <v/>
      </c>
      <c r="BC77" s="161">
        <f>IF(GE77="","",IF(ISNUMBER('Dvd Calendar'!$Q$734)=FALSE,"",'Dvd Calendar'!$Q$734))</f>
        <v/>
      </c>
      <c r="BD77" s="161">
        <f>IF(GF77="","",IF(ISNUMBER('Dvd Calendar'!$R$734)=FALSE,"",'Dvd Calendar'!$R$734))</f>
        <v/>
      </c>
      <c r="BE77" s="161">
        <f>IF(GG77="","",IF(ISNUMBER('Dvd Calendar'!$S$734)=FALSE,"",'Dvd Calendar'!$S$734))</f>
        <v/>
      </c>
      <c r="BF77" s="161">
        <f>IF(GH77="","",IF(ISNUMBER('Dvd Calendar'!$T$734)=FALSE,"",'Dvd Calendar'!$T$734))</f>
        <v/>
      </c>
      <c r="BG77" s="161">
        <f>IF(GI77="","",IF(ISNUMBER('Dvd Calendar'!$U$734)=FALSE,"",'Dvd Calendar'!$U$734))</f>
        <v/>
      </c>
      <c r="BH77" s="161">
        <f>IF(GJ77="","",IF(ISNUMBER('Dvd Calendar'!$V$734)=FALSE,"",'Dvd Calendar'!$V$734))</f>
        <v/>
      </c>
      <c r="BI77" s="161">
        <f>IF(GK77="","",IF(ISNUMBER('Dvd Calendar'!$W$734)=FALSE,"",'Dvd Calendar'!$W$734))</f>
        <v/>
      </c>
      <c r="BJ77" s="161">
        <f>IF(GL77="","",IF(ISNUMBER('Dvd Calendar'!$X$734)=FALSE,"",'Dvd Calendar'!$X$734))</f>
        <v/>
      </c>
      <c r="BK77" s="161">
        <f>IF(GM77="","",IF(ISNUMBER('Dvd Calendar'!$Y$734)=FALSE,"",'Dvd Calendar'!$Y$734))</f>
        <v/>
      </c>
      <c r="BL77" s="161">
        <f>IF(GN77="","",IF(ISNUMBER('Dvd Calendar'!$Z$734)=FALSE,"",'Dvd Calendar'!$Z$734))</f>
        <v/>
      </c>
      <c r="BM77" s="161">
        <f>IF(GO77="","",IF(ISNUMBER('Dvd Calendar'!$AA$734)=FALSE,"",'Dvd Calendar'!$AA$734))</f>
        <v/>
      </c>
      <c r="BN77" s="161">
        <f>IF(GP77="","",IF(ISNUMBER('Dvd Calendar'!$AB$734)=FALSE,"",'Dvd Calendar'!$AB$734))</f>
        <v/>
      </c>
      <c r="BO77" s="161">
        <f>IF(GQ77="","",IF(ISNUMBER('Dvd Calendar'!$AC$734)=FALSE,"",'Dvd Calendar'!$AC$734))</f>
        <v/>
      </c>
      <c r="BQ77" s="161">
        <f>IF(C77="","",IFERROR(C77*HSI!$B$72*HSI!$G$72/HSI!$B$3,""))</f>
        <v/>
      </c>
      <c r="BR77" s="161">
        <f>IF(D77="","",IFERROR(D77*HSI!$B$72*HSI!$G$72/HSI!$B$3,""))</f>
        <v/>
      </c>
      <c r="BS77" s="161">
        <f>IF(E77="","",IFERROR(E77*HSI!$B$72*HSI!$G$72/HSI!$B$3,""))</f>
        <v/>
      </c>
      <c r="BT77" s="161">
        <f>IF(F77="","",IFERROR(F77*HSI!$B$72*HSI!$G$72/HSI!$B$3,""))</f>
        <v/>
      </c>
      <c r="BU77" s="161">
        <f>IF(G77="","",IFERROR(G77*HSI!$B$72*HSI!$G$72/HSI!$B$3,""))</f>
        <v/>
      </c>
      <c r="BV77" s="161">
        <f>IF(H77="","",IFERROR(H77*HSI!$B$72*HSI!$G$72/HSI!$B$3,""))</f>
        <v/>
      </c>
      <c r="BW77" s="161">
        <f>IF(I77="","",IFERROR(I77*HSI!$B$72*HSI!$G$72/HSI!$B$3,""))</f>
        <v/>
      </c>
      <c r="BX77" s="161">
        <f>IF(J77="","",IFERROR(J77*HSI!$B$72*HSI!$G$72/HSI!$B$3,""))</f>
        <v/>
      </c>
      <c r="BY77" s="161">
        <f>IF(K77="","",IFERROR(K77*HSI!$B$72*HSI!$G$72/HSI!$B$3,""))</f>
        <v/>
      </c>
      <c r="BZ77" s="161">
        <f>IF(L77="","",IFERROR(L77*HSI!$B$72*HSI!$G$72/HSI!$B$3,""))</f>
        <v/>
      </c>
      <c r="CA77" s="161">
        <f>IF(M77="","",IFERROR(M77*HSI!$B$72*HSI!$G$72/HSI!$B$3,""))</f>
        <v/>
      </c>
      <c r="CB77" s="161">
        <f>IF(N77="","",IFERROR(N77*HSI!$B$72*HSI!$G$72/HSI!$B$3,""))</f>
        <v/>
      </c>
      <c r="CC77" s="161">
        <f>IF(O77="","",IFERROR(O77*HSI!$B$72*HSI!$G$72/HSI!$B$3,""))</f>
        <v/>
      </c>
      <c r="CD77" s="161">
        <f>IF(P77="","",IFERROR(P77*HSI!$B$72*HSI!$G$72/HSI!$B$3,""))</f>
        <v/>
      </c>
      <c r="CE77" s="161">
        <f>IF(Q77="","",IFERROR(Q77*HSI!$B$72*HSI!$G$72/HSI!$B$3,""))</f>
        <v/>
      </c>
      <c r="CF77" s="161">
        <f>IF(R77="","",IFERROR(R77*HSI!$B$72*HSI!$G$72/HSI!$B$3,""))</f>
        <v/>
      </c>
      <c r="CG77" s="161">
        <f>IF(S77="","",IFERROR(S77*HSI!$B$72*HSI!$G$72/HSI!$B$3,""))</f>
        <v/>
      </c>
      <c r="CH77" s="161">
        <f>IF(T77="","",IFERROR(T77*HSI!$B$72*HSI!$G$72/HSI!$B$3,""))</f>
        <v/>
      </c>
      <c r="CI77" s="161">
        <f>IF(U77="","",IFERROR(U77*HSI!$B$72*HSI!$G$72/HSI!$B$3,""))</f>
        <v/>
      </c>
      <c r="CJ77" s="161">
        <f>IF(V77="","",IFERROR(V77*HSI!$B$72*HSI!$G$72/HSI!$B$3,""))</f>
        <v/>
      </c>
      <c r="CK77" s="161">
        <f>IF(W77="","",IFERROR(W77*HSI!$B$72*HSI!$G$72/HSI!$B$3,""))</f>
        <v/>
      </c>
      <c r="CL77" s="161">
        <f>IF(X77="","",IFERROR(X77*HSI!$B$72*HSI!$G$72/HSI!$B$3,""))</f>
        <v/>
      </c>
      <c r="CM77" s="161">
        <f>IF(Y77="","",IFERROR(Y77*HSI!$B$72*HSI!$G$72/HSI!$B$3,""))</f>
        <v/>
      </c>
      <c r="CN77" s="161">
        <f>IF(Z77="","",IFERROR(Z77*HSI!$B$72*HSI!$G$72/HSI!$B$3,""))</f>
        <v/>
      </c>
      <c r="CO77" s="161">
        <f>IF(AA77="","",IFERROR(AA77*HSI!$B$72*HSI!$G$72/HSI!$B$3,""))</f>
        <v/>
      </c>
      <c r="CP77" s="161">
        <f>IF(AB77="","",IFERROR(AB77*HSI!$B$72*HSI!$G$72/HSI!$B$3,""))</f>
        <v/>
      </c>
      <c r="CQ77" s="161">
        <f>IF(AC77="","",IFERROR(AC77*HSI!$B$72*HSI!$G$72/HSI!$B$3,""))</f>
        <v/>
      </c>
      <c r="CR77" s="161">
        <f>IF(AD77="","",IFERROR(AD77*HSI!$B$72*HSI!$G$72/HSI!$B$3,""))</f>
        <v/>
      </c>
      <c r="CS77" s="161">
        <f>IF(AE77="","",IFERROR(AE77*HSI!$B$72*HSI!$G$72/HSI!$B$3,""))</f>
        <v/>
      </c>
      <c r="CT77" s="161">
        <f>IF(AF77="","",IFERROR(AF77*HSI!$B$72*HSI!$G$72/HSI!$B$3,""))</f>
        <v/>
      </c>
      <c r="CU77" s="161">
        <f>IF(AG77="","",IFERROR(AG77*HSI!$B$72*HSI!$G$72/HSI!$B$3,""))</f>
        <v/>
      </c>
      <c r="CV77" s="161">
        <f>IF(AH77="","",IFERROR(AH77*HSI!$B$72*HSI!$G$72/HSI!$B$3,""))</f>
        <v/>
      </c>
      <c r="CW77" s="161">
        <f>IF(AI77="","",IFERROR(AI77*HSI!$B$72*HSI!$G$72/HSI!$B$3,""))</f>
        <v/>
      </c>
      <c r="CX77" s="161">
        <f>IF(AJ77="","",IFERROR(AJ77*HSI!$B$72*HSI!$G$72/HSI!$B$3,""))</f>
        <v/>
      </c>
      <c r="CY77" s="161">
        <f>IF(AK77="","",IFERROR(AK77*HSI!$B$72*HSI!$G$72/HSI!$B$3,""))</f>
        <v/>
      </c>
      <c r="CZ77" s="161">
        <f>IF(AL77="","",IFERROR(AL77*HSI!$B$72*HSI!$G$72/HSI!$B$3,""))</f>
        <v/>
      </c>
      <c r="DA77" s="161">
        <f>IF(AM77="","",IFERROR(AM77*HSI!$B$72*HSI!$G$72/HSI!$B$3,""))</f>
        <v/>
      </c>
      <c r="DB77" s="161">
        <f>IF(AN77="","",IFERROR(AN77*HSI!$B$72*HSI!$G$72/HSI!$B$3,""))</f>
        <v/>
      </c>
      <c r="DC77" s="161">
        <f>IF(AO77="","",IFERROR(AO77*HSI!$B$72*HSI!$G$72/HSI!$B$3,""))</f>
        <v/>
      </c>
      <c r="DD77" s="161">
        <f>IF(AP77="","",IFERROR(AP77*HSI!$B$72*HSI!$G$72/HSI!$B$3,""))</f>
        <v/>
      </c>
      <c r="DE77" s="161">
        <f>IF(AQ77="","",IFERROR(AQ77*HSI!$B$72*HSI!$G$72/HSI!$B$3,""))</f>
        <v/>
      </c>
      <c r="DF77" s="161">
        <f>IF(AR77="","",IFERROR(AR77*HSI!$B$72*HSI!$G$72/HSI!$B$3,""))</f>
        <v/>
      </c>
      <c r="DG77" s="161">
        <f>IF(AS77="","",IFERROR(AS77*HSI!$B$72*HSI!$G$72/HSI!$B$3,""))</f>
        <v/>
      </c>
      <c r="DH77" s="161">
        <f>IF(AT77="","",IFERROR(AT77*HSI!$B$72*HSI!$G$72/HSI!$B$3,""))</f>
        <v/>
      </c>
      <c r="DI77" s="161">
        <f>IF(AU77="","",IFERROR(AU77*HSI!$B$72*HSI!$G$72/HSI!$B$3,""))</f>
        <v/>
      </c>
      <c r="DJ77" s="161">
        <f>IF(AV77="","",IFERROR(AV77*HSI!$B$72*HSI!$G$72/HSI!$B$3,""))</f>
        <v/>
      </c>
      <c r="DK77" s="161">
        <f>IF(AW77="","",IFERROR(AW77*HSI!$B$72*HSI!$G$72/HSI!$B$3,""))</f>
        <v/>
      </c>
      <c r="DL77" s="161">
        <f>IF(AX77="","",IFERROR(AX77*HSI!$B$72*HSI!$G$72/HSI!$B$3,""))</f>
        <v/>
      </c>
      <c r="DM77" s="161">
        <f>IF(AY77="","",IFERROR(AY77*HSI!$B$72*HSI!$G$72/HSI!$B$3,""))</f>
        <v/>
      </c>
      <c r="DN77" s="161">
        <f>IF(AZ77="","",IFERROR(AZ77*HSI!$B$72*HSI!$G$72/HSI!$B$3,""))</f>
        <v/>
      </c>
      <c r="DO77" s="161">
        <f>IF(BA77="","",IFERROR(BA77*HSI!$B$72*HSI!$G$72/HSI!$B$3,""))</f>
        <v/>
      </c>
      <c r="DP77" s="161">
        <f>IF(BB77="","",IFERROR(BB77*HSI!$B$72*HSI!$G$72/HSI!$B$3,""))</f>
        <v/>
      </c>
      <c r="DQ77" s="161">
        <f>IF(BC77="","",IFERROR(BC77*HSI!$B$72*HSI!$G$72/HSI!$B$3,""))</f>
        <v/>
      </c>
      <c r="DR77" s="161">
        <f>IF(BD77="","",IFERROR(BD77*HSI!$B$72*HSI!$G$72/HSI!$B$3,""))</f>
        <v/>
      </c>
      <c r="DS77" s="161">
        <f>IF(BE77="","",IFERROR(BE77*HSI!$B$72*HSI!$G$72/HSI!$B$3,""))</f>
        <v/>
      </c>
      <c r="DT77" s="161">
        <f>IF(BF77="","",IFERROR(BF77*HSI!$B$72*HSI!$G$72/HSI!$B$3,""))</f>
        <v/>
      </c>
      <c r="DU77" s="161">
        <f>IF(BG77="","",IFERROR(BG77*HSI!$B$72*HSI!$G$72/HSI!$B$3,""))</f>
        <v/>
      </c>
      <c r="DV77" s="161">
        <f>IF(BH77="","",IFERROR(BH77*HSI!$B$72*HSI!$G$72/HSI!$B$3,""))</f>
        <v/>
      </c>
      <c r="DW77" s="161">
        <f>IF(BI77="","",IFERROR(BI77*HSI!$B$72*HSI!$G$72/HSI!$B$3,""))</f>
        <v/>
      </c>
      <c r="DX77" s="161">
        <f>IF(BJ77="","",IFERROR(BJ77*HSI!$B$72*HSI!$G$72/HSI!$B$3,""))</f>
        <v/>
      </c>
      <c r="DY77" s="161">
        <f>IF(BK77="","",IFERROR(BK77*HSI!$B$72*HSI!$G$72/HSI!$B$3,""))</f>
        <v/>
      </c>
      <c r="DZ77" s="161">
        <f>IF(BL77="","",IFERROR(BL77*HSI!$B$72*HSI!$G$72/HSI!$B$3,""))</f>
        <v/>
      </c>
      <c r="EA77" s="161">
        <f>IF(BM77="","",IFERROR(BM77*HSI!$B$72*HSI!$G$72/HSI!$B$3,""))</f>
        <v/>
      </c>
      <c r="EB77" s="161">
        <f>IF(BN77="","",IFERROR(BN77*HSI!$B$72*HSI!$G$72/HSI!$B$3,""))</f>
        <v/>
      </c>
      <c r="EC77" s="161">
        <f>IF(BO77="","",IFERROR(BO77*HSI!$B$72*HSI!$G$72/HSI!$B$3,""))</f>
        <v/>
      </c>
      <c r="EE77" s="121">
        <f>IF(N('Dvd Calendar'!$E$726)=0,"",IF(('Dvd Calendar'!$E$726&gt;=GRID_FROM)*('Dvd Calendar'!$E$726&lt;=GRID_TO)*((('Dvd Calendar'!$E$726&lt;=VAL_DATE)+(COUNTIF('Dvd Calendar'!$E$733:$AR$733,'Dvd Calendar'!$E$726)=0))&gt;0)=0,"",'Dvd Calendar'!$E$726*1000000000+ISNUMBER('Dvd Calendar'!$E$729)*100000000+('Dvd Calendar'!$E$731=SPECIAL_LBL)*10000000+(N('Dvd Calendar'!$E$725)&gt;0)*(N('Dvd Calendar'!$E$725)&lt;=VAL_SERIAL)*1000000+66*1000+1))</f>
        <v/>
      </c>
      <c r="EF77" s="121">
        <f>IF(N('Dvd Calendar'!$F$726)=0,"",IF(('Dvd Calendar'!$F$726&gt;=GRID_FROM)*('Dvd Calendar'!$F$726&lt;=GRID_TO)*((('Dvd Calendar'!$F$726&lt;=VAL_DATE)+(COUNTIF('Dvd Calendar'!$E$733:$AR$733,'Dvd Calendar'!$F$726)=0))&gt;0)=0,"",'Dvd Calendar'!$F$726*1000000000+ISNUMBER('Dvd Calendar'!$F$729)*100000000+('Dvd Calendar'!$F$731=SPECIAL_LBL)*10000000+(N('Dvd Calendar'!$F$725)&gt;0)*(N('Dvd Calendar'!$F$725)&lt;=VAL_SERIAL)*1000000+66*1000+2))</f>
        <v/>
      </c>
      <c r="EG77" s="121">
        <f>IF(N('Dvd Calendar'!$G$726)=0,"",IF(('Dvd Calendar'!$G$726&gt;=GRID_FROM)*('Dvd Calendar'!$G$726&lt;=GRID_TO)*((('Dvd Calendar'!$G$726&lt;=VAL_DATE)+(COUNTIF('Dvd Calendar'!$E$733:$AR$733,'Dvd Calendar'!$G$726)=0))&gt;0)=0,"",'Dvd Calendar'!$G$726*1000000000+ISNUMBER('Dvd Calendar'!$G$729)*100000000+('Dvd Calendar'!$G$731=SPECIAL_LBL)*10000000+(N('Dvd Calendar'!$G$725)&gt;0)*(N('Dvd Calendar'!$G$725)&lt;=VAL_SERIAL)*1000000+66*1000+3))</f>
        <v/>
      </c>
      <c r="EH77" s="121">
        <f>IF(N('Dvd Calendar'!$H$726)=0,"",IF(('Dvd Calendar'!$H$726&gt;=GRID_FROM)*('Dvd Calendar'!$H$726&lt;=GRID_TO)*((('Dvd Calendar'!$H$726&lt;=VAL_DATE)+(COUNTIF('Dvd Calendar'!$E$733:$AR$733,'Dvd Calendar'!$H$726)=0))&gt;0)=0,"",'Dvd Calendar'!$H$726*1000000000+ISNUMBER('Dvd Calendar'!$H$729)*100000000+('Dvd Calendar'!$H$731=SPECIAL_LBL)*10000000+(N('Dvd Calendar'!$H$725)&gt;0)*(N('Dvd Calendar'!$H$725)&lt;=VAL_SERIAL)*1000000+66*1000+4))</f>
        <v/>
      </c>
      <c r="EI77" s="121">
        <f>IF(N('Dvd Calendar'!$I$726)=0,"",IF(('Dvd Calendar'!$I$726&gt;=GRID_FROM)*('Dvd Calendar'!$I$726&lt;=GRID_TO)*((('Dvd Calendar'!$I$726&lt;=VAL_DATE)+(COUNTIF('Dvd Calendar'!$E$733:$AR$733,'Dvd Calendar'!$I$726)=0))&gt;0)=0,"",'Dvd Calendar'!$I$726*1000000000+ISNUMBER('Dvd Calendar'!$I$729)*100000000+('Dvd Calendar'!$I$731=SPECIAL_LBL)*10000000+(N('Dvd Calendar'!$I$725)&gt;0)*(N('Dvd Calendar'!$I$725)&lt;=VAL_SERIAL)*1000000+66*1000+5))</f>
        <v/>
      </c>
      <c r="EJ77" s="121">
        <f>IF(N('Dvd Calendar'!$J$726)=0,"",IF(('Dvd Calendar'!$J$726&gt;=GRID_FROM)*('Dvd Calendar'!$J$726&lt;=GRID_TO)*((('Dvd Calendar'!$J$726&lt;=VAL_DATE)+(COUNTIF('Dvd Calendar'!$E$733:$AR$733,'Dvd Calendar'!$J$726)=0))&gt;0)=0,"",'Dvd Calendar'!$J$726*1000000000+ISNUMBER('Dvd Calendar'!$J$729)*100000000+('Dvd Calendar'!$J$731=SPECIAL_LBL)*10000000+(N('Dvd Calendar'!$J$725)&gt;0)*(N('Dvd Calendar'!$J$725)&lt;=VAL_SERIAL)*1000000+66*1000+6))</f>
        <v/>
      </c>
      <c r="EK77" s="121">
        <f>IF(N('Dvd Calendar'!$K$726)=0,"",IF(('Dvd Calendar'!$K$726&gt;=GRID_FROM)*('Dvd Calendar'!$K$726&lt;=GRID_TO)*((('Dvd Calendar'!$K$726&lt;=VAL_DATE)+(COUNTIF('Dvd Calendar'!$E$733:$AR$733,'Dvd Calendar'!$K$726)=0))&gt;0)=0,"",'Dvd Calendar'!$K$726*1000000000+ISNUMBER('Dvd Calendar'!$K$729)*100000000+('Dvd Calendar'!$K$731=SPECIAL_LBL)*10000000+(N('Dvd Calendar'!$K$725)&gt;0)*(N('Dvd Calendar'!$K$725)&lt;=VAL_SERIAL)*1000000+66*1000+7))</f>
        <v/>
      </c>
      <c r="EL77" s="121">
        <f>IF(N('Dvd Calendar'!$L$726)=0,"",IF(('Dvd Calendar'!$L$726&gt;=GRID_FROM)*('Dvd Calendar'!$L$726&lt;=GRID_TO)*((('Dvd Calendar'!$L$726&lt;=VAL_DATE)+(COUNTIF('Dvd Calendar'!$E$733:$AR$733,'Dvd Calendar'!$L$726)=0))&gt;0)=0,"",'Dvd Calendar'!$L$726*1000000000+ISNUMBER('Dvd Calendar'!$L$729)*100000000+('Dvd Calendar'!$L$731=SPECIAL_LBL)*10000000+(N('Dvd Calendar'!$L$725)&gt;0)*(N('Dvd Calendar'!$L$725)&lt;=VAL_SERIAL)*1000000+66*1000+8))</f>
        <v/>
      </c>
      <c r="EM77" s="121">
        <f>IF(N('Dvd Calendar'!$M$726)=0,"",IF(('Dvd Calendar'!$M$726&gt;=GRID_FROM)*('Dvd Calendar'!$M$726&lt;=GRID_TO)*((('Dvd Calendar'!$M$726&lt;=VAL_DATE)+(COUNTIF('Dvd Calendar'!$E$733:$AR$733,'Dvd Calendar'!$M$726)=0))&gt;0)=0,"",'Dvd Calendar'!$M$726*1000000000+ISNUMBER('Dvd Calendar'!$M$729)*100000000+('Dvd Calendar'!$M$731=SPECIAL_LBL)*10000000+(N('Dvd Calendar'!$M$725)&gt;0)*(N('Dvd Calendar'!$M$725)&lt;=VAL_SERIAL)*1000000+66*1000+9))</f>
        <v/>
      </c>
      <c r="EN77" s="121">
        <f>IF(N('Dvd Calendar'!$N$726)=0,"",IF(('Dvd Calendar'!$N$726&gt;=GRID_FROM)*('Dvd Calendar'!$N$726&lt;=GRID_TO)*((('Dvd Calendar'!$N$726&lt;=VAL_DATE)+(COUNTIF('Dvd Calendar'!$E$733:$AR$733,'Dvd Calendar'!$N$726)=0))&gt;0)=0,"",'Dvd Calendar'!$N$726*1000000000+ISNUMBER('Dvd Calendar'!$N$729)*100000000+('Dvd Calendar'!$N$731=SPECIAL_LBL)*10000000+(N('Dvd Calendar'!$N$725)&gt;0)*(N('Dvd Calendar'!$N$725)&lt;=VAL_SERIAL)*1000000+66*1000+10))</f>
        <v/>
      </c>
      <c r="EO77" s="121">
        <f>IF(N('Dvd Calendar'!$O$726)=0,"",IF(('Dvd Calendar'!$O$726&gt;=GRID_FROM)*('Dvd Calendar'!$O$726&lt;=GRID_TO)*((('Dvd Calendar'!$O$726&lt;=VAL_DATE)+(COUNTIF('Dvd Calendar'!$E$733:$AR$733,'Dvd Calendar'!$O$726)=0))&gt;0)=0,"",'Dvd Calendar'!$O$726*1000000000+ISNUMBER('Dvd Calendar'!$O$729)*100000000+('Dvd Calendar'!$O$731=SPECIAL_LBL)*10000000+(N('Dvd Calendar'!$O$725)&gt;0)*(N('Dvd Calendar'!$O$725)&lt;=VAL_SERIAL)*1000000+66*1000+11))</f>
        <v/>
      </c>
      <c r="EP77" s="121">
        <f>IF(N('Dvd Calendar'!$P$726)=0,"",IF(('Dvd Calendar'!$P$726&gt;=GRID_FROM)*('Dvd Calendar'!$P$726&lt;=GRID_TO)*((('Dvd Calendar'!$P$726&lt;=VAL_DATE)+(COUNTIF('Dvd Calendar'!$E$733:$AR$733,'Dvd Calendar'!$P$726)=0))&gt;0)=0,"",'Dvd Calendar'!$P$726*1000000000+ISNUMBER('Dvd Calendar'!$P$729)*100000000+('Dvd Calendar'!$P$731=SPECIAL_LBL)*10000000+(N('Dvd Calendar'!$P$725)&gt;0)*(N('Dvd Calendar'!$P$725)&lt;=VAL_SERIAL)*1000000+66*1000+12))</f>
        <v/>
      </c>
      <c r="EQ77" s="121">
        <f>IF(N('Dvd Calendar'!$Q$726)=0,"",IF(('Dvd Calendar'!$Q$726&gt;=GRID_FROM)*('Dvd Calendar'!$Q$726&lt;=GRID_TO)*((('Dvd Calendar'!$Q$726&lt;=VAL_DATE)+(COUNTIF('Dvd Calendar'!$E$733:$AR$733,'Dvd Calendar'!$Q$726)=0))&gt;0)=0,"",'Dvd Calendar'!$Q$726*1000000000+ISNUMBER('Dvd Calendar'!$Q$729)*100000000+('Dvd Calendar'!$Q$731=SPECIAL_LBL)*10000000+(N('Dvd Calendar'!$Q$725)&gt;0)*(N('Dvd Calendar'!$Q$725)&lt;=VAL_SERIAL)*1000000+66*1000+13))</f>
        <v/>
      </c>
      <c r="ER77" s="121">
        <f>IF(N('Dvd Calendar'!$R$726)=0,"",IF(('Dvd Calendar'!$R$726&gt;=GRID_FROM)*('Dvd Calendar'!$R$726&lt;=GRID_TO)*((('Dvd Calendar'!$R$726&lt;=VAL_DATE)+(COUNTIF('Dvd Calendar'!$E$733:$AR$733,'Dvd Calendar'!$R$726)=0))&gt;0)=0,"",'Dvd Calendar'!$R$726*1000000000+ISNUMBER('Dvd Calendar'!$R$729)*100000000+('Dvd Calendar'!$R$731=SPECIAL_LBL)*10000000+(N('Dvd Calendar'!$R$725)&gt;0)*(N('Dvd Calendar'!$R$725)&lt;=VAL_SERIAL)*1000000+66*1000+14))</f>
        <v/>
      </c>
      <c r="ES77" s="121">
        <f>IF(N('Dvd Calendar'!$S$726)=0,"",IF(('Dvd Calendar'!$S$726&gt;=GRID_FROM)*('Dvd Calendar'!$S$726&lt;=GRID_TO)*((('Dvd Calendar'!$S$726&lt;=VAL_DATE)+(COUNTIF('Dvd Calendar'!$E$733:$AR$733,'Dvd Calendar'!$S$726)=0))&gt;0)=0,"",'Dvd Calendar'!$S$726*1000000000+ISNUMBER('Dvd Calendar'!$S$729)*100000000+('Dvd Calendar'!$S$731=SPECIAL_LBL)*10000000+(N('Dvd Calendar'!$S$725)&gt;0)*(N('Dvd Calendar'!$S$725)&lt;=VAL_SERIAL)*1000000+66*1000+15))</f>
        <v/>
      </c>
      <c r="ET77" s="121">
        <f>IF(N('Dvd Calendar'!$T$726)=0,"",IF(('Dvd Calendar'!$T$726&gt;=GRID_FROM)*('Dvd Calendar'!$T$726&lt;=GRID_TO)*((('Dvd Calendar'!$T$726&lt;=VAL_DATE)+(COUNTIF('Dvd Calendar'!$E$733:$AR$733,'Dvd Calendar'!$T$726)=0))&gt;0)=0,"",'Dvd Calendar'!$T$726*1000000000+ISNUMBER('Dvd Calendar'!$T$729)*100000000+('Dvd Calendar'!$T$731=SPECIAL_LBL)*10000000+(N('Dvd Calendar'!$T$725)&gt;0)*(N('Dvd Calendar'!$T$725)&lt;=VAL_SERIAL)*1000000+66*1000+16))</f>
        <v/>
      </c>
      <c r="EU77" s="121">
        <f>IF(N('Dvd Calendar'!$U$726)=0,"",IF(('Dvd Calendar'!$U$726&gt;=GRID_FROM)*('Dvd Calendar'!$U$726&lt;=GRID_TO)*((('Dvd Calendar'!$U$726&lt;=VAL_DATE)+(COUNTIF('Dvd Calendar'!$E$733:$AR$733,'Dvd Calendar'!$U$726)=0))&gt;0)=0,"",'Dvd Calendar'!$U$726*1000000000+ISNUMBER('Dvd Calendar'!$U$729)*100000000+('Dvd Calendar'!$U$731=SPECIAL_LBL)*10000000+(N('Dvd Calendar'!$U$725)&gt;0)*(N('Dvd Calendar'!$U$725)&lt;=VAL_SERIAL)*1000000+66*1000+17))</f>
        <v/>
      </c>
      <c r="EV77" s="121">
        <f>IF(N('Dvd Calendar'!$V$726)=0,"",IF(('Dvd Calendar'!$V$726&gt;=GRID_FROM)*('Dvd Calendar'!$V$726&lt;=GRID_TO)*((('Dvd Calendar'!$V$726&lt;=VAL_DATE)+(COUNTIF('Dvd Calendar'!$E$733:$AR$733,'Dvd Calendar'!$V$726)=0))&gt;0)=0,"",'Dvd Calendar'!$V$726*1000000000+ISNUMBER('Dvd Calendar'!$V$729)*100000000+('Dvd Calendar'!$V$731=SPECIAL_LBL)*10000000+(N('Dvd Calendar'!$V$725)&gt;0)*(N('Dvd Calendar'!$V$725)&lt;=VAL_SERIAL)*1000000+66*1000+18))</f>
        <v/>
      </c>
      <c r="EW77" s="121">
        <f>IF(N('Dvd Calendar'!$W$726)=0,"",IF(('Dvd Calendar'!$W$726&gt;=GRID_FROM)*('Dvd Calendar'!$W$726&lt;=GRID_TO)*((('Dvd Calendar'!$W$726&lt;=VAL_DATE)+(COUNTIF('Dvd Calendar'!$E$733:$AR$733,'Dvd Calendar'!$W$726)=0))&gt;0)=0,"",'Dvd Calendar'!$W$726*1000000000+ISNUMBER('Dvd Calendar'!$W$729)*100000000+('Dvd Calendar'!$W$731=SPECIAL_LBL)*10000000+(N('Dvd Calendar'!$W$725)&gt;0)*(N('Dvd Calendar'!$W$725)&lt;=VAL_SERIAL)*1000000+66*1000+19))</f>
        <v/>
      </c>
      <c r="EX77" s="121">
        <f>IF(N('Dvd Calendar'!$X$726)=0,"",IF(('Dvd Calendar'!$X$726&gt;=GRID_FROM)*('Dvd Calendar'!$X$726&lt;=GRID_TO)*((('Dvd Calendar'!$X$726&lt;=VAL_DATE)+(COUNTIF('Dvd Calendar'!$E$733:$AR$733,'Dvd Calendar'!$X$726)=0))&gt;0)=0,"",'Dvd Calendar'!$X$726*1000000000+ISNUMBER('Dvd Calendar'!$X$729)*100000000+('Dvd Calendar'!$X$731=SPECIAL_LBL)*10000000+(N('Dvd Calendar'!$X$725)&gt;0)*(N('Dvd Calendar'!$X$725)&lt;=VAL_SERIAL)*1000000+66*1000+20))</f>
        <v/>
      </c>
      <c r="EY77" s="121">
        <f>IF(N('Dvd Calendar'!$Y$726)=0,"",IF(('Dvd Calendar'!$Y$726&gt;=GRID_FROM)*('Dvd Calendar'!$Y$726&lt;=GRID_TO)*((('Dvd Calendar'!$Y$726&lt;=VAL_DATE)+(COUNTIF('Dvd Calendar'!$E$733:$AR$733,'Dvd Calendar'!$Y$726)=0))&gt;0)=0,"",'Dvd Calendar'!$Y$726*1000000000+ISNUMBER('Dvd Calendar'!$Y$729)*100000000+('Dvd Calendar'!$Y$731=SPECIAL_LBL)*10000000+(N('Dvd Calendar'!$Y$725)&gt;0)*(N('Dvd Calendar'!$Y$725)&lt;=VAL_SERIAL)*1000000+66*1000+21))</f>
        <v/>
      </c>
      <c r="EZ77" s="121">
        <f>IF(N('Dvd Calendar'!$Z$726)=0,"",IF(('Dvd Calendar'!$Z$726&gt;=GRID_FROM)*('Dvd Calendar'!$Z$726&lt;=GRID_TO)*((('Dvd Calendar'!$Z$726&lt;=VAL_DATE)+(COUNTIF('Dvd Calendar'!$E$733:$AR$733,'Dvd Calendar'!$Z$726)=0))&gt;0)=0,"",'Dvd Calendar'!$Z$726*1000000000+ISNUMBER('Dvd Calendar'!$Z$729)*100000000+('Dvd Calendar'!$Z$731=SPECIAL_LBL)*10000000+(N('Dvd Calendar'!$Z$725)&gt;0)*(N('Dvd Calendar'!$Z$725)&lt;=VAL_SERIAL)*1000000+66*1000+22))</f>
        <v/>
      </c>
      <c r="FA77" s="121">
        <f>IF(N('Dvd Calendar'!$AA$726)=0,"",IF(('Dvd Calendar'!$AA$726&gt;=GRID_FROM)*('Dvd Calendar'!$AA$726&lt;=GRID_TO)*((('Dvd Calendar'!$AA$726&lt;=VAL_DATE)+(COUNTIF('Dvd Calendar'!$E$733:$AR$733,'Dvd Calendar'!$AA$726)=0))&gt;0)=0,"",'Dvd Calendar'!$AA$726*1000000000+ISNUMBER('Dvd Calendar'!$AA$729)*100000000+('Dvd Calendar'!$AA$731=SPECIAL_LBL)*10000000+(N('Dvd Calendar'!$AA$725)&gt;0)*(N('Dvd Calendar'!$AA$725)&lt;=VAL_SERIAL)*1000000+66*1000+23))</f>
        <v/>
      </c>
      <c r="FB77" s="121">
        <f>IF(N('Dvd Calendar'!$AB$726)=0,"",IF(('Dvd Calendar'!$AB$726&gt;=GRID_FROM)*('Dvd Calendar'!$AB$726&lt;=GRID_TO)*((('Dvd Calendar'!$AB$726&lt;=VAL_DATE)+(COUNTIF('Dvd Calendar'!$E$733:$AR$733,'Dvd Calendar'!$AB$726)=0))&gt;0)=0,"",'Dvd Calendar'!$AB$726*1000000000+ISNUMBER('Dvd Calendar'!$AB$729)*100000000+('Dvd Calendar'!$AB$731=SPECIAL_LBL)*10000000+(N('Dvd Calendar'!$AB$725)&gt;0)*(N('Dvd Calendar'!$AB$725)&lt;=VAL_SERIAL)*1000000+66*1000+24))</f>
        <v/>
      </c>
      <c r="FC77" s="121">
        <f>IF(N('Dvd Calendar'!$AC$726)=0,"",IF(('Dvd Calendar'!$AC$726&gt;=GRID_FROM)*('Dvd Calendar'!$AC$726&lt;=GRID_TO)*((('Dvd Calendar'!$AC$726&lt;=VAL_DATE)+(COUNTIF('Dvd Calendar'!$E$733:$AR$733,'Dvd Calendar'!$AC$726)=0))&gt;0)=0,"",'Dvd Calendar'!$AC$726*1000000000+ISNUMBER('Dvd Calendar'!$AC$729)*100000000+('Dvd Calendar'!$AC$731=SPECIAL_LBL)*10000000+(N('Dvd Calendar'!$AC$725)&gt;0)*(N('Dvd Calendar'!$AC$725)&lt;=VAL_SERIAL)*1000000+66*1000+25))</f>
        <v/>
      </c>
      <c r="FD77" s="121">
        <f>IF(N('Dvd Calendar'!$AD$726)=0,"",IF(('Dvd Calendar'!$AD$726&gt;=GRID_FROM)*('Dvd Calendar'!$AD$726&lt;=GRID_TO)*((('Dvd Calendar'!$AD$726&lt;=VAL_DATE)+(COUNTIF('Dvd Calendar'!$E$733:$AR$733,'Dvd Calendar'!$AD$726)=0))&gt;0)=0,"",'Dvd Calendar'!$AD$726*1000000000+ISNUMBER('Dvd Calendar'!$AD$729)*100000000+('Dvd Calendar'!$AD$731=SPECIAL_LBL)*10000000+(N('Dvd Calendar'!$AD$725)&gt;0)*(N('Dvd Calendar'!$AD$725)&lt;=VAL_SERIAL)*1000000+66*1000+26))</f>
        <v/>
      </c>
      <c r="FE77" s="121">
        <f>IF(N('Dvd Calendar'!$AE$726)=0,"",IF(('Dvd Calendar'!$AE$726&gt;=GRID_FROM)*('Dvd Calendar'!$AE$726&lt;=GRID_TO)*((('Dvd Calendar'!$AE$726&lt;=VAL_DATE)+(COUNTIF('Dvd Calendar'!$E$733:$AR$733,'Dvd Calendar'!$AE$726)=0))&gt;0)=0,"",'Dvd Calendar'!$AE$726*1000000000+ISNUMBER('Dvd Calendar'!$AE$729)*100000000+('Dvd Calendar'!$AE$731=SPECIAL_LBL)*10000000+(N('Dvd Calendar'!$AE$725)&gt;0)*(N('Dvd Calendar'!$AE$725)&lt;=VAL_SERIAL)*1000000+66*1000+27))</f>
        <v/>
      </c>
      <c r="FF77" s="121">
        <f>IF(N('Dvd Calendar'!$AF$726)=0,"",IF(('Dvd Calendar'!$AF$726&gt;=GRID_FROM)*('Dvd Calendar'!$AF$726&lt;=GRID_TO)*((('Dvd Calendar'!$AF$726&lt;=VAL_DATE)+(COUNTIF('Dvd Calendar'!$E$733:$AR$733,'Dvd Calendar'!$AF$726)=0))&gt;0)=0,"",'Dvd Calendar'!$AF$726*1000000000+ISNUMBER('Dvd Calendar'!$AF$729)*100000000+('Dvd Calendar'!$AF$731=SPECIAL_LBL)*10000000+(N('Dvd Calendar'!$AF$725)&gt;0)*(N('Dvd Calendar'!$AF$725)&lt;=VAL_SERIAL)*1000000+66*1000+28))</f>
        <v/>
      </c>
      <c r="FG77" s="121">
        <f>IF(N('Dvd Calendar'!$AG$726)=0,"",IF(('Dvd Calendar'!$AG$726&gt;=GRID_FROM)*('Dvd Calendar'!$AG$726&lt;=GRID_TO)*((('Dvd Calendar'!$AG$726&lt;=VAL_DATE)+(COUNTIF('Dvd Calendar'!$E$733:$AR$733,'Dvd Calendar'!$AG$726)=0))&gt;0)=0,"",'Dvd Calendar'!$AG$726*1000000000+ISNUMBER('Dvd Calendar'!$AG$729)*100000000+('Dvd Calendar'!$AG$731=SPECIAL_LBL)*10000000+(N('Dvd Calendar'!$AG$725)&gt;0)*(N('Dvd Calendar'!$AG$725)&lt;=VAL_SERIAL)*1000000+66*1000+29))</f>
        <v/>
      </c>
      <c r="FH77" s="121">
        <f>IF(N('Dvd Calendar'!$AH$726)=0,"",IF(('Dvd Calendar'!$AH$726&gt;=GRID_FROM)*('Dvd Calendar'!$AH$726&lt;=GRID_TO)*((('Dvd Calendar'!$AH$726&lt;=VAL_DATE)+(COUNTIF('Dvd Calendar'!$E$733:$AR$733,'Dvd Calendar'!$AH$726)=0))&gt;0)=0,"",'Dvd Calendar'!$AH$726*1000000000+ISNUMBER('Dvd Calendar'!$AH$729)*100000000+('Dvd Calendar'!$AH$731=SPECIAL_LBL)*10000000+(N('Dvd Calendar'!$AH$725)&gt;0)*(N('Dvd Calendar'!$AH$725)&lt;=VAL_SERIAL)*1000000+66*1000+30))</f>
        <v/>
      </c>
      <c r="FI77" s="121">
        <f>IF(N('Dvd Calendar'!$AI$726)=0,"",IF(('Dvd Calendar'!$AI$726&gt;=GRID_FROM)*('Dvd Calendar'!$AI$726&lt;=GRID_TO)*((('Dvd Calendar'!$AI$726&lt;=VAL_DATE)+(COUNTIF('Dvd Calendar'!$E$733:$AR$733,'Dvd Calendar'!$AI$726)=0))&gt;0)=0,"",'Dvd Calendar'!$AI$726*1000000000+ISNUMBER('Dvd Calendar'!$AI$729)*100000000+('Dvd Calendar'!$AI$731=SPECIAL_LBL)*10000000+(N('Dvd Calendar'!$AI$725)&gt;0)*(N('Dvd Calendar'!$AI$725)&lt;=VAL_SERIAL)*1000000+66*1000+31))</f>
        <v/>
      </c>
      <c r="FJ77" s="121">
        <f>IF(N('Dvd Calendar'!$AJ$726)=0,"",IF(('Dvd Calendar'!$AJ$726&gt;=GRID_FROM)*('Dvd Calendar'!$AJ$726&lt;=GRID_TO)*((('Dvd Calendar'!$AJ$726&lt;=VAL_DATE)+(COUNTIF('Dvd Calendar'!$E$733:$AR$733,'Dvd Calendar'!$AJ$726)=0))&gt;0)=0,"",'Dvd Calendar'!$AJ$726*1000000000+ISNUMBER('Dvd Calendar'!$AJ$729)*100000000+('Dvd Calendar'!$AJ$731=SPECIAL_LBL)*10000000+(N('Dvd Calendar'!$AJ$725)&gt;0)*(N('Dvd Calendar'!$AJ$725)&lt;=VAL_SERIAL)*1000000+66*1000+32))</f>
        <v/>
      </c>
      <c r="FK77" s="121">
        <f>IF(N('Dvd Calendar'!$AK$726)=0,"",IF(('Dvd Calendar'!$AK$726&gt;=GRID_FROM)*('Dvd Calendar'!$AK$726&lt;=GRID_TO)*((('Dvd Calendar'!$AK$726&lt;=VAL_DATE)+(COUNTIF('Dvd Calendar'!$E$733:$AR$733,'Dvd Calendar'!$AK$726)=0))&gt;0)=0,"",'Dvd Calendar'!$AK$726*1000000000+ISNUMBER('Dvd Calendar'!$AK$729)*100000000+('Dvd Calendar'!$AK$731=SPECIAL_LBL)*10000000+(N('Dvd Calendar'!$AK$725)&gt;0)*(N('Dvd Calendar'!$AK$725)&lt;=VAL_SERIAL)*1000000+66*1000+33))</f>
        <v/>
      </c>
      <c r="FL77" s="121">
        <f>IF(N('Dvd Calendar'!$AL$726)=0,"",IF(('Dvd Calendar'!$AL$726&gt;=GRID_FROM)*('Dvd Calendar'!$AL$726&lt;=GRID_TO)*((('Dvd Calendar'!$AL$726&lt;=VAL_DATE)+(COUNTIF('Dvd Calendar'!$E$733:$AR$733,'Dvd Calendar'!$AL$726)=0))&gt;0)=0,"",'Dvd Calendar'!$AL$726*1000000000+ISNUMBER('Dvd Calendar'!$AL$729)*100000000+('Dvd Calendar'!$AL$731=SPECIAL_LBL)*10000000+(N('Dvd Calendar'!$AL$725)&gt;0)*(N('Dvd Calendar'!$AL$725)&lt;=VAL_SERIAL)*1000000+66*1000+34))</f>
        <v/>
      </c>
      <c r="FM77" s="121">
        <f>IF(N('Dvd Calendar'!$AM$726)=0,"",IF(('Dvd Calendar'!$AM$726&gt;=GRID_FROM)*('Dvd Calendar'!$AM$726&lt;=GRID_TO)*((('Dvd Calendar'!$AM$726&lt;=VAL_DATE)+(COUNTIF('Dvd Calendar'!$E$733:$AR$733,'Dvd Calendar'!$AM$726)=0))&gt;0)=0,"",'Dvd Calendar'!$AM$726*1000000000+ISNUMBER('Dvd Calendar'!$AM$729)*100000000+('Dvd Calendar'!$AM$731=SPECIAL_LBL)*10000000+(N('Dvd Calendar'!$AM$725)&gt;0)*(N('Dvd Calendar'!$AM$725)&lt;=VAL_SERIAL)*1000000+66*1000+35))</f>
        <v/>
      </c>
      <c r="FN77" s="121">
        <f>IF(N('Dvd Calendar'!$AN$726)=0,"",IF(('Dvd Calendar'!$AN$726&gt;=GRID_FROM)*('Dvd Calendar'!$AN$726&lt;=GRID_TO)*((('Dvd Calendar'!$AN$726&lt;=VAL_DATE)+(COUNTIF('Dvd Calendar'!$E$733:$AR$733,'Dvd Calendar'!$AN$726)=0))&gt;0)=0,"",'Dvd Calendar'!$AN$726*1000000000+ISNUMBER('Dvd Calendar'!$AN$729)*100000000+('Dvd Calendar'!$AN$731=SPECIAL_LBL)*10000000+(N('Dvd Calendar'!$AN$725)&gt;0)*(N('Dvd Calendar'!$AN$725)&lt;=VAL_SERIAL)*1000000+66*1000+36))</f>
        <v/>
      </c>
      <c r="FO77" s="121">
        <f>IF(N('Dvd Calendar'!$AO$726)=0,"",IF(('Dvd Calendar'!$AO$726&gt;=GRID_FROM)*('Dvd Calendar'!$AO$726&lt;=GRID_TO)*((('Dvd Calendar'!$AO$726&lt;=VAL_DATE)+(COUNTIF('Dvd Calendar'!$E$733:$AR$733,'Dvd Calendar'!$AO$726)=0))&gt;0)=0,"",'Dvd Calendar'!$AO$726*1000000000+ISNUMBER('Dvd Calendar'!$AO$729)*100000000+('Dvd Calendar'!$AO$731=SPECIAL_LBL)*10000000+(N('Dvd Calendar'!$AO$725)&gt;0)*(N('Dvd Calendar'!$AO$725)&lt;=VAL_SERIAL)*1000000+66*1000+37))</f>
        <v/>
      </c>
      <c r="FP77" s="121">
        <f>IF(N('Dvd Calendar'!$AP$726)=0,"",IF(('Dvd Calendar'!$AP$726&gt;=GRID_FROM)*('Dvd Calendar'!$AP$726&lt;=GRID_TO)*((('Dvd Calendar'!$AP$726&lt;=VAL_DATE)+(COUNTIF('Dvd Calendar'!$E$733:$AR$733,'Dvd Calendar'!$AP$726)=0))&gt;0)=0,"",'Dvd Calendar'!$AP$726*1000000000+ISNUMBER('Dvd Calendar'!$AP$729)*100000000+('Dvd Calendar'!$AP$731=SPECIAL_LBL)*10000000+(N('Dvd Calendar'!$AP$725)&gt;0)*(N('Dvd Calendar'!$AP$725)&lt;=VAL_SERIAL)*1000000+66*1000+38))</f>
        <v/>
      </c>
      <c r="FQ77" s="121">
        <f>IF(N('Dvd Calendar'!$AQ$726)=0,"",IF(('Dvd Calendar'!$AQ$726&gt;=GRID_FROM)*('Dvd Calendar'!$AQ$726&lt;=GRID_TO)*((('Dvd Calendar'!$AQ$726&lt;=VAL_DATE)+(COUNTIF('Dvd Calendar'!$E$733:$AR$733,'Dvd Calendar'!$AQ$726)=0))&gt;0)=0,"",'Dvd Calendar'!$AQ$726*1000000000+ISNUMBER('Dvd Calendar'!$AQ$729)*100000000+('Dvd Calendar'!$AQ$731=SPECIAL_LBL)*10000000+(N('Dvd Calendar'!$AQ$725)&gt;0)*(N('Dvd Calendar'!$AQ$725)&lt;=VAL_SERIAL)*1000000+66*1000+39))</f>
        <v/>
      </c>
      <c r="FR77" s="121">
        <f>IF(N('Dvd Calendar'!$AR$726)=0,"",IF(('Dvd Calendar'!$AR$726&gt;=GRID_FROM)*('Dvd Calendar'!$AR$726&lt;=GRID_TO)*((('Dvd Calendar'!$AR$726&lt;=VAL_DATE)+(COUNTIF('Dvd Calendar'!$E$733:$AR$733,'Dvd Calendar'!$AR$726)=0))&gt;0)=0,"",'Dvd Calendar'!$AR$726*1000000000+ISNUMBER('Dvd Calendar'!$AR$729)*100000000+('Dvd Calendar'!$AR$731=SPECIAL_LBL)*10000000+(N('Dvd Calendar'!$AR$725)&gt;0)*(N('Dvd Calendar'!$AR$725)&lt;=VAL_SERIAL)*1000000+66*1000+40))</f>
        <v/>
      </c>
      <c r="FS77" s="121">
        <f>IF(N('Dvd Calendar'!$E$733)=0,"",IF(('Dvd Calendar'!$E$733&gt;=GRID_FROM)*('Dvd Calendar'!$E$733&lt;=GRID_TO)*('Dvd Calendar'!$E$733&gt;VAL_DATE)=0,"",'Dvd Calendar'!$E$733*1000000000+ISNUMBER('Dvd Calendar'!$E$734)*100000000+0*10000000+(N('Dvd Calendar'!$E$732)&gt;0)*(N('Dvd Calendar'!$E$732)&lt;=VAL_SERIAL)*1000000+66*1000+41))</f>
        <v/>
      </c>
      <c r="FT77" s="121">
        <f>IF(N('Dvd Calendar'!$F$733)=0,"",IF(('Dvd Calendar'!$F$733&gt;=GRID_FROM)*('Dvd Calendar'!$F$733&lt;=GRID_TO)*('Dvd Calendar'!$F$733&gt;VAL_DATE)=0,"",'Dvd Calendar'!$F$733*1000000000+ISNUMBER('Dvd Calendar'!$F$734)*100000000+0*10000000+(N('Dvd Calendar'!$F$732)&gt;0)*(N('Dvd Calendar'!$F$732)&lt;=VAL_SERIAL)*1000000+66*1000+42))</f>
        <v/>
      </c>
      <c r="FU77" s="121">
        <f>IF(N('Dvd Calendar'!$G$733)=0,"",IF(('Dvd Calendar'!$G$733&gt;=GRID_FROM)*('Dvd Calendar'!$G$733&lt;=GRID_TO)*('Dvd Calendar'!$G$733&gt;VAL_DATE)=0,"",'Dvd Calendar'!$G$733*1000000000+ISNUMBER('Dvd Calendar'!$G$734)*100000000+0*10000000+(N('Dvd Calendar'!$G$732)&gt;0)*(N('Dvd Calendar'!$G$732)&lt;=VAL_SERIAL)*1000000+66*1000+43))</f>
        <v/>
      </c>
      <c r="FV77" s="121">
        <f>IF(N('Dvd Calendar'!$H$733)=0,"",IF(('Dvd Calendar'!$H$733&gt;=GRID_FROM)*('Dvd Calendar'!$H$733&lt;=GRID_TO)*('Dvd Calendar'!$H$733&gt;VAL_DATE)=0,"",'Dvd Calendar'!$H$733*1000000000+ISNUMBER('Dvd Calendar'!$H$734)*100000000+0*10000000+(N('Dvd Calendar'!$H$732)&gt;0)*(N('Dvd Calendar'!$H$732)&lt;=VAL_SERIAL)*1000000+66*1000+44))</f>
        <v/>
      </c>
      <c r="FW77" s="121">
        <f>IF(N('Dvd Calendar'!$I$733)=0,"",IF(('Dvd Calendar'!$I$733&gt;=GRID_FROM)*('Dvd Calendar'!$I$733&lt;=GRID_TO)*('Dvd Calendar'!$I$733&gt;VAL_DATE)=0,"",'Dvd Calendar'!$I$733*1000000000+ISNUMBER('Dvd Calendar'!$I$734)*100000000+0*10000000+(N('Dvd Calendar'!$I$732)&gt;0)*(N('Dvd Calendar'!$I$732)&lt;=VAL_SERIAL)*1000000+66*1000+45))</f>
        <v/>
      </c>
      <c r="FX77" s="121">
        <f>IF(N('Dvd Calendar'!$J$733)=0,"",IF(('Dvd Calendar'!$J$733&gt;=GRID_FROM)*('Dvd Calendar'!$J$733&lt;=GRID_TO)*('Dvd Calendar'!$J$733&gt;VAL_DATE)=0,"",'Dvd Calendar'!$J$733*1000000000+ISNUMBER('Dvd Calendar'!$J$734)*100000000+0*10000000+(N('Dvd Calendar'!$J$732)&gt;0)*(N('Dvd Calendar'!$J$732)&lt;=VAL_SERIAL)*1000000+66*1000+46))</f>
        <v/>
      </c>
      <c r="FY77" s="121">
        <f>IF(N('Dvd Calendar'!$K$733)=0,"",IF(('Dvd Calendar'!$K$733&gt;=GRID_FROM)*('Dvd Calendar'!$K$733&lt;=GRID_TO)*('Dvd Calendar'!$K$733&gt;VAL_DATE)=0,"",'Dvd Calendar'!$K$733*1000000000+ISNUMBER('Dvd Calendar'!$K$734)*100000000+0*10000000+(N('Dvd Calendar'!$K$732)&gt;0)*(N('Dvd Calendar'!$K$732)&lt;=VAL_SERIAL)*1000000+66*1000+47))</f>
        <v/>
      </c>
      <c r="FZ77" s="121">
        <f>IF(N('Dvd Calendar'!$L$733)=0,"",IF(('Dvd Calendar'!$L$733&gt;=GRID_FROM)*('Dvd Calendar'!$L$733&lt;=GRID_TO)*('Dvd Calendar'!$L$733&gt;VAL_DATE)=0,"",'Dvd Calendar'!$L$733*1000000000+ISNUMBER('Dvd Calendar'!$L$734)*100000000+0*10000000+(N('Dvd Calendar'!$L$732)&gt;0)*(N('Dvd Calendar'!$L$732)&lt;=VAL_SERIAL)*1000000+66*1000+48))</f>
        <v/>
      </c>
      <c r="GA77" s="121">
        <f>IF(N('Dvd Calendar'!$M$733)=0,"",IF(('Dvd Calendar'!$M$733&gt;=GRID_FROM)*('Dvd Calendar'!$M$733&lt;=GRID_TO)*('Dvd Calendar'!$M$733&gt;VAL_DATE)=0,"",'Dvd Calendar'!$M$733*1000000000+ISNUMBER('Dvd Calendar'!$M$734)*100000000+0*10000000+(N('Dvd Calendar'!$M$732)&gt;0)*(N('Dvd Calendar'!$M$732)&lt;=VAL_SERIAL)*1000000+66*1000+49))</f>
        <v/>
      </c>
      <c r="GB77" s="121">
        <f>IF(N('Dvd Calendar'!$N$733)=0,"",IF(('Dvd Calendar'!$N$733&gt;=GRID_FROM)*('Dvd Calendar'!$N$733&lt;=GRID_TO)*('Dvd Calendar'!$N$733&gt;VAL_DATE)=0,"",'Dvd Calendar'!$N$733*1000000000+ISNUMBER('Dvd Calendar'!$N$734)*100000000+0*10000000+(N('Dvd Calendar'!$N$732)&gt;0)*(N('Dvd Calendar'!$N$732)&lt;=VAL_SERIAL)*1000000+66*1000+50))</f>
        <v/>
      </c>
      <c r="GC77" s="121">
        <f>IF(N('Dvd Calendar'!$O$733)=0,"",IF(('Dvd Calendar'!$O$733&gt;=GRID_FROM)*('Dvd Calendar'!$O$733&lt;=GRID_TO)*('Dvd Calendar'!$O$733&gt;VAL_DATE)=0,"",'Dvd Calendar'!$O$733*1000000000+ISNUMBER('Dvd Calendar'!$O$734)*100000000+0*10000000+(N('Dvd Calendar'!$O$732)&gt;0)*(N('Dvd Calendar'!$O$732)&lt;=VAL_SERIAL)*1000000+66*1000+51))</f>
        <v/>
      </c>
      <c r="GD77" s="121">
        <f>IF(N('Dvd Calendar'!$P$733)=0,"",IF(('Dvd Calendar'!$P$733&gt;=GRID_FROM)*('Dvd Calendar'!$P$733&lt;=GRID_TO)*('Dvd Calendar'!$P$733&gt;VAL_DATE)=0,"",'Dvd Calendar'!$P$733*1000000000+ISNUMBER('Dvd Calendar'!$P$734)*100000000+0*10000000+(N('Dvd Calendar'!$P$732)&gt;0)*(N('Dvd Calendar'!$P$732)&lt;=VAL_SERIAL)*1000000+66*1000+52))</f>
        <v/>
      </c>
      <c r="GE77" s="121">
        <f>IF(N('Dvd Calendar'!$Q$733)=0,"",IF(('Dvd Calendar'!$Q$733&gt;=GRID_FROM)*('Dvd Calendar'!$Q$733&lt;=GRID_TO)*('Dvd Calendar'!$Q$733&gt;VAL_DATE)=0,"",'Dvd Calendar'!$Q$733*1000000000+ISNUMBER('Dvd Calendar'!$Q$734)*100000000+0*10000000+(N('Dvd Calendar'!$Q$732)&gt;0)*(N('Dvd Calendar'!$Q$732)&lt;=VAL_SERIAL)*1000000+66*1000+53))</f>
        <v/>
      </c>
      <c r="GF77" s="121">
        <f>IF(N('Dvd Calendar'!$R$733)=0,"",IF(('Dvd Calendar'!$R$733&gt;=GRID_FROM)*('Dvd Calendar'!$R$733&lt;=GRID_TO)*('Dvd Calendar'!$R$733&gt;VAL_DATE)=0,"",'Dvd Calendar'!$R$733*1000000000+ISNUMBER('Dvd Calendar'!$R$734)*100000000+0*10000000+(N('Dvd Calendar'!$R$732)&gt;0)*(N('Dvd Calendar'!$R$732)&lt;=VAL_SERIAL)*1000000+66*1000+54))</f>
        <v/>
      </c>
      <c r="GG77" s="121">
        <f>IF(N('Dvd Calendar'!$S$733)=0,"",IF(('Dvd Calendar'!$S$733&gt;=GRID_FROM)*('Dvd Calendar'!$S$733&lt;=GRID_TO)*('Dvd Calendar'!$S$733&gt;VAL_DATE)=0,"",'Dvd Calendar'!$S$733*1000000000+ISNUMBER('Dvd Calendar'!$S$734)*100000000+0*10000000+(N('Dvd Calendar'!$S$732)&gt;0)*(N('Dvd Calendar'!$S$732)&lt;=VAL_SERIAL)*1000000+66*1000+55))</f>
        <v/>
      </c>
      <c r="GH77" s="121">
        <f>IF(N('Dvd Calendar'!$T$733)=0,"",IF(('Dvd Calendar'!$T$733&gt;=GRID_FROM)*('Dvd Calendar'!$T$733&lt;=GRID_TO)*('Dvd Calendar'!$T$733&gt;VAL_DATE)=0,"",'Dvd Calendar'!$T$733*1000000000+ISNUMBER('Dvd Calendar'!$T$734)*100000000+0*10000000+(N('Dvd Calendar'!$T$732)&gt;0)*(N('Dvd Calendar'!$T$732)&lt;=VAL_SERIAL)*1000000+66*1000+56))</f>
        <v/>
      </c>
      <c r="GI77" s="121">
        <f>IF(N('Dvd Calendar'!$U$733)=0,"",IF(('Dvd Calendar'!$U$733&gt;=GRID_FROM)*('Dvd Calendar'!$U$733&lt;=GRID_TO)*('Dvd Calendar'!$U$733&gt;VAL_DATE)=0,"",'Dvd Calendar'!$U$733*1000000000+ISNUMBER('Dvd Calendar'!$U$734)*100000000+0*10000000+(N('Dvd Calendar'!$U$732)&gt;0)*(N('Dvd Calendar'!$U$732)&lt;=VAL_SERIAL)*1000000+66*1000+57))</f>
        <v/>
      </c>
      <c r="GJ77" s="121">
        <f>IF(N('Dvd Calendar'!$V$733)=0,"",IF(('Dvd Calendar'!$V$733&gt;=GRID_FROM)*('Dvd Calendar'!$V$733&lt;=GRID_TO)*('Dvd Calendar'!$V$733&gt;VAL_DATE)=0,"",'Dvd Calendar'!$V$733*1000000000+ISNUMBER('Dvd Calendar'!$V$734)*100000000+0*10000000+(N('Dvd Calendar'!$V$732)&gt;0)*(N('Dvd Calendar'!$V$732)&lt;=VAL_SERIAL)*1000000+66*1000+58))</f>
        <v/>
      </c>
      <c r="GK77" s="121">
        <f>IF(N('Dvd Calendar'!$W$733)=0,"",IF(('Dvd Calendar'!$W$733&gt;=GRID_FROM)*('Dvd Calendar'!$W$733&lt;=GRID_TO)*('Dvd Calendar'!$W$733&gt;VAL_DATE)=0,"",'Dvd Calendar'!$W$733*1000000000+ISNUMBER('Dvd Calendar'!$W$734)*100000000+0*10000000+(N('Dvd Calendar'!$W$732)&gt;0)*(N('Dvd Calendar'!$W$732)&lt;=VAL_SERIAL)*1000000+66*1000+59))</f>
        <v/>
      </c>
      <c r="GL77" s="121">
        <f>IF(N('Dvd Calendar'!$X$733)=0,"",IF(('Dvd Calendar'!$X$733&gt;=GRID_FROM)*('Dvd Calendar'!$X$733&lt;=GRID_TO)*('Dvd Calendar'!$X$733&gt;VAL_DATE)=0,"",'Dvd Calendar'!$X$733*1000000000+ISNUMBER('Dvd Calendar'!$X$734)*100000000+0*10000000+(N('Dvd Calendar'!$X$732)&gt;0)*(N('Dvd Calendar'!$X$732)&lt;=VAL_SERIAL)*1000000+66*1000+60))</f>
        <v/>
      </c>
      <c r="GM77" s="121">
        <f>IF(N('Dvd Calendar'!$Y$733)=0,"",IF(('Dvd Calendar'!$Y$733&gt;=GRID_FROM)*('Dvd Calendar'!$Y$733&lt;=GRID_TO)*('Dvd Calendar'!$Y$733&gt;VAL_DATE)=0,"",'Dvd Calendar'!$Y$733*1000000000+ISNUMBER('Dvd Calendar'!$Y$734)*100000000+0*10000000+(N('Dvd Calendar'!$Y$732)&gt;0)*(N('Dvd Calendar'!$Y$732)&lt;=VAL_SERIAL)*1000000+66*1000+61))</f>
        <v/>
      </c>
      <c r="GN77" s="121">
        <f>IF(N('Dvd Calendar'!$Z$733)=0,"",IF(('Dvd Calendar'!$Z$733&gt;=GRID_FROM)*('Dvd Calendar'!$Z$733&lt;=GRID_TO)*('Dvd Calendar'!$Z$733&gt;VAL_DATE)=0,"",'Dvd Calendar'!$Z$733*1000000000+ISNUMBER('Dvd Calendar'!$Z$734)*100000000+0*10000000+(N('Dvd Calendar'!$Z$732)&gt;0)*(N('Dvd Calendar'!$Z$732)&lt;=VAL_SERIAL)*1000000+66*1000+62))</f>
        <v/>
      </c>
      <c r="GO77" s="121">
        <f>IF(N('Dvd Calendar'!$AA$733)=0,"",IF(('Dvd Calendar'!$AA$733&gt;=GRID_FROM)*('Dvd Calendar'!$AA$733&lt;=GRID_TO)*('Dvd Calendar'!$AA$733&gt;VAL_DATE)=0,"",'Dvd Calendar'!$AA$733*1000000000+ISNUMBER('Dvd Calendar'!$AA$734)*100000000+0*10000000+(N('Dvd Calendar'!$AA$732)&gt;0)*(N('Dvd Calendar'!$AA$732)&lt;=VAL_SERIAL)*1000000+66*1000+63))</f>
        <v/>
      </c>
      <c r="GP77" s="121">
        <f>IF(N('Dvd Calendar'!$AB$733)=0,"",IF(('Dvd Calendar'!$AB$733&gt;=GRID_FROM)*('Dvd Calendar'!$AB$733&lt;=GRID_TO)*('Dvd Calendar'!$AB$733&gt;VAL_DATE)=0,"",'Dvd Calendar'!$AB$733*1000000000+ISNUMBER('Dvd Calendar'!$AB$734)*100000000+0*10000000+(N('Dvd Calendar'!$AB$732)&gt;0)*(N('Dvd Calendar'!$AB$732)&lt;=VAL_SERIAL)*1000000+66*1000+64))</f>
        <v/>
      </c>
      <c r="GQ77" s="121">
        <f>IF(N('Dvd Calendar'!$AC$733)=0,"",IF(('Dvd Calendar'!$AC$733&gt;=GRID_FROM)*('Dvd Calendar'!$AC$733&lt;=GRID_TO)*('Dvd Calendar'!$AC$733&gt;VAL_DATE)=0,"",'Dvd Calendar'!$AC$733*1000000000+ISNUMBER('Dvd Calendar'!$AC$734)*100000000+0*10000000+(N('Dvd Calendar'!$AC$732)&gt;0)*(N('Dvd Calendar'!$AC$732)&lt;=VAL_SERIAL)*1000000+66*1000+65))</f>
        <v/>
      </c>
    </row>
    <row r="78">
      <c r="B78" s="2">
        <f>IF(HSI!$C$73="","",HSI!$C$73)</f>
        <v/>
      </c>
      <c r="C78" s="161">
        <f>IF(EE78="","",IF(ISNUMBER('Dvd Calendar'!$E$740)=FALSE,"",IF((('Dvd Calendar'!$E$742=TYPE1)*(TYPE1&lt;&gt;"")+('Dvd Calendar'!$E$742=TYPE2)*(TYPE2&lt;&gt;"")+('Dvd Calendar'!$E$742=TYPE3)*(TYPE3&lt;&gt;"")+('Dvd Calendar'!$E$742=TYPE4)*(TYPE4&lt;&gt;"")+('Dvd Calendar'!$E$742=SPECIAL_LBL)*(INC_SPECIALS="Y"))=0,"",'Dvd Calendar'!$E$740)))</f>
        <v/>
      </c>
      <c r="D78" s="161">
        <f>IF(EF78="","",IF(ISNUMBER('Dvd Calendar'!$F$740)=FALSE,"",IF((('Dvd Calendar'!$F$742=TYPE1)*(TYPE1&lt;&gt;"")+('Dvd Calendar'!$F$742=TYPE2)*(TYPE2&lt;&gt;"")+('Dvd Calendar'!$F$742=TYPE3)*(TYPE3&lt;&gt;"")+('Dvd Calendar'!$F$742=TYPE4)*(TYPE4&lt;&gt;"")+('Dvd Calendar'!$F$742=SPECIAL_LBL)*(INC_SPECIALS="Y"))=0,"",'Dvd Calendar'!$F$740)))</f>
        <v/>
      </c>
      <c r="E78" s="161">
        <f>IF(EG78="","",IF(ISNUMBER('Dvd Calendar'!$G$740)=FALSE,"",IF((('Dvd Calendar'!$G$742=TYPE1)*(TYPE1&lt;&gt;"")+('Dvd Calendar'!$G$742=TYPE2)*(TYPE2&lt;&gt;"")+('Dvd Calendar'!$G$742=TYPE3)*(TYPE3&lt;&gt;"")+('Dvd Calendar'!$G$742=TYPE4)*(TYPE4&lt;&gt;"")+('Dvd Calendar'!$G$742=SPECIAL_LBL)*(INC_SPECIALS="Y"))=0,"",'Dvd Calendar'!$G$740)))</f>
        <v/>
      </c>
      <c r="F78" s="161">
        <f>IF(EH78="","",IF(ISNUMBER('Dvd Calendar'!$H$740)=FALSE,"",IF((('Dvd Calendar'!$H$742=TYPE1)*(TYPE1&lt;&gt;"")+('Dvd Calendar'!$H$742=TYPE2)*(TYPE2&lt;&gt;"")+('Dvd Calendar'!$H$742=TYPE3)*(TYPE3&lt;&gt;"")+('Dvd Calendar'!$H$742=TYPE4)*(TYPE4&lt;&gt;"")+('Dvd Calendar'!$H$742=SPECIAL_LBL)*(INC_SPECIALS="Y"))=0,"",'Dvd Calendar'!$H$740)))</f>
        <v/>
      </c>
      <c r="G78" s="161">
        <f>IF(EI78="","",IF(ISNUMBER('Dvd Calendar'!$I$740)=FALSE,"",IF((('Dvd Calendar'!$I$742=TYPE1)*(TYPE1&lt;&gt;"")+('Dvd Calendar'!$I$742=TYPE2)*(TYPE2&lt;&gt;"")+('Dvd Calendar'!$I$742=TYPE3)*(TYPE3&lt;&gt;"")+('Dvd Calendar'!$I$742=TYPE4)*(TYPE4&lt;&gt;"")+('Dvd Calendar'!$I$742=SPECIAL_LBL)*(INC_SPECIALS="Y"))=0,"",'Dvd Calendar'!$I$740)))</f>
        <v/>
      </c>
      <c r="H78" s="161">
        <f>IF(EJ78="","",IF(ISNUMBER('Dvd Calendar'!$J$740)=FALSE,"",IF((('Dvd Calendar'!$J$742=TYPE1)*(TYPE1&lt;&gt;"")+('Dvd Calendar'!$J$742=TYPE2)*(TYPE2&lt;&gt;"")+('Dvd Calendar'!$J$742=TYPE3)*(TYPE3&lt;&gt;"")+('Dvd Calendar'!$J$742=TYPE4)*(TYPE4&lt;&gt;"")+('Dvd Calendar'!$J$742=SPECIAL_LBL)*(INC_SPECIALS="Y"))=0,"",'Dvd Calendar'!$J$740)))</f>
        <v/>
      </c>
      <c r="I78" s="161">
        <f>IF(EK78="","",IF(ISNUMBER('Dvd Calendar'!$K$740)=FALSE,"",IF((('Dvd Calendar'!$K$742=TYPE1)*(TYPE1&lt;&gt;"")+('Dvd Calendar'!$K$742=TYPE2)*(TYPE2&lt;&gt;"")+('Dvd Calendar'!$K$742=TYPE3)*(TYPE3&lt;&gt;"")+('Dvd Calendar'!$K$742=TYPE4)*(TYPE4&lt;&gt;"")+('Dvd Calendar'!$K$742=SPECIAL_LBL)*(INC_SPECIALS="Y"))=0,"",'Dvd Calendar'!$K$740)))</f>
        <v/>
      </c>
      <c r="J78" s="161">
        <f>IF(EL78="","",IF(ISNUMBER('Dvd Calendar'!$L$740)=FALSE,"",IF((('Dvd Calendar'!$L$742=TYPE1)*(TYPE1&lt;&gt;"")+('Dvd Calendar'!$L$742=TYPE2)*(TYPE2&lt;&gt;"")+('Dvd Calendar'!$L$742=TYPE3)*(TYPE3&lt;&gt;"")+('Dvd Calendar'!$L$742=TYPE4)*(TYPE4&lt;&gt;"")+('Dvd Calendar'!$L$742=SPECIAL_LBL)*(INC_SPECIALS="Y"))=0,"",'Dvd Calendar'!$L$740)))</f>
        <v/>
      </c>
      <c r="K78" s="161">
        <f>IF(EM78="","",IF(ISNUMBER('Dvd Calendar'!$M$740)=FALSE,"",IF((('Dvd Calendar'!$M$742=TYPE1)*(TYPE1&lt;&gt;"")+('Dvd Calendar'!$M$742=TYPE2)*(TYPE2&lt;&gt;"")+('Dvd Calendar'!$M$742=TYPE3)*(TYPE3&lt;&gt;"")+('Dvd Calendar'!$M$742=TYPE4)*(TYPE4&lt;&gt;"")+('Dvd Calendar'!$M$742=SPECIAL_LBL)*(INC_SPECIALS="Y"))=0,"",'Dvd Calendar'!$M$740)))</f>
        <v/>
      </c>
      <c r="L78" s="161">
        <f>IF(EN78="","",IF(ISNUMBER('Dvd Calendar'!$N$740)=FALSE,"",IF((('Dvd Calendar'!$N$742=TYPE1)*(TYPE1&lt;&gt;"")+('Dvd Calendar'!$N$742=TYPE2)*(TYPE2&lt;&gt;"")+('Dvd Calendar'!$N$742=TYPE3)*(TYPE3&lt;&gt;"")+('Dvd Calendar'!$N$742=TYPE4)*(TYPE4&lt;&gt;"")+('Dvd Calendar'!$N$742=SPECIAL_LBL)*(INC_SPECIALS="Y"))=0,"",'Dvd Calendar'!$N$740)))</f>
        <v/>
      </c>
      <c r="M78" s="161">
        <f>IF(EO78="","",IF(ISNUMBER('Dvd Calendar'!$O$740)=FALSE,"",IF((('Dvd Calendar'!$O$742=TYPE1)*(TYPE1&lt;&gt;"")+('Dvd Calendar'!$O$742=TYPE2)*(TYPE2&lt;&gt;"")+('Dvd Calendar'!$O$742=TYPE3)*(TYPE3&lt;&gt;"")+('Dvd Calendar'!$O$742=TYPE4)*(TYPE4&lt;&gt;"")+('Dvd Calendar'!$O$742=SPECIAL_LBL)*(INC_SPECIALS="Y"))=0,"",'Dvd Calendar'!$O$740)))</f>
        <v/>
      </c>
      <c r="N78" s="161">
        <f>IF(EP78="","",IF(ISNUMBER('Dvd Calendar'!$P$740)=FALSE,"",IF((('Dvd Calendar'!$P$742=TYPE1)*(TYPE1&lt;&gt;"")+('Dvd Calendar'!$P$742=TYPE2)*(TYPE2&lt;&gt;"")+('Dvd Calendar'!$P$742=TYPE3)*(TYPE3&lt;&gt;"")+('Dvd Calendar'!$P$742=TYPE4)*(TYPE4&lt;&gt;"")+('Dvd Calendar'!$P$742=SPECIAL_LBL)*(INC_SPECIALS="Y"))=0,"",'Dvd Calendar'!$P$740)))</f>
        <v/>
      </c>
      <c r="O78" s="161">
        <f>IF(EQ78="","",IF(ISNUMBER('Dvd Calendar'!$Q$740)=FALSE,"",IF((('Dvd Calendar'!$Q$742=TYPE1)*(TYPE1&lt;&gt;"")+('Dvd Calendar'!$Q$742=TYPE2)*(TYPE2&lt;&gt;"")+('Dvd Calendar'!$Q$742=TYPE3)*(TYPE3&lt;&gt;"")+('Dvd Calendar'!$Q$742=TYPE4)*(TYPE4&lt;&gt;"")+('Dvd Calendar'!$Q$742=SPECIAL_LBL)*(INC_SPECIALS="Y"))=0,"",'Dvd Calendar'!$Q$740)))</f>
        <v/>
      </c>
      <c r="P78" s="161">
        <f>IF(ER78="","",IF(ISNUMBER('Dvd Calendar'!$R$740)=FALSE,"",IF((('Dvd Calendar'!$R$742=TYPE1)*(TYPE1&lt;&gt;"")+('Dvd Calendar'!$R$742=TYPE2)*(TYPE2&lt;&gt;"")+('Dvd Calendar'!$R$742=TYPE3)*(TYPE3&lt;&gt;"")+('Dvd Calendar'!$R$742=TYPE4)*(TYPE4&lt;&gt;"")+('Dvd Calendar'!$R$742=SPECIAL_LBL)*(INC_SPECIALS="Y"))=0,"",'Dvd Calendar'!$R$740)))</f>
        <v/>
      </c>
      <c r="Q78" s="161">
        <f>IF(ES78="","",IF(ISNUMBER('Dvd Calendar'!$S$740)=FALSE,"",IF((('Dvd Calendar'!$S$742=TYPE1)*(TYPE1&lt;&gt;"")+('Dvd Calendar'!$S$742=TYPE2)*(TYPE2&lt;&gt;"")+('Dvd Calendar'!$S$742=TYPE3)*(TYPE3&lt;&gt;"")+('Dvd Calendar'!$S$742=TYPE4)*(TYPE4&lt;&gt;"")+('Dvd Calendar'!$S$742=SPECIAL_LBL)*(INC_SPECIALS="Y"))=0,"",'Dvd Calendar'!$S$740)))</f>
        <v/>
      </c>
      <c r="R78" s="161">
        <f>IF(ET78="","",IF(ISNUMBER('Dvd Calendar'!$T$740)=FALSE,"",IF((('Dvd Calendar'!$T$742=TYPE1)*(TYPE1&lt;&gt;"")+('Dvd Calendar'!$T$742=TYPE2)*(TYPE2&lt;&gt;"")+('Dvd Calendar'!$T$742=TYPE3)*(TYPE3&lt;&gt;"")+('Dvd Calendar'!$T$742=TYPE4)*(TYPE4&lt;&gt;"")+('Dvd Calendar'!$T$742=SPECIAL_LBL)*(INC_SPECIALS="Y"))=0,"",'Dvd Calendar'!$T$740)))</f>
        <v/>
      </c>
      <c r="S78" s="161">
        <f>IF(EU78="","",IF(ISNUMBER('Dvd Calendar'!$U$740)=FALSE,"",IF((('Dvd Calendar'!$U$742=TYPE1)*(TYPE1&lt;&gt;"")+('Dvd Calendar'!$U$742=TYPE2)*(TYPE2&lt;&gt;"")+('Dvd Calendar'!$U$742=TYPE3)*(TYPE3&lt;&gt;"")+('Dvd Calendar'!$U$742=TYPE4)*(TYPE4&lt;&gt;"")+('Dvd Calendar'!$U$742=SPECIAL_LBL)*(INC_SPECIALS="Y"))=0,"",'Dvd Calendar'!$U$740)))</f>
        <v/>
      </c>
      <c r="T78" s="161">
        <f>IF(EV78="","",IF(ISNUMBER('Dvd Calendar'!$V$740)=FALSE,"",IF((('Dvd Calendar'!$V$742=TYPE1)*(TYPE1&lt;&gt;"")+('Dvd Calendar'!$V$742=TYPE2)*(TYPE2&lt;&gt;"")+('Dvd Calendar'!$V$742=TYPE3)*(TYPE3&lt;&gt;"")+('Dvd Calendar'!$V$742=TYPE4)*(TYPE4&lt;&gt;"")+('Dvd Calendar'!$V$742=SPECIAL_LBL)*(INC_SPECIALS="Y"))=0,"",'Dvd Calendar'!$V$740)))</f>
        <v/>
      </c>
      <c r="U78" s="161">
        <f>IF(EW78="","",IF(ISNUMBER('Dvd Calendar'!$W$740)=FALSE,"",IF((('Dvd Calendar'!$W$742=TYPE1)*(TYPE1&lt;&gt;"")+('Dvd Calendar'!$W$742=TYPE2)*(TYPE2&lt;&gt;"")+('Dvd Calendar'!$W$742=TYPE3)*(TYPE3&lt;&gt;"")+('Dvd Calendar'!$W$742=TYPE4)*(TYPE4&lt;&gt;"")+('Dvd Calendar'!$W$742=SPECIAL_LBL)*(INC_SPECIALS="Y"))=0,"",'Dvd Calendar'!$W$740)))</f>
        <v/>
      </c>
      <c r="V78" s="161">
        <f>IF(EX78="","",IF(ISNUMBER('Dvd Calendar'!$X$740)=FALSE,"",IF((('Dvd Calendar'!$X$742=TYPE1)*(TYPE1&lt;&gt;"")+('Dvd Calendar'!$X$742=TYPE2)*(TYPE2&lt;&gt;"")+('Dvd Calendar'!$X$742=TYPE3)*(TYPE3&lt;&gt;"")+('Dvd Calendar'!$X$742=TYPE4)*(TYPE4&lt;&gt;"")+('Dvd Calendar'!$X$742=SPECIAL_LBL)*(INC_SPECIALS="Y"))=0,"",'Dvd Calendar'!$X$740)))</f>
        <v/>
      </c>
      <c r="W78" s="161">
        <f>IF(EY78="","",IF(ISNUMBER('Dvd Calendar'!$Y$740)=FALSE,"",IF((('Dvd Calendar'!$Y$742=TYPE1)*(TYPE1&lt;&gt;"")+('Dvd Calendar'!$Y$742=TYPE2)*(TYPE2&lt;&gt;"")+('Dvd Calendar'!$Y$742=TYPE3)*(TYPE3&lt;&gt;"")+('Dvd Calendar'!$Y$742=TYPE4)*(TYPE4&lt;&gt;"")+('Dvd Calendar'!$Y$742=SPECIAL_LBL)*(INC_SPECIALS="Y"))=0,"",'Dvd Calendar'!$Y$740)))</f>
        <v/>
      </c>
      <c r="X78" s="161">
        <f>IF(EZ78="","",IF(ISNUMBER('Dvd Calendar'!$Z$740)=FALSE,"",IF((('Dvd Calendar'!$Z$742=TYPE1)*(TYPE1&lt;&gt;"")+('Dvd Calendar'!$Z$742=TYPE2)*(TYPE2&lt;&gt;"")+('Dvd Calendar'!$Z$742=TYPE3)*(TYPE3&lt;&gt;"")+('Dvd Calendar'!$Z$742=TYPE4)*(TYPE4&lt;&gt;"")+('Dvd Calendar'!$Z$742=SPECIAL_LBL)*(INC_SPECIALS="Y"))=0,"",'Dvd Calendar'!$Z$740)))</f>
        <v/>
      </c>
      <c r="Y78" s="161">
        <f>IF(FA78="","",IF(ISNUMBER('Dvd Calendar'!$AA$740)=FALSE,"",IF((('Dvd Calendar'!$AA$742=TYPE1)*(TYPE1&lt;&gt;"")+('Dvd Calendar'!$AA$742=TYPE2)*(TYPE2&lt;&gt;"")+('Dvd Calendar'!$AA$742=TYPE3)*(TYPE3&lt;&gt;"")+('Dvd Calendar'!$AA$742=TYPE4)*(TYPE4&lt;&gt;"")+('Dvd Calendar'!$AA$742=SPECIAL_LBL)*(INC_SPECIALS="Y"))=0,"",'Dvd Calendar'!$AA$740)))</f>
        <v/>
      </c>
      <c r="Z78" s="161">
        <f>IF(FB78="","",IF(ISNUMBER('Dvd Calendar'!$AB$740)=FALSE,"",IF((('Dvd Calendar'!$AB$742=TYPE1)*(TYPE1&lt;&gt;"")+('Dvd Calendar'!$AB$742=TYPE2)*(TYPE2&lt;&gt;"")+('Dvd Calendar'!$AB$742=TYPE3)*(TYPE3&lt;&gt;"")+('Dvd Calendar'!$AB$742=TYPE4)*(TYPE4&lt;&gt;"")+('Dvd Calendar'!$AB$742=SPECIAL_LBL)*(INC_SPECIALS="Y"))=0,"",'Dvd Calendar'!$AB$740)))</f>
        <v/>
      </c>
      <c r="AA78" s="161">
        <f>IF(FC78="","",IF(ISNUMBER('Dvd Calendar'!$AC$740)=FALSE,"",IF((('Dvd Calendar'!$AC$742=TYPE1)*(TYPE1&lt;&gt;"")+('Dvd Calendar'!$AC$742=TYPE2)*(TYPE2&lt;&gt;"")+('Dvd Calendar'!$AC$742=TYPE3)*(TYPE3&lt;&gt;"")+('Dvd Calendar'!$AC$742=TYPE4)*(TYPE4&lt;&gt;"")+('Dvd Calendar'!$AC$742=SPECIAL_LBL)*(INC_SPECIALS="Y"))=0,"",'Dvd Calendar'!$AC$740)))</f>
        <v/>
      </c>
      <c r="AB78" s="161">
        <f>IF(FD78="","",IF(ISNUMBER('Dvd Calendar'!$AD$740)=FALSE,"",IF((('Dvd Calendar'!$AD$742=TYPE1)*(TYPE1&lt;&gt;"")+('Dvd Calendar'!$AD$742=TYPE2)*(TYPE2&lt;&gt;"")+('Dvd Calendar'!$AD$742=TYPE3)*(TYPE3&lt;&gt;"")+('Dvd Calendar'!$AD$742=TYPE4)*(TYPE4&lt;&gt;"")+('Dvd Calendar'!$AD$742=SPECIAL_LBL)*(INC_SPECIALS="Y"))=0,"",'Dvd Calendar'!$AD$740)))</f>
        <v/>
      </c>
      <c r="AC78" s="161">
        <f>IF(FE78="","",IF(ISNUMBER('Dvd Calendar'!$AE$740)=FALSE,"",IF((('Dvd Calendar'!$AE$742=TYPE1)*(TYPE1&lt;&gt;"")+('Dvd Calendar'!$AE$742=TYPE2)*(TYPE2&lt;&gt;"")+('Dvd Calendar'!$AE$742=TYPE3)*(TYPE3&lt;&gt;"")+('Dvd Calendar'!$AE$742=TYPE4)*(TYPE4&lt;&gt;"")+('Dvd Calendar'!$AE$742=SPECIAL_LBL)*(INC_SPECIALS="Y"))=0,"",'Dvd Calendar'!$AE$740)))</f>
        <v/>
      </c>
      <c r="AD78" s="161">
        <f>IF(FF78="","",IF(ISNUMBER('Dvd Calendar'!$AF$740)=FALSE,"",IF((('Dvd Calendar'!$AF$742=TYPE1)*(TYPE1&lt;&gt;"")+('Dvd Calendar'!$AF$742=TYPE2)*(TYPE2&lt;&gt;"")+('Dvd Calendar'!$AF$742=TYPE3)*(TYPE3&lt;&gt;"")+('Dvd Calendar'!$AF$742=TYPE4)*(TYPE4&lt;&gt;"")+('Dvd Calendar'!$AF$742=SPECIAL_LBL)*(INC_SPECIALS="Y"))=0,"",'Dvd Calendar'!$AF$740)))</f>
        <v/>
      </c>
      <c r="AE78" s="161">
        <f>IF(FG78="","",IF(ISNUMBER('Dvd Calendar'!$AG$740)=FALSE,"",IF((('Dvd Calendar'!$AG$742=TYPE1)*(TYPE1&lt;&gt;"")+('Dvd Calendar'!$AG$742=TYPE2)*(TYPE2&lt;&gt;"")+('Dvd Calendar'!$AG$742=TYPE3)*(TYPE3&lt;&gt;"")+('Dvd Calendar'!$AG$742=TYPE4)*(TYPE4&lt;&gt;"")+('Dvd Calendar'!$AG$742=SPECIAL_LBL)*(INC_SPECIALS="Y"))=0,"",'Dvd Calendar'!$AG$740)))</f>
        <v/>
      </c>
      <c r="AF78" s="161">
        <f>IF(FH78="","",IF(ISNUMBER('Dvd Calendar'!$AH$740)=FALSE,"",IF((('Dvd Calendar'!$AH$742=TYPE1)*(TYPE1&lt;&gt;"")+('Dvd Calendar'!$AH$742=TYPE2)*(TYPE2&lt;&gt;"")+('Dvd Calendar'!$AH$742=TYPE3)*(TYPE3&lt;&gt;"")+('Dvd Calendar'!$AH$742=TYPE4)*(TYPE4&lt;&gt;"")+('Dvd Calendar'!$AH$742=SPECIAL_LBL)*(INC_SPECIALS="Y"))=0,"",'Dvd Calendar'!$AH$740)))</f>
        <v/>
      </c>
      <c r="AG78" s="161">
        <f>IF(FI78="","",IF(ISNUMBER('Dvd Calendar'!$AI$740)=FALSE,"",IF((('Dvd Calendar'!$AI$742=TYPE1)*(TYPE1&lt;&gt;"")+('Dvd Calendar'!$AI$742=TYPE2)*(TYPE2&lt;&gt;"")+('Dvd Calendar'!$AI$742=TYPE3)*(TYPE3&lt;&gt;"")+('Dvd Calendar'!$AI$742=TYPE4)*(TYPE4&lt;&gt;"")+('Dvd Calendar'!$AI$742=SPECIAL_LBL)*(INC_SPECIALS="Y"))=0,"",'Dvd Calendar'!$AI$740)))</f>
        <v/>
      </c>
      <c r="AH78" s="161">
        <f>IF(FJ78="","",IF(ISNUMBER('Dvd Calendar'!$AJ$740)=FALSE,"",IF((('Dvd Calendar'!$AJ$742=TYPE1)*(TYPE1&lt;&gt;"")+('Dvd Calendar'!$AJ$742=TYPE2)*(TYPE2&lt;&gt;"")+('Dvd Calendar'!$AJ$742=TYPE3)*(TYPE3&lt;&gt;"")+('Dvd Calendar'!$AJ$742=TYPE4)*(TYPE4&lt;&gt;"")+('Dvd Calendar'!$AJ$742=SPECIAL_LBL)*(INC_SPECIALS="Y"))=0,"",'Dvd Calendar'!$AJ$740)))</f>
        <v/>
      </c>
      <c r="AI78" s="161">
        <f>IF(FK78="","",IF(ISNUMBER('Dvd Calendar'!$AK$740)=FALSE,"",IF((('Dvd Calendar'!$AK$742=TYPE1)*(TYPE1&lt;&gt;"")+('Dvd Calendar'!$AK$742=TYPE2)*(TYPE2&lt;&gt;"")+('Dvd Calendar'!$AK$742=TYPE3)*(TYPE3&lt;&gt;"")+('Dvd Calendar'!$AK$742=TYPE4)*(TYPE4&lt;&gt;"")+('Dvd Calendar'!$AK$742=SPECIAL_LBL)*(INC_SPECIALS="Y"))=0,"",'Dvd Calendar'!$AK$740)))</f>
        <v/>
      </c>
      <c r="AJ78" s="161">
        <f>IF(FL78="","",IF(ISNUMBER('Dvd Calendar'!$AL$740)=FALSE,"",IF((('Dvd Calendar'!$AL$742=TYPE1)*(TYPE1&lt;&gt;"")+('Dvd Calendar'!$AL$742=TYPE2)*(TYPE2&lt;&gt;"")+('Dvd Calendar'!$AL$742=TYPE3)*(TYPE3&lt;&gt;"")+('Dvd Calendar'!$AL$742=TYPE4)*(TYPE4&lt;&gt;"")+('Dvd Calendar'!$AL$742=SPECIAL_LBL)*(INC_SPECIALS="Y"))=0,"",'Dvd Calendar'!$AL$740)))</f>
        <v/>
      </c>
      <c r="AK78" s="161">
        <f>IF(FM78="","",IF(ISNUMBER('Dvd Calendar'!$AM$740)=FALSE,"",IF((('Dvd Calendar'!$AM$742=TYPE1)*(TYPE1&lt;&gt;"")+('Dvd Calendar'!$AM$742=TYPE2)*(TYPE2&lt;&gt;"")+('Dvd Calendar'!$AM$742=TYPE3)*(TYPE3&lt;&gt;"")+('Dvd Calendar'!$AM$742=TYPE4)*(TYPE4&lt;&gt;"")+('Dvd Calendar'!$AM$742=SPECIAL_LBL)*(INC_SPECIALS="Y"))=0,"",'Dvd Calendar'!$AM$740)))</f>
        <v/>
      </c>
      <c r="AL78" s="161">
        <f>IF(FN78="","",IF(ISNUMBER('Dvd Calendar'!$AN$740)=FALSE,"",IF((('Dvd Calendar'!$AN$742=TYPE1)*(TYPE1&lt;&gt;"")+('Dvd Calendar'!$AN$742=TYPE2)*(TYPE2&lt;&gt;"")+('Dvd Calendar'!$AN$742=TYPE3)*(TYPE3&lt;&gt;"")+('Dvd Calendar'!$AN$742=TYPE4)*(TYPE4&lt;&gt;"")+('Dvd Calendar'!$AN$742=SPECIAL_LBL)*(INC_SPECIALS="Y"))=0,"",'Dvd Calendar'!$AN$740)))</f>
        <v/>
      </c>
      <c r="AM78" s="161">
        <f>IF(FO78="","",IF(ISNUMBER('Dvd Calendar'!$AO$740)=FALSE,"",IF((('Dvd Calendar'!$AO$742=TYPE1)*(TYPE1&lt;&gt;"")+('Dvd Calendar'!$AO$742=TYPE2)*(TYPE2&lt;&gt;"")+('Dvd Calendar'!$AO$742=TYPE3)*(TYPE3&lt;&gt;"")+('Dvd Calendar'!$AO$742=TYPE4)*(TYPE4&lt;&gt;"")+('Dvd Calendar'!$AO$742=SPECIAL_LBL)*(INC_SPECIALS="Y"))=0,"",'Dvd Calendar'!$AO$740)))</f>
        <v/>
      </c>
      <c r="AN78" s="161">
        <f>IF(FP78="","",IF(ISNUMBER('Dvd Calendar'!$AP$740)=FALSE,"",IF((('Dvd Calendar'!$AP$742=TYPE1)*(TYPE1&lt;&gt;"")+('Dvd Calendar'!$AP$742=TYPE2)*(TYPE2&lt;&gt;"")+('Dvd Calendar'!$AP$742=TYPE3)*(TYPE3&lt;&gt;"")+('Dvd Calendar'!$AP$742=TYPE4)*(TYPE4&lt;&gt;"")+('Dvd Calendar'!$AP$742=SPECIAL_LBL)*(INC_SPECIALS="Y"))=0,"",'Dvd Calendar'!$AP$740)))</f>
        <v/>
      </c>
      <c r="AO78" s="161">
        <f>IF(FQ78="","",IF(ISNUMBER('Dvd Calendar'!$AQ$740)=FALSE,"",IF((('Dvd Calendar'!$AQ$742=TYPE1)*(TYPE1&lt;&gt;"")+('Dvd Calendar'!$AQ$742=TYPE2)*(TYPE2&lt;&gt;"")+('Dvd Calendar'!$AQ$742=TYPE3)*(TYPE3&lt;&gt;"")+('Dvd Calendar'!$AQ$742=TYPE4)*(TYPE4&lt;&gt;"")+('Dvd Calendar'!$AQ$742=SPECIAL_LBL)*(INC_SPECIALS="Y"))=0,"",'Dvd Calendar'!$AQ$740)))</f>
        <v/>
      </c>
      <c r="AP78" s="161">
        <f>IF(FR78="","",IF(ISNUMBER('Dvd Calendar'!$AR$740)=FALSE,"",IF((('Dvd Calendar'!$AR$742=TYPE1)*(TYPE1&lt;&gt;"")+('Dvd Calendar'!$AR$742=TYPE2)*(TYPE2&lt;&gt;"")+('Dvd Calendar'!$AR$742=TYPE3)*(TYPE3&lt;&gt;"")+('Dvd Calendar'!$AR$742=TYPE4)*(TYPE4&lt;&gt;"")+('Dvd Calendar'!$AR$742=SPECIAL_LBL)*(INC_SPECIALS="Y"))=0,"",'Dvd Calendar'!$AR$740)))</f>
        <v/>
      </c>
      <c r="AQ78" s="161">
        <f>IF(FS78="","",IF(ISNUMBER('Dvd Calendar'!$E$745)=FALSE,"",'Dvd Calendar'!$E$745))</f>
        <v/>
      </c>
      <c r="AR78" s="161">
        <f>IF(FT78="","",IF(ISNUMBER('Dvd Calendar'!$F$745)=FALSE,"",'Dvd Calendar'!$F$745))</f>
        <v/>
      </c>
      <c r="AS78" s="161">
        <f>IF(FU78="","",IF(ISNUMBER('Dvd Calendar'!$G$745)=FALSE,"",'Dvd Calendar'!$G$745))</f>
        <v/>
      </c>
      <c r="AT78" s="161">
        <f>IF(FV78="","",IF(ISNUMBER('Dvd Calendar'!$H$745)=FALSE,"",'Dvd Calendar'!$H$745))</f>
        <v/>
      </c>
      <c r="AU78" s="161">
        <f>IF(FW78="","",IF(ISNUMBER('Dvd Calendar'!$I$745)=FALSE,"",'Dvd Calendar'!$I$745))</f>
        <v/>
      </c>
      <c r="AV78" s="161">
        <f>IF(FX78="","",IF(ISNUMBER('Dvd Calendar'!$J$745)=FALSE,"",'Dvd Calendar'!$J$745))</f>
        <v/>
      </c>
      <c r="AW78" s="161">
        <f>IF(FY78="","",IF(ISNUMBER('Dvd Calendar'!$K$745)=FALSE,"",'Dvd Calendar'!$K$745))</f>
        <v/>
      </c>
      <c r="AX78" s="161">
        <f>IF(FZ78="","",IF(ISNUMBER('Dvd Calendar'!$L$745)=FALSE,"",'Dvd Calendar'!$L$745))</f>
        <v/>
      </c>
      <c r="AY78" s="161">
        <f>IF(GA78="","",IF(ISNUMBER('Dvd Calendar'!$M$745)=FALSE,"",'Dvd Calendar'!$M$745))</f>
        <v/>
      </c>
      <c r="AZ78" s="161">
        <f>IF(GB78="","",IF(ISNUMBER('Dvd Calendar'!$N$745)=FALSE,"",'Dvd Calendar'!$N$745))</f>
        <v/>
      </c>
      <c r="BA78" s="161">
        <f>IF(GC78="","",IF(ISNUMBER('Dvd Calendar'!$O$745)=FALSE,"",'Dvd Calendar'!$O$745))</f>
        <v/>
      </c>
      <c r="BB78" s="161">
        <f>IF(GD78="","",IF(ISNUMBER('Dvd Calendar'!$P$745)=FALSE,"",'Dvd Calendar'!$P$745))</f>
        <v/>
      </c>
      <c r="BC78" s="161">
        <f>IF(GE78="","",IF(ISNUMBER('Dvd Calendar'!$Q$745)=FALSE,"",'Dvd Calendar'!$Q$745))</f>
        <v/>
      </c>
      <c r="BD78" s="161">
        <f>IF(GF78="","",IF(ISNUMBER('Dvd Calendar'!$R$745)=FALSE,"",'Dvd Calendar'!$R$745))</f>
        <v/>
      </c>
      <c r="BE78" s="161">
        <f>IF(GG78="","",IF(ISNUMBER('Dvd Calendar'!$S$745)=FALSE,"",'Dvd Calendar'!$S$745))</f>
        <v/>
      </c>
      <c r="BF78" s="161">
        <f>IF(GH78="","",IF(ISNUMBER('Dvd Calendar'!$T$745)=FALSE,"",'Dvd Calendar'!$T$745))</f>
        <v/>
      </c>
      <c r="BG78" s="161">
        <f>IF(GI78="","",IF(ISNUMBER('Dvd Calendar'!$U$745)=FALSE,"",'Dvd Calendar'!$U$745))</f>
        <v/>
      </c>
      <c r="BH78" s="161">
        <f>IF(GJ78="","",IF(ISNUMBER('Dvd Calendar'!$V$745)=FALSE,"",'Dvd Calendar'!$V$745))</f>
        <v/>
      </c>
      <c r="BI78" s="161">
        <f>IF(GK78="","",IF(ISNUMBER('Dvd Calendar'!$W$745)=FALSE,"",'Dvd Calendar'!$W$745))</f>
        <v/>
      </c>
      <c r="BJ78" s="161">
        <f>IF(GL78="","",IF(ISNUMBER('Dvd Calendar'!$X$745)=FALSE,"",'Dvd Calendar'!$X$745))</f>
        <v/>
      </c>
      <c r="BK78" s="161">
        <f>IF(GM78="","",IF(ISNUMBER('Dvd Calendar'!$Y$745)=FALSE,"",'Dvd Calendar'!$Y$745))</f>
        <v/>
      </c>
      <c r="BL78" s="161">
        <f>IF(GN78="","",IF(ISNUMBER('Dvd Calendar'!$Z$745)=FALSE,"",'Dvd Calendar'!$Z$745))</f>
        <v/>
      </c>
      <c r="BM78" s="161">
        <f>IF(GO78="","",IF(ISNUMBER('Dvd Calendar'!$AA$745)=FALSE,"",'Dvd Calendar'!$AA$745))</f>
        <v/>
      </c>
      <c r="BN78" s="161">
        <f>IF(GP78="","",IF(ISNUMBER('Dvd Calendar'!$AB$745)=FALSE,"",'Dvd Calendar'!$AB$745))</f>
        <v/>
      </c>
      <c r="BO78" s="161">
        <f>IF(GQ78="","",IF(ISNUMBER('Dvd Calendar'!$AC$745)=FALSE,"",'Dvd Calendar'!$AC$745))</f>
        <v/>
      </c>
      <c r="BQ78" s="161">
        <f>IF(C78="","",IFERROR(C78*HSI!$B$73*HSI!$G$73/HSI!$B$3,""))</f>
        <v/>
      </c>
      <c r="BR78" s="161">
        <f>IF(D78="","",IFERROR(D78*HSI!$B$73*HSI!$G$73/HSI!$B$3,""))</f>
        <v/>
      </c>
      <c r="BS78" s="161">
        <f>IF(E78="","",IFERROR(E78*HSI!$B$73*HSI!$G$73/HSI!$B$3,""))</f>
        <v/>
      </c>
      <c r="BT78" s="161">
        <f>IF(F78="","",IFERROR(F78*HSI!$B$73*HSI!$G$73/HSI!$B$3,""))</f>
        <v/>
      </c>
      <c r="BU78" s="161">
        <f>IF(G78="","",IFERROR(G78*HSI!$B$73*HSI!$G$73/HSI!$B$3,""))</f>
        <v/>
      </c>
      <c r="BV78" s="161">
        <f>IF(H78="","",IFERROR(H78*HSI!$B$73*HSI!$G$73/HSI!$B$3,""))</f>
        <v/>
      </c>
      <c r="BW78" s="161">
        <f>IF(I78="","",IFERROR(I78*HSI!$B$73*HSI!$G$73/HSI!$B$3,""))</f>
        <v/>
      </c>
      <c r="BX78" s="161">
        <f>IF(J78="","",IFERROR(J78*HSI!$B$73*HSI!$G$73/HSI!$B$3,""))</f>
        <v/>
      </c>
      <c r="BY78" s="161">
        <f>IF(K78="","",IFERROR(K78*HSI!$B$73*HSI!$G$73/HSI!$B$3,""))</f>
        <v/>
      </c>
      <c r="BZ78" s="161">
        <f>IF(L78="","",IFERROR(L78*HSI!$B$73*HSI!$G$73/HSI!$B$3,""))</f>
        <v/>
      </c>
      <c r="CA78" s="161">
        <f>IF(M78="","",IFERROR(M78*HSI!$B$73*HSI!$G$73/HSI!$B$3,""))</f>
        <v/>
      </c>
      <c r="CB78" s="161">
        <f>IF(N78="","",IFERROR(N78*HSI!$B$73*HSI!$G$73/HSI!$B$3,""))</f>
        <v/>
      </c>
      <c r="CC78" s="161">
        <f>IF(O78="","",IFERROR(O78*HSI!$B$73*HSI!$G$73/HSI!$B$3,""))</f>
        <v/>
      </c>
      <c r="CD78" s="161">
        <f>IF(P78="","",IFERROR(P78*HSI!$B$73*HSI!$G$73/HSI!$B$3,""))</f>
        <v/>
      </c>
      <c r="CE78" s="161">
        <f>IF(Q78="","",IFERROR(Q78*HSI!$B$73*HSI!$G$73/HSI!$B$3,""))</f>
        <v/>
      </c>
      <c r="CF78" s="161">
        <f>IF(R78="","",IFERROR(R78*HSI!$B$73*HSI!$G$73/HSI!$B$3,""))</f>
        <v/>
      </c>
      <c r="CG78" s="161">
        <f>IF(S78="","",IFERROR(S78*HSI!$B$73*HSI!$G$73/HSI!$B$3,""))</f>
        <v/>
      </c>
      <c r="CH78" s="161">
        <f>IF(T78="","",IFERROR(T78*HSI!$B$73*HSI!$G$73/HSI!$B$3,""))</f>
        <v/>
      </c>
      <c r="CI78" s="161">
        <f>IF(U78="","",IFERROR(U78*HSI!$B$73*HSI!$G$73/HSI!$B$3,""))</f>
        <v/>
      </c>
      <c r="CJ78" s="161">
        <f>IF(V78="","",IFERROR(V78*HSI!$B$73*HSI!$G$73/HSI!$B$3,""))</f>
        <v/>
      </c>
      <c r="CK78" s="161">
        <f>IF(W78="","",IFERROR(W78*HSI!$B$73*HSI!$G$73/HSI!$B$3,""))</f>
        <v/>
      </c>
      <c r="CL78" s="161">
        <f>IF(X78="","",IFERROR(X78*HSI!$B$73*HSI!$G$73/HSI!$B$3,""))</f>
        <v/>
      </c>
      <c r="CM78" s="161">
        <f>IF(Y78="","",IFERROR(Y78*HSI!$B$73*HSI!$G$73/HSI!$B$3,""))</f>
        <v/>
      </c>
      <c r="CN78" s="161">
        <f>IF(Z78="","",IFERROR(Z78*HSI!$B$73*HSI!$G$73/HSI!$B$3,""))</f>
        <v/>
      </c>
      <c r="CO78" s="161">
        <f>IF(AA78="","",IFERROR(AA78*HSI!$B$73*HSI!$G$73/HSI!$B$3,""))</f>
        <v/>
      </c>
      <c r="CP78" s="161">
        <f>IF(AB78="","",IFERROR(AB78*HSI!$B$73*HSI!$G$73/HSI!$B$3,""))</f>
        <v/>
      </c>
      <c r="CQ78" s="161">
        <f>IF(AC78="","",IFERROR(AC78*HSI!$B$73*HSI!$G$73/HSI!$B$3,""))</f>
        <v/>
      </c>
      <c r="CR78" s="161">
        <f>IF(AD78="","",IFERROR(AD78*HSI!$B$73*HSI!$G$73/HSI!$B$3,""))</f>
        <v/>
      </c>
      <c r="CS78" s="161">
        <f>IF(AE78="","",IFERROR(AE78*HSI!$B$73*HSI!$G$73/HSI!$B$3,""))</f>
        <v/>
      </c>
      <c r="CT78" s="161">
        <f>IF(AF78="","",IFERROR(AF78*HSI!$B$73*HSI!$G$73/HSI!$B$3,""))</f>
        <v/>
      </c>
      <c r="CU78" s="161">
        <f>IF(AG78="","",IFERROR(AG78*HSI!$B$73*HSI!$G$73/HSI!$B$3,""))</f>
        <v/>
      </c>
      <c r="CV78" s="161">
        <f>IF(AH78="","",IFERROR(AH78*HSI!$B$73*HSI!$G$73/HSI!$B$3,""))</f>
        <v/>
      </c>
      <c r="CW78" s="161">
        <f>IF(AI78="","",IFERROR(AI78*HSI!$B$73*HSI!$G$73/HSI!$B$3,""))</f>
        <v/>
      </c>
      <c r="CX78" s="161">
        <f>IF(AJ78="","",IFERROR(AJ78*HSI!$B$73*HSI!$G$73/HSI!$B$3,""))</f>
        <v/>
      </c>
      <c r="CY78" s="161">
        <f>IF(AK78="","",IFERROR(AK78*HSI!$B$73*HSI!$G$73/HSI!$B$3,""))</f>
        <v/>
      </c>
      <c r="CZ78" s="161">
        <f>IF(AL78="","",IFERROR(AL78*HSI!$B$73*HSI!$G$73/HSI!$B$3,""))</f>
        <v/>
      </c>
      <c r="DA78" s="161">
        <f>IF(AM78="","",IFERROR(AM78*HSI!$B$73*HSI!$G$73/HSI!$B$3,""))</f>
        <v/>
      </c>
      <c r="DB78" s="161">
        <f>IF(AN78="","",IFERROR(AN78*HSI!$B$73*HSI!$G$73/HSI!$B$3,""))</f>
        <v/>
      </c>
      <c r="DC78" s="161">
        <f>IF(AO78="","",IFERROR(AO78*HSI!$B$73*HSI!$G$73/HSI!$B$3,""))</f>
        <v/>
      </c>
      <c r="DD78" s="161">
        <f>IF(AP78="","",IFERROR(AP78*HSI!$B$73*HSI!$G$73/HSI!$B$3,""))</f>
        <v/>
      </c>
      <c r="DE78" s="161">
        <f>IF(AQ78="","",IFERROR(AQ78*HSI!$B$73*HSI!$G$73/HSI!$B$3,""))</f>
        <v/>
      </c>
      <c r="DF78" s="161">
        <f>IF(AR78="","",IFERROR(AR78*HSI!$B$73*HSI!$G$73/HSI!$B$3,""))</f>
        <v/>
      </c>
      <c r="DG78" s="161">
        <f>IF(AS78="","",IFERROR(AS78*HSI!$B$73*HSI!$G$73/HSI!$B$3,""))</f>
        <v/>
      </c>
      <c r="DH78" s="161">
        <f>IF(AT78="","",IFERROR(AT78*HSI!$B$73*HSI!$G$73/HSI!$B$3,""))</f>
        <v/>
      </c>
      <c r="DI78" s="161">
        <f>IF(AU78="","",IFERROR(AU78*HSI!$B$73*HSI!$G$73/HSI!$B$3,""))</f>
        <v/>
      </c>
      <c r="DJ78" s="161">
        <f>IF(AV78="","",IFERROR(AV78*HSI!$B$73*HSI!$G$73/HSI!$B$3,""))</f>
        <v/>
      </c>
      <c r="DK78" s="161">
        <f>IF(AW78="","",IFERROR(AW78*HSI!$B$73*HSI!$G$73/HSI!$B$3,""))</f>
        <v/>
      </c>
      <c r="DL78" s="161">
        <f>IF(AX78="","",IFERROR(AX78*HSI!$B$73*HSI!$G$73/HSI!$B$3,""))</f>
        <v/>
      </c>
      <c r="DM78" s="161">
        <f>IF(AY78="","",IFERROR(AY78*HSI!$B$73*HSI!$G$73/HSI!$B$3,""))</f>
        <v/>
      </c>
      <c r="DN78" s="161">
        <f>IF(AZ78="","",IFERROR(AZ78*HSI!$B$73*HSI!$G$73/HSI!$B$3,""))</f>
        <v/>
      </c>
      <c r="DO78" s="161">
        <f>IF(BA78="","",IFERROR(BA78*HSI!$B$73*HSI!$G$73/HSI!$B$3,""))</f>
        <v/>
      </c>
      <c r="DP78" s="161">
        <f>IF(BB78="","",IFERROR(BB78*HSI!$B$73*HSI!$G$73/HSI!$B$3,""))</f>
        <v/>
      </c>
      <c r="DQ78" s="161">
        <f>IF(BC78="","",IFERROR(BC78*HSI!$B$73*HSI!$G$73/HSI!$B$3,""))</f>
        <v/>
      </c>
      <c r="DR78" s="161">
        <f>IF(BD78="","",IFERROR(BD78*HSI!$B$73*HSI!$G$73/HSI!$B$3,""))</f>
        <v/>
      </c>
      <c r="DS78" s="161">
        <f>IF(BE78="","",IFERROR(BE78*HSI!$B$73*HSI!$G$73/HSI!$B$3,""))</f>
        <v/>
      </c>
      <c r="DT78" s="161">
        <f>IF(BF78="","",IFERROR(BF78*HSI!$B$73*HSI!$G$73/HSI!$B$3,""))</f>
        <v/>
      </c>
      <c r="DU78" s="161">
        <f>IF(BG78="","",IFERROR(BG78*HSI!$B$73*HSI!$G$73/HSI!$B$3,""))</f>
        <v/>
      </c>
      <c r="DV78" s="161">
        <f>IF(BH78="","",IFERROR(BH78*HSI!$B$73*HSI!$G$73/HSI!$B$3,""))</f>
        <v/>
      </c>
      <c r="DW78" s="161">
        <f>IF(BI78="","",IFERROR(BI78*HSI!$B$73*HSI!$G$73/HSI!$B$3,""))</f>
        <v/>
      </c>
      <c r="DX78" s="161">
        <f>IF(BJ78="","",IFERROR(BJ78*HSI!$B$73*HSI!$G$73/HSI!$B$3,""))</f>
        <v/>
      </c>
      <c r="DY78" s="161">
        <f>IF(BK78="","",IFERROR(BK78*HSI!$B$73*HSI!$G$73/HSI!$B$3,""))</f>
        <v/>
      </c>
      <c r="DZ78" s="161">
        <f>IF(BL78="","",IFERROR(BL78*HSI!$B$73*HSI!$G$73/HSI!$B$3,""))</f>
        <v/>
      </c>
      <c r="EA78" s="161">
        <f>IF(BM78="","",IFERROR(BM78*HSI!$B$73*HSI!$G$73/HSI!$B$3,""))</f>
        <v/>
      </c>
      <c r="EB78" s="161">
        <f>IF(BN78="","",IFERROR(BN78*HSI!$B$73*HSI!$G$73/HSI!$B$3,""))</f>
        <v/>
      </c>
      <c r="EC78" s="161">
        <f>IF(BO78="","",IFERROR(BO78*HSI!$B$73*HSI!$G$73/HSI!$B$3,""))</f>
        <v/>
      </c>
      <c r="EE78" s="121">
        <f>IF(N('Dvd Calendar'!$E$737)=0,"",IF(('Dvd Calendar'!$E$737&gt;=GRID_FROM)*('Dvd Calendar'!$E$737&lt;=GRID_TO)*((('Dvd Calendar'!$E$737&lt;=VAL_DATE)+(COUNTIF('Dvd Calendar'!$E$744:$AR$744,'Dvd Calendar'!$E$737)=0))&gt;0)=0,"",'Dvd Calendar'!$E$737*1000000000+ISNUMBER('Dvd Calendar'!$E$740)*100000000+('Dvd Calendar'!$E$742=SPECIAL_LBL)*10000000+(N('Dvd Calendar'!$E$736)&gt;0)*(N('Dvd Calendar'!$E$736)&lt;=VAL_SERIAL)*1000000+67*1000+1))</f>
        <v/>
      </c>
      <c r="EF78" s="121">
        <f>IF(N('Dvd Calendar'!$F$737)=0,"",IF(('Dvd Calendar'!$F$737&gt;=GRID_FROM)*('Dvd Calendar'!$F$737&lt;=GRID_TO)*((('Dvd Calendar'!$F$737&lt;=VAL_DATE)+(COUNTIF('Dvd Calendar'!$E$744:$AR$744,'Dvd Calendar'!$F$737)=0))&gt;0)=0,"",'Dvd Calendar'!$F$737*1000000000+ISNUMBER('Dvd Calendar'!$F$740)*100000000+('Dvd Calendar'!$F$742=SPECIAL_LBL)*10000000+(N('Dvd Calendar'!$F$736)&gt;0)*(N('Dvd Calendar'!$F$736)&lt;=VAL_SERIAL)*1000000+67*1000+2))</f>
        <v/>
      </c>
      <c r="EG78" s="121">
        <f>IF(N('Dvd Calendar'!$G$737)=0,"",IF(('Dvd Calendar'!$G$737&gt;=GRID_FROM)*('Dvd Calendar'!$G$737&lt;=GRID_TO)*((('Dvd Calendar'!$G$737&lt;=VAL_DATE)+(COUNTIF('Dvd Calendar'!$E$744:$AR$744,'Dvd Calendar'!$G$737)=0))&gt;0)=0,"",'Dvd Calendar'!$G$737*1000000000+ISNUMBER('Dvd Calendar'!$G$740)*100000000+('Dvd Calendar'!$G$742=SPECIAL_LBL)*10000000+(N('Dvd Calendar'!$G$736)&gt;0)*(N('Dvd Calendar'!$G$736)&lt;=VAL_SERIAL)*1000000+67*1000+3))</f>
        <v/>
      </c>
      <c r="EH78" s="121">
        <f>IF(N('Dvd Calendar'!$H$737)=0,"",IF(('Dvd Calendar'!$H$737&gt;=GRID_FROM)*('Dvd Calendar'!$H$737&lt;=GRID_TO)*((('Dvd Calendar'!$H$737&lt;=VAL_DATE)+(COUNTIF('Dvd Calendar'!$E$744:$AR$744,'Dvd Calendar'!$H$737)=0))&gt;0)=0,"",'Dvd Calendar'!$H$737*1000000000+ISNUMBER('Dvd Calendar'!$H$740)*100000000+('Dvd Calendar'!$H$742=SPECIAL_LBL)*10000000+(N('Dvd Calendar'!$H$736)&gt;0)*(N('Dvd Calendar'!$H$736)&lt;=VAL_SERIAL)*1000000+67*1000+4))</f>
        <v/>
      </c>
      <c r="EI78" s="121">
        <f>IF(N('Dvd Calendar'!$I$737)=0,"",IF(('Dvd Calendar'!$I$737&gt;=GRID_FROM)*('Dvd Calendar'!$I$737&lt;=GRID_TO)*((('Dvd Calendar'!$I$737&lt;=VAL_DATE)+(COUNTIF('Dvd Calendar'!$E$744:$AR$744,'Dvd Calendar'!$I$737)=0))&gt;0)=0,"",'Dvd Calendar'!$I$737*1000000000+ISNUMBER('Dvd Calendar'!$I$740)*100000000+('Dvd Calendar'!$I$742=SPECIAL_LBL)*10000000+(N('Dvd Calendar'!$I$736)&gt;0)*(N('Dvd Calendar'!$I$736)&lt;=VAL_SERIAL)*1000000+67*1000+5))</f>
        <v/>
      </c>
      <c r="EJ78" s="121">
        <f>IF(N('Dvd Calendar'!$J$737)=0,"",IF(('Dvd Calendar'!$J$737&gt;=GRID_FROM)*('Dvd Calendar'!$J$737&lt;=GRID_TO)*((('Dvd Calendar'!$J$737&lt;=VAL_DATE)+(COUNTIF('Dvd Calendar'!$E$744:$AR$744,'Dvd Calendar'!$J$737)=0))&gt;0)=0,"",'Dvd Calendar'!$J$737*1000000000+ISNUMBER('Dvd Calendar'!$J$740)*100000000+('Dvd Calendar'!$J$742=SPECIAL_LBL)*10000000+(N('Dvd Calendar'!$J$736)&gt;0)*(N('Dvd Calendar'!$J$736)&lt;=VAL_SERIAL)*1000000+67*1000+6))</f>
        <v/>
      </c>
      <c r="EK78" s="121">
        <f>IF(N('Dvd Calendar'!$K$737)=0,"",IF(('Dvd Calendar'!$K$737&gt;=GRID_FROM)*('Dvd Calendar'!$K$737&lt;=GRID_TO)*((('Dvd Calendar'!$K$737&lt;=VAL_DATE)+(COUNTIF('Dvd Calendar'!$E$744:$AR$744,'Dvd Calendar'!$K$737)=0))&gt;0)=0,"",'Dvd Calendar'!$K$737*1000000000+ISNUMBER('Dvd Calendar'!$K$740)*100000000+('Dvd Calendar'!$K$742=SPECIAL_LBL)*10000000+(N('Dvd Calendar'!$K$736)&gt;0)*(N('Dvd Calendar'!$K$736)&lt;=VAL_SERIAL)*1000000+67*1000+7))</f>
        <v/>
      </c>
      <c r="EL78" s="121">
        <f>IF(N('Dvd Calendar'!$L$737)=0,"",IF(('Dvd Calendar'!$L$737&gt;=GRID_FROM)*('Dvd Calendar'!$L$737&lt;=GRID_TO)*((('Dvd Calendar'!$L$737&lt;=VAL_DATE)+(COUNTIF('Dvd Calendar'!$E$744:$AR$744,'Dvd Calendar'!$L$737)=0))&gt;0)=0,"",'Dvd Calendar'!$L$737*1000000000+ISNUMBER('Dvd Calendar'!$L$740)*100000000+('Dvd Calendar'!$L$742=SPECIAL_LBL)*10000000+(N('Dvd Calendar'!$L$736)&gt;0)*(N('Dvd Calendar'!$L$736)&lt;=VAL_SERIAL)*1000000+67*1000+8))</f>
        <v/>
      </c>
      <c r="EM78" s="121">
        <f>IF(N('Dvd Calendar'!$M$737)=0,"",IF(('Dvd Calendar'!$M$737&gt;=GRID_FROM)*('Dvd Calendar'!$M$737&lt;=GRID_TO)*((('Dvd Calendar'!$M$737&lt;=VAL_DATE)+(COUNTIF('Dvd Calendar'!$E$744:$AR$744,'Dvd Calendar'!$M$737)=0))&gt;0)=0,"",'Dvd Calendar'!$M$737*1000000000+ISNUMBER('Dvd Calendar'!$M$740)*100000000+('Dvd Calendar'!$M$742=SPECIAL_LBL)*10000000+(N('Dvd Calendar'!$M$736)&gt;0)*(N('Dvd Calendar'!$M$736)&lt;=VAL_SERIAL)*1000000+67*1000+9))</f>
        <v/>
      </c>
      <c r="EN78" s="121">
        <f>IF(N('Dvd Calendar'!$N$737)=0,"",IF(('Dvd Calendar'!$N$737&gt;=GRID_FROM)*('Dvd Calendar'!$N$737&lt;=GRID_TO)*((('Dvd Calendar'!$N$737&lt;=VAL_DATE)+(COUNTIF('Dvd Calendar'!$E$744:$AR$744,'Dvd Calendar'!$N$737)=0))&gt;0)=0,"",'Dvd Calendar'!$N$737*1000000000+ISNUMBER('Dvd Calendar'!$N$740)*100000000+('Dvd Calendar'!$N$742=SPECIAL_LBL)*10000000+(N('Dvd Calendar'!$N$736)&gt;0)*(N('Dvd Calendar'!$N$736)&lt;=VAL_SERIAL)*1000000+67*1000+10))</f>
        <v/>
      </c>
      <c r="EO78" s="121">
        <f>IF(N('Dvd Calendar'!$O$737)=0,"",IF(('Dvd Calendar'!$O$737&gt;=GRID_FROM)*('Dvd Calendar'!$O$737&lt;=GRID_TO)*((('Dvd Calendar'!$O$737&lt;=VAL_DATE)+(COUNTIF('Dvd Calendar'!$E$744:$AR$744,'Dvd Calendar'!$O$737)=0))&gt;0)=0,"",'Dvd Calendar'!$O$737*1000000000+ISNUMBER('Dvd Calendar'!$O$740)*100000000+('Dvd Calendar'!$O$742=SPECIAL_LBL)*10000000+(N('Dvd Calendar'!$O$736)&gt;0)*(N('Dvd Calendar'!$O$736)&lt;=VAL_SERIAL)*1000000+67*1000+11))</f>
        <v/>
      </c>
      <c r="EP78" s="121">
        <f>IF(N('Dvd Calendar'!$P$737)=0,"",IF(('Dvd Calendar'!$P$737&gt;=GRID_FROM)*('Dvd Calendar'!$P$737&lt;=GRID_TO)*((('Dvd Calendar'!$P$737&lt;=VAL_DATE)+(COUNTIF('Dvd Calendar'!$E$744:$AR$744,'Dvd Calendar'!$P$737)=0))&gt;0)=0,"",'Dvd Calendar'!$P$737*1000000000+ISNUMBER('Dvd Calendar'!$P$740)*100000000+('Dvd Calendar'!$P$742=SPECIAL_LBL)*10000000+(N('Dvd Calendar'!$P$736)&gt;0)*(N('Dvd Calendar'!$P$736)&lt;=VAL_SERIAL)*1000000+67*1000+12))</f>
        <v/>
      </c>
      <c r="EQ78" s="121">
        <f>IF(N('Dvd Calendar'!$Q$737)=0,"",IF(('Dvd Calendar'!$Q$737&gt;=GRID_FROM)*('Dvd Calendar'!$Q$737&lt;=GRID_TO)*((('Dvd Calendar'!$Q$737&lt;=VAL_DATE)+(COUNTIF('Dvd Calendar'!$E$744:$AR$744,'Dvd Calendar'!$Q$737)=0))&gt;0)=0,"",'Dvd Calendar'!$Q$737*1000000000+ISNUMBER('Dvd Calendar'!$Q$740)*100000000+('Dvd Calendar'!$Q$742=SPECIAL_LBL)*10000000+(N('Dvd Calendar'!$Q$736)&gt;0)*(N('Dvd Calendar'!$Q$736)&lt;=VAL_SERIAL)*1000000+67*1000+13))</f>
        <v/>
      </c>
      <c r="ER78" s="121">
        <f>IF(N('Dvd Calendar'!$R$737)=0,"",IF(('Dvd Calendar'!$R$737&gt;=GRID_FROM)*('Dvd Calendar'!$R$737&lt;=GRID_TO)*((('Dvd Calendar'!$R$737&lt;=VAL_DATE)+(COUNTIF('Dvd Calendar'!$E$744:$AR$744,'Dvd Calendar'!$R$737)=0))&gt;0)=0,"",'Dvd Calendar'!$R$737*1000000000+ISNUMBER('Dvd Calendar'!$R$740)*100000000+('Dvd Calendar'!$R$742=SPECIAL_LBL)*10000000+(N('Dvd Calendar'!$R$736)&gt;0)*(N('Dvd Calendar'!$R$736)&lt;=VAL_SERIAL)*1000000+67*1000+14))</f>
        <v/>
      </c>
      <c r="ES78" s="121">
        <f>IF(N('Dvd Calendar'!$S$737)=0,"",IF(('Dvd Calendar'!$S$737&gt;=GRID_FROM)*('Dvd Calendar'!$S$737&lt;=GRID_TO)*((('Dvd Calendar'!$S$737&lt;=VAL_DATE)+(COUNTIF('Dvd Calendar'!$E$744:$AR$744,'Dvd Calendar'!$S$737)=0))&gt;0)=0,"",'Dvd Calendar'!$S$737*1000000000+ISNUMBER('Dvd Calendar'!$S$740)*100000000+('Dvd Calendar'!$S$742=SPECIAL_LBL)*10000000+(N('Dvd Calendar'!$S$736)&gt;0)*(N('Dvd Calendar'!$S$736)&lt;=VAL_SERIAL)*1000000+67*1000+15))</f>
        <v/>
      </c>
      <c r="ET78" s="121">
        <f>IF(N('Dvd Calendar'!$T$737)=0,"",IF(('Dvd Calendar'!$T$737&gt;=GRID_FROM)*('Dvd Calendar'!$T$737&lt;=GRID_TO)*((('Dvd Calendar'!$T$737&lt;=VAL_DATE)+(COUNTIF('Dvd Calendar'!$E$744:$AR$744,'Dvd Calendar'!$T$737)=0))&gt;0)=0,"",'Dvd Calendar'!$T$737*1000000000+ISNUMBER('Dvd Calendar'!$T$740)*100000000+('Dvd Calendar'!$T$742=SPECIAL_LBL)*10000000+(N('Dvd Calendar'!$T$736)&gt;0)*(N('Dvd Calendar'!$T$736)&lt;=VAL_SERIAL)*1000000+67*1000+16))</f>
        <v/>
      </c>
      <c r="EU78" s="121">
        <f>IF(N('Dvd Calendar'!$U$737)=0,"",IF(('Dvd Calendar'!$U$737&gt;=GRID_FROM)*('Dvd Calendar'!$U$737&lt;=GRID_TO)*((('Dvd Calendar'!$U$737&lt;=VAL_DATE)+(COUNTIF('Dvd Calendar'!$E$744:$AR$744,'Dvd Calendar'!$U$737)=0))&gt;0)=0,"",'Dvd Calendar'!$U$737*1000000000+ISNUMBER('Dvd Calendar'!$U$740)*100000000+('Dvd Calendar'!$U$742=SPECIAL_LBL)*10000000+(N('Dvd Calendar'!$U$736)&gt;0)*(N('Dvd Calendar'!$U$736)&lt;=VAL_SERIAL)*1000000+67*1000+17))</f>
        <v/>
      </c>
      <c r="EV78" s="121">
        <f>IF(N('Dvd Calendar'!$V$737)=0,"",IF(('Dvd Calendar'!$V$737&gt;=GRID_FROM)*('Dvd Calendar'!$V$737&lt;=GRID_TO)*((('Dvd Calendar'!$V$737&lt;=VAL_DATE)+(COUNTIF('Dvd Calendar'!$E$744:$AR$744,'Dvd Calendar'!$V$737)=0))&gt;0)=0,"",'Dvd Calendar'!$V$737*1000000000+ISNUMBER('Dvd Calendar'!$V$740)*100000000+('Dvd Calendar'!$V$742=SPECIAL_LBL)*10000000+(N('Dvd Calendar'!$V$736)&gt;0)*(N('Dvd Calendar'!$V$736)&lt;=VAL_SERIAL)*1000000+67*1000+18))</f>
        <v/>
      </c>
      <c r="EW78" s="121">
        <f>IF(N('Dvd Calendar'!$W$737)=0,"",IF(('Dvd Calendar'!$W$737&gt;=GRID_FROM)*('Dvd Calendar'!$W$737&lt;=GRID_TO)*((('Dvd Calendar'!$W$737&lt;=VAL_DATE)+(COUNTIF('Dvd Calendar'!$E$744:$AR$744,'Dvd Calendar'!$W$737)=0))&gt;0)=0,"",'Dvd Calendar'!$W$737*1000000000+ISNUMBER('Dvd Calendar'!$W$740)*100000000+('Dvd Calendar'!$W$742=SPECIAL_LBL)*10000000+(N('Dvd Calendar'!$W$736)&gt;0)*(N('Dvd Calendar'!$W$736)&lt;=VAL_SERIAL)*1000000+67*1000+19))</f>
        <v/>
      </c>
      <c r="EX78" s="121">
        <f>IF(N('Dvd Calendar'!$X$737)=0,"",IF(('Dvd Calendar'!$X$737&gt;=GRID_FROM)*('Dvd Calendar'!$X$737&lt;=GRID_TO)*((('Dvd Calendar'!$X$737&lt;=VAL_DATE)+(COUNTIF('Dvd Calendar'!$E$744:$AR$744,'Dvd Calendar'!$X$737)=0))&gt;0)=0,"",'Dvd Calendar'!$X$737*1000000000+ISNUMBER('Dvd Calendar'!$X$740)*100000000+('Dvd Calendar'!$X$742=SPECIAL_LBL)*10000000+(N('Dvd Calendar'!$X$736)&gt;0)*(N('Dvd Calendar'!$X$736)&lt;=VAL_SERIAL)*1000000+67*1000+20))</f>
        <v/>
      </c>
      <c r="EY78" s="121">
        <f>IF(N('Dvd Calendar'!$Y$737)=0,"",IF(('Dvd Calendar'!$Y$737&gt;=GRID_FROM)*('Dvd Calendar'!$Y$737&lt;=GRID_TO)*((('Dvd Calendar'!$Y$737&lt;=VAL_DATE)+(COUNTIF('Dvd Calendar'!$E$744:$AR$744,'Dvd Calendar'!$Y$737)=0))&gt;0)=0,"",'Dvd Calendar'!$Y$737*1000000000+ISNUMBER('Dvd Calendar'!$Y$740)*100000000+('Dvd Calendar'!$Y$742=SPECIAL_LBL)*10000000+(N('Dvd Calendar'!$Y$736)&gt;0)*(N('Dvd Calendar'!$Y$736)&lt;=VAL_SERIAL)*1000000+67*1000+21))</f>
        <v/>
      </c>
      <c r="EZ78" s="121">
        <f>IF(N('Dvd Calendar'!$Z$737)=0,"",IF(('Dvd Calendar'!$Z$737&gt;=GRID_FROM)*('Dvd Calendar'!$Z$737&lt;=GRID_TO)*((('Dvd Calendar'!$Z$737&lt;=VAL_DATE)+(COUNTIF('Dvd Calendar'!$E$744:$AR$744,'Dvd Calendar'!$Z$737)=0))&gt;0)=0,"",'Dvd Calendar'!$Z$737*1000000000+ISNUMBER('Dvd Calendar'!$Z$740)*100000000+('Dvd Calendar'!$Z$742=SPECIAL_LBL)*10000000+(N('Dvd Calendar'!$Z$736)&gt;0)*(N('Dvd Calendar'!$Z$736)&lt;=VAL_SERIAL)*1000000+67*1000+22))</f>
        <v/>
      </c>
      <c r="FA78" s="121">
        <f>IF(N('Dvd Calendar'!$AA$737)=0,"",IF(('Dvd Calendar'!$AA$737&gt;=GRID_FROM)*('Dvd Calendar'!$AA$737&lt;=GRID_TO)*((('Dvd Calendar'!$AA$737&lt;=VAL_DATE)+(COUNTIF('Dvd Calendar'!$E$744:$AR$744,'Dvd Calendar'!$AA$737)=0))&gt;0)=0,"",'Dvd Calendar'!$AA$737*1000000000+ISNUMBER('Dvd Calendar'!$AA$740)*100000000+('Dvd Calendar'!$AA$742=SPECIAL_LBL)*10000000+(N('Dvd Calendar'!$AA$736)&gt;0)*(N('Dvd Calendar'!$AA$736)&lt;=VAL_SERIAL)*1000000+67*1000+23))</f>
        <v/>
      </c>
      <c r="FB78" s="121">
        <f>IF(N('Dvd Calendar'!$AB$737)=0,"",IF(('Dvd Calendar'!$AB$737&gt;=GRID_FROM)*('Dvd Calendar'!$AB$737&lt;=GRID_TO)*((('Dvd Calendar'!$AB$737&lt;=VAL_DATE)+(COUNTIF('Dvd Calendar'!$E$744:$AR$744,'Dvd Calendar'!$AB$737)=0))&gt;0)=0,"",'Dvd Calendar'!$AB$737*1000000000+ISNUMBER('Dvd Calendar'!$AB$740)*100000000+('Dvd Calendar'!$AB$742=SPECIAL_LBL)*10000000+(N('Dvd Calendar'!$AB$736)&gt;0)*(N('Dvd Calendar'!$AB$736)&lt;=VAL_SERIAL)*1000000+67*1000+24))</f>
        <v/>
      </c>
      <c r="FC78" s="121">
        <f>IF(N('Dvd Calendar'!$AC$737)=0,"",IF(('Dvd Calendar'!$AC$737&gt;=GRID_FROM)*('Dvd Calendar'!$AC$737&lt;=GRID_TO)*((('Dvd Calendar'!$AC$737&lt;=VAL_DATE)+(COUNTIF('Dvd Calendar'!$E$744:$AR$744,'Dvd Calendar'!$AC$737)=0))&gt;0)=0,"",'Dvd Calendar'!$AC$737*1000000000+ISNUMBER('Dvd Calendar'!$AC$740)*100000000+('Dvd Calendar'!$AC$742=SPECIAL_LBL)*10000000+(N('Dvd Calendar'!$AC$736)&gt;0)*(N('Dvd Calendar'!$AC$736)&lt;=VAL_SERIAL)*1000000+67*1000+25))</f>
        <v/>
      </c>
      <c r="FD78" s="121">
        <f>IF(N('Dvd Calendar'!$AD$737)=0,"",IF(('Dvd Calendar'!$AD$737&gt;=GRID_FROM)*('Dvd Calendar'!$AD$737&lt;=GRID_TO)*((('Dvd Calendar'!$AD$737&lt;=VAL_DATE)+(COUNTIF('Dvd Calendar'!$E$744:$AR$744,'Dvd Calendar'!$AD$737)=0))&gt;0)=0,"",'Dvd Calendar'!$AD$737*1000000000+ISNUMBER('Dvd Calendar'!$AD$740)*100000000+('Dvd Calendar'!$AD$742=SPECIAL_LBL)*10000000+(N('Dvd Calendar'!$AD$736)&gt;0)*(N('Dvd Calendar'!$AD$736)&lt;=VAL_SERIAL)*1000000+67*1000+26))</f>
        <v/>
      </c>
      <c r="FE78" s="121">
        <f>IF(N('Dvd Calendar'!$AE$737)=0,"",IF(('Dvd Calendar'!$AE$737&gt;=GRID_FROM)*('Dvd Calendar'!$AE$737&lt;=GRID_TO)*((('Dvd Calendar'!$AE$737&lt;=VAL_DATE)+(COUNTIF('Dvd Calendar'!$E$744:$AR$744,'Dvd Calendar'!$AE$737)=0))&gt;0)=0,"",'Dvd Calendar'!$AE$737*1000000000+ISNUMBER('Dvd Calendar'!$AE$740)*100000000+('Dvd Calendar'!$AE$742=SPECIAL_LBL)*10000000+(N('Dvd Calendar'!$AE$736)&gt;0)*(N('Dvd Calendar'!$AE$736)&lt;=VAL_SERIAL)*1000000+67*1000+27))</f>
        <v/>
      </c>
      <c r="FF78" s="121">
        <f>IF(N('Dvd Calendar'!$AF$737)=0,"",IF(('Dvd Calendar'!$AF$737&gt;=GRID_FROM)*('Dvd Calendar'!$AF$737&lt;=GRID_TO)*((('Dvd Calendar'!$AF$737&lt;=VAL_DATE)+(COUNTIF('Dvd Calendar'!$E$744:$AR$744,'Dvd Calendar'!$AF$737)=0))&gt;0)=0,"",'Dvd Calendar'!$AF$737*1000000000+ISNUMBER('Dvd Calendar'!$AF$740)*100000000+('Dvd Calendar'!$AF$742=SPECIAL_LBL)*10000000+(N('Dvd Calendar'!$AF$736)&gt;0)*(N('Dvd Calendar'!$AF$736)&lt;=VAL_SERIAL)*1000000+67*1000+28))</f>
        <v/>
      </c>
      <c r="FG78" s="121">
        <f>IF(N('Dvd Calendar'!$AG$737)=0,"",IF(('Dvd Calendar'!$AG$737&gt;=GRID_FROM)*('Dvd Calendar'!$AG$737&lt;=GRID_TO)*((('Dvd Calendar'!$AG$737&lt;=VAL_DATE)+(COUNTIF('Dvd Calendar'!$E$744:$AR$744,'Dvd Calendar'!$AG$737)=0))&gt;0)=0,"",'Dvd Calendar'!$AG$737*1000000000+ISNUMBER('Dvd Calendar'!$AG$740)*100000000+('Dvd Calendar'!$AG$742=SPECIAL_LBL)*10000000+(N('Dvd Calendar'!$AG$736)&gt;0)*(N('Dvd Calendar'!$AG$736)&lt;=VAL_SERIAL)*1000000+67*1000+29))</f>
        <v/>
      </c>
      <c r="FH78" s="121">
        <f>IF(N('Dvd Calendar'!$AH$737)=0,"",IF(('Dvd Calendar'!$AH$737&gt;=GRID_FROM)*('Dvd Calendar'!$AH$737&lt;=GRID_TO)*((('Dvd Calendar'!$AH$737&lt;=VAL_DATE)+(COUNTIF('Dvd Calendar'!$E$744:$AR$744,'Dvd Calendar'!$AH$737)=0))&gt;0)=0,"",'Dvd Calendar'!$AH$737*1000000000+ISNUMBER('Dvd Calendar'!$AH$740)*100000000+('Dvd Calendar'!$AH$742=SPECIAL_LBL)*10000000+(N('Dvd Calendar'!$AH$736)&gt;0)*(N('Dvd Calendar'!$AH$736)&lt;=VAL_SERIAL)*1000000+67*1000+30))</f>
        <v/>
      </c>
      <c r="FI78" s="121">
        <f>IF(N('Dvd Calendar'!$AI$737)=0,"",IF(('Dvd Calendar'!$AI$737&gt;=GRID_FROM)*('Dvd Calendar'!$AI$737&lt;=GRID_TO)*((('Dvd Calendar'!$AI$737&lt;=VAL_DATE)+(COUNTIF('Dvd Calendar'!$E$744:$AR$744,'Dvd Calendar'!$AI$737)=0))&gt;0)=0,"",'Dvd Calendar'!$AI$737*1000000000+ISNUMBER('Dvd Calendar'!$AI$740)*100000000+('Dvd Calendar'!$AI$742=SPECIAL_LBL)*10000000+(N('Dvd Calendar'!$AI$736)&gt;0)*(N('Dvd Calendar'!$AI$736)&lt;=VAL_SERIAL)*1000000+67*1000+31))</f>
        <v/>
      </c>
      <c r="FJ78" s="121">
        <f>IF(N('Dvd Calendar'!$AJ$737)=0,"",IF(('Dvd Calendar'!$AJ$737&gt;=GRID_FROM)*('Dvd Calendar'!$AJ$737&lt;=GRID_TO)*((('Dvd Calendar'!$AJ$737&lt;=VAL_DATE)+(COUNTIF('Dvd Calendar'!$E$744:$AR$744,'Dvd Calendar'!$AJ$737)=0))&gt;0)=0,"",'Dvd Calendar'!$AJ$737*1000000000+ISNUMBER('Dvd Calendar'!$AJ$740)*100000000+('Dvd Calendar'!$AJ$742=SPECIAL_LBL)*10000000+(N('Dvd Calendar'!$AJ$736)&gt;0)*(N('Dvd Calendar'!$AJ$736)&lt;=VAL_SERIAL)*1000000+67*1000+32))</f>
        <v/>
      </c>
      <c r="FK78" s="121">
        <f>IF(N('Dvd Calendar'!$AK$737)=0,"",IF(('Dvd Calendar'!$AK$737&gt;=GRID_FROM)*('Dvd Calendar'!$AK$737&lt;=GRID_TO)*((('Dvd Calendar'!$AK$737&lt;=VAL_DATE)+(COUNTIF('Dvd Calendar'!$E$744:$AR$744,'Dvd Calendar'!$AK$737)=0))&gt;0)=0,"",'Dvd Calendar'!$AK$737*1000000000+ISNUMBER('Dvd Calendar'!$AK$740)*100000000+('Dvd Calendar'!$AK$742=SPECIAL_LBL)*10000000+(N('Dvd Calendar'!$AK$736)&gt;0)*(N('Dvd Calendar'!$AK$736)&lt;=VAL_SERIAL)*1000000+67*1000+33))</f>
        <v/>
      </c>
      <c r="FL78" s="121">
        <f>IF(N('Dvd Calendar'!$AL$737)=0,"",IF(('Dvd Calendar'!$AL$737&gt;=GRID_FROM)*('Dvd Calendar'!$AL$737&lt;=GRID_TO)*((('Dvd Calendar'!$AL$737&lt;=VAL_DATE)+(COUNTIF('Dvd Calendar'!$E$744:$AR$744,'Dvd Calendar'!$AL$737)=0))&gt;0)=0,"",'Dvd Calendar'!$AL$737*1000000000+ISNUMBER('Dvd Calendar'!$AL$740)*100000000+('Dvd Calendar'!$AL$742=SPECIAL_LBL)*10000000+(N('Dvd Calendar'!$AL$736)&gt;0)*(N('Dvd Calendar'!$AL$736)&lt;=VAL_SERIAL)*1000000+67*1000+34))</f>
        <v/>
      </c>
      <c r="FM78" s="121">
        <f>IF(N('Dvd Calendar'!$AM$737)=0,"",IF(('Dvd Calendar'!$AM$737&gt;=GRID_FROM)*('Dvd Calendar'!$AM$737&lt;=GRID_TO)*((('Dvd Calendar'!$AM$737&lt;=VAL_DATE)+(COUNTIF('Dvd Calendar'!$E$744:$AR$744,'Dvd Calendar'!$AM$737)=0))&gt;0)=0,"",'Dvd Calendar'!$AM$737*1000000000+ISNUMBER('Dvd Calendar'!$AM$740)*100000000+('Dvd Calendar'!$AM$742=SPECIAL_LBL)*10000000+(N('Dvd Calendar'!$AM$736)&gt;0)*(N('Dvd Calendar'!$AM$736)&lt;=VAL_SERIAL)*1000000+67*1000+35))</f>
        <v/>
      </c>
      <c r="FN78" s="121">
        <f>IF(N('Dvd Calendar'!$AN$737)=0,"",IF(('Dvd Calendar'!$AN$737&gt;=GRID_FROM)*('Dvd Calendar'!$AN$737&lt;=GRID_TO)*((('Dvd Calendar'!$AN$737&lt;=VAL_DATE)+(COUNTIF('Dvd Calendar'!$E$744:$AR$744,'Dvd Calendar'!$AN$737)=0))&gt;0)=0,"",'Dvd Calendar'!$AN$737*1000000000+ISNUMBER('Dvd Calendar'!$AN$740)*100000000+('Dvd Calendar'!$AN$742=SPECIAL_LBL)*10000000+(N('Dvd Calendar'!$AN$736)&gt;0)*(N('Dvd Calendar'!$AN$736)&lt;=VAL_SERIAL)*1000000+67*1000+36))</f>
        <v/>
      </c>
      <c r="FO78" s="121">
        <f>IF(N('Dvd Calendar'!$AO$737)=0,"",IF(('Dvd Calendar'!$AO$737&gt;=GRID_FROM)*('Dvd Calendar'!$AO$737&lt;=GRID_TO)*((('Dvd Calendar'!$AO$737&lt;=VAL_DATE)+(COUNTIF('Dvd Calendar'!$E$744:$AR$744,'Dvd Calendar'!$AO$737)=0))&gt;0)=0,"",'Dvd Calendar'!$AO$737*1000000000+ISNUMBER('Dvd Calendar'!$AO$740)*100000000+('Dvd Calendar'!$AO$742=SPECIAL_LBL)*10000000+(N('Dvd Calendar'!$AO$736)&gt;0)*(N('Dvd Calendar'!$AO$736)&lt;=VAL_SERIAL)*1000000+67*1000+37))</f>
        <v/>
      </c>
      <c r="FP78" s="121">
        <f>IF(N('Dvd Calendar'!$AP$737)=0,"",IF(('Dvd Calendar'!$AP$737&gt;=GRID_FROM)*('Dvd Calendar'!$AP$737&lt;=GRID_TO)*((('Dvd Calendar'!$AP$737&lt;=VAL_DATE)+(COUNTIF('Dvd Calendar'!$E$744:$AR$744,'Dvd Calendar'!$AP$737)=0))&gt;0)=0,"",'Dvd Calendar'!$AP$737*1000000000+ISNUMBER('Dvd Calendar'!$AP$740)*100000000+('Dvd Calendar'!$AP$742=SPECIAL_LBL)*10000000+(N('Dvd Calendar'!$AP$736)&gt;0)*(N('Dvd Calendar'!$AP$736)&lt;=VAL_SERIAL)*1000000+67*1000+38))</f>
        <v/>
      </c>
      <c r="FQ78" s="121">
        <f>IF(N('Dvd Calendar'!$AQ$737)=0,"",IF(('Dvd Calendar'!$AQ$737&gt;=GRID_FROM)*('Dvd Calendar'!$AQ$737&lt;=GRID_TO)*((('Dvd Calendar'!$AQ$737&lt;=VAL_DATE)+(COUNTIF('Dvd Calendar'!$E$744:$AR$744,'Dvd Calendar'!$AQ$737)=0))&gt;0)=0,"",'Dvd Calendar'!$AQ$737*1000000000+ISNUMBER('Dvd Calendar'!$AQ$740)*100000000+('Dvd Calendar'!$AQ$742=SPECIAL_LBL)*10000000+(N('Dvd Calendar'!$AQ$736)&gt;0)*(N('Dvd Calendar'!$AQ$736)&lt;=VAL_SERIAL)*1000000+67*1000+39))</f>
        <v/>
      </c>
      <c r="FR78" s="121">
        <f>IF(N('Dvd Calendar'!$AR$737)=0,"",IF(('Dvd Calendar'!$AR$737&gt;=GRID_FROM)*('Dvd Calendar'!$AR$737&lt;=GRID_TO)*((('Dvd Calendar'!$AR$737&lt;=VAL_DATE)+(COUNTIF('Dvd Calendar'!$E$744:$AR$744,'Dvd Calendar'!$AR$737)=0))&gt;0)=0,"",'Dvd Calendar'!$AR$737*1000000000+ISNUMBER('Dvd Calendar'!$AR$740)*100000000+('Dvd Calendar'!$AR$742=SPECIAL_LBL)*10000000+(N('Dvd Calendar'!$AR$736)&gt;0)*(N('Dvd Calendar'!$AR$736)&lt;=VAL_SERIAL)*1000000+67*1000+40))</f>
        <v/>
      </c>
      <c r="FS78" s="121">
        <f>IF(N('Dvd Calendar'!$E$744)=0,"",IF(('Dvd Calendar'!$E$744&gt;=GRID_FROM)*('Dvd Calendar'!$E$744&lt;=GRID_TO)*('Dvd Calendar'!$E$744&gt;VAL_DATE)=0,"",'Dvd Calendar'!$E$744*1000000000+ISNUMBER('Dvd Calendar'!$E$745)*100000000+0*10000000+(N('Dvd Calendar'!$E$743)&gt;0)*(N('Dvd Calendar'!$E$743)&lt;=VAL_SERIAL)*1000000+67*1000+41))</f>
        <v/>
      </c>
      <c r="FT78" s="121">
        <f>IF(N('Dvd Calendar'!$F$744)=0,"",IF(('Dvd Calendar'!$F$744&gt;=GRID_FROM)*('Dvd Calendar'!$F$744&lt;=GRID_TO)*('Dvd Calendar'!$F$744&gt;VAL_DATE)=0,"",'Dvd Calendar'!$F$744*1000000000+ISNUMBER('Dvd Calendar'!$F$745)*100000000+0*10000000+(N('Dvd Calendar'!$F$743)&gt;0)*(N('Dvd Calendar'!$F$743)&lt;=VAL_SERIAL)*1000000+67*1000+42))</f>
        <v/>
      </c>
      <c r="FU78" s="121">
        <f>IF(N('Dvd Calendar'!$G$744)=0,"",IF(('Dvd Calendar'!$G$744&gt;=GRID_FROM)*('Dvd Calendar'!$G$744&lt;=GRID_TO)*('Dvd Calendar'!$G$744&gt;VAL_DATE)=0,"",'Dvd Calendar'!$G$744*1000000000+ISNUMBER('Dvd Calendar'!$G$745)*100000000+0*10000000+(N('Dvd Calendar'!$G$743)&gt;0)*(N('Dvd Calendar'!$G$743)&lt;=VAL_SERIAL)*1000000+67*1000+43))</f>
        <v/>
      </c>
      <c r="FV78" s="121">
        <f>IF(N('Dvd Calendar'!$H$744)=0,"",IF(('Dvd Calendar'!$H$744&gt;=GRID_FROM)*('Dvd Calendar'!$H$744&lt;=GRID_TO)*('Dvd Calendar'!$H$744&gt;VAL_DATE)=0,"",'Dvd Calendar'!$H$744*1000000000+ISNUMBER('Dvd Calendar'!$H$745)*100000000+0*10000000+(N('Dvd Calendar'!$H$743)&gt;0)*(N('Dvd Calendar'!$H$743)&lt;=VAL_SERIAL)*1000000+67*1000+44))</f>
        <v/>
      </c>
      <c r="FW78" s="121">
        <f>IF(N('Dvd Calendar'!$I$744)=0,"",IF(('Dvd Calendar'!$I$744&gt;=GRID_FROM)*('Dvd Calendar'!$I$744&lt;=GRID_TO)*('Dvd Calendar'!$I$744&gt;VAL_DATE)=0,"",'Dvd Calendar'!$I$744*1000000000+ISNUMBER('Dvd Calendar'!$I$745)*100000000+0*10000000+(N('Dvd Calendar'!$I$743)&gt;0)*(N('Dvd Calendar'!$I$743)&lt;=VAL_SERIAL)*1000000+67*1000+45))</f>
        <v/>
      </c>
      <c r="FX78" s="121">
        <f>IF(N('Dvd Calendar'!$J$744)=0,"",IF(('Dvd Calendar'!$J$744&gt;=GRID_FROM)*('Dvd Calendar'!$J$744&lt;=GRID_TO)*('Dvd Calendar'!$J$744&gt;VAL_DATE)=0,"",'Dvd Calendar'!$J$744*1000000000+ISNUMBER('Dvd Calendar'!$J$745)*100000000+0*10000000+(N('Dvd Calendar'!$J$743)&gt;0)*(N('Dvd Calendar'!$J$743)&lt;=VAL_SERIAL)*1000000+67*1000+46))</f>
        <v/>
      </c>
      <c r="FY78" s="121">
        <f>IF(N('Dvd Calendar'!$K$744)=0,"",IF(('Dvd Calendar'!$K$744&gt;=GRID_FROM)*('Dvd Calendar'!$K$744&lt;=GRID_TO)*('Dvd Calendar'!$K$744&gt;VAL_DATE)=0,"",'Dvd Calendar'!$K$744*1000000000+ISNUMBER('Dvd Calendar'!$K$745)*100000000+0*10000000+(N('Dvd Calendar'!$K$743)&gt;0)*(N('Dvd Calendar'!$K$743)&lt;=VAL_SERIAL)*1000000+67*1000+47))</f>
        <v/>
      </c>
      <c r="FZ78" s="121">
        <f>IF(N('Dvd Calendar'!$L$744)=0,"",IF(('Dvd Calendar'!$L$744&gt;=GRID_FROM)*('Dvd Calendar'!$L$744&lt;=GRID_TO)*('Dvd Calendar'!$L$744&gt;VAL_DATE)=0,"",'Dvd Calendar'!$L$744*1000000000+ISNUMBER('Dvd Calendar'!$L$745)*100000000+0*10000000+(N('Dvd Calendar'!$L$743)&gt;0)*(N('Dvd Calendar'!$L$743)&lt;=VAL_SERIAL)*1000000+67*1000+48))</f>
        <v/>
      </c>
      <c r="GA78" s="121">
        <f>IF(N('Dvd Calendar'!$M$744)=0,"",IF(('Dvd Calendar'!$M$744&gt;=GRID_FROM)*('Dvd Calendar'!$M$744&lt;=GRID_TO)*('Dvd Calendar'!$M$744&gt;VAL_DATE)=0,"",'Dvd Calendar'!$M$744*1000000000+ISNUMBER('Dvd Calendar'!$M$745)*100000000+0*10000000+(N('Dvd Calendar'!$M$743)&gt;0)*(N('Dvd Calendar'!$M$743)&lt;=VAL_SERIAL)*1000000+67*1000+49))</f>
        <v/>
      </c>
      <c r="GB78" s="121">
        <f>IF(N('Dvd Calendar'!$N$744)=0,"",IF(('Dvd Calendar'!$N$744&gt;=GRID_FROM)*('Dvd Calendar'!$N$744&lt;=GRID_TO)*('Dvd Calendar'!$N$744&gt;VAL_DATE)=0,"",'Dvd Calendar'!$N$744*1000000000+ISNUMBER('Dvd Calendar'!$N$745)*100000000+0*10000000+(N('Dvd Calendar'!$N$743)&gt;0)*(N('Dvd Calendar'!$N$743)&lt;=VAL_SERIAL)*1000000+67*1000+50))</f>
        <v/>
      </c>
      <c r="GC78" s="121">
        <f>IF(N('Dvd Calendar'!$O$744)=0,"",IF(('Dvd Calendar'!$O$744&gt;=GRID_FROM)*('Dvd Calendar'!$O$744&lt;=GRID_TO)*('Dvd Calendar'!$O$744&gt;VAL_DATE)=0,"",'Dvd Calendar'!$O$744*1000000000+ISNUMBER('Dvd Calendar'!$O$745)*100000000+0*10000000+(N('Dvd Calendar'!$O$743)&gt;0)*(N('Dvd Calendar'!$O$743)&lt;=VAL_SERIAL)*1000000+67*1000+51))</f>
        <v/>
      </c>
      <c r="GD78" s="121">
        <f>IF(N('Dvd Calendar'!$P$744)=0,"",IF(('Dvd Calendar'!$P$744&gt;=GRID_FROM)*('Dvd Calendar'!$P$744&lt;=GRID_TO)*('Dvd Calendar'!$P$744&gt;VAL_DATE)=0,"",'Dvd Calendar'!$P$744*1000000000+ISNUMBER('Dvd Calendar'!$P$745)*100000000+0*10000000+(N('Dvd Calendar'!$P$743)&gt;0)*(N('Dvd Calendar'!$P$743)&lt;=VAL_SERIAL)*1000000+67*1000+52))</f>
        <v/>
      </c>
      <c r="GE78" s="121">
        <f>IF(N('Dvd Calendar'!$Q$744)=0,"",IF(('Dvd Calendar'!$Q$744&gt;=GRID_FROM)*('Dvd Calendar'!$Q$744&lt;=GRID_TO)*('Dvd Calendar'!$Q$744&gt;VAL_DATE)=0,"",'Dvd Calendar'!$Q$744*1000000000+ISNUMBER('Dvd Calendar'!$Q$745)*100000000+0*10000000+(N('Dvd Calendar'!$Q$743)&gt;0)*(N('Dvd Calendar'!$Q$743)&lt;=VAL_SERIAL)*1000000+67*1000+53))</f>
        <v/>
      </c>
      <c r="GF78" s="121">
        <f>IF(N('Dvd Calendar'!$R$744)=0,"",IF(('Dvd Calendar'!$R$744&gt;=GRID_FROM)*('Dvd Calendar'!$R$744&lt;=GRID_TO)*('Dvd Calendar'!$R$744&gt;VAL_DATE)=0,"",'Dvd Calendar'!$R$744*1000000000+ISNUMBER('Dvd Calendar'!$R$745)*100000000+0*10000000+(N('Dvd Calendar'!$R$743)&gt;0)*(N('Dvd Calendar'!$R$743)&lt;=VAL_SERIAL)*1000000+67*1000+54))</f>
        <v/>
      </c>
      <c r="GG78" s="121">
        <f>IF(N('Dvd Calendar'!$S$744)=0,"",IF(('Dvd Calendar'!$S$744&gt;=GRID_FROM)*('Dvd Calendar'!$S$744&lt;=GRID_TO)*('Dvd Calendar'!$S$744&gt;VAL_DATE)=0,"",'Dvd Calendar'!$S$744*1000000000+ISNUMBER('Dvd Calendar'!$S$745)*100000000+0*10000000+(N('Dvd Calendar'!$S$743)&gt;0)*(N('Dvd Calendar'!$S$743)&lt;=VAL_SERIAL)*1000000+67*1000+55))</f>
        <v/>
      </c>
      <c r="GH78" s="121">
        <f>IF(N('Dvd Calendar'!$T$744)=0,"",IF(('Dvd Calendar'!$T$744&gt;=GRID_FROM)*('Dvd Calendar'!$T$744&lt;=GRID_TO)*('Dvd Calendar'!$T$744&gt;VAL_DATE)=0,"",'Dvd Calendar'!$T$744*1000000000+ISNUMBER('Dvd Calendar'!$T$745)*100000000+0*10000000+(N('Dvd Calendar'!$T$743)&gt;0)*(N('Dvd Calendar'!$T$743)&lt;=VAL_SERIAL)*1000000+67*1000+56))</f>
        <v/>
      </c>
      <c r="GI78" s="121">
        <f>IF(N('Dvd Calendar'!$U$744)=0,"",IF(('Dvd Calendar'!$U$744&gt;=GRID_FROM)*('Dvd Calendar'!$U$744&lt;=GRID_TO)*('Dvd Calendar'!$U$744&gt;VAL_DATE)=0,"",'Dvd Calendar'!$U$744*1000000000+ISNUMBER('Dvd Calendar'!$U$745)*100000000+0*10000000+(N('Dvd Calendar'!$U$743)&gt;0)*(N('Dvd Calendar'!$U$743)&lt;=VAL_SERIAL)*1000000+67*1000+57))</f>
        <v/>
      </c>
      <c r="GJ78" s="121">
        <f>IF(N('Dvd Calendar'!$V$744)=0,"",IF(('Dvd Calendar'!$V$744&gt;=GRID_FROM)*('Dvd Calendar'!$V$744&lt;=GRID_TO)*('Dvd Calendar'!$V$744&gt;VAL_DATE)=0,"",'Dvd Calendar'!$V$744*1000000000+ISNUMBER('Dvd Calendar'!$V$745)*100000000+0*10000000+(N('Dvd Calendar'!$V$743)&gt;0)*(N('Dvd Calendar'!$V$743)&lt;=VAL_SERIAL)*1000000+67*1000+58))</f>
        <v/>
      </c>
      <c r="GK78" s="121">
        <f>IF(N('Dvd Calendar'!$W$744)=0,"",IF(('Dvd Calendar'!$W$744&gt;=GRID_FROM)*('Dvd Calendar'!$W$744&lt;=GRID_TO)*('Dvd Calendar'!$W$744&gt;VAL_DATE)=0,"",'Dvd Calendar'!$W$744*1000000000+ISNUMBER('Dvd Calendar'!$W$745)*100000000+0*10000000+(N('Dvd Calendar'!$W$743)&gt;0)*(N('Dvd Calendar'!$W$743)&lt;=VAL_SERIAL)*1000000+67*1000+59))</f>
        <v/>
      </c>
      <c r="GL78" s="121">
        <f>IF(N('Dvd Calendar'!$X$744)=0,"",IF(('Dvd Calendar'!$X$744&gt;=GRID_FROM)*('Dvd Calendar'!$X$744&lt;=GRID_TO)*('Dvd Calendar'!$X$744&gt;VAL_DATE)=0,"",'Dvd Calendar'!$X$744*1000000000+ISNUMBER('Dvd Calendar'!$X$745)*100000000+0*10000000+(N('Dvd Calendar'!$X$743)&gt;0)*(N('Dvd Calendar'!$X$743)&lt;=VAL_SERIAL)*1000000+67*1000+60))</f>
        <v/>
      </c>
      <c r="GM78" s="121">
        <f>IF(N('Dvd Calendar'!$Y$744)=0,"",IF(('Dvd Calendar'!$Y$744&gt;=GRID_FROM)*('Dvd Calendar'!$Y$744&lt;=GRID_TO)*('Dvd Calendar'!$Y$744&gt;VAL_DATE)=0,"",'Dvd Calendar'!$Y$744*1000000000+ISNUMBER('Dvd Calendar'!$Y$745)*100000000+0*10000000+(N('Dvd Calendar'!$Y$743)&gt;0)*(N('Dvd Calendar'!$Y$743)&lt;=VAL_SERIAL)*1000000+67*1000+61))</f>
        <v/>
      </c>
      <c r="GN78" s="121">
        <f>IF(N('Dvd Calendar'!$Z$744)=0,"",IF(('Dvd Calendar'!$Z$744&gt;=GRID_FROM)*('Dvd Calendar'!$Z$744&lt;=GRID_TO)*('Dvd Calendar'!$Z$744&gt;VAL_DATE)=0,"",'Dvd Calendar'!$Z$744*1000000000+ISNUMBER('Dvd Calendar'!$Z$745)*100000000+0*10000000+(N('Dvd Calendar'!$Z$743)&gt;0)*(N('Dvd Calendar'!$Z$743)&lt;=VAL_SERIAL)*1000000+67*1000+62))</f>
        <v/>
      </c>
      <c r="GO78" s="121">
        <f>IF(N('Dvd Calendar'!$AA$744)=0,"",IF(('Dvd Calendar'!$AA$744&gt;=GRID_FROM)*('Dvd Calendar'!$AA$744&lt;=GRID_TO)*('Dvd Calendar'!$AA$744&gt;VAL_DATE)=0,"",'Dvd Calendar'!$AA$744*1000000000+ISNUMBER('Dvd Calendar'!$AA$745)*100000000+0*10000000+(N('Dvd Calendar'!$AA$743)&gt;0)*(N('Dvd Calendar'!$AA$743)&lt;=VAL_SERIAL)*1000000+67*1000+63))</f>
        <v/>
      </c>
      <c r="GP78" s="121">
        <f>IF(N('Dvd Calendar'!$AB$744)=0,"",IF(('Dvd Calendar'!$AB$744&gt;=GRID_FROM)*('Dvd Calendar'!$AB$744&lt;=GRID_TO)*('Dvd Calendar'!$AB$744&gt;VAL_DATE)=0,"",'Dvd Calendar'!$AB$744*1000000000+ISNUMBER('Dvd Calendar'!$AB$745)*100000000+0*10000000+(N('Dvd Calendar'!$AB$743)&gt;0)*(N('Dvd Calendar'!$AB$743)&lt;=VAL_SERIAL)*1000000+67*1000+64))</f>
        <v/>
      </c>
      <c r="GQ78" s="121">
        <f>IF(N('Dvd Calendar'!$AC$744)=0,"",IF(('Dvd Calendar'!$AC$744&gt;=GRID_FROM)*('Dvd Calendar'!$AC$744&lt;=GRID_TO)*('Dvd Calendar'!$AC$744&gt;VAL_DATE)=0,"",'Dvd Calendar'!$AC$744*1000000000+ISNUMBER('Dvd Calendar'!$AC$745)*100000000+0*10000000+(N('Dvd Calendar'!$AC$743)&gt;0)*(N('Dvd Calendar'!$AC$743)&lt;=VAL_SERIAL)*1000000+67*1000+65))</f>
        <v/>
      </c>
    </row>
    <row r="79">
      <c r="B79" s="2">
        <f>IF(HSI!$C$74="","",HSI!$C$74)</f>
        <v/>
      </c>
      <c r="C79" s="161">
        <f>IF(EE79="","",IF(ISNUMBER('Dvd Calendar'!$E$751)=FALSE,"",IF((('Dvd Calendar'!$E$753=TYPE1)*(TYPE1&lt;&gt;"")+('Dvd Calendar'!$E$753=TYPE2)*(TYPE2&lt;&gt;"")+('Dvd Calendar'!$E$753=TYPE3)*(TYPE3&lt;&gt;"")+('Dvd Calendar'!$E$753=TYPE4)*(TYPE4&lt;&gt;"")+('Dvd Calendar'!$E$753=SPECIAL_LBL)*(INC_SPECIALS="Y"))=0,"",'Dvd Calendar'!$E$751)))</f>
        <v/>
      </c>
      <c r="D79" s="161">
        <f>IF(EF79="","",IF(ISNUMBER('Dvd Calendar'!$F$751)=FALSE,"",IF((('Dvd Calendar'!$F$753=TYPE1)*(TYPE1&lt;&gt;"")+('Dvd Calendar'!$F$753=TYPE2)*(TYPE2&lt;&gt;"")+('Dvd Calendar'!$F$753=TYPE3)*(TYPE3&lt;&gt;"")+('Dvd Calendar'!$F$753=TYPE4)*(TYPE4&lt;&gt;"")+('Dvd Calendar'!$F$753=SPECIAL_LBL)*(INC_SPECIALS="Y"))=0,"",'Dvd Calendar'!$F$751)))</f>
        <v/>
      </c>
      <c r="E79" s="161">
        <f>IF(EG79="","",IF(ISNUMBER('Dvd Calendar'!$G$751)=FALSE,"",IF((('Dvd Calendar'!$G$753=TYPE1)*(TYPE1&lt;&gt;"")+('Dvd Calendar'!$G$753=TYPE2)*(TYPE2&lt;&gt;"")+('Dvd Calendar'!$G$753=TYPE3)*(TYPE3&lt;&gt;"")+('Dvd Calendar'!$G$753=TYPE4)*(TYPE4&lt;&gt;"")+('Dvd Calendar'!$G$753=SPECIAL_LBL)*(INC_SPECIALS="Y"))=0,"",'Dvd Calendar'!$G$751)))</f>
        <v/>
      </c>
      <c r="F79" s="161">
        <f>IF(EH79="","",IF(ISNUMBER('Dvd Calendar'!$H$751)=FALSE,"",IF((('Dvd Calendar'!$H$753=TYPE1)*(TYPE1&lt;&gt;"")+('Dvd Calendar'!$H$753=TYPE2)*(TYPE2&lt;&gt;"")+('Dvd Calendar'!$H$753=TYPE3)*(TYPE3&lt;&gt;"")+('Dvd Calendar'!$H$753=TYPE4)*(TYPE4&lt;&gt;"")+('Dvd Calendar'!$H$753=SPECIAL_LBL)*(INC_SPECIALS="Y"))=0,"",'Dvd Calendar'!$H$751)))</f>
        <v/>
      </c>
      <c r="G79" s="161">
        <f>IF(EI79="","",IF(ISNUMBER('Dvd Calendar'!$I$751)=FALSE,"",IF((('Dvd Calendar'!$I$753=TYPE1)*(TYPE1&lt;&gt;"")+('Dvd Calendar'!$I$753=TYPE2)*(TYPE2&lt;&gt;"")+('Dvd Calendar'!$I$753=TYPE3)*(TYPE3&lt;&gt;"")+('Dvd Calendar'!$I$753=TYPE4)*(TYPE4&lt;&gt;"")+('Dvd Calendar'!$I$753=SPECIAL_LBL)*(INC_SPECIALS="Y"))=0,"",'Dvd Calendar'!$I$751)))</f>
        <v/>
      </c>
      <c r="H79" s="161">
        <f>IF(EJ79="","",IF(ISNUMBER('Dvd Calendar'!$J$751)=FALSE,"",IF((('Dvd Calendar'!$J$753=TYPE1)*(TYPE1&lt;&gt;"")+('Dvd Calendar'!$J$753=TYPE2)*(TYPE2&lt;&gt;"")+('Dvd Calendar'!$J$753=TYPE3)*(TYPE3&lt;&gt;"")+('Dvd Calendar'!$J$753=TYPE4)*(TYPE4&lt;&gt;"")+('Dvd Calendar'!$J$753=SPECIAL_LBL)*(INC_SPECIALS="Y"))=0,"",'Dvd Calendar'!$J$751)))</f>
        <v/>
      </c>
      <c r="I79" s="161">
        <f>IF(EK79="","",IF(ISNUMBER('Dvd Calendar'!$K$751)=FALSE,"",IF((('Dvd Calendar'!$K$753=TYPE1)*(TYPE1&lt;&gt;"")+('Dvd Calendar'!$K$753=TYPE2)*(TYPE2&lt;&gt;"")+('Dvd Calendar'!$K$753=TYPE3)*(TYPE3&lt;&gt;"")+('Dvd Calendar'!$K$753=TYPE4)*(TYPE4&lt;&gt;"")+('Dvd Calendar'!$K$753=SPECIAL_LBL)*(INC_SPECIALS="Y"))=0,"",'Dvd Calendar'!$K$751)))</f>
        <v/>
      </c>
      <c r="J79" s="161">
        <f>IF(EL79="","",IF(ISNUMBER('Dvd Calendar'!$L$751)=FALSE,"",IF((('Dvd Calendar'!$L$753=TYPE1)*(TYPE1&lt;&gt;"")+('Dvd Calendar'!$L$753=TYPE2)*(TYPE2&lt;&gt;"")+('Dvd Calendar'!$L$753=TYPE3)*(TYPE3&lt;&gt;"")+('Dvd Calendar'!$L$753=TYPE4)*(TYPE4&lt;&gt;"")+('Dvd Calendar'!$L$753=SPECIAL_LBL)*(INC_SPECIALS="Y"))=0,"",'Dvd Calendar'!$L$751)))</f>
        <v/>
      </c>
      <c r="K79" s="161">
        <f>IF(EM79="","",IF(ISNUMBER('Dvd Calendar'!$M$751)=FALSE,"",IF((('Dvd Calendar'!$M$753=TYPE1)*(TYPE1&lt;&gt;"")+('Dvd Calendar'!$M$753=TYPE2)*(TYPE2&lt;&gt;"")+('Dvd Calendar'!$M$753=TYPE3)*(TYPE3&lt;&gt;"")+('Dvd Calendar'!$M$753=TYPE4)*(TYPE4&lt;&gt;"")+('Dvd Calendar'!$M$753=SPECIAL_LBL)*(INC_SPECIALS="Y"))=0,"",'Dvd Calendar'!$M$751)))</f>
        <v/>
      </c>
      <c r="L79" s="161">
        <f>IF(EN79="","",IF(ISNUMBER('Dvd Calendar'!$N$751)=FALSE,"",IF((('Dvd Calendar'!$N$753=TYPE1)*(TYPE1&lt;&gt;"")+('Dvd Calendar'!$N$753=TYPE2)*(TYPE2&lt;&gt;"")+('Dvd Calendar'!$N$753=TYPE3)*(TYPE3&lt;&gt;"")+('Dvd Calendar'!$N$753=TYPE4)*(TYPE4&lt;&gt;"")+('Dvd Calendar'!$N$753=SPECIAL_LBL)*(INC_SPECIALS="Y"))=0,"",'Dvd Calendar'!$N$751)))</f>
        <v/>
      </c>
      <c r="M79" s="161">
        <f>IF(EO79="","",IF(ISNUMBER('Dvd Calendar'!$O$751)=FALSE,"",IF((('Dvd Calendar'!$O$753=TYPE1)*(TYPE1&lt;&gt;"")+('Dvd Calendar'!$O$753=TYPE2)*(TYPE2&lt;&gt;"")+('Dvd Calendar'!$O$753=TYPE3)*(TYPE3&lt;&gt;"")+('Dvd Calendar'!$O$753=TYPE4)*(TYPE4&lt;&gt;"")+('Dvd Calendar'!$O$753=SPECIAL_LBL)*(INC_SPECIALS="Y"))=0,"",'Dvd Calendar'!$O$751)))</f>
        <v/>
      </c>
      <c r="N79" s="161">
        <f>IF(EP79="","",IF(ISNUMBER('Dvd Calendar'!$P$751)=FALSE,"",IF((('Dvd Calendar'!$P$753=TYPE1)*(TYPE1&lt;&gt;"")+('Dvd Calendar'!$P$753=TYPE2)*(TYPE2&lt;&gt;"")+('Dvd Calendar'!$P$753=TYPE3)*(TYPE3&lt;&gt;"")+('Dvd Calendar'!$P$753=TYPE4)*(TYPE4&lt;&gt;"")+('Dvd Calendar'!$P$753=SPECIAL_LBL)*(INC_SPECIALS="Y"))=0,"",'Dvd Calendar'!$P$751)))</f>
        <v/>
      </c>
      <c r="O79" s="161">
        <f>IF(EQ79="","",IF(ISNUMBER('Dvd Calendar'!$Q$751)=FALSE,"",IF((('Dvd Calendar'!$Q$753=TYPE1)*(TYPE1&lt;&gt;"")+('Dvd Calendar'!$Q$753=TYPE2)*(TYPE2&lt;&gt;"")+('Dvd Calendar'!$Q$753=TYPE3)*(TYPE3&lt;&gt;"")+('Dvd Calendar'!$Q$753=TYPE4)*(TYPE4&lt;&gt;"")+('Dvd Calendar'!$Q$753=SPECIAL_LBL)*(INC_SPECIALS="Y"))=0,"",'Dvd Calendar'!$Q$751)))</f>
        <v/>
      </c>
      <c r="P79" s="161">
        <f>IF(ER79="","",IF(ISNUMBER('Dvd Calendar'!$R$751)=FALSE,"",IF((('Dvd Calendar'!$R$753=TYPE1)*(TYPE1&lt;&gt;"")+('Dvd Calendar'!$R$753=TYPE2)*(TYPE2&lt;&gt;"")+('Dvd Calendar'!$R$753=TYPE3)*(TYPE3&lt;&gt;"")+('Dvd Calendar'!$R$753=TYPE4)*(TYPE4&lt;&gt;"")+('Dvd Calendar'!$R$753=SPECIAL_LBL)*(INC_SPECIALS="Y"))=0,"",'Dvd Calendar'!$R$751)))</f>
        <v/>
      </c>
      <c r="Q79" s="161">
        <f>IF(ES79="","",IF(ISNUMBER('Dvd Calendar'!$S$751)=FALSE,"",IF((('Dvd Calendar'!$S$753=TYPE1)*(TYPE1&lt;&gt;"")+('Dvd Calendar'!$S$753=TYPE2)*(TYPE2&lt;&gt;"")+('Dvd Calendar'!$S$753=TYPE3)*(TYPE3&lt;&gt;"")+('Dvd Calendar'!$S$753=TYPE4)*(TYPE4&lt;&gt;"")+('Dvd Calendar'!$S$753=SPECIAL_LBL)*(INC_SPECIALS="Y"))=0,"",'Dvd Calendar'!$S$751)))</f>
        <v/>
      </c>
      <c r="R79" s="161">
        <f>IF(ET79="","",IF(ISNUMBER('Dvd Calendar'!$T$751)=FALSE,"",IF((('Dvd Calendar'!$T$753=TYPE1)*(TYPE1&lt;&gt;"")+('Dvd Calendar'!$T$753=TYPE2)*(TYPE2&lt;&gt;"")+('Dvd Calendar'!$T$753=TYPE3)*(TYPE3&lt;&gt;"")+('Dvd Calendar'!$T$753=TYPE4)*(TYPE4&lt;&gt;"")+('Dvd Calendar'!$T$753=SPECIAL_LBL)*(INC_SPECIALS="Y"))=0,"",'Dvd Calendar'!$T$751)))</f>
        <v/>
      </c>
      <c r="S79" s="161">
        <f>IF(EU79="","",IF(ISNUMBER('Dvd Calendar'!$U$751)=FALSE,"",IF((('Dvd Calendar'!$U$753=TYPE1)*(TYPE1&lt;&gt;"")+('Dvd Calendar'!$U$753=TYPE2)*(TYPE2&lt;&gt;"")+('Dvd Calendar'!$U$753=TYPE3)*(TYPE3&lt;&gt;"")+('Dvd Calendar'!$U$753=TYPE4)*(TYPE4&lt;&gt;"")+('Dvd Calendar'!$U$753=SPECIAL_LBL)*(INC_SPECIALS="Y"))=0,"",'Dvd Calendar'!$U$751)))</f>
        <v/>
      </c>
      <c r="T79" s="161">
        <f>IF(EV79="","",IF(ISNUMBER('Dvd Calendar'!$V$751)=FALSE,"",IF((('Dvd Calendar'!$V$753=TYPE1)*(TYPE1&lt;&gt;"")+('Dvd Calendar'!$V$753=TYPE2)*(TYPE2&lt;&gt;"")+('Dvd Calendar'!$V$753=TYPE3)*(TYPE3&lt;&gt;"")+('Dvd Calendar'!$V$753=TYPE4)*(TYPE4&lt;&gt;"")+('Dvd Calendar'!$V$753=SPECIAL_LBL)*(INC_SPECIALS="Y"))=0,"",'Dvd Calendar'!$V$751)))</f>
        <v/>
      </c>
      <c r="U79" s="161">
        <f>IF(EW79="","",IF(ISNUMBER('Dvd Calendar'!$W$751)=FALSE,"",IF((('Dvd Calendar'!$W$753=TYPE1)*(TYPE1&lt;&gt;"")+('Dvd Calendar'!$W$753=TYPE2)*(TYPE2&lt;&gt;"")+('Dvd Calendar'!$W$753=TYPE3)*(TYPE3&lt;&gt;"")+('Dvd Calendar'!$W$753=TYPE4)*(TYPE4&lt;&gt;"")+('Dvd Calendar'!$W$753=SPECIAL_LBL)*(INC_SPECIALS="Y"))=0,"",'Dvd Calendar'!$W$751)))</f>
        <v/>
      </c>
      <c r="V79" s="161">
        <f>IF(EX79="","",IF(ISNUMBER('Dvd Calendar'!$X$751)=FALSE,"",IF((('Dvd Calendar'!$X$753=TYPE1)*(TYPE1&lt;&gt;"")+('Dvd Calendar'!$X$753=TYPE2)*(TYPE2&lt;&gt;"")+('Dvd Calendar'!$X$753=TYPE3)*(TYPE3&lt;&gt;"")+('Dvd Calendar'!$X$753=TYPE4)*(TYPE4&lt;&gt;"")+('Dvd Calendar'!$X$753=SPECIAL_LBL)*(INC_SPECIALS="Y"))=0,"",'Dvd Calendar'!$X$751)))</f>
        <v/>
      </c>
      <c r="W79" s="161">
        <f>IF(EY79="","",IF(ISNUMBER('Dvd Calendar'!$Y$751)=FALSE,"",IF((('Dvd Calendar'!$Y$753=TYPE1)*(TYPE1&lt;&gt;"")+('Dvd Calendar'!$Y$753=TYPE2)*(TYPE2&lt;&gt;"")+('Dvd Calendar'!$Y$753=TYPE3)*(TYPE3&lt;&gt;"")+('Dvd Calendar'!$Y$753=TYPE4)*(TYPE4&lt;&gt;"")+('Dvd Calendar'!$Y$753=SPECIAL_LBL)*(INC_SPECIALS="Y"))=0,"",'Dvd Calendar'!$Y$751)))</f>
        <v/>
      </c>
      <c r="X79" s="161">
        <f>IF(EZ79="","",IF(ISNUMBER('Dvd Calendar'!$Z$751)=FALSE,"",IF((('Dvd Calendar'!$Z$753=TYPE1)*(TYPE1&lt;&gt;"")+('Dvd Calendar'!$Z$753=TYPE2)*(TYPE2&lt;&gt;"")+('Dvd Calendar'!$Z$753=TYPE3)*(TYPE3&lt;&gt;"")+('Dvd Calendar'!$Z$753=TYPE4)*(TYPE4&lt;&gt;"")+('Dvd Calendar'!$Z$753=SPECIAL_LBL)*(INC_SPECIALS="Y"))=0,"",'Dvd Calendar'!$Z$751)))</f>
        <v/>
      </c>
      <c r="Y79" s="161">
        <f>IF(FA79="","",IF(ISNUMBER('Dvd Calendar'!$AA$751)=FALSE,"",IF((('Dvd Calendar'!$AA$753=TYPE1)*(TYPE1&lt;&gt;"")+('Dvd Calendar'!$AA$753=TYPE2)*(TYPE2&lt;&gt;"")+('Dvd Calendar'!$AA$753=TYPE3)*(TYPE3&lt;&gt;"")+('Dvd Calendar'!$AA$753=TYPE4)*(TYPE4&lt;&gt;"")+('Dvd Calendar'!$AA$753=SPECIAL_LBL)*(INC_SPECIALS="Y"))=0,"",'Dvd Calendar'!$AA$751)))</f>
        <v/>
      </c>
      <c r="Z79" s="161">
        <f>IF(FB79="","",IF(ISNUMBER('Dvd Calendar'!$AB$751)=FALSE,"",IF((('Dvd Calendar'!$AB$753=TYPE1)*(TYPE1&lt;&gt;"")+('Dvd Calendar'!$AB$753=TYPE2)*(TYPE2&lt;&gt;"")+('Dvd Calendar'!$AB$753=TYPE3)*(TYPE3&lt;&gt;"")+('Dvd Calendar'!$AB$753=TYPE4)*(TYPE4&lt;&gt;"")+('Dvd Calendar'!$AB$753=SPECIAL_LBL)*(INC_SPECIALS="Y"))=0,"",'Dvd Calendar'!$AB$751)))</f>
        <v/>
      </c>
      <c r="AA79" s="161">
        <f>IF(FC79="","",IF(ISNUMBER('Dvd Calendar'!$AC$751)=FALSE,"",IF((('Dvd Calendar'!$AC$753=TYPE1)*(TYPE1&lt;&gt;"")+('Dvd Calendar'!$AC$753=TYPE2)*(TYPE2&lt;&gt;"")+('Dvd Calendar'!$AC$753=TYPE3)*(TYPE3&lt;&gt;"")+('Dvd Calendar'!$AC$753=TYPE4)*(TYPE4&lt;&gt;"")+('Dvd Calendar'!$AC$753=SPECIAL_LBL)*(INC_SPECIALS="Y"))=0,"",'Dvd Calendar'!$AC$751)))</f>
        <v/>
      </c>
      <c r="AB79" s="161">
        <f>IF(FD79="","",IF(ISNUMBER('Dvd Calendar'!$AD$751)=FALSE,"",IF((('Dvd Calendar'!$AD$753=TYPE1)*(TYPE1&lt;&gt;"")+('Dvd Calendar'!$AD$753=TYPE2)*(TYPE2&lt;&gt;"")+('Dvd Calendar'!$AD$753=TYPE3)*(TYPE3&lt;&gt;"")+('Dvd Calendar'!$AD$753=TYPE4)*(TYPE4&lt;&gt;"")+('Dvd Calendar'!$AD$753=SPECIAL_LBL)*(INC_SPECIALS="Y"))=0,"",'Dvd Calendar'!$AD$751)))</f>
        <v/>
      </c>
      <c r="AC79" s="161">
        <f>IF(FE79="","",IF(ISNUMBER('Dvd Calendar'!$AE$751)=FALSE,"",IF((('Dvd Calendar'!$AE$753=TYPE1)*(TYPE1&lt;&gt;"")+('Dvd Calendar'!$AE$753=TYPE2)*(TYPE2&lt;&gt;"")+('Dvd Calendar'!$AE$753=TYPE3)*(TYPE3&lt;&gt;"")+('Dvd Calendar'!$AE$753=TYPE4)*(TYPE4&lt;&gt;"")+('Dvd Calendar'!$AE$753=SPECIAL_LBL)*(INC_SPECIALS="Y"))=0,"",'Dvd Calendar'!$AE$751)))</f>
        <v/>
      </c>
      <c r="AD79" s="161">
        <f>IF(FF79="","",IF(ISNUMBER('Dvd Calendar'!$AF$751)=FALSE,"",IF((('Dvd Calendar'!$AF$753=TYPE1)*(TYPE1&lt;&gt;"")+('Dvd Calendar'!$AF$753=TYPE2)*(TYPE2&lt;&gt;"")+('Dvd Calendar'!$AF$753=TYPE3)*(TYPE3&lt;&gt;"")+('Dvd Calendar'!$AF$753=TYPE4)*(TYPE4&lt;&gt;"")+('Dvd Calendar'!$AF$753=SPECIAL_LBL)*(INC_SPECIALS="Y"))=0,"",'Dvd Calendar'!$AF$751)))</f>
        <v/>
      </c>
      <c r="AE79" s="161">
        <f>IF(FG79="","",IF(ISNUMBER('Dvd Calendar'!$AG$751)=FALSE,"",IF((('Dvd Calendar'!$AG$753=TYPE1)*(TYPE1&lt;&gt;"")+('Dvd Calendar'!$AG$753=TYPE2)*(TYPE2&lt;&gt;"")+('Dvd Calendar'!$AG$753=TYPE3)*(TYPE3&lt;&gt;"")+('Dvd Calendar'!$AG$753=TYPE4)*(TYPE4&lt;&gt;"")+('Dvd Calendar'!$AG$753=SPECIAL_LBL)*(INC_SPECIALS="Y"))=0,"",'Dvd Calendar'!$AG$751)))</f>
        <v/>
      </c>
      <c r="AF79" s="161">
        <f>IF(FH79="","",IF(ISNUMBER('Dvd Calendar'!$AH$751)=FALSE,"",IF((('Dvd Calendar'!$AH$753=TYPE1)*(TYPE1&lt;&gt;"")+('Dvd Calendar'!$AH$753=TYPE2)*(TYPE2&lt;&gt;"")+('Dvd Calendar'!$AH$753=TYPE3)*(TYPE3&lt;&gt;"")+('Dvd Calendar'!$AH$753=TYPE4)*(TYPE4&lt;&gt;"")+('Dvd Calendar'!$AH$753=SPECIAL_LBL)*(INC_SPECIALS="Y"))=0,"",'Dvd Calendar'!$AH$751)))</f>
        <v/>
      </c>
      <c r="AG79" s="161">
        <f>IF(FI79="","",IF(ISNUMBER('Dvd Calendar'!$AI$751)=FALSE,"",IF((('Dvd Calendar'!$AI$753=TYPE1)*(TYPE1&lt;&gt;"")+('Dvd Calendar'!$AI$753=TYPE2)*(TYPE2&lt;&gt;"")+('Dvd Calendar'!$AI$753=TYPE3)*(TYPE3&lt;&gt;"")+('Dvd Calendar'!$AI$753=TYPE4)*(TYPE4&lt;&gt;"")+('Dvd Calendar'!$AI$753=SPECIAL_LBL)*(INC_SPECIALS="Y"))=0,"",'Dvd Calendar'!$AI$751)))</f>
        <v/>
      </c>
      <c r="AH79" s="161">
        <f>IF(FJ79="","",IF(ISNUMBER('Dvd Calendar'!$AJ$751)=FALSE,"",IF((('Dvd Calendar'!$AJ$753=TYPE1)*(TYPE1&lt;&gt;"")+('Dvd Calendar'!$AJ$753=TYPE2)*(TYPE2&lt;&gt;"")+('Dvd Calendar'!$AJ$753=TYPE3)*(TYPE3&lt;&gt;"")+('Dvd Calendar'!$AJ$753=TYPE4)*(TYPE4&lt;&gt;"")+('Dvd Calendar'!$AJ$753=SPECIAL_LBL)*(INC_SPECIALS="Y"))=0,"",'Dvd Calendar'!$AJ$751)))</f>
        <v/>
      </c>
      <c r="AI79" s="161">
        <f>IF(FK79="","",IF(ISNUMBER('Dvd Calendar'!$AK$751)=FALSE,"",IF((('Dvd Calendar'!$AK$753=TYPE1)*(TYPE1&lt;&gt;"")+('Dvd Calendar'!$AK$753=TYPE2)*(TYPE2&lt;&gt;"")+('Dvd Calendar'!$AK$753=TYPE3)*(TYPE3&lt;&gt;"")+('Dvd Calendar'!$AK$753=TYPE4)*(TYPE4&lt;&gt;"")+('Dvd Calendar'!$AK$753=SPECIAL_LBL)*(INC_SPECIALS="Y"))=0,"",'Dvd Calendar'!$AK$751)))</f>
        <v/>
      </c>
      <c r="AJ79" s="161">
        <f>IF(FL79="","",IF(ISNUMBER('Dvd Calendar'!$AL$751)=FALSE,"",IF((('Dvd Calendar'!$AL$753=TYPE1)*(TYPE1&lt;&gt;"")+('Dvd Calendar'!$AL$753=TYPE2)*(TYPE2&lt;&gt;"")+('Dvd Calendar'!$AL$753=TYPE3)*(TYPE3&lt;&gt;"")+('Dvd Calendar'!$AL$753=TYPE4)*(TYPE4&lt;&gt;"")+('Dvd Calendar'!$AL$753=SPECIAL_LBL)*(INC_SPECIALS="Y"))=0,"",'Dvd Calendar'!$AL$751)))</f>
        <v/>
      </c>
      <c r="AK79" s="161">
        <f>IF(FM79="","",IF(ISNUMBER('Dvd Calendar'!$AM$751)=FALSE,"",IF((('Dvd Calendar'!$AM$753=TYPE1)*(TYPE1&lt;&gt;"")+('Dvd Calendar'!$AM$753=TYPE2)*(TYPE2&lt;&gt;"")+('Dvd Calendar'!$AM$753=TYPE3)*(TYPE3&lt;&gt;"")+('Dvd Calendar'!$AM$753=TYPE4)*(TYPE4&lt;&gt;"")+('Dvd Calendar'!$AM$753=SPECIAL_LBL)*(INC_SPECIALS="Y"))=0,"",'Dvd Calendar'!$AM$751)))</f>
        <v/>
      </c>
      <c r="AL79" s="161">
        <f>IF(FN79="","",IF(ISNUMBER('Dvd Calendar'!$AN$751)=FALSE,"",IF((('Dvd Calendar'!$AN$753=TYPE1)*(TYPE1&lt;&gt;"")+('Dvd Calendar'!$AN$753=TYPE2)*(TYPE2&lt;&gt;"")+('Dvd Calendar'!$AN$753=TYPE3)*(TYPE3&lt;&gt;"")+('Dvd Calendar'!$AN$753=TYPE4)*(TYPE4&lt;&gt;"")+('Dvd Calendar'!$AN$753=SPECIAL_LBL)*(INC_SPECIALS="Y"))=0,"",'Dvd Calendar'!$AN$751)))</f>
        <v/>
      </c>
      <c r="AM79" s="161">
        <f>IF(FO79="","",IF(ISNUMBER('Dvd Calendar'!$AO$751)=FALSE,"",IF((('Dvd Calendar'!$AO$753=TYPE1)*(TYPE1&lt;&gt;"")+('Dvd Calendar'!$AO$753=TYPE2)*(TYPE2&lt;&gt;"")+('Dvd Calendar'!$AO$753=TYPE3)*(TYPE3&lt;&gt;"")+('Dvd Calendar'!$AO$753=TYPE4)*(TYPE4&lt;&gt;"")+('Dvd Calendar'!$AO$753=SPECIAL_LBL)*(INC_SPECIALS="Y"))=0,"",'Dvd Calendar'!$AO$751)))</f>
        <v/>
      </c>
      <c r="AN79" s="161">
        <f>IF(FP79="","",IF(ISNUMBER('Dvd Calendar'!$AP$751)=FALSE,"",IF((('Dvd Calendar'!$AP$753=TYPE1)*(TYPE1&lt;&gt;"")+('Dvd Calendar'!$AP$753=TYPE2)*(TYPE2&lt;&gt;"")+('Dvd Calendar'!$AP$753=TYPE3)*(TYPE3&lt;&gt;"")+('Dvd Calendar'!$AP$753=TYPE4)*(TYPE4&lt;&gt;"")+('Dvd Calendar'!$AP$753=SPECIAL_LBL)*(INC_SPECIALS="Y"))=0,"",'Dvd Calendar'!$AP$751)))</f>
        <v/>
      </c>
      <c r="AO79" s="161">
        <f>IF(FQ79="","",IF(ISNUMBER('Dvd Calendar'!$AQ$751)=FALSE,"",IF((('Dvd Calendar'!$AQ$753=TYPE1)*(TYPE1&lt;&gt;"")+('Dvd Calendar'!$AQ$753=TYPE2)*(TYPE2&lt;&gt;"")+('Dvd Calendar'!$AQ$753=TYPE3)*(TYPE3&lt;&gt;"")+('Dvd Calendar'!$AQ$753=TYPE4)*(TYPE4&lt;&gt;"")+('Dvd Calendar'!$AQ$753=SPECIAL_LBL)*(INC_SPECIALS="Y"))=0,"",'Dvd Calendar'!$AQ$751)))</f>
        <v/>
      </c>
      <c r="AP79" s="161">
        <f>IF(FR79="","",IF(ISNUMBER('Dvd Calendar'!$AR$751)=FALSE,"",IF((('Dvd Calendar'!$AR$753=TYPE1)*(TYPE1&lt;&gt;"")+('Dvd Calendar'!$AR$753=TYPE2)*(TYPE2&lt;&gt;"")+('Dvd Calendar'!$AR$753=TYPE3)*(TYPE3&lt;&gt;"")+('Dvd Calendar'!$AR$753=TYPE4)*(TYPE4&lt;&gt;"")+('Dvd Calendar'!$AR$753=SPECIAL_LBL)*(INC_SPECIALS="Y"))=0,"",'Dvd Calendar'!$AR$751)))</f>
        <v/>
      </c>
      <c r="AQ79" s="161">
        <f>IF(FS79="","",IF(ISNUMBER('Dvd Calendar'!$E$756)=FALSE,"",'Dvd Calendar'!$E$756))</f>
        <v/>
      </c>
      <c r="AR79" s="161">
        <f>IF(FT79="","",IF(ISNUMBER('Dvd Calendar'!$F$756)=FALSE,"",'Dvd Calendar'!$F$756))</f>
        <v/>
      </c>
      <c r="AS79" s="161">
        <f>IF(FU79="","",IF(ISNUMBER('Dvd Calendar'!$G$756)=FALSE,"",'Dvd Calendar'!$G$756))</f>
        <v/>
      </c>
      <c r="AT79" s="161">
        <f>IF(FV79="","",IF(ISNUMBER('Dvd Calendar'!$H$756)=FALSE,"",'Dvd Calendar'!$H$756))</f>
        <v/>
      </c>
      <c r="AU79" s="161">
        <f>IF(FW79="","",IF(ISNUMBER('Dvd Calendar'!$I$756)=FALSE,"",'Dvd Calendar'!$I$756))</f>
        <v/>
      </c>
      <c r="AV79" s="161">
        <f>IF(FX79="","",IF(ISNUMBER('Dvd Calendar'!$J$756)=FALSE,"",'Dvd Calendar'!$J$756))</f>
        <v/>
      </c>
      <c r="AW79" s="161">
        <f>IF(FY79="","",IF(ISNUMBER('Dvd Calendar'!$K$756)=FALSE,"",'Dvd Calendar'!$K$756))</f>
        <v/>
      </c>
      <c r="AX79" s="161">
        <f>IF(FZ79="","",IF(ISNUMBER('Dvd Calendar'!$L$756)=FALSE,"",'Dvd Calendar'!$L$756))</f>
        <v/>
      </c>
      <c r="AY79" s="161">
        <f>IF(GA79="","",IF(ISNUMBER('Dvd Calendar'!$M$756)=FALSE,"",'Dvd Calendar'!$M$756))</f>
        <v/>
      </c>
      <c r="AZ79" s="161">
        <f>IF(GB79="","",IF(ISNUMBER('Dvd Calendar'!$N$756)=FALSE,"",'Dvd Calendar'!$N$756))</f>
        <v/>
      </c>
      <c r="BA79" s="161">
        <f>IF(GC79="","",IF(ISNUMBER('Dvd Calendar'!$O$756)=FALSE,"",'Dvd Calendar'!$O$756))</f>
        <v/>
      </c>
      <c r="BB79" s="161">
        <f>IF(GD79="","",IF(ISNUMBER('Dvd Calendar'!$P$756)=FALSE,"",'Dvd Calendar'!$P$756))</f>
        <v/>
      </c>
      <c r="BC79" s="161">
        <f>IF(GE79="","",IF(ISNUMBER('Dvd Calendar'!$Q$756)=FALSE,"",'Dvd Calendar'!$Q$756))</f>
        <v/>
      </c>
      <c r="BD79" s="161">
        <f>IF(GF79="","",IF(ISNUMBER('Dvd Calendar'!$R$756)=FALSE,"",'Dvd Calendar'!$R$756))</f>
        <v/>
      </c>
      <c r="BE79" s="161">
        <f>IF(GG79="","",IF(ISNUMBER('Dvd Calendar'!$S$756)=FALSE,"",'Dvd Calendar'!$S$756))</f>
        <v/>
      </c>
      <c r="BF79" s="161">
        <f>IF(GH79="","",IF(ISNUMBER('Dvd Calendar'!$T$756)=FALSE,"",'Dvd Calendar'!$T$756))</f>
        <v/>
      </c>
      <c r="BG79" s="161">
        <f>IF(GI79="","",IF(ISNUMBER('Dvd Calendar'!$U$756)=FALSE,"",'Dvd Calendar'!$U$756))</f>
        <v/>
      </c>
      <c r="BH79" s="161">
        <f>IF(GJ79="","",IF(ISNUMBER('Dvd Calendar'!$V$756)=FALSE,"",'Dvd Calendar'!$V$756))</f>
        <v/>
      </c>
      <c r="BI79" s="161">
        <f>IF(GK79="","",IF(ISNUMBER('Dvd Calendar'!$W$756)=FALSE,"",'Dvd Calendar'!$W$756))</f>
        <v/>
      </c>
      <c r="BJ79" s="161">
        <f>IF(GL79="","",IF(ISNUMBER('Dvd Calendar'!$X$756)=FALSE,"",'Dvd Calendar'!$X$756))</f>
        <v/>
      </c>
      <c r="BK79" s="161">
        <f>IF(GM79="","",IF(ISNUMBER('Dvd Calendar'!$Y$756)=FALSE,"",'Dvd Calendar'!$Y$756))</f>
        <v/>
      </c>
      <c r="BL79" s="161">
        <f>IF(GN79="","",IF(ISNUMBER('Dvd Calendar'!$Z$756)=FALSE,"",'Dvd Calendar'!$Z$756))</f>
        <v/>
      </c>
      <c r="BM79" s="161">
        <f>IF(GO79="","",IF(ISNUMBER('Dvd Calendar'!$AA$756)=FALSE,"",'Dvd Calendar'!$AA$756))</f>
        <v/>
      </c>
      <c r="BN79" s="161">
        <f>IF(GP79="","",IF(ISNUMBER('Dvd Calendar'!$AB$756)=FALSE,"",'Dvd Calendar'!$AB$756))</f>
        <v/>
      </c>
      <c r="BO79" s="161">
        <f>IF(GQ79="","",IF(ISNUMBER('Dvd Calendar'!$AC$756)=FALSE,"",'Dvd Calendar'!$AC$756))</f>
        <v/>
      </c>
      <c r="BQ79" s="161">
        <f>IF(C79="","",IFERROR(C79*HSI!$B$74*HSI!$G$74/HSI!$B$3,""))</f>
        <v/>
      </c>
      <c r="BR79" s="161">
        <f>IF(D79="","",IFERROR(D79*HSI!$B$74*HSI!$G$74/HSI!$B$3,""))</f>
        <v/>
      </c>
      <c r="BS79" s="161">
        <f>IF(E79="","",IFERROR(E79*HSI!$B$74*HSI!$G$74/HSI!$B$3,""))</f>
        <v/>
      </c>
      <c r="BT79" s="161">
        <f>IF(F79="","",IFERROR(F79*HSI!$B$74*HSI!$G$74/HSI!$B$3,""))</f>
        <v/>
      </c>
      <c r="BU79" s="161">
        <f>IF(G79="","",IFERROR(G79*HSI!$B$74*HSI!$G$74/HSI!$B$3,""))</f>
        <v/>
      </c>
      <c r="BV79" s="161">
        <f>IF(H79="","",IFERROR(H79*HSI!$B$74*HSI!$G$74/HSI!$B$3,""))</f>
        <v/>
      </c>
      <c r="BW79" s="161">
        <f>IF(I79="","",IFERROR(I79*HSI!$B$74*HSI!$G$74/HSI!$B$3,""))</f>
        <v/>
      </c>
      <c r="BX79" s="161">
        <f>IF(J79="","",IFERROR(J79*HSI!$B$74*HSI!$G$74/HSI!$B$3,""))</f>
        <v/>
      </c>
      <c r="BY79" s="161">
        <f>IF(K79="","",IFERROR(K79*HSI!$B$74*HSI!$G$74/HSI!$B$3,""))</f>
        <v/>
      </c>
      <c r="BZ79" s="161">
        <f>IF(L79="","",IFERROR(L79*HSI!$B$74*HSI!$G$74/HSI!$B$3,""))</f>
        <v/>
      </c>
      <c r="CA79" s="161">
        <f>IF(M79="","",IFERROR(M79*HSI!$B$74*HSI!$G$74/HSI!$B$3,""))</f>
        <v/>
      </c>
      <c r="CB79" s="161">
        <f>IF(N79="","",IFERROR(N79*HSI!$B$74*HSI!$G$74/HSI!$B$3,""))</f>
        <v/>
      </c>
      <c r="CC79" s="161">
        <f>IF(O79="","",IFERROR(O79*HSI!$B$74*HSI!$G$74/HSI!$B$3,""))</f>
        <v/>
      </c>
      <c r="CD79" s="161">
        <f>IF(P79="","",IFERROR(P79*HSI!$B$74*HSI!$G$74/HSI!$B$3,""))</f>
        <v/>
      </c>
      <c r="CE79" s="161">
        <f>IF(Q79="","",IFERROR(Q79*HSI!$B$74*HSI!$G$74/HSI!$B$3,""))</f>
        <v/>
      </c>
      <c r="CF79" s="161">
        <f>IF(R79="","",IFERROR(R79*HSI!$B$74*HSI!$G$74/HSI!$B$3,""))</f>
        <v/>
      </c>
      <c r="CG79" s="161">
        <f>IF(S79="","",IFERROR(S79*HSI!$B$74*HSI!$G$74/HSI!$B$3,""))</f>
        <v/>
      </c>
      <c r="CH79" s="161">
        <f>IF(T79="","",IFERROR(T79*HSI!$B$74*HSI!$G$74/HSI!$B$3,""))</f>
        <v/>
      </c>
      <c r="CI79" s="161">
        <f>IF(U79="","",IFERROR(U79*HSI!$B$74*HSI!$G$74/HSI!$B$3,""))</f>
        <v/>
      </c>
      <c r="CJ79" s="161">
        <f>IF(V79="","",IFERROR(V79*HSI!$B$74*HSI!$G$74/HSI!$B$3,""))</f>
        <v/>
      </c>
      <c r="CK79" s="161">
        <f>IF(W79="","",IFERROR(W79*HSI!$B$74*HSI!$G$74/HSI!$B$3,""))</f>
        <v/>
      </c>
      <c r="CL79" s="161">
        <f>IF(X79="","",IFERROR(X79*HSI!$B$74*HSI!$G$74/HSI!$B$3,""))</f>
        <v/>
      </c>
      <c r="CM79" s="161">
        <f>IF(Y79="","",IFERROR(Y79*HSI!$B$74*HSI!$G$74/HSI!$B$3,""))</f>
        <v/>
      </c>
      <c r="CN79" s="161">
        <f>IF(Z79="","",IFERROR(Z79*HSI!$B$74*HSI!$G$74/HSI!$B$3,""))</f>
        <v/>
      </c>
      <c r="CO79" s="161">
        <f>IF(AA79="","",IFERROR(AA79*HSI!$B$74*HSI!$G$74/HSI!$B$3,""))</f>
        <v/>
      </c>
      <c r="CP79" s="161">
        <f>IF(AB79="","",IFERROR(AB79*HSI!$B$74*HSI!$G$74/HSI!$B$3,""))</f>
        <v/>
      </c>
      <c r="CQ79" s="161">
        <f>IF(AC79="","",IFERROR(AC79*HSI!$B$74*HSI!$G$74/HSI!$B$3,""))</f>
        <v/>
      </c>
      <c r="CR79" s="161">
        <f>IF(AD79="","",IFERROR(AD79*HSI!$B$74*HSI!$G$74/HSI!$B$3,""))</f>
        <v/>
      </c>
      <c r="CS79" s="161">
        <f>IF(AE79="","",IFERROR(AE79*HSI!$B$74*HSI!$G$74/HSI!$B$3,""))</f>
        <v/>
      </c>
      <c r="CT79" s="161">
        <f>IF(AF79="","",IFERROR(AF79*HSI!$B$74*HSI!$G$74/HSI!$B$3,""))</f>
        <v/>
      </c>
      <c r="CU79" s="161">
        <f>IF(AG79="","",IFERROR(AG79*HSI!$B$74*HSI!$G$74/HSI!$B$3,""))</f>
        <v/>
      </c>
      <c r="CV79" s="161">
        <f>IF(AH79="","",IFERROR(AH79*HSI!$B$74*HSI!$G$74/HSI!$B$3,""))</f>
        <v/>
      </c>
      <c r="CW79" s="161">
        <f>IF(AI79="","",IFERROR(AI79*HSI!$B$74*HSI!$G$74/HSI!$B$3,""))</f>
        <v/>
      </c>
      <c r="CX79" s="161">
        <f>IF(AJ79="","",IFERROR(AJ79*HSI!$B$74*HSI!$G$74/HSI!$B$3,""))</f>
        <v/>
      </c>
      <c r="CY79" s="161">
        <f>IF(AK79="","",IFERROR(AK79*HSI!$B$74*HSI!$G$74/HSI!$B$3,""))</f>
        <v/>
      </c>
      <c r="CZ79" s="161">
        <f>IF(AL79="","",IFERROR(AL79*HSI!$B$74*HSI!$G$74/HSI!$B$3,""))</f>
        <v/>
      </c>
      <c r="DA79" s="161">
        <f>IF(AM79="","",IFERROR(AM79*HSI!$B$74*HSI!$G$74/HSI!$B$3,""))</f>
        <v/>
      </c>
      <c r="DB79" s="161">
        <f>IF(AN79="","",IFERROR(AN79*HSI!$B$74*HSI!$G$74/HSI!$B$3,""))</f>
        <v/>
      </c>
      <c r="DC79" s="161">
        <f>IF(AO79="","",IFERROR(AO79*HSI!$B$74*HSI!$G$74/HSI!$B$3,""))</f>
        <v/>
      </c>
      <c r="DD79" s="161">
        <f>IF(AP79="","",IFERROR(AP79*HSI!$B$74*HSI!$G$74/HSI!$B$3,""))</f>
        <v/>
      </c>
      <c r="DE79" s="161">
        <f>IF(AQ79="","",IFERROR(AQ79*HSI!$B$74*HSI!$G$74/HSI!$B$3,""))</f>
        <v/>
      </c>
      <c r="DF79" s="161">
        <f>IF(AR79="","",IFERROR(AR79*HSI!$B$74*HSI!$G$74/HSI!$B$3,""))</f>
        <v/>
      </c>
      <c r="DG79" s="161">
        <f>IF(AS79="","",IFERROR(AS79*HSI!$B$74*HSI!$G$74/HSI!$B$3,""))</f>
        <v/>
      </c>
      <c r="DH79" s="161">
        <f>IF(AT79="","",IFERROR(AT79*HSI!$B$74*HSI!$G$74/HSI!$B$3,""))</f>
        <v/>
      </c>
      <c r="DI79" s="161">
        <f>IF(AU79="","",IFERROR(AU79*HSI!$B$74*HSI!$G$74/HSI!$B$3,""))</f>
        <v/>
      </c>
      <c r="DJ79" s="161">
        <f>IF(AV79="","",IFERROR(AV79*HSI!$B$74*HSI!$G$74/HSI!$B$3,""))</f>
        <v/>
      </c>
      <c r="DK79" s="161">
        <f>IF(AW79="","",IFERROR(AW79*HSI!$B$74*HSI!$G$74/HSI!$B$3,""))</f>
        <v/>
      </c>
      <c r="DL79" s="161">
        <f>IF(AX79="","",IFERROR(AX79*HSI!$B$74*HSI!$G$74/HSI!$B$3,""))</f>
        <v/>
      </c>
      <c r="DM79" s="161">
        <f>IF(AY79="","",IFERROR(AY79*HSI!$B$74*HSI!$G$74/HSI!$B$3,""))</f>
        <v/>
      </c>
      <c r="DN79" s="161">
        <f>IF(AZ79="","",IFERROR(AZ79*HSI!$B$74*HSI!$G$74/HSI!$B$3,""))</f>
        <v/>
      </c>
      <c r="DO79" s="161">
        <f>IF(BA79="","",IFERROR(BA79*HSI!$B$74*HSI!$G$74/HSI!$B$3,""))</f>
        <v/>
      </c>
      <c r="DP79" s="161">
        <f>IF(BB79="","",IFERROR(BB79*HSI!$B$74*HSI!$G$74/HSI!$B$3,""))</f>
        <v/>
      </c>
      <c r="DQ79" s="161">
        <f>IF(BC79="","",IFERROR(BC79*HSI!$B$74*HSI!$G$74/HSI!$B$3,""))</f>
        <v/>
      </c>
      <c r="DR79" s="161">
        <f>IF(BD79="","",IFERROR(BD79*HSI!$B$74*HSI!$G$74/HSI!$B$3,""))</f>
        <v/>
      </c>
      <c r="DS79" s="161">
        <f>IF(BE79="","",IFERROR(BE79*HSI!$B$74*HSI!$G$74/HSI!$B$3,""))</f>
        <v/>
      </c>
      <c r="DT79" s="161">
        <f>IF(BF79="","",IFERROR(BF79*HSI!$B$74*HSI!$G$74/HSI!$B$3,""))</f>
        <v/>
      </c>
      <c r="DU79" s="161">
        <f>IF(BG79="","",IFERROR(BG79*HSI!$B$74*HSI!$G$74/HSI!$B$3,""))</f>
        <v/>
      </c>
      <c r="DV79" s="161">
        <f>IF(BH79="","",IFERROR(BH79*HSI!$B$74*HSI!$G$74/HSI!$B$3,""))</f>
        <v/>
      </c>
      <c r="DW79" s="161">
        <f>IF(BI79="","",IFERROR(BI79*HSI!$B$74*HSI!$G$74/HSI!$B$3,""))</f>
        <v/>
      </c>
      <c r="DX79" s="161">
        <f>IF(BJ79="","",IFERROR(BJ79*HSI!$B$74*HSI!$G$74/HSI!$B$3,""))</f>
        <v/>
      </c>
      <c r="DY79" s="161">
        <f>IF(BK79="","",IFERROR(BK79*HSI!$B$74*HSI!$G$74/HSI!$B$3,""))</f>
        <v/>
      </c>
      <c r="DZ79" s="161">
        <f>IF(BL79="","",IFERROR(BL79*HSI!$B$74*HSI!$G$74/HSI!$B$3,""))</f>
        <v/>
      </c>
      <c r="EA79" s="161">
        <f>IF(BM79="","",IFERROR(BM79*HSI!$B$74*HSI!$G$74/HSI!$B$3,""))</f>
        <v/>
      </c>
      <c r="EB79" s="161">
        <f>IF(BN79="","",IFERROR(BN79*HSI!$B$74*HSI!$G$74/HSI!$B$3,""))</f>
        <v/>
      </c>
      <c r="EC79" s="161">
        <f>IF(BO79="","",IFERROR(BO79*HSI!$B$74*HSI!$G$74/HSI!$B$3,""))</f>
        <v/>
      </c>
      <c r="EE79" s="121">
        <f>IF(N('Dvd Calendar'!$E$748)=0,"",IF(('Dvd Calendar'!$E$748&gt;=GRID_FROM)*('Dvd Calendar'!$E$748&lt;=GRID_TO)*((('Dvd Calendar'!$E$748&lt;=VAL_DATE)+(COUNTIF('Dvd Calendar'!$E$755:$AR$755,'Dvd Calendar'!$E$748)=0))&gt;0)=0,"",'Dvd Calendar'!$E$748*1000000000+ISNUMBER('Dvd Calendar'!$E$751)*100000000+('Dvd Calendar'!$E$753=SPECIAL_LBL)*10000000+(N('Dvd Calendar'!$E$747)&gt;0)*(N('Dvd Calendar'!$E$747)&lt;=VAL_SERIAL)*1000000+68*1000+1))</f>
        <v/>
      </c>
      <c r="EF79" s="121">
        <f>IF(N('Dvd Calendar'!$F$748)=0,"",IF(('Dvd Calendar'!$F$748&gt;=GRID_FROM)*('Dvd Calendar'!$F$748&lt;=GRID_TO)*((('Dvd Calendar'!$F$748&lt;=VAL_DATE)+(COUNTIF('Dvd Calendar'!$E$755:$AR$755,'Dvd Calendar'!$F$748)=0))&gt;0)=0,"",'Dvd Calendar'!$F$748*1000000000+ISNUMBER('Dvd Calendar'!$F$751)*100000000+('Dvd Calendar'!$F$753=SPECIAL_LBL)*10000000+(N('Dvd Calendar'!$F$747)&gt;0)*(N('Dvd Calendar'!$F$747)&lt;=VAL_SERIAL)*1000000+68*1000+2))</f>
        <v/>
      </c>
      <c r="EG79" s="121">
        <f>IF(N('Dvd Calendar'!$G$748)=0,"",IF(('Dvd Calendar'!$G$748&gt;=GRID_FROM)*('Dvd Calendar'!$G$748&lt;=GRID_TO)*((('Dvd Calendar'!$G$748&lt;=VAL_DATE)+(COUNTIF('Dvd Calendar'!$E$755:$AR$755,'Dvd Calendar'!$G$748)=0))&gt;0)=0,"",'Dvd Calendar'!$G$748*1000000000+ISNUMBER('Dvd Calendar'!$G$751)*100000000+('Dvd Calendar'!$G$753=SPECIAL_LBL)*10000000+(N('Dvd Calendar'!$G$747)&gt;0)*(N('Dvd Calendar'!$G$747)&lt;=VAL_SERIAL)*1000000+68*1000+3))</f>
        <v/>
      </c>
      <c r="EH79" s="121">
        <f>IF(N('Dvd Calendar'!$H$748)=0,"",IF(('Dvd Calendar'!$H$748&gt;=GRID_FROM)*('Dvd Calendar'!$H$748&lt;=GRID_TO)*((('Dvd Calendar'!$H$748&lt;=VAL_DATE)+(COUNTIF('Dvd Calendar'!$E$755:$AR$755,'Dvd Calendar'!$H$748)=0))&gt;0)=0,"",'Dvd Calendar'!$H$748*1000000000+ISNUMBER('Dvd Calendar'!$H$751)*100000000+('Dvd Calendar'!$H$753=SPECIAL_LBL)*10000000+(N('Dvd Calendar'!$H$747)&gt;0)*(N('Dvd Calendar'!$H$747)&lt;=VAL_SERIAL)*1000000+68*1000+4))</f>
        <v/>
      </c>
      <c r="EI79" s="121">
        <f>IF(N('Dvd Calendar'!$I$748)=0,"",IF(('Dvd Calendar'!$I$748&gt;=GRID_FROM)*('Dvd Calendar'!$I$748&lt;=GRID_TO)*((('Dvd Calendar'!$I$748&lt;=VAL_DATE)+(COUNTIF('Dvd Calendar'!$E$755:$AR$755,'Dvd Calendar'!$I$748)=0))&gt;0)=0,"",'Dvd Calendar'!$I$748*1000000000+ISNUMBER('Dvd Calendar'!$I$751)*100000000+('Dvd Calendar'!$I$753=SPECIAL_LBL)*10000000+(N('Dvd Calendar'!$I$747)&gt;0)*(N('Dvd Calendar'!$I$747)&lt;=VAL_SERIAL)*1000000+68*1000+5))</f>
        <v/>
      </c>
      <c r="EJ79" s="121">
        <f>IF(N('Dvd Calendar'!$J$748)=0,"",IF(('Dvd Calendar'!$J$748&gt;=GRID_FROM)*('Dvd Calendar'!$J$748&lt;=GRID_TO)*((('Dvd Calendar'!$J$748&lt;=VAL_DATE)+(COUNTIF('Dvd Calendar'!$E$755:$AR$755,'Dvd Calendar'!$J$748)=0))&gt;0)=0,"",'Dvd Calendar'!$J$748*1000000000+ISNUMBER('Dvd Calendar'!$J$751)*100000000+('Dvd Calendar'!$J$753=SPECIAL_LBL)*10000000+(N('Dvd Calendar'!$J$747)&gt;0)*(N('Dvd Calendar'!$J$747)&lt;=VAL_SERIAL)*1000000+68*1000+6))</f>
        <v/>
      </c>
      <c r="EK79" s="121">
        <f>IF(N('Dvd Calendar'!$K$748)=0,"",IF(('Dvd Calendar'!$K$748&gt;=GRID_FROM)*('Dvd Calendar'!$K$748&lt;=GRID_TO)*((('Dvd Calendar'!$K$748&lt;=VAL_DATE)+(COUNTIF('Dvd Calendar'!$E$755:$AR$755,'Dvd Calendar'!$K$748)=0))&gt;0)=0,"",'Dvd Calendar'!$K$748*1000000000+ISNUMBER('Dvd Calendar'!$K$751)*100000000+('Dvd Calendar'!$K$753=SPECIAL_LBL)*10000000+(N('Dvd Calendar'!$K$747)&gt;0)*(N('Dvd Calendar'!$K$747)&lt;=VAL_SERIAL)*1000000+68*1000+7))</f>
        <v/>
      </c>
      <c r="EL79" s="121">
        <f>IF(N('Dvd Calendar'!$L$748)=0,"",IF(('Dvd Calendar'!$L$748&gt;=GRID_FROM)*('Dvd Calendar'!$L$748&lt;=GRID_TO)*((('Dvd Calendar'!$L$748&lt;=VAL_DATE)+(COUNTIF('Dvd Calendar'!$E$755:$AR$755,'Dvd Calendar'!$L$748)=0))&gt;0)=0,"",'Dvd Calendar'!$L$748*1000000000+ISNUMBER('Dvd Calendar'!$L$751)*100000000+('Dvd Calendar'!$L$753=SPECIAL_LBL)*10000000+(N('Dvd Calendar'!$L$747)&gt;0)*(N('Dvd Calendar'!$L$747)&lt;=VAL_SERIAL)*1000000+68*1000+8))</f>
        <v/>
      </c>
      <c r="EM79" s="121">
        <f>IF(N('Dvd Calendar'!$M$748)=0,"",IF(('Dvd Calendar'!$M$748&gt;=GRID_FROM)*('Dvd Calendar'!$M$748&lt;=GRID_TO)*((('Dvd Calendar'!$M$748&lt;=VAL_DATE)+(COUNTIF('Dvd Calendar'!$E$755:$AR$755,'Dvd Calendar'!$M$748)=0))&gt;0)=0,"",'Dvd Calendar'!$M$748*1000000000+ISNUMBER('Dvd Calendar'!$M$751)*100000000+('Dvd Calendar'!$M$753=SPECIAL_LBL)*10000000+(N('Dvd Calendar'!$M$747)&gt;0)*(N('Dvd Calendar'!$M$747)&lt;=VAL_SERIAL)*1000000+68*1000+9))</f>
        <v/>
      </c>
      <c r="EN79" s="121">
        <f>IF(N('Dvd Calendar'!$N$748)=0,"",IF(('Dvd Calendar'!$N$748&gt;=GRID_FROM)*('Dvd Calendar'!$N$748&lt;=GRID_TO)*((('Dvd Calendar'!$N$748&lt;=VAL_DATE)+(COUNTIF('Dvd Calendar'!$E$755:$AR$755,'Dvd Calendar'!$N$748)=0))&gt;0)=0,"",'Dvd Calendar'!$N$748*1000000000+ISNUMBER('Dvd Calendar'!$N$751)*100000000+('Dvd Calendar'!$N$753=SPECIAL_LBL)*10000000+(N('Dvd Calendar'!$N$747)&gt;0)*(N('Dvd Calendar'!$N$747)&lt;=VAL_SERIAL)*1000000+68*1000+10))</f>
        <v/>
      </c>
      <c r="EO79" s="121">
        <f>IF(N('Dvd Calendar'!$O$748)=0,"",IF(('Dvd Calendar'!$O$748&gt;=GRID_FROM)*('Dvd Calendar'!$O$748&lt;=GRID_TO)*((('Dvd Calendar'!$O$748&lt;=VAL_DATE)+(COUNTIF('Dvd Calendar'!$E$755:$AR$755,'Dvd Calendar'!$O$748)=0))&gt;0)=0,"",'Dvd Calendar'!$O$748*1000000000+ISNUMBER('Dvd Calendar'!$O$751)*100000000+('Dvd Calendar'!$O$753=SPECIAL_LBL)*10000000+(N('Dvd Calendar'!$O$747)&gt;0)*(N('Dvd Calendar'!$O$747)&lt;=VAL_SERIAL)*1000000+68*1000+11))</f>
        <v/>
      </c>
      <c r="EP79" s="121">
        <f>IF(N('Dvd Calendar'!$P$748)=0,"",IF(('Dvd Calendar'!$P$748&gt;=GRID_FROM)*('Dvd Calendar'!$P$748&lt;=GRID_TO)*((('Dvd Calendar'!$P$748&lt;=VAL_DATE)+(COUNTIF('Dvd Calendar'!$E$755:$AR$755,'Dvd Calendar'!$P$748)=0))&gt;0)=0,"",'Dvd Calendar'!$P$748*1000000000+ISNUMBER('Dvd Calendar'!$P$751)*100000000+('Dvd Calendar'!$P$753=SPECIAL_LBL)*10000000+(N('Dvd Calendar'!$P$747)&gt;0)*(N('Dvd Calendar'!$P$747)&lt;=VAL_SERIAL)*1000000+68*1000+12))</f>
        <v/>
      </c>
      <c r="EQ79" s="121">
        <f>IF(N('Dvd Calendar'!$Q$748)=0,"",IF(('Dvd Calendar'!$Q$748&gt;=GRID_FROM)*('Dvd Calendar'!$Q$748&lt;=GRID_TO)*((('Dvd Calendar'!$Q$748&lt;=VAL_DATE)+(COUNTIF('Dvd Calendar'!$E$755:$AR$755,'Dvd Calendar'!$Q$748)=0))&gt;0)=0,"",'Dvd Calendar'!$Q$748*1000000000+ISNUMBER('Dvd Calendar'!$Q$751)*100000000+('Dvd Calendar'!$Q$753=SPECIAL_LBL)*10000000+(N('Dvd Calendar'!$Q$747)&gt;0)*(N('Dvd Calendar'!$Q$747)&lt;=VAL_SERIAL)*1000000+68*1000+13))</f>
        <v/>
      </c>
      <c r="ER79" s="121">
        <f>IF(N('Dvd Calendar'!$R$748)=0,"",IF(('Dvd Calendar'!$R$748&gt;=GRID_FROM)*('Dvd Calendar'!$R$748&lt;=GRID_TO)*((('Dvd Calendar'!$R$748&lt;=VAL_DATE)+(COUNTIF('Dvd Calendar'!$E$755:$AR$755,'Dvd Calendar'!$R$748)=0))&gt;0)=0,"",'Dvd Calendar'!$R$748*1000000000+ISNUMBER('Dvd Calendar'!$R$751)*100000000+('Dvd Calendar'!$R$753=SPECIAL_LBL)*10000000+(N('Dvd Calendar'!$R$747)&gt;0)*(N('Dvd Calendar'!$R$747)&lt;=VAL_SERIAL)*1000000+68*1000+14))</f>
        <v/>
      </c>
      <c r="ES79" s="121">
        <f>IF(N('Dvd Calendar'!$S$748)=0,"",IF(('Dvd Calendar'!$S$748&gt;=GRID_FROM)*('Dvd Calendar'!$S$748&lt;=GRID_TO)*((('Dvd Calendar'!$S$748&lt;=VAL_DATE)+(COUNTIF('Dvd Calendar'!$E$755:$AR$755,'Dvd Calendar'!$S$748)=0))&gt;0)=0,"",'Dvd Calendar'!$S$748*1000000000+ISNUMBER('Dvd Calendar'!$S$751)*100000000+('Dvd Calendar'!$S$753=SPECIAL_LBL)*10000000+(N('Dvd Calendar'!$S$747)&gt;0)*(N('Dvd Calendar'!$S$747)&lt;=VAL_SERIAL)*1000000+68*1000+15))</f>
        <v/>
      </c>
      <c r="ET79" s="121">
        <f>IF(N('Dvd Calendar'!$T$748)=0,"",IF(('Dvd Calendar'!$T$748&gt;=GRID_FROM)*('Dvd Calendar'!$T$748&lt;=GRID_TO)*((('Dvd Calendar'!$T$748&lt;=VAL_DATE)+(COUNTIF('Dvd Calendar'!$E$755:$AR$755,'Dvd Calendar'!$T$748)=0))&gt;0)=0,"",'Dvd Calendar'!$T$748*1000000000+ISNUMBER('Dvd Calendar'!$T$751)*100000000+('Dvd Calendar'!$T$753=SPECIAL_LBL)*10000000+(N('Dvd Calendar'!$T$747)&gt;0)*(N('Dvd Calendar'!$T$747)&lt;=VAL_SERIAL)*1000000+68*1000+16))</f>
        <v/>
      </c>
      <c r="EU79" s="121">
        <f>IF(N('Dvd Calendar'!$U$748)=0,"",IF(('Dvd Calendar'!$U$748&gt;=GRID_FROM)*('Dvd Calendar'!$U$748&lt;=GRID_TO)*((('Dvd Calendar'!$U$748&lt;=VAL_DATE)+(COUNTIF('Dvd Calendar'!$E$755:$AR$755,'Dvd Calendar'!$U$748)=0))&gt;0)=0,"",'Dvd Calendar'!$U$748*1000000000+ISNUMBER('Dvd Calendar'!$U$751)*100000000+('Dvd Calendar'!$U$753=SPECIAL_LBL)*10000000+(N('Dvd Calendar'!$U$747)&gt;0)*(N('Dvd Calendar'!$U$747)&lt;=VAL_SERIAL)*1000000+68*1000+17))</f>
        <v/>
      </c>
      <c r="EV79" s="121">
        <f>IF(N('Dvd Calendar'!$V$748)=0,"",IF(('Dvd Calendar'!$V$748&gt;=GRID_FROM)*('Dvd Calendar'!$V$748&lt;=GRID_TO)*((('Dvd Calendar'!$V$748&lt;=VAL_DATE)+(COUNTIF('Dvd Calendar'!$E$755:$AR$755,'Dvd Calendar'!$V$748)=0))&gt;0)=0,"",'Dvd Calendar'!$V$748*1000000000+ISNUMBER('Dvd Calendar'!$V$751)*100000000+('Dvd Calendar'!$V$753=SPECIAL_LBL)*10000000+(N('Dvd Calendar'!$V$747)&gt;0)*(N('Dvd Calendar'!$V$747)&lt;=VAL_SERIAL)*1000000+68*1000+18))</f>
        <v/>
      </c>
      <c r="EW79" s="121">
        <f>IF(N('Dvd Calendar'!$W$748)=0,"",IF(('Dvd Calendar'!$W$748&gt;=GRID_FROM)*('Dvd Calendar'!$W$748&lt;=GRID_TO)*((('Dvd Calendar'!$W$748&lt;=VAL_DATE)+(COUNTIF('Dvd Calendar'!$E$755:$AR$755,'Dvd Calendar'!$W$748)=0))&gt;0)=0,"",'Dvd Calendar'!$W$748*1000000000+ISNUMBER('Dvd Calendar'!$W$751)*100000000+('Dvd Calendar'!$W$753=SPECIAL_LBL)*10000000+(N('Dvd Calendar'!$W$747)&gt;0)*(N('Dvd Calendar'!$W$747)&lt;=VAL_SERIAL)*1000000+68*1000+19))</f>
        <v/>
      </c>
      <c r="EX79" s="121">
        <f>IF(N('Dvd Calendar'!$X$748)=0,"",IF(('Dvd Calendar'!$X$748&gt;=GRID_FROM)*('Dvd Calendar'!$X$748&lt;=GRID_TO)*((('Dvd Calendar'!$X$748&lt;=VAL_DATE)+(COUNTIF('Dvd Calendar'!$E$755:$AR$755,'Dvd Calendar'!$X$748)=0))&gt;0)=0,"",'Dvd Calendar'!$X$748*1000000000+ISNUMBER('Dvd Calendar'!$X$751)*100000000+('Dvd Calendar'!$X$753=SPECIAL_LBL)*10000000+(N('Dvd Calendar'!$X$747)&gt;0)*(N('Dvd Calendar'!$X$747)&lt;=VAL_SERIAL)*1000000+68*1000+20))</f>
        <v/>
      </c>
      <c r="EY79" s="121">
        <f>IF(N('Dvd Calendar'!$Y$748)=0,"",IF(('Dvd Calendar'!$Y$748&gt;=GRID_FROM)*('Dvd Calendar'!$Y$748&lt;=GRID_TO)*((('Dvd Calendar'!$Y$748&lt;=VAL_DATE)+(COUNTIF('Dvd Calendar'!$E$755:$AR$755,'Dvd Calendar'!$Y$748)=0))&gt;0)=0,"",'Dvd Calendar'!$Y$748*1000000000+ISNUMBER('Dvd Calendar'!$Y$751)*100000000+('Dvd Calendar'!$Y$753=SPECIAL_LBL)*10000000+(N('Dvd Calendar'!$Y$747)&gt;0)*(N('Dvd Calendar'!$Y$747)&lt;=VAL_SERIAL)*1000000+68*1000+21))</f>
        <v/>
      </c>
      <c r="EZ79" s="121">
        <f>IF(N('Dvd Calendar'!$Z$748)=0,"",IF(('Dvd Calendar'!$Z$748&gt;=GRID_FROM)*('Dvd Calendar'!$Z$748&lt;=GRID_TO)*((('Dvd Calendar'!$Z$748&lt;=VAL_DATE)+(COUNTIF('Dvd Calendar'!$E$755:$AR$755,'Dvd Calendar'!$Z$748)=0))&gt;0)=0,"",'Dvd Calendar'!$Z$748*1000000000+ISNUMBER('Dvd Calendar'!$Z$751)*100000000+('Dvd Calendar'!$Z$753=SPECIAL_LBL)*10000000+(N('Dvd Calendar'!$Z$747)&gt;0)*(N('Dvd Calendar'!$Z$747)&lt;=VAL_SERIAL)*1000000+68*1000+22))</f>
        <v/>
      </c>
      <c r="FA79" s="121">
        <f>IF(N('Dvd Calendar'!$AA$748)=0,"",IF(('Dvd Calendar'!$AA$748&gt;=GRID_FROM)*('Dvd Calendar'!$AA$748&lt;=GRID_TO)*((('Dvd Calendar'!$AA$748&lt;=VAL_DATE)+(COUNTIF('Dvd Calendar'!$E$755:$AR$755,'Dvd Calendar'!$AA$748)=0))&gt;0)=0,"",'Dvd Calendar'!$AA$748*1000000000+ISNUMBER('Dvd Calendar'!$AA$751)*100000000+('Dvd Calendar'!$AA$753=SPECIAL_LBL)*10000000+(N('Dvd Calendar'!$AA$747)&gt;0)*(N('Dvd Calendar'!$AA$747)&lt;=VAL_SERIAL)*1000000+68*1000+23))</f>
        <v/>
      </c>
      <c r="FB79" s="121">
        <f>IF(N('Dvd Calendar'!$AB$748)=0,"",IF(('Dvd Calendar'!$AB$748&gt;=GRID_FROM)*('Dvd Calendar'!$AB$748&lt;=GRID_TO)*((('Dvd Calendar'!$AB$748&lt;=VAL_DATE)+(COUNTIF('Dvd Calendar'!$E$755:$AR$755,'Dvd Calendar'!$AB$748)=0))&gt;0)=0,"",'Dvd Calendar'!$AB$748*1000000000+ISNUMBER('Dvd Calendar'!$AB$751)*100000000+('Dvd Calendar'!$AB$753=SPECIAL_LBL)*10000000+(N('Dvd Calendar'!$AB$747)&gt;0)*(N('Dvd Calendar'!$AB$747)&lt;=VAL_SERIAL)*1000000+68*1000+24))</f>
        <v/>
      </c>
      <c r="FC79" s="121">
        <f>IF(N('Dvd Calendar'!$AC$748)=0,"",IF(('Dvd Calendar'!$AC$748&gt;=GRID_FROM)*('Dvd Calendar'!$AC$748&lt;=GRID_TO)*((('Dvd Calendar'!$AC$748&lt;=VAL_DATE)+(COUNTIF('Dvd Calendar'!$E$755:$AR$755,'Dvd Calendar'!$AC$748)=0))&gt;0)=0,"",'Dvd Calendar'!$AC$748*1000000000+ISNUMBER('Dvd Calendar'!$AC$751)*100000000+('Dvd Calendar'!$AC$753=SPECIAL_LBL)*10000000+(N('Dvd Calendar'!$AC$747)&gt;0)*(N('Dvd Calendar'!$AC$747)&lt;=VAL_SERIAL)*1000000+68*1000+25))</f>
        <v/>
      </c>
      <c r="FD79" s="121">
        <f>IF(N('Dvd Calendar'!$AD$748)=0,"",IF(('Dvd Calendar'!$AD$748&gt;=GRID_FROM)*('Dvd Calendar'!$AD$748&lt;=GRID_TO)*((('Dvd Calendar'!$AD$748&lt;=VAL_DATE)+(COUNTIF('Dvd Calendar'!$E$755:$AR$755,'Dvd Calendar'!$AD$748)=0))&gt;0)=0,"",'Dvd Calendar'!$AD$748*1000000000+ISNUMBER('Dvd Calendar'!$AD$751)*100000000+('Dvd Calendar'!$AD$753=SPECIAL_LBL)*10000000+(N('Dvd Calendar'!$AD$747)&gt;0)*(N('Dvd Calendar'!$AD$747)&lt;=VAL_SERIAL)*1000000+68*1000+26))</f>
        <v/>
      </c>
      <c r="FE79" s="121">
        <f>IF(N('Dvd Calendar'!$AE$748)=0,"",IF(('Dvd Calendar'!$AE$748&gt;=GRID_FROM)*('Dvd Calendar'!$AE$748&lt;=GRID_TO)*((('Dvd Calendar'!$AE$748&lt;=VAL_DATE)+(COUNTIF('Dvd Calendar'!$E$755:$AR$755,'Dvd Calendar'!$AE$748)=0))&gt;0)=0,"",'Dvd Calendar'!$AE$748*1000000000+ISNUMBER('Dvd Calendar'!$AE$751)*100000000+('Dvd Calendar'!$AE$753=SPECIAL_LBL)*10000000+(N('Dvd Calendar'!$AE$747)&gt;0)*(N('Dvd Calendar'!$AE$747)&lt;=VAL_SERIAL)*1000000+68*1000+27))</f>
        <v/>
      </c>
      <c r="FF79" s="121">
        <f>IF(N('Dvd Calendar'!$AF$748)=0,"",IF(('Dvd Calendar'!$AF$748&gt;=GRID_FROM)*('Dvd Calendar'!$AF$748&lt;=GRID_TO)*((('Dvd Calendar'!$AF$748&lt;=VAL_DATE)+(COUNTIF('Dvd Calendar'!$E$755:$AR$755,'Dvd Calendar'!$AF$748)=0))&gt;0)=0,"",'Dvd Calendar'!$AF$748*1000000000+ISNUMBER('Dvd Calendar'!$AF$751)*100000000+('Dvd Calendar'!$AF$753=SPECIAL_LBL)*10000000+(N('Dvd Calendar'!$AF$747)&gt;0)*(N('Dvd Calendar'!$AF$747)&lt;=VAL_SERIAL)*1000000+68*1000+28))</f>
        <v/>
      </c>
      <c r="FG79" s="121">
        <f>IF(N('Dvd Calendar'!$AG$748)=0,"",IF(('Dvd Calendar'!$AG$748&gt;=GRID_FROM)*('Dvd Calendar'!$AG$748&lt;=GRID_TO)*((('Dvd Calendar'!$AG$748&lt;=VAL_DATE)+(COUNTIF('Dvd Calendar'!$E$755:$AR$755,'Dvd Calendar'!$AG$748)=0))&gt;0)=0,"",'Dvd Calendar'!$AG$748*1000000000+ISNUMBER('Dvd Calendar'!$AG$751)*100000000+('Dvd Calendar'!$AG$753=SPECIAL_LBL)*10000000+(N('Dvd Calendar'!$AG$747)&gt;0)*(N('Dvd Calendar'!$AG$747)&lt;=VAL_SERIAL)*1000000+68*1000+29))</f>
        <v/>
      </c>
      <c r="FH79" s="121">
        <f>IF(N('Dvd Calendar'!$AH$748)=0,"",IF(('Dvd Calendar'!$AH$748&gt;=GRID_FROM)*('Dvd Calendar'!$AH$748&lt;=GRID_TO)*((('Dvd Calendar'!$AH$748&lt;=VAL_DATE)+(COUNTIF('Dvd Calendar'!$E$755:$AR$755,'Dvd Calendar'!$AH$748)=0))&gt;0)=0,"",'Dvd Calendar'!$AH$748*1000000000+ISNUMBER('Dvd Calendar'!$AH$751)*100000000+('Dvd Calendar'!$AH$753=SPECIAL_LBL)*10000000+(N('Dvd Calendar'!$AH$747)&gt;0)*(N('Dvd Calendar'!$AH$747)&lt;=VAL_SERIAL)*1000000+68*1000+30))</f>
        <v/>
      </c>
      <c r="FI79" s="121">
        <f>IF(N('Dvd Calendar'!$AI$748)=0,"",IF(('Dvd Calendar'!$AI$748&gt;=GRID_FROM)*('Dvd Calendar'!$AI$748&lt;=GRID_TO)*((('Dvd Calendar'!$AI$748&lt;=VAL_DATE)+(COUNTIF('Dvd Calendar'!$E$755:$AR$755,'Dvd Calendar'!$AI$748)=0))&gt;0)=0,"",'Dvd Calendar'!$AI$748*1000000000+ISNUMBER('Dvd Calendar'!$AI$751)*100000000+('Dvd Calendar'!$AI$753=SPECIAL_LBL)*10000000+(N('Dvd Calendar'!$AI$747)&gt;0)*(N('Dvd Calendar'!$AI$747)&lt;=VAL_SERIAL)*1000000+68*1000+31))</f>
        <v/>
      </c>
      <c r="FJ79" s="121">
        <f>IF(N('Dvd Calendar'!$AJ$748)=0,"",IF(('Dvd Calendar'!$AJ$748&gt;=GRID_FROM)*('Dvd Calendar'!$AJ$748&lt;=GRID_TO)*((('Dvd Calendar'!$AJ$748&lt;=VAL_DATE)+(COUNTIF('Dvd Calendar'!$E$755:$AR$755,'Dvd Calendar'!$AJ$748)=0))&gt;0)=0,"",'Dvd Calendar'!$AJ$748*1000000000+ISNUMBER('Dvd Calendar'!$AJ$751)*100000000+('Dvd Calendar'!$AJ$753=SPECIAL_LBL)*10000000+(N('Dvd Calendar'!$AJ$747)&gt;0)*(N('Dvd Calendar'!$AJ$747)&lt;=VAL_SERIAL)*1000000+68*1000+32))</f>
        <v/>
      </c>
      <c r="FK79" s="121">
        <f>IF(N('Dvd Calendar'!$AK$748)=0,"",IF(('Dvd Calendar'!$AK$748&gt;=GRID_FROM)*('Dvd Calendar'!$AK$748&lt;=GRID_TO)*((('Dvd Calendar'!$AK$748&lt;=VAL_DATE)+(COUNTIF('Dvd Calendar'!$E$755:$AR$755,'Dvd Calendar'!$AK$748)=0))&gt;0)=0,"",'Dvd Calendar'!$AK$748*1000000000+ISNUMBER('Dvd Calendar'!$AK$751)*100000000+('Dvd Calendar'!$AK$753=SPECIAL_LBL)*10000000+(N('Dvd Calendar'!$AK$747)&gt;0)*(N('Dvd Calendar'!$AK$747)&lt;=VAL_SERIAL)*1000000+68*1000+33))</f>
        <v/>
      </c>
      <c r="FL79" s="121">
        <f>IF(N('Dvd Calendar'!$AL$748)=0,"",IF(('Dvd Calendar'!$AL$748&gt;=GRID_FROM)*('Dvd Calendar'!$AL$748&lt;=GRID_TO)*((('Dvd Calendar'!$AL$748&lt;=VAL_DATE)+(COUNTIF('Dvd Calendar'!$E$755:$AR$755,'Dvd Calendar'!$AL$748)=0))&gt;0)=0,"",'Dvd Calendar'!$AL$748*1000000000+ISNUMBER('Dvd Calendar'!$AL$751)*100000000+('Dvd Calendar'!$AL$753=SPECIAL_LBL)*10000000+(N('Dvd Calendar'!$AL$747)&gt;0)*(N('Dvd Calendar'!$AL$747)&lt;=VAL_SERIAL)*1000000+68*1000+34))</f>
        <v/>
      </c>
      <c r="FM79" s="121">
        <f>IF(N('Dvd Calendar'!$AM$748)=0,"",IF(('Dvd Calendar'!$AM$748&gt;=GRID_FROM)*('Dvd Calendar'!$AM$748&lt;=GRID_TO)*((('Dvd Calendar'!$AM$748&lt;=VAL_DATE)+(COUNTIF('Dvd Calendar'!$E$755:$AR$755,'Dvd Calendar'!$AM$748)=0))&gt;0)=0,"",'Dvd Calendar'!$AM$748*1000000000+ISNUMBER('Dvd Calendar'!$AM$751)*100000000+('Dvd Calendar'!$AM$753=SPECIAL_LBL)*10000000+(N('Dvd Calendar'!$AM$747)&gt;0)*(N('Dvd Calendar'!$AM$747)&lt;=VAL_SERIAL)*1000000+68*1000+35))</f>
        <v/>
      </c>
      <c r="FN79" s="121">
        <f>IF(N('Dvd Calendar'!$AN$748)=0,"",IF(('Dvd Calendar'!$AN$748&gt;=GRID_FROM)*('Dvd Calendar'!$AN$748&lt;=GRID_TO)*((('Dvd Calendar'!$AN$748&lt;=VAL_DATE)+(COUNTIF('Dvd Calendar'!$E$755:$AR$755,'Dvd Calendar'!$AN$748)=0))&gt;0)=0,"",'Dvd Calendar'!$AN$748*1000000000+ISNUMBER('Dvd Calendar'!$AN$751)*100000000+('Dvd Calendar'!$AN$753=SPECIAL_LBL)*10000000+(N('Dvd Calendar'!$AN$747)&gt;0)*(N('Dvd Calendar'!$AN$747)&lt;=VAL_SERIAL)*1000000+68*1000+36))</f>
        <v/>
      </c>
      <c r="FO79" s="121">
        <f>IF(N('Dvd Calendar'!$AO$748)=0,"",IF(('Dvd Calendar'!$AO$748&gt;=GRID_FROM)*('Dvd Calendar'!$AO$748&lt;=GRID_TO)*((('Dvd Calendar'!$AO$748&lt;=VAL_DATE)+(COUNTIF('Dvd Calendar'!$E$755:$AR$755,'Dvd Calendar'!$AO$748)=0))&gt;0)=0,"",'Dvd Calendar'!$AO$748*1000000000+ISNUMBER('Dvd Calendar'!$AO$751)*100000000+('Dvd Calendar'!$AO$753=SPECIAL_LBL)*10000000+(N('Dvd Calendar'!$AO$747)&gt;0)*(N('Dvd Calendar'!$AO$747)&lt;=VAL_SERIAL)*1000000+68*1000+37))</f>
        <v/>
      </c>
      <c r="FP79" s="121">
        <f>IF(N('Dvd Calendar'!$AP$748)=0,"",IF(('Dvd Calendar'!$AP$748&gt;=GRID_FROM)*('Dvd Calendar'!$AP$748&lt;=GRID_TO)*((('Dvd Calendar'!$AP$748&lt;=VAL_DATE)+(COUNTIF('Dvd Calendar'!$E$755:$AR$755,'Dvd Calendar'!$AP$748)=0))&gt;0)=0,"",'Dvd Calendar'!$AP$748*1000000000+ISNUMBER('Dvd Calendar'!$AP$751)*100000000+('Dvd Calendar'!$AP$753=SPECIAL_LBL)*10000000+(N('Dvd Calendar'!$AP$747)&gt;0)*(N('Dvd Calendar'!$AP$747)&lt;=VAL_SERIAL)*1000000+68*1000+38))</f>
        <v/>
      </c>
      <c r="FQ79" s="121">
        <f>IF(N('Dvd Calendar'!$AQ$748)=0,"",IF(('Dvd Calendar'!$AQ$748&gt;=GRID_FROM)*('Dvd Calendar'!$AQ$748&lt;=GRID_TO)*((('Dvd Calendar'!$AQ$748&lt;=VAL_DATE)+(COUNTIF('Dvd Calendar'!$E$755:$AR$755,'Dvd Calendar'!$AQ$748)=0))&gt;0)=0,"",'Dvd Calendar'!$AQ$748*1000000000+ISNUMBER('Dvd Calendar'!$AQ$751)*100000000+('Dvd Calendar'!$AQ$753=SPECIAL_LBL)*10000000+(N('Dvd Calendar'!$AQ$747)&gt;0)*(N('Dvd Calendar'!$AQ$747)&lt;=VAL_SERIAL)*1000000+68*1000+39))</f>
        <v/>
      </c>
      <c r="FR79" s="121">
        <f>IF(N('Dvd Calendar'!$AR$748)=0,"",IF(('Dvd Calendar'!$AR$748&gt;=GRID_FROM)*('Dvd Calendar'!$AR$748&lt;=GRID_TO)*((('Dvd Calendar'!$AR$748&lt;=VAL_DATE)+(COUNTIF('Dvd Calendar'!$E$755:$AR$755,'Dvd Calendar'!$AR$748)=0))&gt;0)=0,"",'Dvd Calendar'!$AR$748*1000000000+ISNUMBER('Dvd Calendar'!$AR$751)*100000000+('Dvd Calendar'!$AR$753=SPECIAL_LBL)*10000000+(N('Dvd Calendar'!$AR$747)&gt;0)*(N('Dvd Calendar'!$AR$747)&lt;=VAL_SERIAL)*1000000+68*1000+40))</f>
        <v/>
      </c>
      <c r="FS79" s="121">
        <f>IF(N('Dvd Calendar'!$E$755)=0,"",IF(('Dvd Calendar'!$E$755&gt;=GRID_FROM)*('Dvd Calendar'!$E$755&lt;=GRID_TO)*('Dvd Calendar'!$E$755&gt;VAL_DATE)=0,"",'Dvd Calendar'!$E$755*1000000000+ISNUMBER('Dvd Calendar'!$E$756)*100000000+0*10000000+(N('Dvd Calendar'!$E$754)&gt;0)*(N('Dvd Calendar'!$E$754)&lt;=VAL_SERIAL)*1000000+68*1000+41))</f>
        <v/>
      </c>
      <c r="FT79" s="121">
        <f>IF(N('Dvd Calendar'!$F$755)=0,"",IF(('Dvd Calendar'!$F$755&gt;=GRID_FROM)*('Dvd Calendar'!$F$755&lt;=GRID_TO)*('Dvd Calendar'!$F$755&gt;VAL_DATE)=0,"",'Dvd Calendar'!$F$755*1000000000+ISNUMBER('Dvd Calendar'!$F$756)*100000000+0*10000000+(N('Dvd Calendar'!$F$754)&gt;0)*(N('Dvd Calendar'!$F$754)&lt;=VAL_SERIAL)*1000000+68*1000+42))</f>
        <v/>
      </c>
      <c r="FU79" s="121">
        <f>IF(N('Dvd Calendar'!$G$755)=0,"",IF(('Dvd Calendar'!$G$755&gt;=GRID_FROM)*('Dvd Calendar'!$G$755&lt;=GRID_TO)*('Dvd Calendar'!$G$755&gt;VAL_DATE)=0,"",'Dvd Calendar'!$G$755*1000000000+ISNUMBER('Dvd Calendar'!$G$756)*100000000+0*10000000+(N('Dvd Calendar'!$G$754)&gt;0)*(N('Dvd Calendar'!$G$754)&lt;=VAL_SERIAL)*1000000+68*1000+43))</f>
        <v/>
      </c>
      <c r="FV79" s="121">
        <f>IF(N('Dvd Calendar'!$H$755)=0,"",IF(('Dvd Calendar'!$H$755&gt;=GRID_FROM)*('Dvd Calendar'!$H$755&lt;=GRID_TO)*('Dvd Calendar'!$H$755&gt;VAL_DATE)=0,"",'Dvd Calendar'!$H$755*1000000000+ISNUMBER('Dvd Calendar'!$H$756)*100000000+0*10000000+(N('Dvd Calendar'!$H$754)&gt;0)*(N('Dvd Calendar'!$H$754)&lt;=VAL_SERIAL)*1000000+68*1000+44))</f>
        <v/>
      </c>
      <c r="FW79" s="121">
        <f>IF(N('Dvd Calendar'!$I$755)=0,"",IF(('Dvd Calendar'!$I$755&gt;=GRID_FROM)*('Dvd Calendar'!$I$755&lt;=GRID_TO)*('Dvd Calendar'!$I$755&gt;VAL_DATE)=0,"",'Dvd Calendar'!$I$755*1000000000+ISNUMBER('Dvd Calendar'!$I$756)*100000000+0*10000000+(N('Dvd Calendar'!$I$754)&gt;0)*(N('Dvd Calendar'!$I$754)&lt;=VAL_SERIAL)*1000000+68*1000+45))</f>
        <v/>
      </c>
      <c r="FX79" s="121">
        <f>IF(N('Dvd Calendar'!$J$755)=0,"",IF(('Dvd Calendar'!$J$755&gt;=GRID_FROM)*('Dvd Calendar'!$J$755&lt;=GRID_TO)*('Dvd Calendar'!$J$755&gt;VAL_DATE)=0,"",'Dvd Calendar'!$J$755*1000000000+ISNUMBER('Dvd Calendar'!$J$756)*100000000+0*10000000+(N('Dvd Calendar'!$J$754)&gt;0)*(N('Dvd Calendar'!$J$754)&lt;=VAL_SERIAL)*1000000+68*1000+46))</f>
        <v/>
      </c>
      <c r="FY79" s="121">
        <f>IF(N('Dvd Calendar'!$K$755)=0,"",IF(('Dvd Calendar'!$K$755&gt;=GRID_FROM)*('Dvd Calendar'!$K$755&lt;=GRID_TO)*('Dvd Calendar'!$K$755&gt;VAL_DATE)=0,"",'Dvd Calendar'!$K$755*1000000000+ISNUMBER('Dvd Calendar'!$K$756)*100000000+0*10000000+(N('Dvd Calendar'!$K$754)&gt;0)*(N('Dvd Calendar'!$K$754)&lt;=VAL_SERIAL)*1000000+68*1000+47))</f>
        <v/>
      </c>
      <c r="FZ79" s="121">
        <f>IF(N('Dvd Calendar'!$L$755)=0,"",IF(('Dvd Calendar'!$L$755&gt;=GRID_FROM)*('Dvd Calendar'!$L$755&lt;=GRID_TO)*('Dvd Calendar'!$L$755&gt;VAL_DATE)=0,"",'Dvd Calendar'!$L$755*1000000000+ISNUMBER('Dvd Calendar'!$L$756)*100000000+0*10000000+(N('Dvd Calendar'!$L$754)&gt;0)*(N('Dvd Calendar'!$L$754)&lt;=VAL_SERIAL)*1000000+68*1000+48))</f>
        <v/>
      </c>
      <c r="GA79" s="121">
        <f>IF(N('Dvd Calendar'!$M$755)=0,"",IF(('Dvd Calendar'!$M$755&gt;=GRID_FROM)*('Dvd Calendar'!$M$755&lt;=GRID_TO)*('Dvd Calendar'!$M$755&gt;VAL_DATE)=0,"",'Dvd Calendar'!$M$755*1000000000+ISNUMBER('Dvd Calendar'!$M$756)*100000000+0*10000000+(N('Dvd Calendar'!$M$754)&gt;0)*(N('Dvd Calendar'!$M$754)&lt;=VAL_SERIAL)*1000000+68*1000+49))</f>
        <v/>
      </c>
      <c r="GB79" s="121">
        <f>IF(N('Dvd Calendar'!$N$755)=0,"",IF(('Dvd Calendar'!$N$755&gt;=GRID_FROM)*('Dvd Calendar'!$N$755&lt;=GRID_TO)*('Dvd Calendar'!$N$755&gt;VAL_DATE)=0,"",'Dvd Calendar'!$N$755*1000000000+ISNUMBER('Dvd Calendar'!$N$756)*100000000+0*10000000+(N('Dvd Calendar'!$N$754)&gt;0)*(N('Dvd Calendar'!$N$754)&lt;=VAL_SERIAL)*1000000+68*1000+50))</f>
        <v/>
      </c>
      <c r="GC79" s="121">
        <f>IF(N('Dvd Calendar'!$O$755)=0,"",IF(('Dvd Calendar'!$O$755&gt;=GRID_FROM)*('Dvd Calendar'!$O$755&lt;=GRID_TO)*('Dvd Calendar'!$O$755&gt;VAL_DATE)=0,"",'Dvd Calendar'!$O$755*1000000000+ISNUMBER('Dvd Calendar'!$O$756)*100000000+0*10000000+(N('Dvd Calendar'!$O$754)&gt;0)*(N('Dvd Calendar'!$O$754)&lt;=VAL_SERIAL)*1000000+68*1000+51))</f>
        <v/>
      </c>
      <c r="GD79" s="121">
        <f>IF(N('Dvd Calendar'!$P$755)=0,"",IF(('Dvd Calendar'!$P$755&gt;=GRID_FROM)*('Dvd Calendar'!$P$755&lt;=GRID_TO)*('Dvd Calendar'!$P$755&gt;VAL_DATE)=0,"",'Dvd Calendar'!$P$755*1000000000+ISNUMBER('Dvd Calendar'!$P$756)*100000000+0*10000000+(N('Dvd Calendar'!$P$754)&gt;0)*(N('Dvd Calendar'!$P$754)&lt;=VAL_SERIAL)*1000000+68*1000+52))</f>
        <v/>
      </c>
      <c r="GE79" s="121">
        <f>IF(N('Dvd Calendar'!$Q$755)=0,"",IF(('Dvd Calendar'!$Q$755&gt;=GRID_FROM)*('Dvd Calendar'!$Q$755&lt;=GRID_TO)*('Dvd Calendar'!$Q$755&gt;VAL_DATE)=0,"",'Dvd Calendar'!$Q$755*1000000000+ISNUMBER('Dvd Calendar'!$Q$756)*100000000+0*10000000+(N('Dvd Calendar'!$Q$754)&gt;0)*(N('Dvd Calendar'!$Q$754)&lt;=VAL_SERIAL)*1000000+68*1000+53))</f>
        <v/>
      </c>
      <c r="GF79" s="121">
        <f>IF(N('Dvd Calendar'!$R$755)=0,"",IF(('Dvd Calendar'!$R$755&gt;=GRID_FROM)*('Dvd Calendar'!$R$755&lt;=GRID_TO)*('Dvd Calendar'!$R$755&gt;VAL_DATE)=0,"",'Dvd Calendar'!$R$755*1000000000+ISNUMBER('Dvd Calendar'!$R$756)*100000000+0*10000000+(N('Dvd Calendar'!$R$754)&gt;0)*(N('Dvd Calendar'!$R$754)&lt;=VAL_SERIAL)*1000000+68*1000+54))</f>
        <v/>
      </c>
      <c r="GG79" s="121">
        <f>IF(N('Dvd Calendar'!$S$755)=0,"",IF(('Dvd Calendar'!$S$755&gt;=GRID_FROM)*('Dvd Calendar'!$S$755&lt;=GRID_TO)*('Dvd Calendar'!$S$755&gt;VAL_DATE)=0,"",'Dvd Calendar'!$S$755*1000000000+ISNUMBER('Dvd Calendar'!$S$756)*100000000+0*10000000+(N('Dvd Calendar'!$S$754)&gt;0)*(N('Dvd Calendar'!$S$754)&lt;=VAL_SERIAL)*1000000+68*1000+55))</f>
        <v/>
      </c>
      <c r="GH79" s="121">
        <f>IF(N('Dvd Calendar'!$T$755)=0,"",IF(('Dvd Calendar'!$T$755&gt;=GRID_FROM)*('Dvd Calendar'!$T$755&lt;=GRID_TO)*('Dvd Calendar'!$T$755&gt;VAL_DATE)=0,"",'Dvd Calendar'!$T$755*1000000000+ISNUMBER('Dvd Calendar'!$T$756)*100000000+0*10000000+(N('Dvd Calendar'!$T$754)&gt;0)*(N('Dvd Calendar'!$T$754)&lt;=VAL_SERIAL)*1000000+68*1000+56))</f>
        <v/>
      </c>
      <c r="GI79" s="121">
        <f>IF(N('Dvd Calendar'!$U$755)=0,"",IF(('Dvd Calendar'!$U$755&gt;=GRID_FROM)*('Dvd Calendar'!$U$755&lt;=GRID_TO)*('Dvd Calendar'!$U$755&gt;VAL_DATE)=0,"",'Dvd Calendar'!$U$755*1000000000+ISNUMBER('Dvd Calendar'!$U$756)*100000000+0*10000000+(N('Dvd Calendar'!$U$754)&gt;0)*(N('Dvd Calendar'!$U$754)&lt;=VAL_SERIAL)*1000000+68*1000+57))</f>
        <v/>
      </c>
      <c r="GJ79" s="121">
        <f>IF(N('Dvd Calendar'!$V$755)=0,"",IF(('Dvd Calendar'!$V$755&gt;=GRID_FROM)*('Dvd Calendar'!$V$755&lt;=GRID_TO)*('Dvd Calendar'!$V$755&gt;VAL_DATE)=0,"",'Dvd Calendar'!$V$755*1000000000+ISNUMBER('Dvd Calendar'!$V$756)*100000000+0*10000000+(N('Dvd Calendar'!$V$754)&gt;0)*(N('Dvd Calendar'!$V$754)&lt;=VAL_SERIAL)*1000000+68*1000+58))</f>
        <v/>
      </c>
      <c r="GK79" s="121">
        <f>IF(N('Dvd Calendar'!$W$755)=0,"",IF(('Dvd Calendar'!$W$755&gt;=GRID_FROM)*('Dvd Calendar'!$W$755&lt;=GRID_TO)*('Dvd Calendar'!$W$755&gt;VAL_DATE)=0,"",'Dvd Calendar'!$W$755*1000000000+ISNUMBER('Dvd Calendar'!$W$756)*100000000+0*10000000+(N('Dvd Calendar'!$W$754)&gt;0)*(N('Dvd Calendar'!$W$754)&lt;=VAL_SERIAL)*1000000+68*1000+59))</f>
        <v/>
      </c>
      <c r="GL79" s="121">
        <f>IF(N('Dvd Calendar'!$X$755)=0,"",IF(('Dvd Calendar'!$X$755&gt;=GRID_FROM)*('Dvd Calendar'!$X$755&lt;=GRID_TO)*('Dvd Calendar'!$X$755&gt;VAL_DATE)=0,"",'Dvd Calendar'!$X$755*1000000000+ISNUMBER('Dvd Calendar'!$X$756)*100000000+0*10000000+(N('Dvd Calendar'!$X$754)&gt;0)*(N('Dvd Calendar'!$X$754)&lt;=VAL_SERIAL)*1000000+68*1000+60))</f>
        <v/>
      </c>
      <c r="GM79" s="121">
        <f>IF(N('Dvd Calendar'!$Y$755)=0,"",IF(('Dvd Calendar'!$Y$755&gt;=GRID_FROM)*('Dvd Calendar'!$Y$755&lt;=GRID_TO)*('Dvd Calendar'!$Y$755&gt;VAL_DATE)=0,"",'Dvd Calendar'!$Y$755*1000000000+ISNUMBER('Dvd Calendar'!$Y$756)*100000000+0*10000000+(N('Dvd Calendar'!$Y$754)&gt;0)*(N('Dvd Calendar'!$Y$754)&lt;=VAL_SERIAL)*1000000+68*1000+61))</f>
        <v/>
      </c>
      <c r="GN79" s="121">
        <f>IF(N('Dvd Calendar'!$Z$755)=0,"",IF(('Dvd Calendar'!$Z$755&gt;=GRID_FROM)*('Dvd Calendar'!$Z$755&lt;=GRID_TO)*('Dvd Calendar'!$Z$755&gt;VAL_DATE)=0,"",'Dvd Calendar'!$Z$755*1000000000+ISNUMBER('Dvd Calendar'!$Z$756)*100000000+0*10000000+(N('Dvd Calendar'!$Z$754)&gt;0)*(N('Dvd Calendar'!$Z$754)&lt;=VAL_SERIAL)*1000000+68*1000+62))</f>
        <v/>
      </c>
      <c r="GO79" s="121">
        <f>IF(N('Dvd Calendar'!$AA$755)=0,"",IF(('Dvd Calendar'!$AA$755&gt;=GRID_FROM)*('Dvd Calendar'!$AA$755&lt;=GRID_TO)*('Dvd Calendar'!$AA$755&gt;VAL_DATE)=0,"",'Dvd Calendar'!$AA$755*1000000000+ISNUMBER('Dvd Calendar'!$AA$756)*100000000+0*10000000+(N('Dvd Calendar'!$AA$754)&gt;0)*(N('Dvd Calendar'!$AA$754)&lt;=VAL_SERIAL)*1000000+68*1000+63))</f>
        <v/>
      </c>
      <c r="GP79" s="121">
        <f>IF(N('Dvd Calendar'!$AB$755)=0,"",IF(('Dvd Calendar'!$AB$755&gt;=GRID_FROM)*('Dvd Calendar'!$AB$755&lt;=GRID_TO)*('Dvd Calendar'!$AB$755&gt;VAL_DATE)=0,"",'Dvd Calendar'!$AB$755*1000000000+ISNUMBER('Dvd Calendar'!$AB$756)*100000000+0*10000000+(N('Dvd Calendar'!$AB$754)&gt;0)*(N('Dvd Calendar'!$AB$754)&lt;=VAL_SERIAL)*1000000+68*1000+64))</f>
        <v/>
      </c>
      <c r="GQ79" s="121">
        <f>IF(N('Dvd Calendar'!$AC$755)=0,"",IF(('Dvd Calendar'!$AC$755&gt;=GRID_FROM)*('Dvd Calendar'!$AC$755&lt;=GRID_TO)*('Dvd Calendar'!$AC$755&gt;VAL_DATE)=0,"",'Dvd Calendar'!$AC$755*1000000000+ISNUMBER('Dvd Calendar'!$AC$756)*100000000+0*10000000+(N('Dvd Calendar'!$AC$754)&gt;0)*(N('Dvd Calendar'!$AC$754)&lt;=VAL_SERIAL)*1000000+68*1000+65))</f>
        <v/>
      </c>
    </row>
    <row r="80">
      <c r="B80" s="2">
        <f>IF(HSI!$C$75="","",HSI!$C$75)</f>
        <v/>
      </c>
      <c r="C80" s="161">
        <f>IF(EE80="","",IF(ISNUMBER('Dvd Calendar'!$E$762)=FALSE,"",IF((('Dvd Calendar'!$E$764=TYPE1)*(TYPE1&lt;&gt;"")+('Dvd Calendar'!$E$764=TYPE2)*(TYPE2&lt;&gt;"")+('Dvd Calendar'!$E$764=TYPE3)*(TYPE3&lt;&gt;"")+('Dvd Calendar'!$E$764=TYPE4)*(TYPE4&lt;&gt;"")+('Dvd Calendar'!$E$764=SPECIAL_LBL)*(INC_SPECIALS="Y"))=0,"",'Dvd Calendar'!$E$762)))</f>
        <v/>
      </c>
      <c r="D80" s="161">
        <f>IF(EF80="","",IF(ISNUMBER('Dvd Calendar'!$F$762)=FALSE,"",IF((('Dvd Calendar'!$F$764=TYPE1)*(TYPE1&lt;&gt;"")+('Dvd Calendar'!$F$764=TYPE2)*(TYPE2&lt;&gt;"")+('Dvd Calendar'!$F$764=TYPE3)*(TYPE3&lt;&gt;"")+('Dvd Calendar'!$F$764=TYPE4)*(TYPE4&lt;&gt;"")+('Dvd Calendar'!$F$764=SPECIAL_LBL)*(INC_SPECIALS="Y"))=0,"",'Dvd Calendar'!$F$762)))</f>
        <v/>
      </c>
      <c r="E80" s="161">
        <f>IF(EG80="","",IF(ISNUMBER('Dvd Calendar'!$G$762)=FALSE,"",IF((('Dvd Calendar'!$G$764=TYPE1)*(TYPE1&lt;&gt;"")+('Dvd Calendar'!$G$764=TYPE2)*(TYPE2&lt;&gt;"")+('Dvd Calendar'!$G$764=TYPE3)*(TYPE3&lt;&gt;"")+('Dvd Calendar'!$G$764=TYPE4)*(TYPE4&lt;&gt;"")+('Dvd Calendar'!$G$764=SPECIAL_LBL)*(INC_SPECIALS="Y"))=0,"",'Dvd Calendar'!$G$762)))</f>
        <v/>
      </c>
      <c r="F80" s="161">
        <f>IF(EH80="","",IF(ISNUMBER('Dvd Calendar'!$H$762)=FALSE,"",IF((('Dvd Calendar'!$H$764=TYPE1)*(TYPE1&lt;&gt;"")+('Dvd Calendar'!$H$764=TYPE2)*(TYPE2&lt;&gt;"")+('Dvd Calendar'!$H$764=TYPE3)*(TYPE3&lt;&gt;"")+('Dvd Calendar'!$H$764=TYPE4)*(TYPE4&lt;&gt;"")+('Dvd Calendar'!$H$764=SPECIAL_LBL)*(INC_SPECIALS="Y"))=0,"",'Dvd Calendar'!$H$762)))</f>
        <v/>
      </c>
      <c r="G80" s="161">
        <f>IF(EI80="","",IF(ISNUMBER('Dvd Calendar'!$I$762)=FALSE,"",IF((('Dvd Calendar'!$I$764=TYPE1)*(TYPE1&lt;&gt;"")+('Dvd Calendar'!$I$764=TYPE2)*(TYPE2&lt;&gt;"")+('Dvd Calendar'!$I$764=TYPE3)*(TYPE3&lt;&gt;"")+('Dvd Calendar'!$I$764=TYPE4)*(TYPE4&lt;&gt;"")+('Dvd Calendar'!$I$764=SPECIAL_LBL)*(INC_SPECIALS="Y"))=0,"",'Dvd Calendar'!$I$762)))</f>
        <v/>
      </c>
      <c r="H80" s="161">
        <f>IF(EJ80="","",IF(ISNUMBER('Dvd Calendar'!$J$762)=FALSE,"",IF((('Dvd Calendar'!$J$764=TYPE1)*(TYPE1&lt;&gt;"")+('Dvd Calendar'!$J$764=TYPE2)*(TYPE2&lt;&gt;"")+('Dvd Calendar'!$J$764=TYPE3)*(TYPE3&lt;&gt;"")+('Dvd Calendar'!$J$764=TYPE4)*(TYPE4&lt;&gt;"")+('Dvd Calendar'!$J$764=SPECIAL_LBL)*(INC_SPECIALS="Y"))=0,"",'Dvd Calendar'!$J$762)))</f>
        <v/>
      </c>
      <c r="I80" s="161">
        <f>IF(EK80="","",IF(ISNUMBER('Dvd Calendar'!$K$762)=FALSE,"",IF((('Dvd Calendar'!$K$764=TYPE1)*(TYPE1&lt;&gt;"")+('Dvd Calendar'!$K$764=TYPE2)*(TYPE2&lt;&gt;"")+('Dvd Calendar'!$K$764=TYPE3)*(TYPE3&lt;&gt;"")+('Dvd Calendar'!$K$764=TYPE4)*(TYPE4&lt;&gt;"")+('Dvd Calendar'!$K$764=SPECIAL_LBL)*(INC_SPECIALS="Y"))=0,"",'Dvd Calendar'!$K$762)))</f>
        <v/>
      </c>
      <c r="J80" s="161">
        <f>IF(EL80="","",IF(ISNUMBER('Dvd Calendar'!$L$762)=FALSE,"",IF((('Dvd Calendar'!$L$764=TYPE1)*(TYPE1&lt;&gt;"")+('Dvd Calendar'!$L$764=TYPE2)*(TYPE2&lt;&gt;"")+('Dvd Calendar'!$L$764=TYPE3)*(TYPE3&lt;&gt;"")+('Dvd Calendar'!$L$764=TYPE4)*(TYPE4&lt;&gt;"")+('Dvd Calendar'!$L$764=SPECIAL_LBL)*(INC_SPECIALS="Y"))=0,"",'Dvd Calendar'!$L$762)))</f>
        <v/>
      </c>
      <c r="K80" s="161">
        <f>IF(EM80="","",IF(ISNUMBER('Dvd Calendar'!$M$762)=FALSE,"",IF((('Dvd Calendar'!$M$764=TYPE1)*(TYPE1&lt;&gt;"")+('Dvd Calendar'!$M$764=TYPE2)*(TYPE2&lt;&gt;"")+('Dvd Calendar'!$M$764=TYPE3)*(TYPE3&lt;&gt;"")+('Dvd Calendar'!$M$764=TYPE4)*(TYPE4&lt;&gt;"")+('Dvd Calendar'!$M$764=SPECIAL_LBL)*(INC_SPECIALS="Y"))=0,"",'Dvd Calendar'!$M$762)))</f>
        <v/>
      </c>
      <c r="L80" s="161">
        <f>IF(EN80="","",IF(ISNUMBER('Dvd Calendar'!$N$762)=FALSE,"",IF((('Dvd Calendar'!$N$764=TYPE1)*(TYPE1&lt;&gt;"")+('Dvd Calendar'!$N$764=TYPE2)*(TYPE2&lt;&gt;"")+('Dvd Calendar'!$N$764=TYPE3)*(TYPE3&lt;&gt;"")+('Dvd Calendar'!$N$764=TYPE4)*(TYPE4&lt;&gt;"")+('Dvd Calendar'!$N$764=SPECIAL_LBL)*(INC_SPECIALS="Y"))=0,"",'Dvd Calendar'!$N$762)))</f>
        <v/>
      </c>
      <c r="M80" s="161">
        <f>IF(EO80="","",IF(ISNUMBER('Dvd Calendar'!$O$762)=FALSE,"",IF((('Dvd Calendar'!$O$764=TYPE1)*(TYPE1&lt;&gt;"")+('Dvd Calendar'!$O$764=TYPE2)*(TYPE2&lt;&gt;"")+('Dvd Calendar'!$O$764=TYPE3)*(TYPE3&lt;&gt;"")+('Dvd Calendar'!$O$764=TYPE4)*(TYPE4&lt;&gt;"")+('Dvd Calendar'!$O$764=SPECIAL_LBL)*(INC_SPECIALS="Y"))=0,"",'Dvd Calendar'!$O$762)))</f>
        <v/>
      </c>
      <c r="N80" s="161">
        <f>IF(EP80="","",IF(ISNUMBER('Dvd Calendar'!$P$762)=FALSE,"",IF((('Dvd Calendar'!$P$764=TYPE1)*(TYPE1&lt;&gt;"")+('Dvd Calendar'!$P$764=TYPE2)*(TYPE2&lt;&gt;"")+('Dvd Calendar'!$P$764=TYPE3)*(TYPE3&lt;&gt;"")+('Dvd Calendar'!$P$764=TYPE4)*(TYPE4&lt;&gt;"")+('Dvd Calendar'!$P$764=SPECIAL_LBL)*(INC_SPECIALS="Y"))=0,"",'Dvd Calendar'!$P$762)))</f>
        <v/>
      </c>
      <c r="O80" s="161">
        <f>IF(EQ80="","",IF(ISNUMBER('Dvd Calendar'!$Q$762)=FALSE,"",IF((('Dvd Calendar'!$Q$764=TYPE1)*(TYPE1&lt;&gt;"")+('Dvd Calendar'!$Q$764=TYPE2)*(TYPE2&lt;&gt;"")+('Dvd Calendar'!$Q$764=TYPE3)*(TYPE3&lt;&gt;"")+('Dvd Calendar'!$Q$764=TYPE4)*(TYPE4&lt;&gt;"")+('Dvd Calendar'!$Q$764=SPECIAL_LBL)*(INC_SPECIALS="Y"))=0,"",'Dvd Calendar'!$Q$762)))</f>
        <v/>
      </c>
      <c r="P80" s="161">
        <f>IF(ER80="","",IF(ISNUMBER('Dvd Calendar'!$R$762)=FALSE,"",IF((('Dvd Calendar'!$R$764=TYPE1)*(TYPE1&lt;&gt;"")+('Dvd Calendar'!$R$764=TYPE2)*(TYPE2&lt;&gt;"")+('Dvd Calendar'!$R$764=TYPE3)*(TYPE3&lt;&gt;"")+('Dvd Calendar'!$R$764=TYPE4)*(TYPE4&lt;&gt;"")+('Dvd Calendar'!$R$764=SPECIAL_LBL)*(INC_SPECIALS="Y"))=0,"",'Dvd Calendar'!$R$762)))</f>
        <v/>
      </c>
      <c r="Q80" s="161">
        <f>IF(ES80="","",IF(ISNUMBER('Dvd Calendar'!$S$762)=FALSE,"",IF((('Dvd Calendar'!$S$764=TYPE1)*(TYPE1&lt;&gt;"")+('Dvd Calendar'!$S$764=TYPE2)*(TYPE2&lt;&gt;"")+('Dvd Calendar'!$S$764=TYPE3)*(TYPE3&lt;&gt;"")+('Dvd Calendar'!$S$764=TYPE4)*(TYPE4&lt;&gt;"")+('Dvd Calendar'!$S$764=SPECIAL_LBL)*(INC_SPECIALS="Y"))=0,"",'Dvd Calendar'!$S$762)))</f>
        <v/>
      </c>
      <c r="R80" s="161">
        <f>IF(ET80="","",IF(ISNUMBER('Dvd Calendar'!$T$762)=FALSE,"",IF((('Dvd Calendar'!$T$764=TYPE1)*(TYPE1&lt;&gt;"")+('Dvd Calendar'!$T$764=TYPE2)*(TYPE2&lt;&gt;"")+('Dvd Calendar'!$T$764=TYPE3)*(TYPE3&lt;&gt;"")+('Dvd Calendar'!$T$764=TYPE4)*(TYPE4&lt;&gt;"")+('Dvd Calendar'!$T$764=SPECIAL_LBL)*(INC_SPECIALS="Y"))=0,"",'Dvd Calendar'!$T$762)))</f>
        <v/>
      </c>
      <c r="S80" s="161">
        <f>IF(EU80="","",IF(ISNUMBER('Dvd Calendar'!$U$762)=FALSE,"",IF((('Dvd Calendar'!$U$764=TYPE1)*(TYPE1&lt;&gt;"")+('Dvd Calendar'!$U$764=TYPE2)*(TYPE2&lt;&gt;"")+('Dvd Calendar'!$U$764=TYPE3)*(TYPE3&lt;&gt;"")+('Dvd Calendar'!$U$764=TYPE4)*(TYPE4&lt;&gt;"")+('Dvd Calendar'!$U$764=SPECIAL_LBL)*(INC_SPECIALS="Y"))=0,"",'Dvd Calendar'!$U$762)))</f>
        <v/>
      </c>
      <c r="T80" s="161">
        <f>IF(EV80="","",IF(ISNUMBER('Dvd Calendar'!$V$762)=FALSE,"",IF((('Dvd Calendar'!$V$764=TYPE1)*(TYPE1&lt;&gt;"")+('Dvd Calendar'!$V$764=TYPE2)*(TYPE2&lt;&gt;"")+('Dvd Calendar'!$V$764=TYPE3)*(TYPE3&lt;&gt;"")+('Dvd Calendar'!$V$764=TYPE4)*(TYPE4&lt;&gt;"")+('Dvd Calendar'!$V$764=SPECIAL_LBL)*(INC_SPECIALS="Y"))=0,"",'Dvd Calendar'!$V$762)))</f>
        <v/>
      </c>
      <c r="U80" s="161">
        <f>IF(EW80="","",IF(ISNUMBER('Dvd Calendar'!$W$762)=FALSE,"",IF((('Dvd Calendar'!$W$764=TYPE1)*(TYPE1&lt;&gt;"")+('Dvd Calendar'!$W$764=TYPE2)*(TYPE2&lt;&gt;"")+('Dvd Calendar'!$W$764=TYPE3)*(TYPE3&lt;&gt;"")+('Dvd Calendar'!$W$764=TYPE4)*(TYPE4&lt;&gt;"")+('Dvd Calendar'!$W$764=SPECIAL_LBL)*(INC_SPECIALS="Y"))=0,"",'Dvd Calendar'!$W$762)))</f>
        <v/>
      </c>
      <c r="V80" s="161">
        <f>IF(EX80="","",IF(ISNUMBER('Dvd Calendar'!$X$762)=FALSE,"",IF((('Dvd Calendar'!$X$764=TYPE1)*(TYPE1&lt;&gt;"")+('Dvd Calendar'!$X$764=TYPE2)*(TYPE2&lt;&gt;"")+('Dvd Calendar'!$X$764=TYPE3)*(TYPE3&lt;&gt;"")+('Dvd Calendar'!$X$764=TYPE4)*(TYPE4&lt;&gt;"")+('Dvd Calendar'!$X$764=SPECIAL_LBL)*(INC_SPECIALS="Y"))=0,"",'Dvd Calendar'!$X$762)))</f>
        <v/>
      </c>
      <c r="W80" s="161">
        <f>IF(EY80="","",IF(ISNUMBER('Dvd Calendar'!$Y$762)=FALSE,"",IF((('Dvd Calendar'!$Y$764=TYPE1)*(TYPE1&lt;&gt;"")+('Dvd Calendar'!$Y$764=TYPE2)*(TYPE2&lt;&gt;"")+('Dvd Calendar'!$Y$764=TYPE3)*(TYPE3&lt;&gt;"")+('Dvd Calendar'!$Y$764=TYPE4)*(TYPE4&lt;&gt;"")+('Dvd Calendar'!$Y$764=SPECIAL_LBL)*(INC_SPECIALS="Y"))=0,"",'Dvd Calendar'!$Y$762)))</f>
        <v/>
      </c>
      <c r="X80" s="161">
        <f>IF(EZ80="","",IF(ISNUMBER('Dvd Calendar'!$Z$762)=FALSE,"",IF((('Dvd Calendar'!$Z$764=TYPE1)*(TYPE1&lt;&gt;"")+('Dvd Calendar'!$Z$764=TYPE2)*(TYPE2&lt;&gt;"")+('Dvd Calendar'!$Z$764=TYPE3)*(TYPE3&lt;&gt;"")+('Dvd Calendar'!$Z$764=TYPE4)*(TYPE4&lt;&gt;"")+('Dvd Calendar'!$Z$764=SPECIAL_LBL)*(INC_SPECIALS="Y"))=0,"",'Dvd Calendar'!$Z$762)))</f>
        <v/>
      </c>
      <c r="Y80" s="161">
        <f>IF(FA80="","",IF(ISNUMBER('Dvd Calendar'!$AA$762)=FALSE,"",IF((('Dvd Calendar'!$AA$764=TYPE1)*(TYPE1&lt;&gt;"")+('Dvd Calendar'!$AA$764=TYPE2)*(TYPE2&lt;&gt;"")+('Dvd Calendar'!$AA$764=TYPE3)*(TYPE3&lt;&gt;"")+('Dvd Calendar'!$AA$764=TYPE4)*(TYPE4&lt;&gt;"")+('Dvd Calendar'!$AA$764=SPECIAL_LBL)*(INC_SPECIALS="Y"))=0,"",'Dvd Calendar'!$AA$762)))</f>
        <v/>
      </c>
      <c r="Z80" s="161">
        <f>IF(FB80="","",IF(ISNUMBER('Dvd Calendar'!$AB$762)=FALSE,"",IF((('Dvd Calendar'!$AB$764=TYPE1)*(TYPE1&lt;&gt;"")+('Dvd Calendar'!$AB$764=TYPE2)*(TYPE2&lt;&gt;"")+('Dvd Calendar'!$AB$764=TYPE3)*(TYPE3&lt;&gt;"")+('Dvd Calendar'!$AB$764=TYPE4)*(TYPE4&lt;&gt;"")+('Dvd Calendar'!$AB$764=SPECIAL_LBL)*(INC_SPECIALS="Y"))=0,"",'Dvd Calendar'!$AB$762)))</f>
        <v/>
      </c>
      <c r="AA80" s="161">
        <f>IF(FC80="","",IF(ISNUMBER('Dvd Calendar'!$AC$762)=FALSE,"",IF((('Dvd Calendar'!$AC$764=TYPE1)*(TYPE1&lt;&gt;"")+('Dvd Calendar'!$AC$764=TYPE2)*(TYPE2&lt;&gt;"")+('Dvd Calendar'!$AC$764=TYPE3)*(TYPE3&lt;&gt;"")+('Dvd Calendar'!$AC$764=TYPE4)*(TYPE4&lt;&gt;"")+('Dvd Calendar'!$AC$764=SPECIAL_LBL)*(INC_SPECIALS="Y"))=0,"",'Dvd Calendar'!$AC$762)))</f>
        <v/>
      </c>
      <c r="AB80" s="161">
        <f>IF(FD80="","",IF(ISNUMBER('Dvd Calendar'!$AD$762)=FALSE,"",IF((('Dvd Calendar'!$AD$764=TYPE1)*(TYPE1&lt;&gt;"")+('Dvd Calendar'!$AD$764=TYPE2)*(TYPE2&lt;&gt;"")+('Dvd Calendar'!$AD$764=TYPE3)*(TYPE3&lt;&gt;"")+('Dvd Calendar'!$AD$764=TYPE4)*(TYPE4&lt;&gt;"")+('Dvd Calendar'!$AD$764=SPECIAL_LBL)*(INC_SPECIALS="Y"))=0,"",'Dvd Calendar'!$AD$762)))</f>
        <v/>
      </c>
      <c r="AC80" s="161">
        <f>IF(FE80="","",IF(ISNUMBER('Dvd Calendar'!$AE$762)=FALSE,"",IF((('Dvd Calendar'!$AE$764=TYPE1)*(TYPE1&lt;&gt;"")+('Dvd Calendar'!$AE$764=TYPE2)*(TYPE2&lt;&gt;"")+('Dvd Calendar'!$AE$764=TYPE3)*(TYPE3&lt;&gt;"")+('Dvd Calendar'!$AE$764=TYPE4)*(TYPE4&lt;&gt;"")+('Dvd Calendar'!$AE$764=SPECIAL_LBL)*(INC_SPECIALS="Y"))=0,"",'Dvd Calendar'!$AE$762)))</f>
        <v/>
      </c>
      <c r="AD80" s="161">
        <f>IF(FF80="","",IF(ISNUMBER('Dvd Calendar'!$AF$762)=FALSE,"",IF((('Dvd Calendar'!$AF$764=TYPE1)*(TYPE1&lt;&gt;"")+('Dvd Calendar'!$AF$764=TYPE2)*(TYPE2&lt;&gt;"")+('Dvd Calendar'!$AF$764=TYPE3)*(TYPE3&lt;&gt;"")+('Dvd Calendar'!$AF$764=TYPE4)*(TYPE4&lt;&gt;"")+('Dvd Calendar'!$AF$764=SPECIAL_LBL)*(INC_SPECIALS="Y"))=0,"",'Dvd Calendar'!$AF$762)))</f>
        <v/>
      </c>
      <c r="AE80" s="161">
        <f>IF(FG80="","",IF(ISNUMBER('Dvd Calendar'!$AG$762)=FALSE,"",IF((('Dvd Calendar'!$AG$764=TYPE1)*(TYPE1&lt;&gt;"")+('Dvd Calendar'!$AG$764=TYPE2)*(TYPE2&lt;&gt;"")+('Dvd Calendar'!$AG$764=TYPE3)*(TYPE3&lt;&gt;"")+('Dvd Calendar'!$AG$764=TYPE4)*(TYPE4&lt;&gt;"")+('Dvd Calendar'!$AG$764=SPECIAL_LBL)*(INC_SPECIALS="Y"))=0,"",'Dvd Calendar'!$AG$762)))</f>
        <v/>
      </c>
      <c r="AF80" s="161">
        <f>IF(FH80="","",IF(ISNUMBER('Dvd Calendar'!$AH$762)=FALSE,"",IF((('Dvd Calendar'!$AH$764=TYPE1)*(TYPE1&lt;&gt;"")+('Dvd Calendar'!$AH$764=TYPE2)*(TYPE2&lt;&gt;"")+('Dvd Calendar'!$AH$764=TYPE3)*(TYPE3&lt;&gt;"")+('Dvd Calendar'!$AH$764=TYPE4)*(TYPE4&lt;&gt;"")+('Dvd Calendar'!$AH$764=SPECIAL_LBL)*(INC_SPECIALS="Y"))=0,"",'Dvd Calendar'!$AH$762)))</f>
        <v/>
      </c>
      <c r="AG80" s="161">
        <f>IF(FI80="","",IF(ISNUMBER('Dvd Calendar'!$AI$762)=FALSE,"",IF((('Dvd Calendar'!$AI$764=TYPE1)*(TYPE1&lt;&gt;"")+('Dvd Calendar'!$AI$764=TYPE2)*(TYPE2&lt;&gt;"")+('Dvd Calendar'!$AI$764=TYPE3)*(TYPE3&lt;&gt;"")+('Dvd Calendar'!$AI$764=TYPE4)*(TYPE4&lt;&gt;"")+('Dvd Calendar'!$AI$764=SPECIAL_LBL)*(INC_SPECIALS="Y"))=0,"",'Dvd Calendar'!$AI$762)))</f>
        <v/>
      </c>
      <c r="AH80" s="161">
        <f>IF(FJ80="","",IF(ISNUMBER('Dvd Calendar'!$AJ$762)=FALSE,"",IF((('Dvd Calendar'!$AJ$764=TYPE1)*(TYPE1&lt;&gt;"")+('Dvd Calendar'!$AJ$764=TYPE2)*(TYPE2&lt;&gt;"")+('Dvd Calendar'!$AJ$764=TYPE3)*(TYPE3&lt;&gt;"")+('Dvd Calendar'!$AJ$764=TYPE4)*(TYPE4&lt;&gt;"")+('Dvd Calendar'!$AJ$764=SPECIAL_LBL)*(INC_SPECIALS="Y"))=0,"",'Dvd Calendar'!$AJ$762)))</f>
        <v/>
      </c>
      <c r="AI80" s="161">
        <f>IF(FK80="","",IF(ISNUMBER('Dvd Calendar'!$AK$762)=FALSE,"",IF((('Dvd Calendar'!$AK$764=TYPE1)*(TYPE1&lt;&gt;"")+('Dvd Calendar'!$AK$764=TYPE2)*(TYPE2&lt;&gt;"")+('Dvd Calendar'!$AK$764=TYPE3)*(TYPE3&lt;&gt;"")+('Dvd Calendar'!$AK$764=TYPE4)*(TYPE4&lt;&gt;"")+('Dvd Calendar'!$AK$764=SPECIAL_LBL)*(INC_SPECIALS="Y"))=0,"",'Dvd Calendar'!$AK$762)))</f>
        <v/>
      </c>
      <c r="AJ80" s="161">
        <f>IF(FL80="","",IF(ISNUMBER('Dvd Calendar'!$AL$762)=FALSE,"",IF((('Dvd Calendar'!$AL$764=TYPE1)*(TYPE1&lt;&gt;"")+('Dvd Calendar'!$AL$764=TYPE2)*(TYPE2&lt;&gt;"")+('Dvd Calendar'!$AL$764=TYPE3)*(TYPE3&lt;&gt;"")+('Dvd Calendar'!$AL$764=TYPE4)*(TYPE4&lt;&gt;"")+('Dvd Calendar'!$AL$764=SPECIAL_LBL)*(INC_SPECIALS="Y"))=0,"",'Dvd Calendar'!$AL$762)))</f>
        <v/>
      </c>
      <c r="AK80" s="161">
        <f>IF(FM80="","",IF(ISNUMBER('Dvd Calendar'!$AM$762)=FALSE,"",IF((('Dvd Calendar'!$AM$764=TYPE1)*(TYPE1&lt;&gt;"")+('Dvd Calendar'!$AM$764=TYPE2)*(TYPE2&lt;&gt;"")+('Dvd Calendar'!$AM$764=TYPE3)*(TYPE3&lt;&gt;"")+('Dvd Calendar'!$AM$764=TYPE4)*(TYPE4&lt;&gt;"")+('Dvd Calendar'!$AM$764=SPECIAL_LBL)*(INC_SPECIALS="Y"))=0,"",'Dvd Calendar'!$AM$762)))</f>
        <v/>
      </c>
      <c r="AL80" s="161">
        <f>IF(FN80="","",IF(ISNUMBER('Dvd Calendar'!$AN$762)=FALSE,"",IF((('Dvd Calendar'!$AN$764=TYPE1)*(TYPE1&lt;&gt;"")+('Dvd Calendar'!$AN$764=TYPE2)*(TYPE2&lt;&gt;"")+('Dvd Calendar'!$AN$764=TYPE3)*(TYPE3&lt;&gt;"")+('Dvd Calendar'!$AN$764=TYPE4)*(TYPE4&lt;&gt;"")+('Dvd Calendar'!$AN$764=SPECIAL_LBL)*(INC_SPECIALS="Y"))=0,"",'Dvd Calendar'!$AN$762)))</f>
        <v/>
      </c>
      <c r="AM80" s="161">
        <f>IF(FO80="","",IF(ISNUMBER('Dvd Calendar'!$AO$762)=FALSE,"",IF((('Dvd Calendar'!$AO$764=TYPE1)*(TYPE1&lt;&gt;"")+('Dvd Calendar'!$AO$764=TYPE2)*(TYPE2&lt;&gt;"")+('Dvd Calendar'!$AO$764=TYPE3)*(TYPE3&lt;&gt;"")+('Dvd Calendar'!$AO$764=TYPE4)*(TYPE4&lt;&gt;"")+('Dvd Calendar'!$AO$764=SPECIAL_LBL)*(INC_SPECIALS="Y"))=0,"",'Dvd Calendar'!$AO$762)))</f>
        <v/>
      </c>
      <c r="AN80" s="161">
        <f>IF(FP80="","",IF(ISNUMBER('Dvd Calendar'!$AP$762)=FALSE,"",IF((('Dvd Calendar'!$AP$764=TYPE1)*(TYPE1&lt;&gt;"")+('Dvd Calendar'!$AP$764=TYPE2)*(TYPE2&lt;&gt;"")+('Dvd Calendar'!$AP$764=TYPE3)*(TYPE3&lt;&gt;"")+('Dvd Calendar'!$AP$764=TYPE4)*(TYPE4&lt;&gt;"")+('Dvd Calendar'!$AP$764=SPECIAL_LBL)*(INC_SPECIALS="Y"))=0,"",'Dvd Calendar'!$AP$762)))</f>
        <v/>
      </c>
      <c r="AO80" s="161">
        <f>IF(FQ80="","",IF(ISNUMBER('Dvd Calendar'!$AQ$762)=FALSE,"",IF((('Dvd Calendar'!$AQ$764=TYPE1)*(TYPE1&lt;&gt;"")+('Dvd Calendar'!$AQ$764=TYPE2)*(TYPE2&lt;&gt;"")+('Dvd Calendar'!$AQ$764=TYPE3)*(TYPE3&lt;&gt;"")+('Dvd Calendar'!$AQ$764=TYPE4)*(TYPE4&lt;&gt;"")+('Dvd Calendar'!$AQ$764=SPECIAL_LBL)*(INC_SPECIALS="Y"))=0,"",'Dvd Calendar'!$AQ$762)))</f>
        <v/>
      </c>
      <c r="AP80" s="161">
        <f>IF(FR80="","",IF(ISNUMBER('Dvd Calendar'!$AR$762)=FALSE,"",IF((('Dvd Calendar'!$AR$764=TYPE1)*(TYPE1&lt;&gt;"")+('Dvd Calendar'!$AR$764=TYPE2)*(TYPE2&lt;&gt;"")+('Dvd Calendar'!$AR$764=TYPE3)*(TYPE3&lt;&gt;"")+('Dvd Calendar'!$AR$764=TYPE4)*(TYPE4&lt;&gt;"")+('Dvd Calendar'!$AR$764=SPECIAL_LBL)*(INC_SPECIALS="Y"))=0,"",'Dvd Calendar'!$AR$762)))</f>
        <v/>
      </c>
      <c r="AQ80" s="161">
        <f>IF(FS80="","",IF(ISNUMBER('Dvd Calendar'!$E$767)=FALSE,"",'Dvd Calendar'!$E$767))</f>
        <v/>
      </c>
      <c r="AR80" s="161">
        <f>IF(FT80="","",IF(ISNUMBER('Dvd Calendar'!$F$767)=FALSE,"",'Dvd Calendar'!$F$767))</f>
        <v/>
      </c>
      <c r="AS80" s="161">
        <f>IF(FU80="","",IF(ISNUMBER('Dvd Calendar'!$G$767)=FALSE,"",'Dvd Calendar'!$G$767))</f>
        <v/>
      </c>
      <c r="AT80" s="161">
        <f>IF(FV80="","",IF(ISNUMBER('Dvd Calendar'!$H$767)=FALSE,"",'Dvd Calendar'!$H$767))</f>
        <v/>
      </c>
      <c r="AU80" s="161">
        <f>IF(FW80="","",IF(ISNUMBER('Dvd Calendar'!$I$767)=FALSE,"",'Dvd Calendar'!$I$767))</f>
        <v/>
      </c>
      <c r="AV80" s="161">
        <f>IF(FX80="","",IF(ISNUMBER('Dvd Calendar'!$J$767)=FALSE,"",'Dvd Calendar'!$J$767))</f>
        <v/>
      </c>
      <c r="AW80" s="161">
        <f>IF(FY80="","",IF(ISNUMBER('Dvd Calendar'!$K$767)=FALSE,"",'Dvd Calendar'!$K$767))</f>
        <v/>
      </c>
      <c r="AX80" s="161">
        <f>IF(FZ80="","",IF(ISNUMBER('Dvd Calendar'!$L$767)=FALSE,"",'Dvd Calendar'!$L$767))</f>
        <v/>
      </c>
      <c r="AY80" s="161">
        <f>IF(GA80="","",IF(ISNUMBER('Dvd Calendar'!$M$767)=FALSE,"",'Dvd Calendar'!$M$767))</f>
        <v/>
      </c>
      <c r="AZ80" s="161">
        <f>IF(GB80="","",IF(ISNUMBER('Dvd Calendar'!$N$767)=FALSE,"",'Dvd Calendar'!$N$767))</f>
        <v/>
      </c>
      <c r="BA80" s="161">
        <f>IF(GC80="","",IF(ISNUMBER('Dvd Calendar'!$O$767)=FALSE,"",'Dvd Calendar'!$O$767))</f>
        <v/>
      </c>
      <c r="BB80" s="161">
        <f>IF(GD80="","",IF(ISNUMBER('Dvd Calendar'!$P$767)=FALSE,"",'Dvd Calendar'!$P$767))</f>
        <v/>
      </c>
      <c r="BC80" s="161">
        <f>IF(GE80="","",IF(ISNUMBER('Dvd Calendar'!$Q$767)=FALSE,"",'Dvd Calendar'!$Q$767))</f>
        <v/>
      </c>
      <c r="BD80" s="161">
        <f>IF(GF80="","",IF(ISNUMBER('Dvd Calendar'!$R$767)=FALSE,"",'Dvd Calendar'!$R$767))</f>
        <v/>
      </c>
      <c r="BE80" s="161">
        <f>IF(GG80="","",IF(ISNUMBER('Dvd Calendar'!$S$767)=FALSE,"",'Dvd Calendar'!$S$767))</f>
        <v/>
      </c>
      <c r="BF80" s="161">
        <f>IF(GH80="","",IF(ISNUMBER('Dvd Calendar'!$T$767)=FALSE,"",'Dvd Calendar'!$T$767))</f>
        <v/>
      </c>
      <c r="BG80" s="161">
        <f>IF(GI80="","",IF(ISNUMBER('Dvd Calendar'!$U$767)=FALSE,"",'Dvd Calendar'!$U$767))</f>
        <v/>
      </c>
      <c r="BH80" s="161">
        <f>IF(GJ80="","",IF(ISNUMBER('Dvd Calendar'!$V$767)=FALSE,"",'Dvd Calendar'!$V$767))</f>
        <v/>
      </c>
      <c r="BI80" s="161">
        <f>IF(GK80="","",IF(ISNUMBER('Dvd Calendar'!$W$767)=FALSE,"",'Dvd Calendar'!$W$767))</f>
        <v/>
      </c>
      <c r="BJ80" s="161">
        <f>IF(GL80="","",IF(ISNUMBER('Dvd Calendar'!$X$767)=FALSE,"",'Dvd Calendar'!$X$767))</f>
        <v/>
      </c>
      <c r="BK80" s="161">
        <f>IF(GM80="","",IF(ISNUMBER('Dvd Calendar'!$Y$767)=FALSE,"",'Dvd Calendar'!$Y$767))</f>
        <v/>
      </c>
      <c r="BL80" s="161">
        <f>IF(GN80="","",IF(ISNUMBER('Dvd Calendar'!$Z$767)=FALSE,"",'Dvd Calendar'!$Z$767))</f>
        <v/>
      </c>
      <c r="BM80" s="161">
        <f>IF(GO80="","",IF(ISNUMBER('Dvd Calendar'!$AA$767)=FALSE,"",'Dvd Calendar'!$AA$767))</f>
        <v/>
      </c>
      <c r="BN80" s="161">
        <f>IF(GP80="","",IF(ISNUMBER('Dvd Calendar'!$AB$767)=FALSE,"",'Dvd Calendar'!$AB$767))</f>
        <v/>
      </c>
      <c r="BO80" s="161">
        <f>IF(GQ80="","",IF(ISNUMBER('Dvd Calendar'!$AC$767)=FALSE,"",'Dvd Calendar'!$AC$767))</f>
        <v/>
      </c>
      <c r="BQ80" s="161">
        <f>IF(C80="","",IFERROR(C80*HSI!$B$75*HSI!$G$75/HSI!$B$3,""))</f>
        <v/>
      </c>
      <c r="BR80" s="161">
        <f>IF(D80="","",IFERROR(D80*HSI!$B$75*HSI!$G$75/HSI!$B$3,""))</f>
        <v/>
      </c>
      <c r="BS80" s="161">
        <f>IF(E80="","",IFERROR(E80*HSI!$B$75*HSI!$G$75/HSI!$B$3,""))</f>
        <v/>
      </c>
      <c r="BT80" s="161">
        <f>IF(F80="","",IFERROR(F80*HSI!$B$75*HSI!$G$75/HSI!$B$3,""))</f>
        <v/>
      </c>
      <c r="BU80" s="161">
        <f>IF(G80="","",IFERROR(G80*HSI!$B$75*HSI!$G$75/HSI!$B$3,""))</f>
        <v/>
      </c>
      <c r="BV80" s="161">
        <f>IF(H80="","",IFERROR(H80*HSI!$B$75*HSI!$G$75/HSI!$B$3,""))</f>
        <v/>
      </c>
      <c r="BW80" s="161">
        <f>IF(I80="","",IFERROR(I80*HSI!$B$75*HSI!$G$75/HSI!$B$3,""))</f>
        <v/>
      </c>
      <c r="BX80" s="161">
        <f>IF(J80="","",IFERROR(J80*HSI!$B$75*HSI!$G$75/HSI!$B$3,""))</f>
        <v/>
      </c>
      <c r="BY80" s="161">
        <f>IF(K80="","",IFERROR(K80*HSI!$B$75*HSI!$G$75/HSI!$B$3,""))</f>
        <v/>
      </c>
      <c r="BZ80" s="161">
        <f>IF(L80="","",IFERROR(L80*HSI!$B$75*HSI!$G$75/HSI!$B$3,""))</f>
        <v/>
      </c>
      <c r="CA80" s="161">
        <f>IF(M80="","",IFERROR(M80*HSI!$B$75*HSI!$G$75/HSI!$B$3,""))</f>
        <v/>
      </c>
      <c r="CB80" s="161">
        <f>IF(N80="","",IFERROR(N80*HSI!$B$75*HSI!$G$75/HSI!$B$3,""))</f>
        <v/>
      </c>
      <c r="CC80" s="161">
        <f>IF(O80="","",IFERROR(O80*HSI!$B$75*HSI!$G$75/HSI!$B$3,""))</f>
        <v/>
      </c>
      <c r="CD80" s="161">
        <f>IF(P80="","",IFERROR(P80*HSI!$B$75*HSI!$G$75/HSI!$B$3,""))</f>
        <v/>
      </c>
      <c r="CE80" s="161">
        <f>IF(Q80="","",IFERROR(Q80*HSI!$B$75*HSI!$G$75/HSI!$B$3,""))</f>
        <v/>
      </c>
      <c r="CF80" s="161">
        <f>IF(R80="","",IFERROR(R80*HSI!$B$75*HSI!$G$75/HSI!$B$3,""))</f>
        <v/>
      </c>
      <c r="CG80" s="161">
        <f>IF(S80="","",IFERROR(S80*HSI!$B$75*HSI!$G$75/HSI!$B$3,""))</f>
        <v/>
      </c>
      <c r="CH80" s="161">
        <f>IF(T80="","",IFERROR(T80*HSI!$B$75*HSI!$G$75/HSI!$B$3,""))</f>
        <v/>
      </c>
      <c r="CI80" s="161">
        <f>IF(U80="","",IFERROR(U80*HSI!$B$75*HSI!$G$75/HSI!$B$3,""))</f>
        <v/>
      </c>
      <c r="CJ80" s="161">
        <f>IF(V80="","",IFERROR(V80*HSI!$B$75*HSI!$G$75/HSI!$B$3,""))</f>
        <v/>
      </c>
      <c r="CK80" s="161">
        <f>IF(W80="","",IFERROR(W80*HSI!$B$75*HSI!$G$75/HSI!$B$3,""))</f>
        <v/>
      </c>
      <c r="CL80" s="161">
        <f>IF(X80="","",IFERROR(X80*HSI!$B$75*HSI!$G$75/HSI!$B$3,""))</f>
        <v/>
      </c>
      <c r="CM80" s="161">
        <f>IF(Y80="","",IFERROR(Y80*HSI!$B$75*HSI!$G$75/HSI!$B$3,""))</f>
        <v/>
      </c>
      <c r="CN80" s="161">
        <f>IF(Z80="","",IFERROR(Z80*HSI!$B$75*HSI!$G$75/HSI!$B$3,""))</f>
        <v/>
      </c>
      <c r="CO80" s="161">
        <f>IF(AA80="","",IFERROR(AA80*HSI!$B$75*HSI!$G$75/HSI!$B$3,""))</f>
        <v/>
      </c>
      <c r="CP80" s="161">
        <f>IF(AB80="","",IFERROR(AB80*HSI!$B$75*HSI!$G$75/HSI!$B$3,""))</f>
        <v/>
      </c>
      <c r="CQ80" s="161">
        <f>IF(AC80="","",IFERROR(AC80*HSI!$B$75*HSI!$G$75/HSI!$B$3,""))</f>
        <v/>
      </c>
      <c r="CR80" s="161">
        <f>IF(AD80="","",IFERROR(AD80*HSI!$B$75*HSI!$G$75/HSI!$B$3,""))</f>
        <v/>
      </c>
      <c r="CS80" s="161">
        <f>IF(AE80="","",IFERROR(AE80*HSI!$B$75*HSI!$G$75/HSI!$B$3,""))</f>
        <v/>
      </c>
      <c r="CT80" s="161">
        <f>IF(AF80="","",IFERROR(AF80*HSI!$B$75*HSI!$G$75/HSI!$B$3,""))</f>
        <v/>
      </c>
      <c r="CU80" s="161">
        <f>IF(AG80="","",IFERROR(AG80*HSI!$B$75*HSI!$G$75/HSI!$B$3,""))</f>
        <v/>
      </c>
      <c r="CV80" s="161">
        <f>IF(AH80="","",IFERROR(AH80*HSI!$B$75*HSI!$G$75/HSI!$B$3,""))</f>
        <v/>
      </c>
      <c r="CW80" s="161">
        <f>IF(AI80="","",IFERROR(AI80*HSI!$B$75*HSI!$G$75/HSI!$B$3,""))</f>
        <v/>
      </c>
      <c r="CX80" s="161">
        <f>IF(AJ80="","",IFERROR(AJ80*HSI!$B$75*HSI!$G$75/HSI!$B$3,""))</f>
        <v/>
      </c>
      <c r="CY80" s="161">
        <f>IF(AK80="","",IFERROR(AK80*HSI!$B$75*HSI!$G$75/HSI!$B$3,""))</f>
        <v/>
      </c>
      <c r="CZ80" s="161">
        <f>IF(AL80="","",IFERROR(AL80*HSI!$B$75*HSI!$G$75/HSI!$B$3,""))</f>
        <v/>
      </c>
      <c r="DA80" s="161">
        <f>IF(AM80="","",IFERROR(AM80*HSI!$B$75*HSI!$G$75/HSI!$B$3,""))</f>
        <v/>
      </c>
      <c r="DB80" s="161">
        <f>IF(AN80="","",IFERROR(AN80*HSI!$B$75*HSI!$G$75/HSI!$B$3,""))</f>
        <v/>
      </c>
      <c r="DC80" s="161">
        <f>IF(AO80="","",IFERROR(AO80*HSI!$B$75*HSI!$G$75/HSI!$B$3,""))</f>
        <v/>
      </c>
      <c r="DD80" s="161">
        <f>IF(AP80="","",IFERROR(AP80*HSI!$B$75*HSI!$G$75/HSI!$B$3,""))</f>
        <v/>
      </c>
      <c r="DE80" s="161">
        <f>IF(AQ80="","",IFERROR(AQ80*HSI!$B$75*HSI!$G$75/HSI!$B$3,""))</f>
        <v/>
      </c>
      <c r="DF80" s="161">
        <f>IF(AR80="","",IFERROR(AR80*HSI!$B$75*HSI!$G$75/HSI!$B$3,""))</f>
        <v/>
      </c>
      <c r="DG80" s="161">
        <f>IF(AS80="","",IFERROR(AS80*HSI!$B$75*HSI!$G$75/HSI!$B$3,""))</f>
        <v/>
      </c>
      <c r="DH80" s="161">
        <f>IF(AT80="","",IFERROR(AT80*HSI!$B$75*HSI!$G$75/HSI!$B$3,""))</f>
        <v/>
      </c>
      <c r="DI80" s="161">
        <f>IF(AU80="","",IFERROR(AU80*HSI!$B$75*HSI!$G$75/HSI!$B$3,""))</f>
        <v/>
      </c>
      <c r="DJ80" s="161">
        <f>IF(AV80="","",IFERROR(AV80*HSI!$B$75*HSI!$G$75/HSI!$B$3,""))</f>
        <v/>
      </c>
      <c r="DK80" s="161">
        <f>IF(AW80="","",IFERROR(AW80*HSI!$B$75*HSI!$G$75/HSI!$B$3,""))</f>
        <v/>
      </c>
      <c r="DL80" s="161">
        <f>IF(AX80="","",IFERROR(AX80*HSI!$B$75*HSI!$G$75/HSI!$B$3,""))</f>
        <v/>
      </c>
      <c r="DM80" s="161">
        <f>IF(AY80="","",IFERROR(AY80*HSI!$B$75*HSI!$G$75/HSI!$B$3,""))</f>
        <v/>
      </c>
      <c r="DN80" s="161">
        <f>IF(AZ80="","",IFERROR(AZ80*HSI!$B$75*HSI!$G$75/HSI!$B$3,""))</f>
        <v/>
      </c>
      <c r="DO80" s="161">
        <f>IF(BA80="","",IFERROR(BA80*HSI!$B$75*HSI!$G$75/HSI!$B$3,""))</f>
        <v/>
      </c>
      <c r="DP80" s="161">
        <f>IF(BB80="","",IFERROR(BB80*HSI!$B$75*HSI!$G$75/HSI!$B$3,""))</f>
        <v/>
      </c>
      <c r="DQ80" s="161">
        <f>IF(BC80="","",IFERROR(BC80*HSI!$B$75*HSI!$G$75/HSI!$B$3,""))</f>
        <v/>
      </c>
      <c r="DR80" s="161">
        <f>IF(BD80="","",IFERROR(BD80*HSI!$B$75*HSI!$G$75/HSI!$B$3,""))</f>
        <v/>
      </c>
      <c r="DS80" s="161">
        <f>IF(BE80="","",IFERROR(BE80*HSI!$B$75*HSI!$G$75/HSI!$B$3,""))</f>
        <v/>
      </c>
      <c r="DT80" s="161">
        <f>IF(BF80="","",IFERROR(BF80*HSI!$B$75*HSI!$G$75/HSI!$B$3,""))</f>
        <v/>
      </c>
      <c r="DU80" s="161">
        <f>IF(BG80="","",IFERROR(BG80*HSI!$B$75*HSI!$G$75/HSI!$B$3,""))</f>
        <v/>
      </c>
      <c r="DV80" s="161">
        <f>IF(BH80="","",IFERROR(BH80*HSI!$B$75*HSI!$G$75/HSI!$B$3,""))</f>
        <v/>
      </c>
      <c r="DW80" s="161">
        <f>IF(BI80="","",IFERROR(BI80*HSI!$B$75*HSI!$G$75/HSI!$B$3,""))</f>
        <v/>
      </c>
      <c r="DX80" s="161">
        <f>IF(BJ80="","",IFERROR(BJ80*HSI!$B$75*HSI!$G$75/HSI!$B$3,""))</f>
        <v/>
      </c>
      <c r="DY80" s="161">
        <f>IF(BK80="","",IFERROR(BK80*HSI!$B$75*HSI!$G$75/HSI!$B$3,""))</f>
        <v/>
      </c>
      <c r="DZ80" s="161">
        <f>IF(BL80="","",IFERROR(BL80*HSI!$B$75*HSI!$G$75/HSI!$B$3,""))</f>
        <v/>
      </c>
      <c r="EA80" s="161">
        <f>IF(BM80="","",IFERROR(BM80*HSI!$B$75*HSI!$G$75/HSI!$B$3,""))</f>
        <v/>
      </c>
      <c r="EB80" s="161">
        <f>IF(BN80="","",IFERROR(BN80*HSI!$B$75*HSI!$G$75/HSI!$B$3,""))</f>
        <v/>
      </c>
      <c r="EC80" s="161">
        <f>IF(BO80="","",IFERROR(BO80*HSI!$B$75*HSI!$G$75/HSI!$B$3,""))</f>
        <v/>
      </c>
      <c r="EE80" s="121">
        <f>IF(N('Dvd Calendar'!$E$759)=0,"",IF(('Dvd Calendar'!$E$759&gt;=GRID_FROM)*('Dvd Calendar'!$E$759&lt;=GRID_TO)*((('Dvd Calendar'!$E$759&lt;=VAL_DATE)+(COUNTIF('Dvd Calendar'!$E$766:$AR$766,'Dvd Calendar'!$E$759)=0))&gt;0)=0,"",'Dvd Calendar'!$E$759*1000000000+ISNUMBER('Dvd Calendar'!$E$762)*100000000+('Dvd Calendar'!$E$764=SPECIAL_LBL)*10000000+(N('Dvd Calendar'!$E$758)&gt;0)*(N('Dvd Calendar'!$E$758)&lt;=VAL_SERIAL)*1000000+69*1000+1))</f>
        <v/>
      </c>
      <c r="EF80" s="121">
        <f>IF(N('Dvd Calendar'!$F$759)=0,"",IF(('Dvd Calendar'!$F$759&gt;=GRID_FROM)*('Dvd Calendar'!$F$759&lt;=GRID_TO)*((('Dvd Calendar'!$F$759&lt;=VAL_DATE)+(COUNTIF('Dvd Calendar'!$E$766:$AR$766,'Dvd Calendar'!$F$759)=0))&gt;0)=0,"",'Dvd Calendar'!$F$759*1000000000+ISNUMBER('Dvd Calendar'!$F$762)*100000000+('Dvd Calendar'!$F$764=SPECIAL_LBL)*10000000+(N('Dvd Calendar'!$F$758)&gt;0)*(N('Dvd Calendar'!$F$758)&lt;=VAL_SERIAL)*1000000+69*1000+2))</f>
        <v/>
      </c>
      <c r="EG80" s="121">
        <f>IF(N('Dvd Calendar'!$G$759)=0,"",IF(('Dvd Calendar'!$G$759&gt;=GRID_FROM)*('Dvd Calendar'!$G$759&lt;=GRID_TO)*((('Dvd Calendar'!$G$759&lt;=VAL_DATE)+(COUNTIF('Dvd Calendar'!$E$766:$AR$766,'Dvd Calendar'!$G$759)=0))&gt;0)=0,"",'Dvd Calendar'!$G$759*1000000000+ISNUMBER('Dvd Calendar'!$G$762)*100000000+('Dvd Calendar'!$G$764=SPECIAL_LBL)*10000000+(N('Dvd Calendar'!$G$758)&gt;0)*(N('Dvd Calendar'!$G$758)&lt;=VAL_SERIAL)*1000000+69*1000+3))</f>
        <v/>
      </c>
      <c r="EH80" s="121">
        <f>IF(N('Dvd Calendar'!$H$759)=0,"",IF(('Dvd Calendar'!$H$759&gt;=GRID_FROM)*('Dvd Calendar'!$H$759&lt;=GRID_TO)*((('Dvd Calendar'!$H$759&lt;=VAL_DATE)+(COUNTIF('Dvd Calendar'!$E$766:$AR$766,'Dvd Calendar'!$H$759)=0))&gt;0)=0,"",'Dvd Calendar'!$H$759*1000000000+ISNUMBER('Dvd Calendar'!$H$762)*100000000+('Dvd Calendar'!$H$764=SPECIAL_LBL)*10000000+(N('Dvd Calendar'!$H$758)&gt;0)*(N('Dvd Calendar'!$H$758)&lt;=VAL_SERIAL)*1000000+69*1000+4))</f>
        <v/>
      </c>
      <c r="EI80" s="121">
        <f>IF(N('Dvd Calendar'!$I$759)=0,"",IF(('Dvd Calendar'!$I$759&gt;=GRID_FROM)*('Dvd Calendar'!$I$759&lt;=GRID_TO)*((('Dvd Calendar'!$I$759&lt;=VAL_DATE)+(COUNTIF('Dvd Calendar'!$E$766:$AR$766,'Dvd Calendar'!$I$759)=0))&gt;0)=0,"",'Dvd Calendar'!$I$759*1000000000+ISNUMBER('Dvd Calendar'!$I$762)*100000000+('Dvd Calendar'!$I$764=SPECIAL_LBL)*10000000+(N('Dvd Calendar'!$I$758)&gt;0)*(N('Dvd Calendar'!$I$758)&lt;=VAL_SERIAL)*1000000+69*1000+5))</f>
        <v/>
      </c>
      <c r="EJ80" s="121">
        <f>IF(N('Dvd Calendar'!$J$759)=0,"",IF(('Dvd Calendar'!$J$759&gt;=GRID_FROM)*('Dvd Calendar'!$J$759&lt;=GRID_TO)*((('Dvd Calendar'!$J$759&lt;=VAL_DATE)+(COUNTIF('Dvd Calendar'!$E$766:$AR$766,'Dvd Calendar'!$J$759)=0))&gt;0)=0,"",'Dvd Calendar'!$J$759*1000000000+ISNUMBER('Dvd Calendar'!$J$762)*100000000+('Dvd Calendar'!$J$764=SPECIAL_LBL)*10000000+(N('Dvd Calendar'!$J$758)&gt;0)*(N('Dvd Calendar'!$J$758)&lt;=VAL_SERIAL)*1000000+69*1000+6))</f>
        <v/>
      </c>
      <c r="EK80" s="121">
        <f>IF(N('Dvd Calendar'!$K$759)=0,"",IF(('Dvd Calendar'!$K$759&gt;=GRID_FROM)*('Dvd Calendar'!$K$759&lt;=GRID_TO)*((('Dvd Calendar'!$K$759&lt;=VAL_DATE)+(COUNTIF('Dvd Calendar'!$E$766:$AR$766,'Dvd Calendar'!$K$759)=0))&gt;0)=0,"",'Dvd Calendar'!$K$759*1000000000+ISNUMBER('Dvd Calendar'!$K$762)*100000000+('Dvd Calendar'!$K$764=SPECIAL_LBL)*10000000+(N('Dvd Calendar'!$K$758)&gt;0)*(N('Dvd Calendar'!$K$758)&lt;=VAL_SERIAL)*1000000+69*1000+7))</f>
        <v/>
      </c>
      <c r="EL80" s="121">
        <f>IF(N('Dvd Calendar'!$L$759)=0,"",IF(('Dvd Calendar'!$L$759&gt;=GRID_FROM)*('Dvd Calendar'!$L$759&lt;=GRID_TO)*((('Dvd Calendar'!$L$759&lt;=VAL_DATE)+(COUNTIF('Dvd Calendar'!$E$766:$AR$766,'Dvd Calendar'!$L$759)=0))&gt;0)=0,"",'Dvd Calendar'!$L$759*1000000000+ISNUMBER('Dvd Calendar'!$L$762)*100000000+('Dvd Calendar'!$L$764=SPECIAL_LBL)*10000000+(N('Dvd Calendar'!$L$758)&gt;0)*(N('Dvd Calendar'!$L$758)&lt;=VAL_SERIAL)*1000000+69*1000+8))</f>
        <v/>
      </c>
      <c r="EM80" s="121">
        <f>IF(N('Dvd Calendar'!$M$759)=0,"",IF(('Dvd Calendar'!$M$759&gt;=GRID_FROM)*('Dvd Calendar'!$M$759&lt;=GRID_TO)*((('Dvd Calendar'!$M$759&lt;=VAL_DATE)+(COUNTIF('Dvd Calendar'!$E$766:$AR$766,'Dvd Calendar'!$M$759)=0))&gt;0)=0,"",'Dvd Calendar'!$M$759*1000000000+ISNUMBER('Dvd Calendar'!$M$762)*100000000+('Dvd Calendar'!$M$764=SPECIAL_LBL)*10000000+(N('Dvd Calendar'!$M$758)&gt;0)*(N('Dvd Calendar'!$M$758)&lt;=VAL_SERIAL)*1000000+69*1000+9))</f>
        <v/>
      </c>
      <c r="EN80" s="121">
        <f>IF(N('Dvd Calendar'!$N$759)=0,"",IF(('Dvd Calendar'!$N$759&gt;=GRID_FROM)*('Dvd Calendar'!$N$759&lt;=GRID_TO)*((('Dvd Calendar'!$N$759&lt;=VAL_DATE)+(COUNTIF('Dvd Calendar'!$E$766:$AR$766,'Dvd Calendar'!$N$759)=0))&gt;0)=0,"",'Dvd Calendar'!$N$759*1000000000+ISNUMBER('Dvd Calendar'!$N$762)*100000000+('Dvd Calendar'!$N$764=SPECIAL_LBL)*10000000+(N('Dvd Calendar'!$N$758)&gt;0)*(N('Dvd Calendar'!$N$758)&lt;=VAL_SERIAL)*1000000+69*1000+10))</f>
        <v/>
      </c>
      <c r="EO80" s="121">
        <f>IF(N('Dvd Calendar'!$O$759)=0,"",IF(('Dvd Calendar'!$O$759&gt;=GRID_FROM)*('Dvd Calendar'!$O$759&lt;=GRID_TO)*((('Dvd Calendar'!$O$759&lt;=VAL_DATE)+(COUNTIF('Dvd Calendar'!$E$766:$AR$766,'Dvd Calendar'!$O$759)=0))&gt;0)=0,"",'Dvd Calendar'!$O$759*1000000000+ISNUMBER('Dvd Calendar'!$O$762)*100000000+('Dvd Calendar'!$O$764=SPECIAL_LBL)*10000000+(N('Dvd Calendar'!$O$758)&gt;0)*(N('Dvd Calendar'!$O$758)&lt;=VAL_SERIAL)*1000000+69*1000+11))</f>
        <v/>
      </c>
      <c r="EP80" s="121">
        <f>IF(N('Dvd Calendar'!$P$759)=0,"",IF(('Dvd Calendar'!$P$759&gt;=GRID_FROM)*('Dvd Calendar'!$P$759&lt;=GRID_TO)*((('Dvd Calendar'!$P$759&lt;=VAL_DATE)+(COUNTIF('Dvd Calendar'!$E$766:$AR$766,'Dvd Calendar'!$P$759)=0))&gt;0)=0,"",'Dvd Calendar'!$P$759*1000000000+ISNUMBER('Dvd Calendar'!$P$762)*100000000+('Dvd Calendar'!$P$764=SPECIAL_LBL)*10000000+(N('Dvd Calendar'!$P$758)&gt;0)*(N('Dvd Calendar'!$P$758)&lt;=VAL_SERIAL)*1000000+69*1000+12))</f>
        <v/>
      </c>
      <c r="EQ80" s="121">
        <f>IF(N('Dvd Calendar'!$Q$759)=0,"",IF(('Dvd Calendar'!$Q$759&gt;=GRID_FROM)*('Dvd Calendar'!$Q$759&lt;=GRID_TO)*((('Dvd Calendar'!$Q$759&lt;=VAL_DATE)+(COUNTIF('Dvd Calendar'!$E$766:$AR$766,'Dvd Calendar'!$Q$759)=0))&gt;0)=0,"",'Dvd Calendar'!$Q$759*1000000000+ISNUMBER('Dvd Calendar'!$Q$762)*100000000+('Dvd Calendar'!$Q$764=SPECIAL_LBL)*10000000+(N('Dvd Calendar'!$Q$758)&gt;0)*(N('Dvd Calendar'!$Q$758)&lt;=VAL_SERIAL)*1000000+69*1000+13))</f>
        <v/>
      </c>
      <c r="ER80" s="121">
        <f>IF(N('Dvd Calendar'!$R$759)=0,"",IF(('Dvd Calendar'!$R$759&gt;=GRID_FROM)*('Dvd Calendar'!$R$759&lt;=GRID_TO)*((('Dvd Calendar'!$R$759&lt;=VAL_DATE)+(COUNTIF('Dvd Calendar'!$E$766:$AR$766,'Dvd Calendar'!$R$759)=0))&gt;0)=0,"",'Dvd Calendar'!$R$759*1000000000+ISNUMBER('Dvd Calendar'!$R$762)*100000000+('Dvd Calendar'!$R$764=SPECIAL_LBL)*10000000+(N('Dvd Calendar'!$R$758)&gt;0)*(N('Dvd Calendar'!$R$758)&lt;=VAL_SERIAL)*1000000+69*1000+14))</f>
        <v/>
      </c>
      <c r="ES80" s="121">
        <f>IF(N('Dvd Calendar'!$S$759)=0,"",IF(('Dvd Calendar'!$S$759&gt;=GRID_FROM)*('Dvd Calendar'!$S$759&lt;=GRID_TO)*((('Dvd Calendar'!$S$759&lt;=VAL_DATE)+(COUNTIF('Dvd Calendar'!$E$766:$AR$766,'Dvd Calendar'!$S$759)=0))&gt;0)=0,"",'Dvd Calendar'!$S$759*1000000000+ISNUMBER('Dvd Calendar'!$S$762)*100000000+('Dvd Calendar'!$S$764=SPECIAL_LBL)*10000000+(N('Dvd Calendar'!$S$758)&gt;0)*(N('Dvd Calendar'!$S$758)&lt;=VAL_SERIAL)*1000000+69*1000+15))</f>
        <v/>
      </c>
      <c r="ET80" s="121">
        <f>IF(N('Dvd Calendar'!$T$759)=0,"",IF(('Dvd Calendar'!$T$759&gt;=GRID_FROM)*('Dvd Calendar'!$T$759&lt;=GRID_TO)*((('Dvd Calendar'!$T$759&lt;=VAL_DATE)+(COUNTIF('Dvd Calendar'!$E$766:$AR$766,'Dvd Calendar'!$T$759)=0))&gt;0)=0,"",'Dvd Calendar'!$T$759*1000000000+ISNUMBER('Dvd Calendar'!$T$762)*100000000+('Dvd Calendar'!$T$764=SPECIAL_LBL)*10000000+(N('Dvd Calendar'!$T$758)&gt;0)*(N('Dvd Calendar'!$T$758)&lt;=VAL_SERIAL)*1000000+69*1000+16))</f>
        <v/>
      </c>
      <c r="EU80" s="121">
        <f>IF(N('Dvd Calendar'!$U$759)=0,"",IF(('Dvd Calendar'!$U$759&gt;=GRID_FROM)*('Dvd Calendar'!$U$759&lt;=GRID_TO)*((('Dvd Calendar'!$U$759&lt;=VAL_DATE)+(COUNTIF('Dvd Calendar'!$E$766:$AR$766,'Dvd Calendar'!$U$759)=0))&gt;0)=0,"",'Dvd Calendar'!$U$759*1000000000+ISNUMBER('Dvd Calendar'!$U$762)*100000000+('Dvd Calendar'!$U$764=SPECIAL_LBL)*10000000+(N('Dvd Calendar'!$U$758)&gt;0)*(N('Dvd Calendar'!$U$758)&lt;=VAL_SERIAL)*1000000+69*1000+17))</f>
        <v/>
      </c>
      <c r="EV80" s="121">
        <f>IF(N('Dvd Calendar'!$V$759)=0,"",IF(('Dvd Calendar'!$V$759&gt;=GRID_FROM)*('Dvd Calendar'!$V$759&lt;=GRID_TO)*((('Dvd Calendar'!$V$759&lt;=VAL_DATE)+(COUNTIF('Dvd Calendar'!$E$766:$AR$766,'Dvd Calendar'!$V$759)=0))&gt;0)=0,"",'Dvd Calendar'!$V$759*1000000000+ISNUMBER('Dvd Calendar'!$V$762)*100000000+('Dvd Calendar'!$V$764=SPECIAL_LBL)*10000000+(N('Dvd Calendar'!$V$758)&gt;0)*(N('Dvd Calendar'!$V$758)&lt;=VAL_SERIAL)*1000000+69*1000+18))</f>
        <v/>
      </c>
      <c r="EW80" s="121">
        <f>IF(N('Dvd Calendar'!$W$759)=0,"",IF(('Dvd Calendar'!$W$759&gt;=GRID_FROM)*('Dvd Calendar'!$W$759&lt;=GRID_TO)*((('Dvd Calendar'!$W$759&lt;=VAL_DATE)+(COUNTIF('Dvd Calendar'!$E$766:$AR$766,'Dvd Calendar'!$W$759)=0))&gt;0)=0,"",'Dvd Calendar'!$W$759*1000000000+ISNUMBER('Dvd Calendar'!$W$762)*100000000+('Dvd Calendar'!$W$764=SPECIAL_LBL)*10000000+(N('Dvd Calendar'!$W$758)&gt;0)*(N('Dvd Calendar'!$W$758)&lt;=VAL_SERIAL)*1000000+69*1000+19))</f>
        <v/>
      </c>
      <c r="EX80" s="121">
        <f>IF(N('Dvd Calendar'!$X$759)=0,"",IF(('Dvd Calendar'!$X$759&gt;=GRID_FROM)*('Dvd Calendar'!$X$759&lt;=GRID_TO)*((('Dvd Calendar'!$X$759&lt;=VAL_DATE)+(COUNTIF('Dvd Calendar'!$E$766:$AR$766,'Dvd Calendar'!$X$759)=0))&gt;0)=0,"",'Dvd Calendar'!$X$759*1000000000+ISNUMBER('Dvd Calendar'!$X$762)*100000000+('Dvd Calendar'!$X$764=SPECIAL_LBL)*10000000+(N('Dvd Calendar'!$X$758)&gt;0)*(N('Dvd Calendar'!$X$758)&lt;=VAL_SERIAL)*1000000+69*1000+20))</f>
        <v/>
      </c>
      <c r="EY80" s="121">
        <f>IF(N('Dvd Calendar'!$Y$759)=0,"",IF(('Dvd Calendar'!$Y$759&gt;=GRID_FROM)*('Dvd Calendar'!$Y$759&lt;=GRID_TO)*((('Dvd Calendar'!$Y$759&lt;=VAL_DATE)+(COUNTIF('Dvd Calendar'!$E$766:$AR$766,'Dvd Calendar'!$Y$759)=0))&gt;0)=0,"",'Dvd Calendar'!$Y$759*1000000000+ISNUMBER('Dvd Calendar'!$Y$762)*100000000+('Dvd Calendar'!$Y$764=SPECIAL_LBL)*10000000+(N('Dvd Calendar'!$Y$758)&gt;0)*(N('Dvd Calendar'!$Y$758)&lt;=VAL_SERIAL)*1000000+69*1000+21))</f>
        <v/>
      </c>
      <c r="EZ80" s="121">
        <f>IF(N('Dvd Calendar'!$Z$759)=0,"",IF(('Dvd Calendar'!$Z$759&gt;=GRID_FROM)*('Dvd Calendar'!$Z$759&lt;=GRID_TO)*((('Dvd Calendar'!$Z$759&lt;=VAL_DATE)+(COUNTIF('Dvd Calendar'!$E$766:$AR$766,'Dvd Calendar'!$Z$759)=0))&gt;0)=0,"",'Dvd Calendar'!$Z$759*1000000000+ISNUMBER('Dvd Calendar'!$Z$762)*100000000+('Dvd Calendar'!$Z$764=SPECIAL_LBL)*10000000+(N('Dvd Calendar'!$Z$758)&gt;0)*(N('Dvd Calendar'!$Z$758)&lt;=VAL_SERIAL)*1000000+69*1000+22))</f>
        <v/>
      </c>
      <c r="FA80" s="121">
        <f>IF(N('Dvd Calendar'!$AA$759)=0,"",IF(('Dvd Calendar'!$AA$759&gt;=GRID_FROM)*('Dvd Calendar'!$AA$759&lt;=GRID_TO)*((('Dvd Calendar'!$AA$759&lt;=VAL_DATE)+(COUNTIF('Dvd Calendar'!$E$766:$AR$766,'Dvd Calendar'!$AA$759)=0))&gt;0)=0,"",'Dvd Calendar'!$AA$759*1000000000+ISNUMBER('Dvd Calendar'!$AA$762)*100000000+('Dvd Calendar'!$AA$764=SPECIAL_LBL)*10000000+(N('Dvd Calendar'!$AA$758)&gt;0)*(N('Dvd Calendar'!$AA$758)&lt;=VAL_SERIAL)*1000000+69*1000+23))</f>
        <v/>
      </c>
      <c r="FB80" s="121">
        <f>IF(N('Dvd Calendar'!$AB$759)=0,"",IF(('Dvd Calendar'!$AB$759&gt;=GRID_FROM)*('Dvd Calendar'!$AB$759&lt;=GRID_TO)*((('Dvd Calendar'!$AB$759&lt;=VAL_DATE)+(COUNTIF('Dvd Calendar'!$E$766:$AR$766,'Dvd Calendar'!$AB$759)=0))&gt;0)=0,"",'Dvd Calendar'!$AB$759*1000000000+ISNUMBER('Dvd Calendar'!$AB$762)*100000000+('Dvd Calendar'!$AB$764=SPECIAL_LBL)*10000000+(N('Dvd Calendar'!$AB$758)&gt;0)*(N('Dvd Calendar'!$AB$758)&lt;=VAL_SERIAL)*1000000+69*1000+24))</f>
        <v/>
      </c>
      <c r="FC80" s="121">
        <f>IF(N('Dvd Calendar'!$AC$759)=0,"",IF(('Dvd Calendar'!$AC$759&gt;=GRID_FROM)*('Dvd Calendar'!$AC$759&lt;=GRID_TO)*((('Dvd Calendar'!$AC$759&lt;=VAL_DATE)+(COUNTIF('Dvd Calendar'!$E$766:$AR$766,'Dvd Calendar'!$AC$759)=0))&gt;0)=0,"",'Dvd Calendar'!$AC$759*1000000000+ISNUMBER('Dvd Calendar'!$AC$762)*100000000+('Dvd Calendar'!$AC$764=SPECIAL_LBL)*10000000+(N('Dvd Calendar'!$AC$758)&gt;0)*(N('Dvd Calendar'!$AC$758)&lt;=VAL_SERIAL)*1000000+69*1000+25))</f>
        <v/>
      </c>
      <c r="FD80" s="121">
        <f>IF(N('Dvd Calendar'!$AD$759)=0,"",IF(('Dvd Calendar'!$AD$759&gt;=GRID_FROM)*('Dvd Calendar'!$AD$759&lt;=GRID_TO)*((('Dvd Calendar'!$AD$759&lt;=VAL_DATE)+(COUNTIF('Dvd Calendar'!$E$766:$AR$766,'Dvd Calendar'!$AD$759)=0))&gt;0)=0,"",'Dvd Calendar'!$AD$759*1000000000+ISNUMBER('Dvd Calendar'!$AD$762)*100000000+('Dvd Calendar'!$AD$764=SPECIAL_LBL)*10000000+(N('Dvd Calendar'!$AD$758)&gt;0)*(N('Dvd Calendar'!$AD$758)&lt;=VAL_SERIAL)*1000000+69*1000+26))</f>
        <v/>
      </c>
      <c r="FE80" s="121">
        <f>IF(N('Dvd Calendar'!$AE$759)=0,"",IF(('Dvd Calendar'!$AE$759&gt;=GRID_FROM)*('Dvd Calendar'!$AE$759&lt;=GRID_TO)*((('Dvd Calendar'!$AE$759&lt;=VAL_DATE)+(COUNTIF('Dvd Calendar'!$E$766:$AR$766,'Dvd Calendar'!$AE$759)=0))&gt;0)=0,"",'Dvd Calendar'!$AE$759*1000000000+ISNUMBER('Dvd Calendar'!$AE$762)*100000000+('Dvd Calendar'!$AE$764=SPECIAL_LBL)*10000000+(N('Dvd Calendar'!$AE$758)&gt;0)*(N('Dvd Calendar'!$AE$758)&lt;=VAL_SERIAL)*1000000+69*1000+27))</f>
        <v/>
      </c>
      <c r="FF80" s="121">
        <f>IF(N('Dvd Calendar'!$AF$759)=0,"",IF(('Dvd Calendar'!$AF$759&gt;=GRID_FROM)*('Dvd Calendar'!$AF$759&lt;=GRID_TO)*((('Dvd Calendar'!$AF$759&lt;=VAL_DATE)+(COUNTIF('Dvd Calendar'!$E$766:$AR$766,'Dvd Calendar'!$AF$759)=0))&gt;0)=0,"",'Dvd Calendar'!$AF$759*1000000000+ISNUMBER('Dvd Calendar'!$AF$762)*100000000+('Dvd Calendar'!$AF$764=SPECIAL_LBL)*10000000+(N('Dvd Calendar'!$AF$758)&gt;0)*(N('Dvd Calendar'!$AF$758)&lt;=VAL_SERIAL)*1000000+69*1000+28))</f>
        <v/>
      </c>
      <c r="FG80" s="121">
        <f>IF(N('Dvd Calendar'!$AG$759)=0,"",IF(('Dvd Calendar'!$AG$759&gt;=GRID_FROM)*('Dvd Calendar'!$AG$759&lt;=GRID_TO)*((('Dvd Calendar'!$AG$759&lt;=VAL_DATE)+(COUNTIF('Dvd Calendar'!$E$766:$AR$766,'Dvd Calendar'!$AG$759)=0))&gt;0)=0,"",'Dvd Calendar'!$AG$759*1000000000+ISNUMBER('Dvd Calendar'!$AG$762)*100000000+('Dvd Calendar'!$AG$764=SPECIAL_LBL)*10000000+(N('Dvd Calendar'!$AG$758)&gt;0)*(N('Dvd Calendar'!$AG$758)&lt;=VAL_SERIAL)*1000000+69*1000+29))</f>
        <v/>
      </c>
      <c r="FH80" s="121">
        <f>IF(N('Dvd Calendar'!$AH$759)=0,"",IF(('Dvd Calendar'!$AH$759&gt;=GRID_FROM)*('Dvd Calendar'!$AH$759&lt;=GRID_TO)*((('Dvd Calendar'!$AH$759&lt;=VAL_DATE)+(COUNTIF('Dvd Calendar'!$E$766:$AR$766,'Dvd Calendar'!$AH$759)=0))&gt;0)=0,"",'Dvd Calendar'!$AH$759*1000000000+ISNUMBER('Dvd Calendar'!$AH$762)*100000000+('Dvd Calendar'!$AH$764=SPECIAL_LBL)*10000000+(N('Dvd Calendar'!$AH$758)&gt;0)*(N('Dvd Calendar'!$AH$758)&lt;=VAL_SERIAL)*1000000+69*1000+30))</f>
        <v/>
      </c>
      <c r="FI80" s="121">
        <f>IF(N('Dvd Calendar'!$AI$759)=0,"",IF(('Dvd Calendar'!$AI$759&gt;=GRID_FROM)*('Dvd Calendar'!$AI$759&lt;=GRID_TO)*((('Dvd Calendar'!$AI$759&lt;=VAL_DATE)+(COUNTIF('Dvd Calendar'!$E$766:$AR$766,'Dvd Calendar'!$AI$759)=0))&gt;0)=0,"",'Dvd Calendar'!$AI$759*1000000000+ISNUMBER('Dvd Calendar'!$AI$762)*100000000+('Dvd Calendar'!$AI$764=SPECIAL_LBL)*10000000+(N('Dvd Calendar'!$AI$758)&gt;0)*(N('Dvd Calendar'!$AI$758)&lt;=VAL_SERIAL)*1000000+69*1000+31))</f>
        <v/>
      </c>
      <c r="FJ80" s="121">
        <f>IF(N('Dvd Calendar'!$AJ$759)=0,"",IF(('Dvd Calendar'!$AJ$759&gt;=GRID_FROM)*('Dvd Calendar'!$AJ$759&lt;=GRID_TO)*((('Dvd Calendar'!$AJ$759&lt;=VAL_DATE)+(COUNTIF('Dvd Calendar'!$E$766:$AR$766,'Dvd Calendar'!$AJ$759)=0))&gt;0)=0,"",'Dvd Calendar'!$AJ$759*1000000000+ISNUMBER('Dvd Calendar'!$AJ$762)*100000000+('Dvd Calendar'!$AJ$764=SPECIAL_LBL)*10000000+(N('Dvd Calendar'!$AJ$758)&gt;0)*(N('Dvd Calendar'!$AJ$758)&lt;=VAL_SERIAL)*1000000+69*1000+32))</f>
        <v/>
      </c>
      <c r="FK80" s="121">
        <f>IF(N('Dvd Calendar'!$AK$759)=0,"",IF(('Dvd Calendar'!$AK$759&gt;=GRID_FROM)*('Dvd Calendar'!$AK$759&lt;=GRID_TO)*((('Dvd Calendar'!$AK$759&lt;=VAL_DATE)+(COUNTIF('Dvd Calendar'!$E$766:$AR$766,'Dvd Calendar'!$AK$759)=0))&gt;0)=0,"",'Dvd Calendar'!$AK$759*1000000000+ISNUMBER('Dvd Calendar'!$AK$762)*100000000+('Dvd Calendar'!$AK$764=SPECIAL_LBL)*10000000+(N('Dvd Calendar'!$AK$758)&gt;0)*(N('Dvd Calendar'!$AK$758)&lt;=VAL_SERIAL)*1000000+69*1000+33))</f>
        <v/>
      </c>
      <c r="FL80" s="121">
        <f>IF(N('Dvd Calendar'!$AL$759)=0,"",IF(('Dvd Calendar'!$AL$759&gt;=GRID_FROM)*('Dvd Calendar'!$AL$759&lt;=GRID_TO)*((('Dvd Calendar'!$AL$759&lt;=VAL_DATE)+(COUNTIF('Dvd Calendar'!$E$766:$AR$766,'Dvd Calendar'!$AL$759)=0))&gt;0)=0,"",'Dvd Calendar'!$AL$759*1000000000+ISNUMBER('Dvd Calendar'!$AL$762)*100000000+('Dvd Calendar'!$AL$764=SPECIAL_LBL)*10000000+(N('Dvd Calendar'!$AL$758)&gt;0)*(N('Dvd Calendar'!$AL$758)&lt;=VAL_SERIAL)*1000000+69*1000+34))</f>
        <v/>
      </c>
      <c r="FM80" s="121">
        <f>IF(N('Dvd Calendar'!$AM$759)=0,"",IF(('Dvd Calendar'!$AM$759&gt;=GRID_FROM)*('Dvd Calendar'!$AM$759&lt;=GRID_TO)*((('Dvd Calendar'!$AM$759&lt;=VAL_DATE)+(COUNTIF('Dvd Calendar'!$E$766:$AR$766,'Dvd Calendar'!$AM$759)=0))&gt;0)=0,"",'Dvd Calendar'!$AM$759*1000000000+ISNUMBER('Dvd Calendar'!$AM$762)*100000000+('Dvd Calendar'!$AM$764=SPECIAL_LBL)*10000000+(N('Dvd Calendar'!$AM$758)&gt;0)*(N('Dvd Calendar'!$AM$758)&lt;=VAL_SERIAL)*1000000+69*1000+35))</f>
        <v/>
      </c>
      <c r="FN80" s="121">
        <f>IF(N('Dvd Calendar'!$AN$759)=0,"",IF(('Dvd Calendar'!$AN$759&gt;=GRID_FROM)*('Dvd Calendar'!$AN$759&lt;=GRID_TO)*((('Dvd Calendar'!$AN$759&lt;=VAL_DATE)+(COUNTIF('Dvd Calendar'!$E$766:$AR$766,'Dvd Calendar'!$AN$759)=0))&gt;0)=0,"",'Dvd Calendar'!$AN$759*1000000000+ISNUMBER('Dvd Calendar'!$AN$762)*100000000+('Dvd Calendar'!$AN$764=SPECIAL_LBL)*10000000+(N('Dvd Calendar'!$AN$758)&gt;0)*(N('Dvd Calendar'!$AN$758)&lt;=VAL_SERIAL)*1000000+69*1000+36))</f>
        <v/>
      </c>
      <c r="FO80" s="121">
        <f>IF(N('Dvd Calendar'!$AO$759)=0,"",IF(('Dvd Calendar'!$AO$759&gt;=GRID_FROM)*('Dvd Calendar'!$AO$759&lt;=GRID_TO)*((('Dvd Calendar'!$AO$759&lt;=VAL_DATE)+(COUNTIF('Dvd Calendar'!$E$766:$AR$766,'Dvd Calendar'!$AO$759)=0))&gt;0)=0,"",'Dvd Calendar'!$AO$759*1000000000+ISNUMBER('Dvd Calendar'!$AO$762)*100000000+('Dvd Calendar'!$AO$764=SPECIAL_LBL)*10000000+(N('Dvd Calendar'!$AO$758)&gt;0)*(N('Dvd Calendar'!$AO$758)&lt;=VAL_SERIAL)*1000000+69*1000+37))</f>
        <v/>
      </c>
      <c r="FP80" s="121">
        <f>IF(N('Dvd Calendar'!$AP$759)=0,"",IF(('Dvd Calendar'!$AP$759&gt;=GRID_FROM)*('Dvd Calendar'!$AP$759&lt;=GRID_TO)*((('Dvd Calendar'!$AP$759&lt;=VAL_DATE)+(COUNTIF('Dvd Calendar'!$E$766:$AR$766,'Dvd Calendar'!$AP$759)=0))&gt;0)=0,"",'Dvd Calendar'!$AP$759*1000000000+ISNUMBER('Dvd Calendar'!$AP$762)*100000000+('Dvd Calendar'!$AP$764=SPECIAL_LBL)*10000000+(N('Dvd Calendar'!$AP$758)&gt;0)*(N('Dvd Calendar'!$AP$758)&lt;=VAL_SERIAL)*1000000+69*1000+38))</f>
        <v/>
      </c>
      <c r="FQ80" s="121">
        <f>IF(N('Dvd Calendar'!$AQ$759)=0,"",IF(('Dvd Calendar'!$AQ$759&gt;=GRID_FROM)*('Dvd Calendar'!$AQ$759&lt;=GRID_TO)*((('Dvd Calendar'!$AQ$759&lt;=VAL_DATE)+(COUNTIF('Dvd Calendar'!$E$766:$AR$766,'Dvd Calendar'!$AQ$759)=0))&gt;0)=0,"",'Dvd Calendar'!$AQ$759*1000000000+ISNUMBER('Dvd Calendar'!$AQ$762)*100000000+('Dvd Calendar'!$AQ$764=SPECIAL_LBL)*10000000+(N('Dvd Calendar'!$AQ$758)&gt;0)*(N('Dvd Calendar'!$AQ$758)&lt;=VAL_SERIAL)*1000000+69*1000+39))</f>
        <v/>
      </c>
      <c r="FR80" s="121">
        <f>IF(N('Dvd Calendar'!$AR$759)=0,"",IF(('Dvd Calendar'!$AR$759&gt;=GRID_FROM)*('Dvd Calendar'!$AR$759&lt;=GRID_TO)*((('Dvd Calendar'!$AR$759&lt;=VAL_DATE)+(COUNTIF('Dvd Calendar'!$E$766:$AR$766,'Dvd Calendar'!$AR$759)=0))&gt;0)=0,"",'Dvd Calendar'!$AR$759*1000000000+ISNUMBER('Dvd Calendar'!$AR$762)*100000000+('Dvd Calendar'!$AR$764=SPECIAL_LBL)*10000000+(N('Dvd Calendar'!$AR$758)&gt;0)*(N('Dvd Calendar'!$AR$758)&lt;=VAL_SERIAL)*1000000+69*1000+40))</f>
        <v/>
      </c>
      <c r="FS80" s="121">
        <f>IF(N('Dvd Calendar'!$E$766)=0,"",IF(('Dvd Calendar'!$E$766&gt;=GRID_FROM)*('Dvd Calendar'!$E$766&lt;=GRID_TO)*('Dvd Calendar'!$E$766&gt;VAL_DATE)=0,"",'Dvd Calendar'!$E$766*1000000000+ISNUMBER('Dvd Calendar'!$E$767)*100000000+0*10000000+(N('Dvd Calendar'!$E$765)&gt;0)*(N('Dvd Calendar'!$E$765)&lt;=VAL_SERIAL)*1000000+69*1000+41))</f>
        <v/>
      </c>
      <c r="FT80" s="121">
        <f>IF(N('Dvd Calendar'!$F$766)=0,"",IF(('Dvd Calendar'!$F$766&gt;=GRID_FROM)*('Dvd Calendar'!$F$766&lt;=GRID_TO)*('Dvd Calendar'!$F$766&gt;VAL_DATE)=0,"",'Dvd Calendar'!$F$766*1000000000+ISNUMBER('Dvd Calendar'!$F$767)*100000000+0*10000000+(N('Dvd Calendar'!$F$765)&gt;0)*(N('Dvd Calendar'!$F$765)&lt;=VAL_SERIAL)*1000000+69*1000+42))</f>
        <v/>
      </c>
      <c r="FU80" s="121">
        <f>IF(N('Dvd Calendar'!$G$766)=0,"",IF(('Dvd Calendar'!$G$766&gt;=GRID_FROM)*('Dvd Calendar'!$G$766&lt;=GRID_TO)*('Dvd Calendar'!$G$766&gt;VAL_DATE)=0,"",'Dvd Calendar'!$G$766*1000000000+ISNUMBER('Dvd Calendar'!$G$767)*100000000+0*10000000+(N('Dvd Calendar'!$G$765)&gt;0)*(N('Dvd Calendar'!$G$765)&lt;=VAL_SERIAL)*1000000+69*1000+43))</f>
        <v/>
      </c>
      <c r="FV80" s="121">
        <f>IF(N('Dvd Calendar'!$H$766)=0,"",IF(('Dvd Calendar'!$H$766&gt;=GRID_FROM)*('Dvd Calendar'!$H$766&lt;=GRID_TO)*('Dvd Calendar'!$H$766&gt;VAL_DATE)=0,"",'Dvd Calendar'!$H$766*1000000000+ISNUMBER('Dvd Calendar'!$H$767)*100000000+0*10000000+(N('Dvd Calendar'!$H$765)&gt;0)*(N('Dvd Calendar'!$H$765)&lt;=VAL_SERIAL)*1000000+69*1000+44))</f>
        <v/>
      </c>
      <c r="FW80" s="121">
        <f>IF(N('Dvd Calendar'!$I$766)=0,"",IF(('Dvd Calendar'!$I$766&gt;=GRID_FROM)*('Dvd Calendar'!$I$766&lt;=GRID_TO)*('Dvd Calendar'!$I$766&gt;VAL_DATE)=0,"",'Dvd Calendar'!$I$766*1000000000+ISNUMBER('Dvd Calendar'!$I$767)*100000000+0*10000000+(N('Dvd Calendar'!$I$765)&gt;0)*(N('Dvd Calendar'!$I$765)&lt;=VAL_SERIAL)*1000000+69*1000+45))</f>
        <v/>
      </c>
      <c r="FX80" s="121">
        <f>IF(N('Dvd Calendar'!$J$766)=0,"",IF(('Dvd Calendar'!$J$766&gt;=GRID_FROM)*('Dvd Calendar'!$J$766&lt;=GRID_TO)*('Dvd Calendar'!$J$766&gt;VAL_DATE)=0,"",'Dvd Calendar'!$J$766*1000000000+ISNUMBER('Dvd Calendar'!$J$767)*100000000+0*10000000+(N('Dvd Calendar'!$J$765)&gt;0)*(N('Dvd Calendar'!$J$765)&lt;=VAL_SERIAL)*1000000+69*1000+46))</f>
        <v/>
      </c>
      <c r="FY80" s="121">
        <f>IF(N('Dvd Calendar'!$K$766)=0,"",IF(('Dvd Calendar'!$K$766&gt;=GRID_FROM)*('Dvd Calendar'!$K$766&lt;=GRID_TO)*('Dvd Calendar'!$K$766&gt;VAL_DATE)=0,"",'Dvd Calendar'!$K$766*1000000000+ISNUMBER('Dvd Calendar'!$K$767)*100000000+0*10000000+(N('Dvd Calendar'!$K$765)&gt;0)*(N('Dvd Calendar'!$K$765)&lt;=VAL_SERIAL)*1000000+69*1000+47))</f>
        <v/>
      </c>
      <c r="FZ80" s="121">
        <f>IF(N('Dvd Calendar'!$L$766)=0,"",IF(('Dvd Calendar'!$L$766&gt;=GRID_FROM)*('Dvd Calendar'!$L$766&lt;=GRID_TO)*('Dvd Calendar'!$L$766&gt;VAL_DATE)=0,"",'Dvd Calendar'!$L$766*1000000000+ISNUMBER('Dvd Calendar'!$L$767)*100000000+0*10000000+(N('Dvd Calendar'!$L$765)&gt;0)*(N('Dvd Calendar'!$L$765)&lt;=VAL_SERIAL)*1000000+69*1000+48))</f>
        <v/>
      </c>
      <c r="GA80" s="121">
        <f>IF(N('Dvd Calendar'!$M$766)=0,"",IF(('Dvd Calendar'!$M$766&gt;=GRID_FROM)*('Dvd Calendar'!$M$766&lt;=GRID_TO)*('Dvd Calendar'!$M$766&gt;VAL_DATE)=0,"",'Dvd Calendar'!$M$766*1000000000+ISNUMBER('Dvd Calendar'!$M$767)*100000000+0*10000000+(N('Dvd Calendar'!$M$765)&gt;0)*(N('Dvd Calendar'!$M$765)&lt;=VAL_SERIAL)*1000000+69*1000+49))</f>
        <v/>
      </c>
      <c r="GB80" s="121">
        <f>IF(N('Dvd Calendar'!$N$766)=0,"",IF(('Dvd Calendar'!$N$766&gt;=GRID_FROM)*('Dvd Calendar'!$N$766&lt;=GRID_TO)*('Dvd Calendar'!$N$766&gt;VAL_DATE)=0,"",'Dvd Calendar'!$N$766*1000000000+ISNUMBER('Dvd Calendar'!$N$767)*100000000+0*10000000+(N('Dvd Calendar'!$N$765)&gt;0)*(N('Dvd Calendar'!$N$765)&lt;=VAL_SERIAL)*1000000+69*1000+50))</f>
        <v/>
      </c>
      <c r="GC80" s="121">
        <f>IF(N('Dvd Calendar'!$O$766)=0,"",IF(('Dvd Calendar'!$O$766&gt;=GRID_FROM)*('Dvd Calendar'!$O$766&lt;=GRID_TO)*('Dvd Calendar'!$O$766&gt;VAL_DATE)=0,"",'Dvd Calendar'!$O$766*1000000000+ISNUMBER('Dvd Calendar'!$O$767)*100000000+0*10000000+(N('Dvd Calendar'!$O$765)&gt;0)*(N('Dvd Calendar'!$O$765)&lt;=VAL_SERIAL)*1000000+69*1000+51))</f>
        <v/>
      </c>
      <c r="GD80" s="121">
        <f>IF(N('Dvd Calendar'!$P$766)=0,"",IF(('Dvd Calendar'!$P$766&gt;=GRID_FROM)*('Dvd Calendar'!$P$766&lt;=GRID_TO)*('Dvd Calendar'!$P$766&gt;VAL_DATE)=0,"",'Dvd Calendar'!$P$766*1000000000+ISNUMBER('Dvd Calendar'!$P$767)*100000000+0*10000000+(N('Dvd Calendar'!$P$765)&gt;0)*(N('Dvd Calendar'!$P$765)&lt;=VAL_SERIAL)*1000000+69*1000+52))</f>
        <v/>
      </c>
      <c r="GE80" s="121">
        <f>IF(N('Dvd Calendar'!$Q$766)=0,"",IF(('Dvd Calendar'!$Q$766&gt;=GRID_FROM)*('Dvd Calendar'!$Q$766&lt;=GRID_TO)*('Dvd Calendar'!$Q$766&gt;VAL_DATE)=0,"",'Dvd Calendar'!$Q$766*1000000000+ISNUMBER('Dvd Calendar'!$Q$767)*100000000+0*10000000+(N('Dvd Calendar'!$Q$765)&gt;0)*(N('Dvd Calendar'!$Q$765)&lt;=VAL_SERIAL)*1000000+69*1000+53))</f>
        <v/>
      </c>
      <c r="GF80" s="121">
        <f>IF(N('Dvd Calendar'!$R$766)=0,"",IF(('Dvd Calendar'!$R$766&gt;=GRID_FROM)*('Dvd Calendar'!$R$766&lt;=GRID_TO)*('Dvd Calendar'!$R$766&gt;VAL_DATE)=0,"",'Dvd Calendar'!$R$766*1000000000+ISNUMBER('Dvd Calendar'!$R$767)*100000000+0*10000000+(N('Dvd Calendar'!$R$765)&gt;0)*(N('Dvd Calendar'!$R$765)&lt;=VAL_SERIAL)*1000000+69*1000+54))</f>
        <v/>
      </c>
      <c r="GG80" s="121">
        <f>IF(N('Dvd Calendar'!$S$766)=0,"",IF(('Dvd Calendar'!$S$766&gt;=GRID_FROM)*('Dvd Calendar'!$S$766&lt;=GRID_TO)*('Dvd Calendar'!$S$766&gt;VAL_DATE)=0,"",'Dvd Calendar'!$S$766*1000000000+ISNUMBER('Dvd Calendar'!$S$767)*100000000+0*10000000+(N('Dvd Calendar'!$S$765)&gt;0)*(N('Dvd Calendar'!$S$765)&lt;=VAL_SERIAL)*1000000+69*1000+55))</f>
        <v/>
      </c>
      <c r="GH80" s="121">
        <f>IF(N('Dvd Calendar'!$T$766)=0,"",IF(('Dvd Calendar'!$T$766&gt;=GRID_FROM)*('Dvd Calendar'!$T$766&lt;=GRID_TO)*('Dvd Calendar'!$T$766&gt;VAL_DATE)=0,"",'Dvd Calendar'!$T$766*1000000000+ISNUMBER('Dvd Calendar'!$T$767)*100000000+0*10000000+(N('Dvd Calendar'!$T$765)&gt;0)*(N('Dvd Calendar'!$T$765)&lt;=VAL_SERIAL)*1000000+69*1000+56))</f>
        <v/>
      </c>
      <c r="GI80" s="121">
        <f>IF(N('Dvd Calendar'!$U$766)=0,"",IF(('Dvd Calendar'!$U$766&gt;=GRID_FROM)*('Dvd Calendar'!$U$766&lt;=GRID_TO)*('Dvd Calendar'!$U$766&gt;VAL_DATE)=0,"",'Dvd Calendar'!$U$766*1000000000+ISNUMBER('Dvd Calendar'!$U$767)*100000000+0*10000000+(N('Dvd Calendar'!$U$765)&gt;0)*(N('Dvd Calendar'!$U$765)&lt;=VAL_SERIAL)*1000000+69*1000+57))</f>
        <v/>
      </c>
      <c r="GJ80" s="121">
        <f>IF(N('Dvd Calendar'!$V$766)=0,"",IF(('Dvd Calendar'!$V$766&gt;=GRID_FROM)*('Dvd Calendar'!$V$766&lt;=GRID_TO)*('Dvd Calendar'!$V$766&gt;VAL_DATE)=0,"",'Dvd Calendar'!$V$766*1000000000+ISNUMBER('Dvd Calendar'!$V$767)*100000000+0*10000000+(N('Dvd Calendar'!$V$765)&gt;0)*(N('Dvd Calendar'!$V$765)&lt;=VAL_SERIAL)*1000000+69*1000+58))</f>
        <v/>
      </c>
      <c r="GK80" s="121">
        <f>IF(N('Dvd Calendar'!$W$766)=0,"",IF(('Dvd Calendar'!$W$766&gt;=GRID_FROM)*('Dvd Calendar'!$W$766&lt;=GRID_TO)*('Dvd Calendar'!$W$766&gt;VAL_DATE)=0,"",'Dvd Calendar'!$W$766*1000000000+ISNUMBER('Dvd Calendar'!$W$767)*100000000+0*10000000+(N('Dvd Calendar'!$W$765)&gt;0)*(N('Dvd Calendar'!$W$765)&lt;=VAL_SERIAL)*1000000+69*1000+59))</f>
        <v/>
      </c>
      <c r="GL80" s="121">
        <f>IF(N('Dvd Calendar'!$X$766)=0,"",IF(('Dvd Calendar'!$X$766&gt;=GRID_FROM)*('Dvd Calendar'!$X$766&lt;=GRID_TO)*('Dvd Calendar'!$X$766&gt;VAL_DATE)=0,"",'Dvd Calendar'!$X$766*1000000000+ISNUMBER('Dvd Calendar'!$X$767)*100000000+0*10000000+(N('Dvd Calendar'!$X$765)&gt;0)*(N('Dvd Calendar'!$X$765)&lt;=VAL_SERIAL)*1000000+69*1000+60))</f>
        <v/>
      </c>
      <c r="GM80" s="121">
        <f>IF(N('Dvd Calendar'!$Y$766)=0,"",IF(('Dvd Calendar'!$Y$766&gt;=GRID_FROM)*('Dvd Calendar'!$Y$766&lt;=GRID_TO)*('Dvd Calendar'!$Y$766&gt;VAL_DATE)=0,"",'Dvd Calendar'!$Y$766*1000000000+ISNUMBER('Dvd Calendar'!$Y$767)*100000000+0*10000000+(N('Dvd Calendar'!$Y$765)&gt;0)*(N('Dvd Calendar'!$Y$765)&lt;=VAL_SERIAL)*1000000+69*1000+61))</f>
        <v/>
      </c>
      <c r="GN80" s="121">
        <f>IF(N('Dvd Calendar'!$Z$766)=0,"",IF(('Dvd Calendar'!$Z$766&gt;=GRID_FROM)*('Dvd Calendar'!$Z$766&lt;=GRID_TO)*('Dvd Calendar'!$Z$766&gt;VAL_DATE)=0,"",'Dvd Calendar'!$Z$766*1000000000+ISNUMBER('Dvd Calendar'!$Z$767)*100000000+0*10000000+(N('Dvd Calendar'!$Z$765)&gt;0)*(N('Dvd Calendar'!$Z$765)&lt;=VAL_SERIAL)*1000000+69*1000+62))</f>
        <v/>
      </c>
      <c r="GO80" s="121">
        <f>IF(N('Dvd Calendar'!$AA$766)=0,"",IF(('Dvd Calendar'!$AA$766&gt;=GRID_FROM)*('Dvd Calendar'!$AA$766&lt;=GRID_TO)*('Dvd Calendar'!$AA$766&gt;VAL_DATE)=0,"",'Dvd Calendar'!$AA$766*1000000000+ISNUMBER('Dvd Calendar'!$AA$767)*100000000+0*10000000+(N('Dvd Calendar'!$AA$765)&gt;0)*(N('Dvd Calendar'!$AA$765)&lt;=VAL_SERIAL)*1000000+69*1000+63))</f>
        <v/>
      </c>
      <c r="GP80" s="121">
        <f>IF(N('Dvd Calendar'!$AB$766)=0,"",IF(('Dvd Calendar'!$AB$766&gt;=GRID_FROM)*('Dvd Calendar'!$AB$766&lt;=GRID_TO)*('Dvd Calendar'!$AB$766&gt;VAL_DATE)=0,"",'Dvd Calendar'!$AB$766*1000000000+ISNUMBER('Dvd Calendar'!$AB$767)*100000000+0*10000000+(N('Dvd Calendar'!$AB$765)&gt;0)*(N('Dvd Calendar'!$AB$765)&lt;=VAL_SERIAL)*1000000+69*1000+64))</f>
        <v/>
      </c>
      <c r="GQ80" s="121">
        <f>IF(N('Dvd Calendar'!$AC$766)=0,"",IF(('Dvd Calendar'!$AC$766&gt;=GRID_FROM)*('Dvd Calendar'!$AC$766&lt;=GRID_TO)*('Dvd Calendar'!$AC$766&gt;VAL_DATE)=0,"",'Dvd Calendar'!$AC$766*1000000000+ISNUMBER('Dvd Calendar'!$AC$767)*100000000+0*10000000+(N('Dvd Calendar'!$AC$765)&gt;0)*(N('Dvd Calendar'!$AC$765)&lt;=VAL_SERIAL)*1000000+69*1000+65))</f>
        <v/>
      </c>
    </row>
    <row r="81">
      <c r="B81" s="2">
        <f>IF(HSI!$C$76="","",HSI!$C$76)</f>
        <v/>
      </c>
      <c r="C81" s="161">
        <f>IF(EE81="","",IF(ISNUMBER('Dvd Calendar'!$E$773)=FALSE,"",IF((('Dvd Calendar'!$E$775=TYPE1)*(TYPE1&lt;&gt;"")+('Dvd Calendar'!$E$775=TYPE2)*(TYPE2&lt;&gt;"")+('Dvd Calendar'!$E$775=TYPE3)*(TYPE3&lt;&gt;"")+('Dvd Calendar'!$E$775=TYPE4)*(TYPE4&lt;&gt;"")+('Dvd Calendar'!$E$775=SPECIAL_LBL)*(INC_SPECIALS="Y"))=0,"",'Dvd Calendar'!$E$773)))</f>
        <v/>
      </c>
      <c r="D81" s="161">
        <f>IF(EF81="","",IF(ISNUMBER('Dvd Calendar'!$F$773)=FALSE,"",IF((('Dvd Calendar'!$F$775=TYPE1)*(TYPE1&lt;&gt;"")+('Dvd Calendar'!$F$775=TYPE2)*(TYPE2&lt;&gt;"")+('Dvd Calendar'!$F$775=TYPE3)*(TYPE3&lt;&gt;"")+('Dvd Calendar'!$F$775=TYPE4)*(TYPE4&lt;&gt;"")+('Dvd Calendar'!$F$775=SPECIAL_LBL)*(INC_SPECIALS="Y"))=0,"",'Dvd Calendar'!$F$773)))</f>
        <v/>
      </c>
      <c r="E81" s="161">
        <f>IF(EG81="","",IF(ISNUMBER('Dvd Calendar'!$G$773)=FALSE,"",IF((('Dvd Calendar'!$G$775=TYPE1)*(TYPE1&lt;&gt;"")+('Dvd Calendar'!$G$775=TYPE2)*(TYPE2&lt;&gt;"")+('Dvd Calendar'!$G$775=TYPE3)*(TYPE3&lt;&gt;"")+('Dvd Calendar'!$G$775=TYPE4)*(TYPE4&lt;&gt;"")+('Dvd Calendar'!$G$775=SPECIAL_LBL)*(INC_SPECIALS="Y"))=0,"",'Dvd Calendar'!$G$773)))</f>
        <v/>
      </c>
      <c r="F81" s="161">
        <f>IF(EH81="","",IF(ISNUMBER('Dvd Calendar'!$H$773)=FALSE,"",IF((('Dvd Calendar'!$H$775=TYPE1)*(TYPE1&lt;&gt;"")+('Dvd Calendar'!$H$775=TYPE2)*(TYPE2&lt;&gt;"")+('Dvd Calendar'!$H$775=TYPE3)*(TYPE3&lt;&gt;"")+('Dvd Calendar'!$H$775=TYPE4)*(TYPE4&lt;&gt;"")+('Dvd Calendar'!$H$775=SPECIAL_LBL)*(INC_SPECIALS="Y"))=0,"",'Dvd Calendar'!$H$773)))</f>
        <v/>
      </c>
      <c r="G81" s="161">
        <f>IF(EI81="","",IF(ISNUMBER('Dvd Calendar'!$I$773)=FALSE,"",IF((('Dvd Calendar'!$I$775=TYPE1)*(TYPE1&lt;&gt;"")+('Dvd Calendar'!$I$775=TYPE2)*(TYPE2&lt;&gt;"")+('Dvd Calendar'!$I$775=TYPE3)*(TYPE3&lt;&gt;"")+('Dvd Calendar'!$I$775=TYPE4)*(TYPE4&lt;&gt;"")+('Dvd Calendar'!$I$775=SPECIAL_LBL)*(INC_SPECIALS="Y"))=0,"",'Dvd Calendar'!$I$773)))</f>
        <v/>
      </c>
      <c r="H81" s="161">
        <f>IF(EJ81="","",IF(ISNUMBER('Dvd Calendar'!$J$773)=FALSE,"",IF((('Dvd Calendar'!$J$775=TYPE1)*(TYPE1&lt;&gt;"")+('Dvd Calendar'!$J$775=TYPE2)*(TYPE2&lt;&gt;"")+('Dvd Calendar'!$J$775=TYPE3)*(TYPE3&lt;&gt;"")+('Dvd Calendar'!$J$775=TYPE4)*(TYPE4&lt;&gt;"")+('Dvd Calendar'!$J$775=SPECIAL_LBL)*(INC_SPECIALS="Y"))=0,"",'Dvd Calendar'!$J$773)))</f>
        <v/>
      </c>
      <c r="I81" s="161">
        <f>IF(EK81="","",IF(ISNUMBER('Dvd Calendar'!$K$773)=FALSE,"",IF((('Dvd Calendar'!$K$775=TYPE1)*(TYPE1&lt;&gt;"")+('Dvd Calendar'!$K$775=TYPE2)*(TYPE2&lt;&gt;"")+('Dvd Calendar'!$K$775=TYPE3)*(TYPE3&lt;&gt;"")+('Dvd Calendar'!$K$775=TYPE4)*(TYPE4&lt;&gt;"")+('Dvd Calendar'!$K$775=SPECIAL_LBL)*(INC_SPECIALS="Y"))=0,"",'Dvd Calendar'!$K$773)))</f>
        <v/>
      </c>
      <c r="J81" s="161">
        <f>IF(EL81="","",IF(ISNUMBER('Dvd Calendar'!$L$773)=FALSE,"",IF((('Dvd Calendar'!$L$775=TYPE1)*(TYPE1&lt;&gt;"")+('Dvd Calendar'!$L$775=TYPE2)*(TYPE2&lt;&gt;"")+('Dvd Calendar'!$L$775=TYPE3)*(TYPE3&lt;&gt;"")+('Dvd Calendar'!$L$775=TYPE4)*(TYPE4&lt;&gt;"")+('Dvd Calendar'!$L$775=SPECIAL_LBL)*(INC_SPECIALS="Y"))=0,"",'Dvd Calendar'!$L$773)))</f>
        <v/>
      </c>
      <c r="K81" s="161">
        <f>IF(EM81="","",IF(ISNUMBER('Dvd Calendar'!$M$773)=FALSE,"",IF((('Dvd Calendar'!$M$775=TYPE1)*(TYPE1&lt;&gt;"")+('Dvd Calendar'!$M$775=TYPE2)*(TYPE2&lt;&gt;"")+('Dvd Calendar'!$M$775=TYPE3)*(TYPE3&lt;&gt;"")+('Dvd Calendar'!$M$775=TYPE4)*(TYPE4&lt;&gt;"")+('Dvd Calendar'!$M$775=SPECIAL_LBL)*(INC_SPECIALS="Y"))=0,"",'Dvd Calendar'!$M$773)))</f>
        <v/>
      </c>
      <c r="L81" s="161">
        <f>IF(EN81="","",IF(ISNUMBER('Dvd Calendar'!$N$773)=FALSE,"",IF((('Dvd Calendar'!$N$775=TYPE1)*(TYPE1&lt;&gt;"")+('Dvd Calendar'!$N$775=TYPE2)*(TYPE2&lt;&gt;"")+('Dvd Calendar'!$N$775=TYPE3)*(TYPE3&lt;&gt;"")+('Dvd Calendar'!$N$775=TYPE4)*(TYPE4&lt;&gt;"")+('Dvd Calendar'!$N$775=SPECIAL_LBL)*(INC_SPECIALS="Y"))=0,"",'Dvd Calendar'!$N$773)))</f>
        <v/>
      </c>
      <c r="M81" s="161">
        <f>IF(EO81="","",IF(ISNUMBER('Dvd Calendar'!$O$773)=FALSE,"",IF((('Dvd Calendar'!$O$775=TYPE1)*(TYPE1&lt;&gt;"")+('Dvd Calendar'!$O$775=TYPE2)*(TYPE2&lt;&gt;"")+('Dvd Calendar'!$O$775=TYPE3)*(TYPE3&lt;&gt;"")+('Dvd Calendar'!$O$775=TYPE4)*(TYPE4&lt;&gt;"")+('Dvd Calendar'!$O$775=SPECIAL_LBL)*(INC_SPECIALS="Y"))=0,"",'Dvd Calendar'!$O$773)))</f>
        <v/>
      </c>
      <c r="N81" s="161">
        <f>IF(EP81="","",IF(ISNUMBER('Dvd Calendar'!$P$773)=FALSE,"",IF((('Dvd Calendar'!$P$775=TYPE1)*(TYPE1&lt;&gt;"")+('Dvd Calendar'!$P$775=TYPE2)*(TYPE2&lt;&gt;"")+('Dvd Calendar'!$P$775=TYPE3)*(TYPE3&lt;&gt;"")+('Dvd Calendar'!$P$775=TYPE4)*(TYPE4&lt;&gt;"")+('Dvd Calendar'!$P$775=SPECIAL_LBL)*(INC_SPECIALS="Y"))=0,"",'Dvd Calendar'!$P$773)))</f>
        <v/>
      </c>
      <c r="O81" s="161">
        <f>IF(EQ81="","",IF(ISNUMBER('Dvd Calendar'!$Q$773)=FALSE,"",IF((('Dvd Calendar'!$Q$775=TYPE1)*(TYPE1&lt;&gt;"")+('Dvd Calendar'!$Q$775=TYPE2)*(TYPE2&lt;&gt;"")+('Dvd Calendar'!$Q$775=TYPE3)*(TYPE3&lt;&gt;"")+('Dvd Calendar'!$Q$775=TYPE4)*(TYPE4&lt;&gt;"")+('Dvd Calendar'!$Q$775=SPECIAL_LBL)*(INC_SPECIALS="Y"))=0,"",'Dvd Calendar'!$Q$773)))</f>
        <v/>
      </c>
      <c r="P81" s="161">
        <f>IF(ER81="","",IF(ISNUMBER('Dvd Calendar'!$R$773)=FALSE,"",IF((('Dvd Calendar'!$R$775=TYPE1)*(TYPE1&lt;&gt;"")+('Dvd Calendar'!$R$775=TYPE2)*(TYPE2&lt;&gt;"")+('Dvd Calendar'!$R$775=TYPE3)*(TYPE3&lt;&gt;"")+('Dvd Calendar'!$R$775=TYPE4)*(TYPE4&lt;&gt;"")+('Dvd Calendar'!$R$775=SPECIAL_LBL)*(INC_SPECIALS="Y"))=0,"",'Dvd Calendar'!$R$773)))</f>
        <v/>
      </c>
      <c r="Q81" s="161">
        <f>IF(ES81="","",IF(ISNUMBER('Dvd Calendar'!$S$773)=FALSE,"",IF((('Dvd Calendar'!$S$775=TYPE1)*(TYPE1&lt;&gt;"")+('Dvd Calendar'!$S$775=TYPE2)*(TYPE2&lt;&gt;"")+('Dvd Calendar'!$S$775=TYPE3)*(TYPE3&lt;&gt;"")+('Dvd Calendar'!$S$775=TYPE4)*(TYPE4&lt;&gt;"")+('Dvd Calendar'!$S$775=SPECIAL_LBL)*(INC_SPECIALS="Y"))=0,"",'Dvd Calendar'!$S$773)))</f>
        <v/>
      </c>
      <c r="R81" s="161">
        <f>IF(ET81="","",IF(ISNUMBER('Dvd Calendar'!$T$773)=FALSE,"",IF((('Dvd Calendar'!$T$775=TYPE1)*(TYPE1&lt;&gt;"")+('Dvd Calendar'!$T$775=TYPE2)*(TYPE2&lt;&gt;"")+('Dvd Calendar'!$T$775=TYPE3)*(TYPE3&lt;&gt;"")+('Dvd Calendar'!$T$775=TYPE4)*(TYPE4&lt;&gt;"")+('Dvd Calendar'!$T$775=SPECIAL_LBL)*(INC_SPECIALS="Y"))=0,"",'Dvd Calendar'!$T$773)))</f>
        <v/>
      </c>
      <c r="S81" s="161">
        <f>IF(EU81="","",IF(ISNUMBER('Dvd Calendar'!$U$773)=FALSE,"",IF((('Dvd Calendar'!$U$775=TYPE1)*(TYPE1&lt;&gt;"")+('Dvd Calendar'!$U$775=TYPE2)*(TYPE2&lt;&gt;"")+('Dvd Calendar'!$U$775=TYPE3)*(TYPE3&lt;&gt;"")+('Dvd Calendar'!$U$775=TYPE4)*(TYPE4&lt;&gt;"")+('Dvd Calendar'!$U$775=SPECIAL_LBL)*(INC_SPECIALS="Y"))=0,"",'Dvd Calendar'!$U$773)))</f>
        <v/>
      </c>
      <c r="T81" s="161">
        <f>IF(EV81="","",IF(ISNUMBER('Dvd Calendar'!$V$773)=FALSE,"",IF((('Dvd Calendar'!$V$775=TYPE1)*(TYPE1&lt;&gt;"")+('Dvd Calendar'!$V$775=TYPE2)*(TYPE2&lt;&gt;"")+('Dvd Calendar'!$V$775=TYPE3)*(TYPE3&lt;&gt;"")+('Dvd Calendar'!$V$775=TYPE4)*(TYPE4&lt;&gt;"")+('Dvd Calendar'!$V$775=SPECIAL_LBL)*(INC_SPECIALS="Y"))=0,"",'Dvd Calendar'!$V$773)))</f>
        <v/>
      </c>
      <c r="U81" s="161">
        <f>IF(EW81="","",IF(ISNUMBER('Dvd Calendar'!$W$773)=FALSE,"",IF((('Dvd Calendar'!$W$775=TYPE1)*(TYPE1&lt;&gt;"")+('Dvd Calendar'!$W$775=TYPE2)*(TYPE2&lt;&gt;"")+('Dvd Calendar'!$W$775=TYPE3)*(TYPE3&lt;&gt;"")+('Dvd Calendar'!$W$775=TYPE4)*(TYPE4&lt;&gt;"")+('Dvd Calendar'!$W$775=SPECIAL_LBL)*(INC_SPECIALS="Y"))=0,"",'Dvd Calendar'!$W$773)))</f>
        <v/>
      </c>
      <c r="V81" s="161">
        <f>IF(EX81="","",IF(ISNUMBER('Dvd Calendar'!$X$773)=FALSE,"",IF((('Dvd Calendar'!$X$775=TYPE1)*(TYPE1&lt;&gt;"")+('Dvd Calendar'!$X$775=TYPE2)*(TYPE2&lt;&gt;"")+('Dvd Calendar'!$X$775=TYPE3)*(TYPE3&lt;&gt;"")+('Dvd Calendar'!$X$775=TYPE4)*(TYPE4&lt;&gt;"")+('Dvd Calendar'!$X$775=SPECIAL_LBL)*(INC_SPECIALS="Y"))=0,"",'Dvd Calendar'!$X$773)))</f>
        <v/>
      </c>
      <c r="W81" s="161">
        <f>IF(EY81="","",IF(ISNUMBER('Dvd Calendar'!$Y$773)=FALSE,"",IF((('Dvd Calendar'!$Y$775=TYPE1)*(TYPE1&lt;&gt;"")+('Dvd Calendar'!$Y$775=TYPE2)*(TYPE2&lt;&gt;"")+('Dvd Calendar'!$Y$775=TYPE3)*(TYPE3&lt;&gt;"")+('Dvd Calendar'!$Y$775=TYPE4)*(TYPE4&lt;&gt;"")+('Dvd Calendar'!$Y$775=SPECIAL_LBL)*(INC_SPECIALS="Y"))=0,"",'Dvd Calendar'!$Y$773)))</f>
        <v/>
      </c>
      <c r="X81" s="161">
        <f>IF(EZ81="","",IF(ISNUMBER('Dvd Calendar'!$Z$773)=FALSE,"",IF((('Dvd Calendar'!$Z$775=TYPE1)*(TYPE1&lt;&gt;"")+('Dvd Calendar'!$Z$775=TYPE2)*(TYPE2&lt;&gt;"")+('Dvd Calendar'!$Z$775=TYPE3)*(TYPE3&lt;&gt;"")+('Dvd Calendar'!$Z$775=TYPE4)*(TYPE4&lt;&gt;"")+('Dvd Calendar'!$Z$775=SPECIAL_LBL)*(INC_SPECIALS="Y"))=0,"",'Dvd Calendar'!$Z$773)))</f>
        <v/>
      </c>
      <c r="Y81" s="161">
        <f>IF(FA81="","",IF(ISNUMBER('Dvd Calendar'!$AA$773)=FALSE,"",IF((('Dvd Calendar'!$AA$775=TYPE1)*(TYPE1&lt;&gt;"")+('Dvd Calendar'!$AA$775=TYPE2)*(TYPE2&lt;&gt;"")+('Dvd Calendar'!$AA$775=TYPE3)*(TYPE3&lt;&gt;"")+('Dvd Calendar'!$AA$775=TYPE4)*(TYPE4&lt;&gt;"")+('Dvd Calendar'!$AA$775=SPECIAL_LBL)*(INC_SPECIALS="Y"))=0,"",'Dvd Calendar'!$AA$773)))</f>
        <v/>
      </c>
      <c r="Z81" s="161">
        <f>IF(FB81="","",IF(ISNUMBER('Dvd Calendar'!$AB$773)=FALSE,"",IF((('Dvd Calendar'!$AB$775=TYPE1)*(TYPE1&lt;&gt;"")+('Dvd Calendar'!$AB$775=TYPE2)*(TYPE2&lt;&gt;"")+('Dvd Calendar'!$AB$775=TYPE3)*(TYPE3&lt;&gt;"")+('Dvd Calendar'!$AB$775=TYPE4)*(TYPE4&lt;&gt;"")+('Dvd Calendar'!$AB$775=SPECIAL_LBL)*(INC_SPECIALS="Y"))=0,"",'Dvd Calendar'!$AB$773)))</f>
        <v/>
      </c>
      <c r="AA81" s="161">
        <f>IF(FC81="","",IF(ISNUMBER('Dvd Calendar'!$AC$773)=FALSE,"",IF((('Dvd Calendar'!$AC$775=TYPE1)*(TYPE1&lt;&gt;"")+('Dvd Calendar'!$AC$775=TYPE2)*(TYPE2&lt;&gt;"")+('Dvd Calendar'!$AC$775=TYPE3)*(TYPE3&lt;&gt;"")+('Dvd Calendar'!$AC$775=TYPE4)*(TYPE4&lt;&gt;"")+('Dvd Calendar'!$AC$775=SPECIAL_LBL)*(INC_SPECIALS="Y"))=0,"",'Dvd Calendar'!$AC$773)))</f>
        <v/>
      </c>
      <c r="AB81" s="161">
        <f>IF(FD81="","",IF(ISNUMBER('Dvd Calendar'!$AD$773)=FALSE,"",IF((('Dvd Calendar'!$AD$775=TYPE1)*(TYPE1&lt;&gt;"")+('Dvd Calendar'!$AD$775=TYPE2)*(TYPE2&lt;&gt;"")+('Dvd Calendar'!$AD$775=TYPE3)*(TYPE3&lt;&gt;"")+('Dvd Calendar'!$AD$775=TYPE4)*(TYPE4&lt;&gt;"")+('Dvd Calendar'!$AD$775=SPECIAL_LBL)*(INC_SPECIALS="Y"))=0,"",'Dvd Calendar'!$AD$773)))</f>
        <v/>
      </c>
      <c r="AC81" s="161">
        <f>IF(FE81="","",IF(ISNUMBER('Dvd Calendar'!$AE$773)=FALSE,"",IF((('Dvd Calendar'!$AE$775=TYPE1)*(TYPE1&lt;&gt;"")+('Dvd Calendar'!$AE$775=TYPE2)*(TYPE2&lt;&gt;"")+('Dvd Calendar'!$AE$775=TYPE3)*(TYPE3&lt;&gt;"")+('Dvd Calendar'!$AE$775=TYPE4)*(TYPE4&lt;&gt;"")+('Dvd Calendar'!$AE$775=SPECIAL_LBL)*(INC_SPECIALS="Y"))=0,"",'Dvd Calendar'!$AE$773)))</f>
        <v/>
      </c>
      <c r="AD81" s="161">
        <f>IF(FF81="","",IF(ISNUMBER('Dvd Calendar'!$AF$773)=FALSE,"",IF((('Dvd Calendar'!$AF$775=TYPE1)*(TYPE1&lt;&gt;"")+('Dvd Calendar'!$AF$775=TYPE2)*(TYPE2&lt;&gt;"")+('Dvd Calendar'!$AF$775=TYPE3)*(TYPE3&lt;&gt;"")+('Dvd Calendar'!$AF$775=TYPE4)*(TYPE4&lt;&gt;"")+('Dvd Calendar'!$AF$775=SPECIAL_LBL)*(INC_SPECIALS="Y"))=0,"",'Dvd Calendar'!$AF$773)))</f>
        <v/>
      </c>
      <c r="AE81" s="161">
        <f>IF(FG81="","",IF(ISNUMBER('Dvd Calendar'!$AG$773)=FALSE,"",IF((('Dvd Calendar'!$AG$775=TYPE1)*(TYPE1&lt;&gt;"")+('Dvd Calendar'!$AG$775=TYPE2)*(TYPE2&lt;&gt;"")+('Dvd Calendar'!$AG$775=TYPE3)*(TYPE3&lt;&gt;"")+('Dvd Calendar'!$AG$775=TYPE4)*(TYPE4&lt;&gt;"")+('Dvd Calendar'!$AG$775=SPECIAL_LBL)*(INC_SPECIALS="Y"))=0,"",'Dvd Calendar'!$AG$773)))</f>
        <v/>
      </c>
      <c r="AF81" s="161">
        <f>IF(FH81="","",IF(ISNUMBER('Dvd Calendar'!$AH$773)=FALSE,"",IF((('Dvd Calendar'!$AH$775=TYPE1)*(TYPE1&lt;&gt;"")+('Dvd Calendar'!$AH$775=TYPE2)*(TYPE2&lt;&gt;"")+('Dvd Calendar'!$AH$775=TYPE3)*(TYPE3&lt;&gt;"")+('Dvd Calendar'!$AH$775=TYPE4)*(TYPE4&lt;&gt;"")+('Dvd Calendar'!$AH$775=SPECIAL_LBL)*(INC_SPECIALS="Y"))=0,"",'Dvd Calendar'!$AH$773)))</f>
        <v/>
      </c>
      <c r="AG81" s="161">
        <f>IF(FI81="","",IF(ISNUMBER('Dvd Calendar'!$AI$773)=FALSE,"",IF((('Dvd Calendar'!$AI$775=TYPE1)*(TYPE1&lt;&gt;"")+('Dvd Calendar'!$AI$775=TYPE2)*(TYPE2&lt;&gt;"")+('Dvd Calendar'!$AI$775=TYPE3)*(TYPE3&lt;&gt;"")+('Dvd Calendar'!$AI$775=TYPE4)*(TYPE4&lt;&gt;"")+('Dvd Calendar'!$AI$775=SPECIAL_LBL)*(INC_SPECIALS="Y"))=0,"",'Dvd Calendar'!$AI$773)))</f>
        <v/>
      </c>
      <c r="AH81" s="161">
        <f>IF(FJ81="","",IF(ISNUMBER('Dvd Calendar'!$AJ$773)=FALSE,"",IF((('Dvd Calendar'!$AJ$775=TYPE1)*(TYPE1&lt;&gt;"")+('Dvd Calendar'!$AJ$775=TYPE2)*(TYPE2&lt;&gt;"")+('Dvd Calendar'!$AJ$775=TYPE3)*(TYPE3&lt;&gt;"")+('Dvd Calendar'!$AJ$775=TYPE4)*(TYPE4&lt;&gt;"")+('Dvd Calendar'!$AJ$775=SPECIAL_LBL)*(INC_SPECIALS="Y"))=0,"",'Dvd Calendar'!$AJ$773)))</f>
        <v/>
      </c>
      <c r="AI81" s="161">
        <f>IF(FK81="","",IF(ISNUMBER('Dvd Calendar'!$AK$773)=FALSE,"",IF((('Dvd Calendar'!$AK$775=TYPE1)*(TYPE1&lt;&gt;"")+('Dvd Calendar'!$AK$775=TYPE2)*(TYPE2&lt;&gt;"")+('Dvd Calendar'!$AK$775=TYPE3)*(TYPE3&lt;&gt;"")+('Dvd Calendar'!$AK$775=TYPE4)*(TYPE4&lt;&gt;"")+('Dvd Calendar'!$AK$775=SPECIAL_LBL)*(INC_SPECIALS="Y"))=0,"",'Dvd Calendar'!$AK$773)))</f>
        <v/>
      </c>
      <c r="AJ81" s="161">
        <f>IF(FL81="","",IF(ISNUMBER('Dvd Calendar'!$AL$773)=FALSE,"",IF((('Dvd Calendar'!$AL$775=TYPE1)*(TYPE1&lt;&gt;"")+('Dvd Calendar'!$AL$775=TYPE2)*(TYPE2&lt;&gt;"")+('Dvd Calendar'!$AL$775=TYPE3)*(TYPE3&lt;&gt;"")+('Dvd Calendar'!$AL$775=TYPE4)*(TYPE4&lt;&gt;"")+('Dvd Calendar'!$AL$775=SPECIAL_LBL)*(INC_SPECIALS="Y"))=0,"",'Dvd Calendar'!$AL$773)))</f>
        <v/>
      </c>
      <c r="AK81" s="161">
        <f>IF(FM81="","",IF(ISNUMBER('Dvd Calendar'!$AM$773)=FALSE,"",IF((('Dvd Calendar'!$AM$775=TYPE1)*(TYPE1&lt;&gt;"")+('Dvd Calendar'!$AM$775=TYPE2)*(TYPE2&lt;&gt;"")+('Dvd Calendar'!$AM$775=TYPE3)*(TYPE3&lt;&gt;"")+('Dvd Calendar'!$AM$775=TYPE4)*(TYPE4&lt;&gt;"")+('Dvd Calendar'!$AM$775=SPECIAL_LBL)*(INC_SPECIALS="Y"))=0,"",'Dvd Calendar'!$AM$773)))</f>
        <v/>
      </c>
      <c r="AL81" s="161">
        <f>IF(FN81="","",IF(ISNUMBER('Dvd Calendar'!$AN$773)=FALSE,"",IF((('Dvd Calendar'!$AN$775=TYPE1)*(TYPE1&lt;&gt;"")+('Dvd Calendar'!$AN$775=TYPE2)*(TYPE2&lt;&gt;"")+('Dvd Calendar'!$AN$775=TYPE3)*(TYPE3&lt;&gt;"")+('Dvd Calendar'!$AN$775=TYPE4)*(TYPE4&lt;&gt;"")+('Dvd Calendar'!$AN$775=SPECIAL_LBL)*(INC_SPECIALS="Y"))=0,"",'Dvd Calendar'!$AN$773)))</f>
        <v/>
      </c>
      <c r="AM81" s="161">
        <f>IF(FO81="","",IF(ISNUMBER('Dvd Calendar'!$AO$773)=FALSE,"",IF((('Dvd Calendar'!$AO$775=TYPE1)*(TYPE1&lt;&gt;"")+('Dvd Calendar'!$AO$775=TYPE2)*(TYPE2&lt;&gt;"")+('Dvd Calendar'!$AO$775=TYPE3)*(TYPE3&lt;&gt;"")+('Dvd Calendar'!$AO$775=TYPE4)*(TYPE4&lt;&gt;"")+('Dvd Calendar'!$AO$775=SPECIAL_LBL)*(INC_SPECIALS="Y"))=0,"",'Dvd Calendar'!$AO$773)))</f>
        <v/>
      </c>
      <c r="AN81" s="161">
        <f>IF(FP81="","",IF(ISNUMBER('Dvd Calendar'!$AP$773)=FALSE,"",IF((('Dvd Calendar'!$AP$775=TYPE1)*(TYPE1&lt;&gt;"")+('Dvd Calendar'!$AP$775=TYPE2)*(TYPE2&lt;&gt;"")+('Dvd Calendar'!$AP$775=TYPE3)*(TYPE3&lt;&gt;"")+('Dvd Calendar'!$AP$775=TYPE4)*(TYPE4&lt;&gt;"")+('Dvd Calendar'!$AP$775=SPECIAL_LBL)*(INC_SPECIALS="Y"))=0,"",'Dvd Calendar'!$AP$773)))</f>
        <v/>
      </c>
      <c r="AO81" s="161">
        <f>IF(FQ81="","",IF(ISNUMBER('Dvd Calendar'!$AQ$773)=FALSE,"",IF((('Dvd Calendar'!$AQ$775=TYPE1)*(TYPE1&lt;&gt;"")+('Dvd Calendar'!$AQ$775=TYPE2)*(TYPE2&lt;&gt;"")+('Dvd Calendar'!$AQ$775=TYPE3)*(TYPE3&lt;&gt;"")+('Dvd Calendar'!$AQ$775=TYPE4)*(TYPE4&lt;&gt;"")+('Dvd Calendar'!$AQ$775=SPECIAL_LBL)*(INC_SPECIALS="Y"))=0,"",'Dvd Calendar'!$AQ$773)))</f>
        <v/>
      </c>
      <c r="AP81" s="161">
        <f>IF(FR81="","",IF(ISNUMBER('Dvd Calendar'!$AR$773)=FALSE,"",IF((('Dvd Calendar'!$AR$775=TYPE1)*(TYPE1&lt;&gt;"")+('Dvd Calendar'!$AR$775=TYPE2)*(TYPE2&lt;&gt;"")+('Dvd Calendar'!$AR$775=TYPE3)*(TYPE3&lt;&gt;"")+('Dvd Calendar'!$AR$775=TYPE4)*(TYPE4&lt;&gt;"")+('Dvd Calendar'!$AR$775=SPECIAL_LBL)*(INC_SPECIALS="Y"))=0,"",'Dvd Calendar'!$AR$773)))</f>
        <v/>
      </c>
      <c r="AQ81" s="161">
        <f>IF(FS81="","",IF(ISNUMBER('Dvd Calendar'!$E$778)=FALSE,"",'Dvd Calendar'!$E$778))</f>
        <v/>
      </c>
      <c r="AR81" s="161">
        <f>IF(FT81="","",IF(ISNUMBER('Dvd Calendar'!$F$778)=FALSE,"",'Dvd Calendar'!$F$778))</f>
        <v/>
      </c>
      <c r="AS81" s="161">
        <f>IF(FU81="","",IF(ISNUMBER('Dvd Calendar'!$G$778)=FALSE,"",'Dvd Calendar'!$G$778))</f>
        <v/>
      </c>
      <c r="AT81" s="161">
        <f>IF(FV81="","",IF(ISNUMBER('Dvd Calendar'!$H$778)=FALSE,"",'Dvd Calendar'!$H$778))</f>
        <v/>
      </c>
      <c r="AU81" s="161">
        <f>IF(FW81="","",IF(ISNUMBER('Dvd Calendar'!$I$778)=FALSE,"",'Dvd Calendar'!$I$778))</f>
        <v/>
      </c>
      <c r="AV81" s="161">
        <f>IF(FX81="","",IF(ISNUMBER('Dvd Calendar'!$J$778)=FALSE,"",'Dvd Calendar'!$J$778))</f>
        <v/>
      </c>
      <c r="AW81" s="161">
        <f>IF(FY81="","",IF(ISNUMBER('Dvd Calendar'!$K$778)=FALSE,"",'Dvd Calendar'!$K$778))</f>
        <v/>
      </c>
      <c r="AX81" s="161">
        <f>IF(FZ81="","",IF(ISNUMBER('Dvd Calendar'!$L$778)=FALSE,"",'Dvd Calendar'!$L$778))</f>
        <v/>
      </c>
      <c r="AY81" s="161">
        <f>IF(GA81="","",IF(ISNUMBER('Dvd Calendar'!$M$778)=FALSE,"",'Dvd Calendar'!$M$778))</f>
        <v/>
      </c>
      <c r="AZ81" s="161">
        <f>IF(GB81="","",IF(ISNUMBER('Dvd Calendar'!$N$778)=FALSE,"",'Dvd Calendar'!$N$778))</f>
        <v/>
      </c>
      <c r="BA81" s="161">
        <f>IF(GC81="","",IF(ISNUMBER('Dvd Calendar'!$O$778)=FALSE,"",'Dvd Calendar'!$O$778))</f>
        <v/>
      </c>
      <c r="BB81" s="161">
        <f>IF(GD81="","",IF(ISNUMBER('Dvd Calendar'!$P$778)=FALSE,"",'Dvd Calendar'!$P$778))</f>
        <v/>
      </c>
      <c r="BC81" s="161">
        <f>IF(GE81="","",IF(ISNUMBER('Dvd Calendar'!$Q$778)=FALSE,"",'Dvd Calendar'!$Q$778))</f>
        <v/>
      </c>
      <c r="BD81" s="161">
        <f>IF(GF81="","",IF(ISNUMBER('Dvd Calendar'!$R$778)=FALSE,"",'Dvd Calendar'!$R$778))</f>
        <v/>
      </c>
      <c r="BE81" s="161">
        <f>IF(GG81="","",IF(ISNUMBER('Dvd Calendar'!$S$778)=FALSE,"",'Dvd Calendar'!$S$778))</f>
        <v/>
      </c>
      <c r="BF81" s="161">
        <f>IF(GH81="","",IF(ISNUMBER('Dvd Calendar'!$T$778)=FALSE,"",'Dvd Calendar'!$T$778))</f>
        <v/>
      </c>
      <c r="BG81" s="161">
        <f>IF(GI81="","",IF(ISNUMBER('Dvd Calendar'!$U$778)=FALSE,"",'Dvd Calendar'!$U$778))</f>
        <v/>
      </c>
      <c r="BH81" s="161">
        <f>IF(GJ81="","",IF(ISNUMBER('Dvd Calendar'!$V$778)=FALSE,"",'Dvd Calendar'!$V$778))</f>
        <v/>
      </c>
      <c r="BI81" s="161">
        <f>IF(GK81="","",IF(ISNUMBER('Dvd Calendar'!$W$778)=FALSE,"",'Dvd Calendar'!$W$778))</f>
        <v/>
      </c>
      <c r="BJ81" s="161">
        <f>IF(GL81="","",IF(ISNUMBER('Dvd Calendar'!$X$778)=FALSE,"",'Dvd Calendar'!$X$778))</f>
        <v/>
      </c>
      <c r="BK81" s="161">
        <f>IF(GM81="","",IF(ISNUMBER('Dvd Calendar'!$Y$778)=FALSE,"",'Dvd Calendar'!$Y$778))</f>
        <v/>
      </c>
      <c r="BL81" s="161">
        <f>IF(GN81="","",IF(ISNUMBER('Dvd Calendar'!$Z$778)=FALSE,"",'Dvd Calendar'!$Z$778))</f>
        <v/>
      </c>
      <c r="BM81" s="161">
        <f>IF(GO81="","",IF(ISNUMBER('Dvd Calendar'!$AA$778)=FALSE,"",'Dvd Calendar'!$AA$778))</f>
        <v/>
      </c>
      <c r="BN81" s="161">
        <f>IF(GP81="","",IF(ISNUMBER('Dvd Calendar'!$AB$778)=FALSE,"",'Dvd Calendar'!$AB$778))</f>
        <v/>
      </c>
      <c r="BO81" s="161">
        <f>IF(GQ81="","",IF(ISNUMBER('Dvd Calendar'!$AC$778)=FALSE,"",'Dvd Calendar'!$AC$778))</f>
        <v/>
      </c>
      <c r="BQ81" s="161">
        <f>IF(C81="","",IFERROR(C81*HSI!$B$76*HSI!$G$76/HSI!$B$3,""))</f>
        <v/>
      </c>
      <c r="BR81" s="161">
        <f>IF(D81="","",IFERROR(D81*HSI!$B$76*HSI!$G$76/HSI!$B$3,""))</f>
        <v/>
      </c>
      <c r="BS81" s="161">
        <f>IF(E81="","",IFERROR(E81*HSI!$B$76*HSI!$G$76/HSI!$B$3,""))</f>
        <v/>
      </c>
      <c r="BT81" s="161">
        <f>IF(F81="","",IFERROR(F81*HSI!$B$76*HSI!$G$76/HSI!$B$3,""))</f>
        <v/>
      </c>
      <c r="BU81" s="161">
        <f>IF(G81="","",IFERROR(G81*HSI!$B$76*HSI!$G$76/HSI!$B$3,""))</f>
        <v/>
      </c>
      <c r="BV81" s="161">
        <f>IF(H81="","",IFERROR(H81*HSI!$B$76*HSI!$G$76/HSI!$B$3,""))</f>
        <v/>
      </c>
      <c r="BW81" s="161">
        <f>IF(I81="","",IFERROR(I81*HSI!$B$76*HSI!$G$76/HSI!$B$3,""))</f>
        <v/>
      </c>
      <c r="BX81" s="161">
        <f>IF(J81="","",IFERROR(J81*HSI!$B$76*HSI!$G$76/HSI!$B$3,""))</f>
        <v/>
      </c>
      <c r="BY81" s="161">
        <f>IF(K81="","",IFERROR(K81*HSI!$B$76*HSI!$G$76/HSI!$B$3,""))</f>
        <v/>
      </c>
      <c r="BZ81" s="161">
        <f>IF(L81="","",IFERROR(L81*HSI!$B$76*HSI!$G$76/HSI!$B$3,""))</f>
        <v/>
      </c>
      <c r="CA81" s="161">
        <f>IF(M81="","",IFERROR(M81*HSI!$B$76*HSI!$G$76/HSI!$B$3,""))</f>
        <v/>
      </c>
      <c r="CB81" s="161">
        <f>IF(N81="","",IFERROR(N81*HSI!$B$76*HSI!$G$76/HSI!$B$3,""))</f>
        <v/>
      </c>
      <c r="CC81" s="161">
        <f>IF(O81="","",IFERROR(O81*HSI!$B$76*HSI!$G$76/HSI!$B$3,""))</f>
        <v/>
      </c>
      <c r="CD81" s="161">
        <f>IF(P81="","",IFERROR(P81*HSI!$B$76*HSI!$G$76/HSI!$B$3,""))</f>
        <v/>
      </c>
      <c r="CE81" s="161">
        <f>IF(Q81="","",IFERROR(Q81*HSI!$B$76*HSI!$G$76/HSI!$B$3,""))</f>
        <v/>
      </c>
      <c r="CF81" s="161">
        <f>IF(R81="","",IFERROR(R81*HSI!$B$76*HSI!$G$76/HSI!$B$3,""))</f>
        <v/>
      </c>
      <c r="CG81" s="161">
        <f>IF(S81="","",IFERROR(S81*HSI!$B$76*HSI!$G$76/HSI!$B$3,""))</f>
        <v/>
      </c>
      <c r="CH81" s="161">
        <f>IF(T81="","",IFERROR(T81*HSI!$B$76*HSI!$G$76/HSI!$B$3,""))</f>
        <v/>
      </c>
      <c r="CI81" s="161">
        <f>IF(U81="","",IFERROR(U81*HSI!$B$76*HSI!$G$76/HSI!$B$3,""))</f>
        <v/>
      </c>
      <c r="CJ81" s="161">
        <f>IF(V81="","",IFERROR(V81*HSI!$B$76*HSI!$G$76/HSI!$B$3,""))</f>
        <v/>
      </c>
      <c r="CK81" s="161">
        <f>IF(W81="","",IFERROR(W81*HSI!$B$76*HSI!$G$76/HSI!$B$3,""))</f>
        <v/>
      </c>
      <c r="CL81" s="161">
        <f>IF(X81="","",IFERROR(X81*HSI!$B$76*HSI!$G$76/HSI!$B$3,""))</f>
        <v/>
      </c>
      <c r="CM81" s="161">
        <f>IF(Y81="","",IFERROR(Y81*HSI!$B$76*HSI!$G$76/HSI!$B$3,""))</f>
        <v/>
      </c>
      <c r="CN81" s="161">
        <f>IF(Z81="","",IFERROR(Z81*HSI!$B$76*HSI!$G$76/HSI!$B$3,""))</f>
        <v/>
      </c>
      <c r="CO81" s="161">
        <f>IF(AA81="","",IFERROR(AA81*HSI!$B$76*HSI!$G$76/HSI!$B$3,""))</f>
        <v/>
      </c>
      <c r="CP81" s="161">
        <f>IF(AB81="","",IFERROR(AB81*HSI!$B$76*HSI!$G$76/HSI!$B$3,""))</f>
        <v/>
      </c>
      <c r="CQ81" s="161">
        <f>IF(AC81="","",IFERROR(AC81*HSI!$B$76*HSI!$G$76/HSI!$B$3,""))</f>
        <v/>
      </c>
      <c r="CR81" s="161">
        <f>IF(AD81="","",IFERROR(AD81*HSI!$B$76*HSI!$G$76/HSI!$B$3,""))</f>
        <v/>
      </c>
      <c r="CS81" s="161">
        <f>IF(AE81="","",IFERROR(AE81*HSI!$B$76*HSI!$G$76/HSI!$B$3,""))</f>
        <v/>
      </c>
      <c r="CT81" s="161">
        <f>IF(AF81="","",IFERROR(AF81*HSI!$B$76*HSI!$G$76/HSI!$B$3,""))</f>
        <v/>
      </c>
      <c r="CU81" s="161">
        <f>IF(AG81="","",IFERROR(AG81*HSI!$B$76*HSI!$G$76/HSI!$B$3,""))</f>
        <v/>
      </c>
      <c r="CV81" s="161">
        <f>IF(AH81="","",IFERROR(AH81*HSI!$B$76*HSI!$G$76/HSI!$B$3,""))</f>
        <v/>
      </c>
      <c r="CW81" s="161">
        <f>IF(AI81="","",IFERROR(AI81*HSI!$B$76*HSI!$G$76/HSI!$B$3,""))</f>
        <v/>
      </c>
      <c r="CX81" s="161">
        <f>IF(AJ81="","",IFERROR(AJ81*HSI!$B$76*HSI!$G$76/HSI!$B$3,""))</f>
        <v/>
      </c>
      <c r="CY81" s="161">
        <f>IF(AK81="","",IFERROR(AK81*HSI!$B$76*HSI!$G$76/HSI!$B$3,""))</f>
        <v/>
      </c>
      <c r="CZ81" s="161">
        <f>IF(AL81="","",IFERROR(AL81*HSI!$B$76*HSI!$G$76/HSI!$B$3,""))</f>
        <v/>
      </c>
      <c r="DA81" s="161">
        <f>IF(AM81="","",IFERROR(AM81*HSI!$B$76*HSI!$G$76/HSI!$B$3,""))</f>
        <v/>
      </c>
      <c r="DB81" s="161">
        <f>IF(AN81="","",IFERROR(AN81*HSI!$B$76*HSI!$G$76/HSI!$B$3,""))</f>
        <v/>
      </c>
      <c r="DC81" s="161">
        <f>IF(AO81="","",IFERROR(AO81*HSI!$B$76*HSI!$G$76/HSI!$B$3,""))</f>
        <v/>
      </c>
      <c r="DD81" s="161">
        <f>IF(AP81="","",IFERROR(AP81*HSI!$B$76*HSI!$G$76/HSI!$B$3,""))</f>
        <v/>
      </c>
      <c r="DE81" s="161">
        <f>IF(AQ81="","",IFERROR(AQ81*HSI!$B$76*HSI!$G$76/HSI!$B$3,""))</f>
        <v/>
      </c>
      <c r="DF81" s="161">
        <f>IF(AR81="","",IFERROR(AR81*HSI!$B$76*HSI!$G$76/HSI!$B$3,""))</f>
        <v/>
      </c>
      <c r="DG81" s="161">
        <f>IF(AS81="","",IFERROR(AS81*HSI!$B$76*HSI!$G$76/HSI!$B$3,""))</f>
        <v/>
      </c>
      <c r="DH81" s="161">
        <f>IF(AT81="","",IFERROR(AT81*HSI!$B$76*HSI!$G$76/HSI!$B$3,""))</f>
        <v/>
      </c>
      <c r="DI81" s="161">
        <f>IF(AU81="","",IFERROR(AU81*HSI!$B$76*HSI!$G$76/HSI!$B$3,""))</f>
        <v/>
      </c>
      <c r="DJ81" s="161">
        <f>IF(AV81="","",IFERROR(AV81*HSI!$B$76*HSI!$G$76/HSI!$B$3,""))</f>
        <v/>
      </c>
      <c r="DK81" s="161">
        <f>IF(AW81="","",IFERROR(AW81*HSI!$B$76*HSI!$G$76/HSI!$B$3,""))</f>
        <v/>
      </c>
      <c r="DL81" s="161">
        <f>IF(AX81="","",IFERROR(AX81*HSI!$B$76*HSI!$G$76/HSI!$B$3,""))</f>
        <v/>
      </c>
      <c r="DM81" s="161">
        <f>IF(AY81="","",IFERROR(AY81*HSI!$B$76*HSI!$G$76/HSI!$B$3,""))</f>
        <v/>
      </c>
      <c r="DN81" s="161">
        <f>IF(AZ81="","",IFERROR(AZ81*HSI!$B$76*HSI!$G$76/HSI!$B$3,""))</f>
        <v/>
      </c>
      <c r="DO81" s="161">
        <f>IF(BA81="","",IFERROR(BA81*HSI!$B$76*HSI!$G$76/HSI!$B$3,""))</f>
        <v/>
      </c>
      <c r="DP81" s="161">
        <f>IF(BB81="","",IFERROR(BB81*HSI!$B$76*HSI!$G$76/HSI!$B$3,""))</f>
        <v/>
      </c>
      <c r="DQ81" s="161">
        <f>IF(BC81="","",IFERROR(BC81*HSI!$B$76*HSI!$G$76/HSI!$B$3,""))</f>
        <v/>
      </c>
      <c r="DR81" s="161">
        <f>IF(BD81="","",IFERROR(BD81*HSI!$B$76*HSI!$G$76/HSI!$B$3,""))</f>
        <v/>
      </c>
      <c r="DS81" s="161">
        <f>IF(BE81="","",IFERROR(BE81*HSI!$B$76*HSI!$G$76/HSI!$B$3,""))</f>
        <v/>
      </c>
      <c r="DT81" s="161">
        <f>IF(BF81="","",IFERROR(BF81*HSI!$B$76*HSI!$G$76/HSI!$B$3,""))</f>
        <v/>
      </c>
      <c r="DU81" s="161">
        <f>IF(BG81="","",IFERROR(BG81*HSI!$B$76*HSI!$G$76/HSI!$B$3,""))</f>
        <v/>
      </c>
      <c r="DV81" s="161">
        <f>IF(BH81="","",IFERROR(BH81*HSI!$B$76*HSI!$G$76/HSI!$B$3,""))</f>
        <v/>
      </c>
      <c r="DW81" s="161">
        <f>IF(BI81="","",IFERROR(BI81*HSI!$B$76*HSI!$G$76/HSI!$B$3,""))</f>
        <v/>
      </c>
      <c r="DX81" s="161">
        <f>IF(BJ81="","",IFERROR(BJ81*HSI!$B$76*HSI!$G$76/HSI!$B$3,""))</f>
        <v/>
      </c>
      <c r="DY81" s="161">
        <f>IF(BK81="","",IFERROR(BK81*HSI!$B$76*HSI!$G$76/HSI!$B$3,""))</f>
        <v/>
      </c>
      <c r="DZ81" s="161">
        <f>IF(BL81="","",IFERROR(BL81*HSI!$B$76*HSI!$G$76/HSI!$B$3,""))</f>
        <v/>
      </c>
      <c r="EA81" s="161">
        <f>IF(BM81="","",IFERROR(BM81*HSI!$B$76*HSI!$G$76/HSI!$B$3,""))</f>
        <v/>
      </c>
      <c r="EB81" s="161">
        <f>IF(BN81="","",IFERROR(BN81*HSI!$B$76*HSI!$G$76/HSI!$B$3,""))</f>
        <v/>
      </c>
      <c r="EC81" s="161">
        <f>IF(BO81="","",IFERROR(BO81*HSI!$B$76*HSI!$G$76/HSI!$B$3,""))</f>
        <v/>
      </c>
      <c r="EE81" s="121">
        <f>IF(N('Dvd Calendar'!$E$770)=0,"",IF(('Dvd Calendar'!$E$770&gt;=GRID_FROM)*('Dvd Calendar'!$E$770&lt;=GRID_TO)*((('Dvd Calendar'!$E$770&lt;=VAL_DATE)+(COUNTIF('Dvd Calendar'!$E$777:$AR$777,'Dvd Calendar'!$E$770)=0))&gt;0)=0,"",'Dvd Calendar'!$E$770*1000000000+ISNUMBER('Dvd Calendar'!$E$773)*100000000+('Dvd Calendar'!$E$775=SPECIAL_LBL)*10000000+(N('Dvd Calendar'!$E$769)&gt;0)*(N('Dvd Calendar'!$E$769)&lt;=VAL_SERIAL)*1000000+70*1000+1))</f>
        <v/>
      </c>
      <c r="EF81" s="121">
        <f>IF(N('Dvd Calendar'!$F$770)=0,"",IF(('Dvd Calendar'!$F$770&gt;=GRID_FROM)*('Dvd Calendar'!$F$770&lt;=GRID_TO)*((('Dvd Calendar'!$F$770&lt;=VAL_DATE)+(COUNTIF('Dvd Calendar'!$E$777:$AR$777,'Dvd Calendar'!$F$770)=0))&gt;0)=0,"",'Dvd Calendar'!$F$770*1000000000+ISNUMBER('Dvd Calendar'!$F$773)*100000000+('Dvd Calendar'!$F$775=SPECIAL_LBL)*10000000+(N('Dvd Calendar'!$F$769)&gt;0)*(N('Dvd Calendar'!$F$769)&lt;=VAL_SERIAL)*1000000+70*1000+2))</f>
        <v/>
      </c>
      <c r="EG81" s="121">
        <f>IF(N('Dvd Calendar'!$G$770)=0,"",IF(('Dvd Calendar'!$G$770&gt;=GRID_FROM)*('Dvd Calendar'!$G$770&lt;=GRID_TO)*((('Dvd Calendar'!$G$770&lt;=VAL_DATE)+(COUNTIF('Dvd Calendar'!$E$777:$AR$777,'Dvd Calendar'!$G$770)=0))&gt;0)=0,"",'Dvd Calendar'!$G$770*1000000000+ISNUMBER('Dvd Calendar'!$G$773)*100000000+('Dvd Calendar'!$G$775=SPECIAL_LBL)*10000000+(N('Dvd Calendar'!$G$769)&gt;0)*(N('Dvd Calendar'!$G$769)&lt;=VAL_SERIAL)*1000000+70*1000+3))</f>
        <v/>
      </c>
      <c r="EH81" s="121">
        <f>IF(N('Dvd Calendar'!$H$770)=0,"",IF(('Dvd Calendar'!$H$770&gt;=GRID_FROM)*('Dvd Calendar'!$H$770&lt;=GRID_TO)*((('Dvd Calendar'!$H$770&lt;=VAL_DATE)+(COUNTIF('Dvd Calendar'!$E$777:$AR$777,'Dvd Calendar'!$H$770)=0))&gt;0)=0,"",'Dvd Calendar'!$H$770*1000000000+ISNUMBER('Dvd Calendar'!$H$773)*100000000+('Dvd Calendar'!$H$775=SPECIAL_LBL)*10000000+(N('Dvd Calendar'!$H$769)&gt;0)*(N('Dvd Calendar'!$H$769)&lt;=VAL_SERIAL)*1000000+70*1000+4))</f>
        <v/>
      </c>
      <c r="EI81" s="121">
        <f>IF(N('Dvd Calendar'!$I$770)=0,"",IF(('Dvd Calendar'!$I$770&gt;=GRID_FROM)*('Dvd Calendar'!$I$770&lt;=GRID_TO)*((('Dvd Calendar'!$I$770&lt;=VAL_DATE)+(COUNTIF('Dvd Calendar'!$E$777:$AR$777,'Dvd Calendar'!$I$770)=0))&gt;0)=0,"",'Dvd Calendar'!$I$770*1000000000+ISNUMBER('Dvd Calendar'!$I$773)*100000000+('Dvd Calendar'!$I$775=SPECIAL_LBL)*10000000+(N('Dvd Calendar'!$I$769)&gt;0)*(N('Dvd Calendar'!$I$769)&lt;=VAL_SERIAL)*1000000+70*1000+5))</f>
        <v/>
      </c>
      <c r="EJ81" s="121">
        <f>IF(N('Dvd Calendar'!$J$770)=0,"",IF(('Dvd Calendar'!$J$770&gt;=GRID_FROM)*('Dvd Calendar'!$J$770&lt;=GRID_TO)*((('Dvd Calendar'!$J$770&lt;=VAL_DATE)+(COUNTIF('Dvd Calendar'!$E$777:$AR$777,'Dvd Calendar'!$J$770)=0))&gt;0)=0,"",'Dvd Calendar'!$J$770*1000000000+ISNUMBER('Dvd Calendar'!$J$773)*100000000+('Dvd Calendar'!$J$775=SPECIAL_LBL)*10000000+(N('Dvd Calendar'!$J$769)&gt;0)*(N('Dvd Calendar'!$J$769)&lt;=VAL_SERIAL)*1000000+70*1000+6))</f>
        <v/>
      </c>
      <c r="EK81" s="121">
        <f>IF(N('Dvd Calendar'!$K$770)=0,"",IF(('Dvd Calendar'!$K$770&gt;=GRID_FROM)*('Dvd Calendar'!$K$770&lt;=GRID_TO)*((('Dvd Calendar'!$K$770&lt;=VAL_DATE)+(COUNTIF('Dvd Calendar'!$E$777:$AR$777,'Dvd Calendar'!$K$770)=0))&gt;0)=0,"",'Dvd Calendar'!$K$770*1000000000+ISNUMBER('Dvd Calendar'!$K$773)*100000000+('Dvd Calendar'!$K$775=SPECIAL_LBL)*10000000+(N('Dvd Calendar'!$K$769)&gt;0)*(N('Dvd Calendar'!$K$769)&lt;=VAL_SERIAL)*1000000+70*1000+7))</f>
        <v/>
      </c>
      <c r="EL81" s="121">
        <f>IF(N('Dvd Calendar'!$L$770)=0,"",IF(('Dvd Calendar'!$L$770&gt;=GRID_FROM)*('Dvd Calendar'!$L$770&lt;=GRID_TO)*((('Dvd Calendar'!$L$770&lt;=VAL_DATE)+(COUNTIF('Dvd Calendar'!$E$777:$AR$777,'Dvd Calendar'!$L$770)=0))&gt;0)=0,"",'Dvd Calendar'!$L$770*1000000000+ISNUMBER('Dvd Calendar'!$L$773)*100000000+('Dvd Calendar'!$L$775=SPECIAL_LBL)*10000000+(N('Dvd Calendar'!$L$769)&gt;0)*(N('Dvd Calendar'!$L$769)&lt;=VAL_SERIAL)*1000000+70*1000+8))</f>
        <v/>
      </c>
      <c r="EM81" s="121">
        <f>IF(N('Dvd Calendar'!$M$770)=0,"",IF(('Dvd Calendar'!$M$770&gt;=GRID_FROM)*('Dvd Calendar'!$M$770&lt;=GRID_TO)*((('Dvd Calendar'!$M$770&lt;=VAL_DATE)+(COUNTIF('Dvd Calendar'!$E$777:$AR$777,'Dvd Calendar'!$M$770)=0))&gt;0)=0,"",'Dvd Calendar'!$M$770*1000000000+ISNUMBER('Dvd Calendar'!$M$773)*100000000+('Dvd Calendar'!$M$775=SPECIAL_LBL)*10000000+(N('Dvd Calendar'!$M$769)&gt;0)*(N('Dvd Calendar'!$M$769)&lt;=VAL_SERIAL)*1000000+70*1000+9))</f>
        <v/>
      </c>
      <c r="EN81" s="121">
        <f>IF(N('Dvd Calendar'!$N$770)=0,"",IF(('Dvd Calendar'!$N$770&gt;=GRID_FROM)*('Dvd Calendar'!$N$770&lt;=GRID_TO)*((('Dvd Calendar'!$N$770&lt;=VAL_DATE)+(COUNTIF('Dvd Calendar'!$E$777:$AR$777,'Dvd Calendar'!$N$770)=0))&gt;0)=0,"",'Dvd Calendar'!$N$770*1000000000+ISNUMBER('Dvd Calendar'!$N$773)*100000000+('Dvd Calendar'!$N$775=SPECIAL_LBL)*10000000+(N('Dvd Calendar'!$N$769)&gt;0)*(N('Dvd Calendar'!$N$769)&lt;=VAL_SERIAL)*1000000+70*1000+10))</f>
        <v/>
      </c>
      <c r="EO81" s="121">
        <f>IF(N('Dvd Calendar'!$O$770)=0,"",IF(('Dvd Calendar'!$O$770&gt;=GRID_FROM)*('Dvd Calendar'!$O$770&lt;=GRID_TO)*((('Dvd Calendar'!$O$770&lt;=VAL_DATE)+(COUNTIF('Dvd Calendar'!$E$777:$AR$777,'Dvd Calendar'!$O$770)=0))&gt;0)=0,"",'Dvd Calendar'!$O$770*1000000000+ISNUMBER('Dvd Calendar'!$O$773)*100000000+('Dvd Calendar'!$O$775=SPECIAL_LBL)*10000000+(N('Dvd Calendar'!$O$769)&gt;0)*(N('Dvd Calendar'!$O$769)&lt;=VAL_SERIAL)*1000000+70*1000+11))</f>
        <v/>
      </c>
      <c r="EP81" s="121">
        <f>IF(N('Dvd Calendar'!$P$770)=0,"",IF(('Dvd Calendar'!$P$770&gt;=GRID_FROM)*('Dvd Calendar'!$P$770&lt;=GRID_TO)*((('Dvd Calendar'!$P$770&lt;=VAL_DATE)+(COUNTIF('Dvd Calendar'!$E$777:$AR$777,'Dvd Calendar'!$P$770)=0))&gt;0)=0,"",'Dvd Calendar'!$P$770*1000000000+ISNUMBER('Dvd Calendar'!$P$773)*100000000+('Dvd Calendar'!$P$775=SPECIAL_LBL)*10000000+(N('Dvd Calendar'!$P$769)&gt;0)*(N('Dvd Calendar'!$P$769)&lt;=VAL_SERIAL)*1000000+70*1000+12))</f>
        <v/>
      </c>
      <c r="EQ81" s="121">
        <f>IF(N('Dvd Calendar'!$Q$770)=0,"",IF(('Dvd Calendar'!$Q$770&gt;=GRID_FROM)*('Dvd Calendar'!$Q$770&lt;=GRID_TO)*((('Dvd Calendar'!$Q$770&lt;=VAL_DATE)+(COUNTIF('Dvd Calendar'!$E$777:$AR$777,'Dvd Calendar'!$Q$770)=0))&gt;0)=0,"",'Dvd Calendar'!$Q$770*1000000000+ISNUMBER('Dvd Calendar'!$Q$773)*100000000+('Dvd Calendar'!$Q$775=SPECIAL_LBL)*10000000+(N('Dvd Calendar'!$Q$769)&gt;0)*(N('Dvd Calendar'!$Q$769)&lt;=VAL_SERIAL)*1000000+70*1000+13))</f>
        <v/>
      </c>
      <c r="ER81" s="121">
        <f>IF(N('Dvd Calendar'!$R$770)=0,"",IF(('Dvd Calendar'!$R$770&gt;=GRID_FROM)*('Dvd Calendar'!$R$770&lt;=GRID_TO)*((('Dvd Calendar'!$R$770&lt;=VAL_DATE)+(COUNTIF('Dvd Calendar'!$E$777:$AR$777,'Dvd Calendar'!$R$770)=0))&gt;0)=0,"",'Dvd Calendar'!$R$770*1000000000+ISNUMBER('Dvd Calendar'!$R$773)*100000000+('Dvd Calendar'!$R$775=SPECIAL_LBL)*10000000+(N('Dvd Calendar'!$R$769)&gt;0)*(N('Dvd Calendar'!$R$769)&lt;=VAL_SERIAL)*1000000+70*1000+14))</f>
        <v/>
      </c>
      <c r="ES81" s="121">
        <f>IF(N('Dvd Calendar'!$S$770)=0,"",IF(('Dvd Calendar'!$S$770&gt;=GRID_FROM)*('Dvd Calendar'!$S$770&lt;=GRID_TO)*((('Dvd Calendar'!$S$770&lt;=VAL_DATE)+(COUNTIF('Dvd Calendar'!$E$777:$AR$777,'Dvd Calendar'!$S$770)=0))&gt;0)=0,"",'Dvd Calendar'!$S$770*1000000000+ISNUMBER('Dvd Calendar'!$S$773)*100000000+('Dvd Calendar'!$S$775=SPECIAL_LBL)*10000000+(N('Dvd Calendar'!$S$769)&gt;0)*(N('Dvd Calendar'!$S$769)&lt;=VAL_SERIAL)*1000000+70*1000+15))</f>
        <v/>
      </c>
      <c r="ET81" s="121">
        <f>IF(N('Dvd Calendar'!$T$770)=0,"",IF(('Dvd Calendar'!$T$770&gt;=GRID_FROM)*('Dvd Calendar'!$T$770&lt;=GRID_TO)*((('Dvd Calendar'!$T$770&lt;=VAL_DATE)+(COUNTIF('Dvd Calendar'!$E$777:$AR$777,'Dvd Calendar'!$T$770)=0))&gt;0)=0,"",'Dvd Calendar'!$T$770*1000000000+ISNUMBER('Dvd Calendar'!$T$773)*100000000+('Dvd Calendar'!$T$775=SPECIAL_LBL)*10000000+(N('Dvd Calendar'!$T$769)&gt;0)*(N('Dvd Calendar'!$T$769)&lt;=VAL_SERIAL)*1000000+70*1000+16))</f>
        <v/>
      </c>
      <c r="EU81" s="121">
        <f>IF(N('Dvd Calendar'!$U$770)=0,"",IF(('Dvd Calendar'!$U$770&gt;=GRID_FROM)*('Dvd Calendar'!$U$770&lt;=GRID_TO)*((('Dvd Calendar'!$U$770&lt;=VAL_DATE)+(COUNTIF('Dvd Calendar'!$E$777:$AR$777,'Dvd Calendar'!$U$770)=0))&gt;0)=0,"",'Dvd Calendar'!$U$770*1000000000+ISNUMBER('Dvd Calendar'!$U$773)*100000000+('Dvd Calendar'!$U$775=SPECIAL_LBL)*10000000+(N('Dvd Calendar'!$U$769)&gt;0)*(N('Dvd Calendar'!$U$769)&lt;=VAL_SERIAL)*1000000+70*1000+17))</f>
        <v/>
      </c>
      <c r="EV81" s="121">
        <f>IF(N('Dvd Calendar'!$V$770)=0,"",IF(('Dvd Calendar'!$V$770&gt;=GRID_FROM)*('Dvd Calendar'!$V$770&lt;=GRID_TO)*((('Dvd Calendar'!$V$770&lt;=VAL_DATE)+(COUNTIF('Dvd Calendar'!$E$777:$AR$777,'Dvd Calendar'!$V$770)=0))&gt;0)=0,"",'Dvd Calendar'!$V$770*1000000000+ISNUMBER('Dvd Calendar'!$V$773)*100000000+('Dvd Calendar'!$V$775=SPECIAL_LBL)*10000000+(N('Dvd Calendar'!$V$769)&gt;0)*(N('Dvd Calendar'!$V$769)&lt;=VAL_SERIAL)*1000000+70*1000+18))</f>
        <v/>
      </c>
      <c r="EW81" s="121">
        <f>IF(N('Dvd Calendar'!$W$770)=0,"",IF(('Dvd Calendar'!$W$770&gt;=GRID_FROM)*('Dvd Calendar'!$W$770&lt;=GRID_TO)*((('Dvd Calendar'!$W$770&lt;=VAL_DATE)+(COUNTIF('Dvd Calendar'!$E$777:$AR$777,'Dvd Calendar'!$W$770)=0))&gt;0)=0,"",'Dvd Calendar'!$W$770*1000000000+ISNUMBER('Dvd Calendar'!$W$773)*100000000+('Dvd Calendar'!$W$775=SPECIAL_LBL)*10000000+(N('Dvd Calendar'!$W$769)&gt;0)*(N('Dvd Calendar'!$W$769)&lt;=VAL_SERIAL)*1000000+70*1000+19))</f>
        <v/>
      </c>
      <c r="EX81" s="121">
        <f>IF(N('Dvd Calendar'!$X$770)=0,"",IF(('Dvd Calendar'!$X$770&gt;=GRID_FROM)*('Dvd Calendar'!$X$770&lt;=GRID_TO)*((('Dvd Calendar'!$X$770&lt;=VAL_DATE)+(COUNTIF('Dvd Calendar'!$E$777:$AR$777,'Dvd Calendar'!$X$770)=0))&gt;0)=0,"",'Dvd Calendar'!$X$770*1000000000+ISNUMBER('Dvd Calendar'!$X$773)*100000000+('Dvd Calendar'!$X$775=SPECIAL_LBL)*10000000+(N('Dvd Calendar'!$X$769)&gt;0)*(N('Dvd Calendar'!$X$769)&lt;=VAL_SERIAL)*1000000+70*1000+20))</f>
        <v/>
      </c>
      <c r="EY81" s="121">
        <f>IF(N('Dvd Calendar'!$Y$770)=0,"",IF(('Dvd Calendar'!$Y$770&gt;=GRID_FROM)*('Dvd Calendar'!$Y$770&lt;=GRID_TO)*((('Dvd Calendar'!$Y$770&lt;=VAL_DATE)+(COUNTIF('Dvd Calendar'!$E$777:$AR$777,'Dvd Calendar'!$Y$770)=0))&gt;0)=0,"",'Dvd Calendar'!$Y$770*1000000000+ISNUMBER('Dvd Calendar'!$Y$773)*100000000+('Dvd Calendar'!$Y$775=SPECIAL_LBL)*10000000+(N('Dvd Calendar'!$Y$769)&gt;0)*(N('Dvd Calendar'!$Y$769)&lt;=VAL_SERIAL)*1000000+70*1000+21))</f>
        <v/>
      </c>
      <c r="EZ81" s="121">
        <f>IF(N('Dvd Calendar'!$Z$770)=0,"",IF(('Dvd Calendar'!$Z$770&gt;=GRID_FROM)*('Dvd Calendar'!$Z$770&lt;=GRID_TO)*((('Dvd Calendar'!$Z$770&lt;=VAL_DATE)+(COUNTIF('Dvd Calendar'!$E$777:$AR$777,'Dvd Calendar'!$Z$770)=0))&gt;0)=0,"",'Dvd Calendar'!$Z$770*1000000000+ISNUMBER('Dvd Calendar'!$Z$773)*100000000+('Dvd Calendar'!$Z$775=SPECIAL_LBL)*10000000+(N('Dvd Calendar'!$Z$769)&gt;0)*(N('Dvd Calendar'!$Z$769)&lt;=VAL_SERIAL)*1000000+70*1000+22))</f>
        <v/>
      </c>
      <c r="FA81" s="121">
        <f>IF(N('Dvd Calendar'!$AA$770)=0,"",IF(('Dvd Calendar'!$AA$770&gt;=GRID_FROM)*('Dvd Calendar'!$AA$770&lt;=GRID_TO)*((('Dvd Calendar'!$AA$770&lt;=VAL_DATE)+(COUNTIF('Dvd Calendar'!$E$777:$AR$777,'Dvd Calendar'!$AA$770)=0))&gt;0)=0,"",'Dvd Calendar'!$AA$770*1000000000+ISNUMBER('Dvd Calendar'!$AA$773)*100000000+('Dvd Calendar'!$AA$775=SPECIAL_LBL)*10000000+(N('Dvd Calendar'!$AA$769)&gt;0)*(N('Dvd Calendar'!$AA$769)&lt;=VAL_SERIAL)*1000000+70*1000+23))</f>
        <v/>
      </c>
      <c r="FB81" s="121">
        <f>IF(N('Dvd Calendar'!$AB$770)=0,"",IF(('Dvd Calendar'!$AB$770&gt;=GRID_FROM)*('Dvd Calendar'!$AB$770&lt;=GRID_TO)*((('Dvd Calendar'!$AB$770&lt;=VAL_DATE)+(COUNTIF('Dvd Calendar'!$E$777:$AR$777,'Dvd Calendar'!$AB$770)=0))&gt;0)=0,"",'Dvd Calendar'!$AB$770*1000000000+ISNUMBER('Dvd Calendar'!$AB$773)*100000000+('Dvd Calendar'!$AB$775=SPECIAL_LBL)*10000000+(N('Dvd Calendar'!$AB$769)&gt;0)*(N('Dvd Calendar'!$AB$769)&lt;=VAL_SERIAL)*1000000+70*1000+24))</f>
        <v/>
      </c>
      <c r="FC81" s="121">
        <f>IF(N('Dvd Calendar'!$AC$770)=0,"",IF(('Dvd Calendar'!$AC$770&gt;=GRID_FROM)*('Dvd Calendar'!$AC$770&lt;=GRID_TO)*((('Dvd Calendar'!$AC$770&lt;=VAL_DATE)+(COUNTIF('Dvd Calendar'!$E$777:$AR$777,'Dvd Calendar'!$AC$770)=0))&gt;0)=0,"",'Dvd Calendar'!$AC$770*1000000000+ISNUMBER('Dvd Calendar'!$AC$773)*100000000+('Dvd Calendar'!$AC$775=SPECIAL_LBL)*10000000+(N('Dvd Calendar'!$AC$769)&gt;0)*(N('Dvd Calendar'!$AC$769)&lt;=VAL_SERIAL)*1000000+70*1000+25))</f>
        <v/>
      </c>
      <c r="FD81" s="121">
        <f>IF(N('Dvd Calendar'!$AD$770)=0,"",IF(('Dvd Calendar'!$AD$770&gt;=GRID_FROM)*('Dvd Calendar'!$AD$770&lt;=GRID_TO)*((('Dvd Calendar'!$AD$770&lt;=VAL_DATE)+(COUNTIF('Dvd Calendar'!$E$777:$AR$777,'Dvd Calendar'!$AD$770)=0))&gt;0)=0,"",'Dvd Calendar'!$AD$770*1000000000+ISNUMBER('Dvd Calendar'!$AD$773)*100000000+('Dvd Calendar'!$AD$775=SPECIAL_LBL)*10000000+(N('Dvd Calendar'!$AD$769)&gt;0)*(N('Dvd Calendar'!$AD$769)&lt;=VAL_SERIAL)*1000000+70*1000+26))</f>
        <v/>
      </c>
      <c r="FE81" s="121">
        <f>IF(N('Dvd Calendar'!$AE$770)=0,"",IF(('Dvd Calendar'!$AE$770&gt;=GRID_FROM)*('Dvd Calendar'!$AE$770&lt;=GRID_TO)*((('Dvd Calendar'!$AE$770&lt;=VAL_DATE)+(COUNTIF('Dvd Calendar'!$E$777:$AR$777,'Dvd Calendar'!$AE$770)=0))&gt;0)=0,"",'Dvd Calendar'!$AE$770*1000000000+ISNUMBER('Dvd Calendar'!$AE$773)*100000000+('Dvd Calendar'!$AE$775=SPECIAL_LBL)*10000000+(N('Dvd Calendar'!$AE$769)&gt;0)*(N('Dvd Calendar'!$AE$769)&lt;=VAL_SERIAL)*1000000+70*1000+27))</f>
        <v/>
      </c>
      <c r="FF81" s="121">
        <f>IF(N('Dvd Calendar'!$AF$770)=0,"",IF(('Dvd Calendar'!$AF$770&gt;=GRID_FROM)*('Dvd Calendar'!$AF$770&lt;=GRID_TO)*((('Dvd Calendar'!$AF$770&lt;=VAL_DATE)+(COUNTIF('Dvd Calendar'!$E$777:$AR$777,'Dvd Calendar'!$AF$770)=0))&gt;0)=0,"",'Dvd Calendar'!$AF$770*1000000000+ISNUMBER('Dvd Calendar'!$AF$773)*100000000+('Dvd Calendar'!$AF$775=SPECIAL_LBL)*10000000+(N('Dvd Calendar'!$AF$769)&gt;0)*(N('Dvd Calendar'!$AF$769)&lt;=VAL_SERIAL)*1000000+70*1000+28))</f>
        <v/>
      </c>
      <c r="FG81" s="121">
        <f>IF(N('Dvd Calendar'!$AG$770)=0,"",IF(('Dvd Calendar'!$AG$770&gt;=GRID_FROM)*('Dvd Calendar'!$AG$770&lt;=GRID_TO)*((('Dvd Calendar'!$AG$770&lt;=VAL_DATE)+(COUNTIF('Dvd Calendar'!$E$777:$AR$777,'Dvd Calendar'!$AG$770)=0))&gt;0)=0,"",'Dvd Calendar'!$AG$770*1000000000+ISNUMBER('Dvd Calendar'!$AG$773)*100000000+('Dvd Calendar'!$AG$775=SPECIAL_LBL)*10000000+(N('Dvd Calendar'!$AG$769)&gt;0)*(N('Dvd Calendar'!$AG$769)&lt;=VAL_SERIAL)*1000000+70*1000+29))</f>
        <v/>
      </c>
      <c r="FH81" s="121">
        <f>IF(N('Dvd Calendar'!$AH$770)=0,"",IF(('Dvd Calendar'!$AH$770&gt;=GRID_FROM)*('Dvd Calendar'!$AH$770&lt;=GRID_TO)*((('Dvd Calendar'!$AH$770&lt;=VAL_DATE)+(COUNTIF('Dvd Calendar'!$E$777:$AR$777,'Dvd Calendar'!$AH$770)=0))&gt;0)=0,"",'Dvd Calendar'!$AH$770*1000000000+ISNUMBER('Dvd Calendar'!$AH$773)*100000000+('Dvd Calendar'!$AH$775=SPECIAL_LBL)*10000000+(N('Dvd Calendar'!$AH$769)&gt;0)*(N('Dvd Calendar'!$AH$769)&lt;=VAL_SERIAL)*1000000+70*1000+30))</f>
        <v/>
      </c>
      <c r="FI81" s="121">
        <f>IF(N('Dvd Calendar'!$AI$770)=0,"",IF(('Dvd Calendar'!$AI$770&gt;=GRID_FROM)*('Dvd Calendar'!$AI$770&lt;=GRID_TO)*((('Dvd Calendar'!$AI$770&lt;=VAL_DATE)+(COUNTIF('Dvd Calendar'!$E$777:$AR$777,'Dvd Calendar'!$AI$770)=0))&gt;0)=0,"",'Dvd Calendar'!$AI$770*1000000000+ISNUMBER('Dvd Calendar'!$AI$773)*100000000+('Dvd Calendar'!$AI$775=SPECIAL_LBL)*10000000+(N('Dvd Calendar'!$AI$769)&gt;0)*(N('Dvd Calendar'!$AI$769)&lt;=VAL_SERIAL)*1000000+70*1000+31))</f>
        <v/>
      </c>
      <c r="FJ81" s="121">
        <f>IF(N('Dvd Calendar'!$AJ$770)=0,"",IF(('Dvd Calendar'!$AJ$770&gt;=GRID_FROM)*('Dvd Calendar'!$AJ$770&lt;=GRID_TO)*((('Dvd Calendar'!$AJ$770&lt;=VAL_DATE)+(COUNTIF('Dvd Calendar'!$E$777:$AR$777,'Dvd Calendar'!$AJ$770)=0))&gt;0)=0,"",'Dvd Calendar'!$AJ$770*1000000000+ISNUMBER('Dvd Calendar'!$AJ$773)*100000000+('Dvd Calendar'!$AJ$775=SPECIAL_LBL)*10000000+(N('Dvd Calendar'!$AJ$769)&gt;0)*(N('Dvd Calendar'!$AJ$769)&lt;=VAL_SERIAL)*1000000+70*1000+32))</f>
        <v/>
      </c>
      <c r="FK81" s="121">
        <f>IF(N('Dvd Calendar'!$AK$770)=0,"",IF(('Dvd Calendar'!$AK$770&gt;=GRID_FROM)*('Dvd Calendar'!$AK$770&lt;=GRID_TO)*((('Dvd Calendar'!$AK$770&lt;=VAL_DATE)+(COUNTIF('Dvd Calendar'!$E$777:$AR$777,'Dvd Calendar'!$AK$770)=0))&gt;0)=0,"",'Dvd Calendar'!$AK$770*1000000000+ISNUMBER('Dvd Calendar'!$AK$773)*100000000+('Dvd Calendar'!$AK$775=SPECIAL_LBL)*10000000+(N('Dvd Calendar'!$AK$769)&gt;0)*(N('Dvd Calendar'!$AK$769)&lt;=VAL_SERIAL)*1000000+70*1000+33))</f>
        <v/>
      </c>
      <c r="FL81" s="121">
        <f>IF(N('Dvd Calendar'!$AL$770)=0,"",IF(('Dvd Calendar'!$AL$770&gt;=GRID_FROM)*('Dvd Calendar'!$AL$770&lt;=GRID_TO)*((('Dvd Calendar'!$AL$770&lt;=VAL_DATE)+(COUNTIF('Dvd Calendar'!$E$777:$AR$777,'Dvd Calendar'!$AL$770)=0))&gt;0)=0,"",'Dvd Calendar'!$AL$770*1000000000+ISNUMBER('Dvd Calendar'!$AL$773)*100000000+('Dvd Calendar'!$AL$775=SPECIAL_LBL)*10000000+(N('Dvd Calendar'!$AL$769)&gt;0)*(N('Dvd Calendar'!$AL$769)&lt;=VAL_SERIAL)*1000000+70*1000+34))</f>
        <v/>
      </c>
      <c r="FM81" s="121">
        <f>IF(N('Dvd Calendar'!$AM$770)=0,"",IF(('Dvd Calendar'!$AM$770&gt;=GRID_FROM)*('Dvd Calendar'!$AM$770&lt;=GRID_TO)*((('Dvd Calendar'!$AM$770&lt;=VAL_DATE)+(COUNTIF('Dvd Calendar'!$E$777:$AR$777,'Dvd Calendar'!$AM$770)=0))&gt;0)=0,"",'Dvd Calendar'!$AM$770*1000000000+ISNUMBER('Dvd Calendar'!$AM$773)*100000000+('Dvd Calendar'!$AM$775=SPECIAL_LBL)*10000000+(N('Dvd Calendar'!$AM$769)&gt;0)*(N('Dvd Calendar'!$AM$769)&lt;=VAL_SERIAL)*1000000+70*1000+35))</f>
        <v/>
      </c>
      <c r="FN81" s="121">
        <f>IF(N('Dvd Calendar'!$AN$770)=0,"",IF(('Dvd Calendar'!$AN$770&gt;=GRID_FROM)*('Dvd Calendar'!$AN$770&lt;=GRID_TO)*((('Dvd Calendar'!$AN$770&lt;=VAL_DATE)+(COUNTIF('Dvd Calendar'!$E$777:$AR$777,'Dvd Calendar'!$AN$770)=0))&gt;0)=0,"",'Dvd Calendar'!$AN$770*1000000000+ISNUMBER('Dvd Calendar'!$AN$773)*100000000+('Dvd Calendar'!$AN$775=SPECIAL_LBL)*10000000+(N('Dvd Calendar'!$AN$769)&gt;0)*(N('Dvd Calendar'!$AN$769)&lt;=VAL_SERIAL)*1000000+70*1000+36))</f>
        <v/>
      </c>
      <c r="FO81" s="121">
        <f>IF(N('Dvd Calendar'!$AO$770)=0,"",IF(('Dvd Calendar'!$AO$770&gt;=GRID_FROM)*('Dvd Calendar'!$AO$770&lt;=GRID_TO)*((('Dvd Calendar'!$AO$770&lt;=VAL_DATE)+(COUNTIF('Dvd Calendar'!$E$777:$AR$777,'Dvd Calendar'!$AO$770)=0))&gt;0)=0,"",'Dvd Calendar'!$AO$770*1000000000+ISNUMBER('Dvd Calendar'!$AO$773)*100000000+('Dvd Calendar'!$AO$775=SPECIAL_LBL)*10000000+(N('Dvd Calendar'!$AO$769)&gt;0)*(N('Dvd Calendar'!$AO$769)&lt;=VAL_SERIAL)*1000000+70*1000+37))</f>
        <v/>
      </c>
      <c r="FP81" s="121">
        <f>IF(N('Dvd Calendar'!$AP$770)=0,"",IF(('Dvd Calendar'!$AP$770&gt;=GRID_FROM)*('Dvd Calendar'!$AP$770&lt;=GRID_TO)*((('Dvd Calendar'!$AP$770&lt;=VAL_DATE)+(COUNTIF('Dvd Calendar'!$E$777:$AR$777,'Dvd Calendar'!$AP$770)=0))&gt;0)=0,"",'Dvd Calendar'!$AP$770*1000000000+ISNUMBER('Dvd Calendar'!$AP$773)*100000000+('Dvd Calendar'!$AP$775=SPECIAL_LBL)*10000000+(N('Dvd Calendar'!$AP$769)&gt;0)*(N('Dvd Calendar'!$AP$769)&lt;=VAL_SERIAL)*1000000+70*1000+38))</f>
        <v/>
      </c>
      <c r="FQ81" s="121">
        <f>IF(N('Dvd Calendar'!$AQ$770)=0,"",IF(('Dvd Calendar'!$AQ$770&gt;=GRID_FROM)*('Dvd Calendar'!$AQ$770&lt;=GRID_TO)*((('Dvd Calendar'!$AQ$770&lt;=VAL_DATE)+(COUNTIF('Dvd Calendar'!$E$777:$AR$777,'Dvd Calendar'!$AQ$770)=0))&gt;0)=0,"",'Dvd Calendar'!$AQ$770*1000000000+ISNUMBER('Dvd Calendar'!$AQ$773)*100000000+('Dvd Calendar'!$AQ$775=SPECIAL_LBL)*10000000+(N('Dvd Calendar'!$AQ$769)&gt;0)*(N('Dvd Calendar'!$AQ$769)&lt;=VAL_SERIAL)*1000000+70*1000+39))</f>
        <v/>
      </c>
      <c r="FR81" s="121">
        <f>IF(N('Dvd Calendar'!$AR$770)=0,"",IF(('Dvd Calendar'!$AR$770&gt;=GRID_FROM)*('Dvd Calendar'!$AR$770&lt;=GRID_TO)*((('Dvd Calendar'!$AR$770&lt;=VAL_DATE)+(COUNTIF('Dvd Calendar'!$E$777:$AR$777,'Dvd Calendar'!$AR$770)=0))&gt;0)=0,"",'Dvd Calendar'!$AR$770*1000000000+ISNUMBER('Dvd Calendar'!$AR$773)*100000000+('Dvd Calendar'!$AR$775=SPECIAL_LBL)*10000000+(N('Dvd Calendar'!$AR$769)&gt;0)*(N('Dvd Calendar'!$AR$769)&lt;=VAL_SERIAL)*1000000+70*1000+40))</f>
        <v/>
      </c>
      <c r="FS81" s="121">
        <f>IF(N('Dvd Calendar'!$E$777)=0,"",IF(('Dvd Calendar'!$E$777&gt;=GRID_FROM)*('Dvd Calendar'!$E$777&lt;=GRID_TO)*('Dvd Calendar'!$E$777&gt;VAL_DATE)=0,"",'Dvd Calendar'!$E$777*1000000000+ISNUMBER('Dvd Calendar'!$E$778)*100000000+0*10000000+(N('Dvd Calendar'!$E$776)&gt;0)*(N('Dvd Calendar'!$E$776)&lt;=VAL_SERIAL)*1000000+70*1000+41))</f>
        <v/>
      </c>
      <c r="FT81" s="121">
        <f>IF(N('Dvd Calendar'!$F$777)=0,"",IF(('Dvd Calendar'!$F$777&gt;=GRID_FROM)*('Dvd Calendar'!$F$777&lt;=GRID_TO)*('Dvd Calendar'!$F$777&gt;VAL_DATE)=0,"",'Dvd Calendar'!$F$777*1000000000+ISNUMBER('Dvd Calendar'!$F$778)*100000000+0*10000000+(N('Dvd Calendar'!$F$776)&gt;0)*(N('Dvd Calendar'!$F$776)&lt;=VAL_SERIAL)*1000000+70*1000+42))</f>
        <v/>
      </c>
      <c r="FU81" s="121">
        <f>IF(N('Dvd Calendar'!$G$777)=0,"",IF(('Dvd Calendar'!$G$777&gt;=GRID_FROM)*('Dvd Calendar'!$G$777&lt;=GRID_TO)*('Dvd Calendar'!$G$777&gt;VAL_DATE)=0,"",'Dvd Calendar'!$G$777*1000000000+ISNUMBER('Dvd Calendar'!$G$778)*100000000+0*10000000+(N('Dvd Calendar'!$G$776)&gt;0)*(N('Dvd Calendar'!$G$776)&lt;=VAL_SERIAL)*1000000+70*1000+43))</f>
        <v/>
      </c>
      <c r="FV81" s="121">
        <f>IF(N('Dvd Calendar'!$H$777)=0,"",IF(('Dvd Calendar'!$H$777&gt;=GRID_FROM)*('Dvd Calendar'!$H$777&lt;=GRID_TO)*('Dvd Calendar'!$H$777&gt;VAL_DATE)=0,"",'Dvd Calendar'!$H$777*1000000000+ISNUMBER('Dvd Calendar'!$H$778)*100000000+0*10000000+(N('Dvd Calendar'!$H$776)&gt;0)*(N('Dvd Calendar'!$H$776)&lt;=VAL_SERIAL)*1000000+70*1000+44))</f>
        <v/>
      </c>
      <c r="FW81" s="121">
        <f>IF(N('Dvd Calendar'!$I$777)=0,"",IF(('Dvd Calendar'!$I$777&gt;=GRID_FROM)*('Dvd Calendar'!$I$777&lt;=GRID_TO)*('Dvd Calendar'!$I$777&gt;VAL_DATE)=0,"",'Dvd Calendar'!$I$777*1000000000+ISNUMBER('Dvd Calendar'!$I$778)*100000000+0*10000000+(N('Dvd Calendar'!$I$776)&gt;0)*(N('Dvd Calendar'!$I$776)&lt;=VAL_SERIAL)*1000000+70*1000+45))</f>
        <v/>
      </c>
      <c r="FX81" s="121">
        <f>IF(N('Dvd Calendar'!$J$777)=0,"",IF(('Dvd Calendar'!$J$777&gt;=GRID_FROM)*('Dvd Calendar'!$J$777&lt;=GRID_TO)*('Dvd Calendar'!$J$777&gt;VAL_DATE)=0,"",'Dvd Calendar'!$J$777*1000000000+ISNUMBER('Dvd Calendar'!$J$778)*100000000+0*10000000+(N('Dvd Calendar'!$J$776)&gt;0)*(N('Dvd Calendar'!$J$776)&lt;=VAL_SERIAL)*1000000+70*1000+46))</f>
        <v/>
      </c>
      <c r="FY81" s="121">
        <f>IF(N('Dvd Calendar'!$K$777)=0,"",IF(('Dvd Calendar'!$K$777&gt;=GRID_FROM)*('Dvd Calendar'!$K$777&lt;=GRID_TO)*('Dvd Calendar'!$K$777&gt;VAL_DATE)=0,"",'Dvd Calendar'!$K$777*1000000000+ISNUMBER('Dvd Calendar'!$K$778)*100000000+0*10000000+(N('Dvd Calendar'!$K$776)&gt;0)*(N('Dvd Calendar'!$K$776)&lt;=VAL_SERIAL)*1000000+70*1000+47))</f>
        <v/>
      </c>
      <c r="FZ81" s="121">
        <f>IF(N('Dvd Calendar'!$L$777)=0,"",IF(('Dvd Calendar'!$L$777&gt;=GRID_FROM)*('Dvd Calendar'!$L$777&lt;=GRID_TO)*('Dvd Calendar'!$L$777&gt;VAL_DATE)=0,"",'Dvd Calendar'!$L$777*1000000000+ISNUMBER('Dvd Calendar'!$L$778)*100000000+0*10000000+(N('Dvd Calendar'!$L$776)&gt;0)*(N('Dvd Calendar'!$L$776)&lt;=VAL_SERIAL)*1000000+70*1000+48))</f>
        <v/>
      </c>
      <c r="GA81" s="121">
        <f>IF(N('Dvd Calendar'!$M$777)=0,"",IF(('Dvd Calendar'!$M$777&gt;=GRID_FROM)*('Dvd Calendar'!$M$777&lt;=GRID_TO)*('Dvd Calendar'!$M$777&gt;VAL_DATE)=0,"",'Dvd Calendar'!$M$777*1000000000+ISNUMBER('Dvd Calendar'!$M$778)*100000000+0*10000000+(N('Dvd Calendar'!$M$776)&gt;0)*(N('Dvd Calendar'!$M$776)&lt;=VAL_SERIAL)*1000000+70*1000+49))</f>
        <v/>
      </c>
      <c r="GB81" s="121">
        <f>IF(N('Dvd Calendar'!$N$777)=0,"",IF(('Dvd Calendar'!$N$777&gt;=GRID_FROM)*('Dvd Calendar'!$N$777&lt;=GRID_TO)*('Dvd Calendar'!$N$777&gt;VAL_DATE)=0,"",'Dvd Calendar'!$N$777*1000000000+ISNUMBER('Dvd Calendar'!$N$778)*100000000+0*10000000+(N('Dvd Calendar'!$N$776)&gt;0)*(N('Dvd Calendar'!$N$776)&lt;=VAL_SERIAL)*1000000+70*1000+50))</f>
        <v/>
      </c>
      <c r="GC81" s="121">
        <f>IF(N('Dvd Calendar'!$O$777)=0,"",IF(('Dvd Calendar'!$O$777&gt;=GRID_FROM)*('Dvd Calendar'!$O$777&lt;=GRID_TO)*('Dvd Calendar'!$O$777&gt;VAL_DATE)=0,"",'Dvd Calendar'!$O$777*1000000000+ISNUMBER('Dvd Calendar'!$O$778)*100000000+0*10000000+(N('Dvd Calendar'!$O$776)&gt;0)*(N('Dvd Calendar'!$O$776)&lt;=VAL_SERIAL)*1000000+70*1000+51))</f>
        <v/>
      </c>
      <c r="GD81" s="121">
        <f>IF(N('Dvd Calendar'!$P$777)=0,"",IF(('Dvd Calendar'!$P$777&gt;=GRID_FROM)*('Dvd Calendar'!$P$777&lt;=GRID_TO)*('Dvd Calendar'!$P$777&gt;VAL_DATE)=0,"",'Dvd Calendar'!$P$777*1000000000+ISNUMBER('Dvd Calendar'!$P$778)*100000000+0*10000000+(N('Dvd Calendar'!$P$776)&gt;0)*(N('Dvd Calendar'!$P$776)&lt;=VAL_SERIAL)*1000000+70*1000+52))</f>
        <v/>
      </c>
      <c r="GE81" s="121">
        <f>IF(N('Dvd Calendar'!$Q$777)=0,"",IF(('Dvd Calendar'!$Q$777&gt;=GRID_FROM)*('Dvd Calendar'!$Q$777&lt;=GRID_TO)*('Dvd Calendar'!$Q$777&gt;VAL_DATE)=0,"",'Dvd Calendar'!$Q$777*1000000000+ISNUMBER('Dvd Calendar'!$Q$778)*100000000+0*10000000+(N('Dvd Calendar'!$Q$776)&gt;0)*(N('Dvd Calendar'!$Q$776)&lt;=VAL_SERIAL)*1000000+70*1000+53))</f>
        <v/>
      </c>
      <c r="GF81" s="121">
        <f>IF(N('Dvd Calendar'!$R$777)=0,"",IF(('Dvd Calendar'!$R$777&gt;=GRID_FROM)*('Dvd Calendar'!$R$777&lt;=GRID_TO)*('Dvd Calendar'!$R$777&gt;VAL_DATE)=0,"",'Dvd Calendar'!$R$777*1000000000+ISNUMBER('Dvd Calendar'!$R$778)*100000000+0*10000000+(N('Dvd Calendar'!$R$776)&gt;0)*(N('Dvd Calendar'!$R$776)&lt;=VAL_SERIAL)*1000000+70*1000+54))</f>
        <v/>
      </c>
      <c r="GG81" s="121">
        <f>IF(N('Dvd Calendar'!$S$777)=0,"",IF(('Dvd Calendar'!$S$777&gt;=GRID_FROM)*('Dvd Calendar'!$S$777&lt;=GRID_TO)*('Dvd Calendar'!$S$777&gt;VAL_DATE)=0,"",'Dvd Calendar'!$S$777*1000000000+ISNUMBER('Dvd Calendar'!$S$778)*100000000+0*10000000+(N('Dvd Calendar'!$S$776)&gt;0)*(N('Dvd Calendar'!$S$776)&lt;=VAL_SERIAL)*1000000+70*1000+55))</f>
        <v/>
      </c>
      <c r="GH81" s="121">
        <f>IF(N('Dvd Calendar'!$T$777)=0,"",IF(('Dvd Calendar'!$T$777&gt;=GRID_FROM)*('Dvd Calendar'!$T$777&lt;=GRID_TO)*('Dvd Calendar'!$T$777&gt;VAL_DATE)=0,"",'Dvd Calendar'!$T$777*1000000000+ISNUMBER('Dvd Calendar'!$T$778)*100000000+0*10000000+(N('Dvd Calendar'!$T$776)&gt;0)*(N('Dvd Calendar'!$T$776)&lt;=VAL_SERIAL)*1000000+70*1000+56))</f>
        <v/>
      </c>
      <c r="GI81" s="121">
        <f>IF(N('Dvd Calendar'!$U$777)=0,"",IF(('Dvd Calendar'!$U$777&gt;=GRID_FROM)*('Dvd Calendar'!$U$777&lt;=GRID_TO)*('Dvd Calendar'!$U$777&gt;VAL_DATE)=0,"",'Dvd Calendar'!$U$777*1000000000+ISNUMBER('Dvd Calendar'!$U$778)*100000000+0*10000000+(N('Dvd Calendar'!$U$776)&gt;0)*(N('Dvd Calendar'!$U$776)&lt;=VAL_SERIAL)*1000000+70*1000+57))</f>
        <v/>
      </c>
      <c r="GJ81" s="121">
        <f>IF(N('Dvd Calendar'!$V$777)=0,"",IF(('Dvd Calendar'!$V$777&gt;=GRID_FROM)*('Dvd Calendar'!$V$777&lt;=GRID_TO)*('Dvd Calendar'!$V$777&gt;VAL_DATE)=0,"",'Dvd Calendar'!$V$777*1000000000+ISNUMBER('Dvd Calendar'!$V$778)*100000000+0*10000000+(N('Dvd Calendar'!$V$776)&gt;0)*(N('Dvd Calendar'!$V$776)&lt;=VAL_SERIAL)*1000000+70*1000+58))</f>
        <v/>
      </c>
      <c r="GK81" s="121">
        <f>IF(N('Dvd Calendar'!$W$777)=0,"",IF(('Dvd Calendar'!$W$777&gt;=GRID_FROM)*('Dvd Calendar'!$W$777&lt;=GRID_TO)*('Dvd Calendar'!$W$777&gt;VAL_DATE)=0,"",'Dvd Calendar'!$W$777*1000000000+ISNUMBER('Dvd Calendar'!$W$778)*100000000+0*10000000+(N('Dvd Calendar'!$W$776)&gt;0)*(N('Dvd Calendar'!$W$776)&lt;=VAL_SERIAL)*1000000+70*1000+59))</f>
        <v/>
      </c>
      <c r="GL81" s="121">
        <f>IF(N('Dvd Calendar'!$X$777)=0,"",IF(('Dvd Calendar'!$X$777&gt;=GRID_FROM)*('Dvd Calendar'!$X$777&lt;=GRID_TO)*('Dvd Calendar'!$X$777&gt;VAL_DATE)=0,"",'Dvd Calendar'!$X$777*1000000000+ISNUMBER('Dvd Calendar'!$X$778)*100000000+0*10000000+(N('Dvd Calendar'!$X$776)&gt;0)*(N('Dvd Calendar'!$X$776)&lt;=VAL_SERIAL)*1000000+70*1000+60))</f>
        <v/>
      </c>
      <c r="GM81" s="121">
        <f>IF(N('Dvd Calendar'!$Y$777)=0,"",IF(('Dvd Calendar'!$Y$777&gt;=GRID_FROM)*('Dvd Calendar'!$Y$777&lt;=GRID_TO)*('Dvd Calendar'!$Y$777&gt;VAL_DATE)=0,"",'Dvd Calendar'!$Y$777*1000000000+ISNUMBER('Dvd Calendar'!$Y$778)*100000000+0*10000000+(N('Dvd Calendar'!$Y$776)&gt;0)*(N('Dvd Calendar'!$Y$776)&lt;=VAL_SERIAL)*1000000+70*1000+61))</f>
        <v/>
      </c>
      <c r="GN81" s="121">
        <f>IF(N('Dvd Calendar'!$Z$777)=0,"",IF(('Dvd Calendar'!$Z$777&gt;=GRID_FROM)*('Dvd Calendar'!$Z$777&lt;=GRID_TO)*('Dvd Calendar'!$Z$777&gt;VAL_DATE)=0,"",'Dvd Calendar'!$Z$777*1000000000+ISNUMBER('Dvd Calendar'!$Z$778)*100000000+0*10000000+(N('Dvd Calendar'!$Z$776)&gt;0)*(N('Dvd Calendar'!$Z$776)&lt;=VAL_SERIAL)*1000000+70*1000+62))</f>
        <v/>
      </c>
      <c r="GO81" s="121">
        <f>IF(N('Dvd Calendar'!$AA$777)=0,"",IF(('Dvd Calendar'!$AA$777&gt;=GRID_FROM)*('Dvd Calendar'!$AA$777&lt;=GRID_TO)*('Dvd Calendar'!$AA$777&gt;VAL_DATE)=0,"",'Dvd Calendar'!$AA$777*1000000000+ISNUMBER('Dvd Calendar'!$AA$778)*100000000+0*10000000+(N('Dvd Calendar'!$AA$776)&gt;0)*(N('Dvd Calendar'!$AA$776)&lt;=VAL_SERIAL)*1000000+70*1000+63))</f>
        <v/>
      </c>
      <c r="GP81" s="121">
        <f>IF(N('Dvd Calendar'!$AB$777)=0,"",IF(('Dvd Calendar'!$AB$777&gt;=GRID_FROM)*('Dvd Calendar'!$AB$777&lt;=GRID_TO)*('Dvd Calendar'!$AB$777&gt;VAL_DATE)=0,"",'Dvd Calendar'!$AB$777*1000000000+ISNUMBER('Dvd Calendar'!$AB$778)*100000000+0*10000000+(N('Dvd Calendar'!$AB$776)&gt;0)*(N('Dvd Calendar'!$AB$776)&lt;=VAL_SERIAL)*1000000+70*1000+64))</f>
        <v/>
      </c>
      <c r="GQ81" s="121">
        <f>IF(N('Dvd Calendar'!$AC$777)=0,"",IF(('Dvd Calendar'!$AC$777&gt;=GRID_FROM)*('Dvd Calendar'!$AC$777&lt;=GRID_TO)*('Dvd Calendar'!$AC$777&gt;VAL_DATE)=0,"",'Dvd Calendar'!$AC$777*1000000000+ISNUMBER('Dvd Calendar'!$AC$778)*100000000+0*10000000+(N('Dvd Calendar'!$AC$776)&gt;0)*(N('Dvd Calendar'!$AC$776)&lt;=VAL_SERIAL)*1000000+70*1000+65))</f>
        <v/>
      </c>
    </row>
    <row r="82">
      <c r="B82" s="2">
        <f>IF(HSI!$C$77="","",HSI!$C$77)</f>
        <v/>
      </c>
      <c r="C82" s="161">
        <f>IF(EE82="","",IF(ISNUMBER('Dvd Calendar'!$E$784)=FALSE,"",IF((('Dvd Calendar'!$E$786=TYPE1)*(TYPE1&lt;&gt;"")+('Dvd Calendar'!$E$786=TYPE2)*(TYPE2&lt;&gt;"")+('Dvd Calendar'!$E$786=TYPE3)*(TYPE3&lt;&gt;"")+('Dvd Calendar'!$E$786=TYPE4)*(TYPE4&lt;&gt;"")+('Dvd Calendar'!$E$786=SPECIAL_LBL)*(INC_SPECIALS="Y"))=0,"",'Dvd Calendar'!$E$784)))</f>
        <v/>
      </c>
      <c r="D82" s="161">
        <f>IF(EF82="","",IF(ISNUMBER('Dvd Calendar'!$F$784)=FALSE,"",IF((('Dvd Calendar'!$F$786=TYPE1)*(TYPE1&lt;&gt;"")+('Dvd Calendar'!$F$786=TYPE2)*(TYPE2&lt;&gt;"")+('Dvd Calendar'!$F$786=TYPE3)*(TYPE3&lt;&gt;"")+('Dvd Calendar'!$F$786=TYPE4)*(TYPE4&lt;&gt;"")+('Dvd Calendar'!$F$786=SPECIAL_LBL)*(INC_SPECIALS="Y"))=0,"",'Dvd Calendar'!$F$784)))</f>
        <v/>
      </c>
      <c r="E82" s="161">
        <f>IF(EG82="","",IF(ISNUMBER('Dvd Calendar'!$G$784)=FALSE,"",IF((('Dvd Calendar'!$G$786=TYPE1)*(TYPE1&lt;&gt;"")+('Dvd Calendar'!$G$786=TYPE2)*(TYPE2&lt;&gt;"")+('Dvd Calendar'!$G$786=TYPE3)*(TYPE3&lt;&gt;"")+('Dvd Calendar'!$G$786=TYPE4)*(TYPE4&lt;&gt;"")+('Dvd Calendar'!$G$786=SPECIAL_LBL)*(INC_SPECIALS="Y"))=0,"",'Dvd Calendar'!$G$784)))</f>
        <v/>
      </c>
      <c r="F82" s="161">
        <f>IF(EH82="","",IF(ISNUMBER('Dvd Calendar'!$H$784)=FALSE,"",IF((('Dvd Calendar'!$H$786=TYPE1)*(TYPE1&lt;&gt;"")+('Dvd Calendar'!$H$786=TYPE2)*(TYPE2&lt;&gt;"")+('Dvd Calendar'!$H$786=TYPE3)*(TYPE3&lt;&gt;"")+('Dvd Calendar'!$H$786=TYPE4)*(TYPE4&lt;&gt;"")+('Dvd Calendar'!$H$786=SPECIAL_LBL)*(INC_SPECIALS="Y"))=0,"",'Dvd Calendar'!$H$784)))</f>
        <v/>
      </c>
      <c r="G82" s="161">
        <f>IF(EI82="","",IF(ISNUMBER('Dvd Calendar'!$I$784)=FALSE,"",IF((('Dvd Calendar'!$I$786=TYPE1)*(TYPE1&lt;&gt;"")+('Dvd Calendar'!$I$786=TYPE2)*(TYPE2&lt;&gt;"")+('Dvd Calendar'!$I$786=TYPE3)*(TYPE3&lt;&gt;"")+('Dvd Calendar'!$I$786=TYPE4)*(TYPE4&lt;&gt;"")+('Dvd Calendar'!$I$786=SPECIAL_LBL)*(INC_SPECIALS="Y"))=0,"",'Dvd Calendar'!$I$784)))</f>
        <v/>
      </c>
      <c r="H82" s="161">
        <f>IF(EJ82="","",IF(ISNUMBER('Dvd Calendar'!$J$784)=FALSE,"",IF((('Dvd Calendar'!$J$786=TYPE1)*(TYPE1&lt;&gt;"")+('Dvd Calendar'!$J$786=TYPE2)*(TYPE2&lt;&gt;"")+('Dvd Calendar'!$J$786=TYPE3)*(TYPE3&lt;&gt;"")+('Dvd Calendar'!$J$786=TYPE4)*(TYPE4&lt;&gt;"")+('Dvd Calendar'!$J$786=SPECIAL_LBL)*(INC_SPECIALS="Y"))=0,"",'Dvd Calendar'!$J$784)))</f>
        <v/>
      </c>
      <c r="I82" s="161">
        <f>IF(EK82="","",IF(ISNUMBER('Dvd Calendar'!$K$784)=FALSE,"",IF((('Dvd Calendar'!$K$786=TYPE1)*(TYPE1&lt;&gt;"")+('Dvd Calendar'!$K$786=TYPE2)*(TYPE2&lt;&gt;"")+('Dvd Calendar'!$K$786=TYPE3)*(TYPE3&lt;&gt;"")+('Dvd Calendar'!$K$786=TYPE4)*(TYPE4&lt;&gt;"")+('Dvd Calendar'!$K$786=SPECIAL_LBL)*(INC_SPECIALS="Y"))=0,"",'Dvd Calendar'!$K$784)))</f>
        <v/>
      </c>
      <c r="J82" s="161">
        <f>IF(EL82="","",IF(ISNUMBER('Dvd Calendar'!$L$784)=FALSE,"",IF((('Dvd Calendar'!$L$786=TYPE1)*(TYPE1&lt;&gt;"")+('Dvd Calendar'!$L$786=TYPE2)*(TYPE2&lt;&gt;"")+('Dvd Calendar'!$L$786=TYPE3)*(TYPE3&lt;&gt;"")+('Dvd Calendar'!$L$786=TYPE4)*(TYPE4&lt;&gt;"")+('Dvd Calendar'!$L$786=SPECIAL_LBL)*(INC_SPECIALS="Y"))=0,"",'Dvd Calendar'!$L$784)))</f>
        <v/>
      </c>
      <c r="K82" s="161">
        <f>IF(EM82="","",IF(ISNUMBER('Dvd Calendar'!$M$784)=FALSE,"",IF((('Dvd Calendar'!$M$786=TYPE1)*(TYPE1&lt;&gt;"")+('Dvd Calendar'!$M$786=TYPE2)*(TYPE2&lt;&gt;"")+('Dvd Calendar'!$M$786=TYPE3)*(TYPE3&lt;&gt;"")+('Dvd Calendar'!$M$786=TYPE4)*(TYPE4&lt;&gt;"")+('Dvd Calendar'!$M$786=SPECIAL_LBL)*(INC_SPECIALS="Y"))=0,"",'Dvd Calendar'!$M$784)))</f>
        <v/>
      </c>
      <c r="L82" s="161">
        <f>IF(EN82="","",IF(ISNUMBER('Dvd Calendar'!$N$784)=FALSE,"",IF((('Dvd Calendar'!$N$786=TYPE1)*(TYPE1&lt;&gt;"")+('Dvd Calendar'!$N$786=TYPE2)*(TYPE2&lt;&gt;"")+('Dvd Calendar'!$N$786=TYPE3)*(TYPE3&lt;&gt;"")+('Dvd Calendar'!$N$786=TYPE4)*(TYPE4&lt;&gt;"")+('Dvd Calendar'!$N$786=SPECIAL_LBL)*(INC_SPECIALS="Y"))=0,"",'Dvd Calendar'!$N$784)))</f>
        <v/>
      </c>
      <c r="M82" s="161">
        <f>IF(EO82="","",IF(ISNUMBER('Dvd Calendar'!$O$784)=FALSE,"",IF((('Dvd Calendar'!$O$786=TYPE1)*(TYPE1&lt;&gt;"")+('Dvd Calendar'!$O$786=TYPE2)*(TYPE2&lt;&gt;"")+('Dvd Calendar'!$O$786=TYPE3)*(TYPE3&lt;&gt;"")+('Dvd Calendar'!$O$786=TYPE4)*(TYPE4&lt;&gt;"")+('Dvd Calendar'!$O$786=SPECIAL_LBL)*(INC_SPECIALS="Y"))=0,"",'Dvd Calendar'!$O$784)))</f>
        <v/>
      </c>
      <c r="N82" s="161">
        <f>IF(EP82="","",IF(ISNUMBER('Dvd Calendar'!$P$784)=FALSE,"",IF((('Dvd Calendar'!$P$786=TYPE1)*(TYPE1&lt;&gt;"")+('Dvd Calendar'!$P$786=TYPE2)*(TYPE2&lt;&gt;"")+('Dvd Calendar'!$P$786=TYPE3)*(TYPE3&lt;&gt;"")+('Dvd Calendar'!$P$786=TYPE4)*(TYPE4&lt;&gt;"")+('Dvd Calendar'!$P$786=SPECIAL_LBL)*(INC_SPECIALS="Y"))=0,"",'Dvd Calendar'!$P$784)))</f>
        <v/>
      </c>
      <c r="O82" s="161">
        <f>IF(EQ82="","",IF(ISNUMBER('Dvd Calendar'!$Q$784)=FALSE,"",IF((('Dvd Calendar'!$Q$786=TYPE1)*(TYPE1&lt;&gt;"")+('Dvd Calendar'!$Q$786=TYPE2)*(TYPE2&lt;&gt;"")+('Dvd Calendar'!$Q$786=TYPE3)*(TYPE3&lt;&gt;"")+('Dvd Calendar'!$Q$786=TYPE4)*(TYPE4&lt;&gt;"")+('Dvd Calendar'!$Q$786=SPECIAL_LBL)*(INC_SPECIALS="Y"))=0,"",'Dvd Calendar'!$Q$784)))</f>
        <v/>
      </c>
      <c r="P82" s="161">
        <f>IF(ER82="","",IF(ISNUMBER('Dvd Calendar'!$R$784)=FALSE,"",IF((('Dvd Calendar'!$R$786=TYPE1)*(TYPE1&lt;&gt;"")+('Dvd Calendar'!$R$786=TYPE2)*(TYPE2&lt;&gt;"")+('Dvd Calendar'!$R$786=TYPE3)*(TYPE3&lt;&gt;"")+('Dvd Calendar'!$R$786=TYPE4)*(TYPE4&lt;&gt;"")+('Dvd Calendar'!$R$786=SPECIAL_LBL)*(INC_SPECIALS="Y"))=0,"",'Dvd Calendar'!$R$784)))</f>
        <v/>
      </c>
      <c r="Q82" s="161">
        <f>IF(ES82="","",IF(ISNUMBER('Dvd Calendar'!$S$784)=FALSE,"",IF((('Dvd Calendar'!$S$786=TYPE1)*(TYPE1&lt;&gt;"")+('Dvd Calendar'!$S$786=TYPE2)*(TYPE2&lt;&gt;"")+('Dvd Calendar'!$S$786=TYPE3)*(TYPE3&lt;&gt;"")+('Dvd Calendar'!$S$786=TYPE4)*(TYPE4&lt;&gt;"")+('Dvd Calendar'!$S$786=SPECIAL_LBL)*(INC_SPECIALS="Y"))=0,"",'Dvd Calendar'!$S$784)))</f>
        <v/>
      </c>
      <c r="R82" s="161">
        <f>IF(ET82="","",IF(ISNUMBER('Dvd Calendar'!$T$784)=FALSE,"",IF((('Dvd Calendar'!$T$786=TYPE1)*(TYPE1&lt;&gt;"")+('Dvd Calendar'!$T$786=TYPE2)*(TYPE2&lt;&gt;"")+('Dvd Calendar'!$T$786=TYPE3)*(TYPE3&lt;&gt;"")+('Dvd Calendar'!$T$786=TYPE4)*(TYPE4&lt;&gt;"")+('Dvd Calendar'!$T$786=SPECIAL_LBL)*(INC_SPECIALS="Y"))=0,"",'Dvd Calendar'!$T$784)))</f>
        <v/>
      </c>
      <c r="S82" s="161">
        <f>IF(EU82="","",IF(ISNUMBER('Dvd Calendar'!$U$784)=FALSE,"",IF((('Dvd Calendar'!$U$786=TYPE1)*(TYPE1&lt;&gt;"")+('Dvd Calendar'!$U$786=TYPE2)*(TYPE2&lt;&gt;"")+('Dvd Calendar'!$U$786=TYPE3)*(TYPE3&lt;&gt;"")+('Dvd Calendar'!$U$786=TYPE4)*(TYPE4&lt;&gt;"")+('Dvd Calendar'!$U$786=SPECIAL_LBL)*(INC_SPECIALS="Y"))=0,"",'Dvd Calendar'!$U$784)))</f>
        <v/>
      </c>
      <c r="T82" s="161">
        <f>IF(EV82="","",IF(ISNUMBER('Dvd Calendar'!$V$784)=FALSE,"",IF((('Dvd Calendar'!$V$786=TYPE1)*(TYPE1&lt;&gt;"")+('Dvd Calendar'!$V$786=TYPE2)*(TYPE2&lt;&gt;"")+('Dvd Calendar'!$V$786=TYPE3)*(TYPE3&lt;&gt;"")+('Dvd Calendar'!$V$786=TYPE4)*(TYPE4&lt;&gt;"")+('Dvd Calendar'!$V$786=SPECIAL_LBL)*(INC_SPECIALS="Y"))=0,"",'Dvd Calendar'!$V$784)))</f>
        <v/>
      </c>
      <c r="U82" s="161">
        <f>IF(EW82="","",IF(ISNUMBER('Dvd Calendar'!$W$784)=FALSE,"",IF((('Dvd Calendar'!$W$786=TYPE1)*(TYPE1&lt;&gt;"")+('Dvd Calendar'!$W$786=TYPE2)*(TYPE2&lt;&gt;"")+('Dvd Calendar'!$W$786=TYPE3)*(TYPE3&lt;&gt;"")+('Dvd Calendar'!$W$786=TYPE4)*(TYPE4&lt;&gt;"")+('Dvd Calendar'!$W$786=SPECIAL_LBL)*(INC_SPECIALS="Y"))=0,"",'Dvd Calendar'!$W$784)))</f>
        <v/>
      </c>
      <c r="V82" s="161">
        <f>IF(EX82="","",IF(ISNUMBER('Dvd Calendar'!$X$784)=FALSE,"",IF((('Dvd Calendar'!$X$786=TYPE1)*(TYPE1&lt;&gt;"")+('Dvd Calendar'!$X$786=TYPE2)*(TYPE2&lt;&gt;"")+('Dvd Calendar'!$X$786=TYPE3)*(TYPE3&lt;&gt;"")+('Dvd Calendar'!$X$786=TYPE4)*(TYPE4&lt;&gt;"")+('Dvd Calendar'!$X$786=SPECIAL_LBL)*(INC_SPECIALS="Y"))=0,"",'Dvd Calendar'!$X$784)))</f>
        <v/>
      </c>
      <c r="W82" s="161">
        <f>IF(EY82="","",IF(ISNUMBER('Dvd Calendar'!$Y$784)=FALSE,"",IF((('Dvd Calendar'!$Y$786=TYPE1)*(TYPE1&lt;&gt;"")+('Dvd Calendar'!$Y$786=TYPE2)*(TYPE2&lt;&gt;"")+('Dvd Calendar'!$Y$786=TYPE3)*(TYPE3&lt;&gt;"")+('Dvd Calendar'!$Y$786=TYPE4)*(TYPE4&lt;&gt;"")+('Dvd Calendar'!$Y$786=SPECIAL_LBL)*(INC_SPECIALS="Y"))=0,"",'Dvd Calendar'!$Y$784)))</f>
        <v/>
      </c>
      <c r="X82" s="161">
        <f>IF(EZ82="","",IF(ISNUMBER('Dvd Calendar'!$Z$784)=FALSE,"",IF((('Dvd Calendar'!$Z$786=TYPE1)*(TYPE1&lt;&gt;"")+('Dvd Calendar'!$Z$786=TYPE2)*(TYPE2&lt;&gt;"")+('Dvd Calendar'!$Z$786=TYPE3)*(TYPE3&lt;&gt;"")+('Dvd Calendar'!$Z$786=TYPE4)*(TYPE4&lt;&gt;"")+('Dvd Calendar'!$Z$786=SPECIAL_LBL)*(INC_SPECIALS="Y"))=0,"",'Dvd Calendar'!$Z$784)))</f>
        <v/>
      </c>
      <c r="Y82" s="161">
        <f>IF(FA82="","",IF(ISNUMBER('Dvd Calendar'!$AA$784)=FALSE,"",IF((('Dvd Calendar'!$AA$786=TYPE1)*(TYPE1&lt;&gt;"")+('Dvd Calendar'!$AA$786=TYPE2)*(TYPE2&lt;&gt;"")+('Dvd Calendar'!$AA$786=TYPE3)*(TYPE3&lt;&gt;"")+('Dvd Calendar'!$AA$786=TYPE4)*(TYPE4&lt;&gt;"")+('Dvd Calendar'!$AA$786=SPECIAL_LBL)*(INC_SPECIALS="Y"))=0,"",'Dvd Calendar'!$AA$784)))</f>
        <v/>
      </c>
      <c r="Z82" s="161">
        <f>IF(FB82="","",IF(ISNUMBER('Dvd Calendar'!$AB$784)=FALSE,"",IF((('Dvd Calendar'!$AB$786=TYPE1)*(TYPE1&lt;&gt;"")+('Dvd Calendar'!$AB$786=TYPE2)*(TYPE2&lt;&gt;"")+('Dvd Calendar'!$AB$786=TYPE3)*(TYPE3&lt;&gt;"")+('Dvd Calendar'!$AB$786=TYPE4)*(TYPE4&lt;&gt;"")+('Dvd Calendar'!$AB$786=SPECIAL_LBL)*(INC_SPECIALS="Y"))=0,"",'Dvd Calendar'!$AB$784)))</f>
        <v/>
      </c>
      <c r="AA82" s="161">
        <f>IF(FC82="","",IF(ISNUMBER('Dvd Calendar'!$AC$784)=FALSE,"",IF((('Dvd Calendar'!$AC$786=TYPE1)*(TYPE1&lt;&gt;"")+('Dvd Calendar'!$AC$786=TYPE2)*(TYPE2&lt;&gt;"")+('Dvd Calendar'!$AC$786=TYPE3)*(TYPE3&lt;&gt;"")+('Dvd Calendar'!$AC$786=TYPE4)*(TYPE4&lt;&gt;"")+('Dvd Calendar'!$AC$786=SPECIAL_LBL)*(INC_SPECIALS="Y"))=0,"",'Dvd Calendar'!$AC$784)))</f>
        <v/>
      </c>
      <c r="AB82" s="161">
        <f>IF(FD82="","",IF(ISNUMBER('Dvd Calendar'!$AD$784)=FALSE,"",IF((('Dvd Calendar'!$AD$786=TYPE1)*(TYPE1&lt;&gt;"")+('Dvd Calendar'!$AD$786=TYPE2)*(TYPE2&lt;&gt;"")+('Dvd Calendar'!$AD$786=TYPE3)*(TYPE3&lt;&gt;"")+('Dvd Calendar'!$AD$786=TYPE4)*(TYPE4&lt;&gt;"")+('Dvd Calendar'!$AD$786=SPECIAL_LBL)*(INC_SPECIALS="Y"))=0,"",'Dvd Calendar'!$AD$784)))</f>
        <v/>
      </c>
      <c r="AC82" s="161">
        <f>IF(FE82="","",IF(ISNUMBER('Dvd Calendar'!$AE$784)=FALSE,"",IF((('Dvd Calendar'!$AE$786=TYPE1)*(TYPE1&lt;&gt;"")+('Dvd Calendar'!$AE$786=TYPE2)*(TYPE2&lt;&gt;"")+('Dvd Calendar'!$AE$786=TYPE3)*(TYPE3&lt;&gt;"")+('Dvd Calendar'!$AE$786=TYPE4)*(TYPE4&lt;&gt;"")+('Dvd Calendar'!$AE$786=SPECIAL_LBL)*(INC_SPECIALS="Y"))=0,"",'Dvd Calendar'!$AE$784)))</f>
        <v/>
      </c>
      <c r="AD82" s="161">
        <f>IF(FF82="","",IF(ISNUMBER('Dvd Calendar'!$AF$784)=FALSE,"",IF((('Dvd Calendar'!$AF$786=TYPE1)*(TYPE1&lt;&gt;"")+('Dvd Calendar'!$AF$786=TYPE2)*(TYPE2&lt;&gt;"")+('Dvd Calendar'!$AF$786=TYPE3)*(TYPE3&lt;&gt;"")+('Dvd Calendar'!$AF$786=TYPE4)*(TYPE4&lt;&gt;"")+('Dvd Calendar'!$AF$786=SPECIAL_LBL)*(INC_SPECIALS="Y"))=0,"",'Dvd Calendar'!$AF$784)))</f>
        <v/>
      </c>
      <c r="AE82" s="161">
        <f>IF(FG82="","",IF(ISNUMBER('Dvd Calendar'!$AG$784)=FALSE,"",IF((('Dvd Calendar'!$AG$786=TYPE1)*(TYPE1&lt;&gt;"")+('Dvd Calendar'!$AG$786=TYPE2)*(TYPE2&lt;&gt;"")+('Dvd Calendar'!$AG$786=TYPE3)*(TYPE3&lt;&gt;"")+('Dvd Calendar'!$AG$786=TYPE4)*(TYPE4&lt;&gt;"")+('Dvd Calendar'!$AG$786=SPECIAL_LBL)*(INC_SPECIALS="Y"))=0,"",'Dvd Calendar'!$AG$784)))</f>
        <v/>
      </c>
      <c r="AF82" s="161">
        <f>IF(FH82="","",IF(ISNUMBER('Dvd Calendar'!$AH$784)=FALSE,"",IF((('Dvd Calendar'!$AH$786=TYPE1)*(TYPE1&lt;&gt;"")+('Dvd Calendar'!$AH$786=TYPE2)*(TYPE2&lt;&gt;"")+('Dvd Calendar'!$AH$786=TYPE3)*(TYPE3&lt;&gt;"")+('Dvd Calendar'!$AH$786=TYPE4)*(TYPE4&lt;&gt;"")+('Dvd Calendar'!$AH$786=SPECIAL_LBL)*(INC_SPECIALS="Y"))=0,"",'Dvd Calendar'!$AH$784)))</f>
        <v/>
      </c>
      <c r="AG82" s="161">
        <f>IF(FI82="","",IF(ISNUMBER('Dvd Calendar'!$AI$784)=FALSE,"",IF((('Dvd Calendar'!$AI$786=TYPE1)*(TYPE1&lt;&gt;"")+('Dvd Calendar'!$AI$786=TYPE2)*(TYPE2&lt;&gt;"")+('Dvd Calendar'!$AI$786=TYPE3)*(TYPE3&lt;&gt;"")+('Dvd Calendar'!$AI$786=TYPE4)*(TYPE4&lt;&gt;"")+('Dvd Calendar'!$AI$786=SPECIAL_LBL)*(INC_SPECIALS="Y"))=0,"",'Dvd Calendar'!$AI$784)))</f>
        <v/>
      </c>
      <c r="AH82" s="161">
        <f>IF(FJ82="","",IF(ISNUMBER('Dvd Calendar'!$AJ$784)=FALSE,"",IF((('Dvd Calendar'!$AJ$786=TYPE1)*(TYPE1&lt;&gt;"")+('Dvd Calendar'!$AJ$786=TYPE2)*(TYPE2&lt;&gt;"")+('Dvd Calendar'!$AJ$786=TYPE3)*(TYPE3&lt;&gt;"")+('Dvd Calendar'!$AJ$786=TYPE4)*(TYPE4&lt;&gt;"")+('Dvd Calendar'!$AJ$786=SPECIAL_LBL)*(INC_SPECIALS="Y"))=0,"",'Dvd Calendar'!$AJ$784)))</f>
        <v/>
      </c>
      <c r="AI82" s="161">
        <f>IF(FK82="","",IF(ISNUMBER('Dvd Calendar'!$AK$784)=FALSE,"",IF((('Dvd Calendar'!$AK$786=TYPE1)*(TYPE1&lt;&gt;"")+('Dvd Calendar'!$AK$786=TYPE2)*(TYPE2&lt;&gt;"")+('Dvd Calendar'!$AK$786=TYPE3)*(TYPE3&lt;&gt;"")+('Dvd Calendar'!$AK$786=TYPE4)*(TYPE4&lt;&gt;"")+('Dvd Calendar'!$AK$786=SPECIAL_LBL)*(INC_SPECIALS="Y"))=0,"",'Dvd Calendar'!$AK$784)))</f>
        <v/>
      </c>
      <c r="AJ82" s="161">
        <f>IF(FL82="","",IF(ISNUMBER('Dvd Calendar'!$AL$784)=FALSE,"",IF((('Dvd Calendar'!$AL$786=TYPE1)*(TYPE1&lt;&gt;"")+('Dvd Calendar'!$AL$786=TYPE2)*(TYPE2&lt;&gt;"")+('Dvd Calendar'!$AL$786=TYPE3)*(TYPE3&lt;&gt;"")+('Dvd Calendar'!$AL$786=TYPE4)*(TYPE4&lt;&gt;"")+('Dvd Calendar'!$AL$786=SPECIAL_LBL)*(INC_SPECIALS="Y"))=0,"",'Dvd Calendar'!$AL$784)))</f>
        <v/>
      </c>
      <c r="AK82" s="161">
        <f>IF(FM82="","",IF(ISNUMBER('Dvd Calendar'!$AM$784)=FALSE,"",IF((('Dvd Calendar'!$AM$786=TYPE1)*(TYPE1&lt;&gt;"")+('Dvd Calendar'!$AM$786=TYPE2)*(TYPE2&lt;&gt;"")+('Dvd Calendar'!$AM$786=TYPE3)*(TYPE3&lt;&gt;"")+('Dvd Calendar'!$AM$786=TYPE4)*(TYPE4&lt;&gt;"")+('Dvd Calendar'!$AM$786=SPECIAL_LBL)*(INC_SPECIALS="Y"))=0,"",'Dvd Calendar'!$AM$784)))</f>
        <v/>
      </c>
      <c r="AL82" s="161">
        <f>IF(FN82="","",IF(ISNUMBER('Dvd Calendar'!$AN$784)=FALSE,"",IF((('Dvd Calendar'!$AN$786=TYPE1)*(TYPE1&lt;&gt;"")+('Dvd Calendar'!$AN$786=TYPE2)*(TYPE2&lt;&gt;"")+('Dvd Calendar'!$AN$786=TYPE3)*(TYPE3&lt;&gt;"")+('Dvd Calendar'!$AN$786=TYPE4)*(TYPE4&lt;&gt;"")+('Dvd Calendar'!$AN$786=SPECIAL_LBL)*(INC_SPECIALS="Y"))=0,"",'Dvd Calendar'!$AN$784)))</f>
        <v/>
      </c>
      <c r="AM82" s="161">
        <f>IF(FO82="","",IF(ISNUMBER('Dvd Calendar'!$AO$784)=FALSE,"",IF((('Dvd Calendar'!$AO$786=TYPE1)*(TYPE1&lt;&gt;"")+('Dvd Calendar'!$AO$786=TYPE2)*(TYPE2&lt;&gt;"")+('Dvd Calendar'!$AO$786=TYPE3)*(TYPE3&lt;&gt;"")+('Dvd Calendar'!$AO$786=TYPE4)*(TYPE4&lt;&gt;"")+('Dvd Calendar'!$AO$786=SPECIAL_LBL)*(INC_SPECIALS="Y"))=0,"",'Dvd Calendar'!$AO$784)))</f>
        <v/>
      </c>
      <c r="AN82" s="161">
        <f>IF(FP82="","",IF(ISNUMBER('Dvd Calendar'!$AP$784)=FALSE,"",IF((('Dvd Calendar'!$AP$786=TYPE1)*(TYPE1&lt;&gt;"")+('Dvd Calendar'!$AP$786=TYPE2)*(TYPE2&lt;&gt;"")+('Dvd Calendar'!$AP$786=TYPE3)*(TYPE3&lt;&gt;"")+('Dvd Calendar'!$AP$786=TYPE4)*(TYPE4&lt;&gt;"")+('Dvd Calendar'!$AP$786=SPECIAL_LBL)*(INC_SPECIALS="Y"))=0,"",'Dvd Calendar'!$AP$784)))</f>
        <v/>
      </c>
      <c r="AO82" s="161">
        <f>IF(FQ82="","",IF(ISNUMBER('Dvd Calendar'!$AQ$784)=FALSE,"",IF((('Dvd Calendar'!$AQ$786=TYPE1)*(TYPE1&lt;&gt;"")+('Dvd Calendar'!$AQ$786=TYPE2)*(TYPE2&lt;&gt;"")+('Dvd Calendar'!$AQ$786=TYPE3)*(TYPE3&lt;&gt;"")+('Dvd Calendar'!$AQ$786=TYPE4)*(TYPE4&lt;&gt;"")+('Dvd Calendar'!$AQ$786=SPECIAL_LBL)*(INC_SPECIALS="Y"))=0,"",'Dvd Calendar'!$AQ$784)))</f>
        <v/>
      </c>
      <c r="AP82" s="161">
        <f>IF(FR82="","",IF(ISNUMBER('Dvd Calendar'!$AR$784)=FALSE,"",IF((('Dvd Calendar'!$AR$786=TYPE1)*(TYPE1&lt;&gt;"")+('Dvd Calendar'!$AR$786=TYPE2)*(TYPE2&lt;&gt;"")+('Dvd Calendar'!$AR$786=TYPE3)*(TYPE3&lt;&gt;"")+('Dvd Calendar'!$AR$786=TYPE4)*(TYPE4&lt;&gt;"")+('Dvd Calendar'!$AR$786=SPECIAL_LBL)*(INC_SPECIALS="Y"))=0,"",'Dvd Calendar'!$AR$784)))</f>
        <v/>
      </c>
      <c r="AQ82" s="161">
        <f>IF(FS82="","",IF(ISNUMBER('Dvd Calendar'!$E$789)=FALSE,"",'Dvd Calendar'!$E$789))</f>
        <v/>
      </c>
      <c r="AR82" s="161">
        <f>IF(FT82="","",IF(ISNUMBER('Dvd Calendar'!$F$789)=FALSE,"",'Dvd Calendar'!$F$789))</f>
        <v/>
      </c>
      <c r="AS82" s="161">
        <f>IF(FU82="","",IF(ISNUMBER('Dvd Calendar'!$G$789)=FALSE,"",'Dvd Calendar'!$G$789))</f>
        <v/>
      </c>
      <c r="AT82" s="161">
        <f>IF(FV82="","",IF(ISNUMBER('Dvd Calendar'!$H$789)=FALSE,"",'Dvd Calendar'!$H$789))</f>
        <v/>
      </c>
      <c r="AU82" s="161">
        <f>IF(FW82="","",IF(ISNUMBER('Dvd Calendar'!$I$789)=FALSE,"",'Dvd Calendar'!$I$789))</f>
        <v/>
      </c>
      <c r="AV82" s="161">
        <f>IF(FX82="","",IF(ISNUMBER('Dvd Calendar'!$J$789)=FALSE,"",'Dvd Calendar'!$J$789))</f>
        <v/>
      </c>
      <c r="AW82" s="161">
        <f>IF(FY82="","",IF(ISNUMBER('Dvd Calendar'!$K$789)=FALSE,"",'Dvd Calendar'!$K$789))</f>
        <v/>
      </c>
      <c r="AX82" s="161">
        <f>IF(FZ82="","",IF(ISNUMBER('Dvd Calendar'!$L$789)=FALSE,"",'Dvd Calendar'!$L$789))</f>
        <v/>
      </c>
      <c r="AY82" s="161">
        <f>IF(GA82="","",IF(ISNUMBER('Dvd Calendar'!$M$789)=FALSE,"",'Dvd Calendar'!$M$789))</f>
        <v/>
      </c>
      <c r="AZ82" s="161">
        <f>IF(GB82="","",IF(ISNUMBER('Dvd Calendar'!$N$789)=FALSE,"",'Dvd Calendar'!$N$789))</f>
        <v/>
      </c>
      <c r="BA82" s="161">
        <f>IF(GC82="","",IF(ISNUMBER('Dvd Calendar'!$O$789)=FALSE,"",'Dvd Calendar'!$O$789))</f>
        <v/>
      </c>
      <c r="BB82" s="161">
        <f>IF(GD82="","",IF(ISNUMBER('Dvd Calendar'!$P$789)=FALSE,"",'Dvd Calendar'!$P$789))</f>
        <v/>
      </c>
      <c r="BC82" s="161">
        <f>IF(GE82="","",IF(ISNUMBER('Dvd Calendar'!$Q$789)=FALSE,"",'Dvd Calendar'!$Q$789))</f>
        <v/>
      </c>
      <c r="BD82" s="161">
        <f>IF(GF82="","",IF(ISNUMBER('Dvd Calendar'!$R$789)=FALSE,"",'Dvd Calendar'!$R$789))</f>
        <v/>
      </c>
      <c r="BE82" s="161">
        <f>IF(GG82="","",IF(ISNUMBER('Dvd Calendar'!$S$789)=FALSE,"",'Dvd Calendar'!$S$789))</f>
        <v/>
      </c>
      <c r="BF82" s="161">
        <f>IF(GH82="","",IF(ISNUMBER('Dvd Calendar'!$T$789)=FALSE,"",'Dvd Calendar'!$T$789))</f>
        <v/>
      </c>
      <c r="BG82" s="161">
        <f>IF(GI82="","",IF(ISNUMBER('Dvd Calendar'!$U$789)=FALSE,"",'Dvd Calendar'!$U$789))</f>
        <v/>
      </c>
      <c r="BH82" s="161">
        <f>IF(GJ82="","",IF(ISNUMBER('Dvd Calendar'!$V$789)=FALSE,"",'Dvd Calendar'!$V$789))</f>
        <v/>
      </c>
      <c r="BI82" s="161">
        <f>IF(GK82="","",IF(ISNUMBER('Dvd Calendar'!$W$789)=FALSE,"",'Dvd Calendar'!$W$789))</f>
        <v/>
      </c>
      <c r="BJ82" s="161">
        <f>IF(GL82="","",IF(ISNUMBER('Dvd Calendar'!$X$789)=FALSE,"",'Dvd Calendar'!$X$789))</f>
        <v/>
      </c>
      <c r="BK82" s="161">
        <f>IF(GM82="","",IF(ISNUMBER('Dvd Calendar'!$Y$789)=FALSE,"",'Dvd Calendar'!$Y$789))</f>
        <v/>
      </c>
      <c r="BL82" s="161">
        <f>IF(GN82="","",IF(ISNUMBER('Dvd Calendar'!$Z$789)=FALSE,"",'Dvd Calendar'!$Z$789))</f>
        <v/>
      </c>
      <c r="BM82" s="161">
        <f>IF(GO82="","",IF(ISNUMBER('Dvd Calendar'!$AA$789)=FALSE,"",'Dvd Calendar'!$AA$789))</f>
        <v/>
      </c>
      <c r="BN82" s="161">
        <f>IF(GP82="","",IF(ISNUMBER('Dvd Calendar'!$AB$789)=FALSE,"",'Dvd Calendar'!$AB$789))</f>
        <v/>
      </c>
      <c r="BO82" s="161">
        <f>IF(GQ82="","",IF(ISNUMBER('Dvd Calendar'!$AC$789)=FALSE,"",'Dvd Calendar'!$AC$789))</f>
        <v/>
      </c>
      <c r="BQ82" s="161">
        <f>IF(C82="","",IFERROR(C82*HSI!$B$77*HSI!$G$77/HSI!$B$3,""))</f>
        <v/>
      </c>
      <c r="BR82" s="161">
        <f>IF(D82="","",IFERROR(D82*HSI!$B$77*HSI!$G$77/HSI!$B$3,""))</f>
        <v/>
      </c>
      <c r="BS82" s="161">
        <f>IF(E82="","",IFERROR(E82*HSI!$B$77*HSI!$G$77/HSI!$B$3,""))</f>
        <v/>
      </c>
      <c r="BT82" s="161">
        <f>IF(F82="","",IFERROR(F82*HSI!$B$77*HSI!$G$77/HSI!$B$3,""))</f>
        <v/>
      </c>
      <c r="BU82" s="161">
        <f>IF(G82="","",IFERROR(G82*HSI!$B$77*HSI!$G$77/HSI!$B$3,""))</f>
        <v/>
      </c>
      <c r="BV82" s="161">
        <f>IF(H82="","",IFERROR(H82*HSI!$B$77*HSI!$G$77/HSI!$B$3,""))</f>
        <v/>
      </c>
      <c r="BW82" s="161">
        <f>IF(I82="","",IFERROR(I82*HSI!$B$77*HSI!$G$77/HSI!$B$3,""))</f>
        <v/>
      </c>
      <c r="BX82" s="161">
        <f>IF(J82="","",IFERROR(J82*HSI!$B$77*HSI!$G$77/HSI!$B$3,""))</f>
        <v/>
      </c>
      <c r="BY82" s="161">
        <f>IF(K82="","",IFERROR(K82*HSI!$B$77*HSI!$G$77/HSI!$B$3,""))</f>
        <v/>
      </c>
      <c r="BZ82" s="161">
        <f>IF(L82="","",IFERROR(L82*HSI!$B$77*HSI!$G$77/HSI!$B$3,""))</f>
        <v/>
      </c>
      <c r="CA82" s="161">
        <f>IF(M82="","",IFERROR(M82*HSI!$B$77*HSI!$G$77/HSI!$B$3,""))</f>
        <v/>
      </c>
      <c r="CB82" s="161">
        <f>IF(N82="","",IFERROR(N82*HSI!$B$77*HSI!$G$77/HSI!$B$3,""))</f>
        <v/>
      </c>
      <c r="CC82" s="161">
        <f>IF(O82="","",IFERROR(O82*HSI!$B$77*HSI!$G$77/HSI!$B$3,""))</f>
        <v/>
      </c>
      <c r="CD82" s="161">
        <f>IF(P82="","",IFERROR(P82*HSI!$B$77*HSI!$G$77/HSI!$B$3,""))</f>
        <v/>
      </c>
      <c r="CE82" s="161">
        <f>IF(Q82="","",IFERROR(Q82*HSI!$B$77*HSI!$G$77/HSI!$B$3,""))</f>
        <v/>
      </c>
      <c r="CF82" s="161">
        <f>IF(R82="","",IFERROR(R82*HSI!$B$77*HSI!$G$77/HSI!$B$3,""))</f>
        <v/>
      </c>
      <c r="CG82" s="161">
        <f>IF(S82="","",IFERROR(S82*HSI!$B$77*HSI!$G$77/HSI!$B$3,""))</f>
        <v/>
      </c>
      <c r="CH82" s="161">
        <f>IF(T82="","",IFERROR(T82*HSI!$B$77*HSI!$G$77/HSI!$B$3,""))</f>
        <v/>
      </c>
      <c r="CI82" s="161">
        <f>IF(U82="","",IFERROR(U82*HSI!$B$77*HSI!$G$77/HSI!$B$3,""))</f>
        <v/>
      </c>
      <c r="CJ82" s="161">
        <f>IF(V82="","",IFERROR(V82*HSI!$B$77*HSI!$G$77/HSI!$B$3,""))</f>
        <v/>
      </c>
      <c r="CK82" s="161">
        <f>IF(W82="","",IFERROR(W82*HSI!$B$77*HSI!$G$77/HSI!$B$3,""))</f>
        <v/>
      </c>
      <c r="CL82" s="161">
        <f>IF(X82="","",IFERROR(X82*HSI!$B$77*HSI!$G$77/HSI!$B$3,""))</f>
        <v/>
      </c>
      <c r="CM82" s="161">
        <f>IF(Y82="","",IFERROR(Y82*HSI!$B$77*HSI!$G$77/HSI!$B$3,""))</f>
        <v/>
      </c>
      <c r="CN82" s="161">
        <f>IF(Z82="","",IFERROR(Z82*HSI!$B$77*HSI!$G$77/HSI!$B$3,""))</f>
        <v/>
      </c>
      <c r="CO82" s="161">
        <f>IF(AA82="","",IFERROR(AA82*HSI!$B$77*HSI!$G$77/HSI!$B$3,""))</f>
        <v/>
      </c>
      <c r="CP82" s="161">
        <f>IF(AB82="","",IFERROR(AB82*HSI!$B$77*HSI!$G$77/HSI!$B$3,""))</f>
        <v/>
      </c>
      <c r="CQ82" s="161">
        <f>IF(AC82="","",IFERROR(AC82*HSI!$B$77*HSI!$G$77/HSI!$B$3,""))</f>
        <v/>
      </c>
      <c r="CR82" s="161">
        <f>IF(AD82="","",IFERROR(AD82*HSI!$B$77*HSI!$G$77/HSI!$B$3,""))</f>
        <v/>
      </c>
      <c r="CS82" s="161">
        <f>IF(AE82="","",IFERROR(AE82*HSI!$B$77*HSI!$G$77/HSI!$B$3,""))</f>
        <v/>
      </c>
      <c r="CT82" s="161">
        <f>IF(AF82="","",IFERROR(AF82*HSI!$B$77*HSI!$G$77/HSI!$B$3,""))</f>
        <v/>
      </c>
      <c r="CU82" s="161">
        <f>IF(AG82="","",IFERROR(AG82*HSI!$B$77*HSI!$G$77/HSI!$B$3,""))</f>
        <v/>
      </c>
      <c r="CV82" s="161">
        <f>IF(AH82="","",IFERROR(AH82*HSI!$B$77*HSI!$G$77/HSI!$B$3,""))</f>
        <v/>
      </c>
      <c r="CW82" s="161">
        <f>IF(AI82="","",IFERROR(AI82*HSI!$B$77*HSI!$G$77/HSI!$B$3,""))</f>
        <v/>
      </c>
      <c r="CX82" s="161">
        <f>IF(AJ82="","",IFERROR(AJ82*HSI!$B$77*HSI!$G$77/HSI!$B$3,""))</f>
        <v/>
      </c>
      <c r="CY82" s="161">
        <f>IF(AK82="","",IFERROR(AK82*HSI!$B$77*HSI!$G$77/HSI!$B$3,""))</f>
        <v/>
      </c>
      <c r="CZ82" s="161">
        <f>IF(AL82="","",IFERROR(AL82*HSI!$B$77*HSI!$G$77/HSI!$B$3,""))</f>
        <v/>
      </c>
      <c r="DA82" s="161">
        <f>IF(AM82="","",IFERROR(AM82*HSI!$B$77*HSI!$G$77/HSI!$B$3,""))</f>
        <v/>
      </c>
      <c r="DB82" s="161">
        <f>IF(AN82="","",IFERROR(AN82*HSI!$B$77*HSI!$G$77/HSI!$B$3,""))</f>
        <v/>
      </c>
      <c r="DC82" s="161">
        <f>IF(AO82="","",IFERROR(AO82*HSI!$B$77*HSI!$G$77/HSI!$B$3,""))</f>
        <v/>
      </c>
      <c r="DD82" s="161">
        <f>IF(AP82="","",IFERROR(AP82*HSI!$B$77*HSI!$G$77/HSI!$B$3,""))</f>
        <v/>
      </c>
      <c r="DE82" s="161">
        <f>IF(AQ82="","",IFERROR(AQ82*HSI!$B$77*HSI!$G$77/HSI!$B$3,""))</f>
        <v/>
      </c>
      <c r="DF82" s="161">
        <f>IF(AR82="","",IFERROR(AR82*HSI!$B$77*HSI!$G$77/HSI!$B$3,""))</f>
        <v/>
      </c>
      <c r="DG82" s="161">
        <f>IF(AS82="","",IFERROR(AS82*HSI!$B$77*HSI!$G$77/HSI!$B$3,""))</f>
        <v/>
      </c>
      <c r="DH82" s="161">
        <f>IF(AT82="","",IFERROR(AT82*HSI!$B$77*HSI!$G$77/HSI!$B$3,""))</f>
        <v/>
      </c>
      <c r="DI82" s="161">
        <f>IF(AU82="","",IFERROR(AU82*HSI!$B$77*HSI!$G$77/HSI!$B$3,""))</f>
        <v/>
      </c>
      <c r="DJ82" s="161">
        <f>IF(AV82="","",IFERROR(AV82*HSI!$B$77*HSI!$G$77/HSI!$B$3,""))</f>
        <v/>
      </c>
      <c r="DK82" s="161">
        <f>IF(AW82="","",IFERROR(AW82*HSI!$B$77*HSI!$G$77/HSI!$B$3,""))</f>
        <v/>
      </c>
      <c r="DL82" s="161">
        <f>IF(AX82="","",IFERROR(AX82*HSI!$B$77*HSI!$G$77/HSI!$B$3,""))</f>
        <v/>
      </c>
      <c r="DM82" s="161">
        <f>IF(AY82="","",IFERROR(AY82*HSI!$B$77*HSI!$G$77/HSI!$B$3,""))</f>
        <v/>
      </c>
      <c r="DN82" s="161">
        <f>IF(AZ82="","",IFERROR(AZ82*HSI!$B$77*HSI!$G$77/HSI!$B$3,""))</f>
        <v/>
      </c>
      <c r="DO82" s="161">
        <f>IF(BA82="","",IFERROR(BA82*HSI!$B$77*HSI!$G$77/HSI!$B$3,""))</f>
        <v/>
      </c>
      <c r="DP82" s="161">
        <f>IF(BB82="","",IFERROR(BB82*HSI!$B$77*HSI!$G$77/HSI!$B$3,""))</f>
        <v/>
      </c>
      <c r="DQ82" s="161">
        <f>IF(BC82="","",IFERROR(BC82*HSI!$B$77*HSI!$G$77/HSI!$B$3,""))</f>
        <v/>
      </c>
      <c r="DR82" s="161">
        <f>IF(BD82="","",IFERROR(BD82*HSI!$B$77*HSI!$G$77/HSI!$B$3,""))</f>
        <v/>
      </c>
      <c r="DS82" s="161">
        <f>IF(BE82="","",IFERROR(BE82*HSI!$B$77*HSI!$G$77/HSI!$B$3,""))</f>
        <v/>
      </c>
      <c r="DT82" s="161">
        <f>IF(BF82="","",IFERROR(BF82*HSI!$B$77*HSI!$G$77/HSI!$B$3,""))</f>
        <v/>
      </c>
      <c r="DU82" s="161">
        <f>IF(BG82="","",IFERROR(BG82*HSI!$B$77*HSI!$G$77/HSI!$B$3,""))</f>
        <v/>
      </c>
      <c r="DV82" s="161">
        <f>IF(BH82="","",IFERROR(BH82*HSI!$B$77*HSI!$G$77/HSI!$B$3,""))</f>
        <v/>
      </c>
      <c r="DW82" s="161">
        <f>IF(BI82="","",IFERROR(BI82*HSI!$B$77*HSI!$G$77/HSI!$B$3,""))</f>
        <v/>
      </c>
      <c r="DX82" s="161">
        <f>IF(BJ82="","",IFERROR(BJ82*HSI!$B$77*HSI!$G$77/HSI!$B$3,""))</f>
        <v/>
      </c>
      <c r="DY82" s="161">
        <f>IF(BK82="","",IFERROR(BK82*HSI!$B$77*HSI!$G$77/HSI!$B$3,""))</f>
        <v/>
      </c>
      <c r="DZ82" s="161">
        <f>IF(BL82="","",IFERROR(BL82*HSI!$B$77*HSI!$G$77/HSI!$B$3,""))</f>
        <v/>
      </c>
      <c r="EA82" s="161">
        <f>IF(BM82="","",IFERROR(BM82*HSI!$B$77*HSI!$G$77/HSI!$B$3,""))</f>
        <v/>
      </c>
      <c r="EB82" s="161">
        <f>IF(BN82="","",IFERROR(BN82*HSI!$B$77*HSI!$G$77/HSI!$B$3,""))</f>
        <v/>
      </c>
      <c r="EC82" s="161">
        <f>IF(BO82="","",IFERROR(BO82*HSI!$B$77*HSI!$G$77/HSI!$B$3,""))</f>
        <v/>
      </c>
      <c r="EE82" s="121">
        <f>IF(N('Dvd Calendar'!$E$781)=0,"",IF(('Dvd Calendar'!$E$781&gt;=GRID_FROM)*('Dvd Calendar'!$E$781&lt;=GRID_TO)*((('Dvd Calendar'!$E$781&lt;=VAL_DATE)+(COUNTIF('Dvd Calendar'!$E$788:$AR$788,'Dvd Calendar'!$E$781)=0))&gt;0)=0,"",'Dvd Calendar'!$E$781*1000000000+ISNUMBER('Dvd Calendar'!$E$784)*100000000+('Dvd Calendar'!$E$786=SPECIAL_LBL)*10000000+(N('Dvd Calendar'!$E$780)&gt;0)*(N('Dvd Calendar'!$E$780)&lt;=VAL_SERIAL)*1000000+71*1000+1))</f>
        <v/>
      </c>
      <c r="EF82" s="121">
        <f>IF(N('Dvd Calendar'!$F$781)=0,"",IF(('Dvd Calendar'!$F$781&gt;=GRID_FROM)*('Dvd Calendar'!$F$781&lt;=GRID_TO)*((('Dvd Calendar'!$F$781&lt;=VAL_DATE)+(COUNTIF('Dvd Calendar'!$E$788:$AR$788,'Dvd Calendar'!$F$781)=0))&gt;0)=0,"",'Dvd Calendar'!$F$781*1000000000+ISNUMBER('Dvd Calendar'!$F$784)*100000000+('Dvd Calendar'!$F$786=SPECIAL_LBL)*10000000+(N('Dvd Calendar'!$F$780)&gt;0)*(N('Dvd Calendar'!$F$780)&lt;=VAL_SERIAL)*1000000+71*1000+2))</f>
        <v/>
      </c>
      <c r="EG82" s="121">
        <f>IF(N('Dvd Calendar'!$G$781)=0,"",IF(('Dvd Calendar'!$G$781&gt;=GRID_FROM)*('Dvd Calendar'!$G$781&lt;=GRID_TO)*((('Dvd Calendar'!$G$781&lt;=VAL_DATE)+(COUNTIF('Dvd Calendar'!$E$788:$AR$788,'Dvd Calendar'!$G$781)=0))&gt;0)=0,"",'Dvd Calendar'!$G$781*1000000000+ISNUMBER('Dvd Calendar'!$G$784)*100000000+('Dvd Calendar'!$G$786=SPECIAL_LBL)*10000000+(N('Dvd Calendar'!$G$780)&gt;0)*(N('Dvd Calendar'!$G$780)&lt;=VAL_SERIAL)*1000000+71*1000+3))</f>
        <v/>
      </c>
      <c r="EH82" s="121">
        <f>IF(N('Dvd Calendar'!$H$781)=0,"",IF(('Dvd Calendar'!$H$781&gt;=GRID_FROM)*('Dvd Calendar'!$H$781&lt;=GRID_TO)*((('Dvd Calendar'!$H$781&lt;=VAL_DATE)+(COUNTIF('Dvd Calendar'!$E$788:$AR$788,'Dvd Calendar'!$H$781)=0))&gt;0)=0,"",'Dvd Calendar'!$H$781*1000000000+ISNUMBER('Dvd Calendar'!$H$784)*100000000+('Dvd Calendar'!$H$786=SPECIAL_LBL)*10000000+(N('Dvd Calendar'!$H$780)&gt;0)*(N('Dvd Calendar'!$H$780)&lt;=VAL_SERIAL)*1000000+71*1000+4))</f>
        <v/>
      </c>
      <c r="EI82" s="121">
        <f>IF(N('Dvd Calendar'!$I$781)=0,"",IF(('Dvd Calendar'!$I$781&gt;=GRID_FROM)*('Dvd Calendar'!$I$781&lt;=GRID_TO)*((('Dvd Calendar'!$I$781&lt;=VAL_DATE)+(COUNTIF('Dvd Calendar'!$E$788:$AR$788,'Dvd Calendar'!$I$781)=0))&gt;0)=0,"",'Dvd Calendar'!$I$781*1000000000+ISNUMBER('Dvd Calendar'!$I$784)*100000000+('Dvd Calendar'!$I$786=SPECIAL_LBL)*10000000+(N('Dvd Calendar'!$I$780)&gt;0)*(N('Dvd Calendar'!$I$780)&lt;=VAL_SERIAL)*1000000+71*1000+5))</f>
        <v/>
      </c>
      <c r="EJ82" s="121">
        <f>IF(N('Dvd Calendar'!$J$781)=0,"",IF(('Dvd Calendar'!$J$781&gt;=GRID_FROM)*('Dvd Calendar'!$J$781&lt;=GRID_TO)*((('Dvd Calendar'!$J$781&lt;=VAL_DATE)+(COUNTIF('Dvd Calendar'!$E$788:$AR$788,'Dvd Calendar'!$J$781)=0))&gt;0)=0,"",'Dvd Calendar'!$J$781*1000000000+ISNUMBER('Dvd Calendar'!$J$784)*100000000+('Dvd Calendar'!$J$786=SPECIAL_LBL)*10000000+(N('Dvd Calendar'!$J$780)&gt;0)*(N('Dvd Calendar'!$J$780)&lt;=VAL_SERIAL)*1000000+71*1000+6))</f>
        <v/>
      </c>
      <c r="EK82" s="121">
        <f>IF(N('Dvd Calendar'!$K$781)=0,"",IF(('Dvd Calendar'!$K$781&gt;=GRID_FROM)*('Dvd Calendar'!$K$781&lt;=GRID_TO)*((('Dvd Calendar'!$K$781&lt;=VAL_DATE)+(COUNTIF('Dvd Calendar'!$E$788:$AR$788,'Dvd Calendar'!$K$781)=0))&gt;0)=0,"",'Dvd Calendar'!$K$781*1000000000+ISNUMBER('Dvd Calendar'!$K$784)*100000000+('Dvd Calendar'!$K$786=SPECIAL_LBL)*10000000+(N('Dvd Calendar'!$K$780)&gt;0)*(N('Dvd Calendar'!$K$780)&lt;=VAL_SERIAL)*1000000+71*1000+7))</f>
        <v/>
      </c>
      <c r="EL82" s="121">
        <f>IF(N('Dvd Calendar'!$L$781)=0,"",IF(('Dvd Calendar'!$L$781&gt;=GRID_FROM)*('Dvd Calendar'!$L$781&lt;=GRID_TO)*((('Dvd Calendar'!$L$781&lt;=VAL_DATE)+(COUNTIF('Dvd Calendar'!$E$788:$AR$788,'Dvd Calendar'!$L$781)=0))&gt;0)=0,"",'Dvd Calendar'!$L$781*1000000000+ISNUMBER('Dvd Calendar'!$L$784)*100000000+('Dvd Calendar'!$L$786=SPECIAL_LBL)*10000000+(N('Dvd Calendar'!$L$780)&gt;0)*(N('Dvd Calendar'!$L$780)&lt;=VAL_SERIAL)*1000000+71*1000+8))</f>
        <v/>
      </c>
      <c r="EM82" s="121">
        <f>IF(N('Dvd Calendar'!$M$781)=0,"",IF(('Dvd Calendar'!$M$781&gt;=GRID_FROM)*('Dvd Calendar'!$M$781&lt;=GRID_TO)*((('Dvd Calendar'!$M$781&lt;=VAL_DATE)+(COUNTIF('Dvd Calendar'!$E$788:$AR$788,'Dvd Calendar'!$M$781)=0))&gt;0)=0,"",'Dvd Calendar'!$M$781*1000000000+ISNUMBER('Dvd Calendar'!$M$784)*100000000+('Dvd Calendar'!$M$786=SPECIAL_LBL)*10000000+(N('Dvd Calendar'!$M$780)&gt;0)*(N('Dvd Calendar'!$M$780)&lt;=VAL_SERIAL)*1000000+71*1000+9))</f>
        <v/>
      </c>
      <c r="EN82" s="121">
        <f>IF(N('Dvd Calendar'!$N$781)=0,"",IF(('Dvd Calendar'!$N$781&gt;=GRID_FROM)*('Dvd Calendar'!$N$781&lt;=GRID_TO)*((('Dvd Calendar'!$N$781&lt;=VAL_DATE)+(COUNTIF('Dvd Calendar'!$E$788:$AR$788,'Dvd Calendar'!$N$781)=0))&gt;0)=0,"",'Dvd Calendar'!$N$781*1000000000+ISNUMBER('Dvd Calendar'!$N$784)*100000000+('Dvd Calendar'!$N$786=SPECIAL_LBL)*10000000+(N('Dvd Calendar'!$N$780)&gt;0)*(N('Dvd Calendar'!$N$780)&lt;=VAL_SERIAL)*1000000+71*1000+10))</f>
        <v/>
      </c>
      <c r="EO82" s="121">
        <f>IF(N('Dvd Calendar'!$O$781)=0,"",IF(('Dvd Calendar'!$O$781&gt;=GRID_FROM)*('Dvd Calendar'!$O$781&lt;=GRID_TO)*((('Dvd Calendar'!$O$781&lt;=VAL_DATE)+(COUNTIF('Dvd Calendar'!$E$788:$AR$788,'Dvd Calendar'!$O$781)=0))&gt;0)=0,"",'Dvd Calendar'!$O$781*1000000000+ISNUMBER('Dvd Calendar'!$O$784)*100000000+('Dvd Calendar'!$O$786=SPECIAL_LBL)*10000000+(N('Dvd Calendar'!$O$780)&gt;0)*(N('Dvd Calendar'!$O$780)&lt;=VAL_SERIAL)*1000000+71*1000+11))</f>
        <v/>
      </c>
      <c r="EP82" s="121">
        <f>IF(N('Dvd Calendar'!$P$781)=0,"",IF(('Dvd Calendar'!$P$781&gt;=GRID_FROM)*('Dvd Calendar'!$P$781&lt;=GRID_TO)*((('Dvd Calendar'!$P$781&lt;=VAL_DATE)+(COUNTIF('Dvd Calendar'!$E$788:$AR$788,'Dvd Calendar'!$P$781)=0))&gt;0)=0,"",'Dvd Calendar'!$P$781*1000000000+ISNUMBER('Dvd Calendar'!$P$784)*100000000+('Dvd Calendar'!$P$786=SPECIAL_LBL)*10000000+(N('Dvd Calendar'!$P$780)&gt;0)*(N('Dvd Calendar'!$P$780)&lt;=VAL_SERIAL)*1000000+71*1000+12))</f>
        <v/>
      </c>
      <c r="EQ82" s="121">
        <f>IF(N('Dvd Calendar'!$Q$781)=0,"",IF(('Dvd Calendar'!$Q$781&gt;=GRID_FROM)*('Dvd Calendar'!$Q$781&lt;=GRID_TO)*((('Dvd Calendar'!$Q$781&lt;=VAL_DATE)+(COUNTIF('Dvd Calendar'!$E$788:$AR$788,'Dvd Calendar'!$Q$781)=0))&gt;0)=0,"",'Dvd Calendar'!$Q$781*1000000000+ISNUMBER('Dvd Calendar'!$Q$784)*100000000+('Dvd Calendar'!$Q$786=SPECIAL_LBL)*10000000+(N('Dvd Calendar'!$Q$780)&gt;0)*(N('Dvd Calendar'!$Q$780)&lt;=VAL_SERIAL)*1000000+71*1000+13))</f>
        <v/>
      </c>
      <c r="ER82" s="121">
        <f>IF(N('Dvd Calendar'!$R$781)=0,"",IF(('Dvd Calendar'!$R$781&gt;=GRID_FROM)*('Dvd Calendar'!$R$781&lt;=GRID_TO)*((('Dvd Calendar'!$R$781&lt;=VAL_DATE)+(COUNTIF('Dvd Calendar'!$E$788:$AR$788,'Dvd Calendar'!$R$781)=0))&gt;0)=0,"",'Dvd Calendar'!$R$781*1000000000+ISNUMBER('Dvd Calendar'!$R$784)*100000000+('Dvd Calendar'!$R$786=SPECIAL_LBL)*10000000+(N('Dvd Calendar'!$R$780)&gt;0)*(N('Dvd Calendar'!$R$780)&lt;=VAL_SERIAL)*1000000+71*1000+14))</f>
        <v/>
      </c>
      <c r="ES82" s="121">
        <f>IF(N('Dvd Calendar'!$S$781)=0,"",IF(('Dvd Calendar'!$S$781&gt;=GRID_FROM)*('Dvd Calendar'!$S$781&lt;=GRID_TO)*((('Dvd Calendar'!$S$781&lt;=VAL_DATE)+(COUNTIF('Dvd Calendar'!$E$788:$AR$788,'Dvd Calendar'!$S$781)=0))&gt;0)=0,"",'Dvd Calendar'!$S$781*1000000000+ISNUMBER('Dvd Calendar'!$S$784)*100000000+('Dvd Calendar'!$S$786=SPECIAL_LBL)*10000000+(N('Dvd Calendar'!$S$780)&gt;0)*(N('Dvd Calendar'!$S$780)&lt;=VAL_SERIAL)*1000000+71*1000+15))</f>
        <v/>
      </c>
      <c r="ET82" s="121">
        <f>IF(N('Dvd Calendar'!$T$781)=0,"",IF(('Dvd Calendar'!$T$781&gt;=GRID_FROM)*('Dvd Calendar'!$T$781&lt;=GRID_TO)*((('Dvd Calendar'!$T$781&lt;=VAL_DATE)+(COUNTIF('Dvd Calendar'!$E$788:$AR$788,'Dvd Calendar'!$T$781)=0))&gt;0)=0,"",'Dvd Calendar'!$T$781*1000000000+ISNUMBER('Dvd Calendar'!$T$784)*100000000+('Dvd Calendar'!$T$786=SPECIAL_LBL)*10000000+(N('Dvd Calendar'!$T$780)&gt;0)*(N('Dvd Calendar'!$T$780)&lt;=VAL_SERIAL)*1000000+71*1000+16))</f>
        <v/>
      </c>
      <c r="EU82" s="121">
        <f>IF(N('Dvd Calendar'!$U$781)=0,"",IF(('Dvd Calendar'!$U$781&gt;=GRID_FROM)*('Dvd Calendar'!$U$781&lt;=GRID_TO)*((('Dvd Calendar'!$U$781&lt;=VAL_DATE)+(COUNTIF('Dvd Calendar'!$E$788:$AR$788,'Dvd Calendar'!$U$781)=0))&gt;0)=0,"",'Dvd Calendar'!$U$781*1000000000+ISNUMBER('Dvd Calendar'!$U$784)*100000000+('Dvd Calendar'!$U$786=SPECIAL_LBL)*10000000+(N('Dvd Calendar'!$U$780)&gt;0)*(N('Dvd Calendar'!$U$780)&lt;=VAL_SERIAL)*1000000+71*1000+17))</f>
        <v/>
      </c>
      <c r="EV82" s="121">
        <f>IF(N('Dvd Calendar'!$V$781)=0,"",IF(('Dvd Calendar'!$V$781&gt;=GRID_FROM)*('Dvd Calendar'!$V$781&lt;=GRID_TO)*((('Dvd Calendar'!$V$781&lt;=VAL_DATE)+(COUNTIF('Dvd Calendar'!$E$788:$AR$788,'Dvd Calendar'!$V$781)=0))&gt;0)=0,"",'Dvd Calendar'!$V$781*1000000000+ISNUMBER('Dvd Calendar'!$V$784)*100000000+('Dvd Calendar'!$V$786=SPECIAL_LBL)*10000000+(N('Dvd Calendar'!$V$780)&gt;0)*(N('Dvd Calendar'!$V$780)&lt;=VAL_SERIAL)*1000000+71*1000+18))</f>
        <v/>
      </c>
      <c r="EW82" s="121">
        <f>IF(N('Dvd Calendar'!$W$781)=0,"",IF(('Dvd Calendar'!$W$781&gt;=GRID_FROM)*('Dvd Calendar'!$W$781&lt;=GRID_TO)*((('Dvd Calendar'!$W$781&lt;=VAL_DATE)+(COUNTIF('Dvd Calendar'!$E$788:$AR$788,'Dvd Calendar'!$W$781)=0))&gt;0)=0,"",'Dvd Calendar'!$W$781*1000000000+ISNUMBER('Dvd Calendar'!$W$784)*100000000+('Dvd Calendar'!$W$786=SPECIAL_LBL)*10000000+(N('Dvd Calendar'!$W$780)&gt;0)*(N('Dvd Calendar'!$W$780)&lt;=VAL_SERIAL)*1000000+71*1000+19))</f>
        <v/>
      </c>
      <c r="EX82" s="121">
        <f>IF(N('Dvd Calendar'!$X$781)=0,"",IF(('Dvd Calendar'!$X$781&gt;=GRID_FROM)*('Dvd Calendar'!$X$781&lt;=GRID_TO)*((('Dvd Calendar'!$X$781&lt;=VAL_DATE)+(COUNTIF('Dvd Calendar'!$E$788:$AR$788,'Dvd Calendar'!$X$781)=0))&gt;0)=0,"",'Dvd Calendar'!$X$781*1000000000+ISNUMBER('Dvd Calendar'!$X$784)*100000000+('Dvd Calendar'!$X$786=SPECIAL_LBL)*10000000+(N('Dvd Calendar'!$X$780)&gt;0)*(N('Dvd Calendar'!$X$780)&lt;=VAL_SERIAL)*1000000+71*1000+20))</f>
        <v/>
      </c>
      <c r="EY82" s="121">
        <f>IF(N('Dvd Calendar'!$Y$781)=0,"",IF(('Dvd Calendar'!$Y$781&gt;=GRID_FROM)*('Dvd Calendar'!$Y$781&lt;=GRID_TO)*((('Dvd Calendar'!$Y$781&lt;=VAL_DATE)+(COUNTIF('Dvd Calendar'!$E$788:$AR$788,'Dvd Calendar'!$Y$781)=0))&gt;0)=0,"",'Dvd Calendar'!$Y$781*1000000000+ISNUMBER('Dvd Calendar'!$Y$784)*100000000+('Dvd Calendar'!$Y$786=SPECIAL_LBL)*10000000+(N('Dvd Calendar'!$Y$780)&gt;0)*(N('Dvd Calendar'!$Y$780)&lt;=VAL_SERIAL)*1000000+71*1000+21))</f>
        <v/>
      </c>
      <c r="EZ82" s="121">
        <f>IF(N('Dvd Calendar'!$Z$781)=0,"",IF(('Dvd Calendar'!$Z$781&gt;=GRID_FROM)*('Dvd Calendar'!$Z$781&lt;=GRID_TO)*((('Dvd Calendar'!$Z$781&lt;=VAL_DATE)+(COUNTIF('Dvd Calendar'!$E$788:$AR$788,'Dvd Calendar'!$Z$781)=0))&gt;0)=0,"",'Dvd Calendar'!$Z$781*1000000000+ISNUMBER('Dvd Calendar'!$Z$784)*100000000+('Dvd Calendar'!$Z$786=SPECIAL_LBL)*10000000+(N('Dvd Calendar'!$Z$780)&gt;0)*(N('Dvd Calendar'!$Z$780)&lt;=VAL_SERIAL)*1000000+71*1000+22))</f>
        <v/>
      </c>
      <c r="FA82" s="121">
        <f>IF(N('Dvd Calendar'!$AA$781)=0,"",IF(('Dvd Calendar'!$AA$781&gt;=GRID_FROM)*('Dvd Calendar'!$AA$781&lt;=GRID_TO)*((('Dvd Calendar'!$AA$781&lt;=VAL_DATE)+(COUNTIF('Dvd Calendar'!$E$788:$AR$788,'Dvd Calendar'!$AA$781)=0))&gt;0)=0,"",'Dvd Calendar'!$AA$781*1000000000+ISNUMBER('Dvd Calendar'!$AA$784)*100000000+('Dvd Calendar'!$AA$786=SPECIAL_LBL)*10000000+(N('Dvd Calendar'!$AA$780)&gt;0)*(N('Dvd Calendar'!$AA$780)&lt;=VAL_SERIAL)*1000000+71*1000+23))</f>
        <v/>
      </c>
      <c r="FB82" s="121">
        <f>IF(N('Dvd Calendar'!$AB$781)=0,"",IF(('Dvd Calendar'!$AB$781&gt;=GRID_FROM)*('Dvd Calendar'!$AB$781&lt;=GRID_TO)*((('Dvd Calendar'!$AB$781&lt;=VAL_DATE)+(COUNTIF('Dvd Calendar'!$E$788:$AR$788,'Dvd Calendar'!$AB$781)=0))&gt;0)=0,"",'Dvd Calendar'!$AB$781*1000000000+ISNUMBER('Dvd Calendar'!$AB$784)*100000000+('Dvd Calendar'!$AB$786=SPECIAL_LBL)*10000000+(N('Dvd Calendar'!$AB$780)&gt;0)*(N('Dvd Calendar'!$AB$780)&lt;=VAL_SERIAL)*1000000+71*1000+24))</f>
        <v/>
      </c>
      <c r="FC82" s="121">
        <f>IF(N('Dvd Calendar'!$AC$781)=0,"",IF(('Dvd Calendar'!$AC$781&gt;=GRID_FROM)*('Dvd Calendar'!$AC$781&lt;=GRID_TO)*((('Dvd Calendar'!$AC$781&lt;=VAL_DATE)+(COUNTIF('Dvd Calendar'!$E$788:$AR$788,'Dvd Calendar'!$AC$781)=0))&gt;0)=0,"",'Dvd Calendar'!$AC$781*1000000000+ISNUMBER('Dvd Calendar'!$AC$784)*100000000+('Dvd Calendar'!$AC$786=SPECIAL_LBL)*10000000+(N('Dvd Calendar'!$AC$780)&gt;0)*(N('Dvd Calendar'!$AC$780)&lt;=VAL_SERIAL)*1000000+71*1000+25))</f>
        <v/>
      </c>
      <c r="FD82" s="121">
        <f>IF(N('Dvd Calendar'!$AD$781)=0,"",IF(('Dvd Calendar'!$AD$781&gt;=GRID_FROM)*('Dvd Calendar'!$AD$781&lt;=GRID_TO)*((('Dvd Calendar'!$AD$781&lt;=VAL_DATE)+(COUNTIF('Dvd Calendar'!$E$788:$AR$788,'Dvd Calendar'!$AD$781)=0))&gt;0)=0,"",'Dvd Calendar'!$AD$781*1000000000+ISNUMBER('Dvd Calendar'!$AD$784)*100000000+('Dvd Calendar'!$AD$786=SPECIAL_LBL)*10000000+(N('Dvd Calendar'!$AD$780)&gt;0)*(N('Dvd Calendar'!$AD$780)&lt;=VAL_SERIAL)*1000000+71*1000+26))</f>
        <v/>
      </c>
      <c r="FE82" s="121">
        <f>IF(N('Dvd Calendar'!$AE$781)=0,"",IF(('Dvd Calendar'!$AE$781&gt;=GRID_FROM)*('Dvd Calendar'!$AE$781&lt;=GRID_TO)*((('Dvd Calendar'!$AE$781&lt;=VAL_DATE)+(COUNTIF('Dvd Calendar'!$E$788:$AR$788,'Dvd Calendar'!$AE$781)=0))&gt;0)=0,"",'Dvd Calendar'!$AE$781*1000000000+ISNUMBER('Dvd Calendar'!$AE$784)*100000000+('Dvd Calendar'!$AE$786=SPECIAL_LBL)*10000000+(N('Dvd Calendar'!$AE$780)&gt;0)*(N('Dvd Calendar'!$AE$780)&lt;=VAL_SERIAL)*1000000+71*1000+27))</f>
        <v/>
      </c>
      <c r="FF82" s="121">
        <f>IF(N('Dvd Calendar'!$AF$781)=0,"",IF(('Dvd Calendar'!$AF$781&gt;=GRID_FROM)*('Dvd Calendar'!$AF$781&lt;=GRID_TO)*((('Dvd Calendar'!$AF$781&lt;=VAL_DATE)+(COUNTIF('Dvd Calendar'!$E$788:$AR$788,'Dvd Calendar'!$AF$781)=0))&gt;0)=0,"",'Dvd Calendar'!$AF$781*1000000000+ISNUMBER('Dvd Calendar'!$AF$784)*100000000+('Dvd Calendar'!$AF$786=SPECIAL_LBL)*10000000+(N('Dvd Calendar'!$AF$780)&gt;0)*(N('Dvd Calendar'!$AF$780)&lt;=VAL_SERIAL)*1000000+71*1000+28))</f>
        <v/>
      </c>
      <c r="FG82" s="121">
        <f>IF(N('Dvd Calendar'!$AG$781)=0,"",IF(('Dvd Calendar'!$AG$781&gt;=GRID_FROM)*('Dvd Calendar'!$AG$781&lt;=GRID_TO)*((('Dvd Calendar'!$AG$781&lt;=VAL_DATE)+(COUNTIF('Dvd Calendar'!$E$788:$AR$788,'Dvd Calendar'!$AG$781)=0))&gt;0)=0,"",'Dvd Calendar'!$AG$781*1000000000+ISNUMBER('Dvd Calendar'!$AG$784)*100000000+('Dvd Calendar'!$AG$786=SPECIAL_LBL)*10000000+(N('Dvd Calendar'!$AG$780)&gt;0)*(N('Dvd Calendar'!$AG$780)&lt;=VAL_SERIAL)*1000000+71*1000+29))</f>
        <v/>
      </c>
      <c r="FH82" s="121">
        <f>IF(N('Dvd Calendar'!$AH$781)=0,"",IF(('Dvd Calendar'!$AH$781&gt;=GRID_FROM)*('Dvd Calendar'!$AH$781&lt;=GRID_TO)*((('Dvd Calendar'!$AH$781&lt;=VAL_DATE)+(COUNTIF('Dvd Calendar'!$E$788:$AR$788,'Dvd Calendar'!$AH$781)=0))&gt;0)=0,"",'Dvd Calendar'!$AH$781*1000000000+ISNUMBER('Dvd Calendar'!$AH$784)*100000000+('Dvd Calendar'!$AH$786=SPECIAL_LBL)*10000000+(N('Dvd Calendar'!$AH$780)&gt;0)*(N('Dvd Calendar'!$AH$780)&lt;=VAL_SERIAL)*1000000+71*1000+30))</f>
        <v/>
      </c>
      <c r="FI82" s="121">
        <f>IF(N('Dvd Calendar'!$AI$781)=0,"",IF(('Dvd Calendar'!$AI$781&gt;=GRID_FROM)*('Dvd Calendar'!$AI$781&lt;=GRID_TO)*((('Dvd Calendar'!$AI$781&lt;=VAL_DATE)+(COUNTIF('Dvd Calendar'!$E$788:$AR$788,'Dvd Calendar'!$AI$781)=0))&gt;0)=0,"",'Dvd Calendar'!$AI$781*1000000000+ISNUMBER('Dvd Calendar'!$AI$784)*100000000+('Dvd Calendar'!$AI$786=SPECIAL_LBL)*10000000+(N('Dvd Calendar'!$AI$780)&gt;0)*(N('Dvd Calendar'!$AI$780)&lt;=VAL_SERIAL)*1000000+71*1000+31))</f>
        <v/>
      </c>
      <c r="FJ82" s="121">
        <f>IF(N('Dvd Calendar'!$AJ$781)=0,"",IF(('Dvd Calendar'!$AJ$781&gt;=GRID_FROM)*('Dvd Calendar'!$AJ$781&lt;=GRID_TO)*((('Dvd Calendar'!$AJ$781&lt;=VAL_DATE)+(COUNTIF('Dvd Calendar'!$E$788:$AR$788,'Dvd Calendar'!$AJ$781)=0))&gt;0)=0,"",'Dvd Calendar'!$AJ$781*1000000000+ISNUMBER('Dvd Calendar'!$AJ$784)*100000000+('Dvd Calendar'!$AJ$786=SPECIAL_LBL)*10000000+(N('Dvd Calendar'!$AJ$780)&gt;0)*(N('Dvd Calendar'!$AJ$780)&lt;=VAL_SERIAL)*1000000+71*1000+32))</f>
        <v/>
      </c>
      <c r="FK82" s="121">
        <f>IF(N('Dvd Calendar'!$AK$781)=0,"",IF(('Dvd Calendar'!$AK$781&gt;=GRID_FROM)*('Dvd Calendar'!$AK$781&lt;=GRID_TO)*((('Dvd Calendar'!$AK$781&lt;=VAL_DATE)+(COUNTIF('Dvd Calendar'!$E$788:$AR$788,'Dvd Calendar'!$AK$781)=0))&gt;0)=0,"",'Dvd Calendar'!$AK$781*1000000000+ISNUMBER('Dvd Calendar'!$AK$784)*100000000+('Dvd Calendar'!$AK$786=SPECIAL_LBL)*10000000+(N('Dvd Calendar'!$AK$780)&gt;0)*(N('Dvd Calendar'!$AK$780)&lt;=VAL_SERIAL)*1000000+71*1000+33))</f>
        <v/>
      </c>
      <c r="FL82" s="121">
        <f>IF(N('Dvd Calendar'!$AL$781)=0,"",IF(('Dvd Calendar'!$AL$781&gt;=GRID_FROM)*('Dvd Calendar'!$AL$781&lt;=GRID_TO)*((('Dvd Calendar'!$AL$781&lt;=VAL_DATE)+(COUNTIF('Dvd Calendar'!$E$788:$AR$788,'Dvd Calendar'!$AL$781)=0))&gt;0)=0,"",'Dvd Calendar'!$AL$781*1000000000+ISNUMBER('Dvd Calendar'!$AL$784)*100000000+('Dvd Calendar'!$AL$786=SPECIAL_LBL)*10000000+(N('Dvd Calendar'!$AL$780)&gt;0)*(N('Dvd Calendar'!$AL$780)&lt;=VAL_SERIAL)*1000000+71*1000+34))</f>
        <v/>
      </c>
      <c r="FM82" s="121">
        <f>IF(N('Dvd Calendar'!$AM$781)=0,"",IF(('Dvd Calendar'!$AM$781&gt;=GRID_FROM)*('Dvd Calendar'!$AM$781&lt;=GRID_TO)*((('Dvd Calendar'!$AM$781&lt;=VAL_DATE)+(COUNTIF('Dvd Calendar'!$E$788:$AR$788,'Dvd Calendar'!$AM$781)=0))&gt;0)=0,"",'Dvd Calendar'!$AM$781*1000000000+ISNUMBER('Dvd Calendar'!$AM$784)*100000000+('Dvd Calendar'!$AM$786=SPECIAL_LBL)*10000000+(N('Dvd Calendar'!$AM$780)&gt;0)*(N('Dvd Calendar'!$AM$780)&lt;=VAL_SERIAL)*1000000+71*1000+35))</f>
        <v/>
      </c>
      <c r="FN82" s="121">
        <f>IF(N('Dvd Calendar'!$AN$781)=0,"",IF(('Dvd Calendar'!$AN$781&gt;=GRID_FROM)*('Dvd Calendar'!$AN$781&lt;=GRID_TO)*((('Dvd Calendar'!$AN$781&lt;=VAL_DATE)+(COUNTIF('Dvd Calendar'!$E$788:$AR$788,'Dvd Calendar'!$AN$781)=0))&gt;0)=0,"",'Dvd Calendar'!$AN$781*1000000000+ISNUMBER('Dvd Calendar'!$AN$784)*100000000+('Dvd Calendar'!$AN$786=SPECIAL_LBL)*10000000+(N('Dvd Calendar'!$AN$780)&gt;0)*(N('Dvd Calendar'!$AN$780)&lt;=VAL_SERIAL)*1000000+71*1000+36))</f>
        <v/>
      </c>
      <c r="FO82" s="121">
        <f>IF(N('Dvd Calendar'!$AO$781)=0,"",IF(('Dvd Calendar'!$AO$781&gt;=GRID_FROM)*('Dvd Calendar'!$AO$781&lt;=GRID_TO)*((('Dvd Calendar'!$AO$781&lt;=VAL_DATE)+(COUNTIF('Dvd Calendar'!$E$788:$AR$788,'Dvd Calendar'!$AO$781)=0))&gt;0)=0,"",'Dvd Calendar'!$AO$781*1000000000+ISNUMBER('Dvd Calendar'!$AO$784)*100000000+('Dvd Calendar'!$AO$786=SPECIAL_LBL)*10000000+(N('Dvd Calendar'!$AO$780)&gt;0)*(N('Dvd Calendar'!$AO$780)&lt;=VAL_SERIAL)*1000000+71*1000+37))</f>
        <v/>
      </c>
      <c r="FP82" s="121">
        <f>IF(N('Dvd Calendar'!$AP$781)=0,"",IF(('Dvd Calendar'!$AP$781&gt;=GRID_FROM)*('Dvd Calendar'!$AP$781&lt;=GRID_TO)*((('Dvd Calendar'!$AP$781&lt;=VAL_DATE)+(COUNTIF('Dvd Calendar'!$E$788:$AR$788,'Dvd Calendar'!$AP$781)=0))&gt;0)=0,"",'Dvd Calendar'!$AP$781*1000000000+ISNUMBER('Dvd Calendar'!$AP$784)*100000000+('Dvd Calendar'!$AP$786=SPECIAL_LBL)*10000000+(N('Dvd Calendar'!$AP$780)&gt;0)*(N('Dvd Calendar'!$AP$780)&lt;=VAL_SERIAL)*1000000+71*1000+38))</f>
        <v/>
      </c>
      <c r="FQ82" s="121">
        <f>IF(N('Dvd Calendar'!$AQ$781)=0,"",IF(('Dvd Calendar'!$AQ$781&gt;=GRID_FROM)*('Dvd Calendar'!$AQ$781&lt;=GRID_TO)*((('Dvd Calendar'!$AQ$781&lt;=VAL_DATE)+(COUNTIF('Dvd Calendar'!$E$788:$AR$788,'Dvd Calendar'!$AQ$781)=0))&gt;0)=0,"",'Dvd Calendar'!$AQ$781*1000000000+ISNUMBER('Dvd Calendar'!$AQ$784)*100000000+('Dvd Calendar'!$AQ$786=SPECIAL_LBL)*10000000+(N('Dvd Calendar'!$AQ$780)&gt;0)*(N('Dvd Calendar'!$AQ$780)&lt;=VAL_SERIAL)*1000000+71*1000+39))</f>
        <v/>
      </c>
      <c r="FR82" s="121">
        <f>IF(N('Dvd Calendar'!$AR$781)=0,"",IF(('Dvd Calendar'!$AR$781&gt;=GRID_FROM)*('Dvd Calendar'!$AR$781&lt;=GRID_TO)*((('Dvd Calendar'!$AR$781&lt;=VAL_DATE)+(COUNTIF('Dvd Calendar'!$E$788:$AR$788,'Dvd Calendar'!$AR$781)=0))&gt;0)=0,"",'Dvd Calendar'!$AR$781*1000000000+ISNUMBER('Dvd Calendar'!$AR$784)*100000000+('Dvd Calendar'!$AR$786=SPECIAL_LBL)*10000000+(N('Dvd Calendar'!$AR$780)&gt;0)*(N('Dvd Calendar'!$AR$780)&lt;=VAL_SERIAL)*1000000+71*1000+40))</f>
        <v/>
      </c>
      <c r="FS82" s="121">
        <f>IF(N('Dvd Calendar'!$E$788)=0,"",IF(('Dvd Calendar'!$E$788&gt;=GRID_FROM)*('Dvd Calendar'!$E$788&lt;=GRID_TO)*('Dvd Calendar'!$E$788&gt;VAL_DATE)=0,"",'Dvd Calendar'!$E$788*1000000000+ISNUMBER('Dvd Calendar'!$E$789)*100000000+0*10000000+(N('Dvd Calendar'!$E$787)&gt;0)*(N('Dvd Calendar'!$E$787)&lt;=VAL_SERIAL)*1000000+71*1000+41))</f>
        <v/>
      </c>
      <c r="FT82" s="121">
        <f>IF(N('Dvd Calendar'!$F$788)=0,"",IF(('Dvd Calendar'!$F$788&gt;=GRID_FROM)*('Dvd Calendar'!$F$788&lt;=GRID_TO)*('Dvd Calendar'!$F$788&gt;VAL_DATE)=0,"",'Dvd Calendar'!$F$788*1000000000+ISNUMBER('Dvd Calendar'!$F$789)*100000000+0*10000000+(N('Dvd Calendar'!$F$787)&gt;0)*(N('Dvd Calendar'!$F$787)&lt;=VAL_SERIAL)*1000000+71*1000+42))</f>
        <v/>
      </c>
      <c r="FU82" s="121">
        <f>IF(N('Dvd Calendar'!$G$788)=0,"",IF(('Dvd Calendar'!$G$788&gt;=GRID_FROM)*('Dvd Calendar'!$G$788&lt;=GRID_TO)*('Dvd Calendar'!$G$788&gt;VAL_DATE)=0,"",'Dvd Calendar'!$G$788*1000000000+ISNUMBER('Dvd Calendar'!$G$789)*100000000+0*10000000+(N('Dvd Calendar'!$G$787)&gt;0)*(N('Dvd Calendar'!$G$787)&lt;=VAL_SERIAL)*1000000+71*1000+43))</f>
        <v/>
      </c>
      <c r="FV82" s="121">
        <f>IF(N('Dvd Calendar'!$H$788)=0,"",IF(('Dvd Calendar'!$H$788&gt;=GRID_FROM)*('Dvd Calendar'!$H$788&lt;=GRID_TO)*('Dvd Calendar'!$H$788&gt;VAL_DATE)=0,"",'Dvd Calendar'!$H$788*1000000000+ISNUMBER('Dvd Calendar'!$H$789)*100000000+0*10000000+(N('Dvd Calendar'!$H$787)&gt;0)*(N('Dvd Calendar'!$H$787)&lt;=VAL_SERIAL)*1000000+71*1000+44))</f>
        <v/>
      </c>
      <c r="FW82" s="121">
        <f>IF(N('Dvd Calendar'!$I$788)=0,"",IF(('Dvd Calendar'!$I$788&gt;=GRID_FROM)*('Dvd Calendar'!$I$788&lt;=GRID_TO)*('Dvd Calendar'!$I$788&gt;VAL_DATE)=0,"",'Dvd Calendar'!$I$788*1000000000+ISNUMBER('Dvd Calendar'!$I$789)*100000000+0*10000000+(N('Dvd Calendar'!$I$787)&gt;0)*(N('Dvd Calendar'!$I$787)&lt;=VAL_SERIAL)*1000000+71*1000+45))</f>
        <v/>
      </c>
      <c r="FX82" s="121">
        <f>IF(N('Dvd Calendar'!$J$788)=0,"",IF(('Dvd Calendar'!$J$788&gt;=GRID_FROM)*('Dvd Calendar'!$J$788&lt;=GRID_TO)*('Dvd Calendar'!$J$788&gt;VAL_DATE)=0,"",'Dvd Calendar'!$J$788*1000000000+ISNUMBER('Dvd Calendar'!$J$789)*100000000+0*10000000+(N('Dvd Calendar'!$J$787)&gt;0)*(N('Dvd Calendar'!$J$787)&lt;=VAL_SERIAL)*1000000+71*1000+46))</f>
        <v/>
      </c>
      <c r="FY82" s="121">
        <f>IF(N('Dvd Calendar'!$K$788)=0,"",IF(('Dvd Calendar'!$K$788&gt;=GRID_FROM)*('Dvd Calendar'!$K$788&lt;=GRID_TO)*('Dvd Calendar'!$K$788&gt;VAL_DATE)=0,"",'Dvd Calendar'!$K$788*1000000000+ISNUMBER('Dvd Calendar'!$K$789)*100000000+0*10000000+(N('Dvd Calendar'!$K$787)&gt;0)*(N('Dvd Calendar'!$K$787)&lt;=VAL_SERIAL)*1000000+71*1000+47))</f>
        <v/>
      </c>
      <c r="FZ82" s="121">
        <f>IF(N('Dvd Calendar'!$L$788)=0,"",IF(('Dvd Calendar'!$L$788&gt;=GRID_FROM)*('Dvd Calendar'!$L$788&lt;=GRID_TO)*('Dvd Calendar'!$L$788&gt;VAL_DATE)=0,"",'Dvd Calendar'!$L$788*1000000000+ISNUMBER('Dvd Calendar'!$L$789)*100000000+0*10000000+(N('Dvd Calendar'!$L$787)&gt;0)*(N('Dvd Calendar'!$L$787)&lt;=VAL_SERIAL)*1000000+71*1000+48))</f>
        <v/>
      </c>
      <c r="GA82" s="121">
        <f>IF(N('Dvd Calendar'!$M$788)=0,"",IF(('Dvd Calendar'!$M$788&gt;=GRID_FROM)*('Dvd Calendar'!$M$788&lt;=GRID_TO)*('Dvd Calendar'!$M$788&gt;VAL_DATE)=0,"",'Dvd Calendar'!$M$788*1000000000+ISNUMBER('Dvd Calendar'!$M$789)*100000000+0*10000000+(N('Dvd Calendar'!$M$787)&gt;0)*(N('Dvd Calendar'!$M$787)&lt;=VAL_SERIAL)*1000000+71*1000+49))</f>
        <v/>
      </c>
      <c r="GB82" s="121">
        <f>IF(N('Dvd Calendar'!$N$788)=0,"",IF(('Dvd Calendar'!$N$788&gt;=GRID_FROM)*('Dvd Calendar'!$N$788&lt;=GRID_TO)*('Dvd Calendar'!$N$788&gt;VAL_DATE)=0,"",'Dvd Calendar'!$N$788*1000000000+ISNUMBER('Dvd Calendar'!$N$789)*100000000+0*10000000+(N('Dvd Calendar'!$N$787)&gt;0)*(N('Dvd Calendar'!$N$787)&lt;=VAL_SERIAL)*1000000+71*1000+50))</f>
        <v/>
      </c>
      <c r="GC82" s="121">
        <f>IF(N('Dvd Calendar'!$O$788)=0,"",IF(('Dvd Calendar'!$O$788&gt;=GRID_FROM)*('Dvd Calendar'!$O$788&lt;=GRID_TO)*('Dvd Calendar'!$O$788&gt;VAL_DATE)=0,"",'Dvd Calendar'!$O$788*1000000000+ISNUMBER('Dvd Calendar'!$O$789)*100000000+0*10000000+(N('Dvd Calendar'!$O$787)&gt;0)*(N('Dvd Calendar'!$O$787)&lt;=VAL_SERIAL)*1000000+71*1000+51))</f>
        <v/>
      </c>
      <c r="GD82" s="121">
        <f>IF(N('Dvd Calendar'!$P$788)=0,"",IF(('Dvd Calendar'!$P$788&gt;=GRID_FROM)*('Dvd Calendar'!$P$788&lt;=GRID_TO)*('Dvd Calendar'!$P$788&gt;VAL_DATE)=0,"",'Dvd Calendar'!$P$788*1000000000+ISNUMBER('Dvd Calendar'!$P$789)*100000000+0*10000000+(N('Dvd Calendar'!$P$787)&gt;0)*(N('Dvd Calendar'!$P$787)&lt;=VAL_SERIAL)*1000000+71*1000+52))</f>
        <v/>
      </c>
      <c r="GE82" s="121">
        <f>IF(N('Dvd Calendar'!$Q$788)=0,"",IF(('Dvd Calendar'!$Q$788&gt;=GRID_FROM)*('Dvd Calendar'!$Q$788&lt;=GRID_TO)*('Dvd Calendar'!$Q$788&gt;VAL_DATE)=0,"",'Dvd Calendar'!$Q$788*1000000000+ISNUMBER('Dvd Calendar'!$Q$789)*100000000+0*10000000+(N('Dvd Calendar'!$Q$787)&gt;0)*(N('Dvd Calendar'!$Q$787)&lt;=VAL_SERIAL)*1000000+71*1000+53))</f>
        <v/>
      </c>
      <c r="GF82" s="121">
        <f>IF(N('Dvd Calendar'!$R$788)=0,"",IF(('Dvd Calendar'!$R$788&gt;=GRID_FROM)*('Dvd Calendar'!$R$788&lt;=GRID_TO)*('Dvd Calendar'!$R$788&gt;VAL_DATE)=0,"",'Dvd Calendar'!$R$788*1000000000+ISNUMBER('Dvd Calendar'!$R$789)*100000000+0*10000000+(N('Dvd Calendar'!$R$787)&gt;0)*(N('Dvd Calendar'!$R$787)&lt;=VAL_SERIAL)*1000000+71*1000+54))</f>
        <v/>
      </c>
      <c r="GG82" s="121">
        <f>IF(N('Dvd Calendar'!$S$788)=0,"",IF(('Dvd Calendar'!$S$788&gt;=GRID_FROM)*('Dvd Calendar'!$S$788&lt;=GRID_TO)*('Dvd Calendar'!$S$788&gt;VAL_DATE)=0,"",'Dvd Calendar'!$S$788*1000000000+ISNUMBER('Dvd Calendar'!$S$789)*100000000+0*10000000+(N('Dvd Calendar'!$S$787)&gt;0)*(N('Dvd Calendar'!$S$787)&lt;=VAL_SERIAL)*1000000+71*1000+55))</f>
        <v/>
      </c>
      <c r="GH82" s="121">
        <f>IF(N('Dvd Calendar'!$T$788)=0,"",IF(('Dvd Calendar'!$T$788&gt;=GRID_FROM)*('Dvd Calendar'!$T$788&lt;=GRID_TO)*('Dvd Calendar'!$T$788&gt;VAL_DATE)=0,"",'Dvd Calendar'!$T$788*1000000000+ISNUMBER('Dvd Calendar'!$T$789)*100000000+0*10000000+(N('Dvd Calendar'!$T$787)&gt;0)*(N('Dvd Calendar'!$T$787)&lt;=VAL_SERIAL)*1000000+71*1000+56))</f>
        <v/>
      </c>
      <c r="GI82" s="121">
        <f>IF(N('Dvd Calendar'!$U$788)=0,"",IF(('Dvd Calendar'!$U$788&gt;=GRID_FROM)*('Dvd Calendar'!$U$788&lt;=GRID_TO)*('Dvd Calendar'!$U$788&gt;VAL_DATE)=0,"",'Dvd Calendar'!$U$788*1000000000+ISNUMBER('Dvd Calendar'!$U$789)*100000000+0*10000000+(N('Dvd Calendar'!$U$787)&gt;0)*(N('Dvd Calendar'!$U$787)&lt;=VAL_SERIAL)*1000000+71*1000+57))</f>
        <v/>
      </c>
      <c r="GJ82" s="121">
        <f>IF(N('Dvd Calendar'!$V$788)=0,"",IF(('Dvd Calendar'!$V$788&gt;=GRID_FROM)*('Dvd Calendar'!$V$788&lt;=GRID_TO)*('Dvd Calendar'!$V$788&gt;VAL_DATE)=0,"",'Dvd Calendar'!$V$788*1000000000+ISNUMBER('Dvd Calendar'!$V$789)*100000000+0*10000000+(N('Dvd Calendar'!$V$787)&gt;0)*(N('Dvd Calendar'!$V$787)&lt;=VAL_SERIAL)*1000000+71*1000+58))</f>
        <v/>
      </c>
      <c r="GK82" s="121">
        <f>IF(N('Dvd Calendar'!$W$788)=0,"",IF(('Dvd Calendar'!$W$788&gt;=GRID_FROM)*('Dvd Calendar'!$W$788&lt;=GRID_TO)*('Dvd Calendar'!$W$788&gt;VAL_DATE)=0,"",'Dvd Calendar'!$W$788*1000000000+ISNUMBER('Dvd Calendar'!$W$789)*100000000+0*10000000+(N('Dvd Calendar'!$W$787)&gt;0)*(N('Dvd Calendar'!$W$787)&lt;=VAL_SERIAL)*1000000+71*1000+59))</f>
        <v/>
      </c>
      <c r="GL82" s="121">
        <f>IF(N('Dvd Calendar'!$X$788)=0,"",IF(('Dvd Calendar'!$X$788&gt;=GRID_FROM)*('Dvd Calendar'!$X$788&lt;=GRID_TO)*('Dvd Calendar'!$X$788&gt;VAL_DATE)=0,"",'Dvd Calendar'!$X$788*1000000000+ISNUMBER('Dvd Calendar'!$X$789)*100000000+0*10000000+(N('Dvd Calendar'!$X$787)&gt;0)*(N('Dvd Calendar'!$X$787)&lt;=VAL_SERIAL)*1000000+71*1000+60))</f>
        <v/>
      </c>
      <c r="GM82" s="121">
        <f>IF(N('Dvd Calendar'!$Y$788)=0,"",IF(('Dvd Calendar'!$Y$788&gt;=GRID_FROM)*('Dvd Calendar'!$Y$788&lt;=GRID_TO)*('Dvd Calendar'!$Y$788&gt;VAL_DATE)=0,"",'Dvd Calendar'!$Y$788*1000000000+ISNUMBER('Dvd Calendar'!$Y$789)*100000000+0*10000000+(N('Dvd Calendar'!$Y$787)&gt;0)*(N('Dvd Calendar'!$Y$787)&lt;=VAL_SERIAL)*1000000+71*1000+61))</f>
        <v/>
      </c>
      <c r="GN82" s="121">
        <f>IF(N('Dvd Calendar'!$Z$788)=0,"",IF(('Dvd Calendar'!$Z$788&gt;=GRID_FROM)*('Dvd Calendar'!$Z$788&lt;=GRID_TO)*('Dvd Calendar'!$Z$788&gt;VAL_DATE)=0,"",'Dvd Calendar'!$Z$788*1000000000+ISNUMBER('Dvd Calendar'!$Z$789)*100000000+0*10000000+(N('Dvd Calendar'!$Z$787)&gt;0)*(N('Dvd Calendar'!$Z$787)&lt;=VAL_SERIAL)*1000000+71*1000+62))</f>
        <v/>
      </c>
      <c r="GO82" s="121">
        <f>IF(N('Dvd Calendar'!$AA$788)=0,"",IF(('Dvd Calendar'!$AA$788&gt;=GRID_FROM)*('Dvd Calendar'!$AA$788&lt;=GRID_TO)*('Dvd Calendar'!$AA$788&gt;VAL_DATE)=0,"",'Dvd Calendar'!$AA$788*1000000000+ISNUMBER('Dvd Calendar'!$AA$789)*100000000+0*10000000+(N('Dvd Calendar'!$AA$787)&gt;0)*(N('Dvd Calendar'!$AA$787)&lt;=VAL_SERIAL)*1000000+71*1000+63))</f>
        <v/>
      </c>
      <c r="GP82" s="121">
        <f>IF(N('Dvd Calendar'!$AB$788)=0,"",IF(('Dvd Calendar'!$AB$788&gt;=GRID_FROM)*('Dvd Calendar'!$AB$788&lt;=GRID_TO)*('Dvd Calendar'!$AB$788&gt;VAL_DATE)=0,"",'Dvd Calendar'!$AB$788*1000000000+ISNUMBER('Dvd Calendar'!$AB$789)*100000000+0*10000000+(N('Dvd Calendar'!$AB$787)&gt;0)*(N('Dvd Calendar'!$AB$787)&lt;=VAL_SERIAL)*1000000+71*1000+64))</f>
        <v/>
      </c>
      <c r="GQ82" s="121">
        <f>IF(N('Dvd Calendar'!$AC$788)=0,"",IF(('Dvd Calendar'!$AC$788&gt;=GRID_FROM)*('Dvd Calendar'!$AC$788&lt;=GRID_TO)*('Dvd Calendar'!$AC$788&gt;VAL_DATE)=0,"",'Dvd Calendar'!$AC$788*1000000000+ISNUMBER('Dvd Calendar'!$AC$789)*100000000+0*10000000+(N('Dvd Calendar'!$AC$787)&gt;0)*(N('Dvd Calendar'!$AC$787)&lt;=VAL_SERIAL)*1000000+71*1000+65))</f>
        <v/>
      </c>
    </row>
    <row r="83">
      <c r="B83" s="2">
        <f>IF(HSI!$C$78="","",HSI!$C$78)</f>
        <v/>
      </c>
      <c r="C83" s="161">
        <f>IF(EE83="","",IF(ISNUMBER('Dvd Calendar'!$E$795)=FALSE,"",IF((('Dvd Calendar'!$E$797=TYPE1)*(TYPE1&lt;&gt;"")+('Dvd Calendar'!$E$797=TYPE2)*(TYPE2&lt;&gt;"")+('Dvd Calendar'!$E$797=TYPE3)*(TYPE3&lt;&gt;"")+('Dvd Calendar'!$E$797=TYPE4)*(TYPE4&lt;&gt;"")+('Dvd Calendar'!$E$797=SPECIAL_LBL)*(INC_SPECIALS="Y"))=0,"",'Dvd Calendar'!$E$795)))</f>
        <v/>
      </c>
      <c r="D83" s="161">
        <f>IF(EF83="","",IF(ISNUMBER('Dvd Calendar'!$F$795)=FALSE,"",IF((('Dvd Calendar'!$F$797=TYPE1)*(TYPE1&lt;&gt;"")+('Dvd Calendar'!$F$797=TYPE2)*(TYPE2&lt;&gt;"")+('Dvd Calendar'!$F$797=TYPE3)*(TYPE3&lt;&gt;"")+('Dvd Calendar'!$F$797=TYPE4)*(TYPE4&lt;&gt;"")+('Dvd Calendar'!$F$797=SPECIAL_LBL)*(INC_SPECIALS="Y"))=0,"",'Dvd Calendar'!$F$795)))</f>
        <v/>
      </c>
      <c r="E83" s="161">
        <f>IF(EG83="","",IF(ISNUMBER('Dvd Calendar'!$G$795)=FALSE,"",IF((('Dvd Calendar'!$G$797=TYPE1)*(TYPE1&lt;&gt;"")+('Dvd Calendar'!$G$797=TYPE2)*(TYPE2&lt;&gt;"")+('Dvd Calendar'!$G$797=TYPE3)*(TYPE3&lt;&gt;"")+('Dvd Calendar'!$G$797=TYPE4)*(TYPE4&lt;&gt;"")+('Dvd Calendar'!$G$797=SPECIAL_LBL)*(INC_SPECIALS="Y"))=0,"",'Dvd Calendar'!$G$795)))</f>
        <v/>
      </c>
      <c r="F83" s="161">
        <f>IF(EH83="","",IF(ISNUMBER('Dvd Calendar'!$H$795)=FALSE,"",IF((('Dvd Calendar'!$H$797=TYPE1)*(TYPE1&lt;&gt;"")+('Dvd Calendar'!$H$797=TYPE2)*(TYPE2&lt;&gt;"")+('Dvd Calendar'!$H$797=TYPE3)*(TYPE3&lt;&gt;"")+('Dvd Calendar'!$H$797=TYPE4)*(TYPE4&lt;&gt;"")+('Dvd Calendar'!$H$797=SPECIAL_LBL)*(INC_SPECIALS="Y"))=0,"",'Dvd Calendar'!$H$795)))</f>
        <v/>
      </c>
      <c r="G83" s="161">
        <f>IF(EI83="","",IF(ISNUMBER('Dvd Calendar'!$I$795)=FALSE,"",IF((('Dvd Calendar'!$I$797=TYPE1)*(TYPE1&lt;&gt;"")+('Dvd Calendar'!$I$797=TYPE2)*(TYPE2&lt;&gt;"")+('Dvd Calendar'!$I$797=TYPE3)*(TYPE3&lt;&gt;"")+('Dvd Calendar'!$I$797=TYPE4)*(TYPE4&lt;&gt;"")+('Dvd Calendar'!$I$797=SPECIAL_LBL)*(INC_SPECIALS="Y"))=0,"",'Dvd Calendar'!$I$795)))</f>
        <v/>
      </c>
      <c r="H83" s="161">
        <f>IF(EJ83="","",IF(ISNUMBER('Dvd Calendar'!$J$795)=FALSE,"",IF((('Dvd Calendar'!$J$797=TYPE1)*(TYPE1&lt;&gt;"")+('Dvd Calendar'!$J$797=TYPE2)*(TYPE2&lt;&gt;"")+('Dvd Calendar'!$J$797=TYPE3)*(TYPE3&lt;&gt;"")+('Dvd Calendar'!$J$797=TYPE4)*(TYPE4&lt;&gt;"")+('Dvd Calendar'!$J$797=SPECIAL_LBL)*(INC_SPECIALS="Y"))=0,"",'Dvd Calendar'!$J$795)))</f>
        <v/>
      </c>
      <c r="I83" s="161">
        <f>IF(EK83="","",IF(ISNUMBER('Dvd Calendar'!$K$795)=FALSE,"",IF((('Dvd Calendar'!$K$797=TYPE1)*(TYPE1&lt;&gt;"")+('Dvd Calendar'!$K$797=TYPE2)*(TYPE2&lt;&gt;"")+('Dvd Calendar'!$K$797=TYPE3)*(TYPE3&lt;&gt;"")+('Dvd Calendar'!$K$797=TYPE4)*(TYPE4&lt;&gt;"")+('Dvd Calendar'!$K$797=SPECIAL_LBL)*(INC_SPECIALS="Y"))=0,"",'Dvd Calendar'!$K$795)))</f>
        <v/>
      </c>
      <c r="J83" s="161">
        <f>IF(EL83="","",IF(ISNUMBER('Dvd Calendar'!$L$795)=FALSE,"",IF((('Dvd Calendar'!$L$797=TYPE1)*(TYPE1&lt;&gt;"")+('Dvd Calendar'!$L$797=TYPE2)*(TYPE2&lt;&gt;"")+('Dvd Calendar'!$L$797=TYPE3)*(TYPE3&lt;&gt;"")+('Dvd Calendar'!$L$797=TYPE4)*(TYPE4&lt;&gt;"")+('Dvd Calendar'!$L$797=SPECIAL_LBL)*(INC_SPECIALS="Y"))=0,"",'Dvd Calendar'!$L$795)))</f>
        <v/>
      </c>
      <c r="K83" s="161">
        <f>IF(EM83="","",IF(ISNUMBER('Dvd Calendar'!$M$795)=FALSE,"",IF((('Dvd Calendar'!$M$797=TYPE1)*(TYPE1&lt;&gt;"")+('Dvd Calendar'!$M$797=TYPE2)*(TYPE2&lt;&gt;"")+('Dvd Calendar'!$M$797=TYPE3)*(TYPE3&lt;&gt;"")+('Dvd Calendar'!$M$797=TYPE4)*(TYPE4&lt;&gt;"")+('Dvd Calendar'!$M$797=SPECIAL_LBL)*(INC_SPECIALS="Y"))=0,"",'Dvd Calendar'!$M$795)))</f>
        <v/>
      </c>
      <c r="L83" s="161">
        <f>IF(EN83="","",IF(ISNUMBER('Dvd Calendar'!$N$795)=FALSE,"",IF((('Dvd Calendar'!$N$797=TYPE1)*(TYPE1&lt;&gt;"")+('Dvd Calendar'!$N$797=TYPE2)*(TYPE2&lt;&gt;"")+('Dvd Calendar'!$N$797=TYPE3)*(TYPE3&lt;&gt;"")+('Dvd Calendar'!$N$797=TYPE4)*(TYPE4&lt;&gt;"")+('Dvd Calendar'!$N$797=SPECIAL_LBL)*(INC_SPECIALS="Y"))=0,"",'Dvd Calendar'!$N$795)))</f>
        <v/>
      </c>
      <c r="M83" s="161">
        <f>IF(EO83="","",IF(ISNUMBER('Dvd Calendar'!$O$795)=FALSE,"",IF((('Dvd Calendar'!$O$797=TYPE1)*(TYPE1&lt;&gt;"")+('Dvd Calendar'!$O$797=TYPE2)*(TYPE2&lt;&gt;"")+('Dvd Calendar'!$O$797=TYPE3)*(TYPE3&lt;&gt;"")+('Dvd Calendar'!$O$797=TYPE4)*(TYPE4&lt;&gt;"")+('Dvd Calendar'!$O$797=SPECIAL_LBL)*(INC_SPECIALS="Y"))=0,"",'Dvd Calendar'!$O$795)))</f>
        <v/>
      </c>
      <c r="N83" s="161">
        <f>IF(EP83="","",IF(ISNUMBER('Dvd Calendar'!$P$795)=FALSE,"",IF((('Dvd Calendar'!$P$797=TYPE1)*(TYPE1&lt;&gt;"")+('Dvd Calendar'!$P$797=TYPE2)*(TYPE2&lt;&gt;"")+('Dvd Calendar'!$P$797=TYPE3)*(TYPE3&lt;&gt;"")+('Dvd Calendar'!$P$797=TYPE4)*(TYPE4&lt;&gt;"")+('Dvd Calendar'!$P$797=SPECIAL_LBL)*(INC_SPECIALS="Y"))=0,"",'Dvd Calendar'!$P$795)))</f>
        <v/>
      </c>
      <c r="O83" s="161">
        <f>IF(EQ83="","",IF(ISNUMBER('Dvd Calendar'!$Q$795)=FALSE,"",IF((('Dvd Calendar'!$Q$797=TYPE1)*(TYPE1&lt;&gt;"")+('Dvd Calendar'!$Q$797=TYPE2)*(TYPE2&lt;&gt;"")+('Dvd Calendar'!$Q$797=TYPE3)*(TYPE3&lt;&gt;"")+('Dvd Calendar'!$Q$797=TYPE4)*(TYPE4&lt;&gt;"")+('Dvd Calendar'!$Q$797=SPECIAL_LBL)*(INC_SPECIALS="Y"))=0,"",'Dvd Calendar'!$Q$795)))</f>
        <v/>
      </c>
      <c r="P83" s="161">
        <f>IF(ER83="","",IF(ISNUMBER('Dvd Calendar'!$R$795)=FALSE,"",IF((('Dvd Calendar'!$R$797=TYPE1)*(TYPE1&lt;&gt;"")+('Dvd Calendar'!$R$797=TYPE2)*(TYPE2&lt;&gt;"")+('Dvd Calendar'!$R$797=TYPE3)*(TYPE3&lt;&gt;"")+('Dvd Calendar'!$R$797=TYPE4)*(TYPE4&lt;&gt;"")+('Dvd Calendar'!$R$797=SPECIAL_LBL)*(INC_SPECIALS="Y"))=0,"",'Dvd Calendar'!$R$795)))</f>
        <v/>
      </c>
      <c r="Q83" s="161">
        <f>IF(ES83="","",IF(ISNUMBER('Dvd Calendar'!$S$795)=FALSE,"",IF((('Dvd Calendar'!$S$797=TYPE1)*(TYPE1&lt;&gt;"")+('Dvd Calendar'!$S$797=TYPE2)*(TYPE2&lt;&gt;"")+('Dvd Calendar'!$S$797=TYPE3)*(TYPE3&lt;&gt;"")+('Dvd Calendar'!$S$797=TYPE4)*(TYPE4&lt;&gt;"")+('Dvd Calendar'!$S$797=SPECIAL_LBL)*(INC_SPECIALS="Y"))=0,"",'Dvd Calendar'!$S$795)))</f>
        <v/>
      </c>
      <c r="R83" s="161">
        <f>IF(ET83="","",IF(ISNUMBER('Dvd Calendar'!$T$795)=FALSE,"",IF((('Dvd Calendar'!$T$797=TYPE1)*(TYPE1&lt;&gt;"")+('Dvd Calendar'!$T$797=TYPE2)*(TYPE2&lt;&gt;"")+('Dvd Calendar'!$T$797=TYPE3)*(TYPE3&lt;&gt;"")+('Dvd Calendar'!$T$797=TYPE4)*(TYPE4&lt;&gt;"")+('Dvd Calendar'!$T$797=SPECIAL_LBL)*(INC_SPECIALS="Y"))=0,"",'Dvd Calendar'!$T$795)))</f>
        <v/>
      </c>
      <c r="S83" s="161">
        <f>IF(EU83="","",IF(ISNUMBER('Dvd Calendar'!$U$795)=FALSE,"",IF((('Dvd Calendar'!$U$797=TYPE1)*(TYPE1&lt;&gt;"")+('Dvd Calendar'!$U$797=TYPE2)*(TYPE2&lt;&gt;"")+('Dvd Calendar'!$U$797=TYPE3)*(TYPE3&lt;&gt;"")+('Dvd Calendar'!$U$797=TYPE4)*(TYPE4&lt;&gt;"")+('Dvd Calendar'!$U$797=SPECIAL_LBL)*(INC_SPECIALS="Y"))=0,"",'Dvd Calendar'!$U$795)))</f>
        <v/>
      </c>
      <c r="T83" s="161">
        <f>IF(EV83="","",IF(ISNUMBER('Dvd Calendar'!$V$795)=FALSE,"",IF((('Dvd Calendar'!$V$797=TYPE1)*(TYPE1&lt;&gt;"")+('Dvd Calendar'!$V$797=TYPE2)*(TYPE2&lt;&gt;"")+('Dvd Calendar'!$V$797=TYPE3)*(TYPE3&lt;&gt;"")+('Dvd Calendar'!$V$797=TYPE4)*(TYPE4&lt;&gt;"")+('Dvd Calendar'!$V$797=SPECIAL_LBL)*(INC_SPECIALS="Y"))=0,"",'Dvd Calendar'!$V$795)))</f>
        <v/>
      </c>
      <c r="U83" s="161">
        <f>IF(EW83="","",IF(ISNUMBER('Dvd Calendar'!$W$795)=FALSE,"",IF((('Dvd Calendar'!$W$797=TYPE1)*(TYPE1&lt;&gt;"")+('Dvd Calendar'!$W$797=TYPE2)*(TYPE2&lt;&gt;"")+('Dvd Calendar'!$W$797=TYPE3)*(TYPE3&lt;&gt;"")+('Dvd Calendar'!$W$797=TYPE4)*(TYPE4&lt;&gt;"")+('Dvd Calendar'!$W$797=SPECIAL_LBL)*(INC_SPECIALS="Y"))=0,"",'Dvd Calendar'!$W$795)))</f>
        <v/>
      </c>
      <c r="V83" s="161">
        <f>IF(EX83="","",IF(ISNUMBER('Dvd Calendar'!$X$795)=FALSE,"",IF((('Dvd Calendar'!$X$797=TYPE1)*(TYPE1&lt;&gt;"")+('Dvd Calendar'!$X$797=TYPE2)*(TYPE2&lt;&gt;"")+('Dvd Calendar'!$X$797=TYPE3)*(TYPE3&lt;&gt;"")+('Dvd Calendar'!$X$797=TYPE4)*(TYPE4&lt;&gt;"")+('Dvd Calendar'!$X$797=SPECIAL_LBL)*(INC_SPECIALS="Y"))=0,"",'Dvd Calendar'!$X$795)))</f>
        <v/>
      </c>
      <c r="W83" s="161">
        <f>IF(EY83="","",IF(ISNUMBER('Dvd Calendar'!$Y$795)=FALSE,"",IF((('Dvd Calendar'!$Y$797=TYPE1)*(TYPE1&lt;&gt;"")+('Dvd Calendar'!$Y$797=TYPE2)*(TYPE2&lt;&gt;"")+('Dvd Calendar'!$Y$797=TYPE3)*(TYPE3&lt;&gt;"")+('Dvd Calendar'!$Y$797=TYPE4)*(TYPE4&lt;&gt;"")+('Dvd Calendar'!$Y$797=SPECIAL_LBL)*(INC_SPECIALS="Y"))=0,"",'Dvd Calendar'!$Y$795)))</f>
        <v/>
      </c>
      <c r="X83" s="161">
        <f>IF(EZ83="","",IF(ISNUMBER('Dvd Calendar'!$Z$795)=FALSE,"",IF((('Dvd Calendar'!$Z$797=TYPE1)*(TYPE1&lt;&gt;"")+('Dvd Calendar'!$Z$797=TYPE2)*(TYPE2&lt;&gt;"")+('Dvd Calendar'!$Z$797=TYPE3)*(TYPE3&lt;&gt;"")+('Dvd Calendar'!$Z$797=TYPE4)*(TYPE4&lt;&gt;"")+('Dvd Calendar'!$Z$797=SPECIAL_LBL)*(INC_SPECIALS="Y"))=0,"",'Dvd Calendar'!$Z$795)))</f>
        <v/>
      </c>
      <c r="Y83" s="161">
        <f>IF(FA83="","",IF(ISNUMBER('Dvd Calendar'!$AA$795)=FALSE,"",IF((('Dvd Calendar'!$AA$797=TYPE1)*(TYPE1&lt;&gt;"")+('Dvd Calendar'!$AA$797=TYPE2)*(TYPE2&lt;&gt;"")+('Dvd Calendar'!$AA$797=TYPE3)*(TYPE3&lt;&gt;"")+('Dvd Calendar'!$AA$797=TYPE4)*(TYPE4&lt;&gt;"")+('Dvd Calendar'!$AA$797=SPECIAL_LBL)*(INC_SPECIALS="Y"))=0,"",'Dvd Calendar'!$AA$795)))</f>
        <v/>
      </c>
      <c r="Z83" s="161">
        <f>IF(FB83="","",IF(ISNUMBER('Dvd Calendar'!$AB$795)=FALSE,"",IF((('Dvd Calendar'!$AB$797=TYPE1)*(TYPE1&lt;&gt;"")+('Dvd Calendar'!$AB$797=TYPE2)*(TYPE2&lt;&gt;"")+('Dvd Calendar'!$AB$797=TYPE3)*(TYPE3&lt;&gt;"")+('Dvd Calendar'!$AB$797=TYPE4)*(TYPE4&lt;&gt;"")+('Dvd Calendar'!$AB$797=SPECIAL_LBL)*(INC_SPECIALS="Y"))=0,"",'Dvd Calendar'!$AB$795)))</f>
        <v/>
      </c>
      <c r="AA83" s="161">
        <f>IF(FC83="","",IF(ISNUMBER('Dvd Calendar'!$AC$795)=FALSE,"",IF((('Dvd Calendar'!$AC$797=TYPE1)*(TYPE1&lt;&gt;"")+('Dvd Calendar'!$AC$797=TYPE2)*(TYPE2&lt;&gt;"")+('Dvd Calendar'!$AC$797=TYPE3)*(TYPE3&lt;&gt;"")+('Dvd Calendar'!$AC$797=TYPE4)*(TYPE4&lt;&gt;"")+('Dvd Calendar'!$AC$797=SPECIAL_LBL)*(INC_SPECIALS="Y"))=0,"",'Dvd Calendar'!$AC$795)))</f>
        <v/>
      </c>
      <c r="AB83" s="161">
        <f>IF(FD83="","",IF(ISNUMBER('Dvd Calendar'!$AD$795)=FALSE,"",IF((('Dvd Calendar'!$AD$797=TYPE1)*(TYPE1&lt;&gt;"")+('Dvd Calendar'!$AD$797=TYPE2)*(TYPE2&lt;&gt;"")+('Dvd Calendar'!$AD$797=TYPE3)*(TYPE3&lt;&gt;"")+('Dvd Calendar'!$AD$797=TYPE4)*(TYPE4&lt;&gt;"")+('Dvd Calendar'!$AD$797=SPECIAL_LBL)*(INC_SPECIALS="Y"))=0,"",'Dvd Calendar'!$AD$795)))</f>
        <v/>
      </c>
      <c r="AC83" s="161">
        <f>IF(FE83="","",IF(ISNUMBER('Dvd Calendar'!$AE$795)=FALSE,"",IF((('Dvd Calendar'!$AE$797=TYPE1)*(TYPE1&lt;&gt;"")+('Dvd Calendar'!$AE$797=TYPE2)*(TYPE2&lt;&gt;"")+('Dvd Calendar'!$AE$797=TYPE3)*(TYPE3&lt;&gt;"")+('Dvd Calendar'!$AE$797=TYPE4)*(TYPE4&lt;&gt;"")+('Dvd Calendar'!$AE$797=SPECIAL_LBL)*(INC_SPECIALS="Y"))=0,"",'Dvd Calendar'!$AE$795)))</f>
        <v/>
      </c>
      <c r="AD83" s="161">
        <f>IF(FF83="","",IF(ISNUMBER('Dvd Calendar'!$AF$795)=FALSE,"",IF((('Dvd Calendar'!$AF$797=TYPE1)*(TYPE1&lt;&gt;"")+('Dvd Calendar'!$AF$797=TYPE2)*(TYPE2&lt;&gt;"")+('Dvd Calendar'!$AF$797=TYPE3)*(TYPE3&lt;&gt;"")+('Dvd Calendar'!$AF$797=TYPE4)*(TYPE4&lt;&gt;"")+('Dvd Calendar'!$AF$797=SPECIAL_LBL)*(INC_SPECIALS="Y"))=0,"",'Dvd Calendar'!$AF$795)))</f>
        <v/>
      </c>
      <c r="AE83" s="161">
        <f>IF(FG83="","",IF(ISNUMBER('Dvd Calendar'!$AG$795)=FALSE,"",IF((('Dvd Calendar'!$AG$797=TYPE1)*(TYPE1&lt;&gt;"")+('Dvd Calendar'!$AG$797=TYPE2)*(TYPE2&lt;&gt;"")+('Dvd Calendar'!$AG$797=TYPE3)*(TYPE3&lt;&gt;"")+('Dvd Calendar'!$AG$797=TYPE4)*(TYPE4&lt;&gt;"")+('Dvd Calendar'!$AG$797=SPECIAL_LBL)*(INC_SPECIALS="Y"))=0,"",'Dvd Calendar'!$AG$795)))</f>
        <v/>
      </c>
      <c r="AF83" s="161">
        <f>IF(FH83="","",IF(ISNUMBER('Dvd Calendar'!$AH$795)=FALSE,"",IF((('Dvd Calendar'!$AH$797=TYPE1)*(TYPE1&lt;&gt;"")+('Dvd Calendar'!$AH$797=TYPE2)*(TYPE2&lt;&gt;"")+('Dvd Calendar'!$AH$797=TYPE3)*(TYPE3&lt;&gt;"")+('Dvd Calendar'!$AH$797=TYPE4)*(TYPE4&lt;&gt;"")+('Dvd Calendar'!$AH$797=SPECIAL_LBL)*(INC_SPECIALS="Y"))=0,"",'Dvd Calendar'!$AH$795)))</f>
        <v/>
      </c>
      <c r="AG83" s="161">
        <f>IF(FI83="","",IF(ISNUMBER('Dvd Calendar'!$AI$795)=FALSE,"",IF((('Dvd Calendar'!$AI$797=TYPE1)*(TYPE1&lt;&gt;"")+('Dvd Calendar'!$AI$797=TYPE2)*(TYPE2&lt;&gt;"")+('Dvd Calendar'!$AI$797=TYPE3)*(TYPE3&lt;&gt;"")+('Dvd Calendar'!$AI$797=TYPE4)*(TYPE4&lt;&gt;"")+('Dvd Calendar'!$AI$797=SPECIAL_LBL)*(INC_SPECIALS="Y"))=0,"",'Dvd Calendar'!$AI$795)))</f>
        <v/>
      </c>
      <c r="AH83" s="161">
        <f>IF(FJ83="","",IF(ISNUMBER('Dvd Calendar'!$AJ$795)=FALSE,"",IF((('Dvd Calendar'!$AJ$797=TYPE1)*(TYPE1&lt;&gt;"")+('Dvd Calendar'!$AJ$797=TYPE2)*(TYPE2&lt;&gt;"")+('Dvd Calendar'!$AJ$797=TYPE3)*(TYPE3&lt;&gt;"")+('Dvd Calendar'!$AJ$797=TYPE4)*(TYPE4&lt;&gt;"")+('Dvd Calendar'!$AJ$797=SPECIAL_LBL)*(INC_SPECIALS="Y"))=0,"",'Dvd Calendar'!$AJ$795)))</f>
        <v/>
      </c>
      <c r="AI83" s="161">
        <f>IF(FK83="","",IF(ISNUMBER('Dvd Calendar'!$AK$795)=FALSE,"",IF((('Dvd Calendar'!$AK$797=TYPE1)*(TYPE1&lt;&gt;"")+('Dvd Calendar'!$AK$797=TYPE2)*(TYPE2&lt;&gt;"")+('Dvd Calendar'!$AK$797=TYPE3)*(TYPE3&lt;&gt;"")+('Dvd Calendar'!$AK$797=TYPE4)*(TYPE4&lt;&gt;"")+('Dvd Calendar'!$AK$797=SPECIAL_LBL)*(INC_SPECIALS="Y"))=0,"",'Dvd Calendar'!$AK$795)))</f>
        <v/>
      </c>
      <c r="AJ83" s="161">
        <f>IF(FL83="","",IF(ISNUMBER('Dvd Calendar'!$AL$795)=FALSE,"",IF((('Dvd Calendar'!$AL$797=TYPE1)*(TYPE1&lt;&gt;"")+('Dvd Calendar'!$AL$797=TYPE2)*(TYPE2&lt;&gt;"")+('Dvd Calendar'!$AL$797=TYPE3)*(TYPE3&lt;&gt;"")+('Dvd Calendar'!$AL$797=TYPE4)*(TYPE4&lt;&gt;"")+('Dvd Calendar'!$AL$797=SPECIAL_LBL)*(INC_SPECIALS="Y"))=0,"",'Dvd Calendar'!$AL$795)))</f>
        <v/>
      </c>
      <c r="AK83" s="161">
        <f>IF(FM83="","",IF(ISNUMBER('Dvd Calendar'!$AM$795)=FALSE,"",IF((('Dvd Calendar'!$AM$797=TYPE1)*(TYPE1&lt;&gt;"")+('Dvd Calendar'!$AM$797=TYPE2)*(TYPE2&lt;&gt;"")+('Dvd Calendar'!$AM$797=TYPE3)*(TYPE3&lt;&gt;"")+('Dvd Calendar'!$AM$797=TYPE4)*(TYPE4&lt;&gt;"")+('Dvd Calendar'!$AM$797=SPECIAL_LBL)*(INC_SPECIALS="Y"))=0,"",'Dvd Calendar'!$AM$795)))</f>
        <v/>
      </c>
      <c r="AL83" s="161">
        <f>IF(FN83="","",IF(ISNUMBER('Dvd Calendar'!$AN$795)=FALSE,"",IF((('Dvd Calendar'!$AN$797=TYPE1)*(TYPE1&lt;&gt;"")+('Dvd Calendar'!$AN$797=TYPE2)*(TYPE2&lt;&gt;"")+('Dvd Calendar'!$AN$797=TYPE3)*(TYPE3&lt;&gt;"")+('Dvd Calendar'!$AN$797=TYPE4)*(TYPE4&lt;&gt;"")+('Dvd Calendar'!$AN$797=SPECIAL_LBL)*(INC_SPECIALS="Y"))=0,"",'Dvd Calendar'!$AN$795)))</f>
        <v/>
      </c>
      <c r="AM83" s="161">
        <f>IF(FO83="","",IF(ISNUMBER('Dvd Calendar'!$AO$795)=FALSE,"",IF((('Dvd Calendar'!$AO$797=TYPE1)*(TYPE1&lt;&gt;"")+('Dvd Calendar'!$AO$797=TYPE2)*(TYPE2&lt;&gt;"")+('Dvd Calendar'!$AO$797=TYPE3)*(TYPE3&lt;&gt;"")+('Dvd Calendar'!$AO$797=TYPE4)*(TYPE4&lt;&gt;"")+('Dvd Calendar'!$AO$797=SPECIAL_LBL)*(INC_SPECIALS="Y"))=0,"",'Dvd Calendar'!$AO$795)))</f>
        <v/>
      </c>
      <c r="AN83" s="161">
        <f>IF(FP83="","",IF(ISNUMBER('Dvd Calendar'!$AP$795)=FALSE,"",IF((('Dvd Calendar'!$AP$797=TYPE1)*(TYPE1&lt;&gt;"")+('Dvd Calendar'!$AP$797=TYPE2)*(TYPE2&lt;&gt;"")+('Dvd Calendar'!$AP$797=TYPE3)*(TYPE3&lt;&gt;"")+('Dvd Calendar'!$AP$797=TYPE4)*(TYPE4&lt;&gt;"")+('Dvd Calendar'!$AP$797=SPECIAL_LBL)*(INC_SPECIALS="Y"))=0,"",'Dvd Calendar'!$AP$795)))</f>
        <v/>
      </c>
      <c r="AO83" s="161">
        <f>IF(FQ83="","",IF(ISNUMBER('Dvd Calendar'!$AQ$795)=FALSE,"",IF((('Dvd Calendar'!$AQ$797=TYPE1)*(TYPE1&lt;&gt;"")+('Dvd Calendar'!$AQ$797=TYPE2)*(TYPE2&lt;&gt;"")+('Dvd Calendar'!$AQ$797=TYPE3)*(TYPE3&lt;&gt;"")+('Dvd Calendar'!$AQ$797=TYPE4)*(TYPE4&lt;&gt;"")+('Dvd Calendar'!$AQ$797=SPECIAL_LBL)*(INC_SPECIALS="Y"))=0,"",'Dvd Calendar'!$AQ$795)))</f>
        <v/>
      </c>
      <c r="AP83" s="161">
        <f>IF(FR83="","",IF(ISNUMBER('Dvd Calendar'!$AR$795)=FALSE,"",IF((('Dvd Calendar'!$AR$797=TYPE1)*(TYPE1&lt;&gt;"")+('Dvd Calendar'!$AR$797=TYPE2)*(TYPE2&lt;&gt;"")+('Dvd Calendar'!$AR$797=TYPE3)*(TYPE3&lt;&gt;"")+('Dvd Calendar'!$AR$797=TYPE4)*(TYPE4&lt;&gt;"")+('Dvd Calendar'!$AR$797=SPECIAL_LBL)*(INC_SPECIALS="Y"))=0,"",'Dvd Calendar'!$AR$795)))</f>
        <v/>
      </c>
      <c r="AQ83" s="161">
        <f>IF(FS83="","",IF(ISNUMBER('Dvd Calendar'!$E$800)=FALSE,"",'Dvd Calendar'!$E$800))</f>
        <v/>
      </c>
      <c r="AR83" s="161">
        <f>IF(FT83="","",IF(ISNUMBER('Dvd Calendar'!$F$800)=FALSE,"",'Dvd Calendar'!$F$800))</f>
        <v/>
      </c>
      <c r="AS83" s="161">
        <f>IF(FU83="","",IF(ISNUMBER('Dvd Calendar'!$G$800)=FALSE,"",'Dvd Calendar'!$G$800))</f>
        <v/>
      </c>
      <c r="AT83" s="161">
        <f>IF(FV83="","",IF(ISNUMBER('Dvd Calendar'!$H$800)=FALSE,"",'Dvd Calendar'!$H$800))</f>
        <v/>
      </c>
      <c r="AU83" s="161">
        <f>IF(FW83="","",IF(ISNUMBER('Dvd Calendar'!$I$800)=FALSE,"",'Dvd Calendar'!$I$800))</f>
        <v/>
      </c>
      <c r="AV83" s="161">
        <f>IF(FX83="","",IF(ISNUMBER('Dvd Calendar'!$J$800)=FALSE,"",'Dvd Calendar'!$J$800))</f>
        <v/>
      </c>
      <c r="AW83" s="161">
        <f>IF(FY83="","",IF(ISNUMBER('Dvd Calendar'!$K$800)=FALSE,"",'Dvd Calendar'!$K$800))</f>
        <v/>
      </c>
      <c r="AX83" s="161">
        <f>IF(FZ83="","",IF(ISNUMBER('Dvd Calendar'!$L$800)=FALSE,"",'Dvd Calendar'!$L$800))</f>
        <v/>
      </c>
      <c r="AY83" s="161">
        <f>IF(GA83="","",IF(ISNUMBER('Dvd Calendar'!$M$800)=FALSE,"",'Dvd Calendar'!$M$800))</f>
        <v/>
      </c>
      <c r="AZ83" s="161">
        <f>IF(GB83="","",IF(ISNUMBER('Dvd Calendar'!$N$800)=FALSE,"",'Dvd Calendar'!$N$800))</f>
        <v/>
      </c>
      <c r="BA83" s="161">
        <f>IF(GC83="","",IF(ISNUMBER('Dvd Calendar'!$O$800)=FALSE,"",'Dvd Calendar'!$O$800))</f>
        <v/>
      </c>
      <c r="BB83" s="161">
        <f>IF(GD83="","",IF(ISNUMBER('Dvd Calendar'!$P$800)=FALSE,"",'Dvd Calendar'!$P$800))</f>
        <v/>
      </c>
      <c r="BC83" s="161">
        <f>IF(GE83="","",IF(ISNUMBER('Dvd Calendar'!$Q$800)=FALSE,"",'Dvd Calendar'!$Q$800))</f>
        <v/>
      </c>
      <c r="BD83" s="161">
        <f>IF(GF83="","",IF(ISNUMBER('Dvd Calendar'!$R$800)=FALSE,"",'Dvd Calendar'!$R$800))</f>
        <v/>
      </c>
      <c r="BE83" s="161">
        <f>IF(GG83="","",IF(ISNUMBER('Dvd Calendar'!$S$800)=FALSE,"",'Dvd Calendar'!$S$800))</f>
        <v/>
      </c>
      <c r="BF83" s="161">
        <f>IF(GH83="","",IF(ISNUMBER('Dvd Calendar'!$T$800)=FALSE,"",'Dvd Calendar'!$T$800))</f>
        <v/>
      </c>
      <c r="BG83" s="161">
        <f>IF(GI83="","",IF(ISNUMBER('Dvd Calendar'!$U$800)=FALSE,"",'Dvd Calendar'!$U$800))</f>
        <v/>
      </c>
      <c r="BH83" s="161">
        <f>IF(GJ83="","",IF(ISNUMBER('Dvd Calendar'!$V$800)=FALSE,"",'Dvd Calendar'!$V$800))</f>
        <v/>
      </c>
      <c r="BI83" s="161">
        <f>IF(GK83="","",IF(ISNUMBER('Dvd Calendar'!$W$800)=FALSE,"",'Dvd Calendar'!$W$800))</f>
        <v/>
      </c>
      <c r="BJ83" s="161">
        <f>IF(GL83="","",IF(ISNUMBER('Dvd Calendar'!$X$800)=FALSE,"",'Dvd Calendar'!$X$800))</f>
        <v/>
      </c>
      <c r="BK83" s="161">
        <f>IF(GM83="","",IF(ISNUMBER('Dvd Calendar'!$Y$800)=FALSE,"",'Dvd Calendar'!$Y$800))</f>
        <v/>
      </c>
      <c r="BL83" s="161">
        <f>IF(GN83="","",IF(ISNUMBER('Dvd Calendar'!$Z$800)=FALSE,"",'Dvd Calendar'!$Z$800))</f>
        <v/>
      </c>
      <c r="BM83" s="161">
        <f>IF(GO83="","",IF(ISNUMBER('Dvd Calendar'!$AA$800)=FALSE,"",'Dvd Calendar'!$AA$800))</f>
        <v/>
      </c>
      <c r="BN83" s="161">
        <f>IF(GP83="","",IF(ISNUMBER('Dvd Calendar'!$AB$800)=FALSE,"",'Dvd Calendar'!$AB$800))</f>
        <v/>
      </c>
      <c r="BO83" s="161">
        <f>IF(GQ83="","",IF(ISNUMBER('Dvd Calendar'!$AC$800)=FALSE,"",'Dvd Calendar'!$AC$800))</f>
        <v/>
      </c>
      <c r="BQ83" s="161">
        <f>IF(C83="","",IFERROR(C83*HSI!$B$78*HSI!$G$78/HSI!$B$3,""))</f>
        <v/>
      </c>
      <c r="BR83" s="161">
        <f>IF(D83="","",IFERROR(D83*HSI!$B$78*HSI!$G$78/HSI!$B$3,""))</f>
        <v/>
      </c>
      <c r="BS83" s="161">
        <f>IF(E83="","",IFERROR(E83*HSI!$B$78*HSI!$G$78/HSI!$B$3,""))</f>
        <v/>
      </c>
      <c r="BT83" s="161">
        <f>IF(F83="","",IFERROR(F83*HSI!$B$78*HSI!$G$78/HSI!$B$3,""))</f>
        <v/>
      </c>
      <c r="BU83" s="161">
        <f>IF(G83="","",IFERROR(G83*HSI!$B$78*HSI!$G$78/HSI!$B$3,""))</f>
        <v/>
      </c>
      <c r="BV83" s="161">
        <f>IF(H83="","",IFERROR(H83*HSI!$B$78*HSI!$G$78/HSI!$B$3,""))</f>
        <v/>
      </c>
      <c r="BW83" s="161">
        <f>IF(I83="","",IFERROR(I83*HSI!$B$78*HSI!$G$78/HSI!$B$3,""))</f>
        <v/>
      </c>
      <c r="BX83" s="161">
        <f>IF(J83="","",IFERROR(J83*HSI!$B$78*HSI!$G$78/HSI!$B$3,""))</f>
        <v/>
      </c>
      <c r="BY83" s="161">
        <f>IF(K83="","",IFERROR(K83*HSI!$B$78*HSI!$G$78/HSI!$B$3,""))</f>
        <v/>
      </c>
      <c r="BZ83" s="161">
        <f>IF(L83="","",IFERROR(L83*HSI!$B$78*HSI!$G$78/HSI!$B$3,""))</f>
        <v/>
      </c>
      <c r="CA83" s="161">
        <f>IF(M83="","",IFERROR(M83*HSI!$B$78*HSI!$G$78/HSI!$B$3,""))</f>
        <v/>
      </c>
      <c r="CB83" s="161">
        <f>IF(N83="","",IFERROR(N83*HSI!$B$78*HSI!$G$78/HSI!$B$3,""))</f>
        <v/>
      </c>
      <c r="CC83" s="161">
        <f>IF(O83="","",IFERROR(O83*HSI!$B$78*HSI!$G$78/HSI!$B$3,""))</f>
        <v/>
      </c>
      <c r="CD83" s="161">
        <f>IF(P83="","",IFERROR(P83*HSI!$B$78*HSI!$G$78/HSI!$B$3,""))</f>
        <v/>
      </c>
      <c r="CE83" s="161">
        <f>IF(Q83="","",IFERROR(Q83*HSI!$B$78*HSI!$G$78/HSI!$B$3,""))</f>
        <v/>
      </c>
      <c r="CF83" s="161">
        <f>IF(R83="","",IFERROR(R83*HSI!$B$78*HSI!$G$78/HSI!$B$3,""))</f>
        <v/>
      </c>
      <c r="CG83" s="161">
        <f>IF(S83="","",IFERROR(S83*HSI!$B$78*HSI!$G$78/HSI!$B$3,""))</f>
        <v/>
      </c>
      <c r="CH83" s="161">
        <f>IF(T83="","",IFERROR(T83*HSI!$B$78*HSI!$G$78/HSI!$B$3,""))</f>
        <v/>
      </c>
      <c r="CI83" s="161">
        <f>IF(U83="","",IFERROR(U83*HSI!$B$78*HSI!$G$78/HSI!$B$3,""))</f>
        <v/>
      </c>
      <c r="CJ83" s="161">
        <f>IF(V83="","",IFERROR(V83*HSI!$B$78*HSI!$G$78/HSI!$B$3,""))</f>
        <v/>
      </c>
      <c r="CK83" s="161">
        <f>IF(W83="","",IFERROR(W83*HSI!$B$78*HSI!$G$78/HSI!$B$3,""))</f>
        <v/>
      </c>
      <c r="CL83" s="161">
        <f>IF(X83="","",IFERROR(X83*HSI!$B$78*HSI!$G$78/HSI!$B$3,""))</f>
        <v/>
      </c>
      <c r="CM83" s="161">
        <f>IF(Y83="","",IFERROR(Y83*HSI!$B$78*HSI!$G$78/HSI!$B$3,""))</f>
        <v/>
      </c>
      <c r="CN83" s="161">
        <f>IF(Z83="","",IFERROR(Z83*HSI!$B$78*HSI!$G$78/HSI!$B$3,""))</f>
        <v/>
      </c>
      <c r="CO83" s="161">
        <f>IF(AA83="","",IFERROR(AA83*HSI!$B$78*HSI!$G$78/HSI!$B$3,""))</f>
        <v/>
      </c>
      <c r="CP83" s="161">
        <f>IF(AB83="","",IFERROR(AB83*HSI!$B$78*HSI!$G$78/HSI!$B$3,""))</f>
        <v/>
      </c>
      <c r="CQ83" s="161">
        <f>IF(AC83="","",IFERROR(AC83*HSI!$B$78*HSI!$G$78/HSI!$B$3,""))</f>
        <v/>
      </c>
      <c r="CR83" s="161">
        <f>IF(AD83="","",IFERROR(AD83*HSI!$B$78*HSI!$G$78/HSI!$B$3,""))</f>
        <v/>
      </c>
      <c r="CS83" s="161">
        <f>IF(AE83="","",IFERROR(AE83*HSI!$B$78*HSI!$G$78/HSI!$B$3,""))</f>
        <v/>
      </c>
      <c r="CT83" s="161">
        <f>IF(AF83="","",IFERROR(AF83*HSI!$B$78*HSI!$G$78/HSI!$B$3,""))</f>
        <v/>
      </c>
      <c r="CU83" s="161">
        <f>IF(AG83="","",IFERROR(AG83*HSI!$B$78*HSI!$G$78/HSI!$B$3,""))</f>
        <v/>
      </c>
      <c r="CV83" s="161">
        <f>IF(AH83="","",IFERROR(AH83*HSI!$B$78*HSI!$G$78/HSI!$B$3,""))</f>
        <v/>
      </c>
      <c r="CW83" s="161">
        <f>IF(AI83="","",IFERROR(AI83*HSI!$B$78*HSI!$G$78/HSI!$B$3,""))</f>
        <v/>
      </c>
      <c r="CX83" s="161">
        <f>IF(AJ83="","",IFERROR(AJ83*HSI!$B$78*HSI!$G$78/HSI!$B$3,""))</f>
        <v/>
      </c>
      <c r="CY83" s="161">
        <f>IF(AK83="","",IFERROR(AK83*HSI!$B$78*HSI!$G$78/HSI!$B$3,""))</f>
        <v/>
      </c>
      <c r="CZ83" s="161">
        <f>IF(AL83="","",IFERROR(AL83*HSI!$B$78*HSI!$G$78/HSI!$B$3,""))</f>
        <v/>
      </c>
      <c r="DA83" s="161">
        <f>IF(AM83="","",IFERROR(AM83*HSI!$B$78*HSI!$G$78/HSI!$B$3,""))</f>
        <v/>
      </c>
      <c r="DB83" s="161">
        <f>IF(AN83="","",IFERROR(AN83*HSI!$B$78*HSI!$G$78/HSI!$B$3,""))</f>
        <v/>
      </c>
      <c r="DC83" s="161">
        <f>IF(AO83="","",IFERROR(AO83*HSI!$B$78*HSI!$G$78/HSI!$B$3,""))</f>
        <v/>
      </c>
      <c r="DD83" s="161">
        <f>IF(AP83="","",IFERROR(AP83*HSI!$B$78*HSI!$G$78/HSI!$B$3,""))</f>
        <v/>
      </c>
      <c r="DE83" s="161">
        <f>IF(AQ83="","",IFERROR(AQ83*HSI!$B$78*HSI!$G$78/HSI!$B$3,""))</f>
        <v/>
      </c>
      <c r="DF83" s="161">
        <f>IF(AR83="","",IFERROR(AR83*HSI!$B$78*HSI!$G$78/HSI!$B$3,""))</f>
        <v/>
      </c>
      <c r="DG83" s="161">
        <f>IF(AS83="","",IFERROR(AS83*HSI!$B$78*HSI!$G$78/HSI!$B$3,""))</f>
        <v/>
      </c>
      <c r="DH83" s="161">
        <f>IF(AT83="","",IFERROR(AT83*HSI!$B$78*HSI!$G$78/HSI!$B$3,""))</f>
        <v/>
      </c>
      <c r="DI83" s="161">
        <f>IF(AU83="","",IFERROR(AU83*HSI!$B$78*HSI!$G$78/HSI!$B$3,""))</f>
        <v/>
      </c>
      <c r="DJ83" s="161">
        <f>IF(AV83="","",IFERROR(AV83*HSI!$B$78*HSI!$G$78/HSI!$B$3,""))</f>
        <v/>
      </c>
      <c r="DK83" s="161">
        <f>IF(AW83="","",IFERROR(AW83*HSI!$B$78*HSI!$G$78/HSI!$B$3,""))</f>
        <v/>
      </c>
      <c r="DL83" s="161">
        <f>IF(AX83="","",IFERROR(AX83*HSI!$B$78*HSI!$G$78/HSI!$B$3,""))</f>
        <v/>
      </c>
      <c r="DM83" s="161">
        <f>IF(AY83="","",IFERROR(AY83*HSI!$B$78*HSI!$G$78/HSI!$B$3,""))</f>
        <v/>
      </c>
      <c r="DN83" s="161">
        <f>IF(AZ83="","",IFERROR(AZ83*HSI!$B$78*HSI!$G$78/HSI!$B$3,""))</f>
        <v/>
      </c>
      <c r="DO83" s="161">
        <f>IF(BA83="","",IFERROR(BA83*HSI!$B$78*HSI!$G$78/HSI!$B$3,""))</f>
        <v/>
      </c>
      <c r="DP83" s="161">
        <f>IF(BB83="","",IFERROR(BB83*HSI!$B$78*HSI!$G$78/HSI!$B$3,""))</f>
        <v/>
      </c>
      <c r="DQ83" s="161">
        <f>IF(BC83="","",IFERROR(BC83*HSI!$B$78*HSI!$G$78/HSI!$B$3,""))</f>
        <v/>
      </c>
      <c r="DR83" s="161">
        <f>IF(BD83="","",IFERROR(BD83*HSI!$B$78*HSI!$G$78/HSI!$B$3,""))</f>
        <v/>
      </c>
      <c r="DS83" s="161">
        <f>IF(BE83="","",IFERROR(BE83*HSI!$B$78*HSI!$G$78/HSI!$B$3,""))</f>
        <v/>
      </c>
      <c r="DT83" s="161">
        <f>IF(BF83="","",IFERROR(BF83*HSI!$B$78*HSI!$G$78/HSI!$B$3,""))</f>
        <v/>
      </c>
      <c r="DU83" s="161">
        <f>IF(BG83="","",IFERROR(BG83*HSI!$B$78*HSI!$G$78/HSI!$B$3,""))</f>
        <v/>
      </c>
      <c r="DV83" s="161">
        <f>IF(BH83="","",IFERROR(BH83*HSI!$B$78*HSI!$G$78/HSI!$B$3,""))</f>
        <v/>
      </c>
      <c r="DW83" s="161">
        <f>IF(BI83="","",IFERROR(BI83*HSI!$B$78*HSI!$G$78/HSI!$B$3,""))</f>
        <v/>
      </c>
      <c r="DX83" s="161">
        <f>IF(BJ83="","",IFERROR(BJ83*HSI!$B$78*HSI!$G$78/HSI!$B$3,""))</f>
        <v/>
      </c>
      <c r="DY83" s="161">
        <f>IF(BK83="","",IFERROR(BK83*HSI!$B$78*HSI!$G$78/HSI!$B$3,""))</f>
        <v/>
      </c>
      <c r="DZ83" s="161">
        <f>IF(BL83="","",IFERROR(BL83*HSI!$B$78*HSI!$G$78/HSI!$B$3,""))</f>
        <v/>
      </c>
      <c r="EA83" s="161">
        <f>IF(BM83="","",IFERROR(BM83*HSI!$B$78*HSI!$G$78/HSI!$B$3,""))</f>
        <v/>
      </c>
      <c r="EB83" s="161">
        <f>IF(BN83="","",IFERROR(BN83*HSI!$B$78*HSI!$G$78/HSI!$B$3,""))</f>
        <v/>
      </c>
      <c r="EC83" s="161">
        <f>IF(BO83="","",IFERROR(BO83*HSI!$B$78*HSI!$G$78/HSI!$B$3,""))</f>
        <v/>
      </c>
      <c r="EE83" s="121">
        <f>IF(N('Dvd Calendar'!$E$792)=0,"",IF(('Dvd Calendar'!$E$792&gt;=GRID_FROM)*('Dvd Calendar'!$E$792&lt;=GRID_TO)*((('Dvd Calendar'!$E$792&lt;=VAL_DATE)+(COUNTIF('Dvd Calendar'!$E$799:$AR$799,'Dvd Calendar'!$E$792)=0))&gt;0)=0,"",'Dvd Calendar'!$E$792*1000000000+ISNUMBER('Dvd Calendar'!$E$795)*100000000+('Dvd Calendar'!$E$797=SPECIAL_LBL)*10000000+(N('Dvd Calendar'!$E$791)&gt;0)*(N('Dvd Calendar'!$E$791)&lt;=VAL_SERIAL)*1000000+72*1000+1))</f>
        <v/>
      </c>
      <c r="EF83" s="121">
        <f>IF(N('Dvd Calendar'!$F$792)=0,"",IF(('Dvd Calendar'!$F$792&gt;=GRID_FROM)*('Dvd Calendar'!$F$792&lt;=GRID_TO)*((('Dvd Calendar'!$F$792&lt;=VAL_DATE)+(COUNTIF('Dvd Calendar'!$E$799:$AR$799,'Dvd Calendar'!$F$792)=0))&gt;0)=0,"",'Dvd Calendar'!$F$792*1000000000+ISNUMBER('Dvd Calendar'!$F$795)*100000000+('Dvd Calendar'!$F$797=SPECIAL_LBL)*10000000+(N('Dvd Calendar'!$F$791)&gt;0)*(N('Dvd Calendar'!$F$791)&lt;=VAL_SERIAL)*1000000+72*1000+2))</f>
        <v/>
      </c>
      <c r="EG83" s="121">
        <f>IF(N('Dvd Calendar'!$G$792)=0,"",IF(('Dvd Calendar'!$G$792&gt;=GRID_FROM)*('Dvd Calendar'!$G$792&lt;=GRID_TO)*((('Dvd Calendar'!$G$792&lt;=VAL_DATE)+(COUNTIF('Dvd Calendar'!$E$799:$AR$799,'Dvd Calendar'!$G$792)=0))&gt;0)=0,"",'Dvd Calendar'!$G$792*1000000000+ISNUMBER('Dvd Calendar'!$G$795)*100000000+('Dvd Calendar'!$G$797=SPECIAL_LBL)*10000000+(N('Dvd Calendar'!$G$791)&gt;0)*(N('Dvd Calendar'!$G$791)&lt;=VAL_SERIAL)*1000000+72*1000+3))</f>
        <v/>
      </c>
      <c r="EH83" s="121">
        <f>IF(N('Dvd Calendar'!$H$792)=0,"",IF(('Dvd Calendar'!$H$792&gt;=GRID_FROM)*('Dvd Calendar'!$H$792&lt;=GRID_TO)*((('Dvd Calendar'!$H$792&lt;=VAL_DATE)+(COUNTIF('Dvd Calendar'!$E$799:$AR$799,'Dvd Calendar'!$H$792)=0))&gt;0)=0,"",'Dvd Calendar'!$H$792*1000000000+ISNUMBER('Dvd Calendar'!$H$795)*100000000+('Dvd Calendar'!$H$797=SPECIAL_LBL)*10000000+(N('Dvd Calendar'!$H$791)&gt;0)*(N('Dvd Calendar'!$H$791)&lt;=VAL_SERIAL)*1000000+72*1000+4))</f>
        <v/>
      </c>
      <c r="EI83" s="121">
        <f>IF(N('Dvd Calendar'!$I$792)=0,"",IF(('Dvd Calendar'!$I$792&gt;=GRID_FROM)*('Dvd Calendar'!$I$792&lt;=GRID_TO)*((('Dvd Calendar'!$I$792&lt;=VAL_DATE)+(COUNTIF('Dvd Calendar'!$E$799:$AR$799,'Dvd Calendar'!$I$792)=0))&gt;0)=0,"",'Dvd Calendar'!$I$792*1000000000+ISNUMBER('Dvd Calendar'!$I$795)*100000000+('Dvd Calendar'!$I$797=SPECIAL_LBL)*10000000+(N('Dvd Calendar'!$I$791)&gt;0)*(N('Dvd Calendar'!$I$791)&lt;=VAL_SERIAL)*1000000+72*1000+5))</f>
        <v/>
      </c>
      <c r="EJ83" s="121">
        <f>IF(N('Dvd Calendar'!$J$792)=0,"",IF(('Dvd Calendar'!$J$792&gt;=GRID_FROM)*('Dvd Calendar'!$J$792&lt;=GRID_TO)*((('Dvd Calendar'!$J$792&lt;=VAL_DATE)+(COUNTIF('Dvd Calendar'!$E$799:$AR$799,'Dvd Calendar'!$J$792)=0))&gt;0)=0,"",'Dvd Calendar'!$J$792*1000000000+ISNUMBER('Dvd Calendar'!$J$795)*100000000+('Dvd Calendar'!$J$797=SPECIAL_LBL)*10000000+(N('Dvd Calendar'!$J$791)&gt;0)*(N('Dvd Calendar'!$J$791)&lt;=VAL_SERIAL)*1000000+72*1000+6))</f>
        <v/>
      </c>
      <c r="EK83" s="121">
        <f>IF(N('Dvd Calendar'!$K$792)=0,"",IF(('Dvd Calendar'!$K$792&gt;=GRID_FROM)*('Dvd Calendar'!$K$792&lt;=GRID_TO)*((('Dvd Calendar'!$K$792&lt;=VAL_DATE)+(COUNTIF('Dvd Calendar'!$E$799:$AR$799,'Dvd Calendar'!$K$792)=0))&gt;0)=0,"",'Dvd Calendar'!$K$792*1000000000+ISNUMBER('Dvd Calendar'!$K$795)*100000000+('Dvd Calendar'!$K$797=SPECIAL_LBL)*10000000+(N('Dvd Calendar'!$K$791)&gt;0)*(N('Dvd Calendar'!$K$791)&lt;=VAL_SERIAL)*1000000+72*1000+7))</f>
        <v/>
      </c>
      <c r="EL83" s="121">
        <f>IF(N('Dvd Calendar'!$L$792)=0,"",IF(('Dvd Calendar'!$L$792&gt;=GRID_FROM)*('Dvd Calendar'!$L$792&lt;=GRID_TO)*((('Dvd Calendar'!$L$792&lt;=VAL_DATE)+(COUNTIF('Dvd Calendar'!$E$799:$AR$799,'Dvd Calendar'!$L$792)=0))&gt;0)=0,"",'Dvd Calendar'!$L$792*1000000000+ISNUMBER('Dvd Calendar'!$L$795)*100000000+('Dvd Calendar'!$L$797=SPECIAL_LBL)*10000000+(N('Dvd Calendar'!$L$791)&gt;0)*(N('Dvd Calendar'!$L$791)&lt;=VAL_SERIAL)*1000000+72*1000+8))</f>
        <v/>
      </c>
      <c r="EM83" s="121">
        <f>IF(N('Dvd Calendar'!$M$792)=0,"",IF(('Dvd Calendar'!$M$792&gt;=GRID_FROM)*('Dvd Calendar'!$M$792&lt;=GRID_TO)*((('Dvd Calendar'!$M$792&lt;=VAL_DATE)+(COUNTIF('Dvd Calendar'!$E$799:$AR$799,'Dvd Calendar'!$M$792)=0))&gt;0)=0,"",'Dvd Calendar'!$M$792*1000000000+ISNUMBER('Dvd Calendar'!$M$795)*100000000+('Dvd Calendar'!$M$797=SPECIAL_LBL)*10000000+(N('Dvd Calendar'!$M$791)&gt;0)*(N('Dvd Calendar'!$M$791)&lt;=VAL_SERIAL)*1000000+72*1000+9))</f>
        <v/>
      </c>
      <c r="EN83" s="121">
        <f>IF(N('Dvd Calendar'!$N$792)=0,"",IF(('Dvd Calendar'!$N$792&gt;=GRID_FROM)*('Dvd Calendar'!$N$792&lt;=GRID_TO)*((('Dvd Calendar'!$N$792&lt;=VAL_DATE)+(COUNTIF('Dvd Calendar'!$E$799:$AR$799,'Dvd Calendar'!$N$792)=0))&gt;0)=0,"",'Dvd Calendar'!$N$792*1000000000+ISNUMBER('Dvd Calendar'!$N$795)*100000000+('Dvd Calendar'!$N$797=SPECIAL_LBL)*10000000+(N('Dvd Calendar'!$N$791)&gt;0)*(N('Dvd Calendar'!$N$791)&lt;=VAL_SERIAL)*1000000+72*1000+10))</f>
        <v/>
      </c>
      <c r="EO83" s="121">
        <f>IF(N('Dvd Calendar'!$O$792)=0,"",IF(('Dvd Calendar'!$O$792&gt;=GRID_FROM)*('Dvd Calendar'!$O$792&lt;=GRID_TO)*((('Dvd Calendar'!$O$792&lt;=VAL_DATE)+(COUNTIF('Dvd Calendar'!$E$799:$AR$799,'Dvd Calendar'!$O$792)=0))&gt;0)=0,"",'Dvd Calendar'!$O$792*1000000000+ISNUMBER('Dvd Calendar'!$O$795)*100000000+('Dvd Calendar'!$O$797=SPECIAL_LBL)*10000000+(N('Dvd Calendar'!$O$791)&gt;0)*(N('Dvd Calendar'!$O$791)&lt;=VAL_SERIAL)*1000000+72*1000+11))</f>
        <v/>
      </c>
      <c r="EP83" s="121">
        <f>IF(N('Dvd Calendar'!$P$792)=0,"",IF(('Dvd Calendar'!$P$792&gt;=GRID_FROM)*('Dvd Calendar'!$P$792&lt;=GRID_TO)*((('Dvd Calendar'!$P$792&lt;=VAL_DATE)+(COUNTIF('Dvd Calendar'!$E$799:$AR$799,'Dvd Calendar'!$P$792)=0))&gt;0)=0,"",'Dvd Calendar'!$P$792*1000000000+ISNUMBER('Dvd Calendar'!$P$795)*100000000+('Dvd Calendar'!$P$797=SPECIAL_LBL)*10000000+(N('Dvd Calendar'!$P$791)&gt;0)*(N('Dvd Calendar'!$P$791)&lt;=VAL_SERIAL)*1000000+72*1000+12))</f>
        <v/>
      </c>
      <c r="EQ83" s="121">
        <f>IF(N('Dvd Calendar'!$Q$792)=0,"",IF(('Dvd Calendar'!$Q$792&gt;=GRID_FROM)*('Dvd Calendar'!$Q$792&lt;=GRID_TO)*((('Dvd Calendar'!$Q$792&lt;=VAL_DATE)+(COUNTIF('Dvd Calendar'!$E$799:$AR$799,'Dvd Calendar'!$Q$792)=0))&gt;0)=0,"",'Dvd Calendar'!$Q$792*1000000000+ISNUMBER('Dvd Calendar'!$Q$795)*100000000+('Dvd Calendar'!$Q$797=SPECIAL_LBL)*10000000+(N('Dvd Calendar'!$Q$791)&gt;0)*(N('Dvd Calendar'!$Q$791)&lt;=VAL_SERIAL)*1000000+72*1000+13))</f>
        <v/>
      </c>
      <c r="ER83" s="121">
        <f>IF(N('Dvd Calendar'!$R$792)=0,"",IF(('Dvd Calendar'!$R$792&gt;=GRID_FROM)*('Dvd Calendar'!$R$792&lt;=GRID_TO)*((('Dvd Calendar'!$R$792&lt;=VAL_DATE)+(COUNTIF('Dvd Calendar'!$E$799:$AR$799,'Dvd Calendar'!$R$792)=0))&gt;0)=0,"",'Dvd Calendar'!$R$792*1000000000+ISNUMBER('Dvd Calendar'!$R$795)*100000000+('Dvd Calendar'!$R$797=SPECIAL_LBL)*10000000+(N('Dvd Calendar'!$R$791)&gt;0)*(N('Dvd Calendar'!$R$791)&lt;=VAL_SERIAL)*1000000+72*1000+14))</f>
        <v/>
      </c>
      <c r="ES83" s="121">
        <f>IF(N('Dvd Calendar'!$S$792)=0,"",IF(('Dvd Calendar'!$S$792&gt;=GRID_FROM)*('Dvd Calendar'!$S$792&lt;=GRID_TO)*((('Dvd Calendar'!$S$792&lt;=VAL_DATE)+(COUNTIF('Dvd Calendar'!$E$799:$AR$799,'Dvd Calendar'!$S$792)=0))&gt;0)=0,"",'Dvd Calendar'!$S$792*1000000000+ISNUMBER('Dvd Calendar'!$S$795)*100000000+('Dvd Calendar'!$S$797=SPECIAL_LBL)*10000000+(N('Dvd Calendar'!$S$791)&gt;0)*(N('Dvd Calendar'!$S$791)&lt;=VAL_SERIAL)*1000000+72*1000+15))</f>
        <v/>
      </c>
      <c r="ET83" s="121">
        <f>IF(N('Dvd Calendar'!$T$792)=0,"",IF(('Dvd Calendar'!$T$792&gt;=GRID_FROM)*('Dvd Calendar'!$T$792&lt;=GRID_TO)*((('Dvd Calendar'!$T$792&lt;=VAL_DATE)+(COUNTIF('Dvd Calendar'!$E$799:$AR$799,'Dvd Calendar'!$T$792)=0))&gt;0)=0,"",'Dvd Calendar'!$T$792*1000000000+ISNUMBER('Dvd Calendar'!$T$795)*100000000+('Dvd Calendar'!$T$797=SPECIAL_LBL)*10000000+(N('Dvd Calendar'!$T$791)&gt;0)*(N('Dvd Calendar'!$T$791)&lt;=VAL_SERIAL)*1000000+72*1000+16))</f>
        <v/>
      </c>
      <c r="EU83" s="121">
        <f>IF(N('Dvd Calendar'!$U$792)=0,"",IF(('Dvd Calendar'!$U$792&gt;=GRID_FROM)*('Dvd Calendar'!$U$792&lt;=GRID_TO)*((('Dvd Calendar'!$U$792&lt;=VAL_DATE)+(COUNTIF('Dvd Calendar'!$E$799:$AR$799,'Dvd Calendar'!$U$792)=0))&gt;0)=0,"",'Dvd Calendar'!$U$792*1000000000+ISNUMBER('Dvd Calendar'!$U$795)*100000000+('Dvd Calendar'!$U$797=SPECIAL_LBL)*10000000+(N('Dvd Calendar'!$U$791)&gt;0)*(N('Dvd Calendar'!$U$791)&lt;=VAL_SERIAL)*1000000+72*1000+17))</f>
        <v/>
      </c>
      <c r="EV83" s="121">
        <f>IF(N('Dvd Calendar'!$V$792)=0,"",IF(('Dvd Calendar'!$V$792&gt;=GRID_FROM)*('Dvd Calendar'!$V$792&lt;=GRID_TO)*((('Dvd Calendar'!$V$792&lt;=VAL_DATE)+(COUNTIF('Dvd Calendar'!$E$799:$AR$799,'Dvd Calendar'!$V$792)=0))&gt;0)=0,"",'Dvd Calendar'!$V$792*1000000000+ISNUMBER('Dvd Calendar'!$V$795)*100000000+('Dvd Calendar'!$V$797=SPECIAL_LBL)*10000000+(N('Dvd Calendar'!$V$791)&gt;0)*(N('Dvd Calendar'!$V$791)&lt;=VAL_SERIAL)*1000000+72*1000+18))</f>
        <v/>
      </c>
      <c r="EW83" s="121">
        <f>IF(N('Dvd Calendar'!$W$792)=0,"",IF(('Dvd Calendar'!$W$792&gt;=GRID_FROM)*('Dvd Calendar'!$W$792&lt;=GRID_TO)*((('Dvd Calendar'!$W$792&lt;=VAL_DATE)+(COUNTIF('Dvd Calendar'!$E$799:$AR$799,'Dvd Calendar'!$W$792)=0))&gt;0)=0,"",'Dvd Calendar'!$W$792*1000000000+ISNUMBER('Dvd Calendar'!$W$795)*100000000+('Dvd Calendar'!$W$797=SPECIAL_LBL)*10000000+(N('Dvd Calendar'!$W$791)&gt;0)*(N('Dvd Calendar'!$W$791)&lt;=VAL_SERIAL)*1000000+72*1000+19))</f>
        <v/>
      </c>
      <c r="EX83" s="121">
        <f>IF(N('Dvd Calendar'!$X$792)=0,"",IF(('Dvd Calendar'!$X$792&gt;=GRID_FROM)*('Dvd Calendar'!$X$792&lt;=GRID_TO)*((('Dvd Calendar'!$X$792&lt;=VAL_DATE)+(COUNTIF('Dvd Calendar'!$E$799:$AR$799,'Dvd Calendar'!$X$792)=0))&gt;0)=0,"",'Dvd Calendar'!$X$792*1000000000+ISNUMBER('Dvd Calendar'!$X$795)*100000000+('Dvd Calendar'!$X$797=SPECIAL_LBL)*10000000+(N('Dvd Calendar'!$X$791)&gt;0)*(N('Dvd Calendar'!$X$791)&lt;=VAL_SERIAL)*1000000+72*1000+20))</f>
        <v/>
      </c>
      <c r="EY83" s="121">
        <f>IF(N('Dvd Calendar'!$Y$792)=0,"",IF(('Dvd Calendar'!$Y$792&gt;=GRID_FROM)*('Dvd Calendar'!$Y$792&lt;=GRID_TO)*((('Dvd Calendar'!$Y$792&lt;=VAL_DATE)+(COUNTIF('Dvd Calendar'!$E$799:$AR$799,'Dvd Calendar'!$Y$792)=0))&gt;0)=0,"",'Dvd Calendar'!$Y$792*1000000000+ISNUMBER('Dvd Calendar'!$Y$795)*100000000+('Dvd Calendar'!$Y$797=SPECIAL_LBL)*10000000+(N('Dvd Calendar'!$Y$791)&gt;0)*(N('Dvd Calendar'!$Y$791)&lt;=VAL_SERIAL)*1000000+72*1000+21))</f>
        <v/>
      </c>
      <c r="EZ83" s="121">
        <f>IF(N('Dvd Calendar'!$Z$792)=0,"",IF(('Dvd Calendar'!$Z$792&gt;=GRID_FROM)*('Dvd Calendar'!$Z$792&lt;=GRID_TO)*((('Dvd Calendar'!$Z$792&lt;=VAL_DATE)+(COUNTIF('Dvd Calendar'!$E$799:$AR$799,'Dvd Calendar'!$Z$792)=0))&gt;0)=0,"",'Dvd Calendar'!$Z$792*1000000000+ISNUMBER('Dvd Calendar'!$Z$795)*100000000+('Dvd Calendar'!$Z$797=SPECIAL_LBL)*10000000+(N('Dvd Calendar'!$Z$791)&gt;0)*(N('Dvd Calendar'!$Z$791)&lt;=VAL_SERIAL)*1000000+72*1000+22))</f>
        <v/>
      </c>
      <c r="FA83" s="121">
        <f>IF(N('Dvd Calendar'!$AA$792)=0,"",IF(('Dvd Calendar'!$AA$792&gt;=GRID_FROM)*('Dvd Calendar'!$AA$792&lt;=GRID_TO)*((('Dvd Calendar'!$AA$792&lt;=VAL_DATE)+(COUNTIF('Dvd Calendar'!$E$799:$AR$799,'Dvd Calendar'!$AA$792)=0))&gt;0)=0,"",'Dvd Calendar'!$AA$792*1000000000+ISNUMBER('Dvd Calendar'!$AA$795)*100000000+('Dvd Calendar'!$AA$797=SPECIAL_LBL)*10000000+(N('Dvd Calendar'!$AA$791)&gt;0)*(N('Dvd Calendar'!$AA$791)&lt;=VAL_SERIAL)*1000000+72*1000+23))</f>
        <v/>
      </c>
      <c r="FB83" s="121">
        <f>IF(N('Dvd Calendar'!$AB$792)=0,"",IF(('Dvd Calendar'!$AB$792&gt;=GRID_FROM)*('Dvd Calendar'!$AB$792&lt;=GRID_TO)*((('Dvd Calendar'!$AB$792&lt;=VAL_DATE)+(COUNTIF('Dvd Calendar'!$E$799:$AR$799,'Dvd Calendar'!$AB$792)=0))&gt;0)=0,"",'Dvd Calendar'!$AB$792*1000000000+ISNUMBER('Dvd Calendar'!$AB$795)*100000000+('Dvd Calendar'!$AB$797=SPECIAL_LBL)*10000000+(N('Dvd Calendar'!$AB$791)&gt;0)*(N('Dvd Calendar'!$AB$791)&lt;=VAL_SERIAL)*1000000+72*1000+24))</f>
        <v/>
      </c>
      <c r="FC83" s="121">
        <f>IF(N('Dvd Calendar'!$AC$792)=0,"",IF(('Dvd Calendar'!$AC$792&gt;=GRID_FROM)*('Dvd Calendar'!$AC$792&lt;=GRID_TO)*((('Dvd Calendar'!$AC$792&lt;=VAL_DATE)+(COUNTIF('Dvd Calendar'!$E$799:$AR$799,'Dvd Calendar'!$AC$792)=0))&gt;0)=0,"",'Dvd Calendar'!$AC$792*1000000000+ISNUMBER('Dvd Calendar'!$AC$795)*100000000+('Dvd Calendar'!$AC$797=SPECIAL_LBL)*10000000+(N('Dvd Calendar'!$AC$791)&gt;0)*(N('Dvd Calendar'!$AC$791)&lt;=VAL_SERIAL)*1000000+72*1000+25))</f>
        <v/>
      </c>
      <c r="FD83" s="121">
        <f>IF(N('Dvd Calendar'!$AD$792)=0,"",IF(('Dvd Calendar'!$AD$792&gt;=GRID_FROM)*('Dvd Calendar'!$AD$792&lt;=GRID_TO)*((('Dvd Calendar'!$AD$792&lt;=VAL_DATE)+(COUNTIF('Dvd Calendar'!$E$799:$AR$799,'Dvd Calendar'!$AD$792)=0))&gt;0)=0,"",'Dvd Calendar'!$AD$792*1000000000+ISNUMBER('Dvd Calendar'!$AD$795)*100000000+('Dvd Calendar'!$AD$797=SPECIAL_LBL)*10000000+(N('Dvd Calendar'!$AD$791)&gt;0)*(N('Dvd Calendar'!$AD$791)&lt;=VAL_SERIAL)*1000000+72*1000+26))</f>
        <v/>
      </c>
      <c r="FE83" s="121">
        <f>IF(N('Dvd Calendar'!$AE$792)=0,"",IF(('Dvd Calendar'!$AE$792&gt;=GRID_FROM)*('Dvd Calendar'!$AE$792&lt;=GRID_TO)*((('Dvd Calendar'!$AE$792&lt;=VAL_DATE)+(COUNTIF('Dvd Calendar'!$E$799:$AR$799,'Dvd Calendar'!$AE$792)=0))&gt;0)=0,"",'Dvd Calendar'!$AE$792*1000000000+ISNUMBER('Dvd Calendar'!$AE$795)*100000000+('Dvd Calendar'!$AE$797=SPECIAL_LBL)*10000000+(N('Dvd Calendar'!$AE$791)&gt;0)*(N('Dvd Calendar'!$AE$791)&lt;=VAL_SERIAL)*1000000+72*1000+27))</f>
        <v/>
      </c>
      <c r="FF83" s="121">
        <f>IF(N('Dvd Calendar'!$AF$792)=0,"",IF(('Dvd Calendar'!$AF$792&gt;=GRID_FROM)*('Dvd Calendar'!$AF$792&lt;=GRID_TO)*((('Dvd Calendar'!$AF$792&lt;=VAL_DATE)+(COUNTIF('Dvd Calendar'!$E$799:$AR$799,'Dvd Calendar'!$AF$792)=0))&gt;0)=0,"",'Dvd Calendar'!$AF$792*1000000000+ISNUMBER('Dvd Calendar'!$AF$795)*100000000+('Dvd Calendar'!$AF$797=SPECIAL_LBL)*10000000+(N('Dvd Calendar'!$AF$791)&gt;0)*(N('Dvd Calendar'!$AF$791)&lt;=VAL_SERIAL)*1000000+72*1000+28))</f>
        <v/>
      </c>
      <c r="FG83" s="121">
        <f>IF(N('Dvd Calendar'!$AG$792)=0,"",IF(('Dvd Calendar'!$AG$792&gt;=GRID_FROM)*('Dvd Calendar'!$AG$792&lt;=GRID_TO)*((('Dvd Calendar'!$AG$792&lt;=VAL_DATE)+(COUNTIF('Dvd Calendar'!$E$799:$AR$799,'Dvd Calendar'!$AG$792)=0))&gt;0)=0,"",'Dvd Calendar'!$AG$792*1000000000+ISNUMBER('Dvd Calendar'!$AG$795)*100000000+('Dvd Calendar'!$AG$797=SPECIAL_LBL)*10000000+(N('Dvd Calendar'!$AG$791)&gt;0)*(N('Dvd Calendar'!$AG$791)&lt;=VAL_SERIAL)*1000000+72*1000+29))</f>
        <v/>
      </c>
      <c r="FH83" s="121">
        <f>IF(N('Dvd Calendar'!$AH$792)=0,"",IF(('Dvd Calendar'!$AH$792&gt;=GRID_FROM)*('Dvd Calendar'!$AH$792&lt;=GRID_TO)*((('Dvd Calendar'!$AH$792&lt;=VAL_DATE)+(COUNTIF('Dvd Calendar'!$E$799:$AR$799,'Dvd Calendar'!$AH$792)=0))&gt;0)=0,"",'Dvd Calendar'!$AH$792*1000000000+ISNUMBER('Dvd Calendar'!$AH$795)*100000000+('Dvd Calendar'!$AH$797=SPECIAL_LBL)*10000000+(N('Dvd Calendar'!$AH$791)&gt;0)*(N('Dvd Calendar'!$AH$791)&lt;=VAL_SERIAL)*1000000+72*1000+30))</f>
        <v/>
      </c>
      <c r="FI83" s="121">
        <f>IF(N('Dvd Calendar'!$AI$792)=0,"",IF(('Dvd Calendar'!$AI$792&gt;=GRID_FROM)*('Dvd Calendar'!$AI$792&lt;=GRID_TO)*((('Dvd Calendar'!$AI$792&lt;=VAL_DATE)+(COUNTIF('Dvd Calendar'!$E$799:$AR$799,'Dvd Calendar'!$AI$792)=0))&gt;0)=0,"",'Dvd Calendar'!$AI$792*1000000000+ISNUMBER('Dvd Calendar'!$AI$795)*100000000+('Dvd Calendar'!$AI$797=SPECIAL_LBL)*10000000+(N('Dvd Calendar'!$AI$791)&gt;0)*(N('Dvd Calendar'!$AI$791)&lt;=VAL_SERIAL)*1000000+72*1000+31))</f>
        <v/>
      </c>
      <c r="FJ83" s="121">
        <f>IF(N('Dvd Calendar'!$AJ$792)=0,"",IF(('Dvd Calendar'!$AJ$792&gt;=GRID_FROM)*('Dvd Calendar'!$AJ$792&lt;=GRID_TO)*((('Dvd Calendar'!$AJ$792&lt;=VAL_DATE)+(COUNTIF('Dvd Calendar'!$E$799:$AR$799,'Dvd Calendar'!$AJ$792)=0))&gt;0)=0,"",'Dvd Calendar'!$AJ$792*1000000000+ISNUMBER('Dvd Calendar'!$AJ$795)*100000000+('Dvd Calendar'!$AJ$797=SPECIAL_LBL)*10000000+(N('Dvd Calendar'!$AJ$791)&gt;0)*(N('Dvd Calendar'!$AJ$791)&lt;=VAL_SERIAL)*1000000+72*1000+32))</f>
        <v/>
      </c>
      <c r="FK83" s="121">
        <f>IF(N('Dvd Calendar'!$AK$792)=0,"",IF(('Dvd Calendar'!$AK$792&gt;=GRID_FROM)*('Dvd Calendar'!$AK$792&lt;=GRID_TO)*((('Dvd Calendar'!$AK$792&lt;=VAL_DATE)+(COUNTIF('Dvd Calendar'!$E$799:$AR$799,'Dvd Calendar'!$AK$792)=0))&gt;0)=0,"",'Dvd Calendar'!$AK$792*1000000000+ISNUMBER('Dvd Calendar'!$AK$795)*100000000+('Dvd Calendar'!$AK$797=SPECIAL_LBL)*10000000+(N('Dvd Calendar'!$AK$791)&gt;0)*(N('Dvd Calendar'!$AK$791)&lt;=VAL_SERIAL)*1000000+72*1000+33))</f>
        <v/>
      </c>
      <c r="FL83" s="121">
        <f>IF(N('Dvd Calendar'!$AL$792)=0,"",IF(('Dvd Calendar'!$AL$792&gt;=GRID_FROM)*('Dvd Calendar'!$AL$792&lt;=GRID_TO)*((('Dvd Calendar'!$AL$792&lt;=VAL_DATE)+(COUNTIF('Dvd Calendar'!$E$799:$AR$799,'Dvd Calendar'!$AL$792)=0))&gt;0)=0,"",'Dvd Calendar'!$AL$792*1000000000+ISNUMBER('Dvd Calendar'!$AL$795)*100000000+('Dvd Calendar'!$AL$797=SPECIAL_LBL)*10000000+(N('Dvd Calendar'!$AL$791)&gt;0)*(N('Dvd Calendar'!$AL$791)&lt;=VAL_SERIAL)*1000000+72*1000+34))</f>
        <v/>
      </c>
      <c r="FM83" s="121">
        <f>IF(N('Dvd Calendar'!$AM$792)=0,"",IF(('Dvd Calendar'!$AM$792&gt;=GRID_FROM)*('Dvd Calendar'!$AM$792&lt;=GRID_TO)*((('Dvd Calendar'!$AM$792&lt;=VAL_DATE)+(COUNTIF('Dvd Calendar'!$E$799:$AR$799,'Dvd Calendar'!$AM$792)=0))&gt;0)=0,"",'Dvd Calendar'!$AM$792*1000000000+ISNUMBER('Dvd Calendar'!$AM$795)*100000000+('Dvd Calendar'!$AM$797=SPECIAL_LBL)*10000000+(N('Dvd Calendar'!$AM$791)&gt;0)*(N('Dvd Calendar'!$AM$791)&lt;=VAL_SERIAL)*1000000+72*1000+35))</f>
        <v/>
      </c>
      <c r="FN83" s="121">
        <f>IF(N('Dvd Calendar'!$AN$792)=0,"",IF(('Dvd Calendar'!$AN$792&gt;=GRID_FROM)*('Dvd Calendar'!$AN$792&lt;=GRID_TO)*((('Dvd Calendar'!$AN$792&lt;=VAL_DATE)+(COUNTIF('Dvd Calendar'!$E$799:$AR$799,'Dvd Calendar'!$AN$792)=0))&gt;0)=0,"",'Dvd Calendar'!$AN$792*1000000000+ISNUMBER('Dvd Calendar'!$AN$795)*100000000+('Dvd Calendar'!$AN$797=SPECIAL_LBL)*10000000+(N('Dvd Calendar'!$AN$791)&gt;0)*(N('Dvd Calendar'!$AN$791)&lt;=VAL_SERIAL)*1000000+72*1000+36))</f>
        <v/>
      </c>
      <c r="FO83" s="121">
        <f>IF(N('Dvd Calendar'!$AO$792)=0,"",IF(('Dvd Calendar'!$AO$792&gt;=GRID_FROM)*('Dvd Calendar'!$AO$792&lt;=GRID_TO)*((('Dvd Calendar'!$AO$792&lt;=VAL_DATE)+(COUNTIF('Dvd Calendar'!$E$799:$AR$799,'Dvd Calendar'!$AO$792)=0))&gt;0)=0,"",'Dvd Calendar'!$AO$792*1000000000+ISNUMBER('Dvd Calendar'!$AO$795)*100000000+('Dvd Calendar'!$AO$797=SPECIAL_LBL)*10000000+(N('Dvd Calendar'!$AO$791)&gt;0)*(N('Dvd Calendar'!$AO$791)&lt;=VAL_SERIAL)*1000000+72*1000+37))</f>
        <v/>
      </c>
      <c r="FP83" s="121">
        <f>IF(N('Dvd Calendar'!$AP$792)=0,"",IF(('Dvd Calendar'!$AP$792&gt;=GRID_FROM)*('Dvd Calendar'!$AP$792&lt;=GRID_TO)*((('Dvd Calendar'!$AP$792&lt;=VAL_DATE)+(COUNTIF('Dvd Calendar'!$E$799:$AR$799,'Dvd Calendar'!$AP$792)=0))&gt;0)=0,"",'Dvd Calendar'!$AP$792*1000000000+ISNUMBER('Dvd Calendar'!$AP$795)*100000000+('Dvd Calendar'!$AP$797=SPECIAL_LBL)*10000000+(N('Dvd Calendar'!$AP$791)&gt;0)*(N('Dvd Calendar'!$AP$791)&lt;=VAL_SERIAL)*1000000+72*1000+38))</f>
        <v/>
      </c>
      <c r="FQ83" s="121">
        <f>IF(N('Dvd Calendar'!$AQ$792)=0,"",IF(('Dvd Calendar'!$AQ$792&gt;=GRID_FROM)*('Dvd Calendar'!$AQ$792&lt;=GRID_TO)*((('Dvd Calendar'!$AQ$792&lt;=VAL_DATE)+(COUNTIF('Dvd Calendar'!$E$799:$AR$799,'Dvd Calendar'!$AQ$792)=0))&gt;0)=0,"",'Dvd Calendar'!$AQ$792*1000000000+ISNUMBER('Dvd Calendar'!$AQ$795)*100000000+('Dvd Calendar'!$AQ$797=SPECIAL_LBL)*10000000+(N('Dvd Calendar'!$AQ$791)&gt;0)*(N('Dvd Calendar'!$AQ$791)&lt;=VAL_SERIAL)*1000000+72*1000+39))</f>
        <v/>
      </c>
      <c r="FR83" s="121">
        <f>IF(N('Dvd Calendar'!$AR$792)=0,"",IF(('Dvd Calendar'!$AR$792&gt;=GRID_FROM)*('Dvd Calendar'!$AR$792&lt;=GRID_TO)*((('Dvd Calendar'!$AR$792&lt;=VAL_DATE)+(COUNTIF('Dvd Calendar'!$E$799:$AR$799,'Dvd Calendar'!$AR$792)=0))&gt;0)=0,"",'Dvd Calendar'!$AR$792*1000000000+ISNUMBER('Dvd Calendar'!$AR$795)*100000000+('Dvd Calendar'!$AR$797=SPECIAL_LBL)*10000000+(N('Dvd Calendar'!$AR$791)&gt;0)*(N('Dvd Calendar'!$AR$791)&lt;=VAL_SERIAL)*1000000+72*1000+40))</f>
        <v/>
      </c>
      <c r="FS83" s="121">
        <f>IF(N('Dvd Calendar'!$E$799)=0,"",IF(('Dvd Calendar'!$E$799&gt;=GRID_FROM)*('Dvd Calendar'!$E$799&lt;=GRID_TO)*('Dvd Calendar'!$E$799&gt;VAL_DATE)=0,"",'Dvd Calendar'!$E$799*1000000000+ISNUMBER('Dvd Calendar'!$E$800)*100000000+0*10000000+(N('Dvd Calendar'!$E$798)&gt;0)*(N('Dvd Calendar'!$E$798)&lt;=VAL_SERIAL)*1000000+72*1000+41))</f>
        <v/>
      </c>
      <c r="FT83" s="121">
        <f>IF(N('Dvd Calendar'!$F$799)=0,"",IF(('Dvd Calendar'!$F$799&gt;=GRID_FROM)*('Dvd Calendar'!$F$799&lt;=GRID_TO)*('Dvd Calendar'!$F$799&gt;VAL_DATE)=0,"",'Dvd Calendar'!$F$799*1000000000+ISNUMBER('Dvd Calendar'!$F$800)*100000000+0*10000000+(N('Dvd Calendar'!$F$798)&gt;0)*(N('Dvd Calendar'!$F$798)&lt;=VAL_SERIAL)*1000000+72*1000+42))</f>
        <v/>
      </c>
      <c r="FU83" s="121">
        <f>IF(N('Dvd Calendar'!$G$799)=0,"",IF(('Dvd Calendar'!$G$799&gt;=GRID_FROM)*('Dvd Calendar'!$G$799&lt;=GRID_TO)*('Dvd Calendar'!$G$799&gt;VAL_DATE)=0,"",'Dvd Calendar'!$G$799*1000000000+ISNUMBER('Dvd Calendar'!$G$800)*100000000+0*10000000+(N('Dvd Calendar'!$G$798)&gt;0)*(N('Dvd Calendar'!$G$798)&lt;=VAL_SERIAL)*1000000+72*1000+43))</f>
        <v/>
      </c>
      <c r="FV83" s="121">
        <f>IF(N('Dvd Calendar'!$H$799)=0,"",IF(('Dvd Calendar'!$H$799&gt;=GRID_FROM)*('Dvd Calendar'!$H$799&lt;=GRID_TO)*('Dvd Calendar'!$H$799&gt;VAL_DATE)=0,"",'Dvd Calendar'!$H$799*1000000000+ISNUMBER('Dvd Calendar'!$H$800)*100000000+0*10000000+(N('Dvd Calendar'!$H$798)&gt;0)*(N('Dvd Calendar'!$H$798)&lt;=VAL_SERIAL)*1000000+72*1000+44))</f>
        <v/>
      </c>
      <c r="FW83" s="121">
        <f>IF(N('Dvd Calendar'!$I$799)=0,"",IF(('Dvd Calendar'!$I$799&gt;=GRID_FROM)*('Dvd Calendar'!$I$799&lt;=GRID_TO)*('Dvd Calendar'!$I$799&gt;VAL_DATE)=0,"",'Dvd Calendar'!$I$799*1000000000+ISNUMBER('Dvd Calendar'!$I$800)*100000000+0*10000000+(N('Dvd Calendar'!$I$798)&gt;0)*(N('Dvd Calendar'!$I$798)&lt;=VAL_SERIAL)*1000000+72*1000+45))</f>
        <v/>
      </c>
      <c r="FX83" s="121">
        <f>IF(N('Dvd Calendar'!$J$799)=0,"",IF(('Dvd Calendar'!$J$799&gt;=GRID_FROM)*('Dvd Calendar'!$J$799&lt;=GRID_TO)*('Dvd Calendar'!$J$799&gt;VAL_DATE)=0,"",'Dvd Calendar'!$J$799*1000000000+ISNUMBER('Dvd Calendar'!$J$800)*100000000+0*10000000+(N('Dvd Calendar'!$J$798)&gt;0)*(N('Dvd Calendar'!$J$798)&lt;=VAL_SERIAL)*1000000+72*1000+46))</f>
        <v/>
      </c>
      <c r="FY83" s="121">
        <f>IF(N('Dvd Calendar'!$K$799)=0,"",IF(('Dvd Calendar'!$K$799&gt;=GRID_FROM)*('Dvd Calendar'!$K$799&lt;=GRID_TO)*('Dvd Calendar'!$K$799&gt;VAL_DATE)=0,"",'Dvd Calendar'!$K$799*1000000000+ISNUMBER('Dvd Calendar'!$K$800)*100000000+0*10000000+(N('Dvd Calendar'!$K$798)&gt;0)*(N('Dvd Calendar'!$K$798)&lt;=VAL_SERIAL)*1000000+72*1000+47))</f>
        <v/>
      </c>
      <c r="FZ83" s="121">
        <f>IF(N('Dvd Calendar'!$L$799)=0,"",IF(('Dvd Calendar'!$L$799&gt;=GRID_FROM)*('Dvd Calendar'!$L$799&lt;=GRID_TO)*('Dvd Calendar'!$L$799&gt;VAL_DATE)=0,"",'Dvd Calendar'!$L$799*1000000000+ISNUMBER('Dvd Calendar'!$L$800)*100000000+0*10000000+(N('Dvd Calendar'!$L$798)&gt;0)*(N('Dvd Calendar'!$L$798)&lt;=VAL_SERIAL)*1000000+72*1000+48))</f>
        <v/>
      </c>
      <c r="GA83" s="121">
        <f>IF(N('Dvd Calendar'!$M$799)=0,"",IF(('Dvd Calendar'!$M$799&gt;=GRID_FROM)*('Dvd Calendar'!$M$799&lt;=GRID_TO)*('Dvd Calendar'!$M$799&gt;VAL_DATE)=0,"",'Dvd Calendar'!$M$799*1000000000+ISNUMBER('Dvd Calendar'!$M$800)*100000000+0*10000000+(N('Dvd Calendar'!$M$798)&gt;0)*(N('Dvd Calendar'!$M$798)&lt;=VAL_SERIAL)*1000000+72*1000+49))</f>
        <v/>
      </c>
      <c r="GB83" s="121">
        <f>IF(N('Dvd Calendar'!$N$799)=0,"",IF(('Dvd Calendar'!$N$799&gt;=GRID_FROM)*('Dvd Calendar'!$N$799&lt;=GRID_TO)*('Dvd Calendar'!$N$799&gt;VAL_DATE)=0,"",'Dvd Calendar'!$N$799*1000000000+ISNUMBER('Dvd Calendar'!$N$800)*100000000+0*10000000+(N('Dvd Calendar'!$N$798)&gt;0)*(N('Dvd Calendar'!$N$798)&lt;=VAL_SERIAL)*1000000+72*1000+50))</f>
        <v/>
      </c>
      <c r="GC83" s="121">
        <f>IF(N('Dvd Calendar'!$O$799)=0,"",IF(('Dvd Calendar'!$O$799&gt;=GRID_FROM)*('Dvd Calendar'!$O$799&lt;=GRID_TO)*('Dvd Calendar'!$O$799&gt;VAL_DATE)=0,"",'Dvd Calendar'!$O$799*1000000000+ISNUMBER('Dvd Calendar'!$O$800)*100000000+0*10000000+(N('Dvd Calendar'!$O$798)&gt;0)*(N('Dvd Calendar'!$O$798)&lt;=VAL_SERIAL)*1000000+72*1000+51))</f>
        <v/>
      </c>
      <c r="GD83" s="121">
        <f>IF(N('Dvd Calendar'!$P$799)=0,"",IF(('Dvd Calendar'!$P$799&gt;=GRID_FROM)*('Dvd Calendar'!$P$799&lt;=GRID_TO)*('Dvd Calendar'!$P$799&gt;VAL_DATE)=0,"",'Dvd Calendar'!$P$799*1000000000+ISNUMBER('Dvd Calendar'!$P$800)*100000000+0*10000000+(N('Dvd Calendar'!$P$798)&gt;0)*(N('Dvd Calendar'!$P$798)&lt;=VAL_SERIAL)*1000000+72*1000+52))</f>
        <v/>
      </c>
      <c r="GE83" s="121">
        <f>IF(N('Dvd Calendar'!$Q$799)=0,"",IF(('Dvd Calendar'!$Q$799&gt;=GRID_FROM)*('Dvd Calendar'!$Q$799&lt;=GRID_TO)*('Dvd Calendar'!$Q$799&gt;VAL_DATE)=0,"",'Dvd Calendar'!$Q$799*1000000000+ISNUMBER('Dvd Calendar'!$Q$800)*100000000+0*10000000+(N('Dvd Calendar'!$Q$798)&gt;0)*(N('Dvd Calendar'!$Q$798)&lt;=VAL_SERIAL)*1000000+72*1000+53))</f>
        <v/>
      </c>
      <c r="GF83" s="121">
        <f>IF(N('Dvd Calendar'!$R$799)=0,"",IF(('Dvd Calendar'!$R$799&gt;=GRID_FROM)*('Dvd Calendar'!$R$799&lt;=GRID_TO)*('Dvd Calendar'!$R$799&gt;VAL_DATE)=0,"",'Dvd Calendar'!$R$799*1000000000+ISNUMBER('Dvd Calendar'!$R$800)*100000000+0*10000000+(N('Dvd Calendar'!$R$798)&gt;0)*(N('Dvd Calendar'!$R$798)&lt;=VAL_SERIAL)*1000000+72*1000+54))</f>
        <v/>
      </c>
      <c r="GG83" s="121">
        <f>IF(N('Dvd Calendar'!$S$799)=0,"",IF(('Dvd Calendar'!$S$799&gt;=GRID_FROM)*('Dvd Calendar'!$S$799&lt;=GRID_TO)*('Dvd Calendar'!$S$799&gt;VAL_DATE)=0,"",'Dvd Calendar'!$S$799*1000000000+ISNUMBER('Dvd Calendar'!$S$800)*100000000+0*10000000+(N('Dvd Calendar'!$S$798)&gt;0)*(N('Dvd Calendar'!$S$798)&lt;=VAL_SERIAL)*1000000+72*1000+55))</f>
        <v/>
      </c>
      <c r="GH83" s="121">
        <f>IF(N('Dvd Calendar'!$T$799)=0,"",IF(('Dvd Calendar'!$T$799&gt;=GRID_FROM)*('Dvd Calendar'!$T$799&lt;=GRID_TO)*('Dvd Calendar'!$T$799&gt;VAL_DATE)=0,"",'Dvd Calendar'!$T$799*1000000000+ISNUMBER('Dvd Calendar'!$T$800)*100000000+0*10000000+(N('Dvd Calendar'!$T$798)&gt;0)*(N('Dvd Calendar'!$T$798)&lt;=VAL_SERIAL)*1000000+72*1000+56))</f>
        <v/>
      </c>
      <c r="GI83" s="121">
        <f>IF(N('Dvd Calendar'!$U$799)=0,"",IF(('Dvd Calendar'!$U$799&gt;=GRID_FROM)*('Dvd Calendar'!$U$799&lt;=GRID_TO)*('Dvd Calendar'!$U$799&gt;VAL_DATE)=0,"",'Dvd Calendar'!$U$799*1000000000+ISNUMBER('Dvd Calendar'!$U$800)*100000000+0*10000000+(N('Dvd Calendar'!$U$798)&gt;0)*(N('Dvd Calendar'!$U$798)&lt;=VAL_SERIAL)*1000000+72*1000+57))</f>
        <v/>
      </c>
      <c r="GJ83" s="121">
        <f>IF(N('Dvd Calendar'!$V$799)=0,"",IF(('Dvd Calendar'!$V$799&gt;=GRID_FROM)*('Dvd Calendar'!$V$799&lt;=GRID_TO)*('Dvd Calendar'!$V$799&gt;VAL_DATE)=0,"",'Dvd Calendar'!$V$799*1000000000+ISNUMBER('Dvd Calendar'!$V$800)*100000000+0*10000000+(N('Dvd Calendar'!$V$798)&gt;0)*(N('Dvd Calendar'!$V$798)&lt;=VAL_SERIAL)*1000000+72*1000+58))</f>
        <v/>
      </c>
      <c r="GK83" s="121">
        <f>IF(N('Dvd Calendar'!$W$799)=0,"",IF(('Dvd Calendar'!$W$799&gt;=GRID_FROM)*('Dvd Calendar'!$W$799&lt;=GRID_TO)*('Dvd Calendar'!$W$799&gt;VAL_DATE)=0,"",'Dvd Calendar'!$W$799*1000000000+ISNUMBER('Dvd Calendar'!$W$800)*100000000+0*10000000+(N('Dvd Calendar'!$W$798)&gt;0)*(N('Dvd Calendar'!$W$798)&lt;=VAL_SERIAL)*1000000+72*1000+59))</f>
        <v/>
      </c>
      <c r="GL83" s="121">
        <f>IF(N('Dvd Calendar'!$X$799)=0,"",IF(('Dvd Calendar'!$X$799&gt;=GRID_FROM)*('Dvd Calendar'!$X$799&lt;=GRID_TO)*('Dvd Calendar'!$X$799&gt;VAL_DATE)=0,"",'Dvd Calendar'!$X$799*1000000000+ISNUMBER('Dvd Calendar'!$X$800)*100000000+0*10000000+(N('Dvd Calendar'!$X$798)&gt;0)*(N('Dvd Calendar'!$X$798)&lt;=VAL_SERIAL)*1000000+72*1000+60))</f>
        <v/>
      </c>
      <c r="GM83" s="121">
        <f>IF(N('Dvd Calendar'!$Y$799)=0,"",IF(('Dvd Calendar'!$Y$799&gt;=GRID_FROM)*('Dvd Calendar'!$Y$799&lt;=GRID_TO)*('Dvd Calendar'!$Y$799&gt;VAL_DATE)=0,"",'Dvd Calendar'!$Y$799*1000000000+ISNUMBER('Dvd Calendar'!$Y$800)*100000000+0*10000000+(N('Dvd Calendar'!$Y$798)&gt;0)*(N('Dvd Calendar'!$Y$798)&lt;=VAL_SERIAL)*1000000+72*1000+61))</f>
        <v/>
      </c>
      <c r="GN83" s="121">
        <f>IF(N('Dvd Calendar'!$Z$799)=0,"",IF(('Dvd Calendar'!$Z$799&gt;=GRID_FROM)*('Dvd Calendar'!$Z$799&lt;=GRID_TO)*('Dvd Calendar'!$Z$799&gt;VAL_DATE)=0,"",'Dvd Calendar'!$Z$799*1000000000+ISNUMBER('Dvd Calendar'!$Z$800)*100000000+0*10000000+(N('Dvd Calendar'!$Z$798)&gt;0)*(N('Dvd Calendar'!$Z$798)&lt;=VAL_SERIAL)*1000000+72*1000+62))</f>
        <v/>
      </c>
      <c r="GO83" s="121">
        <f>IF(N('Dvd Calendar'!$AA$799)=0,"",IF(('Dvd Calendar'!$AA$799&gt;=GRID_FROM)*('Dvd Calendar'!$AA$799&lt;=GRID_TO)*('Dvd Calendar'!$AA$799&gt;VAL_DATE)=0,"",'Dvd Calendar'!$AA$799*1000000000+ISNUMBER('Dvd Calendar'!$AA$800)*100000000+0*10000000+(N('Dvd Calendar'!$AA$798)&gt;0)*(N('Dvd Calendar'!$AA$798)&lt;=VAL_SERIAL)*1000000+72*1000+63))</f>
        <v/>
      </c>
      <c r="GP83" s="121">
        <f>IF(N('Dvd Calendar'!$AB$799)=0,"",IF(('Dvd Calendar'!$AB$799&gt;=GRID_FROM)*('Dvd Calendar'!$AB$799&lt;=GRID_TO)*('Dvd Calendar'!$AB$799&gt;VAL_DATE)=0,"",'Dvd Calendar'!$AB$799*1000000000+ISNUMBER('Dvd Calendar'!$AB$800)*100000000+0*10000000+(N('Dvd Calendar'!$AB$798)&gt;0)*(N('Dvd Calendar'!$AB$798)&lt;=VAL_SERIAL)*1000000+72*1000+64))</f>
        <v/>
      </c>
      <c r="GQ83" s="121">
        <f>IF(N('Dvd Calendar'!$AC$799)=0,"",IF(('Dvd Calendar'!$AC$799&gt;=GRID_FROM)*('Dvd Calendar'!$AC$799&lt;=GRID_TO)*('Dvd Calendar'!$AC$799&gt;VAL_DATE)=0,"",'Dvd Calendar'!$AC$799*1000000000+ISNUMBER('Dvd Calendar'!$AC$800)*100000000+0*10000000+(N('Dvd Calendar'!$AC$798)&gt;0)*(N('Dvd Calendar'!$AC$798)&lt;=VAL_SERIAL)*1000000+72*1000+65))</f>
        <v/>
      </c>
    </row>
    <row r="84">
      <c r="B84" s="2">
        <f>IF(HSI!$C$79="","",HSI!$C$79)</f>
        <v/>
      </c>
      <c r="C84" s="161">
        <f>IF(EE84="","",IF(ISNUMBER('Dvd Calendar'!$E$806)=FALSE,"",IF((('Dvd Calendar'!$E$808=TYPE1)*(TYPE1&lt;&gt;"")+('Dvd Calendar'!$E$808=TYPE2)*(TYPE2&lt;&gt;"")+('Dvd Calendar'!$E$808=TYPE3)*(TYPE3&lt;&gt;"")+('Dvd Calendar'!$E$808=TYPE4)*(TYPE4&lt;&gt;"")+('Dvd Calendar'!$E$808=SPECIAL_LBL)*(INC_SPECIALS="Y"))=0,"",'Dvd Calendar'!$E$806)))</f>
        <v/>
      </c>
      <c r="D84" s="161">
        <f>IF(EF84="","",IF(ISNUMBER('Dvd Calendar'!$F$806)=FALSE,"",IF((('Dvd Calendar'!$F$808=TYPE1)*(TYPE1&lt;&gt;"")+('Dvd Calendar'!$F$808=TYPE2)*(TYPE2&lt;&gt;"")+('Dvd Calendar'!$F$808=TYPE3)*(TYPE3&lt;&gt;"")+('Dvd Calendar'!$F$808=TYPE4)*(TYPE4&lt;&gt;"")+('Dvd Calendar'!$F$808=SPECIAL_LBL)*(INC_SPECIALS="Y"))=0,"",'Dvd Calendar'!$F$806)))</f>
        <v/>
      </c>
      <c r="E84" s="161">
        <f>IF(EG84="","",IF(ISNUMBER('Dvd Calendar'!$G$806)=FALSE,"",IF((('Dvd Calendar'!$G$808=TYPE1)*(TYPE1&lt;&gt;"")+('Dvd Calendar'!$G$808=TYPE2)*(TYPE2&lt;&gt;"")+('Dvd Calendar'!$G$808=TYPE3)*(TYPE3&lt;&gt;"")+('Dvd Calendar'!$G$808=TYPE4)*(TYPE4&lt;&gt;"")+('Dvd Calendar'!$G$808=SPECIAL_LBL)*(INC_SPECIALS="Y"))=0,"",'Dvd Calendar'!$G$806)))</f>
        <v/>
      </c>
      <c r="F84" s="161">
        <f>IF(EH84="","",IF(ISNUMBER('Dvd Calendar'!$H$806)=FALSE,"",IF((('Dvd Calendar'!$H$808=TYPE1)*(TYPE1&lt;&gt;"")+('Dvd Calendar'!$H$808=TYPE2)*(TYPE2&lt;&gt;"")+('Dvd Calendar'!$H$808=TYPE3)*(TYPE3&lt;&gt;"")+('Dvd Calendar'!$H$808=TYPE4)*(TYPE4&lt;&gt;"")+('Dvd Calendar'!$H$808=SPECIAL_LBL)*(INC_SPECIALS="Y"))=0,"",'Dvd Calendar'!$H$806)))</f>
        <v/>
      </c>
      <c r="G84" s="161">
        <f>IF(EI84="","",IF(ISNUMBER('Dvd Calendar'!$I$806)=FALSE,"",IF((('Dvd Calendar'!$I$808=TYPE1)*(TYPE1&lt;&gt;"")+('Dvd Calendar'!$I$808=TYPE2)*(TYPE2&lt;&gt;"")+('Dvd Calendar'!$I$808=TYPE3)*(TYPE3&lt;&gt;"")+('Dvd Calendar'!$I$808=TYPE4)*(TYPE4&lt;&gt;"")+('Dvd Calendar'!$I$808=SPECIAL_LBL)*(INC_SPECIALS="Y"))=0,"",'Dvd Calendar'!$I$806)))</f>
        <v/>
      </c>
      <c r="H84" s="161">
        <f>IF(EJ84="","",IF(ISNUMBER('Dvd Calendar'!$J$806)=FALSE,"",IF((('Dvd Calendar'!$J$808=TYPE1)*(TYPE1&lt;&gt;"")+('Dvd Calendar'!$J$808=TYPE2)*(TYPE2&lt;&gt;"")+('Dvd Calendar'!$J$808=TYPE3)*(TYPE3&lt;&gt;"")+('Dvd Calendar'!$J$808=TYPE4)*(TYPE4&lt;&gt;"")+('Dvd Calendar'!$J$808=SPECIAL_LBL)*(INC_SPECIALS="Y"))=0,"",'Dvd Calendar'!$J$806)))</f>
        <v/>
      </c>
      <c r="I84" s="161">
        <f>IF(EK84="","",IF(ISNUMBER('Dvd Calendar'!$K$806)=FALSE,"",IF((('Dvd Calendar'!$K$808=TYPE1)*(TYPE1&lt;&gt;"")+('Dvd Calendar'!$K$808=TYPE2)*(TYPE2&lt;&gt;"")+('Dvd Calendar'!$K$808=TYPE3)*(TYPE3&lt;&gt;"")+('Dvd Calendar'!$K$808=TYPE4)*(TYPE4&lt;&gt;"")+('Dvd Calendar'!$K$808=SPECIAL_LBL)*(INC_SPECIALS="Y"))=0,"",'Dvd Calendar'!$K$806)))</f>
        <v/>
      </c>
      <c r="J84" s="161">
        <f>IF(EL84="","",IF(ISNUMBER('Dvd Calendar'!$L$806)=FALSE,"",IF((('Dvd Calendar'!$L$808=TYPE1)*(TYPE1&lt;&gt;"")+('Dvd Calendar'!$L$808=TYPE2)*(TYPE2&lt;&gt;"")+('Dvd Calendar'!$L$808=TYPE3)*(TYPE3&lt;&gt;"")+('Dvd Calendar'!$L$808=TYPE4)*(TYPE4&lt;&gt;"")+('Dvd Calendar'!$L$808=SPECIAL_LBL)*(INC_SPECIALS="Y"))=0,"",'Dvd Calendar'!$L$806)))</f>
        <v/>
      </c>
      <c r="K84" s="161">
        <f>IF(EM84="","",IF(ISNUMBER('Dvd Calendar'!$M$806)=FALSE,"",IF((('Dvd Calendar'!$M$808=TYPE1)*(TYPE1&lt;&gt;"")+('Dvd Calendar'!$M$808=TYPE2)*(TYPE2&lt;&gt;"")+('Dvd Calendar'!$M$808=TYPE3)*(TYPE3&lt;&gt;"")+('Dvd Calendar'!$M$808=TYPE4)*(TYPE4&lt;&gt;"")+('Dvd Calendar'!$M$808=SPECIAL_LBL)*(INC_SPECIALS="Y"))=0,"",'Dvd Calendar'!$M$806)))</f>
        <v/>
      </c>
      <c r="L84" s="161">
        <f>IF(EN84="","",IF(ISNUMBER('Dvd Calendar'!$N$806)=FALSE,"",IF((('Dvd Calendar'!$N$808=TYPE1)*(TYPE1&lt;&gt;"")+('Dvd Calendar'!$N$808=TYPE2)*(TYPE2&lt;&gt;"")+('Dvd Calendar'!$N$808=TYPE3)*(TYPE3&lt;&gt;"")+('Dvd Calendar'!$N$808=TYPE4)*(TYPE4&lt;&gt;"")+('Dvd Calendar'!$N$808=SPECIAL_LBL)*(INC_SPECIALS="Y"))=0,"",'Dvd Calendar'!$N$806)))</f>
        <v/>
      </c>
      <c r="M84" s="161">
        <f>IF(EO84="","",IF(ISNUMBER('Dvd Calendar'!$O$806)=FALSE,"",IF((('Dvd Calendar'!$O$808=TYPE1)*(TYPE1&lt;&gt;"")+('Dvd Calendar'!$O$808=TYPE2)*(TYPE2&lt;&gt;"")+('Dvd Calendar'!$O$808=TYPE3)*(TYPE3&lt;&gt;"")+('Dvd Calendar'!$O$808=TYPE4)*(TYPE4&lt;&gt;"")+('Dvd Calendar'!$O$808=SPECIAL_LBL)*(INC_SPECIALS="Y"))=0,"",'Dvd Calendar'!$O$806)))</f>
        <v/>
      </c>
      <c r="N84" s="161">
        <f>IF(EP84="","",IF(ISNUMBER('Dvd Calendar'!$P$806)=FALSE,"",IF((('Dvd Calendar'!$P$808=TYPE1)*(TYPE1&lt;&gt;"")+('Dvd Calendar'!$P$808=TYPE2)*(TYPE2&lt;&gt;"")+('Dvd Calendar'!$P$808=TYPE3)*(TYPE3&lt;&gt;"")+('Dvd Calendar'!$P$808=TYPE4)*(TYPE4&lt;&gt;"")+('Dvd Calendar'!$P$808=SPECIAL_LBL)*(INC_SPECIALS="Y"))=0,"",'Dvd Calendar'!$P$806)))</f>
        <v/>
      </c>
      <c r="O84" s="161">
        <f>IF(EQ84="","",IF(ISNUMBER('Dvd Calendar'!$Q$806)=FALSE,"",IF((('Dvd Calendar'!$Q$808=TYPE1)*(TYPE1&lt;&gt;"")+('Dvd Calendar'!$Q$808=TYPE2)*(TYPE2&lt;&gt;"")+('Dvd Calendar'!$Q$808=TYPE3)*(TYPE3&lt;&gt;"")+('Dvd Calendar'!$Q$808=TYPE4)*(TYPE4&lt;&gt;"")+('Dvd Calendar'!$Q$808=SPECIAL_LBL)*(INC_SPECIALS="Y"))=0,"",'Dvd Calendar'!$Q$806)))</f>
        <v/>
      </c>
      <c r="P84" s="161">
        <f>IF(ER84="","",IF(ISNUMBER('Dvd Calendar'!$R$806)=FALSE,"",IF((('Dvd Calendar'!$R$808=TYPE1)*(TYPE1&lt;&gt;"")+('Dvd Calendar'!$R$808=TYPE2)*(TYPE2&lt;&gt;"")+('Dvd Calendar'!$R$808=TYPE3)*(TYPE3&lt;&gt;"")+('Dvd Calendar'!$R$808=TYPE4)*(TYPE4&lt;&gt;"")+('Dvd Calendar'!$R$808=SPECIAL_LBL)*(INC_SPECIALS="Y"))=0,"",'Dvd Calendar'!$R$806)))</f>
        <v/>
      </c>
      <c r="Q84" s="161">
        <f>IF(ES84="","",IF(ISNUMBER('Dvd Calendar'!$S$806)=FALSE,"",IF((('Dvd Calendar'!$S$808=TYPE1)*(TYPE1&lt;&gt;"")+('Dvd Calendar'!$S$808=TYPE2)*(TYPE2&lt;&gt;"")+('Dvd Calendar'!$S$808=TYPE3)*(TYPE3&lt;&gt;"")+('Dvd Calendar'!$S$808=TYPE4)*(TYPE4&lt;&gt;"")+('Dvd Calendar'!$S$808=SPECIAL_LBL)*(INC_SPECIALS="Y"))=0,"",'Dvd Calendar'!$S$806)))</f>
        <v/>
      </c>
      <c r="R84" s="161">
        <f>IF(ET84="","",IF(ISNUMBER('Dvd Calendar'!$T$806)=FALSE,"",IF((('Dvd Calendar'!$T$808=TYPE1)*(TYPE1&lt;&gt;"")+('Dvd Calendar'!$T$808=TYPE2)*(TYPE2&lt;&gt;"")+('Dvd Calendar'!$T$808=TYPE3)*(TYPE3&lt;&gt;"")+('Dvd Calendar'!$T$808=TYPE4)*(TYPE4&lt;&gt;"")+('Dvd Calendar'!$T$808=SPECIAL_LBL)*(INC_SPECIALS="Y"))=0,"",'Dvd Calendar'!$T$806)))</f>
        <v/>
      </c>
      <c r="S84" s="161">
        <f>IF(EU84="","",IF(ISNUMBER('Dvd Calendar'!$U$806)=FALSE,"",IF((('Dvd Calendar'!$U$808=TYPE1)*(TYPE1&lt;&gt;"")+('Dvd Calendar'!$U$808=TYPE2)*(TYPE2&lt;&gt;"")+('Dvd Calendar'!$U$808=TYPE3)*(TYPE3&lt;&gt;"")+('Dvd Calendar'!$U$808=TYPE4)*(TYPE4&lt;&gt;"")+('Dvd Calendar'!$U$808=SPECIAL_LBL)*(INC_SPECIALS="Y"))=0,"",'Dvd Calendar'!$U$806)))</f>
        <v/>
      </c>
      <c r="T84" s="161">
        <f>IF(EV84="","",IF(ISNUMBER('Dvd Calendar'!$V$806)=FALSE,"",IF((('Dvd Calendar'!$V$808=TYPE1)*(TYPE1&lt;&gt;"")+('Dvd Calendar'!$V$808=TYPE2)*(TYPE2&lt;&gt;"")+('Dvd Calendar'!$V$808=TYPE3)*(TYPE3&lt;&gt;"")+('Dvd Calendar'!$V$808=TYPE4)*(TYPE4&lt;&gt;"")+('Dvd Calendar'!$V$808=SPECIAL_LBL)*(INC_SPECIALS="Y"))=0,"",'Dvd Calendar'!$V$806)))</f>
        <v/>
      </c>
      <c r="U84" s="161">
        <f>IF(EW84="","",IF(ISNUMBER('Dvd Calendar'!$W$806)=FALSE,"",IF((('Dvd Calendar'!$W$808=TYPE1)*(TYPE1&lt;&gt;"")+('Dvd Calendar'!$W$808=TYPE2)*(TYPE2&lt;&gt;"")+('Dvd Calendar'!$W$808=TYPE3)*(TYPE3&lt;&gt;"")+('Dvd Calendar'!$W$808=TYPE4)*(TYPE4&lt;&gt;"")+('Dvd Calendar'!$W$808=SPECIAL_LBL)*(INC_SPECIALS="Y"))=0,"",'Dvd Calendar'!$W$806)))</f>
        <v/>
      </c>
      <c r="V84" s="161">
        <f>IF(EX84="","",IF(ISNUMBER('Dvd Calendar'!$X$806)=FALSE,"",IF((('Dvd Calendar'!$X$808=TYPE1)*(TYPE1&lt;&gt;"")+('Dvd Calendar'!$X$808=TYPE2)*(TYPE2&lt;&gt;"")+('Dvd Calendar'!$X$808=TYPE3)*(TYPE3&lt;&gt;"")+('Dvd Calendar'!$X$808=TYPE4)*(TYPE4&lt;&gt;"")+('Dvd Calendar'!$X$808=SPECIAL_LBL)*(INC_SPECIALS="Y"))=0,"",'Dvd Calendar'!$X$806)))</f>
        <v/>
      </c>
      <c r="W84" s="161">
        <f>IF(EY84="","",IF(ISNUMBER('Dvd Calendar'!$Y$806)=FALSE,"",IF((('Dvd Calendar'!$Y$808=TYPE1)*(TYPE1&lt;&gt;"")+('Dvd Calendar'!$Y$808=TYPE2)*(TYPE2&lt;&gt;"")+('Dvd Calendar'!$Y$808=TYPE3)*(TYPE3&lt;&gt;"")+('Dvd Calendar'!$Y$808=TYPE4)*(TYPE4&lt;&gt;"")+('Dvd Calendar'!$Y$808=SPECIAL_LBL)*(INC_SPECIALS="Y"))=0,"",'Dvd Calendar'!$Y$806)))</f>
        <v/>
      </c>
      <c r="X84" s="161">
        <f>IF(EZ84="","",IF(ISNUMBER('Dvd Calendar'!$Z$806)=FALSE,"",IF((('Dvd Calendar'!$Z$808=TYPE1)*(TYPE1&lt;&gt;"")+('Dvd Calendar'!$Z$808=TYPE2)*(TYPE2&lt;&gt;"")+('Dvd Calendar'!$Z$808=TYPE3)*(TYPE3&lt;&gt;"")+('Dvd Calendar'!$Z$808=TYPE4)*(TYPE4&lt;&gt;"")+('Dvd Calendar'!$Z$808=SPECIAL_LBL)*(INC_SPECIALS="Y"))=0,"",'Dvd Calendar'!$Z$806)))</f>
        <v/>
      </c>
      <c r="Y84" s="161">
        <f>IF(FA84="","",IF(ISNUMBER('Dvd Calendar'!$AA$806)=FALSE,"",IF((('Dvd Calendar'!$AA$808=TYPE1)*(TYPE1&lt;&gt;"")+('Dvd Calendar'!$AA$808=TYPE2)*(TYPE2&lt;&gt;"")+('Dvd Calendar'!$AA$808=TYPE3)*(TYPE3&lt;&gt;"")+('Dvd Calendar'!$AA$808=TYPE4)*(TYPE4&lt;&gt;"")+('Dvd Calendar'!$AA$808=SPECIAL_LBL)*(INC_SPECIALS="Y"))=0,"",'Dvd Calendar'!$AA$806)))</f>
        <v/>
      </c>
      <c r="Z84" s="161">
        <f>IF(FB84="","",IF(ISNUMBER('Dvd Calendar'!$AB$806)=FALSE,"",IF((('Dvd Calendar'!$AB$808=TYPE1)*(TYPE1&lt;&gt;"")+('Dvd Calendar'!$AB$808=TYPE2)*(TYPE2&lt;&gt;"")+('Dvd Calendar'!$AB$808=TYPE3)*(TYPE3&lt;&gt;"")+('Dvd Calendar'!$AB$808=TYPE4)*(TYPE4&lt;&gt;"")+('Dvd Calendar'!$AB$808=SPECIAL_LBL)*(INC_SPECIALS="Y"))=0,"",'Dvd Calendar'!$AB$806)))</f>
        <v/>
      </c>
      <c r="AA84" s="161">
        <f>IF(FC84="","",IF(ISNUMBER('Dvd Calendar'!$AC$806)=FALSE,"",IF((('Dvd Calendar'!$AC$808=TYPE1)*(TYPE1&lt;&gt;"")+('Dvd Calendar'!$AC$808=TYPE2)*(TYPE2&lt;&gt;"")+('Dvd Calendar'!$AC$808=TYPE3)*(TYPE3&lt;&gt;"")+('Dvd Calendar'!$AC$808=TYPE4)*(TYPE4&lt;&gt;"")+('Dvd Calendar'!$AC$808=SPECIAL_LBL)*(INC_SPECIALS="Y"))=0,"",'Dvd Calendar'!$AC$806)))</f>
        <v/>
      </c>
      <c r="AB84" s="161">
        <f>IF(FD84="","",IF(ISNUMBER('Dvd Calendar'!$AD$806)=FALSE,"",IF((('Dvd Calendar'!$AD$808=TYPE1)*(TYPE1&lt;&gt;"")+('Dvd Calendar'!$AD$808=TYPE2)*(TYPE2&lt;&gt;"")+('Dvd Calendar'!$AD$808=TYPE3)*(TYPE3&lt;&gt;"")+('Dvd Calendar'!$AD$808=TYPE4)*(TYPE4&lt;&gt;"")+('Dvd Calendar'!$AD$808=SPECIAL_LBL)*(INC_SPECIALS="Y"))=0,"",'Dvd Calendar'!$AD$806)))</f>
        <v/>
      </c>
      <c r="AC84" s="161">
        <f>IF(FE84="","",IF(ISNUMBER('Dvd Calendar'!$AE$806)=FALSE,"",IF((('Dvd Calendar'!$AE$808=TYPE1)*(TYPE1&lt;&gt;"")+('Dvd Calendar'!$AE$808=TYPE2)*(TYPE2&lt;&gt;"")+('Dvd Calendar'!$AE$808=TYPE3)*(TYPE3&lt;&gt;"")+('Dvd Calendar'!$AE$808=TYPE4)*(TYPE4&lt;&gt;"")+('Dvd Calendar'!$AE$808=SPECIAL_LBL)*(INC_SPECIALS="Y"))=0,"",'Dvd Calendar'!$AE$806)))</f>
        <v/>
      </c>
      <c r="AD84" s="161">
        <f>IF(FF84="","",IF(ISNUMBER('Dvd Calendar'!$AF$806)=FALSE,"",IF((('Dvd Calendar'!$AF$808=TYPE1)*(TYPE1&lt;&gt;"")+('Dvd Calendar'!$AF$808=TYPE2)*(TYPE2&lt;&gt;"")+('Dvd Calendar'!$AF$808=TYPE3)*(TYPE3&lt;&gt;"")+('Dvd Calendar'!$AF$808=TYPE4)*(TYPE4&lt;&gt;"")+('Dvd Calendar'!$AF$808=SPECIAL_LBL)*(INC_SPECIALS="Y"))=0,"",'Dvd Calendar'!$AF$806)))</f>
        <v/>
      </c>
      <c r="AE84" s="161">
        <f>IF(FG84="","",IF(ISNUMBER('Dvd Calendar'!$AG$806)=FALSE,"",IF((('Dvd Calendar'!$AG$808=TYPE1)*(TYPE1&lt;&gt;"")+('Dvd Calendar'!$AG$808=TYPE2)*(TYPE2&lt;&gt;"")+('Dvd Calendar'!$AG$808=TYPE3)*(TYPE3&lt;&gt;"")+('Dvd Calendar'!$AG$808=TYPE4)*(TYPE4&lt;&gt;"")+('Dvd Calendar'!$AG$808=SPECIAL_LBL)*(INC_SPECIALS="Y"))=0,"",'Dvd Calendar'!$AG$806)))</f>
        <v/>
      </c>
      <c r="AF84" s="161">
        <f>IF(FH84="","",IF(ISNUMBER('Dvd Calendar'!$AH$806)=FALSE,"",IF((('Dvd Calendar'!$AH$808=TYPE1)*(TYPE1&lt;&gt;"")+('Dvd Calendar'!$AH$808=TYPE2)*(TYPE2&lt;&gt;"")+('Dvd Calendar'!$AH$808=TYPE3)*(TYPE3&lt;&gt;"")+('Dvd Calendar'!$AH$808=TYPE4)*(TYPE4&lt;&gt;"")+('Dvd Calendar'!$AH$808=SPECIAL_LBL)*(INC_SPECIALS="Y"))=0,"",'Dvd Calendar'!$AH$806)))</f>
        <v/>
      </c>
      <c r="AG84" s="161">
        <f>IF(FI84="","",IF(ISNUMBER('Dvd Calendar'!$AI$806)=FALSE,"",IF((('Dvd Calendar'!$AI$808=TYPE1)*(TYPE1&lt;&gt;"")+('Dvd Calendar'!$AI$808=TYPE2)*(TYPE2&lt;&gt;"")+('Dvd Calendar'!$AI$808=TYPE3)*(TYPE3&lt;&gt;"")+('Dvd Calendar'!$AI$808=TYPE4)*(TYPE4&lt;&gt;"")+('Dvd Calendar'!$AI$808=SPECIAL_LBL)*(INC_SPECIALS="Y"))=0,"",'Dvd Calendar'!$AI$806)))</f>
        <v/>
      </c>
      <c r="AH84" s="161">
        <f>IF(FJ84="","",IF(ISNUMBER('Dvd Calendar'!$AJ$806)=FALSE,"",IF((('Dvd Calendar'!$AJ$808=TYPE1)*(TYPE1&lt;&gt;"")+('Dvd Calendar'!$AJ$808=TYPE2)*(TYPE2&lt;&gt;"")+('Dvd Calendar'!$AJ$808=TYPE3)*(TYPE3&lt;&gt;"")+('Dvd Calendar'!$AJ$808=TYPE4)*(TYPE4&lt;&gt;"")+('Dvd Calendar'!$AJ$808=SPECIAL_LBL)*(INC_SPECIALS="Y"))=0,"",'Dvd Calendar'!$AJ$806)))</f>
        <v/>
      </c>
      <c r="AI84" s="161">
        <f>IF(FK84="","",IF(ISNUMBER('Dvd Calendar'!$AK$806)=FALSE,"",IF((('Dvd Calendar'!$AK$808=TYPE1)*(TYPE1&lt;&gt;"")+('Dvd Calendar'!$AK$808=TYPE2)*(TYPE2&lt;&gt;"")+('Dvd Calendar'!$AK$808=TYPE3)*(TYPE3&lt;&gt;"")+('Dvd Calendar'!$AK$808=TYPE4)*(TYPE4&lt;&gt;"")+('Dvd Calendar'!$AK$808=SPECIAL_LBL)*(INC_SPECIALS="Y"))=0,"",'Dvd Calendar'!$AK$806)))</f>
        <v/>
      </c>
      <c r="AJ84" s="161">
        <f>IF(FL84="","",IF(ISNUMBER('Dvd Calendar'!$AL$806)=FALSE,"",IF((('Dvd Calendar'!$AL$808=TYPE1)*(TYPE1&lt;&gt;"")+('Dvd Calendar'!$AL$808=TYPE2)*(TYPE2&lt;&gt;"")+('Dvd Calendar'!$AL$808=TYPE3)*(TYPE3&lt;&gt;"")+('Dvd Calendar'!$AL$808=TYPE4)*(TYPE4&lt;&gt;"")+('Dvd Calendar'!$AL$808=SPECIAL_LBL)*(INC_SPECIALS="Y"))=0,"",'Dvd Calendar'!$AL$806)))</f>
        <v/>
      </c>
      <c r="AK84" s="161">
        <f>IF(FM84="","",IF(ISNUMBER('Dvd Calendar'!$AM$806)=FALSE,"",IF((('Dvd Calendar'!$AM$808=TYPE1)*(TYPE1&lt;&gt;"")+('Dvd Calendar'!$AM$808=TYPE2)*(TYPE2&lt;&gt;"")+('Dvd Calendar'!$AM$808=TYPE3)*(TYPE3&lt;&gt;"")+('Dvd Calendar'!$AM$808=TYPE4)*(TYPE4&lt;&gt;"")+('Dvd Calendar'!$AM$808=SPECIAL_LBL)*(INC_SPECIALS="Y"))=0,"",'Dvd Calendar'!$AM$806)))</f>
        <v/>
      </c>
      <c r="AL84" s="161">
        <f>IF(FN84="","",IF(ISNUMBER('Dvd Calendar'!$AN$806)=FALSE,"",IF((('Dvd Calendar'!$AN$808=TYPE1)*(TYPE1&lt;&gt;"")+('Dvd Calendar'!$AN$808=TYPE2)*(TYPE2&lt;&gt;"")+('Dvd Calendar'!$AN$808=TYPE3)*(TYPE3&lt;&gt;"")+('Dvd Calendar'!$AN$808=TYPE4)*(TYPE4&lt;&gt;"")+('Dvd Calendar'!$AN$808=SPECIAL_LBL)*(INC_SPECIALS="Y"))=0,"",'Dvd Calendar'!$AN$806)))</f>
        <v/>
      </c>
      <c r="AM84" s="161">
        <f>IF(FO84="","",IF(ISNUMBER('Dvd Calendar'!$AO$806)=FALSE,"",IF((('Dvd Calendar'!$AO$808=TYPE1)*(TYPE1&lt;&gt;"")+('Dvd Calendar'!$AO$808=TYPE2)*(TYPE2&lt;&gt;"")+('Dvd Calendar'!$AO$808=TYPE3)*(TYPE3&lt;&gt;"")+('Dvd Calendar'!$AO$808=TYPE4)*(TYPE4&lt;&gt;"")+('Dvd Calendar'!$AO$808=SPECIAL_LBL)*(INC_SPECIALS="Y"))=0,"",'Dvd Calendar'!$AO$806)))</f>
        <v/>
      </c>
      <c r="AN84" s="161">
        <f>IF(FP84="","",IF(ISNUMBER('Dvd Calendar'!$AP$806)=FALSE,"",IF((('Dvd Calendar'!$AP$808=TYPE1)*(TYPE1&lt;&gt;"")+('Dvd Calendar'!$AP$808=TYPE2)*(TYPE2&lt;&gt;"")+('Dvd Calendar'!$AP$808=TYPE3)*(TYPE3&lt;&gt;"")+('Dvd Calendar'!$AP$808=TYPE4)*(TYPE4&lt;&gt;"")+('Dvd Calendar'!$AP$808=SPECIAL_LBL)*(INC_SPECIALS="Y"))=0,"",'Dvd Calendar'!$AP$806)))</f>
        <v/>
      </c>
      <c r="AO84" s="161">
        <f>IF(FQ84="","",IF(ISNUMBER('Dvd Calendar'!$AQ$806)=FALSE,"",IF((('Dvd Calendar'!$AQ$808=TYPE1)*(TYPE1&lt;&gt;"")+('Dvd Calendar'!$AQ$808=TYPE2)*(TYPE2&lt;&gt;"")+('Dvd Calendar'!$AQ$808=TYPE3)*(TYPE3&lt;&gt;"")+('Dvd Calendar'!$AQ$808=TYPE4)*(TYPE4&lt;&gt;"")+('Dvd Calendar'!$AQ$808=SPECIAL_LBL)*(INC_SPECIALS="Y"))=0,"",'Dvd Calendar'!$AQ$806)))</f>
        <v/>
      </c>
      <c r="AP84" s="161">
        <f>IF(FR84="","",IF(ISNUMBER('Dvd Calendar'!$AR$806)=FALSE,"",IF((('Dvd Calendar'!$AR$808=TYPE1)*(TYPE1&lt;&gt;"")+('Dvd Calendar'!$AR$808=TYPE2)*(TYPE2&lt;&gt;"")+('Dvd Calendar'!$AR$808=TYPE3)*(TYPE3&lt;&gt;"")+('Dvd Calendar'!$AR$808=TYPE4)*(TYPE4&lt;&gt;"")+('Dvd Calendar'!$AR$808=SPECIAL_LBL)*(INC_SPECIALS="Y"))=0,"",'Dvd Calendar'!$AR$806)))</f>
        <v/>
      </c>
      <c r="AQ84" s="161">
        <f>IF(FS84="","",IF(ISNUMBER('Dvd Calendar'!$E$811)=FALSE,"",'Dvd Calendar'!$E$811))</f>
        <v/>
      </c>
      <c r="AR84" s="161">
        <f>IF(FT84="","",IF(ISNUMBER('Dvd Calendar'!$F$811)=FALSE,"",'Dvd Calendar'!$F$811))</f>
        <v/>
      </c>
      <c r="AS84" s="161">
        <f>IF(FU84="","",IF(ISNUMBER('Dvd Calendar'!$G$811)=FALSE,"",'Dvd Calendar'!$G$811))</f>
        <v/>
      </c>
      <c r="AT84" s="161">
        <f>IF(FV84="","",IF(ISNUMBER('Dvd Calendar'!$H$811)=FALSE,"",'Dvd Calendar'!$H$811))</f>
        <v/>
      </c>
      <c r="AU84" s="161">
        <f>IF(FW84="","",IF(ISNUMBER('Dvd Calendar'!$I$811)=FALSE,"",'Dvd Calendar'!$I$811))</f>
        <v/>
      </c>
      <c r="AV84" s="161">
        <f>IF(FX84="","",IF(ISNUMBER('Dvd Calendar'!$J$811)=FALSE,"",'Dvd Calendar'!$J$811))</f>
        <v/>
      </c>
      <c r="AW84" s="161">
        <f>IF(FY84="","",IF(ISNUMBER('Dvd Calendar'!$K$811)=FALSE,"",'Dvd Calendar'!$K$811))</f>
        <v/>
      </c>
      <c r="AX84" s="161">
        <f>IF(FZ84="","",IF(ISNUMBER('Dvd Calendar'!$L$811)=FALSE,"",'Dvd Calendar'!$L$811))</f>
        <v/>
      </c>
      <c r="AY84" s="161">
        <f>IF(GA84="","",IF(ISNUMBER('Dvd Calendar'!$M$811)=FALSE,"",'Dvd Calendar'!$M$811))</f>
        <v/>
      </c>
      <c r="AZ84" s="161">
        <f>IF(GB84="","",IF(ISNUMBER('Dvd Calendar'!$N$811)=FALSE,"",'Dvd Calendar'!$N$811))</f>
        <v/>
      </c>
      <c r="BA84" s="161">
        <f>IF(GC84="","",IF(ISNUMBER('Dvd Calendar'!$O$811)=FALSE,"",'Dvd Calendar'!$O$811))</f>
        <v/>
      </c>
      <c r="BB84" s="161">
        <f>IF(GD84="","",IF(ISNUMBER('Dvd Calendar'!$P$811)=FALSE,"",'Dvd Calendar'!$P$811))</f>
        <v/>
      </c>
      <c r="BC84" s="161">
        <f>IF(GE84="","",IF(ISNUMBER('Dvd Calendar'!$Q$811)=FALSE,"",'Dvd Calendar'!$Q$811))</f>
        <v/>
      </c>
      <c r="BD84" s="161">
        <f>IF(GF84="","",IF(ISNUMBER('Dvd Calendar'!$R$811)=FALSE,"",'Dvd Calendar'!$R$811))</f>
        <v/>
      </c>
      <c r="BE84" s="161">
        <f>IF(GG84="","",IF(ISNUMBER('Dvd Calendar'!$S$811)=FALSE,"",'Dvd Calendar'!$S$811))</f>
        <v/>
      </c>
      <c r="BF84" s="161">
        <f>IF(GH84="","",IF(ISNUMBER('Dvd Calendar'!$T$811)=FALSE,"",'Dvd Calendar'!$T$811))</f>
        <v/>
      </c>
      <c r="BG84" s="161">
        <f>IF(GI84="","",IF(ISNUMBER('Dvd Calendar'!$U$811)=FALSE,"",'Dvd Calendar'!$U$811))</f>
        <v/>
      </c>
      <c r="BH84" s="161">
        <f>IF(GJ84="","",IF(ISNUMBER('Dvd Calendar'!$V$811)=FALSE,"",'Dvd Calendar'!$V$811))</f>
        <v/>
      </c>
      <c r="BI84" s="161">
        <f>IF(GK84="","",IF(ISNUMBER('Dvd Calendar'!$W$811)=FALSE,"",'Dvd Calendar'!$W$811))</f>
        <v/>
      </c>
      <c r="BJ84" s="161">
        <f>IF(GL84="","",IF(ISNUMBER('Dvd Calendar'!$X$811)=FALSE,"",'Dvd Calendar'!$X$811))</f>
        <v/>
      </c>
      <c r="BK84" s="161">
        <f>IF(GM84="","",IF(ISNUMBER('Dvd Calendar'!$Y$811)=FALSE,"",'Dvd Calendar'!$Y$811))</f>
        <v/>
      </c>
      <c r="BL84" s="161">
        <f>IF(GN84="","",IF(ISNUMBER('Dvd Calendar'!$Z$811)=FALSE,"",'Dvd Calendar'!$Z$811))</f>
        <v/>
      </c>
      <c r="BM84" s="161">
        <f>IF(GO84="","",IF(ISNUMBER('Dvd Calendar'!$AA$811)=FALSE,"",'Dvd Calendar'!$AA$811))</f>
        <v/>
      </c>
      <c r="BN84" s="161">
        <f>IF(GP84="","",IF(ISNUMBER('Dvd Calendar'!$AB$811)=FALSE,"",'Dvd Calendar'!$AB$811))</f>
        <v/>
      </c>
      <c r="BO84" s="161">
        <f>IF(GQ84="","",IF(ISNUMBER('Dvd Calendar'!$AC$811)=FALSE,"",'Dvd Calendar'!$AC$811))</f>
        <v/>
      </c>
      <c r="BQ84" s="161">
        <f>IF(C84="","",IFERROR(C84*HSI!$B$79*HSI!$G$79/HSI!$B$3,""))</f>
        <v/>
      </c>
      <c r="BR84" s="161">
        <f>IF(D84="","",IFERROR(D84*HSI!$B$79*HSI!$G$79/HSI!$B$3,""))</f>
        <v/>
      </c>
      <c r="BS84" s="161">
        <f>IF(E84="","",IFERROR(E84*HSI!$B$79*HSI!$G$79/HSI!$B$3,""))</f>
        <v/>
      </c>
      <c r="BT84" s="161">
        <f>IF(F84="","",IFERROR(F84*HSI!$B$79*HSI!$G$79/HSI!$B$3,""))</f>
        <v/>
      </c>
      <c r="BU84" s="161">
        <f>IF(G84="","",IFERROR(G84*HSI!$B$79*HSI!$G$79/HSI!$B$3,""))</f>
        <v/>
      </c>
      <c r="BV84" s="161">
        <f>IF(H84="","",IFERROR(H84*HSI!$B$79*HSI!$G$79/HSI!$B$3,""))</f>
        <v/>
      </c>
      <c r="BW84" s="161">
        <f>IF(I84="","",IFERROR(I84*HSI!$B$79*HSI!$G$79/HSI!$B$3,""))</f>
        <v/>
      </c>
      <c r="BX84" s="161">
        <f>IF(J84="","",IFERROR(J84*HSI!$B$79*HSI!$G$79/HSI!$B$3,""))</f>
        <v/>
      </c>
      <c r="BY84" s="161">
        <f>IF(K84="","",IFERROR(K84*HSI!$B$79*HSI!$G$79/HSI!$B$3,""))</f>
        <v/>
      </c>
      <c r="BZ84" s="161">
        <f>IF(L84="","",IFERROR(L84*HSI!$B$79*HSI!$G$79/HSI!$B$3,""))</f>
        <v/>
      </c>
      <c r="CA84" s="161">
        <f>IF(M84="","",IFERROR(M84*HSI!$B$79*HSI!$G$79/HSI!$B$3,""))</f>
        <v/>
      </c>
      <c r="CB84" s="161">
        <f>IF(N84="","",IFERROR(N84*HSI!$B$79*HSI!$G$79/HSI!$B$3,""))</f>
        <v/>
      </c>
      <c r="CC84" s="161">
        <f>IF(O84="","",IFERROR(O84*HSI!$B$79*HSI!$G$79/HSI!$B$3,""))</f>
        <v/>
      </c>
      <c r="CD84" s="161">
        <f>IF(P84="","",IFERROR(P84*HSI!$B$79*HSI!$G$79/HSI!$B$3,""))</f>
        <v/>
      </c>
      <c r="CE84" s="161">
        <f>IF(Q84="","",IFERROR(Q84*HSI!$B$79*HSI!$G$79/HSI!$B$3,""))</f>
        <v/>
      </c>
      <c r="CF84" s="161">
        <f>IF(R84="","",IFERROR(R84*HSI!$B$79*HSI!$G$79/HSI!$B$3,""))</f>
        <v/>
      </c>
      <c r="CG84" s="161">
        <f>IF(S84="","",IFERROR(S84*HSI!$B$79*HSI!$G$79/HSI!$B$3,""))</f>
        <v/>
      </c>
      <c r="CH84" s="161">
        <f>IF(T84="","",IFERROR(T84*HSI!$B$79*HSI!$G$79/HSI!$B$3,""))</f>
        <v/>
      </c>
      <c r="CI84" s="161">
        <f>IF(U84="","",IFERROR(U84*HSI!$B$79*HSI!$G$79/HSI!$B$3,""))</f>
        <v/>
      </c>
      <c r="CJ84" s="161">
        <f>IF(V84="","",IFERROR(V84*HSI!$B$79*HSI!$G$79/HSI!$B$3,""))</f>
        <v/>
      </c>
      <c r="CK84" s="161">
        <f>IF(W84="","",IFERROR(W84*HSI!$B$79*HSI!$G$79/HSI!$B$3,""))</f>
        <v/>
      </c>
      <c r="CL84" s="161">
        <f>IF(X84="","",IFERROR(X84*HSI!$B$79*HSI!$G$79/HSI!$B$3,""))</f>
        <v/>
      </c>
      <c r="CM84" s="161">
        <f>IF(Y84="","",IFERROR(Y84*HSI!$B$79*HSI!$G$79/HSI!$B$3,""))</f>
        <v/>
      </c>
      <c r="CN84" s="161">
        <f>IF(Z84="","",IFERROR(Z84*HSI!$B$79*HSI!$G$79/HSI!$B$3,""))</f>
        <v/>
      </c>
      <c r="CO84" s="161">
        <f>IF(AA84="","",IFERROR(AA84*HSI!$B$79*HSI!$G$79/HSI!$B$3,""))</f>
        <v/>
      </c>
      <c r="CP84" s="161">
        <f>IF(AB84="","",IFERROR(AB84*HSI!$B$79*HSI!$G$79/HSI!$B$3,""))</f>
        <v/>
      </c>
      <c r="CQ84" s="161">
        <f>IF(AC84="","",IFERROR(AC84*HSI!$B$79*HSI!$G$79/HSI!$B$3,""))</f>
        <v/>
      </c>
      <c r="CR84" s="161">
        <f>IF(AD84="","",IFERROR(AD84*HSI!$B$79*HSI!$G$79/HSI!$B$3,""))</f>
        <v/>
      </c>
      <c r="CS84" s="161">
        <f>IF(AE84="","",IFERROR(AE84*HSI!$B$79*HSI!$G$79/HSI!$B$3,""))</f>
        <v/>
      </c>
      <c r="CT84" s="161">
        <f>IF(AF84="","",IFERROR(AF84*HSI!$B$79*HSI!$G$79/HSI!$B$3,""))</f>
        <v/>
      </c>
      <c r="CU84" s="161">
        <f>IF(AG84="","",IFERROR(AG84*HSI!$B$79*HSI!$G$79/HSI!$B$3,""))</f>
        <v/>
      </c>
      <c r="CV84" s="161">
        <f>IF(AH84="","",IFERROR(AH84*HSI!$B$79*HSI!$G$79/HSI!$B$3,""))</f>
        <v/>
      </c>
      <c r="CW84" s="161">
        <f>IF(AI84="","",IFERROR(AI84*HSI!$B$79*HSI!$G$79/HSI!$B$3,""))</f>
        <v/>
      </c>
      <c r="CX84" s="161">
        <f>IF(AJ84="","",IFERROR(AJ84*HSI!$B$79*HSI!$G$79/HSI!$B$3,""))</f>
        <v/>
      </c>
      <c r="CY84" s="161">
        <f>IF(AK84="","",IFERROR(AK84*HSI!$B$79*HSI!$G$79/HSI!$B$3,""))</f>
        <v/>
      </c>
      <c r="CZ84" s="161">
        <f>IF(AL84="","",IFERROR(AL84*HSI!$B$79*HSI!$G$79/HSI!$B$3,""))</f>
        <v/>
      </c>
      <c r="DA84" s="161">
        <f>IF(AM84="","",IFERROR(AM84*HSI!$B$79*HSI!$G$79/HSI!$B$3,""))</f>
        <v/>
      </c>
      <c r="DB84" s="161">
        <f>IF(AN84="","",IFERROR(AN84*HSI!$B$79*HSI!$G$79/HSI!$B$3,""))</f>
        <v/>
      </c>
      <c r="DC84" s="161">
        <f>IF(AO84="","",IFERROR(AO84*HSI!$B$79*HSI!$G$79/HSI!$B$3,""))</f>
        <v/>
      </c>
      <c r="DD84" s="161">
        <f>IF(AP84="","",IFERROR(AP84*HSI!$B$79*HSI!$G$79/HSI!$B$3,""))</f>
        <v/>
      </c>
      <c r="DE84" s="161">
        <f>IF(AQ84="","",IFERROR(AQ84*HSI!$B$79*HSI!$G$79/HSI!$B$3,""))</f>
        <v/>
      </c>
      <c r="DF84" s="161">
        <f>IF(AR84="","",IFERROR(AR84*HSI!$B$79*HSI!$G$79/HSI!$B$3,""))</f>
        <v/>
      </c>
      <c r="DG84" s="161">
        <f>IF(AS84="","",IFERROR(AS84*HSI!$B$79*HSI!$G$79/HSI!$B$3,""))</f>
        <v/>
      </c>
      <c r="DH84" s="161">
        <f>IF(AT84="","",IFERROR(AT84*HSI!$B$79*HSI!$G$79/HSI!$B$3,""))</f>
        <v/>
      </c>
      <c r="DI84" s="161">
        <f>IF(AU84="","",IFERROR(AU84*HSI!$B$79*HSI!$G$79/HSI!$B$3,""))</f>
        <v/>
      </c>
      <c r="DJ84" s="161">
        <f>IF(AV84="","",IFERROR(AV84*HSI!$B$79*HSI!$G$79/HSI!$B$3,""))</f>
        <v/>
      </c>
      <c r="DK84" s="161">
        <f>IF(AW84="","",IFERROR(AW84*HSI!$B$79*HSI!$G$79/HSI!$B$3,""))</f>
        <v/>
      </c>
      <c r="DL84" s="161">
        <f>IF(AX84="","",IFERROR(AX84*HSI!$B$79*HSI!$G$79/HSI!$B$3,""))</f>
        <v/>
      </c>
      <c r="DM84" s="161">
        <f>IF(AY84="","",IFERROR(AY84*HSI!$B$79*HSI!$G$79/HSI!$B$3,""))</f>
        <v/>
      </c>
      <c r="DN84" s="161">
        <f>IF(AZ84="","",IFERROR(AZ84*HSI!$B$79*HSI!$G$79/HSI!$B$3,""))</f>
        <v/>
      </c>
      <c r="DO84" s="161">
        <f>IF(BA84="","",IFERROR(BA84*HSI!$B$79*HSI!$G$79/HSI!$B$3,""))</f>
        <v/>
      </c>
      <c r="DP84" s="161">
        <f>IF(BB84="","",IFERROR(BB84*HSI!$B$79*HSI!$G$79/HSI!$B$3,""))</f>
        <v/>
      </c>
      <c r="DQ84" s="161">
        <f>IF(BC84="","",IFERROR(BC84*HSI!$B$79*HSI!$G$79/HSI!$B$3,""))</f>
        <v/>
      </c>
      <c r="DR84" s="161">
        <f>IF(BD84="","",IFERROR(BD84*HSI!$B$79*HSI!$G$79/HSI!$B$3,""))</f>
        <v/>
      </c>
      <c r="DS84" s="161">
        <f>IF(BE84="","",IFERROR(BE84*HSI!$B$79*HSI!$G$79/HSI!$B$3,""))</f>
        <v/>
      </c>
      <c r="DT84" s="161">
        <f>IF(BF84="","",IFERROR(BF84*HSI!$B$79*HSI!$G$79/HSI!$B$3,""))</f>
        <v/>
      </c>
      <c r="DU84" s="161">
        <f>IF(BG84="","",IFERROR(BG84*HSI!$B$79*HSI!$G$79/HSI!$B$3,""))</f>
        <v/>
      </c>
      <c r="DV84" s="161">
        <f>IF(BH84="","",IFERROR(BH84*HSI!$B$79*HSI!$G$79/HSI!$B$3,""))</f>
        <v/>
      </c>
      <c r="DW84" s="161">
        <f>IF(BI84="","",IFERROR(BI84*HSI!$B$79*HSI!$G$79/HSI!$B$3,""))</f>
        <v/>
      </c>
      <c r="DX84" s="161">
        <f>IF(BJ84="","",IFERROR(BJ84*HSI!$B$79*HSI!$G$79/HSI!$B$3,""))</f>
        <v/>
      </c>
      <c r="DY84" s="161">
        <f>IF(BK84="","",IFERROR(BK84*HSI!$B$79*HSI!$G$79/HSI!$B$3,""))</f>
        <v/>
      </c>
      <c r="DZ84" s="161">
        <f>IF(BL84="","",IFERROR(BL84*HSI!$B$79*HSI!$G$79/HSI!$B$3,""))</f>
        <v/>
      </c>
      <c r="EA84" s="161">
        <f>IF(BM84="","",IFERROR(BM84*HSI!$B$79*HSI!$G$79/HSI!$B$3,""))</f>
        <v/>
      </c>
      <c r="EB84" s="161">
        <f>IF(BN84="","",IFERROR(BN84*HSI!$B$79*HSI!$G$79/HSI!$B$3,""))</f>
        <v/>
      </c>
      <c r="EC84" s="161">
        <f>IF(BO84="","",IFERROR(BO84*HSI!$B$79*HSI!$G$79/HSI!$B$3,""))</f>
        <v/>
      </c>
      <c r="EE84" s="121">
        <f>IF(N('Dvd Calendar'!$E$803)=0,"",IF(('Dvd Calendar'!$E$803&gt;=GRID_FROM)*('Dvd Calendar'!$E$803&lt;=GRID_TO)*((('Dvd Calendar'!$E$803&lt;=VAL_DATE)+(COUNTIF('Dvd Calendar'!$E$810:$AR$810,'Dvd Calendar'!$E$803)=0))&gt;0)=0,"",'Dvd Calendar'!$E$803*1000000000+ISNUMBER('Dvd Calendar'!$E$806)*100000000+('Dvd Calendar'!$E$808=SPECIAL_LBL)*10000000+(N('Dvd Calendar'!$E$802)&gt;0)*(N('Dvd Calendar'!$E$802)&lt;=VAL_SERIAL)*1000000+73*1000+1))</f>
        <v/>
      </c>
      <c r="EF84" s="121">
        <f>IF(N('Dvd Calendar'!$F$803)=0,"",IF(('Dvd Calendar'!$F$803&gt;=GRID_FROM)*('Dvd Calendar'!$F$803&lt;=GRID_TO)*((('Dvd Calendar'!$F$803&lt;=VAL_DATE)+(COUNTIF('Dvd Calendar'!$E$810:$AR$810,'Dvd Calendar'!$F$803)=0))&gt;0)=0,"",'Dvd Calendar'!$F$803*1000000000+ISNUMBER('Dvd Calendar'!$F$806)*100000000+('Dvd Calendar'!$F$808=SPECIAL_LBL)*10000000+(N('Dvd Calendar'!$F$802)&gt;0)*(N('Dvd Calendar'!$F$802)&lt;=VAL_SERIAL)*1000000+73*1000+2))</f>
        <v/>
      </c>
      <c r="EG84" s="121">
        <f>IF(N('Dvd Calendar'!$G$803)=0,"",IF(('Dvd Calendar'!$G$803&gt;=GRID_FROM)*('Dvd Calendar'!$G$803&lt;=GRID_TO)*((('Dvd Calendar'!$G$803&lt;=VAL_DATE)+(COUNTIF('Dvd Calendar'!$E$810:$AR$810,'Dvd Calendar'!$G$803)=0))&gt;0)=0,"",'Dvd Calendar'!$G$803*1000000000+ISNUMBER('Dvd Calendar'!$G$806)*100000000+('Dvd Calendar'!$G$808=SPECIAL_LBL)*10000000+(N('Dvd Calendar'!$G$802)&gt;0)*(N('Dvd Calendar'!$G$802)&lt;=VAL_SERIAL)*1000000+73*1000+3))</f>
        <v/>
      </c>
      <c r="EH84" s="121">
        <f>IF(N('Dvd Calendar'!$H$803)=0,"",IF(('Dvd Calendar'!$H$803&gt;=GRID_FROM)*('Dvd Calendar'!$H$803&lt;=GRID_TO)*((('Dvd Calendar'!$H$803&lt;=VAL_DATE)+(COUNTIF('Dvd Calendar'!$E$810:$AR$810,'Dvd Calendar'!$H$803)=0))&gt;0)=0,"",'Dvd Calendar'!$H$803*1000000000+ISNUMBER('Dvd Calendar'!$H$806)*100000000+('Dvd Calendar'!$H$808=SPECIAL_LBL)*10000000+(N('Dvd Calendar'!$H$802)&gt;0)*(N('Dvd Calendar'!$H$802)&lt;=VAL_SERIAL)*1000000+73*1000+4))</f>
        <v/>
      </c>
      <c r="EI84" s="121">
        <f>IF(N('Dvd Calendar'!$I$803)=0,"",IF(('Dvd Calendar'!$I$803&gt;=GRID_FROM)*('Dvd Calendar'!$I$803&lt;=GRID_TO)*((('Dvd Calendar'!$I$803&lt;=VAL_DATE)+(COUNTIF('Dvd Calendar'!$E$810:$AR$810,'Dvd Calendar'!$I$803)=0))&gt;0)=0,"",'Dvd Calendar'!$I$803*1000000000+ISNUMBER('Dvd Calendar'!$I$806)*100000000+('Dvd Calendar'!$I$808=SPECIAL_LBL)*10000000+(N('Dvd Calendar'!$I$802)&gt;0)*(N('Dvd Calendar'!$I$802)&lt;=VAL_SERIAL)*1000000+73*1000+5))</f>
        <v/>
      </c>
      <c r="EJ84" s="121">
        <f>IF(N('Dvd Calendar'!$J$803)=0,"",IF(('Dvd Calendar'!$J$803&gt;=GRID_FROM)*('Dvd Calendar'!$J$803&lt;=GRID_TO)*((('Dvd Calendar'!$J$803&lt;=VAL_DATE)+(COUNTIF('Dvd Calendar'!$E$810:$AR$810,'Dvd Calendar'!$J$803)=0))&gt;0)=0,"",'Dvd Calendar'!$J$803*1000000000+ISNUMBER('Dvd Calendar'!$J$806)*100000000+('Dvd Calendar'!$J$808=SPECIAL_LBL)*10000000+(N('Dvd Calendar'!$J$802)&gt;0)*(N('Dvd Calendar'!$J$802)&lt;=VAL_SERIAL)*1000000+73*1000+6))</f>
        <v/>
      </c>
      <c r="EK84" s="121">
        <f>IF(N('Dvd Calendar'!$K$803)=0,"",IF(('Dvd Calendar'!$K$803&gt;=GRID_FROM)*('Dvd Calendar'!$K$803&lt;=GRID_TO)*((('Dvd Calendar'!$K$803&lt;=VAL_DATE)+(COUNTIF('Dvd Calendar'!$E$810:$AR$810,'Dvd Calendar'!$K$803)=0))&gt;0)=0,"",'Dvd Calendar'!$K$803*1000000000+ISNUMBER('Dvd Calendar'!$K$806)*100000000+('Dvd Calendar'!$K$808=SPECIAL_LBL)*10000000+(N('Dvd Calendar'!$K$802)&gt;0)*(N('Dvd Calendar'!$K$802)&lt;=VAL_SERIAL)*1000000+73*1000+7))</f>
        <v/>
      </c>
      <c r="EL84" s="121">
        <f>IF(N('Dvd Calendar'!$L$803)=0,"",IF(('Dvd Calendar'!$L$803&gt;=GRID_FROM)*('Dvd Calendar'!$L$803&lt;=GRID_TO)*((('Dvd Calendar'!$L$803&lt;=VAL_DATE)+(COUNTIF('Dvd Calendar'!$E$810:$AR$810,'Dvd Calendar'!$L$803)=0))&gt;0)=0,"",'Dvd Calendar'!$L$803*1000000000+ISNUMBER('Dvd Calendar'!$L$806)*100000000+('Dvd Calendar'!$L$808=SPECIAL_LBL)*10000000+(N('Dvd Calendar'!$L$802)&gt;0)*(N('Dvd Calendar'!$L$802)&lt;=VAL_SERIAL)*1000000+73*1000+8))</f>
        <v/>
      </c>
      <c r="EM84" s="121">
        <f>IF(N('Dvd Calendar'!$M$803)=0,"",IF(('Dvd Calendar'!$M$803&gt;=GRID_FROM)*('Dvd Calendar'!$M$803&lt;=GRID_TO)*((('Dvd Calendar'!$M$803&lt;=VAL_DATE)+(COUNTIF('Dvd Calendar'!$E$810:$AR$810,'Dvd Calendar'!$M$803)=0))&gt;0)=0,"",'Dvd Calendar'!$M$803*1000000000+ISNUMBER('Dvd Calendar'!$M$806)*100000000+('Dvd Calendar'!$M$808=SPECIAL_LBL)*10000000+(N('Dvd Calendar'!$M$802)&gt;0)*(N('Dvd Calendar'!$M$802)&lt;=VAL_SERIAL)*1000000+73*1000+9))</f>
        <v/>
      </c>
      <c r="EN84" s="121">
        <f>IF(N('Dvd Calendar'!$N$803)=0,"",IF(('Dvd Calendar'!$N$803&gt;=GRID_FROM)*('Dvd Calendar'!$N$803&lt;=GRID_TO)*((('Dvd Calendar'!$N$803&lt;=VAL_DATE)+(COUNTIF('Dvd Calendar'!$E$810:$AR$810,'Dvd Calendar'!$N$803)=0))&gt;0)=0,"",'Dvd Calendar'!$N$803*1000000000+ISNUMBER('Dvd Calendar'!$N$806)*100000000+('Dvd Calendar'!$N$808=SPECIAL_LBL)*10000000+(N('Dvd Calendar'!$N$802)&gt;0)*(N('Dvd Calendar'!$N$802)&lt;=VAL_SERIAL)*1000000+73*1000+10))</f>
        <v/>
      </c>
      <c r="EO84" s="121">
        <f>IF(N('Dvd Calendar'!$O$803)=0,"",IF(('Dvd Calendar'!$O$803&gt;=GRID_FROM)*('Dvd Calendar'!$O$803&lt;=GRID_TO)*((('Dvd Calendar'!$O$803&lt;=VAL_DATE)+(COUNTIF('Dvd Calendar'!$E$810:$AR$810,'Dvd Calendar'!$O$803)=0))&gt;0)=0,"",'Dvd Calendar'!$O$803*1000000000+ISNUMBER('Dvd Calendar'!$O$806)*100000000+('Dvd Calendar'!$O$808=SPECIAL_LBL)*10000000+(N('Dvd Calendar'!$O$802)&gt;0)*(N('Dvd Calendar'!$O$802)&lt;=VAL_SERIAL)*1000000+73*1000+11))</f>
        <v/>
      </c>
      <c r="EP84" s="121">
        <f>IF(N('Dvd Calendar'!$P$803)=0,"",IF(('Dvd Calendar'!$P$803&gt;=GRID_FROM)*('Dvd Calendar'!$P$803&lt;=GRID_TO)*((('Dvd Calendar'!$P$803&lt;=VAL_DATE)+(COUNTIF('Dvd Calendar'!$E$810:$AR$810,'Dvd Calendar'!$P$803)=0))&gt;0)=0,"",'Dvd Calendar'!$P$803*1000000000+ISNUMBER('Dvd Calendar'!$P$806)*100000000+('Dvd Calendar'!$P$808=SPECIAL_LBL)*10000000+(N('Dvd Calendar'!$P$802)&gt;0)*(N('Dvd Calendar'!$P$802)&lt;=VAL_SERIAL)*1000000+73*1000+12))</f>
        <v/>
      </c>
      <c r="EQ84" s="121">
        <f>IF(N('Dvd Calendar'!$Q$803)=0,"",IF(('Dvd Calendar'!$Q$803&gt;=GRID_FROM)*('Dvd Calendar'!$Q$803&lt;=GRID_TO)*((('Dvd Calendar'!$Q$803&lt;=VAL_DATE)+(COUNTIF('Dvd Calendar'!$E$810:$AR$810,'Dvd Calendar'!$Q$803)=0))&gt;0)=0,"",'Dvd Calendar'!$Q$803*1000000000+ISNUMBER('Dvd Calendar'!$Q$806)*100000000+('Dvd Calendar'!$Q$808=SPECIAL_LBL)*10000000+(N('Dvd Calendar'!$Q$802)&gt;0)*(N('Dvd Calendar'!$Q$802)&lt;=VAL_SERIAL)*1000000+73*1000+13))</f>
        <v/>
      </c>
      <c r="ER84" s="121">
        <f>IF(N('Dvd Calendar'!$R$803)=0,"",IF(('Dvd Calendar'!$R$803&gt;=GRID_FROM)*('Dvd Calendar'!$R$803&lt;=GRID_TO)*((('Dvd Calendar'!$R$803&lt;=VAL_DATE)+(COUNTIF('Dvd Calendar'!$E$810:$AR$810,'Dvd Calendar'!$R$803)=0))&gt;0)=0,"",'Dvd Calendar'!$R$803*1000000000+ISNUMBER('Dvd Calendar'!$R$806)*100000000+('Dvd Calendar'!$R$808=SPECIAL_LBL)*10000000+(N('Dvd Calendar'!$R$802)&gt;0)*(N('Dvd Calendar'!$R$802)&lt;=VAL_SERIAL)*1000000+73*1000+14))</f>
        <v/>
      </c>
      <c r="ES84" s="121">
        <f>IF(N('Dvd Calendar'!$S$803)=0,"",IF(('Dvd Calendar'!$S$803&gt;=GRID_FROM)*('Dvd Calendar'!$S$803&lt;=GRID_TO)*((('Dvd Calendar'!$S$803&lt;=VAL_DATE)+(COUNTIF('Dvd Calendar'!$E$810:$AR$810,'Dvd Calendar'!$S$803)=0))&gt;0)=0,"",'Dvd Calendar'!$S$803*1000000000+ISNUMBER('Dvd Calendar'!$S$806)*100000000+('Dvd Calendar'!$S$808=SPECIAL_LBL)*10000000+(N('Dvd Calendar'!$S$802)&gt;0)*(N('Dvd Calendar'!$S$802)&lt;=VAL_SERIAL)*1000000+73*1000+15))</f>
        <v/>
      </c>
      <c r="ET84" s="121">
        <f>IF(N('Dvd Calendar'!$T$803)=0,"",IF(('Dvd Calendar'!$T$803&gt;=GRID_FROM)*('Dvd Calendar'!$T$803&lt;=GRID_TO)*((('Dvd Calendar'!$T$803&lt;=VAL_DATE)+(COUNTIF('Dvd Calendar'!$E$810:$AR$810,'Dvd Calendar'!$T$803)=0))&gt;0)=0,"",'Dvd Calendar'!$T$803*1000000000+ISNUMBER('Dvd Calendar'!$T$806)*100000000+('Dvd Calendar'!$T$808=SPECIAL_LBL)*10000000+(N('Dvd Calendar'!$T$802)&gt;0)*(N('Dvd Calendar'!$T$802)&lt;=VAL_SERIAL)*1000000+73*1000+16))</f>
        <v/>
      </c>
      <c r="EU84" s="121">
        <f>IF(N('Dvd Calendar'!$U$803)=0,"",IF(('Dvd Calendar'!$U$803&gt;=GRID_FROM)*('Dvd Calendar'!$U$803&lt;=GRID_TO)*((('Dvd Calendar'!$U$803&lt;=VAL_DATE)+(COUNTIF('Dvd Calendar'!$E$810:$AR$810,'Dvd Calendar'!$U$803)=0))&gt;0)=0,"",'Dvd Calendar'!$U$803*1000000000+ISNUMBER('Dvd Calendar'!$U$806)*100000000+('Dvd Calendar'!$U$808=SPECIAL_LBL)*10000000+(N('Dvd Calendar'!$U$802)&gt;0)*(N('Dvd Calendar'!$U$802)&lt;=VAL_SERIAL)*1000000+73*1000+17))</f>
        <v/>
      </c>
      <c r="EV84" s="121">
        <f>IF(N('Dvd Calendar'!$V$803)=0,"",IF(('Dvd Calendar'!$V$803&gt;=GRID_FROM)*('Dvd Calendar'!$V$803&lt;=GRID_TO)*((('Dvd Calendar'!$V$803&lt;=VAL_DATE)+(COUNTIF('Dvd Calendar'!$E$810:$AR$810,'Dvd Calendar'!$V$803)=0))&gt;0)=0,"",'Dvd Calendar'!$V$803*1000000000+ISNUMBER('Dvd Calendar'!$V$806)*100000000+('Dvd Calendar'!$V$808=SPECIAL_LBL)*10000000+(N('Dvd Calendar'!$V$802)&gt;0)*(N('Dvd Calendar'!$V$802)&lt;=VAL_SERIAL)*1000000+73*1000+18))</f>
        <v/>
      </c>
      <c r="EW84" s="121">
        <f>IF(N('Dvd Calendar'!$W$803)=0,"",IF(('Dvd Calendar'!$W$803&gt;=GRID_FROM)*('Dvd Calendar'!$W$803&lt;=GRID_TO)*((('Dvd Calendar'!$W$803&lt;=VAL_DATE)+(COUNTIF('Dvd Calendar'!$E$810:$AR$810,'Dvd Calendar'!$W$803)=0))&gt;0)=0,"",'Dvd Calendar'!$W$803*1000000000+ISNUMBER('Dvd Calendar'!$W$806)*100000000+('Dvd Calendar'!$W$808=SPECIAL_LBL)*10000000+(N('Dvd Calendar'!$W$802)&gt;0)*(N('Dvd Calendar'!$W$802)&lt;=VAL_SERIAL)*1000000+73*1000+19))</f>
        <v/>
      </c>
      <c r="EX84" s="121">
        <f>IF(N('Dvd Calendar'!$X$803)=0,"",IF(('Dvd Calendar'!$X$803&gt;=GRID_FROM)*('Dvd Calendar'!$X$803&lt;=GRID_TO)*((('Dvd Calendar'!$X$803&lt;=VAL_DATE)+(COUNTIF('Dvd Calendar'!$E$810:$AR$810,'Dvd Calendar'!$X$803)=0))&gt;0)=0,"",'Dvd Calendar'!$X$803*1000000000+ISNUMBER('Dvd Calendar'!$X$806)*100000000+('Dvd Calendar'!$X$808=SPECIAL_LBL)*10000000+(N('Dvd Calendar'!$X$802)&gt;0)*(N('Dvd Calendar'!$X$802)&lt;=VAL_SERIAL)*1000000+73*1000+20))</f>
        <v/>
      </c>
      <c r="EY84" s="121">
        <f>IF(N('Dvd Calendar'!$Y$803)=0,"",IF(('Dvd Calendar'!$Y$803&gt;=GRID_FROM)*('Dvd Calendar'!$Y$803&lt;=GRID_TO)*((('Dvd Calendar'!$Y$803&lt;=VAL_DATE)+(COUNTIF('Dvd Calendar'!$E$810:$AR$810,'Dvd Calendar'!$Y$803)=0))&gt;0)=0,"",'Dvd Calendar'!$Y$803*1000000000+ISNUMBER('Dvd Calendar'!$Y$806)*100000000+('Dvd Calendar'!$Y$808=SPECIAL_LBL)*10000000+(N('Dvd Calendar'!$Y$802)&gt;0)*(N('Dvd Calendar'!$Y$802)&lt;=VAL_SERIAL)*1000000+73*1000+21))</f>
        <v/>
      </c>
      <c r="EZ84" s="121">
        <f>IF(N('Dvd Calendar'!$Z$803)=0,"",IF(('Dvd Calendar'!$Z$803&gt;=GRID_FROM)*('Dvd Calendar'!$Z$803&lt;=GRID_TO)*((('Dvd Calendar'!$Z$803&lt;=VAL_DATE)+(COUNTIF('Dvd Calendar'!$E$810:$AR$810,'Dvd Calendar'!$Z$803)=0))&gt;0)=0,"",'Dvd Calendar'!$Z$803*1000000000+ISNUMBER('Dvd Calendar'!$Z$806)*100000000+('Dvd Calendar'!$Z$808=SPECIAL_LBL)*10000000+(N('Dvd Calendar'!$Z$802)&gt;0)*(N('Dvd Calendar'!$Z$802)&lt;=VAL_SERIAL)*1000000+73*1000+22))</f>
        <v/>
      </c>
      <c r="FA84" s="121">
        <f>IF(N('Dvd Calendar'!$AA$803)=0,"",IF(('Dvd Calendar'!$AA$803&gt;=GRID_FROM)*('Dvd Calendar'!$AA$803&lt;=GRID_TO)*((('Dvd Calendar'!$AA$803&lt;=VAL_DATE)+(COUNTIF('Dvd Calendar'!$E$810:$AR$810,'Dvd Calendar'!$AA$803)=0))&gt;0)=0,"",'Dvd Calendar'!$AA$803*1000000000+ISNUMBER('Dvd Calendar'!$AA$806)*100000000+('Dvd Calendar'!$AA$808=SPECIAL_LBL)*10000000+(N('Dvd Calendar'!$AA$802)&gt;0)*(N('Dvd Calendar'!$AA$802)&lt;=VAL_SERIAL)*1000000+73*1000+23))</f>
        <v/>
      </c>
      <c r="FB84" s="121">
        <f>IF(N('Dvd Calendar'!$AB$803)=0,"",IF(('Dvd Calendar'!$AB$803&gt;=GRID_FROM)*('Dvd Calendar'!$AB$803&lt;=GRID_TO)*((('Dvd Calendar'!$AB$803&lt;=VAL_DATE)+(COUNTIF('Dvd Calendar'!$E$810:$AR$810,'Dvd Calendar'!$AB$803)=0))&gt;0)=0,"",'Dvd Calendar'!$AB$803*1000000000+ISNUMBER('Dvd Calendar'!$AB$806)*100000000+('Dvd Calendar'!$AB$808=SPECIAL_LBL)*10000000+(N('Dvd Calendar'!$AB$802)&gt;0)*(N('Dvd Calendar'!$AB$802)&lt;=VAL_SERIAL)*1000000+73*1000+24))</f>
        <v/>
      </c>
      <c r="FC84" s="121">
        <f>IF(N('Dvd Calendar'!$AC$803)=0,"",IF(('Dvd Calendar'!$AC$803&gt;=GRID_FROM)*('Dvd Calendar'!$AC$803&lt;=GRID_TO)*((('Dvd Calendar'!$AC$803&lt;=VAL_DATE)+(COUNTIF('Dvd Calendar'!$E$810:$AR$810,'Dvd Calendar'!$AC$803)=0))&gt;0)=0,"",'Dvd Calendar'!$AC$803*1000000000+ISNUMBER('Dvd Calendar'!$AC$806)*100000000+('Dvd Calendar'!$AC$808=SPECIAL_LBL)*10000000+(N('Dvd Calendar'!$AC$802)&gt;0)*(N('Dvd Calendar'!$AC$802)&lt;=VAL_SERIAL)*1000000+73*1000+25))</f>
        <v/>
      </c>
      <c r="FD84" s="121">
        <f>IF(N('Dvd Calendar'!$AD$803)=0,"",IF(('Dvd Calendar'!$AD$803&gt;=GRID_FROM)*('Dvd Calendar'!$AD$803&lt;=GRID_TO)*((('Dvd Calendar'!$AD$803&lt;=VAL_DATE)+(COUNTIF('Dvd Calendar'!$E$810:$AR$810,'Dvd Calendar'!$AD$803)=0))&gt;0)=0,"",'Dvd Calendar'!$AD$803*1000000000+ISNUMBER('Dvd Calendar'!$AD$806)*100000000+('Dvd Calendar'!$AD$808=SPECIAL_LBL)*10000000+(N('Dvd Calendar'!$AD$802)&gt;0)*(N('Dvd Calendar'!$AD$802)&lt;=VAL_SERIAL)*1000000+73*1000+26))</f>
        <v/>
      </c>
      <c r="FE84" s="121">
        <f>IF(N('Dvd Calendar'!$AE$803)=0,"",IF(('Dvd Calendar'!$AE$803&gt;=GRID_FROM)*('Dvd Calendar'!$AE$803&lt;=GRID_TO)*((('Dvd Calendar'!$AE$803&lt;=VAL_DATE)+(COUNTIF('Dvd Calendar'!$E$810:$AR$810,'Dvd Calendar'!$AE$803)=0))&gt;0)=0,"",'Dvd Calendar'!$AE$803*1000000000+ISNUMBER('Dvd Calendar'!$AE$806)*100000000+('Dvd Calendar'!$AE$808=SPECIAL_LBL)*10000000+(N('Dvd Calendar'!$AE$802)&gt;0)*(N('Dvd Calendar'!$AE$802)&lt;=VAL_SERIAL)*1000000+73*1000+27))</f>
        <v/>
      </c>
      <c r="FF84" s="121">
        <f>IF(N('Dvd Calendar'!$AF$803)=0,"",IF(('Dvd Calendar'!$AF$803&gt;=GRID_FROM)*('Dvd Calendar'!$AF$803&lt;=GRID_TO)*((('Dvd Calendar'!$AF$803&lt;=VAL_DATE)+(COUNTIF('Dvd Calendar'!$E$810:$AR$810,'Dvd Calendar'!$AF$803)=0))&gt;0)=0,"",'Dvd Calendar'!$AF$803*1000000000+ISNUMBER('Dvd Calendar'!$AF$806)*100000000+('Dvd Calendar'!$AF$808=SPECIAL_LBL)*10000000+(N('Dvd Calendar'!$AF$802)&gt;0)*(N('Dvd Calendar'!$AF$802)&lt;=VAL_SERIAL)*1000000+73*1000+28))</f>
        <v/>
      </c>
      <c r="FG84" s="121">
        <f>IF(N('Dvd Calendar'!$AG$803)=0,"",IF(('Dvd Calendar'!$AG$803&gt;=GRID_FROM)*('Dvd Calendar'!$AG$803&lt;=GRID_TO)*((('Dvd Calendar'!$AG$803&lt;=VAL_DATE)+(COUNTIF('Dvd Calendar'!$E$810:$AR$810,'Dvd Calendar'!$AG$803)=0))&gt;0)=0,"",'Dvd Calendar'!$AG$803*1000000000+ISNUMBER('Dvd Calendar'!$AG$806)*100000000+('Dvd Calendar'!$AG$808=SPECIAL_LBL)*10000000+(N('Dvd Calendar'!$AG$802)&gt;0)*(N('Dvd Calendar'!$AG$802)&lt;=VAL_SERIAL)*1000000+73*1000+29))</f>
        <v/>
      </c>
      <c r="FH84" s="121">
        <f>IF(N('Dvd Calendar'!$AH$803)=0,"",IF(('Dvd Calendar'!$AH$803&gt;=GRID_FROM)*('Dvd Calendar'!$AH$803&lt;=GRID_TO)*((('Dvd Calendar'!$AH$803&lt;=VAL_DATE)+(COUNTIF('Dvd Calendar'!$E$810:$AR$810,'Dvd Calendar'!$AH$803)=0))&gt;0)=0,"",'Dvd Calendar'!$AH$803*1000000000+ISNUMBER('Dvd Calendar'!$AH$806)*100000000+('Dvd Calendar'!$AH$808=SPECIAL_LBL)*10000000+(N('Dvd Calendar'!$AH$802)&gt;0)*(N('Dvd Calendar'!$AH$802)&lt;=VAL_SERIAL)*1000000+73*1000+30))</f>
        <v/>
      </c>
      <c r="FI84" s="121">
        <f>IF(N('Dvd Calendar'!$AI$803)=0,"",IF(('Dvd Calendar'!$AI$803&gt;=GRID_FROM)*('Dvd Calendar'!$AI$803&lt;=GRID_TO)*((('Dvd Calendar'!$AI$803&lt;=VAL_DATE)+(COUNTIF('Dvd Calendar'!$E$810:$AR$810,'Dvd Calendar'!$AI$803)=0))&gt;0)=0,"",'Dvd Calendar'!$AI$803*1000000000+ISNUMBER('Dvd Calendar'!$AI$806)*100000000+('Dvd Calendar'!$AI$808=SPECIAL_LBL)*10000000+(N('Dvd Calendar'!$AI$802)&gt;0)*(N('Dvd Calendar'!$AI$802)&lt;=VAL_SERIAL)*1000000+73*1000+31))</f>
        <v/>
      </c>
      <c r="FJ84" s="121">
        <f>IF(N('Dvd Calendar'!$AJ$803)=0,"",IF(('Dvd Calendar'!$AJ$803&gt;=GRID_FROM)*('Dvd Calendar'!$AJ$803&lt;=GRID_TO)*((('Dvd Calendar'!$AJ$803&lt;=VAL_DATE)+(COUNTIF('Dvd Calendar'!$E$810:$AR$810,'Dvd Calendar'!$AJ$803)=0))&gt;0)=0,"",'Dvd Calendar'!$AJ$803*1000000000+ISNUMBER('Dvd Calendar'!$AJ$806)*100000000+('Dvd Calendar'!$AJ$808=SPECIAL_LBL)*10000000+(N('Dvd Calendar'!$AJ$802)&gt;0)*(N('Dvd Calendar'!$AJ$802)&lt;=VAL_SERIAL)*1000000+73*1000+32))</f>
        <v/>
      </c>
      <c r="FK84" s="121">
        <f>IF(N('Dvd Calendar'!$AK$803)=0,"",IF(('Dvd Calendar'!$AK$803&gt;=GRID_FROM)*('Dvd Calendar'!$AK$803&lt;=GRID_TO)*((('Dvd Calendar'!$AK$803&lt;=VAL_DATE)+(COUNTIF('Dvd Calendar'!$E$810:$AR$810,'Dvd Calendar'!$AK$803)=0))&gt;0)=0,"",'Dvd Calendar'!$AK$803*1000000000+ISNUMBER('Dvd Calendar'!$AK$806)*100000000+('Dvd Calendar'!$AK$808=SPECIAL_LBL)*10000000+(N('Dvd Calendar'!$AK$802)&gt;0)*(N('Dvd Calendar'!$AK$802)&lt;=VAL_SERIAL)*1000000+73*1000+33))</f>
        <v/>
      </c>
      <c r="FL84" s="121">
        <f>IF(N('Dvd Calendar'!$AL$803)=0,"",IF(('Dvd Calendar'!$AL$803&gt;=GRID_FROM)*('Dvd Calendar'!$AL$803&lt;=GRID_TO)*((('Dvd Calendar'!$AL$803&lt;=VAL_DATE)+(COUNTIF('Dvd Calendar'!$E$810:$AR$810,'Dvd Calendar'!$AL$803)=0))&gt;0)=0,"",'Dvd Calendar'!$AL$803*1000000000+ISNUMBER('Dvd Calendar'!$AL$806)*100000000+('Dvd Calendar'!$AL$808=SPECIAL_LBL)*10000000+(N('Dvd Calendar'!$AL$802)&gt;0)*(N('Dvd Calendar'!$AL$802)&lt;=VAL_SERIAL)*1000000+73*1000+34))</f>
        <v/>
      </c>
      <c r="FM84" s="121">
        <f>IF(N('Dvd Calendar'!$AM$803)=0,"",IF(('Dvd Calendar'!$AM$803&gt;=GRID_FROM)*('Dvd Calendar'!$AM$803&lt;=GRID_TO)*((('Dvd Calendar'!$AM$803&lt;=VAL_DATE)+(COUNTIF('Dvd Calendar'!$E$810:$AR$810,'Dvd Calendar'!$AM$803)=0))&gt;0)=0,"",'Dvd Calendar'!$AM$803*1000000000+ISNUMBER('Dvd Calendar'!$AM$806)*100000000+('Dvd Calendar'!$AM$808=SPECIAL_LBL)*10000000+(N('Dvd Calendar'!$AM$802)&gt;0)*(N('Dvd Calendar'!$AM$802)&lt;=VAL_SERIAL)*1000000+73*1000+35))</f>
        <v/>
      </c>
      <c r="FN84" s="121">
        <f>IF(N('Dvd Calendar'!$AN$803)=0,"",IF(('Dvd Calendar'!$AN$803&gt;=GRID_FROM)*('Dvd Calendar'!$AN$803&lt;=GRID_TO)*((('Dvd Calendar'!$AN$803&lt;=VAL_DATE)+(COUNTIF('Dvd Calendar'!$E$810:$AR$810,'Dvd Calendar'!$AN$803)=0))&gt;0)=0,"",'Dvd Calendar'!$AN$803*1000000000+ISNUMBER('Dvd Calendar'!$AN$806)*100000000+('Dvd Calendar'!$AN$808=SPECIAL_LBL)*10000000+(N('Dvd Calendar'!$AN$802)&gt;0)*(N('Dvd Calendar'!$AN$802)&lt;=VAL_SERIAL)*1000000+73*1000+36))</f>
        <v/>
      </c>
      <c r="FO84" s="121">
        <f>IF(N('Dvd Calendar'!$AO$803)=0,"",IF(('Dvd Calendar'!$AO$803&gt;=GRID_FROM)*('Dvd Calendar'!$AO$803&lt;=GRID_TO)*((('Dvd Calendar'!$AO$803&lt;=VAL_DATE)+(COUNTIF('Dvd Calendar'!$E$810:$AR$810,'Dvd Calendar'!$AO$803)=0))&gt;0)=0,"",'Dvd Calendar'!$AO$803*1000000000+ISNUMBER('Dvd Calendar'!$AO$806)*100000000+('Dvd Calendar'!$AO$808=SPECIAL_LBL)*10000000+(N('Dvd Calendar'!$AO$802)&gt;0)*(N('Dvd Calendar'!$AO$802)&lt;=VAL_SERIAL)*1000000+73*1000+37))</f>
        <v/>
      </c>
      <c r="FP84" s="121">
        <f>IF(N('Dvd Calendar'!$AP$803)=0,"",IF(('Dvd Calendar'!$AP$803&gt;=GRID_FROM)*('Dvd Calendar'!$AP$803&lt;=GRID_TO)*((('Dvd Calendar'!$AP$803&lt;=VAL_DATE)+(COUNTIF('Dvd Calendar'!$E$810:$AR$810,'Dvd Calendar'!$AP$803)=0))&gt;0)=0,"",'Dvd Calendar'!$AP$803*1000000000+ISNUMBER('Dvd Calendar'!$AP$806)*100000000+('Dvd Calendar'!$AP$808=SPECIAL_LBL)*10000000+(N('Dvd Calendar'!$AP$802)&gt;0)*(N('Dvd Calendar'!$AP$802)&lt;=VAL_SERIAL)*1000000+73*1000+38))</f>
        <v/>
      </c>
      <c r="FQ84" s="121">
        <f>IF(N('Dvd Calendar'!$AQ$803)=0,"",IF(('Dvd Calendar'!$AQ$803&gt;=GRID_FROM)*('Dvd Calendar'!$AQ$803&lt;=GRID_TO)*((('Dvd Calendar'!$AQ$803&lt;=VAL_DATE)+(COUNTIF('Dvd Calendar'!$E$810:$AR$810,'Dvd Calendar'!$AQ$803)=0))&gt;0)=0,"",'Dvd Calendar'!$AQ$803*1000000000+ISNUMBER('Dvd Calendar'!$AQ$806)*100000000+('Dvd Calendar'!$AQ$808=SPECIAL_LBL)*10000000+(N('Dvd Calendar'!$AQ$802)&gt;0)*(N('Dvd Calendar'!$AQ$802)&lt;=VAL_SERIAL)*1000000+73*1000+39))</f>
        <v/>
      </c>
      <c r="FR84" s="121">
        <f>IF(N('Dvd Calendar'!$AR$803)=0,"",IF(('Dvd Calendar'!$AR$803&gt;=GRID_FROM)*('Dvd Calendar'!$AR$803&lt;=GRID_TO)*((('Dvd Calendar'!$AR$803&lt;=VAL_DATE)+(COUNTIF('Dvd Calendar'!$E$810:$AR$810,'Dvd Calendar'!$AR$803)=0))&gt;0)=0,"",'Dvd Calendar'!$AR$803*1000000000+ISNUMBER('Dvd Calendar'!$AR$806)*100000000+('Dvd Calendar'!$AR$808=SPECIAL_LBL)*10000000+(N('Dvd Calendar'!$AR$802)&gt;0)*(N('Dvd Calendar'!$AR$802)&lt;=VAL_SERIAL)*1000000+73*1000+40))</f>
        <v/>
      </c>
      <c r="FS84" s="121">
        <f>IF(N('Dvd Calendar'!$E$810)=0,"",IF(('Dvd Calendar'!$E$810&gt;=GRID_FROM)*('Dvd Calendar'!$E$810&lt;=GRID_TO)*('Dvd Calendar'!$E$810&gt;VAL_DATE)=0,"",'Dvd Calendar'!$E$810*1000000000+ISNUMBER('Dvd Calendar'!$E$811)*100000000+0*10000000+(N('Dvd Calendar'!$E$809)&gt;0)*(N('Dvd Calendar'!$E$809)&lt;=VAL_SERIAL)*1000000+73*1000+41))</f>
        <v/>
      </c>
      <c r="FT84" s="121">
        <f>IF(N('Dvd Calendar'!$F$810)=0,"",IF(('Dvd Calendar'!$F$810&gt;=GRID_FROM)*('Dvd Calendar'!$F$810&lt;=GRID_TO)*('Dvd Calendar'!$F$810&gt;VAL_DATE)=0,"",'Dvd Calendar'!$F$810*1000000000+ISNUMBER('Dvd Calendar'!$F$811)*100000000+0*10000000+(N('Dvd Calendar'!$F$809)&gt;0)*(N('Dvd Calendar'!$F$809)&lt;=VAL_SERIAL)*1000000+73*1000+42))</f>
        <v/>
      </c>
      <c r="FU84" s="121">
        <f>IF(N('Dvd Calendar'!$G$810)=0,"",IF(('Dvd Calendar'!$G$810&gt;=GRID_FROM)*('Dvd Calendar'!$G$810&lt;=GRID_TO)*('Dvd Calendar'!$G$810&gt;VAL_DATE)=0,"",'Dvd Calendar'!$G$810*1000000000+ISNUMBER('Dvd Calendar'!$G$811)*100000000+0*10000000+(N('Dvd Calendar'!$G$809)&gt;0)*(N('Dvd Calendar'!$G$809)&lt;=VAL_SERIAL)*1000000+73*1000+43))</f>
        <v/>
      </c>
      <c r="FV84" s="121">
        <f>IF(N('Dvd Calendar'!$H$810)=0,"",IF(('Dvd Calendar'!$H$810&gt;=GRID_FROM)*('Dvd Calendar'!$H$810&lt;=GRID_TO)*('Dvd Calendar'!$H$810&gt;VAL_DATE)=0,"",'Dvd Calendar'!$H$810*1000000000+ISNUMBER('Dvd Calendar'!$H$811)*100000000+0*10000000+(N('Dvd Calendar'!$H$809)&gt;0)*(N('Dvd Calendar'!$H$809)&lt;=VAL_SERIAL)*1000000+73*1000+44))</f>
        <v/>
      </c>
      <c r="FW84" s="121">
        <f>IF(N('Dvd Calendar'!$I$810)=0,"",IF(('Dvd Calendar'!$I$810&gt;=GRID_FROM)*('Dvd Calendar'!$I$810&lt;=GRID_TO)*('Dvd Calendar'!$I$810&gt;VAL_DATE)=0,"",'Dvd Calendar'!$I$810*1000000000+ISNUMBER('Dvd Calendar'!$I$811)*100000000+0*10000000+(N('Dvd Calendar'!$I$809)&gt;0)*(N('Dvd Calendar'!$I$809)&lt;=VAL_SERIAL)*1000000+73*1000+45))</f>
        <v/>
      </c>
      <c r="FX84" s="121">
        <f>IF(N('Dvd Calendar'!$J$810)=0,"",IF(('Dvd Calendar'!$J$810&gt;=GRID_FROM)*('Dvd Calendar'!$J$810&lt;=GRID_TO)*('Dvd Calendar'!$J$810&gt;VAL_DATE)=0,"",'Dvd Calendar'!$J$810*1000000000+ISNUMBER('Dvd Calendar'!$J$811)*100000000+0*10000000+(N('Dvd Calendar'!$J$809)&gt;0)*(N('Dvd Calendar'!$J$809)&lt;=VAL_SERIAL)*1000000+73*1000+46))</f>
        <v/>
      </c>
      <c r="FY84" s="121">
        <f>IF(N('Dvd Calendar'!$K$810)=0,"",IF(('Dvd Calendar'!$K$810&gt;=GRID_FROM)*('Dvd Calendar'!$K$810&lt;=GRID_TO)*('Dvd Calendar'!$K$810&gt;VAL_DATE)=0,"",'Dvd Calendar'!$K$810*1000000000+ISNUMBER('Dvd Calendar'!$K$811)*100000000+0*10000000+(N('Dvd Calendar'!$K$809)&gt;0)*(N('Dvd Calendar'!$K$809)&lt;=VAL_SERIAL)*1000000+73*1000+47))</f>
        <v/>
      </c>
      <c r="FZ84" s="121">
        <f>IF(N('Dvd Calendar'!$L$810)=0,"",IF(('Dvd Calendar'!$L$810&gt;=GRID_FROM)*('Dvd Calendar'!$L$810&lt;=GRID_TO)*('Dvd Calendar'!$L$810&gt;VAL_DATE)=0,"",'Dvd Calendar'!$L$810*1000000000+ISNUMBER('Dvd Calendar'!$L$811)*100000000+0*10000000+(N('Dvd Calendar'!$L$809)&gt;0)*(N('Dvd Calendar'!$L$809)&lt;=VAL_SERIAL)*1000000+73*1000+48))</f>
        <v/>
      </c>
      <c r="GA84" s="121">
        <f>IF(N('Dvd Calendar'!$M$810)=0,"",IF(('Dvd Calendar'!$M$810&gt;=GRID_FROM)*('Dvd Calendar'!$M$810&lt;=GRID_TO)*('Dvd Calendar'!$M$810&gt;VAL_DATE)=0,"",'Dvd Calendar'!$M$810*1000000000+ISNUMBER('Dvd Calendar'!$M$811)*100000000+0*10000000+(N('Dvd Calendar'!$M$809)&gt;0)*(N('Dvd Calendar'!$M$809)&lt;=VAL_SERIAL)*1000000+73*1000+49))</f>
        <v/>
      </c>
      <c r="GB84" s="121">
        <f>IF(N('Dvd Calendar'!$N$810)=0,"",IF(('Dvd Calendar'!$N$810&gt;=GRID_FROM)*('Dvd Calendar'!$N$810&lt;=GRID_TO)*('Dvd Calendar'!$N$810&gt;VAL_DATE)=0,"",'Dvd Calendar'!$N$810*1000000000+ISNUMBER('Dvd Calendar'!$N$811)*100000000+0*10000000+(N('Dvd Calendar'!$N$809)&gt;0)*(N('Dvd Calendar'!$N$809)&lt;=VAL_SERIAL)*1000000+73*1000+50))</f>
        <v/>
      </c>
      <c r="GC84" s="121">
        <f>IF(N('Dvd Calendar'!$O$810)=0,"",IF(('Dvd Calendar'!$O$810&gt;=GRID_FROM)*('Dvd Calendar'!$O$810&lt;=GRID_TO)*('Dvd Calendar'!$O$810&gt;VAL_DATE)=0,"",'Dvd Calendar'!$O$810*1000000000+ISNUMBER('Dvd Calendar'!$O$811)*100000000+0*10000000+(N('Dvd Calendar'!$O$809)&gt;0)*(N('Dvd Calendar'!$O$809)&lt;=VAL_SERIAL)*1000000+73*1000+51))</f>
        <v/>
      </c>
      <c r="GD84" s="121">
        <f>IF(N('Dvd Calendar'!$P$810)=0,"",IF(('Dvd Calendar'!$P$810&gt;=GRID_FROM)*('Dvd Calendar'!$P$810&lt;=GRID_TO)*('Dvd Calendar'!$P$810&gt;VAL_DATE)=0,"",'Dvd Calendar'!$P$810*1000000000+ISNUMBER('Dvd Calendar'!$P$811)*100000000+0*10000000+(N('Dvd Calendar'!$P$809)&gt;0)*(N('Dvd Calendar'!$P$809)&lt;=VAL_SERIAL)*1000000+73*1000+52))</f>
        <v/>
      </c>
      <c r="GE84" s="121">
        <f>IF(N('Dvd Calendar'!$Q$810)=0,"",IF(('Dvd Calendar'!$Q$810&gt;=GRID_FROM)*('Dvd Calendar'!$Q$810&lt;=GRID_TO)*('Dvd Calendar'!$Q$810&gt;VAL_DATE)=0,"",'Dvd Calendar'!$Q$810*1000000000+ISNUMBER('Dvd Calendar'!$Q$811)*100000000+0*10000000+(N('Dvd Calendar'!$Q$809)&gt;0)*(N('Dvd Calendar'!$Q$809)&lt;=VAL_SERIAL)*1000000+73*1000+53))</f>
        <v/>
      </c>
      <c r="GF84" s="121">
        <f>IF(N('Dvd Calendar'!$R$810)=0,"",IF(('Dvd Calendar'!$R$810&gt;=GRID_FROM)*('Dvd Calendar'!$R$810&lt;=GRID_TO)*('Dvd Calendar'!$R$810&gt;VAL_DATE)=0,"",'Dvd Calendar'!$R$810*1000000000+ISNUMBER('Dvd Calendar'!$R$811)*100000000+0*10000000+(N('Dvd Calendar'!$R$809)&gt;0)*(N('Dvd Calendar'!$R$809)&lt;=VAL_SERIAL)*1000000+73*1000+54))</f>
        <v/>
      </c>
      <c r="GG84" s="121">
        <f>IF(N('Dvd Calendar'!$S$810)=0,"",IF(('Dvd Calendar'!$S$810&gt;=GRID_FROM)*('Dvd Calendar'!$S$810&lt;=GRID_TO)*('Dvd Calendar'!$S$810&gt;VAL_DATE)=0,"",'Dvd Calendar'!$S$810*1000000000+ISNUMBER('Dvd Calendar'!$S$811)*100000000+0*10000000+(N('Dvd Calendar'!$S$809)&gt;0)*(N('Dvd Calendar'!$S$809)&lt;=VAL_SERIAL)*1000000+73*1000+55))</f>
        <v/>
      </c>
      <c r="GH84" s="121">
        <f>IF(N('Dvd Calendar'!$T$810)=0,"",IF(('Dvd Calendar'!$T$810&gt;=GRID_FROM)*('Dvd Calendar'!$T$810&lt;=GRID_TO)*('Dvd Calendar'!$T$810&gt;VAL_DATE)=0,"",'Dvd Calendar'!$T$810*1000000000+ISNUMBER('Dvd Calendar'!$T$811)*100000000+0*10000000+(N('Dvd Calendar'!$T$809)&gt;0)*(N('Dvd Calendar'!$T$809)&lt;=VAL_SERIAL)*1000000+73*1000+56))</f>
        <v/>
      </c>
      <c r="GI84" s="121">
        <f>IF(N('Dvd Calendar'!$U$810)=0,"",IF(('Dvd Calendar'!$U$810&gt;=GRID_FROM)*('Dvd Calendar'!$U$810&lt;=GRID_TO)*('Dvd Calendar'!$U$810&gt;VAL_DATE)=0,"",'Dvd Calendar'!$U$810*1000000000+ISNUMBER('Dvd Calendar'!$U$811)*100000000+0*10000000+(N('Dvd Calendar'!$U$809)&gt;0)*(N('Dvd Calendar'!$U$809)&lt;=VAL_SERIAL)*1000000+73*1000+57))</f>
        <v/>
      </c>
      <c r="GJ84" s="121">
        <f>IF(N('Dvd Calendar'!$V$810)=0,"",IF(('Dvd Calendar'!$V$810&gt;=GRID_FROM)*('Dvd Calendar'!$V$810&lt;=GRID_TO)*('Dvd Calendar'!$V$810&gt;VAL_DATE)=0,"",'Dvd Calendar'!$V$810*1000000000+ISNUMBER('Dvd Calendar'!$V$811)*100000000+0*10000000+(N('Dvd Calendar'!$V$809)&gt;0)*(N('Dvd Calendar'!$V$809)&lt;=VAL_SERIAL)*1000000+73*1000+58))</f>
        <v/>
      </c>
      <c r="GK84" s="121">
        <f>IF(N('Dvd Calendar'!$W$810)=0,"",IF(('Dvd Calendar'!$W$810&gt;=GRID_FROM)*('Dvd Calendar'!$W$810&lt;=GRID_TO)*('Dvd Calendar'!$W$810&gt;VAL_DATE)=0,"",'Dvd Calendar'!$W$810*1000000000+ISNUMBER('Dvd Calendar'!$W$811)*100000000+0*10000000+(N('Dvd Calendar'!$W$809)&gt;0)*(N('Dvd Calendar'!$W$809)&lt;=VAL_SERIAL)*1000000+73*1000+59))</f>
        <v/>
      </c>
      <c r="GL84" s="121">
        <f>IF(N('Dvd Calendar'!$X$810)=0,"",IF(('Dvd Calendar'!$X$810&gt;=GRID_FROM)*('Dvd Calendar'!$X$810&lt;=GRID_TO)*('Dvd Calendar'!$X$810&gt;VAL_DATE)=0,"",'Dvd Calendar'!$X$810*1000000000+ISNUMBER('Dvd Calendar'!$X$811)*100000000+0*10000000+(N('Dvd Calendar'!$X$809)&gt;0)*(N('Dvd Calendar'!$X$809)&lt;=VAL_SERIAL)*1000000+73*1000+60))</f>
        <v/>
      </c>
      <c r="GM84" s="121">
        <f>IF(N('Dvd Calendar'!$Y$810)=0,"",IF(('Dvd Calendar'!$Y$810&gt;=GRID_FROM)*('Dvd Calendar'!$Y$810&lt;=GRID_TO)*('Dvd Calendar'!$Y$810&gt;VAL_DATE)=0,"",'Dvd Calendar'!$Y$810*1000000000+ISNUMBER('Dvd Calendar'!$Y$811)*100000000+0*10000000+(N('Dvd Calendar'!$Y$809)&gt;0)*(N('Dvd Calendar'!$Y$809)&lt;=VAL_SERIAL)*1000000+73*1000+61))</f>
        <v/>
      </c>
      <c r="GN84" s="121">
        <f>IF(N('Dvd Calendar'!$Z$810)=0,"",IF(('Dvd Calendar'!$Z$810&gt;=GRID_FROM)*('Dvd Calendar'!$Z$810&lt;=GRID_TO)*('Dvd Calendar'!$Z$810&gt;VAL_DATE)=0,"",'Dvd Calendar'!$Z$810*1000000000+ISNUMBER('Dvd Calendar'!$Z$811)*100000000+0*10000000+(N('Dvd Calendar'!$Z$809)&gt;0)*(N('Dvd Calendar'!$Z$809)&lt;=VAL_SERIAL)*1000000+73*1000+62))</f>
        <v/>
      </c>
      <c r="GO84" s="121">
        <f>IF(N('Dvd Calendar'!$AA$810)=0,"",IF(('Dvd Calendar'!$AA$810&gt;=GRID_FROM)*('Dvd Calendar'!$AA$810&lt;=GRID_TO)*('Dvd Calendar'!$AA$810&gt;VAL_DATE)=0,"",'Dvd Calendar'!$AA$810*1000000000+ISNUMBER('Dvd Calendar'!$AA$811)*100000000+0*10000000+(N('Dvd Calendar'!$AA$809)&gt;0)*(N('Dvd Calendar'!$AA$809)&lt;=VAL_SERIAL)*1000000+73*1000+63))</f>
        <v/>
      </c>
      <c r="GP84" s="121">
        <f>IF(N('Dvd Calendar'!$AB$810)=0,"",IF(('Dvd Calendar'!$AB$810&gt;=GRID_FROM)*('Dvd Calendar'!$AB$810&lt;=GRID_TO)*('Dvd Calendar'!$AB$810&gt;VAL_DATE)=0,"",'Dvd Calendar'!$AB$810*1000000000+ISNUMBER('Dvd Calendar'!$AB$811)*100000000+0*10000000+(N('Dvd Calendar'!$AB$809)&gt;0)*(N('Dvd Calendar'!$AB$809)&lt;=VAL_SERIAL)*1000000+73*1000+64))</f>
        <v/>
      </c>
      <c r="GQ84" s="121">
        <f>IF(N('Dvd Calendar'!$AC$810)=0,"",IF(('Dvd Calendar'!$AC$810&gt;=GRID_FROM)*('Dvd Calendar'!$AC$810&lt;=GRID_TO)*('Dvd Calendar'!$AC$810&gt;VAL_DATE)=0,"",'Dvd Calendar'!$AC$810*1000000000+ISNUMBER('Dvd Calendar'!$AC$811)*100000000+0*10000000+(N('Dvd Calendar'!$AC$809)&gt;0)*(N('Dvd Calendar'!$AC$809)&lt;=VAL_SERIAL)*1000000+73*1000+65))</f>
        <v/>
      </c>
    </row>
    <row r="85">
      <c r="B85" s="2">
        <f>IF(HSI!$C$80="","",HSI!$C$80)</f>
        <v/>
      </c>
      <c r="C85" s="161">
        <f>IF(EE85="","",IF(ISNUMBER('Dvd Calendar'!$E$817)=FALSE,"",IF((('Dvd Calendar'!$E$819=TYPE1)*(TYPE1&lt;&gt;"")+('Dvd Calendar'!$E$819=TYPE2)*(TYPE2&lt;&gt;"")+('Dvd Calendar'!$E$819=TYPE3)*(TYPE3&lt;&gt;"")+('Dvd Calendar'!$E$819=TYPE4)*(TYPE4&lt;&gt;"")+('Dvd Calendar'!$E$819=SPECIAL_LBL)*(INC_SPECIALS="Y"))=0,"",'Dvd Calendar'!$E$817)))</f>
        <v/>
      </c>
      <c r="D85" s="161">
        <f>IF(EF85="","",IF(ISNUMBER('Dvd Calendar'!$F$817)=FALSE,"",IF((('Dvd Calendar'!$F$819=TYPE1)*(TYPE1&lt;&gt;"")+('Dvd Calendar'!$F$819=TYPE2)*(TYPE2&lt;&gt;"")+('Dvd Calendar'!$F$819=TYPE3)*(TYPE3&lt;&gt;"")+('Dvd Calendar'!$F$819=TYPE4)*(TYPE4&lt;&gt;"")+('Dvd Calendar'!$F$819=SPECIAL_LBL)*(INC_SPECIALS="Y"))=0,"",'Dvd Calendar'!$F$817)))</f>
        <v/>
      </c>
      <c r="E85" s="161">
        <f>IF(EG85="","",IF(ISNUMBER('Dvd Calendar'!$G$817)=FALSE,"",IF((('Dvd Calendar'!$G$819=TYPE1)*(TYPE1&lt;&gt;"")+('Dvd Calendar'!$G$819=TYPE2)*(TYPE2&lt;&gt;"")+('Dvd Calendar'!$G$819=TYPE3)*(TYPE3&lt;&gt;"")+('Dvd Calendar'!$G$819=TYPE4)*(TYPE4&lt;&gt;"")+('Dvd Calendar'!$G$819=SPECIAL_LBL)*(INC_SPECIALS="Y"))=0,"",'Dvd Calendar'!$G$817)))</f>
        <v/>
      </c>
      <c r="F85" s="161">
        <f>IF(EH85="","",IF(ISNUMBER('Dvd Calendar'!$H$817)=FALSE,"",IF((('Dvd Calendar'!$H$819=TYPE1)*(TYPE1&lt;&gt;"")+('Dvd Calendar'!$H$819=TYPE2)*(TYPE2&lt;&gt;"")+('Dvd Calendar'!$H$819=TYPE3)*(TYPE3&lt;&gt;"")+('Dvd Calendar'!$H$819=TYPE4)*(TYPE4&lt;&gt;"")+('Dvd Calendar'!$H$819=SPECIAL_LBL)*(INC_SPECIALS="Y"))=0,"",'Dvd Calendar'!$H$817)))</f>
        <v/>
      </c>
      <c r="G85" s="161">
        <f>IF(EI85="","",IF(ISNUMBER('Dvd Calendar'!$I$817)=FALSE,"",IF((('Dvd Calendar'!$I$819=TYPE1)*(TYPE1&lt;&gt;"")+('Dvd Calendar'!$I$819=TYPE2)*(TYPE2&lt;&gt;"")+('Dvd Calendar'!$I$819=TYPE3)*(TYPE3&lt;&gt;"")+('Dvd Calendar'!$I$819=TYPE4)*(TYPE4&lt;&gt;"")+('Dvd Calendar'!$I$819=SPECIAL_LBL)*(INC_SPECIALS="Y"))=0,"",'Dvd Calendar'!$I$817)))</f>
        <v/>
      </c>
      <c r="H85" s="161">
        <f>IF(EJ85="","",IF(ISNUMBER('Dvd Calendar'!$J$817)=FALSE,"",IF((('Dvd Calendar'!$J$819=TYPE1)*(TYPE1&lt;&gt;"")+('Dvd Calendar'!$J$819=TYPE2)*(TYPE2&lt;&gt;"")+('Dvd Calendar'!$J$819=TYPE3)*(TYPE3&lt;&gt;"")+('Dvd Calendar'!$J$819=TYPE4)*(TYPE4&lt;&gt;"")+('Dvd Calendar'!$J$819=SPECIAL_LBL)*(INC_SPECIALS="Y"))=0,"",'Dvd Calendar'!$J$817)))</f>
        <v/>
      </c>
      <c r="I85" s="161">
        <f>IF(EK85="","",IF(ISNUMBER('Dvd Calendar'!$K$817)=FALSE,"",IF((('Dvd Calendar'!$K$819=TYPE1)*(TYPE1&lt;&gt;"")+('Dvd Calendar'!$K$819=TYPE2)*(TYPE2&lt;&gt;"")+('Dvd Calendar'!$K$819=TYPE3)*(TYPE3&lt;&gt;"")+('Dvd Calendar'!$K$819=TYPE4)*(TYPE4&lt;&gt;"")+('Dvd Calendar'!$K$819=SPECIAL_LBL)*(INC_SPECIALS="Y"))=0,"",'Dvd Calendar'!$K$817)))</f>
        <v/>
      </c>
      <c r="J85" s="161">
        <f>IF(EL85="","",IF(ISNUMBER('Dvd Calendar'!$L$817)=FALSE,"",IF((('Dvd Calendar'!$L$819=TYPE1)*(TYPE1&lt;&gt;"")+('Dvd Calendar'!$L$819=TYPE2)*(TYPE2&lt;&gt;"")+('Dvd Calendar'!$L$819=TYPE3)*(TYPE3&lt;&gt;"")+('Dvd Calendar'!$L$819=TYPE4)*(TYPE4&lt;&gt;"")+('Dvd Calendar'!$L$819=SPECIAL_LBL)*(INC_SPECIALS="Y"))=0,"",'Dvd Calendar'!$L$817)))</f>
        <v/>
      </c>
      <c r="K85" s="161">
        <f>IF(EM85="","",IF(ISNUMBER('Dvd Calendar'!$M$817)=FALSE,"",IF((('Dvd Calendar'!$M$819=TYPE1)*(TYPE1&lt;&gt;"")+('Dvd Calendar'!$M$819=TYPE2)*(TYPE2&lt;&gt;"")+('Dvd Calendar'!$M$819=TYPE3)*(TYPE3&lt;&gt;"")+('Dvd Calendar'!$M$819=TYPE4)*(TYPE4&lt;&gt;"")+('Dvd Calendar'!$M$819=SPECIAL_LBL)*(INC_SPECIALS="Y"))=0,"",'Dvd Calendar'!$M$817)))</f>
        <v/>
      </c>
      <c r="L85" s="161">
        <f>IF(EN85="","",IF(ISNUMBER('Dvd Calendar'!$N$817)=FALSE,"",IF((('Dvd Calendar'!$N$819=TYPE1)*(TYPE1&lt;&gt;"")+('Dvd Calendar'!$N$819=TYPE2)*(TYPE2&lt;&gt;"")+('Dvd Calendar'!$N$819=TYPE3)*(TYPE3&lt;&gt;"")+('Dvd Calendar'!$N$819=TYPE4)*(TYPE4&lt;&gt;"")+('Dvd Calendar'!$N$819=SPECIAL_LBL)*(INC_SPECIALS="Y"))=0,"",'Dvd Calendar'!$N$817)))</f>
        <v/>
      </c>
      <c r="M85" s="161">
        <f>IF(EO85="","",IF(ISNUMBER('Dvd Calendar'!$O$817)=FALSE,"",IF((('Dvd Calendar'!$O$819=TYPE1)*(TYPE1&lt;&gt;"")+('Dvd Calendar'!$O$819=TYPE2)*(TYPE2&lt;&gt;"")+('Dvd Calendar'!$O$819=TYPE3)*(TYPE3&lt;&gt;"")+('Dvd Calendar'!$O$819=TYPE4)*(TYPE4&lt;&gt;"")+('Dvd Calendar'!$O$819=SPECIAL_LBL)*(INC_SPECIALS="Y"))=0,"",'Dvd Calendar'!$O$817)))</f>
        <v/>
      </c>
      <c r="N85" s="161">
        <f>IF(EP85="","",IF(ISNUMBER('Dvd Calendar'!$P$817)=FALSE,"",IF((('Dvd Calendar'!$P$819=TYPE1)*(TYPE1&lt;&gt;"")+('Dvd Calendar'!$P$819=TYPE2)*(TYPE2&lt;&gt;"")+('Dvd Calendar'!$P$819=TYPE3)*(TYPE3&lt;&gt;"")+('Dvd Calendar'!$P$819=TYPE4)*(TYPE4&lt;&gt;"")+('Dvd Calendar'!$P$819=SPECIAL_LBL)*(INC_SPECIALS="Y"))=0,"",'Dvd Calendar'!$P$817)))</f>
        <v/>
      </c>
      <c r="O85" s="161">
        <f>IF(EQ85="","",IF(ISNUMBER('Dvd Calendar'!$Q$817)=FALSE,"",IF((('Dvd Calendar'!$Q$819=TYPE1)*(TYPE1&lt;&gt;"")+('Dvd Calendar'!$Q$819=TYPE2)*(TYPE2&lt;&gt;"")+('Dvd Calendar'!$Q$819=TYPE3)*(TYPE3&lt;&gt;"")+('Dvd Calendar'!$Q$819=TYPE4)*(TYPE4&lt;&gt;"")+('Dvd Calendar'!$Q$819=SPECIAL_LBL)*(INC_SPECIALS="Y"))=0,"",'Dvd Calendar'!$Q$817)))</f>
        <v/>
      </c>
      <c r="P85" s="161">
        <f>IF(ER85="","",IF(ISNUMBER('Dvd Calendar'!$R$817)=FALSE,"",IF((('Dvd Calendar'!$R$819=TYPE1)*(TYPE1&lt;&gt;"")+('Dvd Calendar'!$R$819=TYPE2)*(TYPE2&lt;&gt;"")+('Dvd Calendar'!$R$819=TYPE3)*(TYPE3&lt;&gt;"")+('Dvd Calendar'!$R$819=TYPE4)*(TYPE4&lt;&gt;"")+('Dvd Calendar'!$R$819=SPECIAL_LBL)*(INC_SPECIALS="Y"))=0,"",'Dvd Calendar'!$R$817)))</f>
        <v/>
      </c>
      <c r="Q85" s="161">
        <f>IF(ES85="","",IF(ISNUMBER('Dvd Calendar'!$S$817)=FALSE,"",IF((('Dvd Calendar'!$S$819=TYPE1)*(TYPE1&lt;&gt;"")+('Dvd Calendar'!$S$819=TYPE2)*(TYPE2&lt;&gt;"")+('Dvd Calendar'!$S$819=TYPE3)*(TYPE3&lt;&gt;"")+('Dvd Calendar'!$S$819=TYPE4)*(TYPE4&lt;&gt;"")+('Dvd Calendar'!$S$819=SPECIAL_LBL)*(INC_SPECIALS="Y"))=0,"",'Dvd Calendar'!$S$817)))</f>
        <v/>
      </c>
      <c r="R85" s="161">
        <f>IF(ET85="","",IF(ISNUMBER('Dvd Calendar'!$T$817)=FALSE,"",IF((('Dvd Calendar'!$T$819=TYPE1)*(TYPE1&lt;&gt;"")+('Dvd Calendar'!$T$819=TYPE2)*(TYPE2&lt;&gt;"")+('Dvd Calendar'!$T$819=TYPE3)*(TYPE3&lt;&gt;"")+('Dvd Calendar'!$T$819=TYPE4)*(TYPE4&lt;&gt;"")+('Dvd Calendar'!$T$819=SPECIAL_LBL)*(INC_SPECIALS="Y"))=0,"",'Dvd Calendar'!$T$817)))</f>
        <v/>
      </c>
      <c r="S85" s="161">
        <f>IF(EU85="","",IF(ISNUMBER('Dvd Calendar'!$U$817)=FALSE,"",IF((('Dvd Calendar'!$U$819=TYPE1)*(TYPE1&lt;&gt;"")+('Dvd Calendar'!$U$819=TYPE2)*(TYPE2&lt;&gt;"")+('Dvd Calendar'!$U$819=TYPE3)*(TYPE3&lt;&gt;"")+('Dvd Calendar'!$U$819=TYPE4)*(TYPE4&lt;&gt;"")+('Dvd Calendar'!$U$819=SPECIAL_LBL)*(INC_SPECIALS="Y"))=0,"",'Dvd Calendar'!$U$817)))</f>
        <v/>
      </c>
      <c r="T85" s="161">
        <f>IF(EV85="","",IF(ISNUMBER('Dvd Calendar'!$V$817)=FALSE,"",IF((('Dvd Calendar'!$V$819=TYPE1)*(TYPE1&lt;&gt;"")+('Dvd Calendar'!$V$819=TYPE2)*(TYPE2&lt;&gt;"")+('Dvd Calendar'!$V$819=TYPE3)*(TYPE3&lt;&gt;"")+('Dvd Calendar'!$V$819=TYPE4)*(TYPE4&lt;&gt;"")+('Dvd Calendar'!$V$819=SPECIAL_LBL)*(INC_SPECIALS="Y"))=0,"",'Dvd Calendar'!$V$817)))</f>
        <v/>
      </c>
      <c r="U85" s="161">
        <f>IF(EW85="","",IF(ISNUMBER('Dvd Calendar'!$W$817)=FALSE,"",IF((('Dvd Calendar'!$W$819=TYPE1)*(TYPE1&lt;&gt;"")+('Dvd Calendar'!$W$819=TYPE2)*(TYPE2&lt;&gt;"")+('Dvd Calendar'!$W$819=TYPE3)*(TYPE3&lt;&gt;"")+('Dvd Calendar'!$W$819=TYPE4)*(TYPE4&lt;&gt;"")+('Dvd Calendar'!$W$819=SPECIAL_LBL)*(INC_SPECIALS="Y"))=0,"",'Dvd Calendar'!$W$817)))</f>
        <v/>
      </c>
      <c r="V85" s="161">
        <f>IF(EX85="","",IF(ISNUMBER('Dvd Calendar'!$X$817)=FALSE,"",IF((('Dvd Calendar'!$X$819=TYPE1)*(TYPE1&lt;&gt;"")+('Dvd Calendar'!$X$819=TYPE2)*(TYPE2&lt;&gt;"")+('Dvd Calendar'!$X$819=TYPE3)*(TYPE3&lt;&gt;"")+('Dvd Calendar'!$X$819=TYPE4)*(TYPE4&lt;&gt;"")+('Dvd Calendar'!$X$819=SPECIAL_LBL)*(INC_SPECIALS="Y"))=0,"",'Dvd Calendar'!$X$817)))</f>
        <v/>
      </c>
      <c r="W85" s="161">
        <f>IF(EY85="","",IF(ISNUMBER('Dvd Calendar'!$Y$817)=FALSE,"",IF((('Dvd Calendar'!$Y$819=TYPE1)*(TYPE1&lt;&gt;"")+('Dvd Calendar'!$Y$819=TYPE2)*(TYPE2&lt;&gt;"")+('Dvd Calendar'!$Y$819=TYPE3)*(TYPE3&lt;&gt;"")+('Dvd Calendar'!$Y$819=TYPE4)*(TYPE4&lt;&gt;"")+('Dvd Calendar'!$Y$819=SPECIAL_LBL)*(INC_SPECIALS="Y"))=0,"",'Dvd Calendar'!$Y$817)))</f>
        <v/>
      </c>
      <c r="X85" s="161">
        <f>IF(EZ85="","",IF(ISNUMBER('Dvd Calendar'!$Z$817)=FALSE,"",IF((('Dvd Calendar'!$Z$819=TYPE1)*(TYPE1&lt;&gt;"")+('Dvd Calendar'!$Z$819=TYPE2)*(TYPE2&lt;&gt;"")+('Dvd Calendar'!$Z$819=TYPE3)*(TYPE3&lt;&gt;"")+('Dvd Calendar'!$Z$819=TYPE4)*(TYPE4&lt;&gt;"")+('Dvd Calendar'!$Z$819=SPECIAL_LBL)*(INC_SPECIALS="Y"))=0,"",'Dvd Calendar'!$Z$817)))</f>
        <v/>
      </c>
      <c r="Y85" s="161">
        <f>IF(FA85="","",IF(ISNUMBER('Dvd Calendar'!$AA$817)=FALSE,"",IF((('Dvd Calendar'!$AA$819=TYPE1)*(TYPE1&lt;&gt;"")+('Dvd Calendar'!$AA$819=TYPE2)*(TYPE2&lt;&gt;"")+('Dvd Calendar'!$AA$819=TYPE3)*(TYPE3&lt;&gt;"")+('Dvd Calendar'!$AA$819=TYPE4)*(TYPE4&lt;&gt;"")+('Dvd Calendar'!$AA$819=SPECIAL_LBL)*(INC_SPECIALS="Y"))=0,"",'Dvd Calendar'!$AA$817)))</f>
        <v/>
      </c>
      <c r="Z85" s="161">
        <f>IF(FB85="","",IF(ISNUMBER('Dvd Calendar'!$AB$817)=FALSE,"",IF((('Dvd Calendar'!$AB$819=TYPE1)*(TYPE1&lt;&gt;"")+('Dvd Calendar'!$AB$819=TYPE2)*(TYPE2&lt;&gt;"")+('Dvd Calendar'!$AB$819=TYPE3)*(TYPE3&lt;&gt;"")+('Dvd Calendar'!$AB$819=TYPE4)*(TYPE4&lt;&gt;"")+('Dvd Calendar'!$AB$819=SPECIAL_LBL)*(INC_SPECIALS="Y"))=0,"",'Dvd Calendar'!$AB$817)))</f>
        <v/>
      </c>
      <c r="AA85" s="161">
        <f>IF(FC85="","",IF(ISNUMBER('Dvd Calendar'!$AC$817)=FALSE,"",IF((('Dvd Calendar'!$AC$819=TYPE1)*(TYPE1&lt;&gt;"")+('Dvd Calendar'!$AC$819=TYPE2)*(TYPE2&lt;&gt;"")+('Dvd Calendar'!$AC$819=TYPE3)*(TYPE3&lt;&gt;"")+('Dvd Calendar'!$AC$819=TYPE4)*(TYPE4&lt;&gt;"")+('Dvd Calendar'!$AC$819=SPECIAL_LBL)*(INC_SPECIALS="Y"))=0,"",'Dvd Calendar'!$AC$817)))</f>
        <v/>
      </c>
      <c r="AB85" s="161">
        <f>IF(FD85="","",IF(ISNUMBER('Dvd Calendar'!$AD$817)=FALSE,"",IF((('Dvd Calendar'!$AD$819=TYPE1)*(TYPE1&lt;&gt;"")+('Dvd Calendar'!$AD$819=TYPE2)*(TYPE2&lt;&gt;"")+('Dvd Calendar'!$AD$819=TYPE3)*(TYPE3&lt;&gt;"")+('Dvd Calendar'!$AD$819=TYPE4)*(TYPE4&lt;&gt;"")+('Dvd Calendar'!$AD$819=SPECIAL_LBL)*(INC_SPECIALS="Y"))=0,"",'Dvd Calendar'!$AD$817)))</f>
        <v/>
      </c>
      <c r="AC85" s="161">
        <f>IF(FE85="","",IF(ISNUMBER('Dvd Calendar'!$AE$817)=FALSE,"",IF((('Dvd Calendar'!$AE$819=TYPE1)*(TYPE1&lt;&gt;"")+('Dvd Calendar'!$AE$819=TYPE2)*(TYPE2&lt;&gt;"")+('Dvd Calendar'!$AE$819=TYPE3)*(TYPE3&lt;&gt;"")+('Dvd Calendar'!$AE$819=TYPE4)*(TYPE4&lt;&gt;"")+('Dvd Calendar'!$AE$819=SPECIAL_LBL)*(INC_SPECIALS="Y"))=0,"",'Dvd Calendar'!$AE$817)))</f>
        <v/>
      </c>
      <c r="AD85" s="161">
        <f>IF(FF85="","",IF(ISNUMBER('Dvd Calendar'!$AF$817)=FALSE,"",IF((('Dvd Calendar'!$AF$819=TYPE1)*(TYPE1&lt;&gt;"")+('Dvd Calendar'!$AF$819=TYPE2)*(TYPE2&lt;&gt;"")+('Dvd Calendar'!$AF$819=TYPE3)*(TYPE3&lt;&gt;"")+('Dvd Calendar'!$AF$819=TYPE4)*(TYPE4&lt;&gt;"")+('Dvd Calendar'!$AF$819=SPECIAL_LBL)*(INC_SPECIALS="Y"))=0,"",'Dvd Calendar'!$AF$817)))</f>
        <v/>
      </c>
      <c r="AE85" s="161">
        <f>IF(FG85="","",IF(ISNUMBER('Dvd Calendar'!$AG$817)=FALSE,"",IF((('Dvd Calendar'!$AG$819=TYPE1)*(TYPE1&lt;&gt;"")+('Dvd Calendar'!$AG$819=TYPE2)*(TYPE2&lt;&gt;"")+('Dvd Calendar'!$AG$819=TYPE3)*(TYPE3&lt;&gt;"")+('Dvd Calendar'!$AG$819=TYPE4)*(TYPE4&lt;&gt;"")+('Dvd Calendar'!$AG$819=SPECIAL_LBL)*(INC_SPECIALS="Y"))=0,"",'Dvd Calendar'!$AG$817)))</f>
        <v/>
      </c>
      <c r="AF85" s="161">
        <f>IF(FH85="","",IF(ISNUMBER('Dvd Calendar'!$AH$817)=FALSE,"",IF((('Dvd Calendar'!$AH$819=TYPE1)*(TYPE1&lt;&gt;"")+('Dvd Calendar'!$AH$819=TYPE2)*(TYPE2&lt;&gt;"")+('Dvd Calendar'!$AH$819=TYPE3)*(TYPE3&lt;&gt;"")+('Dvd Calendar'!$AH$819=TYPE4)*(TYPE4&lt;&gt;"")+('Dvd Calendar'!$AH$819=SPECIAL_LBL)*(INC_SPECIALS="Y"))=0,"",'Dvd Calendar'!$AH$817)))</f>
        <v/>
      </c>
      <c r="AG85" s="161">
        <f>IF(FI85="","",IF(ISNUMBER('Dvd Calendar'!$AI$817)=FALSE,"",IF((('Dvd Calendar'!$AI$819=TYPE1)*(TYPE1&lt;&gt;"")+('Dvd Calendar'!$AI$819=TYPE2)*(TYPE2&lt;&gt;"")+('Dvd Calendar'!$AI$819=TYPE3)*(TYPE3&lt;&gt;"")+('Dvd Calendar'!$AI$819=TYPE4)*(TYPE4&lt;&gt;"")+('Dvd Calendar'!$AI$819=SPECIAL_LBL)*(INC_SPECIALS="Y"))=0,"",'Dvd Calendar'!$AI$817)))</f>
        <v/>
      </c>
      <c r="AH85" s="161">
        <f>IF(FJ85="","",IF(ISNUMBER('Dvd Calendar'!$AJ$817)=FALSE,"",IF((('Dvd Calendar'!$AJ$819=TYPE1)*(TYPE1&lt;&gt;"")+('Dvd Calendar'!$AJ$819=TYPE2)*(TYPE2&lt;&gt;"")+('Dvd Calendar'!$AJ$819=TYPE3)*(TYPE3&lt;&gt;"")+('Dvd Calendar'!$AJ$819=TYPE4)*(TYPE4&lt;&gt;"")+('Dvd Calendar'!$AJ$819=SPECIAL_LBL)*(INC_SPECIALS="Y"))=0,"",'Dvd Calendar'!$AJ$817)))</f>
        <v/>
      </c>
      <c r="AI85" s="161">
        <f>IF(FK85="","",IF(ISNUMBER('Dvd Calendar'!$AK$817)=FALSE,"",IF((('Dvd Calendar'!$AK$819=TYPE1)*(TYPE1&lt;&gt;"")+('Dvd Calendar'!$AK$819=TYPE2)*(TYPE2&lt;&gt;"")+('Dvd Calendar'!$AK$819=TYPE3)*(TYPE3&lt;&gt;"")+('Dvd Calendar'!$AK$819=TYPE4)*(TYPE4&lt;&gt;"")+('Dvd Calendar'!$AK$819=SPECIAL_LBL)*(INC_SPECIALS="Y"))=0,"",'Dvd Calendar'!$AK$817)))</f>
        <v/>
      </c>
      <c r="AJ85" s="161">
        <f>IF(FL85="","",IF(ISNUMBER('Dvd Calendar'!$AL$817)=FALSE,"",IF((('Dvd Calendar'!$AL$819=TYPE1)*(TYPE1&lt;&gt;"")+('Dvd Calendar'!$AL$819=TYPE2)*(TYPE2&lt;&gt;"")+('Dvd Calendar'!$AL$819=TYPE3)*(TYPE3&lt;&gt;"")+('Dvd Calendar'!$AL$819=TYPE4)*(TYPE4&lt;&gt;"")+('Dvd Calendar'!$AL$819=SPECIAL_LBL)*(INC_SPECIALS="Y"))=0,"",'Dvd Calendar'!$AL$817)))</f>
        <v/>
      </c>
      <c r="AK85" s="161">
        <f>IF(FM85="","",IF(ISNUMBER('Dvd Calendar'!$AM$817)=FALSE,"",IF((('Dvd Calendar'!$AM$819=TYPE1)*(TYPE1&lt;&gt;"")+('Dvd Calendar'!$AM$819=TYPE2)*(TYPE2&lt;&gt;"")+('Dvd Calendar'!$AM$819=TYPE3)*(TYPE3&lt;&gt;"")+('Dvd Calendar'!$AM$819=TYPE4)*(TYPE4&lt;&gt;"")+('Dvd Calendar'!$AM$819=SPECIAL_LBL)*(INC_SPECIALS="Y"))=0,"",'Dvd Calendar'!$AM$817)))</f>
        <v/>
      </c>
      <c r="AL85" s="161">
        <f>IF(FN85="","",IF(ISNUMBER('Dvd Calendar'!$AN$817)=FALSE,"",IF((('Dvd Calendar'!$AN$819=TYPE1)*(TYPE1&lt;&gt;"")+('Dvd Calendar'!$AN$819=TYPE2)*(TYPE2&lt;&gt;"")+('Dvd Calendar'!$AN$819=TYPE3)*(TYPE3&lt;&gt;"")+('Dvd Calendar'!$AN$819=TYPE4)*(TYPE4&lt;&gt;"")+('Dvd Calendar'!$AN$819=SPECIAL_LBL)*(INC_SPECIALS="Y"))=0,"",'Dvd Calendar'!$AN$817)))</f>
        <v/>
      </c>
      <c r="AM85" s="161">
        <f>IF(FO85="","",IF(ISNUMBER('Dvd Calendar'!$AO$817)=FALSE,"",IF((('Dvd Calendar'!$AO$819=TYPE1)*(TYPE1&lt;&gt;"")+('Dvd Calendar'!$AO$819=TYPE2)*(TYPE2&lt;&gt;"")+('Dvd Calendar'!$AO$819=TYPE3)*(TYPE3&lt;&gt;"")+('Dvd Calendar'!$AO$819=TYPE4)*(TYPE4&lt;&gt;"")+('Dvd Calendar'!$AO$819=SPECIAL_LBL)*(INC_SPECIALS="Y"))=0,"",'Dvd Calendar'!$AO$817)))</f>
        <v/>
      </c>
      <c r="AN85" s="161">
        <f>IF(FP85="","",IF(ISNUMBER('Dvd Calendar'!$AP$817)=FALSE,"",IF((('Dvd Calendar'!$AP$819=TYPE1)*(TYPE1&lt;&gt;"")+('Dvd Calendar'!$AP$819=TYPE2)*(TYPE2&lt;&gt;"")+('Dvd Calendar'!$AP$819=TYPE3)*(TYPE3&lt;&gt;"")+('Dvd Calendar'!$AP$819=TYPE4)*(TYPE4&lt;&gt;"")+('Dvd Calendar'!$AP$819=SPECIAL_LBL)*(INC_SPECIALS="Y"))=0,"",'Dvd Calendar'!$AP$817)))</f>
        <v/>
      </c>
      <c r="AO85" s="161">
        <f>IF(FQ85="","",IF(ISNUMBER('Dvd Calendar'!$AQ$817)=FALSE,"",IF((('Dvd Calendar'!$AQ$819=TYPE1)*(TYPE1&lt;&gt;"")+('Dvd Calendar'!$AQ$819=TYPE2)*(TYPE2&lt;&gt;"")+('Dvd Calendar'!$AQ$819=TYPE3)*(TYPE3&lt;&gt;"")+('Dvd Calendar'!$AQ$819=TYPE4)*(TYPE4&lt;&gt;"")+('Dvd Calendar'!$AQ$819=SPECIAL_LBL)*(INC_SPECIALS="Y"))=0,"",'Dvd Calendar'!$AQ$817)))</f>
        <v/>
      </c>
      <c r="AP85" s="161">
        <f>IF(FR85="","",IF(ISNUMBER('Dvd Calendar'!$AR$817)=FALSE,"",IF((('Dvd Calendar'!$AR$819=TYPE1)*(TYPE1&lt;&gt;"")+('Dvd Calendar'!$AR$819=TYPE2)*(TYPE2&lt;&gt;"")+('Dvd Calendar'!$AR$819=TYPE3)*(TYPE3&lt;&gt;"")+('Dvd Calendar'!$AR$819=TYPE4)*(TYPE4&lt;&gt;"")+('Dvd Calendar'!$AR$819=SPECIAL_LBL)*(INC_SPECIALS="Y"))=0,"",'Dvd Calendar'!$AR$817)))</f>
        <v/>
      </c>
      <c r="AQ85" s="161">
        <f>IF(FS85="","",IF(ISNUMBER('Dvd Calendar'!$E$822)=FALSE,"",'Dvd Calendar'!$E$822))</f>
        <v/>
      </c>
      <c r="AR85" s="161">
        <f>IF(FT85="","",IF(ISNUMBER('Dvd Calendar'!$F$822)=FALSE,"",'Dvd Calendar'!$F$822))</f>
        <v/>
      </c>
      <c r="AS85" s="161">
        <f>IF(FU85="","",IF(ISNUMBER('Dvd Calendar'!$G$822)=FALSE,"",'Dvd Calendar'!$G$822))</f>
        <v/>
      </c>
      <c r="AT85" s="161">
        <f>IF(FV85="","",IF(ISNUMBER('Dvd Calendar'!$H$822)=FALSE,"",'Dvd Calendar'!$H$822))</f>
        <v/>
      </c>
      <c r="AU85" s="161">
        <f>IF(FW85="","",IF(ISNUMBER('Dvd Calendar'!$I$822)=FALSE,"",'Dvd Calendar'!$I$822))</f>
        <v/>
      </c>
      <c r="AV85" s="161">
        <f>IF(FX85="","",IF(ISNUMBER('Dvd Calendar'!$J$822)=FALSE,"",'Dvd Calendar'!$J$822))</f>
        <v/>
      </c>
      <c r="AW85" s="161">
        <f>IF(FY85="","",IF(ISNUMBER('Dvd Calendar'!$K$822)=FALSE,"",'Dvd Calendar'!$K$822))</f>
        <v/>
      </c>
      <c r="AX85" s="161">
        <f>IF(FZ85="","",IF(ISNUMBER('Dvd Calendar'!$L$822)=FALSE,"",'Dvd Calendar'!$L$822))</f>
        <v/>
      </c>
      <c r="AY85" s="161">
        <f>IF(GA85="","",IF(ISNUMBER('Dvd Calendar'!$M$822)=FALSE,"",'Dvd Calendar'!$M$822))</f>
        <v/>
      </c>
      <c r="AZ85" s="161">
        <f>IF(GB85="","",IF(ISNUMBER('Dvd Calendar'!$N$822)=FALSE,"",'Dvd Calendar'!$N$822))</f>
        <v/>
      </c>
      <c r="BA85" s="161">
        <f>IF(GC85="","",IF(ISNUMBER('Dvd Calendar'!$O$822)=FALSE,"",'Dvd Calendar'!$O$822))</f>
        <v/>
      </c>
      <c r="BB85" s="161">
        <f>IF(GD85="","",IF(ISNUMBER('Dvd Calendar'!$P$822)=FALSE,"",'Dvd Calendar'!$P$822))</f>
        <v/>
      </c>
      <c r="BC85" s="161">
        <f>IF(GE85="","",IF(ISNUMBER('Dvd Calendar'!$Q$822)=FALSE,"",'Dvd Calendar'!$Q$822))</f>
        <v/>
      </c>
      <c r="BD85" s="161">
        <f>IF(GF85="","",IF(ISNUMBER('Dvd Calendar'!$R$822)=FALSE,"",'Dvd Calendar'!$R$822))</f>
        <v/>
      </c>
      <c r="BE85" s="161">
        <f>IF(GG85="","",IF(ISNUMBER('Dvd Calendar'!$S$822)=FALSE,"",'Dvd Calendar'!$S$822))</f>
        <v/>
      </c>
      <c r="BF85" s="161">
        <f>IF(GH85="","",IF(ISNUMBER('Dvd Calendar'!$T$822)=FALSE,"",'Dvd Calendar'!$T$822))</f>
        <v/>
      </c>
      <c r="BG85" s="161">
        <f>IF(GI85="","",IF(ISNUMBER('Dvd Calendar'!$U$822)=FALSE,"",'Dvd Calendar'!$U$822))</f>
        <v/>
      </c>
      <c r="BH85" s="161">
        <f>IF(GJ85="","",IF(ISNUMBER('Dvd Calendar'!$V$822)=FALSE,"",'Dvd Calendar'!$V$822))</f>
        <v/>
      </c>
      <c r="BI85" s="161">
        <f>IF(GK85="","",IF(ISNUMBER('Dvd Calendar'!$W$822)=FALSE,"",'Dvd Calendar'!$W$822))</f>
        <v/>
      </c>
      <c r="BJ85" s="161">
        <f>IF(GL85="","",IF(ISNUMBER('Dvd Calendar'!$X$822)=FALSE,"",'Dvd Calendar'!$X$822))</f>
        <v/>
      </c>
      <c r="BK85" s="161">
        <f>IF(GM85="","",IF(ISNUMBER('Dvd Calendar'!$Y$822)=FALSE,"",'Dvd Calendar'!$Y$822))</f>
        <v/>
      </c>
      <c r="BL85" s="161">
        <f>IF(GN85="","",IF(ISNUMBER('Dvd Calendar'!$Z$822)=FALSE,"",'Dvd Calendar'!$Z$822))</f>
        <v/>
      </c>
      <c r="BM85" s="161">
        <f>IF(GO85="","",IF(ISNUMBER('Dvd Calendar'!$AA$822)=FALSE,"",'Dvd Calendar'!$AA$822))</f>
        <v/>
      </c>
      <c r="BN85" s="161">
        <f>IF(GP85="","",IF(ISNUMBER('Dvd Calendar'!$AB$822)=FALSE,"",'Dvd Calendar'!$AB$822))</f>
        <v/>
      </c>
      <c r="BO85" s="161">
        <f>IF(GQ85="","",IF(ISNUMBER('Dvd Calendar'!$AC$822)=FALSE,"",'Dvd Calendar'!$AC$822))</f>
        <v/>
      </c>
      <c r="BQ85" s="161">
        <f>IF(C85="","",IFERROR(C85*HSI!$B$80*HSI!$G$80/HSI!$B$3,""))</f>
        <v/>
      </c>
      <c r="BR85" s="161">
        <f>IF(D85="","",IFERROR(D85*HSI!$B$80*HSI!$G$80/HSI!$B$3,""))</f>
        <v/>
      </c>
      <c r="BS85" s="161">
        <f>IF(E85="","",IFERROR(E85*HSI!$B$80*HSI!$G$80/HSI!$B$3,""))</f>
        <v/>
      </c>
      <c r="BT85" s="161">
        <f>IF(F85="","",IFERROR(F85*HSI!$B$80*HSI!$G$80/HSI!$B$3,""))</f>
        <v/>
      </c>
      <c r="BU85" s="161">
        <f>IF(G85="","",IFERROR(G85*HSI!$B$80*HSI!$G$80/HSI!$B$3,""))</f>
        <v/>
      </c>
      <c r="BV85" s="161">
        <f>IF(H85="","",IFERROR(H85*HSI!$B$80*HSI!$G$80/HSI!$B$3,""))</f>
        <v/>
      </c>
      <c r="BW85" s="161">
        <f>IF(I85="","",IFERROR(I85*HSI!$B$80*HSI!$G$80/HSI!$B$3,""))</f>
        <v/>
      </c>
      <c r="BX85" s="161">
        <f>IF(J85="","",IFERROR(J85*HSI!$B$80*HSI!$G$80/HSI!$B$3,""))</f>
        <v/>
      </c>
      <c r="BY85" s="161">
        <f>IF(K85="","",IFERROR(K85*HSI!$B$80*HSI!$G$80/HSI!$B$3,""))</f>
        <v/>
      </c>
      <c r="BZ85" s="161">
        <f>IF(L85="","",IFERROR(L85*HSI!$B$80*HSI!$G$80/HSI!$B$3,""))</f>
        <v/>
      </c>
      <c r="CA85" s="161">
        <f>IF(M85="","",IFERROR(M85*HSI!$B$80*HSI!$G$80/HSI!$B$3,""))</f>
        <v/>
      </c>
      <c r="CB85" s="161">
        <f>IF(N85="","",IFERROR(N85*HSI!$B$80*HSI!$G$80/HSI!$B$3,""))</f>
        <v/>
      </c>
      <c r="CC85" s="161">
        <f>IF(O85="","",IFERROR(O85*HSI!$B$80*HSI!$G$80/HSI!$B$3,""))</f>
        <v/>
      </c>
      <c r="CD85" s="161">
        <f>IF(P85="","",IFERROR(P85*HSI!$B$80*HSI!$G$80/HSI!$B$3,""))</f>
        <v/>
      </c>
      <c r="CE85" s="161">
        <f>IF(Q85="","",IFERROR(Q85*HSI!$B$80*HSI!$G$80/HSI!$B$3,""))</f>
        <v/>
      </c>
      <c r="CF85" s="161">
        <f>IF(R85="","",IFERROR(R85*HSI!$B$80*HSI!$G$80/HSI!$B$3,""))</f>
        <v/>
      </c>
      <c r="CG85" s="161">
        <f>IF(S85="","",IFERROR(S85*HSI!$B$80*HSI!$G$80/HSI!$B$3,""))</f>
        <v/>
      </c>
      <c r="CH85" s="161">
        <f>IF(T85="","",IFERROR(T85*HSI!$B$80*HSI!$G$80/HSI!$B$3,""))</f>
        <v/>
      </c>
      <c r="CI85" s="161">
        <f>IF(U85="","",IFERROR(U85*HSI!$B$80*HSI!$G$80/HSI!$B$3,""))</f>
        <v/>
      </c>
      <c r="CJ85" s="161">
        <f>IF(V85="","",IFERROR(V85*HSI!$B$80*HSI!$G$80/HSI!$B$3,""))</f>
        <v/>
      </c>
      <c r="CK85" s="161">
        <f>IF(W85="","",IFERROR(W85*HSI!$B$80*HSI!$G$80/HSI!$B$3,""))</f>
        <v/>
      </c>
      <c r="CL85" s="161">
        <f>IF(X85="","",IFERROR(X85*HSI!$B$80*HSI!$G$80/HSI!$B$3,""))</f>
        <v/>
      </c>
      <c r="CM85" s="161">
        <f>IF(Y85="","",IFERROR(Y85*HSI!$B$80*HSI!$G$80/HSI!$B$3,""))</f>
        <v/>
      </c>
      <c r="CN85" s="161">
        <f>IF(Z85="","",IFERROR(Z85*HSI!$B$80*HSI!$G$80/HSI!$B$3,""))</f>
        <v/>
      </c>
      <c r="CO85" s="161">
        <f>IF(AA85="","",IFERROR(AA85*HSI!$B$80*HSI!$G$80/HSI!$B$3,""))</f>
        <v/>
      </c>
      <c r="CP85" s="161">
        <f>IF(AB85="","",IFERROR(AB85*HSI!$B$80*HSI!$G$80/HSI!$B$3,""))</f>
        <v/>
      </c>
      <c r="CQ85" s="161">
        <f>IF(AC85="","",IFERROR(AC85*HSI!$B$80*HSI!$G$80/HSI!$B$3,""))</f>
        <v/>
      </c>
      <c r="CR85" s="161">
        <f>IF(AD85="","",IFERROR(AD85*HSI!$B$80*HSI!$G$80/HSI!$B$3,""))</f>
        <v/>
      </c>
      <c r="CS85" s="161">
        <f>IF(AE85="","",IFERROR(AE85*HSI!$B$80*HSI!$G$80/HSI!$B$3,""))</f>
        <v/>
      </c>
      <c r="CT85" s="161">
        <f>IF(AF85="","",IFERROR(AF85*HSI!$B$80*HSI!$G$80/HSI!$B$3,""))</f>
        <v/>
      </c>
      <c r="CU85" s="161">
        <f>IF(AG85="","",IFERROR(AG85*HSI!$B$80*HSI!$G$80/HSI!$B$3,""))</f>
        <v/>
      </c>
      <c r="CV85" s="161">
        <f>IF(AH85="","",IFERROR(AH85*HSI!$B$80*HSI!$G$80/HSI!$B$3,""))</f>
        <v/>
      </c>
      <c r="CW85" s="161">
        <f>IF(AI85="","",IFERROR(AI85*HSI!$B$80*HSI!$G$80/HSI!$B$3,""))</f>
        <v/>
      </c>
      <c r="CX85" s="161">
        <f>IF(AJ85="","",IFERROR(AJ85*HSI!$B$80*HSI!$G$80/HSI!$B$3,""))</f>
        <v/>
      </c>
      <c r="CY85" s="161">
        <f>IF(AK85="","",IFERROR(AK85*HSI!$B$80*HSI!$G$80/HSI!$B$3,""))</f>
        <v/>
      </c>
      <c r="CZ85" s="161">
        <f>IF(AL85="","",IFERROR(AL85*HSI!$B$80*HSI!$G$80/HSI!$B$3,""))</f>
        <v/>
      </c>
      <c r="DA85" s="161">
        <f>IF(AM85="","",IFERROR(AM85*HSI!$B$80*HSI!$G$80/HSI!$B$3,""))</f>
        <v/>
      </c>
      <c r="DB85" s="161">
        <f>IF(AN85="","",IFERROR(AN85*HSI!$B$80*HSI!$G$80/HSI!$B$3,""))</f>
        <v/>
      </c>
      <c r="DC85" s="161">
        <f>IF(AO85="","",IFERROR(AO85*HSI!$B$80*HSI!$G$80/HSI!$B$3,""))</f>
        <v/>
      </c>
      <c r="DD85" s="161">
        <f>IF(AP85="","",IFERROR(AP85*HSI!$B$80*HSI!$G$80/HSI!$B$3,""))</f>
        <v/>
      </c>
      <c r="DE85" s="161">
        <f>IF(AQ85="","",IFERROR(AQ85*HSI!$B$80*HSI!$G$80/HSI!$B$3,""))</f>
        <v/>
      </c>
      <c r="DF85" s="161">
        <f>IF(AR85="","",IFERROR(AR85*HSI!$B$80*HSI!$G$80/HSI!$B$3,""))</f>
        <v/>
      </c>
      <c r="DG85" s="161">
        <f>IF(AS85="","",IFERROR(AS85*HSI!$B$80*HSI!$G$80/HSI!$B$3,""))</f>
        <v/>
      </c>
      <c r="DH85" s="161">
        <f>IF(AT85="","",IFERROR(AT85*HSI!$B$80*HSI!$G$80/HSI!$B$3,""))</f>
        <v/>
      </c>
      <c r="DI85" s="161">
        <f>IF(AU85="","",IFERROR(AU85*HSI!$B$80*HSI!$G$80/HSI!$B$3,""))</f>
        <v/>
      </c>
      <c r="DJ85" s="161">
        <f>IF(AV85="","",IFERROR(AV85*HSI!$B$80*HSI!$G$80/HSI!$B$3,""))</f>
        <v/>
      </c>
      <c r="DK85" s="161">
        <f>IF(AW85="","",IFERROR(AW85*HSI!$B$80*HSI!$G$80/HSI!$B$3,""))</f>
        <v/>
      </c>
      <c r="DL85" s="161">
        <f>IF(AX85="","",IFERROR(AX85*HSI!$B$80*HSI!$G$80/HSI!$B$3,""))</f>
        <v/>
      </c>
      <c r="DM85" s="161">
        <f>IF(AY85="","",IFERROR(AY85*HSI!$B$80*HSI!$G$80/HSI!$B$3,""))</f>
        <v/>
      </c>
      <c r="DN85" s="161">
        <f>IF(AZ85="","",IFERROR(AZ85*HSI!$B$80*HSI!$G$80/HSI!$B$3,""))</f>
        <v/>
      </c>
      <c r="DO85" s="161">
        <f>IF(BA85="","",IFERROR(BA85*HSI!$B$80*HSI!$G$80/HSI!$B$3,""))</f>
        <v/>
      </c>
      <c r="DP85" s="161">
        <f>IF(BB85="","",IFERROR(BB85*HSI!$B$80*HSI!$G$80/HSI!$B$3,""))</f>
        <v/>
      </c>
      <c r="DQ85" s="161">
        <f>IF(BC85="","",IFERROR(BC85*HSI!$B$80*HSI!$G$80/HSI!$B$3,""))</f>
        <v/>
      </c>
      <c r="DR85" s="161">
        <f>IF(BD85="","",IFERROR(BD85*HSI!$B$80*HSI!$G$80/HSI!$B$3,""))</f>
        <v/>
      </c>
      <c r="DS85" s="161">
        <f>IF(BE85="","",IFERROR(BE85*HSI!$B$80*HSI!$G$80/HSI!$B$3,""))</f>
        <v/>
      </c>
      <c r="DT85" s="161">
        <f>IF(BF85="","",IFERROR(BF85*HSI!$B$80*HSI!$G$80/HSI!$B$3,""))</f>
        <v/>
      </c>
      <c r="DU85" s="161">
        <f>IF(BG85="","",IFERROR(BG85*HSI!$B$80*HSI!$G$80/HSI!$B$3,""))</f>
        <v/>
      </c>
      <c r="DV85" s="161">
        <f>IF(BH85="","",IFERROR(BH85*HSI!$B$80*HSI!$G$80/HSI!$B$3,""))</f>
        <v/>
      </c>
      <c r="DW85" s="161">
        <f>IF(BI85="","",IFERROR(BI85*HSI!$B$80*HSI!$G$80/HSI!$B$3,""))</f>
        <v/>
      </c>
      <c r="DX85" s="161">
        <f>IF(BJ85="","",IFERROR(BJ85*HSI!$B$80*HSI!$G$80/HSI!$B$3,""))</f>
        <v/>
      </c>
      <c r="DY85" s="161">
        <f>IF(BK85="","",IFERROR(BK85*HSI!$B$80*HSI!$G$80/HSI!$B$3,""))</f>
        <v/>
      </c>
      <c r="DZ85" s="161">
        <f>IF(BL85="","",IFERROR(BL85*HSI!$B$80*HSI!$G$80/HSI!$B$3,""))</f>
        <v/>
      </c>
      <c r="EA85" s="161">
        <f>IF(BM85="","",IFERROR(BM85*HSI!$B$80*HSI!$G$80/HSI!$B$3,""))</f>
        <v/>
      </c>
      <c r="EB85" s="161">
        <f>IF(BN85="","",IFERROR(BN85*HSI!$B$80*HSI!$G$80/HSI!$B$3,""))</f>
        <v/>
      </c>
      <c r="EC85" s="161">
        <f>IF(BO85="","",IFERROR(BO85*HSI!$B$80*HSI!$G$80/HSI!$B$3,""))</f>
        <v/>
      </c>
      <c r="EE85" s="121">
        <f>IF(N('Dvd Calendar'!$E$814)=0,"",IF(('Dvd Calendar'!$E$814&gt;=GRID_FROM)*('Dvd Calendar'!$E$814&lt;=GRID_TO)*((('Dvd Calendar'!$E$814&lt;=VAL_DATE)+(COUNTIF('Dvd Calendar'!$E$821:$AR$821,'Dvd Calendar'!$E$814)=0))&gt;0)=0,"",'Dvd Calendar'!$E$814*1000000000+ISNUMBER('Dvd Calendar'!$E$817)*100000000+('Dvd Calendar'!$E$819=SPECIAL_LBL)*10000000+(N('Dvd Calendar'!$E$813)&gt;0)*(N('Dvd Calendar'!$E$813)&lt;=VAL_SERIAL)*1000000+74*1000+1))</f>
        <v/>
      </c>
      <c r="EF85" s="121">
        <f>IF(N('Dvd Calendar'!$F$814)=0,"",IF(('Dvd Calendar'!$F$814&gt;=GRID_FROM)*('Dvd Calendar'!$F$814&lt;=GRID_TO)*((('Dvd Calendar'!$F$814&lt;=VAL_DATE)+(COUNTIF('Dvd Calendar'!$E$821:$AR$821,'Dvd Calendar'!$F$814)=0))&gt;0)=0,"",'Dvd Calendar'!$F$814*1000000000+ISNUMBER('Dvd Calendar'!$F$817)*100000000+('Dvd Calendar'!$F$819=SPECIAL_LBL)*10000000+(N('Dvd Calendar'!$F$813)&gt;0)*(N('Dvd Calendar'!$F$813)&lt;=VAL_SERIAL)*1000000+74*1000+2))</f>
        <v/>
      </c>
      <c r="EG85" s="121">
        <f>IF(N('Dvd Calendar'!$G$814)=0,"",IF(('Dvd Calendar'!$G$814&gt;=GRID_FROM)*('Dvd Calendar'!$G$814&lt;=GRID_TO)*((('Dvd Calendar'!$G$814&lt;=VAL_DATE)+(COUNTIF('Dvd Calendar'!$E$821:$AR$821,'Dvd Calendar'!$G$814)=0))&gt;0)=0,"",'Dvd Calendar'!$G$814*1000000000+ISNUMBER('Dvd Calendar'!$G$817)*100000000+('Dvd Calendar'!$G$819=SPECIAL_LBL)*10000000+(N('Dvd Calendar'!$G$813)&gt;0)*(N('Dvd Calendar'!$G$813)&lt;=VAL_SERIAL)*1000000+74*1000+3))</f>
        <v/>
      </c>
      <c r="EH85" s="121">
        <f>IF(N('Dvd Calendar'!$H$814)=0,"",IF(('Dvd Calendar'!$H$814&gt;=GRID_FROM)*('Dvd Calendar'!$H$814&lt;=GRID_TO)*((('Dvd Calendar'!$H$814&lt;=VAL_DATE)+(COUNTIF('Dvd Calendar'!$E$821:$AR$821,'Dvd Calendar'!$H$814)=0))&gt;0)=0,"",'Dvd Calendar'!$H$814*1000000000+ISNUMBER('Dvd Calendar'!$H$817)*100000000+('Dvd Calendar'!$H$819=SPECIAL_LBL)*10000000+(N('Dvd Calendar'!$H$813)&gt;0)*(N('Dvd Calendar'!$H$813)&lt;=VAL_SERIAL)*1000000+74*1000+4))</f>
        <v/>
      </c>
      <c r="EI85" s="121">
        <f>IF(N('Dvd Calendar'!$I$814)=0,"",IF(('Dvd Calendar'!$I$814&gt;=GRID_FROM)*('Dvd Calendar'!$I$814&lt;=GRID_TO)*((('Dvd Calendar'!$I$814&lt;=VAL_DATE)+(COUNTIF('Dvd Calendar'!$E$821:$AR$821,'Dvd Calendar'!$I$814)=0))&gt;0)=0,"",'Dvd Calendar'!$I$814*1000000000+ISNUMBER('Dvd Calendar'!$I$817)*100000000+('Dvd Calendar'!$I$819=SPECIAL_LBL)*10000000+(N('Dvd Calendar'!$I$813)&gt;0)*(N('Dvd Calendar'!$I$813)&lt;=VAL_SERIAL)*1000000+74*1000+5))</f>
        <v/>
      </c>
      <c r="EJ85" s="121">
        <f>IF(N('Dvd Calendar'!$J$814)=0,"",IF(('Dvd Calendar'!$J$814&gt;=GRID_FROM)*('Dvd Calendar'!$J$814&lt;=GRID_TO)*((('Dvd Calendar'!$J$814&lt;=VAL_DATE)+(COUNTIF('Dvd Calendar'!$E$821:$AR$821,'Dvd Calendar'!$J$814)=0))&gt;0)=0,"",'Dvd Calendar'!$J$814*1000000000+ISNUMBER('Dvd Calendar'!$J$817)*100000000+('Dvd Calendar'!$J$819=SPECIAL_LBL)*10000000+(N('Dvd Calendar'!$J$813)&gt;0)*(N('Dvd Calendar'!$J$813)&lt;=VAL_SERIAL)*1000000+74*1000+6))</f>
        <v/>
      </c>
      <c r="EK85" s="121">
        <f>IF(N('Dvd Calendar'!$K$814)=0,"",IF(('Dvd Calendar'!$K$814&gt;=GRID_FROM)*('Dvd Calendar'!$K$814&lt;=GRID_TO)*((('Dvd Calendar'!$K$814&lt;=VAL_DATE)+(COUNTIF('Dvd Calendar'!$E$821:$AR$821,'Dvd Calendar'!$K$814)=0))&gt;0)=0,"",'Dvd Calendar'!$K$814*1000000000+ISNUMBER('Dvd Calendar'!$K$817)*100000000+('Dvd Calendar'!$K$819=SPECIAL_LBL)*10000000+(N('Dvd Calendar'!$K$813)&gt;0)*(N('Dvd Calendar'!$K$813)&lt;=VAL_SERIAL)*1000000+74*1000+7))</f>
        <v/>
      </c>
      <c r="EL85" s="121">
        <f>IF(N('Dvd Calendar'!$L$814)=0,"",IF(('Dvd Calendar'!$L$814&gt;=GRID_FROM)*('Dvd Calendar'!$L$814&lt;=GRID_TO)*((('Dvd Calendar'!$L$814&lt;=VAL_DATE)+(COUNTIF('Dvd Calendar'!$E$821:$AR$821,'Dvd Calendar'!$L$814)=0))&gt;0)=0,"",'Dvd Calendar'!$L$814*1000000000+ISNUMBER('Dvd Calendar'!$L$817)*100000000+('Dvd Calendar'!$L$819=SPECIAL_LBL)*10000000+(N('Dvd Calendar'!$L$813)&gt;0)*(N('Dvd Calendar'!$L$813)&lt;=VAL_SERIAL)*1000000+74*1000+8))</f>
        <v/>
      </c>
      <c r="EM85" s="121">
        <f>IF(N('Dvd Calendar'!$M$814)=0,"",IF(('Dvd Calendar'!$M$814&gt;=GRID_FROM)*('Dvd Calendar'!$M$814&lt;=GRID_TO)*((('Dvd Calendar'!$M$814&lt;=VAL_DATE)+(COUNTIF('Dvd Calendar'!$E$821:$AR$821,'Dvd Calendar'!$M$814)=0))&gt;0)=0,"",'Dvd Calendar'!$M$814*1000000000+ISNUMBER('Dvd Calendar'!$M$817)*100000000+('Dvd Calendar'!$M$819=SPECIAL_LBL)*10000000+(N('Dvd Calendar'!$M$813)&gt;0)*(N('Dvd Calendar'!$M$813)&lt;=VAL_SERIAL)*1000000+74*1000+9))</f>
        <v/>
      </c>
      <c r="EN85" s="121">
        <f>IF(N('Dvd Calendar'!$N$814)=0,"",IF(('Dvd Calendar'!$N$814&gt;=GRID_FROM)*('Dvd Calendar'!$N$814&lt;=GRID_TO)*((('Dvd Calendar'!$N$814&lt;=VAL_DATE)+(COUNTIF('Dvd Calendar'!$E$821:$AR$821,'Dvd Calendar'!$N$814)=0))&gt;0)=0,"",'Dvd Calendar'!$N$814*1000000000+ISNUMBER('Dvd Calendar'!$N$817)*100000000+('Dvd Calendar'!$N$819=SPECIAL_LBL)*10000000+(N('Dvd Calendar'!$N$813)&gt;0)*(N('Dvd Calendar'!$N$813)&lt;=VAL_SERIAL)*1000000+74*1000+10))</f>
        <v/>
      </c>
      <c r="EO85" s="121">
        <f>IF(N('Dvd Calendar'!$O$814)=0,"",IF(('Dvd Calendar'!$O$814&gt;=GRID_FROM)*('Dvd Calendar'!$O$814&lt;=GRID_TO)*((('Dvd Calendar'!$O$814&lt;=VAL_DATE)+(COUNTIF('Dvd Calendar'!$E$821:$AR$821,'Dvd Calendar'!$O$814)=0))&gt;0)=0,"",'Dvd Calendar'!$O$814*1000000000+ISNUMBER('Dvd Calendar'!$O$817)*100000000+('Dvd Calendar'!$O$819=SPECIAL_LBL)*10000000+(N('Dvd Calendar'!$O$813)&gt;0)*(N('Dvd Calendar'!$O$813)&lt;=VAL_SERIAL)*1000000+74*1000+11))</f>
        <v/>
      </c>
      <c r="EP85" s="121">
        <f>IF(N('Dvd Calendar'!$P$814)=0,"",IF(('Dvd Calendar'!$P$814&gt;=GRID_FROM)*('Dvd Calendar'!$P$814&lt;=GRID_TO)*((('Dvd Calendar'!$P$814&lt;=VAL_DATE)+(COUNTIF('Dvd Calendar'!$E$821:$AR$821,'Dvd Calendar'!$P$814)=0))&gt;0)=0,"",'Dvd Calendar'!$P$814*1000000000+ISNUMBER('Dvd Calendar'!$P$817)*100000000+('Dvd Calendar'!$P$819=SPECIAL_LBL)*10000000+(N('Dvd Calendar'!$P$813)&gt;0)*(N('Dvd Calendar'!$P$813)&lt;=VAL_SERIAL)*1000000+74*1000+12))</f>
        <v/>
      </c>
      <c r="EQ85" s="121">
        <f>IF(N('Dvd Calendar'!$Q$814)=0,"",IF(('Dvd Calendar'!$Q$814&gt;=GRID_FROM)*('Dvd Calendar'!$Q$814&lt;=GRID_TO)*((('Dvd Calendar'!$Q$814&lt;=VAL_DATE)+(COUNTIF('Dvd Calendar'!$E$821:$AR$821,'Dvd Calendar'!$Q$814)=0))&gt;0)=0,"",'Dvd Calendar'!$Q$814*1000000000+ISNUMBER('Dvd Calendar'!$Q$817)*100000000+('Dvd Calendar'!$Q$819=SPECIAL_LBL)*10000000+(N('Dvd Calendar'!$Q$813)&gt;0)*(N('Dvd Calendar'!$Q$813)&lt;=VAL_SERIAL)*1000000+74*1000+13))</f>
        <v/>
      </c>
      <c r="ER85" s="121">
        <f>IF(N('Dvd Calendar'!$R$814)=0,"",IF(('Dvd Calendar'!$R$814&gt;=GRID_FROM)*('Dvd Calendar'!$R$814&lt;=GRID_TO)*((('Dvd Calendar'!$R$814&lt;=VAL_DATE)+(COUNTIF('Dvd Calendar'!$E$821:$AR$821,'Dvd Calendar'!$R$814)=0))&gt;0)=0,"",'Dvd Calendar'!$R$814*1000000000+ISNUMBER('Dvd Calendar'!$R$817)*100000000+('Dvd Calendar'!$R$819=SPECIAL_LBL)*10000000+(N('Dvd Calendar'!$R$813)&gt;0)*(N('Dvd Calendar'!$R$813)&lt;=VAL_SERIAL)*1000000+74*1000+14))</f>
        <v/>
      </c>
      <c r="ES85" s="121">
        <f>IF(N('Dvd Calendar'!$S$814)=0,"",IF(('Dvd Calendar'!$S$814&gt;=GRID_FROM)*('Dvd Calendar'!$S$814&lt;=GRID_TO)*((('Dvd Calendar'!$S$814&lt;=VAL_DATE)+(COUNTIF('Dvd Calendar'!$E$821:$AR$821,'Dvd Calendar'!$S$814)=0))&gt;0)=0,"",'Dvd Calendar'!$S$814*1000000000+ISNUMBER('Dvd Calendar'!$S$817)*100000000+('Dvd Calendar'!$S$819=SPECIAL_LBL)*10000000+(N('Dvd Calendar'!$S$813)&gt;0)*(N('Dvd Calendar'!$S$813)&lt;=VAL_SERIAL)*1000000+74*1000+15))</f>
        <v/>
      </c>
      <c r="ET85" s="121">
        <f>IF(N('Dvd Calendar'!$T$814)=0,"",IF(('Dvd Calendar'!$T$814&gt;=GRID_FROM)*('Dvd Calendar'!$T$814&lt;=GRID_TO)*((('Dvd Calendar'!$T$814&lt;=VAL_DATE)+(COUNTIF('Dvd Calendar'!$E$821:$AR$821,'Dvd Calendar'!$T$814)=0))&gt;0)=0,"",'Dvd Calendar'!$T$814*1000000000+ISNUMBER('Dvd Calendar'!$T$817)*100000000+('Dvd Calendar'!$T$819=SPECIAL_LBL)*10000000+(N('Dvd Calendar'!$T$813)&gt;0)*(N('Dvd Calendar'!$T$813)&lt;=VAL_SERIAL)*1000000+74*1000+16))</f>
        <v/>
      </c>
      <c r="EU85" s="121">
        <f>IF(N('Dvd Calendar'!$U$814)=0,"",IF(('Dvd Calendar'!$U$814&gt;=GRID_FROM)*('Dvd Calendar'!$U$814&lt;=GRID_TO)*((('Dvd Calendar'!$U$814&lt;=VAL_DATE)+(COUNTIF('Dvd Calendar'!$E$821:$AR$821,'Dvd Calendar'!$U$814)=0))&gt;0)=0,"",'Dvd Calendar'!$U$814*1000000000+ISNUMBER('Dvd Calendar'!$U$817)*100000000+('Dvd Calendar'!$U$819=SPECIAL_LBL)*10000000+(N('Dvd Calendar'!$U$813)&gt;0)*(N('Dvd Calendar'!$U$813)&lt;=VAL_SERIAL)*1000000+74*1000+17))</f>
        <v/>
      </c>
      <c r="EV85" s="121">
        <f>IF(N('Dvd Calendar'!$V$814)=0,"",IF(('Dvd Calendar'!$V$814&gt;=GRID_FROM)*('Dvd Calendar'!$V$814&lt;=GRID_TO)*((('Dvd Calendar'!$V$814&lt;=VAL_DATE)+(COUNTIF('Dvd Calendar'!$E$821:$AR$821,'Dvd Calendar'!$V$814)=0))&gt;0)=0,"",'Dvd Calendar'!$V$814*1000000000+ISNUMBER('Dvd Calendar'!$V$817)*100000000+('Dvd Calendar'!$V$819=SPECIAL_LBL)*10000000+(N('Dvd Calendar'!$V$813)&gt;0)*(N('Dvd Calendar'!$V$813)&lt;=VAL_SERIAL)*1000000+74*1000+18))</f>
        <v/>
      </c>
      <c r="EW85" s="121">
        <f>IF(N('Dvd Calendar'!$W$814)=0,"",IF(('Dvd Calendar'!$W$814&gt;=GRID_FROM)*('Dvd Calendar'!$W$814&lt;=GRID_TO)*((('Dvd Calendar'!$W$814&lt;=VAL_DATE)+(COUNTIF('Dvd Calendar'!$E$821:$AR$821,'Dvd Calendar'!$W$814)=0))&gt;0)=0,"",'Dvd Calendar'!$W$814*1000000000+ISNUMBER('Dvd Calendar'!$W$817)*100000000+('Dvd Calendar'!$W$819=SPECIAL_LBL)*10000000+(N('Dvd Calendar'!$W$813)&gt;0)*(N('Dvd Calendar'!$W$813)&lt;=VAL_SERIAL)*1000000+74*1000+19))</f>
        <v/>
      </c>
      <c r="EX85" s="121">
        <f>IF(N('Dvd Calendar'!$X$814)=0,"",IF(('Dvd Calendar'!$X$814&gt;=GRID_FROM)*('Dvd Calendar'!$X$814&lt;=GRID_TO)*((('Dvd Calendar'!$X$814&lt;=VAL_DATE)+(COUNTIF('Dvd Calendar'!$E$821:$AR$821,'Dvd Calendar'!$X$814)=0))&gt;0)=0,"",'Dvd Calendar'!$X$814*1000000000+ISNUMBER('Dvd Calendar'!$X$817)*100000000+('Dvd Calendar'!$X$819=SPECIAL_LBL)*10000000+(N('Dvd Calendar'!$X$813)&gt;0)*(N('Dvd Calendar'!$X$813)&lt;=VAL_SERIAL)*1000000+74*1000+20))</f>
        <v/>
      </c>
      <c r="EY85" s="121">
        <f>IF(N('Dvd Calendar'!$Y$814)=0,"",IF(('Dvd Calendar'!$Y$814&gt;=GRID_FROM)*('Dvd Calendar'!$Y$814&lt;=GRID_TO)*((('Dvd Calendar'!$Y$814&lt;=VAL_DATE)+(COUNTIF('Dvd Calendar'!$E$821:$AR$821,'Dvd Calendar'!$Y$814)=0))&gt;0)=0,"",'Dvd Calendar'!$Y$814*1000000000+ISNUMBER('Dvd Calendar'!$Y$817)*100000000+('Dvd Calendar'!$Y$819=SPECIAL_LBL)*10000000+(N('Dvd Calendar'!$Y$813)&gt;0)*(N('Dvd Calendar'!$Y$813)&lt;=VAL_SERIAL)*1000000+74*1000+21))</f>
        <v/>
      </c>
      <c r="EZ85" s="121">
        <f>IF(N('Dvd Calendar'!$Z$814)=0,"",IF(('Dvd Calendar'!$Z$814&gt;=GRID_FROM)*('Dvd Calendar'!$Z$814&lt;=GRID_TO)*((('Dvd Calendar'!$Z$814&lt;=VAL_DATE)+(COUNTIF('Dvd Calendar'!$E$821:$AR$821,'Dvd Calendar'!$Z$814)=0))&gt;0)=0,"",'Dvd Calendar'!$Z$814*1000000000+ISNUMBER('Dvd Calendar'!$Z$817)*100000000+('Dvd Calendar'!$Z$819=SPECIAL_LBL)*10000000+(N('Dvd Calendar'!$Z$813)&gt;0)*(N('Dvd Calendar'!$Z$813)&lt;=VAL_SERIAL)*1000000+74*1000+22))</f>
        <v/>
      </c>
      <c r="FA85" s="121">
        <f>IF(N('Dvd Calendar'!$AA$814)=0,"",IF(('Dvd Calendar'!$AA$814&gt;=GRID_FROM)*('Dvd Calendar'!$AA$814&lt;=GRID_TO)*((('Dvd Calendar'!$AA$814&lt;=VAL_DATE)+(COUNTIF('Dvd Calendar'!$E$821:$AR$821,'Dvd Calendar'!$AA$814)=0))&gt;0)=0,"",'Dvd Calendar'!$AA$814*1000000000+ISNUMBER('Dvd Calendar'!$AA$817)*100000000+('Dvd Calendar'!$AA$819=SPECIAL_LBL)*10000000+(N('Dvd Calendar'!$AA$813)&gt;0)*(N('Dvd Calendar'!$AA$813)&lt;=VAL_SERIAL)*1000000+74*1000+23))</f>
        <v/>
      </c>
      <c r="FB85" s="121">
        <f>IF(N('Dvd Calendar'!$AB$814)=0,"",IF(('Dvd Calendar'!$AB$814&gt;=GRID_FROM)*('Dvd Calendar'!$AB$814&lt;=GRID_TO)*((('Dvd Calendar'!$AB$814&lt;=VAL_DATE)+(COUNTIF('Dvd Calendar'!$E$821:$AR$821,'Dvd Calendar'!$AB$814)=0))&gt;0)=0,"",'Dvd Calendar'!$AB$814*1000000000+ISNUMBER('Dvd Calendar'!$AB$817)*100000000+('Dvd Calendar'!$AB$819=SPECIAL_LBL)*10000000+(N('Dvd Calendar'!$AB$813)&gt;0)*(N('Dvd Calendar'!$AB$813)&lt;=VAL_SERIAL)*1000000+74*1000+24))</f>
        <v/>
      </c>
      <c r="FC85" s="121">
        <f>IF(N('Dvd Calendar'!$AC$814)=0,"",IF(('Dvd Calendar'!$AC$814&gt;=GRID_FROM)*('Dvd Calendar'!$AC$814&lt;=GRID_TO)*((('Dvd Calendar'!$AC$814&lt;=VAL_DATE)+(COUNTIF('Dvd Calendar'!$E$821:$AR$821,'Dvd Calendar'!$AC$814)=0))&gt;0)=0,"",'Dvd Calendar'!$AC$814*1000000000+ISNUMBER('Dvd Calendar'!$AC$817)*100000000+('Dvd Calendar'!$AC$819=SPECIAL_LBL)*10000000+(N('Dvd Calendar'!$AC$813)&gt;0)*(N('Dvd Calendar'!$AC$813)&lt;=VAL_SERIAL)*1000000+74*1000+25))</f>
        <v/>
      </c>
      <c r="FD85" s="121">
        <f>IF(N('Dvd Calendar'!$AD$814)=0,"",IF(('Dvd Calendar'!$AD$814&gt;=GRID_FROM)*('Dvd Calendar'!$AD$814&lt;=GRID_TO)*((('Dvd Calendar'!$AD$814&lt;=VAL_DATE)+(COUNTIF('Dvd Calendar'!$E$821:$AR$821,'Dvd Calendar'!$AD$814)=0))&gt;0)=0,"",'Dvd Calendar'!$AD$814*1000000000+ISNUMBER('Dvd Calendar'!$AD$817)*100000000+('Dvd Calendar'!$AD$819=SPECIAL_LBL)*10000000+(N('Dvd Calendar'!$AD$813)&gt;0)*(N('Dvd Calendar'!$AD$813)&lt;=VAL_SERIAL)*1000000+74*1000+26))</f>
        <v/>
      </c>
      <c r="FE85" s="121">
        <f>IF(N('Dvd Calendar'!$AE$814)=0,"",IF(('Dvd Calendar'!$AE$814&gt;=GRID_FROM)*('Dvd Calendar'!$AE$814&lt;=GRID_TO)*((('Dvd Calendar'!$AE$814&lt;=VAL_DATE)+(COUNTIF('Dvd Calendar'!$E$821:$AR$821,'Dvd Calendar'!$AE$814)=0))&gt;0)=0,"",'Dvd Calendar'!$AE$814*1000000000+ISNUMBER('Dvd Calendar'!$AE$817)*100000000+('Dvd Calendar'!$AE$819=SPECIAL_LBL)*10000000+(N('Dvd Calendar'!$AE$813)&gt;0)*(N('Dvd Calendar'!$AE$813)&lt;=VAL_SERIAL)*1000000+74*1000+27))</f>
        <v/>
      </c>
      <c r="FF85" s="121">
        <f>IF(N('Dvd Calendar'!$AF$814)=0,"",IF(('Dvd Calendar'!$AF$814&gt;=GRID_FROM)*('Dvd Calendar'!$AF$814&lt;=GRID_TO)*((('Dvd Calendar'!$AF$814&lt;=VAL_DATE)+(COUNTIF('Dvd Calendar'!$E$821:$AR$821,'Dvd Calendar'!$AF$814)=0))&gt;0)=0,"",'Dvd Calendar'!$AF$814*1000000000+ISNUMBER('Dvd Calendar'!$AF$817)*100000000+('Dvd Calendar'!$AF$819=SPECIAL_LBL)*10000000+(N('Dvd Calendar'!$AF$813)&gt;0)*(N('Dvd Calendar'!$AF$813)&lt;=VAL_SERIAL)*1000000+74*1000+28))</f>
        <v/>
      </c>
      <c r="FG85" s="121">
        <f>IF(N('Dvd Calendar'!$AG$814)=0,"",IF(('Dvd Calendar'!$AG$814&gt;=GRID_FROM)*('Dvd Calendar'!$AG$814&lt;=GRID_TO)*((('Dvd Calendar'!$AG$814&lt;=VAL_DATE)+(COUNTIF('Dvd Calendar'!$E$821:$AR$821,'Dvd Calendar'!$AG$814)=0))&gt;0)=0,"",'Dvd Calendar'!$AG$814*1000000000+ISNUMBER('Dvd Calendar'!$AG$817)*100000000+('Dvd Calendar'!$AG$819=SPECIAL_LBL)*10000000+(N('Dvd Calendar'!$AG$813)&gt;0)*(N('Dvd Calendar'!$AG$813)&lt;=VAL_SERIAL)*1000000+74*1000+29))</f>
        <v/>
      </c>
      <c r="FH85" s="121">
        <f>IF(N('Dvd Calendar'!$AH$814)=0,"",IF(('Dvd Calendar'!$AH$814&gt;=GRID_FROM)*('Dvd Calendar'!$AH$814&lt;=GRID_TO)*((('Dvd Calendar'!$AH$814&lt;=VAL_DATE)+(COUNTIF('Dvd Calendar'!$E$821:$AR$821,'Dvd Calendar'!$AH$814)=0))&gt;0)=0,"",'Dvd Calendar'!$AH$814*1000000000+ISNUMBER('Dvd Calendar'!$AH$817)*100000000+('Dvd Calendar'!$AH$819=SPECIAL_LBL)*10000000+(N('Dvd Calendar'!$AH$813)&gt;0)*(N('Dvd Calendar'!$AH$813)&lt;=VAL_SERIAL)*1000000+74*1000+30))</f>
        <v/>
      </c>
      <c r="FI85" s="121">
        <f>IF(N('Dvd Calendar'!$AI$814)=0,"",IF(('Dvd Calendar'!$AI$814&gt;=GRID_FROM)*('Dvd Calendar'!$AI$814&lt;=GRID_TO)*((('Dvd Calendar'!$AI$814&lt;=VAL_DATE)+(COUNTIF('Dvd Calendar'!$E$821:$AR$821,'Dvd Calendar'!$AI$814)=0))&gt;0)=0,"",'Dvd Calendar'!$AI$814*1000000000+ISNUMBER('Dvd Calendar'!$AI$817)*100000000+('Dvd Calendar'!$AI$819=SPECIAL_LBL)*10000000+(N('Dvd Calendar'!$AI$813)&gt;0)*(N('Dvd Calendar'!$AI$813)&lt;=VAL_SERIAL)*1000000+74*1000+31))</f>
        <v/>
      </c>
      <c r="FJ85" s="121">
        <f>IF(N('Dvd Calendar'!$AJ$814)=0,"",IF(('Dvd Calendar'!$AJ$814&gt;=GRID_FROM)*('Dvd Calendar'!$AJ$814&lt;=GRID_TO)*((('Dvd Calendar'!$AJ$814&lt;=VAL_DATE)+(COUNTIF('Dvd Calendar'!$E$821:$AR$821,'Dvd Calendar'!$AJ$814)=0))&gt;0)=0,"",'Dvd Calendar'!$AJ$814*1000000000+ISNUMBER('Dvd Calendar'!$AJ$817)*100000000+('Dvd Calendar'!$AJ$819=SPECIAL_LBL)*10000000+(N('Dvd Calendar'!$AJ$813)&gt;0)*(N('Dvd Calendar'!$AJ$813)&lt;=VAL_SERIAL)*1000000+74*1000+32))</f>
        <v/>
      </c>
      <c r="FK85" s="121">
        <f>IF(N('Dvd Calendar'!$AK$814)=0,"",IF(('Dvd Calendar'!$AK$814&gt;=GRID_FROM)*('Dvd Calendar'!$AK$814&lt;=GRID_TO)*((('Dvd Calendar'!$AK$814&lt;=VAL_DATE)+(COUNTIF('Dvd Calendar'!$E$821:$AR$821,'Dvd Calendar'!$AK$814)=0))&gt;0)=0,"",'Dvd Calendar'!$AK$814*1000000000+ISNUMBER('Dvd Calendar'!$AK$817)*100000000+('Dvd Calendar'!$AK$819=SPECIAL_LBL)*10000000+(N('Dvd Calendar'!$AK$813)&gt;0)*(N('Dvd Calendar'!$AK$813)&lt;=VAL_SERIAL)*1000000+74*1000+33))</f>
        <v/>
      </c>
      <c r="FL85" s="121">
        <f>IF(N('Dvd Calendar'!$AL$814)=0,"",IF(('Dvd Calendar'!$AL$814&gt;=GRID_FROM)*('Dvd Calendar'!$AL$814&lt;=GRID_TO)*((('Dvd Calendar'!$AL$814&lt;=VAL_DATE)+(COUNTIF('Dvd Calendar'!$E$821:$AR$821,'Dvd Calendar'!$AL$814)=0))&gt;0)=0,"",'Dvd Calendar'!$AL$814*1000000000+ISNUMBER('Dvd Calendar'!$AL$817)*100000000+('Dvd Calendar'!$AL$819=SPECIAL_LBL)*10000000+(N('Dvd Calendar'!$AL$813)&gt;0)*(N('Dvd Calendar'!$AL$813)&lt;=VAL_SERIAL)*1000000+74*1000+34))</f>
        <v/>
      </c>
      <c r="FM85" s="121">
        <f>IF(N('Dvd Calendar'!$AM$814)=0,"",IF(('Dvd Calendar'!$AM$814&gt;=GRID_FROM)*('Dvd Calendar'!$AM$814&lt;=GRID_TO)*((('Dvd Calendar'!$AM$814&lt;=VAL_DATE)+(COUNTIF('Dvd Calendar'!$E$821:$AR$821,'Dvd Calendar'!$AM$814)=0))&gt;0)=0,"",'Dvd Calendar'!$AM$814*1000000000+ISNUMBER('Dvd Calendar'!$AM$817)*100000000+('Dvd Calendar'!$AM$819=SPECIAL_LBL)*10000000+(N('Dvd Calendar'!$AM$813)&gt;0)*(N('Dvd Calendar'!$AM$813)&lt;=VAL_SERIAL)*1000000+74*1000+35))</f>
        <v/>
      </c>
      <c r="FN85" s="121">
        <f>IF(N('Dvd Calendar'!$AN$814)=0,"",IF(('Dvd Calendar'!$AN$814&gt;=GRID_FROM)*('Dvd Calendar'!$AN$814&lt;=GRID_TO)*((('Dvd Calendar'!$AN$814&lt;=VAL_DATE)+(COUNTIF('Dvd Calendar'!$E$821:$AR$821,'Dvd Calendar'!$AN$814)=0))&gt;0)=0,"",'Dvd Calendar'!$AN$814*1000000000+ISNUMBER('Dvd Calendar'!$AN$817)*100000000+('Dvd Calendar'!$AN$819=SPECIAL_LBL)*10000000+(N('Dvd Calendar'!$AN$813)&gt;0)*(N('Dvd Calendar'!$AN$813)&lt;=VAL_SERIAL)*1000000+74*1000+36))</f>
        <v/>
      </c>
      <c r="FO85" s="121">
        <f>IF(N('Dvd Calendar'!$AO$814)=0,"",IF(('Dvd Calendar'!$AO$814&gt;=GRID_FROM)*('Dvd Calendar'!$AO$814&lt;=GRID_TO)*((('Dvd Calendar'!$AO$814&lt;=VAL_DATE)+(COUNTIF('Dvd Calendar'!$E$821:$AR$821,'Dvd Calendar'!$AO$814)=0))&gt;0)=0,"",'Dvd Calendar'!$AO$814*1000000000+ISNUMBER('Dvd Calendar'!$AO$817)*100000000+('Dvd Calendar'!$AO$819=SPECIAL_LBL)*10000000+(N('Dvd Calendar'!$AO$813)&gt;0)*(N('Dvd Calendar'!$AO$813)&lt;=VAL_SERIAL)*1000000+74*1000+37))</f>
        <v/>
      </c>
      <c r="FP85" s="121">
        <f>IF(N('Dvd Calendar'!$AP$814)=0,"",IF(('Dvd Calendar'!$AP$814&gt;=GRID_FROM)*('Dvd Calendar'!$AP$814&lt;=GRID_TO)*((('Dvd Calendar'!$AP$814&lt;=VAL_DATE)+(COUNTIF('Dvd Calendar'!$E$821:$AR$821,'Dvd Calendar'!$AP$814)=0))&gt;0)=0,"",'Dvd Calendar'!$AP$814*1000000000+ISNUMBER('Dvd Calendar'!$AP$817)*100000000+('Dvd Calendar'!$AP$819=SPECIAL_LBL)*10000000+(N('Dvd Calendar'!$AP$813)&gt;0)*(N('Dvd Calendar'!$AP$813)&lt;=VAL_SERIAL)*1000000+74*1000+38))</f>
        <v/>
      </c>
      <c r="FQ85" s="121">
        <f>IF(N('Dvd Calendar'!$AQ$814)=0,"",IF(('Dvd Calendar'!$AQ$814&gt;=GRID_FROM)*('Dvd Calendar'!$AQ$814&lt;=GRID_TO)*((('Dvd Calendar'!$AQ$814&lt;=VAL_DATE)+(COUNTIF('Dvd Calendar'!$E$821:$AR$821,'Dvd Calendar'!$AQ$814)=0))&gt;0)=0,"",'Dvd Calendar'!$AQ$814*1000000000+ISNUMBER('Dvd Calendar'!$AQ$817)*100000000+('Dvd Calendar'!$AQ$819=SPECIAL_LBL)*10000000+(N('Dvd Calendar'!$AQ$813)&gt;0)*(N('Dvd Calendar'!$AQ$813)&lt;=VAL_SERIAL)*1000000+74*1000+39))</f>
        <v/>
      </c>
      <c r="FR85" s="121">
        <f>IF(N('Dvd Calendar'!$AR$814)=0,"",IF(('Dvd Calendar'!$AR$814&gt;=GRID_FROM)*('Dvd Calendar'!$AR$814&lt;=GRID_TO)*((('Dvd Calendar'!$AR$814&lt;=VAL_DATE)+(COUNTIF('Dvd Calendar'!$E$821:$AR$821,'Dvd Calendar'!$AR$814)=0))&gt;0)=0,"",'Dvd Calendar'!$AR$814*1000000000+ISNUMBER('Dvd Calendar'!$AR$817)*100000000+('Dvd Calendar'!$AR$819=SPECIAL_LBL)*10000000+(N('Dvd Calendar'!$AR$813)&gt;0)*(N('Dvd Calendar'!$AR$813)&lt;=VAL_SERIAL)*1000000+74*1000+40))</f>
        <v/>
      </c>
      <c r="FS85" s="121">
        <f>IF(N('Dvd Calendar'!$E$821)=0,"",IF(('Dvd Calendar'!$E$821&gt;=GRID_FROM)*('Dvd Calendar'!$E$821&lt;=GRID_TO)*('Dvd Calendar'!$E$821&gt;VAL_DATE)=0,"",'Dvd Calendar'!$E$821*1000000000+ISNUMBER('Dvd Calendar'!$E$822)*100000000+0*10000000+(N('Dvd Calendar'!$E$820)&gt;0)*(N('Dvd Calendar'!$E$820)&lt;=VAL_SERIAL)*1000000+74*1000+41))</f>
        <v/>
      </c>
      <c r="FT85" s="121">
        <f>IF(N('Dvd Calendar'!$F$821)=0,"",IF(('Dvd Calendar'!$F$821&gt;=GRID_FROM)*('Dvd Calendar'!$F$821&lt;=GRID_TO)*('Dvd Calendar'!$F$821&gt;VAL_DATE)=0,"",'Dvd Calendar'!$F$821*1000000000+ISNUMBER('Dvd Calendar'!$F$822)*100000000+0*10000000+(N('Dvd Calendar'!$F$820)&gt;0)*(N('Dvd Calendar'!$F$820)&lt;=VAL_SERIAL)*1000000+74*1000+42))</f>
        <v/>
      </c>
      <c r="FU85" s="121">
        <f>IF(N('Dvd Calendar'!$G$821)=0,"",IF(('Dvd Calendar'!$G$821&gt;=GRID_FROM)*('Dvd Calendar'!$G$821&lt;=GRID_TO)*('Dvd Calendar'!$G$821&gt;VAL_DATE)=0,"",'Dvd Calendar'!$G$821*1000000000+ISNUMBER('Dvd Calendar'!$G$822)*100000000+0*10000000+(N('Dvd Calendar'!$G$820)&gt;0)*(N('Dvd Calendar'!$G$820)&lt;=VAL_SERIAL)*1000000+74*1000+43))</f>
        <v/>
      </c>
      <c r="FV85" s="121">
        <f>IF(N('Dvd Calendar'!$H$821)=0,"",IF(('Dvd Calendar'!$H$821&gt;=GRID_FROM)*('Dvd Calendar'!$H$821&lt;=GRID_TO)*('Dvd Calendar'!$H$821&gt;VAL_DATE)=0,"",'Dvd Calendar'!$H$821*1000000000+ISNUMBER('Dvd Calendar'!$H$822)*100000000+0*10000000+(N('Dvd Calendar'!$H$820)&gt;0)*(N('Dvd Calendar'!$H$820)&lt;=VAL_SERIAL)*1000000+74*1000+44))</f>
        <v/>
      </c>
      <c r="FW85" s="121">
        <f>IF(N('Dvd Calendar'!$I$821)=0,"",IF(('Dvd Calendar'!$I$821&gt;=GRID_FROM)*('Dvd Calendar'!$I$821&lt;=GRID_TO)*('Dvd Calendar'!$I$821&gt;VAL_DATE)=0,"",'Dvd Calendar'!$I$821*1000000000+ISNUMBER('Dvd Calendar'!$I$822)*100000000+0*10000000+(N('Dvd Calendar'!$I$820)&gt;0)*(N('Dvd Calendar'!$I$820)&lt;=VAL_SERIAL)*1000000+74*1000+45))</f>
        <v/>
      </c>
      <c r="FX85" s="121">
        <f>IF(N('Dvd Calendar'!$J$821)=0,"",IF(('Dvd Calendar'!$J$821&gt;=GRID_FROM)*('Dvd Calendar'!$J$821&lt;=GRID_TO)*('Dvd Calendar'!$J$821&gt;VAL_DATE)=0,"",'Dvd Calendar'!$J$821*1000000000+ISNUMBER('Dvd Calendar'!$J$822)*100000000+0*10000000+(N('Dvd Calendar'!$J$820)&gt;0)*(N('Dvd Calendar'!$J$820)&lt;=VAL_SERIAL)*1000000+74*1000+46))</f>
        <v/>
      </c>
      <c r="FY85" s="121">
        <f>IF(N('Dvd Calendar'!$K$821)=0,"",IF(('Dvd Calendar'!$K$821&gt;=GRID_FROM)*('Dvd Calendar'!$K$821&lt;=GRID_TO)*('Dvd Calendar'!$K$821&gt;VAL_DATE)=0,"",'Dvd Calendar'!$K$821*1000000000+ISNUMBER('Dvd Calendar'!$K$822)*100000000+0*10000000+(N('Dvd Calendar'!$K$820)&gt;0)*(N('Dvd Calendar'!$K$820)&lt;=VAL_SERIAL)*1000000+74*1000+47))</f>
        <v/>
      </c>
      <c r="FZ85" s="121">
        <f>IF(N('Dvd Calendar'!$L$821)=0,"",IF(('Dvd Calendar'!$L$821&gt;=GRID_FROM)*('Dvd Calendar'!$L$821&lt;=GRID_TO)*('Dvd Calendar'!$L$821&gt;VAL_DATE)=0,"",'Dvd Calendar'!$L$821*1000000000+ISNUMBER('Dvd Calendar'!$L$822)*100000000+0*10000000+(N('Dvd Calendar'!$L$820)&gt;0)*(N('Dvd Calendar'!$L$820)&lt;=VAL_SERIAL)*1000000+74*1000+48))</f>
        <v/>
      </c>
      <c r="GA85" s="121">
        <f>IF(N('Dvd Calendar'!$M$821)=0,"",IF(('Dvd Calendar'!$M$821&gt;=GRID_FROM)*('Dvd Calendar'!$M$821&lt;=GRID_TO)*('Dvd Calendar'!$M$821&gt;VAL_DATE)=0,"",'Dvd Calendar'!$M$821*1000000000+ISNUMBER('Dvd Calendar'!$M$822)*100000000+0*10000000+(N('Dvd Calendar'!$M$820)&gt;0)*(N('Dvd Calendar'!$M$820)&lt;=VAL_SERIAL)*1000000+74*1000+49))</f>
        <v/>
      </c>
      <c r="GB85" s="121">
        <f>IF(N('Dvd Calendar'!$N$821)=0,"",IF(('Dvd Calendar'!$N$821&gt;=GRID_FROM)*('Dvd Calendar'!$N$821&lt;=GRID_TO)*('Dvd Calendar'!$N$821&gt;VAL_DATE)=0,"",'Dvd Calendar'!$N$821*1000000000+ISNUMBER('Dvd Calendar'!$N$822)*100000000+0*10000000+(N('Dvd Calendar'!$N$820)&gt;0)*(N('Dvd Calendar'!$N$820)&lt;=VAL_SERIAL)*1000000+74*1000+50))</f>
        <v/>
      </c>
      <c r="GC85" s="121">
        <f>IF(N('Dvd Calendar'!$O$821)=0,"",IF(('Dvd Calendar'!$O$821&gt;=GRID_FROM)*('Dvd Calendar'!$O$821&lt;=GRID_TO)*('Dvd Calendar'!$O$821&gt;VAL_DATE)=0,"",'Dvd Calendar'!$O$821*1000000000+ISNUMBER('Dvd Calendar'!$O$822)*100000000+0*10000000+(N('Dvd Calendar'!$O$820)&gt;0)*(N('Dvd Calendar'!$O$820)&lt;=VAL_SERIAL)*1000000+74*1000+51))</f>
        <v/>
      </c>
      <c r="GD85" s="121">
        <f>IF(N('Dvd Calendar'!$P$821)=0,"",IF(('Dvd Calendar'!$P$821&gt;=GRID_FROM)*('Dvd Calendar'!$P$821&lt;=GRID_TO)*('Dvd Calendar'!$P$821&gt;VAL_DATE)=0,"",'Dvd Calendar'!$P$821*1000000000+ISNUMBER('Dvd Calendar'!$P$822)*100000000+0*10000000+(N('Dvd Calendar'!$P$820)&gt;0)*(N('Dvd Calendar'!$P$820)&lt;=VAL_SERIAL)*1000000+74*1000+52))</f>
        <v/>
      </c>
      <c r="GE85" s="121">
        <f>IF(N('Dvd Calendar'!$Q$821)=0,"",IF(('Dvd Calendar'!$Q$821&gt;=GRID_FROM)*('Dvd Calendar'!$Q$821&lt;=GRID_TO)*('Dvd Calendar'!$Q$821&gt;VAL_DATE)=0,"",'Dvd Calendar'!$Q$821*1000000000+ISNUMBER('Dvd Calendar'!$Q$822)*100000000+0*10000000+(N('Dvd Calendar'!$Q$820)&gt;0)*(N('Dvd Calendar'!$Q$820)&lt;=VAL_SERIAL)*1000000+74*1000+53))</f>
        <v/>
      </c>
      <c r="GF85" s="121">
        <f>IF(N('Dvd Calendar'!$R$821)=0,"",IF(('Dvd Calendar'!$R$821&gt;=GRID_FROM)*('Dvd Calendar'!$R$821&lt;=GRID_TO)*('Dvd Calendar'!$R$821&gt;VAL_DATE)=0,"",'Dvd Calendar'!$R$821*1000000000+ISNUMBER('Dvd Calendar'!$R$822)*100000000+0*10000000+(N('Dvd Calendar'!$R$820)&gt;0)*(N('Dvd Calendar'!$R$820)&lt;=VAL_SERIAL)*1000000+74*1000+54))</f>
        <v/>
      </c>
      <c r="GG85" s="121">
        <f>IF(N('Dvd Calendar'!$S$821)=0,"",IF(('Dvd Calendar'!$S$821&gt;=GRID_FROM)*('Dvd Calendar'!$S$821&lt;=GRID_TO)*('Dvd Calendar'!$S$821&gt;VAL_DATE)=0,"",'Dvd Calendar'!$S$821*1000000000+ISNUMBER('Dvd Calendar'!$S$822)*100000000+0*10000000+(N('Dvd Calendar'!$S$820)&gt;0)*(N('Dvd Calendar'!$S$820)&lt;=VAL_SERIAL)*1000000+74*1000+55))</f>
        <v/>
      </c>
      <c r="GH85" s="121">
        <f>IF(N('Dvd Calendar'!$T$821)=0,"",IF(('Dvd Calendar'!$T$821&gt;=GRID_FROM)*('Dvd Calendar'!$T$821&lt;=GRID_TO)*('Dvd Calendar'!$T$821&gt;VAL_DATE)=0,"",'Dvd Calendar'!$T$821*1000000000+ISNUMBER('Dvd Calendar'!$T$822)*100000000+0*10000000+(N('Dvd Calendar'!$T$820)&gt;0)*(N('Dvd Calendar'!$T$820)&lt;=VAL_SERIAL)*1000000+74*1000+56))</f>
        <v/>
      </c>
      <c r="GI85" s="121">
        <f>IF(N('Dvd Calendar'!$U$821)=0,"",IF(('Dvd Calendar'!$U$821&gt;=GRID_FROM)*('Dvd Calendar'!$U$821&lt;=GRID_TO)*('Dvd Calendar'!$U$821&gt;VAL_DATE)=0,"",'Dvd Calendar'!$U$821*1000000000+ISNUMBER('Dvd Calendar'!$U$822)*100000000+0*10000000+(N('Dvd Calendar'!$U$820)&gt;0)*(N('Dvd Calendar'!$U$820)&lt;=VAL_SERIAL)*1000000+74*1000+57))</f>
        <v/>
      </c>
      <c r="GJ85" s="121">
        <f>IF(N('Dvd Calendar'!$V$821)=0,"",IF(('Dvd Calendar'!$V$821&gt;=GRID_FROM)*('Dvd Calendar'!$V$821&lt;=GRID_TO)*('Dvd Calendar'!$V$821&gt;VAL_DATE)=0,"",'Dvd Calendar'!$V$821*1000000000+ISNUMBER('Dvd Calendar'!$V$822)*100000000+0*10000000+(N('Dvd Calendar'!$V$820)&gt;0)*(N('Dvd Calendar'!$V$820)&lt;=VAL_SERIAL)*1000000+74*1000+58))</f>
        <v/>
      </c>
      <c r="GK85" s="121">
        <f>IF(N('Dvd Calendar'!$W$821)=0,"",IF(('Dvd Calendar'!$W$821&gt;=GRID_FROM)*('Dvd Calendar'!$W$821&lt;=GRID_TO)*('Dvd Calendar'!$W$821&gt;VAL_DATE)=0,"",'Dvd Calendar'!$W$821*1000000000+ISNUMBER('Dvd Calendar'!$W$822)*100000000+0*10000000+(N('Dvd Calendar'!$W$820)&gt;0)*(N('Dvd Calendar'!$W$820)&lt;=VAL_SERIAL)*1000000+74*1000+59))</f>
        <v/>
      </c>
      <c r="GL85" s="121">
        <f>IF(N('Dvd Calendar'!$X$821)=0,"",IF(('Dvd Calendar'!$X$821&gt;=GRID_FROM)*('Dvd Calendar'!$X$821&lt;=GRID_TO)*('Dvd Calendar'!$X$821&gt;VAL_DATE)=0,"",'Dvd Calendar'!$X$821*1000000000+ISNUMBER('Dvd Calendar'!$X$822)*100000000+0*10000000+(N('Dvd Calendar'!$X$820)&gt;0)*(N('Dvd Calendar'!$X$820)&lt;=VAL_SERIAL)*1000000+74*1000+60))</f>
        <v/>
      </c>
      <c r="GM85" s="121">
        <f>IF(N('Dvd Calendar'!$Y$821)=0,"",IF(('Dvd Calendar'!$Y$821&gt;=GRID_FROM)*('Dvd Calendar'!$Y$821&lt;=GRID_TO)*('Dvd Calendar'!$Y$821&gt;VAL_DATE)=0,"",'Dvd Calendar'!$Y$821*1000000000+ISNUMBER('Dvd Calendar'!$Y$822)*100000000+0*10000000+(N('Dvd Calendar'!$Y$820)&gt;0)*(N('Dvd Calendar'!$Y$820)&lt;=VAL_SERIAL)*1000000+74*1000+61))</f>
        <v/>
      </c>
      <c r="GN85" s="121">
        <f>IF(N('Dvd Calendar'!$Z$821)=0,"",IF(('Dvd Calendar'!$Z$821&gt;=GRID_FROM)*('Dvd Calendar'!$Z$821&lt;=GRID_TO)*('Dvd Calendar'!$Z$821&gt;VAL_DATE)=0,"",'Dvd Calendar'!$Z$821*1000000000+ISNUMBER('Dvd Calendar'!$Z$822)*100000000+0*10000000+(N('Dvd Calendar'!$Z$820)&gt;0)*(N('Dvd Calendar'!$Z$820)&lt;=VAL_SERIAL)*1000000+74*1000+62))</f>
        <v/>
      </c>
      <c r="GO85" s="121">
        <f>IF(N('Dvd Calendar'!$AA$821)=0,"",IF(('Dvd Calendar'!$AA$821&gt;=GRID_FROM)*('Dvd Calendar'!$AA$821&lt;=GRID_TO)*('Dvd Calendar'!$AA$821&gt;VAL_DATE)=0,"",'Dvd Calendar'!$AA$821*1000000000+ISNUMBER('Dvd Calendar'!$AA$822)*100000000+0*10000000+(N('Dvd Calendar'!$AA$820)&gt;0)*(N('Dvd Calendar'!$AA$820)&lt;=VAL_SERIAL)*1000000+74*1000+63))</f>
        <v/>
      </c>
      <c r="GP85" s="121">
        <f>IF(N('Dvd Calendar'!$AB$821)=0,"",IF(('Dvd Calendar'!$AB$821&gt;=GRID_FROM)*('Dvd Calendar'!$AB$821&lt;=GRID_TO)*('Dvd Calendar'!$AB$821&gt;VAL_DATE)=0,"",'Dvd Calendar'!$AB$821*1000000000+ISNUMBER('Dvd Calendar'!$AB$822)*100000000+0*10000000+(N('Dvd Calendar'!$AB$820)&gt;0)*(N('Dvd Calendar'!$AB$820)&lt;=VAL_SERIAL)*1000000+74*1000+64))</f>
        <v/>
      </c>
      <c r="GQ85" s="121">
        <f>IF(N('Dvd Calendar'!$AC$821)=0,"",IF(('Dvd Calendar'!$AC$821&gt;=GRID_FROM)*('Dvd Calendar'!$AC$821&lt;=GRID_TO)*('Dvd Calendar'!$AC$821&gt;VAL_DATE)=0,"",'Dvd Calendar'!$AC$821*1000000000+ISNUMBER('Dvd Calendar'!$AC$822)*100000000+0*10000000+(N('Dvd Calendar'!$AC$820)&gt;0)*(N('Dvd Calendar'!$AC$820)&lt;=VAL_SERIAL)*1000000+74*1000+65))</f>
        <v/>
      </c>
    </row>
    <row r="86">
      <c r="B86" s="2">
        <f>IF(HSI!$C$81="","",HSI!$C$81)</f>
        <v/>
      </c>
      <c r="C86" s="161">
        <f>IF(EE86="","",IF(ISNUMBER('Dvd Calendar'!$E$828)=FALSE,"",IF((('Dvd Calendar'!$E$830=TYPE1)*(TYPE1&lt;&gt;"")+('Dvd Calendar'!$E$830=TYPE2)*(TYPE2&lt;&gt;"")+('Dvd Calendar'!$E$830=TYPE3)*(TYPE3&lt;&gt;"")+('Dvd Calendar'!$E$830=TYPE4)*(TYPE4&lt;&gt;"")+('Dvd Calendar'!$E$830=SPECIAL_LBL)*(INC_SPECIALS="Y"))=0,"",'Dvd Calendar'!$E$828)))</f>
        <v/>
      </c>
      <c r="D86" s="161">
        <f>IF(EF86="","",IF(ISNUMBER('Dvd Calendar'!$F$828)=FALSE,"",IF((('Dvd Calendar'!$F$830=TYPE1)*(TYPE1&lt;&gt;"")+('Dvd Calendar'!$F$830=TYPE2)*(TYPE2&lt;&gt;"")+('Dvd Calendar'!$F$830=TYPE3)*(TYPE3&lt;&gt;"")+('Dvd Calendar'!$F$830=TYPE4)*(TYPE4&lt;&gt;"")+('Dvd Calendar'!$F$830=SPECIAL_LBL)*(INC_SPECIALS="Y"))=0,"",'Dvd Calendar'!$F$828)))</f>
        <v/>
      </c>
      <c r="E86" s="161">
        <f>IF(EG86="","",IF(ISNUMBER('Dvd Calendar'!$G$828)=FALSE,"",IF((('Dvd Calendar'!$G$830=TYPE1)*(TYPE1&lt;&gt;"")+('Dvd Calendar'!$G$830=TYPE2)*(TYPE2&lt;&gt;"")+('Dvd Calendar'!$G$830=TYPE3)*(TYPE3&lt;&gt;"")+('Dvd Calendar'!$G$830=TYPE4)*(TYPE4&lt;&gt;"")+('Dvd Calendar'!$G$830=SPECIAL_LBL)*(INC_SPECIALS="Y"))=0,"",'Dvd Calendar'!$G$828)))</f>
        <v/>
      </c>
      <c r="F86" s="161">
        <f>IF(EH86="","",IF(ISNUMBER('Dvd Calendar'!$H$828)=FALSE,"",IF((('Dvd Calendar'!$H$830=TYPE1)*(TYPE1&lt;&gt;"")+('Dvd Calendar'!$H$830=TYPE2)*(TYPE2&lt;&gt;"")+('Dvd Calendar'!$H$830=TYPE3)*(TYPE3&lt;&gt;"")+('Dvd Calendar'!$H$830=TYPE4)*(TYPE4&lt;&gt;"")+('Dvd Calendar'!$H$830=SPECIAL_LBL)*(INC_SPECIALS="Y"))=0,"",'Dvd Calendar'!$H$828)))</f>
        <v/>
      </c>
      <c r="G86" s="161">
        <f>IF(EI86="","",IF(ISNUMBER('Dvd Calendar'!$I$828)=FALSE,"",IF((('Dvd Calendar'!$I$830=TYPE1)*(TYPE1&lt;&gt;"")+('Dvd Calendar'!$I$830=TYPE2)*(TYPE2&lt;&gt;"")+('Dvd Calendar'!$I$830=TYPE3)*(TYPE3&lt;&gt;"")+('Dvd Calendar'!$I$830=TYPE4)*(TYPE4&lt;&gt;"")+('Dvd Calendar'!$I$830=SPECIAL_LBL)*(INC_SPECIALS="Y"))=0,"",'Dvd Calendar'!$I$828)))</f>
        <v/>
      </c>
      <c r="H86" s="161">
        <f>IF(EJ86="","",IF(ISNUMBER('Dvd Calendar'!$J$828)=FALSE,"",IF((('Dvd Calendar'!$J$830=TYPE1)*(TYPE1&lt;&gt;"")+('Dvd Calendar'!$J$830=TYPE2)*(TYPE2&lt;&gt;"")+('Dvd Calendar'!$J$830=TYPE3)*(TYPE3&lt;&gt;"")+('Dvd Calendar'!$J$830=TYPE4)*(TYPE4&lt;&gt;"")+('Dvd Calendar'!$J$830=SPECIAL_LBL)*(INC_SPECIALS="Y"))=0,"",'Dvd Calendar'!$J$828)))</f>
        <v/>
      </c>
      <c r="I86" s="161">
        <f>IF(EK86="","",IF(ISNUMBER('Dvd Calendar'!$K$828)=FALSE,"",IF((('Dvd Calendar'!$K$830=TYPE1)*(TYPE1&lt;&gt;"")+('Dvd Calendar'!$K$830=TYPE2)*(TYPE2&lt;&gt;"")+('Dvd Calendar'!$K$830=TYPE3)*(TYPE3&lt;&gt;"")+('Dvd Calendar'!$K$830=TYPE4)*(TYPE4&lt;&gt;"")+('Dvd Calendar'!$K$830=SPECIAL_LBL)*(INC_SPECIALS="Y"))=0,"",'Dvd Calendar'!$K$828)))</f>
        <v/>
      </c>
      <c r="J86" s="161">
        <f>IF(EL86="","",IF(ISNUMBER('Dvd Calendar'!$L$828)=FALSE,"",IF((('Dvd Calendar'!$L$830=TYPE1)*(TYPE1&lt;&gt;"")+('Dvd Calendar'!$L$830=TYPE2)*(TYPE2&lt;&gt;"")+('Dvd Calendar'!$L$830=TYPE3)*(TYPE3&lt;&gt;"")+('Dvd Calendar'!$L$830=TYPE4)*(TYPE4&lt;&gt;"")+('Dvd Calendar'!$L$830=SPECIAL_LBL)*(INC_SPECIALS="Y"))=0,"",'Dvd Calendar'!$L$828)))</f>
        <v/>
      </c>
      <c r="K86" s="161">
        <f>IF(EM86="","",IF(ISNUMBER('Dvd Calendar'!$M$828)=FALSE,"",IF((('Dvd Calendar'!$M$830=TYPE1)*(TYPE1&lt;&gt;"")+('Dvd Calendar'!$M$830=TYPE2)*(TYPE2&lt;&gt;"")+('Dvd Calendar'!$M$830=TYPE3)*(TYPE3&lt;&gt;"")+('Dvd Calendar'!$M$830=TYPE4)*(TYPE4&lt;&gt;"")+('Dvd Calendar'!$M$830=SPECIAL_LBL)*(INC_SPECIALS="Y"))=0,"",'Dvd Calendar'!$M$828)))</f>
        <v/>
      </c>
      <c r="L86" s="161">
        <f>IF(EN86="","",IF(ISNUMBER('Dvd Calendar'!$N$828)=FALSE,"",IF((('Dvd Calendar'!$N$830=TYPE1)*(TYPE1&lt;&gt;"")+('Dvd Calendar'!$N$830=TYPE2)*(TYPE2&lt;&gt;"")+('Dvd Calendar'!$N$830=TYPE3)*(TYPE3&lt;&gt;"")+('Dvd Calendar'!$N$830=TYPE4)*(TYPE4&lt;&gt;"")+('Dvd Calendar'!$N$830=SPECIAL_LBL)*(INC_SPECIALS="Y"))=0,"",'Dvd Calendar'!$N$828)))</f>
        <v/>
      </c>
      <c r="M86" s="161">
        <f>IF(EO86="","",IF(ISNUMBER('Dvd Calendar'!$O$828)=FALSE,"",IF((('Dvd Calendar'!$O$830=TYPE1)*(TYPE1&lt;&gt;"")+('Dvd Calendar'!$O$830=TYPE2)*(TYPE2&lt;&gt;"")+('Dvd Calendar'!$O$830=TYPE3)*(TYPE3&lt;&gt;"")+('Dvd Calendar'!$O$830=TYPE4)*(TYPE4&lt;&gt;"")+('Dvd Calendar'!$O$830=SPECIAL_LBL)*(INC_SPECIALS="Y"))=0,"",'Dvd Calendar'!$O$828)))</f>
        <v/>
      </c>
      <c r="N86" s="161">
        <f>IF(EP86="","",IF(ISNUMBER('Dvd Calendar'!$P$828)=FALSE,"",IF((('Dvd Calendar'!$P$830=TYPE1)*(TYPE1&lt;&gt;"")+('Dvd Calendar'!$P$830=TYPE2)*(TYPE2&lt;&gt;"")+('Dvd Calendar'!$P$830=TYPE3)*(TYPE3&lt;&gt;"")+('Dvd Calendar'!$P$830=TYPE4)*(TYPE4&lt;&gt;"")+('Dvd Calendar'!$P$830=SPECIAL_LBL)*(INC_SPECIALS="Y"))=0,"",'Dvd Calendar'!$P$828)))</f>
        <v/>
      </c>
      <c r="O86" s="161">
        <f>IF(EQ86="","",IF(ISNUMBER('Dvd Calendar'!$Q$828)=FALSE,"",IF((('Dvd Calendar'!$Q$830=TYPE1)*(TYPE1&lt;&gt;"")+('Dvd Calendar'!$Q$830=TYPE2)*(TYPE2&lt;&gt;"")+('Dvd Calendar'!$Q$830=TYPE3)*(TYPE3&lt;&gt;"")+('Dvd Calendar'!$Q$830=TYPE4)*(TYPE4&lt;&gt;"")+('Dvd Calendar'!$Q$830=SPECIAL_LBL)*(INC_SPECIALS="Y"))=0,"",'Dvd Calendar'!$Q$828)))</f>
        <v/>
      </c>
      <c r="P86" s="161">
        <f>IF(ER86="","",IF(ISNUMBER('Dvd Calendar'!$R$828)=FALSE,"",IF((('Dvd Calendar'!$R$830=TYPE1)*(TYPE1&lt;&gt;"")+('Dvd Calendar'!$R$830=TYPE2)*(TYPE2&lt;&gt;"")+('Dvd Calendar'!$R$830=TYPE3)*(TYPE3&lt;&gt;"")+('Dvd Calendar'!$R$830=TYPE4)*(TYPE4&lt;&gt;"")+('Dvd Calendar'!$R$830=SPECIAL_LBL)*(INC_SPECIALS="Y"))=0,"",'Dvd Calendar'!$R$828)))</f>
        <v/>
      </c>
      <c r="Q86" s="161">
        <f>IF(ES86="","",IF(ISNUMBER('Dvd Calendar'!$S$828)=FALSE,"",IF((('Dvd Calendar'!$S$830=TYPE1)*(TYPE1&lt;&gt;"")+('Dvd Calendar'!$S$830=TYPE2)*(TYPE2&lt;&gt;"")+('Dvd Calendar'!$S$830=TYPE3)*(TYPE3&lt;&gt;"")+('Dvd Calendar'!$S$830=TYPE4)*(TYPE4&lt;&gt;"")+('Dvd Calendar'!$S$830=SPECIAL_LBL)*(INC_SPECIALS="Y"))=0,"",'Dvd Calendar'!$S$828)))</f>
        <v/>
      </c>
      <c r="R86" s="161">
        <f>IF(ET86="","",IF(ISNUMBER('Dvd Calendar'!$T$828)=FALSE,"",IF((('Dvd Calendar'!$T$830=TYPE1)*(TYPE1&lt;&gt;"")+('Dvd Calendar'!$T$830=TYPE2)*(TYPE2&lt;&gt;"")+('Dvd Calendar'!$T$830=TYPE3)*(TYPE3&lt;&gt;"")+('Dvd Calendar'!$T$830=TYPE4)*(TYPE4&lt;&gt;"")+('Dvd Calendar'!$T$830=SPECIAL_LBL)*(INC_SPECIALS="Y"))=0,"",'Dvd Calendar'!$T$828)))</f>
        <v/>
      </c>
      <c r="S86" s="161">
        <f>IF(EU86="","",IF(ISNUMBER('Dvd Calendar'!$U$828)=FALSE,"",IF((('Dvd Calendar'!$U$830=TYPE1)*(TYPE1&lt;&gt;"")+('Dvd Calendar'!$U$830=TYPE2)*(TYPE2&lt;&gt;"")+('Dvd Calendar'!$U$830=TYPE3)*(TYPE3&lt;&gt;"")+('Dvd Calendar'!$U$830=TYPE4)*(TYPE4&lt;&gt;"")+('Dvd Calendar'!$U$830=SPECIAL_LBL)*(INC_SPECIALS="Y"))=0,"",'Dvd Calendar'!$U$828)))</f>
        <v/>
      </c>
      <c r="T86" s="161">
        <f>IF(EV86="","",IF(ISNUMBER('Dvd Calendar'!$V$828)=FALSE,"",IF((('Dvd Calendar'!$V$830=TYPE1)*(TYPE1&lt;&gt;"")+('Dvd Calendar'!$V$830=TYPE2)*(TYPE2&lt;&gt;"")+('Dvd Calendar'!$V$830=TYPE3)*(TYPE3&lt;&gt;"")+('Dvd Calendar'!$V$830=TYPE4)*(TYPE4&lt;&gt;"")+('Dvd Calendar'!$V$830=SPECIAL_LBL)*(INC_SPECIALS="Y"))=0,"",'Dvd Calendar'!$V$828)))</f>
        <v/>
      </c>
      <c r="U86" s="161">
        <f>IF(EW86="","",IF(ISNUMBER('Dvd Calendar'!$W$828)=FALSE,"",IF((('Dvd Calendar'!$W$830=TYPE1)*(TYPE1&lt;&gt;"")+('Dvd Calendar'!$W$830=TYPE2)*(TYPE2&lt;&gt;"")+('Dvd Calendar'!$W$830=TYPE3)*(TYPE3&lt;&gt;"")+('Dvd Calendar'!$W$830=TYPE4)*(TYPE4&lt;&gt;"")+('Dvd Calendar'!$W$830=SPECIAL_LBL)*(INC_SPECIALS="Y"))=0,"",'Dvd Calendar'!$W$828)))</f>
        <v/>
      </c>
      <c r="V86" s="161">
        <f>IF(EX86="","",IF(ISNUMBER('Dvd Calendar'!$X$828)=FALSE,"",IF((('Dvd Calendar'!$X$830=TYPE1)*(TYPE1&lt;&gt;"")+('Dvd Calendar'!$X$830=TYPE2)*(TYPE2&lt;&gt;"")+('Dvd Calendar'!$X$830=TYPE3)*(TYPE3&lt;&gt;"")+('Dvd Calendar'!$X$830=TYPE4)*(TYPE4&lt;&gt;"")+('Dvd Calendar'!$X$830=SPECIAL_LBL)*(INC_SPECIALS="Y"))=0,"",'Dvd Calendar'!$X$828)))</f>
        <v/>
      </c>
      <c r="W86" s="161">
        <f>IF(EY86="","",IF(ISNUMBER('Dvd Calendar'!$Y$828)=FALSE,"",IF((('Dvd Calendar'!$Y$830=TYPE1)*(TYPE1&lt;&gt;"")+('Dvd Calendar'!$Y$830=TYPE2)*(TYPE2&lt;&gt;"")+('Dvd Calendar'!$Y$830=TYPE3)*(TYPE3&lt;&gt;"")+('Dvd Calendar'!$Y$830=TYPE4)*(TYPE4&lt;&gt;"")+('Dvd Calendar'!$Y$830=SPECIAL_LBL)*(INC_SPECIALS="Y"))=0,"",'Dvd Calendar'!$Y$828)))</f>
        <v/>
      </c>
      <c r="X86" s="161">
        <f>IF(EZ86="","",IF(ISNUMBER('Dvd Calendar'!$Z$828)=FALSE,"",IF((('Dvd Calendar'!$Z$830=TYPE1)*(TYPE1&lt;&gt;"")+('Dvd Calendar'!$Z$830=TYPE2)*(TYPE2&lt;&gt;"")+('Dvd Calendar'!$Z$830=TYPE3)*(TYPE3&lt;&gt;"")+('Dvd Calendar'!$Z$830=TYPE4)*(TYPE4&lt;&gt;"")+('Dvd Calendar'!$Z$830=SPECIAL_LBL)*(INC_SPECIALS="Y"))=0,"",'Dvd Calendar'!$Z$828)))</f>
        <v/>
      </c>
      <c r="Y86" s="161">
        <f>IF(FA86="","",IF(ISNUMBER('Dvd Calendar'!$AA$828)=FALSE,"",IF((('Dvd Calendar'!$AA$830=TYPE1)*(TYPE1&lt;&gt;"")+('Dvd Calendar'!$AA$830=TYPE2)*(TYPE2&lt;&gt;"")+('Dvd Calendar'!$AA$830=TYPE3)*(TYPE3&lt;&gt;"")+('Dvd Calendar'!$AA$830=TYPE4)*(TYPE4&lt;&gt;"")+('Dvd Calendar'!$AA$830=SPECIAL_LBL)*(INC_SPECIALS="Y"))=0,"",'Dvd Calendar'!$AA$828)))</f>
        <v/>
      </c>
      <c r="Z86" s="161">
        <f>IF(FB86="","",IF(ISNUMBER('Dvd Calendar'!$AB$828)=FALSE,"",IF((('Dvd Calendar'!$AB$830=TYPE1)*(TYPE1&lt;&gt;"")+('Dvd Calendar'!$AB$830=TYPE2)*(TYPE2&lt;&gt;"")+('Dvd Calendar'!$AB$830=TYPE3)*(TYPE3&lt;&gt;"")+('Dvd Calendar'!$AB$830=TYPE4)*(TYPE4&lt;&gt;"")+('Dvd Calendar'!$AB$830=SPECIAL_LBL)*(INC_SPECIALS="Y"))=0,"",'Dvd Calendar'!$AB$828)))</f>
        <v/>
      </c>
      <c r="AA86" s="161">
        <f>IF(FC86="","",IF(ISNUMBER('Dvd Calendar'!$AC$828)=FALSE,"",IF((('Dvd Calendar'!$AC$830=TYPE1)*(TYPE1&lt;&gt;"")+('Dvd Calendar'!$AC$830=TYPE2)*(TYPE2&lt;&gt;"")+('Dvd Calendar'!$AC$830=TYPE3)*(TYPE3&lt;&gt;"")+('Dvd Calendar'!$AC$830=TYPE4)*(TYPE4&lt;&gt;"")+('Dvd Calendar'!$AC$830=SPECIAL_LBL)*(INC_SPECIALS="Y"))=0,"",'Dvd Calendar'!$AC$828)))</f>
        <v/>
      </c>
      <c r="AB86" s="161">
        <f>IF(FD86="","",IF(ISNUMBER('Dvd Calendar'!$AD$828)=FALSE,"",IF((('Dvd Calendar'!$AD$830=TYPE1)*(TYPE1&lt;&gt;"")+('Dvd Calendar'!$AD$830=TYPE2)*(TYPE2&lt;&gt;"")+('Dvd Calendar'!$AD$830=TYPE3)*(TYPE3&lt;&gt;"")+('Dvd Calendar'!$AD$830=TYPE4)*(TYPE4&lt;&gt;"")+('Dvd Calendar'!$AD$830=SPECIAL_LBL)*(INC_SPECIALS="Y"))=0,"",'Dvd Calendar'!$AD$828)))</f>
        <v/>
      </c>
      <c r="AC86" s="161">
        <f>IF(FE86="","",IF(ISNUMBER('Dvd Calendar'!$AE$828)=FALSE,"",IF((('Dvd Calendar'!$AE$830=TYPE1)*(TYPE1&lt;&gt;"")+('Dvd Calendar'!$AE$830=TYPE2)*(TYPE2&lt;&gt;"")+('Dvd Calendar'!$AE$830=TYPE3)*(TYPE3&lt;&gt;"")+('Dvd Calendar'!$AE$830=TYPE4)*(TYPE4&lt;&gt;"")+('Dvd Calendar'!$AE$830=SPECIAL_LBL)*(INC_SPECIALS="Y"))=0,"",'Dvd Calendar'!$AE$828)))</f>
        <v/>
      </c>
      <c r="AD86" s="161">
        <f>IF(FF86="","",IF(ISNUMBER('Dvd Calendar'!$AF$828)=FALSE,"",IF((('Dvd Calendar'!$AF$830=TYPE1)*(TYPE1&lt;&gt;"")+('Dvd Calendar'!$AF$830=TYPE2)*(TYPE2&lt;&gt;"")+('Dvd Calendar'!$AF$830=TYPE3)*(TYPE3&lt;&gt;"")+('Dvd Calendar'!$AF$830=TYPE4)*(TYPE4&lt;&gt;"")+('Dvd Calendar'!$AF$830=SPECIAL_LBL)*(INC_SPECIALS="Y"))=0,"",'Dvd Calendar'!$AF$828)))</f>
        <v/>
      </c>
      <c r="AE86" s="161">
        <f>IF(FG86="","",IF(ISNUMBER('Dvd Calendar'!$AG$828)=FALSE,"",IF((('Dvd Calendar'!$AG$830=TYPE1)*(TYPE1&lt;&gt;"")+('Dvd Calendar'!$AG$830=TYPE2)*(TYPE2&lt;&gt;"")+('Dvd Calendar'!$AG$830=TYPE3)*(TYPE3&lt;&gt;"")+('Dvd Calendar'!$AG$830=TYPE4)*(TYPE4&lt;&gt;"")+('Dvd Calendar'!$AG$830=SPECIAL_LBL)*(INC_SPECIALS="Y"))=0,"",'Dvd Calendar'!$AG$828)))</f>
        <v/>
      </c>
      <c r="AF86" s="161">
        <f>IF(FH86="","",IF(ISNUMBER('Dvd Calendar'!$AH$828)=FALSE,"",IF((('Dvd Calendar'!$AH$830=TYPE1)*(TYPE1&lt;&gt;"")+('Dvd Calendar'!$AH$830=TYPE2)*(TYPE2&lt;&gt;"")+('Dvd Calendar'!$AH$830=TYPE3)*(TYPE3&lt;&gt;"")+('Dvd Calendar'!$AH$830=TYPE4)*(TYPE4&lt;&gt;"")+('Dvd Calendar'!$AH$830=SPECIAL_LBL)*(INC_SPECIALS="Y"))=0,"",'Dvd Calendar'!$AH$828)))</f>
        <v/>
      </c>
      <c r="AG86" s="161">
        <f>IF(FI86="","",IF(ISNUMBER('Dvd Calendar'!$AI$828)=FALSE,"",IF((('Dvd Calendar'!$AI$830=TYPE1)*(TYPE1&lt;&gt;"")+('Dvd Calendar'!$AI$830=TYPE2)*(TYPE2&lt;&gt;"")+('Dvd Calendar'!$AI$830=TYPE3)*(TYPE3&lt;&gt;"")+('Dvd Calendar'!$AI$830=TYPE4)*(TYPE4&lt;&gt;"")+('Dvd Calendar'!$AI$830=SPECIAL_LBL)*(INC_SPECIALS="Y"))=0,"",'Dvd Calendar'!$AI$828)))</f>
        <v/>
      </c>
      <c r="AH86" s="161">
        <f>IF(FJ86="","",IF(ISNUMBER('Dvd Calendar'!$AJ$828)=FALSE,"",IF((('Dvd Calendar'!$AJ$830=TYPE1)*(TYPE1&lt;&gt;"")+('Dvd Calendar'!$AJ$830=TYPE2)*(TYPE2&lt;&gt;"")+('Dvd Calendar'!$AJ$830=TYPE3)*(TYPE3&lt;&gt;"")+('Dvd Calendar'!$AJ$830=TYPE4)*(TYPE4&lt;&gt;"")+('Dvd Calendar'!$AJ$830=SPECIAL_LBL)*(INC_SPECIALS="Y"))=0,"",'Dvd Calendar'!$AJ$828)))</f>
        <v/>
      </c>
      <c r="AI86" s="161">
        <f>IF(FK86="","",IF(ISNUMBER('Dvd Calendar'!$AK$828)=FALSE,"",IF((('Dvd Calendar'!$AK$830=TYPE1)*(TYPE1&lt;&gt;"")+('Dvd Calendar'!$AK$830=TYPE2)*(TYPE2&lt;&gt;"")+('Dvd Calendar'!$AK$830=TYPE3)*(TYPE3&lt;&gt;"")+('Dvd Calendar'!$AK$830=TYPE4)*(TYPE4&lt;&gt;"")+('Dvd Calendar'!$AK$830=SPECIAL_LBL)*(INC_SPECIALS="Y"))=0,"",'Dvd Calendar'!$AK$828)))</f>
        <v/>
      </c>
      <c r="AJ86" s="161">
        <f>IF(FL86="","",IF(ISNUMBER('Dvd Calendar'!$AL$828)=FALSE,"",IF((('Dvd Calendar'!$AL$830=TYPE1)*(TYPE1&lt;&gt;"")+('Dvd Calendar'!$AL$830=TYPE2)*(TYPE2&lt;&gt;"")+('Dvd Calendar'!$AL$830=TYPE3)*(TYPE3&lt;&gt;"")+('Dvd Calendar'!$AL$830=TYPE4)*(TYPE4&lt;&gt;"")+('Dvd Calendar'!$AL$830=SPECIAL_LBL)*(INC_SPECIALS="Y"))=0,"",'Dvd Calendar'!$AL$828)))</f>
        <v/>
      </c>
      <c r="AK86" s="161">
        <f>IF(FM86="","",IF(ISNUMBER('Dvd Calendar'!$AM$828)=FALSE,"",IF((('Dvd Calendar'!$AM$830=TYPE1)*(TYPE1&lt;&gt;"")+('Dvd Calendar'!$AM$830=TYPE2)*(TYPE2&lt;&gt;"")+('Dvd Calendar'!$AM$830=TYPE3)*(TYPE3&lt;&gt;"")+('Dvd Calendar'!$AM$830=TYPE4)*(TYPE4&lt;&gt;"")+('Dvd Calendar'!$AM$830=SPECIAL_LBL)*(INC_SPECIALS="Y"))=0,"",'Dvd Calendar'!$AM$828)))</f>
        <v/>
      </c>
      <c r="AL86" s="161">
        <f>IF(FN86="","",IF(ISNUMBER('Dvd Calendar'!$AN$828)=FALSE,"",IF((('Dvd Calendar'!$AN$830=TYPE1)*(TYPE1&lt;&gt;"")+('Dvd Calendar'!$AN$830=TYPE2)*(TYPE2&lt;&gt;"")+('Dvd Calendar'!$AN$830=TYPE3)*(TYPE3&lt;&gt;"")+('Dvd Calendar'!$AN$830=TYPE4)*(TYPE4&lt;&gt;"")+('Dvd Calendar'!$AN$830=SPECIAL_LBL)*(INC_SPECIALS="Y"))=0,"",'Dvd Calendar'!$AN$828)))</f>
        <v/>
      </c>
      <c r="AM86" s="161">
        <f>IF(FO86="","",IF(ISNUMBER('Dvd Calendar'!$AO$828)=FALSE,"",IF((('Dvd Calendar'!$AO$830=TYPE1)*(TYPE1&lt;&gt;"")+('Dvd Calendar'!$AO$830=TYPE2)*(TYPE2&lt;&gt;"")+('Dvd Calendar'!$AO$830=TYPE3)*(TYPE3&lt;&gt;"")+('Dvd Calendar'!$AO$830=TYPE4)*(TYPE4&lt;&gt;"")+('Dvd Calendar'!$AO$830=SPECIAL_LBL)*(INC_SPECIALS="Y"))=0,"",'Dvd Calendar'!$AO$828)))</f>
        <v/>
      </c>
      <c r="AN86" s="161">
        <f>IF(FP86="","",IF(ISNUMBER('Dvd Calendar'!$AP$828)=FALSE,"",IF((('Dvd Calendar'!$AP$830=TYPE1)*(TYPE1&lt;&gt;"")+('Dvd Calendar'!$AP$830=TYPE2)*(TYPE2&lt;&gt;"")+('Dvd Calendar'!$AP$830=TYPE3)*(TYPE3&lt;&gt;"")+('Dvd Calendar'!$AP$830=TYPE4)*(TYPE4&lt;&gt;"")+('Dvd Calendar'!$AP$830=SPECIAL_LBL)*(INC_SPECIALS="Y"))=0,"",'Dvd Calendar'!$AP$828)))</f>
        <v/>
      </c>
      <c r="AO86" s="161">
        <f>IF(FQ86="","",IF(ISNUMBER('Dvd Calendar'!$AQ$828)=FALSE,"",IF((('Dvd Calendar'!$AQ$830=TYPE1)*(TYPE1&lt;&gt;"")+('Dvd Calendar'!$AQ$830=TYPE2)*(TYPE2&lt;&gt;"")+('Dvd Calendar'!$AQ$830=TYPE3)*(TYPE3&lt;&gt;"")+('Dvd Calendar'!$AQ$830=TYPE4)*(TYPE4&lt;&gt;"")+('Dvd Calendar'!$AQ$830=SPECIAL_LBL)*(INC_SPECIALS="Y"))=0,"",'Dvd Calendar'!$AQ$828)))</f>
        <v/>
      </c>
      <c r="AP86" s="161">
        <f>IF(FR86="","",IF(ISNUMBER('Dvd Calendar'!$AR$828)=FALSE,"",IF((('Dvd Calendar'!$AR$830=TYPE1)*(TYPE1&lt;&gt;"")+('Dvd Calendar'!$AR$830=TYPE2)*(TYPE2&lt;&gt;"")+('Dvd Calendar'!$AR$830=TYPE3)*(TYPE3&lt;&gt;"")+('Dvd Calendar'!$AR$830=TYPE4)*(TYPE4&lt;&gt;"")+('Dvd Calendar'!$AR$830=SPECIAL_LBL)*(INC_SPECIALS="Y"))=0,"",'Dvd Calendar'!$AR$828)))</f>
        <v/>
      </c>
      <c r="AQ86" s="161">
        <f>IF(FS86="","",IF(ISNUMBER('Dvd Calendar'!$E$833)=FALSE,"",'Dvd Calendar'!$E$833))</f>
        <v/>
      </c>
      <c r="AR86" s="161">
        <f>IF(FT86="","",IF(ISNUMBER('Dvd Calendar'!$F$833)=FALSE,"",'Dvd Calendar'!$F$833))</f>
        <v/>
      </c>
      <c r="AS86" s="161">
        <f>IF(FU86="","",IF(ISNUMBER('Dvd Calendar'!$G$833)=FALSE,"",'Dvd Calendar'!$G$833))</f>
        <v/>
      </c>
      <c r="AT86" s="161">
        <f>IF(FV86="","",IF(ISNUMBER('Dvd Calendar'!$H$833)=FALSE,"",'Dvd Calendar'!$H$833))</f>
        <v/>
      </c>
      <c r="AU86" s="161">
        <f>IF(FW86="","",IF(ISNUMBER('Dvd Calendar'!$I$833)=FALSE,"",'Dvd Calendar'!$I$833))</f>
        <v/>
      </c>
      <c r="AV86" s="161">
        <f>IF(FX86="","",IF(ISNUMBER('Dvd Calendar'!$J$833)=FALSE,"",'Dvd Calendar'!$J$833))</f>
        <v/>
      </c>
      <c r="AW86" s="161">
        <f>IF(FY86="","",IF(ISNUMBER('Dvd Calendar'!$K$833)=FALSE,"",'Dvd Calendar'!$K$833))</f>
        <v/>
      </c>
      <c r="AX86" s="161">
        <f>IF(FZ86="","",IF(ISNUMBER('Dvd Calendar'!$L$833)=FALSE,"",'Dvd Calendar'!$L$833))</f>
        <v/>
      </c>
      <c r="AY86" s="161">
        <f>IF(GA86="","",IF(ISNUMBER('Dvd Calendar'!$M$833)=FALSE,"",'Dvd Calendar'!$M$833))</f>
        <v/>
      </c>
      <c r="AZ86" s="161">
        <f>IF(GB86="","",IF(ISNUMBER('Dvd Calendar'!$N$833)=FALSE,"",'Dvd Calendar'!$N$833))</f>
        <v/>
      </c>
      <c r="BA86" s="161">
        <f>IF(GC86="","",IF(ISNUMBER('Dvd Calendar'!$O$833)=FALSE,"",'Dvd Calendar'!$O$833))</f>
        <v/>
      </c>
      <c r="BB86" s="161">
        <f>IF(GD86="","",IF(ISNUMBER('Dvd Calendar'!$P$833)=FALSE,"",'Dvd Calendar'!$P$833))</f>
        <v/>
      </c>
      <c r="BC86" s="161">
        <f>IF(GE86="","",IF(ISNUMBER('Dvd Calendar'!$Q$833)=FALSE,"",'Dvd Calendar'!$Q$833))</f>
        <v/>
      </c>
      <c r="BD86" s="161">
        <f>IF(GF86="","",IF(ISNUMBER('Dvd Calendar'!$R$833)=FALSE,"",'Dvd Calendar'!$R$833))</f>
        <v/>
      </c>
      <c r="BE86" s="161">
        <f>IF(GG86="","",IF(ISNUMBER('Dvd Calendar'!$S$833)=FALSE,"",'Dvd Calendar'!$S$833))</f>
        <v/>
      </c>
      <c r="BF86" s="161">
        <f>IF(GH86="","",IF(ISNUMBER('Dvd Calendar'!$T$833)=FALSE,"",'Dvd Calendar'!$T$833))</f>
        <v/>
      </c>
      <c r="BG86" s="161">
        <f>IF(GI86="","",IF(ISNUMBER('Dvd Calendar'!$U$833)=FALSE,"",'Dvd Calendar'!$U$833))</f>
        <v/>
      </c>
      <c r="BH86" s="161">
        <f>IF(GJ86="","",IF(ISNUMBER('Dvd Calendar'!$V$833)=FALSE,"",'Dvd Calendar'!$V$833))</f>
        <v/>
      </c>
      <c r="BI86" s="161">
        <f>IF(GK86="","",IF(ISNUMBER('Dvd Calendar'!$W$833)=FALSE,"",'Dvd Calendar'!$W$833))</f>
        <v/>
      </c>
      <c r="BJ86" s="161">
        <f>IF(GL86="","",IF(ISNUMBER('Dvd Calendar'!$X$833)=FALSE,"",'Dvd Calendar'!$X$833))</f>
        <v/>
      </c>
      <c r="BK86" s="161">
        <f>IF(GM86="","",IF(ISNUMBER('Dvd Calendar'!$Y$833)=FALSE,"",'Dvd Calendar'!$Y$833))</f>
        <v/>
      </c>
      <c r="BL86" s="161">
        <f>IF(GN86="","",IF(ISNUMBER('Dvd Calendar'!$Z$833)=FALSE,"",'Dvd Calendar'!$Z$833))</f>
        <v/>
      </c>
      <c r="BM86" s="161">
        <f>IF(GO86="","",IF(ISNUMBER('Dvd Calendar'!$AA$833)=FALSE,"",'Dvd Calendar'!$AA$833))</f>
        <v/>
      </c>
      <c r="BN86" s="161">
        <f>IF(GP86="","",IF(ISNUMBER('Dvd Calendar'!$AB$833)=FALSE,"",'Dvd Calendar'!$AB$833))</f>
        <v/>
      </c>
      <c r="BO86" s="161">
        <f>IF(GQ86="","",IF(ISNUMBER('Dvd Calendar'!$AC$833)=FALSE,"",'Dvd Calendar'!$AC$833))</f>
        <v/>
      </c>
      <c r="BQ86" s="161">
        <f>IF(C86="","",IFERROR(C86*HSI!$B$81*HSI!$G$81/HSI!$B$3,""))</f>
        <v/>
      </c>
      <c r="BR86" s="161">
        <f>IF(D86="","",IFERROR(D86*HSI!$B$81*HSI!$G$81/HSI!$B$3,""))</f>
        <v/>
      </c>
      <c r="BS86" s="161">
        <f>IF(E86="","",IFERROR(E86*HSI!$B$81*HSI!$G$81/HSI!$B$3,""))</f>
        <v/>
      </c>
      <c r="BT86" s="161">
        <f>IF(F86="","",IFERROR(F86*HSI!$B$81*HSI!$G$81/HSI!$B$3,""))</f>
        <v/>
      </c>
      <c r="BU86" s="161">
        <f>IF(G86="","",IFERROR(G86*HSI!$B$81*HSI!$G$81/HSI!$B$3,""))</f>
        <v/>
      </c>
      <c r="BV86" s="161">
        <f>IF(H86="","",IFERROR(H86*HSI!$B$81*HSI!$G$81/HSI!$B$3,""))</f>
        <v/>
      </c>
      <c r="BW86" s="161">
        <f>IF(I86="","",IFERROR(I86*HSI!$B$81*HSI!$G$81/HSI!$B$3,""))</f>
        <v/>
      </c>
      <c r="BX86" s="161">
        <f>IF(J86="","",IFERROR(J86*HSI!$B$81*HSI!$G$81/HSI!$B$3,""))</f>
        <v/>
      </c>
      <c r="BY86" s="161">
        <f>IF(K86="","",IFERROR(K86*HSI!$B$81*HSI!$G$81/HSI!$B$3,""))</f>
        <v/>
      </c>
      <c r="BZ86" s="161">
        <f>IF(L86="","",IFERROR(L86*HSI!$B$81*HSI!$G$81/HSI!$B$3,""))</f>
        <v/>
      </c>
      <c r="CA86" s="161">
        <f>IF(M86="","",IFERROR(M86*HSI!$B$81*HSI!$G$81/HSI!$B$3,""))</f>
        <v/>
      </c>
      <c r="CB86" s="161">
        <f>IF(N86="","",IFERROR(N86*HSI!$B$81*HSI!$G$81/HSI!$B$3,""))</f>
        <v/>
      </c>
      <c r="CC86" s="161">
        <f>IF(O86="","",IFERROR(O86*HSI!$B$81*HSI!$G$81/HSI!$B$3,""))</f>
        <v/>
      </c>
      <c r="CD86" s="161">
        <f>IF(P86="","",IFERROR(P86*HSI!$B$81*HSI!$G$81/HSI!$B$3,""))</f>
        <v/>
      </c>
      <c r="CE86" s="161">
        <f>IF(Q86="","",IFERROR(Q86*HSI!$B$81*HSI!$G$81/HSI!$B$3,""))</f>
        <v/>
      </c>
      <c r="CF86" s="161">
        <f>IF(R86="","",IFERROR(R86*HSI!$B$81*HSI!$G$81/HSI!$B$3,""))</f>
        <v/>
      </c>
      <c r="CG86" s="161">
        <f>IF(S86="","",IFERROR(S86*HSI!$B$81*HSI!$G$81/HSI!$B$3,""))</f>
        <v/>
      </c>
      <c r="CH86" s="161">
        <f>IF(T86="","",IFERROR(T86*HSI!$B$81*HSI!$G$81/HSI!$B$3,""))</f>
        <v/>
      </c>
      <c r="CI86" s="161">
        <f>IF(U86="","",IFERROR(U86*HSI!$B$81*HSI!$G$81/HSI!$B$3,""))</f>
        <v/>
      </c>
      <c r="CJ86" s="161">
        <f>IF(V86="","",IFERROR(V86*HSI!$B$81*HSI!$G$81/HSI!$B$3,""))</f>
        <v/>
      </c>
      <c r="CK86" s="161">
        <f>IF(W86="","",IFERROR(W86*HSI!$B$81*HSI!$G$81/HSI!$B$3,""))</f>
        <v/>
      </c>
      <c r="CL86" s="161">
        <f>IF(X86="","",IFERROR(X86*HSI!$B$81*HSI!$G$81/HSI!$B$3,""))</f>
        <v/>
      </c>
      <c r="CM86" s="161">
        <f>IF(Y86="","",IFERROR(Y86*HSI!$B$81*HSI!$G$81/HSI!$B$3,""))</f>
        <v/>
      </c>
      <c r="CN86" s="161">
        <f>IF(Z86="","",IFERROR(Z86*HSI!$B$81*HSI!$G$81/HSI!$B$3,""))</f>
        <v/>
      </c>
      <c r="CO86" s="161">
        <f>IF(AA86="","",IFERROR(AA86*HSI!$B$81*HSI!$G$81/HSI!$B$3,""))</f>
        <v/>
      </c>
      <c r="CP86" s="161">
        <f>IF(AB86="","",IFERROR(AB86*HSI!$B$81*HSI!$G$81/HSI!$B$3,""))</f>
        <v/>
      </c>
      <c r="CQ86" s="161">
        <f>IF(AC86="","",IFERROR(AC86*HSI!$B$81*HSI!$G$81/HSI!$B$3,""))</f>
        <v/>
      </c>
      <c r="CR86" s="161">
        <f>IF(AD86="","",IFERROR(AD86*HSI!$B$81*HSI!$G$81/HSI!$B$3,""))</f>
        <v/>
      </c>
      <c r="CS86" s="161">
        <f>IF(AE86="","",IFERROR(AE86*HSI!$B$81*HSI!$G$81/HSI!$B$3,""))</f>
        <v/>
      </c>
      <c r="CT86" s="161">
        <f>IF(AF86="","",IFERROR(AF86*HSI!$B$81*HSI!$G$81/HSI!$B$3,""))</f>
        <v/>
      </c>
      <c r="CU86" s="161">
        <f>IF(AG86="","",IFERROR(AG86*HSI!$B$81*HSI!$G$81/HSI!$B$3,""))</f>
        <v/>
      </c>
      <c r="CV86" s="161">
        <f>IF(AH86="","",IFERROR(AH86*HSI!$B$81*HSI!$G$81/HSI!$B$3,""))</f>
        <v/>
      </c>
      <c r="CW86" s="161">
        <f>IF(AI86="","",IFERROR(AI86*HSI!$B$81*HSI!$G$81/HSI!$B$3,""))</f>
        <v/>
      </c>
      <c r="CX86" s="161">
        <f>IF(AJ86="","",IFERROR(AJ86*HSI!$B$81*HSI!$G$81/HSI!$B$3,""))</f>
        <v/>
      </c>
      <c r="CY86" s="161">
        <f>IF(AK86="","",IFERROR(AK86*HSI!$B$81*HSI!$G$81/HSI!$B$3,""))</f>
        <v/>
      </c>
      <c r="CZ86" s="161">
        <f>IF(AL86="","",IFERROR(AL86*HSI!$B$81*HSI!$G$81/HSI!$B$3,""))</f>
        <v/>
      </c>
      <c r="DA86" s="161">
        <f>IF(AM86="","",IFERROR(AM86*HSI!$B$81*HSI!$G$81/HSI!$B$3,""))</f>
        <v/>
      </c>
      <c r="DB86" s="161">
        <f>IF(AN86="","",IFERROR(AN86*HSI!$B$81*HSI!$G$81/HSI!$B$3,""))</f>
        <v/>
      </c>
      <c r="DC86" s="161">
        <f>IF(AO86="","",IFERROR(AO86*HSI!$B$81*HSI!$G$81/HSI!$B$3,""))</f>
        <v/>
      </c>
      <c r="DD86" s="161">
        <f>IF(AP86="","",IFERROR(AP86*HSI!$B$81*HSI!$G$81/HSI!$B$3,""))</f>
        <v/>
      </c>
      <c r="DE86" s="161">
        <f>IF(AQ86="","",IFERROR(AQ86*HSI!$B$81*HSI!$G$81/HSI!$B$3,""))</f>
        <v/>
      </c>
      <c r="DF86" s="161">
        <f>IF(AR86="","",IFERROR(AR86*HSI!$B$81*HSI!$G$81/HSI!$B$3,""))</f>
        <v/>
      </c>
      <c r="DG86" s="161">
        <f>IF(AS86="","",IFERROR(AS86*HSI!$B$81*HSI!$G$81/HSI!$B$3,""))</f>
        <v/>
      </c>
      <c r="DH86" s="161">
        <f>IF(AT86="","",IFERROR(AT86*HSI!$B$81*HSI!$G$81/HSI!$B$3,""))</f>
        <v/>
      </c>
      <c r="DI86" s="161">
        <f>IF(AU86="","",IFERROR(AU86*HSI!$B$81*HSI!$G$81/HSI!$B$3,""))</f>
        <v/>
      </c>
      <c r="DJ86" s="161">
        <f>IF(AV86="","",IFERROR(AV86*HSI!$B$81*HSI!$G$81/HSI!$B$3,""))</f>
        <v/>
      </c>
      <c r="DK86" s="161">
        <f>IF(AW86="","",IFERROR(AW86*HSI!$B$81*HSI!$G$81/HSI!$B$3,""))</f>
        <v/>
      </c>
      <c r="DL86" s="161">
        <f>IF(AX86="","",IFERROR(AX86*HSI!$B$81*HSI!$G$81/HSI!$B$3,""))</f>
        <v/>
      </c>
      <c r="DM86" s="161">
        <f>IF(AY86="","",IFERROR(AY86*HSI!$B$81*HSI!$G$81/HSI!$B$3,""))</f>
        <v/>
      </c>
      <c r="DN86" s="161">
        <f>IF(AZ86="","",IFERROR(AZ86*HSI!$B$81*HSI!$G$81/HSI!$B$3,""))</f>
        <v/>
      </c>
      <c r="DO86" s="161">
        <f>IF(BA86="","",IFERROR(BA86*HSI!$B$81*HSI!$G$81/HSI!$B$3,""))</f>
        <v/>
      </c>
      <c r="DP86" s="161">
        <f>IF(BB86="","",IFERROR(BB86*HSI!$B$81*HSI!$G$81/HSI!$B$3,""))</f>
        <v/>
      </c>
      <c r="DQ86" s="161">
        <f>IF(BC86="","",IFERROR(BC86*HSI!$B$81*HSI!$G$81/HSI!$B$3,""))</f>
        <v/>
      </c>
      <c r="DR86" s="161">
        <f>IF(BD86="","",IFERROR(BD86*HSI!$B$81*HSI!$G$81/HSI!$B$3,""))</f>
        <v/>
      </c>
      <c r="DS86" s="161">
        <f>IF(BE86="","",IFERROR(BE86*HSI!$B$81*HSI!$G$81/HSI!$B$3,""))</f>
        <v/>
      </c>
      <c r="DT86" s="161">
        <f>IF(BF86="","",IFERROR(BF86*HSI!$B$81*HSI!$G$81/HSI!$B$3,""))</f>
        <v/>
      </c>
      <c r="DU86" s="161">
        <f>IF(BG86="","",IFERROR(BG86*HSI!$B$81*HSI!$G$81/HSI!$B$3,""))</f>
        <v/>
      </c>
      <c r="DV86" s="161">
        <f>IF(BH86="","",IFERROR(BH86*HSI!$B$81*HSI!$G$81/HSI!$B$3,""))</f>
        <v/>
      </c>
      <c r="DW86" s="161">
        <f>IF(BI86="","",IFERROR(BI86*HSI!$B$81*HSI!$G$81/HSI!$B$3,""))</f>
        <v/>
      </c>
      <c r="DX86" s="161">
        <f>IF(BJ86="","",IFERROR(BJ86*HSI!$B$81*HSI!$G$81/HSI!$B$3,""))</f>
        <v/>
      </c>
      <c r="DY86" s="161">
        <f>IF(BK86="","",IFERROR(BK86*HSI!$B$81*HSI!$G$81/HSI!$B$3,""))</f>
        <v/>
      </c>
      <c r="DZ86" s="161">
        <f>IF(BL86="","",IFERROR(BL86*HSI!$B$81*HSI!$G$81/HSI!$B$3,""))</f>
        <v/>
      </c>
      <c r="EA86" s="161">
        <f>IF(BM86="","",IFERROR(BM86*HSI!$B$81*HSI!$G$81/HSI!$B$3,""))</f>
        <v/>
      </c>
      <c r="EB86" s="161">
        <f>IF(BN86="","",IFERROR(BN86*HSI!$B$81*HSI!$G$81/HSI!$B$3,""))</f>
        <v/>
      </c>
      <c r="EC86" s="161">
        <f>IF(BO86="","",IFERROR(BO86*HSI!$B$81*HSI!$G$81/HSI!$B$3,""))</f>
        <v/>
      </c>
      <c r="EE86" s="121">
        <f>IF(N('Dvd Calendar'!$E$825)=0,"",IF(('Dvd Calendar'!$E$825&gt;=GRID_FROM)*('Dvd Calendar'!$E$825&lt;=GRID_TO)*((('Dvd Calendar'!$E$825&lt;=VAL_DATE)+(COUNTIF('Dvd Calendar'!$E$832:$AR$832,'Dvd Calendar'!$E$825)=0))&gt;0)=0,"",'Dvd Calendar'!$E$825*1000000000+ISNUMBER('Dvd Calendar'!$E$828)*100000000+('Dvd Calendar'!$E$830=SPECIAL_LBL)*10000000+(N('Dvd Calendar'!$E$824)&gt;0)*(N('Dvd Calendar'!$E$824)&lt;=VAL_SERIAL)*1000000+75*1000+1))</f>
        <v/>
      </c>
      <c r="EF86" s="121">
        <f>IF(N('Dvd Calendar'!$F$825)=0,"",IF(('Dvd Calendar'!$F$825&gt;=GRID_FROM)*('Dvd Calendar'!$F$825&lt;=GRID_TO)*((('Dvd Calendar'!$F$825&lt;=VAL_DATE)+(COUNTIF('Dvd Calendar'!$E$832:$AR$832,'Dvd Calendar'!$F$825)=0))&gt;0)=0,"",'Dvd Calendar'!$F$825*1000000000+ISNUMBER('Dvd Calendar'!$F$828)*100000000+('Dvd Calendar'!$F$830=SPECIAL_LBL)*10000000+(N('Dvd Calendar'!$F$824)&gt;0)*(N('Dvd Calendar'!$F$824)&lt;=VAL_SERIAL)*1000000+75*1000+2))</f>
        <v/>
      </c>
      <c r="EG86" s="121">
        <f>IF(N('Dvd Calendar'!$G$825)=0,"",IF(('Dvd Calendar'!$G$825&gt;=GRID_FROM)*('Dvd Calendar'!$G$825&lt;=GRID_TO)*((('Dvd Calendar'!$G$825&lt;=VAL_DATE)+(COUNTIF('Dvd Calendar'!$E$832:$AR$832,'Dvd Calendar'!$G$825)=0))&gt;0)=0,"",'Dvd Calendar'!$G$825*1000000000+ISNUMBER('Dvd Calendar'!$G$828)*100000000+('Dvd Calendar'!$G$830=SPECIAL_LBL)*10000000+(N('Dvd Calendar'!$G$824)&gt;0)*(N('Dvd Calendar'!$G$824)&lt;=VAL_SERIAL)*1000000+75*1000+3))</f>
        <v/>
      </c>
      <c r="EH86" s="121">
        <f>IF(N('Dvd Calendar'!$H$825)=0,"",IF(('Dvd Calendar'!$H$825&gt;=GRID_FROM)*('Dvd Calendar'!$H$825&lt;=GRID_TO)*((('Dvd Calendar'!$H$825&lt;=VAL_DATE)+(COUNTIF('Dvd Calendar'!$E$832:$AR$832,'Dvd Calendar'!$H$825)=0))&gt;0)=0,"",'Dvd Calendar'!$H$825*1000000000+ISNUMBER('Dvd Calendar'!$H$828)*100000000+('Dvd Calendar'!$H$830=SPECIAL_LBL)*10000000+(N('Dvd Calendar'!$H$824)&gt;0)*(N('Dvd Calendar'!$H$824)&lt;=VAL_SERIAL)*1000000+75*1000+4))</f>
        <v/>
      </c>
      <c r="EI86" s="121">
        <f>IF(N('Dvd Calendar'!$I$825)=0,"",IF(('Dvd Calendar'!$I$825&gt;=GRID_FROM)*('Dvd Calendar'!$I$825&lt;=GRID_TO)*((('Dvd Calendar'!$I$825&lt;=VAL_DATE)+(COUNTIF('Dvd Calendar'!$E$832:$AR$832,'Dvd Calendar'!$I$825)=0))&gt;0)=0,"",'Dvd Calendar'!$I$825*1000000000+ISNUMBER('Dvd Calendar'!$I$828)*100000000+('Dvd Calendar'!$I$830=SPECIAL_LBL)*10000000+(N('Dvd Calendar'!$I$824)&gt;0)*(N('Dvd Calendar'!$I$824)&lt;=VAL_SERIAL)*1000000+75*1000+5))</f>
        <v/>
      </c>
      <c r="EJ86" s="121">
        <f>IF(N('Dvd Calendar'!$J$825)=0,"",IF(('Dvd Calendar'!$J$825&gt;=GRID_FROM)*('Dvd Calendar'!$J$825&lt;=GRID_TO)*((('Dvd Calendar'!$J$825&lt;=VAL_DATE)+(COUNTIF('Dvd Calendar'!$E$832:$AR$832,'Dvd Calendar'!$J$825)=0))&gt;0)=0,"",'Dvd Calendar'!$J$825*1000000000+ISNUMBER('Dvd Calendar'!$J$828)*100000000+('Dvd Calendar'!$J$830=SPECIAL_LBL)*10000000+(N('Dvd Calendar'!$J$824)&gt;0)*(N('Dvd Calendar'!$J$824)&lt;=VAL_SERIAL)*1000000+75*1000+6))</f>
        <v/>
      </c>
      <c r="EK86" s="121">
        <f>IF(N('Dvd Calendar'!$K$825)=0,"",IF(('Dvd Calendar'!$K$825&gt;=GRID_FROM)*('Dvd Calendar'!$K$825&lt;=GRID_TO)*((('Dvd Calendar'!$K$825&lt;=VAL_DATE)+(COUNTIF('Dvd Calendar'!$E$832:$AR$832,'Dvd Calendar'!$K$825)=0))&gt;0)=0,"",'Dvd Calendar'!$K$825*1000000000+ISNUMBER('Dvd Calendar'!$K$828)*100000000+('Dvd Calendar'!$K$830=SPECIAL_LBL)*10000000+(N('Dvd Calendar'!$K$824)&gt;0)*(N('Dvd Calendar'!$K$824)&lt;=VAL_SERIAL)*1000000+75*1000+7))</f>
        <v/>
      </c>
      <c r="EL86" s="121">
        <f>IF(N('Dvd Calendar'!$L$825)=0,"",IF(('Dvd Calendar'!$L$825&gt;=GRID_FROM)*('Dvd Calendar'!$L$825&lt;=GRID_TO)*((('Dvd Calendar'!$L$825&lt;=VAL_DATE)+(COUNTIF('Dvd Calendar'!$E$832:$AR$832,'Dvd Calendar'!$L$825)=0))&gt;0)=0,"",'Dvd Calendar'!$L$825*1000000000+ISNUMBER('Dvd Calendar'!$L$828)*100000000+('Dvd Calendar'!$L$830=SPECIAL_LBL)*10000000+(N('Dvd Calendar'!$L$824)&gt;0)*(N('Dvd Calendar'!$L$824)&lt;=VAL_SERIAL)*1000000+75*1000+8))</f>
        <v/>
      </c>
      <c r="EM86" s="121">
        <f>IF(N('Dvd Calendar'!$M$825)=0,"",IF(('Dvd Calendar'!$M$825&gt;=GRID_FROM)*('Dvd Calendar'!$M$825&lt;=GRID_TO)*((('Dvd Calendar'!$M$825&lt;=VAL_DATE)+(COUNTIF('Dvd Calendar'!$E$832:$AR$832,'Dvd Calendar'!$M$825)=0))&gt;0)=0,"",'Dvd Calendar'!$M$825*1000000000+ISNUMBER('Dvd Calendar'!$M$828)*100000000+('Dvd Calendar'!$M$830=SPECIAL_LBL)*10000000+(N('Dvd Calendar'!$M$824)&gt;0)*(N('Dvd Calendar'!$M$824)&lt;=VAL_SERIAL)*1000000+75*1000+9))</f>
        <v/>
      </c>
      <c r="EN86" s="121">
        <f>IF(N('Dvd Calendar'!$N$825)=0,"",IF(('Dvd Calendar'!$N$825&gt;=GRID_FROM)*('Dvd Calendar'!$N$825&lt;=GRID_TO)*((('Dvd Calendar'!$N$825&lt;=VAL_DATE)+(COUNTIF('Dvd Calendar'!$E$832:$AR$832,'Dvd Calendar'!$N$825)=0))&gt;0)=0,"",'Dvd Calendar'!$N$825*1000000000+ISNUMBER('Dvd Calendar'!$N$828)*100000000+('Dvd Calendar'!$N$830=SPECIAL_LBL)*10000000+(N('Dvd Calendar'!$N$824)&gt;0)*(N('Dvd Calendar'!$N$824)&lt;=VAL_SERIAL)*1000000+75*1000+10))</f>
        <v/>
      </c>
      <c r="EO86" s="121">
        <f>IF(N('Dvd Calendar'!$O$825)=0,"",IF(('Dvd Calendar'!$O$825&gt;=GRID_FROM)*('Dvd Calendar'!$O$825&lt;=GRID_TO)*((('Dvd Calendar'!$O$825&lt;=VAL_DATE)+(COUNTIF('Dvd Calendar'!$E$832:$AR$832,'Dvd Calendar'!$O$825)=0))&gt;0)=0,"",'Dvd Calendar'!$O$825*1000000000+ISNUMBER('Dvd Calendar'!$O$828)*100000000+('Dvd Calendar'!$O$830=SPECIAL_LBL)*10000000+(N('Dvd Calendar'!$O$824)&gt;0)*(N('Dvd Calendar'!$O$824)&lt;=VAL_SERIAL)*1000000+75*1000+11))</f>
        <v/>
      </c>
      <c r="EP86" s="121">
        <f>IF(N('Dvd Calendar'!$P$825)=0,"",IF(('Dvd Calendar'!$P$825&gt;=GRID_FROM)*('Dvd Calendar'!$P$825&lt;=GRID_TO)*((('Dvd Calendar'!$P$825&lt;=VAL_DATE)+(COUNTIF('Dvd Calendar'!$E$832:$AR$832,'Dvd Calendar'!$P$825)=0))&gt;0)=0,"",'Dvd Calendar'!$P$825*1000000000+ISNUMBER('Dvd Calendar'!$P$828)*100000000+('Dvd Calendar'!$P$830=SPECIAL_LBL)*10000000+(N('Dvd Calendar'!$P$824)&gt;0)*(N('Dvd Calendar'!$P$824)&lt;=VAL_SERIAL)*1000000+75*1000+12))</f>
        <v/>
      </c>
      <c r="EQ86" s="121">
        <f>IF(N('Dvd Calendar'!$Q$825)=0,"",IF(('Dvd Calendar'!$Q$825&gt;=GRID_FROM)*('Dvd Calendar'!$Q$825&lt;=GRID_TO)*((('Dvd Calendar'!$Q$825&lt;=VAL_DATE)+(COUNTIF('Dvd Calendar'!$E$832:$AR$832,'Dvd Calendar'!$Q$825)=0))&gt;0)=0,"",'Dvd Calendar'!$Q$825*1000000000+ISNUMBER('Dvd Calendar'!$Q$828)*100000000+('Dvd Calendar'!$Q$830=SPECIAL_LBL)*10000000+(N('Dvd Calendar'!$Q$824)&gt;0)*(N('Dvd Calendar'!$Q$824)&lt;=VAL_SERIAL)*1000000+75*1000+13))</f>
        <v/>
      </c>
      <c r="ER86" s="121">
        <f>IF(N('Dvd Calendar'!$R$825)=0,"",IF(('Dvd Calendar'!$R$825&gt;=GRID_FROM)*('Dvd Calendar'!$R$825&lt;=GRID_TO)*((('Dvd Calendar'!$R$825&lt;=VAL_DATE)+(COUNTIF('Dvd Calendar'!$E$832:$AR$832,'Dvd Calendar'!$R$825)=0))&gt;0)=0,"",'Dvd Calendar'!$R$825*1000000000+ISNUMBER('Dvd Calendar'!$R$828)*100000000+('Dvd Calendar'!$R$830=SPECIAL_LBL)*10000000+(N('Dvd Calendar'!$R$824)&gt;0)*(N('Dvd Calendar'!$R$824)&lt;=VAL_SERIAL)*1000000+75*1000+14))</f>
        <v/>
      </c>
      <c r="ES86" s="121">
        <f>IF(N('Dvd Calendar'!$S$825)=0,"",IF(('Dvd Calendar'!$S$825&gt;=GRID_FROM)*('Dvd Calendar'!$S$825&lt;=GRID_TO)*((('Dvd Calendar'!$S$825&lt;=VAL_DATE)+(COUNTIF('Dvd Calendar'!$E$832:$AR$832,'Dvd Calendar'!$S$825)=0))&gt;0)=0,"",'Dvd Calendar'!$S$825*1000000000+ISNUMBER('Dvd Calendar'!$S$828)*100000000+('Dvd Calendar'!$S$830=SPECIAL_LBL)*10000000+(N('Dvd Calendar'!$S$824)&gt;0)*(N('Dvd Calendar'!$S$824)&lt;=VAL_SERIAL)*1000000+75*1000+15))</f>
        <v/>
      </c>
      <c r="ET86" s="121">
        <f>IF(N('Dvd Calendar'!$T$825)=0,"",IF(('Dvd Calendar'!$T$825&gt;=GRID_FROM)*('Dvd Calendar'!$T$825&lt;=GRID_TO)*((('Dvd Calendar'!$T$825&lt;=VAL_DATE)+(COUNTIF('Dvd Calendar'!$E$832:$AR$832,'Dvd Calendar'!$T$825)=0))&gt;0)=0,"",'Dvd Calendar'!$T$825*1000000000+ISNUMBER('Dvd Calendar'!$T$828)*100000000+('Dvd Calendar'!$T$830=SPECIAL_LBL)*10000000+(N('Dvd Calendar'!$T$824)&gt;0)*(N('Dvd Calendar'!$T$824)&lt;=VAL_SERIAL)*1000000+75*1000+16))</f>
        <v/>
      </c>
      <c r="EU86" s="121">
        <f>IF(N('Dvd Calendar'!$U$825)=0,"",IF(('Dvd Calendar'!$U$825&gt;=GRID_FROM)*('Dvd Calendar'!$U$825&lt;=GRID_TO)*((('Dvd Calendar'!$U$825&lt;=VAL_DATE)+(COUNTIF('Dvd Calendar'!$E$832:$AR$832,'Dvd Calendar'!$U$825)=0))&gt;0)=0,"",'Dvd Calendar'!$U$825*1000000000+ISNUMBER('Dvd Calendar'!$U$828)*100000000+('Dvd Calendar'!$U$830=SPECIAL_LBL)*10000000+(N('Dvd Calendar'!$U$824)&gt;0)*(N('Dvd Calendar'!$U$824)&lt;=VAL_SERIAL)*1000000+75*1000+17))</f>
        <v/>
      </c>
      <c r="EV86" s="121">
        <f>IF(N('Dvd Calendar'!$V$825)=0,"",IF(('Dvd Calendar'!$V$825&gt;=GRID_FROM)*('Dvd Calendar'!$V$825&lt;=GRID_TO)*((('Dvd Calendar'!$V$825&lt;=VAL_DATE)+(COUNTIF('Dvd Calendar'!$E$832:$AR$832,'Dvd Calendar'!$V$825)=0))&gt;0)=0,"",'Dvd Calendar'!$V$825*1000000000+ISNUMBER('Dvd Calendar'!$V$828)*100000000+('Dvd Calendar'!$V$830=SPECIAL_LBL)*10000000+(N('Dvd Calendar'!$V$824)&gt;0)*(N('Dvd Calendar'!$V$824)&lt;=VAL_SERIAL)*1000000+75*1000+18))</f>
        <v/>
      </c>
      <c r="EW86" s="121">
        <f>IF(N('Dvd Calendar'!$W$825)=0,"",IF(('Dvd Calendar'!$W$825&gt;=GRID_FROM)*('Dvd Calendar'!$W$825&lt;=GRID_TO)*((('Dvd Calendar'!$W$825&lt;=VAL_DATE)+(COUNTIF('Dvd Calendar'!$E$832:$AR$832,'Dvd Calendar'!$W$825)=0))&gt;0)=0,"",'Dvd Calendar'!$W$825*1000000000+ISNUMBER('Dvd Calendar'!$W$828)*100000000+('Dvd Calendar'!$W$830=SPECIAL_LBL)*10000000+(N('Dvd Calendar'!$W$824)&gt;0)*(N('Dvd Calendar'!$W$824)&lt;=VAL_SERIAL)*1000000+75*1000+19))</f>
        <v/>
      </c>
      <c r="EX86" s="121">
        <f>IF(N('Dvd Calendar'!$X$825)=0,"",IF(('Dvd Calendar'!$X$825&gt;=GRID_FROM)*('Dvd Calendar'!$X$825&lt;=GRID_TO)*((('Dvd Calendar'!$X$825&lt;=VAL_DATE)+(COUNTIF('Dvd Calendar'!$E$832:$AR$832,'Dvd Calendar'!$X$825)=0))&gt;0)=0,"",'Dvd Calendar'!$X$825*1000000000+ISNUMBER('Dvd Calendar'!$X$828)*100000000+('Dvd Calendar'!$X$830=SPECIAL_LBL)*10000000+(N('Dvd Calendar'!$X$824)&gt;0)*(N('Dvd Calendar'!$X$824)&lt;=VAL_SERIAL)*1000000+75*1000+20))</f>
        <v/>
      </c>
      <c r="EY86" s="121">
        <f>IF(N('Dvd Calendar'!$Y$825)=0,"",IF(('Dvd Calendar'!$Y$825&gt;=GRID_FROM)*('Dvd Calendar'!$Y$825&lt;=GRID_TO)*((('Dvd Calendar'!$Y$825&lt;=VAL_DATE)+(COUNTIF('Dvd Calendar'!$E$832:$AR$832,'Dvd Calendar'!$Y$825)=0))&gt;0)=0,"",'Dvd Calendar'!$Y$825*1000000000+ISNUMBER('Dvd Calendar'!$Y$828)*100000000+('Dvd Calendar'!$Y$830=SPECIAL_LBL)*10000000+(N('Dvd Calendar'!$Y$824)&gt;0)*(N('Dvd Calendar'!$Y$824)&lt;=VAL_SERIAL)*1000000+75*1000+21))</f>
        <v/>
      </c>
      <c r="EZ86" s="121">
        <f>IF(N('Dvd Calendar'!$Z$825)=0,"",IF(('Dvd Calendar'!$Z$825&gt;=GRID_FROM)*('Dvd Calendar'!$Z$825&lt;=GRID_TO)*((('Dvd Calendar'!$Z$825&lt;=VAL_DATE)+(COUNTIF('Dvd Calendar'!$E$832:$AR$832,'Dvd Calendar'!$Z$825)=0))&gt;0)=0,"",'Dvd Calendar'!$Z$825*1000000000+ISNUMBER('Dvd Calendar'!$Z$828)*100000000+('Dvd Calendar'!$Z$830=SPECIAL_LBL)*10000000+(N('Dvd Calendar'!$Z$824)&gt;0)*(N('Dvd Calendar'!$Z$824)&lt;=VAL_SERIAL)*1000000+75*1000+22))</f>
        <v/>
      </c>
      <c r="FA86" s="121">
        <f>IF(N('Dvd Calendar'!$AA$825)=0,"",IF(('Dvd Calendar'!$AA$825&gt;=GRID_FROM)*('Dvd Calendar'!$AA$825&lt;=GRID_TO)*((('Dvd Calendar'!$AA$825&lt;=VAL_DATE)+(COUNTIF('Dvd Calendar'!$E$832:$AR$832,'Dvd Calendar'!$AA$825)=0))&gt;0)=0,"",'Dvd Calendar'!$AA$825*1000000000+ISNUMBER('Dvd Calendar'!$AA$828)*100000000+('Dvd Calendar'!$AA$830=SPECIAL_LBL)*10000000+(N('Dvd Calendar'!$AA$824)&gt;0)*(N('Dvd Calendar'!$AA$824)&lt;=VAL_SERIAL)*1000000+75*1000+23))</f>
        <v/>
      </c>
      <c r="FB86" s="121">
        <f>IF(N('Dvd Calendar'!$AB$825)=0,"",IF(('Dvd Calendar'!$AB$825&gt;=GRID_FROM)*('Dvd Calendar'!$AB$825&lt;=GRID_TO)*((('Dvd Calendar'!$AB$825&lt;=VAL_DATE)+(COUNTIF('Dvd Calendar'!$E$832:$AR$832,'Dvd Calendar'!$AB$825)=0))&gt;0)=0,"",'Dvd Calendar'!$AB$825*1000000000+ISNUMBER('Dvd Calendar'!$AB$828)*100000000+('Dvd Calendar'!$AB$830=SPECIAL_LBL)*10000000+(N('Dvd Calendar'!$AB$824)&gt;0)*(N('Dvd Calendar'!$AB$824)&lt;=VAL_SERIAL)*1000000+75*1000+24))</f>
        <v/>
      </c>
      <c r="FC86" s="121">
        <f>IF(N('Dvd Calendar'!$AC$825)=0,"",IF(('Dvd Calendar'!$AC$825&gt;=GRID_FROM)*('Dvd Calendar'!$AC$825&lt;=GRID_TO)*((('Dvd Calendar'!$AC$825&lt;=VAL_DATE)+(COUNTIF('Dvd Calendar'!$E$832:$AR$832,'Dvd Calendar'!$AC$825)=0))&gt;0)=0,"",'Dvd Calendar'!$AC$825*1000000000+ISNUMBER('Dvd Calendar'!$AC$828)*100000000+('Dvd Calendar'!$AC$830=SPECIAL_LBL)*10000000+(N('Dvd Calendar'!$AC$824)&gt;0)*(N('Dvd Calendar'!$AC$824)&lt;=VAL_SERIAL)*1000000+75*1000+25))</f>
        <v/>
      </c>
      <c r="FD86" s="121">
        <f>IF(N('Dvd Calendar'!$AD$825)=0,"",IF(('Dvd Calendar'!$AD$825&gt;=GRID_FROM)*('Dvd Calendar'!$AD$825&lt;=GRID_TO)*((('Dvd Calendar'!$AD$825&lt;=VAL_DATE)+(COUNTIF('Dvd Calendar'!$E$832:$AR$832,'Dvd Calendar'!$AD$825)=0))&gt;0)=0,"",'Dvd Calendar'!$AD$825*1000000000+ISNUMBER('Dvd Calendar'!$AD$828)*100000000+('Dvd Calendar'!$AD$830=SPECIAL_LBL)*10000000+(N('Dvd Calendar'!$AD$824)&gt;0)*(N('Dvd Calendar'!$AD$824)&lt;=VAL_SERIAL)*1000000+75*1000+26))</f>
        <v/>
      </c>
      <c r="FE86" s="121">
        <f>IF(N('Dvd Calendar'!$AE$825)=0,"",IF(('Dvd Calendar'!$AE$825&gt;=GRID_FROM)*('Dvd Calendar'!$AE$825&lt;=GRID_TO)*((('Dvd Calendar'!$AE$825&lt;=VAL_DATE)+(COUNTIF('Dvd Calendar'!$E$832:$AR$832,'Dvd Calendar'!$AE$825)=0))&gt;0)=0,"",'Dvd Calendar'!$AE$825*1000000000+ISNUMBER('Dvd Calendar'!$AE$828)*100000000+('Dvd Calendar'!$AE$830=SPECIAL_LBL)*10000000+(N('Dvd Calendar'!$AE$824)&gt;0)*(N('Dvd Calendar'!$AE$824)&lt;=VAL_SERIAL)*1000000+75*1000+27))</f>
        <v/>
      </c>
      <c r="FF86" s="121">
        <f>IF(N('Dvd Calendar'!$AF$825)=0,"",IF(('Dvd Calendar'!$AF$825&gt;=GRID_FROM)*('Dvd Calendar'!$AF$825&lt;=GRID_TO)*((('Dvd Calendar'!$AF$825&lt;=VAL_DATE)+(COUNTIF('Dvd Calendar'!$E$832:$AR$832,'Dvd Calendar'!$AF$825)=0))&gt;0)=0,"",'Dvd Calendar'!$AF$825*1000000000+ISNUMBER('Dvd Calendar'!$AF$828)*100000000+('Dvd Calendar'!$AF$830=SPECIAL_LBL)*10000000+(N('Dvd Calendar'!$AF$824)&gt;0)*(N('Dvd Calendar'!$AF$824)&lt;=VAL_SERIAL)*1000000+75*1000+28))</f>
        <v/>
      </c>
      <c r="FG86" s="121">
        <f>IF(N('Dvd Calendar'!$AG$825)=0,"",IF(('Dvd Calendar'!$AG$825&gt;=GRID_FROM)*('Dvd Calendar'!$AG$825&lt;=GRID_TO)*((('Dvd Calendar'!$AG$825&lt;=VAL_DATE)+(COUNTIF('Dvd Calendar'!$E$832:$AR$832,'Dvd Calendar'!$AG$825)=0))&gt;0)=0,"",'Dvd Calendar'!$AG$825*1000000000+ISNUMBER('Dvd Calendar'!$AG$828)*100000000+('Dvd Calendar'!$AG$830=SPECIAL_LBL)*10000000+(N('Dvd Calendar'!$AG$824)&gt;0)*(N('Dvd Calendar'!$AG$824)&lt;=VAL_SERIAL)*1000000+75*1000+29))</f>
        <v/>
      </c>
      <c r="FH86" s="121">
        <f>IF(N('Dvd Calendar'!$AH$825)=0,"",IF(('Dvd Calendar'!$AH$825&gt;=GRID_FROM)*('Dvd Calendar'!$AH$825&lt;=GRID_TO)*((('Dvd Calendar'!$AH$825&lt;=VAL_DATE)+(COUNTIF('Dvd Calendar'!$E$832:$AR$832,'Dvd Calendar'!$AH$825)=0))&gt;0)=0,"",'Dvd Calendar'!$AH$825*1000000000+ISNUMBER('Dvd Calendar'!$AH$828)*100000000+('Dvd Calendar'!$AH$830=SPECIAL_LBL)*10000000+(N('Dvd Calendar'!$AH$824)&gt;0)*(N('Dvd Calendar'!$AH$824)&lt;=VAL_SERIAL)*1000000+75*1000+30))</f>
        <v/>
      </c>
      <c r="FI86" s="121">
        <f>IF(N('Dvd Calendar'!$AI$825)=0,"",IF(('Dvd Calendar'!$AI$825&gt;=GRID_FROM)*('Dvd Calendar'!$AI$825&lt;=GRID_TO)*((('Dvd Calendar'!$AI$825&lt;=VAL_DATE)+(COUNTIF('Dvd Calendar'!$E$832:$AR$832,'Dvd Calendar'!$AI$825)=0))&gt;0)=0,"",'Dvd Calendar'!$AI$825*1000000000+ISNUMBER('Dvd Calendar'!$AI$828)*100000000+('Dvd Calendar'!$AI$830=SPECIAL_LBL)*10000000+(N('Dvd Calendar'!$AI$824)&gt;0)*(N('Dvd Calendar'!$AI$824)&lt;=VAL_SERIAL)*1000000+75*1000+31))</f>
        <v/>
      </c>
      <c r="FJ86" s="121">
        <f>IF(N('Dvd Calendar'!$AJ$825)=0,"",IF(('Dvd Calendar'!$AJ$825&gt;=GRID_FROM)*('Dvd Calendar'!$AJ$825&lt;=GRID_TO)*((('Dvd Calendar'!$AJ$825&lt;=VAL_DATE)+(COUNTIF('Dvd Calendar'!$E$832:$AR$832,'Dvd Calendar'!$AJ$825)=0))&gt;0)=0,"",'Dvd Calendar'!$AJ$825*1000000000+ISNUMBER('Dvd Calendar'!$AJ$828)*100000000+('Dvd Calendar'!$AJ$830=SPECIAL_LBL)*10000000+(N('Dvd Calendar'!$AJ$824)&gt;0)*(N('Dvd Calendar'!$AJ$824)&lt;=VAL_SERIAL)*1000000+75*1000+32))</f>
        <v/>
      </c>
      <c r="FK86" s="121">
        <f>IF(N('Dvd Calendar'!$AK$825)=0,"",IF(('Dvd Calendar'!$AK$825&gt;=GRID_FROM)*('Dvd Calendar'!$AK$825&lt;=GRID_TO)*((('Dvd Calendar'!$AK$825&lt;=VAL_DATE)+(COUNTIF('Dvd Calendar'!$E$832:$AR$832,'Dvd Calendar'!$AK$825)=0))&gt;0)=0,"",'Dvd Calendar'!$AK$825*1000000000+ISNUMBER('Dvd Calendar'!$AK$828)*100000000+('Dvd Calendar'!$AK$830=SPECIAL_LBL)*10000000+(N('Dvd Calendar'!$AK$824)&gt;0)*(N('Dvd Calendar'!$AK$824)&lt;=VAL_SERIAL)*1000000+75*1000+33))</f>
        <v/>
      </c>
      <c r="FL86" s="121">
        <f>IF(N('Dvd Calendar'!$AL$825)=0,"",IF(('Dvd Calendar'!$AL$825&gt;=GRID_FROM)*('Dvd Calendar'!$AL$825&lt;=GRID_TO)*((('Dvd Calendar'!$AL$825&lt;=VAL_DATE)+(COUNTIF('Dvd Calendar'!$E$832:$AR$832,'Dvd Calendar'!$AL$825)=0))&gt;0)=0,"",'Dvd Calendar'!$AL$825*1000000000+ISNUMBER('Dvd Calendar'!$AL$828)*100000000+('Dvd Calendar'!$AL$830=SPECIAL_LBL)*10000000+(N('Dvd Calendar'!$AL$824)&gt;0)*(N('Dvd Calendar'!$AL$824)&lt;=VAL_SERIAL)*1000000+75*1000+34))</f>
        <v/>
      </c>
      <c r="FM86" s="121">
        <f>IF(N('Dvd Calendar'!$AM$825)=0,"",IF(('Dvd Calendar'!$AM$825&gt;=GRID_FROM)*('Dvd Calendar'!$AM$825&lt;=GRID_TO)*((('Dvd Calendar'!$AM$825&lt;=VAL_DATE)+(COUNTIF('Dvd Calendar'!$E$832:$AR$832,'Dvd Calendar'!$AM$825)=0))&gt;0)=0,"",'Dvd Calendar'!$AM$825*1000000000+ISNUMBER('Dvd Calendar'!$AM$828)*100000000+('Dvd Calendar'!$AM$830=SPECIAL_LBL)*10000000+(N('Dvd Calendar'!$AM$824)&gt;0)*(N('Dvd Calendar'!$AM$824)&lt;=VAL_SERIAL)*1000000+75*1000+35))</f>
        <v/>
      </c>
      <c r="FN86" s="121">
        <f>IF(N('Dvd Calendar'!$AN$825)=0,"",IF(('Dvd Calendar'!$AN$825&gt;=GRID_FROM)*('Dvd Calendar'!$AN$825&lt;=GRID_TO)*((('Dvd Calendar'!$AN$825&lt;=VAL_DATE)+(COUNTIF('Dvd Calendar'!$E$832:$AR$832,'Dvd Calendar'!$AN$825)=0))&gt;0)=0,"",'Dvd Calendar'!$AN$825*1000000000+ISNUMBER('Dvd Calendar'!$AN$828)*100000000+('Dvd Calendar'!$AN$830=SPECIAL_LBL)*10000000+(N('Dvd Calendar'!$AN$824)&gt;0)*(N('Dvd Calendar'!$AN$824)&lt;=VAL_SERIAL)*1000000+75*1000+36))</f>
        <v/>
      </c>
      <c r="FO86" s="121">
        <f>IF(N('Dvd Calendar'!$AO$825)=0,"",IF(('Dvd Calendar'!$AO$825&gt;=GRID_FROM)*('Dvd Calendar'!$AO$825&lt;=GRID_TO)*((('Dvd Calendar'!$AO$825&lt;=VAL_DATE)+(COUNTIF('Dvd Calendar'!$E$832:$AR$832,'Dvd Calendar'!$AO$825)=0))&gt;0)=0,"",'Dvd Calendar'!$AO$825*1000000000+ISNUMBER('Dvd Calendar'!$AO$828)*100000000+('Dvd Calendar'!$AO$830=SPECIAL_LBL)*10000000+(N('Dvd Calendar'!$AO$824)&gt;0)*(N('Dvd Calendar'!$AO$824)&lt;=VAL_SERIAL)*1000000+75*1000+37))</f>
        <v/>
      </c>
      <c r="FP86" s="121">
        <f>IF(N('Dvd Calendar'!$AP$825)=0,"",IF(('Dvd Calendar'!$AP$825&gt;=GRID_FROM)*('Dvd Calendar'!$AP$825&lt;=GRID_TO)*((('Dvd Calendar'!$AP$825&lt;=VAL_DATE)+(COUNTIF('Dvd Calendar'!$E$832:$AR$832,'Dvd Calendar'!$AP$825)=0))&gt;0)=0,"",'Dvd Calendar'!$AP$825*1000000000+ISNUMBER('Dvd Calendar'!$AP$828)*100000000+('Dvd Calendar'!$AP$830=SPECIAL_LBL)*10000000+(N('Dvd Calendar'!$AP$824)&gt;0)*(N('Dvd Calendar'!$AP$824)&lt;=VAL_SERIAL)*1000000+75*1000+38))</f>
        <v/>
      </c>
      <c r="FQ86" s="121">
        <f>IF(N('Dvd Calendar'!$AQ$825)=0,"",IF(('Dvd Calendar'!$AQ$825&gt;=GRID_FROM)*('Dvd Calendar'!$AQ$825&lt;=GRID_TO)*((('Dvd Calendar'!$AQ$825&lt;=VAL_DATE)+(COUNTIF('Dvd Calendar'!$E$832:$AR$832,'Dvd Calendar'!$AQ$825)=0))&gt;0)=0,"",'Dvd Calendar'!$AQ$825*1000000000+ISNUMBER('Dvd Calendar'!$AQ$828)*100000000+('Dvd Calendar'!$AQ$830=SPECIAL_LBL)*10000000+(N('Dvd Calendar'!$AQ$824)&gt;0)*(N('Dvd Calendar'!$AQ$824)&lt;=VAL_SERIAL)*1000000+75*1000+39))</f>
        <v/>
      </c>
      <c r="FR86" s="121">
        <f>IF(N('Dvd Calendar'!$AR$825)=0,"",IF(('Dvd Calendar'!$AR$825&gt;=GRID_FROM)*('Dvd Calendar'!$AR$825&lt;=GRID_TO)*((('Dvd Calendar'!$AR$825&lt;=VAL_DATE)+(COUNTIF('Dvd Calendar'!$E$832:$AR$832,'Dvd Calendar'!$AR$825)=0))&gt;0)=0,"",'Dvd Calendar'!$AR$825*1000000000+ISNUMBER('Dvd Calendar'!$AR$828)*100000000+('Dvd Calendar'!$AR$830=SPECIAL_LBL)*10000000+(N('Dvd Calendar'!$AR$824)&gt;0)*(N('Dvd Calendar'!$AR$824)&lt;=VAL_SERIAL)*1000000+75*1000+40))</f>
        <v/>
      </c>
      <c r="FS86" s="121">
        <f>IF(N('Dvd Calendar'!$E$832)=0,"",IF(('Dvd Calendar'!$E$832&gt;=GRID_FROM)*('Dvd Calendar'!$E$832&lt;=GRID_TO)*('Dvd Calendar'!$E$832&gt;VAL_DATE)=0,"",'Dvd Calendar'!$E$832*1000000000+ISNUMBER('Dvd Calendar'!$E$833)*100000000+0*10000000+(N('Dvd Calendar'!$E$831)&gt;0)*(N('Dvd Calendar'!$E$831)&lt;=VAL_SERIAL)*1000000+75*1000+41))</f>
        <v/>
      </c>
      <c r="FT86" s="121">
        <f>IF(N('Dvd Calendar'!$F$832)=0,"",IF(('Dvd Calendar'!$F$832&gt;=GRID_FROM)*('Dvd Calendar'!$F$832&lt;=GRID_TO)*('Dvd Calendar'!$F$832&gt;VAL_DATE)=0,"",'Dvd Calendar'!$F$832*1000000000+ISNUMBER('Dvd Calendar'!$F$833)*100000000+0*10000000+(N('Dvd Calendar'!$F$831)&gt;0)*(N('Dvd Calendar'!$F$831)&lt;=VAL_SERIAL)*1000000+75*1000+42))</f>
        <v/>
      </c>
      <c r="FU86" s="121">
        <f>IF(N('Dvd Calendar'!$G$832)=0,"",IF(('Dvd Calendar'!$G$832&gt;=GRID_FROM)*('Dvd Calendar'!$G$832&lt;=GRID_TO)*('Dvd Calendar'!$G$832&gt;VAL_DATE)=0,"",'Dvd Calendar'!$G$832*1000000000+ISNUMBER('Dvd Calendar'!$G$833)*100000000+0*10000000+(N('Dvd Calendar'!$G$831)&gt;0)*(N('Dvd Calendar'!$G$831)&lt;=VAL_SERIAL)*1000000+75*1000+43))</f>
        <v/>
      </c>
      <c r="FV86" s="121">
        <f>IF(N('Dvd Calendar'!$H$832)=0,"",IF(('Dvd Calendar'!$H$832&gt;=GRID_FROM)*('Dvd Calendar'!$H$832&lt;=GRID_TO)*('Dvd Calendar'!$H$832&gt;VAL_DATE)=0,"",'Dvd Calendar'!$H$832*1000000000+ISNUMBER('Dvd Calendar'!$H$833)*100000000+0*10000000+(N('Dvd Calendar'!$H$831)&gt;0)*(N('Dvd Calendar'!$H$831)&lt;=VAL_SERIAL)*1000000+75*1000+44))</f>
        <v/>
      </c>
      <c r="FW86" s="121">
        <f>IF(N('Dvd Calendar'!$I$832)=0,"",IF(('Dvd Calendar'!$I$832&gt;=GRID_FROM)*('Dvd Calendar'!$I$832&lt;=GRID_TO)*('Dvd Calendar'!$I$832&gt;VAL_DATE)=0,"",'Dvd Calendar'!$I$832*1000000000+ISNUMBER('Dvd Calendar'!$I$833)*100000000+0*10000000+(N('Dvd Calendar'!$I$831)&gt;0)*(N('Dvd Calendar'!$I$831)&lt;=VAL_SERIAL)*1000000+75*1000+45))</f>
        <v/>
      </c>
      <c r="FX86" s="121">
        <f>IF(N('Dvd Calendar'!$J$832)=0,"",IF(('Dvd Calendar'!$J$832&gt;=GRID_FROM)*('Dvd Calendar'!$J$832&lt;=GRID_TO)*('Dvd Calendar'!$J$832&gt;VAL_DATE)=0,"",'Dvd Calendar'!$J$832*1000000000+ISNUMBER('Dvd Calendar'!$J$833)*100000000+0*10000000+(N('Dvd Calendar'!$J$831)&gt;0)*(N('Dvd Calendar'!$J$831)&lt;=VAL_SERIAL)*1000000+75*1000+46))</f>
        <v/>
      </c>
      <c r="FY86" s="121">
        <f>IF(N('Dvd Calendar'!$K$832)=0,"",IF(('Dvd Calendar'!$K$832&gt;=GRID_FROM)*('Dvd Calendar'!$K$832&lt;=GRID_TO)*('Dvd Calendar'!$K$832&gt;VAL_DATE)=0,"",'Dvd Calendar'!$K$832*1000000000+ISNUMBER('Dvd Calendar'!$K$833)*100000000+0*10000000+(N('Dvd Calendar'!$K$831)&gt;0)*(N('Dvd Calendar'!$K$831)&lt;=VAL_SERIAL)*1000000+75*1000+47))</f>
        <v/>
      </c>
      <c r="FZ86" s="121">
        <f>IF(N('Dvd Calendar'!$L$832)=0,"",IF(('Dvd Calendar'!$L$832&gt;=GRID_FROM)*('Dvd Calendar'!$L$832&lt;=GRID_TO)*('Dvd Calendar'!$L$832&gt;VAL_DATE)=0,"",'Dvd Calendar'!$L$832*1000000000+ISNUMBER('Dvd Calendar'!$L$833)*100000000+0*10000000+(N('Dvd Calendar'!$L$831)&gt;0)*(N('Dvd Calendar'!$L$831)&lt;=VAL_SERIAL)*1000000+75*1000+48))</f>
        <v/>
      </c>
      <c r="GA86" s="121">
        <f>IF(N('Dvd Calendar'!$M$832)=0,"",IF(('Dvd Calendar'!$M$832&gt;=GRID_FROM)*('Dvd Calendar'!$M$832&lt;=GRID_TO)*('Dvd Calendar'!$M$832&gt;VAL_DATE)=0,"",'Dvd Calendar'!$M$832*1000000000+ISNUMBER('Dvd Calendar'!$M$833)*100000000+0*10000000+(N('Dvd Calendar'!$M$831)&gt;0)*(N('Dvd Calendar'!$M$831)&lt;=VAL_SERIAL)*1000000+75*1000+49))</f>
        <v/>
      </c>
      <c r="GB86" s="121">
        <f>IF(N('Dvd Calendar'!$N$832)=0,"",IF(('Dvd Calendar'!$N$832&gt;=GRID_FROM)*('Dvd Calendar'!$N$832&lt;=GRID_TO)*('Dvd Calendar'!$N$832&gt;VAL_DATE)=0,"",'Dvd Calendar'!$N$832*1000000000+ISNUMBER('Dvd Calendar'!$N$833)*100000000+0*10000000+(N('Dvd Calendar'!$N$831)&gt;0)*(N('Dvd Calendar'!$N$831)&lt;=VAL_SERIAL)*1000000+75*1000+50))</f>
        <v/>
      </c>
      <c r="GC86" s="121">
        <f>IF(N('Dvd Calendar'!$O$832)=0,"",IF(('Dvd Calendar'!$O$832&gt;=GRID_FROM)*('Dvd Calendar'!$O$832&lt;=GRID_TO)*('Dvd Calendar'!$O$832&gt;VAL_DATE)=0,"",'Dvd Calendar'!$O$832*1000000000+ISNUMBER('Dvd Calendar'!$O$833)*100000000+0*10000000+(N('Dvd Calendar'!$O$831)&gt;0)*(N('Dvd Calendar'!$O$831)&lt;=VAL_SERIAL)*1000000+75*1000+51))</f>
        <v/>
      </c>
      <c r="GD86" s="121">
        <f>IF(N('Dvd Calendar'!$P$832)=0,"",IF(('Dvd Calendar'!$P$832&gt;=GRID_FROM)*('Dvd Calendar'!$P$832&lt;=GRID_TO)*('Dvd Calendar'!$P$832&gt;VAL_DATE)=0,"",'Dvd Calendar'!$P$832*1000000000+ISNUMBER('Dvd Calendar'!$P$833)*100000000+0*10000000+(N('Dvd Calendar'!$P$831)&gt;0)*(N('Dvd Calendar'!$P$831)&lt;=VAL_SERIAL)*1000000+75*1000+52))</f>
        <v/>
      </c>
      <c r="GE86" s="121">
        <f>IF(N('Dvd Calendar'!$Q$832)=0,"",IF(('Dvd Calendar'!$Q$832&gt;=GRID_FROM)*('Dvd Calendar'!$Q$832&lt;=GRID_TO)*('Dvd Calendar'!$Q$832&gt;VAL_DATE)=0,"",'Dvd Calendar'!$Q$832*1000000000+ISNUMBER('Dvd Calendar'!$Q$833)*100000000+0*10000000+(N('Dvd Calendar'!$Q$831)&gt;0)*(N('Dvd Calendar'!$Q$831)&lt;=VAL_SERIAL)*1000000+75*1000+53))</f>
        <v/>
      </c>
      <c r="GF86" s="121">
        <f>IF(N('Dvd Calendar'!$R$832)=0,"",IF(('Dvd Calendar'!$R$832&gt;=GRID_FROM)*('Dvd Calendar'!$R$832&lt;=GRID_TO)*('Dvd Calendar'!$R$832&gt;VAL_DATE)=0,"",'Dvd Calendar'!$R$832*1000000000+ISNUMBER('Dvd Calendar'!$R$833)*100000000+0*10000000+(N('Dvd Calendar'!$R$831)&gt;0)*(N('Dvd Calendar'!$R$831)&lt;=VAL_SERIAL)*1000000+75*1000+54))</f>
        <v/>
      </c>
      <c r="GG86" s="121">
        <f>IF(N('Dvd Calendar'!$S$832)=0,"",IF(('Dvd Calendar'!$S$832&gt;=GRID_FROM)*('Dvd Calendar'!$S$832&lt;=GRID_TO)*('Dvd Calendar'!$S$832&gt;VAL_DATE)=0,"",'Dvd Calendar'!$S$832*1000000000+ISNUMBER('Dvd Calendar'!$S$833)*100000000+0*10000000+(N('Dvd Calendar'!$S$831)&gt;0)*(N('Dvd Calendar'!$S$831)&lt;=VAL_SERIAL)*1000000+75*1000+55))</f>
        <v/>
      </c>
      <c r="GH86" s="121">
        <f>IF(N('Dvd Calendar'!$T$832)=0,"",IF(('Dvd Calendar'!$T$832&gt;=GRID_FROM)*('Dvd Calendar'!$T$832&lt;=GRID_TO)*('Dvd Calendar'!$T$832&gt;VAL_DATE)=0,"",'Dvd Calendar'!$T$832*1000000000+ISNUMBER('Dvd Calendar'!$T$833)*100000000+0*10000000+(N('Dvd Calendar'!$T$831)&gt;0)*(N('Dvd Calendar'!$T$831)&lt;=VAL_SERIAL)*1000000+75*1000+56))</f>
        <v/>
      </c>
      <c r="GI86" s="121">
        <f>IF(N('Dvd Calendar'!$U$832)=0,"",IF(('Dvd Calendar'!$U$832&gt;=GRID_FROM)*('Dvd Calendar'!$U$832&lt;=GRID_TO)*('Dvd Calendar'!$U$832&gt;VAL_DATE)=0,"",'Dvd Calendar'!$U$832*1000000000+ISNUMBER('Dvd Calendar'!$U$833)*100000000+0*10000000+(N('Dvd Calendar'!$U$831)&gt;0)*(N('Dvd Calendar'!$U$831)&lt;=VAL_SERIAL)*1000000+75*1000+57))</f>
        <v/>
      </c>
      <c r="GJ86" s="121">
        <f>IF(N('Dvd Calendar'!$V$832)=0,"",IF(('Dvd Calendar'!$V$832&gt;=GRID_FROM)*('Dvd Calendar'!$V$832&lt;=GRID_TO)*('Dvd Calendar'!$V$832&gt;VAL_DATE)=0,"",'Dvd Calendar'!$V$832*1000000000+ISNUMBER('Dvd Calendar'!$V$833)*100000000+0*10000000+(N('Dvd Calendar'!$V$831)&gt;0)*(N('Dvd Calendar'!$V$831)&lt;=VAL_SERIAL)*1000000+75*1000+58))</f>
        <v/>
      </c>
      <c r="GK86" s="121">
        <f>IF(N('Dvd Calendar'!$W$832)=0,"",IF(('Dvd Calendar'!$W$832&gt;=GRID_FROM)*('Dvd Calendar'!$W$832&lt;=GRID_TO)*('Dvd Calendar'!$W$832&gt;VAL_DATE)=0,"",'Dvd Calendar'!$W$832*1000000000+ISNUMBER('Dvd Calendar'!$W$833)*100000000+0*10000000+(N('Dvd Calendar'!$W$831)&gt;0)*(N('Dvd Calendar'!$W$831)&lt;=VAL_SERIAL)*1000000+75*1000+59))</f>
        <v/>
      </c>
      <c r="GL86" s="121">
        <f>IF(N('Dvd Calendar'!$X$832)=0,"",IF(('Dvd Calendar'!$X$832&gt;=GRID_FROM)*('Dvd Calendar'!$X$832&lt;=GRID_TO)*('Dvd Calendar'!$X$832&gt;VAL_DATE)=0,"",'Dvd Calendar'!$X$832*1000000000+ISNUMBER('Dvd Calendar'!$X$833)*100000000+0*10000000+(N('Dvd Calendar'!$X$831)&gt;0)*(N('Dvd Calendar'!$X$831)&lt;=VAL_SERIAL)*1000000+75*1000+60))</f>
        <v/>
      </c>
      <c r="GM86" s="121">
        <f>IF(N('Dvd Calendar'!$Y$832)=0,"",IF(('Dvd Calendar'!$Y$832&gt;=GRID_FROM)*('Dvd Calendar'!$Y$832&lt;=GRID_TO)*('Dvd Calendar'!$Y$832&gt;VAL_DATE)=0,"",'Dvd Calendar'!$Y$832*1000000000+ISNUMBER('Dvd Calendar'!$Y$833)*100000000+0*10000000+(N('Dvd Calendar'!$Y$831)&gt;0)*(N('Dvd Calendar'!$Y$831)&lt;=VAL_SERIAL)*1000000+75*1000+61))</f>
        <v/>
      </c>
      <c r="GN86" s="121">
        <f>IF(N('Dvd Calendar'!$Z$832)=0,"",IF(('Dvd Calendar'!$Z$832&gt;=GRID_FROM)*('Dvd Calendar'!$Z$832&lt;=GRID_TO)*('Dvd Calendar'!$Z$832&gt;VAL_DATE)=0,"",'Dvd Calendar'!$Z$832*1000000000+ISNUMBER('Dvd Calendar'!$Z$833)*100000000+0*10000000+(N('Dvd Calendar'!$Z$831)&gt;0)*(N('Dvd Calendar'!$Z$831)&lt;=VAL_SERIAL)*1000000+75*1000+62))</f>
        <v/>
      </c>
      <c r="GO86" s="121">
        <f>IF(N('Dvd Calendar'!$AA$832)=0,"",IF(('Dvd Calendar'!$AA$832&gt;=GRID_FROM)*('Dvd Calendar'!$AA$832&lt;=GRID_TO)*('Dvd Calendar'!$AA$832&gt;VAL_DATE)=0,"",'Dvd Calendar'!$AA$832*1000000000+ISNUMBER('Dvd Calendar'!$AA$833)*100000000+0*10000000+(N('Dvd Calendar'!$AA$831)&gt;0)*(N('Dvd Calendar'!$AA$831)&lt;=VAL_SERIAL)*1000000+75*1000+63))</f>
        <v/>
      </c>
      <c r="GP86" s="121">
        <f>IF(N('Dvd Calendar'!$AB$832)=0,"",IF(('Dvd Calendar'!$AB$832&gt;=GRID_FROM)*('Dvd Calendar'!$AB$832&lt;=GRID_TO)*('Dvd Calendar'!$AB$832&gt;VAL_DATE)=0,"",'Dvd Calendar'!$AB$832*1000000000+ISNUMBER('Dvd Calendar'!$AB$833)*100000000+0*10000000+(N('Dvd Calendar'!$AB$831)&gt;0)*(N('Dvd Calendar'!$AB$831)&lt;=VAL_SERIAL)*1000000+75*1000+64))</f>
        <v/>
      </c>
      <c r="GQ86" s="121">
        <f>IF(N('Dvd Calendar'!$AC$832)=0,"",IF(('Dvd Calendar'!$AC$832&gt;=GRID_FROM)*('Dvd Calendar'!$AC$832&lt;=GRID_TO)*('Dvd Calendar'!$AC$832&gt;VAL_DATE)=0,"",'Dvd Calendar'!$AC$832*1000000000+ISNUMBER('Dvd Calendar'!$AC$833)*100000000+0*10000000+(N('Dvd Calendar'!$AC$831)&gt;0)*(N('Dvd Calendar'!$AC$831)&lt;=VAL_SERIAL)*1000000+75*1000+65))</f>
        <v/>
      </c>
    </row>
    <row r="87">
      <c r="B87" s="2">
        <f>IF(HSI!$C$82="","",HSI!$C$82)</f>
        <v/>
      </c>
      <c r="C87" s="161">
        <f>IF(EE87="","",IF(ISNUMBER('Dvd Calendar'!$E$839)=FALSE,"",IF((('Dvd Calendar'!$E$841=TYPE1)*(TYPE1&lt;&gt;"")+('Dvd Calendar'!$E$841=TYPE2)*(TYPE2&lt;&gt;"")+('Dvd Calendar'!$E$841=TYPE3)*(TYPE3&lt;&gt;"")+('Dvd Calendar'!$E$841=TYPE4)*(TYPE4&lt;&gt;"")+('Dvd Calendar'!$E$841=SPECIAL_LBL)*(INC_SPECIALS="Y"))=0,"",'Dvd Calendar'!$E$839)))</f>
        <v/>
      </c>
      <c r="D87" s="161">
        <f>IF(EF87="","",IF(ISNUMBER('Dvd Calendar'!$F$839)=FALSE,"",IF((('Dvd Calendar'!$F$841=TYPE1)*(TYPE1&lt;&gt;"")+('Dvd Calendar'!$F$841=TYPE2)*(TYPE2&lt;&gt;"")+('Dvd Calendar'!$F$841=TYPE3)*(TYPE3&lt;&gt;"")+('Dvd Calendar'!$F$841=TYPE4)*(TYPE4&lt;&gt;"")+('Dvd Calendar'!$F$841=SPECIAL_LBL)*(INC_SPECIALS="Y"))=0,"",'Dvd Calendar'!$F$839)))</f>
        <v/>
      </c>
      <c r="E87" s="161">
        <f>IF(EG87="","",IF(ISNUMBER('Dvd Calendar'!$G$839)=FALSE,"",IF((('Dvd Calendar'!$G$841=TYPE1)*(TYPE1&lt;&gt;"")+('Dvd Calendar'!$G$841=TYPE2)*(TYPE2&lt;&gt;"")+('Dvd Calendar'!$G$841=TYPE3)*(TYPE3&lt;&gt;"")+('Dvd Calendar'!$G$841=TYPE4)*(TYPE4&lt;&gt;"")+('Dvd Calendar'!$G$841=SPECIAL_LBL)*(INC_SPECIALS="Y"))=0,"",'Dvd Calendar'!$G$839)))</f>
        <v/>
      </c>
      <c r="F87" s="161">
        <f>IF(EH87="","",IF(ISNUMBER('Dvd Calendar'!$H$839)=FALSE,"",IF((('Dvd Calendar'!$H$841=TYPE1)*(TYPE1&lt;&gt;"")+('Dvd Calendar'!$H$841=TYPE2)*(TYPE2&lt;&gt;"")+('Dvd Calendar'!$H$841=TYPE3)*(TYPE3&lt;&gt;"")+('Dvd Calendar'!$H$841=TYPE4)*(TYPE4&lt;&gt;"")+('Dvd Calendar'!$H$841=SPECIAL_LBL)*(INC_SPECIALS="Y"))=0,"",'Dvd Calendar'!$H$839)))</f>
        <v/>
      </c>
      <c r="G87" s="161">
        <f>IF(EI87="","",IF(ISNUMBER('Dvd Calendar'!$I$839)=FALSE,"",IF((('Dvd Calendar'!$I$841=TYPE1)*(TYPE1&lt;&gt;"")+('Dvd Calendar'!$I$841=TYPE2)*(TYPE2&lt;&gt;"")+('Dvd Calendar'!$I$841=TYPE3)*(TYPE3&lt;&gt;"")+('Dvd Calendar'!$I$841=TYPE4)*(TYPE4&lt;&gt;"")+('Dvd Calendar'!$I$841=SPECIAL_LBL)*(INC_SPECIALS="Y"))=0,"",'Dvd Calendar'!$I$839)))</f>
        <v/>
      </c>
      <c r="H87" s="161">
        <f>IF(EJ87="","",IF(ISNUMBER('Dvd Calendar'!$J$839)=FALSE,"",IF((('Dvd Calendar'!$J$841=TYPE1)*(TYPE1&lt;&gt;"")+('Dvd Calendar'!$J$841=TYPE2)*(TYPE2&lt;&gt;"")+('Dvd Calendar'!$J$841=TYPE3)*(TYPE3&lt;&gt;"")+('Dvd Calendar'!$J$841=TYPE4)*(TYPE4&lt;&gt;"")+('Dvd Calendar'!$J$841=SPECIAL_LBL)*(INC_SPECIALS="Y"))=0,"",'Dvd Calendar'!$J$839)))</f>
        <v/>
      </c>
      <c r="I87" s="161">
        <f>IF(EK87="","",IF(ISNUMBER('Dvd Calendar'!$K$839)=FALSE,"",IF((('Dvd Calendar'!$K$841=TYPE1)*(TYPE1&lt;&gt;"")+('Dvd Calendar'!$K$841=TYPE2)*(TYPE2&lt;&gt;"")+('Dvd Calendar'!$K$841=TYPE3)*(TYPE3&lt;&gt;"")+('Dvd Calendar'!$K$841=TYPE4)*(TYPE4&lt;&gt;"")+('Dvd Calendar'!$K$841=SPECIAL_LBL)*(INC_SPECIALS="Y"))=0,"",'Dvd Calendar'!$K$839)))</f>
        <v/>
      </c>
      <c r="J87" s="161">
        <f>IF(EL87="","",IF(ISNUMBER('Dvd Calendar'!$L$839)=FALSE,"",IF((('Dvd Calendar'!$L$841=TYPE1)*(TYPE1&lt;&gt;"")+('Dvd Calendar'!$L$841=TYPE2)*(TYPE2&lt;&gt;"")+('Dvd Calendar'!$L$841=TYPE3)*(TYPE3&lt;&gt;"")+('Dvd Calendar'!$L$841=TYPE4)*(TYPE4&lt;&gt;"")+('Dvd Calendar'!$L$841=SPECIAL_LBL)*(INC_SPECIALS="Y"))=0,"",'Dvd Calendar'!$L$839)))</f>
        <v/>
      </c>
      <c r="K87" s="161">
        <f>IF(EM87="","",IF(ISNUMBER('Dvd Calendar'!$M$839)=FALSE,"",IF((('Dvd Calendar'!$M$841=TYPE1)*(TYPE1&lt;&gt;"")+('Dvd Calendar'!$M$841=TYPE2)*(TYPE2&lt;&gt;"")+('Dvd Calendar'!$M$841=TYPE3)*(TYPE3&lt;&gt;"")+('Dvd Calendar'!$M$841=TYPE4)*(TYPE4&lt;&gt;"")+('Dvd Calendar'!$M$841=SPECIAL_LBL)*(INC_SPECIALS="Y"))=0,"",'Dvd Calendar'!$M$839)))</f>
        <v/>
      </c>
      <c r="L87" s="161">
        <f>IF(EN87="","",IF(ISNUMBER('Dvd Calendar'!$N$839)=FALSE,"",IF((('Dvd Calendar'!$N$841=TYPE1)*(TYPE1&lt;&gt;"")+('Dvd Calendar'!$N$841=TYPE2)*(TYPE2&lt;&gt;"")+('Dvd Calendar'!$N$841=TYPE3)*(TYPE3&lt;&gt;"")+('Dvd Calendar'!$N$841=TYPE4)*(TYPE4&lt;&gt;"")+('Dvd Calendar'!$N$841=SPECIAL_LBL)*(INC_SPECIALS="Y"))=0,"",'Dvd Calendar'!$N$839)))</f>
        <v/>
      </c>
      <c r="M87" s="161">
        <f>IF(EO87="","",IF(ISNUMBER('Dvd Calendar'!$O$839)=FALSE,"",IF((('Dvd Calendar'!$O$841=TYPE1)*(TYPE1&lt;&gt;"")+('Dvd Calendar'!$O$841=TYPE2)*(TYPE2&lt;&gt;"")+('Dvd Calendar'!$O$841=TYPE3)*(TYPE3&lt;&gt;"")+('Dvd Calendar'!$O$841=TYPE4)*(TYPE4&lt;&gt;"")+('Dvd Calendar'!$O$841=SPECIAL_LBL)*(INC_SPECIALS="Y"))=0,"",'Dvd Calendar'!$O$839)))</f>
        <v/>
      </c>
      <c r="N87" s="161">
        <f>IF(EP87="","",IF(ISNUMBER('Dvd Calendar'!$P$839)=FALSE,"",IF((('Dvd Calendar'!$P$841=TYPE1)*(TYPE1&lt;&gt;"")+('Dvd Calendar'!$P$841=TYPE2)*(TYPE2&lt;&gt;"")+('Dvd Calendar'!$P$841=TYPE3)*(TYPE3&lt;&gt;"")+('Dvd Calendar'!$P$841=TYPE4)*(TYPE4&lt;&gt;"")+('Dvd Calendar'!$P$841=SPECIAL_LBL)*(INC_SPECIALS="Y"))=0,"",'Dvd Calendar'!$P$839)))</f>
        <v/>
      </c>
      <c r="O87" s="161">
        <f>IF(EQ87="","",IF(ISNUMBER('Dvd Calendar'!$Q$839)=FALSE,"",IF((('Dvd Calendar'!$Q$841=TYPE1)*(TYPE1&lt;&gt;"")+('Dvd Calendar'!$Q$841=TYPE2)*(TYPE2&lt;&gt;"")+('Dvd Calendar'!$Q$841=TYPE3)*(TYPE3&lt;&gt;"")+('Dvd Calendar'!$Q$841=TYPE4)*(TYPE4&lt;&gt;"")+('Dvd Calendar'!$Q$841=SPECIAL_LBL)*(INC_SPECIALS="Y"))=0,"",'Dvd Calendar'!$Q$839)))</f>
        <v/>
      </c>
      <c r="P87" s="161">
        <f>IF(ER87="","",IF(ISNUMBER('Dvd Calendar'!$R$839)=FALSE,"",IF((('Dvd Calendar'!$R$841=TYPE1)*(TYPE1&lt;&gt;"")+('Dvd Calendar'!$R$841=TYPE2)*(TYPE2&lt;&gt;"")+('Dvd Calendar'!$R$841=TYPE3)*(TYPE3&lt;&gt;"")+('Dvd Calendar'!$R$841=TYPE4)*(TYPE4&lt;&gt;"")+('Dvd Calendar'!$R$841=SPECIAL_LBL)*(INC_SPECIALS="Y"))=0,"",'Dvd Calendar'!$R$839)))</f>
        <v/>
      </c>
      <c r="Q87" s="161">
        <f>IF(ES87="","",IF(ISNUMBER('Dvd Calendar'!$S$839)=FALSE,"",IF((('Dvd Calendar'!$S$841=TYPE1)*(TYPE1&lt;&gt;"")+('Dvd Calendar'!$S$841=TYPE2)*(TYPE2&lt;&gt;"")+('Dvd Calendar'!$S$841=TYPE3)*(TYPE3&lt;&gt;"")+('Dvd Calendar'!$S$841=TYPE4)*(TYPE4&lt;&gt;"")+('Dvd Calendar'!$S$841=SPECIAL_LBL)*(INC_SPECIALS="Y"))=0,"",'Dvd Calendar'!$S$839)))</f>
        <v/>
      </c>
      <c r="R87" s="161">
        <f>IF(ET87="","",IF(ISNUMBER('Dvd Calendar'!$T$839)=FALSE,"",IF((('Dvd Calendar'!$T$841=TYPE1)*(TYPE1&lt;&gt;"")+('Dvd Calendar'!$T$841=TYPE2)*(TYPE2&lt;&gt;"")+('Dvd Calendar'!$T$841=TYPE3)*(TYPE3&lt;&gt;"")+('Dvd Calendar'!$T$841=TYPE4)*(TYPE4&lt;&gt;"")+('Dvd Calendar'!$T$841=SPECIAL_LBL)*(INC_SPECIALS="Y"))=0,"",'Dvd Calendar'!$T$839)))</f>
        <v/>
      </c>
      <c r="S87" s="161">
        <f>IF(EU87="","",IF(ISNUMBER('Dvd Calendar'!$U$839)=FALSE,"",IF((('Dvd Calendar'!$U$841=TYPE1)*(TYPE1&lt;&gt;"")+('Dvd Calendar'!$U$841=TYPE2)*(TYPE2&lt;&gt;"")+('Dvd Calendar'!$U$841=TYPE3)*(TYPE3&lt;&gt;"")+('Dvd Calendar'!$U$841=TYPE4)*(TYPE4&lt;&gt;"")+('Dvd Calendar'!$U$841=SPECIAL_LBL)*(INC_SPECIALS="Y"))=0,"",'Dvd Calendar'!$U$839)))</f>
        <v/>
      </c>
      <c r="T87" s="161">
        <f>IF(EV87="","",IF(ISNUMBER('Dvd Calendar'!$V$839)=FALSE,"",IF((('Dvd Calendar'!$V$841=TYPE1)*(TYPE1&lt;&gt;"")+('Dvd Calendar'!$V$841=TYPE2)*(TYPE2&lt;&gt;"")+('Dvd Calendar'!$V$841=TYPE3)*(TYPE3&lt;&gt;"")+('Dvd Calendar'!$V$841=TYPE4)*(TYPE4&lt;&gt;"")+('Dvd Calendar'!$V$841=SPECIAL_LBL)*(INC_SPECIALS="Y"))=0,"",'Dvd Calendar'!$V$839)))</f>
        <v/>
      </c>
      <c r="U87" s="161">
        <f>IF(EW87="","",IF(ISNUMBER('Dvd Calendar'!$W$839)=FALSE,"",IF((('Dvd Calendar'!$W$841=TYPE1)*(TYPE1&lt;&gt;"")+('Dvd Calendar'!$W$841=TYPE2)*(TYPE2&lt;&gt;"")+('Dvd Calendar'!$W$841=TYPE3)*(TYPE3&lt;&gt;"")+('Dvd Calendar'!$W$841=TYPE4)*(TYPE4&lt;&gt;"")+('Dvd Calendar'!$W$841=SPECIAL_LBL)*(INC_SPECIALS="Y"))=0,"",'Dvd Calendar'!$W$839)))</f>
        <v/>
      </c>
      <c r="V87" s="161">
        <f>IF(EX87="","",IF(ISNUMBER('Dvd Calendar'!$X$839)=FALSE,"",IF((('Dvd Calendar'!$X$841=TYPE1)*(TYPE1&lt;&gt;"")+('Dvd Calendar'!$X$841=TYPE2)*(TYPE2&lt;&gt;"")+('Dvd Calendar'!$X$841=TYPE3)*(TYPE3&lt;&gt;"")+('Dvd Calendar'!$X$841=TYPE4)*(TYPE4&lt;&gt;"")+('Dvd Calendar'!$X$841=SPECIAL_LBL)*(INC_SPECIALS="Y"))=0,"",'Dvd Calendar'!$X$839)))</f>
        <v/>
      </c>
      <c r="W87" s="161">
        <f>IF(EY87="","",IF(ISNUMBER('Dvd Calendar'!$Y$839)=FALSE,"",IF((('Dvd Calendar'!$Y$841=TYPE1)*(TYPE1&lt;&gt;"")+('Dvd Calendar'!$Y$841=TYPE2)*(TYPE2&lt;&gt;"")+('Dvd Calendar'!$Y$841=TYPE3)*(TYPE3&lt;&gt;"")+('Dvd Calendar'!$Y$841=TYPE4)*(TYPE4&lt;&gt;"")+('Dvd Calendar'!$Y$841=SPECIAL_LBL)*(INC_SPECIALS="Y"))=0,"",'Dvd Calendar'!$Y$839)))</f>
        <v/>
      </c>
      <c r="X87" s="161">
        <f>IF(EZ87="","",IF(ISNUMBER('Dvd Calendar'!$Z$839)=FALSE,"",IF((('Dvd Calendar'!$Z$841=TYPE1)*(TYPE1&lt;&gt;"")+('Dvd Calendar'!$Z$841=TYPE2)*(TYPE2&lt;&gt;"")+('Dvd Calendar'!$Z$841=TYPE3)*(TYPE3&lt;&gt;"")+('Dvd Calendar'!$Z$841=TYPE4)*(TYPE4&lt;&gt;"")+('Dvd Calendar'!$Z$841=SPECIAL_LBL)*(INC_SPECIALS="Y"))=0,"",'Dvd Calendar'!$Z$839)))</f>
        <v/>
      </c>
      <c r="Y87" s="161">
        <f>IF(FA87="","",IF(ISNUMBER('Dvd Calendar'!$AA$839)=FALSE,"",IF((('Dvd Calendar'!$AA$841=TYPE1)*(TYPE1&lt;&gt;"")+('Dvd Calendar'!$AA$841=TYPE2)*(TYPE2&lt;&gt;"")+('Dvd Calendar'!$AA$841=TYPE3)*(TYPE3&lt;&gt;"")+('Dvd Calendar'!$AA$841=TYPE4)*(TYPE4&lt;&gt;"")+('Dvd Calendar'!$AA$841=SPECIAL_LBL)*(INC_SPECIALS="Y"))=0,"",'Dvd Calendar'!$AA$839)))</f>
        <v/>
      </c>
      <c r="Z87" s="161">
        <f>IF(FB87="","",IF(ISNUMBER('Dvd Calendar'!$AB$839)=FALSE,"",IF((('Dvd Calendar'!$AB$841=TYPE1)*(TYPE1&lt;&gt;"")+('Dvd Calendar'!$AB$841=TYPE2)*(TYPE2&lt;&gt;"")+('Dvd Calendar'!$AB$841=TYPE3)*(TYPE3&lt;&gt;"")+('Dvd Calendar'!$AB$841=TYPE4)*(TYPE4&lt;&gt;"")+('Dvd Calendar'!$AB$841=SPECIAL_LBL)*(INC_SPECIALS="Y"))=0,"",'Dvd Calendar'!$AB$839)))</f>
        <v/>
      </c>
      <c r="AA87" s="161">
        <f>IF(FC87="","",IF(ISNUMBER('Dvd Calendar'!$AC$839)=FALSE,"",IF((('Dvd Calendar'!$AC$841=TYPE1)*(TYPE1&lt;&gt;"")+('Dvd Calendar'!$AC$841=TYPE2)*(TYPE2&lt;&gt;"")+('Dvd Calendar'!$AC$841=TYPE3)*(TYPE3&lt;&gt;"")+('Dvd Calendar'!$AC$841=TYPE4)*(TYPE4&lt;&gt;"")+('Dvd Calendar'!$AC$841=SPECIAL_LBL)*(INC_SPECIALS="Y"))=0,"",'Dvd Calendar'!$AC$839)))</f>
        <v/>
      </c>
      <c r="AB87" s="161">
        <f>IF(FD87="","",IF(ISNUMBER('Dvd Calendar'!$AD$839)=FALSE,"",IF((('Dvd Calendar'!$AD$841=TYPE1)*(TYPE1&lt;&gt;"")+('Dvd Calendar'!$AD$841=TYPE2)*(TYPE2&lt;&gt;"")+('Dvd Calendar'!$AD$841=TYPE3)*(TYPE3&lt;&gt;"")+('Dvd Calendar'!$AD$841=TYPE4)*(TYPE4&lt;&gt;"")+('Dvd Calendar'!$AD$841=SPECIAL_LBL)*(INC_SPECIALS="Y"))=0,"",'Dvd Calendar'!$AD$839)))</f>
        <v/>
      </c>
      <c r="AC87" s="161">
        <f>IF(FE87="","",IF(ISNUMBER('Dvd Calendar'!$AE$839)=FALSE,"",IF((('Dvd Calendar'!$AE$841=TYPE1)*(TYPE1&lt;&gt;"")+('Dvd Calendar'!$AE$841=TYPE2)*(TYPE2&lt;&gt;"")+('Dvd Calendar'!$AE$841=TYPE3)*(TYPE3&lt;&gt;"")+('Dvd Calendar'!$AE$841=TYPE4)*(TYPE4&lt;&gt;"")+('Dvd Calendar'!$AE$841=SPECIAL_LBL)*(INC_SPECIALS="Y"))=0,"",'Dvd Calendar'!$AE$839)))</f>
        <v/>
      </c>
      <c r="AD87" s="161">
        <f>IF(FF87="","",IF(ISNUMBER('Dvd Calendar'!$AF$839)=FALSE,"",IF((('Dvd Calendar'!$AF$841=TYPE1)*(TYPE1&lt;&gt;"")+('Dvd Calendar'!$AF$841=TYPE2)*(TYPE2&lt;&gt;"")+('Dvd Calendar'!$AF$841=TYPE3)*(TYPE3&lt;&gt;"")+('Dvd Calendar'!$AF$841=TYPE4)*(TYPE4&lt;&gt;"")+('Dvd Calendar'!$AF$841=SPECIAL_LBL)*(INC_SPECIALS="Y"))=0,"",'Dvd Calendar'!$AF$839)))</f>
        <v/>
      </c>
      <c r="AE87" s="161">
        <f>IF(FG87="","",IF(ISNUMBER('Dvd Calendar'!$AG$839)=FALSE,"",IF((('Dvd Calendar'!$AG$841=TYPE1)*(TYPE1&lt;&gt;"")+('Dvd Calendar'!$AG$841=TYPE2)*(TYPE2&lt;&gt;"")+('Dvd Calendar'!$AG$841=TYPE3)*(TYPE3&lt;&gt;"")+('Dvd Calendar'!$AG$841=TYPE4)*(TYPE4&lt;&gt;"")+('Dvd Calendar'!$AG$841=SPECIAL_LBL)*(INC_SPECIALS="Y"))=0,"",'Dvd Calendar'!$AG$839)))</f>
        <v/>
      </c>
      <c r="AF87" s="161">
        <f>IF(FH87="","",IF(ISNUMBER('Dvd Calendar'!$AH$839)=FALSE,"",IF((('Dvd Calendar'!$AH$841=TYPE1)*(TYPE1&lt;&gt;"")+('Dvd Calendar'!$AH$841=TYPE2)*(TYPE2&lt;&gt;"")+('Dvd Calendar'!$AH$841=TYPE3)*(TYPE3&lt;&gt;"")+('Dvd Calendar'!$AH$841=TYPE4)*(TYPE4&lt;&gt;"")+('Dvd Calendar'!$AH$841=SPECIAL_LBL)*(INC_SPECIALS="Y"))=0,"",'Dvd Calendar'!$AH$839)))</f>
        <v/>
      </c>
      <c r="AG87" s="161">
        <f>IF(FI87="","",IF(ISNUMBER('Dvd Calendar'!$AI$839)=FALSE,"",IF((('Dvd Calendar'!$AI$841=TYPE1)*(TYPE1&lt;&gt;"")+('Dvd Calendar'!$AI$841=TYPE2)*(TYPE2&lt;&gt;"")+('Dvd Calendar'!$AI$841=TYPE3)*(TYPE3&lt;&gt;"")+('Dvd Calendar'!$AI$841=TYPE4)*(TYPE4&lt;&gt;"")+('Dvd Calendar'!$AI$841=SPECIAL_LBL)*(INC_SPECIALS="Y"))=0,"",'Dvd Calendar'!$AI$839)))</f>
        <v/>
      </c>
      <c r="AH87" s="161">
        <f>IF(FJ87="","",IF(ISNUMBER('Dvd Calendar'!$AJ$839)=FALSE,"",IF((('Dvd Calendar'!$AJ$841=TYPE1)*(TYPE1&lt;&gt;"")+('Dvd Calendar'!$AJ$841=TYPE2)*(TYPE2&lt;&gt;"")+('Dvd Calendar'!$AJ$841=TYPE3)*(TYPE3&lt;&gt;"")+('Dvd Calendar'!$AJ$841=TYPE4)*(TYPE4&lt;&gt;"")+('Dvd Calendar'!$AJ$841=SPECIAL_LBL)*(INC_SPECIALS="Y"))=0,"",'Dvd Calendar'!$AJ$839)))</f>
        <v/>
      </c>
      <c r="AI87" s="161">
        <f>IF(FK87="","",IF(ISNUMBER('Dvd Calendar'!$AK$839)=FALSE,"",IF((('Dvd Calendar'!$AK$841=TYPE1)*(TYPE1&lt;&gt;"")+('Dvd Calendar'!$AK$841=TYPE2)*(TYPE2&lt;&gt;"")+('Dvd Calendar'!$AK$841=TYPE3)*(TYPE3&lt;&gt;"")+('Dvd Calendar'!$AK$841=TYPE4)*(TYPE4&lt;&gt;"")+('Dvd Calendar'!$AK$841=SPECIAL_LBL)*(INC_SPECIALS="Y"))=0,"",'Dvd Calendar'!$AK$839)))</f>
        <v/>
      </c>
      <c r="AJ87" s="161">
        <f>IF(FL87="","",IF(ISNUMBER('Dvd Calendar'!$AL$839)=FALSE,"",IF((('Dvd Calendar'!$AL$841=TYPE1)*(TYPE1&lt;&gt;"")+('Dvd Calendar'!$AL$841=TYPE2)*(TYPE2&lt;&gt;"")+('Dvd Calendar'!$AL$841=TYPE3)*(TYPE3&lt;&gt;"")+('Dvd Calendar'!$AL$841=TYPE4)*(TYPE4&lt;&gt;"")+('Dvd Calendar'!$AL$841=SPECIAL_LBL)*(INC_SPECIALS="Y"))=0,"",'Dvd Calendar'!$AL$839)))</f>
        <v/>
      </c>
      <c r="AK87" s="161">
        <f>IF(FM87="","",IF(ISNUMBER('Dvd Calendar'!$AM$839)=FALSE,"",IF((('Dvd Calendar'!$AM$841=TYPE1)*(TYPE1&lt;&gt;"")+('Dvd Calendar'!$AM$841=TYPE2)*(TYPE2&lt;&gt;"")+('Dvd Calendar'!$AM$841=TYPE3)*(TYPE3&lt;&gt;"")+('Dvd Calendar'!$AM$841=TYPE4)*(TYPE4&lt;&gt;"")+('Dvd Calendar'!$AM$841=SPECIAL_LBL)*(INC_SPECIALS="Y"))=0,"",'Dvd Calendar'!$AM$839)))</f>
        <v/>
      </c>
      <c r="AL87" s="161">
        <f>IF(FN87="","",IF(ISNUMBER('Dvd Calendar'!$AN$839)=FALSE,"",IF((('Dvd Calendar'!$AN$841=TYPE1)*(TYPE1&lt;&gt;"")+('Dvd Calendar'!$AN$841=TYPE2)*(TYPE2&lt;&gt;"")+('Dvd Calendar'!$AN$841=TYPE3)*(TYPE3&lt;&gt;"")+('Dvd Calendar'!$AN$841=TYPE4)*(TYPE4&lt;&gt;"")+('Dvd Calendar'!$AN$841=SPECIAL_LBL)*(INC_SPECIALS="Y"))=0,"",'Dvd Calendar'!$AN$839)))</f>
        <v/>
      </c>
      <c r="AM87" s="161">
        <f>IF(FO87="","",IF(ISNUMBER('Dvd Calendar'!$AO$839)=FALSE,"",IF((('Dvd Calendar'!$AO$841=TYPE1)*(TYPE1&lt;&gt;"")+('Dvd Calendar'!$AO$841=TYPE2)*(TYPE2&lt;&gt;"")+('Dvd Calendar'!$AO$841=TYPE3)*(TYPE3&lt;&gt;"")+('Dvd Calendar'!$AO$841=TYPE4)*(TYPE4&lt;&gt;"")+('Dvd Calendar'!$AO$841=SPECIAL_LBL)*(INC_SPECIALS="Y"))=0,"",'Dvd Calendar'!$AO$839)))</f>
        <v/>
      </c>
      <c r="AN87" s="161">
        <f>IF(FP87="","",IF(ISNUMBER('Dvd Calendar'!$AP$839)=FALSE,"",IF((('Dvd Calendar'!$AP$841=TYPE1)*(TYPE1&lt;&gt;"")+('Dvd Calendar'!$AP$841=TYPE2)*(TYPE2&lt;&gt;"")+('Dvd Calendar'!$AP$841=TYPE3)*(TYPE3&lt;&gt;"")+('Dvd Calendar'!$AP$841=TYPE4)*(TYPE4&lt;&gt;"")+('Dvd Calendar'!$AP$841=SPECIAL_LBL)*(INC_SPECIALS="Y"))=0,"",'Dvd Calendar'!$AP$839)))</f>
        <v/>
      </c>
      <c r="AO87" s="161">
        <f>IF(FQ87="","",IF(ISNUMBER('Dvd Calendar'!$AQ$839)=FALSE,"",IF((('Dvd Calendar'!$AQ$841=TYPE1)*(TYPE1&lt;&gt;"")+('Dvd Calendar'!$AQ$841=TYPE2)*(TYPE2&lt;&gt;"")+('Dvd Calendar'!$AQ$841=TYPE3)*(TYPE3&lt;&gt;"")+('Dvd Calendar'!$AQ$841=TYPE4)*(TYPE4&lt;&gt;"")+('Dvd Calendar'!$AQ$841=SPECIAL_LBL)*(INC_SPECIALS="Y"))=0,"",'Dvd Calendar'!$AQ$839)))</f>
        <v/>
      </c>
      <c r="AP87" s="161">
        <f>IF(FR87="","",IF(ISNUMBER('Dvd Calendar'!$AR$839)=FALSE,"",IF((('Dvd Calendar'!$AR$841=TYPE1)*(TYPE1&lt;&gt;"")+('Dvd Calendar'!$AR$841=TYPE2)*(TYPE2&lt;&gt;"")+('Dvd Calendar'!$AR$841=TYPE3)*(TYPE3&lt;&gt;"")+('Dvd Calendar'!$AR$841=TYPE4)*(TYPE4&lt;&gt;"")+('Dvd Calendar'!$AR$841=SPECIAL_LBL)*(INC_SPECIALS="Y"))=0,"",'Dvd Calendar'!$AR$839)))</f>
        <v/>
      </c>
      <c r="AQ87" s="161">
        <f>IF(FS87="","",IF(ISNUMBER('Dvd Calendar'!$E$844)=FALSE,"",'Dvd Calendar'!$E$844))</f>
        <v/>
      </c>
      <c r="AR87" s="161">
        <f>IF(FT87="","",IF(ISNUMBER('Dvd Calendar'!$F$844)=FALSE,"",'Dvd Calendar'!$F$844))</f>
        <v/>
      </c>
      <c r="AS87" s="161">
        <f>IF(FU87="","",IF(ISNUMBER('Dvd Calendar'!$G$844)=FALSE,"",'Dvd Calendar'!$G$844))</f>
        <v/>
      </c>
      <c r="AT87" s="161">
        <f>IF(FV87="","",IF(ISNUMBER('Dvd Calendar'!$H$844)=FALSE,"",'Dvd Calendar'!$H$844))</f>
        <v/>
      </c>
      <c r="AU87" s="161">
        <f>IF(FW87="","",IF(ISNUMBER('Dvd Calendar'!$I$844)=FALSE,"",'Dvd Calendar'!$I$844))</f>
        <v/>
      </c>
      <c r="AV87" s="161">
        <f>IF(FX87="","",IF(ISNUMBER('Dvd Calendar'!$J$844)=FALSE,"",'Dvd Calendar'!$J$844))</f>
        <v/>
      </c>
      <c r="AW87" s="161">
        <f>IF(FY87="","",IF(ISNUMBER('Dvd Calendar'!$K$844)=FALSE,"",'Dvd Calendar'!$K$844))</f>
        <v/>
      </c>
      <c r="AX87" s="161">
        <f>IF(FZ87="","",IF(ISNUMBER('Dvd Calendar'!$L$844)=FALSE,"",'Dvd Calendar'!$L$844))</f>
        <v/>
      </c>
      <c r="AY87" s="161">
        <f>IF(GA87="","",IF(ISNUMBER('Dvd Calendar'!$M$844)=FALSE,"",'Dvd Calendar'!$M$844))</f>
        <v/>
      </c>
      <c r="AZ87" s="161">
        <f>IF(GB87="","",IF(ISNUMBER('Dvd Calendar'!$N$844)=FALSE,"",'Dvd Calendar'!$N$844))</f>
        <v/>
      </c>
      <c r="BA87" s="161">
        <f>IF(GC87="","",IF(ISNUMBER('Dvd Calendar'!$O$844)=FALSE,"",'Dvd Calendar'!$O$844))</f>
        <v/>
      </c>
      <c r="BB87" s="161">
        <f>IF(GD87="","",IF(ISNUMBER('Dvd Calendar'!$P$844)=FALSE,"",'Dvd Calendar'!$P$844))</f>
        <v/>
      </c>
      <c r="BC87" s="161">
        <f>IF(GE87="","",IF(ISNUMBER('Dvd Calendar'!$Q$844)=FALSE,"",'Dvd Calendar'!$Q$844))</f>
        <v/>
      </c>
      <c r="BD87" s="161">
        <f>IF(GF87="","",IF(ISNUMBER('Dvd Calendar'!$R$844)=FALSE,"",'Dvd Calendar'!$R$844))</f>
        <v/>
      </c>
      <c r="BE87" s="161">
        <f>IF(GG87="","",IF(ISNUMBER('Dvd Calendar'!$S$844)=FALSE,"",'Dvd Calendar'!$S$844))</f>
        <v/>
      </c>
      <c r="BF87" s="161">
        <f>IF(GH87="","",IF(ISNUMBER('Dvd Calendar'!$T$844)=FALSE,"",'Dvd Calendar'!$T$844))</f>
        <v/>
      </c>
      <c r="BG87" s="161">
        <f>IF(GI87="","",IF(ISNUMBER('Dvd Calendar'!$U$844)=FALSE,"",'Dvd Calendar'!$U$844))</f>
        <v/>
      </c>
      <c r="BH87" s="161">
        <f>IF(GJ87="","",IF(ISNUMBER('Dvd Calendar'!$V$844)=FALSE,"",'Dvd Calendar'!$V$844))</f>
        <v/>
      </c>
      <c r="BI87" s="161">
        <f>IF(GK87="","",IF(ISNUMBER('Dvd Calendar'!$W$844)=FALSE,"",'Dvd Calendar'!$W$844))</f>
        <v/>
      </c>
      <c r="BJ87" s="161">
        <f>IF(GL87="","",IF(ISNUMBER('Dvd Calendar'!$X$844)=FALSE,"",'Dvd Calendar'!$X$844))</f>
        <v/>
      </c>
      <c r="BK87" s="161">
        <f>IF(GM87="","",IF(ISNUMBER('Dvd Calendar'!$Y$844)=FALSE,"",'Dvd Calendar'!$Y$844))</f>
        <v/>
      </c>
      <c r="BL87" s="161">
        <f>IF(GN87="","",IF(ISNUMBER('Dvd Calendar'!$Z$844)=FALSE,"",'Dvd Calendar'!$Z$844))</f>
        <v/>
      </c>
      <c r="BM87" s="161">
        <f>IF(GO87="","",IF(ISNUMBER('Dvd Calendar'!$AA$844)=FALSE,"",'Dvd Calendar'!$AA$844))</f>
        <v/>
      </c>
      <c r="BN87" s="161">
        <f>IF(GP87="","",IF(ISNUMBER('Dvd Calendar'!$AB$844)=FALSE,"",'Dvd Calendar'!$AB$844))</f>
        <v/>
      </c>
      <c r="BO87" s="161">
        <f>IF(GQ87="","",IF(ISNUMBER('Dvd Calendar'!$AC$844)=FALSE,"",'Dvd Calendar'!$AC$844))</f>
        <v/>
      </c>
      <c r="BQ87" s="161">
        <f>IF(C87="","",IFERROR(C87*HSI!$B$82*HSI!$G$82/HSI!$B$3,""))</f>
        <v/>
      </c>
      <c r="BR87" s="161">
        <f>IF(D87="","",IFERROR(D87*HSI!$B$82*HSI!$G$82/HSI!$B$3,""))</f>
        <v/>
      </c>
      <c r="BS87" s="161">
        <f>IF(E87="","",IFERROR(E87*HSI!$B$82*HSI!$G$82/HSI!$B$3,""))</f>
        <v/>
      </c>
      <c r="BT87" s="161">
        <f>IF(F87="","",IFERROR(F87*HSI!$B$82*HSI!$G$82/HSI!$B$3,""))</f>
        <v/>
      </c>
      <c r="BU87" s="161">
        <f>IF(G87="","",IFERROR(G87*HSI!$B$82*HSI!$G$82/HSI!$B$3,""))</f>
        <v/>
      </c>
      <c r="BV87" s="161">
        <f>IF(H87="","",IFERROR(H87*HSI!$B$82*HSI!$G$82/HSI!$B$3,""))</f>
        <v/>
      </c>
      <c r="BW87" s="161">
        <f>IF(I87="","",IFERROR(I87*HSI!$B$82*HSI!$G$82/HSI!$B$3,""))</f>
        <v/>
      </c>
      <c r="BX87" s="161">
        <f>IF(J87="","",IFERROR(J87*HSI!$B$82*HSI!$G$82/HSI!$B$3,""))</f>
        <v/>
      </c>
      <c r="BY87" s="161">
        <f>IF(K87="","",IFERROR(K87*HSI!$B$82*HSI!$G$82/HSI!$B$3,""))</f>
        <v/>
      </c>
      <c r="BZ87" s="161">
        <f>IF(L87="","",IFERROR(L87*HSI!$B$82*HSI!$G$82/HSI!$B$3,""))</f>
        <v/>
      </c>
      <c r="CA87" s="161">
        <f>IF(M87="","",IFERROR(M87*HSI!$B$82*HSI!$G$82/HSI!$B$3,""))</f>
        <v/>
      </c>
      <c r="CB87" s="161">
        <f>IF(N87="","",IFERROR(N87*HSI!$B$82*HSI!$G$82/HSI!$B$3,""))</f>
        <v/>
      </c>
      <c r="CC87" s="161">
        <f>IF(O87="","",IFERROR(O87*HSI!$B$82*HSI!$G$82/HSI!$B$3,""))</f>
        <v/>
      </c>
      <c r="CD87" s="161">
        <f>IF(P87="","",IFERROR(P87*HSI!$B$82*HSI!$G$82/HSI!$B$3,""))</f>
        <v/>
      </c>
      <c r="CE87" s="161">
        <f>IF(Q87="","",IFERROR(Q87*HSI!$B$82*HSI!$G$82/HSI!$B$3,""))</f>
        <v/>
      </c>
      <c r="CF87" s="161">
        <f>IF(R87="","",IFERROR(R87*HSI!$B$82*HSI!$G$82/HSI!$B$3,""))</f>
        <v/>
      </c>
      <c r="CG87" s="161">
        <f>IF(S87="","",IFERROR(S87*HSI!$B$82*HSI!$G$82/HSI!$B$3,""))</f>
        <v/>
      </c>
      <c r="CH87" s="161">
        <f>IF(T87="","",IFERROR(T87*HSI!$B$82*HSI!$G$82/HSI!$B$3,""))</f>
        <v/>
      </c>
      <c r="CI87" s="161">
        <f>IF(U87="","",IFERROR(U87*HSI!$B$82*HSI!$G$82/HSI!$B$3,""))</f>
        <v/>
      </c>
      <c r="CJ87" s="161">
        <f>IF(V87="","",IFERROR(V87*HSI!$B$82*HSI!$G$82/HSI!$B$3,""))</f>
        <v/>
      </c>
      <c r="CK87" s="161">
        <f>IF(W87="","",IFERROR(W87*HSI!$B$82*HSI!$G$82/HSI!$B$3,""))</f>
        <v/>
      </c>
      <c r="CL87" s="161">
        <f>IF(X87="","",IFERROR(X87*HSI!$B$82*HSI!$G$82/HSI!$B$3,""))</f>
        <v/>
      </c>
      <c r="CM87" s="161">
        <f>IF(Y87="","",IFERROR(Y87*HSI!$B$82*HSI!$G$82/HSI!$B$3,""))</f>
        <v/>
      </c>
      <c r="CN87" s="161">
        <f>IF(Z87="","",IFERROR(Z87*HSI!$B$82*HSI!$G$82/HSI!$B$3,""))</f>
        <v/>
      </c>
      <c r="CO87" s="161">
        <f>IF(AA87="","",IFERROR(AA87*HSI!$B$82*HSI!$G$82/HSI!$B$3,""))</f>
        <v/>
      </c>
      <c r="CP87" s="161">
        <f>IF(AB87="","",IFERROR(AB87*HSI!$B$82*HSI!$G$82/HSI!$B$3,""))</f>
        <v/>
      </c>
      <c r="CQ87" s="161">
        <f>IF(AC87="","",IFERROR(AC87*HSI!$B$82*HSI!$G$82/HSI!$B$3,""))</f>
        <v/>
      </c>
      <c r="CR87" s="161">
        <f>IF(AD87="","",IFERROR(AD87*HSI!$B$82*HSI!$G$82/HSI!$B$3,""))</f>
        <v/>
      </c>
      <c r="CS87" s="161">
        <f>IF(AE87="","",IFERROR(AE87*HSI!$B$82*HSI!$G$82/HSI!$B$3,""))</f>
        <v/>
      </c>
      <c r="CT87" s="161">
        <f>IF(AF87="","",IFERROR(AF87*HSI!$B$82*HSI!$G$82/HSI!$B$3,""))</f>
        <v/>
      </c>
      <c r="CU87" s="161">
        <f>IF(AG87="","",IFERROR(AG87*HSI!$B$82*HSI!$G$82/HSI!$B$3,""))</f>
        <v/>
      </c>
      <c r="CV87" s="161">
        <f>IF(AH87="","",IFERROR(AH87*HSI!$B$82*HSI!$G$82/HSI!$B$3,""))</f>
        <v/>
      </c>
      <c r="CW87" s="161">
        <f>IF(AI87="","",IFERROR(AI87*HSI!$B$82*HSI!$G$82/HSI!$B$3,""))</f>
        <v/>
      </c>
      <c r="CX87" s="161">
        <f>IF(AJ87="","",IFERROR(AJ87*HSI!$B$82*HSI!$G$82/HSI!$B$3,""))</f>
        <v/>
      </c>
      <c r="CY87" s="161">
        <f>IF(AK87="","",IFERROR(AK87*HSI!$B$82*HSI!$G$82/HSI!$B$3,""))</f>
        <v/>
      </c>
      <c r="CZ87" s="161">
        <f>IF(AL87="","",IFERROR(AL87*HSI!$B$82*HSI!$G$82/HSI!$B$3,""))</f>
        <v/>
      </c>
      <c r="DA87" s="161">
        <f>IF(AM87="","",IFERROR(AM87*HSI!$B$82*HSI!$G$82/HSI!$B$3,""))</f>
        <v/>
      </c>
      <c r="DB87" s="161">
        <f>IF(AN87="","",IFERROR(AN87*HSI!$B$82*HSI!$G$82/HSI!$B$3,""))</f>
        <v/>
      </c>
      <c r="DC87" s="161">
        <f>IF(AO87="","",IFERROR(AO87*HSI!$B$82*HSI!$G$82/HSI!$B$3,""))</f>
        <v/>
      </c>
      <c r="DD87" s="161">
        <f>IF(AP87="","",IFERROR(AP87*HSI!$B$82*HSI!$G$82/HSI!$B$3,""))</f>
        <v/>
      </c>
      <c r="DE87" s="161">
        <f>IF(AQ87="","",IFERROR(AQ87*HSI!$B$82*HSI!$G$82/HSI!$B$3,""))</f>
        <v/>
      </c>
      <c r="DF87" s="161">
        <f>IF(AR87="","",IFERROR(AR87*HSI!$B$82*HSI!$G$82/HSI!$B$3,""))</f>
        <v/>
      </c>
      <c r="DG87" s="161">
        <f>IF(AS87="","",IFERROR(AS87*HSI!$B$82*HSI!$G$82/HSI!$B$3,""))</f>
        <v/>
      </c>
      <c r="DH87" s="161">
        <f>IF(AT87="","",IFERROR(AT87*HSI!$B$82*HSI!$G$82/HSI!$B$3,""))</f>
        <v/>
      </c>
      <c r="DI87" s="161">
        <f>IF(AU87="","",IFERROR(AU87*HSI!$B$82*HSI!$G$82/HSI!$B$3,""))</f>
        <v/>
      </c>
      <c r="DJ87" s="161">
        <f>IF(AV87="","",IFERROR(AV87*HSI!$B$82*HSI!$G$82/HSI!$B$3,""))</f>
        <v/>
      </c>
      <c r="DK87" s="161">
        <f>IF(AW87="","",IFERROR(AW87*HSI!$B$82*HSI!$G$82/HSI!$B$3,""))</f>
        <v/>
      </c>
      <c r="DL87" s="161">
        <f>IF(AX87="","",IFERROR(AX87*HSI!$B$82*HSI!$G$82/HSI!$B$3,""))</f>
        <v/>
      </c>
      <c r="DM87" s="161">
        <f>IF(AY87="","",IFERROR(AY87*HSI!$B$82*HSI!$G$82/HSI!$B$3,""))</f>
        <v/>
      </c>
      <c r="DN87" s="161">
        <f>IF(AZ87="","",IFERROR(AZ87*HSI!$B$82*HSI!$G$82/HSI!$B$3,""))</f>
        <v/>
      </c>
      <c r="DO87" s="161">
        <f>IF(BA87="","",IFERROR(BA87*HSI!$B$82*HSI!$G$82/HSI!$B$3,""))</f>
        <v/>
      </c>
      <c r="DP87" s="161">
        <f>IF(BB87="","",IFERROR(BB87*HSI!$B$82*HSI!$G$82/HSI!$B$3,""))</f>
        <v/>
      </c>
      <c r="DQ87" s="161">
        <f>IF(BC87="","",IFERROR(BC87*HSI!$B$82*HSI!$G$82/HSI!$B$3,""))</f>
        <v/>
      </c>
      <c r="DR87" s="161">
        <f>IF(BD87="","",IFERROR(BD87*HSI!$B$82*HSI!$G$82/HSI!$B$3,""))</f>
        <v/>
      </c>
      <c r="DS87" s="161">
        <f>IF(BE87="","",IFERROR(BE87*HSI!$B$82*HSI!$G$82/HSI!$B$3,""))</f>
        <v/>
      </c>
      <c r="DT87" s="161">
        <f>IF(BF87="","",IFERROR(BF87*HSI!$B$82*HSI!$G$82/HSI!$B$3,""))</f>
        <v/>
      </c>
      <c r="DU87" s="161">
        <f>IF(BG87="","",IFERROR(BG87*HSI!$B$82*HSI!$G$82/HSI!$B$3,""))</f>
        <v/>
      </c>
      <c r="DV87" s="161">
        <f>IF(BH87="","",IFERROR(BH87*HSI!$B$82*HSI!$G$82/HSI!$B$3,""))</f>
        <v/>
      </c>
      <c r="DW87" s="161">
        <f>IF(BI87="","",IFERROR(BI87*HSI!$B$82*HSI!$G$82/HSI!$B$3,""))</f>
        <v/>
      </c>
      <c r="DX87" s="161">
        <f>IF(BJ87="","",IFERROR(BJ87*HSI!$B$82*HSI!$G$82/HSI!$B$3,""))</f>
        <v/>
      </c>
      <c r="DY87" s="161">
        <f>IF(BK87="","",IFERROR(BK87*HSI!$B$82*HSI!$G$82/HSI!$B$3,""))</f>
        <v/>
      </c>
      <c r="DZ87" s="161">
        <f>IF(BL87="","",IFERROR(BL87*HSI!$B$82*HSI!$G$82/HSI!$B$3,""))</f>
        <v/>
      </c>
      <c r="EA87" s="161">
        <f>IF(BM87="","",IFERROR(BM87*HSI!$B$82*HSI!$G$82/HSI!$B$3,""))</f>
        <v/>
      </c>
      <c r="EB87" s="161">
        <f>IF(BN87="","",IFERROR(BN87*HSI!$B$82*HSI!$G$82/HSI!$B$3,""))</f>
        <v/>
      </c>
      <c r="EC87" s="161">
        <f>IF(BO87="","",IFERROR(BO87*HSI!$B$82*HSI!$G$82/HSI!$B$3,""))</f>
        <v/>
      </c>
      <c r="EE87" s="121">
        <f>IF(N('Dvd Calendar'!$E$836)=0,"",IF(('Dvd Calendar'!$E$836&gt;=GRID_FROM)*('Dvd Calendar'!$E$836&lt;=GRID_TO)*((('Dvd Calendar'!$E$836&lt;=VAL_DATE)+(COUNTIF('Dvd Calendar'!$E$843:$AR$843,'Dvd Calendar'!$E$836)=0))&gt;0)=0,"",'Dvd Calendar'!$E$836*1000000000+ISNUMBER('Dvd Calendar'!$E$839)*100000000+('Dvd Calendar'!$E$841=SPECIAL_LBL)*10000000+(N('Dvd Calendar'!$E$835)&gt;0)*(N('Dvd Calendar'!$E$835)&lt;=VAL_SERIAL)*1000000+76*1000+1))</f>
        <v/>
      </c>
      <c r="EF87" s="121">
        <f>IF(N('Dvd Calendar'!$F$836)=0,"",IF(('Dvd Calendar'!$F$836&gt;=GRID_FROM)*('Dvd Calendar'!$F$836&lt;=GRID_TO)*((('Dvd Calendar'!$F$836&lt;=VAL_DATE)+(COUNTIF('Dvd Calendar'!$E$843:$AR$843,'Dvd Calendar'!$F$836)=0))&gt;0)=0,"",'Dvd Calendar'!$F$836*1000000000+ISNUMBER('Dvd Calendar'!$F$839)*100000000+('Dvd Calendar'!$F$841=SPECIAL_LBL)*10000000+(N('Dvd Calendar'!$F$835)&gt;0)*(N('Dvd Calendar'!$F$835)&lt;=VAL_SERIAL)*1000000+76*1000+2))</f>
        <v/>
      </c>
      <c r="EG87" s="121">
        <f>IF(N('Dvd Calendar'!$G$836)=0,"",IF(('Dvd Calendar'!$G$836&gt;=GRID_FROM)*('Dvd Calendar'!$G$836&lt;=GRID_TO)*((('Dvd Calendar'!$G$836&lt;=VAL_DATE)+(COUNTIF('Dvd Calendar'!$E$843:$AR$843,'Dvd Calendar'!$G$836)=0))&gt;0)=0,"",'Dvd Calendar'!$G$836*1000000000+ISNUMBER('Dvd Calendar'!$G$839)*100000000+('Dvd Calendar'!$G$841=SPECIAL_LBL)*10000000+(N('Dvd Calendar'!$G$835)&gt;0)*(N('Dvd Calendar'!$G$835)&lt;=VAL_SERIAL)*1000000+76*1000+3))</f>
        <v/>
      </c>
      <c r="EH87" s="121">
        <f>IF(N('Dvd Calendar'!$H$836)=0,"",IF(('Dvd Calendar'!$H$836&gt;=GRID_FROM)*('Dvd Calendar'!$H$836&lt;=GRID_TO)*((('Dvd Calendar'!$H$836&lt;=VAL_DATE)+(COUNTIF('Dvd Calendar'!$E$843:$AR$843,'Dvd Calendar'!$H$836)=0))&gt;0)=0,"",'Dvd Calendar'!$H$836*1000000000+ISNUMBER('Dvd Calendar'!$H$839)*100000000+('Dvd Calendar'!$H$841=SPECIAL_LBL)*10000000+(N('Dvd Calendar'!$H$835)&gt;0)*(N('Dvd Calendar'!$H$835)&lt;=VAL_SERIAL)*1000000+76*1000+4))</f>
        <v/>
      </c>
      <c r="EI87" s="121">
        <f>IF(N('Dvd Calendar'!$I$836)=0,"",IF(('Dvd Calendar'!$I$836&gt;=GRID_FROM)*('Dvd Calendar'!$I$836&lt;=GRID_TO)*((('Dvd Calendar'!$I$836&lt;=VAL_DATE)+(COUNTIF('Dvd Calendar'!$E$843:$AR$843,'Dvd Calendar'!$I$836)=0))&gt;0)=0,"",'Dvd Calendar'!$I$836*1000000000+ISNUMBER('Dvd Calendar'!$I$839)*100000000+('Dvd Calendar'!$I$841=SPECIAL_LBL)*10000000+(N('Dvd Calendar'!$I$835)&gt;0)*(N('Dvd Calendar'!$I$835)&lt;=VAL_SERIAL)*1000000+76*1000+5))</f>
        <v/>
      </c>
      <c r="EJ87" s="121">
        <f>IF(N('Dvd Calendar'!$J$836)=0,"",IF(('Dvd Calendar'!$J$836&gt;=GRID_FROM)*('Dvd Calendar'!$J$836&lt;=GRID_TO)*((('Dvd Calendar'!$J$836&lt;=VAL_DATE)+(COUNTIF('Dvd Calendar'!$E$843:$AR$843,'Dvd Calendar'!$J$836)=0))&gt;0)=0,"",'Dvd Calendar'!$J$836*1000000000+ISNUMBER('Dvd Calendar'!$J$839)*100000000+('Dvd Calendar'!$J$841=SPECIAL_LBL)*10000000+(N('Dvd Calendar'!$J$835)&gt;0)*(N('Dvd Calendar'!$J$835)&lt;=VAL_SERIAL)*1000000+76*1000+6))</f>
        <v/>
      </c>
      <c r="EK87" s="121">
        <f>IF(N('Dvd Calendar'!$K$836)=0,"",IF(('Dvd Calendar'!$K$836&gt;=GRID_FROM)*('Dvd Calendar'!$K$836&lt;=GRID_TO)*((('Dvd Calendar'!$K$836&lt;=VAL_DATE)+(COUNTIF('Dvd Calendar'!$E$843:$AR$843,'Dvd Calendar'!$K$836)=0))&gt;0)=0,"",'Dvd Calendar'!$K$836*1000000000+ISNUMBER('Dvd Calendar'!$K$839)*100000000+('Dvd Calendar'!$K$841=SPECIAL_LBL)*10000000+(N('Dvd Calendar'!$K$835)&gt;0)*(N('Dvd Calendar'!$K$835)&lt;=VAL_SERIAL)*1000000+76*1000+7))</f>
        <v/>
      </c>
      <c r="EL87" s="121">
        <f>IF(N('Dvd Calendar'!$L$836)=0,"",IF(('Dvd Calendar'!$L$836&gt;=GRID_FROM)*('Dvd Calendar'!$L$836&lt;=GRID_TO)*((('Dvd Calendar'!$L$836&lt;=VAL_DATE)+(COUNTIF('Dvd Calendar'!$E$843:$AR$843,'Dvd Calendar'!$L$836)=0))&gt;0)=0,"",'Dvd Calendar'!$L$836*1000000000+ISNUMBER('Dvd Calendar'!$L$839)*100000000+('Dvd Calendar'!$L$841=SPECIAL_LBL)*10000000+(N('Dvd Calendar'!$L$835)&gt;0)*(N('Dvd Calendar'!$L$835)&lt;=VAL_SERIAL)*1000000+76*1000+8))</f>
        <v/>
      </c>
      <c r="EM87" s="121">
        <f>IF(N('Dvd Calendar'!$M$836)=0,"",IF(('Dvd Calendar'!$M$836&gt;=GRID_FROM)*('Dvd Calendar'!$M$836&lt;=GRID_TO)*((('Dvd Calendar'!$M$836&lt;=VAL_DATE)+(COUNTIF('Dvd Calendar'!$E$843:$AR$843,'Dvd Calendar'!$M$836)=0))&gt;0)=0,"",'Dvd Calendar'!$M$836*1000000000+ISNUMBER('Dvd Calendar'!$M$839)*100000000+('Dvd Calendar'!$M$841=SPECIAL_LBL)*10000000+(N('Dvd Calendar'!$M$835)&gt;0)*(N('Dvd Calendar'!$M$835)&lt;=VAL_SERIAL)*1000000+76*1000+9))</f>
        <v/>
      </c>
      <c r="EN87" s="121">
        <f>IF(N('Dvd Calendar'!$N$836)=0,"",IF(('Dvd Calendar'!$N$836&gt;=GRID_FROM)*('Dvd Calendar'!$N$836&lt;=GRID_TO)*((('Dvd Calendar'!$N$836&lt;=VAL_DATE)+(COUNTIF('Dvd Calendar'!$E$843:$AR$843,'Dvd Calendar'!$N$836)=0))&gt;0)=0,"",'Dvd Calendar'!$N$836*1000000000+ISNUMBER('Dvd Calendar'!$N$839)*100000000+('Dvd Calendar'!$N$841=SPECIAL_LBL)*10000000+(N('Dvd Calendar'!$N$835)&gt;0)*(N('Dvd Calendar'!$N$835)&lt;=VAL_SERIAL)*1000000+76*1000+10))</f>
        <v/>
      </c>
      <c r="EO87" s="121">
        <f>IF(N('Dvd Calendar'!$O$836)=0,"",IF(('Dvd Calendar'!$O$836&gt;=GRID_FROM)*('Dvd Calendar'!$O$836&lt;=GRID_TO)*((('Dvd Calendar'!$O$836&lt;=VAL_DATE)+(COUNTIF('Dvd Calendar'!$E$843:$AR$843,'Dvd Calendar'!$O$836)=0))&gt;0)=0,"",'Dvd Calendar'!$O$836*1000000000+ISNUMBER('Dvd Calendar'!$O$839)*100000000+('Dvd Calendar'!$O$841=SPECIAL_LBL)*10000000+(N('Dvd Calendar'!$O$835)&gt;0)*(N('Dvd Calendar'!$O$835)&lt;=VAL_SERIAL)*1000000+76*1000+11))</f>
        <v/>
      </c>
      <c r="EP87" s="121">
        <f>IF(N('Dvd Calendar'!$P$836)=0,"",IF(('Dvd Calendar'!$P$836&gt;=GRID_FROM)*('Dvd Calendar'!$P$836&lt;=GRID_TO)*((('Dvd Calendar'!$P$836&lt;=VAL_DATE)+(COUNTIF('Dvd Calendar'!$E$843:$AR$843,'Dvd Calendar'!$P$836)=0))&gt;0)=0,"",'Dvd Calendar'!$P$836*1000000000+ISNUMBER('Dvd Calendar'!$P$839)*100000000+('Dvd Calendar'!$P$841=SPECIAL_LBL)*10000000+(N('Dvd Calendar'!$P$835)&gt;0)*(N('Dvd Calendar'!$P$835)&lt;=VAL_SERIAL)*1000000+76*1000+12))</f>
        <v/>
      </c>
      <c r="EQ87" s="121">
        <f>IF(N('Dvd Calendar'!$Q$836)=0,"",IF(('Dvd Calendar'!$Q$836&gt;=GRID_FROM)*('Dvd Calendar'!$Q$836&lt;=GRID_TO)*((('Dvd Calendar'!$Q$836&lt;=VAL_DATE)+(COUNTIF('Dvd Calendar'!$E$843:$AR$843,'Dvd Calendar'!$Q$836)=0))&gt;0)=0,"",'Dvd Calendar'!$Q$836*1000000000+ISNUMBER('Dvd Calendar'!$Q$839)*100000000+('Dvd Calendar'!$Q$841=SPECIAL_LBL)*10000000+(N('Dvd Calendar'!$Q$835)&gt;0)*(N('Dvd Calendar'!$Q$835)&lt;=VAL_SERIAL)*1000000+76*1000+13))</f>
        <v/>
      </c>
      <c r="ER87" s="121">
        <f>IF(N('Dvd Calendar'!$R$836)=0,"",IF(('Dvd Calendar'!$R$836&gt;=GRID_FROM)*('Dvd Calendar'!$R$836&lt;=GRID_TO)*((('Dvd Calendar'!$R$836&lt;=VAL_DATE)+(COUNTIF('Dvd Calendar'!$E$843:$AR$843,'Dvd Calendar'!$R$836)=0))&gt;0)=0,"",'Dvd Calendar'!$R$836*1000000000+ISNUMBER('Dvd Calendar'!$R$839)*100000000+('Dvd Calendar'!$R$841=SPECIAL_LBL)*10000000+(N('Dvd Calendar'!$R$835)&gt;0)*(N('Dvd Calendar'!$R$835)&lt;=VAL_SERIAL)*1000000+76*1000+14))</f>
        <v/>
      </c>
      <c r="ES87" s="121">
        <f>IF(N('Dvd Calendar'!$S$836)=0,"",IF(('Dvd Calendar'!$S$836&gt;=GRID_FROM)*('Dvd Calendar'!$S$836&lt;=GRID_TO)*((('Dvd Calendar'!$S$836&lt;=VAL_DATE)+(COUNTIF('Dvd Calendar'!$E$843:$AR$843,'Dvd Calendar'!$S$836)=0))&gt;0)=0,"",'Dvd Calendar'!$S$836*1000000000+ISNUMBER('Dvd Calendar'!$S$839)*100000000+('Dvd Calendar'!$S$841=SPECIAL_LBL)*10000000+(N('Dvd Calendar'!$S$835)&gt;0)*(N('Dvd Calendar'!$S$835)&lt;=VAL_SERIAL)*1000000+76*1000+15))</f>
        <v/>
      </c>
      <c r="ET87" s="121">
        <f>IF(N('Dvd Calendar'!$T$836)=0,"",IF(('Dvd Calendar'!$T$836&gt;=GRID_FROM)*('Dvd Calendar'!$T$836&lt;=GRID_TO)*((('Dvd Calendar'!$T$836&lt;=VAL_DATE)+(COUNTIF('Dvd Calendar'!$E$843:$AR$843,'Dvd Calendar'!$T$836)=0))&gt;0)=0,"",'Dvd Calendar'!$T$836*1000000000+ISNUMBER('Dvd Calendar'!$T$839)*100000000+('Dvd Calendar'!$T$841=SPECIAL_LBL)*10000000+(N('Dvd Calendar'!$T$835)&gt;0)*(N('Dvd Calendar'!$T$835)&lt;=VAL_SERIAL)*1000000+76*1000+16))</f>
        <v/>
      </c>
      <c r="EU87" s="121">
        <f>IF(N('Dvd Calendar'!$U$836)=0,"",IF(('Dvd Calendar'!$U$836&gt;=GRID_FROM)*('Dvd Calendar'!$U$836&lt;=GRID_TO)*((('Dvd Calendar'!$U$836&lt;=VAL_DATE)+(COUNTIF('Dvd Calendar'!$E$843:$AR$843,'Dvd Calendar'!$U$836)=0))&gt;0)=0,"",'Dvd Calendar'!$U$836*1000000000+ISNUMBER('Dvd Calendar'!$U$839)*100000000+('Dvd Calendar'!$U$841=SPECIAL_LBL)*10000000+(N('Dvd Calendar'!$U$835)&gt;0)*(N('Dvd Calendar'!$U$835)&lt;=VAL_SERIAL)*1000000+76*1000+17))</f>
        <v/>
      </c>
      <c r="EV87" s="121">
        <f>IF(N('Dvd Calendar'!$V$836)=0,"",IF(('Dvd Calendar'!$V$836&gt;=GRID_FROM)*('Dvd Calendar'!$V$836&lt;=GRID_TO)*((('Dvd Calendar'!$V$836&lt;=VAL_DATE)+(COUNTIF('Dvd Calendar'!$E$843:$AR$843,'Dvd Calendar'!$V$836)=0))&gt;0)=0,"",'Dvd Calendar'!$V$836*1000000000+ISNUMBER('Dvd Calendar'!$V$839)*100000000+('Dvd Calendar'!$V$841=SPECIAL_LBL)*10000000+(N('Dvd Calendar'!$V$835)&gt;0)*(N('Dvd Calendar'!$V$835)&lt;=VAL_SERIAL)*1000000+76*1000+18))</f>
        <v/>
      </c>
      <c r="EW87" s="121">
        <f>IF(N('Dvd Calendar'!$W$836)=0,"",IF(('Dvd Calendar'!$W$836&gt;=GRID_FROM)*('Dvd Calendar'!$W$836&lt;=GRID_TO)*((('Dvd Calendar'!$W$836&lt;=VAL_DATE)+(COUNTIF('Dvd Calendar'!$E$843:$AR$843,'Dvd Calendar'!$W$836)=0))&gt;0)=0,"",'Dvd Calendar'!$W$836*1000000000+ISNUMBER('Dvd Calendar'!$W$839)*100000000+('Dvd Calendar'!$W$841=SPECIAL_LBL)*10000000+(N('Dvd Calendar'!$W$835)&gt;0)*(N('Dvd Calendar'!$W$835)&lt;=VAL_SERIAL)*1000000+76*1000+19))</f>
        <v/>
      </c>
      <c r="EX87" s="121">
        <f>IF(N('Dvd Calendar'!$X$836)=0,"",IF(('Dvd Calendar'!$X$836&gt;=GRID_FROM)*('Dvd Calendar'!$X$836&lt;=GRID_TO)*((('Dvd Calendar'!$X$836&lt;=VAL_DATE)+(COUNTIF('Dvd Calendar'!$E$843:$AR$843,'Dvd Calendar'!$X$836)=0))&gt;0)=0,"",'Dvd Calendar'!$X$836*1000000000+ISNUMBER('Dvd Calendar'!$X$839)*100000000+('Dvd Calendar'!$X$841=SPECIAL_LBL)*10000000+(N('Dvd Calendar'!$X$835)&gt;0)*(N('Dvd Calendar'!$X$835)&lt;=VAL_SERIAL)*1000000+76*1000+20))</f>
        <v/>
      </c>
      <c r="EY87" s="121">
        <f>IF(N('Dvd Calendar'!$Y$836)=0,"",IF(('Dvd Calendar'!$Y$836&gt;=GRID_FROM)*('Dvd Calendar'!$Y$836&lt;=GRID_TO)*((('Dvd Calendar'!$Y$836&lt;=VAL_DATE)+(COUNTIF('Dvd Calendar'!$E$843:$AR$843,'Dvd Calendar'!$Y$836)=0))&gt;0)=0,"",'Dvd Calendar'!$Y$836*1000000000+ISNUMBER('Dvd Calendar'!$Y$839)*100000000+('Dvd Calendar'!$Y$841=SPECIAL_LBL)*10000000+(N('Dvd Calendar'!$Y$835)&gt;0)*(N('Dvd Calendar'!$Y$835)&lt;=VAL_SERIAL)*1000000+76*1000+21))</f>
        <v/>
      </c>
      <c r="EZ87" s="121">
        <f>IF(N('Dvd Calendar'!$Z$836)=0,"",IF(('Dvd Calendar'!$Z$836&gt;=GRID_FROM)*('Dvd Calendar'!$Z$836&lt;=GRID_TO)*((('Dvd Calendar'!$Z$836&lt;=VAL_DATE)+(COUNTIF('Dvd Calendar'!$E$843:$AR$843,'Dvd Calendar'!$Z$836)=0))&gt;0)=0,"",'Dvd Calendar'!$Z$836*1000000000+ISNUMBER('Dvd Calendar'!$Z$839)*100000000+('Dvd Calendar'!$Z$841=SPECIAL_LBL)*10000000+(N('Dvd Calendar'!$Z$835)&gt;0)*(N('Dvd Calendar'!$Z$835)&lt;=VAL_SERIAL)*1000000+76*1000+22))</f>
        <v/>
      </c>
      <c r="FA87" s="121">
        <f>IF(N('Dvd Calendar'!$AA$836)=0,"",IF(('Dvd Calendar'!$AA$836&gt;=GRID_FROM)*('Dvd Calendar'!$AA$836&lt;=GRID_TO)*((('Dvd Calendar'!$AA$836&lt;=VAL_DATE)+(COUNTIF('Dvd Calendar'!$E$843:$AR$843,'Dvd Calendar'!$AA$836)=0))&gt;0)=0,"",'Dvd Calendar'!$AA$836*1000000000+ISNUMBER('Dvd Calendar'!$AA$839)*100000000+('Dvd Calendar'!$AA$841=SPECIAL_LBL)*10000000+(N('Dvd Calendar'!$AA$835)&gt;0)*(N('Dvd Calendar'!$AA$835)&lt;=VAL_SERIAL)*1000000+76*1000+23))</f>
        <v/>
      </c>
      <c r="FB87" s="121">
        <f>IF(N('Dvd Calendar'!$AB$836)=0,"",IF(('Dvd Calendar'!$AB$836&gt;=GRID_FROM)*('Dvd Calendar'!$AB$836&lt;=GRID_TO)*((('Dvd Calendar'!$AB$836&lt;=VAL_DATE)+(COUNTIF('Dvd Calendar'!$E$843:$AR$843,'Dvd Calendar'!$AB$836)=0))&gt;0)=0,"",'Dvd Calendar'!$AB$836*1000000000+ISNUMBER('Dvd Calendar'!$AB$839)*100000000+('Dvd Calendar'!$AB$841=SPECIAL_LBL)*10000000+(N('Dvd Calendar'!$AB$835)&gt;0)*(N('Dvd Calendar'!$AB$835)&lt;=VAL_SERIAL)*1000000+76*1000+24))</f>
        <v/>
      </c>
      <c r="FC87" s="121">
        <f>IF(N('Dvd Calendar'!$AC$836)=0,"",IF(('Dvd Calendar'!$AC$836&gt;=GRID_FROM)*('Dvd Calendar'!$AC$836&lt;=GRID_TO)*((('Dvd Calendar'!$AC$836&lt;=VAL_DATE)+(COUNTIF('Dvd Calendar'!$E$843:$AR$843,'Dvd Calendar'!$AC$836)=0))&gt;0)=0,"",'Dvd Calendar'!$AC$836*1000000000+ISNUMBER('Dvd Calendar'!$AC$839)*100000000+('Dvd Calendar'!$AC$841=SPECIAL_LBL)*10000000+(N('Dvd Calendar'!$AC$835)&gt;0)*(N('Dvd Calendar'!$AC$835)&lt;=VAL_SERIAL)*1000000+76*1000+25))</f>
        <v/>
      </c>
      <c r="FD87" s="121">
        <f>IF(N('Dvd Calendar'!$AD$836)=0,"",IF(('Dvd Calendar'!$AD$836&gt;=GRID_FROM)*('Dvd Calendar'!$AD$836&lt;=GRID_TO)*((('Dvd Calendar'!$AD$836&lt;=VAL_DATE)+(COUNTIF('Dvd Calendar'!$E$843:$AR$843,'Dvd Calendar'!$AD$836)=0))&gt;0)=0,"",'Dvd Calendar'!$AD$836*1000000000+ISNUMBER('Dvd Calendar'!$AD$839)*100000000+('Dvd Calendar'!$AD$841=SPECIAL_LBL)*10000000+(N('Dvd Calendar'!$AD$835)&gt;0)*(N('Dvd Calendar'!$AD$835)&lt;=VAL_SERIAL)*1000000+76*1000+26))</f>
        <v/>
      </c>
      <c r="FE87" s="121">
        <f>IF(N('Dvd Calendar'!$AE$836)=0,"",IF(('Dvd Calendar'!$AE$836&gt;=GRID_FROM)*('Dvd Calendar'!$AE$836&lt;=GRID_TO)*((('Dvd Calendar'!$AE$836&lt;=VAL_DATE)+(COUNTIF('Dvd Calendar'!$E$843:$AR$843,'Dvd Calendar'!$AE$836)=0))&gt;0)=0,"",'Dvd Calendar'!$AE$836*1000000000+ISNUMBER('Dvd Calendar'!$AE$839)*100000000+('Dvd Calendar'!$AE$841=SPECIAL_LBL)*10000000+(N('Dvd Calendar'!$AE$835)&gt;0)*(N('Dvd Calendar'!$AE$835)&lt;=VAL_SERIAL)*1000000+76*1000+27))</f>
        <v/>
      </c>
      <c r="FF87" s="121">
        <f>IF(N('Dvd Calendar'!$AF$836)=0,"",IF(('Dvd Calendar'!$AF$836&gt;=GRID_FROM)*('Dvd Calendar'!$AF$836&lt;=GRID_TO)*((('Dvd Calendar'!$AF$836&lt;=VAL_DATE)+(COUNTIF('Dvd Calendar'!$E$843:$AR$843,'Dvd Calendar'!$AF$836)=0))&gt;0)=0,"",'Dvd Calendar'!$AF$836*1000000000+ISNUMBER('Dvd Calendar'!$AF$839)*100000000+('Dvd Calendar'!$AF$841=SPECIAL_LBL)*10000000+(N('Dvd Calendar'!$AF$835)&gt;0)*(N('Dvd Calendar'!$AF$835)&lt;=VAL_SERIAL)*1000000+76*1000+28))</f>
        <v/>
      </c>
      <c r="FG87" s="121">
        <f>IF(N('Dvd Calendar'!$AG$836)=0,"",IF(('Dvd Calendar'!$AG$836&gt;=GRID_FROM)*('Dvd Calendar'!$AG$836&lt;=GRID_TO)*((('Dvd Calendar'!$AG$836&lt;=VAL_DATE)+(COUNTIF('Dvd Calendar'!$E$843:$AR$843,'Dvd Calendar'!$AG$836)=0))&gt;0)=0,"",'Dvd Calendar'!$AG$836*1000000000+ISNUMBER('Dvd Calendar'!$AG$839)*100000000+('Dvd Calendar'!$AG$841=SPECIAL_LBL)*10000000+(N('Dvd Calendar'!$AG$835)&gt;0)*(N('Dvd Calendar'!$AG$835)&lt;=VAL_SERIAL)*1000000+76*1000+29))</f>
        <v/>
      </c>
      <c r="FH87" s="121">
        <f>IF(N('Dvd Calendar'!$AH$836)=0,"",IF(('Dvd Calendar'!$AH$836&gt;=GRID_FROM)*('Dvd Calendar'!$AH$836&lt;=GRID_TO)*((('Dvd Calendar'!$AH$836&lt;=VAL_DATE)+(COUNTIF('Dvd Calendar'!$E$843:$AR$843,'Dvd Calendar'!$AH$836)=0))&gt;0)=0,"",'Dvd Calendar'!$AH$836*1000000000+ISNUMBER('Dvd Calendar'!$AH$839)*100000000+('Dvd Calendar'!$AH$841=SPECIAL_LBL)*10000000+(N('Dvd Calendar'!$AH$835)&gt;0)*(N('Dvd Calendar'!$AH$835)&lt;=VAL_SERIAL)*1000000+76*1000+30))</f>
        <v/>
      </c>
      <c r="FI87" s="121">
        <f>IF(N('Dvd Calendar'!$AI$836)=0,"",IF(('Dvd Calendar'!$AI$836&gt;=GRID_FROM)*('Dvd Calendar'!$AI$836&lt;=GRID_TO)*((('Dvd Calendar'!$AI$836&lt;=VAL_DATE)+(COUNTIF('Dvd Calendar'!$E$843:$AR$843,'Dvd Calendar'!$AI$836)=0))&gt;0)=0,"",'Dvd Calendar'!$AI$836*1000000000+ISNUMBER('Dvd Calendar'!$AI$839)*100000000+('Dvd Calendar'!$AI$841=SPECIAL_LBL)*10000000+(N('Dvd Calendar'!$AI$835)&gt;0)*(N('Dvd Calendar'!$AI$835)&lt;=VAL_SERIAL)*1000000+76*1000+31))</f>
        <v/>
      </c>
      <c r="FJ87" s="121">
        <f>IF(N('Dvd Calendar'!$AJ$836)=0,"",IF(('Dvd Calendar'!$AJ$836&gt;=GRID_FROM)*('Dvd Calendar'!$AJ$836&lt;=GRID_TO)*((('Dvd Calendar'!$AJ$836&lt;=VAL_DATE)+(COUNTIF('Dvd Calendar'!$E$843:$AR$843,'Dvd Calendar'!$AJ$836)=0))&gt;0)=0,"",'Dvd Calendar'!$AJ$836*1000000000+ISNUMBER('Dvd Calendar'!$AJ$839)*100000000+('Dvd Calendar'!$AJ$841=SPECIAL_LBL)*10000000+(N('Dvd Calendar'!$AJ$835)&gt;0)*(N('Dvd Calendar'!$AJ$835)&lt;=VAL_SERIAL)*1000000+76*1000+32))</f>
        <v/>
      </c>
      <c r="FK87" s="121">
        <f>IF(N('Dvd Calendar'!$AK$836)=0,"",IF(('Dvd Calendar'!$AK$836&gt;=GRID_FROM)*('Dvd Calendar'!$AK$836&lt;=GRID_TO)*((('Dvd Calendar'!$AK$836&lt;=VAL_DATE)+(COUNTIF('Dvd Calendar'!$E$843:$AR$843,'Dvd Calendar'!$AK$836)=0))&gt;0)=0,"",'Dvd Calendar'!$AK$836*1000000000+ISNUMBER('Dvd Calendar'!$AK$839)*100000000+('Dvd Calendar'!$AK$841=SPECIAL_LBL)*10000000+(N('Dvd Calendar'!$AK$835)&gt;0)*(N('Dvd Calendar'!$AK$835)&lt;=VAL_SERIAL)*1000000+76*1000+33))</f>
        <v/>
      </c>
      <c r="FL87" s="121">
        <f>IF(N('Dvd Calendar'!$AL$836)=0,"",IF(('Dvd Calendar'!$AL$836&gt;=GRID_FROM)*('Dvd Calendar'!$AL$836&lt;=GRID_TO)*((('Dvd Calendar'!$AL$836&lt;=VAL_DATE)+(COUNTIF('Dvd Calendar'!$E$843:$AR$843,'Dvd Calendar'!$AL$836)=0))&gt;0)=0,"",'Dvd Calendar'!$AL$836*1000000000+ISNUMBER('Dvd Calendar'!$AL$839)*100000000+('Dvd Calendar'!$AL$841=SPECIAL_LBL)*10000000+(N('Dvd Calendar'!$AL$835)&gt;0)*(N('Dvd Calendar'!$AL$835)&lt;=VAL_SERIAL)*1000000+76*1000+34))</f>
        <v/>
      </c>
      <c r="FM87" s="121">
        <f>IF(N('Dvd Calendar'!$AM$836)=0,"",IF(('Dvd Calendar'!$AM$836&gt;=GRID_FROM)*('Dvd Calendar'!$AM$836&lt;=GRID_TO)*((('Dvd Calendar'!$AM$836&lt;=VAL_DATE)+(COUNTIF('Dvd Calendar'!$E$843:$AR$843,'Dvd Calendar'!$AM$836)=0))&gt;0)=0,"",'Dvd Calendar'!$AM$836*1000000000+ISNUMBER('Dvd Calendar'!$AM$839)*100000000+('Dvd Calendar'!$AM$841=SPECIAL_LBL)*10000000+(N('Dvd Calendar'!$AM$835)&gt;0)*(N('Dvd Calendar'!$AM$835)&lt;=VAL_SERIAL)*1000000+76*1000+35))</f>
        <v/>
      </c>
      <c r="FN87" s="121">
        <f>IF(N('Dvd Calendar'!$AN$836)=0,"",IF(('Dvd Calendar'!$AN$836&gt;=GRID_FROM)*('Dvd Calendar'!$AN$836&lt;=GRID_TO)*((('Dvd Calendar'!$AN$836&lt;=VAL_DATE)+(COUNTIF('Dvd Calendar'!$E$843:$AR$843,'Dvd Calendar'!$AN$836)=0))&gt;0)=0,"",'Dvd Calendar'!$AN$836*1000000000+ISNUMBER('Dvd Calendar'!$AN$839)*100000000+('Dvd Calendar'!$AN$841=SPECIAL_LBL)*10000000+(N('Dvd Calendar'!$AN$835)&gt;0)*(N('Dvd Calendar'!$AN$835)&lt;=VAL_SERIAL)*1000000+76*1000+36))</f>
        <v/>
      </c>
      <c r="FO87" s="121">
        <f>IF(N('Dvd Calendar'!$AO$836)=0,"",IF(('Dvd Calendar'!$AO$836&gt;=GRID_FROM)*('Dvd Calendar'!$AO$836&lt;=GRID_TO)*((('Dvd Calendar'!$AO$836&lt;=VAL_DATE)+(COUNTIF('Dvd Calendar'!$E$843:$AR$843,'Dvd Calendar'!$AO$836)=0))&gt;0)=0,"",'Dvd Calendar'!$AO$836*1000000000+ISNUMBER('Dvd Calendar'!$AO$839)*100000000+('Dvd Calendar'!$AO$841=SPECIAL_LBL)*10000000+(N('Dvd Calendar'!$AO$835)&gt;0)*(N('Dvd Calendar'!$AO$835)&lt;=VAL_SERIAL)*1000000+76*1000+37))</f>
        <v/>
      </c>
      <c r="FP87" s="121">
        <f>IF(N('Dvd Calendar'!$AP$836)=0,"",IF(('Dvd Calendar'!$AP$836&gt;=GRID_FROM)*('Dvd Calendar'!$AP$836&lt;=GRID_TO)*((('Dvd Calendar'!$AP$836&lt;=VAL_DATE)+(COUNTIF('Dvd Calendar'!$E$843:$AR$843,'Dvd Calendar'!$AP$836)=0))&gt;0)=0,"",'Dvd Calendar'!$AP$836*1000000000+ISNUMBER('Dvd Calendar'!$AP$839)*100000000+('Dvd Calendar'!$AP$841=SPECIAL_LBL)*10000000+(N('Dvd Calendar'!$AP$835)&gt;0)*(N('Dvd Calendar'!$AP$835)&lt;=VAL_SERIAL)*1000000+76*1000+38))</f>
        <v/>
      </c>
      <c r="FQ87" s="121">
        <f>IF(N('Dvd Calendar'!$AQ$836)=0,"",IF(('Dvd Calendar'!$AQ$836&gt;=GRID_FROM)*('Dvd Calendar'!$AQ$836&lt;=GRID_TO)*((('Dvd Calendar'!$AQ$836&lt;=VAL_DATE)+(COUNTIF('Dvd Calendar'!$E$843:$AR$843,'Dvd Calendar'!$AQ$836)=0))&gt;0)=0,"",'Dvd Calendar'!$AQ$836*1000000000+ISNUMBER('Dvd Calendar'!$AQ$839)*100000000+('Dvd Calendar'!$AQ$841=SPECIAL_LBL)*10000000+(N('Dvd Calendar'!$AQ$835)&gt;0)*(N('Dvd Calendar'!$AQ$835)&lt;=VAL_SERIAL)*1000000+76*1000+39))</f>
        <v/>
      </c>
      <c r="FR87" s="121">
        <f>IF(N('Dvd Calendar'!$AR$836)=0,"",IF(('Dvd Calendar'!$AR$836&gt;=GRID_FROM)*('Dvd Calendar'!$AR$836&lt;=GRID_TO)*((('Dvd Calendar'!$AR$836&lt;=VAL_DATE)+(COUNTIF('Dvd Calendar'!$E$843:$AR$843,'Dvd Calendar'!$AR$836)=0))&gt;0)=0,"",'Dvd Calendar'!$AR$836*1000000000+ISNUMBER('Dvd Calendar'!$AR$839)*100000000+('Dvd Calendar'!$AR$841=SPECIAL_LBL)*10000000+(N('Dvd Calendar'!$AR$835)&gt;0)*(N('Dvd Calendar'!$AR$835)&lt;=VAL_SERIAL)*1000000+76*1000+40))</f>
        <v/>
      </c>
      <c r="FS87" s="121">
        <f>IF(N('Dvd Calendar'!$E$843)=0,"",IF(('Dvd Calendar'!$E$843&gt;=GRID_FROM)*('Dvd Calendar'!$E$843&lt;=GRID_TO)*('Dvd Calendar'!$E$843&gt;VAL_DATE)=0,"",'Dvd Calendar'!$E$843*1000000000+ISNUMBER('Dvd Calendar'!$E$844)*100000000+0*10000000+(N('Dvd Calendar'!$E$842)&gt;0)*(N('Dvd Calendar'!$E$842)&lt;=VAL_SERIAL)*1000000+76*1000+41))</f>
        <v/>
      </c>
      <c r="FT87" s="121">
        <f>IF(N('Dvd Calendar'!$F$843)=0,"",IF(('Dvd Calendar'!$F$843&gt;=GRID_FROM)*('Dvd Calendar'!$F$843&lt;=GRID_TO)*('Dvd Calendar'!$F$843&gt;VAL_DATE)=0,"",'Dvd Calendar'!$F$843*1000000000+ISNUMBER('Dvd Calendar'!$F$844)*100000000+0*10000000+(N('Dvd Calendar'!$F$842)&gt;0)*(N('Dvd Calendar'!$F$842)&lt;=VAL_SERIAL)*1000000+76*1000+42))</f>
        <v/>
      </c>
      <c r="FU87" s="121">
        <f>IF(N('Dvd Calendar'!$G$843)=0,"",IF(('Dvd Calendar'!$G$843&gt;=GRID_FROM)*('Dvd Calendar'!$G$843&lt;=GRID_TO)*('Dvd Calendar'!$G$843&gt;VAL_DATE)=0,"",'Dvd Calendar'!$G$843*1000000000+ISNUMBER('Dvd Calendar'!$G$844)*100000000+0*10000000+(N('Dvd Calendar'!$G$842)&gt;0)*(N('Dvd Calendar'!$G$842)&lt;=VAL_SERIAL)*1000000+76*1000+43))</f>
        <v/>
      </c>
      <c r="FV87" s="121">
        <f>IF(N('Dvd Calendar'!$H$843)=0,"",IF(('Dvd Calendar'!$H$843&gt;=GRID_FROM)*('Dvd Calendar'!$H$843&lt;=GRID_TO)*('Dvd Calendar'!$H$843&gt;VAL_DATE)=0,"",'Dvd Calendar'!$H$843*1000000000+ISNUMBER('Dvd Calendar'!$H$844)*100000000+0*10000000+(N('Dvd Calendar'!$H$842)&gt;0)*(N('Dvd Calendar'!$H$842)&lt;=VAL_SERIAL)*1000000+76*1000+44))</f>
        <v/>
      </c>
      <c r="FW87" s="121">
        <f>IF(N('Dvd Calendar'!$I$843)=0,"",IF(('Dvd Calendar'!$I$843&gt;=GRID_FROM)*('Dvd Calendar'!$I$843&lt;=GRID_TO)*('Dvd Calendar'!$I$843&gt;VAL_DATE)=0,"",'Dvd Calendar'!$I$843*1000000000+ISNUMBER('Dvd Calendar'!$I$844)*100000000+0*10000000+(N('Dvd Calendar'!$I$842)&gt;0)*(N('Dvd Calendar'!$I$842)&lt;=VAL_SERIAL)*1000000+76*1000+45))</f>
        <v/>
      </c>
      <c r="FX87" s="121">
        <f>IF(N('Dvd Calendar'!$J$843)=0,"",IF(('Dvd Calendar'!$J$843&gt;=GRID_FROM)*('Dvd Calendar'!$J$843&lt;=GRID_TO)*('Dvd Calendar'!$J$843&gt;VAL_DATE)=0,"",'Dvd Calendar'!$J$843*1000000000+ISNUMBER('Dvd Calendar'!$J$844)*100000000+0*10000000+(N('Dvd Calendar'!$J$842)&gt;0)*(N('Dvd Calendar'!$J$842)&lt;=VAL_SERIAL)*1000000+76*1000+46))</f>
        <v/>
      </c>
      <c r="FY87" s="121">
        <f>IF(N('Dvd Calendar'!$K$843)=0,"",IF(('Dvd Calendar'!$K$843&gt;=GRID_FROM)*('Dvd Calendar'!$K$843&lt;=GRID_TO)*('Dvd Calendar'!$K$843&gt;VAL_DATE)=0,"",'Dvd Calendar'!$K$843*1000000000+ISNUMBER('Dvd Calendar'!$K$844)*100000000+0*10000000+(N('Dvd Calendar'!$K$842)&gt;0)*(N('Dvd Calendar'!$K$842)&lt;=VAL_SERIAL)*1000000+76*1000+47))</f>
        <v/>
      </c>
      <c r="FZ87" s="121">
        <f>IF(N('Dvd Calendar'!$L$843)=0,"",IF(('Dvd Calendar'!$L$843&gt;=GRID_FROM)*('Dvd Calendar'!$L$843&lt;=GRID_TO)*('Dvd Calendar'!$L$843&gt;VAL_DATE)=0,"",'Dvd Calendar'!$L$843*1000000000+ISNUMBER('Dvd Calendar'!$L$844)*100000000+0*10000000+(N('Dvd Calendar'!$L$842)&gt;0)*(N('Dvd Calendar'!$L$842)&lt;=VAL_SERIAL)*1000000+76*1000+48))</f>
        <v/>
      </c>
      <c r="GA87" s="121">
        <f>IF(N('Dvd Calendar'!$M$843)=0,"",IF(('Dvd Calendar'!$M$843&gt;=GRID_FROM)*('Dvd Calendar'!$M$843&lt;=GRID_TO)*('Dvd Calendar'!$M$843&gt;VAL_DATE)=0,"",'Dvd Calendar'!$M$843*1000000000+ISNUMBER('Dvd Calendar'!$M$844)*100000000+0*10000000+(N('Dvd Calendar'!$M$842)&gt;0)*(N('Dvd Calendar'!$M$842)&lt;=VAL_SERIAL)*1000000+76*1000+49))</f>
        <v/>
      </c>
      <c r="GB87" s="121">
        <f>IF(N('Dvd Calendar'!$N$843)=0,"",IF(('Dvd Calendar'!$N$843&gt;=GRID_FROM)*('Dvd Calendar'!$N$843&lt;=GRID_TO)*('Dvd Calendar'!$N$843&gt;VAL_DATE)=0,"",'Dvd Calendar'!$N$843*1000000000+ISNUMBER('Dvd Calendar'!$N$844)*100000000+0*10000000+(N('Dvd Calendar'!$N$842)&gt;0)*(N('Dvd Calendar'!$N$842)&lt;=VAL_SERIAL)*1000000+76*1000+50))</f>
        <v/>
      </c>
      <c r="GC87" s="121">
        <f>IF(N('Dvd Calendar'!$O$843)=0,"",IF(('Dvd Calendar'!$O$843&gt;=GRID_FROM)*('Dvd Calendar'!$O$843&lt;=GRID_TO)*('Dvd Calendar'!$O$843&gt;VAL_DATE)=0,"",'Dvd Calendar'!$O$843*1000000000+ISNUMBER('Dvd Calendar'!$O$844)*100000000+0*10000000+(N('Dvd Calendar'!$O$842)&gt;0)*(N('Dvd Calendar'!$O$842)&lt;=VAL_SERIAL)*1000000+76*1000+51))</f>
        <v/>
      </c>
      <c r="GD87" s="121">
        <f>IF(N('Dvd Calendar'!$P$843)=0,"",IF(('Dvd Calendar'!$P$843&gt;=GRID_FROM)*('Dvd Calendar'!$P$843&lt;=GRID_TO)*('Dvd Calendar'!$P$843&gt;VAL_DATE)=0,"",'Dvd Calendar'!$P$843*1000000000+ISNUMBER('Dvd Calendar'!$P$844)*100000000+0*10000000+(N('Dvd Calendar'!$P$842)&gt;0)*(N('Dvd Calendar'!$P$842)&lt;=VAL_SERIAL)*1000000+76*1000+52))</f>
        <v/>
      </c>
      <c r="GE87" s="121">
        <f>IF(N('Dvd Calendar'!$Q$843)=0,"",IF(('Dvd Calendar'!$Q$843&gt;=GRID_FROM)*('Dvd Calendar'!$Q$843&lt;=GRID_TO)*('Dvd Calendar'!$Q$843&gt;VAL_DATE)=0,"",'Dvd Calendar'!$Q$843*1000000000+ISNUMBER('Dvd Calendar'!$Q$844)*100000000+0*10000000+(N('Dvd Calendar'!$Q$842)&gt;0)*(N('Dvd Calendar'!$Q$842)&lt;=VAL_SERIAL)*1000000+76*1000+53))</f>
        <v/>
      </c>
      <c r="GF87" s="121">
        <f>IF(N('Dvd Calendar'!$R$843)=0,"",IF(('Dvd Calendar'!$R$843&gt;=GRID_FROM)*('Dvd Calendar'!$R$843&lt;=GRID_TO)*('Dvd Calendar'!$R$843&gt;VAL_DATE)=0,"",'Dvd Calendar'!$R$843*1000000000+ISNUMBER('Dvd Calendar'!$R$844)*100000000+0*10000000+(N('Dvd Calendar'!$R$842)&gt;0)*(N('Dvd Calendar'!$R$842)&lt;=VAL_SERIAL)*1000000+76*1000+54))</f>
        <v/>
      </c>
      <c r="GG87" s="121">
        <f>IF(N('Dvd Calendar'!$S$843)=0,"",IF(('Dvd Calendar'!$S$843&gt;=GRID_FROM)*('Dvd Calendar'!$S$843&lt;=GRID_TO)*('Dvd Calendar'!$S$843&gt;VAL_DATE)=0,"",'Dvd Calendar'!$S$843*1000000000+ISNUMBER('Dvd Calendar'!$S$844)*100000000+0*10000000+(N('Dvd Calendar'!$S$842)&gt;0)*(N('Dvd Calendar'!$S$842)&lt;=VAL_SERIAL)*1000000+76*1000+55))</f>
        <v/>
      </c>
      <c r="GH87" s="121">
        <f>IF(N('Dvd Calendar'!$T$843)=0,"",IF(('Dvd Calendar'!$T$843&gt;=GRID_FROM)*('Dvd Calendar'!$T$843&lt;=GRID_TO)*('Dvd Calendar'!$T$843&gt;VAL_DATE)=0,"",'Dvd Calendar'!$T$843*1000000000+ISNUMBER('Dvd Calendar'!$T$844)*100000000+0*10000000+(N('Dvd Calendar'!$T$842)&gt;0)*(N('Dvd Calendar'!$T$842)&lt;=VAL_SERIAL)*1000000+76*1000+56))</f>
        <v/>
      </c>
      <c r="GI87" s="121">
        <f>IF(N('Dvd Calendar'!$U$843)=0,"",IF(('Dvd Calendar'!$U$843&gt;=GRID_FROM)*('Dvd Calendar'!$U$843&lt;=GRID_TO)*('Dvd Calendar'!$U$843&gt;VAL_DATE)=0,"",'Dvd Calendar'!$U$843*1000000000+ISNUMBER('Dvd Calendar'!$U$844)*100000000+0*10000000+(N('Dvd Calendar'!$U$842)&gt;0)*(N('Dvd Calendar'!$U$842)&lt;=VAL_SERIAL)*1000000+76*1000+57))</f>
        <v/>
      </c>
      <c r="GJ87" s="121">
        <f>IF(N('Dvd Calendar'!$V$843)=0,"",IF(('Dvd Calendar'!$V$843&gt;=GRID_FROM)*('Dvd Calendar'!$V$843&lt;=GRID_TO)*('Dvd Calendar'!$V$843&gt;VAL_DATE)=0,"",'Dvd Calendar'!$V$843*1000000000+ISNUMBER('Dvd Calendar'!$V$844)*100000000+0*10000000+(N('Dvd Calendar'!$V$842)&gt;0)*(N('Dvd Calendar'!$V$842)&lt;=VAL_SERIAL)*1000000+76*1000+58))</f>
        <v/>
      </c>
      <c r="GK87" s="121">
        <f>IF(N('Dvd Calendar'!$W$843)=0,"",IF(('Dvd Calendar'!$W$843&gt;=GRID_FROM)*('Dvd Calendar'!$W$843&lt;=GRID_TO)*('Dvd Calendar'!$W$843&gt;VAL_DATE)=0,"",'Dvd Calendar'!$W$843*1000000000+ISNUMBER('Dvd Calendar'!$W$844)*100000000+0*10000000+(N('Dvd Calendar'!$W$842)&gt;0)*(N('Dvd Calendar'!$W$842)&lt;=VAL_SERIAL)*1000000+76*1000+59))</f>
        <v/>
      </c>
      <c r="GL87" s="121">
        <f>IF(N('Dvd Calendar'!$X$843)=0,"",IF(('Dvd Calendar'!$X$843&gt;=GRID_FROM)*('Dvd Calendar'!$X$843&lt;=GRID_TO)*('Dvd Calendar'!$X$843&gt;VAL_DATE)=0,"",'Dvd Calendar'!$X$843*1000000000+ISNUMBER('Dvd Calendar'!$X$844)*100000000+0*10000000+(N('Dvd Calendar'!$X$842)&gt;0)*(N('Dvd Calendar'!$X$842)&lt;=VAL_SERIAL)*1000000+76*1000+60))</f>
        <v/>
      </c>
      <c r="GM87" s="121">
        <f>IF(N('Dvd Calendar'!$Y$843)=0,"",IF(('Dvd Calendar'!$Y$843&gt;=GRID_FROM)*('Dvd Calendar'!$Y$843&lt;=GRID_TO)*('Dvd Calendar'!$Y$843&gt;VAL_DATE)=0,"",'Dvd Calendar'!$Y$843*1000000000+ISNUMBER('Dvd Calendar'!$Y$844)*100000000+0*10000000+(N('Dvd Calendar'!$Y$842)&gt;0)*(N('Dvd Calendar'!$Y$842)&lt;=VAL_SERIAL)*1000000+76*1000+61))</f>
        <v/>
      </c>
      <c r="GN87" s="121">
        <f>IF(N('Dvd Calendar'!$Z$843)=0,"",IF(('Dvd Calendar'!$Z$843&gt;=GRID_FROM)*('Dvd Calendar'!$Z$843&lt;=GRID_TO)*('Dvd Calendar'!$Z$843&gt;VAL_DATE)=0,"",'Dvd Calendar'!$Z$843*1000000000+ISNUMBER('Dvd Calendar'!$Z$844)*100000000+0*10000000+(N('Dvd Calendar'!$Z$842)&gt;0)*(N('Dvd Calendar'!$Z$842)&lt;=VAL_SERIAL)*1000000+76*1000+62))</f>
        <v/>
      </c>
      <c r="GO87" s="121">
        <f>IF(N('Dvd Calendar'!$AA$843)=0,"",IF(('Dvd Calendar'!$AA$843&gt;=GRID_FROM)*('Dvd Calendar'!$AA$843&lt;=GRID_TO)*('Dvd Calendar'!$AA$843&gt;VAL_DATE)=0,"",'Dvd Calendar'!$AA$843*1000000000+ISNUMBER('Dvd Calendar'!$AA$844)*100000000+0*10000000+(N('Dvd Calendar'!$AA$842)&gt;0)*(N('Dvd Calendar'!$AA$842)&lt;=VAL_SERIAL)*1000000+76*1000+63))</f>
        <v/>
      </c>
      <c r="GP87" s="121">
        <f>IF(N('Dvd Calendar'!$AB$843)=0,"",IF(('Dvd Calendar'!$AB$843&gt;=GRID_FROM)*('Dvd Calendar'!$AB$843&lt;=GRID_TO)*('Dvd Calendar'!$AB$843&gt;VAL_DATE)=0,"",'Dvd Calendar'!$AB$843*1000000000+ISNUMBER('Dvd Calendar'!$AB$844)*100000000+0*10000000+(N('Dvd Calendar'!$AB$842)&gt;0)*(N('Dvd Calendar'!$AB$842)&lt;=VAL_SERIAL)*1000000+76*1000+64))</f>
        <v/>
      </c>
      <c r="GQ87" s="121">
        <f>IF(N('Dvd Calendar'!$AC$843)=0,"",IF(('Dvd Calendar'!$AC$843&gt;=GRID_FROM)*('Dvd Calendar'!$AC$843&lt;=GRID_TO)*('Dvd Calendar'!$AC$843&gt;VAL_DATE)=0,"",'Dvd Calendar'!$AC$843*1000000000+ISNUMBER('Dvd Calendar'!$AC$844)*100000000+0*10000000+(N('Dvd Calendar'!$AC$842)&gt;0)*(N('Dvd Calendar'!$AC$842)&lt;=VAL_SERIAL)*1000000+76*1000+65))</f>
        <v/>
      </c>
    </row>
    <row r="88">
      <c r="B88" s="2">
        <f>IF(HSI!$C$83="","",HSI!$C$83)</f>
        <v/>
      </c>
      <c r="C88" s="161">
        <f>IF(EE88="","",IF(ISNUMBER('Dvd Calendar'!$E$850)=FALSE,"",IF((('Dvd Calendar'!$E$852=TYPE1)*(TYPE1&lt;&gt;"")+('Dvd Calendar'!$E$852=TYPE2)*(TYPE2&lt;&gt;"")+('Dvd Calendar'!$E$852=TYPE3)*(TYPE3&lt;&gt;"")+('Dvd Calendar'!$E$852=TYPE4)*(TYPE4&lt;&gt;"")+('Dvd Calendar'!$E$852=SPECIAL_LBL)*(INC_SPECIALS="Y"))=0,"",'Dvd Calendar'!$E$850)))</f>
        <v/>
      </c>
      <c r="D88" s="161">
        <f>IF(EF88="","",IF(ISNUMBER('Dvd Calendar'!$F$850)=FALSE,"",IF((('Dvd Calendar'!$F$852=TYPE1)*(TYPE1&lt;&gt;"")+('Dvd Calendar'!$F$852=TYPE2)*(TYPE2&lt;&gt;"")+('Dvd Calendar'!$F$852=TYPE3)*(TYPE3&lt;&gt;"")+('Dvd Calendar'!$F$852=TYPE4)*(TYPE4&lt;&gt;"")+('Dvd Calendar'!$F$852=SPECIAL_LBL)*(INC_SPECIALS="Y"))=0,"",'Dvd Calendar'!$F$850)))</f>
        <v/>
      </c>
      <c r="E88" s="161">
        <f>IF(EG88="","",IF(ISNUMBER('Dvd Calendar'!$G$850)=FALSE,"",IF((('Dvd Calendar'!$G$852=TYPE1)*(TYPE1&lt;&gt;"")+('Dvd Calendar'!$G$852=TYPE2)*(TYPE2&lt;&gt;"")+('Dvd Calendar'!$G$852=TYPE3)*(TYPE3&lt;&gt;"")+('Dvd Calendar'!$G$852=TYPE4)*(TYPE4&lt;&gt;"")+('Dvd Calendar'!$G$852=SPECIAL_LBL)*(INC_SPECIALS="Y"))=0,"",'Dvd Calendar'!$G$850)))</f>
        <v/>
      </c>
      <c r="F88" s="161">
        <f>IF(EH88="","",IF(ISNUMBER('Dvd Calendar'!$H$850)=FALSE,"",IF((('Dvd Calendar'!$H$852=TYPE1)*(TYPE1&lt;&gt;"")+('Dvd Calendar'!$H$852=TYPE2)*(TYPE2&lt;&gt;"")+('Dvd Calendar'!$H$852=TYPE3)*(TYPE3&lt;&gt;"")+('Dvd Calendar'!$H$852=TYPE4)*(TYPE4&lt;&gt;"")+('Dvd Calendar'!$H$852=SPECIAL_LBL)*(INC_SPECIALS="Y"))=0,"",'Dvd Calendar'!$H$850)))</f>
        <v/>
      </c>
      <c r="G88" s="161">
        <f>IF(EI88="","",IF(ISNUMBER('Dvd Calendar'!$I$850)=FALSE,"",IF((('Dvd Calendar'!$I$852=TYPE1)*(TYPE1&lt;&gt;"")+('Dvd Calendar'!$I$852=TYPE2)*(TYPE2&lt;&gt;"")+('Dvd Calendar'!$I$852=TYPE3)*(TYPE3&lt;&gt;"")+('Dvd Calendar'!$I$852=TYPE4)*(TYPE4&lt;&gt;"")+('Dvd Calendar'!$I$852=SPECIAL_LBL)*(INC_SPECIALS="Y"))=0,"",'Dvd Calendar'!$I$850)))</f>
        <v/>
      </c>
      <c r="H88" s="161">
        <f>IF(EJ88="","",IF(ISNUMBER('Dvd Calendar'!$J$850)=FALSE,"",IF((('Dvd Calendar'!$J$852=TYPE1)*(TYPE1&lt;&gt;"")+('Dvd Calendar'!$J$852=TYPE2)*(TYPE2&lt;&gt;"")+('Dvd Calendar'!$J$852=TYPE3)*(TYPE3&lt;&gt;"")+('Dvd Calendar'!$J$852=TYPE4)*(TYPE4&lt;&gt;"")+('Dvd Calendar'!$J$852=SPECIAL_LBL)*(INC_SPECIALS="Y"))=0,"",'Dvd Calendar'!$J$850)))</f>
        <v/>
      </c>
      <c r="I88" s="161">
        <f>IF(EK88="","",IF(ISNUMBER('Dvd Calendar'!$K$850)=FALSE,"",IF((('Dvd Calendar'!$K$852=TYPE1)*(TYPE1&lt;&gt;"")+('Dvd Calendar'!$K$852=TYPE2)*(TYPE2&lt;&gt;"")+('Dvd Calendar'!$K$852=TYPE3)*(TYPE3&lt;&gt;"")+('Dvd Calendar'!$K$852=TYPE4)*(TYPE4&lt;&gt;"")+('Dvd Calendar'!$K$852=SPECIAL_LBL)*(INC_SPECIALS="Y"))=0,"",'Dvd Calendar'!$K$850)))</f>
        <v/>
      </c>
      <c r="J88" s="161">
        <f>IF(EL88="","",IF(ISNUMBER('Dvd Calendar'!$L$850)=FALSE,"",IF((('Dvd Calendar'!$L$852=TYPE1)*(TYPE1&lt;&gt;"")+('Dvd Calendar'!$L$852=TYPE2)*(TYPE2&lt;&gt;"")+('Dvd Calendar'!$L$852=TYPE3)*(TYPE3&lt;&gt;"")+('Dvd Calendar'!$L$852=TYPE4)*(TYPE4&lt;&gt;"")+('Dvd Calendar'!$L$852=SPECIAL_LBL)*(INC_SPECIALS="Y"))=0,"",'Dvd Calendar'!$L$850)))</f>
        <v/>
      </c>
      <c r="K88" s="161">
        <f>IF(EM88="","",IF(ISNUMBER('Dvd Calendar'!$M$850)=FALSE,"",IF((('Dvd Calendar'!$M$852=TYPE1)*(TYPE1&lt;&gt;"")+('Dvd Calendar'!$M$852=TYPE2)*(TYPE2&lt;&gt;"")+('Dvd Calendar'!$M$852=TYPE3)*(TYPE3&lt;&gt;"")+('Dvd Calendar'!$M$852=TYPE4)*(TYPE4&lt;&gt;"")+('Dvd Calendar'!$M$852=SPECIAL_LBL)*(INC_SPECIALS="Y"))=0,"",'Dvd Calendar'!$M$850)))</f>
        <v/>
      </c>
      <c r="L88" s="161">
        <f>IF(EN88="","",IF(ISNUMBER('Dvd Calendar'!$N$850)=FALSE,"",IF((('Dvd Calendar'!$N$852=TYPE1)*(TYPE1&lt;&gt;"")+('Dvd Calendar'!$N$852=TYPE2)*(TYPE2&lt;&gt;"")+('Dvd Calendar'!$N$852=TYPE3)*(TYPE3&lt;&gt;"")+('Dvd Calendar'!$N$852=TYPE4)*(TYPE4&lt;&gt;"")+('Dvd Calendar'!$N$852=SPECIAL_LBL)*(INC_SPECIALS="Y"))=0,"",'Dvd Calendar'!$N$850)))</f>
        <v/>
      </c>
      <c r="M88" s="161">
        <f>IF(EO88="","",IF(ISNUMBER('Dvd Calendar'!$O$850)=FALSE,"",IF((('Dvd Calendar'!$O$852=TYPE1)*(TYPE1&lt;&gt;"")+('Dvd Calendar'!$O$852=TYPE2)*(TYPE2&lt;&gt;"")+('Dvd Calendar'!$O$852=TYPE3)*(TYPE3&lt;&gt;"")+('Dvd Calendar'!$O$852=TYPE4)*(TYPE4&lt;&gt;"")+('Dvd Calendar'!$O$852=SPECIAL_LBL)*(INC_SPECIALS="Y"))=0,"",'Dvd Calendar'!$O$850)))</f>
        <v/>
      </c>
      <c r="N88" s="161">
        <f>IF(EP88="","",IF(ISNUMBER('Dvd Calendar'!$P$850)=FALSE,"",IF((('Dvd Calendar'!$P$852=TYPE1)*(TYPE1&lt;&gt;"")+('Dvd Calendar'!$P$852=TYPE2)*(TYPE2&lt;&gt;"")+('Dvd Calendar'!$P$852=TYPE3)*(TYPE3&lt;&gt;"")+('Dvd Calendar'!$P$852=TYPE4)*(TYPE4&lt;&gt;"")+('Dvd Calendar'!$P$852=SPECIAL_LBL)*(INC_SPECIALS="Y"))=0,"",'Dvd Calendar'!$P$850)))</f>
        <v/>
      </c>
      <c r="O88" s="161">
        <f>IF(EQ88="","",IF(ISNUMBER('Dvd Calendar'!$Q$850)=FALSE,"",IF((('Dvd Calendar'!$Q$852=TYPE1)*(TYPE1&lt;&gt;"")+('Dvd Calendar'!$Q$852=TYPE2)*(TYPE2&lt;&gt;"")+('Dvd Calendar'!$Q$852=TYPE3)*(TYPE3&lt;&gt;"")+('Dvd Calendar'!$Q$852=TYPE4)*(TYPE4&lt;&gt;"")+('Dvd Calendar'!$Q$852=SPECIAL_LBL)*(INC_SPECIALS="Y"))=0,"",'Dvd Calendar'!$Q$850)))</f>
        <v/>
      </c>
      <c r="P88" s="161">
        <f>IF(ER88="","",IF(ISNUMBER('Dvd Calendar'!$R$850)=FALSE,"",IF((('Dvd Calendar'!$R$852=TYPE1)*(TYPE1&lt;&gt;"")+('Dvd Calendar'!$R$852=TYPE2)*(TYPE2&lt;&gt;"")+('Dvd Calendar'!$R$852=TYPE3)*(TYPE3&lt;&gt;"")+('Dvd Calendar'!$R$852=TYPE4)*(TYPE4&lt;&gt;"")+('Dvd Calendar'!$R$852=SPECIAL_LBL)*(INC_SPECIALS="Y"))=0,"",'Dvd Calendar'!$R$850)))</f>
        <v/>
      </c>
      <c r="Q88" s="161">
        <f>IF(ES88="","",IF(ISNUMBER('Dvd Calendar'!$S$850)=FALSE,"",IF((('Dvd Calendar'!$S$852=TYPE1)*(TYPE1&lt;&gt;"")+('Dvd Calendar'!$S$852=TYPE2)*(TYPE2&lt;&gt;"")+('Dvd Calendar'!$S$852=TYPE3)*(TYPE3&lt;&gt;"")+('Dvd Calendar'!$S$852=TYPE4)*(TYPE4&lt;&gt;"")+('Dvd Calendar'!$S$852=SPECIAL_LBL)*(INC_SPECIALS="Y"))=0,"",'Dvd Calendar'!$S$850)))</f>
        <v/>
      </c>
      <c r="R88" s="161">
        <f>IF(ET88="","",IF(ISNUMBER('Dvd Calendar'!$T$850)=FALSE,"",IF((('Dvd Calendar'!$T$852=TYPE1)*(TYPE1&lt;&gt;"")+('Dvd Calendar'!$T$852=TYPE2)*(TYPE2&lt;&gt;"")+('Dvd Calendar'!$T$852=TYPE3)*(TYPE3&lt;&gt;"")+('Dvd Calendar'!$T$852=TYPE4)*(TYPE4&lt;&gt;"")+('Dvd Calendar'!$T$852=SPECIAL_LBL)*(INC_SPECIALS="Y"))=0,"",'Dvd Calendar'!$T$850)))</f>
        <v/>
      </c>
      <c r="S88" s="161">
        <f>IF(EU88="","",IF(ISNUMBER('Dvd Calendar'!$U$850)=FALSE,"",IF((('Dvd Calendar'!$U$852=TYPE1)*(TYPE1&lt;&gt;"")+('Dvd Calendar'!$U$852=TYPE2)*(TYPE2&lt;&gt;"")+('Dvd Calendar'!$U$852=TYPE3)*(TYPE3&lt;&gt;"")+('Dvd Calendar'!$U$852=TYPE4)*(TYPE4&lt;&gt;"")+('Dvd Calendar'!$U$852=SPECIAL_LBL)*(INC_SPECIALS="Y"))=0,"",'Dvd Calendar'!$U$850)))</f>
        <v/>
      </c>
      <c r="T88" s="161">
        <f>IF(EV88="","",IF(ISNUMBER('Dvd Calendar'!$V$850)=FALSE,"",IF((('Dvd Calendar'!$V$852=TYPE1)*(TYPE1&lt;&gt;"")+('Dvd Calendar'!$V$852=TYPE2)*(TYPE2&lt;&gt;"")+('Dvd Calendar'!$V$852=TYPE3)*(TYPE3&lt;&gt;"")+('Dvd Calendar'!$V$852=TYPE4)*(TYPE4&lt;&gt;"")+('Dvd Calendar'!$V$852=SPECIAL_LBL)*(INC_SPECIALS="Y"))=0,"",'Dvd Calendar'!$V$850)))</f>
        <v/>
      </c>
      <c r="U88" s="161">
        <f>IF(EW88="","",IF(ISNUMBER('Dvd Calendar'!$W$850)=FALSE,"",IF((('Dvd Calendar'!$W$852=TYPE1)*(TYPE1&lt;&gt;"")+('Dvd Calendar'!$W$852=TYPE2)*(TYPE2&lt;&gt;"")+('Dvd Calendar'!$W$852=TYPE3)*(TYPE3&lt;&gt;"")+('Dvd Calendar'!$W$852=TYPE4)*(TYPE4&lt;&gt;"")+('Dvd Calendar'!$W$852=SPECIAL_LBL)*(INC_SPECIALS="Y"))=0,"",'Dvd Calendar'!$W$850)))</f>
        <v/>
      </c>
      <c r="V88" s="161">
        <f>IF(EX88="","",IF(ISNUMBER('Dvd Calendar'!$X$850)=FALSE,"",IF((('Dvd Calendar'!$X$852=TYPE1)*(TYPE1&lt;&gt;"")+('Dvd Calendar'!$X$852=TYPE2)*(TYPE2&lt;&gt;"")+('Dvd Calendar'!$X$852=TYPE3)*(TYPE3&lt;&gt;"")+('Dvd Calendar'!$X$852=TYPE4)*(TYPE4&lt;&gt;"")+('Dvd Calendar'!$X$852=SPECIAL_LBL)*(INC_SPECIALS="Y"))=0,"",'Dvd Calendar'!$X$850)))</f>
        <v/>
      </c>
      <c r="W88" s="161">
        <f>IF(EY88="","",IF(ISNUMBER('Dvd Calendar'!$Y$850)=FALSE,"",IF((('Dvd Calendar'!$Y$852=TYPE1)*(TYPE1&lt;&gt;"")+('Dvd Calendar'!$Y$852=TYPE2)*(TYPE2&lt;&gt;"")+('Dvd Calendar'!$Y$852=TYPE3)*(TYPE3&lt;&gt;"")+('Dvd Calendar'!$Y$852=TYPE4)*(TYPE4&lt;&gt;"")+('Dvd Calendar'!$Y$852=SPECIAL_LBL)*(INC_SPECIALS="Y"))=0,"",'Dvd Calendar'!$Y$850)))</f>
        <v/>
      </c>
      <c r="X88" s="161">
        <f>IF(EZ88="","",IF(ISNUMBER('Dvd Calendar'!$Z$850)=FALSE,"",IF((('Dvd Calendar'!$Z$852=TYPE1)*(TYPE1&lt;&gt;"")+('Dvd Calendar'!$Z$852=TYPE2)*(TYPE2&lt;&gt;"")+('Dvd Calendar'!$Z$852=TYPE3)*(TYPE3&lt;&gt;"")+('Dvd Calendar'!$Z$852=TYPE4)*(TYPE4&lt;&gt;"")+('Dvd Calendar'!$Z$852=SPECIAL_LBL)*(INC_SPECIALS="Y"))=0,"",'Dvd Calendar'!$Z$850)))</f>
        <v/>
      </c>
      <c r="Y88" s="161">
        <f>IF(FA88="","",IF(ISNUMBER('Dvd Calendar'!$AA$850)=FALSE,"",IF((('Dvd Calendar'!$AA$852=TYPE1)*(TYPE1&lt;&gt;"")+('Dvd Calendar'!$AA$852=TYPE2)*(TYPE2&lt;&gt;"")+('Dvd Calendar'!$AA$852=TYPE3)*(TYPE3&lt;&gt;"")+('Dvd Calendar'!$AA$852=TYPE4)*(TYPE4&lt;&gt;"")+('Dvd Calendar'!$AA$852=SPECIAL_LBL)*(INC_SPECIALS="Y"))=0,"",'Dvd Calendar'!$AA$850)))</f>
        <v/>
      </c>
      <c r="Z88" s="161">
        <f>IF(FB88="","",IF(ISNUMBER('Dvd Calendar'!$AB$850)=FALSE,"",IF((('Dvd Calendar'!$AB$852=TYPE1)*(TYPE1&lt;&gt;"")+('Dvd Calendar'!$AB$852=TYPE2)*(TYPE2&lt;&gt;"")+('Dvd Calendar'!$AB$852=TYPE3)*(TYPE3&lt;&gt;"")+('Dvd Calendar'!$AB$852=TYPE4)*(TYPE4&lt;&gt;"")+('Dvd Calendar'!$AB$852=SPECIAL_LBL)*(INC_SPECIALS="Y"))=0,"",'Dvd Calendar'!$AB$850)))</f>
        <v/>
      </c>
      <c r="AA88" s="161">
        <f>IF(FC88="","",IF(ISNUMBER('Dvd Calendar'!$AC$850)=FALSE,"",IF((('Dvd Calendar'!$AC$852=TYPE1)*(TYPE1&lt;&gt;"")+('Dvd Calendar'!$AC$852=TYPE2)*(TYPE2&lt;&gt;"")+('Dvd Calendar'!$AC$852=TYPE3)*(TYPE3&lt;&gt;"")+('Dvd Calendar'!$AC$852=TYPE4)*(TYPE4&lt;&gt;"")+('Dvd Calendar'!$AC$852=SPECIAL_LBL)*(INC_SPECIALS="Y"))=0,"",'Dvd Calendar'!$AC$850)))</f>
        <v/>
      </c>
      <c r="AB88" s="161">
        <f>IF(FD88="","",IF(ISNUMBER('Dvd Calendar'!$AD$850)=FALSE,"",IF((('Dvd Calendar'!$AD$852=TYPE1)*(TYPE1&lt;&gt;"")+('Dvd Calendar'!$AD$852=TYPE2)*(TYPE2&lt;&gt;"")+('Dvd Calendar'!$AD$852=TYPE3)*(TYPE3&lt;&gt;"")+('Dvd Calendar'!$AD$852=TYPE4)*(TYPE4&lt;&gt;"")+('Dvd Calendar'!$AD$852=SPECIAL_LBL)*(INC_SPECIALS="Y"))=0,"",'Dvd Calendar'!$AD$850)))</f>
        <v/>
      </c>
      <c r="AC88" s="161">
        <f>IF(FE88="","",IF(ISNUMBER('Dvd Calendar'!$AE$850)=FALSE,"",IF((('Dvd Calendar'!$AE$852=TYPE1)*(TYPE1&lt;&gt;"")+('Dvd Calendar'!$AE$852=TYPE2)*(TYPE2&lt;&gt;"")+('Dvd Calendar'!$AE$852=TYPE3)*(TYPE3&lt;&gt;"")+('Dvd Calendar'!$AE$852=TYPE4)*(TYPE4&lt;&gt;"")+('Dvd Calendar'!$AE$852=SPECIAL_LBL)*(INC_SPECIALS="Y"))=0,"",'Dvd Calendar'!$AE$850)))</f>
        <v/>
      </c>
      <c r="AD88" s="161">
        <f>IF(FF88="","",IF(ISNUMBER('Dvd Calendar'!$AF$850)=FALSE,"",IF((('Dvd Calendar'!$AF$852=TYPE1)*(TYPE1&lt;&gt;"")+('Dvd Calendar'!$AF$852=TYPE2)*(TYPE2&lt;&gt;"")+('Dvd Calendar'!$AF$852=TYPE3)*(TYPE3&lt;&gt;"")+('Dvd Calendar'!$AF$852=TYPE4)*(TYPE4&lt;&gt;"")+('Dvd Calendar'!$AF$852=SPECIAL_LBL)*(INC_SPECIALS="Y"))=0,"",'Dvd Calendar'!$AF$850)))</f>
        <v/>
      </c>
      <c r="AE88" s="161">
        <f>IF(FG88="","",IF(ISNUMBER('Dvd Calendar'!$AG$850)=FALSE,"",IF((('Dvd Calendar'!$AG$852=TYPE1)*(TYPE1&lt;&gt;"")+('Dvd Calendar'!$AG$852=TYPE2)*(TYPE2&lt;&gt;"")+('Dvd Calendar'!$AG$852=TYPE3)*(TYPE3&lt;&gt;"")+('Dvd Calendar'!$AG$852=TYPE4)*(TYPE4&lt;&gt;"")+('Dvd Calendar'!$AG$852=SPECIAL_LBL)*(INC_SPECIALS="Y"))=0,"",'Dvd Calendar'!$AG$850)))</f>
        <v/>
      </c>
      <c r="AF88" s="161">
        <f>IF(FH88="","",IF(ISNUMBER('Dvd Calendar'!$AH$850)=FALSE,"",IF((('Dvd Calendar'!$AH$852=TYPE1)*(TYPE1&lt;&gt;"")+('Dvd Calendar'!$AH$852=TYPE2)*(TYPE2&lt;&gt;"")+('Dvd Calendar'!$AH$852=TYPE3)*(TYPE3&lt;&gt;"")+('Dvd Calendar'!$AH$852=TYPE4)*(TYPE4&lt;&gt;"")+('Dvd Calendar'!$AH$852=SPECIAL_LBL)*(INC_SPECIALS="Y"))=0,"",'Dvd Calendar'!$AH$850)))</f>
        <v/>
      </c>
      <c r="AG88" s="161">
        <f>IF(FI88="","",IF(ISNUMBER('Dvd Calendar'!$AI$850)=FALSE,"",IF((('Dvd Calendar'!$AI$852=TYPE1)*(TYPE1&lt;&gt;"")+('Dvd Calendar'!$AI$852=TYPE2)*(TYPE2&lt;&gt;"")+('Dvd Calendar'!$AI$852=TYPE3)*(TYPE3&lt;&gt;"")+('Dvd Calendar'!$AI$852=TYPE4)*(TYPE4&lt;&gt;"")+('Dvd Calendar'!$AI$852=SPECIAL_LBL)*(INC_SPECIALS="Y"))=0,"",'Dvd Calendar'!$AI$850)))</f>
        <v/>
      </c>
      <c r="AH88" s="161">
        <f>IF(FJ88="","",IF(ISNUMBER('Dvd Calendar'!$AJ$850)=FALSE,"",IF((('Dvd Calendar'!$AJ$852=TYPE1)*(TYPE1&lt;&gt;"")+('Dvd Calendar'!$AJ$852=TYPE2)*(TYPE2&lt;&gt;"")+('Dvd Calendar'!$AJ$852=TYPE3)*(TYPE3&lt;&gt;"")+('Dvd Calendar'!$AJ$852=TYPE4)*(TYPE4&lt;&gt;"")+('Dvd Calendar'!$AJ$852=SPECIAL_LBL)*(INC_SPECIALS="Y"))=0,"",'Dvd Calendar'!$AJ$850)))</f>
        <v/>
      </c>
      <c r="AI88" s="161">
        <f>IF(FK88="","",IF(ISNUMBER('Dvd Calendar'!$AK$850)=FALSE,"",IF((('Dvd Calendar'!$AK$852=TYPE1)*(TYPE1&lt;&gt;"")+('Dvd Calendar'!$AK$852=TYPE2)*(TYPE2&lt;&gt;"")+('Dvd Calendar'!$AK$852=TYPE3)*(TYPE3&lt;&gt;"")+('Dvd Calendar'!$AK$852=TYPE4)*(TYPE4&lt;&gt;"")+('Dvd Calendar'!$AK$852=SPECIAL_LBL)*(INC_SPECIALS="Y"))=0,"",'Dvd Calendar'!$AK$850)))</f>
        <v/>
      </c>
      <c r="AJ88" s="161">
        <f>IF(FL88="","",IF(ISNUMBER('Dvd Calendar'!$AL$850)=FALSE,"",IF((('Dvd Calendar'!$AL$852=TYPE1)*(TYPE1&lt;&gt;"")+('Dvd Calendar'!$AL$852=TYPE2)*(TYPE2&lt;&gt;"")+('Dvd Calendar'!$AL$852=TYPE3)*(TYPE3&lt;&gt;"")+('Dvd Calendar'!$AL$852=TYPE4)*(TYPE4&lt;&gt;"")+('Dvd Calendar'!$AL$852=SPECIAL_LBL)*(INC_SPECIALS="Y"))=0,"",'Dvd Calendar'!$AL$850)))</f>
        <v/>
      </c>
      <c r="AK88" s="161">
        <f>IF(FM88="","",IF(ISNUMBER('Dvd Calendar'!$AM$850)=FALSE,"",IF((('Dvd Calendar'!$AM$852=TYPE1)*(TYPE1&lt;&gt;"")+('Dvd Calendar'!$AM$852=TYPE2)*(TYPE2&lt;&gt;"")+('Dvd Calendar'!$AM$852=TYPE3)*(TYPE3&lt;&gt;"")+('Dvd Calendar'!$AM$852=TYPE4)*(TYPE4&lt;&gt;"")+('Dvd Calendar'!$AM$852=SPECIAL_LBL)*(INC_SPECIALS="Y"))=0,"",'Dvd Calendar'!$AM$850)))</f>
        <v/>
      </c>
      <c r="AL88" s="161">
        <f>IF(FN88="","",IF(ISNUMBER('Dvd Calendar'!$AN$850)=FALSE,"",IF((('Dvd Calendar'!$AN$852=TYPE1)*(TYPE1&lt;&gt;"")+('Dvd Calendar'!$AN$852=TYPE2)*(TYPE2&lt;&gt;"")+('Dvd Calendar'!$AN$852=TYPE3)*(TYPE3&lt;&gt;"")+('Dvd Calendar'!$AN$852=TYPE4)*(TYPE4&lt;&gt;"")+('Dvd Calendar'!$AN$852=SPECIAL_LBL)*(INC_SPECIALS="Y"))=0,"",'Dvd Calendar'!$AN$850)))</f>
        <v/>
      </c>
      <c r="AM88" s="161">
        <f>IF(FO88="","",IF(ISNUMBER('Dvd Calendar'!$AO$850)=FALSE,"",IF((('Dvd Calendar'!$AO$852=TYPE1)*(TYPE1&lt;&gt;"")+('Dvd Calendar'!$AO$852=TYPE2)*(TYPE2&lt;&gt;"")+('Dvd Calendar'!$AO$852=TYPE3)*(TYPE3&lt;&gt;"")+('Dvd Calendar'!$AO$852=TYPE4)*(TYPE4&lt;&gt;"")+('Dvd Calendar'!$AO$852=SPECIAL_LBL)*(INC_SPECIALS="Y"))=0,"",'Dvd Calendar'!$AO$850)))</f>
        <v/>
      </c>
      <c r="AN88" s="161">
        <f>IF(FP88="","",IF(ISNUMBER('Dvd Calendar'!$AP$850)=FALSE,"",IF((('Dvd Calendar'!$AP$852=TYPE1)*(TYPE1&lt;&gt;"")+('Dvd Calendar'!$AP$852=TYPE2)*(TYPE2&lt;&gt;"")+('Dvd Calendar'!$AP$852=TYPE3)*(TYPE3&lt;&gt;"")+('Dvd Calendar'!$AP$852=TYPE4)*(TYPE4&lt;&gt;"")+('Dvd Calendar'!$AP$852=SPECIAL_LBL)*(INC_SPECIALS="Y"))=0,"",'Dvd Calendar'!$AP$850)))</f>
        <v/>
      </c>
      <c r="AO88" s="161">
        <f>IF(FQ88="","",IF(ISNUMBER('Dvd Calendar'!$AQ$850)=FALSE,"",IF((('Dvd Calendar'!$AQ$852=TYPE1)*(TYPE1&lt;&gt;"")+('Dvd Calendar'!$AQ$852=TYPE2)*(TYPE2&lt;&gt;"")+('Dvd Calendar'!$AQ$852=TYPE3)*(TYPE3&lt;&gt;"")+('Dvd Calendar'!$AQ$852=TYPE4)*(TYPE4&lt;&gt;"")+('Dvd Calendar'!$AQ$852=SPECIAL_LBL)*(INC_SPECIALS="Y"))=0,"",'Dvd Calendar'!$AQ$850)))</f>
        <v/>
      </c>
      <c r="AP88" s="161">
        <f>IF(FR88="","",IF(ISNUMBER('Dvd Calendar'!$AR$850)=FALSE,"",IF((('Dvd Calendar'!$AR$852=TYPE1)*(TYPE1&lt;&gt;"")+('Dvd Calendar'!$AR$852=TYPE2)*(TYPE2&lt;&gt;"")+('Dvd Calendar'!$AR$852=TYPE3)*(TYPE3&lt;&gt;"")+('Dvd Calendar'!$AR$852=TYPE4)*(TYPE4&lt;&gt;"")+('Dvd Calendar'!$AR$852=SPECIAL_LBL)*(INC_SPECIALS="Y"))=0,"",'Dvd Calendar'!$AR$850)))</f>
        <v/>
      </c>
      <c r="AQ88" s="161">
        <f>IF(FS88="","",IF(ISNUMBER('Dvd Calendar'!$E$855)=FALSE,"",'Dvd Calendar'!$E$855))</f>
        <v/>
      </c>
      <c r="AR88" s="161">
        <f>IF(FT88="","",IF(ISNUMBER('Dvd Calendar'!$F$855)=FALSE,"",'Dvd Calendar'!$F$855))</f>
        <v/>
      </c>
      <c r="AS88" s="161">
        <f>IF(FU88="","",IF(ISNUMBER('Dvd Calendar'!$G$855)=FALSE,"",'Dvd Calendar'!$G$855))</f>
        <v/>
      </c>
      <c r="AT88" s="161">
        <f>IF(FV88="","",IF(ISNUMBER('Dvd Calendar'!$H$855)=FALSE,"",'Dvd Calendar'!$H$855))</f>
        <v/>
      </c>
      <c r="AU88" s="161">
        <f>IF(FW88="","",IF(ISNUMBER('Dvd Calendar'!$I$855)=FALSE,"",'Dvd Calendar'!$I$855))</f>
        <v/>
      </c>
      <c r="AV88" s="161">
        <f>IF(FX88="","",IF(ISNUMBER('Dvd Calendar'!$J$855)=FALSE,"",'Dvd Calendar'!$J$855))</f>
        <v/>
      </c>
      <c r="AW88" s="161">
        <f>IF(FY88="","",IF(ISNUMBER('Dvd Calendar'!$K$855)=FALSE,"",'Dvd Calendar'!$K$855))</f>
        <v/>
      </c>
      <c r="AX88" s="161">
        <f>IF(FZ88="","",IF(ISNUMBER('Dvd Calendar'!$L$855)=FALSE,"",'Dvd Calendar'!$L$855))</f>
        <v/>
      </c>
      <c r="AY88" s="161">
        <f>IF(GA88="","",IF(ISNUMBER('Dvd Calendar'!$M$855)=FALSE,"",'Dvd Calendar'!$M$855))</f>
        <v/>
      </c>
      <c r="AZ88" s="161">
        <f>IF(GB88="","",IF(ISNUMBER('Dvd Calendar'!$N$855)=FALSE,"",'Dvd Calendar'!$N$855))</f>
        <v/>
      </c>
      <c r="BA88" s="161">
        <f>IF(GC88="","",IF(ISNUMBER('Dvd Calendar'!$O$855)=FALSE,"",'Dvd Calendar'!$O$855))</f>
        <v/>
      </c>
      <c r="BB88" s="161">
        <f>IF(GD88="","",IF(ISNUMBER('Dvd Calendar'!$P$855)=FALSE,"",'Dvd Calendar'!$P$855))</f>
        <v/>
      </c>
      <c r="BC88" s="161">
        <f>IF(GE88="","",IF(ISNUMBER('Dvd Calendar'!$Q$855)=FALSE,"",'Dvd Calendar'!$Q$855))</f>
        <v/>
      </c>
      <c r="BD88" s="161">
        <f>IF(GF88="","",IF(ISNUMBER('Dvd Calendar'!$R$855)=FALSE,"",'Dvd Calendar'!$R$855))</f>
        <v/>
      </c>
      <c r="BE88" s="161">
        <f>IF(GG88="","",IF(ISNUMBER('Dvd Calendar'!$S$855)=FALSE,"",'Dvd Calendar'!$S$855))</f>
        <v/>
      </c>
      <c r="BF88" s="161">
        <f>IF(GH88="","",IF(ISNUMBER('Dvd Calendar'!$T$855)=FALSE,"",'Dvd Calendar'!$T$855))</f>
        <v/>
      </c>
      <c r="BG88" s="161">
        <f>IF(GI88="","",IF(ISNUMBER('Dvd Calendar'!$U$855)=FALSE,"",'Dvd Calendar'!$U$855))</f>
        <v/>
      </c>
      <c r="BH88" s="161">
        <f>IF(GJ88="","",IF(ISNUMBER('Dvd Calendar'!$V$855)=FALSE,"",'Dvd Calendar'!$V$855))</f>
        <v/>
      </c>
      <c r="BI88" s="161">
        <f>IF(GK88="","",IF(ISNUMBER('Dvd Calendar'!$W$855)=FALSE,"",'Dvd Calendar'!$W$855))</f>
        <v/>
      </c>
      <c r="BJ88" s="161">
        <f>IF(GL88="","",IF(ISNUMBER('Dvd Calendar'!$X$855)=FALSE,"",'Dvd Calendar'!$X$855))</f>
        <v/>
      </c>
      <c r="BK88" s="161">
        <f>IF(GM88="","",IF(ISNUMBER('Dvd Calendar'!$Y$855)=FALSE,"",'Dvd Calendar'!$Y$855))</f>
        <v/>
      </c>
      <c r="BL88" s="161">
        <f>IF(GN88="","",IF(ISNUMBER('Dvd Calendar'!$Z$855)=FALSE,"",'Dvd Calendar'!$Z$855))</f>
        <v/>
      </c>
      <c r="BM88" s="161">
        <f>IF(GO88="","",IF(ISNUMBER('Dvd Calendar'!$AA$855)=FALSE,"",'Dvd Calendar'!$AA$855))</f>
        <v/>
      </c>
      <c r="BN88" s="161">
        <f>IF(GP88="","",IF(ISNUMBER('Dvd Calendar'!$AB$855)=FALSE,"",'Dvd Calendar'!$AB$855))</f>
        <v/>
      </c>
      <c r="BO88" s="161">
        <f>IF(GQ88="","",IF(ISNUMBER('Dvd Calendar'!$AC$855)=FALSE,"",'Dvd Calendar'!$AC$855))</f>
        <v/>
      </c>
      <c r="BQ88" s="161">
        <f>IF(C88="","",IFERROR(C88*HSI!$B$83*HSI!$G$83/HSI!$B$3,""))</f>
        <v/>
      </c>
      <c r="BR88" s="161">
        <f>IF(D88="","",IFERROR(D88*HSI!$B$83*HSI!$G$83/HSI!$B$3,""))</f>
        <v/>
      </c>
      <c r="BS88" s="161">
        <f>IF(E88="","",IFERROR(E88*HSI!$B$83*HSI!$G$83/HSI!$B$3,""))</f>
        <v/>
      </c>
      <c r="BT88" s="161">
        <f>IF(F88="","",IFERROR(F88*HSI!$B$83*HSI!$G$83/HSI!$B$3,""))</f>
        <v/>
      </c>
      <c r="BU88" s="161">
        <f>IF(G88="","",IFERROR(G88*HSI!$B$83*HSI!$G$83/HSI!$B$3,""))</f>
        <v/>
      </c>
      <c r="BV88" s="161">
        <f>IF(H88="","",IFERROR(H88*HSI!$B$83*HSI!$G$83/HSI!$B$3,""))</f>
        <v/>
      </c>
      <c r="BW88" s="161">
        <f>IF(I88="","",IFERROR(I88*HSI!$B$83*HSI!$G$83/HSI!$B$3,""))</f>
        <v/>
      </c>
      <c r="BX88" s="161">
        <f>IF(J88="","",IFERROR(J88*HSI!$B$83*HSI!$G$83/HSI!$B$3,""))</f>
        <v/>
      </c>
      <c r="BY88" s="161">
        <f>IF(K88="","",IFERROR(K88*HSI!$B$83*HSI!$G$83/HSI!$B$3,""))</f>
        <v/>
      </c>
      <c r="BZ88" s="161">
        <f>IF(L88="","",IFERROR(L88*HSI!$B$83*HSI!$G$83/HSI!$B$3,""))</f>
        <v/>
      </c>
      <c r="CA88" s="161">
        <f>IF(M88="","",IFERROR(M88*HSI!$B$83*HSI!$G$83/HSI!$B$3,""))</f>
        <v/>
      </c>
      <c r="CB88" s="161">
        <f>IF(N88="","",IFERROR(N88*HSI!$B$83*HSI!$G$83/HSI!$B$3,""))</f>
        <v/>
      </c>
      <c r="CC88" s="161">
        <f>IF(O88="","",IFERROR(O88*HSI!$B$83*HSI!$G$83/HSI!$B$3,""))</f>
        <v/>
      </c>
      <c r="CD88" s="161">
        <f>IF(P88="","",IFERROR(P88*HSI!$B$83*HSI!$G$83/HSI!$B$3,""))</f>
        <v/>
      </c>
      <c r="CE88" s="161">
        <f>IF(Q88="","",IFERROR(Q88*HSI!$B$83*HSI!$G$83/HSI!$B$3,""))</f>
        <v/>
      </c>
      <c r="CF88" s="161">
        <f>IF(R88="","",IFERROR(R88*HSI!$B$83*HSI!$G$83/HSI!$B$3,""))</f>
        <v/>
      </c>
      <c r="CG88" s="161">
        <f>IF(S88="","",IFERROR(S88*HSI!$B$83*HSI!$G$83/HSI!$B$3,""))</f>
        <v/>
      </c>
      <c r="CH88" s="161">
        <f>IF(T88="","",IFERROR(T88*HSI!$B$83*HSI!$G$83/HSI!$B$3,""))</f>
        <v/>
      </c>
      <c r="CI88" s="161">
        <f>IF(U88="","",IFERROR(U88*HSI!$B$83*HSI!$G$83/HSI!$B$3,""))</f>
        <v/>
      </c>
      <c r="CJ88" s="161">
        <f>IF(V88="","",IFERROR(V88*HSI!$B$83*HSI!$G$83/HSI!$B$3,""))</f>
        <v/>
      </c>
      <c r="CK88" s="161">
        <f>IF(W88="","",IFERROR(W88*HSI!$B$83*HSI!$G$83/HSI!$B$3,""))</f>
        <v/>
      </c>
      <c r="CL88" s="161">
        <f>IF(X88="","",IFERROR(X88*HSI!$B$83*HSI!$G$83/HSI!$B$3,""))</f>
        <v/>
      </c>
      <c r="CM88" s="161">
        <f>IF(Y88="","",IFERROR(Y88*HSI!$B$83*HSI!$G$83/HSI!$B$3,""))</f>
        <v/>
      </c>
      <c r="CN88" s="161">
        <f>IF(Z88="","",IFERROR(Z88*HSI!$B$83*HSI!$G$83/HSI!$B$3,""))</f>
        <v/>
      </c>
      <c r="CO88" s="161">
        <f>IF(AA88="","",IFERROR(AA88*HSI!$B$83*HSI!$G$83/HSI!$B$3,""))</f>
        <v/>
      </c>
      <c r="CP88" s="161">
        <f>IF(AB88="","",IFERROR(AB88*HSI!$B$83*HSI!$G$83/HSI!$B$3,""))</f>
        <v/>
      </c>
      <c r="CQ88" s="161">
        <f>IF(AC88="","",IFERROR(AC88*HSI!$B$83*HSI!$G$83/HSI!$B$3,""))</f>
        <v/>
      </c>
      <c r="CR88" s="161">
        <f>IF(AD88="","",IFERROR(AD88*HSI!$B$83*HSI!$G$83/HSI!$B$3,""))</f>
        <v/>
      </c>
      <c r="CS88" s="161">
        <f>IF(AE88="","",IFERROR(AE88*HSI!$B$83*HSI!$G$83/HSI!$B$3,""))</f>
        <v/>
      </c>
      <c r="CT88" s="161">
        <f>IF(AF88="","",IFERROR(AF88*HSI!$B$83*HSI!$G$83/HSI!$B$3,""))</f>
        <v/>
      </c>
      <c r="CU88" s="161">
        <f>IF(AG88="","",IFERROR(AG88*HSI!$B$83*HSI!$G$83/HSI!$B$3,""))</f>
        <v/>
      </c>
      <c r="CV88" s="161">
        <f>IF(AH88="","",IFERROR(AH88*HSI!$B$83*HSI!$G$83/HSI!$B$3,""))</f>
        <v/>
      </c>
      <c r="CW88" s="161">
        <f>IF(AI88="","",IFERROR(AI88*HSI!$B$83*HSI!$G$83/HSI!$B$3,""))</f>
        <v/>
      </c>
      <c r="CX88" s="161">
        <f>IF(AJ88="","",IFERROR(AJ88*HSI!$B$83*HSI!$G$83/HSI!$B$3,""))</f>
        <v/>
      </c>
      <c r="CY88" s="161">
        <f>IF(AK88="","",IFERROR(AK88*HSI!$B$83*HSI!$G$83/HSI!$B$3,""))</f>
        <v/>
      </c>
      <c r="CZ88" s="161">
        <f>IF(AL88="","",IFERROR(AL88*HSI!$B$83*HSI!$G$83/HSI!$B$3,""))</f>
        <v/>
      </c>
      <c r="DA88" s="161">
        <f>IF(AM88="","",IFERROR(AM88*HSI!$B$83*HSI!$G$83/HSI!$B$3,""))</f>
        <v/>
      </c>
      <c r="DB88" s="161">
        <f>IF(AN88="","",IFERROR(AN88*HSI!$B$83*HSI!$G$83/HSI!$B$3,""))</f>
        <v/>
      </c>
      <c r="DC88" s="161">
        <f>IF(AO88="","",IFERROR(AO88*HSI!$B$83*HSI!$G$83/HSI!$B$3,""))</f>
        <v/>
      </c>
      <c r="DD88" s="161">
        <f>IF(AP88="","",IFERROR(AP88*HSI!$B$83*HSI!$G$83/HSI!$B$3,""))</f>
        <v/>
      </c>
      <c r="DE88" s="161">
        <f>IF(AQ88="","",IFERROR(AQ88*HSI!$B$83*HSI!$G$83/HSI!$B$3,""))</f>
        <v/>
      </c>
      <c r="DF88" s="161">
        <f>IF(AR88="","",IFERROR(AR88*HSI!$B$83*HSI!$G$83/HSI!$B$3,""))</f>
        <v/>
      </c>
      <c r="DG88" s="161">
        <f>IF(AS88="","",IFERROR(AS88*HSI!$B$83*HSI!$G$83/HSI!$B$3,""))</f>
        <v/>
      </c>
      <c r="DH88" s="161">
        <f>IF(AT88="","",IFERROR(AT88*HSI!$B$83*HSI!$G$83/HSI!$B$3,""))</f>
        <v/>
      </c>
      <c r="DI88" s="161">
        <f>IF(AU88="","",IFERROR(AU88*HSI!$B$83*HSI!$G$83/HSI!$B$3,""))</f>
        <v/>
      </c>
      <c r="DJ88" s="161">
        <f>IF(AV88="","",IFERROR(AV88*HSI!$B$83*HSI!$G$83/HSI!$B$3,""))</f>
        <v/>
      </c>
      <c r="DK88" s="161">
        <f>IF(AW88="","",IFERROR(AW88*HSI!$B$83*HSI!$G$83/HSI!$B$3,""))</f>
        <v/>
      </c>
      <c r="DL88" s="161">
        <f>IF(AX88="","",IFERROR(AX88*HSI!$B$83*HSI!$G$83/HSI!$B$3,""))</f>
        <v/>
      </c>
      <c r="DM88" s="161">
        <f>IF(AY88="","",IFERROR(AY88*HSI!$B$83*HSI!$G$83/HSI!$B$3,""))</f>
        <v/>
      </c>
      <c r="DN88" s="161">
        <f>IF(AZ88="","",IFERROR(AZ88*HSI!$B$83*HSI!$G$83/HSI!$B$3,""))</f>
        <v/>
      </c>
      <c r="DO88" s="161">
        <f>IF(BA88="","",IFERROR(BA88*HSI!$B$83*HSI!$G$83/HSI!$B$3,""))</f>
        <v/>
      </c>
      <c r="DP88" s="161">
        <f>IF(BB88="","",IFERROR(BB88*HSI!$B$83*HSI!$G$83/HSI!$B$3,""))</f>
        <v/>
      </c>
      <c r="DQ88" s="161">
        <f>IF(BC88="","",IFERROR(BC88*HSI!$B$83*HSI!$G$83/HSI!$B$3,""))</f>
        <v/>
      </c>
      <c r="DR88" s="161">
        <f>IF(BD88="","",IFERROR(BD88*HSI!$B$83*HSI!$G$83/HSI!$B$3,""))</f>
        <v/>
      </c>
      <c r="DS88" s="161">
        <f>IF(BE88="","",IFERROR(BE88*HSI!$B$83*HSI!$G$83/HSI!$B$3,""))</f>
        <v/>
      </c>
      <c r="DT88" s="161">
        <f>IF(BF88="","",IFERROR(BF88*HSI!$B$83*HSI!$G$83/HSI!$B$3,""))</f>
        <v/>
      </c>
      <c r="DU88" s="161">
        <f>IF(BG88="","",IFERROR(BG88*HSI!$B$83*HSI!$G$83/HSI!$B$3,""))</f>
        <v/>
      </c>
      <c r="DV88" s="161">
        <f>IF(BH88="","",IFERROR(BH88*HSI!$B$83*HSI!$G$83/HSI!$B$3,""))</f>
        <v/>
      </c>
      <c r="DW88" s="161">
        <f>IF(BI88="","",IFERROR(BI88*HSI!$B$83*HSI!$G$83/HSI!$B$3,""))</f>
        <v/>
      </c>
      <c r="DX88" s="161">
        <f>IF(BJ88="","",IFERROR(BJ88*HSI!$B$83*HSI!$G$83/HSI!$B$3,""))</f>
        <v/>
      </c>
      <c r="DY88" s="161">
        <f>IF(BK88="","",IFERROR(BK88*HSI!$B$83*HSI!$G$83/HSI!$B$3,""))</f>
        <v/>
      </c>
      <c r="DZ88" s="161">
        <f>IF(BL88="","",IFERROR(BL88*HSI!$B$83*HSI!$G$83/HSI!$B$3,""))</f>
        <v/>
      </c>
      <c r="EA88" s="161">
        <f>IF(BM88="","",IFERROR(BM88*HSI!$B$83*HSI!$G$83/HSI!$B$3,""))</f>
        <v/>
      </c>
      <c r="EB88" s="161">
        <f>IF(BN88="","",IFERROR(BN88*HSI!$B$83*HSI!$G$83/HSI!$B$3,""))</f>
        <v/>
      </c>
      <c r="EC88" s="161">
        <f>IF(BO88="","",IFERROR(BO88*HSI!$B$83*HSI!$G$83/HSI!$B$3,""))</f>
        <v/>
      </c>
      <c r="EE88" s="121">
        <f>IF(N('Dvd Calendar'!$E$847)=0,"",IF(('Dvd Calendar'!$E$847&gt;=GRID_FROM)*('Dvd Calendar'!$E$847&lt;=GRID_TO)*((('Dvd Calendar'!$E$847&lt;=VAL_DATE)+(COUNTIF('Dvd Calendar'!$E$854:$AR$854,'Dvd Calendar'!$E$847)=0))&gt;0)=0,"",'Dvd Calendar'!$E$847*1000000000+ISNUMBER('Dvd Calendar'!$E$850)*100000000+('Dvd Calendar'!$E$852=SPECIAL_LBL)*10000000+(N('Dvd Calendar'!$E$846)&gt;0)*(N('Dvd Calendar'!$E$846)&lt;=VAL_SERIAL)*1000000+77*1000+1))</f>
        <v/>
      </c>
      <c r="EF88" s="121">
        <f>IF(N('Dvd Calendar'!$F$847)=0,"",IF(('Dvd Calendar'!$F$847&gt;=GRID_FROM)*('Dvd Calendar'!$F$847&lt;=GRID_TO)*((('Dvd Calendar'!$F$847&lt;=VAL_DATE)+(COUNTIF('Dvd Calendar'!$E$854:$AR$854,'Dvd Calendar'!$F$847)=0))&gt;0)=0,"",'Dvd Calendar'!$F$847*1000000000+ISNUMBER('Dvd Calendar'!$F$850)*100000000+('Dvd Calendar'!$F$852=SPECIAL_LBL)*10000000+(N('Dvd Calendar'!$F$846)&gt;0)*(N('Dvd Calendar'!$F$846)&lt;=VAL_SERIAL)*1000000+77*1000+2))</f>
        <v/>
      </c>
      <c r="EG88" s="121">
        <f>IF(N('Dvd Calendar'!$G$847)=0,"",IF(('Dvd Calendar'!$G$847&gt;=GRID_FROM)*('Dvd Calendar'!$G$847&lt;=GRID_TO)*((('Dvd Calendar'!$G$847&lt;=VAL_DATE)+(COUNTIF('Dvd Calendar'!$E$854:$AR$854,'Dvd Calendar'!$G$847)=0))&gt;0)=0,"",'Dvd Calendar'!$G$847*1000000000+ISNUMBER('Dvd Calendar'!$G$850)*100000000+('Dvd Calendar'!$G$852=SPECIAL_LBL)*10000000+(N('Dvd Calendar'!$G$846)&gt;0)*(N('Dvd Calendar'!$G$846)&lt;=VAL_SERIAL)*1000000+77*1000+3))</f>
        <v/>
      </c>
      <c r="EH88" s="121">
        <f>IF(N('Dvd Calendar'!$H$847)=0,"",IF(('Dvd Calendar'!$H$847&gt;=GRID_FROM)*('Dvd Calendar'!$H$847&lt;=GRID_TO)*((('Dvd Calendar'!$H$847&lt;=VAL_DATE)+(COUNTIF('Dvd Calendar'!$E$854:$AR$854,'Dvd Calendar'!$H$847)=0))&gt;0)=0,"",'Dvd Calendar'!$H$847*1000000000+ISNUMBER('Dvd Calendar'!$H$850)*100000000+('Dvd Calendar'!$H$852=SPECIAL_LBL)*10000000+(N('Dvd Calendar'!$H$846)&gt;0)*(N('Dvd Calendar'!$H$846)&lt;=VAL_SERIAL)*1000000+77*1000+4))</f>
        <v/>
      </c>
      <c r="EI88" s="121">
        <f>IF(N('Dvd Calendar'!$I$847)=0,"",IF(('Dvd Calendar'!$I$847&gt;=GRID_FROM)*('Dvd Calendar'!$I$847&lt;=GRID_TO)*((('Dvd Calendar'!$I$847&lt;=VAL_DATE)+(COUNTIF('Dvd Calendar'!$E$854:$AR$854,'Dvd Calendar'!$I$847)=0))&gt;0)=0,"",'Dvd Calendar'!$I$847*1000000000+ISNUMBER('Dvd Calendar'!$I$850)*100000000+('Dvd Calendar'!$I$852=SPECIAL_LBL)*10000000+(N('Dvd Calendar'!$I$846)&gt;0)*(N('Dvd Calendar'!$I$846)&lt;=VAL_SERIAL)*1000000+77*1000+5))</f>
        <v/>
      </c>
      <c r="EJ88" s="121">
        <f>IF(N('Dvd Calendar'!$J$847)=0,"",IF(('Dvd Calendar'!$J$847&gt;=GRID_FROM)*('Dvd Calendar'!$J$847&lt;=GRID_TO)*((('Dvd Calendar'!$J$847&lt;=VAL_DATE)+(COUNTIF('Dvd Calendar'!$E$854:$AR$854,'Dvd Calendar'!$J$847)=0))&gt;0)=0,"",'Dvd Calendar'!$J$847*1000000000+ISNUMBER('Dvd Calendar'!$J$850)*100000000+('Dvd Calendar'!$J$852=SPECIAL_LBL)*10000000+(N('Dvd Calendar'!$J$846)&gt;0)*(N('Dvd Calendar'!$J$846)&lt;=VAL_SERIAL)*1000000+77*1000+6))</f>
        <v/>
      </c>
      <c r="EK88" s="121">
        <f>IF(N('Dvd Calendar'!$K$847)=0,"",IF(('Dvd Calendar'!$K$847&gt;=GRID_FROM)*('Dvd Calendar'!$K$847&lt;=GRID_TO)*((('Dvd Calendar'!$K$847&lt;=VAL_DATE)+(COUNTIF('Dvd Calendar'!$E$854:$AR$854,'Dvd Calendar'!$K$847)=0))&gt;0)=0,"",'Dvd Calendar'!$K$847*1000000000+ISNUMBER('Dvd Calendar'!$K$850)*100000000+('Dvd Calendar'!$K$852=SPECIAL_LBL)*10000000+(N('Dvd Calendar'!$K$846)&gt;0)*(N('Dvd Calendar'!$K$846)&lt;=VAL_SERIAL)*1000000+77*1000+7))</f>
        <v/>
      </c>
      <c r="EL88" s="121">
        <f>IF(N('Dvd Calendar'!$L$847)=0,"",IF(('Dvd Calendar'!$L$847&gt;=GRID_FROM)*('Dvd Calendar'!$L$847&lt;=GRID_TO)*((('Dvd Calendar'!$L$847&lt;=VAL_DATE)+(COUNTIF('Dvd Calendar'!$E$854:$AR$854,'Dvd Calendar'!$L$847)=0))&gt;0)=0,"",'Dvd Calendar'!$L$847*1000000000+ISNUMBER('Dvd Calendar'!$L$850)*100000000+('Dvd Calendar'!$L$852=SPECIAL_LBL)*10000000+(N('Dvd Calendar'!$L$846)&gt;0)*(N('Dvd Calendar'!$L$846)&lt;=VAL_SERIAL)*1000000+77*1000+8))</f>
        <v/>
      </c>
      <c r="EM88" s="121">
        <f>IF(N('Dvd Calendar'!$M$847)=0,"",IF(('Dvd Calendar'!$M$847&gt;=GRID_FROM)*('Dvd Calendar'!$M$847&lt;=GRID_TO)*((('Dvd Calendar'!$M$847&lt;=VAL_DATE)+(COUNTIF('Dvd Calendar'!$E$854:$AR$854,'Dvd Calendar'!$M$847)=0))&gt;0)=0,"",'Dvd Calendar'!$M$847*1000000000+ISNUMBER('Dvd Calendar'!$M$850)*100000000+('Dvd Calendar'!$M$852=SPECIAL_LBL)*10000000+(N('Dvd Calendar'!$M$846)&gt;0)*(N('Dvd Calendar'!$M$846)&lt;=VAL_SERIAL)*1000000+77*1000+9))</f>
        <v/>
      </c>
      <c r="EN88" s="121">
        <f>IF(N('Dvd Calendar'!$N$847)=0,"",IF(('Dvd Calendar'!$N$847&gt;=GRID_FROM)*('Dvd Calendar'!$N$847&lt;=GRID_TO)*((('Dvd Calendar'!$N$847&lt;=VAL_DATE)+(COUNTIF('Dvd Calendar'!$E$854:$AR$854,'Dvd Calendar'!$N$847)=0))&gt;0)=0,"",'Dvd Calendar'!$N$847*1000000000+ISNUMBER('Dvd Calendar'!$N$850)*100000000+('Dvd Calendar'!$N$852=SPECIAL_LBL)*10000000+(N('Dvd Calendar'!$N$846)&gt;0)*(N('Dvd Calendar'!$N$846)&lt;=VAL_SERIAL)*1000000+77*1000+10))</f>
        <v/>
      </c>
      <c r="EO88" s="121">
        <f>IF(N('Dvd Calendar'!$O$847)=0,"",IF(('Dvd Calendar'!$O$847&gt;=GRID_FROM)*('Dvd Calendar'!$O$847&lt;=GRID_TO)*((('Dvd Calendar'!$O$847&lt;=VAL_DATE)+(COUNTIF('Dvd Calendar'!$E$854:$AR$854,'Dvd Calendar'!$O$847)=0))&gt;0)=0,"",'Dvd Calendar'!$O$847*1000000000+ISNUMBER('Dvd Calendar'!$O$850)*100000000+('Dvd Calendar'!$O$852=SPECIAL_LBL)*10000000+(N('Dvd Calendar'!$O$846)&gt;0)*(N('Dvd Calendar'!$O$846)&lt;=VAL_SERIAL)*1000000+77*1000+11))</f>
        <v/>
      </c>
      <c r="EP88" s="121">
        <f>IF(N('Dvd Calendar'!$P$847)=0,"",IF(('Dvd Calendar'!$P$847&gt;=GRID_FROM)*('Dvd Calendar'!$P$847&lt;=GRID_TO)*((('Dvd Calendar'!$P$847&lt;=VAL_DATE)+(COUNTIF('Dvd Calendar'!$E$854:$AR$854,'Dvd Calendar'!$P$847)=0))&gt;0)=0,"",'Dvd Calendar'!$P$847*1000000000+ISNUMBER('Dvd Calendar'!$P$850)*100000000+('Dvd Calendar'!$P$852=SPECIAL_LBL)*10000000+(N('Dvd Calendar'!$P$846)&gt;0)*(N('Dvd Calendar'!$P$846)&lt;=VAL_SERIAL)*1000000+77*1000+12))</f>
        <v/>
      </c>
      <c r="EQ88" s="121">
        <f>IF(N('Dvd Calendar'!$Q$847)=0,"",IF(('Dvd Calendar'!$Q$847&gt;=GRID_FROM)*('Dvd Calendar'!$Q$847&lt;=GRID_TO)*((('Dvd Calendar'!$Q$847&lt;=VAL_DATE)+(COUNTIF('Dvd Calendar'!$E$854:$AR$854,'Dvd Calendar'!$Q$847)=0))&gt;0)=0,"",'Dvd Calendar'!$Q$847*1000000000+ISNUMBER('Dvd Calendar'!$Q$850)*100000000+('Dvd Calendar'!$Q$852=SPECIAL_LBL)*10000000+(N('Dvd Calendar'!$Q$846)&gt;0)*(N('Dvd Calendar'!$Q$846)&lt;=VAL_SERIAL)*1000000+77*1000+13))</f>
        <v/>
      </c>
      <c r="ER88" s="121">
        <f>IF(N('Dvd Calendar'!$R$847)=0,"",IF(('Dvd Calendar'!$R$847&gt;=GRID_FROM)*('Dvd Calendar'!$R$847&lt;=GRID_TO)*((('Dvd Calendar'!$R$847&lt;=VAL_DATE)+(COUNTIF('Dvd Calendar'!$E$854:$AR$854,'Dvd Calendar'!$R$847)=0))&gt;0)=0,"",'Dvd Calendar'!$R$847*1000000000+ISNUMBER('Dvd Calendar'!$R$850)*100000000+('Dvd Calendar'!$R$852=SPECIAL_LBL)*10000000+(N('Dvd Calendar'!$R$846)&gt;0)*(N('Dvd Calendar'!$R$846)&lt;=VAL_SERIAL)*1000000+77*1000+14))</f>
        <v/>
      </c>
      <c r="ES88" s="121">
        <f>IF(N('Dvd Calendar'!$S$847)=0,"",IF(('Dvd Calendar'!$S$847&gt;=GRID_FROM)*('Dvd Calendar'!$S$847&lt;=GRID_TO)*((('Dvd Calendar'!$S$847&lt;=VAL_DATE)+(COUNTIF('Dvd Calendar'!$E$854:$AR$854,'Dvd Calendar'!$S$847)=0))&gt;0)=0,"",'Dvd Calendar'!$S$847*1000000000+ISNUMBER('Dvd Calendar'!$S$850)*100000000+('Dvd Calendar'!$S$852=SPECIAL_LBL)*10000000+(N('Dvd Calendar'!$S$846)&gt;0)*(N('Dvd Calendar'!$S$846)&lt;=VAL_SERIAL)*1000000+77*1000+15))</f>
        <v/>
      </c>
      <c r="ET88" s="121">
        <f>IF(N('Dvd Calendar'!$T$847)=0,"",IF(('Dvd Calendar'!$T$847&gt;=GRID_FROM)*('Dvd Calendar'!$T$847&lt;=GRID_TO)*((('Dvd Calendar'!$T$847&lt;=VAL_DATE)+(COUNTIF('Dvd Calendar'!$E$854:$AR$854,'Dvd Calendar'!$T$847)=0))&gt;0)=0,"",'Dvd Calendar'!$T$847*1000000000+ISNUMBER('Dvd Calendar'!$T$850)*100000000+('Dvd Calendar'!$T$852=SPECIAL_LBL)*10000000+(N('Dvd Calendar'!$T$846)&gt;0)*(N('Dvd Calendar'!$T$846)&lt;=VAL_SERIAL)*1000000+77*1000+16))</f>
        <v/>
      </c>
      <c r="EU88" s="121">
        <f>IF(N('Dvd Calendar'!$U$847)=0,"",IF(('Dvd Calendar'!$U$847&gt;=GRID_FROM)*('Dvd Calendar'!$U$847&lt;=GRID_TO)*((('Dvd Calendar'!$U$847&lt;=VAL_DATE)+(COUNTIF('Dvd Calendar'!$E$854:$AR$854,'Dvd Calendar'!$U$847)=0))&gt;0)=0,"",'Dvd Calendar'!$U$847*1000000000+ISNUMBER('Dvd Calendar'!$U$850)*100000000+('Dvd Calendar'!$U$852=SPECIAL_LBL)*10000000+(N('Dvd Calendar'!$U$846)&gt;0)*(N('Dvd Calendar'!$U$846)&lt;=VAL_SERIAL)*1000000+77*1000+17))</f>
        <v/>
      </c>
      <c r="EV88" s="121">
        <f>IF(N('Dvd Calendar'!$V$847)=0,"",IF(('Dvd Calendar'!$V$847&gt;=GRID_FROM)*('Dvd Calendar'!$V$847&lt;=GRID_TO)*((('Dvd Calendar'!$V$847&lt;=VAL_DATE)+(COUNTIF('Dvd Calendar'!$E$854:$AR$854,'Dvd Calendar'!$V$847)=0))&gt;0)=0,"",'Dvd Calendar'!$V$847*1000000000+ISNUMBER('Dvd Calendar'!$V$850)*100000000+('Dvd Calendar'!$V$852=SPECIAL_LBL)*10000000+(N('Dvd Calendar'!$V$846)&gt;0)*(N('Dvd Calendar'!$V$846)&lt;=VAL_SERIAL)*1000000+77*1000+18))</f>
        <v/>
      </c>
      <c r="EW88" s="121">
        <f>IF(N('Dvd Calendar'!$W$847)=0,"",IF(('Dvd Calendar'!$W$847&gt;=GRID_FROM)*('Dvd Calendar'!$W$847&lt;=GRID_TO)*((('Dvd Calendar'!$W$847&lt;=VAL_DATE)+(COUNTIF('Dvd Calendar'!$E$854:$AR$854,'Dvd Calendar'!$W$847)=0))&gt;0)=0,"",'Dvd Calendar'!$W$847*1000000000+ISNUMBER('Dvd Calendar'!$W$850)*100000000+('Dvd Calendar'!$W$852=SPECIAL_LBL)*10000000+(N('Dvd Calendar'!$W$846)&gt;0)*(N('Dvd Calendar'!$W$846)&lt;=VAL_SERIAL)*1000000+77*1000+19))</f>
        <v/>
      </c>
      <c r="EX88" s="121">
        <f>IF(N('Dvd Calendar'!$X$847)=0,"",IF(('Dvd Calendar'!$X$847&gt;=GRID_FROM)*('Dvd Calendar'!$X$847&lt;=GRID_TO)*((('Dvd Calendar'!$X$847&lt;=VAL_DATE)+(COUNTIF('Dvd Calendar'!$E$854:$AR$854,'Dvd Calendar'!$X$847)=0))&gt;0)=0,"",'Dvd Calendar'!$X$847*1000000000+ISNUMBER('Dvd Calendar'!$X$850)*100000000+('Dvd Calendar'!$X$852=SPECIAL_LBL)*10000000+(N('Dvd Calendar'!$X$846)&gt;0)*(N('Dvd Calendar'!$X$846)&lt;=VAL_SERIAL)*1000000+77*1000+20))</f>
        <v/>
      </c>
      <c r="EY88" s="121">
        <f>IF(N('Dvd Calendar'!$Y$847)=0,"",IF(('Dvd Calendar'!$Y$847&gt;=GRID_FROM)*('Dvd Calendar'!$Y$847&lt;=GRID_TO)*((('Dvd Calendar'!$Y$847&lt;=VAL_DATE)+(COUNTIF('Dvd Calendar'!$E$854:$AR$854,'Dvd Calendar'!$Y$847)=0))&gt;0)=0,"",'Dvd Calendar'!$Y$847*1000000000+ISNUMBER('Dvd Calendar'!$Y$850)*100000000+('Dvd Calendar'!$Y$852=SPECIAL_LBL)*10000000+(N('Dvd Calendar'!$Y$846)&gt;0)*(N('Dvd Calendar'!$Y$846)&lt;=VAL_SERIAL)*1000000+77*1000+21))</f>
        <v/>
      </c>
      <c r="EZ88" s="121">
        <f>IF(N('Dvd Calendar'!$Z$847)=0,"",IF(('Dvd Calendar'!$Z$847&gt;=GRID_FROM)*('Dvd Calendar'!$Z$847&lt;=GRID_TO)*((('Dvd Calendar'!$Z$847&lt;=VAL_DATE)+(COUNTIF('Dvd Calendar'!$E$854:$AR$854,'Dvd Calendar'!$Z$847)=0))&gt;0)=0,"",'Dvd Calendar'!$Z$847*1000000000+ISNUMBER('Dvd Calendar'!$Z$850)*100000000+('Dvd Calendar'!$Z$852=SPECIAL_LBL)*10000000+(N('Dvd Calendar'!$Z$846)&gt;0)*(N('Dvd Calendar'!$Z$846)&lt;=VAL_SERIAL)*1000000+77*1000+22))</f>
        <v/>
      </c>
      <c r="FA88" s="121">
        <f>IF(N('Dvd Calendar'!$AA$847)=0,"",IF(('Dvd Calendar'!$AA$847&gt;=GRID_FROM)*('Dvd Calendar'!$AA$847&lt;=GRID_TO)*((('Dvd Calendar'!$AA$847&lt;=VAL_DATE)+(COUNTIF('Dvd Calendar'!$E$854:$AR$854,'Dvd Calendar'!$AA$847)=0))&gt;0)=0,"",'Dvd Calendar'!$AA$847*1000000000+ISNUMBER('Dvd Calendar'!$AA$850)*100000000+('Dvd Calendar'!$AA$852=SPECIAL_LBL)*10000000+(N('Dvd Calendar'!$AA$846)&gt;0)*(N('Dvd Calendar'!$AA$846)&lt;=VAL_SERIAL)*1000000+77*1000+23))</f>
        <v/>
      </c>
      <c r="FB88" s="121">
        <f>IF(N('Dvd Calendar'!$AB$847)=0,"",IF(('Dvd Calendar'!$AB$847&gt;=GRID_FROM)*('Dvd Calendar'!$AB$847&lt;=GRID_TO)*((('Dvd Calendar'!$AB$847&lt;=VAL_DATE)+(COUNTIF('Dvd Calendar'!$E$854:$AR$854,'Dvd Calendar'!$AB$847)=0))&gt;0)=0,"",'Dvd Calendar'!$AB$847*1000000000+ISNUMBER('Dvd Calendar'!$AB$850)*100000000+('Dvd Calendar'!$AB$852=SPECIAL_LBL)*10000000+(N('Dvd Calendar'!$AB$846)&gt;0)*(N('Dvd Calendar'!$AB$846)&lt;=VAL_SERIAL)*1000000+77*1000+24))</f>
        <v/>
      </c>
      <c r="FC88" s="121">
        <f>IF(N('Dvd Calendar'!$AC$847)=0,"",IF(('Dvd Calendar'!$AC$847&gt;=GRID_FROM)*('Dvd Calendar'!$AC$847&lt;=GRID_TO)*((('Dvd Calendar'!$AC$847&lt;=VAL_DATE)+(COUNTIF('Dvd Calendar'!$E$854:$AR$854,'Dvd Calendar'!$AC$847)=0))&gt;0)=0,"",'Dvd Calendar'!$AC$847*1000000000+ISNUMBER('Dvd Calendar'!$AC$850)*100000000+('Dvd Calendar'!$AC$852=SPECIAL_LBL)*10000000+(N('Dvd Calendar'!$AC$846)&gt;0)*(N('Dvd Calendar'!$AC$846)&lt;=VAL_SERIAL)*1000000+77*1000+25))</f>
        <v/>
      </c>
      <c r="FD88" s="121">
        <f>IF(N('Dvd Calendar'!$AD$847)=0,"",IF(('Dvd Calendar'!$AD$847&gt;=GRID_FROM)*('Dvd Calendar'!$AD$847&lt;=GRID_TO)*((('Dvd Calendar'!$AD$847&lt;=VAL_DATE)+(COUNTIF('Dvd Calendar'!$E$854:$AR$854,'Dvd Calendar'!$AD$847)=0))&gt;0)=0,"",'Dvd Calendar'!$AD$847*1000000000+ISNUMBER('Dvd Calendar'!$AD$850)*100000000+('Dvd Calendar'!$AD$852=SPECIAL_LBL)*10000000+(N('Dvd Calendar'!$AD$846)&gt;0)*(N('Dvd Calendar'!$AD$846)&lt;=VAL_SERIAL)*1000000+77*1000+26))</f>
        <v/>
      </c>
      <c r="FE88" s="121">
        <f>IF(N('Dvd Calendar'!$AE$847)=0,"",IF(('Dvd Calendar'!$AE$847&gt;=GRID_FROM)*('Dvd Calendar'!$AE$847&lt;=GRID_TO)*((('Dvd Calendar'!$AE$847&lt;=VAL_DATE)+(COUNTIF('Dvd Calendar'!$E$854:$AR$854,'Dvd Calendar'!$AE$847)=0))&gt;0)=0,"",'Dvd Calendar'!$AE$847*1000000000+ISNUMBER('Dvd Calendar'!$AE$850)*100000000+('Dvd Calendar'!$AE$852=SPECIAL_LBL)*10000000+(N('Dvd Calendar'!$AE$846)&gt;0)*(N('Dvd Calendar'!$AE$846)&lt;=VAL_SERIAL)*1000000+77*1000+27))</f>
        <v/>
      </c>
      <c r="FF88" s="121">
        <f>IF(N('Dvd Calendar'!$AF$847)=0,"",IF(('Dvd Calendar'!$AF$847&gt;=GRID_FROM)*('Dvd Calendar'!$AF$847&lt;=GRID_TO)*((('Dvd Calendar'!$AF$847&lt;=VAL_DATE)+(COUNTIF('Dvd Calendar'!$E$854:$AR$854,'Dvd Calendar'!$AF$847)=0))&gt;0)=0,"",'Dvd Calendar'!$AF$847*1000000000+ISNUMBER('Dvd Calendar'!$AF$850)*100000000+('Dvd Calendar'!$AF$852=SPECIAL_LBL)*10000000+(N('Dvd Calendar'!$AF$846)&gt;0)*(N('Dvd Calendar'!$AF$846)&lt;=VAL_SERIAL)*1000000+77*1000+28))</f>
        <v/>
      </c>
      <c r="FG88" s="121">
        <f>IF(N('Dvd Calendar'!$AG$847)=0,"",IF(('Dvd Calendar'!$AG$847&gt;=GRID_FROM)*('Dvd Calendar'!$AG$847&lt;=GRID_TO)*((('Dvd Calendar'!$AG$847&lt;=VAL_DATE)+(COUNTIF('Dvd Calendar'!$E$854:$AR$854,'Dvd Calendar'!$AG$847)=0))&gt;0)=0,"",'Dvd Calendar'!$AG$847*1000000000+ISNUMBER('Dvd Calendar'!$AG$850)*100000000+('Dvd Calendar'!$AG$852=SPECIAL_LBL)*10000000+(N('Dvd Calendar'!$AG$846)&gt;0)*(N('Dvd Calendar'!$AG$846)&lt;=VAL_SERIAL)*1000000+77*1000+29))</f>
        <v/>
      </c>
      <c r="FH88" s="121">
        <f>IF(N('Dvd Calendar'!$AH$847)=0,"",IF(('Dvd Calendar'!$AH$847&gt;=GRID_FROM)*('Dvd Calendar'!$AH$847&lt;=GRID_TO)*((('Dvd Calendar'!$AH$847&lt;=VAL_DATE)+(COUNTIF('Dvd Calendar'!$E$854:$AR$854,'Dvd Calendar'!$AH$847)=0))&gt;0)=0,"",'Dvd Calendar'!$AH$847*1000000000+ISNUMBER('Dvd Calendar'!$AH$850)*100000000+('Dvd Calendar'!$AH$852=SPECIAL_LBL)*10000000+(N('Dvd Calendar'!$AH$846)&gt;0)*(N('Dvd Calendar'!$AH$846)&lt;=VAL_SERIAL)*1000000+77*1000+30))</f>
        <v/>
      </c>
      <c r="FI88" s="121">
        <f>IF(N('Dvd Calendar'!$AI$847)=0,"",IF(('Dvd Calendar'!$AI$847&gt;=GRID_FROM)*('Dvd Calendar'!$AI$847&lt;=GRID_TO)*((('Dvd Calendar'!$AI$847&lt;=VAL_DATE)+(COUNTIF('Dvd Calendar'!$E$854:$AR$854,'Dvd Calendar'!$AI$847)=0))&gt;0)=0,"",'Dvd Calendar'!$AI$847*1000000000+ISNUMBER('Dvd Calendar'!$AI$850)*100000000+('Dvd Calendar'!$AI$852=SPECIAL_LBL)*10000000+(N('Dvd Calendar'!$AI$846)&gt;0)*(N('Dvd Calendar'!$AI$846)&lt;=VAL_SERIAL)*1000000+77*1000+31))</f>
        <v/>
      </c>
      <c r="FJ88" s="121">
        <f>IF(N('Dvd Calendar'!$AJ$847)=0,"",IF(('Dvd Calendar'!$AJ$847&gt;=GRID_FROM)*('Dvd Calendar'!$AJ$847&lt;=GRID_TO)*((('Dvd Calendar'!$AJ$847&lt;=VAL_DATE)+(COUNTIF('Dvd Calendar'!$E$854:$AR$854,'Dvd Calendar'!$AJ$847)=0))&gt;0)=0,"",'Dvd Calendar'!$AJ$847*1000000000+ISNUMBER('Dvd Calendar'!$AJ$850)*100000000+('Dvd Calendar'!$AJ$852=SPECIAL_LBL)*10000000+(N('Dvd Calendar'!$AJ$846)&gt;0)*(N('Dvd Calendar'!$AJ$846)&lt;=VAL_SERIAL)*1000000+77*1000+32))</f>
        <v/>
      </c>
      <c r="FK88" s="121">
        <f>IF(N('Dvd Calendar'!$AK$847)=0,"",IF(('Dvd Calendar'!$AK$847&gt;=GRID_FROM)*('Dvd Calendar'!$AK$847&lt;=GRID_TO)*((('Dvd Calendar'!$AK$847&lt;=VAL_DATE)+(COUNTIF('Dvd Calendar'!$E$854:$AR$854,'Dvd Calendar'!$AK$847)=0))&gt;0)=0,"",'Dvd Calendar'!$AK$847*1000000000+ISNUMBER('Dvd Calendar'!$AK$850)*100000000+('Dvd Calendar'!$AK$852=SPECIAL_LBL)*10000000+(N('Dvd Calendar'!$AK$846)&gt;0)*(N('Dvd Calendar'!$AK$846)&lt;=VAL_SERIAL)*1000000+77*1000+33))</f>
        <v/>
      </c>
      <c r="FL88" s="121">
        <f>IF(N('Dvd Calendar'!$AL$847)=0,"",IF(('Dvd Calendar'!$AL$847&gt;=GRID_FROM)*('Dvd Calendar'!$AL$847&lt;=GRID_TO)*((('Dvd Calendar'!$AL$847&lt;=VAL_DATE)+(COUNTIF('Dvd Calendar'!$E$854:$AR$854,'Dvd Calendar'!$AL$847)=0))&gt;0)=0,"",'Dvd Calendar'!$AL$847*1000000000+ISNUMBER('Dvd Calendar'!$AL$850)*100000000+('Dvd Calendar'!$AL$852=SPECIAL_LBL)*10000000+(N('Dvd Calendar'!$AL$846)&gt;0)*(N('Dvd Calendar'!$AL$846)&lt;=VAL_SERIAL)*1000000+77*1000+34))</f>
        <v/>
      </c>
      <c r="FM88" s="121">
        <f>IF(N('Dvd Calendar'!$AM$847)=0,"",IF(('Dvd Calendar'!$AM$847&gt;=GRID_FROM)*('Dvd Calendar'!$AM$847&lt;=GRID_TO)*((('Dvd Calendar'!$AM$847&lt;=VAL_DATE)+(COUNTIF('Dvd Calendar'!$E$854:$AR$854,'Dvd Calendar'!$AM$847)=0))&gt;0)=0,"",'Dvd Calendar'!$AM$847*1000000000+ISNUMBER('Dvd Calendar'!$AM$850)*100000000+('Dvd Calendar'!$AM$852=SPECIAL_LBL)*10000000+(N('Dvd Calendar'!$AM$846)&gt;0)*(N('Dvd Calendar'!$AM$846)&lt;=VAL_SERIAL)*1000000+77*1000+35))</f>
        <v/>
      </c>
      <c r="FN88" s="121">
        <f>IF(N('Dvd Calendar'!$AN$847)=0,"",IF(('Dvd Calendar'!$AN$847&gt;=GRID_FROM)*('Dvd Calendar'!$AN$847&lt;=GRID_TO)*((('Dvd Calendar'!$AN$847&lt;=VAL_DATE)+(COUNTIF('Dvd Calendar'!$E$854:$AR$854,'Dvd Calendar'!$AN$847)=0))&gt;0)=0,"",'Dvd Calendar'!$AN$847*1000000000+ISNUMBER('Dvd Calendar'!$AN$850)*100000000+('Dvd Calendar'!$AN$852=SPECIAL_LBL)*10000000+(N('Dvd Calendar'!$AN$846)&gt;0)*(N('Dvd Calendar'!$AN$846)&lt;=VAL_SERIAL)*1000000+77*1000+36))</f>
        <v/>
      </c>
      <c r="FO88" s="121">
        <f>IF(N('Dvd Calendar'!$AO$847)=0,"",IF(('Dvd Calendar'!$AO$847&gt;=GRID_FROM)*('Dvd Calendar'!$AO$847&lt;=GRID_TO)*((('Dvd Calendar'!$AO$847&lt;=VAL_DATE)+(COUNTIF('Dvd Calendar'!$E$854:$AR$854,'Dvd Calendar'!$AO$847)=0))&gt;0)=0,"",'Dvd Calendar'!$AO$847*1000000000+ISNUMBER('Dvd Calendar'!$AO$850)*100000000+('Dvd Calendar'!$AO$852=SPECIAL_LBL)*10000000+(N('Dvd Calendar'!$AO$846)&gt;0)*(N('Dvd Calendar'!$AO$846)&lt;=VAL_SERIAL)*1000000+77*1000+37))</f>
        <v/>
      </c>
      <c r="FP88" s="121">
        <f>IF(N('Dvd Calendar'!$AP$847)=0,"",IF(('Dvd Calendar'!$AP$847&gt;=GRID_FROM)*('Dvd Calendar'!$AP$847&lt;=GRID_TO)*((('Dvd Calendar'!$AP$847&lt;=VAL_DATE)+(COUNTIF('Dvd Calendar'!$E$854:$AR$854,'Dvd Calendar'!$AP$847)=0))&gt;0)=0,"",'Dvd Calendar'!$AP$847*1000000000+ISNUMBER('Dvd Calendar'!$AP$850)*100000000+('Dvd Calendar'!$AP$852=SPECIAL_LBL)*10000000+(N('Dvd Calendar'!$AP$846)&gt;0)*(N('Dvd Calendar'!$AP$846)&lt;=VAL_SERIAL)*1000000+77*1000+38))</f>
        <v/>
      </c>
      <c r="FQ88" s="121">
        <f>IF(N('Dvd Calendar'!$AQ$847)=0,"",IF(('Dvd Calendar'!$AQ$847&gt;=GRID_FROM)*('Dvd Calendar'!$AQ$847&lt;=GRID_TO)*((('Dvd Calendar'!$AQ$847&lt;=VAL_DATE)+(COUNTIF('Dvd Calendar'!$E$854:$AR$854,'Dvd Calendar'!$AQ$847)=0))&gt;0)=0,"",'Dvd Calendar'!$AQ$847*1000000000+ISNUMBER('Dvd Calendar'!$AQ$850)*100000000+('Dvd Calendar'!$AQ$852=SPECIAL_LBL)*10000000+(N('Dvd Calendar'!$AQ$846)&gt;0)*(N('Dvd Calendar'!$AQ$846)&lt;=VAL_SERIAL)*1000000+77*1000+39))</f>
        <v/>
      </c>
      <c r="FR88" s="121">
        <f>IF(N('Dvd Calendar'!$AR$847)=0,"",IF(('Dvd Calendar'!$AR$847&gt;=GRID_FROM)*('Dvd Calendar'!$AR$847&lt;=GRID_TO)*((('Dvd Calendar'!$AR$847&lt;=VAL_DATE)+(COUNTIF('Dvd Calendar'!$E$854:$AR$854,'Dvd Calendar'!$AR$847)=0))&gt;0)=0,"",'Dvd Calendar'!$AR$847*1000000000+ISNUMBER('Dvd Calendar'!$AR$850)*100000000+('Dvd Calendar'!$AR$852=SPECIAL_LBL)*10000000+(N('Dvd Calendar'!$AR$846)&gt;0)*(N('Dvd Calendar'!$AR$846)&lt;=VAL_SERIAL)*1000000+77*1000+40))</f>
        <v/>
      </c>
      <c r="FS88" s="121">
        <f>IF(N('Dvd Calendar'!$E$854)=0,"",IF(('Dvd Calendar'!$E$854&gt;=GRID_FROM)*('Dvd Calendar'!$E$854&lt;=GRID_TO)*('Dvd Calendar'!$E$854&gt;VAL_DATE)=0,"",'Dvd Calendar'!$E$854*1000000000+ISNUMBER('Dvd Calendar'!$E$855)*100000000+0*10000000+(N('Dvd Calendar'!$E$853)&gt;0)*(N('Dvd Calendar'!$E$853)&lt;=VAL_SERIAL)*1000000+77*1000+41))</f>
        <v/>
      </c>
      <c r="FT88" s="121">
        <f>IF(N('Dvd Calendar'!$F$854)=0,"",IF(('Dvd Calendar'!$F$854&gt;=GRID_FROM)*('Dvd Calendar'!$F$854&lt;=GRID_TO)*('Dvd Calendar'!$F$854&gt;VAL_DATE)=0,"",'Dvd Calendar'!$F$854*1000000000+ISNUMBER('Dvd Calendar'!$F$855)*100000000+0*10000000+(N('Dvd Calendar'!$F$853)&gt;0)*(N('Dvd Calendar'!$F$853)&lt;=VAL_SERIAL)*1000000+77*1000+42))</f>
        <v/>
      </c>
      <c r="FU88" s="121">
        <f>IF(N('Dvd Calendar'!$G$854)=0,"",IF(('Dvd Calendar'!$G$854&gt;=GRID_FROM)*('Dvd Calendar'!$G$854&lt;=GRID_TO)*('Dvd Calendar'!$G$854&gt;VAL_DATE)=0,"",'Dvd Calendar'!$G$854*1000000000+ISNUMBER('Dvd Calendar'!$G$855)*100000000+0*10000000+(N('Dvd Calendar'!$G$853)&gt;0)*(N('Dvd Calendar'!$G$853)&lt;=VAL_SERIAL)*1000000+77*1000+43))</f>
        <v/>
      </c>
      <c r="FV88" s="121">
        <f>IF(N('Dvd Calendar'!$H$854)=0,"",IF(('Dvd Calendar'!$H$854&gt;=GRID_FROM)*('Dvd Calendar'!$H$854&lt;=GRID_TO)*('Dvd Calendar'!$H$854&gt;VAL_DATE)=0,"",'Dvd Calendar'!$H$854*1000000000+ISNUMBER('Dvd Calendar'!$H$855)*100000000+0*10000000+(N('Dvd Calendar'!$H$853)&gt;0)*(N('Dvd Calendar'!$H$853)&lt;=VAL_SERIAL)*1000000+77*1000+44))</f>
        <v/>
      </c>
      <c r="FW88" s="121">
        <f>IF(N('Dvd Calendar'!$I$854)=0,"",IF(('Dvd Calendar'!$I$854&gt;=GRID_FROM)*('Dvd Calendar'!$I$854&lt;=GRID_TO)*('Dvd Calendar'!$I$854&gt;VAL_DATE)=0,"",'Dvd Calendar'!$I$854*1000000000+ISNUMBER('Dvd Calendar'!$I$855)*100000000+0*10000000+(N('Dvd Calendar'!$I$853)&gt;0)*(N('Dvd Calendar'!$I$853)&lt;=VAL_SERIAL)*1000000+77*1000+45))</f>
        <v/>
      </c>
      <c r="FX88" s="121">
        <f>IF(N('Dvd Calendar'!$J$854)=0,"",IF(('Dvd Calendar'!$J$854&gt;=GRID_FROM)*('Dvd Calendar'!$J$854&lt;=GRID_TO)*('Dvd Calendar'!$J$854&gt;VAL_DATE)=0,"",'Dvd Calendar'!$J$854*1000000000+ISNUMBER('Dvd Calendar'!$J$855)*100000000+0*10000000+(N('Dvd Calendar'!$J$853)&gt;0)*(N('Dvd Calendar'!$J$853)&lt;=VAL_SERIAL)*1000000+77*1000+46))</f>
        <v/>
      </c>
      <c r="FY88" s="121">
        <f>IF(N('Dvd Calendar'!$K$854)=0,"",IF(('Dvd Calendar'!$K$854&gt;=GRID_FROM)*('Dvd Calendar'!$K$854&lt;=GRID_TO)*('Dvd Calendar'!$K$854&gt;VAL_DATE)=0,"",'Dvd Calendar'!$K$854*1000000000+ISNUMBER('Dvd Calendar'!$K$855)*100000000+0*10000000+(N('Dvd Calendar'!$K$853)&gt;0)*(N('Dvd Calendar'!$K$853)&lt;=VAL_SERIAL)*1000000+77*1000+47))</f>
        <v/>
      </c>
      <c r="FZ88" s="121">
        <f>IF(N('Dvd Calendar'!$L$854)=0,"",IF(('Dvd Calendar'!$L$854&gt;=GRID_FROM)*('Dvd Calendar'!$L$854&lt;=GRID_TO)*('Dvd Calendar'!$L$854&gt;VAL_DATE)=0,"",'Dvd Calendar'!$L$854*1000000000+ISNUMBER('Dvd Calendar'!$L$855)*100000000+0*10000000+(N('Dvd Calendar'!$L$853)&gt;0)*(N('Dvd Calendar'!$L$853)&lt;=VAL_SERIAL)*1000000+77*1000+48))</f>
        <v/>
      </c>
      <c r="GA88" s="121">
        <f>IF(N('Dvd Calendar'!$M$854)=0,"",IF(('Dvd Calendar'!$M$854&gt;=GRID_FROM)*('Dvd Calendar'!$M$854&lt;=GRID_TO)*('Dvd Calendar'!$M$854&gt;VAL_DATE)=0,"",'Dvd Calendar'!$M$854*1000000000+ISNUMBER('Dvd Calendar'!$M$855)*100000000+0*10000000+(N('Dvd Calendar'!$M$853)&gt;0)*(N('Dvd Calendar'!$M$853)&lt;=VAL_SERIAL)*1000000+77*1000+49))</f>
        <v/>
      </c>
      <c r="GB88" s="121">
        <f>IF(N('Dvd Calendar'!$N$854)=0,"",IF(('Dvd Calendar'!$N$854&gt;=GRID_FROM)*('Dvd Calendar'!$N$854&lt;=GRID_TO)*('Dvd Calendar'!$N$854&gt;VAL_DATE)=0,"",'Dvd Calendar'!$N$854*1000000000+ISNUMBER('Dvd Calendar'!$N$855)*100000000+0*10000000+(N('Dvd Calendar'!$N$853)&gt;0)*(N('Dvd Calendar'!$N$853)&lt;=VAL_SERIAL)*1000000+77*1000+50))</f>
        <v/>
      </c>
      <c r="GC88" s="121">
        <f>IF(N('Dvd Calendar'!$O$854)=0,"",IF(('Dvd Calendar'!$O$854&gt;=GRID_FROM)*('Dvd Calendar'!$O$854&lt;=GRID_TO)*('Dvd Calendar'!$O$854&gt;VAL_DATE)=0,"",'Dvd Calendar'!$O$854*1000000000+ISNUMBER('Dvd Calendar'!$O$855)*100000000+0*10000000+(N('Dvd Calendar'!$O$853)&gt;0)*(N('Dvd Calendar'!$O$853)&lt;=VAL_SERIAL)*1000000+77*1000+51))</f>
        <v/>
      </c>
      <c r="GD88" s="121">
        <f>IF(N('Dvd Calendar'!$P$854)=0,"",IF(('Dvd Calendar'!$P$854&gt;=GRID_FROM)*('Dvd Calendar'!$P$854&lt;=GRID_TO)*('Dvd Calendar'!$P$854&gt;VAL_DATE)=0,"",'Dvd Calendar'!$P$854*1000000000+ISNUMBER('Dvd Calendar'!$P$855)*100000000+0*10000000+(N('Dvd Calendar'!$P$853)&gt;0)*(N('Dvd Calendar'!$P$853)&lt;=VAL_SERIAL)*1000000+77*1000+52))</f>
        <v/>
      </c>
      <c r="GE88" s="121">
        <f>IF(N('Dvd Calendar'!$Q$854)=0,"",IF(('Dvd Calendar'!$Q$854&gt;=GRID_FROM)*('Dvd Calendar'!$Q$854&lt;=GRID_TO)*('Dvd Calendar'!$Q$854&gt;VAL_DATE)=0,"",'Dvd Calendar'!$Q$854*1000000000+ISNUMBER('Dvd Calendar'!$Q$855)*100000000+0*10000000+(N('Dvd Calendar'!$Q$853)&gt;0)*(N('Dvd Calendar'!$Q$853)&lt;=VAL_SERIAL)*1000000+77*1000+53))</f>
        <v/>
      </c>
      <c r="GF88" s="121">
        <f>IF(N('Dvd Calendar'!$R$854)=0,"",IF(('Dvd Calendar'!$R$854&gt;=GRID_FROM)*('Dvd Calendar'!$R$854&lt;=GRID_TO)*('Dvd Calendar'!$R$854&gt;VAL_DATE)=0,"",'Dvd Calendar'!$R$854*1000000000+ISNUMBER('Dvd Calendar'!$R$855)*100000000+0*10000000+(N('Dvd Calendar'!$R$853)&gt;0)*(N('Dvd Calendar'!$R$853)&lt;=VAL_SERIAL)*1000000+77*1000+54))</f>
        <v/>
      </c>
      <c r="GG88" s="121">
        <f>IF(N('Dvd Calendar'!$S$854)=0,"",IF(('Dvd Calendar'!$S$854&gt;=GRID_FROM)*('Dvd Calendar'!$S$854&lt;=GRID_TO)*('Dvd Calendar'!$S$854&gt;VAL_DATE)=0,"",'Dvd Calendar'!$S$854*1000000000+ISNUMBER('Dvd Calendar'!$S$855)*100000000+0*10000000+(N('Dvd Calendar'!$S$853)&gt;0)*(N('Dvd Calendar'!$S$853)&lt;=VAL_SERIAL)*1000000+77*1000+55))</f>
        <v/>
      </c>
      <c r="GH88" s="121">
        <f>IF(N('Dvd Calendar'!$T$854)=0,"",IF(('Dvd Calendar'!$T$854&gt;=GRID_FROM)*('Dvd Calendar'!$T$854&lt;=GRID_TO)*('Dvd Calendar'!$T$854&gt;VAL_DATE)=0,"",'Dvd Calendar'!$T$854*1000000000+ISNUMBER('Dvd Calendar'!$T$855)*100000000+0*10000000+(N('Dvd Calendar'!$T$853)&gt;0)*(N('Dvd Calendar'!$T$853)&lt;=VAL_SERIAL)*1000000+77*1000+56))</f>
        <v/>
      </c>
      <c r="GI88" s="121">
        <f>IF(N('Dvd Calendar'!$U$854)=0,"",IF(('Dvd Calendar'!$U$854&gt;=GRID_FROM)*('Dvd Calendar'!$U$854&lt;=GRID_TO)*('Dvd Calendar'!$U$854&gt;VAL_DATE)=0,"",'Dvd Calendar'!$U$854*1000000000+ISNUMBER('Dvd Calendar'!$U$855)*100000000+0*10000000+(N('Dvd Calendar'!$U$853)&gt;0)*(N('Dvd Calendar'!$U$853)&lt;=VAL_SERIAL)*1000000+77*1000+57))</f>
        <v/>
      </c>
      <c r="GJ88" s="121">
        <f>IF(N('Dvd Calendar'!$V$854)=0,"",IF(('Dvd Calendar'!$V$854&gt;=GRID_FROM)*('Dvd Calendar'!$V$854&lt;=GRID_TO)*('Dvd Calendar'!$V$854&gt;VAL_DATE)=0,"",'Dvd Calendar'!$V$854*1000000000+ISNUMBER('Dvd Calendar'!$V$855)*100000000+0*10000000+(N('Dvd Calendar'!$V$853)&gt;0)*(N('Dvd Calendar'!$V$853)&lt;=VAL_SERIAL)*1000000+77*1000+58))</f>
        <v/>
      </c>
      <c r="GK88" s="121">
        <f>IF(N('Dvd Calendar'!$W$854)=0,"",IF(('Dvd Calendar'!$W$854&gt;=GRID_FROM)*('Dvd Calendar'!$W$854&lt;=GRID_TO)*('Dvd Calendar'!$W$854&gt;VAL_DATE)=0,"",'Dvd Calendar'!$W$854*1000000000+ISNUMBER('Dvd Calendar'!$W$855)*100000000+0*10000000+(N('Dvd Calendar'!$W$853)&gt;0)*(N('Dvd Calendar'!$W$853)&lt;=VAL_SERIAL)*1000000+77*1000+59))</f>
        <v/>
      </c>
      <c r="GL88" s="121">
        <f>IF(N('Dvd Calendar'!$X$854)=0,"",IF(('Dvd Calendar'!$X$854&gt;=GRID_FROM)*('Dvd Calendar'!$X$854&lt;=GRID_TO)*('Dvd Calendar'!$X$854&gt;VAL_DATE)=0,"",'Dvd Calendar'!$X$854*1000000000+ISNUMBER('Dvd Calendar'!$X$855)*100000000+0*10000000+(N('Dvd Calendar'!$X$853)&gt;0)*(N('Dvd Calendar'!$X$853)&lt;=VAL_SERIAL)*1000000+77*1000+60))</f>
        <v/>
      </c>
      <c r="GM88" s="121">
        <f>IF(N('Dvd Calendar'!$Y$854)=0,"",IF(('Dvd Calendar'!$Y$854&gt;=GRID_FROM)*('Dvd Calendar'!$Y$854&lt;=GRID_TO)*('Dvd Calendar'!$Y$854&gt;VAL_DATE)=0,"",'Dvd Calendar'!$Y$854*1000000000+ISNUMBER('Dvd Calendar'!$Y$855)*100000000+0*10000000+(N('Dvd Calendar'!$Y$853)&gt;0)*(N('Dvd Calendar'!$Y$853)&lt;=VAL_SERIAL)*1000000+77*1000+61))</f>
        <v/>
      </c>
      <c r="GN88" s="121">
        <f>IF(N('Dvd Calendar'!$Z$854)=0,"",IF(('Dvd Calendar'!$Z$854&gt;=GRID_FROM)*('Dvd Calendar'!$Z$854&lt;=GRID_TO)*('Dvd Calendar'!$Z$854&gt;VAL_DATE)=0,"",'Dvd Calendar'!$Z$854*1000000000+ISNUMBER('Dvd Calendar'!$Z$855)*100000000+0*10000000+(N('Dvd Calendar'!$Z$853)&gt;0)*(N('Dvd Calendar'!$Z$853)&lt;=VAL_SERIAL)*1000000+77*1000+62))</f>
        <v/>
      </c>
      <c r="GO88" s="121">
        <f>IF(N('Dvd Calendar'!$AA$854)=0,"",IF(('Dvd Calendar'!$AA$854&gt;=GRID_FROM)*('Dvd Calendar'!$AA$854&lt;=GRID_TO)*('Dvd Calendar'!$AA$854&gt;VAL_DATE)=0,"",'Dvd Calendar'!$AA$854*1000000000+ISNUMBER('Dvd Calendar'!$AA$855)*100000000+0*10000000+(N('Dvd Calendar'!$AA$853)&gt;0)*(N('Dvd Calendar'!$AA$853)&lt;=VAL_SERIAL)*1000000+77*1000+63))</f>
        <v/>
      </c>
      <c r="GP88" s="121">
        <f>IF(N('Dvd Calendar'!$AB$854)=0,"",IF(('Dvd Calendar'!$AB$854&gt;=GRID_FROM)*('Dvd Calendar'!$AB$854&lt;=GRID_TO)*('Dvd Calendar'!$AB$854&gt;VAL_DATE)=0,"",'Dvd Calendar'!$AB$854*1000000000+ISNUMBER('Dvd Calendar'!$AB$855)*100000000+0*10000000+(N('Dvd Calendar'!$AB$853)&gt;0)*(N('Dvd Calendar'!$AB$853)&lt;=VAL_SERIAL)*1000000+77*1000+64))</f>
        <v/>
      </c>
      <c r="GQ88" s="121">
        <f>IF(N('Dvd Calendar'!$AC$854)=0,"",IF(('Dvd Calendar'!$AC$854&gt;=GRID_FROM)*('Dvd Calendar'!$AC$854&lt;=GRID_TO)*('Dvd Calendar'!$AC$854&gt;VAL_DATE)=0,"",'Dvd Calendar'!$AC$854*1000000000+ISNUMBER('Dvd Calendar'!$AC$855)*100000000+0*10000000+(N('Dvd Calendar'!$AC$853)&gt;0)*(N('Dvd Calendar'!$AC$853)&lt;=VAL_SERIAL)*1000000+77*1000+65))</f>
        <v/>
      </c>
    </row>
    <row r="89">
      <c r="B89" s="2">
        <f>IF(HSI!$C$84="","",HSI!$C$84)</f>
        <v/>
      </c>
      <c r="C89" s="161">
        <f>IF(EE89="","",IF(ISNUMBER('Dvd Calendar'!$E$861)=FALSE,"",IF((('Dvd Calendar'!$E$863=TYPE1)*(TYPE1&lt;&gt;"")+('Dvd Calendar'!$E$863=TYPE2)*(TYPE2&lt;&gt;"")+('Dvd Calendar'!$E$863=TYPE3)*(TYPE3&lt;&gt;"")+('Dvd Calendar'!$E$863=TYPE4)*(TYPE4&lt;&gt;"")+('Dvd Calendar'!$E$863=SPECIAL_LBL)*(INC_SPECIALS="Y"))=0,"",'Dvd Calendar'!$E$861)))</f>
        <v/>
      </c>
      <c r="D89" s="161">
        <f>IF(EF89="","",IF(ISNUMBER('Dvd Calendar'!$F$861)=FALSE,"",IF((('Dvd Calendar'!$F$863=TYPE1)*(TYPE1&lt;&gt;"")+('Dvd Calendar'!$F$863=TYPE2)*(TYPE2&lt;&gt;"")+('Dvd Calendar'!$F$863=TYPE3)*(TYPE3&lt;&gt;"")+('Dvd Calendar'!$F$863=TYPE4)*(TYPE4&lt;&gt;"")+('Dvd Calendar'!$F$863=SPECIAL_LBL)*(INC_SPECIALS="Y"))=0,"",'Dvd Calendar'!$F$861)))</f>
        <v/>
      </c>
      <c r="E89" s="161">
        <f>IF(EG89="","",IF(ISNUMBER('Dvd Calendar'!$G$861)=FALSE,"",IF((('Dvd Calendar'!$G$863=TYPE1)*(TYPE1&lt;&gt;"")+('Dvd Calendar'!$G$863=TYPE2)*(TYPE2&lt;&gt;"")+('Dvd Calendar'!$G$863=TYPE3)*(TYPE3&lt;&gt;"")+('Dvd Calendar'!$G$863=TYPE4)*(TYPE4&lt;&gt;"")+('Dvd Calendar'!$G$863=SPECIAL_LBL)*(INC_SPECIALS="Y"))=0,"",'Dvd Calendar'!$G$861)))</f>
        <v/>
      </c>
      <c r="F89" s="161">
        <f>IF(EH89="","",IF(ISNUMBER('Dvd Calendar'!$H$861)=FALSE,"",IF((('Dvd Calendar'!$H$863=TYPE1)*(TYPE1&lt;&gt;"")+('Dvd Calendar'!$H$863=TYPE2)*(TYPE2&lt;&gt;"")+('Dvd Calendar'!$H$863=TYPE3)*(TYPE3&lt;&gt;"")+('Dvd Calendar'!$H$863=TYPE4)*(TYPE4&lt;&gt;"")+('Dvd Calendar'!$H$863=SPECIAL_LBL)*(INC_SPECIALS="Y"))=0,"",'Dvd Calendar'!$H$861)))</f>
        <v/>
      </c>
      <c r="G89" s="161">
        <f>IF(EI89="","",IF(ISNUMBER('Dvd Calendar'!$I$861)=FALSE,"",IF((('Dvd Calendar'!$I$863=TYPE1)*(TYPE1&lt;&gt;"")+('Dvd Calendar'!$I$863=TYPE2)*(TYPE2&lt;&gt;"")+('Dvd Calendar'!$I$863=TYPE3)*(TYPE3&lt;&gt;"")+('Dvd Calendar'!$I$863=TYPE4)*(TYPE4&lt;&gt;"")+('Dvd Calendar'!$I$863=SPECIAL_LBL)*(INC_SPECIALS="Y"))=0,"",'Dvd Calendar'!$I$861)))</f>
        <v/>
      </c>
      <c r="H89" s="161">
        <f>IF(EJ89="","",IF(ISNUMBER('Dvd Calendar'!$J$861)=FALSE,"",IF((('Dvd Calendar'!$J$863=TYPE1)*(TYPE1&lt;&gt;"")+('Dvd Calendar'!$J$863=TYPE2)*(TYPE2&lt;&gt;"")+('Dvd Calendar'!$J$863=TYPE3)*(TYPE3&lt;&gt;"")+('Dvd Calendar'!$J$863=TYPE4)*(TYPE4&lt;&gt;"")+('Dvd Calendar'!$J$863=SPECIAL_LBL)*(INC_SPECIALS="Y"))=0,"",'Dvd Calendar'!$J$861)))</f>
        <v/>
      </c>
      <c r="I89" s="161">
        <f>IF(EK89="","",IF(ISNUMBER('Dvd Calendar'!$K$861)=FALSE,"",IF((('Dvd Calendar'!$K$863=TYPE1)*(TYPE1&lt;&gt;"")+('Dvd Calendar'!$K$863=TYPE2)*(TYPE2&lt;&gt;"")+('Dvd Calendar'!$K$863=TYPE3)*(TYPE3&lt;&gt;"")+('Dvd Calendar'!$K$863=TYPE4)*(TYPE4&lt;&gt;"")+('Dvd Calendar'!$K$863=SPECIAL_LBL)*(INC_SPECIALS="Y"))=0,"",'Dvd Calendar'!$K$861)))</f>
        <v/>
      </c>
      <c r="J89" s="161">
        <f>IF(EL89="","",IF(ISNUMBER('Dvd Calendar'!$L$861)=FALSE,"",IF((('Dvd Calendar'!$L$863=TYPE1)*(TYPE1&lt;&gt;"")+('Dvd Calendar'!$L$863=TYPE2)*(TYPE2&lt;&gt;"")+('Dvd Calendar'!$L$863=TYPE3)*(TYPE3&lt;&gt;"")+('Dvd Calendar'!$L$863=TYPE4)*(TYPE4&lt;&gt;"")+('Dvd Calendar'!$L$863=SPECIAL_LBL)*(INC_SPECIALS="Y"))=0,"",'Dvd Calendar'!$L$861)))</f>
        <v/>
      </c>
      <c r="K89" s="161">
        <f>IF(EM89="","",IF(ISNUMBER('Dvd Calendar'!$M$861)=FALSE,"",IF((('Dvd Calendar'!$M$863=TYPE1)*(TYPE1&lt;&gt;"")+('Dvd Calendar'!$M$863=TYPE2)*(TYPE2&lt;&gt;"")+('Dvd Calendar'!$M$863=TYPE3)*(TYPE3&lt;&gt;"")+('Dvd Calendar'!$M$863=TYPE4)*(TYPE4&lt;&gt;"")+('Dvd Calendar'!$M$863=SPECIAL_LBL)*(INC_SPECIALS="Y"))=0,"",'Dvd Calendar'!$M$861)))</f>
        <v/>
      </c>
      <c r="L89" s="161">
        <f>IF(EN89="","",IF(ISNUMBER('Dvd Calendar'!$N$861)=FALSE,"",IF((('Dvd Calendar'!$N$863=TYPE1)*(TYPE1&lt;&gt;"")+('Dvd Calendar'!$N$863=TYPE2)*(TYPE2&lt;&gt;"")+('Dvd Calendar'!$N$863=TYPE3)*(TYPE3&lt;&gt;"")+('Dvd Calendar'!$N$863=TYPE4)*(TYPE4&lt;&gt;"")+('Dvd Calendar'!$N$863=SPECIAL_LBL)*(INC_SPECIALS="Y"))=0,"",'Dvd Calendar'!$N$861)))</f>
        <v/>
      </c>
      <c r="M89" s="161">
        <f>IF(EO89="","",IF(ISNUMBER('Dvd Calendar'!$O$861)=FALSE,"",IF((('Dvd Calendar'!$O$863=TYPE1)*(TYPE1&lt;&gt;"")+('Dvd Calendar'!$O$863=TYPE2)*(TYPE2&lt;&gt;"")+('Dvd Calendar'!$O$863=TYPE3)*(TYPE3&lt;&gt;"")+('Dvd Calendar'!$O$863=TYPE4)*(TYPE4&lt;&gt;"")+('Dvd Calendar'!$O$863=SPECIAL_LBL)*(INC_SPECIALS="Y"))=0,"",'Dvd Calendar'!$O$861)))</f>
        <v/>
      </c>
      <c r="N89" s="161">
        <f>IF(EP89="","",IF(ISNUMBER('Dvd Calendar'!$P$861)=FALSE,"",IF((('Dvd Calendar'!$P$863=TYPE1)*(TYPE1&lt;&gt;"")+('Dvd Calendar'!$P$863=TYPE2)*(TYPE2&lt;&gt;"")+('Dvd Calendar'!$P$863=TYPE3)*(TYPE3&lt;&gt;"")+('Dvd Calendar'!$P$863=TYPE4)*(TYPE4&lt;&gt;"")+('Dvd Calendar'!$P$863=SPECIAL_LBL)*(INC_SPECIALS="Y"))=0,"",'Dvd Calendar'!$P$861)))</f>
        <v/>
      </c>
      <c r="O89" s="161">
        <f>IF(EQ89="","",IF(ISNUMBER('Dvd Calendar'!$Q$861)=FALSE,"",IF((('Dvd Calendar'!$Q$863=TYPE1)*(TYPE1&lt;&gt;"")+('Dvd Calendar'!$Q$863=TYPE2)*(TYPE2&lt;&gt;"")+('Dvd Calendar'!$Q$863=TYPE3)*(TYPE3&lt;&gt;"")+('Dvd Calendar'!$Q$863=TYPE4)*(TYPE4&lt;&gt;"")+('Dvd Calendar'!$Q$863=SPECIAL_LBL)*(INC_SPECIALS="Y"))=0,"",'Dvd Calendar'!$Q$861)))</f>
        <v/>
      </c>
      <c r="P89" s="161">
        <f>IF(ER89="","",IF(ISNUMBER('Dvd Calendar'!$R$861)=FALSE,"",IF((('Dvd Calendar'!$R$863=TYPE1)*(TYPE1&lt;&gt;"")+('Dvd Calendar'!$R$863=TYPE2)*(TYPE2&lt;&gt;"")+('Dvd Calendar'!$R$863=TYPE3)*(TYPE3&lt;&gt;"")+('Dvd Calendar'!$R$863=TYPE4)*(TYPE4&lt;&gt;"")+('Dvd Calendar'!$R$863=SPECIAL_LBL)*(INC_SPECIALS="Y"))=0,"",'Dvd Calendar'!$R$861)))</f>
        <v/>
      </c>
      <c r="Q89" s="161">
        <f>IF(ES89="","",IF(ISNUMBER('Dvd Calendar'!$S$861)=FALSE,"",IF((('Dvd Calendar'!$S$863=TYPE1)*(TYPE1&lt;&gt;"")+('Dvd Calendar'!$S$863=TYPE2)*(TYPE2&lt;&gt;"")+('Dvd Calendar'!$S$863=TYPE3)*(TYPE3&lt;&gt;"")+('Dvd Calendar'!$S$863=TYPE4)*(TYPE4&lt;&gt;"")+('Dvd Calendar'!$S$863=SPECIAL_LBL)*(INC_SPECIALS="Y"))=0,"",'Dvd Calendar'!$S$861)))</f>
        <v/>
      </c>
      <c r="R89" s="161">
        <f>IF(ET89="","",IF(ISNUMBER('Dvd Calendar'!$T$861)=FALSE,"",IF((('Dvd Calendar'!$T$863=TYPE1)*(TYPE1&lt;&gt;"")+('Dvd Calendar'!$T$863=TYPE2)*(TYPE2&lt;&gt;"")+('Dvd Calendar'!$T$863=TYPE3)*(TYPE3&lt;&gt;"")+('Dvd Calendar'!$T$863=TYPE4)*(TYPE4&lt;&gt;"")+('Dvd Calendar'!$T$863=SPECIAL_LBL)*(INC_SPECIALS="Y"))=0,"",'Dvd Calendar'!$T$861)))</f>
        <v/>
      </c>
      <c r="S89" s="161">
        <f>IF(EU89="","",IF(ISNUMBER('Dvd Calendar'!$U$861)=FALSE,"",IF((('Dvd Calendar'!$U$863=TYPE1)*(TYPE1&lt;&gt;"")+('Dvd Calendar'!$U$863=TYPE2)*(TYPE2&lt;&gt;"")+('Dvd Calendar'!$U$863=TYPE3)*(TYPE3&lt;&gt;"")+('Dvd Calendar'!$U$863=TYPE4)*(TYPE4&lt;&gt;"")+('Dvd Calendar'!$U$863=SPECIAL_LBL)*(INC_SPECIALS="Y"))=0,"",'Dvd Calendar'!$U$861)))</f>
        <v/>
      </c>
      <c r="T89" s="161">
        <f>IF(EV89="","",IF(ISNUMBER('Dvd Calendar'!$V$861)=FALSE,"",IF((('Dvd Calendar'!$V$863=TYPE1)*(TYPE1&lt;&gt;"")+('Dvd Calendar'!$V$863=TYPE2)*(TYPE2&lt;&gt;"")+('Dvd Calendar'!$V$863=TYPE3)*(TYPE3&lt;&gt;"")+('Dvd Calendar'!$V$863=TYPE4)*(TYPE4&lt;&gt;"")+('Dvd Calendar'!$V$863=SPECIAL_LBL)*(INC_SPECIALS="Y"))=0,"",'Dvd Calendar'!$V$861)))</f>
        <v/>
      </c>
      <c r="U89" s="161">
        <f>IF(EW89="","",IF(ISNUMBER('Dvd Calendar'!$W$861)=FALSE,"",IF((('Dvd Calendar'!$W$863=TYPE1)*(TYPE1&lt;&gt;"")+('Dvd Calendar'!$W$863=TYPE2)*(TYPE2&lt;&gt;"")+('Dvd Calendar'!$W$863=TYPE3)*(TYPE3&lt;&gt;"")+('Dvd Calendar'!$W$863=TYPE4)*(TYPE4&lt;&gt;"")+('Dvd Calendar'!$W$863=SPECIAL_LBL)*(INC_SPECIALS="Y"))=0,"",'Dvd Calendar'!$W$861)))</f>
        <v/>
      </c>
      <c r="V89" s="161">
        <f>IF(EX89="","",IF(ISNUMBER('Dvd Calendar'!$X$861)=FALSE,"",IF((('Dvd Calendar'!$X$863=TYPE1)*(TYPE1&lt;&gt;"")+('Dvd Calendar'!$X$863=TYPE2)*(TYPE2&lt;&gt;"")+('Dvd Calendar'!$X$863=TYPE3)*(TYPE3&lt;&gt;"")+('Dvd Calendar'!$X$863=TYPE4)*(TYPE4&lt;&gt;"")+('Dvd Calendar'!$X$863=SPECIAL_LBL)*(INC_SPECIALS="Y"))=0,"",'Dvd Calendar'!$X$861)))</f>
        <v/>
      </c>
      <c r="W89" s="161">
        <f>IF(EY89="","",IF(ISNUMBER('Dvd Calendar'!$Y$861)=FALSE,"",IF((('Dvd Calendar'!$Y$863=TYPE1)*(TYPE1&lt;&gt;"")+('Dvd Calendar'!$Y$863=TYPE2)*(TYPE2&lt;&gt;"")+('Dvd Calendar'!$Y$863=TYPE3)*(TYPE3&lt;&gt;"")+('Dvd Calendar'!$Y$863=TYPE4)*(TYPE4&lt;&gt;"")+('Dvd Calendar'!$Y$863=SPECIAL_LBL)*(INC_SPECIALS="Y"))=0,"",'Dvd Calendar'!$Y$861)))</f>
        <v/>
      </c>
      <c r="X89" s="161">
        <f>IF(EZ89="","",IF(ISNUMBER('Dvd Calendar'!$Z$861)=FALSE,"",IF((('Dvd Calendar'!$Z$863=TYPE1)*(TYPE1&lt;&gt;"")+('Dvd Calendar'!$Z$863=TYPE2)*(TYPE2&lt;&gt;"")+('Dvd Calendar'!$Z$863=TYPE3)*(TYPE3&lt;&gt;"")+('Dvd Calendar'!$Z$863=TYPE4)*(TYPE4&lt;&gt;"")+('Dvd Calendar'!$Z$863=SPECIAL_LBL)*(INC_SPECIALS="Y"))=0,"",'Dvd Calendar'!$Z$861)))</f>
        <v/>
      </c>
      <c r="Y89" s="161">
        <f>IF(FA89="","",IF(ISNUMBER('Dvd Calendar'!$AA$861)=FALSE,"",IF((('Dvd Calendar'!$AA$863=TYPE1)*(TYPE1&lt;&gt;"")+('Dvd Calendar'!$AA$863=TYPE2)*(TYPE2&lt;&gt;"")+('Dvd Calendar'!$AA$863=TYPE3)*(TYPE3&lt;&gt;"")+('Dvd Calendar'!$AA$863=TYPE4)*(TYPE4&lt;&gt;"")+('Dvd Calendar'!$AA$863=SPECIAL_LBL)*(INC_SPECIALS="Y"))=0,"",'Dvd Calendar'!$AA$861)))</f>
        <v/>
      </c>
      <c r="Z89" s="161">
        <f>IF(FB89="","",IF(ISNUMBER('Dvd Calendar'!$AB$861)=FALSE,"",IF((('Dvd Calendar'!$AB$863=TYPE1)*(TYPE1&lt;&gt;"")+('Dvd Calendar'!$AB$863=TYPE2)*(TYPE2&lt;&gt;"")+('Dvd Calendar'!$AB$863=TYPE3)*(TYPE3&lt;&gt;"")+('Dvd Calendar'!$AB$863=TYPE4)*(TYPE4&lt;&gt;"")+('Dvd Calendar'!$AB$863=SPECIAL_LBL)*(INC_SPECIALS="Y"))=0,"",'Dvd Calendar'!$AB$861)))</f>
        <v/>
      </c>
      <c r="AA89" s="161">
        <f>IF(FC89="","",IF(ISNUMBER('Dvd Calendar'!$AC$861)=FALSE,"",IF((('Dvd Calendar'!$AC$863=TYPE1)*(TYPE1&lt;&gt;"")+('Dvd Calendar'!$AC$863=TYPE2)*(TYPE2&lt;&gt;"")+('Dvd Calendar'!$AC$863=TYPE3)*(TYPE3&lt;&gt;"")+('Dvd Calendar'!$AC$863=TYPE4)*(TYPE4&lt;&gt;"")+('Dvd Calendar'!$AC$863=SPECIAL_LBL)*(INC_SPECIALS="Y"))=0,"",'Dvd Calendar'!$AC$861)))</f>
        <v/>
      </c>
      <c r="AB89" s="161">
        <f>IF(FD89="","",IF(ISNUMBER('Dvd Calendar'!$AD$861)=FALSE,"",IF((('Dvd Calendar'!$AD$863=TYPE1)*(TYPE1&lt;&gt;"")+('Dvd Calendar'!$AD$863=TYPE2)*(TYPE2&lt;&gt;"")+('Dvd Calendar'!$AD$863=TYPE3)*(TYPE3&lt;&gt;"")+('Dvd Calendar'!$AD$863=TYPE4)*(TYPE4&lt;&gt;"")+('Dvd Calendar'!$AD$863=SPECIAL_LBL)*(INC_SPECIALS="Y"))=0,"",'Dvd Calendar'!$AD$861)))</f>
        <v/>
      </c>
      <c r="AC89" s="161">
        <f>IF(FE89="","",IF(ISNUMBER('Dvd Calendar'!$AE$861)=FALSE,"",IF((('Dvd Calendar'!$AE$863=TYPE1)*(TYPE1&lt;&gt;"")+('Dvd Calendar'!$AE$863=TYPE2)*(TYPE2&lt;&gt;"")+('Dvd Calendar'!$AE$863=TYPE3)*(TYPE3&lt;&gt;"")+('Dvd Calendar'!$AE$863=TYPE4)*(TYPE4&lt;&gt;"")+('Dvd Calendar'!$AE$863=SPECIAL_LBL)*(INC_SPECIALS="Y"))=0,"",'Dvd Calendar'!$AE$861)))</f>
        <v/>
      </c>
      <c r="AD89" s="161">
        <f>IF(FF89="","",IF(ISNUMBER('Dvd Calendar'!$AF$861)=FALSE,"",IF((('Dvd Calendar'!$AF$863=TYPE1)*(TYPE1&lt;&gt;"")+('Dvd Calendar'!$AF$863=TYPE2)*(TYPE2&lt;&gt;"")+('Dvd Calendar'!$AF$863=TYPE3)*(TYPE3&lt;&gt;"")+('Dvd Calendar'!$AF$863=TYPE4)*(TYPE4&lt;&gt;"")+('Dvd Calendar'!$AF$863=SPECIAL_LBL)*(INC_SPECIALS="Y"))=0,"",'Dvd Calendar'!$AF$861)))</f>
        <v/>
      </c>
      <c r="AE89" s="161">
        <f>IF(FG89="","",IF(ISNUMBER('Dvd Calendar'!$AG$861)=FALSE,"",IF((('Dvd Calendar'!$AG$863=TYPE1)*(TYPE1&lt;&gt;"")+('Dvd Calendar'!$AG$863=TYPE2)*(TYPE2&lt;&gt;"")+('Dvd Calendar'!$AG$863=TYPE3)*(TYPE3&lt;&gt;"")+('Dvd Calendar'!$AG$863=TYPE4)*(TYPE4&lt;&gt;"")+('Dvd Calendar'!$AG$863=SPECIAL_LBL)*(INC_SPECIALS="Y"))=0,"",'Dvd Calendar'!$AG$861)))</f>
        <v/>
      </c>
      <c r="AF89" s="161">
        <f>IF(FH89="","",IF(ISNUMBER('Dvd Calendar'!$AH$861)=FALSE,"",IF((('Dvd Calendar'!$AH$863=TYPE1)*(TYPE1&lt;&gt;"")+('Dvd Calendar'!$AH$863=TYPE2)*(TYPE2&lt;&gt;"")+('Dvd Calendar'!$AH$863=TYPE3)*(TYPE3&lt;&gt;"")+('Dvd Calendar'!$AH$863=TYPE4)*(TYPE4&lt;&gt;"")+('Dvd Calendar'!$AH$863=SPECIAL_LBL)*(INC_SPECIALS="Y"))=0,"",'Dvd Calendar'!$AH$861)))</f>
        <v/>
      </c>
      <c r="AG89" s="161">
        <f>IF(FI89="","",IF(ISNUMBER('Dvd Calendar'!$AI$861)=FALSE,"",IF((('Dvd Calendar'!$AI$863=TYPE1)*(TYPE1&lt;&gt;"")+('Dvd Calendar'!$AI$863=TYPE2)*(TYPE2&lt;&gt;"")+('Dvd Calendar'!$AI$863=TYPE3)*(TYPE3&lt;&gt;"")+('Dvd Calendar'!$AI$863=TYPE4)*(TYPE4&lt;&gt;"")+('Dvd Calendar'!$AI$863=SPECIAL_LBL)*(INC_SPECIALS="Y"))=0,"",'Dvd Calendar'!$AI$861)))</f>
        <v/>
      </c>
      <c r="AH89" s="161">
        <f>IF(FJ89="","",IF(ISNUMBER('Dvd Calendar'!$AJ$861)=FALSE,"",IF((('Dvd Calendar'!$AJ$863=TYPE1)*(TYPE1&lt;&gt;"")+('Dvd Calendar'!$AJ$863=TYPE2)*(TYPE2&lt;&gt;"")+('Dvd Calendar'!$AJ$863=TYPE3)*(TYPE3&lt;&gt;"")+('Dvd Calendar'!$AJ$863=TYPE4)*(TYPE4&lt;&gt;"")+('Dvd Calendar'!$AJ$863=SPECIAL_LBL)*(INC_SPECIALS="Y"))=0,"",'Dvd Calendar'!$AJ$861)))</f>
        <v/>
      </c>
      <c r="AI89" s="161">
        <f>IF(FK89="","",IF(ISNUMBER('Dvd Calendar'!$AK$861)=FALSE,"",IF((('Dvd Calendar'!$AK$863=TYPE1)*(TYPE1&lt;&gt;"")+('Dvd Calendar'!$AK$863=TYPE2)*(TYPE2&lt;&gt;"")+('Dvd Calendar'!$AK$863=TYPE3)*(TYPE3&lt;&gt;"")+('Dvd Calendar'!$AK$863=TYPE4)*(TYPE4&lt;&gt;"")+('Dvd Calendar'!$AK$863=SPECIAL_LBL)*(INC_SPECIALS="Y"))=0,"",'Dvd Calendar'!$AK$861)))</f>
        <v/>
      </c>
      <c r="AJ89" s="161">
        <f>IF(FL89="","",IF(ISNUMBER('Dvd Calendar'!$AL$861)=FALSE,"",IF((('Dvd Calendar'!$AL$863=TYPE1)*(TYPE1&lt;&gt;"")+('Dvd Calendar'!$AL$863=TYPE2)*(TYPE2&lt;&gt;"")+('Dvd Calendar'!$AL$863=TYPE3)*(TYPE3&lt;&gt;"")+('Dvd Calendar'!$AL$863=TYPE4)*(TYPE4&lt;&gt;"")+('Dvd Calendar'!$AL$863=SPECIAL_LBL)*(INC_SPECIALS="Y"))=0,"",'Dvd Calendar'!$AL$861)))</f>
        <v/>
      </c>
      <c r="AK89" s="161">
        <f>IF(FM89="","",IF(ISNUMBER('Dvd Calendar'!$AM$861)=FALSE,"",IF((('Dvd Calendar'!$AM$863=TYPE1)*(TYPE1&lt;&gt;"")+('Dvd Calendar'!$AM$863=TYPE2)*(TYPE2&lt;&gt;"")+('Dvd Calendar'!$AM$863=TYPE3)*(TYPE3&lt;&gt;"")+('Dvd Calendar'!$AM$863=TYPE4)*(TYPE4&lt;&gt;"")+('Dvd Calendar'!$AM$863=SPECIAL_LBL)*(INC_SPECIALS="Y"))=0,"",'Dvd Calendar'!$AM$861)))</f>
        <v/>
      </c>
      <c r="AL89" s="161">
        <f>IF(FN89="","",IF(ISNUMBER('Dvd Calendar'!$AN$861)=FALSE,"",IF((('Dvd Calendar'!$AN$863=TYPE1)*(TYPE1&lt;&gt;"")+('Dvd Calendar'!$AN$863=TYPE2)*(TYPE2&lt;&gt;"")+('Dvd Calendar'!$AN$863=TYPE3)*(TYPE3&lt;&gt;"")+('Dvd Calendar'!$AN$863=TYPE4)*(TYPE4&lt;&gt;"")+('Dvd Calendar'!$AN$863=SPECIAL_LBL)*(INC_SPECIALS="Y"))=0,"",'Dvd Calendar'!$AN$861)))</f>
        <v/>
      </c>
      <c r="AM89" s="161">
        <f>IF(FO89="","",IF(ISNUMBER('Dvd Calendar'!$AO$861)=FALSE,"",IF((('Dvd Calendar'!$AO$863=TYPE1)*(TYPE1&lt;&gt;"")+('Dvd Calendar'!$AO$863=TYPE2)*(TYPE2&lt;&gt;"")+('Dvd Calendar'!$AO$863=TYPE3)*(TYPE3&lt;&gt;"")+('Dvd Calendar'!$AO$863=TYPE4)*(TYPE4&lt;&gt;"")+('Dvd Calendar'!$AO$863=SPECIAL_LBL)*(INC_SPECIALS="Y"))=0,"",'Dvd Calendar'!$AO$861)))</f>
        <v/>
      </c>
      <c r="AN89" s="161">
        <f>IF(FP89="","",IF(ISNUMBER('Dvd Calendar'!$AP$861)=FALSE,"",IF((('Dvd Calendar'!$AP$863=TYPE1)*(TYPE1&lt;&gt;"")+('Dvd Calendar'!$AP$863=TYPE2)*(TYPE2&lt;&gt;"")+('Dvd Calendar'!$AP$863=TYPE3)*(TYPE3&lt;&gt;"")+('Dvd Calendar'!$AP$863=TYPE4)*(TYPE4&lt;&gt;"")+('Dvd Calendar'!$AP$863=SPECIAL_LBL)*(INC_SPECIALS="Y"))=0,"",'Dvd Calendar'!$AP$861)))</f>
        <v/>
      </c>
      <c r="AO89" s="161">
        <f>IF(FQ89="","",IF(ISNUMBER('Dvd Calendar'!$AQ$861)=FALSE,"",IF((('Dvd Calendar'!$AQ$863=TYPE1)*(TYPE1&lt;&gt;"")+('Dvd Calendar'!$AQ$863=TYPE2)*(TYPE2&lt;&gt;"")+('Dvd Calendar'!$AQ$863=TYPE3)*(TYPE3&lt;&gt;"")+('Dvd Calendar'!$AQ$863=TYPE4)*(TYPE4&lt;&gt;"")+('Dvd Calendar'!$AQ$863=SPECIAL_LBL)*(INC_SPECIALS="Y"))=0,"",'Dvd Calendar'!$AQ$861)))</f>
        <v/>
      </c>
      <c r="AP89" s="161">
        <f>IF(FR89="","",IF(ISNUMBER('Dvd Calendar'!$AR$861)=FALSE,"",IF((('Dvd Calendar'!$AR$863=TYPE1)*(TYPE1&lt;&gt;"")+('Dvd Calendar'!$AR$863=TYPE2)*(TYPE2&lt;&gt;"")+('Dvd Calendar'!$AR$863=TYPE3)*(TYPE3&lt;&gt;"")+('Dvd Calendar'!$AR$863=TYPE4)*(TYPE4&lt;&gt;"")+('Dvd Calendar'!$AR$863=SPECIAL_LBL)*(INC_SPECIALS="Y"))=0,"",'Dvd Calendar'!$AR$861)))</f>
        <v/>
      </c>
      <c r="AQ89" s="161">
        <f>IF(FS89="","",IF(ISNUMBER('Dvd Calendar'!$E$866)=FALSE,"",'Dvd Calendar'!$E$866))</f>
        <v/>
      </c>
      <c r="AR89" s="161">
        <f>IF(FT89="","",IF(ISNUMBER('Dvd Calendar'!$F$866)=FALSE,"",'Dvd Calendar'!$F$866))</f>
        <v/>
      </c>
      <c r="AS89" s="161">
        <f>IF(FU89="","",IF(ISNUMBER('Dvd Calendar'!$G$866)=FALSE,"",'Dvd Calendar'!$G$866))</f>
        <v/>
      </c>
      <c r="AT89" s="161">
        <f>IF(FV89="","",IF(ISNUMBER('Dvd Calendar'!$H$866)=FALSE,"",'Dvd Calendar'!$H$866))</f>
        <v/>
      </c>
      <c r="AU89" s="161">
        <f>IF(FW89="","",IF(ISNUMBER('Dvd Calendar'!$I$866)=FALSE,"",'Dvd Calendar'!$I$866))</f>
        <v/>
      </c>
      <c r="AV89" s="161">
        <f>IF(FX89="","",IF(ISNUMBER('Dvd Calendar'!$J$866)=FALSE,"",'Dvd Calendar'!$J$866))</f>
        <v/>
      </c>
      <c r="AW89" s="161">
        <f>IF(FY89="","",IF(ISNUMBER('Dvd Calendar'!$K$866)=FALSE,"",'Dvd Calendar'!$K$866))</f>
        <v/>
      </c>
      <c r="AX89" s="161">
        <f>IF(FZ89="","",IF(ISNUMBER('Dvd Calendar'!$L$866)=FALSE,"",'Dvd Calendar'!$L$866))</f>
        <v/>
      </c>
      <c r="AY89" s="161">
        <f>IF(GA89="","",IF(ISNUMBER('Dvd Calendar'!$M$866)=FALSE,"",'Dvd Calendar'!$M$866))</f>
        <v/>
      </c>
      <c r="AZ89" s="161">
        <f>IF(GB89="","",IF(ISNUMBER('Dvd Calendar'!$N$866)=FALSE,"",'Dvd Calendar'!$N$866))</f>
        <v/>
      </c>
      <c r="BA89" s="161">
        <f>IF(GC89="","",IF(ISNUMBER('Dvd Calendar'!$O$866)=FALSE,"",'Dvd Calendar'!$O$866))</f>
        <v/>
      </c>
      <c r="BB89" s="161">
        <f>IF(GD89="","",IF(ISNUMBER('Dvd Calendar'!$P$866)=FALSE,"",'Dvd Calendar'!$P$866))</f>
        <v/>
      </c>
      <c r="BC89" s="161">
        <f>IF(GE89="","",IF(ISNUMBER('Dvd Calendar'!$Q$866)=FALSE,"",'Dvd Calendar'!$Q$866))</f>
        <v/>
      </c>
      <c r="BD89" s="161">
        <f>IF(GF89="","",IF(ISNUMBER('Dvd Calendar'!$R$866)=FALSE,"",'Dvd Calendar'!$R$866))</f>
        <v/>
      </c>
      <c r="BE89" s="161">
        <f>IF(GG89="","",IF(ISNUMBER('Dvd Calendar'!$S$866)=FALSE,"",'Dvd Calendar'!$S$866))</f>
        <v/>
      </c>
      <c r="BF89" s="161">
        <f>IF(GH89="","",IF(ISNUMBER('Dvd Calendar'!$T$866)=FALSE,"",'Dvd Calendar'!$T$866))</f>
        <v/>
      </c>
      <c r="BG89" s="161">
        <f>IF(GI89="","",IF(ISNUMBER('Dvd Calendar'!$U$866)=FALSE,"",'Dvd Calendar'!$U$866))</f>
        <v/>
      </c>
      <c r="BH89" s="161">
        <f>IF(GJ89="","",IF(ISNUMBER('Dvd Calendar'!$V$866)=FALSE,"",'Dvd Calendar'!$V$866))</f>
        <v/>
      </c>
      <c r="BI89" s="161">
        <f>IF(GK89="","",IF(ISNUMBER('Dvd Calendar'!$W$866)=FALSE,"",'Dvd Calendar'!$W$866))</f>
        <v/>
      </c>
      <c r="BJ89" s="161">
        <f>IF(GL89="","",IF(ISNUMBER('Dvd Calendar'!$X$866)=FALSE,"",'Dvd Calendar'!$X$866))</f>
        <v/>
      </c>
      <c r="BK89" s="161">
        <f>IF(GM89="","",IF(ISNUMBER('Dvd Calendar'!$Y$866)=FALSE,"",'Dvd Calendar'!$Y$866))</f>
        <v/>
      </c>
      <c r="BL89" s="161">
        <f>IF(GN89="","",IF(ISNUMBER('Dvd Calendar'!$Z$866)=FALSE,"",'Dvd Calendar'!$Z$866))</f>
        <v/>
      </c>
      <c r="BM89" s="161">
        <f>IF(GO89="","",IF(ISNUMBER('Dvd Calendar'!$AA$866)=FALSE,"",'Dvd Calendar'!$AA$866))</f>
        <v/>
      </c>
      <c r="BN89" s="161">
        <f>IF(GP89="","",IF(ISNUMBER('Dvd Calendar'!$AB$866)=FALSE,"",'Dvd Calendar'!$AB$866))</f>
        <v/>
      </c>
      <c r="BO89" s="161">
        <f>IF(GQ89="","",IF(ISNUMBER('Dvd Calendar'!$AC$866)=FALSE,"",'Dvd Calendar'!$AC$866))</f>
        <v/>
      </c>
      <c r="BQ89" s="161">
        <f>IF(C89="","",IFERROR(C89*HSI!$B$84*HSI!$G$84/HSI!$B$3,""))</f>
        <v/>
      </c>
      <c r="BR89" s="161">
        <f>IF(D89="","",IFERROR(D89*HSI!$B$84*HSI!$G$84/HSI!$B$3,""))</f>
        <v/>
      </c>
      <c r="BS89" s="161">
        <f>IF(E89="","",IFERROR(E89*HSI!$B$84*HSI!$G$84/HSI!$B$3,""))</f>
        <v/>
      </c>
      <c r="BT89" s="161">
        <f>IF(F89="","",IFERROR(F89*HSI!$B$84*HSI!$G$84/HSI!$B$3,""))</f>
        <v/>
      </c>
      <c r="BU89" s="161">
        <f>IF(G89="","",IFERROR(G89*HSI!$B$84*HSI!$G$84/HSI!$B$3,""))</f>
        <v/>
      </c>
      <c r="BV89" s="161">
        <f>IF(H89="","",IFERROR(H89*HSI!$B$84*HSI!$G$84/HSI!$B$3,""))</f>
        <v/>
      </c>
      <c r="BW89" s="161">
        <f>IF(I89="","",IFERROR(I89*HSI!$B$84*HSI!$G$84/HSI!$B$3,""))</f>
        <v/>
      </c>
      <c r="BX89" s="161">
        <f>IF(J89="","",IFERROR(J89*HSI!$B$84*HSI!$G$84/HSI!$B$3,""))</f>
        <v/>
      </c>
      <c r="BY89" s="161">
        <f>IF(K89="","",IFERROR(K89*HSI!$B$84*HSI!$G$84/HSI!$B$3,""))</f>
        <v/>
      </c>
      <c r="BZ89" s="161">
        <f>IF(L89="","",IFERROR(L89*HSI!$B$84*HSI!$G$84/HSI!$B$3,""))</f>
        <v/>
      </c>
      <c r="CA89" s="161">
        <f>IF(M89="","",IFERROR(M89*HSI!$B$84*HSI!$G$84/HSI!$B$3,""))</f>
        <v/>
      </c>
      <c r="CB89" s="161">
        <f>IF(N89="","",IFERROR(N89*HSI!$B$84*HSI!$G$84/HSI!$B$3,""))</f>
        <v/>
      </c>
      <c r="CC89" s="161">
        <f>IF(O89="","",IFERROR(O89*HSI!$B$84*HSI!$G$84/HSI!$B$3,""))</f>
        <v/>
      </c>
      <c r="CD89" s="161">
        <f>IF(P89="","",IFERROR(P89*HSI!$B$84*HSI!$G$84/HSI!$B$3,""))</f>
        <v/>
      </c>
      <c r="CE89" s="161">
        <f>IF(Q89="","",IFERROR(Q89*HSI!$B$84*HSI!$G$84/HSI!$B$3,""))</f>
        <v/>
      </c>
      <c r="CF89" s="161">
        <f>IF(R89="","",IFERROR(R89*HSI!$B$84*HSI!$G$84/HSI!$B$3,""))</f>
        <v/>
      </c>
      <c r="CG89" s="161">
        <f>IF(S89="","",IFERROR(S89*HSI!$B$84*HSI!$G$84/HSI!$B$3,""))</f>
        <v/>
      </c>
      <c r="CH89" s="161">
        <f>IF(T89="","",IFERROR(T89*HSI!$B$84*HSI!$G$84/HSI!$B$3,""))</f>
        <v/>
      </c>
      <c r="CI89" s="161">
        <f>IF(U89="","",IFERROR(U89*HSI!$B$84*HSI!$G$84/HSI!$B$3,""))</f>
        <v/>
      </c>
      <c r="CJ89" s="161">
        <f>IF(V89="","",IFERROR(V89*HSI!$B$84*HSI!$G$84/HSI!$B$3,""))</f>
        <v/>
      </c>
      <c r="CK89" s="161">
        <f>IF(W89="","",IFERROR(W89*HSI!$B$84*HSI!$G$84/HSI!$B$3,""))</f>
        <v/>
      </c>
      <c r="CL89" s="161">
        <f>IF(X89="","",IFERROR(X89*HSI!$B$84*HSI!$G$84/HSI!$B$3,""))</f>
        <v/>
      </c>
      <c r="CM89" s="161">
        <f>IF(Y89="","",IFERROR(Y89*HSI!$B$84*HSI!$G$84/HSI!$B$3,""))</f>
        <v/>
      </c>
      <c r="CN89" s="161">
        <f>IF(Z89="","",IFERROR(Z89*HSI!$B$84*HSI!$G$84/HSI!$B$3,""))</f>
        <v/>
      </c>
      <c r="CO89" s="161">
        <f>IF(AA89="","",IFERROR(AA89*HSI!$B$84*HSI!$G$84/HSI!$B$3,""))</f>
        <v/>
      </c>
      <c r="CP89" s="161">
        <f>IF(AB89="","",IFERROR(AB89*HSI!$B$84*HSI!$G$84/HSI!$B$3,""))</f>
        <v/>
      </c>
      <c r="CQ89" s="161">
        <f>IF(AC89="","",IFERROR(AC89*HSI!$B$84*HSI!$G$84/HSI!$B$3,""))</f>
        <v/>
      </c>
      <c r="CR89" s="161">
        <f>IF(AD89="","",IFERROR(AD89*HSI!$B$84*HSI!$G$84/HSI!$B$3,""))</f>
        <v/>
      </c>
      <c r="CS89" s="161">
        <f>IF(AE89="","",IFERROR(AE89*HSI!$B$84*HSI!$G$84/HSI!$B$3,""))</f>
        <v/>
      </c>
      <c r="CT89" s="161">
        <f>IF(AF89="","",IFERROR(AF89*HSI!$B$84*HSI!$G$84/HSI!$B$3,""))</f>
        <v/>
      </c>
      <c r="CU89" s="161">
        <f>IF(AG89="","",IFERROR(AG89*HSI!$B$84*HSI!$G$84/HSI!$B$3,""))</f>
        <v/>
      </c>
      <c r="CV89" s="161">
        <f>IF(AH89="","",IFERROR(AH89*HSI!$B$84*HSI!$G$84/HSI!$B$3,""))</f>
        <v/>
      </c>
      <c r="CW89" s="161">
        <f>IF(AI89="","",IFERROR(AI89*HSI!$B$84*HSI!$G$84/HSI!$B$3,""))</f>
        <v/>
      </c>
      <c r="CX89" s="161">
        <f>IF(AJ89="","",IFERROR(AJ89*HSI!$B$84*HSI!$G$84/HSI!$B$3,""))</f>
        <v/>
      </c>
      <c r="CY89" s="161">
        <f>IF(AK89="","",IFERROR(AK89*HSI!$B$84*HSI!$G$84/HSI!$B$3,""))</f>
        <v/>
      </c>
      <c r="CZ89" s="161">
        <f>IF(AL89="","",IFERROR(AL89*HSI!$B$84*HSI!$G$84/HSI!$B$3,""))</f>
        <v/>
      </c>
      <c r="DA89" s="161">
        <f>IF(AM89="","",IFERROR(AM89*HSI!$B$84*HSI!$G$84/HSI!$B$3,""))</f>
        <v/>
      </c>
      <c r="DB89" s="161">
        <f>IF(AN89="","",IFERROR(AN89*HSI!$B$84*HSI!$G$84/HSI!$B$3,""))</f>
        <v/>
      </c>
      <c r="DC89" s="161">
        <f>IF(AO89="","",IFERROR(AO89*HSI!$B$84*HSI!$G$84/HSI!$B$3,""))</f>
        <v/>
      </c>
      <c r="DD89" s="161">
        <f>IF(AP89="","",IFERROR(AP89*HSI!$B$84*HSI!$G$84/HSI!$B$3,""))</f>
        <v/>
      </c>
      <c r="DE89" s="161">
        <f>IF(AQ89="","",IFERROR(AQ89*HSI!$B$84*HSI!$G$84/HSI!$B$3,""))</f>
        <v/>
      </c>
      <c r="DF89" s="161">
        <f>IF(AR89="","",IFERROR(AR89*HSI!$B$84*HSI!$G$84/HSI!$B$3,""))</f>
        <v/>
      </c>
      <c r="DG89" s="161">
        <f>IF(AS89="","",IFERROR(AS89*HSI!$B$84*HSI!$G$84/HSI!$B$3,""))</f>
        <v/>
      </c>
      <c r="DH89" s="161">
        <f>IF(AT89="","",IFERROR(AT89*HSI!$B$84*HSI!$G$84/HSI!$B$3,""))</f>
        <v/>
      </c>
      <c r="DI89" s="161">
        <f>IF(AU89="","",IFERROR(AU89*HSI!$B$84*HSI!$G$84/HSI!$B$3,""))</f>
        <v/>
      </c>
      <c r="DJ89" s="161">
        <f>IF(AV89="","",IFERROR(AV89*HSI!$B$84*HSI!$G$84/HSI!$B$3,""))</f>
        <v/>
      </c>
      <c r="DK89" s="161">
        <f>IF(AW89="","",IFERROR(AW89*HSI!$B$84*HSI!$G$84/HSI!$B$3,""))</f>
        <v/>
      </c>
      <c r="DL89" s="161">
        <f>IF(AX89="","",IFERROR(AX89*HSI!$B$84*HSI!$G$84/HSI!$B$3,""))</f>
        <v/>
      </c>
      <c r="DM89" s="161">
        <f>IF(AY89="","",IFERROR(AY89*HSI!$B$84*HSI!$G$84/HSI!$B$3,""))</f>
        <v/>
      </c>
      <c r="DN89" s="161">
        <f>IF(AZ89="","",IFERROR(AZ89*HSI!$B$84*HSI!$G$84/HSI!$B$3,""))</f>
        <v/>
      </c>
      <c r="DO89" s="161">
        <f>IF(BA89="","",IFERROR(BA89*HSI!$B$84*HSI!$G$84/HSI!$B$3,""))</f>
        <v/>
      </c>
      <c r="DP89" s="161">
        <f>IF(BB89="","",IFERROR(BB89*HSI!$B$84*HSI!$G$84/HSI!$B$3,""))</f>
        <v/>
      </c>
      <c r="DQ89" s="161">
        <f>IF(BC89="","",IFERROR(BC89*HSI!$B$84*HSI!$G$84/HSI!$B$3,""))</f>
        <v/>
      </c>
      <c r="DR89" s="161">
        <f>IF(BD89="","",IFERROR(BD89*HSI!$B$84*HSI!$G$84/HSI!$B$3,""))</f>
        <v/>
      </c>
      <c r="DS89" s="161">
        <f>IF(BE89="","",IFERROR(BE89*HSI!$B$84*HSI!$G$84/HSI!$B$3,""))</f>
        <v/>
      </c>
      <c r="DT89" s="161">
        <f>IF(BF89="","",IFERROR(BF89*HSI!$B$84*HSI!$G$84/HSI!$B$3,""))</f>
        <v/>
      </c>
      <c r="DU89" s="161">
        <f>IF(BG89="","",IFERROR(BG89*HSI!$B$84*HSI!$G$84/HSI!$B$3,""))</f>
        <v/>
      </c>
      <c r="DV89" s="161">
        <f>IF(BH89="","",IFERROR(BH89*HSI!$B$84*HSI!$G$84/HSI!$B$3,""))</f>
        <v/>
      </c>
      <c r="DW89" s="161">
        <f>IF(BI89="","",IFERROR(BI89*HSI!$B$84*HSI!$G$84/HSI!$B$3,""))</f>
        <v/>
      </c>
      <c r="DX89" s="161">
        <f>IF(BJ89="","",IFERROR(BJ89*HSI!$B$84*HSI!$G$84/HSI!$B$3,""))</f>
        <v/>
      </c>
      <c r="DY89" s="161">
        <f>IF(BK89="","",IFERROR(BK89*HSI!$B$84*HSI!$G$84/HSI!$B$3,""))</f>
        <v/>
      </c>
      <c r="DZ89" s="161">
        <f>IF(BL89="","",IFERROR(BL89*HSI!$B$84*HSI!$G$84/HSI!$B$3,""))</f>
        <v/>
      </c>
      <c r="EA89" s="161">
        <f>IF(BM89="","",IFERROR(BM89*HSI!$B$84*HSI!$G$84/HSI!$B$3,""))</f>
        <v/>
      </c>
      <c r="EB89" s="161">
        <f>IF(BN89="","",IFERROR(BN89*HSI!$B$84*HSI!$G$84/HSI!$B$3,""))</f>
        <v/>
      </c>
      <c r="EC89" s="161">
        <f>IF(BO89="","",IFERROR(BO89*HSI!$B$84*HSI!$G$84/HSI!$B$3,""))</f>
        <v/>
      </c>
      <c r="EE89" s="121">
        <f>IF(N('Dvd Calendar'!$E$858)=0,"",IF(('Dvd Calendar'!$E$858&gt;=GRID_FROM)*('Dvd Calendar'!$E$858&lt;=GRID_TO)*((('Dvd Calendar'!$E$858&lt;=VAL_DATE)+(COUNTIF('Dvd Calendar'!$E$865:$AR$865,'Dvd Calendar'!$E$858)=0))&gt;0)=0,"",'Dvd Calendar'!$E$858*1000000000+ISNUMBER('Dvd Calendar'!$E$861)*100000000+('Dvd Calendar'!$E$863=SPECIAL_LBL)*10000000+(N('Dvd Calendar'!$E$857)&gt;0)*(N('Dvd Calendar'!$E$857)&lt;=VAL_SERIAL)*1000000+78*1000+1))</f>
        <v/>
      </c>
      <c r="EF89" s="121">
        <f>IF(N('Dvd Calendar'!$F$858)=0,"",IF(('Dvd Calendar'!$F$858&gt;=GRID_FROM)*('Dvd Calendar'!$F$858&lt;=GRID_TO)*((('Dvd Calendar'!$F$858&lt;=VAL_DATE)+(COUNTIF('Dvd Calendar'!$E$865:$AR$865,'Dvd Calendar'!$F$858)=0))&gt;0)=0,"",'Dvd Calendar'!$F$858*1000000000+ISNUMBER('Dvd Calendar'!$F$861)*100000000+('Dvd Calendar'!$F$863=SPECIAL_LBL)*10000000+(N('Dvd Calendar'!$F$857)&gt;0)*(N('Dvd Calendar'!$F$857)&lt;=VAL_SERIAL)*1000000+78*1000+2))</f>
        <v/>
      </c>
      <c r="EG89" s="121">
        <f>IF(N('Dvd Calendar'!$G$858)=0,"",IF(('Dvd Calendar'!$G$858&gt;=GRID_FROM)*('Dvd Calendar'!$G$858&lt;=GRID_TO)*((('Dvd Calendar'!$G$858&lt;=VAL_DATE)+(COUNTIF('Dvd Calendar'!$E$865:$AR$865,'Dvd Calendar'!$G$858)=0))&gt;0)=0,"",'Dvd Calendar'!$G$858*1000000000+ISNUMBER('Dvd Calendar'!$G$861)*100000000+('Dvd Calendar'!$G$863=SPECIAL_LBL)*10000000+(N('Dvd Calendar'!$G$857)&gt;0)*(N('Dvd Calendar'!$G$857)&lt;=VAL_SERIAL)*1000000+78*1000+3))</f>
        <v/>
      </c>
      <c r="EH89" s="121">
        <f>IF(N('Dvd Calendar'!$H$858)=0,"",IF(('Dvd Calendar'!$H$858&gt;=GRID_FROM)*('Dvd Calendar'!$H$858&lt;=GRID_TO)*((('Dvd Calendar'!$H$858&lt;=VAL_DATE)+(COUNTIF('Dvd Calendar'!$E$865:$AR$865,'Dvd Calendar'!$H$858)=0))&gt;0)=0,"",'Dvd Calendar'!$H$858*1000000000+ISNUMBER('Dvd Calendar'!$H$861)*100000000+('Dvd Calendar'!$H$863=SPECIAL_LBL)*10000000+(N('Dvd Calendar'!$H$857)&gt;0)*(N('Dvd Calendar'!$H$857)&lt;=VAL_SERIAL)*1000000+78*1000+4))</f>
        <v/>
      </c>
      <c r="EI89" s="121">
        <f>IF(N('Dvd Calendar'!$I$858)=0,"",IF(('Dvd Calendar'!$I$858&gt;=GRID_FROM)*('Dvd Calendar'!$I$858&lt;=GRID_TO)*((('Dvd Calendar'!$I$858&lt;=VAL_DATE)+(COUNTIF('Dvd Calendar'!$E$865:$AR$865,'Dvd Calendar'!$I$858)=0))&gt;0)=0,"",'Dvd Calendar'!$I$858*1000000000+ISNUMBER('Dvd Calendar'!$I$861)*100000000+('Dvd Calendar'!$I$863=SPECIAL_LBL)*10000000+(N('Dvd Calendar'!$I$857)&gt;0)*(N('Dvd Calendar'!$I$857)&lt;=VAL_SERIAL)*1000000+78*1000+5))</f>
        <v/>
      </c>
      <c r="EJ89" s="121">
        <f>IF(N('Dvd Calendar'!$J$858)=0,"",IF(('Dvd Calendar'!$J$858&gt;=GRID_FROM)*('Dvd Calendar'!$J$858&lt;=GRID_TO)*((('Dvd Calendar'!$J$858&lt;=VAL_DATE)+(COUNTIF('Dvd Calendar'!$E$865:$AR$865,'Dvd Calendar'!$J$858)=0))&gt;0)=0,"",'Dvd Calendar'!$J$858*1000000000+ISNUMBER('Dvd Calendar'!$J$861)*100000000+('Dvd Calendar'!$J$863=SPECIAL_LBL)*10000000+(N('Dvd Calendar'!$J$857)&gt;0)*(N('Dvd Calendar'!$J$857)&lt;=VAL_SERIAL)*1000000+78*1000+6))</f>
        <v/>
      </c>
      <c r="EK89" s="121">
        <f>IF(N('Dvd Calendar'!$K$858)=0,"",IF(('Dvd Calendar'!$K$858&gt;=GRID_FROM)*('Dvd Calendar'!$K$858&lt;=GRID_TO)*((('Dvd Calendar'!$K$858&lt;=VAL_DATE)+(COUNTIF('Dvd Calendar'!$E$865:$AR$865,'Dvd Calendar'!$K$858)=0))&gt;0)=0,"",'Dvd Calendar'!$K$858*1000000000+ISNUMBER('Dvd Calendar'!$K$861)*100000000+('Dvd Calendar'!$K$863=SPECIAL_LBL)*10000000+(N('Dvd Calendar'!$K$857)&gt;0)*(N('Dvd Calendar'!$K$857)&lt;=VAL_SERIAL)*1000000+78*1000+7))</f>
        <v/>
      </c>
      <c r="EL89" s="121">
        <f>IF(N('Dvd Calendar'!$L$858)=0,"",IF(('Dvd Calendar'!$L$858&gt;=GRID_FROM)*('Dvd Calendar'!$L$858&lt;=GRID_TO)*((('Dvd Calendar'!$L$858&lt;=VAL_DATE)+(COUNTIF('Dvd Calendar'!$E$865:$AR$865,'Dvd Calendar'!$L$858)=0))&gt;0)=0,"",'Dvd Calendar'!$L$858*1000000000+ISNUMBER('Dvd Calendar'!$L$861)*100000000+('Dvd Calendar'!$L$863=SPECIAL_LBL)*10000000+(N('Dvd Calendar'!$L$857)&gt;0)*(N('Dvd Calendar'!$L$857)&lt;=VAL_SERIAL)*1000000+78*1000+8))</f>
        <v/>
      </c>
      <c r="EM89" s="121">
        <f>IF(N('Dvd Calendar'!$M$858)=0,"",IF(('Dvd Calendar'!$M$858&gt;=GRID_FROM)*('Dvd Calendar'!$M$858&lt;=GRID_TO)*((('Dvd Calendar'!$M$858&lt;=VAL_DATE)+(COUNTIF('Dvd Calendar'!$E$865:$AR$865,'Dvd Calendar'!$M$858)=0))&gt;0)=0,"",'Dvd Calendar'!$M$858*1000000000+ISNUMBER('Dvd Calendar'!$M$861)*100000000+('Dvd Calendar'!$M$863=SPECIAL_LBL)*10000000+(N('Dvd Calendar'!$M$857)&gt;0)*(N('Dvd Calendar'!$M$857)&lt;=VAL_SERIAL)*1000000+78*1000+9))</f>
        <v/>
      </c>
      <c r="EN89" s="121">
        <f>IF(N('Dvd Calendar'!$N$858)=0,"",IF(('Dvd Calendar'!$N$858&gt;=GRID_FROM)*('Dvd Calendar'!$N$858&lt;=GRID_TO)*((('Dvd Calendar'!$N$858&lt;=VAL_DATE)+(COUNTIF('Dvd Calendar'!$E$865:$AR$865,'Dvd Calendar'!$N$858)=0))&gt;0)=0,"",'Dvd Calendar'!$N$858*1000000000+ISNUMBER('Dvd Calendar'!$N$861)*100000000+('Dvd Calendar'!$N$863=SPECIAL_LBL)*10000000+(N('Dvd Calendar'!$N$857)&gt;0)*(N('Dvd Calendar'!$N$857)&lt;=VAL_SERIAL)*1000000+78*1000+10))</f>
        <v/>
      </c>
      <c r="EO89" s="121">
        <f>IF(N('Dvd Calendar'!$O$858)=0,"",IF(('Dvd Calendar'!$O$858&gt;=GRID_FROM)*('Dvd Calendar'!$O$858&lt;=GRID_TO)*((('Dvd Calendar'!$O$858&lt;=VAL_DATE)+(COUNTIF('Dvd Calendar'!$E$865:$AR$865,'Dvd Calendar'!$O$858)=0))&gt;0)=0,"",'Dvd Calendar'!$O$858*1000000000+ISNUMBER('Dvd Calendar'!$O$861)*100000000+('Dvd Calendar'!$O$863=SPECIAL_LBL)*10000000+(N('Dvd Calendar'!$O$857)&gt;0)*(N('Dvd Calendar'!$O$857)&lt;=VAL_SERIAL)*1000000+78*1000+11))</f>
        <v/>
      </c>
      <c r="EP89" s="121">
        <f>IF(N('Dvd Calendar'!$P$858)=0,"",IF(('Dvd Calendar'!$P$858&gt;=GRID_FROM)*('Dvd Calendar'!$P$858&lt;=GRID_TO)*((('Dvd Calendar'!$P$858&lt;=VAL_DATE)+(COUNTIF('Dvd Calendar'!$E$865:$AR$865,'Dvd Calendar'!$P$858)=0))&gt;0)=0,"",'Dvd Calendar'!$P$858*1000000000+ISNUMBER('Dvd Calendar'!$P$861)*100000000+('Dvd Calendar'!$P$863=SPECIAL_LBL)*10000000+(N('Dvd Calendar'!$P$857)&gt;0)*(N('Dvd Calendar'!$P$857)&lt;=VAL_SERIAL)*1000000+78*1000+12))</f>
        <v/>
      </c>
      <c r="EQ89" s="121">
        <f>IF(N('Dvd Calendar'!$Q$858)=0,"",IF(('Dvd Calendar'!$Q$858&gt;=GRID_FROM)*('Dvd Calendar'!$Q$858&lt;=GRID_TO)*((('Dvd Calendar'!$Q$858&lt;=VAL_DATE)+(COUNTIF('Dvd Calendar'!$E$865:$AR$865,'Dvd Calendar'!$Q$858)=0))&gt;0)=0,"",'Dvd Calendar'!$Q$858*1000000000+ISNUMBER('Dvd Calendar'!$Q$861)*100000000+('Dvd Calendar'!$Q$863=SPECIAL_LBL)*10000000+(N('Dvd Calendar'!$Q$857)&gt;0)*(N('Dvd Calendar'!$Q$857)&lt;=VAL_SERIAL)*1000000+78*1000+13))</f>
        <v/>
      </c>
      <c r="ER89" s="121">
        <f>IF(N('Dvd Calendar'!$R$858)=0,"",IF(('Dvd Calendar'!$R$858&gt;=GRID_FROM)*('Dvd Calendar'!$R$858&lt;=GRID_TO)*((('Dvd Calendar'!$R$858&lt;=VAL_DATE)+(COUNTIF('Dvd Calendar'!$E$865:$AR$865,'Dvd Calendar'!$R$858)=0))&gt;0)=0,"",'Dvd Calendar'!$R$858*1000000000+ISNUMBER('Dvd Calendar'!$R$861)*100000000+('Dvd Calendar'!$R$863=SPECIAL_LBL)*10000000+(N('Dvd Calendar'!$R$857)&gt;0)*(N('Dvd Calendar'!$R$857)&lt;=VAL_SERIAL)*1000000+78*1000+14))</f>
        <v/>
      </c>
      <c r="ES89" s="121">
        <f>IF(N('Dvd Calendar'!$S$858)=0,"",IF(('Dvd Calendar'!$S$858&gt;=GRID_FROM)*('Dvd Calendar'!$S$858&lt;=GRID_TO)*((('Dvd Calendar'!$S$858&lt;=VAL_DATE)+(COUNTIF('Dvd Calendar'!$E$865:$AR$865,'Dvd Calendar'!$S$858)=0))&gt;0)=0,"",'Dvd Calendar'!$S$858*1000000000+ISNUMBER('Dvd Calendar'!$S$861)*100000000+('Dvd Calendar'!$S$863=SPECIAL_LBL)*10000000+(N('Dvd Calendar'!$S$857)&gt;0)*(N('Dvd Calendar'!$S$857)&lt;=VAL_SERIAL)*1000000+78*1000+15))</f>
        <v/>
      </c>
      <c r="ET89" s="121">
        <f>IF(N('Dvd Calendar'!$T$858)=0,"",IF(('Dvd Calendar'!$T$858&gt;=GRID_FROM)*('Dvd Calendar'!$T$858&lt;=GRID_TO)*((('Dvd Calendar'!$T$858&lt;=VAL_DATE)+(COUNTIF('Dvd Calendar'!$E$865:$AR$865,'Dvd Calendar'!$T$858)=0))&gt;0)=0,"",'Dvd Calendar'!$T$858*1000000000+ISNUMBER('Dvd Calendar'!$T$861)*100000000+('Dvd Calendar'!$T$863=SPECIAL_LBL)*10000000+(N('Dvd Calendar'!$T$857)&gt;0)*(N('Dvd Calendar'!$T$857)&lt;=VAL_SERIAL)*1000000+78*1000+16))</f>
        <v/>
      </c>
      <c r="EU89" s="121">
        <f>IF(N('Dvd Calendar'!$U$858)=0,"",IF(('Dvd Calendar'!$U$858&gt;=GRID_FROM)*('Dvd Calendar'!$U$858&lt;=GRID_TO)*((('Dvd Calendar'!$U$858&lt;=VAL_DATE)+(COUNTIF('Dvd Calendar'!$E$865:$AR$865,'Dvd Calendar'!$U$858)=0))&gt;0)=0,"",'Dvd Calendar'!$U$858*1000000000+ISNUMBER('Dvd Calendar'!$U$861)*100000000+('Dvd Calendar'!$U$863=SPECIAL_LBL)*10000000+(N('Dvd Calendar'!$U$857)&gt;0)*(N('Dvd Calendar'!$U$857)&lt;=VAL_SERIAL)*1000000+78*1000+17))</f>
        <v/>
      </c>
      <c r="EV89" s="121">
        <f>IF(N('Dvd Calendar'!$V$858)=0,"",IF(('Dvd Calendar'!$V$858&gt;=GRID_FROM)*('Dvd Calendar'!$V$858&lt;=GRID_TO)*((('Dvd Calendar'!$V$858&lt;=VAL_DATE)+(COUNTIF('Dvd Calendar'!$E$865:$AR$865,'Dvd Calendar'!$V$858)=0))&gt;0)=0,"",'Dvd Calendar'!$V$858*1000000000+ISNUMBER('Dvd Calendar'!$V$861)*100000000+('Dvd Calendar'!$V$863=SPECIAL_LBL)*10000000+(N('Dvd Calendar'!$V$857)&gt;0)*(N('Dvd Calendar'!$V$857)&lt;=VAL_SERIAL)*1000000+78*1000+18))</f>
        <v/>
      </c>
      <c r="EW89" s="121">
        <f>IF(N('Dvd Calendar'!$W$858)=0,"",IF(('Dvd Calendar'!$W$858&gt;=GRID_FROM)*('Dvd Calendar'!$W$858&lt;=GRID_TO)*((('Dvd Calendar'!$W$858&lt;=VAL_DATE)+(COUNTIF('Dvd Calendar'!$E$865:$AR$865,'Dvd Calendar'!$W$858)=0))&gt;0)=0,"",'Dvd Calendar'!$W$858*1000000000+ISNUMBER('Dvd Calendar'!$W$861)*100000000+('Dvd Calendar'!$W$863=SPECIAL_LBL)*10000000+(N('Dvd Calendar'!$W$857)&gt;0)*(N('Dvd Calendar'!$W$857)&lt;=VAL_SERIAL)*1000000+78*1000+19))</f>
        <v/>
      </c>
      <c r="EX89" s="121">
        <f>IF(N('Dvd Calendar'!$X$858)=0,"",IF(('Dvd Calendar'!$X$858&gt;=GRID_FROM)*('Dvd Calendar'!$X$858&lt;=GRID_TO)*((('Dvd Calendar'!$X$858&lt;=VAL_DATE)+(COUNTIF('Dvd Calendar'!$E$865:$AR$865,'Dvd Calendar'!$X$858)=0))&gt;0)=0,"",'Dvd Calendar'!$X$858*1000000000+ISNUMBER('Dvd Calendar'!$X$861)*100000000+('Dvd Calendar'!$X$863=SPECIAL_LBL)*10000000+(N('Dvd Calendar'!$X$857)&gt;0)*(N('Dvd Calendar'!$X$857)&lt;=VAL_SERIAL)*1000000+78*1000+20))</f>
        <v/>
      </c>
      <c r="EY89" s="121">
        <f>IF(N('Dvd Calendar'!$Y$858)=0,"",IF(('Dvd Calendar'!$Y$858&gt;=GRID_FROM)*('Dvd Calendar'!$Y$858&lt;=GRID_TO)*((('Dvd Calendar'!$Y$858&lt;=VAL_DATE)+(COUNTIF('Dvd Calendar'!$E$865:$AR$865,'Dvd Calendar'!$Y$858)=0))&gt;0)=0,"",'Dvd Calendar'!$Y$858*1000000000+ISNUMBER('Dvd Calendar'!$Y$861)*100000000+('Dvd Calendar'!$Y$863=SPECIAL_LBL)*10000000+(N('Dvd Calendar'!$Y$857)&gt;0)*(N('Dvd Calendar'!$Y$857)&lt;=VAL_SERIAL)*1000000+78*1000+21))</f>
        <v/>
      </c>
      <c r="EZ89" s="121">
        <f>IF(N('Dvd Calendar'!$Z$858)=0,"",IF(('Dvd Calendar'!$Z$858&gt;=GRID_FROM)*('Dvd Calendar'!$Z$858&lt;=GRID_TO)*((('Dvd Calendar'!$Z$858&lt;=VAL_DATE)+(COUNTIF('Dvd Calendar'!$E$865:$AR$865,'Dvd Calendar'!$Z$858)=0))&gt;0)=0,"",'Dvd Calendar'!$Z$858*1000000000+ISNUMBER('Dvd Calendar'!$Z$861)*100000000+('Dvd Calendar'!$Z$863=SPECIAL_LBL)*10000000+(N('Dvd Calendar'!$Z$857)&gt;0)*(N('Dvd Calendar'!$Z$857)&lt;=VAL_SERIAL)*1000000+78*1000+22))</f>
        <v/>
      </c>
      <c r="FA89" s="121">
        <f>IF(N('Dvd Calendar'!$AA$858)=0,"",IF(('Dvd Calendar'!$AA$858&gt;=GRID_FROM)*('Dvd Calendar'!$AA$858&lt;=GRID_TO)*((('Dvd Calendar'!$AA$858&lt;=VAL_DATE)+(COUNTIF('Dvd Calendar'!$E$865:$AR$865,'Dvd Calendar'!$AA$858)=0))&gt;0)=0,"",'Dvd Calendar'!$AA$858*1000000000+ISNUMBER('Dvd Calendar'!$AA$861)*100000000+('Dvd Calendar'!$AA$863=SPECIAL_LBL)*10000000+(N('Dvd Calendar'!$AA$857)&gt;0)*(N('Dvd Calendar'!$AA$857)&lt;=VAL_SERIAL)*1000000+78*1000+23))</f>
        <v/>
      </c>
      <c r="FB89" s="121">
        <f>IF(N('Dvd Calendar'!$AB$858)=0,"",IF(('Dvd Calendar'!$AB$858&gt;=GRID_FROM)*('Dvd Calendar'!$AB$858&lt;=GRID_TO)*((('Dvd Calendar'!$AB$858&lt;=VAL_DATE)+(COUNTIF('Dvd Calendar'!$E$865:$AR$865,'Dvd Calendar'!$AB$858)=0))&gt;0)=0,"",'Dvd Calendar'!$AB$858*1000000000+ISNUMBER('Dvd Calendar'!$AB$861)*100000000+('Dvd Calendar'!$AB$863=SPECIAL_LBL)*10000000+(N('Dvd Calendar'!$AB$857)&gt;0)*(N('Dvd Calendar'!$AB$857)&lt;=VAL_SERIAL)*1000000+78*1000+24))</f>
        <v/>
      </c>
      <c r="FC89" s="121">
        <f>IF(N('Dvd Calendar'!$AC$858)=0,"",IF(('Dvd Calendar'!$AC$858&gt;=GRID_FROM)*('Dvd Calendar'!$AC$858&lt;=GRID_TO)*((('Dvd Calendar'!$AC$858&lt;=VAL_DATE)+(COUNTIF('Dvd Calendar'!$E$865:$AR$865,'Dvd Calendar'!$AC$858)=0))&gt;0)=0,"",'Dvd Calendar'!$AC$858*1000000000+ISNUMBER('Dvd Calendar'!$AC$861)*100000000+('Dvd Calendar'!$AC$863=SPECIAL_LBL)*10000000+(N('Dvd Calendar'!$AC$857)&gt;0)*(N('Dvd Calendar'!$AC$857)&lt;=VAL_SERIAL)*1000000+78*1000+25))</f>
        <v/>
      </c>
      <c r="FD89" s="121">
        <f>IF(N('Dvd Calendar'!$AD$858)=0,"",IF(('Dvd Calendar'!$AD$858&gt;=GRID_FROM)*('Dvd Calendar'!$AD$858&lt;=GRID_TO)*((('Dvd Calendar'!$AD$858&lt;=VAL_DATE)+(COUNTIF('Dvd Calendar'!$E$865:$AR$865,'Dvd Calendar'!$AD$858)=0))&gt;0)=0,"",'Dvd Calendar'!$AD$858*1000000000+ISNUMBER('Dvd Calendar'!$AD$861)*100000000+('Dvd Calendar'!$AD$863=SPECIAL_LBL)*10000000+(N('Dvd Calendar'!$AD$857)&gt;0)*(N('Dvd Calendar'!$AD$857)&lt;=VAL_SERIAL)*1000000+78*1000+26))</f>
        <v/>
      </c>
      <c r="FE89" s="121">
        <f>IF(N('Dvd Calendar'!$AE$858)=0,"",IF(('Dvd Calendar'!$AE$858&gt;=GRID_FROM)*('Dvd Calendar'!$AE$858&lt;=GRID_TO)*((('Dvd Calendar'!$AE$858&lt;=VAL_DATE)+(COUNTIF('Dvd Calendar'!$E$865:$AR$865,'Dvd Calendar'!$AE$858)=0))&gt;0)=0,"",'Dvd Calendar'!$AE$858*1000000000+ISNUMBER('Dvd Calendar'!$AE$861)*100000000+('Dvd Calendar'!$AE$863=SPECIAL_LBL)*10000000+(N('Dvd Calendar'!$AE$857)&gt;0)*(N('Dvd Calendar'!$AE$857)&lt;=VAL_SERIAL)*1000000+78*1000+27))</f>
        <v/>
      </c>
      <c r="FF89" s="121">
        <f>IF(N('Dvd Calendar'!$AF$858)=0,"",IF(('Dvd Calendar'!$AF$858&gt;=GRID_FROM)*('Dvd Calendar'!$AF$858&lt;=GRID_TO)*((('Dvd Calendar'!$AF$858&lt;=VAL_DATE)+(COUNTIF('Dvd Calendar'!$E$865:$AR$865,'Dvd Calendar'!$AF$858)=0))&gt;0)=0,"",'Dvd Calendar'!$AF$858*1000000000+ISNUMBER('Dvd Calendar'!$AF$861)*100000000+('Dvd Calendar'!$AF$863=SPECIAL_LBL)*10000000+(N('Dvd Calendar'!$AF$857)&gt;0)*(N('Dvd Calendar'!$AF$857)&lt;=VAL_SERIAL)*1000000+78*1000+28))</f>
        <v/>
      </c>
      <c r="FG89" s="121">
        <f>IF(N('Dvd Calendar'!$AG$858)=0,"",IF(('Dvd Calendar'!$AG$858&gt;=GRID_FROM)*('Dvd Calendar'!$AG$858&lt;=GRID_TO)*((('Dvd Calendar'!$AG$858&lt;=VAL_DATE)+(COUNTIF('Dvd Calendar'!$E$865:$AR$865,'Dvd Calendar'!$AG$858)=0))&gt;0)=0,"",'Dvd Calendar'!$AG$858*1000000000+ISNUMBER('Dvd Calendar'!$AG$861)*100000000+('Dvd Calendar'!$AG$863=SPECIAL_LBL)*10000000+(N('Dvd Calendar'!$AG$857)&gt;0)*(N('Dvd Calendar'!$AG$857)&lt;=VAL_SERIAL)*1000000+78*1000+29))</f>
        <v/>
      </c>
      <c r="FH89" s="121">
        <f>IF(N('Dvd Calendar'!$AH$858)=0,"",IF(('Dvd Calendar'!$AH$858&gt;=GRID_FROM)*('Dvd Calendar'!$AH$858&lt;=GRID_TO)*((('Dvd Calendar'!$AH$858&lt;=VAL_DATE)+(COUNTIF('Dvd Calendar'!$E$865:$AR$865,'Dvd Calendar'!$AH$858)=0))&gt;0)=0,"",'Dvd Calendar'!$AH$858*1000000000+ISNUMBER('Dvd Calendar'!$AH$861)*100000000+('Dvd Calendar'!$AH$863=SPECIAL_LBL)*10000000+(N('Dvd Calendar'!$AH$857)&gt;0)*(N('Dvd Calendar'!$AH$857)&lt;=VAL_SERIAL)*1000000+78*1000+30))</f>
        <v/>
      </c>
      <c r="FI89" s="121">
        <f>IF(N('Dvd Calendar'!$AI$858)=0,"",IF(('Dvd Calendar'!$AI$858&gt;=GRID_FROM)*('Dvd Calendar'!$AI$858&lt;=GRID_TO)*((('Dvd Calendar'!$AI$858&lt;=VAL_DATE)+(COUNTIF('Dvd Calendar'!$E$865:$AR$865,'Dvd Calendar'!$AI$858)=0))&gt;0)=0,"",'Dvd Calendar'!$AI$858*1000000000+ISNUMBER('Dvd Calendar'!$AI$861)*100000000+('Dvd Calendar'!$AI$863=SPECIAL_LBL)*10000000+(N('Dvd Calendar'!$AI$857)&gt;0)*(N('Dvd Calendar'!$AI$857)&lt;=VAL_SERIAL)*1000000+78*1000+31))</f>
        <v/>
      </c>
      <c r="FJ89" s="121">
        <f>IF(N('Dvd Calendar'!$AJ$858)=0,"",IF(('Dvd Calendar'!$AJ$858&gt;=GRID_FROM)*('Dvd Calendar'!$AJ$858&lt;=GRID_TO)*((('Dvd Calendar'!$AJ$858&lt;=VAL_DATE)+(COUNTIF('Dvd Calendar'!$E$865:$AR$865,'Dvd Calendar'!$AJ$858)=0))&gt;0)=0,"",'Dvd Calendar'!$AJ$858*1000000000+ISNUMBER('Dvd Calendar'!$AJ$861)*100000000+('Dvd Calendar'!$AJ$863=SPECIAL_LBL)*10000000+(N('Dvd Calendar'!$AJ$857)&gt;0)*(N('Dvd Calendar'!$AJ$857)&lt;=VAL_SERIAL)*1000000+78*1000+32))</f>
        <v/>
      </c>
      <c r="FK89" s="121">
        <f>IF(N('Dvd Calendar'!$AK$858)=0,"",IF(('Dvd Calendar'!$AK$858&gt;=GRID_FROM)*('Dvd Calendar'!$AK$858&lt;=GRID_TO)*((('Dvd Calendar'!$AK$858&lt;=VAL_DATE)+(COUNTIF('Dvd Calendar'!$E$865:$AR$865,'Dvd Calendar'!$AK$858)=0))&gt;0)=0,"",'Dvd Calendar'!$AK$858*1000000000+ISNUMBER('Dvd Calendar'!$AK$861)*100000000+('Dvd Calendar'!$AK$863=SPECIAL_LBL)*10000000+(N('Dvd Calendar'!$AK$857)&gt;0)*(N('Dvd Calendar'!$AK$857)&lt;=VAL_SERIAL)*1000000+78*1000+33))</f>
        <v/>
      </c>
      <c r="FL89" s="121">
        <f>IF(N('Dvd Calendar'!$AL$858)=0,"",IF(('Dvd Calendar'!$AL$858&gt;=GRID_FROM)*('Dvd Calendar'!$AL$858&lt;=GRID_TO)*((('Dvd Calendar'!$AL$858&lt;=VAL_DATE)+(COUNTIF('Dvd Calendar'!$E$865:$AR$865,'Dvd Calendar'!$AL$858)=0))&gt;0)=0,"",'Dvd Calendar'!$AL$858*1000000000+ISNUMBER('Dvd Calendar'!$AL$861)*100000000+('Dvd Calendar'!$AL$863=SPECIAL_LBL)*10000000+(N('Dvd Calendar'!$AL$857)&gt;0)*(N('Dvd Calendar'!$AL$857)&lt;=VAL_SERIAL)*1000000+78*1000+34))</f>
        <v/>
      </c>
      <c r="FM89" s="121">
        <f>IF(N('Dvd Calendar'!$AM$858)=0,"",IF(('Dvd Calendar'!$AM$858&gt;=GRID_FROM)*('Dvd Calendar'!$AM$858&lt;=GRID_TO)*((('Dvd Calendar'!$AM$858&lt;=VAL_DATE)+(COUNTIF('Dvd Calendar'!$E$865:$AR$865,'Dvd Calendar'!$AM$858)=0))&gt;0)=0,"",'Dvd Calendar'!$AM$858*1000000000+ISNUMBER('Dvd Calendar'!$AM$861)*100000000+('Dvd Calendar'!$AM$863=SPECIAL_LBL)*10000000+(N('Dvd Calendar'!$AM$857)&gt;0)*(N('Dvd Calendar'!$AM$857)&lt;=VAL_SERIAL)*1000000+78*1000+35))</f>
        <v/>
      </c>
      <c r="FN89" s="121">
        <f>IF(N('Dvd Calendar'!$AN$858)=0,"",IF(('Dvd Calendar'!$AN$858&gt;=GRID_FROM)*('Dvd Calendar'!$AN$858&lt;=GRID_TO)*((('Dvd Calendar'!$AN$858&lt;=VAL_DATE)+(COUNTIF('Dvd Calendar'!$E$865:$AR$865,'Dvd Calendar'!$AN$858)=0))&gt;0)=0,"",'Dvd Calendar'!$AN$858*1000000000+ISNUMBER('Dvd Calendar'!$AN$861)*100000000+('Dvd Calendar'!$AN$863=SPECIAL_LBL)*10000000+(N('Dvd Calendar'!$AN$857)&gt;0)*(N('Dvd Calendar'!$AN$857)&lt;=VAL_SERIAL)*1000000+78*1000+36))</f>
        <v/>
      </c>
      <c r="FO89" s="121">
        <f>IF(N('Dvd Calendar'!$AO$858)=0,"",IF(('Dvd Calendar'!$AO$858&gt;=GRID_FROM)*('Dvd Calendar'!$AO$858&lt;=GRID_TO)*((('Dvd Calendar'!$AO$858&lt;=VAL_DATE)+(COUNTIF('Dvd Calendar'!$E$865:$AR$865,'Dvd Calendar'!$AO$858)=0))&gt;0)=0,"",'Dvd Calendar'!$AO$858*1000000000+ISNUMBER('Dvd Calendar'!$AO$861)*100000000+('Dvd Calendar'!$AO$863=SPECIAL_LBL)*10000000+(N('Dvd Calendar'!$AO$857)&gt;0)*(N('Dvd Calendar'!$AO$857)&lt;=VAL_SERIAL)*1000000+78*1000+37))</f>
        <v/>
      </c>
      <c r="FP89" s="121">
        <f>IF(N('Dvd Calendar'!$AP$858)=0,"",IF(('Dvd Calendar'!$AP$858&gt;=GRID_FROM)*('Dvd Calendar'!$AP$858&lt;=GRID_TO)*((('Dvd Calendar'!$AP$858&lt;=VAL_DATE)+(COUNTIF('Dvd Calendar'!$E$865:$AR$865,'Dvd Calendar'!$AP$858)=0))&gt;0)=0,"",'Dvd Calendar'!$AP$858*1000000000+ISNUMBER('Dvd Calendar'!$AP$861)*100000000+('Dvd Calendar'!$AP$863=SPECIAL_LBL)*10000000+(N('Dvd Calendar'!$AP$857)&gt;0)*(N('Dvd Calendar'!$AP$857)&lt;=VAL_SERIAL)*1000000+78*1000+38))</f>
        <v/>
      </c>
      <c r="FQ89" s="121">
        <f>IF(N('Dvd Calendar'!$AQ$858)=0,"",IF(('Dvd Calendar'!$AQ$858&gt;=GRID_FROM)*('Dvd Calendar'!$AQ$858&lt;=GRID_TO)*((('Dvd Calendar'!$AQ$858&lt;=VAL_DATE)+(COUNTIF('Dvd Calendar'!$E$865:$AR$865,'Dvd Calendar'!$AQ$858)=0))&gt;0)=0,"",'Dvd Calendar'!$AQ$858*1000000000+ISNUMBER('Dvd Calendar'!$AQ$861)*100000000+('Dvd Calendar'!$AQ$863=SPECIAL_LBL)*10000000+(N('Dvd Calendar'!$AQ$857)&gt;0)*(N('Dvd Calendar'!$AQ$857)&lt;=VAL_SERIAL)*1000000+78*1000+39))</f>
        <v/>
      </c>
      <c r="FR89" s="121">
        <f>IF(N('Dvd Calendar'!$AR$858)=0,"",IF(('Dvd Calendar'!$AR$858&gt;=GRID_FROM)*('Dvd Calendar'!$AR$858&lt;=GRID_TO)*((('Dvd Calendar'!$AR$858&lt;=VAL_DATE)+(COUNTIF('Dvd Calendar'!$E$865:$AR$865,'Dvd Calendar'!$AR$858)=0))&gt;0)=0,"",'Dvd Calendar'!$AR$858*1000000000+ISNUMBER('Dvd Calendar'!$AR$861)*100000000+('Dvd Calendar'!$AR$863=SPECIAL_LBL)*10000000+(N('Dvd Calendar'!$AR$857)&gt;0)*(N('Dvd Calendar'!$AR$857)&lt;=VAL_SERIAL)*1000000+78*1000+40))</f>
        <v/>
      </c>
      <c r="FS89" s="121">
        <f>IF(N('Dvd Calendar'!$E$865)=0,"",IF(('Dvd Calendar'!$E$865&gt;=GRID_FROM)*('Dvd Calendar'!$E$865&lt;=GRID_TO)*('Dvd Calendar'!$E$865&gt;VAL_DATE)=0,"",'Dvd Calendar'!$E$865*1000000000+ISNUMBER('Dvd Calendar'!$E$866)*100000000+0*10000000+(N('Dvd Calendar'!$E$864)&gt;0)*(N('Dvd Calendar'!$E$864)&lt;=VAL_SERIAL)*1000000+78*1000+41))</f>
        <v/>
      </c>
      <c r="FT89" s="121">
        <f>IF(N('Dvd Calendar'!$F$865)=0,"",IF(('Dvd Calendar'!$F$865&gt;=GRID_FROM)*('Dvd Calendar'!$F$865&lt;=GRID_TO)*('Dvd Calendar'!$F$865&gt;VAL_DATE)=0,"",'Dvd Calendar'!$F$865*1000000000+ISNUMBER('Dvd Calendar'!$F$866)*100000000+0*10000000+(N('Dvd Calendar'!$F$864)&gt;0)*(N('Dvd Calendar'!$F$864)&lt;=VAL_SERIAL)*1000000+78*1000+42))</f>
        <v/>
      </c>
      <c r="FU89" s="121">
        <f>IF(N('Dvd Calendar'!$G$865)=0,"",IF(('Dvd Calendar'!$G$865&gt;=GRID_FROM)*('Dvd Calendar'!$G$865&lt;=GRID_TO)*('Dvd Calendar'!$G$865&gt;VAL_DATE)=0,"",'Dvd Calendar'!$G$865*1000000000+ISNUMBER('Dvd Calendar'!$G$866)*100000000+0*10000000+(N('Dvd Calendar'!$G$864)&gt;0)*(N('Dvd Calendar'!$G$864)&lt;=VAL_SERIAL)*1000000+78*1000+43))</f>
        <v/>
      </c>
      <c r="FV89" s="121">
        <f>IF(N('Dvd Calendar'!$H$865)=0,"",IF(('Dvd Calendar'!$H$865&gt;=GRID_FROM)*('Dvd Calendar'!$H$865&lt;=GRID_TO)*('Dvd Calendar'!$H$865&gt;VAL_DATE)=0,"",'Dvd Calendar'!$H$865*1000000000+ISNUMBER('Dvd Calendar'!$H$866)*100000000+0*10000000+(N('Dvd Calendar'!$H$864)&gt;0)*(N('Dvd Calendar'!$H$864)&lt;=VAL_SERIAL)*1000000+78*1000+44))</f>
        <v/>
      </c>
      <c r="FW89" s="121">
        <f>IF(N('Dvd Calendar'!$I$865)=0,"",IF(('Dvd Calendar'!$I$865&gt;=GRID_FROM)*('Dvd Calendar'!$I$865&lt;=GRID_TO)*('Dvd Calendar'!$I$865&gt;VAL_DATE)=0,"",'Dvd Calendar'!$I$865*1000000000+ISNUMBER('Dvd Calendar'!$I$866)*100000000+0*10000000+(N('Dvd Calendar'!$I$864)&gt;0)*(N('Dvd Calendar'!$I$864)&lt;=VAL_SERIAL)*1000000+78*1000+45))</f>
        <v/>
      </c>
      <c r="FX89" s="121">
        <f>IF(N('Dvd Calendar'!$J$865)=0,"",IF(('Dvd Calendar'!$J$865&gt;=GRID_FROM)*('Dvd Calendar'!$J$865&lt;=GRID_TO)*('Dvd Calendar'!$J$865&gt;VAL_DATE)=0,"",'Dvd Calendar'!$J$865*1000000000+ISNUMBER('Dvd Calendar'!$J$866)*100000000+0*10000000+(N('Dvd Calendar'!$J$864)&gt;0)*(N('Dvd Calendar'!$J$864)&lt;=VAL_SERIAL)*1000000+78*1000+46))</f>
        <v/>
      </c>
      <c r="FY89" s="121">
        <f>IF(N('Dvd Calendar'!$K$865)=0,"",IF(('Dvd Calendar'!$K$865&gt;=GRID_FROM)*('Dvd Calendar'!$K$865&lt;=GRID_TO)*('Dvd Calendar'!$K$865&gt;VAL_DATE)=0,"",'Dvd Calendar'!$K$865*1000000000+ISNUMBER('Dvd Calendar'!$K$866)*100000000+0*10000000+(N('Dvd Calendar'!$K$864)&gt;0)*(N('Dvd Calendar'!$K$864)&lt;=VAL_SERIAL)*1000000+78*1000+47))</f>
        <v/>
      </c>
      <c r="FZ89" s="121">
        <f>IF(N('Dvd Calendar'!$L$865)=0,"",IF(('Dvd Calendar'!$L$865&gt;=GRID_FROM)*('Dvd Calendar'!$L$865&lt;=GRID_TO)*('Dvd Calendar'!$L$865&gt;VAL_DATE)=0,"",'Dvd Calendar'!$L$865*1000000000+ISNUMBER('Dvd Calendar'!$L$866)*100000000+0*10000000+(N('Dvd Calendar'!$L$864)&gt;0)*(N('Dvd Calendar'!$L$864)&lt;=VAL_SERIAL)*1000000+78*1000+48))</f>
        <v/>
      </c>
      <c r="GA89" s="121">
        <f>IF(N('Dvd Calendar'!$M$865)=0,"",IF(('Dvd Calendar'!$M$865&gt;=GRID_FROM)*('Dvd Calendar'!$M$865&lt;=GRID_TO)*('Dvd Calendar'!$M$865&gt;VAL_DATE)=0,"",'Dvd Calendar'!$M$865*1000000000+ISNUMBER('Dvd Calendar'!$M$866)*100000000+0*10000000+(N('Dvd Calendar'!$M$864)&gt;0)*(N('Dvd Calendar'!$M$864)&lt;=VAL_SERIAL)*1000000+78*1000+49))</f>
        <v/>
      </c>
      <c r="GB89" s="121">
        <f>IF(N('Dvd Calendar'!$N$865)=0,"",IF(('Dvd Calendar'!$N$865&gt;=GRID_FROM)*('Dvd Calendar'!$N$865&lt;=GRID_TO)*('Dvd Calendar'!$N$865&gt;VAL_DATE)=0,"",'Dvd Calendar'!$N$865*1000000000+ISNUMBER('Dvd Calendar'!$N$866)*100000000+0*10000000+(N('Dvd Calendar'!$N$864)&gt;0)*(N('Dvd Calendar'!$N$864)&lt;=VAL_SERIAL)*1000000+78*1000+50))</f>
        <v/>
      </c>
      <c r="GC89" s="121">
        <f>IF(N('Dvd Calendar'!$O$865)=0,"",IF(('Dvd Calendar'!$O$865&gt;=GRID_FROM)*('Dvd Calendar'!$O$865&lt;=GRID_TO)*('Dvd Calendar'!$O$865&gt;VAL_DATE)=0,"",'Dvd Calendar'!$O$865*1000000000+ISNUMBER('Dvd Calendar'!$O$866)*100000000+0*10000000+(N('Dvd Calendar'!$O$864)&gt;0)*(N('Dvd Calendar'!$O$864)&lt;=VAL_SERIAL)*1000000+78*1000+51))</f>
        <v/>
      </c>
      <c r="GD89" s="121">
        <f>IF(N('Dvd Calendar'!$P$865)=0,"",IF(('Dvd Calendar'!$P$865&gt;=GRID_FROM)*('Dvd Calendar'!$P$865&lt;=GRID_TO)*('Dvd Calendar'!$P$865&gt;VAL_DATE)=0,"",'Dvd Calendar'!$P$865*1000000000+ISNUMBER('Dvd Calendar'!$P$866)*100000000+0*10000000+(N('Dvd Calendar'!$P$864)&gt;0)*(N('Dvd Calendar'!$P$864)&lt;=VAL_SERIAL)*1000000+78*1000+52))</f>
        <v/>
      </c>
      <c r="GE89" s="121">
        <f>IF(N('Dvd Calendar'!$Q$865)=0,"",IF(('Dvd Calendar'!$Q$865&gt;=GRID_FROM)*('Dvd Calendar'!$Q$865&lt;=GRID_TO)*('Dvd Calendar'!$Q$865&gt;VAL_DATE)=0,"",'Dvd Calendar'!$Q$865*1000000000+ISNUMBER('Dvd Calendar'!$Q$866)*100000000+0*10000000+(N('Dvd Calendar'!$Q$864)&gt;0)*(N('Dvd Calendar'!$Q$864)&lt;=VAL_SERIAL)*1000000+78*1000+53))</f>
        <v/>
      </c>
      <c r="GF89" s="121">
        <f>IF(N('Dvd Calendar'!$R$865)=0,"",IF(('Dvd Calendar'!$R$865&gt;=GRID_FROM)*('Dvd Calendar'!$R$865&lt;=GRID_TO)*('Dvd Calendar'!$R$865&gt;VAL_DATE)=0,"",'Dvd Calendar'!$R$865*1000000000+ISNUMBER('Dvd Calendar'!$R$866)*100000000+0*10000000+(N('Dvd Calendar'!$R$864)&gt;0)*(N('Dvd Calendar'!$R$864)&lt;=VAL_SERIAL)*1000000+78*1000+54))</f>
        <v/>
      </c>
      <c r="GG89" s="121">
        <f>IF(N('Dvd Calendar'!$S$865)=0,"",IF(('Dvd Calendar'!$S$865&gt;=GRID_FROM)*('Dvd Calendar'!$S$865&lt;=GRID_TO)*('Dvd Calendar'!$S$865&gt;VAL_DATE)=0,"",'Dvd Calendar'!$S$865*1000000000+ISNUMBER('Dvd Calendar'!$S$866)*100000000+0*10000000+(N('Dvd Calendar'!$S$864)&gt;0)*(N('Dvd Calendar'!$S$864)&lt;=VAL_SERIAL)*1000000+78*1000+55))</f>
        <v/>
      </c>
      <c r="GH89" s="121">
        <f>IF(N('Dvd Calendar'!$T$865)=0,"",IF(('Dvd Calendar'!$T$865&gt;=GRID_FROM)*('Dvd Calendar'!$T$865&lt;=GRID_TO)*('Dvd Calendar'!$T$865&gt;VAL_DATE)=0,"",'Dvd Calendar'!$T$865*1000000000+ISNUMBER('Dvd Calendar'!$T$866)*100000000+0*10000000+(N('Dvd Calendar'!$T$864)&gt;0)*(N('Dvd Calendar'!$T$864)&lt;=VAL_SERIAL)*1000000+78*1000+56))</f>
        <v/>
      </c>
      <c r="GI89" s="121">
        <f>IF(N('Dvd Calendar'!$U$865)=0,"",IF(('Dvd Calendar'!$U$865&gt;=GRID_FROM)*('Dvd Calendar'!$U$865&lt;=GRID_TO)*('Dvd Calendar'!$U$865&gt;VAL_DATE)=0,"",'Dvd Calendar'!$U$865*1000000000+ISNUMBER('Dvd Calendar'!$U$866)*100000000+0*10000000+(N('Dvd Calendar'!$U$864)&gt;0)*(N('Dvd Calendar'!$U$864)&lt;=VAL_SERIAL)*1000000+78*1000+57))</f>
        <v/>
      </c>
      <c r="GJ89" s="121">
        <f>IF(N('Dvd Calendar'!$V$865)=0,"",IF(('Dvd Calendar'!$V$865&gt;=GRID_FROM)*('Dvd Calendar'!$V$865&lt;=GRID_TO)*('Dvd Calendar'!$V$865&gt;VAL_DATE)=0,"",'Dvd Calendar'!$V$865*1000000000+ISNUMBER('Dvd Calendar'!$V$866)*100000000+0*10000000+(N('Dvd Calendar'!$V$864)&gt;0)*(N('Dvd Calendar'!$V$864)&lt;=VAL_SERIAL)*1000000+78*1000+58))</f>
        <v/>
      </c>
      <c r="GK89" s="121">
        <f>IF(N('Dvd Calendar'!$W$865)=0,"",IF(('Dvd Calendar'!$W$865&gt;=GRID_FROM)*('Dvd Calendar'!$W$865&lt;=GRID_TO)*('Dvd Calendar'!$W$865&gt;VAL_DATE)=0,"",'Dvd Calendar'!$W$865*1000000000+ISNUMBER('Dvd Calendar'!$W$866)*100000000+0*10000000+(N('Dvd Calendar'!$W$864)&gt;0)*(N('Dvd Calendar'!$W$864)&lt;=VAL_SERIAL)*1000000+78*1000+59))</f>
        <v/>
      </c>
      <c r="GL89" s="121">
        <f>IF(N('Dvd Calendar'!$X$865)=0,"",IF(('Dvd Calendar'!$X$865&gt;=GRID_FROM)*('Dvd Calendar'!$X$865&lt;=GRID_TO)*('Dvd Calendar'!$X$865&gt;VAL_DATE)=0,"",'Dvd Calendar'!$X$865*1000000000+ISNUMBER('Dvd Calendar'!$X$866)*100000000+0*10000000+(N('Dvd Calendar'!$X$864)&gt;0)*(N('Dvd Calendar'!$X$864)&lt;=VAL_SERIAL)*1000000+78*1000+60))</f>
        <v/>
      </c>
      <c r="GM89" s="121">
        <f>IF(N('Dvd Calendar'!$Y$865)=0,"",IF(('Dvd Calendar'!$Y$865&gt;=GRID_FROM)*('Dvd Calendar'!$Y$865&lt;=GRID_TO)*('Dvd Calendar'!$Y$865&gt;VAL_DATE)=0,"",'Dvd Calendar'!$Y$865*1000000000+ISNUMBER('Dvd Calendar'!$Y$866)*100000000+0*10000000+(N('Dvd Calendar'!$Y$864)&gt;0)*(N('Dvd Calendar'!$Y$864)&lt;=VAL_SERIAL)*1000000+78*1000+61))</f>
        <v/>
      </c>
      <c r="GN89" s="121">
        <f>IF(N('Dvd Calendar'!$Z$865)=0,"",IF(('Dvd Calendar'!$Z$865&gt;=GRID_FROM)*('Dvd Calendar'!$Z$865&lt;=GRID_TO)*('Dvd Calendar'!$Z$865&gt;VAL_DATE)=0,"",'Dvd Calendar'!$Z$865*1000000000+ISNUMBER('Dvd Calendar'!$Z$866)*100000000+0*10000000+(N('Dvd Calendar'!$Z$864)&gt;0)*(N('Dvd Calendar'!$Z$864)&lt;=VAL_SERIAL)*1000000+78*1000+62))</f>
        <v/>
      </c>
      <c r="GO89" s="121">
        <f>IF(N('Dvd Calendar'!$AA$865)=0,"",IF(('Dvd Calendar'!$AA$865&gt;=GRID_FROM)*('Dvd Calendar'!$AA$865&lt;=GRID_TO)*('Dvd Calendar'!$AA$865&gt;VAL_DATE)=0,"",'Dvd Calendar'!$AA$865*1000000000+ISNUMBER('Dvd Calendar'!$AA$866)*100000000+0*10000000+(N('Dvd Calendar'!$AA$864)&gt;0)*(N('Dvd Calendar'!$AA$864)&lt;=VAL_SERIAL)*1000000+78*1000+63))</f>
        <v/>
      </c>
      <c r="GP89" s="121">
        <f>IF(N('Dvd Calendar'!$AB$865)=0,"",IF(('Dvd Calendar'!$AB$865&gt;=GRID_FROM)*('Dvd Calendar'!$AB$865&lt;=GRID_TO)*('Dvd Calendar'!$AB$865&gt;VAL_DATE)=0,"",'Dvd Calendar'!$AB$865*1000000000+ISNUMBER('Dvd Calendar'!$AB$866)*100000000+0*10000000+(N('Dvd Calendar'!$AB$864)&gt;0)*(N('Dvd Calendar'!$AB$864)&lt;=VAL_SERIAL)*1000000+78*1000+64))</f>
        <v/>
      </c>
      <c r="GQ89" s="121">
        <f>IF(N('Dvd Calendar'!$AC$865)=0,"",IF(('Dvd Calendar'!$AC$865&gt;=GRID_FROM)*('Dvd Calendar'!$AC$865&lt;=GRID_TO)*('Dvd Calendar'!$AC$865&gt;VAL_DATE)=0,"",'Dvd Calendar'!$AC$865*1000000000+ISNUMBER('Dvd Calendar'!$AC$866)*100000000+0*10000000+(N('Dvd Calendar'!$AC$864)&gt;0)*(N('Dvd Calendar'!$AC$864)&lt;=VAL_SERIAL)*1000000+78*1000+65))</f>
        <v/>
      </c>
    </row>
    <row r="90">
      <c r="B90" s="2">
        <f>IF(HSI!$C$85="","",HSI!$C$85)</f>
        <v/>
      </c>
      <c r="C90" s="161">
        <f>IF(EE90="","",IF(ISNUMBER('Dvd Calendar'!$E$872)=FALSE,"",IF((('Dvd Calendar'!$E$874=TYPE1)*(TYPE1&lt;&gt;"")+('Dvd Calendar'!$E$874=TYPE2)*(TYPE2&lt;&gt;"")+('Dvd Calendar'!$E$874=TYPE3)*(TYPE3&lt;&gt;"")+('Dvd Calendar'!$E$874=TYPE4)*(TYPE4&lt;&gt;"")+('Dvd Calendar'!$E$874=SPECIAL_LBL)*(INC_SPECIALS="Y"))=0,"",'Dvd Calendar'!$E$872)))</f>
        <v/>
      </c>
      <c r="D90" s="161">
        <f>IF(EF90="","",IF(ISNUMBER('Dvd Calendar'!$F$872)=FALSE,"",IF((('Dvd Calendar'!$F$874=TYPE1)*(TYPE1&lt;&gt;"")+('Dvd Calendar'!$F$874=TYPE2)*(TYPE2&lt;&gt;"")+('Dvd Calendar'!$F$874=TYPE3)*(TYPE3&lt;&gt;"")+('Dvd Calendar'!$F$874=TYPE4)*(TYPE4&lt;&gt;"")+('Dvd Calendar'!$F$874=SPECIAL_LBL)*(INC_SPECIALS="Y"))=0,"",'Dvd Calendar'!$F$872)))</f>
        <v/>
      </c>
      <c r="E90" s="161">
        <f>IF(EG90="","",IF(ISNUMBER('Dvd Calendar'!$G$872)=FALSE,"",IF((('Dvd Calendar'!$G$874=TYPE1)*(TYPE1&lt;&gt;"")+('Dvd Calendar'!$G$874=TYPE2)*(TYPE2&lt;&gt;"")+('Dvd Calendar'!$G$874=TYPE3)*(TYPE3&lt;&gt;"")+('Dvd Calendar'!$G$874=TYPE4)*(TYPE4&lt;&gt;"")+('Dvd Calendar'!$G$874=SPECIAL_LBL)*(INC_SPECIALS="Y"))=0,"",'Dvd Calendar'!$G$872)))</f>
        <v/>
      </c>
      <c r="F90" s="161">
        <f>IF(EH90="","",IF(ISNUMBER('Dvd Calendar'!$H$872)=FALSE,"",IF((('Dvd Calendar'!$H$874=TYPE1)*(TYPE1&lt;&gt;"")+('Dvd Calendar'!$H$874=TYPE2)*(TYPE2&lt;&gt;"")+('Dvd Calendar'!$H$874=TYPE3)*(TYPE3&lt;&gt;"")+('Dvd Calendar'!$H$874=TYPE4)*(TYPE4&lt;&gt;"")+('Dvd Calendar'!$H$874=SPECIAL_LBL)*(INC_SPECIALS="Y"))=0,"",'Dvd Calendar'!$H$872)))</f>
        <v/>
      </c>
      <c r="G90" s="161">
        <f>IF(EI90="","",IF(ISNUMBER('Dvd Calendar'!$I$872)=FALSE,"",IF((('Dvd Calendar'!$I$874=TYPE1)*(TYPE1&lt;&gt;"")+('Dvd Calendar'!$I$874=TYPE2)*(TYPE2&lt;&gt;"")+('Dvd Calendar'!$I$874=TYPE3)*(TYPE3&lt;&gt;"")+('Dvd Calendar'!$I$874=TYPE4)*(TYPE4&lt;&gt;"")+('Dvd Calendar'!$I$874=SPECIAL_LBL)*(INC_SPECIALS="Y"))=0,"",'Dvd Calendar'!$I$872)))</f>
        <v/>
      </c>
      <c r="H90" s="161">
        <f>IF(EJ90="","",IF(ISNUMBER('Dvd Calendar'!$J$872)=FALSE,"",IF((('Dvd Calendar'!$J$874=TYPE1)*(TYPE1&lt;&gt;"")+('Dvd Calendar'!$J$874=TYPE2)*(TYPE2&lt;&gt;"")+('Dvd Calendar'!$J$874=TYPE3)*(TYPE3&lt;&gt;"")+('Dvd Calendar'!$J$874=TYPE4)*(TYPE4&lt;&gt;"")+('Dvd Calendar'!$J$874=SPECIAL_LBL)*(INC_SPECIALS="Y"))=0,"",'Dvd Calendar'!$J$872)))</f>
        <v/>
      </c>
      <c r="I90" s="161">
        <f>IF(EK90="","",IF(ISNUMBER('Dvd Calendar'!$K$872)=FALSE,"",IF((('Dvd Calendar'!$K$874=TYPE1)*(TYPE1&lt;&gt;"")+('Dvd Calendar'!$K$874=TYPE2)*(TYPE2&lt;&gt;"")+('Dvd Calendar'!$K$874=TYPE3)*(TYPE3&lt;&gt;"")+('Dvd Calendar'!$K$874=TYPE4)*(TYPE4&lt;&gt;"")+('Dvd Calendar'!$K$874=SPECIAL_LBL)*(INC_SPECIALS="Y"))=0,"",'Dvd Calendar'!$K$872)))</f>
        <v/>
      </c>
      <c r="J90" s="161">
        <f>IF(EL90="","",IF(ISNUMBER('Dvd Calendar'!$L$872)=FALSE,"",IF((('Dvd Calendar'!$L$874=TYPE1)*(TYPE1&lt;&gt;"")+('Dvd Calendar'!$L$874=TYPE2)*(TYPE2&lt;&gt;"")+('Dvd Calendar'!$L$874=TYPE3)*(TYPE3&lt;&gt;"")+('Dvd Calendar'!$L$874=TYPE4)*(TYPE4&lt;&gt;"")+('Dvd Calendar'!$L$874=SPECIAL_LBL)*(INC_SPECIALS="Y"))=0,"",'Dvd Calendar'!$L$872)))</f>
        <v/>
      </c>
      <c r="K90" s="161">
        <f>IF(EM90="","",IF(ISNUMBER('Dvd Calendar'!$M$872)=FALSE,"",IF((('Dvd Calendar'!$M$874=TYPE1)*(TYPE1&lt;&gt;"")+('Dvd Calendar'!$M$874=TYPE2)*(TYPE2&lt;&gt;"")+('Dvd Calendar'!$M$874=TYPE3)*(TYPE3&lt;&gt;"")+('Dvd Calendar'!$M$874=TYPE4)*(TYPE4&lt;&gt;"")+('Dvd Calendar'!$M$874=SPECIAL_LBL)*(INC_SPECIALS="Y"))=0,"",'Dvd Calendar'!$M$872)))</f>
        <v/>
      </c>
      <c r="L90" s="161">
        <f>IF(EN90="","",IF(ISNUMBER('Dvd Calendar'!$N$872)=FALSE,"",IF((('Dvd Calendar'!$N$874=TYPE1)*(TYPE1&lt;&gt;"")+('Dvd Calendar'!$N$874=TYPE2)*(TYPE2&lt;&gt;"")+('Dvd Calendar'!$N$874=TYPE3)*(TYPE3&lt;&gt;"")+('Dvd Calendar'!$N$874=TYPE4)*(TYPE4&lt;&gt;"")+('Dvd Calendar'!$N$874=SPECIAL_LBL)*(INC_SPECIALS="Y"))=0,"",'Dvd Calendar'!$N$872)))</f>
        <v/>
      </c>
      <c r="M90" s="161">
        <f>IF(EO90="","",IF(ISNUMBER('Dvd Calendar'!$O$872)=FALSE,"",IF((('Dvd Calendar'!$O$874=TYPE1)*(TYPE1&lt;&gt;"")+('Dvd Calendar'!$O$874=TYPE2)*(TYPE2&lt;&gt;"")+('Dvd Calendar'!$O$874=TYPE3)*(TYPE3&lt;&gt;"")+('Dvd Calendar'!$O$874=TYPE4)*(TYPE4&lt;&gt;"")+('Dvd Calendar'!$O$874=SPECIAL_LBL)*(INC_SPECIALS="Y"))=0,"",'Dvd Calendar'!$O$872)))</f>
        <v/>
      </c>
      <c r="N90" s="161">
        <f>IF(EP90="","",IF(ISNUMBER('Dvd Calendar'!$P$872)=FALSE,"",IF((('Dvd Calendar'!$P$874=TYPE1)*(TYPE1&lt;&gt;"")+('Dvd Calendar'!$P$874=TYPE2)*(TYPE2&lt;&gt;"")+('Dvd Calendar'!$P$874=TYPE3)*(TYPE3&lt;&gt;"")+('Dvd Calendar'!$P$874=TYPE4)*(TYPE4&lt;&gt;"")+('Dvd Calendar'!$P$874=SPECIAL_LBL)*(INC_SPECIALS="Y"))=0,"",'Dvd Calendar'!$P$872)))</f>
        <v/>
      </c>
      <c r="O90" s="161">
        <f>IF(EQ90="","",IF(ISNUMBER('Dvd Calendar'!$Q$872)=FALSE,"",IF((('Dvd Calendar'!$Q$874=TYPE1)*(TYPE1&lt;&gt;"")+('Dvd Calendar'!$Q$874=TYPE2)*(TYPE2&lt;&gt;"")+('Dvd Calendar'!$Q$874=TYPE3)*(TYPE3&lt;&gt;"")+('Dvd Calendar'!$Q$874=TYPE4)*(TYPE4&lt;&gt;"")+('Dvd Calendar'!$Q$874=SPECIAL_LBL)*(INC_SPECIALS="Y"))=0,"",'Dvd Calendar'!$Q$872)))</f>
        <v/>
      </c>
      <c r="P90" s="161">
        <f>IF(ER90="","",IF(ISNUMBER('Dvd Calendar'!$R$872)=FALSE,"",IF((('Dvd Calendar'!$R$874=TYPE1)*(TYPE1&lt;&gt;"")+('Dvd Calendar'!$R$874=TYPE2)*(TYPE2&lt;&gt;"")+('Dvd Calendar'!$R$874=TYPE3)*(TYPE3&lt;&gt;"")+('Dvd Calendar'!$R$874=TYPE4)*(TYPE4&lt;&gt;"")+('Dvd Calendar'!$R$874=SPECIAL_LBL)*(INC_SPECIALS="Y"))=0,"",'Dvd Calendar'!$R$872)))</f>
        <v/>
      </c>
      <c r="Q90" s="161">
        <f>IF(ES90="","",IF(ISNUMBER('Dvd Calendar'!$S$872)=FALSE,"",IF((('Dvd Calendar'!$S$874=TYPE1)*(TYPE1&lt;&gt;"")+('Dvd Calendar'!$S$874=TYPE2)*(TYPE2&lt;&gt;"")+('Dvd Calendar'!$S$874=TYPE3)*(TYPE3&lt;&gt;"")+('Dvd Calendar'!$S$874=TYPE4)*(TYPE4&lt;&gt;"")+('Dvd Calendar'!$S$874=SPECIAL_LBL)*(INC_SPECIALS="Y"))=0,"",'Dvd Calendar'!$S$872)))</f>
        <v/>
      </c>
      <c r="R90" s="161">
        <f>IF(ET90="","",IF(ISNUMBER('Dvd Calendar'!$T$872)=FALSE,"",IF((('Dvd Calendar'!$T$874=TYPE1)*(TYPE1&lt;&gt;"")+('Dvd Calendar'!$T$874=TYPE2)*(TYPE2&lt;&gt;"")+('Dvd Calendar'!$T$874=TYPE3)*(TYPE3&lt;&gt;"")+('Dvd Calendar'!$T$874=TYPE4)*(TYPE4&lt;&gt;"")+('Dvd Calendar'!$T$874=SPECIAL_LBL)*(INC_SPECIALS="Y"))=0,"",'Dvd Calendar'!$T$872)))</f>
        <v/>
      </c>
      <c r="S90" s="161">
        <f>IF(EU90="","",IF(ISNUMBER('Dvd Calendar'!$U$872)=FALSE,"",IF((('Dvd Calendar'!$U$874=TYPE1)*(TYPE1&lt;&gt;"")+('Dvd Calendar'!$U$874=TYPE2)*(TYPE2&lt;&gt;"")+('Dvd Calendar'!$U$874=TYPE3)*(TYPE3&lt;&gt;"")+('Dvd Calendar'!$U$874=TYPE4)*(TYPE4&lt;&gt;"")+('Dvd Calendar'!$U$874=SPECIAL_LBL)*(INC_SPECIALS="Y"))=0,"",'Dvd Calendar'!$U$872)))</f>
        <v/>
      </c>
      <c r="T90" s="161">
        <f>IF(EV90="","",IF(ISNUMBER('Dvd Calendar'!$V$872)=FALSE,"",IF((('Dvd Calendar'!$V$874=TYPE1)*(TYPE1&lt;&gt;"")+('Dvd Calendar'!$V$874=TYPE2)*(TYPE2&lt;&gt;"")+('Dvd Calendar'!$V$874=TYPE3)*(TYPE3&lt;&gt;"")+('Dvd Calendar'!$V$874=TYPE4)*(TYPE4&lt;&gt;"")+('Dvd Calendar'!$V$874=SPECIAL_LBL)*(INC_SPECIALS="Y"))=0,"",'Dvd Calendar'!$V$872)))</f>
        <v/>
      </c>
      <c r="U90" s="161">
        <f>IF(EW90="","",IF(ISNUMBER('Dvd Calendar'!$W$872)=FALSE,"",IF((('Dvd Calendar'!$W$874=TYPE1)*(TYPE1&lt;&gt;"")+('Dvd Calendar'!$W$874=TYPE2)*(TYPE2&lt;&gt;"")+('Dvd Calendar'!$W$874=TYPE3)*(TYPE3&lt;&gt;"")+('Dvd Calendar'!$W$874=TYPE4)*(TYPE4&lt;&gt;"")+('Dvd Calendar'!$W$874=SPECIAL_LBL)*(INC_SPECIALS="Y"))=0,"",'Dvd Calendar'!$W$872)))</f>
        <v/>
      </c>
      <c r="V90" s="161">
        <f>IF(EX90="","",IF(ISNUMBER('Dvd Calendar'!$X$872)=FALSE,"",IF((('Dvd Calendar'!$X$874=TYPE1)*(TYPE1&lt;&gt;"")+('Dvd Calendar'!$X$874=TYPE2)*(TYPE2&lt;&gt;"")+('Dvd Calendar'!$X$874=TYPE3)*(TYPE3&lt;&gt;"")+('Dvd Calendar'!$X$874=TYPE4)*(TYPE4&lt;&gt;"")+('Dvd Calendar'!$X$874=SPECIAL_LBL)*(INC_SPECIALS="Y"))=0,"",'Dvd Calendar'!$X$872)))</f>
        <v/>
      </c>
      <c r="W90" s="161">
        <f>IF(EY90="","",IF(ISNUMBER('Dvd Calendar'!$Y$872)=FALSE,"",IF((('Dvd Calendar'!$Y$874=TYPE1)*(TYPE1&lt;&gt;"")+('Dvd Calendar'!$Y$874=TYPE2)*(TYPE2&lt;&gt;"")+('Dvd Calendar'!$Y$874=TYPE3)*(TYPE3&lt;&gt;"")+('Dvd Calendar'!$Y$874=TYPE4)*(TYPE4&lt;&gt;"")+('Dvd Calendar'!$Y$874=SPECIAL_LBL)*(INC_SPECIALS="Y"))=0,"",'Dvd Calendar'!$Y$872)))</f>
        <v/>
      </c>
      <c r="X90" s="161">
        <f>IF(EZ90="","",IF(ISNUMBER('Dvd Calendar'!$Z$872)=FALSE,"",IF((('Dvd Calendar'!$Z$874=TYPE1)*(TYPE1&lt;&gt;"")+('Dvd Calendar'!$Z$874=TYPE2)*(TYPE2&lt;&gt;"")+('Dvd Calendar'!$Z$874=TYPE3)*(TYPE3&lt;&gt;"")+('Dvd Calendar'!$Z$874=TYPE4)*(TYPE4&lt;&gt;"")+('Dvd Calendar'!$Z$874=SPECIAL_LBL)*(INC_SPECIALS="Y"))=0,"",'Dvd Calendar'!$Z$872)))</f>
        <v/>
      </c>
      <c r="Y90" s="161">
        <f>IF(FA90="","",IF(ISNUMBER('Dvd Calendar'!$AA$872)=FALSE,"",IF((('Dvd Calendar'!$AA$874=TYPE1)*(TYPE1&lt;&gt;"")+('Dvd Calendar'!$AA$874=TYPE2)*(TYPE2&lt;&gt;"")+('Dvd Calendar'!$AA$874=TYPE3)*(TYPE3&lt;&gt;"")+('Dvd Calendar'!$AA$874=TYPE4)*(TYPE4&lt;&gt;"")+('Dvd Calendar'!$AA$874=SPECIAL_LBL)*(INC_SPECIALS="Y"))=0,"",'Dvd Calendar'!$AA$872)))</f>
        <v/>
      </c>
      <c r="Z90" s="161">
        <f>IF(FB90="","",IF(ISNUMBER('Dvd Calendar'!$AB$872)=FALSE,"",IF((('Dvd Calendar'!$AB$874=TYPE1)*(TYPE1&lt;&gt;"")+('Dvd Calendar'!$AB$874=TYPE2)*(TYPE2&lt;&gt;"")+('Dvd Calendar'!$AB$874=TYPE3)*(TYPE3&lt;&gt;"")+('Dvd Calendar'!$AB$874=TYPE4)*(TYPE4&lt;&gt;"")+('Dvd Calendar'!$AB$874=SPECIAL_LBL)*(INC_SPECIALS="Y"))=0,"",'Dvd Calendar'!$AB$872)))</f>
        <v/>
      </c>
      <c r="AA90" s="161">
        <f>IF(FC90="","",IF(ISNUMBER('Dvd Calendar'!$AC$872)=FALSE,"",IF((('Dvd Calendar'!$AC$874=TYPE1)*(TYPE1&lt;&gt;"")+('Dvd Calendar'!$AC$874=TYPE2)*(TYPE2&lt;&gt;"")+('Dvd Calendar'!$AC$874=TYPE3)*(TYPE3&lt;&gt;"")+('Dvd Calendar'!$AC$874=TYPE4)*(TYPE4&lt;&gt;"")+('Dvd Calendar'!$AC$874=SPECIAL_LBL)*(INC_SPECIALS="Y"))=0,"",'Dvd Calendar'!$AC$872)))</f>
        <v/>
      </c>
      <c r="AB90" s="161">
        <f>IF(FD90="","",IF(ISNUMBER('Dvd Calendar'!$AD$872)=FALSE,"",IF((('Dvd Calendar'!$AD$874=TYPE1)*(TYPE1&lt;&gt;"")+('Dvd Calendar'!$AD$874=TYPE2)*(TYPE2&lt;&gt;"")+('Dvd Calendar'!$AD$874=TYPE3)*(TYPE3&lt;&gt;"")+('Dvd Calendar'!$AD$874=TYPE4)*(TYPE4&lt;&gt;"")+('Dvd Calendar'!$AD$874=SPECIAL_LBL)*(INC_SPECIALS="Y"))=0,"",'Dvd Calendar'!$AD$872)))</f>
        <v/>
      </c>
      <c r="AC90" s="161">
        <f>IF(FE90="","",IF(ISNUMBER('Dvd Calendar'!$AE$872)=FALSE,"",IF((('Dvd Calendar'!$AE$874=TYPE1)*(TYPE1&lt;&gt;"")+('Dvd Calendar'!$AE$874=TYPE2)*(TYPE2&lt;&gt;"")+('Dvd Calendar'!$AE$874=TYPE3)*(TYPE3&lt;&gt;"")+('Dvd Calendar'!$AE$874=TYPE4)*(TYPE4&lt;&gt;"")+('Dvd Calendar'!$AE$874=SPECIAL_LBL)*(INC_SPECIALS="Y"))=0,"",'Dvd Calendar'!$AE$872)))</f>
        <v/>
      </c>
      <c r="AD90" s="161">
        <f>IF(FF90="","",IF(ISNUMBER('Dvd Calendar'!$AF$872)=FALSE,"",IF((('Dvd Calendar'!$AF$874=TYPE1)*(TYPE1&lt;&gt;"")+('Dvd Calendar'!$AF$874=TYPE2)*(TYPE2&lt;&gt;"")+('Dvd Calendar'!$AF$874=TYPE3)*(TYPE3&lt;&gt;"")+('Dvd Calendar'!$AF$874=TYPE4)*(TYPE4&lt;&gt;"")+('Dvd Calendar'!$AF$874=SPECIAL_LBL)*(INC_SPECIALS="Y"))=0,"",'Dvd Calendar'!$AF$872)))</f>
        <v/>
      </c>
      <c r="AE90" s="161">
        <f>IF(FG90="","",IF(ISNUMBER('Dvd Calendar'!$AG$872)=FALSE,"",IF((('Dvd Calendar'!$AG$874=TYPE1)*(TYPE1&lt;&gt;"")+('Dvd Calendar'!$AG$874=TYPE2)*(TYPE2&lt;&gt;"")+('Dvd Calendar'!$AG$874=TYPE3)*(TYPE3&lt;&gt;"")+('Dvd Calendar'!$AG$874=TYPE4)*(TYPE4&lt;&gt;"")+('Dvd Calendar'!$AG$874=SPECIAL_LBL)*(INC_SPECIALS="Y"))=0,"",'Dvd Calendar'!$AG$872)))</f>
        <v/>
      </c>
      <c r="AF90" s="161">
        <f>IF(FH90="","",IF(ISNUMBER('Dvd Calendar'!$AH$872)=FALSE,"",IF((('Dvd Calendar'!$AH$874=TYPE1)*(TYPE1&lt;&gt;"")+('Dvd Calendar'!$AH$874=TYPE2)*(TYPE2&lt;&gt;"")+('Dvd Calendar'!$AH$874=TYPE3)*(TYPE3&lt;&gt;"")+('Dvd Calendar'!$AH$874=TYPE4)*(TYPE4&lt;&gt;"")+('Dvd Calendar'!$AH$874=SPECIAL_LBL)*(INC_SPECIALS="Y"))=0,"",'Dvd Calendar'!$AH$872)))</f>
        <v/>
      </c>
      <c r="AG90" s="161">
        <f>IF(FI90="","",IF(ISNUMBER('Dvd Calendar'!$AI$872)=FALSE,"",IF((('Dvd Calendar'!$AI$874=TYPE1)*(TYPE1&lt;&gt;"")+('Dvd Calendar'!$AI$874=TYPE2)*(TYPE2&lt;&gt;"")+('Dvd Calendar'!$AI$874=TYPE3)*(TYPE3&lt;&gt;"")+('Dvd Calendar'!$AI$874=TYPE4)*(TYPE4&lt;&gt;"")+('Dvd Calendar'!$AI$874=SPECIAL_LBL)*(INC_SPECIALS="Y"))=0,"",'Dvd Calendar'!$AI$872)))</f>
        <v/>
      </c>
      <c r="AH90" s="161">
        <f>IF(FJ90="","",IF(ISNUMBER('Dvd Calendar'!$AJ$872)=FALSE,"",IF((('Dvd Calendar'!$AJ$874=TYPE1)*(TYPE1&lt;&gt;"")+('Dvd Calendar'!$AJ$874=TYPE2)*(TYPE2&lt;&gt;"")+('Dvd Calendar'!$AJ$874=TYPE3)*(TYPE3&lt;&gt;"")+('Dvd Calendar'!$AJ$874=TYPE4)*(TYPE4&lt;&gt;"")+('Dvd Calendar'!$AJ$874=SPECIAL_LBL)*(INC_SPECIALS="Y"))=0,"",'Dvd Calendar'!$AJ$872)))</f>
        <v/>
      </c>
      <c r="AI90" s="161">
        <f>IF(FK90="","",IF(ISNUMBER('Dvd Calendar'!$AK$872)=FALSE,"",IF((('Dvd Calendar'!$AK$874=TYPE1)*(TYPE1&lt;&gt;"")+('Dvd Calendar'!$AK$874=TYPE2)*(TYPE2&lt;&gt;"")+('Dvd Calendar'!$AK$874=TYPE3)*(TYPE3&lt;&gt;"")+('Dvd Calendar'!$AK$874=TYPE4)*(TYPE4&lt;&gt;"")+('Dvd Calendar'!$AK$874=SPECIAL_LBL)*(INC_SPECIALS="Y"))=0,"",'Dvd Calendar'!$AK$872)))</f>
        <v/>
      </c>
      <c r="AJ90" s="161">
        <f>IF(FL90="","",IF(ISNUMBER('Dvd Calendar'!$AL$872)=FALSE,"",IF((('Dvd Calendar'!$AL$874=TYPE1)*(TYPE1&lt;&gt;"")+('Dvd Calendar'!$AL$874=TYPE2)*(TYPE2&lt;&gt;"")+('Dvd Calendar'!$AL$874=TYPE3)*(TYPE3&lt;&gt;"")+('Dvd Calendar'!$AL$874=TYPE4)*(TYPE4&lt;&gt;"")+('Dvd Calendar'!$AL$874=SPECIAL_LBL)*(INC_SPECIALS="Y"))=0,"",'Dvd Calendar'!$AL$872)))</f>
        <v/>
      </c>
      <c r="AK90" s="161">
        <f>IF(FM90="","",IF(ISNUMBER('Dvd Calendar'!$AM$872)=FALSE,"",IF((('Dvd Calendar'!$AM$874=TYPE1)*(TYPE1&lt;&gt;"")+('Dvd Calendar'!$AM$874=TYPE2)*(TYPE2&lt;&gt;"")+('Dvd Calendar'!$AM$874=TYPE3)*(TYPE3&lt;&gt;"")+('Dvd Calendar'!$AM$874=TYPE4)*(TYPE4&lt;&gt;"")+('Dvd Calendar'!$AM$874=SPECIAL_LBL)*(INC_SPECIALS="Y"))=0,"",'Dvd Calendar'!$AM$872)))</f>
        <v/>
      </c>
      <c r="AL90" s="161">
        <f>IF(FN90="","",IF(ISNUMBER('Dvd Calendar'!$AN$872)=FALSE,"",IF((('Dvd Calendar'!$AN$874=TYPE1)*(TYPE1&lt;&gt;"")+('Dvd Calendar'!$AN$874=TYPE2)*(TYPE2&lt;&gt;"")+('Dvd Calendar'!$AN$874=TYPE3)*(TYPE3&lt;&gt;"")+('Dvd Calendar'!$AN$874=TYPE4)*(TYPE4&lt;&gt;"")+('Dvd Calendar'!$AN$874=SPECIAL_LBL)*(INC_SPECIALS="Y"))=0,"",'Dvd Calendar'!$AN$872)))</f>
        <v/>
      </c>
      <c r="AM90" s="161">
        <f>IF(FO90="","",IF(ISNUMBER('Dvd Calendar'!$AO$872)=FALSE,"",IF((('Dvd Calendar'!$AO$874=TYPE1)*(TYPE1&lt;&gt;"")+('Dvd Calendar'!$AO$874=TYPE2)*(TYPE2&lt;&gt;"")+('Dvd Calendar'!$AO$874=TYPE3)*(TYPE3&lt;&gt;"")+('Dvd Calendar'!$AO$874=TYPE4)*(TYPE4&lt;&gt;"")+('Dvd Calendar'!$AO$874=SPECIAL_LBL)*(INC_SPECIALS="Y"))=0,"",'Dvd Calendar'!$AO$872)))</f>
        <v/>
      </c>
      <c r="AN90" s="161">
        <f>IF(FP90="","",IF(ISNUMBER('Dvd Calendar'!$AP$872)=FALSE,"",IF((('Dvd Calendar'!$AP$874=TYPE1)*(TYPE1&lt;&gt;"")+('Dvd Calendar'!$AP$874=TYPE2)*(TYPE2&lt;&gt;"")+('Dvd Calendar'!$AP$874=TYPE3)*(TYPE3&lt;&gt;"")+('Dvd Calendar'!$AP$874=TYPE4)*(TYPE4&lt;&gt;"")+('Dvd Calendar'!$AP$874=SPECIAL_LBL)*(INC_SPECIALS="Y"))=0,"",'Dvd Calendar'!$AP$872)))</f>
        <v/>
      </c>
      <c r="AO90" s="161">
        <f>IF(FQ90="","",IF(ISNUMBER('Dvd Calendar'!$AQ$872)=FALSE,"",IF((('Dvd Calendar'!$AQ$874=TYPE1)*(TYPE1&lt;&gt;"")+('Dvd Calendar'!$AQ$874=TYPE2)*(TYPE2&lt;&gt;"")+('Dvd Calendar'!$AQ$874=TYPE3)*(TYPE3&lt;&gt;"")+('Dvd Calendar'!$AQ$874=TYPE4)*(TYPE4&lt;&gt;"")+('Dvd Calendar'!$AQ$874=SPECIAL_LBL)*(INC_SPECIALS="Y"))=0,"",'Dvd Calendar'!$AQ$872)))</f>
        <v/>
      </c>
      <c r="AP90" s="161">
        <f>IF(FR90="","",IF(ISNUMBER('Dvd Calendar'!$AR$872)=FALSE,"",IF((('Dvd Calendar'!$AR$874=TYPE1)*(TYPE1&lt;&gt;"")+('Dvd Calendar'!$AR$874=TYPE2)*(TYPE2&lt;&gt;"")+('Dvd Calendar'!$AR$874=TYPE3)*(TYPE3&lt;&gt;"")+('Dvd Calendar'!$AR$874=TYPE4)*(TYPE4&lt;&gt;"")+('Dvd Calendar'!$AR$874=SPECIAL_LBL)*(INC_SPECIALS="Y"))=0,"",'Dvd Calendar'!$AR$872)))</f>
        <v/>
      </c>
      <c r="AQ90" s="161">
        <f>IF(FS90="","",IF(ISNUMBER('Dvd Calendar'!$E$877)=FALSE,"",'Dvd Calendar'!$E$877))</f>
        <v/>
      </c>
      <c r="AR90" s="161">
        <f>IF(FT90="","",IF(ISNUMBER('Dvd Calendar'!$F$877)=FALSE,"",'Dvd Calendar'!$F$877))</f>
        <v/>
      </c>
      <c r="AS90" s="161">
        <f>IF(FU90="","",IF(ISNUMBER('Dvd Calendar'!$G$877)=FALSE,"",'Dvd Calendar'!$G$877))</f>
        <v/>
      </c>
      <c r="AT90" s="161">
        <f>IF(FV90="","",IF(ISNUMBER('Dvd Calendar'!$H$877)=FALSE,"",'Dvd Calendar'!$H$877))</f>
        <v/>
      </c>
      <c r="AU90" s="161">
        <f>IF(FW90="","",IF(ISNUMBER('Dvd Calendar'!$I$877)=FALSE,"",'Dvd Calendar'!$I$877))</f>
        <v/>
      </c>
      <c r="AV90" s="161">
        <f>IF(FX90="","",IF(ISNUMBER('Dvd Calendar'!$J$877)=FALSE,"",'Dvd Calendar'!$J$877))</f>
        <v/>
      </c>
      <c r="AW90" s="161">
        <f>IF(FY90="","",IF(ISNUMBER('Dvd Calendar'!$K$877)=FALSE,"",'Dvd Calendar'!$K$877))</f>
        <v/>
      </c>
      <c r="AX90" s="161">
        <f>IF(FZ90="","",IF(ISNUMBER('Dvd Calendar'!$L$877)=FALSE,"",'Dvd Calendar'!$L$877))</f>
        <v/>
      </c>
      <c r="AY90" s="161">
        <f>IF(GA90="","",IF(ISNUMBER('Dvd Calendar'!$M$877)=FALSE,"",'Dvd Calendar'!$M$877))</f>
        <v/>
      </c>
      <c r="AZ90" s="161">
        <f>IF(GB90="","",IF(ISNUMBER('Dvd Calendar'!$N$877)=FALSE,"",'Dvd Calendar'!$N$877))</f>
        <v/>
      </c>
      <c r="BA90" s="161">
        <f>IF(GC90="","",IF(ISNUMBER('Dvd Calendar'!$O$877)=FALSE,"",'Dvd Calendar'!$O$877))</f>
        <v/>
      </c>
      <c r="BB90" s="161">
        <f>IF(GD90="","",IF(ISNUMBER('Dvd Calendar'!$P$877)=FALSE,"",'Dvd Calendar'!$P$877))</f>
        <v/>
      </c>
      <c r="BC90" s="161">
        <f>IF(GE90="","",IF(ISNUMBER('Dvd Calendar'!$Q$877)=FALSE,"",'Dvd Calendar'!$Q$877))</f>
        <v/>
      </c>
      <c r="BD90" s="161">
        <f>IF(GF90="","",IF(ISNUMBER('Dvd Calendar'!$R$877)=FALSE,"",'Dvd Calendar'!$R$877))</f>
        <v/>
      </c>
      <c r="BE90" s="161">
        <f>IF(GG90="","",IF(ISNUMBER('Dvd Calendar'!$S$877)=FALSE,"",'Dvd Calendar'!$S$877))</f>
        <v/>
      </c>
      <c r="BF90" s="161">
        <f>IF(GH90="","",IF(ISNUMBER('Dvd Calendar'!$T$877)=FALSE,"",'Dvd Calendar'!$T$877))</f>
        <v/>
      </c>
      <c r="BG90" s="161">
        <f>IF(GI90="","",IF(ISNUMBER('Dvd Calendar'!$U$877)=FALSE,"",'Dvd Calendar'!$U$877))</f>
        <v/>
      </c>
      <c r="BH90" s="161">
        <f>IF(GJ90="","",IF(ISNUMBER('Dvd Calendar'!$V$877)=FALSE,"",'Dvd Calendar'!$V$877))</f>
        <v/>
      </c>
      <c r="BI90" s="161">
        <f>IF(GK90="","",IF(ISNUMBER('Dvd Calendar'!$W$877)=FALSE,"",'Dvd Calendar'!$W$877))</f>
        <v/>
      </c>
      <c r="BJ90" s="161">
        <f>IF(GL90="","",IF(ISNUMBER('Dvd Calendar'!$X$877)=FALSE,"",'Dvd Calendar'!$X$877))</f>
        <v/>
      </c>
      <c r="BK90" s="161">
        <f>IF(GM90="","",IF(ISNUMBER('Dvd Calendar'!$Y$877)=FALSE,"",'Dvd Calendar'!$Y$877))</f>
        <v/>
      </c>
      <c r="BL90" s="161">
        <f>IF(GN90="","",IF(ISNUMBER('Dvd Calendar'!$Z$877)=FALSE,"",'Dvd Calendar'!$Z$877))</f>
        <v/>
      </c>
      <c r="BM90" s="161">
        <f>IF(GO90="","",IF(ISNUMBER('Dvd Calendar'!$AA$877)=FALSE,"",'Dvd Calendar'!$AA$877))</f>
        <v/>
      </c>
      <c r="BN90" s="161">
        <f>IF(GP90="","",IF(ISNUMBER('Dvd Calendar'!$AB$877)=FALSE,"",'Dvd Calendar'!$AB$877))</f>
        <v/>
      </c>
      <c r="BO90" s="161">
        <f>IF(GQ90="","",IF(ISNUMBER('Dvd Calendar'!$AC$877)=FALSE,"",'Dvd Calendar'!$AC$877))</f>
        <v/>
      </c>
      <c r="BQ90" s="161">
        <f>IF(C90="","",IFERROR(C90*HSI!$B$85*HSI!$G$85/HSI!$B$3,""))</f>
        <v/>
      </c>
      <c r="BR90" s="161">
        <f>IF(D90="","",IFERROR(D90*HSI!$B$85*HSI!$G$85/HSI!$B$3,""))</f>
        <v/>
      </c>
      <c r="BS90" s="161">
        <f>IF(E90="","",IFERROR(E90*HSI!$B$85*HSI!$G$85/HSI!$B$3,""))</f>
        <v/>
      </c>
      <c r="BT90" s="161">
        <f>IF(F90="","",IFERROR(F90*HSI!$B$85*HSI!$G$85/HSI!$B$3,""))</f>
        <v/>
      </c>
      <c r="BU90" s="161">
        <f>IF(G90="","",IFERROR(G90*HSI!$B$85*HSI!$G$85/HSI!$B$3,""))</f>
        <v/>
      </c>
      <c r="BV90" s="161">
        <f>IF(H90="","",IFERROR(H90*HSI!$B$85*HSI!$G$85/HSI!$B$3,""))</f>
        <v/>
      </c>
      <c r="BW90" s="161">
        <f>IF(I90="","",IFERROR(I90*HSI!$B$85*HSI!$G$85/HSI!$B$3,""))</f>
        <v/>
      </c>
      <c r="BX90" s="161">
        <f>IF(J90="","",IFERROR(J90*HSI!$B$85*HSI!$G$85/HSI!$B$3,""))</f>
        <v/>
      </c>
      <c r="BY90" s="161">
        <f>IF(K90="","",IFERROR(K90*HSI!$B$85*HSI!$G$85/HSI!$B$3,""))</f>
        <v/>
      </c>
      <c r="BZ90" s="161">
        <f>IF(L90="","",IFERROR(L90*HSI!$B$85*HSI!$G$85/HSI!$B$3,""))</f>
        <v/>
      </c>
      <c r="CA90" s="161">
        <f>IF(M90="","",IFERROR(M90*HSI!$B$85*HSI!$G$85/HSI!$B$3,""))</f>
        <v/>
      </c>
      <c r="CB90" s="161">
        <f>IF(N90="","",IFERROR(N90*HSI!$B$85*HSI!$G$85/HSI!$B$3,""))</f>
        <v/>
      </c>
      <c r="CC90" s="161">
        <f>IF(O90="","",IFERROR(O90*HSI!$B$85*HSI!$G$85/HSI!$B$3,""))</f>
        <v/>
      </c>
      <c r="CD90" s="161">
        <f>IF(P90="","",IFERROR(P90*HSI!$B$85*HSI!$G$85/HSI!$B$3,""))</f>
        <v/>
      </c>
      <c r="CE90" s="161">
        <f>IF(Q90="","",IFERROR(Q90*HSI!$B$85*HSI!$G$85/HSI!$B$3,""))</f>
        <v/>
      </c>
      <c r="CF90" s="161">
        <f>IF(R90="","",IFERROR(R90*HSI!$B$85*HSI!$G$85/HSI!$B$3,""))</f>
        <v/>
      </c>
      <c r="CG90" s="161">
        <f>IF(S90="","",IFERROR(S90*HSI!$B$85*HSI!$G$85/HSI!$B$3,""))</f>
        <v/>
      </c>
      <c r="CH90" s="161">
        <f>IF(T90="","",IFERROR(T90*HSI!$B$85*HSI!$G$85/HSI!$B$3,""))</f>
        <v/>
      </c>
      <c r="CI90" s="161">
        <f>IF(U90="","",IFERROR(U90*HSI!$B$85*HSI!$G$85/HSI!$B$3,""))</f>
        <v/>
      </c>
      <c r="CJ90" s="161">
        <f>IF(V90="","",IFERROR(V90*HSI!$B$85*HSI!$G$85/HSI!$B$3,""))</f>
        <v/>
      </c>
      <c r="CK90" s="161">
        <f>IF(W90="","",IFERROR(W90*HSI!$B$85*HSI!$G$85/HSI!$B$3,""))</f>
        <v/>
      </c>
      <c r="CL90" s="161">
        <f>IF(X90="","",IFERROR(X90*HSI!$B$85*HSI!$G$85/HSI!$B$3,""))</f>
        <v/>
      </c>
      <c r="CM90" s="161">
        <f>IF(Y90="","",IFERROR(Y90*HSI!$B$85*HSI!$G$85/HSI!$B$3,""))</f>
        <v/>
      </c>
      <c r="CN90" s="161">
        <f>IF(Z90="","",IFERROR(Z90*HSI!$B$85*HSI!$G$85/HSI!$B$3,""))</f>
        <v/>
      </c>
      <c r="CO90" s="161">
        <f>IF(AA90="","",IFERROR(AA90*HSI!$B$85*HSI!$G$85/HSI!$B$3,""))</f>
        <v/>
      </c>
      <c r="CP90" s="161">
        <f>IF(AB90="","",IFERROR(AB90*HSI!$B$85*HSI!$G$85/HSI!$B$3,""))</f>
        <v/>
      </c>
      <c r="CQ90" s="161">
        <f>IF(AC90="","",IFERROR(AC90*HSI!$B$85*HSI!$G$85/HSI!$B$3,""))</f>
        <v/>
      </c>
      <c r="CR90" s="161">
        <f>IF(AD90="","",IFERROR(AD90*HSI!$B$85*HSI!$G$85/HSI!$B$3,""))</f>
        <v/>
      </c>
      <c r="CS90" s="161">
        <f>IF(AE90="","",IFERROR(AE90*HSI!$B$85*HSI!$G$85/HSI!$B$3,""))</f>
        <v/>
      </c>
      <c r="CT90" s="161">
        <f>IF(AF90="","",IFERROR(AF90*HSI!$B$85*HSI!$G$85/HSI!$B$3,""))</f>
        <v/>
      </c>
      <c r="CU90" s="161">
        <f>IF(AG90="","",IFERROR(AG90*HSI!$B$85*HSI!$G$85/HSI!$B$3,""))</f>
        <v/>
      </c>
      <c r="CV90" s="161">
        <f>IF(AH90="","",IFERROR(AH90*HSI!$B$85*HSI!$G$85/HSI!$B$3,""))</f>
        <v/>
      </c>
      <c r="CW90" s="161">
        <f>IF(AI90="","",IFERROR(AI90*HSI!$B$85*HSI!$G$85/HSI!$B$3,""))</f>
        <v/>
      </c>
      <c r="CX90" s="161">
        <f>IF(AJ90="","",IFERROR(AJ90*HSI!$B$85*HSI!$G$85/HSI!$B$3,""))</f>
        <v/>
      </c>
      <c r="CY90" s="161">
        <f>IF(AK90="","",IFERROR(AK90*HSI!$B$85*HSI!$G$85/HSI!$B$3,""))</f>
        <v/>
      </c>
      <c r="CZ90" s="161">
        <f>IF(AL90="","",IFERROR(AL90*HSI!$B$85*HSI!$G$85/HSI!$B$3,""))</f>
        <v/>
      </c>
      <c r="DA90" s="161">
        <f>IF(AM90="","",IFERROR(AM90*HSI!$B$85*HSI!$G$85/HSI!$B$3,""))</f>
        <v/>
      </c>
      <c r="DB90" s="161">
        <f>IF(AN90="","",IFERROR(AN90*HSI!$B$85*HSI!$G$85/HSI!$B$3,""))</f>
        <v/>
      </c>
      <c r="DC90" s="161">
        <f>IF(AO90="","",IFERROR(AO90*HSI!$B$85*HSI!$G$85/HSI!$B$3,""))</f>
        <v/>
      </c>
      <c r="DD90" s="161">
        <f>IF(AP90="","",IFERROR(AP90*HSI!$B$85*HSI!$G$85/HSI!$B$3,""))</f>
        <v/>
      </c>
      <c r="DE90" s="161">
        <f>IF(AQ90="","",IFERROR(AQ90*HSI!$B$85*HSI!$G$85/HSI!$B$3,""))</f>
        <v/>
      </c>
      <c r="DF90" s="161">
        <f>IF(AR90="","",IFERROR(AR90*HSI!$B$85*HSI!$G$85/HSI!$B$3,""))</f>
        <v/>
      </c>
      <c r="DG90" s="161">
        <f>IF(AS90="","",IFERROR(AS90*HSI!$B$85*HSI!$G$85/HSI!$B$3,""))</f>
        <v/>
      </c>
      <c r="DH90" s="161">
        <f>IF(AT90="","",IFERROR(AT90*HSI!$B$85*HSI!$G$85/HSI!$B$3,""))</f>
        <v/>
      </c>
      <c r="DI90" s="161">
        <f>IF(AU90="","",IFERROR(AU90*HSI!$B$85*HSI!$G$85/HSI!$B$3,""))</f>
        <v/>
      </c>
      <c r="DJ90" s="161">
        <f>IF(AV90="","",IFERROR(AV90*HSI!$B$85*HSI!$G$85/HSI!$B$3,""))</f>
        <v/>
      </c>
      <c r="DK90" s="161">
        <f>IF(AW90="","",IFERROR(AW90*HSI!$B$85*HSI!$G$85/HSI!$B$3,""))</f>
        <v/>
      </c>
      <c r="DL90" s="161">
        <f>IF(AX90="","",IFERROR(AX90*HSI!$B$85*HSI!$G$85/HSI!$B$3,""))</f>
        <v/>
      </c>
      <c r="DM90" s="161">
        <f>IF(AY90="","",IFERROR(AY90*HSI!$B$85*HSI!$G$85/HSI!$B$3,""))</f>
        <v/>
      </c>
      <c r="DN90" s="161">
        <f>IF(AZ90="","",IFERROR(AZ90*HSI!$B$85*HSI!$G$85/HSI!$B$3,""))</f>
        <v/>
      </c>
      <c r="DO90" s="161">
        <f>IF(BA90="","",IFERROR(BA90*HSI!$B$85*HSI!$G$85/HSI!$B$3,""))</f>
        <v/>
      </c>
      <c r="DP90" s="161">
        <f>IF(BB90="","",IFERROR(BB90*HSI!$B$85*HSI!$G$85/HSI!$B$3,""))</f>
        <v/>
      </c>
      <c r="DQ90" s="161">
        <f>IF(BC90="","",IFERROR(BC90*HSI!$B$85*HSI!$G$85/HSI!$B$3,""))</f>
        <v/>
      </c>
      <c r="DR90" s="161">
        <f>IF(BD90="","",IFERROR(BD90*HSI!$B$85*HSI!$G$85/HSI!$B$3,""))</f>
        <v/>
      </c>
      <c r="DS90" s="161">
        <f>IF(BE90="","",IFERROR(BE90*HSI!$B$85*HSI!$G$85/HSI!$B$3,""))</f>
        <v/>
      </c>
      <c r="DT90" s="161">
        <f>IF(BF90="","",IFERROR(BF90*HSI!$B$85*HSI!$G$85/HSI!$B$3,""))</f>
        <v/>
      </c>
      <c r="DU90" s="161">
        <f>IF(BG90="","",IFERROR(BG90*HSI!$B$85*HSI!$G$85/HSI!$B$3,""))</f>
        <v/>
      </c>
      <c r="DV90" s="161">
        <f>IF(BH90="","",IFERROR(BH90*HSI!$B$85*HSI!$G$85/HSI!$B$3,""))</f>
        <v/>
      </c>
      <c r="DW90" s="161">
        <f>IF(BI90="","",IFERROR(BI90*HSI!$B$85*HSI!$G$85/HSI!$B$3,""))</f>
        <v/>
      </c>
      <c r="DX90" s="161">
        <f>IF(BJ90="","",IFERROR(BJ90*HSI!$B$85*HSI!$G$85/HSI!$B$3,""))</f>
        <v/>
      </c>
      <c r="DY90" s="161">
        <f>IF(BK90="","",IFERROR(BK90*HSI!$B$85*HSI!$G$85/HSI!$B$3,""))</f>
        <v/>
      </c>
      <c r="DZ90" s="161">
        <f>IF(BL90="","",IFERROR(BL90*HSI!$B$85*HSI!$G$85/HSI!$B$3,""))</f>
        <v/>
      </c>
      <c r="EA90" s="161">
        <f>IF(BM90="","",IFERROR(BM90*HSI!$B$85*HSI!$G$85/HSI!$B$3,""))</f>
        <v/>
      </c>
      <c r="EB90" s="161">
        <f>IF(BN90="","",IFERROR(BN90*HSI!$B$85*HSI!$G$85/HSI!$B$3,""))</f>
        <v/>
      </c>
      <c r="EC90" s="161">
        <f>IF(BO90="","",IFERROR(BO90*HSI!$B$85*HSI!$G$85/HSI!$B$3,""))</f>
        <v/>
      </c>
      <c r="EE90" s="121">
        <f>IF(N('Dvd Calendar'!$E$869)=0,"",IF(('Dvd Calendar'!$E$869&gt;=GRID_FROM)*('Dvd Calendar'!$E$869&lt;=GRID_TO)*((('Dvd Calendar'!$E$869&lt;=VAL_DATE)+(COUNTIF('Dvd Calendar'!$E$876:$AR$876,'Dvd Calendar'!$E$869)=0))&gt;0)=0,"",'Dvd Calendar'!$E$869*1000000000+ISNUMBER('Dvd Calendar'!$E$872)*100000000+('Dvd Calendar'!$E$874=SPECIAL_LBL)*10000000+(N('Dvd Calendar'!$E$868)&gt;0)*(N('Dvd Calendar'!$E$868)&lt;=VAL_SERIAL)*1000000+79*1000+1))</f>
        <v/>
      </c>
      <c r="EF90" s="121">
        <f>IF(N('Dvd Calendar'!$F$869)=0,"",IF(('Dvd Calendar'!$F$869&gt;=GRID_FROM)*('Dvd Calendar'!$F$869&lt;=GRID_TO)*((('Dvd Calendar'!$F$869&lt;=VAL_DATE)+(COUNTIF('Dvd Calendar'!$E$876:$AR$876,'Dvd Calendar'!$F$869)=0))&gt;0)=0,"",'Dvd Calendar'!$F$869*1000000000+ISNUMBER('Dvd Calendar'!$F$872)*100000000+('Dvd Calendar'!$F$874=SPECIAL_LBL)*10000000+(N('Dvd Calendar'!$F$868)&gt;0)*(N('Dvd Calendar'!$F$868)&lt;=VAL_SERIAL)*1000000+79*1000+2))</f>
        <v/>
      </c>
      <c r="EG90" s="121">
        <f>IF(N('Dvd Calendar'!$G$869)=0,"",IF(('Dvd Calendar'!$G$869&gt;=GRID_FROM)*('Dvd Calendar'!$G$869&lt;=GRID_TO)*((('Dvd Calendar'!$G$869&lt;=VAL_DATE)+(COUNTIF('Dvd Calendar'!$E$876:$AR$876,'Dvd Calendar'!$G$869)=0))&gt;0)=0,"",'Dvd Calendar'!$G$869*1000000000+ISNUMBER('Dvd Calendar'!$G$872)*100000000+('Dvd Calendar'!$G$874=SPECIAL_LBL)*10000000+(N('Dvd Calendar'!$G$868)&gt;0)*(N('Dvd Calendar'!$G$868)&lt;=VAL_SERIAL)*1000000+79*1000+3))</f>
        <v/>
      </c>
      <c r="EH90" s="121">
        <f>IF(N('Dvd Calendar'!$H$869)=0,"",IF(('Dvd Calendar'!$H$869&gt;=GRID_FROM)*('Dvd Calendar'!$H$869&lt;=GRID_TO)*((('Dvd Calendar'!$H$869&lt;=VAL_DATE)+(COUNTIF('Dvd Calendar'!$E$876:$AR$876,'Dvd Calendar'!$H$869)=0))&gt;0)=0,"",'Dvd Calendar'!$H$869*1000000000+ISNUMBER('Dvd Calendar'!$H$872)*100000000+('Dvd Calendar'!$H$874=SPECIAL_LBL)*10000000+(N('Dvd Calendar'!$H$868)&gt;0)*(N('Dvd Calendar'!$H$868)&lt;=VAL_SERIAL)*1000000+79*1000+4))</f>
        <v/>
      </c>
      <c r="EI90" s="121">
        <f>IF(N('Dvd Calendar'!$I$869)=0,"",IF(('Dvd Calendar'!$I$869&gt;=GRID_FROM)*('Dvd Calendar'!$I$869&lt;=GRID_TO)*((('Dvd Calendar'!$I$869&lt;=VAL_DATE)+(COUNTIF('Dvd Calendar'!$E$876:$AR$876,'Dvd Calendar'!$I$869)=0))&gt;0)=0,"",'Dvd Calendar'!$I$869*1000000000+ISNUMBER('Dvd Calendar'!$I$872)*100000000+('Dvd Calendar'!$I$874=SPECIAL_LBL)*10000000+(N('Dvd Calendar'!$I$868)&gt;0)*(N('Dvd Calendar'!$I$868)&lt;=VAL_SERIAL)*1000000+79*1000+5))</f>
        <v/>
      </c>
      <c r="EJ90" s="121">
        <f>IF(N('Dvd Calendar'!$J$869)=0,"",IF(('Dvd Calendar'!$J$869&gt;=GRID_FROM)*('Dvd Calendar'!$J$869&lt;=GRID_TO)*((('Dvd Calendar'!$J$869&lt;=VAL_DATE)+(COUNTIF('Dvd Calendar'!$E$876:$AR$876,'Dvd Calendar'!$J$869)=0))&gt;0)=0,"",'Dvd Calendar'!$J$869*1000000000+ISNUMBER('Dvd Calendar'!$J$872)*100000000+('Dvd Calendar'!$J$874=SPECIAL_LBL)*10000000+(N('Dvd Calendar'!$J$868)&gt;0)*(N('Dvd Calendar'!$J$868)&lt;=VAL_SERIAL)*1000000+79*1000+6))</f>
        <v/>
      </c>
      <c r="EK90" s="121">
        <f>IF(N('Dvd Calendar'!$K$869)=0,"",IF(('Dvd Calendar'!$K$869&gt;=GRID_FROM)*('Dvd Calendar'!$K$869&lt;=GRID_TO)*((('Dvd Calendar'!$K$869&lt;=VAL_DATE)+(COUNTIF('Dvd Calendar'!$E$876:$AR$876,'Dvd Calendar'!$K$869)=0))&gt;0)=0,"",'Dvd Calendar'!$K$869*1000000000+ISNUMBER('Dvd Calendar'!$K$872)*100000000+('Dvd Calendar'!$K$874=SPECIAL_LBL)*10000000+(N('Dvd Calendar'!$K$868)&gt;0)*(N('Dvd Calendar'!$K$868)&lt;=VAL_SERIAL)*1000000+79*1000+7))</f>
        <v/>
      </c>
      <c r="EL90" s="121">
        <f>IF(N('Dvd Calendar'!$L$869)=0,"",IF(('Dvd Calendar'!$L$869&gt;=GRID_FROM)*('Dvd Calendar'!$L$869&lt;=GRID_TO)*((('Dvd Calendar'!$L$869&lt;=VAL_DATE)+(COUNTIF('Dvd Calendar'!$E$876:$AR$876,'Dvd Calendar'!$L$869)=0))&gt;0)=0,"",'Dvd Calendar'!$L$869*1000000000+ISNUMBER('Dvd Calendar'!$L$872)*100000000+('Dvd Calendar'!$L$874=SPECIAL_LBL)*10000000+(N('Dvd Calendar'!$L$868)&gt;0)*(N('Dvd Calendar'!$L$868)&lt;=VAL_SERIAL)*1000000+79*1000+8))</f>
        <v/>
      </c>
      <c r="EM90" s="121">
        <f>IF(N('Dvd Calendar'!$M$869)=0,"",IF(('Dvd Calendar'!$M$869&gt;=GRID_FROM)*('Dvd Calendar'!$M$869&lt;=GRID_TO)*((('Dvd Calendar'!$M$869&lt;=VAL_DATE)+(COUNTIF('Dvd Calendar'!$E$876:$AR$876,'Dvd Calendar'!$M$869)=0))&gt;0)=0,"",'Dvd Calendar'!$M$869*1000000000+ISNUMBER('Dvd Calendar'!$M$872)*100000000+('Dvd Calendar'!$M$874=SPECIAL_LBL)*10000000+(N('Dvd Calendar'!$M$868)&gt;0)*(N('Dvd Calendar'!$M$868)&lt;=VAL_SERIAL)*1000000+79*1000+9))</f>
        <v/>
      </c>
      <c r="EN90" s="121">
        <f>IF(N('Dvd Calendar'!$N$869)=0,"",IF(('Dvd Calendar'!$N$869&gt;=GRID_FROM)*('Dvd Calendar'!$N$869&lt;=GRID_TO)*((('Dvd Calendar'!$N$869&lt;=VAL_DATE)+(COUNTIF('Dvd Calendar'!$E$876:$AR$876,'Dvd Calendar'!$N$869)=0))&gt;0)=0,"",'Dvd Calendar'!$N$869*1000000000+ISNUMBER('Dvd Calendar'!$N$872)*100000000+('Dvd Calendar'!$N$874=SPECIAL_LBL)*10000000+(N('Dvd Calendar'!$N$868)&gt;0)*(N('Dvd Calendar'!$N$868)&lt;=VAL_SERIAL)*1000000+79*1000+10))</f>
        <v/>
      </c>
      <c r="EO90" s="121">
        <f>IF(N('Dvd Calendar'!$O$869)=0,"",IF(('Dvd Calendar'!$O$869&gt;=GRID_FROM)*('Dvd Calendar'!$O$869&lt;=GRID_TO)*((('Dvd Calendar'!$O$869&lt;=VAL_DATE)+(COUNTIF('Dvd Calendar'!$E$876:$AR$876,'Dvd Calendar'!$O$869)=0))&gt;0)=0,"",'Dvd Calendar'!$O$869*1000000000+ISNUMBER('Dvd Calendar'!$O$872)*100000000+('Dvd Calendar'!$O$874=SPECIAL_LBL)*10000000+(N('Dvd Calendar'!$O$868)&gt;0)*(N('Dvd Calendar'!$O$868)&lt;=VAL_SERIAL)*1000000+79*1000+11))</f>
        <v/>
      </c>
      <c r="EP90" s="121">
        <f>IF(N('Dvd Calendar'!$P$869)=0,"",IF(('Dvd Calendar'!$P$869&gt;=GRID_FROM)*('Dvd Calendar'!$P$869&lt;=GRID_TO)*((('Dvd Calendar'!$P$869&lt;=VAL_DATE)+(COUNTIF('Dvd Calendar'!$E$876:$AR$876,'Dvd Calendar'!$P$869)=0))&gt;0)=0,"",'Dvd Calendar'!$P$869*1000000000+ISNUMBER('Dvd Calendar'!$P$872)*100000000+('Dvd Calendar'!$P$874=SPECIAL_LBL)*10000000+(N('Dvd Calendar'!$P$868)&gt;0)*(N('Dvd Calendar'!$P$868)&lt;=VAL_SERIAL)*1000000+79*1000+12))</f>
        <v/>
      </c>
      <c r="EQ90" s="121">
        <f>IF(N('Dvd Calendar'!$Q$869)=0,"",IF(('Dvd Calendar'!$Q$869&gt;=GRID_FROM)*('Dvd Calendar'!$Q$869&lt;=GRID_TO)*((('Dvd Calendar'!$Q$869&lt;=VAL_DATE)+(COUNTIF('Dvd Calendar'!$E$876:$AR$876,'Dvd Calendar'!$Q$869)=0))&gt;0)=0,"",'Dvd Calendar'!$Q$869*1000000000+ISNUMBER('Dvd Calendar'!$Q$872)*100000000+('Dvd Calendar'!$Q$874=SPECIAL_LBL)*10000000+(N('Dvd Calendar'!$Q$868)&gt;0)*(N('Dvd Calendar'!$Q$868)&lt;=VAL_SERIAL)*1000000+79*1000+13))</f>
        <v/>
      </c>
      <c r="ER90" s="121">
        <f>IF(N('Dvd Calendar'!$R$869)=0,"",IF(('Dvd Calendar'!$R$869&gt;=GRID_FROM)*('Dvd Calendar'!$R$869&lt;=GRID_TO)*((('Dvd Calendar'!$R$869&lt;=VAL_DATE)+(COUNTIF('Dvd Calendar'!$E$876:$AR$876,'Dvd Calendar'!$R$869)=0))&gt;0)=0,"",'Dvd Calendar'!$R$869*1000000000+ISNUMBER('Dvd Calendar'!$R$872)*100000000+('Dvd Calendar'!$R$874=SPECIAL_LBL)*10000000+(N('Dvd Calendar'!$R$868)&gt;0)*(N('Dvd Calendar'!$R$868)&lt;=VAL_SERIAL)*1000000+79*1000+14))</f>
        <v/>
      </c>
      <c r="ES90" s="121">
        <f>IF(N('Dvd Calendar'!$S$869)=0,"",IF(('Dvd Calendar'!$S$869&gt;=GRID_FROM)*('Dvd Calendar'!$S$869&lt;=GRID_TO)*((('Dvd Calendar'!$S$869&lt;=VAL_DATE)+(COUNTIF('Dvd Calendar'!$E$876:$AR$876,'Dvd Calendar'!$S$869)=0))&gt;0)=0,"",'Dvd Calendar'!$S$869*1000000000+ISNUMBER('Dvd Calendar'!$S$872)*100000000+('Dvd Calendar'!$S$874=SPECIAL_LBL)*10000000+(N('Dvd Calendar'!$S$868)&gt;0)*(N('Dvd Calendar'!$S$868)&lt;=VAL_SERIAL)*1000000+79*1000+15))</f>
        <v/>
      </c>
      <c r="ET90" s="121">
        <f>IF(N('Dvd Calendar'!$T$869)=0,"",IF(('Dvd Calendar'!$T$869&gt;=GRID_FROM)*('Dvd Calendar'!$T$869&lt;=GRID_TO)*((('Dvd Calendar'!$T$869&lt;=VAL_DATE)+(COUNTIF('Dvd Calendar'!$E$876:$AR$876,'Dvd Calendar'!$T$869)=0))&gt;0)=0,"",'Dvd Calendar'!$T$869*1000000000+ISNUMBER('Dvd Calendar'!$T$872)*100000000+('Dvd Calendar'!$T$874=SPECIAL_LBL)*10000000+(N('Dvd Calendar'!$T$868)&gt;0)*(N('Dvd Calendar'!$T$868)&lt;=VAL_SERIAL)*1000000+79*1000+16))</f>
        <v/>
      </c>
      <c r="EU90" s="121">
        <f>IF(N('Dvd Calendar'!$U$869)=0,"",IF(('Dvd Calendar'!$U$869&gt;=GRID_FROM)*('Dvd Calendar'!$U$869&lt;=GRID_TO)*((('Dvd Calendar'!$U$869&lt;=VAL_DATE)+(COUNTIF('Dvd Calendar'!$E$876:$AR$876,'Dvd Calendar'!$U$869)=0))&gt;0)=0,"",'Dvd Calendar'!$U$869*1000000000+ISNUMBER('Dvd Calendar'!$U$872)*100000000+('Dvd Calendar'!$U$874=SPECIAL_LBL)*10000000+(N('Dvd Calendar'!$U$868)&gt;0)*(N('Dvd Calendar'!$U$868)&lt;=VAL_SERIAL)*1000000+79*1000+17))</f>
        <v/>
      </c>
      <c r="EV90" s="121">
        <f>IF(N('Dvd Calendar'!$V$869)=0,"",IF(('Dvd Calendar'!$V$869&gt;=GRID_FROM)*('Dvd Calendar'!$V$869&lt;=GRID_TO)*((('Dvd Calendar'!$V$869&lt;=VAL_DATE)+(COUNTIF('Dvd Calendar'!$E$876:$AR$876,'Dvd Calendar'!$V$869)=0))&gt;0)=0,"",'Dvd Calendar'!$V$869*1000000000+ISNUMBER('Dvd Calendar'!$V$872)*100000000+('Dvd Calendar'!$V$874=SPECIAL_LBL)*10000000+(N('Dvd Calendar'!$V$868)&gt;0)*(N('Dvd Calendar'!$V$868)&lt;=VAL_SERIAL)*1000000+79*1000+18))</f>
        <v/>
      </c>
      <c r="EW90" s="121">
        <f>IF(N('Dvd Calendar'!$W$869)=0,"",IF(('Dvd Calendar'!$W$869&gt;=GRID_FROM)*('Dvd Calendar'!$W$869&lt;=GRID_TO)*((('Dvd Calendar'!$W$869&lt;=VAL_DATE)+(COUNTIF('Dvd Calendar'!$E$876:$AR$876,'Dvd Calendar'!$W$869)=0))&gt;0)=0,"",'Dvd Calendar'!$W$869*1000000000+ISNUMBER('Dvd Calendar'!$W$872)*100000000+('Dvd Calendar'!$W$874=SPECIAL_LBL)*10000000+(N('Dvd Calendar'!$W$868)&gt;0)*(N('Dvd Calendar'!$W$868)&lt;=VAL_SERIAL)*1000000+79*1000+19))</f>
        <v/>
      </c>
      <c r="EX90" s="121">
        <f>IF(N('Dvd Calendar'!$X$869)=0,"",IF(('Dvd Calendar'!$X$869&gt;=GRID_FROM)*('Dvd Calendar'!$X$869&lt;=GRID_TO)*((('Dvd Calendar'!$X$869&lt;=VAL_DATE)+(COUNTIF('Dvd Calendar'!$E$876:$AR$876,'Dvd Calendar'!$X$869)=0))&gt;0)=0,"",'Dvd Calendar'!$X$869*1000000000+ISNUMBER('Dvd Calendar'!$X$872)*100000000+('Dvd Calendar'!$X$874=SPECIAL_LBL)*10000000+(N('Dvd Calendar'!$X$868)&gt;0)*(N('Dvd Calendar'!$X$868)&lt;=VAL_SERIAL)*1000000+79*1000+20))</f>
        <v/>
      </c>
      <c r="EY90" s="121">
        <f>IF(N('Dvd Calendar'!$Y$869)=0,"",IF(('Dvd Calendar'!$Y$869&gt;=GRID_FROM)*('Dvd Calendar'!$Y$869&lt;=GRID_TO)*((('Dvd Calendar'!$Y$869&lt;=VAL_DATE)+(COUNTIF('Dvd Calendar'!$E$876:$AR$876,'Dvd Calendar'!$Y$869)=0))&gt;0)=0,"",'Dvd Calendar'!$Y$869*1000000000+ISNUMBER('Dvd Calendar'!$Y$872)*100000000+('Dvd Calendar'!$Y$874=SPECIAL_LBL)*10000000+(N('Dvd Calendar'!$Y$868)&gt;0)*(N('Dvd Calendar'!$Y$868)&lt;=VAL_SERIAL)*1000000+79*1000+21))</f>
        <v/>
      </c>
      <c r="EZ90" s="121">
        <f>IF(N('Dvd Calendar'!$Z$869)=0,"",IF(('Dvd Calendar'!$Z$869&gt;=GRID_FROM)*('Dvd Calendar'!$Z$869&lt;=GRID_TO)*((('Dvd Calendar'!$Z$869&lt;=VAL_DATE)+(COUNTIF('Dvd Calendar'!$E$876:$AR$876,'Dvd Calendar'!$Z$869)=0))&gt;0)=0,"",'Dvd Calendar'!$Z$869*1000000000+ISNUMBER('Dvd Calendar'!$Z$872)*100000000+('Dvd Calendar'!$Z$874=SPECIAL_LBL)*10000000+(N('Dvd Calendar'!$Z$868)&gt;0)*(N('Dvd Calendar'!$Z$868)&lt;=VAL_SERIAL)*1000000+79*1000+22))</f>
        <v/>
      </c>
      <c r="FA90" s="121">
        <f>IF(N('Dvd Calendar'!$AA$869)=0,"",IF(('Dvd Calendar'!$AA$869&gt;=GRID_FROM)*('Dvd Calendar'!$AA$869&lt;=GRID_TO)*((('Dvd Calendar'!$AA$869&lt;=VAL_DATE)+(COUNTIF('Dvd Calendar'!$E$876:$AR$876,'Dvd Calendar'!$AA$869)=0))&gt;0)=0,"",'Dvd Calendar'!$AA$869*1000000000+ISNUMBER('Dvd Calendar'!$AA$872)*100000000+('Dvd Calendar'!$AA$874=SPECIAL_LBL)*10000000+(N('Dvd Calendar'!$AA$868)&gt;0)*(N('Dvd Calendar'!$AA$868)&lt;=VAL_SERIAL)*1000000+79*1000+23))</f>
        <v/>
      </c>
      <c r="FB90" s="121">
        <f>IF(N('Dvd Calendar'!$AB$869)=0,"",IF(('Dvd Calendar'!$AB$869&gt;=GRID_FROM)*('Dvd Calendar'!$AB$869&lt;=GRID_TO)*((('Dvd Calendar'!$AB$869&lt;=VAL_DATE)+(COUNTIF('Dvd Calendar'!$E$876:$AR$876,'Dvd Calendar'!$AB$869)=0))&gt;0)=0,"",'Dvd Calendar'!$AB$869*1000000000+ISNUMBER('Dvd Calendar'!$AB$872)*100000000+('Dvd Calendar'!$AB$874=SPECIAL_LBL)*10000000+(N('Dvd Calendar'!$AB$868)&gt;0)*(N('Dvd Calendar'!$AB$868)&lt;=VAL_SERIAL)*1000000+79*1000+24))</f>
        <v/>
      </c>
      <c r="FC90" s="121">
        <f>IF(N('Dvd Calendar'!$AC$869)=0,"",IF(('Dvd Calendar'!$AC$869&gt;=GRID_FROM)*('Dvd Calendar'!$AC$869&lt;=GRID_TO)*((('Dvd Calendar'!$AC$869&lt;=VAL_DATE)+(COUNTIF('Dvd Calendar'!$E$876:$AR$876,'Dvd Calendar'!$AC$869)=0))&gt;0)=0,"",'Dvd Calendar'!$AC$869*1000000000+ISNUMBER('Dvd Calendar'!$AC$872)*100000000+('Dvd Calendar'!$AC$874=SPECIAL_LBL)*10000000+(N('Dvd Calendar'!$AC$868)&gt;0)*(N('Dvd Calendar'!$AC$868)&lt;=VAL_SERIAL)*1000000+79*1000+25))</f>
        <v/>
      </c>
      <c r="FD90" s="121">
        <f>IF(N('Dvd Calendar'!$AD$869)=0,"",IF(('Dvd Calendar'!$AD$869&gt;=GRID_FROM)*('Dvd Calendar'!$AD$869&lt;=GRID_TO)*((('Dvd Calendar'!$AD$869&lt;=VAL_DATE)+(COUNTIF('Dvd Calendar'!$E$876:$AR$876,'Dvd Calendar'!$AD$869)=0))&gt;0)=0,"",'Dvd Calendar'!$AD$869*1000000000+ISNUMBER('Dvd Calendar'!$AD$872)*100000000+('Dvd Calendar'!$AD$874=SPECIAL_LBL)*10000000+(N('Dvd Calendar'!$AD$868)&gt;0)*(N('Dvd Calendar'!$AD$868)&lt;=VAL_SERIAL)*1000000+79*1000+26))</f>
        <v/>
      </c>
      <c r="FE90" s="121">
        <f>IF(N('Dvd Calendar'!$AE$869)=0,"",IF(('Dvd Calendar'!$AE$869&gt;=GRID_FROM)*('Dvd Calendar'!$AE$869&lt;=GRID_TO)*((('Dvd Calendar'!$AE$869&lt;=VAL_DATE)+(COUNTIF('Dvd Calendar'!$E$876:$AR$876,'Dvd Calendar'!$AE$869)=0))&gt;0)=0,"",'Dvd Calendar'!$AE$869*1000000000+ISNUMBER('Dvd Calendar'!$AE$872)*100000000+('Dvd Calendar'!$AE$874=SPECIAL_LBL)*10000000+(N('Dvd Calendar'!$AE$868)&gt;0)*(N('Dvd Calendar'!$AE$868)&lt;=VAL_SERIAL)*1000000+79*1000+27))</f>
        <v/>
      </c>
      <c r="FF90" s="121">
        <f>IF(N('Dvd Calendar'!$AF$869)=0,"",IF(('Dvd Calendar'!$AF$869&gt;=GRID_FROM)*('Dvd Calendar'!$AF$869&lt;=GRID_TO)*((('Dvd Calendar'!$AF$869&lt;=VAL_DATE)+(COUNTIF('Dvd Calendar'!$E$876:$AR$876,'Dvd Calendar'!$AF$869)=0))&gt;0)=0,"",'Dvd Calendar'!$AF$869*1000000000+ISNUMBER('Dvd Calendar'!$AF$872)*100000000+('Dvd Calendar'!$AF$874=SPECIAL_LBL)*10000000+(N('Dvd Calendar'!$AF$868)&gt;0)*(N('Dvd Calendar'!$AF$868)&lt;=VAL_SERIAL)*1000000+79*1000+28))</f>
        <v/>
      </c>
      <c r="FG90" s="121">
        <f>IF(N('Dvd Calendar'!$AG$869)=0,"",IF(('Dvd Calendar'!$AG$869&gt;=GRID_FROM)*('Dvd Calendar'!$AG$869&lt;=GRID_TO)*((('Dvd Calendar'!$AG$869&lt;=VAL_DATE)+(COUNTIF('Dvd Calendar'!$E$876:$AR$876,'Dvd Calendar'!$AG$869)=0))&gt;0)=0,"",'Dvd Calendar'!$AG$869*1000000000+ISNUMBER('Dvd Calendar'!$AG$872)*100000000+('Dvd Calendar'!$AG$874=SPECIAL_LBL)*10000000+(N('Dvd Calendar'!$AG$868)&gt;0)*(N('Dvd Calendar'!$AG$868)&lt;=VAL_SERIAL)*1000000+79*1000+29))</f>
        <v/>
      </c>
      <c r="FH90" s="121">
        <f>IF(N('Dvd Calendar'!$AH$869)=0,"",IF(('Dvd Calendar'!$AH$869&gt;=GRID_FROM)*('Dvd Calendar'!$AH$869&lt;=GRID_TO)*((('Dvd Calendar'!$AH$869&lt;=VAL_DATE)+(COUNTIF('Dvd Calendar'!$E$876:$AR$876,'Dvd Calendar'!$AH$869)=0))&gt;0)=0,"",'Dvd Calendar'!$AH$869*1000000000+ISNUMBER('Dvd Calendar'!$AH$872)*100000000+('Dvd Calendar'!$AH$874=SPECIAL_LBL)*10000000+(N('Dvd Calendar'!$AH$868)&gt;0)*(N('Dvd Calendar'!$AH$868)&lt;=VAL_SERIAL)*1000000+79*1000+30))</f>
        <v/>
      </c>
      <c r="FI90" s="121">
        <f>IF(N('Dvd Calendar'!$AI$869)=0,"",IF(('Dvd Calendar'!$AI$869&gt;=GRID_FROM)*('Dvd Calendar'!$AI$869&lt;=GRID_TO)*((('Dvd Calendar'!$AI$869&lt;=VAL_DATE)+(COUNTIF('Dvd Calendar'!$E$876:$AR$876,'Dvd Calendar'!$AI$869)=0))&gt;0)=0,"",'Dvd Calendar'!$AI$869*1000000000+ISNUMBER('Dvd Calendar'!$AI$872)*100000000+('Dvd Calendar'!$AI$874=SPECIAL_LBL)*10000000+(N('Dvd Calendar'!$AI$868)&gt;0)*(N('Dvd Calendar'!$AI$868)&lt;=VAL_SERIAL)*1000000+79*1000+31))</f>
        <v/>
      </c>
      <c r="FJ90" s="121">
        <f>IF(N('Dvd Calendar'!$AJ$869)=0,"",IF(('Dvd Calendar'!$AJ$869&gt;=GRID_FROM)*('Dvd Calendar'!$AJ$869&lt;=GRID_TO)*((('Dvd Calendar'!$AJ$869&lt;=VAL_DATE)+(COUNTIF('Dvd Calendar'!$E$876:$AR$876,'Dvd Calendar'!$AJ$869)=0))&gt;0)=0,"",'Dvd Calendar'!$AJ$869*1000000000+ISNUMBER('Dvd Calendar'!$AJ$872)*100000000+('Dvd Calendar'!$AJ$874=SPECIAL_LBL)*10000000+(N('Dvd Calendar'!$AJ$868)&gt;0)*(N('Dvd Calendar'!$AJ$868)&lt;=VAL_SERIAL)*1000000+79*1000+32))</f>
        <v/>
      </c>
      <c r="FK90" s="121">
        <f>IF(N('Dvd Calendar'!$AK$869)=0,"",IF(('Dvd Calendar'!$AK$869&gt;=GRID_FROM)*('Dvd Calendar'!$AK$869&lt;=GRID_TO)*((('Dvd Calendar'!$AK$869&lt;=VAL_DATE)+(COUNTIF('Dvd Calendar'!$E$876:$AR$876,'Dvd Calendar'!$AK$869)=0))&gt;0)=0,"",'Dvd Calendar'!$AK$869*1000000000+ISNUMBER('Dvd Calendar'!$AK$872)*100000000+('Dvd Calendar'!$AK$874=SPECIAL_LBL)*10000000+(N('Dvd Calendar'!$AK$868)&gt;0)*(N('Dvd Calendar'!$AK$868)&lt;=VAL_SERIAL)*1000000+79*1000+33))</f>
        <v/>
      </c>
      <c r="FL90" s="121">
        <f>IF(N('Dvd Calendar'!$AL$869)=0,"",IF(('Dvd Calendar'!$AL$869&gt;=GRID_FROM)*('Dvd Calendar'!$AL$869&lt;=GRID_TO)*((('Dvd Calendar'!$AL$869&lt;=VAL_DATE)+(COUNTIF('Dvd Calendar'!$E$876:$AR$876,'Dvd Calendar'!$AL$869)=0))&gt;0)=0,"",'Dvd Calendar'!$AL$869*1000000000+ISNUMBER('Dvd Calendar'!$AL$872)*100000000+('Dvd Calendar'!$AL$874=SPECIAL_LBL)*10000000+(N('Dvd Calendar'!$AL$868)&gt;0)*(N('Dvd Calendar'!$AL$868)&lt;=VAL_SERIAL)*1000000+79*1000+34))</f>
        <v/>
      </c>
      <c r="FM90" s="121">
        <f>IF(N('Dvd Calendar'!$AM$869)=0,"",IF(('Dvd Calendar'!$AM$869&gt;=GRID_FROM)*('Dvd Calendar'!$AM$869&lt;=GRID_TO)*((('Dvd Calendar'!$AM$869&lt;=VAL_DATE)+(COUNTIF('Dvd Calendar'!$E$876:$AR$876,'Dvd Calendar'!$AM$869)=0))&gt;0)=0,"",'Dvd Calendar'!$AM$869*1000000000+ISNUMBER('Dvd Calendar'!$AM$872)*100000000+('Dvd Calendar'!$AM$874=SPECIAL_LBL)*10000000+(N('Dvd Calendar'!$AM$868)&gt;0)*(N('Dvd Calendar'!$AM$868)&lt;=VAL_SERIAL)*1000000+79*1000+35))</f>
        <v/>
      </c>
      <c r="FN90" s="121">
        <f>IF(N('Dvd Calendar'!$AN$869)=0,"",IF(('Dvd Calendar'!$AN$869&gt;=GRID_FROM)*('Dvd Calendar'!$AN$869&lt;=GRID_TO)*((('Dvd Calendar'!$AN$869&lt;=VAL_DATE)+(COUNTIF('Dvd Calendar'!$E$876:$AR$876,'Dvd Calendar'!$AN$869)=0))&gt;0)=0,"",'Dvd Calendar'!$AN$869*1000000000+ISNUMBER('Dvd Calendar'!$AN$872)*100000000+('Dvd Calendar'!$AN$874=SPECIAL_LBL)*10000000+(N('Dvd Calendar'!$AN$868)&gt;0)*(N('Dvd Calendar'!$AN$868)&lt;=VAL_SERIAL)*1000000+79*1000+36))</f>
        <v/>
      </c>
      <c r="FO90" s="121">
        <f>IF(N('Dvd Calendar'!$AO$869)=0,"",IF(('Dvd Calendar'!$AO$869&gt;=GRID_FROM)*('Dvd Calendar'!$AO$869&lt;=GRID_TO)*((('Dvd Calendar'!$AO$869&lt;=VAL_DATE)+(COUNTIF('Dvd Calendar'!$E$876:$AR$876,'Dvd Calendar'!$AO$869)=0))&gt;0)=0,"",'Dvd Calendar'!$AO$869*1000000000+ISNUMBER('Dvd Calendar'!$AO$872)*100000000+('Dvd Calendar'!$AO$874=SPECIAL_LBL)*10000000+(N('Dvd Calendar'!$AO$868)&gt;0)*(N('Dvd Calendar'!$AO$868)&lt;=VAL_SERIAL)*1000000+79*1000+37))</f>
        <v/>
      </c>
      <c r="FP90" s="121">
        <f>IF(N('Dvd Calendar'!$AP$869)=0,"",IF(('Dvd Calendar'!$AP$869&gt;=GRID_FROM)*('Dvd Calendar'!$AP$869&lt;=GRID_TO)*((('Dvd Calendar'!$AP$869&lt;=VAL_DATE)+(COUNTIF('Dvd Calendar'!$E$876:$AR$876,'Dvd Calendar'!$AP$869)=0))&gt;0)=0,"",'Dvd Calendar'!$AP$869*1000000000+ISNUMBER('Dvd Calendar'!$AP$872)*100000000+('Dvd Calendar'!$AP$874=SPECIAL_LBL)*10000000+(N('Dvd Calendar'!$AP$868)&gt;0)*(N('Dvd Calendar'!$AP$868)&lt;=VAL_SERIAL)*1000000+79*1000+38))</f>
        <v/>
      </c>
      <c r="FQ90" s="121">
        <f>IF(N('Dvd Calendar'!$AQ$869)=0,"",IF(('Dvd Calendar'!$AQ$869&gt;=GRID_FROM)*('Dvd Calendar'!$AQ$869&lt;=GRID_TO)*((('Dvd Calendar'!$AQ$869&lt;=VAL_DATE)+(COUNTIF('Dvd Calendar'!$E$876:$AR$876,'Dvd Calendar'!$AQ$869)=0))&gt;0)=0,"",'Dvd Calendar'!$AQ$869*1000000000+ISNUMBER('Dvd Calendar'!$AQ$872)*100000000+('Dvd Calendar'!$AQ$874=SPECIAL_LBL)*10000000+(N('Dvd Calendar'!$AQ$868)&gt;0)*(N('Dvd Calendar'!$AQ$868)&lt;=VAL_SERIAL)*1000000+79*1000+39))</f>
        <v/>
      </c>
      <c r="FR90" s="121">
        <f>IF(N('Dvd Calendar'!$AR$869)=0,"",IF(('Dvd Calendar'!$AR$869&gt;=GRID_FROM)*('Dvd Calendar'!$AR$869&lt;=GRID_TO)*((('Dvd Calendar'!$AR$869&lt;=VAL_DATE)+(COUNTIF('Dvd Calendar'!$E$876:$AR$876,'Dvd Calendar'!$AR$869)=0))&gt;0)=0,"",'Dvd Calendar'!$AR$869*1000000000+ISNUMBER('Dvd Calendar'!$AR$872)*100000000+('Dvd Calendar'!$AR$874=SPECIAL_LBL)*10000000+(N('Dvd Calendar'!$AR$868)&gt;0)*(N('Dvd Calendar'!$AR$868)&lt;=VAL_SERIAL)*1000000+79*1000+40))</f>
        <v/>
      </c>
      <c r="FS90" s="121">
        <f>IF(N('Dvd Calendar'!$E$876)=0,"",IF(('Dvd Calendar'!$E$876&gt;=GRID_FROM)*('Dvd Calendar'!$E$876&lt;=GRID_TO)*('Dvd Calendar'!$E$876&gt;VAL_DATE)=0,"",'Dvd Calendar'!$E$876*1000000000+ISNUMBER('Dvd Calendar'!$E$877)*100000000+0*10000000+(N('Dvd Calendar'!$E$875)&gt;0)*(N('Dvd Calendar'!$E$875)&lt;=VAL_SERIAL)*1000000+79*1000+41))</f>
        <v/>
      </c>
      <c r="FT90" s="121">
        <f>IF(N('Dvd Calendar'!$F$876)=0,"",IF(('Dvd Calendar'!$F$876&gt;=GRID_FROM)*('Dvd Calendar'!$F$876&lt;=GRID_TO)*('Dvd Calendar'!$F$876&gt;VAL_DATE)=0,"",'Dvd Calendar'!$F$876*1000000000+ISNUMBER('Dvd Calendar'!$F$877)*100000000+0*10000000+(N('Dvd Calendar'!$F$875)&gt;0)*(N('Dvd Calendar'!$F$875)&lt;=VAL_SERIAL)*1000000+79*1000+42))</f>
        <v/>
      </c>
      <c r="FU90" s="121">
        <f>IF(N('Dvd Calendar'!$G$876)=0,"",IF(('Dvd Calendar'!$G$876&gt;=GRID_FROM)*('Dvd Calendar'!$G$876&lt;=GRID_TO)*('Dvd Calendar'!$G$876&gt;VAL_DATE)=0,"",'Dvd Calendar'!$G$876*1000000000+ISNUMBER('Dvd Calendar'!$G$877)*100000000+0*10000000+(N('Dvd Calendar'!$G$875)&gt;0)*(N('Dvd Calendar'!$G$875)&lt;=VAL_SERIAL)*1000000+79*1000+43))</f>
        <v/>
      </c>
      <c r="FV90" s="121">
        <f>IF(N('Dvd Calendar'!$H$876)=0,"",IF(('Dvd Calendar'!$H$876&gt;=GRID_FROM)*('Dvd Calendar'!$H$876&lt;=GRID_TO)*('Dvd Calendar'!$H$876&gt;VAL_DATE)=0,"",'Dvd Calendar'!$H$876*1000000000+ISNUMBER('Dvd Calendar'!$H$877)*100000000+0*10000000+(N('Dvd Calendar'!$H$875)&gt;0)*(N('Dvd Calendar'!$H$875)&lt;=VAL_SERIAL)*1000000+79*1000+44))</f>
        <v/>
      </c>
      <c r="FW90" s="121">
        <f>IF(N('Dvd Calendar'!$I$876)=0,"",IF(('Dvd Calendar'!$I$876&gt;=GRID_FROM)*('Dvd Calendar'!$I$876&lt;=GRID_TO)*('Dvd Calendar'!$I$876&gt;VAL_DATE)=0,"",'Dvd Calendar'!$I$876*1000000000+ISNUMBER('Dvd Calendar'!$I$877)*100000000+0*10000000+(N('Dvd Calendar'!$I$875)&gt;0)*(N('Dvd Calendar'!$I$875)&lt;=VAL_SERIAL)*1000000+79*1000+45))</f>
        <v/>
      </c>
      <c r="FX90" s="121">
        <f>IF(N('Dvd Calendar'!$J$876)=0,"",IF(('Dvd Calendar'!$J$876&gt;=GRID_FROM)*('Dvd Calendar'!$J$876&lt;=GRID_TO)*('Dvd Calendar'!$J$876&gt;VAL_DATE)=0,"",'Dvd Calendar'!$J$876*1000000000+ISNUMBER('Dvd Calendar'!$J$877)*100000000+0*10000000+(N('Dvd Calendar'!$J$875)&gt;0)*(N('Dvd Calendar'!$J$875)&lt;=VAL_SERIAL)*1000000+79*1000+46))</f>
        <v/>
      </c>
      <c r="FY90" s="121">
        <f>IF(N('Dvd Calendar'!$K$876)=0,"",IF(('Dvd Calendar'!$K$876&gt;=GRID_FROM)*('Dvd Calendar'!$K$876&lt;=GRID_TO)*('Dvd Calendar'!$K$876&gt;VAL_DATE)=0,"",'Dvd Calendar'!$K$876*1000000000+ISNUMBER('Dvd Calendar'!$K$877)*100000000+0*10000000+(N('Dvd Calendar'!$K$875)&gt;0)*(N('Dvd Calendar'!$K$875)&lt;=VAL_SERIAL)*1000000+79*1000+47))</f>
        <v/>
      </c>
      <c r="FZ90" s="121">
        <f>IF(N('Dvd Calendar'!$L$876)=0,"",IF(('Dvd Calendar'!$L$876&gt;=GRID_FROM)*('Dvd Calendar'!$L$876&lt;=GRID_TO)*('Dvd Calendar'!$L$876&gt;VAL_DATE)=0,"",'Dvd Calendar'!$L$876*1000000000+ISNUMBER('Dvd Calendar'!$L$877)*100000000+0*10000000+(N('Dvd Calendar'!$L$875)&gt;0)*(N('Dvd Calendar'!$L$875)&lt;=VAL_SERIAL)*1000000+79*1000+48))</f>
        <v/>
      </c>
      <c r="GA90" s="121">
        <f>IF(N('Dvd Calendar'!$M$876)=0,"",IF(('Dvd Calendar'!$M$876&gt;=GRID_FROM)*('Dvd Calendar'!$M$876&lt;=GRID_TO)*('Dvd Calendar'!$M$876&gt;VAL_DATE)=0,"",'Dvd Calendar'!$M$876*1000000000+ISNUMBER('Dvd Calendar'!$M$877)*100000000+0*10000000+(N('Dvd Calendar'!$M$875)&gt;0)*(N('Dvd Calendar'!$M$875)&lt;=VAL_SERIAL)*1000000+79*1000+49))</f>
        <v/>
      </c>
      <c r="GB90" s="121">
        <f>IF(N('Dvd Calendar'!$N$876)=0,"",IF(('Dvd Calendar'!$N$876&gt;=GRID_FROM)*('Dvd Calendar'!$N$876&lt;=GRID_TO)*('Dvd Calendar'!$N$876&gt;VAL_DATE)=0,"",'Dvd Calendar'!$N$876*1000000000+ISNUMBER('Dvd Calendar'!$N$877)*100000000+0*10000000+(N('Dvd Calendar'!$N$875)&gt;0)*(N('Dvd Calendar'!$N$875)&lt;=VAL_SERIAL)*1000000+79*1000+50))</f>
        <v/>
      </c>
      <c r="GC90" s="121">
        <f>IF(N('Dvd Calendar'!$O$876)=0,"",IF(('Dvd Calendar'!$O$876&gt;=GRID_FROM)*('Dvd Calendar'!$O$876&lt;=GRID_TO)*('Dvd Calendar'!$O$876&gt;VAL_DATE)=0,"",'Dvd Calendar'!$O$876*1000000000+ISNUMBER('Dvd Calendar'!$O$877)*100000000+0*10000000+(N('Dvd Calendar'!$O$875)&gt;0)*(N('Dvd Calendar'!$O$875)&lt;=VAL_SERIAL)*1000000+79*1000+51))</f>
        <v/>
      </c>
      <c r="GD90" s="121">
        <f>IF(N('Dvd Calendar'!$P$876)=0,"",IF(('Dvd Calendar'!$P$876&gt;=GRID_FROM)*('Dvd Calendar'!$P$876&lt;=GRID_TO)*('Dvd Calendar'!$P$876&gt;VAL_DATE)=0,"",'Dvd Calendar'!$P$876*1000000000+ISNUMBER('Dvd Calendar'!$P$877)*100000000+0*10000000+(N('Dvd Calendar'!$P$875)&gt;0)*(N('Dvd Calendar'!$P$875)&lt;=VAL_SERIAL)*1000000+79*1000+52))</f>
        <v/>
      </c>
      <c r="GE90" s="121">
        <f>IF(N('Dvd Calendar'!$Q$876)=0,"",IF(('Dvd Calendar'!$Q$876&gt;=GRID_FROM)*('Dvd Calendar'!$Q$876&lt;=GRID_TO)*('Dvd Calendar'!$Q$876&gt;VAL_DATE)=0,"",'Dvd Calendar'!$Q$876*1000000000+ISNUMBER('Dvd Calendar'!$Q$877)*100000000+0*10000000+(N('Dvd Calendar'!$Q$875)&gt;0)*(N('Dvd Calendar'!$Q$875)&lt;=VAL_SERIAL)*1000000+79*1000+53))</f>
        <v/>
      </c>
      <c r="GF90" s="121">
        <f>IF(N('Dvd Calendar'!$R$876)=0,"",IF(('Dvd Calendar'!$R$876&gt;=GRID_FROM)*('Dvd Calendar'!$R$876&lt;=GRID_TO)*('Dvd Calendar'!$R$876&gt;VAL_DATE)=0,"",'Dvd Calendar'!$R$876*1000000000+ISNUMBER('Dvd Calendar'!$R$877)*100000000+0*10000000+(N('Dvd Calendar'!$R$875)&gt;0)*(N('Dvd Calendar'!$R$875)&lt;=VAL_SERIAL)*1000000+79*1000+54))</f>
        <v/>
      </c>
      <c r="GG90" s="121">
        <f>IF(N('Dvd Calendar'!$S$876)=0,"",IF(('Dvd Calendar'!$S$876&gt;=GRID_FROM)*('Dvd Calendar'!$S$876&lt;=GRID_TO)*('Dvd Calendar'!$S$876&gt;VAL_DATE)=0,"",'Dvd Calendar'!$S$876*1000000000+ISNUMBER('Dvd Calendar'!$S$877)*100000000+0*10000000+(N('Dvd Calendar'!$S$875)&gt;0)*(N('Dvd Calendar'!$S$875)&lt;=VAL_SERIAL)*1000000+79*1000+55))</f>
        <v/>
      </c>
      <c r="GH90" s="121">
        <f>IF(N('Dvd Calendar'!$T$876)=0,"",IF(('Dvd Calendar'!$T$876&gt;=GRID_FROM)*('Dvd Calendar'!$T$876&lt;=GRID_TO)*('Dvd Calendar'!$T$876&gt;VAL_DATE)=0,"",'Dvd Calendar'!$T$876*1000000000+ISNUMBER('Dvd Calendar'!$T$877)*100000000+0*10000000+(N('Dvd Calendar'!$T$875)&gt;0)*(N('Dvd Calendar'!$T$875)&lt;=VAL_SERIAL)*1000000+79*1000+56))</f>
        <v/>
      </c>
      <c r="GI90" s="121">
        <f>IF(N('Dvd Calendar'!$U$876)=0,"",IF(('Dvd Calendar'!$U$876&gt;=GRID_FROM)*('Dvd Calendar'!$U$876&lt;=GRID_TO)*('Dvd Calendar'!$U$876&gt;VAL_DATE)=0,"",'Dvd Calendar'!$U$876*1000000000+ISNUMBER('Dvd Calendar'!$U$877)*100000000+0*10000000+(N('Dvd Calendar'!$U$875)&gt;0)*(N('Dvd Calendar'!$U$875)&lt;=VAL_SERIAL)*1000000+79*1000+57))</f>
        <v/>
      </c>
      <c r="GJ90" s="121">
        <f>IF(N('Dvd Calendar'!$V$876)=0,"",IF(('Dvd Calendar'!$V$876&gt;=GRID_FROM)*('Dvd Calendar'!$V$876&lt;=GRID_TO)*('Dvd Calendar'!$V$876&gt;VAL_DATE)=0,"",'Dvd Calendar'!$V$876*1000000000+ISNUMBER('Dvd Calendar'!$V$877)*100000000+0*10000000+(N('Dvd Calendar'!$V$875)&gt;0)*(N('Dvd Calendar'!$V$875)&lt;=VAL_SERIAL)*1000000+79*1000+58))</f>
        <v/>
      </c>
      <c r="GK90" s="121">
        <f>IF(N('Dvd Calendar'!$W$876)=0,"",IF(('Dvd Calendar'!$W$876&gt;=GRID_FROM)*('Dvd Calendar'!$W$876&lt;=GRID_TO)*('Dvd Calendar'!$W$876&gt;VAL_DATE)=0,"",'Dvd Calendar'!$W$876*1000000000+ISNUMBER('Dvd Calendar'!$W$877)*100000000+0*10000000+(N('Dvd Calendar'!$W$875)&gt;0)*(N('Dvd Calendar'!$W$875)&lt;=VAL_SERIAL)*1000000+79*1000+59))</f>
        <v/>
      </c>
      <c r="GL90" s="121">
        <f>IF(N('Dvd Calendar'!$X$876)=0,"",IF(('Dvd Calendar'!$X$876&gt;=GRID_FROM)*('Dvd Calendar'!$X$876&lt;=GRID_TO)*('Dvd Calendar'!$X$876&gt;VAL_DATE)=0,"",'Dvd Calendar'!$X$876*1000000000+ISNUMBER('Dvd Calendar'!$X$877)*100000000+0*10000000+(N('Dvd Calendar'!$X$875)&gt;0)*(N('Dvd Calendar'!$X$875)&lt;=VAL_SERIAL)*1000000+79*1000+60))</f>
        <v/>
      </c>
      <c r="GM90" s="121">
        <f>IF(N('Dvd Calendar'!$Y$876)=0,"",IF(('Dvd Calendar'!$Y$876&gt;=GRID_FROM)*('Dvd Calendar'!$Y$876&lt;=GRID_TO)*('Dvd Calendar'!$Y$876&gt;VAL_DATE)=0,"",'Dvd Calendar'!$Y$876*1000000000+ISNUMBER('Dvd Calendar'!$Y$877)*100000000+0*10000000+(N('Dvd Calendar'!$Y$875)&gt;0)*(N('Dvd Calendar'!$Y$875)&lt;=VAL_SERIAL)*1000000+79*1000+61))</f>
        <v/>
      </c>
      <c r="GN90" s="121">
        <f>IF(N('Dvd Calendar'!$Z$876)=0,"",IF(('Dvd Calendar'!$Z$876&gt;=GRID_FROM)*('Dvd Calendar'!$Z$876&lt;=GRID_TO)*('Dvd Calendar'!$Z$876&gt;VAL_DATE)=0,"",'Dvd Calendar'!$Z$876*1000000000+ISNUMBER('Dvd Calendar'!$Z$877)*100000000+0*10000000+(N('Dvd Calendar'!$Z$875)&gt;0)*(N('Dvd Calendar'!$Z$875)&lt;=VAL_SERIAL)*1000000+79*1000+62))</f>
        <v/>
      </c>
      <c r="GO90" s="121">
        <f>IF(N('Dvd Calendar'!$AA$876)=0,"",IF(('Dvd Calendar'!$AA$876&gt;=GRID_FROM)*('Dvd Calendar'!$AA$876&lt;=GRID_TO)*('Dvd Calendar'!$AA$876&gt;VAL_DATE)=0,"",'Dvd Calendar'!$AA$876*1000000000+ISNUMBER('Dvd Calendar'!$AA$877)*100000000+0*10000000+(N('Dvd Calendar'!$AA$875)&gt;0)*(N('Dvd Calendar'!$AA$875)&lt;=VAL_SERIAL)*1000000+79*1000+63))</f>
        <v/>
      </c>
      <c r="GP90" s="121">
        <f>IF(N('Dvd Calendar'!$AB$876)=0,"",IF(('Dvd Calendar'!$AB$876&gt;=GRID_FROM)*('Dvd Calendar'!$AB$876&lt;=GRID_TO)*('Dvd Calendar'!$AB$876&gt;VAL_DATE)=0,"",'Dvd Calendar'!$AB$876*1000000000+ISNUMBER('Dvd Calendar'!$AB$877)*100000000+0*10000000+(N('Dvd Calendar'!$AB$875)&gt;0)*(N('Dvd Calendar'!$AB$875)&lt;=VAL_SERIAL)*1000000+79*1000+64))</f>
        <v/>
      </c>
      <c r="GQ90" s="121">
        <f>IF(N('Dvd Calendar'!$AC$876)=0,"",IF(('Dvd Calendar'!$AC$876&gt;=GRID_FROM)*('Dvd Calendar'!$AC$876&lt;=GRID_TO)*('Dvd Calendar'!$AC$876&gt;VAL_DATE)=0,"",'Dvd Calendar'!$AC$876*1000000000+ISNUMBER('Dvd Calendar'!$AC$877)*100000000+0*10000000+(N('Dvd Calendar'!$AC$875)&gt;0)*(N('Dvd Calendar'!$AC$875)&lt;=VAL_SERIAL)*1000000+79*1000+65))</f>
        <v/>
      </c>
    </row>
    <row r="91">
      <c r="B91" s="2">
        <f>IF(HSI!$C$86="","",HSI!$C$86)</f>
        <v/>
      </c>
      <c r="C91" s="161">
        <f>IF(EE91="","",IF(ISNUMBER('Dvd Calendar'!$E$883)=FALSE,"",IF((('Dvd Calendar'!$E$885=TYPE1)*(TYPE1&lt;&gt;"")+('Dvd Calendar'!$E$885=TYPE2)*(TYPE2&lt;&gt;"")+('Dvd Calendar'!$E$885=TYPE3)*(TYPE3&lt;&gt;"")+('Dvd Calendar'!$E$885=TYPE4)*(TYPE4&lt;&gt;"")+('Dvd Calendar'!$E$885=SPECIAL_LBL)*(INC_SPECIALS="Y"))=0,"",'Dvd Calendar'!$E$883)))</f>
        <v/>
      </c>
      <c r="D91" s="161">
        <f>IF(EF91="","",IF(ISNUMBER('Dvd Calendar'!$F$883)=FALSE,"",IF((('Dvd Calendar'!$F$885=TYPE1)*(TYPE1&lt;&gt;"")+('Dvd Calendar'!$F$885=TYPE2)*(TYPE2&lt;&gt;"")+('Dvd Calendar'!$F$885=TYPE3)*(TYPE3&lt;&gt;"")+('Dvd Calendar'!$F$885=TYPE4)*(TYPE4&lt;&gt;"")+('Dvd Calendar'!$F$885=SPECIAL_LBL)*(INC_SPECIALS="Y"))=0,"",'Dvd Calendar'!$F$883)))</f>
        <v/>
      </c>
      <c r="E91" s="161">
        <f>IF(EG91="","",IF(ISNUMBER('Dvd Calendar'!$G$883)=FALSE,"",IF((('Dvd Calendar'!$G$885=TYPE1)*(TYPE1&lt;&gt;"")+('Dvd Calendar'!$G$885=TYPE2)*(TYPE2&lt;&gt;"")+('Dvd Calendar'!$G$885=TYPE3)*(TYPE3&lt;&gt;"")+('Dvd Calendar'!$G$885=TYPE4)*(TYPE4&lt;&gt;"")+('Dvd Calendar'!$G$885=SPECIAL_LBL)*(INC_SPECIALS="Y"))=0,"",'Dvd Calendar'!$G$883)))</f>
        <v/>
      </c>
      <c r="F91" s="161">
        <f>IF(EH91="","",IF(ISNUMBER('Dvd Calendar'!$H$883)=FALSE,"",IF((('Dvd Calendar'!$H$885=TYPE1)*(TYPE1&lt;&gt;"")+('Dvd Calendar'!$H$885=TYPE2)*(TYPE2&lt;&gt;"")+('Dvd Calendar'!$H$885=TYPE3)*(TYPE3&lt;&gt;"")+('Dvd Calendar'!$H$885=TYPE4)*(TYPE4&lt;&gt;"")+('Dvd Calendar'!$H$885=SPECIAL_LBL)*(INC_SPECIALS="Y"))=0,"",'Dvd Calendar'!$H$883)))</f>
        <v/>
      </c>
      <c r="G91" s="161">
        <f>IF(EI91="","",IF(ISNUMBER('Dvd Calendar'!$I$883)=FALSE,"",IF((('Dvd Calendar'!$I$885=TYPE1)*(TYPE1&lt;&gt;"")+('Dvd Calendar'!$I$885=TYPE2)*(TYPE2&lt;&gt;"")+('Dvd Calendar'!$I$885=TYPE3)*(TYPE3&lt;&gt;"")+('Dvd Calendar'!$I$885=TYPE4)*(TYPE4&lt;&gt;"")+('Dvd Calendar'!$I$885=SPECIAL_LBL)*(INC_SPECIALS="Y"))=0,"",'Dvd Calendar'!$I$883)))</f>
        <v/>
      </c>
      <c r="H91" s="161">
        <f>IF(EJ91="","",IF(ISNUMBER('Dvd Calendar'!$J$883)=FALSE,"",IF((('Dvd Calendar'!$J$885=TYPE1)*(TYPE1&lt;&gt;"")+('Dvd Calendar'!$J$885=TYPE2)*(TYPE2&lt;&gt;"")+('Dvd Calendar'!$J$885=TYPE3)*(TYPE3&lt;&gt;"")+('Dvd Calendar'!$J$885=TYPE4)*(TYPE4&lt;&gt;"")+('Dvd Calendar'!$J$885=SPECIAL_LBL)*(INC_SPECIALS="Y"))=0,"",'Dvd Calendar'!$J$883)))</f>
        <v/>
      </c>
      <c r="I91" s="161">
        <f>IF(EK91="","",IF(ISNUMBER('Dvd Calendar'!$K$883)=FALSE,"",IF((('Dvd Calendar'!$K$885=TYPE1)*(TYPE1&lt;&gt;"")+('Dvd Calendar'!$K$885=TYPE2)*(TYPE2&lt;&gt;"")+('Dvd Calendar'!$K$885=TYPE3)*(TYPE3&lt;&gt;"")+('Dvd Calendar'!$K$885=TYPE4)*(TYPE4&lt;&gt;"")+('Dvd Calendar'!$K$885=SPECIAL_LBL)*(INC_SPECIALS="Y"))=0,"",'Dvd Calendar'!$K$883)))</f>
        <v/>
      </c>
      <c r="J91" s="161">
        <f>IF(EL91="","",IF(ISNUMBER('Dvd Calendar'!$L$883)=FALSE,"",IF((('Dvd Calendar'!$L$885=TYPE1)*(TYPE1&lt;&gt;"")+('Dvd Calendar'!$L$885=TYPE2)*(TYPE2&lt;&gt;"")+('Dvd Calendar'!$L$885=TYPE3)*(TYPE3&lt;&gt;"")+('Dvd Calendar'!$L$885=TYPE4)*(TYPE4&lt;&gt;"")+('Dvd Calendar'!$L$885=SPECIAL_LBL)*(INC_SPECIALS="Y"))=0,"",'Dvd Calendar'!$L$883)))</f>
        <v/>
      </c>
      <c r="K91" s="161">
        <f>IF(EM91="","",IF(ISNUMBER('Dvd Calendar'!$M$883)=FALSE,"",IF((('Dvd Calendar'!$M$885=TYPE1)*(TYPE1&lt;&gt;"")+('Dvd Calendar'!$M$885=TYPE2)*(TYPE2&lt;&gt;"")+('Dvd Calendar'!$M$885=TYPE3)*(TYPE3&lt;&gt;"")+('Dvd Calendar'!$M$885=TYPE4)*(TYPE4&lt;&gt;"")+('Dvd Calendar'!$M$885=SPECIAL_LBL)*(INC_SPECIALS="Y"))=0,"",'Dvd Calendar'!$M$883)))</f>
        <v/>
      </c>
      <c r="L91" s="161">
        <f>IF(EN91="","",IF(ISNUMBER('Dvd Calendar'!$N$883)=FALSE,"",IF((('Dvd Calendar'!$N$885=TYPE1)*(TYPE1&lt;&gt;"")+('Dvd Calendar'!$N$885=TYPE2)*(TYPE2&lt;&gt;"")+('Dvd Calendar'!$N$885=TYPE3)*(TYPE3&lt;&gt;"")+('Dvd Calendar'!$N$885=TYPE4)*(TYPE4&lt;&gt;"")+('Dvd Calendar'!$N$885=SPECIAL_LBL)*(INC_SPECIALS="Y"))=0,"",'Dvd Calendar'!$N$883)))</f>
        <v/>
      </c>
      <c r="M91" s="161">
        <f>IF(EO91="","",IF(ISNUMBER('Dvd Calendar'!$O$883)=FALSE,"",IF((('Dvd Calendar'!$O$885=TYPE1)*(TYPE1&lt;&gt;"")+('Dvd Calendar'!$O$885=TYPE2)*(TYPE2&lt;&gt;"")+('Dvd Calendar'!$O$885=TYPE3)*(TYPE3&lt;&gt;"")+('Dvd Calendar'!$O$885=TYPE4)*(TYPE4&lt;&gt;"")+('Dvd Calendar'!$O$885=SPECIAL_LBL)*(INC_SPECIALS="Y"))=0,"",'Dvd Calendar'!$O$883)))</f>
        <v/>
      </c>
      <c r="N91" s="161">
        <f>IF(EP91="","",IF(ISNUMBER('Dvd Calendar'!$P$883)=FALSE,"",IF((('Dvd Calendar'!$P$885=TYPE1)*(TYPE1&lt;&gt;"")+('Dvd Calendar'!$P$885=TYPE2)*(TYPE2&lt;&gt;"")+('Dvd Calendar'!$P$885=TYPE3)*(TYPE3&lt;&gt;"")+('Dvd Calendar'!$P$885=TYPE4)*(TYPE4&lt;&gt;"")+('Dvd Calendar'!$P$885=SPECIAL_LBL)*(INC_SPECIALS="Y"))=0,"",'Dvd Calendar'!$P$883)))</f>
        <v/>
      </c>
      <c r="O91" s="161">
        <f>IF(EQ91="","",IF(ISNUMBER('Dvd Calendar'!$Q$883)=FALSE,"",IF((('Dvd Calendar'!$Q$885=TYPE1)*(TYPE1&lt;&gt;"")+('Dvd Calendar'!$Q$885=TYPE2)*(TYPE2&lt;&gt;"")+('Dvd Calendar'!$Q$885=TYPE3)*(TYPE3&lt;&gt;"")+('Dvd Calendar'!$Q$885=TYPE4)*(TYPE4&lt;&gt;"")+('Dvd Calendar'!$Q$885=SPECIAL_LBL)*(INC_SPECIALS="Y"))=0,"",'Dvd Calendar'!$Q$883)))</f>
        <v/>
      </c>
      <c r="P91" s="161">
        <f>IF(ER91="","",IF(ISNUMBER('Dvd Calendar'!$R$883)=FALSE,"",IF((('Dvd Calendar'!$R$885=TYPE1)*(TYPE1&lt;&gt;"")+('Dvd Calendar'!$R$885=TYPE2)*(TYPE2&lt;&gt;"")+('Dvd Calendar'!$R$885=TYPE3)*(TYPE3&lt;&gt;"")+('Dvd Calendar'!$R$885=TYPE4)*(TYPE4&lt;&gt;"")+('Dvd Calendar'!$R$885=SPECIAL_LBL)*(INC_SPECIALS="Y"))=0,"",'Dvd Calendar'!$R$883)))</f>
        <v/>
      </c>
      <c r="Q91" s="161">
        <f>IF(ES91="","",IF(ISNUMBER('Dvd Calendar'!$S$883)=FALSE,"",IF((('Dvd Calendar'!$S$885=TYPE1)*(TYPE1&lt;&gt;"")+('Dvd Calendar'!$S$885=TYPE2)*(TYPE2&lt;&gt;"")+('Dvd Calendar'!$S$885=TYPE3)*(TYPE3&lt;&gt;"")+('Dvd Calendar'!$S$885=TYPE4)*(TYPE4&lt;&gt;"")+('Dvd Calendar'!$S$885=SPECIAL_LBL)*(INC_SPECIALS="Y"))=0,"",'Dvd Calendar'!$S$883)))</f>
        <v/>
      </c>
      <c r="R91" s="161">
        <f>IF(ET91="","",IF(ISNUMBER('Dvd Calendar'!$T$883)=FALSE,"",IF((('Dvd Calendar'!$T$885=TYPE1)*(TYPE1&lt;&gt;"")+('Dvd Calendar'!$T$885=TYPE2)*(TYPE2&lt;&gt;"")+('Dvd Calendar'!$T$885=TYPE3)*(TYPE3&lt;&gt;"")+('Dvd Calendar'!$T$885=TYPE4)*(TYPE4&lt;&gt;"")+('Dvd Calendar'!$T$885=SPECIAL_LBL)*(INC_SPECIALS="Y"))=0,"",'Dvd Calendar'!$T$883)))</f>
        <v/>
      </c>
      <c r="S91" s="161">
        <f>IF(EU91="","",IF(ISNUMBER('Dvd Calendar'!$U$883)=FALSE,"",IF((('Dvd Calendar'!$U$885=TYPE1)*(TYPE1&lt;&gt;"")+('Dvd Calendar'!$U$885=TYPE2)*(TYPE2&lt;&gt;"")+('Dvd Calendar'!$U$885=TYPE3)*(TYPE3&lt;&gt;"")+('Dvd Calendar'!$U$885=TYPE4)*(TYPE4&lt;&gt;"")+('Dvd Calendar'!$U$885=SPECIAL_LBL)*(INC_SPECIALS="Y"))=0,"",'Dvd Calendar'!$U$883)))</f>
        <v/>
      </c>
      <c r="T91" s="161">
        <f>IF(EV91="","",IF(ISNUMBER('Dvd Calendar'!$V$883)=FALSE,"",IF((('Dvd Calendar'!$V$885=TYPE1)*(TYPE1&lt;&gt;"")+('Dvd Calendar'!$V$885=TYPE2)*(TYPE2&lt;&gt;"")+('Dvd Calendar'!$V$885=TYPE3)*(TYPE3&lt;&gt;"")+('Dvd Calendar'!$V$885=TYPE4)*(TYPE4&lt;&gt;"")+('Dvd Calendar'!$V$885=SPECIAL_LBL)*(INC_SPECIALS="Y"))=0,"",'Dvd Calendar'!$V$883)))</f>
        <v/>
      </c>
      <c r="U91" s="161">
        <f>IF(EW91="","",IF(ISNUMBER('Dvd Calendar'!$W$883)=FALSE,"",IF((('Dvd Calendar'!$W$885=TYPE1)*(TYPE1&lt;&gt;"")+('Dvd Calendar'!$W$885=TYPE2)*(TYPE2&lt;&gt;"")+('Dvd Calendar'!$W$885=TYPE3)*(TYPE3&lt;&gt;"")+('Dvd Calendar'!$W$885=TYPE4)*(TYPE4&lt;&gt;"")+('Dvd Calendar'!$W$885=SPECIAL_LBL)*(INC_SPECIALS="Y"))=0,"",'Dvd Calendar'!$W$883)))</f>
        <v/>
      </c>
      <c r="V91" s="161">
        <f>IF(EX91="","",IF(ISNUMBER('Dvd Calendar'!$X$883)=FALSE,"",IF((('Dvd Calendar'!$X$885=TYPE1)*(TYPE1&lt;&gt;"")+('Dvd Calendar'!$X$885=TYPE2)*(TYPE2&lt;&gt;"")+('Dvd Calendar'!$X$885=TYPE3)*(TYPE3&lt;&gt;"")+('Dvd Calendar'!$X$885=TYPE4)*(TYPE4&lt;&gt;"")+('Dvd Calendar'!$X$885=SPECIAL_LBL)*(INC_SPECIALS="Y"))=0,"",'Dvd Calendar'!$X$883)))</f>
        <v/>
      </c>
      <c r="W91" s="161">
        <f>IF(EY91="","",IF(ISNUMBER('Dvd Calendar'!$Y$883)=FALSE,"",IF((('Dvd Calendar'!$Y$885=TYPE1)*(TYPE1&lt;&gt;"")+('Dvd Calendar'!$Y$885=TYPE2)*(TYPE2&lt;&gt;"")+('Dvd Calendar'!$Y$885=TYPE3)*(TYPE3&lt;&gt;"")+('Dvd Calendar'!$Y$885=TYPE4)*(TYPE4&lt;&gt;"")+('Dvd Calendar'!$Y$885=SPECIAL_LBL)*(INC_SPECIALS="Y"))=0,"",'Dvd Calendar'!$Y$883)))</f>
        <v/>
      </c>
      <c r="X91" s="161">
        <f>IF(EZ91="","",IF(ISNUMBER('Dvd Calendar'!$Z$883)=FALSE,"",IF((('Dvd Calendar'!$Z$885=TYPE1)*(TYPE1&lt;&gt;"")+('Dvd Calendar'!$Z$885=TYPE2)*(TYPE2&lt;&gt;"")+('Dvd Calendar'!$Z$885=TYPE3)*(TYPE3&lt;&gt;"")+('Dvd Calendar'!$Z$885=TYPE4)*(TYPE4&lt;&gt;"")+('Dvd Calendar'!$Z$885=SPECIAL_LBL)*(INC_SPECIALS="Y"))=0,"",'Dvd Calendar'!$Z$883)))</f>
        <v/>
      </c>
      <c r="Y91" s="161">
        <f>IF(FA91="","",IF(ISNUMBER('Dvd Calendar'!$AA$883)=FALSE,"",IF((('Dvd Calendar'!$AA$885=TYPE1)*(TYPE1&lt;&gt;"")+('Dvd Calendar'!$AA$885=TYPE2)*(TYPE2&lt;&gt;"")+('Dvd Calendar'!$AA$885=TYPE3)*(TYPE3&lt;&gt;"")+('Dvd Calendar'!$AA$885=TYPE4)*(TYPE4&lt;&gt;"")+('Dvd Calendar'!$AA$885=SPECIAL_LBL)*(INC_SPECIALS="Y"))=0,"",'Dvd Calendar'!$AA$883)))</f>
        <v/>
      </c>
      <c r="Z91" s="161">
        <f>IF(FB91="","",IF(ISNUMBER('Dvd Calendar'!$AB$883)=FALSE,"",IF((('Dvd Calendar'!$AB$885=TYPE1)*(TYPE1&lt;&gt;"")+('Dvd Calendar'!$AB$885=TYPE2)*(TYPE2&lt;&gt;"")+('Dvd Calendar'!$AB$885=TYPE3)*(TYPE3&lt;&gt;"")+('Dvd Calendar'!$AB$885=TYPE4)*(TYPE4&lt;&gt;"")+('Dvd Calendar'!$AB$885=SPECIAL_LBL)*(INC_SPECIALS="Y"))=0,"",'Dvd Calendar'!$AB$883)))</f>
        <v/>
      </c>
      <c r="AA91" s="161">
        <f>IF(FC91="","",IF(ISNUMBER('Dvd Calendar'!$AC$883)=FALSE,"",IF((('Dvd Calendar'!$AC$885=TYPE1)*(TYPE1&lt;&gt;"")+('Dvd Calendar'!$AC$885=TYPE2)*(TYPE2&lt;&gt;"")+('Dvd Calendar'!$AC$885=TYPE3)*(TYPE3&lt;&gt;"")+('Dvd Calendar'!$AC$885=TYPE4)*(TYPE4&lt;&gt;"")+('Dvd Calendar'!$AC$885=SPECIAL_LBL)*(INC_SPECIALS="Y"))=0,"",'Dvd Calendar'!$AC$883)))</f>
        <v/>
      </c>
      <c r="AB91" s="161">
        <f>IF(FD91="","",IF(ISNUMBER('Dvd Calendar'!$AD$883)=FALSE,"",IF((('Dvd Calendar'!$AD$885=TYPE1)*(TYPE1&lt;&gt;"")+('Dvd Calendar'!$AD$885=TYPE2)*(TYPE2&lt;&gt;"")+('Dvd Calendar'!$AD$885=TYPE3)*(TYPE3&lt;&gt;"")+('Dvd Calendar'!$AD$885=TYPE4)*(TYPE4&lt;&gt;"")+('Dvd Calendar'!$AD$885=SPECIAL_LBL)*(INC_SPECIALS="Y"))=0,"",'Dvd Calendar'!$AD$883)))</f>
        <v/>
      </c>
      <c r="AC91" s="161">
        <f>IF(FE91="","",IF(ISNUMBER('Dvd Calendar'!$AE$883)=FALSE,"",IF((('Dvd Calendar'!$AE$885=TYPE1)*(TYPE1&lt;&gt;"")+('Dvd Calendar'!$AE$885=TYPE2)*(TYPE2&lt;&gt;"")+('Dvd Calendar'!$AE$885=TYPE3)*(TYPE3&lt;&gt;"")+('Dvd Calendar'!$AE$885=TYPE4)*(TYPE4&lt;&gt;"")+('Dvd Calendar'!$AE$885=SPECIAL_LBL)*(INC_SPECIALS="Y"))=0,"",'Dvd Calendar'!$AE$883)))</f>
        <v/>
      </c>
      <c r="AD91" s="161">
        <f>IF(FF91="","",IF(ISNUMBER('Dvd Calendar'!$AF$883)=FALSE,"",IF((('Dvd Calendar'!$AF$885=TYPE1)*(TYPE1&lt;&gt;"")+('Dvd Calendar'!$AF$885=TYPE2)*(TYPE2&lt;&gt;"")+('Dvd Calendar'!$AF$885=TYPE3)*(TYPE3&lt;&gt;"")+('Dvd Calendar'!$AF$885=TYPE4)*(TYPE4&lt;&gt;"")+('Dvd Calendar'!$AF$885=SPECIAL_LBL)*(INC_SPECIALS="Y"))=0,"",'Dvd Calendar'!$AF$883)))</f>
        <v/>
      </c>
      <c r="AE91" s="161">
        <f>IF(FG91="","",IF(ISNUMBER('Dvd Calendar'!$AG$883)=FALSE,"",IF((('Dvd Calendar'!$AG$885=TYPE1)*(TYPE1&lt;&gt;"")+('Dvd Calendar'!$AG$885=TYPE2)*(TYPE2&lt;&gt;"")+('Dvd Calendar'!$AG$885=TYPE3)*(TYPE3&lt;&gt;"")+('Dvd Calendar'!$AG$885=TYPE4)*(TYPE4&lt;&gt;"")+('Dvd Calendar'!$AG$885=SPECIAL_LBL)*(INC_SPECIALS="Y"))=0,"",'Dvd Calendar'!$AG$883)))</f>
        <v/>
      </c>
      <c r="AF91" s="161">
        <f>IF(FH91="","",IF(ISNUMBER('Dvd Calendar'!$AH$883)=FALSE,"",IF((('Dvd Calendar'!$AH$885=TYPE1)*(TYPE1&lt;&gt;"")+('Dvd Calendar'!$AH$885=TYPE2)*(TYPE2&lt;&gt;"")+('Dvd Calendar'!$AH$885=TYPE3)*(TYPE3&lt;&gt;"")+('Dvd Calendar'!$AH$885=TYPE4)*(TYPE4&lt;&gt;"")+('Dvd Calendar'!$AH$885=SPECIAL_LBL)*(INC_SPECIALS="Y"))=0,"",'Dvd Calendar'!$AH$883)))</f>
        <v/>
      </c>
      <c r="AG91" s="161">
        <f>IF(FI91="","",IF(ISNUMBER('Dvd Calendar'!$AI$883)=FALSE,"",IF((('Dvd Calendar'!$AI$885=TYPE1)*(TYPE1&lt;&gt;"")+('Dvd Calendar'!$AI$885=TYPE2)*(TYPE2&lt;&gt;"")+('Dvd Calendar'!$AI$885=TYPE3)*(TYPE3&lt;&gt;"")+('Dvd Calendar'!$AI$885=TYPE4)*(TYPE4&lt;&gt;"")+('Dvd Calendar'!$AI$885=SPECIAL_LBL)*(INC_SPECIALS="Y"))=0,"",'Dvd Calendar'!$AI$883)))</f>
        <v/>
      </c>
      <c r="AH91" s="161">
        <f>IF(FJ91="","",IF(ISNUMBER('Dvd Calendar'!$AJ$883)=FALSE,"",IF((('Dvd Calendar'!$AJ$885=TYPE1)*(TYPE1&lt;&gt;"")+('Dvd Calendar'!$AJ$885=TYPE2)*(TYPE2&lt;&gt;"")+('Dvd Calendar'!$AJ$885=TYPE3)*(TYPE3&lt;&gt;"")+('Dvd Calendar'!$AJ$885=TYPE4)*(TYPE4&lt;&gt;"")+('Dvd Calendar'!$AJ$885=SPECIAL_LBL)*(INC_SPECIALS="Y"))=0,"",'Dvd Calendar'!$AJ$883)))</f>
        <v/>
      </c>
      <c r="AI91" s="161">
        <f>IF(FK91="","",IF(ISNUMBER('Dvd Calendar'!$AK$883)=FALSE,"",IF((('Dvd Calendar'!$AK$885=TYPE1)*(TYPE1&lt;&gt;"")+('Dvd Calendar'!$AK$885=TYPE2)*(TYPE2&lt;&gt;"")+('Dvd Calendar'!$AK$885=TYPE3)*(TYPE3&lt;&gt;"")+('Dvd Calendar'!$AK$885=TYPE4)*(TYPE4&lt;&gt;"")+('Dvd Calendar'!$AK$885=SPECIAL_LBL)*(INC_SPECIALS="Y"))=0,"",'Dvd Calendar'!$AK$883)))</f>
        <v/>
      </c>
      <c r="AJ91" s="161">
        <f>IF(FL91="","",IF(ISNUMBER('Dvd Calendar'!$AL$883)=FALSE,"",IF((('Dvd Calendar'!$AL$885=TYPE1)*(TYPE1&lt;&gt;"")+('Dvd Calendar'!$AL$885=TYPE2)*(TYPE2&lt;&gt;"")+('Dvd Calendar'!$AL$885=TYPE3)*(TYPE3&lt;&gt;"")+('Dvd Calendar'!$AL$885=TYPE4)*(TYPE4&lt;&gt;"")+('Dvd Calendar'!$AL$885=SPECIAL_LBL)*(INC_SPECIALS="Y"))=0,"",'Dvd Calendar'!$AL$883)))</f>
        <v/>
      </c>
      <c r="AK91" s="161">
        <f>IF(FM91="","",IF(ISNUMBER('Dvd Calendar'!$AM$883)=FALSE,"",IF((('Dvd Calendar'!$AM$885=TYPE1)*(TYPE1&lt;&gt;"")+('Dvd Calendar'!$AM$885=TYPE2)*(TYPE2&lt;&gt;"")+('Dvd Calendar'!$AM$885=TYPE3)*(TYPE3&lt;&gt;"")+('Dvd Calendar'!$AM$885=TYPE4)*(TYPE4&lt;&gt;"")+('Dvd Calendar'!$AM$885=SPECIAL_LBL)*(INC_SPECIALS="Y"))=0,"",'Dvd Calendar'!$AM$883)))</f>
        <v/>
      </c>
      <c r="AL91" s="161">
        <f>IF(FN91="","",IF(ISNUMBER('Dvd Calendar'!$AN$883)=FALSE,"",IF((('Dvd Calendar'!$AN$885=TYPE1)*(TYPE1&lt;&gt;"")+('Dvd Calendar'!$AN$885=TYPE2)*(TYPE2&lt;&gt;"")+('Dvd Calendar'!$AN$885=TYPE3)*(TYPE3&lt;&gt;"")+('Dvd Calendar'!$AN$885=TYPE4)*(TYPE4&lt;&gt;"")+('Dvd Calendar'!$AN$885=SPECIAL_LBL)*(INC_SPECIALS="Y"))=0,"",'Dvd Calendar'!$AN$883)))</f>
        <v/>
      </c>
      <c r="AM91" s="161">
        <f>IF(FO91="","",IF(ISNUMBER('Dvd Calendar'!$AO$883)=FALSE,"",IF((('Dvd Calendar'!$AO$885=TYPE1)*(TYPE1&lt;&gt;"")+('Dvd Calendar'!$AO$885=TYPE2)*(TYPE2&lt;&gt;"")+('Dvd Calendar'!$AO$885=TYPE3)*(TYPE3&lt;&gt;"")+('Dvd Calendar'!$AO$885=TYPE4)*(TYPE4&lt;&gt;"")+('Dvd Calendar'!$AO$885=SPECIAL_LBL)*(INC_SPECIALS="Y"))=0,"",'Dvd Calendar'!$AO$883)))</f>
        <v/>
      </c>
      <c r="AN91" s="161">
        <f>IF(FP91="","",IF(ISNUMBER('Dvd Calendar'!$AP$883)=FALSE,"",IF((('Dvd Calendar'!$AP$885=TYPE1)*(TYPE1&lt;&gt;"")+('Dvd Calendar'!$AP$885=TYPE2)*(TYPE2&lt;&gt;"")+('Dvd Calendar'!$AP$885=TYPE3)*(TYPE3&lt;&gt;"")+('Dvd Calendar'!$AP$885=TYPE4)*(TYPE4&lt;&gt;"")+('Dvd Calendar'!$AP$885=SPECIAL_LBL)*(INC_SPECIALS="Y"))=0,"",'Dvd Calendar'!$AP$883)))</f>
        <v/>
      </c>
      <c r="AO91" s="161">
        <f>IF(FQ91="","",IF(ISNUMBER('Dvd Calendar'!$AQ$883)=FALSE,"",IF((('Dvd Calendar'!$AQ$885=TYPE1)*(TYPE1&lt;&gt;"")+('Dvd Calendar'!$AQ$885=TYPE2)*(TYPE2&lt;&gt;"")+('Dvd Calendar'!$AQ$885=TYPE3)*(TYPE3&lt;&gt;"")+('Dvd Calendar'!$AQ$885=TYPE4)*(TYPE4&lt;&gt;"")+('Dvd Calendar'!$AQ$885=SPECIAL_LBL)*(INC_SPECIALS="Y"))=0,"",'Dvd Calendar'!$AQ$883)))</f>
        <v/>
      </c>
      <c r="AP91" s="161">
        <f>IF(FR91="","",IF(ISNUMBER('Dvd Calendar'!$AR$883)=FALSE,"",IF((('Dvd Calendar'!$AR$885=TYPE1)*(TYPE1&lt;&gt;"")+('Dvd Calendar'!$AR$885=TYPE2)*(TYPE2&lt;&gt;"")+('Dvd Calendar'!$AR$885=TYPE3)*(TYPE3&lt;&gt;"")+('Dvd Calendar'!$AR$885=TYPE4)*(TYPE4&lt;&gt;"")+('Dvd Calendar'!$AR$885=SPECIAL_LBL)*(INC_SPECIALS="Y"))=0,"",'Dvd Calendar'!$AR$883)))</f>
        <v/>
      </c>
      <c r="AQ91" s="161">
        <f>IF(FS91="","",IF(ISNUMBER('Dvd Calendar'!$E$888)=FALSE,"",'Dvd Calendar'!$E$888))</f>
        <v/>
      </c>
      <c r="AR91" s="161">
        <f>IF(FT91="","",IF(ISNUMBER('Dvd Calendar'!$F$888)=FALSE,"",'Dvd Calendar'!$F$888))</f>
        <v/>
      </c>
      <c r="AS91" s="161">
        <f>IF(FU91="","",IF(ISNUMBER('Dvd Calendar'!$G$888)=FALSE,"",'Dvd Calendar'!$G$888))</f>
        <v/>
      </c>
      <c r="AT91" s="161">
        <f>IF(FV91="","",IF(ISNUMBER('Dvd Calendar'!$H$888)=FALSE,"",'Dvd Calendar'!$H$888))</f>
        <v/>
      </c>
      <c r="AU91" s="161">
        <f>IF(FW91="","",IF(ISNUMBER('Dvd Calendar'!$I$888)=FALSE,"",'Dvd Calendar'!$I$888))</f>
        <v/>
      </c>
      <c r="AV91" s="161">
        <f>IF(FX91="","",IF(ISNUMBER('Dvd Calendar'!$J$888)=FALSE,"",'Dvd Calendar'!$J$888))</f>
        <v/>
      </c>
      <c r="AW91" s="161">
        <f>IF(FY91="","",IF(ISNUMBER('Dvd Calendar'!$K$888)=FALSE,"",'Dvd Calendar'!$K$888))</f>
        <v/>
      </c>
      <c r="AX91" s="161">
        <f>IF(FZ91="","",IF(ISNUMBER('Dvd Calendar'!$L$888)=FALSE,"",'Dvd Calendar'!$L$888))</f>
        <v/>
      </c>
      <c r="AY91" s="161">
        <f>IF(GA91="","",IF(ISNUMBER('Dvd Calendar'!$M$888)=FALSE,"",'Dvd Calendar'!$M$888))</f>
        <v/>
      </c>
      <c r="AZ91" s="161">
        <f>IF(GB91="","",IF(ISNUMBER('Dvd Calendar'!$N$888)=FALSE,"",'Dvd Calendar'!$N$888))</f>
        <v/>
      </c>
      <c r="BA91" s="161">
        <f>IF(GC91="","",IF(ISNUMBER('Dvd Calendar'!$O$888)=FALSE,"",'Dvd Calendar'!$O$888))</f>
        <v/>
      </c>
      <c r="BB91" s="161">
        <f>IF(GD91="","",IF(ISNUMBER('Dvd Calendar'!$P$888)=FALSE,"",'Dvd Calendar'!$P$888))</f>
        <v/>
      </c>
      <c r="BC91" s="161">
        <f>IF(GE91="","",IF(ISNUMBER('Dvd Calendar'!$Q$888)=FALSE,"",'Dvd Calendar'!$Q$888))</f>
        <v/>
      </c>
      <c r="BD91" s="161">
        <f>IF(GF91="","",IF(ISNUMBER('Dvd Calendar'!$R$888)=FALSE,"",'Dvd Calendar'!$R$888))</f>
        <v/>
      </c>
      <c r="BE91" s="161">
        <f>IF(GG91="","",IF(ISNUMBER('Dvd Calendar'!$S$888)=FALSE,"",'Dvd Calendar'!$S$888))</f>
        <v/>
      </c>
      <c r="BF91" s="161">
        <f>IF(GH91="","",IF(ISNUMBER('Dvd Calendar'!$T$888)=FALSE,"",'Dvd Calendar'!$T$888))</f>
        <v/>
      </c>
      <c r="BG91" s="161">
        <f>IF(GI91="","",IF(ISNUMBER('Dvd Calendar'!$U$888)=FALSE,"",'Dvd Calendar'!$U$888))</f>
        <v/>
      </c>
      <c r="BH91" s="161">
        <f>IF(GJ91="","",IF(ISNUMBER('Dvd Calendar'!$V$888)=FALSE,"",'Dvd Calendar'!$V$888))</f>
        <v/>
      </c>
      <c r="BI91" s="161">
        <f>IF(GK91="","",IF(ISNUMBER('Dvd Calendar'!$W$888)=FALSE,"",'Dvd Calendar'!$W$888))</f>
        <v/>
      </c>
      <c r="BJ91" s="161">
        <f>IF(GL91="","",IF(ISNUMBER('Dvd Calendar'!$X$888)=FALSE,"",'Dvd Calendar'!$X$888))</f>
        <v/>
      </c>
      <c r="BK91" s="161">
        <f>IF(GM91="","",IF(ISNUMBER('Dvd Calendar'!$Y$888)=FALSE,"",'Dvd Calendar'!$Y$888))</f>
        <v/>
      </c>
      <c r="BL91" s="161">
        <f>IF(GN91="","",IF(ISNUMBER('Dvd Calendar'!$Z$888)=FALSE,"",'Dvd Calendar'!$Z$888))</f>
        <v/>
      </c>
      <c r="BM91" s="161">
        <f>IF(GO91="","",IF(ISNUMBER('Dvd Calendar'!$AA$888)=FALSE,"",'Dvd Calendar'!$AA$888))</f>
        <v/>
      </c>
      <c r="BN91" s="161">
        <f>IF(GP91="","",IF(ISNUMBER('Dvd Calendar'!$AB$888)=FALSE,"",'Dvd Calendar'!$AB$888))</f>
        <v/>
      </c>
      <c r="BO91" s="161">
        <f>IF(GQ91="","",IF(ISNUMBER('Dvd Calendar'!$AC$888)=FALSE,"",'Dvd Calendar'!$AC$888))</f>
        <v/>
      </c>
      <c r="BQ91" s="161">
        <f>IF(C91="","",IFERROR(C91*HSI!$B$86*HSI!$G$86/HSI!$B$3,""))</f>
        <v/>
      </c>
      <c r="BR91" s="161">
        <f>IF(D91="","",IFERROR(D91*HSI!$B$86*HSI!$G$86/HSI!$B$3,""))</f>
        <v/>
      </c>
      <c r="BS91" s="161">
        <f>IF(E91="","",IFERROR(E91*HSI!$B$86*HSI!$G$86/HSI!$B$3,""))</f>
        <v/>
      </c>
      <c r="BT91" s="161">
        <f>IF(F91="","",IFERROR(F91*HSI!$B$86*HSI!$G$86/HSI!$B$3,""))</f>
        <v/>
      </c>
      <c r="BU91" s="161">
        <f>IF(G91="","",IFERROR(G91*HSI!$B$86*HSI!$G$86/HSI!$B$3,""))</f>
        <v/>
      </c>
      <c r="BV91" s="161">
        <f>IF(H91="","",IFERROR(H91*HSI!$B$86*HSI!$G$86/HSI!$B$3,""))</f>
        <v/>
      </c>
      <c r="BW91" s="161">
        <f>IF(I91="","",IFERROR(I91*HSI!$B$86*HSI!$G$86/HSI!$B$3,""))</f>
        <v/>
      </c>
      <c r="BX91" s="161">
        <f>IF(J91="","",IFERROR(J91*HSI!$B$86*HSI!$G$86/HSI!$B$3,""))</f>
        <v/>
      </c>
      <c r="BY91" s="161">
        <f>IF(K91="","",IFERROR(K91*HSI!$B$86*HSI!$G$86/HSI!$B$3,""))</f>
        <v/>
      </c>
      <c r="BZ91" s="161">
        <f>IF(L91="","",IFERROR(L91*HSI!$B$86*HSI!$G$86/HSI!$B$3,""))</f>
        <v/>
      </c>
      <c r="CA91" s="161">
        <f>IF(M91="","",IFERROR(M91*HSI!$B$86*HSI!$G$86/HSI!$B$3,""))</f>
        <v/>
      </c>
      <c r="CB91" s="161">
        <f>IF(N91="","",IFERROR(N91*HSI!$B$86*HSI!$G$86/HSI!$B$3,""))</f>
        <v/>
      </c>
      <c r="CC91" s="161">
        <f>IF(O91="","",IFERROR(O91*HSI!$B$86*HSI!$G$86/HSI!$B$3,""))</f>
        <v/>
      </c>
      <c r="CD91" s="161">
        <f>IF(P91="","",IFERROR(P91*HSI!$B$86*HSI!$G$86/HSI!$B$3,""))</f>
        <v/>
      </c>
      <c r="CE91" s="161">
        <f>IF(Q91="","",IFERROR(Q91*HSI!$B$86*HSI!$G$86/HSI!$B$3,""))</f>
        <v/>
      </c>
      <c r="CF91" s="161">
        <f>IF(R91="","",IFERROR(R91*HSI!$B$86*HSI!$G$86/HSI!$B$3,""))</f>
        <v/>
      </c>
      <c r="CG91" s="161">
        <f>IF(S91="","",IFERROR(S91*HSI!$B$86*HSI!$G$86/HSI!$B$3,""))</f>
        <v/>
      </c>
      <c r="CH91" s="161">
        <f>IF(T91="","",IFERROR(T91*HSI!$B$86*HSI!$G$86/HSI!$B$3,""))</f>
        <v/>
      </c>
      <c r="CI91" s="161">
        <f>IF(U91="","",IFERROR(U91*HSI!$B$86*HSI!$G$86/HSI!$B$3,""))</f>
        <v/>
      </c>
      <c r="CJ91" s="161">
        <f>IF(V91="","",IFERROR(V91*HSI!$B$86*HSI!$G$86/HSI!$B$3,""))</f>
        <v/>
      </c>
      <c r="CK91" s="161">
        <f>IF(W91="","",IFERROR(W91*HSI!$B$86*HSI!$G$86/HSI!$B$3,""))</f>
        <v/>
      </c>
      <c r="CL91" s="161">
        <f>IF(X91="","",IFERROR(X91*HSI!$B$86*HSI!$G$86/HSI!$B$3,""))</f>
        <v/>
      </c>
      <c r="CM91" s="161">
        <f>IF(Y91="","",IFERROR(Y91*HSI!$B$86*HSI!$G$86/HSI!$B$3,""))</f>
        <v/>
      </c>
      <c r="CN91" s="161">
        <f>IF(Z91="","",IFERROR(Z91*HSI!$B$86*HSI!$G$86/HSI!$B$3,""))</f>
        <v/>
      </c>
      <c r="CO91" s="161">
        <f>IF(AA91="","",IFERROR(AA91*HSI!$B$86*HSI!$G$86/HSI!$B$3,""))</f>
        <v/>
      </c>
      <c r="CP91" s="161">
        <f>IF(AB91="","",IFERROR(AB91*HSI!$B$86*HSI!$G$86/HSI!$B$3,""))</f>
        <v/>
      </c>
      <c r="CQ91" s="161">
        <f>IF(AC91="","",IFERROR(AC91*HSI!$B$86*HSI!$G$86/HSI!$B$3,""))</f>
        <v/>
      </c>
      <c r="CR91" s="161">
        <f>IF(AD91="","",IFERROR(AD91*HSI!$B$86*HSI!$G$86/HSI!$B$3,""))</f>
        <v/>
      </c>
      <c r="CS91" s="161">
        <f>IF(AE91="","",IFERROR(AE91*HSI!$B$86*HSI!$G$86/HSI!$B$3,""))</f>
        <v/>
      </c>
      <c r="CT91" s="161">
        <f>IF(AF91="","",IFERROR(AF91*HSI!$B$86*HSI!$G$86/HSI!$B$3,""))</f>
        <v/>
      </c>
      <c r="CU91" s="161">
        <f>IF(AG91="","",IFERROR(AG91*HSI!$B$86*HSI!$G$86/HSI!$B$3,""))</f>
        <v/>
      </c>
      <c r="CV91" s="161">
        <f>IF(AH91="","",IFERROR(AH91*HSI!$B$86*HSI!$G$86/HSI!$B$3,""))</f>
        <v/>
      </c>
      <c r="CW91" s="161">
        <f>IF(AI91="","",IFERROR(AI91*HSI!$B$86*HSI!$G$86/HSI!$B$3,""))</f>
        <v/>
      </c>
      <c r="CX91" s="161">
        <f>IF(AJ91="","",IFERROR(AJ91*HSI!$B$86*HSI!$G$86/HSI!$B$3,""))</f>
        <v/>
      </c>
      <c r="CY91" s="161">
        <f>IF(AK91="","",IFERROR(AK91*HSI!$B$86*HSI!$G$86/HSI!$B$3,""))</f>
        <v/>
      </c>
      <c r="CZ91" s="161">
        <f>IF(AL91="","",IFERROR(AL91*HSI!$B$86*HSI!$G$86/HSI!$B$3,""))</f>
        <v/>
      </c>
      <c r="DA91" s="161">
        <f>IF(AM91="","",IFERROR(AM91*HSI!$B$86*HSI!$G$86/HSI!$B$3,""))</f>
        <v/>
      </c>
      <c r="DB91" s="161">
        <f>IF(AN91="","",IFERROR(AN91*HSI!$B$86*HSI!$G$86/HSI!$B$3,""))</f>
        <v/>
      </c>
      <c r="DC91" s="161">
        <f>IF(AO91="","",IFERROR(AO91*HSI!$B$86*HSI!$G$86/HSI!$B$3,""))</f>
        <v/>
      </c>
      <c r="DD91" s="161">
        <f>IF(AP91="","",IFERROR(AP91*HSI!$B$86*HSI!$G$86/HSI!$B$3,""))</f>
        <v/>
      </c>
      <c r="DE91" s="161">
        <f>IF(AQ91="","",IFERROR(AQ91*HSI!$B$86*HSI!$G$86/HSI!$B$3,""))</f>
        <v/>
      </c>
      <c r="DF91" s="161">
        <f>IF(AR91="","",IFERROR(AR91*HSI!$B$86*HSI!$G$86/HSI!$B$3,""))</f>
        <v/>
      </c>
      <c r="DG91" s="161">
        <f>IF(AS91="","",IFERROR(AS91*HSI!$B$86*HSI!$G$86/HSI!$B$3,""))</f>
        <v/>
      </c>
      <c r="DH91" s="161">
        <f>IF(AT91="","",IFERROR(AT91*HSI!$B$86*HSI!$G$86/HSI!$B$3,""))</f>
        <v/>
      </c>
      <c r="DI91" s="161">
        <f>IF(AU91="","",IFERROR(AU91*HSI!$B$86*HSI!$G$86/HSI!$B$3,""))</f>
        <v/>
      </c>
      <c r="DJ91" s="161">
        <f>IF(AV91="","",IFERROR(AV91*HSI!$B$86*HSI!$G$86/HSI!$B$3,""))</f>
        <v/>
      </c>
      <c r="DK91" s="161">
        <f>IF(AW91="","",IFERROR(AW91*HSI!$B$86*HSI!$G$86/HSI!$B$3,""))</f>
        <v/>
      </c>
      <c r="DL91" s="161">
        <f>IF(AX91="","",IFERROR(AX91*HSI!$B$86*HSI!$G$86/HSI!$B$3,""))</f>
        <v/>
      </c>
      <c r="DM91" s="161">
        <f>IF(AY91="","",IFERROR(AY91*HSI!$B$86*HSI!$G$86/HSI!$B$3,""))</f>
        <v/>
      </c>
      <c r="DN91" s="161">
        <f>IF(AZ91="","",IFERROR(AZ91*HSI!$B$86*HSI!$G$86/HSI!$B$3,""))</f>
        <v/>
      </c>
      <c r="DO91" s="161">
        <f>IF(BA91="","",IFERROR(BA91*HSI!$B$86*HSI!$G$86/HSI!$B$3,""))</f>
        <v/>
      </c>
      <c r="DP91" s="161">
        <f>IF(BB91="","",IFERROR(BB91*HSI!$B$86*HSI!$G$86/HSI!$B$3,""))</f>
        <v/>
      </c>
      <c r="DQ91" s="161">
        <f>IF(BC91="","",IFERROR(BC91*HSI!$B$86*HSI!$G$86/HSI!$B$3,""))</f>
        <v/>
      </c>
      <c r="DR91" s="161">
        <f>IF(BD91="","",IFERROR(BD91*HSI!$B$86*HSI!$G$86/HSI!$B$3,""))</f>
        <v/>
      </c>
      <c r="DS91" s="161">
        <f>IF(BE91="","",IFERROR(BE91*HSI!$B$86*HSI!$G$86/HSI!$B$3,""))</f>
        <v/>
      </c>
      <c r="DT91" s="161">
        <f>IF(BF91="","",IFERROR(BF91*HSI!$B$86*HSI!$G$86/HSI!$B$3,""))</f>
        <v/>
      </c>
      <c r="DU91" s="161">
        <f>IF(BG91="","",IFERROR(BG91*HSI!$B$86*HSI!$G$86/HSI!$B$3,""))</f>
        <v/>
      </c>
      <c r="DV91" s="161">
        <f>IF(BH91="","",IFERROR(BH91*HSI!$B$86*HSI!$G$86/HSI!$B$3,""))</f>
        <v/>
      </c>
      <c r="DW91" s="161">
        <f>IF(BI91="","",IFERROR(BI91*HSI!$B$86*HSI!$G$86/HSI!$B$3,""))</f>
        <v/>
      </c>
      <c r="DX91" s="161">
        <f>IF(BJ91="","",IFERROR(BJ91*HSI!$B$86*HSI!$G$86/HSI!$B$3,""))</f>
        <v/>
      </c>
      <c r="DY91" s="161">
        <f>IF(BK91="","",IFERROR(BK91*HSI!$B$86*HSI!$G$86/HSI!$B$3,""))</f>
        <v/>
      </c>
      <c r="DZ91" s="161">
        <f>IF(BL91="","",IFERROR(BL91*HSI!$B$86*HSI!$G$86/HSI!$B$3,""))</f>
        <v/>
      </c>
      <c r="EA91" s="161">
        <f>IF(BM91="","",IFERROR(BM91*HSI!$B$86*HSI!$G$86/HSI!$B$3,""))</f>
        <v/>
      </c>
      <c r="EB91" s="161">
        <f>IF(BN91="","",IFERROR(BN91*HSI!$B$86*HSI!$G$86/HSI!$B$3,""))</f>
        <v/>
      </c>
      <c r="EC91" s="161">
        <f>IF(BO91="","",IFERROR(BO91*HSI!$B$86*HSI!$G$86/HSI!$B$3,""))</f>
        <v/>
      </c>
      <c r="EE91" s="121">
        <f>IF(N('Dvd Calendar'!$E$880)=0,"",IF(('Dvd Calendar'!$E$880&gt;=GRID_FROM)*('Dvd Calendar'!$E$880&lt;=GRID_TO)*((('Dvd Calendar'!$E$880&lt;=VAL_DATE)+(COUNTIF('Dvd Calendar'!$E$887:$AR$887,'Dvd Calendar'!$E$880)=0))&gt;0)=0,"",'Dvd Calendar'!$E$880*1000000000+ISNUMBER('Dvd Calendar'!$E$883)*100000000+('Dvd Calendar'!$E$885=SPECIAL_LBL)*10000000+(N('Dvd Calendar'!$E$879)&gt;0)*(N('Dvd Calendar'!$E$879)&lt;=VAL_SERIAL)*1000000+80*1000+1))</f>
        <v/>
      </c>
      <c r="EF91" s="121">
        <f>IF(N('Dvd Calendar'!$F$880)=0,"",IF(('Dvd Calendar'!$F$880&gt;=GRID_FROM)*('Dvd Calendar'!$F$880&lt;=GRID_TO)*((('Dvd Calendar'!$F$880&lt;=VAL_DATE)+(COUNTIF('Dvd Calendar'!$E$887:$AR$887,'Dvd Calendar'!$F$880)=0))&gt;0)=0,"",'Dvd Calendar'!$F$880*1000000000+ISNUMBER('Dvd Calendar'!$F$883)*100000000+('Dvd Calendar'!$F$885=SPECIAL_LBL)*10000000+(N('Dvd Calendar'!$F$879)&gt;0)*(N('Dvd Calendar'!$F$879)&lt;=VAL_SERIAL)*1000000+80*1000+2))</f>
        <v/>
      </c>
      <c r="EG91" s="121">
        <f>IF(N('Dvd Calendar'!$G$880)=0,"",IF(('Dvd Calendar'!$G$880&gt;=GRID_FROM)*('Dvd Calendar'!$G$880&lt;=GRID_TO)*((('Dvd Calendar'!$G$880&lt;=VAL_DATE)+(COUNTIF('Dvd Calendar'!$E$887:$AR$887,'Dvd Calendar'!$G$880)=0))&gt;0)=0,"",'Dvd Calendar'!$G$880*1000000000+ISNUMBER('Dvd Calendar'!$G$883)*100000000+('Dvd Calendar'!$G$885=SPECIAL_LBL)*10000000+(N('Dvd Calendar'!$G$879)&gt;0)*(N('Dvd Calendar'!$G$879)&lt;=VAL_SERIAL)*1000000+80*1000+3))</f>
        <v/>
      </c>
      <c r="EH91" s="121">
        <f>IF(N('Dvd Calendar'!$H$880)=0,"",IF(('Dvd Calendar'!$H$880&gt;=GRID_FROM)*('Dvd Calendar'!$H$880&lt;=GRID_TO)*((('Dvd Calendar'!$H$880&lt;=VAL_DATE)+(COUNTIF('Dvd Calendar'!$E$887:$AR$887,'Dvd Calendar'!$H$880)=0))&gt;0)=0,"",'Dvd Calendar'!$H$880*1000000000+ISNUMBER('Dvd Calendar'!$H$883)*100000000+('Dvd Calendar'!$H$885=SPECIAL_LBL)*10000000+(N('Dvd Calendar'!$H$879)&gt;0)*(N('Dvd Calendar'!$H$879)&lt;=VAL_SERIAL)*1000000+80*1000+4))</f>
        <v/>
      </c>
      <c r="EI91" s="121">
        <f>IF(N('Dvd Calendar'!$I$880)=0,"",IF(('Dvd Calendar'!$I$880&gt;=GRID_FROM)*('Dvd Calendar'!$I$880&lt;=GRID_TO)*((('Dvd Calendar'!$I$880&lt;=VAL_DATE)+(COUNTIF('Dvd Calendar'!$E$887:$AR$887,'Dvd Calendar'!$I$880)=0))&gt;0)=0,"",'Dvd Calendar'!$I$880*1000000000+ISNUMBER('Dvd Calendar'!$I$883)*100000000+('Dvd Calendar'!$I$885=SPECIAL_LBL)*10000000+(N('Dvd Calendar'!$I$879)&gt;0)*(N('Dvd Calendar'!$I$879)&lt;=VAL_SERIAL)*1000000+80*1000+5))</f>
        <v/>
      </c>
      <c r="EJ91" s="121">
        <f>IF(N('Dvd Calendar'!$J$880)=0,"",IF(('Dvd Calendar'!$J$880&gt;=GRID_FROM)*('Dvd Calendar'!$J$880&lt;=GRID_TO)*((('Dvd Calendar'!$J$880&lt;=VAL_DATE)+(COUNTIF('Dvd Calendar'!$E$887:$AR$887,'Dvd Calendar'!$J$880)=0))&gt;0)=0,"",'Dvd Calendar'!$J$880*1000000000+ISNUMBER('Dvd Calendar'!$J$883)*100000000+('Dvd Calendar'!$J$885=SPECIAL_LBL)*10000000+(N('Dvd Calendar'!$J$879)&gt;0)*(N('Dvd Calendar'!$J$879)&lt;=VAL_SERIAL)*1000000+80*1000+6))</f>
        <v/>
      </c>
      <c r="EK91" s="121">
        <f>IF(N('Dvd Calendar'!$K$880)=0,"",IF(('Dvd Calendar'!$K$880&gt;=GRID_FROM)*('Dvd Calendar'!$K$880&lt;=GRID_TO)*((('Dvd Calendar'!$K$880&lt;=VAL_DATE)+(COUNTIF('Dvd Calendar'!$E$887:$AR$887,'Dvd Calendar'!$K$880)=0))&gt;0)=0,"",'Dvd Calendar'!$K$880*1000000000+ISNUMBER('Dvd Calendar'!$K$883)*100000000+('Dvd Calendar'!$K$885=SPECIAL_LBL)*10000000+(N('Dvd Calendar'!$K$879)&gt;0)*(N('Dvd Calendar'!$K$879)&lt;=VAL_SERIAL)*1000000+80*1000+7))</f>
        <v/>
      </c>
      <c r="EL91" s="121">
        <f>IF(N('Dvd Calendar'!$L$880)=0,"",IF(('Dvd Calendar'!$L$880&gt;=GRID_FROM)*('Dvd Calendar'!$L$880&lt;=GRID_TO)*((('Dvd Calendar'!$L$880&lt;=VAL_DATE)+(COUNTIF('Dvd Calendar'!$E$887:$AR$887,'Dvd Calendar'!$L$880)=0))&gt;0)=0,"",'Dvd Calendar'!$L$880*1000000000+ISNUMBER('Dvd Calendar'!$L$883)*100000000+('Dvd Calendar'!$L$885=SPECIAL_LBL)*10000000+(N('Dvd Calendar'!$L$879)&gt;0)*(N('Dvd Calendar'!$L$879)&lt;=VAL_SERIAL)*1000000+80*1000+8))</f>
        <v/>
      </c>
      <c r="EM91" s="121">
        <f>IF(N('Dvd Calendar'!$M$880)=0,"",IF(('Dvd Calendar'!$M$880&gt;=GRID_FROM)*('Dvd Calendar'!$M$880&lt;=GRID_TO)*((('Dvd Calendar'!$M$880&lt;=VAL_DATE)+(COUNTIF('Dvd Calendar'!$E$887:$AR$887,'Dvd Calendar'!$M$880)=0))&gt;0)=0,"",'Dvd Calendar'!$M$880*1000000000+ISNUMBER('Dvd Calendar'!$M$883)*100000000+('Dvd Calendar'!$M$885=SPECIAL_LBL)*10000000+(N('Dvd Calendar'!$M$879)&gt;0)*(N('Dvd Calendar'!$M$879)&lt;=VAL_SERIAL)*1000000+80*1000+9))</f>
        <v/>
      </c>
      <c r="EN91" s="121">
        <f>IF(N('Dvd Calendar'!$N$880)=0,"",IF(('Dvd Calendar'!$N$880&gt;=GRID_FROM)*('Dvd Calendar'!$N$880&lt;=GRID_TO)*((('Dvd Calendar'!$N$880&lt;=VAL_DATE)+(COUNTIF('Dvd Calendar'!$E$887:$AR$887,'Dvd Calendar'!$N$880)=0))&gt;0)=0,"",'Dvd Calendar'!$N$880*1000000000+ISNUMBER('Dvd Calendar'!$N$883)*100000000+('Dvd Calendar'!$N$885=SPECIAL_LBL)*10000000+(N('Dvd Calendar'!$N$879)&gt;0)*(N('Dvd Calendar'!$N$879)&lt;=VAL_SERIAL)*1000000+80*1000+10))</f>
        <v/>
      </c>
      <c r="EO91" s="121">
        <f>IF(N('Dvd Calendar'!$O$880)=0,"",IF(('Dvd Calendar'!$O$880&gt;=GRID_FROM)*('Dvd Calendar'!$O$880&lt;=GRID_TO)*((('Dvd Calendar'!$O$880&lt;=VAL_DATE)+(COUNTIF('Dvd Calendar'!$E$887:$AR$887,'Dvd Calendar'!$O$880)=0))&gt;0)=0,"",'Dvd Calendar'!$O$880*1000000000+ISNUMBER('Dvd Calendar'!$O$883)*100000000+('Dvd Calendar'!$O$885=SPECIAL_LBL)*10000000+(N('Dvd Calendar'!$O$879)&gt;0)*(N('Dvd Calendar'!$O$879)&lt;=VAL_SERIAL)*1000000+80*1000+11))</f>
        <v/>
      </c>
      <c r="EP91" s="121">
        <f>IF(N('Dvd Calendar'!$P$880)=0,"",IF(('Dvd Calendar'!$P$880&gt;=GRID_FROM)*('Dvd Calendar'!$P$880&lt;=GRID_TO)*((('Dvd Calendar'!$P$880&lt;=VAL_DATE)+(COUNTIF('Dvd Calendar'!$E$887:$AR$887,'Dvd Calendar'!$P$880)=0))&gt;0)=0,"",'Dvd Calendar'!$P$880*1000000000+ISNUMBER('Dvd Calendar'!$P$883)*100000000+('Dvd Calendar'!$P$885=SPECIAL_LBL)*10000000+(N('Dvd Calendar'!$P$879)&gt;0)*(N('Dvd Calendar'!$P$879)&lt;=VAL_SERIAL)*1000000+80*1000+12))</f>
        <v/>
      </c>
      <c r="EQ91" s="121">
        <f>IF(N('Dvd Calendar'!$Q$880)=0,"",IF(('Dvd Calendar'!$Q$880&gt;=GRID_FROM)*('Dvd Calendar'!$Q$880&lt;=GRID_TO)*((('Dvd Calendar'!$Q$880&lt;=VAL_DATE)+(COUNTIF('Dvd Calendar'!$E$887:$AR$887,'Dvd Calendar'!$Q$880)=0))&gt;0)=0,"",'Dvd Calendar'!$Q$880*1000000000+ISNUMBER('Dvd Calendar'!$Q$883)*100000000+('Dvd Calendar'!$Q$885=SPECIAL_LBL)*10000000+(N('Dvd Calendar'!$Q$879)&gt;0)*(N('Dvd Calendar'!$Q$879)&lt;=VAL_SERIAL)*1000000+80*1000+13))</f>
        <v/>
      </c>
      <c r="ER91" s="121">
        <f>IF(N('Dvd Calendar'!$R$880)=0,"",IF(('Dvd Calendar'!$R$880&gt;=GRID_FROM)*('Dvd Calendar'!$R$880&lt;=GRID_TO)*((('Dvd Calendar'!$R$880&lt;=VAL_DATE)+(COUNTIF('Dvd Calendar'!$E$887:$AR$887,'Dvd Calendar'!$R$880)=0))&gt;0)=0,"",'Dvd Calendar'!$R$880*1000000000+ISNUMBER('Dvd Calendar'!$R$883)*100000000+('Dvd Calendar'!$R$885=SPECIAL_LBL)*10000000+(N('Dvd Calendar'!$R$879)&gt;0)*(N('Dvd Calendar'!$R$879)&lt;=VAL_SERIAL)*1000000+80*1000+14))</f>
        <v/>
      </c>
      <c r="ES91" s="121">
        <f>IF(N('Dvd Calendar'!$S$880)=0,"",IF(('Dvd Calendar'!$S$880&gt;=GRID_FROM)*('Dvd Calendar'!$S$880&lt;=GRID_TO)*((('Dvd Calendar'!$S$880&lt;=VAL_DATE)+(COUNTIF('Dvd Calendar'!$E$887:$AR$887,'Dvd Calendar'!$S$880)=0))&gt;0)=0,"",'Dvd Calendar'!$S$880*1000000000+ISNUMBER('Dvd Calendar'!$S$883)*100000000+('Dvd Calendar'!$S$885=SPECIAL_LBL)*10000000+(N('Dvd Calendar'!$S$879)&gt;0)*(N('Dvd Calendar'!$S$879)&lt;=VAL_SERIAL)*1000000+80*1000+15))</f>
        <v/>
      </c>
      <c r="ET91" s="121">
        <f>IF(N('Dvd Calendar'!$T$880)=0,"",IF(('Dvd Calendar'!$T$880&gt;=GRID_FROM)*('Dvd Calendar'!$T$880&lt;=GRID_TO)*((('Dvd Calendar'!$T$880&lt;=VAL_DATE)+(COUNTIF('Dvd Calendar'!$E$887:$AR$887,'Dvd Calendar'!$T$880)=0))&gt;0)=0,"",'Dvd Calendar'!$T$880*1000000000+ISNUMBER('Dvd Calendar'!$T$883)*100000000+('Dvd Calendar'!$T$885=SPECIAL_LBL)*10000000+(N('Dvd Calendar'!$T$879)&gt;0)*(N('Dvd Calendar'!$T$879)&lt;=VAL_SERIAL)*1000000+80*1000+16))</f>
        <v/>
      </c>
      <c r="EU91" s="121">
        <f>IF(N('Dvd Calendar'!$U$880)=0,"",IF(('Dvd Calendar'!$U$880&gt;=GRID_FROM)*('Dvd Calendar'!$U$880&lt;=GRID_TO)*((('Dvd Calendar'!$U$880&lt;=VAL_DATE)+(COUNTIF('Dvd Calendar'!$E$887:$AR$887,'Dvd Calendar'!$U$880)=0))&gt;0)=0,"",'Dvd Calendar'!$U$880*1000000000+ISNUMBER('Dvd Calendar'!$U$883)*100000000+('Dvd Calendar'!$U$885=SPECIAL_LBL)*10000000+(N('Dvd Calendar'!$U$879)&gt;0)*(N('Dvd Calendar'!$U$879)&lt;=VAL_SERIAL)*1000000+80*1000+17))</f>
        <v/>
      </c>
      <c r="EV91" s="121">
        <f>IF(N('Dvd Calendar'!$V$880)=0,"",IF(('Dvd Calendar'!$V$880&gt;=GRID_FROM)*('Dvd Calendar'!$V$880&lt;=GRID_TO)*((('Dvd Calendar'!$V$880&lt;=VAL_DATE)+(COUNTIF('Dvd Calendar'!$E$887:$AR$887,'Dvd Calendar'!$V$880)=0))&gt;0)=0,"",'Dvd Calendar'!$V$880*1000000000+ISNUMBER('Dvd Calendar'!$V$883)*100000000+('Dvd Calendar'!$V$885=SPECIAL_LBL)*10000000+(N('Dvd Calendar'!$V$879)&gt;0)*(N('Dvd Calendar'!$V$879)&lt;=VAL_SERIAL)*1000000+80*1000+18))</f>
        <v/>
      </c>
      <c r="EW91" s="121">
        <f>IF(N('Dvd Calendar'!$W$880)=0,"",IF(('Dvd Calendar'!$W$880&gt;=GRID_FROM)*('Dvd Calendar'!$W$880&lt;=GRID_TO)*((('Dvd Calendar'!$W$880&lt;=VAL_DATE)+(COUNTIF('Dvd Calendar'!$E$887:$AR$887,'Dvd Calendar'!$W$880)=0))&gt;0)=0,"",'Dvd Calendar'!$W$880*1000000000+ISNUMBER('Dvd Calendar'!$W$883)*100000000+('Dvd Calendar'!$W$885=SPECIAL_LBL)*10000000+(N('Dvd Calendar'!$W$879)&gt;0)*(N('Dvd Calendar'!$W$879)&lt;=VAL_SERIAL)*1000000+80*1000+19))</f>
        <v/>
      </c>
      <c r="EX91" s="121">
        <f>IF(N('Dvd Calendar'!$X$880)=0,"",IF(('Dvd Calendar'!$X$880&gt;=GRID_FROM)*('Dvd Calendar'!$X$880&lt;=GRID_TO)*((('Dvd Calendar'!$X$880&lt;=VAL_DATE)+(COUNTIF('Dvd Calendar'!$E$887:$AR$887,'Dvd Calendar'!$X$880)=0))&gt;0)=0,"",'Dvd Calendar'!$X$880*1000000000+ISNUMBER('Dvd Calendar'!$X$883)*100000000+('Dvd Calendar'!$X$885=SPECIAL_LBL)*10000000+(N('Dvd Calendar'!$X$879)&gt;0)*(N('Dvd Calendar'!$X$879)&lt;=VAL_SERIAL)*1000000+80*1000+20))</f>
        <v/>
      </c>
      <c r="EY91" s="121">
        <f>IF(N('Dvd Calendar'!$Y$880)=0,"",IF(('Dvd Calendar'!$Y$880&gt;=GRID_FROM)*('Dvd Calendar'!$Y$880&lt;=GRID_TO)*((('Dvd Calendar'!$Y$880&lt;=VAL_DATE)+(COUNTIF('Dvd Calendar'!$E$887:$AR$887,'Dvd Calendar'!$Y$880)=0))&gt;0)=0,"",'Dvd Calendar'!$Y$880*1000000000+ISNUMBER('Dvd Calendar'!$Y$883)*100000000+('Dvd Calendar'!$Y$885=SPECIAL_LBL)*10000000+(N('Dvd Calendar'!$Y$879)&gt;0)*(N('Dvd Calendar'!$Y$879)&lt;=VAL_SERIAL)*1000000+80*1000+21))</f>
        <v/>
      </c>
      <c r="EZ91" s="121">
        <f>IF(N('Dvd Calendar'!$Z$880)=0,"",IF(('Dvd Calendar'!$Z$880&gt;=GRID_FROM)*('Dvd Calendar'!$Z$880&lt;=GRID_TO)*((('Dvd Calendar'!$Z$880&lt;=VAL_DATE)+(COUNTIF('Dvd Calendar'!$E$887:$AR$887,'Dvd Calendar'!$Z$880)=0))&gt;0)=0,"",'Dvd Calendar'!$Z$880*1000000000+ISNUMBER('Dvd Calendar'!$Z$883)*100000000+('Dvd Calendar'!$Z$885=SPECIAL_LBL)*10000000+(N('Dvd Calendar'!$Z$879)&gt;0)*(N('Dvd Calendar'!$Z$879)&lt;=VAL_SERIAL)*1000000+80*1000+22))</f>
        <v/>
      </c>
      <c r="FA91" s="121">
        <f>IF(N('Dvd Calendar'!$AA$880)=0,"",IF(('Dvd Calendar'!$AA$880&gt;=GRID_FROM)*('Dvd Calendar'!$AA$880&lt;=GRID_TO)*((('Dvd Calendar'!$AA$880&lt;=VAL_DATE)+(COUNTIF('Dvd Calendar'!$E$887:$AR$887,'Dvd Calendar'!$AA$880)=0))&gt;0)=0,"",'Dvd Calendar'!$AA$880*1000000000+ISNUMBER('Dvd Calendar'!$AA$883)*100000000+('Dvd Calendar'!$AA$885=SPECIAL_LBL)*10000000+(N('Dvd Calendar'!$AA$879)&gt;0)*(N('Dvd Calendar'!$AA$879)&lt;=VAL_SERIAL)*1000000+80*1000+23))</f>
        <v/>
      </c>
      <c r="FB91" s="121">
        <f>IF(N('Dvd Calendar'!$AB$880)=0,"",IF(('Dvd Calendar'!$AB$880&gt;=GRID_FROM)*('Dvd Calendar'!$AB$880&lt;=GRID_TO)*((('Dvd Calendar'!$AB$880&lt;=VAL_DATE)+(COUNTIF('Dvd Calendar'!$E$887:$AR$887,'Dvd Calendar'!$AB$880)=0))&gt;0)=0,"",'Dvd Calendar'!$AB$880*1000000000+ISNUMBER('Dvd Calendar'!$AB$883)*100000000+('Dvd Calendar'!$AB$885=SPECIAL_LBL)*10000000+(N('Dvd Calendar'!$AB$879)&gt;0)*(N('Dvd Calendar'!$AB$879)&lt;=VAL_SERIAL)*1000000+80*1000+24))</f>
        <v/>
      </c>
      <c r="FC91" s="121">
        <f>IF(N('Dvd Calendar'!$AC$880)=0,"",IF(('Dvd Calendar'!$AC$880&gt;=GRID_FROM)*('Dvd Calendar'!$AC$880&lt;=GRID_TO)*((('Dvd Calendar'!$AC$880&lt;=VAL_DATE)+(COUNTIF('Dvd Calendar'!$E$887:$AR$887,'Dvd Calendar'!$AC$880)=0))&gt;0)=0,"",'Dvd Calendar'!$AC$880*1000000000+ISNUMBER('Dvd Calendar'!$AC$883)*100000000+('Dvd Calendar'!$AC$885=SPECIAL_LBL)*10000000+(N('Dvd Calendar'!$AC$879)&gt;0)*(N('Dvd Calendar'!$AC$879)&lt;=VAL_SERIAL)*1000000+80*1000+25))</f>
        <v/>
      </c>
      <c r="FD91" s="121">
        <f>IF(N('Dvd Calendar'!$AD$880)=0,"",IF(('Dvd Calendar'!$AD$880&gt;=GRID_FROM)*('Dvd Calendar'!$AD$880&lt;=GRID_TO)*((('Dvd Calendar'!$AD$880&lt;=VAL_DATE)+(COUNTIF('Dvd Calendar'!$E$887:$AR$887,'Dvd Calendar'!$AD$880)=0))&gt;0)=0,"",'Dvd Calendar'!$AD$880*1000000000+ISNUMBER('Dvd Calendar'!$AD$883)*100000000+('Dvd Calendar'!$AD$885=SPECIAL_LBL)*10000000+(N('Dvd Calendar'!$AD$879)&gt;0)*(N('Dvd Calendar'!$AD$879)&lt;=VAL_SERIAL)*1000000+80*1000+26))</f>
        <v/>
      </c>
      <c r="FE91" s="121">
        <f>IF(N('Dvd Calendar'!$AE$880)=0,"",IF(('Dvd Calendar'!$AE$880&gt;=GRID_FROM)*('Dvd Calendar'!$AE$880&lt;=GRID_TO)*((('Dvd Calendar'!$AE$880&lt;=VAL_DATE)+(COUNTIF('Dvd Calendar'!$E$887:$AR$887,'Dvd Calendar'!$AE$880)=0))&gt;0)=0,"",'Dvd Calendar'!$AE$880*1000000000+ISNUMBER('Dvd Calendar'!$AE$883)*100000000+('Dvd Calendar'!$AE$885=SPECIAL_LBL)*10000000+(N('Dvd Calendar'!$AE$879)&gt;0)*(N('Dvd Calendar'!$AE$879)&lt;=VAL_SERIAL)*1000000+80*1000+27))</f>
        <v/>
      </c>
      <c r="FF91" s="121">
        <f>IF(N('Dvd Calendar'!$AF$880)=0,"",IF(('Dvd Calendar'!$AF$880&gt;=GRID_FROM)*('Dvd Calendar'!$AF$880&lt;=GRID_TO)*((('Dvd Calendar'!$AF$880&lt;=VAL_DATE)+(COUNTIF('Dvd Calendar'!$E$887:$AR$887,'Dvd Calendar'!$AF$880)=0))&gt;0)=0,"",'Dvd Calendar'!$AF$880*1000000000+ISNUMBER('Dvd Calendar'!$AF$883)*100000000+('Dvd Calendar'!$AF$885=SPECIAL_LBL)*10000000+(N('Dvd Calendar'!$AF$879)&gt;0)*(N('Dvd Calendar'!$AF$879)&lt;=VAL_SERIAL)*1000000+80*1000+28))</f>
        <v/>
      </c>
      <c r="FG91" s="121">
        <f>IF(N('Dvd Calendar'!$AG$880)=0,"",IF(('Dvd Calendar'!$AG$880&gt;=GRID_FROM)*('Dvd Calendar'!$AG$880&lt;=GRID_TO)*((('Dvd Calendar'!$AG$880&lt;=VAL_DATE)+(COUNTIF('Dvd Calendar'!$E$887:$AR$887,'Dvd Calendar'!$AG$880)=0))&gt;0)=0,"",'Dvd Calendar'!$AG$880*1000000000+ISNUMBER('Dvd Calendar'!$AG$883)*100000000+('Dvd Calendar'!$AG$885=SPECIAL_LBL)*10000000+(N('Dvd Calendar'!$AG$879)&gt;0)*(N('Dvd Calendar'!$AG$879)&lt;=VAL_SERIAL)*1000000+80*1000+29))</f>
        <v/>
      </c>
      <c r="FH91" s="121">
        <f>IF(N('Dvd Calendar'!$AH$880)=0,"",IF(('Dvd Calendar'!$AH$880&gt;=GRID_FROM)*('Dvd Calendar'!$AH$880&lt;=GRID_TO)*((('Dvd Calendar'!$AH$880&lt;=VAL_DATE)+(COUNTIF('Dvd Calendar'!$E$887:$AR$887,'Dvd Calendar'!$AH$880)=0))&gt;0)=0,"",'Dvd Calendar'!$AH$880*1000000000+ISNUMBER('Dvd Calendar'!$AH$883)*100000000+('Dvd Calendar'!$AH$885=SPECIAL_LBL)*10000000+(N('Dvd Calendar'!$AH$879)&gt;0)*(N('Dvd Calendar'!$AH$879)&lt;=VAL_SERIAL)*1000000+80*1000+30))</f>
        <v/>
      </c>
      <c r="FI91" s="121">
        <f>IF(N('Dvd Calendar'!$AI$880)=0,"",IF(('Dvd Calendar'!$AI$880&gt;=GRID_FROM)*('Dvd Calendar'!$AI$880&lt;=GRID_TO)*((('Dvd Calendar'!$AI$880&lt;=VAL_DATE)+(COUNTIF('Dvd Calendar'!$E$887:$AR$887,'Dvd Calendar'!$AI$880)=0))&gt;0)=0,"",'Dvd Calendar'!$AI$880*1000000000+ISNUMBER('Dvd Calendar'!$AI$883)*100000000+('Dvd Calendar'!$AI$885=SPECIAL_LBL)*10000000+(N('Dvd Calendar'!$AI$879)&gt;0)*(N('Dvd Calendar'!$AI$879)&lt;=VAL_SERIAL)*1000000+80*1000+31))</f>
        <v/>
      </c>
      <c r="FJ91" s="121">
        <f>IF(N('Dvd Calendar'!$AJ$880)=0,"",IF(('Dvd Calendar'!$AJ$880&gt;=GRID_FROM)*('Dvd Calendar'!$AJ$880&lt;=GRID_TO)*((('Dvd Calendar'!$AJ$880&lt;=VAL_DATE)+(COUNTIF('Dvd Calendar'!$E$887:$AR$887,'Dvd Calendar'!$AJ$880)=0))&gt;0)=0,"",'Dvd Calendar'!$AJ$880*1000000000+ISNUMBER('Dvd Calendar'!$AJ$883)*100000000+('Dvd Calendar'!$AJ$885=SPECIAL_LBL)*10000000+(N('Dvd Calendar'!$AJ$879)&gt;0)*(N('Dvd Calendar'!$AJ$879)&lt;=VAL_SERIAL)*1000000+80*1000+32))</f>
        <v/>
      </c>
      <c r="FK91" s="121">
        <f>IF(N('Dvd Calendar'!$AK$880)=0,"",IF(('Dvd Calendar'!$AK$880&gt;=GRID_FROM)*('Dvd Calendar'!$AK$880&lt;=GRID_TO)*((('Dvd Calendar'!$AK$880&lt;=VAL_DATE)+(COUNTIF('Dvd Calendar'!$E$887:$AR$887,'Dvd Calendar'!$AK$880)=0))&gt;0)=0,"",'Dvd Calendar'!$AK$880*1000000000+ISNUMBER('Dvd Calendar'!$AK$883)*100000000+('Dvd Calendar'!$AK$885=SPECIAL_LBL)*10000000+(N('Dvd Calendar'!$AK$879)&gt;0)*(N('Dvd Calendar'!$AK$879)&lt;=VAL_SERIAL)*1000000+80*1000+33))</f>
        <v/>
      </c>
      <c r="FL91" s="121">
        <f>IF(N('Dvd Calendar'!$AL$880)=0,"",IF(('Dvd Calendar'!$AL$880&gt;=GRID_FROM)*('Dvd Calendar'!$AL$880&lt;=GRID_TO)*((('Dvd Calendar'!$AL$880&lt;=VAL_DATE)+(COUNTIF('Dvd Calendar'!$E$887:$AR$887,'Dvd Calendar'!$AL$880)=0))&gt;0)=0,"",'Dvd Calendar'!$AL$880*1000000000+ISNUMBER('Dvd Calendar'!$AL$883)*100000000+('Dvd Calendar'!$AL$885=SPECIAL_LBL)*10000000+(N('Dvd Calendar'!$AL$879)&gt;0)*(N('Dvd Calendar'!$AL$879)&lt;=VAL_SERIAL)*1000000+80*1000+34))</f>
        <v/>
      </c>
      <c r="FM91" s="121">
        <f>IF(N('Dvd Calendar'!$AM$880)=0,"",IF(('Dvd Calendar'!$AM$880&gt;=GRID_FROM)*('Dvd Calendar'!$AM$880&lt;=GRID_TO)*((('Dvd Calendar'!$AM$880&lt;=VAL_DATE)+(COUNTIF('Dvd Calendar'!$E$887:$AR$887,'Dvd Calendar'!$AM$880)=0))&gt;0)=0,"",'Dvd Calendar'!$AM$880*1000000000+ISNUMBER('Dvd Calendar'!$AM$883)*100000000+('Dvd Calendar'!$AM$885=SPECIAL_LBL)*10000000+(N('Dvd Calendar'!$AM$879)&gt;0)*(N('Dvd Calendar'!$AM$879)&lt;=VAL_SERIAL)*1000000+80*1000+35))</f>
        <v/>
      </c>
      <c r="FN91" s="121">
        <f>IF(N('Dvd Calendar'!$AN$880)=0,"",IF(('Dvd Calendar'!$AN$880&gt;=GRID_FROM)*('Dvd Calendar'!$AN$880&lt;=GRID_TO)*((('Dvd Calendar'!$AN$880&lt;=VAL_DATE)+(COUNTIF('Dvd Calendar'!$E$887:$AR$887,'Dvd Calendar'!$AN$880)=0))&gt;0)=0,"",'Dvd Calendar'!$AN$880*1000000000+ISNUMBER('Dvd Calendar'!$AN$883)*100000000+('Dvd Calendar'!$AN$885=SPECIAL_LBL)*10000000+(N('Dvd Calendar'!$AN$879)&gt;0)*(N('Dvd Calendar'!$AN$879)&lt;=VAL_SERIAL)*1000000+80*1000+36))</f>
        <v/>
      </c>
      <c r="FO91" s="121">
        <f>IF(N('Dvd Calendar'!$AO$880)=0,"",IF(('Dvd Calendar'!$AO$880&gt;=GRID_FROM)*('Dvd Calendar'!$AO$880&lt;=GRID_TO)*((('Dvd Calendar'!$AO$880&lt;=VAL_DATE)+(COUNTIF('Dvd Calendar'!$E$887:$AR$887,'Dvd Calendar'!$AO$880)=0))&gt;0)=0,"",'Dvd Calendar'!$AO$880*1000000000+ISNUMBER('Dvd Calendar'!$AO$883)*100000000+('Dvd Calendar'!$AO$885=SPECIAL_LBL)*10000000+(N('Dvd Calendar'!$AO$879)&gt;0)*(N('Dvd Calendar'!$AO$879)&lt;=VAL_SERIAL)*1000000+80*1000+37))</f>
        <v/>
      </c>
      <c r="FP91" s="121">
        <f>IF(N('Dvd Calendar'!$AP$880)=0,"",IF(('Dvd Calendar'!$AP$880&gt;=GRID_FROM)*('Dvd Calendar'!$AP$880&lt;=GRID_TO)*((('Dvd Calendar'!$AP$880&lt;=VAL_DATE)+(COUNTIF('Dvd Calendar'!$E$887:$AR$887,'Dvd Calendar'!$AP$880)=0))&gt;0)=0,"",'Dvd Calendar'!$AP$880*1000000000+ISNUMBER('Dvd Calendar'!$AP$883)*100000000+('Dvd Calendar'!$AP$885=SPECIAL_LBL)*10000000+(N('Dvd Calendar'!$AP$879)&gt;0)*(N('Dvd Calendar'!$AP$879)&lt;=VAL_SERIAL)*1000000+80*1000+38))</f>
        <v/>
      </c>
      <c r="FQ91" s="121">
        <f>IF(N('Dvd Calendar'!$AQ$880)=0,"",IF(('Dvd Calendar'!$AQ$880&gt;=GRID_FROM)*('Dvd Calendar'!$AQ$880&lt;=GRID_TO)*((('Dvd Calendar'!$AQ$880&lt;=VAL_DATE)+(COUNTIF('Dvd Calendar'!$E$887:$AR$887,'Dvd Calendar'!$AQ$880)=0))&gt;0)=0,"",'Dvd Calendar'!$AQ$880*1000000000+ISNUMBER('Dvd Calendar'!$AQ$883)*100000000+('Dvd Calendar'!$AQ$885=SPECIAL_LBL)*10000000+(N('Dvd Calendar'!$AQ$879)&gt;0)*(N('Dvd Calendar'!$AQ$879)&lt;=VAL_SERIAL)*1000000+80*1000+39))</f>
        <v/>
      </c>
      <c r="FR91" s="121">
        <f>IF(N('Dvd Calendar'!$AR$880)=0,"",IF(('Dvd Calendar'!$AR$880&gt;=GRID_FROM)*('Dvd Calendar'!$AR$880&lt;=GRID_TO)*((('Dvd Calendar'!$AR$880&lt;=VAL_DATE)+(COUNTIF('Dvd Calendar'!$E$887:$AR$887,'Dvd Calendar'!$AR$880)=0))&gt;0)=0,"",'Dvd Calendar'!$AR$880*1000000000+ISNUMBER('Dvd Calendar'!$AR$883)*100000000+('Dvd Calendar'!$AR$885=SPECIAL_LBL)*10000000+(N('Dvd Calendar'!$AR$879)&gt;0)*(N('Dvd Calendar'!$AR$879)&lt;=VAL_SERIAL)*1000000+80*1000+40))</f>
        <v/>
      </c>
      <c r="FS91" s="121">
        <f>IF(N('Dvd Calendar'!$E$887)=0,"",IF(('Dvd Calendar'!$E$887&gt;=GRID_FROM)*('Dvd Calendar'!$E$887&lt;=GRID_TO)*('Dvd Calendar'!$E$887&gt;VAL_DATE)=0,"",'Dvd Calendar'!$E$887*1000000000+ISNUMBER('Dvd Calendar'!$E$888)*100000000+0*10000000+(N('Dvd Calendar'!$E$886)&gt;0)*(N('Dvd Calendar'!$E$886)&lt;=VAL_SERIAL)*1000000+80*1000+41))</f>
        <v/>
      </c>
      <c r="FT91" s="121">
        <f>IF(N('Dvd Calendar'!$F$887)=0,"",IF(('Dvd Calendar'!$F$887&gt;=GRID_FROM)*('Dvd Calendar'!$F$887&lt;=GRID_TO)*('Dvd Calendar'!$F$887&gt;VAL_DATE)=0,"",'Dvd Calendar'!$F$887*1000000000+ISNUMBER('Dvd Calendar'!$F$888)*100000000+0*10000000+(N('Dvd Calendar'!$F$886)&gt;0)*(N('Dvd Calendar'!$F$886)&lt;=VAL_SERIAL)*1000000+80*1000+42))</f>
        <v/>
      </c>
      <c r="FU91" s="121">
        <f>IF(N('Dvd Calendar'!$G$887)=0,"",IF(('Dvd Calendar'!$G$887&gt;=GRID_FROM)*('Dvd Calendar'!$G$887&lt;=GRID_TO)*('Dvd Calendar'!$G$887&gt;VAL_DATE)=0,"",'Dvd Calendar'!$G$887*1000000000+ISNUMBER('Dvd Calendar'!$G$888)*100000000+0*10000000+(N('Dvd Calendar'!$G$886)&gt;0)*(N('Dvd Calendar'!$G$886)&lt;=VAL_SERIAL)*1000000+80*1000+43))</f>
        <v/>
      </c>
      <c r="FV91" s="121">
        <f>IF(N('Dvd Calendar'!$H$887)=0,"",IF(('Dvd Calendar'!$H$887&gt;=GRID_FROM)*('Dvd Calendar'!$H$887&lt;=GRID_TO)*('Dvd Calendar'!$H$887&gt;VAL_DATE)=0,"",'Dvd Calendar'!$H$887*1000000000+ISNUMBER('Dvd Calendar'!$H$888)*100000000+0*10000000+(N('Dvd Calendar'!$H$886)&gt;0)*(N('Dvd Calendar'!$H$886)&lt;=VAL_SERIAL)*1000000+80*1000+44))</f>
        <v/>
      </c>
      <c r="FW91" s="121">
        <f>IF(N('Dvd Calendar'!$I$887)=0,"",IF(('Dvd Calendar'!$I$887&gt;=GRID_FROM)*('Dvd Calendar'!$I$887&lt;=GRID_TO)*('Dvd Calendar'!$I$887&gt;VAL_DATE)=0,"",'Dvd Calendar'!$I$887*1000000000+ISNUMBER('Dvd Calendar'!$I$888)*100000000+0*10000000+(N('Dvd Calendar'!$I$886)&gt;0)*(N('Dvd Calendar'!$I$886)&lt;=VAL_SERIAL)*1000000+80*1000+45))</f>
        <v/>
      </c>
      <c r="FX91" s="121">
        <f>IF(N('Dvd Calendar'!$J$887)=0,"",IF(('Dvd Calendar'!$J$887&gt;=GRID_FROM)*('Dvd Calendar'!$J$887&lt;=GRID_TO)*('Dvd Calendar'!$J$887&gt;VAL_DATE)=0,"",'Dvd Calendar'!$J$887*1000000000+ISNUMBER('Dvd Calendar'!$J$888)*100000000+0*10000000+(N('Dvd Calendar'!$J$886)&gt;0)*(N('Dvd Calendar'!$J$886)&lt;=VAL_SERIAL)*1000000+80*1000+46))</f>
        <v/>
      </c>
      <c r="FY91" s="121">
        <f>IF(N('Dvd Calendar'!$K$887)=0,"",IF(('Dvd Calendar'!$K$887&gt;=GRID_FROM)*('Dvd Calendar'!$K$887&lt;=GRID_TO)*('Dvd Calendar'!$K$887&gt;VAL_DATE)=0,"",'Dvd Calendar'!$K$887*1000000000+ISNUMBER('Dvd Calendar'!$K$888)*100000000+0*10000000+(N('Dvd Calendar'!$K$886)&gt;0)*(N('Dvd Calendar'!$K$886)&lt;=VAL_SERIAL)*1000000+80*1000+47))</f>
        <v/>
      </c>
      <c r="FZ91" s="121">
        <f>IF(N('Dvd Calendar'!$L$887)=0,"",IF(('Dvd Calendar'!$L$887&gt;=GRID_FROM)*('Dvd Calendar'!$L$887&lt;=GRID_TO)*('Dvd Calendar'!$L$887&gt;VAL_DATE)=0,"",'Dvd Calendar'!$L$887*1000000000+ISNUMBER('Dvd Calendar'!$L$888)*100000000+0*10000000+(N('Dvd Calendar'!$L$886)&gt;0)*(N('Dvd Calendar'!$L$886)&lt;=VAL_SERIAL)*1000000+80*1000+48))</f>
        <v/>
      </c>
      <c r="GA91" s="121">
        <f>IF(N('Dvd Calendar'!$M$887)=0,"",IF(('Dvd Calendar'!$M$887&gt;=GRID_FROM)*('Dvd Calendar'!$M$887&lt;=GRID_TO)*('Dvd Calendar'!$M$887&gt;VAL_DATE)=0,"",'Dvd Calendar'!$M$887*1000000000+ISNUMBER('Dvd Calendar'!$M$888)*100000000+0*10000000+(N('Dvd Calendar'!$M$886)&gt;0)*(N('Dvd Calendar'!$M$886)&lt;=VAL_SERIAL)*1000000+80*1000+49))</f>
        <v/>
      </c>
      <c r="GB91" s="121">
        <f>IF(N('Dvd Calendar'!$N$887)=0,"",IF(('Dvd Calendar'!$N$887&gt;=GRID_FROM)*('Dvd Calendar'!$N$887&lt;=GRID_TO)*('Dvd Calendar'!$N$887&gt;VAL_DATE)=0,"",'Dvd Calendar'!$N$887*1000000000+ISNUMBER('Dvd Calendar'!$N$888)*100000000+0*10000000+(N('Dvd Calendar'!$N$886)&gt;0)*(N('Dvd Calendar'!$N$886)&lt;=VAL_SERIAL)*1000000+80*1000+50))</f>
        <v/>
      </c>
      <c r="GC91" s="121">
        <f>IF(N('Dvd Calendar'!$O$887)=0,"",IF(('Dvd Calendar'!$O$887&gt;=GRID_FROM)*('Dvd Calendar'!$O$887&lt;=GRID_TO)*('Dvd Calendar'!$O$887&gt;VAL_DATE)=0,"",'Dvd Calendar'!$O$887*1000000000+ISNUMBER('Dvd Calendar'!$O$888)*100000000+0*10000000+(N('Dvd Calendar'!$O$886)&gt;0)*(N('Dvd Calendar'!$O$886)&lt;=VAL_SERIAL)*1000000+80*1000+51))</f>
        <v/>
      </c>
      <c r="GD91" s="121">
        <f>IF(N('Dvd Calendar'!$P$887)=0,"",IF(('Dvd Calendar'!$P$887&gt;=GRID_FROM)*('Dvd Calendar'!$P$887&lt;=GRID_TO)*('Dvd Calendar'!$P$887&gt;VAL_DATE)=0,"",'Dvd Calendar'!$P$887*1000000000+ISNUMBER('Dvd Calendar'!$P$888)*100000000+0*10000000+(N('Dvd Calendar'!$P$886)&gt;0)*(N('Dvd Calendar'!$P$886)&lt;=VAL_SERIAL)*1000000+80*1000+52))</f>
        <v/>
      </c>
      <c r="GE91" s="121">
        <f>IF(N('Dvd Calendar'!$Q$887)=0,"",IF(('Dvd Calendar'!$Q$887&gt;=GRID_FROM)*('Dvd Calendar'!$Q$887&lt;=GRID_TO)*('Dvd Calendar'!$Q$887&gt;VAL_DATE)=0,"",'Dvd Calendar'!$Q$887*1000000000+ISNUMBER('Dvd Calendar'!$Q$888)*100000000+0*10000000+(N('Dvd Calendar'!$Q$886)&gt;0)*(N('Dvd Calendar'!$Q$886)&lt;=VAL_SERIAL)*1000000+80*1000+53))</f>
        <v/>
      </c>
      <c r="GF91" s="121">
        <f>IF(N('Dvd Calendar'!$R$887)=0,"",IF(('Dvd Calendar'!$R$887&gt;=GRID_FROM)*('Dvd Calendar'!$R$887&lt;=GRID_TO)*('Dvd Calendar'!$R$887&gt;VAL_DATE)=0,"",'Dvd Calendar'!$R$887*1000000000+ISNUMBER('Dvd Calendar'!$R$888)*100000000+0*10000000+(N('Dvd Calendar'!$R$886)&gt;0)*(N('Dvd Calendar'!$R$886)&lt;=VAL_SERIAL)*1000000+80*1000+54))</f>
        <v/>
      </c>
      <c r="GG91" s="121">
        <f>IF(N('Dvd Calendar'!$S$887)=0,"",IF(('Dvd Calendar'!$S$887&gt;=GRID_FROM)*('Dvd Calendar'!$S$887&lt;=GRID_TO)*('Dvd Calendar'!$S$887&gt;VAL_DATE)=0,"",'Dvd Calendar'!$S$887*1000000000+ISNUMBER('Dvd Calendar'!$S$888)*100000000+0*10000000+(N('Dvd Calendar'!$S$886)&gt;0)*(N('Dvd Calendar'!$S$886)&lt;=VAL_SERIAL)*1000000+80*1000+55))</f>
        <v/>
      </c>
      <c r="GH91" s="121">
        <f>IF(N('Dvd Calendar'!$T$887)=0,"",IF(('Dvd Calendar'!$T$887&gt;=GRID_FROM)*('Dvd Calendar'!$T$887&lt;=GRID_TO)*('Dvd Calendar'!$T$887&gt;VAL_DATE)=0,"",'Dvd Calendar'!$T$887*1000000000+ISNUMBER('Dvd Calendar'!$T$888)*100000000+0*10000000+(N('Dvd Calendar'!$T$886)&gt;0)*(N('Dvd Calendar'!$T$886)&lt;=VAL_SERIAL)*1000000+80*1000+56))</f>
        <v/>
      </c>
      <c r="GI91" s="121">
        <f>IF(N('Dvd Calendar'!$U$887)=0,"",IF(('Dvd Calendar'!$U$887&gt;=GRID_FROM)*('Dvd Calendar'!$U$887&lt;=GRID_TO)*('Dvd Calendar'!$U$887&gt;VAL_DATE)=0,"",'Dvd Calendar'!$U$887*1000000000+ISNUMBER('Dvd Calendar'!$U$888)*100000000+0*10000000+(N('Dvd Calendar'!$U$886)&gt;0)*(N('Dvd Calendar'!$U$886)&lt;=VAL_SERIAL)*1000000+80*1000+57))</f>
        <v/>
      </c>
      <c r="GJ91" s="121">
        <f>IF(N('Dvd Calendar'!$V$887)=0,"",IF(('Dvd Calendar'!$V$887&gt;=GRID_FROM)*('Dvd Calendar'!$V$887&lt;=GRID_TO)*('Dvd Calendar'!$V$887&gt;VAL_DATE)=0,"",'Dvd Calendar'!$V$887*1000000000+ISNUMBER('Dvd Calendar'!$V$888)*100000000+0*10000000+(N('Dvd Calendar'!$V$886)&gt;0)*(N('Dvd Calendar'!$V$886)&lt;=VAL_SERIAL)*1000000+80*1000+58))</f>
        <v/>
      </c>
      <c r="GK91" s="121">
        <f>IF(N('Dvd Calendar'!$W$887)=0,"",IF(('Dvd Calendar'!$W$887&gt;=GRID_FROM)*('Dvd Calendar'!$W$887&lt;=GRID_TO)*('Dvd Calendar'!$W$887&gt;VAL_DATE)=0,"",'Dvd Calendar'!$W$887*1000000000+ISNUMBER('Dvd Calendar'!$W$888)*100000000+0*10000000+(N('Dvd Calendar'!$W$886)&gt;0)*(N('Dvd Calendar'!$W$886)&lt;=VAL_SERIAL)*1000000+80*1000+59))</f>
        <v/>
      </c>
      <c r="GL91" s="121">
        <f>IF(N('Dvd Calendar'!$X$887)=0,"",IF(('Dvd Calendar'!$X$887&gt;=GRID_FROM)*('Dvd Calendar'!$X$887&lt;=GRID_TO)*('Dvd Calendar'!$X$887&gt;VAL_DATE)=0,"",'Dvd Calendar'!$X$887*1000000000+ISNUMBER('Dvd Calendar'!$X$888)*100000000+0*10000000+(N('Dvd Calendar'!$X$886)&gt;0)*(N('Dvd Calendar'!$X$886)&lt;=VAL_SERIAL)*1000000+80*1000+60))</f>
        <v/>
      </c>
      <c r="GM91" s="121">
        <f>IF(N('Dvd Calendar'!$Y$887)=0,"",IF(('Dvd Calendar'!$Y$887&gt;=GRID_FROM)*('Dvd Calendar'!$Y$887&lt;=GRID_TO)*('Dvd Calendar'!$Y$887&gt;VAL_DATE)=0,"",'Dvd Calendar'!$Y$887*1000000000+ISNUMBER('Dvd Calendar'!$Y$888)*100000000+0*10000000+(N('Dvd Calendar'!$Y$886)&gt;0)*(N('Dvd Calendar'!$Y$886)&lt;=VAL_SERIAL)*1000000+80*1000+61))</f>
        <v/>
      </c>
      <c r="GN91" s="121">
        <f>IF(N('Dvd Calendar'!$Z$887)=0,"",IF(('Dvd Calendar'!$Z$887&gt;=GRID_FROM)*('Dvd Calendar'!$Z$887&lt;=GRID_TO)*('Dvd Calendar'!$Z$887&gt;VAL_DATE)=0,"",'Dvd Calendar'!$Z$887*1000000000+ISNUMBER('Dvd Calendar'!$Z$888)*100000000+0*10000000+(N('Dvd Calendar'!$Z$886)&gt;0)*(N('Dvd Calendar'!$Z$886)&lt;=VAL_SERIAL)*1000000+80*1000+62))</f>
        <v/>
      </c>
      <c r="GO91" s="121">
        <f>IF(N('Dvd Calendar'!$AA$887)=0,"",IF(('Dvd Calendar'!$AA$887&gt;=GRID_FROM)*('Dvd Calendar'!$AA$887&lt;=GRID_TO)*('Dvd Calendar'!$AA$887&gt;VAL_DATE)=0,"",'Dvd Calendar'!$AA$887*1000000000+ISNUMBER('Dvd Calendar'!$AA$888)*100000000+0*10000000+(N('Dvd Calendar'!$AA$886)&gt;0)*(N('Dvd Calendar'!$AA$886)&lt;=VAL_SERIAL)*1000000+80*1000+63))</f>
        <v/>
      </c>
      <c r="GP91" s="121">
        <f>IF(N('Dvd Calendar'!$AB$887)=0,"",IF(('Dvd Calendar'!$AB$887&gt;=GRID_FROM)*('Dvd Calendar'!$AB$887&lt;=GRID_TO)*('Dvd Calendar'!$AB$887&gt;VAL_DATE)=0,"",'Dvd Calendar'!$AB$887*1000000000+ISNUMBER('Dvd Calendar'!$AB$888)*100000000+0*10000000+(N('Dvd Calendar'!$AB$886)&gt;0)*(N('Dvd Calendar'!$AB$886)&lt;=VAL_SERIAL)*1000000+80*1000+64))</f>
        <v/>
      </c>
      <c r="GQ91" s="121">
        <f>IF(N('Dvd Calendar'!$AC$887)=0,"",IF(('Dvd Calendar'!$AC$887&gt;=GRID_FROM)*('Dvd Calendar'!$AC$887&lt;=GRID_TO)*('Dvd Calendar'!$AC$887&gt;VAL_DATE)=0,"",'Dvd Calendar'!$AC$887*1000000000+ISNUMBER('Dvd Calendar'!$AC$888)*100000000+0*10000000+(N('Dvd Calendar'!$AC$886)&gt;0)*(N('Dvd Calendar'!$AC$886)&lt;=VAL_SERIAL)*1000000+80*1000+65))</f>
        <v/>
      </c>
    </row>
    <row r="92">
      <c r="B92" s="2">
        <f>IF(HSI!$C$87="","",HSI!$C$87)</f>
        <v/>
      </c>
      <c r="C92" s="161">
        <f>IF(EE92="","",IF(ISNUMBER('Dvd Calendar'!$E$894)=FALSE,"",IF((('Dvd Calendar'!$E$896=TYPE1)*(TYPE1&lt;&gt;"")+('Dvd Calendar'!$E$896=TYPE2)*(TYPE2&lt;&gt;"")+('Dvd Calendar'!$E$896=TYPE3)*(TYPE3&lt;&gt;"")+('Dvd Calendar'!$E$896=TYPE4)*(TYPE4&lt;&gt;"")+('Dvd Calendar'!$E$896=SPECIAL_LBL)*(INC_SPECIALS="Y"))=0,"",'Dvd Calendar'!$E$894)))</f>
        <v/>
      </c>
      <c r="D92" s="161">
        <f>IF(EF92="","",IF(ISNUMBER('Dvd Calendar'!$F$894)=FALSE,"",IF((('Dvd Calendar'!$F$896=TYPE1)*(TYPE1&lt;&gt;"")+('Dvd Calendar'!$F$896=TYPE2)*(TYPE2&lt;&gt;"")+('Dvd Calendar'!$F$896=TYPE3)*(TYPE3&lt;&gt;"")+('Dvd Calendar'!$F$896=TYPE4)*(TYPE4&lt;&gt;"")+('Dvd Calendar'!$F$896=SPECIAL_LBL)*(INC_SPECIALS="Y"))=0,"",'Dvd Calendar'!$F$894)))</f>
        <v/>
      </c>
      <c r="E92" s="161">
        <f>IF(EG92="","",IF(ISNUMBER('Dvd Calendar'!$G$894)=FALSE,"",IF((('Dvd Calendar'!$G$896=TYPE1)*(TYPE1&lt;&gt;"")+('Dvd Calendar'!$G$896=TYPE2)*(TYPE2&lt;&gt;"")+('Dvd Calendar'!$G$896=TYPE3)*(TYPE3&lt;&gt;"")+('Dvd Calendar'!$G$896=TYPE4)*(TYPE4&lt;&gt;"")+('Dvd Calendar'!$G$896=SPECIAL_LBL)*(INC_SPECIALS="Y"))=0,"",'Dvd Calendar'!$G$894)))</f>
        <v/>
      </c>
      <c r="F92" s="161">
        <f>IF(EH92="","",IF(ISNUMBER('Dvd Calendar'!$H$894)=FALSE,"",IF((('Dvd Calendar'!$H$896=TYPE1)*(TYPE1&lt;&gt;"")+('Dvd Calendar'!$H$896=TYPE2)*(TYPE2&lt;&gt;"")+('Dvd Calendar'!$H$896=TYPE3)*(TYPE3&lt;&gt;"")+('Dvd Calendar'!$H$896=TYPE4)*(TYPE4&lt;&gt;"")+('Dvd Calendar'!$H$896=SPECIAL_LBL)*(INC_SPECIALS="Y"))=0,"",'Dvd Calendar'!$H$894)))</f>
        <v/>
      </c>
      <c r="G92" s="161">
        <f>IF(EI92="","",IF(ISNUMBER('Dvd Calendar'!$I$894)=FALSE,"",IF((('Dvd Calendar'!$I$896=TYPE1)*(TYPE1&lt;&gt;"")+('Dvd Calendar'!$I$896=TYPE2)*(TYPE2&lt;&gt;"")+('Dvd Calendar'!$I$896=TYPE3)*(TYPE3&lt;&gt;"")+('Dvd Calendar'!$I$896=TYPE4)*(TYPE4&lt;&gt;"")+('Dvd Calendar'!$I$896=SPECIAL_LBL)*(INC_SPECIALS="Y"))=0,"",'Dvd Calendar'!$I$894)))</f>
        <v/>
      </c>
      <c r="H92" s="161">
        <f>IF(EJ92="","",IF(ISNUMBER('Dvd Calendar'!$J$894)=FALSE,"",IF((('Dvd Calendar'!$J$896=TYPE1)*(TYPE1&lt;&gt;"")+('Dvd Calendar'!$J$896=TYPE2)*(TYPE2&lt;&gt;"")+('Dvd Calendar'!$J$896=TYPE3)*(TYPE3&lt;&gt;"")+('Dvd Calendar'!$J$896=TYPE4)*(TYPE4&lt;&gt;"")+('Dvd Calendar'!$J$896=SPECIAL_LBL)*(INC_SPECIALS="Y"))=0,"",'Dvd Calendar'!$J$894)))</f>
        <v/>
      </c>
      <c r="I92" s="161">
        <f>IF(EK92="","",IF(ISNUMBER('Dvd Calendar'!$K$894)=FALSE,"",IF((('Dvd Calendar'!$K$896=TYPE1)*(TYPE1&lt;&gt;"")+('Dvd Calendar'!$K$896=TYPE2)*(TYPE2&lt;&gt;"")+('Dvd Calendar'!$K$896=TYPE3)*(TYPE3&lt;&gt;"")+('Dvd Calendar'!$K$896=TYPE4)*(TYPE4&lt;&gt;"")+('Dvd Calendar'!$K$896=SPECIAL_LBL)*(INC_SPECIALS="Y"))=0,"",'Dvd Calendar'!$K$894)))</f>
        <v/>
      </c>
      <c r="J92" s="161">
        <f>IF(EL92="","",IF(ISNUMBER('Dvd Calendar'!$L$894)=FALSE,"",IF((('Dvd Calendar'!$L$896=TYPE1)*(TYPE1&lt;&gt;"")+('Dvd Calendar'!$L$896=TYPE2)*(TYPE2&lt;&gt;"")+('Dvd Calendar'!$L$896=TYPE3)*(TYPE3&lt;&gt;"")+('Dvd Calendar'!$L$896=TYPE4)*(TYPE4&lt;&gt;"")+('Dvd Calendar'!$L$896=SPECIAL_LBL)*(INC_SPECIALS="Y"))=0,"",'Dvd Calendar'!$L$894)))</f>
        <v/>
      </c>
      <c r="K92" s="161">
        <f>IF(EM92="","",IF(ISNUMBER('Dvd Calendar'!$M$894)=FALSE,"",IF((('Dvd Calendar'!$M$896=TYPE1)*(TYPE1&lt;&gt;"")+('Dvd Calendar'!$M$896=TYPE2)*(TYPE2&lt;&gt;"")+('Dvd Calendar'!$M$896=TYPE3)*(TYPE3&lt;&gt;"")+('Dvd Calendar'!$M$896=TYPE4)*(TYPE4&lt;&gt;"")+('Dvd Calendar'!$M$896=SPECIAL_LBL)*(INC_SPECIALS="Y"))=0,"",'Dvd Calendar'!$M$894)))</f>
        <v/>
      </c>
      <c r="L92" s="161">
        <f>IF(EN92="","",IF(ISNUMBER('Dvd Calendar'!$N$894)=FALSE,"",IF((('Dvd Calendar'!$N$896=TYPE1)*(TYPE1&lt;&gt;"")+('Dvd Calendar'!$N$896=TYPE2)*(TYPE2&lt;&gt;"")+('Dvd Calendar'!$N$896=TYPE3)*(TYPE3&lt;&gt;"")+('Dvd Calendar'!$N$896=TYPE4)*(TYPE4&lt;&gt;"")+('Dvd Calendar'!$N$896=SPECIAL_LBL)*(INC_SPECIALS="Y"))=0,"",'Dvd Calendar'!$N$894)))</f>
        <v/>
      </c>
      <c r="M92" s="161">
        <f>IF(EO92="","",IF(ISNUMBER('Dvd Calendar'!$O$894)=FALSE,"",IF((('Dvd Calendar'!$O$896=TYPE1)*(TYPE1&lt;&gt;"")+('Dvd Calendar'!$O$896=TYPE2)*(TYPE2&lt;&gt;"")+('Dvd Calendar'!$O$896=TYPE3)*(TYPE3&lt;&gt;"")+('Dvd Calendar'!$O$896=TYPE4)*(TYPE4&lt;&gt;"")+('Dvd Calendar'!$O$896=SPECIAL_LBL)*(INC_SPECIALS="Y"))=0,"",'Dvd Calendar'!$O$894)))</f>
        <v/>
      </c>
      <c r="N92" s="161">
        <f>IF(EP92="","",IF(ISNUMBER('Dvd Calendar'!$P$894)=FALSE,"",IF((('Dvd Calendar'!$P$896=TYPE1)*(TYPE1&lt;&gt;"")+('Dvd Calendar'!$P$896=TYPE2)*(TYPE2&lt;&gt;"")+('Dvd Calendar'!$P$896=TYPE3)*(TYPE3&lt;&gt;"")+('Dvd Calendar'!$P$896=TYPE4)*(TYPE4&lt;&gt;"")+('Dvd Calendar'!$P$896=SPECIAL_LBL)*(INC_SPECIALS="Y"))=0,"",'Dvd Calendar'!$P$894)))</f>
        <v/>
      </c>
      <c r="O92" s="161">
        <f>IF(EQ92="","",IF(ISNUMBER('Dvd Calendar'!$Q$894)=FALSE,"",IF((('Dvd Calendar'!$Q$896=TYPE1)*(TYPE1&lt;&gt;"")+('Dvd Calendar'!$Q$896=TYPE2)*(TYPE2&lt;&gt;"")+('Dvd Calendar'!$Q$896=TYPE3)*(TYPE3&lt;&gt;"")+('Dvd Calendar'!$Q$896=TYPE4)*(TYPE4&lt;&gt;"")+('Dvd Calendar'!$Q$896=SPECIAL_LBL)*(INC_SPECIALS="Y"))=0,"",'Dvd Calendar'!$Q$894)))</f>
        <v/>
      </c>
      <c r="P92" s="161">
        <f>IF(ER92="","",IF(ISNUMBER('Dvd Calendar'!$R$894)=FALSE,"",IF((('Dvd Calendar'!$R$896=TYPE1)*(TYPE1&lt;&gt;"")+('Dvd Calendar'!$R$896=TYPE2)*(TYPE2&lt;&gt;"")+('Dvd Calendar'!$R$896=TYPE3)*(TYPE3&lt;&gt;"")+('Dvd Calendar'!$R$896=TYPE4)*(TYPE4&lt;&gt;"")+('Dvd Calendar'!$R$896=SPECIAL_LBL)*(INC_SPECIALS="Y"))=0,"",'Dvd Calendar'!$R$894)))</f>
        <v/>
      </c>
      <c r="Q92" s="161">
        <f>IF(ES92="","",IF(ISNUMBER('Dvd Calendar'!$S$894)=FALSE,"",IF((('Dvd Calendar'!$S$896=TYPE1)*(TYPE1&lt;&gt;"")+('Dvd Calendar'!$S$896=TYPE2)*(TYPE2&lt;&gt;"")+('Dvd Calendar'!$S$896=TYPE3)*(TYPE3&lt;&gt;"")+('Dvd Calendar'!$S$896=TYPE4)*(TYPE4&lt;&gt;"")+('Dvd Calendar'!$S$896=SPECIAL_LBL)*(INC_SPECIALS="Y"))=0,"",'Dvd Calendar'!$S$894)))</f>
        <v/>
      </c>
      <c r="R92" s="161">
        <f>IF(ET92="","",IF(ISNUMBER('Dvd Calendar'!$T$894)=FALSE,"",IF((('Dvd Calendar'!$T$896=TYPE1)*(TYPE1&lt;&gt;"")+('Dvd Calendar'!$T$896=TYPE2)*(TYPE2&lt;&gt;"")+('Dvd Calendar'!$T$896=TYPE3)*(TYPE3&lt;&gt;"")+('Dvd Calendar'!$T$896=TYPE4)*(TYPE4&lt;&gt;"")+('Dvd Calendar'!$T$896=SPECIAL_LBL)*(INC_SPECIALS="Y"))=0,"",'Dvd Calendar'!$T$894)))</f>
        <v/>
      </c>
      <c r="S92" s="161">
        <f>IF(EU92="","",IF(ISNUMBER('Dvd Calendar'!$U$894)=FALSE,"",IF((('Dvd Calendar'!$U$896=TYPE1)*(TYPE1&lt;&gt;"")+('Dvd Calendar'!$U$896=TYPE2)*(TYPE2&lt;&gt;"")+('Dvd Calendar'!$U$896=TYPE3)*(TYPE3&lt;&gt;"")+('Dvd Calendar'!$U$896=TYPE4)*(TYPE4&lt;&gt;"")+('Dvd Calendar'!$U$896=SPECIAL_LBL)*(INC_SPECIALS="Y"))=0,"",'Dvd Calendar'!$U$894)))</f>
        <v/>
      </c>
      <c r="T92" s="161">
        <f>IF(EV92="","",IF(ISNUMBER('Dvd Calendar'!$V$894)=FALSE,"",IF((('Dvd Calendar'!$V$896=TYPE1)*(TYPE1&lt;&gt;"")+('Dvd Calendar'!$V$896=TYPE2)*(TYPE2&lt;&gt;"")+('Dvd Calendar'!$V$896=TYPE3)*(TYPE3&lt;&gt;"")+('Dvd Calendar'!$V$896=TYPE4)*(TYPE4&lt;&gt;"")+('Dvd Calendar'!$V$896=SPECIAL_LBL)*(INC_SPECIALS="Y"))=0,"",'Dvd Calendar'!$V$894)))</f>
        <v/>
      </c>
      <c r="U92" s="161">
        <f>IF(EW92="","",IF(ISNUMBER('Dvd Calendar'!$W$894)=FALSE,"",IF((('Dvd Calendar'!$W$896=TYPE1)*(TYPE1&lt;&gt;"")+('Dvd Calendar'!$W$896=TYPE2)*(TYPE2&lt;&gt;"")+('Dvd Calendar'!$W$896=TYPE3)*(TYPE3&lt;&gt;"")+('Dvd Calendar'!$W$896=TYPE4)*(TYPE4&lt;&gt;"")+('Dvd Calendar'!$W$896=SPECIAL_LBL)*(INC_SPECIALS="Y"))=0,"",'Dvd Calendar'!$W$894)))</f>
        <v/>
      </c>
      <c r="V92" s="161">
        <f>IF(EX92="","",IF(ISNUMBER('Dvd Calendar'!$X$894)=FALSE,"",IF((('Dvd Calendar'!$X$896=TYPE1)*(TYPE1&lt;&gt;"")+('Dvd Calendar'!$X$896=TYPE2)*(TYPE2&lt;&gt;"")+('Dvd Calendar'!$X$896=TYPE3)*(TYPE3&lt;&gt;"")+('Dvd Calendar'!$X$896=TYPE4)*(TYPE4&lt;&gt;"")+('Dvd Calendar'!$X$896=SPECIAL_LBL)*(INC_SPECIALS="Y"))=0,"",'Dvd Calendar'!$X$894)))</f>
        <v/>
      </c>
      <c r="W92" s="161">
        <f>IF(EY92="","",IF(ISNUMBER('Dvd Calendar'!$Y$894)=FALSE,"",IF((('Dvd Calendar'!$Y$896=TYPE1)*(TYPE1&lt;&gt;"")+('Dvd Calendar'!$Y$896=TYPE2)*(TYPE2&lt;&gt;"")+('Dvd Calendar'!$Y$896=TYPE3)*(TYPE3&lt;&gt;"")+('Dvd Calendar'!$Y$896=TYPE4)*(TYPE4&lt;&gt;"")+('Dvd Calendar'!$Y$896=SPECIAL_LBL)*(INC_SPECIALS="Y"))=0,"",'Dvd Calendar'!$Y$894)))</f>
        <v/>
      </c>
      <c r="X92" s="161">
        <f>IF(EZ92="","",IF(ISNUMBER('Dvd Calendar'!$Z$894)=FALSE,"",IF((('Dvd Calendar'!$Z$896=TYPE1)*(TYPE1&lt;&gt;"")+('Dvd Calendar'!$Z$896=TYPE2)*(TYPE2&lt;&gt;"")+('Dvd Calendar'!$Z$896=TYPE3)*(TYPE3&lt;&gt;"")+('Dvd Calendar'!$Z$896=TYPE4)*(TYPE4&lt;&gt;"")+('Dvd Calendar'!$Z$896=SPECIAL_LBL)*(INC_SPECIALS="Y"))=0,"",'Dvd Calendar'!$Z$894)))</f>
        <v/>
      </c>
      <c r="Y92" s="161">
        <f>IF(FA92="","",IF(ISNUMBER('Dvd Calendar'!$AA$894)=FALSE,"",IF((('Dvd Calendar'!$AA$896=TYPE1)*(TYPE1&lt;&gt;"")+('Dvd Calendar'!$AA$896=TYPE2)*(TYPE2&lt;&gt;"")+('Dvd Calendar'!$AA$896=TYPE3)*(TYPE3&lt;&gt;"")+('Dvd Calendar'!$AA$896=TYPE4)*(TYPE4&lt;&gt;"")+('Dvd Calendar'!$AA$896=SPECIAL_LBL)*(INC_SPECIALS="Y"))=0,"",'Dvd Calendar'!$AA$894)))</f>
        <v/>
      </c>
      <c r="Z92" s="161">
        <f>IF(FB92="","",IF(ISNUMBER('Dvd Calendar'!$AB$894)=FALSE,"",IF((('Dvd Calendar'!$AB$896=TYPE1)*(TYPE1&lt;&gt;"")+('Dvd Calendar'!$AB$896=TYPE2)*(TYPE2&lt;&gt;"")+('Dvd Calendar'!$AB$896=TYPE3)*(TYPE3&lt;&gt;"")+('Dvd Calendar'!$AB$896=TYPE4)*(TYPE4&lt;&gt;"")+('Dvd Calendar'!$AB$896=SPECIAL_LBL)*(INC_SPECIALS="Y"))=0,"",'Dvd Calendar'!$AB$894)))</f>
        <v/>
      </c>
      <c r="AA92" s="161">
        <f>IF(FC92="","",IF(ISNUMBER('Dvd Calendar'!$AC$894)=FALSE,"",IF((('Dvd Calendar'!$AC$896=TYPE1)*(TYPE1&lt;&gt;"")+('Dvd Calendar'!$AC$896=TYPE2)*(TYPE2&lt;&gt;"")+('Dvd Calendar'!$AC$896=TYPE3)*(TYPE3&lt;&gt;"")+('Dvd Calendar'!$AC$896=TYPE4)*(TYPE4&lt;&gt;"")+('Dvd Calendar'!$AC$896=SPECIAL_LBL)*(INC_SPECIALS="Y"))=0,"",'Dvd Calendar'!$AC$894)))</f>
        <v/>
      </c>
      <c r="AB92" s="161">
        <f>IF(FD92="","",IF(ISNUMBER('Dvd Calendar'!$AD$894)=FALSE,"",IF((('Dvd Calendar'!$AD$896=TYPE1)*(TYPE1&lt;&gt;"")+('Dvd Calendar'!$AD$896=TYPE2)*(TYPE2&lt;&gt;"")+('Dvd Calendar'!$AD$896=TYPE3)*(TYPE3&lt;&gt;"")+('Dvd Calendar'!$AD$896=TYPE4)*(TYPE4&lt;&gt;"")+('Dvd Calendar'!$AD$896=SPECIAL_LBL)*(INC_SPECIALS="Y"))=0,"",'Dvd Calendar'!$AD$894)))</f>
        <v/>
      </c>
      <c r="AC92" s="161">
        <f>IF(FE92="","",IF(ISNUMBER('Dvd Calendar'!$AE$894)=FALSE,"",IF((('Dvd Calendar'!$AE$896=TYPE1)*(TYPE1&lt;&gt;"")+('Dvd Calendar'!$AE$896=TYPE2)*(TYPE2&lt;&gt;"")+('Dvd Calendar'!$AE$896=TYPE3)*(TYPE3&lt;&gt;"")+('Dvd Calendar'!$AE$896=TYPE4)*(TYPE4&lt;&gt;"")+('Dvd Calendar'!$AE$896=SPECIAL_LBL)*(INC_SPECIALS="Y"))=0,"",'Dvd Calendar'!$AE$894)))</f>
        <v/>
      </c>
      <c r="AD92" s="161">
        <f>IF(FF92="","",IF(ISNUMBER('Dvd Calendar'!$AF$894)=FALSE,"",IF((('Dvd Calendar'!$AF$896=TYPE1)*(TYPE1&lt;&gt;"")+('Dvd Calendar'!$AF$896=TYPE2)*(TYPE2&lt;&gt;"")+('Dvd Calendar'!$AF$896=TYPE3)*(TYPE3&lt;&gt;"")+('Dvd Calendar'!$AF$896=TYPE4)*(TYPE4&lt;&gt;"")+('Dvd Calendar'!$AF$896=SPECIAL_LBL)*(INC_SPECIALS="Y"))=0,"",'Dvd Calendar'!$AF$894)))</f>
        <v/>
      </c>
      <c r="AE92" s="161">
        <f>IF(FG92="","",IF(ISNUMBER('Dvd Calendar'!$AG$894)=FALSE,"",IF((('Dvd Calendar'!$AG$896=TYPE1)*(TYPE1&lt;&gt;"")+('Dvd Calendar'!$AG$896=TYPE2)*(TYPE2&lt;&gt;"")+('Dvd Calendar'!$AG$896=TYPE3)*(TYPE3&lt;&gt;"")+('Dvd Calendar'!$AG$896=TYPE4)*(TYPE4&lt;&gt;"")+('Dvd Calendar'!$AG$896=SPECIAL_LBL)*(INC_SPECIALS="Y"))=0,"",'Dvd Calendar'!$AG$894)))</f>
        <v/>
      </c>
      <c r="AF92" s="161">
        <f>IF(FH92="","",IF(ISNUMBER('Dvd Calendar'!$AH$894)=FALSE,"",IF((('Dvd Calendar'!$AH$896=TYPE1)*(TYPE1&lt;&gt;"")+('Dvd Calendar'!$AH$896=TYPE2)*(TYPE2&lt;&gt;"")+('Dvd Calendar'!$AH$896=TYPE3)*(TYPE3&lt;&gt;"")+('Dvd Calendar'!$AH$896=TYPE4)*(TYPE4&lt;&gt;"")+('Dvd Calendar'!$AH$896=SPECIAL_LBL)*(INC_SPECIALS="Y"))=0,"",'Dvd Calendar'!$AH$894)))</f>
        <v/>
      </c>
      <c r="AG92" s="161">
        <f>IF(FI92="","",IF(ISNUMBER('Dvd Calendar'!$AI$894)=FALSE,"",IF((('Dvd Calendar'!$AI$896=TYPE1)*(TYPE1&lt;&gt;"")+('Dvd Calendar'!$AI$896=TYPE2)*(TYPE2&lt;&gt;"")+('Dvd Calendar'!$AI$896=TYPE3)*(TYPE3&lt;&gt;"")+('Dvd Calendar'!$AI$896=TYPE4)*(TYPE4&lt;&gt;"")+('Dvd Calendar'!$AI$896=SPECIAL_LBL)*(INC_SPECIALS="Y"))=0,"",'Dvd Calendar'!$AI$894)))</f>
        <v/>
      </c>
      <c r="AH92" s="161">
        <f>IF(FJ92="","",IF(ISNUMBER('Dvd Calendar'!$AJ$894)=FALSE,"",IF((('Dvd Calendar'!$AJ$896=TYPE1)*(TYPE1&lt;&gt;"")+('Dvd Calendar'!$AJ$896=TYPE2)*(TYPE2&lt;&gt;"")+('Dvd Calendar'!$AJ$896=TYPE3)*(TYPE3&lt;&gt;"")+('Dvd Calendar'!$AJ$896=TYPE4)*(TYPE4&lt;&gt;"")+('Dvd Calendar'!$AJ$896=SPECIAL_LBL)*(INC_SPECIALS="Y"))=0,"",'Dvd Calendar'!$AJ$894)))</f>
        <v/>
      </c>
      <c r="AI92" s="161">
        <f>IF(FK92="","",IF(ISNUMBER('Dvd Calendar'!$AK$894)=FALSE,"",IF((('Dvd Calendar'!$AK$896=TYPE1)*(TYPE1&lt;&gt;"")+('Dvd Calendar'!$AK$896=TYPE2)*(TYPE2&lt;&gt;"")+('Dvd Calendar'!$AK$896=TYPE3)*(TYPE3&lt;&gt;"")+('Dvd Calendar'!$AK$896=TYPE4)*(TYPE4&lt;&gt;"")+('Dvd Calendar'!$AK$896=SPECIAL_LBL)*(INC_SPECIALS="Y"))=0,"",'Dvd Calendar'!$AK$894)))</f>
        <v/>
      </c>
      <c r="AJ92" s="161">
        <f>IF(FL92="","",IF(ISNUMBER('Dvd Calendar'!$AL$894)=FALSE,"",IF((('Dvd Calendar'!$AL$896=TYPE1)*(TYPE1&lt;&gt;"")+('Dvd Calendar'!$AL$896=TYPE2)*(TYPE2&lt;&gt;"")+('Dvd Calendar'!$AL$896=TYPE3)*(TYPE3&lt;&gt;"")+('Dvd Calendar'!$AL$896=TYPE4)*(TYPE4&lt;&gt;"")+('Dvd Calendar'!$AL$896=SPECIAL_LBL)*(INC_SPECIALS="Y"))=0,"",'Dvd Calendar'!$AL$894)))</f>
        <v/>
      </c>
      <c r="AK92" s="161">
        <f>IF(FM92="","",IF(ISNUMBER('Dvd Calendar'!$AM$894)=FALSE,"",IF((('Dvd Calendar'!$AM$896=TYPE1)*(TYPE1&lt;&gt;"")+('Dvd Calendar'!$AM$896=TYPE2)*(TYPE2&lt;&gt;"")+('Dvd Calendar'!$AM$896=TYPE3)*(TYPE3&lt;&gt;"")+('Dvd Calendar'!$AM$896=TYPE4)*(TYPE4&lt;&gt;"")+('Dvd Calendar'!$AM$896=SPECIAL_LBL)*(INC_SPECIALS="Y"))=0,"",'Dvd Calendar'!$AM$894)))</f>
        <v/>
      </c>
      <c r="AL92" s="161">
        <f>IF(FN92="","",IF(ISNUMBER('Dvd Calendar'!$AN$894)=FALSE,"",IF((('Dvd Calendar'!$AN$896=TYPE1)*(TYPE1&lt;&gt;"")+('Dvd Calendar'!$AN$896=TYPE2)*(TYPE2&lt;&gt;"")+('Dvd Calendar'!$AN$896=TYPE3)*(TYPE3&lt;&gt;"")+('Dvd Calendar'!$AN$896=TYPE4)*(TYPE4&lt;&gt;"")+('Dvd Calendar'!$AN$896=SPECIAL_LBL)*(INC_SPECIALS="Y"))=0,"",'Dvd Calendar'!$AN$894)))</f>
        <v/>
      </c>
      <c r="AM92" s="161">
        <f>IF(FO92="","",IF(ISNUMBER('Dvd Calendar'!$AO$894)=FALSE,"",IF((('Dvd Calendar'!$AO$896=TYPE1)*(TYPE1&lt;&gt;"")+('Dvd Calendar'!$AO$896=TYPE2)*(TYPE2&lt;&gt;"")+('Dvd Calendar'!$AO$896=TYPE3)*(TYPE3&lt;&gt;"")+('Dvd Calendar'!$AO$896=TYPE4)*(TYPE4&lt;&gt;"")+('Dvd Calendar'!$AO$896=SPECIAL_LBL)*(INC_SPECIALS="Y"))=0,"",'Dvd Calendar'!$AO$894)))</f>
        <v/>
      </c>
      <c r="AN92" s="161">
        <f>IF(FP92="","",IF(ISNUMBER('Dvd Calendar'!$AP$894)=FALSE,"",IF((('Dvd Calendar'!$AP$896=TYPE1)*(TYPE1&lt;&gt;"")+('Dvd Calendar'!$AP$896=TYPE2)*(TYPE2&lt;&gt;"")+('Dvd Calendar'!$AP$896=TYPE3)*(TYPE3&lt;&gt;"")+('Dvd Calendar'!$AP$896=TYPE4)*(TYPE4&lt;&gt;"")+('Dvd Calendar'!$AP$896=SPECIAL_LBL)*(INC_SPECIALS="Y"))=0,"",'Dvd Calendar'!$AP$894)))</f>
        <v/>
      </c>
      <c r="AO92" s="161">
        <f>IF(FQ92="","",IF(ISNUMBER('Dvd Calendar'!$AQ$894)=FALSE,"",IF((('Dvd Calendar'!$AQ$896=TYPE1)*(TYPE1&lt;&gt;"")+('Dvd Calendar'!$AQ$896=TYPE2)*(TYPE2&lt;&gt;"")+('Dvd Calendar'!$AQ$896=TYPE3)*(TYPE3&lt;&gt;"")+('Dvd Calendar'!$AQ$896=TYPE4)*(TYPE4&lt;&gt;"")+('Dvd Calendar'!$AQ$896=SPECIAL_LBL)*(INC_SPECIALS="Y"))=0,"",'Dvd Calendar'!$AQ$894)))</f>
        <v/>
      </c>
      <c r="AP92" s="161">
        <f>IF(FR92="","",IF(ISNUMBER('Dvd Calendar'!$AR$894)=FALSE,"",IF((('Dvd Calendar'!$AR$896=TYPE1)*(TYPE1&lt;&gt;"")+('Dvd Calendar'!$AR$896=TYPE2)*(TYPE2&lt;&gt;"")+('Dvd Calendar'!$AR$896=TYPE3)*(TYPE3&lt;&gt;"")+('Dvd Calendar'!$AR$896=TYPE4)*(TYPE4&lt;&gt;"")+('Dvd Calendar'!$AR$896=SPECIAL_LBL)*(INC_SPECIALS="Y"))=0,"",'Dvd Calendar'!$AR$894)))</f>
        <v/>
      </c>
      <c r="AQ92" s="161">
        <f>IF(FS92="","",IF(ISNUMBER('Dvd Calendar'!$E$899)=FALSE,"",'Dvd Calendar'!$E$899))</f>
        <v/>
      </c>
      <c r="AR92" s="161">
        <f>IF(FT92="","",IF(ISNUMBER('Dvd Calendar'!$F$899)=FALSE,"",'Dvd Calendar'!$F$899))</f>
        <v/>
      </c>
      <c r="AS92" s="161">
        <f>IF(FU92="","",IF(ISNUMBER('Dvd Calendar'!$G$899)=FALSE,"",'Dvd Calendar'!$G$899))</f>
        <v/>
      </c>
      <c r="AT92" s="161">
        <f>IF(FV92="","",IF(ISNUMBER('Dvd Calendar'!$H$899)=FALSE,"",'Dvd Calendar'!$H$899))</f>
        <v/>
      </c>
      <c r="AU92" s="161">
        <f>IF(FW92="","",IF(ISNUMBER('Dvd Calendar'!$I$899)=FALSE,"",'Dvd Calendar'!$I$899))</f>
        <v/>
      </c>
      <c r="AV92" s="161">
        <f>IF(FX92="","",IF(ISNUMBER('Dvd Calendar'!$J$899)=FALSE,"",'Dvd Calendar'!$J$899))</f>
        <v/>
      </c>
      <c r="AW92" s="161">
        <f>IF(FY92="","",IF(ISNUMBER('Dvd Calendar'!$K$899)=FALSE,"",'Dvd Calendar'!$K$899))</f>
        <v/>
      </c>
      <c r="AX92" s="161">
        <f>IF(FZ92="","",IF(ISNUMBER('Dvd Calendar'!$L$899)=FALSE,"",'Dvd Calendar'!$L$899))</f>
        <v/>
      </c>
      <c r="AY92" s="161">
        <f>IF(GA92="","",IF(ISNUMBER('Dvd Calendar'!$M$899)=FALSE,"",'Dvd Calendar'!$M$899))</f>
        <v/>
      </c>
      <c r="AZ92" s="161">
        <f>IF(GB92="","",IF(ISNUMBER('Dvd Calendar'!$N$899)=FALSE,"",'Dvd Calendar'!$N$899))</f>
        <v/>
      </c>
      <c r="BA92" s="161">
        <f>IF(GC92="","",IF(ISNUMBER('Dvd Calendar'!$O$899)=FALSE,"",'Dvd Calendar'!$O$899))</f>
        <v/>
      </c>
      <c r="BB92" s="161">
        <f>IF(GD92="","",IF(ISNUMBER('Dvd Calendar'!$P$899)=FALSE,"",'Dvd Calendar'!$P$899))</f>
        <v/>
      </c>
      <c r="BC92" s="161">
        <f>IF(GE92="","",IF(ISNUMBER('Dvd Calendar'!$Q$899)=FALSE,"",'Dvd Calendar'!$Q$899))</f>
        <v/>
      </c>
      <c r="BD92" s="161">
        <f>IF(GF92="","",IF(ISNUMBER('Dvd Calendar'!$R$899)=FALSE,"",'Dvd Calendar'!$R$899))</f>
        <v/>
      </c>
      <c r="BE92" s="161">
        <f>IF(GG92="","",IF(ISNUMBER('Dvd Calendar'!$S$899)=FALSE,"",'Dvd Calendar'!$S$899))</f>
        <v/>
      </c>
      <c r="BF92" s="161">
        <f>IF(GH92="","",IF(ISNUMBER('Dvd Calendar'!$T$899)=FALSE,"",'Dvd Calendar'!$T$899))</f>
        <v/>
      </c>
      <c r="BG92" s="161">
        <f>IF(GI92="","",IF(ISNUMBER('Dvd Calendar'!$U$899)=FALSE,"",'Dvd Calendar'!$U$899))</f>
        <v/>
      </c>
      <c r="BH92" s="161">
        <f>IF(GJ92="","",IF(ISNUMBER('Dvd Calendar'!$V$899)=FALSE,"",'Dvd Calendar'!$V$899))</f>
        <v/>
      </c>
      <c r="BI92" s="161">
        <f>IF(GK92="","",IF(ISNUMBER('Dvd Calendar'!$W$899)=FALSE,"",'Dvd Calendar'!$W$899))</f>
        <v/>
      </c>
      <c r="BJ92" s="161">
        <f>IF(GL92="","",IF(ISNUMBER('Dvd Calendar'!$X$899)=FALSE,"",'Dvd Calendar'!$X$899))</f>
        <v/>
      </c>
      <c r="BK92" s="161">
        <f>IF(GM92="","",IF(ISNUMBER('Dvd Calendar'!$Y$899)=FALSE,"",'Dvd Calendar'!$Y$899))</f>
        <v/>
      </c>
      <c r="BL92" s="161">
        <f>IF(GN92="","",IF(ISNUMBER('Dvd Calendar'!$Z$899)=FALSE,"",'Dvd Calendar'!$Z$899))</f>
        <v/>
      </c>
      <c r="BM92" s="161">
        <f>IF(GO92="","",IF(ISNUMBER('Dvd Calendar'!$AA$899)=FALSE,"",'Dvd Calendar'!$AA$899))</f>
        <v/>
      </c>
      <c r="BN92" s="161">
        <f>IF(GP92="","",IF(ISNUMBER('Dvd Calendar'!$AB$899)=FALSE,"",'Dvd Calendar'!$AB$899))</f>
        <v/>
      </c>
      <c r="BO92" s="161">
        <f>IF(GQ92="","",IF(ISNUMBER('Dvd Calendar'!$AC$899)=FALSE,"",'Dvd Calendar'!$AC$899))</f>
        <v/>
      </c>
      <c r="BQ92" s="161">
        <f>IF(C92="","",IFERROR(C92*HSI!$B$87*HSI!$G$87/HSI!$B$3,""))</f>
        <v/>
      </c>
      <c r="BR92" s="161">
        <f>IF(D92="","",IFERROR(D92*HSI!$B$87*HSI!$G$87/HSI!$B$3,""))</f>
        <v/>
      </c>
      <c r="BS92" s="161">
        <f>IF(E92="","",IFERROR(E92*HSI!$B$87*HSI!$G$87/HSI!$B$3,""))</f>
        <v/>
      </c>
      <c r="BT92" s="161">
        <f>IF(F92="","",IFERROR(F92*HSI!$B$87*HSI!$G$87/HSI!$B$3,""))</f>
        <v/>
      </c>
      <c r="BU92" s="161">
        <f>IF(G92="","",IFERROR(G92*HSI!$B$87*HSI!$G$87/HSI!$B$3,""))</f>
        <v/>
      </c>
      <c r="BV92" s="161">
        <f>IF(H92="","",IFERROR(H92*HSI!$B$87*HSI!$G$87/HSI!$B$3,""))</f>
        <v/>
      </c>
      <c r="BW92" s="161">
        <f>IF(I92="","",IFERROR(I92*HSI!$B$87*HSI!$G$87/HSI!$B$3,""))</f>
        <v/>
      </c>
      <c r="BX92" s="161">
        <f>IF(J92="","",IFERROR(J92*HSI!$B$87*HSI!$G$87/HSI!$B$3,""))</f>
        <v/>
      </c>
      <c r="BY92" s="161">
        <f>IF(K92="","",IFERROR(K92*HSI!$B$87*HSI!$G$87/HSI!$B$3,""))</f>
        <v/>
      </c>
      <c r="BZ92" s="161">
        <f>IF(L92="","",IFERROR(L92*HSI!$B$87*HSI!$G$87/HSI!$B$3,""))</f>
        <v/>
      </c>
      <c r="CA92" s="161">
        <f>IF(M92="","",IFERROR(M92*HSI!$B$87*HSI!$G$87/HSI!$B$3,""))</f>
        <v/>
      </c>
      <c r="CB92" s="161">
        <f>IF(N92="","",IFERROR(N92*HSI!$B$87*HSI!$G$87/HSI!$B$3,""))</f>
        <v/>
      </c>
      <c r="CC92" s="161">
        <f>IF(O92="","",IFERROR(O92*HSI!$B$87*HSI!$G$87/HSI!$B$3,""))</f>
        <v/>
      </c>
      <c r="CD92" s="161">
        <f>IF(P92="","",IFERROR(P92*HSI!$B$87*HSI!$G$87/HSI!$B$3,""))</f>
        <v/>
      </c>
      <c r="CE92" s="161">
        <f>IF(Q92="","",IFERROR(Q92*HSI!$B$87*HSI!$G$87/HSI!$B$3,""))</f>
        <v/>
      </c>
      <c r="CF92" s="161">
        <f>IF(R92="","",IFERROR(R92*HSI!$B$87*HSI!$G$87/HSI!$B$3,""))</f>
        <v/>
      </c>
      <c r="CG92" s="161">
        <f>IF(S92="","",IFERROR(S92*HSI!$B$87*HSI!$G$87/HSI!$B$3,""))</f>
        <v/>
      </c>
      <c r="CH92" s="161">
        <f>IF(T92="","",IFERROR(T92*HSI!$B$87*HSI!$G$87/HSI!$B$3,""))</f>
        <v/>
      </c>
      <c r="CI92" s="161">
        <f>IF(U92="","",IFERROR(U92*HSI!$B$87*HSI!$G$87/HSI!$B$3,""))</f>
        <v/>
      </c>
      <c r="CJ92" s="161">
        <f>IF(V92="","",IFERROR(V92*HSI!$B$87*HSI!$G$87/HSI!$B$3,""))</f>
        <v/>
      </c>
      <c r="CK92" s="161">
        <f>IF(W92="","",IFERROR(W92*HSI!$B$87*HSI!$G$87/HSI!$B$3,""))</f>
        <v/>
      </c>
      <c r="CL92" s="161">
        <f>IF(X92="","",IFERROR(X92*HSI!$B$87*HSI!$G$87/HSI!$B$3,""))</f>
        <v/>
      </c>
      <c r="CM92" s="161">
        <f>IF(Y92="","",IFERROR(Y92*HSI!$B$87*HSI!$G$87/HSI!$B$3,""))</f>
        <v/>
      </c>
      <c r="CN92" s="161">
        <f>IF(Z92="","",IFERROR(Z92*HSI!$B$87*HSI!$G$87/HSI!$B$3,""))</f>
        <v/>
      </c>
      <c r="CO92" s="161">
        <f>IF(AA92="","",IFERROR(AA92*HSI!$B$87*HSI!$G$87/HSI!$B$3,""))</f>
        <v/>
      </c>
      <c r="CP92" s="161">
        <f>IF(AB92="","",IFERROR(AB92*HSI!$B$87*HSI!$G$87/HSI!$B$3,""))</f>
        <v/>
      </c>
      <c r="CQ92" s="161">
        <f>IF(AC92="","",IFERROR(AC92*HSI!$B$87*HSI!$G$87/HSI!$B$3,""))</f>
        <v/>
      </c>
      <c r="CR92" s="161">
        <f>IF(AD92="","",IFERROR(AD92*HSI!$B$87*HSI!$G$87/HSI!$B$3,""))</f>
        <v/>
      </c>
      <c r="CS92" s="161">
        <f>IF(AE92="","",IFERROR(AE92*HSI!$B$87*HSI!$G$87/HSI!$B$3,""))</f>
        <v/>
      </c>
      <c r="CT92" s="161">
        <f>IF(AF92="","",IFERROR(AF92*HSI!$B$87*HSI!$G$87/HSI!$B$3,""))</f>
        <v/>
      </c>
      <c r="CU92" s="161">
        <f>IF(AG92="","",IFERROR(AG92*HSI!$B$87*HSI!$G$87/HSI!$B$3,""))</f>
        <v/>
      </c>
      <c r="CV92" s="161">
        <f>IF(AH92="","",IFERROR(AH92*HSI!$B$87*HSI!$G$87/HSI!$B$3,""))</f>
        <v/>
      </c>
      <c r="CW92" s="161">
        <f>IF(AI92="","",IFERROR(AI92*HSI!$B$87*HSI!$G$87/HSI!$B$3,""))</f>
        <v/>
      </c>
      <c r="CX92" s="161">
        <f>IF(AJ92="","",IFERROR(AJ92*HSI!$B$87*HSI!$G$87/HSI!$B$3,""))</f>
        <v/>
      </c>
      <c r="CY92" s="161">
        <f>IF(AK92="","",IFERROR(AK92*HSI!$B$87*HSI!$G$87/HSI!$B$3,""))</f>
        <v/>
      </c>
      <c r="CZ92" s="161">
        <f>IF(AL92="","",IFERROR(AL92*HSI!$B$87*HSI!$G$87/HSI!$B$3,""))</f>
        <v/>
      </c>
      <c r="DA92" s="161">
        <f>IF(AM92="","",IFERROR(AM92*HSI!$B$87*HSI!$G$87/HSI!$B$3,""))</f>
        <v/>
      </c>
      <c r="DB92" s="161">
        <f>IF(AN92="","",IFERROR(AN92*HSI!$B$87*HSI!$G$87/HSI!$B$3,""))</f>
        <v/>
      </c>
      <c r="DC92" s="161">
        <f>IF(AO92="","",IFERROR(AO92*HSI!$B$87*HSI!$G$87/HSI!$B$3,""))</f>
        <v/>
      </c>
      <c r="DD92" s="161">
        <f>IF(AP92="","",IFERROR(AP92*HSI!$B$87*HSI!$G$87/HSI!$B$3,""))</f>
        <v/>
      </c>
      <c r="DE92" s="161">
        <f>IF(AQ92="","",IFERROR(AQ92*HSI!$B$87*HSI!$G$87/HSI!$B$3,""))</f>
        <v/>
      </c>
      <c r="DF92" s="161">
        <f>IF(AR92="","",IFERROR(AR92*HSI!$B$87*HSI!$G$87/HSI!$B$3,""))</f>
        <v/>
      </c>
      <c r="DG92" s="161">
        <f>IF(AS92="","",IFERROR(AS92*HSI!$B$87*HSI!$G$87/HSI!$B$3,""))</f>
        <v/>
      </c>
      <c r="DH92" s="161">
        <f>IF(AT92="","",IFERROR(AT92*HSI!$B$87*HSI!$G$87/HSI!$B$3,""))</f>
        <v/>
      </c>
      <c r="DI92" s="161">
        <f>IF(AU92="","",IFERROR(AU92*HSI!$B$87*HSI!$G$87/HSI!$B$3,""))</f>
        <v/>
      </c>
      <c r="DJ92" s="161">
        <f>IF(AV92="","",IFERROR(AV92*HSI!$B$87*HSI!$G$87/HSI!$B$3,""))</f>
        <v/>
      </c>
      <c r="DK92" s="161">
        <f>IF(AW92="","",IFERROR(AW92*HSI!$B$87*HSI!$G$87/HSI!$B$3,""))</f>
        <v/>
      </c>
      <c r="DL92" s="161">
        <f>IF(AX92="","",IFERROR(AX92*HSI!$B$87*HSI!$G$87/HSI!$B$3,""))</f>
        <v/>
      </c>
      <c r="DM92" s="161">
        <f>IF(AY92="","",IFERROR(AY92*HSI!$B$87*HSI!$G$87/HSI!$B$3,""))</f>
        <v/>
      </c>
      <c r="DN92" s="161">
        <f>IF(AZ92="","",IFERROR(AZ92*HSI!$B$87*HSI!$G$87/HSI!$B$3,""))</f>
        <v/>
      </c>
      <c r="DO92" s="161">
        <f>IF(BA92="","",IFERROR(BA92*HSI!$B$87*HSI!$G$87/HSI!$B$3,""))</f>
        <v/>
      </c>
      <c r="DP92" s="161">
        <f>IF(BB92="","",IFERROR(BB92*HSI!$B$87*HSI!$G$87/HSI!$B$3,""))</f>
        <v/>
      </c>
      <c r="DQ92" s="161">
        <f>IF(BC92="","",IFERROR(BC92*HSI!$B$87*HSI!$G$87/HSI!$B$3,""))</f>
        <v/>
      </c>
      <c r="DR92" s="161">
        <f>IF(BD92="","",IFERROR(BD92*HSI!$B$87*HSI!$G$87/HSI!$B$3,""))</f>
        <v/>
      </c>
      <c r="DS92" s="161">
        <f>IF(BE92="","",IFERROR(BE92*HSI!$B$87*HSI!$G$87/HSI!$B$3,""))</f>
        <v/>
      </c>
      <c r="DT92" s="161">
        <f>IF(BF92="","",IFERROR(BF92*HSI!$B$87*HSI!$G$87/HSI!$B$3,""))</f>
        <v/>
      </c>
      <c r="DU92" s="161">
        <f>IF(BG92="","",IFERROR(BG92*HSI!$B$87*HSI!$G$87/HSI!$B$3,""))</f>
        <v/>
      </c>
      <c r="DV92" s="161">
        <f>IF(BH92="","",IFERROR(BH92*HSI!$B$87*HSI!$G$87/HSI!$B$3,""))</f>
        <v/>
      </c>
      <c r="DW92" s="161">
        <f>IF(BI92="","",IFERROR(BI92*HSI!$B$87*HSI!$G$87/HSI!$B$3,""))</f>
        <v/>
      </c>
      <c r="DX92" s="161">
        <f>IF(BJ92="","",IFERROR(BJ92*HSI!$B$87*HSI!$G$87/HSI!$B$3,""))</f>
        <v/>
      </c>
      <c r="DY92" s="161">
        <f>IF(BK92="","",IFERROR(BK92*HSI!$B$87*HSI!$G$87/HSI!$B$3,""))</f>
        <v/>
      </c>
      <c r="DZ92" s="161">
        <f>IF(BL92="","",IFERROR(BL92*HSI!$B$87*HSI!$G$87/HSI!$B$3,""))</f>
        <v/>
      </c>
      <c r="EA92" s="161">
        <f>IF(BM92="","",IFERROR(BM92*HSI!$B$87*HSI!$G$87/HSI!$B$3,""))</f>
        <v/>
      </c>
      <c r="EB92" s="161">
        <f>IF(BN92="","",IFERROR(BN92*HSI!$B$87*HSI!$G$87/HSI!$B$3,""))</f>
        <v/>
      </c>
      <c r="EC92" s="161">
        <f>IF(BO92="","",IFERROR(BO92*HSI!$B$87*HSI!$G$87/HSI!$B$3,""))</f>
        <v/>
      </c>
      <c r="EE92" s="121">
        <f>IF(N('Dvd Calendar'!$E$891)=0,"",IF(('Dvd Calendar'!$E$891&gt;=GRID_FROM)*('Dvd Calendar'!$E$891&lt;=GRID_TO)*((('Dvd Calendar'!$E$891&lt;=VAL_DATE)+(COUNTIF('Dvd Calendar'!$E$898:$AR$898,'Dvd Calendar'!$E$891)=0))&gt;0)=0,"",'Dvd Calendar'!$E$891*1000000000+ISNUMBER('Dvd Calendar'!$E$894)*100000000+('Dvd Calendar'!$E$896=SPECIAL_LBL)*10000000+(N('Dvd Calendar'!$E$890)&gt;0)*(N('Dvd Calendar'!$E$890)&lt;=VAL_SERIAL)*1000000+81*1000+1))</f>
        <v/>
      </c>
      <c r="EF92" s="121">
        <f>IF(N('Dvd Calendar'!$F$891)=0,"",IF(('Dvd Calendar'!$F$891&gt;=GRID_FROM)*('Dvd Calendar'!$F$891&lt;=GRID_TO)*((('Dvd Calendar'!$F$891&lt;=VAL_DATE)+(COUNTIF('Dvd Calendar'!$E$898:$AR$898,'Dvd Calendar'!$F$891)=0))&gt;0)=0,"",'Dvd Calendar'!$F$891*1000000000+ISNUMBER('Dvd Calendar'!$F$894)*100000000+('Dvd Calendar'!$F$896=SPECIAL_LBL)*10000000+(N('Dvd Calendar'!$F$890)&gt;0)*(N('Dvd Calendar'!$F$890)&lt;=VAL_SERIAL)*1000000+81*1000+2))</f>
        <v/>
      </c>
      <c r="EG92" s="121">
        <f>IF(N('Dvd Calendar'!$G$891)=0,"",IF(('Dvd Calendar'!$G$891&gt;=GRID_FROM)*('Dvd Calendar'!$G$891&lt;=GRID_TO)*((('Dvd Calendar'!$G$891&lt;=VAL_DATE)+(COUNTIF('Dvd Calendar'!$E$898:$AR$898,'Dvd Calendar'!$G$891)=0))&gt;0)=0,"",'Dvd Calendar'!$G$891*1000000000+ISNUMBER('Dvd Calendar'!$G$894)*100000000+('Dvd Calendar'!$G$896=SPECIAL_LBL)*10000000+(N('Dvd Calendar'!$G$890)&gt;0)*(N('Dvd Calendar'!$G$890)&lt;=VAL_SERIAL)*1000000+81*1000+3))</f>
        <v/>
      </c>
      <c r="EH92" s="121">
        <f>IF(N('Dvd Calendar'!$H$891)=0,"",IF(('Dvd Calendar'!$H$891&gt;=GRID_FROM)*('Dvd Calendar'!$H$891&lt;=GRID_TO)*((('Dvd Calendar'!$H$891&lt;=VAL_DATE)+(COUNTIF('Dvd Calendar'!$E$898:$AR$898,'Dvd Calendar'!$H$891)=0))&gt;0)=0,"",'Dvd Calendar'!$H$891*1000000000+ISNUMBER('Dvd Calendar'!$H$894)*100000000+('Dvd Calendar'!$H$896=SPECIAL_LBL)*10000000+(N('Dvd Calendar'!$H$890)&gt;0)*(N('Dvd Calendar'!$H$890)&lt;=VAL_SERIAL)*1000000+81*1000+4))</f>
        <v/>
      </c>
      <c r="EI92" s="121">
        <f>IF(N('Dvd Calendar'!$I$891)=0,"",IF(('Dvd Calendar'!$I$891&gt;=GRID_FROM)*('Dvd Calendar'!$I$891&lt;=GRID_TO)*((('Dvd Calendar'!$I$891&lt;=VAL_DATE)+(COUNTIF('Dvd Calendar'!$E$898:$AR$898,'Dvd Calendar'!$I$891)=0))&gt;0)=0,"",'Dvd Calendar'!$I$891*1000000000+ISNUMBER('Dvd Calendar'!$I$894)*100000000+('Dvd Calendar'!$I$896=SPECIAL_LBL)*10000000+(N('Dvd Calendar'!$I$890)&gt;0)*(N('Dvd Calendar'!$I$890)&lt;=VAL_SERIAL)*1000000+81*1000+5))</f>
        <v/>
      </c>
      <c r="EJ92" s="121">
        <f>IF(N('Dvd Calendar'!$J$891)=0,"",IF(('Dvd Calendar'!$J$891&gt;=GRID_FROM)*('Dvd Calendar'!$J$891&lt;=GRID_TO)*((('Dvd Calendar'!$J$891&lt;=VAL_DATE)+(COUNTIF('Dvd Calendar'!$E$898:$AR$898,'Dvd Calendar'!$J$891)=0))&gt;0)=0,"",'Dvd Calendar'!$J$891*1000000000+ISNUMBER('Dvd Calendar'!$J$894)*100000000+('Dvd Calendar'!$J$896=SPECIAL_LBL)*10000000+(N('Dvd Calendar'!$J$890)&gt;0)*(N('Dvd Calendar'!$J$890)&lt;=VAL_SERIAL)*1000000+81*1000+6))</f>
        <v/>
      </c>
      <c r="EK92" s="121">
        <f>IF(N('Dvd Calendar'!$K$891)=0,"",IF(('Dvd Calendar'!$K$891&gt;=GRID_FROM)*('Dvd Calendar'!$K$891&lt;=GRID_TO)*((('Dvd Calendar'!$K$891&lt;=VAL_DATE)+(COUNTIF('Dvd Calendar'!$E$898:$AR$898,'Dvd Calendar'!$K$891)=0))&gt;0)=0,"",'Dvd Calendar'!$K$891*1000000000+ISNUMBER('Dvd Calendar'!$K$894)*100000000+('Dvd Calendar'!$K$896=SPECIAL_LBL)*10000000+(N('Dvd Calendar'!$K$890)&gt;0)*(N('Dvd Calendar'!$K$890)&lt;=VAL_SERIAL)*1000000+81*1000+7))</f>
        <v/>
      </c>
      <c r="EL92" s="121">
        <f>IF(N('Dvd Calendar'!$L$891)=0,"",IF(('Dvd Calendar'!$L$891&gt;=GRID_FROM)*('Dvd Calendar'!$L$891&lt;=GRID_TO)*((('Dvd Calendar'!$L$891&lt;=VAL_DATE)+(COUNTIF('Dvd Calendar'!$E$898:$AR$898,'Dvd Calendar'!$L$891)=0))&gt;0)=0,"",'Dvd Calendar'!$L$891*1000000000+ISNUMBER('Dvd Calendar'!$L$894)*100000000+('Dvd Calendar'!$L$896=SPECIAL_LBL)*10000000+(N('Dvd Calendar'!$L$890)&gt;0)*(N('Dvd Calendar'!$L$890)&lt;=VAL_SERIAL)*1000000+81*1000+8))</f>
        <v/>
      </c>
      <c r="EM92" s="121">
        <f>IF(N('Dvd Calendar'!$M$891)=0,"",IF(('Dvd Calendar'!$M$891&gt;=GRID_FROM)*('Dvd Calendar'!$M$891&lt;=GRID_TO)*((('Dvd Calendar'!$M$891&lt;=VAL_DATE)+(COUNTIF('Dvd Calendar'!$E$898:$AR$898,'Dvd Calendar'!$M$891)=0))&gt;0)=0,"",'Dvd Calendar'!$M$891*1000000000+ISNUMBER('Dvd Calendar'!$M$894)*100000000+('Dvd Calendar'!$M$896=SPECIAL_LBL)*10000000+(N('Dvd Calendar'!$M$890)&gt;0)*(N('Dvd Calendar'!$M$890)&lt;=VAL_SERIAL)*1000000+81*1000+9))</f>
        <v/>
      </c>
      <c r="EN92" s="121">
        <f>IF(N('Dvd Calendar'!$N$891)=0,"",IF(('Dvd Calendar'!$N$891&gt;=GRID_FROM)*('Dvd Calendar'!$N$891&lt;=GRID_TO)*((('Dvd Calendar'!$N$891&lt;=VAL_DATE)+(COUNTIF('Dvd Calendar'!$E$898:$AR$898,'Dvd Calendar'!$N$891)=0))&gt;0)=0,"",'Dvd Calendar'!$N$891*1000000000+ISNUMBER('Dvd Calendar'!$N$894)*100000000+('Dvd Calendar'!$N$896=SPECIAL_LBL)*10000000+(N('Dvd Calendar'!$N$890)&gt;0)*(N('Dvd Calendar'!$N$890)&lt;=VAL_SERIAL)*1000000+81*1000+10))</f>
        <v/>
      </c>
      <c r="EO92" s="121">
        <f>IF(N('Dvd Calendar'!$O$891)=0,"",IF(('Dvd Calendar'!$O$891&gt;=GRID_FROM)*('Dvd Calendar'!$O$891&lt;=GRID_TO)*((('Dvd Calendar'!$O$891&lt;=VAL_DATE)+(COUNTIF('Dvd Calendar'!$E$898:$AR$898,'Dvd Calendar'!$O$891)=0))&gt;0)=0,"",'Dvd Calendar'!$O$891*1000000000+ISNUMBER('Dvd Calendar'!$O$894)*100000000+('Dvd Calendar'!$O$896=SPECIAL_LBL)*10000000+(N('Dvd Calendar'!$O$890)&gt;0)*(N('Dvd Calendar'!$O$890)&lt;=VAL_SERIAL)*1000000+81*1000+11))</f>
        <v/>
      </c>
      <c r="EP92" s="121">
        <f>IF(N('Dvd Calendar'!$P$891)=0,"",IF(('Dvd Calendar'!$P$891&gt;=GRID_FROM)*('Dvd Calendar'!$P$891&lt;=GRID_TO)*((('Dvd Calendar'!$P$891&lt;=VAL_DATE)+(COUNTIF('Dvd Calendar'!$E$898:$AR$898,'Dvd Calendar'!$P$891)=0))&gt;0)=0,"",'Dvd Calendar'!$P$891*1000000000+ISNUMBER('Dvd Calendar'!$P$894)*100000000+('Dvd Calendar'!$P$896=SPECIAL_LBL)*10000000+(N('Dvd Calendar'!$P$890)&gt;0)*(N('Dvd Calendar'!$P$890)&lt;=VAL_SERIAL)*1000000+81*1000+12))</f>
        <v/>
      </c>
      <c r="EQ92" s="121">
        <f>IF(N('Dvd Calendar'!$Q$891)=0,"",IF(('Dvd Calendar'!$Q$891&gt;=GRID_FROM)*('Dvd Calendar'!$Q$891&lt;=GRID_TO)*((('Dvd Calendar'!$Q$891&lt;=VAL_DATE)+(COUNTIF('Dvd Calendar'!$E$898:$AR$898,'Dvd Calendar'!$Q$891)=0))&gt;0)=0,"",'Dvd Calendar'!$Q$891*1000000000+ISNUMBER('Dvd Calendar'!$Q$894)*100000000+('Dvd Calendar'!$Q$896=SPECIAL_LBL)*10000000+(N('Dvd Calendar'!$Q$890)&gt;0)*(N('Dvd Calendar'!$Q$890)&lt;=VAL_SERIAL)*1000000+81*1000+13))</f>
        <v/>
      </c>
      <c r="ER92" s="121">
        <f>IF(N('Dvd Calendar'!$R$891)=0,"",IF(('Dvd Calendar'!$R$891&gt;=GRID_FROM)*('Dvd Calendar'!$R$891&lt;=GRID_TO)*((('Dvd Calendar'!$R$891&lt;=VAL_DATE)+(COUNTIF('Dvd Calendar'!$E$898:$AR$898,'Dvd Calendar'!$R$891)=0))&gt;0)=0,"",'Dvd Calendar'!$R$891*1000000000+ISNUMBER('Dvd Calendar'!$R$894)*100000000+('Dvd Calendar'!$R$896=SPECIAL_LBL)*10000000+(N('Dvd Calendar'!$R$890)&gt;0)*(N('Dvd Calendar'!$R$890)&lt;=VAL_SERIAL)*1000000+81*1000+14))</f>
        <v/>
      </c>
      <c r="ES92" s="121">
        <f>IF(N('Dvd Calendar'!$S$891)=0,"",IF(('Dvd Calendar'!$S$891&gt;=GRID_FROM)*('Dvd Calendar'!$S$891&lt;=GRID_TO)*((('Dvd Calendar'!$S$891&lt;=VAL_DATE)+(COUNTIF('Dvd Calendar'!$E$898:$AR$898,'Dvd Calendar'!$S$891)=0))&gt;0)=0,"",'Dvd Calendar'!$S$891*1000000000+ISNUMBER('Dvd Calendar'!$S$894)*100000000+('Dvd Calendar'!$S$896=SPECIAL_LBL)*10000000+(N('Dvd Calendar'!$S$890)&gt;0)*(N('Dvd Calendar'!$S$890)&lt;=VAL_SERIAL)*1000000+81*1000+15))</f>
        <v/>
      </c>
      <c r="ET92" s="121">
        <f>IF(N('Dvd Calendar'!$T$891)=0,"",IF(('Dvd Calendar'!$T$891&gt;=GRID_FROM)*('Dvd Calendar'!$T$891&lt;=GRID_TO)*((('Dvd Calendar'!$T$891&lt;=VAL_DATE)+(COUNTIF('Dvd Calendar'!$E$898:$AR$898,'Dvd Calendar'!$T$891)=0))&gt;0)=0,"",'Dvd Calendar'!$T$891*1000000000+ISNUMBER('Dvd Calendar'!$T$894)*100000000+('Dvd Calendar'!$T$896=SPECIAL_LBL)*10000000+(N('Dvd Calendar'!$T$890)&gt;0)*(N('Dvd Calendar'!$T$890)&lt;=VAL_SERIAL)*1000000+81*1000+16))</f>
        <v/>
      </c>
      <c r="EU92" s="121">
        <f>IF(N('Dvd Calendar'!$U$891)=0,"",IF(('Dvd Calendar'!$U$891&gt;=GRID_FROM)*('Dvd Calendar'!$U$891&lt;=GRID_TO)*((('Dvd Calendar'!$U$891&lt;=VAL_DATE)+(COUNTIF('Dvd Calendar'!$E$898:$AR$898,'Dvd Calendar'!$U$891)=0))&gt;0)=0,"",'Dvd Calendar'!$U$891*1000000000+ISNUMBER('Dvd Calendar'!$U$894)*100000000+('Dvd Calendar'!$U$896=SPECIAL_LBL)*10000000+(N('Dvd Calendar'!$U$890)&gt;0)*(N('Dvd Calendar'!$U$890)&lt;=VAL_SERIAL)*1000000+81*1000+17))</f>
        <v/>
      </c>
      <c r="EV92" s="121">
        <f>IF(N('Dvd Calendar'!$V$891)=0,"",IF(('Dvd Calendar'!$V$891&gt;=GRID_FROM)*('Dvd Calendar'!$V$891&lt;=GRID_TO)*((('Dvd Calendar'!$V$891&lt;=VAL_DATE)+(COUNTIF('Dvd Calendar'!$E$898:$AR$898,'Dvd Calendar'!$V$891)=0))&gt;0)=0,"",'Dvd Calendar'!$V$891*1000000000+ISNUMBER('Dvd Calendar'!$V$894)*100000000+('Dvd Calendar'!$V$896=SPECIAL_LBL)*10000000+(N('Dvd Calendar'!$V$890)&gt;0)*(N('Dvd Calendar'!$V$890)&lt;=VAL_SERIAL)*1000000+81*1000+18))</f>
        <v/>
      </c>
      <c r="EW92" s="121">
        <f>IF(N('Dvd Calendar'!$W$891)=0,"",IF(('Dvd Calendar'!$W$891&gt;=GRID_FROM)*('Dvd Calendar'!$W$891&lt;=GRID_TO)*((('Dvd Calendar'!$W$891&lt;=VAL_DATE)+(COUNTIF('Dvd Calendar'!$E$898:$AR$898,'Dvd Calendar'!$W$891)=0))&gt;0)=0,"",'Dvd Calendar'!$W$891*1000000000+ISNUMBER('Dvd Calendar'!$W$894)*100000000+('Dvd Calendar'!$W$896=SPECIAL_LBL)*10000000+(N('Dvd Calendar'!$W$890)&gt;0)*(N('Dvd Calendar'!$W$890)&lt;=VAL_SERIAL)*1000000+81*1000+19))</f>
        <v/>
      </c>
      <c r="EX92" s="121">
        <f>IF(N('Dvd Calendar'!$X$891)=0,"",IF(('Dvd Calendar'!$X$891&gt;=GRID_FROM)*('Dvd Calendar'!$X$891&lt;=GRID_TO)*((('Dvd Calendar'!$X$891&lt;=VAL_DATE)+(COUNTIF('Dvd Calendar'!$E$898:$AR$898,'Dvd Calendar'!$X$891)=0))&gt;0)=0,"",'Dvd Calendar'!$X$891*1000000000+ISNUMBER('Dvd Calendar'!$X$894)*100000000+('Dvd Calendar'!$X$896=SPECIAL_LBL)*10000000+(N('Dvd Calendar'!$X$890)&gt;0)*(N('Dvd Calendar'!$X$890)&lt;=VAL_SERIAL)*1000000+81*1000+20))</f>
        <v/>
      </c>
      <c r="EY92" s="121">
        <f>IF(N('Dvd Calendar'!$Y$891)=0,"",IF(('Dvd Calendar'!$Y$891&gt;=GRID_FROM)*('Dvd Calendar'!$Y$891&lt;=GRID_TO)*((('Dvd Calendar'!$Y$891&lt;=VAL_DATE)+(COUNTIF('Dvd Calendar'!$E$898:$AR$898,'Dvd Calendar'!$Y$891)=0))&gt;0)=0,"",'Dvd Calendar'!$Y$891*1000000000+ISNUMBER('Dvd Calendar'!$Y$894)*100000000+('Dvd Calendar'!$Y$896=SPECIAL_LBL)*10000000+(N('Dvd Calendar'!$Y$890)&gt;0)*(N('Dvd Calendar'!$Y$890)&lt;=VAL_SERIAL)*1000000+81*1000+21))</f>
        <v/>
      </c>
      <c r="EZ92" s="121">
        <f>IF(N('Dvd Calendar'!$Z$891)=0,"",IF(('Dvd Calendar'!$Z$891&gt;=GRID_FROM)*('Dvd Calendar'!$Z$891&lt;=GRID_TO)*((('Dvd Calendar'!$Z$891&lt;=VAL_DATE)+(COUNTIF('Dvd Calendar'!$E$898:$AR$898,'Dvd Calendar'!$Z$891)=0))&gt;0)=0,"",'Dvd Calendar'!$Z$891*1000000000+ISNUMBER('Dvd Calendar'!$Z$894)*100000000+('Dvd Calendar'!$Z$896=SPECIAL_LBL)*10000000+(N('Dvd Calendar'!$Z$890)&gt;0)*(N('Dvd Calendar'!$Z$890)&lt;=VAL_SERIAL)*1000000+81*1000+22))</f>
        <v/>
      </c>
      <c r="FA92" s="121">
        <f>IF(N('Dvd Calendar'!$AA$891)=0,"",IF(('Dvd Calendar'!$AA$891&gt;=GRID_FROM)*('Dvd Calendar'!$AA$891&lt;=GRID_TO)*((('Dvd Calendar'!$AA$891&lt;=VAL_DATE)+(COUNTIF('Dvd Calendar'!$E$898:$AR$898,'Dvd Calendar'!$AA$891)=0))&gt;0)=0,"",'Dvd Calendar'!$AA$891*1000000000+ISNUMBER('Dvd Calendar'!$AA$894)*100000000+('Dvd Calendar'!$AA$896=SPECIAL_LBL)*10000000+(N('Dvd Calendar'!$AA$890)&gt;0)*(N('Dvd Calendar'!$AA$890)&lt;=VAL_SERIAL)*1000000+81*1000+23))</f>
        <v/>
      </c>
      <c r="FB92" s="121">
        <f>IF(N('Dvd Calendar'!$AB$891)=0,"",IF(('Dvd Calendar'!$AB$891&gt;=GRID_FROM)*('Dvd Calendar'!$AB$891&lt;=GRID_TO)*((('Dvd Calendar'!$AB$891&lt;=VAL_DATE)+(COUNTIF('Dvd Calendar'!$E$898:$AR$898,'Dvd Calendar'!$AB$891)=0))&gt;0)=0,"",'Dvd Calendar'!$AB$891*1000000000+ISNUMBER('Dvd Calendar'!$AB$894)*100000000+('Dvd Calendar'!$AB$896=SPECIAL_LBL)*10000000+(N('Dvd Calendar'!$AB$890)&gt;0)*(N('Dvd Calendar'!$AB$890)&lt;=VAL_SERIAL)*1000000+81*1000+24))</f>
        <v/>
      </c>
      <c r="FC92" s="121">
        <f>IF(N('Dvd Calendar'!$AC$891)=0,"",IF(('Dvd Calendar'!$AC$891&gt;=GRID_FROM)*('Dvd Calendar'!$AC$891&lt;=GRID_TO)*((('Dvd Calendar'!$AC$891&lt;=VAL_DATE)+(COUNTIF('Dvd Calendar'!$E$898:$AR$898,'Dvd Calendar'!$AC$891)=0))&gt;0)=0,"",'Dvd Calendar'!$AC$891*1000000000+ISNUMBER('Dvd Calendar'!$AC$894)*100000000+('Dvd Calendar'!$AC$896=SPECIAL_LBL)*10000000+(N('Dvd Calendar'!$AC$890)&gt;0)*(N('Dvd Calendar'!$AC$890)&lt;=VAL_SERIAL)*1000000+81*1000+25))</f>
        <v/>
      </c>
      <c r="FD92" s="121">
        <f>IF(N('Dvd Calendar'!$AD$891)=0,"",IF(('Dvd Calendar'!$AD$891&gt;=GRID_FROM)*('Dvd Calendar'!$AD$891&lt;=GRID_TO)*((('Dvd Calendar'!$AD$891&lt;=VAL_DATE)+(COUNTIF('Dvd Calendar'!$E$898:$AR$898,'Dvd Calendar'!$AD$891)=0))&gt;0)=0,"",'Dvd Calendar'!$AD$891*1000000000+ISNUMBER('Dvd Calendar'!$AD$894)*100000000+('Dvd Calendar'!$AD$896=SPECIAL_LBL)*10000000+(N('Dvd Calendar'!$AD$890)&gt;0)*(N('Dvd Calendar'!$AD$890)&lt;=VAL_SERIAL)*1000000+81*1000+26))</f>
        <v/>
      </c>
      <c r="FE92" s="121">
        <f>IF(N('Dvd Calendar'!$AE$891)=0,"",IF(('Dvd Calendar'!$AE$891&gt;=GRID_FROM)*('Dvd Calendar'!$AE$891&lt;=GRID_TO)*((('Dvd Calendar'!$AE$891&lt;=VAL_DATE)+(COUNTIF('Dvd Calendar'!$E$898:$AR$898,'Dvd Calendar'!$AE$891)=0))&gt;0)=0,"",'Dvd Calendar'!$AE$891*1000000000+ISNUMBER('Dvd Calendar'!$AE$894)*100000000+('Dvd Calendar'!$AE$896=SPECIAL_LBL)*10000000+(N('Dvd Calendar'!$AE$890)&gt;0)*(N('Dvd Calendar'!$AE$890)&lt;=VAL_SERIAL)*1000000+81*1000+27))</f>
        <v/>
      </c>
      <c r="FF92" s="121">
        <f>IF(N('Dvd Calendar'!$AF$891)=0,"",IF(('Dvd Calendar'!$AF$891&gt;=GRID_FROM)*('Dvd Calendar'!$AF$891&lt;=GRID_TO)*((('Dvd Calendar'!$AF$891&lt;=VAL_DATE)+(COUNTIF('Dvd Calendar'!$E$898:$AR$898,'Dvd Calendar'!$AF$891)=0))&gt;0)=0,"",'Dvd Calendar'!$AF$891*1000000000+ISNUMBER('Dvd Calendar'!$AF$894)*100000000+('Dvd Calendar'!$AF$896=SPECIAL_LBL)*10000000+(N('Dvd Calendar'!$AF$890)&gt;0)*(N('Dvd Calendar'!$AF$890)&lt;=VAL_SERIAL)*1000000+81*1000+28))</f>
        <v/>
      </c>
      <c r="FG92" s="121">
        <f>IF(N('Dvd Calendar'!$AG$891)=0,"",IF(('Dvd Calendar'!$AG$891&gt;=GRID_FROM)*('Dvd Calendar'!$AG$891&lt;=GRID_TO)*((('Dvd Calendar'!$AG$891&lt;=VAL_DATE)+(COUNTIF('Dvd Calendar'!$E$898:$AR$898,'Dvd Calendar'!$AG$891)=0))&gt;0)=0,"",'Dvd Calendar'!$AG$891*1000000000+ISNUMBER('Dvd Calendar'!$AG$894)*100000000+('Dvd Calendar'!$AG$896=SPECIAL_LBL)*10000000+(N('Dvd Calendar'!$AG$890)&gt;0)*(N('Dvd Calendar'!$AG$890)&lt;=VAL_SERIAL)*1000000+81*1000+29))</f>
        <v/>
      </c>
      <c r="FH92" s="121">
        <f>IF(N('Dvd Calendar'!$AH$891)=0,"",IF(('Dvd Calendar'!$AH$891&gt;=GRID_FROM)*('Dvd Calendar'!$AH$891&lt;=GRID_TO)*((('Dvd Calendar'!$AH$891&lt;=VAL_DATE)+(COUNTIF('Dvd Calendar'!$E$898:$AR$898,'Dvd Calendar'!$AH$891)=0))&gt;0)=0,"",'Dvd Calendar'!$AH$891*1000000000+ISNUMBER('Dvd Calendar'!$AH$894)*100000000+('Dvd Calendar'!$AH$896=SPECIAL_LBL)*10000000+(N('Dvd Calendar'!$AH$890)&gt;0)*(N('Dvd Calendar'!$AH$890)&lt;=VAL_SERIAL)*1000000+81*1000+30))</f>
        <v/>
      </c>
      <c r="FI92" s="121">
        <f>IF(N('Dvd Calendar'!$AI$891)=0,"",IF(('Dvd Calendar'!$AI$891&gt;=GRID_FROM)*('Dvd Calendar'!$AI$891&lt;=GRID_TO)*((('Dvd Calendar'!$AI$891&lt;=VAL_DATE)+(COUNTIF('Dvd Calendar'!$E$898:$AR$898,'Dvd Calendar'!$AI$891)=0))&gt;0)=0,"",'Dvd Calendar'!$AI$891*1000000000+ISNUMBER('Dvd Calendar'!$AI$894)*100000000+('Dvd Calendar'!$AI$896=SPECIAL_LBL)*10000000+(N('Dvd Calendar'!$AI$890)&gt;0)*(N('Dvd Calendar'!$AI$890)&lt;=VAL_SERIAL)*1000000+81*1000+31))</f>
        <v/>
      </c>
      <c r="FJ92" s="121">
        <f>IF(N('Dvd Calendar'!$AJ$891)=0,"",IF(('Dvd Calendar'!$AJ$891&gt;=GRID_FROM)*('Dvd Calendar'!$AJ$891&lt;=GRID_TO)*((('Dvd Calendar'!$AJ$891&lt;=VAL_DATE)+(COUNTIF('Dvd Calendar'!$E$898:$AR$898,'Dvd Calendar'!$AJ$891)=0))&gt;0)=0,"",'Dvd Calendar'!$AJ$891*1000000000+ISNUMBER('Dvd Calendar'!$AJ$894)*100000000+('Dvd Calendar'!$AJ$896=SPECIAL_LBL)*10000000+(N('Dvd Calendar'!$AJ$890)&gt;0)*(N('Dvd Calendar'!$AJ$890)&lt;=VAL_SERIAL)*1000000+81*1000+32))</f>
        <v/>
      </c>
      <c r="FK92" s="121">
        <f>IF(N('Dvd Calendar'!$AK$891)=0,"",IF(('Dvd Calendar'!$AK$891&gt;=GRID_FROM)*('Dvd Calendar'!$AK$891&lt;=GRID_TO)*((('Dvd Calendar'!$AK$891&lt;=VAL_DATE)+(COUNTIF('Dvd Calendar'!$E$898:$AR$898,'Dvd Calendar'!$AK$891)=0))&gt;0)=0,"",'Dvd Calendar'!$AK$891*1000000000+ISNUMBER('Dvd Calendar'!$AK$894)*100000000+('Dvd Calendar'!$AK$896=SPECIAL_LBL)*10000000+(N('Dvd Calendar'!$AK$890)&gt;0)*(N('Dvd Calendar'!$AK$890)&lt;=VAL_SERIAL)*1000000+81*1000+33))</f>
        <v/>
      </c>
      <c r="FL92" s="121">
        <f>IF(N('Dvd Calendar'!$AL$891)=0,"",IF(('Dvd Calendar'!$AL$891&gt;=GRID_FROM)*('Dvd Calendar'!$AL$891&lt;=GRID_TO)*((('Dvd Calendar'!$AL$891&lt;=VAL_DATE)+(COUNTIF('Dvd Calendar'!$E$898:$AR$898,'Dvd Calendar'!$AL$891)=0))&gt;0)=0,"",'Dvd Calendar'!$AL$891*1000000000+ISNUMBER('Dvd Calendar'!$AL$894)*100000000+('Dvd Calendar'!$AL$896=SPECIAL_LBL)*10000000+(N('Dvd Calendar'!$AL$890)&gt;0)*(N('Dvd Calendar'!$AL$890)&lt;=VAL_SERIAL)*1000000+81*1000+34))</f>
        <v/>
      </c>
      <c r="FM92" s="121">
        <f>IF(N('Dvd Calendar'!$AM$891)=0,"",IF(('Dvd Calendar'!$AM$891&gt;=GRID_FROM)*('Dvd Calendar'!$AM$891&lt;=GRID_TO)*((('Dvd Calendar'!$AM$891&lt;=VAL_DATE)+(COUNTIF('Dvd Calendar'!$E$898:$AR$898,'Dvd Calendar'!$AM$891)=0))&gt;0)=0,"",'Dvd Calendar'!$AM$891*1000000000+ISNUMBER('Dvd Calendar'!$AM$894)*100000000+('Dvd Calendar'!$AM$896=SPECIAL_LBL)*10000000+(N('Dvd Calendar'!$AM$890)&gt;0)*(N('Dvd Calendar'!$AM$890)&lt;=VAL_SERIAL)*1000000+81*1000+35))</f>
        <v/>
      </c>
      <c r="FN92" s="121">
        <f>IF(N('Dvd Calendar'!$AN$891)=0,"",IF(('Dvd Calendar'!$AN$891&gt;=GRID_FROM)*('Dvd Calendar'!$AN$891&lt;=GRID_TO)*((('Dvd Calendar'!$AN$891&lt;=VAL_DATE)+(COUNTIF('Dvd Calendar'!$E$898:$AR$898,'Dvd Calendar'!$AN$891)=0))&gt;0)=0,"",'Dvd Calendar'!$AN$891*1000000000+ISNUMBER('Dvd Calendar'!$AN$894)*100000000+('Dvd Calendar'!$AN$896=SPECIAL_LBL)*10000000+(N('Dvd Calendar'!$AN$890)&gt;0)*(N('Dvd Calendar'!$AN$890)&lt;=VAL_SERIAL)*1000000+81*1000+36))</f>
        <v/>
      </c>
      <c r="FO92" s="121">
        <f>IF(N('Dvd Calendar'!$AO$891)=0,"",IF(('Dvd Calendar'!$AO$891&gt;=GRID_FROM)*('Dvd Calendar'!$AO$891&lt;=GRID_TO)*((('Dvd Calendar'!$AO$891&lt;=VAL_DATE)+(COUNTIF('Dvd Calendar'!$E$898:$AR$898,'Dvd Calendar'!$AO$891)=0))&gt;0)=0,"",'Dvd Calendar'!$AO$891*1000000000+ISNUMBER('Dvd Calendar'!$AO$894)*100000000+('Dvd Calendar'!$AO$896=SPECIAL_LBL)*10000000+(N('Dvd Calendar'!$AO$890)&gt;0)*(N('Dvd Calendar'!$AO$890)&lt;=VAL_SERIAL)*1000000+81*1000+37))</f>
        <v/>
      </c>
      <c r="FP92" s="121">
        <f>IF(N('Dvd Calendar'!$AP$891)=0,"",IF(('Dvd Calendar'!$AP$891&gt;=GRID_FROM)*('Dvd Calendar'!$AP$891&lt;=GRID_TO)*((('Dvd Calendar'!$AP$891&lt;=VAL_DATE)+(COUNTIF('Dvd Calendar'!$E$898:$AR$898,'Dvd Calendar'!$AP$891)=0))&gt;0)=0,"",'Dvd Calendar'!$AP$891*1000000000+ISNUMBER('Dvd Calendar'!$AP$894)*100000000+('Dvd Calendar'!$AP$896=SPECIAL_LBL)*10000000+(N('Dvd Calendar'!$AP$890)&gt;0)*(N('Dvd Calendar'!$AP$890)&lt;=VAL_SERIAL)*1000000+81*1000+38))</f>
        <v/>
      </c>
      <c r="FQ92" s="121">
        <f>IF(N('Dvd Calendar'!$AQ$891)=0,"",IF(('Dvd Calendar'!$AQ$891&gt;=GRID_FROM)*('Dvd Calendar'!$AQ$891&lt;=GRID_TO)*((('Dvd Calendar'!$AQ$891&lt;=VAL_DATE)+(COUNTIF('Dvd Calendar'!$E$898:$AR$898,'Dvd Calendar'!$AQ$891)=0))&gt;0)=0,"",'Dvd Calendar'!$AQ$891*1000000000+ISNUMBER('Dvd Calendar'!$AQ$894)*100000000+('Dvd Calendar'!$AQ$896=SPECIAL_LBL)*10000000+(N('Dvd Calendar'!$AQ$890)&gt;0)*(N('Dvd Calendar'!$AQ$890)&lt;=VAL_SERIAL)*1000000+81*1000+39))</f>
        <v/>
      </c>
      <c r="FR92" s="121">
        <f>IF(N('Dvd Calendar'!$AR$891)=0,"",IF(('Dvd Calendar'!$AR$891&gt;=GRID_FROM)*('Dvd Calendar'!$AR$891&lt;=GRID_TO)*((('Dvd Calendar'!$AR$891&lt;=VAL_DATE)+(COUNTIF('Dvd Calendar'!$E$898:$AR$898,'Dvd Calendar'!$AR$891)=0))&gt;0)=0,"",'Dvd Calendar'!$AR$891*1000000000+ISNUMBER('Dvd Calendar'!$AR$894)*100000000+('Dvd Calendar'!$AR$896=SPECIAL_LBL)*10000000+(N('Dvd Calendar'!$AR$890)&gt;0)*(N('Dvd Calendar'!$AR$890)&lt;=VAL_SERIAL)*1000000+81*1000+40))</f>
        <v/>
      </c>
      <c r="FS92" s="121">
        <f>IF(N('Dvd Calendar'!$E$898)=0,"",IF(('Dvd Calendar'!$E$898&gt;=GRID_FROM)*('Dvd Calendar'!$E$898&lt;=GRID_TO)*('Dvd Calendar'!$E$898&gt;VAL_DATE)=0,"",'Dvd Calendar'!$E$898*1000000000+ISNUMBER('Dvd Calendar'!$E$899)*100000000+0*10000000+(N('Dvd Calendar'!$E$897)&gt;0)*(N('Dvd Calendar'!$E$897)&lt;=VAL_SERIAL)*1000000+81*1000+41))</f>
        <v/>
      </c>
      <c r="FT92" s="121">
        <f>IF(N('Dvd Calendar'!$F$898)=0,"",IF(('Dvd Calendar'!$F$898&gt;=GRID_FROM)*('Dvd Calendar'!$F$898&lt;=GRID_TO)*('Dvd Calendar'!$F$898&gt;VAL_DATE)=0,"",'Dvd Calendar'!$F$898*1000000000+ISNUMBER('Dvd Calendar'!$F$899)*100000000+0*10000000+(N('Dvd Calendar'!$F$897)&gt;0)*(N('Dvd Calendar'!$F$897)&lt;=VAL_SERIAL)*1000000+81*1000+42))</f>
        <v/>
      </c>
      <c r="FU92" s="121">
        <f>IF(N('Dvd Calendar'!$G$898)=0,"",IF(('Dvd Calendar'!$G$898&gt;=GRID_FROM)*('Dvd Calendar'!$G$898&lt;=GRID_TO)*('Dvd Calendar'!$G$898&gt;VAL_DATE)=0,"",'Dvd Calendar'!$G$898*1000000000+ISNUMBER('Dvd Calendar'!$G$899)*100000000+0*10000000+(N('Dvd Calendar'!$G$897)&gt;0)*(N('Dvd Calendar'!$G$897)&lt;=VAL_SERIAL)*1000000+81*1000+43))</f>
        <v/>
      </c>
      <c r="FV92" s="121">
        <f>IF(N('Dvd Calendar'!$H$898)=0,"",IF(('Dvd Calendar'!$H$898&gt;=GRID_FROM)*('Dvd Calendar'!$H$898&lt;=GRID_TO)*('Dvd Calendar'!$H$898&gt;VAL_DATE)=0,"",'Dvd Calendar'!$H$898*1000000000+ISNUMBER('Dvd Calendar'!$H$899)*100000000+0*10000000+(N('Dvd Calendar'!$H$897)&gt;0)*(N('Dvd Calendar'!$H$897)&lt;=VAL_SERIAL)*1000000+81*1000+44))</f>
        <v/>
      </c>
      <c r="FW92" s="121">
        <f>IF(N('Dvd Calendar'!$I$898)=0,"",IF(('Dvd Calendar'!$I$898&gt;=GRID_FROM)*('Dvd Calendar'!$I$898&lt;=GRID_TO)*('Dvd Calendar'!$I$898&gt;VAL_DATE)=0,"",'Dvd Calendar'!$I$898*1000000000+ISNUMBER('Dvd Calendar'!$I$899)*100000000+0*10000000+(N('Dvd Calendar'!$I$897)&gt;0)*(N('Dvd Calendar'!$I$897)&lt;=VAL_SERIAL)*1000000+81*1000+45))</f>
        <v/>
      </c>
      <c r="FX92" s="121">
        <f>IF(N('Dvd Calendar'!$J$898)=0,"",IF(('Dvd Calendar'!$J$898&gt;=GRID_FROM)*('Dvd Calendar'!$J$898&lt;=GRID_TO)*('Dvd Calendar'!$J$898&gt;VAL_DATE)=0,"",'Dvd Calendar'!$J$898*1000000000+ISNUMBER('Dvd Calendar'!$J$899)*100000000+0*10000000+(N('Dvd Calendar'!$J$897)&gt;0)*(N('Dvd Calendar'!$J$897)&lt;=VAL_SERIAL)*1000000+81*1000+46))</f>
        <v/>
      </c>
      <c r="FY92" s="121">
        <f>IF(N('Dvd Calendar'!$K$898)=0,"",IF(('Dvd Calendar'!$K$898&gt;=GRID_FROM)*('Dvd Calendar'!$K$898&lt;=GRID_TO)*('Dvd Calendar'!$K$898&gt;VAL_DATE)=0,"",'Dvd Calendar'!$K$898*1000000000+ISNUMBER('Dvd Calendar'!$K$899)*100000000+0*10000000+(N('Dvd Calendar'!$K$897)&gt;0)*(N('Dvd Calendar'!$K$897)&lt;=VAL_SERIAL)*1000000+81*1000+47))</f>
        <v/>
      </c>
      <c r="FZ92" s="121">
        <f>IF(N('Dvd Calendar'!$L$898)=0,"",IF(('Dvd Calendar'!$L$898&gt;=GRID_FROM)*('Dvd Calendar'!$L$898&lt;=GRID_TO)*('Dvd Calendar'!$L$898&gt;VAL_DATE)=0,"",'Dvd Calendar'!$L$898*1000000000+ISNUMBER('Dvd Calendar'!$L$899)*100000000+0*10000000+(N('Dvd Calendar'!$L$897)&gt;0)*(N('Dvd Calendar'!$L$897)&lt;=VAL_SERIAL)*1000000+81*1000+48))</f>
        <v/>
      </c>
      <c r="GA92" s="121">
        <f>IF(N('Dvd Calendar'!$M$898)=0,"",IF(('Dvd Calendar'!$M$898&gt;=GRID_FROM)*('Dvd Calendar'!$M$898&lt;=GRID_TO)*('Dvd Calendar'!$M$898&gt;VAL_DATE)=0,"",'Dvd Calendar'!$M$898*1000000000+ISNUMBER('Dvd Calendar'!$M$899)*100000000+0*10000000+(N('Dvd Calendar'!$M$897)&gt;0)*(N('Dvd Calendar'!$M$897)&lt;=VAL_SERIAL)*1000000+81*1000+49))</f>
        <v/>
      </c>
      <c r="GB92" s="121">
        <f>IF(N('Dvd Calendar'!$N$898)=0,"",IF(('Dvd Calendar'!$N$898&gt;=GRID_FROM)*('Dvd Calendar'!$N$898&lt;=GRID_TO)*('Dvd Calendar'!$N$898&gt;VAL_DATE)=0,"",'Dvd Calendar'!$N$898*1000000000+ISNUMBER('Dvd Calendar'!$N$899)*100000000+0*10000000+(N('Dvd Calendar'!$N$897)&gt;0)*(N('Dvd Calendar'!$N$897)&lt;=VAL_SERIAL)*1000000+81*1000+50))</f>
        <v/>
      </c>
      <c r="GC92" s="121">
        <f>IF(N('Dvd Calendar'!$O$898)=0,"",IF(('Dvd Calendar'!$O$898&gt;=GRID_FROM)*('Dvd Calendar'!$O$898&lt;=GRID_TO)*('Dvd Calendar'!$O$898&gt;VAL_DATE)=0,"",'Dvd Calendar'!$O$898*1000000000+ISNUMBER('Dvd Calendar'!$O$899)*100000000+0*10000000+(N('Dvd Calendar'!$O$897)&gt;0)*(N('Dvd Calendar'!$O$897)&lt;=VAL_SERIAL)*1000000+81*1000+51))</f>
        <v/>
      </c>
      <c r="GD92" s="121">
        <f>IF(N('Dvd Calendar'!$P$898)=0,"",IF(('Dvd Calendar'!$P$898&gt;=GRID_FROM)*('Dvd Calendar'!$P$898&lt;=GRID_TO)*('Dvd Calendar'!$P$898&gt;VAL_DATE)=0,"",'Dvd Calendar'!$P$898*1000000000+ISNUMBER('Dvd Calendar'!$P$899)*100000000+0*10000000+(N('Dvd Calendar'!$P$897)&gt;0)*(N('Dvd Calendar'!$P$897)&lt;=VAL_SERIAL)*1000000+81*1000+52))</f>
        <v/>
      </c>
      <c r="GE92" s="121">
        <f>IF(N('Dvd Calendar'!$Q$898)=0,"",IF(('Dvd Calendar'!$Q$898&gt;=GRID_FROM)*('Dvd Calendar'!$Q$898&lt;=GRID_TO)*('Dvd Calendar'!$Q$898&gt;VAL_DATE)=0,"",'Dvd Calendar'!$Q$898*1000000000+ISNUMBER('Dvd Calendar'!$Q$899)*100000000+0*10000000+(N('Dvd Calendar'!$Q$897)&gt;0)*(N('Dvd Calendar'!$Q$897)&lt;=VAL_SERIAL)*1000000+81*1000+53))</f>
        <v/>
      </c>
      <c r="GF92" s="121">
        <f>IF(N('Dvd Calendar'!$R$898)=0,"",IF(('Dvd Calendar'!$R$898&gt;=GRID_FROM)*('Dvd Calendar'!$R$898&lt;=GRID_TO)*('Dvd Calendar'!$R$898&gt;VAL_DATE)=0,"",'Dvd Calendar'!$R$898*1000000000+ISNUMBER('Dvd Calendar'!$R$899)*100000000+0*10000000+(N('Dvd Calendar'!$R$897)&gt;0)*(N('Dvd Calendar'!$R$897)&lt;=VAL_SERIAL)*1000000+81*1000+54))</f>
        <v/>
      </c>
      <c r="GG92" s="121">
        <f>IF(N('Dvd Calendar'!$S$898)=0,"",IF(('Dvd Calendar'!$S$898&gt;=GRID_FROM)*('Dvd Calendar'!$S$898&lt;=GRID_TO)*('Dvd Calendar'!$S$898&gt;VAL_DATE)=0,"",'Dvd Calendar'!$S$898*1000000000+ISNUMBER('Dvd Calendar'!$S$899)*100000000+0*10000000+(N('Dvd Calendar'!$S$897)&gt;0)*(N('Dvd Calendar'!$S$897)&lt;=VAL_SERIAL)*1000000+81*1000+55))</f>
        <v/>
      </c>
      <c r="GH92" s="121">
        <f>IF(N('Dvd Calendar'!$T$898)=0,"",IF(('Dvd Calendar'!$T$898&gt;=GRID_FROM)*('Dvd Calendar'!$T$898&lt;=GRID_TO)*('Dvd Calendar'!$T$898&gt;VAL_DATE)=0,"",'Dvd Calendar'!$T$898*1000000000+ISNUMBER('Dvd Calendar'!$T$899)*100000000+0*10000000+(N('Dvd Calendar'!$T$897)&gt;0)*(N('Dvd Calendar'!$T$897)&lt;=VAL_SERIAL)*1000000+81*1000+56))</f>
        <v/>
      </c>
      <c r="GI92" s="121">
        <f>IF(N('Dvd Calendar'!$U$898)=0,"",IF(('Dvd Calendar'!$U$898&gt;=GRID_FROM)*('Dvd Calendar'!$U$898&lt;=GRID_TO)*('Dvd Calendar'!$U$898&gt;VAL_DATE)=0,"",'Dvd Calendar'!$U$898*1000000000+ISNUMBER('Dvd Calendar'!$U$899)*100000000+0*10000000+(N('Dvd Calendar'!$U$897)&gt;0)*(N('Dvd Calendar'!$U$897)&lt;=VAL_SERIAL)*1000000+81*1000+57))</f>
        <v/>
      </c>
      <c r="GJ92" s="121">
        <f>IF(N('Dvd Calendar'!$V$898)=0,"",IF(('Dvd Calendar'!$V$898&gt;=GRID_FROM)*('Dvd Calendar'!$V$898&lt;=GRID_TO)*('Dvd Calendar'!$V$898&gt;VAL_DATE)=0,"",'Dvd Calendar'!$V$898*1000000000+ISNUMBER('Dvd Calendar'!$V$899)*100000000+0*10000000+(N('Dvd Calendar'!$V$897)&gt;0)*(N('Dvd Calendar'!$V$897)&lt;=VAL_SERIAL)*1000000+81*1000+58))</f>
        <v/>
      </c>
      <c r="GK92" s="121">
        <f>IF(N('Dvd Calendar'!$W$898)=0,"",IF(('Dvd Calendar'!$W$898&gt;=GRID_FROM)*('Dvd Calendar'!$W$898&lt;=GRID_TO)*('Dvd Calendar'!$W$898&gt;VAL_DATE)=0,"",'Dvd Calendar'!$W$898*1000000000+ISNUMBER('Dvd Calendar'!$W$899)*100000000+0*10000000+(N('Dvd Calendar'!$W$897)&gt;0)*(N('Dvd Calendar'!$W$897)&lt;=VAL_SERIAL)*1000000+81*1000+59))</f>
        <v/>
      </c>
      <c r="GL92" s="121">
        <f>IF(N('Dvd Calendar'!$X$898)=0,"",IF(('Dvd Calendar'!$X$898&gt;=GRID_FROM)*('Dvd Calendar'!$X$898&lt;=GRID_TO)*('Dvd Calendar'!$X$898&gt;VAL_DATE)=0,"",'Dvd Calendar'!$X$898*1000000000+ISNUMBER('Dvd Calendar'!$X$899)*100000000+0*10000000+(N('Dvd Calendar'!$X$897)&gt;0)*(N('Dvd Calendar'!$X$897)&lt;=VAL_SERIAL)*1000000+81*1000+60))</f>
        <v/>
      </c>
      <c r="GM92" s="121">
        <f>IF(N('Dvd Calendar'!$Y$898)=0,"",IF(('Dvd Calendar'!$Y$898&gt;=GRID_FROM)*('Dvd Calendar'!$Y$898&lt;=GRID_TO)*('Dvd Calendar'!$Y$898&gt;VAL_DATE)=0,"",'Dvd Calendar'!$Y$898*1000000000+ISNUMBER('Dvd Calendar'!$Y$899)*100000000+0*10000000+(N('Dvd Calendar'!$Y$897)&gt;0)*(N('Dvd Calendar'!$Y$897)&lt;=VAL_SERIAL)*1000000+81*1000+61))</f>
        <v/>
      </c>
      <c r="GN92" s="121">
        <f>IF(N('Dvd Calendar'!$Z$898)=0,"",IF(('Dvd Calendar'!$Z$898&gt;=GRID_FROM)*('Dvd Calendar'!$Z$898&lt;=GRID_TO)*('Dvd Calendar'!$Z$898&gt;VAL_DATE)=0,"",'Dvd Calendar'!$Z$898*1000000000+ISNUMBER('Dvd Calendar'!$Z$899)*100000000+0*10000000+(N('Dvd Calendar'!$Z$897)&gt;0)*(N('Dvd Calendar'!$Z$897)&lt;=VAL_SERIAL)*1000000+81*1000+62))</f>
        <v/>
      </c>
      <c r="GO92" s="121">
        <f>IF(N('Dvd Calendar'!$AA$898)=0,"",IF(('Dvd Calendar'!$AA$898&gt;=GRID_FROM)*('Dvd Calendar'!$AA$898&lt;=GRID_TO)*('Dvd Calendar'!$AA$898&gt;VAL_DATE)=0,"",'Dvd Calendar'!$AA$898*1000000000+ISNUMBER('Dvd Calendar'!$AA$899)*100000000+0*10000000+(N('Dvd Calendar'!$AA$897)&gt;0)*(N('Dvd Calendar'!$AA$897)&lt;=VAL_SERIAL)*1000000+81*1000+63))</f>
        <v/>
      </c>
      <c r="GP92" s="121">
        <f>IF(N('Dvd Calendar'!$AB$898)=0,"",IF(('Dvd Calendar'!$AB$898&gt;=GRID_FROM)*('Dvd Calendar'!$AB$898&lt;=GRID_TO)*('Dvd Calendar'!$AB$898&gt;VAL_DATE)=0,"",'Dvd Calendar'!$AB$898*1000000000+ISNUMBER('Dvd Calendar'!$AB$899)*100000000+0*10000000+(N('Dvd Calendar'!$AB$897)&gt;0)*(N('Dvd Calendar'!$AB$897)&lt;=VAL_SERIAL)*1000000+81*1000+64))</f>
        <v/>
      </c>
      <c r="GQ92" s="121">
        <f>IF(N('Dvd Calendar'!$AC$898)=0,"",IF(('Dvd Calendar'!$AC$898&gt;=GRID_FROM)*('Dvd Calendar'!$AC$898&lt;=GRID_TO)*('Dvd Calendar'!$AC$898&gt;VAL_DATE)=0,"",'Dvd Calendar'!$AC$898*1000000000+ISNUMBER('Dvd Calendar'!$AC$899)*100000000+0*10000000+(N('Dvd Calendar'!$AC$897)&gt;0)*(N('Dvd Calendar'!$AC$897)&lt;=VAL_SERIAL)*1000000+81*1000+65))</f>
        <v/>
      </c>
    </row>
    <row r="93">
      <c r="B93" s="2">
        <f>IF(HSI!$C$88="","",HSI!$C$88)</f>
        <v/>
      </c>
      <c r="C93" s="161">
        <f>IF(EE93="","",IF(ISNUMBER('Dvd Calendar'!$E$905)=FALSE,"",IF((('Dvd Calendar'!$E$907=TYPE1)*(TYPE1&lt;&gt;"")+('Dvd Calendar'!$E$907=TYPE2)*(TYPE2&lt;&gt;"")+('Dvd Calendar'!$E$907=TYPE3)*(TYPE3&lt;&gt;"")+('Dvd Calendar'!$E$907=TYPE4)*(TYPE4&lt;&gt;"")+('Dvd Calendar'!$E$907=SPECIAL_LBL)*(INC_SPECIALS="Y"))=0,"",'Dvd Calendar'!$E$905)))</f>
        <v/>
      </c>
      <c r="D93" s="161">
        <f>IF(EF93="","",IF(ISNUMBER('Dvd Calendar'!$F$905)=FALSE,"",IF((('Dvd Calendar'!$F$907=TYPE1)*(TYPE1&lt;&gt;"")+('Dvd Calendar'!$F$907=TYPE2)*(TYPE2&lt;&gt;"")+('Dvd Calendar'!$F$907=TYPE3)*(TYPE3&lt;&gt;"")+('Dvd Calendar'!$F$907=TYPE4)*(TYPE4&lt;&gt;"")+('Dvd Calendar'!$F$907=SPECIAL_LBL)*(INC_SPECIALS="Y"))=0,"",'Dvd Calendar'!$F$905)))</f>
        <v/>
      </c>
      <c r="E93" s="161">
        <f>IF(EG93="","",IF(ISNUMBER('Dvd Calendar'!$G$905)=FALSE,"",IF((('Dvd Calendar'!$G$907=TYPE1)*(TYPE1&lt;&gt;"")+('Dvd Calendar'!$G$907=TYPE2)*(TYPE2&lt;&gt;"")+('Dvd Calendar'!$G$907=TYPE3)*(TYPE3&lt;&gt;"")+('Dvd Calendar'!$G$907=TYPE4)*(TYPE4&lt;&gt;"")+('Dvd Calendar'!$G$907=SPECIAL_LBL)*(INC_SPECIALS="Y"))=0,"",'Dvd Calendar'!$G$905)))</f>
        <v/>
      </c>
      <c r="F93" s="161">
        <f>IF(EH93="","",IF(ISNUMBER('Dvd Calendar'!$H$905)=FALSE,"",IF((('Dvd Calendar'!$H$907=TYPE1)*(TYPE1&lt;&gt;"")+('Dvd Calendar'!$H$907=TYPE2)*(TYPE2&lt;&gt;"")+('Dvd Calendar'!$H$907=TYPE3)*(TYPE3&lt;&gt;"")+('Dvd Calendar'!$H$907=TYPE4)*(TYPE4&lt;&gt;"")+('Dvd Calendar'!$H$907=SPECIAL_LBL)*(INC_SPECIALS="Y"))=0,"",'Dvd Calendar'!$H$905)))</f>
        <v/>
      </c>
      <c r="G93" s="161">
        <f>IF(EI93="","",IF(ISNUMBER('Dvd Calendar'!$I$905)=FALSE,"",IF((('Dvd Calendar'!$I$907=TYPE1)*(TYPE1&lt;&gt;"")+('Dvd Calendar'!$I$907=TYPE2)*(TYPE2&lt;&gt;"")+('Dvd Calendar'!$I$907=TYPE3)*(TYPE3&lt;&gt;"")+('Dvd Calendar'!$I$907=TYPE4)*(TYPE4&lt;&gt;"")+('Dvd Calendar'!$I$907=SPECIAL_LBL)*(INC_SPECIALS="Y"))=0,"",'Dvd Calendar'!$I$905)))</f>
        <v/>
      </c>
      <c r="H93" s="161">
        <f>IF(EJ93="","",IF(ISNUMBER('Dvd Calendar'!$J$905)=FALSE,"",IF((('Dvd Calendar'!$J$907=TYPE1)*(TYPE1&lt;&gt;"")+('Dvd Calendar'!$J$907=TYPE2)*(TYPE2&lt;&gt;"")+('Dvd Calendar'!$J$907=TYPE3)*(TYPE3&lt;&gt;"")+('Dvd Calendar'!$J$907=TYPE4)*(TYPE4&lt;&gt;"")+('Dvd Calendar'!$J$907=SPECIAL_LBL)*(INC_SPECIALS="Y"))=0,"",'Dvd Calendar'!$J$905)))</f>
        <v/>
      </c>
      <c r="I93" s="161">
        <f>IF(EK93="","",IF(ISNUMBER('Dvd Calendar'!$K$905)=FALSE,"",IF((('Dvd Calendar'!$K$907=TYPE1)*(TYPE1&lt;&gt;"")+('Dvd Calendar'!$K$907=TYPE2)*(TYPE2&lt;&gt;"")+('Dvd Calendar'!$K$907=TYPE3)*(TYPE3&lt;&gt;"")+('Dvd Calendar'!$K$907=TYPE4)*(TYPE4&lt;&gt;"")+('Dvd Calendar'!$K$907=SPECIAL_LBL)*(INC_SPECIALS="Y"))=0,"",'Dvd Calendar'!$K$905)))</f>
        <v/>
      </c>
      <c r="J93" s="161">
        <f>IF(EL93="","",IF(ISNUMBER('Dvd Calendar'!$L$905)=FALSE,"",IF((('Dvd Calendar'!$L$907=TYPE1)*(TYPE1&lt;&gt;"")+('Dvd Calendar'!$L$907=TYPE2)*(TYPE2&lt;&gt;"")+('Dvd Calendar'!$L$907=TYPE3)*(TYPE3&lt;&gt;"")+('Dvd Calendar'!$L$907=TYPE4)*(TYPE4&lt;&gt;"")+('Dvd Calendar'!$L$907=SPECIAL_LBL)*(INC_SPECIALS="Y"))=0,"",'Dvd Calendar'!$L$905)))</f>
        <v/>
      </c>
      <c r="K93" s="161">
        <f>IF(EM93="","",IF(ISNUMBER('Dvd Calendar'!$M$905)=FALSE,"",IF((('Dvd Calendar'!$M$907=TYPE1)*(TYPE1&lt;&gt;"")+('Dvd Calendar'!$M$907=TYPE2)*(TYPE2&lt;&gt;"")+('Dvd Calendar'!$M$907=TYPE3)*(TYPE3&lt;&gt;"")+('Dvd Calendar'!$M$907=TYPE4)*(TYPE4&lt;&gt;"")+('Dvd Calendar'!$M$907=SPECIAL_LBL)*(INC_SPECIALS="Y"))=0,"",'Dvd Calendar'!$M$905)))</f>
        <v/>
      </c>
      <c r="L93" s="161">
        <f>IF(EN93="","",IF(ISNUMBER('Dvd Calendar'!$N$905)=FALSE,"",IF((('Dvd Calendar'!$N$907=TYPE1)*(TYPE1&lt;&gt;"")+('Dvd Calendar'!$N$907=TYPE2)*(TYPE2&lt;&gt;"")+('Dvd Calendar'!$N$907=TYPE3)*(TYPE3&lt;&gt;"")+('Dvd Calendar'!$N$907=TYPE4)*(TYPE4&lt;&gt;"")+('Dvd Calendar'!$N$907=SPECIAL_LBL)*(INC_SPECIALS="Y"))=0,"",'Dvd Calendar'!$N$905)))</f>
        <v/>
      </c>
      <c r="M93" s="161">
        <f>IF(EO93="","",IF(ISNUMBER('Dvd Calendar'!$O$905)=FALSE,"",IF((('Dvd Calendar'!$O$907=TYPE1)*(TYPE1&lt;&gt;"")+('Dvd Calendar'!$O$907=TYPE2)*(TYPE2&lt;&gt;"")+('Dvd Calendar'!$O$907=TYPE3)*(TYPE3&lt;&gt;"")+('Dvd Calendar'!$O$907=TYPE4)*(TYPE4&lt;&gt;"")+('Dvd Calendar'!$O$907=SPECIAL_LBL)*(INC_SPECIALS="Y"))=0,"",'Dvd Calendar'!$O$905)))</f>
        <v/>
      </c>
      <c r="N93" s="161">
        <f>IF(EP93="","",IF(ISNUMBER('Dvd Calendar'!$P$905)=FALSE,"",IF((('Dvd Calendar'!$P$907=TYPE1)*(TYPE1&lt;&gt;"")+('Dvd Calendar'!$P$907=TYPE2)*(TYPE2&lt;&gt;"")+('Dvd Calendar'!$P$907=TYPE3)*(TYPE3&lt;&gt;"")+('Dvd Calendar'!$P$907=TYPE4)*(TYPE4&lt;&gt;"")+('Dvd Calendar'!$P$907=SPECIAL_LBL)*(INC_SPECIALS="Y"))=0,"",'Dvd Calendar'!$P$905)))</f>
        <v/>
      </c>
      <c r="O93" s="161">
        <f>IF(EQ93="","",IF(ISNUMBER('Dvd Calendar'!$Q$905)=FALSE,"",IF((('Dvd Calendar'!$Q$907=TYPE1)*(TYPE1&lt;&gt;"")+('Dvd Calendar'!$Q$907=TYPE2)*(TYPE2&lt;&gt;"")+('Dvd Calendar'!$Q$907=TYPE3)*(TYPE3&lt;&gt;"")+('Dvd Calendar'!$Q$907=TYPE4)*(TYPE4&lt;&gt;"")+('Dvd Calendar'!$Q$907=SPECIAL_LBL)*(INC_SPECIALS="Y"))=0,"",'Dvd Calendar'!$Q$905)))</f>
        <v/>
      </c>
      <c r="P93" s="161">
        <f>IF(ER93="","",IF(ISNUMBER('Dvd Calendar'!$R$905)=FALSE,"",IF((('Dvd Calendar'!$R$907=TYPE1)*(TYPE1&lt;&gt;"")+('Dvd Calendar'!$R$907=TYPE2)*(TYPE2&lt;&gt;"")+('Dvd Calendar'!$R$907=TYPE3)*(TYPE3&lt;&gt;"")+('Dvd Calendar'!$R$907=TYPE4)*(TYPE4&lt;&gt;"")+('Dvd Calendar'!$R$907=SPECIAL_LBL)*(INC_SPECIALS="Y"))=0,"",'Dvd Calendar'!$R$905)))</f>
        <v/>
      </c>
      <c r="Q93" s="161">
        <f>IF(ES93="","",IF(ISNUMBER('Dvd Calendar'!$S$905)=FALSE,"",IF((('Dvd Calendar'!$S$907=TYPE1)*(TYPE1&lt;&gt;"")+('Dvd Calendar'!$S$907=TYPE2)*(TYPE2&lt;&gt;"")+('Dvd Calendar'!$S$907=TYPE3)*(TYPE3&lt;&gt;"")+('Dvd Calendar'!$S$907=TYPE4)*(TYPE4&lt;&gt;"")+('Dvd Calendar'!$S$907=SPECIAL_LBL)*(INC_SPECIALS="Y"))=0,"",'Dvd Calendar'!$S$905)))</f>
        <v/>
      </c>
      <c r="R93" s="161">
        <f>IF(ET93="","",IF(ISNUMBER('Dvd Calendar'!$T$905)=FALSE,"",IF((('Dvd Calendar'!$T$907=TYPE1)*(TYPE1&lt;&gt;"")+('Dvd Calendar'!$T$907=TYPE2)*(TYPE2&lt;&gt;"")+('Dvd Calendar'!$T$907=TYPE3)*(TYPE3&lt;&gt;"")+('Dvd Calendar'!$T$907=TYPE4)*(TYPE4&lt;&gt;"")+('Dvd Calendar'!$T$907=SPECIAL_LBL)*(INC_SPECIALS="Y"))=0,"",'Dvd Calendar'!$T$905)))</f>
        <v/>
      </c>
      <c r="S93" s="161">
        <f>IF(EU93="","",IF(ISNUMBER('Dvd Calendar'!$U$905)=FALSE,"",IF((('Dvd Calendar'!$U$907=TYPE1)*(TYPE1&lt;&gt;"")+('Dvd Calendar'!$U$907=TYPE2)*(TYPE2&lt;&gt;"")+('Dvd Calendar'!$U$907=TYPE3)*(TYPE3&lt;&gt;"")+('Dvd Calendar'!$U$907=TYPE4)*(TYPE4&lt;&gt;"")+('Dvd Calendar'!$U$907=SPECIAL_LBL)*(INC_SPECIALS="Y"))=0,"",'Dvd Calendar'!$U$905)))</f>
        <v/>
      </c>
      <c r="T93" s="161">
        <f>IF(EV93="","",IF(ISNUMBER('Dvd Calendar'!$V$905)=FALSE,"",IF((('Dvd Calendar'!$V$907=TYPE1)*(TYPE1&lt;&gt;"")+('Dvd Calendar'!$V$907=TYPE2)*(TYPE2&lt;&gt;"")+('Dvd Calendar'!$V$907=TYPE3)*(TYPE3&lt;&gt;"")+('Dvd Calendar'!$V$907=TYPE4)*(TYPE4&lt;&gt;"")+('Dvd Calendar'!$V$907=SPECIAL_LBL)*(INC_SPECIALS="Y"))=0,"",'Dvd Calendar'!$V$905)))</f>
        <v/>
      </c>
      <c r="U93" s="161">
        <f>IF(EW93="","",IF(ISNUMBER('Dvd Calendar'!$W$905)=FALSE,"",IF((('Dvd Calendar'!$W$907=TYPE1)*(TYPE1&lt;&gt;"")+('Dvd Calendar'!$W$907=TYPE2)*(TYPE2&lt;&gt;"")+('Dvd Calendar'!$W$907=TYPE3)*(TYPE3&lt;&gt;"")+('Dvd Calendar'!$W$907=TYPE4)*(TYPE4&lt;&gt;"")+('Dvd Calendar'!$W$907=SPECIAL_LBL)*(INC_SPECIALS="Y"))=0,"",'Dvd Calendar'!$W$905)))</f>
        <v/>
      </c>
      <c r="V93" s="161">
        <f>IF(EX93="","",IF(ISNUMBER('Dvd Calendar'!$X$905)=FALSE,"",IF((('Dvd Calendar'!$X$907=TYPE1)*(TYPE1&lt;&gt;"")+('Dvd Calendar'!$X$907=TYPE2)*(TYPE2&lt;&gt;"")+('Dvd Calendar'!$X$907=TYPE3)*(TYPE3&lt;&gt;"")+('Dvd Calendar'!$X$907=TYPE4)*(TYPE4&lt;&gt;"")+('Dvd Calendar'!$X$907=SPECIAL_LBL)*(INC_SPECIALS="Y"))=0,"",'Dvd Calendar'!$X$905)))</f>
        <v/>
      </c>
      <c r="W93" s="161">
        <f>IF(EY93="","",IF(ISNUMBER('Dvd Calendar'!$Y$905)=FALSE,"",IF((('Dvd Calendar'!$Y$907=TYPE1)*(TYPE1&lt;&gt;"")+('Dvd Calendar'!$Y$907=TYPE2)*(TYPE2&lt;&gt;"")+('Dvd Calendar'!$Y$907=TYPE3)*(TYPE3&lt;&gt;"")+('Dvd Calendar'!$Y$907=TYPE4)*(TYPE4&lt;&gt;"")+('Dvd Calendar'!$Y$907=SPECIAL_LBL)*(INC_SPECIALS="Y"))=0,"",'Dvd Calendar'!$Y$905)))</f>
        <v/>
      </c>
      <c r="X93" s="161">
        <f>IF(EZ93="","",IF(ISNUMBER('Dvd Calendar'!$Z$905)=FALSE,"",IF((('Dvd Calendar'!$Z$907=TYPE1)*(TYPE1&lt;&gt;"")+('Dvd Calendar'!$Z$907=TYPE2)*(TYPE2&lt;&gt;"")+('Dvd Calendar'!$Z$907=TYPE3)*(TYPE3&lt;&gt;"")+('Dvd Calendar'!$Z$907=TYPE4)*(TYPE4&lt;&gt;"")+('Dvd Calendar'!$Z$907=SPECIAL_LBL)*(INC_SPECIALS="Y"))=0,"",'Dvd Calendar'!$Z$905)))</f>
        <v/>
      </c>
      <c r="Y93" s="161">
        <f>IF(FA93="","",IF(ISNUMBER('Dvd Calendar'!$AA$905)=FALSE,"",IF((('Dvd Calendar'!$AA$907=TYPE1)*(TYPE1&lt;&gt;"")+('Dvd Calendar'!$AA$907=TYPE2)*(TYPE2&lt;&gt;"")+('Dvd Calendar'!$AA$907=TYPE3)*(TYPE3&lt;&gt;"")+('Dvd Calendar'!$AA$907=TYPE4)*(TYPE4&lt;&gt;"")+('Dvd Calendar'!$AA$907=SPECIAL_LBL)*(INC_SPECIALS="Y"))=0,"",'Dvd Calendar'!$AA$905)))</f>
        <v/>
      </c>
      <c r="Z93" s="161">
        <f>IF(FB93="","",IF(ISNUMBER('Dvd Calendar'!$AB$905)=FALSE,"",IF((('Dvd Calendar'!$AB$907=TYPE1)*(TYPE1&lt;&gt;"")+('Dvd Calendar'!$AB$907=TYPE2)*(TYPE2&lt;&gt;"")+('Dvd Calendar'!$AB$907=TYPE3)*(TYPE3&lt;&gt;"")+('Dvd Calendar'!$AB$907=TYPE4)*(TYPE4&lt;&gt;"")+('Dvd Calendar'!$AB$907=SPECIAL_LBL)*(INC_SPECIALS="Y"))=0,"",'Dvd Calendar'!$AB$905)))</f>
        <v/>
      </c>
      <c r="AA93" s="161">
        <f>IF(FC93="","",IF(ISNUMBER('Dvd Calendar'!$AC$905)=FALSE,"",IF((('Dvd Calendar'!$AC$907=TYPE1)*(TYPE1&lt;&gt;"")+('Dvd Calendar'!$AC$907=TYPE2)*(TYPE2&lt;&gt;"")+('Dvd Calendar'!$AC$907=TYPE3)*(TYPE3&lt;&gt;"")+('Dvd Calendar'!$AC$907=TYPE4)*(TYPE4&lt;&gt;"")+('Dvd Calendar'!$AC$907=SPECIAL_LBL)*(INC_SPECIALS="Y"))=0,"",'Dvd Calendar'!$AC$905)))</f>
        <v/>
      </c>
      <c r="AB93" s="161">
        <f>IF(FD93="","",IF(ISNUMBER('Dvd Calendar'!$AD$905)=FALSE,"",IF((('Dvd Calendar'!$AD$907=TYPE1)*(TYPE1&lt;&gt;"")+('Dvd Calendar'!$AD$907=TYPE2)*(TYPE2&lt;&gt;"")+('Dvd Calendar'!$AD$907=TYPE3)*(TYPE3&lt;&gt;"")+('Dvd Calendar'!$AD$907=TYPE4)*(TYPE4&lt;&gt;"")+('Dvd Calendar'!$AD$907=SPECIAL_LBL)*(INC_SPECIALS="Y"))=0,"",'Dvd Calendar'!$AD$905)))</f>
        <v/>
      </c>
      <c r="AC93" s="161">
        <f>IF(FE93="","",IF(ISNUMBER('Dvd Calendar'!$AE$905)=FALSE,"",IF((('Dvd Calendar'!$AE$907=TYPE1)*(TYPE1&lt;&gt;"")+('Dvd Calendar'!$AE$907=TYPE2)*(TYPE2&lt;&gt;"")+('Dvd Calendar'!$AE$907=TYPE3)*(TYPE3&lt;&gt;"")+('Dvd Calendar'!$AE$907=TYPE4)*(TYPE4&lt;&gt;"")+('Dvd Calendar'!$AE$907=SPECIAL_LBL)*(INC_SPECIALS="Y"))=0,"",'Dvd Calendar'!$AE$905)))</f>
        <v/>
      </c>
      <c r="AD93" s="161">
        <f>IF(FF93="","",IF(ISNUMBER('Dvd Calendar'!$AF$905)=FALSE,"",IF((('Dvd Calendar'!$AF$907=TYPE1)*(TYPE1&lt;&gt;"")+('Dvd Calendar'!$AF$907=TYPE2)*(TYPE2&lt;&gt;"")+('Dvd Calendar'!$AF$907=TYPE3)*(TYPE3&lt;&gt;"")+('Dvd Calendar'!$AF$907=TYPE4)*(TYPE4&lt;&gt;"")+('Dvd Calendar'!$AF$907=SPECIAL_LBL)*(INC_SPECIALS="Y"))=0,"",'Dvd Calendar'!$AF$905)))</f>
        <v/>
      </c>
      <c r="AE93" s="161">
        <f>IF(FG93="","",IF(ISNUMBER('Dvd Calendar'!$AG$905)=FALSE,"",IF((('Dvd Calendar'!$AG$907=TYPE1)*(TYPE1&lt;&gt;"")+('Dvd Calendar'!$AG$907=TYPE2)*(TYPE2&lt;&gt;"")+('Dvd Calendar'!$AG$907=TYPE3)*(TYPE3&lt;&gt;"")+('Dvd Calendar'!$AG$907=TYPE4)*(TYPE4&lt;&gt;"")+('Dvd Calendar'!$AG$907=SPECIAL_LBL)*(INC_SPECIALS="Y"))=0,"",'Dvd Calendar'!$AG$905)))</f>
        <v/>
      </c>
      <c r="AF93" s="161">
        <f>IF(FH93="","",IF(ISNUMBER('Dvd Calendar'!$AH$905)=FALSE,"",IF((('Dvd Calendar'!$AH$907=TYPE1)*(TYPE1&lt;&gt;"")+('Dvd Calendar'!$AH$907=TYPE2)*(TYPE2&lt;&gt;"")+('Dvd Calendar'!$AH$907=TYPE3)*(TYPE3&lt;&gt;"")+('Dvd Calendar'!$AH$907=TYPE4)*(TYPE4&lt;&gt;"")+('Dvd Calendar'!$AH$907=SPECIAL_LBL)*(INC_SPECIALS="Y"))=0,"",'Dvd Calendar'!$AH$905)))</f>
        <v/>
      </c>
      <c r="AG93" s="161">
        <f>IF(FI93="","",IF(ISNUMBER('Dvd Calendar'!$AI$905)=FALSE,"",IF((('Dvd Calendar'!$AI$907=TYPE1)*(TYPE1&lt;&gt;"")+('Dvd Calendar'!$AI$907=TYPE2)*(TYPE2&lt;&gt;"")+('Dvd Calendar'!$AI$907=TYPE3)*(TYPE3&lt;&gt;"")+('Dvd Calendar'!$AI$907=TYPE4)*(TYPE4&lt;&gt;"")+('Dvd Calendar'!$AI$907=SPECIAL_LBL)*(INC_SPECIALS="Y"))=0,"",'Dvd Calendar'!$AI$905)))</f>
        <v/>
      </c>
      <c r="AH93" s="161">
        <f>IF(FJ93="","",IF(ISNUMBER('Dvd Calendar'!$AJ$905)=FALSE,"",IF((('Dvd Calendar'!$AJ$907=TYPE1)*(TYPE1&lt;&gt;"")+('Dvd Calendar'!$AJ$907=TYPE2)*(TYPE2&lt;&gt;"")+('Dvd Calendar'!$AJ$907=TYPE3)*(TYPE3&lt;&gt;"")+('Dvd Calendar'!$AJ$907=TYPE4)*(TYPE4&lt;&gt;"")+('Dvd Calendar'!$AJ$907=SPECIAL_LBL)*(INC_SPECIALS="Y"))=0,"",'Dvd Calendar'!$AJ$905)))</f>
        <v/>
      </c>
      <c r="AI93" s="161">
        <f>IF(FK93="","",IF(ISNUMBER('Dvd Calendar'!$AK$905)=FALSE,"",IF((('Dvd Calendar'!$AK$907=TYPE1)*(TYPE1&lt;&gt;"")+('Dvd Calendar'!$AK$907=TYPE2)*(TYPE2&lt;&gt;"")+('Dvd Calendar'!$AK$907=TYPE3)*(TYPE3&lt;&gt;"")+('Dvd Calendar'!$AK$907=TYPE4)*(TYPE4&lt;&gt;"")+('Dvd Calendar'!$AK$907=SPECIAL_LBL)*(INC_SPECIALS="Y"))=0,"",'Dvd Calendar'!$AK$905)))</f>
        <v/>
      </c>
      <c r="AJ93" s="161">
        <f>IF(FL93="","",IF(ISNUMBER('Dvd Calendar'!$AL$905)=FALSE,"",IF((('Dvd Calendar'!$AL$907=TYPE1)*(TYPE1&lt;&gt;"")+('Dvd Calendar'!$AL$907=TYPE2)*(TYPE2&lt;&gt;"")+('Dvd Calendar'!$AL$907=TYPE3)*(TYPE3&lt;&gt;"")+('Dvd Calendar'!$AL$907=TYPE4)*(TYPE4&lt;&gt;"")+('Dvd Calendar'!$AL$907=SPECIAL_LBL)*(INC_SPECIALS="Y"))=0,"",'Dvd Calendar'!$AL$905)))</f>
        <v/>
      </c>
      <c r="AK93" s="161">
        <f>IF(FM93="","",IF(ISNUMBER('Dvd Calendar'!$AM$905)=FALSE,"",IF((('Dvd Calendar'!$AM$907=TYPE1)*(TYPE1&lt;&gt;"")+('Dvd Calendar'!$AM$907=TYPE2)*(TYPE2&lt;&gt;"")+('Dvd Calendar'!$AM$907=TYPE3)*(TYPE3&lt;&gt;"")+('Dvd Calendar'!$AM$907=TYPE4)*(TYPE4&lt;&gt;"")+('Dvd Calendar'!$AM$907=SPECIAL_LBL)*(INC_SPECIALS="Y"))=0,"",'Dvd Calendar'!$AM$905)))</f>
        <v/>
      </c>
      <c r="AL93" s="161">
        <f>IF(FN93="","",IF(ISNUMBER('Dvd Calendar'!$AN$905)=FALSE,"",IF((('Dvd Calendar'!$AN$907=TYPE1)*(TYPE1&lt;&gt;"")+('Dvd Calendar'!$AN$907=TYPE2)*(TYPE2&lt;&gt;"")+('Dvd Calendar'!$AN$907=TYPE3)*(TYPE3&lt;&gt;"")+('Dvd Calendar'!$AN$907=TYPE4)*(TYPE4&lt;&gt;"")+('Dvd Calendar'!$AN$907=SPECIAL_LBL)*(INC_SPECIALS="Y"))=0,"",'Dvd Calendar'!$AN$905)))</f>
        <v/>
      </c>
      <c r="AM93" s="161">
        <f>IF(FO93="","",IF(ISNUMBER('Dvd Calendar'!$AO$905)=FALSE,"",IF((('Dvd Calendar'!$AO$907=TYPE1)*(TYPE1&lt;&gt;"")+('Dvd Calendar'!$AO$907=TYPE2)*(TYPE2&lt;&gt;"")+('Dvd Calendar'!$AO$907=TYPE3)*(TYPE3&lt;&gt;"")+('Dvd Calendar'!$AO$907=TYPE4)*(TYPE4&lt;&gt;"")+('Dvd Calendar'!$AO$907=SPECIAL_LBL)*(INC_SPECIALS="Y"))=0,"",'Dvd Calendar'!$AO$905)))</f>
        <v/>
      </c>
      <c r="AN93" s="161">
        <f>IF(FP93="","",IF(ISNUMBER('Dvd Calendar'!$AP$905)=FALSE,"",IF((('Dvd Calendar'!$AP$907=TYPE1)*(TYPE1&lt;&gt;"")+('Dvd Calendar'!$AP$907=TYPE2)*(TYPE2&lt;&gt;"")+('Dvd Calendar'!$AP$907=TYPE3)*(TYPE3&lt;&gt;"")+('Dvd Calendar'!$AP$907=TYPE4)*(TYPE4&lt;&gt;"")+('Dvd Calendar'!$AP$907=SPECIAL_LBL)*(INC_SPECIALS="Y"))=0,"",'Dvd Calendar'!$AP$905)))</f>
        <v/>
      </c>
      <c r="AO93" s="161">
        <f>IF(FQ93="","",IF(ISNUMBER('Dvd Calendar'!$AQ$905)=FALSE,"",IF((('Dvd Calendar'!$AQ$907=TYPE1)*(TYPE1&lt;&gt;"")+('Dvd Calendar'!$AQ$907=TYPE2)*(TYPE2&lt;&gt;"")+('Dvd Calendar'!$AQ$907=TYPE3)*(TYPE3&lt;&gt;"")+('Dvd Calendar'!$AQ$907=TYPE4)*(TYPE4&lt;&gt;"")+('Dvd Calendar'!$AQ$907=SPECIAL_LBL)*(INC_SPECIALS="Y"))=0,"",'Dvd Calendar'!$AQ$905)))</f>
        <v/>
      </c>
      <c r="AP93" s="161">
        <f>IF(FR93="","",IF(ISNUMBER('Dvd Calendar'!$AR$905)=FALSE,"",IF((('Dvd Calendar'!$AR$907=TYPE1)*(TYPE1&lt;&gt;"")+('Dvd Calendar'!$AR$907=TYPE2)*(TYPE2&lt;&gt;"")+('Dvd Calendar'!$AR$907=TYPE3)*(TYPE3&lt;&gt;"")+('Dvd Calendar'!$AR$907=TYPE4)*(TYPE4&lt;&gt;"")+('Dvd Calendar'!$AR$907=SPECIAL_LBL)*(INC_SPECIALS="Y"))=0,"",'Dvd Calendar'!$AR$905)))</f>
        <v/>
      </c>
      <c r="AQ93" s="161">
        <f>IF(FS93="","",IF(ISNUMBER('Dvd Calendar'!$E$910)=FALSE,"",'Dvd Calendar'!$E$910))</f>
        <v/>
      </c>
      <c r="AR93" s="161">
        <f>IF(FT93="","",IF(ISNUMBER('Dvd Calendar'!$F$910)=FALSE,"",'Dvd Calendar'!$F$910))</f>
        <v/>
      </c>
      <c r="AS93" s="161">
        <f>IF(FU93="","",IF(ISNUMBER('Dvd Calendar'!$G$910)=FALSE,"",'Dvd Calendar'!$G$910))</f>
        <v/>
      </c>
      <c r="AT93" s="161">
        <f>IF(FV93="","",IF(ISNUMBER('Dvd Calendar'!$H$910)=FALSE,"",'Dvd Calendar'!$H$910))</f>
        <v/>
      </c>
      <c r="AU93" s="161">
        <f>IF(FW93="","",IF(ISNUMBER('Dvd Calendar'!$I$910)=FALSE,"",'Dvd Calendar'!$I$910))</f>
        <v/>
      </c>
      <c r="AV93" s="161">
        <f>IF(FX93="","",IF(ISNUMBER('Dvd Calendar'!$J$910)=FALSE,"",'Dvd Calendar'!$J$910))</f>
        <v/>
      </c>
      <c r="AW93" s="161">
        <f>IF(FY93="","",IF(ISNUMBER('Dvd Calendar'!$K$910)=FALSE,"",'Dvd Calendar'!$K$910))</f>
        <v/>
      </c>
      <c r="AX93" s="161">
        <f>IF(FZ93="","",IF(ISNUMBER('Dvd Calendar'!$L$910)=FALSE,"",'Dvd Calendar'!$L$910))</f>
        <v/>
      </c>
      <c r="AY93" s="161">
        <f>IF(GA93="","",IF(ISNUMBER('Dvd Calendar'!$M$910)=FALSE,"",'Dvd Calendar'!$M$910))</f>
        <v/>
      </c>
      <c r="AZ93" s="161">
        <f>IF(GB93="","",IF(ISNUMBER('Dvd Calendar'!$N$910)=FALSE,"",'Dvd Calendar'!$N$910))</f>
        <v/>
      </c>
      <c r="BA93" s="161">
        <f>IF(GC93="","",IF(ISNUMBER('Dvd Calendar'!$O$910)=FALSE,"",'Dvd Calendar'!$O$910))</f>
        <v/>
      </c>
      <c r="BB93" s="161">
        <f>IF(GD93="","",IF(ISNUMBER('Dvd Calendar'!$P$910)=FALSE,"",'Dvd Calendar'!$P$910))</f>
        <v/>
      </c>
      <c r="BC93" s="161">
        <f>IF(GE93="","",IF(ISNUMBER('Dvd Calendar'!$Q$910)=FALSE,"",'Dvd Calendar'!$Q$910))</f>
        <v/>
      </c>
      <c r="BD93" s="161">
        <f>IF(GF93="","",IF(ISNUMBER('Dvd Calendar'!$R$910)=FALSE,"",'Dvd Calendar'!$R$910))</f>
        <v/>
      </c>
      <c r="BE93" s="161">
        <f>IF(GG93="","",IF(ISNUMBER('Dvd Calendar'!$S$910)=FALSE,"",'Dvd Calendar'!$S$910))</f>
        <v/>
      </c>
      <c r="BF93" s="161">
        <f>IF(GH93="","",IF(ISNUMBER('Dvd Calendar'!$T$910)=FALSE,"",'Dvd Calendar'!$T$910))</f>
        <v/>
      </c>
      <c r="BG93" s="161">
        <f>IF(GI93="","",IF(ISNUMBER('Dvd Calendar'!$U$910)=FALSE,"",'Dvd Calendar'!$U$910))</f>
        <v/>
      </c>
      <c r="BH93" s="161">
        <f>IF(GJ93="","",IF(ISNUMBER('Dvd Calendar'!$V$910)=FALSE,"",'Dvd Calendar'!$V$910))</f>
        <v/>
      </c>
      <c r="BI93" s="161">
        <f>IF(GK93="","",IF(ISNUMBER('Dvd Calendar'!$W$910)=FALSE,"",'Dvd Calendar'!$W$910))</f>
        <v/>
      </c>
      <c r="BJ93" s="161">
        <f>IF(GL93="","",IF(ISNUMBER('Dvd Calendar'!$X$910)=FALSE,"",'Dvd Calendar'!$X$910))</f>
        <v/>
      </c>
      <c r="BK93" s="161">
        <f>IF(GM93="","",IF(ISNUMBER('Dvd Calendar'!$Y$910)=FALSE,"",'Dvd Calendar'!$Y$910))</f>
        <v/>
      </c>
      <c r="BL93" s="161">
        <f>IF(GN93="","",IF(ISNUMBER('Dvd Calendar'!$Z$910)=FALSE,"",'Dvd Calendar'!$Z$910))</f>
        <v/>
      </c>
      <c r="BM93" s="161">
        <f>IF(GO93="","",IF(ISNUMBER('Dvd Calendar'!$AA$910)=FALSE,"",'Dvd Calendar'!$AA$910))</f>
        <v/>
      </c>
      <c r="BN93" s="161">
        <f>IF(GP93="","",IF(ISNUMBER('Dvd Calendar'!$AB$910)=FALSE,"",'Dvd Calendar'!$AB$910))</f>
        <v/>
      </c>
      <c r="BO93" s="161">
        <f>IF(GQ93="","",IF(ISNUMBER('Dvd Calendar'!$AC$910)=FALSE,"",'Dvd Calendar'!$AC$910))</f>
        <v/>
      </c>
      <c r="BQ93" s="161">
        <f>IF(C93="","",IFERROR(C93*HSI!$B$88*HSI!$G$88/HSI!$B$3,""))</f>
        <v/>
      </c>
      <c r="BR93" s="161">
        <f>IF(D93="","",IFERROR(D93*HSI!$B$88*HSI!$G$88/HSI!$B$3,""))</f>
        <v/>
      </c>
      <c r="BS93" s="161">
        <f>IF(E93="","",IFERROR(E93*HSI!$B$88*HSI!$G$88/HSI!$B$3,""))</f>
        <v/>
      </c>
      <c r="BT93" s="161">
        <f>IF(F93="","",IFERROR(F93*HSI!$B$88*HSI!$G$88/HSI!$B$3,""))</f>
        <v/>
      </c>
      <c r="BU93" s="161">
        <f>IF(G93="","",IFERROR(G93*HSI!$B$88*HSI!$G$88/HSI!$B$3,""))</f>
        <v/>
      </c>
      <c r="BV93" s="161">
        <f>IF(H93="","",IFERROR(H93*HSI!$B$88*HSI!$G$88/HSI!$B$3,""))</f>
        <v/>
      </c>
      <c r="BW93" s="161">
        <f>IF(I93="","",IFERROR(I93*HSI!$B$88*HSI!$G$88/HSI!$B$3,""))</f>
        <v/>
      </c>
      <c r="BX93" s="161">
        <f>IF(J93="","",IFERROR(J93*HSI!$B$88*HSI!$G$88/HSI!$B$3,""))</f>
        <v/>
      </c>
      <c r="BY93" s="161">
        <f>IF(K93="","",IFERROR(K93*HSI!$B$88*HSI!$G$88/HSI!$B$3,""))</f>
        <v/>
      </c>
      <c r="BZ93" s="161">
        <f>IF(L93="","",IFERROR(L93*HSI!$B$88*HSI!$G$88/HSI!$B$3,""))</f>
        <v/>
      </c>
      <c r="CA93" s="161">
        <f>IF(M93="","",IFERROR(M93*HSI!$B$88*HSI!$G$88/HSI!$B$3,""))</f>
        <v/>
      </c>
      <c r="CB93" s="161">
        <f>IF(N93="","",IFERROR(N93*HSI!$B$88*HSI!$G$88/HSI!$B$3,""))</f>
        <v/>
      </c>
      <c r="CC93" s="161">
        <f>IF(O93="","",IFERROR(O93*HSI!$B$88*HSI!$G$88/HSI!$B$3,""))</f>
        <v/>
      </c>
      <c r="CD93" s="161">
        <f>IF(P93="","",IFERROR(P93*HSI!$B$88*HSI!$G$88/HSI!$B$3,""))</f>
        <v/>
      </c>
      <c r="CE93" s="161">
        <f>IF(Q93="","",IFERROR(Q93*HSI!$B$88*HSI!$G$88/HSI!$B$3,""))</f>
        <v/>
      </c>
      <c r="CF93" s="161">
        <f>IF(R93="","",IFERROR(R93*HSI!$B$88*HSI!$G$88/HSI!$B$3,""))</f>
        <v/>
      </c>
      <c r="CG93" s="161">
        <f>IF(S93="","",IFERROR(S93*HSI!$B$88*HSI!$G$88/HSI!$B$3,""))</f>
        <v/>
      </c>
      <c r="CH93" s="161">
        <f>IF(T93="","",IFERROR(T93*HSI!$B$88*HSI!$G$88/HSI!$B$3,""))</f>
        <v/>
      </c>
      <c r="CI93" s="161">
        <f>IF(U93="","",IFERROR(U93*HSI!$B$88*HSI!$G$88/HSI!$B$3,""))</f>
        <v/>
      </c>
      <c r="CJ93" s="161">
        <f>IF(V93="","",IFERROR(V93*HSI!$B$88*HSI!$G$88/HSI!$B$3,""))</f>
        <v/>
      </c>
      <c r="CK93" s="161">
        <f>IF(W93="","",IFERROR(W93*HSI!$B$88*HSI!$G$88/HSI!$B$3,""))</f>
        <v/>
      </c>
      <c r="CL93" s="161">
        <f>IF(X93="","",IFERROR(X93*HSI!$B$88*HSI!$G$88/HSI!$B$3,""))</f>
        <v/>
      </c>
      <c r="CM93" s="161">
        <f>IF(Y93="","",IFERROR(Y93*HSI!$B$88*HSI!$G$88/HSI!$B$3,""))</f>
        <v/>
      </c>
      <c r="CN93" s="161">
        <f>IF(Z93="","",IFERROR(Z93*HSI!$B$88*HSI!$G$88/HSI!$B$3,""))</f>
        <v/>
      </c>
      <c r="CO93" s="161">
        <f>IF(AA93="","",IFERROR(AA93*HSI!$B$88*HSI!$G$88/HSI!$B$3,""))</f>
        <v/>
      </c>
      <c r="CP93" s="161">
        <f>IF(AB93="","",IFERROR(AB93*HSI!$B$88*HSI!$G$88/HSI!$B$3,""))</f>
        <v/>
      </c>
      <c r="CQ93" s="161">
        <f>IF(AC93="","",IFERROR(AC93*HSI!$B$88*HSI!$G$88/HSI!$B$3,""))</f>
        <v/>
      </c>
      <c r="CR93" s="161">
        <f>IF(AD93="","",IFERROR(AD93*HSI!$B$88*HSI!$G$88/HSI!$B$3,""))</f>
        <v/>
      </c>
      <c r="CS93" s="161">
        <f>IF(AE93="","",IFERROR(AE93*HSI!$B$88*HSI!$G$88/HSI!$B$3,""))</f>
        <v/>
      </c>
      <c r="CT93" s="161">
        <f>IF(AF93="","",IFERROR(AF93*HSI!$B$88*HSI!$G$88/HSI!$B$3,""))</f>
        <v/>
      </c>
      <c r="CU93" s="161">
        <f>IF(AG93="","",IFERROR(AG93*HSI!$B$88*HSI!$G$88/HSI!$B$3,""))</f>
        <v/>
      </c>
      <c r="CV93" s="161">
        <f>IF(AH93="","",IFERROR(AH93*HSI!$B$88*HSI!$G$88/HSI!$B$3,""))</f>
        <v/>
      </c>
      <c r="CW93" s="161">
        <f>IF(AI93="","",IFERROR(AI93*HSI!$B$88*HSI!$G$88/HSI!$B$3,""))</f>
        <v/>
      </c>
      <c r="CX93" s="161">
        <f>IF(AJ93="","",IFERROR(AJ93*HSI!$B$88*HSI!$G$88/HSI!$B$3,""))</f>
        <v/>
      </c>
      <c r="CY93" s="161">
        <f>IF(AK93="","",IFERROR(AK93*HSI!$B$88*HSI!$G$88/HSI!$B$3,""))</f>
        <v/>
      </c>
      <c r="CZ93" s="161">
        <f>IF(AL93="","",IFERROR(AL93*HSI!$B$88*HSI!$G$88/HSI!$B$3,""))</f>
        <v/>
      </c>
      <c r="DA93" s="161">
        <f>IF(AM93="","",IFERROR(AM93*HSI!$B$88*HSI!$G$88/HSI!$B$3,""))</f>
        <v/>
      </c>
      <c r="DB93" s="161">
        <f>IF(AN93="","",IFERROR(AN93*HSI!$B$88*HSI!$G$88/HSI!$B$3,""))</f>
        <v/>
      </c>
      <c r="DC93" s="161">
        <f>IF(AO93="","",IFERROR(AO93*HSI!$B$88*HSI!$G$88/HSI!$B$3,""))</f>
        <v/>
      </c>
      <c r="DD93" s="161">
        <f>IF(AP93="","",IFERROR(AP93*HSI!$B$88*HSI!$G$88/HSI!$B$3,""))</f>
        <v/>
      </c>
      <c r="DE93" s="161">
        <f>IF(AQ93="","",IFERROR(AQ93*HSI!$B$88*HSI!$G$88/HSI!$B$3,""))</f>
        <v/>
      </c>
      <c r="DF93" s="161">
        <f>IF(AR93="","",IFERROR(AR93*HSI!$B$88*HSI!$G$88/HSI!$B$3,""))</f>
        <v/>
      </c>
      <c r="DG93" s="161">
        <f>IF(AS93="","",IFERROR(AS93*HSI!$B$88*HSI!$G$88/HSI!$B$3,""))</f>
        <v/>
      </c>
      <c r="DH93" s="161">
        <f>IF(AT93="","",IFERROR(AT93*HSI!$B$88*HSI!$G$88/HSI!$B$3,""))</f>
        <v/>
      </c>
      <c r="DI93" s="161">
        <f>IF(AU93="","",IFERROR(AU93*HSI!$B$88*HSI!$G$88/HSI!$B$3,""))</f>
        <v/>
      </c>
      <c r="DJ93" s="161">
        <f>IF(AV93="","",IFERROR(AV93*HSI!$B$88*HSI!$G$88/HSI!$B$3,""))</f>
        <v/>
      </c>
      <c r="DK93" s="161">
        <f>IF(AW93="","",IFERROR(AW93*HSI!$B$88*HSI!$G$88/HSI!$B$3,""))</f>
        <v/>
      </c>
      <c r="DL93" s="161">
        <f>IF(AX93="","",IFERROR(AX93*HSI!$B$88*HSI!$G$88/HSI!$B$3,""))</f>
        <v/>
      </c>
      <c r="DM93" s="161">
        <f>IF(AY93="","",IFERROR(AY93*HSI!$B$88*HSI!$G$88/HSI!$B$3,""))</f>
        <v/>
      </c>
      <c r="DN93" s="161">
        <f>IF(AZ93="","",IFERROR(AZ93*HSI!$B$88*HSI!$G$88/HSI!$B$3,""))</f>
        <v/>
      </c>
      <c r="DO93" s="161">
        <f>IF(BA93="","",IFERROR(BA93*HSI!$B$88*HSI!$G$88/HSI!$B$3,""))</f>
        <v/>
      </c>
      <c r="DP93" s="161">
        <f>IF(BB93="","",IFERROR(BB93*HSI!$B$88*HSI!$G$88/HSI!$B$3,""))</f>
        <v/>
      </c>
      <c r="DQ93" s="161">
        <f>IF(BC93="","",IFERROR(BC93*HSI!$B$88*HSI!$G$88/HSI!$B$3,""))</f>
        <v/>
      </c>
      <c r="DR93" s="161">
        <f>IF(BD93="","",IFERROR(BD93*HSI!$B$88*HSI!$G$88/HSI!$B$3,""))</f>
        <v/>
      </c>
      <c r="DS93" s="161">
        <f>IF(BE93="","",IFERROR(BE93*HSI!$B$88*HSI!$G$88/HSI!$B$3,""))</f>
        <v/>
      </c>
      <c r="DT93" s="161">
        <f>IF(BF93="","",IFERROR(BF93*HSI!$B$88*HSI!$G$88/HSI!$B$3,""))</f>
        <v/>
      </c>
      <c r="DU93" s="161">
        <f>IF(BG93="","",IFERROR(BG93*HSI!$B$88*HSI!$G$88/HSI!$B$3,""))</f>
        <v/>
      </c>
      <c r="DV93" s="161">
        <f>IF(BH93="","",IFERROR(BH93*HSI!$B$88*HSI!$G$88/HSI!$B$3,""))</f>
        <v/>
      </c>
      <c r="DW93" s="161">
        <f>IF(BI93="","",IFERROR(BI93*HSI!$B$88*HSI!$G$88/HSI!$B$3,""))</f>
        <v/>
      </c>
      <c r="DX93" s="161">
        <f>IF(BJ93="","",IFERROR(BJ93*HSI!$B$88*HSI!$G$88/HSI!$B$3,""))</f>
        <v/>
      </c>
      <c r="DY93" s="161">
        <f>IF(BK93="","",IFERROR(BK93*HSI!$B$88*HSI!$G$88/HSI!$B$3,""))</f>
        <v/>
      </c>
      <c r="DZ93" s="161">
        <f>IF(BL93="","",IFERROR(BL93*HSI!$B$88*HSI!$G$88/HSI!$B$3,""))</f>
        <v/>
      </c>
      <c r="EA93" s="161">
        <f>IF(BM93="","",IFERROR(BM93*HSI!$B$88*HSI!$G$88/HSI!$B$3,""))</f>
        <v/>
      </c>
      <c r="EB93" s="161">
        <f>IF(BN93="","",IFERROR(BN93*HSI!$B$88*HSI!$G$88/HSI!$B$3,""))</f>
        <v/>
      </c>
      <c r="EC93" s="161">
        <f>IF(BO93="","",IFERROR(BO93*HSI!$B$88*HSI!$G$88/HSI!$B$3,""))</f>
        <v/>
      </c>
      <c r="EE93" s="121">
        <f>IF(N('Dvd Calendar'!$E$902)=0,"",IF(('Dvd Calendar'!$E$902&gt;=GRID_FROM)*('Dvd Calendar'!$E$902&lt;=GRID_TO)*((('Dvd Calendar'!$E$902&lt;=VAL_DATE)+(COUNTIF('Dvd Calendar'!$E$909:$AR$909,'Dvd Calendar'!$E$902)=0))&gt;0)=0,"",'Dvd Calendar'!$E$902*1000000000+ISNUMBER('Dvd Calendar'!$E$905)*100000000+('Dvd Calendar'!$E$907=SPECIAL_LBL)*10000000+(N('Dvd Calendar'!$E$901)&gt;0)*(N('Dvd Calendar'!$E$901)&lt;=VAL_SERIAL)*1000000+82*1000+1))</f>
        <v/>
      </c>
      <c r="EF93" s="121">
        <f>IF(N('Dvd Calendar'!$F$902)=0,"",IF(('Dvd Calendar'!$F$902&gt;=GRID_FROM)*('Dvd Calendar'!$F$902&lt;=GRID_TO)*((('Dvd Calendar'!$F$902&lt;=VAL_DATE)+(COUNTIF('Dvd Calendar'!$E$909:$AR$909,'Dvd Calendar'!$F$902)=0))&gt;0)=0,"",'Dvd Calendar'!$F$902*1000000000+ISNUMBER('Dvd Calendar'!$F$905)*100000000+('Dvd Calendar'!$F$907=SPECIAL_LBL)*10000000+(N('Dvd Calendar'!$F$901)&gt;0)*(N('Dvd Calendar'!$F$901)&lt;=VAL_SERIAL)*1000000+82*1000+2))</f>
        <v/>
      </c>
      <c r="EG93" s="121">
        <f>IF(N('Dvd Calendar'!$G$902)=0,"",IF(('Dvd Calendar'!$G$902&gt;=GRID_FROM)*('Dvd Calendar'!$G$902&lt;=GRID_TO)*((('Dvd Calendar'!$G$902&lt;=VAL_DATE)+(COUNTIF('Dvd Calendar'!$E$909:$AR$909,'Dvd Calendar'!$G$902)=0))&gt;0)=0,"",'Dvd Calendar'!$G$902*1000000000+ISNUMBER('Dvd Calendar'!$G$905)*100000000+('Dvd Calendar'!$G$907=SPECIAL_LBL)*10000000+(N('Dvd Calendar'!$G$901)&gt;0)*(N('Dvd Calendar'!$G$901)&lt;=VAL_SERIAL)*1000000+82*1000+3))</f>
        <v/>
      </c>
      <c r="EH93" s="121">
        <f>IF(N('Dvd Calendar'!$H$902)=0,"",IF(('Dvd Calendar'!$H$902&gt;=GRID_FROM)*('Dvd Calendar'!$H$902&lt;=GRID_TO)*((('Dvd Calendar'!$H$902&lt;=VAL_DATE)+(COUNTIF('Dvd Calendar'!$E$909:$AR$909,'Dvd Calendar'!$H$902)=0))&gt;0)=0,"",'Dvd Calendar'!$H$902*1000000000+ISNUMBER('Dvd Calendar'!$H$905)*100000000+('Dvd Calendar'!$H$907=SPECIAL_LBL)*10000000+(N('Dvd Calendar'!$H$901)&gt;0)*(N('Dvd Calendar'!$H$901)&lt;=VAL_SERIAL)*1000000+82*1000+4))</f>
        <v/>
      </c>
      <c r="EI93" s="121">
        <f>IF(N('Dvd Calendar'!$I$902)=0,"",IF(('Dvd Calendar'!$I$902&gt;=GRID_FROM)*('Dvd Calendar'!$I$902&lt;=GRID_TO)*((('Dvd Calendar'!$I$902&lt;=VAL_DATE)+(COUNTIF('Dvd Calendar'!$E$909:$AR$909,'Dvd Calendar'!$I$902)=0))&gt;0)=0,"",'Dvd Calendar'!$I$902*1000000000+ISNUMBER('Dvd Calendar'!$I$905)*100000000+('Dvd Calendar'!$I$907=SPECIAL_LBL)*10000000+(N('Dvd Calendar'!$I$901)&gt;0)*(N('Dvd Calendar'!$I$901)&lt;=VAL_SERIAL)*1000000+82*1000+5))</f>
        <v/>
      </c>
      <c r="EJ93" s="121">
        <f>IF(N('Dvd Calendar'!$J$902)=0,"",IF(('Dvd Calendar'!$J$902&gt;=GRID_FROM)*('Dvd Calendar'!$J$902&lt;=GRID_TO)*((('Dvd Calendar'!$J$902&lt;=VAL_DATE)+(COUNTIF('Dvd Calendar'!$E$909:$AR$909,'Dvd Calendar'!$J$902)=0))&gt;0)=0,"",'Dvd Calendar'!$J$902*1000000000+ISNUMBER('Dvd Calendar'!$J$905)*100000000+('Dvd Calendar'!$J$907=SPECIAL_LBL)*10000000+(N('Dvd Calendar'!$J$901)&gt;0)*(N('Dvd Calendar'!$J$901)&lt;=VAL_SERIAL)*1000000+82*1000+6))</f>
        <v/>
      </c>
      <c r="EK93" s="121">
        <f>IF(N('Dvd Calendar'!$K$902)=0,"",IF(('Dvd Calendar'!$K$902&gt;=GRID_FROM)*('Dvd Calendar'!$K$902&lt;=GRID_TO)*((('Dvd Calendar'!$K$902&lt;=VAL_DATE)+(COUNTIF('Dvd Calendar'!$E$909:$AR$909,'Dvd Calendar'!$K$902)=0))&gt;0)=0,"",'Dvd Calendar'!$K$902*1000000000+ISNUMBER('Dvd Calendar'!$K$905)*100000000+('Dvd Calendar'!$K$907=SPECIAL_LBL)*10000000+(N('Dvd Calendar'!$K$901)&gt;0)*(N('Dvd Calendar'!$K$901)&lt;=VAL_SERIAL)*1000000+82*1000+7))</f>
        <v/>
      </c>
      <c r="EL93" s="121">
        <f>IF(N('Dvd Calendar'!$L$902)=0,"",IF(('Dvd Calendar'!$L$902&gt;=GRID_FROM)*('Dvd Calendar'!$L$902&lt;=GRID_TO)*((('Dvd Calendar'!$L$902&lt;=VAL_DATE)+(COUNTIF('Dvd Calendar'!$E$909:$AR$909,'Dvd Calendar'!$L$902)=0))&gt;0)=0,"",'Dvd Calendar'!$L$902*1000000000+ISNUMBER('Dvd Calendar'!$L$905)*100000000+('Dvd Calendar'!$L$907=SPECIAL_LBL)*10000000+(N('Dvd Calendar'!$L$901)&gt;0)*(N('Dvd Calendar'!$L$901)&lt;=VAL_SERIAL)*1000000+82*1000+8))</f>
        <v/>
      </c>
      <c r="EM93" s="121">
        <f>IF(N('Dvd Calendar'!$M$902)=0,"",IF(('Dvd Calendar'!$M$902&gt;=GRID_FROM)*('Dvd Calendar'!$M$902&lt;=GRID_TO)*((('Dvd Calendar'!$M$902&lt;=VAL_DATE)+(COUNTIF('Dvd Calendar'!$E$909:$AR$909,'Dvd Calendar'!$M$902)=0))&gt;0)=0,"",'Dvd Calendar'!$M$902*1000000000+ISNUMBER('Dvd Calendar'!$M$905)*100000000+('Dvd Calendar'!$M$907=SPECIAL_LBL)*10000000+(N('Dvd Calendar'!$M$901)&gt;0)*(N('Dvd Calendar'!$M$901)&lt;=VAL_SERIAL)*1000000+82*1000+9))</f>
        <v/>
      </c>
      <c r="EN93" s="121">
        <f>IF(N('Dvd Calendar'!$N$902)=0,"",IF(('Dvd Calendar'!$N$902&gt;=GRID_FROM)*('Dvd Calendar'!$N$902&lt;=GRID_TO)*((('Dvd Calendar'!$N$902&lt;=VAL_DATE)+(COUNTIF('Dvd Calendar'!$E$909:$AR$909,'Dvd Calendar'!$N$902)=0))&gt;0)=0,"",'Dvd Calendar'!$N$902*1000000000+ISNUMBER('Dvd Calendar'!$N$905)*100000000+('Dvd Calendar'!$N$907=SPECIAL_LBL)*10000000+(N('Dvd Calendar'!$N$901)&gt;0)*(N('Dvd Calendar'!$N$901)&lt;=VAL_SERIAL)*1000000+82*1000+10))</f>
        <v/>
      </c>
      <c r="EO93" s="121">
        <f>IF(N('Dvd Calendar'!$O$902)=0,"",IF(('Dvd Calendar'!$O$902&gt;=GRID_FROM)*('Dvd Calendar'!$O$902&lt;=GRID_TO)*((('Dvd Calendar'!$O$902&lt;=VAL_DATE)+(COUNTIF('Dvd Calendar'!$E$909:$AR$909,'Dvd Calendar'!$O$902)=0))&gt;0)=0,"",'Dvd Calendar'!$O$902*1000000000+ISNUMBER('Dvd Calendar'!$O$905)*100000000+('Dvd Calendar'!$O$907=SPECIAL_LBL)*10000000+(N('Dvd Calendar'!$O$901)&gt;0)*(N('Dvd Calendar'!$O$901)&lt;=VAL_SERIAL)*1000000+82*1000+11))</f>
        <v/>
      </c>
      <c r="EP93" s="121">
        <f>IF(N('Dvd Calendar'!$P$902)=0,"",IF(('Dvd Calendar'!$P$902&gt;=GRID_FROM)*('Dvd Calendar'!$P$902&lt;=GRID_TO)*((('Dvd Calendar'!$P$902&lt;=VAL_DATE)+(COUNTIF('Dvd Calendar'!$E$909:$AR$909,'Dvd Calendar'!$P$902)=0))&gt;0)=0,"",'Dvd Calendar'!$P$902*1000000000+ISNUMBER('Dvd Calendar'!$P$905)*100000000+('Dvd Calendar'!$P$907=SPECIAL_LBL)*10000000+(N('Dvd Calendar'!$P$901)&gt;0)*(N('Dvd Calendar'!$P$901)&lt;=VAL_SERIAL)*1000000+82*1000+12))</f>
        <v/>
      </c>
      <c r="EQ93" s="121">
        <f>IF(N('Dvd Calendar'!$Q$902)=0,"",IF(('Dvd Calendar'!$Q$902&gt;=GRID_FROM)*('Dvd Calendar'!$Q$902&lt;=GRID_TO)*((('Dvd Calendar'!$Q$902&lt;=VAL_DATE)+(COUNTIF('Dvd Calendar'!$E$909:$AR$909,'Dvd Calendar'!$Q$902)=0))&gt;0)=0,"",'Dvd Calendar'!$Q$902*1000000000+ISNUMBER('Dvd Calendar'!$Q$905)*100000000+('Dvd Calendar'!$Q$907=SPECIAL_LBL)*10000000+(N('Dvd Calendar'!$Q$901)&gt;0)*(N('Dvd Calendar'!$Q$901)&lt;=VAL_SERIAL)*1000000+82*1000+13))</f>
        <v/>
      </c>
      <c r="ER93" s="121">
        <f>IF(N('Dvd Calendar'!$R$902)=0,"",IF(('Dvd Calendar'!$R$902&gt;=GRID_FROM)*('Dvd Calendar'!$R$902&lt;=GRID_TO)*((('Dvd Calendar'!$R$902&lt;=VAL_DATE)+(COUNTIF('Dvd Calendar'!$E$909:$AR$909,'Dvd Calendar'!$R$902)=0))&gt;0)=0,"",'Dvd Calendar'!$R$902*1000000000+ISNUMBER('Dvd Calendar'!$R$905)*100000000+('Dvd Calendar'!$R$907=SPECIAL_LBL)*10000000+(N('Dvd Calendar'!$R$901)&gt;0)*(N('Dvd Calendar'!$R$901)&lt;=VAL_SERIAL)*1000000+82*1000+14))</f>
        <v/>
      </c>
      <c r="ES93" s="121">
        <f>IF(N('Dvd Calendar'!$S$902)=0,"",IF(('Dvd Calendar'!$S$902&gt;=GRID_FROM)*('Dvd Calendar'!$S$902&lt;=GRID_TO)*((('Dvd Calendar'!$S$902&lt;=VAL_DATE)+(COUNTIF('Dvd Calendar'!$E$909:$AR$909,'Dvd Calendar'!$S$902)=0))&gt;0)=0,"",'Dvd Calendar'!$S$902*1000000000+ISNUMBER('Dvd Calendar'!$S$905)*100000000+('Dvd Calendar'!$S$907=SPECIAL_LBL)*10000000+(N('Dvd Calendar'!$S$901)&gt;0)*(N('Dvd Calendar'!$S$901)&lt;=VAL_SERIAL)*1000000+82*1000+15))</f>
        <v/>
      </c>
      <c r="ET93" s="121">
        <f>IF(N('Dvd Calendar'!$T$902)=0,"",IF(('Dvd Calendar'!$T$902&gt;=GRID_FROM)*('Dvd Calendar'!$T$902&lt;=GRID_TO)*((('Dvd Calendar'!$T$902&lt;=VAL_DATE)+(COUNTIF('Dvd Calendar'!$E$909:$AR$909,'Dvd Calendar'!$T$902)=0))&gt;0)=0,"",'Dvd Calendar'!$T$902*1000000000+ISNUMBER('Dvd Calendar'!$T$905)*100000000+('Dvd Calendar'!$T$907=SPECIAL_LBL)*10000000+(N('Dvd Calendar'!$T$901)&gt;0)*(N('Dvd Calendar'!$T$901)&lt;=VAL_SERIAL)*1000000+82*1000+16))</f>
        <v/>
      </c>
      <c r="EU93" s="121">
        <f>IF(N('Dvd Calendar'!$U$902)=0,"",IF(('Dvd Calendar'!$U$902&gt;=GRID_FROM)*('Dvd Calendar'!$U$902&lt;=GRID_TO)*((('Dvd Calendar'!$U$902&lt;=VAL_DATE)+(COUNTIF('Dvd Calendar'!$E$909:$AR$909,'Dvd Calendar'!$U$902)=0))&gt;0)=0,"",'Dvd Calendar'!$U$902*1000000000+ISNUMBER('Dvd Calendar'!$U$905)*100000000+('Dvd Calendar'!$U$907=SPECIAL_LBL)*10000000+(N('Dvd Calendar'!$U$901)&gt;0)*(N('Dvd Calendar'!$U$901)&lt;=VAL_SERIAL)*1000000+82*1000+17))</f>
        <v/>
      </c>
      <c r="EV93" s="121">
        <f>IF(N('Dvd Calendar'!$V$902)=0,"",IF(('Dvd Calendar'!$V$902&gt;=GRID_FROM)*('Dvd Calendar'!$V$902&lt;=GRID_TO)*((('Dvd Calendar'!$V$902&lt;=VAL_DATE)+(COUNTIF('Dvd Calendar'!$E$909:$AR$909,'Dvd Calendar'!$V$902)=0))&gt;0)=0,"",'Dvd Calendar'!$V$902*1000000000+ISNUMBER('Dvd Calendar'!$V$905)*100000000+('Dvd Calendar'!$V$907=SPECIAL_LBL)*10000000+(N('Dvd Calendar'!$V$901)&gt;0)*(N('Dvd Calendar'!$V$901)&lt;=VAL_SERIAL)*1000000+82*1000+18))</f>
        <v/>
      </c>
      <c r="EW93" s="121">
        <f>IF(N('Dvd Calendar'!$W$902)=0,"",IF(('Dvd Calendar'!$W$902&gt;=GRID_FROM)*('Dvd Calendar'!$W$902&lt;=GRID_TO)*((('Dvd Calendar'!$W$902&lt;=VAL_DATE)+(COUNTIF('Dvd Calendar'!$E$909:$AR$909,'Dvd Calendar'!$W$902)=0))&gt;0)=0,"",'Dvd Calendar'!$W$902*1000000000+ISNUMBER('Dvd Calendar'!$W$905)*100000000+('Dvd Calendar'!$W$907=SPECIAL_LBL)*10000000+(N('Dvd Calendar'!$W$901)&gt;0)*(N('Dvd Calendar'!$W$901)&lt;=VAL_SERIAL)*1000000+82*1000+19))</f>
        <v/>
      </c>
      <c r="EX93" s="121">
        <f>IF(N('Dvd Calendar'!$X$902)=0,"",IF(('Dvd Calendar'!$X$902&gt;=GRID_FROM)*('Dvd Calendar'!$X$902&lt;=GRID_TO)*((('Dvd Calendar'!$X$902&lt;=VAL_DATE)+(COUNTIF('Dvd Calendar'!$E$909:$AR$909,'Dvd Calendar'!$X$902)=0))&gt;0)=0,"",'Dvd Calendar'!$X$902*1000000000+ISNUMBER('Dvd Calendar'!$X$905)*100000000+('Dvd Calendar'!$X$907=SPECIAL_LBL)*10000000+(N('Dvd Calendar'!$X$901)&gt;0)*(N('Dvd Calendar'!$X$901)&lt;=VAL_SERIAL)*1000000+82*1000+20))</f>
        <v/>
      </c>
      <c r="EY93" s="121">
        <f>IF(N('Dvd Calendar'!$Y$902)=0,"",IF(('Dvd Calendar'!$Y$902&gt;=GRID_FROM)*('Dvd Calendar'!$Y$902&lt;=GRID_TO)*((('Dvd Calendar'!$Y$902&lt;=VAL_DATE)+(COUNTIF('Dvd Calendar'!$E$909:$AR$909,'Dvd Calendar'!$Y$902)=0))&gt;0)=0,"",'Dvd Calendar'!$Y$902*1000000000+ISNUMBER('Dvd Calendar'!$Y$905)*100000000+('Dvd Calendar'!$Y$907=SPECIAL_LBL)*10000000+(N('Dvd Calendar'!$Y$901)&gt;0)*(N('Dvd Calendar'!$Y$901)&lt;=VAL_SERIAL)*1000000+82*1000+21))</f>
        <v/>
      </c>
      <c r="EZ93" s="121">
        <f>IF(N('Dvd Calendar'!$Z$902)=0,"",IF(('Dvd Calendar'!$Z$902&gt;=GRID_FROM)*('Dvd Calendar'!$Z$902&lt;=GRID_TO)*((('Dvd Calendar'!$Z$902&lt;=VAL_DATE)+(COUNTIF('Dvd Calendar'!$E$909:$AR$909,'Dvd Calendar'!$Z$902)=0))&gt;0)=0,"",'Dvd Calendar'!$Z$902*1000000000+ISNUMBER('Dvd Calendar'!$Z$905)*100000000+('Dvd Calendar'!$Z$907=SPECIAL_LBL)*10000000+(N('Dvd Calendar'!$Z$901)&gt;0)*(N('Dvd Calendar'!$Z$901)&lt;=VAL_SERIAL)*1000000+82*1000+22))</f>
        <v/>
      </c>
      <c r="FA93" s="121">
        <f>IF(N('Dvd Calendar'!$AA$902)=0,"",IF(('Dvd Calendar'!$AA$902&gt;=GRID_FROM)*('Dvd Calendar'!$AA$902&lt;=GRID_TO)*((('Dvd Calendar'!$AA$902&lt;=VAL_DATE)+(COUNTIF('Dvd Calendar'!$E$909:$AR$909,'Dvd Calendar'!$AA$902)=0))&gt;0)=0,"",'Dvd Calendar'!$AA$902*1000000000+ISNUMBER('Dvd Calendar'!$AA$905)*100000000+('Dvd Calendar'!$AA$907=SPECIAL_LBL)*10000000+(N('Dvd Calendar'!$AA$901)&gt;0)*(N('Dvd Calendar'!$AA$901)&lt;=VAL_SERIAL)*1000000+82*1000+23))</f>
        <v/>
      </c>
      <c r="FB93" s="121">
        <f>IF(N('Dvd Calendar'!$AB$902)=0,"",IF(('Dvd Calendar'!$AB$902&gt;=GRID_FROM)*('Dvd Calendar'!$AB$902&lt;=GRID_TO)*((('Dvd Calendar'!$AB$902&lt;=VAL_DATE)+(COUNTIF('Dvd Calendar'!$E$909:$AR$909,'Dvd Calendar'!$AB$902)=0))&gt;0)=0,"",'Dvd Calendar'!$AB$902*1000000000+ISNUMBER('Dvd Calendar'!$AB$905)*100000000+('Dvd Calendar'!$AB$907=SPECIAL_LBL)*10000000+(N('Dvd Calendar'!$AB$901)&gt;0)*(N('Dvd Calendar'!$AB$901)&lt;=VAL_SERIAL)*1000000+82*1000+24))</f>
        <v/>
      </c>
      <c r="FC93" s="121">
        <f>IF(N('Dvd Calendar'!$AC$902)=0,"",IF(('Dvd Calendar'!$AC$902&gt;=GRID_FROM)*('Dvd Calendar'!$AC$902&lt;=GRID_TO)*((('Dvd Calendar'!$AC$902&lt;=VAL_DATE)+(COUNTIF('Dvd Calendar'!$E$909:$AR$909,'Dvd Calendar'!$AC$902)=0))&gt;0)=0,"",'Dvd Calendar'!$AC$902*1000000000+ISNUMBER('Dvd Calendar'!$AC$905)*100000000+('Dvd Calendar'!$AC$907=SPECIAL_LBL)*10000000+(N('Dvd Calendar'!$AC$901)&gt;0)*(N('Dvd Calendar'!$AC$901)&lt;=VAL_SERIAL)*1000000+82*1000+25))</f>
        <v/>
      </c>
      <c r="FD93" s="121">
        <f>IF(N('Dvd Calendar'!$AD$902)=0,"",IF(('Dvd Calendar'!$AD$902&gt;=GRID_FROM)*('Dvd Calendar'!$AD$902&lt;=GRID_TO)*((('Dvd Calendar'!$AD$902&lt;=VAL_DATE)+(COUNTIF('Dvd Calendar'!$E$909:$AR$909,'Dvd Calendar'!$AD$902)=0))&gt;0)=0,"",'Dvd Calendar'!$AD$902*1000000000+ISNUMBER('Dvd Calendar'!$AD$905)*100000000+('Dvd Calendar'!$AD$907=SPECIAL_LBL)*10000000+(N('Dvd Calendar'!$AD$901)&gt;0)*(N('Dvd Calendar'!$AD$901)&lt;=VAL_SERIAL)*1000000+82*1000+26))</f>
        <v/>
      </c>
      <c r="FE93" s="121">
        <f>IF(N('Dvd Calendar'!$AE$902)=0,"",IF(('Dvd Calendar'!$AE$902&gt;=GRID_FROM)*('Dvd Calendar'!$AE$902&lt;=GRID_TO)*((('Dvd Calendar'!$AE$902&lt;=VAL_DATE)+(COUNTIF('Dvd Calendar'!$E$909:$AR$909,'Dvd Calendar'!$AE$902)=0))&gt;0)=0,"",'Dvd Calendar'!$AE$902*1000000000+ISNUMBER('Dvd Calendar'!$AE$905)*100000000+('Dvd Calendar'!$AE$907=SPECIAL_LBL)*10000000+(N('Dvd Calendar'!$AE$901)&gt;0)*(N('Dvd Calendar'!$AE$901)&lt;=VAL_SERIAL)*1000000+82*1000+27))</f>
        <v/>
      </c>
      <c r="FF93" s="121">
        <f>IF(N('Dvd Calendar'!$AF$902)=0,"",IF(('Dvd Calendar'!$AF$902&gt;=GRID_FROM)*('Dvd Calendar'!$AF$902&lt;=GRID_TO)*((('Dvd Calendar'!$AF$902&lt;=VAL_DATE)+(COUNTIF('Dvd Calendar'!$E$909:$AR$909,'Dvd Calendar'!$AF$902)=0))&gt;0)=0,"",'Dvd Calendar'!$AF$902*1000000000+ISNUMBER('Dvd Calendar'!$AF$905)*100000000+('Dvd Calendar'!$AF$907=SPECIAL_LBL)*10000000+(N('Dvd Calendar'!$AF$901)&gt;0)*(N('Dvd Calendar'!$AF$901)&lt;=VAL_SERIAL)*1000000+82*1000+28))</f>
        <v/>
      </c>
      <c r="FG93" s="121">
        <f>IF(N('Dvd Calendar'!$AG$902)=0,"",IF(('Dvd Calendar'!$AG$902&gt;=GRID_FROM)*('Dvd Calendar'!$AG$902&lt;=GRID_TO)*((('Dvd Calendar'!$AG$902&lt;=VAL_DATE)+(COUNTIF('Dvd Calendar'!$E$909:$AR$909,'Dvd Calendar'!$AG$902)=0))&gt;0)=0,"",'Dvd Calendar'!$AG$902*1000000000+ISNUMBER('Dvd Calendar'!$AG$905)*100000000+('Dvd Calendar'!$AG$907=SPECIAL_LBL)*10000000+(N('Dvd Calendar'!$AG$901)&gt;0)*(N('Dvd Calendar'!$AG$901)&lt;=VAL_SERIAL)*1000000+82*1000+29))</f>
        <v/>
      </c>
      <c r="FH93" s="121">
        <f>IF(N('Dvd Calendar'!$AH$902)=0,"",IF(('Dvd Calendar'!$AH$902&gt;=GRID_FROM)*('Dvd Calendar'!$AH$902&lt;=GRID_TO)*((('Dvd Calendar'!$AH$902&lt;=VAL_DATE)+(COUNTIF('Dvd Calendar'!$E$909:$AR$909,'Dvd Calendar'!$AH$902)=0))&gt;0)=0,"",'Dvd Calendar'!$AH$902*1000000000+ISNUMBER('Dvd Calendar'!$AH$905)*100000000+('Dvd Calendar'!$AH$907=SPECIAL_LBL)*10000000+(N('Dvd Calendar'!$AH$901)&gt;0)*(N('Dvd Calendar'!$AH$901)&lt;=VAL_SERIAL)*1000000+82*1000+30))</f>
        <v/>
      </c>
      <c r="FI93" s="121">
        <f>IF(N('Dvd Calendar'!$AI$902)=0,"",IF(('Dvd Calendar'!$AI$902&gt;=GRID_FROM)*('Dvd Calendar'!$AI$902&lt;=GRID_TO)*((('Dvd Calendar'!$AI$902&lt;=VAL_DATE)+(COUNTIF('Dvd Calendar'!$E$909:$AR$909,'Dvd Calendar'!$AI$902)=0))&gt;0)=0,"",'Dvd Calendar'!$AI$902*1000000000+ISNUMBER('Dvd Calendar'!$AI$905)*100000000+('Dvd Calendar'!$AI$907=SPECIAL_LBL)*10000000+(N('Dvd Calendar'!$AI$901)&gt;0)*(N('Dvd Calendar'!$AI$901)&lt;=VAL_SERIAL)*1000000+82*1000+31))</f>
        <v/>
      </c>
      <c r="FJ93" s="121">
        <f>IF(N('Dvd Calendar'!$AJ$902)=0,"",IF(('Dvd Calendar'!$AJ$902&gt;=GRID_FROM)*('Dvd Calendar'!$AJ$902&lt;=GRID_TO)*((('Dvd Calendar'!$AJ$902&lt;=VAL_DATE)+(COUNTIF('Dvd Calendar'!$E$909:$AR$909,'Dvd Calendar'!$AJ$902)=0))&gt;0)=0,"",'Dvd Calendar'!$AJ$902*1000000000+ISNUMBER('Dvd Calendar'!$AJ$905)*100000000+('Dvd Calendar'!$AJ$907=SPECIAL_LBL)*10000000+(N('Dvd Calendar'!$AJ$901)&gt;0)*(N('Dvd Calendar'!$AJ$901)&lt;=VAL_SERIAL)*1000000+82*1000+32))</f>
        <v/>
      </c>
      <c r="FK93" s="121">
        <f>IF(N('Dvd Calendar'!$AK$902)=0,"",IF(('Dvd Calendar'!$AK$902&gt;=GRID_FROM)*('Dvd Calendar'!$AK$902&lt;=GRID_TO)*((('Dvd Calendar'!$AK$902&lt;=VAL_DATE)+(COUNTIF('Dvd Calendar'!$E$909:$AR$909,'Dvd Calendar'!$AK$902)=0))&gt;0)=0,"",'Dvd Calendar'!$AK$902*1000000000+ISNUMBER('Dvd Calendar'!$AK$905)*100000000+('Dvd Calendar'!$AK$907=SPECIAL_LBL)*10000000+(N('Dvd Calendar'!$AK$901)&gt;0)*(N('Dvd Calendar'!$AK$901)&lt;=VAL_SERIAL)*1000000+82*1000+33))</f>
        <v/>
      </c>
      <c r="FL93" s="121">
        <f>IF(N('Dvd Calendar'!$AL$902)=0,"",IF(('Dvd Calendar'!$AL$902&gt;=GRID_FROM)*('Dvd Calendar'!$AL$902&lt;=GRID_TO)*((('Dvd Calendar'!$AL$902&lt;=VAL_DATE)+(COUNTIF('Dvd Calendar'!$E$909:$AR$909,'Dvd Calendar'!$AL$902)=0))&gt;0)=0,"",'Dvd Calendar'!$AL$902*1000000000+ISNUMBER('Dvd Calendar'!$AL$905)*100000000+('Dvd Calendar'!$AL$907=SPECIAL_LBL)*10000000+(N('Dvd Calendar'!$AL$901)&gt;0)*(N('Dvd Calendar'!$AL$901)&lt;=VAL_SERIAL)*1000000+82*1000+34))</f>
        <v/>
      </c>
      <c r="FM93" s="121">
        <f>IF(N('Dvd Calendar'!$AM$902)=0,"",IF(('Dvd Calendar'!$AM$902&gt;=GRID_FROM)*('Dvd Calendar'!$AM$902&lt;=GRID_TO)*((('Dvd Calendar'!$AM$902&lt;=VAL_DATE)+(COUNTIF('Dvd Calendar'!$E$909:$AR$909,'Dvd Calendar'!$AM$902)=0))&gt;0)=0,"",'Dvd Calendar'!$AM$902*1000000000+ISNUMBER('Dvd Calendar'!$AM$905)*100000000+('Dvd Calendar'!$AM$907=SPECIAL_LBL)*10000000+(N('Dvd Calendar'!$AM$901)&gt;0)*(N('Dvd Calendar'!$AM$901)&lt;=VAL_SERIAL)*1000000+82*1000+35))</f>
        <v/>
      </c>
      <c r="FN93" s="121">
        <f>IF(N('Dvd Calendar'!$AN$902)=0,"",IF(('Dvd Calendar'!$AN$902&gt;=GRID_FROM)*('Dvd Calendar'!$AN$902&lt;=GRID_TO)*((('Dvd Calendar'!$AN$902&lt;=VAL_DATE)+(COUNTIF('Dvd Calendar'!$E$909:$AR$909,'Dvd Calendar'!$AN$902)=0))&gt;0)=0,"",'Dvd Calendar'!$AN$902*1000000000+ISNUMBER('Dvd Calendar'!$AN$905)*100000000+('Dvd Calendar'!$AN$907=SPECIAL_LBL)*10000000+(N('Dvd Calendar'!$AN$901)&gt;0)*(N('Dvd Calendar'!$AN$901)&lt;=VAL_SERIAL)*1000000+82*1000+36))</f>
        <v/>
      </c>
      <c r="FO93" s="121">
        <f>IF(N('Dvd Calendar'!$AO$902)=0,"",IF(('Dvd Calendar'!$AO$902&gt;=GRID_FROM)*('Dvd Calendar'!$AO$902&lt;=GRID_TO)*((('Dvd Calendar'!$AO$902&lt;=VAL_DATE)+(COUNTIF('Dvd Calendar'!$E$909:$AR$909,'Dvd Calendar'!$AO$902)=0))&gt;0)=0,"",'Dvd Calendar'!$AO$902*1000000000+ISNUMBER('Dvd Calendar'!$AO$905)*100000000+('Dvd Calendar'!$AO$907=SPECIAL_LBL)*10000000+(N('Dvd Calendar'!$AO$901)&gt;0)*(N('Dvd Calendar'!$AO$901)&lt;=VAL_SERIAL)*1000000+82*1000+37))</f>
        <v/>
      </c>
      <c r="FP93" s="121">
        <f>IF(N('Dvd Calendar'!$AP$902)=0,"",IF(('Dvd Calendar'!$AP$902&gt;=GRID_FROM)*('Dvd Calendar'!$AP$902&lt;=GRID_TO)*((('Dvd Calendar'!$AP$902&lt;=VAL_DATE)+(COUNTIF('Dvd Calendar'!$E$909:$AR$909,'Dvd Calendar'!$AP$902)=0))&gt;0)=0,"",'Dvd Calendar'!$AP$902*1000000000+ISNUMBER('Dvd Calendar'!$AP$905)*100000000+('Dvd Calendar'!$AP$907=SPECIAL_LBL)*10000000+(N('Dvd Calendar'!$AP$901)&gt;0)*(N('Dvd Calendar'!$AP$901)&lt;=VAL_SERIAL)*1000000+82*1000+38))</f>
        <v/>
      </c>
      <c r="FQ93" s="121">
        <f>IF(N('Dvd Calendar'!$AQ$902)=0,"",IF(('Dvd Calendar'!$AQ$902&gt;=GRID_FROM)*('Dvd Calendar'!$AQ$902&lt;=GRID_TO)*((('Dvd Calendar'!$AQ$902&lt;=VAL_DATE)+(COUNTIF('Dvd Calendar'!$E$909:$AR$909,'Dvd Calendar'!$AQ$902)=0))&gt;0)=0,"",'Dvd Calendar'!$AQ$902*1000000000+ISNUMBER('Dvd Calendar'!$AQ$905)*100000000+('Dvd Calendar'!$AQ$907=SPECIAL_LBL)*10000000+(N('Dvd Calendar'!$AQ$901)&gt;0)*(N('Dvd Calendar'!$AQ$901)&lt;=VAL_SERIAL)*1000000+82*1000+39))</f>
        <v/>
      </c>
      <c r="FR93" s="121">
        <f>IF(N('Dvd Calendar'!$AR$902)=0,"",IF(('Dvd Calendar'!$AR$902&gt;=GRID_FROM)*('Dvd Calendar'!$AR$902&lt;=GRID_TO)*((('Dvd Calendar'!$AR$902&lt;=VAL_DATE)+(COUNTIF('Dvd Calendar'!$E$909:$AR$909,'Dvd Calendar'!$AR$902)=0))&gt;0)=0,"",'Dvd Calendar'!$AR$902*1000000000+ISNUMBER('Dvd Calendar'!$AR$905)*100000000+('Dvd Calendar'!$AR$907=SPECIAL_LBL)*10000000+(N('Dvd Calendar'!$AR$901)&gt;0)*(N('Dvd Calendar'!$AR$901)&lt;=VAL_SERIAL)*1000000+82*1000+40))</f>
        <v/>
      </c>
      <c r="FS93" s="121">
        <f>IF(N('Dvd Calendar'!$E$909)=0,"",IF(('Dvd Calendar'!$E$909&gt;=GRID_FROM)*('Dvd Calendar'!$E$909&lt;=GRID_TO)*('Dvd Calendar'!$E$909&gt;VAL_DATE)=0,"",'Dvd Calendar'!$E$909*1000000000+ISNUMBER('Dvd Calendar'!$E$910)*100000000+0*10000000+(N('Dvd Calendar'!$E$908)&gt;0)*(N('Dvd Calendar'!$E$908)&lt;=VAL_SERIAL)*1000000+82*1000+41))</f>
        <v/>
      </c>
      <c r="FT93" s="121">
        <f>IF(N('Dvd Calendar'!$F$909)=0,"",IF(('Dvd Calendar'!$F$909&gt;=GRID_FROM)*('Dvd Calendar'!$F$909&lt;=GRID_TO)*('Dvd Calendar'!$F$909&gt;VAL_DATE)=0,"",'Dvd Calendar'!$F$909*1000000000+ISNUMBER('Dvd Calendar'!$F$910)*100000000+0*10000000+(N('Dvd Calendar'!$F$908)&gt;0)*(N('Dvd Calendar'!$F$908)&lt;=VAL_SERIAL)*1000000+82*1000+42))</f>
        <v/>
      </c>
      <c r="FU93" s="121">
        <f>IF(N('Dvd Calendar'!$G$909)=0,"",IF(('Dvd Calendar'!$G$909&gt;=GRID_FROM)*('Dvd Calendar'!$G$909&lt;=GRID_TO)*('Dvd Calendar'!$G$909&gt;VAL_DATE)=0,"",'Dvd Calendar'!$G$909*1000000000+ISNUMBER('Dvd Calendar'!$G$910)*100000000+0*10000000+(N('Dvd Calendar'!$G$908)&gt;0)*(N('Dvd Calendar'!$G$908)&lt;=VAL_SERIAL)*1000000+82*1000+43))</f>
        <v/>
      </c>
      <c r="FV93" s="121">
        <f>IF(N('Dvd Calendar'!$H$909)=0,"",IF(('Dvd Calendar'!$H$909&gt;=GRID_FROM)*('Dvd Calendar'!$H$909&lt;=GRID_TO)*('Dvd Calendar'!$H$909&gt;VAL_DATE)=0,"",'Dvd Calendar'!$H$909*1000000000+ISNUMBER('Dvd Calendar'!$H$910)*100000000+0*10000000+(N('Dvd Calendar'!$H$908)&gt;0)*(N('Dvd Calendar'!$H$908)&lt;=VAL_SERIAL)*1000000+82*1000+44))</f>
        <v/>
      </c>
      <c r="FW93" s="121">
        <f>IF(N('Dvd Calendar'!$I$909)=0,"",IF(('Dvd Calendar'!$I$909&gt;=GRID_FROM)*('Dvd Calendar'!$I$909&lt;=GRID_TO)*('Dvd Calendar'!$I$909&gt;VAL_DATE)=0,"",'Dvd Calendar'!$I$909*1000000000+ISNUMBER('Dvd Calendar'!$I$910)*100000000+0*10000000+(N('Dvd Calendar'!$I$908)&gt;0)*(N('Dvd Calendar'!$I$908)&lt;=VAL_SERIAL)*1000000+82*1000+45))</f>
        <v/>
      </c>
      <c r="FX93" s="121">
        <f>IF(N('Dvd Calendar'!$J$909)=0,"",IF(('Dvd Calendar'!$J$909&gt;=GRID_FROM)*('Dvd Calendar'!$J$909&lt;=GRID_TO)*('Dvd Calendar'!$J$909&gt;VAL_DATE)=0,"",'Dvd Calendar'!$J$909*1000000000+ISNUMBER('Dvd Calendar'!$J$910)*100000000+0*10000000+(N('Dvd Calendar'!$J$908)&gt;0)*(N('Dvd Calendar'!$J$908)&lt;=VAL_SERIAL)*1000000+82*1000+46))</f>
        <v/>
      </c>
      <c r="FY93" s="121">
        <f>IF(N('Dvd Calendar'!$K$909)=0,"",IF(('Dvd Calendar'!$K$909&gt;=GRID_FROM)*('Dvd Calendar'!$K$909&lt;=GRID_TO)*('Dvd Calendar'!$K$909&gt;VAL_DATE)=0,"",'Dvd Calendar'!$K$909*1000000000+ISNUMBER('Dvd Calendar'!$K$910)*100000000+0*10000000+(N('Dvd Calendar'!$K$908)&gt;0)*(N('Dvd Calendar'!$K$908)&lt;=VAL_SERIAL)*1000000+82*1000+47))</f>
        <v/>
      </c>
      <c r="FZ93" s="121">
        <f>IF(N('Dvd Calendar'!$L$909)=0,"",IF(('Dvd Calendar'!$L$909&gt;=GRID_FROM)*('Dvd Calendar'!$L$909&lt;=GRID_TO)*('Dvd Calendar'!$L$909&gt;VAL_DATE)=0,"",'Dvd Calendar'!$L$909*1000000000+ISNUMBER('Dvd Calendar'!$L$910)*100000000+0*10000000+(N('Dvd Calendar'!$L$908)&gt;0)*(N('Dvd Calendar'!$L$908)&lt;=VAL_SERIAL)*1000000+82*1000+48))</f>
        <v/>
      </c>
      <c r="GA93" s="121">
        <f>IF(N('Dvd Calendar'!$M$909)=0,"",IF(('Dvd Calendar'!$M$909&gt;=GRID_FROM)*('Dvd Calendar'!$M$909&lt;=GRID_TO)*('Dvd Calendar'!$M$909&gt;VAL_DATE)=0,"",'Dvd Calendar'!$M$909*1000000000+ISNUMBER('Dvd Calendar'!$M$910)*100000000+0*10000000+(N('Dvd Calendar'!$M$908)&gt;0)*(N('Dvd Calendar'!$M$908)&lt;=VAL_SERIAL)*1000000+82*1000+49))</f>
        <v/>
      </c>
      <c r="GB93" s="121">
        <f>IF(N('Dvd Calendar'!$N$909)=0,"",IF(('Dvd Calendar'!$N$909&gt;=GRID_FROM)*('Dvd Calendar'!$N$909&lt;=GRID_TO)*('Dvd Calendar'!$N$909&gt;VAL_DATE)=0,"",'Dvd Calendar'!$N$909*1000000000+ISNUMBER('Dvd Calendar'!$N$910)*100000000+0*10000000+(N('Dvd Calendar'!$N$908)&gt;0)*(N('Dvd Calendar'!$N$908)&lt;=VAL_SERIAL)*1000000+82*1000+50))</f>
        <v/>
      </c>
      <c r="GC93" s="121">
        <f>IF(N('Dvd Calendar'!$O$909)=0,"",IF(('Dvd Calendar'!$O$909&gt;=GRID_FROM)*('Dvd Calendar'!$O$909&lt;=GRID_TO)*('Dvd Calendar'!$O$909&gt;VAL_DATE)=0,"",'Dvd Calendar'!$O$909*1000000000+ISNUMBER('Dvd Calendar'!$O$910)*100000000+0*10000000+(N('Dvd Calendar'!$O$908)&gt;0)*(N('Dvd Calendar'!$O$908)&lt;=VAL_SERIAL)*1000000+82*1000+51))</f>
        <v/>
      </c>
      <c r="GD93" s="121">
        <f>IF(N('Dvd Calendar'!$P$909)=0,"",IF(('Dvd Calendar'!$P$909&gt;=GRID_FROM)*('Dvd Calendar'!$P$909&lt;=GRID_TO)*('Dvd Calendar'!$P$909&gt;VAL_DATE)=0,"",'Dvd Calendar'!$P$909*1000000000+ISNUMBER('Dvd Calendar'!$P$910)*100000000+0*10000000+(N('Dvd Calendar'!$P$908)&gt;0)*(N('Dvd Calendar'!$P$908)&lt;=VAL_SERIAL)*1000000+82*1000+52))</f>
        <v/>
      </c>
      <c r="GE93" s="121">
        <f>IF(N('Dvd Calendar'!$Q$909)=0,"",IF(('Dvd Calendar'!$Q$909&gt;=GRID_FROM)*('Dvd Calendar'!$Q$909&lt;=GRID_TO)*('Dvd Calendar'!$Q$909&gt;VAL_DATE)=0,"",'Dvd Calendar'!$Q$909*1000000000+ISNUMBER('Dvd Calendar'!$Q$910)*100000000+0*10000000+(N('Dvd Calendar'!$Q$908)&gt;0)*(N('Dvd Calendar'!$Q$908)&lt;=VAL_SERIAL)*1000000+82*1000+53))</f>
        <v/>
      </c>
      <c r="GF93" s="121">
        <f>IF(N('Dvd Calendar'!$R$909)=0,"",IF(('Dvd Calendar'!$R$909&gt;=GRID_FROM)*('Dvd Calendar'!$R$909&lt;=GRID_TO)*('Dvd Calendar'!$R$909&gt;VAL_DATE)=0,"",'Dvd Calendar'!$R$909*1000000000+ISNUMBER('Dvd Calendar'!$R$910)*100000000+0*10000000+(N('Dvd Calendar'!$R$908)&gt;0)*(N('Dvd Calendar'!$R$908)&lt;=VAL_SERIAL)*1000000+82*1000+54))</f>
        <v/>
      </c>
      <c r="GG93" s="121">
        <f>IF(N('Dvd Calendar'!$S$909)=0,"",IF(('Dvd Calendar'!$S$909&gt;=GRID_FROM)*('Dvd Calendar'!$S$909&lt;=GRID_TO)*('Dvd Calendar'!$S$909&gt;VAL_DATE)=0,"",'Dvd Calendar'!$S$909*1000000000+ISNUMBER('Dvd Calendar'!$S$910)*100000000+0*10000000+(N('Dvd Calendar'!$S$908)&gt;0)*(N('Dvd Calendar'!$S$908)&lt;=VAL_SERIAL)*1000000+82*1000+55))</f>
        <v/>
      </c>
      <c r="GH93" s="121">
        <f>IF(N('Dvd Calendar'!$T$909)=0,"",IF(('Dvd Calendar'!$T$909&gt;=GRID_FROM)*('Dvd Calendar'!$T$909&lt;=GRID_TO)*('Dvd Calendar'!$T$909&gt;VAL_DATE)=0,"",'Dvd Calendar'!$T$909*1000000000+ISNUMBER('Dvd Calendar'!$T$910)*100000000+0*10000000+(N('Dvd Calendar'!$T$908)&gt;0)*(N('Dvd Calendar'!$T$908)&lt;=VAL_SERIAL)*1000000+82*1000+56))</f>
        <v/>
      </c>
      <c r="GI93" s="121">
        <f>IF(N('Dvd Calendar'!$U$909)=0,"",IF(('Dvd Calendar'!$U$909&gt;=GRID_FROM)*('Dvd Calendar'!$U$909&lt;=GRID_TO)*('Dvd Calendar'!$U$909&gt;VAL_DATE)=0,"",'Dvd Calendar'!$U$909*1000000000+ISNUMBER('Dvd Calendar'!$U$910)*100000000+0*10000000+(N('Dvd Calendar'!$U$908)&gt;0)*(N('Dvd Calendar'!$U$908)&lt;=VAL_SERIAL)*1000000+82*1000+57))</f>
        <v/>
      </c>
      <c r="GJ93" s="121">
        <f>IF(N('Dvd Calendar'!$V$909)=0,"",IF(('Dvd Calendar'!$V$909&gt;=GRID_FROM)*('Dvd Calendar'!$V$909&lt;=GRID_TO)*('Dvd Calendar'!$V$909&gt;VAL_DATE)=0,"",'Dvd Calendar'!$V$909*1000000000+ISNUMBER('Dvd Calendar'!$V$910)*100000000+0*10000000+(N('Dvd Calendar'!$V$908)&gt;0)*(N('Dvd Calendar'!$V$908)&lt;=VAL_SERIAL)*1000000+82*1000+58))</f>
        <v/>
      </c>
      <c r="GK93" s="121">
        <f>IF(N('Dvd Calendar'!$W$909)=0,"",IF(('Dvd Calendar'!$W$909&gt;=GRID_FROM)*('Dvd Calendar'!$W$909&lt;=GRID_TO)*('Dvd Calendar'!$W$909&gt;VAL_DATE)=0,"",'Dvd Calendar'!$W$909*1000000000+ISNUMBER('Dvd Calendar'!$W$910)*100000000+0*10000000+(N('Dvd Calendar'!$W$908)&gt;0)*(N('Dvd Calendar'!$W$908)&lt;=VAL_SERIAL)*1000000+82*1000+59))</f>
        <v/>
      </c>
      <c r="GL93" s="121">
        <f>IF(N('Dvd Calendar'!$X$909)=0,"",IF(('Dvd Calendar'!$X$909&gt;=GRID_FROM)*('Dvd Calendar'!$X$909&lt;=GRID_TO)*('Dvd Calendar'!$X$909&gt;VAL_DATE)=0,"",'Dvd Calendar'!$X$909*1000000000+ISNUMBER('Dvd Calendar'!$X$910)*100000000+0*10000000+(N('Dvd Calendar'!$X$908)&gt;0)*(N('Dvd Calendar'!$X$908)&lt;=VAL_SERIAL)*1000000+82*1000+60))</f>
        <v/>
      </c>
      <c r="GM93" s="121">
        <f>IF(N('Dvd Calendar'!$Y$909)=0,"",IF(('Dvd Calendar'!$Y$909&gt;=GRID_FROM)*('Dvd Calendar'!$Y$909&lt;=GRID_TO)*('Dvd Calendar'!$Y$909&gt;VAL_DATE)=0,"",'Dvd Calendar'!$Y$909*1000000000+ISNUMBER('Dvd Calendar'!$Y$910)*100000000+0*10000000+(N('Dvd Calendar'!$Y$908)&gt;0)*(N('Dvd Calendar'!$Y$908)&lt;=VAL_SERIAL)*1000000+82*1000+61))</f>
        <v/>
      </c>
      <c r="GN93" s="121">
        <f>IF(N('Dvd Calendar'!$Z$909)=0,"",IF(('Dvd Calendar'!$Z$909&gt;=GRID_FROM)*('Dvd Calendar'!$Z$909&lt;=GRID_TO)*('Dvd Calendar'!$Z$909&gt;VAL_DATE)=0,"",'Dvd Calendar'!$Z$909*1000000000+ISNUMBER('Dvd Calendar'!$Z$910)*100000000+0*10000000+(N('Dvd Calendar'!$Z$908)&gt;0)*(N('Dvd Calendar'!$Z$908)&lt;=VAL_SERIAL)*1000000+82*1000+62))</f>
        <v/>
      </c>
      <c r="GO93" s="121">
        <f>IF(N('Dvd Calendar'!$AA$909)=0,"",IF(('Dvd Calendar'!$AA$909&gt;=GRID_FROM)*('Dvd Calendar'!$AA$909&lt;=GRID_TO)*('Dvd Calendar'!$AA$909&gt;VAL_DATE)=0,"",'Dvd Calendar'!$AA$909*1000000000+ISNUMBER('Dvd Calendar'!$AA$910)*100000000+0*10000000+(N('Dvd Calendar'!$AA$908)&gt;0)*(N('Dvd Calendar'!$AA$908)&lt;=VAL_SERIAL)*1000000+82*1000+63))</f>
        <v/>
      </c>
      <c r="GP93" s="121">
        <f>IF(N('Dvd Calendar'!$AB$909)=0,"",IF(('Dvd Calendar'!$AB$909&gt;=GRID_FROM)*('Dvd Calendar'!$AB$909&lt;=GRID_TO)*('Dvd Calendar'!$AB$909&gt;VAL_DATE)=0,"",'Dvd Calendar'!$AB$909*1000000000+ISNUMBER('Dvd Calendar'!$AB$910)*100000000+0*10000000+(N('Dvd Calendar'!$AB$908)&gt;0)*(N('Dvd Calendar'!$AB$908)&lt;=VAL_SERIAL)*1000000+82*1000+64))</f>
        <v/>
      </c>
      <c r="GQ93" s="121">
        <f>IF(N('Dvd Calendar'!$AC$909)=0,"",IF(('Dvd Calendar'!$AC$909&gt;=GRID_FROM)*('Dvd Calendar'!$AC$909&lt;=GRID_TO)*('Dvd Calendar'!$AC$909&gt;VAL_DATE)=0,"",'Dvd Calendar'!$AC$909*1000000000+ISNUMBER('Dvd Calendar'!$AC$910)*100000000+0*10000000+(N('Dvd Calendar'!$AC$908)&gt;0)*(N('Dvd Calendar'!$AC$908)&lt;=VAL_SERIAL)*1000000+82*1000+65))</f>
        <v/>
      </c>
    </row>
    <row r="94">
      <c r="B94" s="2">
        <f>IF(HSI!$C$89="","",HSI!$C$89)</f>
        <v/>
      </c>
      <c r="C94" s="161">
        <f>IF(EE94="","",IF(ISNUMBER('Dvd Calendar'!$E$916)=FALSE,"",IF((('Dvd Calendar'!$E$918=TYPE1)*(TYPE1&lt;&gt;"")+('Dvd Calendar'!$E$918=TYPE2)*(TYPE2&lt;&gt;"")+('Dvd Calendar'!$E$918=TYPE3)*(TYPE3&lt;&gt;"")+('Dvd Calendar'!$E$918=TYPE4)*(TYPE4&lt;&gt;"")+('Dvd Calendar'!$E$918=SPECIAL_LBL)*(INC_SPECIALS="Y"))=0,"",'Dvd Calendar'!$E$916)))</f>
        <v/>
      </c>
      <c r="D94" s="161">
        <f>IF(EF94="","",IF(ISNUMBER('Dvd Calendar'!$F$916)=FALSE,"",IF((('Dvd Calendar'!$F$918=TYPE1)*(TYPE1&lt;&gt;"")+('Dvd Calendar'!$F$918=TYPE2)*(TYPE2&lt;&gt;"")+('Dvd Calendar'!$F$918=TYPE3)*(TYPE3&lt;&gt;"")+('Dvd Calendar'!$F$918=TYPE4)*(TYPE4&lt;&gt;"")+('Dvd Calendar'!$F$918=SPECIAL_LBL)*(INC_SPECIALS="Y"))=0,"",'Dvd Calendar'!$F$916)))</f>
        <v/>
      </c>
      <c r="E94" s="161">
        <f>IF(EG94="","",IF(ISNUMBER('Dvd Calendar'!$G$916)=FALSE,"",IF((('Dvd Calendar'!$G$918=TYPE1)*(TYPE1&lt;&gt;"")+('Dvd Calendar'!$G$918=TYPE2)*(TYPE2&lt;&gt;"")+('Dvd Calendar'!$G$918=TYPE3)*(TYPE3&lt;&gt;"")+('Dvd Calendar'!$G$918=TYPE4)*(TYPE4&lt;&gt;"")+('Dvd Calendar'!$G$918=SPECIAL_LBL)*(INC_SPECIALS="Y"))=0,"",'Dvd Calendar'!$G$916)))</f>
        <v/>
      </c>
      <c r="F94" s="161">
        <f>IF(EH94="","",IF(ISNUMBER('Dvd Calendar'!$H$916)=FALSE,"",IF((('Dvd Calendar'!$H$918=TYPE1)*(TYPE1&lt;&gt;"")+('Dvd Calendar'!$H$918=TYPE2)*(TYPE2&lt;&gt;"")+('Dvd Calendar'!$H$918=TYPE3)*(TYPE3&lt;&gt;"")+('Dvd Calendar'!$H$918=TYPE4)*(TYPE4&lt;&gt;"")+('Dvd Calendar'!$H$918=SPECIAL_LBL)*(INC_SPECIALS="Y"))=0,"",'Dvd Calendar'!$H$916)))</f>
        <v/>
      </c>
      <c r="G94" s="161">
        <f>IF(EI94="","",IF(ISNUMBER('Dvd Calendar'!$I$916)=FALSE,"",IF((('Dvd Calendar'!$I$918=TYPE1)*(TYPE1&lt;&gt;"")+('Dvd Calendar'!$I$918=TYPE2)*(TYPE2&lt;&gt;"")+('Dvd Calendar'!$I$918=TYPE3)*(TYPE3&lt;&gt;"")+('Dvd Calendar'!$I$918=TYPE4)*(TYPE4&lt;&gt;"")+('Dvd Calendar'!$I$918=SPECIAL_LBL)*(INC_SPECIALS="Y"))=0,"",'Dvd Calendar'!$I$916)))</f>
        <v/>
      </c>
      <c r="H94" s="161">
        <f>IF(EJ94="","",IF(ISNUMBER('Dvd Calendar'!$J$916)=FALSE,"",IF((('Dvd Calendar'!$J$918=TYPE1)*(TYPE1&lt;&gt;"")+('Dvd Calendar'!$J$918=TYPE2)*(TYPE2&lt;&gt;"")+('Dvd Calendar'!$J$918=TYPE3)*(TYPE3&lt;&gt;"")+('Dvd Calendar'!$J$918=TYPE4)*(TYPE4&lt;&gt;"")+('Dvd Calendar'!$J$918=SPECIAL_LBL)*(INC_SPECIALS="Y"))=0,"",'Dvd Calendar'!$J$916)))</f>
        <v/>
      </c>
      <c r="I94" s="161">
        <f>IF(EK94="","",IF(ISNUMBER('Dvd Calendar'!$K$916)=FALSE,"",IF((('Dvd Calendar'!$K$918=TYPE1)*(TYPE1&lt;&gt;"")+('Dvd Calendar'!$K$918=TYPE2)*(TYPE2&lt;&gt;"")+('Dvd Calendar'!$K$918=TYPE3)*(TYPE3&lt;&gt;"")+('Dvd Calendar'!$K$918=TYPE4)*(TYPE4&lt;&gt;"")+('Dvd Calendar'!$K$918=SPECIAL_LBL)*(INC_SPECIALS="Y"))=0,"",'Dvd Calendar'!$K$916)))</f>
        <v/>
      </c>
      <c r="J94" s="161">
        <f>IF(EL94="","",IF(ISNUMBER('Dvd Calendar'!$L$916)=FALSE,"",IF((('Dvd Calendar'!$L$918=TYPE1)*(TYPE1&lt;&gt;"")+('Dvd Calendar'!$L$918=TYPE2)*(TYPE2&lt;&gt;"")+('Dvd Calendar'!$L$918=TYPE3)*(TYPE3&lt;&gt;"")+('Dvd Calendar'!$L$918=TYPE4)*(TYPE4&lt;&gt;"")+('Dvd Calendar'!$L$918=SPECIAL_LBL)*(INC_SPECIALS="Y"))=0,"",'Dvd Calendar'!$L$916)))</f>
        <v/>
      </c>
      <c r="K94" s="161">
        <f>IF(EM94="","",IF(ISNUMBER('Dvd Calendar'!$M$916)=FALSE,"",IF((('Dvd Calendar'!$M$918=TYPE1)*(TYPE1&lt;&gt;"")+('Dvd Calendar'!$M$918=TYPE2)*(TYPE2&lt;&gt;"")+('Dvd Calendar'!$M$918=TYPE3)*(TYPE3&lt;&gt;"")+('Dvd Calendar'!$M$918=TYPE4)*(TYPE4&lt;&gt;"")+('Dvd Calendar'!$M$918=SPECIAL_LBL)*(INC_SPECIALS="Y"))=0,"",'Dvd Calendar'!$M$916)))</f>
        <v/>
      </c>
      <c r="L94" s="161">
        <f>IF(EN94="","",IF(ISNUMBER('Dvd Calendar'!$N$916)=FALSE,"",IF((('Dvd Calendar'!$N$918=TYPE1)*(TYPE1&lt;&gt;"")+('Dvd Calendar'!$N$918=TYPE2)*(TYPE2&lt;&gt;"")+('Dvd Calendar'!$N$918=TYPE3)*(TYPE3&lt;&gt;"")+('Dvd Calendar'!$N$918=TYPE4)*(TYPE4&lt;&gt;"")+('Dvd Calendar'!$N$918=SPECIAL_LBL)*(INC_SPECIALS="Y"))=0,"",'Dvd Calendar'!$N$916)))</f>
        <v/>
      </c>
      <c r="M94" s="161">
        <f>IF(EO94="","",IF(ISNUMBER('Dvd Calendar'!$O$916)=FALSE,"",IF((('Dvd Calendar'!$O$918=TYPE1)*(TYPE1&lt;&gt;"")+('Dvd Calendar'!$O$918=TYPE2)*(TYPE2&lt;&gt;"")+('Dvd Calendar'!$O$918=TYPE3)*(TYPE3&lt;&gt;"")+('Dvd Calendar'!$O$918=TYPE4)*(TYPE4&lt;&gt;"")+('Dvd Calendar'!$O$918=SPECIAL_LBL)*(INC_SPECIALS="Y"))=0,"",'Dvd Calendar'!$O$916)))</f>
        <v/>
      </c>
      <c r="N94" s="161">
        <f>IF(EP94="","",IF(ISNUMBER('Dvd Calendar'!$P$916)=FALSE,"",IF((('Dvd Calendar'!$P$918=TYPE1)*(TYPE1&lt;&gt;"")+('Dvd Calendar'!$P$918=TYPE2)*(TYPE2&lt;&gt;"")+('Dvd Calendar'!$P$918=TYPE3)*(TYPE3&lt;&gt;"")+('Dvd Calendar'!$P$918=TYPE4)*(TYPE4&lt;&gt;"")+('Dvd Calendar'!$P$918=SPECIAL_LBL)*(INC_SPECIALS="Y"))=0,"",'Dvd Calendar'!$P$916)))</f>
        <v/>
      </c>
      <c r="O94" s="161">
        <f>IF(EQ94="","",IF(ISNUMBER('Dvd Calendar'!$Q$916)=FALSE,"",IF((('Dvd Calendar'!$Q$918=TYPE1)*(TYPE1&lt;&gt;"")+('Dvd Calendar'!$Q$918=TYPE2)*(TYPE2&lt;&gt;"")+('Dvd Calendar'!$Q$918=TYPE3)*(TYPE3&lt;&gt;"")+('Dvd Calendar'!$Q$918=TYPE4)*(TYPE4&lt;&gt;"")+('Dvd Calendar'!$Q$918=SPECIAL_LBL)*(INC_SPECIALS="Y"))=0,"",'Dvd Calendar'!$Q$916)))</f>
        <v/>
      </c>
      <c r="P94" s="161">
        <f>IF(ER94="","",IF(ISNUMBER('Dvd Calendar'!$R$916)=FALSE,"",IF((('Dvd Calendar'!$R$918=TYPE1)*(TYPE1&lt;&gt;"")+('Dvd Calendar'!$R$918=TYPE2)*(TYPE2&lt;&gt;"")+('Dvd Calendar'!$R$918=TYPE3)*(TYPE3&lt;&gt;"")+('Dvd Calendar'!$R$918=TYPE4)*(TYPE4&lt;&gt;"")+('Dvd Calendar'!$R$918=SPECIAL_LBL)*(INC_SPECIALS="Y"))=0,"",'Dvd Calendar'!$R$916)))</f>
        <v/>
      </c>
      <c r="Q94" s="161">
        <f>IF(ES94="","",IF(ISNUMBER('Dvd Calendar'!$S$916)=FALSE,"",IF((('Dvd Calendar'!$S$918=TYPE1)*(TYPE1&lt;&gt;"")+('Dvd Calendar'!$S$918=TYPE2)*(TYPE2&lt;&gt;"")+('Dvd Calendar'!$S$918=TYPE3)*(TYPE3&lt;&gt;"")+('Dvd Calendar'!$S$918=TYPE4)*(TYPE4&lt;&gt;"")+('Dvd Calendar'!$S$918=SPECIAL_LBL)*(INC_SPECIALS="Y"))=0,"",'Dvd Calendar'!$S$916)))</f>
        <v/>
      </c>
      <c r="R94" s="161">
        <f>IF(ET94="","",IF(ISNUMBER('Dvd Calendar'!$T$916)=FALSE,"",IF((('Dvd Calendar'!$T$918=TYPE1)*(TYPE1&lt;&gt;"")+('Dvd Calendar'!$T$918=TYPE2)*(TYPE2&lt;&gt;"")+('Dvd Calendar'!$T$918=TYPE3)*(TYPE3&lt;&gt;"")+('Dvd Calendar'!$T$918=TYPE4)*(TYPE4&lt;&gt;"")+('Dvd Calendar'!$T$918=SPECIAL_LBL)*(INC_SPECIALS="Y"))=0,"",'Dvd Calendar'!$T$916)))</f>
        <v/>
      </c>
      <c r="S94" s="161">
        <f>IF(EU94="","",IF(ISNUMBER('Dvd Calendar'!$U$916)=FALSE,"",IF((('Dvd Calendar'!$U$918=TYPE1)*(TYPE1&lt;&gt;"")+('Dvd Calendar'!$U$918=TYPE2)*(TYPE2&lt;&gt;"")+('Dvd Calendar'!$U$918=TYPE3)*(TYPE3&lt;&gt;"")+('Dvd Calendar'!$U$918=TYPE4)*(TYPE4&lt;&gt;"")+('Dvd Calendar'!$U$918=SPECIAL_LBL)*(INC_SPECIALS="Y"))=0,"",'Dvd Calendar'!$U$916)))</f>
        <v/>
      </c>
      <c r="T94" s="161">
        <f>IF(EV94="","",IF(ISNUMBER('Dvd Calendar'!$V$916)=FALSE,"",IF((('Dvd Calendar'!$V$918=TYPE1)*(TYPE1&lt;&gt;"")+('Dvd Calendar'!$V$918=TYPE2)*(TYPE2&lt;&gt;"")+('Dvd Calendar'!$V$918=TYPE3)*(TYPE3&lt;&gt;"")+('Dvd Calendar'!$V$918=TYPE4)*(TYPE4&lt;&gt;"")+('Dvd Calendar'!$V$918=SPECIAL_LBL)*(INC_SPECIALS="Y"))=0,"",'Dvd Calendar'!$V$916)))</f>
        <v/>
      </c>
      <c r="U94" s="161">
        <f>IF(EW94="","",IF(ISNUMBER('Dvd Calendar'!$W$916)=FALSE,"",IF((('Dvd Calendar'!$W$918=TYPE1)*(TYPE1&lt;&gt;"")+('Dvd Calendar'!$W$918=TYPE2)*(TYPE2&lt;&gt;"")+('Dvd Calendar'!$W$918=TYPE3)*(TYPE3&lt;&gt;"")+('Dvd Calendar'!$W$918=TYPE4)*(TYPE4&lt;&gt;"")+('Dvd Calendar'!$W$918=SPECIAL_LBL)*(INC_SPECIALS="Y"))=0,"",'Dvd Calendar'!$W$916)))</f>
        <v/>
      </c>
      <c r="V94" s="161">
        <f>IF(EX94="","",IF(ISNUMBER('Dvd Calendar'!$X$916)=FALSE,"",IF((('Dvd Calendar'!$X$918=TYPE1)*(TYPE1&lt;&gt;"")+('Dvd Calendar'!$X$918=TYPE2)*(TYPE2&lt;&gt;"")+('Dvd Calendar'!$X$918=TYPE3)*(TYPE3&lt;&gt;"")+('Dvd Calendar'!$X$918=TYPE4)*(TYPE4&lt;&gt;"")+('Dvd Calendar'!$X$918=SPECIAL_LBL)*(INC_SPECIALS="Y"))=0,"",'Dvd Calendar'!$X$916)))</f>
        <v/>
      </c>
      <c r="W94" s="161">
        <f>IF(EY94="","",IF(ISNUMBER('Dvd Calendar'!$Y$916)=FALSE,"",IF((('Dvd Calendar'!$Y$918=TYPE1)*(TYPE1&lt;&gt;"")+('Dvd Calendar'!$Y$918=TYPE2)*(TYPE2&lt;&gt;"")+('Dvd Calendar'!$Y$918=TYPE3)*(TYPE3&lt;&gt;"")+('Dvd Calendar'!$Y$918=TYPE4)*(TYPE4&lt;&gt;"")+('Dvd Calendar'!$Y$918=SPECIAL_LBL)*(INC_SPECIALS="Y"))=0,"",'Dvd Calendar'!$Y$916)))</f>
        <v/>
      </c>
      <c r="X94" s="161">
        <f>IF(EZ94="","",IF(ISNUMBER('Dvd Calendar'!$Z$916)=FALSE,"",IF((('Dvd Calendar'!$Z$918=TYPE1)*(TYPE1&lt;&gt;"")+('Dvd Calendar'!$Z$918=TYPE2)*(TYPE2&lt;&gt;"")+('Dvd Calendar'!$Z$918=TYPE3)*(TYPE3&lt;&gt;"")+('Dvd Calendar'!$Z$918=TYPE4)*(TYPE4&lt;&gt;"")+('Dvd Calendar'!$Z$918=SPECIAL_LBL)*(INC_SPECIALS="Y"))=0,"",'Dvd Calendar'!$Z$916)))</f>
        <v/>
      </c>
      <c r="Y94" s="161">
        <f>IF(FA94="","",IF(ISNUMBER('Dvd Calendar'!$AA$916)=FALSE,"",IF((('Dvd Calendar'!$AA$918=TYPE1)*(TYPE1&lt;&gt;"")+('Dvd Calendar'!$AA$918=TYPE2)*(TYPE2&lt;&gt;"")+('Dvd Calendar'!$AA$918=TYPE3)*(TYPE3&lt;&gt;"")+('Dvd Calendar'!$AA$918=TYPE4)*(TYPE4&lt;&gt;"")+('Dvd Calendar'!$AA$918=SPECIAL_LBL)*(INC_SPECIALS="Y"))=0,"",'Dvd Calendar'!$AA$916)))</f>
        <v/>
      </c>
      <c r="Z94" s="161">
        <f>IF(FB94="","",IF(ISNUMBER('Dvd Calendar'!$AB$916)=FALSE,"",IF((('Dvd Calendar'!$AB$918=TYPE1)*(TYPE1&lt;&gt;"")+('Dvd Calendar'!$AB$918=TYPE2)*(TYPE2&lt;&gt;"")+('Dvd Calendar'!$AB$918=TYPE3)*(TYPE3&lt;&gt;"")+('Dvd Calendar'!$AB$918=TYPE4)*(TYPE4&lt;&gt;"")+('Dvd Calendar'!$AB$918=SPECIAL_LBL)*(INC_SPECIALS="Y"))=0,"",'Dvd Calendar'!$AB$916)))</f>
        <v/>
      </c>
      <c r="AA94" s="161">
        <f>IF(FC94="","",IF(ISNUMBER('Dvd Calendar'!$AC$916)=FALSE,"",IF((('Dvd Calendar'!$AC$918=TYPE1)*(TYPE1&lt;&gt;"")+('Dvd Calendar'!$AC$918=TYPE2)*(TYPE2&lt;&gt;"")+('Dvd Calendar'!$AC$918=TYPE3)*(TYPE3&lt;&gt;"")+('Dvd Calendar'!$AC$918=TYPE4)*(TYPE4&lt;&gt;"")+('Dvd Calendar'!$AC$918=SPECIAL_LBL)*(INC_SPECIALS="Y"))=0,"",'Dvd Calendar'!$AC$916)))</f>
        <v/>
      </c>
      <c r="AB94" s="161">
        <f>IF(FD94="","",IF(ISNUMBER('Dvd Calendar'!$AD$916)=FALSE,"",IF((('Dvd Calendar'!$AD$918=TYPE1)*(TYPE1&lt;&gt;"")+('Dvd Calendar'!$AD$918=TYPE2)*(TYPE2&lt;&gt;"")+('Dvd Calendar'!$AD$918=TYPE3)*(TYPE3&lt;&gt;"")+('Dvd Calendar'!$AD$918=TYPE4)*(TYPE4&lt;&gt;"")+('Dvd Calendar'!$AD$918=SPECIAL_LBL)*(INC_SPECIALS="Y"))=0,"",'Dvd Calendar'!$AD$916)))</f>
        <v/>
      </c>
      <c r="AC94" s="161">
        <f>IF(FE94="","",IF(ISNUMBER('Dvd Calendar'!$AE$916)=FALSE,"",IF((('Dvd Calendar'!$AE$918=TYPE1)*(TYPE1&lt;&gt;"")+('Dvd Calendar'!$AE$918=TYPE2)*(TYPE2&lt;&gt;"")+('Dvd Calendar'!$AE$918=TYPE3)*(TYPE3&lt;&gt;"")+('Dvd Calendar'!$AE$918=TYPE4)*(TYPE4&lt;&gt;"")+('Dvd Calendar'!$AE$918=SPECIAL_LBL)*(INC_SPECIALS="Y"))=0,"",'Dvd Calendar'!$AE$916)))</f>
        <v/>
      </c>
      <c r="AD94" s="161">
        <f>IF(FF94="","",IF(ISNUMBER('Dvd Calendar'!$AF$916)=FALSE,"",IF((('Dvd Calendar'!$AF$918=TYPE1)*(TYPE1&lt;&gt;"")+('Dvd Calendar'!$AF$918=TYPE2)*(TYPE2&lt;&gt;"")+('Dvd Calendar'!$AF$918=TYPE3)*(TYPE3&lt;&gt;"")+('Dvd Calendar'!$AF$918=TYPE4)*(TYPE4&lt;&gt;"")+('Dvd Calendar'!$AF$918=SPECIAL_LBL)*(INC_SPECIALS="Y"))=0,"",'Dvd Calendar'!$AF$916)))</f>
        <v/>
      </c>
      <c r="AE94" s="161">
        <f>IF(FG94="","",IF(ISNUMBER('Dvd Calendar'!$AG$916)=FALSE,"",IF((('Dvd Calendar'!$AG$918=TYPE1)*(TYPE1&lt;&gt;"")+('Dvd Calendar'!$AG$918=TYPE2)*(TYPE2&lt;&gt;"")+('Dvd Calendar'!$AG$918=TYPE3)*(TYPE3&lt;&gt;"")+('Dvd Calendar'!$AG$918=TYPE4)*(TYPE4&lt;&gt;"")+('Dvd Calendar'!$AG$918=SPECIAL_LBL)*(INC_SPECIALS="Y"))=0,"",'Dvd Calendar'!$AG$916)))</f>
        <v/>
      </c>
      <c r="AF94" s="161">
        <f>IF(FH94="","",IF(ISNUMBER('Dvd Calendar'!$AH$916)=FALSE,"",IF((('Dvd Calendar'!$AH$918=TYPE1)*(TYPE1&lt;&gt;"")+('Dvd Calendar'!$AH$918=TYPE2)*(TYPE2&lt;&gt;"")+('Dvd Calendar'!$AH$918=TYPE3)*(TYPE3&lt;&gt;"")+('Dvd Calendar'!$AH$918=TYPE4)*(TYPE4&lt;&gt;"")+('Dvd Calendar'!$AH$918=SPECIAL_LBL)*(INC_SPECIALS="Y"))=0,"",'Dvd Calendar'!$AH$916)))</f>
        <v/>
      </c>
      <c r="AG94" s="161">
        <f>IF(FI94="","",IF(ISNUMBER('Dvd Calendar'!$AI$916)=FALSE,"",IF((('Dvd Calendar'!$AI$918=TYPE1)*(TYPE1&lt;&gt;"")+('Dvd Calendar'!$AI$918=TYPE2)*(TYPE2&lt;&gt;"")+('Dvd Calendar'!$AI$918=TYPE3)*(TYPE3&lt;&gt;"")+('Dvd Calendar'!$AI$918=TYPE4)*(TYPE4&lt;&gt;"")+('Dvd Calendar'!$AI$918=SPECIAL_LBL)*(INC_SPECIALS="Y"))=0,"",'Dvd Calendar'!$AI$916)))</f>
        <v/>
      </c>
      <c r="AH94" s="161">
        <f>IF(FJ94="","",IF(ISNUMBER('Dvd Calendar'!$AJ$916)=FALSE,"",IF((('Dvd Calendar'!$AJ$918=TYPE1)*(TYPE1&lt;&gt;"")+('Dvd Calendar'!$AJ$918=TYPE2)*(TYPE2&lt;&gt;"")+('Dvd Calendar'!$AJ$918=TYPE3)*(TYPE3&lt;&gt;"")+('Dvd Calendar'!$AJ$918=TYPE4)*(TYPE4&lt;&gt;"")+('Dvd Calendar'!$AJ$918=SPECIAL_LBL)*(INC_SPECIALS="Y"))=0,"",'Dvd Calendar'!$AJ$916)))</f>
        <v/>
      </c>
      <c r="AI94" s="161">
        <f>IF(FK94="","",IF(ISNUMBER('Dvd Calendar'!$AK$916)=FALSE,"",IF((('Dvd Calendar'!$AK$918=TYPE1)*(TYPE1&lt;&gt;"")+('Dvd Calendar'!$AK$918=TYPE2)*(TYPE2&lt;&gt;"")+('Dvd Calendar'!$AK$918=TYPE3)*(TYPE3&lt;&gt;"")+('Dvd Calendar'!$AK$918=TYPE4)*(TYPE4&lt;&gt;"")+('Dvd Calendar'!$AK$918=SPECIAL_LBL)*(INC_SPECIALS="Y"))=0,"",'Dvd Calendar'!$AK$916)))</f>
        <v/>
      </c>
      <c r="AJ94" s="161">
        <f>IF(FL94="","",IF(ISNUMBER('Dvd Calendar'!$AL$916)=FALSE,"",IF((('Dvd Calendar'!$AL$918=TYPE1)*(TYPE1&lt;&gt;"")+('Dvd Calendar'!$AL$918=TYPE2)*(TYPE2&lt;&gt;"")+('Dvd Calendar'!$AL$918=TYPE3)*(TYPE3&lt;&gt;"")+('Dvd Calendar'!$AL$918=TYPE4)*(TYPE4&lt;&gt;"")+('Dvd Calendar'!$AL$918=SPECIAL_LBL)*(INC_SPECIALS="Y"))=0,"",'Dvd Calendar'!$AL$916)))</f>
        <v/>
      </c>
      <c r="AK94" s="161">
        <f>IF(FM94="","",IF(ISNUMBER('Dvd Calendar'!$AM$916)=FALSE,"",IF((('Dvd Calendar'!$AM$918=TYPE1)*(TYPE1&lt;&gt;"")+('Dvd Calendar'!$AM$918=TYPE2)*(TYPE2&lt;&gt;"")+('Dvd Calendar'!$AM$918=TYPE3)*(TYPE3&lt;&gt;"")+('Dvd Calendar'!$AM$918=TYPE4)*(TYPE4&lt;&gt;"")+('Dvd Calendar'!$AM$918=SPECIAL_LBL)*(INC_SPECIALS="Y"))=0,"",'Dvd Calendar'!$AM$916)))</f>
        <v/>
      </c>
      <c r="AL94" s="161">
        <f>IF(FN94="","",IF(ISNUMBER('Dvd Calendar'!$AN$916)=FALSE,"",IF((('Dvd Calendar'!$AN$918=TYPE1)*(TYPE1&lt;&gt;"")+('Dvd Calendar'!$AN$918=TYPE2)*(TYPE2&lt;&gt;"")+('Dvd Calendar'!$AN$918=TYPE3)*(TYPE3&lt;&gt;"")+('Dvd Calendar'!$AN$918=TYPE4)*(TYPE4&lt;&gt;"")+('Dvd Calendar'!$AN$918=SPECIAL_LBL)*(INC_SPECIALS="Y"))=0,"",'Dvd Calendar'!$AN$916)))</f>
        <v/>
      </c>
      <c r="AM94" s="161">
        <f>IF(FO94="","",IF(ISNUMBER('Dvd Calendar'!$AO$916)=FALSE,"",IF((('Dvd Calendar'!$AO$918=TYPE1)*(TYPE1&lt;&gt;"")+('Dvd Calendar'!$AO$918=TYPE2)*(TYPE2&lt;&gt;"")+('Dvd Calendar'!$AO$918=TYPE3)*(TYPE3&lt;&gt;"")+('Dvd Calendar'!$AO$918=TYPE4)*(TYPE4&lt;&gt;"")+('Dvd Calendar'!$AO$918=SPECIAL_LBL)*(INC_SPECIALS="Y"))=0,"",'Dvd Calendar'!$AO$916)))</f>
        <v/>
      </c>
      <c r="AN94" s="161">
        <f>IF(FP94="","",IF(ISNUMBER('Dvd Calendar'!$AP$916)=FALSE,"",IF((('Dvd Calendar'!$AP$918=TYPE1)*(TYPE1&lt;&gt;"")+('Dvd Calendar'!$AP$918=TYPE2)*(TYPE2&lt;&gt;"")+('Dvd Calendar'!$AP$918=TYPE3)*(TYPE3&lt;&gt;"")+('Dvd Calendar'!$AP$918=TYPE4)*(TYPE4&lt;&gt;"")+('Dvd Calendar'!$AP$918=SPECIAL_LBL)*(INC_SPECIALS="Y"))=0,"",'Dvd Calendar'!$AP$916)))</f>
        <v/>
      </c>
      <c r="AO94" s="161">
        <f>IF(FQ94="","",IF(ISNUMBER('Dvd Calendar'!$AQ$916)=FALSE,"",IF((('Dvd Calendar'!$AQ$918=TYPE1)*(TYPE1&lt;&gt;"")+('Dvd Calendar'!$AQ$918=TYPE2)*(TYPE2&lt;&gt;"")+('Dvd Calendar'!$AQ$918=TYPE3)*(TYPE3&lt;&gt;"")+('Dvd Calendar'!$AQ$918=TYPE4)*(TYPE4&lt;&gt;"")+('Dvd Calendar'!$AQ$918=SPECIAL_LBL)*(INC_SPECIALS="Y"))=0,"",'Dvd Calendar'!$AQ$916)))</f>
        <v/>
      </c>
      <c r="AP94" s="161">
        <f>IF(FR94="","",IF(ISNUMBER('Dvd Calendar'!$AR$916)=FALSE,"",IF((('Dvd Calendar'!$AR$918=TYPE1)*(TYPE1&lt;&gt;"")+('Dvd Calendar'!$AR$918=TYPE2)*(TYPE2&lt;&gt;"")+('Dvd Calendar'!$AR$918=TYPE3)*(TYPE3&lt;&gt;"")+('Dvd Calendar'!$AR$918=TYPE4)*(TYPE4&lt;&gt;"")+('Dvd Calendar'!$AR$918=SPECIAL_LBL)*(INC_SPECIALS="Y"))=0,"",'Dvd Calendar'!$AR$916)))</f>
        <v/>
      </c>
      <c r="AQ94" s="161">
        <f>IF(FS94="","",IF(ISNUMBER('Dvd Calendar'!$E$921)=FALSE,"",'Dvd Calendar'!$E$921))</f>
        <v/>
      </c>
      <c r="AR94" s="161">
        <f>IF(FT94="","",IF(ISNUMBER('Dvd Calendar'!$F$921)=FALSE,"",'Dvd Calendar'!$F$921))</f>
        <v/>
      </c>
      <c r="AS94" s="161">
        <f>IF(FU94="","",IF(ISNUMBER('Dvd Calendar'!$G$921)=FALSE,"",'Dvd Calendar'!$G$921))</f>
        <v/>
      </c>
      <c r="AT94" s="161">
        <f>IF(FV94="","",IF(ISNUMBER('Dvd Calendar'!$H$921)=FALSE,"",'Dvd Calendar'!$H$921))</f>
        <v/>
      </c>
      <c r="AU94" s="161">
        <f>IF(FW94="","",IF(ISNUMBER('Dvd Calendar'!$I$921)=FALSE,"",'Dvd Calendar'!$I$921))</f>
        <v/>
      </c>
      <c r="AV94" s="161">
        <f>IF(FX94="","",IF(ISNUMBER('Dvd Calendar'!$J$921)=FALSE,"",'Dvd Calendar'!$J$921))</f>
        <v/>
      </c>
      <c r="AW94" s="161">
        <f>IF(FY94="","",IF(ISNUMBER('Dvd Calendar'!$K$921)=FALSE,"",'Dvd Calendar'!$K$921))</f>
        <v/>
      </c>
      <c r="AX94" s="161">
        <f>IF(FZ94="","",IF(ISNUMBER('Dvd Calendar'!$L$921)=FALSE,"",'Dvd Calendar'!$L$921))</f>
        <v/>
      </c>
      <c r="AY94" s="161">
        <f>IF(GA94="","",IF(ISNUMBER('Dvd Calendar'!$M$921)=FALSE,"",'Dvd Calendar'!$M$921))</f>
        <v/>
      </c>
      <c r="AZ94" s="161">
        <f>IF(GB94="","",IF(ISNUMBER('Dvd Calendar'!$N$921)=FALSE,"",'Dvd Calendar'!$N$921))</f>
        <v/>
      </c>
      <c r="BA94" s="161">
        <f>IF(GC94="","",IF(ISNUMBER('Dvd Calendar'!$O$921)=FALSE,"",'Dvd Calendar'!$O$921))</f>
        <v/>
      </c>
      <c r="BB94" s="161">
        <f>IF(GD94="","",IF(ISNUMBER('Dvd Calendar'!$P$921)=FALSE,"",'Dvd Calendar'!$P$921))</f>
        <v/>
      </c>
      <c r="BC94" s="161">
        <f>IF(GE94="","",IF(ISNUMBER('Dvd Calendar'!$Q$921)=FALSE,"",'Dvd Calendar'!$Q$921))</f>
        <v/>
      </c>
      <c r="BD94" s="161">
        <f>IF(GF94="","",IF(ISNUMBER('Dvd Calendar'!$R$921)=FALSE,"",'Dvd Calendar'!$R$921))</f>
        <v/>
      </c>
      <c r="BE94" s="161">
        <f>IF(GG94="","",IF(ISNUMBER('Dvd Calendar'!$S$921)=FALSE,"",'Dvd Calendar'!$S$921))</f>
        <v/>
      </c>
      <c r="BF94" s="161">
        <f>IF(GH94="","",IF(ISNUMBER('Dvd Calendar'!$T$921)=FALSE,"",'Dvd Calendar'!$T$921))</f>
        <v/>
      </c>
      <c r="BG94" s="161">
        <f>IF(GI94="","",IF(ISNUMBER('Dvd Calendar'!$U$921)=FALSE,"",'Dvd Calendar'!$U$921))</f>
        <v/>
      </c>
      <c r="BH94" s="161">
        <f>IF(GJ94="","",IF(ISNUMBER('Dvd Calendar'!$V$921)=FALSE,"",'Dvd Calendar'!$V$921))</f>
        <v/>
      </c>
      <c r="BI94" s="161">
        <f>IF(GK94="","",IF(ISNUMBER('Dvd Calendar'!$W$921)=FALSE,"",'Dvd Calendar'!$W$921))</f>
        <v/>
      </c>
      <c r="BJ94" s="161">
        <f>IF(GL94="","",IF(ISNUMBER('Dvd Calendar'!$X$921)=FALSE,"",'Dvd Calendar'!$X$921))</f>
        <v/>
      </c>
      <c r="BK94" s="161">
        <f>IF(GM94="","",IF(ISNUMBER('Dvd Calendar'!$Y$921)=FALSE,"",'Dvd Calendar'!$Y$921))</f>
        <v/>
      </c>
      <c r="BL94" s="161">
        <f>IF(GN94="","",IF(ISNUMBER('Dvd Calendar'!$Z$921)=FALSE,"",'Dvd Calendar'!$Z$921))</f>
        <v/>
      </c>
      <c r="BM94" s="161">
        <f>IF(GO94="","",IF(ISNUMBER('Dvd Calendar'!$AA$921)=FALSE,"",'Dvd Calendar'!$AA$921))</f>
        <v/>
      </c>
      <c r="BN94" s="161">
        <f>IF(GP94="","",IF(ISNUMBER('Dvd Calendar'!$AB$921)=FALSE,"",'Dvd Calendar'!$AB$921))</f>
        <v/>
      </c>
      <c r="BO94" s="161">
        <f>IF(GQ94="","",IF(ISNUMBER('Dvd Calendar'!$AC$921)=FALSE,"",'Dvd Calendar'!$AC$921))</f>
        <v/>
      </c>
      <c r="BQ94" s="161">
        <f>IF(C94="","",IFERROR(C94*HSI!$B$89*HSI!$G$89/HSI!$B$3,""))</f>
        <v/>
      </c>
      <c r="BR94" s="161">
        <f>IF(D94="","",IFERROR(D94*HSI!$B$89*HSI!$G$89/HSI!$B$3,""))</f>
        <v/>
      </c>
      <c r="BS94" s="161">
        <f>IF(E94="","",IFERROR(E94*HSI!$B$89*HSI!$G$89/HSI!$B$3,""))</f>
        <v/>
      </c>
      <c r="BT94" s="161">
        <f>IF(F94="","",IFERROR(F94*HSI!$B$89*HSI!$G$89/HSI!$B$3,""))</f>
        <v/>
      </c>
      <c r="BU94" s="161">
        <f>IF(G94="","",IFERROR(G94*HSI!$B$89*HSI!$G$89/HSI!$B$3,""))</f>
        <v/>
      </c>
      <c r="BV94" s="161">
        <f>IF(H94="","",IFERROR(H94*HSI!$B$89*HSI!$G$89/HSI!$B$3,""))</f>
        <v/>
      </c>
      <c r="BW94" s="161">
        <f>IF(I94="","",IFERROR(I94*HSI!$B$89*HSI!$G$89/HSI!$B$3,""))</f>
        <v/>
      </c>
      <c r="BX94" s="161">
        <f>IF(J94="","",IFERROR(J94*HSI!$B$89*HSI!$G$89/HSI!$B$3,""))</f>
        <v/>
      </c>
      <c r="BY94" s="161">
        <f>IF(K94="","",IFERROR(K94*HSI!$B$89*HSI!$G$89/HSI!$B$3,""))</f>
        <v/>
      </c>
      <c r="BZ94" s="161">
        <f>IF(L94="","",IFERROR(L94*HSI!$B$89*HSI!$G$89/HSI!$B$3,""))</f>
        <v/>
      </c>
      <c r="CA94" s="161">
        <f>IF(M94="","",IFERROR(M94*HSI!$B$89*HSI!$G$89/HSI!$B$3,""))</f>
        <v/>
      </c>
      <c r="CB94" s="161">
        <f>IF(N94="","",IFERROR(N94*HSI!$B$89*HSI!$G$89/HSI!$B$3,""))</f>
        <v/>
      </c>
      <c r="CC94" s="161">
        <f>IF(O94="","",IFERROR(O94*HSI!$B$89*HSI!$G$89/HSI!$B$3,""))</f>
        <v/>
      </c>
      <c r="CD94" s="161">
        <f>IF(P94="","",IFERROR(P94*HSI!$B$89*HSI!$G$89/HSI!$B$3,""))</f>
        <v/>
      </c>
      <c r="CE94" s="161">
        <f>IF(Q94="","",IFERROR(Q94*HSI!$B$89*HSI!$G$89/HSI!$B$3,""))</f>
        <v/>
      </c>
      <c r="CF94" s="161">
        <f>IF(R94="","",IFERROR(R94*HSI!$B$89*HSI!$G$89/HSI!$B$3,""))</f>
        <v/>
      </c>
      <c r="CG94" s="161">
        <f>IF(S94="","",IFERROR(S94*HSI!$B$89*HSI!$G$89/HSI!$B$3,""))</f>
        <v/>
      </c>
      <c r="CH94" s="161">
        <f>IF(T94="","",IFERROR(T94*HSI!$B$89*HSI!$G$89/HSI!$B$3,""))</f>
        <v/>
      </c>
      <c r="CI94" s="161">
        <f>IF(U94="","",IFERROR(U94*HSI!$B$89*HSI!$G$89/HSI!$B$3,""))</f>
        <v/>
      </c>
      <c r="CJ94" s="161">
        <f>IF(V94="","",IFERROR(V94*HSI!$B$89*HSI!$G$89/HSI!$B$3,""))</f>
        <v/>
      </c>
      <c r="CK94" s="161">
        <f>IF(W94="","",IFERROR(W94*HSI!$B$89*HSI!$G$89/HSI!$B$3,""))</f>
        <v/>
      </c>
      <c r="CL94" s="161">
        <f>IF(X94="","",IFERROR(X94*HSI!$B$89*HSI!$G$89/HSI!$B$3,""))</f>
        <v/>
      </c>
      <c r="CM94" s="161">
        <f>IF(Y94="","",IFERROR(Y94*HSI!$B$89*HSI!$G$89/HSI!$B$3,""))</f>
        <v/>
      </c>
      <c r="CN94" s="161">
        <f>IF(Z94="","",IFERROR(Z94*HSI!$B$89*HSI!$G$89/HSI!$B$3,""))</f>
        <v/>
      </c>
      <c r="CO94" s="161">
        <f>IF(AA94="","",IFERROR(AA94*HSI!$B$89*HSI!$G$89/HSI!$B$3,""))</f>
        <v/>
      </c>
      <c r="CP94" s="161">
        <f>IF(AB94="","",IFERROR(AB94*HSI!$B$89*HSI!$G$89/HSI!$B$3,""))</f>
        <v/>
      </c>
      <c r="CQ94" s="161">
        <f>IF(AC94="","",IFERROR(AC94*HSI!$B$89*HSI!$G$89/HSI!$B$3,""))</f>
        <v/>
      </c>
      <c r="CR94" s="161">
        <f>IF(AD94="","",IFERROR(AD94*HSI!$B$89*HSI!$G$89/HSI!$B$3,""))</f>
        <v/>
      </c>
      <c r="CS94" s="161">
        <f>IF(AE94="","",IFERROR(AE94*HSI!$B$89*HSI!$G$89/HSI!$B$3,""))</f>
        <v/>
      </c>
      <c r="CT94" s="161">
        <f>IF(AF94="","",IFERROR(AF94*HSI!$B$89*HSI!$G$89/HSI!$B$3,""))</f>
        <v/>
      </c>
      <c r="CU94" s="161">
        <f>IF(AG94="","",IFERROR(AG94*HSI!$B$89*HSI!$G$89/HSI!$B$3,""))</f>
        <v/>
      </c>
      <c r="CV94" s="161">
        <f>IF(AH94="","",IFERROR(AH94*HSI!$B$89*HSI!$G$89/HSI!$B$3,""))</f>
        <v/>
      </c>
      <c r="CW94" s="161">
        <f>IF(AI94="","",IFERROR(AI94*HSI!$B$89*HSI!$G$89/HSI!$B$3,""))</f>
        <v/>
      </c>
      <c r="CX94" s="161">
        <f>IF(AJ94="","",IFERROR(AJ94*HSI!$B$89*HSI!$G$89/HSI!$B$3,""))</f>
        <v/>
      </c>
      <c r="CY94" s="161">
        <f>IF(AK94="","",IFERROR(AK94*HSI!$B$89*HSI!$G$89/HSI!$B$3,""))</f>
        <v/>
      </c>
      <c r="CZ94" s="161">
        <f>IF(AL94="","",IFERROR(AL94*HSI!$B$89*HSI!$G$89/HSI!$B$3,""))</f>
        <v/>
      </c>
      <c r="DA94" s="161">
        <f>IF(AM94="","",IFERROR(AM94*HSI!$B$89*HSI!$G$89/HSI!$B$3,""))</f>
        <v/>
      </c>
      <c r="DB94" s="161">
        <f>IF(AN94="","",IFERROR(AN94*HSI!$B$89*HSI!$G$89/HSI!$B$3,""))</f>
        <v/>
      </c>
      <c r="DC94" s="161">
        <f>IF(AO94="","",IFERROR(AO94*HSI!$B$89*HSI!$G$89/HSI!$B$3,""))</f>
        <v/>
      </c>
      <c r="DD94" s="161">
        <f>IF(AP94="","",IFERROR(AP94*HSI!$B$89*HSI!$G$89/HSI!$B$3,""))</f>
        <v/>
      </c>
      <c r="DE94" s="161">
        <f>IF(AQ94="","",IFERROR(AQ94*HSI!$B$89*HSI!$G$89/HSI!$B$3,""))</f>
        <v/>
      </c>
      <c r="DF94" s="161">
        <f>IF(AR94="","",IFERROR(AR94*HSI!$B$89*HSI!$G$89/HSI!$B$3,""))</f>
        <v/>
      </c>
      <c r="DG94" s="161">
        <f>IF(AS94="","",IFERROR(AS94*HSI!$B$89*HSI!$G$89/HSI!$B$3,""))</f>
        <v/>
      </c>
      <c r="DH94" s="161">
        <f>IF(AT94="","",IFERROR(AT94*HSI!$B$89*HSI!$G$89/HSI!$B$3,""))</f>
        <v/>
      </c>
      <c r="DI94" s="161">
        <f>IF(AU94="","",IFERROR(AU94*HSI!$B$89*HSI!$G$89/HSI!$B$3,""))</f>
        <v/>
      </c>
      <c r="DJ94" s="161">
        <f>IF(AV94="","",IFERROR(AV94*HSI!$B$89*HSI!$G$89/HSI!$B$3,""))</f>
        <v/>
      </c>
      <c r="DK94" s="161">
        <f>IF(AW94="","",IFERROR(AW94*HSI!$B$89*HSI!$G$89/HSI!$B$3,""))</f>
        <v/>
      </c>
      <c r="DL94" s="161">
        <f>IF(AX94="","",IFERROR(AX94*HSI!$B$89*HSI!$G$89/HSI!$B$3,""))</f>
        <v/>
      </c>
      <c r="DM94" s="161">
        <f>IF(AY94="","",IFERROR(AY94*HSI!$B$89*HSI!$G$89/HSI!$B$3,""))</f>
        <v/>
      </c>
      <c r="DN94" s="161">
        <f>IF(AZ94="","",IFERROR(AZ94*HSI!$B$89*HSI!$G$89/HSI!$B$3,""))</f>
        <v/>
      </c>
      <c r="DO94" s="161">
        <f>IF(BA94="","",IFERROR(BA94*HSI!$B$89*HSI!$G$89/HSI!$B$3,""))</f>
        <v/>
      </c>
      <c r="DP94" s="161">
        <f>IF(BB94="","",IFERROR(BB94*HSI!$B$89*HSI!$G$89/HSI!$B$3,""))</f>
        <v/>
      </c>
      <c r="DQ94" s="161">
        <f>IF(BC94="","",IFERROR(BC94*HSI!$B$89*HSI!$G$89/HSI!$B$3,""))</f>
        <v/>
      </c>
      <c r="DR94" s="161">
        <f>IF(BD94="","",IFERROR(BD94*HSI!$B$89*HSI!$G$89/HSI!$B$3,""))</f>
        <v/>
      </c>
      <c r="DS94" s="161">
        <f>IF(BE94="","",IFERROR(BE94*HSI!$B$89*HSI!$G$89/HSI!$B$3,""))</f>
        <v/>
      </c>
      <c r="DT94" s="161">
        <f>IF(BF94="","",IFERROR(BF94*HSI!$B$89*HSI!$G$89/HSI!$B$3,""))</f>
        <v/>
      </c>
      <c r="DU94" s="161">
        <f>IF(BG94="","",IFERROR(BG94*HSI!$B$89*HSI!$G$89/HSI!$B$3,""))</f>
        <v/>
      </c>
      <c r="DV94" s="161">
        <f>IF(BH94="","",IFERROR(BH94*HSI!$B$89*HSI!$G$89/HSI!$B$3,""))</f>
        <v/>
      </c>
      <c r="DW94" s="161">
        <f>IF(BI94="","",IFERROR(BI94*HSI!$B$89*HSI!$G$89/HSI!$B$3,""))</f>
        <v/>
      </c>
      <c r="DX94" s="161">
        <f>IF(BJ94="","",IFERROR(BJ94*HSI!$B$89*HSI!$G$89/HSI!$B$3,""))</f>
        <v/>
      </c>
      <c r="DY94" s="161">
        <f>IF(BK94="","",IFERROR(BK94*HSI!$B$89*HSI!$G$89/HSI!$B$3,""))</f>
        <v/>
      </c>
      <c r="DZ94" s="161">
        <f>IF(BL94="","",IFERROR(BL94*HSI!$B$89*HSI!$G$89/HSI!$B$3,""))</f>
        <v/>
      </c>
      <c r="EA94" s="161">
        <f>IF(BM94="","",IFERROR(BM94*HSI!$B$89*HSI!$G$89/HSI!$B$3,""))</f>
        <v/>
      </c>
      <c r="EB94" s="161">
        <f>IF(BN94="","",IFERROR(BN94*HSI!$B$89*HSI!$G$89/HSI!$B$3,""))</f>
        <v/>
      </c>
      <c r="EC94" s="161">
        <f>IF(BO94="","",IFERROR(BO94*HSI!$B$89*HSI!$G$89/HSI!$B$3,""))</f>
        <v/>
      </c>
      <c r="EE94" s="121">
        <f>IF(N('Dvd Calendar'!$E$913)=0,"",IF(('Dvd Calendar'!$E$913&gt;=GRID_FROM)*('Dvd Calendar'!$E$913&lt;=GRID_TO)*((('Dvd Calendar'!$E$913&lt;=VAL_DATE)+(COUNTIF('Dvd Calendar'!$E$920:$AR$920,'Dvd Calendar'!$E$913)=0))&gt;0)=0,"",'Dvd Calendar'!$E$913*1000000000+ISNUMBER('Dvd Calendar'!$E$916)*100000000+('Dvd Calendar'!$E$918=SPECIAL_LBL)*10000000+(N('Dvd Calendar'!$E$912)&gt;0)*(N('Dvd Calendar'!$E$912)&lt;=VAL_SERIAL)*1000000+83*1000+1))</f>
        <v/>
      </c>
      <c r="EF94" s="121">
        <f>IF(N('Dvd Calendar'!$F$913)=0,"",IF(('Dvd Calendar'!$F$913&gt;=GRID_FROM)*('Dvd Calendar'!$F$913&lt;=GRID_TO)*((('Dvd Calendar'!$F$913&lt;=VAL_DATE)+(COUNTIF('Dvd Calendar'!$E$920:$AR$920,'Dvd Calendar'!$F$913)=0))&gt;0)=0,"",'Dvd Calendar'!$F$913*1000000000+ISNUMBER('Dvd Calendar'!$F$916)*100000000+('Dvd Calendar'!$F$918=SPECIAL_LBL)*10000000+(N('Dvd Calendar'!$F$912)&gt;0)*(N('Dvd Calendar'!$F$912)&lt;=VAL_SERIAL)*1000000+83*1000+2))</f>
        <v/>
      </c>
      <c r="EG94" s="121">
        <f>IF(N('Dvd Calendar'!$G$913)=0,"",IF(('Dvd Calendar'!$G$913&gt;=GRID_FROM)*('Dvd Calendar'!$G$913&lt;=GRID_TO)*((('Dvd Calendar'!$G$913&lt;=VAL_DATE)+(COUNTIF('Dvd Calendar'!$E$920:$AR$920,'Dvd Calendar'!$G$913)=0))&gt;0)=0,"",'Dvd Calendar'!$G$913*1000000000+ISNUMBER('Dvd Calendar'!$G$916)*100000000+('Dvd Calendar'!$G$918=SPECIAL_LBL)*10000000+(N('Dvd Calendar'!$G$912)&gt;0)*(N('Dvd Calendar'!$G$912)&lt;=VAL_SERIAL)*1000000+83*1000+3))</f>
        <v/>
      </c>
      <c r="EH94" s="121">
        <f>IF(N('Dvd Calendar'!$H$913)=0,"",IF(('Dvd Calendar'!$H$913&gt;=GRID_FROM)*('Dvd Calendar'!$H$913&lt;=GRID_TO)*((('Dvd Calendar'!$H$913&lt;=VAL_DATE)+(COUNTIF('Dvd Calendar'!$E$920:$AR$920,'Dvd Calendar'!$H$913)=0))&gt;0)=0,"",'Dvd Calendar'!$H$913*1000000000+ISNUMBER('Dvd Calendar'!$H$916)*100000000+('Dvd Calendar'!$H$918=SPECIAL_LBL)*10000000+(N('Dvd Calendar'!$H$912)&gt;0)*(N('Dvd Calendar'!$H$912)&lt;=VAL_SERIAL)*1000000+83*1000+4))</f>
        <v/>
      </c>
      <c r="EI94" s="121">
        <f>IF(N('Dvd Calendar'!$I$913)=0,"",IF(('Dvd Calendar'!$I$913&gt;=GRID_FROM)*('Dvd Calendar'!$I$913&lt;=GRID_TO)*((('Dvd Calendar'!$I$913&lt;=VAL_DATE)+(COUNTIF('Dvd Calendar'!$E$920:$AR$920,'Dvd Calendar'!$I$913)=0))&gt;0)=0,"",'Dvd Calendar'!$I$913*1000000000+ISNUMBER('Dvd Calendar'!$I$916)*100000000+('Dvd Calendar'!$I$918=SPECIAL_LBL)*10000000+(N('Dvd Calendar'!$I$912)&gt;0)*(N('Dvd Calendar'!$I$912)&lt;=VAL_SERIAL)*1000000+83*1000+5))</f>
        <v/>
      </c>
      <c r="EJ94" s="121">
        <f>IF(N('Dvd Calendar'!$J$913)=0,"",IF(('Dvd Calendar'!$J$913&gt;=GRID_FROM)*('Dvd Calendar'!$J$913&lt;=GRID_TO)*((('Dvd Calendar'!$J$913&lt;=VAL_DATE)+(COUNTIF('Dvd Calendar'!$E$920:$AR$920,'Dvd Calendar'!$J$913)=0))&gt;0)=0,"",'Dvd Calendar'!$J$913*1000000000+ISNUMBER('Dvd Calendar'!$J$916)*100000000+('Dvd Calendar'!$J$918=SPECIAL_LBL)*10000000+(N('Dvd Calendar'!$J$912)&gt;0)*(N('Dvd Calendar'!$J$912)&lt;=VAL_SERIAL)*1000000+83*1000+6))</f>
        <v/>
      </c>
      <c r="EK94" s="121">
        <f>IF(N('Dvd Calendar'!$K$913)=0,"",IF(('Dvd Calendar'!$K$913&gt;=GRID_FROM)*('Dvd Calendar'!$K$913&lt;=GRID_TO)*((('Dvd Calendar'!$K$913&lt;=VAL_DATE)+(COUNTIF('Dvd Calendar'!$E$920:$AR$920,'Dvd Calendar'!$K$913)=0))&gt;0)=0,"",'Dvd Calendar'!$K$913*1000000000+ISNUMBER('Dvd Calendar'!$K$916)*100000000+('Dvd Calendar'!$K$918=SPECIAL_LBL)*10000000+(N('Dvd Calendar'!$K$912)&gt;0)*(N('Dvd Calendar'!$K$912)&lt;=VAL_SERIAL)*1000000+83*1000+7))</f>
        <v/>
      </c>
      <c r="EL94" s="121">
        <f>IF(N('Dvd Calendar'!$L$913)=0,"",IF(('Dvd Calendar'!$L$913&gt;=GRID_FROM)*('Dvd Calendar'!$L$913&lt;=GRID_TO)*((('Dvd Calendar'!$L$913&lt;=VAL_DATE)+(COUNTIF('Dvd Calendar'!$E$920:$AR$920,'Dvd Calendar'!$L$913)=0))&gt;0)=0,"",'Dvd Calendar'!$L$913*1000000000+ISNUMBER('Dvd Calendar'!$L$916)*100000000+('Dvd Calendar'!$L$918=SPECIAL_LBL)*10000000+(N('Dvd Calendar'!$L$912)&gt;0)*(N('Dvd Calendar'!$L$912)&lt;=VAL_SERIAL)*1000000+83*1000+8))</f>
        <v/>
      </c>
      <c r="EM94" s="121">
        <f>IF(N('Dvd Calendar'!$M$913)=0,"",IF(('Dvd Calendar'!$M$913&gt;=GRID_FROM)*('Dvd Calendar'!$M$913&lt;=GRID_TO)*((('Dvd Calendar'!$M$913&lt;=VAL_DATE)+(COUNTIF('Dvd Calendar'!$E$920:$AR$920,'Dvd Calendar'!$M$913)=0))&gt;0)=0,"",'Dvd Calendar'!$M$913*1000000000+ISNUMBER('Dvd Calendar'!$M$916)*100000000+('Dvd Calendar'!$M$918=SPECIAL_LBL)*10000000+(N('Dvd Calendar'!$M$912)&gt;0)*(N('Dvd Calendar'!$M$912)&lt;=VAL_SERIAL)*1000000+83*1000+9))</f>
        <v/>
      </c>
      <c r="EN94" s="121">
        <f>IF(N('Dvd Calendar'!$N$913)=0,"",IF(('Dvd Calendar'!$N$913&gt;=GRID_FROM)*('Dvd Calendar'!$N$913&lt;=GRID_TO)*((('Dvd Calendar'!$N$913&lt;=VAL_DATE)+(COUNTIF('Dvd Calendar'!$E$920:$AR$920,'Dvd Calendar'!$N$913)=0))&gt;0)=0,"",'Dvd Calendar'!$N$913*1000000000+ISNUMBER('Dvd Calendar'!$N$916)*100000000+('Dvd Calendar'!$N$918=SPECIAL_LBL)*10000000+(N('Dvd Calendar'!$N$912)&gt;0)*(N('Dvd Calendar'!$N$912)&lt;=VAL_SERIAL)*1000000+83*1000+10))</f>
        <v/>
      </c>
      <c r="EO94" s="121">
        <f>IF(N('Dvd Calendar'!$O$913)=0,"",IF(('Dvd Calendar'!$O$913&gt;=GRID_FROM)*('Dvd Calendar'!$O$913&lt;=GRID_TO)*((('Dvd Calendar'!$O$913&lt;=VAL_DATE)+(COUNTIF('Dvd Calendar'!$E$920:$AR$920,'Dvd Calendar'!$O$913)=0))&gt;0)=0,"",'Dvd Calendar'!$O$913*1000000000+ISNUMBER('Dvd Calendar'!$O$916)*100000000+('Dvd Calendar'!$O$918=SPECIAL_LBL)*10000000+(N('Dvd Calendar'!$O$912)&gt;0)*(N('Dvd Calendar'!$O$912)&lt;=VAL_SERIAL)*1000000+83*1000+11))</f>
        <v/>
      </c>
      <c r="EP94" s="121">
        <f>IF(N('Dvd Calendar'!$P$913)=0,"",IF(('Dvd Calendar'!$P$913&gt;=GRID_FROM)*('Dvd Calendar'!$P$913&lt;=GRID_TO)*((('Dvd Calendar'!$P$913&lt;=VAL_DATE)+(COUNTIF('Dvd Calendar'!$E$920:$AR$920,'Dvd Calendar'!$P$913)=0))&gt;0)=0,"",'Dvd Calendar'!$P$913*1000000000+ISNUMBER('Dvd Calendar'!$P$916)*100000000+('Dvd Calendar'!$P$918=SPECIAL_LBL)*10000000+(N('Dvd Calendar'!$P$912)&gt;0)*(N('Dvd Calendar'!$P$912)&lt;=VAL_SERIAL)*1000000+83*1000+12))</f>
        <v/>
      </c>
      <c r="EQ94" s="121">
        <f>IF(N('Dvd Calendar'!$Q$913)=0,"",IF(('Dvd Calendar'!$Q$913&gt;=GRID_FROM)*('Dvd Calendar'!$Q$913&lt;=GRID_TO)*((('Dvd Calendar'!$Q$913&lt;=VAL_DATE)+(COUNTIF('Dvd Calendar'!$E$920:$AR$920,'Dvd Calendar'!$Q$913)=0))&gt;0)=0,"",'Dvd Calendar'!$Q$913*1000000000+ISNUMBER('Dvd Calendar'!$Q$916)*100000000+('Dvd Calendar'!$Q$918=SPECIAL_LBL)*10000000+(N('Dvd Calendar'!$Q$912)&gt;0)*(N('Dvd Calendar'!$Q$912)&lt;=VAL_SERIAL)*1000000+83*1000+13))</f>
        <v/>
      </c>
      <c r="ER94" s="121">
        <f>IF(N('Dvd Calendar'!$R$913)=0,"",IF(('Dvd Calendar'!$R$913&gt;=GRID_FROM)*('Dvd Calendar'!$R$913&lt;=GRID_TO)*((('Dvd Calendar'!$R$913&lt;=VAL_DATE)+(COUNTIF('Dvd Calendar'!$E$920:$AR$920,'Dvd Calendar'!$R$913)=0))&gt;0)=0,"",'Dvd Calendar'!$R$913*1000000000+ISNUMBER('Dvd Calendar'!$R$916)*100000000+('Dvd Calendar'!$R$918=SPECIAL_LBL)*10000000+(N('Dvd Calendar'!$R$912)&gt;0)*(N('Dvd Calendar'!$R$912)&lt;=VAL_SERIAL)*1000000+83*1000+14))</f>
        <v/>
      </c>
      <c r="ES94" s="121">
        <f>IF(N('Dvd Calendar'!$S$913)=0,"",IF(('Dvd Calendar'!$S$913&gt;=GRID_FROM)*('Dvd Calendar'!$S$913&lt;=GRID_TO)*((('Dvd Calendar'!$S$913&lt;=VAL_DATE)+(COUNTIF('Dvd Calendar'!$E$920:$AR$920,'Dvd Calendar'!$S$913)=0))&gt;0)=0,"",'Dvd Calendar'!$S$913*1000000000+ISNUMBER('Dvd Calendar'!$S$916)*100000000+('Dvd Calendar'!$S$918=SPECIAL_LBL)*10000000+(N('Dvd Calendar'!$S$912)&gt;0)*(N('Dvd Calendar'!$S$912)&lt;=VAL_SERIAL)*1000000+83*1000+15))</f>
        <v/>
      </c>
      <c r="ET94" s="121">
        <f>IF(N('Dvd Calendar'!$T$913)=0,"",IF(('Dvd Calendar'!$T$913&gt;=GRID_FROM)*('Dvd Calendar'!$T$913&lt;=GRID_TO)*((('Dvd Calendar'!$T$913&lt;=VAL_DATE)+(COUNTIF('Dvd Calendar'!$E$920:$AR$920,'Dvd Calendar'!$T$913)=0))&gt;0)=0,"",'Dvd Calendar'!$T$913*1000000000+ISNUMBER('Dvd Calendar'!$T$916)*100000000+('Dvd Calendar'!$T$918=SPECIAL_LBL)*10000000+(N('Dvd Calendar'!$T$912)&gt;0)*(N('Dvd Calendar'!$T$912)&lt;=VAL_SERIAL)*1000000+83*1000+16))</f>
        <v/>
      </c>
      <c r="EU94" s="121">
        <f>IF(N('Dvd Calendar'!$U$913)=0,"",IF(('Dvd Calendar'!$U$913&gt;=GRID_FROM)*('Dvd Calendar'!$U$913&lt;=GRID_TO)*((('Dvd Calendar'!$U$913&lt;=VAL_DATE)+(COUNTIF('Dvd Calendar'!$E$920:$AR$920,'Dvd Calendar'!$U$913)=0))&gt;0)=0,"",'Dvd Calendar'!$U$913*1000000000+ISNUMBER('Dvd Calendar'!$U$916)*100000000+('Dvd Calendar'!$U$918=SPECIAL_LBL)*10000000+(N('Dvd Calendar'!$U$912)&gt;0)*(N('Dvd Calendar'!$U$912)&lt;=VAL_SERIAL)*1000000+83*1000+17))</f>
        <v/>
      </c>
      <c r="EV94" s="121">
        <f>IF(N('Dvd Calendar'!$V$913)=0,"",IF(('Dvd Calendar'!$V$913&gt;=GRID_FROM)*('Dvd Calendar'!$V$913&lt;=GRID_TO)*((('Dvd Calendar'!$V$913&lt;=VAL_DATE)+(COUNTIF('Dvd Calendar'!$E$920:$AR$920,'Dvd Calendar'!$V$913)=0))&gt;0)=0,"",'Dvd Calendar'!$V$913*1000000000+ISNUMBER('Dvd Calendar'!$V$916)*100000000+('Dvd Calendar'!$V$918=SPECIAL_LBL)*10000000+(N('Dvd Calendar'!$V$912)&gt;0)*(N('Dvd Calendar'!$V$912)&lt;=VAL_SERIAL)*1000000+83*1000+18))</f>
        <v/>
      </c>
      <c r="EW94" s="121">
        <f>IF(N('Dvd Calendar'!$W$913)=0,"",IF(('Dvd Calendar'!$W$913&gt;=GRID_FROM)*('Dvd Calendar'!$W$913&lt;=GRID_TO)*((('Dvd Calendar'!$W$913&lt;=VAL_DATE)+(COUNTIF('Dvd Calendar'!$E$920:$AR$920,'Dvd Calendar'!$W$913)=0))&gt;0)=0,"",'Dvd Calendar'!$W$913*1000000000+ISNUMBER('Dvd Calendar'!$W$916)*100000000+('Dvd Calendar'!$W$918=SPECIAL_LBL)*10000000+(N('Dvd Calendar'!$W$912)&gt;0)*(N('Dvd Calendar'!$W$912)&lt;=VAL_SERIAL)*1000000+83*1000+19))</f>
        <v/>
      </c>
      <c r="EX94" s="121">
        <f>IF(N('Dvd Calendar'!$X$913)=0,"",IF(('Dvd Calendar'!$X$913&gt;=GRID_FROM)*('Dvd Calendar'!$X$913&lt;=GRID_TO)*((('Dvd Calendar'!$X$913&lt;=VAL_DATE)+(COUNTIF('Dvd Calendar'!$E$920:$AR$920,'Dvd Calendar'!$X$913)=0))&gt;0)=0,"",'Dvd Calendar'!$X$913*1000000000+ISNUMBER('Dvd Calendar'!$X$916)*100000000+('Dvd Calendar'!$X$918=SPECIAL_LBL)*10000000+(N('Dvd Calendar'!$X$912)&gt;0)*(N('Dvd Calendar'!$X$912)&lt;=VAL_SERIAL)*1000000+83*1000+20))</f>
        <v/>
      </c>
      <c r="EY94" s="121">
        <f>IF(N('Dvd Calendar'!$Y$913)=0,"",IF(('Dvd Calendar'!$Y$913&gt;=GRID_FROM)*('Dvd Calendar'!$Y$913&lt;=GRID_TO)*((('Dvd Calendar'!$Y$913&lt;=VAL_DATE)+(COUNTIF('Dvd Calendar'!$E$920:$AR$920,'Dvd Calendar'!$Y$913)=0))&gt;0)=0,"",'Dvd Calendar'!$Y$913*1000000000+ISNUMBER('Dvd Calendar'!$Y$916)*100000000+('Dvd Calendar'!$Y$918=SPECIAL_LBL)*10000000+(N('Dvd Calendar'!$Y$912)&gt;0)*(N('Dvd Calendar'!$Y$912)&lt;=VAL_SERIAL)*1000000+83*1000+21))</f>
        <v/>
      </c>
      <c r="EZ94" s="121">
        <f>IF(N('Dvd Calendar'!$Z$913)=0,"",IF(('Dvd Calendar'!$Z$913&gt;=GRID_FROM)*('Dvd Calendar'!$Z$913&lt;=GRID_TO)*((('Dvd Calendar'!$Z$913&lt;=VAL_DATE)+(COUNTIF('Dvd Calendar'!$E$920:$AR$920,'Dvd Calendar'!$Z$913)=0))&gt;0)=0,"",'Dvd Calendar'!$Z$913*1000000000+ISNUMBER('Dvd Calendar'!$Z$916)*100000000+('Dvd Calendar'!$Z$918=SPECIAL_LBL)*10000000+(N('Dvd Calendar'!$Z$912)&gt;0)*(N('Dvd Calendar'!$Z$912)&lt;=VAL_SERIAL)*1000000+83*1000+22))</f>
        <v/>
      </c>
      <c r="FA94" s="121">
        <f>IF(N('Dvd Calendar'!$AA$913)=0,"",IF(('Dvd Calendar'!$AA$913&gt;=GRID_FROM)*('Dvd Calendar'!$AA$913&lt;=GRID_TO)*((('Dvd Calendar'!$AA$913&lt;=VAL_DATE)+(COUNTIF('Dvd Calendar'!$E$920:$AR$920,'Dvd Calendar'!$AA$913)=0))&gt;0)=0,"",'Dvd Calendar'!$AA$913*1000000000+ISNUMBER('Dvd Calendar'!$AA$916)*100000000+('Dvd Calendar'!$AA$918=SPECIAL_LBL)*10000000+(N('Dvd Calendar'!$AA$912)&gt;0)*(N('Dvd Calendar'!$AA$912)&lt;=VAL_SERIAL)*1000000+83*1000+23))</f>
        <v/>
      </c>
      <c r="FB94" s="121">
        <f>IF(N('Dvd Calendar'!$AB$913)=0,"",IF(('Dvd Calendar'!$AB$913&gt;=GRID_FROM)*('Dvd Calendar'!$AB$913&lt;=GRID_TO)*((('Dvd Calendar'!$AB$913&lt;=VAL_DATE)+(COUNTIF('Dvd Calendar'!$E$920:$AR$920,'Dvd Calendar'!$AB$913)=0))&gt;0)=0,"",'Dvd Calendar'!$AB$913*1000000000+ISNUMBER('Dvd Calendar'!$AB$916)*100000000+('Dvd Calendar'!$AB$918=SPECIAL_LBL)*10000000+(N('Dvd Calendar'!$AB$912)&gt;0)*(N('Dvd Calendar'!$AB$912)&lt;=VAL_SERIAL)*1000000+83*1000+24))</f>
        <v/>
      </c>
      <c r="FC94" s="121">
        <f>IF(N('Dvd Calendar'!$AC$913)=0,"",IF(('Dvd Calendar'!$AC$913&gt;=GRID_FROM)*('Dvd Calendar'!$AC$913&lt;=GRID_TO)*((('Dvd Calendar'!$AC$913&lt;=VAL_DATE)+(COUNTIF('Dvd Calendar'!$E$920:$AR$920,'Dvd Calendar'!$AC$913)=0))&gt;0)=0,"",'Dvd Calendar'!$AC$913*1000000000+ISNUMBER('Dvd Calendar'!$AC$916)*100000000+('Dvd Calendar'!$AC$918=SPECIAL_LBL)*10000000+(N('Dvd Calendar'!$AC$912)&gt;0)*(N('Dvd Calendar'!$AC$912)&lt;=VAL_SERIAL)*1000000+83*1000+25))</f>
        <v/>
      </c>
      <c r="FD94" s="121">
        <f>IF(N('Dvd Calendar'!$AD$913)=0,"",IF(('Dvd Calendar'!$AD$913&gt;=GRID_FROM)*('Dvd Calendar'!$AD$913&lt;=GRID_TO)*((('Dvd Calendar'!$AD$913&lt;=VAL_DATE)+(COUNTIF('Dvd Calendar'!$E$920:$AR$920,'Dvd Calendar'!$AD$913)=0))&gt;0)=0,"",'Dvd Calendar'!$AD$913*1000000000+ISNUMBER('Dvd Calendar'!$AD$916)*100000000+('Dvd Calendar'!$AD$918=SPECIAL_LBL)*10000000+(N('Dvd Calendar'!$AD$912)&gt;0)*(N('Dvd Calendar'!$AD$912)&lt;=VAL_SERIAL)*1000000+83*1000+26))</f>
        <v/>
      </c>
      <c r="FE94" s="121">
        <f>IF(N('Dvd Calendar'!$AE$913)=0,"",IF(('Dvd Calendar'!$AE$913&gt;=GRID_FROM)*('Dvd Calendar'!$AE$913&lt;=GRID_TO)*((('Dvd Calendar'!$AE$913&lt;=VAL_DATE)+(COUNTIF('Dvd Calendar'!$E$920:$AR$920,'Dvd Calendar'!$AE$913)=0))&gt;0)=0,"",'Dvd Calendar'!$AE$913*1000000000+ISNUMBER('Dvd Calendar'!$AE$916)*100000000+('Dvd Calendar'!$AE$918=SPECIAL_LBL)*10000000+(N('Dvd Calendar'!$AE$912)&gt;0)*(N('Dvd Calendar'!$AE$912)&lt;=VAL_SERIAL)*1000000+83*1000+27))</f>
        <v/>
      </c>
      <c r="FF94" s="121">
        <f>IF(N('Dvd Calendar'!$AF$913)=0,"",IF(('Dvd Calendar'!$AF$913&gt;=GRID_FROM)*('Dvd Calendar'!$AF$913&lt;=GRID_TO)*((('Dvd Calendar'!$AF$913&lt;=VAL_DATE)+(COUNTIF('Dvd Calendar'!$E$920:$AR$920,'Dvd Calendar'!$AF$913)=0))&gt;0)=0,"",'Dvd Calendar'!$AF$913*1000000000+ISNUMBER('Dvd Calendar'!$AF$916)*100000000+('Dvd Calendar'!$AF$918=SPECIAL_LBL)*10000000+(N('Dvd Calendar'!$AF$912)&gt;0)*(N('Dvd Calendar'!$AF$912)&lt;=VAL_SERIAL)*1000000+83*1000+28))</f>
        <v/>
      </c>
      <c r="FG94" s="121">
        <f>IF(N('Dvd Calendar'!$AG$913)=0,"",IF(('Dvd Calendar'!$AG$913&gt;=GRID_FROM)*('Dvd Calendar'!$AG$913&lt;=GRID_TO)*((('Dvd Calendar'!$AG$913&lt;=VAL_DATE)+(COUNTIF('Dvd Calendar'!$E$920:$AR$920,'Dvd Calendar'!$AG$913)=0))&gt;0)=0,"",'Dvd Calendar'!$AG$913*1000000000+ISNUMBER('Dvd Calendar'!$AG$916)*100000000+('Dvd Calendar'!$AG$918=SPECIAL_LBL)*10000000+(N('Dvd Calendar'!$AG$912)&gt;0)*(N('Dvd Calendar'!$AG$912)&lt;=VAL_SERIAL)*1000000+83*1000+29))</f>
        <v/>
      </c>
      <c r="FH94" s="121">
        <f>IF(N('Dvd Calendar'!$AH$913)=0,"",IF(('Dvd Calendar'!$AH$913&gt;=GRID_FROM)*('Dvd Calendar'!$AH$913&lt;=GRID_TO)*((('Dvd Calendar'!$AH$913&lt;=VAL_DATE)+(COUNTIF('Dvd Calendar'!$E$920:$AR$920,'Dvd Calendar'!$AH$913)=0))&gt;0)=0,"",'Dvd Calendar'!$AH$913*1000000000+ISNUMBER('Dvd Calendar'!$AH$916)*100000000+('Dvd Calendar'!$AH$918=SPECIAL_LBL)*10000000+(N('Dvd Calendar'!$AH$912)&gt;0)*(N('Dvd Calendar'!$AH$912)&lt;=VAL_SERIAL)*1000000+83*1000+30))</f>
        <v/>
      </c>
      <c r="FI94" s="121">
        <f>IF(N('Dvd Calendar'!$AI$913)=0,"",IF(('Dvd Calendar'!$AI$913&gt;=GRID_FROM)*('Dvd Calendar'!$AI$913&lt;=GRID_TO)*((('Dvd Calendar'!$AI$913&lt;=VAL_DATE)+(COUNTIF('Dvd Calendar'!$E$920:$AR$920,'Dvd Calendar'!$AI$913)=0))&gt;0)=0,"",'Dvd Calendar'!$AI$913*1000000000+ISNUMBER('Dvd Calendar'!$AI$916)*100000000+('Dvd Calendar'!$AI$918=SPECIAL_LBL)*10000000+(N('Dvd Calendar'!$AI$912)&gt;0)*(N('Dvd Calendar'!$AI$912)&lt;=VAL_SERIAL)*1000000+83*1000+31))</f>
        <v/>
      </c>
      <c r="FJ94" s="121">
        <f>IF(N('Dvd Calendar'!$AJ$913)=0,"",IF(('Dvd Calendar'!$AJ$913&gt;=GRID_FROM)*('Dvd Calendar'!$AJ$913&lt;=GRID_TO)*((('Dvd Calendar'!$AJ$913&lt;=VAL_DATE)+(COUNTIF('Dvd Calendar'!$E$920:$AR$920,'Dvd Calendar'!$AJ$913)=0))&gt;0)=0,"",'Dvd Calendar'!$AJ$913*1000000000+ISNUMBER('Dvd Calendar'!$AJ$916)*100000000+('Dvd Calendar'!$AJ$918=SPECIAL_LBL)*10000000+(N('Dvd Calendar'!$AJ$912)&gt;0)*(N('Dvd Calendar'!$AJ$912)&lt;=VAL_SERIAL)*1000000+83*1000+32))</f>
        <v/>
      </c>
      <c r="FK94" s="121">
        <f>IF(N('Dvd Calendar'!$AK$913)=0,"",IF(('Dvd Calendar'!$AK$913&gt;=GRID_FROM)*('Dvd Calendar'!$AK$913&lt;=GRID_TO)*((('Dvd Calendar'!$AK$913&lt;=VAL_DATE)+(COUNTIF('Dvd Calendar'!$E$920:$AR$920,'Dvd Calendar'!$AK$913)=0))&gt;0)=0,"",'Dvd Calendar'!$AK$913*1000000000+ISNUMBER('Dvd Calendar'!$AK$916)*100000000+('Dvd Calendar'!$AK$918=SPECIAL_LBL)*10000000+(N('Dvd Calendar'!$AK$912)&gt;0)*(N('Dvd Calendar'!$AK$912)&lt;=VAL_SERIAL)*1000000+83*1000+33))</f>
        <v/>
      </c>
      <c r="FL94" s="121">
        <f>IF(N('Dvd Calendar'!$AL$913)=0,"",IF(('Dvd Calendar'!$AL$913&gt;=GRID_FROM)*('Dvd Calendar'!$AL$913&lt;=GRID_TO)*((('Dvd Calendar'!$AL$913&lt;=VAL_DATE)+(COUNTIF('Dvd Calendar'!$E$920:$AR$920,'Dvd Calendar'!$AL$913)=0))&gt;0)=0,"",'Dvd Calendar'!$AL$913*1000000000+ISNUMBER('Dvd Calendar'!$AL$916)*100000000+('Dvd Calendar'!$AL$918=SPECIAL_LBL)*10000000+(N('Dvd Calendar'!$AL$912)&gt;0)*(N('Dvd Calendar'!$AL$912)&lt;=VAL_SERIAL)*1000000+83*1000+34))</f>
        <v/>
      </c>
      <c r="FM94" s="121">
        <f>IF(N('Dvd Calendar'!$AM$913)=0,"",IF(('Dvd Calendar'!$AM$913&gt;=GRID_FROM)*('Dvd Calendar'!$AM$913&lt;=GRID_TO)*((('Dvd Calendar'!$AM$913&lt;=VAL_DATE)+(COUNTIF('Dvd Calendar'!$E$920:$AR$920,'Dvd Calendar'!$AM$913)=0))&gt;0)=0,"",'Dvd Calendar'!$AM$913*1000000000+ISNUMBER('Dvd Calendar'!$AM$916)*100000000+('Dvd Calendar'!$AM$918=SPECIAL_LBL)*10000000+(N('Dvd Calendar'!$AM$912)&gt;0)*(N('Dvd Calendar'!$AM$912)&lt;=VAL_SERIAL)*1000000+83*1000+35))</f>
        <v/>
      </c>
      <c r="FN94" s="121">
        <f>IF(N('Dvd Calendar'!$AN$913)=0,"",IF(('Dvd Calendar'!$AN$913&gt;=GRID_FROM)*('Dvd Calendar'!$AN$913&lt;=GRID_TO)*((('Dvd Calendar'!$AN$913&lt;=VAL_DATE)+(COUNTIF('Dvd Calendar'!$E$920:$AR$920,'Dvd Calendar'!$AN$913)=0))&gt;0)=0,"",'Dvd Calendar'!$AN$913*1000000000+ISNUMBER('Dvd Calendar'!$AN$916)*100000000+('Dvd Calendar'!$AN$918=SPECIAL_LBL)*10000000+(N('Dvd Calendar'!$AN$912)&gt;0)*(N('Dvd Calendar'!$AN$912)&lt;=VAL_SERIAL)*1000000+83*1000+36))</f>
        <v/>
      </c>
      <c r="FO94" s="121">
        <f>IF(N('Dvd Calendar'!$AO$913)=0,"",IF(('Dvd Calendar'!$AO$913&gt;=GRID_FROM)*('Dvd Calendar'!$AO$913&lt;=GRID_TO)*((('Dvd Calendar'!$AO$913&lt;=VAL_DATE)+(COUNTIF('Dvd Calendar'!$E$920:$AR$920,'Dvd Calendar'!$AO$913)=0))&gt;0)=0,"",'Dvd Calendar'!$AO$913*1000000000+ISNUMBER('Dvd Calendar'!$AO$916)*100000000+('Dvd Calendar'!$AO$918=SPECIAL_LBL)*10000000+(N('Dvd Calendar'!$AO$912)&gt;0)*(N('Dvd Calendar'!$AO$912)&lt;=VAL_SERIAL)*1000000+83*1000+37))</f>
        <v/>
      </c>
      <c r="FP94" s="121">
        <f>IF(N('Dvd Calendar'!$AP$913)=0,"",IF(('Dvd Calendar'!$AP$913&gt;=GRID_FROM)*('Dvd Calendar'!$AP$913&lt;=GRID_TO)*((('Dvd Calendar'!$AP$913&lt;=VAL_DATE)+(COUNTIF('Dvd Calendar'!$E$920:$AR$920,'Dvd Calendar'!$AP$913)=0))&gt;0)=0,"",'Dvd Calendar'!$AP$913*1000000000+ISNUMBER('Dvd Calendar'!$AP$916)*100000000+('Dvd Calendar'!$AP$918=SPECIAL_LBL)*10000000+(N('Dvd Calendar'!$AP$912)&gt;0)*(N('Dvd Calendar'!$AP$912)&lt;=VAL_SERIAL)*1000000+83*1000+38))</f>
        <v/>
      </c>
      <c r="FQ94" s="121">
        <f>IF(N('Dvd Calendar'!$AQ$913)=0,"",IF(('Dvd Calendar'!$AQ$913&gt;=GRID_FROM)*('Dvd Calendar'!$AQ$913&lt;=GRID_TO)*((('Dvd Calendar'!$AQ$913&lt;=VAL_DATE)+(COUNTIF('Dvd Calendar'!$E$920:$AR$920,'Dvd Calendar'!$AQ$913)=0))&gt;0)=0,"",'Dvd Calendar'!$AQ$913*1000000000+ISNUMBER('Dvd Calendar'!$AQ$916)*100000000+('Dvd Calendar'!$AQ$918=SPECIAL_LBL)*10000000+(N('Dvd Calendar'!$AQ$912)&gt;0)*(N('Dvd Calendar'!$AQ$912)&lt;=VAL_SERIAL)*1000000+83*1000+39))</f>
        <v/>
      </c>
      <c r="FR94" s="121">
        <f>IF(N('Dvd Calendar'!$AR$913)=0,"",IF(('Dvd Calendar'!$AR$913&gt;=GRID_FROM)*('Dvd Calendar'!$AR$913&lt;=GRID_TO)*((('Dvd Calendar'!$AR$913&lt;=VAL_DATE)+(COUNTIF('Dvd Calendar'!$E$920:$AR$920,'Dvd Calendar'!$AR$913)=0))&gt;0)=0,"",'Dvd Calendar'!$AR$913*1000000000+ISNUMBER('Dvd Calendar'!$AR$916)*100000000+('Dvd Calendar'!$AR$918=SPECIAL_LBL)*10000000+(N('Dvd Calendar'!$AR$912)&gt;0)*(N('Dvd Calendar'!$AR$912)&lt;=VAL_SERIAL)*1000000+83*1000+40))</f>
        <v/>
      </c>
      <c r="FS94" s="121">
        <f>IF(N('Dvd Calendar'!$E$920)=0,"",IF(('Dvd Calendar'!$E$920&gt;=GRID_FROM)*('Dvd Calendar'!$E$920&lt;=GRID_TO)*('Dvd Calendar'!$E$920&gt;VAL_DATE)=0,"",'Dvd Calendar'!$E$920*1000000000+ISNUMBER('Dvd Calendar'!$E$921)*100000000+0*10000000+(N('Dvd Calendar'!$E$919)&gt;0)*(N('Dvd Calendar'!$E$919)&lt;=VAL_SERIAL)*1000000+83*1000+41))</f>
        <v/>
      </c>
      <c r="FT94" s="121">
        <f>IF(N('Dvd Calendar'!$F$920)=0,"",IF(('Dvd Calendar'!$F$920&gt;=GRID_FROM)*('Dvd Calendar'!$F$920&lt;=GRID_TO)*('Dvd Calendar'!$F$920&gt;VAL_DATE)=0,"",'Dvd Calendar'!$F$920*1000000000+ISNUMBER('Dvd Calendar'!$F$921)*100000000+0*10000000+(N('Dvd Calendar'!$F$919)&gt;0)*(N('Dvd Calendar'!$F$919)&lt;=VAL_SERIAL)*1000000+83*1000+42))</f>
        <v/>
      </c>
      <c r="FU94" s="121">
        <f>IF(N('Dvd Calendar'!$G$920)=0,"",IF(('Dvd Calendar'!$G$920&gt;=GRID_FROM)*('Dvd Calendar'!$G$920&lt;=GRID_TO)*('Dvd Calendar'!$G$920&gt;VAL_DATE)=0,"",'Dvd Calendar'!$G$920*1000000000+ISNUMBER('Dvd Calendar'!$G$921)*100000000+0*10000000+(N('Dvd Calendar'!$G$919)&gt;0)*(N('Dvd Calendar'!$G$919)&lt;=VAL_SERIAL)*1000000+83*1000+43))</f>
        <v/>
      </c>
      <c r="FV94" s="121">
        <f>IF(N('Dvd Calendar'!$H$920)=0,"",IF(('Dvd Calendar'!$H$920&gt;=GRID_FROM)*('Dvd Calendar'!$H$920&lt;=GRID_TO)*('Dvd Calendar'!$H$920&gt;VAL_DATE)=0,"",'Dvd Calendar'!$H$920*1000000000+ISNUMBER('Dvd Calendar'!$H$921)*100000000+0*10000000+(N('Dvd Calendar'!$H$919)&gt;0)*(N('Dvd Calendar'!$H$919)&lt;=VAL_SERIAL)*1000000+83*1000+44))</f>
        <v/>
      </c>
      <c r="FW94" s="121">
        <f>IF(N('Dvd Calendar'!$I$920)=0,"",IF(('Dvd Calendar'!$I$920&gt;=GRID_FROM)*('Dvd Calendar'!$I$920&lt;=GRID_TO)*('Dvd Calendar'!$I$920&gt;VAL_DATE)=0,"",'Dvd Calendar'!$I$920*1000000000+ISNUMBER('Dvd Calendar'!$I$921)*100000000+0*10000000+(N('Dvd Calendar'!$I$919)&gt;0)*(N('Dvd Calendar'!$I$919)&lt;=VAL_SERIAL)*1000000+83*1000+45))</f>
        <v/>
      </c>
      <c r="FX94" s="121">
        <f>IF(N('Dvd Calendar'!$J$920)=0,"",IF(('Dvd Calendar'!$J$920&gt;=GRID_FROM)*('Dvd Calendar'!$J$920&lt;=GRID_TO)*('Dvd Calendar'!$J$920&gt;VAL_DATE)=0,"",'Dvd Calendar'!$J$920*1000000000+ISNUMBER('Dvd Calendar'!$J$921)*100000000+0*10000000+(N('Dvd Calendar'!$J$919)&gt;0)*(N('Dvd Calendar'!$J$919)&lt;=VAL_SERIAL)*1000000+83*1000+46))</f>
        <v/>
      </c>
      <c r="FY94" s="121">
        <f>IF(N('Dvd Calendar'!$K$920)=0,"",IF(('Dvd Calendar'!$K$920&gt;=GRID_FROM)*('Dvd Calendar'!$K$920&lt;=GRID_TO)*('Dvd Calendar'!$K$920&gt;VAL_DATE)=0,"",'Dvd Calendar'!$K$920*1000000000+ISNUMBER('Dvd Calendar'!$K$921)*100000000+0*10000000+(N('Dvd Calendar'!$K$919)&gt;0)*(N('Dvd Calendar'!$K$919)&lt;=VAL_SERIAL)*1000000+83*1000+47))</f>
        <v/>
      </c>
      <c r="FZ94" s="121">
        <f>IF(N('Dvd Calendar'!$L$920)=0,"",IF(('Dvd Calendar'!$L$920&gt;=GRID_FROM)*('Dvd Calendar'!$L$920&lt;=GRID_TO)*('Dvd Calendar'!$L$920&gt;VAL_DATE)=0,"",'Dvd Calendar'!$L$920*1000000000+ISNUMBER('Dvd Calendar'!$L$921)*100000000+0*10000000+(N('Dvd Calendar'!$L$919)&gt;0)*(N('Dvd Calendar'!$L$919)&lt;=VAL_SERIAL)*1000000+83*1000+48))</f>
        <v/>
      </c>
      <c r="GA94" s="121">
        <f>IF(N('Dvd Calendar'!$M$920)=0,"",IF(('Dvd Calendar'!$M$920&gt;=GRID_FROM)*('Dvd Calendar'!$M$920&lt;=GRID_TO)*('Dvd Calendar'!$M$920&gt;VAL_DATE)=0,"",'Dvd Calendar'!$M$920*1000000000+ISNUMBER('Dvd Calendar'!$M$921)*100000000+0*10000000+(N('Dvd Calendar'!$M$919)&gt;0)*(N('Dvd Calendar'!$M$919)&lt;=VAL_SERIAL)*1000000+83*1000+49))</f>
        <v/>
      </c>
      <c r="GB94" s="121">
        <f>IF(N('Dvd Calendar'!$N$920)=0,"",IF(('Dvd Calendar'!$N$920&gt;=GRID_FROM)*('Dvd Calendar'!$N$920&lt;=GRID_TO)*('Dvd Calendar'!$N$920&gt;VAL_DATE)=0,"",'Dvd Calendar'!$N$920*1000000000+ISNUMBER('Dvd Calendar'!$N$921)*100000000+0*10000000+(N('Dvd Calendar'!$N$919)&gt;0)*(N('Dvd Calendar'!$N$919)&lt;=VAL_SERIAL)*1000000+83*1000+50))</f>
        <v/>
      </c>
      <c r="GC94" s="121">
        <f>IF(N('Dvd Calendar'!$O$920)=0,"",IF(('Dvd Calendar'!$O$920&gt;=GRID_FROM)*('Dvd Calendar'!$O$920&lt;=GRID_TO)*('Dvd Calendar'!$O$920&gt;VAL_DATE)=0,"",'Dvd Calendar'!$O$920*1000000000+ISNUMBER('Dvd Calendar'!$O$921)*100000000+0*10000000+(N('Dvd Calendar'!$O$919)&gt;0)*(N('Dvd Calendar'!$O$919)&lt;=VAL_SERIAL)*1000000+83*1000+51))</f>
        <v/>
      </c>
      <c r="GD94" s="121">
        <f>IF(N('Dvd Calendar'!$P$920)=0,"",IF(('Dvd Calendar'!$P$920&gt;=GRID_FROM)*('Dvd Calendar'!$P$920&lt;=GRID_TO)*('Dvd Calendar'!$P$920&gt;VAL_DATE)=0,"",'Dvd Calendar'!$P$920*1000000000+ISNUMBER('Dvd Calendar'!$P$921)*100000000+0*10000000+(N('Dvd Calendar'!$P$919)&gt;0)*(N('Dvd Calendar'!$P$919)&lt;=VAL_SERIAL)*1000000+83*1000+52))</f>
        <v/>
      </c>
      <c r="GE94" s="121">
        <f>IF(N('Dvd Calendar'!$Q$920)=0,"",IF(('Dvd Calendar'!$Q$920&gt;=GRID_FROM)*('Dvd Calendar'!$Q$920&lt;=GRID_TO)*('Dvd Calendar'!$Q$920&gt;VAL_DATE)=0,"",'Dvd Calendar'!$Q$920*1000000000+ISNUMBER('Dvd Calendar'!$Q$921)*100000000+0*10000000+(N('Dvd Calendar'!$Q$919)&gt;0)*(N('Dvd Calendar'!$Q$919)&lt;=VAL_SERIAL)*1000000+83*1000+53))</f>
        <v/>
      </c>
      <c r="GF94" s="121">
        <f>IF(N('Dvd Calendar'!$R$920)=0,"",IF(('Dvd Calendar'!$R$920&gt;=GRID_FROM)*('Dvd Calendar'!$R$920&lt;=GRID_TO)*('Dvd Calendar'!$R$920&gt;VAL_DATE)=0,"",'Dvd Calendar'!$R$920*1000000000+ISNUMBER('Dvd Calendar'!$R$921)*100000000+0*10000000+(N('Dvd Calendar'!$R$919)&gt;0)*(N('Dvd Calendar'!$R$919)&lt;=VAL_SERIAL)*1000000+83*1000+54))</f>
        <v/>
      </c>
      <c r="GG94" s="121">
        <f>IF(N('Dvd Calendar'!$S$920)=0,"",IF(('Dvd Calendar'!$S$920&gt;=GRID_FROM)*('Dvd Calendar'!$S$920&lt;=GRID_TO)*('Dvd Calendar'!$S$920&gt;VAL_DATE)=0,"",'Dvd Calendar'!$S$920*1000000000+ISNUMBER('Dvd Calendar'!$S$921)*100000000+0*10000000+(N('Dvd Calendar'!$S$919)&gt;0)*(N('Dvd Calendar'!$S$919)&lt;=VAL_SERIAL)*1000000+83*1000+55))</f>
        <v/>
      </c>
      <c r="GH94" s="121">
        <f>IF(N('Dvd Calendar'!$T$920)=0,"",IF(('Dvd Calendar'!$T$920&gt;=GRID_FROM)*('Dvd Calendar'!$T$920&lt;=GRID_TO)*('Dvd Calendar'!$T$920&gt;VAL_DATE)=0,"",'Dvd Calendar'!$T$920*1000000000+ISNUMBER('Dvd Calendar'!$T$921)*100000000+0*10000000+(N('Dvd Calendar'!$T$919)&gt;0)*(N('Dvd Calendar'!$T$919)&lt;=VAL_SERIAL)*1000000+83*1000+56))</f>
        <v/>
      </c>
      <c r="GI94" s="121">
        <f>IF(N('Dvd Calendar'!$U$920)=0,"",IF(('Dvd Calendar'!$U$920&gt;=GRID_FROM)*('Dvd Calendar'!$U$920&lt;=GRID_TO)*('Dvd Calendar'!$U$920&gt;VAL_DATE)=0,"",'Dvd Calendar'!$U$920*1000000000+ISNUMBER('Dvd Calendar'!$U$921)*100000000+0*10000000+(N('Dvd Calendar'!$U$919)&gt;0)*(N('Dvd Calendar'!$U$919)&lt;=VAL_SERIAL)*1000000+83*1000+57))</f>
        <v/>
      </c>
      <c r="GJ94" s="121">
        <f>IF(N('Dvd Calendar'!$V$920)=0,"",IF(('Dvd Calendar'!$V$920&gt;=GRID_FROM)*('Dvd Calendar'!$V$920&lt;=GRID_TO)*('Dvd Calendar'!$V$920&gt;VAL_DATE)=0,"",'Dvd Calendar'!$V$920*1000000000+ISNUMBER('Dvd Calendar'!$V$921)*100000000+0*10000000+(N('Dvd Calendar'!$V$919)&gt;0)*(N('Dvd Calendar'!$V$919)&lt;=VAL_SERIAL)*1000000+83*1000+58))</f>
        <v/>
      </c>
      <c r="GK94" s="121">
        <f>IF(N('Dvd Calendar'!$W$920)=0,"",IF(('Dvd Calendar'!$W$920&gt;=GRID_FROM)*('Dvd Calendar'!$W$920&lt;=GRID_TO)*('Dvd Calendar'!$W$920&gt;VAL_DATE)=0,"",'Dvd Calendar'!$W$920*1000000000+ISNUMBER('Dvd Calendar'!$W$921)*100000000+0*10000000+(N('Dvd Calendar'!$W$919)&gt;0)*(N('Dvd Calendar'!$W$919)&lt;=VAL_SERIAL)*1000000+83*1000+59))</f>
        <v/>
      </c>
      <c r="GL94" s="121">
        <f>IF(N('Dvd Calendar'!$X$920)=0,"",IF(('Dvd Calendar'!$X$920&gt;=GRID_FROM)*('Dvd Calendar'!$X$920&lt;=GRID_TO)*('Dvd Calendar'!$X$920&gt;VAL_DATE)=0,"",'Dvd Calendar'!$X$920*1000000000+ISNUMBER('Dvd Calendar'!$X$921)*100000000+0*10000000+(N('Dvd Calendar'!$X$919)&gt;0)*(N('Dvd Calendar'!$X$919)&lt;=VAL_SERIAL)*1000000+83*1000+60))</f>
        <v/>
      </c>
      <c r="GM94" s="121">
        <f>IF(N('Dvd Calendar'!$Y$920)=0,"",IF(('Dvd Calendar'!$Y$920&gt;=GRID_FROM)*('Dvd Calendar'!$Y$920&lt;=GRID_TO)*('Dvd Calendar'!$Y$920&gt;VAL_DATE)=0,"",'Dvd Calendar'!$Y$920*1000000000+ISNUMBER('Dvd Calendar'!$Y$921)*100000000+0*10000000+(N('Dvd Calendar'!$Y$919)&gt;0)*(N('Dvd Calendar'!$Y$919)&lt;=VAL_SERIAL)*1000000+83*1000+61))</f>
        <v/>
      </c>
      <c r="GN94" s="121">
        <f>IF(N('Dvd Calendar'!$Z$920)=0,"",IF(('Dvd Calendar'!$Z$920&gt;=GRID_FROM)*('Dvd Calendar'!$Z$920&lt;=GRID_TO)*('Dvd Calendar'!$Z$920&gt;VAL_DATE)=0,"",'Dvd Calendar'!$Z$920*1000000000+ISNUMBER('Dvd Calendar'!$Z$921)*100000000+0*10000000+(N('Dvd Calendar'!$Z$919)&gt;0)*(N('Dvd Calendar'!$Z$919)&lt;=VAL_SERIAL)*1000000+83*1000+62))</f>
        <v/>
      </c>
      <c r="GO94" s="121">
        <f>IF(N('Dvd Calendar'!$AA$920)=0,"",IF(('Dvd Calendar'!$AA$920&gt;=GRID_FROM)*('Dvd Calendar'!$AA$920&lt;=GRID_TO)*('Dvd Calendar'!$AA$920&gt;VAL_DATE)=0,"",'Dvd Calendar'!$AA$920*1000000000+ISNUMBER('Dvd Calendar'!$AA$921)*100000000+0*10000000+(N('Dvd Calendar'!$AA$919)&gt;0)*(N('Dvd Calendar'!$AA$919)&lt;=VAL_SERIAL)*1000000+83*1000+63))</f>
        <v/>
      </c>
      <c r="GP94" s="121">
        <f>IF(N('Dvd Calendar'!$AB$920)=0,"",IF(('Dvd Calendar'!$AB$920&gt;=GRID_FROM)*('Dvd Calendar'!$AB$920&lt;=GRID_TO)*('Dvd Calendar'!$AB$920&gt;VAL_DATE)=0,"",'Dvd Calendar'!$AB$920*1000000000+ISNUMBER('Dvd Calendar'!$AB$921)*100000000+0*10000000+(N('Dvd Calendar'!$AB$919)&gt;0)*(N('Dvd Calendar'!$AB$919)&lt;=VAL_SERIAL)*1000000+83*1000+64))</f>
        <v/>
      </c>
      <c r="GQ94" s="121">
        <f>IF(N('Dvd Calendar'!$AC$920)=0,"",IF(('Dvd Calendar'!$AC$920&gt;=GRID_FROM)*('Dvd Calendar'!$AC$920&lt;=GRID_TO)*('Dvd Calendar'!$AC$920&gt;VAL_DATE)=0,"",'Dvd Calendar'!$AC$920*1000000000+ISNUMBER('Dvd Calendar'!$AC$921)*100000000+0*10000000+(N('Dvd Calendar'!$AC$919)&gt;0)*(N('Dvd Calendar'!$AC$919)&lt;=VAL_SERIAL)*1000000+83*1000+65))</f>
        <v/>
      </c>
    </row>
    <row r="95">
      <c r="B95" s="2">
        <f>IF(HSI!$C$90="","",HSI!$C$90)</f>
        <v/>
      </c>
      <c r="C95" s="161">
        <f>IF(EE95="","",IF(ISNUMBER('Dvd Calendar'!$E$927)=FALSE,"",IF((('Dvd Calendar'!$E$929=TYPE1)*(TYPE1&lt;&gt;"")+('Dvd Calendar'!$E$929=TYPE2)*(TYPE2&lt;&gt;"")+('Dvd Calendar'!$E$929=TYPE3)*(TYPE3&lt;&gt;"")+('Dvd Calendar'!$E$929=TYPE4)*(TYPE4&lt;&gt;"")+('Dvd Calendar'!$E$929=SPECIAL_LBL)*(INC_SPECIALS="Y"))=0,"",'Dvd Calendar'!$E$927)))</f>
        <v/>
      </c>
      <c r="D95" s="161">
        <f>IF(EF95="","",IF(ISNUMBER('Dvd Calendar'!$F$927)=FALSE,"",IF((('Dvd Calendar'!$F$929=TYPE1)*(TYPE1&lt;&gt;"")+('Dvd Calendar'!$F$929=TYPE2)*(TYPE2&lt;&gt;"")+('Dvd Calendar'!$F$929=TYPE3)*(TYPE3&lt;&gt;"")+('Dvd Calendar'!$F$929=TYPE4)*(TYPE4&lt;&gt;"")+('Dvd Calendar'!$F$929=SPECIAL_LBL)*(INC_SPECIALS="Y"))=0,"",'Dvd Calendar'!$F$927)))</f>
        <v/>
      </c>
      <c r="E95" s="161">
        <f>IF(EG95="","",IF(ISNUMBER('Dvd Calendar'!$G$927)=FALSE,"",IF((('Dvd Calendar'!$G$929=TYPE1)*(TYPE1&lt;&gt;"")+('Dvd Calendar'!$G$929=TYPE2)*(TYPE2&lt;&gt;"")+('Dvd Calendar'!$G$929=TYPE3)*(TYPE3&lt;&gt;"")+('Dvd Calendar'!$G$929=TYPE4)*(TYPE4&lt;&gt;"")+('Dvd Calendar'!$G$929=SPECIAL_LBL)*(INC_SPECIALS="Y"))=0,"",'Dvd Calendar'!$G$927)))</f>
        <v/>
      </c>
      <c r="F95" s="161">
        <f>IF(EH95="","",IF(ISNUMBER('Dvd Calendar'!$H$927)=FALSE,"",IF((('Dvd Calendar'!$H$929=TYPE1)*(TYPE1&lt;&gt;"")+('Dvd Calendar'!$H$929=TYPE2)*(TYPE2&lt;&gt;"")+('Dvd Calendar'!$H$929=TYPE3)*(TYPE3&lt;&gt;"")+('Dvd Calendar'!$H$929=TYPE4)*(TYPE4&lt;&gt;"")+('Dvd Calendar'!$H$929=SPECIAL_LBL)*(INC_SPECIALS="Y"))=0,"",'Dvd Calendar'!$H$927)))</f>
        <v/>
      </c>
      <c r="G95" s="161">
        <f>IF(EI95="","",IF(ISNUMBER('Dvd Calendar'!$I$927)=FALSE,"",IF((('Dvd Calendar'!$I$929=TYPE1)*(TYPE1&lt;&gt;"")+('Dvd Calendar'!$I$929=TYPE2)*(TYPE2&lt;&gt;"")+('Dvd Calendar'!$I$929=TYPE3)*(TYPE3&lt;&gt;"")+('Dvd Calendar'!$I$929=TYPE4)*(TYPE4&lt;&gt;"")+('Dvd Calendar'!$I$929=SPECIAL_LBL)*(INC_SPECIALS="Y"))=0,"",'Dvd Calendar'!$I$927)))</f>
        <v/>
      </c>
      <c r="H95" s="161">
        <f>IF(EJ95="","",IF(ISNUMBER('Dvd Calendar'!$J$927)=FALSE,"",IF((('Dvd Calendar'!$J$929=TYPE1)*(TYPE1&lt;&gt;"")+('Dvd Calendar'!$J$929=TYPE2)*(TYPE2&lt;&gt;"")+('Dvd Calendar'!$J$929=TYPE3)*(TYPE3&lt;&gt;"")+('Dvd Calendar'!$J$929=TYPE4)*(TYPE4&lt;&gt;"")+('Dvd Calendar'!$J$929=SPECIAL_LBL)*(INC_SPECIALS="Y"))=0,"",'Dvd Calendar'!$J$927)))</f>
        <v/>
      </c>
      <c r="I95" s="161">
        <f>IF(EK95="","",IF(ISNUMBER('Dvd Calendar'!$K$927)=FALSE,"",IF((('Dvd Calendar'!$K$929=TYPE1)*(TYPE1&lt;&gt;"")+('Dvd Calendar'!$K$929=TYPE2)*(TYPE2&lt;&gt;"")+('Dvd Calendar'!$K$929=TYPE3)*(TYPE3&lt;&gt;"")+('Dvd Calendar'!$K$929=TYPE4)*(TYPE4&lt;&gt;"")+('Dvd Calendar'!$K$929=SPECIAL_LBL)*(INC_SPECIALS="Y"))=0,"",'Dvd Calendar'!$K$927)))</f>
        <v/>
      </c>
      <c r="J95" s="161">
        <f>IF(EL95="","",IF(ISNUMBER('Dvd Calendar'!$L$927)=FALSE,"",IF((('Dvd Calendar'!$L$929=TYPE1)*(TYPE1&lt;&gt;"")+('Dvd Calendar'!$L$929=TYPE2)*(TYPE2&lt;&gt;"")+('Dvd Calendar'!$L$929=TYPE3)*(TYPE3&lt;&gt;"")+('Dvd Calendar'!$L$929=TYPE4)*(TYPE4&lt;&gt;"")+('Dvd Calendar'!$L$929=SPECIAL_LBL)*(INC_SPECIALS="Y"))=0,"",'Dvd Calendar'!$L$927)))</f>
        <v/>
      </c>
      <c r="K95" s="161">
        <f>IF(EM95="","",IF(ISNUMBER('Dvd Calendar'!$M$927)=FALSE,"",IF((('Dvd Calendar'!$M$929=TYPE1)*(TYPE1&lt;&gt;"")+('Dvd Calendar'!$M$929=TYPE2)*(TYPE2&lt;&gt;"")+('Dvd Calendar'!$M$929=TYPE3)*(TYPE3&lt;&gt;"")+('Dvd Calendar'!$M$929=TYPE4)*(TYPE4&lt;&gt;"")+('Dvd Calendar'!$M$929=SPECIAL_LBL)*(INC_SPECIALS="Y"))=0,"",'Dvd Calendar'!$M$927)))</f>
        <v/>
      </c>
      <c r="L95" s="161">
        <f>IF(EN95="","",IF(ISNUMBER('Dvd Calendar'!$N$927)=FALSE,"",IF((('Dvd Calendar'!$N$929=TYPE1)*(TYPE1&lt;&gt;"")+('Dvd Calendar'!$N$929=TYPE2)*(TYPE2&lt;&gt;"")+('Dvd Calendar'!$N$929=TYPE3)*(TYPE3&lt;&gt;"")+('Dvd Calendar'!$N$929=TYPE4)*(TYPE4&lt;&gt;"")+('Dvd Calendar'!$N$929=SPECIAL_LBL)*(INC_SPECIALS="Y"))=0,"",'Dvd Calendar'!$N$927)))</f>
        <v/>
      </c>
      <c r="M95" s="161">
        <f>IF(EO95="","",IF(ISNUMBER('Dvd Calendar'!$O$927)=FALSE,"",IF((('Dvd Calendar'!$O$929=TYPE1)*(TYPE1&lt;&gt;"")+('Dvd Calendar'!$O$929=TYPE2)*(TYPE2&lt;&gt;"")+('Dvd Calendar'!$O$929=TYPE3)*(TYPE3&lt;&gt;"")+('Dvd Calendar'!$O$929=TYPE4)*(TYPE4&lt;&gt;"")+('Dvd Calendar'!$O$929=SPECIAL_LBL)*(INC_SPECIALS="Y"))=0,"",'Dvd Calendar'!$O$927)))</f>
        <v/>
      </c>
      <c r="N95" s="161">
        <f>IF(EP95="","",IF(ISNUMBER('Dvd Calendar'!$P$927)=FALSE,"",IF((('Dvd Calendar'!$P$929=TYPE1)*(TYPE1&lt;&gt;"")+('Dvd Calendar'!$P$929=TYPE2)*(TYPE2&lt;&gt;"")+('Dvd Calendar'!$P$929=TYPE3)*(TYPE3&lt;&gt;"")+('Dvd Calendar'!$P$929=TYPE4)*(TYPE4&lt;&gt;"")+('Dvd Calendar'!$P$929=SPECIAL_LBL)*(INC_SPECIALS="Y"))=0,"",'Dvd Calendar'!$P$927)))</f>
        <v/>
      </c>
      <c r="O95" s="161">
        <f>IF(EQ95="","",IF(ISNUMBER('Dvd Calendar'!$Q$927)=FALSE,"",IF((('Dvd Calendar'!$Q$929=TYPE1)*(TYPE1&lt;&gt;"")+('Dvd Calendar'!$Q$929=TYPE2)*(TYPE2&lt;&gt;"")+('Dvd Calendar'!$Q$929=TYPE3)*(TYPE3&lt;&gt;"")+('Dvd Calendar'!$Q$929=TYPE4)*(TYPE4&lt;&gt;"")+('Dvd Calendar'!$Q$929=SPECIAL_LBL)*(INC_SPECIALS="Y"))=0,"",'Dvd Calendar'!$Q$927)))</f>
        <v/>
      </c>
      <c r="P95" s="161">
        <f>IF(ER95="","",IF(ISNUMBER('Dvd Calendar'!$R$927)=FALSE,"",IF((('Dvd Calendar'!$R$929=TYPE1)*(TYPE1&lt;&gt;"")+('Dvd Calendar'!$R$929=TYPE2)*(TYPE2&lt;&gt;"")+('Dvd Calendar'!$R$929=TYPE3)*(TYPE3&lt;&gt;"")+('Dvd Calendar'!$R$929=TYPE4)*(TYPE4&lt;&gt;"")+('Dvd Calendar'!$R$929=SPECIAL_LBL)*(INC_SPECIALS="Y"))=0,"",'Dvd Calendar'!$R$927)))</f>
        <v/>
      </c>
      <c r="Q95" s="161">
        <f>IF(ES95="","",IF(ISNUMBER('Dvd Calendar'!$S$927)=FALSE,"",IF((('Dvd Calendar'!$S$929=TYPE1)*(TYPE1&lt;&gt;"")+('Dvd Calendar'!$S$929=TYPE2)*(TYPE2&lt;&gt;"")+('Dvd Calendar'!$S$929=TYPE3)*(TYPE3&lt;&gt;"")+('Dvd Calendar'!$S$929=TYPE4)*(TYPE4&lt;&gt;"")+('Dvd Calendar'!$S$929=SPECIAL_LBL)*(INC_SPECIALS="Y"))=0,"",'Dvd Calendar'!$S$927)))</f>
        <v/>
      </c>
      <c r="R95" s="161">
        <f>IF(ET95="","",IF(ISNUMBER('Dvd Calendar'!$T$927)=FALSE,"",IF((('Dvd Calendar'!$T$929=TYPE1)*(TYPE1&lt;&gt;"")+('Dvd Calendar'!$T$929=TYPE2)*(TYPE2&lt;&gt;"")+('Dvd Calendar'!$T$929=TYPE3)*(TYPE3&lt;&gt;"")+('Dvd Calendar'!$T$929=TYPE4)*(TYPE4&lt;&gt;"")+('Dvd Calendar'!$T$929=SPECIAL_LBL)*(INC_SPECIALS="Y"))=0,"",'Dvd Calendar'!$T$927)))</f>
        <v/>
      </c>
      <c r="S95" s="161">
        <f>IF(EU95="","",IF(ISNUMBER('Dvd Calendar'!$U$927)=FALSE,"",IF((('Dvd Calendar'!$U$929=TYPE1)*(TYPE1&lt;&gt;"")+('Dvd Calendar'!$U$929=TYPE2)*(TYPE2&lt;&gt;"")+('Dvd Calendar'!$U$929=TYPE3)*(TYPE3&lt;&gt;"")+('Dvd Calendar'!$U$929=TYPE4)*(TYPE4&lt;&gt;"")+('Dvd Calendar'!$U$929=SPECIAL_LBL)*(INC_SPECIALS="Y"))=0,"",'Dvd Calendar'!$U$927)))</f>
        <v/>
      </c>
      <c r="T95" s="161">
        <f>IF(EV95="","",IF(ISNUMBER('Dvd Calendar'!$V$927)=FALSE,"",IF((('Dvd Calendar'!$V$929=TYPE1)*(TYPE1&lt;&gt;"")+('Dvd Calendar'!$V$929=TYPE2)*(TYPE2&lt;&gt;"")+('Dvd Calendar'!$V$929=TYPE3)*(TYPE3&lt;&gt;"")+('Dvd Calendar'!$V$929=TYPE4)*(TYPE4&lt;&gt;"")+('Dvd Calendar'!$V$929=SPECIAL_LBL)*(INC_SPECIALS="Y"))=0,"",'Dvd Calendar'!$V$927)))</f>
        <v/>
      </c>
      <c r="U95" s="161">
        <f>IF(EW95="","",IF(ISNUMBER('Dvd Calendar'!$W$927)=FALSE,"",IF((('Dvd Calendar'!$W$929=TYPE1)*(TYPE1&lt;&gt;"")+('Dvd Calendar'!$W$929=TYPE2)*(TYPE2&lt;&gt;"")+('Dvd Calendar'!$W$929=TYPE3)*(TYPE3&lt;&gt;"")+('Dvd Calendar'!$W$929=TYPE4)*(TYPE4&lt;&gt;"")+('Dvd Calendar'!$W$929=SPECIAL_LBL)*(INC_SPECIALS="Y"))=0,"",'Dvd Calendar'!$W$927)))</f>
        <v/>
      </c>
      <c r="V95" s="161">
        <f>IF(EX95="","",IF(ISNUMBER('Dvd Calendar'!$X$927)=FALSE,"",IF((('Dvd Calendar'!$X$929=TYPE1)*(TYPE1&lt;&gt;"")+('Dvd Calendar'!$X$929=TYPE2)*(TYPE2&lt;&gt;"")+('Dvd Calendar'!$X$929=TYPE3)*(TYPE3&lt;&gt;"")+('Dvd Calendar'!$X$929=TYPE4)*(TYPE4&lt;&gt;"")+('Dvd Calendar'!$X$929=SPECIAL_LBL)*(INC_SPECIALS="Y"))=0,"",'Dvd Calendar'!$X$927)))</f>
        <v/>
      </c>
      <c r="W95" s="161">
        <f>IF(EY95="","",IF(ISNUMBER('Dvd Calendar'!$Y$927)=FALSE,"",IF((('Dvd Calendar'!$Y$929=TYPE1)*(TYPE1&lt;&gt;"")+('Dvd Calendar'!$Y$929=TYPE2)*(TYPE2&lt;&gt;"")+('Dvd Calendar'!$Y$929=TYPE3)*(TYPE3&lt;&gt;"")+('Dvd Calendar'!$Y$929=TYPE4)*(TYPE4&lt;&gt;"")+('Dvd Calendar'!$Y$929=SPECIAL_LBL)*(INC_SPECIALS="Y"))=0,"",'Dvd Calendar'!$Y$927)))</f>
        <v/>
      </c>
      <c r="X95" s="161">
        <f>IF(EZ95="","",IF(ISNUMBER('Dvd Calendar'!$Z$927)=FALSE,"",IF((('Dvd Calendar'!$Z$929=TYPE1)*(TYPE1&lt;&gt;"")+('Dvd Calendar'!$Z$929=TYPE2)*(TYPE2&lt;&gt;"")+('Dvd Calendar'!$Z$929=TYPE3)*(TYPE3&lt;&gt;"")+('Dvd Calendar'!$Z$929=TYPE4)*(TYPE4&lt;&gt;"")+('Dvd Calendar'!$Z$929=SPECIAL_LBL)*(INC_SPECIALS="Y"))=0,"",'Dvd Calendar'!$Z$927)))</f>
        <v/>
      </c>
      <c r="Y95" s="161">
        <f>IF(FA95="","",IF(ISNUMBER('Dvd Calendar'!$AA$927)=FALSE,"",IF((('Dvd Calendar'!$AA$929=TYPE1)*(TYPE1&lt;&gt;"")+('Dvd Calendar'!$AA$929=TYPE2)*(TYPE2&lt;&gt;"")+('Dvd Calendar'!$AA$929=TYPE3)*(TYPE3&lt;&gt;"")+('Dvd Calendar'!$AA$929=TYPE4)*(TYPE4&lt;&gt;"")+('Dvd Calendar'!$AA$929=SPECIAL_LBL)*(INC_SPECIALS="Y"))=0,"",'Dvd Calendar'!$AA$927)))</f>
        <v/>
      </c>
      <c r="Z95" s="161">
        <f>IF(FB95="","",IF(ISNUMBER('Dvd Calendar'!$AB$927)=FALSE,"",IF((('Dvd Calendar'!$AB$929=TYPE1)*(TYPE1&lt;&gt;"")+('Dvd Calendar'!$AB$929=TYPE2)*(TYPE2&lt;&gt;"")+('Dvd Calendar'!$AB$929=TYPE3)*(TYPE3&lt;&gt;"")+('Dvd Calendar'!$AB$929=TYPE4)*(TYPE4&lt;&gt;"")+('Dvd Calendar'!$AB$929=SPECIAL_LBL)*(INC_SPECIALS="Y"))=0,"",'Dvd Calendar'!$AB$927)))</f>
        <v/>
      </c>
      <c r="AA95" s="161">
        <f>IF(FC95="","",IF(ISNUMBER('Dvd Calendar'!$AC$927)=FALSE,"",IF((('Dvd Calendar'!$AC$929=TYPE1)*(TYPE1&lt;&gt;"")+('Dvd Calendar'!$AC$929=TYPE2)*(TYPE2&lt;&gt;"")+('Dvd Calendar'!$AC$929=TYPE3)*(TYPE3&lt;&gt;"")+('Dvd Calendar'!$AC$929=TYPE4)*(TYPE4&lt;&gt;"")+('Dvd Calendar'!$AC$929=SPECIAL_LBL)*(INC_SPECIALS="Y"))=0,"",'Dvd Calendar'!$AC$927)))</f>
        <v/>
      </c>
      <c r="AB95" s="161">
        <f>IF(FD95="","",IF(ISNUMBER('Dvd Calendar'!$AD$927)=FALSE,"",IF((('Dvd Calendar'!$AD$929=TYPE1)*(TYPE1&lt;&gt;"")+('Dvd Calendar'!$AD$929=TYPE2)*(TYPE2&lt;&gt;"")+('Dvd Calendar'!$AD$929=TYPE3)*(TYPE3&lt;&gt;"")+('Dvd Calendar'!$AD$929=TYPE4)*(TYPE4&lt;&gt;"")+('Dvd Calendar'!$AD$929=SPECIAL_LBL)*(INC_SPECIALS="Y"))=0,"",'Dvd Calendar'!$AD$927)))</f>
        <v/>
      </c>
      <c r="AC95" s="161">
        <f>IF(FE95="","",IF(ISNUMBER('Dvd Calendar'!$AE$927)=FALSE,"",IF((('Dvd Calendar'!$AE$929=TYPE1)*(TYPE1&lt;&gt;"")+('Dvd Calendar'!$AE$929=TYPE2)*(TYPE2&lt;&gt;"")+('Dvd Calendar'!$AE$929=TYPE3)*(TYPE3&lt;&gt;"")+('Dvd Calendar'!$AE$929=TYPE4)*(TYPE4&lt;&gt;"")+('Dvd Calendar'!$AE$929=SPECIAL_LBL)*(INC_SPECIALS="Y"))=0,"",'Dvd Calendar'!$AE$927)))</f>
        <v/>
      </c>
      <c r="AD95" s="161">
        <f>IF(FF95="","",IF(ISNUMBER('Dvd Calendar'!$AF$927)=FALSE,"",IF((('Dvd Calendar'!$AF$929=TYPE1)*(TYPE1&lt;&gt;"")+('Dvd Calendar'!$AF$929=TYPE2)*(TYPE2&lt;&gt;"")+('Dvd Calendar'!$AF$929=TYPE3)*(TYPE3&lt;&gt;"")+('Dvd Calendar'!$AF$929=TYPE4)*(TYPE4&lt;&gt;"")+('Dvd Calendar'!$AF$929=SPECIAL_LBL)*(INC_SPECIALS="Y"))=0,"",'Dvd Calendar'!$AF$927)))</f>
        <v/>
      </c>
      <c r="AE95" s="161">
        <f>IF(FG95="","",IF(ISNUMBER('Dvd Calendar'!$AG$927)=FALSE,"",IF((('Dvd Calendar'!$AG$929=TYPE1)*(TYPE1&lt;&gt;"")+('Dvd Calendar'!$AG$929=TYPE2)*(TYPE2&lt;&gt;"")+('Dvd Calendar'!$AG$929=TYPE3)*(TYPE3&lt;&gt;"")+('Dvd Calendar'!$AG$929=TYPE4)*(TYPE4&lt;&gt;"")+('Dvd Calendar'!$AG$929=SPECIAL_LBL)*(INC_SPECIALS="Y"))=0,"",'Dvd Calendar'!$AG$927)))</f>
        <v/>
      </c>
      <c r="AF95" s="161">
        <f>IF(FH95="","",IF(ISNUMBER('Dvd Calendar'!$AH$927)=FALSE,"",IF((('Dvd Calendar'!$AH$929=TYPE1)*(TYPE1&lt;&gt;"")+('Dvd Calendar'!$AH$929=TYPE2)*(TYPE2&lt;&gt;"")+('Dvd Calendar'!$AH$929=TYPE3)*(TYPE3&lt;&gt;"")+('Dvd Calendar'!$AH$929=TYPE4)*(TYPE4&lt;&gt;"")+('Dvd Calendar'!$AH$929=SPECIAL_LBL)*(INC_SPECIALS="Y"))=0,"",'Dvd Calendar'!$AH$927)))</f>
        <v/>
      </c>
      <c r="AG95" s="161">
        <f>IF(FI95="","",IF(ISNUMBER('Dvd Calendar'!$AI$927)=FALSE,"",IF((('Dvd Calendar'!$AI$929=TYPE1)*(TYPE1&lt;&gt;"")+('Dvd Calendar'!$AI$929=TYPE2)*(TYPE2&lt;&gt;"")+('Dvd Calendar'!$AI$929=TYPE3)*(TYPE3&lt;&gt;"")+('Dvd Calendar'!$AI$929=TYPE4)*(TYPE4&lt;&gt;"")+('Dvd Calendar'!$AI$929=SPECIAL_LBL)*(INC_SPECIALS="Y"))=0,"",'Dvd Calendar'!$AI$927)))</f>
        <v/>
      </c>
      <c r="AH95" s="161">
        <f>IF(FJ95="","",IF(ISNUMBER('Dvd Calendar'!$AJ$927)=FALSE,"",IF((('Dvd Calendar'!$AJ$929=TYPE1)*(TYPE1&lt;&gt;"")+('Dvd Calendar'!$AJ$929=TYPE2)*(TYPE2&lt;&gt;"")+('Dvd Calendar'!$AJ$929=TYPE3)*(TYPE3&lt;&gt;"")+('Dvd Calendar'!$AJ$929=TYPE4)*(TYPE4&lt;&gt;"")+('Dvd Calendar'!$AJ$929=SPECIAL_LBL)*(INC_SPECIALS="Y"))=0,"",'Dvd Calendar'!$AJ$927)))</f>
        <v/>
      </c>
      <c r="AI95" s="161">
        <f>IF(FK95="","",IF(ISNUMBER('Dvd Calendar'!$AK$927)=FALSE,"",IF((('Dvd Calendar'!$AK$929=TYPE1)*(TYPE1&lt;&gt;"")+('Dvd Calendar'!$AK$929=TYPE2)*(TYPE2&lt;&gt;"")+('Dvd Calendar'!$AK$929=TYPE3)*(TYPE3&lt;&gt;"")+('Dvd Calendar'!$AK$929=TYPE4)*(TYPE4&lt;&gt;"")+('Dvd Calendar'!$AK$929=SPECIAL_LBL)*(INC_SPECIALS="Y"))=0,"",'Dvd Calendar'!$AK$927)))</f>
        <v/>
      </c>
      <c r="AJ95" s="161">
        <f>IF(FL95="","",IF(ISNUMBER('Dvd Calendar'!$AL$927)=FALSE,"",IF((('Dvd Calendar'!$AL$929=TYPE1)*(TYPE1&lt;&gt;"")+('Dvd Calendar'!$AL$929=TYPE2)*(TYPE2&lt;&gt;"")+('Dvd Calendar'!$AL$929=TYPE3)*(TYPE3&lt;&gt;"")+('Dvd Calendar'!$AL$929=TYPE4)*(TYPE4&lt;&gt;"")+('Dvd Calendar'!$AL$929=SPECIAL_LBL)*(INC_SPECIALS="Y"))=0,"",'Dvd Calendar'!$AL$927)))</f>
        <v/>
      </c>
      <c r="AK95" s="161">
        <f>IF(FM95="","",IF(ISNUMBER('Dvd Calendar'!$AM$927)=FALSE,"",IF((('Dvd Calendar'!$AM$929=TYPE1)*(TYPE1&lt;&gt;"")+('Dvd Calendar'!$AM$929=TYPE2)*(TYPE2&lt;&gt;"")+('Dvd Calendar'!$AM$929=TYPE3)*(TYPE3&lt;&gt;"")+('Dvd Calendar'!$AM$929=TYPE4)*(TYPE4&lt;&gt;"")+('Dvd Calendar'!$AM$929=SPECIAL_LBL)*(INC_SPECIALS="Y"))=0,"",'Dvd Calendar'!$AM$927)))</f>
        <v/>
      </c>
      <c r="AL95" s="161">
        <f>IF(FN95="","",IF(ISNUMBER('Dvd Calendar'!$AN$927)=FALSE,"",IF((('Dvd Calendar'!$AN$929=TYPE1)*(TYPE1&lt;&gt;"")+('Dvd Calendar'!$AN$929=TYPE2)*(TYPE2&lt;&gt;"")+('Dvd Calendar'!$AN$929=TYPE3)*(TYPE3&lt;&gt;"")+('Dvd Calendar'!$AN$929=TYPE4)*(TYPE4&lt;&gt;"")+('Dvd Calendar'!$AN$929=SPECIAL_LBL)*(INC_SPECIALS="Y"))=0,"",'Dvd Calendar'!$AN$927)))</f>
        <v/>
      </c>
      <c r="AM95" s="161">
        <f>IF(FO95="","",IF(ISNUMBER('Dvd Calendar'!$AO$927)=FALSE,"",IF((('Dvd Calendar'!$AO$929=TYPE1)*(TYPE1&lt;&gt;"")+('Dvd Calendar'!$AO$929=TYPE2)*(TYPE2&lt;&gt;"")+('Dvd Calendar'!$AO$929=TYPE3)*(TYPE3&lt;&gt;"")+('Dvd Calendar'!$AO$929=TYPE4)*(TYPE4&lt;&gt;"")+('Dvd Calendar'!$AO$929=SPECIAL_LBL)*(INC_SPECIALS="Y"))=0,"",'Dvd Calendar'!$AO$927)))</f>
        <v/>
      </c>
      <c r="AN95" s="161">
        <f>IF(FP95="","",IF(ISNUMBER('Dvd Calendar'!$AP$927)=FALSE,"",IF((('Dvd Calendar'!$AP$929=TYPE1)*(TYPE1&lt;&gt;"")+('Dvd Calendar'!$AP$929=TYPE2)*(TYPE2&lt;&gt;"")+('Dvd Calendar'!$AP$929=TYPE3)*(TYPE3&lt;&gt;"")+('Dvd Calendar'!$AP$929=TYPE4)*(TYPE4&lt;&gt;"")+('Dvd Calendar'!$AP$929=SPECIAL_LBL)*(INC_SPECIALS="Y"))=0,"",'Dvd Calendar'!$AP$927)))</f>
        <v/>
      </c>
      <c r="AO95" s="161">
        <f>IF(FQ95="","",IF(ISNUMBER('Dvd Calendar'!$AQ$927)=FALSE,"",IF((('Dvd Calendar'!$AQ$929=TYPE1)*(TYPE1&lt;&gt;"")+('Dvd Calendar'!$AQ$929=TYPE2)*(TYPE2&lt;&gt;"")+('Dvd Calendar'!$AQ$929=TYPE3)*(TYPE3&lt;&gt;"")+('Dvd Calendar'!$AQ$929=TYPE4)*(TYPE4&lt;&gt;"")+('Dvd Calendar'!$AQ$929=SPECIAL_LBL)*(INC_SPECIALS="Y"))=0,"",'Dvd Calendar'!$AQ$927)))</f>
        <v/>
      </c>
      <c r="AP95" s="161">
        <f>IF(FR95="","",IF(ISNUMBER('Dvd Calendar'!$AR$927)=FALSE,"",IF((('Dvd Calendar'!$AR$929=TYPE1)*(TYPE1&lt;&gt;"")+('Dvd Calendar'!$AR$929=TYPE2)*(TYPE2&lt;&gt;"")+('Dvd Calendar'!$AR$929=TYPE3)*(TYPE3&lt;&gt;"")+('Dvd Calendar'!$AR$929=TYPE4)*(TYPE4&lt;&gt;"")+('Dvd Calendar'!$AR$929=SPECIAL_LBL)*(INC_SPECIALS="Y"))=0,"",'Dvd Calendar'!$AR$927)))</f>
        <v/>
      </c>
      <c r="AQ95" s="161">
        <f>IF(FS95="","",IF(ISNUMBER('Dvd Calendar'!$E$932)=FALSE,"",'Dvd Calendar'!$E$932))</f>
        <v/>
      </c>
      <c r="AR95" s="161">
        <f>IF(FT95="","",IF(ISNUMBER('Dvd Calendar'!$F$932)=FALSE,"",'Dvd Calendar'!$F$932))</f>
        <v/>
      </c>
      <c r="AS95" s="161">
        <f>IF(FU95="","",IF(ISNUMBER('Dvd Calendar'!$G$932)=FALSE,"",'Dvd Calendar'!$G$932))</f>
        <v/>
      </c>
      <c r="AT95" s="161">
        <f>IF(FV95="","",IF(ISNUMBER('Dvd Calendar'!$H$932)=FALSE,"",'Dvd Calendar'!$H$932))</f>
        <v/>
      </c>
      <c r="AU95" s="161">
        <f>IF(FW95="","",IF(ISNUMBER('Dvd Calendar'!$I$932)=FALSE,"",'Dvd Calendar'!$I$932))</f>
        <v/>
      </c>
      <c r="AV95" s="161">
        <f>IF(FX95="","",IF(ISNUMBER('Dvd Calendar'!$J$932)=FALSE,"",'Dvd Calendar'!$J$932))</f>
        <v/>
      </c>
      <c r="AW95" s="161">
        <f>IF(FY95="","",IF(ISNUMBER('Dvd Calendar'!$K$932)=FALSE,"",'Dvd Calendar'!$K$932))</f>
        <v/>
      </c>
      <c r="AX95" s="161">
        <f>IF(FZ95="","",IF(ISNUMBER('Dvd Calendar'!$L$932)=FALSE,"",'Dvd Calendar'!$L$932))</f>
        <v/>
      </c>
      <c r="AY95" s="161">
        <f>IF(GA95="","",IF(ISNUMBER('Dvd Calendar'!$M$932)=FALSE,"",'Dvd Calendar'!$M$932))</f>
        <v/>
      </c>
      <c r="AZ95" s="161">
        <f>IF(GB95="","",IF(ISNUMBER('Dvd Calendar'!$N$932)=FALSE,"",'Dvd Calendar'!$N$932))</f>
        <v/>
      </c>
      <c r="BA95" s="161">
        <f>IF(GC95="","",IF(ISNUMBER('Dvd Calendar'!$O$932)=FALSE,"",'Dvd Calendar'!$O$932))</f>
        <v/>
      </c>
      <c r="BB95" s="161">
        <f>IF(GD95="","",IF(ISNUMBER('Dvd Calendar'!$P$932)=FALSE,"",'Dvd Calendar'!$P$932))</f>
        <v/>
      </c>
      <c r="BC95" s="161">
        <f>IF(GE95="","",IF(ISNUMBER('Dvd Calendar'!$Q$932)=FALSE,"",'Dvd Calendar'!$Q$932))</f>
        <v/>
      </c>
      <c r="BD95" s="161">
        <f>IF(GF95="","",IF(ISNUMBER('Dvd Calendar'!$R$932)=FALSE,"",'Dvd Calendar'!$R$932))</f>
        <v/>
      </c>
      <c r="BE95" s="161">
        <f>IF(GG95="","",IF(ISNUMBER('Dvd Calendar'!$S$932)=FALSE,"",'Dvd Calendar'!$S$932))</f>
        <v/>
      </c>
      <c r="BF95" s="161">
        <f>IF(GH95="","",IF(ISNUMBER('Dvd Calendar'!$T$932)=FALSE,"",'Dvd Calendar'!$T$932))</f>
        <v/>
      </c>
      <c r="BG95" s="161">
        <f>IF(GI95="","",IF(ISNUMBER('Dvd Calendar'!$U$932)=FALSE,"",'Dvd Calendar'!$U$932))</f>
        <v/>
      </c>
      <c r="BH95" s="161">
        <f>IF(GJ95="","",IF(ISNUMBER('Dvd Calendar'!$V$932)=FALSE,"",'Dvd Calendar'!$V$932))</f>
        <v/>
      </c>
      <c r="BI95" s="161">
        <f>IF(GK95="","",IF(ISNUMBER('Dvd Calendar'!$W$932)=FALSE,"",'Dvd Calendar'!$W$932))</f>
        <v/>
      </c>
      <c r="BJ95" s="161">
        <f>IF(GL95="","",IF(ISNUMBER('Dvd Calendar'!$X$932)=FALSE,"",'Dvd Calendar'!$X$932))</f>
        <v/>
      </c>
      <c r="BK95" s="161">
        <f>IF(GM95="","",IF(ISNUMBER('Dvd Calendar'!$Y$932)=FALSE,"",'Dvd Calendar'!$Y$932))</f>
        <v/>
      </c>
      <c r="BL95" s="161">
        <f>IF(GN95="","",IF(ISNUMBER('Dvd Calendar'!$Z$932)=FALSE,"",'Dvd Calendar'!$Z$932))</f>
        <v/>
      </c>
      <c r="BM95" s="161">
        <f>IF(GO95="","",IF(ISNUMBER('Dvd Calendar'!$AA$932)=FALSE,"",'Dvd Calendar'!$AA$932))</f>
        <v/>
      </c>
      <c r="BN95" s="161">
        <f>IF(GP95="","",IF(ISNUMBER('Dvd Calendar'!$AB$932)=FALSE,"",'Dvd Calendar'!$AB$932))</f>
        <v/>
      </c>
      <c r="BO95" s="161">
        <f>IF(GQ95="","",IF(ISNUMBER('Dvd Calendar'!$AC$932)=FALSE,"",'Dvd Calendar'!$AC$932))</f>
        <v/>
      </c>
      <c r="BQ95" s="161">
        <f>IF(C95="","",IFERROR(C95*HSI!$B$90*HSI!$G$90/HSI!$B$3,""))</f>
        <v/>
      </c>
      <c r="BR95" s="161">
        <f>IF(D95="","",IFERROR(D95*HSI!$B$90*HSI!$G$90/HSI!$B$3,""))</f>
        <v/>
      </c>
      <c r="BS95" s="161">
        <f>IF(E95="","",IFERROR(E95*HSI!$B$90*HSI!$G$90/HSI!$B$3,""))</f>
        <v/>
      </c>
      <c r="BT95" s="161">
        <f>IF(F95="","",IFERROR(F95*HSI!$B$90*HSI!$G$90/HSI!$B$3,""))</f>
        <v/>
      </c>
      <c r="BU95" s="161">
        <f>IF(G95="","",IFERROR(G95*HSI!$B$90*HSI!$G$90/HSI!$B$3,""))</f>
        <v/>
      </c>
      <c r="BV95" s="161">
        <f>IF(H95="","",IFERROR(H95*HSI!$B$90*HSI!$G$90/HSI!$B$3,""))</f>
        <v/>
      </c>
      <c r="BW95" s="161">
        <f>IF(I95="","",IFERROR(I95*HSI!$B$90*HSI!$G$90/HSI!$B$3,""))</f>
        <v/>
      </c>
      <c r="BX95" s="161">
        <f>IF(J95="","",IFERROR(J95*HSI!$B$90*HSI!$G$90/HSI!$B$3,""))</f>
        <v/>
      </c>
      <c r="BY95" s="161">
        <f>IF(K95="","",IFERROR(K95*HSI!$B$90*HSI!$G$90/HSI!$B$3,""))</f>
        <v/>
      </c>
      <c r="BZ95" s="161">
        <f>IF(L95="","",IFERROR(L95*HSI!$B$90*HSI!$G$90/HSI!$B$3,""))</f>
        <v/>
      </c>
      <c r="CA95" s="161">
        <f>IF(M95="","",IFERROR(M95*HSI!$B$90*HSI!$G$90/HSI!$B$3,""))</f>
        <v/>
      </c>
      <c r="CB95" s="161">
        <f>IF(N95="","",IFERROR(N95*HSI!$B$90*HSI!$G$90/HSI!$B$3,""))</f>
        <v/>
      </c>
      <c r="CC95" s="161">
        <f>IF(O95="","",IFERROR(O95*HSI!$B$90*HSI!$G$90/HSI!$B$3,""))</f>
        <v/>
      </c>
      <c r="CD95" s="161">
        <f>IF(P95="","",IFERROR(P95*HSI!$B$90*HSI!$G$90/HSI!$B$3,""))</f>
        <v/>
      </c>
      <c r="CE95" s="161">
        <f>IF(Q95="","",IFERROR(Q95*HSI!$B$90*HSI!$G$90/HSI!$B$3,""))</f>
        <v/>
      </c>
      <c r="CF95" s="161">
        <f>IF(R95="","",IFERROR(R95*HSI!$B$90*HSI!$G$90/HSI!$B$3,""))</f>
        <v/>
      </c>
      <c r="CG95" s="161">
        <f>IF(S95="","",IFERROR(S95*HSI!$B$90*HSI!$G$90/HSI!$B$3,""))</f>
        <v/>
      </c>
      <c r="CH95" s="161">
        <f>IF(T95="","",IFERROR(T95*HSI!$B$90*HSI!$G$90/HSI!$B$3,""))</f>
        <v/>
      </c>
      <c r="CI95" s="161">
        <f>IF(U95="","",IFERROR(U95*HSI!$B$90*HSI!$G$90/HSI!$B$3,""))</f>
        <v/>
      </c>
      <c r="CJ95" s="161">
        <f>IF(V95="","",IFERROR(V95*HSI!$B$90*HSI!$G$90/HSI!$B$3,""))</f>
        <v/>
      </c>
      <c r="CK95" s="161">
        <f>IF(W95="","",IFERROR(W95*HSI!$B$90*HSI!$G$90/HSI!$B$3,""))</f>
        <v/>
      </c>
      <c r="CL95" s="161">
        <f>IF(X95="","",IFERROR(X95*HSI!$B$90*HSI!$G$90/HSI!$B$3,""))</f>
        <v/>
      </c>
      <c r="CM95" s="161">
        <f>IF(Y95="","",IFERROR(Y95*HSI!$B$90*HSI!$G$90/HSI!$B$3,""))</f>
        <v/>
      </c>
      <c r="CN95" s="161">
        <f>IF(Z95="","",IFERROR(Z95*HSI!$B$90*HSI!$G$90/HSI!$B$3,""))</f>
        <v/>
      </c>
      <c r="CO95" s="161">
        <f>IF(AA95="","",IFERROR(AA95*HSI!$B$90*HSI!$G$90/HSI!$B$3,""))</f>
        <v/>
      </c>
      <c r="CP95" s="161">
        <f>IF(AB95="","",IFERROR(AB95*HSI!$B$90*HSI!$G$90/HSI!$B$3,""))</f>
        <v/>
      </c>
      <c r="CQ95" s="161">
        <f>IF(AC95="","",IFERROR(AC95*HSI!$B$90*HSI!$G$90/HSI!$B$3,""))</f>
        <v/>
      </c>
      <c r="CR95" s="161">
        <f>IF(AD95="","",IFERROR(AD95*HSI!$B$90*HSI!$G$90/HSI!$B$3,""))</f>
        <v/>
      </c>
      <c r="CS95" s="161">
        <f>IF(AE95="","",IFERROR(AE95*HSI!$B$90*HSI!$G$90/HSI!$B$3,""))</f>
        <v/>
      </c>
      <c r="CT95" s="161">
        <f>IF(AF95="","",IFERROR(AF95*HSI!$B$90*HSI!$G$90/HSI!$B$3,""))</f>
        <v/>
      </c>
      <c r="CU95" s="161">
        <f>IF(AG95="","",IFERROR(AG95*HSI!$B$90*HSI!$G$90/HSI!$B$3,""))</f>
        <v/>
      </c>
      <c r="CV95" s="161">
        <f>IF(AH95="","",IFERROR(AH95*HSI!$B$90*HSI!$G$90/HSI!$B$3,""))</f>
        <v/>
      </c>
      <c r="CW95" s="161">
        <f>IF(AI95="","",IFERROR(AI95*HSI!$B$90*HSI!$G$90/HSI!$B$3,""))</f>
        <v/>
      </c>
      <c r="CX95" s="161">
        <f>IF(AJ95="","",IFERROR(AJ95*HSI!$B$90*HSI!$G$90/HSI!$B$3,""))</f>
        <v/>
      </c>
      <c r="CY95" s="161">
        <f>IF(AK95="","",IFERROR(AK95*HSI!$B$90*HSI!$G$90/HSI!$B$3,""))</f>
        <v/>
      </c>
      <c r="CZ95" s="161">
        <f>IF(AL95="","",IFERROR(AL95*HSI!$B$90*HSI!$G$90/HSI!$B$3,""))</f>
        <v/>
      </c>
      <c r="DA95" s="161">
        <f>IF(AM95="","",IFERROR(AM95*HSI!$B$90*HSI!$G$90/HSI!$B$3,""))</f>
        <v/>
      </c>
      <c r="DB95" s="161">
        <f>IF(AN95="","",IFERROR(AN95*HSI!$B$90*HSI!$G$90/HSI!$B$3,""))</f>
        <v/>
      </c>
      <c r="DC95" s="161">
        <f>IF(AO95="","",IFERROR(AO95*HSI!$B$90*HSI!$G$90/HSI!$B$3,""))</f>
        <v/>
      </c>
      <c r="DD95" s="161">
        <f>IF(AP95="","",IFERROR(AP95*HSI!$B$90*HSI!$G$90/HSI!$B$3,""))</f>
        <v/>
      </c>
      <c r="DE95" s="161">
        <f>IF(AQ95="","",IFERROR(AQ95*HSI!$B$90*HSI!$G$90/HSI!$B$3,""))</f>
        <v/>
      </c>
      <c r="DF95" s="161">
        <f>IF(AR95="","",IFERROR(AR95*HSI!$B$90*HSI!$G$90/HSI!$B$3,""))</f>
        <v/>
      </c>
      <c r="DG95" s="161">
        <f>IF(AS95="","",IFERROR(AS95*HSI!$B$90*HSI!$G$90/HSI!$B$3,""))</f>
        <v/>
      </c>
      <c r="DH95" s="161">
        <f>IF(AT95="","",IFERROR(AT95*HSI!$B$90*HSI!$G$90/HSI!$B$3,""))</f>
        <v/>
      </c>
      <c r="DI95" s="161">
        <f>IF(AU95="","",IFERROR(AU95*HSI!$B$90*HSI!$G$90/HSI!$B$3,""))</f>
        <v/>
      </c>
      <c r="DJ95" s="161">
        <f>IF(AV95="","",IFERROR(AV95*HSI!$B$90*HSI!$G$90/HSI!$B$3,""))</f>
        <v/>
      </c>
      <c r="DK95" s="161">
        <f>IF(AW95="","",IFERROR(AW95*HSI!$B$90*HSI!$G$90/HSI!$B$3,""))</f>
        <v/>
      </c>
      <c r="DL95" s="161">
        <f>IF(AX95="","",IFERROR(AX95*HSI!$B$90*HSI!$G$90/HSI!$B$3,""))</f>
        <v/>
      </c>
      <c r="DM95" s="161">
        <f>IF(AY95="","",IFERROR(AY95*HSI!$B$90*HSI!$G$90/HSI!$B$3,""))</f>
        <v/>
      </c>
      <c r="DN95" s="161">
        <f>IF(AZ95="","",IFERROR(AZ95*HSI!$B$90*HSI!$G$90/HSI!$B$3,""))</f>
        <v/>
      </c>
      <c r="DO95" s="161">
        <f>IF(BA95="","",IFERROR(BA95*HSI!$B$90*HSI!$G$90/HSI!$B$3,""))</f>
        <v/>
      </c>
      <c r="DP95" s="161">
        <f>IF(BB95="","",IFERROR(BB95*HSI!$B$90*HSI!$G$90/HSI!$B$3,""))</f>
        <v/>
      </c>
      <c r="DQ95" s="161">
        <f>IF(BC95="","",IFERROR(BC95*HSI!$B$90*HSI!$G$90/HSI!$B$3,""))</f>
        <v/>
      </c>
      <c r="DR95" s="161">
        <f>IF(BD95="","",IFERROR(BD95*HSI!$B$90*HSI!$G$90/HSI!$B$3,""))</f>
        <v/>
      </c>
      <c r="DS95" s="161">
        <f>IF(BE95="","",IFERROR(BE95*HSI!$B$90*HSI!$G$90/HSI!$B$3,""))</f>
        <v/>
      </c>
      <c r="DT95" s="161">
        <f>IF(BF95="","",IFERROR(BF95*HSI!$B$90*HSI!$G$90/HSI!$B$3,""))</f>
        <v/>
      </c>
      <c r="DU95" s="161">
        <f>IF(BG95="","",IFERROR(BG95*HSI!$B$90*HSI!$G$90/HSI!$B$3,""))</f>
        <v/>
      </c>
      <c r="DV95" s="161">
        <f>IF(BH95="","",IFERROR(BH95*HSI!$B$90*HSI!$G$90/HSI!$B$3,""))</f>
        <v/>
      </c>
      <c r="DW95" s="161">
        <f>IF(BI95="","",IFERROR(BI95*HSI!$B$90*HSI!$G$90/HSI!$B$3,""))</f>
        <v/>
      </c>
      <c r="DX95" s="161">
        <f>IF(BJ95="","",IFERROR(BJ95*HSI!$B$90*HSI!$G$90/HSI!$B$3,""))</f>
        <v/>
      </c>
      <c r="DY95" s="161">
        <f>IF(BK95="","",IFERROR(BK95*HSI!$B$90*HSI!$G$90/HSI!$B$3,""))</f>
        <v/>
      </c>
      <c r="DZ95" s="161">
        <f>IF(BL95="","",IFERROR(BL95*HSI!$B$90*HSI!$G$90/HSI!$B$3,""))</f>
        <v/>
      </c>
      <c r="EA95" s="161">
        <f>IF(BM95="","",IFERROR(BM95*HSI!$B$90*HSI!$G$90/HSI!$B$3,""))</f>
        <v/>
      </c>
      <c r="EB95" s="161">
        <f>IF(BN95="","",IFERROR(BN95*HSI!$B$90*HSI!$G$90/HSI!$B$3,""))</f>
        <v/>
      </c>
      <c r="EC95" s="161">
        <f>IF(BO95="","",IFERROR(BO95*HSI!$B$90*HSI!$G$90/HSI!$B$3,""))</f>
        <v/>
      </c>
      <c r="EE95" s="121">
        <f>IF(N('Dvd Calendar'!$E$924)=0,"",IF(('Dvd Calendar'!$E$924&gt;=GRID_FROM)*('Dvd Calendar'!$E$924&lt;=GRID_TO)*((('Dvd Calendar'!$E$924&lt;=VAL_DATE)+(COUNTIF('Dvd Calendar'!$E$931:$AR$931,'Dvd Calendar'!$E$924)=0))&gt;0)=0,"",'Dvd Calendar'!$E$924*1000000000+ISNUMBER('Dvd Calendar'!$E$927)*100000000+('Dvd Calendar'!$E$929=SPECIAL_LBL)*10000000+(N('Dvd Calendar'!$E$923)&gt;0)*(N('Dvd Calendar'!$E$923)&lt;=VAL_SERIAL)*1000000+84*1000+1))</f>
        <v/>
      </c>
      <c r="EF95" s="121">
        <f>IF(N('Dvd Calendar'!$F$924)=0,"",IF(('Dvd Calendar'!$F$924&gt;=GRID_FROM)*('Dvd Calendar'!$F$924&lt;=GRID_TO)*((('Dvd Calendar'!$F$924&lt;=VAL_DATE)+(COUNTIF('Dvd Calendar'!$E$931:$AR$931,'Dvd Calendar'!$F$924)=0))&gt;0)=0,"",'Dvd Calendar'!$F$924*1000000000+ISNUMBER('Dvd Calendar'!$F$927)*100000000+('Dvd Calendar'!$F$929=SPECIAL_LBL)*10000000+(N('Dvd Calendar'!$F$923)&gt;0)*(N('Dvd Calendar'!$F$923)&lt;=VAL_SERIAL)*1000000+84*1000+2))</f>
        <v/>
      </c>
      <c r="EG95" s="121">
        <f>IF(N('Dvd Calendar'!$G$924)=0,"",IF(('Dvd Calendar'!$G$924&gt;=GRID_FROM)*('Dvd Calendar'!$G$924&lt;=GRID_TO)*((('Dvd Calendar'!$G$924&lt;=VAL_DATE)+(COUNTIF('Dvd Calendar'!$E$931:$AR$931,'Dvd Calendar'!$G$924)=0))&gt;0)=0,"",'Dvd Calendar'!$G$924*1000000000+ISNUMBER('Dvd Calendar'!$G$927)*100000000+('Dvd Calendar'!$G$929=SPECIAL_LBL)*10000000+(N('Dvd Calendar'!$G$923)&gt;0)*(N('Dvd Calendar'!$G$923)&lt;=VAL_SERIAL)*1000000+84*1000+3))</f>
        <v/>
      </c>
      <c r="EH95" s="121">
        <f>IF(N('Dvd Calendar'!$H$924)=0,"",IF(('Dvd Calendar'!$H$924&gt;=GRID_FROM)*('Dvd Calendar'!$H$924&lt;=GRID_TO)*((('Dvd Calendar'!$H$924&lt;=VAL_DATE)+(COUNTIF('Dvd Calendar'!$E$931:$AR$931,'Dvd Calendar'!$H$924)=0))&gt;0)=0,"",'Dvd Calendar'!$H$924*1000000000+ISNUMBER('Dvd Calendar'!$H$927)*100000000+('Dvd Calendar'!$H$929=SPECIAL_LBL)*10000000+(N('Dvd Calendar'!$H$923)&gt;0)*(N('Dvd Calendar'!$H$923)&lt;=VAL_SERIAL)*1000000+84*1000+4))</f>
        <v/>
      </c>
      <c r="EI95" s="121">
        <f>IF(N('Dvd Calendar'!$I$924)=0,"",IF(('Dvd Calendar'!$I$924&gt;=GRID_FROM)*('Dvd Calendar'!$I$924&lt;=GRID_TO)*((('Dvd Calendar'!$I$924&lt;=VAL_DATE)+(COUNTIF('Dvd Calendar'!$E$931:$AR$931,'Dvd Calendar'!$I$924)=0))&gt;0)=0,"",'Dvd Calendar'!$I$924*1000000000+ISNUMBER('Dvd Calendar'!$I$927)*100000000+('Dvd Calendar'!$I$929=SPECIAL_LBL)*10000000+(N('Dvd Calendar'!$I$923)&gt;0)*(N('Dvd Calendar'!$I$923)&lt;=VAL_SERIAL)*1000000+84*1000+5))</f>
        <v/>
      </c>
      <c r="EJ95" s="121">
        <f>IF(N('Dvd Calendar'!$J$924)=0,"",IF(('Dvd Calendar'!$J$924&gt;=GRID_FROM)*('Dvd Calendar'!$J$924&lt;=GRID_TO)*((('Dvd Calendar'!$J$924&lt;=VAL_DATE)+(COUNTIF('Dvd Calendar'!$E$931:$AR$931,'Dvd Calendar'!$J$924)=0))&gt;0)=0,"",'Dvd Calendar'!$J$924*1000000000+ISNUMBER('Dvd Calendar'!$J$927)*100000000+('Dvd Calendar'!$J$929=SPECIAL_LBL)*10000000+(N('Dvd Calendar'!$J$923)&gt;0)*(N('Dvd Calendar'!$J$923)&lt;=VAL_SERIAL)*1000000+84*1000+6))</f>
        <v/>
      </c>
      <c r="EK95" s="121">
        <f>IF(N('Dvd Calendar'!$K$924)=0,"",IF(('Dvd Calendar'!$K$924&gt;=GRID_FROM)*('Dvd Calendar'!$K$924&lt;=GRID_TO)*((('Dvd Calendar'!$K$924&lt;=VAL_DATE)+(COUNTIF('Dvd Calendar'!$E$931:$AR$931,'Dvd Calendar'!$K$924)=0))&gt;0)=0,"",'Dvd Calendar'!$K$924*1000000000+ISNUMBER('Dvd Calendar'!$K$927)*100000000+('Dvd Calendar'!$K$929=SPECIAL_LBL)*10000000+(N('Dvd Calendar'!$K$923)&gt;0)*(N('Dvd Calendar'!$K$923)&lt;=VAL_SERIAL)*1000000+84*1000+7))</f>
        <v/>
      </c>
      <c r="EL95" s="121">
        <f>IF(N('Dvd Calendar'!$L$924)=0,"",IF(('Dvd Calendar'!$L$924&gt;=GRID_FROM)*('Dvd Calendar'!$L$924&lt;=GRID_TO)*((('Dvd Calendar'!$L$924&lt;=VAL_DATE)+(COUNTIF('Dvd Calendar'!$E$931:$AR$931,'Dvd Calendar'!$L$924)=0))&gt;0)=0,"",'Dvd Calendar'!$L$924*1000000000+ISNUMBER('Dvd Calendar'!$L$927)*100000000+('Dvd Calendar'!$L$929=SPECIAL_LBL)*10000000+(N('Dvd Calendar'!$L$923)&gt;0)*(N('Dvd Calendar'!$L$923)&lt;=VAL_SERIAL)*1000000+84*1000+8))</f>
        <v/>
      </c>
      <c r="EM95" s="121">
        <f>IF(N('Dvd Calendar'!$M$924)=0,"",IF(('Dvd Calendar'!$M$924&gt;=GRID_FROM)*('Dvd Calendar'!$M$924&lt;=GRID_TO)*((('Dvd Calendar'!$M$924&lt;=VAL_DATE)+(COUNTIF('Dvd Calendar'!$E$931:$AR$931,'Dvd Calendar'!$M$924)=0))&gt;0)=0,"",'Dvd Calendar'!$M$924*1000000000+ISNUMBER('Dvd Calendar'!$M$927)*100000000+('Dvd Calendar'!$M$929=SPECIAL_LBL)*10000000+(N('Dvd Calendar'!$M$923)&gt;0)*(N('Dvd Calendar'!$M$923)&lt;=VAL_SERIAL)*1000000+84*1000+9))</f>
        <v/>
      </c>
      <c r="EN95" s="121">
        <f>IF(N('Dvd Calendar'!$N$924)=0,"",IF(('Dvd Calendar'!$N$924&gt;=GRID_FROM)*('Dvd Calendar'!$N$924&lt;=GRID_TO)*((('Dvd Calendar'!$N$924&lt;=VAL_DATE)+(COUNTIF('Dvd Calendar'!$E$931:$AR$931,'Dvd Calendar'!$N$924)=0))&gt;0)=0,"",'Dvd Calendar'!$N$924*1000000000+ISNUMBER('Dvd Calendar'!$N$927)*100000000+('Dvd Calendar'!$N$929=SPECIAL_LBL)*10000000+(N('Dvd Calendar'!$N$923)&gt;0)*(N('Dvd Calendar'!$N$923)&lt;=VAL_SERIAL)*1000000+84*1000+10))</f>
        <v/>
      </c>
      <c r="EO95" s="121">
        <f>IF(N('Dvd Calendar'!$O$924)=0,"",IF(('Dvd Calendar'!$O$924&gt;=GRID_FROM)*('Dvd Calendar'!$O$924&lt;=GRID_TO)*((('Dvd Calendar'!$O$924&lt;=VAL_DATE)+(COUNTIF('Dvd Calendar'!$E$931:$AR$931,'Dvd Calendar'!$O$924)=0))&gt;0)=0,"",'Dvd Calendar'!$O$924*1000000000+ISNUMBER('Dvd Calendar'!$O$927)*100000000+('Dvd Calendar'!$O$929=SPECIAL_LBL)*10000000+(N('Dvd Calendar'!$O$923)&gt;0)*(N('Dvd Calendar'!$O$923)&lt;=VAL_SERIAL)*1000000+84*1000+11))</f>
        <v/>
      </c>
      <c r="EP95" s="121">
        <f>IF(N('Dvd Calendar'!$P$924)=0,"",IF(('Dvd Calendar'!$P$924&gt;=GRID_FROM)*('Dvd Calendar'!$P$924&lt;=GRID_TO)*((('Dvd Calendar'!$P$924&lt;=VAL_DATE)+(COUNTIF('Dvd Calendar'!$E$931:$AR$931,'Dvd Calendar'!$P$924)=0))&gt;0)=0,"",'Dvd Calendar'!$P$924*1000000000+ISNUMBER('Dvd Calendar'!$P$927)*100000000+('Dvd Calendar'!$P$929=SPECIAL_LBL)*10000000+(N('Dvd Calendar'!$P$923)&gt;0)*(N('Dvd Calendar'!$P$923)&lt;=VAL_SERIAL)*1000000+84*1000+12))</f>
        <v/>
      </c>
      <c r="EQ95" s="121">
        <f>IF(N('Dvd Calendar'!$Q$924)=0,"",IF(('Dvd Calendar'!$Q$924&gt;=GRID_FROM)*('Dvd Calendar'!$Q$924&lt;=GRID_TO)*((('Dvd Calendar'!$Q$924&lt;=VAL_DATE)+(COUNTIF('Dvd Calendar'!$E$931:$AR$931,'Dvd Calendar'!$Q$924)=0))&gt;0)=0,"",'Dvd Calendar'!$Q$924*1000000000+ISNUMBER('Dvd Calendar'!$Q$927)*100000000+('Dvd Calendar'!$Q$929=SPECIAL_LBL)*10000000+(N('Dvd Calendar'!$Q$923)&gt;0)*(N('Dvd Calendar'!$Q$923)&lt;=VAL_SERIAL)*1000000+84*1000+13))</f>
        <v/>
      </c>
      <c r="ER95" s="121">
        <f>IF(N('Dvd Calendar'!$R$924)=0,"",IF(('Dvd Calendar'!$R$924&gt;=GRID_FROM)*('Dvd Calendar'!$R$924&lt;=GRID_TO)*((('Dvd Calendar'!$R$924&lt;=VAL_DATE)+(COUNTIF('Dvd Calendar'!$E$931:$AR$931,'Dvd Calendar'!$R$924)=0))&gt;0)=0,"",'Dvd Calendar'!$R$924*1000000000+ISNUMBER('Dvd Calendar'!$R$927)*100000000+('Dvd Calendar'!$R$929=SPECIAL_LBL)*10000000+(N('Dvd Calendar'!$R$923)&gt;0)*(N('Dvd Calendar'!$R$923)&lt;=VAL_SERIAL)*1000000+84*1000+14))</f>
        <v/>
      </c>
      <c r="ES95" s="121">
        <f>IF(N('Dvd Calendar'!$S$924)=0,"",IF(('Dvd Calendar'!$S$924&gt;=GRID_FROM)*('Dvd Calendar'!$S$924&lt;=GRID_TO)*((('Dvd Calendar'!$S$924&lt;=VAL_DATE)+(COUNTIF('Dvd Calendar'!$E$931:$AR$931,'Dvd Calendar'!$S$924)=0))&gt;0)=0,"",'Dvd Calendar'!$S$924*1000000000+ISNUMBER('Dvd Calendar'!$S$927)*100000000+('Dvd Calendar'!$S$929=SPECIAL_LBL)*10000000+(N('Dvd Calendar'!$S$923)&gt;0)*(N('Dvd Calendar'!$S$923)&lt;=VAL_SERIAL)*1000000+84*1000+15))</f>
        <v/>
      </c>
      <c r="ET95" s="121">
        <f>IF(N('Dvd Calendar'!$T$924)=0,"",IF(('Dvd Calendar'!$T$924&gt;=GRID_FROM)*('Dvd Calendar'!$T$924&lt;=GRID_TO)*((('Dvd Calendar'!$T$924&lt;=VAL_DATE)+(COUNTIF('Dvd Calendar'!$E$931:$AR$931,'Dvd Calendar'!$T$924)=0))&gt;0)=0,"",'Dvd Calendar'!$T$924*1000000000+ISNUMBER('Dvd Calendar'!$T$927)*100000000+('Dvd Calendar'!$T$929=SPECIAL_LBL)*10000000+(N('Dvd Calendar'!$T$923)&gt;0)*(N('Dvd Calendar'!$T$923)&lt;=VAL_SERIAL)*1000000+84*1000+16))</f>
        <v/>
      </c>
      <c r="EU95" s="121">
        <f>IF(N('Dvd Calendar'!$U$924)=0,"",IF(('Dvd Calendar'!$U$924&gt;=GRID_FROM)*('Dvd Calendar'!$U$924&lt;=GRID_TO)*((('Dvd Calendar'!$U$924&lt;=VAL_DATE)+(COUNTIF('Dvd Calendar'!$E$931:$AR$931,'Dvd Calendar'!$U$924)=0))&gt;0)=0,"",'Dvd Calendar'!$U$924*1000000000+ISNUMBER('Dvd Calendar'!$U$927)*100000000+('Dvd Calendar'!$U$929=SPECIAL_LBL)*10000000+(N('Dvd Calendar'!$U$923)&gt;0)*(N('Dvd Calendar'!$U$923)&lt;=VAL_SERIAL)*1000000+84*1000+17))</f>
        <v/>
      </c>
      <c r="EV95" s="121">
        <f>IF(N('Dvd Calendar'!$V$924)=0,"",IF(('Dvd Calendar'!$V$924&gt;=GRID_FROM)*('Dvd Calendar'!$V$924&lt;=GRID_TO)*((('Dvd Calendar'!$V$924&lt;=VAL_DATE)+(COUNTIF('Dvd Calendar'!$E$931:$AR$931,'Dvd Calendar'!$V$924)=0))&gt;0)=0,"",'Dvd Calendar'!$V$924*1000000000+ISNUMBER('Dvd Calendar'!$V$927)*100000000+('Dvd Calendar'!$V$929=SPECIAL_LBL)*10000000+(N('Dvd Calendar'!$V$923)&gt;0)*(N('Dvd Calendar'!$V$923)&lt;=VAL_SERIAL)*1000000+84*1000+18))</f>
        <v/>
      </c>
      <c r="EW95" s="121">
        <f>IF(N('Dvd Calendar'!$W$924)=0,"",IF(('Dvd Calendar'!$W$924&gt;=GRID_FROM)*('Dvd Calendar'!$W$924&lt;=GRID_TO)*((('Dvd Calendar'!$W$924&lt;=VAL_DATE)+(COUNTIF('Dvd Calendar'!$E$931:$AR$931,'Dvd Calendar'!$W$924)=0))&gt;0)=0,"",'Dvd Calendar'!$W$924*1000000000+ISNUMBER('Dvd Calendar'!$W$927)*100000000+('Dvd Calendar'!$W$929=SPECIAL_LBL)*10000000+(N('Dvd Calendar'!$W$923)&gt;0)*(N('Dvd Calendar'!$W$923)&lt;=VAL_SERIAL)*1000000+84*1000+19))</f>
        <v/>
      </c>
      <c r="EX95" s="121">
        <f>IF(N('Dvd Calendar'!$X$924)=0,"",IF(('Dvd Calendar'!$X$924&gt;=GRID_FROM)*('Dvd Calendar'!$X$924&lt;=GRID_TO)*((('Dvd Calendar'!$X$924&lt;=VAL_DATE)+(COUNTIF('Dvd Calendar'!$E$931:$AR$931,'Dvd Calendar'!$X$924)=0))&gt;0)=0,"",'Dvd Calendar'!$X$924*1000000000+ISNUMBER('Dvd Calendar'!$X$927)*100000000+('Dvd Calendar'!$X$929=SPECIAL_LBL)*10000000+(N('Dvd Calendar'!$X$923)&gt;0)*(N('Dvd Calendar'!$X$923)&lt;=VAL_SERIAL)*1000000+84*1000+20))</f>
        <v/>
      </c>
      <c r="EY95" s="121">
        <f>IF(N('Dvd Calendar'!$Y$924)=0,"",IF(('Dvd Calendar'!$Y$924&gt;=GRID_FROM)*('Dvd Calendar'!$Y$924&lt;=GRID_TO)*((('Dvd Calendar'!$Y$924&lt;=VAL_DATE)+(COUNTIF('Dvd Calendar'!$E$931:$AR$931,'Dvd Calendar'!$Y$924)=0))&gt;0)=0,"",'Dvd Calendar'!$Y$924*1000000000+ISNUMBER('Dvd Calendar'!$Y$927)*100000000+('Dvd Calendar'!$Y$929=SPECIAL_LBL)*10000000+(N('Dvd Calendar'!$Y$923)&gt;0)*(N('Dvd Calendar'!$Y$923)&lt;=VAL_SERIAL)*1000000+84*1000+21))</f>
        <v/>
      </c>
      <c r="EZ95" s="121">
        <f>IF(N('Dvd Calendar'!$Z$924)=0,"",IF(('Dvd Calendar'!$Z$924&gt;=GRID_FROM)*('Dvd Calendar'!$Z$924&lt;=GRID_TO)*((('Dvd Calendar'!$Z$924&lt;=VAL_DATE)+(COUNTIF('Dvd Calendar'!$E$931:$AR$931,'Dvd Calendar'!$Z$924)=0))&gt;0)=0,"",'Dvd Calendar'!$Z$924*1000000000+ISNUMBER('Dvd Calendar'!$Z$927)*100000000+('Dvd Calendar'!$Z$929=SPECIAL_LBL)*10000000+(N('Dvd Calendar'!$Z$923)&gt;0)*(N('Dvd Calendar'!$Z$923)&lt;=VAL_SERIAL)*1000000+84*1000+22))</f>
        <v/>
      </c>
      <c r="FA95" s="121">
        <f>IF(N('Dvd Calendar'!$AA$924)=0,"",IF(('Dvd Calendar'!$AA$924&gt;=GRID_FROM)*('Dvd Calendar'!$AA$924&lt;=GRID_TO)*((('Dvd Calendar'!$AA$924&lt;=VAL_DATE)+(COUNTIF('Dvd Calendar'!$E$931:$AR$931,'Dvd Calendar'!$AA$924)=0))&gt;0)=0,"",'Dvd Calendar'!$AA$924*1000000000+ISNUMBER('Dvd Calendar'!$AA$927)*100000000+('Dvd Calendar'!$AA$929=SPECIAL_LBL)*10000000+(N('Dvd Calendar'!$AA$923)&gt;0)*(N('Dvd Calendar'!$AA$923)&lt;=VAL_SERIAL)*1000000+84*1000+23))</f>
        <v/>
      </c>
      <c r="FB95" s="121">
        <f>IF(N('Dvd Calendar'!$AB$924)=0,"",IF(('Dvd Calendar'!$AB$924&gt;=GRID_FROM)*('Dvd Calendar'!$AB$924&lt;=GRID_TO)*((('Dvd Calendar'!$AB$924&lt;=VAL_DATE)+(COUNTIF('Dvd Calendar'!$E$931:$AR$931,'Dvd Calendar'!$AB$924)=0))&gt;0)=0,"",'Dvd Calendar'!$AB$924*1000000000+ISNUMBER('Dvd Calendar'!$AB$927)*100000000+('Dvd Calendar'!$AB$929=SPECIAL_LBL)*10000000+(N('Dvd Calendar'!$AB$923)&gt;0)*(N('Dvd Calendar'!$AB$923)&lt;=VAL_SERIAL)*1000000+84*1000+24))</f>
        <v/>
      </c>
      <c r="FC95" s="121">
        <f>IF(N('Dvd Calendar'!$AC$924)=0,"",IF(('Dvd Calendar'!$AC$924&gt;=GRID_FROM)*('Dvd Calendar'!$AC$924&lt;=GRID_TO)*((('Dvd Calendar'!$AC$924&lt;=VAL_DATE)+(COUNTIF('Dvd Calendar'!$E$931:$AR$931,'Dvd Calendar'!$AC$924)=0))&gt;0)=0,"",'Dvd Calendar'!$AC$924*1000000000+ISNUMBER('Dvd Calendar'!$AC$927)*100000000+('Dvd Calendar'!$AC$929=SPECIAL_LBL)*10000000+(N('Dvd Calendar'!$AC$923)&gt;0)*(N('Dvd Calendar'!$AC$923)&lt;=VAL_SERIAL)*1000000+84*1000+25))</f>
        <v/>
      </c>
      <c r="FD95" s="121">
        <f>IF(N('Dvd Calendar'!$AD$924)=0,"",IF(('Dvd Calendar'!$AD$924&gt;=GRID_FROM)*('Dvd Calendar'!$AD$924&lt;=GRID_TO)*((('Dvd Calendar'!$AD$924&lt;=VAL_DATE)+(COUNTIF('Dvd Calendar'!$E$931:$AR$931,'Dvd Calendar'!$AD$924)=0))&gt;0)=0,"",'Dvd Calendar'!$AD$924*1000000000+ISNUMBER('Dvd Calendar'!$AD$927)*100000000+('Dvd Calendar'!$AD$929=SPECIAL_LBL)*10000000+(N('Dvd Calendar'!$AD$923)&gt;0)*(N('Dvd Calendar'!$AD$923)&lt;=VAL_SERIAL)*1000000+84*1000+26))</f>
        <v/>
      </c>
      <c r="FE95" s="121">
        <f>IF(N('Dvd Calendar'!$AE$924)=0,"",IF(('Dvd Calendar'!$AE$924&gt;=GRID_FROM)*('Dvd Calendar'!$AE$924&lt;=GRID_TO)*((('Dvd Calendar'!$AE$924&lt;=VAL_DATE)+(COUNTIF('Dvd Calendar'!$E$931:$AR$931,'Dvd Calendar'!$AE$924)=0))&gt;0)=0,"",'Dvd Calendar'!$AE$924*1000000000+ISNUMBER('Dvd Calendar'!$AE$927)*100000000+('Dvd Calendar'!$AE$929=SPECIAL_LBL)*10000000+(N('Dvd Calendar'!$AE$923)&gt;0)*(N('Dvd Calendar'!$AE$923)&lt;=VAL_SERIAL)*1000000+84*1000+27))</f>
        <v/>
      </c>
      <c r="FF95" s="121">
        <f>IF(N('Dvd Calendar'!$AF$924)=0,"",IF(('Dvd Calendar'!$AF$924&gt;=GRID_FROM)*('Dvd Calendar'!$AF$924&lt;=GRID_TO)*((('Dvd Calendar'!$AF$924&lt;=VAL_DATE)+(COUNTIF('Dvd Calendar'!$E$931:$AR$931,'Dvd Calendar'!$AF$924)=0))&gt;0)=0,"",'Dvd Calendar'!$AF$924*1000000000+ISNUMBER('Dvd Calendar'!$AF$927)*100000000+('Dvd Calendar'!$AF$929=SPECIAL_LBL)*10000000+(N('Dvd Calendar'!$AF$923)&gt;0)*(N('Dvd Calendar'!$AF$923)&lt;=VAL_SERIAL)*1000000+84*1000+28))</f>
        <v/>
      </c>
      <c r="FG95" s="121">
        <f>IF(N('Dvd Calendar'!$AG$924)=0,"",IF(('Dvd Calendar'!$AG$924&gt;=GRID_FROM)*('Dvd Calendar'!$AG$924&lt;=GRID_TO)*((('Dvd Calendar'!$AG$924&lt;=VAL_DATE)+(COUNTIF('Dvd Calendar'!$E$931:$AR$931,'Dvd Calendar'!$AG$924)=0))&gt;0)=0,"",'Dvd Calendar'!$AG$924*1000000000+ISNUMBER('Dvd Calendar'!$AG$927)*100000000+('Dvd Calendar'!$AG$929=SPECIAL_LBL)*10000000+(N('Dvd Calendar'!$AG$923)&gt;0)*(N('Dvd Calendar'!$AG$923)&lt;=VAL_SERIAL)*1000000+84*1000+29))</f>
        <v/>
      </c>
      <c r="FH95" s="121">
        <f>IF(N('Dvd Calendar'!$AH$924)=0,"",IF(('Dvd Calendar'!$AH$924&gt;=GRID_FROM)*('Dvd Calendar'!$AH$924&lt;=GRID_TO)*((('Dvd Calendar'!$AH$924&lt;=VAL_DATE)+(COUNTIF('Dvd Calendar'!$E$931:$AR$931,'Dvd Calendar'!$AH$924)=0))&gt;0)=0,"",'Dvd Calendar'!$AH$924*1000000000+ISNUMBER('Dvd Calendar'!$AH$927)*100000000+('Dvd Calendar'!$AH$929=SPECIAL_LBL)*10000000+(N('Dvd Calendar'!$AH$923)&gt;0)*(N('Dvd Calendar'!$AH$923)&lt;=VAL_SERIAL)*1000000+84*1000+30))</f>
        <v/>
      </c>
      <c r="FI95" s="121">
        <f>IF(N('Dvd Calendar'!$AI$924)=0,"",IF(('Dvd Calendar'!$AI$924&gt;=GRID_FROM)*('Dvd Calendar'!$AI$924&lt;=GRID_TO)*((('Dvd Calendar'!$AI$924&lt;=VAL_DATE)+(COUNTIF('Dvd Calendar'!$E$931:$AR$931,'Dvd Calendar'!$AI$924)=0))&gt;0)=0,"",'Dvd Calendar'!$AI$924*1000000000+ISNUMBER('Dvd Calendar'!$AI$927)*100000000+('Dvd Calendar'!$AI$929=SPECIAL_LBL)*10000000+(N('Dvd Calendar'!$AI$923)&gt;0)*(N('Dvd Calendar'!$AI$923)&lt;=VAL_SERIAL)*1000000+84*1000+31))</f>
        <v/>
      </c>
      <c r="FJ95" s="121">
        <f>IF(N('Dvd Calendar'!$AJ$924)=0,"",IF(('Dvd Calendar'!$AJ$924&gt;=GRID_FROM)*('Dvd Calendar'!$AJ$924&lt;=GRID_TO)*((('Dvd Calendar'!$AJ$924&lt;=VAL_DATE)+(COUNTIF('Dvd Calendar'!$E$931:$AR$931,'Dvd Calendar'!$AJ$924)=0))&gt;0)=0,"",'Dvd Calendar'!$AJ$924*1000000000+ISNUMBER('Dvd Calendar'!$AJ$927)*100000000+('Dvd Calendar'!$AJ$929=SPECIAL_LBL)*10000000+(N('Dvd Calendar'!$AJ$923)&gt;0)*(N('Dvd Calendar'!$AJ$923)&lt;=VAL_SERIAL)*1000000+84*1000+32))</f>
        <v/>
      </c>
      <c r="FK95" s="121">
        <f>IF(N('Dvd Calendar'!$AK$924)=0,"",IF(('Dvd Calendar'!$AK$924&gt;=GRID_FROM)*('Dvd Calendar'!$AK$924&lt;=GRID_TO)*((('Dvd Calendar'!$AK$924&lt;=VAL_DATE)+(COUNTIF('Dvd Calendar'!$E$931:$AR$931,'Dvd Calendar'!$AK$924)=0))&gt;0)=0,"",'Dvd Calendar'!$AK$924*1000000000+ISNUMBER('Dvd Calendar'!$AK$927)*100000000+('Dvd Calendar'!$AK$929=SPECIAL_LBL)*10000000+(N('Dvd Calendar'!$AK$923)&gt;0)*(N('Dvd Calendar'!$AK$923)&lt;=VAL_SERIAL)*1000000+84*1000+33))</f>
        <v/>
      </c>
      <c r="FL95" s="121">
        <f>IF(N('Dvd Calendar'!$AL$924)=0,"",IF(('Dvd Calendar'!$AL$924&gt;=GRID_FROM)*('Dvd Calendar'!$AL$924&lt;=GRID_TO)*((('Dvd Calendar'!$AL$924&lt;=VAL_DATE)+(COUNTIF('Dvd Calendar'!$E$931:$AR$931,'Dvd Calendar'!$AL$924)=0))&gt;0)=0,"",'Dvd Calendar'!$AL$924*1000000000+ISNUMBER('Dvd Calendar'!$AL$927)*100000000+('Dvd Calendar'!$AL$929=SPECIAL_LBL)*10000000+(N('Dvd Calendar'!$AL$923)&gt;0)*(N('Dvd Calendar'!$AL$923)&lt;=VAL_SERIAL)*1000000+84*1000+34))</f>
        <v/>
      </c>
      <c r="FM95" s="121">
        <f>IF(N('Dvd Calendar'!$AM$924)=0,"",IF(('Dvd Calendar'!$AM$924&gt;=GRID_FROM)*('Dvd Calendar'!$AM$924&lt;=GRID_TO)*((('Dvd Calendar'!$AM$924&lt;=VAL_DATE)+(COUNTIF('Dvd Calendar'!$E$931:$AR$931,'Dvd Calendar'!$AM$924)=0))&gt;0)=0,"",'Dvd Calendar'!$AM$924*1000000000+ISNUMBER('Dvd Calendar'!$AM$927)*100000000+('Dvd Calendar'!$AM$929=SPECIAL_LBL)*10000000+(N('Dvd Calendar'!$AM$923)&gt;0)*(N('Dvd Calendar'!$AM$923)&lt;=VAL_SERIAL)*1000000+84*1000+35))</f>
        <v/>
      </c>
      <c r="FN95" s="121">
        <f>IF(N('Dvd Calendar'!$AN$924)=0,"",IF(('Dvd Calendar'!$AN$924&gt;=GRID_FROM)*('Dvd Calendar'!$AN$924&lt;=GRID_TO)*((('Dvd Calendar'!$AN$924&lt;=VAL_DATE)+(COUNTIF('Dvd Calendar'!$E$931:$AR$931,'Dvd Calendar'!$AN$924)=0))&gt;0)=0,"",'Dvd Calendar'!$AN$924*1000000000+ISNUMBER('Dvd Calendar'!$AN$927)*100000000+('Dvd Calendar'!$AN$929=SPECIAL_LBL)*10000000+(N('Dvd Calendar'!$AN$923)&gt;0)*(N('Dvd Calendar'!$AN$923)&lt;=VAL_SERIAL)*1000000+84*1000+36))</f>
        <v/>
      </c>
      <c r="FO95" s="121">
        <f>IF(N('Dvd Calendar'!$AO$924)=0,"",IF(('Dvd Calendar'!$AO$924&gt;=GRID_FROM)*('Dvd Calendar'!$AO$924&lt;=GRID_TO)*((('Dvd Calendar'!$AO$924&lt;=VAL_DATE)+(COUNTIF('Dvd Calendar'!$E$931:$AR$931,'Dvd Calendar'!$AO$924)=0))&gt;0)=0,"",'Dvd Calendar'!$AO$924*1000000000+ISNUMBER('Dvd Calendar'!$AO$927)*100000000+('Dvd Calendar'!$AO$929=SPECIAL_LBL)*10000000+(N('Dvd Calendar'!$AO$923)&gt;0)*(N('Dvd Calendar'!$AO$923)&lt;=VAL_SERIAL)*1000000+84*1000+37))</f>
        <v/>
      </c>
      <c r="FP95" s="121">
        <f>IF(N('Dvd Calendar'!$AP$924)=0,"",IF(('Dvd Calendar'!$AP$924&gt;=GRID_FROM)*('Dvd Calendar'!$AP$924&lt;=GRID_TO)*((('Dvd Calendar'!$AP$924&lt;=VAL_DATE)+(COUNTIF('Dvd Calendar'!$E$931:$AR$931,'Dvd Calendar'!$AP$924)=0))&gt;0)=0,"",'Dvd Calendar'!$AP$924*1000000000+ISNUMBER('Dvd Calendar'!$AP$927)*100000000+('Dvd Calendar'!$AP$929=SPECIAL_LBL)*10000000+(N('Dvd Calendar'!$AP$923)&gt;0)*(N('Dvd Calendar'!$AP$923)&lt;=VAL_SERIAL)*1000000+84*1000+38))</f>
        <v/>
      </c>
      <c r="FQ95" s="121">
        <f>IF(N('Dvd Calendar'!$AQ$924)=0,"",IF(('Dvd Calendar'!$AQ$924&gt;=GRID_FROM)*('Dvd Calendar'!$AQ$924&lt;=GRID_TO)*((('Dvd Calendar'!$AQ$924&lt;=VAL_DATE)+(COUNTIF('Dvd Calendar'!$E$931:$AR$931,'Dvd Calendar'!$AQ$924)=0))&gt;0)=0,"",'Dvd Calendar'!$AQ$924*1000000000+ISNUMBER('Dvd Calendar'!$AQ$927)*100000000+('Dvd Calendar'!$AQ$929=SPECIAL_LBL)*10000000+(N('Dvd Calendar'!$AQ$923)&gt;0)*(N('Dvd Calendar'!$AQ$923)&lt;=VAL_SERIAL)*1000000+84*1000+39))</f>
        <v/>
      </c>
      <c r="FR95" s="121">
        <f>IF(N('Dvd Calendar'!$AR$924)=0,"",IF(('Dvd Calendar'!$AR$924&gt;=GRID_FROM)*('Dvd Calendar'!$AR$924&lt;=GRID_TO)*((('Dvd Calendar'!$AR$924&lt;=VAL_DATE)+(COUNTIF('Dvd Calendar'!$E$931:$AR$931,'Dvd Calendar'!$AR$924)=0))&gt;0)=0,"",'Dvd Calendar'!$AR$924*1000000000+ISNUMBER('Dvd Calendar'!$AR$927)*100000000+('Dvd Calendar'!$AR$929=SPECIAL_LBL)*10000000+(N('Dvd Calendar'!$AR$923)&gt;0)*(N('Dvd Calendar'!$AR$923)&lt;=VAL_SERIAL)*1000000+84*1000+40))</f>
        <v/>
      </c>
      <c r="FS95" s="121">
        <f>IF(N('Dvd Calendar'!$E$931)=0,"",IF(('Dvd Calendar'!$E$931&gt;=GRID_FROM)*('Dvd Calendar'!$E$931&lt;=GRID_TO)*('Dvd Calendar'!$E$931&gt;VAL_DATE)=0,"",'Dvd Calendar'!$E$931*1000000000+ISNUMBER('Dvd Calendar'!$E$932)*100000000+0*10000000+(N('Dvd Calendar'!$E$930)&gt;0)*(N('Dvd Calendar'!$E$930)&lt;=VAL_SERIAL)*1000000+84*1000+41))</f>
        <v/>
      </c>
      <c r="FT95" s="121">
        <f>IF(N('Dvd Calendar'!$F$931)=0,"",IF(('Dvd Calendar'!$F$931&gt;=GRID_FROM)*('Dvd Calendar'!$F$931&lt;=GRID_TO)*('Dvd Calendar'!$F$931&gt;VAL_DATE)=0,"",'Dvd Calendar'!$F$931*1000000000+ISNUMBER('Dvd Calendar'!$F$932)*100000000+0*10000000+(N('Dvd Calendar'!$F$930)&gt;0)*(N('Dvd Calendar'!$F$930)&lt;=VAL_SERIAL)*1000000+84*1000+42))</f>
        <v/>
      </c>
      <c r="FU95" s="121">
        <f>IF(N('Dvd Calendar'!$G$931)=0,"",IF(('Dvd Calendar'!$G$931&gt;=GRID_FROM)*('Dvd Calendar'!$G$931&lt;=GRID_TO)*('Dvd Calendar'!$G$931&gt;VAL_DATE)=0,"",'Dvd Calendar'!$G$931*1000000000+ISNUMBER('Dvd Calendar'!$G$932)*100000000+0*10000000+(N('Dvd Calendar'!$G$930)&gt;0)*(N('Dvd Calendar'!$G$930)&lt;=VAL_SERIAL)*1000000+84*1000+43))</f>
        <v/>
      </c>
      <c r="FV95" s="121">
        <f>IF(N('Dvd Calendar'!$H$931)=0,"",IF(('Dvd Calendar'!$H$931&gt;=GRID_FROM)*('Dvd Calendar'!$H$931&lt;=GRID_TO)*('Dvd Calendar'!$H$931&gt;VAL_DATE)=0,"",'Dvd Calendar'!$H$931*1000000000+ISNUMBER('Dvd Calendar'!$H$932)*100000000+0*10000000+(N('Dvd Calendar'!$H$930)&gt;0)*(N('Dvd Calendar'!$H$930)&lt;=VAL_SERIAL)*1000000+84*1000+44))</f>
        <v/>
      </c>
      <c r="FW95" s="121">
        <f>IF(N('Dvd Calendar'!$I$931)=0,"",IF(('Dvd Calendar'!$I$931&gt;=GRID_FROM)*('Dvd Calendar'!$I$931&lt;=GRID_TO)*('Dvd Calendar'!$I$931&gt;VAL_DATE)=0,"",'Dvd Calendar'!$I$931*1000000000+ISNUMBER('Dvd Calendar'!$I$932)*100000000+0*10000000+(N('Dvd Calendar'!$I$930)&gt;0)*(N('Dvd Calendar'!$I$930)&lt;=VAL_SERIAL)*1000000+84*1000+45))</f>
        <v/>
      </c>
      <c r="FX95" s="121">
        <f>IF(N('Dvd Calendar'!$J$931)=0,"",IF(('Dvd Calendar'!$J$931&gt;=GRID_FROM)*('Dvd Calendar'!$J$931&lt;=GRID_TO)*('Dvd Calendar'!$J$931&gt;VAL_DATE)=0,"",'Dvd Calendar'!$J$931*1000000000+ISNUMBER('Dvd Calendar'!$J$932)*100000000+0*10000000+(N('Dvd Calendar'!$J$930)&gt;0)*(N('Dvd Calendar'!$J$930)&lt;=VAL_SERIAL)*1000000+84*1000+46))</f>
        <v/>
      </c>
      <c r="FY95" s="121">
        <f>IF(N('Dvd Calendar'!$K$931)=0,"",IF(('Dvd Calendar'!$K$931&gt;=GRID_FROM)*('Dvd Calendar'!$K$931&lt;=GRID_TO)*('Dvd Calendar'!$K$931&gt;VAL_DATE)=0,"",'Dvd Calendar'!$K$931*1000000000+ISNUMBER('Dvd Calendar'!$K$932)*100000000+0*10000000+(N('Dvd Calendar'!$K$930)&gt;0)*(N('Dvd Calendar'!$K$930)&lt;=VAL_SERIAL)*1000000+84*1000+47))</f>
        <v/>
      </c>
      <c r="FZ95" s="121">
        <f>IF(N('Dvd Calendar'!$L$931)=0,"",IF(('Dvd Calendar'!$L$931&gt;=GRID_FROM)*('Dvd Calendar'!$L$931&lt;=GRID_TO)*('Dvd Calendar'!$L$931&gt;VAL_DATE)=0,"",'Dvd Calendar'!$L$931*1000000000+ISNUMBER('Dvd Calendar'!$L$932)*100000000+0*10000000+(N('Dvd Calendar'!$L$930)&gt;0)*(N('Dvd Calendar'!$L$930)&lt;=VAL_SERIAL)*1000000+84*1000+48))</f>
        <v/>
      </c>
      <c r="GA95" s="121">
        <f>IF(N('Dvd Calendar'!$M$931)=0,"",IF(('Dvd Calendar'!$M$931&gt;=GRID_FROM)*('Dvd Calendar'!$M$931&lt;=GRID_TO)*('Dvd Calendar'!$M$931&gt;VAL_DATE)=0,"",'Dvd Calendar'!$M$931*1000000000+ISNUMBER('Dvd Calendar'!$M$932)*100000000+0*10000000+(N('Dvd Calendar'!$M$930)&gt;0)*(N('Dvd Calendar'!$M$930)&lt;=VAL_SERIAL)*1000000+84*1000+49))</f>
        <v/>
      </c>
      <c r="GB95" s="121">
        <f>IF(N('Dvd Calendar'!$N$931)=0,"",IF(('Dvd Calendar'!$N$931&gt;=GRID_FROM)*('Dvd Calendar'!$N$931&lt;=GRID_TO)*('Dvd Calendar'!$N$931&gt;VAL_DATE)=0,"",'Dvd Calendar'!$N$931*1000000000+ISNUMBER('Dvd Calendar'!$N$932)*100000000+0*10000000+(N('Dvd Calendar'!$N$930)&gt;0)*(N('Dvd Calendar'!$N$930)&lt;=VAL_SERIAL)*1000000+84*1000+50))</f>
        <v/>
      </c>
      <c r="GC95" s="121">
        <f>IF(N('Dvd Calendar'!$O$931)=0,"",IF(('Dvd Calendar'!$O$931&gt;=GRID_FROM)*('Dvd Calendar'!$O$931&lt;=GRID_TO)*('Dvd Calendar'!$O$931&gt;VAL_DATE)=0,"",'Dvd Calendar'!$O$931*1000000000+ISNUMBER('Dvd Calendar'!$O$932)*100000000+0*10000000+(N('Dvd Calendar'!$O$930)&gt;0)*(N('Dvd Calendar'!$O$930)&lt;=VAL_SERIAL)*1000000+84*1000+51))</f>
        <v/>
      </c>
      <c r="GD95" s="121">
        <f>IF(N('Dvd Calendar'!$P$931)=0,"",IF(('Dvd Calendar'!$P$931&gt;=GRID_FROM)*('Dvd Calendar'!$P$931&lt;=GRID_TO)*('Dvd Calendar'!$P$931&gt;VAL_DATE)=0,"",'Dvd Calendar'!$P$931*1000000000+ISNUMBER('Dvd Calendar'!$P$932)*100000000+0*10000000+(N('Dvd Calendar'!$P$930)&gt;0)*(N('Dvd Calendar'!$P$930)&lt;=VAL_SERIAL)*1000000+84*1000+52))</f>
        <v/>
      </c>
      <c r="GE95" s="121">
        <f>IF(N('Dvd Calendar'!$Q$931)=0,"",IF(('Dvd Calendar'!$Q$931&gt;=GRID_FROM)*('Dvd Calendar'!$Q$931&lt;=GRID_TO)*('Dvd Calendar'!$Q$931&gt;VAL_DATE)=0,"",'Dvd Calendar'!$Q$931*1000000000+ISNUMBER('Dvd Calendar'!$Q$932)*100000000+0*10000000+(N('Dvd Calendar'!$Q$930)&gt;0)*(N('Dvd Calendar'!$Q$930)&lt;=VAL_SERIAL)*1000000+84*1000+53))</f>
        <v/>
      </c>
      <c r="GF95" s="121">
        <f>IF(N('Dvd Calendar'!$R$931)=0,"",IF(('Dvd Calendar'!$R$931&gt;=GRID_FROM)*('Dvd Calendar'!$R$931&lt;=GRID_TO)*('Dvd Calendar'!$R$931&gt;VAL_DATE)=0,"",'Dvd Calendar'!$R$931*1000000000+ISNUMBER('Dvd Calendar'!$R$932)*100000000+0*10000000+(N('Dvd Calendar'!$R$930)&gt;0)*(N('Dvd Calendar'!$R$930)&lt;=VAL_SERIAL)*1000000+84*1000+54))</f>
        <v/>
      </c>
      <c r="GG95" s="121">
        <f>IF(N('Dvd Calendar'!$S$931)=0,"",IF(('Dvd Calendar'!$S$931&gt;=GRID_FROM)*('Dvd Calendar'!$S$931&lt;=GRID_TO)*('Dvd Calendar'!$S$931&gt;VAL_DATE)=0,"",'Dvd Calendar'!$S$931*1000000000+ISNUMBER('Dvd Calendar'!$S$932)*100000000+0*10000000+(N('Dvd Calendar'!$S$930)&gt;0)*(N('Dvd Calendar'!$S$930)&lt;=VAL_SERIAL)*1000000+84*1000+55))</f>
        <v/>
      </c>
      <c r="GH95" s="121">
        <f>IF(N('Dvd Calendar'!$T$931)=0,"",IF(('Dvd Calendar'!$T$931&gt;=GRID_FROM)*('Dvd Calendar'!$T$931&lt;=GRID_TO)*('Dvd Calendar'!$T$931&gt;VAL_DATE)=0,"",'Dvd Calendar'!$T$931*1000000000+ISNUMBER('Dvd Calendar'!$T$932)*100000000+0*10000000+(N('Dvd Calendar'!$T$930)&gt;0)*(N('Dvd Calendar'!$T$930)&lt;=VAL_SERIAL)*1000000+84*1000+56))</f>
        <v/>
      </c>
      <c r="GI95" s="121">
        <f>IF(N('Dvd Calendar'!$U$931)=0,"",IF(('Dvd Calendar'!$U$931&gt;=GRID_FROM)*('Dvd Calendar'!$U$931&lt;=GRID_TO)*('Dvd Calendar'!$U$931&gt;VAL_DATE)=0,"",'Dvd Calendar'!$U$931*1000000000+ISNUMBER('Dvd Calendar'!$U$932)*100000000+0*10000000+(N('Dvd Calendar'!$U$930)&gt;0)*(N('Dvd Calendar'!$U$930)&lt;=VAL_SERIAL)*1000000+84*1000+57))</f>
        <v/>
      </c>
      <c r="GJ95" s="121">
        <f>IF(N('Dvd Calendar'!$V$931)=0,"",IF(('Dvd Calendar'!$V$931&gt;=GRID_FROM)*('Dvd Calendar'!$V$931&lt;=GRID_TO)*('Dvd Calendar'!$V$931&gt;VAL_DATE)=0,"",'Dvd Calendar'!$V$931*1000000000+ISNUMBER('Dvd Calendar'!$V$932)*100000000+0*10000000+(N('Dvd Calendar'!$V$930)&gt;0)*(N('Dvd Calendar'!$V$930)&lt;=VAL_SERIAL)*1000000+84*1000+58))</f>
        <v/>
      </c>
      <c r="GK95" s="121">
        <f>IF(N('Dvd Calendar'!$W$931)=0,"",IF(('Dvd Calendar'!$W$931&gt;=GRID_FROM)*('Dvd Calendar'!$W$931&lt;=GRID_TO)*('Dvd Calendar'!$W$931&gt;VAL_DATE)=0,"",'Dvd Calendar'!$W$931*1000000000+ISNUMBER('Dvd Calendar'!$W$932)*100000000+0*10000000+(N('Dvd Calendar'!$W$930)&gt;0)*(N('Dvd Calendar'!$W$930)&lt;=VAL_SERIAL)*1000000+84*1000+59))</f>
        <v/>
      </c>
      <c r="GL95" s="121">
        <f>IF(N('Dvd Calendar'!$X$931)=0,"",IF(('Dvd Calendar'!$X$931&gt;=GRID_FROM)*('Dvd Calendar'!$X$931&lt;=GRID_TO)*('Dvd Calendar'!$X$931&gt;VAL_DATE)=0,"",'Dvd Calendar'!$X$931*1000000000+ISNUMBER('Dvd Calendar'!$X$932)*100000000+0*10000000+(N('Dvd Calendar'!$X$930)&gt;0)*(N('Dvd Calendar'!$X$930)&lt;=VAL_SERIAL)*1000000+84*1000+60))</f>
        <v/>
      </c>
      <c r="GM95" s="121">
        <f>IF(N('Dvd Calendar'!$Y$931)=0,"",IF(('Dvd Calendar'!$Y$931&gt;=GRID_FROM)*('Dvd Calendar'!$Y$931&lt;=GRID_TO)*('Dvd Calendar'!$Y$931&gt;VAL_DATE)=0,"",'Dvd Calendar'!$Y$931*1000000000+ISNUMBER('Dvd Calendar'!$Y$932)*100000000+0*10000000+(N('Dvd Calendar'!$Y$930)&gt;0)*(N('Dvd Calendar'!$Y$930)&lt;=VAL_SERIAL)*1000000+84*1000+61))</f>
        <v/>
      </c>
      <c r="GN95" s="121">
        <f>IF(N('Dvd Calendar'!$Z$931)=0,"",IF(('Dvd Calendar'!$Z$931&gt;=GRID_FROM)*('Dvd Calendar'!$Z$931&lt;=GRID_TO)*('Dvd Calendar'!$Z$931&gt;VAL_DATE)=0,"",'Dvd Calendar'!$Z$931*1000000000+ISNUMBER('Dvd Calendar'!$Z$932)*100000000+0*10000000+(N('Dvd Calendar'!$Z$930)&gt;0)*(N('Dvd Calendar'!$Z$930)&lt;=VAL_SERIAL)*1000000+84*1000+62))</f>
        <v/>
      </c>
      <c r="GO95" s="121">
        <f>IF(N('Dvd Calendar'!$AA$931)=0,"",IF(('Dvd Calendar'!$AA$931&gt;=GRID_FROM)*('Dvd Calendar'!$AA$931&lt;=GRID_TO)*('Dvd Calendar'!$AA$931&gt;VAL_DATE)=0,"",'Dvd Calendar'!$AA$931*1000000000+ISNUMBER('Dvd Calendar'!$AA$932)*100000000+0*10000000+(N('Dvd Calendar'!$AA$930)&gt;0)*(N('Dvd Calendar'!$AA$930)&lt;=VAL_SERIAL)*1000000+84*1000+63))</f>
        <v/>
      </c>
      <c r="GP95" s="121">
        <f>IF(N('Dvd Calendar'!$AB$931)=0,"",IF(('Dvd Calendar'!$AB$931&gt;=GRID_FROM)*('Dvd Calendar'!$AB$931&lt;=GRID_TO)*('Dvd Calendar'!$AB$931&gt;VAL_DATE)=0,"",'Dvd Calendar'!$AB$931*1000000000+ISNUMBER('Dvd Calendar'!$AB$932)*100000000+0*10000000+(N('Dvd Calendar'!$AB$930)&gt;0)*(N('Dvd Calendar'!$AB$930)&lt;=VAL_SERIAL)*1000000+84*1000+64))</f>
        <v/>
      </c>
      <c r="GQ95" s="121">
        <f>IF(N('Dvd Calendar'!$AC$931)=0,"",IF(('Dvd Calendar'!$AC$931&gt;=GRID_FROM)*('Dvd Calendar'!$AC$931&lt;=GRID_TO)*('Dvd Calendar'!$AC$931&gt;VAL_DATE)=0,"",'Dvd Calendar'!$AC$931*1000000000+ISNUMBER('Dvd Calendar'!$AC$932)*100000000+0*10000000+(N('Dvd Calendar'!$AC$930)&gt;0)*(N('Dvd Calendar'!$AC$930)&lt;=VAL_SERIAL)*1000000+84*1000+65))</f>
        <v/>
      </c>
    </row>
    <row r="96">
      <c r="B96" s="2">
        <f>IF(HSI!$C$91="","",HSI!$C$91)</f>
        <v/>
      </c>
      <c r="C96" s="161">
        <f>IF(EE96="","",IF(ISNUMBER('Dvd Calendar'!$E$938)=FALSE,"",IF((('Dvd Calendar'!$E$940=TYPE1)*(TYPE1&lt;&gt;"")+('Dvd Calendar'!$E$940=TYPE2)*(TYPE2&lt;&gt;"")+('Dvd Calendar'!$E$940=TYPE3)*(TYPE3&lt;&gt;"")+('Dvd Calendar'!$E$940=TYPE4)*(TYPE4&lt;&gt;"")+('Dvd Calendar'!$E$940=SPECIAL_LBL)*(INC_SPECIALS="Y"))=0,"",'Dvd Calendar'!$E$938)))</f>
        <v/>
      </c>
      <c r="D96" s="161">
        <f>IF(EF96="","",IF(ISNUMBER('Dvd Calendar'!$F$938)=FALSE,"",IF((('Dvd Calendar'!$F$940=TYPE1)*(TYPE1&lt;&gt;"")+('Dvd Calendar'!$F$940=TYPE2)*(TYPE2&lt;&gt;"")+('Dvd Calendar'!$F$940=TYPE3)*(TYPE3&lt;&gt;"")+('Dvd Calendar'!$F$940=TYPE4)*(TYPE4&lt;&gt;"")+('Dvd Calendar'!$F$940=SPECIAL_LBL)*(INC_SPECIALS="Y"))=0,"",'Dvd Calendar'!$F$938)))</f>
        <v/>
      </c>
      <c r="E96" s="161">
        <f>IF(EG96="","",IF(ISNUMBER('Dvd Calendar'!$G$938)=FALSE,"",IF((('Dvd Calendar'!$G$940=TYPE1)*(TYPE1&lt;&gt;"")+('Dvd Calendar'!$G$940=TYPE2)*(TYPE2&lt;&gt;"")+('Dvd Calendar'!$G$940=TYPE3)*(TYPE3&lt;&gt;"")+('Dvd Calendar'!$G$940=TYPE4)*(TYPE4&lt;&gt;"")+('Dvd Calendar'!$G$940=SPECIAL_LBL)*(INC_SPECIALS="Y"))=0,"",'Dvd Calendar'!$G$938)))</f>
        <v/>
      </c>
      <c r="F96" s="161">
        <f>IF(EH96="","",IF(ISNUMBER('Dvd Calendar'!$H$938)=FALSE,"",IF((('Dvd Calendar'!$H$940=TYPE1)*(TYPE1&lt;&gt;"")+('Dvd Calendar'!$H$940=TYPE2)*(TYPE2&lt;&gt;"")+('Dvd Calendar'!$H$940=TYPE3)*(TYPE3&lt;&gt;"")+('Dvd Calendar'!$H$940=TYPE4)*(TYPE4&lt;&gt;"")+('Dvd Calendar'!$H$940=SPECIAL_LBL)*(INC_SPECIALS="Y"))=0,"",'Dvd Calendar'!$H$938)))</f>
        <v/>
      </c>
      <c r="G96" s="161">
        <f>IF(EI96="","",IF(ISNUMBER('Dvd Calendar'!$I$938)=FALSE,"",IF((('Dvd Calendar'!$I$940=TYPE1)*(TYPE1&lt;&gt;"")+('Dvd Calendar'!$I$940=TYPE2)*(TYPE2&lt;&gt;"")+('Dvd Calendar'!$I$940=TYPE3)*(TYPE3&lt;&gt;"")+('Dvd Calendar'!$I$940=TYPE4)*(TYPE4&lt;&gt;"")+('Dvd Calendar'!$I$940=SPECIAL_LBL)*(INC_SPECIALS="Y"))=0,"",'Dvd Calendar'!$I$938)))</f>
        <v/>
      </c>
      <c r="H96" s="161">
        <f>IF(EJ96="","",IF(ISNUMBER('Dvd Calendar'!$J$938)=FALSE,"",IF((('Dvd Calendar'!$J$940=TYPE1)*(TYPE1&lt;&gt;"")+('Dvd Calendar'!$J$940=TYPE2)*(TYPE2&lt;&gt;"")+('Dvd Calendar'!$J$940=TYPE3)*(TYPE3&lt;&gt;"")+('Dvd Calendar'!$J$940=TYPE4)*(TYPE4&lt;&gt;"")+('Dvd Calendar'!$J$940=SPECIAL_LBL)*(INC_SPECIALS="Y"))=0,"",'Dvd Calendar'!$J$938)))</f>
        <v/>
      </c>
      <c r="I96" s="161">
        <f>IF(EK96="","",IF(ISNUMBER('Dvd Calendar'!$K$938)=FALSE,"",IF((('Dvd Calendar'!$K$940=TYPE1)*(TYPE1&lt;&gt;"")+('Dvd Calendar'!$K$940=TYPE2)*(TYPE2&lt;&gt;"")+('Dvd Calendar'!$K$940=TYPE3)*(TYPE3&lt;&gt;"")+('Dvd Calendar'!$K$940=TYPE4)*(TYPE4&lt;&gt;"")+('Dvd Calendar'!$K$940=SPECIAL_LBL)*(INC_SPECIALS="Y"))=0,"",'Dvd Calendar'!$K$938)))</f>
        <v/>
      </c>
      <c r="J96" s="161">
        <f>IF(EL96="","",IF(ISNUMBER('Dvd Calendar'!$L$938)=FALSE,"",IF((('Dvd Calendar'!$L$940=TYPE1)*(TYPE1&lt;&gt;"")+('Dvd Calendar'!$L$940=TYPE2)*(TYPE2&lt;&gt;"")+('Dvd Calendar'!$L$940=TYPE3)*(TYPE3&lt;&gt;"")+('Dvd Calendar'!$L$940=TYPE4)*(TYPE4&lt;&gt;"")+('Dvd Calendar'!$L$940=SPECIAL_LBL)*(INC_SPECIALS="Y"))=0,"",'Dvd Calendar'!$L$938)))</f>
        <v/>
      </c>
      <c r="K96" s="161">
        <f>IF(EM96="","",IF(ISNUMBER('Dvd Calendar'!$M$938)=FALSE,"",IF((('Dvd Calendar'!$M$940=TYPE1)*(TYPE1&lt;&gt;"")+('Dvd Calendar'!$M$940=TYPE2)*(TYPE2&lt;&gt;"")+('Dvd Calendar'!$M$940=TYPE3)*(TYPE3&lt;&gt;"")+('Dvd Calendar'!$M$940=TYPE4)*(TYPE4&lt;&gt;"")+('Dvd Calendar'!$M$940=SPECIAL_LBL)*(INC_SPECIALS="Y"))=0,"",'Dvd Calendar'!$M$938)))</f>
        <v/>
      </c>
      <c r="L96" s="161">
        <f>IF(EN96="","",IF(ISNUMBER('Dvd Calendar'!$N$938)=FALSE,"",IF((('Dvd Calendar'!$N$940=TYPE1)*(TYPE1&lt;&gt;"")+('Dvd Calendar'!$N$940=TYPE2)*(TYPE2&lt;&gt;"")+('Dvd Calendar'!$N$940=TYPE3)*(TYPE3&lt;&gt;"")+('Dvd Calendar'!$N$940=TYPE4)*(TYPE4&lt;&gt;"")+('Dvd Calendar'!$N$940=SPECIAL_LBL)*(INC_SPECIALS="Y"))=0,"",'Dvd Calendar'!$N$938)))</f>
        <v/>
      </c>
      <c r="M96" s="161">
        <f>IF(EO96="","",IF(ISNUMBER('Dvd Calendar'!$O$938)=FALSE,"",IF((('Dvd Calendar'!$O$940=TYPE1)*(TYPE1&lt;&gt;"")+('Dvd Calendar'!$O$940=TYPE2)*(TYPE2&lt;&gt;"")+('Dvd Calendar'!$O$940=TYPE3)*(TYPE3&lt;&gt;"")+('Dvd Calendar'!$O$940=TYPE4)*(TYPE4&lt;&gt;"")+('Dvd Calendar'!$O$940=SPECIAL_LBL)*(INC_SPECIALS="Y"))=0,"",'Dvd Calendar'!$O$938)))</f>
        <v/>
      </c>
      <c r="N96" s="161">
        <f>IF(EP96="","",IF(ISNUMBER('Dvd Calendar'!$P$938)=FALSE,"",IF((('Dvd Calendar'!$P$940=TYPE1)*(TYPE1&lt;&gt;"")+('Dvd Calendar'!$P$940=TYPE2)*(TYPE2&lt;&gt;"")+('Dvd Calendar'!$P$940=TYPE3)*(TYPE3&lt;&gt;"")+('Dvd Calendar'!$P$940=TYPE4)*(TYPE4&lt;&gt;"")+('Dvd Calendar'!$P$940=SPECIAL_LBL)*(INC_SPECIALS="Y"))=0,"",'Dvd Calendar'!$P$938)))</f>
        <v/>
      </c>
      <c r="O96" s="161">
        <f>IF(EQ96="","",IF(ISNUMBER('Dvd Calendar'!$Q$938)=FALSE,"",IF((('Dvd Calendar'!$Q$940=TYPE1)*(TYPE1&lt;&gt;"")+('Dvd Calendar'!$Q$940=TYPE2)*(TYPE2&lt;&gt;"")+('Dvd Calendar'!$Q$940=TYPE3)*(TYPE3&lt;&gt;"")+('Dvd Calendar'!$Q$940=TYPE4)*(TYPE4&lt;&gt;"")+('Dvd Calendar'!$Q$940=SPECIAL_LBL)*(INC_SPECIALS="Y"))=0,"",'Dvd Calendar'!$Q$938)))</f>
        <v/>
      </c>
      <c r="P96" s="161">
        <f>IF(ER96="","",IF(ISNUMBER('Dvd Calendar'!$R$938)=FALSE,"",IF((('Dvd Calendar'!$R$940=TYPE1)*(TYPE1&lt;&gt;"")+('Dvd Calendar'!$R$940=TYPE2)*(TYPE2&lt;&gt;"")+('Dvd Calendar'!$R$940=TYPE3)*(TYPE3&lt;&gt;"")+('Dvd Calendar'!$R$940=TYPE4)*(TYPE4&lt;&gt;"")+('Dvd Calendar'!$R$940=SPECIAL_LBL)*(INC_SPECIALS="Y"))=0,"",'Dvd Calendar'!$R$938)))</f>
        <v/>
      </c>
      <c r="Q96" s="161">
        <f>IF(ES96="","",IF(ISNUMBER('Dvd Calendar'!$S$938)=FALSE,"",IF((('Dvd Calendar'!$S$940=TYPE1)*(TYPE1&lt;&gt;"")+('Dvd Calendar'!$S$940=TYPE2)*(TYPE2&lt;&gt;"")+('Dvd Calendar'!$S$940=TYPE3)*(TYPE3&lt;&gt;"")+('Dvd Calendar'!$S$940=TYPE4)*(TYPE4&lt;&gt;"")+('Dvd Calendar'!$S$940=SPECIAL_LBL)*(INC_SPECIALS="Y"))=0,"",'Dvd Calendar'!$S$938)))</f>
        <v/>
      </c>
      <c r="R96" s="161">
        <f>IF(ET96="","",IF(ISNUMBER('Dvd Calendar'!$T$938)=FALSE,"",IF((('Dvd Calendar'!$T$940=TYPE1)*(TYPE1&lt;&gt;"")+('Dvd Calendar'!$T$940=TYPE2)*(TYPE2&lt;&gt;"")+('Dvd Calendar'!$T$940=TYPE3)*(TYPE3&lt;&gt;"")+('Dvd Calendar'!$T$940=TYPE4)*(TYPE4&lt;&gt;"")+('Dvd Calendar'!$T$940=SPECIAL_LBL)*(INC_SPECIALS="Y"))=0,"",'Dvd Calendar'!$T$938)))</f>
        <v/>
      </c>
      <c r="S96" s="161">
        <f>IF(EU96="","",IF(ISNUMBER('Dvd Calendar'!$U$938)=FALSE,"",IF((('Dvd Calendar'!$U$940=TYPE1)*(TYPE1&lt;&gt;"")+('Dvd Calendar'!$U$940=TYPE2)*(TYPE2&lt;&gt;"")+('Dvd Calendar'!$U$940=TYPE3)*(TYPE3&lt;&gt;"")+('Dvd Calendar'!$U$940=TYPE4)*(TYPE4&lt;&gt;"")+('Dvd Calendar'!$U$940=SPECIAL_LBL)*(INC_SPECIALS="Y"))=0,"",'Dvd Calendar'!$U$938)))</f>
        <v/>
      </c>
      <c r="T96" s="161">
        <f>IF(EV96="","",IF(ISNUMBER('Dvd Calendar'!$V$938)=FALSE,"",IF((('Dvd Calendar'!$V$940=TYPE1)*(TYPE1&lt;&gt;"")+('Dvd Calendar'!$V$940=TYPE2)*(TYPE2&lt;&gt;"")+('Dvd Calendar'!$V$940=TYPE3)*(TYPE3&lt;&gt;"")+('Dvd Calendar'!$V$940=TYPE4)*(TYPE4&lt;&gt;"")+('Dvd Calendar'!$V$940=SPECIAL_LBL)*(INC_SPECIALS="Y"))=0,"",'Dvd Calendar'!$V$938)))</f>
        <v/>
      </c>
      <c r="U96" s="161">
        <f>IF(EW96="","",IF(ISNUMBER('Dvd Calendar'!$W$938)=FALSE,"",IF((('Dvd Calendar'!$W$940=TYPE1)*(TYPE1&lt;&gt;"")+('Dvd Calendar'!$W$940=TYPE2)*(TYPE2&lt;&gt;"")+('Dvd Calendar'!$W$940=TYPE3)*(TYPE3&lt;&gt;"")+('Dvd Calendar'!$W$940=TYPE4)*(TYPE4&lt;&gt;"")+('Dvd Calendar'!$W$940=SPECIAL_LBL)*(INC_SPECIALS="Y"))=0,"",'Dvd Calendar'!$W$938)))</f>
        <v/>
      </c>
      <c r="V96" s="161">
        <f>IF(EX96="","",IF(ISNUMBER('Dvd Calendar'!$X$938)=FALSE,"",IF((('Dvd Calendar'!$X$940=TYPE1)*(TYPE1&lt;&gt;"")+('Dvd Calendar'!$X$940=TYPE2)*(TYPE2&lt;&gt;"")+('Dvd Calendar'!$X$940=TYPE3)*(TYPE3&lt;&gt;"")+('Dvd Calendar'!$X$940=TYPE4)*(TYPE4&lt;&gt;"")+('Dvd Calendar'!$X$940=SPECIAL_LBL)*(INC_SPECIALS="Y"))=0,"",'Dvd Calendar'!$X$938)))</f>
        <v/>
      </c>
      <c r="W96" s="161">
        <f>IF(EY96="","",IF(ISNUMBER('Dvd Calendar'!$Y$938)=FALSE,"",IF((('Dvd Calendar'!$Y$940=TYPE1)*(TYPE1&lt;&gt;"")+('Dvd Calendar'!$Y$940=TYPE2)*(TYPE2&lt;&gt;"")+('Dvd Calendar'!$Y$940=TYPE3)*(TYPE3&lt;&gt;"")+('Dvd Calendar'!$Y$940=TYPE4)*(TYPE4&lt;&gt;"")+('Dvd Calendar'!$Y$940=SPECIAL_LBL)*(INC_SPECIALS="Y"))=0,"",'Dvd Calendar'!$Y$938)))</f>
        <v/>
      </c>
      <c r="X96" s="161">
        <f>IF(EZ96="","",IF(ISNUMBER('Dvd Calendar'!$Z$938)=FALSE,"",IF((('Dvd Calendar'!$Z$940=TYPE1)*(TYPE1&lt;&gt;"")+('Dvd Calendar'!$Z$940=TYPE2)*(TYPE2&lt;&gt;"")+('Dvd Calendar'!$Z$940=TYPE3)*(TYPE3&lt;&gt;"")+('Dvd Calendar'!$Z$940=TYPE4)*(TYPE4&lt;&gt;"")+('Dvd Calendar'!$Z$940=SPECIAL_LBL)*(INC_SPECIALS="Y"))=0,"",'Dvd Calendar'!$Z$938)))</f>
        <v/>
      </c>
      <c r="Y96" s="161">
        <f>IF(FA96="","",IF(ISNUMBER('Dvd Calendar'!$AA$938)=FALSE,"",IF((('Dvd Calendar'!$AA$940=TYPE1)*(TYPE1&lt;&gt;"")+('Dvd Calendar'!$AA$940=TYPE2)*(TYPE2&lt;&gt;"")+('Dvd Calendar'!$AA$940=TYPE3)*(TYPE3&lt;&gt;"")+('Dvd Calendar'!$AA$940=TYPE4)*(TYPE4&lt;&gt;"")+('Dvd Calendar'!$AA$940=SPECIAL_LBL)*(INC_SPECIALS="Y"))=0,"",'Dvd Calendar'!$AA$938)))</f>
        <v/>
      </c>
      <c r="Z96" s="161">
        <f>IF(FB96="","",IF(ISNUMBER('Dvd Calendar'!$AB$938)=FALSE,"",IF((('Dvd Calendar'!$AB$940=TYPE1)*(TYPE1&lt;&gt;"")+('Dvd Calendar'!$AB$940=TYPE2)*(TYPE2&lt;&gt;"")+('Dvd Calendar'!$AB$940=TYPE3)*(TYPE3&lt;&gt;"")+('Dvd Calendar'!$AB$940=TYPE4)*(TYPE4&lt;&gt;"")+('Dvd Calendar'!$AB$940=SPECIAL_LBL)*(INC_SPECIALS="Y"))=0,"",'Dvd Calendar'!$AB$938)))</f>
        <v/>
      </c>
      <c r="AA96" s="161">
        <f>IF(FC96="","",IF(ISNUMBER('Dvd Calendar'!$AC$938)=FALSE,"",IF((('Dvd Calendar'!$AC$940=TYPE1)*(TYPE1&lt;&gt;"")+('Dvd Calendar'!$AC$940=TYPE2)*(TYPE2&lt;&gt;"")+('Dvd Calendar'!$AC$940=TYPE3)*(TYPE3&lt;&gt;"")+('Dvd Calendar'!$AC$940=TYPE4)*(TYPE4&lt;&gt;"")+('Dvd Calendar'!$AC$940=SPECIAL_LBL)*(INC_SPECIALS="Y"))=0,"",'Dvd Calendar'!$AC$938)))</f>
        <v/>
      </c>
      <c r="AB96" s="161">
        <f>IF(FD96="","",IF(ISNUMBER('Dvd Calendar'!$AD$938)=FALSE,"",IF((('Dvd Calendar'!$AD$940=TYPE1)*(TYPE1&lt;&gt;"")+('Dvd Calendar'!$AD$940=TYPE2)*(TYPE2&lt;&gt;"")+('Dvd Calendar'!$AD$940=TYPE3)*(TYPE3&lt;&gt;"")+('Dvd Calendar'!$AD$940=TYPE4)*(TYPE4&lt;&gt;"")+('Dvd Calendar'!$AD$940=SPECIAL_LBL)*(INC_SPECIALS="Y"))=0,"",'Dvd Calendar'!$AD$938)))</f>
        <v/>
      </c>
      <c r="AC96" s="161">
        <f>IF(FE96="","",IF(ISNUMBER('Dvd Calendar'!$AE$938)=FALSE,"",IF((('Dvd Calendar'!$AE$940=TYPE1)*(TYPE1&lt;&gt;"")+('Dvd Calendar'!$AE$940=TYPE2)*(TYPE2&lt;&gt;"")+('Dvd Calendar'!$AE$940=TYPE3)*(TYPE3&lt;&gt;"")+('Dvd Calendar'!$AE$940=TYPE4)*(TYPE4&lt;&gt;"")+('Dvd Calendar'!$AE$940=SPECIAL_LBL)*(INC_SPECIALS="Y"))=0,"",'Dvd Calendar'!$AE$938)))</f>
        <v/>
      </c>
      <c r="AD96" s="161">
        <f>IF(FF96="","",IF(ISNUMBER('Dvd Calendar'!$AF$938)=FALSE,"",IF((('Dvd Calendar'!$AF$940=TYPE1)*(TYPE1&lt;&gt;"")+('Dvd Calendar'!$AF$940=TYPE2)*(TYPE2&lt;&gt;"")+('Dvd Calendar'!$AF$940=TYPE3)*(TYPE3&lt;&gt;"")+('Dvd Calendar'!$AF$940=TYPE4)*(TYPE4&lt;&gt;"")+('Dvd Calendar'!$AF$940=SPECIAL_LBL)*(INC_SPECIALS="Y"))=0,"",'Dvd Calendar'!$AF$938)))</f>
        <v/>
      </c>
      <c r="AE96" s="161">
        <f>IF(FG96="","",IF(ISNUMBER('Dvd Calendar'!$AG$938)=FALSE,"",IF((('Dvd Calendar'!$AG$940=TYPE1)*(TYPE1&lt;&gt;"")+('Dvd Calendar'!$AG$940=TYPE2)*(TYPE2&lt;&gt;"")+('Dvd Calendar'!$AG$940=TYPE3)*(TYPE3&lt;&gt;"")+('Dvd Calendar'!$AG$940=TYPE4)*(TYPE4&lt;&gt;"")+('Dvd Calendar'!$AG$940=SPECIAL_LBL)*(INC_SPECIALS="Y"))=0,"",'Dvd Calendar'!$AG$938)))</f>
        <v/>
      </c>
      <c r="AF96" s="161">
        <f>IF(FH96="","",IF(ISNUMBER('Dvd Calendar'!$AH$938)=FALSE,"",IF((('Dvd Calendar'!$AH$940=TYPE1)*(TYPE1&lt;&gt;"")+('Dvd Calendar'!$AH$940=TYPE2)*(TYPE2&lt;&gt;"")+('Dvd Calendar'!$AH$940=TYPE3)*(TYPE3&lt;&gt;"")+('Dvd Calendar'!$AH$940=TYPE4)*(TYPE4&lt;&gt;"")+('Dvd Calendar'!$AH$940=SPECIAL_LBL)*(INC_SPECIALS="Y"))=0,"",'Dvd Calendar'!$AH$938)))</f>
        <v/>
      </c>
      <c r="AG96" s="161">
        <f>IF(FI96="","",IF(ISNUMBER('Dvd Calendar'!$AI$938)=FALSE,"",IF((('Dvd Calendar'!$AI$940=TYPE1)*(TYPE1&lt;&gt;"")+('Dvd Calendar'!$AI$940=TYPE2)*(TYPE2&lt;&gt;"")+('Dvd Calendar'!$AI$940=TYPE3)*(TYPE3&lt;&gt;"")+('Dvd Calendar'!$AI$940=TYPE4)*(TYPE4&lt;&gt;"")+('Dvd Calendar'!$AI$940=SPECIAL_LBL)*(INC_SPECIALS="Y"))=0,"",'Dvd Calendar'!$AI$938)))</f>
        <v/>
      </c>
      <c r="AH96" s="161">
        <f>IF(FJ96="","",IF(ISNUMBER('Dvd Calendar'!$AJ$938)=FALSE,"",IF((('Dvd Calendar'!$AJ$940=TYPE1)*(TYPE1&lt;&gt;"")+('Dvd Calendar'!$AJ$940=TYPE2)*(TYPE2&lt;&gt;"")+('Dvd Calendar'!$AJ$940=TYPE3)*(TYPE3&lt;&gt;"")+('Dvd Calendar'!$AJ$940=TYPE4)*(TYPE4&lt;&gt;"")+('Dvd Calendar'!$AJ$940=SPECIAL_LBL)*(INC_SPECIALS="Y"))=0,"",'Dvd Calendar'!$AJ$938)))</f>
        <v/>
      </c>
      <c r="AI96" s="161">
        <f>IF(FK96="","",IF(ISNUMBER('Dvd Calendar'!$AK$938)=FALSE,"",IF((('Dvd Calendar'!$AK$940=TYPE1)*(TYPE1&lt;&gt;"")+('Dvd Calendar'!$AK$940=TYPE2)*(TYPE2&lt;&gt;"")+('Dvd Calendar'!$AK$940=TYPE3)*(TYPE3&lt;&gt;"")+('Dvd Calendar'!$AK$940=TYPE4)*(TYPE4&lt;&gt;"")+('Dvd Calendar'!$AK$940=SPECIAL_LBL)*(INC_SPECIALS="Y"))=0,"",'Dvd Calendar'!$AK$938)))</f>
        <v/>
      </c>
      <c r="AJ96" s="161">
        <f>IF(FL96="","",IF(ISNUMBER('Dvd Calendar'!$AL$938)=FALSE,"",IF((('Dvd Calendar'!$AL$940=TYPE1)*(TYPE1&lt;&gt;"")+('Dvd Calendar'!$AL$940=TYPE2)*(TYPE2&lt;&gt;"")+('Dvd Calendar'!$AL$940=TYPE3)*(TYPE3&lt;&gt;"")+('Dvd Calendar'!$AL$940=TYPE4)*(TYPE4&lt;&gt;"")+('Dvd Calendar'!$AL$940=SPECIAL_LBL)*(INC_SPECIALS="Y"))=0,"",'Dvd Calendar'!$AL$938)))</f>
        <v/>
      </c>
      <c r="AK96" s="161">
        <f>IF(FM96="","",IF(ISNUMBER('Dvd Calendar'!$AM$938)=FALSE,"",IF((('Dvd Calendar'!$AM$940=TYPE1)*(TYPE1&lt;&gt;"")+('Dvd Calendar'!$AM$940=TYPE2)*(TYPE2&lt;&gt;"")+('Dvd Calendar'!$AM$940=TYPE3)*(TYPE3&lt;&gt;"")+('Dvd Calendar'!$AM$940=TYPE4)*(TYPE4&lt;&gt;"")+('Dvd Calendar'!$AM$940=SPECIAL_LBL)*(INC_SPECIALS="Y"))=0,"",'Dvd Calendar'!$AM$938)))</f>
        <v/>
      </c>
      <c r="AL96" s="161">
        <f>IF(FN96="","",IF(ISNUMBER('Dvd Calendar'!$AN$938)=FALSE,"",IF((('Dvd Calendar'!$AN$940=TYPE1)*(TYPE1&lt;&gt;"")+('Dvd Calendar'!$AN$940=TYPE2)*(TYPE2&lt;&gt;"")+('Dvd Calendar'!$AN$940=TYPE3)*(TYPE3&lt;&gt;"")+('Dvd Calendar'!$AN$940=TYPE4)*(TYPE4&lt;&gt;"")+('Dvd Calendar'!$AN$940=SPECIAL_LBL)*(INC_SPECIALS="Y"))=0,"",'Dvd Calendar'!$AN$938)))</f>
        <v/>
      </c>
      <c r="AM96" s="161">
        <f>IF(FO96="","",IF(ISNUMBER('Dvd Calendar'!$AO$938)=FALSE,"",IF((('Dvd Calendar'!$AO$940=TYPE1)*(TYPE1&lt;&gt;"")+('Dvd Calendar'!$AO$940=TYPE2)*(TYPE2&lt;&gt;"")+('Dvd Calendar'!$AO$940=TYPE3)*(TYPE3&lt;&gt;"")+('Dvd Calendar'!$AO$940=TYPE4)*(TYPE4&lt;&gt;"")+('Dvd Calendar'!$AO$940=SPECIAL_LBL)*(INC_SPECIALS="Y"))=0,"",'Dvd Calendar'!$AO$938)))</f>
        <v/>
      </c>
      <c r="AN96" s="161">
        <f>IF(FP96="","",IF(ISNUMBER('Dvd Calendar'!$AP$938)=FALSE,"",IF((('Dvd Calendar'!$AP$940=TYPE1)*(TYPE1&lt;&gt;"")+('Dvd Calendar'!$AP$940=TYPE2)*(TYPE2&lt;&gt;"")+('Dvd Calendar'!$AP$940=TYPE3)*(TYPE3&lt;&gt;"")+('Dvd Calendar'!$AP$940=TYPE4)*(TYPE4&lt;&gt;"")+('Dvd Calendar'!$AP$940=SPECIAL_LBL)*(INC_SPECIALS="Y"))=0,"",'Dvd Calendar'!$AP$938)))</f>
        <v/>
      </c>
      <c r="AO96" s="161">
        <f>IF(FQ96="","",IF(ISNUMBER('Dvd Calendar'!$AQ$938)=FALSE,"",IF((('Dvd Calendar'!$AQ$940=TYPE1)*(TYPE1&lt;&gt;"")+('Dvd Calendar'!$AQ$940=TYPE2)*(TYPE2&lt;&gt;"")+('Dvd Calendar'!$AQ$940=TYPE3)*(TYPE3&lt;&gt;"")+('Dvd Calendar'!$AQ$940=TYPE4)*(TYPE4&lt;&gt;"")+('Dvd Calendar'!$AQ$940=SPECIAL_LBL)*(INC_SPECIALS="Y"))=0,"",'Dvd Calendar'!$AQ$938)))</f>
        <v/>
      </c>
      <c r="AP96" s="161">
        <f>IF(FR96="","",IF(ISNUMBER('Dvd Calendar'!$AR$938)=FALSE,"",IF((('Dvd Calendar'!$AR$940=TYPE1)*(TYPE1&lt;&gt;"")+('Dvd Calendar'!$AR$940=TYPE2)*(TYPE2&lt;&gt;"")+('Dvd Calendar'!$AR$940=TYPE3)*(TYPE3&lt;&gt;"")+('Dvd Calendar'!$AR$940=TYPE4)*(TYPE4&lt;&gt;"")+('Dvd Calendar'!$AR$940=SPECIAL_LBL)*(INC_SPECIALS="Y"))=0,"",'Dvd Calendar'!$AR$938)))</f>
        <v/>
      </c>
      <c r="AQ96" s="161">
        <f>IF(FS96="","",IF(ISNUMBER('Dvd Calendar'!$E$943)=FALSE,"",'Dvd Calendar'!$E$943))</f>
        <v/>
      </c>
      <c r="AR96" s="161">
        <f>IF(FT96="","",IF(ISNUMBER('Dvd Calendar'!$F$943)=FALSE,"",'Dvd Calendar'!$F$943))</f>
        <v/>
      </c>
      <c r="AS96" s="161">
        <f>IF(FU96="","",IF(ISNUMBER('Dvd Calendar'!$G$943)=FALSE,"",'Dvd Calendar'!$G$943))</f>
        <v/>
      </c>
      <c r="AT96" s="161">
        <f>IF(FV96="","",IF(ISNUMBER('Dvd Calendar'!$H$943)=FALSE,"",'Dvd Calendar'!$H$943))</f>
        <v/>
      </c>
      <c r="AU96" s="161">
        <f>IF(FW96="","",IF(ISNUMBER('Dvd Calendar'!$I$943)=FALSE,"",'Dvd Calendar'!$I$943))</f>
        <v/>
      </c>
      <c r="AV96" s="161">
        <f>IF(FX96="","",IF(ISNUMBER('Dvd Calendar'!$J$943)=FALSE,"",'Dvd Calendar'!$J$943))</f>
        <v/>
      </c>
      <c r="AW96" s="161">
        <f>IF(FY96="","",IF(ISNUMBER('Dvd Calendar'!$K$943)=FALSE,"",'Dvd Calendar'!$K$943))</f>
        <v/>
      </c>
      <c r="AX96" s="161">
        <f>IF(FZ96="","",IF(ISNUMBER('Dvd Calendar'!$L$943)=FALSE,"",'Dvd Calendar'!$L$943))</f>
        <v/>
      </c>
      <c r="AY96" s="161">
        <f>IF(GA96="","",IF(ISNUMBER('Dvd Calendar'!$M$943)=FALSE,"",'Dvd Calendar'!$M$943))</f>
        <v/>
      </c>
      <c r="AZ96" s="161">
        <f>IF(GB96="","",IF(ISNUMBER('Dvd Calendar'!$N$943)=FALSE,"",'Dvd Calendar'!$N$943))</f>
        <v/>
      </c>
      <c r="BA96" s="161">
        <f>IF(GC96="","",IF(ISNUMBER('Dvd Calendar'!$O$943)=FALSE,"",'Dvd Calendar'!$O$943))</f>
        <v/>
      </c>
      <c r="BB96" s="161">
        <f>IF(GD96="","",IF(ISNUMBER('Dvd Calendar'!$P$943)=FALSE,"",'Dvd Calendar'!$P$943))</f>
        <v/>
      </c>
      <c r="BC96" s="161">
        <f>IF(GE96="","",IF(ISNUMBER('Dvd Calendar'!$Q$943)=FALSE,"",'Dvd Calendar'!$Q$943))</f>
        <v/>
      </c>
      <c r="BD96" s="161">
        <f>IF(GF96="","",IF(ISNUMBER('Dvd Calendar'!$R$943)=FALSE,"",'Dvd Calendar'!$R$943))</f>
        <v/>
      </c>
      <c r="BE96" s="161">
        <f>IF(GG96="","",IF(ISNUMBER('Dvd Calendar'!$S$943)=FALSE,"",'Dvd Calendar'!$S$943))</f>
        <v/>
      </c>
      <c r="BF96" s="161">
        <f>IF(GH96="","",IF(ISNUMBER('Dvd Calendar'!$T$943)=FALSE,"",'Dvd Calendar'!$T$943))</f>
        <v/>
      </c>
      <c r="BG96" s="161">
        <f>IF(GI96="","",IF(ISNUMBER('Dvd Calendar'!$U$943)=FALSE,"",'Dvd Calendar'!$U$943))</f>
        <v/>
      </c>
      <c r="BH96" s="161">
        <f>IF(GJ96="","",IF(ISNUMBER('Dvd Calendar'!$V$943)=FALSE,"",'Dvd Calendar'!$V$943))</f>
        <v/>
      </c>
      <c r="BI96" s="161">
        <f>IF(GK96="","",IF(ISNUMBER('Dvd Calendar'!$W$943)=FALSE,"",'Dvd Calendar'!$W$943))</f>
        <v/>
      </c>
      <c r="BJ96" s="161">
        <f>IF(GL96="","",IF(ISNUMBER('Dvd Calendar'!$X$943)=FALSE,"",'Dvd Calendar'!$X$943))</f>
        <v/>
      </c>
      <c r="BK96" s="161">
        <f>IF(GM96="","",IF(ISNUMBER('Dvd Calendar'!$Y$943)=FALSE,"",'Dvd Calendar'!$Y$943))</f>
        <v/>
      </c>
      <c r="BL96" s="161">
        <f>IF(GN96="","",IF(ISNUMBER('Dvd Calendar'!$Z$943)=FALSE,"",'Dvd Calendar'!$Z$943))</f>
        <v/>
      </c>
      <c r="BM96" s="161">
        <f>IF(GO96="","",IF(ISNUMBER('Dvd Calendar'!$AA$943)=FALSE,"",'Dvd Calendar'!$AA$943))</f>
        <v/>
      </c>
      <c r="BN96" s="161">
        <f>IF(GP96="","",IF(ISNUMBER('Dvd Calendar'!$AB$943)=FALSE,"",'Dvd Calendar'!$AB$943))</f>
        <v/>
      </c>
      <c r="BO96" s="161">
        <f>IF(GQ96="","",IF(ISNUMBER('Dvd Calendar'!$AC$943)=FALSE,"",'Dvd Calendar'!$AC$943))</f>
        <v/>
      </c>
      <c r="BQ96" s="161">
        <f>IF(C96="","",IFERROR(C96*HSI!$B$91*HSI!$G$91/HSI!$B$3,""))</f>
        <v/>
      </c>
      <c r="BR96" s="161">
        <f>IF(D96="","",IFERROR(D96*HSI!$B$91*HSI!$G$91/HSI!$B$3,""))</f>
        <v/>
      </c>
      <c r="BS96" s="161">
        <f>IF(E96="","",IFERROR(E96*HSI!$B$91*HSI!$G$91/HSI!$B$3,""))</f>
        <v/>
      </c>
      <c r="BT96" s="161">
        <f>IF(F96="","",IFERROR(F96*HSI!$B$91*HSI!$G$91/HSI!$B$3,""))</f>
        <v/>
      </c>
      <c r="BU96" s="161">
        <f>IF(G96="","",IFERROR(G96*HSI!$B$91*HSI!$G$91/HSI!$B$3,""))</f>
        <v/>
      </c>
      <c r="BV96" s="161">
        <f>IF(H96="","",IFERROR(H96*HSI!$B$91*HSI!$G$91/HSI!$B$3,""))</f>
        <v/>
      </c>
      <c r="BW96" s="161">
        <f>IF(I96="","",IFERROR(I96*HSI!$B$91*HSI!$G$91/HSI!$B$3,""))</f>
        <v/>
      </c>
      <c r="BX96" s="161">
        <f>IF(J96="","",IFERROR(J96*HSI!$B$91*HSI!$G$91/HSI!$B$3,""))</f>
        <v/>
      </c>
      <c r="BY96" s="161">
        <f>IF(K96="","",IFERROR(K96*HSI!$B$91*HSI!$G$91/HSI!$B$3,""))</f>
        <v/>
      </c>
      <c r="BZ96" s="161">
        <f>IF(L96="","",IFERROR(L96*HSI!$B$91*HSI!$G$91/HSI!$B$3,""))</f>
        <v/>
      </c>
      <c r="CA96" s="161">
        <f>IF(M96="","",IFERROR(M96*HSI!$B$91*HSI!$G$91/HSI!$B$3,""))</f>
        <v/>
      </c>
      <c r="CB96" s="161">
        <f>IF(N96="","",IFERROR(N96*HSI!$B$91*HSI!$G$91/HSI!$B$3,""))</f>
        <v/>
      </c>
      <c r="CC96" s="161">
        <f>IF(O96="","",IFERROR(O96*HSI!$B$91*HSI!$G$91/HSI!$B$3,""))</f>
        <v/>
      </c>
      <c r="CD96" s="161">
        <f>IF(P96="","",IFERROR(P96*HSI!$B$91*HSI!$G$91/HSI!$B$3,""))</f>
        <v/>
      </c>
      <c r="CE96" s="161">
        <f>IF(Q96="","",IFERROR(Q96*HSI!$B$91*HSI!$G$91/HSI!$B$3,""))</f>
        <v/>
      </c>
      <c r="CF96" s="161">
        <f>IF(R96="","",IFERROR(R96*HSI!$B$91*HSI!$G$91/HSI!$B$3,""))</f>
        <v/>
      </c>
      <c r="CG96" s="161">
        <f>IF(S96="","",IFERROR(S96*HSI!$B$91*HSI!$G$91/HSI!$B$3,""))</f>
        <v/>
      </c>
      <c r="CH96" s="161">
        <f>IF(T96="","",IFERROR(T96*HSI!$B$91*HSI!$G$91/HSI!$B$3,""))</f>
        <v/>
      </c>
      <c r="CI96" s="161">
        <f>IF(U96="","",IFERROR(U96*HSI!$B$91*HSI!$G$91/HSI!$B$3,""))</f>
        <v/>
      </c>
      <c r="CJ96" s="161">
        <f>IF(V96="","",IFERROR(V96*HSI!$B$91*HSI!$G$91/HSI!$B$3,""))</f>
        <v/>
      </c>
      <c r="CK96" s="161">
        <f>IF(W96="","",IFERROR(W96*HSI!$B$91*HSI!$G$91/HSI!$B$3,""))</f>
        <v/>
      </c>
      <c r="CL96" s="161">
        <f>IF(X96="","",IFERROR(X96*HSI!$B$91*HSI!$G$91/HSI!$B$3,""))</f>
        <v/>
      </c>
      <c r="CM96" s="161">
        <f>IF(Y96="","",IFERROR(Y96*HSI!$B$91*HSI!$G$91/HSI!$B$3,""))</f>
        <v/>
      </c>
      <c r="CN96" s="161">
        <f>IF(Z96="","",IFERROR(Z96*HSI!$B$91*HSI!$G$91/HSI!$B$3,""))</f>
        <v/>
      </c>
      <c r="CO96" s="161">
        <f>IF(AA96="","",IFERROR(AA96*HSI!$B$91*HSI!$G$91/HSI!$B$3,""))</f>
        <v/>
      </c>
      <c r="CP96" s="161">
        <f>IF(AB96="","",IFERROR(AB96*HSI!$B$91*HSI!$G$91/HSI!$B$3,""))</f>
        <v/>
      </c>
      <c r="CQ96" s="161">
        <f>IF(AC96="","",IFERROR(AC96*HSI!$B$91*HSI!$G$91/HSI!$B$3,""))</f>
        <v/>
      </c>
      <c r="CR96" s="161">
        <f>IF(AD96="","",IFERROR(AD96*HSI!$B$91*HSI!$G$91/HSI!$B$3,""))</f>
        <v/>
      </c>
      <c r="CS96" s="161">
        <f>IF(AE96="","",IFERROR(AE96*HSI!$B$91*HSI!$G$91/HSI!$B$3,""))</f>
        <v/>
      </c>
      <c r="CT96" s="161">
        <f>IF(AF96="","",IFERROR(AF96*HSI!$B$91*HSI!$G$91/HSI!$B$3,""))</f>
        <v/>
      </c>
      <c r="CU96" s="161">
        <f>IF(AG96="","",IFERROR(AG96*HSI!$B$91*HSI!$G$91/HSI!$B$3,""))</f>
        <v/>
      </c>
      <c r="CV96" s="161">
        <f>IF(AH96="","",IFERROR(AH96*HSI!$B$91*HSI!$G$91/HSI!$B$3,""))</f>
        <v/>
      </c>
      <c r="CW96" s="161">
        <f>IF(AI96="","",IFERROR(AI96*HSI!$B$91*HSI!$G$91/HSI!$B$3,""))</f>
        <v/>
      </c>
      <c r="CX96" s="161">
        <f>IF(AJ96="","",IFERROR(AJ96*HSI!$B$91*HSI!$G$91/HSI!$B$3,""))</f>
        <v/>
      </c>
      <c r="CY96" s="161">
        <f>IF(AK96="","",IFERROR(AK96*HSI!$B$91*HSI!$G$91/HSI!$B$3,""))</f>
        <v/>
      </c>
      <c r="CZ96" s="161">
        <f>IF(AL96="","",IFERROR(AL96*HSI!$B$91*HSI!$G$91/HSI!$B$3,""))</f>
        <v/>
      </c>
      <c r="DA96" s="161">
        <f>IF(AM96="","",IFERROR(AM96*HSI!$B$91*HSI!$G$91/HSI!$B$3,""))</f>
        <v/>
      </c>
      <c r="DB96" s="161">
        <f>IF(AN96="","",IFERROR(AN96*HSI!$B$91*HSI!$G$91/HSI!$B$3,""))</f>
        <v/>
      </c>
      <c r="DC96" s="161">
        <f>IF(AO96="","",IFERROR(AO96*HSI!$B$91*HSI!$G$91/HSI!$B$3,""))</f>
        <v/>
      </c>
      <c r="DD96" s="161">
        <f>IF(AP96="","",IFERROR(AP96*HSI!$B$91*HSI!$G$91/HSI!$B$3,""))</f>
        <v/>
      </c>
      <c r="DE96" s="161">
        <f>IF(AQ96="","",IFERROR(AQ96*HSI!$B$91*HSI!$G$91/HSI!$B$3,""))</f>
        <v/>
      </c>
      <c r="DF96" s="161">
        <f>IF(AR96="","",IFERROR(AR96*HSI!$B$91*HSI!$G$91/HSI!$B$3,""))</f>
        <v/>
      </c>
      <c r="DG96" s="161">
        <f>IF(AS96="","",IFERROR(AS96*HSI!$B$91*HSI!$G$91/HSI!$B$3,""))</f>
        <v/>
      </c>
      <c r="DH96" s="161">
        <f>IF(AT96="","",IFERROR(AT96*HSI!$B$91*HSI!$G$91/HSI!$B$3,""))</f>
        <v/>
      </c>
      <c r="DI96" s="161">
        <f>IF(AU96="","",IFERROR(AU96*HSI!$B$91*HSI!$G$91/HSI!$B$3,""))</f>
        <v/>
      </c>
      <c r="DJ96" s="161">
        <f>IF(AV96="","",IFERROR(AV96*HSI!$B$91*HSI!$G$91/HSI!$B$3,""))</f>
        <v/>
      </c>
      <c r="DK96" s="161">
        <f>IF(AW96="","",IFERROR(AW96*HSI!$B$91*HSI!$G$91/HSI!$B$3,""))</f>
        <v/>
      </c>
      <c r="DL96" s="161">
        <f>IF(AX96="","",IFERROR(AX96*HSI!$B$91*HSI!$G$91/HSI!$B$3,""))</f>
        <v/>
      </c>
      <c r="DM96" s="161">
        <f>IF(AY96="","",IFERROR(AY96*HSI!$B$91*HSI!$G$91/HSI!$B$3,""))</f>
        <v/>
      </c>
      <c r="DN96" s="161">
        <f>IF(AZ96="","",IFERROR(AZ96*HSI!$B$91*HSI!$G$91/HSI!$B$3,""))</f>
        <v/>
      </c>
      <c r="DO96" s="161">
        <f>IF(BA96="","",IFERROR(BA96*HSI!$B$91*HSI!$G$91/HSI!$B$3,""))</f>
        <v/>
      </c>
      <c r="DP96" s="161">
        <f>IF(BB96="","",IFERROR(BB96*HSI!$B$91*HSI!$G$91/HSI!$B$3,""))</f>
        <v/>
      </c>
      <c r="DQ96" s="161">
        <f>IF(BC96="","",IFERROR(BC96*HSI!$B$91*HSI!$G$91/HSI!$B$3,""))</f>
        <v/>
      </c>
      <c r="DR96" s="161">
        <f>IF(BD96="","",IFERROR(BD96*HSI!$B$91*HSI!$G$91/HSI!$B$3,""))</f>
        <v/>
      </c>
      <c r="DS96" s="161">
        <f>IF(BE96="","",IFERROR(BE96*HSI!$B$91*HSI!$G$91/HSI!$B$3,""))</f>
        <v/>
      </c>
      <c r="DT96" s="161">
        <f>IF(BF96="","",IFERROR(BF96*HSI!$B$91*HSI!$G$91/HSI!$B$3,""))</f>
        <v/>
      </c>
      <c r="DU96" s="161">
        <f>IF(BG96="","",IFERROR(BG96*HSI!$B$91*HSI!$G$91/HSI!$B$3,""))</f>
        <v/>
      </c>
      <c r="DV96" s="161">
        <f>IF(BH96="","",IFERROR(BH96*HSI!$B$91*HSI!$G$91/HSI!$B$3,""))</f>
        <v/>
      </c>
      <c r="DW96" s="161">
        <f>IF(BI96="","",IFERROR(BI96*HSI!$B$91*HSI!$G$91/HSI!$B$3,""))</f>
        <v/>
      </c>
      <c r="DX96" s="161">
        <f>IF(BJ96="","",IFERROR(BJ96*HSI!$B$91*HSI!$G$91/HSI!$B$3,""))</f>
        <v/>
      </c>
      <c r="DY96" s="161">
        <f>IF(BK96="","",IFERROR(BK96*HSI!$B$91*HSI!$G$91/HSI!$B$3,""))</f>
        <v/>
      </c>
      <c r="DZ96" s="161">
        <f>IF(BL96="","",IFERROR(BL96*HSI!$B$91*HSI!$G$91/HSI!$B$3,""))</f>
        <v/>
      </c>
      <c r="EA96" s="161">
        <f>IF(BM96="","",IFERROR(BM96*HSI!$B$91*HSI!$G$91/HSI!$B$3,""))</f>
        <v/>
      </c>
      <c r="EB96" s="161">
        <f>IF(BN96="","",IFERROR(BN96*HSI!$B$91*HSI!$G$91/HSI!$B$3,""))</f>
        <v/>
      </c>
      <c r="EC96" s="161">
        <f>IF(BO96="","",IFERROR(BO96*HSI!$B$91*HSI!$G$91/HSI!$B$3,""))</f>
        <v/>
      </c>
      <c r="EE96" s="121">
        <f>IF(N('Dvd Calendar'!$E$935)=0,"",IF(('Dvd Calendar'!$E$935&gt;=GRID_FROM)*('Dvd Calendar'!$E$935&lt;=GRID_TO)*((('Dvd Calendar'!$E$935&lt;=VAL_DATE)+(COUNTIF('Dvd Calendar'!$E$942:$AR$942,'Dvd Calendar'!$E$935)=0))&gt;0)=0,"",'Dvd Calendar'!$E$935*1000000000+ISNUMBER('Dvd Calendar'!$E$938)*100000000+('Dvd Calendar'!$E$940=SPECIAL_LBL)*10000000+(N('Dvd Calendar'!$E$934)&gt;0)*(N('Dvd Calendar'!$E$934)&lt;=VAL_SERIAL)*1000000+85*1000+1))</f>
        <v/>
      </c>
      <c r="EF96" s="121">
        <f>IF(N('Dvd Calendar'!$F$935)=0,"",IF(('Dvd Calendar'!$F$935&gt;=GRID_FROM)*('Dvd Calendar'!$F$935&lt;=GRID_TO)*((('Dvd Calendar'!$F$935&lt;=VAL_DATE)+(COUNTIF('Dvd Calendar'!$E$942:$AR$942,'Dvd Calendar'!$F$935)=0))&gt;0)=0,"",'Dvd Calendar'!$F$935*1000000000+ISNUMBER('Dvd Calendar'!$F$938)*100000000+('Dvd Calendar'!$F$940=SPECIAL_LBL)*10000000+(N('Dvd Calendar'!$F$934)&gt;0)*(N('Dvd Calendar'!$F$934)&lt;=VAL_SERIAL)*1000000+85*1000+2))</f>
        <v/>
      </c>
      <c r="EG96" s="121">
        <f>IF(N('Dvd Calendar'!$G$935)=0,"",IF(('Dvd Calendar'!$G$935&gt;=GRID_FROM)*('Dvd Calendar'!$G$935&lt;=GRID_TO)*((('Dvd Calendar'!$G$935&lt;=VAL_DATE)+(COUNTIF('Dvd Calendar'!$E$942:$AR$942,'Dvd Calendar'!$G$935)=0))&gt;0)=0,"",'Dvd Calendar'!$G$935*1000000000+ISNUMBER('Dvd Calendar'!$G$938)*100000000+('Dvd Calendar'!$G$940=SPECIAL_LBL)*10000000+(N('Dvd Calendar'!$G$934)&gt;0)*(N('Dvd Calendar'!$G$934)&lt;=VAL_SERIAL)*1000000+85*1000+3))</f>
        <v/>
      </c>
      <c r="EH96" s="121">
        <f>IF(N('Dvd Calendar'!$H$935)=0,"",IF(('Dvd Calendar'!$H$935&gt;=GRID_FROM)*('Dvd Calendar'!$H$935&lt;=GRID_TO)*((('Dvd Calendar'!$H$935&lt;=VAL_DATE)+(COUNTIF('Dvd Calendar'!$E$942:$AR$942,'Dvd Calendar'!$H$935)=0))&gt;0)=0,"",'Dvd Calendar'!$H$935*1000000000+ISNUMBER('Dvd Calendar'!$H$938)*100000000+('Dvd Calendar'!$H$940=SPECIAL_LBL)*10000000+(N('Dvd Calendar'!$H$934)&gt;0)*(N('Dvd Calendar'!$H$934)&lt;=VAL_SERIAL)*1000000+85*1000+4))</f>
        <v/>
      </c>
      <c r="EI96" s="121">
        <f>IF(N('Dvd Calendar'!$I$935)=0,"",IF(('Dvd Calendar'!$I$935&gt;=GRID_FROM)*('Dvd Calendar'!$I$935&lt;=GRID_TO)*((('Dvd Calendar'!$I$935&lt;=VAL_DATE)+(COUNTIF('Dvd Calendar'!$E$942:$AR$942,'Dvd Calendar'!$I$935)=0))&gt;0)=0,"",'Dvd Calendar'!$I$935*1000000000+ISNUMBER('Dvd Calendar'!$I$938)*100000000+('Dvd Calendar'!$I$940=SPECIAL_LBL)*10000000+(N('Dvd Calendar'!$I$934)&gt;0)*(N('Dvd Calendar'!$I$934)&lt;=VAL_SERIAL)*1000000+85*1000+5))</f>
        <v/>
      </c>
      <c r="EJ96" s="121">
        <f>IF(N('Dvd Calendar'!$J$935)=0,"",IF(('Dvd Calendar'!$J$935&gt;=GRID_FROM)*('Dvd Calendar'!$J$935&lt;=GRID_TO)*((('Dvd Calendar'!$J$935&lt;=VAL_DATE)+(COUNTIF('Dvd Calendar'!$E$942:$AR$942,'Dvd Calendar'!$J$935)=0))&gt;0)=0,"",'Dvd Calendar'!$J$935*1000000000+ISNUMBER('Dvd Calendar'!$J$938)*100000000+('Dvd Calendar'!$J$940=SPECIAL_LBL)*10000000+(N('Dvd Calendar'!$J$934)&gt;0)*(N('Dvd Calendar'!$J$934)&lt;=VAL_SERIAL)*1000000+85*1000+6))</f>
        <v/>
      </c>
      <c r="EK96" s="121">
        <f>IF(N('Dvd Calendar'!$K$935)=0,"",IF(('Dvd Calendar'!$K$935&gt;=GRID_FROM)*('Dvd Calendar'!$K$935&lt;=GRID_TO)*((('Dvd Calendar'!$K$935&lt;=VAL_DATE)+(COUNTIF('Dvd Calendar'!$E$942:$AR$942,'Dvd Calendar'!$K$935)=0))&gt;0)=0,"",'Dvd Calendar'!$K$935*1000000000+ISNUMBER('Dvd Calendar'!$K$938)*100000000+('Dvd Calendar'!$K$940=SPECIAL_LBL)*10000000+(N('Dvd Calendar'!$K$934)&gt;0)*(N('Dvd Calendar'!$K$934)&lt;=VAL_SERIAL)*1000000+85*1000+7))</f>
        <v/>
      </c>
      <c r="EL96" s="121">
        <f>IF(N('Dvd Calendar'!$L$935)=0,"",IF(('Dvd Calendar'!$L$935&gt;=GRID_FROM)*('Dvd Calendar'!$L$935&lt;=GRID_TO)*((('Dvd Calendar'!$L$935&lt;=VAL_DATE)+(COUNTIF('Dvd Calendar'!$E$942:$AR$942,'Dvd Calendar'!$L$935)=0))&gt;0)=0,"",'Dvd Calendar'!$L$935*1000000000+ISNUMBER('Dvd Calendar'!$L$938)*100000000+('Dvd Calendar'!$L$940=SPECIAL_LBL)*10000000+(N('Dvd Calendar'!$L$934)&gt;0)*(N('Dvd Calendar'!$L$934)&lt;=VAL_SERIAL)*1000000+85*1000+8))</f>
        <v/>
      </c>
      <c r="EM96" s="121">
        <f>IF(N('Dvd Calendar'!$M$935)=0,"",IF(('Dvd Calendar'!$M$935&gt;=GRID_FROM)*('Dvd Calendar'!$M$935&lt;=GRID_TO)*((('Dvd Calendar'!$M$935&lt;=VAL_DATE)+(COUNTIF('Dvd Calendar'!$E$942:$AR$942,'Dvd Calendar'!$M$935)=0))&gt;0)=0,"",'Dvd Calendar'!$M$935*1000000000+ISNUMBER('Dvd Calendar'!$M$938)*100000000+('Dvd Calendar'!$M$940=SPECIAL_LBL)*10000000+(N('Dvd Calendar'!$M$934)&gt;0)*(N('Dvd Calendar'!$M$934)&lt;=VAL_SERIAL)*1000000+85*1000+9))</f>
        <v/>
      </c>
      <c r="EN96" s="121">
        <f>IF(N('Dvd Calendar'!$N$935)=0,"",IF(('Dvd Calendar'!$N$935&gt;=GRID_FROM)*('Dvd Calendar'!$N$935&lt;=GRID_TO)*((('Dvd Calendar'!$N$935&lt;=VAL_DATE)+(COUNTIF('Dvd Calendar'!$E$942:$AR$942,'Dvd Calendar'!$N$935)=0))&gt;0)=0,"",'Dvd Calendar'!$N$935*1000000000+ISNUMBER('Dvd Calendar'!$N$938)*100000000+('Dvd Calendar'!$N$940=SPECIAL_LBL)*10000000+(N('Dvd Calendar'!$N$934)&gt;0)*(N('Dvd Calendar'!$N$934)&lt;=VAL_SERIAL)*1000000+85*1000+10))</f>
        <v/>
      </c>
      <c r="EO96" s="121">
        <f>IF(N('Dvd Calendar'!$O$935)=0,"",IF(('Dvd Calendar'!$O$935&gt;=GRID_FROM)*('Dvd Calendar'!$O$935&lt;=GRID_TO)*((('Dvd Calendar'!$O$935&lt;=VAL_DATE)+(COUNTIF('Dvd Calendar'!$E$942:$AR$942,'Dvd Calendar'!$O$935)=0))&gt;0)=0,"",'Dvd Calendar'!$O$935*1000000000+ISNUMBER('Dvd Calendar'!$O$938)*100000000+('Dvd Calendar'!$O$940=SPECIAL_LBL)*10000000+(N('Dvd Calendar'!$O$934)&gt;0)*(N('Dvd Calendar'!$O$934)&lt;=VAL_SERIAL)*1000000+85*1000+11))</f>
        <v/>
      </c>
      <c r="EP96" s="121">
        <f>IF(N('Dvd Calendar'!$P$935)=0,"",IF(('Dvd Calendar'!$P$935&gt;=GRID_FROM)*('Dvd Calendar'!$P$935&lt;=GRID_TO)*((('Dvd Calendar'!$P$935&lt;=VAL_DATE)+(COUNTIF('Dvd Calendar'!$E$942:$AR$942,'Dvd Calendar'!$P$935)=0))&gt;0)=0,"",'Dvd Calendar'!$P$935*1000000000+ISNUMBER('Dvd Calendar'!$P$938)*100000000+('Dvd Calendar'!$P$940=SPECIAL_LBL)*10000000+(N('Dvd Calendar'!$P$934)&gt;0)*(N('Dvd Calendar'!$P$934)&lt;=VAL_SERIAL)*1000000+85*1000+12))</f>
        <v/>
      </c>
      <c r="EQ96" s="121">
        <f>IF(N('Dvd Calendar'!$Q$935)=0,"",IF(('Dvd Calendar'!$Q$935&gt;=GRID_FROM)*('Dvd Calendar'!$Q$935&lt;=GRID_TO)*((('Dvd Calendar'!$Q$935&lt;=VAL_DATE)+(COUNTIF('Dvd Calendar'!$E$942:$AR$942,'Dvd Calendar'!$Q$935)=0))&gt;0)=0,"",'Dvd Calendar'!$Q$935*1000000000+ISNUMBER('Dvd Calendar'!$Q$938)*100000000+('Dvd Calendar'!$Q$940=SPECIAL_LBL)*10000000+(N('Dvd Calendar'!$Q$934)&gt;0)*(N('Dvd Calendar'!$Q$934)&lt;=VAL_SERIAL)*1000000+85*1000+13))</f>
        <v/>
      </c>
      <c r="ER96" s="121">
        <f>IF(N('Dvd Calendar'!$R$935)=0,"",IF(('Dvd Calendar'!$R$935&gt;=GRID_FROM)*('Dvd Calendar'!$R$935&lt;=GRID_TO)*((('Dvd Calendar'!$R$935&lt;=VAL_DATE)+(COUNTIF('Dvd Calendar'!$E$942:$AR$942,'Dvd Calendar'!$R$935)=0))&gt;0)=0,"",'Dvd Calendar'!$R$935*1000000000+ISNUMBER('Dvd Calendar'!$R$938)*100000000+('Dvd Calendar'!$R$940=SPECIAL_LBL)*10000000+(N('Dvd Calendar'!$R$934)&gt;0)*(N('Dvd Calendar'!$R$934)&lt;=VAL_SERIAL)*1000000+85*1000+14))</f>
        <v/>
      </c>
      <c r="ES96" s="121">
        <f>IF(N('Dvd Calendar'!$S$935)=0,"",IF(('Dvd Calendar'!$S$935&gt;=GRID_FROM)*('Dvd Calendar'!$S$935&lt;=GRID_TO)*((('Dvd Calendar'!$S$935&lt;=VAL_DATE)+(COUNTIF('Dvd Calendar'!$E$942:$AR$942,'Dvd Calendar'!$S$935)=0))&gt;0)=0,"",'Dvd Calendar'!$S$935*1000000000+ISNUMBER('Dvd Calendar'!$S$938)*100000000+('Dvd Calendar'!$S$940=SPECIAL_LBL)*10000000+(N('Dvd Calendar'!$S$934)&gt;0)*(N('Dvd Calendar'!$S$934)&lt;=VAL_SERIAL)*1000000+85*1000+15))</f>
        <v/>
      </c>
      <c r="ET96" s="121">
        <f>IF(N('Dvd Calendar'!$T$935)=0,"",IF(('Dvd Calendar'!$T$935&gt;=GRID_FROM)*('Dvd Calendar'!$T$935&lt;=GRID_TO)*((('Dvd Calendar'!$T$935&lt;=VAL_DATE)+(COUNTIF('Dvd Calendar'!$E$942:$AR$942,'Dvd Calendar'!$T$935)=0))&gt;0)=0,"",'Dvd Calendar'!$T$935*1000000000+ISNUMBER('Dvd Calendar'!$T$938)*100000000+('Dvd Calendar'!$T$940=SPECIAL_LBL)*10000000+(N('Dvd Calendar'!$T$934)&gt;0)*(N('Dvd Calendar'!$T$934)&lt;=VAL_SERIAL)*1000000+85*1000+16))</f>
        <v/>
      </c>
      <c r="EU96" s="121">
        <f>IF(N('Dvd Calendar'!$U$935)=0,"",IF(('Dvd Calendar'!$U$935&gt;=GRID_FROM)*('Dvd Calendar'!$U$935&lt;=GRID_TO)*((('Dvd Calendar'!$U$935&lt;=VAL_DATE)+(COUNTIF('Dvd Calendar'!$E$942:$AR$942,'Dvd Calendar'!$U$935)=0))&gt;0)=0,"",'Dvd Calendar'!$U$935*1000000000+ISNUMBER('Dvd Calendar'!$U$938)*100000000+('Dvd Calendar'!$U$940=SPECIAL_LBL)*10000000+(N('Dvd Calendar'!$U$934)&gt;0)*(N('Dvd Calendar'!$U$934)&lt;=VAL_SERIAL)*1000000+85*1000+17))</f>
        <v/>
      </c>
      <c r="EV96" s="121">
        <f>IF(N('Dvd Calendar'!$V$935)=0,"",IF(('Dvd Calendar'!$V$935&gt;=GRID_FROM)*('Dvd Calendar'!$V$935&lt;=GRID_TO)*((('Dvd Calendar'!$V$935&lt;=VAL_DATE)+(COUNTIF('Dvd Calendar'!$E$942:$AR$942,'Dvd Calendar'!$V$935)=0))&gt;0)=0,"",'Dvd Calendar'!$V$935*1000000000+ISNUMBER('Dvd Calendar'!$V$938)*100000000+('Dvd Calendar'!$V$940=SPECIAL_LBL)*10000000+(N('Dvd Calendar'!$V$934)&gt;0)*(N('Dvd Calendar'!$V$934)&lt;=VAL_SERIAL)*1000000+85*1000+18))</f>
        <v/>
      </c>
      <c r="EW96" s="121">
        <f>IF(N('Dvd Calendar'!$W$935)=0,"",IF(('Dvd Calendar'!$W$935&gt;=GRID_FROM)*('Dvd Calendar'!$W$935&lt;=GRID_TO)*((('Dvd Calendar'!$W$935&lt;=VAL_DATE)+(COUNTIF('Dvd Calendar'!$E$942:$AR$942,'Dvd Calendar'!$W$935)=0))&gt;0)=0,"",'Dvd Calendar'!$W$935*1000000000+ISNUMBER('Dvd Calendar'!$W$938)*100000000+('Dvd Calendar'!$W$940=SPECIAL_LBL)*10000000+(N('Dvd Calendar'!$W$934)&gt;0)*(N('Dvd Calendar'!$W$934)&lt;=VAL_SERIAL)*1000000+85*1000+19))</f>
        <v/>
      </c>
      <c r="EX96" s="121">
        <f>IF(N('Dvd Calendar'!$X$935)=0,"",IF(('Dvd Calendar'!$X$935&gt;=GRID_FROM)*('Dvd Calendar'!$X$935&lt;=GRID_TO)*((('Dvd Calendar'!$X$935&lt;=VAL_DATE)+(COUNTIF('Dvd Calendar'!$E$942:$AR$942,'Dvd Calendar'!$X$935)=0))&gt;0)=0,"",'Dvd Calendar'!$X$935*1000000000+ISNUMBER('Dvd Calendar'!$X$938)*100000000+('Dvd Calendar'!$X$940=SPECIAL_LBL)*10000000+(N('Dvd Calendar'!$X$934)&gt;0)*(N('Dvd Calendar'!$X$934)&lt;=VAL_SERIAL)*1000000+85*1000+20))</f>
        <v/>
      </c>
      <c r="EY96" s="121">
        <f>IF(N('Dvd Calendar'!$Y$935)=0,"",IF(('Dvd Calendar'!$Y$935&gt;=GRID_FROM)*('Dvd Calendar'!$Y$935&lt;=GRID_TO)*((('Dvd Calendar'!$Y$935&lt;=VAL_DATE)+(COUNTIF('Dvd Calendar'!$E$942:$AR$942,'Dvd Calendar'!$Y$935)=0))&gt;0)=0,"",'Dvd Calendar'!$Y$935*1000000000+ISNUMBER('Dvd Calendar'!$Y$938)*100000000+('Dvd Calendar'!$Y$940=SPECIAL_LBL)*10000000+(N('Dvd Calendar'!$Y$934)&gt;0)*(N('Dvd Calendar'!$Y$934)&lt;=VAL_SERIAL)*1000000+85*1000+21))</f>
        <v/>
      </c>
      <c r="EZ96" s="121">
        <f>IF(N('Dvd Calendar'!$Z$935)=0,"",IF(('Dvd Calendar'!$Z$935&gt;=GRID_FROM)*('Dvd Calendar'!$Z$935&lt;=GRID_TO)*((('Dvd Calendar'!$Z$935&lt;=VAL_DATE)+(COUNTIF('Dvd Calendar'!$E$942:$AR$942,'Dvd Calendar'!$Z$935)=0))&gt;0)=0,"",'Dvd Calendar'!$Z$935*1000000000+ISNUMBER('Dvd Calendar'!$Z$938)*100000000+('Dvd Calendar'!$Z$940=SPECIAL_LBL)*10000000+(N('Dvd Calendar'!$Z$934)&gt;0)*(N('Dvd Calendar'!$Z$934)&lt;=VAL_SERIAL)*1000000+85*1000+22))</f>
        <v/>
      </c>
      <c r="FA96" s="121">
        <f>IF(N('Dvd Calendar'!$AA$935)=0,"",IF(('Dvd Calendar'!$AA$935&gt;=GRID_FROM)*('Dvd Calendar'!$AA$935&lt;=GRID_TO)*((('Dvd Calendar'!$AA$935&lt;=VAL_DATE)+(COUNTIF('Dvd Calendar'!$E$942:$AR$942,'Dvd Calendar'!$AA$935)=0))&gt;0)=0,"",'Dvd Calendar'!$AA$935*1000000000+ISNUMBER('Dvd Calendar'!$AA$938)*100000000+('Dvd Calendar'!$AA$940=SPECIAL_LBL)*10000000+(N('Dvd Calendar'!$AA$934)&gt;0)*(N('Dvd Calendar'!$AA$934)&lt;=VAL_SERIAL)*1000000+85*1000+23))</f>
        <v/>
      </c>
      <c r="FB96" s="121">
        <f>IF(N('Dvd Calendar'!$AB$935)=0,"",IF(('Dvd Calendar'!$AB$935&gt;=GRID_FROM)*('Dvd Calendar'!$AB$935&lt;=GRID_TO)*((('Dvd Calendar'!$AB$935&lt;=VAL_DATE)+(COUNTIF('Dvd Calendar'!$E$942:$AR$942,'Dvd Calendar'!$AB$935)=0))&gt;0)=0,"",'Dvd Calendar'!$AB$935*1000000000+ISNUMBER('Dvd Calendar'!$AB$938)*100000000+('Dvd Calendar'!$AB$940=SPECIAL_LBL)*10000000+(N('Dvd Calendar'!$AB$934)&gt;0)*(N('Dvd Calendar'!$AB$934)&lt;=VAL_SERIAL)*1000000+85*1000+24))</f>
        <v/>
      </c>
      <c r="FC96" s="121">
        <f>IF(N('Dvd Calendar'!$AC$935)=0,"",IF(('Dvd Calendar'!$AC$935&gt;=GRID_FROM)*('Dvd Calendar'!$AC$935&lt;=GRID_TO)*((('Dvd Calendar'!$AC$935&lt;=VAL_DATE)+(COUNTIF('Dvd Calendar'!$E$942:$AR$942,'Dvd Calendar'!$AC$935)=0))&gt;0)=0,"",'Dvd Calendar'!$AC$935*1000000000+ISNUMBER('Dvd Calendar'!$AC$938)*100000000+('Dvd Calendar'!$AC$940=SPECIAL_LBL)*10000000+(N('Dvd Calendar'!$AC$934)&gt;0)*(N('Dvd Calendar'!$AC$934)&lt;=VAL_SERIAL)*1000000+85*1000+25))</f>
        <v/>
      </c>
      <c r="FD96" s="121">
        <f>IF(N('Dvd Calendar'!$AD$935)=0,"",IF(('Dvd Calendar'!$AD$935&gt;=GRID_FROM)*('Dvd Calendar'!$AD$935&lt;=GRID_TO)*((('Dvd Calendar'!$AD$935&lt;=VAL_DATE)+(COUNTIF('Dvd Calendar'!$E$942:$AR$942,'Dvd Calendar'!$AD$935)=0))&gt;0)=0,"",'Dvd Calendar'!$AD$935*1000000000+ISNUMBER('Dvd Calendar'!$AD$938)*100000000+('Dvd Calendar'!$AD$940=SPECIAL_LBL)*10000000+(N('Dvd Calendar'!$AD$934)&gt;0)*(N('Dvd Calendar'!$AD$934)&lt;=VAL_SERIAL)*1000000+85*1000+26))</f>
        <v/>
      </c>
      <c r="FE96" s="121">
        <f>IF(N('Dvd Calendar'!$AE$935)=0,"",IF(('Dvd Calendar'!$AE$935&gt;=GRID_FROM)*('Dvd Calendar'!$AE$935&lt;=GRID_TO)*((('Dvd Calendar'!$AE$935&lt;=VAL_DATE)+(COUNTIF('Dvd Calendar'!$E$942:$AR$942,'Dvd Calendar'!$AE$935)=0))&gt;0)=0,"",'Dvd Calendar'!$AE$935*1000000000+ISNUMBER('Dvd Calendar'!$AE$938)*100000000+('Dvd Calendar'!$AE$940=SPECIAL_LBL)*10000000+(N('Dvd Calendar'!$AE$934)&gt;0)*(N('Dvd Calendar'!$AE$934)&lt;=VAL_SERIAL)*1000000+85*1000+27))</f>
        <v/>
      </c>
      <c r="FF96" s="121">
        <f>IF(N('Dvd Calendar'!$AF$935)=0,"",IF(('Dvd Calendar'!$AF$935&gt;=GRID_FROM)*('Dvd Calendar'!$AF$935&lt;=GRID_TO)*((('Dvd Calendar'!$AF$935&lt;=VAL_DATE)+(COUNTIF('Dvd Calendar'!$E$942:$AR$942,'Dvd Calendar'!$AF$935)=0))&gt;0)=0,"",'Dvd Calendar'!$AF$935*1000000000+ISNUMBER('Dvd Calendar'!$AF$938)*100000000+('Dvd Calendar'!$AF$940=SPECIAL_LBL)*10000000+(N('Dvd Calendar'!$AF$934)&gt;0)*(N('Dvd Calendar'!$AF$934)&lt;=VAL_SERIAL)*1000000+85*1000+28))</f>
        <v/>
      </c>
      <c r="FG96" s="121">
        <f>IF(N('Dvd Calendar'!$AG$935)=0,"",IF(('Dvd Calendar'!$AG$935&gt;=GRID_FROM)*('Dvd Calendar'!$AG$935&lt;=GRID_TO)*((('Dvd Calendar'!$AG$935&lt;=VAL_DATE)+(COUNTIF('Dvd Calendar'!$E$942:$AR$942,'Dvd Calendar'!$AG$935)=0))&gt;0)=0,"",'Dvd Calendar'!$AG$935*1000000000+ISNUMBER('Dvd Calendar'!$AG$938)*100000000+('Dvd Calendar'!$AG$940=SPECIAL_LBL)*10000000+(N('Dvd Calendar'!$AG$934)&gt;0)*(N('Dvd Calendar'!$AG$934)&lt;=VAL_SERIAL)*1000000+85*1000+29))</f>
        <v/>
      </c>
      <c r="FH96" s="121">
        <f>IF(N('Dvd Calendar'!$AH$935)=0,"",IF(('Dvd Calendar'!$AH$935&gt;=GRID_FROM)*('Dvd Calendar'!$AH$935&lt;=GRID_TO)*((('Dvd Calendar'!$AH$935&lt;=VAL_DATE)+(COUNTIF('Dvd Calendar'!$E$942:$AR$942,'Dvd Calendar'!$AH$935)=0))&gt;0)=0,"",'Dvd Calendar'!$AH$935*1000000000+ISNUMBER('Dvd Calendar'!$AH$938)*100000000+('Dvd Calendar'!$AH$940=SPECIAL_LBL)*10000000+(N('Dvd Calendar'!$AH$934)&gt;0)*(N('Dvd Calendar'!$AH$934)&lt;=VAL_SERIAL)*1000000+85*1000+30))</f>
        <v/>
      </c>
      <c r="FI96" s="121">
        <f>IF(N('Dvd Calendar'!$AI$935)=0,"",IF(('Dvd Calendar'!$AI$935&gt;=GRID_FROM)*('Dvd Calendar'!$AI$935&lt;=GRID_TO)*((('Dvd Calendar'!$AI$935&lt;=VAL_DATE)+(COUNTIF('Dvd Calendar'!$E$942:$AR$942,'Dvd Calendar'!$AI$935)=0))&gt;0)=0,"",'Dvd Calendar'!$AI$935*1000000000+ISNUMBER('Dvd Calendar'!$AI$938)*100000000+('Dvd Calendar'!$AI$940=SPECIAL_LBL)*10000000+(N('Dvd Calendar'!$AI$934)&gt;0)*(N('Dvd Calendar'!$AI$934)&lt;=VAL_SERIAL)*1000000+85*1000+31))</f>
        <v/>
      </c>
      <c r="FJ96" s="121">
        <f>IF(N('Dvd Calendar'!$AJ$935)=0,"",IF(('Dvd Calendar'!$AJ$935&gt;=GRID_FROM)*('Dvd Calendar'!$AJ$935&lt;=GRID_TO)*((('Dvd Calendar'!$AJ$935&lt;=VAL_DATE)+(COUNTIF('Dvd Calendar'!$E$942:$AR$942,'Dvd Calendar'!$AJ$935)=0))&gt;0)=0,"",'Dvd Calendar'!$AJ$935*1000000000+ISNUMBER('Dvd Calendar'!$AJ$938)*100000000+('Dvd Calendar'!$AJ$940=SPECIAL_LBL)*10000000+(N('Dvd Calendar'!$AJ$934)&gt;0)*(N('Dvd Calendar'!$AJ$934)&lt;=VAL_SERIAL)*1000000+85*1000+32))</f>
        <v/>
      </c>
      <c r="FK96" s="121">
        <f>IF(N('Dvd Calendar'!$AK$935)=0,"",IF(('Dvd Calendar'!$AK$935&gt;=GRID_FROM)*('Dvd Calendar'!$AK$935&lt;=GRID_TO)*((('Dvd Calendar'!$AK$935&lt;=VAL_DATE)+(COUNTIF('Dvd Calendar'!$E$942:$AR$942,'Dvd Calendar'!$AK$935)=0))&gt;0)=0,"",'Dvd Calendar'!$AK$935*1000000000+ISNUMBER('Dvd Calendar'!$AK$938)*100000000+('Dvd Calendar'!$AK$940=SPECIAL_LBL)*10000000+(N('Dvd Calendar'!$AK$934)&gt;0)*(N('Dvd Calendar'!$AK$934)&lt;=VAL_SERIAL)*1000000+85*1000+33))</f>
        <v/>
      </c>
      <c r="FL96" s="121">
        <f>IF(N('Dvd Calendar'!$AL$935)=0,"",IF(('Dvd Calendar'!$AL$935&gt;=GRID_FROM)*('Dvd Calendar'!$AL$935&lt;=GRID_TO)*((('Dvd Calendar'!$AL$935&lt;=VAL_DATE)+(COUNTIF('Dvd Calendar'!$E$942:$AR$942,'Dvd Calendar'!$AL$935)=0))&gt;0)=0,"",'Dvd Calendar'!$AL$935*1000000000+ISNUMBER('Dvd Calendar'!$AL$938)*100000000+('Dvd Calendar'!$AL$940=SPECIAL_LBL)*10000000+(N('Dvd Calendar'!$AL$934)&gt;0)*(N('Dvd Calendar'!$AL$934)&lt;=VAL_SERIAL)*1000000+85*1000+34))</f>
        <v/>
      </c>
      <c r="FM96" s="121">
        <f>IF(N('Dvd Calendar'!$AM$935)=0,"",IF(('Dvd Calendar'!$AM$935&gt;=GRID_FROM)*('Dvd Calendar'!$AM$935&lt;=GRID_TO)*((('Dvd Calendar'!$AM$935&lt;=VAL_DATE)+(COUNTIF('Dvd Calendar'!$E$942:$AR$942,'Dvd Calendar'!$AM$935)=0))&gt;0)=0,"",'Dvd Calendar'!$AM$935*1000000000+ISNUMBER('Dvd Calendar'!$AM$938)*100000000+('Dvd Calendar'!$AM$940=SPECIAL_LBL)*10000000+(N('Dvd Calendar'!$AM$934)&gt;0)*(N('Dvd Calendar'!$AM$934)&lt;=VAL_SERIAL)*1000000+85*1000+35))</f>
        <v/>
      </c>
      <c r="FN96" s="121">
        <f>IF(N('Dvd Calendar'!$AN$935)=0,"",IF(('Dvd Calendar'!$AN$935&gt;=GRID_FROM)*('Dvd Calendar'!$AN$935&lt;=GRID_TO)*((('Dvd Calendar'!$AN$935&lt;=VAL_DATE)+(COUNTIF('Dvd Calendar'!$E$942:$AR$942,'Dvd Calendar'!$AN$935)=0))&gt;0)=0,"",'Dvd Calendar'!$AN$935*1000000000+ISNUMBER('Dvd Calendar'!$AN$938)*100000000+('Dvd Calendar'!$AN$940=SPECIAL_LBL)*10000000+(N('Dvd Calendar'!$AN$934)&gt;0)*(N('Dvd Calendar'!$AN$934)&lt;=VAL_SERIAL)*1000000+85*1000+36))</f>
        <v/>
      </c>
      <c r="FO96" s="121">
        <f>IF(N('Dvd Calendar'!$AO$935)=0,"",IF(('Dvd Calendar'!$AO$935&gt;=GRID_FROM)*('Dvd Calendar'!$AO$935&lt;=GRID_TO)*((('Dvd Calendar'!$AO$935&lt;=VAL_DATE)+(COUNTIF('Dvd Calendar'!$E$942:$AR$942,'Dvd Calendar'!$AO$935)=0))&gt;0)=0,"",'Dvd Calendar'!$AO$935*1000000000+ISNUMBER('Dvd Calendar'!$AO$938)*100000000+('Dvd Calendar'!$AO$940=SPECIAL_LBL)*10000000+(N('Dvd Calendar'!$AO$934)&gt;0)*(N('Dvd Calendar'!$AO$934)&lt;=VAL_SERIAL)*1000000+85*1000+37))</f>
        <v/>
      </c>
      <c r="FP96" s="121">
        <f>IF(N('Dvd Calendar'!$AP$935)=0,"",IF(('Dvd Calendar'!$AP$935&gt;=GRID_FROM)*('Dvd Calendar'!$AP$935&lt;=GRID_TO)*((('Dvd Calendar'!$AP$935&lt;=VAL_DATE)+(COUNTIF('Dvd Calendar'!$E$942:$AR$942,'Dvd Calendar'!$AP$935)=0))&gt;0)=0,"",'Dvd Calendar'!$AP$935*1000000000+ISNUMBER('Dvd Calendar'!$AP$938)*100000000+('Dvd Calendar'!$AP$940=SPECIAL_LBL)*10000000+(N('Dvd Calendar'!$AP$934)&gt;0)*(N('Dvd Calendar'!$AP$934)&lt;=VAL_SERIAL)*1000000+85*1000+38))</f>
        <v/>
      </c>
      <c r="FQ96" s="121">
        <f>IF(N('Dvd Calendar'!$AQ$935)=0,"",IF(('Dvd Calendar'!$AQ$935&gt;=GRID_FROM)*('Dvd Calendar'!$AQ$935&lt;=GRID_TO)*((('Dvd Calendar'!$AQ$935&lt;=VAL_DATE)+(COUNTIF('Dvd Calendar'!$E$942:$AR$942,'Dvd Calendar'!$AQ$935)=0))&gt;0)=0,"",'Dvd Calendar'!$AQ$935*1000000000+ISNUMBER('Dvd Calendar'!$AQ$938)*100000000+('Dvd Calendar'!$AQ$940=SPECIAL_LBL)*10000000+(N('Dvd Calendar'!$AQ$934)&gt;0)*(N('Dvd Calendar'!$AQ$934)&lt;=VAL_SERIAL)*1000000+85*1000+39))</f>
        <v/>
      </c>
      <c r="FR96" s="121">
        <f>IF(N('Dvd Calendar'!$AR$935)=0,"",IF(('Dvd Calendar'!$AR$935&gt;=GRID_FROM)*('Dvd Calendar'!$AR$935&lt;=GRID_TO)*((('Dvd Calendar'!$AR$935&lt;=VAL_DATE)+(COUNTIF('Dvd Calendar'!$E$942:$AR$942,'Dvd Calendar'!$AR$935)=0))&gt;0)=0,"",'Dvd Calendar'!$AR$935*1000000000+ISNUMBER('Dvd Calendar'!$AR$938)*100000000+('Dvd Calendar'!$AR$940=SPECIAL_LBL)*10000000+(N('Dvd Calendar'!$AR$934)&gt;0)*(N('Dvd Calendar'!$AR$934)&lt;=VAL_SERIAL)*1000000+85*1000+40))</f>
        <v/>
      </c>
      <c r="FS96" s="121">
        <f>IF(N('Dvd Calendar'!$E$942)=0,"",IF(('Dvd Calendar'!$E$942&gt;=GRID_FROM)*('Dvd Calendar'!$E$942&lt;=GRID_TO)*('Dvd Calendar'!$E$942&gt;VAL_DATE)=0,"",'Dvd Calendar'!$E$942*1000000000+ISNUMBER('Dvd Calendar'!$E$943)*100000000+0*10000000+(N('Dvd Calendar'!$E$941)&gt;0)*(N('Dvd Calendar'!$E$941)&lt;=VAL_SERIAL)*1000000+85*1000+41))</f>
        <v/>
      </c>
      <c r="FT96" s="121">
        <f>IF(N('Dvd Calendar'!$F$942)=0,"",IF(('Dvd Calendar'!$F$942&gt;=GRID_FROM)*('Dvd Calendar'!$F$942&lt;=GRID_TO)*('Dvd Calendar'!$F$942&gt;VAL_DATE)=0,"",'Dvd Calendar'!$F$942*1000000000+ISNUMBER('Dvd Calendar'!$F$943)*100000000+0*10000000+(N('Dvd Calendar'!$F$941)&gt;0)*(N('Dvd Calendar'!$F$941)&lt;=VAL_SERIAL)*1000000+85*1000+42))</f>
        <v/>
      </c>
      <c r="FU96" s="121">
        <f>IF(N('Dvd Calendar'!$G$942)=0,"",IF(('Dvd Calendar'!$G$942&gt;=GRID_FROM)*('Dvd Calendar'!$G$942&lt;=GRID_TO)*('Dvd Calendar'!$G$942&gt;VAL_DATE)=0,"",'Dvd Calendar'!$G$942*1000000000+ISNUMBER('Dvd Calendar'!$G$943)*100000000+0*10000000+(N('Dvd Calendar'!$G$941)&gt;0)*(N('Dvd Calendar'!$G$941)&lt;=VAL_SERIAL)*1000000+85*1000+43))</f>
        <v/>
      </c>
      <c r="FV96" s="121">
        <f>IF(N('Dvd Calendar'!$H$942)=0,"",IF(('Dvd Calendar'!$H$942&gt;=GRID_FROM)*('Dvd Calendar'!$H$942&lt;=GRID_TO)*('Dvd Calendar'!$H$942&gt;VAL_DATE)=0,"",'Dvd Calendar'!$H$942*1000000000+ISNUMBER('Dvd Calendar'!$H$943)*100000000+0*10000000+(N('Dvd Calendar'!$H$941)&gt;0)*(N('Dvd Calendar'!$H$941)&lt;=VAL_SERIAL)*1000000+85*1000+44))</f>
        <v/>
      </c>
      <c r="FW96" s="121">
        <f>IF(N('Dvd Calendar'!$I$942)=0,"",IF(('Dvd Calendar'!$I$942&gt;=GRID_FROM)*('Dvd Calendar'!$I$942&lt;=GRID_TO)*('Dvd Calendar'!$I$942&gt;VAL_DATE)=0,"",'Dvd Calendar'!$I$942*1000000000+ISNUMBER('Dvd Calendar'!$I$943)*100000000+0*10000000+(N('Dvd Calendar'!$I$941)&gt;0)*(N('Dvd Calendar'!$I$941)&lt;=VAL_SERIAL)*1000000+85*1000+45))</f>
        <v/>
      </c>
      <c r="FX96" s="121">
        <f>IF(N('Dvd Calendar'!$J$942)=0,"",IF(('Dvd Calendar'!$J$942&gt;=GRID_FROM)*('Dvd Calendar'!$J$942&lt;=GRID_TO)*('Dvd Calendar'!$J$942&gt;VAL_DATE)=0,"",'Dvd Calendar'!$J$942*1000000000+ISNUMBER('Dvd Calendar'!$J$943)*100000000+0*10000000+(N('Dvd Calendar'!$J$941)&gt;0)*(N('Dvd Calendar'!$J$941)&lt;=VAL_SERIAL)*1000000+85*1000+46))</f>
        <v/>
      </c>
      <c r="FY96" s="121">
        <f>IF(N('Dvd Calendar'!$K$942)=0,"",IF(('Dvd Calendar'!$K$942&gt;=GRID_FROM)*('Dvd Calendar'!$K$942&lt;=GRID_TO)*('Dvd Calendar'!$K$942&gt;VAL_DATE)=0,"",'Dvd Calendar'!$K$942*1000000000+ISNUMBER('Dvd Calendar'!$K$943)*100000000+0*10000000+(N('Dvd Calendar'!$K$941)&gt;0)*(N('Dvd Calendar'!$K$941)&lt;=VAL_SERIAL)*1000000+85*1000+47))</f>
        <v/>
      </c>
      <c r="FZ96" s="121">
        <f>IF(N('Dvd Calendar'!$L$942)=0,"",IF(('Dvd Calendar'!$L$942&gt;=GRID_FROM)*('Dvd Calendar'!$L$942&lt;=GRID_TO)*('Dvd Calendar'!$L$942&gt;VAL_DATE)=0,"",'Dvd Calendar'!$L$942*1000000000+ISNUMBER('Dvd Calendar'!$L$943)*100000000+0*10000000+(N('Dvd Calendar'!$L$941)&gt;0)*(N('Dvd Calendar'!$L$941)&lt;=VAL_SERIAL)*1000000+85*1000+48))</f>
        <v/>
      </c>
      <c r="GA96" s="121">
        <f>IF(N('Dvd Calendar'!$M$942)=0,"",IF(('Dvd Calendar'!$M$942&gt;=GRID_FROM)*('Dvd Calendar'!$M$942&lt;=GRID_TO)*('Dvd Calendar'!$M$942&gt;VAL_DATE)=0,"",'Dvd Calendar'!$M$942*1000000000+ISNUMBER('Dvd Calendar'!$M$943)*100000000+0*10000000+(N('Dvd Calendar'!$M$941)&gt;0)*(N('Dvd Calendar'!$M$941)&lt;=VAL_SERIAL)*1000000+85*1000+49))</f>
        <v/>
      </c>
      <c r="GB96" s="121">
        <f>IF(N('Dvd Calendar'!$N$942)=0,"",IF(('Dvd Calendar'!$N$942&gt;=GRID_FROM)*('Dvd Calendar'!$N$942&lt;=GRID_TO)*('Dvd Calendar'!$N$942&gt;VAL_DATE)=0,"",'Dvd Calendar'!$N$942*1000000000+ISNUMBER('Dvd Calendar'!$N$943)*100000000+0*10000000+(N('Dvd Calendar'!$N$941)&gt;0)*(N('Dvd Calendar'!$N$941)&lt;=VAL_SERIAL)*1000000+85*1000+50))</f>
        <v/>
      </c>
      <c r="GC96" s="121">
        <f>IF(N('Dvd Calendar'!$O$942)=0,"",IF(('Dvd Calendar'!$O$942&gt;=GRID_FROM)*('Dvd Calendar'!$O$942&lt;=GRID_TO)*('Dvd Calendar'!$O$942&gt;VAL_DATE)=0,"",'Dvd Calendar'!$O$942*1000000000+ISNUMBER('Dvd Calendar'!$O$943)*100000000+0*10000000+(N('Dvd Calendar'!$O$941)&gt;0)*(N('Dvd Calendar'!$O$941)&lt;=VAL_SERIAL)*1000000+85*1000+51))</f>
        <v/>
      </c>
      <c r="GD96" s="121">
        <f>IF(N('Dvd Calendar'!$P$942)=0,"",IF(('Dvd Calendar'!$P$942&gt;=GRID_FROM)*('Dvd Calendar'!$P$942&lt;=GRID_TO)*('Dvd Calendar'!$P$942&gt;VAL_DATE)=0,"",'Dvd Calendar'!$P$942*1000000000+ISNUMBER('Dvd Calendar'!$P$943)*100000000+0*10000000+(N('Dvd Calendar'!$P$941)&gt;0)*(N('Dvd Calendar'!$P$941)&lt;=VAL_SERIAL)*1000000+85*1000+52))</f>
        <v/>
      </c>
      <c r="GE96" s="121">
        <f>IF(N('Dvd Calendar'!$Q$942)=0,"",IF(('Dvd Calendar'!$Q$942&gt;=GRID_FROM)*('Dvd Calendar'!$Q$942&lt;=GRID_TO)*('Dvd Calendar'!$Q$942&gt;VAL_DATE)=0,"",'Dvd Calendar'!$Q$942*1000000000+ISNUMBER('Dvd Calendar'!$Q$943)*100000000+0*10000000+(N('Dvd Calendar'!$Q$941)&gt;0)*(N('Dvd Calendar'!$Q$941)&lt;=VAL_SERIAL)*1000000+85*1000+53))</f>
        <v/>
      </c>
      <c r="GF96" s="121">
        <f>IF(N('Dvd Calendar'!$R$942)=0,"",IF(('Dvd Calendar'!$R$942&gt;=GRID_FROM)*('Dvd Calendar'!$R$942&lt;=GRID_TO)*('Dvd Calendar'!$R$942&gt;VAL_DATE)=0,"",'Dvd Calendar'!$R$942*1000000000+ISNUMBER('Dvd Calendar'!$R$943)*100000000+0*10000000+(N('Dvd Calendar'!$R$941)&gt;0)*(N('Dvd Calendar'!$R$941)&lt;=VAL_SERIAL)*1000000+85*1000+54))</f>
        <v/>
      </c>
      <c r="GG96" s="121">
        <f>IF(N('Dvd Calendar'!$S$942)=0,"",IF(('Dvd Calendar'!$S$942&gt;=GRID_FROM)*('Dvd Calendar'!$S$942&lt;=GRID_TO)*('Dvd Calendar'!$S$942&gt;VAL_DATE)=0,"",'Dvd Calendar'!$S$942*1000000000+ISNUMBER('Dvd Calendar'!$S$943)*100000000+0*10000000+(N('Dvd Calendar'!$S$941)&gt;0)*(N('Dvd Calendar'!$S$941)&lt;=VAL_SERIAL)*1000000+85*1000+55))</f>
        <v/>
      </c>
      <c r="GH96" s="121">
        <f>IF(N('Dvd Calendar'!$T$942)=0,"",IF(('Dvd Calendar'!$T$942&gt;=GRID_FROM)*('Dvd Calendar'!$T$942&lt;=GRID_TO)*('Dvd Calendar'!$T$942&gt;VAL_DATE)=0,"",'Dvd Calendar'!$T$942*1000000000+ISNUMBER('Dvd Calendar'!$T$943)*100000000+0*10000000+(N('Dvd Calendar'!$T$941)&gt;0)*(N('Dvd Calendar'!$T$941)&lt;=VAL_SERIAL)*1000000+85*1000+56))</f>
        <v/>
      </c>
      <c r="GI96" s="121">
        <f>IF(N('Dvd Calendar'!$U$942)=0,"",IF(('Dvd Calendar'!$U$942&gt;=GRID_FROM)*('Dvd Calendar'!$U$942&lt;=GRID_TO)*('Dvd Calendar'!$U$942&gt;VAL_DATE)=0,"",'Dvd Calendar'!$U$942*1000000000+ISNUMBER('Dvd Calendar'!$U$943)*100000000+0*10000000+(N('Dvd Calendar'!$U$941)&gt;0)*(N('Dvd Calendar'!$U$941)&lt;=VAL_SERIAL)*1000000+85*1000+57))</f>
        <v/>
      </c>
      <c r="GJ96" s="121">
        <f>IF(N('Dvd Calendar'!$V$942)=0,"",IF(('Dvd Calendar'!$V$942&gt;=GRID_FROM)*('Dvd Calendar'!$V$942&lt;=GRID_TO)*('Dvd Calendar'!$V$942&gt;VAL_DATE)=0,"",'Dvd Calendar'!$V$942*1000000000+ISNUMBER('Dvd Calendar'!$V$943)*100000000+0*10000000+(N('Dvd Calendar'!$V$941)&gt;0)*(N('Dvd Calendar'!$V$941)&lt;=VAL_SERIAL)*1000000+85*1000+58))</f>
        <v/>
      </c>
      <c r="GK96" s="121">
        <f>IF(N('Dvd Calendar'!$W$942)=0,"",IF(('Dvd Calendar'!$W$942&gt;=GRID_FROM)*('Dvd Calendar'!$W$942&lt;=GRID_TO)*('Dvd Calendar'!$W$942&gt;VAL_DATE)=0,"",'Dvd Calendar'!$W$942*1000000000+ISNUMBER('Dvd Calendar'!$W$943)*100000000+0*10000000+(N('Dvd Calendar'!$W$941)&gt;0)*(N('Dvd Calendar'!$W$941)&lt;=VAL_SERIAL)*1000000+85*1000+59))</f>
        <v/>
      </c>
      <c r="GL96" s="121">
        <f>IF(N('Dvd Calendar'!$X$942)=0,"",IF(('Dvd Calendar'!$X$942&gt;=GRID_FROM)*('Dvd Calendar'!$X$942&lt;=GRID_TO)*('Dvd Calendar'!$X$942&gt;VAL_DATE)=0,"",'Dvd Calendar'!$X$942*1000000000+ISNUMBER('Dvd Calendar'!$X$943)*100000000+0*10000000+(N('Dvd Calendar'!$X$941)&gt;0)*(N('Dvd Calendar'!$X$941)&lt;=VAL_SERIAL)*1000000+85*1000+60))</f>
        <v/>
      </c>
      <c r="GM96" s="121">
        <f>IF(N('Dvd Calendar'!$Y$942)=0,"",IF(('Dvd Calendar'!$Y$942&gt;=GRID_FROM)*('Dvd Calendar'!$Y$942&lt;=GRID_TO)*('Dvd Calendar'!$Y$942&gt;VAL_DATE)=0,"",'Dvd Calendar'!$Y$942*1000000000+ISNUMBER('Dvd Calendar'!$Y$943)*100000000+0*10000000+(N('Dvd Calendar'!$Y$941)&gt;0)*(N('Dvd Calendar'!$Y$941)&lt;=VAL_SERIAL)*1000000+85*1000+61))</f>
        <v/>
      </c>
      <c r="GN96" s="121">
        <f>IF(N('Dvd Calendar'!$Z$942)=0,"",IF(('Dvd Calendar'!$Z$942&gt;=GRID_FROM)*('Dvd Calendar'!$Z$942&lt;=GRID_TO)*('Dvd Calendar'!$Z$942&gt;VAL_DATE)=0,"",'Dvd Calendar'!$Z$942*1000000000+ISNUMBER('Dvd Calendar'!$Z$943)*100000000+0*10000000+(N('Dvd Calendar'!$Z$941)&gt;0)*(N('Dvd Calendar'!$Z$941)&lt;=VAL_SERIAL)*1000000+85*1000+62))</f>
        <v/>
      </c>
      <c r="GO96" s="121">
        <f>IF(N('Dvd Calendar'!$AA$942)=0,"",IF(('Dvd Calendar'!$AA$942&gt;=GRID_FROM)*('Dvd Calendar'!$AA$942&lt;=GRID_TO)*('Dvd Calendar'!$AA$942&gt;VAL_DATE)=0,"",'Dvd Calendar'!$AA$942*1000000000+ISNUMBER('Dvd Calendar'!$AA$943)*100000000+0*10000000+(N('Dvd Calendar'!$AA$941)&gt;0)*(N('Dvd Calendar'!$AA$941)&lt;=VAL_SERIAL)*1000000+85*1000+63))</f>
        <v/>
      </c>
      <c r="GP96" s="121">
        <f>IF(N('Dvd Calendar'!$AB$942)=0,"",IF(('Dvd Calendar'!$AB$942&gt;=GRID_FROM)*('Dvd Calendar'!$AB$942&lt;=GRID_TO)*('Dvd Calendar'!$AB$942&gt;VAL_DATE)=0,"",'Dvd Calendar'!$AB$942*1000000000+ISNUMBER('Dvd Calendar'!$AB$943)*100000000+0*10000000+(N('Dvd Calendar'!$AB$941)&gt;0)*(N('Dvd Calendar'!$AB$941)&lt;=VAL_SERIAL)*1000000+85*1000+64))</f>
        <v/>
      </c>
      <c r="GQ96" s="121">
        <f>IF(N('Dvd Calendar'!$AC$942)=0,"",IF(('Dvd Calendar'!$AC$942&gt;=GRID_FROM)*('Dvd Calendar'!$AC$942&lt;=GRID_TO)*('Dvd Calendar'!$AC$942&gt;VAL_DATE)=0,"",'Dvd Calendar'!$AC$942*1000000000+ISNUMBER('Dvd Calendar'!$AC$943)*100000000+0*10000000+(N('Dvd Calendar'!$AC$941)&gt;0)*(N('Dvd Calendar'!$AC$941)&lt;=VAL_SERIAL)*1000000+85*1000+65))</f>
        <v/>
      </c>
    </row>
    <row r="97">
      <c r="B97" s="2">
        <f>IF(HSI!$C$92="","",HSI!$C$92)</f>
        <v/>
      </c>
      <c r="C97" s="161">
        <f>IF(EE97="","",IF(ISNUMBER('Dvd Calendar'!$E$949)=FALSE,"",IF((('Dvd Calendar'!$E$951=TYPE1)*(TYPE1&lt;&gt;"")+('Dvd Calendar'!$E$951=TYPE2)*(TYPE2&lt;&gt;"")+('Dvd Calendar'!$E$951=TYPE3)*(TYPE3&lt;&gt;"")+('Dvd Calendar'!$E$951=TYPE4)*(TYPE4&lt;&gt;"")+('Dvd Calendar'!$E$951=SPECIAL_LBL)*(INC_SPECIALS="Y"))=0,"",'Dvd Calendar'!$E$949)))</f>
        <v/>
      </c>
      <c r="D97" s="161">
        <f>IF(EF97="","",IF(ISNUMBER('Dvd Calendar'!$F$949)=FALSE,"",IF((('Dvd Calendar'!$F$951=TYPE1)*(TYPE1&lt;&gt;"")+('Dvd Calendar'!$F$951=TYPE2)*(TYPE2&lt;&gt;"")+('Dvd Calendar'!$F$951=TYPE3)*(TYPE3&lt;&gt;"")+('Dvd Calendar'!$F$951=TYPE4)*(TYPE4&lt;&gt;"")+('Dvd Calendar'!$F$951=SPECIAL_LBL)*(INC_SPECIALS="Y"))=0,"",'Dvd Calendar'!$F$949)))</f>
        <v/>
      </c>
      <c r="E97" s="161">
        <f>IF(EG97="","",IF(ISNUMBER('Dvd Calendar'!$G$949)=FALSE,"",IF((('Dvd Calendar'!$G$951=TYPE1)*(TYPE1&lt;&gt;"")+('Dvd Calendar'!$G$951=TYPE2)*(TYPE2&lt;&gt;"")+('Dvd Calendar'!$G$951=TYPE3)*(TYPE3&lt;&gt;"")+('Dvd Calendar'!$G$951=TYPE4)*(TYPE4&lt;&gt;"")+('Dvd Calendar'!$G$951=SPECIAL_LBL)*(INC_SPECIALS="Y"))=0,"",'Dvd Calendar'!$G$949)))</f>
        <v/>
      </c>
      <c r="F97" s="161">
        <f>IF(EH97="","",IF(ISNUMBER('Dvd Calendar'!$H$949)=FALSE,"",IF((('Dvd Calendar'!$H$951=TYPE1)*(TYPE1&lt;&gt;"")+('Dvd Calendar'!$H$951=TYPE2)*(TYPE2&lt;&gt;"")+('Dvd Calendar'!$H$951=TYPE3)*(TYPE3&lt;&gt;"")+('Dvd Calendar'!$H$951=TYPE4)*(TYPE4&lt;&gt;"")+('Dvd Calendar'!$H$951=SPECIAL_LBL)*(INC_SPECIALS="Y"))=0,"",'Dvd Calendar'!$H$949)))</f>
        <v/>
      </c>
      <c r="G97" s="161">
        <f>IF(EI97="","",IF(ISNUMBER('Dvd Calendar'!$I$949)=FALSE,"",IF((('Dvd Calendar'!$I$951=TYPE1)*(TYPE1&lt;&gt;"")+('Dvd Calendar'!$I$951=TYPE2)*(TYPE2&lt;&gt;"")+('Dvd Calendar'!$I$951=TYPE3)*(TYPE3&lt;&gt;"")+('Dvd Calendar'!$I$951=TYPE4)*(TYPE4&lt;&gt;"")+('Dvd Calendar'!$I$951=SPECIAL_LBL)*(INC_SPECIALS="Y"))=0,"",'Dvd Calendar'!$I$949)))</f>
        <v/>
      </c>
      <c r="H97" s="161">
        <f>IF(EJ97="","",IF(ISNUMBER('Dvd Calendar'!$J$949)=FALSE,"",IF((('Dvd Calendar'!$J$951=TYPE1)*(TYPE1&lt;&gt;"")+('Dvd Calendar'!$J$951=TYPE2)*(TYPE2&lt;&gt;"")+('Dvd Calendar'!$J$951=TYPE3)*(TYPE3&lt;&gt;"")+('Dvd Calendar'!$J$951=TYPE4)*(TYPE4&lt;&gt;"")+('Dvd Calendar'!$J$951=SPECIAL_LBL)*(INC_SPECIALS="Y"))=0,"",'Dvd Calendar'!$J$949)))</f>
        <v/>
      </c>
      <c r="I97" s="161">
        <f>IF(EK97="","",IF(ISNUMBER('Dvd Calendar'!$K$949)=FALSE,"",IF((('Dvd Calendar'!$K$951=TYPE1)*(TYPE1&lt;&gt;"")+('Dvd Calendar'!$K$951=TYPE2)*(TYPE2&lt;&gt;"")+('Dvd Calendar'!$K$951=TYPE3)*(TYPE3&lt;&gt;"")+('Dvd Calendar'!$K$951=TYPE4)*(TYPE4&lt;&gt;"")+('Dvd Calendar'!$K$951=SPECIAL_LBL)*(INC_SPECIALS="Y"))=0,"",'Dvd Calendar'!$K$949)))</f>
        <v/>
      </c>
      <c r="J97" s="161">
        <f>IF(EL97="","",IF(ISNUMBER('Dvd Calendar'!$L$949)=FALSE,"",IF((('Dvd Calendar'!$L$951=TYPE1)*(TYPE1&lt;&gt;"")+('Dvd Calendar'!$L$951=TYPE2)*(TYPE2&lt;&gt;"")+('Dvd Calendar'!$L$951=TYPE3)*(TYPE3&lt;&gt;"")+('Dvd Calendar'!$L$951=TYPE4)*(TYPE4&lt;&gt;"")+('Dvd Calendar'!$L$951=SPECIAL_LBL)*(INC_SPECIALS="Y"))=0,"",'Dvd Calendar'!$L$949)))</f>
        <v/>
      </c>
      <c r="K97" s="161">
        <f>IF(EM97="","",IF(ISNUMBER('Dvd Calendar'!$M$949)=FALSE,"",IF((('Dvd Calendar'!$M$951=TYPE1)*(TYPE1&lt;&gt;"")+('Dvd Calendar'!$M$951=TYPE2)*(TYPE2&lt;&gt;"")+('Dvd Calendar'!$M$951=TYPE3)*(TYPE3&lt;&gt;"")+('Dvd Calendar'!$M$951=TYPE4)*(TYPE4&lt;&gt;"")+('Dvd Calendar'!$M$951=SPECIAL_LBL)*(INC_SPECIALS="Y"))=0,"",'Dvd Calendar'!$M$949)))</f>
        <v/>
      </c>
      <c r="L97" s="161">
        <f>IF(EN97="","",IF(ISNUMBER('Dvd Calendar'!$N$949)=FALSE,"",IF((('Dvd Calendar'!$N$951=TYPE1)*(TYPE1&lt;&gt;"")+('Dvd Calendar'!$N$951=TYPE2)*(TYPE2&lt;&gt;"")+('Dvd Calendar'!$N$951=TYPE3)*(TYPE3&lt;&gt;"")+('Dvd Calendar'!$N$951=TYPE4)*(TYPE4&lt;&gt;"")+('Dvd Calendar'!$N$951=SPECIAL_LBL)*(INC_SPECIALS="Y"))=0,"",'Dvd Calendar'!$N$949)))</f>
        <v/>
      </c>
      <c r="M97" s="161">
        <f>IF(EO97="","",IF(ISNUMBER('Dvd Calendar'!$O$949)=FALSE,"",IF((('Dvd Calendar'!$O$951=TYPE1)*(TYPE1&lt;&gt;"")+('Dvd Calendar'!$O$951=TYPE2)*(TYPE2&lt;&gt;"")+('Dvd Calendar'!$O$951=TYPE3)*(TYPE3&lt;&gt;"")+('Dvd Calendar'!$O$951=TYPE4)*(TYPE4&lt;&gt;"")+('Dvd Calendar'!$O$951=SPECIAL_LBL)*(INC_SPECIALS="Y"))=0,"",'Dvd Calendar'!$O$949)))</f>
        <v/>
      </c>
      <c r="N97" s="161">
        <f>IF(EP97="","",IF(ISNUMBER('Dvd Calendar'!$P$949)=FALSE,"",IF((('Dvd Calendar'!$P$951=TYPE1)*(TYPE1&lt;&gt;"")+('Dvd Calendar'!$P$951=TYPE2)*(TYPE2&lt;&gt;"")+('Dvd Calendar'!$P$951=TYPE3)*(TYPE3&lt;&gt;"")+('Dvd Calendar'!$P$951=TYPE4)*(TYPE4&lt;&gt;"")+('Dvd Calendar'!$P$951=SPECIAL_LBL)*(INC_SPECIALS="Y"))=0,"",'Dvd Calendar'!$P$949)))</f>
        <v/>
      </c>
      <c r="O97" s="161">
        <f>IF(EQ97="","",IF(ISNUMBER('Dvd Calendar'!$Q$949)=FALSE,"",IF((('Dvd Calendar'!$Q$951=TYPE1)*(TYPE1&lt;&gt;"")+('Dvd Calendar'!$Q$951=TYPE2)*(TYPE2&lt;&gt;"")+('Dvd Calendar'!$Q$951=TYPE3)*(TYPE3&lt;&gt;"")+('Dvd Calendar'!$Q$951=TYPE4)*(TYPE4&lt;&gt;"")+('Dvd Calendar'!$Q$951=SPECIAL_LBL)*(INC_SPECIALS="Y"))=0,"",'Dvd Calendar'!$Q$949)))</f>
        <v/>
      </c>
      <c r="P97" s="161">
        <f>IF(ER97="","",IF(ISNUMBER('Dvd Calendar'!$R$949)=FALSE,"",IF((('Dvd Calendar'!$R$951=TYPE1)*(TYPE1&lt;&gt;"")+('Dvd Calendar'!$R$951=TYPE2)*(TYPE2&lt;&gt;"")+('Dvd Calendar'!$R$951=TYPE3)*(TYPE3&lt;&gt;"")+('Dvd Calendar'!$R$951=TYPE4)*(TYPE4&lt;&gt;"")+('Dvd Calendar'!$R$951=SPECIAL_LBL)*(INC_SPECIALS="Y"))=0,"",'Dvd Calendar'!$R$949)))</f>
        <v/>
      </c>
      <c r="Q97" s="161">
        <f>IF(ES97="","",IF(ISNUMBER('Dvd Calendar'!$S$949)=FALSE,"",IF((('Dvd Calendar'!$S$951=TYPE1)*(TYPE1&lt;&gt;"")+('Dvd Calendar'!$S$951=TYPE2)*(TYPE2&lt;&gt;"")+('Dvd Calendar'!$S$951=TYPE3)*(TYPE3&lt;&gt;"")+('Dvd Calendar'!$S$951=TYPE4)*(TYPE4&lt;&gt;"")+('Dvd Calendar'!$S$951=SPECIAL_LBL)*(INC_SPECIALS="Y"))=0,"",'Dvd Calendar'!$S$949)))</f>
        <v/>
      </c>
      <c r="R97" s="161">
        <f>IF(ET97="","",IF(ISNUMBER('Dvd Calendar'!$T$949)=FALSE,"",IF((('Dvd Calendar'!$T$951=TYPE1)*(TYPE1&lt;&gt;"")+('Dvd Calendar'!$T$951=TYPE2)*(TYPE2&lt;&gt;"")+('Dvd Calendar'!$T$951=TYPE3)*(TYPE3&lt;&gt;"")+('Dvd Calendar'!$T$951=TYPE4)*(TYPE4&lt;&gt;"")+('Dvd Calendar'!$T$951=SPECIAL_LBL)*(INC_SPECIALS="Y"))=0,"",'Dvd Calendar'!$T$949)))</f>
        <v/>
      </c>
      <c r="S97" s="161">
        <f>IF(EU97="","",IF(ISNUMBER('Dvd Calendar'!$U$949)=FALSE,"",IF((('Dvd Calendar'!$U$951=TYPE1)*(TYPE1&lt;&gt;"")+('Dvd Calendar'!$U$951=TYPE2)*(TYPE2&lt;&gt;"")+('Dvd Calendar'!$U$951=TYPE3)*(TYPE3&lt;&gt;"")+('Dvd Calendar'!$U$951=TYPE4)*(TYPE4&lt;&gt;"")+('Dvd Calendar'!$U$951=SPECIAL_LBL)*(INC_SPECIALS="Y"))=0,"",'Dvd Calendar'!$U$949)))</f>
        <v/>
      </c>
      <c r="T97" s="161">
        <f>IF(EV97="","",IF(ISNUMBER('Dvd Calendar'!$V$949)=FALSE,"",IF((('Dvd Calendar'!$V$951=TYPE1)*(TYPE1&lt;&gt;"")+('Dvd Calendar'!$V$951=TYPE2)*(TYPE2&lt;&gt;"")+('Dvd Calendar'!$V$951=TYPE3)*(TYPE3&lt;&gt;"")+('Dvd Calendar'!$V$951=TYPE4)*(TYPE4&lt;&gt;"")+('Dvd Calendar'!$V$951=SPECIAL_LBL)*(INC_SPECIALS="Y"))=0,"",'Dvd Calendar'!$V$949)))</f>
        <v/>
      </c>
      <c r="U97" s="161">
        <f>IF(EW97="","",IF(ISNUMBER('Dvd Calendar'!$W$949)=FALSE,"",IF((('Dvd Calendar'!$W$951=TYPE1)*(TYPE1&lt;&gt;"")+('Dvd Calendar'!$W$951=TYPE2)*(TYPE2&lt;&gt;"")+('Dvd Calendar'!$W$951=TYPE3)*(TYPE3&lt;&gt;"")+('Dvd Calendar'!$W$951=TYPE4)*(TYPE4&lt;&gt;"")+('Dvd Calendar'!$W$951=SPECIAL_LBL)*(INC_SPECIALS="Y"))=0,"",'Dvd Calendar'!$W$949)))</f>
        <v/>
      </c>
      <c r="V97" s="161">
        <f>IF(EX97="","",IF(ISNUMBER('Dvd Calendar'!$X$949)=FALSE,"",IF((('Dvd Calendar'!$X$951=TYPE1)*(TYPE1&lt;&gt;"")+('Dvd Calendar'!$X$951=TYPE2)*(TYPE2&lt;&gt;"")+('Dvd Calendar'!$X$951=TYPE3)*(TYPE3&lt;&gt;"")+('Dvd Calendar'!$X$951=TYPE4)*(TYPE4&lt;&gt;"")+('Dvd Calendar'!$X$951=SPECIAL_LBL)*(INC_SPECIALS="Y"))=0,"",'Dvd Calendar'!$X$949)))</f>
        <v/>
      </c>
      <c r="W97" s="161">
        <f>IF(EY97="","",IF(ISNUMBER('Dvd Calendar'!$Y$949)=FALSE,"",IF((('Dvd Calendar'!$Y$951=TYPE1)*(TYPE1&lt;&gt;"")+('Dvd Calendar'!$Y$951=TYPE2)*(TYPE2&lt;&gt;"")+('Dvd Calendar'!$Y$951=TYPE3)*(TYPE3&lt;&gt;"")+('Dvd Calendar'!$Y$951=TYPE4)*(TYPE4&lt;&gt;"")+('Dvd Calendar'!$Y$951=SPECIAL_LBL)*(INC_SPECIALS="Y"))=0,"",'Dvd Calendar'!$Y$949)))</f>
        <v/>
      </c>
      <c r="X97" s="161">
        <f>IF(EZ97="","",IF(ISNUMBER('Dvd Calendar'!$Z$949)=FALSE,"",IF((('Dvd Calendar'!$Z$951=TYPE1)*(TYPE1&lt;&gt;"")+('Dvd Calendar'!$Z$951=TYPE2)*(TYPE2&lt;&gt;"")+('Dvd Calendar'!$Z$951=TYPE3)*(TYPE3&lt;&gt;"")+('Dvd Calendar'!$Z$951=TYPE4)*(TYPE4&lt;&gt;"")+('Dvd Calendar'!$Z$951=SPECIAL_LBL)*(INC_SPECIALS="Y"))=0,"",'Dvd Calendar'!$Z$949)))</f>
        <v/>
      </c>
      <c r="Y97" s="161">
        <f>IF(FA97="","",IF(ISNUMBER('Dvd Calendar'!$AA$949)=FALSE,"",IF((('Dvd Calendar'!$AA$951=TYPE1)*(TYPE1&lt;&gt;"")+('Dvd Calendar'!$AA$951=TYPE2)*(TYPE2&lt;&gt;"")+('Dvd Calendar'!$AA$951=TYPE3)*(TYPE3&lt;&gt;"")+('Dvd Calendar'!$AA$951=TYPE4)*(TYPE4&lt;&gt;"")+('Dvd Calendar'!$AA$951=SPECIAL_LBL)*(INC_SPECIALS="Y"))=0,"",'Dvd Calendar'!$AA$949)))</f>
        <v/>
      </c>
      <c r="Z97" s="161">
        <f>IF(FB97="","",IF(ISNUMBER('Dvd Calendar'!$AB$949)=FALSE,"",IF((('Dvd Calendar'!$AB$951=TYPE1)*(TYPE1&lt;&gt;"")+('Dvd Calendar'!$AB$951=TYPE2)*(TYPE2&lt;&gt;"")+('Dvd Calendar'!$AB$951=TYPE3)*(TYPE3&lt;&gt;"")+('Dvd Calendar'!$AB$951=TYPE4)*(TYPE4&lt;&gt;"")+('Dvd Calendar'!$AB$951=SPECIAL_LBL)*(INC_SPECIALS="Y"))=0,"",'Dvd Calendar'!$AB$949)))</f>
        <v/>
      </c>
      <c r="AA97" s="161">
        <f>IF(FC97="","",IF(ISNUMBER('Dvd Calendar'!$AC$949)=FALSE,"",IF((('Dvd Calendar'!$AC$951=TYPE1)*(TYPE1&lt;&gt;"")+('Dvd Calendar'!$AC$951=TYPE2)*(TYPE2&lt;&gt;"")+('Dvd Calendar'!$AC$951=TYPE3)*(TYPE3&lt;&gt;"")+('Dvd Calendar'!$AC$951=TYPE4)*(TYPE4&lt;&gt;"")+('Dvd Calendar'!$AC$951=SPECIAL_LBL)*(INC_SPECIALS="Y"))=0,"",'Dvd Calendar'!$AC$949)))</f>
        <v/>
      </c>
      <c r="AB97" s="161">
        <f>IF(FD97="","",IF(ISNUMBER('Dvd Calendar'!$AD$949)=FALSE,"",IF((('Dvd Calendar'!$AD$951=TYPE1)*(TYPE1&lt;&gt;"")+('Dvd Calendar'!$AD$951=TYPE2)*(TYPE2&lt;&gt;"")+('Dvd Calendar'!$AD$951=TYPE3)*(TYPE3&lt;&gt;"")+('Dvd Calendar'!$AD$951=TYPE4)*(TYPE4&lt;&gt;"")+('Dvd Calendar'!$AD$951=SPECIAL_LBL)*(INC_SPECIALS="Y"))=0,"",'Dvd Calendar'!$AD$949)))</f>
        <v/>
      </c>
      <c r="AC97" s="161">
        <f>IF(FE97="","",IF(ISNUMBER('Dvd Calendar'!$AE$949)=FALSE,"",IF((('Dvd Calendar'!$AE$951=TYPE1)*(TYPE1&lt;&gt;"")+('Dvd Calendar'!$AE$951=TYPE2)*(TYPE2&lt;&gt;"")+('Dvd Calendar'!$AE$951=TYPE3)*(TYPE3&lt;&gt;"")+('Dvd Calendar'!$AE$951=TYPE4)*(TYPE4&lt;&gt;"")+('Dvd Calendar'!$AE$951=SPECIAL_LBL)*(INC_SPECIALS="Y"))=0,"",'Dvd Calendar'!$AE$949)))</f>
        <v/>
      </c>
      <c r="AD97" s="161">
        <f>IF(FF97="","",IF(ISNUMBER('Dvd Calendar'!$AF$949)=FALSE,"",IF((('Dvd Calendar'!$AF$951=TYPE1)*(TYPE1&lt;&gt;"")+('Dvd Calendar'!$AF$951=TYPE2)*(TYPE2&lt;&gt;"")+('Dvd Calendar'!$AF$951=TYPE3)*(TYPE3&lt;&gt;"")+('Dvd Calendar'!$AF$951=TYPE4)*(TYPE4&lt;&gt;"")+('Dvd Calendar'!$AF$951=SPECIAL_LBL)*(INC_SPECIALS="Y"))=0,"",'Dvd Calendar'!$AF$949)))</f>
        <v/>
      </c>
      <c r="AE97" s="161">
        <f>IF(FG97="","",IF(ISNUMBER('Dvd Calendar'!$AG$949)=FALSE,"",IF((('Dvd Calendar'!$AG$951=TYPE1)*(TYPE1&lt;&gt;"")+('Dvd Calendar'!$AG$951=TYPE2)*(TYPE2&lt;&gt;"")+('Dvd Calendar'!$AG$951=TYPE3)*(TYPE3&lt;&gt;"")+('Dvd Calendar'!$AG$951=TYPE4)*(TYPE4&lt;&gt;"")+('Dvd Calendar'!$AG$951=SPECIAL_LBL)*(INC_SPECIALS="Y"))=0,"",'Dvd Calendar'!$AG$949)))</f>
        <v/>
      </c>
      <c r="AF97" s="161">
        <f>IF(FH97="","",IF(ISNUMBER('Dvd Calendar'!$AH$949)=FALSE,"",IF((('Dvd Calendar'!$AH$951=TYPE1)*(TYPE1&lt;&gt;"")+('Dvd Calendar'!$AH$951=TYPE2)*(TYPE2&lt;&gt;"")+('Dvd Calendar'!$AH$951=TYPE3)*(TYPE3&lt;&gt;"")+('Dvd Calendar'!$AH$951=TYPE4)*(TYPE4&lt;&gt;"")+('Dvd Calendar'!$AH$951=SPECIAL_LBL)*(INC_SPECIALS="Y"))=0,"",'Dvd Calendar'!$AH$949)))</f>
        <v/>
      </c>
      <c r="AG97" s="161">
        <f>IF(FI97="","",IF(ISNUMBER('Dvd Calendar'!$AI$949)=FALSE,"",IF((('Dvd Calendar'!$AI$951=TYPE1)*(TYPE1&lt;&gt;"")+('Dvd Calendar'!$AI$951=TYPE2)*(TYPE2&lt;&gt;"")+('Dvd Calendar'!$AI$951=TYPE3)*(TYPE3&lt;&gt;"")+('Dvd Calendar'!$AI$951=TYPE4)*(TYPE4&lt;&gt;"")+('Dvd Calendar'!$AI$951=SPECIAL_LBL)*(INC_SPECIALS="Y"))=0,"",'Dvd Calendar'!$AI$949)))</f>
        <v/>
      </c>
      <c r="AH97" s="161">
        <f>IF(FJ97="","",IF(ISNUMBER('Dvd Calendar'!$AJ$949)=FALSE,"",IF((('Dvd Calendar'!$AJ$951=TYPE1)*(TYPE1&lt;&gt;"")+('Dvd Calendar'!$AJ$951=TYPE2)*(TYPE2&lt;&gt;"")+('Dvd Calendar'!$AJ$951=TYPE3)*(TYPE3&lt;&gt;"")+('Dvd Calendar'!$AJ$951=TYPE4)*(TYPE4&lt;&gt;"")+('Dvd Calendar'!$AJ$951=SPECIAL_LBL)*(INC_SPECIALS="Y"))=0,"",'Dvd Calendar'!$AJ$949)))</f>
        <v/>
      </c>
      <c r="AI97" s="161">
        <f>IF(FK97="","",IF(ISNUMBER('Dvd Calendar'!$AK$949)=FALSE,"",IF((('Dvd Calendar'!$AK$951=TYPE1)*(TYPE1&lt;&gt;"")+('Dvd Calendar'!$AK$951=TYPE2)*(TYPE2&lt;&gt;"")+('Dvd Calendar'!$AK$951=TYPE3)*(TYPE3&lt;&gt;"")+('Dvd Calendar'!$AK$951=TYPE4)*(TYPE4&lt;&gt;"")+('Dvd Calendar'!$AK$951=SPECIAL_LBL)*(INC_SPECIALS="Y"))=0,"",'Dvd Calendar'!$AK$949)))</f>
        <v/>
      </c>
      <c r="AJ97" s="161">
        <f>IF(FL97="","",IF(ISNUMBER('Dvd Calendar'!$AL$949)=FALSE,"",IF((('Dvd Calendar'!$AL$951=TYPE1)*(TYPE1&lt;&gt;"")+('Dvd Calendar'!$AL$951=TYPE2)*(TYPE2&lt;&gt;"")+('Dvd Calendar'!$AL$951=TYPE3)*(TYPE3&lt;&gt;"")+('Dvd Calendar'!$AL$951=TYPE4)*(TYPE4&lt;&gt;"")+('Dvd Calendar'!$AL$951=SPECIAL_LBL)*(INC_SPECIALS="Y"))=0,"",'Dvd Calendar'!$AL$949)))</f>
        <v/>
      </c>
      <c r="AK97" s="161">
        <f>IF(FM97="","",IF(ISNUMBER('Dvd Calendar'!$AM$949)=FALSE,"",IF((('Dvd Calendar'!$AM$951=TYPE1)*(TYPE1&lt;&gt;"")+('Dvd Calendar'!$AM$951=TYPE2)*(TYPE2&lt;&gt;"")+('Dvd Calendar'!$AM$951=TYPE3)*(TYPE3&lt;&gt;"")+('Dvd Calendar'!$AM$951=TYPE4)*(TYPE4&lt;&gt;"")+('Dvd Calendar'!$AM$951=SPECIAL_LBL)*(INC_SPECIALS="Y"))=0,"",'Dvd Calendar'!$AM$949)))</f>
        <v/>
      </c>
      <c r="AL97" s="161">
        <f>IF(FN97="","",IF(ISNUMBER('Dvd Calendar'!$AN$949)=FALSE,"",IF((('Dvd Calendar'!$AN$951=TYPE1)*(TYPE1&lt;&gt;"")+('Dvd Calendar'!$AN$951=TYPE2)*(TYPE2&lt;&gt;"")+('Dvd Calendar'!$AN$951=TYPE3)*(TYPE3&lt;&gt;"")+('Dvd Calendar'!$AN$951=TYPE4)*(TYPE4&lt;&gt;"")+('Dvd Calendar'!$AN$951=SPECIAL_LBL)*(INC_SPECIALS="Y"))=0,"",'Dvd Calendar'!$AN$949)))</f>
        <v/>
      </c>
      <c r="AM97" s="161">
        <f>IF(FO97="","",IF(ISNUMBER('Dvd Calendar'!$AO$949)=FALSE,"",IF((('Dvd Calendar'!$AO$951=TYPE1)*(TYPE1&lt;&gt;"")+('Dvd Calendar'!$AO$951=TYPE2)*(TYPE2&lt;&gt;"")+('Dvd Calendar'!$AO$951=TYPE3)*(TYPE3&lt;&gt;"")+('Dvd Calendar'!$AO$951=TYPE4)*(TYPE4&lt;&gt;"")+('Dvd Calendar'!$AO$951=SPECIAL_LBL)*(INC_SPECIALS="Y"))=0,"",'Dvd Calendar'!$AO$949)))</f>
        <v/>
      </c>
      <c r="AN97" s="161">
        <f>IF(FP97="","",IF(ISNUMBER('Dvd Calendar'!$AP$949)=FALSE,"",IF((('Dvd Calendar'!$AP$951=TYPE1)*(TYPE1&lt;&gt;"")+('Dvd Calendar'!$AP$951=TYPE2)*(TYPE2&lt;&gt;"")+('Dvd Calendar'!$AP$951=TYPE3)*(TYPE3&lt;&gt;"")+('Dvd Calendar'!$AP$951=TYPE4)*(TYPE4&lt;&gt;"")+('Dvd Calendar'!$AP$951=SPECIAL_LBL)*(INC_SPECIALS="Y"))=0,"",'Dvd Calendar'!$AP$949)))</f>
        <v/>
      </c>
      <c r="AO97" s="161">
        <f>IF(FQ97="","",IF(ISNUMBER('Dvd Calendar'!$AQ$949)=FALSE,"",IF((('Dvd Calendar'!$AQ$951=TYPE1)*(TYPE1&lt;&gt;"")+('Dvd Calendar'!$AQ$951=TYPE2)*(TYPE2&lt;&gt;"")+('Dvd Calendar'!$AQ$951=TYPE3)*(TYPE3&lt;&gt;"")+('Dvd Calendar'!$AQ$951=TYPE4)*(TYPE4&lt;&gt;"")+('Dvd Calendar'!$AQ$951=SPECIAL_LBL)*(INC_SPECIALS="Y"))=0,"",'Dvd Calendar'!$AQ$949)))</f>
        <v/>
      </c>
      <c r="AP97" s="161">
        <f>IF(FR97="","",IF(ISNUMBER('Dvd Calendar'!$AR$949)=FALSE,"",IF((('Dvd Calendar'!$AR$951=TYPE1)*(TYPE1&lt;&gt;"")+('Dvd Calendar'!$AR$951=TYPE2)*(TYPE2&lt;&gt;"")+('Dvd Calendar'!$AR$951=TYPE3)*(TYPE3&lt;&gt;"")+('Dvd Calendar'!$AR$951=TYPE4)*(TYPE4&lt;&gt;"")+('Dvd Calendar'!$AR$951=SPECIAL_LBL)*(INC_SPECIALS="Y"))=0,"",'Dvd Calendar'!$AR$949)))</f>
        <v/>
      </c>
      <c r="AQ97" s="161">
        <f>IF(FS97="","",IF(ISNUMBER('Dvd Calendar'!$E$954)=FALSE,"",'Dvd Calendar'!$E$954))</f>
        <v/>
      </c>
      <c r="AR97" s="161">
        <f>IF(FT97="","",IF(ISNUMBER('Dvd Calendar'!$F$954)=FALSE,"",'Dvd Calendar'!$F$954))</f>
        <v/>
      </c>
      <c r="AS97" s="161">
        <f>IF(FU97="","",IF(ISNUMBER('Dvd Calendar'!$G$954)=FALSE,"",'Dvd Calendar'!$G$954))</f>
        <v/>
      </c>
      <c r="AT97" s="161">
        <f>IF(FV97="","",IF(ISNUMBER('Dvd Calendar'!$H$954)=FALSE,"",'Dvd Calendar'!$H$954))</f>
        <v/>
      </c>
      <c r="AU97" s="161">
        <f>IF(FW97="","",IF(ISNUMBER('Dvd Calendar'!$I$954)=FALSE,"",'Dvd Calendar'!$I$954))</f>
        <v/>
      </c>
      <c r="AV97" s="161">
        <f>IF(FX97="","",IF(ISNUMBER('Dvd Calendar'!$J$954)=FALSE,"",'Dvd Calendar'!$J$954))</f>
        <v/>
      </c>
      <c r="AW97" s="161">
        <f>IF(FY97="","",IF(ISNUMBER('Dvd Calendar'!$K$954)=FALSE,"",'Dvd Calendar'!$K$954))</f>
        <v/>
      </c>
      <c r="AX97" s="161">
        <f>IF(FZ97="","",IF(ISNUMBER('Dvd Calendar'!$L$954)=FALSE,"",'Dvd Calendar'!$L$954))</f>
        <v/>
      </c>
      <c r="AY97" s="161">
        <f>IF(GA97="","",IF(ISNUMBER('Dvd Calendar'!$M$954)=FALSE,"",'Dvd Calendar'!$M$954))</f>
        <v/>
      </c>
      <c r="AZ97" s="161">
        <f>IF(GB97="","",IF(ISNUMBER('Dvd Calendar'!$N$954)=FALSE,"",'Dvd Calendar'!$N$954))</f>
        <v/>
      </c>
      <c r="BA97" s="161">
        <f>IF(GC97="","",IF(ISNUMBER('Dvd Calendar'!$O$954)=FALSE,"",'Dvd Calendar'!$O$954))</f>
        <v/>
      </c>
      <c r="BB97" s="161">
        <f>IF(GD97="","",IF(ISNUMBER('Dvd Calendar'!$P$954)=FALSE,"",'Dvd Calendar'!$P$954))</f>
        <v/>
      </c>
      <c r="BC97" s="161">
        <f>IF(GE97="","",IF(ISNUMBER('Dvd Calendar'!$Q$954)=FALSE,"",'Dvd Calendar'!$Q$954))</f>
        <v/>
      </c>
      <c r="BD97" s="161">
        <f>IF(GF97="","",IF(ISNUMBER('Dvd Calendar'!$R$954)=FALSE,"",'Dvd Calendar'!$R$954))</f>
        <v/>
      </c>
      <c r="BE97" s="161">
        <f>IF(GG97="","",IF(ISNUMBER('Dvd Calendar'!$S$954)=FALSE,"",'Dvd Calendar'!$S$954))</f>
        <v/>
      </c>
      <c r="BF97" s="161">
        <f>IF(GH97="","",IF(ISNUMBER('Dvd Calendar'!$T$954)=FALSE,"",'Dvd Calendar'!$T$954))</f>
        <v/>
      </c>
      <c r="BG97" s="161">
        <f>IF(GI97="","",IF(ISNUMBER('Dvd Calendar'!$U$954)=FALSE,"",'Dvd Calendar'!$U$954))</f>
        <v/>
      </c>
      <c r="BH97" s="161">
        <f>IF(GJ97="","",IF(ISNUMBER('Dvd Calendar'!$V$954)=FALSE,"",'Dvd Calendar'!$V$954))</f>
        <v/>
      </c>
      <c r="BI97" s="161">
        <f>IF(GK97="","",IF(ISNUMBER('Dvd Calendar'!$W$954)=FALSE,"",'Dvd Calendar'!$W$954))</f>
        <v/>
      </c>
      <c r="BJ97" s="161">
        <f>IF(GL97="","",IF(ISNUMBER('Dvd Calendar'!$X$954)=FALSE,"",'Dvd Calendar'!$X$954))</f>
        <v/>
      </c>
      <c r="BK97" s="161">
        <f>IF(GM97="","",IF(ISNUMBER('Dvd Calendar'!$Y$954)=FALSE,"",'Dvd Calendar'!$Y$954))</f>
        <v/>
      </c>
      <c r="BL97" s="161">
        <f>IF(GN97="","",IF(ISNUMBER('Dvd Calendar'!$Z$954)=FALSE,"",'Dvd Calendar'!$Z$954))</f>
        <v/>
      </c>
      <c r="BM97" s="161">
        <f>IF(GO97="","",IF(ISNUMBER('Dvd Calendar'!$AA$954)=FALSE,"",'Dvd Calendar'!$AA$954))</f>
        <v/>
      </c>
      <c r="BN97" s="161">
        <f>IF(GP97="","",IF(ISNUMBER('Dvd Calendar'!$AB$954)=FALSE,"",'Dvd Calendar'!$AB$954))</f>
        <v/>
      </c>
      <c r="BO97" s="161">
        <f>IF(GQ97="","",IF(ISNUMBER('Dvd Calendar'!$AC$954)=FALSE,"",'Dvd Calendar'!$AC$954))</f>
        <v/>
      </c>
      <c r="BQ97" s="161">
        <f>IF(C97="","",IFERROR(C97*HSI!$B$92*HSI!$G$92/HSI!$B$3,""))</f>
        <v/>
      </c>
      <c r="BR97" s="161">
        <f>IF(D97="","",IFERROR(D97*HSI!$B$92*HSI!$G$92/HSI!$B$3,""))</f>
        <v/>
      </c>
      <c r="BS97" s="161">
        <f>IF(E97="","",IFERROR(E97*HSI!$B$92*HSI!$G$92/HSI!$B$3,""))</f>
        <v/>
      </c>
      <c r="BT97" s="161">
        <f>IF(F97="","",IFERROR(F97*HSI!$B$92*HSI!$G$92/HSI!$B$3,""))</f>
        <v/>
      </c>
      <c r="BU97" s="161">
        <f>IF(G97="","",IFERROR(G97*HSI!$B$92*HSI!$G$92/HSI!$B$3,""))</f>
        <v/>
      </c>
      <c r="BV97" s="161">
        <f>IF(H97="","",IFERROR(H97*HSI!$B$92*HSI!$G$92/HSI!$B$3,""))</f>
        <v/>
      </c>
      <c r="BW97" s="161">
        <f>IF(I97="","",IFERROR(I97*HSI!$B$92*HSI!$G$92/HSI!$B$3,""))</f>
        <v/>
      </c>
      <c r="BX97" s="161">
        <f>IF(J97="","",IFERROR(J97*HSI!$B$92*HSI!$G$92/HSI!$B$3,""))</f>
        <v/>
      </c>
      <c r="BY97" s="161">
        <f>IF(K97="","",IFERROR(K97*HSI!$B$92*HSI!$G$92/HSI!$B$3,""))</f>
        <v/>
      </c>
      <c r="BZ97" s="161">
        <f>IF(L97="","",IFERROR(L97*HSI!$B$92*HSI!$G$92/HSI!$B$3,""))</f>
        <v/>
      </c>
      <c r="CA97" s="161">
        <f>IF(M97="","",IFERROR(M97*HSI!$B$92*HSI!$G$92/HSI!$B$3,""))</f>
        <v/>
      </c>
      <c r="CB97" s="161">
        <f>IF(N97="","",IFERROR(N97*HSI!$B$92*HSI!$G$92/HSI!$B$3,""))</f>
        <v/>
      </c>
      <c r="CC97" s="161">
        <f>IF(O97="","",IFERROR(O97*HSI!$B$92*HSI!$G$92/HSI!$B$3,""))</f>
        <v/>
      </c>
      <c r="CD97" s="161">
        <f>IF(P97="","",IFERROR(P97*HSI!$B$92*HSI!$G$92/HSI!$B$3,""))</f>
        <v/>
      </c>
      <c r="CE97" s="161">
        <f>IF(Q97="","",IFERROR(Q97*HSI!$B$92*HSI!$G$92/HSI!$B$3,""))</f>
        <v/>
      </c>
      <c r="CF97" s="161">
        <f>IF(R97="","",IFERROR(R97*HSI!$B$92*HSI!$G$92/HSI!$B$3,""))</f>
        <v/>
      </c>
      <c r="CG97" s="161">
        <f>IF(S97="","",IFERROR(S97*HSI!$B$92*HSI!$G$92/HSI!$B$3,""))</f>
        <v/>
      </c>
      <c r="CH97" s="161">
        <f>IF(T97="","",IFERROR(T97*HSI!$B$92*HSI!$G$92/HSI!$B$3,""))</f>
        <v/>
      </c>
      <c r="CI97" s="161">
        <f>IF(U97="","",IFERROR(U97*HSI!$B$92*HSI!$G$92/HSI!$B$3,""))</f>
        <v/>
      </c>
      <c r="CJ97" s="161">
        <f>IF(V97="","",IFERROR(V97*HSI!$B$92*HSI!$G$92/HSI!$B$3,""))</f>
        <v/>
      </c>
      <c r="CK97" s="161">
        <f>IF(W97="","",IFERROR(W97*HSI!$B$92*HSI!$G$92/HSI!$B$3,""))</f>
        <v/>
      </c>
      <c r="CL97" s="161">
        <f>IF(X97="","",IFERROR(X97*HSI!$B$92*HSI!$G$92/HSI!$B$3,""))</f>
        <v/>
      </c>
      <c r="CM97" s="161">
        <f>IF(Y97="","",IFERROR(Y97*HSI!$B$92*HSI!$G$92/HSI!$B$3,""))</f>
        <v/>
      </c>
      <c r="CN97" s="161">
        <f>IF(Z97="","",IFERROR(Z97*HSI!$B$92*HSI!$G$92/HSI!$B$3,""))</f>
        <v/>
      </c>
      <c r="CO97" s="161">
        <f>IF(AA97="","",IFERROR(AA97*HSI!$B$92*HSI!$G$92/HSI!$B$3,""))</f>
        <v/>
      </c>
      <c r="CP97" s="161">
        <f>IF(AB97="","",IFERROR(AB97*HSI!$B$92*HSI!$G$92/HSI!$B$3,""))</f>
        <v/>
      </c>
      <c r="CQ97" s="161">
        <f>IF(AC97="","",IFERROR(AC97*HSI!$B$92*HSI!$G$92/HSI!$B$3,""))</f>
        <v/>
      </c>
      <c r="CR97" s="161">
        <f>IF(AD97="","",IFERROR(AD97*HSI!$B$92*HSI!$G$92/HSI!$B$3,""))</f>
        <v/>
      </c>
      <c r="CS97" s="161">
        <f>IF(AE97="","",IFERROR(AE97*HSI!$B$92*HSI!$G$92/HSI!$B$3,""))</f>
        <v/>
      </c>
      <c r="CT97" s="161">
        <f>IF(AF97="","",IFERROR(AF97*HSI!$B$92*HSI!$G$92/HSI!$B$3,""))</f>
        <v/>
      </c>
      <c r="CU97" s="161">
        <f>IF(AG97="","",IFERROR(AG97*HSI!$B$92*HSI!$G$92/HSI!$B$3,""))</f>
        <v/>
      </c>
      <c r="CV97" s="161">
        <f>IF(AH97="","",IFERROR(AH97*HSI!$B$92*HSI!$G$92/HSI!$B$3,""))</f>
        <v/>
      </c>
      <c r="CW97" s="161">
        <f>IF(AI97="","",IFERROR(AI97*HSI!$B$92*HSI!$G$92/HSI!$B$3,""))</f>
        <v/>
      </c>
      <c r="CX97" s="161">
        <f>IF(AJ97="","",IFERROR(AJ97*HSI!$B$92*HSI!$G$92/HSI!$B$3,""))</f>
        <v/>
      </c>
      <c r="CY97" s="161">
        <f>IF(AK97="","",IFERROR(AK97*HSI!$B$92*HSI!$G$92/HSI!$B$3,""))</f>
        <v/>
      </c>
      <c r="CZ97" s="161">
        <f>IF(AL97="","",IFERROR(AL97*HSI!$B$92*HSI!$G$92/HSI!$B$3,""))</f>
        <v/>
      </c>
      <c r="DA97" s="161">
        <f>IF(AM97="","",IFERROR(AM97*HSI!$B$92*HSI!$G$92/HSI!$B$3,""))</f>
        <v/>
      </c>
      <c r="DB97" s="161">
        <f>IF(AN97="","",IFERROR(AN97*HSI!$B$92*HSI!$G$92/HSI!$B$3,""))</f>
        <v/>
      </c>
      <c r="DC97" s="161">
        <f>IF(AO97="","",IFERROR(AO97*HSI!$B$92*HSI!$G$92/HSI!$B$3,""))</f>
        <v/>
      </c>
      <c r="DD97" s="161">
        <f>IF(AP97="","",IFERROR(AP97*HSI!$B$92*HSI!$G$92/HSI!$B$3,""))</f>
        <v/>
      </c>
      <c r="DE97" s="161">
        <f>IF(AQ97="","",IFERROR(AQ97*HSI!$B$92*HSI!$G$92/HSI!$B$3,""))</f>
        <v/>
      </c>
      <c r="DF97" s="161">
        <f>IF(AR97="","",IFERROR(AR97*HSI!$B$92*HSI!$G$92/HSI!$B$3,""))</f>
        <v/>
      </c>
      <c r="DG97" s="161">
        <f>IF(AS97="","",IFERROR(AS97*HSI!$B$92*HSI!$G$92/HSI!$B$3,""))</f>
        <v/>
      </c>
      <c r="DH97" s="161">
        <f>IF(AT97="","",IFERROR(AT97*HSI!$B$92*HSI!$G$92/HSI!$B$3,""))</f>
        <v/>
      </c>
      <c r="DI97" s="161">
        <f>IF(AU97="","",IFERROR(AU97*HSI!$B$92*HSI!$G$92/HSI!$B$3,""))</f>
        <v/>
      </c>
      <c r="DJ97" s="161">
        <f>IF(AV97="","",IFERROR(AV97*HSI!$B$92*HSI!$G$92/HSI!$B$3,""))</f>
        <v/>
      </c>
      <c r="DK97" s="161">
        <f>IF(AW97="","",IFERROR(AW97*HSI!$B$92*HSI!$G$92/HSI!$B$3,""))</f>
        <v/>
      </c>
      <c r="DL97" s="161">
        <f>IF(AX97="","",IFERROR(AX97*HSI!$B$92*HSI!$G$92/HSI!$B$3,""))</f>
        <v/>
      </c>
      <c r="DM97" s="161">
        <f>IF(AY97="","",IFERROR(AY97*HSI!$B$92*HSI!$G$92/HSI!$B$3,""))</f>
        <v/>
      </c>
      <c r="DN97" s="161">
        <f>IF(AZ97="","",IFERROR(AZ97*HSI!$B$92*HSI!$G$92/HSI!$B$3,""))</f>
        <v/>
      </c>
      <c r="DO97" s="161">
        <f>IF(BA97="","",IFERROR(BA97*HSI!$B$92*HSI!$G$92/HSI!$B$3,""))</f>
        <v/>
      </c>
      <c r="DP97" s="161">
        <f>IF(BB97="","",IFERROR(BB97*HSI!$B$92*HSI!$G$92/HSI!$B$3,""))</f>
        <v/>
      </c>
      <c r="DQ97" s="161">
        <f>IF(BC97="","",IFERROR(BC97*HSI!$B$92*HSI!$G$92/HSI!$B$3,""))</f>
        <v/>
      </c>
      <c r="DR97" s="161">
        <f>IF(BD97="","",IFERROR(BD97*HSI!$B$92*HSI!$G$92/HSI!$B$3,""))</f>
        <v/>
      </c>
      <c r="DS97" s="161">
        <f>IF(BE97="","",IFERROR(BE97*HSI!$B$92*HSI!$G$92/HSI!$B$3,""))</f>
        <v/>
      </c>
      <c r="DT97" s="161">
        <f>IF(BF97="","",IFERROR(BF97*HSI!$B$92*HSI!$G$92/HSI!$B$3,""))</f>
        <v/>
      </c>
      <c r="DU97" s="161">
        <f>IF(BG97="","",IFERROR(BG97*HSI!$B$92*HSI!$G$92/HSI!$B$3,""))</f>
        <v/>
      </c>
      <c r="DV97" s="161">
        <f>IF(BH97="","",IFERROR(BH97*HSI!$B$92*HSI!$G$92/HSI!$B$3,""))</f>
        <v/>
      </c>
      <c r="DW97" s="161">
        <f>IF(BI97="","",IFERROR(BI97*HSI!$B$92*HSI!$G$92/HSI!$B$3,""))</f>
        <v/>
      </c>
      <c r="DX97" s="161">
        <f>IF(BJ97="","",IFERROR(BJ97*HSI!$B$92*HSI!$G$92/HSI!$B$3,""))</f>
        <v/>
      </c>
      <c r="DY97" s="161">
        <f>IF(BK97="","",IFERROR(BK97*HSI!$B$92*HSI!$G$92/HSI!$B$3,""))</f>
        <v/>
      </c>
      <c r="DZ97" s="161">
        <f>IF(BL97="","",IFERROR(BL97*HSI!$B$92*HSI!$G$92/HSI!$B$3,""))</f>
        <v/>
      </c>
      <c r="EA97" s="161">
        <f>IF(BM97="","",IFERROR(BM97*HSI!$B$92*HSI!$G$92/HSI!$B$3,""))</f>
        <v/>
      </c>
      <c r="EB97" s="161">
        <f>IF(BN97="","",IFERROR(BN97*HSI!$B$92*HSI!$G$92/HSI!$B$3,""))</f>
        <v/>
      </c>
      <c r="EC97" s="161">
        <f>IF(BO97="","",IFERROR(BO97*HSI!$B$92*HSI!$G$92/HSI!$B$3,""))</f>
        <v/>
      </c>
      <c r="EE97" s="121">
        <f>IF(N('Dvd Calendar'!$E$946)=0,"",IF(('Dvd Calendar'!$E$946&gt;=GRID_FROM)*('Dvd Calendar'!$E$946&lt;=GRID_TO)*((('Dvd Calendar'!$E$946&lt;=VAL_DATE)+(COUNTIF('Dvd Calendar'!$E$953:$AR$953,'Dvd Calendar'!$E$946)=0))&gt;0)=0,"",'Dvd Calendar'!$E$946*1000000000+ISNUMBER('Dvd Calendar'!$E$949)*100000000+('Dvd Calendar'!$E$951=SPECIAL_LBL)*10000000+(N('Dvd Calendar'!$E$945)&gt;0)*(N('Dvd Calendar'!$E$945)&lt;=VAL_SERIAL)*1000000+86*1000+1))</f>
        <v/>
      </c>
      <c r="EF97" s="121">
        <f>IF(N('Dvd Calendar'!$F$946)=0,"",IF(('Dvd Calendar'!$F$946&gt;=GRID_FROM)*('Dvd Calendar'!$F$946&lt;=GRID_TO)*((('Dvd Calendar'!$F$946&lt;=VAL_DATE)+(COUNTIF('Dvd Calendar'!$E$953:$AR$953,'Dvd Calendar'!$F$946)=0))&gt;0)=0,"",'Dvd Calendar'!$F$946*1000000000+ISNUMBER('Dvd Calendar'!$F$949)*100000000+('Dvd Calendar'!$F$951=SPECIAL_LBL)*10000000+(N('Dvd Calendar'!$F$945)&gt;0)*(N('Dvd Calendar'!$F$945)&lt;=VAL_SERIAL)*1000000+86*1000+2))</f>
        <v/>
      </c>
      <c r="EG97" s="121">
        <f>IF(N('Dvd Calendar'!$G$946)=0,"",IF(('Dvd Calendar'!$G$946&gt;=GRID_FROM)*('Dvd Calendar'!$G$946&lt;=GRID_TO)*((('Dvd Calendar'!$G$946&lt;=VAL_DATE)+(COUNTIF('Dvd Calendar'!$E$953:$AR$953,'Dvd Calendar'!$G$946)=0))&gt;0)=0,"",'Dvd Calendar'!$G$946*1000000000+ISNUMBER('Dvd Calendar'!$G$949)*100000000+('Dvd Calendar'!$G$951=SPECIAL_LBL)*10000000+(N('Dvd Calendar'!$G$945)&gt;0)*(N('Dvd Calendar'!$G$945)&lt;=VAL_SERIAL)*1000000+86*1000+3))</f>
        <v/>
      </c>
      <c r="EH97" s="121">
        <f>IF(N('Dvd Calendar'!$H$946)=0,"",IF(('Dvd Calendar'!$H$946&gt;=GRID_FROM)*('Dvd Calendar'!$H$946&lt;=GRID_TO)*((('Dvd Calendar'!$H$946&lt;=VAL_DATE)+(COUNTIF('Dvd Calendar'!$E$953:$AR$953,'Dvd Calendar'!$H$946)=0))&gt;0)=0,"",'Dvd Calendar'!$H$946*1000000000+ISNUMBER('Dvd Calendar'!$H$949)*100000000+('Dvd Calendar'!$H$951=SPECIAL_LBL)*10000000+(N('Dvd Calendar'!$H$945)&gt;0)*(N('Dvd Calendar'!$H$945)&lt;=VAL_SERIAL)*1000000+86*1000+4))</f>
        <v/>
      </c>
      <c r="EI97" s="121">
        <f>IF(N('Dvd Calendar'!$I$946)=0,"",IF(('Dvd Calendar'!$I$946&gt;=GRID_FROM)*('Dvd Calendar'!$I$946&lt;=GRID_TO)*((('Dvd Calendar'!$I$946&lt;=VAL_DATE)+(COUNTIF('Dvd Calendar'!$E$953:$AR$953,'Dvd Calendar'!$I$946)=0))&gt;0)=0,"",'Dvd Calendar'!$I$946*1000000000+ISNUMBER('Dvd Calendar'!$I$949)*100000000+('Dvd Calendar'!$I$951=SPECIAL_LBL)*10000000+(N('Dvd Calendar'!$I$945)&gt;0)*(N('Dvd Calendar'!$I$945)&lt;=VAL_SERIAL)*1000000+86*1000+5))</f>
        <v/>
      </c>
      <c r="EJ97" s="121">
        <f>IF(N('Dvd Calendar'!$J$946)=0,"",IF(('Dvd Calendar'!$J$946&gt;=GRID_FROM)*('Dvd Calendar'!$J$946&lt;=GRID_TO)*((('Dvd Calendar'!$J$946&lt;=VAL_DATE)+(COUNTIF('Dvd Calendar'!$E$953:$AR$953,'Dvd Calendar'!$J$946)=0))&gt;0)=0,"",'Dvd Calendar'!$J$946*1000000000+ISNUMBER('Dvd Calendar'!$J$949)*100000000+('Dvd Calendar'!$J$951=SPECIAL_LBL)*10000000+(N('Dvd Calendar'!$J$945)&gt;0)*(N('Dvd Calendar'!$J$945)&lt;=VAL_SERIAL)*1000000+86*1000+6))</f>
        <v/>
      </c>
      <c r="EK97" s="121">
        <f>IF(N('Dvd Calendar'!$K$946)=0,"",IF(('Dvd Calendar'!$K$946&gt;=GRID_FROM)*('Dvd Calendar'!$K$946&lt;=GRID_TO)*((('Dvd Calendar'!$K$946&lt;=VAL_DATE)+(COUNTIF('Dvd Calendar'!$E$953:$AR$953,'Dvd Calendar'!$K$946)=0))&gt;0)=0,"",'Dvd Calendar'!$K$946*1000000000+ISNUMBER('Dvd Calendar'!$K$949)*100000000+('Dvd Calendar'!$K$951=SPECIAL_LBL)*10000000+(N('Dvd Calendar'!$K$945)&gt;0)*(N('Dvd Calendar'!$K$945)&lt;=VAL_SERIAL)*1000000+86*1000+7))</f>
        <v/>
      </c>
      <c r="EL97" s="121">
        <f>IF(N('Dvd Calendar'!$L$946)=0,"",IF(('Dvd Calendar'!$L$946&gt;=GRID_FROM)*('Dvd Calendar'!$L$946&lt;=GRID_TO)*((('Dvd Calendar'!$L$946&lt;=VAL_DATE)+(COUNTIF('Dvd Calendar'!$E$953:$AR$953,'Dvd Calendar'!$L$946)=0))&gt;0)=0,"",'Dvd Calendar'!$L$946*1000000000+ISNUMBER('Dvd Calendar'!$L$949)*100000000+('Dvd Calendar'!$L$951=SPECIAL_LBL)*10000000+(N('Dvd Calendar'!$L$945)&gt;0)*(N('Dvd Calendar'!$L$945)&lt;=VAL_SERIAL)*1000000+86*1000+8))</f>
        <v/>
      </c>
      <c r="EM97" s="121">
        <f>IF(N('Dvd Calendar'!$M$946)=0,"",IF(('Dvd Calendar'!$M$946&gt;=GRID_FROM)*('Dvd Calendar'!$M$946&lt;=GRID_TO)*((('Dvd Calendar'!$M$946&lt;=VAL_DATE)+(COUNTIF('Dvd Calendar'!$E$953:$AR$953,'Dvd Calendar'!$M$946)=0))&gt;0)=0,"",'Dvd Calendar'!$M$946*1000000000+ISNUMBER('Dvd Calendar'!$M$949)*100000000+('Dvd Calendar'!$M$951=SPECIAL_LBL)*10000000+(N('Dvd Calendar'!$M$945)&gt;0)*(N('Dvd Calendar'!$M$945)&lt;=VAL_SERIAL)*1000000+86*1000+9))</f>
        <v/>
      </c>
      <c r="EN97" s="121">
        <f>IF(N('Dvd Calendar'!$N$946)=0,"",IF(('Dvd Calendar'!$N$946&gt;=GRID_FROM)*('Dvd Calendar'!$N$946&lt;=GRID_TO)*((('Dvd Calendar'!$N$946&lt;=VAL_DATE)+(COUNTIF('Dvd Calendar'!$E$953:$AR$953,'Dvd Calendar'!$N$946)=0))&gt;0)=0,"",'Dvd Calendar'!$N$946*1000000000+ISNUMBER('Dvd Calendar'!$N$949)*100000000+('Dvd Calendar'!$N$951=SPECIAL_LBL)*10000000+(N('Dvd Calendar'!$N$945)&gt;0)*(N('Dvd Calendar'!$N$945)&lt;=VAL_SERIAL)*1000000+86*1000+10))</f>
        <v/>
      </c>
      <c r="EO97" s="121">
        <f>IF(N('Dvd Calendar'!$O$946)=0,"",IF(('Dvd Calendar'!$O$946&gt;=GRID_FROM)*('Dvd Calendar'!$O$946&lt;=GRID_TO)*((('Dvd Calendar'!$O$946&lt;=VAL_DATE)+(COUNTIF('Dvd Calendar'!$E$953:$AR$953,'Dvd Calendar'!$O$946)=0))&gt;0)=0,"",'Dvd Calendar'!$O$946*1000000000+ISNUMBER('Dvd Calendar'!$O$949)*100000000+('Dvd Calendar'!$O$951=SPECIAL_LBL)*10000000+(N('Dvd Calendar'!$O$945)&gt;0)*(N('Dvd Calendar'!$O$945)&lt;=VAL_SERIAL)*1000000+86*1000+11))</f>
        <v/>
      </c>
      <c r="EP97" s="121">
        <f>IF(N('Dvd Calendar'!$P$946)=0,"",IF(('Dvd Calendar'!$P$946&gt;=GRID_FROM)*('Dvd Calendar'!$P$946&lt;=GRID_TO)*((('Dvd Calendar'!$P$946&lt;=VAL_DATE)+(COUNTIF('Dvd Calendar'!$E$953:$AR$953,'Dvd Calendar'!$P$946)=0))&gt;0)=0,"",'Dvd Calendar'!$P$946*1000000000+ISNUMBER('Dvd Calendar'!$P$949)*100000000+('Dvd Calendar'!$P$951=SPECIAL_LBL)*10000000+(N('Dvd Calendar'!$P$945)&gt;0)*(N('Dvd Calendar'!$P$945)&lt;=VAL_SERIAL)*1000000+86*1000+12))</f>
        <v/>
      </c>
      <c r="EQ97" s="121">
        <f>IF(N('Dvd Calendar'!$Q$946)=0,"",IF(('Dvd Calendar'!$Q$946&gt;=GRID_FROM)*('Dvd Calendar'!$Q$946&lt;=GRID_TO)*((('Dvd Calendar'!$Q$946&lt;=VAL_DATE)+(COUNTIF('Dvd Calendar'!$E$953:$AR$953,'Dvd Calendar'!$Q$946)=0))&gt;0)=0,"",'Dvd Calendar'!$Q$946*1000000000+ISNUMBER('Dvd Calendar'!$Q$949)*100000000+('Dvd Calendar'!$Q$951=SPECIAL_LBL)*10000000+(N('Dvd Calendar'!$Q$945)&gt;0)*(N('Dvd Calendar'!$Q$945)&lt;=VAL_SERIAL)*1000000+86*1000+13))</f>
        <v/>
      </c>
      <c r="ER97" s="121">
        <f>IF(N('Dvd Calendar'!$R$946)=0,"",IF(('Dvd Calendar'!$R$946&gt;=GRID_FROM)*('Dvd Calendar'!$R$946&lt;=GRID_TO)*((('Dvd Calendar'!$R$946&lt;=VAL_DATE)+(COUNTIF('Dvd Calendar'!$E$953:$AR$953,'Dvd Calendar'!$R$946)=0))&gt;0)=0,"",'Dvd Calendar'!$R$946*1000000000+ISNUMBER('Dvd Calendar'!$R$949)*100000000+('Dvd Calendar'!$R$951=SPECIAL_LBL)*10000000+(N('Dvd Calendar'!$R$945)&gt;0)*(N('Dvd Calendar'!$R$945)&lt;=VAL_SERIAL)*1000000+86*1000+14))</f>
        <v/>
      </c>
      <c r="ES97" s="121">
        <f>IF(N('Dvd Calendar'!$S$946)=0,"",IF(('Dvd Calendar'!$S$946&gt;=GRID_FROM)*('Dvd Calendar'!$S$946&lt;=GRID_TO)*((('Dvd Calendar'!$S$946&lt;=VAL_DATE)+(COUNTIF('Dvd Calendar'!$E$953:$AR$953,'Dvd Calendar'!$S$946)=0))&gt;0)=0,"",'Dvd Calendar'!$S$946*1000000000+ISNUMBER('Dvd Calendar'!$S$949)*100000000+('Dvd Calendar'!$S$951=SPECIAL_LBL)*10000000+(N('Dvd Calendar'!$S$945)&gt;0)*(N('Dvd Calendar'!$S$945)&lt;=VAL_SERIAL)*1000000+86*1000+15))</f>
        <v/>
      </c>
      <c r="ET97" s="121">
        <f>IF(N('Dvd Calendar'!$T$946)=0,"",IF(('Dvd Calendar'!$T$946&gt;=GRID_FROM)*('Dvd Calendar'!$T$946&lt;=GRID_TO)*((('Dvd Calendar'!$T$946&lt;=VAL_DATE)+(COUNTIF('Dvd Calendar'!$E$953:$AR$953,'Dvd Calendar'!$T$946)=0))&gt;0)=0,"",'Dvd Calendar'!$T$946*1000000000+ISNUMBER('Dvd Calendar'!$T$949)*100000000+('Dvd Calendar'!$T$951=SPECIAL_LBL)*10000000+(N('Dvd Calendar'!$T$945)&gt;0)*(N('Dvd Calendar'!$T$945)&lt;=VAL_SERIAL)*1000000+86*1000+16))</f>
        <v/>
      </c>
      <c r="EU97" s="121">
        <f>IF(N('Dvd Calendar'!$U$946)=0,"",IF(('Dvd Calendar'!$U$946&gt;=GRID_FROM)*('Dvd Calendar'!$U$946&lt;=GRID_TO)*((('Dvd Calendar'!$U$946&lt;=VAL_DATE)+(COUNTIF('Dvd Calendar'!$E$953:$AR$953,'Dvd Calendar'!$U$946)=0))&gt;0)=0,"",'Dvd Calendar'!$U$946*1000000000+ISNUMBER('Dvd Calendar'!$U$949)*100000000+('Dvd Calendar'!$U$951=SPECIAL_LBL)*10000000+(N('Dvd Calendar'!$U$945)&gt;0)*(N('Dvd Calendar'!$U$945)&lt;=VAL_SERIAL)*1000000+86*1000+17))</f>
        <v/>
      </c>
      <c r="EV97" s="121">
        <f>IF(N('Dvd Calendar'!$V$946)=0,"",IF(('Dvd Calendar'!$V$946&gt;=GRID_FROM)*('Dvd Calendar'!$V$946&lt;=GRID_TO)*((('Dvd Calendar'!$V$946&lt;=VAL_DATE)+(COUNTIF('Dvd Calendar'!$E$953:$AR$953,'Dvd Calendar'!$V$946)=0))&gt;0)=0,"",'Dvd Calendar'!$V$946*1000000000+ISNUMBER('Dvd Calendar'!$V$949)*100000000+('Dvd Calendar'!$V$951=SPECIAL_LBL)*10000000+(N('Dvd Calendar'!$V$945)&gt;0)*(N('Dvd Calendar'!$V$945)&lt;=VAL_SERIAL)*1000000+86*1000+18))</f>
        <v/>
      </c>
      <c r="EW97" s="121">
        <f>IF(N('Dvd Calendar'!$W$946)=0,"",IF(('Dvd Calendar'!$W$946&gt;=GRID_FROM)*('Dvd Calendar'!$W$946&lt;=GRID_TO)*((('Dvd Calendar'!$W$946&lt;=VAL_DATE)+(COUNTIF('Dvd Calendar'!$E$953:$AR$953,'Dvd Calendar'!$W$946)=0))&gt;0)=0,"",'Dvd Calendar'!$W$946*1000000000+ISNUMBER('Dvd Calendar'!$W$949)*100000000+('Dvd Calendar'!$W$951=SPECIAL_LBL)*10000000+(N('Dvd Calendar'!$W$945)&gt;0)*(N('Dvd Calendar'!$W$945)&lt;=VAL_SERIAL)*1000000+86*1000+19))</f>
        <v/>
      </c>
      <c r="EX97" s="121">
        <f>IF(N('Dvd Calendar'!$X$946)=0,"",IF(('Dvd Calendar'!$X$946&gt;=GRID_FROM)*('Dvd Calendar'!$X$946&lt;=GRID_TO)*((('Dvd Calendar'!$X$946&lt;=VAL_DATE)+(COUNTIF('Dvd Calendar'!$E$953:$AR$953,'Dvd Calendar'!$X$946)=0))&gt;0)=0,"",'Dvd Calendar'!$X$946*1000000000+ISNUMBER('Dvd Calendar'!$X$949)*100000000+('Dvd Calendar'!$X$951=SPECIAL_LBL)*10000000+(N('Dvd Calendar'!$X$945)&gt;0)*(N('Dvd Calendar'!$X$945)&lt;=VAL_SERIAL)*1000000+86*1000+20))</f>
        <v/>
      </c>
      <c r="EY97" s="121">
        <f>IF(N('Dvd Calendar'!$Y$946)=0,"",IF(('Dvd Calendar'!$Y$946&gt;=GRID_FROM)*('Dvd Calendar'!$Y$946&lt;=GRID_TO)*((('Dvd Calendar'!$Y$946&lt;=VAL_DATE)+(COUNTIF('Dvd Calendar'!$E$953:$AR$953,'Dvd Calendar'!$Y$946)=0))&gt;0)=0,"",'Dvd Calendar'!$Y$946*1000000000+ISNUMBER('Dvd Calendar'!$Y$949)*100000000+('Dvd Calendar'!$Y$951=SPECIAL_LBL)*10000000+(N('Dvd Calendar'!$Y$945)&gt;0)*(N('Dvd Calendar'!$Y$945)&lt;=VAL_SERIAL)*1000000+86*1000+21))</f>
        <v/>
      </c>
      <c r="EZ97" s="121">
        <f>IF(N('Dvd Calendar'!$Z$946)=0,"",IF(('Dvd Calendar'!$Z$946&gt;=GRID_FROM)*('Dvd Calendar'!$Z$946&lt;=GRID_TO)*((('Dvd Calendar'!$Z$946&lt;=VAL_DATE)+(COUNTIF('Dvd Calendar'!$E$953:$AR$953,'Dvd Calendar'!$Z$946)=0))&gt;0)=0,"",'Dvd Calendar'!$Z$946*1000000000+ISNUMBER('Dvd Calendar'!$Z$949)*100000000+('Dvd Calendar'!$Z$951=SPECIAL_LBL)*10000000+(N('Dvd Calendar'!$Z$945)&gt;0)*(N('Dvd Calendar'!$Z$945)&lt;=VAL_SERIAL)*1000000+86*1000+22))</f>
        <v/>
      </c>
      <c r="FA97" s="121">
        <f>IF(N('Dvd Calendar'!$AA$946)=0,"",IF(('Dvd Calendar'!$AA$946&gt;=GRID_FROM)*('Dvd Calendar'!$AA$946&lt;=GRID_TO)*((('Dvd Calendar'!$AA$946&lt;=VAL_DATE)+(COUNTIF('Dvd Calendar'!$E$953:$AR$953,'Dvd Calendar'!$AA$946)=0))&gt;0)=0,"",'Dvd Calendar'!$AA$946*1000000000+ISNUMBER('Dvd Calendar'!$AA$949)*100000000+('Dvd Calendar'!$AA$951=SPECIAL_LBL)*10000000+(N('Dvd Calendar'!$AA$945)&gt;0)*(N('Dvd Calendar'!$AA$945)&lt;=VAL_SERIAL)*1000000+86*1000+23))</f>
        <v/>
      </c>
      <c r="FB97" s="121">
        <f>IF(N('Dvd Calendar'!$AB$946)=0,"",IF(('Dvd Calendar'!$AB$946&gt;=GRID_FROM)*('Dvd Calendar'!$AB$946&lt;=GRID_TO)*((('Dvd Calendar'!$AB$946&lt;=VAL_DATE)+(COUNTIF('Dvd Calendar'!$E$953:$AR$953,'Dvd Calendar'!$AB$946)=0))&gt;0)=0,"",'Dvd Calendar'!$AB$946*1000000000+ISNUMBER('Dvd Calendar'!$AB$949)*100000000+('Dvd Calendar'!$AB$951=SPECIAL_LBL)*10000000+(N('Dvd Calendar'!$AB$945)&gt;0)*(N('Dvd Calendar'!$AB$945)&lt;=VAL_SERIAL)*1000000+86*1000+24))</f>
        <v/>
      </c>
      <c r="FC97" s="121">
        <f>IF(N('Dvd Calendar'!$AC$946)=0,"",IF(('Dvd Calendar'!$AC$946&gt;=GRID_FROM)*('Dvd Calendar'!$AC$946&lt;=GRID_TO)*((('Dvd Calendar'!$AC$946&lt;=VAL_DATE)+(COUNTIF('Dvd Calendar'!$E$953:$AR$953,'Dvd Calendar'!$AC$946)=0))&gt;0)=0,"",'Dvd Calendar'!$AC$946*1000000000+ISNUMBER('Dvd Calendar'!$AC$949)*100000000+('Dvd Calendar'!$AC$951=SPECIAL_LBL)*10000000+(N('Dvd Calendar'!$AC$945)&gt;0)*(N('Dvd Calendar'!$AC$945)&lt;=VAL_SERIAL)*1000000+86*1000+25))</f>
        <v/>
      </c>
      <c r="FD97" s="121">
        <f>IF(N('Dvd Calendar'!$AD$946)=0,"",IF(('Dvd Calendar'!$AD$946&gt;=GRID_FROM)*('Dvd Calendar'!$AD$946&lt;=GRID_TO)*((('Dvd Calendar'!$AD$946&lt;=VAL_DATE)+(COUNTIF('Dvd Calendar'!$E$953:$AR$953,'Dvd Calendar'!$AD$946)=0))&gt;0)=0,"",'Dvd Calendar'!$AD$946*1000000000+ISNUMBER('Dvd Calendar'!$AD$949)*100000000+('Dvd Calendar'!$AD$951=SPECIAL_LBL)*10000000+(N('Dvd Calendar'!$AD$945)&gt;0)*(N('Dvd Calendar'!$AD$945)&lt;=VAL_SERIAL)*1000000+86*1000+26))</f>
        <v/>
      </c>
      <c r="FE97" s="121">
        <f>IF(N('Dvd Calendar'!$AE$946)=0,"",IF(('Dvd Calendar'!$AE$946&gt;=GRID_FROM)*('Dvd Calendar'!$AE$946&lt;=GRID_TO)*((('Dvd Calendar'!$AE$946&lt;=VAL_DATE)+(COUNTIF('Dvd Calendar'!$E$953:$AR$953,'Dvd Calendar'!$AE$946)=0))&gt;0)=0,"",'Dvd Calendar'!$AE$946*1000000000+ISNUMBER('Dvd Calendar'!$AE$949)*100000000+('Dvd Calendar'!$AE$951=SPECIAL_LBL)*10000000+(N('Dvd Calendar'!$AE$945)&gt;0)*(N('Dvd Calendar'!$AE$945)&lt;=VAL_SERIAL)*1000000+86*1000+27))</f>
        <v/>
      </c>
      <c r="FF97" s="121">
        <f>IF(N('Dvd Calendar'!$AF$946)=0,"",IF(('Dvd Calendar'!$AF$946&gt;=GRID_FROM)*('Dvd Calendar'!$AF$946&lt;=GRID_TO)*((('Dvd Calendar'!$AF$946&lt;=VAL_DATE)+(COUNTIF('Dvd Calendar'!$E$953:$AR$953,'Dvd Calendar'!$AF$946)=0))&gt;0)=0,"",'Dvd Calendar'!$AF$946*1000000000+ISNUMBER('Dvd Calendar'!$AF$949)*100000000+('Dvd Calendar'!$AF$951=SPECIAL_LBL)*10000000+(N('Dvd Calendar'!$AF$945)&gt;0)*(N('Dvd Calendar'!$AF$945)&lt;=VAL_SERIAL)*1000000+86*1000+28))</f>
        <v/>
      </c>
      <c r="FG97" s="121">
        <f>IF(N('Dvd Calendar'!$AG$946)=0,"",IF(('Dvd Calendar'!$AG$946&gt;=GRID_FROM)*('Dvd Calendar'!$AG$946&lt;=GRID_TO)*((('Dvd Calendar'!$AG$946&lt;=VAL_DATE)+(COUNTIF('Dvd Calendar'!$E$953:$AR$953,'Dvd Calendar'!$AG$946)=0))&gt;0)=0,"",'Dvd Calendar'!$AG$946*1000000000+ISNUMBER('Dvd Calendar'!$AG$949)*100000000+('Dvd Calendar'!$AG$951=SPECIAL_LBL)*10000000+(N('Dvd Calendar'!$AG$945)&gt;0)*(N('Dvd Calendar'!$AG$945)&lt;=VAL_SERIAL)*1000000+86*1000+29))</f>
        <v/>
      </c>
      <c r="FH97" s="121">
        <f>IF(N('Dvd Calendar'!$AH$946)=0,"",IF(('Dvd Calendar'!$AH$946&gt;=GRID_FROM)*('Dvd Calendar'!$AH$946&lt;=GRID_TO)*((('Dvd Calendar'!$AH$946&lt;=VAL_DATE)+(COUNTIF('Dvd Calendar'!$E$953:$AR$953,'Dvd Calendar'!$AH$946)=0))&gt;0)=0,"",'Dvd Calendar'!$AH$946*1000000000+ISNUMBER('Dvd Calendar'!$AH$949)*100000000+('Dvd Calendar'!$AH$951=SPECIAL_LBL)*10000000+(N('Dvd Calendar'!$AH$945)&gt;0)*(N('Dvd Calendar'!$AH$945)&lt;=VAL_SERIAL)*1000000+86*1000+30))</f>
        <v/>
      </c>
      <c r="FI97" s="121">
        <f>IF(N('Dvd Calendar'!$AI$946)=0,"",IF(('Dvd Calendar'!$AI$946&gt;=GRID_FROM)*('Dvd Calendar'!$AI$946&lt;=GRID_TO)*((('Dvd Calendar'!$AI$946&lt;=VAL_DATE)+(COUNTIF('Dvd Calendar'!$E$953:$AR$953,'Dvd Calendar'!$AI$946)=0))&gt;0)=0,"",'Dvd Calendar'!$AI$946*1000000000+ISNUMBER('Dvd Calendar'!$AI$949)*100000000+('Dvd Calendar'!$AI$951=SPECIAL_LBL)*10000000+(N('Dvd Calendar'!$AI$945)&gt;0)*(N('Dvd Calendar'!$AI$945)&lt;=VAL_SERIAL)*1000000+86*1000+31))</f>
        <v/>
      </c>
      <c r="FJ97" s="121">
        <f>IF(N('Dvd Calendar'!$AJ$946)=0,"",IF(('Dvd Calendar'!$AJ$946&gt;=GRID_FROM)*('Dvd Calendar'!$AJ$946&lt;=GRID_TO)*((('Dvd Calendar'!$AJ$946&lt;=VAL_DATE)+(COUNTIF('Dvd Calendar'!$E$953:$AR$953,'Dvd Calendar'!$AJ$946)=0))&gt;0)=0,"",'Dvd Calendar'!$AJ$946*1000000000+ISNUMBER('Dvd Calendar'!$AJ$949)*100000000+('Dvd Calendar'!$AJ$951=SPECIAL_LBL)*10000000+(N('Dvd Calendar'!$AJ$945)&gt;0)*(N('Dvd Calendar'!$AJ$945)&lt;=VAL_SERIAL)*1000000+86*1000+32))</f>
        <v/>
      </c>
      <c r="FK97" s="121">
        <f>IF(N('Dvd Calendar'!$AK$946)=0,"",IF(('Dvd Calendar'!$AK$946&gt;=GRID_FROM)*('Dvd Calendar'!$AK$946&lt;=GRID_TO)*((('Dvd Calendar'!$AK$946&lt;=VAL_DATE)+(COUNTIF('Dvd Calendar'!$E$953:$AR$953,'Dvd Calendar'!$AK$946)=0))&gt;0)=0,"",'Dvd Calendar'!$AK$946*1000000000+ISNUMBER('Dvd Calendar'!$AK$949)*100000000+('Dvd Calendar'!$AK$951=SPECIAL_LBL)*10000000+(N('Dvd Calendar'!$AK$945)&gt;0)*(N('Dvd Calendar'!$AK$945)&lt;=VAL_SERIAL)*1000000+86*1000+33))</f>
        <v/>
      </c>
      <c r="FL97" s="121">
        <f>IF(N('Dvd Calendar'!$AL$946)=0,"",IF(('Dvd Calendar'!$AL$946&gt;=GRID_FROM)*('Dvd Calendar'!$AL$946&lt;=GRID_TO)*((('Dvd Calendar'!$AL$946&lt;=VAL_DATE)+(COUNTIF('Dvd Calendar'!$E$953:$AR$953,'Dvd Calendar'!$AL$946)=0))&gt;0)=0,"",'Dvd Calendar'!$AL$946*1000000000+ISNUMBER('Dvd Calendar'!$AL$949)*100000000+('Dvd Calendar'!$AL$951=SPECIAL_LBL)*10000000+(N('Dvd Calendar'!$AL$945)&gt;0)*(N('Dvd Calendar'!$AL$945)&lt;=VAL_SERIAL)*1000000+86*1000+34))</f>
        <v/>
      </c>
      <c r="FM97" s="121">
        <f>IF(N('Dvd Calendar'!$AM$946)=0,"",IF(('Dvd Calendar'!$AM$946&gt;=GRID_FROM)*('Dvd Calendar'!$AM$946&lt;=GRID_TO)*((('Dvd Calendar'!$AM$946&lt;=VAL_DATE)+(COUNTIF('Dvd Calendar'!$E$953:$AR$953,'Dvd Calendar'!$AM$946)=0))&gt;0)=0,"",'Dvd Calendar'!$AM$946*1000000000+ISNUMBER('Dvd Calendar'!$AM$949)*100000000+('Dvd Calendar'!$AM$951=SPECIAL_LBL)*10000000+(N('Dvd Calendar'!$AM$945)&gt;0)*(N('Dvd Calendar'!$AM$945)&lt;=VAL_SERIAL)*1000000+86*1000+35))</f>
        <v/>
      </c>
      <c r="FN97" s="121">
        <f>IF(N('Dvd Calendar'!$AN$946)=0,"",IF(('Dvd Calendar'!$AN$946&gt;=GRID_FROM)*('Dvd Calendar'!$AN$946&lt;=GRID_TO)*((('Dvd Calendar'!$AN$946&lt;=VAL_DATE)+(COUNTIF('Dvd Calendar'!$E$953:$AR$953,'Dvd Calendar'!$AN$946)=0))&gt;0)=0,"",'Dvd Calendar'!$AN$946*1000000000+ISNUMBER('Dvd Calendar'!$AN$949)*100000000+('Dvd Calendar'!$AN$951=SPECIAL_LBL)*10000000+(N('Dvd Calendar'!$AN$945)&gt;0)*(N('Dvd Calendar'!$AN$945)&lt;=VAL_SERIAL)*1000000+86*1000+36))</f>
        <v/>
      </c>
      <c r="FO97" s="121">
        <f>IF(N('Dvd Calendar'!$AO$946)=0,"",IF(('Dvd Calendar'!$AO$946&gt;=GRID_FROM)*('Dvd Calendar'!$AO$946&lt;=GRID_TO)*((('Dvd Calendar'!$AO$946&lt;=VAL_DATE)+(COUNTIF('Dvd Calendar'!$E$953:$AR$953,'Dvd Calendar'!$AO$946)=0))&gt;0)=0,"",'Dvd Calendar'!$AO$946*1000000000+ISNUMBER('Dvd Calendar'!$AO$949)*100000000+('Dvd Calendar'!$AO$951=SPECIAL_LBL)*10000000+(N('Dvd Calendar'!$AO$945)&gt;0)*(N('Dvd Calendar'!$AO$945)&lt;=VAL_SERIAL)*1000000+86*1000+37))</f>
        <v/>
      </c>
      <c r="FP97" s="121">
        <f>IF(N('Dvd Calendar'!$AP$946)=0,"",IF(('Dvd Calendar'!$AP$946&gt;=GRID_FROM)*('Dvd Calendar'!$AP$946&lt;=GRID_TO)*((('Dvd Calendar'!$AP$946&lt;=VAL_DATE)+(COUNTIF('Dvd Calendar'!$E$953:$AR$953,'Dvd Calendar'!$AP$946)=0))&gt;0)=0,"",'Dvd Calendar'!$AP$946*1000000000+ISNUMBER('Dvd Calendar'!$AP$949)*100000000+('Dvd Calendar'!$AP$951=SPECIAL_LBL)*10000000+(N('Dvd Calendar'!$AP$945)&gt;0)*(N('Dvd Calendar'!$AP$945)&lt;=VAL_SERIAL)*1000000+86*1000+38))</f>
        <v/>
      </c>
      <c r="FQ97" s="121">
        <f>IF(N('Dvd Calendar'!$AQ$946)=0,"",IF(('Dvd Calendar'!$AQ$946&gt;=GRID_FROM)*('Dvd Calendar'!$AQ$946&lt;=GRID_TO)*((('Dvd Calendar'!$AQ$946&lt;=VAL_DATE)+(COUNTIF('Dvd Calendar'!$E$953:$AR$953,'Dvd Calendar'!$AQ$946)=0))&gt;0)=0,"",'Dvd Calendar'!$AQ$946*1000000000+ISNUMBER('Dvd Calendar'!$AQ$949)*100000000+('Dvd Calendar'!$AQ$951=SPECIAL_LBL)*10000000+(N('Dvd Calendar'!$AQ$945)&gt;0)*(N('Dvd Calendar'!$AQ$945)&lt;=VAL_SERIAL)*1000000+86*1000+39))</f>
        <v/>
      </c>
      <c r="FR97" s="121">
        <f>IF(N('Dvd Calendar'!$AR$946)=0,"",IF(('Dvd Calendar'!$AR$946&gt;=GRID_FROM)*('Dvd Calendar'!$AR$946&lt;=GRID_TO)*((('Dvd Calendar'!$AR$946&lt;=VAL_DATE)+(COUNTIF('Dvd Calendar'!$E$953:$AR$953,'Dvd Calendar'!$AR$946)=0))&gt;0)=0,"",'Dvd Calendar'!$AR$946*1000000000+ISNUMBER('Dvd Calendar'!$AR$949)*100000000+('Dvd Calendar'!$AR$951=SPECIAL_LBL)*10000000+(N('Dvd Calendar'!$AR$945)&gt;0)*(N('Dvd Calendar'!$AR$945)&lt;=VAL_SERIAL)*1000000+86*1000+40))</f>
        <v/>
      </c>
      <c r="FS97" s="121">
        <f>IF(N('Dvd Calendar'!$E$953)=0,"",IF(('Dvd Calendar'!$E$953&gt;=GRID_FROM)*('Dvd Calendar'!$E$953&lt;=GRID_TO)*('Dvd Calendar'!$E$953&gt;VAL_DATE)=0,"",'Dvd Calendar'!$E$953*1000000000+ISNUMBER('Dvd Calendar'!$E$954)*100000000+0*10000000+(N('Dvd Calendar'!$E$952)&gt;0)*(N('Dvd Calendar'!$E$952)&lt;=VAL_SERIAL)*1000000+86*1000+41))</f>
        <v/>
      </c>
      <c r="FT97" s="121">
        <f>IF(N('Dvd Calendar'!$F$953)=0,"",IF(('Dvd Calendar'!$F$953&gt;=GRID_FROM)*('Dvd Calendar'!$F$953&lt;=GRID_TO)*('Dvd Calendar'!$F$953&gt;VAL_DATE)=0,"",'Dvd Calendar'!$F$953*1000000000+ISNUMBER('Dvd Calendar'!$F$954)*100000000+0*10000000+(N('Dvd Calendar'!$F$952)&gt;0)*(N('Dvd Calendar'!$F$952)&lt;=VAL_SERIAL)*1000000+86*1000+42))</f>
        <v/>
      </c>
      <c r="FU97" s="121">
        <f>IF(N('Dvd Calendar'!$G$953)=0,"",IF(('Dvd Calendar'!$G$953&gt;=GRID_FROM)*('Dvd Calendar'!$G$953&lt;=GRID_TO)*('Dvd Calendar'!$G$953&gt;VAL_DATE)=0,"",'Dvd Calendar'!$G$953*1000000000+ISNUMBER('Dvd Calendar'!$G$954)*100000000+0*10000000+(N('Dvd Calendar'!$G$952)&gt;0)*(N('Dvd Calendar'!$G$952)&lt;=VAL_SERIAL)*1000000+86*1000+43))</f>
        <v/>
      </c>
      <c r="FV97" s="121">
        <f>IF(N('Dvd Calendar'!$H$953)=0,"",IF(('Dvd Calendar'!$H$953&gt;=GRID_FROM)*('Dvd Calendar'!$H$953&lt;=GRID_TO)*('Dvd Calendar'!$H$953&gt;VAL_DATE)=0,"",'Dvd Calendar'!$H$953*1000000000+ISNUMBER('Dvd Calendar'!$H$954)*100000000+0*10000000+(N('Dvd Calendar'!$H$952)&gt;0)*(N('Dvd Calendar'!$H$952)&lt;=VAL_SERIAL)*1000000+86*1000+44))</f>
        <v/>
      </c>
      <c r="FW97" s="121">
        <f>IF(N('Dvd Calendar'!$I$953)=0,"",IF(('Dvd Calendar'!$I$953&gt;=GRID_FROM)*('Dvd Calendar'!$I$953&lt;=GRID_TO)*('Dvd Calendar'!$I$953&gt;VAL_DATE)=0,"",'Dvd Calendar'!$I$953*1000000000+ISNUMBER('Dvd Calendar'!$I$954)*100000000+0*10000000+(N('Dvd Calendar'!$I$952)&gt;0)*(N('Dvd Calendar'!$I$952)&lt;=VAL_SERIAL)*1000000+86*1000+45))</f>
        <v/>
      </c>
      <c r="FX97" s="121">
        <f>IF(N('Dvd Calendar'!$J$953)=0,"",IF(('Dvd Calendar'!$J$953&gt;=GRID_FROM)*('Dvd Calendar'!$J$953&lt;=GRID_TO)*('Dvd Calendar'!$J$953&gt;VAL_DATE)=0,"",'Dvd Calendar'!$J$953*1000000000+ISNUMBER('Dvd Calendar'!$J$954)*100000000+0*10000000+(N('Dvd Calendar'!$J$952)&gt;0)*(N('Dvd Calendar'!$J$952)&lt;=VAL_SERIAL)*1000000+86*1000+46))</f>
        <v/>
      </c>
      <c r="FY97" s="121">
        <f>IF(N('Dvd Calendar'!$K$953)=0,"",IF(('Dvd Calendar'!$K$953&gt;=GRID_FROM)*('Dvd Calendar'!$K$953&lt;=GRID_TO)*('Dvd Calendar'!$K$953&gt;VAL_DATE)=0,"",'Dvd Calendar'!$K$953*1000000000+ISNUMBER('Dvd Calendar'!$K$954)*100000000+0*10000000+(N('Dvd Calendar'!$K$952)&gt;0)*(N('Dvd Calendar'!$K$952)&lt;=VAL_SERIAL)*1000000+86*1000+47))</f>
        <v/>
      </c>
      <c r="FZ97" s="121">
        <f>IF(N('Dvd Calendar'!$L$953)=0,"",IF(('Dvd Calendar'!$L$953&gt;=GRID_FROM)*('Dvd Calendar'!$L$953&lt;=GRID_TO)*('Dvd Calendar'!$L$953&gt;VAL_DATE)=0,"",'Dvd Calendar'!$L$953*1000000000+ISNUMBER('Dvd Calendar'!$L$954)*100000000+0*10000000+(N('Dvd Calendar'!$L$952)&gt;0)*(N('Dvd Calendar'!$L$952)&lt;=VAL_SERIAL)*1000000+86*1000+48))</f>
        <v/>
      </c>
      <c r="GA97" s="121">
        <f>IF(N('Dvd Calendar'!$M$953)=0,"",IF(('Dvd Calendar'!$M$953&gt;=GRID_FROM)*('Dvd Calendar'!$M$953&lt;=GRID_TO)*('Dvd Calendar'!$M$953&gt;VAL_DATE)=0,"",'Dvd Calendar'!$M$953*1000000000+ISNUMBER('Dvd Calendar'!$M$954)*100000000+0*10000000+(N('Dvd Calendar'!$M$952)&gt;0)*(N('Dvd Calendar'!$M$952)&lt;=VAL_SERIAL)*1000000+86*1000+49))</f>
        <v/>
      </c>
      <c r="GB97" s="121">
        <f>IF(N('Dvd Calendar'!$N$953)=0,"",IF(('Dvd Calendar'!$N$953&gt;=GRID_FROM)*('Dvd Calendar'!$N$953&lt;=GRID_TO)*('Dvd Calendar'!$N$953&gt;VAL_DATE)=0,"",'Dvd Calendar'!$N$953*1000000000+ISNUMBER('Dvd Calendar'!$N$954)*100000000+0*10000000+(N('Dvd Calendar'!$N$952)&gt;0)*(N('Dvd Calendar'!$N$952)&lt;=VAL_SERIAL)*1000000+86*1000+50))</f>
        <v/>
      </c>
      <c r="GC97" s="121">
        <f>IF(N('Dvd Calendar'!$O$953)=0,"",IF(('Dvd Calendar'!$O$953&gt;=GRID_FROM)*('Dvd Calendar'!$O$953&lt;=GRID_TO)*('Dvd Calendar'!$O$953&gt;VAL_DATE)=0,"",'Dvd Calendar'!$O$953*1000000000+ISNUMBER('Dvd Calendar'!$O$954)*100000000+0*10000000+(N('Dvd Calendar'!$O$952)&gt;0)*(N('Dvd Calendar'!$O$952)&lt;=VAL_SERIAL)*1000000+86*1000+51))</f>
        <v/>
      </c>
      <c r="GD97" s="121">
        <f>IF(N('Dvd Calendar'!$P$953)=0,"",IF(('Dvd Calendar'!$P$953&gt;=GRID_FROM)*('Dvd Calendar'!$P$953&lt;=GRID_TO)*('Dvd Calendar'!$P$953&gt;VAL_DATE)=0,"",'Dvd Calendar'!$P$953*1000000000+ISNUMBER('Dvd Calendar'!$P$954)*100000000+0*10000000+(N('Dvd Calendar'!$P$952)&gt;0)*(N('Dvd Calendar'!$P$952)&lt;=VAL_SERIAL)*1000000+86*1000+52))</f>
        <v/>
      </c>
      <c r="GE97" s="121">
        <f>IF(N('Dvd Calendar'!$Q$953)=0,"",IF(('Dvd Calendar'!$Q$953&gt;=GRID_FROM)*('Dvd Calendar'!$Q$953&lt;=GRID_TO)*('Dvd Calendar'!$Q$953&gt;VAL_DATE)=0,"",'Dvd Calendar'!$Q$953*1000000000+ISNUMBER('Dvd Calendar'!$Q$954)*100000000+0*10000000+(N('Dvd Calendar'!$Q$952)&gt;0)*(N('Dvd Calendar'!$Q$952)&lt;=VAL_SERIAL)*1000000+86*1000+53))</f>
        <v/>
      </c>
      <c r="GF97" s="121">
        <f>IF(N('Dvd Calendar'!$R$953)=0,"",IF(('Dvd Calendar'!$R$953&gt;=GRID_FROM)*('Dvd Calendar'!$R$953&lt;=GRID_TO)*('Dvd Calendar'!$R$953&gt;VAL_DATE)=0,"",'Dvd Calendar'!$R$953*1000000000+ISNUMBER('Dvd Calendar'!$R$954)*100000000+0*10000000+(N('Dvd Calendar'!$R$952)&gt;0)*(N('Dvd Calendar'!$R$952)&lt;=VAL_SERIAL)*1000000+86*1000+54))</f>
        <v/>
      </c>
      <c r="GG97" s="121">
        <f>IF(N('Dvd Calendar'!$S$953)=0,"",IF(('Dvd Calendar'!$S$953&gt;=GRID_FROM)*('Dvd Calendar'!$S$953&lt;=GRID_TO)*('Dvd Calendar'!$S$953&gt;VAL_DATE)=0,"",'Dvd Calendar'!$S$953*1000000000+ISNUMBER('Dvd Calendar'!$S$954)*100000000+0*10000000+(N('Dvd Calendar'!$S$952)&gt;0)*(N('Dvd Calendar'!$S$952)&lt;=VAL_SERIAL)*1000000+86*1000+55))</f>
        <v/>
      </c>
      <c r="GH97" s="121">
        <f>IF(N('Dvd Calendar'!$T$953)=0,"",IF(('Dvd Calendar'!$T$953&gt;=GRID_FROM)*('Dvd Calendar'!$T$953&lt;=GRID_TO)*('Dvd Calendar'!$T$953&gt;VAL_DATE)=0,"",'Dvd Calendar'!$T$953*1000000000+ISNUMBER('Dvd Calendar'!$T$954)*100000000+0*10000000+(N('Dvd Calendar'!$T$952)&gt;0)*(N('Dvd Calendar'!$T$952)&lt;=VAL_SERIAL)*1000000+86*1000+56))</f>
        <v/>
      </c>
      <c r="GI97" s="121">
        <f>IF(N('Dvd Calendar'!$U$953)=0,"",IF(('Dvd Calendar'!$U$953&gt;=GRID_FROM)*('Dvd Calendar'!$U$953&lt;=GRID_TO)*('Dvd Calendar'!$U$953&gt;VAL_DATE)=0,"",'Dvd Calendar'!$U$953*1000000000+ISNUMBER('Dvd Calendar'!$U$954)*100000000+0*10000000+(N('Dvd Calendar'!$U$952)&gt;0)*(N('Dvd Calendar'!$U$952)&lt;=VAL_SERIAL)*1000000+86*1000+57))</f>
        <v/>
      </c>
      <c r="GJ97" s="121">
        <f>IF(N('Dvd Calendar'!$V$953)=0,"",IF(('Dvd Calendar'!$V$953&gt;=GRID_FROM)*('Dvd Calendar'!$V$953&lt;=GRID_TO)*('Dvd Calendar'!$V$953&gt;VAL_DATE)=0,"",'Dvd Calendar'!$V$953*1000000000+ISNUMBER('Dvd Calendar'!$V$954)*100000000+0*10000000+(N('Dvd Calendar'!$V$952)&gt;0)*(N('Dvd Calendar'!$V$952)&lt;=VAL_SERIAL)*1000000+86*1000+58))</f>
        <v/>
      </c>
      <c r="GK97" s="121">
        <f>IF(N('Dvd Calendar'!$W$953)=0,"",IF(('Dvd Calendar'!$W$953&gt;=GRID_FROM)*('Dvd Calendar'!$W$953&lt;=GRID_TO)*('Dvd Calendar'!$W$953&gt;VAL_DATE)=0,"",'Dvd Calendar'!$W$953*1000000000+ISNUMBER('Dvd Calendar'!$W$954)*100000000+0*10000000+(N('Dvd Calendar'!$W$952)&gt;0)*(N('Dvd Calendar'!$W$952)&lt;=VAL_SERIAL)*1000000+86*1000+59))</f>
        <v/>
      </c>
      <c r="GL97" s="121">
        <f>IF(N('Dvd Calendar'!$X$953)=0,"",IF(('Dvd Calendar'!$X$953&gt;=GRID_FROM)*('Dvd Calendar'!$X$953&lt;=GRID_TO)*('Dvd Calendar'!$X$953&gt;VAL_DATE)=0,"",'Dvd Calendar'!$X$953*1000000000+ISNUMBER('Dvd Calendar'!$X$954)*100000000+0*10000000+(N('Dvd Calendar'!$X$952)&gt;0)*(N('Dvd Calendar'!$X$952)&lt;=VAL_SERIAL)*1000000+86*1000+60))</f>
        <v/>
      </c>
      <c r="GM97" s="121">
        <f>IF(N('Dvd Calendar'!$Y$953)=0,"",IF(('Dvd Calendar'!$Y$953&gt;=GRID_FROM)*('Dvd Calendar'!$Y$953&lt;=GRID_TO)*('Dvd Calendar'!$Y$953&gt;VAL_DATE)=0,"",'Dvd Calendar'!$Y$953*1000000000+ISNUMBER('Dvd Calendar'!$Y$954)*100000000+0*10000000+(N('Dvd Calendar'!$Y$952)&gt;0)*(N('Dvd Calendar'!$Y$952)&lt;=VAL_SERIAL)*1000000+86*1000+61))</f>
        <v/>
      </c>
      <c r="GN97" s="121">
        <f>IF(N('Dvd Calendar'!$Z$953)=0,"",IF(('Dvd Calendar'!$Z$953&gt;=GRID_FROM)*('Dvd Calendar'!$Z$953&lt;=GRID_TO)*('Dvd Calendar'!$Z$953&gt;VAL_DATE)=0,"",'Dvd Calendar'!$Z$953*1000000000+ISNUMBER('Dvd Calendar'!$Z$954)*100000000+0*10000000+(N('Dvd Calendar'!$Z$952)&gt;0)*(N('Dvd Calendar'!$Z$952)&lt;=VAL_SERIAL)*1000000+86*1000+62))</f>
        <v/>
      </c>
      <c r="GO97" s="121">
        <f>IF(N('Dvd Calendar'!$AA$953)=0,"",IF(('Dvd Calendar'!$AA$953&gt;=GRID_FROM)*('Dvd Calendar'!$AA$953&lt;=GRID_TO)*('Dvd Calendar'!$AA$953&gt;VAL_DATE)=0,"",'Dvd Calendar'!$AA$953*1000000000+ISNUMBER('Dvd Calendar'!$AA$954)*100000000+0*10000000+(N('Dvd Calendar'!$AA$952)&gt;0)*(N('Dvd Calendar'!$AA$952)&lt;=VAL_SERIAL)*1000000+86*1000+63))</f>
        <v/>
      </c>
      <c r="GP97" s="121">
        <f>IF(N('Dvd Calendar'!$AB$953)=0,"",IF(('Dvd Calendar'!$AB$953&gt;=GRID_FROM)*('Dvd Calendar'!$AB$953&lt;=GRID_TO)*('Dvd Calendar'!$AB$953&gt;VAL_DATE)=0,"",'Dvd Calendar'!$AB$953*1000000000+ISNUMBER('Dvd Calendar'!$AB$954)*100000000+0*10000000+(N('Dvd Calendar'!$AB$952)&gt;0)*(N('Dvd Calendar'!$AB$952)&lt;=VAL_SERIAL)*1000000+86*1000+64))</f>
        <v/>
      </c>
      <c r="GQ97" s="121">
        <f>IF(N('Dvd Calendar'!$AC$953)=0,"",IF(('Dvd Calendar'!$AC$953&gt;=GRID_FROM)*('Dvd Calendar'!$AC$953&lt;=GRID_TO)*('Dvd Calendar'!$AC$953&gt;VAL_DATE)=0,"",'Dvd Calendar'!$AC$953*1000000000+ISNUMBER('Dvd Calendar'!$AC$954)*100000000+0*10000000+(N('Dvd Calendar'!$AC$952)&gt;0)*(N('Dvd Calendar'!$AC$952)&lt;=VAL_SERIAL)*1000000+86*1000+65))</f>
        <v/>
      </c>
    </row>
    <row r="98">
      <c r="B98" s="2">
        <f>IF(HSI!$C$93="","",HSI!$C$93)</f>
        <v/>
      </c>
      <c r="C98" s="161">
        <f>IF(EE98="","",IF(ISNUMBER('Dvd Calendar'!$E$960)=FALSE,"",IF((('Dvd Calendar'!$E$962=TYPE1)*(TYPE1&lt;&gt;"")+('Dvd Calendar'!$E$962=TYPE2)*(TYPE2&lt;&gt;"")+('Dvd Calendar'!$E$962=TYPE3)*(TYPE3&lt;&gt;"")+('Dvd Calendar'!$E$962=TYPE4)*(TYPE4&lt;&gt;"")+('Dvd Calendar'!$E$962=SPECIAL_LBL)*(INC_SPECIALS="Y"))=0,"",'Dvd Calendar'!$E$960)))</f>
        <v/>
      </c>
      <c r="D98" s="161">
        <f>IF(EF98="","",IF(ISNUMBER('Dvd Calendar'!$F$960)=FALSE,"",IF((('Dvd Calendar'!$F$962=TYPE1)*(TYPE1&lt;&gt;"")+('Dvd Calendar'!$F$962=TYPE2)*(TYPE2&lt;&gt;"")+('Dvd Calendar'!$F$962=TYPE3)*(TYPE3&lt;&gt;"")+('Dvd Calendar'!$F$962=TYPE4)*(TYPE4&lt;&gt;"")+('Dvd Calendar'!$F$962=SPECIAL_LBL)*(INC_SPECIALS="Y"))=0,"",'Dvd Calendar'!$F$960)))</f>
        <v/>
      </c>
      <c r="E98" s="161">
        <f>IF(EG98="","",IF(ISNUMBER('Dvd Calendar'!$G$960)=FALSE,"",IF((('Dvd Calendar'!$G$962=TYPE1)*(TYPE1&lt;&gt;"")+('Dvd Calendar'!$G$962=TYPE2)*(TYPE2&lt;&gt;"")+('Dvd Calendar'!$G$962=TYPE3)*(TYPE3&lt;&gt;"")+('Dvd Calendar'!$G$962=TYPE4)*(TYPE4&lt;&gt;"")+('Dvd Calendar'!$G$962=SPECIAL_LBL)*(INC_SPECIALS="Y"))=0,"",'Dvd Calendar'!$G$960)))</f>
        <v/>
      </c>
      <c r="F98" s="161">
        <f>IF(EH98="","",IF(ISNUMBER('Dvd Calendar'!$H$960)=FALSE,"",IF((('Dvd Calendar'!$H$962=TYPE1)*(TYPE1&lt;&gt;"")+('Dvd Calendar'!$H$962=TYPE2)*(TYPE2&lt;&gt;"")+('Dvd Calendar'!$H$962=TYPE3)*(TYPE3&lt;&gt;"")+('Dvd Calendar'!$H$962=TYPE4)*(TYPE4&lt;&gt;"")+('Dvd Calendar'!$H$962=SPECIAL_LBL)*(INC_SPECIALS="Y"))=0,"",'Dvd Calendar'!$H$960)))</f>
        <v/>
      </c>
      <c r="G98" s="161">
        <f>IF(EI98="","",IF(ISNUMBER('Dvd Calendar'!$I$960)=FALSE,"",IF((('Dvd Calendar'!$I$962=TYPE1)*(TYPE1&lt;&gt;"")+('Dvd Calendar'!$I$962=TYPE2)*(TYPE2&lt;&gt;"")+('Dvd Calendar'!$I$962=TYPE3)*(TYPE3&lt;&gt;"")+('Dvd Calendar'!$I$962=TYPE4)*(TYPE4&lt;&gt;"")+('Dvd Calendar'!$I$962=SPECIAL_LBL)*(INC_SPECIALS="Y"))=0,"",'Dvd Calendar'!$I$960)))</f>
        <v/>
      </c>
      <c r="H98" s="161">
        <f>IF(EJ98="","",IF(ISNUMBER('Dvd Calendar'!$J$960)=FALSE,"",IF((('Dvd Calendar'!$J$962=TYPE1)*(TYPE1&lt;&gt;"")+('Dvd Calendar'!$J$962=TYPE2)*(TYPE2&lt;&gt;"")+('Dvd Calendar'!$J$962=TYPE3)*(TYPE3&lt;&gt;"")+('Dvd Calendar'!$J$962=TYPE4)*(TYPE4&lt;&gt;"")+('Dvd Calendar'!$J$962=SPECIAL_LBL)*(INC_SPECIALS="Y"))=0,"",'Dvd Calendar'!$J$960)))</f>
        <v/>
      </c>
      <c r="I98" s="161">
        <f>IF(EK98="","",IF(ISNUMBER('Dvd Calendar'!$K$960)=FALSE,"",IF((('Dvd Calendar'!$K$962=TYPE1)*(TYPE1&lt;&gt;"")+('Dvd Calendar'!$K$962=TYPE2)*(TYPE2&lt;&gt;"")+('Dvd Calendar'!$K$962=TYPE3)*(TYPE3&lt;&gt;"")+('Dvd Calendar'!$K$962=TYPE4)*(TYPE4&lt;&gt;"")+('Dvd Calendar'!$K$962=SPECIAL_LBL)*(INC_SPECIALS="Y"))=0,"",'Dvd Calendar'!$K$960)))</f>
        <v/>
      </c>
      <c r="J98" s="161">
        <f>IF(EL98="","",IF(ISNUMBER('Dvd Calendar'!$L$960)=FALSE,"",IF((('Dvd Calendar'!$L$962=TYPE1)*(TYPE1&lt;&gt;"")+('Dvd Calendar'!$L$962=TYPE2)*(TYPE2&lt;&gt;"")+('Dvd Calendar'!$L$962=TYPE3)*(TYPE3&lt;&gt;"")+('Dvd Calendar'!$L$962=TYPE4)*(TYPE4&lt;&gt;"")+('Dvd Calendar'!$L$962=SPECIAL_LBL)*(INC_SPECIALS="Y"))=0,"",'Dvd Calendar'!$L$960)))</f>
        <v/>
      </c>
      <c r="K98" s="161">
        <f>IF(EM98="","",IF(ISNUMBER('Dvd Calendar'!$M$960)=FALSE,"",IF((('Dvd Calendar'!$M$962=TYPE1)*(TYPE1&lt;&gt;"")+('Dvd Calendar'!$M$962=TYPE2)*(TYPE2&lt;&gt;"")+('Dvd Calendar'!$M$962=TYPE3)*(TYPE3&lt;&gt;"")+('Dvd Calendar'!$M$962=TYPE4)*(TYPE4&lt;&gt;"")+('Dvd Calendar'!$M$962=SPECIAL_LBL)*(INC_SPECIALS="Y"))=0,"",'Dvd Calendar'!$M$960)))</f>
        <v/>
      </c>
      <c r="L98" s="161">
        <f>IF(EN98="","",IF(ISNUMBER('Dvd Calendar'!$N$960)=FALSE,"",IF((('Dvd Calendar'!$N$962=TYPE1)*(TYPE1&lt;&gt;"")+('Dvd Calendar'!$N$962=TYPE2)*(TYPE2&lt;&gt;"")+('Dvd Calendar'!$N$962=TYPE3)*(TYPE3&lt;&gt;"")+('Dvd Calendar'!$N$962=TYPE4)*(TYPE4&lt;&gt;"")+('Dvd Calendar'!$N$962=SPECIAL_LBL)*(INC_SPECIALS="Y"))=0,"",'Dvd Calendar'!$N$960)))</f>
        <v/>
      </c>
      <c r="M98" s="161">
        <f>IF(EO98="","",IF(ISNUMBER('Dvd Calendar'!$O$960)=FALSE,"",IF((('Dvd Calendar'!$O$962=TYPE1)*(TYPE1&lt;&gt;"")+('Dvd Calendar'!$O$962=TYPE2)*(TYPE2&lt;&gt;"")+('Dvd Calendar'!$O$962=TYPE3)*(TYPE3&lt;&gt;"")+('Dvd Calendar'!$O$962=TYPE4)*(TYPE4&lt;&gt;"")+('Dvd Calendar'!$O$962=SPECIAL_LBL)*(INC_SPECIALS="Y"))=0,"",'Dvd Calendar'!$O$960)))</f>
        <v/>
      </c>
      <c r="N98" s="161">
        <f>IF(EP98="","",IF(ISNUMBER('Dvd Calendar'!$P$960)=FALSE,"",IF((('Dvd Calendar'!$P$962=TYPE1)*(TYPE1&lt;&gt;"")+('Dvd Calendar'!$P$962=TYPE2)*(TYPE2&lt;&gt;"")+('Dvd Calendar'!$P$962=TYPE3)*(TYPE3&lt;&gt;"")+('Dvd Calendar'!$P$962=TYPE4)*(TYPE4&lt;&gt;"")+('Dvd Calendar'!$P$962=SPECIAL_LBL)*(INC_SPECIALS="Y"))=0,"",'Dvd Calendar'!$P$960)))</f>
        <v/>
      </c>
      <c r="O98" s="161">
        <f>IF(EQ98="","",IF(ISNUMBER('Dvd Calendar'!$Q$960)=FALSE,"",IF((('Dvd Calendar'!$Q$962=TYPE1)*(TYPE1&lt;&gt;"")+('Dvd Calendar'!$Q$962=TYPE2)*(TYPE2&lt;&gt;"")+('Dvd Calendar'!$Q$962=TYPE3)*(TYPE3&lt;&gt;"")+('Dvd Calendar'!$Q$962=TYPE4)*(TYPE4&lt;&gt;"")+('Dvd Calendar'!$Q$962=SPECIAL_LBL)*(INC_SPECIALS="Y"))=0,"",'Dvd Calendar'!$Q$960)))</f>
        <v/>
      </c>
      <c r="P98" s="161">
        <f>IF(ER98="","",IF(ISNUMBER('Dvd Calendar'!$R$960)=FALSE,"",IF((('Dvd Calendar'!$R$962=TYPE1)*(TYPE1&lt;&gt;"")+('Dvd Calendar'!$R$962=TYPE2)*(TYPE2&lt;&gt;"")+('Dvd Calendar'!$R$962=TYPE3)*(TYPE3&lt;&gt;"")+('Dvd Calendar'!$R$962=TYPE4)*(TYPE4&lt;&gt;"")+('Dvd Calendar'!$R$962=SPECIAL_LBL)*(INC_SPECIALS="Y"))=0,"",'Dvd Calendar'!$R$960)))</f>
        <v/>
      </c>
      <c r="Q98" s="161">
        <f>IF(ES98="","",IF(ISNUMBER('Dvd Calendar'!$S$960)=FALSE,"",IF((('Dvd Calendar'!$S$962=TYPE1)*(TYPE1&lt;&gt;"")+('Dvd Calendar'!$S$962=TYPE2)*(TYPE2&lt;&gt;"")+('Dvd Calendar'!$S$962=TYPE3)*(TYPE3&lt;&gt;"")+('Dvd Calendar'!$S$962=TYPE4)*(TYPE4&lt;&gt;"")+('Dvd Calendar'!$S$962=SPECIAL_LBL)*(INC_SPECIALS="Y"))=0,"",'Dvd Calendar'!$S$960)))</f>
        <v/>
      </c>
      <c r="R98" s="161">
        <f>IF(ET98="","",IF(ISNUMBER('Dvd Calendar'!$T$960)=FALSE,"",IF((('Dvd Calendar'!$T$962=TYPE1)*(TYPE1&lt;&gt;"")+('Dvd Calendar'!$T$962=TYPE2)*(TYPE2&lt;&gt;"")+('Dvd Calendar'!$T$962=TYPE3)*(TYPE3&lt;&gt;"")+('Dvd Calendar'!$T$962=TYPE4)*(TYPE4&lt;&gt;"")+('Dvd Calendar'!$T$962=SPECIAL_LBL)*(INC_SPECIALS="Y"))=0,"",'Dvd Calendar'!$T$960)))</f>
        <v/>
      </c>
      <c r="S98" s="161">
        <f>IF(EU98="","",IF(ISNUMBER('Dvd Calendar'!$U$960)=FALSE,"",IF((('Dvd Calendar'!$U$962=TYPE1)*(TYPE1&lt;&gt;"")+('Dvd Calendar'!$U$962=TYPE2)*(TYPE2&lt;&gt;"")+('Dvd Calendar'!$U$962=TYPE3)*(TYPE3&lt;&gt;"")+('Dvd Calendar'!$U$962=TYPE4)*(TYPE4&lt;&gt;"")+('Dvd Calendar'!$U$962=SPECIAL_LBL)*(INC_SPECIALS="Y"))=0,"",'Dvd Calendar'!$U$960)))</f>
        <v/>
      </c>
      <c r="T98" s="161">
        <f>IF(EV98="","",IF(ISNUMBER('Dvd Calendar'!$V$960)=FALSE,"",IF((('Dvd Calendar'!$V$962=TYPE1)*(TYPE1&lt;&gt;"")+('Dvd Calendar'!$V$962=TYPE2)*(TYPE2&lt;&gt;"")+('Dvd Calendar'!$V$962=TYPE3)*(TYPE3&lt;&gt;"")+('Dvd Calendar'!$V$962=TYPE4)*(TYPE4&lt;&gt;"")+('Dvd Calendar'!$V$962=SPECIAL_LBL)*(INC_SPECIALS="Y"))=0,"",'Dvd Calendar'!$V$960)))</f>
        <v/>
      </c>
      <c r="U98" s="161">
        <f>IF(EW98="","",IF(ISNUMBER('Dvd Calendar'!$W$960)=FALSE,"",IF((('Dvd Calendar'!$W$962=TYPE1)*(TYPE1&lt;&gt;"")+('Dvd Calendar'!$W$962=TYPE2)*(TYPE2&lt;&gt;"")+('Dvd Calendar'!$W$962=TYPE3)*(TYPE3&lt;&gt;"")+('Dvd Calendar'!$W$962=TYPE4)*(TYPE4&lt;&gt;"")+('Dvd Calendar'!$W$962=SPECIAL_LBL)*(INC_SPECIALS="Y"))=0,"",'Dvd Calendar'!$W$960)))</f>
        <v/>
      </c>
      <c r="V98" s="161">
        <f>IF(EX98="","",IF(ISNUMBER('Dvd Calendar'!$X$960)=FALSE,"",IF((('Dvd Calendar'!$X$962=TYPE1)*(TYPE1&lt;&gt;"")+('Dvd Calendar'!$X$962=TYPE2)*(TYPE2&lt;&gt;"")+('Dvd Calendar'!$X$962=TYPE3)*(TYPE3&lt;&gt;"")+('Dvd Calendar'!$X$962=TYPE4)*(TYPE4&lt;&gt;"")+('Dvd Calendar'!$X$962=SPECIAL_LBL)*(INC_SPECIALS="Y"))=0,"",'Dvd Calendar'!$X$960)))</f>
        <v/>
      </c>
      <c r="W98" s="161">
        <f>IF(EY98="","",IF(ISNUMBER('Dvd Calendar'!$Y$960)=FALSE,"",IF((('Dvd Calendar'!$Y$962=TYPE1)*(TYPE1&lt;&gt;"")+('Dvd Calendar'!$Y$962=TYPE2)*(TYPE2&lt;&gt;"")+('Dvd Calendar'!$Y$962=TYPE3)*(TYPE3&lt;&gt;"")+('Dvd Calendar'!$Y$962=TYPE4)*(TYPE4&lt;&gt;"")+('Dvd Calendar'!$Y$962=SPECIAL_LBL)*(INC_SPECIALS="Y"))=0,"",'Dvd Calendar'!$Y$960)))</f>
        <v/>
      </c>
      <c r="X98" s="161">
        <f>IF(EZ98="","",IF(ISNUMBER('Dvd Calendar'!$Z$960)=FALSE,"",IF((('Dvd Calendar'!$Z$962=TYPE1)*(TYPE1&lt;&gt;"")+('Dvd Calendar'!$Z$962=TYPE2)*(TYPE2&lt;&gt;"")+('Dvd Calendar'!$Z$962=TYPE3)*(TYPE3&lt;&gt;"")+('Dvd Calendar'!$Z$962=TYPE4)*(TYPE4&lt;&gt;"")+('Dvd Calendar'!$Z$962=SPECIAL_LBL)*(INC_SPECIALS="Y"))=0,"",'Dvd Calendar'!$Z$960)))</f>
        <v/>
      </c>
      <c r="Y98" s="161">
        <f>IF(FA98="","",IF(ISNUMBER('Dvd Calendar'!$AA$960)=FALSE,"",IF((('Dvd Calendar'!$AA$962=TYPE1)*(TYPE1&lt;&gt;"")+('Dvd Calendar'!$AA$962=TYPE2)*(TYPE2&lt;&gt;"")+('Dvd Calendar'!$AA$962=TYPE3)*(TYPE3&lt;&gt;"")+('Dvd Calendar'!$AA$962=TYPE4)*(TYPE4&lt;&gt;"")+('Dvd Calendar'!$AA$962=SPECIAL_LBL)*(INC_SPECIALS="Y"))=0,"",'Dvd Calendar'!$AA$960)))</f>
        <v/>
      </c>
      <c r="Z98" s="161">
        <f>IF(FB98="","",IF(ISNUMBER('Dvd Calendar'!$AB$960)=FALSE,"",IF((('Dvd Calendar'!$AB$962=TYPE1)*(TYPE1&lt;&gt;"")+('Dvd Calendar'!$AB$962=TYPE2)*(TYPE2&lt;&gt;"")+('Dvd Calendar'!$AB$962=TYPE3)*(TYPE3&lt;&gt;"")+('Dvd Calendar'!$AB$962=TYPE4)*(TYPE4&lt;&gt;"")+('Dvd Calendar'!$AB$962=SPECIAL_LBL)*(INC_SPECIALS="Y"))=0,"",'Dvd Calendar'!$AB$960)))</f>
        <v/>
      </c>
      <c r="AA98" s="161">
        <f>IF(FC98="","",IF(ISNUMBER('Dvd Calendar'!$AC$960)=FALSE,"",IF((('Dvd Calendar'!$AC$962=TYPE1)*(TYPE1&lt;&gt;"")+('Dvd Calendar'!$AC$962=TYPE2)*(TYPE2&lt;&gt;"")+('Dvd Calendar'!$AC$962=TYPE3)*(TYPE3&lt;&gt;"")+('Dvd Calendar'!$AC$962=TYPE4)*(TYPE4&lt;&gt;"")+('Dvd Calendar'!$AC$962=SPECIAL_LBL)*(INC_SPECIALS="Y"))=0,"",'Dvd Calendar'!$AC$960)))</f>
        <v/>
      </c>
      <c r="AB98" s="161">
        <f>IF(FD98="","",IF(ISNUMBER('Dvd Calendar'!$AD$960)=FALSE,"",IF((('Dvd Calendar'!$AD$962=TYPE1)*(TYPE1&lt;&gt;"")+('Dvd Calendar'!$AD$962=TYPE2)*(TYPE2&lt;&gt;"")+('Dvd Calendar'!$AD$962=TYPE3)*(TYPE3&lt;&gt;"")+('Dvd Calendar'!$AD$962=TYPE4)*(TYPE4&lt;&gt;"")+('Dvd Calendar'!$AD$962=SPECIAL_LBL)*(INC_SPECIALS="Y"))=0,"",'Dvd Calendar'!$AD$960)))</f>
        <v/>
      </c>
      <c r="AC98" s="161">
        <f>IF(FE98="","",IF(ISNUMBER('Dvd Calendar'!$AE$960)=FALSE,"",IF((('Dvd Calendar'!$AE$962=TYPE1)*(TYPE1&lt;&gt;"")+('Dvd Calendar'!$AE$962=TYPE2)*(TYPE2&lt;&gt;"")+('Dvd Calendar'!$AE$962=TYPE3)*(TYPE3&lt;&gt;"")+('Dvd Calendar'!$AE$962=TYPE4)*(TYPE4&lt;&gt;"")+('Dvd Calendar'!$AE$962=SPECIAL_LBL)*(INC_SPECIALS="Y"))=0,"",'Dvd Calendar'!$AE$960)))</f>
        <v/>
      </c>
      <c r="AD98" s="161">
        <f>IF(FF98="","",IF(ISNUMBER('Dvd Calendar'!$AF$960)=FALSE,"",IF((('Dvd Calendar'!$AF$962=TYPE1)*(TYPE1&lt;&gt;"")+('Dvd Calendar'!$AF$962=TYPE2)*(TYPE2&lt;&gt;"")+('Dvd Calendar'!$AF$962=TYPE3)*(TYPE3&lt;&gt;"")+('Dvd Calendar'!$AF$962=TYPE4)*(TYPE4&lt;&gt;"")+('Dvd Calendar'!$AF$962=SPECIAL_LBL)*(INC_SPECIALS="Y"))=0,"",'Dvd Calendar'!$AF$960)))</f>
        <v/>
      </c>
      <c r="AE98" s="161">
        <f>IF(FG98="","",IF(ISNUMBER('Dvd Calendar'!$AG$960)=FALSE,"",IF((('Dvd Calendar'!$AG$962=TYPE1)*(TYPE1&lt;&gt;"")+('Dvd Calendar'!$AG$962=TYPE2)*(TYPE2&lt;&gt;"")+('Dvd Calendar'!$AG$962=TYPE3)*(TYPE3&lt;&gt;"")+('Dvd Calendar'!$AG$962=TYPE4)*(TYPE4&lt;&gt;"")+('Dvd Calendar'!$AG$962=SPECIAL_LBL)*(INC_SPECIALS="Y"))=0,"",'Dvd Calendar'!$AG$960)))</f>
        <v/>
      </c>
      <c r="AF98" s="161">
        <f>IF(FH98="","",IF(ISNUMBER('Dvd Calendar'!$AH$960)=FALSE,"",IF((('Dvd Calendar'!$AH$962=TYPE1)*(TYPE1&lt;&gt;"")+('Dvd Calendar'!$AH$962=TYPE2)*(TYPE2&lt;&gt;"")+('Dvd Calendar'!$AH$962=TYPE3)*(TYPE3&lt;&gt;"")+('Dvd Calendar'!$AH$962=TYPE4)*(TYPE4&lt;&gt;"")+('Dvd Calendar'!$AH$962=SPECIAL_LBL)*(INC_SPECIALS="Y"))=0,"",'Dvd Calendar'!$AH$960)))</f>
        <v/>
      </c>
      <c r="AG98" s="161">
        <f>IF(FI98="","",IF(ISNUMBER('Dvd Calendar'!$AI$960)=FALSE,"",IF((('Dvd Calendar'!$AI$962=TYPE1)*(TYPE1&lt;&gt;"")+('Dvd Calendar'!$AI$962=TYPE2)*(TYPE2&lt;&gt;"")+('Dvd Calendar'!$AI$962=TYPE3)*(TYPE3&lt;&gt;"")+('Dvd Calendar'!$AI$962=TYPE4)*(TYPE4&lt;&gt;"")+('Dvd Calendar'!$AI$962=SPECIAL_LBL)*(INC_SPECIALS="Y"))=0,"",'Dvd Calendar'!$AI$960)))</f>
        <v/>
      </c>
      <c r="AH98" s="161">
        <f>IF(FJ98="","",IF(ISNUMBER('Dvd Calendar'!$AJ$960)=FALSE,"",IF((('Dvd Calendar'!$AJ$962=TYPE1)*(TYPE1&lt;&gt;"")+('Dvd Calendar'!$AJ$962=TYPE2)*(TYPE2&lt;&gt;"")+('Dvd Calendar'!$AJ$962=TYPE3)*(TYPE3&lt;&gt;"")+('Dvd Calendar'!$AJ$962=TYPE4)*(TYPE4&lt;&gt;"")+('Dvd Calendar'!$AJ$962=SPECIAL_LBL)*(INC_SPECIALS="Y"))=0,"",'Dvd Calendar'!$AJ$960)))</f>
        <v/>
      </c>
      <c r="AI98" s="161">
        <f>IF(FK98="","",IF(ISNUMBER('Dvd Calendar'!$AK$960)=FALSE,"",IF((('Dvd Calendar'!$AK$962=TYPE1)*(TYPE1&lt;&gt;"")+('Dvd Calendar'!$AK$962=TYPE2)*(TYPE2&lt;&gt;"")+('Dvd Calendar'!$AK$962=TYPE3)*(TYPE3&lt;&gt;"")+('Dvd Calendar'!$AK$962=TYPE4)*(TYPE4&lt;&gt;"")+('Dvd Calendar'!$AK$962=SPECIAL_LBL)*(INC_SPECIALS="Y"))=0,"",'Dvd Calendar'!$AK$960)))</f>
        <v/>
      </c>
      <c r="AJ98" s="161">
        <f>IF(FL98="","",IF(ISNUMBER('Dvd Calendar'!$AL$960)=FALSE,"",IF((('Dvd Calendar'!$AL$962=TYPE1)*(TYPE1&lt;&gt;"")+('Dvd Calendar'!$AL$962=TYPE2)*(TYPE2&lt;&gt;"")+('Dvd Calendar'!$AL$962=TYPE3)*(TYPE3&lt;&gt;"")+('Dvd Calendar'!$AL$962=TYPE4)*(TYPE4&lt;&gt;"")+('Dvd Calendar'!$AL$962=SPECIAL_LBL)*(INC_SPECIALS="Y"))=0,"",'Dvd Calendar'!$AL$960)))</f>
        <v/>
      </c>
      <c r="AK98" s="161">
        <f>IF(FM98="","",IF(ISNUMBER('Dvd Calendar'!$AM$960)=FALSE,"",IF((('Dvd Calendar'!$AM$962=TYPE1)*(TYPE1&lt;&gt;"")+('Dvd Calendar'!$AM$962=TYPE2)*(TYPE2&lt;&gt;"")+('Dvd Calendar'!$AM$962=TYPE3)*(TYPE3&lt;&gt;"")+('Dvd Calendar'!$AM$962=TYPE4)*(TYPE4&lt;&gt;"")+('Dvd Calendar'!$AM$962=SPECIAL_LBL)*(INC_SPECIALS="Y"))=0,"",'Dvd Calendar'!$AM$960)))</f>
        <v/>
      </c>
      <c r="AL98" s="161">
        <f>IF(FN98="","",IF(ISNUMBER('Dvd Calendar'!$AN$960)=FALSE,"",IF((('Dvd Calendar'!$AN$962=TYPE1)*(TYPE1&lt;&gt;"")+('Dvd Calendar'!$AN$962=TYPE2)*(TYPE2&lt;&gt;"")+('Dvd Calendar'!$AN$962=TYPE3)*(TYPE3&lt;&gt;"")+('Dvd Calendar'!$AN$962=TYPE4)*(TYPE4&lt;&gt;"")+('Dvd Calendar'!$AN$962=SPECIAL_LBL)*(INC_SPECIALS="Y"))=0,"",'Dvd Calendar'!$AN$960)))</f>
        <v/>
      </c>
      <c r="AM98" s="161">
        <f>IF(FO98="","",IF(ISNUMBER('Dvd Calendar'!$AO$960)=FALSE,"",IF((('Dvd Calendar'!$AO$962=TYPE1)*(TYPE1&lt;&gt;"")+('Dvd Calendar'!$AO$962=TYPE2)*(TYPE2&lt;&gt;"")+('Dvd Calendar'!$AO$962=TYPE3)*(TYPE3&lt;&gt;"")+('Dvd Calendar'!$AO$962=TYPE4)*(TYPE4&lt;&gt;"")+('Dvd Calendar'!$AO$962=SPECIAL_LBL)*(INC_SPECIALS="Y"))=0,"",'Dvd Calendar'!$AO$960)))</f>
        <v/>
      </c>
      <c r="AN98" s="161">
        <f>IF(FP98="","",IF(ISNUMBER('Dvd Calendar'!$AP$960)=FALSE,"",IF((('Dvd Calendar'!$AP$962=TYPE1)*(TYPE1&lt;&gt;"")+('Dvd Calendar'!$AP$962=TYPE2)*(TYPE2&lt;&gt;"")+('Dvd Calendar'!$AP$962=TYPE3)*(TYPE3&lt;&gt;"")+('Dvd Calendar'!$AP$962=TYPE4)*(TYPE4&lt;&gt;"")+('Dvd Calendar'!$AP$962=SPECIAL_LBL)*(INC_SPECIALS="Y"))=0,"",'Dvd Calendar'!$AP$960)))</f>
        <v/>
      </c>
      <c r="AO98" s="161">
        <f>IF(FQ98="","",IF(ISNUMBER('Dvd Calendar'!$AQ$960)=FALSE,"",IF((('Dvd Calendar'!$AQ$962=TYPE1)*(TYPE1&lt;&gt;"")+('Dvd Calendar'!$AQ$962=TYPE2)*(TYPE2&lt;&gt;"")+('Dvd Calendar'!$AQ$962=TYPE3)*(TYPE3&lt;&gt;"")+('Dvd Calendar'!$AQ$962=TYPE4)*(TYPE4&lt;&gt;"")+('Dvd Calendar'!$AQ$962=SPECIAL_LBL)*(INC_SPECIALS="Y"))=0,"",'Dvd Calendar'!$AQ$960)))</f>
        <v/>
      </c>
      <c r="AP98" s="161">
        <f>IF(FR98="","",IF(ISNUMBER('Dvd Calendar'!$AR$960)=FALSE,"",IF((('Dvd Calendar'!$AR$962=TYPE1)*(TYPE1&lt;&gt;"")+('Dvd Calendar'!$AR$962=TYPE2)*(TYPE2&lt;&gt;"")+('Dvd Calendar'!$AR$962=TYPE3)*(TYPE3&lt;&gt;"")+('Dvd Calendar'!$AR$962=TYPE4)*(TYPE4&lt;&gt;"")+('Dvd Calendar'!$AR$962=SPECIAL_LBL)*(INC_SPECIALS="Y"))=0,"",'Dvd Calendar'!$AR$960)))</f>
        <v/>
      </c>
      <c r="AQ98" s="161">
        <f>IF(FS98="","",IF(ISNUMBER('Dvd Calendar'!$E$965)=FALSE,"",'Dvd Calendar'!$E$965))</f>
        <v/>
      </c>
      <c r="AR98" s="161">
        <f>IF(FT98="","",IF(ISNUMBER('Dvd Calendar'!$F$965)=FALSE,"",'Dvd Calendar'!$F$965))</f>
        <v/>
      </c>
      <c r="AS98" s="161">
        <f>IF(FU98="","",IF(ISNUMBER('Dvd Calendar'!$G$965)=FALSE,"",'Dvd Calendar'!$G$965))</f>
        <v/>
      </c>
      <c r="AT98" s="161">
        <f>IF(FV98="","",IF(ISNUMBER('Dvd Calendar'!$H$965)=FALSE,"",'Dvd Calendar'!$H$965))</f>
        <v/>
      </c>
      <c r="AU98" s="161">
        <f>IF(FW98="","",IF(ISNUMBER('Dvd Calendar'!$I$965)=FALSE,"",'Dvd Calendar'!$I$965))</f>
        <v/>
      </c>
      <c r="AV98" s="161">
        <f>IF(FX98="","",IF(ISNUMBER('Dvd Calendar'!$J$965)=FALSE,"",'Dvd Calendar'!$J$965))</f>
        <v/>
      </c>
      <c r="AW98" s="161">
        <f>IF(FY98="","",IF(ISNUMBER('Dvd Calendar'!$K$965)=FALSE,"",'Dvd Calendar'!$K$965))</f>
        <v/>
      </c>
      <c r="AX98" s="161">
        <f>IF(FZ98="","",IF(ISNUMBER('Dvd Calendar'!$L$965)=FALSE,"",'Dvd Calendar'!$L$965))</f>
        <v/>
      </c>
      <c r="AY98" s="161">
        <f>IF(GA98="","",IF(ISNUMBER('Dvd Calendar'!$M$965)=FALSE,"",'Dvd Calendar'!$M$965))</f>
        <v/>
      </c>
      <c r="AZ98" s="161">
        <f>IF(GB98="","",IF(ISNUMBER('Dvd Calendar'!$N$965)=FALSE,"",'Dvd Calendar'!$N$965))</f>
        <v/>
      </c>
      <c r="BA98" s="161">
        <f>IF(GC98="","",IF(ISNUMBER('Dvd Calendar'!$O$965)=FALSE,"",'Dvd Calendar'!$O$965))</f>
        <v/>
      </c>
      <c r="BB98" s="161">
        <f>IF(GD98="","",IF(ISNUMBER('Dvd Calendar'!$P$965)=FALSE,"",'Dvd Calendar'!$P$965))</f>
        <v/>
      </c>
      <c r="BC98" s="161">
        <f>IF(GE98="","",IF(ISNUMBER('Dvd Calendar'!$Q$965)=FALSE,"",'Dvd Calendar'!$Q$965))</f>
        <v/>
      </c>
      <c r="BD98" s="161">
        <f>IF(GF98="","",IF(ISNUMBER('Dvd Calendar'!$R$965)=FALSE,"",'Dvd Calendar'!$R$965))</f>
        <v/>
      </c>
      <c r="BE98" s="161">
        <f>IF(GG98="","",IF(ISNUMBER('Dvd Calendar'!$S$965)=FALSE,"",'Dvd Calendar'!$S$965))</f>
        <v/>
      </c>
      <c r="BF98" s="161">
        <f>IF(GH98="","",IF(ISNUMBER('Dvd Calendar'!$T$965)=FALSE,"",'Dvd Calendar'!$T$965))</f>
        <v/>
      </c>
      <c r="BG98" s="161">
        <f>IF(GI98="","",IF(ISNUMBER('Dvd Calendar'!$U$965)=FALSE,"",'Dvd Calendar'!$U$965))</f>
        <v/>
      </c>
      <c r="BH98" s="161">
        <f>IF(GJ98="","",IF(ISNUMBER('Dvd Calendar'!$V$965)=FALSE,"",'Dvd Calendar'!$V$965))</f>
        <v/>
      </c>
      <c r="BI98" s="161">
        <f>IF(GK98="","",IF(ISNUMBER('Dvd Calendar'!$W$965)=FALSE,"",'Dvd Calendar'!$W$965))</f>
        <v/>
      </c>
      <c r="BJ98" s="161">
        <f>IF(GL98="","",IF(ISNUMBER('Dvd Calendar'!$X$965)=FALSE,"",'Dvd Calendar'!$X$965))</f>
        <v/>
      </c>
      <c r="BK98" s="161">
        <f>IF(GM98="","",IF(ISNUMBER('Dvd Calendar'!$Y$965)=FALSE,"",'Dvd Calendar'!$Y$965))</f>
        <v/>
      </c>
      <c r="BL98" s="161">
        <f>IF(GN98="","",IF(ISNUMBER('Dvd Calendar'!$Z$965)=FALSE,"",'Dvd Calendar'!$Z$965))</f>
        <v/>
      </c>
      <c r="BM98" s="161">
        <f>IF(GO98="","",IF(ISNUMBER('Dvd Calendar'!$AA$965)=FALSE,"",'Dvd Calendar'!$AA$965))</f>
        <v/>
      </c>
      <c r="BN98" s="161">
        <f>IF(GP98="","",IF(ISNUMBER('Dvd Calendar'!$AB$965)=FALSE,"",'Dvd Calendar'!$AB$965))</f>
        <v/>
      </c>
      <c r="BO98" s="161">
        <f>IF(GQ98="","",IF(ISNUMBER('Dvd Calendar'!$AC$965)=FALSE,"",'Dvd Calendar'!$AC$965))</f>
        <v/>
      </c>
      <c r="BQ98" s="161">
        <f>IF(C98="","",IFERROR(C98*HSI!$B$93*HSI!$G$93/HSI!$B$3,""))</f>
        <v/>
      </c>
      <c r="BR98" s="161">
        <f>IF(D98="","",IFERROR(D98*HSI!$B$93*HSI!$G$93/HSI!$B$3,""))</f>
        <v/>
      </c>
      <c r="BS98" s="161">
        <f>IF(E98="","",IFERROR(E98*HSI!$B$93*HSI!$G$93/HSI!$B$3,""))</f>
        <v/>
      </c>
      <c r="BT98" s="161">
        <f>IF(F98="","",IFERROR(F98*HSI!$B$93*HSI!$G$93/HSI!$B$3,""))</f>
        <v/>
      </c>
      <c r="BU98" s="161">
        <f>IF(G98="","",IFERROR(G98*HSI!$B$93*HSI!$G$93/HSI!$B$3,""))</f>
        <v/>
      </c>
      <c r="BV98" s="161">
        <f>IF(H98="","",IFERROR(H98*HSI!$B$93*HSI!$G$93/HSI!$B$3,""))</f>
        <v/>
      </c>
      <c r="BW98" s="161">
        <f>IF(I98="","",IFERROR(I98*HSI!$B$93*HSI!$G$93/HSI!$B$3,""))</f>
        <v/>
      </c>
      <c r="BX98" s="161">
        <f>IF(J98="","",IFERROR(J98*HSI!$B$93*HSI!$G$93/HSI!$B$3,""))</f>
        <v/>
      </c>
      <c r="BY98" s="161">
        <f>IF(K98="","",IFERROR(K98*HSI!$B$93*HSI!$G$93/HSI!$B$3,""))</f>
        <v/>
      </c>
      <c r="BZ98" s="161">
        <f>IF(L98="","",IFERROR(L98*HSI!$B$93*HSI!$G$93/HSI!$B$3,""))</f>
        <v/>
      </c>
      <c r="CA98" s="161">
        <f>IF(M98="","",IFERROR(M98*HSI!$B$93*HSI!$G$93/HSI!$B$3,""))</f>
        <v/>
      </c>
      <c r="CB98" s="161">
        <f>IF(N98="","",IFERROR(N98*HSI!$B$93*HSI!$G$93/HSI!$B$3,""))</f>
        <v/>
      </c>
      <c r="CC98" s="161">
        <f>IF(O98="","",IFERROR(O98*HSI!$B$93*HSI!$G$93/HSI!$B$3,""))</f>
        <v/>
      </c>
      <c r="CD98" s="161">
        <f>IF(P98="","",IFERROR(P98*HSI!$B$93*HSI!$G$93/HSI!$B$3,""))</f>
        <v/>
      </c>
      <c r="CE98" s="161">
        <f>IF(Q98="","",IFERROR(Q98*HSI!$B$93*HSI!$G$93/HSI!$B$3,""))</f>
        <v/>
      </c>
      <c r="CF98" s="161">
        <f>IF(R98="","",IFERROR(R98*HSI!$B$93*HSI!$G$93/HSI!$B$3,""))</f>
        <v/>
      </c>
      <c r="CG98" s="161">
        <f>IF(S98="","",IFERROR(S98*HSI!$B$93*HSI!$G$93/HSI!$B$3,""))</f>
        <v/>
      </c>
      <c r="CH98" s="161">
        <f>IF(T98="","",IFERROR(T98*HSI!$B$93*HSI!$G$93/HSI!$B$3,""))</f>
        <v/>
      </c>
      <c r="CI98" s="161">
        <f>IF(U98="","",IFERROR(U98*HSI!$B$93*HSI!$G$93/HSI!$B$3,""))</f>
        <v/>
      </c>
      <c r="CJ98" s="161">
        <f>IF(V98="","",IFERROR(V98*HSI!$B$93*HSI!$G$93/HSI!$B$3,""))</f>
        <v/>
      </c>
      <c r="CK98" s="161">
        <f>IF(W98="","",IFERROR(W98*HSI!$B$93*HSI!$G$93/HSI!$B$3,""))</f>
        <v/>
      </c>
      <c r="CL98" s="161">
        <f>IF(X98="","",IFERROR(X98*HSI!$B$93*HSI!$G$93/HSI!$B$3,""))</f>
        <v/>
      </c>
      <c r="CM98" s="161">
        <f>IF(Y98="","",IFERROR(Y98*HSI!$B$93*HSI!$G$93/HSI!$B$3,""))</f>
        <v/>
      </c>
      <c r="CN98" s="161">
        <f>IF(Z98="","",IFERROR(Z98*HSI!$B$93*HSI!$G$93/HSI!$B$3,""))</f>
        <v/>
      </c>
      <c r="CO98" s="161">
        <f>IF(AA98="","",IFERROR(AA98*HSI!$B$93*HSI!$G$93/HSI!$B$3,""))</f>
        <v/>
      </c>
      <c r="CP98" s="161">
        <f>IF(AB98="","",IFERROR(AB98*HSI!$B$93*HSI!$G$93/HSI!$B$3,""))</f>
        <v/>
      </c>
      <c r="CQ98" s="161">
        <f>IF(AC98="","",IFERROR(AC98*HSI!$B$93*HSI!$G$93/HSI!$B$3,""))</f>
        <v/>
      </c>
      <c r="CR98" s="161">
        <f>IF(AD98="","",IFERROR(AD98*HSI!$B$93*HSI!$G$93/HSI!$B$3,""))</f>
        <v/>
      </c>
      <c r="CS98" s="161">
        <f>IF(AE98="","",IFERROR(AE98*HSI!$B$93*HSI!$G$93/HSI!$B$3,""))</f>
        <v/>
      </c>
      <c r="CT98" s="161">
        <f>IF(AF98="","",IFERROR(AF98*HSI!$B$93*HSI!$G$93/HSI!$B$3,""))</f>
        <v/>
      </c>
      <c r="CU98" s="161">
        <f>IF(AG98="","",IFERROR(AG98*HSI!$B$93*HSI!$G$93/HSI!$B$3,""))</f>
        <v/>
      </c>
      <c r="CV98" s="161">
        <f>IF(AH98="","",IFERROR(AH98*HSI!$B$93*HSI!$G$93/HSI!$B$3,""))</f>
        <v/>
      </c>
      <c r="CW98" s="161">
        <f>IF(AI98="","",IFERROR(AI98*HSI!$B$93*HSI!$G$93/HSI!$B$3,""))</f>
        <v/>
      </c>
      <c r="CX98" s="161">
        <f>IF(AJ98="","",IFERROR(AJ98*HSI!$B$93*HSI!$G$93/HSI!$B$3,""))</f>
        <v/>
      </c>
      <c r="CY98" s="161">
        <f>IF(AK98="","",IFERROR(AK98*HSI!$B$93*HSI!$G$93/HSI!$B$3,""))</f>
        <v/>
      </c>
      <c r="CZ98" s="161">
        <f>IF(AL98="","",IFERROR(AL98*HSI!$B$93*HSI!$G$93/HSI!$B$3,""))</f>
        <v/>
      </c>
      <c r="DA98" s="161">
        <f>IF(AM98="","",IFERROR(AM98*HSI!$B$93*HSI!$G$93/HSI!$B$3,""))</f>
        <v/>
      </c>
      <c r="DB98" s="161">
        <f>IF(AN98="","",IFERROR(AN98*HSI!$B$93*HSI!$G$93/HSI!$B$3,""))</f>
        <v/>
      </c>
      <c r="DC98" s="161">
        <f>IF(AO98="","",IFERROR(AO98*HSI!$B$93*HSI!$G$93/HSI!$B$3,""))</f>
        <v/>
      </c>
      <c r="DD98" s="161">
        <f>IF(AP98="","",IFERROR(AP98*HSI!$B$93*HSI!$G$93/HSI!$B$3,""))</f>
        <v/>
      </c>
      <c r="DE98" s="161">
        <f>IF(AQ98="","",IFERROR(AQ98*HSI!$B$93*HSI!$G$93/HSI!$B$3,""))</f>
        <v/>
      </c>
      <c r="DF98" s="161">
        <f>IF(AR98="","",IFERROR(AR98*HSI!$B$93*HSI!$G$93/HSI!$B$3,""))</f>
        <v/>
      </c>
      <c r="DG98" s="161">
        <f>IF(AS98="","",IFERROR(AS98*HSI!$B$93*HSI!$G$93/HSI!$B$3,""))</f>
        <v/>
      </c>
      <c r="DH98" s="161">
        <f>IF(AT98="","",IFERROR(AT98*HSI!$B$93*HSI!$G$93/HSI!$B$3,""))</f>
        <v/>
      </c>
      <c r="DI98" s="161">
        <f>IF(AU98="","",IFERROR(AU98*HSI!$B$93*HSI!$G$93/HSI!$B$3,""))</f>
        <v/>
      </c>
      <c r="DJ98" s="161">
        <f>IF(AV98="","",IFERROR(AV98*HSI!$B$93*HSI!$G$93/HSI!$B$3,""))</f>
        <v/>
      </c>
      <c r="DK98" s="161">
        <f>IF(AW98="","",IFERROR(AW98*HSI!$B$93*HSI!$G$93/HSI!$B$3,""))</f>
        <v/>
      </c>
      <c r="DL98" s="161">
        <f>IF(AX98="","",IFERROR(AX98*HSI!$B$93*HSI!$G$93/HSI!$B$3,""))</f>
        <v/>
      </c>
      <c r="DM98" s="161">
        <f>IF(AY98="","",IFERROR(AY98*HSI!$B$93*HSI!$G$93/HSI!$B$3,""))</f>
        <v/>
      </c>
      <c r="DN98" s="161">
        <f>IF(AZ98="","",IFERROR(AZ98*HSI!$B$93*HSI!$G$93/HSI!$B$3,""))</f>
        <v/>
      </c>
      <c r="DO98" s="161">
        <f>IF(BA98="","",IFERROR(BA98*HSI!$B$93*HSI!$G$93/HSI!$B$3,""))</f>
        <v/>
      </c>
      <c r="DP98" s="161">
        <f>IF(BB98="","",IFERROR(BB98*HSI!$B$93*HSI!$G$93/HSI!$B$3,""))</f>
        <v/>
      </c>
      <c r="DQ98" s="161">
        <f>IF(BC98="","",IFERROR(BC98*HSI!$B$93*HSI!$G$93/HSI!$B$3,""))</f>
        <v/>
      </c>
      <c r="DR98" s="161">
        <f>IF(BD98="","",IFERROR(BD98*HSI!$B$93*HSI!$G$93/HSI!$B$3,""))</f>
        <v/>
      </c>
      <c r="DS98" s="161">
        <f>IF(BE98="","",IFERROR(BE98*HSI!$B$93*HSI!$G$93/HSI!$B$3,""))</f>
        <v/>
      </c>
      <c r="DT98" s="161">
        <f>IF(BF98="","",IFERROR(BF98*HSI!$B$93*HSI!$G$93/HSI!$B$3,""))</f>
        <v/>
      </c>
      <c r="DU98" s="161">
        <f>IF(BG98="","",IFERROR(BG98*HSI!$B$93*HSI!$G$93/HSI!$B$3,""))</f>
        <v/>
      </c>
      <c r="DV98" s="161">
        <f>IF(BH98="","",IFERROR(BH98*HSI!$B$93*HSI!$G$93/HSI!$B$3,""))</f>
        <v/>
      </c>
      <c r="DW98" s="161">
        <f>IF(BI98="","",IFERROR(BI98*HSI!$B$93*HSI!$G$93/HSI!$B$3,""))</f>
        <v/>
      </c>
      <c r="DX98" s="161">
        <f>IF(BJ98="","",IFERROR(BJ98*HSI!$B$93*HSI!$G$93/HSI!$B$3,""))</f>
        <v/>
      </c>
      <c r="DY98" s="161">
        <f>IF(BK98="","",IFERROR(BK98*HSI!$B$93*HSI!$G$93/HSI!$B$3,""))</f>
        <v/>
      </c>
      <c r="DZ98" s="161">
        <f>IF(BL98="","",IFERROR(BL98*HSI!$B$93*HSI!$G$93/HSI!$B$3,""))</f>
        <v/>
      </c>
      <c r="EA98" s="161">
        <f>IF(BM98="","",IFERROR(BM98*HSI!$B$93*HSI!$G$93/HSI!$B$3,""))</f>
        <v/>
      </c>
      <c r="EB98" s="161">
        <f>IF(BN98="","",IFERROR(BN98*HSI!$B$93*HSI!$G$93/HSI!$B$3,""))</f>
        <v/>
      </c>
      <c r="EC98" s="161">
        <f>IF(BO98="","",IFERROR(BO98*HSI!$B$93*HSI!$G$93/HSI!$B$3,""))</f>
        <v/>
      </c>
      <c r="EE98" s="121">
        <f>IF(N('Dvd Calendar'!$E$957)=0,"",IF(('Dvd Calendar'!$E$957&gt;=GRID_FROM)*('Dvd Calendar'!$E$957&lt;=GRID_TO)*((('Dvd Calendar'!$E$957&lt;=VAL_DATE)+(COUNTIF('Dvd Calendar'!$E$964:$AR$964,'Dvd Calendar'!$E$957)=0))&gt;0)=0,"",'Dvd Calendar'!$E$957*1000000000+ISNUMBER('Dvd Calendar'!$E$960)*100000000+('Dvd Calendar'!$E$962=SPECIAL_LBL)*10000000+(N('Dvd Calendar'!$E$956)&gt;0)*(N('Dvd Calendar'!$E$956)&lt;=VAL_SERIAL)*1000000+87*1000+1))</f>
        <v/>
      </c>
      <c r="EF98" s="121">
        <f>IF(N('Dvd Calendar'!$F$957)=0,"",IF(('Dvd Calendar'!$F$957&gt;=GRID_FROM)*('Dvd Calendar'!$F$957&lt;=GRID_TO)*((('Dvd Calendar'!$F$957&lt;=VAL_DATE)+(COUNTIF('Dvd Calendar'!$E$964:$AR$964,'Dvd Calendar'!$F$957)=0))&gt;0)=0,"",'Dvd Calendar'!$F$957*1000000000+ISNUMBER('Dvd Calendar'!$F$960)*100000000+('Dvd Calendar'!$F$962=SPECIAL_LBL)*10000000+(N('Dvd Calendar'!$F$956)&gt;0)*(N('Dvd Calendar'!$F$956)&lt;=VAL_SERIAL)*1000000+87*1000+2))</f>
        <v/>
      </c>
      <c r="EG98" s="121">
        <f>IF(N('Dvd Calendar'!$G$957)=0,"",IF(('Dvd Calendar'!$G$957&gt;=GRID_FROM)*('Dvd Calendar'!$G$957&lt;=GRID_TO)*((('Dvd Calendar'!$G$957&lt;=VAL_DATE)+(COUNTIF('Dvd Calendar'!$E$964:$AR$964,'Dvd Calendar'!$G$957)=0))&gt;0)=0,"",'Dvd Calendar'!$G$957*1000000000+ISNUMBER('Dvd Calendar'!$G$960)*100000000+('Dvd Calendar'!$G$962=SPECIAL_LBL)*10000000+(N('Dvd Calendar'!$G$956)&gt;0)*(N('Dvd Calendar'!$G$956)&lt;=VAL_SERIAL)*1000000+87*1000+3))</f>
        <v/>
      </c>
      <c r="EH98" s="121">
        <f>IF(N('Dvd Calendar'!$H$957)=0,"",IF(('Dvd Calendar'!$H$957&gt;=GRID_FROM)*('Dvd Calendar'!$H$957&lt;=GRID_TO)*((('Dvd Calendar'!$H$957&lt;=VAL_DATE)+(COUNTIF('Dvd Calendar'!$E$964:$AR$964,'Dvd Calendar'!$H$957)=0))&gt;0)=0,"",'Dvd Calendar'!$H$957*1000000000+ISNUMBER('Dvd Calendar'!$H$960)*100000000+('Dvd Calendar'!$H$962=SPECIAL_LBL)*10000000+(N('Dvd Calendar'!$H$956)&gt;0)*(N('Dvd Calendar'!$H$956)&lt;=VAL_SERIAL)*1000000+87*1000+4))</f>
        <v/>
      </c>
      <c r="EI98" s="121">
        <f>IF(N('Dvd Calendar'!$I$957)=0,"",IF(('Dvd Calendar'!$I$957&gt;=GRID_FROM)*('Dvd Calendar'!$I$957&lt;=GRID_TO)*((('Dvd Calendar'!$I$957&lt;=VAL_DATE)+(COUNTIF('Dvd Calendar'!$E$964:$AR$964,'Dvd Calendar'!$I$957)=0))&gt;0)=0,"",'Dvd Calendar'!$I$957*1000000000+ISNUMBER('Dvd Calendar'!$I$960)*100000000+('Dvd Calendar'!$I$962=SPECIAL_LBL)*10000000+(N('Dvd Calendar'!$I$956)&gt;0)*(N('Dvd Calendar'!$I$956)&lt;=VAL_SERIAL)*1000000+87*1000+5))</f>
        <v/>
      </c>
      <c r="EJ98" s="121">
        <f>IF(N('Dvd Calendar'!$J$957)=0,"",IF(('Dvd Calendar'!$J$957&gt;=GRID_FROM)*('Dvd Calendar'!$J$957&lt;=GRID_TO)*((('Dvd Calendar'!$J$957&lt;=VAL_DATE)+(COUNTIF('Dvd Calendar'!$E$964:$AR$964,'Dvd Calendar'!$J$957)=0))&gt;0)=0,"",'Dvd Calendar'!$J$957*1000000000+ISNUMBER('Dvd Calendar'!$J$960)*100000000+('Dvd Calendar'!$J$962=SPECIAL_LBL)*10000000+(N('Dvd Calendar'!$J$956)&gt;0)*(N('Dvd Calendar'!$J$956)&lt;=VAL_SERIAL)*1000000+87*1000+6))</f>
        <v/>
      </c>
      <c r="EK98" s="121">
        <f>IF(N('Dvd Calendar'!$K$957)=0,"",IF(('Dvd Calendar'!$K$957&gt;=GRID_FROM)*('Dvd Calendar'!$K$957&lt;=GRID_TO)*((('Dvd Calendar'!$K$957&lt;=VAL_DATE)+(COUNTIF('Dvd Calendar'!$E$964:$AR$964,'Dvd Calendar'!$K$957)=0))&gt;0)=0,"",'Dvd Calendar'!$K$957*1000000000+ISNUMBER('Dvd Calendar'!$K$960)*100000000+('Dvd Calendar'!$K$962=SPECIAL_LBL)*10000000+(N('Dvd Calendar'!$K$956)&gt;0)*(N('Dvd Calendar'!$K$956)&lt;=VAL_SERIAL)*1000000+87*1000+7))</f>
        <v/>
      </c>
      <c r="EL98" s="121">
        <f>IF(N('Dvd Calendar'!$L$957)=0,"",IF(('Dvd Calendar'!$L$957&gt;=GRID_FROM)*('Dvd Calendar'!$L$957&lt;=GRID_TO)*((('Dvd Calendar'!$L$957&lt;=VAL_DATE)+(COUNTIF('Dvd Calendar'!$E$964:$AR$964,'Dvd Calendar'!$L$957)=0))&gt;0)=0,"",'Dvd Calendar'!$L$957*1000000000+ISNUMBER('Dvd Calendar'!$L$960)*100000000+('Dvd Calendar'!$L$962=SPECIAL_LBL)*10000000+(N('Dvd Calendar'!$L$956)&gt;0)*(N('Dvd Calendar'!$L$956)&lt;=VAL_SERIAL)*1000000+87*1000+8))</f>
        <v/>
      </c>
      <c r="EM98" s="121">
        <f>IF(N('Dvd Calendar'!$M$957)=0,"",IF(('Dvd Calendar'!$M$957&gt;=GRID_FROM)*('Dvd Calendar'!$M$957&lt;=GRID_TO)*((('Dvd Calendar'!$M$957&lt;=VAL_DATE)+(COUNTIF('Dvd Calendar'!$E$964:$AR$964,'Dvd Calendar'!$M$957)=0))&gt;0)=0,"",'Dvd Calendar'!$M$957*1000000000+ISNUMBER('Dvd Calendar'!$M$960)*100000000+('Dvd Calendar'!$M$962=SPECIAL_LBL)*10000000+(N('Dvd Calendar'!$M$956)&gt;0)*(N('Dvd Calendar'!$M$956)&lt;=VAL_SERIAL)*1000000+87*1000+9))</f>
        <v/>
      </c>
      <c r="EN98" s="121">
        <f>IF(N('Dvd Calendar'!$N$957)=0,"",IF(('Dvd Calendar'!$N$957&gt;=GRID_FROM)*('Dvd Calendar'!$N$957&lt;=GRID_TO)*((('Dvd Calendar'!$N$957&lt;=VAL_DATE)+(COUNTIF('Dvd Calendar'!$E$964:$AR$964,'Dvd Calendar'!$N$957)=0))&gt;0)=0,"",'Dvd Calendar'!$N$957*1000000000+ISNUMBER('Dvd Calendar'!$N$960)*100000000+('Dvd Calendar'!$N$962=SPECIAL_LBL)*10000000+(N('Dvd Calendar'!$N$956)&gt;0)*(N('Dvd Calendar'!$N$956)&lt;=VAL_SERIAL)*1000000+87*1000+10))</f>
        <v/>
      </c>
      <c r="EO98" s="121">
        <f>IF(N('Dvd Calendar'!$O$957)=0,"",IF(('Dvd Calendar'!$O$957&gt;=GRID_FROM)*('Dvd Calendar'!$O$957&lt;=GRID_TO)*((('Dvd Calendar'!$O$957&lt;=VAL_DATE)+(COUNTIF('Dvd Calendar'!$E$964:$AR$964,'Dvd Calendar'!$O$957)=0))&gt;0)=0,"",'Dvd Calendar'!$O$957*1000000000+ISNUMBER('Dvd Calendar'!$O$960)*100000000+('Dvd Calendar'!$O$962=SPECIAL_LBL)*10000000+(N('Dvd Calendar'!$O$956)&gt;0)*(N('Dvd Calendar'!$O$956)&lt;=VAL_SERIAL)*1000000+87*1000+11))</f>
        <v/>
      </c>
      <c r="EP98" s="121">
        <f>IF(N('Dvd Calendar'!$P$957)=0,"",IF(('Dvd Calendar'!$P$957&gt;=GRID_FROM)*('Dvd Calendar'!$P$957&lt;=GRID_TO)*((('Dvd Calendar'!$P$957&lt;=VAL_DATE)+(COUNTIF('Dvd Calendar'!$E$964:$AR$964,'Dvd Calendar'!$P$957)=0))&gt;0)=0,"",'Dvd Calendar'!$P$957*1000000000+ISNUMBER('Dvd Calendar'!$P$960)*100000000+('Dvd Calendar'!$P$962=SPECIAL_LBL)*10000000+(N('Dvd Calendar'!$P$956)&gt;0)*(N('Dvd Calendar'!$P$956)&lt;=VAL_SERIAL)*1000000+87*1000+12))</f>
        <v/>
      </c>
      <c r="EQ98" s="121">
        <f>IF(N('Dvd Calendar'!$Q$957)=0,"",IF(('Dvd Calendar'!$Q$957&gt;=GRID_FROM)*('Dvd Calendar'!$Q$957&lt;=GRID_TO)*((('Dvd Calendar'!$Q$957&lt;=VAL_DATE)+(COUNTIF('Dvd Calendar'!$E$964:$AR$964,'Dvd Calendar'!$Q$957)=0))&gt;0)=0,"",'Dvd Calendar'!$Q$957*1000000000+ISNUMBER('Dvd Calendar'!$Q$960)*100000000+('Dvd Calendar'!$Q$962=SPECIAL_LBL)*10000000+(N('Dvd Calendar'!$Q$956)&gt;0)*(N('Dvd Calendar'!$Q$956)&lt;=VAL_SERIAL)*1000000+87*1000+13))</f>
        <v/>
      </c>
      <c r="ER98" s="121">
        <f>IF(N('Dvd Calendar'!$R$957)=0,"",IF(('Dvd Calendar'!$R$957&gt;=GRID_FROM)*('Dvd Calendar'!$R$957&lt;=GRID_TO)*((('Dvd Calendar'!$R$957&lt;=VAL_DATE)+(COUNTIF('Dvd Calendar'!$E$964:$AR$964,'Dvd Calendar'!$R$957)=0))&gt;0)=0,"",'Dvd Calendar'!$R$957*1000000000+ISNUMBER('Dvd Calendar'!$R$960)*100000000+('Dvd Calendar'!$R$962=SPECIAL_LBL)*10000000+(N('Dvd Calendar'!$R$956)&gt;0)*(N('Dvd Calendar'!$R$956)&lt;=VAL_SERIAL)*1000000+87*1000+14))</f>
        <v/>
      </c>
      <c r="ES98" s="121">
        <f>IF(N('Dvd Calendar'!$S$957)=0,"",IF(('Dvd Calendar'!$S$957&gt;=GRID_FROM)*('Dvd Calendar'!$S$957&lt;=GRID_TO)*((('Dvd Calendar'!$S$957&lt;=VAL_DATE)+(COUNTIF('Dvd Calendar'!$E$964:$AR$964,'Dvd Calendar'!$S$957)=0))&gt;0)=0,"",'Dvd Calendar'!$S$957*1000000000+ISNUMBER('Dvd Calendar'!$S$960)*100000000+('Dvd Calendar'!$S$962=SPECIAL_LBL)*10000000+(N('Dvd Calendar'!$S$956)&gt;0)*(N('Dvd Calendar'!$S$956)&lt;=VAL_SERIAL)*1000000+87*1000+15))</f>
        <v/>
      </c>
      <c r="ET98" s="121">
        <f>IF(N('Dvd Calendar'!$T$957)=0,"",IF(('Dvd Calendar'!$T$957&gt;=GRID_FROM)*('Dvd Calendar'!$T$957&lt;=GRID_TO)*((('Dvd Calendar'!$T$957&lt;=VAL_DATE)+(COUNTIF('Dvd Calendar'!$E$964:$AR$964,'Dvd Calendar'!$T$957)=0))&gt;0)=0,"",'Dvd Calendar'!$T$957*1000000000+ISNUMBER('Dvd Calendar'!$T$960)*100000000+('Dvd Calendar'!$T$962=SPECIAL_LBL)*10000000+(N('Dvd Calendar'!$T$956)&gt;0)*(N('Dvd Calendar'!$T$956)&lt;=VAL_SERIAL)*1000000+87*1000+16))</f>
        <v/>
      </c>
      <c r="EU98" s="121">
        <f>IF(N('Dvd Calendar'!$U$957)=0,"",IF(('Dvd Calendar'!$U$957&gt;=GRID_FROM)*('Dvd Calendar'!$U$957&lt;=GRID_TO)*((('Dvd Calendar'!$U$957&lt;=VAL_DATE)+(COUNTIF('Dvd Calendar'!$E$964:$AR$964,'Dvd Calendar'!$U$957)=0))&gt;0)=0,"",'Dvd Calendar'!$U$957*1000000000+ISNUMBER('Dvd Calendar'!$U$960)*100000000+('Dvd Calendar'!$U$962=SPECIAL_LBL)*10000000+(N('Dvd Calendar'!$U$956)&gt;0)*(N('Dvd Calendar'!$U$956)&lt;=VAL_SERIAL)*1000000+87*1000+17))</f>
        <v/>
      </c>
      <c r="EV98" s="121">
        <f>IF(N('Dvd Calendar'!$V$957)=0,"",IF(('Dvd Calendar'!$V$957&gt;=GRID_FROM)*('Dvd Calendar'!$V$957&lt;=GRID_TO)*((('Dvd Calendar'!$V$957&lt;=VAL_DATE)+(COUNTIF('Dvd Calendar'!$E$964:$AR$964,'Dvd Calendar'!$V$957)=0))&gt;0)=0,"",'Dvd Calendar'!$V$957*1000000000+ISNUMBER('Dvd Calendar'!$V$960)*100000000+('Dvd Calendar'!$V$962=SPECIAL_LBL)*10000000+(N('Dvd Calendar'!$V$956)&gt;0)*(N('Dvd Calendar'!$V$956)&lt;=VAL_SERIAL)*1000000+87*1000+18))</f>
        <v/>
      </c>
      <c r="EW98" s="121">
        <f>IF(N('Dvd Calendar'!$W$957)=0,"",IF(('Dvd Calendar'!$W$957&gt;=GRID_FROM)*('Dvd Calendar'!$W$957&lt;=GRID_TO)*((('Dvd Calendar'!$W$957&lt;=VAL_DATE)+(COUNTIF('Dvd Calendar'!$E$964:$AR$964,'Dvd Calendar'!$W$957)=0))&gt;0)=0,"",'Dvd Calendar'!$W$957*1000000000+ISNUMBER('Dvd Calendar'!$W$960)*100000000+('Dvd Calendar'!$W$962=SPECIAL_LBL)*10000000+(N('Dvd Calendar'!$W$956)&gt;0)*(N('Dvd Calendar'!$W$956)&lt;=VAL_SERIAL)*1000000+87*1000+19))</f>
        <v/>
      </c>
      <c r="EX98" s="121">
        <f>IF(N('Dvd Calendar'!$X$957)=0,"",IF(('Dvd Calendar'!$X$957&gt;=GRID_FROM)*('Dvd Calendar'!$X$957&lt;=GRID_TO)*((('Dvd Calendar'!$X$957&lt;=VAL_DATE)+(COUNTIF('Dvd Calendar'!$E$964:$AR$964,'Dvd Calendar'!$X$957)=0))&gt;0)=0,"",'Dvd Calendar'!$X$957*1000000000+ISNUMBER('Dvd Calendar'!$X$960)*100000000+('Dvd Calendar'!$X$962=SPECIAL_LBL)*10000000+(N('Dvd Calendar'!$X$956)&gt;0)*(N('Dvd Calendar'!$X$956)&lt;=VAL_SERIAL)*1000000+87*1000+20))</f>
        <v/>
      </c>
      <c r="EY98" s="121">
        <f>IF(N('Dvd Calendar'!$Y$957)=0,"",IF(('Dvd Calendar'!$Y$957&gt;=GRID_FROM)*('Dvd Calendar'!$Y$957&lt;=GRID_TO)*((('Dvd Calendar'!$Y$957&lt;=VAL_DATE)+(COUNTIF('Dvd Calendar'!$E$964:$AR$964,'Dvd Calendar'!$Y$957)=0))&gt;0)=0,"",'Dvd Calendar'!$Y$957*1000000000+ISNUMBER('Dvd Calendar'!$Y$960)*100000000+('Dvd Calendar'!$Y$962=SPECIAL_LBL)*10000000+(N('Dvd Calendar'!$Y$956)&gt;0)*(N('Dvd Calendar'!$Y$956)&lt;=VAL_SERIAL)*1000000+87*1000+21))</f>
        <v/>
      </c>
      <c r="EZ98" s="121">
        <f>IF(N('Dvd Calendar'!$Z$957)=0,"",IF(('Dvd Calendar'!$Z$957&gt;=GRID_FROM)*('Dvd Calendar'!$Z$957&lt;=GRID_TO)*((('Dvd Calendar'!$Z$957&lt;=VAL_DATE)+(COUNTIF('Dvd Calendar'!$E$964:$AR$964,'Dvd Calendar'!$Z$957)=0))&gt;0)=0,"",'Dvd Calendar'!$Z$957*1000000000+ISNUMBER('Dvd Calendar'!$Z$960)*100000000+('Dvd Calendar'!$Z$962=SPECIAL_LBL)*10000000+(N('Dvd Calendar'!$Z$956)&gt;0)*(N('Dvd Calendar'!$Z$956)&lt;=VAL_SERIAL)*1000000+87*1000+22))</f>
        <v/>
      </c>
      <c r="FA98" s="121">
        <f>IF(N('Dvd Calendar'!$AA$957)=0,"",IF(('Dvd Calendar'!$AA$957&gt;=GRID_FROM)*('Dvd Calendar'!$AA$957&lt;=GRID_TO)*((('Dvd Calendar'!$AA$957&lt;=VAL_DATE)+(COUNTIF('Dvd Calendar'!$E$964:$AR$964,'Dvd Calendar'!$AA$957)=0))&gt;0)=0,"",'Dvd Calendar'!$AA$957*1000000000+ISNUMBER('Dvd Calendar'!$AA$960)*100000000+('Dvd Calendar'!$AA$962=SPECIAL_LBL)*10000000+(N('Dvd Calendar'!$AA$956)&gt;0)*(N('Dvd Calendar'!$AA$956)&lt;=VAL_SERIAL)*1000000+87*1000+23))</f>
        <v/>
      </c>
      <c r="FB98" s="121">
        <f>IF(N('Dvd Calendar'!$AB$957)=0,"",IF(('Dvd Calendar'!$AB$957&gt;=GRID_FROM)*('Dvd Calendar'!$AB$957&lt;=GRID_TO)*((('Dvd Calendar'!$AB$957&lt;=VAL_DATE)+(COUNTIF('Dvd Calendar'!$E$964:$AR$964,'Dvd Calendar'!$AB$957)=0))&gt;0)=0,"",'Dvd Calendar'!$AB$957*1000000000+ISNUMBER('Dvd Calendar'!$AB$960)*100000000+('Dvd Calendar'!$AB$962=SPECIAL_LBL)*10000000+(N('Dvd Calendar'!$AB$956)&gt;0)*(N('Dvd Calendar'!$AB$956)&lt;=VAL_SERIAL)*1000000+87*1000+24))</f>
        <v/>
      </c>
      <c r="FC98" s="121">
        <f>IF(N('Dvd Calendar'!$AC$957)=0,"",IF(('Dvd Calendar'!$AC$957&gt;=GRID_FROM)*('Dvd Calendar'!$AC$957&lt;=GRID_TO)*((('Dvd Calendar'!$AC$957&lt;=VAL_DATE)+(COUNTIF('Dvd Calendar'!$E$964:$AR$964,'Dvd Calendar'!$AC$957)=0))&gt;0)=0,"",'Dvd Calendar'!$AC$957*1000000000+ISNUMBER('Dvd Calendar'!$AC$960)*100000000+('Dvd Calendar'!$AC$962=SPECIAL_LBL)*10000000+(N('Dvd Calendar'!$AC$956)&gt;0)*(N('Dvd Calendar'!$AC$956)&lt;=VAL_SERIAL)*1000000+87*1000+25))</f>
        <v/>
      </c>
      <c r="FD98" s="121">
        <f>IF(N('Dvd Calendar'!$AD$957)=0,"",IF(('Dvd Calendar'!$AD$957&gt;=GRID_FROM)*('Dvd Calendar'!$AD$957&lt;=GRID_TO)*((('Dvd Calendar'!$AD$957&lt;=VAL_DATE)+(COUNTIF('Dvd Calendar'!$E$964:$AR$964,'Dvd Calendar'!$AD$957)=0))&gt;0)=0,"",'Dvd Calendar'!$AD$957*1000000000+ISNUMBER('Dvd Calendar'!$AD$960)*100000000+('Dvd Calendar'!$AD$962=SPECIAL_LBL)*10000000+(N('Dvd Calendar'!$AD$956)&gt;0)*(N('Dvd Calendar'!$AD$956)&lt;=VAL_SERIAL)*1000000+87*1000+26))</f>
        <v/>
      </c>
      <c r="FE98" s="121">
        <f>IF(N('Dvd Calendar'!$AE$957)=0,"",IF(('Dvd Calendar'!$AE$957&gt;=GRID_FROM)*('Dvd Calendar'!$AE$957&lt;=GRID_TO)*((('Dvd Calendar'!$AE$957&lt;=VAL_DATE)+(COUNTIF('Dvd Calendar'!$E$964:$AR$964,'Dvd Calendar'!$AE$957)=0))&gt;0)=0,"",'Dvd Calendar'!$AE$957*1000000000+ISNUMBER('Dvd Calendar'!$AE$960)*100000000+('Dvd Calendar'!$AE$962=SPECIAL_LBL)*10000000+(N('Dvd Calendar'!$AE$956)&gt;0)*(N('Dvd Calendar'!$AE$956)&lt;=VAL_SERIAL)*1000000+87*1000+27))</f>
        <v/>
      </c>
      <c r="FF98" s="121">
        <f>IF(N('Dvd Calendar'!$AF$957)=0,"",IF(('Dvd Calendar'!$AF$957&gt;=GRID_FROM)*('Dvd Calendar'!$AF$957&lt;=GRID_TO)*((('Dvd Calendar'!$AF$957&lt;=VAL_DATE)+(COUNTIF('Dvd Calendar'!$E$964:$AR$964,'Dvd Calendar'!$AF$957)=0))&gt;0)=0,"",'Dvd Calendar'!$AF$957*1000000000+ISNUMBER('Dvd Calendar'!$AF$960)*100000000+('Dvd Calendar'!$AF$962=SPECIAL_LBL)*10000000+(N('Dvd Calendar'!$AF$956)&gt;0)*(N('Dvd Calendar'!$AF$956)&lt;=VAL_SERIAL)*1000000+87*1000+28))</f>
        <v/>
      </c>
      <c r="FG98" s="121">
        <f>IF(N('Dvd Calendar'!$AG$957)=0,"",IF(('Dvd Calendar'!$AG$957&gt;=GRID_FROM)*('Dvd Calendar'!$AG$957&lt;=GRID_TO)*((('Dvd Calendar'!$AG$957&lt;=VAL_DATE)+(COUNTIF('Dvd Calendar'!$E$964:$AR$964,'Dvd Calendar'!$AG$957)=0))&gt;0)=0,"",'Dvd Calendar'!$AG$957*1000000000+ISNUMBER('Dvd Calendar'!$AG$960)*100000000+('Dvd Calendar'!$AG$962=SPECIAL_LBL)*10000000+(N('Dvd Calendar'!$AG$956)&gt;0)*(N('Dvd Calendar'!$AG$956)&lt;=VAL_SERIAL)*1000000+87*1000+29))</f>
        <v/>
      </c>
      <c r="FH98" s="121">
        <f>IF(N('Dvd Calendar'!$AH$957)=0,"",IF(('Dvd Calendar'!$AH$957&gt;=GRID_FROM)*('Dvd Calendar'!$AH$957&lt;=GRID_TO)*((('Dvd Calendar'!$AH$957&lt;=VAL_DATE)+(COUNTIF('Dvd Calendar'!$E$964:$AR$964,'Dvd Calendar'!$AH$957)=0))&gt;0)=0,"",'Dvd Calendar'!$AH$957*1000000000+ISNUMBER('Dvd Calendar'!$AH$960)*100000000+('Dvd Calendar'!$AH$962=SPECIAL_LBL)*10000000+(N('Dvd Calendar'!$AH$956)&gt;0)*(N('Dvd Calendar'!$AH$956)&lt;=VAL_SERIAL)*1000000+87*1000+30))</f>
        <v/>
      </c>
      <c r="FI98" s="121">
        <f>IF(N('Dvd Calendar'!$AI$957)=0,"",IF(('Dvd Calendar'!$AI$957&gt;=GRID_FROM)*('Dvd Calendar'!$AI$957&lt;=GRID_TO)*((('Dvd Calendar'!$AI$957&lt;=VAL_DATE)+(COUNTIF('Dvd Calendar'!$E$964:$AR$964,'Dvd Calendar'!$AI$957)=0))&gt;0)=0,"",'Dvd Calendar'!$AI$957*1000000000+ISNUMBER('Dvd Calendar'!$AI$960)*100000000+('Dvd Calendar'!$AI$962=SPECIAL_LBL)*10000000+(N('Dvd Calendar'!$AI$956)&gt;0)*(N('Dvd Calendar'!$AI$956)&lt;=VAL_SERIAL)*1000000+87*1000+31))</f>
        <v/>
      </c>
      <c r="FJ98" s="121">
        <f>IF(N('Dvd Calendar'!$AJ$957)=0,"",IF(('Dvd Calendar'!$AJ$957&gt;=GRID_FROM)*('Dvd Calendar'!$AJ$957&lt;=GRID_TO)*((('Dvd Calendar'!$AJ$957&lt;=VAL_DATE)+(COUNTIF('Dvd Calendar'!$E$964:$AR$964,'Dvd Calendar'!$AJ$957)=0))&gt;0)=0,"",'Dvd Calendar'!$AJ$957*1000000000+ISNUMBER('Dvd Calendar'!$AJ$960)*100000000+('Dvd Calendar'!$AJ$962=SPECIAL_LBL)*10000000+(N('Dvd Calendar'!$AJ$956)&gt;0)*(N('Dvd Calendar'!$AJ$956)&lt;=VAL_SERIAL)*1000000+87*1000+32))</f>
        <v/>
      </c>
      <c r="FK98" s="121">
        <f>IF(N('Dvd Calendar'!$AK$957)=0,"",IF(('Dvd Calendar'!$AK$957&gt;=GRID_FROM)*('Dvd Calendar'!$AK$957&lt;=GRID_TO)*((('Dvd Calendar'!$AK$957&lt;=VAL_DATE)+(COUNTIF('Dvd Calendar'!$E$964:$AR$964,'Dvd Calendar'!$AK$957)=0))&gt;0)=0,"",'Dvd Calendar'!$AK$957*1000000000+ISNUMBER('Dvd Calendar'!$AK$960)*100000000+('Dvd Calendar'!$AK$962=SPECIAL_LBL)*10000000+(N('Dvd Calendar'!$AK$956)&gt;0)*(N('Dvd Calendar'!$AK$956)&lt;=VAL_SERIAL)*1000000+87*1000+33))</f>
        <v/>
      </c>
      <c r="FL98" s="121">
        <f>IF(N('Dvd Calendar'!$AL$957)=0,"",IF(('Dvd Calendar'!$AL$957&gt;=GRID_FROM)*('Dvd Calendar'!$AL$957&lt;=GRID_TO)*((('Dvd Calendar'!$AL$957&lt;=VAL_DATE)+(COUNTIF('Dvd Calendar'!$E$964:$AR$964,'Dvd Calendar'!$AL$957)=0))&gt;0)=0,"",'Dvd Calendar'!$AL$957*1000000000+ISNUMBER('Dvd Calendar'!$AL$960)*100000000+('Dvd Calendar'!$AL$962=SPECIAL_LBL)*10000000+(N('Dvd Calendar'!$AL$956)&gt;0)*(N('Dvd Calendar'!$AL$956)&lt;=VAL_SERIAL)*1000000+87*1000+34))</f>
        <v/>
      </c>
      <c r="FM98" s="121">
        <f>IF(N('Dvd Calendar'!$AM$957)=0,"",IF(('Dvd Calendar'!$AM$957&gt;=GRID_FROM)*('Dvd Calendar'!$AM$957&lt;=GRID_TO)*((('Dvd Calendar'!$AM$957&lt;=VAL_DATE)+(COUNTIF('Dvd Calendar'!$E$964:$AR$964,'Dvd Calendar'!$AM$957)=0))&gt;0)=0,"",'Dvd Calendar'!$AM$957*1000000000+ISNUMBER('Dvd Calendar'!$AM$960)*100000000+('Dvd Calendar'!$AM$962=SPECIAL_LBL)*10000000+(N('Dvd Calendar'!$AM$956)&gt;0)*(N('Dvd Calendar'!$AM$956)&lt;=VAL_SERIAL)*1000000+87*1000+35))</f>
        <v/>
      </c>
      <c r="FN98" s="121">
        <f>IF(N('Dvd Calendar'!$AN$957)=0,"",IF(('Dvd Calendar'!$AN$957&gt;=GRID_FROM)*('Dvd Calendar'!$AN$957&lt;=GRID_TO)*((('Dvd Calendar'!$AN$957&lt;=VAL_DATE)+(COUNTIF('Dvd Calendar'!$E$964:$AR$964,'Dvd Calendar'!$AN$957)=0))&gt;0)=0,"",'Dvd Calendar'!$AN$957*1000000000+ISNUMBER('Dvd Calendar'!$AN$960)*100000000+('Dvd Calendar'!$AN$962=SPECIAL_LBL)*10000000+(N('Dvd Calendar'!$AN$956)&gt;0)*(N('Dvd Calendar'!$AN$956)&lt;=VAL_SERIAL)*1000000+87*1000+36))</f>
        <v/>
      </c>
      <c r="FO98" s="121">
        <f>IF(N('Dvd Calendar'!$AO$957)=0,"",IF(('Dvd Calendar'!$AO$957&gt;=GRID_FROM)*('Dvd Calendar'!$AO$957&lt;=GRID_TO)*((('Dvd Calendar'!$AO$957&lt;=VAL_DATE)+(COUNTIF('Dvd Calendar'!$E$964:$AR$964,'Dvd Calendar'!$AO$957)=0))&gt;0)=0,"",'Dvd Calendar'!$AO$957*1000000000+ISNUMBER('Dvd Calendar'!$AO$960)*100000000+('Dvd Calendar'!$AO$962=SPECIAL_LBL)*10000000+(N('Dvd Calendar'!$AO$956)&gt;0)*(N('Dvd Calendar'!$AO$956)&lt;=VAL_SERIAL)*1000000+87*1000+37))</f>
        <v/>
      </c>
      <c r="FP98" s="121">
        <f>IF(N('Dvd Calendar'!$AP$957)=0,"",IF(('Dvd Calendar'!$AP$957&gt;=GRID_FROM)*('Dvd Calendar'!$AP$957&lt;=GRID_TO)*((('Dvd Calendar'!$AP$957&lt;=VAL_DATE)+(COUNTIF('Dvd Calendar'!$E$964:$AR$964,'Dvd Calendar'!$AP$957)=0))&gt;0)=0,"",'Dvd Calendar'!$AP$957*1000000000+ISNUMBER('Dvd Calendar'!$AP$960)*100000000+('Dvd Calendar'!$AP$962=SPECIAL_LBL)*10000000+(N('Dvd Calendar'!$AP$956)&gt;0)*(N('Dvd Calendar'!$AP$956)&lt;=VAL_SERIAL)*1000000+87*1000+38))</f>
        <v/>
      </c>
      <c r="FQ98" s="121">
        <f>IF(N('Dvd Calendar'!$AQ$957)=0,"",IF(('Dvd Calendar'!$AQ$957&gt;=GRID_FROM)*('Dvd Calendar'!$AQ$957&lt;=GRID_TO)*((('Dvd Calendar'!$AQ$957&lt;=VAL_DATE)+(COUNTIF('Dvd Calendar'!$E$964:$AR$964,'Dvd Calendar'!$AQ$957)=0))&gt;0)=0,"",'Dvd Calendar'!$AQ$957*1000000000+ISNUMBER('Dvd Calendar'!$AQ$960)*100000000+('Dvd Calendar'!$AQ$962=SPECIAL_LBL)*10000000+(N('Dvd Calendar'!$AQ$956)&gt;0)*(N('Dvd Calendar'!$AQ$956)&lt;=VAL_SERIAL)*1000000+87*1000+39))</f>
        <v/>
      </c>
      <c r="FR98" s="121">
        <f>IF(N('Dvd Calendar'!$AR$957)=0,"",IF(('Dvd Calendar'!$AR$957&gt;=GRID_FROM)*('Dvd Calendar'!$AR$957&lt;=GRID_TO)*((('Dvd Calendar'!$AR$957&lt;=VAL_DATE)+(COUNTIF('Dvd Calendar'!$E$964:$AR$964,'Dvd Calendar'!$AR$957)=0))&gt;0)=0,"",'Dvd Calendar'!$AR$957*1000000000+ISNUMBER('Dvd Calendar'!$AR$960)*100000000+('Dvd Calendar'!$AR$962=SPECIAL_LBL)*10000000+(N('Dvd Calendar'!$AR$956)&gt;0)*(N('Dvd Calendar'!$AR$956)&lt;=VAL_SERIAL)*1000000+87*1000+40))</f>
        <v/>
      </c>
      <c r="FS98" s="121">
        <f>IF(N('Dvd Calendar'!$E$964)=0,"",IF(('Dvd Calendar'!$E$964&gt;=GRID_FROM)*('Dvd Calendar'!$E$964&lt;=GRID_TO)*('Dvd Calendar'!$E$964&gt;VAL_DATE)=0,"",'Dvd Calendar'!$E$964*1000000000+ISNUMBER('Dvd Calendar'!$E$965)*100000000+0*10000000+(N('Dvd Calendar'!$E$963)&gt;0)*(N('Dvd Calendar'!$E$963)&lt;=VAL_SERIAL)*1000000+87*1000+41))</f>
        <v/>
      </c>
      <c r="FT98" s="121">
        <f>IF(N('Dvd Calendar'!$F$964)=0,"",IF(('Dvd Calendar'!$F$964&gt;=GRID_FROM)*('Dvd Calendar'!$F$964&lt;=GRID_TO)*('Dvd Calendar'!$F$964&gt;VAL_DATE)=0,"",'Dvd Calendar'!$F$964*1000000000+ISNUMBER('Dvd Calendar'!$F$965)*100000000+0*10000000+(N('Dvd Calendar'!$F$963)&gt;0)*(N('Dvd Calendar'!$F$963)&lt;=VAL_SERIAL)*1000000+87*1000+42))</f>
        <v/>
      </c>
      <c r="FU98" s="121">
        <f>IF(N('Dvd Calendar'!$G$964)=0,"",IF(('Dvd Calendar'!$G$964&gt;=GRID_FROM)*('Dvd Calendar'!$G$964&lt;=GRID_TO)*('Dvd Calendar'!$G$964&gt;VAL_DATE)=0,"",'Dvd Calendar'!$G$964*1000000000+ISNUMBER('Dvd Calendar'!$G$965)*100000000+0*10000000+(N('Dvd Calendar'!$G$963)&gt;0)*(N('Dvd Calendar'!$G$963)&lt;=VAL_SERIAL)*1000000+87*1000+43))</f>
        <v/>
      </c>
      <c r="FV98" s="121">
        <f>IF(N('Dvd Calendar'!$H$964)=0,"",IF(('Dvd Calendar'!$H$964&gt;=GRID_FROM)*('Dvd Calendar'!$H$964&lt;=GRID_TO)*('Dvd Calendar'!$H$964&gt;VAL_DATE)=0,"",'Dvd Calendar'!$H$964*1000000000+ISNUMBER('Dvd Calendar'!$H$965)*100000000+0*10000000+(N('Dvd Calendar'!$H$963)&gt;0)*(N('Dvd Calendar'!$H$963)&lt;=VAL_SERIAL)*1000000+87*1000+44))</f>
        <v/>
      </c>
      <c r="FW98" s="121">
        <f>IF(N('Dvd Calendar'!$I$964)=0,"",IF(('Dvd Calendar'!$I$964&gt;=GRID_FROM)*('Dvd Calendar'!$I$964&lt;=GRID_TO)*('Dvd Calendar'!$I$964&gt;VAL_DATE)=0,"",'Dvd Calendar'!$I$964*1000000000+ISNUMBER('Dvd Calendar'!$I$965)*100000000+0*10000000+(N('Dvd Calendar'!$I$963)&gt;0)*(N('Dvd Calendar'!$I$963)&lt;=VAL_SERIAL)*1000000+87*1000+45))</f>
        <v/>
      </c>
      <c r="FX98" s="121">
        <f>IF(N('Dvd Calendar'!$J$964)=0,"",IF(('Dvd Calendar'!$J$964&gt;=GRID_FROM)*('Dvd Calendar'!$J$964&lt;=GRID_TO)*('Dvd Calendar'!$J$964&gt;VAL_DATE)=0,"",'Dvd Calendar'!$J$964*1000000000+ISNUMBER('Dvd Calendar'!$J$965)*100000000+0*10000000+(N('Dvd Calendar'!$J$963)&gt;0)*(N('Dvd Calendar'!$J$963)&lt;=VAL_SERIAL)*1000000+87*1000+46))</f>
        <v/>
      </c>
      <c r="FY98" s="121">
        <f>IF(N('Dvd Calendar'!$K$964)=0,"",IF(('Dvd Calendar'!$K$964&gt;=GRID_FROM)*('Dvd Calendar'!$K$964&lt;=GRID_TO)*('Dvd Calendar'!$K$964&gt;VAL_DATE)=0,"",'Dvd Calendar'!$K$964*1000000000+ISNUMBER('Dvd Calendar'!$K$965)*100000000+0*10000000+(N('Dvd Calendar'!$K$963)&gt;0)*(N('Dvd Calendar'!$K$963)&lt;=VAL_SERIAL)*1000000+87*1000+47))</f>
        <v/>
      </c>
      <c r="FZ98" s="121">
        <f>IF(N('Dvd Calendar'!$L$964)=0,"",IF(('Dvd Calendar'!$L$964&gt;=GRID_FROM)*('Dvd Calendar'!$L$964&lt;=GRID_TO)*('Dvd Calendar'!$L$964&gt;VAL_DATE)=0,"",'Dvd Calendar'!$L$964*1000000000+ISNUMBER('Dvd Calendar'!$L$965)*100000000+0*10000000+(N('Dvd Calendar'!$L$963)&gt;0)*(N('Dvd Calendar'!$L$963)&lt;=VAL_SERIAL)*1000000+87*1000+48))</f>
        <v/>
      </c>
      <c r="GA98" s="121">
        <f>IF(N('Dvd Calendar'!$M$964)=0,"",IF(('Dvd Calendar'!$M$964&gt;=GRID_FROM)*('Dvd Calendar'!$M$964&lt;=GRID_TO)*('Dvd Calendar'!$M$964&gt;VAL_DATE)=0,"",'Dvd Calendar'!$M$964*1000000000+ISNUMBER('Dvd Calendar'!$M$965)*100000000+0*10000000+(N('Dvd Calendar'!$M$963)&gt;0)*(N('Dvd Calendar'!$M$963)&lt;=VAL_SERIAL)*1000000+87*1000+49))</f>
        <v/>
      </c>
      <c r="GB98" s="121">
        <f>IF(N('Dvd Calendar'!$N$964)=0,"",IF(('Dvd Calendar'!$N$964&gt;=GRID_FROM)*('Dvd Calendar'!$N$964&lt;=GRID_TO)*('Dvd Calendar'!$N$964&gt;VAL_DATE)=0,"",'Dvd Calendar'!$N$964*1000000000+ISNUMBER('Dvd Calendar'!$N$965)*100000000+0*10000000+(N('Dvd Calendar'!$N$963)&gt;0)*(N('Dvd Calendar'!$N$963)&lt;=VAL_SERIAL)*1000000+87*1000+50))</f>
        <v/>
      </c>
      <c r="GC98" s="121">
        <f>IF(N('Dvd Calendar'!$O$964)=0,"",IF(('Dvd Calendar'!$O$964&gt;=GRID_FROM)*('Dvd Calendar'!$O$964&lt;=GRID_TO)*('Dvd Calendar'!$O$964&gt;VAL_DATE)=0,"",'Dvd Calendar'!$O$964*1000000000+ISNUMBER('Dvd Calendar'!$O$965)*100000000+0*10000000+(N('Dvd Calendar'!$O$963)&gt;0)*(N('Dvd Calendar'!$O$963)&lt;=VAL_SERIAL)*1000000+87*1000+51))</f>
        <v/>
      </c>
      <c r="GD98" s="121">
        <f>IF(N('Dvd Calendar'!$P$964)=0,"",IF(('Dvd Calendar'!$P$964&gt;=GRID_FROM)*('Dvd Calendar'!$P$964&lt;=GRID_TO)*('Dvd Calendar'!$P$964&gt;VAL_DATE)=0,"",'Dvd Calendar'!$P$964*1000000000+ISNUMBER('Dvd Calendar'!$P$965)*100000000+0*10000000+(N('Dvd Calendar'!$P$963)&gt;0)*(N('Dvd Calendar'!$P$963)&lt;=VAL_SERIAL)*1000000+87*1000+52))</f>
        <v/>
      </c>
      <c r="GE98" s="121">
        <f>IF(N('Dvd Calendar'!$Q$964)=0,"",IF(('Dvd Calendar'!$Q$964&gt;=GRID_FROM)*('Dvd Calendar'!$Q$964&lt;=GRID_TO)*('Dvd Calendar'!$Q$964&gt;VAL_DATE)=0,"",'Dvd Calendar'!$Q$964*1000000000+ISNUMBER('Dvd Calendar'!$Q$965)*100000000+0*10000000+(N('Dvd Calendar'!$Q$963)&gt;0)*(N('Dvd Calendar'!$Q$963)&lt;=VAL_SERIAL)*1000000+87*1000+53))</f>
        <v/>
      </c>
      <c r="GF98" s="121">
        <f>IF(N('Dvd Calendar'!$R$964)=0,"",IF(('Dvd Calendar'!$R$964&gt;=GRID_FROM)*('Dvd Calendar'!$R$964&lt;=GRID_TO)*('Dvd Calendar'!$R$964&gt;VAL_DATE)=0,"",'Dvd Calendar'!$R$964*1000000000+ISNUMBER('Dvd Calendar'!$R$965)*100000000+0*10000000+(N('Dvd Calendar'!$R$963)&gt;0)*(N('Dvd Calendar'!$R$963)&lt;=VAL_SERIAL)*1000000+87*1000+54))</f>
        <v/>
      </c>
      <c r="GG98" s="121">
        <f>IF(N('Dvd Calendar'!$S$964)=0,"",IF(('Dvd Calendar'!$S$964&gt;=GRID_FROM)*('Dvd Calendar'!$S$964&lt;=GRID_TO)*('Dvd Calendar'!$S$964&gt;VAL_DATE)=0,"",'Dvd Calendar'!$S$964*1000000000+ISNUMBER('Dvd Calendar'!$S$965)*100000000+0*10000000+(N('Dvd Calendar'!$S$963)&gt;0)*(N('Dvd Calendar'!$S$963)&lt;=VAL_SERIAL)*1000000+87*1000+55))</f>
        <v/>
      </c>
      <c r="GH98" s="121">
        <f>IF(N('Dvd Calendar'!$T$964)=0,"",IF(('Dvd Calendar'!$T$964&gt;=GRID_FROM)*('Dvd Calendar'!$T$964&lt;=GRID_TO)*('Dvd Calendar'!$T$964&gt;VAL_DATE)=0,"",'Dvd Calendar'!$T$964*1000000000+ISNUMBER('Dvd Calendar'!$T$965)*100000000+0*10000000+(N('Dvd Calendar'!$T$963)&gt;0)*(N('Dvd Calendar'!$T$963)&lt;=VAL_SERIAL)*1000000+87*1000+56))</f>
        <v/>
      </c>
      <c r="GI98" s="121">
        <f>IF(N('Dvd Calendar'!$U$964)=0,"",IF(('Dvd Calendar'!$U$964&gt;=GRID_FROM)*('Dvd Calendar'!$U$964&lt;=GRID_TO)*('Dvd Calendar'!$U$964&gt;VAL_DATE)=0,"",'Dvd Calendar'!$U$964*1000000000+ISNUMBER('Dvd Calendar'!$U$965)*100000000+0*10000000+(N('Dvd Calendar'!$U$963)&gt;0)*(N('Dvd Calendar'!$U$963)&lt;=VAL_SERIAL)*1000000+87*1000+57))</f>
        <v/>
      </c>
      <c r="GJ98" s="121">
        <f>IF(N('Dvd Calendar'!$V$964)=0,"",IF(('Dvd Calendar'!$V$964&gt;=GRID_FROM)*('Dvd Calendar'!$V$964&lt;=GRID_TO)*('Dvd Calendar'!$V$964&gt;VAL_DATE)=0,"",'Dvd Calendar'!$V$964*1000000000+ISNUMBER('Dvd Calendar'!$V$965)*100000000+0*10000000+(N('Dvd Calendar'!$V$963)&gt;0)*(N('Dvd Calendar'!$V$963)&lt;=VAL_SERIAL)*1000000+87*1000+58))</f>
        <v/>
      </c>
      <c r="GK98" s="121">
        <f>IF(N('Dvd Calendar'!$W$964)=0,"",IF(('Dvd Calendar'!$W$964&gt;=GRID_FROM)*('Dvd Calendar'!$W$964&lt;=GRID_TO)*('Dvd Calendar'!$W$964&gt;VAL_DATE)=0,"",'Dvd Calendar'!$W$964*1000000000+ISNUMBER('Dvd Calendar'!$W$965)*100000000+0*10000000+(N('Dvd Calendar'!$W$963)&gt;0)*(N('Dvd Calendar'!$W$963)&lt;=VAL_SERIAL)*1000000+87*1000+59))</f>
        <v/>
      </c>
      <c r="GL98" s="121">
        <f>IF(N('Dvd Calendar'!$X$964)=0,"",IF(('Dvd Calendar'!$X$964&gt;=GRID_FROM)*('Dvd Calendar'!$X$964&lt;=GRID_TO)*('Dvd Calendar'!$X$964&gt;VAL_DATE)=0,"",'Dvd Calendar'!$X$964*1000000000+ISNUMBER('Dvd Calendar'!$X$965)*100000000+0*10000000+(N('Dvd Calendar'!$X$963)&gt;0)*(N('Dvd Calendar'!$X$963)&lt;=VAL_SERIAL)*1000000+87*1000+60))</f>
        <v/>
      </c>
      <c r="GM98" s="121">
        <f>IF(N('Dvd Calendar'!$Y$964)=0,"",IF(('Dvd Calendar'!$Y$964&gt;=GRID_FROM)*('Dvd Calendar'!$Y$964&lt;=GRID_TO)*('Dvd Calendar'!$Y$964&gt;VAL_DATE)=0,"",'Dvd Calendar'!$Y$964*1000000000+ISNUMBER('Dvd Calendar'!$Y$965)*100000000+0*10000000+(N('Dvd Calendar'!$Y$963)&gt;0)*(N('Dvd Calendar'!$Y$963)&lt;=VAL_SERIAL)*1000000+87*1000+61))</f>
        <v/>
      </c>
      <c r="GN98" s="121">
        <f>IF(N('Dvd Calendar'!$Z$964)=0,"",IF(('Dvd Calendar'!$Z$964&gt;=GRID_FROM)*('Dvd Calendar'!$Z$964&lt;=GRID_TO)*('Dvd Calendar'!$Z$964&gt;VAL_DATE)=0,"",'Dvd Calendar'!$Z$964*1000000000+ISNUMBER('Dvd Calendar'!$Z$965)*100000000+0*10000000+(N('Dvd Calendar'!$Z$963)&gt;0)*(N('Dvd Calendar'!$Z$963)&lt;=VAL_SERIAL)*1000000+87*1000+62))</f>
        <v/>
      </c>
      <c r="GO98" s="121">
        <f>IF(N('Dvd Calendar'!$AA$964)=0,"",IF(('Dvd Calendar'!$AA$964&gt;=GRID_FROM)*('Dvd Calendar'!$AA$964&lt;=GRID_TO)*('Dvd Calendar'!$AA$964&gt;VAL_DATE)=0,"",'Dvd Calendar'!$AA$964*1000000000+ISNUMBER('Dvd Calendar'!$AA$965)*100000000+0*10000000+(N('Dvd Calendar'!$AA$963)&gt;0)*(N('Dvd Calendar'!$AA$963)&lt;=VAL_SERIAL)*1000000+87*1000+63))</f>
        <v/>
      </c>
      <c r="GP98" s="121">
        <f>IF(N('Dvd Calendar'!$AB$964)=0,"",IF(('Dvd Calendar'!$AB$964&gt;=GRID_FROM)*('Dvd Calendar'!$AB$964&lt;=GRID_TO)*('Dvd Calendar'!$AB$964&gt;VAL_DATE)=0,"",'Dvd Calendar'!$AB$964*1000000000+ISNUMBER('Dvd Calendar'!$AB$965)*100000000+0*10000000+(N('Dvd Calendar'!$AB$963)&gt;0)*(N('Dvd Calendar'!$AB$963)&lt;=VAL_SERIAL)*1000000+87*1000+64))</f>
        <v/>
      </c>
      <c r="GQ98" s="121">
        <f>IF(N('Dvd Calendar'!$AC$964)=0,"",IF(('Dvd Calendar'!$AC$964&gt;=GRID_FROM)*('Dvd Calendar'!$AC$964&lt;=GRID_TO)*('Dvd Calendar'!$AC$964&gt;VAL_DATE)=0,"",'Dvd Calendar'!$AC$964*1000000000+ISNUMBER('Dvd Calendar'!$AC$965)*100000000+0*10000000+(N('Dvd Calendar'!$AC$963)&gt;0)*(N('Dvd Calendar'!$AC$963)&lt;=VAL_SERIAL)*1000000+87*1000+65))</f>
        <v/>
      </c>
    </row>
    <row r="99">
      <c r="B99" s="2">
        <f>IF(HSI!$C$94="","",HSI!$C$94)</f>
        <v/>
      </c>
      <c r="C99" s="161">
        <f>IF(EE99="","",IF(ISNUMBER('Dvd Calendar'!$E$971)=FALSE,"",IF((('Dvd Calendar'!$E$973=TYPE1)*(TYPE1&lt;&gt;"")+('Dvd Calendar'!$E$973=TYPE2)*(TYPE2&lt;&gt;"")+('Dvd Calendar'!$E$973=TYPE3)*(TYPE3&lt;&gt;"")+('Dvd Calendar'!$E$973=TYPE4)*(TYPE4&lt;&gt;"")+('Dvd Calendar'!$E$973=SPECIAL_LBL)*(INC_SPECIALS="Y"))=0,"",'Dvd Calendar'!$E$971)))</f>
        <v/>
      </c>
      <c r="D99" s="161">
        <f>IF(EF99="","",IF(ISNUMBER('Dvd Calendar'!$F$971)=FALSE,"",IF((('Dvd Calendar'!$F$973=TYPE1)*(TYPE1&lt;&gt;"")+('Dvd Calendar'!$F$973=TYPE2)*(TYPE2&lt;&gt;"")+('Dvd Calendar'!$F$973=TYPE3)*(TYPE3&lt;&gt;"")+('Dvd Calendar'!$F$973=TYPE4)*(TYPE4&lt;&gt;"")+('Dvd Calendar'!$F$973=SPECIAL_LBL)*(INC_SPECIALS="Y"))=0,"",'Dvd Calendar'!$F$971)))</f>
        <v/>
      </c>
      <c r="E99" s="161">
        <f>IF(EG99="","",IF(ISNUMBER('Dvd Calendar'!$G$971)=FALSE,"",IF((('Dvd Calendar'!$G$973=TYPE1)*(TYPE1&lt;&gt;"")+('Dvd Calendar'!$G$973=TYPE2)*(TYPE2&lt;&gt;"")+('Dvd Calendar'!$G$973=TYPE3)*(TYPE3&lt;&gt;"")+('Dvd Calendar'!$G$973=TYPE4)*(TYPE4&lt;&gt;"")+('Dvd Calendar'!$G$973=SPECIAL_LBL)*(INC_SPECIALS="Y"))=0,"",'Dvd Calendar'!$G$971)))</f>
        <v/>
      </c>
      <c r="F99" s="161">
        <f>IF(EH99="","",IF(ISNUMBER('Dvd Calendar'!$H$971)=FALSE,"",IF((('Dvd Calendar'!$H$973=TYPE1)*(TYPE1&lt;&gt;"")+('Dvd Calendar'!$H$973=TYPE2)*(TYPE2&lt;&gt;"")+('Dvd Calendar'!$H$973=TYPE3)*(TYPE3&lt;&gt;"")+('Dvd Calendar'!$H$973=TYPE4)*(TYPE4&lt;&gt;"")+('Dvd Calendar'!$H$973=SPECIAL_LBL)*(INC_SPECIALS="Y"))=0,"",'Dvd Calendar'!$H$971)))</f>
        <v/>
      </c>
      <c r="G99" s="161">
        <f>IF(EI99="","",IF(ISNUMBER('Dvd Calendar'!$I$971)=FALSE,"",IF((('Dvd Calendar'!$I$973=TYPE1)*(TYPE1&lt;&gt;"")+('Dvd Calendar'!$I$973=TYPE2)*(TYPE2&lt;&gt;"")+('Dvd Calendar'!$I$973=TYPE3)*(TYPE3&lt;&gt;"")+('Dvd Calendar'!$I$973=TYPE4)*(TYPE4&lt;&gt;"")+('Dvd Calendar'!$I$973=SPECIAL_LBL)*(INC_SPECIALS="Y"))=0,"",'Dvd Calendar'!$I$971)))</f>
        <v/>
      </c>
      <c r="H99" s="161">
        <f>IF(EJ99="","",IF(ISNUMBER('Dvd Calendar'!$J$971)=FALSE,"",IF((('Dvd Calendar'!$J$973=TYPE1)*(TYPE1&lt;&gt;"")+('Dvd Calendar'!$J$973=TYPE2)*(TYPE2&lt;&gt;"")+('Dvd Calendar'!$J$973=TYPE3)*(TYPE3&lt;&gt;"")+('Dvd Calendar'!$J$973=TYPE4)*(TYPE4&lt;&gt;"")+('Dvd Calendar'!$J$973=SPECIAL_LBL)*(INC_SPECIALS="Y"))=0,"",'Dvd Calendar'!$J$971)))</f>
        <v/>
      </c>
      <c r="I99" s="161">
        <f>IF(EK99="","",IF(ISNUMBER('Dvd Calendar'!$K$971)=FALSE,"",IF((('Dvd Calendar'!$K$973=TYPE1)*(TYPE1&lt;&gt;"")+('Dvd Calendar'!$K$973=TYPE2)*(TYPE2&lt;&gt;"")+('Dvd Calendar'!$K$973=TYPE3)*(TYPE3&lt;&gt;"")+('Dvd Calendar'!$K$973=TYPE4)*(TYPE4&lt;&gt;"")+('Dvd Calendar'!$K$973=SPECIAL_LBL)*(INC_SPECIALS="Y"))=0,"",'Dvd Calendar'!$K$971)))</f>
        <v/>
      </c>
      <c r="J99" s="161">
        <f>IF(EL99="","",IF(ISNUMBER('Dvd Calendar'!$L$971)=FALSE,"",IF((('Dvd Calendar'!$L$973=TYPE1)*(TYPE1&lt;&gt;"")+('Dvd Calendar'!$L$973=TYPE2)*(TYPE2&lt;&gt;"")+('Dvd Calendar'!$L$973=TYPE3)*(TYPE3&lt;&gt;"")+('Dvd Calendar'!$L$973=TYPE4)*(TYPE4&lt;&gt;"")+('Dvd Calendar'!$L$973=SPECIAL_LBL)*(INC_SPECIALS="Y"))=0,"",'Dvd Calendar'!$L$971)))</f>
        <v/>
      </c>
      <c r="K99" s="161">
        <f>IF(EM99="","",IF(ISNUMBER('Dvd Calendar'!$M$971)=FALSE,"",IF((('Dvd Calendar'!$M$973=TYPE1)*(TYPE1&lt;&gt;"")+('Dvd Calendar'!$M$973=TYPE2)*(TYPE2&lt;&gt;"")+('Dvd Calendar'!$M$973=TYPE3)*(TYPE3&lt;&gt;"")+('Dvd Calendar'!$M$973=TYPE4)*(TYPE4&lt;&gt;"")+('Dvd Calendar'!$M$973=SPECIAL_LBL)*(INC_SPECIALS="Y"))=0,"",'Dvd Calendar'!$M$971)))</f>
        <v/>
      </c>
      <c r="L99" s="161">
        <f>IF(EN99="","",IF(ISNUMBER('Dvd Calendar'!$N$971)=FALSE,"",IF((('Dvd Calendar'!$N$973=TYPE1)*(TYPE1&lt;&gt;"")+('Dvd Calendar'!$N$973=TYPE2)*(TYPE2&lt;&gt;"")+('Dvd Calendar'!$N$973=TYPE3)*(TYPE3&lt;&gt;"")+('Dvd Calendar'!$N$973=TYPE4)*(TYPE4&lt;&gt;"")+('Dvd Calendar'!$N$973=SPECIAL_LBL)*(INC_SPECIALS="Y"))=0,"",'Dvd Calendar'!$N$971)))</f>
        <v/>
      </c>
      <c r="M99" s="161">
        <f>IF(EO99="","",IF(ISNUMBER('Dvd Calendar'!$O$971)=FALSE,"",IF((('Dvd Calendar'!$O$973=TYPE1)*(TYPE1&lt;&gt;"")+('Dvd Calendar'!$O$973=TYPE2)*(TYPE2&lt;&gt;"")+('Dvd Calendar'!$O$973=TYPE3)*(TYPE3&lt;&gt;"")+('Dvd Calendar'!$O$973=TYPE4)*(TYPE4&lt;&gt;"")+('Dvd Calendar'!$O$973=SPECIAL_LBL)*(INC_SPECIALS="Y"))=0,"",'Dvd Calendar'!$O$971)))</f>
        <v/>
      </c>
      <c r="N99" s="161">
        <f>IF(EP99="","",IF(ISNUMBER('Dvd Calendar'!$P$971)=FALSE,"",IF((('Dvd Calendar'!$P$973=TYPE1)*(TYPE1&lt;&gt;"")+('Dvd Calendar'!$P$973=TYPE2)*(TYPE2&lt;&gt;"")+('Dvd Calendar'!$P$973=TYPE3)*(TYPE3&lt;&gt;"")+('Dvd Calendar'!$P$973=TYPE4)*(TYPE4&lt;&gt;"")+('Dvd Calendar'!$P$973=SPECIAL_LBL)*(INC_SPECIALS="Y"))=0,"",'Dvd Calendar'!$P$971)))</f>
        <v/>
      </c>
      <c r="O99" s="161">
        <f>IF(EQ99="","",IF(ISNUMBER('Dvd Calendar'!$Q$971)=FALSE,"",IF((('Dvd Calendar'!$Q$973=TYPE1)*(TYPE1&lt;&gt;"")+('Dvd Calendar'!$Q$973=TYPE2)*(TYPE2&lt;&gt;"")+('Dvd Calendar'!$Q$973=TYPE3)*(TYPE3&lt;&gt;"")+('Dvd Calendar'!$Q$973=TYPE4)*(TYPE4&lt;&gt;"")+('Dvd Calendar'!$Q$973=SPECIAL_LBL)*(INC_SPECIALS="Y"))=0,"",'Dvd Calendar'!$Q$971)))</f>
        <v/>
      </c>
      <c r="P99" s="161">
        <f>IF(ER99="","",IF(ISNUMBER('Dvd Calendar'!$R$971)=FALSE,"",IF((('Dvd Calendar'!$R$973=TYPE1)*(TYPE1&lt;&gt;"")+('Dvd Calendar'!$R$973=TYPE2)*(TYPE2&lt;&gt;"")+('Dvd Calendar'!$R$973=TYPE3)*(TYPE3&lt;&gt;"")+('Dvd Calendar'!$R$973=TYPE4)*(TYPE4&lt;&gt;"")+('Dvd Calendar'!$R$973=SPECIAL_LBL)*(INC_SPECIALS="Y"))=0,"",'Dvd Calendar'!$R$971)))</f>
        <v/>
      </c>
      <c r="Q99" s="161">
        <f>IF(ES99="","",IF(ISNUMBER('Dvd Calendar'!$S$971)=FALSE,"",IF((('Dvd Calendar'!$S$973=TYPE1)*(TYPE1&lt;&gt;"")+('Dvd Calendar'!$S$973=TYPE2)*(TYPE2&lt;&gt;"")+('Dvd Calendar'!$S$973=TYPE3)*(TYPE3&lt;&gt;"")+('Dvd Calendar'!$S$973=TYPE4)*(TYPE4&lt;&gt;"")+('Dvd Calendar'!$S$973=SPECIAL_LBL)*(INC_SPECIALS="Y"))=0,"",'Dvd Calendar'!$S$971)))</f>
        <v/>
      </c>
      <c r="R99" s="161">
        <f>IF(ET99="","",IF(ISNUMBER('Dvd Calendar'!$T$971)=FALSE,"",IF((('Dvd Calendar'!$T$973=TYPE1)*(TYPE1&lt;&gt;"")+('Dvd Calendar'!$T$973=TYPE2)*(TYPE2&lt;&gt;"")+('Dvd Calendar'!$T$973=TYPE3)*(TYPE3&lt;&gt;"")+('Dvd Calendar'!$T$973=TYPE4)*(TYPE4&lt;&gt;"")+('Dvd Calendar'!$T$973=SPECIAL_LBL)*(INC_SPECIALS="Y"))=0,"",'Dvd Calendar'!$T$971)))</f>
        <v/>
      </c>
      <c r="S99" s="161">
        <f>IF(EU99="","",IF(ISNUMBER('Dvd Calendar'!$U$971)=FALSE,"",IF((('Dvd Calendar'!$U$973=TYPE1)*(TYPE1&lt;&gt;"")+('Dvd Calendar'!$U$973=TYPE2)*(TYPE2&lt;&gt;"")+('Dvd Calendar'!$U$973=TYPE3)*(TYPE3&lt;&gt;"")+('Dvd Calendar'!$U$973=TYPE4)*(TYPE4&lt;&gt;"")+('Dvd Calendar'!$U$973=SPECIAL_LBL)*(INC_SPECIALS="Y"))=0,"",'Dvd Calendar'!$U$971)))</f>
        <v/>
      </c>
      <c r="T99" s="161">
        <f>IF(EV99="","",IF(ISNUMBER('Dvd Calendar'!$V$971)=FALSE,"",IF((('Dvd Calendar'!$V$973=TYPE1)*(TYPE1&lt;&gt;"")+('Dvd Calendar'!$V$973=TYPE2)*(TYPE2&lt;&gt;"")+('Dvd Calendar'!$V$973=TYPE3)*(TYPE3&lt;&gt;"")+('Dvd Calendar'!$V$973=TYPE4)*(TYPE4&lt;&gt;"")+('Dvd Calendar'!$V$973=SPECIAL_LBL)*(INC_SPECIALS="Y"))=0,"",'Dvd Calendar'!$V$971)))</f>
        <v/>
      </c>
      <c r="U99" s="161">
        <f>IF(EW99="","",IF(ISNUMBER('Dvd Calendar'!$W$971)=FALSE,"",IF((('Dvd Calendar'!$W$973=TYPE1)*(TYPE1&lt;&gt;"")+('Dvd Calendar'!$W$973=TYPE2)*(TYPE2&lt;&gt;"")+('Dvd Calendar'!$W$973=TYPE3)*(TYPE3&lt;&gt;"")+('Dvd Calendar'!$W$973=TYPE4)*(TYPE4&lt;&gt;"")+('Dvd Calendar'!$W$973=SPECIAL_LBL)*(INC_SPECIALS="Y"))=0,"",'Dvd Calendar'!$W$971)))</f>
        <v/>
      </c>
      <c r="V99" s="161">
        <f>IF(EX99="","",IF(ISNUMBER('Dvd Calendar'!$X$971)=FALSE,"",IF((('Dvd Calendar'!$X$973=TYPE1)*(TYPE1&lt;&gt;"")+('Dvd Calendar'!$X$973=TYPE2)*(TYPE2&lt;&gt;"")+('Dvd Calendar'!$X$973=TYPE3)*(TYPE3&lt;&gt;"")+('Dvd Calendar'!$X$973=TYPE4)*(TYPE4&lt;&gt;"")+('Dvd Calendar'!$X$973=SPECIAL_LBL)*(INC_SPECIALS="Y"))=0,"",'Dvd Calendar'!$X$971)))</f>
        <v/>
      </c>
      <c r="W99" s="161">
        <f>IF(EY99="","",IF(ISNUMBER('Dvd Calendar'!$Y$971)=FALSE,"",IF((('Dvd Calendar'!$Y$973=TYPE1)*(TYPE1&lt;&gt;"")+('Dvd Calendar'!$Y$973=TYPE2)*(TYPE2&lt;&gt;"")+('Dvd Calendar'!$Y$973=TYPE3)*(TYPE3&lt;&gt;"")+('Dvd Calendar'!$Y$973=TYPE4)*(TYPE4&lt;&gt;"")+('Dvd Calendar'!$Y$973=SPECIAL_LBL)*(INC_SPECIALS="Y"))=0,"",'Dvd Calendar'!$Y$971)))</f>
        <v/>
      </c>
      <c r="X99" s="161">
        <f>IF(EZ99="","",IF(ISNUMBER('Dvd Calendar'!$Z$971)=FALSE,"",IF((('Dvd Calendar'!$Z$973=TYPE1)*(TYPE1&lt;&gt;"")+('Dvd Calendar'!$Z$973=TYPE2)*(TYPE2&lt;&gt;"")+('Dvd Calendar'!$Z$973=TYPE3)*(TYPE3&lt;&gt;"")+('Dvd Calendar'!$Z$973=TYPE4)*(TYPE4&lt;&gt;"")+('Dvd Calendar'!$Z$973=SPECIAL_LBL)*(INC_SPECIALS="Y"))=0,"",'Dvd Calendar'!$Z$971)))</f>
        <v/>
      </c>
      <c r="Y99" s="161">
        <f>IF(FA99="","",IF(ISNUMBER('Dvd Calendar'!$AA$971)=FALSE,"",IF((('Dvd Calendar'!$AA$973=TYPE1)*(TYPE1&lt;&gt;"")+('Dvd Calendar'!$AA$973=TYPE2)*(TYPE2&lt;&gt;"")+('Dvd Calendar'!$AA$973=TYPE3)*(TYPE3&lt;&gt;"")+('Dvd Calendar'!$AA$973=TYPE4)*(TYPE4&lt;&gt;"")+('Dvd Calendar'!$AA$973=SPECIAL_LBL)*(INC_SPECIALS="Y"))=0,"",'Dvd Calendar'!$AA$971)))</f>
        <v/>
      </c>
      <c r="Z99" s="161">
        <f>IF(FB99="","",IF(ISNUMBER('Dvd Calendar'!$AB$971)=FALSE,"",IF((('Dvd Calendar'!$AB$973=TYPE1)*(TYPE1&lt;&gt;"")+('Dvd Calendar'!$AB$973=TYPE2)*(TYPE2&lt;&gt;"")+('Dvd Calendar'!$AB$973=TYPE3)*(TYPE3&lt;&gt;"")+('Dvd Calendar'!$AB$973=TYPE4)*(TYPE4&lt;&gt;"")+('Dvd Calendar'!$AB$973=SPECIAL_LBL)*(INC_SPECIALS="Y"))=0,"",'Dvd Calendar'!$AB$971)))</f>
        <v/>
      </c>
      <c r="AA99" s="161">
        <f>IF(FC99="","",IF(ISNUMBER('Dvd Calendar'!$AC$971)=FALSE,"",IF((('Dvd Calendar'!$AC$973=TYPE1)*(TYPE1&lt;&gt;"")+('Dvd Calendar'!$AC$973=TYPE2)*(TYPE2&lt;&gt;"")+('Dvd Calendar'!$AC$973=TYPE3)*(TYPE3&lt;&gt;"")+('Dvd Calendar'!$AC$973=TYPE4)*(TYPE4&lt;&gt;"")+('Dvd Calendar'!$AC$973=SPECIAL_LBL)*(INC_SPECIALS="Y"))=0,"",'Dvd Calendar'!$AC$971)))</f>
        <v/>
      </c>
      <c r="AB99" s="161">
        <f>IF(FD99="","",IF(ISNUMBER('Dvd Calendar'!$AD$971)=FALSE,"",IF((('Dvd Calendar'!$AD$973=TYPE1)*(TYPE1&lt;&gt;"")+('Dvd Calendar'!$AD$973=TYPE2)*(TYPE2&lt;&gt;"")+('Dvd Calendar'!$AD$973=TYPE3)*(TYPE3&lt;&gt;"")+('Dvd Calendar'!$AD$973=TYPE4)*(TYPE4&lt;&gt;"")+('Dvd Calendar'!$AD$973=SPECIAL_LBL)*(INC_SPECIALS="Y"))=0,"",'Dvd Calendar'!$AD$971)))</f>
        <v/>
      </c>
      <c r="AC99" s="161">
        <f>IF(FE99="","",IF(ISNUMBER('Dvd Calendar'!$AE$971)=FALSE,"",IF((('Dvd Calendar'!$AE$973=TYPE1)*(TYPE1&lt;&gt;"")+('Dvd Calendar'!$AE$973=TYPE2)*(TYPE2&lt;&gt;"")+('Dvd Calendar'!$AE$973=TYPE3)*(TYPE3&lt;&gt;"")+('Dvd Calendar'!$AE$973=TYPE4)*(TYPE4&lt;&gt;"")+('Dvd Calendar'!$AE$973=SPECIAL_LBL)*(INC_SPECIALS="Y"))=0,"",'Dvd Calendar'!$AE$971)))</f>
        <v/>
      </c>
      <c r="AD99" s="161">
        <f>IF(FF99="","",IF(ISNUMBER('Dvd Calendar'!$AF$971)=FALSE,"",IF((('Dvd Calendar'!$AF$973=TYPE1)*(TYPE1&lt;&gt;"")+('Dvd Calendar'!$AF$973=TYPE2)*(TYPE2&lt;&gt;"")+('Dvd Calendar'!$AF$973=TYPE3)*(TYPE3&lt;&gt;"")+('Dvd Calendar'!$AF$973=TYPE4)*(TYPE4&lt;&gt;"")+('Dvd Calendar'!$AF$973=SPECIAL_LBL)*(INC_SPECIALS="Y"))=0,"",'Dvd Calendar'!$AF$971)))</f>
        <v/>
      </c>
      <c r="AE99" s="161">
        <f>IF(FG99="","",IF(ISNUMBER('Dvd Calendar'!$AG$971)=FALSE,"",IF((('Dvd Calendar'!$AG$973=TYPE1)*(TYPE1&lt;&gt;"")+('Dvd Calendar'!$AG$973=TYPE2)*(TYPE2&lt;&gt;"")+('Dvd Calendar'!$AG$973=TYPE3)*(TYPE3&lt;&gt;"")+('Dvd Calendar'!$AG$973=TYPE4)*(TYPE4&lt;&gt;"")+('Dvd Calendar'!$AG$973=SPECIAL_LBL)*(INC_SPECIALS="Y"))=0,"",'Dvd Calendar'!$AG$971)))</f>
        <v/>
      </c>
      <c r="AF99" s="161">
        <f>IF(FH99="","",IF(ISNUMBER('Dvd Calendar'!$AH$971)=FALSE,"",IF((('Dvd Calendar'!$AH$973=TYPE1)*(TYPE1&lt;&gt;"")+('Dvd Calendar'!$AH$973=TYPE2)*(TYPE2&lt;&gt;"")+('Dvd Calendar'!$AH$973=TYPE3)*(TYPE3&lt;&gt;"")+('Dvd Calendar'!$AH$973=TYPE4)*(TYPE4&lt;&gt;"")+('Dvd Calendar'!$AH$973=SPECIAL_LBL)*(INC_SPECIALS="Y"))=0,"",'Dvd Calendar'!$AH$971)))</f>
        <v/>
      </c>
      <c r="AG99" s="161">
        <f>IF(FI99="","",IF(ISNUMBER('Dvd Calendar'!$AI$971)=FALSE,"",IF((('Dvd Calendar'!$AI$973=TYPE1)*(TYPE1&lt;&gt;"")+('Dvd Calendar'!$AI$973=TYPE2)*(TYPE2&lt;&gt;"")+('Dvd Calendar'!$AI$973=TYPE3)*(TYPE3&lt;&gt;"")+('Dvd Calendar'!$AI$973=TYPE4)*(TYPE4&lt;&gt;"")+('Dvd Calendar'!$AI$973=SPECIAL_LBL)*(INC_SPECIALS="Y"))=0,"",'Dvd Calendar'!$AI$971)))</f>
        <v/>
      </c>
      <c r="AH99" s="161">
        <f>IF(FJ99="","",IF(ISNUMBER('Dvd Calendar'!$AJ$971)=FALSE,"",IF((('Dvd Calendar'!$AJ$973=TYPE1)*(TYPE1&lt;&gt;"")+('Dvd Calendar'!$AJ$973=TYPE2)*(TYPE2&lt;&gt;"")+('Dvd Calendar'!$AJ$973=TYPE3)*(TYPE3&lt;&gt;"")+('Dvd Calendar'!$AJ$973=TYPE4)*(TYPE4&lt;&gt;"")+('Dvd Calendar'!$AJ$973=SPECIAL_LBL)*(INC_SPECIALS="Y"))=0,"",'Dvd Calendar'!$AJ$971)))</f>
        <v/>
      </c>
      <c r="AI99" s="161">
        <f>IF(FK99="","",IF(ISNUMBER('Dvd Calendar'!$AK$971)=FALSE,"",IF((('Dvd Calendar'!$AK$973=TYPE1)*(TYPE1&lt;&gt;"")+('Dvd Calendar'!$AK$973=TYPE2)*(TYPE2&lt;&gt;"")+('Dvd Calendar'!$AK$973=TYPE3)*(TYPE3&lt;&gt;"")+('Dvd Calendar'!$AK$973=TYPE4)*(TYPE4&lt;&gt;"")+('Dvd Calendar'!$AK$973=SPECIAL_LBL)*(INC_SPECIALS="Y"))=0,"",'Dvd Calendar'!$AK$971)))</f>
        <v/>
      </c>
      <c r="AJ99" s="161">
        <f>IF(FL99="","",IF(ISNUMBER('Dvd Calendar'!$AL$971)=FALSE,"",IF((('Dvd Calendar'!$AL$973=TYPE1)*(TYPE1&lt;&gt;"")+('Dvd Calendar'!$AL$973=TYPE2)*(TYPE2&lt;&gt;"")+('Dvd Calendar'!$AL$973=TYPE3)*(TYPE3&lt;&gt;"")+('Dvd Calendar'!$AL$973=TYPE4)*(TYPE4&lt;&gt;"")+('Dvd Calendar'!$AL$973=SPECIAL_LBL)*(INC_SPECIALS="Y"))=0,"",'Dvd Calendar'!$AL$971)))</f>
        <v/>
      </c>
      <c r="AK99" s="161">
        <f>IF(FM99="","",IF(ISNUMBER('Dvd Calendar'!$AM$971)=FALSE,"",IF((('Dvd Calendar'!$AM$973=TYPE1)*(TYPE1&lt;&gt;"")+('Dvd Calendar'!$AM$973=TYPE2)*(TYPE2&lt;&gt;"")+('Dvd Calendar'!$AM$973=TYPE3)*(TYPE3&lt;&gt;"")+('Dvd Calendar'!$AM$973=TYPE4)*(TYPE4&lt;&gt;"")+('Dvd Calendar'!$AM$973=SPECIAL_LBL)*(INC_SPECIALS="Y"))=0,"",'Dvd Calendar'!$AM$971)))</f>
        <v/>
      </c>
      <c r="AL99" s="161">
        <f>IF(FN99="","",IF(ISNUMBER('Dvd Calendar'!$AN$971)=FALSE,"",IF((('Dvd Calendar'!$AN$973=TYPE1)*(TYPE1&lt;&gt;"")+('Dvd Calendar'!$AN$973=TYPE2)*(TYPE2&lt;&gt;"")+('Dvd Calendar'!$AN$973=TYPE3)*(TYPE3&lt;&gt;"")+('Dvd Calendar'!$AN$973=TYPE4)*(TYPE4&lt;&gt;"")+('Dvd Calendar'!$AN$973=SPECIAL_LBL)*(INC_SPECIALS="Y"))=0,"",'Dvd Calendar'!$AN$971)))</f>
        <v/>
      </c>
      <c r="AM99" s="161">
        <f>IF(FO99="","",IF(ISNUMBER('Dvd Calendar'!$AO$971)=FALSE,"",IF((('Dvd Calendar'!$AO$973=TYPE1)*(TYPE1&lt;&gt;"")+('Dvd Calendar'!$AO$973=TYPE2)*(TYPE2&lt;&gt;"")+('Dvd Calendar'!$AO$973=TYPE3)*(TYPE3&lt;&gt;"")+('Dvd Calendar'!$AO$973=TYPE4)*(TYPE4&lt;&gt;"")+('Dvd Calendar'!$AO$973=SPECIAL_LBL)*(INC_SPECIALS="Y"))=0,"",'Dvd Calendar'!$AO$971)))</f>
        <v/>
      </c>
      <c r="AN99" s="161">
        <f>IF(FP99="","",IF(ISNUMBER('Dvd Calendar'!$AP$971)=FALSE,"",IF((('Dvd Calendar'!$AP$973=TYPE1)*(TYPE1&lt;&gt;"")+('Dvd Calendar'!$AP$973=TYPE2)*(TYPE2&lt;&gt;"")+('Dvd Calendar'!$AP$973=TYPE3)*(TYPE3&lt;&gt;"")+('Dvd Calendar'!$AP$973=TYPE4)*(TYPE4&lt;&gt;"")+('Dvd Calendar'!$AP$973=SPECIAL_LBL)*(INC_SPECIALS="Y"))=0,"",'Dvd Calendar'!$AP$971)))</f>
        <v/>
      </c>
      <c r="AO99" s="161">
        <f>IF(FQ99="","",IF(ISNUMBER('Dvd Calendar'!$AQ$971)=FALSE,"",IF((('Dvd Calendar'!$AQ$973=TYPE1)*(TYPE1&lt;&gt;"")+('Dvd Calendar'!$AQ$973=TYPE2)*(TYPE2&lt;&gt;"")+('Dvd Calendar'!$AQ$973=TYPE3)*(TYPE3&lt;&gt;"")+('Dvd Calendar'!$AQ$973=TYPE4)*(TYPE4&lt;&gt;"")+('Dvd Calendar'!$AQ$973=SPECIAL_LBL)*(INC_SPECIALS="Y"))=0,"",'Dvd Calendar'!$AQ$971)))</f>
        <v/>
      </c>
      <c r="AP99" s="161">
        <f>IF(FR99="","",IF(ISNUMBER('Dvd Calendar'!$AR$971)=FALSE,"",IF((('Dvd Calendar'!$AR$973=TYPE1)*(TYPE1&lt;&gt;"")+('Dvd Calendar'!$AR$973=TYPE2)*(TYPE2&lt;&gt;"")+('Dvd Calendar'!$AR$973=TYPE3)*(TYPE3&lt;&gt;"")+('Dvd Calendar'!$AR$973=TYPE4)*(TYPE4&lt;&gt;"")+('Dvd Calendar'!$AR$973=SPECIAL_LBL)*(INC_SPECIALS="Y"))=0,"",'Dvd Calendar'!$AR$971)))</f>
        <v/>
      </c>
      <c r="AQ99" s="161">
        <f>IF(FS99="","",IF(ISNUMBER('Dvd Calendar'!$E$976)=FALSE,"",'Dvd Calendar'!$E$976))</f>
        <v/>
      </c>
      <c r="AR99" s="161">
        <f>IF(FT99="","",IF(ISNUMBER('Dvd Calendar'!$F$976)=FALSE,"",'Dvd Calendar'!$F$976))</f>
        <v/>
      </c>
      <c r="AS99" s="161">
        <f>IF(FU99="","",IF(ISNUMBER('Dvd Calendar'!$G$976)=FALSE,"",'Dvd Calendar'!$G$976))</f>
        <v/>
      </c>
      <c r="AT99" s="161">
        <f>IF(FV99="","",IF(ISNUMBER('Dvd Calendar'!$H$976)=FALSE,"",'Dvd Calendar'!$H$976))</f>
        <v/>
      </c>
      <c r="AU99" s="161">
        <f>IF(FW99="","",IF(ISNUMBER('Dvd Calendar'!$I$976)=FALSE,"",'Dvd Calendar'!$I$976))</f>
        <v/>
      </c>
      <c r="AV99" s="161">
        <f>IF(FX99="","",IF(ISNUMBER('Dvd Calendar'!$J$976)=FALSE,"",'Dvd Calendar'!$J$976))</f>
        <v/>
      </c>
      <c r="AW99" s="161">
        <f>IF(FY99="","",IF(ISNUMBER('Dvd Calendar'!$K$976)=FALSE,"",'Dvd Calendar'!$K$976))</f>
        <v/>
      </c>
      <c r="AX99" s="161">
        <f>IF(FZ99="","",IF(ISNUMBER('Dvd Calendar'!$L$976)=FALSE,"",'Dvd Calendar'!$L$976))</f>
        <v/>
      </c>
      <c r="AY99" s="161">
        <f>IF(GA99="","",IF(ISNUMBER('Dvd Calendar'!$M$976)=FALSE,"",'Dvd Calendar'!$M$976))</f>
        <v/>
      </c>
      <c r="AZ99" s="161">
        <f>IF(GB99="","",IF(ISNUMBER('Dvd Calendar'!$N$976)=FALSE,"",'Dvd Calendar'!$N$976))</f>
        <v/>
      </c>
      <c r="BA99" s="161">
        <f>IF(GC99="","",IF(ISNUMBER('Dvd Calendar'!$O$976)=FALSE,"",'Dvd Calendar'!$O$976))</f>
        <v/>
      </c>
      <c r="BB99" s="161">
        <f>IF(GD99="","",IF(ISNUMBER('Dvd Calendar'!$P$976)=FALSE,"",'Dvd Calendar'!$P$976))</f>
        <v/>
      </c>
      <c r="BC99" s="161">
        <f>IF(GE99="","",IF(ISNUMBER('Dvd Calendar'!$Q$976)=FALSE,"",'Dvd Calendar'!$Q$976))</f>
        <v/>
      </c>
      <c r="BD99" s="161">
        <f>IF(GF99="","",IF(ISNUMBER('Dvd Calendar'!$R$976)=FALSE,"",'Dvd Calendar'!$R$976))</f>
        <v/>
      </c>
      <c r="BE99" s="161">
        <f>IF(GG99="","",IF(ISNUMBER('Dvd Calendar'!$S$976)=FALSE,"",'Dvd Calendar'!$S$976))</f>
        <v/>
      </c>
      <c r="BF99" s="161">
        <f>IF(GH99="","",IF(ISNUMBER('Dvd Calendar'!$T$976)=FALSE,"",'Dvd Calendar'!$T$976))</f>
        <v/>
      </c>
      <c r="BG99" s="161">
        <f>IF(GI99="","",IF(ISNUMBER('Dvd Calendar'!$U$976)=FALSE,"",'Dvd Calendar'!$U$976))</f>
        <v/>
      </c>
      <c r="BH99" s="161">
        <f>IF(GJ99="","",IF(ISNUMBER('Dvd Calendar'!$V$976)=FALSE,"",'Dvd Calendar'!$V$976))</f>
        <v/>
      </c>
      <c r="BI99" s="161">
        <f>IF(GK99="","",IF(ISNUMBER('Dvd Calendar'!$W$976)=FALSE,"",'Dvd Calendar'!$W$976))</f>
        <v/>
      </c>
      <c r="BJ99" s="161">
        <f>IF(GL99="","",IF(ISNUMBER('Dvd Calendar'!$X$976)=FALSE,"",'Dvd Calendar'!$X$976))</f>
        <v/>
      </c>
      <c r="BK99" s="161">
        <f>IF(GM99="","",IF(ISNUMBER('Dvd Calendar'!$Y$976)=FALSE,"",'Dvd Calendar'!$Y$976))</f>
        <v/>
      </c>
      <c r="BL99" s="161">
        <f>IF(GN99="","",IF(ISNUMBER('Dvd Calendar'!$Z$976)=FALSE,"",'Dvd Calendar'!$Z$976))</f>
        <v/>
      </c>
      <c r="BM99" s="161">
        <f>IF(GO99="","",IF(ISNUMBER('Dvd Calendar'!$AA$976)=FALSE,"",'Dvd Calendar'!$AA$976))</f>
        <v/>
      </c>
      <c r="BN99" s="161">
        <f>IF(GP99="","",IF(ISNUMBER('Dvd Calendar'!$AB$976)=FALSE,"",'Dvd Calendar'!$AB$976))</f>
        <v/>
      </c>
      <c r="BO99" s="161">
        <f>IF(GQ99="","",IF(ISNUMBER('Dvd Calendar'!$AC$976)=FALSE,"",'Dvd Calendar'!$AC$976))</f>
        <v/>
      </c>
      <c r="BQ99" s="161">
        <f>IF(C99="","",IFERROR(C99*HSI!$B$94*HSI!$G$94/HSI!$B$3,""))</f>
        <v/>
      </c>
      <c r="BR99" s="161">
        <f>IF(D99="","",IFERROR(D99*HSI!$B$94*HSI!$G$94/HSI!$B$3,""))</f>
        <v/>
      </c>
      <c r="BS99" s="161">
        <f>IF(E99="","",IFERROR(E99*HSI!$B$94*HSI!$G$94/HSI!$B$3,""))</f>
        <v/>
      </c>
      <c r="BT99" s="161">
        <f>IF(F99="","",IFERROR(F99*HSI!$B$94*HSI!$G$94/HSI!$B$3,""))</f>
        <v/>
      </c>
      <c r="BU99" s="161">
        <f>IF(G99="","",IFERROR(G99*HSI!$B$94*HSI!$G$94/HSI!$B$3,""))</f>
        <v/>
      </c>
      <c r="BV99" s="161">
        <f>IF(H99="","",IFERROR(H99*HSI!$B$94*HSI!$G$94/HSI!$B$3,""))</f>
        <v/>
      </c>
      <c r="BW99" s="161">
        <f>IF(I99="","",IFERROR(I99*HSI!$B$94*HSI!$G$94/HSI!$B$3,""))</f>
        <v/>
      </c>
      <c r="BX99" s="161">
        <f>IF(J99="","",IFERROR(J99*HSI!$B$94*HSI!$G$94/HSI!$B$3,""))</f>
        <v/>
      </c>
      <c r="BY99" s="161">
        <f>IF(K99="","",IFERROR(K99*HSI!$B$94*HSI!$G$94/HSI!$B$3,""))</f>
        <v/>
      </c>
      <c r="BZ99" s="161">
        <f>IF(L99="","",IFERROR(L99*HSI!$B$94*HSI!$G$94/HSI!$B$3,""))</f>
        <v/>
      </c>
      <c r="CA99" s="161">
        <f>IF(M99="","",IFERROR(M99*HSI!$B$94*HSI!$G$94/HSI!$B$3,""))</f>
        <v/>
      </c>
      <c r="CB99" s="161">
        <f>IF(N99="","",IFERROR(N99*HSI!$B$94*HSI!$G$94/HSI!$B$3,""))</f>
        <v/>
      </c>
      <c r="CC99" s="161">
        <f>IF(O99="","",IFERROR(O99*HSI!$B$94*HSI!$G$94/HSI!$B$3,""))</f>
        <v/>
      </c>
      <c r="CD99" s="161">
        <f>IF(P99="","",IFERROR(P99*HSI!$B$94*HSI!$G$94/HSI!$B$3,""))</f>
        <v/>
      </c>
      <c r="CE99" s="161">
        <f>IF(Q99="","",IFERROR(Q99*HSI!$B$94*HSI!$G$94/HSI!$B$3,""))</f>
        <v/>
      </c>
      <c r="CF99" s="161">
        <f>IF(R99="","",IFERROR(R99*HSI!$B$94*HSI!$G$94/HSI!$B$3,""))</f>
        <v/>
      </c>
      <c r="CG99" s="161">
        <f>IF(S99="","",IFERROR(S99*HSI!$B$94*HSI!$G$94/HSI!$B$3,""))</f>
        <v/>
      </c>
      <c r="CH99" s="161">
        <f>IF(T99="","",IFERROR(T99*HSI!$B$94*HSI!$G$94/HSI!$B$3,""))</f>
        <v/>
      </c>
      <c r="CI99" s="161">
        <f>IF(U99="","",IFERROR(U99*HSI!$B$94*HSI!$G$94/HSI!$B$3,""))</f>
        <v/>
      </c>
      <c r="CJ99" s="161">
        <f>IF(V99="","",IFERROR(V99*HSI!$B$94*HSI!$G$94/HSI!$B$3,""))</f>
        <v/>
      </c>
      <c r="CK99" s="161">
        <f>IF(W99="","",IFERROR(W99*HSI!$B$94*HSI!$G$94/HSI!$B$3,""))</f>
        <v/>
      </c>
      <c r="CL99" s="161">
        <f>IF(X99="","",IFERROR(X99*HSI!$B$94*HSI!$G$94/HSI!$B$3,""))</f>
        <v/>
      </c>
      <c r="CM99" s="161">
        <f>IF(Y99="","",IFERROR(Y99*HSI!$B$94*HSI!$G$94/HSI!$B$3,""))</f>
        <v/>
      </c>
      <c r="CN99" s="161">
        <f>IF(Z99="","",IFERROR(Z99*HSI!$B$94*HSI!$G$94/HSI!$B$3,""))</f>
        <v/>
      </c>
      <c r="CO99" s="161">
        <f>IF(AA99="","",IFERROR(AA99*HSI!$B$94*HSI!$G$94/HSI!$B$3,""))</f>
        <v/>
      </c>
      <c r="CP99" s="161">
        <f>IF(AB99="","",IFERROR(AB99*HSI!$B$94*HSI!$G$94/HSI!$B$3,""))</f>
        <v/>
      </c>
      <c r="CQ99" s="161">
        <f>IF(AC99="","",IFERROR(AC99*HSI!$B$94*HSI!$G$94/HSI!$B$3,""))</f>
        <v/>
      </c>
      <c r="CR99" s="161">
        <f>IF(AD99="","",IFERROR(AD99*HSI!$B$94*HSI!$G$94/HSI!$B$3,""))</f>
        <v/>
      </c>
      <c r="CS99" s="161">
        <f>IF(AE99="","",IFERROR(AE99*HSI!$B$94*HSI!$G$94/HSI!$B$3,""))</f>
        <v/>
      </c>
      <c r="CT99" s="161">
        <f>IF(AF99="","",IFERROR(AF99*HSI!$B$94*HSI!$G$94/HSI!$B$3,""))</f>
        <v/>
      </c>
      <c r="CU99" s="161">
        <f>IF(AG99="","",IFERROR(AG99*HSI!$B$94*HSI!$G$94/HSI!$B$3,""))</f>
        <v/>
      </c>
      <c r="CV99" s="161">
        <f>IF(AH99="","",IFERROR(AH99*HSI!$B$94*HSI!$G$94/HSI!$B$3,""))</f>
        <v/>
      </c>
      <c r="CW99" s="161">
        <f>IF(AI99="","",IFERROR(AI99*HSI!$B$94*HSI!$G$94/HSI!$B$3,""))</f>
        <v/>
      </c>
      <c r="CX99" s="161">
        <f>IF(AJ99="","",IFERROR(AJ99*HSI!$B$94*HSI!$G$94/HSI!$B$3,""))</f>
        <v/>
      </c>
      <c r="CY99" s="161">
        <f>IF(AK99="","",IFERROR(AK99*HSI!$B$94*HSI!$G$94/HSI!$B$3,""))</f>
        <v/>
      </c>
      <c r="CZ99" s="161">
        <f>IF(AL99="","",IFERROR(AL99*HSI!$B$94*HSI!$G$94/HSI!$B$3,""))</f>
        <v/>
      </c>
      <c r="DA99" s="161">
        <f>IF(AM99="","",IFERROR(AM99*HSI!$B$94*HSI!$G$94/HSI!$B$3,""))</f>
        <v/>
      </c>
      <c r="DB99" s="161">
        <f>IF(AN99="","",IFERROR(AN99*HSI!$B$94*HSI!$G$94/HSI!$B$3,""))</f>
        <v/>
      </c>
      <c r="DC99" s="161">
        <f>IF(AO99="","",IFERROR(AO99*HSI!$B$94*HSI!$G$94/HSI!$B$3,""))</f>
        <v/>
      </c>
      <c r="DD99" s="161">
        <f>IF(AP99="","",IFERROR(AP99*HSI!$B$94*HSI!$G$94/HSI!$B$3,""))</f>
        <v/>
      </c>
      <c r="DE99" s="161">
        <f>IF(AQ99="","",IFERROR(AQ99*HSI!$B$94*HSI!$G$94/HSI!$B$3,""))</f>
        <v/>
      </c>
      <c r="DF99" s="161">
        <f>IF(AR99="","",IFERROR(AR99*HSI!$B$94*HSI!$G$94/HSI!$B$3,""))</f>
        <v/>
      </c>
      <c r="DG99" s="161">
        <f>IF(AS99="","",IFERROR(AS99*HSI!$B$94*HSI!$G$94/HSI!$B$3,""))</f>
        <v/>
      </c>
      <c r="DH99" s="161">
        <f>IF(AT99="","",IFERROR(AT99*HSI!$B$94*HSI!$G$94/HSI!$B$3,""))</f>
        <v/>
      </c>
      <c r="DI99" s="161">
        <f>IF(AU99="","",IFERROR(AU99*HSI!$B$94*HSI!$G$94/HSI!$B$3,""))</f>
        <v/>
      </c>
      <c r="DJ99" s="161">
        <f>IF(AV99="","",IFERROR(AV99*HSI!$B$94*HSI!$G$94/HSI!$B$3,""))</f>
        <v/>
      </c>
      <c r="DK99" s="161">
        <f>IF(AW99="","",IFERROR(AW99*HSI!$B$94*HSI!$G$94/HSI!$B$3,""))</f>
        <v/>
      </c>
      <c r="DL99" s="161">
        <f>IF(AX99="","",IFERROR(AX99*HSI!$B$94*HSI!$G$94/HSI!$B$3,""))</f>
        <v/>
      </c>
      <c r="DM99" s="161">
        <f>IF(AY99="","",IFERROR(AY99*HSI!$B$94*HSI!$G$94/HSI!$B$3,""))</f>
        <v/>
      </c>
      <c r="DN99" s="161">
        <f>IF(AZ99="","",IFERROR(AZ99*HSI!$B$94*HSI!$G$94/HSI!$B$3,""))</f>
        <v/>
      </c>
      <c r="DO99" s="161">
        <f>IF(BA99="","",IFERROR(BA99*HSI!$B$94*HSI!$G$94/HSI!$B$3,""))</f>
        <v/>
      </c>
      <c r="DP99" s="161">
        <f>IF(BB99="","",IFERROR(BB99*HSI!$B$94*HSI!$G$94/HSI!$B$3,""))</f>
        <v/>
      </c>
      <c r="DQ99" s="161">
        <f>IF(BC99="","",IFERROR(BC99*HSI!$B$94*HSI!$G$94/HSI!$B$3,""))</f>
        <v/>
      </c>
      <c r="DR99" s="161">
        <f>IF(BD99="","",IFERROR(BD99*HSI!$B$94*HSI!$G$94/HSI!$B$3,""))</f>
        <v/>
      </c>
      <c r="DS99" s="161">
        <f>IF(BE99="","",IFERROR(BE99*HSI!$B$94*HSI!$G$94/HSI!$B$3,""))</f>
        <v/>
      </c>
      <c r="DT99" s="161">
        <f>IF(BF99="","",IFERROR(BF99*HSI!$B$94*HSI!$G$94/HSI!$B$3,""))</f>
        <v/>
      </c>
      <c r="DU99" s="161">
        <f>IF(BG99="","",IFERROR(BG99*HSI!$B$94*HSI!$G$94/HSI!$B$3,""))</f>
        <v/>
      </c>
      <c r="DV99" s="161">
        <f>IF(BH99="","",IFERROR(BH99*HSI!$B$94*HSI!$G$94/HSI!$B$3,""))</f>
        <v/>
      </c>
      <c r="DW99" s="161">
        <f>IF(BI99="","",IFERROR(BI99*HSI!$B$94*HSI!$G$94/HSI!$B$3,""))</f>
        <v/>
      </c>
      <c r="DX99" s="161">
        <f>IF(BJ99="","",IFERROR(BJ99*HSI!$B$94*HSI!$G$94/HSI!$B$3,""))</f>
        <v/>
      </c>
      <c r="DY99" s="161">
        <f>IF(BK99="","",IFERROR(BK99*HSI!$B$94*HSI!$G$94/HSI!$B$3,""))</f>
        <v/>
      </c>
      <c r="DZ99" s="161">
        <f>IF(BL99="","",IFERROR(BL99*HSI!$B$94*HSI!$G$94/HSI!$B$3,""))</f>
        <v/>
      </c>
      <c r="EA99" s="161">
        <f>IF(BM99="","",IFERROR(BM99*HSI!$B$94*HSI!$G$94/HSI!$B$3,""))</f>
        <v/>
      </c>
      <c r="EB99" s="161">
        <f>IF(BN99="","",IFERROR(BN99*HSI!$B$94*HSI!$G$94/HSI!$B$3,""))</f>
        <v/>
      </c>
      <c r="EC99" s="161">
        <f>IF(BO99="","",IFERROR(BO99*HSI!$B$94*HSI!$G$94/HSI!$B$3,""))</f>
        <v/>
      </c>
      <c r="EE99" s="121">
        <f>IF(N('Dvd Calendar'!$E$968)=0,"",IF(('Dvd Calendar'!$E$968&gt;=GRID_FROM)*('Dvd Calendar'!$E$968&lt;=GRID_TO)*((('Dvd Calendar'!$E$968&lt;=VAL_DATE)+(COUNTIF('Dvd Calendar'!$E$975:$AR$975,'Dvd Calendar'!$E$968)=0))&gt;0)=0,"",'Dvd Calendar'!$E$968*1000000000+ISNUMBER('Dvd Calendar'!$E$971)*100000000+('Dvd Calendar'!$E$973=SPECIAL_LBL)*10000000+(N('Dvd Calendar'!$E$967)&gt;0)*(N('Dvd Calendar'!$E$967)&lt;=VAL_SERIAL)*1000000+88*1000+1))</f>
        <v/>
      </c>
      <c r="EF99" s="121">
        <f>IF(N('Dvd Calendar'!$F$968)=0,"",IF(('Dvd Calendar'!$F$968&gt;=GRID_FROM)*('Dvd Calendar'!$F$968&lt;=GRID_TO)*((('Dvd Calendar'!$F$968&lt;=VAL_DATE)+(COUNTIF('Dvd Calendar'!$E$975:$AR$975,'Dvd Calendar'!$F$968)=0))&gt;0)=0,"",'Dvd Calendar'!$F$968*1000000000+ISNUMBER('Dvd Calendar'!$F$971)*100000000+('Dvd Calendar'!$F$973=SPECIAL_LBL)*10000000+(N('Dvd Calendar'!$F$967)&gt;0)*(N('Dvd Calendar'!$F$967)&lt;=VAL_SERIAL)*1000000+88*1000+2))</f>
        <v/>
      </c>
      <c r="EG99" s="121">
        <f>IF(N('Dvd Calendar'!$G$968)=0,"",IF(('Dvd Calendar'!$G$968&gt;=GRID_FROM)*('Dvd Calendar'!$G$968&lt;=GRID_TO)*((('Dvd Calendar'!$G$968&lt;=VAL_DATE)+(COUNTIF('Dvd Calendar'!$E$975:$AR$975,'Dvd Calendar'!$G$968)=0))&gt;0)=0,"",'Dvd Calendar'!$G$968*1000000000+ISNUMBER('Dvd Calendar'!$G$971)*100000000+('Dvd Calendar'!$G$973=SPECIAL_LBL)*10000000+(N('Dvd Calendar'!$G$967)&gt;0)*(N('Dvd Calendar'!$G$967)&lt;=VAL_SERIAL)*1000000+88*1000+3))</f>
        <v/>
      </c>
      <c r="EH99" s="121">
        <f>IF(N('Dvd Calendar'!$H$968)=0,"",IF(('Dvd Calendar'!$H$968&gt;=GRID_FROM)*('Dvd Calendar'!$H$968&lt;=GRID_TO)*((('Dvd Calendar'!$H$968&lt;=VAL_DATE)+(COUNTIF('Dvd Calendar'!$E$975:$AR$975,'Dvd Calendar'!$H$968)=0))&gt;0)=0,"",'Dvd Calendar'!$H$968*1000000000+ISNUMBER('Dvd Calendar'!$H$971)*100000000+('Dvd Calendar'!$H$973=SPECIAL_LBL)*10000000+(N('Dvd Calendar'!$H$967)&gt;0)*(N('Dvd Calendar'!$H$967)&lt;=VAL_SERIAL)*1000000+88*1000+4))</f>
        <v/>
      </c>
      <c r="EI99" s="121">
        <f>IF(N('Dvd Calendar'!$I$968)=0,"",IF(('Dvd Calendar'!$I$968&gt;=GRID_FROM)*('Dvd Calendar'!$I$968&lt;=GRID_TO)*((('Dvd Calendar'!$I$968&lt;=VAL_DATE)+(COUNTIF('Dvd Calendar'!$E$975:$AR$975,'Dvd Calendar'!$I$968)=0))&gt;0)=0,"",'Dvd Calendar'!$I$968*1000000000+ISNUMBER('Dvd Calendar'!$I$971)*100000000+('Dvd Calendar'!$I$973=SPECIAL_LBL)*10000000+(N('Dvd Calendar'!$I$967)&gt;0)*(N('Dvd Calendar'!$I$967)&lt;=VAL_SERIAL)*1000000+88*1000+5))</f>
        <v/>
      </c>
      <c r="EJ99" s="121">
        <f>IF(N('Dvd Calendar'!$J$968)=0,"",IF(('Dvd Calendar'!$J$968&gt;=GRID_FROM)*('Dvd Calendar'!$J$968&lt;=GRID_TO)*((('Dvd Calendar'!$J$968&lt;=VAL_DATE)+(COUNTIF('Dvd Calendar'!$E$975:$AR$975,'Dvd Calendar'!$J$968)=0))&gt;0)=0,"",'Dvd Calendar'!$J$968*1000000000+ISNUMBER('Dvd Calendar'!$J$971)*100000000+('Dvd Calendar'!$J$973=SPECIAL_LBL)*10000000+(N('Dvd Calendar'!$J$967)&gt;0)*(N('Dvd Calendar'!$J$967)&lt;=VAL_SERIAL)*1000000+88*1000+6))</f>
        <v/>
      </c>
      <c r="EK99" s="121">
        <f>IF(N('Dvd Calendar'!$K$968)=0,"",IF(('Dvd Calendar'!$K$968&gt;=GRID_FROM)*('Dvd Calendar'!$K$968&lt;=GRID_TO)*((('Dvd Calendar'!$K$968&lt;=VAL_DATE)+(COUNTIF('Dvd Calendar'!$E$975:$AR$975,'Dvd Calendar'!$K$968)=0))&gt;0)=0,"",'Dvd Calendar'!$K$968*1000000000+ISNUMBER('Dvd Calendar'!$K$971)*100000000+('Dvd Calendar'!$K$973=SPECIAL_LBL)*10000000+(N('Dvd Calendar'!$K$967)&gt;0)*(N('Dvd Calendar'!$K$967)&lt;=VAL_SERIAL)*1000000+88*1000+7))</f>
        <v/>
      </c>
      <c r="EL99" s="121">
        <f>IF(N('Dvd Calendar'!$L$968)=0,"",IF(('Dvd Calendar'!$L$968&gt;=GRID_FROM)*('Dvd Calendar'!$L$968&lt;=GRID_TO)*((('Dvd Calendar'!$L$968&lt;=VAL_DATE)+(COUNTIF('Dvd Calendar'!$E$975:$AR$975,'Dvd Calendar'!$L$968)=0))&gt;0)=0,"",'Dvd Calendar'!$L$968*1000000000+ISNUMBER('Dvd Calendar'!$L$971)*100000000+('Dvd Calendar'!$L$973=SPECIAL_LBL)*10000000+(N('Dvd Calendar'!$L$967)&gt;0)*(N('Dvd Calendar'!$L$967)&lt;=VAL_SERIAL)*1000000+88*1000+8))</f>
        <v/>
      </c>
      <c r="EM99" s="121">
        <f>IF(N('Dvd Calendar'!$M$968)=0,"",IF(('Dvd Calendar'!$M$968&gt;=GRID_FROM)*('Dvd Calendar'!$M$968&lt;=GRID_TO)*((('Dvd Calendar'!$M$968&lt;=VAL_DATE)+(COUNTIF('Dvd Calendar'!$E$975:$AR$975,'Dvd Calendar'!$M$968)=0))&gt;0)=0,"",'Dvd Calendar'!$M$968*1000000000+ISNUMBER('Dvd Calendar'!$M$971)*100000000+('Dvd Calendar'!$M$973=SPECIAL_LBL)*10000000+(N('Dvd Calendar'!$M$967)&gt;0)*(N('Dvd Calendar'!$M$967)&lt;=VAL_SERIAL)*1000000+88*1000+9))</f>
        <v/>
      </c>
      <c r="EN99" s="121">
        <f>IF(N('Dvd Calendar'!$N$968)=0,"",IF(('Dvd Calendar'!$N$968&gt;=GRID_FROM)*('Dvd Calendar'!$N$968&lt;=GRID_TO)*((('Dvd Calendar'!$N$968&lt;=VAL_DATE)+(COUNTIF('Dvd Calendar'!$E$975:$AR$975,'Dvd Calendar'!$N$968)=0))&gt;0)=0,"",'Dvd Calendar'!$N$968*1000000000+ISNUMBER('Dvd Calendar'!$N$971)*100000000+('Dvd Calendar'!$N$973=SPECIAL_LBL)*10000000+(N('Dvd Calendar'!$N$967)&gt;0)*(N('Dvd Calendar'!$N$967)&lt;=VAL_SERIAL)*1000000+88*1000+10))</f>
        <v/>
      </c>
      <c r="EO99" s="121">
        <f>IF(N('Dvd Calendar'!$O$968)=0,"",IF(('Dvd Calendar'!$O$968&gt;=GRID_FROM)*('Dvd Calendar'!$O$968&lt;=GRID_TO)*((('Dvd Calendar'!$O$968&lt;=VAL_DATE)+(COUNTIF('Dvd Calendar'!$E$975:$AR$975,'Dvd Calendar'!$O$968)=0))&gt;0)=0,"",'Dvd Calendar'!$O$968*1000000000+ISNUMBER('Dvd Calendar'!$O$971)*100000000+('Dvd Calendar'!$O$973=SPECIAL_LBL)*10000000+(N('Dvd Calendar'!$O$967)&gt;0)*(N('Dvd Calendar'!$O$967)&lt;=VAL_SERIAL)*1000000+88*1000+11))</f>
        <v/>
      </c>
      <c r="EP99" s="121">
        <f>IF(N('Dvd Calendar'!$P$968)=0,"",IF(('Dvd Calendar'!$P$968&gt;=GRID_FROM)*('Dvd Calendar'!$P$968&lt;=GRID_TO)*((('Dvd Calendar'!$P$968&lt;=VAL_DATE)+(COUNTIF('Dvd Calendar'!$E$975:$AR$975,'Dvd Calendar'!$P$968)=0))&gt;0)=0,"",'Dvd Calendar'!$P$968*1000000000+ISNUMBER('Dvd Calendar'!$P$971)*100000000+('Dvd Calendar'!$P$973=SPECIAL_LBL)*10000000+(N('Dvd Calendar'!$P$967)&gt;0)*(N('Dvd Calendar'!$P$967)&lt;=VAL_SERIAL)*1000000+88*1000+12))</f>
        <v/>
      </c>
      <c r="EQ99" s="121">
        <f>IF(N('Dvd Calendar'!$Q$968)=0,"",IF(('Dvd Calendar'!$Q$968&gt;=GRID_FROM)*('Dvd Calendar'!$Q$968&lt;=GRID_TO)*((('Dvd Calendar'!$Q$968&lt;=VAL_DATE)+(COUNTIF('Dvd Calendar'!$E$975:$AR$975,'Dvd Calendar'!$Q$968)=0))&gt;0)=0,"",'Dvd Calendar'!$Q$968*1000000000+ISNUMBER('Dvd Calendar'!$Q$971)*100000000+('Dvd Calendar'!$Q$973=SPECIAL_LBL)*10000000+(N('Dvd Calendar'!$Q$967)&gt;0)*(N('Dvd Calendar'!$Q$967)&lt;=VAL_SERIAL)*1000000+88*1000+13))</f>
        <v/>
      </c>
      <c r="ER99" s="121">
        <f>IF(N('Dvd Calendar'!$R$968)=0,"",IF(('Dvd Calendar'!$R$968&gt;=GRID_FROM)*('Dvd Calendar'!$R$968&lt;=GRID_TO)*((('Dvd Calendar'!$R$968&lt;=VAL_DATE)+(COUNTIF('Dvd Calendar'!$E$975:$AR$975,'Dvd Calendar'!$R$968)=0))&gt;0)=0,"",'Dvd Calendar'!$R$968*1000000000+ISNUMBER('Dvd Calendar'!$R$971)*100000000+('Dvd Calendar'!$R$973=SPECIAL_LBL)*10000000+(N('Dvd Calendar'!$R$967)&gt;0)*(N('Dvd Calendar'!$R$967)&lt;=VAL_SERIAL)*1000000+88*1000+14))</f>
        <v/>
      </c>
      <c r="ES99" s="121">
        <f>IF(N('Dvd Calendar'!$S$968)=0,"",IF(('Dvd Calendar'!$S$968&gt;=GRID_FROM)*('Dvd Calendar'!$S$968&lt;=GRID_TO)*((('Dvd Calendar'!$S$968&lt;=VAL_DATE)+(COUNTIF('Dvd Calendar'!$E$975:$AR$975,'Dvd Calendar'!$S$968)=0))&gt;0)=0,"",'Dvd Calendar'!$S$968*1000000000+ISNUMBER('Dvd Calendar'!$S$971)*100000000+('Dvd Calendar'!$S$973=SPECIAL_LBL)*10000000+(N('Dvd Calendar'!$S$967)&gt;0)*(N('Dvd Calendar'!$S$967)&lt;=VAL_SERIAL)*1000000+88*1000+15))</f>
        <v/>
      </c>
      <c r="ET99" s="121">
        <f>IF(N('Dvd Calendar'!$T$968)=0,"",IF(('Dvd Calendar'!$T$968&gt;=GRID_FROM)*('Dvd Calendar'!$T$968&lt;=GRID_TO)*((('Dvd Calendar'!$T$968&lt;=VAL_DATE)+(COUNTIF('Dvd Calendar'!$E$975:$AR$975,'Dvd Calendar'!$T$968)=0))&gt;0)=0,"",'Dvd Calendar'!$T$968*1000000000+ISNUMBER('Dvd Calendar'!$T$971)*100000000+('Dvd Calendar'!$T$973=SPECIAL_LBL)*10000000+(N('Dvd Calendar'!$T$967)&gt;0)*(N('Dvd Calendar'!$T$967)&lt;=VAL_SERIAL)*1000000+88*1000+16))</f>
        <v/>
      </c>
      <c r="EU99" s="121">
        <f>IF(N('Dvd Calendar'!$U$968)=0,"",IF(('Dvd Calendar'!$U$968&gt;=GRID_FROM)*('Dvd Calendar'!$U$968&lt;=GRID_TO)*((('Dvd Calendar'!$U$968&lt;=VAL_DATE)+(COUNTIF('Dvd Calendar'!$E$975:$AR$975,'Dvd Calendar'!$U$968)=0))&gt;0)=0,"",'Dvd Calendar'!$U$968*1000000000+ISNUMBER('Dvd Calendar'!$U$971)*100000000+('Dvd Calendar'!$U$973=SPECIAL_LBL)*10000000+(N('Dvd Calendar'!$U$967)&gt;0)*(N('Dvd Calendar'!$U$967)&lt;=VAL_SERIAL)*1000000+88*1000+17))</f>
        <v/>
      </c>
      <c r="EV99" s="121">
        <f>IF(N('Dvd Calendar'!$V$968)=0,"",IF(('Dvd Calendar'!$V$968&gt;=GRID_FROM)*('Dvd Calendar'!$V$968&lt;=GRID_TO)*((('Dvd Calendar'!$V$968&lt;=VAL_DATE)+(COUNTIF('Dvd Calendar'!$E$975:$AR$975,'Dvd Calendar'!$V$968)=0))&gt;0)=0,"",'Dvd Calendar'!$V$968*1000000000+ISNUMBER('Dvd Calendar'!$V$971)*100000000+('Dvd Calendar'!$V$973=SPECIAL_LBL)*10000000+(N('Dvd Calendar'!$V$967)&gt;0)*(N('Dvd Calendar'!$V$967)&lt;=VAL_SERIAL)*1000000+88*1000+18))</f>
        <v/>
      </c>
      <c r="EW99" s="121">
        <f>IF(N('Dvd Calendar'!$W$968)=0,"",IF(('Dvd Calendar'!$W$968&gt;=GRID_FROM)*('Dvd Calendar'!$W$968&lt;=GRID_TO)*((('Dvd Calendar'!$W$968&lt;=VAL_DATE)+(COUNTIF('Dvd Calendar'!$E$975:$AR$975,'Dvd Calendar'!$W$968)=0))&gt;0)=0,"",'Dvd Calendar'!$W$968*1000000000+ISNUMBER('Dvd Calendar'!$W$971)*100000000+('Dvd Calendar'!$W$973=SPECIAL_LBL)*10000000+(N('Dvd Calendar'!$W$967)&gt;0)*(N('Dvd Calendar'!$W$967)&lt;=VAL_SERIAL)*1000000+88*1000+19))</f>
        <v/>
      </c>
      <c r="EX99" s="121">
        <f>IF(N('Dvd Calendar'!$X$968)=0,"",IF(('Dvd Calendar'!$X$968&gt;=GRID_FROM)*('Dvd Calendar'!$X$968&lt;=GRID_TO)*((('Dvd Calendar'!$X$968&lt;=VAL_DATE)+(COUNTIF('Dvd Calendar'!$E$975:$AR$975,'Dvd Calendar'!$X$968)=0))&gt;0)=0,"",'Dvd Calendar'!$X$968*1000000000+ISNUMBER('Dvd Calendar'!$X$971)*100000000+('Dvd Calendar'!$X$973=SPECIAL_LBL)*10000000+(N('Dvd Calendar'!$X$967)&gt;0)*(N('Dvd Calendar'!$X$967)&lt;=VAL_SERIAL)*1000000+88*1000+20))</f>
        <v/>
      </c>
      <c r="EY99" s="121">
        <f>IF(N('Dvd Calendar'!$Y$968)=0,"",IF(('Dvd Calendar'!$Y$968&gt;=GRID_FROM)*('Dvd Calendar'!$Y$968&lt;=GRID_TO)*((('Dvd Calendar'!$Y$968&lt;=VAL_DATE)+(COUNTIF('Dvd Calendar'!$E$975:$AR$975,'Dvd Calendar'!$Y$968)=0))&gt;0)=0,"",'Dvd Calendar'!$Y$968*1000000000+ISNUMBER('Dvd Calendar'!$Y$971)*100000000+('Dvd Calendar'!$Y$973=SPECIAL_LBL)*10000000+(N('Dvd Calendar'!$Y$967)&gt;0)*(N('Dvd Calendar'!$Y$967)&lt;=VAL_SERIAL)*1000000+88*1000+21))</f>
        <v/>
      </c>
      <c r="EZ99" s="121">
        <f>IF(N('Dvd Calendar'!$Z$968)=0,"",IF(('Dvd Calendar'!$Z$968&gt;=GRID_FROM)*('Dvd Calendar'!$Z$968&lt;=GRID_TO)*((('Dvd Calendar'!$Z$968&lt;=VAL_DATE)+(COUNTIF('Dvd Calendar'!$E$975:$AR$975,'Dvd Calendar'!$Z$968)=0))&gt;0)=0,"",'Dvd Calendar'!$Z$968*1000000000+ISNUMBER('Dvd Calendar'!$Z$971)*100000000+('Dvd Calendar'!$Z$973=SPECIAL_LBL)*10000000+(N('Dvd Calendar'!$Z$967)&gt;0)*(N('Dvd Calendar'!$Z$967)&lt;=VAL_SERIAL)*1000000+88*1000+22))</f>
        <v/>
      </c>
      <c r="FA99" s="121">
        <f>IF(N('Dvd Calendar'!$AA$968)=0,"",IF(('Dvd Calendar'!$AA$968&gt;=GRID_FROM)*('Dvd Calendar'!$AA$968&lt;=GRID_TO)*((('Dvd Calendar'!$AA$968&lt;=VAL_DATE)+(COUNTIF('Dvd Calendar'!$E$975:$AR$975,'Dvd Calendar'!$AA$968)=0))&gt;0)=0,"",'Dvd Calendar'!$AA$968*1000000000+ISNUMBER('Dvd Calendar'!$AA$971)*100000000+('Dvd Calendar'!$AA$973=SPECIAL_LBL)*10000000+(N('Dvd Calendar'!$AA$967)&gt;0)*(N('Dvd Calendar'!$AA$967)&lt;=VAL_SERIAL)*1000000+88*1000+23))</f>
        <v/>
      </c>
      <c r="FB99" s="121">
        <f>IF(N('Dvd Calendar'!$AB$968)=0,"",IF(('Dvd Calendar'!$AB$968&gt;=GRID_FROM)*('Dvd Calendar'!$AB$968&lt;=GRID_TO)*((('Dvd Calendar'!$AB$968&lt;=VAL_DATE)+(COUNTIF('Dvd Calendar'!$E$975:$AR$975,'Dvd Calendar'!$AB$968)=0))&gt;0)=0,"",'Dvd Calendar'!$AB$968*1000000000+ISNUMBER('Dvd Calendar'!$AB$971)*100000000+('Dvd Calendar'!$AB$973=SPECIAL_LBL)*10000000+(N('Dvd Calendar'!$AB$967)&gt;0)*(N('Dvd Calendar'!$AB$967)&lt;=VAL_SERIAL)*1000000+88*1000+24))</f>
        <v/>
      </c>
      <c r="FC99" s="121">
        <f>IF(N('Dvd Calendar'!$AC$968)=0,"",IF(('Dvd Calendar'!$AC$968&gt;=GRID_FROM)*('Dvd Calendar'!$AC$968&lt;=GRID_TO)*((('Dvd Calendar'!$AC$968&lt;=VAL_DATE)+(COUNTIF('Dvd Calendar'!$E$975:$AR$975,'Dvd Calendar'!$AC$968)=0))&gt;0)=0,"",'Dvd Calendar'!$AC$968*1000000000+ISNUMBER('Dvd Calendar'!$AC$971)*100000000+('Dvd Calendar'!$AC$973=SPECIAL_LBL)*10000000+(N('Dvd Calendar'!$AC$967)&gt;0)*(N('Dvd Calendar'!$AC$967)&lt;=VAL_SERIAL)*1000000+88*1000+25))</f>
        <v/>
      </c>
      <c r="FD99" s="121">
        <f>IF(N('Dvd Calendar'!$AD$968)=0,"",IF(('Dvd Calendar'!$AD$968&gt;=GRID_FROM)*('Dvd Calendar'!$AD$968&lt;=GRID_TO)*((('Dvd Calendar'!$AD$968&lt;=VAL_DATE)+(COUNTIF('Dvd Calendar'!$E$975:$AR$975,'Dvd Calendar'!$AD$968)=0))&gt;0)=0,"",'Dvd Calendar'!$AD$968*1000000000+ISNUMBER('Dvd Calendar'!$AD$971)*100000000+('Dvd Calendar'!$AD$973=SPECIAL_LBL)*10000000+(N('Dvd Calendar'!$AD$967)&gt;0)*(N('Dvd Calendar'!$AD$967)&lt;=VAL_SERIAL)*1000000+88*1000+26))</f>
        <v/>
      </c>
      <c r="FE99" s="121">
        <f>IF(N('Dvd Calendar'!$AE$968)=0,"",IF(('Dvd Calendar'!$AE$968&gt;=GRID_FROM)*('Dvd Calendar'!$AE$968&lt;=GRID_TO)*((('Dvd Calendar'!$AE$968&lt;=VAL_DATE)+(COUNTIF('Dvd Calendar'!$E$975:$AR$975,'Dvd Calendar'!$AE$968)=0))&gt;0)=0,"",'Dvd Calendar'!$AE$968*1000000000+ISNUMBER('Dvd Calendar'!$AE$971)*100000000+('Dvd Calendar'!$AE$973=SPECIAL_LBL)*10000000+(N('Dvd Calendar'!$AE$967)&gt;0)*(N('Dvd Calendar'!$AE$967)&lt;=VAL_SERIAL)*1000000+88*1000+27))</f>
        <v/>
      </c>
      <c r="FF99" s="121">
        <f>IF(N('Dvd Calendar'!$AF$968)=0,"",IF(('Dvd Calendar'!$AF$968&gt;=GRID_FROM)*('Dvd Calendar'!$AF$968&lt;=GRID_TO)*((('Dvd Calendar'!$AF$968&lt;=VAL_DATE)+(COUNTIF('Dvd Calendar'!$E$975:$AR$975,'Dvd Calendar'!$AF$968)=0))&gt;0)=0,"",'Dvd Calendar'!$AF$968*1000000000+ISNUMBER('Dvd Calendar'!$AF$971)*100000000+('Dvd Calendar'!$AF$973=SPECIAL_LBL)*10000000+(N('Dvd Calendar'!$AF$967)&gt;0)*(N('Dvd Calendar'!$AF$967)&lt;=VAL_SERIAL)*1000000+88*1000+28))</f>
        <v/>
      </c>
      <c r="FG99" s="121">
        <f>IF(N('Dvd Calendar'!$AG$968)=0,"",IF(('Dvd Calendar'!$AG$968&gt;=GRID_FROM)*('Dvd Calendar'!$AG$968&lt;=GRID_TO)*((('Dvd Calendar'!$AG$968&lt;=VAL_DATE)+(COUNTIF('Dvd Calendar'!$E$975:$AR$975,'Dvd Calendar'!$AG$968)=0))&gt;0)=0,"",'Dvd Calendar'!$AG$968*1000000000+ISNUMBER('Dvd Calendar'!$AG$971)*100000000+('Dvd Calendar'!$AG$973=SPECIAL_LBL)*10000000+(N('Dvd Calendar'!$AG$967)&gt;0)*(N('Dvd Calendar'!$AG$967)&lt;=VAL_SERIAL)*1000000+88*1000+29))</f>
        <v/>
      </c>
      <c r="FH99" s="121">
        <f>IF(N('Dvd Calendar'!$AH$968)=0,"",IF(('Dvd Calendar'!$AH$968&gt;=GRID_FROM)*('Dvd Calendar'!$AH$968&lt;=GRID_TO)*((('Dvd Calendar'!$AH$968&lt;=VAL_DATE)+(COUNTIF('Dvd Calendar'!$E$975:$AR$975,'Dvd Calendar'!$AH$968)=0))&gt;0)=0,"",'Dvd Calendar'!$AH$968*1000000000+ISNUMBER('Dvd Calendar'!$AH$971)*100000000+('Dvd Calendar'!$AH$973=SPECIAL_LBL)*10000000+(N('Dvd Calendar'!$AH$967)&gt;0)*(N('Dvd Calendar'!$AH$967)&lt;=VAL_SERIAL)*1000000+88*1000+30))</f>
        <v/>
      </c>
      <c r="FI99" s="121">
        <f>IF(N('Dvd Calendar'!$AI$968)=0,"",IF(('Dvd Calendar'!$AI$968&gt;=GRID_FROM)*('Dvd Calendar'!$AI$968&lt;=GRID_TO)*((('Dvd Calendar'!$AI$968&lt;=VAL_DATE)+(COUNTIF('Dvd Calendar'!$E$975:$AR$975,'Dvd Calendar'!$AI$968)=0))&gt;0)=0,"",'Dvd Calendar'!$AI$968*1000000000+ISNUMBER('Dvd Calendar'!$AI$971)*100000000+('Dvd Calendar'!$AI$973=SPECIAL_LBL)*10000000+(N('Dvd Calendar'!$AI$967)&gt;0)*(N('Dvd Calendar'!$AI$967)&lt;=VAL_SERIAL)*1000000+88*1000+31))</f>
        <v/>
      </c>
      <c r="FJ99" s="121">
        <f>IF(N('Dvd Calendar'!$AJ$968)=0,"",IF(('Dvd Calendar'!$AJ$968&gt;=GRID_FROM)*('Dvd Calendar'!$AJ$968&lt;=GRID_TO)*((('Dvd Calendar'!$AJ$968&lt;=VAL_DATE)+(COUNTIF('Dvd Calendar'!$E$975:$AR$975,'Dvd Calendar'!$AJ$968)=0))&gt;0)=0,"",'Dvd Calendar'!$AJ$968*1000000000+ISNUMBER('Dvd Calendar'!$AJ$971)*100000000+('Dvd Calendar'!$AJ$973=SPECIAL_LBL)*10000000+(N('Dvd Calendar'!$AJ$967)&gt;0)*(N('Dvd Calendar'!$AJ$967)&lt;=VAL_SERIAL)*1000000+88*1000+32))</f>
        <v/>
      </c>
      <c r="FK99" s="121">
        <f>IF(N('Dvd Calendar'!$AK$968)=0,"",IF(('Dvd Calendar'!$AK$968&gt;=GRID_FROM)*('Dvd Calendar'!$AK$968&lt;=GRID_TO)*((('Dvd Calendar'!$AK$968&lt;=VAL_DATE)+(COUNTIF('Dvd Calendar'!$E$975:$AR$975,'Dvd Calendar'!$AK$968)=0))&gt;0)=0,"",'Dvd Calendar'!$AK$968*1000000000+ISNUMBER('Dvd Calendar'!$AK$971)*100000000+('Dvd Calendar'!$AK$973=SPECIAL_LBL)*10000000+(N('Dvd Calendar'!$AK$967)&gt;0)*(N('Dvd Calendar'!$AK$967)&lt;=VAL_SERIAL)*1000000+88*1000+33))</f>
        <v/>
      </c>
      <c r="FL99" s="121">
        <f>IF(N('Dvd Calendar'!$AL$968)=0,"",IF(('Dvd Calendar'!$AL$968&gt;=GRID_FROM)*('Dvd Calendar'!$AL$968&lt;=GRID_TO)*((('Dvd Calendar'!$AL$968&lt;=VAL_DATE)+(COUNTIF('Dvd Calendar'!$E$975:$AR$975,'Dvd Calendar'!$AL$968)=0))&gt;0)=0,"",'Dvd Calendar'!$AL$968*1000000000+ISNUMBER('Dvd Calendar'!$AL$971)*100000000+('Dvd Calendar'!$AL$973=SPECIAL_LBL)*10000000+(N('Dvd Calendar'!$AL$967)&gt;0)*(N('Dvd Calendar'!$AL$967)&lt;=VAL_SERIAL)*1000000+88*1000+34))</f>
        <v/>
      </c>
      <c r="FM99" s="121">
        <f>IF(N('Dvd Calendar'!$AM$968)=0,"",IF(('Dvd Calendar'!$AM$968&gt;=GRID_FROM)*('Dvd Calendar'!$AM$968&lt;=GRID_TO)*((('Dvd Calendar'!$AM$968&lt;=VAL_DATE)+(COUNTIF('Dvd Calendar'!$E$975:$AR$975,'Dvd Calendar'!$AM$968)=0))&gt;0)=0,"",'Dvd Calendar'!$AM$968*1000000000+ISNUMBER('Dvd Calendar'!$AM$971)*100000000+('Dvd Calendar'!$AM$973=SPECIAL_LBL)*10000000+(N('Dvd Calendar'!$AM$967)&gt;0)*(N('Dvd Calendar'!$AM$967)&lt;=VAL_SERIAL)*1000000+88*1000+35))</f>
        <v/>
      </c>
      <c r="FN99" s="121">
        <f>IF(N('Dvd Calendar'!$AN$968)=0,"",IF(('Dvd Calendar'!$AN$968&gt;=GRID_FROM)*('Dvd Calendar'!$AN$968&lt;=GRID_TO)*((('Dvd Calendar'!$AN$968&lt;=VAL_DATE)+(COUNTIF('Dvd Calendar'!$E$975:$AR$975,'Dvd Calendar'!$AN$968)=0))&gt;0)=0,"",'Dvd Calendar'!$AN$968*1000000000+ISNUMBER('Dvd Calendar'!$AN$971)*100000000+('Dvd Calendar'!$AN$973=SPECIAL_LBL)*10000000+(N('Dvd Calendar'!$AN$967)&gt;0)*(N('Dvd Calendar'!$AN$967)&lt;=VAL_SERIAL)*1000000+88*1000+36))</f>
        <v/>
      </c>
      <c r="FO99" s="121">
        <f>IF(N('Dvd Calendar'!$AO$968)=0,"",IF(('Dvd Calendar'!$AO$968&gt;=GRID_FROM)*('Dvd Calendar'!$AO$968&lt;=GRID_TO)*((('Dvd Calendar'!$AO$968&lt;=VAL_DATE)+(COUNTIF('Dvd Calendar'!$E$975:$AR$975,'Dvd Calendar'!$AO$968)=0))&gt;0)=0,"",'Dvd Calendar'!$AO$968*1000000000+ISNUMBER('Dvd Calendar'!$AO$971)*100000000+('Dvd Calendar'!$AO$973=SPECIAL_LBL)*10000000+(N('Dvd Calendar'!$AO$967)&gt;0)*(N('Dvd Calendar'!$AO$967)&lt;=VAL_SERIAL)*1000000+88*1000+37))</f>
        <v/>
      </c>
      <c r="FP99" s="121">
        <f>IF(N('Dvd Calendar'!$AP$968)=0,"",IF(('Dvd Calendar'!$AP$968&gt;=GRID_FROM)*('Dvd Calendar'!$AP$968&lt;=GRID_TO)*((('Dvd Calendar'!$AP$968&lt;=VAL_DATE)+(COUNTIF('Dvd Calendar'!$E$975:$AR$975,'Dvd Calendar'!$AP$968)=0))&gt;0)=0,"",'Dvd Calendar'!$AP$968*1000000000+ISNUMBER('Dvd Calendar'!$AP$971)*100000000+('Dvd Calendar'!$AP$973=SPECIAL_LBL)*10000000+(N('Dvd Calendar'!$AP$967)&gt;0)*(N('Dvd Calendar'!$AP$967)&lt;=VAL_SERIAL)*1000000+88*1000+38))</f>
        <v/>
      </c>
      <c r="FQ99" s="121">
        <f>IF(N('Dvd Calendar'!$AQ$968)=0,"",IF(('Dvd Calendar'!$AQ$968&gt;=GRID_FROM)*('Dvd Calendar'!$AQ$968&lt;=GRID_TO)*((('Dvd Calendar'!$AQ$968&lt;=VAL_DATE)+(COUNTIF('Dvd Calendar'!$E$975:$AR$975,'Dvd Calendar'!$AQ$968)=0))&gt;0)=0,"",'Dvd Calendar'!$AQ$968*1000000000+ISNUMBER('Dvd Calendar'!$AQ$971)*100000000+('Dvd Calendar'!$AQ$973=SPECIAL_LBL)*10000000+(N('Dvd Calendar'!$AQ$967)&gt;0)*(N('Dvd Calendar'!$AQ$967)&lt;=VAL_SERIAL)*1000000+88*1000+39))</f>
        <v/>
      </c>
      <c r="FR99" s="121">
        <f>IF(N('Dvd Calendar'!$AR$968)=0,"",IF(('Dvd Calendar'!$AR$968&gt;=GRID_FROM)*('Dvd Calendar'!$AR$968&lt;=GRID_TO)*((('Dvd Calendar'!$AR$968&lt;=VAL_DATE)+(COUNTIF('Dvd Calendar'!$E$975:$AR$975,'Dvd Calendar'!$AR$968)=0))&gt;0)=0,"",'Dvd Calendar'!$AR$968*1000000000+ISNUMBER('Dvd Calendar'!$AR$971)*100000000+('Dvd Calendar'!$AR$973=SPECIAL_LBL)*10000000+(N('Dvd Calendar'!$AR$967)&gt;0)*(N('Dvd Calendar'!$AR$967)&lt;=VAL_SERIAL)*1000000+88*1000+40))</f>
        <v/>
      </c>
      <c r="FS99" s="121">
        <f>IF(N('Dvd Calendar'!$E$975)=0,"",IF(('Dvd Calendar'!$E$975&gt;=GRID_FROM)*('Dvd Calendar'!$E$975&lt;=GRID_TO)*('Dvd Calendar'!$E$975&gt;VAL_DATE)=0,"",'Dvd Calendar'!$E$975*1000000000+ISNUMBER('Dvd Calendar'!$E$976)*100000000+0*10000000+(N('Dvd Calendar'!$E$974)&gt;0)*(N('Dvd Calendar'!$E$974)&lt;=VAL_SERIAL)*1000000+88*1000+41))</f>
        <v/>
      </c>
      <c r="FT99" s="121">
        <f>IF(N('Dvd Calendar'!$F$975)=0,"",IF(('Dvd Calendar'!$F$975&gt;=GRID_FROM)*('Dvd Calendar'!$F$975&lt;=GRID_TO)*('Dvd Calendar'!$F$975&gt;VAL_DATE)=0,"",'Dvd Calendar'!$F$975*1000000000+ISNUMBER('Dvd Calendar'!$F$976)*100000000+0*10000000+(N('Dvd Calendar'!$F$974)&gt;0)*(N('Dvd Calendar'!$F$974)&lt;=VAL_SERIAL)*1000000+88*1000+42))</f>
        <v/>
      </c>
      <c r="FU99" s="121">
        <f>IF(N('Dvd Calendar'!$G$975)=0,"",IF(('Dvd Calendar'!$G$975&gt;=GRID_FROM)*('Dvd Calendar'!$G$975&lt;=GRID_TO)*('Dvd Calendar'!$G$975&gt;VAL_DATE)=0,"",'Dvd Calendar'!$G$975*1000000000+ISNUMBER('Dvd Calendar'!$G$976)*100000000+0*10000000+(N('Dvd Calendar'!$G$974)&gt;0)*(N('Dvd Calendar'!$G$974)&lt;=VAL_SERIAL)*1000000+88*1000+43))</f>
        <v/>
      </c>
      <c r="FV99" s="121">
        <f>IF(N('Dvd Calendar'!$H$975)=0,"",IF(('Dvd Calendar'!$H$975&gt;=GRID_FROM)*('Dvd Calendar'!$H$975&lt;=GRID_TO)*('Dvd Calendar'!$H$975&gt;VAL_DATE)=0,"",'Dvd Calendar'!$H$975*1000000000+ISNUMBER('Dvd Calendar'!$H$976)*100000000+0*10000000+(N('Dvd Calendar'!$H$974)&gt;0)*(N('Dvd Calendar'!$H$974)&lt;=VAL_SERIAL)*1000000+88*1000+44))</f>
        <v/>
      </c>
      <c r="FW99" s="121">
        <f>IF(N('Dvd Calendar'!$I$975)=0,"",IF(('Dvd Calendar'!$I$975&gt;=GRID_FROM)*('Dvd Calendar'!$I$975&lt;=GRID_TO)*('Dvd Calendar'!$I$975&gt;VAL_DATE)=0,"",'Dvd Calendar'!$I$975*1000000000+ISNUMBER('Dvd Calendar'!$I$976)*100000000+0*10000000+(N('Dvd Calendar'!$I$974)&gt;0)*(N('Dvd Calendar'!$I$974)&lt;=VAL_SERIAL)*1000000+88*1000+45))</f>
        <v/>
      </c>
      <c r="FX99" s="121">
        <f>IF(N('Dvd Calendar'!$J$975)=0,"",IF(('Dvd Calendar'!$J$975&gt;=GRID_FROM)*('Dvd Calendar'!$J$975&lt;=GRID_TO)*('Dvd Calendar'!$J$975&gt;VAL_DATE)=0,"",'Dvd Calendar'!$J$975*1000000000+ISNUMBER('Dvd Calendar'!$J$976)*100000000+0*10000000+(N('Dvd Calendar'!$J$974)&gt;0)*(N('Dvd Calendar'!$J$974)&lt;=VAL_SERIAL)*1000000+88*1000+46))</f>
        <v/>
      </c>
      <c r="FY99" s="121">
        <f>IF(N('Dvd Calendar'!$K$975)=0,"",IF(('Dvd Calendar'!$K$975&gt;=GRID_FROM)*('Dvd Calendar'!$K$975&lt;=GRID_TO)*('Dvd Calendar'!$K$975&gt;VAL_DATE)=0,"",'Dvd Calendar'!$K$975*1000000000+ISNUMBER('Dvd Calendar'!$K$976)*100000000+0*10000000+(N('Dvd Calendar'!$K$974)&gt;0)*(N('Dvd Calendar'!$K$974)&lt;=VAL_SERIAL)*1000000+88*1000+47))</f>
        <v/>
      </c>
      <c r="FZ99" s="121">
        <f>IF(N('Dvd Calendar'!$L$975)=0,"",IF(('Dvd Calendar'!$L$975&gt;=GRID_FROM)*('Dvd Calendar'!$L$975&lt;=GRID_TO)*('Dvd Calendar'!$L$975&gt;VAL_DATE)=0,"",'Dvd Calendar'!$L$975*1000000000+ISNUMBER('Dvd Calendar'!$L$976)*100000000+0*10000000+(N('Dvd Calendar'!$L$974)&gt;0)*(N('Dvd Calendar'!$L$974)&lt;=VAL_SERIAL)*1000000+88*1000+48))</f>
        <v/>
      </c>
      <c r="GA99" s="121">
        <f>IF(N('Dvd Calendar'!$M$975)=0,"",IF(('Dvd Calendar'!$M$975&gt;=GRID_FROM)*('Dvd Calendar'!$M$975&lt;=GRID_TO)*('Dvd Calendar'!$M$975&gt;VAL_DATE)=0,"",'Dvd Calendar'!$M$975*1000000000+ISNUMBER('Dvd Calendar'!$M$976)*100000000+0*10000000+(N('Dvd Calendar'!$M$974)&gt;0)*(N('Dvd Calendar'!$M$974)&lt;=VAL_SERIAL)*1000000+88*1000+49))</f>
        <v/>
      </c>
      <c r="GB99" s="121">
        <f>IF(N('Dvd Calendar'!$N$975)=0,"",IF(('Dvd Calendar'!$N$975&gt;=GRID_FROM)*('Dvd Calendar'!$N$975&lt;=GRID_TO)*('Dvd Calendar'!$N$975&gt;VAL_DATE)=0,"",'Dvd Calendar'!$N$975*1000000000+ISNUMBER('Dvd Calendar'!$N$976)*100000000+0*10000000+(N('Dvd Calendar'!$N$974)&gt;0)*(N('Dvd Calendar'!$N$974)&lt;=VAL_SERIAL)*1000000+88*1000+50))</f>
        <v/>
      </c>
      <c r="GC99" s="121">
        <f>IF(N('Dvd Calendar'!$O$975)=0,"",IF(('Dvd Calendar'!$O$975&gt;=GRID_FROM)*('Dvd Calendar'!$O$975&lt;=GRID_TO)*('Dvd Calendar'!$O$975&gt;VAL_DATE)=0,"",'Dvd Calendar'!$O$975*1000000000+ISNUMBER('Dvd Calendar'!$O$976)*100000000+0*10000000+(N('Dvd Calendar'!$O$974)&gt;0)*(N('Dvd Calendar'!$O$974)&lt;=VAL_SERIAL)*1000000+88*1000+51))</f>
        <v/>
      </c>
      <c r="GD99" s="121">
        <f>IF(N('Dvd Calendar'!$P$975)=0,"",IF(('Dvd Calendar'!$P$975&gt;=GRID_FROM)*('Dvd Calendar'!$P$975&lt;=GRID_TO)*('Dvd Calendar'!$P$975&gt;VAL_DATE)=0,"",'Dvd Calendar'!$P$975*1000000000+ISNUMBER('Dvd Calendar'!$P$976)*100000000+0*10000000+(N('Dvd Calendar'!$P$974)&gt;0)*(N('Dvd Calendar'!$P$974)&lt;=VAL_SERIAL)*1000000+88*1000+52))</f>
        <v/>
      </c>
      <c r="GE99" s="121">
        <f>IF(N('Dvd Calendar'!$Q$975)=0,"",IF(('Dvd Calendar'!$Q$975&gt;=GRID_FROM)*('Dvd Calendar'!$Q$975&lt;=GRID_TO)*('Dvd Calendar'!$Q$975&gt;VAL_DATE)=0,"",'Dvd Calendar'!$Q$975*1000000000+ISNUMBER('Dvd Calendar'!$Q$976)*100000000+0*10000000+(N('Dvd Calendar'!$Q$974)&gt;0)*(N('Dvd Calendar'!$Q$974)&lt;=VAL_SERIAL)*1000000+88*1000+53))</f>
        <v/>
      </c>
      <c r="GF99" s="121">
        <f>IF(N('Dvd Calendar'!$R$975)=0,"",IF(('Dvd Calendar'!$R$975&gt;=GRID_FROM)*('Dvd Calendar'!$R$975&lt;=GRID_TO)*('Dvd Calendar'!$R$975&gt;VAL_DATE)=0,"",'Dvd Calendar'!$R$975*1000000000+ISNUMBER('Dvd Calendar'!$R$976)*100000000+0*10000000+(N('Dvd Calendar'!$R$974)&gt;0)*(N('Dvd Calendar'!$R$974)&lt;=VAL_SERIAL)*1000000+88*1000+54))</f>
        <v/>
      </c>
      <c r="GG99" s="121">
        <f>IF(N('Dvd Calendar'!$S$975)=0,"",IF(('Dvd Calendar'!$S$975&gt;=GRID_FROM)*('Dvd Calendar'!$S$975&lt;=GRID_TO)*('Dvd Calendar'!$S$975&gt;VAL_DATE)=0,"",'Dvd Calendar'!$S$975*1000000000+ISNUMBER('Dvd Calendar'!$S$976)*100000000+0*10000000+(N('Dvd Calendar'!$S$974)&gt;0)*(N('Dvd Calendar'!$S$974)&lt;=VAL_SERIAL)*1000000+88*1000+55))</f>
        <v/>
      </c>
      <c r="GH99" s="121">
        <f>IF(N('Dvd Calendar'!$T$975)=0,"",IF(('Dvd Calendar'!$T$975&gt;=GRID_FROM)*('Dvd Calendar'!$T$975&lt;=GRID_TO)*('Dvd Calendar'!$T$975&gt;VAL_DATE)=0,"",'Dvd Calendar'!$T$975*1000000000+ISNUMBER('Dvd Calendar'!$T$976)*100000000+0*10000000+(N('Dvd Calendar'!$T$974)&gt;0)*(N('Dvd Calendar'!$T$974)&lt;=VAL_SERIAL)*1000000+88*1000+56))</f>
        <v/>
      </c>
      <c r="GI99" s="121">
        <f>IF(N('Dvd Calendar'!$U$975)=0,"",IF(('Dvd Calendar'!$U$975&gt;=GRID_FROM)*('Dvd Calendar'!$U$975&lt;=GRID_TO)*('Dvd Calendar'!$U$975&gt;VAL_DATE)=0,"",'Dvd Calendar'!$U$975*1000000000+ISNUMBER('Dvd Calendar'!$U$976)*100000000+0*10000000+(N('Dvd Calendar'!$U$974)&gt;0)*(N('Dvd Calendar'!$U$974)&lt;=VAL_SERIAL)*1000000+88*1000+57))</f>
        <v/>
      </c>
      <c r="GJ99" s="121">
        <f>IF(N('Dvd Calendar'!$V$975)=0,"",IF(('Dvd Calendar'!$V$975&gt;=GRID_FROM)*('Dvd Calendar'!$V$975&lt;=GRID_TO)*('Dvd Calendar'!$V$975&gt;VAL_DATE)=0,"",'Dvd Calendar'!$V$975*1000000000+ISNUMBER('Dvd Calendar'!$V$976)*100000000+0*10000000+(N('Dvd Calendar'!$V$974)&gt;0)*(N('Dvd Calendar'!$V$974)&lt;=VAL_SERIAL)*1000000+88*1000+58))</f>
        <v/>
      </c>
      <c r="GK99" s="121">
        <f>IF(N('Dvd Calendar'!$W$975)=0,"",IF(('Dvd Calendar'!$W$975&gt;=GRID_FROM)*('Dvd Calendar'!$W$975&lt;=GRID_TO)*('Dvd Calendar'!$W$975&gt;VAL_DATE)=0,"",'Dvd Calendar'!$W$975*1000000000+ISNUMBER('Dvd Calendar'!$W$976)*100000000+0*10000000+(N('Dvd Calendar'!$W$974)&gt;0)*(N('Dvd Calendar'!$W$974)&lt;=VAL_SERIAL)*1000000+88*1000+59))</f>
        <v/>
      </c>
      <c r="GL99" s="121">
        <f>IF(N('Dvd Calendar'!$X$975)=0,"",IF(('Dvd Calendar'!$X$975&gt;=GRID_FROM)*('Dvd Calendar'!$X$975&lt;=GRID_TO)*('Dvd Calendar'!$X$975&gt;VAL_DATE)=0,"",'Dvd Calendar'!$X$975*1000000000+ISNUMBER('Dvd Calendar'!$X$976)*100000000+0*10000000+(N('Dvd Calendar'!$X$974)&gt;0)*(N('Dvd Calendar'!$X$974)&lt;=VAL_SERIAL)*1000000+88*1000+60))</f>
        <v/>
      </c>
      <c r="GM99" s="121">
        <f>IF(N('Dvd Calendar'!$Y$975)=0,"",IF(('Dvd Calendar'!$Y$975&gt;=GRID_FROM)*('Dvd Calendar'!$Y$975&lt;=GRID_TO)*('Dvd Calendar'!$Y$975&gt;VAL_DATE)=0,"",'Dvd Calendar'!$Y$975*1000000000+ISNUMBER('Dvd Calendar'!$Y$976)*100000000+0*10000000+(N('Dvd Calendar'!$Y$974)&gt;0)*(N('Dvd Calendar'!$Y$974)&lt;=VAL_SERIAL)*1000000+88*1000+61))</f>
        <v/>
      </c>
      <c r="GN99" s="121">
        <f>IF(N('Dvd Calendar'!$Z$975)=0,"",IF(('Dvd Calendar'!$Z$975&gt;=GRID_FROM)*('Dvd Calendar'!$Z$975&lt;=GRID_TO)*('Dvd Calendar'!$Z$975&gt;VAL_DATE)=0,"",'Dvd Calendar'!$Z$975*1000000000+ISNUMBER('Dvd Calendar'!$Z$976)*100000000+0*10000000+(N('Dvd Calendar'!$Z$974)&gt;0)*(N('Dvd Calendar'!$Z$974)&lt;=VAL_SERIAL)*1000000+88*1000+62))</f>
        <v/>
      </c>
      <c r="GO99" s="121">
        <f>IF(N('Dvd Calendar'!$AA$975)=0,"",IF(('Dvd Calendar'!$AA$975&gt;=GRID_FROM)*('Dvd Calendar'!$AA$975&lt;=GRID_TO)*('Dvd Calendar'!$AA$975&gt;VAL_DATE)=0,"",'Dvd Calendar'!$AA$975*1000000000+ISNUMBER('Dvd Calendar'!$AA$976)*100000000+0*10000000+(N('Dvd Calendar'!$AA$974)&gt;0)*(N('Dvd Calendar'!$AA$974)&lt;=VAL_SERIAL)*1000000+88*1000+63))</f>
        <v/>
      </c>
      <c r="GP99" s="121">
        <f>IF(N('Dvd Calendar'!$AB$975)=0,"",IF(('Dvd Calendar'!$AB$975&gt;=GRID_FROM)*('Dvd Calendar'!$AB$975&lt;=GRID_TO)*('Dvd Calendar'!$AB$975&gt;VAL_DATE)=0,"",'Dvd Calendar'!$AB$975*1000000000+ISNUMBER('Dvd Calendar'!$AB$976)*100000000+0*10000000+(N('Dvd Calendar'!$AB$974)&gt;0)*(N('Dvd Calendar'!$AB$974)&lt;=VAL_SERIAL)*1000000+88*1000+64))</f>
        <v/>
      </c>
      <c r="GQ99" s="121">
        <f>IF(N('Dvd Calendar'!$AC$975)=0,"",IF(('Dvd Calendar'!$AC$975&gt;=GRID_FROM)*('Dvd Calendar'!$AC$975&lt;=GRID_TO)*('Dvd Calendar'!$AC$975&gt;VAL_DATE)=0,"",'Dvd Calendar'!$AC$975*1000000000+ISNUMBER('Dvd Calendar'!$AC$976)*100000000+0*10000000+(N('Dvd Calendar'!$AC$974)&gt;0)*(N('Dvd Calendar'!$AC$974)&lt;=VAL_SERIAL)*1000000+88*1000+65))</f>
        <v/>
      </c>
    </row>
    <row r="100">
      <c r="B100" s="2">
        <f>IF(HSI!$C$95="","",HSI!$C$95)</f>
        <v/>
      </c>
      <c r="C100" s="161">
        <f>IF(EE100="","",IF(ISNUMBER('Dvd Calendar'!$E$982)=FALSE,"",IF((('Dvd Calendar'!$E$984=TYPE1)*(TYPE1&lt;&gt;"")+('Dvd Calendar'!$E$984=TYPE2)*(TYPE2&lt;&gt;"")+('Dvd Calendar'!$E$984=TYPE3)*(TYPE3&lt;&gt;"")+('Dvd Calendar'!$E$984=TYPE4)*(TYPE4&lt;&gt;"")+('Dvd Calendar'!$E$984=SPECIAL_LBL)*(INC_SPECIALS="Y"))=0,"",'Dvd Calendar'!$E$982)))</f>
        <v/>
      </c>
      <c r="D100" s="161">
        <f>IF(EF100="","",IF(ISNUMBER('Dvd Calendar'!$F$982)=FALSE,"",IF((('Dvd Calendar'!$F$984=TYPE1)*(TYPE1&lt;&gt;"")+('Dvd Calendar'!$F$984=TYPE2)*(TYPE2&lt;&gt;"")+('Dvd Calendar'!$F$984=TYPE3)*(TYPE3&lt;&gt;"")+('Dvd Calendar'!$F$984=TYPE4)*(TYPE4&lt;&gt;"")+('Dvd Calendar'!$F$984=SPECIAL_LBL)*(INC_SPECIALS="Y"))=0,"",'Dvd Calendar'!$F$982)))</f>
        <v/>
      </c>
      <c r="E100" s="161">
        <f>IF(EG100="","",IF(ISNUMBER('Dvd Calendar'!$G$982)=FALSE,"",IF((('Dvd Calendar'!$G$984=TYPE1)*(TYPE1&lt;&gt;"")+('Dvd Calendar'!$G$984=TYPE2)*(TYPE2&lt;&gt;"")+('Dvd Calendar'!$G$984=TYPE3)*(TYPE3&lt;&gt;"")+('Dvd Calendar'!$G$984=TYPE4)*(TYPE4&lt;&gt;"")+('Dvd Calendar'!$G$984=SPECIAL_LBL)*(INC_SPECIALS="Y"))=0,"",'Dvd Calendar'!$G$982)))</f>
        <v/>
      </c>
      <c r="F100" s="161">
        <f>IF(EH100="","",IF(ISNUMBER('Dvd Calendar'!$H$982)=FALSE,"",IF((('Dvd Calendar'!$H$984=TYPE1)*(TYPE1&lt;&gt;"")+('Dvd Calendar'!$H$984=TYPE2)*(TYPE2&lt;&gt;"")+('Dvd Calendar'!$H$984=TYPE3)*(TYPE3&lt;&gt;"")+('Dvd Calendar'!$H$984=TYPE4)*(TYPE4&lt;&gt;"")+('Dvd Calendar'!$H$984=SPECIAL_LBL)*(INC_SPECIALS="Y"))=0,"",'Dvd Calendar'!$H$982)))</f>
        <v/>
      </c>
      <c r="G100" s="161">
        <f>IF(EI100="","",IF(ISNUMBER('Dvd Calendar'!$I$982)=FALSE,"",IF((('Dvd Calendar'!$I$984=TYPE1)*(TYPE1&lt;&gt;"")+('Dvd Calendar'!$I$984=TYPE2)*(TYPE2&lt;&gt;"")+('Dvd Calendar'!$I$984=TYPE3)*(TYPE3&lt;&gt;"")+('Dvd Calendar'!$I$984=TYPE4)*(TYPE4&lt;&gt;"")+('Dvd Calendar'!$I$984=SPECIAL_LBL)*(INC_SPECIALS="Y"))=0,"",'Dvd Calendar'!$I$982)))</f>
        <v/>
      </c>
      <c r="H100" s="161">
        <f>IF(EJ100="","",IF(ISNUMBER('Dvd Calendar'!$J$982)=FALSE,"",IF((('Dvd Calendar'!$J$984=TYPE1)*(TYPE1&lt;&gt;"")+('Dvd Calendar'!$J$984=TYPE2)*(TYPE2&lt;&gt;"")+('Dvd Calendar'!$J$984=TYPE3)*(TYPE3&lt;&gt;"")+('Dvd Calendar'!$J$984=TYPE4)*(TYPE4&lt;&gt;"")+('Dvd Calendar'!$J$984=SPECIAL_LBL)*(INC_SPECIALS="Y"))=0,"",'Dvd Calendar'!$J$982)))</f>
        <v/>
      </c>
      <c r="I100" s="161">
        <f>IF(EK100="","",IF(ISNUMBER('Dvd Calendar'!$K$982)=FALSE,"",IF((('Dvd Calendar'!$K$984=TYPE1)*(TYPE1&lt;&gt;"")+('Dvd Calendar'!$K$984=TYPE2)*(TYPE2&lt;&gt;"")+('Dvd Calendar'!$K$984=TYPE3)*(TYPE3&lt;&gt;"")+('Dvd Calendar'!$K$984=TYPE4)*(TYPE4&lt;&gt;"")+('Dvd Calendar'!$K$984=SPECIAL_LBL)*(INC_SPECIALS="Y"))=0,"",'Dvd Calendar'!$K$982)))</f>
        <v/>
      </c>
      <c r="J100" s="161">
        <f>IF(EL100="","",IF(ISNUMBER('Dvd Calendar'!$L$982)=FALSE,"",IF((('Dvd Calendar'!$L$984=TYPE1)*(TYPE1&lt;&gt;"")+('Dvd Calendar'!$L$984=TYPE2)*(TYPE2&lt;&gt;"")+('Dvd Calendar'!$L$984=TYPE3)*(TYPE3&lt;&gt;"")+('Dvd Calendar'!$L$984=TYPE4)*(TYPE4&lt;&gt;"")+('Dvd Calendar'!$L$984=SPECIAL_LBL)*(INC_SPECIALS="Y"))=0,"",'Dvd Calendar'!$L$982)))</f>
        <v/>
      </c>
      <c r="K100" s="161">
        <f>IF(EM100="","",IF(ISNUMBER('Dvd Calendar'!$M$982)=FALSE,"",IF((('Dvd Calendar'!$M$984=TYPE1)*(TYPE1&lt;&gt;"")+('Dvd Calendar'!$M$984=TYPE2)*(TYPE2&lt;&gt;"")+('Dvd Calendar'!$M$984=TYPE3)*(TYPE3&lt;&gt;"")+('Dvd Calendar'!$M$984=TYPE4)*(TYPE4&lt;&gt;"")+('Dvd Calendar'!$M$984=SPECIAL_LBL)*(INC_SPECIALS="Y"))=0,"",'Dvd Calendar'!$M$982)))</f>
        <v/>
      </c>
      <c r="L100" s="161">
        <f>IF(EN100="","",IF(ISNUMBER('Dvd Calendar'!$N$982)=FALSE,"",IF((('Dvd Calendar'!$N$984=TYPE1)*(TYPE1&lt;&gt;"")+('Dvd Calendar'!$N$984=TYPE2)*(TYPE2&lt;&gt;"")+('Dvd Calendar'!$N$984=TYPE3)*(TYPE3&lt;&gt;"")+('Dvd Calendar'!$N$984=TYPE4)*(TYPE4&lt;&gt;"")+('Dvd Calendar'!$N$984=SPECIAL_LBL)*(INC_SPECIALS="Y"))=0,"",'Dvd Calendar'!$N$982)))</f>
        <v/>
      </c>
      <c r="M100" s="161">
        <f>IF(EO100="","",IF(ISNUMBER('Dvd Calendar'!$O$982)=FALSE,"",IF((('Dvd Calendar'!$O$984=TYPE1)*(TYPE1&lt;&gt;"")+('Dvd Calendar'!$O$984=TYPE2)*(TYPE2&lt;&gt;"")+('Dvd Calendar'!$O$984=TYPE3)*(TYPE3&lt;&gt;"")+('Dvd Calendar'!$O$984=TYPE4)*(TYPE4&lt;&gt;"")+('Dvd Calendar'!$O$984=SPECIAL_LBL)*(INC_SPECIALS="Y"))=0,"",'Dvd Calendar'!$O$982)))</f>
        <v/>
      </c>
      <c r="N100" s="161">
        <f>IF(EP100="","",IF(ISNUMBER('Dvd Calendar'!$P$982)=FALSE,"",IF((('Dvd Calendar'!$P$984=TYPE1)*(TYPE1&lt;&gt;"")+('Dvd Calendar'!$P$984=TYPE2)*(TYPE2&lt;&gt;"")+('Dvd Calendar'!$P$984=TYPE3)*(TYPE3&lt;&gt;"")+('Dvd Calendar'!$P$984=TYPE4)*(TYPE4&lt;&gt;"")+('Dvd Calendar'!$P$984=SPECIAL_LBL)*(INC_SPECIALS="Y"))=0,"",'Dvd Calendar'!$P$982)))</f>
        <v/>
      </c>
      <c r="O100" s="161">
        <f>IF(EQ100="","",IF(ISNUMBER('Dvd Calendar'!$Q$982)=FALSE,"",IF((('Dvd Calendar'!$Q$984=TYPE1)*(TYPE1&lt;&gt;"")+('Dvd Calendar'!$Q$984=TYPE2)*(TYPE2&lt;&gt;"")+('Dvd Calendar'!$Q$984=TYPE3)*(TYPE3&lt;&gt;"")+('Dvd Calendar'!$Q$984=TYPE4)*(TYPE4&lt;&gt;"")+('Dvd Calendar'!$Q$984=SPECIAL_LBL)*(INC_SPECIALS="Y"))=0,"",'Dvd Calendar'!$Q$982)))</f>
        <v/>
      </c>
      <c r="P100" s="161">
        <f>IF(ER100="","",IF(ISNUMBER('Dvd Calendar'!$R$982)=FALSE,"",IF((('Dvd Calendar'!$R$984=TYPE1)*(TYPE1&lt;&gt;"")+('Dvd Calendar'!$R$984=TYPE2)*(TYPE2&lt;&gt;"")+('Dvd Calendar'!$R$984=TYPE3)*(TYPE3&lt;&gt;"")+('Dvd Calendar'!$R$984=TYPE4)*(TYPE4&lt;&gt;"")+('Dvd Calendar'!$R$984=SPECIAL_LBL)*(INC_SPECIALS="Y"))=0,"",'Dvd Calendar'!$R$982)))</f>
        <v/>
      </c>
      <c r="Q100" s="161">
        <f>IF(ES100="","",IF(ISNUMBER('Dvd Calendar'!$S$982)=FALSE,"",IF((('Dvd Calendar'!$S$984=TYPE1)*(TYPE1&lt;&gt;"")+('Dvd Calendar'!$S$984=TYPE2)*(TYPE2&lt;&gt;"")+('Dvd Calendar'!$S$984=TYPE3)*(TYPE3&lt;&gt;"")+('Dvd Calendar'!$S$984=TYPE4)*(TYPE4&lt;&gt;"")+('Dvd Calendar'!$S$984=SPECIAL_LBL)*(INC_SPECIALS="Y"))=0,"",'Dvd Calendar'!$S$982)))</f>
        <v/>
      </c>
      <c r="R100" s="161">
        <f>IF(ET100="","",IF(ISNUMBER('Dvd Calendar'!$T$982)=FALSE,"",IF((('Dvd Calendar'!$T$984=TYPE1)*(TYPE1&lt;&gt;"")+('Dvd Calendar'!$T$984=TYPE2)*(TYPE2&lt;&gt;"")+('Dvd Calendar'!$T$984=TYPE3)*(TYPE3&lt;&gt;"")+('Dvd Calendar'!$T$984=TYPE4)*(TYPE4&lt;&gt;"")+('Dvd Calendar'!$T$984=SPECIAL_LBL)*(INC_SPECIALS="Y"))=0,"",'Dvd Calendar'!$T$982)))</f>
        <v/>
      </c>
      <c r="S100" s="161">
        <f>IF(EU100="","",IF(ISNUMBER('Dvd Calendar'!$U$982)=FALSE,"",IF((('Dvd Calendar'!$U$984=TYPE1)*(TYPE1&lt;&gt;"")+('Dvd Calendar'!$U$984=TYPE2)*(TYPE2&lt;&gt;"")+('Dvd Calendar'!$U$984=TYPE3)*(TYPE3&lt;&gt;"")+('Dvd Calendar'!$U$984=TYPE4)*(TYPE4&lt;&gt;"")+('Dvd Calendar'!$U$984=SPECIAL_LBL)*(INC_SPECIALS="Y"))=0,"",'Dvd Calendar'!$U$982)))</f>
        <v/>
      </c>
      <c r="T100" s="161">
        <f>IF(EV100="","",IF(ISNUMBER('Dvd Calendar'!$V$982)=FALSE,"",IF((('Dvd Calendar'!$V$984=TYPE1)*(TYPE1&lt;&gt;"")+('Dvd Calendar'!$V$984=TYPE2)*(TYPE2&lt;&gt;"")+('Dvd Calendar'!$V$984=TYPE3)*(TYPE3&lt;&gt;"")+('Dvd Calendar'!$V$984=TYPE4)*(TYPE4&lt;&gt;"")+('Dvd Calendar'!$V$984=SPECIAL_LBL)*(INC_SPECIALS="Y"))=0,"",'Dvd Calendar'!$V$982)))</f>
        <v/>
      </c>
      <c r="U100" s="161">
        <f>IF(EW100="","",IF(ISNUMBER('Dvd Calendar'!$W$982)=FALSE,"",IF((('Dvd Calendar'!$W$984=TYPE1)*(TYPE1&lt;&gt;"")+('Dvd Calendar'!$W$984=TYPE2)*(TYPE2&lt;&gt;"")+('Dvd Calendar'!$W$984=TYPE3)*(TYPE3&lt;&gt;"")+('Dvd Calendar'!$W$984=TYPE4)*(TYPE4&lt;&gt;"")+('Dvd Calendar'!$W$984=SPECIAL_LBL)*(INC_SPECIALS="Y"))=0,"",'Dvd Calendar'!$W$982)))</f>
        <v/>
      </c>
      <c r="V100" s="161">
        <f>IF(EX100="","",IF(ISNUMBER('Dvd Calendar'!$X$982)=FALSE,"",IF((('Dvd Calendar'!$X$984=TYPE1)*(TYPE1&lt;&gt;"")+('Dvd Calendar'!$X$984=TYPE2)*(TYPE2&lt;&gt;"")+('Dvd Calendar'!$X$984=TYPE3)*(TYPE3&lt;&gt;"")+('Dvd Calendar'!$X$984=TYPE4)*(TYPE4&lt;&gt;"")+('Dvd Calendar'!$X$984=SPECIAL_LBL)*(INC_SPECIALS="Y"))=0,"",'Dvd Calendar'!$X$982)))</f>
        <v/>
      </c>
      <c r="W100" s="161">
        <f>IF(EY100="","",IF(ISNUMBER('Dvd Calendar'!$Y$982)=FALSE,"",IF((('Dvd Calendar'!$Y$984=TYPE1)*(TYPE1&lt;&gt;"")+('Dvd Calendar'!$Y$984=TYPE2)*(TYPE2&lt;&gt;"")+('Dvd Calendar'!$Y$984=TYPE3)*(TYPE3&lt;&gt;"")+('Dvd Calendar'!$Y$984=TYPE4)*(TYPE4&lt;&gt;"")+('Dvd Calendar'!$Y$984=SPECIAL_LBL)*(INC_SPECIALS="Y"))=0,"",'Dvd Calendar'!$Y$982)))</f>
        <v/>
      </c>
      <c r="X100" s="161">
        <f>IF(EZ100="","",IF(ISNUMBER('Dvd Calendar'!$Z$982)=FALSE,"",IF((('Dvd Calendar'!$Z$984=TYPE1)*(TYPE1&lt;&gt;"")+('Dvd Calendar'!$Z$984=TYPE2)*(TYPE2&lt;&gt;"")+('Dvd Calendar'!$Z$984=TYPE3)*(TYPE3&lt;&gt;"")+('Dvd Calendar'!$Z$984=TYPE4)*(TYPE4&lt;&gt;"")+('Dvd Calendar'!$Z$984=SPECIAL_LBL)*(INC_SPECIALS="Y"))=0,"",'Dvd Calendar'!$Z$982)))</f>
        <v/>
      </c>
      <c r="Y100" s="161">
        <f>IF(FA100="","",IF(ISNUMBER('Dvd Calendar'!$AA$982)=FALSE,"",IF((('Dvd Calendar'!$AA$984=TYPE1)*(TYPE1&lt;&gt;"")+('Dvd Calendar'!$AA$984=TYPE2)*(TYPE2&lt;&gt;"")+('Dvd Calendar'!$AA$984=TYPE3)*(TYPE3&lt;&gt;"")+('Dvd Calendar'!$AA$984=TYPE4)*(TYPE4&lt;&gt;"")+('Dvd Calendar'!$AA$984=SPECIAL_LBL)*(INC_SPECIALS="Y"))=0,"",'Dvd Calendar'!$AA$982)))</f>
        <v/>
      </c>
      <c r="Z100" s="161">
        <f>IF(FB100="","",IF(ISNUMBER('Dvd Calendar'!$AB$982)=FALSE,"",IF((('Dvd Calendar'!$AB$984=TYPE1)*(TYPE1&lt;&gt;"")+('Dvd Calendar'!$AB$984=TYPE2)*(TYPE2&lt;&gt;"")+('Dvd Calendar'!$AB$984=TYPE3)*(TYPE3&lt;&gt;"")+('Dvd Calendar'!$AB$984=TYPE4)*(TYPE4&lt;&gt;"")+('Dvd Calendar'!$AB$984=SPECIAL_LBL)*(INC_SPECIALS="Y"))=0,"",'Dvd Calendar'!$AB$982)))</f>
        <v/>
      </c>
      <c r="AA100" s="161">
        <f>IF(FC100="","",IF(ISNUMBER('Dvd Calendar'!$AC$982)=FALSE,"",IF((('Dvd Calendar'!$AC$984=TYPE1)*(TYPE1&lt;&gt;"")+('Dvd Calendar'!$AC$984=TYPE2)*(TYPE2&lt;&gt;"")+('Dvd Calendar'!$AC$984=TYPE3)*(TYPE3&lt;&gt;"")+('Dvd Calendar'!$AC$984=TYPE4)*(TYPE4&lt;&gt;"")+('Dvd Calendar'!$AC$984=SPECIAL_LBL)*(INC_SPECIALS="Y"))=0,"",'Dvd Calendar'!$AC$982)))</f>
        <v/>
      </c>
      <c r="AB100" s="161">
        <f>IF(FD100="","",IF(ISNUMBER('Dvd Calendar'!$AD$982)=FALSE,"",IF((('Dvd Calendar'!$AD$984=TYPE1)*(TYPE1&lt;&gt;"")+('Dvd Calendar'!$AD$984=TYPE2)*(TYPE2&lt;&gt;"")+('Dvd Calendar'!$AD$984=TYPE3)*(TYPE3&lt;&gt;"")+('Dvd Calendar'!$AD$984=TYPE4)*(TYPE4&lt;&gt;"")+('Dvd Calendar'!$AD$984=SPECIAL_LBL)*(INC_SPECIALS="Y"))=0,"",'Dvd Calendar'!$AD$982)))</f>
        <v/>
      </c>
      <c r="AC100" s="161">
        <f>IF(FE100="","",IF(ISNUMBER('Dvd Calendar'!$AE$982)=FALSE,"",IF((('Dvd Calendar'!$AE$984=TYPE1)*(TYPE1&lt;&gt;"")+('Dvd Calendar'!$AE$984=TYPE2)*(TYPE2&lt;&gt;"")+('Dvd Calendar'!$AE$984=TYPE3)*(TYPE3&lt;&gt;"")+('Dvd Calendar'!$AE$984=TYPE4)*(TYPE4&lt;&gt;"")+('Dvd Calendar'!$AE$984=SPECIAL_LBL)*(INC_SPECIALS="Y"))=0,"",'Dvd Calendar'!$AE$982)))</f>
        <v/>
      </c>
      <c r="AD100" s="161">
        <f>IF(FF100="","",IF(ISNUMBER('Dvd Calendar'!$AF$982)=FALSE,"",IF((('Dvd Calendar'!$AF$984=TYPE1)*(TYPE1&lt;&gt;"")+('Dvd Calendar'!$AF$984=TYPE2)*(TYPE2&lt;&gt;"")+('Dvd Calendar'!$AF$984=TYPE3)*(TYPE3&lt;&gt;"")+('Dvd Calendar'!$AF$984=TYPE4)*(TYPE4&lt;&gt;"")+('Dvd Calendar'!$AF$984=SPECIAL_LBL)*(INC_SPECIALS="Y"))=0,"",'Dvd Calendar'!$AF$982)))</f>
        <v/>
      </c>
      <c r="AE100" s="161">
        <f>IF(FG100="","",IF(ISNUMBER('Dvd Calendar'!$AG$982)=FALSE,"",IF((('Dvd Calendar'!$AG$984=TYPE1)*(TYPE1&lt;&gt;"")+('Dvd Calendar'!$AG$984=TYPE2)*(TYPE2&lt;&gt;"")+('Dvd Calendar'!$AG$984=TYPE3)*(TYPE3&lt;&gt;"")+('Dvd Calendar'!$AG$984=TYPE4)*(TYPE4&lt;&gt;"")+('Dvd Calendar'!$AG$984=SPECIAL_LBL)*(INC_SPECIALS="Y"))=0,"",'Dvd Calendar'!$AG$982)))</f>
        <v/>
      </c>
      <c r="AF100" s="161">
        <f>IF(FH100="","",IF(ISNUMBER('Dvd Calendar'!$AH$982)=FALSE,"",IF((('Dvd Calendar'!$AH$984=TYPE1)*(TYPE1&lt;&gt;"")+('Dvd Calendar'!$AH$984=TYPE2)*(TYPE2&lt;&gt;"")+('Dvd Calendar'!$AH$984=TYPE3)*(TYPE3&lt;&gt;"")+('Dvd Calendar'!$AH$984=TYPE4)*(TYPE4&lt;&gt;"")+('Dvd Calendar'!$AH$984=SPECIAL_LBL)*(INC_SPECIALS="Y"))=0,"",'Dvd Calendar'!$AH$982)))</f>
        <v/>
      </c>
      <c r="AG100" s="161">
        <f>IF(FI100="","",IF(ISNUMBER('Dvd Calendar'!$AI$982)=FALSE,"",IF((('Dvd Calendar'!$AI$984=TYPE1)*(TYPE1&lt;&gt;"")+('Dvd Calendar'!$AI$984=TYPE2)*(TYPE2&lt;&gt;"")+('Dvd Calendar'!$AI$984=TYPE3)*(TYPE3&lt;&gt;"")+('Dvd Calendar'!$AI$984=TYPE4)*(TYPE4&lt;&gt;"")+('Dvd Calendar'!$AI$984=SPECIAL_LBL)*(INC_SPECIALS="Y"))=0,"",'Dvd Calendar'!$AI$982)))</f>
        <v/>
      </c>
      <c r="AH100" s="161">
        <f>IF(FJ100="","",IF(ISNUMBER('Dvd Calendar'!$AJ$982)=FALSE,"",IF((('Dvd Calendar'!$AJ$984=TYPE1)*(TYPE1&lt;&gt;"")+('Dvd Calendar'!$AJ$984=TYPE2)*(TYPE2&lt;&gt;"")+('Dvd Calendar'!$AJ$984=TYPE3)*(TYPE3&lt;&gt;"")+('Dvd Calendar'!$AJ$984=TYPE4)*(TYPE4&lt;&gt;"")+('Dvd Calendar'!$AJ$984=SPECIAL_LBL)*(INC_SPECIALS="Y"))=0,"",'Dvd Calendar'!$AJ$982)))</f>
        <v/>
      </c>
      <c r="AI100" s="161">
        <f>IF(FK100="","",IF(ISNUMBER('Dvd Calendar'!$AK$982)=FALSE,"",IF((('Dvd Calendar'!$AK$984=TYPE1)*(TYPE1&lt;&gt;"")+('Dvd Calendar'!$AK$984=TYPE2)*(TYPE2&lt;&gt;"")+('Dvd Calendar'!$AK$984=TYPE3)*(TYPE3&lt;&gt;"")+('Dvd Calendar'!$AK$984=TYPE4)*(TYPE4&lt;&gt;"")+('Dvd Calendar'!$AK$984=SPECIAL_LBL)*(INC_SPECIALS="Y"))=0,"",'Dvd Calendar'!$AK$982)))</f>
        <v/>
      </c>
      <c r="AJ100" s="161">
        <f>IF(FL100="","",IF(ISNUMBER('Dvd Calendar'!$AL$982)=FALSE,"",IF((('Dvd Calendar'!$AL$984=TYPE1)*(TYPE1&lt;&gt;"")+('Dvd Calendar'!$AL$984=TYPE2)*(TYPE2&lt;&gt;"")+('Dvd Calendar'!$AL$984=TYPE3)*(TYPE3&lt;&gt;"")+('Dvd Calendar'!$AL$984=TYPE4)*(TYPE4&lt;&gt;"")+('Dvd Calendar'!$AL$984=SPECIAL_LBL)*(INC_SPECIALS="Y"))=0,"",'Dvd Calendar'!$AL$982)))</f>
        <v/>
      </c>
      <c r="AK100" s="161">
        <f>IF(FM100="","",IF(ISNUMBER('Dvd Calendar'!$AM$982)=FALSE,"",IF((('Dvd Calendar'!$AM$984=TYPE1)*(TYPE1&lt;&gt;"")+('Dvd Calendar'!$AM$984=TYPE2)*(TYPE2&lt;&gt;"")+('Dvd Calendar'!$AM$984=TYPE3)*(TYPE3&lt;&gt;"")+('Dvd Calendar'!$AM$984=TYPE4)*(TYPE4&lt;&gt;"")+('Dvd Calendar'!$AM$984=SPECIAL_LBL)*(INC_SPECIALS="Y"))=0,"",'Dvd Calendar'!$AM$982)))</f>
        <v/>
      </c>
      <c r="AL100" s="161">
        <f>IF(FN100="","",IF(ISNUMBER('Dvd Calendar'!$AN$982)=FALSE,"",IF((('Dvd Calendar'!$AN$984=TYPE1)*(TYPE1&lt;&gt;"")+('Dvd Calendar'!$AN$984=TYPE2)*(TYPE2&lt;&gt;"")+('Dvd Calendar'!$AN$984=TYPE3)*(TYPE3&lt;&gt;"")+('Dvd Calendar'!$AN$984=TYPE4)*(TYPE4&lt;&gt;"")+('Dvd Calendar'!$AN$984=SPECIAL_LBL)*(INC_SPECIALS="Y"))=0,"",'Dvd Calendar'!$AN$982)))</f>
        <v/>
      </c>
      <c r="AM100" s="161">
        <f>IF(FO100="","",IF(ISNUMBER('Dvd Calendar'!$AO$982)=FALSE,"",IF((('Dvd Calendar'!$AO$984=TYPE1)*(TYPE1&lt;&gt;"")+('Dvd Calendar'!$AO$984=TYPE2)*(TYPE2&lt;&gt;"")+('Dvd Calendar'!$AO$984=TYPE3)*(TYPE3&lt;&gt;"")+('Dvd Calendar'!$AO$984=TYPE4)*(TYPE4&lt;&gt;"")+('Dvd Calendar'!$AO$984=SPECIAL_LBL)*(INC_SPECIALS="Y"))=0,"",'Dvd Calendar'!$AO$982)))</f>
        <v/>
      </c>
      <c r="AN100" s="161">
        <f>IF(FP100="","",IF(ISNUMBER('Dvd Calendar'!$AP$982)=FALSE,"",IF((('Dvd Calendar'!$AP$984=TYPE1)*(TYPE1&lt;&gt;"")+('Dvd Calendar'!$AP$984=TYPE2)*(TYPE2&lt;&gt;"")+('Dvd Calendar'!$AP$984=TYPE3)*(TYPE3&lt;&gt;"")+('Dvd Calendar'!$AP$984=TYPE4)*(TYPE4&lt;&gt;"")+('Dvd Calendar'!$AP$984=SPECIAL_LBL)*(INC_SPECIALS="Y"))=0,"",'Dvd Calendar'!$AP$982)))</f>
        <v/>
      </c>
      <c r="AO100" s="161">
        <f>IF(FQ100="","",IF(ISNUMBER('Dvd Calendar'!$AQ$982)=FALSE,"",IF((('Dvd Calendar'!$AQ$984=TYPE1)*(TYPE1&lt;&gt;"")+('Dvd Calendar'!$AQ$984=TYPE2)*(TYPE2&lt;&gt;"")+('Dvd Calendar'!$AQ$984=TYPE3)*(TYPE3&lt;&gt;"")+('Dvd Calendar'!$AQ$984=TYPE4)*(TYPE4&lt;&gt;"")+('Dvd Calendar'!$AQ$984=SPECIAL_LBL)*(INC_SPECIALS="Y"))=0,"",'Dvd Calendar'!$AQ$982)))</f>
        <v/>
      </c>
      <c r="AP100" s="161">
        <f>IF(FR100="","",IF(ISNUMBER('Dvd Calendar'!$AR$982)=FALSE,"",IF((('Dvd Calendar'!$AR$984=TYPE1)*(TYPE1&lt;&gt;"")+('Dvd Calendar'!$AR$984=TYPE2)*(TYPE2&lt;&gt;"")+('Dvd Calendar'!$AR$984=TYPE3)*(TYPE3&lt;&gt;"")+('Dvd Calendar'!$AR$984=TYPE4)*(TYPE4&lt;&gt;"")+('Dvd Calendar'!$AR$984=SPECIAL_LBL)*(INC_SPECIALS="Y"))=0,"",'Dvd Calendar'!$AR$982)))</f>
        <v/>
      </c>
      <c r="AQ100" s="161">
        <f>IF(FS100="","",IF(ISNUMBER('Dvd Calendar'!$E$987)=FALSE,"",'Dvd Calendar'!$E$987))</f>
        <v/>
      </c>
      <c r="AR100" s="161">
        <f>IF(FT100="","",IF(ISNUMBER('Dvd Calendar'!$F$987)=FALSE,"",'Dvd Calendar'!$F$987))</f>
        <v/>
      </c>
      <c r="AS100" s="161">
        <f>IF(FU100="","",IF(ISNUMBER('Dvd Calendar'!$G$987)=FALSE,"",'Dvd Calendar'!$G$987))</f>
        <v/>
      </c>
      <c r="AT100" s="161">
        <f>IF(FV100="","",IF(ISNUMBER('Dvd Calendar'!$H$987)=FALSE,"",'Dvd Calendar'!$H$987))</f>
        <v/>
      </c>
      <c r="AU100" s="161">
        <f>IF(FW100="","",IF(ISNUMBER('Dvd Calendar'!$I$987)=FALSE,"",'Dvd Calendar'!$I$987))</f>
        <v/>
      </c>
      <c r="AV100" s="161">
        <f>IF(FX100="","",IF(ISNUMBER('Dvd Calendar'!$J$987)=FALSE,"",'Dvd Calendar'!$J$987))</f>
        <v/>
      </c>
      <c r="AW100" s="161">
        <f>IF(FY100="","",IF(ISNUMBER('Dvd Calendar'!$K$987)=FALSE,"",'Dvd Calendar'!$K$987))</f>
        <v/>
      </c>
      <c r="AX100" s="161">
        <f>IF(FZ100="","",IF(ISNUMBER('Dvd Calendar'!$L$987)=FALSE,"",'Dvd Calendar'!$L$987))</f>
        <v/>
      </c>
      <c r="AY100" s="161">
        <f>IF(GA100="","",IF(ISNUMBER('Dvd Calendar'!$M$987)=FALSE,"",'Dvd Calendar'!$M$987))</f>
        <v/>
      </c>
      <c r="AZ100" s="161">
        <f>IF(GB100="","",IF(ISNUMBER('Dvd Calendar'!$N$987)=FALSE,"",'Dvd Calendar'!$N$987))</f>
        <v/>
      </c>
      <c r="BA100" s="161">
        <f>IF(GC100="","",IF(ISNUMBER('Dvd Calendar'!$O$987)=FALSE,"",'Dvd Calendar'!$O$987))</f>
        <v/>
      </c>
      <c r="BB100" s="161">
        <f>IF(GD100="","",IF(ISNUMBER('Dvd Calendar'!$P$987)=FALSE,"",'Dvd Calendar'!$P$987))</f>
        <v/>
      </c>
      <c r="BC100" s="161">
        <f>IF(GE100="","",IF(ISNUMBER('Dvd Calendar'!$Q$987)=FALSE,"",'Dvd Calendar'!$Q$987))</f>
        <v/>
      </c>
      <c r="BD100" s="161">
        <f>IF(GF100="","",IF(ISNUMBER('Dvd Calendar'!$R$987)=FALSE,"",'Dvd Calendar'!$R$987))</f>
        <v/>
      </c>
      <c r="BE100" s="161">
        <f>IF(GG100="","",IF(ISNUMBER('Dvd Calendar'!$S$987)=FALSE,"",'Dvd Calendar'!$S$987))</f>
        <v/>
      </c>
      <c r="BF100" s="161">
        <f>IF(GH100="","",IF(ISNUMBER('Dvd Calendar'!$T$987)=FALSE,"",'Dvd Calendar'!$T$987))</f>
        <v/>
      </c>
      <c r="BG100" s="161">
        <f>IF(GI100="","",IF(ISNUMBER('Dvd Calendar'!$U$987)=FALSE,"",'Dvd Calendar'!$U$987))</f>
        <v/>
      </c>
      <c r="BH100" s="161">
        <f>IF(GJ100="","",IF(ISNUMBER('Dvd Calendar'!$V$987)=FALSE,"",'Dvd Calendar'!$V$987))</f>
        <v/>
      </c>
      <c r="BI100" s="161">
        <f>IF(GK100="","",IF(ISNUMBER('Dvd Calendar'!$W$987)=FALSE,"",'Dvd Calendar'!$W$987))</f>
        <v/>
      </c>
      <c r="BJ100" s="161">
        <f>IF(GL100="","",IF(ISNUMBER('Dvd Calendar'!$X$987)=FALSE,"",'Dvd Calendar'!$X$987))</f>
        <v/>
      </c>
      <c r="BK100" s="161">
        <f>IF(GM100="","",IF(ISNUMBER('Dvd Calendar'!$Y$987)=FALSE,"",'Dvd Calendar'!$Y$987))</f>
        <v/>
      </c>
      <c r="BL100" s="161">
        <f>IF(GN100="","",IF(ISNUMBER('Dvd Calendar'!$Z$987)=FALSE,"",'Dvd Calendar'!$Z$987))</f>
        <v/>
      </c>
      <c r="BM100" s="161">
        <f>IF(GO100="","",IF(ISNUMBER('Dvd Calendar'!$AA$987)=FALSE,"",'Dvd Calendar'!$AA$987))</f>
        <v/>
      </c>
      <c r="BN100" s="161">
        <f>IF(GP100="","",IF(ISNUMBER('Dvd Calendar'!$AB$987)=FALSE,"",'Dvd Calendar'!$AB$987))</f>
        <v/>
      </c>
      <c r="BO100" s="161">
        <f>IF(GQ100="","",IF(ISNUMBER('Dvd Calendar'!$AC$987)=FALSE,"",'Dvd Calendar'!$AC$987))</f>
        <v/>
      </c>
      <c r="BQ100" s="161">
        <f>IF(C100="","",IFERROR(C100*HSI!$B$95*HSI!$G$95/HSI!$B$3,""))</f>
        <v/>
      </c>
      <c r="BR100" s="161">
        <f>IF(D100="","",IFERROR(D100*HSI!$B$95*HSI!$G$95/HSI!$B$3,""))</f>
        <v/>
      </c>
      <c r="BS100" s="161">
        <f>IF(E100="","",IFERROR(E100*HSI!$B$95*HSI!$G$95/HSI!$B$3,""))</f>
        <v/>
      </c>
      <c r="BT100" s="161">
        <f>IF(F100="","",IFERROR(F100*HSI!$B$95*HSI!$G$95/HSI!$B$3,""))</f>
        <v/>
      </c>
      <c r="BU100" s="161">
        <f>IF(G100="","",IFERROR(G100*HSI!$B$95*HSI!$G$95/HSI!$B$3,""))</f>
        <v/>
      </c>
      <c r="BV100" s="161">
        <f>IF(H100="","",IFERROR(H100*HSI!$B$95*HSI!$G$95/HSI!$B$3,""))</f>
        <v/>
      </c>
      <c r="BW100" s="161">
        <f>IF(I100="","",IFERROR(I100*HSI!$B$95*HSI!$G$95/HSI!$B$3,""))</f>
        <v/>
      </c>
      <c r="BX100" s="161">
        <f>IF(J100="","",IFERROR(J100*HSI!$B$95*HSI!$G$95/HSI!$B$3,""))</f>
        <v/>
      </c>
      <c r="BY100" s="161">
        <f>IF(K100="","",IFERROR(K100*HSI!$B$95*HSI!$G$95/HSI!$B$3,""))</f>
        <v/>
      </c>
      <c r="BZ100" s="161">
        <f>IF(L100="","",IFERROR(L100*HSI!$B$95*HSI!$G$95/HSI!$B$3,""))</f>
        <v/>
      </c>
      <c r="CA100" s="161">
        <f>IF(M100="","",IFERROR(M100*HSI!$B$95*HSI!$G$95/HSI!$B$3,""))</f>
        <v/>
      </c>
      <c r="CB100" s="161">
        <f>IF(N100="","",IFERROR(N100*HSI!$B$95*HSI!$G$95/HSI!$B$3,""))</f>
        <v/>
      </c>
      <c r="CC100" s="161">
        <f>IF(O100="","",IFERROR(O100*HSI!$B$95*HSI!$G$95/HSI!$B$3,""))</f>
        <v/>
      </c>
      <c r="CD100" s="161">
        <f>IF(P100="","",IFERROR(P100*HSI!$B$95*HSI!$G$95/HSI!$B$3,""))</f>
        <v/>
      </c>
      <c r="CE100" s="161">
        <f>IF(Q100="","",IFERROR(Q100*HSI!$B$95*HSI!$G$95/HSI!$B$3,""))</f>
        <v/>
      </c>
      <c r="CF100" s="161">
        <f>IF(R100="","",IFERROR(R100*HSI!$B$95*HSI!$G$95/HSI!$B$3,""))</f>
        <v/>
      </c>
      <c r="CG100" s="161">
        <f>IF(S100="","",IFERROR(S100*HSI!$B$95*HSI!$G$95/HSI!$B$3,""))</f>
        <v/>
      </c>
      <c r="CH100" s="161">
        <f>IF(T100="","",IFERROR(T100*HSI!$B$95*HSI!$G$95/HSI!$B$3,""))</f>
        <v/>
      </c>
      <c r="CI100" s="161">
        <f>IF(U100="","",IFERROR(U100*HSI!$B$95*HSI!$G$95/HSI!$B$3,""))</f>
        <v/>
      </c>
      <c r="CJ100" s="161">
        <f>IF(V100="","",IFERROR(V100*HSI!$B$95*HSI!$G$95/HSI!$B$3,""))</f>
        <v/>
      </c>
      <c r="CK100" s="161">
        <f>IF(W100="","",IFERROR(W100*HSI!$B$95*HSI!$G$95/HSI!$B$3,""))</f>
        <v/>
      </c>
      <c r="CL100" s="161">
        <f>IF(X100="","",IFERROR(X100*HSI!$B$95*HSI!$G$95/HSI!$B$3,""))</f>
        <v/>
      </c>
      <c r="CM100" s="161">
        <f>IF(Y100="","",IFERROR(Y100*HSI!$B$95*HSI!$G$95/HSI!$B$3,""))</f>
        <v/>
      </c>
      <c r="CN100" s="161">
        <f>IF(Z100="","",IFERROR(Z100*HSI!$B$95*HSI!$G$95/HSI!$B$3,""))</f>
        <v/>
      </c>
      <c r="CO100" s="161">
        <f>IF(AA100="","",IFERROR(AA100*HSI!$B$95*HSI!$G$95/HSI!$B$3,""))</f>
        <v/>
      </c>
      <c r="CP100" s="161">
        <f>IF(AB100="","",IFERROR(AB100*HSI!$B$95*HSI!$G$95/HSI!$B$3,""))</f>
        <v/>
      </c>
      <c r="CQ100" s="161">
        <f>IF(AC100="","",IFERROR(AC100*HSI!$B$95*HSI!$G$95/HSI!$B$3,""))</f>
        <v/>
      </c>
      <c r="CR100" s="161">
        <f>IF(AD100="","",IFERROR(AD100*HSI!$B$95*HSI!$G$95/HSI!$B$3,""))</f>
        <v/>
      </c>
      <c r="CS100" s="161">
        <f>IF(AE100="","",IFERROR(AE100*HSI!$B$95*HSI!$G$95/HSI!$B$3,""))</f>
        <v/>
      </c>
      <c r="CT100" s="161">
        <f>IF(AF100="","",IFERROR(AF100*HSI!$B$95*HSI!$G$95/HSI!$B$3,""))</f>
        <v/>
      </c>
      <c r="CU100" s="161">
        <f>IF(AG100="","",IFERROR(AG100*HSI!$B$95*HSI!$G$95/HSI!$B$3,""))</f>
        <v/>
      </c>
      <c r="CV100" s="161">
        <f>IF(AH100="","",IFERROR(AH100*HSI!$B$95*HSI!$G$95/HSI!$B$3,""))</f>
        <v/>
      </c>
      <c r="CW100" s="161">
        <f>IF(AI100="","",IFERROR(AI100*HSI!$B$95*HSI!$G$95/HSI!$B$3,""))</f>
        <v/>
      </c>
      <c r="CX100" s="161">
        <f>IF(AJ100="","",IFERROR(AJ100*HSI!$B$95*HSI!$G$95/HSI!$B$3,""))</f>
        <v/>
      </c>
      <c r="CY100" s="161">
        <f>IF(AK100="","",IFERROR(AK100*HSI!$B$95*HSI!$G$95/HSI!$B$3,""))</f>
        <v/>
      </c>
      <c r="CZ100" s="161">
        <f>IF(AL100="","",IFERROR(AL100*HSI!$B$95*HSI!$G$95/HSI!$B$3,""))</f>
        <v/>
      </c>
      <c r="DA100" s="161">
        <f>IF(AM100="","",IFERROR(AM100*HSI!$B$95*HSI!$G$95/HSI!$B$3,""))</f>
        <v/>
      </c>
      <c r="DB100" s="161">
        <f>IF(AN100="","",IFERROR(AN100*HSI!$B$95*HSI!$G$95/HSI!$B$3,""))</f>
        <v/>
      </c>
      <c r="DC100" s="161">
        <f>IF(AO100="","",IFERROR(AO100*HSI!$B$95*HSI!$G$95/HSI!$B$3,""))</f>
        <v/>
      </c>
      <c r="DD100" s="161">
        <f>IF(AP100="","",IFERROR(AP100*HSI!$B$95*HSI!$G$95/HSI!$B$3,""))</f>
        <v/>
      </c>
      <c r="DE100" s="161">
        <f>IF(AQ100="","",IFERROR(AQ100*HSI!$B$95*HSI!$G$95/HSI!$B$3,""))</f>
        <v/>
      </c>
      <c r="DF100" s="161">
        <f>IF(AR100="","",IFERROR(AR100*HSI!$B$95*HSI!$G$95/HSI!$B$3,""))</f>
        <v/>
      </c>
      <c r="DG100" s="161">
        <f>IF(AS100="","",IFERROR(AS100*HSI!$B$95*HSI!$G$95/HSI!$B$3,""))</f>
        <v/>
      </c>
      <c r="DH100" s="161">
        <f>IF(AT100="","",IFERROR(AT100*HSI!$B$95*HSI!$G$95/HSI!$B$3,""))</f>
        <v/>
      </c>
      <c r="DI100" s="161">
        <f>IF(AU100="","",IFERROR(AU100*HSI!$B$95*HSI!$G$95/HSI!$B$3,""))</f>
        <v/>
      </c>
      <c r="DJ100" s="161">
        <f>IF(AV100="","",IFERROR(AV100*HSI!$B$95*HSI!$G$95/HSI!$B$3,""))</f>
        <v/>
      </c>
      <c r="DK100" s="161">
        <f>IF(AW100="","",IFERROR(AW100*HSI!$B$95*HSI!$G$95/HSI!$B$3,""))</f>
        <v/>
      </c>
      <c r="DL100" s="161">
        <f>IF(AX100="","",IFERROR(AX100*HSI!$B$95*HSI!$G$95/HSI!$B$3,""))</f>
        <v/>
      </c>
      <c r="DM100" s="161">
        <f>IF(AY100="","",IFERROR(AY100*HSI!$B$95*HSI!$G$95/HSI!$B$3,""))</f>
        <v/>
      </c>
      <c r="DN100" s="161">
        <f>IF(AZ100="","",IFERROR(AZ100*HSI!$B$95*HSI!$G$95/HSI!$B$3,""))</f>
        <v/>
      </c>
      <c r="DO100" s="161">
        <f>IF(BA100="","",IFERROR(BA100*HSI!$B$95*HSI!$G$95/HSI!$B$3,""))</f>
        <v/>
      </c>
      <c r="DP100" s="161">
        <f>IF(BB100="","",IFERROR(BB100*HSI!$B$95*HSI!$G$95/HSI!$B$3,""))</f>
        <v/>
      </c>
      <c r="DQ100" s="161">
        <f>IF(BC100="","",IFERROR(BC100*HSI!$B$95*HSI!$G$95/HSI!$B$3,""))</f>
        <v/>
      </c>
      <c r="DR100" s="161">
        <f>IF(BD100="","",IFERROR(BD100*HSI!$B$95*HSI!$G$95/HSI!$B$3,""))</f>
        <v/>
      </c>
      <c r="DS100" s="161">
        <f>IF(BE100="","",IFERROR(BE100*HSI!$B$95*HSI!$G$95/HSI!$B$3,""))</f>
        <v/>
      </c>
      <c r="DT100" s="161">
        <f>IF(BF100="","",IFERROR(BF100*HSI!$B$95*HSI!$G$95/HSI!$B$3,""))</f>
        <v/>
      </c>
      <c r="DU100" s="161">
        <f>IF(BG100="","",IFERROR(BG100*HSI!$B$95*HSI!$G$95/HSI!$B$3,""))</f>
        <v/>
      </c>
      <c r="DV100" s="161">
        <f>IF(BH100="","",IFERROR(BH100*HSI!$B$95*HSI!$G$95/HSI!$B$3,""))</f>
        <v/>
      </c>
      <c r="DW100" s="161">
        <f>IF(BI100="","",IFERROR(BI100*HSI!$B$95*HSI!$G$95/HSI!$B$3,""))</f>
        <v/>
      </c>
      <c r="DX100" s="161">
        <f>IF(BJ100="","",IFERROR(BJ100*HSI!$B$95*HSI!$G$95/HSI!$B$3,""))</f>
        <v/>
      </c>
      <c r="DY100" s="161">
        <f>IF(BK100="","",IFERROR(BK100*HSI!$B$95*HSI!$G$95/HSI!$B$3,""))</f>
        <v/>
      </c>
      <c r="DZ100" s="161">
        <f>IF(BL100="","",IFERROR(BL100*HSI!$B$95*HSI!$G$95/HSI!$B$3,""))</f>
        <v/>
      </c>
      <c r="EA100" s="161">
        <f>IF(BM100="","",IFERROR(BM100*HSI!$B$95*HSI!$G$95/HSI!$B$3,""))</f>
        <v/>
      </c>
      <c r="EB100" s="161">
        <f>IF(BN100="","",IFERROR(BN100*HSI!$B$95*HSI!$G$95/HSI!$B$3,""))</f>
        <v/>
      </c>
      <c r="EC100" s="161">
        <f>IF(BO100="","",IFERROR(BO100*HSI!$B$95*HSI!$G$95/HSI!$B$3,""))</f>
        <v/>
      </c>
      <c r="EE100" s="121">
        <f>IF(N('Dvd Calendar'!$E$979)=0,"",IF(('Dvd Calendar'!$E$979&gt;=GRID_FROM)*('Dvd Calendar'!$E$979&lt;=GRID_TO)*((('Dvd Calendar'!$E$979&lt;=VAL_DATE)+(COUNTIF('Dvd Calendar'!$E$986:$AR$986,'Dvd Calendar'!$E$979)=0))&gt;0)=0,"",'Dvd Calendar'!$E$979*1000000000+ISNUMBER('Dvd Calendar'!$E$982)*100000000+('Dvd Calendar'!$E$984=SPECIAL_LBL)*10000000+(N('Dvd Calendar'!$E$978)&gt;0)*(N('Dvd Calendar'!$E$978)&lt;=VAL_SERIAL)*1000000+89*1000+1))</f>
        <v/>
      </c>
      <c r="EF100" s="121">
        <f>IF(N('Dvd Calendar'!$F$979)=0,"",IF(('Dvd Calendar'!$F$979&gt;=GRID_FROM)*('Dvd Calendar'!$F$979&lt;=GRID_TO)*((('Dvd Calendar'!$F$979&lt;=VAL_DATE)+(COUNTIF('Dvd Calendar'!$E$986:$AR$986,'Dvd Calendar'!$F$979)=0))&gt;0)=0,"",'Dvd Calendar'!$F$979*1000000000+ISNUMBER('Dvd Calendar'!$F$982)*100000000+('Dvd Calendar'!$F$984=SPECIAL_LBL)*10000000+(N('Dvd Calendar'!$F$978)&gt;0)*(N('Dvd Calendar'!$F$978)&lt;=VAL_SERIAL)*1000000+89*1000+2))</f>
        <v/>
      </c>
      <c r="EG100" s="121">
        <f>IF(N('Dvd Calendar'!$G$979)=0,"",IF(('Dvd Calendar'!$G$979&gt;=GRID_FROM)*('Dvd Calendar'!$G$979&lt;=GRID_TO)*((('Dvd Calendar'!$G$979&lt;=VAL_DATE)+(COUNTIF('Dvd Calendar'!$E$986:$AR$986,'Dvd Calendar'!$G$979)=0))&gt;0)=0,"",'Dvd Calendar'!$G$979*1000000000+ISNUMBER('Dvd Calendar'!$G$982)*100000000+('Dvd Calendar'!$G$984=SPECIAL_LBL)*10000000+(N('Dvd Calendar'!$G$978)&gt;0)*(N('Dvd Calendar'!$G$978)&lt;=VAL_SERIAL)*1000000+89*1000+3))</f>
        <v/>
      </c>
      <c r="EH100" s="121">
        <f>IF(N('Dvd Calendar'!$H$979)=0,"",IF(('Dvd Calendar'!$H$979&gt;=GRID_FROM)*('Dvd Calendar'!$H$979&lt;=GRID_TO)*((('Dvd Calendar'!$H$979&lt;=VAL_DATE)+(COUNTIF('Dvd Calendar'!$E$986:$AR$986,'Dvd Calendar'!$H$979)=0))&gt;0)=0,"",'Dvd Calendar'!$H$979*1000000000+ISNUMBER('Dvd Calendar'!$H$982)*100000000+('Dvd Calendar'!$H$984=SPECIAL_LBL)*10000000+(N('Dvd Calendar'!$H$978)&gt;0)*(N('Dvd Calendar'!$H$978)&lt;=VAL_SERIAL)*1000000+89*1000+4))</f>
        <v/>
      </c>
      <c r="EI100" s="121">
        <f>IF(N('Dvd Calendar'!$I$979)=0,"",IF(('Dvd Calendar'!$I$979&gt;=GRID_FROM)*('Dvd Calendar'!$I$979&lt;=GRID_TO)*((('Dvd Calendar'!$I$979&lt;=VAL_DATE)+(COUNTIF('Dvd Calendar'!$E$986:$AR$986,'Dvd Calendar'!$I$979)=0))&gt;0)=0,"",'Dvd Calendar'!$I$979*1000000000+ISNUMBER('Dvd Calendar'!$I$982)*100000000+('Dvd Calendar'!$I$984=SPECIAL_LBL)*10000000+(N('Dvd Calendar'!$I$978)&gt;0)*(N('Dvd Calendar'!$I$978)&lt;=VAL_SERIAL)*1000000+89*1000+5))</f>
        <v/>
      </c>
      <c r="EJ100" s="121">
        <f>IF(N('Dvd Calendar'!$J$979)=0,"",IF(('Dvd Calendar'!$J$979&gt;=GRID_FROM)*('Dvd Calendar'!$J$979&lt;=GRID_TO)*((('Dvd Calendar'!$J$979&lt;=VAL_DATE)+(COUNTIF('Dvd Calendar'!$E$986:$AR$986,'Dvd Calendar'!$J$979)=0))&gt;0)=0,"",'Dvd Calendar'!$J$979*1000000000+ISNUMBER('Dvd Calendar'!$J$982)*100000000+('Dvd Calendar'!$J$984=SPECIAL_LBL)*10000000+(N('Dvd Calendar'!$J$978)&gt;0)*(N('Dvd Calendar'!$J$978)&lt;=VAL_SERIAL)*1000000+89*1000+6))</f>
        <v/>
      </c>
      <c r="EK100" s="121">
        <f>IF(N('Dvd Calendar'!$K$979)=0,"",IF(('Dvd Calendar'!$K$979&gt;=GRID_FROM)*('Dvd Calendar'!$K$979&lt;=GRID_TO)*((('Dvd Calendar'!$K$979&lt;=VAL_DATE)+(COUNTIF('Dvd Calendar'!$E$986:$AR$986,'Dvd Calendar'!$K$979)=0))&gt;0)=0,"",'Dvd Calendar'!$K$979*1000000000+ISNUMBER('Dvd Calendar'!$K$982)*100000000+('Dvd Calendar'!$K$984=SPECIAL_LBL)*10000000+(N('Dvd Calendar'!$K$978)&gt;0)*(N('Dvd Calendar'!$K$978)&lt;=VAL_SERIAL)*1000000+89*1000+7))</f>
        <v/>
      </c>
      <c r="EL100" s="121">
        <f>IF(N('Dvd Calendar'!$L$979)=0,"",IF(('Dvd Calendar'!$L$979&gt;=GRID_FROM)*('Dvd Calendar'!$L$979&lt;=GRID_TO)*((('Dvd Calendar'!$L$979&lt;=VAL_DATE)+(COUNTIF('Dvd Calendar'!$E$986:$AR$986,'Dvd Calendar'!$L$979)=0))&gt;0)=0,"",'Dvd Calendar'!$L$979*1000000000+ISNUMBER('Dvd Calendar'!$L$982)*100000000+('Dvd Calendar'!$L$984=SPECIAL_LBL)*10000000+(N('Dvd Calendar'!$L$978)&gt;0)*(N('Dvd Calendar'!$L$978)&lt;=VAL_SERIAL)*1000000+89*1000+8))</f>
        <v/>
      </c>
      <c r="EM100" s="121">
        <f>IF(N('Dvd Calendar'!$M$979)=0,"",IF(('Dvd Calendar'!$M$979&gt;=GRID_FROM)*('Dvd Calendar'!$M$979&lt;=GRID_TO)*((('Dvd Calendar'!$M$979&lt;=VAL_DATE)+(COUNTIF('Dvd Calendar'!$E$986:$AR$986,'Dvd Calendar'!$M$979)=0))&gt;0)=0,"",'Dvd Calendar'!$M$979*1000000000+ISNUMBER('Dvd Calendar'!$M$982)*100000000+('Dvd Calendar'!$M$984=SPECIAL_LBL)*10000000+(N('Dvd Calendar'!$M$978)&gt;0)*(N('Dvd Calendar'!$M$978)&lt;=VAL_SERIAL)*1000000+89*1000+9))</f>
        <v/>
      </c>
      <c r="EN100" s="121">
        <f>IF(N('Dvd Calendar'!$N$979)=0,"",IF(('Dvd Calendar'!$N$979&gt;=GRID_FROM)*('Dvd Calendar'!$N$979&lt;=GRID_TO)*((('Dvd Calendar'!$N$979&lt;=VAL_DATE)+(COUNTIF('Dvd Calendar'!$E$986:$AR$986,'Dvd Calendar'!$N$979)=0))&gt;0)=0,"",'Dvd Calendar'!$N$979*1000000000+ISNUMBER('Dvd Calendar'!$N$982)*100000000+('Dvd Calendar'!$N$984=SPECIAL_LBL)*10000000+(N('Dvd Calendar'!$N$978)&gt;0)*(N('Dvd Calendar'!$N$978)&lt;=VAL_SERIAL)*1000000+89*1000+10))</f>
        <v/>
      </c>
      <c r="EO100" s="121">
        <f>IF(N('Dvd Calendar'!$O$979)=0,"",IF(('Dvd Calendar'!$O$979&gt;=GRID_FROM)*('Dvd Calendar'!$O$979&lt;=GRID_TO)*((('Dvd Calendar'!$O$979&lt;=VAL_DATE)+(COUNTIF('Dvd Calendar'!$E$986:$AR$986,'Dvd Calendar'!$O$979)=0))&gt;0)=0,"",'Dvd Calendar'!$O$979*1000000000+ISNUMBER('Dvd Calendar'!$O$982)*100000000+('Dvd Calendar'!$O$984=SPECIAL_LBL)*10000000+(N('Dvd Calendar'!$O$978)&gt;0)*(N('Dvd Calendar'!$O$978)&lt;=VAL_SERIAL)*1000000+89*1000+11))</f>
        <v/>
      </c>
      <c r="EP100" s="121">
        <f>IF(N('Dvd Calendar'!$P$979)=0,"",IF(('Dvd Calendar'!$P$979&gt;=GRID_FROM)*('Dvd Calendar'!$P$979&lt;=GRID_TO)*((('Dvd Calendar'!$P$979&lt;=VAL_DATE)+(COUNTIF('Dvd Calendar'!$E$986:$AR$986,'Dvd Calendar'!$P$979)=0))&gt;0)=0,"",'Dvd Calendar'!$P$979*1000000000+ISNUMBER('Dvd Calendar'!$P$982)*100000000+('Dvd Calendar'!$P$984=SPECIAL_LBL)*10000000+(N('Dvd Calendar'!$P$978)&gt;0)*(N('Dvd Calendar'!$P$978)&lt;=VAL_SERIAL)*1000000+89*1000+12))</f>
        <v/>
      </c>
      <c r="EQ100" s="121">
        <f>IF(N('Dvd Calendar'!$Q$979)=0,"",IF(('Dvd Calendar'!$Q$979&gt;=GRID_FROM)*('Dvd Calendar'!$Q$979&lt;=GRID_TO)*((('Dvd Calendar'!$Q$979&lt;=VAL_DATE)+(COUNTIF('Dvd Calendar'!$E$986:$AR$986,'Dvd Calendar'!$Q$979)=0))&gt;0)=0,"",'Dvd Calendar'!$Q$979*1000000000+ISNUMBER('Dvd Calendar'!$Q$982)*100000000+('Dvd Calendar'!$Q$984=SPECIAL_LBL)*10000000+(N('Dvd Calendar'!$Q$978)&gt;0)*(N('Dvd Calendar'!$Q$978)&lt;=VAL_SERIAL)*1000000+89*1000+13))</f>
        <v/>
      </c>
      <c r="ER100" s="121">
        <f>IF(N('Dvd Calendar'!$R$979)=0,"",IF(('Dvd Calendar'!$R$979&gt;=GRID_FROM)*('Dvd Calendar'!$R$979&lt;=GRID_TO)*((('Dvd Calendar'!$R$979&lt;=VAL_DATE)+(COUNTIF('Dvd Calendar'!$E$986:$AR$986,'Dvd Calendar'!$R$979)=0))&gt;0)=0,"",'Dvd Calendar'!$R$979*1000000000+ISNUMBER('Dvd Calendar'!$R$982)*100000000+('Dvd Calendar'!$R$984=SPECIAL_LBL)*10000000+(N('Dvd Calendar'!$R$978)&gt;0)*(N('Dvd Calendar'!$R$978)&lt;=VAL_SERIAL)*1000000+89*1000+14))</f>
        <v/>
      </c>
      <c r="ES100" s="121">
        <f>IF(N('Dvd Calendar'!$S$979)=0,"",IF(('Dvd Calendar'!$S$979&gt;=GRID_FROM)*('Dvd Calendar'!$S$979&lt;=GRID_TO)*((('Dvd Calendar'!$S$979&lt;=VAL_DATE)+(COUNTIF('Dvd Calendar'!$E$986:$AR$986,'Dvd Calendar'!$S$979)=0))&gt;0)=0,"",'Dvd Calendar'!$S$979*1000000000+ISNUMBER('Dvd Calendar'!$S$982)*100000000+('Dvd Calendar'!$S$984=SPECIAL_LBL)*10000000+(N('Dvd Calendar'!$S$978)&gt;0)*(N('Dvd Calendar'!$S$978)&lt;=VAL_SERIAL)*1000000+89*1000+15))</f>
        <v/>
      </c>
      <c r="ET100" s="121">
        <f>IF(N('Dvd Calendar'!$T$979)=0,"",IF(('Dvd Calendar'!$T$979&gt;=GRID_FROM)*('Dvd Calendar'!$T$979&lt;=GRID_TO)*((('Dvd Calendar'!$T$979&lt;=VAL_DATE)+(COUNTIF('Dvd Calendar'!$E$986:$AR$986,'Dvd Calendar'!$T$979)=0))&gt;0)=0,"",'Dvd Calendar'!$T$979*1000000000+ISNUMBER('Dvd Calendar'!$T$982)*100000000+('Dvd Calendar'!$T$984=SPECIAL_LBL)*10000000+(N('Dvd Calendar'!$T$978)&gt;0)*(N('Dvd Calendar'!$T$978)&lt;=VAL_SERIAL)*1000000+89*1000+16))</f>
        <v/>
      </c>
      <c r="EU100" s="121">
        <f>IF(N('Dvd Calendar'!$U$979)=0,"",IF(('Dvd Calendar'!$U$979&gt;=GRID_FROM)*('Dvd Calendar'!$U$979&lt;=GRID_TO)*((('Dvd Calendar'!$U$979&lt;=VAL_DATE)+(COUNTIF('Dvd Calendar'!$E$986:$AR$986,'Dvd Calendar'!$U$979)=0))&gt;0)=0,"",'Dvd Calendar'!$U$979*1000000000+ISNUMBER('Dvd Calendar'!$U$982)*100000000+('Dvd Calendar'!$U$984=SPECIAL_LBL)*10000000+(N('Dvd Calendar'!$U$978)&gt;0)*(N('Dvd Calendar'!$U$978)&lt;=VAL_SERIAL)*1000000+89*1000+17))</f>
        <v/>
      </c>
      <c r="EV100" s="121">
        <f>IF(N('Dvd Calendar'!$V$979)=0,"",IF(('Dvd Calendar'!$V$979&gt;=GRID_FROM)*('Dvd Calendar'!$V$979&lt;=GRID_TO)*((('Dvd Calendar'!$V$979&lt;=VAL_DATE)+(COUNTIF('Dvd Calendar'!$E$986:$AR$986,'Dvd Calendar'!$V$979)=0))&gt;0)=0,"",'Dvd Calendar'!$V$979*1000000000+ISNUMBER('Dvd Calendar'!$V$982)*100000000+('Dvd Calendar'!$V$984=SPECIAL_LBL)*10000000+(N('Dvd Calendar'!$V$978)&gt;0)*(N('Dvd Calendar'!$V$978)&lt;=VAL_SERIAL)*1000000+89*1000+18))</f>
        <v/>
      </c>
      <c r="EW100" s="121">
        <f>IF(N('Dvd Calendar'!$W$979)=0,"",IF(('Dvd Calendar'!$W$979&gt;=GRID_FROM)*('Dvd Calendar'!$W$979&lt;=GRID_TO)*((('Dvd Calendar'!$W$979&lt;=VAL_DATE)+(COUNTIF('Dvd Calendar'!$E$986:$AR$986,'Dvd Calendar'!$W$979)=0))&gt;0)=0,"",'Dvd Calendar'!$W$979*1000000000+ISNUMBER('Dvd Calendar'!$W$982)*100000000+('Dvd Calendar'!$W$984=SPECIAL_LBL)*10000000+(N('Dvd Calendar'!$W$978)&gt;0)*(N('Dvd Calendar'!$W$978)&lt;=VAL_SERIAL)*1000000+89*1000+19))</f>
        <v/>
      </c>
      <c r="EX100" s="121">
        <f>IF(N('Dvd Calendar'!$X$979)=0,"",IF(('Dvd Calendar'!$X$979&gt;=GRID_FROM)*('Dvd Calendar'!$X$979&lt;=GRID_TO)*((('Dvd Calendar'!$X$979&lt;=VAL_DATE)+(COUNTIF('Dvd Calendar'!$E$986:$AR$986,'Dvd Calendar'!$X$979)=0))&gt;0)=0,"",'Dvd Calendar'!$X$979*1000000000+ISNUMBER('Dvd Calendar'!$X$982)*100000000+('Dvd Calendar'!$X$984=SPECIAL_LBL)*10000000+(N('Dvd Calendar'!$X$978)&gt;0)*(N('Dvd Calendar'!$X$978)&lt;=VAL_SERIAL)*1000000+89*1000+20))</f>
        <v/>
      </c>
      <c r="EY100" s="121">
        <f>IF(N('Dvd Calendar'!$Y$979)=0,"",IF(('Dvd Calendar'!$Y$979&gt;=GRID_FROM)*('Dvd Calendar'!$Y$979&lt;=GRID_TO)*((('Dvd Calendar'!$Y$979&lt;=VAL_DATE)+(COUNTIF('Dvd Calendar'!$E$986:$AR$986,'Dvd Calendar'!$Y$979)=0))&gt;0)=0,"",'Dvd Calendar'!$Y$979*1000000000+ISNUMBER('Dvd Calendar'!$Y$982)*100000000+('Dvd Calendar'!$Y$984=SPECIAL_LBL)*10000000+(N('Dvd Calendar'!$Y$978)&gt;0)*(N('Dvd Calendar'!$Y$978)&lt;=VAL_SERIAL)*1000000+89*1000+21))</f>
        <v/>
      </c>
      <c r="EZ100" s="121">
        <f>IF(N('Dvd Calendar'!$Z$979)=0,"",IF(('Dvd Calendar'!$Z$979&gt;=GRID_FROM)*('Dvd Calendar'!$Z$979&lt;=GRID_TO)*((('Dvd Calendar'!$Z$979&lt;=VAL_DATE)+(COUNTIF('Dvd Calendar'!$E$986:$AR$986,'Dvd Calendar'!$Z$979)=0))&gt;0)=0,"",'Dvd Calendar'!$Z$979*1000000000+ISNUMBER('Dvd Calendar'!$Z$982)*100000000+('Dvd Calendar'!$Z$984=SPECIAL_LBL)*10000000+(N('Dvd Calendar'!$Z$978)&gt;0)*(N('Dvd Calendar'!$Z$978)&lt;=VAL_SERIAL)*1000000+89*1000+22))</f>
        <v/>
      </c>
      <c r="FA100" s="121">
        <f>IF(N('Dvd Calendar'!$AA$979)=0,"",IF(('Dvd Calendar'!$AA$979&gt;=GRID_FROM)*('Dvd Calendar'!$AA$979&lt;=GRID_TO)*((('Dvd Calendar'!$AA$979&lt;=VAL_DATE)+(COUNTIF('Dvd Calendar'!$E$986:$AR$986,'Dvd Calendar'!$AA$979)=0))&gt;0)=0,"",'Dvd Calendar'!$AA$979*1000000000+ISNUMBER('Dvd Calendar'!$AA$982)*100000000+('Dvd Calendar'!$AA$984=SPECIAL_LBL)*10000000+(N('Dvd Calendar'!$AA$978)&gt;0)*(N('Dvd Calendar'!$AA$978)&lt;=VAL_SERIAL)*1000000+89*1000+23))</f>
        <v/>
      </c>
      <c r="FB100" s="121">
        <f>IF(N('Dvd Calendar'!$AB$979)=0,"",IF(('Dvd Calendar'!$AB$979&gt;=GRID_FROM)*('Dvd Calendar'!$AB$979&lt;=GRID_TO)*((('Dvd Calendar'!$AB$979&lt;=VAL_DATE)+(COUNTIF('Dvd Calendar'!$E$986:$AR$986,'Dvd Calendar'!$AB$979)=0))&gt;0)=0,"",'Dvd Calendar'!$AB$979*1000000000+ISNUMBER('Dvd Calendar'!$AB$982)*100000000+('Dvd Calendar'!$AB$984=SPECIAL_LBL)*10000000+(N('Dvd Calendar'!$AB$978)&gt;0)*(N('Dvd Calendar'!$AB$978)&lt;=VAL_SERIAL)*1000000+89*1000+24))</f>
        <v/>
      </c>
      <c r="FC100" s="121">
        <f>IF(N('Dvd Calendar'!$AC$979)=0,"",IF(('Dvd Calendar'!$AC$979&gt;=GRID_FROM)*('Dvd Calendar'!$AC$979&lt;=GRID_TO)*((('Dvd Calendar'!$AC$979&lt;=VAL_DATE)+(COUNTIF('Dvd Calendar'!$E$986:$AR$986,'Dvd Calendar'!$AC$979)=0))&gt;0)=0,"",'Dvd Calendar'!$AC$979*1000000000+ISNUMBER('Dvd Calendar'!$AC$982)*100000000+('Dvd Calendar'!$AC$984=SPECIAL_LBL)*10000000+(N('Dvd Calendar'!$AC$978)&gt;0)*(N('Dvd Calendar'!$AC$978)&lt;=VAL_SERIAL)*1000000+89*1000+25))</f>
        <v/>
      </c>
      <c r="FD100" s="121">
        <f>IF(N('Dvd Calendar'!$AD$979)=0,"",IF(('Dvd Calendar'!$AD$979&gt;=GRID_FROM)*('Dvd Calendar'!$AD$979&lt;=GRID_TO)*((('Dvd Calendar'!$AD$979&lt;=VAL_DATE)+(COUNTIF('Dvd Calendar'!$E$986:$AR$986,'Dvd Calendar'!$AD$979)=0))&gt;0)=0,"",'Dvd Calendar'!$AD$979*1000000000+ISNUMBER('Dvd Calendar'!$AD$982)*100000000+('Dvd Calendar'!$AD$984=SPECIAL_LBL)*10000000+(N('Dvd Calendar'!$AD$978)&gt;0)*(N('Dvd Calendar'!$AD$978)&lt;=VAL_SERIAL)*1000000+89*1000+26))</f>
        <v/>
      </c>
      <c r="FE100" s="121">
        <f>IF(N('Dvd Calendar'!$AE$979)=0,"",IF(('Dvd Calendar'!$AE$979&gt;=GRID_FROM)*('Dvd Calendar'!$AE$979&lt;=GRID_TO)*((('Dvd Calendar'!$AE$979&lt;=VAL_DATE)+(COUNTIF('Dvd Calendar'!$E$986:$AR$986,'Dvd Calendar'!$AE$979)=0))&gt;0)=0,"",'Dvd Calendar'!$AE$979*1000000000+ISNUMBER('Dvd Calendar'!$AE$982)*100000000+('Dvd Calendar'!$AE$984=SPECIAL_LBL)*10000000+(N('Dvd Calendar'!$AE$978)&gt;0)*(N('Dvd Calendar'!$AE$978)&lt;=VAL_SERIAL)*1000000+89*1000+27))</f>
        <v/>
      </c>
      <c r="FF100" s="121">
        <f>IF(N('Dvd Calendar'!$AF$979)=0,"",IF(('Dvd Calendar'!$AF$979&gt;=GRID_FROM)*('Dvd Calendar'!$AF$979&lt;=GRID_TO)*((('Dvd Calendar'!$AF$979&lt;=VAL_DATE)+(COUNTIF('Dvd Calendar'!$E$986:$AR$986,'Dvd Calendar'!$AF$979)=0))&gt;0)=0,"",'Dvd Calendar'!$AF$979*1000000000+ISNUMBER('Dvd Calendar'!$AF$982)*100000000+('Dvd Calendar'!$AF$984=SPECIAL_LBL)*10000000+(N('Dvd Calendar'!$AF$978)&gt;0)*(N('Dvd Calendar'!$AF$978)&lt;=VAL_SERIAL)*1000000+89*1000+28))</f>
        <v/>
      </c>
      <c r="FG100" s="121">
        <f>IF(N('Dvd Calendar'!$AG$979)=0,"",IF(('Dvd Calendar'!$AG$979&gt;=GRID_FROM)*('Dvd Calendar'!$AG$979&lt;=GRID_TO)*((('Dvd Calendar'!$AG$979&lt;=VAL_DATE)+(COUNTIF('Dvd Calendar'!$E$986:$AR$986,'Dvd Calendar'!$AG$979)=0))&gt;0)=0,"",'Dvd Calendar'!$AG$979*1000000000+ISNUMBER('Dvd Calendar'!$AG$982)*100000000+('Dvd Calendar'!$AG$984=SPECIAL_LBL)*10000000+(N('Dvd Calendar'!$AG$978)&gt;0)*(N('Dvd Calendar'!$AG$978)&lt;=VAL_SERIAL)*1000000+89*1000+29))</f>
        <v/>
      </c>
      <c r="FH100" s="121">
        <f>IF(N('Dvd Calendar'!$AH$979)=0,"",IF(('Dvd Calendar'!$AH$979&gt;=GRID_FROM)*('Dvd Calendar'!$AH$979&lt;=GRID_TO)*((('Dvd Calendar'!$AH$979&lt;=VAL_DATE)+(COUNTIF('Dvd Calendar'!$E$986:$AR$986,'Dvd Calendar'!$AH$979)=0))&gt;0)=0,"",'Dvd Calendar'!$AH$979*1000000000+ISNUMBER('Dvd Calendar'!$AH$982)*100000000+('Dvd Calendar'!$AH$984=SPECIAL_LBL)*10000000+(N('Dvd Calendar'!$AH$978)&gt;0)*(N('Dvd Calendar'!$AH$978)&lt;=VAL_SERIAL)*1000000+89*1000+30))</f>
        <v/>
      </c>
      <c r="FI100" s="121">
        <f>IF(N('Dvd Calendar'!$AI$979)=0,"",IF(('Dvd Calendar'!$AI$979&gt;=GRID_FROM)*('Dvd Calendar'!$AI$979&lt;=GRID_TO)*((('Dvd Calendar'!$AI$979&lt;=VAL_DATE)+(COUNTIF('Dvd Calendar'!$E$986:$AR$986,'Dvd Calendar'!$AI$979)=0))&gt;0)=0,"",'Dvd Calendar'!$AI$979*1000000000+ISNUMBER('Dvd Calendar'!$AI$982)*100000000+('Dvd Calendar'!$AI$984=SPECIAL_LBL)*10000000+(N('Dvd Calendar'!$AI$978)&gt;0)*(N('Dvd Calendar'!$AI$978)&lt;=VAL_SERIAL)*1000000+89*1000+31))</f>
        <v/>
      </c>
      <c r="FJ100" s="121">
        <f>IF(N('Dvd Calendar'!$AJ$979)=0,"",IF(('Dvd Calendar'!$AJ$979&gt;=GRID_FROM)*('Dvd Calendar'!$AJ$979&lt;=GRID_TO)*((('Dvd Calendar'!$AJ$979&lt;=VAL_DATE)+(COUNTIF('Dvd Calendar'!$E$986:$AR$986,'Dvd Calendar'!$AJ$979)=0))&gt;0)=0,"",'Dvd Calendar'!$AJ$979*1000000000+ISNUMBER('Dvd Calendar'!$AJ$982)*100000000+('Dvd Calendar'!$AJ$984=SPECIAL_LBL)*10000000+(N('Dvd Calendar'!$AJ$978)&gt;0)*(N('Dvd Calendar'!$AJ$978)&lt;=VAL_SERIAL)*1000000+89*1000+32))</f>
        <v/>
      </c>
      <c r="FK100" s="121">
        <f>IF(N('Dvd Calendar'!$AK$979)=0,"",IF(('Dvd Calendar'!$AK$979&gt;=GRID_FROM)*('Dvd Calendar'!$AK$979&lt;=GRID_TO)*((('Dvd Calendar'!$AK$979&lt;=VAL_DATE)+(COUNTIF('Dvd Calendar'!$E$986:$AR$986,'Dvd Calendar'!$AK$979)=0))&gt;0)=0,"",'Dvd Calendar'!$AK$979*1000000000+ISNUMBER('Dvd Calendar'!$AK$982)*100000000+('Dvd Calendar'!$AK$984=SPECIAL_LBL)*10000000+(N('Dvd Calendar'!$AK$978)&gt;0)*(N('Dvd Calendar'!$AK$978)&lt;=VAL_SERIAL)*1000000+89*1000+33))</f>
        <v/>
      </c>
      <c r="FL100" s="121">
        <f>IF(N('Dvd Calendar'!$AL$979)=0,"",IF(('Dvd Calendar'!$AL$979&gt;=GRID_FROM)*('Dvd Calendar'!$AL$979&lt;=GRID_TO)*((('Dvd Calendar'!$AL$979&lt;=VAL_DATE)+(COUNTIF('Dvd Calendar'!$E$986:$AR$986,'Dvd Calendar'!$AL$979)=0))&gt;0)=0,"",'Dvd Calendar'!$AL$979*1000000000+ISNUMBER('Dvd Calendar'!$AL$982)*100000000+('Dvd Calendar'!$AL$984=SPECIAL_LBL)*10000000+(N('Dvd Calendar'!$AL$978)&gt;0)*(N('Dvd Calendar'!$AL$978)&lt;=VAL_SERIAL)*1000000+89*1000+34))</f>
        <v/>
      </c>
      <c r="FM100" s="121">
        <f>IF(N('Dvd Calendar'!$AM$979)=0,"",IF(('Dvd Calendar'!$AM$979&gt;=GRID_FROM)*('Dvd Calendar'!$AM$979&lt;=GRID_TO)*((('Dvd Calendar'!$AM$979&lt;=VAL_DATE)+(COUNTIF('Dvd Calendar'!$E$986:$AR$986,'Dvd Calendar'!$AM$979)=0))&gt;0)=0,"",'Dvd Calendar'!$AM$979*1000000000+ISNUMBER('Dvd Calendar'!$AM$982)*100000000+('Dvd Calendar'!$AM$984=SPECIAL_LBL)*10000000+(N('Dvd Calendar'!$AM$978)&gt;0)*(N('Dvd Calendar'!$AM$978)&lt;=VAL_SERIAL)*1000000+89*1000+35))</f>
        <v/>
      </c>
      <c r="FN100" s="121">
        <f>IF(N('Dvd Calendar'!$AN$979)=0,"",IF(('Dvd Calendar'!$AN$979&gt;=GRID_FROM)*('Dvd Calendar'!$AN$979&lt;=GRID_TO)*((('Dvd Calendar'!$AN$979&lt;=VAL_DATE)+(COUNTIF('Dvd Calendar'!$E$986:$AR$986,'Dvd Calendar'!$AN$979)=0))&gt;0)=0,"",'Dvd Calendar'!$AN$979*1000000000+ISNUMBER('Dvd Calendar'!$AN$982)*100000000+('Dvd Calendar'!$AN$984=SPECIAL_LBL)*10000000+(N('Dvd Calendar'!$AN$978)&gt;0)*(N('Dvd Calendar'!$AN$978)&lt;=VAL_SERIAL)*1000000+89*1000+36))</f>
        <v/>
      </c>
      <c r="FO100" s="121">
        <f>IF(N('Dvd Calendar'!$AO$979)=0,"",IF(('Dvd Calendar'!$AO$979&gt;=GRID_FROM)*('Dvd Calendar'!$AO$979&lt;=GRID_TO)*((('Dvd Calendar'!$AO$979&lt;=VAL_DATE)+(COUNTIF('Dvd Calendar'!$E$986:$AR$986,'Dvd Calendar'!$AO$979)=0))&gt;0)=0,"",'Dvd Calendar'!$AO$979*1000000000+ISNUMBER('Dvd Calendar'!$AO$982)*100000000+('Dvd Calendar'!$AO$984=SPECIAL_LBL)*10000000+(N('Dvd Calendar'!$AO$978)&gt;0)*(N('Dvd Calendar'!$AO$978)&lt;=VAL_SERIAL)*1000000+89*1000+37))</f>
        <v/>
      </c>
      <c r="FP100" s="121">
        <f>IF(N('Dvd Calendar'!$AP$979)=0,"",IF(('Dvd Calendar'!$AP$979&gt;=GRID_FROM)*('Dvd Calendar'!$AP$979&lt;=GRID_TO)*((('Dvd Calendar'!$AP$979&lt;=VAL_DATE)+(COUNTIF('Dvd Calendar'!$E$986:$AR$986,'Dvd Calendar'!$AP$979)=0))&gt;0)=0,"",'Dvd Calendar'!$AP$979*1000000000+ISNUMBER('Dvd Calendar'!$AP$982)*100000000+('Dvd Calendar'!$AP$984=SPECIAL_LBL)*10000000+(N('Dvd Calendar'!$AP$978)&gt;0)*(N('Dvd Calendar'!$AP$978)&lt;=VAL_SERIAL)*1000000+89*1000+38))</f>
        <v/>
      </c>
      <c r="FQ100" s="121">
        <f>IF(N('Dvd Calendar'!$AQ$979)=0,"",IF(('Dvd Calendar'!$AQ$979&gt;=GRID_FROM)*('Dvd Calendar'!$AQ$979&lt;=GRID_TO)*((('Dvd Calendar'!$AQ$979&lt;=VAL_DATE)+(COUNTIF('Dvd Calendar'!$E$986:$AR$986,'Dvd Calendar'!$AQ$979)=0))&gt;0)=0,"",'Dvd Calendar'!$AQ$979*1000000000+ISNUMBER('Dvd Calendar'!$AQ$982)*100000000+('Dvd Calendar'!$AQ$984=SPECIAL_LBL)*10000000+(N('Dvd Calendar'!$AQ$978)&gt;0)*(N('Dvd Calendar'!$AQ$978)&lt;=VAL_SERIAL)*1000000+89*1000+39))</f>
        <v/>
      </c>
      <c r="FR100" s="121">
        <f>IF(N('Dvd Calendar'!$AR$979)=0,"",IF(('Dvd Calendar'!$AR$979&gt;=GRID_FROM)*('Dvd Calendar'!$AR$979&lt;=GRID_TO)*((('Dvd Calendar'!$AR$979&lt;=VAL_DATE)+(COUNTIF('Dvd Calendar'!$E$986:$AR$986,'Dvd Calendar'!$AR$979)=0))&gt;0)=0,"",'Dvd Calendar'!$AR$979*1000000000+ISNUMBER('Dvd Calendar'!$AR$982)*100000000+('Dvd Calendar'!$AR$984=SPECIAL_LBL)*10000000+(N('Dvd Calendar'!$AR$978)&gt;0)*(N('Dvd Calendar'!$AR$978)&lt;=VAL_SERIAL)*1000000+89*1000+40))</f>
        <v/>
      </c>
      <c r="FS100" s="121">
        <f>IF(N('Dvd Calendar'!$E$986)=0,"",IF(('Dvd Calendar'!$E$986&gt;=GRID_FROM)*('Dvd Calendar'!$E$986&lt;=GRID_TO)*('Dvd Calendar'!$E$986&gt;VAL_DATE)=0,"",'Dvd Calendar'!$E$986*1000000000+ISNUMBER('Dvd Calendar'!$E$987)*100000000+0*10000000+(N('Dvd Calendar'!$E$985)&gt;0)*(N('Dvd Calendar'!$E$985)&lt;=VAL_SERIAL)*1000000+89*1000+41))</f>
        <v/>
      </c>
      <c r="FT100" s="121">
        <f>IF(N('Dvd Calendar'!$F$986)=0,"",IF(('Dvd Calendar'!$F$986&gt;=GRID_FROM)*('Dvd Calendar'!$F$986&lt;=GRID_TO)*('Dvd Calendar'!$F$986&gt;VAL_DATE)=0,"",'Dvd Calendar'!$F$986*1000000000+ISNUMBER('Dvd Calendar'!$F$987)*100000000+0*10000000+(N('Dvd Calendar'!$F$985)&gt;0)*(N('Dvd Calendar'!$F$985)&lt;=VAL_SERIAL)*1000000+89*1000+42))</f>
        <v/>
      </c>
      <c r="FU100" s="121">
        <f>IF(N('Dvd Calendar'!$G$986)=0,"",IF(('Dvd Calendar'!$G$986&gt;=GRID_FROM)*('Dvd Calendar'!$G$986&lt;=GRID_TO)*('Dvd Calendar'!$G$986&gt;VAL_DATE)=0,"",'Dvd Calendar'!$G$986*1000000000+ISNUMBER('Dvd Calendar'!$G$987)*100000000+0*10000000+(N('Dvd Calendar'!$G$985)&gt;0)*(N('Dvd Calendar'!$G$985)&lt;=VAL_SERIAL)*1000000+89*1000+43))</f>
        <v/>
      </c>
      <c r="FV100" s="121">
        <f>IF(N('Dvd Calendar'!$H$986)=0,"",IF(('Dvd Calendar'!$H$986&gt;=GRID_FROM)*('Dvd Calendar'!$H$986&lt;=GRID_TO)*('Dvd Calendar'!$H$986&gt;VAL_DATE)=0,"",'Dvd Calendar'!$H$986*1000000000+ISNUMBER('Dvd Calendar'!$H$987)*100000000+0*10000000+(N('Dvd Calendar'!$H$985)&gt;0)*(N('Dvd Calendar'!$H$985)&lt;=VAL_SERIAL)*1000000+89*1000+44))</f>
        <v/>
      </c>
      <c r="FW100" s="121">
        <f>IF(N('Dvd Calendar'!$I$986)=0,"",IF(('Dvd Calendar'!$I$986&gt;=GRID_FROM)*('Dvd Calendar'!$I$986&lt;=GRID_TO)*('Dvd Calendar'!$I$986&gt;VAL_DATE)=0,"",'Dvd Calendar'!$I$986*1000000000+ISNUMBER('Dvd Calendar'!$I$987)*100000000+0*10000000+(N('Dvd Calendar'!$I$985)&gt;0)*(N('Dvd Calendar'!$I$985)&lt;=VAL_SERIAL)*1000000+89*1000+45))</f>
        <v/>
      </c>
      <c r="FX100" s="121">
        <f>IF(N('Dvd Calendar'!$J$986)=0,"",IF(('Dvd Calendar'!$J$986&gt;=GRID_FROM)*('Dvd Calendar'!$J$986&lt;=GRID_TO)*('Dvd Calendar'!$J$986&gt;VAL_DATE)=0,"",'Dvd Calendar'!$J$986*1000000000+ISNUMBER('Dvd Calendar'!$J$987)*100000000+0*10000000+(N('Dvd Calendar'!$J$985)&gt;0)*(N('Dvd Calendar'!$J$985)&lt;=VAL_SERIAL)*1000000+89*1000+46))</f>
        <v/>
      </c>
      <c r="FY100" s="121">
        <f>IF(N('Dvd Calendar'!$K$986)=0,"",IF(('Dvd Calendar'!$K$986&gt;=GRID_FROM)*('Dvd Calendar'!$K$986&lt;=GRID_TO)*('Dvd Calendar'!$K$986&gt;VAL_DATE)=0,"",'Dvd Calendar'!$K$986*1000000000+ISNUMBER('Dvd Calendar'!$K$987)*100000000+0*10000000+(N('Dvd Calendar'!$K$985)&gt;0)*(N('Dvd Calendar'!$K$985)&lt;=VAL_SERIAL)*1000000+89*1000+47))</f>
        <v/>
      </c>
      <c r="FZ100" s="121">
        <f>IF(N('Dvd Calendar'!$L$986)=0,"",IF(('Dvd Calendar'!$L$986&gt;=GRID_FROM)*('Dvd Calendar'!$L$986&lt;=GRID_TO)*('Dvd Calendar'!$L$986&gt;VAL_DATE)=0,"",'Dvd Calendar'!$L$986*1000000000+ISNUMBER('Dvd Calendar'!$L$987)*100000000+0*10000000+(N('Dvd Calendar'!$L$985)&gt;0)*(N('Dvd Calendar'!$L$985)&lt;=VAL_SERIAL)*1000000+89*1000+48))</f>
        <v/>
      </c>
      <c r="GA100" s="121">
        <f>IF(N('Dvd Calendar'!$M$986)=0,"",IF(('Dvd Calendar'!$M$986&gt;=GRID_FROM)*('Dvd Calendar'!$M$986&lt;=GRID_TO)*('Dvd Calendar'!$M$986&gt;VAL_DATE)=0,"",'Dvd Calendar'!$M$986*1000000000+ISNUMBER('Dvd Calendar'!$M$987)*100000000+0*10000000+(N('Dvd Calendar'!$M$985)&gt;0)*(N('Dvd Calendar'!$M$985)&lt;=VAL_SERIAL)*1000000+89*1000+49))</f>
        <v/>
      </c>
      <c r="GB100" s="121">
        <f>IF(N('Dvd Calendar'!$N$986)=0,"",IF(('Dvd Calendar'!$N$986&gt;=GRID_FROM)*('Dvd Calendar'!$N$986&lt;=GRID_TO)*('Dvd Calendar'!$N$986&gt;VAL_DATE)=0,"",'Dvd Calendar'!$N$986*1000000000+ISNUMBER('Dvd Calendar'!$N$987)*100000000+0*10000000+(N('Dvd Calendar'!$N$985)&gt;0)*(N('Dvd Calendar'!$N$985)&lt;=VAL_SERIAL)*1000000+89*1000+50))</f>
        <v/>
      </c>
      <c r="GC100" s="121">
        <f>IF(N('Dvd Calendar'!$O$986)=0,"",IF(('Dvd Calendar'!$O$986&gt;=GRID_FROM)*('Dvd Calendar'!$O$986&lt;=GRID_TO)*('Dvd Calendar'!$O$986&gt;VAL_DATE)=0,"",'Dvd Calendar'!$O$986*1000000000+ISNUMBER('Dvd Calendar'!$O$987)*100000000+0*10000000+(N('Dvd Calendar'!$O$985)&gt;0)*(N('Dvd Calendar'!$O$985)&lt;=VAL_SERIAL)*1000000+89*1000+51))</f>
        <v/>
      </c>
      <c r="GD100" s="121">
        <f>IF(N('Dvd Calendar'!$P$986)=0,"",IF(('Dvd Calendar'!$P$986&gt;=GRID_FROM)*('Dvd Calendar'!$P$986&lt;=GRID_TO)*('Dvd Calendar'!$P$986&gt;VAL_DATE)=0,"",'Dvd Calendar'!$P$986*1000000000+ISNUMBER('Dvd Calendar'!$P$987)*100000000+0*10000000+(N('Dvd Calendar'!$P$985)&gt;0)*(N('Dvd Calendar'!$P$985)&lt;=VAL_SERIAL)*1000000+89*1000+52))</f>
        <v/>
      </c>
      <c r="GE100" s="121">
        <f>IF(N('Dvd Calendar'!$Q$986)=0,"",IF(('Dvd Calendar'!$Q$986&gt;=GRID_FROM)*('Dvd Calendar'!$Q$986&lt;=GRID_TO)*('Dvd Calendar'!$Q$986&gt;VAL_DATE)=0,"",'Dvd Calendar'!$Q$986*1000000000+ISNUMBER('Dvd Calendar'!$Q$987)*100000000+0*10000000+(N('Dvd Calendar'!$Q$985)&gt;0)*(N('Dvd Calendar'!$Q$985)&lt;=VAL_SERIAL)*1000000+89*1000+53))</f>
        <v/>
      </c>
      <c r="GF100" s="121">
        <f>IF(N('Dvd Calendar'!$R$986)=0,"",IF(('Dvd Calendar'!$R$986&gt;=GRID_FROM)*('Dvd Calendar'!$R$986&lt;=GRID_TO)*('Dvd Calendar'!$R$986&gt;VAL_DATE)=0,"",'Dvd Calendar'!$R$986*1000000000+ISNUMBER('Dvd Calendar'!$R$987)*100000000+0*10000000+(N('Dvd Calendar'!$R$985)&gt;0)*(N('Dvd Calendar'!$R$985)&lt;=VAL_SERIAL)*1000000+89*1000+54))</f>
        <v/>
      </c>
      <c r="GG100" s="121">
        <f>IF(N('Dvd Calendar'!$S$986)=0,"",IF(('Dvd Calendar'!$S$986&gt;=GRID_FROM)*('Dvd Calendar'!$S$986&lt;=GRID_TO)*('Dvd Calendar'!$S$986&gt;VAL_DATE)=0,"",'Dvd Calendar'!$S$986*1000000000+ISNUMBER('Dvd Calendar'!$S$987)*100000000+0*10000000+(N('Dvd Calendar'!$S$985)&gt;0)*(N('Dvd Calendar'!$S$985)&lt;=VAL_SERIAL)*1000000+89*1000+55))</f>
        <v/>
      </c>
      <c r="GH100" s="121">
        <f>IF(N('Dvd Calendar'!$T$986)=0,"",IF(('Dvd Calendar'!$T$986&gt;=GRID_FROM)*('Dvd Calendar'!$T$986&lt;=GRID_TO)*('Dvd Calendar'!$T$986&gt;VAL_DATE)=0,"",'Dvd Calendar'!$T$986*1000000000+ISNUMBER('Dvd Calendar'!$T$987)*100000000+0*10000000+(N('Dvd Calendar'!$T$985)&gt;0)*(N('Dvd Calendar'!$T$985)&lt;=VAL_SERIAL)*1000000+89*1000+56))</f>
        <v/>
      </c>
      <c r="GI100" s="121">
        <f>IF(N('Dvd Calendar'!$U$986)=0,"",IF(('Dvd Calendar'!$U$986&gt;=GRID_FROM)*('Dvd Calendar'!$U$986&lt;=GRID_TO)*('Dvd Calendar'!$U$986&gt;VAL_DATE)=0,"",'Dvd Calendar'!$U$986*1000000000+ISNUMBER('Dvd Calendar'!$U$987)*100000000+0*10000000+(N('Dvd Calendar'!$U$985)&gt;0)*(N('Dvd Calendar'!$U$985)&lt;=VAL_SERIAL)*1000000+89*1000+57))</f>
        <v/>
      </c>
      <c r="GJ100" s="121">
        <f>IF(N('Dvd Calendar'!$V$986)=0,"",IF(('Dvd Calendar'!$V$986&gt;=GRID_FROM)*('Dvd Calendar'!$V$986&lt;=GRID_TO)*('Dvd Calendar'!$V$986&gt;VAL_DATE)=0,"",'Dvd Calendar'!$V$986*1000000000+ISNUMBER('Dvd Calendar'!$V$987)*100000000+0*10000000+(N('Dvd Calendar'!$V$985)&gt;0)*(N('Dvd Calendar'!$V$985)&lt;=VAL_SERIAL)*1000000+89*1000+58))</f>
        <v/>
      </c>
      <c r="GK100" s="121">
        <f>IF(N('Dvd Calendar'!$W$986)=0,"",IF(('Dvd Calendar'!$W$986&gt;=GRID_FROM)*('Dvd Calendar'!$W$986&lt;=GRID_TO)*('Dvd Calendar'!$W$986&gt;VAL_DATE)=0,"",'Dvd Calendar'!$W$986*1000000000+ISNUMBER('Dvd Calendar'!$W$987)*100000000+0*10000000+(N('Dvd Calendar'!$W$985)&gt;0)*(N('Dvd Calendar'!$W$985)&lt;=VAL_SERIAL)*1000000+89*1000+59))</f>
        <v/>
      </c>
      <c r="GL100" s="121">
        <f>IF(N('Dvd Calendar'!$X$986)=0,"",IF(('Dvd Calendar'!$X$986&gt;=GRID_FROM)*('Dvd Calendar'!$X$986&lt;=GRID_TO)*('Dvd Calendar'!$X$986&gt;VAL_DATE)=0,"",'Dvd Calendar'!$X$986*1000000000+ISNUMBER('Dvd Calendar'!$X$987)*100000000+0*10000000+(N('Dvd Calendar'!$X$985)&gt;0)*(N('Dvd Calendar'!$X$985)&lt;=VAL_SERIAL)*1000000+89*1000+60))</f>
        <v/>
      </c>
      <c r="GM100" s="121">
        <f>IF(N('Dvd Calendar'!$Y$986)=0,"",IF(('Dvd Calendar'!$Y$986&gt;=GRID_FROM)*('Dvd Calendar'!$Y$986&lt;=GRID_TO)*('Dvd Calendar'!$Y$986&gt;VAL_DATE)=0,"",'Dvd Calendar'!$Y$986*1000000000+ISNUMBER('Dvd Calendar'!$Y$987)*100000000+0*10000000+(N('Dvd Calendar'!$Y$985)&gt;0)*(N('Dvd Calendar'!$Y$985)&lt;=VAL_SERIAL)*1000000+89*1000+61))</f>
        <v/>
      </c>
      <c r="GN100" s="121">
        <f>IF(N('Dvd Calendar'!$Z$986)=0,"",IF(('Dvd Calendar'!$Z$986&gt;=GRID_FROM)*('Dvd Calendar'!$Z$986&lt;=GRID_TO)*('Dvd Calendar'!$Z$986&gt;VAL_DATE)=0,"",'Dvd Calendar'!$Z$986*1000000000+ISNUMBER('Dvd Calendar'!$Z$987)*100000000+0*10000000+(N('Dvd Calendar'!$Z$985)&gt;0)*(N('Dvd Calendar'!$Z$985)&lt;=VAL_SERIAL)*1000000+89*1000+62))</f>
        <v/>
      </c>
      <c r="GO100" s="121">
        <f>IF(N('Dvd Calendar'!$AA$986)=0,"",IF(('Dvd Calendar'!$AA$986&gt;=GRID_FROM)*('Dvd Calendar'!$AA$986&lt;=GRID_TO)*('Dvd Calendar'!$AA$986&gt;VAL_DATE)=0,"",'Dvd Calendar'!$AA$986*1000000000+ISNUMBER('Dvd Calendar'!$AA$987)*100000000+0*10000000+(N('Dvd Calendar'!$AA$985)&gt;0)*(N('Dvd Calendar'!$AA$985)&lt;=VAL_SERIAL)*1000000+89*1000+63))</f>
        <v/>
      </c>
      <c r="GP100" s="121">
        <f>IF(N('Dvd Calendar'!$AB$986)=0,"",IF(('Dvd Calendar'!$AB$986&gt;=GRID_FROM)*('Dvd Calendar'!$AB$986&lt;=GRID_TO)*('Dvd Calendar'!$AB$986&gt;VAL_DATE)=0,"",'Dvd Calendar'!$AB$986*1000000000+ISNUMBER('Dvd Calendar'!$AB$987)*100000000+0*10000000+(N('Dvd Calendar'!$AB$985)&gt;0)*(N('Dvd Calendar'!$AB$985)&lt;=VAL_SERIAL)*1000000+89*1000+64))</f>
        <v/>
      </c>
      <c r="GQ100" s="121">
        <f>IF(N('Dvd Calendar'!$AC$986)=0,"",IF(('Dvd Calendar'!$AC$986&gt;=GRID_FROM)*('Dvd Calendar'!$AC$986&lt;=GRID_TO)*('Dvd Calendar'!$AC$986&gt;VAL_DATE)=0,"",'Dvd Calendar'!$AC$986*1000000000+ISNUMBER('Dvd Calendar'!$AC$987)*100000000+0*10000000+(N('Dvd Calendar'!$AC$985)&gt;0)*(N('Dvd Calendar'!$AC$985)&lt;=VAL_SERIAL)*1000000+89*1000+65))</f>
        <v/>
      </c>
    </row>
    <row r="101">
      <c r="B101" s="2">
        <f>IF(HSI!$C$96="","",HSI!$C$96)</f>
        <v/>
      </c>
      <c r="C101" s="161">
        <f>IF(EE101="","",IF(ISNUMBER('Dvd Calendar'!$E$993)=FALSE,"",IF((('Dvd Calendar'!$E$995=TYPE1)*(TYPE1&lt;&gt;"")+('Dvd Calendar'!$E$995=TYPE2)*(TYPE2&lt;&gt;"")+('Dvd Calendar'!$E$995=TYPE3)*(TYPE3&lt;&gt;"")+('Dvd Calendar'!$E$995=TYPE4)*(TYPE4&lt;&gt;"")+('Dvd Calendar'!$E$995=SPECIAL_LBL)*(INC_SPECIALS="Y"))=0,"",'Dvd Calendar'!$E$993)))</f>
        <v/>
      </c>
      <c r="D101" s="161">
        <f>IF(EF101="","",IF(ISNUMBER('Dvd Calendar'!$F$993)=FALSE,"",IF((('Dvd Calendar'!$F$995=TYPE1)*(TYPE1&lt;&gt;"")+('Dvd Calendar'!$F$995=TYPE2)*(TYPE2&lt;&gt;"")+('Dvd Calendar'!$F$995=TYPE3)*(TYPE3&lt;&gt;"")+('Dvd Calendar'!$F$995=TYPE4)*(TYPE4&lt;&gt;"")+('Dvd Calendar'!$F$995=SPECIAL_LBL)*(INC_SPECIALS="Y"))=0,"",'Dvd Calendar'!$F$993)))</f>
        <v/>
      </c>
      <c r="E101" s="161">
        <f>IF(EG101="","",IF(ISNUMBER('Dvd Calendar'!$G$993)=FALSE,"",IF((('Dvd Calendar'!$G$995=TYPE1)*(TYPE1&lt;&gt;"")+('Dvd Calendar'!$G$995=TYPE2)*(TYPE2&lt;&gt;"")+('Dvd Calendar'!$G$995=TYPE3)*(TYPE3&lt;&gt;"")+('Dvd Calendar'!$G$995=TYPE4)*(TYPE4&lt;&gt;"")+('Dvd Calendar'!$G$995=SPECIAL_LBL)*(INC_SPECIALS="Y"))=0,"",'Dvd Calendar'!$G$993)))</f>
        <v/>
      </c>
      <c r="F101" s="161">
        <f>IF(EH101="","",IF(ISNUMBER('Dvd Calendar'!$H$993)=FALSE,"",IF((('Dvd Calendar'!$H$995=TYPE1)*(TYPE1&lt;&gt;"")+('Dvd Calendar'!$H$995=TYPE2)*(TYPE2&lt;&gt;"")+('Dvd Calendar'!$H$995=TYPE3)*(TYPE3&lt;&gt;"")+('Dvd Calendar'!$H$995=TYPE4)*(TYPE4&lt;&gt;"")+('Dvd Calendar'!$H$995=SPECIAL_LBL)*(INC_SPECIALS="Y"))=0,"",'Dvd Calendar'!$H$993)))</f>
        <v/>
      </c>
      <c r="G101" s="161">
        <f>IF(EI101="","",IF(ISNUMBER('Dvd Calendar'!$I$993)=FALSE,"",IF((('Dvd Calendar'!$I$995=TYPE1)*(TYPE1&lt;&gt;"")+('Dvd Calendar'!$I$995=TYPE2)*(TYPE2&lt;&gt;"")+('Dvd Calendar'!$I$995=TYPE3)*(TYPE3&lt;&gt;"")+('Dvd Calendar'!$I$995=TYPE4)*(TYPE4&lt;&gt;"")+('Dvd Calendar'!$I$995=SPECIAL_LBL)*(INC_SPECIALS="Y"))=0,"",'Dvd Calendar'!$I$993)))</f>
        <v/>
      </c>
      <c r="H101" s="161">
        <f>IF(EJ101="","",IF(ISNUMBER('Dvd Calendar'!$J$993)=FALSE,"",IF((('Dvd Calendar'!$J$995=TYPE1)*(TYPE1&lt;&gt;"")+('Dvd Calendar'!$J$995=TYPE2)*(TYPE2&lt;&gt;"")+('Dvd Calendar'!$J$995=TYPE3)*(TYPE3&lt;&gt;"")+('Dvd Calendar'!$J$995=TYPE4)*(TYPE4&lt;&gt;"")+('Dvd Calendar'!$J$995=SPECIAL_LBL)*(INC_SPECIALS="Y"))=0,"",'Dvd Calendar'!$J$993)))</f>
        <v/>
      </c>
      <c r="I101" s="161">
        <f>IF(EK101="","",IF(ISNUMBER('Dvd Calendar'!$K$993)=FALSE,"",IF((('Dvd Calendar'!$K$995=TYPE1)*(TYPE1&lt;&gt;"")+('Dvd Calendar'!$K$995=TYPE2)*(TYPE2&lt;&gt;"")+('Dvd Calendar'!$K$995=TYPE3)*(TYPE3&lt;&gt;"")+('Dvd Calendar'!$K$995=TYPE4)*(TYPE4&lt;&gt;"")+('Dvd Calendar'!$K$995=SPECIAL_LBL)*(INC_SPECIALS="Y"))=0,"",'Dvd Calendar'!$K$993)))</f>
        <v/>
      </c>
      <c r="J101" s="161">
        <f>IF(EL101="","",IF(ISNUMBER('Dvd Calendar'!$L$993)=FALSE,"",IF((('Dvd Calendar'!$L$995=TYPE1)*(TYPE1&lt;&gt;"")+('Dvd Calendar'!$L$995=TYPE2)*(TYPE2&lt;&gt;"")+('Dvd Calendar'!$L$995=TYPE3)*(TYPE3&lt;&gt;"")+('Dvd Calendar'!$L$995=TYPE4)*(TYPE4&lt;&gt;"")+('Dvd Calendar'!$L$995=SPECIAL_LBL)*(INC_SPECIALS="Y"))=0,"",'Dvd Calendar'!$L$993)))</f>
        <v/>
      </c>
      <c r="K101" s="161">
        <f>IF(EM101="","",IF(ISNUMBER('Dvd Calendar'!$M$993)=FALSE,"",IF((('Dvd Calendar'!$M$995=TYPE1)*(TYPE1&lt;&gt;"")+('Dvd Calendar'!$M$995=TYPE2)*(TYPE2&lt;&gt;"")+('Dvd Calendar'!$M$995=TYPE3)*(TYPE3&lt;&gt;"")+('Dvd Calendar'!$M$995=TYPE4)*(TYPE4&lt;&gt;"")+('Dvd Calendar'!$M$995=SPECIAL_LBL)*(INC_SPECIALS="Y"))=0,"",'Dvd Calendar'!$M$993)))</f>
        <v/>
      </c>
      <c r="L101" s="161">
        <f>IF(EN101="","",IF(ISNUMBER('Dvd Calendar'!$N$993)=FALSE,"",IF((('Dvd Calendar'!$N$995=TYPE1)*(TYPE1&lt;&gt;"")+('Dvd Calendar'!$N$995=TYPE2)*(TYPE2&lt;&gt;"")+('Dvd Calendar'!$N$995=TYPE3)*(TYPE3&lt;&gt;"")+('Dvd Calendar'!$N$995=TYPE4)*(TYPE4&lt;&gt;"")+('Dvd Calendar'!$N$995=SPECIAL_LBL)*(INC_SPECIALS="Y"))=0,"",'Dvd Calendar'!$N$993)))</f>
        <v/>
      </c>
      <c r="M101" s="161">
        <f>IF(EO101="","",IF(ISNUMBER('Dvd Calendar'!$O$993)=FALSE,"",IF((('Dvd Calendar'!$O$995=TYPE1)*(TYPE1&lt;&gt;"")+('Dvd Calendar'!$O$995=TYPE2)*(TYPE2&lt;&gt;"")+('Dvd Calendar'!$O$995=TYPE3)*(TYPE3&lt;&gt;"")+('Dvd Calendar'!$O$995=TYPE4)*(TYPE4&lt;&gt;"")+('Dvd Calendar'!$O$995=SPECIAL_LBL)*(INC_SPECIALS="Y"))=0,"",'Dvd Calendar'!$O$993)))</f>
        <v/>
      </c>
      <c r="N101" s="161">
        <f>IF(EP101="","",IF(ISNUMBER('Dvd Calendar'!$P$993)=FALSE,"",IF((('Dvd Calendar'!$P$995=TYPE1)*(TYPE1&lt;&gt;"")+('Dvd Calendar'!$P$995=TYPE2)*(TYPE2&lt;&gt;"")+('Dvd Calendar'!$P$995=TYPE3)*(TYPE3&lt;&gt;"")+('Dvd Calendar'!$P$995=TYPE4)*(TYPE4&lt;&gt;"")+('Dvd Calendar'!$P$995=SPECIAL_LBL)*(INC_SPECIALS="Y"))=0,"",'Dvd Calendar'!$P$993)))</f>
        <v/>
      </c>
      <c r="O101" s="161">
        <f>IF(EQ101="","",IF(ISNUMBER('Dvd Calendar'!$Q$993)=FALSE,"",IF((('Dvd Calendar'!$Q$995=TYPE1)*(TYPE1&lt;&gt;"")+('Dvd Calendar'!$Q$995=TYPE2)*(TYPE2&lt;&gt;"")+('Dvd Calendar'!$Q$995=TYPE3)*(TYPE3&lt;&gt;"")+('Dvd Calendar'!$Q$995=TYPE4)*(TYPE4&lt;&gt;"")+('Dvd Calendar'!$Q$995=SPECIAL_LBL)*(INC_SPECIALS="Y"))=0,"",'Dvd Calendar'!$Q$993)))</f>
        <v/>
      </c>
      <c r="P101" s="161">
        <f>IF(ER101="","",IF(ISNUMBER('Dvd Calendar'!$R$993)=FALSE,"",IF((('Dvd Calendar'!$R$995=TYPE1)*(TYPE1&lt;&gt;"")+('Dvd Calendar'!$R$995=TYPE2)*(TYPE2&lt;&gt;"")+('Dvd Calendar'!$R$995=TYPE3)*(TYPE3&lt;&gt;"")+('Dvd Calendar'!$R$995=TYPE4)*(TYPE4&lt;&gt;"")+('Dvd Calendar'!$R$995=SPECIAL_LBL)*(INC_SPECIALS="Y"))=0,"",'Dvd Calendar'!$R$993)))</f>
        <v/>
      </c>
      <c r="Q101" s="161">
        <f>IF(ES101="","",IF(ISNUMBER('Dvd Calendar'!$S$993)=FALSE,"",IF((('Dvd Calendar'!$S$995=TYPE1)*(TYPE1&lt;&gt;"")+('Dvd Calendar'!$S$995=TYPE2)*(TYPE2&lt;&gt;"")+('Dvd Calendar'!$S$995=TYPE3)*(TYPE3&lt;&gt;"")+('Dvd Calendar'!$S$995=TYPE4)*(TYPE4&lt;&gt;"")+('Dvd Calendar'!$S$995=SPECIAL_LBL)*(INC_SPECIALS="Y"))=0,"",'Dvd Calendar'!$S$993)))</f>
        <v/>
      </c>
      <c r="R101" s="161">
        <f>IF(ET101="","",IF(ISNUMBER('Dvd Calendar'!$T$993)=FALSE,"",IF((('Dvd Calendar'!$T$995=TYPE1)*(TYPE1&lt;&gt;"")+('Dvd Calendar'!$T$995=TYPE2)*(TYPE2&lt;&gt;"")+('Dvd Calendar'!$T$995=TYPE3)*(TYPE3&lt;&gt;"")+('Dvd Calendar'!$T$995=TYPE4)*(TYPE4&lt;&gt;"")+('Dvd Calendar'!$T$995=SPECIAL_LBL)*(INC_SPECIALS="Y"))=0,"",'Dvd Calendar'!$T$993)))</f>
        <v/>
      </c>
      <c r="S101" s="161">
        <f>IF(EU101="","",IF(ISNUMBER('Dvd Calendar'!$U$993)=FALSE,"",IF((('Dvd Calendar'!$U$995=TYPE1)*(TYPE1&lt;&gt;"")+('Dvd Calendar'!$U$995=TYPE2)*(TYPE2&lt;&gt;"")+('Dvd Calendar'!$U$995=TYPE3)*(TYPE3&lt;&gt;"")+('Dvd Calendar'!$U$995=TYPE4)*(TYPE4&lt;&gt;"")+('Dvd Calendar'!$U$995=SPECIAL_LBL)*(INC_SPECIALS="Y"))=0,"",'Dvd Calendar'!$U$993)))</f>
        <v/>
      </c>
      <c r="T101" s="161">
        <f>IF(EV101="","",IF(ISNUMBER('Dvd Calendar'!$V$993)=FALSE,"",IF((('Dvd Calendar'!$V$995=TYPE1)*(TYPE1&lt;&gt;"")+('Dvd Calendar'!$V$995=TYPE2)*(TYPE2&lt;&gt;"")+('Dvd Calendar'!$V$995=TYPE3)*(TYPE3&lt;&gt;"")+('Dvd Calendar'!$V$995=TYPE4)*(TYPE4&lt;&gt;"")+('Dvd Calendar'!$V$995=SPECIAL_LBL)*(INC_SPECIALS="Y"))=0,"",'Dvd Calendar'!$V$993)))</f>
        <v/>
      </c>
      <c r="U101" s="161">
        <f>IF(EW101="","",IF(ISNUMBER('Dvd Calendar'!$W$993)=FALSE,"",IF((('Dvd Calendar'!$W$995=TYPE1)*(TYPE1&lt;&gt;"")+('Dvd Calendar'!$W$995=TYPE2)*(TYPE2&lt;&gt;"")+('Dvd Calendar'!$W$995=TYPE3)*(TYPE3&lt;&gt;"")+('Dvd Calendar'!$W$995=TYPE4)*(TYPE4&lt;&gt;"")+('Dvd Calendar'!$W$995=SPECIAL_LBL)*(INC_SPECIALS="Y"))=0,"",'Dvd Calendar'!$W$993)))</f>
        <v/>
      </c>
      <c r="V101" s="161">
        <f>IF(EX101="","",IF(ISNUMBER('Dvd Calendar'!$X$993)=FALSE,"",IF((('Dvd Calendar'!$X$995=TYPE1)*(TYPE1&lt;&gt;"")+('Dvd Calendar'!$X$995=TYPE2)*(TYPE2&lt;&gt;"")+('Dvd Calendar'!$X$995=TYPE3)*(TYPE3&lt;&gt;"")+('Dvd Calendar'!$X$995=TYPE4)*(TYPE4&lt;&gt;"")+('Dvd Calendar'!$X$995=SPECIAL_LBL)*(INC_SPECIALS="Y"))=0,"",'Dvd Calendar'!$X$993)))</f>
        <v/>
      </c>
      <c r="W101" s="161">
        <f>IF(EY101="","",IF(ISNUMBER('Dvd Calendar'!$Y$993)=FALSE,"",IF((('Dvd Calendar'!$Y$995=TYPE1)*(TYPE1&lt;&gt;"")+('Dvd Calendar'!$Y$995=TYPE2)*(TYPE2&lt;&gt;"")+('Dvd Calendar'!$Y$995=TYPE3)*(TYPE3&lt;&gt;"")+('Dvd Calendar'!$Y$995=TYPE4)*(TYPE4&lt;&gt;"")+('Dvd Calendar'!$Y$995=SPECIAL_LBL)*(INC_SPECIALS="Y"))=0,"",'Dvd Calendar'!$Y$993)))</f>
        <v/>
      </c>
      <c r="X101" s="161">
        <f>IF(EZ101="","",IF(ISNUMBER('Dvd Calendar'!$Z$993)=FALSE,"",IF((('Dvd Calendar'!$Z$995=TYPE1)*(TYPE1&lt;&gt;"")+('Dvd Calendar'!$Z$995=TYPE2)*(TYPE2&lt;&gt;"")+('Dvd Calendar'!$Z$995=TYPE3)*(TYPE3&lt;&gt;"")+('Dvd Calendar'!$Z$995=TYPE4)*(TYPE4&lt;&gt;"")+('Dvd Calendar'!$Z$995=SPECIAL_LBL)*(INC_SPECIALS="Y"))=0,"",'Dvd Calendar'!$Z$993)))</f>
        <v/>
      </c>
      <c r="Y101" s="161">
        <f>IF(FA101="","",IF(ISNUMBER('Dvd Calendar'!$AA$993)=FALSE,"",IF((('Dvd Calendar'!$AA$995=TYPE1)*(TYPE1&lt;&gt;"")+('Dvd Calendar'!$AA$995=TYPE2)*(TYPE2&lt;&gt;"")+('Dvd Calendar'!$AA$995=TYPE3)*(TYPE3&lt;&gt;"")+('Dvd Calendar'!$AA$995=TYPE4)*(TYPE4&lt;&gt;"")+('Dvd Calendar'!$AA$995=SPECIAL_LBL)*(INC_SPECIALS="Y"))=0,"",'Dvd Calendar'!$AA$993)))</f>
        <v/>
      </c>
      <c r="Z101" s="161">
        <f>IF(FB101="","",IF(ISNUMBER('Dvd Calendar'!$AB$993)=FALSE,"",IF((('Dvd Calendar'!$AB$995=TYPE1)*(TYPE1&lt;&gt;"")+('Dvd Calendar'!$AB$995=TYPE2)*(TYPE2&lt;&gt;"")+('Dvd Calendar'!$AB$995=TYPE3)*(TYPE3&lt;&gt;"")+('Dvd Calendar'!$AB$995=TYPE4)*(TYPE4&lt;&gt;"")+('Dvd Calendar'!$AB$995=SPECIAL_LBL)*(INC_SPECIALS="Y"))=0,"",'Dvd Calendar'!$AB$993)))</f>
        <v/>
      </c>
      <c r="AA101" s="161">
        <f>IF(FC101="","",IF(ISNUMBER('Dvd Calendar'!$AC$993)=FALSE,"",IF((('Dvd Calendar'!$AC$995=TYPE1)*(TYPE1&lt;&gt;"")+('Dvd Calendar'!$AC$995=TYPE2)*(TYPE2&lt;&gt;"")+('Dvd Calendar'!$AC$995=TYPE3)*(TYPE3&lt;&gt;"")+('Dvd Calendar'!$AC$995=TYPE4)*(TYPE4&lt;&gt;"")+('Dvd Calendar'!$AC$995=SPECIAL_LBL)*(INC_SPECIALS="Y"))=0,"",'Dvd Calendar'!$AC$993)))</f>
        <v/>
      </c>
      <c r="AB101" s="161">
        <f>IF(FD101="","",IF(ISNUMBER('Dvd Calendar'!$AD$993)=FALSE,"",IF((('Dvd Calendar'!$AD$995=TYPE1)*(TYPE1&lt;&gt;"")+('Dvd Calendar'!$AD$995=TYPE2)*(TYPE2&lt;&gt;"")+('Dvd Calendar'!$AD$995=TYPE3)*(TYPE3&lt;&gt;"")+('Dvd Calendar'!$AD$995=TYPE4)*(TYPE4&lt;&gt;"")+('Dvd Calendar'!$AD$995=SPECIAL_LBL)*(INC_SPECIALS="Y"))=0,"",'Dvd Calendar'!$AD$993)))</f>
        <v/>
      </c>
      <c r="AC101" s="161">
        <f>IF(FE101="","",IF(ISNUMBER('Dvd Calendar'!$AE$993)=FALSE,"",IF((('Dvd Calendar'!$AE$995=TYPE1)*(TYPE1&lt;&gt;"")+('Dvd Calendar'!$AE$995=TYPE2)*(TYPE2&lt;&gt;"")+('Dvd Calendar'!$AE$995=TYPE3)*(TYPE3&lt;&gt;"")+('Dvd Calendar'!$AE$995=TYPE4)*(TYPE4&lt;&gt;"")+('Dvd Calendar'!$AE$995=SPECIAL_LBL)*(INC_SPECIALS="Y"))=0,"",'Dvd Calendar'!$AE$993)))</f>
        <v/>
      </c>
      <c r="AD101" s="161">
        <f>IF(FF101="","",IF(ISNUMBER('Dvd Calendar'!$AF$993)=FALSE,"",IF((('Dvd Calendar'!$AF$995=TYPE1)*(TYPE1&lt;&gt;"")+('Dvd Calendar'!$AF$995=TYPE2)*(TYPE2&lt;&gt;"")+('Dvd Calendar'!$AF$995=TYPE3)*(TYPE3&lt;&gt;"")+('Dvd Calendar'!$AF$995=TYPE4)*(TYPE4&lt;&gt;"")+('Dvd Calendar'!$AF$995=SPECIAL_LBL)*(INC_SPECIALS="Y"))=0,"",'Dvd Calendar'!$AF$993)))</f>
        <v/>
      </c>
      <c r="AE101" s="161">
        <f>IF(FG101="","",IF(ISNUMBER('Dvd Calendar'!$AG$993)=FALSE,"",IF((('Dvd Calendar'!$AG$995=TYPE1)*(TYPE1&lt;&gt;"")+('Dvd Calendar'!$AG$995=TYPE2)*(TYPE2&lt;&gt;"")+('Dvd Calendar'!$AG$995=TYPE3)*(TYPE3&lt;&gt;"")+('Dvd Calendar'!$AG$995=TYPE4)*(TYPE4&lt;&gt;"")+('Dvd Calendar'!$AG$995=SPECIAL_LBL)*(INC_SPECIALS="Y"))=0,"",'Dvd Calendar'!$AG$993)))</f>
        <v/>
      </c>
      <c r="AF101" s="161">
        <f>IF(FH101="","",IF(ISNUMBER('Dvd Calendar'!$AH$993)=FALSE,"",IF((('Dvd Calendar'!$AH$995=TYPE1)*(TYPE1&lt;&gt;"")+('Dvd Calendar'!$AH$995=TYPE2)*(TYPE2&lt;&gt;"")+('Dvd Calendar'!$AH$995=TYPE3)*(TYPE3&lt;&gt;"")+('Dvd Calendar'!$AH$995=TYPE4)*(TYPE4&lt;&gt;"")+('Dvd Calendar'!$AH$995=SPECIAL_LBL)*(INC_SPECIALS="Y"))=0,"",'Dvd Calendar'!$AH$993)))</f>
        <v/>
      </c>
      <c r="AG101" s="161">
        <f>IF(FI101="","",IF(ISNUMBER('Dvd Calendar'!$AI$993)=FALSE,"",IF((('Dvd Calendar'!$AI$995=TYPE1)*(TYPE1&lt;&gt;"")+('Dvd Calendar'!$AI$995=TYPE2)*(TYPE2&lt;&gt;"")+('Dvd Calendar'!$AI$995=TYPE3)*(TYPE3&lt;&gt;"")+('Dvd Calendar'!$AI$995=TYPE4)*(TYPE4&lt;&gt;"")+('Dvd Calendar'!$AI$995=SPECIAL_LBL)*(INC_SPECIALS="Y"))=0,"",'Dvd Calendar'!$AI$993)))</f>
        <v/>
      </c>
      <c r="AH101" s="161">
        <f>IF(FJ101="","",IF(ISNUMBER('Dvd Calendar'!$AJ$993)=FALSE,"",IF((('Dvd Calendar'!$AJ$995=TYPE1)*(TYPE1&lt;&gt;"")+('Dvd Calendar'!$AJ$995=TYPE2)*(TYPE2&lt;&gt;"")+('Dvd Calendar'!$AJ$995=TYPE3)*(TYPE3&lt;&gt;"")+('Dvd Calendar'!$AJ$995=TYPE4)*(TYPE4&lt;&gt;"")+('Dvd Calendar'!$AJ$995=SPECIAL_LBL)*(INC_SPECIALS="Y"))=0,"",'Dvd Calendar'!$AJ$993)))</f>
        <v/>
      </c>
      <c r="AI101" s="161">
        <f>IF(FK101="","",IF(ISNUMBER('Dvd Calendar'!$AK$993)=FALSE,"",IF((('Dvd Calendar'!$AK$995=TYPE1)*(TYPE1&lt;&gt;"")+('Dvd Calendar'!$AK$995=TYPE2)*(TYPE2&lt;&gt;"")+('Dvd Calendar'!$AK$995=TYPE3)*(TYPE3&lt;&gt;"")+('Dvd Calendar'!$AK$995=TYPE4)*(TYPE4&lt;&gt;"")+('Dvd Calendar'!$AK$995=SPECIAL_LBL)*(INC_SPECIALS="Y"))=0,"",'Dvd Calendar'!$AK$993)))</f>
        <v/>
      </c>
      <c r="AJ101" s="161">
        <f>IF(FL101="","",IF(ISNUMBER('Dvd Calendar'!$AL$993)=FALSE,"",IF((('Dvd Calendar'!$AL$995=TYPE1)*(TYPE1&lt;&gt;"")+('Dvd Calendar'!$AL$995=TYPE2)*(TYPE2&lt;&gt;"")+('Dvd Calendar'!$AL$995=TYPE3)*(TYPE3&lt;&gt;"")+('Dvd Calendar'!$AL$995=TYPE4)*(TYPE4&lt;&gt;"")+('Dvd Calendar'!$AL$995=SPECIAL_LBL)*(INC_SPECIALS="Y"))=0,"",'Dvd Calendar'!$AL$993)))</f>
        <v/>
      </c>
      <c r="AK101" s="161">
        <f>IF(FM101="","",IF(ISNUMBER('Dvd Calendar'!$AM$993)=FALSE,"",IF((('Dvd Calendar'!$AM$995=TYPE1)*(TYPE1&lt;&gt;"")+('Dvd Calendar'!$AM$995=TYPE2)*(TYPE2&lt;&gt;"")+('Dvd Calendar'!$AM$995=TYPE3)*(TYPE3&lt;&gt;"")+('Dvd Calendar'!$AM$995=TYPE4)*(TYPE4&lt;&gt;"")+('Dvd Calendar'!$AM$995=SPECIAL_LBL)*(INC_SPECIALS="Y"))=0,"",'Dvd Calendar'!$AM$993)))</f>
        <v/>
      </c>
      <c r="AL101" s="161">
        <f>IF(FN101="","",IF(ISNUMBER('Dvd Calendar'!$AN$993)=FALSE,"",IF((('Dvd Calendar'!$AN$995=TYPE1)*(TYPE1&lt;&gt;"")+('Dvd Calendar'!$AN$995=TYPE2)*(TYPE2&lt;&gt;"")+('Dvd Calendar'!$AN$995=TYPE3)*(TYPE3&lt;&gt;"")+('Dvd Calendar'!$AN$995=TYPE4)*(TYPE4&lt;&gt;"")+('Dvd Calendar'!$AN$995=SPECIAL_LBL)*(INC_SPECIALS="Y"))=0,"",'Dvd Calendar'!$AN$993)))</f>
        <v/>
      </c>
      <c r="AM101" s="161">
        <f>IF(FO101="","",IF(ISNUMBER('Dvd Calendar'!$AO$993)=FALSE,"",IF((('Dvd Calendar'!$AO$995=TYPE1)*(TYPE1&lt;&gt;"")+('Dvd Calendar'!$AO$995=TYPE2)*(TYPE2&lt;&gt;"")+('Dvd Calendar'!$AO$995=TYPE3)*(TYPE3&lt;&gt;"")+('Dvd Calendar'!$AO$995=TYPE4)*(TYPE4&lt;&gt;"")+('Dvd Calendar'!$AO$995=SPECIAL_LBL)*(INC_SPECIALS="Y"))=0,"",'Dvd Calendar'!$AO$993)))</f>
        <v/>
      </c>
      <c r="AN101" s="161">
        <f>IF(FP101="","",IF(ISNUMBER('Dvd Calendar'!$AP$993)=FALSE,"",IF((('Dvd Calendar'!$AP$995=TYPE1)*(TYPE1&lt;&gt;"")+('Dvd Calendar'!$AP$995=TYPE2)*(TYPE2&lt;&gt;"")+('Dvd Calendar'!$AP$995=TYPE3)*(TYPE3&lt;&gt;"")+('Dvd Calendar'!$AP$995=TYPE4)*(TYPE4&lt;&gt;"")+('Dvd Calendar'!$AP$995=SPECIAL_LBL)*(INC_SPECIALS="Y"))=0,"",'Dvd Calendar'!$AP$993)))</f>
        <v/>
      </c>
      <c r="AO101" s="161">
        <f>IF(FQ101="","",IF(ISNUMBER('Dvd Calendar'!$AQ$993)=FALSE,"",IF((('Dvd Calendar'!$AQ$995=TYPE1)*(TYPE1&lt;&gt;"")+('Dvd Calendar'!$AQ$995=TYPE2)*(TYPE2&lt;&gt;"")+('Dvd Calendar'!$AQ$995=TYPE3)*(TYPE3&lt;&gt;"")+('Dvd Calendar'!$AQ$995=TYPE4)*(TYPE4&lt;&gt;"")+('Dvd Calendar'!$AQ$995=SPECIAL_LBL)*(INC_SPECIALS="Y"))=0,"",'Dvd Calendar'!$AQ$993)))</f>
        <v/>
      </c>
      <c r="AP101" s="161">
        <f>IF(FR101="","",IF(ISNUMBER('Dvd Calendar'!$AR$993)=FALSE,"",IF((('Dvd Calendar'!$AR$995=TYPE1)*(TYPE1&lt;&gt;"")+('Dvd Calendar'!$AR$995=TYPE2)*(TYPE2&lt;&gt;"")+('Dvd Calendar'!$AR$995=TYPE3)*(TYPE3&lt;&gt;"")+('Dvd Calendar'!$AR$995=TYPE4)*(TYPE4&lt;&gt;"")+('Dvd Calendar'!$AR$995=SPECIAL_LBL)*(INC_SPECIALS="Y"))=0,"",'Dvd Calendar'!$AR$993)))</f>
        <v/>
      </c>
      <c r="AQ101" s="161">
        <f>IF(FS101="","",IF(ISNUMBER('Dvd Calendar'!$E$998)=FALSE,"",'Dvd Calendar'!$E$998))</f>
        <v/>
      </c>
      <c r="AR101" s="161">
        <f>IF(FT101="","",IF(ISNUMBER('Dvd Calendar'!$F$998)=FALSE,"",'Dvd Calendar'!$F$998))</f>
        <v/>
      </c>
      <c r="AS101" s="161">
        <f>IF(FU101="","",IF(ISNUMBER('Dvd Calendar'!$G$998)=FALSE,"",'Dvd Calendar'!$G$998))</f>
        <v/>
      </c>
      <c r="AT101" s="161">
        <f>IF(FV101="","",IF(ISNUMBER('Dvd Calendar'!$H$998)=FALSE,"",'Dvd Calendar'!$H$998))</f>
        <v/>
      </c>
      <c r="AU101" s="161">
        <f>IF(FW101="","",IF(ISNUMBER('Dvd Calendar'!$I$998)=FALSE,"",'Dvd Calendar'!$I$998))</f>
        <v/>
      </c>
      <c r="AV101" s="161">
        <f>IF(FX101="","",IF(ISNUMBER('Dvd Calendar'!$J$998)=FALSE,"",'Dvd Calendar'!$J$998))</f>
        <v/>
      </c>
      <c r="AW101" s="161">
        <f>IF(FY101="","",IF(ISNUMBER('Dvd Calendar'!$K$998)=FALSE,"",'Dvd Calendar'!$K$998))</f>
        <v/>
      </c>
      <c r="AX101" s="161">
        <f>IF(FZ101="","",IF(ISNUMBER('Dvd Calendar'!$L$998)=FALSE,"",'Dvd Calendar'!$L$998))</f>
        <v/>
      </c>
      <c r="AY101" s="161">
        <f>IF(GA101="","",IF(ISNUMBER('Dvd Calendar'!$M$998)=FALSE,"",'Dvd Calendar'!$M$998))</f>
        <v/>
      </c>
      <c r="AZ101" s="161">
        <f>IF(GB101="","",IF(ISNUMBER('Dvd Calendar'!$N$998)=FALSE,"",'Dvd Calendar'!$N$998))</f>
        <v/>
      </c>
      <c r="BA101" s="161">
        <f>IF(GC101="","",IF(ISNUMBER('Dvd Calendar'!$O$998)=FALSE,"",'Dvd Calendar'!$O$998))</f>
        <v/>
      </c>
      <c r="BB101" s="161">
        <f>IF(GD101="","",IF(ISNUMBER('Dvd Calendar'!$P$998)=FALSE,"",'Dvd Calendar'!$P$998))</f>
        <v/>
      </c>
      <c r="BC101" s="161">
        <f>IF(GE101="","",IF(ISNUMBER('Dvd Calendar'!$Q$998)=FALSE,"",'Dvd Calendar'!$Q$998))</f>
        <v/>
      </c>
      <c r="BD101" s="161">
        <f>IF(GF101="","",IF(ISNUMBER('Dvd Calendar'!$R$998)=FALSE,"",'Dvd Calendar'!$R$998))</f>
        <v/>
      </c>
      <c r="BE101" s="161">
        <f>IF(GG101="","",IF(ISNUMBER('Dvd Calendar'!$S$998)=FALSE,"",'Dvd Calendar'!$S$998))</f>
        <v/>
      </c>
      <c r="BF101" s="161">
        <f>IF(GH101="","",IF(ISNUMBER('Dvd Calendar'!$T$998)=FALSE,"",'Dvd Calendar'!$T$998))</f>
        <v/>
      </c>
      <c r="BG101" s="161">
        <f>IF(GI101="","",IF(ISNUMBER('Dvd Calendar'!$U$998)=FALSE,"",'Dvd Calendar'!$U$998))</f>
        <v/>
      </c>
      <c r="BH101" s="161">
        <f>IF(GJ101="","",IF(ISNUMBER('Dvd Calendar'!$V$998)=FALSE,"",'Dvd Calendar'!$V$998))</f>
        <v/>
      </c>
      <c r="BI101" s="161">
        <f>IF(GK101="","",IF(ISNUMBER('Dvd Calendar'!$W$998)=FALSE,"",'Dvd Calendar'!$W$998))</f>
        <v/>
      </c>
      <c r="BJ101" s="161">
        <f>IF(GL101="","",IF(ISNUMBER('Dvd Calendar'!$X$998)=FALSE,"",'Dvd Calendar'!$X$998))</f>
        <v/>
      </c>
      <c r="BK101" s="161">
        <f>IF(GM101="","",IF(ISNUMBER('Dvd Calendar'!$Y$998)=FALSE,"",'Dvd Calendar'!$Y$998))</f>
        <v/>
      </c>
      <c r="BL101" s="161">
        <f>IF(GN101="","",IF(ISNUMBER('Dvd Calendar'!$Z$998)=FALSE,"",'Dvd Calendar'!$Z$998))</f>
        <v/>
      </c>
      <c r="BM101" s="161">
        <f>IF(GO101="","",IF(ISNUMBER('Dvd Calendar'!$AA$998)=FALSE,"",'Dvd Calendar'!$AA$998))</f>
        <v/>
      </c>
      <c r="BN101" s="161">
        <f>IF(GP101="","",IF(ISNUMBER('Dvd Calendar'!$AB$998)=FALSE,"",'Dvd Calendar'!$AB$998))</f>
        <v/>
      </c>
      <c r="BO101" s="161">
        <f>IF(GQ101="","",IF(ISNUMBER('Dvd Calendar'!$AC$998)=FALSE,"",'Dvd Calendar'!$AC$998))</f>
        <v/>
      </c>
      <c r="BQ101" s="161">
        <f>IF(C101="","",IFERROR(C101*HSI!$B$96*HSI!$G$96/HSI!$B$3,""))</f>
        <v/>
      </c>
      <c r="BR101" s="161">
        <f>IF(D101="","",IFERROR(D101*HSI!$B$96*HSI!$G$96/HSI!$B$3,""))</f>
        <v/>
      </c>
      <c r="BS101" s="161">
        <f>IF(E101="","",IFERROR(E101*HSI!$B$96*HSI!$G$96/HSI!$B$3,""))</f>
        <v/>
      </c>
      <c r="BT101" s="161">
        <f>IF(F101="","",IFERROR(F101*HSI!$B$96*HSI!$G$96/HSI!$B$3,""))</f>
        <v/>
      </c>
      <c r="BU101" s="161">
        <f>IF(G101="","",IFERROR(G101*HSI!$B$96*HSI!$G$96/HSI!$B$3,""))</f>
        <v/>
      </c>
      <c r="BV101" s="161">
        <f>IF(H101="","",IFERROR(H101*HSI!$B$96*HSI!$G$96/HSI!$B$3,""))</f>
        <v/>
      </c>
      <c r="BW101" s="161">
        <f>IF(I101="","",IFERROR(I101*HSI!$B$96*HSI!$G$96/HSI!$B$3,""))</f>
        <v/>
      </c>
      <c r="BX101" s="161">
        <f>IF(J101="","",IFERROR(J101*HSI!$B$96*HSI!$G$96/HSI!$B$3,""))</f>
        <v/>
      </c>
      <c r="BY101" s="161">
        <f>IF(K101="","",IFERROR(K101*HSI!$B$96*HSI!$G$96/HSI!$B$3,""))</f>
        <v/>
      </c>
      <c r="BZ101" s="161">
        <f>IF(L101="","",IFERROR(L101*HSI!$B$96*HSI!$G$96/HSI!$B$3,""))</f>
        <v/>
      </c>
      <c r="CA101" s="161">
        <f>IF(M101="","",IFERROR(M101*HSI!$B$96*HSI!$G$96/HSI!$B$3,""))</f>
        <v/>
      </c>
      <c r="CB101" s="161">
        <f>IF(N101="","",IFERROR(N101*HSI!$B$96*HSI!$G$96/HSI!$B$3,""))</f>
        <v/>
      </c>
      <c r="CC101" s="161">
        <f>IF(O101="","",IFERROR(O101*HSI!$B$96*HSI!$G$96/HSI!$B$3,""))</f>
        <v/>
      </c>
      <c r="CD101" s="161">
        <f>IF(P101="","",IFERROR(P101*HSI!$B$96*HSI!$G$96/HSI!$B$3,""))</f>
        <v/>
      </c>
      <c r="CE101" s="161">
        <f>IF(Q101="","",IFERROR(Q101*HSI!$B$96*HSI!$G$96/HSI!$B$3,""))</f>
        <v/>
      </c>
      <c r="CF101" s="161">
        <f>IF(R101="","",IFERROR(R101*HSI!$B$96*HSI!$G$96/HSI!$B$3,""))</f>
        <v/>
      </c>
      <c r="CG101" s="161">
        <f>IF(S101="","",IFERROR(S101*HSI!$B$96*HSI!$G$96/HSI!$B$3,""))</f>
        <v/>
      </c>
      <c r="CH101" s="161">
        <f>IF(T101="","",IFERROR(T101*HSI!$B$96*HSI!$G$96/HSI!$B$3,""))</f>
        <v/>
      </c>
      <c r="CI101" s="161">
        <f>IF(U101="","",IFERROR(U101*HSI!$B$96*HSI!$G$96/HSI!$B$3,""))</f>
        <v/>
      </c>
      <c r="CJ101" s="161">
        <f>IF(V101="","",IFERROR(V101*HSI!$B$96*HSI!$G$96/HSI!$B$3,""))</f>
        <v/>
      </c>
      <c r="CK101" s="161">
        <f>IF(W101="","",IFERROR(W101*HSI!$B$96*HSI!$G$96/HSI!$B$3,""))</f>
        <v/>
      </c>
      <c r="CL101" s="161">
        <f>IF(X101="","",IFERROR(X101*HSI!$B$96*HSI!$G$96/HSI!$B$3,""))</f>
        <v/>
      </c>
      <c r="CM101" s="161">
        <f>IF(Y101="","",IFERROR(Y101*HSI!$B$96*HSI!$G$96/HSI!$B$3,""))</f>
        <v/>
      </c>
      <c r="CN101" s="161">
        <f>IF(Z101="","",IFERROR(Z101*HSI!$B$96*HSI!$G$96/HSI!$B$3,""))</f>
        <v/>
      </c>
      <c r="CO101" s="161">
        <f>IF(AA101="","",IFERROR(AA101*HSI!$B$96*HSI!$G$96/HSI!$B$3,""))</f>
        <v/>
      </c>
      <c r="CP101" s="161">
        <f>IF(AB101="","",IFERROR(AB101*HSI!$B$96*HSI!$G$96/HSI!$B$3,""))</f>
        <v/>
      </c>
      <c r="CQ101" s="161">
        <f>IF(AC101="","",IFERROR(AC101*HSI!$B$96*HSI!$G$96/HSI!$B$3,""))</f>
        <v/>
      </c>
      <c r="CR101" s="161">
        <f>IF(AD101="","",IFERROR(AD101*HSI!$B$96*HSI!$G$96/HSI!$B$3,""))</f>
        <v/>
      </c>
      <c r="CS101" s="161">
        <f>IF(AE101="","",IFERROR(AE101*HSI!$B$96*HSI!$G$96/HSI!$B$3,""))</f>
        <v/>
      </c>
      <c r="CT101" s="161">
        <f>IF(AF101="","",IFERROR(AF101*HSI!$B$96*HSI!$G$96/HSI!$B$3,""))</f>
        <v/>
      </c>
      <c r="CU101" s="161">
        <f>IF(AG101="","",IFERROR(AG101*HSI!$B$96*HSI!$G$96/HSI!$B$3,""))</f>
        <v/>
      </c>
      <c r="CV101" s="161">
        <f>IF(AH101="","",IFERROR(AH101*HSI!$B$96*HSI!$G$96/HSI!$B$3,""))</f>
        <v/>
      </c>
      <c r="CW101" s="161">
        <f>IF(AI101="","",IFERROR(AI101*HSI!$B$96*HSI!$G$96/HSI!$B$3,""))</f>
        <v/>
      </c>
      <c r="CX101" s="161">
        <f>IF(AJ101="","",IFERROR(AJ101*HSI!$B$96*HSI!$G$96/HSI!$B$3,""))</f>
        <v/>
      </c>
      <c r="CY101" s="161">
        <f>IF(AK101="","",IFERROR(AK101*HSI!$B$96*HSI!$G$96/HSI!$B$3,""))</f>
        <v/>
      </c>
      <c r="CZ101" s="161">
        <f>IF(AL101="","",IFERROR(AL101*HSI!$B$96*HSI!$G$96/HSI!$B$3,""))</f>
        <v/>
      </c>
      <c r="DA101" s="161">
        <f>IF(AM101="","",IFERROR(AM101*HSI!$B$96*HSI!$G$96/HSI!$B$3,""))</f>
        <v/>
      </c>
      <c r="DB101" s="161">
        <f>IF(AN101="","",IFERROR(AN101*HSI!$B$96*HSI!$G$96/HSI!$B$3,""))</f>
        <v/>
      </c>
      <c r="DC101" s="161">
        <f>IF(AO101="","",IFERROR(AO101*HSI!$B$96*HSI!$G$96/HSI!$B$3,""))</f>
        <v/>
      </c>
      <c r="DD101" s="161">
        <f>IF(AP101="","",IFERROR(AP101*HSI!$B$96*HSI!$G$96/HSI!$B$3,""))</f>
        <v/>
      </c>
      <c r="DE101" s="161">
        <f>IF(AQ101="","",IFERROR(AQ101*HSI!$B$96*HSI!$G$96/HSI!$B$3,""))</f>
        <v/>
      </c>
      <c r="DF101" s="161">
        <f>IF(AR101="","",IFERROR(AR101*HSI!$B$96*HSI!$G$96/HSI!$B$3,""))</f>
        <v/>
      </c>
      <c r="DG101" s="161">
        <f>IF(AS101="","",IFERROR(AS101*HSI!$B$96*HSI!$G$96/HSI!$B$3,""))</f>
        <v/>
      </c>
      <c r="DH101" s="161">
        <f>IF(AT101="","",IFERROR(AT101*HSI!$B$96*HSI!$G$96/HSI!$B$3,""))</f>
        <v/>
      </c>
      <c r="DI101" s="161">
        <f>IF(AU101="","",IFERROR(AU101*HSI!$B$96*HSI!$G$96/HSI!$B$3,""))</f>
        <v/>
      </c>
      <c r="DJ101" s="161">
        <f>IF(AV101="","",IFERROR(AV101*HSI!$B$96*HSI!$G$96/HSI!$B$3,""))</f>
        <v/>
      </c>
      <c r="DK101" s="161">
        <f>IF(AW101="","",IFERROR(AW101*HSI!$B$96*HSI!$G$96/HSI!$B$3,""))</f>
        <v/>
      </c>
      <c r="DL101" s="161">
        <f>IF(AX101="","",IFERROR(AX101*HSI!$B$96*HSI!$G$96/HSI!$B$3,""))</f>
        <v/>
      </c>
      <c r="DM101" s="161">
        <f>IF(AY101="","",IFERROR(AY101*HSI!$B$96*HSI!$G$96/HSI!$B$3,""))</f>
        <v/>
      </c>
      <c r="DN101" s="161">
        <f>IF(AZ101="","",IFERROR(AZ101*HSI!$B$96*HSI!$G$96/HSI!$B$3,""))</f>
        <v/>
      </c>
      <c r="DO101" s="161">
        <f>IF(BA101="","",IFERROR(BA101*HSI!$B$96*HSI!$G$96/HSI!$B$3,""))</f>
        <v/>
      </c>
      <c r="DP101" s="161">
        <f>IF(BB101="","",IFERROR(BB101*HSI!$B$96*HSI!$G$96/HSI!$B$3,""))</f>
        <v/>
      </c>
      <c r="DQ101" s="161">
        <f>IF(BC101="","",IFERROR(BC101*HSI!$B$96*HSI!$G$96/HSI!$B$3,""))</f>
        <v/>
      </c>
      <c r="DR101" s="161">
        <f>IF(BD101="","",IFERROR(BD101*HSI!$B$96*HSI!$G$96/HSI!$B$3,""))</f>
        <v/>
      </c>
      <c r="DS101" s="161">
        <f>IF(BE101="","",IFERROR(BE101*HSI!$B$96*HSI!$G$96/HSI!$B$3,""))</f>
        <v/>
      </c>
      <c r="DT101" s="161">
        <f>IF(BF101="","",IFERROR(BF101*HSI!$B$96*HSI!$G$96/HSI!$B$3,""))</f>
        <v/>
      </c>
      <c r="DU101" s="161">
        <f>IF(BG101="","",IFERROR(BG101*HSI!$B$96*HSI!$G$96/HSI!$B$3,""))</f>
        <v/>
      </c>
      <c r="DV101" s="161">
        <f>IF(BH101="","",IFERROR(BH101*HSI!$B$96*HSI!$G$96/HSI!$B$3,""))</f>
        <v/>
      </c>
      <c r="DW101" s="161">
        <f>IF(BI101="","",IFERROR(BI101*HSI!$B$96*HSI!$G$96/HSI!$B$3,""))</f>
        <v/>
      </c>
      <c r="DX101" s="161">
        <f>IF(BJ101="","",IFERROR(BJ101*HSI!$B$96*HSI!$G$96/HSI!$B$3,""))</f>
        <v/>
      </c>
      <c r="DY101" s="161">
        <f>IF(BK101="","",IFERROR(BK101*HSI!$B$96*HSI!$G$96/HSI!$B$3,""))</f>
        <v/>
      </c>
      <c r="DZ101" s="161">
        <f>IF(BL101="","",IFERROR(BL101*HSI!$B$96*HSI!$G$96/HSI!$B$3,""))</f>
        <v/>
      </c>
      <c r="EA101" s="161">
        <f>IF(BM101="","",IFERROR(BM101*HSI!$B$96*HSI!$G$96/HSI!$B$3,""))</f>
        <v/>
      </c>
      <c r="EB101" s="161">
        <f>IF(BN101="","",IFERROR(BN101*HSI!$B$96*HSI!$G$96/HSI!$B$3,""))</f>
        <v/>
      </c>
      <c r="EC101" s="161">
        <f>IF(BO101="","",IFERROR(BO101*HSI!$B$96*HSI!$G$96/HSI!$B$3,""))</f>
        <v/>
      </c>
      <c r="EE101" s="121">
        <f>IF(N('Dvd Calendar'!$E$990)=0,"",IF(('Dvd Calendar'!$E$990&gt;=GRID_FROM)*('Dvd Calendar'!$E$990&lt;=GRID_TO)*((('Dvd Calendar'!$E$990&lt;=VAL_DATE)+(COUNTIF('Dvd Calendar'!$E$997:$AR$997,'Dvd Calendar'!$E$990)=0))&gt;0)=0,"",'Dvd Calendar'!$E$990*1000000000+ISNUMBER('Dvd Calendar'!$E$993)*100000000+('Dvd Calendar'!$E$995=SPECIAL_LBL)*10000000+(N('Dvd Calendar'!$E$989)&gt;0)*(N('Dvd Calendar'!$E$989)&lt;=VAL_SERIAL)*1000000+90*1000+1))</f>
        <v/>
      </c>
      <c r="EF101" s="121">
        <f>IF(N('Dvd Calendar'!$F$990)=0,"",IF(('Dvd Calendar'!$F$990&gt;=GRID_FROM)*('Dvd Calendar'!$F$990&lt;=GRID_TO)*((('Dvd Calendar'!$F$990&lt;=VAL_DATE)+(COUNTIF('Dvd Calendar'!$E$997:$AR$997,'Dvd Calendar'!$F$990)=0))&gt;0)=0,"",'Dvd Calendar'!$F$990*1000000000+ISNUMBER('Dvd Calendar'!$F$993)*100000000+('Dvd Calendar'!$F$995=SPECIAL_LBL)*10000000+(N('Dvd Calendar'!$F$989)&gt;0)*(N('Dvd Calendar'!$F$989)&lt;=VAL_SERIAL)*1000000+90*1000+2))</f>
        <v/>
      </c>
      <c r="EG101" s="121">
        <f>IF(N('Dvd Calendar'!$G$990)=0,"",IF(('Dvd Calendar'!$G$990&gt;=GRID_FROM)*('Dvd Calendar'!$G$990&lt;=GRID_TO)*((('Dvd Calendar'!$G$990&lt;=VAL_DATE)+(COUNTIF('Dvd Calendar'!$E$997:$AR$997,'Dvd Calendar'!$G$990)=0))&gt;0)=0,"",'Dvd Calendar'!$G$990*1000000000+ISNUMBER('Dvd Calendar'!$G$993)*100000000+('Dvd Calendar'!$G$995=SPECIAL_LBL)*10000000+(N('Dvd Calendar'!$G$989)&gt;0)*(N('Dvd Calendar'!$G$989)&lt;=VAL_SERIAL)*1000000+90*1000+3))</f>
        <v/>
      </c>
      <c r="EH101" s="121">
        <f>IF(N('Dvd Calendar'!$H$990)=0,"",IF(('Dvd Calendar'!$H$990&gt;=GRID_FROM)*('Dvd Calendar'!$H$990&lt;=GRID_TO)*((('Dvd Calendar'!$H$990&lt;=VAL_DATE)+(COUNTIF('Dvd Calendar'!$E$997:$AR$997,'Dvd Calendar'!$H$990)=0))&gt;0)=0,"",'Dvd Calendar'!$H$990*1000000000+ISNUMBER('Dvd Calendar'!$H$993)*100000000+('Dvd Calendar'!$H$995=SPECIAL_LBL)*10000000+(N('Dvd Calendar'!$H$989)&gt;0)*(N('Dvd Calendar'!$H$989)&lt;=VAL_SERIAL)*1000000+90*1000+4))</f>
        <v/>
      </c>
      <c r="EI101" s="121">
        <f>IF(N('Dvd Calendar'!$I$990)=0,"",IF(('Dvd Calendar'!$I$990&gt;=GRID_FROM)*('Dvd Calendar'!$I$990&lt;=GRID_TO)*((('Dvd Calendar'!$I$990&lt;=VAL_DATE)+(COUNTIF('Dvd Calendar'!$E$997:$AR$997,'Dvd Calendar'!$I$990)=0))&gt;0)=0,"",'Dvd Calendar'!$I$990*1000000000+ISNUMBER('Dvd Calendar'!$I$993)*100000000+('Dvd Calendar'!$I$995=SPECIAL_LBL)*10000000+(N('Dvd Calendar'!$I$989)&gt;0)*(N('Dvd Calendar'!$I$989)&lt;=VAL_SERIAL)*1000000+90*1000+5))</f>
        <v/>
      </c>
      <c r="EJ101" s="121">
        <f>IF(N('Dvd Calendar'!$J$990)=0,"",IF(('Dvd Calendar'!$J$990&gt;=GRID_FROM)*('Dvd Calendar'!$J$990&lt;=GRID_TO)*((('Dvd Calendar'!$J$990&lt;=VAL_DATE)+(COUNTIF('Dvd Calendar'!$E$997:$AR$997,'Dvd Calendar'!$J$990)=0))&gt;0)=0,"",'Dvd Calendar'!$J$990*1000000000+ISNUMBER('Dvd Calendar'!$J$993)*100000000+('Dvd Calendar'!$J$995=SPECIAL_LBL)*10000000+(N('Dvd Calendar'!$J$989)&gt;0)*(N('Dvd Calendar'!$J$989)&lt;=VAL_SERIAL)*1000000+90*1000+6))</f>
        <v/>
      </c>
      <c r="EK101" s="121">
        <f>IF(N('Dvd Calendar'!$K$990)=0,"",IF(('Dvd Calendar'!$K$990&gt;=GRID_FROM)*('Dvd Calendar'!$K$990&lt;=GRID_TO)*((('Dvd Calendar'!$K$990&lt;=VAL_DATE)+(COUNTIF('Dvd Calendar'!$E$997:$AR$997,'Dvd Calendar'!$K$990)=0))&gt;0)=0,"",'Dvd Calendar'!$K$990*1000000000+ISNUMBER('Dvd Calendar'!$K$993)*100000000+('Dvd Calendar'!$K$995=SPECIAL_LBL)*10000000+(N('Dvd Calendar'!$K$989)&gt;0)*(N('Dvd Calendar'!$K$989)&lt;=VAL_SERIAL)*1000000+90*1000+7))</f>
        <v/>
      </c>
      <c r="EL101" s="121">
        <f>IF(N('Dvd Calendar'!$L$990)=0,"",IF(('Dvd Calendar'!$L$990&gt;=GRID_FROM)*('Dvd Calendar'!$L$990&lt;=GRID_TO)*((('Dvd Calendar'!$L$990&lt;=VAL_DATE)+(COUNTIF('Dvd Calendar'!$E$997:$AR$997,'Dvd Calendar'!$L$990)=0))&gt;0)=0,"",'Dvd Calendar'!$L$990*1000000000+ISNUMBER('Dvd Calendar'!$L$993)*100000000+('Dvd Calendar'!$L$995=SPECIAL_LBL)*10000000+(N('Dvd Calendar'!$L$989)&gt;0)*(N('Dvd Calendar'!$L$989)&lt;=VAL_SERIAL)*1000000+90*1000+8))</f>
        <v/>
      </c>
      <c r="EM101" s="121">
        <f>IF(N('Dvd Calendar'!$M$990)=0,"",IF(('Dvd Calendar'!$M$990&gt;=GRID_FROM)*('Dvd Calendar'!$M$990&lt;=GRID_TO)*((('Dvd Calendar'!$M$990&lt;=VAL_DATE)+(COUNTIF('Dvd Calendar'!$E$997:$AR$997,'Dvd Calendar'!$M$990)=0))&gt;0)=0,"",'Dvd Calendar'!$M$990*1000000000+ISNUMBER('Dvd Calendar'!$M$993)*100000000+('Dvd Calendar'!$M$995=SPECIAL_LBL)*10000000+(N('Dvd Calendar'!$M$989)&gt;0)*(N('Dvd Calendar'!$M$989)&lt;=VAL_SERIAL)*1000000+90*1000+9))</f>
        <v/>
      </c>
      <c r="EN101" s="121">
        <f>IF(N('Dvd Calendar'!$N$990)=0,"",IF(('Dvd Calendar'!$N$990&gt;=GRID_FROM)*('Dvd Calendar'!$N$990&lt;=GRID_TO)*((('Dvd Calendar'!$N$990&lt;=VAL_DATE)+(COUNTIF('Dvd Calendar'!$E$997:$AR$997,'Dvd Calendar'!$N$990)=0))&gt;0)=0,"",'Dvd Calendar'!$N$990*1000000000+ISNUMBER('Dvd Calendar'!$N$993)*100000000+('Dvd Calendar'!$N$995=SPECIAL_LBL)*10000000+(N('Dvd Calendar'!$N$989)&gt;0)*(N('Dvd Calendar'!$N$989)&lt;=VAL_SERIAL)*1000000+90*1000+10))</f>
        <v/>
      </c>
      <c r="EO101" s="121">
        <f>IF(N('Dvd Calendar'!$O$990)=0,"",IF(('Dvd Calendar'!$O$990&gt;=GRID_FROM)*('Dvd Calendar'!$O$990&lt;=GRID_TO)*((('Dvd Calendar'!$O$990&lt;=VAL_DATE)+(COUNTIF('Dvd Calendar'!$E$997:$AR$997,'Dvd Calendar'!$O$990)=0))&gt;0)=0,"",'Dvd Calendar'!$O$990*1000000000+ISNUMBER('Dvd Calendar'!$O$993)*100000000+('Dvd Calendar'!$O$995=SPECIAL_LBL)*10000000+(N('Dvd Calendar'!$O$989)&gt;0)*(N('Dvd Calendar'!$O$989)&lt;=VAL_SERIAL)*1000000+90*1000+11))</f>
        <v/>
      </c>
      <c r="EP101" s="121">
        <f>IF(N('Dvd Calendar'!$P$990)=0,"",IF(('Dvd Calendar'!$P$990&gt;=GRID_FROM)*('Dvd Calendar'!$P$990&lt;=GRID_TO)*((('Dvd Calendar'!$P$990&lt;=VAL_DATE)+(COUNTIF('Dvd Calendar'!$E$997:$AR$997,'Dvd Calendar'!$P$990)=0))&gt;0)=0,"",'Dvd Calendar'!$P$990*1000000000+ISNUMBER('Dvd Calendar'!$P$993)*100000000+('Dvd Calendar'!$P$995=SPECIAL_LBL)*10000000+(N('Dvd Calendar'!$P$989)&gt;0)*(N('Dvd Calendar'!$P$989)&lt;=VAL_SERIAL)*1000000+90*1000+12))</f>
        <v/>
      </c>
      <c r="EQ101" s="121">
        <f>IF(N('Dvd Calendar'!$Q$990)=0,"",IF(('Dvd Calendar'!$Q$990&gt;=GRID_FROM)*('Dvd Calendar'!$Q$990&lt;=GRID_TO)*((('Dvd Calendar'!$Q$990&lt;=VAL_DATE)+(COUNTIF('Dvd Calendar'!$E$997:$AR$997,'Dvd Calendar'!$Q$990)=0))&gt;0)=0,"",'Dvd Calendar'!$Q$990*1000000000+ISNUMBER('Dvd Calendar'!$Q$993)*100000000+('Dvd Calendar'!$Q$995=SPECIAL_LBL)*10000000+(N('Dvd Calendar'!$Q$989)&gt;0)*(N('Dvd Calendar'!$Q$989)&lt;=VAL_SERIAL)*1000000+90*1000+13))</f>
        <v/>
      </c>
      <c r="ER101" s="121">
        <f>IF(N('Dvd Calendar'!$R$990)=0,"",IF(('Dvd Calendar'!$R$990&gt;=GRID_FROM)*('Dvd Calendar'!$R$990&lt;=GRID_TO)*((('Dvd Calendar'!$R$990&lt;=VAL_DATE)+(COUNTIF('Dvd Calendar'!$E$997:$AR$997,'Dvd Calendar'!$R$990)=0))&gt;0)=0,"",'Dvd Calendar'!$R$990*1000000000+ISNUMBER('Dvd Calendar'!$R$993)*100000000+('Dvd Calendar'!$R$995=SPECIAL_LBL)*10000000+(N('Dvd Calendar'!$R$989)&gt;0)*(N('Dvd Calendar'!$R$989)&lt;=VAL_SERIAL)*1000000+90*1000+14))</f>
        <v/>
      </c>
      <c r="ES101" s="121">
        <f>IF(N('Dvd Calendar'!$S$990)=0,"",IF(('Dvd Calendar'!$S$990&gt;=GRID_FROM)*('Dvd Calendar'!$S$990&lt;=GRID_TO)*((('Dvd Calendar'!$S$990&lt;=VAL_DATE)+(COUNTIF('Dvd Calendar'!$E$997:$AR$997,'Dvd Calendar'!$S$990)=0))&gt;0)=0,"",'Dvd Calendar'!$S$990*1000000000+ISNUMBER('Dvd Calendar'!$S$993)*100000000+('Dvd Calendar'!$S$995=SPECIAL_LBL)*10000000+(N('Dvd Calendar'!$S$989)&gt;0)*(N('Dvd Calendar'!$S$989)&lt;=VAL_SERIAL)*1000000+90*1000+15))</f>
        <v/>
      </c>
      <c r="ET101" s="121">
        <f>IF(N('Dvd Calendar'!$T$990)=0,"",IF(('Dvd Calendar'!$T$990&gt;=GRID_FROM)*('Dvd Calendar'!$T$990&lt;=GRID_TO)*((('Dvd Calendar'!$T$990&lt;=VAL_DATE)+(COUNTIF('Dvd Calendar'!$E$997:$AR$997,'Dvd Calendar'!$T$990)=0))&gt;0)=0,"",'Dvd Calendar'!$T$990*1000000000+ISNUMBER('Dvd Calendar'!$T$993)*100000000+('Dvd Calendar'!$T$995=SPECIAL_LBL)*10000000+(N('Dvd Calendar'!$T$989)&gt;0)*(N('Dvd Calendar'!$T$989)&lt;=VAL_SERIAL)*1000000+90*1000+16))</f>
        <v/>
      </c>
      <c r="EU101" s="121">
        <f>IF(N('Dvd Calendar'!$U$990)=0,"",IF(('Dvd Calendar'!$U$990&gt;=GRID_FROM)*('Dvd Calendar'!$U$990&lt;=GRID_TO)*((('Dvd Calendar'!$U$990&lt;=VAL_DATE)+(COUNTIF('Dvd Calendar'!$E$997:$AR$997,'Dvd Calendar'!$U$990)=0))&gt;0)=0,"",'Dvd Calendar'!$U$990*1000000000+ISNUMBER('Dvd Calendar'!$U$993)*100000000+('Dvd Calendar'!$U$995=SPECIAL_LBL)*10000000+(N('Dvd Calendar'!$U$989)&gt;0)*(N('Dvd Calendar'!$U$989)&lt;=VAL_SERIAL)*1000000+90*1000+17))</f>
        <v/>
      </c>
      <c r="EV101" s="121">
        <f>IF(N('Dvd Calendar'!$V$990)=0,"",IF(('Dvd Calendar'!$V$990&gt;=GRID_FROM)*('Dvd Calendar'!$V$990&lt;=GRID_TO)*((('Dvd Calendar'!$V$990&lt;=VAL_DATE)+(COUNTIF('Dvd Calendar'!$E$997:$AR$997,'Dvd Calendar'!$V$990)=0))&gt;0)=0,"",'Dvd Calendar'!$V$990*1000000000+ISNUMBER('Dvd Calendar'!$V$993)*100000000+('Dvd Calendar'!$V$995=SPECIAL_LBL)*10000000+(N('Dvd Calendar'!$V$989)&gt;0)*(N('Dvd Calendar'!$V$989)&lt;=VAL_SERIAL)*1000000+90*1000+18))</f>
        <v/>
      </c>
      <c r="EW101" s="121">
        <f>IF(N('Dvd Calendar'!$W$990)=0,"",IF(('Dvd Calendar'!$W$990&gt;=GRID_FROM)*('Dvd Calendar'!$W$990&lt;=GRID_TO)*((('Dvd Calendar'!$W$990&lt;=VAL_DATE)+(COUNTIF('Dvd Calendar'!$E$997:$AR$997,'Dvd Calendar'!$W$990)=0))&gt;0)=0,"",'Dvd Calendar'!$W$990*1000000000+ISNUMBER('Dvd Calendar'!$W$993)*100000000+('Dvd Calendar'!$W$995=SPECIAL_LBL)*10000000+(N('Dvd Calendar'!$W$989)&gt;0)*(N('Dvd Calendar'!$W$989)&lt;=VAL_SERIAL)*1000000+90*1000+19))</f>
        <v/>
      </c>
      <c r="EX101" s="121">
        <f>IF(N('Dvd Calendar'!$X$990)=0,"",IF(('Dvd Calendar'!$X$990&gt;=GRID_FROM)*('Dvd Calendar'!$X$990&lt;=GRID_TO)*((('Dvd Calendar'!$X$990&lt;=VAL_DATE)+(COUNTIF('Dvd Calendar'!$E$997:$AR$997,'Dvd Calendar'!$X$990)=0))&gt;0)=0,"",'Dvd Calendar'!$X$990*1000000000+ISNUMBER('Dvd Calendar'!$X$993)*100000000+('Dvd Calendar'!$X$995=SPECIAL_LBL)*10000000+(N('Dvd Calendar'!$X$989)&gt;0)*(N('Dvd Calendar'!$X$989)&lt;=VAL_SERIAL)*1000000+90*1000+20))</f>
        <v/>
      </c>
      <c r="EY101" s="121">
        <f>IF(N('Dvd Calendar'!$Y$990)=0,"",IF(('Dvd Calendar'!$Y$990&gt;=GRID_FROM)*('Dvd Calendar'!$Y$990&lt;=GRID_TO)*((('Dvd Calendar'!$Y$990&lt;=VAL_DATE)+(COUNTIF('Dvd Calendar'!$E$997:$AR$997,'Dvd Calendar'!$Y$990)=0))&gt;0)=0,"",'Dvd Calendar'!$Y$990*1000000000+ISNUMBER('Dvd Calendar'!$Y$993)*100000000+('Dvd Calendar'!$Y$995=SPECIAL_LBL)*10000000+(N('Dvd Calendar'!$Y$989)&gt;0)*(N('Dvd Calendar'!$Y$989)&lt;=VAL_SERIAL)*1000000+90*1000+21))</f>
        <v/>
      </c>
      <c r="EZ101" s="121">
        <f>IF(N('Dvd Calendar'!$Z$990)=0,"",IF(('Dvd Calendar'!$Z$990&gt;=GRID_FROM)*('Dvd Calendar'!$Z$990&lt;=GRID_TO)*((('Dvd Calendar'!$Z$990&lt;=VAL_DATE)+(COUNTIF('Dvd Calendar'!$E$997:$AR$997,'Dvd Calendar'!$Z$990)=0))&gt;0)=0,"",'Dvd Calendar'!$Z$990*1000000000+ISNUMBER('Dvd Calendar'!$Z$993)*100000000+('Dvd Calendar'!$Z$995=SPECIAL_LBL)*10000000+(N('Dvd Calendar'!$Z$989)&gt;0)*(N('Dvd Calendar'!$Z$989)&lt;=VAL_SERIAL)*1000000+90*1000+22))</f>
        <v/>
      </c>
      <c r="FA101" s="121">
        <f>IF(N('Dvd Calendar'!$AA$990)=0,"",IF(('Dvd Calendar'!$AA$990&gt;=GRID_FROM)*('Dvd Calendar'!$AA$990&lt;=GRID_TO)*((('Dvd Calendar'!$AA$990&lt;=VAL_DATE)+(COUNTIF('Dvd Calendar'!$E$997:$AR$997,'Dvd Calendar'!$AA$990)=0))&gt;0)=0,"",'Dvd Calendar'!$AA$990*1000000000+ISNUMBER('Dvd Calendar'!$AA$993)*100000000+('Dvd Calendar'!$AA$995=SPECIAL_LBL)*10000000+(N('Dvd Calendar'!$AA$989)&gt;0)*(N('Dvd Calendar'!$AA$989)&lt;=VAL_SERIAL)*1000000+90*1000+23))</f>
        <v/>
      </c>
      <c r="FB101" s="121">
        <f>IF(N('Dvd Calendar'!$AB$990)=0,"",IF(('Dvd Calendar'!$AB$990&gt;=GRID_FROM)*('Dvd Calendar'!$AB$990&lt;=GRID_TO)*((('Dvd Calendar'!$AB$990&lt;=VAL_DATE)+(COUNTIF('Dvd Calendar'!$E$997:$AR$997,'Dvd Calendar'!$AB$990)=0))&gt;0)=0,"",'Dvd Calendar'!$AB$990*1000000000+ISNUMBER('Dvd Calendar'!$AB$993)*100000000+('Dvd Calendar'!$AB$995=SPECIAL_LBL)*10000000+(N('Dvd Calendar'!$AB$989)&gt;0)*(N('Dvd Calendar'!$AB$989)&lt;=VAL_SERIAL)*1000000+90*1000+24))</f>
        <v/>
      </c>
      <c r="FC101" s="121">
        <f>IF(N('Dvd Calendar'!$AC$990)=0,"",IF(('Dvd Calendar'!$AC$990&gt;=GRID_FROM)*('Dvd Calendar'!$AC$990&lt;=GRID_TO)*((('Dvd Calendar'!$AC$990&lt;=VAL_DATE)+(COUNTIF('Dvd Calendar'!$E$997:$AR$997,'Dvd Calendar'!$AC$990)=0))&gt;0)=0,"",'Dvd Calendar'!$AC$990*1000000000+ISNUMBER('Dvd Calendar'!$AC$993)*100000000+('Dvd Calendar'!$AC$995=SPECIAL_LBL)*10000000+(N('Dvd Calendar'!$AC$989)&gt;0)*(N('Dvd Calendar'!$AC$989)&lt;=VAL_SERIAL)*1000000+90*1000+25))</f>
        <v/>
      </c>
      <c r="FD101" s="121">
        <f>IF(N('Dvd Calendar'!$AD$990)=0,"",IF(('Dvd Calendar'!$AD$990&gt;=GRID_FROM)*('Dvd Calendar'!$AD$990&lt;=GRID_TO)*((('Dvd Calendar'!$AD$990&lt;=VAL_DATE)+(COUNTIF('Dvd Calendar'!$E$997:$AR$997,'Dvd Calendar'!$AD$990)=0))&gt;0)=0,"",'Dvd Calendar'!$AD$990*1000000000+ISNUMBER('Dvd Calendar'!$AD$993)*100000000+('Dvd Calendar'!$AD$995=SPECIAL_LBL)*10000000+(N('Dvd Calendar'!$AD$989)&gt;0)*(N('Dvd Calendar'!$AD$989)&lt;=VAL_SERIAL)*1000000+90*1000+26))</f>
        <v/>
      </c>
      <c r="FE101" s="121">
        <f>IF(N('Dvd Calendar'!$AE$990)=0,"",IF(('Dvd Calendar'!$AE$990&gt;=GRID_FROM)*('Dvd Calendar'!$AE$990&lt;=GRID_TO)*((('Dvd Calendar'!$AE$990&lt;=VAL_DATE)+(COUNTIF('Dvd Calendar'!$E$997:$AR$997,'Dvd Calendar'!$AE$990)=0))&gt;0)=0,"",'Dvd Calendar'!$AE$990*1000000000+ISNUMBER('Dvd Calendar'!$AE$993)*100000000+('Dvd Calendar'!$AE$995=SPECIAL_LBL)*10000000+(N('Dvd Calendar'!$AE$989)&gt;0)*(N('Dvd Calendar'!$AE$989)&lt;=VAL_SERIAL)*1000000+90*1000+27))</f>
        <v/>
      </c>
      <c r="FF101" s="121">
        <f>IF(N('Dvd Calendar'!$AF$990)=0,"",IF(('Dvd Calendar'!$AF$990&gt;=GRID_FROM)*('Dvd Calendar'!$AF$990&lt;=GRID_TO)*((('Dvd Calendar'!$AF$990&lt;=VAL_DATE)+(COUNTIF('Dvd Calendar'!$E$997:$AR$997,'Dvd Calendar'!$AF$990)=0))&gt;0)=0,"",'Dvd Calendar'!$AF$990*1000000000+ISNUMBER('Dvd Calendar'!$AF$993)*100000000+('Dvd Calendar'!$AF$995=SPECIAL_LBL)*10000000+(N('Dvd Calendar'!$AF$989)&gt;0)*(N('Dvd Calendar'!$AF$989)&lt;=VAL_SERIAL)*1000000+90*1000+28))</f>
        <v/>
      </c>
      <c r="FG101" s="121">
        <f>IF(N('Dvd Calendar'!$AG$990)=0,"",IF(('Dvd Calendar'!$AG$990&gt;=GRID_FROM)*('Dvd Calendar'!$AG$990&lt;=GRID_TO)*((('Dvd Calendar'!$AG$990&lt;=VAL_DATE)+(COUNTIF('Dvd Calendar'!$E$997:$AR$997,'Dvd Calendar'!$AG$990)=0))&gt;0)=0,"",'Dvd Calendar'!$AG$990*1000000000+ISNUMBER('Dvd Calendar'!$AG$993)*100000000+('Dvd Calendar'!$AG$995=SPECIAL_LBL)*10000000+(N('Dvd Calendar'!$AG$989)&gt;0)*(N('Dvd Calendar'!$AG$989)&lt;=VAL_SERIAL)*1000000+90*1000+29))</f>
        <v/>
      </c>
      <c r="FH101" s="121">
        <f>IF(N('Dvd Calendar'!$AH$990)=0,"",IF(('Dvd Calendar'!$AH$990&gt;=GRID_FROM)*('Dvd Calendar'!$AH$990&lt;=GRID_TO)*((('Dvd Calendar'!$AH$990&lt;=VAL_DATE)+(COUNTIF('Dvd Calendar'!$E$997:$AR$997,'Dvd Calendar'!$AH$990)=0))&gt;0)=0,"",'Dvd Calendar'!$AH$990*1000000000+ISNUMBER('Dvd Calendar'!$AH$993)*100000000+('Dvd Calendar'!$AH$995=SPECIAL_LBL)*10000000+(N('Dvd Calendar'!$AH$989)&gt;0)*(N('Dvd Calendar'!$AH$989)&lt;=VAL_SERIAL)*1000000+90*1000+30))</f>
        <v/>
      </c>
      <c r="FI101" s="121">
        <f>IF(N('Dvd Calendar'!$AI$990)=0,"",IF(('Dvd Calendar'!$AI$990&gt;=GRID_FROM)*('Dvd Calendar'!$AI$990&lt;=GRID_TO)*((('Dvd Calendar'!$AI$990&lt;=VAL_DATE)+(COUNTIF('Dvd Calendar'!$E$997:$AR$997,'Dvd Calendar'!$AI$990)=0))&gt;0)=0,"",'Dvd Calendar'!$AI$990*1000000000+ISNUMBER('Dvd Calendar'!$AI$993)*100000000+('Dvd Calendar'!$AI$995=SPECIAL_LBL)*10000000+(N('Dvd Calendar'!$AI$989)&gt;0)*(N('Dvd Calendar'!$AI$989)&lt;=VAL_SERIAL)*1000000+90*1000+31))</f>
        <v/>
      </c>
      <c r="FJ101" s="121">
        <f>IF(N('Dvd Calendar'!$AJ$990)=0,"",IF(('Dvd Calendar'!$AJ$990&gt;=GRID_FROM)*('Dvd Calendar'!$AJ$990&lt;=GRID_TO)*((('Dvd Calendar'!$AJ$990&lt;=VAL_DATE)+(COUNTIF('Dvd Calendar'!$E$997:$AR$997,'Dvd Calendar'!$AJ$990)=0))&gt;0)=0,"",'Dvd Calendar'!$AJ$990*1000000000+ISNUMBER('Dvd Calendar'!$AJ$993)*100000000+('Dvd Calendar'!$AJ$995=SPECIAL_LBL)*10000000+(N('Dvd Calendar'!$AJ$989)&gt;0)*(N('Dvd Calendar'!$AJ$989)&lt;=VAL_SERIAL)*1000000+90*1000+32))</f>
        <v/>
      </c>
      <c r="FK101" s="121">
        <f>IF(N('Dvd Calendar'!$AK$990)=0,"",IF(('Dvd Calendar'!$AK$990&gt;=GRID_FROM)*('Dvd Calendar'!$AK$990&lt;=GRID_TO)*((('Dvd Calendar'!$AK$990&lt;=VAL_DATE)+(COUNTIF('Dvd Calendar'!$E$997:$AR$997,'Dvd Calendar'!$AK$990)=0))&gt;0)=0,"",'Dvd Calendar'!$AK$990*1000000000+ISNUMBER('Dvd Calendar'!$AK$993)*100000000+('Dvd Calendar'!$AK$995=SPECIAL_LBL)*10000000+(N('Dvd Calendar'!$AK$989)&gt;0)*(N('Dvd Calendar'!$AK$989)&lt;=VAL_SERIAL)*1000000+90*1000+33))</f>
        <v/>
      </c>
      <c r="FL101" s="121">
        <f>IF(N('Dvd Calendar'!$AL$990)=0,"",IF(('Dvd Calendar'!$AL$990&gt;=GRID_FROM)*('Dvd Calendar'!$AL$990&lt;=GRID_TO)*((('Dvd Calendar'!$AL$990&lt;=VAL_DATE)+(COUNTIF('Dvd Calendar'!$E$997:$AR$997,'Dvd Calendar'!$AL$990)=0))&gt;0)=0,"",'Dvd Calendar'!$AL$990*1000000000+ISNUMBER('Dvd Calendar'!$AL$993)*100000000+('Dvd Calendar'!$AL$995=SPECIAL_LBL)*10000000+(N('Dvd Calendar'!$AL$989)&gt;0)*(N('Dvd Calendar'!$AL$989)&lt;=VAL_SERIAL)*1000000+90*1000+34))</f>
        <v/>
      </c>
      <c r="FM101" s="121">
        <f>IF(N('Dvd Calendar'!$AM$990)=0,"",IF(('Dvd Calendar'!$AM$990&gt;=GRID_FROM)*('Dvd Calendar'!$AM$990&lt;=GRID_TO)*((('Dvd Calendar'!$AM$990&lt;=VAL_DATE)+(COUNTIF('Dvd Calendar'!$E$997:$AR$997,'Dvd Calendar'!$AM$990)=0))&gt;0)=0,"",'Dvd Calendar'!$AM$990*1000000000+ISNUMBER('Dvd Calendar'!$AM$993)*100000000+('Dvd Calendar'!$AM$995=SPECIAL_LBL)*10000000+(N('Dvd Calendar'!$AM$989)&gt;0)*(N('Dvd Calendar'!$AM$989)&lt;=VAL_SERIAL)*1000000+90*1000+35))</f>
        <v/>
      </c>
      <c r="FN101" s="121">
        <f>IF(N('Dvd Calendar'!$AN$990)=0,"",IF(('Dvd Calendar'!$AN$990&gt;=GRID_FROM)*('Dvd Calendar'!$AN$990&lt;=GRID_TO)*((('Dvd Calendar'!$AN$990&lt;=VAL_DATE)+(COUNTIF('Dvd Calendar'!$E$997:$AR$997,'Dvd Calendar'!$AN$990)=0))&gt;0)=0,"",'Dvd Calendar'!$AN$990*1000000000+ISNUMBER('Dvd Calendar'!$AN$993)*100000000+('Dvd Calendar'!$AN$995=SPECIAL_LBL)*10000000+(N('Dvd Calendar'!$AN$989)&gt;0)*(N('Dvd Calendar'!$AN$989)&lt;=VAL_SERIAL)*1000000+90*1000+36))</f>
        <v/>
      </c>
      <c r="FO101" s="121">
        <f>IF(N('Dvd Calendar'!$AO$990)=0,"",IF(('Dvd Calendar'!$AO$990&gt;=GRID_FROM)*('Dvd Calendar'!$AO$990&lt;=GRID_TO)*((('Dvd Calendar'!$AO$990&lt;=VAL_DATE)+(COUNTIF('Dvd Calendar'!$E$997:$AR$997,'Dvd Calendar'!$AO$990)=0))&gt;0)=0,"",'Dvd Calendar'!$AO$990*1000000000+ISNUMBER('Dvd Calendar'!$AO$993)*100000000+('Dvd Calendar'!$AO$995=SPECIAL_LBL)*10000000+(N('Dvd Calendar'!$AO$989)&gt;0)*(N('Dvd Calendar'!$AO$989)&lt;=VAL_SERIAL)*1000000+90*1000+37))</f>
        <v/>
      </c>
      <c r="FP101" s="121">
        <f>IF(N('Dvd Calendar'!$AP$990)=0,"",IF(('Dvd Calendar'!$AP$990&gt;=GRID_FROM)*('Dvd Calendar'!$AP$990&lt;=GRID_TO)*((('Dvd Calendar'!$AP$990&lt;=VAL_DATE)+(COUNTIF('Dvd Calendar'!$E$997:$AR$997,'Dvd Calendar'!$AP$990)=0))&gt;0)=0,"",'Dvd Calendar'!$AP$990*1000000000+ISNUMBER('Dvd Calendar'!$AP$993)*100000000+('Dvd Calendar'!$AP$995=SPECIAL_LBL)*10000000+(N('Dvd Calendar'!$AP$989)&gt;0)*(N('Dvd Calendar'!$AP$989)&lt;=VAL_SERIAL)*1000000+90*1000+38))</f>
        <v/>
      </c>
      <c r="FQ101" s="121">
        <f>IF(N('Dvd Calendar'!$AQ$990)=0,"",IF(('Dvd Calendar'!$AQ$990&gt;=GRID_FROM)*('Dvd Calendar'!$AQ$990&lt;=GRID_TO)*((('Dvd Calendar'!$AQ$990&lt;=VAL_DATE)+(COUNTIF('Dvd Calendar'!$E$997:$AR$997,'Dvd Calendar'!$AQ$990)=0))&gt;0)=0,"",'Dvd Calendar'!$AQ$990*1000000000+ISNUMBER('Dvd Calendar'!$AQ$993)*100000000+('Dvd Calendar'!$AQ$995=SPECIAL_LBL)*10000000+(N('Dvd Calendar'!$AQ$989)&gt;0)*(N('Dvd Calendar'!$AQ$989)&lt;=VAL_SERIAL)*1000000+90*1000+39))</f>
        <v/>
      </c>
      <c r="FR101" s="121">
        <f>IF(N('Dvd Calendar'!$AR$990)=0,"",IF(('Dvd Calendar'!$AR$990&gt;=GRID_FROM)*('Dvd Calendar'!$AR$990&lt;=GRID_TO)*((('Dvd Calendar'!$AR$990&lt;=VAL_DATE)+(COUNTIF('Dvd Calendar'!$E$997:$AR$997,'Dvd Calendar'!$AR$990)=0))&gt;0)=0,"",'Dvd Calendar'!$AR$990*1000000000+ISNUMBER('Dvd Calendar'!$AR$993)*100000000+('Dvd Calendar'!$AR$995=SPECIAL_LBL)*10000000+(N('Dvd Calendar'!$AR$989)&gt;0)*(N('Dvd Calendar'!$AR$989)&lt;=VAL_SERIAL)*1000000+90*1000+40))</f>
        <v/>
      </c>
      <c r="FS101" s="121">
        <f>IF(N('Dvd Calendar'!$E$997)=0,"",IF(('Dvd Calendar'!$E$997&gt;=GRID_FROM)*('Dvd Calendar'!$E$997&lt;=GRID_TO)*('Dvd Calendar'!$E$997&gt;VAL_DATE)=0,"",'Dvd Calendar'!$E$997*1000000000+ISNUMBER('Dvd Calendar'!$E$998)*100000000+0*10000000+(N('Dvd Calendar'!$E$996)&gt;0)*(N('Dvd Calendar'!$E$996)&lt;=VAL_SERIAL)*1000000+90*1000+41))</f>
        <v/>
      </c>
      <c r="FT101" s="121">
        <f>IF(N('Dvd Calendar'!$F$997)=0,"",IF(('Dvd Calendar'!$F$997&gt;=GRID_FROM)*('Dvd Calendar'!$F$997&lt;=GRID_TO)*('Dvd Calendar'!$F$997&gt;VAL_DATE)=0,"",'Dvd Calendar'!$F$997*1000000000+ISNUMBER('Dvd Calendar'!$F$998)*100000000+0*10000000+(N('Dvd Calendar'!$F$996)&gt;0)*(N('Dvd Calendar'!$F$996)&lt;=VAL_SERIAL)*1000000+90*1000+42))</f>
        <v/>
      </c>
      <c r="FU101" s="121">
        <f>IF(N('Dvd Calendar'!$G$997)=0,"",IF(('Dvd Calendar'!$G$997&gt;=GRID_FROM)*('Dvd Calendar'!$G$997&lt;=GRID_TO)*('Dvd Calendar'!$G$997&gt;VAL_DATE)=0,"",'Dvd Calendar'!$G$997*1000000000+ISNUMBER('Dvd Calendar'!$G$998)*100000000+0*10000000+(N('Dvd Calendar'!$G$996)&gt;0)*(N('Dvd Calendar'!$G$996)&lt;=VAL_SERIAL)*1000000+90*1000+43))</f>
        <v/>
      </c>
      <c r="FV101" s="121">
        <f>IF(N('Dvd Calendar'!$H$997)=0,"",IF(('Dvd Calendar'!$H$997&gt;=GRID_FROM)*('Dvd Calendar'!$H$997&lt;=GRID_TO)*('Dvd Calendar'!$H$997&gt;VAL_DATE)=0,"",'Dvd Calendar'!$H$997*1000000000+ISNUMBER('Dvd Calendar'!$H$998)*100000000+0*10000000+(N('Dvd Calendar'!$H$996)&gt;0)*(N('Dvd Calendar'!$H$996)&lt;=VAL_SERIAL)*1000000+90*1000+44))</f>
        <v/>
      </c>
      <c r="FW101" s="121">
        <f>IF(N('Dvd Calendar'!$I$997)=0,"",IF(('Dvd Calendar'!$I$997&gt;=GRID_FROM)*('Dvd Calendar'!$I$997&lt;=GRID_TO)*('Dvd Calendar'!$I$997&gt;VAL_DATE)=0,"",'Dvd Calendar'!$I$997*1000000000+ISNUMBER('Dvd Calendar'!$I$998)*100000000+0*10000000+(N('Dvd Calendar'!$I$996)&gt;0)*(N('Dvd Calendar'!$I$996)&lt;=VAL_SERIAL)*1000000+90*1000+45))</f>
        <v/>
      </c>
      <c r="FX101" s="121">
        <f>IF(N('Dvd Calendar'!$J$997)=0,"",IF(('Dvd Calendar'!$J$997&gt;=GRID_FROM)*('Dvd Calendar'!$J$997&lt;=GRID_TO)*('Dvd Calendar'!$J$997&gt;VAL_DATE)=0,"",'Dvd Calendar'!$J$997*1000000000+ISNUMBER('Dvd Calendar'!$J$998)*100000000+0*10000000+(N('Dvd Calendar'!$J$996)&gt;0)*(N('Dvd Calendar'!$J$996)&lt;=VAL_SERIAL)*1000000+90*1000+46))</f>
        <v/>
      </c>
      <c r="FY101" s="121">
        <f>IF(N('Dvd Calendar'!$K$997)=0,"",IF(('Dvd Calendar'!$K$997&gt;=GRID_FROM)*('Dvd Calendar'!$K$997&lt;=GRID_TO)*('Dvd Calendar'!$K$997&gt;VAL_DATE)=0,"",'Dvd Calendar'!$K$997*1000000000+ISNUMBER('Dvd Calendar'!$K$998)*100000000+0*10000000+(N('Dvd Calendar'!$K$996)&gt;0)*(N('Dvd Calendar'!$K$996)&lt;=VAL_SERIAL)*1000000+90*1000+47))</f>
        <v/>
      </c>
      <c r="FZ101" s="121">
        <f>IF(N('Dvd Calendar'!$L$997)=0,"",IF(('Dvd Calendar'!$L$997&gt;=GRID_FROM)*('Dvd Calendar'!$L$997&lt;=GRID_TO)*('Dvd Calendar'!$L$997&gt;VAL_DATE)=0,"",'Dvd Calendar'!$L$997*1000000000+ISNUMBER('Dvd Calendar'!$L$998)*100000000+0*10000000+(N('Dvd Calendar'!$L$996)&gt;0)*(N('Dvd Calendar'!$L$996)&lt;=VAL_SERIAL)*1000000+90*1000+48))</f>
        <v/>
      </c>
      <c r="GA101" s="121">
        <f>IF(N('Dvd Calendar'!$M$997)=0,"",IF(('Dvd Calendar'!$M$997&gt;=GRID_FROM)*('Dvd Calendar'!$M$997&lt;=GRID_TO)*('Dvd Calendar'!$M$997&gt;VAL_DATE)=0,"",'Dvd Calendar'!$M$997*1000000000+ISNUMBER('Dvd Calendar'!$M$998)*100000000+0*10000000+(N('Dvd Calendar'!$M$996)&gt;0)*(N('Dvd Calendar'!$M$996)&lt;=VAL_SERIAL)*1000000+90*1000+49))</f>
        <v/>
      </c>
      <c r="GB101" s="121">
        <f>IF(N('Dvd Calendar'!$N$997)=0,"",IF(('Dvd Calendar'!$N$997&gt;=GRID_FROM)*('Dvd Calendar'!$N$997&lt;=GRID_TO)*('Dvd Calendar'!$N$997&gt;VAL_DATE)=0,"",'Dvd Calendar'!$N$997*1000000000+ISNUMBER('Dvd Calendar'!$N$998)*100000000+0*10000000+(N('Dvd Calendar'!$N$996)&gt;0)*(N('Dvd Calendar'!$N$996)&lt;=VAL_SERIAL)*1000000+90*1000+50))</f>
        <v/>
      </c>
      <c r="GC101" s="121">
        <f>IF(N('Dvd Calendar'!$O$997)=0,"",IF(('Dvd Calendar'!$O$997&gt;=GRID_FROM)*('Dvd Calendar'!$O$997&lt;=GRID_TO)*('Dvd Calendar'!$O$997&gt;VAL_DATE)=0,"",'Dvd Calendar'!$O$997*1000000000+ISNUMBER('Dvd Calendar'!$O$998)*100000000+0*10000000+(N('Dvd Calendar'!$O$996)&gt;0)*(N('Dvd Calendar'!$O$996)&lt;=VAL_SERIAL)*1000000+90*1000+51))</f>
        <v/>
      </c>
      <c r="GD101" s="121">
        <f>IF(N('Dvd Calendar'!$P$997)=0,"",IF(('Dvd Calendar'!$P$997&gt;=GRID_FROM)*('Dvd Calendar'!$P$997&lt;=GRID_TO)*('Dvd Calendar'!$P$997&gt;VAL_DATE)=0,"",'Dvd Calendar'!$P$997*1000000000+ISNUMBER('Dvd Calendar'!$P$998)*100000000+0*10000000+(N('Dvd Calendar'!$P$996)&gt;0)*(N('Dvd Calendar'!$P$996)&lt;=VAL_SERIAL)*1000000+90*1000+52))</f>
        <v/>
      </c>
      <c r="GE101" s="121">
        <f>IF(N('Dvd Calendar'!$Q$997)=0,"",IF(('Dvd Calendar'!$Q$997&gt;=GRID_FROM)*('Dvd Calendar'!$Q$997&lt;=GRID_TO)*('Dvd Calendar'!$Q$997&gt;VAL_DATE)=0,"",'Dvd Calendar'!$Q$997*1000000000+ISNUMBER('Dvd Calendar'!$Q$998)*100000000+0*10000000+(N('Dvd Calendar'!$Q$996)&gt;0)*(N('Dvd Calendar'!$Q$996)&lt;=VAL_SERIAL)*1000000+90*1000+53))</f>
        <v/>
      </c>
      <c r="GF101" s="121">
        <f>IF(N('Dvd Calendar'!$R$997)=0,"",IF(('Dvd Calendar'!$R$997&gt;=GRID_FROM)*('Dvd Calendar'!$R$997&lt;=GRID_TO)*('Dvd Calendar'!$R$997&gt;VAL_DATE)=0,"",'Dvd Calendar'!$R$997*1000000000+ISNUMBER('Dvd Calendar'!$R$998)*100000000+0*10000000+(N('Dvd Calendar'!$R$996)&gt;0)*(N('Dvd Calendar'!$R$996)&lt;=VAL_SERIAL)*1000000+90*1000+54))</f>
        <v/>
      </c>
      <c r="GG101" s="121">
        <f>IF(N('Dvd Calendar'!$S$997)=0,"",IF(('Dvd Calendar'!$S$997&gt;=GRID_FROM)*('Dvd Calendar'!$S$997&lt;=GRID_TO)*('Dvd Calendar'!$S$997&gt;VAL_DATE)=0,"",'Dvd Calendar'!$S$997*1000000000+ISNUMBER('Dvd Calendar'!$S$998)*100000000+0*10000000+(N('Dvd Calendar'!$S$996)&gt;0)*(N('Dvd Calendar'!$S$996)&lt;=VAL_SERIAL)*1000000+90*1000+55))</f>
        <v/>
      </c>
      <c r="GH101" s="121">
        <f>IF(N('Dvd Calendar'!$T$997)=0,"",IF(('Dvd Calendar'!$T$997&gt;=GRID_FROM)*('Dvd Calendar'!$T$997&lt;=GRID_TO)*('Dvd Calendar'!$T$997&gt;VAL_DATE)=0,"",'Dvd Calendar'!$T$997*1000000000+ISNUMBER('Dvd Calendar'!$T$998)*100000000+0*10000000+(N('Dvd Calendar'!$T$996)&gt;0)*(N('Dvd Calendar'!$T$996)&lt;=VAL_SERIAL)*1000000+90*1000+56))</f>
        <v/>
      </c>
      <c r="GI101" s="121">
        <f>IF(N('Dvd Calendar'!$U$997)=0,"",IF(('Dvd Calendar'!$U$997&gt;=GRID_FROM)*('Dvd Calendar'!$U$997&lt;=GRID_TO)*('Dvd Calendar'!$U$997&gt;VAL_DATE)=0,"",'Dvd Calendar'!$U$997*1000000000+ISNUMBER('Dvd Calendar'!$U$998)*100000000+0*10000000+(N('Dvd Calendar'!$U$996)&gt;0)*(N('Dvd Calendar'!$U$996)&lt;=VAL_SERIAL)*1000000+90*1000+57))</f>
        <v/>
      </c>
      <c r="GJ101" s="121">
        <f>IF(N('Dvd Calendar'!$V$997)=0,"",IF(('Dvd Calendar'!$V$997&gt;=GRID_FROM)*('Dvd Calendar'!$V$997&lt;=GRID_TO)*('Dvd Calendar'!$V$997&gt;VAL_DATE)=0,"",'Dvd Calendar'!$V$997*1000000000+ISNUMBER('Dvd Calendar'!$V$998)*100000000+0*10000000+(N('Dvd Calendar'!$V$996)&gt;0)*(N('Dvd Calendar'!$V$996)&lt;=VAL_SERIAL)*1000000+90*1000+58))</f>
        <v/>
      </c>
      <c r="GK101" s="121">
        <f>IF(N('Dvd Calendar'!$W$997)=0,"",IF(('Dvd Calendar'!$W$997&gt;=GRID_FROM)*('Dvd Calendar'!$W$997&lt;=GRID_TO)*('Dvd Calendar'!$W$997&gt;VAL_DATE)=0,"",'Dvd Calendar'!$W$997*1000000000+ISNUMBER('Dvd Calendar'!$W$998)*100000000+0*10000000+(N('Dvd Calendar'!$W$996)&gt;0)*(N('Dvd Calendar'!$W$996)&lt;=VAL_SERIAL)*1000000+90*1000+59))</f>
        <v/>
      </c>
      <c r="GL101" s="121">
        <f>IF(N('Dvd Calendar'!$X$997)=0,"",IF(('Dvd Calendar'!$X$997&gt;=GRID_FROM)*('Dvd Calendar'!$X$997&lt;=GRID_TO)*('Dvd Calendar'!$X$997&gt;VAL_DATE)=0,"",'Dvd Calendar'!$X$997*1000000000+ISNUMBER('Dvd Calendar'!$X$998)*100000000+0*10000000+(N('Dvd Calendar'!$X$996)&gt;0)*(N('Dvd Calendar'!$X$996)&lt;=VAL_SERIAL)*1000000+90*1000+60))</f>
        <v/>
      </c>
      <c r="GM101" s="121">
        <f>IF(N('Dvd Calendar'!$Y$997)=0,"",IF(('Dvd Calendar'!$Y$997&gt;=GRID_FROM)*('Dvd Calendar'!$Y$997&lt;=GRID_TO)*('Dvd Calendar'!$Y$997&gt;VAL_DATE)=0,"",'Dvd Calendar'!$Y$997*1000000000+ISNUMBER('Dvd Calendar'!$Y$998)*100000000+0*10000000+(N('Dvd Calendar'!$Y$996)&gt;0)*(N('Dvd Calendar'!$Y$996)&lt;=VAL_SERIAL)*1000000+90*1000+61))</f>
        <v/>
      </c>
      <c r="GN101" s="121">
        <f>IF(N('Dvd Calendar'!$Z$997)=0,"",IF(('Dvd Calendar'!$Z$997&gt;=GRID_FROM)*('Dvd Calendar'!$Z$997&lt;=GRID_TO)*('Dvd Calendar'!$Z$997&gt;VAL_DATE)=0,"",'Dvd Calendar'!$Z$997*1000000000+ISNUMBER('Dvd Calendar'!$Z$998)*100000000+0*10000000+(N('Dvd Calendar'!$Z$996)&gt;0)*(N('Dvd Calendar'!$Z$996)&lt;=VAL_SERIAL)*1000000+90*1000+62))</f>
        <v/>
      </c>
      <c r="GO101" s="121">
        <f>IF(N('Dvd Calendar'!$AA$997)=0,"",IF(('Dvd Calendar'!$AA$997&gt;=GRID_FROM)*('Dvd Calendar'!$AA$997&lt;=GRID_TO)*('Dvd Calendar'!$AA$997&gt;VAL_DATE)=0,"",'Dvd Calendar'!$AA$997*1000000000+ISNUMBER('Dvd Calendar'!$AA$998)*100000000+0*10000000+(N('Dvd Calendar'!$AA$996)&gt;0)*(N('Dvd Calendar'!$AA$996)&lt;=VAL_SERIAL)*1000000+90*1000+63))</f>
        <v/>
      </c>
      <c r="GP101" s="121">
        <f>IF(N('Dvd Calendar'!$AB$997)=0,"",IF(('Dvd Calendar'!$AB$997&gt;=GRID_FROM)*('Dvd Calendar'!$AB$997&lt;=GRID_TO)*('Dvd Calendar'!$AB$997&gt;VAL_DATE)=0,"",'Dvd Calendar'!$AB$997*1000000000+ISNUMBER('Dvd Calendar'!$AB$998)*100000000+0*10000000+(N('Dvd Calendar'!$AB$996)&gt;0)*(N('Dvd Calendar'!$AB$996)&lt;=VAL_SERIAL)*1000000+90*1000+64))</f>
        <v/>
      </c>
      <c r="GQ101" s="121">
        <f>IF(N('Dvd Calendar'!$AC$997)=0,"",IF(('Dvd Calendar'!$AC$997&gt;=GRID_FROM)*('Dvd Calendar'!$AC$997&lt;=GRID_TO)*('Dvd Calendar'!$AC$997&gt;VAL_DATE)=0,"",'Dvd Calendar'!$AC$997*1000000000+ISNUMBER('Dvd Calendar'!$AC$998)*100000000+0*10000000+(N('Dvd Calendar'!$AC$996)&gt;0)*(N('Dvd Calendar'!$AC$996)&lt;=VAL_SERIAL)*1000000+90*1000+65))</f>
        <v/>
      </c>
    </row>
    <row r="102">
      <c r="B102" s="2">
        <f>IF(HSI!$C$97="","",HSI!$C$97)</f>
        <v/>
      </c>
      <c r="C102" s="161">
        <f>IF(EE102="","",IF(ISNUMBER('Dvd Calendar'!$E$1004)=FALSE,"",IF((('Dvd Calendar'!$E$1006=TYPE1)*(TYPE1&lt;&gt;"")+('Dvd Calendar'!$E$1006=TYPE2)*(TYPE2&lt;&gt;"")+('Dvd Calendar'!$E$1006=TYPE3)*(TYPE3&lt;&gt;"")+('Dvd Calendar'!$E$1006=TYPE4)*(TYPE4&lt;&gt;"")+('Dvd Calendar'!$E$1006=SPECIAL_LBL)*(INC_SPECIALS="Y"))=0,"",'Dvd Calendar'!$E$1004)))</f>
        <v/>
      </c>
      <c r="D102" s="161">
        <f>IF(EF102="","",IF(ISNUMBER('Dvd Calendar'!$F$1004)=FALSE,"",IF((('Dvd Calendar'!$F$1006=TYPE1)*(TYPE1&lt;&gt;"")+('Dvd Calendar'!$F$1006=TYPE2)*(TYPE2&lt;&gt;"")+('Dvd Calendar'!$F$1006=TYPE3)*(TYPE3&lt;&gt;"")+('Dvd Calendar'!$F$1006=TYPE4)*(TYPE4&lt;&gt;"")+('Dvd Calendar'!$F$1006=SPECIAL_LBL)*(INC_SPECIALS="Y"))=0,"",'Dvd Calendar'!$F$1004)))</f>
        <v/>
      </c>
      <c r="E102" s="161">
        <f>IF(EG102="","",IF(ISNUMBER('Dvd Calendar'!$G$1004)=FALSE,"",IF((('Dvd Calendar'!$G$1006=TYPE1)*(TYPE1&lt;&gt;"")+('Dvd Calendar'!$G$1006=TYPE2)*(TYPE2&lt;&gt;"")+('Dvd Calendar'!$G$1006=TYPE3)*(TYPE3&lt;&gt;"")+('Dvd Calendar'!$G$1006=TYPE4)*(TYPE4&lt;&gt;"")+('Dvd Calendar'!$G$1006=SPECIAL_LBL)*(INC_SPECIALS="Y"))=0,"",'Dvd Calendar'!$G$1004)))</f>
        <v/>
      </c>
      <c r="F102" s="161">
        <f>IF(EH102="","",IF(ISNUMBER('Dvd Calendar'!$H$1004)=FALSE,"",IF((('Dvd Calendar'!$H$1006=TYPE1)*(TYPE1&lt;&gt;"")+('Dvd Calendar'!$H$1006=TYPE2)*(TYPE2&lt;&gt;"")+('Dvd Calendar'!$H$1006=TYPE3)*(TYPE3&lt;&gt;"")+('Dvd Calendar'!$H$1006=TYPE4)*(TYPE4&lt;&gt;"")+('Dvd Calendar'!$H$1006=SPECIAL_LBL)*(INC_SPECIALS="Y"))=0,"",'Dvd Calendar'!$H$1004)))</f>
        <v/>
      </c>
      <c r="G102" s="161">
        <f>IF(EI102="","",IF(ISNUMBER('Dvd Calendar'!$I$1004)=FALSE,"",IF((('Dvd Calendar'!$I$1006=TYPE1)*(TYPE1&lt;&gt;"")+('Dvd Calendar'!$I$1006=TYPE2)*(TYPE2&lt;&gt;"")+('Dvd Calendar'!$I$1006=TYPE3)*(TYPE3&lt;&gt;"")+('Dvd Calendar'!$I$1006=TYPE4)*(TYPE4&lt;&gt;"")+('Dvd Calendar'!$I$1006=SPECIAL_LBL)*(INC_SPECIALS="Y"))=0,"",'Dvd Calendar'!$I$1004)))</f>
        <v/>
      </c>
      <c r="H102" s="161">
        <f>IF(EJ102="","",IF(ISNUMBER('Dvd Calendar'!$J$1004)=FALSE,"",IF((('Dvd Calendar'!$J$1006=TYPE1)*(TYPE1&lt;&gt;"")+('Dvd Calendar'!$J$1006=TYPE2)*(TYPE2&lt;&gt;"")+('Dvd Calendar'!$J$1006=TYPE3)*(TYPE3&lt;&gt;"")+('Dvd Calendar'!$J$1006=TYPE4)*(TYPE4&lt;&gt;"")+('Dvd Calendar'!$J$1006=SPECIAL_LBL)*(INC_SPECIALS="Y"))=0,"",'Dvd Calendar'!$J$1004)))</f>
        <v/>
      </c>
      <c r="I102" s="161">
        <f>IF(EK102="","",IF(ISNUMBER('Dvd Calendar'!$K$1004)=FALSE,"",IF((('Dvd Calendar'!$K$1006=TYPE1)*(TYPE1&lt;&gt;"")+('Dvd Calendar'!$K$1006=TYPE2)*(TYPE2&lt;&gt;"")+('Dvd Calendar'!$K$1006=TYPE3)*(TYPE3&lt;&gt;"")+('Dvd Calendar'!$K$1006=TYPE4)*(TYPE4&lt;&gt;"")+('Dvd Calendar'!$K$1006=SPECIAL_LBL)*(INC_SPECIALS="Y"))=0,"",'Dvd Calendar'!$K$1004)))</f>
        <v/>
      </c>
      <c r="J102" s="161">
        <f>IF(EL102="","",IF(ISNUMBER('Dvd Calendar'!$L$1004)=FALSE,"",IF((('Dvd Calendar'!$L$1006=TYPE1)*(TYPE1&lt;&gt;"")+('Dvd Calendar'!$L$1006=TYPE2)*(TYPE2&lt;&gt;"")+('Dvd Calendar'!$L$1006=TYPE3)*(TYPE3&lt;&gt;"")+('Dvd Calendar'!$L$1006=TYPE4)*(TYPE4&lt;&gt;"")+('Dvd Calendar'!$L$1006=SPECIAL_LBL)*(INC_SPECIALS="Y"))=0,"",'Dvd Calendar'!$L$1004)))</f>
        <v/>
      </c>
      <c r="K102" s="161">
        <f>IF(EM102="","",IF(ISNUMBER('Dvd Calendar'!$M$1004)=FALSE,"",IF((('Dvd Calendar'!$M$1006=TYPE1)*(TYPE1&lt;&gt;"")+('Dvd Calendar'!$M$1006=TYPE2)*(TYPE2&lt;&gt;"")+('Dvd Calendar'!$M$1006=TYPE3)*(TYPE3&lt;&gt;"")+('Dvd Calendar'!$M$1006=TYPE4)*(TYPE4&lt;&gt;"")+('Dvd Calendar'!$M$1006=SPECIAL_LBL)*(INC_SPECIALS="Y"))=0,"",'Dvd Calendar'!$M$1004)))</f>
        <v/>
      </c>
      <c r="L102" s="161">
        <f>IF(EN102="","",IF(ISNUMBER('Dvd Calendar'!$N$1004)=FALSE,"",IF((('Dvd Calendar'!$N$1006=TYPE1)*(TYPE1&lt;&gt;"")+('Dvd Calendar'!$N$1006=TYPE2)*(TYPE2&lt;&gt;"")+('Dvd Calendar'!$N$1006=TYPE3)*(TYPE3&lt;&gt;"")+('Dvd Calendar'!$N$1006=TYPE4)*(TYPE4&lt;&gt;"")+('Dvd Calendar'!$N$1006=SPECIAL_LBL)*(INC_SPECIALS="Y"))=0,"",'Dvd Calendar'!$N$1004)))</f>
        <v/>
      </c>
      <c r="M102" s="161">
        <f>IF(EO102="","",IF(ISNUMBER('Dvd Calendar'!$O$1004)=FALSE,"",IF((('Dvd Calendar'!$O$1006=TYPE1)*(TYPE1&lt;&gt;"")+('Dvd Calendar'!$O$1006=TYPE2)*(TYPE2&lt;&gt;"")+('Dvd Calendar'!$O$1006=TYPE3)*(TYPE3&lt;&gt;"")+('Dvd Calendar'!$O$1006=TYPE4)*(TYPE4&lt;&gt;"")+('Dvd Calendar'!$O$1006=SPECIAL_LBL)*(INC_SPECIALS="Y"))=0,"",'Dvd Calendar'!$O$1004)))</f>
        <v/>
      </c>
      <c r="N102" s="161">
        <f>IF(EP102="","",IF(ISNUMBER('Dvd Calendar'!$P$1004)=FALSE,"",IF((('Dvd Calendar'!$P$1006=TYPE1)*(TYPE1&lt;&gt;"")+('Dvd Calendar'!$P$1006=TYPE2)*(TYPE2&lt;&gt;"")+('Dvd Calendar'!$P$1006=TYPE3)*(TYPE3&lt;&gt;"")+('Dvd Calendar'!$P$1006=TYPE4)*(TYPE4&lt;&gt;"")+('Dvd Calendar'!$P$1006=SPECIAL_LBL)*(INC_SPECIALS="Y"))=0,"",'Dvd Calendar'!$P$1004)))</f>
        <v/>
      </c>
      <c r="O102" s="161">
        <f>IF(EQ102="","",IF(ISNUMBER('Dvd Calendar'!$Q$1004)=FALSE,"",IF((('Dvd Calendar'!$Q$1006=TYPE1)*(TYPE1&lt;&gt;"")+('Dvd Calendar'!$Q$1006=TYPE2)*(TYPE2&lt;&gt;"")+('Dvd Calendar'!$Q$1006=TYPE3)*(TYPE3&lt;&gt;"")+('Dvd Calendar'!$Q$1006=TYPE4)*(TYPE4&lt;&gt;"")+('Dvd Calendar'!$Q$1006=SPECIAL_LBL)*(INC_SPECIALS="Y"))=0,"",'Dvd Calendar'!$Q$1004)))</f>
        <v/>
      </c>
      <c r="P102" s="161">
        <f>IF(ER102="","",IF(ISNUMBER('Dvd Calendar'!$R$1004)=FALSE,"",IF((('Dvd Calendar'!$R$1006=TYPE1)*(TYPE1&lt;&gt;"")+('Dvd Calendar'!$R$1006=TYPE2)*(TYPE2&lt;&gt;"")+('Dvd Calendar'!$R$1006=TYPE3)*(TYPE3&lt;&gt;"")+('Dvd Calendar'!$R$1006=TYPE4)*(TYPE4&lt;&gt;"")+('Dvd Calendar'!$R$1006=SPECIAL_LBL)*(INC_SPECIALS="Y"))=0,"",'Dvd Calendar'!$R$1004)))</f>
        <v/>
      </c>
      <c r="Q102" s="161">
        <f>IF(ES102="","",IF(ISNUMBER('Dvd Calendar'!$S$1004)=FALSE,"",IF((('Dvd Calendar'!$S$1006=TYPE1)*(TYPE1&lt;&gt;"")+('Dvd Calendar'!$S$1006=TYPE2)*(TYPE2&lt;&gt;"")+('Dvd Calendar'!$S$1006=TYPE3)*(TYPE3&lt;&gt;"")+('Dvd Calendar'!$S$1006=TYPE4)*(TYPE4&lt;&gt;"")+('Dvd Calendar'!$S$1006=SPECIAL_LBL)*(INC_SPECIALS="Y"))=0,"",'Dvd Calendar'!$S$1004)))</f>
        <v/>
      </c>
      <c r="R102" s="161">
        <f>IF(ET102="","",IF(ISNUMBER('Dvd Calendar'!$T$1004)=FALSE,"",IF((('Dvd Calendar'!$T$1006=TYPE1)*(TYPE1&lt;&gt;"")+('Dvd Calendar'!$T$1006=TYPE2)*(TYPE2&lt;&gt;"")+('Dvd Calendar'!$T$1006=TYPE3)*(TYPE3&lt;&gt;"")+('Dvd Calendar'!$T$1006=TYPE4)*(TYPE4&lt;&gt;"")+('Dvd Calendar'!$T$1006=SPECIAL_LBL)*(INC_SPECIALS="Y"))=0,"",'Dvd Calendar'!$T$1004)))</f>
        <v/>
      </c>
      <c r="S102" s="161">
        <f>IF(EU102="","",IF(ISNUMBER('Dvd Calendar'!$U$1004)=FALSE,"",IF((('Dvd Calendar'!$U$1006=TYPE1)*(TYPE1&lt;&gt;"")+('Dvd Calendar'!$U$1006=TYPE2)*(TYPE2&lt;&gt;"")+('Dvd Calendar'!$U$1006=TYPE3)*(TYPE3&lt;&gt;"")+('Dvd Calendar'!$U$1006=TYPE4)*(TYPE4&lt;&gt;"")+('Dvd Calendar'!$U$1006=SPECIAL_LBL)*(INC_SPECIALS="Y"))=0,"",'Dvd Calendar'!$U$1004)))</f>
        <v/>
      </c>
      <c r="T102" s="161">
        <f>IF(EV102="","",IF(ISNUMBER('Dvd Calendar'!$V$1004)=FALSE,"",IF((('Dvd Calendar'!$V$1006=TYPE1)*(TYPE1&lt;&gt;"")+('Dvd Calendar'!$V$1006=TYPE2)*(TYPE2&lt;&gt;"")+('Dvd Calendar'!$V$1006=TYPE3)*(TYPE3&lt;&gt;"")+('Dvd Calendar'!$V$1006=TYPE4)*(TYPE4&lt;&gt;"")+('Dvd Calendar'!$V$1006=SPECIAL_LBL)*(INC_SPECIALS="Y"))=0,"",'Dvd Calendar'!$V$1004)))</f>
        <v/>
      </c>
      <c r="U102" s="161">
        <f>IF(EW102="","",IF(ISNUMBER('Dvd Calendar'!$W$1004)=FALSE,"",IF((('Dvd Calendar'!$W$1006=TYPE1)*(TYPE1&lt;&gt;"")+('Dvd Calendar'!$W$1006=TYPE2)*(TYPE2&lt;&gt;"")+('Dvd Calendar'!$W$1006=TYPE3)*(TYPE3&lt;&gt;"")+('Dvd Calendar'!$W$1006=TYPE4)*(TYPE4&lt;&gt;"")+('Dvd Calendar'!$W$1006=SPECIAL_LBL)*(INC_SPECIALS="Y"))=0,"",'Dvd Calendar'!$W$1004)))</f>
        <v/>
      </c>
      <c r="V102" s="161">
        <f>IF(EX102="","",IF(ISNUMBER('Dvd Calendar'!$X$1004)=FALSE,"",IF((('Dvd Calendar'!$X$1006=TYPE1)*(TYPE1&lt;&gt;"")+('Dvd Calendar'!$X$1006=TYPE2)*(TYPE2&lt;&gt;"")+('Dvd Calendar'!$X$1006=TYPE3)*(TYPE3&lt;&gt;"")+('Dvd Calendar'!$X$1006=TYPE4)*(TYPE4&lt;&gt;"")+('Dvd Calendar'!$X$1006=SPECIAL_LBL)*(INC_SPECIALS="Y"))=0,"",'Dvd Calendar'!$X$1004)))</f>
        <v/>
      </c>
      <c r="W102" s="161">
        <f>IF(EY102="","",IF(ISNUMBER('Dvd Calendar'!$Y$1004)=FALSE,"",IF((('Dvd Calendar'!$Y$1006=TYPE1)*(TYPE1&lt;&gt;"")+('Dvd Calendar'!$Y$1006=TYPE2)*(TYPE2&lt;&gt;"")+('Dvd Calendar'!$Y$1006=TYPE3)*(TYPE3&lt;&gt;"")+('Dvd Calendar'!$Y$1006=TYPE4)*(TYPE4&lt;&gt;"")+('Dvd Calendar'!$Y$1006=SPECIAL_LBL)*(INC_SPECIALS="Y"))=0,"",'Dvd Calendar'!$Y$1004)))</f>
        <v/>
      </c>
      <c r="X102" s="161">
        <f>IF(EZ102="","",IF(ISNUMBER('Dvd Calendar'!$Z$1004)=FALSE,"",IF((('Dvd Calendar'!$Z$1006=TYPE1)*(TYPE1&lt;&gt;"")+('Dvd Calendar'!$Z$1006=TYPE2)*(TYPE2&lt;&gt;"")+('Dvd Calendar'!$Z$1006=TYPE3)*(TYPE3&lt;&gt;"")+('Dvd Calendar'!$Z$1006=TYPE4)*(TYPE4&lt;&gt;"")+('Dvd Calendar'!$Z$1006=SPECIAL_LBL)*(INC_SPECIALS="Y"))=0,"",'Dvd Calendar'!$Z$1004)))</f>
        <v/>
      </c>
      <c r="Y102" s="161">
        <f>IF(FA102="","",IF(ISNUMBER('Dvd Calendar'!$AA$1004)=FALSE,"",IF((('Dvd Calendar'!$AA$1006=TYPE1)*(TYPE1&lt;&gt;"")+('Dvd Calendar'!$AA$1006=TYPE2)*(TYPE2&lt;&gt;"")+('Dvd Calendar'!$AA$1006=TYPE3)*(TYPE3&lt;&gt;"")+('Dvd Calendar'!$AA$1006=TYPE4)*(TYPE4&lt;&gt;"")+('Dvd Calendar'!$AA$1006=SPECIAL_LBL)*(INC_SPECIALS="Y"))=0,"",'Dvd Calendar'!$AA$1004)))</f>
        <v/>
      </c>
      <c r="Z102" s="161">
        <f>IF(FB102="","",IF(ISNUMBER('Dvd Calendar'!$AB$1004)=FALSE,"",IF((('Dvd Calendar'!$AB$1006=TYPE1)*(TYPE1&lt;&gt;"")+('Dvd Calendar'!$AB$1006=TYPE2)*(TYPE2&lt;&gt;"")+('Dvd Calendar'!$AB$1006=TYPE3)*(TYPE3&lt;&gt;"")+('Dvd Calendar'!$AB$1006=TYPE4)*(TYPE4&lt;&gt;"")+('Dvd Calendar'!$AB$1006=SPECIAL_LBL)*(INC_SPECIALS="Y"))=0,"",'Dvd Calendar'!$AB$1004)))</f>
        <v/>
      </c>
      <c r="AA102" s="161">
        <f>IF(FC102="","",IF(ISNUMBER('Dvd Calendar'!$AC$1004)=FALSE,"",IF((('Dvd Calendar'!$AC$1006=TYPE1)*(TYPE1&lt;&gt;"")+('Dvd Calendar'!$AC$1006=TYPE2)*(TYPE2&lt;&gt;"")+('Dvd Calendar'!$AC$1006=TYPE3)*(TYPE3&lt;&gt;"")+('Dvd Calendar'!$AC$1006=TYPE4)*(TYPE4&lt;&gt;"")+('Dvd Calendar'!$AC$1006=SPECIAL_LBL)*(INC_SPECIALS="Y"))=0,"",'Dvd Calendar'!$AC$1004)))</f>
        <v/>
      </c>
      <c r="AB102" s="161">
        <f>IF(FD102="","",IF(ISNUMBER('Dvd Calendar'!$AD$1004)=FALSE,"",IF((('Dvd Calendar'!$AD$1006=TYPE1)*(TYPE1&lt;&gt;"")+('Dvd Calendar'!$AD$1006=TYPE2)*(TYPE2&lt;&gt;"")+('Dvd Calendar'!$AD$1006=TYPE3)*(TYPE3&lt;&gt;"")+('Dvd Calendar'!$AD$1006=TYPE4)*(TYPE4&lt;&gt;"")+('Dvd Calendar'!$AD$1006=SPECIAL_LBL)*(INC_SPECIALS="Y"))=0,"",'Dvd Calendar'!$AD$1004)))</f>
        <v/>
      </c>
      <c r="AC102" s="161">
        <f>IF(FE102="","",IF(ISNUMBER('Dvd Calendar'!$AE$1004)=FALSE,"",IF((('Dvd Calendar'!$AE$1006=TYPE1)*(TYPE1&lt;&gt;"")+('Dvd Calendar'!$AE$1006=TYPE2)*(TYPE2&lt;&gt;"")+('Dvd Calendar'!$AE$1006=TYPE3)*(TYPE3&lt;&gt;"")+('Dvd Calendar'!$AE$1006=TYPE4)*(TYPE4&lt;&gt;"")+('Dvd Calendar'!$AE$1006=SPECIAL_LBL)*(INC_SPECIALS="Y"))=0,"",'Dvd Calendar'!$AE$1004)))</f>
        <v/>
      </c>
      <c r="AD102" s="161">
        <f>IF(FF102="","",IF(ISNUMBER('Dvd Calendar'!$AF$1004)=FALSE,"",IF((('Dvd Calendar'!$AF$1006=TYPE1)*(TYPE1&lt;&gt;"")+('Dvd Calendar'!$AF$1006=TYPE2)*(TYPE2&lt;&gt;"")+('Dvd Calendar'!$AF$1006=TYPE3)*(TYPE3&lt;&gt;"")+('Dvd Calendar'!$AF$1006=TYPE4)*(TYPE4&lt;&gt;"")+('Dvd Calendar'!$AF$1006=SPECIAL_LBL)*(INC_SPECIALS="Y"))=0,"",'Dvd Calendar'!$AF$1004)))</f>
        <v/>
      </c>
      <c r="AE102" s="161">
        <f>IF(FG102="","",IF(ISNUMBER('Dvd Calendar'!$AG$1004)=FALSE,"",IF((('Dvd Calendar'!$AG$1006=TYPE1)*(TYPE1&lt;&gt;"")+('Dvd Calendar'!$AG$1006=TYPE2)*(TYPE2&lt;&gt;"")+('Dvd Calendar'!$AG$1006=TYPE3)*(TYPE3&lt;&gt;"")+('Dvd Calendar'!$AG$1006=TYPE4)*(TYPE4&lt;&gt;"")+('Dvd Calendar'!$AG$1006=SPECIAL_LBL)*(INC_SPECIALS="Y"))=0,"",'Dvd Calendar'!$AG$1004)))</f>
        <v/>
      </c>
      <c r="AF102" s="161">
        <f>IF(FH102="","",IF(ISNUMBER('Dvd Calendar'!$AH$1004)=FALSE,"",IF((('Dvd Calendar'!$AH$1006=TYPE1)*(TYPE1&lt;&gt;"")+('Dvd Calendar'!$AH$1006=TYPE2)*(TYPE2&lt;&gt;"")+('Dvd Calendar'!$AH$1006=TYPE3)*(TYPE3&lt;&gt;"")+('Dvd Calendar'!$AH$1006=TYPE4)*(TYPE4&lt;&gt;"")+('Dvd Calendar'!$AH$1006=SPECIAL_LBL)*(INC_SPECIALS="Y"))=0,"",'Dvd Calendar'!$AH$1004)))</f>
        <v/>
      </c>
      <c r="AG102" s="161">
        <f>IF(FI102="","",IF(ISNUMBER('Dvd Calendar'!$AI$1004)=FALSE,"",IF((('Dvd Calendar'!$AI$1006=TYPE1)*(TYPE1&lt;&gt;"")+('Dvd Calendar'!$AI$1006=TYPE2)*(TYPE2&lt;&gt;"")+('Dvd Calendar'!$AI$1006=TYPE3)*(TYPE3&lt;&gt;"")+('Dvd Calendar'!$AI$1006=TYPE4)*(TYPE4&lt;&gt;"")+('Dvd Calendar'!$AI$1006=SPECIAL_LBL)*(INC_SPECIALS="Y"))=0,"",'Dvd Calendar'!$AI$1004)))</f>
        <v/>
      </c>
      <c r="AH102" s="161">
        <f>IF(FJ102="","",IF(ISNUMBER('Dvd Calendar'!$AJ$1004)=FALSE,"",IF((('Dvd Calendar'!$AJ$1006=TYPE1)*(TYPE1&lt;&gt;"")+('Dvd Calendar'!$AJ$1006=TYPE2)*(TYPE2&lt;&gt;"")+('Dvd Calendar'!$AJ$1006=TYPE3)*(TYPE3&lt;&gt;"")+('Dvd Calendar'!$AJ$1006=TYPE4)*(TYPE4&lt;&gt;"")+('Dvd Calendar'!$AJ$1006=SPECIAL_LBL)*(INC_SPECIALS="Y"))=0,"",'Dvd Calendar'!$AJ$1004)))</f>
        <v/>
      </c>
      <c r="AI102" s="161">
        <f>IF(FK102="","",IF(ISNUMBER('Dvd Calendar'!$AK$1004)=FALSE,"",IF((('Dvd Calendar'!$AK$1006=TYPE1)*(TYPE1&lt;&gt;"")+('Dvd Calendar'!$AK$1006=TYPE2)*(TYPE2&lt;&gt;"")+('Dvd Calendar'!$AK$1006=TYPE3)*(TYPE3&lt;&gt;"")+('Dvd Calendar'!$AK$1006=TYPE4)*(TYPE4&lt;&gt;"")+('Dvd Calendar'!$AK$1006=SPECIAL_LBL)*(INC_SPECIALS="Y"))=0,"",'Dvd Calendar'!$AK$1004)))</f>
        <v/>
      </c>
      <c r="AJ102" s="161">
        <f>IF(FL102="","",IF(ISNUMBER('Dvd Calendar'!$AL$1004)=FALSE,"",IF((('Dvd Calendar'!$AL$1006=TYPE1)*(TYPE1&lt;&gt;"")+('Dvd Calendar'!$AL$1006=TYPE2)*(TYPE2&lt;&gt;"")+('Dvd Calendar'!$AL$1006=TYPE3)*(TYPE3&lt;&gt;"")+('Dvd Calendar'!$AL$1006=TYPE4)*(TYPE4&lt;&gt;"")+('Dvd Calendar'!$AL$1006=SPECIAL_LBL)*(INC_SPECIALS="Y"))=0,"",'Dvd Calendar'!$AL$1004)))</f>
        <v/>
      </c>
      <c r="AK102" s="161">
        <f>IF(FM102="","",IF(ISNUMBER('Dvd Calendar'!$AM$1004)=FALSE,"",IF((('Dvd Calendar'!$AM$1006=TYPE1)*(TYPE1&lt;&gt;"")+('Dvd Calendar'!$AM$1006=TYPE2)*(TYPE2&lt;&gt;"")+('Dvd Calendar'!$AM$1006=TYPE3)*(TYPE3&lt;&gt;"")+('Dvd Calendar'!$AM$1006=TYPE4)*(TYPE4&lt;&gt;"")+('Dvd Calendar'!$AM$1006=SPECIAL_LBL)*(INC_SPECIALS="Y"))=0,"",'Dvd Calendar'!$AM$1004)))</f>
        <v/>
      </c>
      <c r="AL102" s="161">
        <f>IF(FN102="","",IF(ISNUMBER('Dvd Calendar'!$AN$1004)=FALSE,"",IF((('Dvd Calendar'!$AN$1006=TYPE1)*(TYPE1&lt;&gt;"")+('Dvd Calendar'!$AN$1006=TYPE2)*(TYPE2&lt;&gt;"")+('Dvd Calendar'!$AN$1006=TYPE3)*(TYPE3&lt;&gt;"")+('Dvd Calendar'!$AN$1006=TYPE4)*(TYPE4&lt;&gt;"")+('Dvd Calendar'!$AN$1006=SPECIAL_LBL)*(INC_SPECIALS="Y"))=0,"",'Dvd Calendar'!$AN$1004)))</f>
        <v/>
      </c>
      <c r="AM102" s="161">
        <f>IF(FO102="","",IF(ISNUMBER('Dvd Calendar'!$AO$1004)=FALSE,"",IF((('Dvd Calendar'!$AO$1006=TYPE1)*(TYPE1&lt;&gt;"")+('Dvd Calendar'!$AO$1006=TYPE2)*(TYPE2&lt;&gt;"")+('Dvd Calendar'!$AO$1006=TYPE3)*(TYPE3&lt;&gt;"")+('Dvd Calendar'!$AO$1006=TYPE4)*(TYPE4&lt;&gt;"")+('Dvd Calendar'!$AO$1006=SPECIAL_LBL)*(INC_SPECIALS="Y"))=0,"",'Dvd Calendar'!$AO$1004)))</f>
        <v/>
      </c>
      <c r="AN102" s="161">
        <f>IF(FP102="","",IF(ISNUMBER('Dvd Calendar'!$AP$1004)=FALSE,"",IF((('Dvd Calendar'!$AP$1006=TYPE1)*(TYPE1&lt;&gt;"")+('Dvd Calendar'!$AP$1006=TYPE2)*(TYPE2&lt;&gt;"")+('Dvd Calendar'!$AP$1006=TYPE3)*(TYPE3&lt;&gt;"")+('Dvd Calendar'!$AP$1006=TYPE4)*(TYPE4&lt;&gt;"")+('Dvd Calendar'!$AP$1006=SPECIAL_LBL)*(INC_SPECIALS="Y"))=0,"",'Dvd Calendar'!$AP$1004)))</f>
        <v/>
      </c>
      <c r="AO102" s="161">
        <f>IF(FQ102="","",IF(ISNUMBER('Dvd Calendar'!$AQ$1004)=FALSE,"",IF((('Dvd Calendar'!$AQ$1006=TYPE1)*(TYPE1&lt;&gt;"")+('Dvd Calendar'!$AQ$1006=TYPE2)*(TYPE2&lt;&gt;"")+('Dvd Calendar'!$AQ$1006=TYPE3)*(TYPE3&lt;&gt;"")+('Dvd Calendar'!$AQ$1006=TYPE4)*(TYPE4&lt;&gt;"")+('Dvd Calendar'!$AQ$1006=SPECIAL_LBL)*(INC_SPECIALS="Y"))=0,"",'Dvd Calendar'!$AQ$1004)))</f>
        <v/>
      </c>
      <c r="AP102" s="161">
        <f>IF(FR102="","",IF(ISNUMBER('Dvd Calendar'!$AR$1004)=FALSE,"",IF((('Dvd Calendar'!$AR$1006=TYPE1)*(TYPE1&lt;&gt;"")+('Dvd Calendar'!$AR$1006=TYPE2)*(TYPE2&lt;&gt;"")+('Dvd Calendar'!$AR$1006=TYPE3)*(TYPE3&lt;&gt;"")+('Dvd Calendar'!$AR$1006=TYPE4)*(TYPE4&lt;&gt;"")+('Dvd Calendar'!$AR$1006=SPECIAL_LBL)*(INC_SPECIALS="Y"))=0,"",'Dvd Calendar'!$AR$1004)))</f>
        <v/>
      </c>
      <c r="AQ102" s="161">
        <f>IF(FS102="","",IF(ISNUMBER('Dvd Calendar'!$E$1009)=FALSE,"",'Dvd Calendar'!$E$1009))</f>
        <v/>
      </c>
      <c r="AR102" s="161">
        <f>IF(FT102="","",IF(ISNUMBER('Dvd Calendar'!$F$1009)=FALSE,"",'Dvd Calendar'!$F$1009))</f>
        <v/>
      </c>
      <c r="AS102" s="161">
        <f>IF(FU102="","",IF(ISNUMBER('Dvd Calendar'!$G$1009)=FALSE,"",'Dvd Calendar'!$G$1009))</f>
        <v/>
      </c>
      <c r="AT102" s="161">
        <f>IF(FV102="","",IF(ISNUMBER('Dvd Calendar'!$H$1009)=FALSE,"",'Dvd Calendar'!$H$1009))</f>
        <v/>
      </c>
      <c r="AU102" s="161">
        <f>IF(FW102="","",IF(ISNUMBER('Dvd Calendar'!$I$1009)=FALSE,"",'Dvd Calendar'!$I$1009))</f>
        <v/>
      </c>
      <c r="AV102" s="161">
        <f>IF(FX102="","",IF(ISNUMBER('Dvd Calendar'!$J$1009)=FALSE,"",'Dvd Calendar'!$J$1009))</f>
        <v/>
      </c>
      <c r="AW102" s="161">
        <f>IF(FY102="","",IF(ISNUMBER('Dvd Calendar'!$K$1009)=FALSE,"",'Dvd Calendar'!$K$1009))</f>
        <v/>
      </c>
      <c r="AX102" s="161">
        <f>IF(FZ102="","",IF(ISNUMBER('Dvd Calendar'!$L$1009)=FALSE,"",'Dvd Calendar'!$L$1009))</f>
        <v/>
      </c>
      <c r="AY102" s="161">
        <f>IF(GA102="","",IF(ISNUMBER('Dvd Calendar'!$M$1009)=FALSE,"",'Dvd Calendar'!$M$1009))</f>
        <v/>
      </c>
      <c r="AZ102" s="161">
        <f>IF(GB102="","",IF(ISNUMBER('Dvd Calendar'!$N$1009)=FALSE,"",'Dvd Calendar'!$N$1009))</f>
        <v/>
      </c>
      <c r="BA102" s="161">
        <f>IF(GC102="","",IF(ISNUMBER('Dvd Calendar'!$O$1009)=FALSE,"",'Dvd Calendar'!$O$1009))</f>
        <v/>
      </c>
      <c r="BB102" s="161">
        <f>IF(GD102="","",IF(ISNUMBER('Dvd Calendar'!$P$1009)=FALSE,"",'Dvd Calendar'!$P$1009))</f>
        <v/>
      </c>
      <c r="BC102" s="161">
        <f>IF(GE102="","",IF(ISNUMBER('Dvd Calendar'!$Q$1009)=FALSE,"",'Dvd Calendar'!$Q$1009))</f>
        <v/>
      </c>
      <c r="BD102" s="161">
        <f>IF(GF102="","",IF(ISNUMBER('Dvd Calendar'!$R$1009)=FALSE,"",'Dvd Calendar'!$R$1009))</f>
        <v/>
      </c>
      <c r="BE102" s="161">
        <f>IF(GG102="","",IF(ISNUMBER('Dvd Calendar'!$S$1009)=FALSE,"",'Dvd Calendar'!$S$1009))</f>
        <v/>
      </c>
      <c r="BF102" s="161">
        <f>IF(GH102="","",IF(ISNUMBER('Dvd Calendar'!$T$1009)=FALSE,"",'Dvd Calendar'!$T$1009))</f>
        <v/>
      </c>
      <c r="BG102" s="161">
        <f>IF(GI102="","",IF(ISNUMBER('Dvd Calendar'!$U$1009)=FALSE,"",'Dvd Calendar'!$U$1009))</f>
        <v/>
      </c>
      <c r="BH102" s="161">
        <f>IF(GJ102="","",IF(ISNUMBER('Dvd Calendar'!$V$1009)=FALSE,"",'Dvd Calendar'!$V$1009))</f>
        <v/>
      </c>
      <c r="BI102" s="161">
        <f>IF(GK102="","",IF(ISNUMBER('Dvd Calendar'!$W$1009)=FALSE,"",'Dvd Calendar'!$W$1009))</f>
        <v/>
      </c>
      <c r="BJ102" s="161">
        <f>IF(GL102="","",IF(ISNUMBER('Dvd Calendar'!$X$1009)=FALSE,"",'Dvd Calendar'!$X$1009))</f>
        <v/>
      </c>
      <c r="BK102" s="161">
        <f>IF(GM102="","",IF(ISNUMBER('Dvd Calendar'!$Y$1009)=FALSE,"",'Dvd Calendar'!$Y$1009))</f>
        <v/>
      </c>
      <c r="BL102" s="161">
        <f>IF(GN102="","",IF(ISNUMBER('Dvd Calendar'!$Z$1009)=FALSE,"",'Dvd Calendar'!$Z$1009))</f>
        <v/>
      </c>
      <c r="BM102" s="161">
        <f>IF(GO102="","",IF(ISNUMBER('Dvd Calendar'!$AA$1009)=FALSE,"",'Dvd Calendar'!$AA$1009))</f>
        <v/>
      </c>
      <c r="BN102" s="161">
        <f>IF(GP102="","",IF(ISNUMBER('Dvd Calendar'!$AB$1009)=FALSE,"",'Dvd Calendar'!$AB$1009))</f>
        <v/>
      </c>
      <c r="BO102" s="161">
        <f>IF(GQ102="","",IF(ISNUMBER('Dvd Calendar'!$AC$1009)=FALSE,"",'Dvd Calendar'!$AC$1009))</f>
        <v/>
      </c>
      <c r="BQ102" s="161">
        <f>IF(C102="","",IFERROR(C102*HSI!$B$97*HSI!$G$97/HSI!$B$3,""))</f>
        <v/>
      </c>
      <c r="BR102" s="161">
        <f>IF(D102="","",IFERROR(D102*HSI!$B$97*HSI!$G$97/HSI!$B$3,""))</f>
        <v/>
      </c>
      <c r="BS102" s="161">
        <f>IF(E102="","",IFERROR(E102*HSI!$B$97*HSI!$G$97/HSI!$B$3,""))</f>
        <v/>
      </c>
      <c r="BT102" s="161">
        <f>IF(F102="","",IFERROR(F102*HSI!$B$97*HSI!$G$97/HSI!$B$3,""))</f>
        <v/>
      </c>
      <c r="BU102" s="161">
        <f>IF(G102="","",IFERROR(G102*HSI!$B$97*HSI!$G$97/HSI!$B$3,""))</f>
        <v/>
      </c>
      <c r="BV102" s="161">
        <f>IF(H102="","",IFERROR(H102*HSI!$B$97*HSI!$G$97/HSI!$B$3,""))</f>
        <v/>
      </c>
      <c r="BW102" s="161">
        <f>IF(I102="","",IFERROR(I102*HSI!$B$97*HSI!$G$97/HSI!$B$3,""))</f>
        <v/>
      </c>
      <c r="BX102" s="161">
        <f>IF(J102="","",IFERROR(J102*HSI!$B$97*HSI!$G$97/HSI!$B$3,""))</f>
        <v/>
      </c>
      <c r="BY102" s="161">
        <f>IF(K102="","",IFERROR(K102*HSI!$B$97*HSI!$G$97/HSI!$B$3,""))</f>
        <v/>
      </c>
      <c r="BZ102" s="161">
        <f>IF(L102="","",IFERROR(L102*HSI!$B$97*HSI!$G$97/HSI!$B$3,""))</f>
        <v/>
      </c>
      <c r="CA102" s="161">
        <f>IF(M102="","",IFERROR(M102*HSI!$B$97*HSI!$G$97/HSI!$B$3,""))</f>
        <v/>
      </c>
      <c r="CB102" s="161">
        <f>IF(N102="","",IFERROR(N102*HSI!$B$97*HSI!$G$97/HSI!$B$3,""))</f>
        <v/>
      </c>
      <c r="CC102" s="161">
        <f>IF(O102="","",IFERROR(O102*HSI!$B$97*HSI!$G$97/HSI!$B$3,""))</f>
        <v/>
      </c>
      <c r="CD102" s="161">
        <f>IF(P102="","",IFERROR(P102*HSI!$B$97*HSI!$G$97/HSI!$B$3,""))</f>
        <v/>
      </c>
      <c r="CE102" s="161">
        <f>IF(Q102="","",IFERROR(Q102*HSI!$B$97*HSI!$G$97/HSI!$B$3,""))</f>
        <v/>
      </c>
      <c r="CF102" s="161">
        <f>IF(R102="","",IFERROR(R102*HSI!$B$97*HSI!$G$97/HSI!$B$3,""))</f>
        <v/>
      </c>
      <c r="CG102" s="161">
        <f>IF(S102="","",IFERROR(S102*HSI!$B$97*HSI!$G$97/HSI!$B$3,""))</f>
        <v/>
      </c>
      <c r="CH102" s="161">
        <f>IF(T102="","",IFERROR(T102*HSI!$B$97*HSI!$G$97/HSI!$B$3,""))</f>
        <v/>
      </c>
      <c r="CI102" s="161">
        <f>IF(U102="","",IFERROR(U102*HSI!$B$97*HSI!$G$97/HSI!$B$3,""))</f>
        <v/>
      </c>
      <c r="CJ102" s="161">
        <f>IF(V102="","",IFERROR(V102*HSI!$B$97*HSI!$G$97/HSI!$B$3,""))</f>
        <v/>
      </c>
      <c r="CK102" s="161">
        <f>IF(W102="","",IFERROR(W102*HSI!$B$97*HSI!$G$97/HSI!$B$3,""))</f>
        <v/>
      </c>
      <c r="CL102" s="161">
        <f>IF(X102="","",IFERROR(X102*HSI!$B$97*HSI!$G$97/HSI!$B$3,""))</f>
        <v/>
      </c>
      <c r="CM102" s="161">
        <f>IF(Y102="","",IFERROR(Y102*HSI!$B$97*HSI!$G$97/HSI!$B$3,""))</f>
        <v/>
      </c>
      <c r="CN102" s="161">
        <f>IF(Z102="","",IFERROR(Z102*HSI!$B$97*HSI!$G$97/HSI!$B$3,""))</f>
        <v/>
      </c>
      <c r="CO102" s="161">
        <f>IF(AA102="","",IFERROR(AA102*HSI!$B$97*HSI!$G$97/HSI!$B$3,""))</f>
        <v/>
      </c>
      <c r="CP102" s="161">
        <f>IF(AB102="","",IFERROR(AB102*HSI!$B$97*HSI!$G$97/HSI!$B$3,""))</f>
        <v/>
      </c>
      <c r="CQ102" s="161">
        <f>IF(AC102="","",IFERROR(AC102*HSI!$B$97*HSI!$G$97/HSI!$B$3,""))</f>
        <v/>
      </c>
      <c r="CR102" s="161">
        <f>IF(AD102="","",IFERROR(AD102*HSI!$B$97*HSI!$G$97/HSI!$B$3,""))</f>
        <v/>
      </c>
      <c r="CS102" s="161">
        <f>IF(AE102="","",IFERROR(AE102*HSI!$B$97*HSI!$G$97/HSI!$B$3,""))</f>
        <v/>
      </c>
      <c r="CT102" s="161">
        <f>IF(AF102="","",IFERROR(AF102*HSI!$B$97*HSI!$G$97/HSI!$B$3,""))</f>
        <v/>
      </c>
      <c r="CU102" s="161">
        <f>IF(AG102="","",IFERROR(AG102*HSI!$B$97*HSI!$G$97/HSI!$B$3,""))</f>
        <v/>
      </c>
      <c r="CV102" s="161">
        <f>IF(AH102="","",IFERROR(AH102*HSI!$B$97*HSI!$G$97/HSI!$B$3,""))</f>
        <v/>
      </c>
      <c r="CW102" s="161">
        <f>IF(AI102="","",IFERROR(AI102*HSI!$B$97*HSI!$G$97/HSI!$B$3,""))</f>
        <v/>
      </c>
      <c r="CX102" s="161">
        <f>IF(AJ102="","",IFERROR(AJ102*HSI!$B$97*HSI!$G$97/HSI!$B$3,""))</f>
        <v/>
      </c>
      <c r="CY102" s="161">
        <f>IF(AK102="","",IFERROR(AK102*HSI!$B$97*HSI!$G$97/HSI!$B$3,""))</f>
        <v/>
      </c>
      <c r="CZ102" s="161">
        <f>IF(AL102="","",IFERROR(AL102*HSI!$B$97*HSI!$G$97/HSI!$B$3,""))</f>
        <v/>
      </c>
      <c r="DA102" s="161">
        <f>IF(AM102="","",IFERROR(AM102*HSI!$B$97*HSI!$G$97/HSI!$B$3,""))</f>
        <v/>
      </c>
      <c r="DB102" s="161">
        <f>IF(AN102="","",IFERROR(AN102*HSI!$B$97*HSI!$G$97/HSI!$B$3,""))</f>
        <v/>
      </c>
      <c r="DC102" s="161">
        <f>IF(AO102="","",IFERROR(AO102*HSI!$B$97*HSI!$G$97/HSI!$B$3,""))</f>
        <v/>
      </c>
      <c r="DD102" s="161">
        <f>IF(AP102="","",IFERROR(AP102*HSI!$B$97*HSI!$G$97/HSI!$B$3,""))</f>
        <v/>
      </c>
      <c r="DE102" s="161">
        <f>IF(AQ102="","",IFERROR(AQ102*HSI!$B$97*HSI!$G$97/HSI!$B$3,""))</f>
        <v/>
      </c>
      <c r="DF102" s="161">
        <f>IF(AR102="","",IFERROR(AR102*HSI!$B$97*HSI!$G$97/HSI!$B$3,""))</f>
        <v/>
      </c>
      <c r="DG102" s="161">
        <f>IF(AS102="","",IFERROR(AS102*HSI!$B$97*HSI!$G$97/HSI!$B$3,""))</f>
        <v/>
      </c>
      <c r="DH102" s="161">
        <f>IF(AT102="","",IFERROR(AT102*HSI!$B$97*HSI!$G$97/HSI!$B$3,""))</f>
        <v/>
      </c>
      <c r="DI102" s="161">
        <f>IF(AU102="","",IFERROR(AU102*HSI!$B$97*HSI!$G$97/HSI!$B$3,""))</f>
        <v/>
      </c>
      <c r="DJ102" s="161">
        <f>IF(AV102="","",IFERROR(AV102*HSI!$B$97*HSI!$G$97/HSI!$B$3,""))</f>
        <v/>
      </c>
      <c r="DK102" s="161">
        <f>IF(AW102="","",IFERROR(AW102*HSI!$B$97*HSI!$G$97/HSI!$B$3,""))</f>
        <v/>
      </c>
      <c r="DL102" s="161">
        <f>IF(AX102="","",IFERROR(AX102*HSI!$B$97*HSI!$G$97/HSI!$B$3,""))</f>
        <v/>
      </c>
      <c r="DM102" s="161">
        <f>IF(AY102="","",IFERROR(AY102*HSI!$B$97*HSI!$G$97/HSI!$B$3,""))</f>
        <v/>
      </c>
      <c r="DN102" s="161">
        <f>IF(AZ102="","",IFERROR(AZ102*HSI!$B$97*HSI!$G$97/HSI!$B$3,""))</f>
        <v/>
      </c>
      <c r="DO102" s="161">
        <f>IF(BA102="","",IFERROR(BA102*HSI!$B$97*HSI!$G$97/HSI!$B$3,""))</f>
        <v/>
      </c>
      <c r="DP102" s="161">
        <f>IF(BB102="","",IFERROR(BB102*HSI!$B$97*HSI!$G$97/HSI!$B$3,""))</f>
        <v/>
      </c>
      <c r="DQ102" s="161">
        <f>IF(BC102="","",IFERROR(BC102*HSI!$B$97*HSI!$G$97/HSI!$B$3,""))</f>
        <v/>
      </c>
      <c r="DR102" s="161">
        <f>IF(BD102="","",IFERROR(BD102*HSI!$B$97*HSI!$G$97/HSI!$B$3,""))</f>
        <v/>
      </c>
      <c r="DS102" s="161">
        <f>IF(BE102="","",IFERROR(BE102*HSI!$B$97*HSI!$G$97/HSI!$B$3,""))</f>
        <v/>
      </c>
      <c r="DT102" s="161">
        <f>IF(BF102="","",IFERROR(BF102*HSI!$B$97*HSI!$G$97/HSI!$B$3,""))</f>
        <v/>
      </c>
      <c r="DU102" s="161">
        <f>IF(BG102="","",IFERROR(BG102*HSI!$B$97*HSI!$G$97/HSI!$B$3,""))</f>
        <v/>
      </c>
      <c r="DV102" s="161">
        <f>IF(BH102="","",IFERROR(BH102*HSI!$B$97*HSI!$G$97/HSI!$B$3,""))</f>
        <v/>
      </c>
      <c r="DW102" s="161">
        <f>IF(BI102="","",IFERROR(BI102*HSI!$B$97*HSI!$G$97/HSI!$B$3,""))</f>
        <v/>
      </c>
      <c r="DX102" s="161">
        <f>IF(BJ102="","",IFERROR(BJ102*HSI!$B$97*HSI!$G$97/HSI!$B$3,""))</f>
        <v/>
      </c>
      <c r="DY102" s="161">
        <f>IF(BK102="","",IFERROR(BK102*HSI!$B$97*HSI!$G$97/HSI!$B$3,""))</f>
        <v/>
      </c>
      <c r="DZ102" s="161">
        <f>IF(BL102="","",IFERROR(BL102*HSI!$B$97*HSI!$G$97/HSI!$B$3,""))</f>
        <v/>
      </c>
      <c r="EA102" s="161">
        <f>IF(BM102="","",IFERROR(BM102*HSI!$B$97*HSI!$G$97/HSI!$B$3,""))</f>
        <v/>
      </c>
      <c r="EB102" s="161">
        <f>IF(BN102="","",IFERROR(BN102*HSI!$B$97*HSI!$G$97/HSI!$B$3,""))</f>
        <v/>
      </c>
      <c r="EC102" s="161">
        <f>IF(BO102="","",IFERROR(BO102*HSI!$B$97*HSI!$G$97/HSI!$B$3,""))</f>
        <v/>
      </c>
      <c r="EE102" s="121">
        <f>IF(N('Dvd Calendar'!$E$1001)=0,"",IF(('Dvd Calendar'!$E$1001&gt;=GRID_FROM)*('Dvd Calendar'!$E$1001&lt;=GRID_TO)*((('Dvd Calendar'!$E$1001&lt;=VAL_DATE)+(COUNTIF('Dvd Calendar'!$E$1008:$AR$1008,'Dvd Calendar'!$E$1001)=0))&gt;0)=0,"",'Dvd Calendar'!$E$1001*1000000000+ISNUMBER('Dvd Calendar'!$E$1004)*100000000+('Dvd Calendar'!$E$1006=SPECIAL_LBL)*10000000+(N('Dvd Calendar'!$E$1000)&gt;0)*(N('Dvd Calendar'!$E$1000)&lt;=VAL_SERIAL)*1000000+91*1000+1))</f>
        <v/>
      </c>
      <c r="EF102" s="121">
        <f>IF(N('Dvd Calendar'!$F$1001)=0,"",IF(('Dvd Calendar'!$F$1001&gt;=GRID_FROM)*('Dvd Calendar'!$F$1001&lt;=GRID_TO)*((('Dvd Calendar'!$F$1001&lt;=VAL_DATE)+(COUNTIF('Dvd Calendar'!$E$1008:$AR$1008,'Dvd Calendar'!$F$1001)=0))&gt;0)=0,"",'Dvd Calendar'!$F$1001*1000000000+ISNUMBER('Dvd Calendar'!$F$1004)*100000000+('Dvd Calendar'!$F$1006=SPECIAL_LBL)*10000000+(N('Dvd Calendar'!$F$1000)&gt;0)*(N('Dvd Calendar'!$F$1000)&lt;=VAL_SERIAL)*1000000+91*1000+2))</f>
        <v/>
      </c>
      <c r="EG102" s="121">
        <f>IF(N('Dvd Calendar'!$G$1001)=0,"",IF(('Dvd Calendar'!$G$1001&gt;=GRID_FROM)*('Dvd Calendar'!$G$1001&lt;=GRID_TO)*((('Dvd Calendar'!$G$1001&lt;=VAL_DATE)+(COUNTIF('Dvd Calendar'!$E$1008:$AR$1008,'Dvd Calendar'!$G$1001)=0))&gt;0)=0,"",'Dvd Calendar'!$G$1001*1000000000+ISNUMBER('Dvd Calendar'!$G$1004)*100000000+('Dvd Calendar'!$G$1006=SPECIAL_LBL)*10000000+(N('Dvd Calendar'!$G$1000)&gt;0)*(N('Dvd Calendar'!$G$1000)&lt;=VAL_SERIAL)*1000000+91*1000+3))</f>
        <v/>
      </c>
      <c r="EH102" s="121">
        <f>IF(N('Dvd Calendar'!$H$1001)=0,"",IF(('Dvd Calendar'!$H$1001&gt;=GRID_FROM)*('Dvd Calendar'!$H$1001&lt;=GRID_TO)*((('Dvd Calendar'!$H$1001&lt;=VAL_DATE)+(COUNTIF('Dvd Calendar'!$E$1008:$AR$1008,'Dvd Calendar'!$H$1001)=0))&gt;0)=0,"",'Dvd Calendar'!$H$1001*1000000000+ISNUMBER('Dvd Calendar'!$H$1004)*100000000+('Dvd Calendar'!$H$1006=SPECIAL_LBL)*10000000+(N('Dvd Calendar'!$H$1000)&gt;0)*(N('Dvd Calendar'!$H$1000)&lt;=VAL_SERIAL)*1000000+91*1000+4))</f>
        <v/>
      </c>
      <c r="EI102" s="121">
        <f>IF(N('Dvd Calendar'!$I$1001)=0,"",IF(('Dvd Calendar'!$I$1001&gt;=GRID_FROM)*('Dvd Calendar'!$I$1001&lt;=GRID_TO)*((('Dvd Calendar'!$I$1001&lt;=VAL_DATE)+(COUNTIF('Dvd Calendar'!$E$1008:$AR$1008,'Dvd Calendar'!$I$1001)=0))&gt;0)=0,"",'Dvd Calendar'!$I$1001*1000000000+ISNUMBER('Dvd Calendar'!$I$1004)*100000000+('Dvd Calendar'!$I$1006=SPECIAL_LBL)*10000000+(N('Dvd Calendar'!$I$1000)&gt;0)*(N('Dvd Calendar'!$I$1000)&lt;=VAL_SERIAL)*1000000+91*1000+5))</f>
        <v/>
      </c>
      <c r="EJ102" s="121">
        <f>IF(N('Dvd Calendar'!$J$1001)=0,"",IF(('Dvd Calendar'!$J$1001&gt;=GRID_FROM)*('Dvd Calendar'!$J$1001&lt;=GRID_TO)*((('Dvd Calendar'!$J$1001&lt;=VAL_DATE)+(COUNTIF('Dvd Calendar'!$E$1008:$AR$1008,'Dvd Calendar'!$J$1001)=0))&gt;0)=0,"",'Dvd Calendar'!$J$1001*1000000000+ISNUMBER('Dvd Calendar'!$J$1004)*100000000+('Dvd Calendar'!$J$1006=SPECIAL_LBL)*10000000+(N('Dvd Calendar'!$J$1000)&gt;0)*(N('Dvd Calendar'!$J$1000)&lt;=VAL_SERIAL)*1000000+91*1000+6))</f>
        <v/>
      </c>
      <c r="EK102" s="121">
        <f>IF(N('Dvd Calendar'!$K$1001)=0,"",IF(('Dvd Calendar'!$K$1001&gt;=GRID_FROM)*('Dvd Calendar'!$K$1001&lt;=GRID_TO)*((('Dvd Calendar'!$K$1001&lt;=VAL_DATE)+(COUNTIF('Dvd Calendar'!$E$1008:$AR$1008,'Dvd Calendar'!$K$1001)=0))&gt;0)=0,"",'Dvd Calendar'!$K$1001*1000000000+ISNUMBER('Dvd Calendar'!$K$1004)*100000000+('Dvd Calendar'!$K$1006=SPECIAL_LBL)*10000000+(N('Dvd Calendar'!$K$1000)&gt;0)*(N('Dvd Calendar'!$K$1000)&lt;=VAL_SERIAL)*1000000+91*1000+7))</f>
        <v/>
      </c>
      <c r="EL102" s="121">
        <f>IF(N('Dvd Calendar'!$L$1001)=0,"",IF(('Dvd Calendar'!$L$1001&gt;=GRID_FROM)*('Dvd Calendar'!$L$1001&lt;=GRID_TO)*((('Dvd Calendar'!$L$1001&lt;=VAL_DATE)+(COUNTIF('Dvd Calendar'!$E$1008:$AR$1008,'Dvd Calendar'!$L$1001)=0))&gt;0)=0,"",'Dvd Calendar'!$L$1001*1000000000+ISNUMBER('Dvd Calendar'!$L$1004)*100000000+('Dvd Calendar'!$L$1006=SPECIAL_LBL)*10000000+(N('Dvd Calendar'!$L$1000)&gt;0)*(N('Dvd Calendar'!$L$1000)&lt;=VAL_SERIAL)*1000000+91*1000+8))</f>
        <v/>
      </c>
      <c r="EM102" s="121">
        <f>IF(N('Dvd Calendar'!$M$1001)=0,"",IF(('Dvd Calendar'!$M$1001&gt;=GRID_FROM)*('Dvd Calendar'!$M$1001&lt;=GRID_TO)*((('Dvd Calendar'!$M$1001&lt;=VAL_DATE)+(COUNTIF('Dvd Calendar'!$E$1008:$AR$1008,'Dvd Calendar'!$M$1001)=0))&gt;0)=0,"",'Dvd Calendar'!$M$1001*1000000000+ISNUMBER('Dvd Calendar'!$M$1004)*100000000+('Dvd Calendar'!$M$1006=SPECIAL_LBL)*10000000+(N('Dvd Calendar'!$M$1000)&gt;0)*(N('Dvd Calendar'!$M$1000)&lt;=VAL_SERIAL)*1000000+91*1000+9))</f>
        <v/>
      </c>
      <c r="EN102" s="121">
        <f>IF(N('Dvd Calendar'!$N$1001)=0,"",IF(('Dvd Calendar'!$N$1001&gt;=GRID_FROM)*('Dvd Calendar'!$N$1001&lt;=GRID_TO)*((('Dvd Calendar'!$N$1001&lt;=VAL_DATE)+(COUNTIF('Dvd Calendar'!$E$1008:$AR$1008,'Dvd Calendar'!$N$1001)=0))&gt;0)=0,"",'Dvd Calendar'!$N$1001*1000000000+ISNUMBER('Dvd Calendar'!$N$1004)*100000000+('Dvd Calendar'!$N$1006=SPECIAL_LBL)*10000000+(N('Dvd Calendar'!$N$1000)&gt;0)*(N('Dvd Calendar'!$N$1000)&lt;=VAL_SERIAL)*1000000+91*1000+10))</f>
        <v/>
      </c>
      <c r="EO102" s="121">
        <f>IF(N('Dvd Calendar'!$O$1001)=0,"",IF(('Dvd Calendar'!$O$1001&gt;=GRID_FROM)*('Dvd Calendar'!$O$1001&lt;=GRID_TO)*((('Dvd Calendar'!$O$1001&lt;=VAL_DATE)+(COUNTIF('Dvd Calendar'!$E$1008:$AR$1008,'Dvd Calendar'!$O$1001)=0))&gt;0)=0,"",'Dvd Calendar'!$O$1001*1000000000+ISNUMBER('Dvd Calendar'!$O$1004)*100000000+('Dvd Calendar'!$O$1006=SPECIAL_LBL)*10000000+(N('Dvd Calendar'!$O$1000)&gt;0)*(N('Dvd Calendar'!$O$1000)&lt;=VAL_SERIAL)*1000000+91*1000+11))</f>
        <v/>
      </c>
      <c r="EP102" s="121">
        <f>IF(N('Dvd Calendar'!$P$1001)=0,"",IF(('Dvd Calendar'!$P$1001&gt;=GRID_FROM)*('Dvd Calendar'!$P$1001&lt;=GRID_TO)*((('Dvd Calendar'!$P$1001&lt;=VAL_DATE)+(COUNTIF('Dvd Calendar'!$E$1008:$AR$1008,'Dvd Calendar'!$P$1001)=0))&gt;0)=0,"",'Dvd Calendar'!$P$1001*1000000000+ISNUMBER('Dvd Calendar'!$P$1004)*100000000+('Dvd Calendar'!$P$1006=SPECIAL_LBL)*10000000+(N('Dvd Calendar'!$P$1000)&gt;0)*(N('Dvd Calendar'!$P$1000)&lt;=VAL_SERIAL)*1000000+91*1000+12))</f>
        <v/>
      </c>
      <c r="EQ102" s="121">
        <f>IF(N('Dvd Calendar'!$Q$1001)=0,"",IF(('Dvd Calendar'!$Q$1001&gt;=GRID_FROM)*('Dvd Calendar'!$Q$1001&lt;=GRID_TO)*((('Dvd Calendar'!$Q$1001&lt;=VAL_DATE)+(COUNTIF('Dvd Calendar'!$E$1008:$AR$1008,'Dvd Calendar'!$Q$1001)=0))&gt;0)=0,"",'Dvd Calendar'!$Q$1001*1000000000+ISNUMBER('Dvd Calendar'!$Q$1004)*100000000+('Dvd Calendar'!$Q$1006=SPECIAL_LBL)*10000000+(N('Dvd Calendar'!$Q$1000)&gt;0)*(N('Dvd Calendar'!$Q$1000)&lt;=VAL_SERIAL)*1000000+91*1000+13))</f>
        <v/>
      </c>
      <c r="ER102" s="121">
        <f>IF(N('Dvd Calendar'!$R$1001)=0,"",IF(('Dvd Calendar'!$R$1001&gt;=GRID_FROM)*('Dvd Calendar'!$R$1001&lt;=GRID_TO)*((('Dvd Calendar'!$R$1001&lt;=VAL_DATE)+(COUNTIF('Dvd Calendar'!$E$1008:$AR$1008,'Dvd Calendar'!$R$1001)=0))&gt;0)=0,"",'Dvd Calendar'!$R$1001*1000000000+ISNUMBER('Dvd Calendar'!$R$1004)*100000000+('Dvd Calendar'!$R$1006=SPECIAL_LBL)*10000000+(N('Dvd Calendar'!$R$1000)&gt;0)*(N('Dvd Calendar'!$R$1000)&lt;=VAL_SERIAL)*1000000+91*1000+14))</f>
        <v/>
      </c>
      <c r="ES102" s="121">
        <f>IF(N('Dvd Calendar'!$S$1001)=0,"",IF(('Dvd Calendar'!$S$1001&gt;=GRID_FROM)*('Dvd Calendar'!$S$1001&lt;=GRID_TO)*((('Dvd Calendar'!$S$1001&lt;=VAL_DATE)+(COUNTIF('Dvd Calendar'!$E$1008:$AR$1008,'Dvd Calendar'!$S$1001)=0))&gt;0)=0,"",'Dvd Calendar'!$S$1001*1000000000+ISNUMBER('Dvd Calendar'!$S$1004)*100000000+('Dvd Calendar'!$S$1006=SPECIAL_LBL)*10000000+(N('Dvd Calendar'!$S$1000)&gt;0)*(N('Dvd Calendar'!$S$1000)&lt;=VAL_SERIAL)*1000000+91*1000+15))</f>
        <v/>
      </c>
      <c r="ET102" s="121">
        <f>IF(N('Dvd Calendar'!$T$1001)=0,"",IF(('Dvd Calendar'!$T$1001&gt;=GRID_FROM)*('Dvd Calendar'!$T$1001&lt;=GRID_TO)*((('Dvd Calendar'!$T$1001&lt;=VAL_DATE)+(COUNTIF('Dvd Calendar'!$E$1008:$AR$1008,'Dvd Calendar'!$T$1001)=0))&gt;0)=0,"",'Dvd Calendar'!$T$1001*1000000000+ISNUMBER('Dvd Calendar'!$T$1004)*100000000+('Dvd Calendar'!$T$1006=SPECIAL_LBL)*10000000+(N('Dvd Calendar'!$T$1000)&gt;0)*(N('Dvd Calendar'!$T$1000)&lt;=VAL_SERIAL)*1000000+91*1000+16))</f>
        <v/>
      </c>
      <c r="EU102" s="121">
        <f>IF(N('Dvd Calendar'!$U$1001)=0,"",IF(('Dvd Calendar'!$U$1001&gt;=GRID_FROM)*('Dvd Calendar'!$U$1001&lt;=GRID_TO)*((('Dvd Calendar'!$U$1001&lt;=VAL_DATE)+(COUNTIF('Dvd Calendar'!$E$1008:$AR$1008,'Dvd Calendar'!$U$1001)=0))&gt;0)=0,"",'Dvd Calendar'!$U$1001*1000000000+ISNUMBER('Dvd Calendar'!$U$1004)*100000000+('Dvd Calendar'!$U$1006=SPECIAL_LBL)*10000000+(N('Dvd Calendar'!$U$1000)&gt;0)*(N('Dvd Calendar'!$U$1000)&lt;=VAL_SERIAL)*1000000+91*1000+17))</f>
        <v/>
      </c>
      <c r="EV102" s="121">
        <f>IF(N('Dvd Calendar'!$V$1001)=0,"",IF(('Dvd Calendar'!$V$1001&gt;=GRID_FROM)*('Dvd Calendar'!$V$1001&lt;=GRID_TO)*((('Dvd Calendar'!$V$1001&lt;=VAL_DATE)+(COUNTIF('Dvd Calendar'!$E$1008:$AR$1008,'Dvd Calendar'!$V$1001)=0))&gt;0)=0,"",'Dvd Calendar'!$V$1001*1000000000+ISNUMBER('Dvd Calendar'!$V$1004)*100000000+('Dvd Calendar'!$V$1006=SPECIAL_LBL)*10000000+(N('Dvd Calendar'!$V$1000)&gt;0)*(N('Dvd Calendar'!$V$1000)&lt;=VAL_SERIAL)*1000000+91*1000+18))</f>
        <v/>
      </c>
      <c r="EW102" s="121">
        <f>IF(N('Dvd Calendar'!$W$1001)=0,"",IF(('Dvd Calendar'!$W$1001&gt;=GRID_FROM)*('Dvd Calendar'!$W$1001&lt;=GRID_TO)*((('Dvd Calendar'!$W$1001&lt;=VAL_DATE)+(COUNTIF('Dvd Calendar'!$E$1008:$AR$1008,'Dvd Calendar'!$W$1001)=0))&gt;0)=0,"",'Dvd Calendar'!$W$1001*1000000000+ISNUMBER('Dvd Calendar'!$W$1004)*100000000+('Dvd Calendar'!$W$1006=SPECIAL_LBL)*10000000+(N('Dvd Calendar'!$W$1000)&gt;0)*(N('Dvd Calendar'!$W$1000)&lt;=VAL_SERIAL)*1000000+91*1000+19))</f>
        <v/>
      </c>
      <c r="EX102" s="121">
        <f>IF(N('Dvd Calendar'!$X$1001)=0,"",IF(('Dvd Calendar'!$X$1001&gt;=GRID_FROM)*('Dvd Calendar'!$X$1001&lt;=GRID_TO)*((('Dvd Calendar'!$X$1001&lt;=VAL_DATE)+(COUNTIF('Dvd Calendar'!$E$1008:$AR$1008,'Dvd Calendar'!$X$1001)=0))&gt;0)=0,"",'Dvd Calendar'!$X$1001*1000000000+ISNUMBER('Dvd Calendar'!$X$1004)*100000000+('Dvd Calendar'!$X$1006=SPECIAL_LBL)*10000000+(N('Dvd Calendar'!$X$1000)&gt;0)*(N('Dvd Calendar'!$X$1000)&lt;=VAL_SERIAL)*1000000+91*1000+20))</f>
        <v/>
      </c>
      <c r="EY102" s="121">
        <f>IF(N('Dvd Calendar'!$Y$1001)=0,"",IF(('Dvd Calendar'!$Y$1001&gt;=GRID_FROM)*('Dvd Calendar'!$Y$1001&lt;=GRID_TO)*((('Dvd Calendar'!$Y$1001&lt;=VAL_DATE)+(COUNTIF('Dvd Calendar'!$E$1008:$AR$1008,'Dvd Calendar'!$Y$1001)=0))&gt;0)=0,"",'Dvd Calendar'!$Y$1001*1000000000+ISNUMBER('Dvd Calendar'!$Y$1004)*100000000+('Dvd Calendar'!$Y$1006=SPECIAL_LBL)*10000000+(N('Dvd Calendar'!$Y$1000)&gt;0)*(N('Dvd Calendar'!$Y$1000)&lt;=VAL_SERIAL)*1000000+91*1000+21))</f>
        <v/>
      </c>
      <c r="EZ102" s="121">
        <f>IF(N('Dvd Calendar'!$Z$1001)=0,"",IF(('Dvd Calendar'!$Z$1001&gt;=GRID_FROM)*('Dvd Calendar'!$Z$1001&lt;=GRID_TO)*((('Dvd Calendar'!$Z$1001&lt;=VAL_DATE)+(COUNTIF('Dvd Calendar'!$E$1008:$AR$1008,'Dvd Calendar'!$Z$1001)=0))&gt;0)=0,"",'Dvd Calendar'!$Z$1001*1000000000+ISNUMBER('Dvd Calendar'!$Z$1004)*100000000+('Dvd Calendar'!$Z$1006=SPECIAL_LBL)*10000000+(N('Dvd Calendar'!$Z$1000)&gt;0)*(N('Dvd Calendar'!$Z$1000)&lt;=VAL_SERIAL)*1000000+91*1000+22))</f>
        <v/>
      </c>
      <c r="FA102" s="121">
        <f>IF(N('Dvd Calendar'!$AA$1001)=0,"",IF(('Dvd Calendar'!$AA$1001&gt;=GRID_FROM)*('Dvd Calendar'!$AA$1001&lt;=GRID_TO)*((('Dvd Calendar'!$AA$1001&lt;=VAL_DATE)+(COUNTIF('Dvd Calendar'!$E$1008:$AR$1008,'Dvd Calendar'!$AA$1001)=0))&gt;0)=0,"",'Dvd Calendar'!$AA$1001*1000000000+ISNUMBER('Dvd Calendar'!$AA$1004)*100000000+('Dvd Calendar'!$AA$1006=SPECIAL_LBL)*10000000+(N('Dvd Calendar'!$AA$1000)&gt;0)*(N('Dvd Calendar'!$AA$1000)&lt;=VAL_SERIAL)*1000000+91*1000+23))</f>
        <v/>
      </c>
      <c r="FB102" s="121">
        <f>IF(N('Dvd Calendar'!$AB$1001)=0,"",IF(('Dvd Calendar'!$AB$1001&gt;=GRID_FROM)*('Dvd Calendar'!$AB$1001&lt;=GRID_TO)*((('Dvd Calendar'!$AB$1001&lt;=VAL_DATE)+(COUNTIF('Dvd Calendar'!$E$1008:$AR$1008,'Dvd Calendar'!$AB$1001)=0))&gt;0)=0,"",'Dvd Calendar'!$AB$1001*1000000000+ISNUMBER('Dvd Calendar'!$AB$1004)*100000000+('Dvd Calendar'!$AB$1006=SPECIAL_LBL)*10000000+(N('Dvd Calendar'!$AB$1000)&gt;0)*(N('Dvd Calendar'!$AB$1000)&lt;=VAL_SERIAL)*1000000+91*1000+24))</f>
        <v/>
      </c>
      <c r="FC102" s="121">
        <f>IF(N('Dvd Calendar'!$AC$1001)=0,"",IF(('Dvd Calendar'!$AC$1001&gt;=GRID_FROM)*('Dvd Calendar'!$AC$1001&lt;=GRID_TO)*((('Dvd Calendar'!$AC$1001&lt;=VAL_DATE)+(COUNTIF('Dvd Calendar'!$E$1008:$AR$1008,'Dvd Calendar'!$AC$1001)=0))&gt;0)=0,"",'Dvd Calendar'!$AC$1001*1000000000+ISNUMBER('Dvd Calendar'!$AC$1004)*100000000+('Dvd Calendar'!$AC$1006=SPECIAL_LBL)*10000000+(N('Dvd Calendar'!$AC$1000)&gt;0)*(N('Dvd Calendar'!$AC$1000)&lt;=VAL_SERIAL)*1000000+91*1000+25))</f>
        <v/>
      </c>
      <c r="FD102" s="121">
        <f>IF(N('Dvd Calendar'!$AD$1001)=0,"",IF(('Dvd Calendar'!$AD$1001&gt;=GRID_FROM)*('Dvd Calendar'!$AD$1001&lt;=GRID_TO)*((('Dvd Calendar'!$AD$1001&lt;=VAL_DATE)+(COUNTIF('Dvd Calendar'!$E$1008:$AR$1008,'Dvd Calendar'!$AD$1001)=0))&gt;0)=0,"",'Dvd Calendar'!$AD$1001*1000000000+ISNUMBER('Dvd Calendar'!$AD$1004)*100000000+('Dvd Calendar'!$AD$1006=SPECIAL_LBL)*10000000+(N('Dvd Calendar'!$AD$1000)&gt;0)*(N('Dvd Calendar'!$AD$1000)&lt;=VAL_SERIAL)*1000000+91*1000+26))</f>
        <v/>
      </c>
      <c r="FE102" s="121">
        <f>IF(N('Dvd Calendar'!$AE$1001)=0,"",IF(('Dvd Calendar'!$AE$1001&gt;=GRID_FROM)*('Dvd Calendar'!$AE$1001&lt;=GRID_TO)*((('Dvd Calendar'!$AE$1001&lt;=VAL_DATE)+(COUNTIF('Dvd Calendar'!$E$1008:$AR$1008,'Dvd Calendar'!$AE$1001)=0))&gt;0)=0,"",'Dvd Calendar'!$AE$1001*1000000000+ISNUMBER('Dvd Calendar'!$AE$1004)*100000000+('Dvd Calendar'!$AE$1006=SPECIAL_LBL)*10000000+(N('Dvd Calendar'!$AE$1000)&gt;0)*(N('Dvd Calendar'!$AE$1000)&lt;=VAL_SERIAL)*1000000+91*1000+27))</f>
        <v/>
      </c>
      <c r="FF102" s="121">
        <f>IF(N('Dvd Calendar'!$AF$1001)=0,"",IF(('Dvd Calendar'!$AF$1001&gt;=GRID_FROM)*('Dvd Calendar'!$AF$1001&lt;=GRID_TO)*((('Dvd Calendar'!$AF$1001&lt;=VAL_DATE)+(COUNTIF('Dvd Calendar'!$E$1008:$AR$1008,'Dvd Calendar'!$AF$1001)=0))&gt;0)=0,"",'Dvd Calendar'!$AF$1001*1000000000+ISNUMBER('Dvd Calendar'!$AF$1004)*100000000+('Dvd Calendar'!$AF$1006=SPECIAL_LBL)*10000000+(N('Dvd Calendar'!$AF$1000)&gt;0)*(N('Dvd Calendar'!$AF$1000)&lt;=VAL_SERIAL)*1000000+91*1000+28))</f>
        <v/>
      </c>
      <c r="FG102" s="121">
        <f>IF(N('Dvd Calendar'!$AG$1001)=0,"",IF(('Dvd Calendar'!$AG$1001&gt;=GRID_FROM)*('Dvd Calendar'!$AG$1001&lt;=GRID_TO)*((('Dvd Calendar'!$AG$1001&lt;=VAL_DATE)+(COUNTIF('Dvd Calendar'!$E$1008:$AR$1008,'Dvd Calendar'!$AG$1001)=0))&gt;0)=0,"",'Dvd Calendar'!$AG$1001*1000000000+ISNUMBER('Dvd Calendar'!$AG$1004)*100000000+('Dvd Calendar'!$AG$1006=SPECIAL_LBL)*10000000+(N('Dvd Calendar'!$AG$1000)&gt;0)*(N('Dvd Calendar'!$AG$1000)&lt;=VAL_SERIAL)*1000000+91*1000+29))</f>
        <v/>
      </c>
      <c r="FH102" s="121">
        <f>IF(N('Dvd Calendar'!$AH$1001)=0,"",IF(('Dvd Calendar'!$AH$1001&gt;=GRID_FROM)*('Dvd Calendar'!$AH$1001&lt;=GRID_TO)*((('Dvd Calendar'!$AH$1001&lt;=VAL_DATE)+(COUNTIF('Dvd Calendar'!$E$1008:$AR$1008,'Dvd Calendar'!$AH$1001)=0))&gt;0)=0,"",'Dvd Calendar'!$AH$1001*1000000000+ISNUMBER('Dvd Calendar'!$AH$1004)*100000000+('Dvd Calendar'!$AH$1006=SPECIAL_LBL)*10000000+(N('Dvd Calendar'!$AH$1000)&gt;0)*(N('Dvd Calendar'!$AH$1000)&lt;=VAL_SERIAL)*1000000+91*1000+30))</f>
        <v/>
      </c>
      <c r="FI102" s="121">
        <f>IF(N('Dvd Calendar'!$AI$1001)=0,"",IF(('Dvd Calendar'!$AI$1001&gt;=GRID_FROM)*('Dvd Calendar'!$AI$1001&lt;=GRID_TO)*((('Dvd Calendar'!$AI$1001&lt;=VAL_DATE)+(COUNTIF('Dvd Calendar'!$E$1008:$AR$1008,'Dvd Calendar'!$AI$1001)=0))&gt;0)=0,"",'Dvd Calendar'!$AI$1001*1000000000+ISNUMBER('Dvd Calendar'!$AI$1004)*100000000+('Dvd Calendar'!$AI$1006=SPECIAL_LBL)*10000000+(N('Dvd Calendar'!$AI$1000)&gt;0)*(N('Dvd Calendar'!$AI$1000)&lt;=VAL_SERIAL)*1000000+91*1000+31))</f>
        <v/>
      </c>
      <c r="FJ102" s="121">
        <f>IF(N('Dvd Calendar'!$AJ$1001)=0,"",IF(('Dvd Calendar'!$AJ$1001&gt;=GRID_FROM)*('Dvd Calendar'!$AJ$1001&lt;=GRID_TO)*((('Dvd Calendar'!$AJ$1001&lt;=VAL_DATE)+(COUNTIF('Dvd Calendar'!$E$1008:$AR$1008,'Dvd Calendar'!$AJ$1001)=0))&gt;0)=0,"",'Dvd Calendar'!$AJ$1001*1000000000+ISNUMBER('Dvd Calendar'!$AJ$1004)*100000000+('Dvd Calendar'!$AJ$1006=SPECIAL_LBL)*10000000+(N('Dvd Calendar'!$AJ$1000)&gt;0)*(N('Dvd Calendar'!$AJ$1000)&lt;=VAL_SERIAL)*1000000+91*1000+32))</f>
        <v/>
      </c>
      <c r="FK102" s="121">
        <f>IF(N('Dvd Calendar'!$AK$1001)=0,"",IF(('Dvd Calendar'!$AK$1001&gt;=GRID_FROM)*('Dvd Calendar'!$AK$1001&lt;=GRID_TO)*((('Dvd Calendar'!$AK$1001&lt;=VAL_DATE)+(COUNTIF('Dvd Calendar'!$E$1008:$AR$1008,'Dvd Calendar'!$AK$1001)=0))&gt;0)=0,"",'Dvd Calendar'!$AK$1001*1000000000+ISNUMBER('Dvd Calendar'!$AK$1004)*100000000+('Dvd Calendar'!$AK$1006=SPECIAL_LBL)*10000000+(N('Dvd Calendar'!$AK$1000)&gt;0)*(N('Dvd Calendar'!$AK$1000)&lt;=VAL_SERIAL)*1000000+91*1000+33))</f>
        <v/>
      </c>
      <c r="FL102" s="121">
        <f>IF(N('Dvd Calendar'!$AL$1001)=0,"",IF(('Dvd Calendar'!$AL$1001&gt;=GRID_FROM)*('Dvd Calendar'!$AL$1001&lt;=GRID_TO)*((('Dvd Calendar'!$AL$1001&lt;=VAL_DATE)+(COUNTIF('Dvd Calendar'!$E$1008:$AR$1008,'Dvd Calendar'!$AL$1001)=0))&gt;0)=0,"",'Dvd Calendar'!$AL$1001*1000000000+ISNUMBER('Dvd Calendar'!$AL$1004)*100000000+('Dvd Calendar'!$AL$1006=SPECIAL_LBL)*10000000+(N('Dvd Calendar'!$AL$1000)&gt;0)*(N('Dvd Calendar'!$AL$1000)&lt;=VAL_SERIAL)*1000000+91*1000+34))</f>
        <v/>
      </c>
      <c r="FM102" s="121">
        <f>IF(N('Dvd Calendar'!$AM$1001)=0,"",IF(('Dvd Calendar'!$AM$1001&gt;=GRID_FROM)*('Dvd Calendar'!$AM$1001&lt;=GRID_TO)*((('Dvd Calendar'!$AM$1001&lt;=VAL_DATE)+(COUNTIF('Dvd Calendar'!$E$1008:$AR$1008,'Dvd Calendar'!$AM$1001)=0))&gt;0)=0,"",'Dvd Calendar'!$AM$1001*1000000000+ISNUMBER('Dvd Calendar'!$AM$1004)*100000000+('Dvd Calendar'!$AM$1006=SPECIAL_LBL)*10000000+(N('Dvd Calendar'!$AM$1000)&gt;0)*(N('Dvd Calendar'!$AM$1000)&lt;=VAL_SERIAL)*1000000+91*1000+35))</f>
        <v/>
      </c>
      <c r="FN102" s="121">
        <f>IF(N('Dvd Calendar'!$AN$1001)=0,"",IF(('Dvd Calendar'!$AN$1001&gt;=GRID_FROM)*('Dvd Calendar'!$AN$1001&lt;=GRID_TO)*((('Dvd Calendar'!$AN$1001&lt;=VAL_DATE)+(COUNTIF('Dvd Calendar'!$E$1008:$AR$1008,'Dvd Calendar'!$AN$1001)=0))&gt;0)=0,"",'Dvd Calendar'!$AN$1001*1000000000+ISNUMBER('Dvd Calendar'!$AN$1004)*100000000+('Dvd Calendar'!$AN$1006=SPECIAL_LBL)*10000000+(N('Dvd Calendar'!$AN$1000)&gt;0)*(N('Dvd Calendar'!$AN$1000)&lt;=VAL_SERIAL)*1000000+91*1000+36))</f>
        <v/>
      </c>
      <c r="FO102" s="121">
        <f>IF(N('Dvd Calendar'!$AO$1001)=0,"",IF(('Dvd Calendar'!$AO$1001&gt;=GRID_FROM)*('Dvd Calendar'!$AO$1001&lt;=GRID_TO)*((('Dvd Calendar'!$AO$1001&lt;=VAL_DATE)+(COUNTIF('Dvd Calendar'!$E$1008:$AR$1008,'Dvd Calendar'!$AO$1001)=0))&gt;0)=0,"",'Dvd Calendar'!$AO$1001*1000000000+ISNUMBER('Dvd Calendar'!$AO$1004)*100000000+('Dvd Calendar'!$AO$1006=SPECIAL_LBL)*10000000+(N('Dvd Calendar'!$AO$1000)&gt;0)*(N('Dvd Calendar'!$AO$1000)&lt;=VAL_SERIAL)*1000000+91*1000+37))</f>
        <v/>
      </c>
      <c r="FP102" s="121">
        <f>IF(N('Dvd Calendar'!$AP$1001)=0,"",IF(('Dvd Calendar'!$AP$1001&gt;=GRID_FROM)*('Dvd Calendar'!$AP$1001&lt;=GRID_TO)*((('Dvd Calendar'!$AP$1001&lt;=VAL_DATE)+(COUNTIF('Dvd Calendar'!$E$1008:$AR$1008,'Dvd Calendar'!$AP$1001)=0))&gt;0)=0,"",'Dvd Calendar'!$AP$1001*1000000000+ISNUMBER('Dvd Calendar'!$AP$1004)*100000000+('Dvd Calendar'!$AP$1006=SPECIAL_LBL)*10000000+(N('Dvd Calendar'!$AP$1000)&gt;0)*(N('Dvd Calendar'!$AP$1000)&lt;=VAL_SERIAL)*1000000+91*1000+38))</f>
        <v/>
      </c>
      <c r="FQ102" s="121">
        <f>IF(N('Dvd Calendar'!$AQ$1001)=0,"",IF(('Dvd Calendar'!$AQ$1001&gt;=GRID_FROM)*('Dvd Calendar'!$AQ$1001&lt;=GRID_TO)*((('Dvd Calendar'!$AQ$1001&lt;=VAL_DATE)+(COUNTIF('Dvd Calendar'!$E$1008:$AR$1008,'Dvd Calendar'!$AQ$1001)=0))&gt;0)=0,"",'Dvd Calendar'!$AQ$1001*1000000000+ISNUMBER('Dvd Calendar'!$AQ$1004)*100000000+('Dvd Calendar'!$AQ$1006=SPECIAL_LBL)*10000000+(N('Dvd Calendar'!$AQ$1000)&gt;0)*(N('Dvd Calendar'!$AQ$1000)&lt;=VAL_SERIAL)*1000000+91*1000+39))</f>
        <v/>
      </c>
      <c r="FR102" s="121">
        <f>IF(N('Dvd Calendar'!$AR$1001)=0,"",IF(('Dvd Calendar'!$AR$1001&gt;=GRID_FROM)*('Dvd Calendar'!$AR$1001&lt;=GRID_TO)*((('Dvd Calendar'!$AR$1001&lt;=VAL_DATE)+(COUNTIF('Dvd Calendar'!$E$1008:$AR$1008,'Dvd Calendar'!$AR$1001)=0))&gt;0)=0,"",'Dvd Calendar'!$AR$1001*1000000000+ISNUMBER('Dvd Calendar'!$AR$1004)*100000000+('Dvd Calendar'!$AR$1006=SPECIAL_LBL)*10000000+(N('Dvd Calendar'!$AR$1000)&gt;0)*(N('Dvd Calendar'!$AR$1000)&lt;=VAL_SERIAL)*1000000+91*1000+40))</f>
        <v/>
      </c>
      <c r="FS102" s="121">
        <f>IF(N('Dvd Calendar'!$E$1008)=0,"",IF(('Dvd Calendar'!$E$1008&gt;=GRID_FROM)*('Dvd Calendar'!$E$1008&lt;=GRID_TO)*('Dvd Calendar'!$E$1008&gt;VAL_DATE)=0,"",'Dvd Calendar'!$E$1008*1000000000+ISNUMBER('Dvd Calendar'!$E$1009)*100000000+0*10000000+(N('Dvd Calendar'!$E$1007)&gt;0)*(N('Dvd Calendar'!$E$1007)&lt;=VAL_SERIAL)*1000000+91*1000+41))</f>
        <v/>
      </c>
      <c r="FT102" s="121">
        <f>IF(N('Dvd Calendar'!$F$1008)=0,"",IF(('Dvd Calendar'!$F$1008&gt;=GRID_FROM)*('Dvd Calendar'!$F$1008&lt;=GRID_TO)*('Dvd Calendar'!$F$1008&gt;VAL_DATE)=0,"",'Dvd Calendar'!$F$1008*1000000000+ISNUMBER('Dvd Calendar'!$F$1009)*100000000+0*10000000+(N('Dvd Calendar'!$F$1007)&gt;0)*(N('Dvd Calendar'!$F$1007)&lt;=VAL_SERIAL)*1000000+91*1000+42))</f>
        <v/>
      </c>
      <c r="FU102" s="121">
        <f>IF(N('Dvd Calendar'!$G$1008)=0,"",IF(('Dvd Calendar'!$G$1008&gt;=GRID_FROM)*('Dvd Calendar'!$G$1008&lt;=GRID_TO)*('Dvd Calendar'!$G$1008&gt;VAL_DATE)=0,"",'Dvd Calendar'!$G$1008*1000000000+ISNUMBER('Dvd Calendar'!$G$1009)*100000000+0*10000000+(N('Dvd Calendar'!$G$1007)&gt;0)*(N('Dvd Calendar'!$G$1007)&lt;=VAL_SERIAL)*1000000+91*1000+43))</f>
        <v/>
      </c>
      <c r="FV102" s="121">
        <f>IF(N('Dvd Calendar'!$H$1008)=0,"",IF(('Dvd Calendar'!$H$1008&gt;=GRID_FROM)*('Dvd Calendar'!$H$1008&lt;=GRID_TO)*('Dvd Calendar'!$H$1008&gt;VAL_DATE)=0,"",'Dvd Calendar'!$H$1008*1000000000+ISNUMBER('Dvd Calendar'!$H$1009)*100000000+0*10000000+(N('Dvd Calendar'!$H$1007)&gt;0)*(N('Dvd Calendar'!$H$1007)&lt;=VAL_SERIAL)*1000000+91*1000+44))</f>
        <v/>
      </c>
      <c r="FW102" s="121">
        <f>IF(N('Dvd Calendar'!$I$1008)=0,"",IF(('Dvd Calendar'!$I$1008&gt;=GRID_FROM)*('Dvd Calendar'!$I$1008&lt;=GRID_TO)*('Dvd Calendar'!$I$1008&gt;VAL_DATE)=0,"",'Dvd Calendar'!$I$1008*1000000000+ISNUMBER('Dvd Calendar'!$I$1009)*100000000+0*10000000+(N('Dvd Calendar'!$I$1007)&gt;0)*(N('Dvd Calendar'!$I$1007)&lt;=VAL_SERIAL)*1000000+91*1000+45))</f>
        <v/>
      </c>
      <c r="FX102" s="121">
        <f>IF(N('Dvd Calendar'!$J$1008)=0,"",IF(('Dvd Calendar'!$J$1008&gt;=GRID_FROM)*('Dvd Calendar'!$J$1008&lt;=GRID_TO)*('Dvd Calendar'!$J$1008&gt;VAL_DATE)=0,"",'Dvd Calendar'!$J$1008*1000000000+ISNUMBER('Dvd Calendar'!$J$1009)*100000000+0*10000000+(N('Dvd Calendar'!$J$1007)&gt;0)*(N('Dvd Calendar'!$J$1007)&lt;=VAL_SERIAL)*1000000+91*1000+46))</f>
        <v/>
      </c>
      <c r="FY102" s="121">
        <f>IF(N('Dvd Calendar'!$K$1008)=0,"",IF(('Dvd Calendar'!$K$1008&gt;=GRID_FROM)*('Dvd Calendar'!$K$1008&lt;=GRID_TO)*('Dvd Calendar'!$K$1008&gt;VAL_DATE)=0,"",'Dvd Calendar'!$K$1008*1000000000+ISNUMBER('Dvd Calendar'!$K$1009)*100000000+0*10000000+(N('Dvd Calendar'!$K$1007)&gt;0)*(N('Dvd Calendar'!$K$1007)&lt;=VAL_SERIAL)*1000000+91*1000+47))</f>
        <v/>
      </c>
      <c r="FZ102" s="121">
        <f>IF(N('Dvd Calendar'!$L$1008)=0,"",IF(('Dvd Calendar'!$L$1008&gt;=GRID_FROM)*('Dvd Calendar'!$L$1008&lt;=GRID_TO)*('Dvd Calendar'!$L$1008&gt;VAL_DATE)=0,"",'Dvd Calendar'!$L$1008*1000000000+ISNUMBER('Dvd Calendar'!$L$1009)*100000000+0*10000000+(N('Dvd Calendar'!$L$1007)&gt;0)*(N('Dvd Calendar'!$L$1007)&lt;=VAL_SERIAL)*1000000+91*1000+48))</f>
        <v/>
      </c>
      <c r="GA102" s="121">
        <f>IF(N('Dvd Calendar'!$M$1008)=0,"",IF(('Dvd Calendar'!$M$1008&gt;=GRID_FROM)*('Dvd Calendar'!$M$1008&lt;=GRID_TO)*('Dvd Calendar'!$M$1008&gt;VAL_DATE)=0,"",'Dvd Calendar'!$M$1008*1000000000+ISNUMBER('Dvd Calendar'!$M$1009)*100000000+0*10000000+(N('Dvd Calendar'!$M$1007)&gt;0)*(N('Dvd Calendar'!$M$1007)&lt;=VAL_SERIAL)*1000000+91*1000+49))</f>
        <v/>
      </c>
      <c r="GB102" s="121">
        <f>IF(N('Dvd Calendar'!$N$1008)=0,"",IF(('Dvd Calendar'!$N$1008&gt;=GRID_FROM)*('Dvd Calendar'!$N$1008&lt;=GRID_TO)*('Dvd Calendar'!$N$1008&gt;VAL_DATE)=0,"",'Dvd Calendar'!$N$1008*1000000000+ISNUMBER('Dvd Calendar'!$N$1009)*100000000+0*10000000+(N('Dvd Calendar'!$N$1007)&gt;0)*(N('Dvd Calendar'!$N$1007)&lt;=VAL_SERIAL)*1000000+91*1000+50))</f>
        <v/>
      </c>
      <c r="GC102" s="121">
        <f>IF(N('Dvd Calendar'!$O$1008)=0,"",IF(('Dvd Calendar'!$O$1008&gt;=GRID_FROM)*('Dvd Calendar'!$O$1008&lt;=GRID_TO)*('Dvd Calendar'!$O$1008&gt;VAL_DATE)=0,"",'Dvd Calendar'!$O$1008*1000000000+ISNUMBER('Dvd Calendar'!$O$1009)*100000000+0*10000000+(N('Dvd Calendar'!$O$1007)&gt;0)*(N('Dvd Calendar'!$O$1007)&lt;=VAL_SERIAL)*1000000+91*1000+51))</f>
        <v/>
      </c>
      <c r="GD102" s="121">
        <f>IF(N('Dvd Calendar'!$P$1008)=0,"",IF(('Dvd Calendar'!$P$1008&gt;=GRID_FROM)*('Dvd Calendar'!$P$1008&lt;=GRID_TO)*('Dvd Calendar'!$P$1008&gt;VAL_DATE)=0,"",'Dvd Calendar'!$P$1008*1000000000+ISNUMBER('Dvd Calendar'!$P$1009)*100000000+0*10000000+(N('Dvd Calendar'!$P$1007)&gt;0)*(N('Dvd Calendar'!$P$1007)&lt;=VAL_SERIAL)*1000000+91*1000+52))</f>
        <v/>
      </c>
      <c r="GE102" s="121">
        <f>IF(N('Dvd Calendar'!$Q$1008)=0,"",IF(('Dvd Calendar'!$Q$1008&gt;=GRID_FROM)*('Dvd Calendar'!$Q$1008&lt;=GRID_TO)*('Dvd Calendar'!$Q$1008&gt;VAL_DATE)=0,"",'Dvd Calendar'!$Q$1008*1000000000+ISNUMBER('Dvd Calendar'!$Q$1009)*100000000+0*10000000+(N('Dvd Calendar'!$Q$1007)&gt;0)*(N('Dvd Calendar'!$Q$1007)&lt;=VAL_SERIAL)*1000000+91*1000+53))</f>
        <v/>
      </c>
      <c r="GF102" s="121">
        <f>IF(N('Dvd Calendar'!$R$1008)=0,"",IF(('Dvd Calendar'!$R$1008&gt;=GRID_FROM)*('Dvd Calendar'!$R$1008&lt;=GRID_TO)*('Dvd Calendar'!$R$1008&gt;VAL_DATE)=0,"",'Dvd Calendar'!$R$1008*1000000000+ISNUMBER('Dvd Calendar'!$R$1009)*100000000+0*10000000+(N('Dvd Calendar'!$R$1007)&gt;0)*(N('Dvd Calendar'!$R$1007)&lt;=VAL_SERIAL)*1000000+91*1000+54))</f>
        <v/>
      </c>
      <c r="GG102" s="121">
        <f>IF(N('Dvd Calendar'!$S$1008)=0,"",IF(('Dvd Calendar'!$S$1008&gt;=GRID_FROM)*('Dvd Calendar'!$S$1008&lt;=GRID_TO)*('Dvd Calendar'!$S$1008&gt;VAL_DATE)=0,"",'Dvd Calendar'!$S$1008*1000000000+ISNUMBER('Dvd Calendar'!$S$1009)*100000000+0*10000000+(N('Dvd Calendar'!$S$1007)&gt;0)*(N('Dvd Calendar'!$S$1007)&lt;=VAL_SERIAL)*1000000+91*1000+55))</f>
        <v/>
      </c>
      <c r="GH102" s="121">
        <f>IF(N('Dvd Calendar'!$T$1008)=0,"",IF(('Dvd Calendar'!$T$1008&gt;=GRID_FROM)*('Dvd Calendar'!$T$1008&lt;=GRID_TO)*('Dvd Calendar'!$T$1008&gt;VAL_DATE)=0,"",'Dvd Calendar'!$T$1008*1000000000+ISNUMBER('Dvd Calendar'!$T$1009)*100000000+0*10000000+(N('Dvd Calendar'!$T$1007)&gt;0)*(N('Dvd Calendar'!$T$1007)&lt;=VAL_SERIAL)*1000000+91*1000+56))</f>
        <v/>
      </c>
      <c r="GI102" s="121">
        <f>IF(N('Dvd Calendar'!$U$1008)=0,"",IF(('Dvd Calendar'!$U$1008&gt;=GRID_FROM)*('Dvd Calendar'!$U$1008&lt;=GRID_TO)*('Dvd Calendar'!$U$1008&gt;VAL_DATE)=0,"",'Dvd Calendar'!$U$1008*1000000000+ISNUMBER('Dvd Calendar'!$U$1009)*100000000+0*10000000+(N('Dvd Calendar'!$U$1007)&gt;0)*(N('Dvd Calendar'!$U$1007)&lt;=VAL_SERIAL)*1000000+91*1000+57))</f>
        <v/>
      </c>
      <c r="GJ102" s="121">
        <f>IF(N('Dvd Calendar'!$V$1008)=0,"",IF(('Dvd Calendar'!$V$1008&gt;=GRID_FROM)*('Dvd Calendar'!$V$1008&lt;=GRID_TO)*('Dvd Calendar'!$V$1008&gt;VAL_DATE)=0,"",'Dvd Calendar'!$V$1008*1000000000+ISNUMBER('Dvd Calendar'!$V$1009)*100000000+0*10000000+(N('Dvd Calendar'!$V$1007)&gt;0)*(N('Dvd Calendar'!$V$1007)&lt;=VAL_SERIAL)*1000000+91*1000+58))</f>
        <v/>
      </c>
      <c r="GK102" s="121">
        <f>IF(N('Dvd Calendar'!$W$1008)=0,"",IF(('Dvd Calendar'!$W$1008&gt;=GRID_FROM)*('Dvd Calendar'!$W$1008&lt;=GRID_TO)*('Dvd Calendar'!$W$1008&gt;VAL_DATE)=0,"",'Dvd Calendar'!$W$1008*1000000000+ISNUMBER('Dvd Calendar'!$W$1009)*100000000+0*10000000+(N('Dvd Calendar'!$W$1007)&gt;0)*(N('Dvd Calendar'!$W$1007)&lt;=VAL_SERIAL)*1000000+91*1000+59))</f>
        <v/>
      </c>
      <c r="GL102" s="121">
        <f>IF(N('Dvd Calendar'!$X$1008)=0,"",IF(('Dvd Calendar'!$X$1008&gt;=GRID_FROM)*('Dvd Calendar'!$X$1008&lt;=GRID_TO)*('Dvd Calendar'!$X$1008&gt;VAL_DATE)=0,"",'Dvd Calendar'!$X$1008*1000000000+ISNUMBER('Dvd Calendar'!$X$1009)*100000000+0*10000000+(N('Dvd Calendar'!$X$1007)&gt;0)*(N('Dvd Calendar'!$X$1007)&lt;=VAL_SERIAL)*1000000+91*1000+60))</f>
        <v/>
      </c>
      <c r="GM102" s="121">
        <f>IF(N('Dvd Calendar'!$Y$1008)=0,"",IF(('Dvd Calendar'!$Y$1008&gt;=GRID_FROM)*('Dvd Calendar'!$Y$1008&lt;=GRID_TO)*('Dvd Calendar'!$Y$1008&gt;VAL_DATE)=0,"",'Dvd Calendar'!$Y$1008*1000000000+ISNUMBER('Dvd Calendar'!$Y$1009)*100000000+0*10000000+(N('Dvd Calendar'!$Y$1007)&gt;0)*(N('Dvd Calendar'!$Y$1007)&lt;=VAL_SERIAL)*1000000+91*1000+61))</f>
        <v/>
      </c>
      <c r="GN102" s="121">
        <f>IF(N('Dvd Calendar'!$Z$1008)=0,"",IF(('Dvd Calendar'!$Z$1008&gt;=GRID_FROM)*('Dvd Calendar'!$Z$1008&lt;=GRID_TO)*('Dvd Calendar'!$Z$1008&gt;VAL_DATE)=0,"",'Dvd Calendar'!$Z$1008*1000000000+ISNUMBER('Dvd Calendar'!$Z$1009)*100000000+0*10000000+(N('Dvd Calendar'!$Z$1007)&gt;0)*(N('Dvd Calendar'!$Z$1007)&lt;=VAL_SERIAL)*1000000+91*1000+62))</f>
        <v/>
      </c>
      <c r="GO102" s="121">
        <f>IF(N('Dvd Calendar'!$AA$1008)=0,"",IF(('Dvd Calendar'!$AA$1008&gt;=GRID_FROM)*('Dvd Calendar'!$AA$1008&lt;=GRID_TO)*('Dvd Calendar'!$AA$1008&gt;VAL_DATE)=0,"",'Dvd Calendar'!$AA$1008*1000000000+ISNUMBER('Dvd Calendar'!$AA$1009)*100000000+0*10000000+(N('Dvd Calendar'!$AA$1007)&gt;0)*(N('Dvd Calendar'!$AA$1007)&lt;=VAL_SERIAL)*1000000+91*1000+63))</f>
        <v/>
      </c>
      <c r="GP102" s="121">
        <f>IF(N('Dvd Calendar'!$AB$1008)=0,"",IF(('Dvd Calendar'!$AB$1008&gt;=GRID_FROM)*('Dvd Calendar'!$AB$1008&lt;=GRID_TO)*('Dvd Calendar'!$AB$1008&gt;VAL_DATE)=0,"",'Dvd Calendar'!$AB$1008*1000000000+ISNUMBER('Dvd Calendar'!$AB$1009)*100000000+0*10000000+(N('Dvd Calendar'!$AB$1007)&gt;0)*(N('Dvd Calendar'!$AB$1007)&lt;=VAL_SERIAL)*1000000+91*1000+64))</f>
        <v/>
      </c>
      <c r="GQ102" s="121">
        <f>IF(N('Dvd Calendar'!$AC$1008)=0,"",IF(('Dvd Calendar'!$AC$1008&gt;=GRID_FROM)*('Dvd Calendar'!$AC$1008&lt;=GRID_TO)*('Dvd Calendar'!$AC$1008&gt;VAL_DATE)=0,"",'Dvd Calendar'!$AC$1008*1000000000+ISNUMBER('Dvd Calendar'!$AC$1009)*100000000+0*10000000+(N('Dvd Calendar'!$AC$1007)&gt;0)*(N('Dvd Calendar'!$AC$1007)&lt;=VAL_SERIAL)*1000000+91*1000+65))</f>
        <v/>
      </c>
    </row>
    <row r="103">
      <c r="B103" s="2">
        <f>IF(HSI!$C$98="","",HSI!$C$98)</f>
        <v/>
      </c>
      <c r="C103" s="161">
        <f>IF(EE103="","",IF(ISNUMBER('Dvd Calendar'!$E$1015)=FALSE,"",IF((('Dvd Calendar'!$E$1017=TYPE1)*(TYPE1&lt;&gt;"")+('Dvd Calendar'!$E$1017=TYPE2)*(TYPE2&lt;&gt;"")+('Dvd Calendar'!$E$1017=TYPE3)*(TYPE3&lt;&gt;"")+('Dvd Calendar'!$E$1017=TYPE4)*(TYPE4&lt;&gt;"")+('Dvd Calendar'!$E$1017=SPECIAL_LBL)*(INC_SPECIALS="Y"))=0,"",'Dvd Calendar'!$E$1015)))</f>
        <v/>
      </c>
      <c r="D103" s="161">
        <f>IF(EF103="","",IF(ISNUMBER('Dvd Calendar'!$F$1015)=FALSE,"",IF((('Dvd Calendar'!$F$1017=TYPE1)*(TYPE1&lt;&gt;"")+('Dvd Calendar'!$F$1017=TYPE2)*(TYPE2&lt;&gt;"")+('Dvd Calendar'!$F$1017=TYPE3)*(TYPE3&lt;&gt;"")+('Dvd Calendar'!$F$1017=TYPE4)*(TYPE4&lt;&gt;"")+('Dvd Calendar'!$F$1017=SPECIAL_LBL)*(INC_SPECIALS="Y"))=0,"",'Dvd Calendar'!$F$1015)))</f>
        <v/>
      </c>
      <c r="E103" s="161">
        <f>IF(EG103="","",IF(ISNUMBER('Dvd Calendar'!$G$1015)=FALSE,"",IF((('Dvd Calendar'!$G$1017=TYPE1)*(TYPE1&lt;&gt;"")+('Dvd Calendar'!$G$1017=TYPE2)*(TYPE2&lt;&gt;"")+('Dvd Calendar'!$G$1017=TYPE3)*(TYPE3&lt;&gt;"")+('Dvd Calendar'!$G$1017=TYPE4)*(TYPE4&lt;&gt;"")+('Dvd Calendar'!$G$1017=SPECIAL_LBL)*(INC_SPECIALS="Y"))=0,"",'Dvd Calendar'!$G$1015)))</f>
        <v/>
      </c>
      <c r="F103" s="161">
        <f>IF(EH103="","",IF(ISNUMBER('Dvd Calendar'!$H$1015)=FALSE,"",IF((('Dvd Calendar'!$H$1017=TYPE1)*(TYPE1&lt;&gt;"")+('Dvd Calendar'!$H$1017=TYPE2)*(TYPE2&lt;&gt;"")+('Dvd Calendar'!$H$1017=TYPE3)*(TYPE3&lt;&gt;"")+('Dvd Calendar'!$H$1017=TYPE4)*(TYPE4&lt;&gt;"")+('Dvd Calendar'!$H$1017=SPECIAL_LBL)*(INC_SPECIALS="Y"))=0,"",'Dvd Calendar'!$H$1015)))</f>
        <v/>
      </c>
      <c r="G103" s="161">
        <f>IF(EI103="","",IF(ISNUMBER('Dvd Calendar'!$I$1015)=FALSE,"",IF((('Dvd Calendar'!$I$1017=TYPE1)*(TYPE1&lt;&gt;"")+('Dvd Calendar'!$I$1017=TYPE2)*(TYPE2&lt;&gt;"")+('Dvd Calendar'!$I$1017=TYPE3)*(TYPE3&lt;&gt;"")+('Dvd Calendar'!$I$1017=TYPE4)*(TYPE4&lt;&gt;"")+('Dvd Calendar'!$I$1017=SPECIAL_LBL)*(INC_SPECIALS="Y"))=0,"",'Dvd Calendar'!$I$1015)))</f>
        <v/>
      </c>
      <c r="H103" s="161">
        <f>IF(EJ103="","",IF(ISNUMBER('Dvd Calendar'!$J$1015)=FALSE,"",IF((('Dvd Calendar'!$J$1017=TYPE1)*(TYPE1&lt;&gt;"")+('Dvd Calendar'!$J$1017=TYPE2)*(TYPE2&lt;&gt;"")+('Dvd Calendar'!$J$1017=TYPE3)*(TYPE3&lt;&gt;"")+('Dvd Calendar'!$J$1017=TYPE4)*(TYPE4&lt;&gt;"")+('Dvd Calendar'!$J$1017=SPECIAL_LBL)*(INC_SPECIALS="Y"))=0,"",'Dvd Calendar'!$J$1015)))</f>
        <v/>
      </c>
      <c r="I103" s="161">
        <f>IF(EK103="","",IF(ISNUMBER('Dvd Calendar'!$K$1015)=FALSE,"",IF((('Dvd Calendar'!$K$1017=TYPE1)*(TYPE1&lt;&gt;"")+('Dvd Calendar'!$K$1017=TYPE2)*(TYPE2&lt;&gt;"")+('Dvd Calendar'!$K$1017=TYPE3)*(TYPE3&lt;&gt;"")+('Dvd Calendar'!$K$1017=TYPE4)*(TYPE4&lt;&gt;"")+('Dvd Calendar'!$K$1017=SPECIAL_LBL)*(INC_SPECIALS="Y"))=0,"",'Dvd Calendar'!$K$1015)))</f>
        <v/>
      </c>
      <c r="J103" s="161">
        <f>IF(EL103="","",IF(ISNUMBER('Dvd Calendar'!$L$1015)=FALSE,"",IF((('Dvd Calendar'!$L$1017=TYPE1)*(TYPE1&lt;&gt;"")+('Dvd Calendar'!$L$1017=TYPE2)*(TYPE2&lt;&gt;"")+('Dvd Calendar'!$L$1017=TYPE3)*(TYPE3&lt;&gt;"")+('Dvd Calendar'!$L$1017=TYPE4)*(TYPE4&lt;&gt;"")+('Dvd Calendar'!$L$1017=SPECIAL_LBL)*(INC_SPECIALS="Y"))=0,"",'Dvd Calendar'!$L$1015)))</f>
        <v/>
      </c>
      <c r="K103" s="161">
        <f>IF(EM103="","",IF(ISNUMBER('Dvd Calendar'!$M$1015)=FALSE,"",IF((('Dvd Calendar'!$M$1017=TYPE1)*(TYPE1&lt;&gt;"")+('Dvd Calendar'!$M$1017=TYPE2)*(TYPE2&lt;&gt;"")+('Dvd Calendar'!$M$1017=TYPE3)*(TYPE3&lt;&gt;"")+('Dvd Calendar'!$M$1017=TYPE4)*(TYPE4&lt;&gt;"")+('Dvd Calendar'!$M$1017=SPECIAL_LBL)*(INC_SPECIALS="Y"))=0,"",'Dvd Calendar'!$M$1015)))</f>
        <v/>
      </c>
      <c r="L103" s="161">
        <f>IF(EN103="","",IF(ISNUMBER('Dvd Calendar'!$N$1015)=FALSE,"",IF((('Dvd Calendar'!$N$1017=TYPE1)*(TYPE1&lt;&gt;"")+('Dvd Calendar'!$N$1017=TYPE2)*(TYPE2&lt;&gt;"")+('Dvd Calendar'!$N$1017=TYPE3)*(TYPE3&lt;&gt;"")+('Dvd Calendar'!$N$1017=TYPE4)*(TYPE4&lt;&gt;"")+('Dvd Calendar'!$N$1017=SPECIAL_LBL)*(INC_SPECIALS="Y"))=0,"",'Dvd Calendar'!$N$1015)))</f>
        <v/>
      </c>
      <c r="M103" s="161">
        <f>IF(EO103="","",IF(ISNUMBER('Dvd Calendar'!$O$1015)=FALSE,"",IF((('Dvd Calendar'!$O$1017=TYPE1)*(TYPE1&lt;&gt;"")+('Dvd Calendar'!$O$1017=TYPE2)*(TYPE2&lt;&gt;"")+('Dvd Calendar'!$O$1017=TYPE3)*(TYPE3&lt;&gt;"")+('Dvd Calendar'!$O$1017=TYPE4)*(TYPE4&lt;&gt;"")+('Dvd Calendar'!$O$1017=SPECIAL_LBL)*(INC_SPECIALS="Y"))=0,"",'Dvd Calendar'!$O$1015)))</f>
        <v/>
      </c>
      <c r="N103" s="161">
        <f>IF(EP103="","",IF(ISNUMBER('Dvd Calendar'!$P$1015)=FALSE,"",IF((('Dvd Calendar'!$P$1017=TYPE1)*(TYPE1&lt;&gt;"")+('Dvd Calendar'!$P$1017=TYPE2)*(TYPE2&lt;&gt;"")+('Dvd Calendar'!$P$1017=TYPE3)*(TYPE3&lt;&gt;"")+('Dvd Calendar'!$P$1017=TYPE4)*(TYPE4&lt;&gt;"")+('Dvd Calendar'!$P$1017=SPECIAL_LBL)*(INC_SPECIALS="Y"))=0,"",'Dvd Calendar'!$P$1015)))</f>
        <v/>
      </c>
      <c r="O103" s="161">
        <f>IF(EQ103="","",IF(ISNUMBER('Dvd Calendar'!$Q$1015)=FALSE,"",IF((('Dvd Calendar'!$Q$1017=TYPE1)*(TYPE1&lt;&gt;"")+('Dvd Calendar'!$Q$1017=TYPE2)*(TYPE2&lt;&gt;"")+('Dvd Calendar'!$Q$1017=TYPE3)*(TYPE3&lt;&gt;"")+('Dvd Calendar'!$Q$1017=TYPE4)*(TYPE4&lt;&gt;"")+('Dvd Calendar'!$Q$1017=SPECIAL_LBL)*(INC_SPECIALS="Y"))=0,"",'Dvd Calendar'!$Q$1015)))</f>
        <v/>
      </c>
      <c r="P103" s="161">
        <f>IF(ER103="","",IF(ISNUMBER('Dvd Calendar'!$R$1015)=FALSE,"",IF((('Dvd Calendar'!$R$1017=TYPE1)*(TYPE1&lt;&gt;"")+('Dvd Calendar'!$R$1017=TYPE2)*(TYPE2&lt;&gt;"")+('Dvd Calendar'!$R$1017=TYPE3)*(TYPE3&lt;&gt;"")+('Dvd Calendar'!$R$1017=TYPE4)*(TYPE4&lt;&gt;"")+('Dvd Calendar'!$R$1017=SPECIAL_LBL)*(INC_SPECIALS="Y"))=0,"",'Dvd Calendar'!$R$1015)))</f>
        <v/>
      </c>
      <c r="Q103" s="161">
        <f>IF(ES103="","",IF(ISNUMBER('Dvd Calendar'!$S$1015)=FALSE,"",IF((('Dvd Calendar'!$S$1017=TYPE1)*(TYPE1&lt;&gt;"")+('Dvd Calendar'!$S$1017=TYPE2)*(TYPE2&lt;&gt;"")+('Dvd Calendar'!$S$1017=TYPE3)*(TYPE3&lt;&gt;"")+('Dvd Calendar'!$S$1017=TYPE4)*(TYPE4&lt;&gt;"")+('Dvd Calendar'!$S$1017=SPECIAL_LBL)*(INC_SPECIALS="Y"))=0,"",'Dvd Calendar'!$S$1015)))</f>
        <v/>
      </c>
      <c r="R103" s="161">
        <f>IF(ET103="","",IF(ISNUMBER('Dvd Calendar'!$T$1015)=FALSE,"",IF((('Dvd Calendar'!$T$1017=TYPE1)*(TYPE1&lt;&gt;"")+('Dvd Calendar'!$T$1017=TYPE2)*(TYPE2&lt;&gt;"")+('Dvd Calendar'!$T$1017=TYPE3)*(TYPE3&lt;&gt;"")+('Dvd Calendar'!$T$1017=TYPE4)*(TYPE4&lt;&gt;"")+('Dvd Calendar'!$T$1017=SPECIAL_LBL)*(INC_SPECIALS="Y"))=0,"",'Dvd Calendar'!$T$1015)))</f>
        <v/>
      </c>
      <c r="S103" s="161">
        <f>IF(EU103="","",IF(ISNUMBER('Dvd Calendar'!$U$1015)=FALSE,"",IF((('Dvd Calendar'!$U$1017=TYPE1)*(TYPE1&lt;&gt;"")+('Dvd Calendar'!$U$1017=TYPE2)*(TYPE2&lt;&gt;"")+('Dvd Calendar'!$U$1017=TYPE3)*(TYPE3&lt;&gt;"")+('Dvd Calendar'!$U$1017=TYPE4)*(TYPE4&lt;&gt;"")+('Dvd Calendar'!$U$1017=SPECIAL_LBL)*(INC_SPECIALS="Y"))=0,"",'Dvd Calendar'!$U$1015)))</f>
        <v/>
      </c>
      <c r="T103" s="161">
        <f>IF(EV103="","",IF(ISNUMBER('Dvd Calendar'!$V$1015)=FALSE,"",IF((('Dvd Calendar'!$V$1017=TYPE1)*(TYPE1&lt;&gt;"")+('Dvd Calendar'!$V$1017=TYPE2)*(TYPE2&lt;&gt;"")+('Dvd Calendar'!$V$1017=TYPE3)*(TYPE3&lt;&gt;"")+('Dvd Calendar'!$V$1017=TYPE4)*(TYPE4&lt;&gt;"")+('Dvd Calendar'!$V$1017=SPECIAL_LBL)*(INC_SPECIALS="Y"))=0,"",'Dvd Calendar'!$V$1015)))</f>
        <v/>
      </c>
      <c r="U103" s="161">
        <f>IF(EW103="","",IF(ISNUMBER('Dvd Calendar'!$W$1015)=FALSE,"",IF((('Dvd Calendar'!$W$1017=TYPE1)*(TYPE1&lt;&gt;"")+('Dvd Calendar'!$W$1017=TYPE2)*(TYPE2&lt;&gt;"")+('Dvd Calendar'!$W$1017=TYPE3)*(TYPE3&lt;&gt;"")+('Dvd Calendar'!$W$1017=TYPE4)*(TYPE4&lt;&gt;"")+('Dvd Calendar'!$W$1017=SPECIAL_LBL)*(INC_SPECIALS="Y"))=0,"",'Dvd Calendar'!$W$1015)))</f>
        <v/>
      </c>
      <c r="V103" s="161">
        <f>IF(EX103="","",IF(ISNUMBER('Dvd Calendar'!$X$1015)=FALSE,"",IF((('Dvd Calendar'!$X$1017=TYPE1)*(TYPE1&lt;&gt;"")+('Dvd Calendar'!$X$1017=TYPE2)*(TYPE2&lt;&gt;"")+('Dvd Calendar'!$X$1017=TYPE3)*(TYPE3&lt;&gt;"")+('Dvd Calendar'!$X$1017=TYPE4)*(TYPE4&lt;&gt;"")+('Dvd Calendar'!$X$1017=SPECIAL_LBL)*(INC_SPECIALS="Y"))=0,"",'Dvd Calendar'!$X$1015)))</f>
        <v/>
      </c>
      <c r="W103" s="161">
        <f>IF(EY103="","",IF(ISNUMBER('Dvd Calendar'!$Y$1015)=FALSE,"",IF((('Dvd Calendar'!$Y$1017=TYPE1)*(TYPE1&lt;&gt;"")+('Dvd Calendar'!$Y$1017=TYPE2)*(TYPE2&lt;&gt;"")+('Dvd Calendar'!$Y$1017=TYPE3)*(TYPE3&lt;&gt;"")+('Dvd Calendar'!$Y$1017=TYPE4)*(TYPE4&lt;&gt;"")+('Dvd Calendar'!$Y$1017=SPECIAL_LBL)*(INC_SPECIALS="Y"))=0,"",'Dvd Calendar'!$Y$1015)))</f>
        <v/>
      </c>
      <c r="X103" s="161">
        <f>IF(EZ103="","",IF(ISNUMBER('Dvd Calendar'!$Z$1015)=FALSE,"",IF((('Dvd Calendar'!$Z$1017=TYPE1)*(TYPE1&lt;&gt;"")+('Dvd Calendar'!$Z$1017=TYPE2)*(TYPE2&lt;&gt;"")+('Dvd Calendar'!$Z$1017=TYPE3)*(TYPE3&lt;&gt;"")+('Dvd Calendar'!$Z$1017=TYPE4)*(TYPE4&lt;&gt;"")+('Dvd Calendar'!$Z$1017=SPECIAL_LBL)*(INC_SPECIALS="Y"))=0,"",'Dvd Calendar'!$Z$1015)))</f>
        <v/>
      </c>
      <c r="Y103" s="161">
        <f>IF(FA103="","",IF(ISNUMBER('Dvd Calendar'!$AA$1015)=FALSE,"",IF((('Dvd Calendar'!$AA$1017=TYPE1)*(TYPE1&lt;&gt;"")+('Dvd Calendar'!$AA$1017=TYPE2)*(TYPE2&lt;&gt;"")+('Dvd Calendar'!$AA$1017=TYPE3)*(TYPE3&lt;&gt;"")+('Dvd Calendar'!$AA$1017=TYPE4)*(TYPE4&lt;&gt;"")+('Dvd Calendar'!$AA$1017=SPECIAL_LBL)*(INC_SPECIALS="Y"))=0,"",'Dvd Calendar'!$AA$1015)))</f>
        <v/>
      </c>
      <c r="Z103" s="161">
        <f>IF(FB103="","",IF(ISNUMBER('Dvd Calendar'!$AB$1015)=FALSE,"",IF((('Dvd Calendar'!$AB$1017=TYPE1)*(TYPE1&lt;&gt;"")+('Dvd Calendar'!$AB$1017=TYPE2)*(TYPE2&lt;&gt;"")+('Dvd Calendar'!$AB$1017=TYPE3)*(TYPE3&lt;&gt;"")+('Dvd Calendar'!$AB$1017=TYPE4)*(TYPE4&lt;&gt;"")+('Dvd Calendar'!$AB$1017=SPECIAL_LBL)*(INC_SPECIALS="Y"))=0,"",'Dvd Calendar'!$AB$1015)))</f>
        <v/>
      </c>
      <c r="AA103" s="161">
        <f>IF(FC103="","",IF(ISNUMBER('Dvd Calendar'!$AC$1015)=FALSE,"",IF((('Dvd Calendar'!$AC$1017=TYPE1)*(TYPE1&lt;&gt;"")+('Dvd Calendar'!$AC$1017=TYPE2)*(TYPE2&lt;&gt;"")+('Dvd Calendar'!$AC$1017=TYPE3)*(TYPE3&lt;&gt;"")+('Dvd Calendar'!$AC$1017=TYPE4)*(TYPE4&lt;&gt;"")+('Dvd Calendar'!$AC$1017=SPECIAL_LBL)*(INC_SPECIALS="Y"))=0,"",'Dvd Calendar'!$AC$1015)))</f>
        <v/>
      </c>
      <c r="AB103" s="161">
        <f>IF(FD103="","",IF(ISNUMBER('Dvd Calendar'!$AD$1015)=FALSE,"",IF((('Dvd Calendar'!$AD$1017=TYPE1)*(TYPE1&lt;&gt;"")+('Dvd Calendar'!$AD$1017=TYPE2)*(TYPE2&lt;&gt;"")+('Dvd Calendar'!$AD$1017=TYPE3)*(TYPE3&lt;&gt;"")+('Dvd Calendar'!$AD$1017=TYPE4)*(TYPE4&lt;&gt;"")+('Dvd Calendar'!$AD$1017=SPECIAL_LBL)*(INC_SPECIALS="Y"))=0,"",'Dvd Calendar'!$AD$1015)))</f>
        <v/>
      </c>
      <c r="AC103" s="161">
        <f>IF(FE103="","",IF(ISNUMBER('Dvd Calendar'!$AE$1015)=FALSE,"",IF((('Dvd Calendar'!$AE$1017=TYPE1)*(TYPE1&lt;&gt;"")+('Dvd Calendar'!$AE$1017=TYPE2)*(TYPE2&lt;&gt;"")+('Dvd Calendar'!$AE$1017=TYPE3)*(TYPE3&lt;&gt;"")+('Dvd Calendar'!$AE$1017=TYPE4)*(TYPE4&lt;&gt;"")+('Dvd Calendar'!$AE$1017=SPECIAL_LBL)*(INC_SPECIALS="Y"))=0,"",'Dvd Calendar'!$AE$1015)))</f>
        <v/>
      </c>
      <c r="AD103" s="161">
        <f>IF(FF103="","",IF(ISNUMBER('Dvd Calendar'!$AF$1015)=FALSE,"",IF((('Dvd Calendar'!$AF$1017=TYPE1)*(TYPE1&lt;&gt;"")+('Dvd Calendar'!$AF$1017=TYPE2)*(TYPE2&lt;&gt;"")+('Dvd Calendar'!$AF$1017=TYPE3)*(TYPE3&lt;&gt;"")+('Dvd Calendar'!$AF$1017=TYPE4)*(TYPE4&lt;&gt;"")+('Dvd Calendar'!$AF$1017=SPECIAL_LBL)*(INC_SPECIALS="Y"))=0,"",'Dvd Calendar'!$AF$1015)))</f>
        <v/>
      </c>
      <c r="AE103" s="161">
        <f>IF(FG103="","",IF(ISNUMBER('Dvd Calendar'!$AG$1015)=FALSE,"",IF((('Dvd Calendar'!$AG$1017=TYPE1)*(TYPE1&lt;&gt;"")+('Dvd Calendar'!$AG$1017=TYPE2)*(TYPE2&lt;&gt;"")+('Dvd Calendar'!$AG$1017=TYPE3)*(TYPE3&lt;&gt;"")+('Dvd Calendar'!$AG$1017=TYPE4)*(TYPE4&lt;&gt;"")+('Dvd Calendar'!$AG$1017=SPECIAL_LBL)*(INC_SPECIALS="Y"))=0,"",'Dvd Calendar'!$AG$1015)))</f>
        <v/>
      </c>
      <c r="AF103" s="161">
        <f>IF(FH103="","",IF(ISNUMBER('Dvd Calendar'!$AH$1015)=FALSE,"",IF((('Dvd Calendar'!$AH$1017=TYPE1)*(TYPE1&lt;&gt;"")+('Dvd Calendar'!$AH$1017=TYPE2)*(TYPE2&lt;&gt;"")+('Dvd Calendar'!$AH$1017=TYPE3)*(TYPE3&lt;&gt;"")+('Dvd Calendar'!$AH$1017=TYPE4)*(TYPE4&lt;&gt;"")+('Dvd Calendar'!$AH$1017=SPECIAL_LBL)*(INC_SPECIALS="Y"))=0,"",'Dvd Calendar'!$AH$1015)))</f>
        <v/>
      </c>
      <c r="AG103" s="161">
        <f>IF(FI103="","",IF(ISNUMBER('Dvd Calendar'!$AI$1015)=FALSE,"",IF((('Dvd Calendar'!$AI$1017=TYPE1)*(TYPE1&lt;&gt;"")+('Dvd Calendar'!$AI$1017=TYPE2)*(TYPE2&lt;&gt;"")+('Dvd Calendar'!$AI$1017=TYPE3)*(TYPE3&lt;&gt;"")+('Dvd Calendar'!$AI$1017=TYPE4)*(TYPE4&lt;&gt;"")+('Dvd Calendar'!$AI$1017=SPECIAL_LBL)*(INC_SPECIALS="Y"))=0,"",'Dvd Calendar'!$AI$1015)))</f>
        <v/>
      </c>
      <c r="AH103" s="161">
        <f>IF(FJ103="","",IF(ISNUMBER('Dvd Calendar'!$AJ$1015)=FALSE,"",IF((('Dvd Calendar'!$AJ$1017=TYPE1)*(TYPE1&lt;&gt;"")+('Dvd Calendar'!$AJ$1017=TYPE2)*(TYPE2&lt;&gt;"")+('Dvd Calendar'!$AJ$1017=TYPE3)*(TYPE3&lt;&gt;"")+('Dvd Calendar'!$AJ$1017=TYPE4)*(TYPE4&lt;&gt;"")+('Dvd Calendar'!$AJ$1017=SPECIAL_LBL)*(INC_SPECIALS="Y"))=0,"",'Dvd Calendar'!$AJ$1015)))</f>
        <v/>
      </c>
      <c r="AI103" s="161">
        <f>IF(FK103="","",IF(ISNUMBER('Dvd Calendar'!$AK$1015)=FALSE,"",IF((('Dvd Calendar'!$AK$1017=TYPE1)*(TYPE1&lt;&gt;"")+('Dvd Calendar'!$AK$1017=TYPE2)*(TYPE2&lt;&gt;"")+('Dvd Calendar'!$AK$1017=TYPE3)*(TYPE3&lt;&gt;"")+('Dvd Calendar'!$AK$1017=TYPE4)*(TYPE4&lt;&gt;"")+('Dvd Calendar'!$AK$1017=SPECIAL_LBL)*(INC_SPECIALS="Y"))=0,"",'Dvd Calendar'!$AK$1015)))</f>
        <v/>
      </c>
      <c r="AJ103" s="161">
        <f>IF(FL103="","",IF(ISNUMBER('Dvd Calendar'!$AL$1015)=FALSE,"",IF((('Dvd Calendar'!$AL$1017=TYPE1)*(TYPE1&lt;&gt;"")+('Dvd Calendar'!$AL$1017=TYPE2)*(TYPE2&lt;&gt;"")+('Dvd Calendar'!$AL$1017=TYPE3)*(TYPE3&lt;&gt;"")+('Dvd Calendar'!$AL$1017=TYPE4)*(TYPE4&lt;&gt;"")+('Dvd Calendar'!$AL$1017=SPECIAL_LBL)*(INC_SPECIALS="Y"))=0,"",'Dvd Calendar'!$AL$1015)))</f>
        <v/>
      </c>
      <c r="AK103" s="161">
        <f>IF(FM103="","",IF(ISNUMBER('Dvd Calendar'!$AM$1015)=FALSE,"",IF((('Dvd Calendar'!$AM$1017=TYPE1)*(TYPE1&lt;&gt;"")+('Dvd Calendar'!$AM$1017=TYPE2)*(TYPE2&lt;&gt;"")+('Dvd Calendar'!$AM$1017=TYPE3)*(TYPE3&lt;&gt;"")+('Dvd Calendar'!$AM$1017=TYPE4)*(TYPE4&lt;&gt;"")+('Dvd Calendar'!$AM$1017=SPECIAL_LBL)*(INC_SPECIALS="Y"))=0,"",'Dvd Calendar'!$AM$1015)))</f>
        <v/>
      </c>
      <c r="AL103" s="161">
        <f>IF(FN103="","",IF(ISNUMBER('Dvd Calendar'!$AN$1015)=FALSE,"",IF((('Dvd Calendar'!$AN$1017=TYPE1)*(TYPE1&lt;&gt;"")+('Dvd Calendar'!$AN$1017=TYPE2)*(TYPE2&lt;&gt;"")+('Dvd Calendar'!$AN$1017=TYPE3)*(TYPE3&lt;&gt;"")+('Dvd Calendar'!$AN$1017=TYPE4)*(TYPE4&lt;&gt;"")+('Dvd Calendar'!$AN$1017=SPECIAL_LBL)*(INC_SPECIALS="Y"))=0,"",'Dvd Calendar'!$AN$1015)))</f>
        <v/>
      </c>
      <c r="AM103" s="161">
        <f>IF(FO103="","",IF(ISNUMBER('Dvd Calendar'!$AO$1015)=FALSE,"",IF((('Dvd Calendar'!$AO$1017=TYPE1)*(TYPE1&lt;&gt;"")+('Dvd Calendar'!$AO$1017=TYPE2)*(TYPE2&lt;&gt;"")+('Dvd Calendar'!$AO$1017=TYPE3)*(TYPE3&lt;&gt;"")+('Dvd Calendar'!$AO$1017=TYPE4)*(TYPE4&lt;&gt;"")+('Dvd Calendar'!$AO$1017=SPECIAL_LBL)*(INC_SPECIALS="Y"))=0,"",'Dvd Calendar'!$AO$1015)))</f>
        <v/>
      </c>
      <c r="AN103" s="161">
        <f>IF(FP103="","",IF(ISNUMBER('Dvd Calendar'!$AP$1015)=FALSE,"",IF((('Dvd Calendar'!$AP$1017=TYPE1)*(TYPE1&lt;&gt;"")+('Dvd Calendar'!$AP$1017=TYPE2)*(TYPE2&lt;&gt;"")+('Dvd Calendar'!$AP$1017=TYPE3)*(TYPE3&lt;&gt;"")+('Dvd Calendar'!$AP$1017=TYPE4)*(TYPE4&lt;&gt;"")+('Dvd Calendar'!$AP$1017=SPECIAL_LBL)*(INC_SPECIALS="Y"))=0,"",'Dvd Calendar'!$AP$1015)))</f>
        <v/>
      </c>
      <c r="AO103" s="161">
        <f>IF(FQ103="","",IF(ISNUMBER('Dvd Calendar'!$AQ$1015)=FALSE,"",IF((('Dvd Calendar'!$AQ$1017=TYPE1)*(TYPE1&lt;&gt;"")+('Dvd Calendar'!$AQ$1017=TYPE2)*(TYPE2&lt;&gt;"")+('Dvd Calendar'!$AQ$1017=TYPE3)*(TYPE3&lt;&gt;"")+('Dvd Calendar'!$AQ$1017=TYPE4)*(TYPE4&lt;&gt;"")+('Dvd Calendar'!$AQ$1017=SPECIAL_LBL)*(INC_SPECIALS="Y"))=0,"",'Dvd Calendar'!$AQ$1015)))</f>
        <v/>
      </c>
      <c r="AP103" s="161">
        <f>IF(FR103="","",IF(ISNUMBER('Dvd Calendar'!$AR$1015)=FALSE,"",IF((('Dvd Calendar'!$AR$1017=TYPE1)*(TYPE1&lt;&gt;"")+('Dvd Calendar'!$AR$1017=TYPE2)*(TYPE2&lt;&gt;"")+('Dvd Calendar'!$AR$1017=TYPE3)*(TYPE3&lt;&gt;"")+('Dvd Calendar'!$AR$1017=TYPE4)*(TYPE4&lt;&gt;"")+('Dvd Calendar'!$AR$1017=SPECIAL_LBL)*(INC_SPECIALS="Y"))=0,"",'Dvd Calendar'!$AR$1015)))</f>
        <v/>
      </c>
      <c r="AQ103" s="161">
        <f>IF(FS103="","",IF(ISNUMBER('Dvd Calendar'!$E$1020)=FALSE,"",'Dvd Calendar'!$E$1020))</f>
        <v/>
      </c>
      <c r="AR103" s="161">
        <f>IF(FT103="","",IF(ISNUMBER('Dvd Calendar'!$F$1020)=FALSE,"",'Dvd Calendar'!$F$1020))</f>
        <v/>
      </c>
      <c r="AS103" s="161">
        <f>IF(FU103="","",IF(ISNUMBER('Dvd Calendar'!$G$1020)=FALSE,"",'Dvd Calendar'!$G$1020))</f>
        <v/>
      </c>
      <c r="AT103" s="161">
        <f>IF(FV103="","",IF(ISNUMBER('Dvd Calendar'!$H$1020)=FALSE,"",'Dvd Calendar'!$H$1020))</f>
        <v/>
      </c>
      <c r="AU103" s="161">
        <f>IF(FW103="","",IF(ISNUMBER('Dvd Calendar'!$I$1020)=FALSE,"",'Dvd Calendar'!$I$1020))</f>
        <v/>
      </c>
      <c r="AV103" s="161">
        <f>IF(FX103="","",IF(ISNUMBER('Dvd Calendar'!$J$1020)=FALSE,"",'Dvd Calendar'!$J$1020))</f>
        <v/>
      </c>
      <c r="AW103" s="161">
        <f>IF(FY103="","",IF(ISNUMBER('Dvd Calendar'!$K$1020)=FALSE,"",'Dvd Calendar'!$K$1020))</f>
        <v/>
      </c>
      <c r="AX103" s="161">
        <f>IF(FZ103="","",IF(ISNUMBER('Dvd Calendar'!$L$1020)=FALSE,"",'Dvd Calendar'!$L$1020))</f>
        <v/>
      </c>
      <c r="AY103" s="161">
        <f>IF(GA103="","",IF(ISNUMBER('Dvd Calendar'!$M$1020)=FALSE,"",'Dvd Calendar'!$M$1020))</f>
        <v/>
      </c>
      <c r="AZ103" s="161">
        <f>IF(GB103="","",IF(ISNUMBER('Dvd Calendar'!$N$1020)=FALSE,"",'Dvd Calendar'!$N$1020))</f>
        <v/>
      </c>
      <c r="BA103" s="161">
        <f>IF(GC103="","",IF(ISNUMBER('Dvd Calendar'!$O$1020)=FALSE,"",'Dvd Calendar'!$O$1020))</f>
        <v/>
      </c>
      <c r="BB103" s="161">
        <f>IF(GD103="","",IF(ISNUMBER('Dvd Calendar'!$P$1020)=FALSE,"",'Dvd Calendar'!$P$1020))</f>
        <v/>
      </c>
      <c r="BC103" s="161">
        <f>IF(GE103="","",IF(ISNUMBER('Dvd Calendar'!$Q$1020)=FALSE,"",'Dvd Calendar'!$Q$1020))</f>
        <v/>
      </c>
      <c r="BD103" s="161">
        <f>IF(GF103="","",IF(ISNUMBER('Dvd Calendar'!$R$1020)=FALSE,"",'Dvd Calendar'!$R$1020))</f>
        <v/>
      </c>
      <c r="BE103" s="161">
        <f>IF(GG103="","",IF(ISNUMBER('Dvd Calendar'!$S$1020)=FALSE,"",'Dvd Calendar'!$S$1020))</f>
        <v/>
      </c>
      <c r="BF103" s="161">
        <f>IF(GH103="","",IF(ISNUMBER('Dvd Calendar'!$T$1020)=FALSE,"",'Dvd Calendar'!$T$1020))</f>
        <v/>
      </c>
      <c r="BG103" s="161">
        <f>IF(GI103="","",IF(ISNUMBER('Dvd Calendar'!$U$1020)=FALSE,"",'Dvd Calendar'!$U$1020))</f>
        <v/>
      </c>
      <c r="BH103" s="161">
        <f>IF(GJ103="","",IF(ISNUMBER('Dvd Calendar'!$V$1020)=FALSE,"",'Dvd Calendar'!$V$1020))</f>
        <v/>
      </c>
      <c r="BI103" s="161">
        <f>IF(GK103="","",IF(ISNUMBER('Dvd Calendar'!$W$1020)=FALSE,"",'Dvd Calendar'!$W$1020))</f>
        <v/>
      </c>
      <c r="BJ103" s="161">
        <f>IF(GL103="","",IF(ISNUMBER('Dvd Calendar'!$X$1020)=FALSE,"",'Dvd Calendar'!$X$1020))</f>
        <v/>
      </c>
      <c r="BK103" s="161">
        <f>IF(GM103="","",IF(ISNUMBER('Dvd Calendar'!$Y$1020)=FALSE,"",'Dvd Calendar'!$Y$1020))</f>
        <v/>
      </c>
      <c r="BL103" s="161">
        <f>IF(GN103="","",IF(ISNUMBER('Dvd Calendar'!$Z$1020)=FALSE,"",'Dvd Calendar'!$Z$1020))</f>
        <v/>
      </c>
      <c r="BM103" s="161">
        <f>IF(GO103="","",IF(ISNUMBER('Dvd Calendar'!$AA$1020)=FALSE,"",'Dvd Calendar'!$AA$1020))</f>
        <v/>
      </c>
      <c r="BN103" s="161">
        <f>IF(GP103="","",IF(ISNUMBER('Dvd Calendar'!$AB$1020)=FALSE,"",'Dvd Calendar'!$AB$1020))</f>
        <v/>
      </c>
      <c r="BO103" s="161">
        <f>IF(GQ103="","",IF(ISNUMBER('Dvd Calendar'!$AC$1020)=FALSE,"",'Dvd Calendar'!$AC$1020))</f>
        <v/>
      </c>
      <c r="BQ103" s="161">
        <f>IF(C103="","",IFERROR(C103*HSI!$B$98*HSI!$G$98/HSI!$B$3,""))</f>
        <v/>
      </c>
      <c r="BR103" s="161">
        <f>IF(D103="","",IFERROR(D103*HSI!$B$98*HSI!$G$98/HSI!$B$3,""))</f>
        <v/>
      </c>
      <c r="BS103" s="161">
        <f>IF(E103="","",IFERROR(E103*HSI!$B$98*HSI!$G$98/HSI!$B$3,""))</f>
        <v/>
      </c>
      <c r="BT103" s="161">
        <f>IF(F103="","",IFERROR(F103*HSI!$B$98*HSI!$G$98/HSI!$B$3,""))</f>
        <v/>
      </c>
      <c r="BU103" s="161">
        <f>IF(G103="","",IFERROR(G103*HSI!$B$98*HSI!$G$98/HSI!$B$3,""))</f>
        <v/>
      </c>
      <c r="BV103" s="161">
        <f>IF(H103="","",IFERROR(H103*HSI!$B$98*HSI!$G$98/HSI!$B$3,""))</f>
        <v/>
      </c>
      <c r="BW103" s="161">
        <f>IF(I103="","",IFERROR(I103*HSI!$B$98*HSI!$G$98/HSI!$B$3,""))</f>
        <v/>
      </c>
      <c r="BX103" s="161">
        <f>IF(J103="","",IFERROR(J103*HSI!$B$98*HSI!$G$98/HSI!$B$3,""))</f>
        <v/>
      </c>
      <c r="BY103" s="161">
        <f>IF(K103="","",IFERROR(K103*HSI!$B$98*HSI!$G$98/HSI!$B$3,""))</f>
        <v/>
      </c>
      <c r="BZ103" s="161">
        <f>IF(L103="","",IFERROR(L103*HSI!$B$98*HSI!$G$98/HSI!$B$3,""))</f>
        <v/>
      </c>
      <c r="CA103" s="161">
        <f>IF(M103="","",IFERROR(M103*HSI!$B$98*HSI!$G$98/HSI!$B$3,""))</f>
        <v/>
      </c>
      <c r="CB103" s="161">
        <f>IF(N103="","",IFERROR(N103*HSI!$B$98*HSI!$G$98/HSI!$B$3,""))</f>
        <v/>
      </c>
      <c r="CC103" s="161">
        <f>IF(O103="","",IFERROR(O103*HSI!$B$98*HSI!$G$98/HSI!$B$3,""))</f>
        <v/>
      </c>
      <c r="CD103" s="161">
        <f>IF(P103="","",IFERROR(P103*HSI!$B$98*HSI!$G$98/HSI!$B$3,""))</f>
        <v/>
      </c>
      <c r="CE103" s="161">
        <f>IF(Q103="","",IFERROR(Q103*HSI!$B$98*HSI!$G$98/HSI!$B$3,""))</f>
        <v/>
      </c>
      <c r="CF103" s="161">
        <f>IF(R103="","",IFERROR(R103*HSI!$B$98*HSI!$G$98/HSI!$B$3,""))</f>
        <v/>
      </c>
      <c r="CG103" s="161">
        <f>IF(S103="","",IFERROR(S103*HSI!$B$98*HSI!$G$98/HSI!$B$3,""))</f>
        <v/>
      </c>
      <c r="CH103" s="161">
        <f>IF(T103="","",IFERROR(T103*HSI!$B$98*HSI!$G$98/HSI!$B$3,""))</f>
        <v/>
      </c>
      <c r="CI103" s="161">
        <f>IF(U103="","",IFERROR(U103*HSI!$B$98*HSI!$G$98/HSI!$B$3,""))</f>
        <v/>
      </c>
      <c r="CJ103" s="161">
        <f>IF(V103="","",IFERROR(V103*HSI!$B$98*HSI!$G$98/HSI!$B$3,""))</f>
        <v/>
      </c>
      <c r="CK103" s="161">
        <f>IF(W103="","",IFERROR(W103*HSI!$B$98*HSI!$G$98/HSI!$B$3,""))</f>
        <v/>
      </c>
      <c r="CL103" s="161">
        <f>IF(X103="","",IFERROR(X103*HSI!$B$98*HSI!$G$98/HSI!$B$3,""))</f>
        <v/>
      </c>
      <c r="CM103" s="161">
        <f>IF(Y103="","",IFERROR(Y103*HSI!$B$98*HSI!$G$98/HSI!$B$3,""))</f>
        <v/>
      </c>
      <c r="CN103" s="161">
        <f>IF(Z103="","",IFERROR(Z103*HSI!$B$98*HSI!$G$98/HSI!$B$3,""))</f>
        <v/>
      </c>
      <c r="CO103" s="161">
        <f>IF(AA103="","",IFERROR(AA103*HSI!$B$98*HSI!$G$98/HSI!$B$3,""))</f>
        <v/>
      </c>
      <c r="CP103" s="161">
        <f>IF(AB103="","",IFERROR(AB103*HSI!$B$98*HSI!$G$98/HSI!$B$3,""))</f>
        <v/>
      </c>
      <c r="CQ103" s="161">
        <f>IF(AC103="","",IFERROR(AC103*HSI!$B$98*HSI!$G$98/HSI!$B$3,""))</f>
        <v/>
      </c>
      <c r="CR103" s="161">
        <f>IF(AD103="","",IFERROR(AD103*HSI!$B$98*HSI!$G$98/HSI!$B$3,""))</f>
        <v/>
      </c>
      <c r="CS103" s="161">
        <f>IF(AE103="","",IFERROR(AE103*HSI!$B$98*HSI!$G$98/HSI!$B$3,""))</f>
        <v/>
      </c>
      <c r="CT103" s="161">
        <f>IF(AF103="","",IFERROR(AF103*HSI!$B$98*HSI!$G$98/HSI!$B$3,""))</f>
        <v/>
      </c>
      <c r="CU103" s="161">
        <f>IF(AG103="","",IFERROR(AG103*HSI!$B$98*HSI!$G$98/HSI!$B$3,""))</f>
        <v/>
      </c>
      <c r="CV103" s="161">
        <f>IF(AH103="","",IFERROR(AH103*HSI!$B$98*HSI!$G$98/HSI!$B$3,""))</f>
        <v/>
      </c>
      <c r="CW103" s="161">
        <f>IF(AI103="","",IFERROR(AI103*HSI!$B$98*HSI!$G$98/HSI!$B$3,""))</f>
        <v/>
      </c>
      <c r="CX103" s="161">
        <f>IF(AJ103="","",IFERROR(AJ103*HSI!$B$98*HSI!$G$98/HSI!$B$3,""))</f>
        <v/>
      </c>
      <c r="CY103" s="161">
        <f>IF(AK103="","",IFERROR(AK103*HSI!$B$98*HSI!$G$98/HSI!$B$3,""))</f>
        <v/>
      </c>
      <c r="CZ103" s="161">
        <f>IF(AL103="","",IFERROR(AL103*HSI!$B$98*HSI!$G$98/HSI!$B$3,""))</f>
        <v/>
      </c>
      <c r="DA103" s="161">
        <f>IF(AM103="","",IFERROR(AM103*HSI!$B$98*HSI!$G$98/HSI!$B$3,""))</f>
        <v/>
      </c>
      <c r="DB103" s="161">
        <f>IF(AN103="","",IFERROR(AN103*HSI!$B$98*HSI!$G$98/HSI!$B$3,""))</f>
        <v/>
      </c>
      <c r="DC103" s="161">
        <f>IF(AO103="","",IFERROR(AO103*HSI!$B$98*HSI!$G$98/HSI!$B$3,""))</f>
        <v/>
      </c>
      <c r="DD103" s="161">
        <f>IF(AP103="","",IFERROR(AP103*HSI!$B$98*HSI!$G$98/HSI!$B$3,""))</f>
        <v/>
      </c>
      <c r="DE103" s="161">
        <f>IF(AQ103="","",IFERROR(AQ103*HSI!$B$98*HSI!$G$98/HSI!$B$3,""))</f>
        <v/>
      </c>
      <c r="DF103" s="161">
        <f>IF(AR103="","",IFERROR(AR103*HSI!$B$98*HSI!$G$98/HSI!$B$3,""))</f>
        <v/>
      </c>
      <c r="DG103" s="161">
        <f>IF(AS103="","",IFERROR(AS103*HSI!$B$98*HSI!$G$98/HSI!$B$3,""))</f>
        <v/>
      </c>
      <c r="DH103" s="161">
        <f>IF(AT103="","",IFERROR(AT103*HSI!$B$98*HSI!$G$98/HSI!$B$3,""))</f>
        <v/>
      </c>
      <c r="DI103" s="161">
        <f>IF(AU103="","",IFERROR(AU103*HSI!$B$98*HSI!$G$98/HSI!$B$3,""))</f>
        <v/>
      </c>
      <c r="DJ103" s="161">
        <f>IF(AV103="","",IFERROR(AV103*HSI!$B$98*HSI!$G$98/HSI!$B$3,""))</f>
        <v/>
      </c>
      <c r="DK103" s="161">
        <f>IF(AW103="","",IFERROR(AW103*HSI!$B$98*HSI!$G$98/HSI!$B$3,""))</f>
        <v/>
      </c>
      <c r="DL103" s="161">
        <f>IF(AX103="","",IFERROR(AX103*HSI!$B$98*HSI!$G$98/HSI!$B$3,""))</f>
        <v/>
      </c>
      <c r="DM103" s="161">
        <f>IF(AY103="","",IFERROR(AY103*HSI!$B$98*HSI!$G$98/HSI!$B$3,""))</f>
        <v/>
      </c>
      <c r="DN103" s="161">
        <f>IF(AZ103="","",IFERROR(AZ103*HSI!$B$98*HSI!$G$98/HSI!$B$3,""))</f>
        <v/>
      </c>
      <c r="DO103" s="161">
        <f>IF(BA103="","",IFERROR(BA103*HSI!$B$98*HSI!$G$98/HSI!$B$3,""))</f>
        <v/>
      </c>
      <c r="DP103" s="161">
        <f>IF(BB103="","",IFERROR(BB103*HSI!$B$98*HSI!$G$98/HSI!$B$3,""))</f>
        <v/>
      </c>
      <c r="DQ103" s="161">
        <f>IF(BC103="","",IFERROR(BC103*HSI!$B$98*HSI!$G$98/HSI!$B$3,""))</f>
        <v/>
      </c>
      <c r="DR103" s="161">
        <f>IF(BD103="","",IFERROR(BD103*HSI!$B$98*HSI!$G$98/HSI!$B$3,""))</f>
        <v/>
      </c>
      <c r="DS103" s="161">
        <f>IF(BE103="","",IFERROR(BE103*HSI!$B$98*HSI!$G$98/HSI!$B$3,""))</f>
        <v/>
      </c>
      <c r="DT103" s="161">
        <f>IF(BF103="","",IFERROR(BF103*HSI!$B$98*HSI!$G$98/HSI!$B$3,""))</f>
        <v/>
      </c>
      <c r="DU103" s="161">
        <f>IF(BG103="","",IFERROR(BG103*HSI!$B$98*HSI!$G$98/HSI!$B$3,""))</f>
        <v/>
      </c>
      <c r="DV103" s="161">
        <f>IF(BH103="","",IFERROR(BH103*HSI!$B$98*HSI!$G$98/HSI!$B$3,""))</f>
        <v/>
      </c>
      <c r="DW103" s="161">
        <f>IF(BI103="","",IFERROR(BI103*HSI!$B$98*HSI!$G$98/HSI!$B$3,""))</f>
        <v/>
      </c>
      <c r="DX103" s="161">
        <f>IF(BJ103="","",IFERROR(BJ103*HSI!$B$98*HSI!$G$98/HSI!$B$3,""))</f>
        <v/>
      </c>
      <c r="DY103" s="161">
        <f>IF(BK103="","",IFERROR(BK103*HSI!$B$98*HSI!$G$98/HSI!$B$3,""))</f>
        <v/>
      </c>
      <c r="DZ103" s="161">
        <f>IF(BL103="","",IFERROR(BL103*HSI!$B$98*HSI!$G$98/HSI!$B$3,""))</f>
        <v/>
      </c>
      <c r="EA103" s="161">
        <f>IF(BM103="","",IFERROR(BM103*HSI!$B$98*HSI!$G$98/HSI!$B$3,""))</f>
        <v/>
      </c>
      <c r="EB103" s="161">
        <f>IF(BN103="","",IFERROR(BN103*HSI!$B$98*HSI!$G$98/HSI!$B$3,""))</f>
        <v/>
      </c>
      <c r="EC103" s="161">
        <f>IF(BO103="","",IFERROR(BO103*HSI!$B$98*HSI!$G$98/HSI!$B$3,""))</f>
        <v/>
      </c>
      <c r="EE103" s="121">
        <f>IF(N('Dvd Calendar'!$E$1012)=0,"",IF(('Dvd Calendar'!$E$1012&gt;=GRID_FROM)*('Dvd Calendar'!$E$1012&lt;=GRID_TO)*((('Dvd Calendar'!$E$1012&lt;=VAL_DATE)+(COUNTIF('Dvd Calendar'!$E$1019:$AR$1019,'Dvd Calendar'!$E$1012)=0))&gt;0)=0,"",'Dvd Calendar'!$E$1012*1000000000+ISNUMBER('Dvd Calendar'!$E$1015)*100000000+('Dvd Calendar'!$E$1017=SPECIAL_LBL)*10000000+(N('Dvd Calendar'!$E$1011)&gt;0)*(N('Dvd Calendar'!$E$1011)&lt;=VAL_SERIAL)*1000000+92*1000+1))</f>
        <v/>
      </c>
      <c r="EF103" s="121">
        <f>IF(N('Dvd Calendar'!$F$1012)=0,"",IF(('Dvd Calendar'!$F$1012&gt;=GRID_FROM)*('Dvd Calendar'!$F$1012&lt;=GRID_TO)*((('Dvd Calendar'!$F$1012&lt;=VAL_DATE)+(COUNTIF('Dvd Calendar'!$E$1019:$AR$1019,'Dvd Calendar'!$F$1012)=0))&gt;0)=0,"",'Dvd Calendar'!$F$1012*1000000000+ISNUMBER('Dvd Calendar'!$F$1015)*100000000+('Dvd Calendar'!$F$1017=SPECIAL_LBL)*10000000+(N('Dvd Calendar'!$F$1011)&gt;0)*(N('Dvd Calendar'!$F$1011)&lt;=VAL_SERIAL)*1000000+92*1000+2))</f>
        <v/>
      </c>
      <c r="EG103" s="121">
        <f>IF(N('Dvd Calendar'!$G$1012)=0,"",IF(('Dvd Calendar'!$G$1012&gt;=GRID_FROM)*('Dvd Calendar'!$G$1012&lt;=GRID_TO)*((('Dvd Calendar'!$G$1012&lt;=VAL_DATE)+(COUNTIF('Dvd Calendar'!$E$1019:$AR$1019,'Dvd Calendar'!$G$1012)=0))&gt;0)=0,"",'Dvd Calendar'!$G$1012*1000000000+ISNUMBER('Dvd Calendar'!$G$1015)*100000000+('Dvd Calendar'!$G$1017=SPECIAL_LBL)*10000000+(N('Dvd Calendar'!$G$1011)&gt;0)*(N('Dvd Calendar'!$G$1011)&lt;=VAL_SERIAL)*1000000+92*1000+3))</f>
        <v/>
      </c>
      <c r="EH103" s="121">
        <f>IF(N('Dvd Calendar'!$H$1012)=0,"",IF(('Dvd Calendar'!$H$1012&gt;=GRID_FROM)*('Dvd Calendar'!$H$1012&lt;=GRID_TO)*((('Dvd Calendar'!$H$1012&lt;=VAL_DATE)+(COUNTIF('Dvd Calendar'!$E$1019:$AR$1019,'Dvd Calendar'!$H$1012)=0))&gt;0)=0,"",'Dvd Calendar'!$H$1012*1000000000+ISNUMBER('Dvd Calendar'!$H$1015)*100000000+('Dvd Calendar'!$H$1017=SPECIAL_LBL)*10000000+(N('Dvd Calendar'!$H$1011)&gt;0)*(N('Dvd Calendar'!$H$1011)&lt;=VAL_SERIAL)*1000000+92*1000+4))</f>
        <v/>
      </c>
      <c r="EI103" s="121">
        <f>IF(N('Dvd Calendar'!$I$1012)=0,"",IF(('Dvd Calendar'!$I$1012&gt;=GRID_FROM)*('Dvd Calendar'!$I$1012&lt;=GRID_TO)*((('Dvd Calendar'!$I$1012&lt;=VAL_DATE)+(COUNTIF('Dvd Calendar'!$E$1019:$AR$1019,'Dvd Calendar'!$I$1012)=0))&gt;0)=0,"",'Dvd Calendar'!$I$1012*1000000000+ISNUMBER('Dvd Calendar'!$I$1015)*100000000+('Dvd Calendar'!$I$1017=SPECIAL_LBL)*10000000+(N('Dvd Calendar'!$I$1011)&gt;0)*(N('Dvd Calendar'!$I$1011)&lt;=VAL_SERIAL)*1000000+92*1000+5))</f>
        <v/>
      </c>
      <c r="EJ103" s="121">
        <f>IF(N('Dvd Calendar'!$J$1012)=0,"",IF(('Dvd Calendar'!$J$1012&gt;=GRID_FROM)*('Dvd Calendar'!$J$1012&lt;=GRID_TO)*((('Dvd Calendar'!$J$1012&lt;=VAL_DATE)+(COUNTIF('Dvd Calendar'!$E$1019:$AR$1019,'Dvd Calendar'!$J$1012)=0))&gt;0)=0,"",'Dvd Calendar'!$J$1012*1000000000+ISNUMBER('Dvd Calendar'!$J$1015)*100000000+('Dvd Calendar'!$J$1017=SPECIAL_LBL)*10000000+(N('Dvd Calendar'!$J$1011)&gt;0)*(N('Dvd Calendar'!$J$1011)&lt;=VAL_SERIAL)*1000000+92*1000+6))</f>
        <v/>
      </c>
      <c r="EK103" s="121">
        <f>IF(N('Dvd Calendar'!$K$1012)=0,"",IF(('Dvd Calendar'!$K$1012&gt;=GRID_FROM)*('Dvd Calendar'!$K$1012&lt;=GRID_TO)*((('Dvd Calendar'!$K$1012&lt;=VAL_DATE)+(COUNTIF('Dvd Calendar'!$E$1019:$AR$1019,'Dvd Calendar'!$K$1012)=0))&gt;0)=0,"",'Dvd Calendar'!$K$1012*1000000000+ISNUMBER('Dvd Calendar'!$K$1015)*100000000+('Dvd Calendar'!$K$1017=SPECIAL_LBL)*10000000+(N('Dvd Calendar'!$K$1011)&gt;0)*(N('Dvd Calendar'!$K$1011)&lt;=VAL_SERIAL)*1000000+92*1000+7))</f>
        <v/>
      </c>
      <c r="EL103" s="121">
        <f>IF(N('Dvd Calendar'!$L$1012)=0,"",IF(('Dvd Calendar'!$L$1012&gt;=GRID_FROM)*('Dvd Calendar'!$L$1012&lt;=GRID_TO)*((('Dvd Calendar'!$L$1012&lt;=VAL_DATE)+(COUNTIF('Dvd Calendar'!$E$1019:$AR$1019,'Dvd Calendar'!$L$1012)=0))&gt;0)=0,"",'Dvd Calendar'!$L$1012*1000000000+ISNUMBER('Dvd Calendar'!$L$1015)*100000000+('Dvd Calendar'!$L$1017=SPECIAL_LBL)*10000000+(N('Dvd Calendar'!$L$1011)&gt;0)*(N('Dvd Calendar'!$L$1011)&lt;=VAL_SERIAL)*1000000+92*1000+8))</f>
        <v/>
      </c>
      <c r="EM103" s="121">
        <f>IF(N('Dvd Calendar'!$M$1012)=0,"",IF(('Dvd Calendar'!$M$1012&gt;=GRID_FROM)*('Dvd Calendar'!$M$1012&lt;=GRID_TO)*((('Dvd Calendar'!$M$1012&lt;=VAL_DATE)+(COUNTIF('Dvd Calendar'!$E$1019:$AR$1019,'Dvd Calendar'!$M$1012)=0))&gt;0)=0,"",'Dvd Calendar'!$M$1012*1000000000+ISNUMBER('Dvd Calendar'!$M$1015)*100000000+('Dvd Calendar'!$M$1017=SPECIAL_LBL)*10000000+(N('Dvd Calendar'!$M$1011)&gt;0)*(N('Dvd Calendar'!$M$1011)&lt;=VAL_SERIAL)*1000000+92*1000+9))</f>
        <v/>
      </c>
      <c r="EN103" s="121">
        <f>IF(N('Dvd Calendar'!$N$1012)=0,"",IF(('Dvd Calendar'!$N$1012&gt;=GRID_FROM)*('Dvd Calendar'!$N$1012&lt;=GRID_TO)*((('Dvd Calendar'!$N$1012&lt;=VAL_DATE)+(COUNTIF('Dvd Calendar'!$E$1019:$AR$1019,'Dvd Calendar'!$N$1012)=0))&gt;0)=0,"",'Dvd Calendar'!$N$1012*1000000000+ISNUMBER('Dvd Calendar'!$N$1015)*100000000+('Dvd Calendar'!$N$1017=SPECIAL_LBL)*10000000+(N('Dvd Calendar'!$N$1011)&gt;0)*(N('Dvd Calendar'!$N$1011)&lt;=VAL_SERIAL)*1000000+92*1000+10))</f>
        <v/>
      </c>
      <c r="EO103" s="121">
        <f>IF(N('Dvd Calendar'!$O$1012)=0,"",IF(('Dvd Calendar'!$O$1012&gt;=GRID_FROM)*('Dvd Calendar'!$O$1012&lt;=GRID_TO)*((('Dvd Calendar'!$O$1012&lt;=VAL_DATE)+(COUNTIF('Dvd Calendar'!$E$1019:$AR$1019,'Dvd Calendar'!$O$1012)=0))&gt;0)=0,"",'Dvd Calendar'!$O$1012*1000000000+ISNUMBER('Dvd Calendar'!$O$1015)*100000000+('Dvd Calendar'!$O$1017=SPECIAL_LBL)*10000000+(N('Dvd Calendar'!$O$1011)&gt;0)*(N('Dvd Calendar'!$O$1011)&lt;=VAL_SERIAL)*1000000+92*1000+11))</f>
        <v/>
      </c>
      <c r="EP103" s="121">
        <f>IF(N('Dvd Calendar'!$P$1012)=0,"",IF(('Dvd Calendar'!$P$1012&gt;=GRID_FROM)*('Dvd Calendar'!$P$1012&lt;=GRID_TO)*((('Dvd Calendar'!$P$1012&lt;=VAL_DATE)+(COUNTIF('Dvd Calendar'!$E$1019:$AR$1019,'Dvd Calendar'!$P$1012)=0))&gt;0)=0,"",'Dvd Calendar'!$P$1012*1000000000+ISNUMBER('Dvd Calendar'!$P$1015)*100000000+('Dvd Calendar'!$P$1017=SPECIAL_LBL)*10000000+(N('Dvd Calendar'!$P$1011)&gt;0)*(N('Dvd Calendar'!$P$1011)&lt;=VAL_SERIAL)*1000000+92*1000+12))</f>
        <v/>
      </c>
      <c r="EQ103" s="121">
        <f>IF(N('Dvd Calendar'!$Q$1012)=0,"",IF(('Dvd Calendar'!$Q$1012&gt;=GRID_FROM)*('Dvd Calendar'!$Q$1012&lt;=GRID_TO)*((('Dvd Calendar'!$Q$1012&lt;=VAL_DATE)+(COUNTIF('Dvd Calendar'!$E$1019:$AR$1019,'Dvd Calendar'!$Q$1012)=0))&gt;0)=0,"",'Dvd Calendar'!$Q$1012*1000000000+ISNUMBER('Dvd Calendar'!$Q$1015)*100000000+('Dvd Calendar'!$Q$1017=SPECIAL_LBL)*10000000+(N('Dvd Calendar'!$Q$1011)&gt;0)*(N('Dvd Calendar'!$Q$1011)&lt;=VAL_SERIAL)*1000000+92*1000+13))</f>
        <v/>
      </c>
      <c r="ER103" s="121">
        <f>IF(N('Dvd Calendar'!$R$1012)=0,"",IF(('Dvd Calendar'!$R$1012&gt;=GRID_FROM)*('Dvd Calendar'!$R$1012&lt;=GRID_TO)*((('Dvd Calendar'!$R$1012&lt;=VAL_DATE)+(COUNTIF('Dvd Calendar'!$E$1019:$AR$1019,'Dvd Calendar'!$R$1012)=0))&gt;0)=0,"",'Dvd Calendar'!$R$1012*1000000000+ISNUMBER('Dvd Calendar'!$R$1015)*100000000+('Dvd Calendar'!$R$1017=SPECIAL_LBL)*10000000+(N('Dvd Calendar'!$R$1011)&gt;0)*(N('Dvd Calendar'!$R$1011)&lt;=VAL_SERIAL)*1000000+92*1000+14))</f>
        <v/>
      </c>
      <c r="ES103" s="121">
        <f>IF(N('Dvd Calendar'!$S$1012)=0,"",IF(('Dvd Calendar'!$S$1012&gt;=GRID_FROM)*('Dvd Calendar'!$S$1012&lt;=GRID_TO)*((('Dvd Calendar'!$S$1012&lt;=VAL_DATE)+(COUNTIF('Dvd Calendar'!$E$1019:$AR$1019,'Dvd Calendar'!$S$1012)=0))&gt;0)=0,"",'Dvd Calendar'!$S$1012*1000000000+ISNUMBER('Dvd Calendar'!$S$1015)*100000000+('Dvd Calendar'!$S$1017=SPECIAL_LBL)*10000000+(N('Dvd Calendar'!$S$1011)&gt;0)*(N('Dvd Calendar'!$S$1011)&lt;=VAL_SERIAL)*1000000+92*1000+15))</f>
        <v/>
      </c>
      <c r="ET103" s="121">
        <f>IF(N('Dvd Calendar'!$T$1012)=0,"",IF(('Dvd Calendar'!$T$1012&gt;=GRID_FROM)*('Dvd Calendar'!$T$1012&lt;=GRID_TO)*((('Dvd Calendar'!$T$1012&lt;=VAL_DATE)+(COUNTIF('Dvd Calendar'!$E$1019:$AR$1019,'Dvd Calendar'!$T$1012)=0))&gt;0)=0,"",'Dvd Calendar'!$T$1012*1000000000+ISNUMBER('Dvd Calendar'!$T$1015)*100000000+('Dvd Calendar'!$T$1017=SPECIAL_LBL)*10000000+(N('Dvd Calendar'!$T$1011)&gt;0)*(N('Dvd Calendar'!$T$1011)&lt;=VAL_SERIAL)*1000000+92*1000+16))</f>
        <v/>
      </c>
      <c r="EU103" s="121">
        <f>IF(N('Dvd Calendar'!$U$1012)=0,"",IF(('Dvd Calendar'!$U$1012&gt;=GRID_FROM)*('Dvd Calendar'!$U$1012&lt;=GRID_TO)*((('Dvd Calendar'!$U$1012&lt;=VAL_DATE)+(COUNTIF('Dvd Calendar'!$E$1019:$AR$1019,'Dvd Calendar'!$U$1012)=0))&gt;0)=0,"",'Dvd Calendar'!$U$1012*1000000000+ISNUMBER('Dvd Calendar'!$U$1015)*100000000+('Dvd Calendar'!$U$1017=SPECIAL_LBL)*10000000+(N('Dvd Calendar'!$U$1011)&gt;0)*(N('Dvd Calendar'!$U$1011)&lt;=VAL_SERIAL)*1000000+92*1000+17))</f>
        <v/>
      </c>
      <c r="EV103" s="121">
        <f>IF(N('Dvd Calendar'!$V$1012)=0,"",IF(('Dvd Calendar'!$V$1012&gt;=GRID_FROM)*('Dvd Calendar'!$V$1012&lt;=GRID_TO)*((('Dvd Calendar'!$V$1012&lt;=VAL_DATE)+(COUNTIF('Dvd Calendar'!$E$1019:$AR$1019,'Dvd Calendar'!$V$1012)=0))&gt;0)=0,"",'Dvd Calendar'!$V$1012*1000000000+ISNUMBER('Dvd Calendar'!$V$1015)*100000000+('Dvd Calendar'!$V$1017=SPECIAL_LBL)*10000000+(N('Dvd Calendar'!$V$1011)&gt;0)*(N('Dvd Calendar'!$V$1011)&lt;=VAL_SERIAL)*1000000+92*1000+18))</f>
        <v/>
      </c>
      <c r="EW103" s="121">
        <f>IF(N('Dvd Calendar'!$W$1012)=0,"",IF(('Dvd Calendar'!$W$1012&gt;=GRID_FROM)*('Dvd Calendar'!$W$1012&lt;=GRID_TO)*((('Dvd Calendar'!$W$1012&lt;=VAL_DATE)+(COUNTIF('Dvd Calendar'!$E$1019:$AR$1019,'Dvd Calendar'!$W$1012)=0))&gt;0)=0,"",'Dvd Calendar'!$W$1012*1000000000+ISNUMBER('Dvd Calendar'!$W$1015)*100000000+('Dvd Calendar'!$W$1017=SPECIAL_LBL)*10000000+(N('Dvd Calendar'!$W$1011)&gt;0)*(N('Dvd Calendar'!$W$1011)&lt;=VAL_SERIAL)*1000000+92*1000+19))</f>
        <v/>
      </c>
      <c r="EX103" s="121">
        <f>IF(N('Dvd Calendar'!$X$1012)=0,"",IF(('Dvd Calendar'!$X$1012&gt;=GRID_FROM)*('Dvd Calendar'!$X$1012&lt;=GRID_TO)*((('Dvd Calendar'!$X$1012&lt;=VAL_DATE)+(COUNTIF('Dvd Calendar'!$E$1019:$AR$1019,'Dvd Calendar'!$X$1012)=0))&gt;0)=0,"",'Dvd Calendar'!$X$1012*1000000000+ISNUMBER('Dvd Calendar'!$X$1015)*100000000+('Dvd Calendar'!$X$1017=SPECIAL_LBL)*10000000+(N('Dvd Calendar'!$X$1011)&gt;0)*(N('Dvd Calendar'!$X$1011)&lt;=VAL_SERIAL)*1000000+92*1000+20))</f>
        <v/>
      </c>
      <c r="EY103" s="121">
        <f>IF(N('Dvd Calendar'!$Y$1012)=0,"",IF(('Dvd Calendar'!$Y$1012&gt;=GRID_FROM)*('Dvd Calendar'!$Y$1012&lt;=GRID_TO)*((('Dvd Calendar'!$Y$1012&lt;=VAL_DATE)+(COUNTIF('Dvd Calendar'!$E$1019:$AR$1019,'Dvd Calendar'!$Y$1012)=0))&gt;0)=0,"",'Dvd Calendar'!$Y$1012*1000000000+ISNUMBER('Dvd Calendar'!$Y$1015)*100000000+('Dvd Calendar'!$Y$1017=SPECIAL_LBL)*10000000+(N('Dvd Calendar'!$Y$1011)&gt;0)*(N('Dvd Calendar'!$Y$1011)&lt;=VAL_SERIAL)*1000000+92*1000+21))</f>
        <v/>
      </c>
      <c r="EZ103" s="121">
        <f>IF(N('Dvd Calendar'!$Z$1012)=0,"",IF(('Dvd Calendar'!$Z$1012&gt;=GRID_FROM)*('Dvd Calendar'!$Z$1012&lt;=GRID_TO)*((('Dvd Calendar'!$Z$1012&lt;=VAL_DATE)+(COUNTIF('Dvd Calendar'!$E$1019:$AR$1019,'Dvd Calendar'!$Z$1012)=0))&gt;0)=0,"",'Dvd Calendar'!$Z$1012*1000000000+ISNUMBER('Dvd Calendar'!$Z$1015)*100000000+('Dvd Calendar'!$Z$1017=SPECIAL_LBL)*10000000+(N('Dvd Calendar'!$Z$1011)&gt;0)*(N('Dvd Calendar'!$Z$1011)&lt;=VAL_SERIAL)*1000000+92*1000+22))</f>
        <v/>
      </c>
      <c r="FA103" s="121">
        <f>IF(N('Dvd Calendar'!$AA$1012)=0,"",IF(('Dvd Calendar'!$AA$1012&gt;=GRID_FROM)*('Dvd Calendar'!$AA$1012&lt;=GRID_TO)*((('Dvd Calendar'!$AA$1012&lt;=VAL_DATE)+(COUNTIF('Dvd Calendar'!$E$1019:$AR$1019,'Dvd Calendar'!$AA$1012)=0))&gt;0)=0,"",'Dvd Calendar'!$AA$1012*1000000000+ISNUMBER('Dvd Calendar'!$AA$1015)*100000000+('Dvd Calendar'!$AA$1017=SPECIAL_LBL)*10000000+(N('Dvd Calendar'!$AA$1011)&gt;0)*(N('Dvd Calendar'!$AA$1011)&lt;=VAL_SERIAL)*1000000+92*1000+23))</f>
        <v/>
      </c>
      <c r="FB103" s="121">
        <f>IF(N('Dvd Calendar'!$AB$1012)=0,"",IF(('Dvd Calendar'!$AB$1012&gt;=GRID_FROM)*('Dvd Calendar'!$AB$1012&lt;=GRID_TO)*((('Dvd Calendar'!$AB$1012&lt;=VAL_DATE)+(COUNTIF('Dvd Calendar'!$E$1019:$AR$1019,'Dvd Calendar'!$AB$1012)=0))&gt;0)=0,"",'Dvd Calendar'!$AB$1012*1000000000+ISNUMBER('Dvd Calendar'!$AB$1015)*100000000+('Dvd Calendar'!$AB$1017=SPECIAL_LBL)*10000000+(N('Dvd Calendar'!$AB$1011)&gt;0)*(N('Dvd Calendar'!$AB$1011)&lt;=VAL_SERIAL)*1000000+92*1000+24))</f>
        <v/>
      </c>
      <c r="FC103" s="121">
        <f>IF(N('Dvd Calendar'!$AC$1012)=0,"",IF(('Dvd Calendar'!$AC$1012&gt;=GRID_FROM)*('Dvd Calendar'!$AC$1012&lt;=GRID_TO)*((('Dvd Calendar'!$AC$1012&lt;=VAL_DATE)+(COUNTIF('Dvd Calendar'!$E$1019:$AR$1019,'Dvd Calendar'!$AC$1012)=0))&gt;0)=0,"",'Dvd Calendar'!$AC$1012*1000000000+ISNUMBER('Dvd Calendar'!$AC$1015)*100000000+('Dvd Calendar'!$AC$1017=SPECIAL_LBL)*10000000+(N('Dvd Calendar'!$AC$1011)&gt;0)*(N('Dvd Calendar'!$AC$1011)&lt;=VAL_SERIAL)*1000000+92*1000+25))</f>
        <v/>
      </c>
      <c r="FD103" s="121">
        <f>IF(N('Dvd Calendar'!$AD$1012)=0,"",IF(('Dvd Calendar'!$AD$1012&gt;=GRID_FROM)*('Dvd Calendar'!$AD$1012&lt;=GRID_TO)*((('Dvd Calendar'!$AD$1012&lt;=VAL_DATE)+(COUNTIF('Dvd Calendar'!$E$1019:$AR$1019,'Dvd Calendar'!$AD$1012)=0))&gt;0)=0,"",'Dvd Calendar'!$AD$1012*1000000000+ISNUMBER('Dvd Calendar'!$AD$1015)*100000000+('Dvd Calendar'!$AD$1017=SPECIAL_LBL)*10000000+(N('Dvd Calendar'!$AD$1011)&gt;0)*(N('Dvd Calendar'!$AD$1011)&lt;=VAL_SERIAL)*1000000+92*1000+26))</f>
        <v/>
      </c>
      <c r="FE103" s="121">
        <f>IF(N('Dvd Calendar'!$AE$1012)=0,"",IF(('Dvd Calendar'!$AE$1012&gt;=GRID_FROM)*('Dvd Calendar'!$AE$1012&lt;=GRID_TO)*((('Dvd Calendar'!$AE$1012&lt;=VAL_DATE)+(COUNTIF('Dvd Calendar'!$E$1019:$AR$1019,'Dvd Calendar'!$AE$1012)=0))&gt;0)=0,"",'Dvd Calendar'!$AE$1012*1000000000+ISNUMBER('Dvd Calendar'!$AE$1015)*100000000+('Dvd Calendar'!$AE$1017=SPECIAL_LBL)*10000000+(N('Dvd Calendar'!$AE$1011)&gt;0)*(N('Dvd Calendar'!$AE$1011)&lt;=VAL_SERIAL)*1000000+92*1000+27))</f>
        <v/>
      </c>
      <c r="FF103" s="121">
        <f>IF(N('Dvd Calendar'!$AF$1012)=0,"",IF(('Dvd Calendar'!$AF$1012&gt;=GRID_FROM)*('Dvd Calendar'!$AF$1012&lt;=GRID_TO)*((('Dvd Calendar'!$AF$1012&lt;=VAL_DATE)+(COUNTIF('Dvd Calendar'!$E$1019:$AR$1019,'Dvd Calendar'!$AF$1012)=0))&gt;0)=0,"",'Dvd Calendar'!$AF$1012*1000000000+ISNUMBER('Dvd Calendar'!$AF$1015)*100000000+('Dvd Calendar'!$AF$1017=SPECIAL_LBL)*10000000+(N('Dvd Calendar'!$AF$1011)&gt;0)*(N('Dvd Calendar'!$AF$1011)&lt;=VAL_SERIAL)*1000000+92*1000+28))</f>
        <v/>
      </c>
      <c r="FG103" s="121">
        <f>IF(N('Dvd Calendar'!$AG$1012)=0,"",IF(('Dvd Calendar'!$AG$1012&gt;=GRID_FROM)*('Dvd Calendar'!$AG$1012&lt;=GRID_TO)*((('Dvd Calendar'!$AG$1012&lt;=VAL_DATE)+(COUNTIF('Dvd Calendar'!$E$1019:$AR$1019,'Dvd Calendar'!$AG$1012)=0))&gt;0)=0,"",'Dvd Calendar'!$AG$1012*1000000000+ISNUMBER('Dvd Calendar'!$AG$1015)*100000000+('Dvd Calendar'!$AG$1017=SPECIAL_LBL)*10000000+(N('Dvd Calendar'!$AG$1011)&gt;0)*(N('Dvd Calendar'!$AG$1011)&lt;=VAL_SERIAL)*1000000+92*1000+29))</f>
        <v/>
      </c>
      <c r="FH103" s="121">
        <f>IF(N('Dvd Calendar'!$AH$1012)=0,"",IF(('Dvd Calendar'!$AH$1012&gt;=GRID_FROM)*('Dvd Calendar'!$AH$1012&lt;=GRID_TO)*((('Dvd Calendar'!$AH$1012&lt;=VAL_DATE)+(COUNTIF('Dvd Calendar'!$E$1019:$AR$1019,'Dvd Calendar'!$AH$1012)=0))&gt;0)=0,"",'Dvd Calendar'!$AH$1012*1000000000+ISNUMBER('Dvd Calendar'!$AH$1015)*100000000+('Dvd Calendar'!$AH$1017=SPECIAL_LBL)*10000000+(N('Dvd Calendar'!$AH$1011)&gt;0)*(N('Dvd Calendar'!$AH$1011)&lt;=VAL_SERIAL)*1000000+92*1000+30))</f>
        <v/>
      </c>
      <c r="FI103" s="121">
        <f>IF(N('Dvd Calendar'!$AI$1012)=0,"",IF(('Dvd Calendar'!$AI$1012&gt;=GRID_FROM)*('Dvd Calendar'!$AI$1012&lt;=GRID_TO)*((('Dvd Calendar'!$AI$1012&lt;=VAL_DATE)+(COUNTIF('Dvd Calendar'!$E$1019:$AR$1019,'Dvd Calendar'!$AI$1012)=0))&gt;0)=0,"",'Dvd Calendar'!$AI$1012*1000000000+ISNUMBER('Dvd Calendar'!$AI$1015)*100000000+('Dvd Calendar'!$AI$1017=SPECIAL_LBL)*10000000+(N('Dvd Calendar'!$AI$1011)&gt;0)*(N('Dvd Calendar'!$AI$1011)&lt;=VAL_SERIAL)*1000000+92*1000+31))</f>
        <v/>
      </c>
      <c r="FJ103" s="121">
        <f>IF(N('Dvd Calendar'!$AJ$1012)=0,"",IF(('Dvd Calendar'!$AJ$1012&gt;=GRID_FROM)*('Dvd Calendar'!$AJ$1012&lt;=GRID_TO)*((('Dvd Calendar'!$AJ$1012&lt;=VAL_DATE)+(COUNTIF('Dvd Calendar'!$E$1019:$AR$1019,'Dvd Calendar'!$AJ$1012)=0))&gt;0)=0,"",'Dvd Calendar'!$AJ$1012*1000000000+ISNUMBER('Dvd Calendar'!$AJ$1015)*100000000+('Dvd Calendar'!$AJ$1017=SPECIAL_LBL)*10000000+(N('Dvd Calendar'!$AJ$1011)&gt;0)*(N('Dvd Calendar'!$AJ$1011)&lt;=VAL_SERIAL)*1000000+92*1000+32))</f>
        <v/>
      </c>
      <c r="FK103" s="121">
        <f>IF(N('Dvd Calendar'!$AK$1012)=0,"",IF(('Dvd Calendar'!$AK$1012&gt;=GRID_FROM)*('Dvd Calendar'!$AK$1012&lt;=GRID_TO)*((('Dvd Calendar'!$AK$1012&lt;=VAL_DATE)+(COUNTIF('Dvd Calendar'!$E$1019:$AR$1019,'Dvd Calendar'!$AK$1012)=0))&gt;0)=0,"",'Dvd Calendar'!$AK$1012*1000000000+ISNUMBER('Dvd Calendar'!$AK$1015)*100000000+('Dvd Calendar'!$AK$1017=SPECIAL_LBL)*10000000+(N('Dvd Calendar'!$AK$1011)&gt;0)*(N('Dvd Calendar'!$AK$1011)&lt;=VAL_SERIAL)*1000000+92*1000+33))</f>
        <v/>
      </c>
      <c r="FL103" s="121">
        <f>IF(N('Dvd Calendar'!$AL$1012)=0,"",IF(('Dvd Calendar'!$AL$1012&gt;=GRID_FROM)*('Dvd Calendar'!$AL$1012&lt;=GRID_TO)*((('Dvd Calendar'!$AL$1012&lt;=VAL_DATE)+(COUNTIF('Dvd Calendar'!$E$1019:$AR$1019,'Dvd Calendar'!$AL$1012)=0))&gt;0)=0,"",'Dvd Calendar'!$AL$1012*1000000000+ISNUMBER('Dvd Calendar'!$AL$1015)*100000000+('Dvd Calendar'!$AL$1017=SPECIAL_LBL)*10000000+(N('Dvd Calendar'!$AL$1011)&gt;0)*(N('Dvd Calendar'!$AL$1011)&lt;=VAL_SERIAL)*1000000+92*1000+34))</f>
        <v/>
      </c>
      <c r="FM103" s="121">
        <f>IF(N('Dvd Calendar'!$AM$1012)=0,"",IF(('Dvd Calendar'!$AM$1012&gt;=GRID_FROM)*('Dvd Calendar'!$AM$1012&lt;=GRID_TO)*((('Dvd Calendar'!$AM$1012&lt;=VAL_DATE)+(COUNTIF('Dvd Calendar'!$E$1019:$AR$1019,'Dvd Calendar'!$AM$1012)=0))&gt;0)=0,"",'Dvd Calendar'!$AM$1012*1000000000+ISNUMBER('Dvd Calendar'!$AM$1015)*100000000+('Dvd Calendar'!$AM$1017=SPECIAL_LBL)*10000000+(N('Dvd Calendar'!$AM$1011)&gt;0)*(N('Dvd Calendar'!$AM$1011)&lt;=VAL_SERIAL)*1000000+92*1000+35))</f>
        <v/>
      </c>
      <c r="FN103" s="121">
        <f>IF(N('Dvd Calendar'!$AN$1012)=0,"",IF(('Dvd Calendar'!$AN$1012&gt;=GRID_FROM)*('Dvd Calendar'!$AN$1012&lt;=GRID_TO)*((('Dvd Calendar'!$AN$1012&lt;=VAL_DATE)+(COUNTIF('Dvd Calendar'!$E$1019:$AR$1019,'Dvd Calendar'!$AN$1012)=0))&gt;0)=0,"",'Dvd Calendar'!$AN$1012*1000000000+ISNUMBER('Dvd Calendar'!$AN$1015)*100000000+('Dvd Calendar'!$AN$1017=SPECIAL_LBL)*10000000+(N('Dvd Calendar'!$AN$1011)&gt;0)*(N('Dvd Calendar'!$AN$1011)&lt;=VAL_SERIAL)*1000000+92*1000+36))</f>
        <v/>
      </c>
      <c r="FO103" s="121">
        <f>IF(N('Dvd Calendar'!$AO$1012)=0,"",IF(('Dvd Calendar'!$AO$1012&gt;=GRID_FROM)*('Dvd Calendar'!$AO$1012&lt;=GRID_TO)*((('Dvd Calendar'!$AO$1012&lt;=VAL_DATE)+(COUNTIF('Dvd Calendar'!$E$1019:$AR$1019,'Dvd Calendar'!$AO$1012)=0))&gt;0)=0,"",'Dvd Calendar'!$AO$1012*1000000000+ISNUMBER('Dvd Calendar'!$AO$1015)*100000000+('Dvd Calendar'!$AO$1017=SPECIAL_LBL)*10000000+(N('Dvd Calendar'!$AO$1011)&gt;0)*(N('Dvd Calendar'!$AO$1011)&lt;=VAL_SERIAL)*1000000+92*1000+37))</f>
        <v/>
      </c>
      <c r="FP103" s="121">
        <f>IF(N('Dvd Calendar'!$AP$1012)=0,"",IF(('Dvd Calendar'!$AP$1012&gt;=GRID_FROM)*('Dvd Calendar'!$AP$1012&lt;=GRID_TO)*((('Dvd Calendar'!$AP$1012&lt;=VAL_DATE)+(COUNTIF('Dvd Calendar'!$E$1019:$AR$1019,'Dvd Calendar'!$AP$1012)=0))&gt;0)=0,"",'Dvd Calendar'!$AP$1012*1000000000+ISNUMBER('Dvd Calendar'!$AP$1015)*100000000+('Dvd Calendar'!$AP$1017=SPECIAL_LBL)*10000000+(N('Dvd Calendar'!$AP$1011)&gt;0)*(N('Dvd Calendar'!$AP$1011)&lt;=VAL_SERIAL)*1000000+92*1000+38))</f>
        <v/>
      </c>
      <c r="FQ103" s="121">
        <f>IF(N('Dvd Calendar'!$AQ$1012)=0,"",IF(('Dvd Calendar'!$AQ$1012&gt;=GRID_FROM)*('Dvd Calendar'!$AQ$1012&lt;=GRID_TO)*((('Dvd Calendar'!$AQ$1012&lt;=VAL_DATE)+(COUNTIF('Dvd Calendar'!$E$1019:$AR$1019,'Dvd Calendar'!$AQ$1012)=0))&gt;0)=0,"",'Dvd Calendar'!$AQ$1012*1000000000+ISNUMBER('Dvd Calendar'!$AQ$1015)*100000000+('Dvd Calendar'!$AQ$1017=SPECIAL_LBL)*10000000+(N('Dvd Calendar'!$AQ$1011)&gt;0)*(N('Dvd Calendar'!$AQ$1011)&lt;=VAL_SERIAL)*1000000+92*1000+39))</f>
        <v/>
      </c>
      <c r="FR103" s="121">
        <f>IF(N('Dvd Calendar'!$AR$1012)=0,"",IF(('Dvd Calendar'!$AR$1012&gt;=GRID_FROM)*('Dvd Calendar'!$AR$1012&lt;=GRID_TO)*((('Dvd Calendar'!$AR$1012&lt;=VAL_DATE)+(COUNTIF('Dvd Calendar'!$E$1019:$AR$1019,'Dvd Calendar'!$AR$1012)=0))&gt;0)=0,"",'Dvd Calendar'!$AR$1012*1000000000+ISNUMBER('Dvd Calendar'!$AR$1015)*100000000+('Dvd Calendar'!$AR$1017=SPECIAL_LBL)*10000000+(N('Dvd Calendar'!$AR$1011)&gt;0)*(N('Dvd Calendar'!$AR$1011)&lt;=VAL_SERIAL)*1000000+92*1000+40))</f>
        <v/>
      </c>
      <c r="FS103" s="121">
        <f>IF(N('Dvd Calendar'!$E$1019)=0,"",IF(('Dvd Calendar'!$E$1019&gt;=GRID_FROM)*('Dvd Calendar'!$E$1019&lt;=GRID_TO)*('Dvd Calendar'!$E$1019&gt;VAL_DATE)=0,"",'Dvd Calendar'!$E$1019*1000000000+ISNUMBER('Dvd Calendar'!$E$1020)*100000000+0*10000000+(N('Dvd Calendar'!$E$1018)&gt;0)*(N('Dvd Calendar'!$E$1018)&lt;=VAL_SERIAL)*1000000+92*1000+41))</f>
        <v/>
      </c>
      <c r="FT103" s="121">
        <f>IF(N('Dvd Calendar'!$F$1019)=0,"",IF(('Dvd Calendar'!$F$1019&gt;=GRID_FROM)*('Dvd Calendar'!$F$1019&lt;=GRID_TO)*('Dvd Calendar'!$F$1019&gt;VAL_DATE)=0,"",'Dvd Calendar'!$F$1019*1000000000+ISNUMBER('Dvd Calendar'!$F$1020)*100000000+0*10000000+(N('Dvd Calendar'!$F$1018)&gt;0)*(N('Dvd Calendar'!$F$1018)&lt;=VAL_SERIAL)*1000000+92*1000+42))</f>
        <v/>
      </c>
      <c r="FU103" s="121">
        <f>IF(N('Dvd Calendar'!$G$1019)=0,"",IF(('Dvd Calendar'!$G$1019&gt;=GRID_FROM)*('Dvd Calendar'!$G$1019&lt;=GRID_TO)*('Dvd Calendar'!$G$1019&gt;VAL_DATE)=0,"",'Dvd Calendar'!$G$1019*1000000000+ISNUMBER('Dvd Calendar'!$G$1020)*100000000+0*10000000+(N('Dvd Calendar'!$G$1018)&gt;0)*(N('Dvd Calendar'!$G$1018)&lt;=VAL_SERIAL)*1000000+92*1000+43))</f>
        <v/>
      </c>
      <c r="FV103" s="121">
        <f>IF(N('Dvd Calendar'!$H$1019)=0,"",IF(('Dvd Calendar'!$H$1019&gt;=GRID_FROM)*('Dvd Calendar'!$H$1019&lt;=GRID_TO)*('Dvd Calendar'!$H$1019&gt;VAL_DATE)=0,"",'Dvd Calendar'!$H$1019*1000000000+ISNUMBER('Dvd Calendar'!$H$1020)*100000000+0*10000000+(N('Dvd Calendar'!$H$1018)&gt;0)*(N('Dvd Calendar'!$H$1018)&lt;=VAL_SERIAL)*1000000+92*1000+44))</f>
        <v/>
      </c>
      <c r="FW103" s="121">
        <f>IF(N('Dvd Calendar'!$I$1019)=0,"",IF(('Dvd Calendar'!$I$1019&gt;=GRID_FROM)*('Dvd Calendar'!$I$1019&lt;=GRID_TO)*('Dvd Calendar'!$I$1019&gt;VAL_DATE)=0,"",'Dvd Calendar'!$I$1019*1000000000+ISNUMBER('Dvd Calendar'!$I$1020)*100000000+0*10000000+(N('Dvd Calendar'!$I$1018)&gt;0)*(N('Dvd Calendar'!$I$1018)&lt;=VAL_SERIAL)*1000000+92*1000+45))</f>
        <v/>
      </c>
      <c r="FX103" s="121">
        <f>IF(N('Dvd Calendar'!$J$1019)=0,"",IF(('Dvd Calendar'!$J$1019&gt;=GRID_FROM)*('Dvd Calendar'!$J$1019&lt;=GRID_TO)*('Dvd Calendar'!$J$1019&gt;VAL_DATE)=0,"",'Dvd Calendar'!$J$1019*1000000000+ISNUMBER('Dvd Calendar'!$J$1020)*100000000+0*10000000+(N('Dvd Calendar'!$J$1018)&gt;0)*(N('Dvd Calendar'!$J$1018)&lt;=VAL_SERIAL)*1000000+92*1000+46))</f>
        <v/>
      </c>
      <c r="FY103" s="121">
        <f>IF(N('Dvd Calendar'!$K$1019)=0,"",IF(('Dvd Calendar'!$K$1019&gt;=GRID_FROM)*('Dvd Calendar'!$K$1019&lt;=GRID_TO)*('Dvd Calendar'!$K$1019&gt;VAL_DATE)=0,"",'Dvd Calendar'!$K$1019*1000000000+ISNUMBER('Dvd Calendar'!$K$1020)*100000000+0*10000000+(N('Dvd Calendar'!$K$1018)&gt;0)*(N('Dvd Calendar'!$K$1018)&lt;=VAL_SERIAL)*1000000+92*1000+47))</f>
        <v/>
      </c>
      <c r="FZ103" s="121">
        <f>IF(N('Dvd Calendar'!$L$1019)=0,"",IF(('Dvd Calendar'!$L$1019&gt;=GRID_FROM)*('Dvd Calendar'!$L$1019&lt;=GRID_TO)*('Dvd Calendar'!$L$1019&gt;VAL_DATE)=0,"",'Dvd Calendar'!$L$1019*1000000000+ISNUMBER('Dvd Calendar'!$L$1020)*100000000+0*10000000+(N('Dvd Calendar'!$L$1018)&gt;0)*(N('Dvd Calendar'!$L$1018)&lt;=VAL_SERIAL)*1000000+92*1000+48))</f>
        <v/>
      </c>
      <c r="GA103" s="121">
        <f>IF(N('Dvd Calendar'!$M$1019)=0,"",IF(('Dvd Calendar'!$M$1019&gt;=GRID_FROM)*('Dvd Calendar'!$M$1019&lt;=GRID_TO)*('Dvd Calendar'!$M$1019&gt;VAL_DATE)=0,"",'Dvd Calendar'!$M$1019*1000000000+ISNUMBER('Dvd Calendar'!$M$1020)*100000000+0*10000000+(N('Dvd Calendar'!$M$1018)&gt;0)*(N('Dvd Calendar'!$M$1018)&lt;=VAL_SERIAL)*1000000+92*1000+49))</f>
        <v/>
      </c>
      <c r="GB103" s="121">
        <f>IF(N('Dvd Calendar'!$N$1019)=0,"",IF(('Dvd Calendar'!$N$1019&gt;=GRID_FROM)*('Dvd Calendar'!$N$1019&lt;=GRID_TO)*('Dvd Calendar'!$N$1019&gt;VAL_DATE)=0,"",'Dvd Calendar'!$N$1019*1000000000+ISNUMBER('Dvd Calendar'!$N$1020)*100000000+0*10000000+(N('Dvd Calendar'!$N$1018)&gt;0)*(N('Dvd Calendar'!$N$1018)&lt;=VAL_SERIAL)*1000000+92*1000+50))</f>
        <v/>
      </c>
      <c r="GC103" s="121">
        <f>IF(N('Dvd Calendar'!$O$1019)=0,"",IF(('Dvd Calendar'!$O$1019&gt;=GRID_FROM)*('Dvd Calendar'!$O$1019&lt;=GRID_TO)*('Dvd Calendar'!$O$1019&gt;VAL_DATE)=0,"",'Dvd Calendar'!$O$1019*1000000000+ISNUMBER('Dvd Calendar'!$O$1020)*100000000+0*10000000+(N('Dvd Calendar'!$O$1018)&gt;0)*(N('Dvd Calendar'!$O$1018)&lt;=VAL_SERIAL)*1000000+92*1000+51))</f>
        <v/>
      </c>
      <c r="GD103" s="121">
        <f>IF(N('Dvd Calendar'!$P$1019)=0,"",IF(('Dvd Calendar'!$P$1019&gt;=GRID_FROM)*('Dvd Calendar'!$P$1019&lt;=GRID_TO)*('Dvd Calendar'!$P$1019&gt;VAL_DATE)=0,"",'Dvd Calendar'!$P$1019*1000000000+ISNUMBER('Dvd Calendar'!$P$1020)*100000000+0*10000000+(N('Dvd Calendar'!$P$1018)&gt;0)*(N('Dvd Calendar'!$P$1018)&lt;=VAL_SERIAL)*1000000+92*1000+52))</f>
        <v/>
      </c>
      <c r="GE103" s="121">
        <f>IF(N('Dvd Calendar'!$Q$1019)=0,"",IF(('Dvd Calendar'!$Q$1019&gt;=GRID_FROM)*('Dvd Calendar'!$Q$1019&lt;=GRID_TO)*('Dvd Calendar'!$Q$1019&gt;VAL_DATE)=0,"",'Dvd Calendar'!$Q$1019*1000000000+ISNUMBER('Dvd Calendar'!$Q$1020)*100000000+0*10000000+(N('Dvd Calendar'!$Q$1018)&gt;0)*(N('Dvd Calendar'!$Q$1018)&lt;=VAL_SERIAL)*1000000+92*1000+53))</f>
        <v/>
      </c>
      <c r="GF103" s="121">
        <f>IF(N('Dvd Calendar'!$R$1019)=0,"",IF(('Dvd Calendar'!$R$1019&gt;=GRID_FROM)*('Dvd Calendar'!$R$1019&lt;=GRID_TO)*('Dvd Calendar'!$R$1019&gt;VAL_DATE)=0,"",'Dvd Calendar'!$R$1019*1000000000+ISNUMBER('Dvd Calendar'!$R$1020)*100000000+0*10000000+(N('Dvd Calendar'!$R$1018)&gt;0)*(N('Dvd Calendar'!$R$1018)&lt;=VAL_SERIAL)*1000000+92*1000+54))</f>
        <v/>
      </c>
      <c r="GG103" s="121">
        <f>IF(N('Dvd Calendar'!$S$1019)=0,"",IF(('Dvd Calendar'!$S$1019&gt;=GRID_FROM)*('Dvd Calendar'!$S$1019&lt;=GRID_TO)*('Dvd Calendar'!$S$1019&gt;VAL_DATE)=0,"",'Dvd Calendar'!$S$1019*1000000000+ISNUMBER('Dvd Calendar'!$S$1020)*100000000+0*10000000+(N('Dvd Calendar'!$S$1018)&gt;0)*(N('Dvd Calendar'!$S$1018)&lt;=VAL_SERIAL)*1000000+92*1000+55))</f>
        <v/>
      </c>
      <c r="GH103" s="121">
        <f>IF(N('Dvd Calendar'!$T$1019)=0,"",IF(('Dvd Calendar'!$T$1019&gt;=GRID_FROM)*('Dvd Calendar'!$T$1019&lt;=GRID_TO)*('Dvd Calendar'!$T$1019&gt;VAL_DATE)=0,"",'Dvd Calendar'!$T$1019*1000000000+ISNUMBER('Dvd Calendar'!$T$1020)*100000000+0*10000000+(N('Dvd Calendar'!$T$1018)&gt;0)*(N('Dvd Calendar'!$T$1018)&lt;=VAL_SERIAL)*1000000+92*1000+56))</f>
        <v/>
      </c>
      <c r="GI103" s="121">
        <f>IF(N('Dvd Calendar'!$U$1019)=0,"",IF(('Dvd Calendar'!$U$1019&gt;=GRID_FROM)*('Dvd Calendar'!$U$1019&lt;=GRID_TO)*('Dvd Calendar'!$U$1019&gt;VAL_DATE)=0,"",'Dvd Calendar'!$U$1019*1000000000+ISNUMBER('Dvd Calendar'!$U$1020)*100000000+0*10000000+(N('Dvd Calendar'!$U$1018)&gt;0)*(N('Dvd Calendar'!$U$1018)&lt;=VAL_SERIAL)*1000000+92*1000+57))</f>
        <v/>
      </c>
      <c r="GJ103" s="121">
        <f>IF(N('Dvd Calendar'!$V$1019)=0,"",IF(('Dvd Calendar'!$V$1019&gt;=GRID_FROM)*('Dvd Calendar'!$V$1019&lt;=GRID_TO)*('Dvd Calendar'!$V$1019&gt;VAL_DATE)=0,"",'Dvd Calendar'!$V$1019*1000000000+ISNUMBER('Dvd Calendar'!$V$1020)*100000000+0*10000000+(N('Dvd Calendar'!$V$1018)&gt;0)*(N('Dvd Calendar'!$V$1018)&lt;=VAL_SERIAL)*1000000+92*1000+58))</f>
        <v/>
      </c>
      <c r="GK103" s="121">
        <f>IF(N('Dvd Calendar'!$W$1019)=0,"",IF(('Dvd Calendar'!$W$1019&gt;=GRID_FROM)*('Dvd Calendar'!$W$1019&lt;=GRID_TO)*('Dvd Calendar'!$W$1019&gt;VAL_DATE)=0,"",'Dvd Calendar'!$W$1019*1000000000+ISNUMBER('Dvd Calendar'!$W$1020)*100000000+0*10000000+(N('Dvd Calendar'!$W$1018)&gt;0)*(N('Dvd Calendar'!$W$1018)&lt;=VAL_SERIAL)*1000000+92*1000+59))</f>
        <v/>
      </c>
      <c r="GL103" s="121">
        <f>IF(N('Dvd Calendar'!$X$1019)=0,"",IF(('Dvd Calendar'!$X$1019&gt;=GRID_FROM)*('Dvd Calendar'!$X$1019&lt;=GRID_TO)*('Dvd Calendar'!$X$1019&gt;VAL_DATE)=0,"",'Dvd Calendar'!$X$1019*1000000000+ISNUMBER('Dvd Calendar'!$X$1020)*100000000+0*10000000+(N('Dvd Calendar'!$X$1018)&gt;0)*(N('Dvd Calendar'!$X$1018)&lt;=VAL_SERIAL)*1000000+92*1000+60))</f>
        <v/>
      </c>
      <c r="GM103" s="121">
        <f>IF(N('Dvd Calendar'!$Y$1019)=0,"",IF(('Dvd Calendar'!$Y$1019&gt;=GRID_FROM)*('Dvd Calendar'!$Y$1019&lt;=GRID_TO)*('Dvd Calendar'!$Y$1019&gt;VAL_DATE)=0,"",'Dvd Calendar'!$Y$1019*1000000000+ISNUMBER('Dvd Calendar'!$Y$1020)*100000000+0*10000000+(N('Dvd Calendar'!$Y$1018)&gt;0)*(N('Dvd Calendar'!$Y$1018)&lt;=VAL_SERIAL)*1000000+92*1000+61))</f>
        <v/>
      </c>
      <c r="GN103" s="121">
        <f>IF(N('Dvd Calendar'!$Z$1019)=0,"",IF(('Dvd Calendar'!$Z$1019&gt;=GRID_FROM)*('Dvd Calendar'!$Z$1019&lt;=GRID_TO)*('Dvd Calendar'!$Z$1019&gt;VAL_DATE)=0,"",'Dvd Calendar'!$Z$1019*1000000000+ISNUMBER('Dvd Calendar'!$Z$1020)*100000000+0*10000000+(N('Dvd Calendar'!$Z$1018)&gt;0)*(N('Dvd Calendar'!$Z$1018)&lt;=VAL_SERIAL)*1000000+92*1000+62))</f>
        <v/>
      </c>
      <c r="GO103" s="121">
        <f>IF(N('Dvd Calendar'!$AA$1019)=0,"",IF(('Dvd Calendar'!$AA$1019&gt;=GRID_FROM)*('Dvd Calendar'!$AA$1019&lt;=GRID_TO)*('Dvd Calendar'!$AA$1019&gt;VAL_DATE)=0,"",'Dvd Calendar'!$AA$1019*1000000000+ISNUMBER('Dvd Calendar'!$AA$1020)*100000000+0*10000000+(N('Dvd Calendar'!$AA$1018)&gt;0)*(N('Dvd Calendar'!$AA$1018)&lt;=VAL_SERIAL)*1000000+92*1000+63))</f>
        <v/>
      </c>
      <c r="GP103" s="121">
        <f>IF(N('Dvd Calendar'!$AB$1019)=0,"",IF(('Dvd Calendar'!$AB$1019&gt;=GRID_FROM)*('Dvd Calendar'!$AB$1019&lt;=GRID_TO)*('Dvd Calendar'!$AB$1019&gt;VAL_DATE)=0,"",'Dvd Calendar'!$AB$1019*1000000000+ISNUMBER('Dvd Calendar'!$AB$1020)*100000000+0*10000000+(N('Dvd Calendar'!$AB$1018)&gt;0)*(N('Dvd Calendar'!$AB$1018)&lt;=VAL_SERIAL)*1000000+92*1000+64))</f>
        <v/>
      </c>
      <c r="GQ103" s="121">
        <f>IF(N('Dvd Calendar'!$AC$1019)=0,"",IF(('Dvd Calendar'!$AC$1019&gt;=GRID_FROM)*('Dvd Calendar'!$AC$1019&lt;=GRID_TO)*('Dvd Calendar'!$AC$1019&gt;VAL_DATE)=0,"",'Dvd Calendar'!$AC$1019*1000000000+ISNUMBER('Dvd Calendar'!$AC$1020)*100000000+0*10000000+(N('Dvd Calendar'!$AC$1018)&gt;0)*(N('Dvd Calendar'!$AC$1018)&lt;=VAL_SERIAL)*1000000+92*1000+65))</f>
        <v/>
      </c>
    </row>
    <row r="104">
      <c r="B104" s="2">
        <f>IF(HSI!$C$99="","",HSI!$C$99)</f>
        <v/>
      </c>
      <c r="C104" s="161">
        <f>IF(EE104="","",IF(ISNUMBER('Dvd Calendar'!$E$1026)=FALSE,"",IF((('Dvd Calendar'!$E$1028=TYPE1)*(TYPE1&lt;&gt;"")+('Dvd Calendar'!$E$1028=TYPE2)*(TYPE2&lt;&gt;"")+('Dvd Calendar'!$E$1028=TYPE3)*(TYPE3&lt;&gt;"")+('Dvd Calendar'!$E$1028=TYPE4)*(TYPE4&lt;&gt;"")+('Dvd Calendar'!$E$1028=SPECIAL_LBL)*(INC_SPECIALS="Y"))=0,"",'Dvd Calendar'!$E$1026)))</f>
        <v/>
      </c>
      <c r="D104" s="161">
        <f>IF(EF104="","",IF(ISNUMBER('Dvd Calendar'!$F$1026)=FALSE,"",IF((('Dvd Calendar'!$F$1028=TYPE1)*(TYPE1&lt;&gt;"")+('Dvd Calendar'!$F$1028=TYPE2)*(TYPE2&lt;&gt;"")+('Dvd Calendar'!$F$1028=TYPE3)*(TYPE3&lt;&gt;"")+('Dvd Calendar'!$F$1028=TYPE4)*(TYPE4&lt;&gt;"")+('Dvd Calendar'!$F$1028=SPECIAL_LBL)*(INC_SPECIALS="Y"))=0,"",'Dvd Calendar'!$F$1026)))</f>
        <v/>
      </c>
      <c r="E104" s="161">
        <f>IF(EG104="","",IF(ISNUMBER('Dvd Calendar'!$G$1026)=FALSE,"",IF((('Dvd Calendar'!$G$1028=TYPE1)*(TYPE1&lt;&gt;"")+('Dvd Calendar'!$G$1028=TYPE2)*(TYPE2&lt;&gt;"")+('Dvd Calendar'!$G$1028=TYPE3)*(TYPE3&lt;&gt;"")+('Dvd Calendar'!$G$1028=TYPE4)*(TYPE4&lt;&gt;"")+('Dvd Calendar'!$G$1028=SPECIAL_LBL)*(INC_SPECIALS="Y"))=0,"",'Dvd Calendar'!$G$1026)))</f>
        <v/>
      </c>
      <c r="F104" s="161">
        <f>IF(EH104="","",IF(ISNUMBER('Dvd Calendar'!$H$1026)=FALSE,"",IF((('Dvd Calendar'!$H$1028=TYPE1)*(TYPE1&lt;&gt;"")+('Dvd Calendar'!$H$1028=TYPE2)*(TYPE2&lt;&gt;"")+('Dvd Calendar'!$H$1028=TYPE3)*(TYPE3&lt;&gt;"")+('Dvd Calendar'!$H$1028=TYPE4)*(TYPE4&lt;&gt;"")+('Dvd Calendar'!$H$1028=SPECIAL_LBL)*(INC_SPECIALS="Y"))=0,"",'Dvd Calendar'!$H$1026)))</f>
        <v/>
      </c>
      <c r="G104" s="161">
        <f>IF(EI104="","",IF(ISNUMBER('Dvd Calendar'!$I$1026)=FALSE,"",IF((('Dvd Calendar'!$I$1028=TYPE1)*(TYPE1&lt;&gt;"")+('Dvd Calendar'!$I$1028=TYPE2)*(TYPE2&lt;&gt;"")+('Dvd Calendar'!$I$1028=TYPE3)*(TYPE3&lt;&gt;"")+('Dvd Calendar'!$I$1028=TYPE4)*(TYPE4&lt;&gt;"")+('Dvd Calendar'!$I$1028=SPECIAL_LBL)*(INC_SPECIALS="Y"))=0,"",'Dvd Calendar'!$I$1026)))</f>
        <v/>
      </c>
      <c r="H104" s="161">
        <f>IF(EJ104="","",IF(ISNUMBER('Dvd Calendar'!$J$1026)=FALSE,"",IF((('Dvd Calendar'!$J$1028=TYPE1)*(TYPE1&lt;&gt;"")+('Dvd Calendar'!$J$1028=TYPE2)*(TYPE2&lt;&gt;"")+('Dvd Calendar'!$J$1028=TYPE3)*(TYPE3&lt;&gt;"")+('Dvd Calendar'!$J$1028=TYPE4)*(TYPE4&lt;&gt;"")+('Dvd Calendar'!$J$1028=SPECIAL_LBL)*(INC_SPECIALS="Y"))=0,"",'Dvd Calendar'!$J$1026)))</f>
        <v/>
      </c>
      <c r="I104" s="161">
        <f>IF(EK104="","",IF(ISNUMBER('Dvd Calendar'!$K$1026)=FALSE,"",IF((('Dvd Calendar'!$K$1028=TYPE1)*(TYPE1&lt;&gt;"")+('Dvd Calendar'!$K$1028=TYPE2)*(TYPE2&lt;&gt;"")+('Dvd Calendar'!$K$1028=TYPE3)*(TYPE3&lt;&gt;"")+('Dvd Calendar'!$K$1028=TYPE4)*(TYPE4&lt;&gt;"")+('Dvd Calendar'!$K$1028=SPECIAL_LBL)*(INC_SPECIALS="Y"))=0,"",'Dvd Calendar'!$K$1026)))</f>
        <v/>
      </c>
      <c r="J104" s="161">
        <f>IF(EL104="","",IF(ISNUMBER('Dvd Calendar'!$L$1026)=FALSE,"",IF((('Dvd Calendar'!$L$1028=TYPE1)*(TYPE1&lt;&gt;"")+('Dvd Calendar'!$L$1028=TYPE2)*(TYPE2&lt;&gt;"")+('Dvd Calendar'!$L$1028=TYPE3)*(TYPE3&lt;&gt;"")+('Dvd Calendar'!$L$1028=TYPE4)*(TYPE4&lt;&gt;"")+('Dvd Calendar'!$L$1028=SPECIAL_LBL)*(INC_SPECIALS="Y"))=0,"",'Dvd Calendar'!$L$1026)))</f>
        <v/>
      </c>
      <c r="K104" s="161">
        <f>IF(EM104="","",IF(ISNUMBER('Dvd Calendar'!$M$1026)=FALSE,"",IF((('Dvd Calendar'!$M$1028=TYPE1)*(TYPE1&lt;&gt;"")+('Dvd Calendar'!$M$1028=TYPE2)*(TYPE2&lt;&gt;"")+('Dvd Calendar'!$M$1028=TYPE3)*(TYPE3&lt;&gt;"")+('Dvd Calendar'!$M$1028=TYPE4)*(TYPE4&lt;&gt;"")+('Dvd Calendar'!$M$1028=SPECIAL_LBL)*(INC_SPECIALS="Y"))=0,"",'Dvd Calendar'!$M$1026)))</f>
        <v/>
      </c>
      <c r="L104" s="161">
        <f>IF(EN104="","",IF(ISNUMBER('Dvd Calendar'!$N$1026)=FALSE,"",IF((('Dvd Calendar'!$N$1028=TYPE1)*(TYPE1&lt;&gt;"")+('Dvd Calendar'!$N$1028=TYPE2)*(TYPE2&lt;&gt;"")+('Dvd Calendar'!$N$1028=TYPE3)*(TYPE3&lt;&gt;"")+('Dvd Calendar'!$N$1028=TYPE4)*(TYPE4&lt;&gt;"")+('Dvd Calendar'!$N$1028=SPECIAL_LBL)*(INC_SPECIALS="Y"))=0,"",'Dvd Calendar'!$N$1026)))</f>
        <v/>
      </c>
      <c r="M104" s="161">
        <f>IF(EO104="","",IF(ISNUMBER('Dvd Calendar'!$O$1026)=FALSE,"",IF((('Dvd Calendar'!$O$1028=TYPE1)*(TYPE1&lt;&gt;"")+('Dvd Calendar'!$O$1028=TYPE2)*(TYPE2&lt;&gt;"")+('Dvd Calendar'!$O$1028=TYPE3)*(TYPE3&lt;&gt;"")+('Dvd Calendar'!$O$1028=TYPE4)*(TYPE4&lt;&gt;"")+('Dvd Calendar'!$O$1028=SPECIAL_LBL)*(INC_SPECIALS="Y"))=0,"",'Dvd Calendar'!$O$1026)))</f>
        <v/>
      </c>
      <c r="N104" s="161">
        <f>IF(EP104="","",IF(ISNUMBER('Dvd Calendar'!$P$1026)=FALSE,"",IF((('Dvd Calendar'!$P$1028=TYPE1)*(TYPE1&lt;&gt;"")+('Dvd Calendar'!$P$1028=TYPE2)*(TYPE2&lt;&gt;"")+('Dvd Calendar'!$P$1028=TYPE3)*(TYPE3&lt;&gt;"")+('Dvd Calendar'!$P$1028=TYPE4)*(TYPE4&lt;&gt;"")+('Dvd Calendar'!$P$1028=SPECIAL_LBL)*(INC_SPECIALS="Y"))=0,"",'Dvd Calendar'!$P$1026)))</f>
        <v/>
      </c>
      <c r="O104" s="161">
        <f>IF(EQ104="","",IF(ISNUMBER('Dvd Calendar'!$Q$1026)=FALSE,"",IF((('Dvd Calendar'!$Q$1028=TYPE1)*(TYPE1&lt;&gt;"")+('Dvd Calendar'!$Q$1028=TYPE2)*(TYPE2&lt;&gt;"")+('Dvd Calendar'!$Q$1028=TYPE3)*(TYPE3&lt;&gt;"")+('Dvd Calendar'!$Q$1028=TYPE4)*(TYPE4&lt;&gt;"")+('Dvd Calendar'!$Q$1028=SPECIAL_LBL)*(INC_SPECIALS="Y"))=0,"",'Dvd Calendar'!$Q$1026)))</f>
        <v/>
      </c>
      <c r="P104" s="161">
        <f>IF(ER104="","",IF(ISNUMBER('Dvd Calendar'!$R$1026)=FALSE,"",IF((('Dvd Calendar'!$R$1028=TYPE1)*(TYPE1&lt;&gt;"")+('Dvd Calendar'!$R$1028=TYPE2)*(TYPE2&lt;&gt;"")+('Dvd Calendar'!$R$1028=TYPE3)*(TYPE3&lt;&gt;"")+('Dvd Calendar'!$R$1028=TYPE4)*(TYPE4&lt;&gt;"")+('Dvd Calendar'!$R$1028=SPECIAL_LBL)*(INC_SPECIALS="Y"))=0,"",'Dvd Calendar'!$R$1026)))</f>
        <v/>
      </c>
      <c r="Q104" s="161">
        <f>IF(ES104="","",IF(ISNUMBER('Dvd Calendar'!$S$1026)=FALSE,"",IF((('Dvd Calendar'!$S$1028=TYPE1)*(TYPE1&lt;&gt;"")+('Dvd Calendar'!$S$1028=TYPE2)*(TYPE2&lt;&gt;"")+('Dvd Calendar'!$S$1028=TYPE3)*(TYPE3&lt;&gt;"")+('Dvd Calendar'!$S$1028=TYPE4)*(TYPE4&lt;&gt;"")+('Dvd Calendar'!$S$1028=SPECIAL_LBL)*(INC_SPECIALS="Y"))=0,"",'Dvd Calendar'!$S$1026)))</f>
        <v/>
      </c>
      <c r="R104" s="161">
        <f>IF(ET104="","",IF(ISNUMBER('Dvd Calendar'!$T$1026)=FALSE,"",IF((('Dvd Calendar'!$T$1028=TYPE1)*(TYPE1&lt;&gt;"")+('Dvd Calendar'!$T$1028=TYPE2)*(TYPE2&lt;&gt;"")+('Dvd Calendar'!$T$1028=TYPE3)*(TYPE3&lt;&gt;"")+('Dvd Calendar'!$T$1028=TYPE4)*(TYPE4&lt;&gt;"")+('Dvd Calendar'!$T$1028=SPECIAL_LBL)*(INC_SPECIALS="Y"))=0,"",'Dvd Calendar'!$T$1026)))</f>
        <v/>
      </c>
      <c r="S104" s="161">
        <f>IF(EU104="","",IF(ISNUMBER('Dvd Calendar'!$U$1026)=FALSE,"",IF((('Dvd Calendar'!$U$1028=TYPE1)*(TYPE1&lt;&gt;"")+('Dvd Calendar'!$U$1028=TYPE2)*(TYPE2&lt;&gt;"")+('Dvd Calendar'!$U$1028=TYPE3)*(TYPE3&lt;&gt;"")+('Dvd Calendar'!$U$1028=TYPE4)*(TYPE4&lt;&gt;"")+('Dvd Calendar'!$U$1028=SPECIAL_LBL)*(INC_SPECIALS="Y"))=0,"",'Dvd Calendar'!$U$1026)))</f>
        <v/>
      </c>
      <c r="T104" s="161">
        <f>IF(EV104="","",IF(ISNUMBER('Dvd Calendar'!$V$1026)=FALSE,"",IF((('Dvd Calendar'!$V$1028=TYPE1)*(TYPE1&lt;&gt;"")+('Dvd Calendar'!$V$1028=TYPE2)*(TYPE2&lt;&gt;"")+('Dvd Calendar'!$V$1028=TYPE3)*(TYPE3&lt;&gt;"")+('Dvd Calendar'!$V$1028=TYPE4)*(TYPE4&lt;&gt;"")+('Dvd Calendar'!$V$1028=SPECIAL_LBL)*(INC_SPECIALS="Y"))=0,"",'Dvd Calendar'!$V$1026)))</f>
        <v/>
      </c>
      <c r="U104" s="161">
        <f>IF(EW104="","",IF(ISNUMBER('Dvd Calendar'!$W$1026)=FALSE,"",IF((('Dvd Calendar'!$W$1028=TYPE1)*(TYPE1&lt;&gt;"")+('Dvd Calendar'!$W$1028=TYPE2)*(TYPE2&lt;&gt;"")+('Dvd Calendar'!$W$1028=TYPE3)*(TYPE3&lt;&gt;"")+('Dvd Calendar'!$W$1028=TYPE4)*(TYPE4&lt;&gt;"")+('Dvd Calendar'!$W$1028=SPECIAL_LBL)*(INC_SPECIALS="Y"))=0,"",'Dvd Calendar'!$W$1026)))</f>
        <v/>
      </c>
      <c r="V104" s="161">
        <f>IF(EX104="","",IF(ISNUMBER('Dvd Calendar'!$X$1026)=FALSE,"",IF((('Dvd Calendar'!$X$1028=TYPE1)*(TYPE1&lt;&gt;"")+('Dvd Calendar'!$X$1028=TYPE2)*(TYPE2&lt;&gt;"")+('Dvd Calendar'!$X$1028=TYPE3)*(TYPE3&lt;&gt;"")+('Dvd Calendar'!$X$1028=TYPE4)*(TYPE4&lt;&gt;"")+('Dvd Calendar'!$X$1028=SPECIAL_LBL)*(INC_SPECIALS="Y"))=0,"",'Dvd Calendar'!$X$1026)))</f>
        <v/>
      </c>
      <c r="W104" s="161">
        <f>IF(EY104="","",IF(ISNUMBER('Dvd Calendar'!$Y$1026)=FALSE,"",IF((('Dvd Calendar'!$Y$1028=TYPE1)*(TYPE1&lt;&gt;"")+('Dvd Calendar'!$Y$1028=TYPE2)*(TYPE2&lt;&gt;"")+('Dvd Calendar'!$Y$1028=TYPE3)*(TYPE3&lt;&gt;"")+('Dvd Calendar'!$Y$1028=TYPE4)*(TYPE4&lt;&gt;"")+('Dvd Calendar'!$Y$1028=SPECIAL_LBL)*(INC_SPECIALS="Y"))=0,"",'Dvd Calendar'!$Y$1026)))</f>
        <v/>
      </c>
      <c r="X104" s="161">
        <f>IF(EZ104="","",IF(ISNUMBER('Dvd Calendar'!$Z$1026)=FALSE,"",IF((('Dvd Calendar'!$Z$1028=TYPE1)*(TYPE1&lt;&gt;"")+('Dvd Calendar'!$Z$1028=TYPE2)*(TYPE2&lt;&gt;"")+('Dvd Calendar'!$Z$1028=TYPE3)*(TYPE3&lt;&gt;"")+('Dvd Calendar'!$Z$1028=TYPE4)*(TYPE4&lt;&gt;"")+('Dvd Calendar'!$Z$1028=SPECIAL_LBL)*(INC_SPECIALS="Y"))=0,"",'Dvd Calendar'!$Z$1026)))</f>
        <v/>
      </c>
      <c r="Y104" s="161">
        <f>IF(FA104="","",IF(ISNUMBER('Dvd Calendar'!$AA$1026)=FALSE,"",IF((('Dvd Calendar'!$AA$1028=TYPE1)*(TYPE1&lt;&gt;"")+('Dvd Calendar'!$AA$1028=TYPE2)*(TYPE2&lt;&gt;"")+('Dvd Calendar'!$AA$1028=TYPE3)*(TYPE3&lt;&gt;"")+('Dvd Calendar'!$AA$1028=TYPE4)*(TYPE4&lt;&gt;"")+('Dvd Calendar'!$AA$1028=SPECIAL_LBL)*(INC_SPECIALS="Y"))=0,"",'Dvd Calendar'!$AA$1026)))</f>
        <v/>
      </c>
      <c r="Z104" s="161">
        <f>IF(FB104="","",IF(ISNUMBER('Dvd Calendar'!$AB$1026)=FALSE,"",IF((('Dvd Calendar'!$AB$1028=TYPE1)*(TYPE1&lt;&gt;"")+('Dvd Calendar'!$AB$1028=TYPE2)*(TYPE2&lt;&gt;"")+('Dvd Calendar'!$AB$1028=TYPE3)*(TYPE3&lt;&gt;"")+('Dvd Calendar'!$AB$1028=TYPE4)*(TYPE4&lt;&gt;"")+('Dvd Calendar'!$AB$1028=SPECIAL_LBL)*(INC_SPECIALS="Y"))=0,"",'Dvd Calendar'!$AB$1026)))</f>
        <v/>
      </c>
      <c r="AA104" s="161">
        <f>IF(FC104="","",IF(ISNUMBER('Dvd Calendar'!$AC$1026)=FALSE,"",IF((('Dvd Calendar'!$AC$1028=TYPE1)*(TYPE1&lt;&gt;"")+('Dvd Calendar'!$AC$1028=TYPE2)*(TYPE2&lt;&gt;"")+('Dvd Calendar'!$AC$1028=TYPE3)*(TYPE3&lt;&gt;"")+('Dvd Calendar'!$AC$1028=TYPE4)*(TYPE4&lt;&gt;"")+('Dvd Calendar'!$AC$1028=SPECIAL_LBL)*(INC_SPECIALS="Y"))=0,"",'Dvd Calendar'!$AC$1026)))</f>
        <v/>
      </c>
      <c r="AB104" s="161">
        <f>IF(FD104="","",IF(ISNUMBER('Dvd Calendar'!$AD$1026)=FALSE,"",IF((('Dvd Calendar'!$AD$1028=TYPE1)*(TYPE1&lt;&gt;"")+('Dvd Calendar'!$AD$1028=TYPE2)*(TYPE2&lt;&gt;"")+('Dvd Calendar'!$AD$1028=TYPE3)*(TYPE3&lt;&gt;"")+('Dvd Calendar'!$AD$1028=TYPE4)*(TYPE4&lt;&gt;"")+('Dvd Calendar'!$AD$1028=SPECIAL_LBL)*(INC_SPECIALS="Y"))=0,"",'Dvd Calendar'!$AD$1026)))</f>
        <v/>
      </c>
      <c r="AC104" s="161">
        <f>IF(FE104="","",IF(ISNUMBER('Dvd Calendar'!$AE$1026)=FALSE,"",IF((('Dvd Calendar'!$AE$1028=TYPE1)*(TYPE1&lt;&gt;"")+('Dvd Calendar'!$AE$1028=TYPE2)*(TYPE2&lt;&gt;"")+('Dvd Calendar'!$AE$1028=TYPE3)*(TYPE3&lt;&gt;"")+('Dvd Calendar'!$AE$1028=TYPE4)*(TYPE4&lt;&gt;"")+('Dvd Calendar'!$AE$1028=SPECIAL_LBL)*(INC_SPECIALS="Y"))=0,"",'Dvd Calendar'!$AE$1026)))</f>
        <v/>
      </c>
      <c r="AD104" s="161">
        <f>IF(FF104="","",IF(ISNUMBER('Dvd Calendar'!$AF$1026)=FALSE,"",IF((('Dvd Calendar'!$AF$1028=TYPE1)*(TYPE1&lt;&gt;"")+('Dvd Calendar'!$AF$1028=TYPE2)*(TYPE2&lt;&gt;"")+('Dvd Calendar'!$AF$1028=TYPE3)*(TYPE3&lt;&gt;"")+('Dvd Calendar'!$AF$1028=TYPE4)*(TYPE4&lt;&gt;"")+('Dvd Calendar'!$AF$1028=SPECIAL_LBL)*(INC_SPECIALS="Y"))=0,"",'Dvd Calendar'!$AF$1026)))</f>
        <v/>
      </c>
      <c r="AE104" s="161">
        <f>IF(FG104="","",IF(ISNUMBER('Dvd Calendar'!$AG$1026)=FALSE,"",IF((('Dvd Calendar'!$AG$1028=TYPE1)*(TYPE1&lt;&gt;"")+('Dvd Calendar'!$AG$1028=TYPE2)*(TYPE2&lt;&gt;"")+('Dvd Calendar'!$AG$1028=TYPE3)*(TYPE3&lt;&gt;"")+('Dvd Calendar'!$AG$1028=TYPE4)*(TYPE4&lt;&gt;"")+('Dvd Calendar'!$AG$1028=SPECIAL_LBL)*(INC_SPECIALS="Y"))=0,"",'Dvd Calendar'!$AG$1026)))</f>
        <v/>
      </c>
      <c r="AF104" s="161">
        <f>IF(FH104="","",IF(ISNUMBER('Dvd Calendar'!$AH$1026)=FALSE,"",IF((('Dvd Calendar'!$AH$1028=TYPE1)*(TYPE1&lt;&gt;"")+('Dvd Calendar'!$AH$1028=TYPE2)*(TYPE2&lt;&gt;"")+('Dvd Calendar'!$AH$1028=TYPE3)*(TYPE3&lt;&gt;"")+('Dvd Calendar'!$AH$1028=TYPE4)*(TYPE4&lt;&gt;"")+('Dvd Calendar'!$AH$1028=SPECIAL_LBL)*(INC_SPECIALS="Y"))=0,"",'Dvd Calendar'!$AH$1026)))</f>
        <v/>
      </c>
      <c r="AG104" s="161">
        <f>IF(FI104="","",IF(ISNUMBER('Dvd Calendar'!$AI$1026)=FALSE,"",IF((('Dvd Calendar'!$AI$1028=TYPE1)*(TYPE1&lt;&gt;"")+('Dvd Calendar'!$AI$1028=TYPE2)*(TYPE2&lt;&gt;"")+('Dvd Calendar'!$AI$1028=TYPE3)*(TYPE3&lt;&gt;"")+('Dvd Calendar'!$AI$1028=TYPE4)*(TYPE4&lt;&gt;"")+('Dvd Calendar'!$AI$1028=SPECIAL_LBL)*(INC_SPECIALS="Y"))=0,"",'Dvd Calendar'!$AI$1026)))</f>
        <v/>
      </c>
      <c r="AH104" s="161">
        <f>IF(FJ104="","",IF(ISNUMBER('Dvd Calendar'!$AJ$1026)=FALSE,"",IF((('Dvd Calendar'!$AJ$1028=TYPE1)*(TYPE1&lt;&gt;"")+('Dvd Calendar'!$AJ$1028=TYPE2)*(TYPE2&lt;&gt;"")+('Dvd Calendar'!$AJ$1028=TYPE3)*(TYPE3&lt;&gt;"")+('Dvd Calendar'!$AJ$1028=TYPE4)*(TYPE4&lt;&gt;"")+('Dvd Calendar'!$AJ$1028=SPECIAL_LBL)*(INC_SPECIALS="Y"))=0,"",'Dvd Calendar'!$AJ$1026)))</f>
        <v/>
      </c>
      <c r="AI104" s="161">
        <f>IF(FK104="","",IF(ISNUMBER('Dvd Calendar'!$AK$1026)=FALSE,"",IF((('Dvd Calendar'!$AK$1028=TYPE1)*(TYPE1&lt;&gt;"")+('Dvd Calendar'!$AK$1028=TYPE2)*(TYPE2&lt;&gt;"")+('Dvd Calendar'!$AK$1028=TYPE3)*(TYPE3&lt;&gt;"")+('Dvd Calendar'!$AK$1028=TYPE4)*(TYPE4&lt;&gt;"")+('Dvd Calendar'!$AK$1028=SPECIAL_LBL)*(INC_SPECIALS="Y"))=0,"",'Dvd Calendar'!$AK$1026)))</f>
        <v/>
      </c>
      <c r="AJ104" s="161">
        <f>IF(FL104="","",IF(ISNUMBER('Dvd Calendar'!$AL$1026)=FALSE,"",IF((('Dvd Calendar'!$AL$1028=TYPE1)*(TYPE1&lt;&gt;"")+('Dvd Calendar'!$AL$1028=TYPE2)*(TYPE2&lt;&gt;"")+('Dvd Calendar'!$AL$1028=TYPE3)*(TYPE3&lt;&gt;"")+('Dvd Calendar'!$AL$1028=TYPE4)*(TYPE4&lt;&gt;"")+('Dvd Calendar'!$AL$1028=SPECIAL_LBL)*(INC_SPECIALS="Y"))=0,"",'Dvd Calendar'!$AL$1026)))</f>
        <v/>
      </c>
      <c r="AK104" s="161">
        <f>IF(FM104="","",IF(ISNUMBER('Dvd Calendar'!$AM$1026)=FALSE,"",IF((('Dvd Calendar'!$AM$1028=TYPE1)*(TYPE1&lt;&gt;"")+('Dvd Calendar'!$AM$1028=TYPE2)*(TYPE2&lt;&gt;"")+('Dvd Calendar'!$AM$1028=TYPE3)*(TYPE3&lt;&gt;"")+('Dvd Calendar'!$AM$1028=TYPE4)*(TYPE4&lt;&gt;"")+('Dvd Calendar'!$AM$1028=SPECIAL_LBL)*(INC_SPECIALS="Y"))=0,"",'Dvd Calendar'!$AM$1026)))</f>
        <v/>
      </c>
      <c r="AL104" s="161">
        <f>IF(FN104="","",IF(ISNUMBER('Dvd Calendar'!$AN$1026)=FALSE,"",IF((('Dvd Calendar'!$AN$1028=TYPE1)*(TYPE1&lt;&gt;"")+('Dvd Calendar'!$AN$1028=TYPE2)*(TYPE2&lt;&gt;"")+('Dvd Calendar'!$AN$1028=TYPE3)*(TYPE3&lt;&gt;"")+('Dvd Calendar'!$AN$1028=TYPE4)*(TYPE4&lt;&gt;"")+('Dvd Calendar'!$AN$1028=SPECIAL_LBL)*(INC_SPECIALS="Y"))=0,"",'Dvd Calendar'!$AN$1026)))</f>
        <v/>
      </c>
      <c r="AM104" s="161">
        <f>IF(FO104="","",IF(ISNUMBER('Dvd Calendar'!$AO$1026)=FALSE,"",IF((('Dvd Calendar'!$AO$1028=TYPE1)*(TYPE1&lt;&gt;"")+('Dvd Calendar'!$AO$1028=TYPE2)*(TYPE2&lt;&gt;"")+('Dvd Calendar'!$AO$1028=TYPE3)*(TYPE3&lt;&gt;"")+('Dvd Calendar'!$AO$1028=TYPE4)*(TYPE4&lt;&gt;"")+('Dvd Calendar'!$AO$1028=SPECIAL_LBL)*(INC_SPECIALS="Y"))=0,"",'Dvd Calendar'!$AO$1026)))</f>
        <v/>
      </c>
      <c r="AN104" s="161">
        <f>IF(FP104="","",IF(ISNUMBER('Dvd Calendar'!$AP$1026)=FALSE,"",IF((('Dvd Calendar'!$AP$1028=TYPE1)*(TYPE1&lt;&gt;"")+('Dvd Calendar'!$AP$1028=TYPE2)*(TYPE2&lt;&gt;"")+('Dvd Calendar'!$AP$1028=TYPE3)*(TYPE3&lt;&gt;"")+('Dvd Calendar'!$AP$1028=TYPE4)*(TYPE4&lt;&gt;"")+('Dvd Calendar'!$AP$1028=SPECIAL_LBL)*(INC_SPECIALS="Y"))=0,"",'Dvd Calendar'!$AP$1026)))</f>
        <v/>
      </c>
      <c r="AO104" s="161">
        <f>IF(FQ104="","",IF(ISNUMBER('Dvd Calendar'!$AQ$1026)=FALSE,"",IF((('Dvd Calendar'!$AQ$1028=TYPE1)*(TYPE1&lt;&gt;"")+('Dvd Calendar'!$AQ$1028=TYPE2)*(TYPE2&lt;&gt;"")+('Dvd Calendar'!$AQ$1028=TYPE3)*(TYPE3&lt;&gt;"")+('Dvd Calendar'!$AQ$1028=TYPE4)*(TYPE4&lt;&gt;"")+('Dvd Calendar'!$AQ$1028=SPECIAL_LBL)*(INC_SPECIALS="Y"))=0,"",'Dvd Calendar'!$AQ$1026)))</f>
        <v/>
      </c>
      <c r="AP104" s="161">
        <f>IF(FR104="","",IF(ISNUMBER('Dvd Calendar'!$AR$1026)=FALSE,"",IF((('Dvd Calendar'!$AR$1028=TYPE1)*(TYPE1&lt;&gt;"")+('Dvd Calendar'!$AR$1028=TYPE2)*(TYPE2&lt;&gt;"")+('Dvd Calendar'!$AR$1028=TYPE3)*(TYPE3&lt;&gt;"")+('Dvd Calendar'!$AR$1028=TYPE4)*(TYPE4&lt;&gt;"")+('Dvd Calendar'!$AR$1028=SPECIAL_LBL)*(INC_SPECIALS="Y"))=0,"",'Dvd Calendar'!$AR$1026)))</f>
        <v/>
      </c>
      <c r="AQ104" s="161">
        <f>IF(FS104="","",IF(ISNUMBER('Dvd Calendar'!$E$1031)=FALSE,"",'Dvd Calendar'!$E$1031))</f>
        <v/>
      </c>
      <c r="AR104" s="161">
        <f>IF(FT104="","",IF(ISNUMBER('Dvd Calendar'!$F$1031)=FALSE,"",'Dvd Calendar'!$F$1031))</f>
        <v/>
      </c>
      <c r="AS104" s="161">
        <f>IF(FU104="","",IF(ISNUMBER('Dvd Calendar'!$G$1031)=FALSE,"",'Dvd Calendar'!$G$1031))</f>
        <v/>
      </c>
      <c r="AT104" s="161">
        <f>IF(FV104="","",IF(ISNUMBER('Dvd Calendar'!$H$1031)=FALSE,"",'Dvd Calendar'!$H$1031))</f>
        <v/>
      </c>
      <c r="AU104" s="161">
        <f>IF(FW104="","",IF(ISNUMBER('Dvd Calendar'!$I$1031)=FALSE,"",'Dvd Calendar'!$I$1031))</f>
        <v/>
      </c>
      <c r="AV104" s="161">
        <f>IF(FX104="","",IF(ISNUMBER('Dvd Calendar'!$J$1031)=FALSE,"",'Dvd Calendar'!$J$1031))</f>
        <v/>
      </c>
      <c r="AW104" s="161">
        <f>IF(FY104="","",IF(ISNUMBER('Dvd Calendar'!$K$1031)=FALSE,"",'Dvd Calendar'!$K$1031))</f>
        <v/>
      </c>
      <c r="AX104" s="161">
        <f>IF(FZ104="","",IF(ISNUMBER('Dvd Calendar'!$L$1031)=FALSE,"",'Dvd Calendar'!$L$1031))</f>
        <v/>
      </c>
      <c r="AY104" s="161">
        <f>IF(GA104="","",IF(ISNUMBER('Dvd Calendar'!$M$1031)=FALSE,"",'Dvd Calendar'!$M$1031))</f>
        <v/>
      </c>
      <c r="AZ104" s="161">
        <f>IF(GB104="","",IF(ISNUMBER('Dvd Calendar'!$N$1031)=FALSE,"",'Dvd Calendar'!$N$1031))</f>
        <v/>
      </c>
      <c r="BA104" s="161">
        <f>IF(GC104="","",IF(ISNUMBER('Dvd Calendar'!$O$1031)=FALSE,"",'Dvd Calendar'!$O$1031))</f>
        <v/>
      </c>
      <c r="BB104" s="161">
        <f>IF(GD104="","",IF(ISNUMBER('Dvd Calendar'!$P$1031)=FALSE,"",'Dvd Calendar'!$P$1031))</f>
        <v/>
      </c>
      <c r="BC104" s="161">
        <f>IF(GE104="","",IF(ISNUMBER('Dvd Calendar'!$Q$1031)=FALSE,"",'Dvd Calendar'!$Q$1031))</f>
        <v/>
      </c>
      <c r="BD104" s="161">
        <f>IF(GF104="","",IF(ISNUMBER('Dvd Calendar'!$R$1031)=FALSE,"",'Dvd Calendar'!$R$1031))</f>
        <v/>
      </c>
      <c r="BE104" s="161">
        <f>IF(GG104="","",IF(ISNUMBER('Dvd Calendar'!$S$1031)=FALSE,"",'Dvd Calendar'!$S$1031))</f>
        <v/>
      </c>
      <c r="BF104" s="161">
        <f>IF(GH104="","",IF(ISNUMBER('Dvd Calendar'!$T$1031)=FALSE,"",'Dvd Calendar'!$T$1031))</f>
        <v/>
      </c>
      <c r="BG104" s="161">
        <f>IF(GI104="","",IF(ISNUMBER('Dvd Calendar'!$U$1031)=FALSE,"",'Dvd Calendar'!$U$1031))</f>
        <v/>
      </c>
      <c r="BH104" s="161">
        <f>IF(GJ104="","",IF(ISNUMBER('Dvd Calendar'!$V$1031)=FALSE,"",'Dvd Calendar'!$V$1031))</f>
        <v/>
      </c>
      <c r="BI104" s="161">
        <f>IF(GK104="","",IF(ISNUMBER('Dvd Calendar'!$W$1031)=FALSE,"",'Dvd Calendar'!$W$1031))</f>
        <v/>
      </c>
      <c r="BJ104" s="161">
        <f>IF(GL104="","",IF(ISNUMBER('Dvd Calendar'!$X$1031)=FALSE,"",'Dvd Calendar'!$X$1031))</f>
        <v/>
      </c>
      <c r="BK104" s="161">
        <f>IF(GM104="","",IF(ISNUMBER('Dvd Calendar'!$Y$1031)=FALSE,"",'Dvd Calendar'!$Y$1031))</f>
        <v/>
      </c>
      <c r="BL104" s="161">
        <f>IF(GN104="","",IF(ISNUMBER('Dvd Calendar'!$Z$1031)=FALSE,"",'Dvd Calendar'!$Z$1031))</f>
        <v/>
      </c>
      <c r="BM104" s="161">
        <f>IF(GO104="","",IF(ISNUMBER('Dvd Calendar'!$AA$1031)=FALSE,"",'Dvd Calendar'!$AA$1031))</f>
        <v/>
      </c>
      <c r="BN104" s="161">
        <f>IF(GP104="","",IF(ISNUMBER('Dvd Calendar'!$AB$1031)=FALSE,"",'Dvd Calendar'!$AB$1031))</f>
        <v/>
      </c>
      <c r="BO104" s="161">
        <f>IF(GQ104="","",IF(ISNUMBER('Dvd Calendar'!$AC$1031)=FALSE,"",'Dvd Calendar'!$AC$1031))</f>
        <v/>
      </c>
      <c r="BQ104" s="161">
        <f>IF(C104="","",IFERROR(C104*HSI!$B$99*HSI!$G$99/HSI!$B$3,""))</f>
        <v/>
      </c>
      <c r="BR104" s="161">
        <f>IF(D104="","",IFERROR(D104*HSI!$B$99*HSI!$G$99/HSI!$B$3,""))</f>
        <v/>
      </c>
      <c r="BS104" s="161">
        <f>IF(E104="","",IFERROR(E104*HSI!$B$99*HSI!$G$99/HSI!$B$3,""))</f>
        <v/>
      </c>
      <c r="BT104" s="161">
        <f>IF(F104="","",IFERROR(F104*HSI!$B$99*HSI!$G$99/HSI!$B$3,""))</f>
        <v/>
      </c>
      <c r="BU104" s="161">
        <f>IF(G104="","",IFERROR(G104*HSI!$B$99*HSI!$G$99/HSI!$B$3,""))</f>
        <v/>
      </c>
      <c r="BV104" s="161">
        <f>IF(H104="","",IFERROR(H104*HSI!$B$99*HSI!$G$99/HSI!$B$3,""))</f>
        <v/>
      </c>
      <c r="BW104" s="161">
        <f>IF(I104="","",IFERROR(I104*HSI!$B$99*HSI!$G$99/HSI!$B$3,""))</f>
        <v/>
      </c>
      <c r="BX104" s="161">
        <f>IF(J104="","",IFERROR(J104*HSI!$B$99*HSI!$G$99/HSI!$B$3,""))</f>
        <v/>
      </c>
      <c r="BY104" s="161">
        <f>IF(K104="","",IFERROR(K104*HSI!$B$99*HSI!$G$99/HSI!$B$3,""))</f>
        <v/>
      </c>
      <c r="BZ104" s="161">
        <f>IF(L104="","",IFERROR(L104*HSI!$B$99*HSI!$G$99/HSI!$B$3,""))</f>
        <v/>
      </c>
      <c r="CA104" s="161">
        <f>IF(M104="","",IFERROR(M104*HSI!$B$99*HSI!$G$99/HSI!$B$3,""))</f>
        <v/>
      </c>
      <c r="CB104" s="161">
        <f>IF(N104="","",IFERROR(N104*HSI!$B$99*HSI!$G$99/HSI!$B$3,""))</f>
        <v/>
      </c>
      <c r="CC104" s="161">
        <f>IF(O104="","",IFERROR(O104*HSI!$B$99*HSI!$G$99/HSI!$B$3,""))</f>
        <v/>
      </c>
      <c r="CD104" s="161">
        <f>IF(P104="","",IFERROR(P104*HSI!$B$99*HSI!$G$99/HSI!$B$3,""))</f>
        <v/>
      </c>
      <c r="CE104" s="161">
        <f>IF(Q104="","",IFERROR(Q104*HSI!$B$99*HSI!$G$99/HSI!$B$3,""))</f>
        <v/>
      </c>
      <c r="CF104" s="161">
        <f>IF(R104="","",IFERROR(R104*HSI!$B$99*HSI!$G$99/HSI!$B$3,""))</f>
        <v/>
      </c>
      <c r="CG104" s="161">
        <f>IF(S104="","",IFERROR(S104*HSI!$B$99*HSI!$G$99/HSI!$B$3,""))</f>
        <v/>
      </c>
      <c r="CH104" s="161">
        <f>IF(T104="","",IFERROR(T104*HSI!$B$99*HSI!$G$99/HSI!$B$3,""))</f>
        <v/>
      </c>
      <c r="CI104" s="161">
        <f>IF(U104="","",IFERROR(U104*HSI!$B$99*HSI!$G$99/HSI!$B$3,""))</f>
        <v/>
      </c>
      <c r="CJ104" s="161">
        <f>IF(V104="","",IFERROR(V104*HSI!$B$99*HSI!$G$99/HSI!$B$3,""))</f>
        <v/>
      </c>
      <c r="CK104" s="161">
        <f>IF(W104="","",IFERROR(W104*HSI!$B$99*HSI!$G$99/HSI!$B$3,""))</f>
        <v/>
      </c>
      <c r="CL104" s="161">
        <f>IF(X104="","",IFERROR(X104*HSI!$B$99*HSI!$G$99/HSI!$B$3,""))</f>
        <v/>
      </c>
      <c r="CM104" s="161">
        <f>IF(Y104="","",IFERROR(Y104*HSI!$B$99*HSI!$G$99/HSI!$B$3,""))</f>
        <v/>
      </c>
      <c r="CN104" s="161">
        <f>IF(Z104="","",IFERROR(Z104*HSI!$B$99*HSI!$G$99/HSI!$B$3,""))</f>
        <v/>
      </c>
      <c r="CO104" s="161">
        <f>IF(AA104="","",IFERROR(AA104*HSI!$B$99*HSI!$G$99/HSI!$B$3,""))</f>
        <v/>
      </c>
      <c r="CP104" s="161">
        <f>IF(AB104="","",IFERROR(AB104*HSI!$B$99*HSI!$G$99/HSI!$B$3,""))</f>
        <v/>
      </c>
      <c r="CQ104" s="161">
        <f>IF(AC104="","",IFERROR(AC104*HSI!$B$99*HSI!$G$99/HSI!$B$3,""))</f>
        <v/>
      </c>
      <c r="CR104" s="161">
        <f>IF(AD104="","",IFERROR(AD104*HSI!$B$99*HSI!$G$99/HSI!$B$3,""))</f>
        <v/>
      </c>
      <c r="CS104" s="161">
        <f>IF(AE104="","",IFERROR(AE104*HSI!$B$99*HSI!$G$99/HSI!$B$3,""))</f>
        <v/>
      </c>
      <c r="CT104" s="161">
        <f>IF(AF104="","",IFERROR(AF104*HSI!$B$99*HSI!$G$99/HSI!$B$3,""))</f>
        <v/>
      </c>
      <c r="CU104" s="161">
        <f>IF(AG104="","",IFERROR(AG104*HSI!$B$99*HSI!$G$99/HSI!$B$3,""))</f>
        <v/>
      </c>
      <c r="CV104" s="161">
        <f>IF(AH104="","",IFERROR(AH104*HSI!$B$99*HSI!$G$99/HSI!$B$3,""))</f>
        <v/>
      </c>
      <c r="CW104" s="161">
        <f>IF(AI104="","",IFERROR(AI104*HSI!$B$99*HSI!$G$99/HSI!$B$3,""))</f>
        <v/>
      </c>
      <c r="CX104" s="161">
        <f>IF(AJ104="","",IFERROR(AJ104*HSI!$B$99*HSI!$G$99/HSI!$B$3,""))</f>
        <v/>
      </c>
      <c r="CY104" s="161">
        <f>IF(AK104="","",IFERROR(AK104*HSI!$B$99*HSI!$G$99/HSI!$B$3,""))</f>
        <v/>
      </c>
      <c r="CZ104" s="161">
        <f>IF(AL104="","",IFERROR(AL104*HSI!$B$99*HSI!$G$99/HSI!$B$3,""))</f>
        <v/>
      </c>
      <c r="DA104" s="161">
        <f>IF(AM104="","",IFERROR(AM104*HSI!$B$99*HSI!$G$99/HSI!$B$3,""))</f>
        <v/>
      </c>
      <c r="DB104" s="161">
        <f>IF(AN104="","",IFERROR(AN104*HSI!$B$99*HSI!$G$99/HSI!$B$3,""))</f>
        <v/>
      </c>
      <c r="DC104" s="161">
        <f>IF(AO104="","",IFERROR(AO104*HSI!$B$99*HSI!$G$99/HSI!$B$3,""))</f>
        <v/>
      </c>
      <c r="DD104" s="161">
        <f>IF(AP104="","",IFERROR(AP104*HSI!$B$99*HSI!$G$99/HSI!$B$3,""))</f>
        <v/>
      </c>
      <c r="DE104" s="161">
        <f>IF(AQ104="","",IFERROR(AQ104*HSI!$B$99*HSI!$G$99/HSI!$B$3,""))</f>
        <v/>
      </c>
      <c r="DF104" s="161">
        <f>IF(AR104="","",IFERROR(AR104*HSI!$B$99*HSI!$G$99/HSI!$B$3,""))</f>
        <v/>
      </c>
      <c r="DG104" s="161">
        <f>IF(AS104="","",IFERROR(AS104*HSI!$B$99*HSI!$G$99/HSI!$B$3,""))</f>
        <v/>
      </c>
      <c r="DH104" s="161">
        <f>IF(AT104="","",IFERROR(AT104*HSI!$B$99*HSI!$G$99/HSI!$B$3,""))</f>
        <v/>
      </c>
      <c r="DI104" s="161">
        <f>IF(AU104="","",IFERROR(AU104*HSI!$B$99*HSI!$G$99/HSI!$B$3,""))</f>
        <v/>
      </c>
      <c r="DJ104" s="161">
        <f>IF(AV104="","",IFERROR(AV104*HSI!$B$99*HSI!$G$99/HSI!$B$3,""))</f>
        <v/>
      </c>
      <c r="DK104" s="161">
        <f>IF(AW104="","",IFERROR(AW104*HSI!$B$99*HSI!$G$99/HSI!$B$3,""))</f>
        <v/>
      </c>
      <c r="DL104" s="161">
        <f>IF(AX104="","",IFERROR(AX104*HSI!$B$99*HSI!$G$99/HSI!$B$3,""))</f>
        <v/>
      </c>
      <c r="DM104" s="161">
        <f>IF(AY104="","",IFERROR(AY104*HSI!$B$99*HSI!$G$99/HSI!$B$3,""))</f>
        <v/>
      </c>
      <c r="DN104" s="161">
        <f>IF(AZ104="","",IFERROR(AZ104*HSI!$B$99*HSI!$G$99/HSI!$B$3,""))</f>
        <v/>
      </c>
      <c r="DO104" s="161">
        <f>IF(BA104="","",IFERROR(BA104*HSI!$B$99*HSI!$G$99/HSI!$B$3,""))</f>
        <v/>
      </c>
      <c r="DP104" s="161">
        <f>IF(BB104="","",IFERROR(BB104*HSI!$B$99*HSI!$G$99/HSI!$B$3,""))</f>
        <v/>
      </c>
      <c r="DQ104" s="161">
        <f>IF(BC104="","",IFERROR(BC104*HSI!$B$99*HSI!$G$99/HSI!$B$3,""))</f>
        <v/>
      </c>
      <c r="DR104" s="161">
        <f>IF(BD104="","",IFERROR(BD104*HSI!$B$99*HSI!$G$99/HSI!$B$3,""))</f>
        <v/>
      </c>
      <c r="DS104" s="161">
        <f>IF(BE104="","",IFERROR(BE104*HSI!$B$99*HSI!$G$99/HSI!$B$3,""))</f>
        <v/>
      </c>
      <c r="DT104" s="161">
        <f>IF(BF104="","",IFERROR(BF104*HSI!$B$99*HSI!$G$99/HSI!$B$3,""))</f>
        <v/>
      </c>
      <c r="DU104" s="161">
        <f>IF(BG104="","",IFERROR(BG104*HSI!$B$99*HSI!$G$99/HSI!$B$3,""))</f>
        <v/>
      </c>
      <c r="DV104" s="161">
        <f>IF(BH104="","",IFERROR(BH104*HSI!$B$99*HSI!$G$99/HSI!$B$3,""))</f>
        <v/>
      </c>
      <c r="DW104" s="161">
        <f>IF(BI104="","",IFERROR(BI104*HSI!$B$99*HSI!$G$99/HSI!$B$3,""))</f>
        <v/>
      </c>
      <c r="DX104" s="161">
        <f>IF(BJ104="","",IFERROR(BJ104*HSI!$B$99*HSI!$G$99/HSI!$B$3,""))</f>
        <v/>
      </c>
      <c r="DY104" s="161">
        <f>IF(BK104="","",IFERROR(BK104*HSI!$B$99*HSI!$G$99/HSI!$B$3,""))</f>
        <v/>
      </c>
      <c r="DZ104" s="161">
        <f>IF(BL104="","",IFERROR(BL104*HSI!$B$99*HSI!$G$99/HSI!$B$3,""))</f>
        <v/>
      </c>
      <c r="EA104" s="161">
        <f>IF(BM104="","",IFERROR(BM104*HSI!$B$99*HSI!$G$99/HSI!$B$3,""))</f>
        <v/>
      </c>
      <c r="EB104" s="161">
        <f>IF(BN104="","",IFERROR(BN104*HSI!$B$99*HSI!$G$99/HSI!$B$3,""))</f>
        <v/>
      </c>
      <c r="EC104" s="161">
        <f>IF(BO104="","",IFERROR(BO104*HSI!$B$99*HSI!$G$99/HSI!$B$3,""))</f>
        <v/>
      </c>
      <c r="EE104" s="121">
        <f>IF(N('Dvd Calendar'!$E$1023)=0,"",IF(('Dvd Calendar'!$E$1023&gt;=GRID_FROM)*('Dvd Calendar'!$E$1023&lt;=GRID_TO)*((('Dvd Calendar'!$E$1023&lt;=VAL_DATE)+(COUNTIF('Dvd Calendar'!$E$1030:$AR$1030,'Dvd Calendar'!$E$1023)=0))&gt;0)=0,"",'Dvd Calendar'!$E$1023*1000000000+ISNUMBER('Dvd Calendar'!$E$1026)*100000000+('Dvd Calendar'!$E$1028=SPECIAL_LBL)*10000000+(N('Dvd Calendar'!$E$1022)&gt;0)*(N('Dvd Calendar'!$E$1022)&lt;=VAL_SERIAL)*1000000+93*1000+1))</f>
        <v/>
      </c>
      <c r="EF104" s="121">
        <f>IF(N('Dvd Calendar'!$F$1023)=0,"",IF(('Dvd Calendar'!$F$1023&gt;=GRID_FROM)*('Dvd Calendar'!$F$1023&lt;=GRID_TO)*((('Dvd Calendar'!$F$1023&lt;=VAL_DATE)+(COUNTIF('Dvd Calendar'!$E$1030:$AR$1030,'Dvd Calendar'!$F$1023)=0))&gt;0)=0,"",'Dvd Calendar'!$F$1023*1000000000+ISNUMBER('Dvd Calendar'!$F$1026)*100000000+('Dvd Calendar'!$F$1028=SPECIAL_LBL)*10000000+(N('Dvd Calendar'!$F$1022)&gt;0)*(N('Dvd Calendar'!$F$1022)&lt;=VAL_SERIAL)*1000000+93*1000+2))</f>
        <v/>
      </c>
      <c r="EG104" s="121">
        <f>IF(N('Dvd Calendar'!$G$1023)=0,"",IF(('Dvd Calendar'!$G$1023&gt;=GRID_FROM)*('Dvd Calendar'!$G$1023&lt;=GRID_TO)*((('Dvd Calendar'!$G$1023&lt;=VAL_DATE)+(COUNTIF('Dvd Calendar'!$E$1030:$AR$1030,'Dvd Calendar'!$G$1023)=0))&gt;0)=0,"",'Dvd Calendar'!$G$1023*1000000000+ISNUMBER('Dvd Calendar'!$G$1026)*100000000+('Dvd Calendar'!$G$1028=SPECIAL_LBL)*10000000+(N('Dvd Calendar'!$G$1022)&gt;0)*(N('Dvd Calendar'!$G$1022)&lt;=VAL_SERIAL)*1000000+93*1000+3))</f>
        <v/>
      </c>
      <c r="EH104" s="121">
        <f>IF(N('Dvd Calendar'!$H$1023)=0,"",IF(('Dvd Calendar'!$H$1023&gt;=GRID_FROM)*('Dvd Calendar'!$H$1023&lt;=GRID_TO)*((('Dvd Calendar'!$H$1023&lt;=VAL_DATE)+(COUNTIF('Dvd Calendar'!$E$1030:$AR$1030,'Dvd Calendar'!$H$1023)=0))&gt;0)=0,"",'Dvd Calendar'!$H$1023*1000000000+ISNUMBER('Dvd Calendar'!$H$1026)*100000000+('Dvd Calendar'!$H$1028=SPECIAL_LBL)*10000000+(N('Dvd Calendar'!$H$1022)&gt;0)*(N('Dvd Calendar'!$H$1022)&lt;=VAL_SERIAL)*1000000+93*1000+4))</f>
        <v/>
      </c>
      <c r="EI104" s="121">
        <f>IF(N('Dvd Calendar'!$I$1023)=0,"",IF(('Dvd Calendar'!$I$1023&gt;=GRID_FROM)*('Dvd Calendar'!$I$1023&lt;=GRID_TO)*((('Dvd Calendar'!$I$1023&lt;=VAL_DATE)+(COUNTIF('Dvd Calendar'!$E$1030:$AR$1030,'Dvd Calendar'!$I$1023)=0))&gt;0)=0,"",'Dvd Calendar'!$I$1023*1000000000+ISNUMBER('Dvd Calendar'!$I$1026)*100000000+('Dvd Calendar'!$I$1028=SPECIAL_LBL)*10000000+(N('Dvd Calendar'!$I$1022)&gt;0)*(N('Dvd Calendar'!$I$1022)&lt;=VAL_SERIAL)*1000000+93*1000+5))</f>
        <v/>
      </c>
      <c r="EJ104" s="121">
        <f>IF(N('Dvd Calendar'!$J$1023)=0,"",IF(('Dvd Calendar'!$J$1023&gt;=GRID_FROM)*('Dvd Calendar'!$J$1023&lt;=GRID_TO)*((('Dvd Calendar'!$J$1023&lt;=VAL_DATE)+(COUNTIF('Dvd Calendar'!$E$1030:$AR$1030,'Dvd Calendar'!$J$1023)=0))&gt;0)=0,"",'Dvd Calendar'!$J$1023*1000000000+ISNUMBER('Dvd Calendar'!$J$1026)*100000000+('Dvd Calendar'!$J$1028=SPECIAL_LBL)*10000000+(N('Dvd Calendar'!$J$1022)&gt;0)*(N('Dvd Calendar'!$J$1022)&lt;=VAL_SERIAL)*1000000+93*1000+6))</f>
        <v/>
      </c>
      <c r="EK104" s="121">
        <f>IF(N('Dvd Calendar'!$K$1023)=0,"",IF(('Dvd Calendar'!$K$1023&gt;=GRID_FROM)*('Dvd Calendar'!$K$1023&lt;=GRID_TO)*((('Dvd Calendar'!$K$1023&lt;=VAL_DATE)+(COUNTIF('Dvd Calendar'!$E$1030:$AR$1030,'Dvd Calendar'!$K$1023)=0))&gt;0)=0,"",'Dvd Calendar'!$K$1023*1000000000+ISNUMBER('Dvd Calendar'!$K$1026)*100000000+('Dvd Calendar'!$K$1028=SPECIAL_LBL)*10000000+(N('Dvd Calendar'!$K$1022)&gt;0)*(N('Dvd Calendar'!$K$1022)&lt;=VAL_SERIAL)*1000000+93*1000+7))</f>
        <v/>
      </c>
      <c r="EL104" s="121">
        <f>IF(N('Dvd Calendar'!$L$1023)=0,"",IF(('Dvd Calendar'!$L$1023&gt;=GRID_FROM)*('Dvd Calendar'!$L$1023&lt;=GRID_TO)*((('Dvd Calendar'!$L$1023&lt;=VAL_DATE)+(COUNTIF('Dvd Calendar'!$E$1030:$AR$1030,'Dvd Calendar'!$L$1023)=0))&gt;0)=0,"",'Dvd Calendar'!$L$1023*1000000000+ISNUMBER('Dvd Calendar'!$L$1026)*100000000+('Dvd Calendar'!$L$1028=SPECIAL_LBL)*10000000+(N('Dvd Calendar'!$L$1022)&gt;0)*(N('Dvd Calendar'!$L$1022)&lt;=VAL_SERIAL)*1000000+93*1000+8))</f>
        <v/>
      </c>
      <c r="EM104" s="121">
        <f>IF(N('Dvd Calendar'!$M$1023)=0,"",IF(('Dvd Calendar'!$M$1023&gt;=GRID_FROM)*('Dvd Calendar'!$M$1023&lt;=GRID_TO)*((('Dvd Calendar'!$M$1023&lt;=VAL_DATE)+(COUNTIF('Dvd Calendar'!$E$1030:$AR$1030,'Dvd Calendar'!$M$1023)=0))&gt;0)=0,"",'Dvd Calendar'!$M$1023*1000000000+ISNUMBER('Dvd Calendar'!$M$1026)*100000000+('Dvd Calendar'!$M$1028=SPECIAL_LBL)*10000000+(N('Dvd Calendar'!$M$1022)&gt;0)*(N('Dvd Calendar'!$M$1022)&lt;=VAL_SERIAL)*1000000+93*1000+9))</f>
        <v/>
      </c>
      <c r="EN104" s="121">
        <f>IF(N('Dvd Calendar'!$N$1023)=0,"",IF(('Dvd Calendar'!$N$1023&gt;=GRID_FROM)*('Dvd Calendar'!$N$1023&lt;=GRID_TO)*((('Dvd Calendar'!$N$1023&lt;=VAL_DATE)+(COUNTIF('Dvd Calendar'!$E$1030:$AR$1030,'Dvd Calendar'!$N$1023)=0))&gt;0)=0,"",'Dvd Calendar'!$N$1023*1000000000+ISNUMBER('Dvd Calendar'!$N$1026)*100000000+('Dvd Calendar'!$N$1028=SPECIAL_LBL)*10000000+(N('Dvd Calendar'!$N$1022)&gt;0)*(N('Dvd Calendar'!$N$1022)&lt;=VAL_SERIAL)*1000000+93*1000+10))</f>
        <v/>
      </c>
      <c r="EO104" s="121">
        <f>IF(N('Dvd Calendar'!$O$1023)=0,"",IF(('Dvd Calendar'!$O$1023&gt;=GRID_FROM)*('Dvd Calendar'!$O$1023&lt;=GRID_TO)*((('Dvd Calendar'!$O$1023&lt;=VAL_DATE)+(COUNTIF('Dvd Calendar'!$E$1030:$AR$1030,'Dvd Calendar'!$O$1023)=0))&gt;0)=0,"",'Dvd Calendar'!$O$1023*1000000000+ISNUMBER('Dvd Calendar'!$O$1026)*100000000+('Dvd Calendar'!$O$1028=SPECIAL_LBL)*10000000+(N('Dvd Calendar'!$O$1022)&gt;0)*(N('Dvd Calendar'!$O$1022)&lt;=VAL_SERIAL)*1000000+93*1000+11))</f>
        <v/>
      </c>
      <c r="EP104" s="121">
        <f>IF(N('Dvd Calendar'!$P$1023)=0,"",IF(('Dvd Calendar'!$P$1023&gt;=GRID_FROM)*('Dvd Calendar'!$P$1023&lt;=GRID_TO)*((('Dvd Calendar'!$P$1023&lt;=VAL_DATE)+(COUNTIF('Dvd Calendar'!$E$1030:$AR$1030,'Dvd Calendar'!$P$1023)=0))&gt;0)=0,"",'Dvd Calendar'!$P$1023*1000000000+ISNUMBER('Dvd Calendar'!$P$1026)*100000000+('Dvd Calendar'!$P$1028=SPECIAL_LBL)*10000000+(N('Dvd Calendar'!$P$1022)&gt;0)*(N('Dvd Calendar'!$P$1022)&lt;=VAL_SERIAL)*1000000+93*1000+12))</f>
        <v/>
      </c>
      <c r="EQ104" s="121">
        <f>IF(N('Dvd Calendar'!$Q$1023)=0,"",IF(('Dvd Calendar'!$Q$1023&gt;=GRID_FROM)*('Dvd Calendar'!$Q$1023&lt;=GRID_TO)*((('Dvd Calendar'!$Q$1023&lt;=VAL_DATE)+(COUNTIF('Dvd Calendar'!$E$1030:$AR$1030,'Dvd Calendar'!$Q$1023)=0))&gt;0)=0,"",'Dvd Calendar'!$Q$1023*1000000000+ISNUMBER('Dvd Calendar'!$Q$1026)*100000000+('Dvd Calendar'!$Q$1028=SPECIAL_LBL)*10000000+(N('Dvd Calendar'!$Q$1022)&gt;0)*(N('Dvd Calendar'!$Q$1022)&lt;=VAL_SERIAL)*1000000+93*1000+13))</f>
        <v/>
      </c>
      <c r="ER104" s="121">
        <f>IF(N('Dvd Calendar'!$R$1023)=0,"",IF(('Dvd Calendar'!$R$1023&gt;=GRID_FROM)*('Dvd Calendar'!$R$1023&lt;=GRID_TO)*((('Dvd Calendar'!$R$1023&lt;=VAL_DATE)+(COUNTIF('Dvd Calendar'!$E$1030:$AR$1030,'Dvd Calendar'!$R$1023)=0))&gt;0)=0,"",'Dvd Calendar'!$R$1023*1000000000+ISNUMBER('Dvd Calendar'!$R$1026)*100000000+('Dvd Calendar'!$R$1028=SPECIAL_LBL)*10000000+(N('Dvd Calendar'!$R$1022)&gt;0)*(N('Dvd Calendar'!$R$1022)&lt;=VAL_SERIAL)*1000000+93*1000+14))</f>
        <v/>
      </c>
      <c r="ES104" s="121">
        <f>IF(N('Dvd Calendar'!$S$1023)=0,"",IF(('Dvd Calendar'!$S$1023&gt;=GRID_FROM)*('Dvd Calendar'!$S$1023&lt;=GRID_TO)*((('Dvd Calendar'!$S$1023&lt;=VAL_DATE)+(COUNTIF('Dvd Calendar'!$E$1030:$AR$1030,'Dvd Calendar'!$S$1023)=0))&gt;0)=0,"",'Dvd Calendar'!$S$1023*1000000000+ISNUMBER('Dvd Calendar'!$S$1026)*100000000+('Dvd Calendar'!$S$1028=SPECIAL_LBL)*10000000+(N('Dvd Calendar'!$S$1022)&gt;0)*(N('Dvd Calendar'!$S$1022)&lt;=VAL_SERIAL)*1000000+93*1000+15))</f>
        <v/>
      </c>
      <c r="ET104" s="121">
        <f>IF(N('Dvd Calendar'!$T$1023)=0,"",IF(('Dvd Calendar'!$T$1023&gt;=GRID_FROM)*('Dvd Calendar'!$T$1023&lt;=GRID_TO)*((('Dvd Calendar'!$T$1023&lt;=VAL_DATE)+(COUNTIF('Dvd Calendar'!$E$1030:$AR$1030,'Dvd Calendar'!$T$1023)=0))&gt;0)=0,"",'Dvd Calendar'!$T$1023*1000000000+ISNUMBER('Dvd Calendar'!$T$1026)*100000000+('Dvd Calendar'!$T$1028=SPECIAL_LBL)*10000000+(N('Dvd Calendar'!$T$1022)&gt;0)*(N('Dvd Calendar'!$T$1022)&lt;=VAL_SERIAL)*1000000+93*1000+16))</f>
        <v/>
      </c>
      <c r="EU104" s="121">
        <f>IF(N('Dvd Calendar'!$U$1023)=0,"",IF(('Dvd Calendar'!$U$1023&gt;=GRID_FROM)*('Dvd Calendar'!$U$1023&lt;=GRID_TO)*((('Dvd Calendar'!$U$1023&lt;=VAL_DATE)+(COUNTIF('Dvd Calendar'!$E$1030:$AR$1030,'Dvd Calendar'!$U$1023)=0))&gt;0)=0,"",'Dvd Calendar'!$U$1023*1000000000+ISNUMBER('Dvd Calendar'!$U$1026)*100000000+('Dvd Calendar'!$U$1028=SPECIAL_LBL)*10000000+(N('Dvd Calendar'!$U$1022)&gt;0)*(N('Dvd Calendar'!$U$1022)&lt;=VAL_SERIAL)*1000000+93*1000+17))</f>
        <v/>
      </c>
      <c r="EV104" s="121">
        <f>IF(N('Dvd Calendar'!$V$1023)=0,"",IF(('Dvd Calendar'!$V$1023&gt;=GRID_FROM)*('Dvd Calendar'!$V$1023&lt;=GRID_TO)*((('Dvd Calendar'!$V$1023&lt;=VAL_DATE)+(COUNTIF('Dvd Calendar'!$E$1030:$AR$1030,'Dvd Calendar'!$V$1023)=0))&gt;0)=0,"",'Dvd Calendar'!$V$1023*1000000000+ISNUMBER('Dvd Calendar'!$V$1026)*100000000+('Dvd Calendar'!$V$1028=SPECIAL_LBL)*10000000+(N('Dvd Calendar'!$V$1022)&gt;0)*(N('Dvd Calendar'!$V$1022)&lt;=VAL_SERIAL)*1000000+93*1000+18))</f>
        <v/>
      </c>
      <c r="EW104" s="121">
        <f>IF(N('Dvd Calendar'!$W$1023)=0,"",IF(('Dvd Calendar'!$W$1023&gt;=GRID_FROM)*('Dvd Calendar'!$W$1023&lt;=GRID_TO)*((('Dvd Calendar'!$W$1023&lt;=VAL_DATE)+(COUNTIF('Dvd Calendar'!$E$1030:$AR$1030,'Dvd Calendar'!$W$1023)=0))&gt;0)=0,"",'Dvd Calendar'!$W$1023*1000000000+ISNUMBER('Dvd Calendar'!$W$1026)*100000000+('Dvd Calendar'!$W$1028=SPECIAL_LBL)*10000000+(N('Dvd Calendar'!$W$1022)&gt;0)*(N('Dvd Calendar'!$W$1022)&lt;=VAL_SERIAL)*1000000+93*1000+19))</f>
        <v/>
      </c>
      <c r="EX104" s="121">
        <f>IF(N('Dvd Calendar'!$X$1023)=0,"",IF(('Dvd Calendar'!$X$1023&gt;=GRID_FROM)*('Dvd Calendar'!$X$1023&lt;=GRID_TO)*((('Dvd Calendar'!$X$1023&lt;=VAL_DATE)+(COUNTIF('Dvd Calendar'!$E$1030:$AR$1030,'Dvd Calendar'!$X$1023)=0))&gt;0)=0,"",'Dvd Calendar'!$X$1023*1000000000+ISNUMBER('Dvd Calendar'!$X$1026)*100000000+('Dvd Calendar'!$X$1028=SPECIAL_LBL)*10000000+(N('Dvd Calendar'!$X$1022)&gt;0)*(N('Dvd Calendar'!$X$1022)&lt;=VAL_SERIAL)*1000000+93*1000+20))</f>
        <v/>
      </c>
      <c r="EY104" s="121">
        <f>IF(N('Dvd Calendar'!$Y$1023)=0,"",IF(('Dvd Calendar'!$Y$1023&gt;=GRID_FROM)*('Dvd Calendar'!$Y$1023&lt;=GRID_TO)*((('Dvd Calendar'!$Y$1023&lt;=VAL_DATE)+(COUNTIF('Dvd Calendar'!$E$1030:$AR$1030,'Dvd Calendar'!$Y$1023)=0))&gt;0)=0,"",'Dvd Calendar'!$Y$1023*1000000000+ISNUMBER('Dvd Calendar'!$Y$1026)*100000000+('Dvd Calendar'!$Y$1028=SPECIAL_LBL)*10000000+(N('Dvd Calendar'!$Y$1022)&gt;0)*(N('Dvd Calendar'!$Y$1022)&lt;=VAL_SERIAL)*1000000+93*1000+21))</f>
        <v/>
      </c>
      <c r="EZ104" s="121">
        <f>IF(N('Dvd Calendar'!$Z$1023)=0,"",IF(('Dvd Calendar'!$Z$1023&gt;=GRID_FROM)*('Dvd Calendar'!$Z$1023&lt;=GRID_TO)*((('Dvd Calendar'!$Z$1023&lt;=VAL_DATE)+(COUNTIF('Dvd Calendar'!$E$1030:$AR$1030,'Dvd Calendar'!$Z$1023)=0))&gt;0)=0,"",'Dvd Calendar'!$Z$1023*1000000000+ISNUMBER('Dvd Calendar'!$Z$1026)*100000000+('Dvd Calendar'!$Z$1028=SPECIAL_LBL)*10000000+(N('Dvd Calendar'!$Z$1022)&gt;0)*(N('Dvd Calendar'!$Z$1022)&lt;=VAL_SERIAL)*1000000+93*1000+22))</f>
        <v/>
      </c>
      <c r="FA104" s="121">
        <f>IF(N('Dvd Calendar'!$AA$1023)=0,"",IF(('Dvd Calendar'!$AA$1023&gt;=GRID_FROM)*('Dvd Calendar'!$AA$1023&lt;=GRID_TO)*((('Dvd Calendar'!$AA$1023&lt;=VAL_DATE)+(COUNTIF('Dvd Calendar'!$E$1030:$AR$1030,'Dvd Calendar'!$AA$1023)=0))&gt;0)=0,"",'Dvd Calendar'!$AA$1023*1000000000+ISNUMBER('Dvd Calendar'!$AA$1026)*100000000+('Dvd Calendar'!$AA$1028=SPECIAL_LBL)*10000000+(N('Dvd Calendar'!$AA$1022)&gt;0)*(N('Dvd Calendar'!$AA$1022)&lt;=VAL_SERIAL)*1000000+93*1000+23))</f>
        <v/>
      </c>
      <c r="FB104" s="121">
        <f>IF(N('Dvd Calendar'!$AB$1023)=0,"",IF(('Dvd Calendar'!$AB$1023&gt;=GRID_FROM)*('Dvd Calendar'!$AB$1023&lt;=GRID_TO)*((('Dvd Calendar'!$AB$1023&lt;=VAL_DATE)+(COUNTIF('Dvd Calendar'!$E$1030:$AR$1030,'Dvd Calendar'!$AB$1023)=0))&gt;0)=0,"",'Dvd Calendar'!$AB$1023*1000000000+ISNUMBER('Dvd Calendar'!$AB$1026)*100000000+('Dvd Calendar'!$AB$1028=SPECIAL_LBL)*10000000+(N('Dvd Calendar'!$AB$1022)&gt;0)*(N('Dvd Calendar'!$AB$1022)&lt;=VAL_SERIAL)*1000000+93*1000+24))</f>
        <v/>
      </c>
      <c r="FC104" s="121">
        <f>IF(N('Dvd Calendar'!$AC$1023)=0,"",IF(('Dvd Calendar'!$AC$1023&gt;=GRID_FROM)*('Dvd Calendar'!$AC$1023&lt;=GRID_TO)*((('Dvd Calendar'!$AC$1023&lt;=VAL_DATE)+(COUNTIF('Dvd Calendar'!$E$1030:$AR$1030,'Dvd Calendar'!$AC$1023)=0))&gt;0)=0,"",'Dvd Calendar'!$AC$1023*1000000000+ISNUMBER('Dvd Calendar'!$AC$1026)*100000000+('Dvd Calendar'!$AC$1028=SPECIAL_LBL)*10000000+(N('Dvd Calendar'!$AC$1022)&gt;0)*(N('Dvd Calendar'!$AC$1022)&lt;=VAL_SERIAL)*1000000+93*1000+25))</f>
        <v/>
      </c>
      <c r="FD104" s="121">
        <f>IF(N('Dvd Calendar'!$AD$1023)=0,"",IF(('Dvd Calendar'!$AD$1023&gt;=GRID_FROM)*('Dvd Calendar'!$AD$1023&lt;=GRID_TO)*((('Dvd Calendar'!$AD$1023&lt;=VAL_DATE)+(COUNTIF('Dvd Calendar'!$E$1030:$AR$1030,'Dvd Calendar'!$AD$1023)=0))&gt;0)=0,"",'Dvd Calendar'!$AD$1023*1000000000+ISNUMBER('Dvd Calendar'!$AD$1026)*100000000+('Dvd Calendar'!$AD$1028=SPECIAL_LBL)*10000000+(N('Dvd Calendar'!$AD$1022)&gt;0)*(N('Dvd Calendar'!$AD$1022)&lt;=VAL_SERIAL)*1000000+93*1000+26))</f>
        <v/>
      </c>
      <c r="FE104" s="121">
        <f>IF(N('Dvd Calendar'!$AE$1023)=0,"",IF(('Dvd Calendar'!$AE$1023&gt;=GRID_FROM)*('Dvd Calendar'!$AE$1023&lt;=GRID_TO)*((('Dvd Calendar'!$AE$1023&lt;=VAL_DATE)+(COUNTIF('Dvd Calendar'!$E$1030:$AR$1030,'Dvd Calendar'!$AE$1023)=0))&gt;0)=0,"",'Dvd Calendar'!$AE$1023*1000000000+ISNUMBER('Dvd Calendar'!$AE$1026)*100000000+('Dvd Calendar'!$AE$1028=SPECIAL_LBL)*10000000+(N('Dvd Calendar'!$AE$1022)&gt;0)*(N('Dvd Calendar'!$AE$1022)&lt;=VAL_SERIAL)*1000000+93*1000+27))</f>
        <v/>
      </c>
      <c r="FF104" s="121">
        <f>IF(N('Dvd Calendar'!$AF$1023)=0,"",IF(('Dvd Calendar'!$AF$1023&gt;=GRID_FROM)*('Dvd Calendar'!$AF$1023&lt;=GRID_TO)*((('Dvd Calendar'!$AF$1023&lt;=VAL_DATE)+(COUNTIF('Dvd Calendar'!$E$1030:$AR$1030,'Dvd Calendar'!$AF$1023)=0))&gt;0)=0,"",'Dvd Calendar'!$AF$1023*1000000000+ISNUMBER('Dvd Calendar'!$AF$1026)*100000000+('Dvd Calendar'!$AF$1028=SPECIAL_LBL)*10000000+(N('Dvd Calendar'!$AF$1022)&gt;0)*(N('Dvd Calendar'!$AF$1022)&lt;=VAL_SERIAL)*1000000+93*1000+28))</f>
        <v/>
      </c>
      <c r="FG104" s="121">
        <f>IF(N('Dvd Calendar'!$AG$1023)=0,"",IF(('Dvd Calendar'!$AG$1023&gt;=GRID_FROM)*('Dvd Calendar'!$AG$1023&lt;=GRID_TO)*((('Dvd Calendar'!$AG$1023&lt;=VAL_DATE)+(COUNTIF('Dvd Calendar'!$E$1030:$AR$1030,'Dvd Calendar'!$AG$1023)=0))&gt;0)=0,"",'Dvd Calendar'!$AG$1023*1000000000+ISNUMBER('Dvd Calendar'!$AG$1026)*100000000+('Dvd Calendar'!$AG$1028=SPECIAL_LBL)*10000000+(N('Dvd Calendar'!$AG$1022)&gt;0)*(N('Dvd Calendar'!$AG$1022)&lt;=VAL_SERIAL)*1000000+93*1000+29))</f>
        <v/>
      </c>
      <c r="FH104" s="121">
        <f>IF(N('Dvd Calendar'!$AH$1023)=0,"",IF(('Dvd Calendar'!$AH$1023&gt;=GRID_FROM)*('Dvd Calendar'!$AH$1023&lt;=GRID_TO)*((('Dvd Calendar'!$AH$1023&lt;=VAL_DATE)+(COUNTIF('Dvd Calendar'!$E$1030:$AR$1030,'Dvd Calendar'!$AH$1023)=0))&gt;0)=0,"",'Dvd Calendar'!$AH$1023*1000000000+ISNUMBER('Dvd Calendar'!$AH$1026)*100000000+('Dvd Calendar'!$AH$1028=SPECIAL_LBL)*10000000+(N('Dvd Calendar'!$AH$1022)&gt;0)*(N('Dvd Calendar'!$AH$1022)&lt;=VAL_SERIAL)*1000000+93*1000+30))</f>
        <v/>
      </c>
      <c r="FI104" s="121">
        <f>IF(N('Dvd Calendar'!$AI$1023)=0,"",IF(('Dvd Calendar'!$AI$1023&gt;=GRID_FROM)*('Dvd Calendar'!$AI$1023&lt;=GRID_TO)*((('Dvd Calendar'!$AI$1023&lt;=VAL_DATE)+(COUNTIF('Dvd Calendar'!$E$1030:$AR$1030,'Dvd Calendar'!$AI$1023)=0))&gt;0)=0,"",'Dvd Calendar'!$AI$1023*1000000000+ISNUMBER('Dvd Calendar'!$AI$1026)*100000000+('Dvd Calendar'!$AI$1028=SPECIAL_LBL)*10000000+(N('Dvd Calendar'!$AI$1022)&gt;0)*(N('Dvd Calendar'!$AI$1022)&lt;=VAL_SERIAL)*1000000+93*1000+31))</f>
        <v/>
      </c>
      <c r="FJ104" s="121">
        <f>IF(N('Dvd Calendar'!$AJ$1023)=0,"",IF(('Dvd Calendar'!$AJ$1023&gt;=GRID_FROM)*('Dvd Calendar'!$AJ$1023&lt;=GRID_TO)*((('Dvd Calendar'!$AJ$1023&lt;=VAL_DATE)+(COUNTIF('Dvd Calendar'!$E$1030:$AR$1030,'Dvd Calendar'!$AJ$1023)=0))&gt;0)=0,"",'Dvd Calendar'!$AJ$1023*1000000000+ISNUMBER('Dvd Calendar'!$AJ$1026)*100000000+('Dvd Calendar'!$AJ$1028=SPECIAL_LBL)*10000000+(N('Dvd Calendar'!$AJ$1022)&gt;0)*(N('Dvd Calendar'!$AJ$1022)&lt;=VAL_SERIAL)*1000000+93*1000+32))</f>
        <v/>
      </c>
      <c r="FK104" s="121">
        <f>IF(N('Dvd Calendar'!$AK$1023)=0,"",IF(('Dvd Calendar'!$AK$1023&gt;=GRID_FROM)*('Dvd Calendar'!$AK$1023&lt;=GRID_TO)*((('Dvd Calendar'!$AK$1023&lt;=VAL_DATE)+(COUNTIF('Dvd Calendar'!$E$1030:$AR$1030,'Dvd Calendar'!$AK$1023)=0))&gt;0)=0,"",'Dvd Calendar'!$AK$1023*1000000000+ISNUMBER('Dvd Calendar'!$AK$1026)*100000000+('Dvd Calendar'!$AK$1028=SPECIAL_LBL)*10000000+(N('Dvd Calendar'!$AK$1022)&gt;0)*(N('Dvd Calendar'!$AK$1022)&lt;=VAL_SERIAL)*1000000+93*1000+33))</f>
        <v/>
      </c>
      <c r="FL104" s="121">
        <f>IF(N('Dvd Calendar'!$AL$1023)=0,"",IF(('Dvd Calendar'!$AL$1023&gt;=GRID_FROM)*('Dvd Calendar'!$AL$1023&lt;=GRID_TO)*((('Dvd Calendar'!$AL$1023&lt;=VAL_DATE)+(COUNTIF('Dvd Calendar'!$E$1030:$AR$1030,'Dvd Calendar'!$AL$1023)=0))&gt;0)=0,"",'Dvd Calendar'!$AL$1023*1000000000+ISNUMBER('Dvd Calendar'!$AL$1026)*100000000+('Dvd Calendar'!$AL$1028=SPECIAL_LBL)*10000000+(N('Dvd Calendar'!$AL$1022)&gt;0)*(N('Dvd Calendar'!$AL$1022)&lt;=VAL_SERIAL)*1000000+93*1000+34))</f>
        <v/>
      </c>
      <c r="FM104" s="121">
        <f>IF(N('Dvd Calendar'!$AM$1023)=0,"",IF(('Dvd Calendar'!$AM$1023&gt;=GRID_FROM)*('Dvd Calendar'!$AM$1023&lt;=GRID_TO)*((('Dvd Calendar'!$AM$1023&lt;=VAL_DATE)+(COUNTIF('Dvd Calendar'!$E$1030:$AR$1030,'Dvd Calendar'!$AM$1023)=0))&gt;0)=0,"",'Dvd Calendar'!$AM$1023*1000000000+ISNUMBER('Dvd Calendar'!$AM$1026)*100000000+('Dvd Calendar'!$AM$1028=SPECIAL_LBL)*10000000+(N('Dvd Calendar'!$AM$1022)&gt;0)*(N('Dvd Calendar'!$AM$1022)&lt;=VAL_SERIAL)*1000000+93*1000+35))</f>
        <v/>
      </c>
      <c r="FN104" s="121">
        <f>IF(N('Dvd Calendar'!$AN$1023)=0,"",IF(('Dvd Calendar'!$AN$1023&gt;=GRID_FROM)*('Dvd Calendar'!$AN$1023&lt;=GRID_TO)*((('Dvd Calendar'!$AN$1023&lt;=VAL_DATE)+(COUNTIF('Dvd Calendar'!$E$1030:$AR$1030,'Dvd Calendar'!$AN$1023)=0))&gt;0)=0,"",'Dvd Calendar'!$AN$1023*1000000000+ISNUMBER('Dvd Calendar'!$AN$1026)*100000000+('Dvd Calendar'!$AN$1028=SPECIAL_LBL)*10000000+(N('Dvd Calendar'!$AN$1022)&gt;0)*(N('Dvd Calendar'!$AN$1022)&lt;=VAL_SERIAL)*1000000+93*1000+36))</f>
        <v/>
      </c>
      <c r="FO104" s="121">
        <f>IF(N('Dvd Calendar'!$AO$1023)=0,"",IF(('Dvd Calendar'!$AO$1023&gt;=GRID_FROM)*('Dvd Calendar'!$AO$1023&lt;=GRID_TO)*((('Dvd Calendar'!$AO$1023&lt;=VAL_DATE)+(COUNTIF('Dvd Calendar'!$E$1030:$AR$1030,'Dvd Calendar'!$AO$1023)=0))&gt;0)=0,"",'Dvd Calendar'!$AO$1023*1000000000+ISNUMBER('Dvd Calendar'!$AO$1026)*100000000+('Dvd Calendar'!$AO$1028=SPECIAL_LBL)*10000000+(N('Dvd Calendar'!$AO$1022)&gt;0)*(N('Dvd Calendar'!$AO$1022)&lt;=VAL_SERIAL)*1000000+93*1000+37))</f>
        <v/>
      </c>
      <c r="FP104" s="121">
        <f>IF(N('Dvd Calendar'!$AP$1023)=0,"",IF(('Dvd Calendar'!$AP$1023&gt;=GRID_FROM)*('Dvd Calendar'!$AP$1023&lt;=GRID_TO)*((('Dvd Calendar'!$AP$1023&lt;=VAL_DATE)+(COUNTIF('Dvd Calendar'!$E$1030:$AR$1030,'Dvd Calendar'!$AP$1023)=0))&gt;0)=0,"",'Dvd Calendar'!$AP$1023*1000000000+ISNUMBER('Dvd Calendar'!$AP$1026)*100000000+('Dvd Calendar'!$AP$1028=SPECIAL_LBL)*10000000+(N('Dvd Calendar'!$AP$1022)&gt;0)*(N('Dvd Calendar'!$AP$1022)&lt;=VAL_SERIAL)*1000000+93*1000+38))</f>
        <v/>
      </c>
      <c r="FQ104" s="121">
        <f>IF(N('Dvd Calendar'!$AQ$1023)=0,"",IF(('Dvd Calendar'!$AQ$1023&gt;=GRID_FROM)*('Dvd Calendar'!$AQ$1023&lt;=GRID_TO)*((('Dvd Calendar'!$AQ$1023&lt;=VAL_DATE)+(COUNTIF('Dvd Calendar'!$E$1030:$AR$1030,'Dvd Calendar'!$AQ$1023)=0))&gt;0)=0,"",'Dvd Calendar'!$AQ$1023*1000000000+ISNUMBER('Dvd Calendar'!$AQ$1026)*100000000+('Dvd Calendar'!$AQ$1028=SPECIAL_LBL)*10000000+(N('Dvd Calendar'!$AQ$1022)&gt;0)*(N('Dvd Calendar'!$AQ$1022)&lt;=VAL_SERIAL)*1000000+93*1000+39))</f>
        <v/>
      </c>
      <c r="FR104" s="121">
        <f>IF(N('Dvd Calendar'!$AR$1023)=0,"",IF(('Dvd Calendar'!$AR$1023&gt;=GRID_FROM)*('Dvd Calendar'!$AR$1023&lt;=GRID_TO)*((('Dvd Calendar'!$AR$1023&lt;=VAL_DATE)+(COUNTIF('Dvd Calendar'!$E$1030:$AR$1030,'Dvd Calendar'!$AR$1023)=0))&gt;0)=0,"",'Dvd Calendar'!$AR$1023*1000000000+ISNUMBER('Dvd Calendar'!$AR$1026)*100000000+('Dvd Calendar'!$AR$1028=SPECIAL_LBL)*10000000+(N('Dvd Calendar'!$AR$1022)&gt;0)*(N('Dvd Calendar'!$AR$1022)&lt;=VAL_SERIAL)*1000000+93*1000+40))</f>
        <v/>
      </c>
      <c r="FS104" s="121">
        <f>IF(N('Dvd Calendar'!$E$1030)=0,"",IF(('Dvd Calendar'!$E$1030&gt;=GRID_FROM)*('Dvd Calendar'!$E$1030&lt;=GRID_TO)*('Dvd Calendar'!$E$1030&gt;VAL_DATE)=0,"",'Dvd Calendar'!$E$1030*1000000000+ISNUMBER('Dvd Calendar'!$E$1031)*100000000+0*10000000+(N('Dvd Calendar'!$E$1029)&gt;0)*(N('Dvd Calendar'!$E$1029)&lt;=VAL_SERIAL)*1000000+93*1000+41))</f>
        <v/>
      </c>
      <c r="FT104" s="121">
        <f>IF(N('Dvd Calendar'!$F$1030)=0,"",IF(('Dvd Calendar'!$F$1030&gt;=GRID_FROM)*('Dvd Calendar'!$F$1030&lt;=GRID_TO)*('Dvd Calendar'!$F$1030&gt;VAL_DATE)=0,"",'Dvd Calendar'!$F$1030*1000000000+ISNUMBER('Dvd Calendar'!$F$1031)*100000000+0*10000000+(N('Dvd Calendar'!$F$1029)&gt;0)*(N('Dvd Calendar'!$F$1029)&lt;=VAL_SERIAL)*1000000+93*1000+42))</f>
        <v/>
      </c>
      <c r="FU104" s="121">
        <f>IF(N('Dvd Calendar'!$G$1030)=0,"",IF(('Dvd Calendar'!$G$1030&gt;=GRID_FROM)*('Dvd Calendar'!$G$1030&lt;=GRID_TO)*('Dvd Calendar'!$G$1030&gt;VAL_DATE)=0,"",'Dvd Calendar'!$G$1030*1000000000+ISNUMBER('Dvd Calendar'!$G$1031)*100000000+0*10000000+(N('Dvd Calendar'!$G$1029)&gt;0)*(N('Dvd Calendar'!$G$1029)&lt;=VAL_SERIAL)*1000000+93*1000+43))</f>
        <v/>
      </c>
      <c r="FV104" s="121">
        <f>IF(N('Dvd Calendar'!$H$1030)=0,"",IF(('Dvd Calendar'!$H$1030&gt;=GRID_FROM)*('Dvd Calendar'!$H$1030&lt;=GRID_TO)*('Dvd Calendar'!$H$1030&gt;VAL_DATE)=0,"",'Dvd Calendar'!$H$1030*1000000000+ISNUMBER('Dvd Calendar'!$H$1031)*100000000+0*10000000+(N('Dvd Calendar'!$H$1029)&gt;0)*(N('Dvd Calendar'!$H$1029)&lt;=VAL_SERIAL)*1000000+93*1000+44))</f>
        <v/>
      </c>
      <c r="FW104" s="121">
        <f>IF(N('Dvd Calendar'!$I$1030)=0,"",IF(('Dvd Calendar'!$I$1030&gt;=GRID_FROM)*('Dvd Calendar'!$I$1030&lt;=GRID_TO)*('Dvd Calendar'!$I$1030&gt;VAL_DATE)=0,"",'Dvd Calendar'!$I$1030*1000000000+ISNUMBER('Dvd Calendar'!$I$1031)*100000000+0*10000000+(N('Dvd Calendar'!$I$1029)&gt;0)*(N('Dvd Calendar'!$I$1029)&lt;=VAL_SERIAL)*1000000+93*1000+45))</f>
        <v/>
      </c>
      <c r="FX104" s="121">
        <f>IF(N('Dvd Calendar'!$J$1030)=0,"",IF(('Dvd Calendar'!$J$1030&gt;=GRID_FROM)*('Dvd Calendar'!$J$1030&lt;=GRID_TO)*('Dvd Calendar'!$J$1030&gt;VAL_DATE)=0,"",'Dvd Calendar'!$J$1030*1000000000+ISNUMBER('Dvd Calendar'!$J$1031)*100000000+0*10000000+(N('Dvd Calendar'!$J$1029)&gt;0)*(N('Dvd Calendar'!$J$1029)&lt;=VAL_SERIAL)*1000000+93*1000+46))</f>
        <v/>
      </c>
      <c r="FY104" s="121">
        <f>IF(N('Dvd Calendar'!$K$1030)=0,"",IF(('Dvd Calendar'!$K$1030&gt;=GRID_FROM)*('Dvd Calendar'!$K$1030&lt;=GRID_TO)*('Dvd Calendar'!$K$1030&gt;VAL_DATE)=0,"",'Dvd Calendar'!$K$1030*1000000000+ISNUMBER('Dvd Calendar'!$K$1031)*100000000+0*10000000+(N('Dvd Calendar'!$K$1029)&gt;0)*(N('Dvd Calendar'!$K$1029)&lt;=VAL_SERIAL)*1000000+93*1000+47))</f>
        <v/>
      </c>
      <c r="FZ104" s="121">
        <f>IF(N('Dvd Calendar'!$L$1030)=0,"",IF(('Dvd Calendar'!$L$1030&gt;=GRID_FROM)*('Dvd Calendar'!$L$1030&lt;=GRID_TO)*('Dvd Calendar'!$L$1030&gt;VAL_DATE)=0,"",'Dvd Calendar'!$L$1030*1000000000+ISNUMBER('Dvd Calendar'!$L$1031)*100000000+0*10000000+(N('Dvd Calendar'!$L$1029)&gt;0)*(N('Dvd Calendar'!$L$1029)&lt;=VAL_SERIAL)*1000000+93*1000+48))</f>
        <v/>
      </c>
      <c r="GA104" s="121">
        <f>IF(N('Dvd Calendar'!$M$1030)=0,"",IF(('Dvd Calendar'!$M$1030&gt;=GRID_FROM)*('Dvd Calendar'!$M$1030&lt;=GRID_TO)*('Dvd Calendar'!$M$1030&gt;VAL_DATE)=0,"",'Dvd Calendar'!$M$1030*1000000000+ISNUMBER('Dvd Calendar'!$M$1031)*100000000+0*10000000+(N('Dvd Calendar'!$M$1029)&gt;0)*(N('Dvd Calendar'!$M$1029)&lt;=VAL_SERIAL)*1000000+93*1000+49))</f>
        <v/>
      </c>
      <c r="GB104" s="121">
        <f>IF(N('Dvd Calendar'!$N$1030)=0,"",IF(('Dvd Calendar'!$N$1030&gt;=GRID_FROM)*('Dvd Calendar'!$N$1030&lt;=GRID_TO)*('Dvd Calendar'!$N$1030&gt;VAL_DATE)=0,"",'Dvd Calendar'!$N$1030*1000000000+ISNUMBER('Dvd Calendar'!$N$1031)*100000000+0*10000000+(N('Dvd Calendar'!$N$1029)&gt;0)*(N('Dvd Calendar'!$N$1029)&lt;=VAL_SERIAL)*1000000+93*1000+50))</f>
        <v/>
      </c>
      <c r="GC104" s="121">
        <f>IF(N('Dvd Calendar'!$O$1030)=0,"",IF(('Dvd Calendar'!$O$1030&gt;=GRID_FROM)*('Dvd Calendar'!$O$1030&lt;=GRID_TO)*('Dvd Calendar'!$O$1030&gt;VAL_DATE)=0,"",'Dvd Calendar'!$O$1030*1000000000+ISNUMBER('Dvd Calendar'!$O$1031)*100000000+0*10000000+(N('Dvd Calendar'!$O$1029)&gt;0)*(N('Dvd Calendar'!$O$1029)&lt;=VAL_SERIAL)*1000000+93*1000+51))</f>
        <v/>
      </c>
      <c r="GD104" s="121">
        <f>IF(N('Dvd Calendar'!$P$1030)=0,"",IF(('Dvd Calendar'!$P$1030&gt;=GRID_FROM)*('Dvd Calendar'!$P$1030&lt;=GRID_TO)*('Dvd Calendar'!$P$1030&gt;VAL_DATE)=0,"",'Dvd Calendar'!$P$1030*1000000000+ISNUMBER('Dvd Calendar'!$P$1031)*100000000+0*10000000+(N('Dvd Calendar'!$P$1029)&gt;0)*(N('Dvd Calendar'!$P$1029)&lt;=VAL_SERIAL)*1000000+93*1000+52))</f>
        <v/>
      </c>
      <c r="GE104" s="121">
        <f>IF(N('Dvd Calendar'!$Q$1030)=0,"",IF(('Dvd Calendar'!$Q$1030&gt;=GRID_FROM)*('Dvd Calendar'!$Q$1030&lt;=GRID_TO)*('Dvd Calendar'!$Q$1030&gt;VAL_DATE)=0,"",'Dvd Calendar'!$Q$1030*1000000000+ISNUMBER('Dvd Calendar'!$Q$1031)*100000000+0*10000000+(N('Dvd Calendar'!$Q$1029)&gt;0)*(N('Dvd Calendar'!$Q$1029)&lt;=VAL_SERIAL)*1000000+93*1000+53))</f>
        <v/>
      </c>
      <c r="GF104" s="121">
        <f>IF(N('Dvd Calendar'!$R$1030)=0,"",IF(('Dvd Calendar'!$R$1030&gt;=GRID_FROM)*('Dvd Calendar'!$R$1030&lt;=GRID_TO)*('Dvd Calendar'!$R$1030&gt;VAL_DATE)=0,"",'Dvd Calendar'!$R$1030*1000000000+ISNUMBER('Dvd Calendar'!$R$1031)*100000000+0*10000000+(N('Dvd Calendar'!$R$1029)&gt;0)*(N('Dvd Calendar'!$R$1029)&lt;=VAL_SERIAL)*1000000+93*1000+54))</f>
        <v/>
      </c>
      <c r="GG104" s="121">
        <f>IF(N('Dvd Calendar'!$S$1030)=0,"",IF(('Dvd Calendar'!$S$1030&gt;=GRID_FROM)*('Dvd Calendar'!$S$1030&lt;=GRID_TO)*('Dvd Calendar'!$S$1030&gt;VAL_DATE)=0,"",'Dvd Calendar'!$S$1030*1000000000+ISNUMBER('Dvd Calendar'!$S$1031)*100000000+0*10000000+(N('Dvd Calendar'!$S$1029)&gt;0)*(N('Dvd Calendar'!$S$1029)&lt;=VAL_SERIAL)*1000000+93*1000+55))</f>
        <v/>
      </c>
      <c r="GH104" s="121">
        <f>IF(N('Dvd Calendar'!$T$1030)=0,"",IF(('Dvd Calendar'!$T$1030&gt;=GRID_FROM)*('Dvd Calendar'!$T$1030&lt;=GRID_TO)*('Dvd Calendar'!$T$1030&gt;VAL_DATE)=0,"",'Dvd Calendar'!$T$1030*1000000000+ISNUMBER('Dvd Calendar'!$T$1031)*100000000+0*10000000+(N('Dvd Calendar'!$T$1029)&gt;0)*(N('Dvd Calendar'!$T$1029)&lt;=VAL_SERIAL)*1000000+93*1000+56))</f>
        <v/>
      </c>
      <c r="GI104" s="121">
        <f>IF(N('Dvd Calendar'!$U$1030)=0,"",IF(('Dvd Calendar'!$U$1030&gt;=GRID_FROM)*('Dvd Calendar'!$U$1030&lt;=GRID_TO)*('Dvd Calendar'!$U$1030&gt;VAL_DATE)=0,"",'Dvd Calendar'!$U$1030*1000000000+ISNUMBER('Dvd Calendar'!$U$1031)*100000000+0*10000000+(N('Dvd Calendar'!$U$1029)&gt;0)*(N('Dvd Calendar'!$U$1029)&lt;=VAL_SERIAL)*1000000+93*1000+57))</f>
        <v/>
      </c>
      <c r="GJ104" s="121">
        <f>IF(N('Dvd Calendar'!$V$1030)=0,"",IF(('Dvd Calendar'!$V$1030&gt;=GRID_FROM)*('Dvd Calendar'!$V$1030&lt;=GRID_TO)*('Dvd Calendar'!$V$1030&gt;VAL_DATE)=0,"",'Dvd Calendar'!$V$1030*1000000000+ISNUMBER('Dvd Calendar'!$V$1031)*100000000+0*10000000+(N('Dvd Calendar'!$V$1029)&gt;0)*(N('Dvd Calendar'!$V$1029)&lt;=VAL_SERIAL)*1000000+93*1000+58))</f>
        <v/>
      </c>
      <c r="GK104" s="121">
        <f>IF(N('Dvd Calendar'!$W$1030)=0,"",IF(('Dvd Calendar'!$W$1030&gt;=GRID_FROM)*('Dvd Calendar'!$W$1030&lt;=GRID_TO)*('Dvd Calendar'!$W$1030&gt;VAL_DATE)=0,"",'Dvd Calendar'!$W$1030*1000000000+ISNUMBER('Dvd Calendar'!$W$1031)*100000000+0*10000000+(N('Dvd Calendar'!$W$1029)&gt;0)*(N('Dvd Calendar'!$W$1029)&lt;=VAL_SERIAL)*1000000+93*1000+59))</f>
        <v/>
      </c>
      <c r="GL104" s="121">
        <f>IF(N('Dvd Calendar'!$X$1030)=0,"",IF(('Dvd Calendar'!$X$1030&gt;=GRID_FROM)*('Dvd Calendar'!$X$1030&lt;=GRID_TO)*('Dvd Calendar'!$X$1030&gt;VAL_DATE)=0,"",'Dvd Calendar'!$X$1030*1000000000+ISNUMBER('Dvd Calendar'!$X$1031)*100000000+0*10000000+(N('Dvd Calendar'!$X$1029)&gt;0)*(N('Dvd Calendar'!$X$1029)&lt;=VAL_SERIAL)*1000000+93*1000+60))</f>
        <v/>
      </c>
      <c r="GM104" s="121">
        <f>IF(N('Dvd Calendar'!$Y$1030)=0,"",IF(('Dvd Calendar'!$Y$1030&gt;=GRID_FROM)*('Dvd Calendar'!$Y$1030&lt;=GRID_TO)*('Dvd Calendar'!$Y$1030&gt;VAL_DATE)=0,"",'Dvd Calendar'!$Y$1030*1000000000+ISNUMBER('Dvd Calendar'!$Y$1031)*100000000+0*10000000+(N('Dvd Calendar'!$Y$1029)&gt;0)*(N('Dvd Calendar'!$Y$1029)&lt;=VAL_SERIAL)*1000000+93*1000+61))</f>
        <v/>
      </c>
      <c r="GN104" s="121">
        <f>IF(N('Dvd Calendar'!$Z$1030)=0,"",IF(('Dvd Calendar'!$Z$1030&gt;=GRID_FROM)*('Dvd Calendar'!$Z$1030&lt;=GRID_TO)*('Dvd Calendar'!$Z$1030&gt;VAL_DATE)=0,"",'Dvd Calendar'!$Z$1030*1000000000+ISNUMBER('Dvd Calendar'!$Z$1031)*100000000+0*10000000+(N('Dvd Calendar'!$Z$1029)&gt;0)*(N('Dvd Calendar'!$Z$1029)&lt;=VAL_SERIAL)*1000000+93*1000+62))</f>
        <v/>
      </c>
      <c r="GO104" s="121">
        <f>IF(N('Dvd Calendar'!$AA$1030)=0,"",IF(('Dvd Calendar'!$AA$1030&gt;=GRID_FROM)*('Dvd Calendar'!$AA$1030&lt;=GRID_TO)*('Dvd Calendar'!$AA$1030&gt;VAL_DATE)=0,"",'Dvd Calendar'!$AA$1030*1000000000+ISNUMBER('Dvd Calendar'!$AA$1031)*100000000+0*10000000+(N('Dvd Calendar'!$AA$1029)&gt;0)*(N('Dvd Calendar'!$AA$1029)&lt;=VAL_SERIAL)*1000000+93*1000+63))</f>
        <v/>
      </c>
      <c r="GP104" s="121">
        <f>IF(N('Dvd Calendar'!$AB$1030)=0,"",IF(('Dvd Calendar'!$AB$1030&gt;=GRID_FROM)*('Dvd Calendar'!$AB$1030&lt;=GRID_TO)*('Dvd Calendar'!$AB$1030&gt;VAL_DATE)=0,"",'Dvd Calendar'!$AB$1030*1000000000+ISNUMBER('Dvd Calendar'!$AB$1031)*100000000+0*10000000+(N('Dvd Calendar'!$AB$1029)&gt;0)*(N('Dvd Calendar'!$AB$1029)&lt;=VAL_SERIAL)*1000000+93*1000+64))</f>
        <v/>
      </c>
      <c r="GQ104" s="121">
        <f>IF(N('Dvd Calendar'!$AC$1030)=0,"",IF(('Dvd Calendar'!$AC$1030&gt;=GRID_FROM)*('Dvd Calendar'!$AC$1030&lt;=GRID_TO)*('Dvd Calendar'!$AC$1030&gt;VAL_DATE)=0,"",'Dvd Calendar'!$AC$1030*1000000000+ISNUMBER('Dvd Calendar'!$AC$1031)*100000000+0*10000000+(N('Dvd Calendar'!$AC$1029)&gt;0)*(N('Dvd Calendar'!$AC$1029)&lt;=VAL_SERIAL)*1000000+93*1000+65))</f>
        <v/>
      </c>
    </row>
    <row r="105">
      <c r="B105" s="2">
        <f>IF(HSI!$C$100="","",HSI!$C$100)</f>
        <v/>
      </c>
      <c r="C105" s="161">
        <f>IF(EE105="","",IF(ISNUMBER('Dvd Calendar'!$E$1037)=FALSE,"",IF((('Dvd Calendar'!$E$1039=TYPE1)*(TYPE1&lt;&gt;"")+('Dvd Calendar'!$E$1039=TYPE2)*(TYPE2&lt;&gt;"")+('Dvd Calendar'!$E$1039=TYPE3)*(TYPE3&lt;&gt;"")+('Dvd Calendar'!$E$1039=TYPE4)*(TYPE4&lt;&gt;"")+('Dvd Calendar'!$E$1039=SPECIAL_LBL)*(INC_SPECIALS="Y"))=0,"",'Dvd Calendar'!$E$1037)))</f>
        <v/>
      </c>
      <c r="D105" s="161">
        <f>IF(EF105="","",IF(ISNUMBER('Dvd Calendar'!$F$1037)=FALSE,"",IF((('Dvd Calendar'!$F$1039=TYPE1)*(TYPE1&lt;&gt;"")+('Dvd Calendar'!$F$1039=TYPE2)*(TYPE2&lt;&gt;"")+('Dvd Calendar'!$F$1039=TYPE3)*(TYPE3&lt;&gt;"")+('Dvd Calendar'!$F$1039=TYPE4)*(TYPE4&lt;&gt;"")+('Dvd Calendar'!$F$1039=SPECIAL_LBL)*(INC_SPECIALS="Y"))=0,"",'Dvd Calendar'!$F$1037)))</f>
        <v/>
      </c>
      <c r="E105" s="161">
        <f>IF(EG105="","",IF(ISNUMBER('Dvd Calendar'!$G$1037)=FALSE,"",IF((('Dvd Calendar'!$G$1039=TYPE1)*(TYPE1&lt;&gt;"")+('Dvd Calendar'!$G$1039=TYPE2)*(TYPE2&lt;&gt;"")+('Dvd Calendar'!$G$1039=TYPE3)*(TYPE3&lt;&gt;"")+('Dvd Calendar'!$G$1039=TYPE4)*(TYPE4&lt;&gt;"")+('Dvd Calendar'!$G$1039=SPECIAL_LBL)*(INC_SPECIALS="Y"))=0,"",'Dvd Calendar'!$G$1037)))</f>
        <v/>
      </c>
      <c r="F105" s="161">
        <f>IF(EH105="","",IF(ISNUMBER('Dvd Calendar'!$H$1037)=FALSE,"",IF((('Dvd Calendar'!$H$1039=TYPE1)*(TYPE1&lt;&gt;"")+('Dvd Calendar'!$H$1039=TYPE2)*(TYPE2&lt;&gt;"")+('Dvd Calendar'!$H$1039=TYPE3)*(TYPE3&lt;&gt;"")+('Dvd Calendar'!$H$1039=TYPE4)*(TYPE4&lt;&gt;"")+('Dvd Calendar'!$H$1039=SPECIAL_LBL)*(INC_SPECIALS="Y"))=0,"",'Dvd Calendar'!$H$1037)))</f>
        <v/>
      </c>
      <c r="G105" s="161">
        <f>IF(EI105="","",IF(ISNUMBER('Dvd Calendar'!$I$1037)=FALSE,"",IF((('Dvd Calendar'!$I$1039=TYPE1)*(TYPE1&lt;&gt;"")+('Dvd Calendar'!$I$1039=TYPE2)*(TYPE2&lt;&gt;"")+('Dvd Calendar'!$I$1039=TYPE3)*(TYPE3&lt;&gt;"")+('Dvd Calendar'!$I$1039=TYPE4)*(TYPE4&lt;&gt;"")+('Dvd Calendar'!$I$1039=SPECIAL_LBL)*(INC_SPECIALS="Y"))=0,"",'Dvd Calendar'!$I$1037)))</f>
        <v/>
      </c>
      <c r="H105" s="161">
        <f>IF(EJ105="","",IF(ISNUMBER('Dvd Calendar'!$J$1037)=FALSE,"",IF((('Dvd Calendar'!$J$1039=TYPE1)*(TYPE1&lt;&gt;"")+('Dvd Calendar'!$J$1039=TYPE2)*(TYPE2&lt;&gt;"")+('Dvd Calendar'!$J$1039=TYPE3)*(TYPE3&lt;&gt;"")+('Dvd Calendar'!$J$1039=TYPE4)*(TYPE4&lt;&gt;"")+('Dvd Calendar'!$J$1039=SPECIAL_LBL)*(INC_SPECIALS="Y"))=0,"",'Dvd Calendar'!$J$1037)))</f>
        <v/>
      </c>
      <c r="I105" s="161">
        <f>IF(EK105="","",IF(ISNUMBER('Dvd Calendar'!$K$1037)=FALSE,"",IF((('Dvd Calendar'!$K$1039=TYPE1)*(TYPE1&lt;&gt;"")+('Dvd Calendar'!$K$1039=TYPE2)*(TYPE2&lt;&gt;"")+('Dvd Calendar'!$K$1039=TYPE3)*(TYPE3&lt;&gt;"")+('Dvd Calendar'!$K$1039=TYPE4)*(TYPE4&lt;&gt;"")+('Dvd Calendar'!$K$1039=SPECIAL_LBL)*(INC_SPECIALS="Y"))=0,"",'Dvd Calendar'!$K$1037)))</f>
        <v/>
      </c>
      <c r="J105" s="161">
        <f>IF(EL105="","",IF(ISNUMBER('Dvd Calendar'!$L$1037)=FALSE,"",IF((('Dvd Calendar'!$L$1039=TYPE1)*(TYPE1&lt;&gt;"")+('Dvd Calendar'!$L$1039=TYPE2)*(TYPE2&lt;&gt;"")+('Dvd Calendar'!$L$1039=TYPE3)*(TYPE3&lt;&gt;"")+('Dvd Calendar'!$L$1039=TYPE4)*(TYPE4&lt;&gt;"")+('Dvd Calendar'!$L$1039=SPECIAL_LBL)*(INC_SPECIALS="Y"))=0,"",'Dvd Calendar'!$L$1037)))</f>
        <v/>
      </c>
      <c r="K105" s="161">
        <f>IF(EM105="","",IF(ISNUMBER('Dvd Calendar'!$M$1037)=FALSE,"",IF((('Dvd Calendar'!$M$1039=TYPE1)*(TYPE1&lt;&gt;"")+('Dvd Calendar'!$M$1039=TYPE2)*(TYPE2&lt;&gt;"")+('Dvd Calendar'!$M$1039=TYPE3)*(TYPE3&lt;&gt;"")+('Dvd Calendar'!$M$1039=TYPE4)*(TYPE4&lt;&gt;"")+('Dvd Calendar'!$M$1039=SPECIAL_LBL)*(INC_SPECIALS="Y"))=0,"",'Dvd Calendar'!$M$1037)))</f>
        <v/>
      </c>
      <c r="L105" s="161">
        <f>IF(EN105="","",IF(ISNUMBER('Dvd Calendar'!$N$1037)=FALSE,"",IF((('Dvd Calendar'!$N$1039=TYPE1)*(TYPE1&lt;&gt;"")+('Dvd Calendar'!$N$1039=TYPE2)*(TYPE2&lt;&gt;"")+('Dvd Calendar'!$N$1039=TYPE3)*(TYPE3&lt;&gt;"")+('Dvd Calendar'!$N$1039=TYPE4)*(TYPE4&lt;&gt;"")+('Dvd Calendar'!$N$1039=SPECIAL_LBL)*(INC_SPECIALS="Y"))=0,"",'Dvd Calendar'!$N$1037)))</f>
        <v/>
      </c>
      <c r="M105" s="161">
        <f>IF(EO105="","",IF(ISNUMBER('Dvd Calendar'!$O$1037)=FALSE,"",IF((('Dvd Calendar'!$O$1039=TYPE1)*(TYPE1&lt;&gt;"")+('Dvd Calendar'!$O$1039=TYPE2)*(TYPE2&lt;&gt;"")+('Dvd Calendar'!$O$1039=TYPE3)*(TYPE3&lt;&gt;"")+('Dvd Calendar'!$O$1039=TYPE4)*(TYPE4&lt;&gt;"")+('Dvd Calendar'!$O$1039=SPECIAL_LBL)*(INC_SPECIALS="Y"))=0,"",'Dvd Calendar'!$O$1037)))</f>
        <v/>
      </c>
      <c r="N105" s="161">
        <f>IF(EP105="","",IF(ISNUMBER('Dvd Calendar'!$P$1037)=FALSE,"",IF((('Dvd Calendar'!$P$1039=TYPE1)*(TYPE1&lt;&gt;"")+('Dvd Calendar'!$P$1039=TYPE2)*(TYPE2&lt;&gt;"")+('Dvd Calendar'!$P$1039=TYPE3)*(TYPE3&lt;&gt;"")+('Dvd Calendar'!$P$1039=TYPE4)*(TYPE4&lt;&gt;"")+('Dvd Calendar'!$P$1039=SPECIAL_LBL)*(INC_SPECIALS="Y"))=0,"",'Dvd Calendar'!$P$1037)))</f>
        <v/>
      </c>
      <c r="O105" s="161">
        <f>IF(EQ105="","",IF(ISNUMBER('Dvd Calendar'!$Q$1037)=FALSE,"",IF((('Dvd Calendar'!$Q$1039=TYPE1)*(TYPE1&lt;&gt;"")+('Dvd Calendar'!$Q$1039=TYPE2)*(TYPE2&lt;&gt;"")+('Dvd Calendar'!$Q$1039=TYPE3)*(TYPE3&lt;&gt;"")+('Dvd Calendar'!$Q$1039=TYPE4)*(TYPE4&lt;&gt;"")+('Dvd Calendar'!$Q$1039=SPECIAL_LBL)*(INC_SPECIALS="Y"))=0,"",'Dvd Calendar'!$Q$1037)))</f>
        <v/>
      </c>
      <c r="P105" s="161">
        <f>IF(ER105="","",IF(ISNUMBER('Dvd Calendar'!$R$1037)=FALSE,"",IF((('Dvd Calendar'!$R$1039=TYPE1)*(TYPE1&lt;&gt;"")+('Dvd Calendar'!$R$1039=TYPE2)*(TYPE2&lt;&gt;"")+('Dvd Calendar'!$R$1039=TYPE3)*(TYPE3&lt;&gt;"")+('Dvd Calendar'!$R$1039=TYPE4)*(TYPE4&lt;&gt;"")+('Dvd Calendar'!$R$1039=SPECIAL_LBL)*(INC_SPECIALS="Y"))=0,"",'Dvd Calendar'!$R$1037)))</f>
        <v/>
      </c>
      <c r="Q105" s="161">
        <f>IF(ES105="","",IF(ISNUMBER('Dvd Calendar'!$S$1037)=FALSE,"",IF((('Dvd Calendar'!$S$1039=TYPE1)*(TYPE1&lt;&gt;"")+('Dvd Calendar'!$S$1039=TYPE2)*(TYPE2&lt;&gt;"")+('Dvd Calendar'!$S$1039=TYPE3)*(TYPE3&lt;&gt;"")+('Dvd Calendar'!$S$1039=TYPE4)*(TYPE4&lt;&gt;"")+('Dvd Calendar'!$S$1039=SPECIAL_LBL)*(INC_SPECIALS="Y"))=0,"",'Dvd Calendar'!$S$1037)))</f>
        <v/>
      </c>
      <c r="R105" s="161">
        <f>IF(ET105="","",IF(ISNUMBER('Dvd Calendar'!$T$1037)=FALSE,"",IF((('Dvd Calendar'!$T$1039=TYPE1)*(TYPE1&lt;&gt;"")+('Dvd Calendar'!$T$1039=TYPE2)*(TYPE2&lt;&gt;"")+('Dvd Calendar'!$T$1039=TYPE3)*(TYPE3&lt;&gt;"")+('Dvd Calendar'!$T$1039=TYPE4)*(TYPE4&lt;&gt;"")+('Dvd Calendar'!$T$1039=SPECIAL_LBL)*(INC_SPECIALS="Y"))=0,"",'Dvd Calendar'!$T$1037)))</f>
        <v/>
      </c>
      <c r="S105" s="161">
        <f>IF(EU105="","",IF(ISNUMBER('Dvd Calendar'!$U$1037)=FALSE,"",IF((('Dvd Calendar'!$U$1039=TYPE1)*(TYPE1&lt;&gt;"")+('Dvd Calendar'!$U$1039=TYPE2)*(TYPE2&lt;&gt;"")+('Dvd Calendar'!$U$1039=TYPE3)*(TYPE3&lt;&gt;"")+('Dvd Calendar'!$U$1039=TYPE4)*(TYPE4&lt;&gt;"")+('Dvd Calendar'!$U$1039=SPECIAL_LBL)*(INC_SPECIALS="Y"))=0,"",'Dvd Calendar'!$U$1037)))</f>
        <v/>
      </c>
      <c r="T105" s="161">
        <f>IF(EV105="","",IF(ISNUMBER('Dvd Calendar'!$V$1037)=FALSE,"",IF((('Dvd Calendar'!$V$1039=TYPE1)*(TYPE1&lt;&gt;"")+('Dvd Calendar'!$V$1039=TYPE2)*(TYPE2&lt;&gt;"")+('Dvd Calendar'!$V$1039=TYPE3)*(TYPE3&lt;&gt;"")+('Dvd Calendar'!$V$1039=TYPE4)*(TYPE4&lt;&gt;"")+('Dvd Calendar'!$V$1039=SPECIAL_LBL)*(INC_SPECIALS="Y"))=0,"",'Dvd Calendar'!$V$1037)))</f>
        <v/>
      </c>
      <c r="U105" s="161">
        <f>IF(EW105="","",IF(ISNUMBER('Dvd Calendar'!$W$1037)=FALSE,"",IF((('Dvd Calendar'!$W$1039=TYPE1)*(TYPE1&lt;&gt;"")+('Dvd Calendar'!$W$1039=TYPE2)*(TYPE2&lt;&gt;"")+('Dvd Calendar'!$W$1039=TYPE3)*(TYPE3&lt;&gt;"")+('Dvd Calendar'!$W$1039=TYPE4)*(TYPE4&lt;&gt;"")+('Dvd Calendar'!$W$1039=SPECIAL_LBL)*(INC_SPECIALS="Y"))=0,"",'Dvd Calendar'!$W$1037)))</f>
        <v/>
      </c>
      <c r="V105" s="161">
        <f>IF(EX105="","",IF(ISNUMBER('Dvd Calendar'!$X$1037)=FALSE,"",IF((('Dvd Calendar'!$X$1039=TYPE1)*(TYPE1&lt;&gt;"")+('Dvd Calendar'!$X$1039=TYPE2)*(TYPE2&lt;&gt;"")+('Dvd Calendar'!$X$1039=TYPE3)*(TYPE3&lt;&gt;"")+('Dvd Calendar'!$X$1039=TYPE4)*(TYPE4&lt;&gt;"")+('Dvd Calendar'!$X$1039=SPECIAL_LBL)*(INC_SPECIALS="Y"))=0,"",'Dvd Calendar'!$X$1037)))</f>
        <v/>
      </c>
      <c r="W105" s="161">
        <f>IF(EY105="","",IF(ISNUMBER('Dvd Calendar'!$Y$1037)=FALSE,"",IF((('Dvd Calendar'!$Y$1039=TYPE1)*(TYPE1&lt;&gt;"")+('Dvd Calendar'!$Y$1039=TYPE2)*(TYPE2&lt;&gt;"")+('Dvd Calendar'!$Y$1039=TYPE3)*(TYPE3&lt;&gt;"")+('Dvd Calendar'!$Y$1039=TYPE4)*(TYPE4&lt;&gt;"")+('Dvd Calendar'!$Y$1039=SPECIAL_LBL)*(INC_SPECIALS="Y"))=0,"",'Dvd Calendar'!$Y$1037)))</f>
        <v/>
      </c>
      <c r="X105" s="161">
        <f>IF(EZ105="","",IF(ISNUMBER('Dvd Calendar'!$Z$1037)=FALSE,"",IF((('Dvd Calendar'!$Z$1039=TYPE1)*(TYPE1&lt;&gt;"")+('Dvd Calendar'!$Z$1039=TYPE2)*(TYPE2&lt;&gt;"")+('Dvd Calendar'!$Z$1039=TYPE3)*(TYPE3&lt;&gt;"")+('Dvd Calendar'!$Z$1039=TYPE4)*(TYPE4&lt;&gt;"")+('Dvd Calendar'!$Z$1039=SPECIAL_LBL)*(INC_SPECIALS="Y"))=0,"",'Dvd Calendar'!$Z$1037)))</f>
        <v/>
      </c>
      <c r="Y105" s="161">
        <f>IF(FA105="","",IF(ISNUMBER('Dvd Calendar'!$AA$1037)=FALSE,"",IF((('Dvd Calendar'!$AA$1039=TYPE1)*(TYPE1&lt;&gt;"")+('Dvd Calendar'!$AA$1039=TYPE2)*(TYPE2&lt;&gt;"")+('Dvd Calendar'!$AA$1039=TYPE3)*(TYPE3&lt;&gt;"")+('Dvd Calendar'!$AA$1039=TYPE4)*(TYPE4&lt;&gt;"")+('Dvd Calendar'!$AA$1039=SPECIAL_LBL)*(INC_SPECIALS="Y"))=0,"",'Dvd Calendar'!$AA$1037)))</f>
        <v/>
      </c>
      <c r="Z105" s="161">
        <f>IF(FB105="","",IF(ISNUMBER('Dvd Calendar'!$AB$1037)=FALSE,"",IF((('Dvd Calendar'!$AB$1039=TYPE1)*(TYPE1&lt;&gt;"")+('Dvd Calendar'!$AB$1039=TYPE2)*(TYPE2&lt;&gt;"")+('Dvd Calendar'!$AB$1039=TYPE3)*(TYPE3&lt;&gt;"")+('Dvd Calendar'!$AB$1039=TYPE4)*(TYPE4&lt;&gt;"")+('Dvd Calendar'!$AB$1039=SPECIAL_LBL)*(INC_SPECIALS="Y"))=0,"",'Dvd Calendar'!$AB$1037)))</f>
        <v/>
      </c>
      <c r="AA105" s="161">
        <f>IF(FC105="","",IF(ISNUMBER('Dvd Calendar'!$AC$1037)=FALSE,"",IF((('Dvd Calendar'!$AC$1039=TYPE1)*(TYPE1&lt;&gt;"")+('Dvd Calendar'!$AC$1039=TYPE2)*(TYPE2&lt;&gt;"")+('Dvd Calendar'!$AC$1039=TYPE3)*(TYPE3&lt;&gt;"")+('Dvd Calendar'!$AC$1039=TYPE4)*(TYPE4&lt;&gt;"")+('Dvd Calendar'!$AC$1039=SPECIAL_LBL)*(INC_SPECIALS="Y"))=0,"",'Dvd Calendar'!$AC$1037)))</f>
        <v/>
      </c>
      <c r="AB105" s="161">
        <f>IF(FD105="","",IF(ISNUMBER('Dvd Calendar'!$AD$1037)=FALSE,"",IF((('Dvd Calendar'!$AD$1039=TYPE1)*(TYPE1&lt;&gt;"")+('Dvd Calendar'!$AD$1039=TYPE2)*(TYPE2&lt;&gt;"")+('Dvd Calendar'!$AD$1039=TYPE3)*(TYPE3&lt;&gt;"")+('Dvd Calendar'!$AD$1039=TYPE4)*(TYPE4&lt;&gt;"")+('Dvd Calendar'!$AD$1039=SPECIAL_LBL)*(INC_SPECIALS="Y"))=0,"",'Dvd Calendar'!$AD$1037)))</f>
        <v/>
      </c>
      <c r="AC105" s="161">
        <f>IF(FE105="","",IF(ISNUMBER('Dvd Calendar'!$AE$1037)=FALSE,"",IF((('Dvd Calendar'!$AE$1039=TYPE1)*(TYPE1&lt;&gt;"")+('Dvd Calendar'!$AE$1039=TYPE2)*(TYPE2&lt;&gt;"")+('Dvd Calendar'!$AE$1039=TYPE3)*(TYPE3&lt;&gt;"")+('Dvd Calendar'!$AE$1039=TYPE4)*(TYPE4&lt;&gt;"")+('Dvd Calendar'!$AE$1039=SPECIAL_LBL)*(INC_SPECIALS="Y"))=0,"",'Dvd Calendar'!$AE$1037)))</f>
        <v/>
      </c>
      <c r="AD105" s="161">
        <f>IF(FF105="","",IF(ISNUMBER('Dvd Calendar'!$AF$1037)=FALSE,"",IF((('Dvd Calendar'!$AF$1039=TYPE1)*(TYPE1&lt;&gt;"")+('Dvd Calendar'!$AF$1039=TYPE2)*(TYPE2&lt;&gt;"")+('Dvd Calendar'!$AF$1039=TYPE3)*(TYPE3&lt;&gt;"")+('Dvd Calendar'!$AF$1039=TYPE4)*(TYPE4&lt;&gt;"")+('Dvd Calendar'!$AF$1039=SPECIAL_LBL)*(INC_SPECIALS="Y"))=0,"",'Dvd Calendar'!$AF$1037)))</f>
        <v/>
      </c>
      <c r="AE105" s="161">
        <f>IF(FG105="","",IF(ISNUMBER('Dvd Calendar'!$AG$1037)=FALSE,"",IF((('Dvd Calendar'!$AG$1039=TYPE1)*(TYPE1&lt;&gt;"")+('Dvd Calendar'!$AG$1039=TYPE2)*(TYPE2&lt;&gt;"")+('Dvd Calendar'!$AG$1039=TYPE3)*(TYPE3&lt;&gt;"")+('Dvd Calendar'!$AG$1039=TYPE4)*(TYPE4&lt;&gt;"")+('Dvd Calendar'!$AG$1039=SPECIAL_LBL)*(INC_SPECIALS="Y"))=0,"",'Dvd Calendar'!$AG$1037)))</f>
        <v/>
      </c>
      <c r="AF105" s="161">
        <f>IF(FH105="","",IF(ISNUMBER('Dvd Calendar'!$AH$1037)=FALSE,"",IF((('Dvd Calendar'!$AH$1039=TYPE1)*(TYPE1&lt;&gt;"")+('Dvd Calendar'!$AH$1039=TYPE2)*(TYPE2&lt;&gt;"")+('Dvd Calendar'!$AH$1039=TYPE3)*(TYPE3&lt;&gt;"")+('Dvd Calendar'!$AH$1039=TYPE4)*(TYPE4&lt;&gt;"")+('Dvd Calendar'!$AH$1039=SPECIAL_LBL)*(INC_SPECIALS="Y"))=0,"",'Dvd Calendar'!$AH$1037)))</f>
        <v/>
      </c>
      <c r="AG105" s="161">
        <f>IF(FI105="","",IF(ISNUMBER('Dvd Calendar'!$AI$1037)=FALSE,"",IF((('Dvd Calendar'!$AI$1039=TYPE1)*(TYPE1&lt;&gt;"")+('Dvd Calendar'!$AI$1039=TYPE2)*(TYPE2&lt;&gt;"")+('Dvd Calendar'!$AI$1039=TYPE3)*(TYPE3&lt;&gt;"")+('Dvd Calendar'!$AI$1039=TYPE4)*(TYPE4&lt;&gt;"")+('Dvd Calendar'!$AI$1039=SPECIAL_LBL)*(INC_SPECIALS="Y"))=0,"",'Dvd Calendar'!$AI$1037)))</f>
        <v/>
      </c>
      <c r="AH105" s="161">
        <f>IF(FJ105="","",IF(ISNUMBER('Dvd Calendar'!$AJ$1037)=FALSE,"",IF((('Dvd Calendar'!$AJ$1039=TYPE1)*(TYPE1&lt;&gt;"")+('Dvd Calendar'!$AJ$1039=TYPE2)*(TYPE2&lt;&gt;"")+('Dvd Calendar'!$AJ$1039=TYPE3)*(TYPE3&lt;&gt;"")+('Dvd Calendar'!$AJ$1039=TYPE4)*(TYPE4&lt;&gt;"")+('Dvd Calendar'!$AJ$1039=SPECIAL_LBL)*(INC_SPECIALS="Y"))=0,"",'Dvd Calendar'!$AJ$1037)))</f>
        <v/>
      </c>
      <c r="AI105" s="161">
        <f>IF(FK105="","",IF(ISNUMBER('Dvd Calendar'!$AK$1037)=FALSE,"",IF((('Dvd Calendar'!$AK$1039=TYPE1)*(TYPE1&lt;&gt;"")+('Dvd Calendar'!$AK$1039=TYPE2)*(TYPE2&lt;&gt;"")+('Dvd Calendar'!$AK$1039=TYPE3)*(TYPE3&lt;&gt;"")+('Dvd Calendar'!$AK$1039=TYPE4)*(TYPE4&lt;&gt;"")+('Dvd Calendar'!$AK$1039=SPECIAL_LBL)*(INC_SPECIALS="Y"))=0,"",'Dvd Calendar'!$AK$1037)))</f>
        <v/>
      </c>
      <c r="AJ105" s="161">
        <f>IF(FL105="","",IF(ISNUMBER('Dvd Calendar'!$AL$1037)=FALSE,"",IF((('Dvd Calendar'!$AL$1039=TYPE1)*(TYPE1&lt;&gt;"")+('Dvd Calendar'!$AL$1039=TYPE2)*(TYPE2&lt;&gt;"")+('Dvd Calendar'!$AL$1039=TYPE3)*(TYPE3&lt;&gt;"")+('Dvd Calendar'!$AL$1039=TYPE4)*(TYPE4&lt;&gt;"")+('Dvd Calendar'!$AL$1039=SPECIAL_LBL)*(INC_SPECIALS="Y"))=0,"",'Dvd Calendar'!$AL$1037)))</f>
        <v/>
      </c>
      <c r="AK105" s="161">
        <f>IF(FM105="","",IF(ISNUMBER('Dvd Calendar'!$AM$1037)=FALSE,"",IF((('Dvd Calendar'!$AM$1039=TYPE1)*(TYPE1&lt;&gt;"")+('Dvd Calendar'!$AM$1039=TYPE2)*(TYPE2&lt;&gt;"")+('Dvd Calendar'!$AM$1039=TYPE3)*(TYPE3&lt;&gt;"")+('Dvd Calendar'!$AM$1039=TYPE4)*(TYPE4&lt;&gt;"")+('Dvd Calendar'!$AM$1039=SPECIAL_LBL)*(INC_SPECIALS="Y"))=0,"",'Dvd Calendar'!$AM$1037)))</f>
        <v/>
      </c>
      <c r="AL105" s="161">
        <f>IF(FN105="","",IF(ISNUMBER('Dvd Calendar'!$AN$1037)=FALSE,"",IF((('Dvd Calendar'!$AN$1039=TYPE1)*(TYPE1&lt;&gt;"")+('Dvd Calendar'!$AN$1039=TYPE2)*(TYPE2&lt;&gt;"")+('Dvd Calendar'!$AN$1039=TYPE3)*(TYPE3&lt;&gt;"")+('Dvd Calendar'!$AN$1039=TYPE4)*(TYPE4&lt;&gt;"")+('Dvd Calendar'!$AN$1039=SPECIAL_LBL)*(INC_SPECIALS="Y"))=0,"",'Dvd Calendar'!$AN$1037)))</f>
        <v/>
      </c>
      <c r="AM105" s="161">
        <f>IF(FO105="","",IF(ISNUMBER('Dvd Calendar'!$AO$1037)=FALSE,"",IF((('Dvd Calendar'!$AO$1039=TYPE1)*(TYPE1&lt;&gt;"")+('Dvd Calendar'!$AO$1039=TYPE2)*(TYPE2&lt;&gt;"")+('Dvd Calendar'!$AO$1039=TYPE3)*(TYPE3&lt;&gt;"")+('Dvd Calendar'!$AO$1039=TYPE4)*(TYPE4&lt;&gt;"")+('Dvd Calendar'!$AO$1039=SPECIAL_LBL)*(INC_SPECIALS="Y"))=0,"",'Dvd Calendar'!$AO$1037)))</f>
        <v/>
      </c>
      <c r="AN105" s="161">
        <f>IF(FP105="","",IF(ISNUMBER('Dvd Calendar'!$AP$1037)=FALSE,"",IF((('Dvd Calendar'!$AP$1039=TYPE1)*(TYPE1&lt;&gt;"")+('Dvd Calendar'!$AP$1039=TYPE2)*(TYPE2&lt;&gt;"")+('Dvd Calendar'!$AP$1039=TYPE3)*(TYPE3&lt;&gt;"")+('Dvd Calendar'!$AP$1039=TYPE4)*(TYPE4&lt;&gt;"")+('Dvd Calendar'!$AP$1039=SPECIAL_LBL)*(INC_SPECIALS="Y"))=0,"",'Dvd Calendar'!$AP$1037)))</f>
        <v/>
      </c>
      <c r="AO105" s="161">
        <f>IF(FQ105="","",IF(ISNUMBER('Dvd Calendar'!$AQ$1037)=FALSE,"",IF((('Dvd Calendar'!$AQ$1039=TYPE1)*(TYPE1&lt;&gt;"")+('Dvd Calendar'!$AQ$1039=TYPE2)*(TYPE2&lt;&gt;"")+('Dvd Calendar'!$AQ$1039=TYPE3)*(TYPE3&lt;&gt;"")+('Dvd Calendar'!$AQ$1039=TYPE4)*(TYPE4&lt;&gt;"")+('Dvd Calendar'!$AQ$1039=SPECIAL_LBL)*(INC_SPECIALS="Y"))=0,"",'Dvd Calendar'!$AQ$1037)))</f>
        <v/>
      </c>
      <c r="AP105" s="161">
        <f>IF(FR105="","",IF(ISNUMBER('Dvd Calendar'!$AR$1037)=FALSE,"",IF((('Dvd Calendar'!$AR$1039=TYPE1)*(TYPE1&lt;&gt;"")+('Dvd Calendar'!$AR$1039=TYPE2)*(TYPE2&lt;&gt;"")+('Dvd Calendar'!$AR$1039=TYPE3)*(TYPE3&lt;&gt;"")+('Dvd Calendar'!$AR$1039=TYPE4)*(TYPE4&lt;&gt;"")+('Dvd Calendar'!$AR$1039=SPECIAL_LBL)*(INC_SPECIALS="Y"))=0,"",'Dvd Calendar'!$AR$1037)))</f>
        <v/>
      </c>
      <c r="AQ105" s="161">
        <f>IF(FS105="","",IF(ISNUMBER('Dvd Calendar'!$E$1042)=FALSE,"",'Dvd Calendar'!$E$1042))</f>
        <v/>
      </c>
      <c r="AR105" s="161">
        <f>IF(FT105="","",IF(ISNUMBER('Dvd Calendar'!$F$1042)=FALSE,"",'Dvd Calendar'!$F$1042))</f>
        <v/>
      </c>
      <c r="AS105" s="161">
        <f>IF(FU105="","",IF(ISNUMBER('Dvd Calendar'!$G$1042)=FALSE,"",'Dvd Calendar'!$G$1042))</f>
        <v/>
      </c>
      <c r="AT105" s="161">
        <f>IF(FV105="","",IF(ISNUMBER('Dvd Calendar'!$H$1042)=FALSE,"",'Dvd Calendar'!$H$1042))</f>
        <v/>
      </c>
      <c r="AU105" s="161">
        <f>IF(FW105="","",IF(ISNUMBER('Dvd Calendar'!$I$1042)=FALSE,"",'Dvd Calendar'!$I$1042))</f>
        <v/>
      </c>
      <c r="AV105" s="161">
        <f>IF(FX105="","",IF(ISNUMBER('Dvd Calendar'!$J$1042)=FALSE,"",'Dvd Calendar'!$J$1042))</f>
        <v/>
      </c>
      <c r="AW105" s="161">
        <f>IF(FY105="","",IF(ISNUMBER('Dvd Calendar'!$K$1042)=FALSE,"",'Dvd Calendar'!$K$1042))</f>
        <v/>
      </c>
      <c r="AX105" s="161">
        <f>IF(FZ105="","",IF(ISNUMBER('Dvd Calendar'!$L$1042)=FALSE,"",'Dvd Calendar'!$L$1042))</f>
        <v/>
      </c>
      <c r="AY105" s="161">
        <f>IF(GA105="","",IF(ISNUMBER('Dvd Calendar'!$M$1042)=FALSE,"",'Dvd Calendar'!$M$1042))</f>
        <v/>
      </c>
      <c r="AZ105" s="161">
        <f>IF(GB105="","",IF(ISNUMBER('Dvd Calendar'!$N$1042)=FALSE,"",'Dvd Calendar'!$N$1042))</f>
        <v/>
      </c>
      <c r="BA105" s="161">
        <f>IF(GC105="","",IF(ISNUMBER('Dvd Calendar'!$O$1042)=FALSE,"",'Dvd Calendar'!$O$1042))</f>
        <v/>
      </c>
      <c r="BB105" s="161">
        <f>IF(GD105="","",IF(ISNUMBER('Dvd Calendar'!$P$1042)=FALSE,"",'Dvd Calendar'!$P$1042))</f>
        <v/>
      </c>
      <c r="BC105" s="161">
        <f>IF(GE105="","",IF(ISNUMBER('Dvd Calendar'!$Q$1042)=FALSE,"",'Dvd Calendar'!$Q$1042))</f>
        <v/>
      </c>
      <c r="BD105" s="161">
        <f>IF(GF105="","",IF(ISNUMBER('Dvd Calendar'!$R$1042)=FALSE,"",'Dvd Calendar'!$R$1042))</f>
        <v/>
      </c>
      <c r="BE105" s="161">
        <f>IF(GG105="","",IF(ISNUMBER('Dvd Calendar'!$S$1042)=FALSE,"",'Dvd Calendar'!$S$1042))</f>
        <v/>
      </c>
      <c r="BF105" s="161">
        <f>IF(GH105="","",IF(ISNUMBER('Dvd Calendar'!$T$1042)=FALSE,"",'Dvd Calendar'!$T$1042))</f>
        <v/>
      </c>
      <c r="BG105" s="161">
        <f>IF(GI105="","",IF(ISNUMBER('Dvd Calendar'!$U$1042)=FALSE,"",'Dvd Calendar'!$U$1042))</f>
        <v/>
      </c>
      <c r="BH105" s="161">
        <f>IF(GJ105="","",IF(ISNUMBER('Dvd Calendar'!$V$1042)=FALSE,"",'Dvd Calendar'!$V$1042))</f>
        <v/>
      </c>
      <c r="BI105" s="161">
        <f>IF(GK105="","",IF(ISNUMBER('Dvd Calendar'!$W$1042)=FALSE,"",'Dvd Calendar'!$W$1042))</f>
        <v/>
      </c>
      <c r="BJ105" s="161">
        <f>IF(GL105="","",IF(ISNUMBER('Dvd Calendar'!$X$1042)=FALSE,"",'Dvd Calendar'!$X$1042))</f>
        <v/>
      </c>
      <c r="BK105" s="161">
        <f>IF(GM105="","",IF(ISNUMBER('Dvd Calendar'!$Y$1042)=FALSE,"",'Dvd Calendar'!$Y$1042))</f>
        <v/>
      </c>
      <c r="BL105" s="161">
        <f>IF(GN105="","",IF(ISNUMBER('Dvd Calendar'!$Z$1042)=FALSE,"",'Dvd Calendar'!$Z$1042))</f>
        <v/>
      </c>
      <c r="BM105" s="161">
        <f>IF(GO105="","",IF(ISNUMBER('Dvd Calendar'!$AA$1042)=FALSE,"",'Dvd Calendar'!$AA$1042))</f>
        <v/>
      </c>
      <c r="BN105" s="161">
        <f>IF(GP105="","",IF(ISNUMBER('Dvd Calendar'!$AB$1042)=FALSE,"",'Dvd Calendar'!$AB$1042))</f>
        <v/>
      </c>
      <c r="BO105" s="161">
        <f>IF(GQ105="","",IF(ISNUMBER('Dvd Calendar'!$AC$1042)=FALSE,"",'Dvd Calendar'!$AC$1042))</f>
        <v/>
      </c>
      <c r="BQ105" s="161">
        <f>IF(C105="","",IFERROR(C105*HSI!$B$100*HSI!$G$100/HSI!$B$3,""))</f>
        <v/>
      </c>
      <c r="BR105" s="161">
        <f>IF(D105="","",IFERROR(D105*HSI!$B$100*HSI!$G$100/HSI!$B$3,""))</f>
        <v/>
      </c>
      <c r="BS105" s="161">
        <f>IF(E105="","",IFERROR(E105*HSI!$B$100*HSI!$G$100/HSI!$B$3,""))</f>
        <v/>
      </c>
      <c r="BT105" s="161">
        <f>IF(F105="","",IFERROR(F105*HSI!$B$100*HSI!$G$100/HSI!$B$3,""))</f>
        <v/>
      </c>
      <c r="BU105" s="161">
        <f>IF(G105="","",IFERROR(G105*HSI!$B$100*HSI!$G$100/HSI!$B$3,""))</f>
        <v/>
      </c>
      <c r="BV105" s="161">
        <f>IF(H105="","",IFERROR(H105*HSI!$B$100*HSI!$G$100/HSI!$B$3,""))</f>
        <v/>
      </c>
      <c r="BW105" s="161">
        <f>IF(I105="","",IFERROR(I105*HSI!$B$100*HSI!$G$100/HSI!$B$3,""))</f>
        <v/>
      </c>
      <c r="BX105" s="161">
        <f>IF(J105="","",IFERROR(J105*HSI!$B$100*HSI!$G$100/HSI!$B$3,""))</f>
        <v/>
      </c>
      <c r="BY105" s="161">
        <f>IF(K105="","",IFERROR(K105*HSI!$B$100*HSI!$G$100/HSI!$B$3,""))</f>
        <v/>
      </c>
      <c r="BZ105" s="161">
        <f>IF(L105="","",IFERROR(L105*HSI!$B$100*HSI!$G$100/HSI!$B$3,""))</f>
        <v/>
      </c>
      <c r="CA105" s="161">
        <f>IF(M105="","",IFERROR(M105*HSI!$B$100*HSI!$G$100/HSI!$B$3,""))</f>
        <v/>
      </c>
      <c r="CB105" s="161">
        <f>IF(N105="","",IFERROR(N105*HSI!$B$100*HSI!$G$100/HSI!$B$3,""))</f>
        <v/>
      </c>
      <c r="CC105" s="161">
        <f>IF(O105="","",IFERROR(O105*HSI!$B$100*HSI!$G$100/HSI!$B$3,""))</f>
        <v/>
      </c>
      <c r="CD105" s="161">
        <f>IF(P105="","",IFERROR(P105*HSI!$B$100*HSI!$G$100/HSI!$B$3,""))</f>
        <v/>
      </c>
      <c r="CE105" s="161">
        <f>IF(Q105="","",IFERROR(Q105*HSI!$B$100*HSI!$G$100/HSI!$B$3,""))</f>
        <v/>
      </c>
      <c r="CF105" s="161">
        <f>IF(R105="","",IFERROR(R105*HSI!$B$100*HSI!$G$100/HSI!$B$3,""))</f>
        <v/>
      </c>
      <c r="CG105" s="161">
        <f>IF(S105="","",IFERROR(S105*HSI!$B$100*HSI!$G$100/HSI!$B$3,""))</f>
        <v/>
      </c>
      <c r="CH105" s="161">
        <f>IF(T105="","",IFERROR(T105*HSI!$B$100*HSI!$G$100/HSI!$B$3,""))</f>
        <v/>
      </c>
      <c r="CI105" s="161">
        <f>IF(U105="","",IFERROR(U105*HSI!$B$100*HSI!$G$100/HSI!$B$3,""))</f>
        <v/>
      </c>
      <c r="CJ105" s="161">
        <f>IF(V105="","",IFERROR(V105*HSI!$B$100*HSI!$G$100/HSI!$B$3,""))</f>
        <v/>
      </c>
      <c r="CK105" s="161">
        <f>IF(W105="","",IFERROR(W105*HSI!$B$100*HSI!$G$100/HSI!$B$3,""))</f>
        <v/>
      </c>
      <c r="CL105" s="161">
        <f>IF(X105="","",IFERROR(X105*HSI!$B$100*HSI!$G$100/HSI!$B$3,""))</f>
        <v/>
      </c>
      <c r="CM105" s="161">
        <f>IF(Y105="","",IFERROR(Y105*HSI!$B$100*HSI!$G$100/HSI!$B$3,""))</f>
        <v/>
      </c>
      <c r="CN105" s="161">
        <f>IF(Z105="","",IFERROR(Z105*HSI!$B$100*HSI!$G$100/HSI!$B$3,""))</f>
        <v/>
      </c>
      <c r="CO105" s="161">
        <f>IF(AA105="","",IFERROR(AA105*HSI!$B$100*HSI!$G$100/HSI!$B$3,""))</f>
        <v/>
      </c>
      <c r="CP105" s="161">
        <f>IF(AB105="","",IFERROR(AB105*HSI!$B$100*HSI!$G$100/HSI!$B$3,""))</f>
        <v/>
      </c>
      <c r="CQ105" s="161">
        <f>IF(AC105="","",IFERROR(AC105*HSI!$B$100*HSI!$G$100/HSI!$B$3,""))</f>
        <v/>
      </c>
      <c r="CR105" s="161">
        <f>IF(AD105="","",IFERROR(AD105*HSI!$B$100*HSI!$G$100/HSI!$B$3,""))</f>
        <v/>
      </c>
      <c r="CS105" s="161">
        <f>IF(AE105="","",IFERROR(AE105*HSI!$B$100*HSI!$G$100/HSI!$B$3,""))</f>
        <v/>
      </c>
      <c r="CT105" s="161">
        <f>IF(AF105="","",IFERROR(AF105*HSI!$B$100*HSI!$G$100/HSI!$B$3,""))</f>
        <v/>
      </c>
      <c r="CU105" s="161">
        <f>IF(AG105="","",IFERROR(AG105*HSI!$B$100*HSI!$G$100/HSI!$B$3,""))</f>
        <v/>
      </c>
      <c r="CV105" s="161">
        <f>IF(AH105="","",IFERROR(AH105*HSI!$B$100*HSI!$G$100/HSI!$B$3,""))</f>
        <v/>
      </c>
      <c r="CW105" s="161">
        <f>IF(AI105="","",IFERROR(AI105*HSI!$B$100*HSI!$G$100/HSI!$B$3,""))</f>
        <v/>
      </c>
      <c r="CX105" s="161">
        <f>IF(AJ105="","",IFERROR(AJ105*HSI!$B$100*HSI!$G$100/HSI!$B$3,""))</f>
        <v/>
      </c>
      <c r="CY105" s="161">
        <f>IF(AK105="","",IFERROR(AK105*HSI!$B$100*HSI!$G$100/HSI!$B$3,""))</f>
        <v/>
      </c>
      <c r="CZ105" s="161">
        <f>IF(AL105="","",IFERROR(AL105*HSI!$B$100*HSI!$G$100/HSI!$B$3,""))</f>
        <v/>
      </c>
      <c r="DA105" s="161">
        <f>IF(AM105="","",IFERROR(AM105*HSI!$B$100*HSI!$G$100/HSI!$B$3,""))</f>
        <v/>
      </c>
      <c r="DB105" s="161">
        <f>IF(AN105="","",IFERROR(AN105*HSI!$B$100*HSI!$G$100/HSI!$B$3,""))</f>
        <v/>
      </c>
      <c r="DC105" s="161">
        <f>IF(AO105="","",IFERROR(AO105*HSI!$B$100*HSI!$G$100/HSI!$B$3,""))</f>
        <v/>
      </c>
      <c r="DD105" s="161">
        <f>IF(AP105="","",IFERROR(AP105*HSI!$B$100*HSI!$G$100/HSI!$B$3,""))</f>
        <v/>
      </c>
      <c r="DE105" s="161">
        <f>IF(AQ105="","",IFERROR(AQ105*HSI!$B$100*HSI!$G$100/HSI!$B$3,""))</f>
        <v/>
      </c>
      <c r="DF105" s="161">
        <f>IF(AR105="","",IFERROR(AR105*HSI!$B$100*HSI!$G$100/HSI!$B$3,""))</f>
        <v/>
      </c>
      <c r="DG105" s="161">
        <f>IF(AS105="","",IFERROR(AS105*HSI!$B$100*HSI!$G$100/HSI!$B$3,""))</f>
        <v/>
      </c>
      <c r="DH105" s="161">
        <f>IF(AT105="","",IFERROR(AT105*HSI!$B$100*HSI!$G$100/HSI!$B$3,""))</f>
        <v/>
      </c>
      <c r="DI105" s="161">
        <f>IF(AU105="","",IFERROR(AU105*HSI!$B$100*HSI!$G$100/HSI!$B$3,""))</f>
        <v/>
      </c>
      <c r="DJ105" s="161">
        <f>IF(AV105="","",IFERROR(AV105*HSI!$B$100*HSI!$G$100/HSI!$B$3,""))</f>
        <v/>
      </c>
      <c r="DK105" s="161">
        <f>IF(AW105="","",IFERROR(AW105*HSI!$B$100*HSI!$G$100/HSI!$B$3,""))</f>
        <v/>
      </c>
      <c r="DL105" s="161">
        <f>IF(AX105="","",IFERROR(AX105*HSI!$B$100*HSI!$G$100/HSI!$B$3,""))</f>
        <v/>
      </c>
      <c r="DM105" s="161">
        <f>IF(AY105="","",IFERROR(AY105*HSI!$B$100*HSI!$G$100/HSI!$B$3,""))</f>
        <v/>
      </c>
      <c r="DN105" s="161">
        <f>IF(AZ105="","",IFERROR(AZ105*HSI!$B$100*HSI!$G$100/HSI!$B$3,""))</f>
        <v/>
      </c>
      <c r="DO105" s="161">
        <f>IF(BA105="","",IFERROR(BA105*HSI!$B$100*HSI!$G$100/HSI!$B$3,""))</f>
        <v/>
      </c>
      <c r="DP105" s="161">
        <f>IF(BB105="","",IFERROR(BB105*HSI!$B$100*HSI!$G$100/HSI!$B$3,""))</f>
        <v/>
      </c>
      <c r="DQ105" s="161">
        <f>IF(BC105="","",IFERROR(BC105*HSI!$B$100*HSI!$G$100/HSI!$B$3,""))</f>
        <v/>
      </c>
      <c r="DR105" s="161">
        <f>IF(BD105="","",IFERROR(BD105*HSI!$B$100*HSI!$G$100/HSI!$B$3,""))</f>
        <v/>
      </c>
      <c r="DS105" s="161">
        <f>IF(BE105="","",IFERROR(BE105*HSI!$B$100*HSI!$G$100/HSI!$B$3,""))</f>
        <v/>
      </c>
      <c r="DT105" s="161">
        <f>IF(BF105="","",IFERROR(BF105*HSI!$B$100*HSI!$G$100/HSI!$B$3,""))</f>
        <v/>
      </c>
      <c r="DU105" s="161">
        <f>IF(BG105="","",IFERROR(BG105*HSI!$B$100*HSI!$G$100/HSI!$B$3,""))</f>
        <v/>
      </c>
      <c r="DV105" s="161">
        <f>IF(BH105="","",IFERROR(BH105*HSI!$B$100*HSI!$G$100/HSI!$B$3,""))</f>
        <v/>
      </c>
      <c r="DW105" s="161">
        <f>IF(BI105="","",IFERROR(BI105*HSI!$B$100*HSI!$G$100/HSI!$B$3,""))</f>
        <v/>
      </c>
      <c r="DX105" s="161">
        <f>IF(BJ105="","",IFERROR(BJ105*HSI!$B$100*HSI!$G$100/HSI!$B$3,""))</f>
        <v/>
      </c>
      <c r="DY105" s="161">
        <f>IF(BK105="","",IFERROR(BK105*HSI!$B$100*HSI!$G$100/HSI!$B$3,""))</f>
        <v/>
      </c>
      <c r="DZ105" s="161">
        <f>IF(BL105="","",IFERROR(BL105*HSI!$B$100*HSI!$G$100/HSI!$B$3,""))</f>
        <v/>
      </c>
      <c r="EA105" s="161">
        <f>IF(BM105="","",IFERROR(BM105*HSI!$B$100*HSI!$G$100/HSI!$B$3,""))</f>
        <v/>
      </c>
      <c r="EB105" s="161">
        <f>IF(BN105="","",IFERROR(BN105*HSI!$B$100*HSI!$G$100/HSI!$B$3,""))</f>
        <v/>
      </c>
      <c r="EC105" s="161">
        <f>IF(BO105="","",IFERROR(BO105*HSI!$B$100*HSI!$G$100/HSI!$B$3,""))</f>
        <v/>
      </c>
      <c r="EE105" s="121">
        <f>IF(N('Dvd Calendar'!$E$1034)=0,"",IF(('Dvd Calendar'!$E$1034&gt;=GRID_FROM)*('Dvd Calendar'!$E$1034&lt;=GRID_TO)*((('Dvd Calendar'!$E$1034&lt;=VAL_DATE)+(COUNTIF('Dvd Calendar'!$E$1041:$AR$1041,'Dvd Calendar'!$E$1034)=0))&gt;0)=0,"",'Dvd Calendar'!$E$1034*1000000000+ISNUMBER('Dvd Calendar'!$E$1037)*100000000+('Dvd Calendar'!$E$1039=SPECIAL_LBL)*10000000+(N('Dvd Calendar'!$E$1033)&gt;0)*(N('Dvd Calendar'!$E$1033)&lt;=VAL_SERIAL)*1000000+94*1000+1))</f>
        <v/>
      </c>
      <c r="EF105" s="121">
        <f>IF(N('Dvd Calendar'!$F$1034)=0,"",IF(('Dvd Calendar'!$F$1034&gt;=GRID_FROM)*('Dvd Calendar'!$F$1034&lt;=GRID_TO)*((('Dvd Calendar'!$F$1034&lt;=VAL_DATE)+(COUNTIF('Dvd Calendar'!$E$1041:$AR$1041,'Dvd Calendar'!$F$1034)=0))&gt;0)=0,"",'Dvd Calendar'!$F$1034*1000000000+ISNUMBER('Dvd Calendar'!$F$1037)*100000000+('Dvd Calendar'!$F$1039=SPECIAL_LBL)*10000000+(N('Dvd Calendar'!$F$1033)&gt;0)*(N('Dvd Calendar'!$F$1033)&lt;=VAL_SERIAL)*1000000+94*1000+2))</f>
        <v/>
      </c>
      <c r="EG105" s="121">
        <f>IF(N('Dvd Calendar'!$G$1034)=0,"",IF(('Dvd Calendar'!$G$1034&gt;=GRID_FROM)*('Dvd Calendar'!$G$1034&lt;=GRID_TO)*((('Dvd Calendar'!$G$1034&lt;=VAL_DATE)+(COUNTIF('Dvd Calendar'!$E$1041:$AR$1041,'Dvd Calendar'!$G$1034)=0))&gt;0)=0,"",'Dvd Calendar'!$G$1034*1000000000+ISNUMBER('Dvd Calendar'!$G$1037)*100000000+('Dvd Calendar'!$G$1039=SPECIAL_LBL)*10000000+(N('Dvd Calendar'!$G$1033)&gt;0)*(N('Dvd Calendar'!$G$1033)&lt;=VAL_SERIAL)*1000000+94*1000+3))</f>
        <v/>
      </c>
      <c r="EH105" s="121">
        <f>IF(N('Dvd Calendar'!$H$1034)=0,"",IF(('Dvd Calendar'!$H$1034&gt;=GRID_FROM)*('Dvd Calendar'!$H$1034&lt;=GRID_TO)*((('Dvd Calendar'!$H$1034&lt;=VAL_DATE)+(COUNTIF('Dvd Calendar'!$E$1041:$AR$1041,'Dvd Calendar'!$H$1034)=0))&gt;0)=0,"",'Dvd Calendar'!$H$1034*1000000000+ISNUMBER('Dvd Calendar'!$H$1037)*100000000+('Dvd Calendar'!$H$1039=SPECIAL_LBL)*10000000+(N('Dvd Calendar'!$H$1033)&gt;0)*(N('Dvd Calendar'!$H$1033)&lt;=VAL_SERIAL)*1000000+94*1000+4))</f>
        <v/>
      </c>
      <c r="EI105" s="121">
        <f>IF(N('Dvd Calendar'!$I$1034)=0,"",IF(('Dvd Calendar'!$I$1034&gt;=GRID_FROM)*('Dvd Calendar'!$I$1034&lt;=GRID_TO)*((('Dvd Calendar'!$I$1034&lt;=VAL_DATE)+(COUNTIF('Dvd Calendar'!$E$1041:$AR$1041,'Dvd Calendar'!$I$1034)=0))&gt;0)=0,"",'Dvd Calendar'!$I$1034*1000000000+ISNUMBER('Dvd Calendar'!$I$1037)*100000000+('Dvd Calendar'!$I$1039=SPECIAL_LBL)*10000000+(N('Dvd Calendar'!$I$1033)&gt;0)*(N('Dvd Calendar'!$I$1033)&lt;=VAL_SERIAL)*1000000+94*1000+5))</f>
        <v/>
      </c>
      <c r="EJ105" s="121">
        <f>IF(N('Dvd Calendar'!$J$1034)=0,"",IF(('Dvd Calendar'!$J$1034&gt;=GRID_FROM)*('Dvd Calendar'!$J$1034&lt;=GRID_TO)*((('Dvd Calendar'!$J$1034&lt;=VAL_DATE)+(COUNTIF('Dvd Calendar'!$E$1041:$AR$1041,'Dvd Calendar'!$J$1034)=0))&gt;0)=0,"",'Dvd Calendar'!$J$1034*1000000000+ISNUMBER('Dvd Calendar'!$J$1037)*100000000+('Dvd Calendar'!$J$1039=SPECIAL_LBL)*10000000+(N('Dvd Calendar'!$J$1033)&gt;0)*(N('Dvd Calendar'!$J$1033)&lt;=VAL_SERIAL)*1000000+94*1000+6))</f>
        <v/>
      </c>
      <c r="EK105" s="121">
        <f>IF(N('Dvd Calendar'!$K$1034)=0,"",IF(('Dvd Calendar'!$K$1034&gt;=GRID_FROM)*('Dvd Calendar'!$K$1034&lt;=GRID_TO)*((('Dvd Calendar'!$K$1034&lt;=VAL_DATE)+(COUNTIF('Dvd Calendar'!$E$1041:$AR$1041,'Dvd Calendar'!$K$1034)=0))&gt;0)=0,"",'Dvd Calendar'!$K$1034*1000000000+ISNUMBER('Dvd Calendar'!$K$1037)*100000000+('Dvd Calendar'!$K$1039=SPECIAL_LBL)*10000000+(N('Dvd Calendar'!$K$1033)&gt;0)*(N('Dvd Calendar'!$K$1033)&lt;=VAL_SERIAL)*1000000+94*1000+7))</f>
        <v/>
      </c>
      <c r="EL105" s="121">
        <f>IF(N('Dvd Calendar'!$L$1034)=0,"",IF(('Dvd Calendar'!$L$1034&gt;=GRID_FROM)*('Dvd Calendar'!$L$1034&lt;=GRID_TO)*((('Dvd Calendar'!$L$1034&lt;=VAL_DATE)+(COUNTIF('Dvd Calendar'!$E$1041:$AR$1041,'Dvd Calendar'!$L$1034)=0))&gt;0)=0,"",'Dvd Calendar'!$L$1034*1000000000+ISNUMBER('Dvd Calendar'!$L$1037)*100000000+('Dvd Calendar'!$L$1039=SPECIAL_LBL)*10000000+(N('Dvd Calendar'!$L$1033)&gt;0)*(N('Dvd Calendar'!$L$1033)&lt;=VAL_SERIAL)*1000000+94*1000+8))</f>
        <v/>
      </c>
      <c r="EM105" s="121">
        <f>IF(N('Dvd Calendar'!$M$1034)=0,"",IF(('Dvd Calendar'!$M$1034&gt;=GRID_FROM)*('Dvd Calendar'!$M$1034&lt;=GRID_TO)*((('Dvd Calendar'!$M$1034&lt;=VAL_DATE)+(COUNTIF('Dvd Calendar'!$E$1041:$AR$1041,'Dvd Calendar'!$M$1034)=0))&gt;0)=0,"",'Dvd Calendar'!$M$1034*1000000000+ISNUMBER('Dvd Calendar'!$M$1037)*100000000+('Dvd Calendar'!$M$1039=SPECIAL_LBL)*10000000+(N('Dvd Calendar'!$M$1033)&gt;0)*(N('Dvd Calendar'!$M$1033)&lt;=VAL_SERIAL)*1000000+94*1000+9))</f>
        <v/>
      </c>
      <c r="EN105" s="121">
        <f>IF(N('Dvd Calendar'!$N$1034)=0,"",IF(('Dvd Calendar'!$N$1034&gt;=GRID_FROM)*('Dvd Calendar'!$N$1034&lt;=GRID_TO)*((('Dvd Calendar'!$N$1034&lt;=VAL_DATE)+(COUNTIF('Dvd Calendar'!$E$1041:$AR$1041,'Dvd Calendar'!$N$1034)=0))&gt;0)=0,"",'Dvd Calendar'!$N$1034*1000000000+ISNUMBER('Dvd Calendar'!$N$1037)*100000000+('Dvd Calendar'!$N$1039=SPECIAL_LBL)*10000000+(N('Dvd Calendar'!$N$1033)&gt;0)*(N('Dvd Calendar'!$N$1033)&lt;=VAL_SERIAL)*1000000+94*1000+10))</f>
        <v/>
      </c>
      <c r="EO105" s="121">
        <f>IF(N('Dvd Calendar'!$O$1034)=0,"",IF(('Dvd Calendar'!$O$1034&gt;=GRID_FROM)*('Dvd Calendar'!$O$1034&lt;=GRID_TO)*((('Dvd Calendar'!$O$1034&lt;=VAL_DATE)+(COUNTIF('Dvd Calendar'!$E$1041:$AR$1041,'Dvd Calendar'!$O$1034)=0))&gt;0)=0,"",'Dvd Calendar'!$O$1034*1000000000+ISNUMBER('Dvd Calendar'!$O$1037)*100000000+('Dvd Calendar'!$O$1039=SPECIAL_LBL)*10000000+(N('Dvd Calendar'!$O$1033)&gt;0)*(N('Dvd Calendar'!$O$1033)&lt;=VAL_SERIAL)*1000000+94*1000+11))</f>
        <v/>
      </c>
      <c r="EP105" s="121">
        <f>IF(N('Dvd Calendar'!$P$1034)=0,"",IF(('Dvd Calendar'!$P$1034&gt;=GRID_FROM)*('Dvd Calendar'!$P$1034&lt;=GRID_TO)*((('Dvd Calendar'!$P$1034&lt;=VAL_DATE)+(COUNTIF('Dvd Calendar'!$E$1041:$AR$1041,'Dvd Calendar'!$P$1034)=0))&gt;0)=0,"",'Dvd Calendar'!$P$1034*1000000000+ISNUMBER('Dvd Calendar'!$P$1037)*100000000+('Dvd Calendar'!$P$1039=SPECIAL_LBL)*10000000+(N('Dvd Calendar'!$P$1033)&gt;0)*(N('Dvd Calendar'!$P$1033)&lt;=VAL_SERIAL)*1000000+94*1000+12))</f>
        <v/>
      </c>
      <c r="EQ105" s="121">
        <f>IF(N('Dvd Calendar'!$Q$1034)=0,"",IF(('Dvd Calendar'!$Q$1034&gt;=GRID_FROM)*('Dvd Calendar'!$Q$1034&lt;=GRID_TO)*((('Dvd Calendar'!$Q$1034&lt;=VAL_DATE)+(COUNTIF('Dvd Calendar'!$E$1041:$AR$1041,'Dvd Calendar'!$Q$1034)=0))&gt;0)=0,"",'Dvd Calendar'!$Q$1034*1000000000+ISNUMBER('Dvd Calendar'!$Q$1037)*100000000+('Dvd Calendar'!$Q$1039=SPECIAL_LBL)*10000000+(N('Dvd Calendar'!$Q$1033)&gt;0)*(N('Dvd Calendar'!$Q$1033)&lt;=VAL_SERIAL)*1000000+94*1000+13))</f>
        <v/>
      </c>
      <c r="ER105" s="121">
        <f>IF(N('Dvd Calendar'!$R$1034)=0,"",IF(('Dvd Calendar'!$R$1034&gt;=GRID_FROM)*('Dvd Calendar'!$R$1034&lt;=GRID_TO)*((('Dvd Calendar'!$R$1034&lt;=VAL_DATE)+(COUNTIF('Dvd Calendar'!$E$1041:$AR$1041,'Dvd Calendar'!$R$1034)=0))&gt;0)=0,"",'Dvd Calendar'!$R$1034*1000000000+ISNUMBER('Dvd Calendar'!$R$1037)*100000000+('Dvd Calendar'!$R$1039=SPECIAL_LBL)*10000000+(N('Dvd Calendar'!$R$1033)&gt;0)*(N('Dvd Calendar'!$R$1033)&lt;=VAL_SERIAL)*1000000+94*1000+14))</f>
        <v/>
      </c>
      <c r="ES105" s="121">
        <f>IF(N('Dvd Calendar'!$S$1034)=0,"",IF(('Dvd Calendar'!$S$1034&gt;=GRID_FROM)*('Dvd Calendar'!$S$1034&lt;=GRID_TO)*((('Dvd Calendar'!$S$1034&lt;=VAL_DATE)+(COUNTIF('Dvd Calendar'!$E$1041:$AR$1041,'Dvd Calendar'!$S$1034)=0))&gt;0)=0,"",'Dvd Calendar'!$S$1034*1000000000+ISNUMBER('Dvd Calendar'!$S$1037)*100000000+('Dvd Calendar'!$S$1039=SPECIAL_LBL)*10000000+(N('Dvd Calendar'!$S$1033)&gt;0)*(N('Dvd Calendar'!$S$1033)&lt;=VAL_SERIAL)*1000000+94*1000+15))</f>
        <v/>
      </c>
      <c r="ET105" s="121">
        <f>IF(N('Dvd Calendar'!$T$1034)=0,"",IF(('Dvd Calendar'!$T$1034&gt;=GRID_FROM)*('Dvd Calendar'!$T$1034&lt;=GRID_TO)*((('Dvd Calendar'!$T$1034&lt;=VAL_DATE)+(COUNTIF('Dvd Calendar'!$E$1041:$AR$1041,'Dvd Calendar'!$T$1034)=0))&gt;0)=0,"",'Dvd Calendar'!$T$1034*1000000000+ISNUMBER('Dvd Calendar'!$T$1037)*100000000+('Dvd Calendar'!$T$1039=SPECIAL_LBL)*10000000+(N('Dvd Calendar'!$T$1033)&gt;0)*(N('Dvd Calendar'!$T$1033)&lt;=VAL_SERIAL)*1000000+94*1000+16))</f>
        <v/>
      </c>
      <c r="EU105" s="121">
        <f>IF(N('Dvd Calendar'!$U$1034)=0,"",IF(('Dvd Calendar'!$U$1034&gt;=GRID_FROM)*('Dvd Calendar'!$U$1034&lt;=GRID_TO)*((('Dvd Calendar'!$U$1034&lt;=VAL_DATE)+(COUNTIF('Dvd Calendar'!$E$1041:$AR$1041,'Dvd Calendar'!$U$1034)=0))&gt;0)=0,"",'Dvd Calendar'!$U$1034*1000000000+ISNUMBER('Dvd Calendar'!$U$1037)*100000000+('Dvd Calendar'!$U$1039=SPECIAL_LBL)*10000000+(N('Dvd Calendar'!$U$1033)&gt;0)*(N('Dvd Calendar'!$U$1033)&lt;=VAL_SERIAL)*1000000+94*1000+17))</f>
        <v/>
      </c>
      <c r="EV105" s="121">
        <f>IF(N('Dvd Calendar'!$V$1034)=0,"",IF(('Dvd Calendar'!$V$1034&gt;=GRID_FROM)*('Dvd Calendar'!$V$1034&lt;=GRID_TO)*((('Dvd Calendar'!$V$1034&lt;=VAL_DATE)+(COUNTIF('Dvd Calendar'!$E$1041:$AR$1041,'Dvd Calendar'!$V$1034)=0))&gt;0)=0,"",'Dvd Calendar'!$V$1034*1000000000+ISNUMBER('Dvd Calendar'!$V$1037)*100000000+('Dvd Calendar'!$V$1039=SPECIAL_LBL)*10000000+(N('Dvd Calendar'!$V$1033)&gt;0)*(N('Dvd Calendar'!$V$1033)&lt;=VAL_SERIAL)*1000000+94*1000+18))</f>
        <v/>
      </c>
      <c r="EW105" s="121">
        <f>IF(N('Dvd Calendar'!$W$1034)=0,"",IF(('Dvd Calendar'!$W$1034&gt;=GRID_FROM)*('Dvd Calendar'!$W$1034&lt;=GRID_TO)*((('Dvd Calendar'!$W$1034&lt;=VAL_DATE)+(COUNTIF('Dvd Calendar'!$E$1041:$AR$1041,'Dvd Calendar'!$W$1034)=0))&gt;0)=0,"",'Dvd Calendar'!$W$1034*1000000000+ISNUMBER('Dvd Calendar'!$W$1037)*100000000+('Dvd Calendar'!$W$1039=SPECIAL_LBL)*10000000+(N('Dvd Calendar'!$W$1033)&gt;0)*(N('Dvd Calendar'!$W$1033)&lt;=VAL_SERIAL)*1000000+94*1000+19))</f>
        <v/>
      </c>
      <c r="EX105" s="121">
        <f>IF(N('Dvd Calendar'!$X$1034)=0,"",IF(('Dvd Calendar'!$X$1034&gt;=GRID_FROM)*('Dvd Calendar'!$X$1034&lt;=GRID_TO)*((('Dvd Calendar'!$X$1034&lt;=VAL_DATE)+(COUNTIF('Dvd Calendar'!$E$1041:$AR$1041,'Dvd Calendar'!$X$1034)=0))&gt;0)=0,"",'Dvd Calendar'!$X$1034*1000000000+ISNUMBER('Dvd Calendar'!$X$1037)*100000000+('Dvd Calendar'!$X$1039=SPECIAL_LBL)*10000000+(N('Dvd Calendar'!$X$1033)&gt;0)*(N('Dvd Calendar'!$X$1033)&lt;=VAL_SERIAL)*1000000+94*1000+20))</f>
        <v/>
      </c>
      <c r="EY105" s="121">
        <f>IF(N('Dvd Calendar'!$Y$1034)=0,"",IF(('Dvd Calendar'!$Y$1034&gt;=GRID_FROM)*('Dvd Calendar'!$Y$1034&lt;=GRID_TO)*((('Dvd Calendar'!$Y$1034&lt;=VAL_DATE)+(COUNTIF('Dvd Calendar'!$E$1041:$AR$1041,'Dvd Calendar'!$Y$1034)=0))&gt;0)=0,"",'Dvd Calendar'!$Y$1034*1000000000+ISNUMBER('Dvd Calendar'!$Y$1037)*100000000+('Dvd Calendar'!$Y$1039=SPECIAL_LBL)*10000000+(N('Dvd Calendar'!$Y$1033)&gt;0)*(N('Dvd Calendar'!$Y$1033)&lt;=VAL_SERIAL)*1000000+94*1000+21))</f>
        <v/>
      </c>
      <c r="EZ105" s="121">
        <f>IF(N('Dvd Calendar'!$Z$1034)=0,"",IF(('Dvd Calendar'!$Z$1034&gt;=GRID_FROM)*('Dvd Calendar'!$Z$1034&lt;=GRID_TO)*((('Dvd Calendar'!$Z$1034&lt;=VAL_DATE)+(COUNTIF('Dvd Calendar'!$E$1041:$AR$1041,'Dvd Calendar'!$Z$1034)=0))&gt;0)=0,"",'Dvd Calendar'!$Z$1034*1000000000+ISNUMBER('Dvd Calendar'!$Z$1037)*100000000+('Dvd Calendar'!$Z$1039=SPECIAL_LBL)*10000000+(N('Dvd Calendar'!$Z$1033)&gt;0)*(N('Dvd Calendar'!$Z$1033)&lt;=VAL_SERIAL)*1000000+94*1000+22))</f>
        <v/>
      </c>
      <c r="FA105" s="121">
        <f>IF(N('Dvd Calendar'!$AA$1034)=0,"",IF(('Dvd Calendar'!$AA$1034&gt;=GRID_FROM)*('Dvd Calendar'!$AA$1034&lt;=GRID_TO)*((('Dvd Calendar'!$AA$1034&lt;=VAL_DATE)+(COUNTIF('Dvd Calendar'!$E$1041:$AR$1041,'Dvd Calendar'!$AA$1034)=0))&gt;0)=0,"",'Dvd Calendar'!$AA$1034*1000000000+ISNUMBER('Dvd Calendar'!$AA$1037)*100000000+('Dvd Calendar'!$AA$1039=SPECIAL_LBL)*10000000+(N('Dvd Calendar'!$AA$1033)&gt;0)*(N('Dvd Calendar'!$AA$1033)&lt;=VAL_SERIAL)*1000000+94*1000+23))</f>
        <v/>
      </c>
      <c r="FB105" s="121">
        <f>IF(N('Dvd Calendar'!$AB$1034)=0,"",IF(('Dvd Calendar'!$AB$1034&gt;=GRID_FROM)*('Dvd Calendar'!$AB$1034&lt;=GRID_TO)*((('Dvd Calendar'!$AB$1034&lt;=VAL_DATE)+(COUNTIF('Dvd Calendar'!$E$1041:$AR$1041,'Dvd Calendar'!$AB$1034)=0))&gt;0)=0,"",'Dvd Calendar'!$AB$1034*1000000000+ISNUMBER('Dvd Calendar'!$AB$1037)*100000000+('Dvd Calendar'!$AB$1039=SPECIAL_LBL)*10000000+(N('Dvd Calendar'!$AB$1033)&gt;0)*(N('Dvd Calendar'!$AB$1033)&lt;=VAL_SERIAL)*1000000+94*1000+24))</f>
        <v/>
      </c>
      <c r="FC105" s="121">
        <f>IF(N('Dvd Calendar'!$AC$1034)=0,"",IF(('Dvd Calendar'!$AC$1034&gt;=GRID_FROM)*('Dvd Calendar'!$AC$1034&lt;=GRID_TO)*((('Dvd Calendar'!$AC$1034&lt;=VAL_DATE)+(COUNTIF('Dvd Calendar'!$E$1041:$AR$1041,'Dvd Calendar'!$AC$1034)=0))&gt;0)=0,"",'Dvd Calendar'!$AC$1034*1000000000+ISNUMBER('Dvd Calendar'!$AC$1037)*100000000+('Dvd Calendar'!$AC$1039=SPECIAL_LBL)*10000000+(N('Dvd Calendar'!$AC$1033)&gt;0)*(N('Dvd Calendar'!$AC$1033)&lt;=VAL_SERIAL)*1000000+94*1000+25))</f>
        <v/>
      </c>
      <c r="FD105" s="121">
        <f>IF(N('Dvd Calendar'!$AD$1034)=0,"",IF(('Dvd Calendar'!$AD$1034&gt;=GRID_FROM)*('Dvd Calendar'!$AD$1034&lt;=GRID_TO)*((('Dvd Calendar'!$AD$1034&lt;=VAL_DATE)+(COUNTIF('Dvd Calendar'!$E$1041:$AR$1041,'Dvd Calendar'!$AD$1034)=0))&gt;0)=0,"",'Dvd Calendar'!$AD$1034*1000000000+ISNUMBER('Dvd Calendar'!$AD$1037)*100000000+('Dvd Calendar'!$AD$1039=SPECIAL_LBL)*10000000+(N('Dvd Calendar'!$AD$1033)&gt;0)*(N('Dvd Calendar'!$AD$1033)&lt;=VAL_SERIAL)*1000000+94*1000+26))</f>
        <v/>
      </c>
      <c r="FE105" s="121">
        <f>IF(N('Dvd Calendar'!$AE$1034)=0,"",IF(('Dvd Calendar'!$AE$1034&gt;=GRID_FROM)*('Dvd Calendar'!$AE$1034&lt;=GRID_TO)*((('Dvd Calendar'!$AE$1034&lt;=VAL_DATE)+(COUNTIF('Dvd Calendar'!$E$1041:$AR$1041,'Dvd Calendar'!$AE$1034)=0))&gt;0)=0,"",'Dvd Calendar'!$AE$1034*1000000000+ISNUMBER('Dvd Calendar'!$AE$1037)*100000000+('Dvd Calendar'!$AE$1039=SPECIAL_LBL)*10000000+(N('Dvd Calendar'!$AE$1033)&gt;0)*(N('Dvd Calendar'!$AE$1033)&lt;=VAL_SERIAL)*1000000+94*1000+27))</f>
        <v/>
      </c>
      <c r="FF105" s="121">
        <f>IF(N('Dvd Calendar'!$AF$1034)=0,"",IF(('Dvd Calendar'!$AF$1034&gt;=GRID_FROM)*('Dvd Calendar'!$AF$1034&lt;=GRID_TO)*((('Dvd Calendar'!$AF$1034&lt;=VAL_DATE)+(COUNTIF('Dvd Calendar'!$E$1041:$AR$1041,'Dvd Calendar'!$AF$1034)=0))&gt;0)=0,"",'Dvd Calendar'!$AF$1034*1000000000+ISNUMBER('Dvd Calendar'!$AF$1037)*100000000+('Dvd Calendar'!$AF$1039=SPECIAL_LBL)*10000000+(N('Dvd Calendar'!$AF$1033)&gt;0)*(N('Dvd Calendar'!$AF$1033)&lt;=VAL_SERIAL)*1000000+94*1000+28))</f>
        <v/>
      </c>
      <c r="FG105" s="121">
        <f>IF(N('Dvd Calendar'!$AG$1034)=0,"",IF(('Dvd Calendar'!$AG$1034&gt;=GRID_FROM)*('Dvd Calendar'!$AG$1034&lt;=GRID_TO)*((('Dvd Calendar'!$AG$1034&lt;=VAL_DATE)+(COUNTIF('Dvd Calendar'!$E$1041:$AR$1041,'Dvd Calendar'!$AG$1034)=0))&gt;0)=0,"",'Dvd Calendar'!$AG$1034*1000000000+ISNUMBER('Dvd Calendar'!$AG$1037)*100000000+('Dvd Calendar'!$AG$1039=SPECIAL_LBL)*10000000+(N('Dvd Calendar'!$AG$1033)&gt;0)*(N('Dvd Calendar'!$AG$1033)&lt;=VAL_SERIAL)*1000000+94*1000+29))</f>
        <v/>
      </c>
      <c r="FH105" s="121">
        <f>IF(N('Dvd Calendar'!$AH$1034)=0,"",IF(('Dvd Calendar'!$AH$1034&gt;=GRID_FROM)*('Dvd Calendar'!$AH$1034&lt;=GRID_TO)*((('Dvd Calendar'!$AH$1034&lt;=VAL_DATE)+(COUNTIF('Dvd Calendar'!$E$1041:$AR$1041,'Dvd Calendar'!$AH$1034)=0))&gt;0)=0,"",'Dvd Calendar'!$AH$1034*1000000000+ISNUMBER('Dvd Calendar'!$AH$1037)*100000000+('Dvd Calendar'!$AH$1039=SPECIAL_LBL)*10000000+(N('Dvd Calendar'!$AH$1033)&gt;0)*(N('Dvd Calendar'!$AH$1033)&lt;=VAL_SERIAL)*1000000+94*1000+30))</f>
        <v/>
      </c>
      <c r="FI105" s="121">
        <f>IF(N('Dvd Calendar'!$AI$1034)=0,"",IF(('Dvd Calendar'!$AI$1034&gt;=GRID_FROM)*('Dvd Calendar'!$AI$1034&lt;=GRID_TO)*((('Dvd Calendar'!$AI$1034&lt;=VAL_DATE)+(COUNTIF('Dvd Calendar'!$E$1041:$AR$1041,'Dvd Calendar'!$AI$1034)=0))&gt;0)=0,"",'Dvd Calendar'!$AI$1034*1000000000+ISNUMBER('Dvd Calendar'!$AI$1037)*100000000+('Dvd Calendar'!$AI$1039=SPECIAL_LBL)*10000000+(N('Dvd Calendar'!$AI$1033)&gt;0)*(N('Dvd Calendar'!$AI$1033)&lt;=VAL_SERIAL)*1000000+94*1000+31))</f>
        <v/>
      </c>
      <c r="FJ105" s="121">
        <f>IF(N('Dvd Calendar'!$AJ$1034)=0,"",IF(('Dvd Calendar'!$AJ$1034&gt;=GRID_FROM)*('Dvd Calendar'!$AJ$1034&lt;=GRID_TO)*((('Dvd Calendar'!$AJ$1034&lt;=VAL_DATE)+(COUNTIF('Dvd Calendar'!$E$1041:$AR$1041,'Dvd Calendar'!$AJ$1034)=0))&gt;0)=0,"",'Dvd Calendar'!$AJ$1034*1000000000+ISNUMBER('Dvd Calendar'!$AJ$1037)*100000000+('Dvd Calendar'!$AJ$1039=SPECIAL_LBL)*10000000+(N('Dvd Calendar'!$AJ$1033)&gt;0)*(N('Dvd Calendar'!$AJ$1033)&lt;=VAL_SERIAL)*1000000+94*1000+32))</f>
        <v/>
      </c>
      <c r="FK105" s="121">
        <f>IF(N('Dvd Calendar'!$AK$1034)=0,"",IF(('Dvd Calendar'!$AK$1034&gt;=GRID_FROM)*('Dvd Calendar'!$AK$1034&lt;=GRID_TO)*((('Dvd Calendar'!$AK$1034&lt;=VAL_DATE)+(COUNTIF('Dvd Calendar'!$E$1041:$AR$1041,'Dvd Calendar'!$AK$1034)=0))&gt;0)=0,"",'Dvd Calendar'!$AK$1034*1000000000+ISNUMBER('Dvd Calendar'!$AK$1037)*100000000+('Dvd Calendar'!$AK$1039=SPECIAL_LBL)*10000000+(N('Dvd Calendar'!$AK$1033)&gt;0)*(N('Dvd Calendar'!$AK$1033)&lt;=VAL_SERIAL)*1000000+94*1000+33))</f>
        <v/>
      </c>
      <c r="FL105" s="121">
        <f>IF(N('Dvd Calendar'!$AL$1034)=0,"",IF(('Dvd Calendar'!$AL$1034&gt;=GRID_FROM)*('Dvd Calendar'!$AL$1034&lt;=GRID_TO)*((('Dvd Calendar'!$AL$1034&lt;=VAL_DATE)+(COUNTIF('Dvd Calendar'!$E$1041:$AR$1041,'Dvd Calendar'!$AL$1034)=0))&gt;0)=0,"",'Dvd Calendar'!$AL$1034*1000000000+ISNUMBER('Dvd Calendar'!$AL$1037)*100000000+('Dvd Calendar'!$AL$1039=SPECIAL_LBL)*10000000+(N('Dvd Calendar'!$AL$1033)&gt;0)*(N('Dvd Calendar'!$AL$1033)&lt;=VAL_SERIAL)*1000000+94*1000+34))</f>
        <v/>
      </c>
      <c r="FM105" s="121">
        <f>IF(N('Dvd Calendar'!$AM$1034)=0,"",IF(('Dvd Calendar'!$AM$1034&gt;=GRID_FROM)*('Dvd Calendar'!$AM$1034&lt;=GRID_TO)*((('Dvd Calendar'!$AM$1034&lt;=VAL_DATE)+(COUNTIF('Dvd Calendar'!$E$1041:$AR$1041,'Dvd Calendar'!$AM$1034)=0))&gt;0)=0,"",'Dvd Calendar'!$AM$1034*1000000000+ISNUMBER('Dvd Calendar'!$AM$1037)*100000000+('Dvd Calendar'!$AM$1039=SPECIAL_LBL)*10000000+(N('Dvd Calendar'!$AM$1033)&gt;0)*(N('Dvd Calendar'!$AM$1033)&lt;=VAL_SERIAL)*1000000+94*1000+35))</f>
        <v/>
      </c>
      <c r="FN105" s="121">
        <f>IF(N('Dvd Calendar'!$AN$1034)=0,"",IF(('Dvd Calendar'!$AN$1034&gt;=GRID_FROM)*('Dvd Calendar'!$AN$1034&lt;=GRID_TO)*((('Dvd Calendar'!$AN$1034&lt;=VAL_DATE)+(COUNTIF('Dvd Calendar'!$E$1041:$AR$1041,'Dvd Calendar'!$AN$1034)=0))&gt;0)=0,"",'Dvd Calendar'!$AN$1034*1000000000+ISNUMBER('Dvd Calendar'!$AN$1037)*100000000+('Dvd Calendar'!$AN$1039=SPECIAL_LBL)*10000000+(N('Dvd Calendar'!$AN$1033)&gt;0)*(N('Dvd Calendar'!$AN$1033)&lt;=VAL_SERIAL)*1000000+94*1000+36))</f>
        <v/>
      </c>
      <c r="FO105" s="121">
        <f>IF(N('Dvd Calendar'!$AO$1034)=0,"",IF(('Dvd Calendar'!$AO$1034&gt;=GRID_FROM)*('Dvd Calendar'!$AO$1034&lt;=GRID_TO)*((('Dvd Calendar'!$AO$1034&lt;=VAL_DATE)+(COUNTIF('Dvd Calendar'!$E$1041:$AR$1041,'Dvd Calendar'!$AO$1034)=0))&gt;0)=0,"",'Dvd Calendar'!$AO$1034*1000000000+ISNUMBER('Dvd Calendar'!$AO$1037)*100000000+('Dvd Calendar'!$AO$1039=SPECIAL_LBL)*10000000+(N('Dvd Calendar'!$AO$1033)&gt;0)*(N('Dvd Calendar'!$AO$1033)&lt;=VAL_SERIAL)*1000000+94*1000+37))</f>
        <v/>
      </c>
      <c r="FP105" s="121">
        <f>IF(N('Dvd Calendar'!$AP$1034)=0,"",IF(('Dvd Calendar'!$AP$1034&gt;=GRID_FROM)*('Dvd Calendar'!$AP$1034&lt;=GRID_TO)*((('Dvd Calendar'!$AP$1034&lt;=VAL_DATE)+(COUNTIF('Dvd Calendar'!$E$1041:$AR$1041,'Dvd Calendar'!$AP$1034)=0))&gt;0)=0,"",'Dvd Calendar'!$AP$1034*1000000000+ISNUMBER('Dvd Calendar'!$AP$1037)*100000000+('Dvd Calendar'!$AP$1039=SPECIAL_LBL)*10000000+(N('Dvd Calendar'!$AP$1033)&gt;0)*(N('Dvd Calendar'!$AP$1033)&lt;=VAL_SERIAL)*1000000+94*1000+38))</f>
        <v/>
      </c>
      <c r="FQ105" s="121">
        <f>IF(N('Dvd Calendar'!$AQ$1034)=0,"",IF(('Dvd Calendar'!$AQ$1034&gt;=GRID_FROM)*('Dvd Calendar'!$AQ$1034&lt;=GRID_TO)*((('Dvd Calendar'!$AQ$1034&lt;=VAL_DATE)+(COUNTIF('Dvd Calendar'!$E$1041:$AR$1041,'Dvd Calendar'!$AQ$1034)=0))&gt;0)=0,"",'Dvd Calendar'!$AQ$1034*1000000000+ISNUMBER('Dvd Calendar'!$AQ$1037)*100000000+('Dvd Calendar'!$AQ$1039=SPECIAL_LBL)*10000000+(N('Dvd Calendar'!$AQ$1033)&gt;0)*(N('Dvd Calendar'!$AQ$1033)&lt;=VAL_SERIAL)*1000000+94*1000+39))</f>
        <v/>
      </c>
      <c r="FR105" s="121">
        <f>IF(N('Dvd Calendar'!$AR$1034)=0,"",IF(('Dvd Calendar'!$AR$1034&gt;=GRID_FROM)*('Dvd Calendar'!$AR$1034&lt;=GRID_TO)*((('Dvd Calendar'!$AR$1034&lt;=VAL_DATE)+(COUNTIF('Dvd Calendar'!$E$1041:$AR$1041,'Dvd Calendar'!$AR$1034)=0))&gt;0)=0,"",'Dvd Calendar'!$AR$1034*1000000000+ISNUMBER('Dvd Calendar'!$AR$1037)*100000000+('Dvd Calendar'!$AR$1039=SPECIAL_LBL)*10000000+(N('Dvd Calendar'!$AR$1033)&gt;0)*(N('Dvd Calendar'!$AR$1033)&lt;=VAL_SERIAL)*1000000+94*1000+40))</f>
        <v/>
      </c>
      <c r="FS105" s="121">
        <f>IF(N('Dvd Calendar'!$E$1041)=0,"",IF(('Dvd Calendar'!$E$1041&gt;=GRID_FROM)*('Dvd Calendar'!$E$1041&lt;=GRID_TO)*('Dvd Calendar'!$E$1041&gt;VAL_DATE)=0,"",'Dvd Calendar'!$E$1041*1000000000+ISNUMBER('Dvd Calendar'!$E$1042)*100000000+0*10000000+(N('Dvd Calendar'!$E$1040)&gt;0)*(N('Dvd Calendar'!$E$1040)&lt;=VAL_SERIAL)*1000000+94*1000+41))</f>
        <v/>
      </c>
      <c r="FT105" s="121">
        <f>IF(N('Dvd Calendar'!$F$1041)=0,"",IF(('Dvd Calendar'!$F$1041&gt;=GRID_FROM)*('Dvd Calendar'!$F$1041&lt;=GRID_TO)*('Dvd Calendar'!$F$1041&gt;VAL_DATE)=0,"",'Dvd Calendar'!$F$1041*1000000000+ISNUMBER('Dvd Calendar'!$F$1042)*100000000+0*10000000+(N('Dvd Calendar'!$F$1040)&gt;0)*(N('Dvd Calendar'!$F$1040)&lt;=VAL_SERIAL)*1000000+94*1000+42))</f>
        <v/>
      </c>
      <c r="FU105" s="121">
        <f>IF(N('Dvd Calendar'!$G$1041)=0,"",IF(('Dvd Calendar'!$G$1041&gt;=GRID_FROM)*('Dvd Calendar'!$G$1041&lt;=GRID_TO)*('Dvd Calendar'!$G$1041&gt;VAL_DATE)=0,"",'Dvd Calendar'!$G$1041*1000000000+ISNUMBER('Dvd Calendar'!$G$1042)*100000000+0*10000000+(N('Dvd Calendar'!$G$1040)&gt;0)*(N('Dvd Calendar'!$G$1040)&lt;=VAL_SERIAL)*1000000+94*1000+43))</f>
        <v/>
      </c>
      <c r="FV105" s="121">
        <f>IF(N('Dvd Calendar'!$H$1041)=0,"",IF(('Dvd Calendar'!$H$1041&gt;=GRID_FROM)*('Dvd Calendar'!$H$1041&lt;=GRID_TO)*('Dvd Calendar'!$H$1041&gt;VAL_DATE)=0,"",'Dvd Calendar'!$H$1041*1000000000+ISNUMBER('Dvd Calendar'!$H$1042)*100000000+0*10000000+(N('Dvd Calendar'!$H$1040)&gt;0)*(N('Dvd Calendar'!$H$1040)&lt;=VAL_SERIAL)*1000000+94*1000+44))</f>
        <v/>
      </c>
      <c r="FW105" s="121">
        <f>IF(N('Dvd Calendar'!$I$1041)=0,"",IF(('Dvd Calendar'!$I$1041&gt;=GRID_FROM)*('Dvd Calendar'!$I$1041&lt;=GRID_TO)*('Dvd Calendar'!$I$1041&gt;VAL_DATE)=0,"",'Dvd Calendar'!$I$1041*1000000000+ISNUMBER('Dvd Calendar'!$I$1042)*100000000+0*10000000+(N('Dvd Calendar'!$I$1040)&gt;0)*(N('Dvd Calendar'!$I$1040)&lt;=VAL_SERIAL)*1000000+94*1000+45))</f>
        <v/>
      </c>
      <c r="FX105" s="121">
        <f>IF(N('Dvd Calendar'!$J$1041)=0,"",IF(('Dvd Calendar'!$J$1041&gt;=GRID_FROM)*('Dvd Calendar'!$J$1041&lt;=GRID_TO)*('Dvd Calendar'!$J$1041&gt;VAL_DATE)=0,"",'Dvd Calendar'!$J$1041*1000000000+ISNUMBER('Dvd Calendar'!$J$1042)*100000000+0*10000000+(N('Dvd Calendar'!$J$1040)&gt;0)*(N('Dvd Calendar'!$J$1040)&lt;=VAL_SERIAL)*1000000+94*1000+46))</f>
        <v/>
      </c>
      <c r="FY105" s="121">
        <f>IF(N('Dvd Calendar'!$K$1041)=0,"",IF(('Dvd Calendar'!$K$1041&gt;=GRID_FROM)*('Dvd Calendar'!$K$1041&lt;=GRID_TO)*('Dvd Calendar'!$K$1041&gt;VAL_DATE)=0,"",'Dvd Calendar'!$K$1041*1000000000+ISNUMBER('Dvd Calendar'!$K$1042)*100000000+0*10000000+(N('Dvd Calendar'!$K$1040)&gt;0)*(N('Dvd Calendar'!$K$1040)&lt;=VAL_SERIAL)*1000000+94*1000+47))</f>
        <v/>
      </c>
      <c r="FZ105" s="121">
        <f>IF(N('Dvd Calendar'!$L$1041)=0,"",IF(('Dvd Calendar'!$L$1041&gt;=GRID_FROM)*('Dvd Calendar'!$L$1041&lt;=GRID_TO)*('Dvd Calendar'!$L$1041&gt;VAL_DATE)=0,"",'Dvd Calendar'!$L$1041*1000000000+ISNUMBER('Dvd Calendar'!$L$1042)*100000000+0*10000000+(N('Dvd Calendar'!$L$1040)&gt;0)*(N('Dvd Calendar'!$L$1040)&lt;=VAL_SERIAL)*1000000+94*1000+48))</f>
        <v/>
      </c>
      <c r="GA105" s="121">
        <f>IF(N('Dvd Calendar'!$M$1041)=0,"",IF(('Dvd Calendar'!$M$1041&gt;=GRID_FROM)*('Dvd Calendar'!$M$1041&lt;=GRID_TO)*('Dvd Calendar'!$M$1041&gt;VAL_DATE)=0,"",'Dvd Calendar'!$M$1041*1000000000+ISNUMBER('Dvd Calendar'!$M$1042)*100000000+0*10000000+(N('Dvd Calendar'!$M$1040)&gt;0)*(N('Dvd Calendar'!$M$1040)&lt;=VAL_SERIAL)*1000000+94*1000+49))</f>
        <v/>
      </c>
      <c r="GB105" s="121">
        <f>IF(N('Dvd Calendar'!$N$1041)=0,"",IF(('Dvd Calendar'!$N$1041&gt;=GRID_FROM)*('Dvd Calendar'!$N$1041&lt;=GRID_TO)*('Dvd Calendar'!$N$1041&gt;VAL_DATE)=0,"",'Dvd Calendar'!$N$1041*1000000000+ISNUMBER('Dvd Calendar'!$N$1042)*100000000+0*10000000+(N('Dvd Calendar'!$N$1040)&gt;0)*(N('Dvd Calendar'!$N$1040)&lt;=VAL_SERIAL)*1000000+94*1000+50))</f>
        <v/>
      </c>
      <c r="GC105" s="121">
        <f>IF(N('Dvd Calendar'!$O$1041)=0,"",IF(('Dvd Calendar'!$O$1041&gt;=GRID_FROM)*('Dvd Calendar'!$O$1041&lt;=GRID_TO)*('Dvd Calendar'!$O$1041&gt;VAL_DATE)=0,"",'Dvd Calendar'!$O$1041*1000000000+ISNUMBER('Dvd Calendar'!$O$1042)*100000000+0*10000000+(N('Dvd Calendar'!$O$1040)&gt;0)*(N('Dvd Calendar'!$O$1040)&lt;=VAL_SERIAL)*1000000+94*1000+51))</f>
        <v/>
      </c>
      <c r="GD105" s="121">
        <f>IF(N('Dvd Calendar'!$P$1041)=0,"",IF(('Dvd Calendar'!$P$1041&gt;=GRID_FROM)*('Dvd Calendar'!$P$1041&lt;=GRID_TO)*('Dvd Calendar'!$P$1041&gt;VAL_DATE)=0,"",'Dvd Calendar'!$P$1041*1000000000+ISNUMBER('Dvd Calendar'!$P$1042)*100000000+0*10000000+(N('Dvd Calendar'!$P$1040)&gt;0)*(N('Dvd Calendar'!$P$1040)&lt;=VAL_SERIAL)*1000000+94*1000+52))</f>
        <v/>
      </c>
      <c r="GE105" s="121">
        <f>IF(N('Dvd Calendar'!$Q$1041)=0,"",IF(('Dvd Calendar'!$Q$1041&gt;=GRID_FROM)*('Dvd Calendar'!$Q$1041&lt;=GRID_TO)*('Dvd Calendar'!$Q$1041&gt;VAL_DATE)=0,"",'Dvd Calendar'!$Q$1041*1000000000+ISNUMBER('Dvd Calendar'!$Q$1042)*100000000+0*10000000+(N('Dvd Calendar'!$Q$1040)&gt;0)*(N('Dvd Calendar'!$Q$1040)&lt;=VAL_SERIAL)*1000000+94*1000+53))</f>
        <v/>
      </c>
      <c r="GF105" s="121">
        <f>IF(N('Dvd Calendar'!$R$1041)=0,"",IF(('Dvd Calendar'!$R$1041&gt;=GRID_FROM)*('Dvd Calendar'!$R$1041&lt;=GRID_TO)*('Dvd Calendar'!$R$1041&gt;VAL_DATE)=0,"",'Dvd Calendar'!$R$1041*1000000000+ISNUMBER('Dvd Calendar'!$R$1042)*100000000+0*10000000+(N('Dvd Calendar'!$R$1040)&gt;0)*(N('Dvd Calendar'!$R$1040)&lt;=VAL_SERIAL)*1000000+94*1000+54))</f>
        <v/>
      </c>
      <c r="GG105" s="121">
        <f>IF(N('Dvd Calendar'!$S$1041)=0,"",IF(('Dvd Calendar'!$S$1041&gt;=GRID_FROM)*('Dvd Calendar'!$S$1041&lt;=GRID_TO)*('Dvd Calendar'!$S$1041&gt;VAL_DATE)=0,"",'Dvd Calendar'!$S$1041*1000000000+ISNUMBER('Dvd Calendar'!$S$1042)*100000000+0*10000000+(N('Dvd Calendar'!$S$1040)&gt;0)*(N('Dvd Calendar'!$S$1040)&lt;=VAL_SERIAL)*1000000+94*1000+55))</f>
        <v/>
      </c>
      <c r="GH105" s="121">
        <f>IF(N('Dvd Calendar'!$T$1041)=0,"",IF(('Dvd Calendar'!$T$1041&gt;=GRID_FROM)*('Dvd Calendar'!$T$1041&lt;=GRID_TO)*('Dvd Calendar'!$T$1041&gt;VAL_DATE)=0,"",'Dvd Calendar'!$T$1041*1000000000+ISNUMBER('Dvd Calendar'!$T$1042)*100000000+0*10000000+(N('Dvd Calendar'!$T$1040)&gt;0)*(N('Dvd Calendar'!$T$1040)&lt;=VAL_SERIAL)*1000000+94*1000+56))</f>
        <v/>
      </c>
      <c r="GI105" s="121">
        <f>IF(N('Dvd Calendar'!$U$1041)=0,"",IF(('Dvd Calendar'!$U$1041&gt;=GRID_FROM)*('Dvd Calendar'!$U$1041&lt;=GRID_TO)*('Dvd Calendar'!$U$1041&gt;VAL_DATE)=0,"",'Dvd Calendar'!$U$1041*1000000000+ISNUMBER('Dvd Calendar'!$U$1042)*100000000+0*10000000+(N('Dvd Calendar'!$U$1040)&gt;0)*(N('Dvd Calendar'!$U$1040)&lt;=VAL_SERIAL)*1000000+94*1000+57))</f>
        <v/>
      </c>
      <c r="GJ105" s="121">
        <f>IF(N('Dvd Calendar'!$V$1041)=0,"",IF(('Dvd Calendar'!$V$1041&gt;=GRID_FROM)*('Dvd Calendar'!$V$1041&lt;=GRID_TO)*('Dvd Calendar'!$V$1041&gt;VAL_DATE)=0,"",'Dvd Calendar'!$V$1041*1000000000+ISNUMBER('Dvd Calendar'!$V$1042)*100000000+0*10000000+(N('Dvd Calendar'!$V$1040)&gt;0)*(N('Dvd Calendar'!$V$1040)&lt;=VAL_SERIAL)*1000000+94*1000+58))</f>
        <v/>
      </c>
      <c r="GK105" s="121">
        <f>IF(N('Dvd Calendar'!$W$1041)=0,"",IF(('Dvd Calendar'!$W$1041&gt;=GRID_FROM)*('Dvd Calendar'!$W$1041&lt;=GRID_TO)*('Dvd Calendar'!$W$1041&gt;VAL_DATE)=0,"",'Dvd Calendar'!$W$1041*1000000000+ISNUMBER('Dvd Calendar'!$W$1042)*100000000+0*10000000+(N('Dvd Calendar'!$W$1040)&gt;0)*(N('Dvd Calendar'!$W$1040)&lt;=VAL_SERIAL)*1000000+94*1000+59))</f>
        <v/>
      </c>
      <c r="GL105" s="121">
        <f>IF(N('Dvd Calendar'!$X$1041)=0,"",IF(('Dvd Calendar'!$X$1041&gt;=GRID_FROM)*('Dvd Calendar'!$X$1041&lt;=GRID_TO)*('Dvd Calendar'!$X$1041&gt;VAL_DATE)=0,"",'Dvd Calendar'!$X$1041*1000000000+ISNUMBER('Dvd Calendar'!$X$1042)*100000000+0*10000000+(N('Dvd Calendar'!$X$1040)&gt;0)*(N('Dvd Calendar'!$X$1040)&lt;=VAL_SERIAL)*1000000+94*1000+60))</f>
        <v/>
      </c>
      <c r="GM105" s="121">
        <f>IF(N('Dvd Calendar'!$Y$1041)=0,"",IF(('Dvd Calendar'!$Y$1041&gt;=GRID_FROM)*('Dvd Calendar'!$Y$1041&lt;=GRID_TO)*('Dvd Calendar'!$Y$1041&gt;VAL_DATE)=0,"",'Dvd Calendar'!$Y$1041*1000000000+ISNUMBER('Dvd Calendar'!$Y$1042)*100000000+0*10000000+(N('Dvd Calendar'!$Y$1040)&gt;0)*(N('Dvd Calendar'!$Y$1040)&lt;=VAL_SERIAL)*1000000+94*1000+61))</f>
        <v/>
      </c>
      <c r="GN105" s="121">
        <f>IF(N('Dvd Calendar'!$Z$1041)=0,"",IF(('Dvd Calendar'!$Z$1041&gt;=GRID_FROM)*('Dvd Calendar'!$Z$1041&lt;=GRID_TO)*('Dvd Calendar'!$Z$1041&gt;VAL_DATE)=0,"",'Dvd Calendar'!$Z$1041*1000000000+ISNUMBER('Dvd Calendar'!$Z$1042)*100000000+0*10000000+(N('Dvd Calendar'!$Z$1040)&gt;0)*(N('Dvd Calendar'!$Z$1040)&lt;=VAL_SERIAL)*1000000+94*1000+62))</f>
        <v/>
      </c>
      <c r="GO105" s="121">
        <f>IF(N('Dvd Calendar'!$AA$1041)=0,"",IF(('Dvd Calendar'!$AA$1041&gt;=GRID_FROM)*('Dvd Calendar'!$AA$1041&lt;=GRID_TO)*('Dvd Calendar'!$AA$1041&gt;VAL_DATE)=0,"",'Dvd Calendar'!$AA$1041*1000000000+ISNUMBER('Dvd Calendar'!$AA$1042)*100000000+0*10000000+(N('Dvd Calendar'!$AA$1040)&gt;0)*(N('Dvd Calendar'!$AA$1040)&lt;=VAL_SERIAL)*1000000+94*1000+63))</f>
        <v/>
      </c>
      <c r="GP105" s="121">
        <f>IF(N('Dvd Calendar'!$AB$1041)=0,"",IF(('Dvd Calendar'!$AB$1041&gt;=GRID_FROM)*('Dvd Calendar'!$AB$1041&lt;=GRID_TO)*('Dvd Calendar'!$AB$1041&gt;VAL_DATE)=0,"",'Dvd Calendar'!$AB$1041*1000000000+ISNUMBER('Dvd Calendar'!$AB$1042)*100000000+0*10000000+(N('Dvd Calendar'!$AB$1040)&gt;0)*(N('Dvd Calendar'!$AB$1040)&lt;=VAL_SERIAL)*1000000+94*1000+64))</f>
        <v/>
      </c>
      <c r="GQ105" s="121">
        <f>IF(N('Dvd Calendar'!$AC$1041)=0,"",IF(('Dvd Calendar'!$AC$1041&gt;=GRID_FROM)*('Dvd Calendar'!$AC$1041&lt;=GRID_TO)*('Dvd Calendar'!$AC$1041&gt;VAL_DATE)=0,"",'Dvd Calendar'!$AC$1041*1000000000+ISNUMBER('Dvd Calendar'!$AC$1042)*100000000+0*10000000+(N('Dvd Calendar'!$AC$1040)&gt;0)*(N('Dvd Calendar'!$AC$1040)&lt;=VAL_SERIAL)*1000000+94*1000+65))</f>
        <v/>
      </c>
    </row>
    <row r="106">
      <c r="B106" s="2">
        <f>IF(HSI!$C$101="","",HSI!$C$101)</f>
        <v/>
      </c>
      <c r="C106" s="161">
        <f>IF(EE106="","",IF(ISNUMBER('Dvd Calendar'!$E$1048)=FALSE,"",IF((('Dvd Calendar'!$E$1050=TYPE1)*(TYPE1&lt;&gt;"")+('Dvd Calendar'!$E$1050=TYPE2)*(TYPE2&lt;&gt;"")+('Dvd Calendar'!$E$1050=TYPE3)*(TYPE3&lt;&gt;"")+('Dvd Calendar'!$E$1050=TYPE4)*(TYPE4&lt;&gt;"")+('Dvd Calendar'!$E$1050=SPECIAL_LBL)*(INC_SPECIALS="Y"))=0,"",'Dvd Calendar'!$E$1048)))</f>
        <v/>
      </c>
      <c r="D106" s="161">
        <f>IF(EF106="","",IF(ISNUMBER('Dvd Calendar'!$F$1048)=FALSE,"",IF((('Dvd Calendar'!$F$1050=TYPE1)*(TYPE1&lt;&gt;"")+('Dvd Calendar'!$F$1050=TYPE2)*(TYPE2&lt;&gt;"")+('Dvd Calendar'!$F$1050=TYPE3)*(TYPE3&lt;&gt;"")+('Dvd Calendar'!$F$1050=TYPE4)*(TYPE4&lt;&gt;"")+('Dvd Calendar'!$F$1050=SPECIAL_LBL)*(INC_SPECIALS="Y"))=0,"",'Dvd Calendar'!$F$1048)))</f>
        <v/>
      </c>
      <c r="E106" s="161">
        <f>IF(EG106="","",IF(ISNUMBER('Dvd Calendar'!$G$1048)=FALSE,"",IF((('Dvd Calendar'!$G$1050=TYPE1)*(TYPE1&lt;&gt;"")+('Dvd Calendar'!$G$1050=TYPE2)*(TYPE2&lt;&gt;"")+('Dvd Calendar'!$G$1050=TYPE3)*(TYPE3&lt;&gt;"")+('Dvd Calendar'!$G$1050=TYPE4)*(TYPE4&lt;&gt;"")+('Dvd Calendar'!$G$1050=SPECIAL_LBL)*(INC_SPECIALS="Y"))=0,"",'Dvd Calendar'!$G$1048)))</f>
        <v/>
      </c>
      <c r="F106" s="161">
        <f>IF(EH106="","",IF(ISNUMBER('Dvd Calendar'!$H$1048)=FALSE,"",IF((('Dvd Calendar'!$H$1050=TYPE1)*(TYPE1&lt;&gt;"")+('Dvd Calendar'!$H$1050=TYPE2)*(TYPE2&lt;&gt;"")+('Dvd Calendar'!$H$1050=TYPE3)*(TYPE3&lt;&gt;"")+('Dvd Calendar'!$H$1050=TYPE4)*(TYPE4&lt;&gt;"")+('Dvd Calendar'!$H$1050=SPECIAL_LBL)*(INC_SPECIALS="Y"))=0,"",'Dvd Calendar'!$H$1048)))</f>
        <v/>
      </c>
      <c r="G106" s="161">
        <f>IF(EI106="","",IF(ISNUMBER('Dvd Calendar'!$I$1048)=FALSE,"",IF((('Dvd Calendar'!$I$1050=TYPE1)*(TYPE1&lt;&gt;"")+('Dvd Calendar'!$I$1050=TYPE2)*(TYPE2&lt;&gt;"")+('Dvd Calendar'!$I$1050=TYPE3)*(TYPE3&lt;&gt;"")+('Dvd Calendar'!$I$1050=TYPE4)*(TYPE4&lt;&gt;"")+('Dvd Calendar'!$I$1050=SPECIAL_LBL)*(INC_SPECIALS="Y"))=0,"",'Dvd Calendar'!$I$1048)))</f>
        <v/>
      </c>
      <c r="H106" s="161">
        <f>IF(EJ106="","",IF(ISNUMBER('Dvd Calendar'!$J$1048)=FALSE,"",IF((('Dvd Calendar'!$J$1050=TYPE1)*(TYPE1&lt;&gt;"")+('Dvd Calendar'!$J$1050=TYPE2)*(TYPE2&lt;&gt;"")+('Dvd Calendar'!$J$1050=TYPE3)*(TYPE3&lt;&gt;"")+('Dvd Calendar'!$J$1050=TYPE4)*(TYPE4&lt;&gt;"")+('Dvd Calendar'!$J$1050=SPECIAL_LBL)*(INC_SPECIALS="Y"))=0,"",'Dvd Calendar'!$J$1048)))</f>
        <v/>
      </c>
      <c r="I106" s="161">
        <f>IF(EK106="","",IF(ISNUMBER('Dvd Calendar'!$K$1048)=FALSE,"",IF((('Dvd Calendar'!$K$1050=TYPE1)*(TYPE1&lt;&gt;"")+('Dvd Calendar'!$K$1050=TYPE2)*(TYPE2&lt;&gt;"")+('Dvd Calendar'!$K$1050=TYPE3)*(TYPE3&lt;&gt;"")+('Dvd Calendar'!$K$1050=TYPE4)*(TYPE4&lt;&gt;"")+('Dvd Calendar'!$K$1050=SPECIAL_LBL)*(INC_SPECIALS="Y"))=0,"",'Dvd Calendar'!$K$1048)))</f>
        <v/>
      </c>
      <c r="J106" s="161">
        <f>IF(EL106="","",IF(ISNUMBER('Dvd Calendar'!$L$1048)=FALSE,"",IF((('Dvd Calendar'!$L$1050=TYPE1)*(TYPE1&lt;&gt;"")+('Dvd Calendar'!$L$1050=TYPE2)*(TYPE2&lt;&gt;"")+('Dvd Calendar'!$L$1050=TYPE3)*(TYPE3&lt;&gt;"")+('Dvd Calendar'!$L$1050=TYPE4)*(TYPE4&lt;&gt;"")+('Dvd Calendar'!$L$1050=SPECIAL_LBL)*(INC_SPECIALS="Y"))=0,"",'Dvd Calendar'!$L$1048)))</f>
        <v/>
      </c>
      <c r="K106" s="161">
        <f>IF(EM106="","",IF(ISNUMBER('Dvd Calendar'!$M$1048)=FALSE,"",IF((('Dvd Calendar'!$M$1050=TYPE1)*(TYPE1&lt;&gt;"")+('Dvd Calendar'!$M$1050=TYPE2)*(TYPE2&lt;&gt;"")+('Dvd Calendar'!$M$1050=TYPE3)*(TYPE3&lt;&gt;"")+('Dvd Calendar'!$M$1050=TYPE4)*(TYPE4&lt;&gt;"")+('Dvd Calendar'!$M$1050=SPECIAL_LBL)*(INC_SPECIALS="Y"))=0,"",'Dvd Calendar'!$M$1048)))</f>
        <v/>
      </c>
      <c r="L106" s="161">
        <f>IF(EN106="","",IF(ISNUMBER('Dvd Calendar'!$N$1048)=FALSE,"",IF((('Dvd Calendar'!$N$1050=TYPE1)*(TYPE1&lt;&gt;"")+('Dvd Calendar'!$N$1050=TYPE2)*(TYPE2&lt;&gt;"")+('Dvd Calendar'!$N$1050=TYPE3)*(TYPE3&lt;&gt;"")+('Dvd Calendar'!$N$1050=TYPE4)*(TYPE4&lt;&gt;"")+('Dvd Calendar'!$N$1050=SPECIAL_LBL)*(INC_SPECIALS="Y"))=0,"",'Dvd Calendar'!$N$1048)))</f>
        <v/>
      </c>
      <c r="M106" s="161">
        <f>IF(EO106="","",IF(ISNUMBER('Dvd Calendar'!$O$1048)=FALSE,"",IF((('Dvd Calendar'!$O$1050=TYPE1)*(TYPE1&lt;&gt;"")+('Dvd Calendar'!$O$1050=TYPE2)*(TYPE2&lt;&gt;"")+('Dvd Calendar'!$O$1050=TYPE3)*(TYPE3&lt;&gt;"")+('Dvd Calendar'!$O$1050=TYPE4)*(TYPE4&lt;&gt;"")+('Dvd Calendar'!$O$1050=SPECIAL_LBL)*(INC_SPECIALS="Y"))=0,"",'Dvd Calendar'!$O$1048)))</f>
        <v/>
      </c>
      <c r="N106" s="161">
        <f>IF(EP106="","",IF(ISNUMBER('Dvd Calendar'!$P$1048)=FALSE,"",IF((('Dvd Calendar'!$P$1050=TYPE1)*(TYPE1&lt;&gt;"")+('Dvd Calendar'!$P$1050=TYPE2)*(TYPE2&lt;&gt;"")+('Dvd Calendar'!$P$1050=TYPE3)*(TYPE3&lt;&gt;"")+('Dvd Calendar'!$P$1050=TYPE4)*(TYPE4&lt;&gt;"")+('Dvd Calendar'!$P$1050=SPECIAL_LBL)*(INC_SPECIALS="Y"))=0,"",'Dvd Calendar'!$P$1048)))</f>
        <v/>
      </c>
      <c r="O106" s="161">
        <f>IF(EQ106="","",IF(ISNUMBER('Dvd Calendar'!$Q$1048)=FALSE,"",IF((('Dvd Calendar'!$Q$1050=TYPE1)*(TYPE1&lt;&gt;"")+('Dvd Calendar'!$Q$1050=TYPE2)*(TYPE2&lt;&gt;"")+('Dvd Calendar'!$Q$1050=TYPE3)*(TYPE3&lt;&gt;"")+('Dvd Calendar'!$Q$1050=TYPE4)*(TYPE4&lt;&gt;"")+('Dvd Calendar'!$Q$1050=SPECIAL_LBL)*(INC_SPECIALS="Y"))=0,"",'Dvd Calendar'!$Q$1048)))</f>
        <v/>
      </c>
      <c r="P106" s="161">
        <f>IF(ER106="","",IF(ISNUMBER('Dvd Calendar'!$R$1048)=FALSE,"",IF((('Dvd Calendar'!$R$1050=TYPE1)*(TYPE1&lt;&gt;"")+('Dvd Calendar'!$R$1050=TYPE2)*(TYPE2&lt;&gt;"")+('Dvd Calendar'!$R$1050=TYPE3)*(TYPE3&lt;&gt;"")+('Dvd Calendar'!$R$1050=TYPE4)*(TYPE4&lt;&gt;"")+('Dvd Calendar'!$R$1050=SPECIAL_LBL)*(INC_SPECIALS="Y"))=0,"",'Dvd Calendar'!$R$1048)))</f>
        <v/>
      </c>
      <c r="Q106" s="161">
        <f>IF(ES106="","",IF(ISNUMBER('Dvd Calendar'!$S$1048)=FALSE,"",IF((('Dvd Calendar'!$S$1050=TYPE1)*(TYPE1&lt;&gt;"")+('Dvd Calendar'!$S$1050=TYPE2)*(TYPE2&lt;&gt;"")+('Dvd Calendar'!$S$1050=TYPE3)*(TYPE3&lt;&gt;"")+('Dvd Calendar'!$S$1050=TYPE4)*(TYPE4&lt;&gt;"")+('Dvd Calendar'!$S$1050=SPECIAL_LBL)*(INC_SPECIALS="Y"))=0,"",'Dvd Calendar'!$S$1048)))</f>
        <v/>
      </c>
      <c r="R106" s="161">
        <f>IF(ET106="","",IF(ISNUMBER('Dvd Calendar'!$T$1048)=FALSE,"",IF((('Dvd Calendar'!$T$1050=TYPE1)*(TYPE1&lt;&gt;"")+('Dvd Calendar'!$T$1050=TYPE2)*(TYPE2&lt;&gt;"")+('Dvd Calendar'!$T$1050=TYPE3)*(TYPE3&lt;&gt;"")+('Dvd Calendar'!$T$1050=TYPE4)*(TYPE4&lt;&gt;"")+('Dvd Calendar'!$T$1050=SPECIAL_LBL)*(INC_SPECIALS="Y"))=0,"",'Dvd Calendar'!$T$1048)))</f>
        <v/>
      </c>
      <c r="S106" s="161">
        <f>IF(EU106="","",IF(ISNUMBER('Dvd Calendar'!$U$1048)=FALSE,"",IF((('Dvd Calendar'!$U$1050=TYPE1)*(TYPE1&lt;&gt;"")+('Dvd Calendar'!$U$1050=TYPE2)*(TYPE2&lt;&gt;"")+('Dvd Calendar'!$U$1050=TYPE3)*(TYPE3&lt;&gt;"")+('Dvd Calendar'!$U$1050=TYPE4)*(TYPE4&lt;&gt;"")+('Dvd Calendar'!$U$1050=SPECIAL_LBL)*(INC_SPECIALS="Y"))=0,"",'Dvd Calendar'!$U$1048)))</f>
        <v/>
      </c>
      <c r="T106" s="161">
        <f>IF(EV106="","",IF(ISNUMBER('Dvd Calendar'!$V$1048)=FALSE,"",IF((('Dvd Calendar'!$V$1050=TYPE1)*(TYPE1&lt;&gt;"")+('Dvd Calendar'!$V$1050=TYPE2)*(TYPE2&lt;&gt;"")+('Dvd Calendar'!$V$1050=TYPE3)*(TYPE3&lt;&gt;"")+('Dvd Calendar'!$V$1050=TYPE4)*(TYPE4&lt;&gt;"")+('Dvd Calendar'!$V$1050=SPECIAL_LBL)*(INC_SPECIALS="Y"))=0,"",'Dvd Calendar'!$V$1048)))</f>
        <v/>
      </c>
      <c r="U106" s="161">
        <f>IF(EW106="","",IF(ISNUMBER('Dvd Calendar'!$W$1048)=FALSE,"",IF((('Dvd Calendar'!$W$1050=TYPE1)*(TYPE1&lt;&gt;"")+('Dvd Calendar'!$W$1050=TYPE2)*(TYPE2&lt;&gt;"")+('Dvd Calendar'!$W$1050=TYPE3)*(TYPE3&lt;&gt;"")+('Dvd Calendar'!$W$1050=TYPE4)*(TYPE4&lt;&gt;"")+('Dvd Calendar'!$W$1050=SPECIAL_LBL)*(INC_SPECIALS="Y"))=0,"",'Dvd Calendar'!$W$1048)))</f>
        <v/>
      </c>
      <c r="V106" s="161">
        <f>IF(EX106="","",IF(ISNUMBER('Dvd Calendar'!$X$1048)=FALSE,"",IF((('Dvd Calendar'!$X$1050=TYPE1)*(TYPE1&lt;&gt;"")+('Dvd Calendar'!$X$1050=TYPE2)*(TYPE2&lt;&gt;"")+('Dvd Calendar'!$X$1050=TYPE3)*(TYPE3&lt;&gt;"")+('Dvd Calendar'!$X$1050=TYPE4)*(TYPE4&lt;&gt;"")+('Dvd Calendar'!$X$1050=SPECIAL_LBL)*(INC_SPECIALS="Y"))=0,"",'Dvd Calendar'!$X$1048)))</f>
        <v/>
      </c>
      <c r="W106" s="161">
        <f>IF(EY106="","",IF(ISNUMBER('Dvd Calendar'!$Y$1048)=FALSE,"",IF((('Dvd Calendar'!$Y$1050=TYPE1)*(TYPE1&lt;&gt;"")+('Dvd Calendar'!$Y$1050=TYPE2)*(TYPE2&lt;&gt;"")+('Dvd Calendar'!$Y$1050=TYPE3)*(TYPE3&lt;&gt;"")+('Dvd Calendar'!$Y$1050=TYPE4)*(TYPE4&lt;&gt;"")+('Dvd Calendar'!$Y$1050=SPECIAL_LBL)*(INC_SPECIALS="Y"))=0,"",'Dvd Calendar'!$Y$1048)))</f>
        <v/>
      </c>
      <c r="X106" s="161">
        <f>IF(EZ106="","",IF(ISNUMBER('Dvd Calendar'!$Z$1048)=FALSE,"",IF((('Dvd Calendar'!$Z$1050=TYPE1)*(TYPE1&lt;&gt;"")+('Dvd Calendar'!$Z$1050=TYPE2)*(TYPE2&lt;&gt;"")+('Dvd Calendar'!$Z$1050=TYPE3)*(TYPE3&lt;&gt;"")+('Dvd Calendar'!$Z$1050=TYPE4)*(TYPE4&lt;&gt;"")+('Dvd Calendar'!$Z$1050=SPECIAL_LBL)*(INC_SPECIALS="Y"))=0,"",'Dvd Calendar'!$Z$1048)))</f>
        <v/>
      </c>
      <c r="Y106" s="161">
        <f>IF(FA106="","",IF(ISNUMBER('Dvd Calendar'!$AA$1048)=FALSE,"",IF((('Dvd Calendar'!$AA$1050=TYPE1)*(TYPE1&lt;&gt;"")+('Dvd Calendar'!$AA$1050=TYPE2)*(TYPE2&lt;&gt;"")+('Dvd Calendar'!$AA$1050=TYPE3)*(TYPE3&lt;&gt;"")+('Dvd Calendar'!$AA$1050=TYPE4)*(TYPE4&lt;&gt;"")+('Dvd Calendar'!$AA$1050=SPECIAL_LBL)*(INC_SPECIALS="Y"))=0,"",'Dvd Calendar'!$AA$1048)))</f>
        <v/>
      </c>
      <c r="Z106" s="161">
        <f>IF(FB106="","",IF(ISNUMBER('Dvd Calendar'!$AB$1048)=FALSE,"",IF((('Dvd Calendar'!$AB$1050=TYPE1)*(TYPE1&lt;&gt;"")+('Dvd Calendar'!$AB$1050=TYPE2)*(TYPE2&lt;&gt;"")+('Dvd Calendar'!$AB$1050=TYPE3)*(TYPE3&lt;&gt;"")+('Dvd Calendar'!$AB$1050=TYPE4)*(TYPE4&lt;&gt;"")+('Dvd Calendar'!$AB$1050=SPECIAL_LBL)*(INC_SPECIALS="Y"))=0,"",'Dvd Calendar'!$AB$1048)))</f>
        <v/>
      </c>
      <c r="AA106" s="161">
        <f>IF(FC106="","",IF(ISNUMBER('Dvd Calendar'!$AC$1048)=FALSE,"",IF((('Dvd Calendar'!$AC$1050=TYPE1)*(TYPE1&lt;&gt;"")+('Dvd Calendar'!$AC$1050=TYPE2)*(TYPE2&lt;&gt;"")+('Dvd Calendar'!$AC$1050=TYPE3)*(TYPE3&lt;&gt;"")+('Dvd Calendar'!$AC$1050=TYPE4)*(TYPE4&lt;&gt;"")+('Dvd Calendar'!$AC$1050=SPECIAL_LBL)*(INC_SPECIALS="Y"))=0,"",'Dvd Calendar'!$AC$1048)))</f>
        <v/>
      </c>
      <c r="AB106" s="161">
        <f>IF(FD106="","",IF(ISNUMBER('Dvd Calendar'!$AD$1048)=FALSE,"",IF((('Dvd Calendar'!$AD$1050=TYPE1)*(TYPE1&lt;&gt;"")+('Dvd Calendar'!$AD$1050=TYPE2)*(TYPE2&lt;&gt;"")+('Dvd Calendar'!$AD$1050=TYPE3)*(TYPE3&lt;&gt;"")+('Dvd Calendar'!$AD$1050=TYPE4)*(TYPE4&lt;&gt;"")+('Dvd Calendar'!$AD$1050=SPECIAL_LBL)*(INC_SPECIALS="Y"))=0,"",'Dvd Calendar'!$AD$1048)))</f>
        <v/>
      </c>
      <c r="AC106" s="161">
        <f>IF(FE106="","",IF(ISNUMBER('Dvd Calendar'!$AE$1048)=FALSE,"",IF((('Dvd Calendar'!$AE$1050=TYPE1)*(TYPE1&lt;&gt;"")+('Dvd Calendar'!$AE$1050=TYPE2)*(TYPE2&lt;&gt;"")+('Dvd Calendar'!$AE$1050=TYPE3)*(TYPE3&lt;&gt;"")+('Dvd Calendar'!$AE$1050=TYPE4)*(TYPE4&lt;&gt;"")+('Dvd Calendar'!$AE$1050=SPECIAL_LBL)*(INC_SPECIALS="Y"))=0,"",'Dvd Calendar'!$AE$1048)))</f>
        <v/>
      </c>
      <c r="AD106" s="161">
        <f>IF(FF106="","",IF(ISNUMBER('Dvd Calendar'!$AF$1048)=FALSE,"",IF((('Dvd Calendar'!$AF$1050=TYPE1)*(TYPE1&lt;&gt;"")+('Dvd Calendar'!$AF$1050=TYPE2)*(TYPE2&lt;&gt;"")+('Dvd Calendar'!$AF$1050=TYPE3)*(TYPE3&lt;&gt;"")+('Dvd Calendar'!$AF$1050=TYPE4)*(TYPE4&lt;&gt;"")+('Dvd Calendar'!$AF$1050=SPECIAL_LBL)*(INC_SPECIALS="Y"))=0,"",'Dvd Calendar'!$AF$1048)))</f>
        <v/>
      </c>
      <c r="AE106" s="161">
        <f>IF(FG106="","",IF(ISNUMBER('Dvd Calendar'!$AG$1048)=FALSE,"",IF((('Dvd Calendar'!$AG$1050=TYPE1)*(TYPE1&lt;&gt;"")+('Dvd Calendar'!$AG$1050=TYPE2)*(TYPE2&lt;&gt;"")+('Dvd Calendar'!$AG$1050=TYPE3)*(TYPE3&lt;&gt;"")+('Dvd Calendar'!$AG$1050=TYPE4)*(TYPE4&lt;&gt;"")+('Dvd Calendar'!$AG$1050=SPECIAL_LBL)*(INC_SPECIALS="Y"))=0,"",'Dvd Calendar'!$AG$1048)))</f>
        <v/>
      </c>
      <c r="AF106" s="161">
        <f>IF(FH106="","",IF(ISNUMBER('Dvd Calendar'!$AH$1048)=FALSE,"",IF((('Dvd Calendar'!$AH$1050=TYPE1)*(TYPE1&lt;&gt;"")+('Dvd Calendar'!$AH$1050=TYPE2)*(TYPE2&lt;&gt;"")+('Dvd Calendar'!$AH$1050=TYPE3)*(TYPE3&lt;&gt;"")+('Dvd Calendar'!$AH$1050=TYPE4)*(TYPE4&lt;&gt;"")+('Dvd Calendar'!$AH$1050=SPECIAL_LBL)*(INC_SPECIALS="Y"))=0,"",'Dvd Calendar'!$AH$1048)))</f>
        <v/>
      </c>
      <c r="AG106" s="161">
        <f>IF(FI106="","",IF(ISNUMBER('Dvd Calendar'!$AI$1048)=FALSE,"",IF((('Dvd Calendar'!$AI$1050=TYPE1)*(TYPE1&lt;&gt;"")+('Dvd Calendar'!$AI$1050=TYPE2)*(TYPE2&lt;&gt;"")+('Dvd Calendar'!$AI$1050=TYPE3)*(TYPE3&lt;&gt;"")+('Dvd Calendar'!$AI$1050=TYPE4)*(TYPE4&lt;&gt;"")+('Dvd Calendar'!$AI$1050=SPECIAL_LBL)*(INC_SPECIALS="Y"))=0,"",'Dvd Calendar'!$AI$1048)))</f>
        <v/>
      </c>
      <c r="AH106" s="161">
        <f>IF(FJ106="","",IF(ISNUMBER('Dvd Calendar'!$AJ$1048)=FALSE,"",IF((('Dvd Calendar'!$AJ$1050=TYPE1)*(TYPE1&lt;&gt;"")+('Dvd Calendar'!$AJ$1050=TYPE2)*(TYPE2&lt;&gt;"")+('Dvd Calendar'!$AJ$1050=TYPE3)*(TYPE3&lt;&gt;"")+('Dvd Calendar'!$AJ$1050=TYPE4)*(TYPE4&lt;&gt;"")+('Dvd Calendar'!$AJ$1050=SPECIAL_LBL)*(INC_SPECIALS="Y"))=0,"",'Dvd Calendar'!$AJ$1048)))</f>
        <v/>
      </c>
      <c r="AI106" s="161">
        <f>IF(FK106="","",IF(ISNUMBER('Dvd Calendar'!$AK$1048)=FALSE,"",IF((('Dvd Calendar'!$AK$1050=TYPE1)*(TYPE1&lt;&gt;"")+('Dvd Calendar'!$AK$1050=TYPE2)*(TYPE2&lt;&gt;"")+('Dvd Calendar'!$AK$1050=TYPE3)*(TYPE3&lt;&gt;"")+('Dvd Calendar'!$AK$1050=TYPE4)*(TYPE4&lt;&gt;"")+('Dvd Calendar'!$AK$1050=SPECIAL_LBL)*(INC_SPECIALS="Y"))=0,"",'Dvd Calendar'!$AK$1048)))</f>
        <v/>
      </c>
      <c r="AJ106" s="161">
        <f>IF(FL106="","",IF(ISNUMBER('Dvd Calendar'!$AL$1048)=FALSE,"",IF((('Dvd Calendar'!$AL$1050=TYPE1)*(TYPE1&lt;&gt;"")+('Dvd Calendar'!$AL$1050=TYPE2)*(TYPE2&lt;&gt;"")+('Dvd Calendar'!$AL$1050=TYPE3)*(TYPE3&lt;&gt;"")+('Dvd Calendar'!$AL$1050=TYPE4)*(TYPE4&lt;&gt;"")+('Dvd Calendar'!$AL$1050=SPECIAL_LBL)*(INC_SPECIALS="Y"))=0,"",'Dvd Calendar'!$AL$1048)))</f>
        <v/>
      </c>
      <c r="AK106" s="161">
        <f>IF(FM106="","",IF(ISNUMBER('Dvd Calendar'!$AM$1048)=FALSE,"",IF((('Dvd Calendar'!$AM$1050=TYPE1)*(TYPE1&lt;&gt;"")+('Dvd Calendar'!$AM$1050=TYPE2)*(TYPE2&lt;&gt;"")+('Dvd Calendar'!$AM$1050=TYPE3)*(TYPE3&lt;&gt;"")+('Dvd Calendar'!$AM$1050=TYPE4)*(TYPE4&lt;&gt;"")+('Dvd Calendar'!$AM$1050=SPECIAL_LBL)*(INC_SPECIALS="Y"))=0,"",'Dvd Calendar'!$AM$1048)))</f>
        <v/>
      </c>
      <c r="AL106" s="161">
        <f>IF(FN106="","",IF(ISNUMBER('Dvd Calendar'!$AN$1048)=FALSE,"",IF((('Dvd Calendar'!$AN$1050=TYPE1)*(TYPE1&lt;&gt;"")+('Dvd Calendar'!$AN$1050=TYPE2)*(TYPE2&lt;&gt;"")+('Dvd Calendar'!$AN$1050=TYPE3)*(TYPE3&lt;&gt;"")+('Dvd Calendar'!$AN$1050=TYPE4)*(TYPE4&lt;&gt;"")+('Dvd Calendar'!$AN$1050=SPECIAL_LBL)*(INC_SPECIALS="Y"))=0,"",'Dvd Calendar'!$AN$1048)))</f>
        <v/>
      </c>
      <c r="AM106" s="161">
        <f>IF(FO106="","",IF(ISNUMBER('Dvd Calendar'!$AO$1048)=FALSE,"",IF((('Dvd Calendar'!$AO$1050=TYPE1)*(TYPE1&lt;&gt;"")+('Dvd Calendar'!$AO$1050=TYPE2)*(TYPE2&lt;&gt;"")+('Dvd Calendar'!$AO$1050=TYPE3)*(TYPE3&lt;&gt;"")+('Dvd Calendar'!$AO$1050=TYPE4)*(TYPE4&lt;&gt;"")+('Dvd Calendar'!$AO$1050=SPECIAL_LBL)*(INC_SPECIALS="Y"))=0,"",'Dvd Calendar'!$AO$1048)))</f>
        <v/>
      </c>
      <c r="AN106" s="161">
        <f>IF(FP106="","",IF(ISNUMBER('Dvd Calendar'!$AP$1048)=FALSE,"",IF((('Dvd Calendar'!$AP$1050=TYPE1)*(TYPE1&lt;&gt;"")+('Dvd Calendar'!$AP$1050=TYPE2)*(TYPE2&lt;&gt;"")+('Dvd Calendar'!$AP$1050=TYPE3)*(TYPE3&lt;&gt;"")+('Dvd Calendar'!$AP$1050=TYPE4)*(TYPE4&lt;&gt;"")+('Dvd Calendar'!$AP$1050=SPECIAL_LBL)*(INC_SPECIALS="Y"))=0,"",'Dvd Calendar'!$AP$1048)))</f>
        <v/>
      </c>
      <c r="AO106" s="161">
        <f>IF(FQ106="","",IF(ISNUMBER('Dvd Calendar'!$AQ$1048)=FALSE,"",IF((('Dvd Calendar'!$AQ$1050=TYPE1)*(TYPE1&lt;&gt;"")+('Dvd Calendar'!$AQ$1050=TYPE2)*(TYPE2&lt;&gt;"")+('Dvd Calendar'!$AQ$1050=TYPE3)*(TYPE3&lt;&gt;"")+('Dvd Calendar'!$AQ$1050=TYPE4)*(TYPE4&lt;&gt;"")+('Dvd Calendar'!$AQ$1050=SPECIAL_LBL)*(INC_SPECIALS="Y"))=0,"",'Dvd Calendar'!$AQ$1048)))</f>
        <v/>
      </c>
      <c r="AP106" s="161">
        <f>IF(FR106="","",IF(ISNUMBER('Dvd Calendar'!$AR$1048)=FALSE,"",IF((('Dvd Calendar'!$AR$1050=TYPE1)*(TYPE1&lt;&gt;"")+('Dvd Calendar'!$AR$1050=TYPE2)*(TYPE2&lt;&gt;"")+('Dvd Calendar'!$AR$1050=TYPE3)*(TYPE3&lt;&gt;"")+('Dvd Calendar'!$AR$1050=TYPE4)*(TYPE4&lt;&gt;"")+('Dvd Calendar'!$AR$1050=SPECIAL_LBL)*(INC_SPECIALS="Y"))=0,"",'Dvd Calendar'!$AR$1048)))</f>
        <v/>
      </c>
      <c r="AQ106" s="161">
        <f>IF(FS106="","",IF(ISNUMBER('Dvd Calendar'!$E$1053)=FALSE,"",'Dvd Calendar'!$E$1053))</f>
        <v/>
      </c>
      <c r="AR106" s="161">
        <f>IF(FT106="","",IF(ISNUMBER('Dvd Calendar'!$F$1053)=FALSE,"",'Dvd Calendar'!$F$1053))</f>
        <v/>
      </c>
      <c r="AS106" s="161">
        <f>IF(FU106="","",IF(ISNUMBER('Dvd Calendar'!$G$1053)=FALSE,"",'Dvd Calendar'!$G$1053))</f>
        <v/>
      </c>
      <c r="AT106" s="161">
        <f>IF(FV106="","",IF(ISNUMBER('Dvd Calendar'!$H$1053)=FALSE,"",'Dvd Calendar'!$H$1053))</f>
        <v/>
      </c>
      <c r="AU106" s="161">
        <f>IF(FW106="","",IF(ISNUMBER('Dvd Calendar'!$I$1053)=FALSE,"",'Dvd Calendar'!$I$1053))</f>
        <v/>
      </c>
      <c r="AV106" s="161">
        <f>IF(FX106="","",IF(ISNUMBER('Dvd Calendar'!$J$1053)=FALSE,"",'Dvd Calendar'!$J$1053))</f>
        <v/>
      </c>
      <c r="AW106" s="161">
        <f>IF(FY106="","",IF(ISNUMBER('Dvd Calendar'!$K$1053)=FALSE,"",'Dvd Calendar'!$K$1053))</f>
        <v/>
      </c>
      <c r="AX106" s="161">
        <f>IF(FZ106="","",IF(ISNUMBER('Dvd Calendar'!$L$1053)=FALSE,"",'Dvd Calendar'!$L$1053))</f>
        <v/>
      </c>
      <c r="AY106" s="161">
        <f>IF(GA106="","",IF(ISNUMBER('Dvd Calendar'!$M$1053)=FALSE,"",'Dvd Calendar'!$M$1053))</f>
        <v/>
      </c>
      <c r="AZ106" s="161">
        <f>IF(GB106="","",IF(ISNUMBER('Dvd Calendar'!$N$1053)=FALSE,"",'Dvd Calendar'!$N$1053))</f>
        <v/>
      </c>
      <c r="BA106" s="161">
        <f>IF(GC106="","",IF(ISNUMBER('Dvd Calendar'!$O$1053)=FALSE,"",'Dvd Calendar'!$O$1053))</f>
        <v/>
      </c>
      <c r="BB106" s="161">
        <f>IF(GD106="","",IF(ISNUMBER('Dvd Calendar'!$P$1053)=FALSE,"",'Dvd Calendar'!$P$1053))</f>
        <v/>
      </c>
      <c r="BC106" s="161">
        <f>IF(GE106="","",IF(ISNUMBER('Dvd Calendar'!$Q$1053)=FALSE,"",'Dvd Calendar'!$Q$1053))</f>
        <v/>
      </c>
      <c r="BD106" s="161">
        <f>IF(GF106="","",IF(ISNUMBER('Dvd Calendar'!$R$1053)=FALSE,"",'Dvd Calendar'!$R$1053))</f>
        <v/>
      </c>
      <c r="BE106" s="161">
        <f>IF(GG106="","",IF(ISNUMBER('Dvd Calendar'!$S$1053)=FALSE,"",'Dvd Calendar'!$S$1053))</f>
        <v/>
      </c>
      <c r="BF106" s="161">
        <f>IF(GH106="","",IF(ISNUMBER('Dvd Calendar'!$T$1053)=FALSE,"",'Dvd Calendar'!$T$1053))</f>
        <v/>
      </c>
      <c r="BG106" s="161">
        <f>IF(GI106="","",IF(ISNUMBER('Dvd Calendar'!$U$1053)=FALSE,"",'Dvd Calendar'!$U$1053))</f>
        <v/>
      </c>
      <c r="BH106" s="161">
        <f>IF(GJ106="","",IF(ISNUMBER('Dvd Calendar'!$V$1053)=FALSE,"",'Dvd Calendar'!$V$1053))</f>
        <v/>
      </c>
      <c r="BI106" s="161">
        <f>IF(GK106="","",IF(ISNUMBER('Dvd Calendar'!$W$1053)=FALSE,"",'Dvd Calendar'!$W$1053))</f>
        <v/>
      </c>
      <c r="BJ106" s="161">
        <f>IF(GL106="","",IF(ISNUMBER('Dvd Calendar'!$X$1053)=FALSE,"",'Dvd Calendar'!$X$1053))</f>
        <v/>
      </c>
      <c r="BK106" s="161">
        <f>IF(GM106="","",IF(ISNUMBER('Dvd Calendar'!$Y$1053)=FALSE,"",'Dvd Calendar'!$Y$1053))</f>
        <v/>
      </c>
      <c r="BL106" s="161">
        <f>IF(GN106="","",IF(ISNUMBER('Dvd Calendar'!$Z$1053)=FALSE,"",'Dvd Calendar'!$Z$1053))</f>
        <v/>
      </c>
      <c r="BM106" s="161">
        <f>IF(GO106="","",IF(ISNUMBER('Dvd Calendar'!$AA$1053)=FALSE,"",'Dvd Calendar'!$AA$1053))</f>
        <v/>
      </c>
      <c r="BN106" s="161">
        <f>IF(GP106="","",IF(ISNUMBER('Dvd Calendar'!$AB$1053)=FALSE,"",'Dvd Calendar'!$AB$1053))</f>
        <v/>
      </c>
      <c r="BO106" s="161">
        <f>IF(GQ106="","",IF(ISNUMBER('Dvd Calendar'!$AC$1053)=FALSE,"",'Dvd Calendar'!$AC$1053))</f>
        <v/>
      </c>
      <c r="BQ106" s="161">
        <f>IF(C106="","",IFERROR(C106*HSI!$B$101*HSI!$G$101/HSI!$B$3,""))</f>
        <v/>
      </c>
      <c r="BR106" s="161">
        <f>IF(D106="","",IFERROR(D106*HSI!$B$101*HSI!$G$101/HSI!$B$3,""))</f>
        <v/>
      </c>
      <c r="BS106" s="161">
        <f>IF(E106="","",IFERROR(E106*HSI!$B$101*HSI!$G$101/HSI!$B$3,""))</f>
        <v/>
      </c>
      <c r="BT106" s="161">
        <f>IF(F106="","",IFERROR(F106*HSI!$B$101*HSI!$G$101/HSI!$B$3,""))</f>
        <v/>
      </c>
      <c r="BU106" s="161">
        <f>IF(G106="","",IFERROR(G106*HSI!$B$101*HSI!$G$101/HSI!$B$3,""))</f>
        <v/>
      </c>
      <c r="BV106" s="161">
        <f>IF(H106="","",IFERROR(H106*HSI!$B$101*HSI!$G$101/HSI!$B$3,""))</f>
        <v/>
      </c>
      <c r="BW106" s="161">
        <f>IF(I106="","",IFERROR(I106*HSI!$B$101*HSI!$G$101/HSI!$B$3,""))</f>
        <v/>
      </c>
      <c r="BX106" s="161">
        <f>IF(J106="","",IFERROR(J106*HSI!$B$101*HSI!$G$101/HSI!$B$3,""))</f>
        <v/>
      </c>
      <c r="BY106" s="161">
        <f>IF(K106="","",IFERROR(K106*HSI!$B$101*HSI!$G$101/HSI!$B$3,""))</f>
        <v/>
      </c>
      <c r="BZ106" s="161">
        <f>IF(L106="","",IFERROR(L106*HSI!$B$101*HSI!$G$101/HSI!$B$3,""))</f>
        <v/>
      </c>
      <c r="CA106" s="161">
        <f>IF(M106="","",IFERROR(M106*HSI!$B$101*HSI!$G$101/HSI!$B$3,""))</f>
        <v/>
      </c>
      <c r="CB106" s="161">
        <f>IF(N106="","",IFERROR(N106*HSI!$B$101*HSI!$G$101/HSI!$B$3,""))</f>
        <v/>
      </c>
      <c r="CC106" s="161">
        <f>IF(O106="","",IFERROR(O106*HSI!$B$101*HSI!$G$101/HSI!$B$3,""))</f>
        <v/>
      </c>
      <c r="CD106" s="161">
        <f>IF(P106="","",IFERROR(P106*HSI!$B$101*HSI!$G$101/HSI!$B$3,""))</f>
        <v/>
      </c>
      <c r="CE106" s="161">
        <f>IF(Q106="","",IFERROR(Q106*HSI!$B$101*HSI!$G$101/HSI!$B$3,""))</f>
        <v/>
      </c>
      <c r="CF106" s="161">
        <f>IF(R106="","",IFERROR(R106*HSI!$B$101*HSI!$G$101/HSI!$B$3,""))</f>
        <v/>
      </c>
      <c r="CG106" s="161">
        <f>IF(S106="","",IFERROR(S106*HSI!$B$101*HSI!$G$101/HSI!$B$3,""))</f>
        <v/>
      </c>
      <c r="CH106" s="161">
        <f>IF(T106="","",IFERROR(T106*HSI!$B$101*HSI!$G$101/HSI!$B$3,""))</f>
        <v/>
      </c>
      <c r="CI106" s="161">
        <f>IF(U106="","",IFERROR(U106*HSI!$B$101*HSI!$G$101/HSI!$B$3,""))</f>
        <v/>
      </c>
      <c r="CJ106" s="161">
        <f>IF(V106="","",IFERROR(V106*HSI!$B$101*HSI!$G$101/HSI!$B$3,""))</f>
        <v/>
      </c>
      <c r="CK106" s="161">
        <f>IF(W106="","",IFERROR(W106*HSI!$B$101*HSI!$G$101/HSI!$B$3,""))</f>
        <v/>
      </c>
      <c r="CL106" s="161">
        <f>IF(X106="","",IFERROR(X106*HSI!$B$101*HSI!$G$101/HSI!$B$3,""))</f>
        <v/>
      </c>
      <c r="CM106" s="161">
        <f>IF(Y106="","",IFERROR(Y106*HSI!$B$101*HSI!$G$101/HSI!$B$3,""))</f>
        <v/>
      </c>
      <c r="CN106" s="161">
        <f>IF(Z106="","",IFERROR(Z106*HSI!$B$101*HSI!$G$101/HSI!$B$3,""))</f>
        <v/>
      </c>
      <c r="CO106" s="161">
        <f>IF(AA106="","",IFERROR(AA106*HSI!$B$101*HSI!$G$101/HSI!$B$3,""))</f>
        <v/>
      </c>
      <c r="CP106" s="161">
        <f>IF(AB106="","",IFERROR(AB106*HSI!$B$101*HSI!$G$101/HSI!$B$3,""))</f>
        <v/>
      </c>
      <c r="CQ106" s="161">
        <f>IF(AC106="","",IFERROR(AC106*HSI!$B$101*HSI!$G$101/HSI!$B$3,""))</f>
        <v/>
      </c>
      <c r="CR106" s="161">
        <f>IF(AD106="","",IFERROR(AD106*HSI!$B$101*HSI!$G$101/HSI!$B$3,""))</f>
        <v/>
      </c>
      <c r="CS106" s="161">
        <f>IF(AE106="","",IFERROR(AE106*HSI!$B$101*HSI!$G$101/HSI!$B$3,""))</f>
        <v/>
      </c>
      <c r="CT106" s="161">
        <f>IF(AF106="","",IFERROR(AF106*HSI!$B$101*HSI!$G$101/HSI!$B$3,""))</f>
        <v/>
      </c>
      <c r="CU106" s="161">
        <f>IF(AG106="","",IFERROR(AG106*HSI!$B$101*HSI!$G$101/HSI!$B$3,""))</f>
        <v/>
      </c>
      <c r="CV106" s="161">
        <f>IF(AH106="","",IFERROR(AH106*HSI!$B$101*HSI!$G$101/HSI!$B$3,""))</f>
        <v/>
      </c>
      <c r="CW106" s="161">
        <f>IF(AI106="","",IFERROR(AI106*HSI!$B$101*HSI!$G$101/HSI!$B$3,""))</f>
        <v/>
      </c>
      <c r="CX106" s="161">
        <f>IF(AJ106="","",IFERROR(AJ106*HSI!$B$101*HSI!$G$101/HSI!$B$3,""))</f>
        <v/>
      </c>
      <c r="CY106" s="161">
        <f>IF(AK106="","",IFERROR(AK106*HSI!$B$101*HSI!$G$101/HSI!$B$3,""))</f>
        <v/>
      </c>
      <c r="CZ106" s="161">
        <f>IF(AL106="","",IFERROR(AL106*HSI!$B$101*HSI!$G$101/HSI!$B$3,""))</f>
        <v/>
      </c>
      <c r="DA106" s="161">
        <f>IF(AM106="","",IFERROR(AM106*HSI!$B$101*HSI!$G$101/HSI!$B$3,""))</f>
        <v/>
      </c>
      <c r="DB106" s="161">
        <f>IF(AN106="","",IFERROR(AN106*HSI!$B$101*HSI!$G$101/HSI!$B$3,""))</f>
        <v/>
      </c>
      <c r="DC106" s="161">
        <f>IF(AO106="","",IFERROR(AO106*HSI!$B$101*HSI!$G$101/HSI!$B$3,""))</f>
        <v/>
      </c>
      <c r="DD106" s="161">
        <f>IF(AP106="","",IFERROR(AP106*HSI!$B$101*HSI!$G$101/HSI!$B$3,""))</f>
        <v/>
      </c>
      <c r="DE106" s="161">
        <f>IF(AQ106="","",IFERROR(AQ106*HSI!$B$101*HSI!$G$101/HSI!$B$3,""))</f>
        <v/>
      </c>
      <c r="DF106" s="161">
        <f>IF(AR106="","",IFERROR(AR106*HSI!$B$101*HSI!$G$101/HSI!$B$3,""))</f>
        <v/>
      </c>
      <c r="DG106" s="161">
        <f>IF(AS106="","",IFERROR(AS106*HSI!$B$101*HSI!$G$101/HSI!$B$3,""))</f>
        <v/>
      </c>
      <c r="DH106" s="161">
        <f>IF(AT106="","",IFERROR(AT106*HSI!$B$101*HSI!$G$101/HSI!$B$3,""))</f>
        <v/>
      </c>
      <c r="DI106" s="161">
        <f>IF(AU106="","",IFERROR(AU106*HSI!$B$101*HSI!$G$101/HSI!$B$3,""))</f>
        <v/>
      </c>
      <c r="DJ106" s="161">
        <f>IF(AV106="","",IFERROR(AV106*HSI!$B$101*HSI!$G$101/HSI!$B$3,""))</f>
        <v/>
      </c>
      <c r="DK106" s="161">
        <f>IF(AW106="","",IFERROR(AW106*HSI!$B$101*HSI!$G$101/HSI!$B$3,""))</f>
        <v/>
      </c>
      <c r="DL106" s="161">
        <f>IF(AX106="","",IFERROR(AX106*HSI!$B$101*HSI!$G$101/HSI!$B$3,""))</f>
        <v/>
      </c>
      <c r="DM106" s="161">
        <f>IF(AY106="","",IFERROR(AY106*HSI!$B$101*HSI!$G$101/HSI!$B$3,""))</f>
        <v/>
      </c>
      <c r="DN106" s="161">
        <f>IF(AZ106="","",IFERROR(AZ106*HSI!$B$101*HSI!$G$101/HSI!$B$3,""))</f>
        <v/>
      </c>
      <c r="DO106" s="161">
        <f>IF(BA106="","",IFERROR(BA106*HSI!$B$101*HSI!$G$101/HSI!$B$3,""))</f>
        <v/>
      </c>
      <c r="DP106" s="161">
        <f>IF(BB106="","",IFERROR(BB106*HSI!$B$101*HSI!$G$101/HSI!$B$3,""))</f>
        <v/>
      </c>
      <c r="DQ106" s="161">
        <f>IF(BC106="","",IFERROR(BC106*HSI!$B$101*HSI!$G$101/HSI!$B$3,""))</f>
        <v/>
      </c>
      <c r="DR106" s="161">
        <f>IF(BD106="","",IFERROR(BD106*HSI!$B$101*HSI!$G$101/HSI!$B$3,""))</f>
        <v/>
      </c>
      <c r="DS106" s="161">
        <f>IF(BE106="","",IFERROR(BE106*HSI!$B$101*HSI!$G$101/HSI!$B$3,""))</f>
        <v/>
      </c>
      <c r="DT106" s="161">
        <f>IF(BF106="","",IFERROR(BF106*HSI!$B$101*HSI!$G$101/HSI!$B$3,""))</f>
        <v/>
      </c>
      <c r="DU106" s="161">
        <f>IF(BG106="","",IFERROR(BG106*HSI!$B$101*HSI!$G$101/HSI!$B$3,""))</f>
        <v/>
      </c>
      <c r="DV106" s="161">
        <f>IF(BH106="","",IFERROR(BH106*HSI!$B$101*HSI!$G$101/HSI!$B$3,""))</f>
        <v/>
      </c>
      <c r="DW106" s="161">
        <f>IF(BI106="","",IFERROR(BI106*HSI!$B$101*HSI!$G$101/HSI!$B$3,""))</f>
        <v/>
      </c>
      <c r="DX106" s="161">
        <f>IF(BJ106="","",IFERROR(BJ106*HSI!$B$101*HSI!$G$101/HSI!$B$3,""))</f>
        <v/>
      </c>
      <c r="DY106" s="161">
        <f>IF(BK106="","",IFERROR(BK106*HSI!$B$101*HSI!$G$101/HSI!$B$3,""))</f>
        <v/>
      </c>
      <c r="DZ106" s="161">
        <f>IF(BL106="","",IFERROR(BL106*HSI!$B$101*HSI!$G$101/HSI!$B$3,""))</f>
        <v/>
      </c>
      <c r="EA106" s="161">
        <f>IF(BM106="","",IFERROR(BM106*HSI!$B$101*HSI!$G$101/HSI!$B$3,""))</f>
        <v/>
      </c>
      <c r="EB106" s="161">
        <f>IF(BN106="","",IFERROR(BN106*HSI!$B$101*HSI!$G$101/HSI!$B$3,""))</f>
        <v/>
      </c>
      <c r="EC106" s="161">
        <f>IF(BO106="","",IFERROR(BO106*HSI!$B$101*HSI!$G$101/HSI!$B$3,""))</f>
        <v/>
      </c>
      <c r="EE106" s="121">
        <f>IF(N('Dvd Calendar'!$E$1045)=0,"",IF(('Dvd Calendar'!$E$1045&gt;=GRID_FROM)*('Dvd Calendar'!$E$1045&lt;=GRID_TO)*((('Dvd Calendar'!$E$1045&lt;=VAL_DATE)+(COUNTIF('Dvd Calendar'!$E$1052:$AR$1052,'Dvd Calendar'!$E$1045)=0))&gt;0)=0,"",'Dvd Calendar'!$E$1045*1000000000+ISNUMBER('Dvd Calendar'!$E$1048)*100000000+('Dvd Calendar'!$E$1050=SPECIAL_LBL)*10000000+(N('Dvd Calendar'!$E$1044)&gt;0)*(N('Dvd Calendar'!$E$1044)&lt;=VAL_SERIAL)*1000000+95*1000+1))</f>
        <v/>
      </c>
      <c r="EF106" s="121">
        <f>IF(N('Dvd Calendar'!$F$1045)=0,"",IF(('Dvd Calendar'!$F$1045&gt;=GRID_FROM)*('Dvd Calendar'!$F$1045&lt;=GRID_TO)*((('Dvd Calendar'!$F$1045&lt;=VAL_DATE)+(COUNTIF('Dvd Calendar'!$E$1052:$AR$1052,'Dvd Calendar'!$F$1045)=0))&gt;0)=0,"",'Dvd Calendar'!$F$1045*1000000000+ISNUMBER('Dvd Calendar'!$F$1048)*100000000+('Dvd Calendar'!$F$1050=SPECIAL_LBL)*10000000+(N('Dvd Calendar'!$F$1044)&gt;0)*(N('Dvd Calendar'!$F$1044)&lt;=VAL_SERIAL)*1000000+95*1000+2))</f>
        <v/>
      </c>
      <c r="EG106" s="121">
        <f>IF(N('Dvd Calendar'!$G$1045)=0,"",IF(('Dvd Calendar'!$G$1045&gt;=GRID_FROM)*('Dvd Calendar'!$G$1045&lt;=GRID_TO)*((('Dvd Calendar'!$G$1045&lt;=VAL_DATE)+(COUNTIF('Dvd Calendar'!$E$1052:$AR$1052,'Dvd Calendar'!$G$1045)=0))&gt;0)=0,"",'Dvd Calendar'!$G$1045*1000000000+ISNUMBER('Dvd Calendar'!$G$1048)*100000000+('Dvd Calendar'!$G$1050=SPECIAL_LBL)*10000000+(N('Dvd Calendar'!$G$1044)&gt;0)*(N('Dvd Calendar'!$G$1044)&lt;=VAL_SERIAL)*1000000+95*1000+3))</f>
        <v/>
      </c>
      <c r="EH106" s="121">
        <f>IF(N('Dvd Calendar'!$H$1045)=0,"",IF(('Dvd Calendar'!$H$1045&gt;=GRID_FROM)*('Dvd Calendar'!$H$1045&lt;=GRID_TO)*((('Dvd Calendar'!$H$1045&lt;=VAL_DATE)+(COUNTIF('Dvd Calendar'!$E$1052:$AR$1052,'Dvd Calendar'!$H$1045)=0))&gt;0)=0,"",'Dvd Calendar'!$H$1045*1000000000+ISNUMBER('Dvd Calendar'!$H$1048)*100000000+('Dvd Calendar'!$H$1050=SPECIAL_LBL)*10000000+(N('Dvd Calendar'!$H$1044)&gt;0)*(N('Dvd Calendar'!$H$1044)&lt;=VAL_SERIAL)*1000000+95*1000+4))</f>
        <v/>
      </c>
      <c r="EI106" s="121">
        <f>IF(N('Dvd Calendar'!$I$1045)=0,"",IF(('Dvd Calendar'!$I$1045&gt;=GRID_FROM)*('Dvd Calendar'!$I$1045&lt;=GRID_TO)*((('Dvd Calendar'!$I$1045&lt;=VAL_DATE)+(COUNTIF('Dvd Calendar'!$E$1052:$AR$1052,'Dvd Calendar'!$I$1045)=0))&gt;0)=0,"",'Dvd Calendar'!$I$1045*1000000000+ISNUMBER('Dvd Calendar'!$I$1048)*100000000+('Dvd Calendar'!$I$1050=SPECIAL_LBL)*10000000+(N('Dvd Calendar'!$I$1044)&gt;0)*(N('Dvd Calendar'!$I$1044)&lt;=VAL_SERIAL)*1000000+95*1000+5))</f>
        <v/>
      </c>
      <c r="EJ106" s="121">
        <f>IF(N('Dvd Calendar'!$J$1045)=0,"",IF(('Dvd Calendar'!$J$1045&gt;=GRID_FROM)*('Dvd Calendar'!$J$1045&lt;=GRID_TO)*((('Dvd Calendar'!$J$1045&lt;=VAL_DATE)+(COUNTIF('Dvd Calendar'!$E$1052:$AR$1052,'Dvd Calendar'!$J$1045)=0))&gt;0)=0,"",'Dvd Calendar'!$J$1045*1000000000+ISNUMBER('Dvd Calendar'!$J$1048)*100000000+('Dvd Calendar'!$J$1050=SPECIAL_LBL)*10000000+(N('Dvd Calendar'!$J$1044)&gt;0)*(N('Dvd Calendar'!$J$1044)&lt;=VAL_SERIAL)*1000000+95*1000+6))</f>
        <v/>
      </c>
      <c r="EK106" s="121">
        <f>IF(N('Dvd Calendar'!$K$1045)=0,"",IF(('Dvd Calendar'!$K$1045&gt;=GRID_FROM)*('Dvd Calendar'!$K$1045&lt;=GRID_TO)*((('Dvd Calendar'!$K$1045&lt;=VAL_DATE)+(COUNTIF('Dvd Calendar'!$E$1052:$AR$1052,'Dvd Calendar'!$K$1045)=0))&gt;0)=0,"",'Dvd Calendar'!$K$1045*1000000000+ISNUMBER('Dvd Calendar'!$K$1048)*100000000+('Dvd Calendar'!$K$1050=SPECIAL_LBL)*10000000+(N('Dvd Calendar'!$K$1044)&gt;0)*(N('Dvd Calendar'!$K$1044)&lt;=VAL_SERIAL)*1000000+95*1000+7))</f>
        <v/>
      </c>
      <c r="EL106" s="121">
        <f>IF(N('Dvd Calendar'!$L$1045)=0,"",IF(('Dvd Calendar'!$L$1045&gt;=GRID_FROM)*('Dvd Calendar'!$L$1045&lt;=GRID_TO)*((('Dvd Calendar'!$L$1045&lt;=VAL_DATE)+(COUNTIF('Dvd Calendar'!$E$1052:$AR$1052,'Dvd Calendar'!$L$1045)=0))&gt;0)=0,"",'Dvd Calendar'!$L$1045*1000000000+ISNUMBER('Dvd Calendar'!$L$1048)*100000000+('Dvd Calendar'!$L$1050=SPECIAL_LBL)*10000000+(N('Dvd Calendar'!$L$1044)&gt;0)*(N('Dvd Calendar'!$L$1044)&lt;=VAL_SERIAL)*1000000+95*1000+8))</f>
        <v/>
      </c>
      <c r="EM106" s="121">
        <f>IF(N('Dvd Calendar'!$M$1045)=0,"",IF(('Dvd Calendar'!$M$1045&gt;=GRID_FROM)*('Dvd Calendar'!$M$1045&lt;=GRID_TO)*((('Dvd Calendar'!$M$1045&lt;=VAL_DATE)+(COUNTIF('Dvd Calendar'!$E$1052:$AR$1052,'Dvd Calendar'!$M$1045)=0))&gt;0)=0,"",'Dvd Calendar'!$M$1045*1000000000+ISNUMBER('Dvd Calendar'!$M$1048)*100000000+('Dvd Calendar'!$M$1050=SPECIAL_LBL)*10000000+(N('Dvd Calendar'!$M$1044)&gt;0)*(N('Dvd Calendar'!$M$1044)&lt;=VAL_SERIAL)*1000000+95*1000+9))</f>
        <v/>
      </c>
      <c r="EN106" s="121">
        <f>IF(N('Dvd Calendar'!$N$1045)=0,"",IF(('Dvd Calendar'!$N$1045&gt;=GRID_FROM)*('Dvd Calendar'!$N$1045&lt;=GRID_TO)*((('Dvd Calendar'!$N$1045&lt;=VAL_DATE)+(COUNTIF('Dvd Calendar'!$E$1052:$AR$1052,'Dvd Calendar'!$N$1045)=0))&gt;0)=0,"",'Dvd Calendar'!$N$1045*1000000000+ISNUMBER('Dvd Calendar'!$N$1048)*100000000+('Dvd Calendar'!$N$1050=SPECIAL_LBL)*10000000+(N('Dvd Calendar'!$N$1044)&gt;0)*(N('Dvd Calendar'!$N$1044)&lt;=VAL_SERIAL)*1000000+95*1000+10))</f>
        <v/>
      </c>
      <c r="EO106" s="121">
        <f>IF(N('Dvd Calendar'!$O$1045)=0,"",IF(('Dvd Calendar'!$O$1045&gt;=GRID_FROM)*('Dvd Calendar'!$O$1045&lt;=GRID_TO)*((('Dvd Calendar'!$O$1045&lt;=VAL_DATE)+(COUNTIF('Dvd Calendar'!$E$1052:$AR$1052,'Dvd Calendar'!$O$1045)=0))&gt;0)=0,"",'Dvd Calendar'!$O$1045*1000000000+ISNUMBER('Dvd Calendar'!$O$1048)*100000000+('Dvd Calendar'!$O$1050=SPECIAL_LBL)*10000000+(N('Dvd Calendar'!$O$1044)&gt;0)*(N('Dvd Calendar'!$O$1044)&lt;=VAL_SERIAL)*1000000+95*1000+11))</f>
        <v/>
      </c>
      <c r="EP106" s="121">
        <f>IF(N('Dvd Calendar'!$P$1045)=0,"",IF(('Dvd Calendar'!$P$1045&gt;=GRID_FROM)*('Dvd Calendar'!$P$1045&lt;=GRID_TO)*((('Dvd Calendar'!$P$1045&lt;=VAL_DATE)+(COUNTIF('Dvd Calendar'!$E$1052:$AR$1052,'Dvd Calendar'!$P$1045)=0))&gt;0)=0,"",'Dvd Calendar'!$P$1045*1000000000+ISNUMBER('Dvd Calendar'!$P$1048)*100000000+('Dvd Calendar'!$P$1050=SPECIAL_LBL)*10000000+(N('Dvd Calendar'!$P$1044)&gt;0)*(N('Dvd Calendar'!$P$1044)&lt;=VAL_SERIAL)*1000000+95*1000+12))</f>
        <v/>
      </c>
      <c r="EQ106" s="121">
        <f>IF(N('Dvd Calendar'!$Q$1045)=0,"",IF(('Dvd Calendar'!$Q$1045&gt;=GRID_FROM)*('Dvd Calendar'!$Q$1045&lt;=GRID_TO)*((('Dvd Calendar'!$Q$1045&lt;=VAL_DATE)+(COUNTIF('Dvd Calendar'!$E$1052:$AR$1052,'Dvd Calendar'!$Q$1045)=0))&gt;0)=0,"",'Dvd Calendar'!$Q$1045*1000000000+ISNUMBER('Dvd Calendar'!$Q$1048)*100000000+('Dvd Calendar'!$Q$1050=SPECIAL_LBL)*10000000+(N('Dvd Calendar'!$Q$1044)&gt;0)*(N('Dvd Calendar'!$Q$1044)&lt;=VAL_SERIAL)*1000000+95*1000+13))</f>
        <v/>
      </c>
      <c r="ER106" s="121">
        <f>IF(N('Dvd Calendar'!$R$1045)=0,"",IF(('Dvd Calendar'!$R$1045&gt;=GRID_FROM)*('Dvd Calendar'!$R$1045&lt;=GRID_TO)*((('Dvd Calendar'!$R$1045&lt;=VAL_DATE)+(COUNTIF('Dvd Calendar'!$E$1052:$AR$1052,'Dvd Calendar'!$R$1045)=0))&gt;0)=0,"",'Dvd Calendar'!$R$1045*1000000000+ISNUMBER('Dvd Calendar'!$R$1048)*100000000+('Dvd Calendar'!$R$1050=SPECIAL_LBL)*10000000+(N('Dvd Calendar'!$R$1044)&gt;0)*(N('Dvd Calendar'!$R$1044)&lt;=VAL_SERIAL)*1000000+95*1000+14))</f>
        <v/>
      </c>
      <c r="ES106" s="121">
        <f>IF(N('Dvd Calendar'!$S$1045)=0,"",IF(('Dvd Calendar'!$S$1045&gt;=GRID_FROM)*('Dvd Calendar'!$S$1045&lt;=GRID_TO)*((('Dvd Calendar'!$S$1045&lt;=VAL_DATE)+(COUNTIF('Dvd Calendar'!$E$1052:$AR$1052,'Dvd Calendar'!$S$1045)=0))&gt;0)=0,"",'Dvd Calendar'!$S$1045*1000000000+ISNUMBER('Dvd Calendar'!$S$1048)*100000000+('Dvd Calendar'!$S$1050=SPECIAL_LBL)*10000000+(N('Dvd Calendar'!$S$1044)&gt;0)*(N('Dvd Calendar'!$S$1044)&lt;=VAL_SERIAL)*1000000+95*1000+15))</f>
        <v/>
      </c>
      <c r="ET106" s="121">
        <f>IF(N('Dvd Calendar'!$T$1045)=0,"",IF(('Dvd Calendar'!$T$1045&gt;=GRID_FROM)*('Dvd Calendar'!$T$1045&lt;=GRID_TO)*((('Dvd Calendar'!$T$1045&lt;=VAL_DATE)+(COUNTIF('Dvd Calendar'!$E$1052:$AR$1052,'Dvd Calendar'!$T$1045)=0))&gt;0)=0,"",'Dvd Calendar'!$T$1045*1000000000+ISNUMBER('Dvd Calendar'!$T$1048)*100000000+('Dvd Calendar'!$T$1050=SPECIAL_LBL)*10000000+(N('Dvd Calendar'!$T$1044)&gt;0)*(N('Dvd Calendar'!$T$1044)&lt;=VAL_SERIAL)*1000000+95*1000+16))</f>
        <v/>
      </c>
      <c r="EU106" s="121">
        <f>IF(N('Dvd Calendar'!$U$1045)=0,"",IF(('Dvd Calendar'!$U$1045&gt;=GRID_FROM)*('Dvd Calendar'!$U$1045&lt;=GRID_TO)*((('Dvd Calendar'!$U$1045&lt;=VAL_DATE)+(COUNTIF('Dvd Calendar'!$E$1052:$AR$1052,'Dvd Calendar'!$U$1045)=0))&gt;0)=0,"",'Dvd Calendar'!$U$1045*1000000000+ISNUMBER('Dvd Calendar'!$U$1048)*100000000+('Dvd Calendar'!$U$1050=SPECIAL_LBL)*10000000+(N('Dvd Calendar'!$U$1044)&gt;0)*(N('Dvd Calendar'!$U$1044)&lt;=VAL_SERIAL)*1000000+95*1000+17))</f>
        <v/>
      </c>
      <c r="EV106" s="121">
        <f>IF(N('Dvd Calendar'!$V$1045)=0,"",IF(('Dvd Calendar'!$V$1045&gt;=GRID_FROM)*('Dvd Calendar'!$V$1045&lt;=GRID_TO)*((('Dvd Calendar'!$V$1045&lt;=VAL_DATE)+(COUNTIF('Dvd Calendar'!$E$1052:$AR$1052,'Dvd Calendar'!$V$1045)=0))&gt;0)=0,"",'Dvd Calendar'!$V$1045*1000000000+ISNUMBER('Dvd Calendar'!$V$1048)*100000000+('Dvd Calendar'!$V$1050=SPECIAL_LBL)*10000000+(N('Dvd Calendar'!$V$1044)&gt;0)*(N('Dvd Calendar'!$V$1044)&lt;=VAL_SERIAL)*1000000+95*1000+18))</f>
        <v/>
      </c>
      <c r="EW106" s="121">
        <f>IF(N('Dvd Calendar'!$W$1045)=0,"",IF(('Dvd Calendar'!$W$1045&gt;=GRID_FROM)*('Dvd Calendar'!$W$1045&lt;=GRID_TO)*((('Dvd Calendar'!$W$1045&lt;=VAL_DATE)+(COUNTIF('Dvd Calendar'!$E$1052:$AR$1052,'Dvd Calendar'!$W$1045)=0))&gt;0)=0,"",'Dvd Calendar'!$W$1045*1000000000+ISNUMBER('Dvd Calendar'!$W$1048)*100000000+('Dvd Calendar'!$W$1050=SPECIAL_LBL)*10000000+(N('Dvd Calendar'!$W$1044)&gt;0)*(N('Dvd Calendar'!$W$1044)&lt;=VAL_SERIAL)*1000000+95*1000+19))</f>
        <v/>
      </c>
      <c r="EX106" s="121">
        <f>IF(N('Dvd Calendar'!$X$1045)=0,"",IF(('Dvd Calendar'!$X$1045&gt;=GRID_FROM)*('Dvd Calendar'!$X$1045&lt;=GRID_TO)*((('Dvd Calendar'!$X$1045&lt;=VAL_DATE)+(COUNTIF('Dvd Calendar'!$E$1052:$AR$1052,'Dvd Calendar'!$X$1045)=0))&gt;0)=0,"",'Dvd Calendar'!$X$1045*1000000000+ISNUMBER('Dvd Calendar'!$X$1048)*100000000+('Dvd Calendar'!$X$1050=SPECIAL_LBL)*10000000+(N('Dvd Calendar'!$X$1044)&gt;0)*(N('Dvd Calendar'!$X$1044)&lt;=VAL_SERIAL)*1000000+95*1000+20))</f>
        <v/>
      </c>
      <c r="EY106" s="121">
        <f>IF(N('Dvd Calendar'!$Y$1045)=0,"",IF(('Dvd Calendar'!$Y$1045&gt;=GRID_FROM)*('Dvd Calendar'!$Y$1045&lt;=GRID_TO)*((('Dvd Calendar'!$Y$1045&lt;=VAL_DATE)+(COUNTIF('Dvd Calendar'!$E$1052:$AR$1052,'Dvd Calendar'!$Y$1045)=0))&gt;0)=0,"",'Dvd Calendar'!$Y$1045*1000000000+ISNUMBER('Dvd Calendar'!$Y$1048)*100000000+('Dvd Calendar'!$Y$1050=SPECIAL_LBL)*10000000+(N('Dvd Calendar'!$Y$1044)&gt;0)*(N('Dvd Calendar'!$Y$1044)&lt;=VAL_SERIAL)*1000000+95*1000+21))</f>
        <v/>
      </c>
      <c r="EZ106" s="121">
        <f>IF(N('Dvd Calendar'!$Z$1045)=0,"",IF(('Dvd Calendar'!$Z$1045&gt;=GRID_FROM)*('Dvd Calendar'!$Z$1045&lt;=GRID_TO)*((('Dvd Calendar'!$Z$1045&lt;=VAL_DATE)+(COUNTIF('Dvd Calendar'!$E$1052:$AR$1052,'Dvd Calendar'!$Z$1045)=0))&gt;0)=0,"",'Dvd Calendar'!$Z$1045*1000000000+ISNUMBER('Dvd Calendar'!$Z$1048)*100000000+('Dvd Calendar'!$Z$1050=SPECIAL_LBL)*10000000+(N('Dvd Calendar'!$Z$1044)&gt;0)*(N('Dvd Calendar'!$Z$1044)&lt;=VAL_SERIAL)*1000000+95*1000+22))</f>
        <v/>
      </c>
      <c r="FA106" s="121">
        <f>IF(N('Dvd Calendar'!$AA$1045)=0,"",IF(('Dvd Calendar'!$AA$1045&gt;=GRID_FROM)*('Dvd Calendar'!$AA$1045&lt;=GRID_TO)*((('Dvd Calendar'!$AA$1045&lt;=VAL_DATE)+(COUNTIF('Dvd Calendar'!$E$1052:$AR$1052,'Dvd Calendar'!$AA$1045)=0))&gt;0)=0,"",'Dvd Calendar'!$AA$1045*1000000000+ISNUMBER('Dvd Calendar'!$AA$1048)*100000000+('Dvd Calendar'!$AA$1050=SPECIAL_LBL)*10000000+(N('Dvd Calendar'!$AA$1044)&gt;0)*(N('Dvd Calendar'!$AA$1044)&lt;=VAL_SERIAL)*1000000+95*1000+23))</f>
        <v/>
      </c>
      <c r="FB106" s="121">
        <f>IF(N('Dvd Calendar'!$AB$1045)=0,"",IF(('Dvd Calendar'!$AB$1045&gt;=GRID_FROM)*('Dvd Calendar'!$AB$1045&lt;=GRID_TO)*((('Dvd Calendar'!$AB$1045&lt;=VAL_DATE)+(COUNTIF('Dvd Calendar'!$E$1052:$AR$1052,'Dvd Calendar'!$AB$1045)=0))&gt;0)=0,"",'Dvd Calendar'!$AB$1045*1000000000+ISNUMBER('Dvd Calendar'!$AB$1048)*100000000+('Dvd Calendar'!$AB$1050=SPECIAL_LBL)*10000000+(N('Dvd Calendar'!$AB$1044)&gt;0)*(N('Dvd Calendar'!$AB$1044)&lt;=VAL_SERIAL)*1000000+95*1000+24))</f>
        <v/>
      </c>
      <c r="FC106" s="121">
        <f>IF(N('Dvd Calendar'!$AC$1045)=0,"",IF(('Dvd Calendar'!$AC$1045&gt;=GRID_FROM)*('Dvd Calendar'!$AC$1045&lt;=GRID_TO)*((('Dvd Calendar'!$AC$1045&lt;=VAL_DATE)+(COUNTIF('Dvd Calendar'!$E$1052:$AR$1052,'Dvd Calendar'!$AC$1045)=0))&gt;0)=0,"",'Dvd Calendar'!$AC$1045*1000000000+ISNUMBER('Dvd Calendar'!$AC$1048)*100000000+('Dvd Calendar'!$AC$1050=SPECIAL_LBL)*10000000+(N('Dvd Calendar'!$AC$1044)&gt;0)*(N('Dvd Calendar'!$AC$1044)&lt;=VAL_SERIAL)*1000000+95*1000+25))</f>
        <v/>
      </c>
      <c r="FD106" s="121">
        <f>IF(N('Dvd Calendar'!$AD$1045)=0,"",IF(('Dvd Calendar'!$AD$1045&gt;=GRID_FROM)*('Dvd Calendar'!$AD$1045&lt;=GRID_TO)*((('Dvd Calendar'!$AD$1045&lt;=VAL_DATE)+(COUNTIF('Dvd Calendar'!$E$1052:$AR$1052,'Dvd Calendar'!$AD$1045)=0))&gt;0)=0,"",'Dvd Calendar'!$AD$1045*1000000000+ISNUMBER('Dvd Calendar'!$AD$1048)*100000000+('Dvd Calendar'!$AD$1050=SPECIAL_LBL)*10000000+(N('Dvd Calendar'!$AD$1044)&gt;0)*(N('Dvd Calendar'!$AD$1044)&lt;=VAL_SERIAL)*1000000+95*1000+26))</f>
        <v/>
      </c>
      <c r="FE106" s="121">
        <f>IF(N('Dvd Calendar'!$AE$1045)=0,"",IF(('Dvd Calendar'!$AE$1045&gt;=GRID_FROM)*('Dvd Calendar'!$AE$1045&lt;=GRID_TO)*((('Dvd Calendar'!$AE$1045&lt;=VAL_DATE)+(COUNTIF('Dvd Calendar'!$E$1052:$AR$1052,'Dvd Calendar'!$AE$1045)=0))&gt;0)=0,"",'Dvd Calendar'!$AE$1045*1000000000+ISNUMBER('Dvd Calendar'!$AE$1048)*100000000+('Dvd Calendar'!$AE$1050=SPECIAL_LBL)*10000000+(N('Dvd Calendar'!$AE$1044)&gt;0)*(N('Dvd Calendar'!$AE$1044)&lt;=VAL_SERIAL)*1000000+95*1000+27))</f>
        <v/>
      </c>
      <c r="FF106" s="121">
        <f>IF(N('Dvd Calendar'!$AF$1045)=0,"",IF(('Dvd Calendar'!$AF$1045&gt;=GRID_FROM)*('Dvd Calendar'!$AF$1045&lt;=GRID_TO)*((('Dvd Calendar'!$AF$1045&lt;=VAL_DATE)+(COUNTIF('Dvd Calendar'!$E$1052:$AR$1052,'Dvd Calendar'!$AF$1045)=0))&gt;0)=0,"",'Dvd Calendar'!$AF$1045*1000000000+ISNUMBER('Dvd Calendar'!$AF$1048)*100000000+('Dvd Calendar'!$AF$1050=SPECIAL_LBL)*10000000+(N('Dvd Calendar'!$AF$1044)&gt;0)*(N('Dvd Calendar'!$AF$1044)&lt;=VAL_SERIAL)*1000000+95*1000+28))</f>
        <v/>
      </c>
      <c r="FG106" s="121">
        <f>IF(N('Dvd Calendar'!$AG$1045)=0,"",IF(('Dvd Calendar'!$AG$1045&gt;=GRID_FROM)*('Dvd Calendar'!$AG$1045&lt;=GRID_TO)*((('Dvd Calendar'!$AG$1045&lt;=VAL_DATE)+(COUNTIF('Dvd Calendar'!$E$1052:$AR$1052,'Dvd Calendar'!$AG$1045)=0))&gt;0)=0,"",'Dvd Calendar'!$AG$1045*1000000000+ISNUMBER('Dvd Calendar'!$AG$1048)*100000000+('Dvd Calendar'!$AG$1050=SPECIAL_LBL)*10000000+(N('Dvd Calendar'!$AG$1044)&gt;0)*(N('Dvd Calendar'!$AG$1044)&lt;=VAL_SERIAL)*1000000+95*1000+29))</f>
        <v/>
      </c>
      <c r="FH106" s="121">
        <f>IF(N('Dvd Calendar'!$AH$1045)=0,"",IF(('Dvd Calendar'!$AH$1045&gt;=GRID_FROM)*('Dvd Calendar'!$AH$1045&lt;=GRID_TO)*((('Dvd Calendar'!$AH$1045&lt;=VAL_DATE)+(COUNTIF('Dvd Calendar'!$E$1052:$AR$1052,'Dvd Calendar'!$AH$1045)=0))&gt;0)=0,"",'Dvd Calendar'!$AH$1045*1000000000+ISNUMBER('Dvd Calendar'!$AH$1048)*100000000+('Dvd Calendar'!$AH$1050=SPECIAL_LBL)*10000000+(N('Dvd Calendar'!$AH$1044)&gt;0)*(N('Dvd Calendar'!$AH$1044)&lt;=VAL_SERIAL)*1000000+95*1000+30))</f>
        <v/>
      </c>
      <c r="FI106" s="121">
        <f>IF(N('Dvd Calendar'!$AI$1045)=0,"",IF(('Dvd Calendar'!$AI$1045&gt;=GRID_FROM)*('Dvd Calendar'!$AI$1045&lt;=GRID_TO)*((('Dvd Calendar'!$AI$1045&lt;=VAL_DATE)+(COUNTIF('Dvd Calendar'!$E$1052:$AR$1052,'Dvd Calendar'!$AI$1045)=0))&gt;0)=0,"",'Dvd Calendar'!$AI$1045*1000000000+ISNUMBER('Dvd Calendar'!$AI$1048)*100000000+('Dvd Calendar'!$AI$1050=SPECIAL_LBL)*10000000+(N('Dvd Calendar'!$AI$1044)&gt;0)*(N('Dvd Calendar'!$AI$1044)&lt;=VAL_SERIAL)*1000000+95*1000+31))</f>
        <v/>
      </c>
      <c r="FJ106" s="121">
        <f>IF(N('Dvd Calendar'!$AJ$1045)=0,"",IF(('Dvd Calendar'!$AJ$1045&gt;=GRID_FROM)*('Dvd Calendar'!$AJ$1045&lt;=GRID_TO)*((('Dvd Calendar'!$AJ$1045&lt;=VAL_DATE)+(COUNTIF('Dvd Calendar'!$E$1052:$AR$1052,'Dvd Calendar'!$AJ$1045)=0))&gt;0)=0,"",'Dvd Calendar'!$AJ$1045*1000000000+ISNUMBER('Dvd Calendar'!$AJ$1048)*100000000+('Dvd Calendar'!$AJ$1050=SPECIAL_LBL)*10000000+(N('Dvd Calendar'!$AJ$1044)&gt;0)*(N('Dvd Calendar'!$AJ$1044)&lt;=VAL_SERIAL)*1000000+95*1000+32))</f>
        <v/>
      </c>
      <c r="FK106" s="121">
        <f>IF(N('Dvd Calendar'!$AK$1045)=0,"",IF(('Dvd Calendar'!$AK$1045&gt;=GRID_FROM)*('Dvd Calendar'!$AK$1045&lt;=GRID_TO)*((('Dvd Calendar'!$AK$1045&lt;=VAL_DATE)+(COUNTIF('Dvd Calendar'!$E$1052:$AR$1052,'Dvd Calendar'!$AK$1045)=0))&gt;0)=0,"",'Dvd Calendar'!$AK$1045*1000000000+ISNUMBER('Dvd Calendar'!$AK$1048)*100000000+('Dvd Calendar'!$AK$1050=SPECIAL_LBL)*10000000+(N('Dvd Calendar'!$AK$1044)&gt;0)*(N('Dvd Calendar'!$AK$1044)&lt;=VAL_SERIAL)*1000000+95*1000+33))</f>
        <v/>
      </c>
      <c r="FL106" s="121">
        <f>IF(N('Dvd Calendar'!$AL$1045)=0,"",IF(('Dvd Calendar'!$AL$1045&gt;=GRID_FROM)*('Dvd Calendar'!$AL$1045&lt;=GRID_TO)*((('Dvd Calendar'!$AL$1045&lt;=VAL_DATE)+(COUNTIF('Dvd Calendar'!$E$1052:$AR$1052,'Dvd Calendar'!$AL$1045)=0))&gt;0)=0,"",'Dvd Calendar'!$AL$1045*1000000000+ISNUMBER('Dvd Calendar'!$AL$1048)*100000000+('Dvd Calendar'!$AL$1050=SPECIAL_LBL)*10000000+(N('Dvd Calendar'!$AL$1044)&gt;0)*(N('Dvd Calendar'!$AL$1044)&lt;=VAL_SERIAL)*1000000+95*1000+34))</f>
        <v/>
      </c>
      <c r="FM106" s="121">
        <f>IF(N('Dvd Calendar'!$AM$1045)=0,"",IF(('Dvd Calendar'!$AM$1045&gt;=GRID_FROM)*('Dvd Calendar'!$AM$1045&lt;=GRID_TO)*((('Dvd Calendar'!$AM$1045&lt;=VAL_DATE)+(COUNTIF('Dvd Calendar'!$E$1052:$AR$1052,'Dvd Calendar'!$AM$1045)=0))&gt;0)=0,"",'Dvd Calendar'!$AM$1045*1000000000+ISNUMBER('Dvd Calendar'!$AM$1048)*100000000+('Dvd Calendar'!$AM$1050=SPECIAL_LBL)*10000000+(N('Dvd Calendar'!$AM$1044)&gt;0)*(N('Dvd Calendar'!$AM$1044)&lt;=VAL_SERIAL)*1000000+95*1000+35))</f>
        <v/>
      </c>
      <c r="FN106" s="121">
        <f>IF(N('Dvd Calendar'!$AN$1045)=0,"",IF(('Dvd Calendar'!$AN$1045&gt;=GRID_FROM)*('Dvd Calendar'!$AN$1045&lt;=GRID_TO)*((('Dvd Calendar'!$AN$1045&lt;=VAL_DATE)+(COUNTIF('Dvd Calendar'!$E$1052:$AR$1052,'Dvd Calendar'!$AN$1045)=0))&gt;0)=0,"",'Dvd Calendar'!$AN$1045*1000000000+ISNUMBER('Dvd Calendar'!$AN$1048)*100000000+('Dvd Calendar'!$AN$1050=SPECIAL_LBL)*10000000+(N('Dvd Calendar'!$AN$1044)&gt;0)*(N('Dvd Calendar'!$AN$1044)&lt;=VAL_SERIAL)*1000000+95*1000+36))</f>
        <v/>
      </c>
      <c r="FO106" s="121">
        <f>IF(N('Dvd Calendar'!$AO$1045)=0,"",IF(('Dvd Calendar'!$AO$1045&gt;=GRID_FROM)*('Dvd Calendar'!$AO$1045&lt;=GRID_TO)*((('Dvd Calendar'!$AO$1045&lt;=VAL_DATE)+(COUNTIF('Dvd Calendar'!$E$1052:$AR$1052,'Dvd Calendar'!$AO$1045)=0))&gt;0)=0,"",'Dvd Calendar'!$AO$1045*1000000000+ISNUMBER('Dvd Calendar'!$AO$1048)*100000000+('Dvd Calendar'!$AO$1050=SPECIAL_LBL)*10000000+(N('Dvd Calendar'!$AO$1044)&gt;0)*(N('Dvd Calendar'!$AO$1044)&lt;=VAL_SERIAL)*1000000+95*1000+37))</f>
        <v/>
      </c>
      <c r="FP106" s="121">
        <f>IF(N('Dvd Calendar'!$AP$1045)=0,"",IF(('Dvd Calendar'!$AP$1045&gt;=GRID_FROM)*('Dvd Calendar'!$AP$1045&lt;=GRID_TO)*((('Dvd Calendar'!$AP$1045&lt;=VAL_DATE)+(COUNTIF('Dvd Calendar'!$E$1052:$AR$1052,'Dvd Calendar'!$AP$1045)=0))&gt;0)=0,"",'Dvd Calendar'!$AP$1045*1000000000+ISNUMBER('Dvd Calendar'!$AP$1048)*100000000+('Dvd Calendar'!$AP$1050=SPECIAL_LBL)*10000000+(N('Dvd Calendar'!$AP$1044)&gt;0)*(N('Dvd Calendar'!$AP$1044)&lt;=VAL_SERIAL)*1000000+95*1000+38))</f>
        <v/>
      </c>
      <c r="FQ106" s="121">
        <f>IF(N('Dvd Calendar'!$AQ$1045)=0,"",IF(('Dvd Calendar'!$AQ$1045&gt;=GRID_FROM)*('Dvd Calendar'!$AQ$1045&lt;=GRID_TO)*((('Dvd Calendar'!$AQ$1045&lt;=VAL_DATE)+(COUNTIF('Dvd Calendar'!$E$1052:$AR$1052,'Dvd Calendar'!$AQ$1045)=0))&gt;0)=0,"",'Dvd Calendar'!$AQ$1045*1000000000+ISNUMBER('Dvd Calendar'!$AQ$1048)*100000000+('Dvd Calendar'!$AQ$1050=SPECIAL_LBL)*10000000+(N('Dvd Calendar'!$AQ$1044)&gt;0)*(N('Dvd Calendar'!$AQ$1044)&lt;=VAL_SERIAL)*1000000+95*1000+39))</f>
        <v/>
      </c>
      <c r="FR106" s="121">
        <f>IF(N('Dvd Calendar'!$AR$1045)=0,"",IF(('Dvd Calendar'!$AR$1045&gt;=GRID_FROM)*('Dvd Calendar'!$AR$1045&lt;=GRID_TO)*((('Dvd Calendar'!$AR$1045&lt;=VAL_DATE)+(COUNTIF('Dvd Calendar'!$E$1052:$AR$1052,'Dvd Calendar'!$AR$1045)=0))&gt;0)=0,"",'Dvd Calendar'!$AR$1045*1000000000+ISNUMBER('Dvd Calendar'!$AR$1048)*100000000+('Dvd Calendar'!$AR$1050=SPECIAL_LBL)*10000000+(N('Dvd Calendar'!$AR$1044)&gt;0)*(N('Dvd Calendar'!$AR$1044)&lt;=VAL_SERIAL)*1000000+95*1000+40))</f>
        <v/>
      </c>
      <c r="FS106" s="121">
        <f>IF(N('Dvd Calendar'!$E$1052)=0,"",IF(('Dvd Calendar'!$E$1052&gt;=GRID_FROM)*('Dvd Calendar'!$E$1052&lt;=GRID_TO)*('Dvd Calendar'!$E$1052&gt;VAL_DATE)=0,"",'Dvd Calendar'!$E$1052*1000000000+ISNUMBER('Dvd Calendar'!$E$1053)*100000000+0*10000000+(N('Dvd Calendar'!$E$1051)&gt;0)*(N('Dvd Calendar'!$E$1051)&lt;=VAL_SERIAL)*1000000+95*1000+41))</f>
        <v/>
      </c>
      <c r="FT106" s="121">
        <f>IF(N('Dvd Calendar'!$F$1052)=0,"",IF(('Dvd Calendar'!$F$1052&gt;=GRID_FROM)*('Dvd Calendar'!$F$1052&lt;=GRID_TO)*('Dvd Calendar'!$F$1052&gt;VAL_DATE)=0,"",'Dvd Calendar'!$F$1052*1000000000+ISNUMBER('Dvd Calendar'!$F$1053)*100000000+0*10000000+(N('Dvd Calendar'!$F$1051)&gt;0)*(N('Dvd Calendar'!$F$1051)&lt;=VAL_SERIAL)*1000000+95*1000+42))</f>
        <v/>
      </c>
      <c r="FU106" s="121">
        <f>IF(N('Dvd Calendar'!$G$1052)=0,"",IF(('Dvd Calendar'!$G$1052&gt;=GRID_FROM)*('Dvd Calendar'!$G$1052&lt;=GRID_TO)*('Dvd Calendar'!$G$1052&gt;VAL_DATE)=0,"",'Dvd Calendar'!$G$1052*1000000000+ISNUMBER('Dvd Calendar'!$G$1053)*100000000+0*10000000+(N('Dvd Calendar'!$G$1051)&gt;0)*(N('Dvd Calendar'!$G$1051)&lt;=VAL_SERIAL)*1000000+95*1000+43))</f>
        <v/>
      </c>
      <c r="FV106" s="121">
        <f>IF(N('Dvd Calendar'!$H$1052)=0,"",IF(('Dvd Calendar'!$H$1052&gt;=GRID_FROM)*('Dvd Calendar'!$H$1052&lt;=GRID_TO)*('Dvd Calendar'!$H$1052&gt;VAL_DATE)=0,"",'Dvd Calendar'!$H$1052*1000000000+ISNUMBER('Dvd Calendar'!$H$1053)*100000000+0*10000000+(N('Dvd Calendar'!$H$1051)&gt;0)*(N('Dvd Calendar'!$H$1051)&lt;=VAL_SERIAL)*1000000+95*1000+44))</f>
        <v/>
      </c>
      <c r="FW106" s="121">
        <f>IF(N('Dvd Calendar'!$I$1052)=0,"",IF(('Dvd Calendar'!$I$1052&gt;=GRID_FROM)*('Dvd Calendar'!$I$1052&lt;=GRID_TO)*('Dvd Calendar'!$I$1052&gt;VAL_DATE)=0,"",'Dvd Calendar'!$I$1052*1000000000+ISNUMBER('Dvd Calendar'!$I$1053)*100000000+0*10000000+(N('Dvd Calendar'!$I$1051)&gt;0)*(N('Dvd Calendar'!$I$1051)&lt;=VAL_SERIAL)*1000000+95*1000+45))</f>
        <v/>
      </c>
      <c r="FX106" s="121">
        <f>IF(N('Dvd Calendar'!$J$1052)=0,"",IF(('Dvd Calendar'!$J$1052&gt;=GRID_FROM)*('Dvd Calendar'!$J$1052&lt;=GRID_TO)*('Dvd Calendar'!$J$1052&gt;VAL_DATE)=0,"",'Dvd Calendar'!$J$1052*1000000000+ISNUMBER('Dvd Calendar'!$J$1053)*100000000+0*10000000+(N('Dvd Calendar'!$J$1051)&gt;0)*(N('Dvd Calendar'!$J$1051)&lt;=VAL_SERIAL)*1000000+95*1000+46))</f>
        <v/>
      </c>
      <c r="FY106" s="121">
        <f>IF(N('Dvd Calendar'!$K$1052)=0,"",IF(('Dvd Calendar'!$K$1052&gt;=GRID_FROM)*('Dvd Calendar'!$K$1052&lt;=GRID_TO)*('Dvd Calendar'!$K$1052&gt;VAL_DATE)=0,"",'Dvd Calendar'!$K$1052*1000000000+ISNUMBER('Dvd Calendar'!$K$1053)*100000000+0*10000000+(N('Dvd Calendar'!$K$1051)&gt;0)*(N('Dvd Calendar'!$K$1051)&lt;=VAL_SERIAL)*1000000+95*1000+47))</f>
        <v/>
      </c>
      <c r="FZ106" s="121">
        <f>IF(N('Dvd Calendar'!$L$1052)=0,"",IF(('Dvd Calendar'!$L$1052&gt;=GRID_FROM)*('Dvd Calendar'!$L$1052&lt;=GRID_TO)*('Dvd Calendar'!$L$1052&gt;VAL_DATE)=0,"",'Dvd Calendar'!$L$1052*1000000000+ISNUMBER('Dvd Calendar'!$L$1053)*100000000+0*10000000+(N('Dvd Calendar'!$L$1051)&gt;0)*(N('Dvd Calendar'!$L$1051)&lt;=VAL_SERIAL)*1000000+95*1000+48))</f>
        <v/>
      </c>
      <c r="GA106" s="121">
        <f>IF(N('Dvd Calendar'!$M$1052)=0,"",IF(('Dvd Calendar'!$M$1052&gt;=GRID_FROM)*('Dvd Calendar'!$M$1052&lt;=GRID_TO)*('Dvd Calendar'!$M$1052&gt;VAL_DATE)=0,"",'Dvd Calendar'!$M$1052*1000000000+ISNUMBER('Dvd Calendar'!$M$1053)*100000000+0*10000000+(N('Dvd Calendar'!$M$1051)&gt;0)*(N('Dvd Calendar'!$M$1051)&lt;=VAL_SERIAL)*1000000+95*1000+49))</f>
        <v/>
      </c>
      <c r="GB106" s="121">
        <f>IF(N('Dvd Calendar'!$N$1052)=0,"",IF(('Dvd Calendar'!$N$1052&gt;=GRID_FROM)*('Dvd Calendar'!$N$1052&lt;=GRID_TO)*('Dvd Calendar'!$N$1052&gt;VAL_DATE)=0,"",'Dvd Calendar'!$N$1052*1000000000+ISNUMBER('Dvd Calendar'!$N$1053)*100000000+0*10000000+(N('Dvd Calendar'!$N$1051)&gt;0)*(N('Dvd Calendar'!$N$1051)&lt;=VAL_SERIAL)*1000000+95*1000+50))</f>
        <v/>
      </c>
      <c r="GC106" s="121">
        <f>IF(N('Dvd Calendar'!$O$1052)=0,"",IF(('Dvd Calendar'!$O$1052&gt;=GRID_FROM)*('Dvd Calendar'!$O$1052&lt;=GRID_TO)*('Dvd Calendar'!$O$1052&gt;VAL_DATE)=0,"",'Dvd Calendar'!$O$1052*1000000000+ISNUMBER('Dvd Calendar'!$O$1053)*100000000+0*10000000+(N('Dvd Calendar'!$O$1051)&gt;0)*(N('Dvd Calendar'!$O$1051)&lt;=VAL_SERIAL)*1000000+95*1000+51))</f>
        <v/>
      </c>
      <c r="GD106" s="121">
        <f>IF(N('Dvd Calendar'!$P$1052)=0,"",IF(('Dvd Calendar'!$P$1052&gt;=GRID_FROM)*('Dvd Calendar'!$P$1052&lt;=GRID_TO)*('Dvd Calendar'!$P$1052&gt;VAL_DATE)=0,"",'Dvd Calendar'!$P$1052*1000000000+ISNUMBER('Dvd Calendar'!$P$1053)*100000000+0*10000000+(N('Dvd Calendar'!$P$1051)&gt;0)*(N('Dvd Calendar'!$P$1051)&lt;=VAL_SERIAL)*1000000+95*1000+52))</f>
        <v/>
      </c>
      <c r="GE106" s="121">
        <f>IF(N('Dvd Calendar'!$Q$1052)=0,"",IF(('Dvd Calendar'!$Q$1052&gt;=GRID_FROM)*('Dvd Calendar'!$Q$1052&lt;=GRID_TO)*('Dvd Calendar'!$Q$1052&gt;VAL_DATE)=0,"",'Dvd Calendar'!$Q$1052*1000000000+ISNUMBER('Dvd Calendar'!$Q$1053)*100000000+0*10000000+(N('Dvd Calendar'!$Q$1051)&gt;0)*(N('Dvd Calendar'!$Q$1051)&lt;=VAL_SERIAL)*1000000+95*1000+53))</f>
        <v/>
      </c>
      <c r="GF106" s="121">
        <f>IF(N('Dvd Calendar'!$R$1052)=0,"",IF(('Dvd Calendar'!$R$1052&gt;=GRID_FROM)*('Dvd Calendar'!$R$1052&lt;=GRID_TO)*('Dvd Calendar'!$R$1052&gt;VAL_DATE)=0,"",'Dvd Calendar'!$R$1052*1000000000+ISNUMBER('Dvd Calendar'!$R$1053)*100000000+0*10000000+(N('Dvd Calendar'!$R$1051)&gt;0)*(N('Dvd Calendar'!$R$1051)&lt;=VAL_SERIAL)*1000000+95*1000+54))</f>
        <v/>
      </c>
      <c r="GG106" s="121">
        <f>IF(N('Dvd Calendar'!$S$1052)=0,"",IF(('Dvd Calendar'!$S$1052&gt;=GRID_FROM)*('Dvd Calendar'!$S$1052&lt;=GRID_TO)*('Dvd Calendar'!$S$1052&gt;VAL_DATE)=0,"",'Dvd Calendar'!$S$1052*1000000000+ISNUMBER('Dvd Calendar'!$S$1053)*100000000+0*10000000+(N('Dvd Calendar'!$S$1051)&gt;0)*(N('Dvd Calendar'!$S$1051)&lt;=VAL_SERIAL)*1000000+95*1000+55))</f>
        <v/>
      </c>
      <c r="GH106" s="121">
        <f>IF(N('Dvd Calendar'!$T$1052)=0,"",IF(('Dvd Calendar'!$T$1052&gt;=GRID_FROM)*('Dvd Calendar'!$T$1052&lt;=GRID_TO)*('Dvd Calendar'!$T$1052&gt;VAL_DATE)=0,"",'Dvd Calendar'!$T$1052*1000000000+ISNUMBER('Dvd Calendar'!$T$1053)*100000000+0*10000000+(N('Dvd Calendar'!$T$1051)&gt;0)*(N('Dvd Calendar'!$T$1051)&lt;=VAL_SERIAL)*1000000+95*1000+56))</f>
        <v/>
      </c>
      <c r="GI106" s="121">
        <f>IF(N('Dvd Calendar'!$U$1052)=0,"",IF(('Dvd Calendar'!$U$1052&gt;=GRID_FROM)*('Dvd Calendar'!$U$1052&lt;=GRID_TO)*('Dvd Calendar'!$U$1052&gt;VAL_DATE)=0,"",'Dvd Calendar'!$U$1052*1000000000+ISNUMBER('Dvd Calendar'!$U$1053)*100000000+0*10000000+(N('Dvd Calendar'!$U$1051)&gt;0)*(N('Dvd Calendar'!$U$1051)&lt;=VAL_SERIAL)*1000000+95*1000+57))</f>
        <v/>
      </c>
      <c r="GJ106" s="121">
        <f>IF(N('Dvd Calendar'!$V$1052)=0,"",IF(('Dvd Calendar'!$V$1052&gt;=GRID_FROM)*('Dvd Calendar'!$V$1052&lt;=GRID_TO)*('Dvd Calendar'!$V$1052&gt;VAL_DATE)=0,"",'Dvd Calendar'!$V$1052*1000000000+ISNUMBER('Dvd Calendar'!$V$1053)*100000000+0*10000000+(N('Dvd Calendar'!$V$1051)&gt;0)*(N('Dvd Calendar'!$V$1051)&lt;=VAL_SERIAL)*1000000+95*1000+58))</f>
        <v/>
      </c>
      <c r="GK106" s="121">
        <f>IF(N('Dvd Calendar'!$W$1052)=0,"",IF(('Dvd Calendar'!$W$1052&gt;=GRID_FROM)*('Dvd Calendar'!$W$1052&lt;=GRID_TO)*('Dvd Calendar'!$W$1052&gt;VAL_DATE)=0,"",'Dvd Calendar'!$W$1052*1000000000+ISNUMBER('Dvd Calendar'!$W$1053)*100000000+0*10000000+(N('Dvd Calendar'!$W$1051)&gt;0)*(N('Dvd Calendar'!$W$1051)&lt;=VAL_SERIAL)*1000000+95*1000+59))</f>
        <v/>
      </c>
      <c r="GL106" s="121">
        <f>IF(N('Dvd Calendar'!$X$1052)=0,"",IF(('Dvd Calendar'!$X$1052&gt;=GRID_FROM)*('Dvd Calendar'!$X$1052&lt;=GRID_TO)*('Dvd Calendar'!$X$1052&gt;VAL_DATE)=0,"",'Dvd Calendar'!$X$1052*1000000000+ISNUMBER('Dvd Calendar'!$X$1053)*100000000+0*10000000+(N('Dvd Calendar'!$X$1051)&gt;0)*(N('Dvd Calendar'!$X$1051)&lt;=VAL_SERIAL)*1000000+95*1000+60))</f>
        <v/>
      </c>
      <c r="GM106" s="121">
        <f>IF(N('Dvd Calendar'!$Y$1052)=0,"",IF(('Dvd Calendar'!$Y$1052&gt;=GRID_FROM)*('Dvd Calendar'!$Y$1052&lt;=GRID_TO)*('Dvd Calendar'!$Y$1052&gt;VAL_DATE)=0,"",'Dvd Calendar'!$Y$1052*1000000000+ISNUMBER('Dvd Calendar'!$Y$1053)*100000000+0*10000000+(N('Dvd Calendar'!$Y$1051)&gt;0)*(N('Dvd Calendar'!$Y$1051)&lt;=VAL_SERIAL)*1000000+95*1000+61))</f>
        <v/>
      </c>
      <c r="GN106" s="121">
        <f>IF(N('Dvd Calendar'!$Z$1052)=0,"",IF(('Dvd Calendar'!$Z$1052&gt;=GRID_FROM)*('Dvd Calendar'!$Z$1052&lt;=GRID_TO)*('Dvd Calendar'!$Z$1052&gt;VAL_DATE)=0,"",'Dvd Calendar'!$Z$1052*1000000000+ISNUMBER('Dvd Calendar'!$Z$1053)*100000000+0*10000000+(N('Dvd Calendar'!$Z$1051)&gt;0)*(N('Dvd Calendar'!$Z$1051)&lt;=VAL_SERIAL)*1000000+95*1000+62))</f>
        <v/>
      </c>
      <c r="GO106" s="121">
        <f>IF(N('Dvd Calendar'!$AA$1052)=0,"",IF(('Dvd Calendar'!$AA$1052&gt;=GRID_FROM)*('Dvd Calendar'!$AA$1052&lt;=GRID_TO)*('Dvd Calendar'!$AA$1052&gt;VAL_DATE)=0,"",'Dvd Calendar'!$AA$1052*1000000000+ISNUMBER('Dvd Calendar'!$AA$1053)*100000000+0*10000000+(N('Dvd Calendar'!$AA$1051)&gt;0)*(N('Dvd Calendar'!$AA$1051)&lt;=VAL_SERIAL)*1000000+95*1000+63))</f>
        <v/>
      </c>
      <c r="GP106" s="121">
        <f>IF(N('Dvd Calendar'!$AB$1052)=0,"",IF(('Dvd Calendar'!$AB$1052&gt;=GRID_FROM)*('Dvd Calendar'!$AB$1052&lt;=GRID_TO)*('Dvd Calendar'!$AB$1052&gt;VAL_DATE)=0,"",'Dvd Calendar'!$AB$1052*1000000000+ISNUMBER('Dvd Calendar'!$AB$1053)*100000000+0*10000000+(N('Dvd Calendar'!$AB$1051)&gt;0)*(N('Dvd Calendar'!$AB$1051)&lt;=VAL_SERIAL)*1000000+95*1000+64))</f>
        <v/>
      </c>
      <c r="GQ106" s="121">
        <f>IF(N('Dvd Calendar'!$AC$1052)=0,"",IF(('Dvd Calendar'!$AC$1052&gt;=GRID_FROM)*('Dvd Calendar'!$AC$1052&lt;=GRID_TO)*('Dvd Calendar'!$AC$1052&gt;VAL_DATE)=0,"",'Dvd Calendar'!$AC$1052*1000000000+ISNUMBER('Dvd Calendar'!$AC$1053)*100000000+0*10000000+(N('Dvd Calendar'!$AC$1051)&gt;0)*(N('Dvd Calendar'!$AC$1051)&lt;=VAL_SERIAL)*1000000+95*1000+65))</f>
        <v/>
      </c>
    </row>
    <row r="107">
      <c r="B107" s="2">
        <f>IF(HSI!$C$102="","",HSI!$C$102)</f>
        <v/>
      </c>
      <c r="C107" s="161">
        <f>IF(EE107="","",IF(ISNUMBER('Dvd Calendar'!$E$1059)=FALSE,"",IF((('Dvd Calendar'!$E$1061=TYPE1)*(TYPE1&lt;&gt;"")+('Dvd Calendar'!$E$1061=TYPE2)*(TYPE2&lt;&gt;"")+('Dvd Calendar'!$E$1061=TYPE3)*(TYPE3&lt;&gt;"")+('Dvd Calendar'!$E$1061=TYPE4)*(TYPE4&lt;&gt;"")+('Dvd Calendar'!$E$1061=SPECIAL_LBL)*(INC_SPECIALS="Y"))=0,"",'Dvd Calendar'!$E$1059)))</f>
        <v/>
      </c>
      <c r="D107" s="161">
        <f>IF(EF107="","",IF(ISNUMBER('Dvd Calendar'!$F$1059)=FALSE,"",IF((('Dvd Calendar'!$F$1061=TYPE1)*(TYPE1&lt;&gt;"")+('Dvd Calendar'!$F$1061=TYPE2)*(TYPE2&lt;&gt;"")+('Dvd Calendar'!$F$1061=TYPE3)*(TYPE3&lt;&gt;"")+('Dvd Calendar'!$F$1061=TYPE4)*(TYPE4&lt;&gt;"")+('Dvd Calendar'!$F$1061=SPECIAL_LBL)*(INC_SPECIALS="Y"))=0,"",'Dvd Calendar'!$F$1059)))</f>
        <v/>
      </c>
      <c r="E107" s="161">
        <f>IF(EG107="","",IF(ISNUMBER('Dvd Calendar'!$G$1059)=FALSE,"",IF((('Dvd Calendar'!$G$1061=TYPE1)*(TYPE1&lt;&gt;"")+('Dvd Calendar'!$G$1061=TYPE2)*(TYPE2&lt;&gt;"")+('Dvd Calendar'!$G$1061=TYPE3)*(TYPE3&lt;&gt;"")+('Dvd Calendar'!$G$1061=TYPE4)*(TYPE4&lt;&gt;"")+('Dvd Calendar'!$G$1061=SPECIAL_LBL)*(INC_SPECIALS="Y"))=0,"",'Dvd Calendar'!$G$1059)))</f>
        <v/>
      </c>
      <c r="F107" s="161">
        <f>IF(EH107="","",IF(ISNUMBER('Dvd Calendar'!$H$1059)=FALSE,"",IF((('Dvd Calendar'!$H$1061=TYPE1)*(TYPE1&lt;&gt;"")+('Dvd Calendar'!$H$1061=TYPE2)*(TYPE2&lt;&gt;"")+('Dvd Calendar'!$H$1061=TYPE3)*(TYPE3&lt;&gt;"")+('Dvd Calendar'!$H$1061=TYPE4)*(TYPE4&lt;&gt;"")+('Dvd Calendar'!$H$1061=SPECIAL_LBL)*(INC_SPECIALS="Y"))=0,"",'Dvd Calendar'!$H$1059)))</f>
        <v/>
      </c>
      <c r="G107" s="161">
        <f>IF(EI107="","",IF(ISNUMBER('Dvd Calendar'!$I$1059)=FALSE,"",IF((('Dvd Calendar'!$I$1061=TYPE1)*(TYPE1&lt;&gt;"")+('Dvd Calendar'!$I$1061=TYPE2)*(TYPE2&lt;&gt;"")+('Dvd Calendar'!$I$1061=TYPE3)*(TYPE3&lt;&gt;"")+('Dvd Calendar'!$I$1061=TYPE4)*(TYPE4&lt;&gt;"")+('Dvd Calendar'!$I$1061=SPECIAL_LBL)*(INC_SPECIALS="Y"))=0,"",'Dvd Calendar'!$I$1059)))</f>
        <v/>
      </c>
      <c r="H107" s="161">
        <f>IF(EJ107="","",IF(ISNUMBER('Dvd Calendar'!$J$1059)=FALSE,"",IF((('Dvd Calendar'!$J$1061=TYPE1)*(TYPE1&lt;&gt;"")+('Dvd Calendar'!$J$1061=TYPE2)*(TYPE2&lt;&gt;"")+('Dvd Calendar'!$J$1061=TYPE3)*(TYPE3&lt;&gt;"")+('Dvd Calendar'!$J$1061=TYPE4)*(TYPE4&lt;&gt;"")+('Dvd Calendar'!$J$1061=SPECIAL_LBL)*(INC_SPECIALS="Y"))=0,"",'Dvd Calendar'!$J$1059)))</f>
        <v/>
      </c>
      <c r="I107" s="161">
        <f>IF(EK107="","",IF(ISNUMBER('Dvd Calendar'!$K$1059)=FALSE,"",IF((('Dvd Calendar'!$K$1061=TYPE1)*(TYPE1&lt;&gt;"")+('Dvd Calendar'!$K$1061=TYPE2)*(TYPE2&lt;&gt;"")+('Dvd Calendar'!$K$1061=TYPE3)*(TYPE3&lt;&gt;"")+('Dvd Calendar'!$K$1061=TYPE4)*(TYPE4&lt;&gt;"")+('Dvd Calendar'!$K$1061=SPECIAL_LBL)*(INC_SPECIALS="Y"))=0,"",'Dvd Calendar'!$K$1059)))</f>
        <v/>
      </c>
      <c r="J107" s="161">
        <f>IF(EL107="","",IF(ISNUMBER('Dvd Calendar'!$L$1059)=FALSE,"",IF((('Dvd Calendar'!$L$1061=TYPE1)*(TYPE1&lt;&gt;"")+('Dvd Calendar'!$L$1061=TYPE2)*(TYPE2&lt;&gt;"")+('Dvd Calendar'!$L$1061=TYPE3)*(TYPE3&lt;&gt;"")+('Dvd Calendar'!$L$1061=TYPE4)*(TYPE4&lt;&gt;"")+('Dvd Calendar'!$L$1061=SPECIAL_LBL)*(INC_SPECIALS="Y"))=0,"",'Dvd Calendar'!$L$1059)))</f>
        <v/>
      </c>
      <c r="K107" s="161">
        <f>IF(EM107="","",IF(ISNUMBER('Dvd Calendar'!$M$1059)=FALSE,"",IF((('Dvd Calendar'!$M$1061=TYPE1)*(TYPE1&lt;&gt;"")+('Dvd Calendar'!$M$1061=TYPE2)*(TYPE2&lt;&gt;"")+('Dvd Calendar'!$M$1061=TYPE3)*(TYPE3&lt;&gt;"")+('Dvd Calendar'!$M$1061=TYPE4)*(TYPE4&lt;&gt;"")+('Dvd Calendar'!$M$1061=SPECIAL_LBL)*(INC_SPECIALS="Y"))=0,"",'Dvd Calendar'!$M$1059)))</f>
        <v/>
      </c>
      <c r="L107" s="161">
        <f>IF(EN107="","",IF(ISNUMBER('Dvd Calendar'!$N$1059)=FALSE,"",IF((('Dvd Calendar'!$N$1061=TYPE1)*(TYPE1&lt;&gt;"")+('Dvd Calendar'!$N$1061=TYPE2)*(TYPE2&lt;&gt;"")+('Dvd Calendar'!$N$1061=TYPE3)*(TYPE3&lt;&gt;"")+('Dvd Calendar'!$N$1061=TYPE4)*(TYPE4&lt;&gt;"")+('Dvd Calendar'!$N$1061=SPECIAL_LBL)*(INC_SPECIALS="Y"))=0,"",'Dvd Calendar'!$N$1059)))</f>
        <v/>
      </c>
      <c r="M107" s="161">
        <f>IF(EO107="","",IF(ISNUMBER('Dvd Calendar'!$O$1059)=FALSE,"",IF((('Dvd Calendar'!$O$1061=TYPE1)*(TYPE1&lt;&gt;"")+('Dvd Calendar'!$O$1061=TYPE2)*(TYPE2&lt;&gt;"")+('Dvd Calendar'!$O$1061=TYPE3)*(TYPE3&lt;&gt;"")+('Dvd Calendar'!$O$1061=TYPE4)*(TYPE4&lt;&gt;"")+('Dvd Calendar'!$O$1061=SPECIAL_LBL)*(INC_SPECIALS="Y"))=0,"",'Dvd Calendar'!$O$1059)))</f>
        <v/>
      </c>
      <c r="N107" s="161">
        <f>IF(EP107="","",IF(ISNUMBER('Dvd Calendar'!$P$1059)=FALSE,"",IF((('Dvd Calendar'!$P$1061=TYPE1)*(TYPE1&lt;&gt;"")+('Dvd Calendar'!$P$1061=TYPE2)*(TYPE2&lt;&gt;"")+('Dvd Calendar'!$P$1061=TYPE3)*(TYPE3&lt;&gt;"")+('Dvd Calendar'!$P$1061=TYPE4)*(TYPE4&lt;&gt;"")+('Dvd Calendar'!$P$1061=SPECIAL_LBL)*(INC_SPECIALS="Y"))=0,"",'Dvd Calendar'!$P$1059)))</f>
        <v/>
      </c>
      <c r="O107" s="161">
        <f>IF(EQ107="","",IF(ISNUMBER('Dvd Calendar'!$Q$1059)=FALSE,"",IF((('Dvd Calendar'!$Q$1061=TYPE1)*(TYPE1&lt;&gt;"")+('Dvd Calendar'!$Q$1061=TYPE2)*(TYPE2&lt;&gt;"")+('Dvd Calendar'!$Q$1061=TYPE3)*(TYPE3&lt;&gt;"")+('Dvd Calendar'!$Q$1061=TYPE4)*(TYPE4&lt;&gt;"")+('Dvd Calendar'!$Q$1061=SPECIAL_LBL)*(INC_SPECIALS="Y"))=0,"",'Dvd Calendar'!$Q$1059)))</f>
        <v/>
      </c>
      <c r="P107" s="161">
        <f>IF(ER107="","",IF(ISNUMBER('Dvd Calendar'!$R$1059)=FALSE,"",IF((('Dvd Calendar'!$R$1061=TYPE1)*(TYPE1&lt;&gt;"")+('Dvd Calendar'!$R$1061=TYPE2)*(TYPE2&lt;&gt;"")+('Dvd Calendar'!$R$1061=TYPE3)*(TYPE3&lt;&gt;"")+('Dvd Calendar'!$R$1061=TYPE4)*(TYPE4&lt;&gt;"")+('Dvd Calendar'!$R$1061=SPECIAL_LBL)*(INC_SPECIALS="Y"))=0,"",'Dvd Calendar'!$R$1059)))</f>
        <v/>
      </c>
      <c r="Q107" s="161">
        <f>IF(ES107="","",IF(ISNUMBER('Dvd Calendar'!$S$1059)=FALSE,"",IF((('Dvd Calendar'!$S$1061=TYPE1)*(TYPE1&lt;&gt;"")+('Dvd Calendar'!$S$1061=TYPE2)*(TYPE2&lt;&gt;"")+('Dvd Calendar'!$S$1061=TYPE3)*(TYPE3&lt;&gt;"")+('Dvd Calendar'!$S$1061=TYPE4)*(TYPE4&lt;&gt;"")+('Dvd Calendar'!$S$1061=SPECIAL_LBL)*(INC_SPECIALS="Y"))=0,"",'Dvd Calendar'!$S$1059)))</f>
        <v/>
      </c>
      <c r="R107" s="161">
        <f>IF(ET107="","",IF(ISNUMBER('Dvd Calendar'!$T$1059)=FALSE,"",IF((('Dvd Calendar'!$T$1061=TYPE1)*(TYPE1&lt;&gt;"")+('Dvd Calendar'!$T$1061=TYPE2)*(TYPE2&lt;&gt;"")+('Dvd Calendar'!$T$1061=TYPE3)*(TYPE3&lt;&gt;"")+('Dvd Calendar'!$T$1061=TYPE4)*(TYPE4&lt;&gt;"")+('Dvd Calendar'!$T$1061=SPECIAL_LBL)*(INC_SPECIALS="Y"))=0,"",'Dvd Calendar'!$T$1059)))</f>
        <v/>
      </c>
      <c r="S107" s="161">
        <f>IF(EU107="","",IF(ISNUMBER('Dvd Calendar'!$U$1059)=FALSE,"",IF((('Dvd Calendar'!$U$1061=TYPE1)*(TYPE1&lt;&gt;"")+('Dvd Calendar'!$U$1061=TYPE2)*(TYPE2&lt;&gt;"")+('Dvd Calendar'!$U$1061=TYPE3)*(TYPE3&lt;&gt;"")+('Dvd Calendar'!$U$1061=TYPE4)*(TYPE4&lt;&gt;"")+('Dvd Calendar'!$U$1061=SPECIAL_LBL)*(INC_SPECIALS="Y"))=0,"",'Dvd Calendar'!$U$1059)))</f>
        <v/>
      </c>
      <c r="T107" s="161">
        <f>IF(EV107="","",IF(ISNUMBER('Dvd Calendar'!$V$1059)=FALSE,"",IF((('Dvd Calendar'!$V$1061=TYPE1)*(TYPE1&lt;&gt;"")+('Dvd Calendar'!$V$1061=TYPE2)*(TYPE2&lt;&gt;"")+('Dvd Calendar'!$V$1061=TYPE3)*(TYPE3&lt;&gt;"")+('Dvd Calendar'!$V$1061=TYPE4)*(TYPE4&lt;&gt;"")+('Dvd Calendar'!$V$1061=SPECIAL_LBL)*(INC_SPECIALS="Y"))=0,"",'Dvd Calendar'!$V$1059)))</f>
        <v/>
      </c>
      <c r="U107" s="161">
        <f>IF(EW107="","",IF(ISNUMBER('Dvd Calendar'!$W$1059)=FALSE,"",IF((('Dvd Calendar'!$W$1061=TYPE1)*(TYPE1&lt;&gt;"")+('Dvd Calendar'!$W$1061=TYPE2)*(TYPE2&lt;&gt;"")+('Dvd Calendar'!$W$1061=TYPE3)*(TYPE3&lt;&gt;"")+('Dvd Calendar'!$W$1061=TYPE4)*(TYPE4&lt;&gt;"")+('Dvd Calendar'!$W$1061=SPECIAL_LBL)*(INC_SPECIALS="Y"))=0,"",'Dvd Calendar'!$W$1059)))</f>
        <v/>
      </c>
      <c r="V107" s="161">
        <f>IF(EX107="","",IF(ISNUMBER('Dvd Calendar'!$X$1059)=FALSE,"",IF((('Dvd Calendar'!$X$1061=TYPE1)*(TYPE1&lt;&gt;"")+('Dvd Calendar'!$X$1061=TYPE2)*(TYPE2&lt;&gt;"")+('Dvd Calendar'!$X$1061=TYPE3)*(TYPE3&lt;&gt;"")+('Dvd Calendar'!$X$1061=TYPE4)*(TYPE4&lt;&gt;"")+('Dvd Calendar'!$X$1061=SPECIAL_LBL)*(INC_SPECIALS="Y"))=0,"",'Dvd Calendar'!$X$1059)))</f>
        <v/>
      </c>
      <c r="W107" s="161">
        <f>IF(EY107="","",IF(ISNUMBER('Dvd Calendar'!$Y$1059)=FALSE,"",IF((('Dvd Calendar'!$Y$1061=TYPE1)*(TYPE1&lt;&gt;"")+('Dvd Calendar'!$Y$1061=TYPE2)*(TYPE2&lt;&gt;"")+('Dvd Calendar'!$Y$1061=TYPE3)*(TYPE3&lt;&gt;"")+('Dvd Calendar'!$Y$1061=TYPE4)*(TYPE4&lt;&gt;"")+('Dvd Calendar'!$Y$1061=SPECIAL_LBL)*(INC_SPECIALS="Y"))=0,"",'Dvd Calendar'!$Y$1059)))</f>
        <v/>
      </c>
      <c r="X107" s="161">
        <f>IF(EZ107="","",IF(ISNUMBER('Dvd Calendar'!$Z$1059)=FALSE,"",IF((('Dvd Calendar'!$Z$1061=TYPE1)*(TYPE1&lt;&gt;"")+('Dvd Calendar'!$Z$1061=TYPE2)*(TYPE2&lt;&gt;"")+('Dvd Calendar'!$Z$1061=TYPE3)*(TYPE3&lt;&gt;"")+('Dvd Calendar'!$Z$1061=TYPE4)*(TYPE4&lt;&gt;"")+('Dvd Calendar'!$Z$1061=SPECIAL_LBL)*(INC_SPECIALS="Y"))=0,"",'Dvd Calendar'!$Z$1059)))</f>
        <v/>
      </c>
      <c r="Y107" s="161">
        <f>IF(FA107="","",IF(ISNUMBER('Dvd Calendar'!$AA$1059)=FALSE,"",IF((('Dvd Calendar'!$AA$1061=TYPE1)*(TYPE1&lt;&gt;"")+('Dvd Calendar'!$AA$1061=TYPE2)*(TYPE2&lt;&gt;"")+('Dvd Calendar'!$AA$1061=TYPE3)*(TYPE3&lt;&gt;"")+('Dvd Calendar'!$AA$1061=TYPE4)*(TYPE4&lt;&gt;"")+('Dvd Calendar'!$AA$1061=SPECIAL_LBL)*(INC_SPECIALS="Y"))=0,"",'Dvd Calendar'!$AA$1059)))</f>
        <v/>
      </c>
      <c r="Z107" s="161">
        <f>IF(FB107="","",IF(ISNUMBER('Dvd Calendar'!$AB$1059)=FALSE,"",IF((('Dvd Calendar'!$AB$1061=TYPE1)*(TYPE1&lt;&gt;"")+('Dvd Calendar'!$AB$1061=TYPE2)*(TYPE2&lt;&gt;"")+('Dvd Calendar'!$AB$1061=TYPE3)*(TYPE3&lt;&gt;"")+('Dvd Calendar'!$AB$1061=TYPE4)*(TYPE4&lt;&gt;"")+('Dvd Calendar'!$AB$1061=SPECIAL_LBL)*(INC_SPECIALS="Y"))=0,"",'Dvd Calendar'!$AB$1059)))</f>
        <v/>
      </c>
      <c r="AA107" s="161">
        <f>IF(FC107="","",IF(ISNUMBER('Dvd Calendar'!$AC$1059)=FALSE,"",IF((('Dvd Calendar'!$AC$1061=TYPE1)*(TYPE1&lt;&gt;"")+('Dvd Calendar'!$AC$1061=TYPE2)*(TYPE2&lt;&gt;"")+('Dvd Calendar'!$AC$1061=TYPE3)*(TYPE3&lt;&gt;"")+('Dvd Calendar'!$AC$1061=TYPE4)*(TYPE4&lt;&gt;"")+('Dvd Calendar'!$AC$1061=SPECIAL_LBL)*(INC_SPECIALS="Y"))=0,"",'Dvd Calendar'!$AC$1059)))</f>
        <v/>
      </c>
      <c r="AB107" s="161">
        <f>IF(FD107="","",IF(ISNUMBER('Dvd Calendar'!$AD$1059)=FALSE,"",IF((('Dvd Calendar'!$AD$1061=TYPE1)*(TYPE1&lt;&gt;"")+('Dvd Calendar'!$AD$1061=TYPE2)*(TYPE2&lt;&gt;"")+('Dvd Calendar'!$AD$1061=TYPE3)*(TYPE3&lt;&gt;"")+('Dvd Calendar'!$AD$1061=TYPE4)*(TYPE4&lt;&gt;"")+('Dvd Calendar'!$AD$1061=SPECIAL_LBL)*(INC_SPECIALS="Y"))=0,"",'Dvd Calendar'!$AD$1059)))</f>
        <v/>
      </c>
      <c r="AC107" s="161">
        <f>IF(FE107="","",IF(ISNUMBER('Dvd Calendar'!$AE$1059)=FALSE,"",IF((('Dvd Calendar'!$AE$1061=TYPE1)*(TYPE1&lt;&gt;"")+('Dvd Calendar'!$AE$1061=TYPE2)*(TYPE2&lt;&gt;"")+('Dvd Calendar'!$AE$1061=TYPE3)*(TYPE3&lt;&gt;"")+('Dvd Calendar'!$AE$1061=TYPE4)*(TYPE4&lt;&gt;"")+('Dvd Calendar'!$AE$1061=SPECIAL_LBL)*(INC_SPECIALS="Y"))=0,"",'Dvd Calendar'!$AE$1059)))</f>
        <v/>
      </c>
      <c r="AD107" s="161">
        <f>IF(FF107="","",IF(ISNUMBER('Dvd Calendar'!$AF$1059)=FALSE,"",IF((('Dvd Calendar'!$AF$1061=TYPE1)*(TYPE1&lt;&gt;"")+('Dvd Calendar'!$AF$1061=TYPE2)*(TYPE2&lt;&gt;"")+('Dvd Calendar'!$AF$1061=TYPE3)*(TYPE3&lt;&gt;"")+('Dvd Calendar'!$AF$1061=TYPE4)*(TYPE4&lt;&gt;"")+('Dvd Calendar'!$AF$1061=SPECIAL_LBL)*(INC_SPECIALS="Y"))=0,"",'Dvd Calendar'!$AF$1059)))</f>
        <v/>
      </c>
      <c r="AE107" s="161">
        <f>IF(FG107="","",IF(ISNUMBER('Dvd Calendar'!$AG$1059)=FALSE,"",IF((('Dvd Calendar'!$AG$1061=TYPE1)*(TYPE1&lt;&gt;"")+('Dvd Calendar'!$AG$1061=TYPE2)*(TYPE2&lt;&gt;"")+('Dvd Calendar'!$AG$1061=TYPE3)*(TYPE3&lt;&gt;"")+('Dvd Calendar'!$AG$1061=TYPE4)*(TYPE4&lt;&gt;"")+('Dvd Calendar'!$AG$1061=SPECIAL_LBL)*(INC_SPECIALS="Y"))=0,"",'Dvd Calendar'!$AG$1059)))</f>
        <v/>
      </c>
      <c r="AF107" s="161">
        <f>IF(FH107="","",IF(ISNUMBER('Dvd Calendar'!$AH$1059)=FALSE,"",IF((('Dvd Calendar'!$AH$1061=TYPE1)*(TYPE1&lt;&gt;"")+('Dvd Calendar'!$AH$1061=TYPE2)*(TYPE2&lt;&gt;"")+('Dvd Calendar'!$AH$1061=TYPE3)*(TYPE3&lt;&gt;"")+('Dvd Calendar'!$AH$1061=TYPE4)*(TYPE4&lt;&gt;"")+('Dvd Calendar'!$AH$1061=SPECIAL_LBL)*(INC_SPECIALS="Y"))=0,"",'Dvd Calendar'!$AH$1059)))</f>
        <v/>
      </c>
      <c r="AG107" s="161">
        <f>IF(FI107="","",IF(ISNUMBER('Dvd Calendar'!$AI$1059)=FALSE,"",IF((('Dvd Calendar'!$AI$1061=TYPE1)*(TYPE1&lt;&gt;"")+('Dvd Calendar'!$AI$1061=TYPE2)*(TYPE2&lt;&gt;"")+('Dvd Calendar'!$AI$1061=TYPE3)*(TYPE3&lt;&gt;"")+('Dvd Calendar'!$AI$1061=TYPE4)*(TYPE4&lt;&gt;"")+('Dvd Calendar'!$AI$1061=SPECIAL_LBL)*(INC_SPECIALS="Y"))=0,"",'Dvd Calendar'!$AI$1059)))</f>
        <v/>
      </c>
      <c r="AH107" s="161">
        <f>IF(FJ107="","",IF(ISNUMBER('Dvd Calendar'!$AJ$1059)=FALSE,"",IF((('Dvd Calendar'!$AJ$1061=TYPE1)*(TYPE1&lt;&gt;"")+('Dvd Calendar'!$AJ$1061=TYPE2)*(TYPE2&lt;&gt;"")+('Dvd Calendar'!$AJ$1061=TYPE3)*(TYPE3&lt;&gt;"")+('Dvd Calendar'!$AJ$1061=TYPE4)*(TYPE4&lt;&gt;"")+('Dvd Calendar'!$AJ$1061=SPECIAL_LBL)*(INC_SPECIALS="Y"))=0,"",'Dvd Calendar'!$AJ$1059)))</f>
        <v/>
      </c>
      <c r="AI107" s="161">
        <f>IF(FK107="","",IF(ISNUMBER('Dvd Calendar'!$AK$1059)=FALSE,"",IF((('Dvd Calendar'!$AK$1061=TYPE1)*(TYPE1&lt;&gt;"")+('Dvd Calendar'!$AK$1061=TYPE2)*(TYPE2&lt;&gt;"")+('Dvd Calendar'!$AK$1061=TYPE3)*(TYPE3&lt;&gt;"")+('Dvd Calendar'!$AK$1061=TYPE4)*(TYPE4&lt;&gt;"")+('Dvd Calendar'!$AK$1061=SPECIAL_LBL)*(INC_SPECIALS="Y"))=0,"",'Dvd Calendar'!$AK$1059)))</f>
        <v/>
      </c>
      <c r="AJ107" s="161">
        <f>IF(FL107="","",IF(ISNUMBER('Dvd Calendar'!$AL$1059)=FALSE,"",IF((('Dvd Calendar'!$AL$1061=TYPE1)*(TYPE1&lt;&gt;"")+('Dvd Calendar'!$AL$1061=TYPE2)*(TYPE2&lt;&gt;"")+('Dvd Calendar'!$AL$1061=TYPE3)*(TYPE3&lt;&gt;"")+('Dvd Calendar'!$AL$1061=TYPE4)*(TYPE4&lt;&gt;"")+('Dvd Calendar'!$AL$1061=SPECIAL_LBL)*(INC_SPECIALS="Y"))=0,"",'Dvd Calendar'!$AL$1059)))</f>
        <v/>
      </c>
      <c r="AK107" s="161">
        <f>IF(FM107="","",IF(ISNUMBER('Dvd Calendar'!$AM$1059)=FALSE,"",IF((('Dvd Calendar'!$AM$1061=TYPE1)*(TYPE1&lt;&gt;"")+('Dvd Calendar'!$AM$1061=TYPE2)*(TYPE2&lt;&gt;"")+('Dvd Calendar'!$AM$1061=TYPE3)*(TYPE3&lt;&gt;"")+('Dvd Calendar'!$AM$1061=TYPE4)*(TYPE4&lt;&gt;"")+('Dvd Calendar'!$AM$1061=SPECIAL_LBL)*(INC_SPECIALS="Y"))=0,"",'Dvd Calendar'!$AM$1059)))</f>
        <v/>
      </c>
      <c r="AL107" s="161">
        <f>IF(FN107="","",IF(ISNUMBER('Dvd Calendar'!$AN$1059)=FALSE,"",IF((('Dvd Calendar'!$AN$1061=TYPE1)*(TYPE1&lt;&gt;"")+('Dvd Calendar'!$AN$1061=TYPE2)*(TYPE2&lt;&gt;"")+('Dvd Calendar'!$AN$1061=TYPE3)*(TYPE3&lt;&gt;"")+('Dvd Calendar'!$AN$1061=TYPE4)*(TYPE4&lt;&gt;"")+('Dvd Calendar'!$AN$1061=SPECIAL_LBL)*(INC_SPECIALS="Y"))=0,"",'Dvd Calendar'!$AN$1059)))</f>
        <v/>
      </c>
      <c r="AM107" s="161">
        <f>IF(FO107="","",IF(ISNUMBER('Dvd Calendar'!$AO$1059)=FALSE,"",IF((('Dvd Calendar'!$AO$1061=TYPE1)*(TYPE1&lt;&gt;"")+('Dvd Calendar'!$AO$1061=TYPE2)*(TYPE2&lt;&gt;"")+('Dvd Calendar'!$AO$1061=TYPE3)*(TYPE3&lt;&gt;"")+('Dvd Calendar'!$AO$1061=TYPE4)*(TYPE4&lt;&gt;"")+('Dvd Calendar'!$AO$1061=SPECIAL_LBL)*(INC_SPECIALS="Y"))=0,"",'Dvd Calendar'!$AO$1059)))</f>
        <v/>
      </c>
      <c r="AN107" s="161">
        <f>IF(FP107="","",IF(ISNUMBER('Dvd Calendar'!$AP$1059)=FALSE,"",IF((('Dvd Calendar'!$AP$1061=TYPE1)*(TYPE1&lt;&gt;"")+('Dvd Calendar'!$AP$1061=TYPE2)*(TYPE2&lt;&gt;"")+('Dvd Calendar'!$AP$1061=TYPE3)*(TYPE3&lt;&gt;"")+('Dvd Calendar'!$AP$1061=TYPE4)*(TYPE4&lt;&gt;"")+('Dvd Calendar'!$AP$1061=SPECIAL_LBL)*(INC_SPECIALS="Y"))=0,"",'Dvd Calendar'!$AP$1059)))</f>
        <v/>
      </c>
      <c r="AO107" s="161">
        <f>IF(FQ107="","",IF(ISNUMBER('Dvd Calendar'!$AQ$1059)=FALSE,"",IF((('Dvd Calendar'!$AQ$1061=TYPE1)*(TYPE1&lt;&gt;"")+('Dvd Calendar'!$AQ$1061=TYPE2)*(TYPE2&lt;&gt;"")+('Dvd Calendar'!$AQ$1061=TYPE3)*(TYPE3&lt;&gt;"")+('Dvd Calendar'!$AQ$1061=TYPE4)*(TYPE4&lt;&gt;"")+('Dvd Calendar'!$AQ$1061=SPECIAL_LBL)*(INC_SPECIALS="Y"))=0,"",'Dvd Calendar'!$AQ$1059)))</f>
        <v/>
      </c>
      <c r="AP107" s="161">
        <f>IF(FR107="","",IF(ISNUMBER('Dvd Calendar'!$AR$1059)=FALSE,"",IF((('Dvd Calendar'!$AR$1061=TYPE1)*(TYPE1&lt;&gt;"")+('Dvd Calendar'!$AR$1061=TYPE2)*(TYPE2&lt;&gt;"")+('Dvd Calendar'!$AR$1061=TYPE3)*(TYPE3&lt;&gt;"")+('Dvd Calendar'!$AR$1061=TYPE4)*(TYPE4&lt;&gt;"")+('Dvd Calendar'!$AR$1061=SPECIAL_LBL)*(INC_SPECIALS="Y"))=0,"",'Dvd Calendar'!$AR$1059)))</f>
        <v/>
      </c>
      <c r="AQ107" s="161">
        <f>IF(FS107="","",IF(ISNUMBER('Dvd Calendar'!$E$1064)=FALSE,"",'Dvd Calendar'!$E$1064))</f>
        <v/>
      </c>
      <c r="AR107" s="161">
        <f>IF(FT107="","",IF(ISNUMBER('Dvd Calendar'!$F$1064)=FALSE,"",'Dvd Calendar'!$F$1064))</f>
        <v/>
      </c>
      <c r="AS107" s="161">
        <f>IF(FU107="","",IF(ISNUMBER('Dvd Calendar'!$G$1064)=FALSE,"",'Dvd Calendar'!$G$1064))</f>
        <v/>
      </c>
      <c r="AT107" s="161">
        <f>IF(FV107="","",IF(ISNUMBER('Dvd Calendar'!$H$1064)=FALSE,"",'Dvd Calendar'!$H$1064))</f>
        <v/>
      </c>
      <c r="AU107" s="161">
        <f>IF(FW107="","",IF(ISNUMBER('Dvd Calendar'!$I$1064)=FALSE,"",'Dvd Calendar'!$I$1064))</f>
        <v/>
      </c>
      <c r="AV107" s="161">
        <f>IF(FX107="","",IF(ISNUMBER('Dvd Calendar'!$J$1064)=FALSE,"",'Dvd Calendar'!$J$1064))</f>
        <v/>
      </c>
      <c r="AW107" s="161">
        <f>IF(FY107="","",IF(ISNUMBER('Dvd Calendar'!$K$1064)=FALSE,"",'Dvd Calendar'!$K$1064))</f>
        <v/>
      </c>
      <c r="AX107" s="161">
        <f>IF(FZ107="","",IF(ISNUMBER('Dvd Calendar'!$L$1064)=FALSE,"",'Dvd Calendar'!$L$1064))</f>
        <v/>
      </c>
      <c r="AY107" s="161">
        <f>IF(GA107="","",IF(ISNUMBER('Dvd Calendar'!$M$1064)=FALSE,"",'Dvd Calendar'!$M$1064))</f>
        <v/>
      </c>
      <c r="AZ107" s="161">
        <f>IF(GB107="","",IF(ISNUMBER('Dvd Calendar'!$N$1064)=FALSE,"",'Dvd Calendar'!$N$1064))</f>
        <v/>
      </c>
      <c r="BA107" s="161">
        <f>IF(GC107="","",IF(ISNUMBER('Dvd Calendar'!$O$1064)=FALSE,"",'Dvd Calendar'!$O$1064))</f>
        <v/>
      </c>
      <c r="BB107" s="161">
        <f>IF(GD107="","",IF(ISNUMBER('Dvd Calendar'!$P$1064)=FALSE,"",'Dvd Calendar'!$P$1064))</f>
        <v/>
      </c>
      <c r="BC107" s="161">
        <f>IF(GE107="","",IF(ISNUMBER('Dvd Calendar'!$Q$1064)=FALSE,"",'Dvd Calendar'!$Q$1064))</f>
        <v/>
      </c>
      <c r="BD107" s="161">
        <f>IF(GF107="","",IF(ISNUMBER('Dvd Calendar'!$R$1064)=FALSE,"",'Dvd Calendar'!$R$1064))</f>
        <v/>
      </c>
      <c r="BE107" s="161">
        <f>IF(GG107="","",IF(ISNUMBER('Dvd Calendar'!$S$1064)=FALSE,"",'Dvd Calendar'!$S$1064))</f>
        <v/>
      </c>
      <c r="BF107" s="161">
        <f>IF(GH107="","",IF(ISNUMBER('Dvd Calendar'!$T$1064)=FALSE,"",'Dvd Calendar'!$T$1064))</f>
        <v/>
      </c>
      <c r="BG107" s="161">
        <f>IF(GI107="","",IF(ISNUMBER('Dvd Calendar'!$U$1064)=FALSE,"",'Dvd Calendar'!$U$1064))</f>
        <v/>
      </c>
      <c r="BH107" s="161">
        <f>IF(GJ107="","",IF(ISNUMBER('Dvd Calendar'!$V$1064)=FALSE,"",'Dvd Calendar'!$V$1064))</f>
        <v/>
      </c>
      <c r="BI107" s="161">
        <f>IF(GK107="","",IF(ISNUMBER('Dvd Calendar'!$W$1064)=FALSE,"",'Dvd Calendar'!$W$1064))</f>
        <v/>
      </c>
      <c r="BJ107" s="161">
        <f>IF(GL107="","",IF(ISNUMBER('Dvd Calendar'!$X$1064)=FALSE,"",'Dvd Calendar'!$X$1064))</f>
        <v/>
      </c>
      <c r="BK107" s="161">
        <f>IF(GM107="","",IF(ISNUMBER('Dvd Calendar'!$Y$1064)=FALSE,"",'Dvd Calendar'!$Y$1064))</f>
        <v/>
      </c>
      <c r="BL107" s="161">
        <f>IF(GN107="","",IF(ISNUMBER('Dvd Calendar'!$Z$1064)=FALSE,"",'Dvd Calendar'!$Z$1064))</f>
        <v/>
      </c>
      <c r="BM107" s="161">
        <f>IF(GO107="","",IF(ISNUMBER('Dvd Calendar'!$AA$1064)=FALSE,"",'Dvd Calendar'!$AA$1064))</f>
        <v/>
      </c>
      <c r="BN107" s="161">
        <f>IF(GP107="","",IF(ISNUMBER('Dvd Calendar'!$AB$1064)=FALSE,"",'Dvd Calendar'!$AB$1064))</f>
        <v/>
      </c>
      <c r="BO107" s="161">
        <f>IF(GQ107="","",IF(ISNUMBER('Dvd Calendar'!$AC$1064)=FALSE,"",'Dvd Calendar'!$AC$1064))</f>
        <v/>
      </c>
      <c r="BQ107" s="161">
        <f>IF(C107="","",IFERROR(C107*HSI!$B$102*HSI!$G$102/HSI!$B$3,""))</f>
        <v/>
      </c>
      <c r="BR107" s="161">
        <f>IF(D107="","",IFERROR(D107*HSI!$B$102*HSI!$G$102/HSI!$B$3,""))</f>
        <v/>
      </c>
      <c r="BS107" s="161">
        <f>IF(E107="","",IFERROR(E107*HSI!$B$102*HSI!$G$102/HSI!$B$3,""))</f>
        <v/>
      </c>
      <c r="BT107" s="161">
        <f>IF(F107="","",IFERROR(F107*HSI!$B$102*HSI!$G$102/HSI!$B$3,""))</f>
        <v/>
      </c>
      <c r="BU107" s="161">
        <f>IF(G107="","",IFERROR(G107*HSI!$B$102*HSI!$G$102/HSI!$B$3,""))</f>
        <v/>
      </c>
      <c r="BV107" s="161">
        <f>IF(H107="","",IFERROR(H107*HSI!$B$102*HSI!$G$102/HSI!$B$3,""))</f>
        <v/>
      </c>
      <c r="BW107" s="161">
        <f>IF(I107="","",IFERROR(I107*HSI!$B$102*HSI!$G$102/HSI!$B$3,""))</f>
        <v/>
      </c>
      <c r="BX107" s="161">
        <f>IF(J107="","",IFERROR(J107*HSI!$B$102*HSI!$G$102/HSI!$B$3,""))</f>
        <v/>
      </c>
      <c r="BY107" s="161">
        <f>IF(K107="","",IFERROR(K107*HSI!$B$102*HSI!$G$102/HSI!$B$3,""))</f>
        <v/>
      </c>
      <c r="BZ107" s="161">
        <f>IF(L107="","",IFERROR(L107*HSI!$B$102*HSI!$G$102/HSI!$B$3,""))</f>
        <v/>
      </c>
      <c r="CA107" s="161">
        <f>IF(M107="","",IFERROR(M107*HSI!$B$102*HSI!$G$102/HSI!$B$3,""))</f>
        <v/>
      </c>
      <c r="CB107" s="161">
        <f>IF(N107="","",IFERROR(N107*HSI!$B$102*HSI!$G$102/HSI!$B$3,""))</f>
        <v/>
      </c>
      <c r="CC107" s="161">
        <f>IF(O107="","",IFERROR(O107*HSI!$B$102*HSI!$G$102/HSI!$B$3,""))</f>
        <v/>
      </c>
      <c r="CD107" s="161">
        <f>IF(P107="","",IFERROR(P107*HSI!$B$102*HSI!$G$102/HSI!$B$3,""))</f>
        <v/>
      </c>
      <c r="CE107" s="161">
        <f>IF(Q107="","",IFERROR(Q107*HSI!$B$102*HSI!$G$102/HSI!$B$3,""))</f>
        <v/>
      </c>
      <c r="CF107" s="161">
        <f>IF(R107="","",IFERROR(R107*HSI!$B$102*HSI!$G$102/HSI!$B$3,""))</f>
        <v/>
      </c>
      <c r="CG107" s="161">
        <f>IF(S107="","",IFERROR(S107*HSI!$B$102*HSI!$G$102/HSI!$B$3,""))</f>
        <v/>
      </c>
      <c r="CH107" s="161">
        <f>IF(T107="","",IFERROR(T107*HSI!$B$102*HSI!$G$102/HSI!$B$3,""))</f>
        <v/>
      </c>
      <c r="CI107" s="161">
        <f>IF(U107="","",IFERROR(U107*HSI!$B$102*HSI!$G$102/HSI!$B$3,""))</f>
        <v/>
      </c>
      <c r="CJ107" s="161">
        <f>IF(V107="","",IFERROR(V107*HSI!$B$102*HSI!$G$102/HSI!$B$3,""))</f>
        <v/>
      </c>
      <c r="CK107" s="161">
        <f>IF(W107="","",IFERROR(W107*HSI!$B$102*HSI!$G$102/HSI!$B$3,""))</f>
        <v/>
      </c>
      <c r="CL107" s="161">
        <f>IF(X107="","",IFERROR(X107*HSI!$B$102*HSI!$G$102/HSI!$B$3,""))</f>
        <v/>
      </c>
      <c r="CM107" s="161">
        <f>IF(Y107="","",IFERROR(Y107*HSI!$B$102*HSI!$G$102/HSI!$B$3,""))</f>
        <v/>
      </c>
      <c r="CN107" s="161">
        <f>IF(Z107="","",IFERROR(Z107*HSI!$B$102*HSI!$G$102/HSI!$B$3,""))</f>
        <v/>
      </c>
      <c r="CO107" s="161">
        <f>IF(AA107="","",IFERROR(AA107*HSI!$B$102*HSI!$G$102/HSI!$B$3,""))</f>
        <v/>
      </c>
      <c r="CP107" s="161">
        <f>IF(AB107="","",IFERROR(AB107*HSI!$B$102*HSI!$G$102/HSI!$B$3,""))</f>
        <v/>
      </c>
      <c r="CQ107" s="161">
        <f>IF(AC107="","",IFERROR(AC107*HSI!$B$102*HSI!$G$102/HSI!$B$3,""))</f>
        <v/>
      </c>
      <c r="CR107" s="161">
        <f>IF(AD107="","",IFERROR(AD107*HSI!$B$102*HSI!$G$102/HSI!$B$3,""))</f>
        <v/>
      </c>
      <c r="CS107" s="161">
        <f>IF(AE107="","",IFERROR(AE107*HSI!$B$102*HSI!$G$102/HSI!$B$3,""))</f>
        <v/>
      </c>
      <c r="CT107" s="161">
        <f>IF(AF107="","",IFERROR(AF107*HSI!$B$102*HSI!$G$102/HSI!$B$3,""))</f>
        <v/>
      </c>
      <c r="CU107" s="161">
        <f>IF(AG107="","",IFERROR(AG107*HSI!$B$102*HSI!$G$102/HSI!$B$3,""))</f>
        <v/>
      </c>
      <c r="CV107" s="161">
        <f>IF(AH107="","",IFERROR(AH107*HSI!$B$102*HSI!$G$102/HSI!$B$3,""))</f>
        <v/>
      </c>
      <c r="CW107" s="161">
        <f>IF(AI107="","",IFERROR(AI107*HSI!$B$102*HSI!$G$102/HSI!$B$3,""))</f>
        <v/>
      </c>
      <c r="CX107" s="161">
        <f>IF(AJ107="","",IFERROR(AJ107*HSI!$B$102*HSI!$G$102/HSI!$B$3,""))</f>
        <v/>
      </c>
      <c r="CY107" s="161">
        <f>IF(AK107="","",IFERROR(AK107*HSI!$B$102*HSI!$G$102/HSI!$B$3,""))</f>
        <v/>
      </c>
      <c r="CZ107" s="161">
        <f>IF(AL107="","",IFERROR(AL107*HSI!$B$102*HSI!$G$102/HSI!$B$3,""))</f>
        <v/>
      </c>
      <c r="DA107" s="161">
        <f>IF(AM107="","",IFERROR(AM107*HSI!$B$102*HSI!$G$102/HSI!$B$3,""))</f>
        <v/>
      </c>
      <c r="DB107" s="161">
        <f>IF(AN107="","",IFERROR(AN107*HSI!$B$102*HSI!$G$102/HSI!$B$3,""))</f>
        <v/>
      </c>
      <c r="DC107" s="161">
        <f>IF(AO107="","",IFERROR(AO107*HSI!$B$102*HSI!$G$102/HSI!$B$3,""))</f>
        <v/>
      </c>
      <c r="DD107" s="161">
        <f>IF(AP107="","",IFERROR(AP107*HSI!$B$102*HSI!$G$102/HSI!$B$3,""))</f>
        <v/>
      </c>
      <c r="DE107" s="161">
        <f>IF(AQ107="","",IFERROR(AQ107*HSI!$B$102*HSI!$G$102/HSI!$B$3,""))</f>
        <v/>
      </c>
      <c r="DF107" s="161">
        <f>IF(AR107="","",IFERROR(AR107*HSI!$B$102*HSI!$G$102/HSI!$B$3,""))</f>
        <v/>
      </c>
      <c r="DG107" s="161">
        <f>IF(AS107="","",IFERROR(AS107*HSI!$B$102*HSI!$G$102/HSI!$B$3,""))</f>
        <v/>
      </c>
      <c r="DH107" s="161">
        <f>IF(AT107="","",IFERROR(AT107*HSI!$B$102*HSI!$G$102/HSI!$B$3,""))</f>
        <v/>
      </c>
      <c r="DI107" s="161">
        <f>IF(AU107="","",IFERROR(AU107*HSI!$B$102*HSI!$G$102/HSI!$B$3,""))</f>
        <v/>
      </c>
      <c r="DJ107" s="161">
        <f>IF(AV107="","",IFERROR(AV107*HSI!$B$102*HSI!$G$102/HSI!$B$3,""))</f>
        <v/>
      </c>
      <c r="DK107" s="161">
        <f>IF(AW107="","",IFERROR(AW107*HSI!$B$102*HSI!$G$102/HSI!$B$3,""))</f>
        <v/>
      </c>
      <c r="DL107" s="161">
        <f>IF(AX107="","",IFERROR(AX107*HSI!$B$102*HSI!$G$102/HSI!$B$3,""))</f>
        <v/>
      </c>
      <c r="DM107" s="161">
        <f>IF(AY107="","",IFERROR(AY107*HSI!$B$102*HSI!$G$102/HSI!$B$3,""))</f>
        <v/>
      </c>
      <c r="DN107" s="161">
        <f>IF(AZ107="","",IFERROR(AZ107*HSI!$B$102*HSI!$G$102/HSI!$B$3,""))</f>
        <v/>
      </c>
      <c r="DO107" s="161">
        <f>IF(BA107="","",IFERROR(BA107*HSI!$B$102*HSI!$G$102/HSI!$B$3,""))</f>
        <v/>
      </c>
      <c r="DP107" s="161">
        <f>IF(BB107="","",IFERROR(BB107*HSI!$B$102*HSI!$G$102/HSI!$B$3,""))</f>
        <v/>
      </c>
      <c r="DQ107" s="161">
        <f>IF(BC107="","",IFERROR(BC107*HSI!$B$102*HSI!$G$102/HSI!$B$3,""))</f>
        <v/>
      </c>
      <c r="DR107" s="161">
        <f>IF(BD107="","",IFERROR(BD107*HSI!$B$102*HSI!$G$102/HSI!$B$3,""))</f>
        <v/>
      </c>
      <c r="DS107" s="161">
        <f>IF(BE107="","",IFERROR(BE107*HSI!$B$102*HSI!$G$102/HSI!$B$3,""))</f>
        <v/>
      </c>
      <c r="DT107" s="161">
        <f>IF(BF107="","",IFERROR(BF107*HSI!$B$102*HSI!$G$102/HSI!$B$3,""))</f>
        <v/>
      </c>
      <c r="DU107" s="161">
        <f>IF(BG107="","",IFERROR(BG107*HSI!$B$102*HSI!$G$102/HSI!$B$3,""))</f>
        <v/>
      </c>
      <c r="DV107" s="161">
        <f>IF(BH107="","",IFERROR(BH107*HSI!$B$102*HSI!$G$102/HSI!$B$3,""))</f>
        <v/>
      </c>
      <c r="DW107" s="161">
        <f>IF(BI107="","",IFERROR(BI107*HSI!$B$102*HSI!$G$102/HSI!$B$3,""))</f>
        <v/>
      </c>
      <c r="DX107" s="161">
        <f>IF(BJ107="","",IFERROR(BJ107*HSI!$B$102*HSI!$G$102/HSI!$B$3,""))</f>
        <v/>
      </c>
      <c r="DY107" s="161">
        <f>IF(BK107="","",IFERROR(BK107*HSI!$B$102*HSI!$G$102/HSI!$B$3,""))</f>
        <v/>
      </c>
      <c r="DZ107" s="161">
        <f>IF(BL107="","",IFERROR(BL107*HSI!$B$102*HSI!$G$102/HSI!$B$3,""))</f>
        <v/>
      </c>
      <c r="EA107" s="161">
        <f>IF(BM107="","",IFERROR(BM107*HSI!$B$102*HSI!$G$102/HSI!$B$3,""))</f>
        <v/>
      </c>
      <c r="EB107" s="161">
        <f>IF(BN107="","",IFERROR(BN107*HSI!$B$102*HSI!$G$102/HSI!$B$3,""))</f>
        <v/>
      </c>
      <c r="EC107" s="161">
        <f>IF(BO107="","",IFERROR(BO107*HSI!$B$102*HSI!$G$102/HSI!$B$3,""))</f>
        <v/>
      </c>
      <c r="EE107" s="121">
        <f>IF(N('Dvd Calendar'!$E$1056)=0,"",IF(('Dvd Calendar'!$E$1056&gt;=GRID_FROM)*('Dvd Calendar'!$E$1056&lt;=GRID_TO)*((('Dvd Calendar'!$E$1056&lt;=VAL_DATE)+(COUNTIF('Dvd Calendar'!$E$1063:$AR$1063,'Dvd Calendar'!$E$1056)=0))&gt;0)=0,"",'Dvd Calendar'!$E$1056*1000000000+ISNUMBER('Dvd Calendar'!$E$1059)*100000000+('Dvd Calendar'!$E$1061=SPECIAL_LBL)*10000000+(N('Dvd Calendar'!$E$1055)&gt;0)*(N('Dvd Calendar'!$E$1055)&lt;=VAL_SERIAL)*1000000+96*1000+1))</f>
        <v/>
      </c>
      <c r="EF107" s="121">
        <f>IF(N('Dvd Calendar'!$F$1056)=0,"",IF(('Dvd Calendar'!$F$1056&gt;=GRID_FROM)*('Dvd Calendar'!$F$1056&lt;=GRID_TO)*((('Dvd Calendar'!$F$1056&lt;=VAL_DATE)+(COUNTIF('Dvd Calendar'!$E$1063:$AR$1063,'Dvd Calendar'!$F$1056)=0))&gt;0)=0,"",'Dvd Calendar'!$F$1056*1000000000+ISNUMBER('Dvd Calendar'!$F$1059)*100000000+('Dvd Calendar'!$F$1061=SPECIAL_LBL)*10000000+(N('Dvd Calendar'!$F$1055)&gt;0)*(N('Dvd Calendar'!$F$1055)&lt;=VAL_SERIAL)*1000000+96*1000+2))</f>
        <v/>
      </c>
      <c r="EG107" s="121">
        <f>IF(N('Dvd Calendar'!$G$1056)=0,"",IF(('Dvd Calendar'!$G$1056&gt;=GRID_FROM)*('Dvd Calendar'!$G$1056&lt;=GRID_TO)*((('Dvd Calendar'!$G$1056&lt;=VAL_DATE)+(COUNTIF('Dvd Calendar'!$E$1063:$AR$1063,'Dvd Calendar'!$G$1056)=0))&gt;0)=0,"",'Dvd Calendar'!$G$1056*1000000000+ISNUMBER('Dvd Calendar'!$G$1059)*100000000+('Dvd Calendar'!$G$1061=SPECIAL_LBL)*10000000+(N('Dvd Calendar'!$G$1055)&gt;0)*(N('Dvd Calendar'!$G$1055)&lt;=VAL_SERIAL)*1000000+96*1000+3))</f>
        <v/>
      </c>
      <c r="EH107" s="121">
        <f>IF(N('Dvd Calendar'!$H$1056)=0,"",IF(('Dvd Calendar'!$H$1056&gt;=GRID_FROM)*('Dvd Calendar'!$H$1056&lt;=GRID_TO)*((('Dvd Calendar'!$H$1056&lt;=VAL_DATE)+(COUNTIF('Dvd Calendar'!$E$1063:$AR$1063,'Dvd Calendar'!$H$1056)=0))&gt;0)=0,"",'Dvd Calendar'!$H$1056*1000000000+ISNUMBER('Dvd Calendar'!$H$1059)*100000000+('Dvd Calendar'!$H$1061=SPECIAL_LBL)*10000000+(N('Dvd Calendar'!$H$1055)&gt;0)*(N('Dvd Calendar'!$H$1055)&lt;=VAL_SERIAL)*1000000+96*1000+4))</f>
        <v/>
      </c>
      <c r="EI107" s="121">
        <f>IF(N('Dvd Calendar'!$I$1056)=0,"",IF(('Dvd Calendar'!$I$1056&gt;=GRID_FROM)*('Dvd Calendar'!$I$1056&lt;=GRID_TO)*((('Dvd Calendar'!$I$1056&lt;=VAL_DATE)+(COUNTIF('Dvd Calendar'!$E$1063:$AR$1063,'Dvd Calendar'!$I$1056)=0))&gt;0)=0,"",'Dvd Calendar'!$I$1056*1000000000+ISNUMBER('Dvd Calendar'!$I$1059)*100000000+('Dvd Calendar'!$I$1061=SPECIAL_LBL)*10000000+(N('Dvd Calendar'!$I$1055)&gt;0)*(N('Dvd Calendar'!$I$1055)&lt;=VAL_SERIAL)*1000000+96*1000+5))</f>
        <v/>
      </c>
      <c r="EJ107" s="121">
        <f>IF(N('Dvd Calendar'!$J$1056)=0,"",IF(('Dvd Calendar'!$J$1056&gt;=GRID_FROM)*('Dvd Calendar'!$J$1056&lt;=GRID_TO)*((('Dvd Calendar'!$J$1056&lt;=VAL_DATE)+(COUNTIF('Dvd Calendar'!$E$1063:$AR$1063,'Dvd Calendar'!$J$1056)=0))&gt;0)=0,"",'Dvd Calendar'!$J$1056*1000000000+ISNUMBER('Dvd Calendar'!$J$1059)*100000000+('Dvd Calendar'!$J$1061=SPECIAL_LBL)*10000000+(N('Dvd Calendar'!$J$1055)&gt;0)*(N('Dvd Calendar'!$J$1055)&lt;=VAL_SERIAL)*1000000+96*1000+6))</f>
        <v/>
      </c>
      <c r="EK107" s="121">
        <f>IF(N('Dvd Calendar'!$K$1056)=0,"",IF(('Dvd Calendar'!$K$1056&gt;=GRID_FROM)*('Dvd Calendar'!$K$1056&lt;=GRID_TO)*((('Dvd Calendar'!$K$1056&lt;=VAL_DATE)+(COUNTIF('Dvd Calendar'!$E$1063:$AR$1063,'Dvd Calendar'!$K$1056)=0))&gt;0)=0,"",'Dvd Calendar'!$K$1056*1000000000+ISNUMBER('Dvd Calendar'!$K$1059)*100000000+('Dvd Calendar'!$K$1061=SPECIAL_LBL)*10000000+(N('Dvd Calendar'!$K$1055)&gt;0)*(N('Dvd Calendar'!$K$1055)&lt;=VAL_SERIAL)*1000000+96*1000+7))</f>
        <v/>
      </c>
      <c r="EL107" s="121">
        <f>IF(N('Dvd Calendar'!$L$1056)=0,"",IF(('Dvd Calendar'!$L$1056&gt;=GRID_FROM)*('Dvd Calendar'!$L$1056&lt;=GRID_TO)*((('Dvd Calendar'!$L$1056&lt;=VAL_DATE)+(COUNTIF('Dvd Calendar'!$E$1063:$AR$1063,'Dvd Calendar'!$L$1056)=0))&gt;0)=0,"",'Dvd Calendar'!$L$1056*1000000000+ISNUMBER('Dvd Calendar'!$L$1059)*100000000+('Dvd Calendar'!$L$1061=SPECIAL_LBL)*10000000+(N('Dvd Calendar'!$L$1055)&gt;0)*(N('Dvd Calendar'!$L$1055)&lt;=VAL_SERIAL)*1000000+96*1000+8))</f>
        <v/>
      </c>
      <c r="EM107" s="121">
        <f>IF(N('Dvd Calendar'!$M$1056)=0,"",IF(('Dvd Calendar'!$M$1056&gt;=GRID_FROM)*('Dvd Calendar'!$M$1056&lt;=GRID_TO)*((('Dvd Calendar'!$M$1056&lt;=VAL_DATE)+(COUNTIF('Dvd Calendar'!$E$1063:$AR$1063,'Dvd Calendar'!$M$1056)=0))&gt;0)=0,"",'Dvd Calendar'!$M$1056*1000000000+ISNUMBER('Dvd Calendar'!$M$1059)*100000000+('Dvd Calendar'!$M$1061=SPECIAL_LBL)*10000000+(N('Dvd Calendar'!$M$1055)&gt;0)*(N('Dvd Calendar'!$M$1055)&lt;=VAL_SERIAL)*1000000+96*1000+9))</f>
        <v/>
      </c>
      <c r="EN107" s="121">
        <f>IF(N('Dvd Calendar'!$N$1056)=0,"",IF(('Dvd Calendar'!$N$1056&gt;=GRID_FROM)*('Dvd Calendar'!$N$1056&lt;=GRID_TO)*((('Dvd Calendar'!$N$1056&lt;=VAL_DATE)+(COUNTIF('Dvd Calendar'!$E$1063:$AR$1063,'Dvd Calendar'!$N$1056)=0))&gt;0)=0,"",'Dvd Calendar'!$N$1056*1000000000+ISNUMBER('Dvd Calendar'!$N$1059)*100000000+('Dvd Calendar'!$N$1061=SPECIAL_LBL)*10000000+(N('Dvd Calendar'!$N$1055)&gt;0)*(N('Dvd Calendar'!$N$1055)&lt;=VAL_SERIAL)*1000000+96*1000+10))</f>
        <v/>
      </c>
      <c r="EO107" s="121">
        <f>IF(N('Dvd Calendar'!$O$1056)=0,"",IF(('Dvd Calendar'!$O$1056&gt;=GRID_FROM)*('Dvd Calendar'!$O$1056&lt;=GRID_TO)*((('Dvd Calendar'!$O$1056&lt;=VAL_DATE)+(COUNTIF('Dvd Calendar'!$E$1063:$AR$1063,'Dvd Calendar'!$O$1056)=0))&gt;0)=0,"",'Dvd Calendar'!$O$1056*1000000000+ISNUMBER('Dvd Calendar'!$O$1059)*100000000+('Dvd Calendar'!$O$1061=SPECIAL_LBL)*10000000+(N('Dvd Calendar'!$O$1055)&gt;0)*(N('Dvd Calendar'!$O$1055)&lt;=VAL_SERIAL)*1000000+96*1000+11))</f>
        <v/>
      </c>
      <c r="EP107" s="121">
        <f>IF(N('Dvd Calendar'!$P$1056)=0,"",IF(('Dvd Calendar'!$P$1056&gt;=GRID_FROM)*('Dvd Calendar'!$P$1056&lt;=GRID_TO)*((('Dvd Calendar'!$P$1056&lt;=VAL_DATE)+(COUNTIF('Dvd Calendar'!$E$1063:$AR$1063,'Dvd Calendar'!$P$1056)=0))&gt;0)=0,"",'Dvd Calendar'!$P$1056*1000000000+ISNUMBER('Dvd Calendar'!$P$1059)*100000000+('Dvd Calendar'!$P$1061=SPECIAL_LBL)*10000000+(N('Dvd Calendar'!$P$1055)&gt;0)*(N('Dvd Calendar'!$P$1055)&lt;=VAL_SERIAL)*1000000+96*1000+12))</f>
        <v/>
      </c>
      <c r="EQ107" s="121">
        <f>IF(N('Dvd Calendar'!$Q$1056)=0,"",IF(('Dvd Calendar'!$Q$1056&gt;=GRID_FROM)*('Dvd Calendar'!$Q$1056&lt;=GRID_TO)*((('Dvd Calendar'!$Q$1056&lt;=VAL_DATE)+(COUNTIF('Dvd Calendar'!$E$1063:$AR$1063,'Dvd Calendar'!$Q$1056)=0))&gt;0)=0,"",'Dvd Calendar'!$Q$1056*1000000000+ISNUMBER('Dvd Calendar'!$Q$1059)*100000000+('Dvd Calendar'!$Q$1061=SPECIAL_LBL)*10000000+(N('Dvd Calendar'!$Q$1055)&gt;0)*(N('Dvd Calendar'!$Q$1055)&lt;=VAL_SERIAL)*1000000+96*1000+13))</f>
        <v/>
      </c>
      <c r="ER107" s="121">
        <f>IF(N('Dvd Calendar'!$R$1056)=0,"",IF(('Dvd Calendar'!$R$1056&gt;=GRID_FROM)*('Dvd Calendar'!$R$1056&lt;=GRID_TO)*((('Dvd Calendar'!$R$1056&lt;=VAL_DATE)+(COUNTIF('Dvd Calendar'!$E$1063:$AR$1063,'Dvd Calendar'!$R$1056)=0))&gt;0)=0,"",'Dvd Calendar'!$R$1056*1000000000+ISNUMBER('Dvd Calendar'!$R$1059)*100000000+('Dvd Calendar'!$R$1061=SPECIAL_LBL)*10000000+(N('Dvd Calendar'!$R$1055)&gt;0)*(N('Dvd Calendar'!$R$1055)&lt;=VAL_SERIAL)*1000000+96*1000+14))</f>
        <v/>
      </c>
      <c r="ES107" s="121">
        <f>IF(N('Dvd Calendar'!$S$1056)=0,"",IF(('Dvd Calendar'!$S$1056&gt;=GRID_FROM)*('Dvd Calendar'!$S$1056&lt;=GRID_TO)*((('Dvd Calendar'!$S$1056&lt;=VAL_DATE)+(COUNTIF('Dvd Calendar'!$E$1063:$AR$1063,'Dvd Calendar'!$S$1056)=0))&gt;0)=0,"",'Dvd Calendar'!$S$1056*1000000000+ISNUMBER('Dvd Calendar'!$S$1059)*100000000+('Dvd Calendar'!$S$1061=SPECIAL_LBL)*10000000+(N('Dvd Calendar'!$S$1055)&gt;0)*(N('Dvd Calendar'!$S$1055)&lt;=VAL_SERIAL)*1000000+96*1000+15))</f>
        <v/>
      </c>
      <c r="ET107" s="121">
        <f>IF(N('Dvd Calendar'!$T$1056)=0,"",IF(('Dvd Calendar'!$T$1056&gt;=GRID_FROM)*('Dvd Calendar'!$T$1056&lt;=GRID_TO)*((('Dvd Calendar'!$T$1056&lt;=VAL_DATE)+(COUNTIF('Dvd Calendar'!$E$1063:$AR$1063,'Dvd Calendar'!$T$1056)=0))&gt;0)=0,"",'Dvd Calendar'!$T$1056*1000000000+ISNUMBER('Dvd Calendar'!$T$1059)*100000000+('Dvd Calendar'!$T$1061=SPECIAL_LBL)*10000000+(N('Dvd Calendar'!$T$1055)&gt;0)*(N('Dvd Calendar'!$T$1055)&lt;=VAL_SERIAL)*1000000+96*1000+16))</f>
        <v/>
      </c>
      <c r="EU107" s="121">
        <f>IF(N('Dvd Calendar'!$U$1056)=0,"",IF(('Dvd Calendar'!$U$1056&gt;=GRID_FROM)*('Dvd Calendar'!$U$1056&lt;=GRID_TO)*((('Dvd Calendar'!$U$1056&lt;=VAL_DATE)+(COUNTIF('Dvd Calendar'!$E$1063:$AR$1063,'Dvd Calendar'!$U$1056)=0))&gt;0)=0,"",'Dvd Calendar'!$U$1056*1000000000+ISNUMBER('Dvd Calendar'!$U$1059)*100000000+('Dvd Calendar'!$U$1061=SPECIAL_LBL)*10000000+(N('Dvd Calendar'!$U$1055)&gt;0)*(N('Dvd Calendar'!$U$1055)&lt;=VAL_SERIAL)*1000000+96*1000+17))</f>
        <v/>
      </c>
      <c r="EV107" s="121">
        <f>IF(N('Dvd Calendar'!$V$1056)=0,"",IF(('Dvd Calendar'!$V$1056&gt;=GRID_FROM)*('Dvd Calendar'!$V$1056&lt;=GRID_TO)*((('Dvd Calendar'!$V$1056&lt;=VAL_DATE)+(COUNTIF('Dvd Calendar'!$E$1063:$AR$1063,'Dvd Calendar'!$V$1056)=0))&gt;0)=0,"",'Dvd Calendar'!$V$1056*1000000000+ISNUMBER('Dvd Calendar'!$V$1059)*100000000+('Dvd Calendar'!$V$1061=SPECIAL_LBL)*10000000+(N('Dvd Calendar'!$V$1055)&gt;0)*(N('Dvd Calendar'!$V$1055)&lt;=VAL_SERIAL)*1000000+96*1000+18))</f>
        <v/>
      </c>
      <c r="EW107" s="121">
        <f>IF(N('Dvd Calendar'!$W$1056)=0,"",IF(('Dvd Calendar'!$W$1056&gt;=GRID_FROM)*('Dvd Calendar'!$W$1056&lt;=GRID_TO)*((('Dvd Calendar'!$W$1056&lt;=VAL_DATE)+(COUNTIF('Dvd Calendar'!$E$1063:$AR$1063,'Dvd Calendar'!$W$1056)=0))&gt;0)=0,"",'Dvd Calendar'!$W$1056*1000000000+ISNUMBER('Dvd Calendar'!$W$1059)*100000000+('Dvd Calendar'!$W$1061=SPECIAL_LBL)*10000000+(N('Dvd Calendar'!$W$1055)&gt;0)*(N('Dvd Calendar'!$W$1055)&lt;=VAL_SERIAL)*1000000+96*1000+19))</f>
        <v/>
      </c>
      <c r="EX107" s="121">
        <f>IF(N('Dvd Calendar'!$X$1056)=0,"",IF(('Dvd Calendar'!$X$1056&gt;=GRID_FROM)*('Dvd Calendar'!$X$1056&lt;=GRID_TO)*((('Dvd Calendar'!$X$1056&lt;=VAL_DATE)+(COUNTIF('Dvd Calendar'!$E$1063:$AR$1063,'Dvd Calendar'!$X$1056)=0))&gt;0)=0,"",'Dvd Calendar'!$X$1056*1000000000+ISNUMBER('Dvd Calendar'!$X$1059)*100000000+('Dvd Calendar'!$X$1061=SPECIAL_LBL)*10000000+(N('Dvd Calendar'!$X$1055)&gt;0)*(N('Dvd Calendar'!$X$1055)&lt;=VAL_SERIAL)*1000000+96*1000+20))</f>
        <v/>
      </c>
      <c r="EY107" s="121">
        <f>IF(N('Dvd Calendar'!$Y$1056)=0,"",IF(('Dvd Calendar'!$Y$1056&gt;=GRID_FROM)*('Dvd Calendar'!$Y$1056&lt;=GRID_TO)*((('Dvd Calendar'!$Y$1056&lt;=VAL_DATE)+(COUNTIF('Dvd Calendar'!$E$1063:$AR$1063,'Dvd Calendar'!$Y$1056)=0))&gt;0)=0,"",'Dvd Calendar'!$Y$1056*1000000000+ISNUMBER('Dvd Calendar'!$Y$1059)*100000000+('Dvd Calendar'!$Y$1061=SPECIAL_LBL)*10000000+(N('Dvd Calendar'!$Y$1055)&gt;0)*(N('Dvd Calendar'!$Y$1055)&lt;=VAL_SERIAL)*1000000+96*1000+21))</f>
        <v/>
      </c>
      <c r="EZ107" s="121">
        <f>IF(N('Dvd Calendar'!$Z$1056)=0,"",IF(('Dvd Calendar'!$Z$1056&gt;=GRID_FROM)*('Dvd Calendar'!$Z$1056&lt;=GRID_TO)*((('Dvd Calendar'!$Z$1056&lt;=VAL_DATE)+(COUNTIF('Dvd Calendar'!$E$1063:$AR$1063,'Dvd Calendar'!$Z$1056)=0))&gt;0)=0,"",'Dvd Calendar'!$Z$1056*1000000000+ISNUMBER('Dvd Calendar'!$Z$1059)*100000000+('Dvd Calendar'!$Z$1061=SPECIAL_LBL)*10000000+(N('Dvd Calendar'!$Z$1055)&gt;0)*(N('Dvd Calendar'!$Z$1055)&lt;=VAL_SERIAL)*1000000+96*1000+22))</f>
        <v/>
      </c>
      <c r="FA107" s="121">
        <f>IF(N('Dvd Calendar'!$AA$1056)=0,"",IF(('Dvd Calendar'!$AA$1056&gt;=GRID_FROM)*('Dvd Calendar'!$AA$1056&lt;=GRID_TO)*((('Dvd Calendar'!$AA$1056&lt;=VAL_DATE)+(COUNTIF('Dvd Calendar'!$E$1063:$AR$1063,'Dvd Calendar'!$AA$1056)=0))&gt;0)=0,"",'Dvd Calendar'!$AA$1056*1000000000+ISNUMBER('Dvd Calendar'!$AA$1059)*100000000+('Dvd Calendar'!$AA$1061=SPECIAL_LBL)*10000000+(N('Dvd Calendar'!$AA$1055)&gt;0)*(N('Dvd Calendar'!$AA$1055)&lt;=VAL_SERIAL)*1000000+96*1000+23))</f>
        <v/>
      </c>
      <c r="FB107" s="121">
        <f>IF(N('Dvd Calendar'!$AB$1056)=0,"",IF(('Dvd Calendar'!$AB$1056&gt;=GRID_FROM)*('Dvd Calendar'!$AB$1056&lt;=GRID_TO)*((('Dvd Calendar'!$AB$1056&lt;=VAL_DATE)+(COUNTIF('Dvd Calendar'!$E$1063:$AR$1063,'Dvd Calendar'!$AB$1056)=0))&gt;0)=0,"",'Dvd Calendar'!$AB$1056*1000000000+ISNUMBER('Dvd Calendar'!$AB$1059)*100000000+('Dvd Calendar'!$AB$1061=SPECIAL_LBL)*10000000+(N('Dvd Calendar'!$AB$1055)&gt;0)*(N('Dvd Calendar'!$AB$1055)&lt;=VAL_SERIAL)*1000000+96*1000+24))</f>
        <v/>
      </c>
      <c r="FC107" s="121">
        <f>IF(N('Dvd Calendar'!$AC$1056)=0,"",IF(('Dvd Calendar'!$AC$1056&gt;=GRID_FROM)*('Dvd Calendar'!$AC$1056&lt;=GRID_TO)*((('Dvd Calendar'!$AC$1056&lt;=VAL_DATE)+(COUNTIF('Dvd Calendar'!$E$1063:$AR$1063,'Dvd Calendar'!$AC$1056)=0))&gt;0)=0,"",'Dvd Calendar'!$AC$1056*1000000000+ISNUMBER('Dvd Calendar'!$AC$1059)*100000000+('Dvd Calendar'!$AC$1061=SPECIAL_LBL)*10000000+(N('Dvd Calendar'!$AC$1055)&gt;0)*(N('Dvd Calendar'!$AC$1055)&lt;=VAL_SERIAL)*1000000+96*1000+25))</f>
        <v/>
      </c>
      <c r="FD107" s="121">
        <f>IF(N('Dvd Calendar'!$AD$1056)=0,"",IF(('Dvd Calendar'!$AD$1056&gt;=GRID_FROM)*('Dvd Calendar'!$AD$1056&lt;=GRID_TO)*((('Dvd Calendar'!$AD$1056&lt;=VAL_DATE)+(COUNTIF('Dvd Calendar'!$E$1063:$AR$1063,'Dvd Calendar'!$AD$1056)=0))&gt;0)=0,"",'Dvd Calendar'!$AD$1056*1000000000+ISNUMBER('Dvd Calendar'!$AD$1059)*100000000+('Dvd Calendar'!$AD$1061=SPECIAL_LBL)*10000000+(N('Dvd Calendar'!$AD$1055)&gt;0)*(N('Dvd Calendar'!$AD$1055)&lt;=VAL_SERIAL)*1000000+96*1000+26))</f>
        <v/>
      </c>
      <c r="FE107" s="121">
        <f>IF(N('Dvd Calendar'!$AE$1056)=0,"",IF(('Dvd Calendar'!$AE$1056&gt;=GRID_FROM)*('Dvd Calendar'!$AE$1056&lt;=GRID_TO)*((('Dvd Calendar'!$AE$1056&lt;=VAL_DATE)+(COUNTIF('Dvd Calendar'!$E$1063:$AR$1063,'Dvd Calendar'!$AE$1056)=0))&gt;0)=0,"",'Dvd Calendar'!$AE$1056*1000000000+ISNUMBER('Dvd Calendar'!$AE$1059)*100000000+('Dvd Calendar'!$AE$1061=SPECIAL_LBL)*10000000+(N('Dvd Calendar'!$AE$1055)&gt;0)*(N('Dvd Calendar'!$AE$1055)&lt;=VAL_SERIAL)*1000000+96*1000+27))</f>
        <v/>
      </c>
      <c r="FF107" s="121">
        <f>IF(N('Dvd Calendar'!$AF$1056)=0,"",IF(('Dvd Calendar'!$AF$1056&gt;=GRID_FROM)*('Dvd Calendar'!$AF$1056&lt;=GRID_TO)*((('Dvd Calendar'!$AF$1056&lt;=VAL_DATE)+(COUNTIF('Dvd Calendar'!$E$1063:$AR$1063,'Dvd Calendar'!$AF$1056)=0))&gt;0)=0,"",'Dvd Calendar'!$AF$1056*1000000000+ISNUMBER('Dvd Calendar'!$AF$1059)*100000000+('Dvd Calendar'!$AF$1061=SPECIAL_LBL)*10000000+(N('Dvd Calendar'!$AF$1055)&gt;0)*(N('Dvd Calendar'!$AF$1055)&lt;=VAL_SERIAL)*1000000+96*1000+28))</f>
        <v/>
      </c>
      <c r="FG107" s="121">
        <f>IF(N('Dvd Calendar'!$AG$1056)=0,"",IF(('Dvd Calendar'!$AG$1056&gt;=GRID_FROM)*('Dvd Calendar'!$AG$1056&lt;=GRID_TO)*((('Dvd Calendar'!$AG$1056&lt;=VAL_DATE)+(COUNTIF('Dvd Calendar'!$E$1063:$AR$1063,'Dvd Calendar'!$AG$1056)=0))&gt;0)=0,"",'Dvd Calendar'!$AG$1056*1000000000+ISNUMBER('Dvd Calendar'!$AG$1059)*100000000+('Dvd Calendar'!$AG$1061=SPECIAL_LBL)*10000000+(N('Dvd Calendar'!$AG$1055)&gt;0)*(N('Dvd Calendar'!$AG$1055)&lt;=VAL_SERIAL)*1000000+96*1000+29))</f>
        <v/>
      </c>
      <c r="FH107" s="121">
        <f>IF(N('Dvd Calendar'!$AH$1056)=0,"",IF(('Dvd Calendar'!$AH$1056&gt;=GRID_FROM)*('Dvd Calendar'!$AH$1056&lt;=GRID_TO)*((('Dvd Calendar'!$AH$1056&lt;=VAL_DATE)+(COUNTIF('Dvd Calendar'!$E$1063:$AR$1063,'Dvd Calendar'!$AH$1056)=0))&gt;0)=0,"",'Dvd Calendar'!$AH$1056*1000000000+ISNUMBER('Dvd Calendar'!$AH$1059)*100000000+('Dvd Calendar'!$AH$1061=SPECIAL_LBL)*10000000+(N('Dvd Calendar'!$AH$1055)&gt;0)*(N('Dvd Calendar'!$AH$1055)&lt;=VAL_SERIAL)*1000000+96*1000+30))</f>
        <v/>
      </c>
      <c r="FI107" s="121">
        <f>IF(N('Dvd Calendar'!$AI$1056)=0,"",IF(('Dvd Calendar'!$AI$1056&gt;=GRID_FROM)*('Dvd Calendar'!$AI$1056&lt;=GRID_TO)*((('Dvd Calendar'!$AI$1056&lt;=VAL_DATE)+(COUNTIF('Dvd Calendar'!$E$1063:$AR$1063,'Dvd Calendar'!$AI$1056)=0))&gt;0)=0,"",'Dvd Calendar'!$AI$1056*1000000000+ISNUMBER('Dvd Calendar'!$AI$1059)*100000000+('Dvd Calendar'!$AI$1061=SPECIAL_LBL)*10000000+(N('Dvd Calendar'!$AI$1055)&gt;0)*(N('Dvd Calendar'!$AI$1055)&lt;=VAL_SERIAL)*1000000+96*1000+31))</f>
        <v/>
      </c>
      <c r="FJ107" s="121">
        <f>IF(N('Dvd Calendar'!$AJ$1056)=0,"",IF(('Dvd Calendar'!$AJ$1056&gt;=GRID_FROM)*('Dvd Calendar'!$AJ$1056&lt;=GRID_TO)*((('Dvd Calendar'!$AJ$1056&lt;=VAL_DATE)+(COUNTIF('Dvd Calendar'!$E$1063:$AR$1063,'Dvd Calendar'!$AJ$1056)=0))&gt;0)=0,"",'Dvd Calendar'!$AJ$1056*1000000000+ISNUMBER('Dvd Calendar'!$AJ$1059)*100000000+('Dvd Calendar'!$AJ$1061=SPECIAL_LBL)*10000000+(N('Dvd Calendar'!$AJ$1055)&gt;0)*(N('Dvd Calendar'!$AJ$1055)&lt;=VAL_SERIAL)*1000000+96*1000+32))</f>
        <v/>
      </c>
      <c r="FK107" s="121">
        <f>IF(N('Dvd Calendar'!$AK$1056)=0,"",IF(('Dvd Calendar'!$AK$1056&gt;=GRID_FROM)*('Dvd Calendar'!$AK$1056&lt;=GRID_TO)*((('Dvd Calendar'!$AK$1056&lt;=VAL_DATE)+(COUNTIF('Dvd Calendar'!$E$1063:$AR$1063,'Dvd Calendar'!$AK$1056)=0))&gt;0)=0,"",'Dvd Calendar'!$AK$1056*1000000000+ISNUMBER('Dvd Calendar'!$AK$1059)*100000000+('Dvd Calendar'!$AK$1061=SPECIAL_LBL)*10000000+(N('Dvd Calendar'!$AK$1055)&gt;0)*(N('Dvd Calendar'!$AK$1055)&lt;=VAL_SERIAL)*1000000+96*1000+33))</f>
        <v/>
      </c>
      <c r="FL107" s="121">
        <f>IF(N('Dvd Calendar'!$AL$1056)=0,"",IF(('Dvd Calendar'!$AL$1056&gt;=GRID_FROM)*('Dvd Calendar'!$AL$1056&lt;=GRID_TO)*((('Dvd Calendar'!$AL$1056&lt;=VAL_DATE)+(COUNTIF('Dvd Calendar'!$E$1063:$AR$1063,'Dvd Calendar'!$AL$1056)=0))&gt;0)=0,"",'Dvd Calendar'!$AL$1056*1000000000+ISNUMBER('Dvd Calendar'!$AL$1059)*100000000+('Dvd Calendar'!$AL$1061=SPECIAL_LBL)*10000000+(N('Dvd Calendar'!$AL$1055)&gt;0)*(N('Dvd Calendar'!$AL$1055)&lt;=VAL_SERIAL)*1000000+96*1000+34))</f>
        <v/>
      </c>
      <c r="FM107" s="121">
        <f>IF(N('Dvd Calendar'!$AM$1056)=0,"",IF(('Dvd Calendar'!$AM$1056&gt;=GRID_FROM)*('Dvd Calendar'!$AM$1056&lt;=GRID_TO)*((('Dvd Calendar'!$AM$1056&lt;=VAL_DATE)+(COUNTIF('Dvd Calendar'!$E$1063:$AR$1063,'Dvd Calendar'!$AM$1056)=0))&gt;0)=0,"",'Dvd Calendar'!$AM$1056*1000000000+ISNUMBER('Dvd Calendar'!$AM$1059)*100000000+('Dvd Calendar'!$AM$1061=SPECIAL_LBL)*10000000+(N('Dvd Calendar'!$AM$1055)&gt;0)*(N('Dvd Calendar'!$AM$1055)&lt;=VAL_SERIAL)*1000000+96*1000+35))</f>
        <v/>
      </c>
      <c r="FN107" s="121">
        <f>IF(N('Dvd Calendar'!$AN$1056)=0,"",IF(('Dvd Calendar'!$AN$1056&gt;=GRID_FROM)*('Dvd Calendar'!$AN$1056&lt;=GRID_TO)*((('Dvd Calendar'!$AN$1056&lt;=VAL_DATE)+(COUNTIF('Dvd Calendar'!$E$1063:$AR$1063,'Dvd Calendar'!$AN$1056)=0))&gt;0)=0,"",'Dvd Calendar'!$AN$1056*1000000000+ISNUMBER('Dvd Calendar'!$AN$1059)*100000000+('Dvd Calendar'!$AN$1061=SPECIAL_LBL)*10000000+(N('Dvd Calendar'!$AN$1055)&gt;0)*(N('Dvd Calendar'!$AN$1055)&lt;=VAL_SERIAL)*1000000+96*1000+36))</f>
        <v/>
      </c>
      <c r="FO107" s="121">
        <f>IF(N('Dvd Calendar'!$AO$1056)=0,"",IF(('Dvd Calendar'!$AO$1056&gt;=GRID_FROM)*('Dvd Calendar'!$AO$1056&lt;=GRID_TO)*((('Dvd Calendar'!$AO$1056&lt;=VAL_DATE)+(COUNTIF('Dvd Calendar'!$E$1063:$AR$1063,'Dvd Calendar'!$AO$1056)=0))&gt;0)=0,"",'Dvd Calendar'!$AO$1056*1000000000+ISNUMBER('Dvd Calendar'!$AO$1059)*100000000+('Dvd Calendar'!$AO$1061=SPECIAL_LBL)*10000000+(N('Dvd Calendar'!$AO$1055)&gt;0)*(N('Dvd Calendar'!$AO$1055)&lt;=VAL_SERIAL)*1000000+96*1000+37))</f>
        <v/>
      </c>
      <c r="FP107" s="121">
        <f>IF(N('Dvd Calendar'!$AP$1056)=0,"",IF(('Dvd Calendar'!$AP$1056&gt;=GRID_FROM)*('Dvd Calendar'!$AP$1056&lt;=GRID_TO)*((('Dvd Calendar'!$AP$1056&lt;=VAL_DATE)+(COUNTIF('Dvd Calendar'!$E$1063:$AR$1063,'Dvd Calendar'!$AP$1056)=0))&gt;0)=0,"",'Dvd Calendar'!$AP$1056*1000000000+ISNUMBER('Dvd Calendar'!$AP$1059)*100000000+('Dvd Calendar'!$AP$1061=SPECIAL_LBL)*10000000+(N('Dvd Calendar'!$AP$1055)&gt;0)*(N('Dvd Calendar'!$AP$1055)&lt;=VAL_SERIAL)*1000000+96*1000+38))</f>
        <v/>
      </c>
      <c r="FQ107" s="121">
        <f>IF(N('Dvd Calendar'!$AQ$1056)=0,"",IF(('Dvd Calendar'!$AQ$1056&gt;=GRID_FROM)*('Dvd Calendar'!$AQ$1056&lt;=GRID_TO)*((('Dvd Calendar'!$AQ$1056&lt;=VAL_DATE)+(COUNTIF('Dvd Calendar'!$E$1063:$AR$1063,'Dvd Calendar'!$AQ$1056)=0))&gt;0)=0,"",'Dvd Calendar'!$AQ$1056*1000000000+ISNUMBER('Dvd Calendar'!$AQ$1059)*100000000+('Dvd Calendar'!$AQ$1061=SPECIAL_LBL)*10000000+(N('Dvd Calendar'!$AQ$1055)&gt;0)*(N('Dvd Calendar'!$AQ$1055)&lt;=VAL_SERIAL)*1000000+96*1000+39))</f>
        <v/>
      </c>
      <c r="FR107" s="121">
        <f>IF(N('Dvd Calendar'!$AR$1056)=0,"",IF(('Dvd Calendar'!$AR$1056&gt;=GRID_FROM)*('Dvd Calendar'!$AR$1056&lt;=GRID_TO)*((('Dvd Calendar'!$AR$1056&lt;=VAL_DATE)+(COUNTIF('Dvd Calendar'!$E$1063:$AR$1063,'Dvd Calendar'!$AR$1056)=0))&gt;0)=0,"",'Dvd Calendar'!$AR$1056*1000000000+ISNUMBER('Dvd Calendar'!$AR$1059)*100000000+('Dvd Calendar'!$AR$1061=SPECIAL_LBL)*10000000+(N('Dvd Calendar'!$AR$1055)&gt;0)*(N('Dvd Calendar'!$AR$1055)&lt;=VAL_SERIAL)*1000000+96*1000+40))</f>
        <v/>
      </c>
      <c r="FS107" s="121">
        <f>IF(N('Dvd Calendar'!$E$1063)=0,"",IF(('Dvd Calendar'!$E$1063&gt;=GRID_FROM)*('Dvd Calendar'!$E$1063&lt;=GRID_TO)*('Dvd Calendar'!$E$1063&gt;VAL_DATE)=0,"",'Dvd Calendar'!$E$1063*1000000000+ISNUMBER('Dvd Calendar'!$E$1064)*100000000+0*10000000+(N('Dvd Calendar'!$E$1062)&gt;0)*(N('Dvd Calendar'!$E$1062)&lt;=VAL_SERIAL)*1000000+96*1000+41))</f>
        <v/>
      </c>
      <c r="FT107" s="121">
        <f>IF(N('Dvd Calendar'!$F$1063)=0,"",IF(('Dvd Calendar'!$F$1063&gt;=GRID_FROM)*('Dvd Calendar'!$F$1063&lt;=GRID_TO)*('Dvd Calendar'!$F$1063&gt;VAL_DATE)=0,"",'Dvd Calendar'!$F$1063*1000000000+ISNUMBER('Dvd Calendar'!$F$1064)*100000000+0*10000000+(N('Dvd Calendar'!$F$1062)&gt;0)*(N('Dvd Calendar'!$F$1062)&lt;=VAL_SERIAL)*1000000+96*1000+42))</f>
        <v/>
      </c>
      <c r="FU107" s="121">
        <f>IF(N('Dvd Calendar'!$G$1063)=0,"",IF(('Dvd Calendar'!$G$1063&gt;=GRID_FROM)*('Dvd Calendar'!$G$1063&lt;=GRID_TO)*('Dvd Calendar'!$G$1063&gt;VAL_DATE)=0,"",'Dvd Calendar'!$G$1063*1000000000+ISNUMBER('Dvd Calendar'!$G$1064)*100000000+0*10000000+(N('Dvd Calendar'!$G$1062)&gt;0)*(N('Dvd Calendar'!$G$1062)&lt;=VAL_SERIAL)*1000000+96*1000+43))</f>
        <v/>
      </c>
      <c r="FV107" s="121">
        <f>IF(N('Dvd Calendar'!$H$1063)=0,"",IF(('Dvd Calendar'!$H$1063&gt;=GRID_FROM)*('Dvd Calendar'!$H$1063&lt;=GRID_TO)*('Dvd Calendar'!$H$1063&gt;VAL_DATE)=0,"",'Dvd Calendar'!$H$1063*1000000000+ISNUMBER('Dvd Calendar'!$H$1064)*100000000+0*10000000+(N('Dvd Calendar'!$H$1062)&gt;0)*(N('Dvd Calendar'!$H$1062)&lt;=VAL_SERIAL)*1000000+96*1000+44))</f>
        <v/>
      </c>
      <c r="FW107" s="121">
        <f>IF(N('Dvd Calendar'!$I$1063)=0,"",IF(('Dvd Calendar'!$I$1063&gt;=GRID_FROM)*('Dvd Calendar'!$I$1063&lt;=GRID_TO)*('Dvd Calendar'!$I$1063&gt;VAL_DATE)=0,"",'Dvd Calendar'!$I$1063*1000000000+ISNUMBER('Dvd Calendar'!$I$1064)*100000000+0*10000000+(N('Dvd Calendar'!$I$1062)&gt;0)*(N('Dvd Calendar'!$I$1062)&lt;=VAL_SERIAL)*1000000+96*1000+45))</f>
        <v/>
      </c>
      <c r="FX107" s="121">
        <f>IF(N('Dvd Calendar'!$J$1063)=0,"",IF(('Dvd Calendar'!$J$1063&gt;=GRID_FROM)*('Dvd Calendar'!$J$1063&lt;=GRID_TO)*('Dvd Calendar'!$J$1063&gt;VAL_DATE)=0,"",'Dvd Calendar'!$J$1063*1000000000+ISNUMBER('Dvd Calendar'!$J$1064)*100000000+0*10000000+(N('Dvd Calendar'!$J$1062)&gt;0)*(N('Dvd Calendar'!$J$1062)&lt;=VAL_SERIAL)*1000000+96*1000+46))</f>
        <v/>
      </c>
      <c r="FY107" s="121">
        <f>IF(N('Dvd Calendar'!$K$1063)=0,"",IF(('Dvd Calendar'!$K$1063&gt;=GRID_FROM)*('Dvd Calendar'!$K$1063&lt;=GRID_TO)*('Dvd Calendar'!$K$1063&gt;VAL_DATE)=0,"",'Dvd Calendar'!$K$1063*1000000000+ISNUMBER('Dvd Calendar'!$K$1064)*100000000+0*10000000+(N('Dvd Calendar'!$K$1062)&gt;0)*(N('Dvd Calendar'!$K$1062)&lt;=VAL_SERIAL)*1000000+96*1000+47))</f>
        <v/>
      </c>
      <c r="FZ107" s="121">
        <f>IF(N('Dvd Calendar'!$L$1063)=0,"",IF(('Dvd Calendar'!$L$1063&gt;=GRID_FROM)*('Dvd Calendar'!$L$1063&lt;=GRID_TO)*('Dvd Calendar'!$L$1063&gt;VAL_DATE)=0,"",'Dvd Calendar'!$L$1063*1000000000+ISNUMBER('Dvd Calendar'!$L$1064)*100000000+0*10000000+(N('Dvd Calendar'!$L$1062)&gt;0)*(N('Dvd Calendar'!$L$1062)&lt;=VAL_SERIAL)*1000000+96*1000+48))</f>
        <v/>
      </c>
      <c r="GA107" s="121">
        <f>IF(N('Dvd Calendar'!$M$1063)=0,"",IF(('Dvd Calendar'!$M$1063&gt;=GRID_FROM)*('Dvd Calendar'!$M$1063&lt;=GRID_TO)*('Dvd Calendar'!$M$1063&gt;VAL_DATE)=0,"",'Dvd Calendar'!$M$1063*1000000000+ISNUMBER('Dvd Calendar'!$M$1064)*100000000+0*10000000+(N('Dvd Calendar'!$M$1062)&gt;0)*(N('Dvd Calendar'!$M$1062)&lt;=VAL_SERIAL)*1000000+96*1000+49))</f>
        <v/>
      </c>
      <c r="GB107" s="121">
        <f>IF(N('Dvd Calendar'!$N$1063)=0,"",IF(('Dvd Calendar'!$N$1063&gt;=GRID_FROM)*('Dvd Calendar'!$N$1063&lt;=GRID_TO)*('Dvd Calendar'!$N$1063&gt;VAL_DATE)=0,"",'Dvd Calendar'!$N$1063*1000000000+ISNUMBER('Dvd Calendar'!$N$1064)*100000000+0*10000000+(N('Dvd Calendar'!$N$1062)&gt;0)*(N('Dvd Calendar'!$N$1062)&lt;=VAL_SERIAL)*1000000+96*1000+50))</f>
        <v/>
      </c>
      <c r="GC107" s="121">
        <f>IF(N('Dvd Calendar'!$O$1063)=0,"",IF(('Dvd Calendar'!$O$1063&gt;=GRID_FROM)*('Dvd Calendar'!$O$1063&lt;=GRID_TO)*('Dvd Calendar'!$O$1063&gt;VAL_DATE)=0,"",'Dvd Calendar'!$O$1063*1000000000+ISNUMBER('Dvd Calendar'!$O$1064)*100000000+0*10000000+(N('Dvd Calendar'!$O$1062)&gt;0)*(N('Dvd Calendar'!$O$1062)&lt;=VAL_SERIAL)*1000000+96*1000+51))</f>
        <v/>
      </c>
      <c r="GD107" s="121">
        <f>IF(N('Dvd Calendar'!$P$1063)=0,"",IF(('Dvd Calendar'!$P$1063&gt;=GRID_FROM)*('Dvd Calendar'!$P$1063&lt;=GRID_TO)*('Dvd Calendar'!$P$1063&gt;VAL_DATE)=0,"",'Dvd Calendar'!$P$1063*1000000000+ISNUMBER('Dvd Calendar'!$P$1064)*100000000+0*10000000+(N('Dvd Calendar'!$P$1062)&gt;0)*(N('Dvd Calendar'!$P$1062)&lt;=VAL_SERIAL)*1000000+96*1000+52))</f>
        <v/>
      </c>
      <c r="GE107" s="121">
        <f>IF(N('Dvd Calendar'!$Q$1063)=0,"",IF(('Dvd Calendar'!$Q$1063&gt;=GRID_FROM)*('Dvd Calendar'!$Q$1063&lt;=GRID_TO)*('Dvd Calendar'!$Q$1063&gt;VAL_DATE)=0,"",'Dvd Calendar'!$Q$1063*1000000000+ISNUMBER('Dvd Calendar'!$Q$1064)*100000000+0*10000000+(N('Dvd Calendar'!$Q$1062)&gt;0)*(N('Dvd Calendar'!$Q$1062)&lt;=VAL_SERIAL)*1000000+96*1000+53))</f>
        <v/>
      </c>
      <c r="GF107" s="121">
        <f>IF(N('Dvd Calendar'!$R$1063)=0,"",IF(('Dvd Calendar'!$R$1063&gt;=GRID_FROM)*('Dvd Calendar'!$R$1063&lt;=GRID_TO)*('Dvd Calendar'!$R$1063&gt;VAL_DATE)=0,"",'Dvd Calendar'!$R$1063*1000000000+ISNUMBER('Dvd Calendar'!$R$1064)*100000000+0*10000000+(N('Dvd Calendar'!$R$1062)&gt;0)*(N('Dvd Calendar'!$R$1062)&lt;=VAL_SERIAL)*1000000+96*1000+54))</f>
        <v/>
      </c>
      <c r="GG107" s="121">
        <f>IF(N('Dvd Calendar'!$S$1063)=0,"",IF(('Dvd Calendar'!$S$1063&gt;=GRID_FROM)*('Dvd Calendar'!$S$1063&lt;=GRID_TO)*('Dvd Calendar'!$S$1063&gt;VAL_DATE)=0,"",'Dvd Calendar'!$S$1063*1000000000+ISNUMBER('Dvd Calendar'!$S$1064)*100000000+0*10000000+(N('Dvd Calendar'!$S$1062)&gt;0)*(N('Dvd Calendar'!$S$1062)&lt;=VAL_SERIAL)*1000000+96*1000+55))</f>
        <v/>
      </c>
      <c r="GH107" s="121">
        <f>IF(N('Dvd Calendar'!$T$1063)=0,"",IF(('Dvd Calendar'!$T$1063&gt;=GRID_FROM)*('Dvd Calendar'!$T$1063&lt;=GRID_TO)*('Dvd Calendar'!$T$1063&gt;VAL_DATE)=0,"",'Dvd Calendar'!$T$1063*1000000000+ISNUMBER('Dvd Calendar'!$T$1064)*100000000+0*10000000+(N('Dvd Calendar'!$T$1062)&gt;0)*(N('Dvd Calendar'!$T$1062)&lt;=VAL_SERIAL)*1000000+96*1000+56))</f>
        <v/>
      </c>
      <c r="GI107" s="121">
        <f>IF(N('Dvd Calendar'!$U$1063)=0,"",IF(('Dvd Calendar'!$U$1063&gt;=GRID_FROM)*('Dvd Calendar'!$U$1063&lt;=GRID_TO)*('Dvd Calendar'!$U$1063&gt;VAL_DATE)=0,"",'Dvd Calendar'!$U$1063*1000000000+ISNUMBER('Dvd Calendar'!$U$1064)*100000000+0*10000000+(N('Dvd Calendar'!$U$1062)&gt;0)*(N('Dvd Calendar'!$U$1062)&lt;=VAL_SERIAL)*1000000+96*1000+57))</f>
        <v/>
      </c>
      <c r="GJ107" s="121">
        <f>IF(N('Dvd Calendar'!$V$1063)=0,"",IF(('Dvd Calendar'!$V$1063&gt;=GRID_FROM)*('Dvd Calendar'!$V$1063&lt;=GRID_TO)*('Dvd Calendar'!$V$1063&gt;VAL_DATE)=0,"",'Dvd Calendar'!$V$1063*1000000000+ISNUMBER('Dvd Calendar'!$V$1064)*100000000+0*10000000+(N('Dvd Calendar'!$V$1062)&gt;0)*(N('Dvd Calendar'!$V$1062)&lt;=VAL_SERIAL)*1000000+96*1000+58))</f>
        <v/>
      </c>
      <c r="GK107" s="121">
        <f>IF(N('Dvd Calendar'!$W$1063)=0,"",IF(('Dvd Calendar'!$W$1063&gt;=GRID_FROM)*('Dvd Calendar'!$W$1063&lt;=GRID_TO)*('Dvd Calendar'!$W$1063&gt;VAL_DATE)=0,"",'Dvd Calendar'!$W$1063*1000000000+ISNUMBER('Dvd Calendar'!$W$1064)*100000000+0*10000000+(N('Dvd Calendar'!$W$1062)&gt;0)*(N('Dvd Calendar'!$W$1062)&lt;=VAL_SERIAL)*1000000+96*1000+59))</f>
        <v/>
      </c>
      <c r="GL107" s="121">
        <f>IF(N('Dvd Calendar'!$X$1063)=0,"",IF(('Dvd Calendar'!$X$1063&gt;=GRID_FROM)*('Dvd Calendar'!$X$1063&lt;=GRID_TO)*('Dvd Calendar'!$X$1063&gt;VAL_DATE)=0,"",'Dvd Calendar'!$X$1063*1000000000+ISNUMBER('Dvd Calendar'!$X$1064)*100000000+0*10000000+(N('Dvd Calendar'!$X$1062)&gt;0)*(N('Dvd Calendar'!$X$1062)&lt;=VAL_SERIAL)*1000000+96*1000+60))</f>
        <v/>
      </c>
      <c r="GM107" s="121">
        <f>IF(N('Dvd Calendar'!$Y$1063)=0,"",IF(('Dvd Calendar'!$Y$1063&gt;=GRID_FROM)*('Dvd Calendar'!$Y$1063&lt;=GRID_TO)*('Dvd Calendar'!$Y$1063&gt;VAL_DATE)=0,"",'Dvd Calendar'!$Y$1063*1000000000+ISNUMBER('Dvd Calendar'!$Y$1064)*100000000+0*10000000+(N('Dvd Calendar'!$Y$1062)&gt;0)*(N('Dvd Calendar'!$Y$1062)&lt;=VAL_SERIAL)*1000000+96*1000+61))</f>
        <v/>
      </c>
      <c r="GN107" s="121">
        <f>IF(N('Dvd Calendar'!$Z$1063)=0,"",IF(('Dvd Calendar'!$Z$1063&gt;=GRID_FROM)*('Dvd Calendar'!$Z$1063&lt;=GRID_TO)*('Dvd Calendar'!$Z$1063&gt;VAL_DATE)=0,"",'Dvd Calendar'!$Z$1063*1000000000+ISNUMBER('Dvd Calendar'!$Z$1064)*100000000+0*10000000+(N('Dvd Calendar'!$Z$1062)&gt;0)*(N('Dvd Calendar'!$Z$1062)&lt;=VAL_SERIAL)*1000000+96*1000+62))</f>
        <v/>
      </c>
      <c r="GO107" s="121">
        <f>IF(N('Dvd Calendar'!$AA$1063)=0,"",IF(('Dvd Calendar'!$AA$1063&gt;=GRID_FROM)*('Dvd Calendar'!$AA$1063&lt;=GRID_TO)*('Dvd Calendar'!$AA$1063&gt;VAL_DATE)=0,"",'Dvd Calendar'!$AA$1063*1000000000+ISNUMBER('Dvd Calendar'!$AA$1064)*100000000+0*10000000+(N('Dvd Calendar'!$AA$1062)&gt;0)*(N('Dvd Calendar'!$AA$1062)&lt;=VAL_SERIAL)*1000000+96*1000+63))</f>
        <v/>
      </c>
      <c r="GP107" s="121">
        <f>IF(N('Dvd Calendar'!$AB$1063)=0,"",IF(('Dvd Calendar'!$AB$1063&gt;=GRID_FROM)*('Dvd Calendar'!$AB$1063&lt;=GRID_TO)*('Dvd Calendar'!$AB$1063&gt;VAL_DATE)=0,"",'Dvd Calendar'!$AB$1063*1000000000+ISNUMBER('Dvd Calendar'!$AB$1064)*100000000+0*10000000+(N('Dvd Calendar'!$AB$1062)&gt;0)*(N('Dvd Calendar'!$AB$1062)&lt;=VAL_SERIAL)*1000000+96*1000+64))</f>
        <v/>
      </c>
      <c r="GQ107" s="121">
        <f>IF(N('Dvd Calendar'!$AC$1063)=0,"",IF(('Dvd Calendar'!$AC$1063&gt;=GRID_FROM)*('Dvd Calendar'!$AC$1063&lt;=GRID_TO)*('Dvd Calendar'!$AC$1063&gt;VAL_DATE)=0,"",'Dvd Calendar'!$AC$1063*1000000000+ISNUMBER('Dvd Calendar'!$AC$1064)*100000000+0*10000000+(N('Dvd Calendar'!$AC$1062)&gt;0)*(N('Dvd Calendar'!$AC$1062)&lt;=VAL_SERIAL)*1000000+96*1000+65))</f>
        <v/>
      </c>
    </row>
    <row r="108">
      <c r="B108" s="2">
        <f>IF(HSI!$C$103="","",HSI!$C$103)</f>
        <v/>
      </c>
      <c r="C108" s="161">
        <f>IF(EE108="","",IF(ISNUMBER('Dvd Calendar'!$E$1070)=FALSE,"",IF((('Dvd Calendar'!$E$1072=TYPE1)*(TYPE1&lt;&gt;"")+('Dvd Calendar'!$E$1072=TYPE2)*(TYPE2&lt;&gt;"")+('Dvd Calendar'!$E$1072=TYPE3)*(TYPE3&lt;&gt;"")+('Dvd Calendar'!$E$1072=TYPE4)*(TYPE4&lt;&gt;"")+('Dvd Calendar'!$E$1072=SPECIAL_LBL)*(INC_SPECIALS="Y"))=0,"",'Dvd Calendar'!$E$1070)))</f>
        <v/>
      </c>
      <c r="D108" s="161">
        <f>IF(EF108="","",IF(ISNUMBER('Dvd Calendar'!$F$1070)=FALSE,"",IF((('Dvd Calendar'!$F$1072=TYPE1)*(TYPE1&lt;&gt;"")+('Dvd Calendar'!$F$1072=TYPE2)*(TYPE2&lt;&gt;"")+('Dvd Calendar'!$F$1072=TYPE3)*(TYPE3&lt;&gt;"")+('Dvd Calendar'!$F$1072=TYPE4)*(TYPE4&lt;&gt;"")+('Dvd Calendar'!$F$1072=SPECIAL_LBL)*(INC_SPECIALS="Y"))=0,"",'Dvd Calendar'!$F$1070)))</f>
        <v/>
      </c>
      <c r="E108" s="161">
        <f>IF(EG108="","",IF(ISNUMBER('Dvd Calendar'!$G$1070)=FALSE,"",IF((('Dvd Calendar'!$G$1072=TYPE1)*(TYPE1&lt;&gt;"")+('Dvd Calendar'!$G$1072=TYPE2)*(TYPE2&lt;&gt;"")+('Dvd Calendar'!$G$1072=TYPE3)*(TYPE3&lt;&gt;"")+('Dvd Calendar'!$G$1072=TYPE4)*(TYPE4&lt;&gt;"")+('Dvd Calendar'!$G$1072=SPECIAL_LBL)*(INC_SPECIALS="Y"))=0,"",'Dvd Calendar'!$G$1070)))</f>
        <v/>
      </c>
      <c r="F108" s="161">
        <f>IF(EH108="","",IF(ISNUMBER('Dvd Calendar'!$H$1070)=FALSE,"",IF((('Dvd Calendar'!$H$1072=TYPE1)*(TYPE1&lt;&gt;"")+('Dvd Calendar'!$H$1072=TYPE2)*(TYPE2&lt;&gt;"")+('Dvd Calendar'!$H$1072=TYPE3)*(TYPE3&lt;&gt;"")+('Dvd Calendar'!$H$1072=TYPE4)*(TYPE4&lt;&gt;"")+('Dvd Calendar'!$H$1072=SPECIAL_LBL)*(INC_SPECIALS="Y"))=0,"",'Dvd Calendar'!$H$1070)))</f>
        <v/>
      </c>
      <c r="G108" s="161">
        <f>IF(EI108="","",IF(ISNUMBER('Dvd Calendar'!$I$1070)=FALSE,"",IF((('Dvd Calendar'!$I$1072=TYPE1)*(TYPE1&lt;&gt;"")+('Dvd Calendar'!$I$1072=TYPE2)*(TYPE2&lt;&gt;"")+('Dvd Calendar'!$I$1072=TYPE3)*(TYPE3&lt;&gt;"")+('Dvd Calendar'!$I$1072=TYPE4)*(TYPE4&lt;&gt;"")+('Dvd Calendar'!$I$1072=SPECIAL_LBL)*(INC_SPECIALS="Y"))=0,"",'Dvd Calendar'!$I$1070)))</f>
        <v/>
      </c>
      <c r="H108" s="161">
        <f>IF(EJ108="","",IF(ISNUMBER('Dvd Calendar'!$J$1070)=FALSE,"",IF((('Dvd Calendar'!$J$1072=TYPE1)*(TYPE1&lt;&gt;"")+('Dvd Calendar'!$J$1072=TYPE2)*(TYPE2&lt;&gt;"")+('Dvd Calendar'!$J$1072=TYPE3)*(TYPE3&lt;&gt;"")+('Dvd Calendar'!$J$1072=TYPE4)*(TYPE4&lt;&gt;"")+('Dvd Calendar'!$J$1072=SPECIAL_LBL)*(INC_SPECIALS="Y"))=0,"",'Dvd Calendar'!$J$1070)))</f>
        <v/>
      </c>
      <c r="I108" s="161">
        <f>IF(EK108="","",IF(ISNUMBER('Dvd Calendar'!$K$1070)=FALSE,"",IF((('Dvd Calendar'!$K$1072=TYPE1)*(TYPE1&lt;&gt;"")+('Dvd Calendar'!$K$1072=TYPE2)*(TYPE2&lt;&gt;"")+('Dvd Calendar'!$K$1072=TYPE3)*(TYPE3&lt;&gt;"")+('Dvd Calendar'!$K$1072=TYPE4)*(TYPE4&lt;&gt;"")+('Dvd Calendar'!$K$1072=SPECIAL_LBL)*(INC_SPECIALS="Y"))=0,"",'Dvd Calendar'!$K$1070)))</f>
        <v/>
      </c>
      <c r="J108" s="161">
        <f>IF(EL108="","",IF(ISNUMBER('Dvd Calendar'!$L$1070)=FALSE,"",IF((('Dvd Calendar'!$L$1072=TYPE1)*(TYPE1&lt;&gt;"")+('Dvd Calendar'!$L$1072=TYPE2)*(TYPE2&lt;&gt;"")+('Dvd Calendar'!$L$1072=TYPE3)*(TYPE3&lt;&gt;"")+('Dvd Calendar'!$L$1072=TYPE4)*(TYPE4&lt;&gt;"")+('Dvd Calendar'!$L$1072=SPECIAL_LBL)*(INC_SPECIALS="Y"))=0,"",'Dvd Calendar'!$L$1070)))</f>
        <v/>
      </c>
      <c r="K108" s="161">
        <f>IF(EM108="","",IF(ISNUMBER('Dvd Calendar'!$M$1070)=FALSE,"",IF((('Dvd Calendar'!$M$1072=TYPE1)*(TYPE1&lt;&gt;"")+('Dvd Calendar'!$M$1072=TYPE2)*(TYPE2&lt;&gt;"")+('Dvd Calendar'!$M$1072=TYPE3)*(TYPE3&lt;&gt;"")+('Dvd Calendar'!$M$1072=TYPE4)*(TYPE4&lt;&gt;"")+('Dvd Calendar'!$M$1072=SPECIAL_LBL)*(INC_SPECIALS="Y"))=0,"",'Dvd Calendar'!$M$1070)))</f>
        <v/>
      </c>
      <c r="L108" s="161">
        <f>IF(EN108="","",IF(ISNUMBER('Dvd Calendar'!$N$1070)=FALSE,"",IF((('Dvd Calendar'!$N$1072=TYPE1)*(TYPE1&lt;&gt;"")+('Dvd Calendar'!$N$1072=TYPE2)*(TYPE2&lt;&gt;"")+('Dvd Calendar'!$N$1072=TYPE3)*(TYPE3&lt;&gt;"")+('Dvd Calendar'!$N$1072=TYPE4)*(TYPE4&lt;&gt;"")+('Dvd Calendar'!$N$1072=SPECIAL_LBL)*(INC_SPECIALS="Y"))=0,"",'Dvd Calendar'!$N$1070)))</f>
        <v/>
      </c>
      <c r="M108" s="161">
        <f>IF(EO108="","",IF(ISNUMBER('Dvd Calendar'!$O$1070)=FALSE,"",IF((('Dvd Calendar'!$O$1072=TYPE1)*(TYPE1&lt;&gt;"")+('Dvd Calendar'!$O$1072=TYPE2)*(TYPE2&lt;&gt;"")+('Dvd Calendar'!$O$1072=TYPE3)*(TYPE3&lt;&gt;"")+('Dvd Calendar'!$O$1072=TYPE4)*(TYPE4&lt;&gt;"")+('Dvd Calendar'!$O$1072=SPECIAL_LBL)*(INC_SPECIALS="Y"))=0,"",'Dvd Calendar'!$O$1070)))</f>
        <v/>
      </c>
      <c r="N108" s="161">
        <f>IF(EP108="","",IF(ISNUMBER('Dvd Calendar'!$P$1070)=FALSE,"",IF((('Dvd Calendar'!$P$1072=TYPE1)*(TYPE1&lt;&gt;"")+('Dvd Calendar'!$P$1072=TYPE2)*(TYPE2&lt;&gt;"")+('Dvd Calendar'!$P$1072=TYPE3)*(TYPE3&lt;&gt;"")+('Dvd Calendar'!$P$1072=TYPE4)*(TYPE4&lt;&gt;"")+('Dvd Calendar'!$P$1072=SPECIAL_LBL)*(INC_SPECIALS="Y"))=0,"",'Dvd Calendar'!$P$1070)))</f>
        <v/>
      </c>
      <c r="O108" s="161">
        <f>IF(EQ108="","",IF(ISNUMBER('Dvd Calendar'!$Q$1070)=FALSE,"",IF((('Dvd Calendar'!$Q$1072=TYPE1)*(TYPE1&lt;&gt;"")+('Dvd Calendar'!$Q$1072=TYPE2)*(TYPE2&lt;&gt;"")+('Dvd Calendar'!$Q$1072=TYPE3)*(TYPE3&lt;&gt;"")+('Dvd Calendar'!$Q$1072=TYPE4)*(TYPE4&lt;&gt;"")+('Dvd Calendar'!$Q$1072=SPECIAL_LBL)*(INC_SPECIALS="Y"))=0,"",'Dvd Calendar'!$Q$1070)))</f>
        <v/>
      </c>
      <c r="P108" s="161">
        <f>IF(ER108="","",IF(ISNUMBER('Dvd Calendar'!$R$1070)=FALSE,"",IF((('Dvd Calendar'!$R$1072=TYPE1)*(TYPE1&lt;&gt;"")+('Dvd Calendar'!$R$1072=TYPE2)*(TYPE2&lt;&gt;"")+('Dvd Calendar'!$R$1072=TYPE3)*(TYPE3&lt;&gt;"")+('Dvd Calendar'!$R$1072=TYPE4)*(TYPE4&lt;&gt;"")+('Dvd Calendar'!$R$1072=SPECIAL_LBL)*(INC_SPECIALS="Y"))=0,"",'Dvd Calendar'!$R$1070)))</f>
        <v/>
      </c>
      <c r="Q108" s="161">
        <f>IF(ES108="","",IF(ISNUMBER('Dvd Calendar'!$S$1070)=FALSE,"",IF((('Dvd Calendar'!$S$1072=TYPE1)*(TYPE1&lt;&gt;"")+('Dvd Calendar'!$S$1072=TYPE2)*(TYPE2&lt;&gt;"")+('Dvd Calendar'!$S$1072=TYPE3)*(TYPE3&lt;&gt;"")+('Dvd Calendar'!$S$1072=TYPE4)*(TYPE4&lt;&gt;"")+('Dvd Calendar'!$S$1072=SPECIAL_LBL)*(INC_SPECIALS="Y"))=0,"",'Dvd Calendar'!$S$1070)))</f>
        <v/>
      </c>
      <c r="R108" s="161">
        <f>IF(ET108="","",IF(ISNUMBER('Dvd Calendar'!$T$1070)=FALSE,"",IF((('Dvd Calendar'!$T$1072=TYPE1)*(TYPE1&lt;&gt;"")+('Dvd Calendar'!$T$1072=TYPE2)*(TYPE2&lt;&gt;"")+('Dvd Calendar'!$T$1072=TYPE3)*(TYPE3&lt;&gt;"")+('Dvd Calendar'!$T$1072=TYPE4)*(TYPE4&lt;&gt;"")+('Dvd Calendar'!$T$1072=SPECIAL_LBL)*(INC_SPECIALS="Y"))=0,"",'Dvd Calendar'!$T$1070)))</f>
        <v/>
      </c>
      <c r="S108" s="161">
        <f>IF(EU108="","",IF(ISNUMBER('Dvd Calendar'!$U$1070)=FALSE,"",IF((('Dvd Calendar'!$U$1072=TYPE1)*(TYPE1&lt;&gt;"")+('Dvd Calendar'!$U$1072=TYPE2)*(TYPE2&lt;&gt;"")+('Dvd Calendar'!$U$1072=TYPE3)*(TYPE3&lt;&gt;"")+('Dvd Calendar'!$U$1072=TYPE4)*(TYPE4&lt;&gt;"")+('Dvd Calendar'!$U$1072=SPECIAL_LBL)*(INC_SPECIALS="Y"))=0,"",'Dvd Calendar'!$U$1070)))</f>
        <v/>
      </c>
      <c r="T108" s="161">
        <f>IF(EV108="","",IF(ISNUMBER('Dvd Calendar'!$V$1070)=FALSE,"",IF((('Dvd Calendar'!$V$1072=TYPE1)*(TYPE1&lt;&gt;"")+('Dvd Calendar'!$V$1072=TYPE2)*(TYPE2&lt;&gt;"")+('Dvd Calendar'!$V$1072=TYPE3)*(TYPE3&lt;&gt;"")+('Dvd Calendar'!$V$1072=TYPE4)*(TYPE4&lt;&gt;"")+('Dvd Calendar'!$V$1072=SPECIAL_LBL)*(INC_SPECIALS="Y"))=0,"",'Dvd Calendar'!$V$1070)))</f>
        <v/>
      </c>
      <c r="U108" s="161">
        <f>IF(EW108="","",IF(ISNUMBER('Dvd Calendar'!$W$1070)=FALSE,"",IF((('Dvd Calendar'!$W$1072=TYPE1)*(TYPE1&lt;&gt;"")+('Dvd Calendar'!$W$1072=TYPE2)*(TYPE2&lt;&gt;"")+('Dvd Calendar'!$W$1072=TYPE3)*(TYPE3&lt;&gt;"")+('Dvd Calendar'!$W$1072=TYPE4)*(TYPE4&lt;&gt;"")+('Dvd Calendar'!$W$1072=SPECIAL_LBL)*(INC_SPECIALS="Y"))=0,"",'Dvd Calendar'!$W$1070)))</f>
        <v/>
      </c>
      <c r="V108" s="161">
        <f>IF(EX108="","",IF(ISNUMBER('Dvd Calendar'!$X$1070)=FALSE,"",IF((('Dvd Calendar'!$X$1072=TYPE1)*(TYPE1&lt;&gt;"")+('Dvd Calendar'!$X$1072=TYPE2)*(TYPE2&lt;&gt;"")+('Dvd Calendar'!$X$1072=TYPE3)*(TYPE3&lt;&gt;"")+('Dvd Calendar'!$X$1072=TYPE4)*(TYPE4&lt;&gt;"")+('Dvd Calendar'!$X$1072=SPECIAL_LBL)*(INC_SPECIALS="Y"))=0,"",'Dvd Calendar'!$X$1070)))</f>
        <v/>
      </c>
      <c r="W108" s="161">
        <f>IF(EY108="","",IF(ISNUMBER('Dvd Calendar'!$Y$1070)=FALSE,"",IF((('Dvd Calendar'!$Y$1072=TYPE1)*(TYPE1&lt;&gt;"")+('Dvd Calendar'!$Y$1072=TYPE2)*(TYPE2&lt;&gt;"")+('Dvd Calendar'!$Y$1072=TYPE3)*(TYPE3&lt;&gt;"")+('Dvd Calendar'!$Y$1072=TYPE4)*(TYPE4&lt;&gt;"")+('Dvd Calendar'!$Y$1072=SPECIAL_LBL)*(INC_SPECIALS="Y"))=0,"",'Dvd Calendar'!$Y$1070)))</f>
        <v/>
      </c>
      <c r="X108" s="161">
        <f>IF(EZ108="","",IF(ISNUMBER('Dvd Calendar'!$Z$1070)=FALSE,"",IF((('Dvd Calendar'!$Z$1072=TYPE1)*(TYPE1&lt;&gt;"")+('Dvd Calendar'!$Z$1072=TYPE2)*(TYPE2&lt;&gt;"")+('Dvd Calendar'!$Z$1072=TYPE3)*(TYPE3&lt;&gt;"")+('Dvd Calendar'!$Z$1072=TYPE4)*(TYPE4&lt;&gt;"")+('Dvd Calendar'!$Z$1072=SPECIAL_LBL)*(INC_SPECIALS="Y"))=0,"",'Dvd Calendar'!$Z$1070)))</f>
        <v/>
      </c>
      <c r="Y108" s="161">
        <f>IF(FA108="","",IF(ISNUMBER('Dvd Calendar'!$AA$1070)=FALSE,"",IF((('Dvd Calendar'!$AA$1072=TYPE1)*(TYPE1&lt;&gt;"")+('Dvd Calendar'!$AA$1072=TYPE2)*(TYPE2&lt;&gt;"")+('Dvd Calendar'!$AA$1072=TYPE3)*(TYPE3&lt;&gt;"")+('Dvd Calendar'!$AA$1072=TYPE4)*(TYPE4&lt;&gt;"")+('Dvd Calendar'!$AA$1072=SPECIAL_LBL)*(INC_SPECIALS="Y"))=0,"",'Dvd Calendar'!$AA$1070)))</f>
        <v/>
      </c>
      <c r="Z108" s="161">
        <f>IF(FB108="","",IF(ISNUMBER('Dvd Calendar'!$AB$1070)=FALSE,"",IF((('Dvd Calendar'!$AB$1072=TYPE1)*(TYPE1&lt;&gt;"")+('Dvd Calendar'!$AB$1072=TYPE2)*(TYPE2&lt;&gt;"")+('Dvd Calendar'!$AB$1072=TYPE3)*(TYPE3&lt;&gt;"")+('Dvd Calendar'!$AB$1072=TYPE4)*(TYPE4&lt;&gt;"")+('Dvd Calendar'!$AB$1072=SPECIAL_LBL)*(INC_SPECIALS="Y"))=0,"",'Dvd Calendar'!$AB$1070)))</f>
        <v/>
      </c>
      <c r="AA108" s="161">
        <f>IF(FC108="","",IF(ISNUMBER('Dvd Calendar'!$AC$1070)=FALSE,"",IF((('Dvd Calendar'!$AC$1072=TYPE1)*(TYPE1&lt;&gt;"")+('Dvd Calendar'!$AC$1072=TYPE2)*(TYPE2&lt;&gt;"")+('Dvd Calendar'!$AC$1072=TYPE3)*(TYPE3&lt;&gt;"")+('Dvd Calendar'!$AC$1072=TYPE4)*(TYPE4&lt;&gt;"")+('Dvd Calendar'!$AC$1072=SPECIAL_LBL)*(INC_SPECIALS="Y"))=0,"",'Dvd Calendar'!$AC$1070)))</f>
        <v/>
      </c>
      <c r="AB108" s="161">
        <f>IF(FD108="","",IF(ISNUMBER('Dvd Calendar'!$AD$1070)=FALSE,"",IF((('Dvd Calendar'!$AD$1072=TYPE1)*(TYPE1&lt;&gt;"")+('Dvd Calendar'!$AD$1072=TYPE2)*(TYPE2&lt;&gt;"")+('Dvd Calendar'!$AD$1072=TYPE3)*(TYPE3&lt;&gt;"")+('Dvd Calendar'!$AD$1072=TYPE4)*(TYPE4&lt;&gt;"")+('Dvd Calendar'!$AD$1072=SPECIAL_LBL)*(INC_SPECIALS="Y"))=0,"",'Dvd Calendar'!$AD$1070)))</f>
        <v/>
      </c>
      <c r="AC108" s="161">
        <f>IF(FE108="","",IF(ISNUMBER('Dvd Calendar'!$AE$1070)=FALSE,"",IF((('Dvd Calendar'!$AE$1072=TYPE1)*(TYPE1&lt;&gt;"")+('Dvd Calendar'!$AE$1072=TYPE2)*(TYPE2&lt;&gt;"")+('Dvd Calendar'!$AE$1072=TYPE3)*(TYPE3&lt;&gt;"")+('Dvd Calendar'!$AE$1072=TYPE4)*(TYPE4&lt;&gt;"")+('Dvd Calendar'!$AE$1072=SPECIAL_LBL)*(INC_SPECIALS="Y"))=0,"",'Dvd Calendar'!$AE$1070)))</f>
        <v/>
      </c>
      <c r="AD108" s="161">
        <f>IF(FF108="","",IF(ISNUMBER('Dvd Calendar'!$AF$1070)=FALSE,"",IF((('Dvd Calendar'!$AF$1072=TYPE1)*(TYPE1&lt;&gt;"")+('Dvd Calendar'!$AF$1072=TYPE2)*(TYPE2&lt;&gt;"")+('Dvd Calendar'!$AF$1072=TYPE3)*(TYPE3&lt;&gt;"")+('Dvd Calendar'!$AF$1072=TYPE4)*(TYPE4&lt;&gt;"")+('Dvd Calendar'!$AF$1072=SPECIAL_LBL)*(INC_SPECIALS="Y"))=0,"",'Dvd Calendar'!$AF$1070)))</f>
        <v/>
      </c>
      <c r="AE108" s="161">
        <f>IF(FG108="","",IF(ISNUMBER('Dvd Calendar'!$AG$1070)=FALSE,"",IF((('Dvd Calendar'!$AG$1072=TYPE1)*(TYPE1&lt;&gt;"")+('Dvd Calendar'!$AG$1072=TYPE2)*(TYPE2&lt;&gt;"")+('Dvd Calendar'!$AG$1072=TYPE3)*(TYPE3&lt;&gt;"")+('Dvd Calendar'!$AG$1072=TYPE4)*(TYPE4&lt;&gt;"")+('Dvd Calendar'!$AG$1072=SPECIAL_LBL)*(INC_SPECIALS="Y"))=0,"",'Dvd Calendar'!$AG$1070)))</f>
        <v/>
      </c>
      <c r="AF108" s="161">
        <f>IF(FH108="","",IF(ISNUMBER('Dvd Calendar'!$AH$1070)=FALSE,"",IF((('Dvd Calendar'!$AH$1072=TYPE1)*(TYPE1&lt;&gt;"")+('Dvd Calendar'!$AH$1072=TYPE2)*(TYPE2&lt;&gt;"")+('Dvd Calendar'!$AH$1072=TYPE3)*(TYPE3&lt;&gt;"")+('Dvd Calendar'!$AH$1072=TYPE4)*(TYPE4&lt;&gt;"")+('Dvd Calendar'!$AH$1072=SPECIAL_LBL)*(INC_SPECIALS="Y"))=0,"",'Dvd Calendar'!$AH$1070)))</f>
        <v/>
      </c>
      <c r="AG108" s="161">
        <f>IF(FI108="","",IF(ISNUMBER('Dvd Calendar'!$AI$1070)=FALSE,"",IF((('Dvd Calendar'!$AI$1072=TYPE1)*(TYPE1&lt;&gt;"")+('Dvd Calendar'!$AI$1072=TYPE2)*(TYPE2&lt;&gt;"")+('Dvd Calendar'!$AI$1072=TYPE3)*(TYPE3&lt;&gt;"")+('Dvd Calendar'!$AI$1072=TYPE4)*(TYPE4&lt;&gt;"")+('Dvd Calendar'!$AI$1072=SPECIAL_LBL)*(INC_SPECIALS="Y"))=0,"",'Dvd Calendar'!$AI$1070)))</f>
        <v/>
      </c>
      <c r="AH108" s="161">
        <f>IF(FJ108="","",IF(ISNUMBER('Dvd Calendar'!$AJ$1070)=FALSE,"",IF((('Dvd Calendar'!$AJ$1072=TYPE1)*(TYPE1&lt;&gt;"")+('Dvd Calendar'!$AJ$1072=TYPE2)*(TYPE2&lt;&gt;"")+('Dvd Calendar'!$AJ$1072=TYPE3)*(TYPE3&lt;&gt;"")+('Dvd Calendar'!$AJ$1072=TYPE4)*(TYPE4&lt;&gt;"")+('Dvd Calendar'!$AJ$1072=SPECIAL_LBL)*(INC_SPECIALS="Y"))=0,"",'Dvd Calendar'!$AJ$1070)))</f>
        <v/>
      </c>
      <c r="AI108" s="161">
        <f>IF(FK108="","",IF(ISNUMBER('Dvd Calendar'!$AK$1070)=FALSE,"",IF((('Dvd Calendar'!$AK$1072=TYPE1)*(TYPE1&lt;&gt;"")+('Dvd Calendar'!$AK$1072=TYPE2)*(TYPE2&lt;&gt;"")+('Dvd Calendar'!$AK$1072=TYPE3)*(TYPE3&lt;&gt;"")+('Dvd Calendar'!$AK$1072=TYPE4)*(TYPE4&lt;&gt;"")+('Dvd Calendar'!$AK$1072=SPECIAL_LBL)*(INC_SPECIALS="Y"))=0,"",'Dvd Calendar'!$AK$1070)))</f>
        <v/>
      </c>
      <c r="AJ108" s="161">
        <f>IF(FL108="","",IF(ISNUMBER('Dvd Calendar'!$AL$1070)=FALSE,"",IF((('Dvd Calendar'!$AL$1072=TYPE1)*(TYPE1&lt;&gt;"")+('Dvd Calendar'!$AL$1072=TYPE2)*(TYPE2&lt;&gt;"")+('Dvd Calendar'!$AL$1072=TYPE3)*(TYPE3&lt;&gt;"")+('Dvd Calendar'!$AL$1072=TYPE4)*(TYPE4&lt;&gt;"")+('Dvd Calendar'!$AL$1072=SPECIAL_LBL)*(INC_SPECIALS="Y"))=0,"",'Dvd Calendar'!$AL$1070)))</f>
        <v/>
      </c>
      <c r="AK108" s="161">
        <f>IF(FM108="","",IF(ISNUMBER('Dvd Calendar'!$AM$1070)=FALSE,"",IF((('Dvd Calendar'!$AM$1072=TYPE1)*(TYPE1&lt;&gt;"")+('Dvd Calendar'!$AM$1072=TYPE2)*(TYPE2&lt;&gt;"")+('Dvd Calendar'!$AM$1072=TYPE3)*(TYPE3&lt;&gt;"")+('Dvd Calendar'!$AM$1072=TYPE4)*(TYPE4&lt;&gt;"")+('Dvd Calendar'!$AM$1072=SPECIAL_LBL)*(INC_SPECIALS="Y"))=0,"",'Dvd Calendar'!$AM$1070)))</f>
        <v/>
      </c>
      <c r="AL108" s="161">
        <f>IF(FN108="","",IF(ISNUMBER('Dvd Calendar'!$AN$1070)=FALSE,"",IF((('Dvd Calendar'!$AN$1072=TYPE1)*(TYPE1&lt;&gt;"")+('Dvd Calendar'!$AN$1072=TYPE2)*(TYPE2&lt;&gt;"")+('Dvd Calendar'!$AN$1072=TYPE3)*(TYPE3&lt;&gt;"")+('Dvd Calendar'!$AN$1072=TYPE4)*(TYPE4&lt;&gt;"")+('Dvd Calendar'!$AN$1072=SPECIAL_LBL)*(INC_SPECIALS="Y"))=0,"",'Dvd Calendar'!$AN$1070)))</f>
        <v/>
      </c>
      <c r="AM108" s="161">
        <f>IF(FO108="","",IF(ISNUMBER('Dvd Calendar'!$AO$1070)=FALSE,"",IF((('Dvd Calendar'!$AO$1072=TYPE1)*(TYPE1&lt;&gt;"")+('Dvd Calendar'!$AO$1072=TYPE2)*(TYPE2&lt;&gt;"")+('Dvd Calendar'!$AO$1072=TYPE3)*(TYPE3&lt;&gt;"")+('Dvd Calendar'!$AO$1072=TYPE4)*(TYPE4&lt;&gt;"")+('Dvd Calendar'!$AO$1072=SPECIAL_LBL)*(INC_SPECIALS="Y"))=0,"",'Dvd Calendar'!$AO$1070)))</f>
        <v/>
      </c>
      <c r="AN108" s="161">
        <f>IF(FP108="","",IF(ISNUMBER('Dvd Calendar'!$AP$1070)=FALSE,"",IF((('Dvd Calendar'!$AP$1072=TYPE1)*(TYPE1&lt;&gt;"")+('Dvd Calendar'!$AP$1072=TYPE2)*(TYPE2&lt;&gt;"")+('Dvd Calendar'!$AP$1072=TYPE3)*(TYPE3&lt;&gt;"")+('Dvd Calendar'!$AP$1072=TYPE4)*(TYPE4&lt;&gt;"")+('Dvd Calendar'!$AP$1072=SPECIAL_LBL)*(INC_SPECIALS="Y"))=0,"",'Dvd Calendar'!$AP$1070)))</f>
        <v/>
      </c>
      <c r="AO108" s="161">
        <f>IF(FQ108="","",IF(ISNUMBER('Dvd Calendar'!$AQ$1070)=FALSE,"",IF((('Dvd Calendar'!$AQ$1072=TYPE1)*(TYPE1&lt;&gt;"")+('Dvd Calendar'!$AQ$1072=TYPE2)*(TYPE2&lt;&gt;"")+('Dvd Calendar'!$AQ$1072=TYPE3)*(TYPE3&lt;&gt;"")+('Dvd Calendar'!$AQ$1072=TYPE4)*(TYPE4&lt;&gt;"")+('Dvd Calendar'!$AQ$1072=SPECIAL_LBL)*(INC_SPECIALS="Y"))=0,"",'Dvd Calendar'!$AQ$1070)))</f>
        <v/>
      </c>
      <c r="AP108" s="161">
        <f>IF(FR108="","",IF(ISNUMBER('Dvd Calendar'!$AR$1070)=FALSE,"",IF((('Dvd Calendar'!$AR$1072=TYPE1)*(TYPE1&lt;&gt;"")+('Dvd Calendar'!$AR$1072=TYPE2)*(TYPE2&lt;&gt;"")+('Dvd Calendar'!$AR$1072=TYPE3)*(TYPE3&lt;&gt;"")+('Dvd Calendar'!$AR$1072=TYPE4)*(TYPE4&lt;&gt;"")+('Dvd Calendar'!$AR$1072=SPECIAL_LBL)*(INC_SPECIALS="Y"))=0,"",'Dvd Calendar'!$AR$1070)))</f>
        <v/>
      </c>
      <c r="AQ108" s="161">
        <f>IF(FS108="","",IF(ISNUMBER('Dvd Calendar'!$E$1075)=FALSE,"",'Dvd Calendar'!$E$1075))</f>
        <v/>
      </c>
      <c r="AR108" s="161">
        <f>IF(FT108="","",IF(ISNUMBER('Dvd Calendar'!$F$1075)=FALSE,"",'Dvd Calendar'!$F$1075))</f>
        <v/>
      </c>
      <c r="AS108" s="161">
        <f>IF(FU108="","",IF(ISNUMBER('Dvd Calendar'!$G$1075)=FALSE,"",'Dvd Calendar'!$G$1075))</f>
        <v/>
      </c>
      <c r="AT108" s="161">
        <f>IF(FV108="","",IF(ISNUMBER('Dvd Calendar'!$H$1075)=FALSE,"",'Dvd Calendar'!$H$1075))</f>
        <v/>
      </c>
      <c r="AU108" s="161">
        <f>IF(FW108="","",IF(ISNUMBER('Dvd Calendar'!$I$1075)=FALSE,"",'Dvd Calendar'!$I$1075))</f>
        <v/>
      </c>
      <c r="AV108" s="161">
        <f>IF(FX108="","",IF(ISNUMBER('Dvd Calendar'!$J$1075)=FALSE,"",'Dvd Calendar'!$J$1075))</f>
        <v/>
      </c>
      <c r="AW108" s="161">
        <f>IF(FY108="","",IF(ISNUMBER('Dvd Calendar'!$K$1075)=FALSE,"",'Dvd Calendar'!$K$1075))</f>
        <v/>
      </c>
      <c r="AX108" s="161">
        <f>IF(FZ108="","",IF(ISNUMBER('Dvd Calendar'!$L$1075)=FALSE,"",'Dvd Calendar'!$L$1075))</f>
        <v/>
      </c>
      <c r="AY108" s="161">
        <f>IF(GA108="","",IF(ISNUMBER('Dvd Calendar'!$M$1075)=FALSE,"",'Dvd Calendar'!$M$1075))</f>
        <v/>
      </c>
      <c r="AZ108" s="161">
        <f>IF(GB108="","",IF(ISNUMBER('Dvd Calendar'!$N$1075)=FALSE,"",'Dvd Calendar'!$N$1075))</f>
        <v/>
      </c>
      <c r="BA108" s="161">
        <f>IF(GC108="","",IF(ISNUMBER('Dvd Calendar'!$O$1075)=FALSE,"",'Dvd Calendar'!$O$1075))</f>
        <v/>
      </c>
      <c r="BB108" s="161">
        <f>IF(GD108="","",IF(ISNUMBER('Dvd Calendar'!$P$1075)=FALSE,"",'Dvd Calendar'!$P$1075))</f>
        <v/>
      </c>
      <c r="BC108" s="161">
        <f>IF(GE108="","",IF(ISNUMBER('Dvd Calendar'!$Q$1075)=FALSE,"",'Dvd Calendar'!$Q$1075))</f>
        <v/>
      </c>
      <c r="BD108" s="161">
        <f>IF(GF108="","",IF(ISNUMBER('Dvd Calendar'!$R$1075)=FALSE,"",'Dvd Calendar'!$R$1075))</f>
        <v/>
      </c>
      <c r="BE108" s="161">
        <f>IF(GG108="","",IF(ISNUMBER('Dvd Calendar'!$S$1075)=FALSE,"",'Dvd Calendar'!$S$1075))</f>
        <v/>
      </c>
      <c r="BF108" s="161">
        <f>IF(GH108="","",IF(ISNUMBER('Dvd Calendar'!$T$1075)=FALSE,"",'Dvd Calendar'!$T$1075))</f>
        <v/>
      </c>
      <c r="BG108" s="161">
        <f>IF(GI108="","",IF(ISNUMBER('Dvd Calendar'!$U$1075)=FALSE,"",'Dvd Calendar'!$U$1075))</f>
        <v/>
      </c>
      <c r="BH108" s="161">
        <f>IF(GJ108="","",IF(ISNUMBER('Dvd Calendar'!$V$1075)=FALSE,"",'Dvd Calendar'!$V$1075))</f>
        <v/>
      </c>
      <c r="BI108" s="161">
        <f>IF(GK108="","",IF(ISNUMBER('Dvd Calendar'!$W$1075)=FALSE,"",'Dvd Calendar'!$W$1075))</f>
        <v/>
      </c>
      <c r="BJ108" s="161">
        <f>IF(GL108="","",IF(ISNUMBER('Dvd Calendar'!$X$1075)=FALSE,"",'Dvd Calendar'!$X$1075))</f>
        <v/>
      </c>
      <c r="BK108" s="161">
        <f>IF(GM108="","",IF(ISNUMBER('Dvd Calendar'!$Y$1075)=FALSE,"",'Dvd Calendar'!$Y$1075))</f>
        <v/>
      </c>
      <c r="BL108" s="161">
        <f>IF(GN108="","",IF(ISNUMBER('Dvd Calendar'!$Z$1075)=FALSE,"",'Dvd Calendar'!$Z$1075))</f>
        <v/>
      </c>
      <c r="BM108" s="161">
        <f>IF(GO108="","",IF(ISNUMBER('Dvd Calendar'!$AA$1075)=FALSE,"",'Dvd Calendar'!$AA$1075))</f>
        <v/>
      </c>
      <c r="BN108" s="161">
        <f>IF(GP108="","",IF(ISNUMBER('Dvd Calendar'!$AB$1075)=FALSE,"",'Dvd Calendar'!$AB$1075))</f>
        <v/>
      </c>
      <c r="BO108" s="161">
        <f>IF(GQ108="","",IF(ISNUMBER('Dvd Calendar'!$AC$1075)=FALSE,"",'Dvd Calendar'!$AC$1075))</f>
        <v/>
      </c>
      <c r="BQ108" s="161">
        <f>IF(C108="","",IFERROR(C108*HSI!$B$103*HSI!$G$103/HSI!$B$3,""))</f>
        <v/>
      </c>
      <c r="BR108" s="161">
        <f>IF(D108="","",IFERROR(D108*HSI!$B$103*HSI!$G$103/HSI!$B$3,""))</f>
        <v/>
      </c>
      <c r="BS108" s="161">
        <f>IF(E108="","",IFERROR(E108*HSI!$B$103*HSI!$G$103/HSI!$B$3,""))</f>
        <v/>
      </c>
      <c r="BT108" s="161">
        <f>IF(F108="","",IFERROR(F108*HSI!$B$103*HSI!$G$103/HSI!$B$3,""))</f>
        <v/>
      </c>
      <c r="BU108" s="161">
        <f>IF(G108="","",IFERROR(G108*HSI!$B$103*HSI!$G$103/HSI!$B$3,""))</f>
        <v/>
      </c>
      <c r="BV108" s="161">
        <f>IF(H108="","",IFERROR(H108*HSI!$B$103*HSI!$G$103/HSI!$B$3,""))</f>
        <v/>
      </c>
      <c r="BW108" s="161">
        <f>IF(I108="","",IFERROR(I108*HSI!$B$103*HSI!$G$103/HSI!$B$3,""))</f>
        <v/>
      </c>
      <c r="BX108" s="161">
        <f>IF(J108="","",IFERROR(J108*HSI!$B$103*HSI!$G$103/HSI!$B$3,""))</f>
        <v/>
      </c>
      <c r="BY108" s="161">
        <f>IF(K108="","",IFERROR(K108*HSI!$B$103*HSI!$G$103/HSI!$B$3,""))</f>
        <v/>
      </c>
      <c r="BZ108" s="161">
        <f>IF(L108="","",IFERROR(L108*HSI!$B$103*HSI!$G$103/HSI!$B$3,""))</f>
        <v/>
      </c>
      <c r="CA108" s="161">
        <f>IF(M108="","",IFERROR(M108*HSI!$B$103*HSI!$G$103/HSI!$B$3,""))</f>
        <v/>
      </c>
      <c r="CB108" s="161">
        <f>IF(N108="","",IFERROR(N108*HSI!$B$103*HSI!$G$103/HSI!$B$3,""))</f>
        <v/>
      </c>
      <c r="CC108" s="161">
        <f>IF(O108="","",IFERROR(O108*HSI!$B$103*HSI!$G$103/HSI!$B$3,""))</f>
        <v/>
      </c>
      <c r="CD108" s="161">
        <f>IF(P108="","",IFERROR(P108*HSI!$B$103*HSI!$G$103/HSI!$B$3,""))</f>
        <v/>
      </c>
      <c r="CE108" s="161">
        <f>IF(Q108="","",IFERROR(Q108*HSI!$B$103*HSI!$G$103/HSI!$B$3,""))</f>
        <v/>
      </c>
      <c r="CF108" s="161">
        <f>IF(R108="","",IFERROR(R108*HSI!$B$103*HSI!$G$103/HSI!$B$3,""))</f>
        <v/>
      </c>
      <c r="CG108" s="161">
        <f>IF(S108="","",IFERROR(S108*HSI!$B$103*HSI!$G$103/HSI!$B$3,""))</f>
        <v/>
      </c>
      <c r="CH108" s="161">
        <f>IF(T108="","",IFERROR(T108*HSI!$B$103*HSI!$G$103/HSI!$B$3,""))</f>
        <v/>
      </c>
      <c r="CI108" s="161">
        <f>IF(U108="","",IFERROR(U108*HSI!$B$103*HSI!$G$103/HSI!$B$3,""))</f>
        <v/>
      </c>
      <c r="CJ108" s="161">
        <f>IF(V108="","",IFERROR(V108*HSI!$B$103*HSI!$G$103/HSI!$B$3,""))</f>
        <v/>
      </c>
      <c r="CK108" s="161">
        <f>IF(W108="","",IFERROR(W108*HSI!$B$103*HSI!$G$103/HSI!$B$3,""))</f>
        <v/>
      </c>
      <c r="CL108" s="161">
        <f>IF(X108="","",IFERROR(X108*HSI!$B$103*HSI!$G$103/HSI!$B$3,""))</f>
        <v/>
      </c>
      <c r="CM108" s="161">
        <f>IF(Y108="","",IFERROR(Y108*HSI!$B$103*HSI!$G$103/HSI!$B$3,""))</f>
        <v/>
      </c>
      <c r="CN108" s="161">
        <f>IF(Z108="","",IFERROR(Z108*HSI!$B$103*HSI!$G$103/HSI!$B$3,""))</f>
        <v/>
      </c>
      <c r="CO108" s="161">
        <f>IF(AA108="","",IFERROR(AA108*HSI!$B$103*HSI!$G$103/HSI!$B$3,""))</f>
        <v/>
      </c>
      <c r="CP108" s="161">
        <f>IF(AB108="","",IFERROR(AB108*HSI!$B$103*HSI!$G$103/HSI!$B$3,""))</f>
        <v/>
      </c>
      <c r="CQ108" s="161">
        <f>IF(AC108="","",IFERROR(AC108*HSI!$B$103*HSI!$G$103/HSI!$B$3,""))</f>
        <v/>
      </c>
      <c r="CR108" s="161">
        <f>IF(AD108="","",IFERROR(AD108*HSI!$B$103*HSI!$G$103/HSI!$B$3,""))</f>
        <v/>
      </c>
      <c r="CS108" s="161">
        <f>IF(AE108="","",IFERROR(AE108*HSI!$B$103*HSI!$G$103/HSI!$B$3,""))</f>
        <v/>
      </c>
      <c r="CT108" s="161">
        <f>IF(AF108="","",IFERROR(AF108*HSI!$B$103*HSI!$G$103/HSI!$B$3,""))</f>
        <v/>
      </c>
      <c r="CU108" s="161">
        <f>IF(AG108="","",IFERROR(AG108*HSI!$B$103*HSI!$G$103/HSI!$B$3,""))</f>
        <v/>
      </c>
      <c r="CV108" s="161">
        <f>IF(AH108="","",IFERROR(AH108*HSI!$B$103*HSI!$G$103/HSI!$B$3,""))</f>
        <v/>
      </c>
      <c r="CW108" s="161">
        <f>IF(AI108="","",IFERROR(AI108*HSI!$B$103*HSI!$G$103/HSI!$B$3,""))</f>
        <v/>
      </c>
      <c r="CX108" s="161">
        <f>IF(AJ108="","",IFERROR(AJ108*HSI!$B$103*HSI!$G$103/HSI!$B$3,""))</f>
        <v/>
      </c>
      <c r="CY108" s="161">
        <f>IF(AK108="","",IFERROR(AK108*HSI!$B$103*HSI!$G$103/HSI!$B$3,""))</f>
        <v/>
      </c>
      <c r="CZ108" s="161">
        <f>IF(AL108="","",IFERROR(AL108*HSI!$B$103*HSI!$G$103/HSI!$B$3,""))</f>
        <v/>
      </c>
      <c r="DA108" s="161">
        <f>IF(AM108="","",IFERROR(AM108*HSI!$B$103*HSI!$G$103/HSI!$B$3,""))</f>
        <v/>
      </c>
      <c r="DB108" s="161">
        <f>IF(AN108="","",IFERROR(AN108*HSI!$B$103*HSI!$G$103/HSI!$B$3,""))</f>
        <v/>
      </c>
      <c r="DC108" s="161">
        <f>IF(AO108="","",IFERROR(AO108*HSI!$B$103*HSI!$G$103/HSI!$B$3,""))</f>
        <v/>
      </c>
      <c r="DD108" s="161">
        <f>IF(AP108="","",IFERROR(AP108*HSI!$B$103*HSI!$G$103/HSI!$B$3,""))</f>
        <v/>
      </c>
      <c r="DE108" s="161">
        <f>IF(AQ108="","",IFERROR(AQ108*HSI!$B$103*HSI!$G$103/HSI!$B$3,""))</f>
        <v/>
      </c>
      <c r="DF108" s="161">
        <f>IF(AR108="","",IFERROR(AR108*HSI!$B$103*HSI!$G$103/HSI!$B$3,""))</f>
        <v/>
      </c>
      <c r="DG108" s="161">
        <f>IF(AS108="","",IFERROR(AS108*HSI!$B$103*HSI!$G$103/HSI!$B$3,""))</f>
        <v/>
      </c>
      <c r="DH108" s="161">
        <f>IF(AT108="","",IFERROR(AT108*HSI!$B$103*HSI!$G$103/HSI!$B$3,""))</f>
        <v/>
      </c>
      <c r="DI108" s="161">
        <f>IF(AU108="","",IFERROR(AU108*HSI!$B$103*HSI!$G$103/HSI!$B$3,""))</f>
        <v/>
      </c>
      <c r="DJ108" s="161">
        <f>IF(AV108="","",IFERROR(AV108*HSI!$B$103*HSI!$G$103/HSI!$B$3,""))</f>
        <v/>
      </c>
      <c r="DK108" s="161">
        <f>IF(AW108="","",IFERROR(AW108*HSI!$B$103*HSI!$G$103/HSI!$B$3,""))</f>
        <v/>
      </c>
      <c r="DL108" s="161">
        <f>IF(AX108="","",IFERROR(AX108*HSI!$B$103*HSI!$G$103/HSI!$B$3,""))</f>
        <v/>
      </c>
      <c r="DM108" s="161">
        <f>IF(AY108="","",IFERROR(AY108*HSI!$B$103*HSI!$G$103/HSI!$B$3,""))</f>
        <v/>
      </c>
      <c r="DN108" s="161">
        <f>IF(AZ108="","",IFERROR(AZ108*HSI!$B$103*HSI!$G$103/HSI!$B$3,""))</f>
        <v/>
      </c>
      <c r="DO108" s="161">
        <f>IF(BA108="","",IFERROR(BA108*HSI!$B$103*HSI!$G$103/HSI!$B$3,""))</f>
        <v/>
      </c>
      <c r="DP108" s="161">
        <f>IF(BB108="","",IFERROR(BB108*HSI!$B$103*HSI!$G$103/HSI!$B$3,""))</f>
        <v/>
      </c>
      <c r="DQ108" s="161">
        <f>IF(BC108="","",IFERROR(BC108*HSI!$B$103*HSI!$G$103/HSI!$B$3,""))</f>
        <v/>
      </c>
      <c r="DR108" s="161">
        <f>IF(BD108="","",IFERROR(BD108*HSI!$B$103*HSI!$G$103/HSI!$B$3,""))</f>
        <v/>
      </c>
      <c r="DS108" s="161">
        <f>IF(BE108="","",IFERROR(BE108*HSI!$B$103*HSI!$G$103/HSI!$B$3,""))</f>
        <v/>
      </c>
      <c r="DT108" s="161">
        <f>IF(BF108="","",IFERROR(BF108*HSI!$B$103*HSI!$G$103/HSI!$B$3,""))</f>
        <v/>
      </c>
      <c r="DU108" s="161">
        <f>IF(BG108="","",IFERROR(BG108*HSI!$B$103*HSI!$G$103/HSI!$B$3,""))</f>
        <v/>
      </c>
      <c r="DV108" s="161">
        <f>IF(BH108="","",IFERROR(BH108*HSI!$B$103*HSI!$G$103/HSI!$B$3,""))</f>
        <v/>
      </c>
      <c r="DW108" s="161">
        <f>IF(BI108="","",IFERROR(BI108*HSI!$B$103*HSI!$G$103/HSI!$B$3,""))</f>
        <v/>
      </c>
      <c r="DX108" s="161">
        <f>IF(BJ108="","",IFERROR(BJ108*HSI!$B$103*HSI!$G$103/HSI!$B$3,""))</f>
        <v/>
      </c>
      <c r="DY108" s="161">
        <f>IF(BK108="","",IFERROR(BK108*HSI!$B$103*HSI!$G$103/HSI!$B$3,""))</f>
        <v/>
      </c>
      <c r="DZ108" s="161">
        <f>IF(BL108="","",IFERROR(BL108*HSI!$B$103*HSI!$G$103/HSI!$B$3,""))</f>
        <v/>
      </c>
      <c r="EA108" s="161">
        <f>IF(BM108="","",IFERROR(BM108*HSI!$B$103*HSI!$G$103/HSI!$B$3,""))</f>
        <v/>
      </c>
      <c r="EB108" s="161">
        <f>IF(BN108="","",IFERROR(BN108*HSI!$B$103*HSI!$G$103/HSI!$B$3,""))</f>
        <v/>
      </c>
      <c r="EC108" s="161">
        <f>IF(BO108="","",IFERROR(BO108*HSI!$B$103*HSI!$G$103/HSI!$B$3,""))</f>
        <v/>
      </c>
      <c r="EE108" s="121">
        <f>IF(N('Dvd Calendar'!$E$1067)=0,"",IF(('Dvd Calendar'!$E$1067&gt;=GRID_FROM)*('Dvd Calendar'!$E$1067&lt;=GRID_TO)*((('Dvd Calendar'!$E$1067&lt;=VAL_DATE)+(COUNTIF('Dvd Calendar'!$E$1074:$AR$1074,'Dvd Calendar'!$E$1067)=0))&gt;0)=0,"",'Dvd Calendar'!$E$1067*1000000000+ISNUMBER('Dvd Calendar'!$E$1070)*100000000+('Dvd Calendar'!$E$1072=SPECIAL_LBL)*10000000+(N('Dvd Calendar'!$E$1066)&gt;0)*(N('Dvd Calendar'!$E$1066)&lt;=VAL_SERIAL)*1000000+97*1000+1))</f>
        <v/>
      </c>
      <c r="EF108" s="121">
        <f>IF(N('Dvd Calendar'!$F$1067)=0,"",IF(('Dvd Calendar'!$F$1067&gt;=GRID_FROM)*('Dvd Calendar'!$F$1067&lt;=GRID_TO)*((('Dvd Calendar'!$F$1067&lt;=VAL_DATE)+(COUNTIF('Dvd Calendar'!$E$1074:$AR$1074,'Dvd Calendar'!$F$1067)=0))&gt;0)=0,"",'Dvd Calendar'!$F$1067*1000000000+ISNUMBER('Dvd Calendar'!$F$1070)*100000000+('Dvd Calendar'!$F$1072=SPECIAL_LBL)*10000000+(N('Dvd Calendar'!$F$1066)&gt;0)*(N('Dvd Calendar'!$F$1066)&lt;=VAL_SERIAL)*1000000+97*1000+2))</f>
        <v/>
      </c>
      <c r="EG108" s="121">
        <f>IF(N('Dvd Calendar'!$G$1067)=0,"",IF(('Dvd Calendar'!$G$1067&gt;=GRID_FROM)*('Dvd Calendar'!$G$1067&lt;=GRID_TO)*((('Dvd Calendar'!$G$1067&lt;=VAL_DATE)+(COUNTIF('Dvd Calendar'!$E$1074:$AR$1074,'Dvd Calendar'!$G$1067)=0))&gt;0)=0,"",'Dvd Calendar'!$G$1067*1000000000+ISNUMBER('Dvd Calendar'!$G$1070)*100000000+('Dvd Calendar'!$G$1072=SPECIAL_LBL)*10000000+(N('Dvd Calendar'!$G$1066)&gt;0)*(N('Dvd Calendar'!$G$1066)&lt;=VAL_SERIAL)*1000000+97*1000+3))</f>
        <v/>
      </c>
      <c r="EH108" s="121">
        <f>IF(N('Dvd Calendar'!$H$1067)=0,"",IF(('Dvd Calendar'!$H$1067&gt;=GRID_FROM)*('Dvd Calendar'!$H$1067&lt;=GRID_TO)*((('Dvd Calendar'!$H$1067&lt;=VAL_DATE)+(COUNTIF('Dvd Calendar'!$E$1074:$AR$1074,'Dvd Calendar'!$H$1067)=0))&gt;0)=0,"",'Dvd Calendar'!$H$1067*1000000000+ISNUMBER('Dvd Calendar'!$H$1070)*100000000+('Dvd Calendar'!$H$1072=SPECIAL_LBL)*10000000+(N('Dvd Calendar'!$H$1066)&gt;0)*(N('Dvd Calendar'!$H$1066)&lt;=VAL_SERIAL)*1000000+97*1000+4))</f>
        <v/>
      </c>
      <c r="EI108" s="121">
        <f>IF(N('Dvd Calendar'!$I$1067)=0,"",IF(('Dvd Calendar'!$I$1067&gt;=GRID_FROM)*('Dvd Calendar'!$I$1067&lt;=GRID_TO)*((('Dvd Calendar'!$I$1067&lt;=VAL_DATE)+(COUNTIF('Dvd Calendar'!$E$1074:$AR$1074,'Dvd Calendar'!$I$1067)=0))&gt;0)=0,"",'Dvd Calendar'!$I$1067*1000000000+ISNUMBER('Dvd Calendar'!$I$1070)*100000000+('Dvd Calendar'!$I$1072=SPECIAL_LBL)*10000000+(N('Dvd Calendar'!$I$1066)&gt;0)*(N('Dvd Calendar'!$I$1066)&lt;=VAL_SERIAL)*1000000+97*1000+5))</f>
        <v/>
      </c>
      <c r="EJ108" s="121">
        <f>IF(N('Dvd Calendar'!$J$1067)=0,"",IF(('Dvd Calendar'!$J$1067&gt;=GRID_FROM)*('Dvd Calendar'!$J$1067&lt;=GRID_TO)*((('Dvd Calendar'!$J$1067&lt;=VAL_DATE)+(COUNTIF('Dvd Calendar'!$E$1074:$AR$1074,'Dvd Calendar'!$J$1067)=0))&gt;0)=0,"",'Dvd Calendar'!$J$1067*1000000000+ISNUMBER('Dvd Calendar'!$J$1070)*100000000+('Dvd Calendar'!$J$1072=SPECIAL_LBL)*10000000+(N('Dvd Calendar'!$J$1066)&gt;0)*(N('Dvd Calendar'!$J$1066)&lt;=VAL_SERIAL)*1000000+97*1000+6))</f>
        <v/>
      </c>
      <c r="EK108" s="121">
        <f>IF(N('Dvd Calendar'!$K$1067)=0,"",IF(('Dvd Calendar'!$K$1067&gt;=GRID_FROM)*('Dvd Calendar'!$K$1067&lt;=GRID_TO)*((('Dvd Calendar'!$K$1067&lt;=VAL_DATE)+(COUNTIF('Dvd Calendar'!$E$1074:$AR$1074,'Dvd Calendar'!$K$1067)=0))&gt;0)=0,"",'Dvd Calendar'!$K$1067*1000000000+ISNUMBER('Dvd Calendar'!$K$1070)*100000000+('Dvd Calendar'!$K$1072=SPECIAL_LBL)*10000000+(N('Dvd Calendar'!$K$1066)&gt;0)*(N('Dvd Calendar'!$K$1066)&lt;=VAL_SERIAL)*1000000+97*1000+7))</f>
        <v/>
      </c>
      <c r="EL108" s="121">
        <f>IF(N('Dvd Calendar'!$L$1067)=0,"",IF(('Dvd Calendar'!$L$1067&gt;=GRID_FROM)*('Dvd Calendar'!$L$1067&lt;=GRID_TO)*((('Dvd Calendar'!$L$1067&lt;=VAL_DATE)+(COUNTIF('Dvd Calendar'!$E$1074:$AR$1074,'Dvd Calendar'!$L$1067)=0))&gt;0)=0,"",'Dvd Calendar'!$L$1067*1000000000+ISNUMBER('Dvd Calendar'!$L$1070)*100000000+('Dvd Calendar'!$L$1072=SPECIAL_LBL)*10000000+(N('Dvd Calendar'!$L$1066)&gt;0)*(N('Dvd Calendar'!$L$1066)&lt;=VAL_SERIAL)*1000000+97*1000+8))</f>
        <v/>
      </c>
      <c r="EM108" s="121">
        <f>IF(N('Dvd Calendar'!$M$1067)=0,"",IF(('Dvd Calendar'!$M$1067&gt;=GRID_FROM)*('Dvd Calendar'!$M$1067&lt;=GRID_TO)*((('Dvd Calendar'!$M$1067&lt;=VAL_DATE)+(COUNTIF('Dvd Calendar'!$E$1074:$AR$1074,'Dvd Calendar'!$M$1067)=0))&gt;0)=0,"",'Dvd Calendar'!$M$1067*1000000000+ISNUMBER('Dvd Calendar'!$M$1070)*100000000+('Dvd Calendar'!$M$1072=SPECIAL_LBL)*10000000+(N('Dvd Calendar'!$M$1066)&gt;0)*(N('Dvd Calendar'!$M$1066)&lt;=VAL_SERIAL)*1000000+97*1000+9))</f>
        <v/>
      </c>
      <c r="EN108" s="121">
        <f>IF(N('Dvd Calendar'!$N$1067)=0,"",IF(('Dvd Calendar'!$N$1067&gt;=GRID_FROM)*('Dvd Calendar'!$N$1067&lt;=GRID_TO)*((('Dvd Calendar'!$N$1067&lt;=VAL_DATE)+(COUNTIF('Dvd Calendar'!$E$1074:$AR$1074,'Dvd Calendar'!$N$1067)=0))&gt;0)=0,"",'Dvd Calendar'!$N$1067*1000000000+ISNUMBER('Dvd Calendar'!$N$1070)*100000000+('Dvd Calendar'!$N$1072=SPECIAL_LBL)*10000000+(N('Dvd Calendar'!$N$1066)&gt;0)*(N('Dvd Calendar'!$N$1066)&lt;=VAL_SERIAL)*1000000+97*1000+10))</f>
        <v/>
      </c>
      <c r="EO108" s="121">
        <f>IF(N('Dvd Calendar'!$O$1067)=0,"",IF(('Dvd Calendar'!$O$1067&gt;=GRID_FROM)*('Dvd Calendar'!$O$1067&lt;=GRID_TO)*((('Dvd Calendar'!$O$1067&lt;=VAL_DATE)+(COUNTIF('Dvd Calendar'!$E$1074:$AR$1074,'Dvd Calendar'!$O$1067)=0))&gt;0)=0,"",'Dvd Calendar'!$O$1067*1000000000+ISNUMBER('Dvd Calendar'!$O$1070)*100000000+('Dvd Calendar'!$O$1072=SPECIAL_LBL)*10000000+(N('Dvd Calendar'!$O$1066)&gt;0)*(N('Dvd Calendar'!$O$1066)&lt;=VAL_SERIAL)*1000000+97*1000+11))</f>
        <v/>
      </c>
      <c r="EP108" s="121">
        <f>IF(N('Dvd Calendar'!$P$1067)=0,"",IF(('Dvd Calendar'!$P$1067&gt;=GRID_FROM)*('Dvd Calendar'!$P$1067&lt;=GRID_TO)*((('Dvd Calendar'!$P$1067&lt;=VAL_DATE)+(COUNTIF('Dvd Calendar'!$E$1074:$AR$1074,'Dvd Calendar'!$P$1067)=0))&gt;0)=0,"",'Dvd Calendar'!$P$1067*1000000000+ISNUMBER('Dvd Calendar'!$P$1070)*100000000+('Dvd Calendar'!$P$1072=SPECIAL_LBL)*10000000+(N('Dvd Calendar'!$P$1066)&gt;0)*(N('Dvd Calendar'!$P$1066)&lt;=VAL_SERIAL)*1000000+97*1000+12))</f>
        <v/>
      </c>
      <c r="EQ108" s="121">
        <f>IF(N('Dvd Calendar'!$Q$1067)=0,"",IF(('Dvd Calendar'!$Q$1067&gt;=GRID_FROM)*('Dvd Calendar'!$Q$1067&lt;=GRID_TO)*((('Dvd Calendar'!$Q$1067&lt;=VAL_DATE)+(COUNTIF('Dvd Calendar'!$E$1074:$AR$1074,'Dvd Calendar'!$Q$1067)=0))&gt;0)=0,"",'Dvd Calendar'!$Q$1067*1000000000+ISNUMBER('Dvd Calendar'!$Q$1070)*100000000+('Dvd Calendar'!$Q$1072=SPECIAL_LBL)*10000000+(N('Dvd Calendar'!$Q$1066)&gt;0)*(N('Dvd Calendar'!$Q$1066)&lt;=VAL_SERIAL)*1000000+97*1000+13))</f>
        <v/>
      </c>
      <c r="ER108" s="121">
        <f>IF(N('Dvd Calendar'!$R$1067)=0,"",IF(('Dvd Calendar'!$R$1067&gt;=GRID_FROM)*('Dvd Calendar'!$R$1067&lt;=GRID_TO)*((('Dvd Calendar'!$R$1067&lt;=VAL_DATE)+(COUNTIF('Dvd Calendar'!$E$1074:$AR$1074,'Dvd Calendar'!$R$1067)=0))&gt;0)=0,"",'Dvd Calendar'!$R$1067*1000000000+ISNUMBER('Dvd Calendar'!$R$1070)*100000000+('Dvd Calendar'!$R$1072=SPECIAL_LBL)*10000000+(N('Dvd Calendar'!$R$1066)&gt;0)*(N('Dvd Calendar'!$R$1066)&lt;=VAL_SERIAL)*1000000+97*1000+14))</f>
        <v/>
      </c>
      <c r="ES108" s="121">
        <f>IF(N('Dvd Calendar'!$S$1067)=0,"",IF(('Dvd Calendar'!$S$1067&gt;=GRID_FROM)*('Dvd Calendar'!$S$1067&lt;=GRID_TO)*((('Dvd Calendar'!$S$1067&lt;=VAL_DATE)+(COUNTIF('Dvd Calendar'!$E$1074:$AR$1074,'Dvd Calendar'!$S$1067)=0))&gt;0)=0,"",'Dvd Calendar'!$S$1067*1000000000+ISNUMBER('Dvd Calendar'!$S$1070)*100000000+('Dvd Calendar'!$S$1072=SPECIAL_LBL)*10000000+(N('Dvd Calendar'!$S$1066)&gt;0)*(N('Dvd Calendar'!$S$1066)&lt;=VAL_SERIAL)*1000000+97*1000+15))</f>
        <v/>
      </c>
      <c r="ET108" s="121">
        <f>IF(N('Dvd Calendar'!$T$1067)=0,"",IF(('Dvd Calendar'!$T$1067&gt;=GRID_FROM)*('Dvd Calendar'!$T$1067&lt;=GRID_TO)*((('Dvd Calendar'!$T$1067&lt;=VAL_DATE)+(COUNTIF('Dvd Calendar'!$E$1074:$AR$1074,'Dvd Calendar'!$T$1067)=0))&gt;0)=0,"",'Dvd Calendar'!$T$1067*1000000000+ISNUMBER('Dvd Calendar'!$T$1070)*100000000+('Dvd Calendar'!$T$1072=SPECIAL_LBL)*10000000+(N('Dvd Calendar'!$T$1066)&gt;0)*(N('Dvd Calendar'!$T$1066)&lt;=VAL_SERIAL)*1000000+97*1000+16))</f>
        <v/>
      </c>
      <c r="EU108" s="121">
        <f>IF(N('Dvd Calendar'!$U$1067)=0,"",IF(('Dvd Calendar'!$U$1067&gt;=GRID_FROM)*('Dvd Calendar'!$U$1067&lt;=GRID_TO)*((('Dvd Calendar'!$U$1067&lt;=VAL_DATE)+(COUNTIF('Dvd Calendar'!$E$1074:$AR$1074,'Dvd Calendar'!$U$1067)=0))&gt;0)=0,"",'Dvd Calendar'!$U$1067*1000000000+ISNUMBER('Dvd Calendar'!$U$1070)*100000000+('Dvd Calendar'!$U$1072=SPECIAL_LBL)*10000000+(N('Dvd Calendar'!$U$1066)&gt;0)*(N('Dvd Calendar'!$U$1066)&lt;=VAL_SERIAL)*1000000+97*1000+17))</f>
        <v/>
      </c>
      <c r="EV108" s="121">
        <f>IF(N('Dvd Calendar'!$V$1067)=0,"",IF(('Dvd Calendar'!$V$1067&gt;=GRID_FROM)*('Dvd Calendar'!$V$1067&lt;=GRID_TO)*((('Dvd Calendar'!$V$1067&lt;=VAL_DATE)+(COUNTIF('Dvd Calendar'!$E$1074:$AR$1074,'Dvd Calendar'!$V$1067)=0))&gt;0)=0,"",'Dvd Calendar'!$V$1067*1000000000+ISNUMBER('Dvd Calendar'!$V$1070)*100000000+('Dvd Calendar'!$V$1072=SPECIAL_LBL)*10000000+(N('Dvd Calendar'!$V$1066)&gt;0)*(N('Dvd Calendar'!$V$1066)&lt;=VAL_SERIAL)*1000000+97*1000+18))</f>
        <v/>
      </c>
      <c r="EW108" s="121">
        <f>IF(N('Dvd Calendar'!$W$1067)=0,"",IF(('Dvd Calendar'!$W$1067&gt;=GRID_FROM)*('Dvd Calendar'!$W$1067&lt;=GRID_TO)*((('Dvd Calendar'!$W$1067&lt;=VAL_DATE)+(COUNTIF('Dvd Calendar'!$E$1074:$AR$1074,'Dvd Calendar'!$W$1067)=0))&gt;0)=0,"",'Dvd Calendar'!$W$1067*1000000000+ISNUMBER('Dvd Calendar'!$W$1070)*100000000+('Dvd Calendar'!$W$1072=SPECIAL_LBL)*10000000+(N('Dvd Calendar'!$W$1066)&gt;0)*(N('Dvd Calendar'!$W$1066)&lt;=VAL_SERIAL)*1000000+97*1000+19))</f>
        <v/>
      </c>
      <c r="EX108" s="121">
        <f>IF(N('Dvd Calendar'!$X$1067)=0,"",IF(('Dvd Calendar'!$X$1067&gt;=GRID_FROM)*('Dvd Calendar'!$X$1067&lt;=GRID_TO)*((('Dvd Calendar'!$X$1067&lt;=VAL_DATE)+(COUNTIF('Dvd Calendar'!$E$1074:$AR$1074,'Dvd Calendar'!$X$1067)=0))&gt;0)=0,"",'Dvd Calendar'!$X$1067*1000000000+ISNUMBER('Dvd Calendar'!$X$1070)*100000000+('Dvd Calendar'!$X$1072=SPECIAL_LBL)*10000000+(N('Dvd Calendar'!$X$1066)&gt;0)*(N('Dvd Calendar'!$X$1066)&lt;=VAL_SERIAL)*1000000+97*1000+20))</f>
        <v/>
      </c>
      <c r="EY108" s="121">
        <f>IF(N('Dvd Calendar'!$Y$1067)=0,"",IF(('Dvd Calendar'!$Y$1067&gt;=GRID_FROM)*('Dvd Calendar'!$Y$1067&lt;=GRID_TO)*((('Dvd Calendar'!$Y$1067&lt;=VAL_DATE)+(COUNTIF('Dvd Calendar'!$E$1074:$AR$1074,'Dvd Calendar'!$Y$1067)=0))&gt;0)=0,"",'Dvd Calendar'!$Y$1067*1000000000+ISNUMBER('Dvd Calendar'!$Y$1070)*100000000+('Dvd Calendar'!$Y$1072=SPECIAL_LBL)*10000000+(N('Dvd Calendar'!$Y$1066)&gt;0)*(N('Dvd Calendar'!$Y$1066)&lt;=VAL_SERIAL)*1000000+97*1000+21))</f>
        <v/>
      </c>
      <c r="EZ108" s="121">
        <f>IF(N('Dvd Calendar'!$Z$1067)=0,"",IF(('Dvd Calendar'!$Z$1067&gt;=GRID_FROM)*('Dvd Calendar'!$Z$1067&lt;=GRID_TO)*((('Dvd Calendar'!$Z$1067&lt;=VAL_DATE)+(COUNTIF('Dvd Calendar'!$E$1074:$AR$1074,'Dvd Calendar'!$Z$1067)=0))&gt;0)=0,"",'Dvd Calendar'!$Z$1067*1000000000+ISNUMBER('Dvd Calendar'!$Z$1070)*100000000+('Dvd Calendar'!$Z$1072=SPECIAL_LBL)*10000000+(N('Dvd Calendar'!$Z$1066)&gt;0)*(N('Dvd Calendar'!$Z$1066)&lt;=VAL_SERIAL)*1000000+97*1000+22))</f>
        <v/>
      </c>
      <c r="FA108" s="121">
        <f>IF(N('Dvd Calendar'!$AA$1067)=0,"",IF(('Dvd Calendar'!$AA$1067&gt;=GRID_FROM)*('Dvd Calendar'!$AA$1067&lt;=GRID_TO)*((('Dvd Calendar'!$AA$1067&lt;=VAL_DATE)+(COUNTIF('Dvd Calendar'!$E$1074:$AR$1074,'Dvd Calendar'!$AA$1067)=0))&gt;0)=0,"",'Dvd Calendar'!$AA$1067*1000000000+ISNUMBER('Dvd Calendar'!$AA$1070)*100000000+('Dvd Calendar'!$AA$1072=SPECIAL_LBL)*10000000+(N('Dvd Calendar'!$AA$1066)&gt;0)*(N('Dvd Calendar'!$AA$1066)&lt;=VAL_SERIAL)*1000000+97*1000+23))</f>
        <v/>
      </c>
      <c r="FB108" s="121">
        <f>IF(N('Dvd Calendar'!$AB$1067)=0,"",IF(('Dvd Calendar'!$AB$1067&gt;=GRID_FROM)*('Dvd Calendar'!$AB$1067&lt;=GRID_TO)*((('Dvd Calendar'!$AB$1067&lt;=VAL_DATE)+(COUNTIF('Dvd Calendar'!$E$1074:$AR$1074,'Dvd Calendar'!$AB$1067)=0))&gt;0)=0,"",'Dvd Calendar'!$AB$1067*1000000000+ISNUMBER('Dvd Calendar'!$AB$1070)*100000000+('Dvd Calendar'!$AB$1072=SPECIAL_LBL)*10000000+(N('Dvd Calendar'!$AB$1066)&gt;0)*(N('Dvd Calendar'!$AB$1066)&lt;=VAL_SERIAL)*1000000+97*1000+24))</f>
        <v/>
      </c>
      <c r="FC108" s="121">
        <f>IF(N('Dvd Calendar'!$AC$1067)=0,"",IF(('Dvd Calendar'!$AC$1067&gt;=GRID_FROM)*('Dvd Calendar'!$AC$1067&lt;=GRID_TO)*((('Dvd Calendar'!$AC$1067&lt;=VAL_DATE)+(COUNTIF('Dvd Calendar'!$E$1074:$AR$1074,'Dvd Calendar'!$AC$1067)=0))&gt;0)=0,"",'Dvd Calendar'!$AC$1067*1000000000+ISNUMBER('Dvd Calendar'!$AC$1070)*100000000+('Dvd Calendar'!$AC$1072=SPECIAL_LBL)*10000000+(N('Dvd Calendar'!$AC$1066)&gt;0)*(N('Dvd Calendar'!$AC$1066)&lt;=VAL_SERIAL)*1000000+97*1000+25))</f>
        <v/>
      </c>
      <c r="FD108" s="121">
        <f>IF(N('Dvd Calendar'!$AD$1067)=0,"",IF(('Dvd Calendar'!$AD$1067&gt;=GRID_FROM)*('Dvd Calendar'!$AD$1067&lt;=GRID_TO)*((('Dvd Calendar'!$AD$1067&lt;=VAL_DATE)+(COUNTIF('Dvd Calendar'!$E$1074:$AR$1074,'Dvd Calendar'!$AD$1067)=0))&gt;0)=0,"",'Dvd Calendar'!$AD$1067*1000000000+ISNUMBER('Dvd Calendar'!$AD$1070)*100000000+('Dvd Calendar'!$AD$1072=SPECIAL_LBL)*10000000+(N('Dvd Calendar'!$AD$1066)&gt;0)*(N('Dvd Calendar'!$AD$1066)&lt;=VAL_SERIAL)*1000000+97*1000+26))</f>
        <v/>
      </c>
      <c r="FE108" s="121">
        <f>IF(N('Dvd Calendar'!$AE$1067)=0,"",IF(('Dvd Calendar'!$AE$1067&gt;=GRID_FROM)*('Dvd Calendar'!$AE$1067&lt;=GRID_TO)*((('Dvd Calendar'!$AE$1067&lt;=VAL_DATE)+(COUNTIF('Dvd Calendar'!$E$1074:$AR$1074,'Dvd Calendar'!$AE$1067)=0))&gt;0)=0,"",'Dvd Calendar'!$AE$1067*1000000000+ISNUMBER('Dvd Calendar'!$AE$1070)*100000000+('Dvd Calendar'!$AE$1072=SPECIAL_LBL)*10000000+(N('Dvd Calendar'!$AE$1066)&gt;0)*(N('Dvd Calendar'!$AE$1066)&lt;=VAL_SERIAL)*1000000+97*1000+27))</f>
        <v/>
      </c>
      <c r="FF108" s="121">
        <f>IF(N('Dvd Calendar'!$AF$1067)=0,"",IF(('Dvd Calendar'!$AF$1067&gt;=GRID_FROM)*('Dvd Calendar'!$AF$1067&lt;=GRID_TO)*((('Dvd Calendar'!$AF$1067&lt;=VAL_DATE)+(COUNTIF('Dvd Calendar'!$E$1074:$AR$1074,'Dvd Calendar'!$AF$1067)=0))&gt;0)=0,"",'Dvd Calendar'!$AF$1067*1000000000+ISNUMBER('Dvd Calendar'!$AF$1070)*100000000+('Dvd Calendar'!$AF$1072=SPECIAL_LBL)*10000000+(N('Dvd Calendar'!$AF$1066)&gt;0)*(N('Dvd Calendar'!$AF$1066)&lt;=VAL_SERIAL)*1000000+97*1000+28))</f>
        <v/>
      </c>
      <c r="FG108" s="121">
        <f>IF(N('Dvd Calendar'!$AG$1067)=0,"",IF(('Dvd Calendar'!$AG$1067&gt;=GRID_FROM)*('Dvd Calendar'!$AG$1067&lt;=GRID_TO)*((('Dvd Calendar'!$AG$1067&lt;=VAL_DATE)+(COUNTIF('Dvd Calendar'!$E$1074:$AR$1074,'Dvd Calendar'!$AG$1067)=0))&gt;0)=0,"",'Dvd Calendar'!$AG$1067*1000000000+ISNUMBER('Dvd Calendar'!$AG$1070)*100000000+('Dvd Calendar'!$AG$1072=SPECIAL_LBL)*10000000+(N('Dvd Calendar'!$AG$1066)&gt;0)*(N('Dvd Calendar'!$AG$1066)&lt;=VAL_SERIAL)*1000000+97*1000+29))</f>
        <v/>
      </c>
      <c r="FH108" s="121">
        <f>IF(N('Dvd Calendar'!$AH$1067)=0,"",IF(('Dvd Calendar'!$AH$1067&gt;=GRID_FROM)*('Dvd Calendar'!$AH$1067&lt;=GRID_TO)*((('Dvd Calendar'!$AH$1067&lt;=VAL_DATE)+(COUNTIF('Dvd Calendar'!$E$1074:$AR$1074,'Dvd Calendar'!$AH$1067)=0))&gt;0)=0,"",'Dvd Calendar'!$AH$1067*1000000000+ISNUMBER('Dvd Calendar'!$AH$1070)*100000000+('Dvd Calendar'!$AH$1072=SPECIAL_LBL)*10000000+(N('Dvd Calendar'!$AH$1066)&gt;0)*(N('Dvd Calendar'!$AH$1066)&lt;=VAL_SERIAL)*1000000+97*1000+30))</f>
        <v/>
      </c>
      <c r="FI108" s="121">
        <f>IF(N('Dvd Calendar'!$AI$1067)=0,"",IF(('Dvd Calendar'!$AI$1067&gt;=GRID_FROM)*('Dvd Calendar'!$AI$1067&lt;=GRID_TO)*((('Dvd Calendar'!$AI$1067&lt;=VAL_DATE)+(COUNTIF('Dvd Calendar'!$E$1074:$AR$1074,'Dvd Calendar'!$AI$1067)=0))&gt;0)=0,"",'Dvd Calendar'!$AI$1067*1000000000+ISNUMBER('Dvd Calendar'!$AI$1070)*100000000+('Dvd Calendar'!$AI$1072=SPECIAL_LBL)*10000000+(N('Dvd Calendar'!$AI$1066)&gt;0)*(N('Dvd Calendar'!$AI$1066)&lt;=VAL_SERIAL)*1000000+97*1000+31))</f>
        <v/>
      </c>
      <c r="FJ108" s="121">
        <f>IF(N('Dvd Calendar'!$AJ$1067)=0,"",IF(('Dvd Calendar'!$AJ$1067&gt;=GRID_FROM)*('Dvd Calendar'!$AJ$1067&lt;=GRID_TO)*((('Dvd Calendar'!$AJ$1067&lt;=VAL_DATE)+(COUNTIF('Dvd Calendar'!$E$1074:$AR$1074,'Dvd Calendar'!$AJ$1067)=0))&gt;0)=0,"",'Dvd Calendar'!$AJ$1067*1000000000+ISNUMBER('Dvd Calendar'!$AJ$1070)*100000000+('Dvd Calendar'!$AJ$1072=SPECIAL_LBL)*10000000+(N('Dvd Calendar'!$AJ$1066)&gt;0)*(N('Dvd Calendar'!$AJ$1066)&lt;=VAL_SERIAL)*1000000+97*1000+32))</f>
        <v/>
      </c>
      <c r="FK108" s="121">
        <f>IF(N('Dvd Calendar'!$AK$1067)=0,"",IF(('Dvd Calendar'!$AK$1067&gt;=GRID_FROM)*('Dvd Calendar'!$AK$1067&lt;=GRID_TO)*((('Dvd Calendar'!$AK$1067&lt;=VAL_DATE)+(COUNTIF('Dvd Calendar'!$E$1074:$AR$1074,'Dvd Calendar'!$AK$1067)=0))&gt;0)=0,"",'Dvd Calendar'!$AK$1067*1000000000+ISNUMBER('Dvd Calendar'!$AK$1070)*100000000+('Dvd Calendar'!$AK$1072=SPECIAL_LBL)*10000000+(N('Dvd Calendar'!$AK$1066)&gt;0)*(N('Dvd Calendar'!$AK$1066)&lt;=VAL_SERIAL)*1000000+97*1000+33))</f>
        <v/>
      </c>
      <c r="FL108" s="121">
        <f>IF(N('Dvd Calendar'!$AL$1067)=0,"",IF(('Dvd Calendar'!$AL$1067&gt;=GRID_FROM)*('Dvd Calendar'!$AL$1067&lt;=GRID_TO)*((('Dvd Calendar'!$AL$1067&lt;=VAL_DATE)+(COUNTIF('Dvd Calendar'!$E$1074:$AR$1074,'Dvd Calendar'!$AL$1067)=0))&gt;0)=0,"",'Dvd Calendar'!$AL$1067*1000000000+ISNUMBER('Dvd Calendar'!$AL$1070)*100000000+('Dvd Calendar'!$AL$1072=SPECIAL_LBL)*10000000+(N('Dvd Calendar'!$AL$1066)&gt;0)*(N('Dvd Calendar'!$AL$1066)&lt;=VAL_SERIAL)*1000000+97*1000+34))</f>
        <v/>
      </c>
      <c r="FM108" s="121">
        <f>IF(N('Dvd Calendar'!$AM$1067)=0,"",IF(('Dvd Calendar'!$AM$1067&gt;=GRID_FROM)*('Dvd Calendar'!$AM$1067&lt;=GRID_TO)*((('Dvd Calendar'!$AM$1067&lt;=VAL_DATE)+(COUNTIF('Dvd Calendar'!$E$1074:$AR$1074,'Dvd Calendar'!$AM$1067)=0))&gt;0)=0,"",'Dvd Calendar'!$AM$1067*1000000000+ISNUMBER('Dvd Calendar'!$AM$1070)*100000000+('Dvd Calendar'!$AM$1072=SPECIAL_LBL)*10000000+(N('Dvd Calendar'!$AM$1066)&gt;0)*(N('Dvd Calendar'!$AM$1066)&lt;=VAL_SERIAL)*1000000+97*1000+35))</f>
        <v/>
      </c>
      <c r="FN108" s="121">
        <f>IF(N('Dvd Calendar'!$AN$1067)=0,"",IF(('Dvd Calendar'!$AN$1067&gt;=GRID_FROM)*('Dvd Calendar'!$AN$1067&lt;=GRID_TO)*((('Dvd Calendar'!$AN$1067&lt;=VAL_DATE)+(COUNTIF('Dvd Calendar'!$E$1074:$AR$1074,'Dvd Calendar'!$AN$1067)=0))&gt;0)=0,"",'Dvd Calendar'!$AN$1067*1000000000+ISNUMBER('Dvd Calendar'!$AN$1070)*100000000+('Dvd Calendar'!$AN$1072=SPECIAL_LBL)*10000000+(N('Dvd Calendar'!$AN$1066)&gt;0)*(N('Dvd Calendar'!$AN$1066)&lt;=VAL_SERIAL)*1000000+97*1000+36))</f>
        <v/>
      </c>
      <c r="FO108" s="121">
        <f>IF(N('Dvd Calendar'!$AO$1067)=0,"",IF(('Dvd Calendar'!$AO$1067&gt;=GRID_FROM)*('Dvd Calendar'!$AO$1067&lt;=GRID_TO)*((('Dvd Calendar'!$AO$1067&lt;=VAL_DATE)+(COUNTIF('Dvd Calendar'!$E$1074:$AR$1074,'Dvd Calendar'!$AO$1067)=0))&gt;0)=0,"",'Dvd Calendar'!$AO$1067*1000000000+ISNUMBER('Dvd Calendar'!$AO$1070)*100000000+('Dvd Calendar'!$AO$1072=SPECIAL_LBL)*10000000+(N('Dvd Calendar'!$AO$1066)&gt;0)*(N('Dvd Calendar'!$AO$1066)&lt;=VAL_SERIAL)*1000000+97*1000+37))</f>
        <v/>
      </c>
      <c r="FP108" s="121">
        <f>IF(N('Dvd Calendar'!$AP$1067)=0,"",IF(('Dvd Calendar'!$AP$1067&gt;=GRID_FROM)*('Dvd Calendar'!$AP$1067&lt;=GRID_TO)*((('Dvd Calendar'!$AP$1067&lt;=VAL_DATE)+(COUNTIF('Dvd Calendar'!$E$1074:$AR$1074,'Dvd Calendar'!$AP$1067)=0))&gt;0)=0,"",'Dvd Calendar'!$AP$1067*1000000000+ISNUMBER('Dvd Calendar'!$AP$1070)*100000000+('Dvd Calendar'!$AP$1072=SPECIAL_LBL)*10000000+(N('Dvd Calendar'!$AP$1066)&gt;0)*(N('Dvd Calendar'!$AP$1066)&lt;=VAL_SERIAL)*1000000+97*1000+38))</f>
        <v/>
      </c>
      <c r="FQ108" s="121">
        <f>IF(N('Dvd Calendar'!$AQ$1067)=0,"",IF(('Dvd Calendar'!$AQ$1067&gt;=GRID_FROM)*('Dvd Calendar'!$AQ$1067&lt;=GRID_TO)*((('Dvd Calendar'!$AQ$1067&lt;=VAL_DATE)+(COUNTIF('Dvd Calendar'!$E$1074:$AR$1074,'Dvd Calendar'!$AQ$1067)=0))&gt;0)=0,"",'Dvd Calendar'!$AQ$1067*1000000000+ISNUMBER('Dvd Calendar'!$AQ$1070)*100000000+('Dvd Calendar'!$AQ$1072=SPECIAL_LBL)*10000000+(N('Dvd Calendar'!$AQ$1066)&gt;0)*(N('Dvd Calendar'!$AQ$1066)&lt;=VAL_SERIAL)*1000000+97*1000+39))</f>
        <v/>
      </c>
      <c r="FR108" s="121">
        <f>IF(N('Dvd Calendar'!$AR$1067)=0,"",IF(('Dvd Calendar'!$AR$1067&gt;=GRID_FROM)*('Dvd Calendar'!$AR$1067&lt;=GRID_TO)*((('Dvd Calendar'!$AR$1067&lt;=VAL_DATE)+(COUNTIF('Dvd Calendar'!$E$1074:$AR$1074,'Dvd Calendar'!$AR$1067)=0))&gt;0)=0,"",'Dvd Calendar'!$AR$1067*1000000000+ISNUMBER('Dvd Calendar'!$AR$1070)*100000000+('Dvd Calendar'!$AR$1072=SPECIAL_LBL)*10000000+(N('Dvd Calendar'!$AR$1066)&gt;0)*(N('Dvd Calendar'!$AR$1066)&lt;=VAL_SERIAL)*1000000+97*1000+40))</f>
        <v/>
      </c>
      <c r="FS108" s="121">
        <f>IF(N('Dvd Calendar'!$E$1074)=0,"",IF(('Dvd Calendar'!$E$1074&gt;=GRID_FROM)*('Dvd Calendar'!$E$1074&lt;=GRID_TO)*('Dvd Calendar'!$E$1074&gt;VAL_DATE)=0,"",'Dvd Calendar'!$E$1074*1000000000+ISNUMBER('Dvd Calendar'!$E$1075)*100000000+0*10000000+(N('Dvd Calendar'!$E$1073)&gt;0)*(N('Dvd Calendar'!$E$1073)&lt;=VAL_SERIAL)*1000000+97*1000+41))</f>
        <v/>
      </c>
      <c r="FT108" s="121">
        <f>IF(N('Dvd Calendar'!$F$1074)=0,"",IF(('Dvd Calendar'!$F$1074&gt;=GRID_FROM)*('Dvd Calendar'!$F$1074&lt;=GRID_TO)*('Dvd Calendar'!$F$1074&gt;VAL_DATE)=0,"",'Dvd Calendar'!$F$1074*1000000000+ISNUMBER('Dvd Calendar'!$F$1075)*100000000+0*10000000+(N('Dvd Calendar'!$F$1073)&gt;0)*(N('Dvd Calendar'!$F$1073)&lt;=VAL_SERIAL)*1000000+97*1000+42))</f>
        <v/>
      </c>
      <c r="FU108" s="121">
        <f>IF(N('Dvd Calendar'!$G$1074)=0,"",IF(('Dvd Calendar'!$G$1074&gt;=GRID_FROM)*('Dvd Calendar'!$G$1074&lt;=GRID_TO)*('Dvd Calendar'!$G$1074&gt;VAL_DATE)=0,"",'Dvd Calendar'!$G$1074*1000000000+ISNUMBER('Dvd Calendar'!$G$1075)*100000000+0*10000000+(N('Dvd Calendar'!$G$1073)&gt;0)*(N('Dvd Calendar'!$G$1073)&lt;=VAL_SERIAL)*1000000+97*1000+43))</f>
        <v/>
      </c>
      <c r="FV108" s="121">
        <f>IF(N('Dvd Calendar'!$H$1074)=0,"",IF(('Dvd Calendar'!$H$1074&gt;=GRID_FROM)*('Dvd Calendar'!$H$1074&lt;=GRID_TO)*('Dvd Calendar'!$H$1074&gt;VAL_DATE)=0,"",'Dvd Calendar'!$H$1074*1000000000+ISNUMBER('Dvd Calendar'!$H$1075)*100000000+0*10000000+(N('Dvd Calendar'!$H$1073)&gt;0)*(N('Dvd Calendar'!$H$1073)&lt;=VAL_SERIAL)*1000000+97*1000+44))</f>
        <v/>
      </c>
      <c r="FW108" s="121">
        <f>IF(N('Dvd Calendar'!$I$1074)=0,"",IF(('Dvd Calendar'!$I$1074&gt;=GRID_FROM)*('Dvd Calendar'!$I$1074&lt;=GRID_TO)*('Dvd Calendar'!$I$1074&gt;VAL_DATE)=0,"",'Dvd Calendar'!$I$1074*1000000000+ISNUMBER('Dvd Calendar'!$I$1075)*100000000+0*10000000+(N('Dvd Calendar'!$I$1073)&gt;0)*(N('Dvd Calendar'!$I$1073)&lt;=VAL_SERIAL)*1000000+97*1000+45))</f>
        <v/>
      </c>
      <c r="FX108" s="121">
        <f>IF(N('Dvd Calendar'!$J$1074)=0,"",IF(('Dvd Calendar'!$J$1074&gt;=GRID_FROM)*('Dvd Calendar'!$J$1074&lt;=GRID_TO)*('Dvd Calendar'!$J$1074&gt;VAL_DATE)=0,"",'Dvd Calendar'!$J$1074*1000000000+ISNUMBER('Dvd Calendar'!$J$1075)*100000000+0*10000000+(N('Dvd Calendar'!$J$1073)&gt;0)*(N('Dvd Calendar'!$J$1073)&lt;=VAL_SERIAL)*1000000+97*1000+46))</f>
        <v/>
      </c>
      <c r="FY108" s="121">
        <f>IF(N('Dvd Calendar'!$K$1074)=0,"",IF(('Dvd Calendar'!$K$1074&gt;=GRID_FROM)*('Dvd Calendar'!$K$1074&lt;=GRID_TO)*('Dvd Calendar'!$K$1074&gt;VAL_DATE)=0,"",'Dvd Calendar'!$K$1074*1000000000+ISNUMBER('Dvd Calendar'!$K$1075)*100000000+0*10000000+(N('Dvd Calendar'!$K$1073)&gt;0)*(N('Dvd Calendar'!$K$1073)&lt;=VAL_SERIAL)*1000000+97*1000+47))</f>
        <v/>
      </c>
      <c r="FZ108" s="121">
        <f>IF(N('Dvd Calendar'!$L$1074)=0,"",IF(('Dvd Calendar'!$L$1074&gt;=GRID_FROM)*('Dvd Calendar'!$L$1074&lt;=GRID_TO)*('Dvd Calendar'!$L$1074&gt;VAL_DATE)=0,"",'Dvd Calendar'!$L$1074*1000000000+ISNUMBER('Dvd Calendar'!$L$1075)*100000000+0*10000000+(N('Dvd Calendar'!$L$1073)&gt;0)*(N('Dvd Calendar'!$L$1073)&lt;=VAL_SERIAL)*1000000+97*1000+48))</f>
        <v/>
      </c>
      <c r="GA108" s="121">
        <f>IF(N('Dvd Calendar'!$M$1074)=0,"",IF(('Dvd Calendar'!$M$1074&gt;=GRID_FROM)*('Dvd Calendar'!$M$1074&lt;=GRID_TO)*('Dvd Calendar'!$M$1074&gt;VAL_DATE)=0,"",'Dvd Calendar'!$M$1074*1000000000+ISNUMBER('Dvd Calendar'!$M$1075)*100000000+0*10000000+(N('Dvd Calendar'!$M$1073)&gt;0)*(N('Dvd Calendar'!$M$1073)&lt;=VAL_SERIAL)*1000000+97*1000+49))</f>
        <v/>
      </c>
      <c r="GB108" s="121">
        <f>IF(N('Dvd Calendar'!$N$1074)=0,"",IF(('Dvd Calendar'!$N$1074&gt;=GRID_FROM)*('Dvd Calendar'!$N$1074&lt;=GRID_TO)*('Dvd Calendar'!$N$1074&gt;VAL_DATE)=0,"",'Dvd Calendar'!$N$1074*1000000000+ISNUMBER('Dvd Calendar'!$N$1075)*100000000+0*10000000+(N('Dvd Calendar'!$N$1073)&gt;0)*(N('Dvd Calendar'!$N$1073)&lt;=VAL_SERIAL)*1000000+97*1000+50))</f>
        <v/>
      </c>
      <c r="GC108" s="121">
        <f>IF(N('Dvd Calendar'!$O$1074)=0,"",IF(('Dvd Calendar'!$O$1074&gt;=GRID_FROM)*('Dvd Calendar'!$O$1074&lt;=GRID_TO)*('Dvd Calendar'!$O$1074&gt;VAL_DATE)=0,"",'Dvd Calendar'!$O$1074*1000000000+ISNUMBER('Dvd Calendar'!$O$1075)*100000000+0*10000000+(N('Dvd Calendar'!$O$1073)&gt;0)*(N('Dvd Calendar'!$O$1073)&lt;=VAL_SERIAL)*1000000+97*1000+51))</f>
        <v/>
      </c>
      <c r="GD108" s="121">
        <f>IF(N('Dvd Calendar'!$P$1074)=0,"",IF(('Dvd Calendar'!$P$1074&gt;=GRID_FROM)*('Dvd Calendar'!$P$1074&lt;=GRID_TO)*('Dvd Calendar'!$P$1074&gt;VAL_DATE)=0,"",'Dvd Calendar'!$P$1074*1000000000+ISNUMBER('Dvd Calendar'!$P$1075)*100000000+0*10000000+(N('Dvd Calendar'!$P$1073)&gt;0)*(N('Dvd Calendar'!$P$1073)&lt;=VAL_SERIAL)*1000000+97*1000+52))</f>
        <v/>
      </c>
      <c r="GE108" s="121">
        <f>IF(N('Dvd Calendar'!$Q$1074)=0,"",IF(('Dvd Calendar'!$Q$1074&gt;=GRID_FROM)*('Dvd Calendar'!$Q$1074&lt;=GRID_TO)*('Dvd Calendar'!$Q$1074&gt;VAL_DATE)=0,"",'Dvd Calendar'!$Q$1074*1000000000+ISNUMBER('Dvd Calendar'!$Q$1075)*100000000+0*10000000+(N('Dvd Calendar'!$Q$1073)&gt;0)*(N('Dvd Calendar'!$Q$1073)&lt;=VAL_SERIAL)*1000000+97*1000+53))</f>
        <v/>
      </c>
      <c r="GF108" s="121">
        <f>IF(N('Dvd Calendar'!$R$1074)=0,"",IF(('Dvd Calendar'!$R$1074&gt;=GRID_FROM)*('Dvd Calendar'!$R$1074&lt;=GRID_TO)*('Dvd Calendar'!$R$1074&gt;VAL_DATE)=0,"",'Dvd Calendar'!$R$1074*1000000000+ISNUMBER('Dvd Calendar'!$R$1075)*100000000+0*10000000+(N('Dvd Calendar'!$R$1073)&gt;0)*(N('Dvd Calendar'!$R$1073)&lt;=VAL_SERIAL)*1000000+97*1000+54))</f>
        <v/>
      </c>
      <c r="GG108" s="121">
        <f>IF(N('Dvd Calendar'!$S$1074)=0,"",IF(('Dvd Calendar'!$S$1074&gt;=GRID_FROM)*('Dvd Calendar'!$S$1074&lt;=GRID_TO)*('Dvd Calendar'!$S$1074&gt;VAL_DATE)=0,"",'Dvd Calendar'!$S$1074*1000000000+ISNUMBER('Dvd Calendar'!$S$1075)*100000000+0*10000000+(N('Dvd Calendar'!$S$1073)&gt;0)*(N('Dvd Calendar'!$S$1073)&lt;=VAL_SERIAL)*1000000+97*1000+55))</f>
        <v/>
      </c>
      <c r="GH108" s="121">
        <f>IF(N('Dvd Calendar'!$T$1074)=0,"",IF(('Dvd Calendar'!$T$1074&gt;=GRID_FROM)*('Dvd Calendar'!$T$1074&lt;=GRID_TO)*('Dvd Calendar'!$T$1074&gt;VAL_DATE)=0,"",'Dvd Calendar'!$T$1074*1000000000+ISNUMBER('Dvd Calendar'!$T$1075)*100000000+0*10000000+(N('Dvd Calendar'!$T$1073)&gt;0)*(N('Dvd Calendar'!$T$1073)&lt;=VAL_SERIAL)*1000000+97*1000+56))</f>
        <v/>
      </c>
      <c r="GI108" s="121">
        <f>IF(N('Dvd Calendar'!$U$1074)=0,"",IF(('Dvd Calendar'!$U$1074&gt;=GRID_FROM)*('Dvd Calendar'!$U$1074&lt;=GRID_TO)*('Dvd Calendar'!$U$1074&gt;VAL_DATE)=0,"",'Dvd Calendar'!$U$1074*1000000000+ISNUMBER('Dvd Calendar'!$U$1075)*100000000+0*10000000+(N('Dvd Calendar'!$U$1073)&gt;0)*(N('Dvd Calendar'!$U$1073)&lt;=VAL_SERIAL)*1000000+97*1000+57))</f>
        <v/>
      </c>
      <c r="GJ108" s="121">
        <f>IF(N('Dvd Calendar'!$V$1074)=0,"",IF(('Dvd Calendar'!$V$1074&gt;=GRID_FROM)*('Dvd Calendar'!$V$1074&lt;=GRID_TO)*('Dvd Calendar'!$V$1074&gt;VAL_DATE)=0,"",'Dvd Calendar'!$V$1074*1000000000+ISNUMBER('Dvd Calendar'!$V$1075)*100000000+0*10000000+(N('Dvd Calendar'!$V$1073)&gt;0)*(N('Dvd Calendar'!$V$1073)&lt;=VAL_SERIAL)*1000000+97*1000+58))</f>
        <v/>
      </c>
      <c r="GK108" s="121">
        <f>IF(N('Dvd Calendar'!$W$1074)=0,"",IF(('Dvd Calendar'!$W$1074&gt;=GRID_FROM)*('Dvd Calendar'!$W$1074&lt;=GRID_TO)*('Dvd Calendar'!$W$1074&gt;VAL_DATE)=0,"",'Dvd Calendar'!$W$1074*1000000000+ISNUMBER('Dvd Calendar'!$W$1075)*100000000+0*10000000+(N('Dvd Calendar'!$W$1073)&gt;0)*(N('Dvd Calendar'!$W$1073)&lt;=VAL_SERIAL)*1000000+97*1000+59))</f>
        <v/>
      </c>
      <c r="GL108" s="121">
        <f>IF(N('Dvd Calendar'!$X$1074)=0,"",IF(('Dvd Calendar'!$X$1074&gt;=GRID_FROM)*('Dvd Calendar'!$X$1074&lt;=GRID_TO)*('Dvd Calendar'!$X$1074&gt;VAL_DATE)=0,"",'Dvd Calendar'!$X$1074*1000000000+ISNUMBER('Dvd Calendar'!$X$1075)*100000000+0*10000000+(N('Dvd Calendar'!$X$1073)&gt;0)*(N('Dvd Calendar'!$X$1073)&lt;=VAL_SERIAL)*1000000+97*1000+60))</f>
        <v/>
      </c>
      <c r="GM108" s="121">
        <f>IF(N('Dvd Calendar'!$Y$1074)=0,"",IF(('Dvd Calendar'!$Y$1074&gt;=GRID_FROM)*('Dvd Calendar'!$Y$1074&lt;=GRID_TO)*('Dvd Calendar'!$Y$1074&gt;VAL_DATE)=0,"",'Dvd Calendar'!$Y$1074*1000000000+ISNUMBER('Dvd Calendar'!$Y$1075)*100000000+0*10000000+(N('Dvd Calendar'!$Y$1073)&gt;0)*(N('Dvd Calendar'!$Y$1073)&lt;=VAL_SERIAL)*1000000+97*1000+61))</f>
        <v/>
      </c>
      <c r="GN108" s="121">
        <f>IF(N('Dvd Calendar'!$Z$1074)=0,"",IF(('Dvd Calendar'!$Z$1074&gt;=GRID_FROM)*('Dvd Calendar'!$Z$1074&lt;=GRID_TO)*('Dvd Calendar'!$Z$1074&gt;VAL_DATE)=0,"",'Dvd Calendar'!$Z$1074*1000000000+ISNUMBER('Dvd Calendar'!$Z$1075)*100000000+0*10000000+(N('Dvd Calendar'!$Z$1073)&gt;0)*(N('Dvd Calendar'!$Z$1073)&lt;=VAL_SERIAL)*1000000+97*1000+62))</f>
        <v/>
      </c>
      <c r="GO108" s="121">
        <f>IF(N('Dvd Calendar'!$AA$1074)=0,"",IF(('Dvd Calendar'!$AA$1074&gt;=GRID_FROM)*('Dvd Calendar'!$AA$1074&lt;=GRID_TO)*('Dvd Calendar'!$AA$1074&gt;VAL_DATE)=0,"",'Dvd Calendar'!$AA$1074*1000000000+ISNUMBER('Dvd Calendar'!$AA$1075)*100000000+0*10000000+(N('Dvd Calendar'!$AA$1073)&gt;0)*(N('Dvd Calendar'!$AA$1073)&lt;=VAL_SERIAL)*1000000+97*1000+63))</f>
        <v/>
      </c>
      <c r="GP108" s="121">
        <f>IF(N('Dvd Calendar'!$AB$1074)=0,"",IF(('Dvd Calendar'!$AB$1074&gt;=GRID_FROM)*('Dvd Calendar'!$AB$1074&lt;=GRID_TO)*('Dvd Calendar'!$AB$1074&gt;VAL_DATE)=0,"",'Dvd Calendar'!$AB$1074*1000000000+ISNUMBER('Dvd Calendar'!$AB$1075)*100000000+0*10000000+(N('Dvd Calendar'!$AB$1073)&gt;0)*(N('Dvd Calendar'!$AB$1073)&lt;=VAL_SERIAL)*1000000+97*1000+64))</f>
        <v/>
      </c>
      <c r="GQ108" s="121">
        <f>IF(N('Dvd Calendar'!$AC$1074)=0,"",IF(('Dvd Calendar'!$AC$1074&gt;=GRID_FROM)*('Dvd Calendar'!$AC$1074&lt;=GRID_TO)*('Dvd Calendar'!$AC$1074&gt;VAL_DATE)=0,"",'Dvd Calendar'!$AC$1074*1000000000+ISNUMBER('Dvd Calendar'!$AC$1075)*100000000+0*10000000+(N('Dvd Calendar'!$AC$1073)&gt;0)*(N('Dvd Calendar'!$AC$1073)&lt;=VAL_SERIAL)*1000000+97*1000+65))</f>
        <v/>
      </c>
    </row>
    <row r="109">
      <c r="B109" s="2">
        <f>IF(HSI!$C$104="","",HSI!$C$104)</f>
        <v/>
      </c>
      <c r="C109" s="161">
        <f>IF(EE109="","",IF(ISNUMBER('Dvd Calendar'!$E$1081)=FALSE,"",IF((('Dvd Calendar'!$E$1083=TYPE1)*(TYPE1&lt;&gt;"")+('Dvd Calendar'!$E$1083=TYPE2)*(TYPE2&lt;&gt;"")+('Dvd Calendar'!$E$1083=TYPE3)*(TYPE3&lt;&gt;"")+('Dvd Calendar'!$E$1083=TYPE4)*(TYPE4&lt;&gt;"")+('Dvd Calendar'!$E$1083=SPECIAL_LBL)*(INC_SPECIALS="Y"))=0,"",'Dvd Calendar'!$E$1081)))</f>
        <v/>
      </c>
      <c r="D109" s="161">
        <f>IF(EF109="","",IF(ISNUMBER('Dvd Calendar'!$F$1081)=FALSE,"",IF((('Dvd Calendar'!$F$1083=TYPE1)*(TYPE1&lt;&gt;"")+('Dvd Calendar'!$F$1083=TYPE2)*(TYPE2&lt;&gt;"")+('Dvd Calendar'!$F$1083=TYPE3)*(TYPE3&lt;&gt;"")+('Dvd Calendar'!$F$1083=TYPE4)*(TYPE4&lt;&gt;"")+('Dvd Calendar'!$F$1083=SPECIAL_LBL)*(INC_SPECIALS="Y"))=0,"",'Dvd Calendar'!$F$1081)))</f>
        <v/>
      </c>
      <c r="E109" s="161">
        <f>IF(EG109="","",IF(ISNUMBER('Dvd Calendar'!$G$1081)=FALSE,"",IF((('Dvd Calendar'!$G$1083=TYPE1)*(TYPE1&lt;&gt;"")+('Dvd Calendar'!$G$1083=TYPE2)*(TYPE2&lt;&gt;"")+('Dvd Calendar'!$G$1083=TYPE3)*(TYPE3&lt;&gt;"")+('Dvd Calendar'!$G$1083=TYPE4)*(TYPE4&lt;&gt;"")+('Dvd Calendar'!$G$1083=SPECIAL_LBL)*(INC_SPECIALS="Y"))=0,"",'Dvd Calendar'!$G$1081)))</f>
        <v/>
      </c>
      <c r="F109" s="161">
        <f>IF(EH109="","",IF(ISNUMBER('Dvd Calendar'!$H$1081)=FALSE,"",IF((('Dvd Calendar'!$H$1083=TYPE1)*(TYPE1&lt;&gt;"")+('Dvd Calendar'!$H$1083=TYPE2)*(TYPE2&lt;&gt;"")+('Dvd Calendar'!$H$1083=TYPE3)*(TYPE3&lt;&gt;"")+('Dvd Calendar'!$H$1083=TYPE4)*(TYPE4&lt;&gt;"")+('Dvd Calendar'!$H$1083=SPECIAL_LBL)*(INC_SPECIALS="Y"))=0,"",'Dvd Calendar'!$H$1081)))</f>
        <v/>
      </c>
      <c r="G109" s="161">
        <f>IF(EI109="","",IF(ISNUMBER('Dvd Calendar'!$I$1081)=FALSE,"",IF((('Dvd Calendar'!$I$1083=TYPE1)*(TYPE1&lt;&gt;"")+('Dvd Calendar'!$I$1083=TYPE2)*(TYPE2&lt;&gt;"")+('Dvd Calendar'!$I$1083=TYPE3)*(TYPE3&lt;&gt;"")+('Dvd Calendar'!$I$1083=TYPE4)*(TYPE4&lt;&gt;"")+('Dvd Calendar'!$I$1083=SPECIAL_LBL)*(INC_SPECIALS="Y"))=0,"",'Dvd Calendar'!$I$1081)))</f>
        <v/>
      </c>
      <c r="H109" s="161">
        <f>IF(EJ109="","",IF(ISNUMBER('Dvd Calendar'!$J$1081)=FALSE,"",IF((('Dvd Calendar'!$J$1083=TYPE1)*(TYPE1&lt;&gt;"")+('Dvd Calendar'!$J$1083=TYPE2)*(TYPE2&lt;&gt;"")+('Dvd Calendar'!$J$1083=TYPE3)*(TYPE3&lt;&gt;"")+('Dvd Calendar'!$J$1083=TYPE4)*(TYPE4&lt;&gt;"")+('Dvd Calendar'!$J$1083=SPECIAL_LBL)*(INC_SPECIALS="Y"))=0,"",'Dvd Calendar'!$J$1081)))</f>
        <v/>
      </c>
      <c r="I109" s="161">
        <f>IF(EK109="","",IF(ISNUMBER('Dvd Calendar'!$K$1081)=FALSE,"",IF((('Dvd Calendar'!$K$1083=TYPE1)*(TYPE1&lt;&gt;"")+('Dvd Calendar'!$K$1083=TYPE2)*(TYPE2&lt;&gt;"")+('Dvd Calendar'!$K$1083=TYPE3)*(TYPE3&lt;&gt;"")+('Dvd Calendar'!$K$1083=TYPE4)*(TYPE4&lt;&gt;"")+('Dvd Calendar'!$K$1083=SPECIAL_LBL)*(INC_SPECIALS="Y"))=0,"",'Dvd Calendar'!$K$1081)))</f>
        <v/>
      </c>
      <c r="J109" s="161">
        <f>IF(EL109="","",IF(ISNUMBER('Dvd Calendar'!$L$1081)=FALSE,"",IF((('Dvd Calendar'!$L$1083=TYPE1)*(TYPE1&lt;&gt;"")+('Dvd Calendar'!$L$1083=TYPE2)*(TYPE2&lt;&gt;"")+('Dvd Calendar'!$L$1083=TYPE3)*(TYPE3&lt;&gt;"")+('Dvd Calendar'!$L$1083=TYPE4)*(TYPE4&lt;&gt;"")+('Dvd Calendar'!$L$1083=SPECIAL_LBL)*(INC_SPECIALS="Y"))=0,"",'Dvd Calendar'!$L$1081)))</f>
        <v/>
      </c>
      <c r="K109" s="161">
        <f>IF(EM109="","",IF(ISNUMBER('Dvd Calendar'!$M$1081)=FALSE,"",IF((('Dvd Calendar'!$M$1083=TYPE1)*(TYPE1&lt;&gt;"")+('Dvd Calendar'!$M$1083=TYPE2)*(TYPE2&lt;&gt;"")+('Dvd Calendar'!$M$1083=TYPE3)*(TYPE3&lt;&gt;"")+('Dvd Calendar'!$M$1083=TYPE4)*(TYPE4&lt;&gt;"")+('Dvd Calendar'!$M$1083=SPECIAL_LBL)*(INC_SPECIALS="Y"))=0,"",'Dvd Calendar'!$M$1081)))</f>
        <v/>
      </c>
      <c r="L109" s="161">
        <f>IF(EN109="","",IF(ISNUMBER('Dvd Calendar'!$N$1081)=FALSE,"",IF((('Dvd Calendar'!$N$1083=TYPE1)*(TYPE1&lt;&gt;"")+('Dvd Calendar'!$N$1083=TYPE2)*(TYPE2&lt;&gt;"")+('Dvd Calendar'!$N$1083=TYPE3)*(TYPE3&lt;&gt;"")+('Dvd Calendar'!$N$1083=TYPE4)*(TYPE4&lt;&gt;"")+('Dvd Calendar'!$N$1083=SPECIAL_LBL)*(INC_SPECIALS="Y"))=0,"",'Dvd Calendar'!$N$1081)))</f>
        <v/>
      </c>
      <c r="M109" s="161">
        <f>IF(EO109="","",IF(ISNUMBER('Dvd Calendar'!$O$1081)=FALSE,"",IF((('Dvd Calendar'!$O$1083=TYPE1)*(TYPE1&lt;&gt;"")+('Dvd Calendar'!$O$1083=TYPE2)*(TYPE2&lt;&gt;"")+('Dvd Calendar'!$O$1083=TYPE3)*(TYPE3&lt;&gt;"")+('Dvd Calendar'!$O$1083=TYPE4)*(TYPE4&lt;&gt;"")+('Dvd Calendar'!$O$1083=SPECIAL_LBL)*(INC_SPECIALS="Y"))=0,"",'Dvd Calendar'!$O$1081)))</f>
        <v/>
      </c>
      <c r="N109" s="161">
        <f>IF(EP109="","",IF(ISNUMBER('Dvd Calendar'!$P$1081)=FALSE,"",IF((('Dvd Calendar'!$P$1083=TYPE1)*(TYPE1&lt;&gt;"")+('Dvd Calendar'!$P$1083=TYPE2)*(TYPE2&lt;&gt;"")+('Dvd Calendar'!$P$1083=TYPE3)*(TYPE3&lt;&gt;"")+('Dvd Calendar'!$P$1083=TYPE4)*(TYPE4&lt;&gt;"")+('Dvd Calendar'!$P$1083=SPECIAL_LBL)*(INC_SPECIALS="Y"))=0,"",'Dvd Calendar'!$P$1081)))</f>
        <v/>
      </c>
      <c r="O109" s="161">
        <f>IF(EQ109="","",IF(ISNUMBER('Dvd Calendar'!$Q$1081)=FALSE,"",IF((('Dvd Calendar'!$Q$1083=TYPE1)*(TYPE1&lt;&gt;"")+('Dvd Calendar'!$Q$1083=TYPE2)*(TYPE2&lt;&gt;"")+('Dvd Calendar'!$Q$1083=TYPE3)*(TYPE3&lt;&gt;"")+('Dvd Calendar'!$Q$1083=TYPE4)*(TYPE4&lt;&gt;"")+('Dvd Calendar'!$Q$1083=SPECIAL_LBL)*(INC_SPECIALS="Y"))=0,"",'Dvd Calendar'!$Q$1081)))</f>
        <v/>
      </c>
      <c r="P109" s="161">
        <f>IF(ER109="","",IF(ISNUMBER('Dvd Calendar'!$R$1081)=FALSE,"",IF((('Dvd Calendar'!$R$1083=TYPE1)*(TYPE1&lt;&gt;"")+('Dvd Calendar'!$R$1083=TYPE2)*(TYPE2&lt;&gt;"")+('Dvd Calendar'!$R$1083=TYPE3)*(TYPE3&lt;&gt;"")+('Dvd Calendar'!$R$1083=TYPE4)*(TYPE4&lt;&gt;"")+('Dvd Calendar'!$R$1083=SPECIAL_LBL)*(INC_SPECIALS="Y"))=0,"",'Dvd Calendar'!$R$1081)))</f>
        <v/>
      </c>
      <c r="Q109" s="161">
        <f>IF(ES109="","",IF(ISNUMBER('Dvd Calendar'!$S$1081)=FALSE,"",IF((('Dvd Calendar'!$S$1083=TYPE1)*(TYPE1&lt;&gt;"")+('Dvd Calendar'!$S$1083=TYPE2)*(TYPE2&lt;&gt;"")+('Dvd Calendar'!$S$1083=TYPE3)*(TYPE3&lt;&gt;"")+('Dvd Calendar'!$S$1083=TYPE4)*(TYPE4&lt;&gt;"")+('Dvd Calendar'!$S$1083=SPECIAL_LBL)*(INC_SPECIALS="Y"))=0,"",'Dvd Calendar'!$S$1081)))</f>
        <v/>
      </c>
      <c r="R109" s="161">
        <f>IF(ET109="","",IF(ISNUMBER('Dvd Calendar'!$T$1081)=FALSE,"",IF((('Dvd Calendar'!$T$1083=TYPE1)*(TYPE1&lt;&gt;"")+('Dvd Calendar'!$T$1083=TYPE2)*(TYPE2&lt;&gt;"")+('Dvd Calendar'!$T$1083=TYPE3)*(TYPE3&lt;&gt;"")+('Dvd Calendar'!$T$1083=TYPE4)*(TYPE4&lt;&gt;"")+('Dvd Calendar'!$T$1083=SPECIAL_LBL)*(INC_SPECIALS="Y"))=0,"",'Dvd Calendar'!$T$1081)))</f>
        <v/>
      </c>
      <c r="S109" s="161">
        <f>IF(EU109="","",IF(ISNUMBER('Dvd Calendar'!$U$1081)=FALSE,"",IF((('Dvd Calendar'!$U$1083=TYPE1)*(TYPE1&lt;&gt;"")+('Dvd Calendar'!$U$1083=TYPE2)*(TYPE2&lt;&gt;"")+('Dvd Calendar'!$U$1083=TYPE3)*(TYPE3&lt;&gt;"")+('Dvd Calendar'!$U$1083=TYPE4)*(TYPE4&lt;&gt;"")+('Dvd Calendar'!$U$1083=SPECIAL_LBL)*(INC_SPECIALS="Y"))=0,"",'Dvd Calendar'!$U$1081)))</f>
        <v/>
      </c>
      <c r="T109" s="161">
        <f>IF(EV109="","",IF(ISNUMBER('Dvd Calendar'!$V$1081)=FALSE,"",IF((('Dvd Calendar'!$V$1083=TYPE1)*(TYPE1&lt;&gt;"")+('Dvd Calendar'!$V$1083=TYPE2)*(TYPE2&lt;&gt;"")+('Dvd Calendar'!$V$1083=TYPE3)*(TYPE3&lt;&gt;"")+('Dvd Calendar'!$V$1083=TYPE4)*(TYPE4&lt;&gt;"")+('Dvd Calendar'!$V$1083=SPECIAL_LBL)*(INC_SPECIALS="Y"))=0,"",'Dvd Calendar'!$V$1081)))</f>
        <v/>
      </c>
      <c r="U109" s="161">
        <f>IF(EW109="","",IF(ISNUMBER('Dvd Calendar'!$W$1081)=FALSE,"",IF((('Dvd Calendar'!$W$1083=TYPE1)*(TYPE1&lt;&gt;"")+('Dvd Calendar'!$W$1083=TYPE2)*(TYPE2&lt;&gt;"")+('Dvd Calendar'!$W$1083=TYPE3)*(TYPE3&lt;&gt;"")+('Dvd Calendar'!$W$1083=TYPE4)*(TYPE4&lt;&gt;"")+('Dvd Calendar'!$W$1083=SPECIAL_LBL)*(INC_SPECIALS="Y"))=0,"",'Dvd Calendar'!$W$1081)))</f>
        <v/>
      </c>
      <c r="V109" s="161">
        <f>IF(EX109="","",IF(ISNUMBER('Dvd Calendar'!$X$1081)=FALSE,"",IF((('Dvd Calendar'!$X$1083=TYPE1)*(TYPE1&lt;&gt;"")+('Dvd Calendar'!$X$1083=TYPE2)*(TYPE2&lt;&gt;"")+('Dvd Calendar'!$X$1083=TYPE3)*(TYPE3&lt;&gt;"")+('Dvd Calendar'!$X$1083=TYPE4)*(TYPE4&lt;&gt;"")+('Dvd Calendar'!$X$1083=SPECIAL_LBL)*(INC_SPECIALS="Y"))=0,"",'Dvd Calendar'!$X$1081)))</f>
        <v/>
      </c>
      <c r="W109" s="161">
        <f>IF(EY109="","",IF(ISNUMBER('Dvd Calendar'!$Y$1081)=FALSE,"",IF((('Dvd Calendar'!$Y$1083=TYPE1)*(TYPE1&lt;&gt;"")+('Dvd Calendar'!$Y$1083=TYPE2)*(TYPE2&lt;&gt;"")+('Dvd Calendar'!$Y$1083=TYPE3)*(TYPE3&lt;&gt;"")+('Dvd Calendar'!$Y$1083=TYPE4)*(TYPE4&lt;&gt;"")+('Dvd Calendar'!$Y$1083=SPECIAL_LBL)*(INC_SPECIALS="Y"))=0,"",'Dvd Calendar'!$Y$1081)))</f>
        <v/>
      </c>
      <c r="X109" s="161">
        <f>IF(EZ109="","",IF(ISNUMBER('Dvd Calendar'!$Z$1081)=FALSE,"",IF((('Dvd Calendar'!$Z$1083=TYPE1)*(TYPE1&lt;&gt;"")+('Dvd Calendar'!$Z$1083=TYPE2)*(TYPE2&lt;&gt;"")+('Dvd Calendar'!$Z$1083=TYPE3)*(TYPE3&lt;&gt;"")+('Dvd Calendar'!$Z$1083=TYPE4)*(TYPE4&lt;&gt;"")+('Dvd Calendar'!$Z$1083=SPECIAL_LBL)*(INC_SPECIALS="Y"))=0,"",'Dvd Calendar'!$Z$1081)))</f>
        <v/>
      </c>
      <c r="Y109" s="161">
        <f>IF(FA109="","",IF(ISNUMBER('Dvd Calendar'!$AA$1081)=FALSE,"",IF((('Dvd Calendar'!$AA$1083=TYPE1)*(TYPE1&lt;&gt;"")+('Dvd Calendar'!$AA$1083=TYPE2)*(TYPE2&lt;&gt;"")+('Dvd Calendar'!$AA$1083=TYPE3)*(TYPE3&lt;&gt;"")+('Dvd Calendar'!$AA$1083=TYPE4)*(TYPE4&lt;&gt;"")+('Dvd Calendar'!$AA$1083=SPECIAL_LBL)*(INC_SPECIALS="Y"))=0,"",'Dvd Calendar'!$AA$1081)))</f>
        <v/>
      </c>
      <c r="Z109" s="161">
        <f>IF(FB109="","",IF(ISNUMBER('Dvd Calendar'!$AB$1081)=FALSE,"",IF((('Dvd Calendar'!$AB$1083=TYPE1)*(TYPE1&lt;&gt;"")+('Dvd Calendar'!$AB$1083=TYPE2)*(TYPE2&lt;&gt;"")+('Dvd Calendar'!$AB$1083=TYPE3)*(TYPE3&lt;&gt;"")+('Dvd Calendar'!$AB$1083=TYPE4)*(TYPE4&lt;&gt;"")+('Dvd Calendar'!$AB$1083=SPECIAL_LBL)*(INC_SPECIALS="Y"))=0,"",'Dvd Calendar'!$AB$1081)))</f>
        <v/>
      </c>
      <c r="AA109" s="161">
        <f>IF(FC109="","",IF(ISNUMBER('Dvd Calendar'!$AC$1081)=FALSE,"",IF((('Dvd Calendar'!$AC$1083=TYPE1)*(TYPE1&lt;&gt;"")+('Dvd Calendar'!$AC$1083=TYPE2)*(TYPE2&lt;&gt;"")+('Dvd Calendar'!$AC$1083=TYPE3)*(TYPE3&lt;&gt;"")+('Dvd Calendar'!$AC$1083=TYPE4)*(TYPE4&lt;&gt;"")+('Dvd Calendar'!$AC$1083=SPECIAL_LBL)*(INC_SPECIALS="Y"))=0,"",'Dvd Calendar'!$AC$1081)))</f>
        <v/>
      </c>
      <c r="AB109" s="161">
        <f>IF(FD109="","",IF(ISNUMBER('Dvd Calendar'!$AD$1081)=FALSE,"",IF((('Dvd Calendar'!$AD$1083=TYPE1)*(TYPE1&lt;&gt;"")+('Dvd Calendar'!$AD$1083=TYPE2)*(TYPE2&lt;&gt;"")+('Dvd Calendar'!$AD$1083=TYPE3)*(TYPE3&lt;&gt;"")+('Dvd Calendar'!$AD$1083=TYPE4)*(TYPE4&lt;&gt;"")+('Dvd Calendar'!$AD$1083=SPECIAL_LBL)*(INC_SPECIALS="Y"))=0,"",'Dvd Calendar'!$AD$1081)))</f>
        <v/>
      </c>
      <c r="AC109" s="161">
        <f>IF(FE109="","",IF(ISNUMBER('Dvd Calendar'!$AE$1081)=FALSE,"",IF((('Dvd Calendar'!$AE$1083=TYPE1)*(TYPE1&lt;&gt;"")+('Dvd Calendar'!$AE$1083=TYPE2)*(TYPE2&lt;&gt;"")+('Dvd Calendar'!$AE$1083=TYPE3)*(TYPE3&lt;&gt;"")+('Dvd Calendar'!$AE$1083=TYPE4)*(TYPE4&lt;&gt;"")+('Dvd Calendar'!$AE$1083=SPECIAL_LBL)*(INC_SPECIALS="Y"))=0,"",'Dvd Calendar'!$AE$1081)))</f>
        <v/>
      </c>
      <c r="AD109" s="161">
        <f>IF(FF109="","",IF(ISNUMBER('Dvd Calendar'!$AF$1081)=FALSE,"",IF((('Dvd Calendar'!$AF$1083=TYPE1)*(TYPE1&lt;&gt;"")+('Dvd Calendar'!$AF$1083=TYPE2)*(TYPE2&lt;&gt;"")+('Dvd Calendar'!$AF$1083=TYPE3)*(TYPE3&lt;&gt;"")+('Dvd Calendar'!$AF$1083=TYPE4)*(TYPE4&lt;&gt;"")+('Dvd Calendar'!$AF$1083=SPECIAL_LBL)*(INC_SPECIALS="Y"))=0,"",'Dvd Calendar'!$AF$1081)))</f>
        <v/>
      </c>
      <c r="AE109" s="161">
        <f>IF(FG109="","",IF(ISNUMBER('Dvd Calendar'!$AG$1081)=FALSE,"",IF((('Dvd Calendar'!$AG$1083=TYPE1)*(TYPE1&lt;&gt;"")+('Dvd Calendar'!$AG$1083=TYPE2)*(TYPE2&lt;&gt;"")+('Dvd Calendar'!$AG$1083=TYPE3)*(TYPE3&lt;&gt;"")+('Dvd Calendar'!$AG$1083=TYPE4)*(TYPE4&lt;&gt;"")+('Dvd Calendar'!$AG$1083=SPECIAL_LBL)*(INC_SPECIALS="Y"))=0,"",'Dvd Calendar'!$AG$1081)))</f>
        <v/>
      </c>
      <c r="AF109" s="161">
        <f>IF(FH109="","",IF(ISNUMBER('Dvd Calendar'!$AH$1081)=FALSE,"",IF((('Dvd Calendar'!$AH$1083=TYPE1)*(TYPE1&lt;&gt;"")+('Dvd Calendar'!$AH$1083=TYPE2)*(TYPE2&lt;&gt;"")+('Dvd Calendar'!$AH$1083=TYPE3)*(TYPE3&lt;&gt;"")+('Dvd Calendar'!$AH$1083=TYPE4)*(TYPE4&lt;&gt;"")+('Dvd Calendar'!$AH$1083=SPECIAL_LBL)*(INC_SPECIALS="Y"))=0,"",'Dvd Calendar'!$AH$1081)))</f>
        <v/>
      </c>
      <c r="AG109" s="161">
        <f>IF(FI109="","",IF(ISNUMBER('Dvd Calendar'!$AI$1081)=FALSE,"",IF((('Dvd Calendar'!$AI$1083=TYPE1)*(TYPE1&lt;&gt;"")+('Dvd Calendar'!$AI$1083=TYPE2)*(TYPE2&lt;&gt;"")+('Dvd Calendar'!$AI$1083=TYPE3)*(TYPE3&lt;&gt;"")+('Dvd Calendar'!$AI$1083=TYPE4)*(TYPE4&lt;&gt;"")+('Dvd Calendar'!$AI$1083=SPECIAL_LBL)*(INC_SPECIALS="Y"))=0,"",'Dvd Calendar'!$AI$1081)))</f>
        <v/>
      </c>
      <c r="AH109" s="161">
        <f>IF(FJ109="","",IF(ISNUMBER('Dvd Calendar'!$AJ$1081)=FALSE,"",IF((('Dvd Calendar'!$AJ$1083=TYPE1)*(TYPE1&lt;&gt;"")+('Dvd Calendar'!$AJ$1083=TYPE2)*(TYPE2&lt;&gt;"")+('Dvd Calendar'!$AJ$1083=TYPE3)*(TYPE3&lt;&gt;"")+('Dvd Calendar'!$AJ$1083=TYPE4)*(TYPE4&lt;&gt;"")+('Dvd Calendar'!$AJ$1083=SPECIAL_LBL)*(INC_SPECIALS="Y"))=0,"",'Dvd Calendar'!$AJ$1081)))</f>
        <v/>
      </c>
      <c r="AI109" s="161">
        <f>IF(FK109="","",IF(ISNUMBER('Dvd Calendar'!$AK$1081)=FALSE,"",IF((('Dvd Calendar'!$AK$1083=TYPE1)*(TYPE1&lt;&gt;"")+('Dvd Calendar'!$AK$1083=TYPE2)*(TYPE2&lt;&gt;"")+('Dvd Calendar'!$AK$1083=TYPE3)*(TYPE3&lt;&gt;"")+('Dvd Calendar'!$AK$1083=TYPE4)*(TYPE4&lt;&gt;"")+('Dvd Calendar'!$AK$1083=SPECIAL_LBL)*(INC_SPECIALS="Y"))=0,"",'Dvd Calendar'!$AK$1081)))</f>
        <v/>
      </c>
      <c r="AJ109" s="161">
        <f>IF(FL109="","",IF(ISNUMBER('Dvd Calendar'!$AL$1081)=FALSE,"",IF((('Dvd Calendar'!$AL$1083=TYPE1)*(TYPE1&lt;&gt;"")+('Dvd Calendar'!$AL$1083=TYPE2)*(TYPE2&lt;&gt;"")+('Dvd Calendar'!$AL$1083=TYPE3)*(TYPE3&lt;&gt;"")+('Dvd Calendar'!$AL$1083=TYPE4)*(TYPE4&lt;&gt;"")+('Dvd Calendar'!$AL$1083=SPECIAL_LBL)*(INC_SPECIALS="Y"))=0,"",'Dvd Calendar'!$AL$1081)))</f>
        <v/>
      </c>
      <c r="AK109" s="161">
        <f>IF(FM109="","",IF(ISNUMBER('Dvd Calendar'!$AM$1081)=FALSE,"",IF((('Dvd Calendar'!$AM$1083=TYPE1)*(TYPE1&lt;&gt;"")+('Dvd Calendar'!$AM$1083=TYPE2)*(TYPE2&lt;&gt;"")+('Dvd Calendar'!$AM$1083=TYPE3)*(TYPE3&lt;&gt;"")+('Dvd Calendar'!$AM$1083=TYPE4)*(TYPE4&lt;&gt;"")+('Dvd Calendar'!$AM$1083=SPECIAL_LBL)*(INC_SPECIALS="Y"))=0,"",'Dvd Calendar'!$AM$1081)))</f>
        <v/>
      </c>
      <c r="AL109" s="161">
        <f>IF(FN109="","",IF(ISNUMBER('Dvd Calendar'!$AN$1081)=FALSE,"",IF((('Dvd Calendar'!$AN$1083=TYPE1)*(TYPE1&lt;&gt;"")+('Dvd Calendar'!$AN$1083=TYPE2)*(TYPE2&lt;&gt;"")+('Dvd Calendar'!$AN$1083=TYPE3)*(TYPE3&lt;&gt;"")+('Dvd Calendar'!$AN$1083=TYPE4)*(TYPE4&lt;&gt;"")+('Dvd Calendar'!$AN$1083=SPECIAL_LBL)*(INC_SPECIALS="Y"))=0,"",'Dvd Calendar'!$AN$1081)))</f>
        <v/>
      </c>
      <c r="AM109" s="161">
        <f>IF(FO109="","",IF(ISNUMBER('Dvd Calendar'!$AO$1081)=FALSE,"",IF((('Dvd Calendar'!$AO$1083=TYPE1)*(TYPE1&lt;&gt;"")+('Dvd Calendar'!$AO$1083=TYPE2)*(TYPE2&lt;&gt;"")+('Dvd Calendar'!$AO$1083=TYPE3)*(TYPE3&lt;&gt;"")+('Dvd Calendar'!$AO$1083=TYPE4)*(TYPE4&lt;&gt;"")+('Dvd Calendar'!$AO$1083=SPECIAL_LBL)*(INC_SPECIALS="Y"))=0,"",'Dvd Calendar'!$AO$1081)))</f>
        <v/>
      </c>
      <c r="AN109" s="161">
        <f>IF(FP109="","",IF(ISNUMBER('Dvd Calendar'!$AP$1081)=FALSE,"",IF((('Dvd Calendar'!$AP$1083=TYPE1)*(TYPE1&lt;&gt;"")+('Dvd Calendar'!$AP$1083=TYPE2)*(TYPE2&lt;&gt;"")+('Dvd Calendar'!$AP$1083=TYPE3)*(TYPE3&lt;&gt;"")+('Dvd Calendar'!$AP$1083=TYPE4)*(TYPE4&lt;&gt;"")+('Dvd Calendar'!$AP$1083=SPECIAL_LBL)*(INC_SPECIALS="Y"))=0,"",'Dvd Calendar'!$AP$1081)))</f>
        <v/>
      </c>
      <c r="AO109" s="161">
        <f>IF(FQ109="","",IF(ISNUMBER('Dvd Calendar'!$AQ$1081)=FALSE,"",IF((('Dvd Calendar'!$AQ$1083=TYPE1)*(TYPE1&lt;&gt;"")+('Dvd Calendar'!$AQ$1083=TYPE2)*(TYPE2&lt;&gt;"")+('Dvd Calendar'!$AQ$1083=TYPE3)*(TYPE3&lt;&gt;"")+('Dvd Calendar'!$AQ$1083=TYPE4)*(TYPE4&lt;&gt;"")+('Dvd Calendar'!$AQ$1083=SPECIAL_LBL)*(INC_SPECIALS="Y"))=0,"",'Dvd Calendar'!$AQ$1081)))</f>
        <v/>
      </c>
      <c r="AP109" s="161">
        <f>IF(FR109="","",IF(ISNUMBER('Dvd Calendar'!$AR$1081)=FALSE,"",IF((('Dvd Calendar'!$AR$1083=TYPE1)*(TYPE1&lt;&gt;"")+('Dvd Calendar'!$AR$1083=TYPE2)*(TYPE2&lt;&gt;"")+('Dvd Calendar'!$AR$1083=TYPE3)*(TYPE3&lt;&gt;"")+('Dvd Calendar'!$AR$1083=TYPE4)*(TYPE4&lt;&gt;"")+('Dvd Calendar'!$AR$1083=SPECIAL_LBL)*(INC_SPECIALS="Y"))=0,"",'Dvd Calendar'!$AR$1081)))</f>
        <v/>
      </c>
      <c r="AQ109" s="161">
        <f>IF(FS109="","",IF(ISNUMBER('Dvd Calendar'!$E$1086)=FALSE,"",'Dvd Calendar'!$E$1086))</f>
        <v/>
      </c>
      <c r="AR109" s="161">
        <f>IF(FT109="","",IF(ISNUMBER('Dvd Calendar'!$F$1086)=FALSE,"",'Dvd Calendar'!$F$1086))</f>
        <v/>
      </c>
      <c r="AS109" s="161">
        <f>IF(FU109="","",IF(ISNUMBER('Dvd Calendar'!$G$1086)=FALSE,"",'Dvd Calendar'!$G$1086))</f>
        <v/>
      </c>
      <c r="AT109" s="161">
        <f>IF(FV109="","",IF(ISNUMBER('Dvd Calendar'!$H$1086)=FALSE,"",'Dvd Calendar'!$H$1086))</f>
        <v/>
      </c>
      <c r="AU109" s="161">
        <f>IF(FW109="","",IF(ISNUMBER('Dvd Calendar'!$I$1086)=FALSE,"",'Dvd Calendar'!$I$1086))</f>
        <v/>
      </c>
      <c r="AV109" s="161">
        <f>IF(FX109="","",IF(ISNUMBER('Dvd Calendar'!$J$1086)=FALSE,"",'Dvd Calendar'!$J$1086))</f>
        <v/>
      </c>
      <c r="AW109" s="161">
        <f>IF(FY109="","",IF(ISNUMBER('Dvd Calendar'!$K$1086)=FALSE,"",'Dvd Calendar'!$K$1086))</f>
        <v/>
      </c>
      <c r="AX109" s="161">
        <f>IF(FZ109="","",IF(ISNUMBER('Dvd Calendar'!$L$1086)=FALSE,"",'Dvd Calendar'!$L$1086))</f>
        <v/>
      </c>
      <c r="AY109" s="161">
        <f>IF(GA109="","",IF(ISNUMBER('Dvd Calendar'!$M$1086)=FALSE,"",'Dvd Calendar'!$M$1086))</f>
        <v/>
      </c>
      <c r="AZ109" s="161">
        <f>IF(GB109="","",IF(ISNUMBER('Dvd Calendar'!$N$1086)=FALSE,"",'Dvd Calendar'!$N$1086))</f>
        <v/>
      </c>
      <c r="BA109" s="161">
        <f>IF(GC109="","",IF(ISNUMBER('Dvd Calendar'!$O$1086)=FALSE,"",'Dvd Calendar'!$O$1086))</f>
        <v/>
      </c>
      <c r="BB109" s="161">
        <f>IF(GD109="","",IF(ISNUMBER('Dvd Calendar'!$P$1086)=FALSE,"",'Dvd Calendar'!$P$1086))</f>
        <v/>
      </c>
      <c r="BC109" s="161">
        <f>IF(GE109="","",IF(ISNUMBER('Dvd Calendar'!$Q$1086)=FALSE,"",'Dvd Calendar'!$Q$1086))</f>
        <v/>
      </c>
      <c r="BD109" s="161">
        <f>IF(GF109="","",IF(ISNUMBER('Dvd Calendar'!$R$1086)=FALSE,"",'Dvd Calendar'!$R$1086))</f>
        <v/>
      </c>
      <c r="BE109" s="161">
        <f>IF(GG109="","",IF(ISNUMBER('Dvd Calendar'!$S$1086)=FALSE,"",'Dvd Calendar'!$S$1086))</f>
        <v/>
      </c>
      <c r="BF109" s="161">
        <f>IF(GH109="","",IF(ISNUMBER('Dvd Calendar'!$T$1086)=FALSE,"",'Dvd Calendar'!$T$1086))</f>
        <v/>
      </c>
      <c r="BG109" s="161">
        <f>IF(GI109="","",IF(ISNUMBER('Dvd Calendar'!$U$1086)=FALSE,"",'Dvd Calendar'!$U$1086))</f>
        <v/>
      </c>
      <c r="BH109" s="161">
        <f>IF(GJ109="","",IF(ISNUMBER('Dvd Calendar'!$V$1086)=FALSE,"",'Dvd Calendar'!$V$1086))</f>
        <v/>
      </c>
      <c r="BI109" s="161">
        <f>IF(GK109="","",IF(ISNUMBER('Dvd Calendar'!$W$1086)=FALSE,"",'Dvd Calendar'!$W$1086))</f>
        <v/>
      </c>
      <c r="BJ109" s="161">
        <f>IF(GL109="","",IF(ISNUMBER('Dvd Calendar'!$X$1086)=FALSE,"",'Dvd Calendar'!$X$1086))</f>
        <v/>
      </c>
      <c r="BK109" s="161">
        <f>IF(GM109="","",IF(ISNUMBER('Dvd Calendar'!$Y$1086)=FALSE,"",'Dvd Calendar'!$Y$1086))</f>
        <v/>
      </c>
      <c r="BL109" s="161">
        <f>IF(GN109="","",IF(ISNUMBER('Dvd Calendar'!$Z$1086)=FALSE,"",'Dvd Calendar'!$Z$1086))</f>
        <v/>
      </c>
      <c r="BM109" s="161">
        <f>IF(GO109="","",IF(ISNUMBER('Dvd Calendar'!$AA$1086)=FALSE,"",'Dvd Calendar'!$AA$1086))</f>
        <v/>
      </c>
      <c r="BN109" s="161">
        <f>IF(GP109="","",IF(ISNUMBER('Dvd Calendar'!$AB$1086)=FALSE,"",'Dvd Calendar'!$AB$1086))</f>
        <v/>
      </c>
      <c r="BO109" s="161">
        <f>IF(GQ109="","",IF(ISNUMBER('Dvd Calendar'!$AC$1086)=FALSE,"",'Dvd Calendar'!$AC$1086))</f>
        <v/>
      </c>
      <c r="BQ109" s="161">
        <f>IF(C109="","",IFERROR(C109*HSI!$B$104*HSI!$G$104/HSI!$B$3,""))</f>
        <v/>
      </c>
      <c r="BR109" s="161">
        <f>IF(D109="","",IFERROR(D109*HSI!$B$104*HSI!$G$104/HSI!$B$3,""))</f>
        <v/>
      </c>
      <c r="BS109" s="161">
        <f>IF(E109="","",IFERROR(E109*HSI!$B$104*HSI!$G$104/HSI!$B$3,""))</f>
        <v/>
      </c>
      <c r="BT109" s="161">
        <f>IF(F109="","",IFERROR(F109*HSI!$B$104*HSI!$G$104/HSI!$B$3,""))</f>
        <v/>
      </c>
      <c r="BU109" s="161">
        <f>IF(G109="","",IFERROR(G109*HSI!$B$104*HSI!$G$104/HSI!$B$3,""))</f>
        <v/>
      </c>
      <c r="BV109" s="161">
        <f>IF(H109="","",IFERROR(H109*HSI!$B$104*HSI!$G$104/HSI!$B$3,""))</f>
        <v/>
      </c>
      <c r="BW109" s="161">
        <f>IF(I109="","",IFERROR(I109*HSI!$B$104*HSI!$G$104/HSI!$B$3,""))</f>
        <v/>
      </c>
      <c r="BX109" s="161">
        <f>IF(J109="","",IFERROR(J109*HSI!$B$104*HSI!$G$104/HSI!$B$3,""))</f>
        <v/>
      </c>
      <c r="BY109" s="161">
        <f>IF(K109="","",IFERROR(K109*HSI!$B$104*HSI!$G$104/HSI!$B$3,""))</f>
        <v/>
      </c>
      <c r="BZ109" s="161">
        <f>IF(L109="","",IFERROR(L109*HSI!$B$104*HSI!$G$104/HSI!$B$3,""))</f>
        <v/>
      </c>
      <c r="CA109" s="161">
        <f>IF(M109="","",IFERROR(M109*HSI!$B$104*HSI!$G$104/HSI!$B$3,""))</f>
        <v/>
      </c>
      <c r="CB109" s="161">
        <f>IF(N109="","",IFERROR(N109*HSI!$B$104*HSI!$G$104/HSI!$B$3,""))</f>
        <v/>
      </c>
      <c r="CC109" s="161">
        <f>IF(O109="","",IFERROR(O109*HSI!$B$104*HSI!$G$104/HSI!$B$3,""))</f>
        <v/>
      </c>
      <c r="CD109" s="161">
        <f>IF(P109="","",IFERROR(P109*HSI!$B$104*HSI!$G$104/HSI!$B$3,""))</f>
        <v/>
      </c>
      <c r="CE109" s="161">
        <f>IF(Q109="","",IFERROR(Q109*HSI!$B$104*HSI!$G$104/HSI!$B$3,""))</f>
        <v/>
      </c>
      <c r="CF109" s="161">
        <f>IF(R109="","",IFERROR(R109*HSI!$B$104*HSI!$G$104/HSI!$B$3,""))</f>
        <v/>
      </c>
      <c r="CG109" s="161">
        <f>IF(S109="","",IFERROR(S109*HSI!$B$104*HSI!$G$104/HSI!$B$3,""))</f>
        <v/>
      </c>
      <c r="CH109" s="161">
        <f>IF(T109="","",IFERROR(T109*HSI!$B$104*HSI!$G$104/HSI!$B$3,""))</f>
        <v/>
      </c>
      <c r="CI109" s="161">
        <f>IF(U109="","",IFERROR(U109*HSI!$B$104*HSI!$G$104/HSI!$B$3,""))</f>
        <v/>
      </c>
      <c r="CJ109" s="161">
        <f>IF(V109="","",IFERROR(V109*HSI!$B$104*HSI!$G$104/HSI!$B$3,""))</f>
        <v/>
      </c>
      <c r="CK109" s="161">
        <f>IF(W109="","",IFERROR(W109*HSI!$B$104*HSI!$G$104/HSI!$B$3,""))</f>
        <v/>
      </c>
      <c r="CL109" s="161">
        <f>IF(X109="","",IFERROR(X109*HSI!$B$104*HSI!$G$104/HSI!$B$3,""))</f>
        <v/>
      </c>
      <c r="CM109" s="161">
        <f>IF(Y109="","",IFERROR(Y109*HSI!$B$104*HSI!$G$104/HSI!$B$3,""))</f>
        <v/>
      </c>
      <c r="CN109" s="161">
        <f>IF(Z109="","",IFERROR(Z109*HSI!$B$104*HSI!$G$104/HSI!$B$3,""))</f>
        <v/>
      </c>
      <c r="CO109" s="161">
        <f>IF(AA109="","",IFERROR(AA109*HSI!$B$104*HSI!$G$104/HSI!$B$3,""))</f>
        <v/>
      </c>
      <c r="CP109" s="161">
        <f>IF(AB109="","",IFERROR(AB109*HSI!$B$104*HSI!$G$104/HSI!$B$3,""))</f>
        <v/>
      </c>
      <c r="CQ109" s="161">
        <f>IF(AC109="","",IFERROR(AC109*HSI!$B$104*HSI!$G$104/HSI!$B$3,""))</f>
        <v/>
      </c>
      <c r="CR109" s="161">
        <f>IF(AD109="","",IFERROR(AD109*HSI!$B$104*HSI!$G$104/HSI!$B$3,""))</f>
        <v/>
      </c>
      <c r="CS109" s="161">
        <f>IF(AE109="","",IFERROR(AE109*HSI!$B$104*HSI!$G$104/HSI!$B$3,""))</f>
        <v/>
      </c>
      <c r="CT109" s="161">
        <f>IF(AF109="","",IFERROR(AF109*HSI!$B$104*HSI!$G$104/HSI!$B$3,""))</f>
        <v/>
      </c>
      <c r="CU109" s="161">
        <f>IF(AG109="","",IFERROR(AG109*HSI!$B$104*HSI!$G$104/HSI!$B$3,""))</f>
        <v/>
      </c>
      <c r="CV109" s="161">
        <f>IF(AH109="","",IFERROR(AH109*HSI!$B$104*HSI!$G$104/HSI!$B$3,""))</f>
        <v/>
      </c>
      <c r="CW109" s="161">
        <f>IF(AI109="","",IFERROR(AI109*HSI!$B$104*HSI!$G$104/HSI!$B$3,""))</f>
        <v/>
      </c>
      <c r="CX109" s="161">
        <f>IF(AJ109="","",IFERROR(AJ109*HSI!$B$104*HSI!$G$104/HSI!$B$3,""))</f>
        <v/>
      </c>
      <c r="CY109" s="161">
        <f>IF(AK109="","",IFERROR(AK109*HSI!$B$104*HSI!$G$104/HSI!$B$3,""))</f>
        <v/>
      </c>
      <c r="CZ109" s="161">
        <f>IF(AL109="","",IFERROR(AL109*HSI!$B$104*HSI!$G$104/HSI!$B$3,""))</f>
        <v/>
      </c>
      <c r="DA109" s="161">
        <f>IF(AM109="","",IFERROR(AM109*HSI!$B$104*HSI!$G$104/HSI!$B$3,""))</f>
        <v/>
      </c>
      <c r="DB109" s="161">
        <f>IF(AN109="","",IFERROR(AN109*HSI!$B$104*HSI!$G$104/HSI!$B$3,""))</f>
        <v/>
      </c>
      <c r="DC109" s="161">
        <f>IF(AO109="","",IFERROR(AO109*HSI!$B$104*HSI!$G$104/HSI!$B$3,""))</f>
        <v/>
      </c>
      <c r="DD109" s="161">
        <f>IF(AP109="","",IFERROR(AP109*HSI!$B$104*HSI!$G$104/HSI!$B$3,""))</f>
        <v/>
      </c>
      <c r="DE109" s="161">
        <f>IF(AQ109="","",IFERROR(AQ109*HSI!$B$104*HSI!$G$104/HSI!$B$3,""))</f>
        <v/>
      </c>
      <c r="DF109" s="161">
        <f>IF(AR109="","",IFERROR(AR109*HSI!$B$104*HSI!$G$104/HSI!$B$3,""))</f>
        <v/>
      </c>
      <c r="DG109" s="161">
        <f>IF(AS109="","",IFERROR(AS109*HSI!$B$104*HSI!$G$104/HSI!$B$3,""))</f>
        <v/>
      </c>
      <c r="DH109" s="161">
        <f>IF(AT109="","",IFERROR(AT109*HSI!$B$104*HSI!$G$104/HSI!$B$3,""))</f>
        <v/>
      </c>
      <c r="DI109" s="161">
        <f>IF(AU109="","",IFERROR(AU109*HSI!$B$104*HSI!$G$104/HSI!$B$3,""))</f>
        <v/>
      </c>
      <c r="DJ109" s="161">
        <f>IF(AV109="","",IFERROR(AV109*HSI!$B$104*HSI!$G$104/HSI!$B$3,""))</f>
        <v/>
      </c>
      <c r="DK109" s="161">
        <f>IF(AW109="","",IFERROR(AW109*HSI!$B$104*HSI!$G$104/HSI!$B$3,""))</f>
        <v/>
      </c>
      <c r="DL109" s="161">
        <f>IF(AX109="","",IFERROR(AX109*HSI!$B$104*HSI!$G$104/HSI!$B$3,""))</f>
        <v/>
      </c>
      <c r="DM109" s="161">
        <f>IF(AY109="","",IFERROR(AY109*HSI!$B$104*HSI!$G$104/HSI!$B$3,""))</f>
        <v/>
      </c>
      <c r="DN109" s="161">
        <f>IF(AZ109="","",IFERROR(AZ109*HSI!$B$104*HSI!$G$104/HSI!$B$3,""))</f>
        <v/>
      </c>
      <c r="DO109" s="161">
        <f>IF(BA109="","",IFERROR(BA109*HSI!$B$104*HSI!$G$104/HSI!$B$3,""))</f>
        <v/>
      </c>
      <c r="DP109" s="161">
        <f>IF(BB109="","",IFERROR(BB109*HSI!$B$104*HSI!$G$104/HSI!$B$3,""))</f>
        <v/>
      </c>
      <c r="DQ109" s="161">
        <f>IF(BC109="","",IFERROR(BC109*HSI!$B$104*HSI!$G$104/HSI!$B$3,""))</f>
        <v/>
      </c>
      <c r="DR109" s="161">
        <f>IF(BD109="","",IFERROR(BD109*HSI!$B$104*HSI!$G$104/HSI!$B$3,""))</f>
        <v/>
      </c>
      <c r="DS109" s="161">
        <f>IF(BE109="","",IFERROR(BE109*HSI!$B$104*HSI!$G$104/HSI!$B$3,""))</f>
        <v/>
      </c>
      <c r="DT109" s="161">
        <f>IF(BF109="","",IFERROR(BF109*HSI!$B$104*HSI!$G$104/HSI!$B$3,""))</f>
        <v/>
      </c>
      <c r="DU109" s="161">
        <f>IF(BG109="","",IFERROR(BG109*HSI!$B$104*HSI!$G$104/HSI!$B$3,""))</f>
        <v/>
      </c>
      <c r="DV109" s="161">
        <f>IF(BH109="","",IFERROR(BH109*HSI!$B$104*HSI!$G$104/HSI!$B$3,""))</f>
        <v/>
      </c>
      <c r="DW109" s="161">
        <f>IF(BI109="","",IFERROR(BI109*HSI!$B$104*HSI!$G$104/HSI!$B$3,""))</f>
        <v/>
      </c>
      <c r="DX109" s="161">
        <f>IF(BJ109="","",IFERROR(BJ109*HSI!$B$104*HSI!$G$104/HSI!$B$3,""))</f>
        <v/>
      </c>
      <c r="DY109" s="161">
        <f>IF(BK109="","",IFERROR(BK109*HSI!$B$104*HSI!$G$104/HSI!$B$3,""))</f>
        <v/>
      </c>
      <c r="DZ109" s="161">
        <f>IF(BL109="","",IFERROR(BL109*HSI!$B$104*HSI!$G$104/HSI!$B$3,""))</f>
        <v/>
      </c>
      <c r="EA109" s="161">
        <f>IF(BM109="","",IFERROR(BM109*HSI!$B$104*HSI!$G$104/HSI!$B$3,""))</f>
        <v/>
      </c>
      <c r="EB109" s="161">
        <f>IF(BN109="","",IFERROR(BN109*HSI!$B$104*HSI!$G$104/HSI!$B$3,""))</f>
        <v/>
      </c>
      <c r="EC109" s="161">
        <f>IF(BO109="","",IFERROR(BO109*HSI!$B$104*HSI!$G$104/HSI!$B$3,""))</f>
        <v/>
      </c>
      <c r="EE109" s="121">
        <f>IF(N('Dvd Calendar'!$E$1078)=0,"",IF(('Dvd Calendar'!$E$1078&gt;=GRID_FROM)*('Dvd Calendar'!$E$1078&lt;=GRID_TO)*((('Dvd Calendar'!$E$1078&lt;=VAL_DATE)+(COUNTIF('Dvd Calendar'!$E$1085:$AR$1085,'Dvd Calendar'!$E$1078)=0))&gt;0)=0,"",'Dvd Calendar'!$E$1078*1000000000+ISNUMBER('Dvd Calendar'!$E$1081)*100000000+('Dvd Calendar'!$E$1083=SPECIAL_LBL)*10000000+(N('Dvd Calendar'!$E$1077)&gt;0)*(N('Dvd Calendar'!$E$1077)&lt;=VAL_SERIAL)*1000000+98*1000+1))</f>
        <v/>
      </c>
      <c r="EF109" s="121">
        <f>IF(N('Dvd Calendar'!$F$1078)=0,"",IF(('Dvd Calendar'!$F$1078&gt;=GRID_FROM)*('Dvd Calendar'!$F$1078&lt;=GRID_TO)*((('Dvd Calendar'!$F$1078&lt;=VAL_DATE)+(COUNTIF('Dvd Calendar'!$E$1085:$AR$1085,'Dvd Calendar'!$F$1078)=0))&gt;0)=0,"",'Dvd Calendar'!$F$1078*1000000000+ISNUMBER('Dvd Calendar'!$F$1081)*100000000+('Dvd Calendar'!$F$1083=SPECIAL_LBL)*10000000+(N('Dvd Calendar'!$F$1077)&gt;0)*(N('Dvd Calendar'!$F$1077)&lt;=VAL_SERIAL)*1000000+98*1000+2))</f>
        <v/>
      </c>
      <c r="EG109" s="121">
        <f>IF(N('Dvd Calendar'!$G$1078)=0,"",IF(('Dvd Calendar'!$G$1078&gt;=GRID_FROM)*('Dvd Calendar'!$G$1078&lt;=GRID_TO)*((('Dvd Calendar'!$G$1078&lt;=VAL_DATE)+(COUNTIF('Dvd Calendar'!$E$1085:$AR$1085,'Dvd Calendar'!$G$1078)=0))&gt;0)=0,"",'Dvd Calendar'!$G$1078*1000000000+ISNUMBER('Dvd Calendar'!$G$1081)*100000000+('Dvd Calendar'!$G$1083=SPECIAL_LBL)*10000000+(N('Dvd Calendar'!$G$1077)&gt;0)*(N('Dvd Calendar'!$G$1077)&lt;=VAL_SERIAL)*1000000+98*1000+3))</f>
        <v/>
      </c>
      <c r="EH109" s="121">
        <f>IF(N('Dvd Calendar'!$H$1078)=0,"",IF(('Dvd Calendar'!$H$1078&gt;=GRID_FROM)*('Dvd Calendar'!$H$1078&lt;=GRID_TO)*((('Dvd Calendar'!$H$1078&lt;=VAL_DATE)+(COUNTIF('Dvd Calendar'!$E$1085:$AR$1085,'Dvd Calendar'!$H$1078)=0))&gt;0)=0,"",'Dvd Calendar'!$H$1078*1000000000+ISNUMBER('Dvd Calendar'!$H$1081)*100000000+('Dvd Calendar'!$H$1083=SPECIAL_LBL)*10000000+(N('Dvd Calendar'!$H$1077)&gt;0)*(N('Dvd Calendar'!$H$1077)&lt;=VAL_SERIAL)*1000000+98*1000+4))</f>
        <v/>
      </c>
      <c r="EI109" s="121">
        <f>IF(N('Dvd Calendar'!$I$1078)=0,"",IF(('Dvd Calendar'!$I$1078&gt;=GRID_FROM)*('Dvd Calendar'!$I$1078&lt;=GRID_TO)*((('Dvd Calendar'!$I$1078&lt;=VAL_DATE)+(COUNTIF('Dvd Calendar'!$E$1085:$AR$1085,'Dvd Calendar'!$I$1078)=0))&gt;0)=0,"",'Dvd Calendar'!$I$1078*1000000000+ISNUMBER('Dvd Calendar'!$I$1081)*100000000+('Dvd Calendar'!$I$1083=SPECIAL_LBL)*10000000+(N('Dvd Calendar'!$I$1077)&gt;0)*(N('Dvd Calendar'!$I$1077)&lt;=VAL_SERIAL)*1000000+98*1000+5))</f>
        <v/>
      </c>
      <c r="EJ109" s="121">
        <f>IF(N('Dvd Calendar'!$J$1078)=0,"",IF(('Dvd Calendar'!$J$1078&gt;=GRID_FROM)*('Dvd Calendar'!$J$1078&lt;=GRID_TO)*((('Dvd Calendar'!$J$1078&lt;=VAL_DATE)+(COUNTIF('Dvd Calendar'!$E$1085:$AR$1085,'Dvd Calendar'!$J$1078)=0))&gt;0)=0,"",'Dvd Calendar'!$J$1078*1000000000+ISNUMBER('Dvd Calendar'!$J$1081)*100000000+('Dvd Calendar'!$J$1083=SPECIAL_LBL)*10000000+(N('Dvd Calendar'!$J$1077)&gt;0)*(N('Dvd Calendar'!$J$1077)&lt;=VAL_SERIAL)*1000000+98*1000+6))</f>
        <v/>
      </c>
      <c r="EK109" s="121">
        <f>IF(N('Dvd Calendar'!$K$1078)=0,"",IF(('Dvd Calendar'!$K$1078&gt;=GRID_FROM)*('Dvd Calendar'!$K$1078&lt;=GRID_TO)*((('Dvd Calendar'!$K$1078&lt;=VAL_DATE)+(COUNTIF('Dvd Calendar'!$E$1085:$AR$1085,'Dvd Calendar'!$K$1078)=0))&gt;0)=0,"",'Dvd Calendar'!$K$1078*1000000000+ISNUMBER('Dvd Calendar'!$K$1081)*100000000+('Dvd Calendar'!$K$1083=SPECIAL_LBL)*10000000+(N('Dvd Calendar'!$K$1077)&gt;0)*(N('Dvd Calendar'!$K$1077)&lt;=VAL_SERIAL)*1000000+98*1000+7))</f>
        <v/>
      </c>
      <c r="EL109" s="121">
        <f>IF(N('Dvd Calendar'!$L$1078)=0,"",IF(('Dvd Calendar'!$L$1078&gt;=GRID_FROM)*('Dvd Calendar'!$L$1078&lt;=GRID_TO)*((('Dvd Calendar'!$L$1078&lt;=VAL_DATE)+(COUNTIF('Dvd Calendar'!$E$1085:$AR$1085,'Dvd Calendar'!$L$1078)=0))&gt;0)=0,"",'Dvd Calendar'!$L$1078*1000000000+ISNUMBER('Dvd Calendar'!$L$1081)*100000000+('Dvd Calendar'!$L$1083=SPECIAL_LBL)*10000000+(N('Dvd Calendar'!$L$1077)&gt;0)*(N('Dvd Calendar'!$L$1077)&lt;=VAL_SERIAL)*1000000+98*1000+8))</f>
        <v/>
      </c>
      <c r="EM109" s="121">
        <f>IF(N('Dvd Calendar'!$M$1078)=0,"",IF(('Dvd Calendar'!$M$1078&gt;=GRID_FROM)*('Dvd Calendar'!$M$1078&lt;=GRID_TO)*((('Dvd Calendar'!$M$1078&lt;=VAL_DATE)+(COUNTIF('Dvd Calendar'!$E$1085:$AR$1085,'Dvd Calendar'!$M$1078)=0))&gt;0)=0,"",'Dvd Calendar'!$M$1078*1000000000+ISNUMBER('Dvd Calendar'!$M$1081)*100000000+('Dvd Calendar'!$M$1083=SPECIAL_LBL)*10000000+(N('Dvd Calendar'!$M$1077)&gt;0)*(N('Dvd Calendar'!$M$1077)&lt;=VAL_SERIAL)*1000000+98*1000+9))</f>
        <v/>
      </c>
      <c r="EN109" s="121">
        <f>IF(N('Dvd Calendar'!$N$1078)=0,"",IF(('Dvd Calendar'!$N$1078&gt;=GRID_FROM)*('Dvd Calendar'!$N$1078&lt;=GRID_TO)*((('Dvd Calendar'!$N$1078&lt;=VAL_DATE)+(COUNTIF('Dvd Calendar'!$E$1085:$AR$1085,'Dvd Calendar'!$N$1078)=0))&gt;0)=0,"",'Dvd Calendar'!$N$1078*1000000000+ISNUMBER('Dvd Calendar'!$N$1081)*100000000+('Dvd Calendar'!$N$1083=SPECIAL_LBL)*10000000+(N('Dvd Calendar'!$N$1077)&gt;0)*(N('Dvd Calendar'!$N$1077)&lt;=VAL_SERIAL)*1000000+98*1000+10))</f>
        <v/>
      </c>
      <c r="EO109" s="121">
        <f>IF(N('Dvd Calendar'!$O$1078)=0,"",IF(('Dvd Calendar'!$O$1078&gt;=GRID_FROM)*('Dvd Calendar'!$O$1078&lt;=GRID_TO)*((('Dvd Calendar'!$O$1078&lt;=VAL_DATE)+(COUNTIF('Dvd Calendar'!$E$1085:$AR$1085,'Dvd Calendar'!$O$1078)=0))&gt;0)=0,"",'Dvd Calendar'!$O$1078*1000000000+ISNUMBER('Dvd Calendar'!$O$1081)*100000000+('Dvd Calendar'!$O$1083=SPECIAL_LBL)*10000000+(N('Dvd Calendar'!$O$1077)&gt;0)*(N('Dvd Calendar'!$O$1077)&lt;=VAL_SERIAL)*1000000+98*1000+11))</f>
        <v/>
      </c>
      <c r="EP109" s="121">
        <f>IF(N('Dvd Calendar'!$P$1078)=0,"",IF(('Dvd Calendar'!$P$1078&gt;=GRID_FROM)*('Dvd Calendar'!$P$1078&lt;=GRID_TO)*((('Dvd Calendar'!$P$1078&lt;=VAL_DATE)+(COUNTIF('Dvd Calendar'!$E$1085:$AR$1085,'Dvd Calendar'!$P$1078)=0))&gt;0)=0,"",'Dvd Calendar'!$P$1078*1000000000+ISNUMBER('Dvd Calendar'!$P$1081)*100000000+('Dvd Calendar'!$P$1083=SPECIAL_LBL)*10000000+(N('Dvd Calendar'!$P$1077)&gt;0)*(N('Dvd Calendar'!$P$1077)&lt;=VAL_SERIAL)*1000000+98*1000+12))</f>
        <v/>
      </c>
      <c r="EQ109" s="121">
        <f>IF(N('Dvd Calendar'!$Q$1078)=0,"",IF(('Dvd Calendar'!$Q$1078&gt;=GRID_FROM)*('Dvd Calendar'!$Q$1078&lt;=GRID_TO)*((('Dvd Calendar'!$Q$1078&lt;=VAL_DATE)+(COUNTIF('Dvd Calendar'!$E$1085:$AR$1085,'Dvd Calendar'!$Q$1078)=0))&gt;0)=0,"",'Dvd Calendar'!$Q$1078*1000000000+ISNUMBER('Dvd Calendar'!$Q$1081)*100000000+('Dvd Calendar'!$Q$1083=SPECIAL_LBL)*10000000+(N('Dvd Calendar'!$Q$1077)&gt;0)*(N('Dvd Calendar'!$Q$1077)&lt;=VAL_SERIAL)*1000000+98*1000+13))</f>
        <v/>
      </c>
      <c r="ER109" s="121">
        <f>IF(N('Dvd Calendar'!$R$1078)=0,"",IF(('Dvd Calendar'!$R$1078&gt;=GRID_FROM)*('Dvd Calendar'!$R$1078&lt;=GRID_TO)*((('Dvd Calendar'!$R$1078&lt;=VAL_DATE)+(COUNTIF('Dvd Calendar'!$E$1085:$AR$1085,'Dvd Calendar'!$R$1078)=0))&gt;0)=0,"",'Dvd Calendar'!$R$1078*1000000000+ISNUMBER('Dvd Calendar'!$R$1081)*100000000+('Dvd Calendar'!$R$1083=SPECIAL_LBL)*10000000+(N('Dvd Calendar'!$R$1077)&gt;0)*(N('Dvd Calendar'!$R$1077)&lt;=VAL_SERIAL)*1000000+98*1000+14))</f>
        <v/>
      </c>
      <c r="ES109" s="121">
        <f>IF(N('Dvd Calendar'!$S$1078)=0,"",IF(('Dvd Calendar'!$S$1078&gt;=GRID_FROM)*('Dvd Calendar'!$S$1078&lt;=GRID_TO)*((('Dvd Calendar'!$S$1078&lt;=VAL_DATE)+(COUNTIF('Dvd Calendar'!$E$1085:$AR$1085,'Dvd Calendar'!$S$1078)=0))&gt;0)=0,"",'Dvd Calendar'!$S$1078*1000000000+ISNUMBER('Dvd Calendar'!$S$1081)*100000000+('Dvd Calendar'!$S$1083=SPECIAL_LBL)*10000000+(N('Dvd Calendar'!$S$1077)&gt;0)*(N('Dvd Calendar'!$S$1077)&lt;=VAL_SERIAL)*1000000+98*1000+15))</f>
        <v/>
      </c>
      <c r="ET109" s="121">
        <f>IF(N('Dvd Calendar'!$T$1078)=0,"",IF(('Dvd Calendar'!$T$1078&gt;=GRID_FROM)*('Dvd Calendar'!$T$1078&lt;=GRID_TO)*((('Dvd Calendar'!$T$1078&lt;=VAL_DATE)+(COUNTIF('Dvd Calendar'!$E$1085:$AR$1085,'Dvd Calendar'!$T$1078)=0))&gt;0)=0,"",'Dvd Calendar'!$T$1078*1000000000+ISNUMBER('Dvd Calendar'!$T$1081)*100000000+('Dvd Calendar'!$T$1083=SPECIAL_LBL)*10000000+(N('Dvd Calendar'!$T$1077)&gt;0)*(N('Dvd Calendar'!$T$1077)&lt;=VAL_SERIAL)*1000000+98*1000+16))</f>
        <v/>
      </c>
      <c r="EU109" s="121">
        <f>IF(N('Dvd Calendar'!$U$1078)=0,"",IF(('Dvd Calendar'!$U$1078&gt;=GRID_FROM)*('Dvd Calendar'!$U$1078&lt;=GRID_TO)*((('Dvd Calendar'!$U$1078&lt;=VAL_DATE)+(COUNTIF('Dvd Calendar'!$E$1085:$AR$1085,'Dvd Calendar'!$U$1078)=0))&gt;0)=0,"",'Dvd Calendar'!$U$1078*1000000000+ISNUMBER('Dvd Calendar'!$U$1081)*100000000+('Dvd Calendar'!$U$1083=SPECIAL_LBL)*10000000+(N('Dvd Calendar'!$U$1077)&gt;0)*(N('Dvd Calendar'!$U$1077)&lt;=VAL_SERIAL)*1000000+98*1000+17))</f>
        <v/>
      </c>
      <c r="EV109" s="121">
        <f>IF(N('Dvd Calendar'!$V$1078)=0,"",IF(('Dvd Calendar'!$V$1078&gt;=GRID_FROM)*('Dvd Calendar'!$V$1078&lt;=GRID_TO)*((('Dvd Calendar'!$V$1078&lt;=VAL_DATE)+(COUNTIF('Dvd Calendar'!$E$1085:$AR$1085,'Dvd Calendar'!$V$1078)=0))&gt;0)=0,"",'Dvd Calendar'!$V$1078*1000000000+ISNUMBER('Dvd Calendar'!$V$1081)*100000000+('Dvd Calendar'!$V$1083=SPECIAL_LBL)*10000000+(N('Dvd Calendar'!$V$1077)&gt;0)*(N('Dvd Calendar'!$V$1077)&lt;=VAL_SERIAL)*1000000+98*1000+18))</f>
        <v/>
      </c>
      <c r="EW109" s="121">
        <f>IF(N('Dvd Calendar'!$W$1078)=0,"",IF(('Dvd Calendar'!$W$1078&gt;=GRID_FROM)*('Dvd Calendar'!$W$1078&lt;=GRID_TO)*((('Dvd Calendar'!$W$1078&lt;=VAL_DATE)+(COUNTIF('Dvd Calendar'!$E$1085:$AR$1085,'Dvd Calendar'!$W$1078)=0))&gt;0)=0,"",'Dvd Calendar'!$W$1078*1000000000+ISNUMBER('Dvd Calendar'!$W$1081)*100000000+('Dvd Calendar'!$W$1083=SPECIAL_LBL)*10000000+(N('Dvd Calendar'!$W$1077)&gt;0)*(N('Dvd Calendar'!$W$1077)&lt;=VAL_SERIAL)*1000000+98*1000+19))</f>
        <v/>
      </c>
      <c r="EX109" s="121">
        <f>IF(N('Dvd Calendar'!$X$1078)=0,"",IF(('Dvd Calendar'!$X$1078&gt;=GRID_FROM)*('Dvd Calendar'!$X$1078&lt;=GRID_TO)*((('Dvd Calendar'!$X$1078&lt;=VAL_DATE)+(COUNTIF('Dvd Calendar'!$E$1085:$AR$1085,'Dvd Calendar'!$X$1078)=0))&gt;0)=0,"",'Dvd Calendar'!$X$1078*1000000000+ISNUMBER('Dvd Calendar'!$X$1081)*100000000+('Dvd Calendar'!$X$1083=SPECIAL_LBL)*10000000+(N('Dvd Calendar'!$X$1077)&gt;0)*(N('Dvd Calendar'!$X$1077)&lt;=VAL_SERIAL)*1000000+98*1000+20))</f>
        <v/>
      </c>
      <c r="EY109" s="121">
        <f>IF(N('Dvd Calendar'!$Y$1078)=0,"",IF(('Dvd Calendar'!$Y$1078&gt;=GRID_FROM)*('Dvd Calendar'!$Y$1078&lt;=GRID_TO)*((('Dvd Calendar'!$Y$1078&lt;=VAL_DATE)+(COUNTIF('Dvd Calendar'!$E$1085:$AR$1085,'Dvd Calendar'!$Y$1078)=0))&gt;0)=0,"",'Dvd Calendar'!$Y$1078*1000000000+ISNUMBER('Dvd Calendar'!$Y$1081)*100000000+('Dvd Calendar'!$Y$1083=SPECIAL_LBL)*10000000+(N('Dvd Calendar'!$Y$1077)&gt;0)*(N('Dvd Calendar'!$Y$1077)&lt;=VAL_SERIAL)*1000000+98*1000+21))</f>
        <v/>
      </c>
      <c r="EZ109" s="121">
        <f>IF(N('Dvd Calendar'!$Z$1078)=0,"",IF(('Dvd Calendar'!$Z$1078&gt;=GRID_FROM)*('Dvd Calendar'!$Z$1078&lt;=GRID_TO)*((('Dvd Calendar'!$Z$1078&lt;=VAL_DATE)+(COUNTIF('Dvd Calendar'!$E$1085:$AR$1085,'Dvd Calendar'!$Z$1078)=0))&gt;0)=0,"",'Dvd Calendar'!$Z$1078*1000000000+ISNUMBER('Dvd Calendar'!$Z$1081)*100000000+('Dvd Calendar'!$Z$1083=SPECIAL_LBL)*10000000+(N('Dvd Calendar'!$Z$1077)&gt;0)*(N('Dvd Calendar'!$Z$1077)&lt;=VAL_SERIAL)*1000000+98*1000+22))</f>
        <v/>
      </c>
      <c r="FA109" s="121">
        <f>IF(N('Dvd Calendar'!$AA$1078)=0,"",IF(('Dvd Calendar'!$AA$1078&gt;=GRID_FROM)*('Dvd Calendar'!$AA$1078&lt;=GRID_TO)*((('Dvd Calendar'!$AA$1078&lt;=VAL_DATE)+(COUNTIF('Dvd Calendar'!$E$1085:$AR$1085,'Dvd Calendar'!$AA$1078)=0))&gt;0)=0,"",'Dvd Calendar'!$AA$1078*1000000000+ISNUMBER('Dvd Calendar'!$AA$1081)*100000000+('Dvd Calendar'!$AA$1083=SPECIAL_LBL)*10000000+(N('Dvd Calendar'!$AA$1077)&gt;0)*(N('Dvd Calendar'!$AA$1077)&lt;=VAL_SERIAL)*1000000+98*1000+23))</f>
        <v/>
      </c>
      <c r="FB109" s="121">
        <f>IF(N('Dvd Calendar'!$AB$1078)=0,"",IF(('Dvd Calendar'!$AB$1078&gt;=GRID_FROM)*('Dvd Calendar'!$AB$1078&lt;=GRID_TO)*((('Dvd Calendar'!$AB$1078&lt;=VAL_DATE)+(COUNTIF('Dvd Calendar'!$E$1085:$AR$1085,'Dvd Calendar'!$AB$1078)=0))&gt;0)=0,"",'Dvd Calendar'!$AB$1078*1000000000+ISNUMBER('Dvd Calendar'!$AB$1081)*100000000+('Dvd Calendar'!$AB$1083=SPECIAL_LBL)*10000000+(N('Dvd Calendar'!$AB$1077)&gt;0)*(N('Dvd Calendar'!$AB$1077)&lt;=VAL_SERIAL)*1000000+98*1000+24))</f>
        <v/>
      </c>
      <c r="FC109" s="121">
        <f>IF(N('Dvd Calendar'!$AC$1078)=0,"",IF(('Dvd Calendar'!$AC$1078&gt;=GRID_FROM)*('Dvd Calendar'!$AC$1078&lt;=GRID_TO)*((('Dvd Calendar'!$AC$1078&lt;=VAL_DATE)+(COUNTIF('Dvd Calendar'!$E$1085:$AR$1085,'Dvd Calendar'!$AC$1078)=0))&gt;0)=0,"",'Dvd Calendar'!$AC$1078*1000000000+ISNUMBER('Dvd Calendar'!$AC$1081)*100000000+('Dvd Calendar'!$AC$1083=SPECIAL_LBL)*10000000+(N('Dvd Calendar'!$AC$1077)&gt;0)*(N('Dvd Calendar'!$AC$1077)&lt;=VAL_SERIAL)*1000000+98*1000+25))</f>
        <v/>
      </c>
      <c r="FD109" s="121">
        <f>IF(N('Dvd Calendar'!$AD$1078)=0,"",IF(('Dvd Calendar'!$AD$1078&gt;=GRID_FROM)*('Dvd Calendar'!$AD$1078&lt;=GRID_TO)*((('Dvd Calendar'!$AD$1078&lt;=VAL_DATE)+(COUNTIF('Dvd Calendar'!$E$1085:$AR$1085,'Dvd Calendar'!$AD$1078)=0))&gt;0)=0,"",'Dvd Calendar'!$AD$1078*1000000000+ISNUMBER('Dvd Calendar'!$AD$1081)*100000000+('Dvd Calendar'!$AD$1083=SPECIAL_LBL)*10000000+(N('Dvd Calendar'!$AD$1077)&gt;0)*(N('Dvd Calendar'!$AD$1077)&lt;=VAL_SERIAL)*1000000+98*1000+26))</f>
        <v/>
      </c>
      <c r="FE109" s="121">
        <f>IF(N('Dvd Calendar'!$AE$1078)=0,"",IF(('Dvd Calendar'!$AE$1078&gt;=GRID_FROM)*('Dvd Calendar'!$AE$1078&lt;=GRID_TO)*((('Dvd Calendar'!$AE$1078&lt;=VAL_DATE)+(COUNTIF('Dvd Calendar'!$E$1085:$AR$1085,'Dvd Calendar'!$AE$1078)=0))&gt;0)=0,"",'Dvd Calendar'!$AE$1078*1000000000+ISNUMBER('Dvd Calendar'!$AE$1081)*100000000+('Dvd Calendar'!$AE$1083=SPECIAL_LBL)*10000000+(N('Dvd Calendar'!$AE$1077)&gt;0)*(N('Dvd Calendar'!$AE$1077)&lt;=VAL_SERIAL)*1000000+98*1000+27))</f>
        <v/>
      </c>
      <c r="FF109" s="121">
        <f>IF(N('Dvd Calendar'!$AF$1078)=0,"",IF(('Dvd Calendar'!$AF$1078&gt;=GRID_FROM)*('Dvd Calendar'!$AF$1078&lt;=GRID_TO)*((('Dvd Calendar'!$AF$1078&lt;=VAL_DATE)+(COUNTIF('Dvd Calendar'!$E$1085:$AR$1085,'Dvd Calendar'!$AF$1078)=0))&gt;0)=0,"",'Dvd Calendar'!$AF$1078*1000000000+ISNUMBER('Dvd Calendar'!$AF$1081)*100000000+('Dvd Calendar'!$AF$1083=SPECIAL_LBL)*10000000+(N('Dvd Calendar'!$AF$1077)&gt;0)*(N('Dvd Calendar'!$AF$1077)&lt;=VAL_SERIAL)*1000000+98*1000+28))</f>
        <v/>
      </c>
      <c r="FG109" s="121">
        <f>IF(N('Dvd Calendar'!$AG$1078)=0,"",IF(('Dvd Calendar'!$AG$1078&gt;=GRID_FROM)*('Dvd Calendar'!$AG$1078&lt;=GRID_TO)*((('Dvd Calendar'!$AG$1078&lt;=VAL_DATE)+(COUNTIF('Dvd Calendar'!$E$1085:$AR$1085,'Dvd Calendar'!$AG$1078)=0))&gt;0)=0,"",'Dvd Calendar'!$AG$1078*1000000000+ISNUMBER('Dvd Calendar'!$AG$1081)*100000000+('Dvd Calendar'!$AG$1083=SPECIAL_LBL)*10000000+(N('Dvd Calendar'!$AG$1077)&gt;0)*(N('Dvd Calendar'!$AG$1077)&lt;=VAL_SERIAL)*1000000+98*1000+29))</f>
        <v/>
      </c>
      <c r="FH109" s="121">
        <f>IF(N('Dvd Calendar'!$AH$1078)=0,"",IF(('Dvd Calendar'!$AH$1078&gt;=GRID_FROM)*('Dvd Calendar'!$AH$1078&lt;=GRID_TO)*((('Dvd Calendar'!$AH$1078&lt;=VAL_DATE)+(COUNTIF('Dvd Calendar'!$E$1085:$AR$1085,'Dvd Calendar'!$AH$1078)=0))&gt;0)=0,"",'Dvd Calendar'!$AH$1078*1000000000+ISNUMBER('Dvd Calendar'!$AH$1081)*100000000+('Dvd Calendar'!$AH$1083=SPECIAL_LBL)*10000000+(N('Dvd Calendar'!$AH$1077)&gt;0)*(N('Dvd Calendar'!$AH$1077)&lt;=VAL_SERIAL)*1000000+98*1000+30))</f>
        <v/>
      </c>
      <c r="FI109" s="121">
        <f>IF(N('Dvd Calendar'!$AI$1078)=0,"",IF(('Dvd Calendar'!$AI$1078&gt;=GRID_FROM)*('Dvd Calendar'!$AI$1078&lt;=GRID_TO)*((('Dvd Calendar'!$AI$1078&lt;=VAL_DATE)+(COUNTIF('Dvd Calendar'!$E$1085:$AR$1085,'Dvd Calendar'!$AI$1078)=0))&gt;0)=0,"",'Dvd Calendar'!$AI$1078*1000000000+ISNUMBER('Dvd Calendar'!$AI$1081)*100000000+('Dvd Calendar'!$AI$1083=SPECIAL_LBL)*10000000+(N('Dvd Calendar'!$AI$1077)&gt;0)*(N('Dvd Calendar'!$AI$1077)&lt;=VAL_SERIAL)*1000000+98*1000+31))</f>
        <v/>
      </c>
      <c r="FJ109" s="121">
        <f>IF(N('Dvd Calendar'!$AJ$1078)=0,"",IF(('Dvd Calendar'!$AJ$1078&gt;=GRID_FROM)*('Dvd Calendar'!$AJ$1078&lt;=GRID_TO)*((('Dvd Calendar'!$AJ$1078&lt;=VAL_DATE)+(COUNTIF('Dvd Calendar'!$E$1085:$AR$1085,'Dvd Calendar'!$AJ$1078)=0))&gt;0)=0,"",'Dvd Calendar'!$AJ$1078*1000000000+ISNUMBER('Dvd Calendar'!$AJ$1081)*100000000+('Dvd Calendar'!$AJ$1083=SPECIAL_LBL)*10000000+(N('Dvd Calendar'!$AJ$1077)&gt;0)*(N('Dvd Calendar'!$AJ$1077)&lt;=VAL_SERIAL)*1000000+98*1000+32))</f>
        <v/>
      </c>
      <c r="FK109" s="121">
        <f>IF(N('Dvd Calendar'!$AK$1078)=0,"",IF(('Dvd Calendar'!$AK$1078&gt;=GRID_FROM)*('Dvd Calendar'!$AK$1078&lt;=GRID_TO)*((('Dvd Calendar'!$AK$1078&lt;=VAL_DATE)+(COUNTIF('Dvd Calendar'!$E$1085:$AR$1085,'Dvd Calendar'!$AK$1078)=0))&gt;0)=0,"",'Dvd Calendar'!$AK$1078*1000000000+ISNUMBER('Dvd Calendar'!$AK$1081)*100000000+('Dvd Calendar'!$AK$1083=SPECIAL_LBL)*10000000+(N('Dvd Calendar'!$AK$1077)&gt;0)*(N('Dvd Calendar'!$AK$1077)&lt;=VAL_SERIAL)*1000000+98*1000+33))</f>
        <v/>
      </c>
      <c r="FL109" s="121">
        <f>IF(N('Dvd Calendar'!$AL$1078)=0,"",IF(('Dvd Calendar'!$AL$1078&gt;=GRID_FROM)*('Dvd Calendar'!$AL$1078&lt;=GRID_TO)*((('Dvd Calendar'!$AL$1078&lt;=VAL_DATE)+(COUNTIF('Dvd Calendar'!$E$1085:$AR$1085,'Dvd Calendar'!$AL$1078)=0))&gt;0)=0,"",'Dvd Calendar'!$AL$1078*1000000000+ISNUMBER('Dvd Calendar'!$AL$1081)*100000000+('Dvd Calendar'!$AL$1083=SPECIAL_LBL)*10000000+(N('Dvd Calendar'!$AL$1077)&gt;0)*(N('Dvd Calendar'!$AL$1077)&lt;=VAL_SERIAL)*1000000+98*1000+34))</f>
        <v/>
      </c>
      <c r="FM109" s="121">
        <f>IF(N('Dvd Calendar'!$AM$1078)=0,"",IF(('Dvd Calendar'!$AM$1078&gt;=GRID_FROM)*('Dvd Calendar'!$AM$1078&lt;=GRID_TO)*((('Dvd Calendar'!$AM$1078&lt;=VAL_DATE)+(COUNTIF('Dvd Calendar'!$E$1085:$AR$1085,'Dvd Calendar'!$AM$1078)=0))&gt;0)=0,"",'Dvd Calendar'!$AM$1078*1000000000+ISNUMBER('Dvd Calendar'!$AM$1081)*100000000+('Dvd Calendar'!$AM$1083=SPECIAL_LBL)*10000000+(N('Dvd Calendar'!$AM$1077)&gt;0)*(N('Dvd Calendar'!$AM$1077)&lt;=VAL_SERIAL)*1000000+98*1000+35))</f>
        <v/>
      </c>
      <c r="FN109" s="121">
        <f>IF(N('Dvd Calendar'!$AN$1078)=0,"",IF(('Dvd Calendar'!$AN$1078&gt;=GRID_FROM)*('Dvd Calendar'!$AN$1078&lt;=GRID_TO)*((('Dvd Calendar'!$AN$1078&lt;=VAL_DATE)+(COUNTIF('Dvd Calendar'!$E$1085:$AR$1085,'Dvd Calendar'!$AN$1078)=0))&gt;0)=0,"",'Dvd Calendar'!$AN$1078*1000000000+ISNUMBER('Dvd Calendar'!$AN$1081)*100000000+('Dvd Calendar'!$AN$1083=SPECIAL_LBL)*10000000+(N('Dvd Calendar'!$AN$1077)&gt;0)*(N('Dvd Calendar'!$AN$1077)&lt;=VAL_SERIAL)*1000000+98*1000+36))</f>
        <v/>
      </c>
      <c r="FO109" s="121">
        <f>IF(N('Dvd Calendar'!$AO$1078)=0,"",IF(('Dvd Calendar'!$AO$1078&gt;=GRID_FROM)*('Dvd Calendar'!$AO$1078&lt;=GRID_TO)*((('Dvd Calendar'!$AO$1078&lt;=VAL_DATE)+(COUNTIF('Dvd Calendar'!$E$1085:$AR$1085,'Dvd Calendar'!$AO$1078)=0))&gt;0)=0,"",'Dvd Calendar'!$AO$1078*1000000000+ISNUMBER('Dvd Calendar'!$AO$1081)*100000000+('Dvd Calendar'!$AO$1083=SPECIAL_LBL)*10000000+(N('Dvd Calendar'!$AO$1077)&gt;0)*(N('Dvd Calendar'!$AO$1077)&lt;=VAL_SERIAL)*1000000+98*1000+37))</f>
        <v/>
      </c>
      <c r="FP109" s="121">
        <f>IF(N('Dvd Calendar'!$AP$1078)=0,"",IF(('Dvd Calendar'!$AP$1078&gt;=GRID_FROM)*('Dvd Calendar'!$AP$1078&lt;=GRID_TO)*((('Dvd Calendar'!$AP$1078&lt;=VAL_DATE)+(COUNTIF('Dvd Calendar'!$E$1085:$AR$1085,'Dvd Calendar'!$AP$1078)=0))&gt;0)=0,"",'Dvd Calendar'!$AP$1078*1000000000+ISNUMBER('Dvd Calendar'!$AP$1081)*100000000+('Dvd Calendar'!$AP$1083=SPECIAL_LBL)*10000000+(N('Dvd Calendar'!$AP$1077)&gt;0)*(N('Dvd Calendar'!$AP$1077)&lt;=VAL_SERIAL)*1000000+98*1000+38))</f>
        <v/>
      </c>
      <c r="FQ109" s="121">
        <f>IF(N('Dvd Calendar'!$AQ$1078)=0,"",IF(('Dvd Calendar'!$AQ$1078&gt;=GRID_FROM)*('Dvd Calendar'!$AQ$1078&lt;=GRID_TO)*((('Dvd Calendar'!$AQ$1078&lt;=VAL_DATE)+(COUNTIF('Dvd Calendar'!$E$1085:$AR$1085,'Dvd Calendar'!$AQ$1078)=0))&gt;0)=0,"",'Dvd Calendar'!$AQ$1078*1000000000+ISNUMBER('Dvd Calendar'!$AQ$1081)*100000000+('Dvd Calendar'!$AQ$1083=SPECIAL_LBL)*10000000+(N('Dvd Calendar'!$AQ$1077)&gt;0)*(N('Dvd Calendar'!$AQ$1077)&lt;=VAL_SERIAL)*1000000+98*1000+39))</f>
        <v/>
      </c>
      <c r="FR109" s="121">
        <f>IF(N('Dvd Calendar'!$AR$1078)=0,"",IF(('Dvd Calendar'!$AR$1078&gt;=GRID_FROM)*('Dvd Calendar'!$AR$1078&lt;=GRID_TO)*((('Dvd Calendar'!$AR$1078&lt;=VAL_DATE)+(COUNTIF('Dvd Calendar'!$E$1085:$AR$1085,'Dvd Calendar'!$AR$1078)=0))&gt;0)=0,"",'Dvd Calendar'!$AR$1078*1000000000+ISNUMBER('Dvd Calendar'!$AR$1081)*100000000+('Dvd Calendar'!$AR$1083=SPECIAL_LBL)*10000000+(N('Dvd Calendar'!$AR$1077)&gt;0)*(N('Dvd Calendar'!$AR$1077)&lt;=VAL_SERIAL)*1000000+98*1000+40))</f>
        <v/>
      </c>
      <c r="FS109" s="121">
        <f>IF(N('Dvd Calendar'!$E$1085)=0,"",IF(('Dvd Calendar'!$E$1085&gt;=GRID_FROM)*('Dvd Calendar'!$E$1085&lt;=GRID_TO)*('Dvd Calendar'!$E$1085&gt;VAL_DATE)=0,"",'Dvd Calendar'!$E$1085*1000000000+ISNUMBER('Dvd Calendar'!$E$1086)*100000000+0*10000000+(N('Dvd Calendar'!$E$1084)&gt;0)*(N('Dvd Calendar'!$E$1084)&lt;=VAL_SERIAL)*1000000+98*1000+41))</f>
        <v/>
      </c>
      <c r="FT109" s="121">
        <f>IF(N('Dvd Calendar'!$F$1085)=0,"",IF(('Dvd Calendar'!$F$1085&gt;=GRID_FROM)*('Dvd Calendar'!$F$1085&lt;=GRID_TO)*('Dvd Calendar'!$F$1085&gt;VAL_DATE)=0,"",'Dvd Calendar'!$F$1085*1000000000+ISNUMBER('Dvd Calendar'!$F$1086)*100000000+0*10000000+(N('Dvd Calendar'!$F$1084)&gt;0)*(N('Dvd Calendar'!$F$1084)&lt;=VAL_SERIAL)*1000000+98*1000+42))</f>
        <v/>
      </c>
      <c r="FU109" s="121">
        <f>IF(N('Dvd Calendar'!$G$1085)=0,"",IF(('Dvd Calendar'!$G$1085&gt;=GRID_FROM)*('Dvd Calendar'!$G$1085&lt;=GRID_TO)*('Dvd Calendar'!$G$1085&gt;VAL_DATE)=0,"",'Dvd Calendar'!$G$1085*1000000000+ISNUMBER('Dvd Calendar'!$G$1086)*100000000+0*10000000+(N('Dvd Calendar'!$G$1084)&gt;0)*(N('Dvd Calendar'!$G$1084)&lt;=VAL_SERIAL)*1000000+98*1000+43))</f>
        <v/>
      </c>
      <c r="FV109" s="121">
        <f>IF(N('Dvd Calendar'!$H$1085)=0,"",IF(('Dvd Calendar'!$H$1085&gt;=GRID_FROM)*('Dvd Calendar'!$H$1085&lt;=GRID_TO)*('Dvd Calendar'!$H$1085&gt;VAL_DATE)=0,"",'Dvd Calendar'!$H$1085*1000000000+ISNUMBER('Dvd Calendar'!$H$1086)*100000000+0*10000000+(N('Dvd Calendar'!$H$1084)&gt;0)*(N('Dvd Calendar'!$H$1084)&lt;=VAL_SERIAL)*1000000+98*1000+44))</f>
        <v/>
      </c>
      <c r="FW109" s="121">
        <f>IF(N('Dvd Calendar'!$I$1085)=0,"",IF(('Dvd Calendar'!$I$1085&gt;=GRID_FROM)*('Dvd Calendar'!$I$1085&lt;=GRID_TO)*('Dvd Calendar'!$I$1085&gt;VAL_DATE)=0,"",'Dvd Calendar'!$I$1085*1000000000+ISNUMBER('Dvd Calendar'!$I$1086)*100000000+0*10000000+(N('Dvd Calendar'!$I$1084)&gt;0)*(N('Dvd Calendar'!$I$1084)&lt;=VAL_SERIAL)*1000000+98*1000+45))</f>
        <v/>
      </c>
      <c r="FX109" s="121">
        <f>IF(N('Dvd Calendar'!$J$1085)=0,"",IF(('Dvd Calendar'!$J$1085&gt;=GRID_FROM)*('Dvd Calendar'!$J$1085&lt;=GRID_TO)*('Dvd Calendar'!$J$1085&gt;VAL_DATE)=0,"",'Dvd Calendar'!$J$1085*1000000000+ISNUMBER('Dvd Calendar'!$J$1086)*100000000+0*10000000+(N('Dvd Calendar'!$J$1084)&gt;0)*(N('Dvd Calendar'!$J$1084)&lt;=VAL_SERIAL)*1000000+98*1000+46))</f>
        <v/>
      </c>
      <c r="FY109" s="121">
        <f>IF(N('Dvd Calendar'!$K$1085)=0,"",IF(('Dvd Calendar'!$K$1085&gt;=GRID_FROM)*('Dvd Calendar'!$K$1085&lt;=GRID_TO)*('Dvd Calendar'!$K$1085&gt;VAL_DATE)=0,"",'Dvd Calendar'!$K$1085*1000000000+ISNUMBER('Dvd Calendar'!$K$1086)*100000000+0*10000000+(N('Dvd Calendar'!$K$1084)&gt;0)*(N('Dvd Calendar'!$K$1084)&lt;=VAL_SERIAL)*1000000+98*1000+47))</f>
        <v/>
      </c>
      <c r="FZ109" s="121">
        <f>IF(N('Dvd Calendar'!$L$1085)=0,"",IF(('Dvd Calendar'!$L$1085&gt;=GRID_FROM)*('Dvd Calendar'!$L$1085&lt;=GRID_TO)*('Dvd Calendar'!$L$1085&gt;VAL_DATE)=0,"",'Dvd Calendar'!$L$1085*1000000000+ISNUMBER('Dvd Calendar'!$L$1086)*100000000+0*10000000+(N('Dvd Calendar'!$L$1084)&gt;0)*(N('Dvd Calendar'!$L$1084)&lt;=VAL_SERIAL)*1000000+98*1000+48))</f>
        <v/>
      </c>
      <c r="GA109" s="121">
        <f>IF(N('Dvd Calendar'!$M$1085)=0,"",IF(('Dvd Calendar'!$M$1085&gt;=GRID_FROM)*('Dvd Calendar'!$M$1085&lt;=GRID_TO)*('Dvd Calendar'!$M$1085&gt;VAL_DATE)=0,"",'Dvd Calendar'!$M$1085*1000000000+ISNUMBER('Dvd Calendar'!$M$1086)*100000000+0*10000000+(N('Dvd Calendar'!$M$1084)&gt;0)*(N('Dvd Calendar'!$M$1084)&lt;=VAL_SERIAL)*1000000+98*1000+49))</f>
        <v/>
      </c>
      <c r="GB109" s="121">
        <f>IF(N('Dvd Calendar'!$N$1085)=0,"",IF(('Dvd Calendar'!$N$1085&gt;=GRID_FROM)*('Dvd Calendar'!$N$1085&lt;=GRID_TO)*('Dvd Calendar'!$N$1085&gt;VAL_DATE)=0,"",'Dvd Calendar'!$N$1085*1000000000+ISNUMBER('Dvd Calendar'!$N$1086)*100000000+0*10000000+(N('Dvd Calendar'!$N$1084)&gt;0)*(N('Dvd Calendar'!$N$1084)&lt;=VAL_SERIAL)*1000000+98*1000+50))</f>
        <v/>
      </c>
      <c r="GC109" s="121">
        <f>IF(N('Dvd Calendar'!$O$1085)=0,"",IF(('Dvd Calendar'!$O$1085&gt;=GRID_FROM)*('Dvd Calendar'!$O$1085&lt;=GRID_TO)*('Dvd Calendar'!$O$1085&gt;VAL_DATE)=0,"",'Dvd Calendar'!$O$1085*1000000000+ISNUMBER('Dvd Calendar'!$O$1086)*100000000+0*10000000+(N('Dvd Calendar'!$O$1084)&gt;0)*(N('Dvd Calendar'!$O$1084)&lt;=VAL_SERIAL)*1000000+98*1000+51))</f>
        <v/>
      </c>
      <c r="GD109" s="121">
        <f>IF(N('Dvd Calendar'!$P$1085)=0,"",IF(('Dvd Calendar'!$P$1085&gt;=GRID_FROM)*('Dvd Calendar'!$P$1085&lt;=GRID_TO)*('Dvd Calendar'!$P$1085&gt;VAL_DATE)=0,"",'Dvd Calendar'!$P$1085*1000000000+ISNUMBER('Dvd Calendar'!$P$1086)*100000000+0*10000000+(N('Dvd Calendar'!$P$1084)&gt;0)*(N('Dvd Calendar'!$P$1084)&lt;=VAL_SERIAL)*1000000+98*1000+52))</f>
        <v/>
      </c>
      <c r="GE109" s="121">
        <f>IF(N('Dvd Calendar'!$Q$1085)=0,"",IF(('Dvd Calendar'!$Q$1085&gt;=GRID_FROM)*('Dvd Calendar'!$Q$1085&lt;=GRID_TO)*('Dvd Calendar'!$Q$1085&gt;VAL_DATE)=0,"",'Dvd Calendar'!$Q$1085*1000000000+ISNUMBER('Dvd Calendar'!$Q$1086)*100000000+0*10000000+(N('Dvd Calendar'!$Q$1084)&gt;0)*(N('Dvd Calendar'!$Q$1084)&lt;=VAL_SERIAL)*1000000+98*1000+53))</f>
        <v/>
      </c>
      <c r="GF109" s="121">
        <f>IF(N('Dvd Calendar'!$R$1085)=0,"",IF(('Dvd Calendar'!$R$1085&gt;=GRID_FROM)*('Dvd Calendar'!$R$1085&lt;=GRID_TO)*('Dvd Calendar'!$R$1085&gt;VAL_DATE)=0,"",'Dvd Calendar'!$R$1085*1000000000+ISNUMBER('Dvd Calendar'!$R$1086)*100000000+0*10000000+(N('Dvd Calendar'!$R$1084)&gt;0)*(N('Dvd Calendar'!$R$1084)&lt;=VAL_SERIAL)*1000000+98*1000+54))</f>
        <v/>
      </c>
      <c r="GG109" s="121">
        <f>IF(N('Dvd Calendar'!$S$1085)=0,"",IF(('Dvd Calendar'!$S$1085&gt;=GRID_FROM)*('Dvd Calendar'!$S$1085&lt;=GRID_TO)*('Dvd Calendar'!$S$1085&gt;VAL_DATE)=0,"",'Dvd Calendar'!$S$1085*1000000000+ISNUMBER('Dvd Calendar'!$S$1086)*100000000+0*10000000+(N('Dvd Calendar'!$S$1084)&gt;0)*(N('Dvd Calendar'!$S$1084)&lt;=VAL_SERIAL)*1000000+98*1000+55))</f>
        <v/>
      </c>
      <c r="GH109" s="121">
        <f>IF(N('Dvd Calendar'!$T$1085)=0,"",IF(('Dvd Calendar'!$T$1085&gt;=GRID_FROM)*('Dvd Calendar'!$T$1085&lt;=GRID_TO)*('Dvd Calendar'!$T$1085&gt;VAL_DATE)=0,"",'Dvd Calendar'!$T$1085*1000000000+ISNUMBER('Dvd Calendar'!$T$1086)*100000000+0*10000000+(N('Dvd Calendar'!$T$1084)&gt;0)*(N('Dvd Calendar'!$T$1084)&lt;=VAL_SERIAL)*1000000+98*1000+56))</f>
        <v/>
      </c>
      <c r="GI109" s="121">
        <f>IF(N('Dvd Calendar'!$U$1085)=0,"",IF(('Dvd Calendar'!$U$1085&gt;=GRID_FROM)*('Dvd Calendar'!$U$1085&lt;=GRID_TO)*('Dvd Calendar'!$U$1085&gt;VAL_DATE)=0,"",'Dvd Calendar'!$U$1085*1000000000+ISNUMBER('Dvd Calendar'!$U$1086)*100000000+0*10000000+(N('Dvd Calendar'!$U$1084)&gt;0)*(N('Dvd Calendar'!$U$1084)&lt;=VAL_SERIAL)*1000000+98*1000+57))</f>
        <v/>
      </c>
      <c r="GJ109" s="121">
        <f>IF(N('Dvd Calendar'!$V$1085)=0,"",IF(('Dvd Calendar'!$V$1085&gt;=GRID_FROM)*('Dvd Calendar'!$V$1085&lt;=GRID_TO)*('Dvd Calendar'!$V$1085&gt;VAL_DATE)=0,"",'Dvd Calendar'!$V$1085*1000000000+ISNUMBER('Dvd Calendar'!$V$1086)*100000000+0*10000000+(N('Dvd Calendar'!$V$1084)&gt;0)*(N('Dvd Calendar'!$V$1084)&lt;=VAL_SERIAL)*1000000+98*1000+58))</f>
        <v/>
      </c>
      <c r="GK109" s="121">
        <f>IF(N('Dvd Calendar'!$W$1085)=0,"",IF(('Dvd Calendar'!$W$1085&gt;=GRID_FROM)*('Dvd Calendar'!$W$1085&lt;=GRID_TO)*('Dvd Calendar'!$W$1085&gt;VAL_DATE)=0,"",'Dvd Calendar'!$W$1085*1000000000+ISNUMBER('Dvd Calendar'!$W$1086)*100000000+0*10000000+(N('Dvd Calendar'!$W$1084)&gt;0)*(N('Dvd Calendar'!$W$1084)&lt;=VAL_SERIAL)*1000000+98*1000+59))</f>
        <v/>
      </c>
      <c r="GL109" s="121">
        <f>IF(N('Dvd Calendar'!$X$1085)=0,"",IF(('Dvd Calendar'!$X$1085&gt;=GRID_FROM)*('Dvd Calendar'!$X$1085&lt;=GRID_TO)*('Dvd Calendar'!$X$1085&gt;VAL_DATE)=0,"",'Dvd Calendar'!$X$1085*1000000000+ISNUMBER('Dvd Calendar'!$X$1086)*100000000+0*10000000+(N('Dvd Calendar'!$X$1084)&gt;0)*(N('Dvd Calendar'!$X$1084)&lt;=VAL_SERIAL)*1000000+98*1000+60))</f>
        <v/>
      </c>
      <c r="GM109" s="121">
        <f>IF(N('Dvd Calendar'!$Y$1085)=0,"",IF(('Dvd Calendar'!$Y$1085&gt;=GRID_FROM)*('Dvd Calendar'!$Y$1085&lt;=GRID_TO)*('Dvd Calendar'!$Y$1085&gt;VAL_DATE)=0,"",'Dvd Calendar'!$Y$1085*1000000000+ISNUMBER('Dvd Calendar'!$Y$1086)*100000000+0*10000000+(N('Dvd Calendar'!$Y$1084)&gt;0)*(N('Dvd Calendar'!$Y$1084)&lt;=VAL_SERIAL)*1000000+98*1000+61))</f>
        <v/>
      </c>
      <c r="GN109" s="121">
        <f>IF(N('Dvd Calendar'!$Z$1085)=0,"",IF(('Dvd Calendar'!$Z$1085&gt;=GRID_FROM)*('Dvd Calendar'!$Z$1085&lt;=GRID_TO)*('Dvd Calendar'!$Z$1085&gt;VAL_DATE)=0,"",'Dvd Calendar'!$Z$1085*1000000000+ISNUMBER('Dvd Calendar'!$Z$1086)*100000000+0*10000000+(N('Dvd Calendar'!$Z$1084)&gt;0)*(N('Dvd Calendar'!$Z$1084)&lt;=VAL_SERIAL)*1000000+98*1000+62))</f>
        <v/>
      </c>
      <c r="GO109" s="121">
        <f>IF(N('Dvd Calendar'!$AA$1085)=0,"",IF(('Dvd Calendar'!$AA$1085&gt;=GRID_FROM)*('Dvd Calendar'!$AA$1085&lt;=GRID_TO)*('Dvd Calendar'!$AA$1085&gt;VAL_DATE)=0,"",'Dvd Calendar'!$AA$1085*1000000000+ISNUMBER('Dvd Calendar'!$AA$1086)*100000000+0*10000000+(N('Dvd Calendar'!$AA$1084)&gt;0)*(N('Dvd Calendar'!$AA$1084)&lt;=VAL_SERIAL)*1000000+98*1000+63))</f>
        <v/>
      </c>
      <c r="GP109" s="121">
        <f>IF(N('Dvd Calendar'!$AB$1085)=0,"",IF(('Dvd Calendar'!$AB$1085&gt;=GRID_FROM)*('Dvd Calendar'!$AB$1085&lt;=GRID_TO)*('Dvd Calendar'!$AB$1085&gt;VAL_DATE)=0,"",'Dvd Calendar'!$AB$1085*1000000000+ISNUMBER('Dvd Calendar'!$AB$1086)*100000000+0*10000000+(N('Dvd Calendar'!$AB$1084)&gt;0)*(N('Dvd Calendar'!$AB$1084)&lt;=VAL_SERIAL)*1000000+98*1000+64))</f>
        <v/>
      </c>
      <c r="GQ109" s="121">
        <f>IF(N('Dvd Calendar'!$AC$1085)=0,"",IF(('Dvd Calendar'!$AC$1085&gt;=GRID_FROM)*('Dvd Calendar'!$AC$1085&lt;=GRID_TO)*('Dvd Calendar'!$AC$1085&gt;VAL_DATE)=0,"",'Dvd Calendar'!$AC$1085*1000000000+ISNUMBER('Dvd Calendar'!$AC$1086)*100000000+0*10000000+(N('Dvd Calendar'!$AC$1084)&gt;0)*(N('Dvd Calendar'!$AC$1084)&lt;=VAL_SERIAL)*1000000+98*1000+65))</f>
        <v/>
      </c>
    </row>
    <row r="110">
      <c r="B110" s="2">
        <f>IF(HSI!$C$105="","",HSI!$C$105)</f>
        <v/>
      </c>
      <c r="C110" s="161">
        <f>IF(EE110="","",IF(ISNUMBER('Dvd Calendar'!$E$1092)=FALSE,"",IF((('Dvd Calendar'!$E$1094=TYPE1)*(TYPE1&lt;&gt;"")+('Dvd Calendar'!$E$1094=TYPE2)*(TYPE2&lt;&gt;"")+('Dvd Calendar'!$E$1094=TYPE3)*(TYPE3&lt;&gt;"")+('Dvd Calendar'!$E$1094=TYPE4)*(TYPE4&lt;&gt;"")+('Dvd Calendar'!$E$1094=SPECIAL_LBL)*(INC_SPECIALS="Y"))=0,"",'Dvd Calendar'!$E$1092)))</f>
        <v/>
      </c>
      <c r="D110" s="161">
        <f>IF(EF110="","",IF(ISNUMBER('Dvd Calendar'!$F$1092)=FALSE,"",IF((('Dvd Calendar'!$F$1094=TYPE1)*(TYPE1&lt;&gt;"")+('Dvd Calendar'!$F$1094=TYPE2)*(TYPE2&lt;&gt;"")+('Dvd Calendar'!$F$1094=TYPE3)*(TYPE3&lt;&gt;"")+('Dvd Calendar'!$F$1094=TYPE4)*(TYPE4&lt;&gt;"")+('Dvd Calendar'!$F$1094=SPECIAL_LBL)*(INC_SPECIALS="Y"))=0,"",'Dvd Calendar'!$F$1092)))</f>
        <v/>
      </c>
      <c r="E110" s="161">
        <f>IF(EG110="","",IF(ISNUMBER('Dvd Calendar'!$G$1092)=FALSE,"",IF((('Dvd Calendar'!$G$1094=TYPE1)*(TYPE1&lt;&gt;"")+('Dvd Calendar'!$G$1094=TYPE2)*(TYPE2&lt;&gt;"")+('Dvd Calendar'!$G$1094=TYPE3)*(TYPE3&lt;&gt;"")+('Dvd Calendar'!$G$1094=TYPE4)*(TYPE4&lt;&gt;"")+('Dvd Calendar'!$G$1094=SPECIAL_LBL)*(INC_SPECIALS="Y"))=0,"",'Dvd Calendar'!$G$1092)))</f>
        <v/>
      </c>
      <c r="F110" s="161">
        <f>IF(EH110="","",IF(ISNUMBER('Dvd Calendar'!$H$1092)=FALSE,"",IF((('Dvd Calendar'!$H$1094=TYPE1)*(TYPE1&lt;&gt;"")+('Dvd Calendar'!$H$1094=TYPE2)*(TYPE2&lt;&gt;"")+('Dvd Calendar'!$H$1094=TYPE3)*(TYPE3&lt;&gt;"")+('Dvd Calendar'!$H$1094=TYPE4)*(TYPE4&lt;&gt;"")+('Dvd Calendar'!$H$1094=SPECIAL_LBL)*(INC_SPECIALS="Y"))=0,"",'Dvd Calendar'!$H$1092)))</f>
        <v/>
      </c>
      <c r="G110" s="161">
        <f>IF(EI110="","",IF(ISNUMBER('Dvd Calendar'!$I$1092)=FALSE,"",IF((('Dvd Calendar'!$I$1094=TYPE1)*(TYPE1&lt;&gt;"")+('Dvd Calendar'!$I$1094=TYPE2)*(TYPE2&lt;&gt;"")+('Dvd Calendar'!$I$1094=TYPE3)*(TYPE3&lt;&gt;"")+('Dvd Calendar'!$I$1094=TYPE4)*(TYPE4&lt;&gt;"")+('Dvd Calendar'!$I$1094=SPECIAL_LBL)*(INC_SPECIALS="Y"))=0,"",'Dvd Calendar'!$I$1092)))</f>
        <v/>
      </c>
      <c r="H110" s="161">
        <f>IF(EJ110="","",IF(ISNUMBER('Dvd Calendar'!$J$1092)=FALSE,"",IF((('Dvd Calendar'!$J$1094=TYPE1)*(TYPE1&lt;&gt;"")+('Dvd Calendar'!$J$1094=TYPE2)*(TYPE2&lt;&gt;"")+('Dvd Calendar'!$J$1094=TYPE3)*(TYPE3&lt;&gt;"")+('Dvd Calendar'!$J$1094=TYPE4)*(TYPE4&lt;&gt;"")+('Dvd Calendar'!$J$1094=SPECIAL_LBL)*(INC_SPECIALS="Y"))=0,"",'Dvd Calendar'!$J$1092)))</f>
        <v/>
      </c>
      <c r="I110" s="161">
        <f>IF(EK110="","",IF(ISNUMBER('Dvd Calendar'!$K$1092)=FALSE,"",IF((('Dvd Calendar'!$K$1094=TYPE1)*(TYPE1&lt;&gt;"")+('Dvd Calendar'!$K$1094=TYPE2)*(TYPE2&lt;&gt;"")+('Dvd Calendar'!$K$1094=TYPE3)*(TYPE3&lt;&gt;"")+('Dvd Calendar'!$K$1094=TYPE4)*(TYPE4&lt;&gt;"")+('Dvd Calendar'!$K$1094=SPECIAL_LBL)*(INC_SPECIALS="Y"))=0,"",'Dvd Calendar'!$K$1092)))</f>
        <v/>
      </c>
      <c r="J110" s="161">
        <f>IF(EL110="","",IF(ISNUMBER('Dvd Calendar'!$L$1092)=FALSE,"",IF((('Dvd Calendar'!$L$1094=TYPE1)*(TYPE1&lt;&gt;"")+('Dvd Calendar'!$L$1094=TYPE2)*(TYPE2&lt;&gt;"")+('Dvd Calendar'!$L$1094=TYPE3)*(TYPE3&lt;&gt;"")+('Dvd Calendar'!$L$1094=TYPE4)*(TYPE4&lt;&gt;"")+('Dvd Calendar'!$L$1094=SPECIAL_LBL)*(INC_SPECIALS="Y"))=0,"",'Dvd Calendar'!$L$1092)))</f>
        <v/>
      </c>
      <c r="K110" s="161">
        <f>IF(EM110="","",IF(ISNUMBER('Dvd Calendar'!$M$1092)=FALSE,"",IF((('Dvd Calendar'!$M$1094=TYPE1)*(TYPE1&lt;&gt;"")+('Dvd Calendar'!$M$1094=TYPE2)*(TYPE2&lt;&gt;"")+('Dvd Calendar'!$M$1094=TYPE3)*(TYPE3&lt;&gt;"")+('Dvd Calendar'!$M$1094=TYPE4)*(TYPE4&lt;&gt;"")+('Dvd Calendar'!$M$1094=SPECIAL_LBL)*(INC_SPECIALS="Y"))=0,"",'Dvd Calendar'!$M$1092)))</f>
        <v/>
      </c>
      <c r="L110" s="161">
        <f>IF(EN110="","",IF(ISNUMBER('Dvd Calendar'!$N$1092)=FALSE,"",IF((('Dvd Calendar'!$N$1094=TYPE1)*(TYPE1&lt;&gt;"")+('Dvd Calendar'!$N$1094=TYPE2)*(TYPE2&lt;&gt;"")+('Dvd Calendar'!$N$1094=TYPE3)*(TYPE3&lt;&gt;"")+('Dvd Calendar'!$N$1094=TYPE4)*(TYPE4&lt;&gt;"")+('Dvd Calendar'!$N$1094=SPECIAL_LBL)*(INC_SPECIALS="Y"))=0,"",'Dvd Calendar'!$N$1092)))</f>
        <v/>
      </c>
      <c r="M110" s="161">
        <f>IF(EO110="","",IF(ISNUMBER('Dvd Calendar'!$O$1092)=FALSE,"",IF((('Dvd Calendar'!$O$1094=TYPE1)*(TYPE1&lt;&gt;"")+('Dvd Calendar'!$O$1094=TYPE2)*(TYPE2&lt;&gt;"")+('Dvd Calendar'!$O$1094=TYPE3)*(TYPE3&lt;&gt;"")+('Dvd Calendar'!$O$1094=TYPE4)*(TYPE4&lt;&gt;"")+('Dvd Calendar'!$O$1094=SPECIAL_LBL)*(INC_SPECIALS="Y"))=0,"",'Dvd Calendar'!$O$1092)))</f>
        <v/>
      </c>
      <c r="N110" s="161">
        <f>IF(EP110="","",IF(ISNUMBER('Dvd Calendar'!$P$1092)=FALSE,"",IF((('Dvd Calendar'!$P$1094=TYPE1)*(TYPE1&lt;&gt;"")+('Dvd Calendar'!$P$1094=TYPE2)*(TYPE2&lt;&gt;"")+('Dvd Calendar'!$P$1094=TYPE3)*(TYPE3&lt;&gt;"")+('Dvd Calendar'!$P$1094=TYPE4)*(TYPE4&lt;&gt;"")+('Dvd Calendar'!$P$1094=SPECIAL_LBL)*(INC_SPECIALS="Y"))=0,"",'Dvd Calendar'!$P$1092)))</f>
        <v/>
      </c>
      <c r="O110" s="161">
        <f>IF(EQ110="","",IF(ISNUMBER('Dvd Calendar'!$Q$1092)=FALSE,"",IF((('Dvd Calendar'!$Q$1094=TYPE1)*(TYPE1&lt;&gt;"")+('Dvd Calendar'!$Q$1094=TYPE2)*(TYPE2&lt;&gt;"")+('Dvd Calendar'!$Q$1094=TYPE3)*(TYPE3&lt;&gt;"")+('Dvd Calendar'!$Q$1094=TYPE4)*(TYPE4&lt;&gt;"")+('Dvd Calendar'!$Q$1094=SPECIAL_LBL)*(INC_SPECIALS="Y"))=0,"",'Dvd Calendar'!$Q$1092)))</f>
        <v/>
      </c>
      <c r="P110" s="161">
        <f>IF(ER110="","",IF(ISNUMBER('Dvd Calendar'!$R$1092)=FALSE,"",IF((('Dvd Calendar'!$R$1094=TYPE1)*(TYPE1&lt;&gt;"")+('Dvd Calendar'!$R$1094=TYPE2)*(TYPE2&lt;&gt;"")+('Dvd Calendar'!$R$1094=TYPE3)*(TYPE3&lt;&gt;"")+('Dvd Calendar'!$R$1094=TYPE4)*(TYPE4&lt;&gt;"")+('Dvd Calendar'!$R$1094=SPECIAL_LBL)*(INC_SPECIALS="Y"))=0,"",'Dvd Calendar'!$R$1092)))</f>
        <v/>
      </c>
      <c r="Q110" s="161">
        <f>IF(ES110="","",IF(ISNUMBER('Dvd Calendar'!$S$1092)=FALSE,"",IF((('Dvd Calendar'!$S$1094=TYPE1)*(TYPE1&lt;&gt;"")+('Dvd Calendar'!$S$1094=TYPE2)*(TYPE2&lt;&gt;"")+('Dvd Calendar'!$S$1094=TYPE3)*(TYPE3&lt;&gt;"")+('Dvd Calendar'!$S$1094=TYPE4)*(TYPE4&lt;&gt;"")+('Dvd Calendar'!$S$1094=SPECIAL_LBL)*(INC_SPECIALS="Y"))=0,"",'Dvd Calendar'!$S$1092)))</f>
        <v/>
      </c>
      <c r="R110" s="161">
        <f>IF(ET110="","",IF(ISNUMBER('Dvd Calendar'!$T$1092)=FALSE,"",IF((('Dvd Calendar'!$T$1094=TYPE1)*(TYPE1&lt;&gt;"")+('Dvd Calendar'!$T$1094=TYPE2)*(TYPE2&lt;&gt;"")+('Dvd Calendar'!$T$1094=TYPE3)*(TYPE3&lt;&gt;"")+('Dvd Calendar'!$T$1094=TYPE4)*(TYPE4&lt;&gt;"")+('Dvd Calendar'!$T$1094=SPECIAL_LBL)*(INC_SPECIALS="Y"))=0,"",'Dvd Calendar'!$T$1092)))</f>
        <v/>
      </c>
      <c r="S110" s="161">
        <f>IF(EU110="","",IF(ISNUMBER('Dvd Calendar'!$U$1092)=FALSE,"",IF((('Dvd Calendar'!$U$1094=TYPE1)*(TYPE1&lt;&gt;"")+('Dvd Calendar'!$U$1094=TYPE2)*(TYPE2&lt;&gt;"")+('Dvd Calendar'!$U$1094=TYPE3)*(TYPE3&lt;&gt;"")+('Dvd Calendar'!$U$1094=TYPE4)*(TYPE4&lt;&gt;"")+('Dvd Calendar'!$U$1094=SPECIAL_LBL)*(INC_SPECIALS="Y"))=0,"",'Dvd Calendar'!$U$1092)))</f>
        <v/>
      </c>
      <c r="T110" s="161">
        <f>IF(EV110="","",IF(ISNUMBER('Dvd Calendar'!$V$1092)=FALSE,"",IF((('Dvd Calendar'!$V$1094=TYPE1)*(TYPE1&lt;&gt;"")+('Dvd Calendar'!$V$1094=TYPE2)*(TYPE2&lt;&gt;"")+('Dvd Calendar'!$V$1094=TYPE3)*(TYPE3&lt;&gt;"")+('Dvd Calendar'!$V$1094=TYPE4)*(TYPE4&lt;&gt;"")+('Dvd Calendar'!$V$1094=SPECIAL_LBL)*(INC_SPECIALS="Y"))=0,"",'Dvd Calendar'!$V$1092)))</f>
        <v/>
      </c>
      <c r="U110" s="161">
        <f>IF(EW110="","",IF(ISNUMBER('Dvd Calendar'!$W$1092)=FALSE,"",IF((('Dvd Calendar'!$W$1094=TYPE1)*(TYPE1&lt;&gt;"")+('Dvd Calendar'!$W$1094=TYPE2)*(TYPE2&lt;&gt;"")+('Dvd Calendar'!$W$1094=TYPE3)*(TYPE3&lt;&gt;"")+('Dvd Calendar'!$W$1094=TYPE4)*(TYPE4&lt;&gt;"")+('Dvd Calendar'!$W$1094=SPECIAL_LBL)*(INC_SPECIALS="Y"))=0,"",'Dvd Calendar'!$W$1092)))</f>
        <v/>
      </c>
      <c r="V110" s="161">
        <f>IF(EX110="","",IF(ISNUMBER('Dvd Calendar'!$X$1092)=FALSE,"",IF((('Dvd Calendar'!$X$1094=TYPE1)*(TYPE1&lt;&gt;"")+('Dvd Calendar'!$X$1094=TYPE2)*(TYPE2&lt;&gt;"")+('Dvd Calendar'!$X$1094=TYPE3)*(TYPE3&lt;&gt;"")+('Dvd Calendar'!$X$1094=TYPE4)*(TYPE4&lt;&gt;"")+('Dvd Calendar'!$X$1094=SPECIAL_LBL)*(INC_SPECIALS="Y"))=0,"",'Dvd Calendar'!$X$1092)))</f>
        <v/>
      </c>
      <c r="W110" s="161">
        <f>IF(EY110="","",IF(ISNUMBER('Dvd Calendar'!$Y$1092)=FALSE,"",IF((('Dvd Calendar'!$Y$1094=TYPE1)*(TYPE1&lt;&gt;"")+('Dvd Calendar'!$Y$1094=TYPE2)*(TYPE2&lt;&gt;"")+('Dvd Calendar'!$Y$1094=TYPE3)*(TYPE3&lt;&gt;"")+('Dvd Calendar'!$Y$1094=TYPE4)*(TYPE4&lt;&gt;"")+('Dvd Calendar'!$Y$1094=SPECIAL_LBL)*(INC_SPECIALS="Y"))=0,"",'Dvd Calendar'!$Y$1092)))</f>
        <v/>
      </c>
      <c r="X110" s="161">
        <f>IF(EZ110="","",IF(ISNUMBER('Dvd Calendar'!$Z$1092)=FALSE,"",IF((('Dvd Calendar'!$Z$1094=TYPE1)*(TYPE1&lt;&gt;"")+('Dvd Calendar'!$Z$1094=TYPE2)*(TYPE2&lt;&gt;"")+('Dvd Calendar'!$Z$1094=TYPE3)*(TYPE3&lt;&gt;"")+('Dvd Calendar'!$Z$1094=TYPE4)*(TYPE4&lt;&gt;"")+('Dvd Calendar'!$Z$1094=SPECIAL_LBL)*(INC_SPECIALS="Y"))=0,"",'Dvd Calendar'!$Z$1092)))</f>
        <v/>
      </c>
      <c r="Y110" s="161">
        <f>IF(FA110="","",IF(ISNUMBER('Dvd Calendar'!$AA$1092)=FALSE,"",IF((('Dvd Calendar'!$AA$1094=TYPE1)*(TYPE1&lt;&gt;"")+('Dvd Calendar'!$AA$1094=TYPE2)*(TYPE2&lt;&gt;"")+('Dvd Calendar'!$AA$1094=TYPE3)*(TYPE3&lt;&gt;"")+('Dvd Calendar'!$AA$1094=TYPE4)*(TYPE4&lt;&gt;"")+('Dvd Calendar'!$AA$1094=SPECIAL_LBL)*(INC_SPECIALS="Y"))=0,"",'Dvd Calendar'!$AA$1092)))</f>
        <v/>
      </c>
      <c r="Z110" s="161">
        <f>IF(FB110="","",IF(ISNUMBER('Dvd Calendar'!$AB$1092)=FALSE,"",IF((('Dvd Calendar'!$AB$1094=TYPE1)*(TYPE1&lt;&gt;"")+('Dvd Calendar'!$AB$1094=TYPE2)*(TYPE2&lt;&gt;"")+('Dvd Calendar'!$AB$1094=TYPE3)*(TYPE3&lt;&gt;"")+('Dvd Calendar'!$AB$1094=TYPE4)*(TYPE4&lt;&gt;"")+('Dvd Calendar'!$AB$1094=SPECIAL_LBL)*(INC_SPECIALS="Y"))=0,"",'Dvd Calendar'!$AB$1092)))</f>
        <v/>
      </c>
      <c r="AA110" s="161">
        <f>IF(FC110="","",IF(ISNUMBER('Dvd Calendar'!$AC$1092)=FALSE,"",IF((('Dvd Calendar'!$AC$1094=TYPE1)*(TYPE1&lt;&gt;"")+('Dvd Calendar'!$AC$1094=TYPE2)*(TYPE2&lt;&gt;"")+('Dvd Calendar'!$AC$1094=TYPE3)*(TYPE3&lt;&gt;"")+('Dvd Calendar'!$AC$1094=TYPE4)*(TYPE4&lt;&gt;"")+('Dvd Calendar'!$AC$1094=SPECIAL_LBL)*(INC_SPECIALS="Y"))=0,"",'Dvd Calendar'!$AC$1092)))</f>
        <v/>
      </c>
      <c r="AB110" s="161">
        <f>IF(FD110="","",IF(ISNUMBER('Dvd Calendar'!$AD$1092)=FALSE,"",IF((('Dvd Calendar'!$AD$1094=TYPE1)*(TYPE1&lt;&gt;"")+('Dvd Calendar'!$AD$1094=TYPE2)*(TYPE2&lt;&gt;"")+('Dvd Calendar'!$AD$1094=TYPE3)*(TYPE3&lt;&gt;"")+('Dvd Calendar'!$AD$1094=TYPE4)*(TYPE4&lt;&gt;"")+('Dvd Calendar'!$AD$1094=SPECIAL_LBL)*(INC_SPECIALS="Y"))=0,"",'Dvd Calendar'!$AD$1092)))</f>
        <v/>
      </c>
      <c r="AC110" s="161">
        <f>IF(FE110="","",IF(ISNUMBER('Dvd Calendar'!$AE$1092)=FALSE,"",IF((('Dvd Calendar'!$AE$1094=TYPE1)*(TYPE1&lt;&gt;"")+('Dvd Calendar'!$AE$1094=TYPE2)*(TYPE2&lt;&gt;"")+('Dvd Calendar'!$AE$1094=TYPE3)*(TYPE3&lt;&gt;"")+('Dvd Calendar'!$AE$1094=TYPE4)*(TYPE4&lt;&gt;"")+('Dvd Calendar'!$AE$1094=SPECIAL_LBL)*(INC_SPECIALS="Y"))=0,"",'Dvd Calendar'!$AE$1092)))</f>
        <v/>
      </c>
      <c r="AD110" s="161">
        <f>IF(FF110="","",IF(ISNUMBER('Dvd Calendar'!$AF$1092)=FALSE,"",IF((('Dvd Calendar'!$AF$1094=TYPE1)*(TYPE1&lt;&gt;"")+('Dvd Calendar'!$AF$1094=TYPE2)*(TYPE2&lt;&gt;"")+('Dvd Calendar'!$AF$1094=TYPE3)*(TYPE3&lt;&gt;"")+('Dvd Calendar'!$AF$1094=TYPE4)*(TYPE4&lt;&gt;"")+('Dvd Calendar'!$AF$1094=SPECIAL_LBL)*(INC_SPECIALS="Y"))=0,"",'Dvd Calendar'!$AF$1092)))</f>
        <v/>
      </c>
      <c r="AE110" s="161">
        <f>IF(FG110="","",IF(ISNUMBER('Dvd Calendar'!$AG$1092)=FALSE,"",IF((('Dvd Calendar'!$AG$1094=TYPE1)*(TYPE1&lt;&gt;"")+('Dvd Calendar'!$AG$1094=TYPE2)*(TYPE2&lt;&gt;"")+('Dvd Calendar'!$AG$1094=TYPE3)*(TYPE3&lt;&gt;"")+('Dvd Calendar'!$AG$1094=TYPE4)*(TYPE4&lt;&gt;"")+('Dvd Calendar'!$AG$1094=SPECIAL_LBL)*(INC_SPECIALS="Y"))=0,"",'Dvd Calendar'!$AG$1092)))</f>
        <v/>
      </c>
      <c r="AF110" s="161">
        <f>IF(FH110="","",IF(ISNUMBER('Dvd Calendar'!$AH$1092)=FALSE,"",IF((('Dvd Calendar'!$AH$1094=TYPE1)*(TYPE1&lt;&gt;"")+('Dvd Calendar'!$AH$1094=TYPE2)*(TYPE2&lt;&gt;"")+('Dvd Calendar'!$AH$1094=TYPE3)*(TYPE3&lt;&gt;"")+('Dvd Calendar'!$AH$1094=TYPE4)*(TYPE4&lt;&gt;"")+('Dvd Calendar'!$AH$1094=SPECIAL_LBL)*(INC_SPECIALS="Y"))=0,"",'Dvd Calendar'!$AH$1092)))</f>
        <v/>
      </c>
      <c r="AG110" s="161">
        <f>IF(FI110="","",IF(ISNUMBER('Dvd Calendar'!$AI$1092)=FALSE,"",IF((('Dvd Calendar'!$AI$1094=TYPE1)*(TYPE1&lt;&gt;"")+('Dvd Calendar'!$AI$1094=TYPE2)*(TYPE2&lt;&gt;"")+('Dvd Calendar'!$AI$1094=TYPE3)*(TYPE3&lt;&gt;"")+('Dvd Calendar'!$AI$1094=TYPE4)*(TYPE4&lt;&gt;"")+('Dvd Calendar'!$AI$1094=SPECIAL_LBL)*(INC_SPECIALS="Y"))=0,"",'Dvd Calendar'!$AI$1092)))</f>
        <v/>
      </c>
      <c r="AH110" s="161">
        <f>IF(FJ110="","",IF(ISNUMBER('Dvd Calendar'!$AJ$1092)=FALSE,"",IF((('Dvd Calendar'!$AJ$1094=TYPE1)*(TYPE1&lt;&gt;"")+('Dvd Calendar'!$AJ$1094=TYPE2)*(TYPE2&lt;&gt;"")+('Dvd Calendar'!$AJ$1094=TYPE3)*(TYPE3&lt;&gt;"")+('Dvd Calendar'!$AJ$1094=TYPE4)*(TYPE4&lt;&gt;"")+('Dvd Calendar'!$AJ$1094=SPECIAL_LBL)*(INC_SPECIALS="Y"))=0,"",'Dvd Calendar'!$AJ$1092)))</f>
        <v/>
      </c>
      <c r="AI110" s="161">
        <f>IF(FK110="","",IF(ISNUMBER('Dvd Calendar'!$AK$1092)=FALSE,"",IF((('Dvd Calendar'!$AK$1094=TYPE1)*(TYPE1&lt;&gt;"")+('Dvd Calendar'!$AK$1094=TYPE2)*(TYPE2&lt;&gt;"")+('Dvd Calendar'!$AK$1094=TYPE3)*(TYPE3&lt;&gt;"")+('Dvd Calendar'!$AK$1094=TYPE4)*(TYPE4&lt;&gt;"")+('Dvd Calendar'!$AK$1094=SPECIAL_LBL)*(INC_SPECIALS="Y"))=0,"",'Dvd Calendar'!$AK$1092)))</f>
        <v/>
      </c>
      <c r="AJ110" s="161">
        <f>IF(FL110="","",IF(ISNUMBER('Dvd Calendar'!$AL$1092)=FALSE,"",IF((('Dvd Calendar'!$AL$1094=TYPE1)*(TYPE1&lt;&gt;"")+('Dvd Calendar'!$AL$1094=TYPE2)*(TYPE2&lt;&gt;"")+('Dvd Calendar'!$AL$1094=TYPE3)*(TYPE3&lt;&gt;"")+('Dvd Calendar'!$AL$1094=TYPE4)*(TYPE4&lt;&gt;"")+('Dvd Calendar'!$AL$1094=SPECIAL_LBL)*(INC_SPECIALS="Y"))=0,"",'Dvd Calendar'!$AL$1092)))</f>
        <v/>
      </c>
      <c r="AK110" s="161">
        <f>IF(FM110="","",IF(ISNUMBER('Dvd Calendar'!$AM$1092)=FALSE,"",IF((('Dvd Calendar'!$AM$1094=TYPE1)*(TYPE1&lt;&gt;"")+('Dvd Calendar'!$AM$1094=TYPE2)*(TYPE2&lt;&gt;"")+('Dvd Calendar'!$AM$1094=TYPE3)*(TYPE3&lt;&gt;"")+('Dvd Calendar'!$AM$1094=TYPE4)*(TYPE4&lt;&gt;"")+('Dvd Calendar'!$AM$1094=SPECIAL_LBL)*(INC_SPECIALS="Y"))=0,"",'Dvd Calendar'!$AM$1092)))</f>
        <v/>
      </c>
      <c r="AL110" s="161">
        <f>IF(FN110="","",IF(ISNUMBER('Dvd Calendar'!$AN$1092)=FALSE,"",IF((('Dvd Calendar'!$AN$1094=TYPE1)*(TYPE1&lt;&gt;"")+('Dvd Calendar'!$AN$1094=TYPE2)*(TYPE2&lt;&gt;"")+('Dvd Calendar'!$AN$1094=TYPE3)*(TYPE3&lt;&gt;"")+('Dvd Calendar'!$AN$1094=TYPE4)*(TYPE4&lt;&gt;"")+('Dvd Calendar'!$AN$1094=SPECIAL_LBL)*(INC_SPECIALS="Y"))=0,"",'Dvd Calendar'!$AN$1092)))</f>
        <v/>
      </c>
      <c r="AM110" s="161">
        <f>IF(FO110="","",IF(ISNUMBER('Dvd Calendar'!$AO$1092)=FALSE,"",IF((('Dvd Calendar'!$AO$1094=TYPE1)*(TYPE1&lt;&gt;"")+('Dvd Calendar'!$AO$1094=TYPE2)*(TYPE2&lt;&gt;"")+('Dvd Calendar'!$AO$1094=TYPE3)*(TYPE3&lt;&gt;"")+('Dvd Calendar'!$AO$1094=TYPE4)*(TYPE4&lt;&gt;"")+('Dvd Calendar'!$AO$1094=SPECIAL_LBL)*(INC_SPECIALS="Y"))=0,"",'Dvd Calendar'!$AO$1092)))</f>
        <v/>
      </c>
      <c r="AN110" s="161">
        <f>IF(FP110="","",IF(ISNUMBER('Dvd Calendar'!$AP$1092)=FALSE,"",IF((('Dvd Calendar'!$AP$1094=TYPE1)*(TYPE1&lt;&gt;"")+('Dvd Calendar'!$AP$1094=TYPE2)*(TYPE2&lt;&gt;"")+('Dvd Calendar'!$AP$1094=TYPE3)*(TYPE3&lt;&gt;"")+('Dvd Calendar'!$AP$1094=TYPE4)*(TYPE4&lt;&gt;"")+('Dvd Calendar'!$AP$1094=SPECIAL_LBL)*(INC_SPECIALS="Y"))=0,"",'Dvd Calendar'!$AP$1092)))</f>
        <v/>
      </c>
      <c r="AO110" s="161">
        <f>IF(FQ110="","",IF(ISNUMBER('Dvd Calendar'!$AQ$1092)=FALSE,"",IF((('Dvd Calendar'!$AQ$1094=TYPE1)*(TYPE1&lt;&gt;"")+('Dvd Calendar'!$AQ$1094=TYPE2)*(TYPE2&lt;&gt;"")+('Dvd Calendar'!$AQ$1094=TYPE3)*(TYPE3&lt;&gt;"")+('Dvd Calendar'!$AQ$1094=TYPE4)*(TYPE4&lt;&gt;"")+('Dvd Calendar'!$AQ$1094=SPECIAL_LBL)*(INC_SPECIALS="Y"))=0,"",'Dvd Calendar'!$AQ$1092)))</f>
        <v/>
      </c>
      <c r="AP110" s="161">
        <f>IF(FR110="","",IF(ISNUMBER('Dvd Calendar'!$AR$1092)=FALSE,"",IF((('Dvd Calendar'!$AR$1094=TYPE1)*(TYPE1&lt;&gt;"")+('Dvd Calendar'!$AR$1094=TYPE2)*(TYPE2&lt;&gt;"")+('Dvd Calendar'!$AR$1094=TYPE3)*(TYPE3&lt;&gt;"")+('Dvd Calendar'!$AR$1094=TYPE4)*(TYPE4&lt;&gt;"")+('Dvd Calendar'!$AR$1094=SPECIAL_LBL)*(INC_SPECIALS="Y"))=0,"",'Dvd Calendar'!$AR$1092)))</f>
        <v/>
      </c>
      <c r="AQ110" s="161">
        <f>IF(FS110="","",IF(ISNUMBER('Dvd Calendar'!$E$1097)=FALSE,"",'Dvd Calendar'!$E$1097))</f>
        <v/>
      </c>
      <c r="AR110" s="161">
        <f>IF(FT110="","",IF(ISNUMBER('Dvd Calendar'!$F$1097)=FALSE,"",'Dvd Calendar'!$F$1097))</f>
        <v/>
      </c>
      <c r="AS110" s="161">
        <f>IF(FU110="","",IF(ISNUMBER('Dvd Calendar'!$G$1097)=FALSE,"",'Dvd Calendar'!$G$1097))</f>
        <v/>
      </c>
      <c r="AT110" s="161">
        <f>IF(FV110="","",IF(ISNUMBER('Dvd Calendar'!$H$1097)=FALSE,"",'Dvd Calendar'!$H$1097))</f>
        <v/>
      </c>
      <c r="AU110" s="161">
        <f>IF(FW110="","",IF(ISNUMBER('Dvd Calendar'!$I$1097)=FALSE,"",'Dvd Calendar'!$I$1097))</f>
        <v/>
      </c>
      <c r="AV110" s="161">
        <f>IF(FX110="","",IF(ISNUMBER('Dvd Calendar'!$J$1097)=FALSE,"",'Dvd Calendar'!$J$1097))</f>
        <v/>
      </c>
      <c r="AW110" s="161">
        <f>IF(FY110="","",IF(ISNUMBER('Dvd Calendar'!$K$1097)=FALSE,"",'Dvd Calendar'!$K$1097))</f>
        <v/>
      </c>
      <c r="AX110" s="161">
        <f>IF(FZ110="","",IF(ISNUMBER('Dvd Calendar'!$L$1097)=FALSE,"",'Dvd Calendar'!$L$1097))</f>
        <v/>
      </c>
      <c r="AY110" s="161">
        <f>IF(GA110="","",IF(ISNUMBER('Dvd Calendar'!$M$1097)=FALSE,"",'Dvd Calendar'!$M$1097))</f>
        <v/>
      </c>
      <c r="AZ110" s="161">
        <f>IF(GB110="","",IF(ISNUMBER('Dvd Calendar'!$N$1097)=FALSE,"",'Dvd Calendar'!$N$1097))</f>
        <v/>
      </c>
      <c r="BA110" s="161">
        <f>IF(GC110="","",IF(ISNUMBER('Dvd Calendar'!$O$1097)=FALSE,"",'Dvd Calendar'!$O$1097))</f>
        <v/>
      </c>
      <c r="BB110" s="161">
        <f>IF(GD110="","",IF(ISNUMBER('Dvd Calendar'!$P$1097)=FALSE,"",'Dvd Calendar'!$P$1097))</f>
        <v/>
      </c>
      <c r="BC110" s="161">
        <f>IF(GE110="","",IF(ISNUMBER('Dvd Calendar'!$Q$1097)=FALSE,"",'Dvd Calendar'!$Q$1097))</f>
        <v/>
      </c>
      <c r="BD110" s="161">
        <f>IF(GF110="","",IF(ISNUMBER('Dvd Calendar'!$R$1097)=FALSE,"",'Dvd Calendar'!$R$1097))</f>
        <v/>
      </c>
      <c r="BE110" s="161">
        <f>IF(GG110="","",IF(ISNUMBER('Dvd Calendar'!$S$1097)=FALSE,"",'Dvd Calendar'!$S$1097))</f>
        <v/>
      </c>
      <c r="BF110" s="161">
        <f>IF(GH110="","",IF(ISNUMBER('Dvd Calendar'!$T$1097)=FALSE,"",'Dvd Calendar'!$T$1097))</f>
        <v/>
      </c>
      <c r="BG110" s="161">
        <f>IF(GI110="","",IF(ISNUMBER('Dvd Calendar'!$U$1097)=FALSE,"",'Dvd Calendar'!$U$1097))</f>
        <v/>
      </c>
      <c r="BH110" s="161">
        <f>IF(GJ110="","",IF(ISNUMBER('Dvd Calendar'!$V$1097)=FALSE,"",'Dvd Calendar'!$V$1097))</f>
        <v/>
      </c>
      <c r="BI110" s="161">
        <f>IF(GK110="","",IF(ISNUMBER('Dvd Calendar'!$W$1097)=FALSE,"",'Dvd Calendar'!$W$1097))</f>
        <v/>
      </c>
      <c r="BJ110" s="161">
        <f>IF(GL110="","",IF(ISNUMBER('Dvd Calendar'!$X$1097)=FALSE,"",'Dvd Calendar'!$X$1097))</f>
        <v/>
      </c>
      <c r="BK110" s="161">
        <f>IF(GM110="","",IF(ISNUMBER('Dvd Calendar'!$Y$1097)=FALSE,"",'Dvd Calendar'!$Y$1097))</f>
        <v/>
      </c>
      <c r="BL110" s="161">
        <f>IF(GN110="","",IF(ISNUMBER('Dvd Calendar'!$Z$1097)=FALSE,"",'Dvd Calendar'!$Z$1097))</f>
        <v/>
      </c>
      <c r="BM110" s="161">
        <f>IF(GO110="","",IF(ISNUMBER('Dvd Calendar'!$AA$1097)=FALSE,"",'Dvd Calendar'!$AA$1097))</f>
        <v/>
      </c>
      <c r="BN110" s="161">
        <f>IF(GP110="","",IF(ISNUMBER('Dvd Calendar'!$AB$1097)=FALSE,"",'Dvd Calendar'!$AB$1097))</f>
        <v/>
      </c>
      <c r="BO110" s="161">
        <f>IF(GQ110="","",IF(ISNUMBER('Dvd Calendar'!$AC$1097)=FALSE,"",'Dvd Calendar'!$AC$1097))</f>
        <v/>
      </c>
      <c r="BQ110" s="161">
        <f>IF(C110="","",IFERROR(C110*HSI!$B$105*HSI!$G$105/HSI!$B$3,""))</f>
        <v/>
      </c>
      <c r="BR110" s="161">
        <f>IF(D110="","",IFERROR(D110*HSI!$B$105*HSI!$G$105/HSI!$B$3,""))</f>
        <v/>
      </c>
      <c r="BS110" s="161">
        <f>IF(E110="","",IFERROR(E110*HSI!$B$105*HSI!$G$105/HSI!$B$3,""))</f>
        <v/>
      </c>
      <c r="BT110" s="161">
        <f>IF(F110="","",IFERROR(F110*HSI!$B$105*HSI!$G$105/HSI!$B$3,""))</f>
        <v/>
      </c>
      <c r="BU110" s="161">
        <f>IF(G110="","",IFERROR(G110*HSI!$B$105*HSI!$G$105/HSI!$B$3,""))</f>
        <v/>
      </c>
      <c r="BV110" s="161">
        <f>IF(H110="","",IFERROR(H110*HSI!$B$105*HSI!$G$105/HSI!$B$3,""))</f>
        <v/>
      </c>
      <c r="BW110" s="161">
        <f>IF(I110="","",IFERROR(I110*HSI!$B$105*HSI!$G$105/HSI!$B$3,""))</f>
        <v/>
      </c>
      <c r="BX110" s="161">
        <f>IF(J110="","",IFERROR(J110*HSI!$B$105*HSI!$G$105/HSI!$B$3,""))</f>
        <v/>
      </c>
      <c r="BY110" s="161">
        <f>IF(K110="","",IFERROR(K110*HSI!$B$105*HSI!$G$105/HSI!$B$3,""))</f>
        <v/>
      </c>
      <c r="BZ110" s="161">
        <f>IF(L110="","",IFERROR(L110*HSI!$B$105*HSI!$G$105/HSI!$B$3,""))</f>
        <v/>
      </c>
      <c r="CA110" s="161">
        <f>IF(M110="","",IFERROR(M110*HSI!$B$105*HSI!$G$105/HSI!$B$3,""))</f>
        <v/>
      </c>
      <c r="CB110" s="161">
        <f>IF(N110="","",IFERROR(N110*HSI!$B$105*HSI!$G$105/HSI!$B$3,""))</f>
        <v/>
      </c>
      <c r="CC110" s="161">
        <f>IF(O110="","",IFERROR(O110*HSI!$B$105*HSI!$G$105/HSI!$B$3,""))</f>
        <v/>
      </c>
      <c r="CD110" s="161">
        <f>IF(P110="","",IFERROR(P110*HSI!$B$105*HSI!$G$105/HSI!$B$3,""))</f>
        <v/>
      </c>
      <c r="CE110" s="161">
        <f>IF(Q110="","",IFERROR(Q110*HSI!$B$105*HSI!$G$105/HSI!$B$3,""))</f>
        <v/>
      </c>
      <c r="CF110" s="161">
        <f>IF(R110="","",IFERROR(R110*HSI!$B$105*HSI!$G$105/HSI!$B$3,""))</f>
        <v/>
      </c>
      <c r="CG110" s="161">
        <f>IF(S110="","",IFERROR(S110*HSI!$B$105*HSI!$G$105/HSI!$B$3,""))</f>
        <v/>
      </c>
      <c r="CH110" s="161">
        <f>IF(T110="","",IFERROR(T110*HSI!$B$105*HSI!$G$105/HSI!$B$3,""))</f>
        <v/>
      </c>
      <c r="CI110" s="161">
        <f>IF(U110="","",IFERROR(U110*HSI!$B$105*HSI!$G$105/HSI!$B$3,""))</f>
        <v/>
      </c>
      <c r="CJ110" s="161">
        <f>IF(V110="","",IFERROR(V110*HSI!$B$105*HSI!$G$105/HSI!$B$3,""))</f>
        <v/>
      </c>
      <c r="CK110" s="161">
        <f>IF(W110="","",IFERROR(W110*HSI!$B$105*HSI!$G$105/HSI!$B$3,""))</f>
        <v/>
      </c>
      <c r="CL110" s="161">
        <f>IF(X110="","",IFERROR(X110*HSI!$B$105*HSI!$G$105/HSI!$B$3,""))</f>
        <v/>
      </c>
      <c r="CM110" s="161">
        <f>IF(Y110="","",IFERROR(Y110*HSI!$B$105*HSI!$G$105/HSI!$B$3,""))</f>
        <v/>
      </c>
      <c r="CN110" s="161">
        <f>IF(Z110="","",IFERROR(Z110*HSI!$B$105*HSI!$G$105/HSI!$B$3,""))</f>
        <v/>
      </c>
      <c r="CO110" s="161">
        <f>IF(AA110="","",IFERROR(AA110*HSI!$B$105*HSI!$G$105/HSI!$B$3,""))</f>
        <v/>
      </c>
      <c r="CP110" s="161">
        <f>IF(AB110="","",IFERROR(AB110*HSI!$B$105*HSI!$G$105/HSI!$B$3,""))</f>
        <v/>
      </c>
      <c r="CQ110" s="161">
        <f>IF(AC110="","",IFERROR(AC110*HSI!$B$105*HSI!$G$105/HSI!$B$3,""))</f>
        <v/>
      </c>
      <c r="CR110" s="161">
        <f>IF(AD110="","",IFERROR(AD110*HSI!$B$105*HSI!$G$105/HSI!$B$3,""))</f>
        <v/>
      </c>
      <c r="CS110" s="161">
        <f>IF(AE110="","",IFERROR(AE110*HSI!$B$105*HSI!$G$105/HSI!$B$3,""))</f>
        <v/>
      </c>
      <c r="CT110" s="161">
        <f>IF(AF110="","",IFERROR(AF110*HSI!$B$105*HSI!$G$105/HSI!$B$3,""))</f>
        <v/>
      </c>
      <c r="CU110" s="161">
        <f>IF(AG110="","",IFERROR(AG110*HSI!$B$105*HSI!$G$105/HSI!$B$3,""))</f>
        <v/>
      </c>
      <c r="CV110" s="161">
        <f>IF(AH110="","",IFERROR(AH110*HSI!$B$105*HSI!$G$105/HSI!$B$3,""))</f>
        <v/>
      </c>
      <c r="CW110" s="161">
        <f>IF(AI110="","",IFERROR(AI110*HSI!$B$105*HSI!$G$105/HSI!$B$3,""))</f>
        <v/>
      </c>
      <c r="CX110" s="161">
        <f>IF(AJ110="","",IFERROR(AJ110*HSI!$B$105*HSI!$G$105/HSI!$B$3,""))</f>
        <v/>
      </c>
      <c r="CY110" s="161">
        <f>IF(AK110="","",IFERROR(AK110*HSI!$B$105*HSI!$G$105/HSI!$B$3,""))</f>
        <v/>
      </c>
      <c r="CZ110" s="161">
        <f>IF(AL110="","",IFERROR(AL110*HSI!$B$105*HSI!$G$105/HSI!$B$3,""))</f>
        <v/>
      </c>
      <c r="DA110" s="161">
        <f>IF(AM110="","",IFERROR(AM110*HSI!$B$105*HSI!$G$105/HSI!$B$3,""))</f>
        <v/>
      </c>
      <c r="DB110" s="161">
        <f>IF(AN110="","",IFERROR(AN110*HSI!$B$105*HSI!$G$105/HSI!$B$3,""))</f>
        <v/>
      </c>
      <c r="DC110" s="161">
        <f>IF(AO110="","",IFERROR(AO110*HSI!$B$105*HSI!$G$105/HSI!$B$3,""))</f>
        <v/>
      </c>
      <c r="DD110" s="161">
        <f>IF(AP110="","",IFERROR(AP110*HSI!$B$105*HSI!$G$105/HSI!$B$3,""))</f>
        <v/>
      </c>
      <c r="DE110" s="161">
        <f>IF(AQ110="","",IFERROR(AQ110*HSI!$B$105*HSI!$G$105/HSI!$B$3,""))</f>
        <v/>
      </c>
      <c r="DF110" s="161">
        <f>IF(AR110="","",IFERROR(AR110*HSI!$B$105*HSI!$G$105/HSI!$B$3,""))</f>
        <v/>
      </c>
      <c r="DG110" s="161">
        <f>IF(AS110="","",IFERROR(AS110*HSI!$B$105*HSI!$G$105/HSI!$B$3,""))</f>
        <v/>
      </c>
      <c r="DH110" s="161">
        <f>IF(AT110="","",IFERROR(AT110*HSI!$B$105*HSI!$G$105/HSI!$B$3,""))</f>
        <v/>
      </c>
      <c r="DI110" s="161">
        <f>IF(AU110="","",IFERROR(AU110*HSI!$B$105*HSI!$G$105/HSI!$B$3,""))</f>
        <v/>
      </c>
      <c r="DJ110" s="161">
        <f>IF(AV110="","",IFERROR(AV110*HSI!$B$105*HSI!$G$105/HSI!$B$3,""))</f>
        <v/>
      </c>
      <c r="DK110" s="161">
        <f>IF(AW110="","",IFERROR(AW110*HSI!$B$105*HSI!$G$105/HSI!$B$3,""))</f>
        <v/>
      </c>
      <c r="DL110" s="161">
        <f>IF(AX110="","",IFERROR(AX110*HSI!$B$105*HSI!$G$105/HSI!$B$3,""))</f>
        <v/>
      </c>
      <c r="DM110" s="161">
        <f>IF(AY110="","",IFERROR(AY110*HSI!$B$105*HSI!$G$105/HSI!$B$3,""))</f>
        <v/>
      </c>
      <c r="DN110" s="161">
        <f>IF(AZ110="","",IFERROR(AZ110*HSI!$B$105*HSI!$G$105/HSI!$B$3,""))</f>
        <v/>
      </c>
      <c r="DO110" s="161">
        <f>IF(BA110="","",IFERROR(BA110*HSI!$B$105*HSI!$G$105/HSI!$B$3,""))</f>
        <v/>
      </c>
      <c r="DP110" s="161">
        <f>IF(BB110="","",IFERROR(BB110*HSI!$B$105*HSI!$G$105/HSI!$B$3,""))</f>
        <v/>
      </c>
      <c r="DQ110" s="161">
        <f>IF(BC110="","",IFERROR(BC110*HSI!$B$105*HSI!$G$105/HSI!$B$3,""))</f>
        <v/>
      </c>
      <c r="DR110" s="161">
        <f>IF(BD110="","",IFERROR(BD110*HSI!$B$105*HSI!$G$105/HSI!$B$3,""))</f>
        <v/>
      </c>
      <c r="DS110" s="161">
        <f>IF(BE110="","",IFERROR(BE110*HSI!$B$105*HSI!$G$105/HSI!$B$3,""))</f>
        <v/>
      </c>
      <c r="DT110" s="161">
        <f>IF(BF110="","",IFERROR(BF110*HSI!$B$105*HSI!$G$105/HSI!$B$3,""))</f>
        <v/>
      </c>
      <c r="DU110" s="161">
        <f>IF(BG110="","",IFERROR(BG110*HSI!$B$105*HSI!$G$105/HSI!$B$3,""))</f>
        <v/>
      </c>
      <c r="DV110" s="161">
        <f>IF(BH110="","",IFERROR(BH110*HSI!$B$105*HSI!$G$105/HSI!$B$3,""))</f>
        <v/>
      </c>
      <c r="DW110" s="161">
        <f>IF(BI110="","",IFERROR(BI110*HSI!$B$105*HSI!$G$105/HSI!$B$3,""))</f>
        <v/>
      </c>
      <c r="DX110" s="161">
        <f>IF(BJ110="","",IFERROR(BJ110*HSI!$B$105*HSI!$G$105/HSI!$B$3,""))</f>
        <v/>
      </c>
      <c r="DY110" s="161">
        <f>IF(BK110="","",IFERROR(BK110*HSI!$B$105*HSI!$G$105/HSI!$B$3,""))</f>
        <v/>
      </c>
      <c r="DZ110" s="161">
        <f>IF(BL110="","",IFERROR(BL110*HSI!$B$105*HSI!$G$105/HSI!$B$3,""))</f>
        <v/>
      </c>
      <c r="EA110" s="161">
        <f>IF(BM110="","",IFERROR(BM110*HSI!$B$105*HSI!$G$105/HSI!$B$3,""))</f>
        <v/>
      </c>
      <c r="EB110" s="161">
        <f>IF(BN110="","",IFERROR(BN110*HSI!$B$105*HSI!$G$105/HSI!$B$3,""))</f>
        <v/>
      </c>
      <c r="EC110" s="161">
        <f>IF(BO110="","",IFERROR(BO110*HSI!$B$105*HSI!$G$105/HSI!$B$3,""))</f>
        <v/>
      </c>
      <c r="EE110" s="121">
        <f>IF(N('Dvd Calendar'!$E$1089)=0,"",IF(('Dvd Calendar'!$E$1089&gt;=GRID_FROM)*('Dvd Calendar'!$E$1089&lt;=GRID_TO)*((('Dvd Calendar'!$E$1089&lt;=VAL_DATE)+(COUNTIF('Dvd Calendar'!$E$1096:$AR$1096,'Dvd Calendar'!$E$1089)=0))&gt;0)=0,"",'Dvd Calendar'!$E$1089*1000000000+ISNUMBER('Dvd Calendar'!$E$1092)*100000000+('Dvd Calendar'!$E$1094=SPECIAL_LBL)*10000000+(N('Dvd Calendar'!$E$1088)&gt;0)*(N('Dvd Calendar'!$E$1088)&lt;=VAL_SERIAL)*1000000+99*1000+1))</f>
        <v/>
      </c>
      <c r="EF110" s="121">
        <f>IF(N('Dvd Calendar'!$F$1089)=0,"",IF(('Dvd Calendar'!$F$1089&gt;=GRID_FROM)*('Dvd Calendar'!$F$1089&lt;=GRID_TO)*((('Dvd Calendar'!$F$1089&lt;=VAL_DATE)+(COUNTIF('Dvd Calendar'!$E$1096:$AR$1096,'Dvd Calendar'!$F$1089)=0))&gt;0)=0,"",'Dvd Calendar'!$F$1089*1000000000+ISNUMBER('Dvd Calendar'!$F$1092)*100000000+('Dvd Calendar'!$F$1094=SPECIAL_LBL)*10000000+(N('Dvd Calendar'!$F$1088)&gt;0)*(N('Dvd Calendar'!$F$1088)&lt;=VAL_SERIAL)*1000000+99*1000+2))</f>
        <v/>
      </c>
      <c r="EG110" s="121">
        <f>IF(N('Dvd Calendar'!$G$1089)=0,"",IF(('Dvd Calendar'!$G$1089&gt;=GRID_FROM)*('Dvd Calendar'!$G$1089&lt;=GRID_TO)*((('Dvd Calendar'!$G$1089&lt;=VAL_DATE)+(COUNTIF('Dvd Calendar'!$E$1096:$AR$1096,'Dvd Calendar'!$G$1089)=0))&gt;0)=0,"",'Dvd Calendar'!$G$1089*1000000000+ISNUMBER('Dvd Calendar'!$G$1092)*100000000+('Dvd Calendar'!$G$1094=SPECIAL_LBL)*10000000+(N('Dvd Calendar'!$G$1088)&gt;0)*(N('Dvd Calendar'!$G$1088)&lt;=VAL_SERIAL)*1000000+99*1000+3))</f>
        <v/>
      </c>
      <c r="EH110" s="121">
        <f>IF(N('Dvd Calendar'!$H$1089)=0,"",IF(('Dvd Calendar'!$H$1089&gt;=GRID_FROM)*('Dvd Calendar'!$H$1089&lt;=GRID_TO)*((('Dvd Calendar'!$H$1089&lt;=VAL_DATE)+(COUNTIF('Dvd Calendar'!$E$1096:$AR$1096,'Dvd Calendar'!$H$1089)=0))&gt;0)=0,"",'Dvd Calendar'!$H$1089*1000000000+ISNUMBER('Dvd Calendar'!$H$1092)*100000000+('Dvd Calendar'!$H$1094=SPECIAL_LBL)*10000000+(N('Dvd Calendar'!$H$1088)&gt;0)*(N('Dvd Calendar'!$H$1088)&lt;=VAL_SERIAL)*1000000+99*1000+4))</f>
        <v/>
      </c>
      <c r="EI110" s="121">
        <f>IF(N('Dvd Calendar'!$I$1089)=0,"",IF(('Dvd Calendar'!$I$1089&gt;=GRID_FROM)*('Dvd Calendar'!$I$1089&lt;=GRID_TO)*((('Dvd Calendar'!$I$1089&lt;=VAL_DATE)+(COUNTIF('Dvd Calendar'!$E$1096:$AR$1096,'Dvd Calendar'!$I$1089)=0))&gt;0)=0,"",'Dvd Calendar'!$I$1089*1000000000+ISNUMBER('Dvd Calendar'!$I$1092)*100000000+('Dvd Calendar'!$I$1094=SPECIAL_LBL)*10000000+(N('Dvd Calendar'!$I$1088)&gt;0)*(N('Dvd Calendar'!$I$1088)&lt;=VAL_SERIAL)*1000000+99*1000+5))</f>
        <v/>
      </c>
      <c r="EJ110" s="121">
        <f>IF(N('Dvd Calendar'!$J$1089)=0,"",IF(('Dvd Calendar'!$J$1089&gt;=GRID_FROM)*('Dvd Calendar'!$J$1089&lt;=GRID_TO)*((('Dvd Calendar'!$J$1089&lt;=VAL_DATE)+(COUNTIF('Dvd Calendar'!$E$1096:$AR$1096,'Dvd Calendar'!$J$1089)=0))&gt;0)=0,"",'Dvd Calendar'!$J$1089*1000000000+ISNUMBER('Dvd Calendar'!$J$1092)*100000000+('Dvd Calendar'!$J$1094=SPECIAL_LBL)*10000000+(N('Dvd Calendar'!$J$1088)&gt;0)*(N('Dvd Calendar'!$J$1088)&lt;=VAL_SERIAL)*1000000+99*1000+6))</f>
        <v/>
      </c>
      <c r="EK110" s="121">
        <f>IF(N('Dvd Calendar'!$K$1089)=0,"",IF(('Dvd Calendar'!$K$1089&gt;=GRID_FROM)*('Dvd Calendar'!$K$1089&lt;=GRID_TO)*((('Dvd Calendar'!$K$1089&lt;=VAL_DATE)+(COUNTIF('Dvd Calendar'!$E$1096:$AR$1096,'Dvd Calendar'!$K$1089)=0))&gt;0)=0,"",'Dvd Calendar'!$K$1089*1000000000+ISNUMBER('Dvd Calendar'!$K$1092)*100000000+('Dvd Calendar'!$K$1094=SPECIAL_LBL)*10000000+(N('Dvd Calendar'!$K$1088)&gt;0)*(N('Dvd Calendar'!$K$1088)&lt;=VAL_SERIAL)*1000000+99*1000+7))</f>
        <v/>
      </c>
      <c r="EL110" s="121">
        <f>IF(N('Dvd Calendar'!$L$1089)=0,"",IF(('Dvd Calendar'!$L$1089&gt;=GRID_FROM)*('Dvd Calendar'!$L$1089&lt;=GRID_TO)*((('Dvd Calendar'!$L$1089&lt;=VAL_DATE)+(COUNTIF('Dvd Calendar'!$E$1096:$AR$1096,'Dvd Calendar'!$L$1089)=0))&gt;0)=0,"",'Dvd Calendar'!$L$1089*1000000000+ISNUMBER('Dvd Calendar'!$L$1092)*100000000+('Dvd Calendar'!$L$1094=SPECIAL_LBL)*10000000+(N('Dvd Calendar'!$L$1088)&gt;0)*(N('Dvd Calendar'!$L$1088)&lt;=VAL_SERIAL)*1000000+99*1000+8))</f>
        <v/>
      </c>
      <c r="EM110" s="121">
        <f>IF(N('Dvd Calendar'!$M$1089)=0,"",IF(('Dvd Calendar'!$M$1089&gt;=GRID_FROM)*('Dvd Calendar'!$M$1089&lt;=GRID_TO)*((('Dvd Calendar'!$M$1089&lt;=VAL_DATE)+(COUNTIF('Dvd Calendar'!$E$1096:$AR$1096,'Dvd Calendar'!$M$1089)=0))&gt;0)=0,"",'Dvd Calendar'!$M$1089*1000000000+ISNUMBER('Dvd Calendar'!$M$1092)*100000000+('Dvd Calendar'!$M$1094=SPECIAL_LBL)*10000000+(N('Dvd Calendar'!$M$1088)&gt;0)*(N('Dvd Calendar'!$M$1088)&lt;=VAL_SERIAL)*1000000+99*1000+9))</f>
        <v/>
      </c>
      <c r="EN110" s="121">
        <f>IF(N('Dvd Calendar'!$N$1089)=0,"",IF(('Dvd Calendar'!$N$1089&gt;=GRID_FROM)*('Dvd Calendar'!$N$1089&lt;=GRID_TO)*((('Dvd Calendar'!$N$1089&lt;=VAL_DATE)+(COUNTIF('Dvd Calendar'!$E$1096:$AR$1096,'Dvd Calendar'!$N$1089)=0))&gt;0)=0,"",'Dvd Calendar'!$N$1089*1000000000+ISNUMBER('Dvd Calendar'!$N$1092)*100000000+('Dvd Calendar'!$N$1094=SPECIAL_LBL)*10000000+(N('Dvd Calendar'!$N$1088)&gt;0)*(N('Dvd Calendar'!$N$1088)&lt;=VAL_SERIAL)*1000000+99*1000+10))</f>
        <v/>
      </c>
      <c r="EO110" s="121">
        <f>IF(N('Dvd Calendar'!$O$1089)=0,"",IF(('Dvd Calendar'!$O$1089&gt;=GRID_FROM)*('Dvd Calendar'!$O$1089&lt;=GRID_TO)*((('Dvd Calendar'!$O$1089&lt;=VAL_DATE)+(COUNTIF('Dvd Calendar'!$E$1096:$AR$1096,'Dvd Calendar'!$O$1089)=0))&gt;0)=0,"",'Dvd Calendar'!$O$1089*1000000000+ISNUMBER('Dvd Calendar'!$O$1092)*100000000+('Dvd Calendar'!$O$1094=SPECIAL_LBL)*10000000+(N('Dvd Calendar'!$O$1088)&gt;0)*(N('Dvd Calendar'!$O$1088)&lt;=VAL_SERIAL)*1000000+99*1000+11))</f>
        <v/>
      </c>
      <c r="EP110" s="121">
        <f>IF(N('Dvd Calendar'!$P$1089)=0,"",IF(('Dvd Calendar'!$P$1089&gt;=GRID_FROM)*('Dvd Calendar'!$P$1089&lt;=GRID_TO)*((('Dvd Calendar'!$P$1089&lt;=VAL_DATE)+(COUNTIF('Dvd Calendar'!$E$1096:$AR$1096,'Dvd Calendar'!$P$1089)=0))&gt;0)=0,"",'Dvd Calendar'!$P$1089*1000000000+ISNUMBER('Dvd Calendar'!$P$1092)*100000000+('Dvd Calendar'!$P$1094=SPECIAL_LBL)*10000000+(N('Dvd Calendar'!$P$1088)&gt;0)*(N('Dvd Calendar'!$P$1088)&lt;=VAL_SERIAL)*1000000+99*1000+12))</f>
        <v/>
      </c>
      <c r="EQ110" s="121">
        <f>IF(N('Dvd Calendar'!$Q$1089)=0,"",IF(('Dvd Calendar'!$Q$1089&gt;=GRID_FROM)*('Dvd Calendar'!$Q$1089&lt;=GRID_TO)*((('Dvd Calendar'!$Q$1089&lt;=VAL_DATE)+(COUNTIF('Dvd Calendar'!$E$1096:$AR$1096,'Dvd Calendar'!$Q$1089)=0))&gt;0)=0,"",'Dvd Calendar'!$Q$1089*1000000000+ISNUMBER('Dvd Calendar'!$Q$1092)*100000000+('Dvd Calendar'!$Q$1094=SPECIAL_LBL)*10000000+(N('Dvd Calendar'!$Q$1088)&gt;0)*(N('Dvd Calendar'!$Q$1088)&lt;=VAL_SERIAL)*1000000+99*1000+13))</f>
        <v/>
      </c>
      <c r="ER110" s="121">
        <f>IF(N('Dvd Calendar'!$R$1089)=0,"",IF(('Dvd Calendar'!$R$1089&gt;=GRID_FROM)*('Dvd Calendar'!$R$1089&lt;=GRID_TO)*((('Dvd Calendar'!$R$1089&lt;=VAL_DATE)+(COUNTIF('Dvd Calendar'!$E$1096:$AR$1096,'Dvd Calendar'!$R$1089)=0))&gt;0)=0,"",'Dvd Calendar'!$R$1089*1000000000+ISNUMBER('Dvd Calendar'!$R$1092)*100000000+('Dvd Calendar'!$R$1094=SPECIAL_LBL)*10000000+(N('Dvd Calendar'!$R$1088)&gt;0)*(N('Dvd Calendar'!$R$1088)&lt;=VAL_SERIAL)*1000000+99*1000+14))</f>
        <v/>
      </c>
      <c r="ES110" s="121">
        <f>IF(N('Dvd Calendar'!$S$1089)=0,"",IF(('Dvd Calendar'!$S$1089&gt;=GRID_FROM)*('Dvd Calendar'!$S$1089&lt;=GRID_TO)*((('Dvd Calendar'!$S$1089&lt;=VAL_DATE)+(COUNTIF('Dvd Calendar'!$E$1096:$AR$1096,'Dvd Calendar'!$S$1089)=0))&gt;0)=0,"",'Dvd Calendar'!$S$1089*1000000000+ISNUMBER('Dvd Calendar'!$S$1092)*100000000+('Dvd Calendar'!$S$1094=SPECIAL_LBL)*10000000+(N('Dvd Calendar'!$S$1088)&gt;0)*(N('Dvd Calendar'!$S$1088)&lt;=VAL_SERIAL)*1000000+99*1000+15))</f>
        <v/>
      </c>
      <c r="ET110" s="121">
        <f>IF(N('Dvd Calendar'!$T$1089)=0,"",IF(('Dvd Calendar'!$T$1089&gt;=GRID_FROM)*('Dvd Calendar'!$T$1089&lt;=GRID_TO)*((('Dvd Calendar'!$T$1089&lt;=VAL_DATE)+(COUNTIF('Dvd Calendar'!$E$1096:$AR$1096,'Dvd Calendar'!$T$1089)=0))&gt;0)=0,"",'Dvd Calendar'!$T$1089*1000000000+ISNUMBER('Dvd Calendar'!$T$1092)*100000000+('Dvd Calendar'!$T$1094=SPECIAL_LBL)*10000000+(N('Dvd Calendar'!$T$1088)&gt;0)*(N('Dvd Calendar'!$T$1088)&lt;=VAL_SERIAL)*1000000+99*1000+16))</f>
        <v/>
      </c>
      <c r="EU110" s="121">
        <f>IF(N('Dvd Calendar'!$U$1089)=0,"",IF(('Dvd Calendar'!$U$1089&gt;=GRID_FROM)*('Dvd Calendar'!$U$1089&lt;=GRID_TO)*((('Dvd Calendar'!$U$1089&lt;=VAL_DATE)+(COUNTIF('Dvd Calendar'!$E$1096:$AR$1096,'Dvd Calendar'!$U$1089)=0))&gt;0)=0,"",'Dvd Calendar'!$U$1089*1000000000+ISNUMBER('Dvd Calendar'!$U$1092)*100000000+('Dvd Calendar'!$U$1094=SPECIAL_LBL)*10000000+(N('Dvd Calendar'!$U$1088)&gt;0)*(N('Dvd Calendar'!$U$1088)&lt;=VAL_SERIAL)*1000000+99*1000+17))</f>
        <v/>
      </c>
      <c r="EV110" s="121">
        <f>IF(N('Dvd Calendar'!$V$1089)=0,"",IF(('Dvd Calendar'!$V$1089&gt;=GRID_FROM)*('Dvd Calendar'!$V$1089&lt;=GRID_TO)*((('Dvd Calendar'!$V$1089&lt;=VAL_DATE)+(COUNTIF('Dvd Calendar'!$E$1096:$AR$1096,'Dvd Calendar'!$V$1089)=0))&gt;0)=0,"",'Dvd Calendar'!$V$1089*1000000000+ISNUMBER('Dvd Calendar'!$V$1092)*100000000+('Dvd Calendar'!$V$1094=SPECIAL_LBL)*10000000+(N('Dvd Calendar'!$V$1088)&gt;0)*(N('Dvd Calendar'!$V$1088)&lt;=VAL_SERIAL)*1000000+99*1000+18))</f>
        <v/>
      </c>
      <c r="EW110" s="121">
        <f>IF(N('Dvd Calendar'!$W$1089)=0,"",IF(('Dvd Calendar'!$W$1089&gt;=GRID_FROM)*('Dvd Calendar'!$W$1089&lt;=GRID_TO)*((('Dvd Calendar'!$W$1089&lt;=VAL_DATE)+(COUNTIF('Dvd Calendar'!$E$1096:$AR$1096,'Dvd Calendar'!$W$1089)=0))&gt;0)=0,"",'Dvd Calendar'!$W$1089*1000000000+ISNUMBER('Dvd Calendar'!$W$1092)*100000000+('Dvd Calendar'!$W$1094=SPECIAL_LBL)*10000000+(N('Dvd Calendar'!$W$1088)&gt;0)*(N('Dvd Calendar'!$W$1088)&lt;=VAL_SERIAL)*1000000+99*1000+19))</f>
        <v/>
      </c>
      <c r="EX110" s="121">
        <f>IF(N('Dvd Calendar'!$X$1089)=0,"",IF(('Dvd Calendar'!$X$1089&gt;=GRID_FROM)*('Dvd Calendar'!$X$1089&lt;=GRID_TO)*((('Dvd Calendar'!$X$1089&lt;=VAL_DATE)+(COUNTIF('Dvd Calendar'!$E$1096:$AR$1096,'Dvd Calendar'!$X$1089)=0))&gt;0)=0,"",'Dvd Calendar'!$X$1089*1000000000+ISNUMBER('Dvd Calendar'!$X$1092)*100000000+('Dvd Calendar'!$X$1094=SPECIAL_LBL)*10000000+(N('Dvd Calendar'!$X$1088)&gt;0)*(N('Dvd Calendar'!$X$1088)&lt;=VAL_SERIAL)*1000000+99*1000+20))</f>
        <v/>
      </c>
      <c r="EY110" s="121">
        <f>IF(N('Dvd Calendar'!$Y$1089)=0,"",IF(('Dvd Calendar'!$Y$1089&gt;=GRID_FROM)*('Dvd Calendar'!$Y$1089&lt;=GRID_TO)*((('Dvd Calendar'!$Y$1089&lt;=VAL_DATE)+(COUNTIF('Dvd Calendar'!$E$1096:$AR$1096,'Dvd Calendar'!$Y$1089)=0))&gt;0)=0,"",'Dvd Calendar'!$Y$1089*1000000000+ISNUMBER('Dvd Calendar'!$Y$1092)*100000000+('Dvd Calendar'!$Y$1094=SPECIAL_LBL)*10000000+(N('Dvd Calendar'!$Y$1088)&gt;0)*(N('Dvd Calendar'!$Y$1088)&lt;=VAL_SERIAL)*1000000+99*1000+21))</f>
        <v/>
      </c>
      <c r="EZ110" s="121">
        <f>IF(N('Dvd Calendar'!$Z$1089)=0,"",IF(('Dvd Calendar'!$Z$1089&gt;=GRID_FROM)*('Dvd Calendar'!$Z$1089&lt;=GRID_TO)*((('Dvd Calendar'!$Z$1089&lt;=VAL_DATE)+(COUNTIF('Dvd Calendar'!$E$1096:$AR$1096,'Dvd Calendar'!$Z$1089)=0))&gt;0)=0,"",'Dvd Calendar'!$Z$1089*1000000000+ISNUMBER('Dvd Calendar'!$Z$1092)*100000000+('Dvd Calendar'!$Z$1094=SPECIAL_LBL)*10000000+(N('Dvd Calendar'!$Z$1088)&gt;0)*(N('Dvd Calendar'!$Z$1088)&lt;=VAL_SERIAL)*1000000+99*1000+22))</f>
        <v/>
      </c>
      <c r="FA110" s="121">
        <f>IF(N('Dvd Calendar'!$AA$1089)=0,"",IF(('Dvd Calendar'!$AA$1089&gt;=GRID_FROM)*('Dvd Calendar'!$AA$1089&lt;=GRID_TO)*((('Dvd Calendar'!$AA$1089&lt;=VAL_DATE)+(COUNTIF('Dvd Calendar'!$E$1096:$AR$1096,'Dvd Calendar'!$AA$1089)=0))&gt;0)=0,"",'Dvd Calendar'!$AA$1089*1000000000+ISNUMBER('Dvd Calendar'!$AA$1092)*100000000+('Dvd Calendar'!$AA$1094=SPECIAL_LBL)*10000000+(N('Dvd Calendar'!$AA$1088)&gt;0)*(N('Dvd Calendar'!$AA$1088)&lt;=VAL_SERIAL)*1000000+99*1000+23))</f>
        <v/>
      </c>
      <c r="FB110" s="121">
        <f>IF(N('Dvd Calendar'!$AB$1089)=0,"",IF(('Dvd Calendar'!$AB$1089&gt;=GRID_FROM)*('Dvd Calendar'!$AB$1089&lt;=GRID_TO)*((('Dvd Calendar'!$AB$1089&lt;=VAL_DATE)+(COUNTIF('Dvd Calendar'!$E$1096:$AR$1096,'Dvd Calendar'!$AB$1089)=0))&gt;0)=0,"",'Dvd Calendar'!$AB$1089*1000000000+ISNUMBER('Dvd Calendar'!$AB$1092)*100000000+('Dvd Calendar'!$AB$1094=SPECIAL_LBL)*10000000+(N('Dvd Calendar'!$AB$1088)&gt;0)*(N('Dvd Calendar'!$AB$1088)&lt;=VAL_SERIAL)*1000000+99*1000+24))</f>
        <v/>
      </c>
      <c r="FC110" s="121">
        <f>IF(N('Dvd Calendar'!$AC$1089)=0,"",IF(('Dvd Calendar'!$AC$1089&gt;=GRID_FROM)*('Dvd Calendar'!$AC$1089&lt;=GRID_TO)*((('Dvd Calendar'!$AC$1089&lt;=VAL_DATE)+(COUNTIF('Dvd Calendar'!$E$1096:$AR$1096,'Dvd Calendar'!$AC$1089)=0))&gt;0)=0,"",'Dvd Calendar'!$AC$1089*1000000000+ISNUMBER('Dvd Calendar'!$AC$1092)*100000000+('Dvd Calendar'!$AC$1094=SPECIAL_LBL)*10000000+(N('Dvd Calendar'!$AC$1088)&gt;0)*(N('Dvd Calendar'!$AC$1088)&lt;=VAL_SERIAL)*1000000+99*1000+25))</f>
        <v/>
      </c>
      <c r="FD110" s="121">
        <f>IF(N('Dvd Calendar'!$AD$1089)=0,"",IF(('Dvd Calendar'!$AD$1089&gt;=GRID_FROM)*('Dvd Calendar'!$AD$1089&lt;=GRID_TO)*((('Dvd Calendar'!$AD$1089&lt;=VAL_DATE)+(COUNTIF('Dvd Calendar'!$E$1096:$AR$1096,'Dvd Calendar'!$AD$1089)=0))&gt;0)=0,"",'Dvd Calendar'!$AD$1089*1000000000+ISNUMBER('Dvd Calendar'!$AD$1092)*100000000+('Dvd Calendar'!$AD$1094=SPECIAL_LBL)*10000000+(N('Dvd Calendar'!$AD$1088)&gt;0)*(N('Dvd Calendar'!$AD$1088)&lt;=VAL_SERIAL)*1000000+99*1000+26))</f>
        <v/>
      </c>
      <c r="FE110" s="121">
        <f>IF(N('Dvd Calendar'!$AE$1089)=0,"",IF(('Dvd Calendar'!$AE$1089&gt;=GRID_FROM)*('Dvd Calendar'!$AE$1089&lt;=GRID_TO)*((('Dvd Calendar'!$AE$1089&lt;=VAL_DATE)+(COUNTIF('Dvd Calendar'!$E$1096:$AR$1096,'Dvd Calendar'!$AE$1089)=0))&gt;0)=0,"",'Dvd Calendar'!$AE$1089*1000000000+ISNUMBER('Dvd Calendar'!$AE$1092)*100000000+('Dvd Calendar'!$AE$1094=SPECIAL_LBL)*10000000+(N('Dvd Calendar'!$AE$1088)&gt;0)*(N('Dvd Calendar'!$AE$1088)&lt;=VAL_SERIAL)*1000000+99*1000+27))</f>
        <v/>
      </c>
      <c r="FF110" s="121">
        <f>IF(N('Dvd Calendar'!$AF$1089)=0,"",IF(('Dvd Calendar'!$AF$1089&gt;=GRID_FROM)*('Dvd Calendar'!$AF$1089&lt;=GRID_TO)*((('Dvd Calendar'!$AF$1089&lt;=VAL_DATE)+(COUNTIF('Dvd Calendar'!$E$1096:$AR$1096,'Dvd Calendar'!$AF$1089)=0))&gt;0)=0,"",'Dvd Calendar'!$AF$1089*1000000000+ISNUMBER('Dvd Calendar'!$AF$1092)*100000000+('Dvd Calendar'!$AF$1094=SPECIAL_LBL)*10000000+(N('Dvd Calendar'!$AF$1088)&gt;0)*(N('Dvd Calendar'!$AF$1088)&lt;=VAL_SERIAL)*1000000+99*1000+28))</f>
        <v/>
      </c>
      <c r="FG110" s="121">
        <f>IF(N('Dvd Calendar'!$AG$1089)=0,"",IF(('Dvd Calendar'!$AG$1089&gt;=GRID_FROM)*('Dvd Calendar'!$AG$1089&lt;=GRID_TO)*((('Dvd Calendar'!$AG$1089&lt;=VAL_DATE)+(COUNTIF('Dvd Calendar'!$E$1096:$AR$1096,'Dvd Calendar'!$AG$1089)=0))&gt;0)=0,"",'Dvd Calendar'!$AG$1089*1000000000+ISNUMBER('Dvd Calendar'!$AG$1092)*100000000+('Dvd Calendar'!$AG$1094=SPECIAL_LBL)*10000000+(N('Dvd Calendar'!$AG$1088)&gt;0)*(N('Dvd Calendar'!$AG$1088)&lt;=VAL_SERIAL)*1000000+99*1000+29))</f>
        <v/>
      </c>
      <c r="FH110" s="121">
        <f>IF(N('Dvd Calendar'!$AH$1089)=0,"",IF(('Dvd Calendar'!$AH$1089&gt;=GRID_FROM)*('Dvd Calendar'!$AH$1089&lt;=GRID_TO)*((('Dvd Calendar'!$AH$1089&lt;=VAL_DATE)+(COUNTIF('Dvd Calendar'!$E$1096:$AR$1096,'Dvd Calendar'!$AH$1089)=0))&gt;0)=0,"",'Dvd Calendar'!$AH$1089*1000000000+ISNUMBER('Dvd Calendar'!$AH$1092)*100000000+('Dvd Calendar'!$AH$1094=SPECIAL_LBL)*10000000+(N('Dvd Calendar'!$AH$1088)&gt;0)*(N('Dvd Calendar'!$AH$1088)&lt;=VAL_SERIAL)*1000000+99*1000+30))</f>
        <v/>
      </c>
      <c r="FI110" s="121">
        <f>IF(N('Dvd Calendar'!$AI$1089)=0,"",IF(('Dvd Calendar'!$AI$1089&gt;=GRID_FROM)*('Dvd Calendar'!$AI$1089&lt;=GRID_TO)*((('Dvd Calendar'!$AI$1089&lt;=VAL_DATE)+(COUNTIF('Dvd Calendar'!$E$1096:$AR$1096,'Dvd Calendar'!$AI$1089)=0))&gt;0)=0,"",'Dvd Calendar'!$AI$1089*1000000000+ISNUMBER('Dvd Calendar'!$AI$1092)*100000000+('Dvd Calendar'!$AI$1094=SPECIAL_LBL)*10000000+(N('Dvd Calendar'!$AI$1088)&gt;0)*(N('Dvd Calendar'!$AI$1088)&lt;=VAL_SERIAL)*1000000+99*1000+31))</f>
        <v/>
      </c>
      <c r="FJ110" s="121">
        <f>IF(N('Dvd Calendar'!$AJ$1089)=0,"",IF(('Dvd Calendar'!$AJ$1089&gt;=GRID_FROM)*('Dvd Calendar'!$AJ$1089&lt;=GRID_TO)*((('Dvd Calendar'!$AJ$1089&lt;=VAL_DATE)+(COUNTIF('Dvd Calendar'!$E$1096:$AR$1096,'Dvd Calendar'!$AJ$1089)=0))&gt;0)=0,"",'Dvd Calendar'!$AJ$1089*1000000000+ISNUMBER('Dvd Calendar'!$AJ$1092)*100000000+('Dvd Calendar'!$AJ$1094=SPECIAL_LBL)*10000000+(N('Dvd Calendar'!$AJ$1088)&gt;0)*(N('Dvd Calendar'!$AJ$1088)&lt;=VAL_SERIAL)*1000000+99*1000+32))</f>
        <v/>
      </c>
      <c r="FK110" s="121">
        <f>IF(N('Dvd Calendar'!$AK$1089)=0,"",IF(('Dvd Calendar'!$AK$1089&gt;=GRID_FROM)*('Dvd Calendar'!$AK$1089&lt;=GRID_TO)*((('Dvd Calendar'!$AK$1089&lt;=VAL_DATE)+(COUNTIF('Dvd Calendar'!$E$1096:$AR$1096,'Dvd Calendar'!$AK$1089)=0))&gt;0)=0,"",'Dvd Calendar'!$AK$1089*1000000000+ISNUMBER('Dvd Calendar'!$AK$1092)*100000000+('Dvd Calendar'!$AK$1094=SPECIAL_LBL)*10000000+(N('Dvd Calendar'!$AK$1088)&gt;0)*(N('Dvd Calendar'!$AK$1088)&lt;=VAL_SERIAL)*1000000+99*1000+33))</f>
        <v/>
      </c>
      <c r="FL110" s="121">
        <f>IF(N('Dvd Calendar'!$AL$1089)=0,"",IF(('Dvd Calendar'!$AL$1089&gt;=GRID_FROM)*('Dvd Calendar'!$AL$1089&lt;=GRID_TO)*((('Dvd Calendar'!$AL$1089&lt;=VAL_DATE)+(COUNTIF('Dvd Calendar'!$E$1096:$AR$1096,'Dvd Calendar'!$AL$1089)=0))&gt;0)=0,"",'Dvd Calendar'!$AL$1089*1000000000+ISNUMBER('Dvd Calendar'!$AL$1092)*100000000+('Dvd Calendar'!$AL$1094=SPECIAL_LBL)*10000000+(N('Dvd Calendar'!$AL$1088)&gt;0)*(N('Dvd Calendar'!$AL$1088)&lt;=VAL_SERIAL)*1000000+99*1000+34))</f>
        <v/>
      </c>
      <c r="FM110" s="121">
        <f>IF(N('Dvd Calendar'!$AM$1089)=0,"",IF(('Dvd Calendar'!$AM$1089&gt;=GRID_FROM)*('Dvd Calendar'!$AM$1089&lt;=GRID_TO)*((('Dvd Calendar'!$AM$1089&lt;=VAL_DATE)+(COUNTIF('Dvd Calendar'!$E$1096:$AR$1096,'Dvd Calendar'!$AM$1089)=0))&gt;0)=0,"",'Dvd Calendar'!$AM$1089*1000000000+ISNUMBER('Dvd Calendar'!$AM$1092)*100000000+('Dvd Calendar'!$AM$1094=SPECIAL_LBL)*10000000+(N('Dvd Calendar'!$AM$1088)&gt;0)*(N('Dvd Calendar'!$AM$1088)&lt;=VAL_SERIAL)*1000000+99*1000+35))</f>
        <v/>
      </c>
      <c r="FN110" s="121">
        <f>IF(N('Dvd Calendar'!$AN$1089)=0,"",IF(('Dvd Calendar'!$AN$1089&gt;=GRID_FROM)*('Dvd Calendar'!$AN$1089&lt;=GRID_TO)*((('Dvd Calendar'!$AN$1089&lt;=VAL_DATE)+(COUNTIF('Dvd Calendar'!$E$1096:$AR$1096,'Dvd Calendar'!$AN$1089)=0))&gt;0)=0,"",'Dvd Calendar'!$AN$1089*1000000000+ISNUMBER('Dvd Calendar'!$AN$1092)*100000000+('Dvd Calendar'!$AN$1094=SPECIAL_LBL)*10000000+(N('Dvd Calendar'!$AN$1088)&gt;0)*(N('Dvd Calendar'!$AN$1088)&lt;=VAL_SERIAL)*1000000+99*1000+36))</f>
        <v/>
      </c>
      <c r="FO110" s="121">
        <f>IF(N('Dvd Calendar'!$AO$1089)=0,"",IF(('Dvd Calendar'!$AO$1089&gt;=GRID_FROM)*('Dvd Calendar'!$AO$1089&lt;=GRID_TO)*((('Dvd Calendar'!$AO$1089&lt;=VAL_DATE)+(COUNTIF('Dvd Calendar'!$E$1096:$AR$1096,'Dvd Calendar'!$AO$1089)=0))&gt;0)=0,"",'Dvd Calendar'!$AO$1089*1000000000+ISNUMBER('Dvd Calendar'!$AO$1092)*100000000+('Dvd Calendar'!$AO$1094=SPECIAL_LBL)*10000000+(N('Dvd Calendar'!$AO$1088)&gt;0)*(N('Dvd Calendar'!$AO$1088)&lt;=VAL_SERIAL)*1000000+99*1000+37))</f>
        <v/>
      </c>
      <c r="FP110" s="121">
        <f>IF(N('Dvd Calendar'!$AP$1089)=0,"",IF(('Dvd Calendar'!$AP$1089&gt;=GRID_FROM)*('Dvd Calendar'!$AP$1089&lt;=GRID_TO)*((('Dvd Calendar'!$AP$1089&lt;=VAL_DATE)+(COUNTIF('Dvd Calendar'!$E$1096:$AR$1096,'Dvd Calendar'!$AP$1089)=0))&gt;0)=0,"",'Dvd Calendar'!$AP$1089*1000000000+ISNUMBER('Dvd Calendar'!$AP$1092)*100000000+('Dvd Calendar'!$AP$1094=SPECIAL_LBL)*10000000+(N('Dvd Calendar'!$AP$1088)&gt;0)*(N('Dvd Calendar'!$AP$1088)&lt;=VAL_SERIAL)*1000000+99*1000+38))</f>
        <v/>
      </c>
      <c r="FQ110" s="121">
        <f>IF(N('Dvd Calendar'!$AQ$1089)=0,"",IF(('Dvd Calendar'!$AQ$1089&gt;=GRID_FROM)*('Dvd Calendar'!$AQ$1089&lt;=GRID_TO)*((('Dvd Calendar'!$AQ$1089&lt;=VAL_DATE)+(COUNTIF('Dvd Calendar'!$E$1096:$AR$1096,'Dvd Calendar'!$AQ$1089)=0))&gt;0)=0,"",'Dvd Calendar'!$AQ$1089*1000000000+ISNUMBER('Dvd Calendar'!$AQ$1092)*100000000+('Dvd Calendar'!$AQ$1094=SPECIAL_LBL)*10000000+(N('Dvd Calendar'!$AQ$1088)&gt;0)*(N('Dvd Calendar'!$AQ$1088)&lt;=VAL_SERIAL)*1000000+99*1000+39))</f>
        <v/>
      </c>
      <c r="FR110" s="121">
        <f>IF(N('Dvd Calendar'!$AR$1089)=0,"",IF(('Dvd Calendar'!$AR$1089&gt;=GRID_FROM)*('Dvd Calendar'!$AR$1089&lt;=GRID_TO)*((('Dvd Calendar'!$AR$1089&lt;=VAL_DATE)+(COUNTIF('Dvd Calendar'!$E$1096:$AR$1096,'Dvd Calendar'!$AR$1089)=0))&gt;0)=0,"",'Dvd Calendar'!$AR$1089*1000000000+ISNUMBER('Dvd Calendar'!$AR$1092)*100000000+('Dvd Calendar'!$AR$1094=SPECIAL_LBL)*10000000+(N('Dvd Calendar'!$AR$1088)&gt;0)*(N('Dvd Calendar'!$AR$1088)&lt;=VAL_SERIAL)*1000000+99*1000+40))</f>
        <v/>
      </c>
      <c r="FS110" s="121">
        <f>IF(N('Dvd Calendar'!$E$1096)=0,"",IF(('Dvd Calendar'!$E$1096&gt;=GRID_FROM)*('Dvd Calendar'!$E$1096&lt;=GRID_TO)*('Dvd Calendar'!$E$1096&gt;VAL_DATE)=0,"",'Dvd Calendar'!$E$1096*1000000000+ISNUMBER('Dvd Calendar'!$E$1097)*100000000+0*10000000+(N('Dvd Calendar'!$E$1095)&gt;0)*(N('Dvd Calendar'!$E$1095)&lt;=VAL_SERIAL)*1000000+99*1000+41))</f>
        <v/>
      </c>
      <c r="FT110" s="121">
        <f>IF(N('Dvd Calendar'!$F$1096)=0,"",IF(('Dvd Calendar'!$F$1096&gt;=GRID_FROM)*('Dvd Calendar'!$F$1096&lt;=GRID_TO)*('Dvd Calendar'!$F$1096&gt;VAL_DATE)=0,"",'Dvd Calendar'!$F$1096*1000000000+ISNUMBER('Dvd Calendar'!$F$1097)*100000000+0*10000000+(N('Dvd Calendar'!$F$1095)&gt;0)*(N('Dvd Calendar'!$F$1095)&lt;=VAL_SERIAL)*1000000+99*1000+42))</f>
        <v/>
      </c>
      <c r="FU110" s="121">
        <f>IF(N('Dvd Calendar'!$G$1096)=0,"",IF(('Dvd Calendar'!$G$1096&gt;=GRID_FROM)*('Dvd Calendar'!$G$1096&lt;=GRID_TO)*('Dvd Calendar'!$G$1096&gt;VAL_DATE)=0,"",'Dvd Calendar'!$G$1096*1000000000+ISNUMBER('Dvd Calendar'!$G$1097)*100000000+0*10000000+(N('Dvd Calendar'!$G$1095)&gt;0)*(N('Dvd Calendar'!$G$1095)&lt;=VAL_SERIAL)*1000000+99*1000+43))</f>
        <v/>
      </c>
      <c r="FV110" s="121">
        <f>IF(N('Dvd Calendar'!$H$1096)=0,"",IF(('Dvd Calendar'!$H$1096&gt;=GRID_FROM)*('Dvd Calendar'!$H$1096&lt;=GRID_TO)*('Dvd Calendar'!$H$1096&gt;VAL_DATE)=0,"",'Dvd Calendar'!$H$1096*1000000000+ISNUMBER('Dvd Calendar'!$H$1097)*100000000+0*10000000+(N('Dvd Calendar'!$H$1095)&gt;0)*(N('Dvd Calendar'!$H$1095)&lt;=VAL_SERIAL)*1000000+99*1000+44))</f>
        <v/>
      </c>
      <c r="FW110" s="121">
        <f>IF(N('Dvd Calendar'!$I$1096)=0,"",IF(('Dvd Calendar'!$I$1096&gt;=GRID_FROM)*('Dvd Calendar'!$I$1096&lt;=GRID_TO)*('Dvd Calendar'!$I$1096&gt;VAL_DATE)=0,"",'Dvd Calendar'!$I$1096*1000000000+ISNUMBER('Dvd Calendar'!$I$1097)*100000000+0*10000000+(N('Dvd Calendar'!$I$1095)&gt;0)*(N('Dvd Calendar'!$I$1095)&lt;=VAL_SERIAL)*1000000+99*1000+45))</f>
        <v/>
      </c>
      <c r="FX110" s="121">
        <f>IF(N('Dvd Calendar'!$J$1096)=0,"",IF(('Dvd Calendar'!$J$1096&gt;=GRID_FROM)*('Dvd Calendar'!$J$1096&lt;=GRID_TO)*('Dvd Calendar'!$J$1096&gt;VAL_DATE)=0,"",'Dvd Calendar'!$J$1096*1000000000+ISNUMBER('Dvd Calendar'!$J$1097)*100000000+0*10000000+(N('Dvd Calendar'!$J$1095)&gt;0)*(N('Dvd Calendar'!$J$1095)&lt;=VAL_SERIAL)*1000000+99*1000+46))</f>
        <v/>
      </c>
      <c r="FY110" s="121">
        <f>IF(N('Dvd Calendar'!$K$1096)=0,"",IF(('Dvd Calendar'!$K$1096&gt;=GRID_FROM)*('Dvd Calendar'!$K$1096&lt;=GRID_TO)*('Dvd Calendar'!$K$1096&gt;VAL_DATE)=0,"",'Dvd Calendar'!$K$1096*1000000000+ISNUMBER('Dvd Calendar'!$K$1097)*100000000+0*10000000+(N('Dvd Calendar'!$K$1095)&gt;0)*(N('Dvd Calendar'!$K$1095)&lt;=VAL_SERIAL)*1000000+99*1000+47))</f>
        <v/>
      </c>
      <c r="FZ110" s="121">
        <f>IF(N('Dvd Calendar'!$L$1096)=0,"",IF(('Dvd Calendar'!$L$1096&gt;=GRID_FROM)*('Dvd Calendar'!$L$1096&lt;=GRID_TO)*('Dvd Calendar'!$L$1096&gt;VAL_DATE)=0,"",'Dvd Calendar'!$L$1096*1000000000+ISNUMBER('Dvd Calendar'!$L$1097)*100000000+0*10000000+(N('Dvd Calendar'!$L$1095)&gt;0)*(N('Dvd Calendar'!$L$1095)&lt;=VAL_SERIAL)*1000000+99*1000+48))</f>
        <v/>
      </c>
      <c r="GA110" s="121">
        <f>IF(N('Dvd Calendar'!$M$1096)=0,"",IF(('Dvd Calendar'!$M$1096&gt;=GRID_FROM)*('Dvd Calendar'!$M$1096&lt;=GRID_TO)*('Dvd Calendar'!$M$1096&gt;VAL_DATE)=0,"",'Dvd Calendar'!$M$1096*1000000000+ISNUMBER('Dvd Calendar'!$M$1097)*100000000+0*10000000+(N('Dvd Calendar'!$M$1095)&gt;0)*(N('Dvd Calendar'!$M$1095)&lt;=VAL_SERIAL)*1000000+99*1000+49))</f>
        <v/>
      </c>
      <c r="GB110" s="121">
        <f>IF(N('Dvd Calendar'!$N$1096)=0,"",IF(('Dvd Calendar'!$N$1096&gt;=GRID_FROM)*('Dvd Calendar'!$N$1096&lt;=GRID_TO)*('Dvd Calendar'!$N$1096&gt;VAL_DATE)=0,"",'Dvd Calendar'!$N$1096*1000000000+ISNUMBER('Dvd Calendar'!$N$1097)*100000000+0*10000000+(N('Dvd Calendar'!$N$1095)&gt;0)*(N('Dvd Calendar'!$N$1095)&lt;=VAL_SERIAL)*1000000+99*1000+50))</f>
        <v/>
      </c>
      <c r="GC110" s="121">
        <f>IF(N('Dvd Calendar'!$O$1096)=0,"",IF(('Dvd Calendar'!$O$1096&gt;=GRID_FROM)*('Dvd Calendar'!$O$1096&lt;=GRID_TO)*('Dvd Calendar'!$O$1096&gt;VAL_DATE)=0,"",'Dvd Calendar'!$O$1096*1000000000+ISNUMBER('Dvd Calendar'!$O$1097)*100000000+0*10000000+(N('Dvd Calendar'!$O$1095)&gt;0)*(N('Dvd Calendar'!$O$1095)&lt;=VAL_SERIAL)*1000000+99*1000+51))</f>
        <v/>
      </c>
      <c r="GD110" s="121">
        <f>IF(N('Dvd Calendar'!$P$1096)=0,"",IF(('Dvd Calendar'!$P$1096&gt;=GRID_FROM)*('Dvd Calendar'!$P$1096&lt;=GRID_TO)*('Dvd Calendar'!$P$1096&gt;VAL_DATE)=0,"",'Dvd Calendar'!$P$1096*1000000000+ISNUMBER('Dvd Calendar'!$P$1097)*100000000+0*10000000+(N('Dvd Calendar'!$P$1095)&gt;0)*(N('Dvd Calendar'!$P$1095)&lt;=VAL_SERIAL)*1000000+99*1000+52))</f>
        <v/>
      </c>
      <c r="GE110" s="121">
        <f>IF(N('Dvd Calendar'!$Q$1096)=0,"",IF(('Dvd Calendar'!$Q$1096&gt;=GRID_FROM)*('Dvd Calendar'!$Q$1096&lt;=GRID_TO)*('Dvd Calendar'!$Q$1096&gt;VAL_DATE)=0,"",'Dvd Calendar'!$Q$1096*1000000000+ISNUMBER('Dvd Calendar'!$Q$1097)*100000000+0*10000000+(N('Dvd Calendar'!$Q$1095)&gt;0)*(N('Dvd Calendar'!$Q$1095)&lt;=VAL_SERIAL)*1000000+99*1000+53))</f>
        <v/>
      </c>
      <c r="GF110" s="121">
        <f>IF(N('Dvd Calendar'!$R$1096)=0,"",IF(('Dvd Calendar'!$R$1096&gt;=GRID_FROM)*('Dvd Calendar'!$R$1096&lt;=GRID_TO)*('Dvd Calendar'!$R$1096&gt;VAL_DATE)=0,"",'Dvd Calendar'!$R$1096*1000000000+ISNUMBER('Dvd Calendar'!$R$1097)*100000000+0*10000000+(N('Dvd Calendar'!$R$1095)&gt;0)*(N('Dvd Calendar'!$R$1095)&lt;=VAL_SERIAL)*1000000+99*1000+54))</f>
        <v/>
      </c>
      <c r="GG110" s="121">
        <f>IF(N('Dvd Calendar'!$S$1096)=0,"",IF(('Dvd Calendar'!$S$1096&gt;=GRID_FROM)*('Dvd Calendar'!$S$1096&lt;=GRID_TO)*('Dvd Calendar'!$S$1096&gt;VAL_DATE)=0,"",'Dvd Calendar'!$S$1096*1000000000+ISNUMBER('Dvd Calendar'!$S$1097)*100000000+0*10000000+(N('Dvd Calendar'!$S$1095)&gt;0)*(N('Dvd Calendar'!$S$1095)&lt;=VAL_SERIAL)*1000000+99*1000+55))</f>
        <v/>
      </c>
      <c r="GH110" s="121">
        <f>IF(N('Dvd Calendar'!$T$1096)=0,"",IF(('Dvd Calendar'!$T$1096&gt;=GRID_FROM)*('Dvd Calendar'!$T$1096&lt;=GRID_TO)*('Dvd Calendar'!$T$1096&gt;VAL_DATE)=0,"",'Dvd Calendar'!$T$1096*1000000000+ISNUMBER('Dvd Calendar'!$T$1097)*100000000+0*10000000+(N('Dvd Calendar'!$T$1095)&gt;0)*(N('Dvd Calendar'!$T$1095)&lt;=VAL_SERIAL)*1000000+99*1000+56))</f>
        <v/>
      </c>
      <c r="GI110" s="121">
        <f>IF(N('Dvd Calendar'!$U$1096)=0,"",IF(('Dvd Calendar'!$U$1096&gt;=GRID_FROM)*('Dvd Calendar'!$U$1096&lt;=GRID_TO)*('Dvd Calendar'!$U$1096&gt;VAL_DATE)=0,"",'Dvd Calendar'!$U$1096*1000000000+ISNUMBER('Dvd Calendar'!$U$1097)*100000000+0*10000000+(N('Dvd Calendar'!$U$1095)&gt;0)*(N('Dvd Calendar'!$U$1095)&lt;=VAL_SERIAL)*1000000+99*1000+57))</f>
        <v/>
      </c>
      <c r="GJ110" s="121">
        <f>IF(N('Dvd Calendar'!$V$1096)=0,"",IF(('Dvd Calendar'!$V$1096&gt;=GRID_FROM)*('Dvd Calendar'!$V$1096&lt;=GRID_TO)*('Dvd Calendar'!$V$1096&gt;VAL_DATE)=0,"",'Dvd Calendar'!$V$1096*1000000000+ISNUMBER('Dvd Calendar'!$V$1097)*100000000+0*10000000+(N('Dvd Calendar'!$V$1095)&gt;0)*(N('Dvd Calendar'!$V$1095)&lt;=VAL_SERIAL)*1000000+99*1000+58))</f>
        <v/>
      </c>
      <c r="GK110" s="121">
        <f>IF(N('Dvd Calendar'!$W$1096)=0,"",IF(('Dvd Calendar'!$W$1096&gt;=GRID_FROM)*('Dvd Calendar'!$W$1096&lt;=GRID_TO)*('Dvd Calendar'!$W$1096&gt;VAL_DATE)=0,"",'Dvd Calendar'!$W$1096*1000000000+ISNUMBER('Dvd Calendar'!$W$1097)*100000000+0*10000000+(N('Dvd Calendar'!$W$1095)&gt;0)*(N('Dvd Calendar'!$W$1095)&lt;=VAL_SERIAL)*1000000+99*1000+59))</f>
        <v/>
      </c>
      <c r="GL110" s="121">
        <f>IF(N('Dvd Calendar'!$X$1096)=0,"",IF(('Dvd Calendar'!$X$1096&gt;=GRID_FROM)*('Dvd Calendar'!$X$1096&lt;=GRID_TO)*('Dvd Calendar'!$X$1096&gt;VAL_DATE)=0,"",'Dvd Calendar'!$X$1096*1000000000+ISNUMBER('Dvd Calendar'!$X$1097)*100000000+0*10000000+(N('Dvd Calendar'!$X$1095)&gt;0)*(N('Dvd Calendar'!$X$1095)&lt;=VAL_SERIAL)*1000000+99*1000+60))</f>
        <v/>
      </c>
      <c r="GM110" s="121">
        <f>IF(N('Dvd Calendar'!$Y$1096)=0,"",IF(('Dvd Calendar'!$Y$1096&gt;=GRID_FROM)*('Dvd Calendar'!$Y$1096&lt;=GRID_TO)*('Dvd Calendar'!$Y$1096&gt;VAL_DATE)=0,"",'Dvd Calendar'!$Y$1096*1000000000+ISNUMBER('Dvd Calendar'!$Y$1097)*100000000+0*10000000+(N('Dvd Calendar'!$Y$1095)&gt;0)*(N('Dvd Calendar'!$Y$1095)&lt;=VAL_SERIAL)*1000000+99*1000+61))</f>
        <v/>
      </c>
      <c r="GN110" s="121">
        <f>IF(N('Dvd Calendar'!$Z$1096)=0,"",IF(('Dvd Calendar'!$Z$1096&gt;=GRID_FROM)*('Dvd Calendar'!$Z$1096&lt;=GRID_TO)*('Dvd Calendar'!$Z$1096&gt;VAL_DATE)=0,"",'Dvd Calendar'!$Z$1096*1000000000+ISNUMBER('Dvd Calendar'!$Z$1097)*100000000+0*10000000+(N('Dvd Calendar'!$Z$1095)&gt;0)*(N('Dvd Calendar'!$Z$1095)&lt;=VAL_SERIAL)*1000000+99*1000+62))</f>
        <v/>
      </c>
      <c r="GO110" s="121">
        <f>IF(N('Dvd Calendar'!$AA$1096)=0,"",IF(('Dvd Calendar'!$AA$1096&gt;=GRID_FROM)*('Dvd Calendar'!$AA$1096&lt;=GRID_TO)*('Dvd Calendar'!$AA$1096&gt;VAL_DATE)=0,"",'Dvd Calendar'!$AA$1096*1000000000+ISNUMBER('Dvd Calendar'!$AA$1097)*100000000+0*10000000+(N('Dvd Calendar'!$AA$1095)&gt;0)*(N('Dvd Calendar'!$AA$1095)&lt;=VAL_SERIAL)*1000000+99*1000+63))</f>
        <v/>
      </c>
      <c r="GP110" s="121">
        <f>IF(N('Dvd Calendar'!$AB$1096)=0,"",IF(('Dvd Calendar'!$AB$1096&gt;=GRID_FROM)*('Dvd Calendar'!$AB$1096&lt;=GRID_TO)*('Dvd Calendar'!$AB$1096&gt;VAL_DATE)=0,"",'Dvd Calendar'!$AB$1096*1000000000+ISNUMBER('Dvd Calendar'!$AB$1097)*100000000+0*10000000+(N('Dvd Calendar'!$AB$1095)&gt;0)*(N('Dvd Calendar'!$AB$1095)&lt;=VAL_SERIAL)*1000000+99*1000+64))</f>
        <v/>
      </c>
      <c r="GQ110" s="121">
        <f>IF(N('Dvd Calendar'!$AC$1096)=0,"",IF(('Dvd Calendar'!$AC$1096&gt;=GRID_FROM)*('Dvd Calendar'!$AC$1096&lt;=GRID_TO)*('Dvd Calendar'!$AC$1096&gt;VAL_DATE)=0,"",'Dvd Calendar'!$AC$1096*1000000000+ISNUMBER('Dvd Calendar'!$AC$1097)*100000000+0*10000000+(N('Dvd Calendar'!$AC$1095)&gt;0)*(N('Dvd Calendar'!$AC$1095)&lt;=VAL_SERIAL)*1000000+99*1000+65))</f>
        <v/>
      </c>
    </row>
    <row r="111">
      <c r="B111" s="2">
        <f>IF(HSI!$C$106="","",HSI!$C$106)</f>
        <v/>
      </c>
      <c r="C111" s="161">
        <f>IF(EE111="","",IF(ISNUMBER('Dvd Calendar'!$E$1103)=FALSE,"",IF((('Dvd Calendar'!$E$1105=TYPE1)*(TYPE1&lt;&gt;"")+('Dvd Calendar'!$E$1105=TYPE2)*(TYPE2&lt;&gt;"")+('Dvd Calendar'!$E$1105=TYPE3)*(TYPE3&lt;&gt;"")+('Dvd Calendar'!$E$1105=TYPE4)*(TYPE4&lt;&gt;"")+('Dvd Calendar'!$E$1105=SPECIAL_LBL)*(INC_SPECIALS="Y"))=0,"",'Dvd Calendar'!$E$1103)))</f>
        <v/>
      </c>
      <c r="D111" s="161">
        <f>IF(EF111="","",IF(ISNUMBER('Dvd Calendar'!$F$1103)=FALSE,"",IF((('Dvd Calendar'!$F$1105=TYPE1)*(TYPE1&lt;&gt;"")+('Dvd Calendar'!$F$1105=TYPE2)*(TYPE2&lt;&gt;"")+('Dvd Calendar'!$F$1105=TYPE3)*(TYPE3&lt;&gt;"")+('Dvd Calendar'!$F$1105=TYPE4)*(TYPE4&lt;&gt;"")+('Dvd Calendar'!$F$1105=SPECIAL_LBL)*(INC_SPECIALS="Y"))=0,"",'Dvd Calendar'!$F$1103)))</f>
        <v/>
      </c>
      <c r="E111" s="161">
        <f>IF(EG111="","",IF(ISNUMBER('Dvd Calendar'!$G$1103)=FALSE,"",IF((('Dvd Calendar'!$G$1105=TYPE1)*(TYPE1&lt;&gt;"")+('Dvd Calendar'!$G$1105=TYPE2)*(TYPE2&lt;&gt;"")+('Dvd Calendar'!$G$1105=TYPE3)*(TYPE3&lt;&gt;"")+('Dvd Calendar'!$G$1105=TYPE4)*(TYPE4&lt;&gt;"")+('Dvd Calendar'!$G$1105=SPECIAL_LBL)*(INC_SPECIALS="Y"))=0,"",'Dvd Calendar'!$G$1103)))</f>
        <v/>
      </c>
      <c r="F111" s="161">
        <f>IF(EH111="","",IF(ISNUMBER('Dvd Calendar'!$H$1103)=FALSE,"",IF((('Dvd Calendar'!$H$1105=TYPE1)*(TYPE1&lt;&gt;"")+('Dvd Calendar'!$H$1105=TYPE2)*(TYPE2&lt;&gt;"")+('Dvd Calendar'!$H$1105=TYPE3)*(TYPE3&lt;&gt;"")+('Dvd Calendar'!$H$1105=TYPE4)*(TYPE4&lt;&gt;"")+('Dvd Calendar'!$H$1105=SPECIAL_LBL)*(INC_SPECIALS="Y"))=0,"",'Dvd Calendar'!$H$1103)))</f>
        <v/>
      </c>
      <c r="G111" s="161">
        <f>IF(EI111="","",IF(ISNUMBER('Dvd Calendar'!$I$1103)=FALSE,"",IF((('Dvd Calendar'!$I$1105=TYPE1)*(TYPE1&lt;&gt;"")+('Dvd Calendar'!$I$1105=TYPE2)*(TYPE2&lt;&gt;"")+('Dvd Calendar'!$I$1105=TYPE3)*(TYPE3&lt;&gt;"")+('Dvd Calendar'!$I$1105=TYPE4)*(TYPE4&lt;&gt;"")+('Dvd Calendar'!$I$1105=SPECIAL_LBL)*(INC_SPECIALS="Y"))=0,"",'Dvd Calendar'!$I$1103)))</f>
        <v/>
      </c>
      <c r="H111" s="161">
        <f>IF(EJ111="","",IF(ISNUMBER('Dvd Calendar'!$J$1103)=FALSE,"",IF((('Dvd Calendar'!$J$1105=TYPE1)*(TYPE1&lt;&gt;"")+('Dvd Calendar'!$J$1105=TYPE2)*(TYPE2&lt;&gt;"")+('Dvd Calendar'!$J$1105=TYPE3)*(TYPE3&lt;&gt;"")+('Dvd Calendar'!$J$1105=TYPE4)*(TYPE4&lt;&gt;"")+('Dvd Calendar'!$J$1105=SPECIAL_LBL)*(INC_SPECIALS="Y"))=0,"",'Dvd Calendar'!$J$1103)))</f>
        <v/>
      </c>
      <c r="I111" s="161">
        <f>IF(EK111="","",IF(ISNUMBER('Dvd Calendar'!$K$1103)=FALSE,"",IF((('Dvd Calendar'!$K$1105=TYPE1)*(TYPE1&lt;&gt;"")+('Dvd Calendar'!$K$1105=TYPE2)*(TYPE2&lt;&gt;"")+('Dvd Calendar'!$K$1105=TYPE3)*(TYPE3&lt;&gt;"")+('Dvd Calendar'!$K$1105=TYPE4)*(TYPE4&lt;&gt;"")+('Dvd Calendar'!$K$1105=SPECIAL_LBL)*(INC_SPECIALS="Y"))=0,"",'Dvd Calendar'!$K$1103)))</f>
        <v/>
      </c>
      <c r="J111" s="161">
        <f>IF(EL111="","",IF(ISNUMBER('Dvd Calendar'!$L$1103)=FALSE,"",IF((('Dvd Calendar'!$L$1105=TYPE1)*(TYPE1&lt;&gt;"")+('Dvd Calendar'!$L$1105=TYPE2)*(TYPE2&lt;&gt;"")+('Dvd Calendar'!$L$1105=TYPE3)*(TYPE3&lt;&gt;"")+('Dvd Calendar'!$L$1105=TYPE4)*(TYPE4&lt;&gt;"")+('Dvd Calendar'!$L$1105=SPECIAL_LBL)*(INC_SPECIALS="Y"))=0,"",'Dvd Calendar'!$L$1103)))</f>
        <v/>
      </c>
      <c r="K111" s="161">
        <f>IF(EM111="","",IF(ISNUMBER('Dvd Calendar'!$M$1103)=FALSE,"",IF((('Dvd Calendar'!$M$1105=TYPE1)*(TYPE1&lt;&gt;"")+('Dvd Calendar'!$M$1105=TYPE2)*(TYPE2&lt;&gt;"")+('Dvd Calendar'!$M$1105=TYPE3)*(TYPE3&lt;&gt;"")+('Dvd Calendar'!$M$1105=TYPE4)*(TYPE4&lt;&gt;"")+('Dvd Calendar'!$M$1105=SPECIAL_LBL)*(INC_SPECIALS="Y"))=0,"",'Dvd Calendar'!$M$1103)))</f>
        <v/>
      </c>
      <c r="L111" s="161">
        <f>IF(EN111="","",IF(ISNUMBER('Dvd Calendar'!$N$1103)=FALSE,"",IF((('Dvd Calendar'!$N$1105=TYPE1)*(TYPE1&lt;&gt;"")+('Dvd Calendar'!$N$1105=TYPE2)*(TYPE2&lt;&gt;"")+('Dvd Calendar'!$N$1105=TYPE3)*(TYPE3&lt;&gt;"")+('Dvd Calendar'!$N$1105=TYPE4)*(TYPE4&lt;&gt;"")+('Dvd Calendar'!$N$1105=SPECIAL_LBL)*(INC_SPECIALS="Y"))=0,"",'Dvd Calendar'!$N$1103)))</f>
        <v/>
      </c>
      <c r="M111" s="161">
        <f>IF(EO111="","",IF(ISNUMBER('Dvd Calendar'!$O$1103)=FALSE,"",IF((('Dvd Calendar'!$O$1105=TYPE1)*(TYPE1&lt;&gt;"")+('Dvd Calendar'!$O$1105=TYPE2)*(TYPE2&lt;&gt;"")+('Dvd Calendar'!$O$1105=TYPE3)*(TYPE3&lt;&gt;"")+('Dvd Calendar'!$O$1105=TYPE4)*(TYPE4&lt;&gt;"")+('Dvd Calendar'!$O$1105=SPECIAL_LBL)*(INC_SPECIALS="Y"))=0,"",'Dvd Calendar'!$O$1103)))</f>
        <v/>
      </c>
      <c r="N111" s="161">
        <f>IF(EP111="","",IF(ISNUMBER('Dvd Calendar'!$P$1103)=FALSE,"",IF((('Dvd Calendar'!$P$1105=TYPE1)*(TYPE1&lt;&gt;"")+('Dvd Calendar'!$P$1105=TYPE2)*(TYPE2&lt;&gt;"")+('Dvd Calendar'!$P$1105=TYPE3)*(TYPE3&lt;&gt;"")+('Dvd Calendar'!$P$1105=TYPE4)*(TYPE4&lt;&gt;"")+('Dvd Calendar'!$P$1105=SPECIAL_LBL)*(INC_SPECIALS="Y"))=0,"",'Dvd Calendar'!$P$1103)))</f>
        <v/>
      </c>
      <c r="O111" s="161">
        <f>IF(EQ111="","",IF(ISNUMBER('Dvd Calendar'!$Q$1103)=FALSE,"",IF((('Dvd Calendar'!$Q$1105=TYPE1)*(TYPE1&lt;&gt;"")+('Dvd Calendar'!$Q$1105=TYPE2)*(TYPE2&lt;&gt;"")+('Dvd Calendar'!$Q$1105=TYPE3)*(TYPE3&lt;&gt;"")+('Dvd Calendar'!$Q$1105=TYPE4)*(TYPE4&lt;&gt;"")+('Dvd Calendar'!$Q$1105=SPECIAL_LBL)*(INC_SPECIALS="Y"))=0,"",'Dvd Calendar'!$Q$1103)))</f>
        <v/>
      </c>
      <c r="P111" s="161">
        <f>IF(ER111="","",IF(ISNUMBER('Dvd Calendar'!$R$1103)=FALSE,"",IF((('Dvd Calendar'!$R$1105=TYPE1)*(TYPE1&lt;&gt;"")+('Dvd Calendar'!$R$1105=TYPE2)*(TYPE2&lt;&gt;"")+('Dvd Calendar'!$R$1105=TYPE3)*(TYPE3&lt;&gt;"")+('Dvd Calendar'!$R$1105=TYPE4)*(TYPE4&lt;&gt;"")+('Dvd Calendar'!$R$1105=SPECIAL_LBL)*(INC_SPECIALS="Y"))=0,"",'Dvd Calendar'!$R$1103)))</f>
        <v/>
      </c>
      <c r="Q111" s="161">
        <f>IF(ES111="","",IF(ISNUMBER('Dvd Calendar'!$S$1103)=FALSE,"",IF((('Dvd Calendar'!$S$1105=TYPE1)*(TYPE1&lt;&gt;"")+('Dvd Calendar'!$S$1105=TYPE2)*(TYPE2&lt;&gt;"")+('Dvd Calendar'!$S$1105=TYPE3)*(TYPE3&lt;&gt;"")+('Dvd Calendar'!$S$1105=TYPE4)*(TYPE4&lt;&gt;"")+('Dvd Calendar'!$S$1105=SPECIAL_LBL)*(INC_SPECIALS="Y"))=0,"",'Dvd Calendar'!$S$1103)))</f>
        <v/>
      </c>
      <c r="R111" s="161">
        <f>IF(ET111="","",IF(ISNUMBER('Dvd Calendar'!$T$1103)=FALSE,"",IF((('Dvd Calendar'!$T$1105=TYPE1)*(TYPE1&lt;&gt;"")+('Dvd Calendar'!$T$1105=TYPE2)*(TYPE2&lt;&gt;"")+('Dvd Calendar'!$T$1105=TYPE3)*(TYPE3&lt;&gt;"")+('Dvd Calendar'!$T$1105=TYPE4)*(TYPE4&lt;&gt;"")+('Dvd Calendar'!$T$1105=SPECIAL_LBL)*(INC_SPECIALS="Y"))=0,"",'Dvd Calendar'!$T$1103)))</f>
        <v/>
      </c>
      <c r="S111" s="161">
        <f>IF(EU111="","",IF(ISNUMBER('Dvd Calendar'!$U$1103)=FALSE,"",IF((('Dvd Calendar'!$U$1105=TYPE1)*(TYPE1&lt;&gt;"")+('Dvd Calendar'!$U$1105=TYPE2)*(TYPE2&lt;&gt;"")+('Dvd Calendar'!$U$1105=TYPE3)*(TYPE3&lt;&gt;"")+('Dvd Calendar'!$U$1105=TYPE4)*(TYPE4&lt;&gt;"")+('Dvd Calendar'!$U$1105=SPECIAL_LBL)*(INC_SPECIALS="Y"))=0,"",'Dvd Calendar'!$U$1103)))</f>
        <v/>
      </c>
      <c r="T111" s="161">
        <f>IF(EV111="","",IF(ISNUMBER('Dvd Calendar'!$V$1103)=FALSE,"",IF((('Dvd Calendar'!$V$1105=TYPE1)*(TYPE1&lt;&gt;"")+('Dvd Calendar'!$V$1105=TYPE2)*(TYPE2&lt;&gt;"")+('Dvd Calendar'!$V$1105=TYPE3)*(TYPE3&lt;&gt;"")+('Dvd Calendar'!$V$1105=TYPE4)*(TYPE4&lt;&gt;"")+('Dvd Calendar'!$V$1105=SPECIAL_LBL)*(INC_SPECIALS="Y"))=0,"",'Dvd Calendar'!$V$1103)))</f>
        <v/>
      </c>
      <c r="U111" s="161">
        <f>IF(EW111="","",IF(ISNUMBER('Dvd Calendar'!$W$1103)=FALSE,"",IF((('Dvd Calendar'!$W$1105=TYPE1)*(TYPE1&lt;&gt;"")+('Dvd Calendar'!$W$1105=TYPE2)*(TYPE2&lt;&gt;"")+('Dvd Calendar'!$W$1105=TYPE3)*(TYPE3&lt;&gt;"")+('Dvd Calendar'!$W$1105=TYPE4)*(TYPE4&lt;&gt;"")+('Dvd Calendar'!$W$1105=SPECIAL_LBL)*(INC_SPECIALS="Y"))=0,"",'Dvd Calendar'!$W$1103)))</f>
        <v/>
      </c>
      <c r="V111" s="161">
        <f>IF(EX111="","",IF(ISNUMBER('Dvd Calendar'!$X$1103)=FALSE,"",IF((('Dvd Calendar'!$X$1105=TYPE1)*(TYPE1&lt;&gt;"")+('Dvd Calendar'!$X$1105=TYPE2)*(TYPE2&lt;&gt;"")+('Dvd Calendar'!$X$1105=TYPE3)*(TYPE3&lt;&gt;"")+('Dvd Calendar'!$X$1105=TYPE4)*(TYPE4&lt;&gt;"")+('Dvd Calendar'!$X$1105=SPECIAL_LBL)*(INC_SPECIALS="Y"))=0,"",'Dvd Calendar'!$X$1103)))</f>
        <v/>
      </c>
      <c r="W111" s="161">
        <f>IF(EY111="","",IF(ISNUMBER('Dvd Calendar'!$Y$1103)=FALSE,"",IF((('Dvd Calendar'!$Y$1105=TYPE1)*(TYPE1&lt;&gt;"")+('Dvd Calendar'!$Y$1105=TYPE2)*(TYPE2&lt;&gt;"")+('Dvd Calendar'!$Y$1105=TYPE3)*(TYPE3&lt;&gt;"")+('Dvd Calendar'!$Y$1105=TYPE4)*(TYPE4&lt;&gt;"")+('Dvd Calendar'!$Y$1105=SPECIAL_LBL)*(INC_SPECIALS="Y"))=0,"",'Dvd Calendar'!$Y$1103)))</f>
        <v/>
      </c>
      <c r="X111" s="161">
        <f>IF(EZ111="","",IF(ISNUMBER('Dvd Calendar'!$Z$1103)=FALSE,"",IF((('Dvd Calendar'!$Z$1105=TYPE1)*(TYPE1&lt;&gt;"")+('Dvd Calendar'!$Z$1105=TYPE2)*(TYPE2&lt;&gt;"")+('Dvd Calendar'!$Z$1105=TYPE3)*(TYPE3&lt;&gt;"")+('Dvd Calendar'!$Z$1105=TYPE4)*(TYPE4&lt;&gt;"")+('Dvd Calendar'!$Z$1105=SPECIAL_LBL)*(INC_SPECIALS="Y"))=0,"",'Dvd Calendar'!$Z$1103)))</f>
        <v/>
      </c>
      <c r="Y111" s="161">
        <f>IF(FA111="","",IF(ISNUMBER('Dvd Calendar'!$AA$1103)=FALSE,"",IF((('Dvd Calendar'!$AA$1105=TYPE1)*(TYPE1&lt;&gt;"")+('Dvd Calendar'!$AA$1105=TYPE2)*(TYPE2&lt;&gt;"")+('Dvd Calendar'!$AA$1105=TYPE3)*(TYPE3&lt;&gt;"")+('Dvd Calendar'!$AA$1105=TYPE4)*(TYPE4&lt;&gt;"")+('Dvd Calendar'!$AA$1105=SPECIAL_LBL)*(INC_SPECIALS="Y"))=0,"",'Dvd Calendar'!$AA$1103)))</f>
        <v/>
      </c>
      <c r="Z111" s="161">
        <f>IF(FB111="","",IF(ISNUMBER('Dvd Calendar'!$AB$1103)=FALSE,"",IF((('Dvd Calendar'!$AB$1105=TYPE1)*(TYPE1&lt;&gt;"")+('Dvd Calendar'!$AB$1105=TYPE2)*(TYPE2&lt;&gt;"")+('Dvd Calendar'!$AB$1105=TYPE3)*(TYPE3&lt;&gt;"")+('Dvd Calendar'!$AB$1105=TYPE4)*(TYPE4&lt;&gt;"")+('Dvd Calendar'!$AB$1105=SPECIAL_LBL)*(INC_SPECIALS="Y"))=0,"",'Dvd Calendar'!$AB$1103)))</f>
        <v/>
      </c>
      <c r="AA111" s="161">
        <f>IF(FC111="","",IF(ISNUMBER('Dvd Calendar'!$AC$1103)=FALSE,"",IF((('Dvd Calendar'!$AC$1105=TYPE1)*(TYPE1&lt;&gt;"")+('Dvd Calendar'!$AC$1105=TYPE2)*(TYPE2&lt;&gt;"")+('Dvd Calendar'!$AC$1105=TYPE3)*(TYPE3&lt;&gt;"")+('Dvd Calendar'!$AC$1105=TYPE4)*(TYPE4&lt;&gt;"")+('Dvd Calendar'!$AC$1105=SPECIAL_LBL)*(INC_SPECIALS="Y"))=0,"",'Dvd Calendar'!$AC$1103)))</f>
        <v/>
      </c>
      <c r="AB111" s="161">
        <f>IF(FD111="","",IF(ISNUMBER('Dvd Calendar'!$AD$1103)=FALSE,"",IF((('Dvd Calendar'!$AD$1105=TYPE1)*(TYPE1&lt;&gt;"")+('Dvd Calendar'!$AD$1105=TYPE2)*(TYPE2&lt;&gt;"")+('Dvd Calendar'!$AD$1105=TYPE3)*(TYPE3&lt;&gt;"")+('Dvd Calendar'!$AD$1105=TYPE4)*(TYPE4&lt;&gt;"")+('Dvd Calendar'!$AD$1105=SPECIAL_LBL)*(INC_SPECIALS="Y"))=0,"",'Dvd Calendar'!$AD$1103)))</f>
        <v/>
      </c>
      <c r="AC111" s="161">
        <f>IF(FE111="","",IF(ISNUMBER('Dvd Calendar'!$AE$1103)=FALSE,"",IF((('Dvd Calendar'!$AE$1105=TYPE1)*(TYPE1&lt;&gt;"")+('Dvd Calendar'!$AE$1105=TYPE2)*(TYPE2&lt;&gt;"")+('Dvd Calendar'!$AE$1105=TYPE3)*(TYPE3&lt;&gt;"")+('Dvd Calendar'!$AE$1105=TYPE4)*(TYPE4&lt;&gt;"")+('Dvd Calendar'!$AE$1105=SPECIAL_LBL)*(INC_SPECIALS="Y"))=0,"",'Dvd Calendar'!$AE$1103)))</f>
        <v/>
      </c>
      <c r="AD111" s="161">
        <f>IF(FF111="","",IF(ISNUMBER('Dvd Calendar'!$AF$1103)=FALSE,"",IF((('Dvd Calendar'!$AF$1105=TYPE1)*(TYPE1&lt;&gt;"")+('Dvd Calendar'!$AF$1105=TYPE2)*(TYPE2&lt;&gt;"")+('Dvd Calendar'!$AF$1105=TYPE3)*(TYPE3&lt;&gt;"")+('Dvd Calendar'!$AF$1105=TYPE4)*(TYPE4&lt;&gt;"")+('Dvd Calendar'!$AF$1105=SPECIAL_LBL)*(INC_SPECIALS="Y"))=0,"",'Dvd Calendar'!$AF$1103)))</f>
        <v/>
      </c>
      <c r="AE111" s="161">
        <f>IF(FG111="","",IF(ISNUMBER('Dvd Calendar'!$AG$1103)=FALSE,"",IF((('Dvd Calendar'!$AG$1105=TYPE1)*(TYPE1&lt;&gt;"")+('Dvd Calendar'!$AG$1105=TYPE2)*(TYPE2&lt;&gt;"")+('Dvd Calendar'!$AG$1105=TYPE3)*(TYPE3&lt;&gt;"")+('Dvd Calendar'!$AG$1105=TYPE4)*(TYPE4&lt;&gt;"")+('Dvd Calendar'!$AG$1105=SPECIAL_LBL)*(INC_SPECIALS="Y"))=0,"",'Dvd Calendar'!$AG$1103)))</f>
        <v/>
      </c>
      <c r="AF111" s="161">
        <f>IF(FH111="","",IF(ISNUMBER('Dvd Calendar'!$AH$1103)=FALSE,"",IF((('Dvd Calendar'!$AH$1105=TYPE1)*(TYPE1&lt;&gt;"")+('Dvd Calendar'!$AH$1105=TYPE2)*(TYPE2&lt;&gt;"")+('Dvd Calendar'!$AH$1105=TYPE3)*(TYPE3&lt;&gt;"")+('Dvd Calendar'!$AH$1105=TYPE4)*(TYPE4&lt;&gt;"")+('Dvd Calendar'!$AH$1105=SPECIAL_LBL)*(INC_SPECIALS="Y"))=0,"",'Dvd Calendar'!$AH$1103)))</f>
        <v/>
      </c>
      <c r="AG111" s="161">
        <f>IF(FI111="","",IF(ISNUMBER('Dvd Calendar'!$AI$1103)=FALSE,"",IF((('Dvd Calendar'!$AI$1105=TYPE1)*(TYPE1&lt;&gt;"")+('Dvd Calendar'!$AI$1105=TYPE2)*(TYPE2&lt;&gt;"")+('Dvd Calendar'!$AI$1105=TYPE3)*(TYPE3&lt;&gt;"")+('Dvd Calendar'!$AI$1105=TYPE4)*(TYPE4&lt;&gt;"")+('Dvd Calendar'!$AI$1105=SPECIAL_LBL)*(INC_SPECIALS="Y"))=0,"",'Dvd Calendar'!$AI$1103)))</f>
        <v/>
      </c>
      <c r="AH111" s="161">
        <f>IF(FJ111="","",IF(ISNUMBER('Dvd Calendar'!$AJ$1103)=FALSE,"",IF((('Dvd Calendar'!$AJ$1105=TYPE1)*(TYPE1&lt;&gt;"")+('Dvd Calendar'!$AJ$1105=TYPE2)*(TYPE2&lt;&gt;"")+('Dvd Calendar'!$AJ$1105=TYPE3)*(TYPE3&lt;&gt;"")+('Dvd Calendar'!$AJ$1105=TYPE4)*(TYPE4&lt;&gt;"")+('Dvd Calendar'!$AJ$1105=SPECIAL_LBL)*(INC_SPECIALS="Y"))=0,"",'Dvd Calendar'!$AJ$1103)))</f>
        <v/>
      </c>
      <c r="AI111" s="161">
        <f>IF(FK111="","",IF(ISNUMBER('Dvd Calendar'!$AK$1103)=FALSE,"",IF((('Dvd Calendar'!$AK$1105=TYPE1)*(TYPE1&lt;&gt;"")+('Dvd Calendar'!$AK$1105=TYPE2)*(TYPE2&lt;&gt;"")+('Dvd Calendar'!$AK$1105=TYPE3)*(TYPE3&lt;&gt;"")+('Dvd Calendar'!$AK$1105=TYPE4)*(TYPE4&lt;&gt;"")+('Dvd Calendar'!$AK$1105=SPECIAL_LBL)*(INC_SPECIALS="Y"))=0,"",'Dvd Calendar'!$AK$1103)))</f>
        <v/>
      </c>
      <c r="AJ111" s="161">
        <f>IF(FL111="","",IF(ISNUMBER('Dvd Calendar'!$AL$1103)=FALSE,"",IF((('Dvd Calendar'!$AL$1105=TYPE1)*(TYPE1&lt;&gt;"")+('Dvd Calendar'!$AL$1105=TYPE2)*(TYPE2&lt;&gt;"")+('Dvd Calendar'!$AL$1105=TYPE3)*(TYPE3&lt;&gt;"")+('Dvd Calendar'!$AL$1105=TYPE4)*(TYPE4&lt;&gt;"")+('Dvd Calendar'!$AL$1105=SPECIAL_LBL)*(INC_SPECIALS="Y"))=0,"",'Dvd Calendar'!$AL$1103)))</f>
        <v/>
      </c>
      <c r="AK111" s="161">
        <f>IF(FM111="","",IF(ISNUMBER('Dvd Calendar'!$AM$1103)=FALSE,"",IF((('Dvd Calendar'!$AM$1105=TYPE1)*(TYPE1&lt;&gt;"")+('Dvd Calendar'!$AM$1105=TYPE2)*(TYPE2&lt;&gt;"")+('Dvd Calendar'!$AM$1105=TYPE3)*(TYPE3&lt;&gt;"")+('Dvd Calendar'!$AM$1105=TYPE4)*(TYPE4&lt;&gt;"")+('Dvd Calendar'!$AM$1105=SPECIAL_LBL)*(INC_SPECIALS="Y"))=0,"",'Dvd Calendar'!$AM$1103)))</f>
        <v/>
      </c>
      <c r="AL111" s="161">
        <f>IF(FN111="","",IF(ISNUMBER('Dvd Calendar'!$AN$1103)=FALSE,"",IF((('Dvd Calendar'!$AN$1105=TYPE1)*(TYPE1&lt;&gt;"")+('Dvd Calendar'!$AN$1105=TYPE2)*(TYPE2&lt;&gt;"")+('Dvd Calendar'!$AN$1105=TYPE3)*(TYPE3&lt;&gt;"")+('Dvd Calendar'!$AN$1105=TYPE4)*(TYPE4&lt;&gt;"")+('Dvd Calendar'!$AN$1105=SPECIAL_LBL)*(INC_SPECIALS="Y"))=0,"",'Dvd Calendar'!$AN$1103)))</f>
        <v/>
      </c>
      <c r="AM111" s="161">
        <f>IF(FO111="","",IF(ISNUMBER('Dvd Calendar'!$AO$1103)=FALSE,"",IF((('Dvd Calendar'!$AO$1105=TYPE1)*(TYPE1&lt;&gt;"")+('Dvd Calendar'!$AO$1105=TYPE2)*(TYPE2&lt;&gt;"")+('Dvd Calendar'!$AO$1105=TYPE3)*(TYPE3&lt;&gt;"")+('Dvd Calendar'!$AO$1105=TYPE4)*(TYPE4&lt;&gt;"")+('Dvd Calendar'!$AO$1105=SPECIAL_LBL)*(INC_SPECIALS="Y"))=0,"",'Dvd Calendar'!$AO$1103)))</f>
        <v/>
      </c>
      <c r="AN111" s="161">
        <f>IF(FP111="","",IF(ISNUMBER('Dvd Calendar'!$AP$1103)=FALSE,"",IF((('Dvd Calendar'!$AP$1105=TYPE1)*(TYPE1&lt;&gt;"")+('Dvd Calendar'!$AP$1105=TYPE2)*(TYPE2&lt;&gt;"")+('Dvd Calendar'!$AP$1105=TYPE3)*(TYPE3&lt;&gt;"")+('Dvd Calendar'!$AP$1105=TYPE4)*(TYPE4&lt;&gt;"")+('Dvd Calendar'!$AP$1105=SPECIAL_LBL)*(INC_SPECIALS="Y"))=0,"",'Dvd Calendar'!$AP$1103)))</f>
        <v/>
      </c>
      <c r="AO111" s="161">
        <f>IF(FQ111="","",IF(ISNUMBER('Dvd Calendar'!$AQ$1103)=FALSE,"",IF((('Dvd Calendar'!$AQ$1105=TYPE1)*(TYPE1&lt;&gt;"")+('Dvd Calendar'!$AQ$1105=TYPE2)*(TYPE2&lt;&gt;"")+('Dvd Calendar'!$AQ$1105=TYPE3)*(TYPE3&lt;&gt;"")+('Dvd Calendar'!$AQ$1105=TYPE4)*(TYPE4&lt;&gt;"")+('Dvd Calendar'!$AQ$1105=SPECIAL_LBL)*(INC_SPECIALS="Y"))=0,"",'Dvd Calendar'!$AQ$1103)))</f>
        <v/>
      </c>
      <c r="AP111" s="161">
        <f>IF(FR111="","",IF(ISNUMBER('Dvd Calendar'!$AR$1103)=FALSE,"",IF((('Dvd Calendar'!$AR$1105=TYPE1)*(TYPE1&lt;&gt;"")+('Dvd Calendar'!$AR$1105=TYPE2)*(TYPE2&lt;&gt;"")+('Dvd Calendar'!$AR$1105=TYPE3)*(TYPE3&lt;&gt;"")+('Dvd Calendar'!$AR$1105=TYPE4)*(TYPE4&lt;&gt;"")+('Dvd Calendar'!$AR$1105=SPECIAL_LBL)*(INC_SPECIALS="Y"))=0,"",'Dvd Calendar'!$AR$1103)))</f>
        <v/>
      </c>
      <c r="AQ111" s="161">
        <f>IF(FS111="","",IF(ISNUMBER('Dvd Calendar'!$E$1108)=FALSE,"",'Dvd Calendar'!$E$1108))</f>
        <v/>
      </c>
      <c r="AR111" s="161">
        <f>IF(FT111="","",IF(ISNUMBER('Dvd Calendar'!$F$1108)=FALSE,"",'Dvd Calendar'!$F$1108))</f>
        <v/>
      </c>
      <c r="AS111" s="161">
        <f>IF(FU111="","",IF(ISNUMBER('Dvd Calendar'!$G$1108)=FALSE,"",'Dvd Calendar'!$G$1108))</f>
        <v/>
      </c>
      <c r="AT111" s="161">
        <f>IF(FV111="","",IF(ISNUMBER('Dvd Calendar'!$H$1108)=FALSE,"",'Dvd Calendar'!$H$1108))</f>
        <v/>
      </c>
      <c r="AU111" s="161">
        <f>IF(FW111="","",IF(ISNUMBER('Dvd Calendar'!$I$1108)=FALSE,"",'Dvd Calendar'!$I$1108))</f>
        <v/>
      </c>
      <c r="AV111" s="161">
        <f>IF(FX111="","",IF(ISNUMBER('Dvd Calendar'!$J$1108)=FALSE,"",'Dvd Calendar'!$J$1108))</f>
        <v/>
      </c>
      <c r="AW111" s="161">
        <f>IF(FY111="","",IF(ISNUMBER('Dvd Calendar'!$K$1108)=FALSE,"",'Dvd Calendar'!$K$1108))</f>
        <v/>
      </c>
      <c r="AX111" s="161">
        <f>IF(FZ111="","",IF(ISNUMBER('Dvd Calendar'!$L$1108)=FALSE,"",'Dvd Calendar'!$L$1108))</f>
        <v/>
      </c>
      <c r="AY111" s="161">
        <f>IF(GA111="","",IF(ISNUMBER('Dvd Calendar'!$M$1108)=FALSE,"",'Dvd Calendar'!$M$1108))</f>
        <v/>
      </c>
      <c r="AZ111" s="161">
        <f>IF(GB111="","",IF(ISNUMBER('Dvd Calendar'!$N$1108)=FALSE,"",'Dvd Calendar'!$N$1108))</f>
        <v/>
      </c>
      <c r="BA111" s="161">
        <f>IF(GC111="","",IF(ISNUMBER('Dvd Calendar'!$O$1108)=FALSE,"",'Dvd Calendar'!$O$1108))</f>
        <v/>
      </c>
      <c r="BB111" s="161">
        <f>IF(GD111="","",IF(ISNUMBER('Dvd Calendar'!$P$1108)=FALSE,"",'Dvd Calendar'!$P$1108))</f>
        <v/>
      </c>
      <c r="BC111" s="161">
        <f>IF(GE111="","",IF(ISNUMBER('Dvd Calendar'!$Q$1108)=FALSE,"",'Dvd Calendar'!$Q$1108))</f>
        <v/>
      </c>
      <c r="BD111" s="161">
        <f>IF(GF111="","",IF(ISNUMBER('Dvd Calendar'!$R$1108)=FALSE,"",'Dvd Calendar'!$R$1108))</f>
        <v/>
      </c>
      <c r="BE111" s="161">
        <f>IF(GG111="","",IF(ISNUMBER('Dvd Calendar'!$S$1108)=FALSE,"",'Dvd Calendar'!$S$1108))</f>
        <v/>
      </c>
      <c r="BF111" s="161">
        <f>IF(GH111="","",IF(ISNUMBER('Dvd Calendar'!$T$1108)=FALSE,"",'Dvd Calendar'!$T$1108))</f>
        <v/>
      </c>
      <c r="BG111" s="161">
        <f>IF(GI111="","",IF(ISNUMBER('Dvd Calendar'!$U$1108)=FALSE,"",'Dvd Calendar'!$U$1108))</f>
        <v/>
      </c>
      <c r="BH111" s="161">
        <f>IF(GJ111="","",IF(ISNUMBER('Dvd Calendar'!$V$1108)=FALSE,"",'Dvd Calendar'!$V$1108))</f>
        <v/>
      </c>
      <c r="BI111" s="161">
        <f>IF(GK111="","",IF(ISNUMBER('Dvd Calendar'!$W$1108)=FALSE,"",'Dvd Calendar'!$W$1108))</f>
        <v/>
      </c>
      <c r="BJ111" s="161">
        <f>IF(GL111="","",IF(ISNUMBER('Dvd Calendar'!$X$1108)=FALSE,"",'Dvd Calendar'!$X$1108))</f>
        <v/>
      </c>
      <c r="BK111" s="161">
        <f>IF(GM111="","",IF(ISNUMBER('Dvd Calendar'!$Y$1108)=FALSE,"",'Dvd Calendar'!$Y$1108))</f>
        <v/>
      </c>
      <c r="BL111" s="161">
        <f>IF(GN111="","",IF(ISNUMBER('Dvd Calendar'!$Z$1108)=FALSE,"",'Dvd Calendar'!$Z$1108))</f>
        <v/>
      </c>
      <c r="BM111" s="161">
        <f>IF(GO111="","",IF(ISNUMBER('Dvd Calendar'!$AA$1108)=FALSE,"",'Dvd Calendar'!$AA$1108))</f>
        <v/>
      </c>
      <c r="BN111" s="161">
        <f>IF(GP111="","",IF(ISNUMBER('Dvd Calendar'!$AB$1108)=FALSE,"",'Dvd Calendar'!$AB$1108))</f>
        <v/>
      </c>
      <c r="BO111" s="161">
        <f>IF(GQ111="","",IF(ISNUMBER('Dvd Calendar'!$AC$1108)=FALSE,"",'Dvd Calendar'!$AC$1108))</f>
        <v/>
      </c>
      <c r="BQ111" s="161">
        <f>IF(C111="","",IFERROR(C111*HSI!$B$106*HSI!$G$106/HSI!$B$3,""))</f>
        <v/>
      </c>
      <c r="BR111" s="161">
        <f>IF(D111="","",IFERROR(D111*HSI!$B$106*HSI!$G$106/HSI!$B$3,""))</f>
        <v/>
      </c>
      <c r="BS111" s="161">
        <f>IF(E111="","",IFERROR(E111*HSI!$B$106*HSI!$G$106/HSI!$B$3,""))</f>
        <v/>
      </c>
      <c r="BT111" s="161">
        <f>IF(F111="","",IFERROR(F111*HSI!$B$106*HSI!$G$106/HSI!$B$3,""))</f>
        <v/>
      </c>
      <c r="BU111" s="161">
        <f>IF(G111="","",IFERROR(G111*HSI!$B$106*HSI!$G$106/HSI!$B$3,""))</f>
        <v/>
      </c>
      <c r="BV111" s="161">
        <f>IF(H111="","",IFERROR(H111*HSI!$B$106*HSI!$G$106/HSI!$B$3,""))</f>
        <v/>
      </c>
      <c r="BW111" s="161">
        <f>IF(I111="","",IFERROR(I111*HSI!$B$106*HSI!$G$106/HSI!$B$3,""))</f>
        <v/>
      </c>
      <c r="BX111" s="161">
        <f>IF(J111="","",IFERROR(J111*HSI!$B$106*HSI!$G$106/HSI!$B$3,""))</f>
        <v/>
      </c>
      <c r="BY111" s="161">
        <f>IF(K111="","",IFERROR(K111*HSI!$B$106*HSI!$G$106/HSI!$B$3,""))</f>
        <v/>
      </c>
      <c r="BZ111" s="161">
        <f>IF(L111="","",IFERROR(L111*HSI!$B$106*HSI!$G$106/HSI!$B$3,""))</f>
        <v/>
      </c>
      <c r="CA111" s="161">
        <f>IF(M111="","",IFERROR(M111*HSI!$B$106*HSI!$G$106/HSI!$B$3,""))</f>
        <v/>
      </c>
      <c r="CB111" s="161">
        <f>IF(N111="","",IFERROR(N111*HSI!$B$106*HSI!$G$106/HSI!$B$3,""))</f>
        <v/>
      </c>
      <c r="CC111" s="161">
        <f>IF(O111="","",IFERROR(O111*HSI!$B$106*HSI!$G$106/HSI!$B$3,""))</f>
        <v/>
      </c>
      <c r="CD111" s="161">
        <f>IF(P111="","",IFERROR(P111*HSI!$B$106*HSI!$G$106/HSI!$B$3,""))</f>
        <v/>
      </c>
      <c r="CE111" s="161">
        <f>IF(Q111="","",IFERROR(Q111*HSI!$B$106*HSI!$G$106/HSI!$B$3,""))</f>
        <v/>
      </c>
      <c r="CF111" s="161">
        <f>IF(R111="","",IFERROR(R111*HSI!$B$106*HSI!$G$106/HSI!$B$3,""))</f>
        <v/>
      </c>
      <c r="CG111" s="161">
        <f>IF(S111="","",IFERROR(S111*HSI!$B$106*HSI!$G$106/HSI!$B$3,""))</f>
        <v/>
      </c>
      <c r="CH111" s="161">
        <f>IF(T111="","",IFERROR(T111*HSI!$B$106*HSI!$G$106/HSI!$B$3,""))</f>
        <v/>
      </c>
      <c r="CI111" s="161">
        <f>IF(U111="","",IFERROR(U111*HSI!$B$106*HSI!$G$106/HSI!$B$3,""))</f>
        <v/>
      </c>
      <c r="CJ111" s="161">
        <f>IF(V111="","",IFERROR(V111*HSI!$B$106*HSI!$G$106/HSI!$B$3,""))</f>
        <v/>
      </c>
      <c r="CK111" s="161">
        <f>IF(W111="","",IFERROR(W111*HSI!$B$106*HSI!$G$106/HSI!$B$3,""))</f>
        <v/>
      </c>
      <c r="CL111" s="161">
        <f>IF(X111="","",IFERROR(X111*HSI!$B$106*HSI!$G$106/HSI!$B$3,""))</f>
        <v/>
      </c>
      <c r="CM111" s="161">
        <f>IF(Y111="","",IFERROR(Y111*HSI!$B$106*HSI!$G$106/HSI!$B$3,""))</f>
        <v/>
      </c>
      <c r="CN111" s="161">
        <f>IF(Z111="","",IFERROR(Z111*HSI!$B$106*HSI!$G$106/HSI!$B$3,""))</f>
        <v/>
      </c>
      <c r="CO111" s="161">
        <f>IF(AA111="","",IFERROR(AA111*HSI!$B$106*HSI!$G$106/HSI!$B$3,""))</f>
        <v/>
      </c>
      <c r="CP111" s="161">
        <f>IF(AB111="","",IFERROR(AB111*HSI!$B$106*HSI!$G$106/HSI!$B$3,""))</f>
        <v/>
      </c>
      <c r="CQ111" s="161">
        <f>IF(AC111="","",IFERROR(AC111*HSI!$B$106*HSI!$G$106/HSI!$B$3,""))</f>
        <v/>
      </c>
      <c r="CR111" s="161">
        <f>IF(AD111="","",IFERROR(AD111*HSI!$B$106*HSI!$G$106/HSI!$B$3,""))</f>
        <v/>
      </c>
      <c r="CS111" s="161">
        <f>IF(AE111="","",IFERROR(AE111*HSI!$B$106*HSI!$G$106/HSI!$B$3,""))</f>
        <v/>
      </c>
      <c r="CT111" s="161">
        <f>IF(AF111="","",IFERROR(AF111*HSI!$B$106*HSI!$G$106/HSI!$B$3,""))</f>
        <v/>
      </c>
      <c r="CU111" s="161">
        <f>IF(AG111="","",IFERROR(AG111*HSI!$B$106*HSI!$G$106/HSI!$B$3,""))</f>
        <v/>
      </c>
      <c r="CV111" s="161">
        <f>IF(AH111="","",IFERROR(AH111*HSI!$B$106*HSI!$G$106/HSI!$B$3,""))</f>
        <v/>
      </c>
      <c r="CW111" s="161">
        <f>IF(AI111="","",IFERROR(AI111*HSI!$B$106*HSI!$G$106/HSI!$B$3,""))</f>
        <v/>
      </c>
      <c r="CX111" s="161">
        <f>IF(AJ111="","",IFERROR(AJ111*HSI!$B$106*HSI!$G$106/HSI!$B$3,""))</f>
        <v/>
      </c>
      <c r="CY111" s="161">
        <f>IF(AK111="","",IFERROR(AK111*HSI!$B$106*HSI!$G$106/HSI!$B$3,""))</f>
        <v/>
      </c>
      <c r="CZ111" s="161">
        <f>IF(AL111="","",IFERROR(AL111*HSI!$B$106*HSI!$G$106/HSI!$B$3,""))</f>
        <v/>
      </c>
      <c r="DA111" s="161">
        <f>IF(AM111="","",IFERROR(AM111*HSI!$B$106*HSI!$G$106/HSI!$B$3,""))</f>
        <v/>
      </c>
      <c r="DB111" s="161">
        <f>IF(AN111="","",IFERROR(AN111*HSI!$B$106*HSI!$G$106/HSI!$B$3,""))</f>
        <v/>
      </c>
      <c r="DC111" s="161">
        <f>IF(AO111="","",IFERROR(AO111*HSI!$B$106*HSI!$G$106/HSI!$B$3,""))</f>
        <v/>
      </c>
      <c r="DD111" s="161">
        <f>IF(AP111="","",IFERROR(AP111*HSI!$B$106*HSI!$G$106/HSI!$B$3,""))</f>
        <v/>
      </c>
      <c r="DE111" s="161">
        <f>IF(AQ111="","",IFERROR(AQ111*HSI!$B$106*HSI!$G$106/HSI!$B$3,""))</f>
        <v/>
      </c>
      <c r="DF111" s="161">
        <f>IF(AR111="","",IFERROR(AR111*HSI!$B$106*HSI!$G$106/HSI!$B$3,""))</f>
        <v/>
      </c>
      <c r="DG111" s="161">
        <f>IF(AS111="","",IFERROR(AS111*HSI!$B$106*HSI!$G$106/HSI!$B$3,""))</f>
        <v/>
      </c>
      <c r="DH111" s="161">
        <f>IF(AT111="","",IFERROR(AT111*HSI!$B$106*HSI!$G$106/HSI!$B$3,""))</f>
        <v/>
      </c>
      <c r="DI111" s="161">
        <f>IF(AU111="","",IFERROR(AU111*HSI!$B$106*HSI!$G$106/HSI!$B$3,""))</f>
        <v/>
      </c>
      <c r="DJ111" s="161">
        <f>IF(AV111="","",IFERROR(AV111*HSI!$B$106*HSI!$G$106/HSI!$B$3,""))</f>
        <v/>
      </c>
      <c r="DK111" s="161">
        <f>IF(AW111="","",IFERROR(AW111*HSI!$B$106*HSI!$G$106/HSI!$B$3,""))</f>
        <v/>
      </c>
      <c r="DL111" s="161">
        <f>IF(AX111="","",IFERROR(AX111*HSI!$B$106*HSI!$G$106/HSI!$B$3,""))</f>
        <v/>
      </c>
      <c r="DM111" s="161">
        <f>IF(AY111="","",IFERROR(AY111*HSI!$B$106*HSI!$G$106/HSI!$B$3,""))</f>
        <v/>
      </c>
      <c r="DN111" s="161">
        <f>IF(AZ111="","",IFERROR(AZ111*HSI!$B$106*HSI!$G$106/HSI!$B$3,""))</f>
        <v/>
      </c>
      <c r="DO111" s="161">
        <f>IF(BA111="","",IFERROR(BA111*HSI!$B$106*HSI!$G$106/HSI!$B$3,""))</f>
        <v/>
      </c>
      <c r="DP111" s="161">
        <f>IF(BB111="","",IFERROR(BB111*HSI!$B$106*HSI!$G$106/HSI!$B$3,""))</f>
        <v/>
      </c>
      <c r="DQ111" s="161">
        <f>IF(BC111="","",IFERROR(BC111*HSI!$B$106*HSI!$G$106/HSI!$B$3,""))</f>
        <v/>
      </c>
      <c r="DR111" s="161">
        <f>IF(BD111="","",IFERROR(BD111*HSI!$B$106*HSI!$G$106/HSI!$B$3,""))</f>
        <v/>
      </c>
      <c r="DS111" s="161">
        <f>IF(BE111="","",IFERROR(BE111*HSI!$B$106*HSI!$G$106/HSI!$B$3,""))</f>
        <v/>
      </c>
      <c r="DT111" s="161">
        <f>IF(BF111="","",IFERROR(BF111*HSI!$B$106*HSI!$G$106/HSI!$B$3,""))</f>
        <v/>
      </c>
      <c r="DU111" s="161">
        <f>IF(BG111="","",IFERROR(BG111*HSI!$B$106*HSI!$G$106/HSI!$B$3,""))</f>
        <v/>
      </c>
      <c r="DV111" s="161">
        <f>IF(BH111="","",IFERROR(BH111*HSI!$B$106*HSI!$G$106/HSI!$B$3,""))</f>
        <v/>
      </c>
      <c r="DW111" s="161">
        <f>IF(BI111="","",IFERROR(BI111*HSI!$B$106*HSI!$G$106/HSI!$B$3,""))</f>
        <v/>
      </c>
      <c r="DX111" s="161">
        <f>IF(BJ111="","",IFERROR(BJ111*HSI!$B$106*HSI!$G$106/HSI!$B$3,""))</f>
        <v/>
      </c>
      <c r="DY111" s="161">
        <f>IF(BK111="","",IFERROR(BK111*HSI!$B$106*HSI!$G$106/HSI!$B$3,""))</f>
        <v/>
      </c>
      <c r="DZ111" s="161">
        <f>IF(BL111="","",IFERROR(BL111*HSI!$B$106*HSI!$G$106/HSI!$B$3,""))</f>
        <v/>
      </c>
      <c r="EA111" s="161">
        <f>IF(BM111="","",IFERROR(BM111*HSI!$B$106*HSI!$G$106/HSI!$B$3,""))</f>
        <v/>
      </c>
      <c r="EB111" s="161">
        <f>IF(BN111="","",IFERROR(BN111*HSI!$B$106*HSI!$G$106/HSI!$B$3,""))</f>
        <v/>
      </c>
      <c r="EC111" s="161">
        <f>IF(BO111="","",IFERROR(BO111*HSI!$B$106*HSI!$G$106/HSI!$B$3,""))</f>
        <v/>
      </c>
      <c r="EE111" s="121">
        <f>IF(N('Dvd Calendar'!$E$1100)=0,"",IF(('Dvd Calendar'!$E$1100&gt;=GRID_FROM)*('Dvd Calendar'!$E$1100&lt;=GRID_TO)*((('Dvd Calendar'!$E$1100&lt;=VAL_DATE)+(COUNTIF('Dvd Calendar'!$E$1107:$AR$1107,'Dvd Calendar'!$E$1100)=0))&gt;0)=0,"",'Dvd Calendar'!$E$1100*1000000000+ISNUMBER('Dvd Calendar'!$E$1103)*100000000+('Dvd Calendar'!$E$1105=SPECIAL_LBL)*10000000+(N('Dvd Calendar'!$E$1099)&gt;0)*(N('Dvd Calendar'!$E$1099)&lt;=VAL_SERIAL)*1000000+100*1000+1))</f>
        <v/>
      </c>
      <c r="EF111" s="121">
        <f>IF(N('Dvd Calendar'!$F$1100)=0,"",IF(('Dvd Calendar'!$F$1100&gt;=GRID_FROM)*('Dvd Calendar'!$F$1100&lt;=GRID_TO)*((('Dvd Calendar'!$F$1100&lt;=VAL_DATE)+(COUNTIF('Dvd Calendar'!$E$1107:$AR$1107,'Dvd Calendar'!$F$1100)=0))&gt;0)=0,"",'Dvd Calendar'!$F$1100*1000000000+ISNUMBER('Dvd Calendar'!$F$1103)*100000000+('Dvd Calendar'!$F$1105=SPECIAL_LBL)*10000000+(N('Dvd Calendar'!$F$1099)&gt;0)*(N('Dvd Calendar'!$F$1099)&lt;=VAL_SERIAL)*1000000+100*1000+2))</f>
        <v/>
      </c>
      <c r="EG111" s="121">
        <f>IF(N('Dvd Calendar'!$G$1100)=0,"",IF(('Dvd Calendar'!$G$1100&gt;=GRID_FROM)*('Dvd Calendar'!$G$1100&lt;=GRID_TO)*((('Dvd Calendar'!$G$1100&lt;=VAL_DATE)+(COUNTIF('Dvd Calendar'!$E$1107:$AR$1107,'Dvd Calendar'!$G$1100)=0))&gt;0)=0,"",'Dvd Calendar'!$G$1100*1000000000+ISNUMBER('Dvd Calendar'!$G$1103)*100000000+('Dvd Calendar'!$G$1105=SPECIAL_LBL)*10000000+(N('Dvd Calendar'!$G$1099)&gt;0)*(N('Dvd Calendar'!$G$1099)&lt;=VAL_SERIAL)*1000000+100*1000+3))</f>
        <v/>
      </c>
      <c r="EH111" s="121">
        <f>IF(N('Dvd Calendar'!$H$1100)=0,"",IF(('Dvd Calendar'!$H$1100&gt;=GRID_FROM)*('Dvd Calendar'!$H$1100&lt;=GRID_TO)*((('Dvd Calendar'!$H$1100&lt;=VAL_DATE)+(COUNTIF('Dvd Calendar'!$E$1107:$AR$1107,'Dvd Calendar'!$H$1100)=0))&gt;0)=0,"",'Dvd Calendar'!$H$1100*1000000000+ISNUMBER('Dvd Calendar'!$H$1103)*100000000+('Dvd Calendar'!$H$1105=SPECIAL_LBL)*10000000+(N('Dvd Calendar'!$H$1099)&gt;0)*(N('Dvd Calendar'!$H$1099)&lt;=VAL_SERIAL)*1000000+100*1000+4))</f>
        <v/>
      </c>
      <c r="EI111" s="121">
        <f>IF(N('Dvd Calendar'!$I$1100)=0,"",IF(('Dvd Calendar'!$I$1100&gt;=GRID_FROM)*('Dvd Calendar'!$I$1100&lt;=GRID_TO)*((('Dvd Calendar'!$I$1100&lt;=VAL_DATE)+(COUNTIF('Dvd Calendar'!$E$1107:$AR$1107,'Dvd Calendar'!$I$1100)=0))&gt;0)=0,"",'Dvd Calendar'!$I$1100*1000000000+ISNUMBER('Dvd Calendar'!$I$1103)*100000000+('Dvd Calendar'!$I$1105=SPECIAL_LBL)*10000000+(N('Dvd Calendar'!$I$1099)&gt;0)*(N('Dvd Calendar'!$I$1099)&lt;=VAL_SERIAL)*1000000+100*1000+5))</f>
        <v/>
      </c>
      <c r="EJ111" s="121">
        <f>IF(N('Dvd Calendar'!$J$1100)=0,"",IF(('Dvd Calendar'!$J$1100&gt;=GRID_FROM)*('Dvd Calendar'!$J$1100&lt;=GRID_TO)*((('Dvd Calendar'!$J$1100&lt;=VAL_DATE)+(COUNTIF('Dvd Calendar'!$E$1107:$AR$1107,'Dvd Calendar'!$J$1100)=0))&gt;0)=0,"",'Dvd Calendar'!$J$1100*1000000000+ISNUMBER('Dvd Calendar'!$J$1103)*100000000+('Dvd Calendar'!$J$1105=SPECIAL_LBL)*10000000+(N('Dvd Calendar'!$J$1099)&gt;0)*(N('Dvd Calendar'!$J$1099)&lt;=VAL_SERIAL)*1000000+100*1000+6))</f>
        <v/>
      </c>
      <c r="EK111" s="121">
        <f>IF(N('Dvd Calendar'!$K$1100)=0,"",IF(('Dvd Calendar'!$K$1100&gt;=GRID_FROM)*('Dvd Calendar'!$K$1100&lt;=GRID_TO)*((('Dvd Calendar'!$K$1100&lt;=VAL_DATE)+(COUNTIF('Dvd Calendar'!$E$1107:$AR$1107,'Dvd Calendar'!$K$1100)=0))&gt;0)=0,"",'Dvd Calendar'!$K$1100*1000000000+ISNUMBER('Dvd Calendar'!$K$1103)*100000000+('Dvd Calendar'!$K$1105=SPECIAL_LBL)*10000000+(N('Dvd Calendar'!$K$1099)&gt;0)*(N('Dvd Calendar'!$K$1099)&lt;=VAL_SERIAL)*1000000+100*1000+7))</f>
        <v/>
      </c>
      <c r="EL111" s="121">
        <f>IF(N('Dvd Calendar'!$L$1100)=0,"",IF(('Dvd Calendar'!$L$1100&gt;=GRID_FROM)*('Dvd Calendar'!$L$1100&lt;=GRID_TO)*((('Dvd Calendar'!$L$1100&lt;=VAL_DATE)+(COUNTIF('Dvd Calendar'!$E$1107:$AR$1107,'Dvd Calendar'!$L$1100)=0))&gt;0)=0,"",'Dvd Calendar'!$L$1100*1000000000+ISNUMBER('Dvd Calendar'!$L$1103)*100000000+('Dvd Calendar'!$L$1105=SPECIAL_LBL)*10000000+(N('Dvd Calendar'!$L$1099)&gt;0)*(N('Dvd Calendar'!$L$1099)&lt;=VAL_SERIAL)*1000000+100*1000+8))</f>
        <v/>
      </c>
      <c r="EM111" s="121">
        <f>IF(N('Dvd Calendar'!$M$1100)=0,"",IF(('Dvd Calendar'!$M$1100&gt;=GRID_FROM)*('Dvd Calendar'!$M$1100&lt;=GRID_TO)*((('Dvd Calendar'!$M$1100&lt;=VAL_DATE)+(COUNTIF('Dvd Calendar'!$E$1107:$AR$1107,'Dvd Calendar'!$M$1100)=0))&gt;0)=0,"",'Dvd Calendar'!$M$1100*1000000000+ISNUMBER('Dvd Calendar'!$M$1103)*100000000+('Dvd Calendar'!$M$1105=SPECIAL_LBL)*10000000+(N('Dvd Calendar'!$M$1099)&gt;0)*(N('Dvd Calendar'!$M$1099)&lt;=VAL_SERIAL)*1000000+100*1000+9))</f>
        <v/>
      </c>
      <c r="EN111" s="121">
        <f>IF(N('Dvd Calendar'!$N$1100)=0,"",IF(('Dvd Calendar'!$N$1100&gt;=GRID_FROM)*('Dvd Calendar'!$N$1100&lt;=GRID_TO)*((('Dvd Calendar'!$N$1100&lt;=VAL_DATE)+(COUNTIF('Dvd Calendar'!$E$1107:$AR$1107,'Dvd Calendar'!$N$1100)=0))&gt;0)=0,"",'Dvd Calendar'!$N$1100*1000000000+ISNUMBER('Dvd Calendar'!$N$1103)*100000000+('Dvd Calendar'!$N$1105=SPECIAL_LBL)*10000000+(N('Dvd Calendar'!$N$1099)&gt;0)*(N('Dvd Calendar'!$N$1099)&lt;=VAL_SERIAL)*1000000+100*1000+10))</f>
        <v/>
      </c>
      <c r="EO111" s="121">
        <f>IF(N('Dvd Calendar'!$O$1100)=0,"",IF(('Dvd Calendar'!$O$1100&gt;=GRID_FROM)*('Dvd Calendar'!$O$1100&lt;=GRID_TO)*((('Dvd Calendar'!$O$1100&lt;=VAL_DATE)+(COUNTIF('Dvd Calendar'!$E$1107:$AR$1107,'Dvd Calendar'!$O$1100)=0))&gt;0)=0,"",'Dvd Calendar'!$O$1100*1000000000+ISNUMBER('Dvd Calendar'!$O$1103)*100000000+('Dvd Calendar'!$O$1105=SPECIAL_LBL)*10000000+(N('Dvd Calendar'!$O$1099)&gt;0)*(N('Dvd Calendar'!$O$1099)&lt;=VAL_SERIAL)*1000000+100*1000+11))</f>
        <v/>
      </c>
      <c r="EP111" s="121">
        <f>IF(N('Dvd Calendar'!$P$1100)=0,"",IF(('Dvd Calendar'!$P$1100&gt;=GRID_FROM)*('Dvd Calendar'!$P$1100&lt;=GRID_TO)*((('Dvd Calendar'!$P$1100&lt;=VAL_DATE)+(COUNTIF('Dvd Calendar'!$E$1107:$AR$1107,'Dvd Calendar'!$P$1100)=0))&gt;0)=0,"",'Dvd Calendar'!$P$1100*1000000000+ISNUMBER('Dvd Calendar'!$P$1103)*100000000+('Dvd Calendar'!$P$1105=SPECIAL_LBL)*10000000+(N('Dvd Calendar'!$P$1099)&gt;0)*(N('Dvd Calendar'!$P$1099)&lt;=VAL_SERIAL)*1000000+100*1000+12))</f>
        <v/>
      </c>
      <c r="EQ111" s="121">
        <f>IF(N('Dvd Calendar'!$Q$1100)=0,"",IF(('Dvd Calendar'!$Q$1100&gt;=GRID_FROM)*('Dvd Calendar'!$Q$1100&lt;=GRID_TO)*((('Dvd Calendar'!$Q$1100&lt;=VAL_DATE)+(COUNTIF('Dvd Calendar'!$E$1107:$AR$1107,'Dvd Calendar'!$Q$1100)=0))&gt;0)=0,"",'Dvd Calendar'!$Q$1100*1000000000+ISNUMBER('Dvd Calendar'!$Q$1103)*100000000+('Dvd Calendar'!$Q$1105=SPECIAL_LBL)*10000000+(N('Dvd Calendar'!$Q$1099)&gt;0)*(N('Dvd Calendar'!$Q$1099)&lt;=VAL_SERIAL)*1000000+100*1000+13))</f>
        <v/>
      </c>
      <c r="ER111" s="121">
        <f>IF(N('Dvd Calendar'!$R$1100)=0,"",IF(('Dvd Calendar'!$R$1100&gt;=GRID_FROM)*('Dvd Calendar'!$R$1100&lt;=GRID_TO)*((('Dvd Calendar'!$R$1100&lt;=VAL_DATE)+(COUNTIF('Dvd Calendar'!$E$1107:$AR$1107,'Dvd Calendar'!$R$1100)=0))&gt;0)=0,"",'Dvd Calendar'!$R$1100*1000000000+ISNUMBER('Dvd Calendar'!$R$1103)*100000000+('Dvd Calendar'!$R$1105=SPECIAL_LBL)*10000000+(N('Dvd Calendar'!$R$1099)&gt;0)*(N('Dvd Calendar'!$R$1099)&lt;=VAL_SERIAL)*1000000+100*1000+14))</f>
        <v/>
      </c>
      <c r="ES111" s="121">
        <f>IF(N('Dvd Calendar'!$S$1100)=0,"",IF(('Dvd Calendar'!$S$1100&gt;=GRID_FROM)*('Dvd Calendar'!$S$1100&lt;=GRID_TO)*((('Dvd Calendar'!$S$1100&lt;=VAL_DATE)+(COUNTIF('Dvd Calendar'!$E$1107:$AR$1107,'Dvd Calendar'!$S$1100)=0))&gt;0)=0,"",'Dvd Calendar'!$S$1100*1000000000+ISNUMBER('Dvd Calendar'!$S$1103)*100000000+('Dvd Calendar'!$S$1105=SPECIAL_LBL)*10000000+(N('Dvd Calendar'!$S$1099)&gt;0)*(N('Dvd Calendar'!$S$1099)&lt;=VAL_SERIAL)*1000000+100*1000+15))</f>
        <v/>
      </c>
      <c r="ET111" s="121">
        <f>IF(N('Dvd Calendar'!$T$1100)=0,"",IF(('Dvd Calendar'!$T$1100&gt;=GRID_FROM)*('Dvd Calendar'!$T$1100&lt;=GRID_TO)*((('Dvd Calendar'!$T$1100&lt;=VAL_DATE)+(COUNTIF('Dvd Calendar'!$E$1107:$AR$1107,'Dvd Calendar'!$T$1100)=0))&gt;0)=0,"",'Dvd Calendar'!$T$1100*1000000000+ISNUMBER('Dvd Calendar'!$T$1103)*100000000+('Dvd Calendar'!$T$1105=SPECIAL_LBL)*10000000+(N('Dvd Calendar'!$T$1099)&gt;0)*(N('Dvd Calendar'!$T$1099)&lt;=VAL_SERIAL)*1000000+100*1000+16))</f>
        <v/>
      </c>
      <c r="EU111" s="121">
        <f>IF(N('Dvd Calendar'!$U$1100)=0,"",IF(('Dvd Calendar'!$U$1100&gt;=GRID_FROM)*('Dvd Calendar'!$U$1100&lt;=GRID_TO)*((('Dvd Calendar'!$U$1100&lt;=VAL_DATE)+(COUNTIF('Dvd Calendar'!$E$1107:$AR$1107,'Dvd Calendar'!$U$1100)=0))&gt;0)=0,"",'Dvd Calendar'!$U$1100*1000000000+ISNUMBER('Dvd Calendar'!$U$1103)*100000000+('Dvd Calendar'!$U$1105=SPECIAL_LBL)*10000000+(N('Dvd Calendar'!$U$1099)&gt;0)*(N('Dvd Calendar'!$U$1099)&lt;=VAL_SERIAL)*1000000+100*1000+17))</f>
        <v/>
      </c>
      <c r="EV111" s="121">
        <f>IF(N('Dvd Calendar'!$V$1100)=0,"",IF(('Dvd Calendar'!$V$1100&gt;=GRID_FROM)*('Dvd Calendar'!$V$1100&lt;=GRID_TO)*((('Dvd Calendar'!$V$1100&lt;=VAL_DATE)+(COUNTIF('Dvd Calendar'!$E$1107:$AR$1107,'Dvd Calendar'!$V$1100)=0))&gt;0)=0,"",'Dvd Calendar'!$V$1100*1000000000+ISNUMBER('Dvd Calendar'!$V$1103)*100000000+('Dvd Calendar'!$V$1105=SPECIAL_LBL)*10000000+(N('Dvd Calendar'!$V$1099)&gt;0)*(N('Dvd Calendar'!$V$1099)&lt;=VAL_SERIAL)*1000000+100*1000+18))</f>
        <v/>
      </c>
      <c r="EW111" s="121">
        <f>IF(N('Dvd Calendar'!$W$1100)=0,"",IF(('Dvd Calendar'!$W$1100&gt;=GRID_FROM)*('Dvd Calendar'!$W$1100&lt;=GRID_TO)*((('Dvd Calendar'!$W$1100&lt;=VAL_DATE)+(COUNTIF('Dvd Calendar'!$E$1107:$AR$1107,'Dvd Calendar'!$W$1100)=0))&gt;0)=0,"",'Dvd Calendar'!$W$1100*1000000000+ISNUMBER('Dvd Calendar'!$W$1103)*100000000+('Dvd Calendar'!$W$1105=SPECIAL_LBL)*10000000+(N('Dvd Calendar'!$W$1099)&gt;0)*(N('Dvd Calendar'!$W$1099)&lt;=VAL_SERIAL)*1000000+100*1000+19))</f>
        <v/>
      </c>
      <c r="EX111" s="121">
        <f>IF(N('Dvd Calendar'!$X$1100)=0,"",IF(('Dvd Calendar'!$X$1100&gt;=GRID_FROM)*('Dvd Calendar'!$X$1100&lt;=GRID_TO)*((('Dvd Calendar'!$X$1100&lt;=VAL_DATE)+(COUNTIF('Dvd Calendar'!$E$1107:$AR$1107,'Dvd Calendar'!$X$1100)=0))&gt;0)=0,"",'Dvd Calendar'!$X$1100*1000000000+ISNUMBER('Dvd Calendar'!$X$1103)*100000000+('Dvd Calendar'!$X$1105=SPECIAL_LBL)*10000000+(N('Dvd Calendar'!$X$1099)&gt;0)*(N('Dvd Calendar'!$X$1099)&lt;=VAL_SERIAL)*1000000+100*1000+20))</f>
        <v/>
      </c>
      <c r="EY111" s="121">
        <f>IF(N('Dvd Calendar'!$Y$1100)=0,"",IF(('Dvd Calendar'!$Y$1100&gt;=GRID_FROM)*('Dvd Calendar'!$Y$1100&lt;=GRID_TO)*((('Dvd Calendar'!$Y$1100&lt;=VAL_DATE)+(COUNTIF('Dvd Calendar'!$E$1107:$AR$1107,'Dvd Calendar'!$Y$1100)=0))&gt;0)=0,"",'Dvd Calendar'!$Y$1100*1000000000+ISNUMBER('Dvd Calendar'!$Y$1103)*100000000+('Dvd Calendar'!$Y$1105=SPECIAL_LBL)*10000000+(N('Dvd Calendar'!$Y$1099)&gt;0)*(N('Dvd Calendar'!$Y$1099)&lt;=VAL_SERIAL)*1000000+100*1000+21))</f>
        <v/>
      </c>
      <c r="EZ111" s="121">
        <f>IF(N('Dvd Calendar'!$Z$1100)=0,"",IF(('Dvd Calendar'!$Z$1100&gt;=GRID_FROM)*('Dvd Calendar'!$Z$1100&lt;=GRID_TO)*((('Dvd Calendar'!$Z$1100&lt;=VAL_DATE)+(COUNTIF('Dvd Calendar'!$E$1107:$AR$1107,'Dvd Calendar'!$Z$1100)=0))&gt;0)=0,"",'Dvd Calendar'!$Z$1100*1000000000+ISNUMBER('Dvd Calendar'!$Z$1103)*100000000+('Dvd Calendar'!$Z$1105=SPECIAL_LBL)*10000000+(N('Dvd Calendar'!$Z$1099)&gt;0)*(N('Dvd Calendar'!$Z$1099)&lt;=VAL_SERIAL)*1000000+100*1000+22))</f>
        <v/>
      </c>
      <c r="FA111" s="121">
        <f>IF(N('Dvd Calendar'!$AA$1100)=0,"",IF(('Dvd Calendar'!$AA$1100&gt;=GRID_FROM)*('Dvd Calendar'!$AA$1100&lt;=GRID_TO)*((('Dvd Calendar'!$AA$1100&lt;=VAL_DATE)+(COUNTIF('Dvd Calendar'!$E$1107:$AR$1107,'Dvd Calendar'!$AA$1100)=0))&gt;0)=0,"",'Dvd Calendar'!$AA$1100*1000000000+ISNUMBER('Dvd Calendar'!$AA$1103)*100000000+('Dvd Calendar'!$AA$1105=SPECIAL_LBL)*10000000+(N('Dvd Calendar'!$AA$1099)&gt;0)*(N('Dvd Calendar'!$AA$1099)&lt;=VAL_SERIAL)*1000000+100*1000+23))</f>
        <v/>
      </c>
      <c r="FB111" s="121">
        <f>IF(N('Dvd Calendar'!$AB$1100)=0,"",IF(('Dvd Calendar'!$AB$1100&gt;=GRID_FROM)*('Dvd Calendar'!$AB$1100&lt;=GRID_TO)*((('Dvd Calendar'!$AB$1100&lt;=VAL_DATE)+(COUNTIF('Dvd Calendar'!$E$1107:$AR$1107,'Dvd Calendar'!$AB$1100)=0))&gt;0)=0,"",'Dvd Calendar'!$AB$1100*1000000000+ISNUMBER('Dvd Calendar'!$AB$1103)*100000000+('Dvd Calendar'!$AB$1105=SPECIAL_LBL)*10000000+(N('Dvd Calendar'!$AB$1099)&gt;0)*(N('Dvd Calendar'!$AB$1099)&lt;=VAL_SERIAL)*1000000+100*1000+24))</f>
        <v/>
      </c>
      <c r="FC111" s="121">
        <f>IF(N('Dvd Calendar'!$AC$1100)=0,"",IF(('Dvd Calendar'!$AC$1100&gt;=GRID_FROM)*('Dvd Calendar'!$AC$1100&lt;=GRID_TO)*((('Dvd Calendar'!$AC$1100&lt;=VAL_DATE)+(COUNTIF('Dvd Calendar'!$E$1107:$AR$1107,'Dvd Calendar'!$AC$1100)=0))&gt;0)=0,"",'Dvd Calendar'!$AC$1100*1000000000+ISNUMBER('Dvd Calendar'!$AC$1103)*100000000+('Dvd Calendar'!$AC$1105=SPECIAL_LBL)*10000000+(N('Dvd Calendar'!$AC$1099)&gt;0)*(N('Dvd Calendar'!$AC$1099)&lt;=VAL_SERIAL)*1000000+100*1000+25))</f>
        <v/>
      </c>
      <c r="FD111" s="121">
        <f>IF(N('Dvd Calendar'!$AD$1100)=0,"",IF(('Dvd Calendar'!$AD$1100&gt;=GRID_FROM)*('Dvd Calendar'!$AD$1100&lt;=GRID_TO)*((('Dvd Calendar'!$AD$1100&lt;=VAL_DATE)+(COUNTIF('Dvd Calendar'!$E$1107:$AR$1107,'Dvd Calendar'!$AD$1100)=0))&gt;0)=0,"",'Dvd Calendar'!$AD$1100*1000000000+ISNUMBER('Dvd Calendar'!$AD$1103)*100000000+('Dvd Calendar'!$AD$1105=SPECIAL_LBL)*10000000+(N('Dvd Calendar'!$AD$1099)&gt;0)*(N('Dvd Calendar'!$AD$1099)&lt;=VAL_SERIAL)*1000000+100*1000+26))</f>
        <v/>
      </c>
      <c r="FE111" s="121">
        <f>IF(N('Dvd Calendar'!$AE$1100)=0,"",IF(('Dvd Calendar'!$AE$1100&gt;=GRID_FROM)*('Dvd Calendar'!$AE$1100&lt;=GRID_TO)*((('Dvd Calendar'!$AE$1100&lt;=VAL_DATE)+(COUNTIF('Dvd Calendar'!$E$1107:$AR$1107,'Dvd Calendar'!$AE$1100)=0))&gt;0)=0,"",'Dvd Calendar'!$AE$1100*1000000000+ISNUMBER('Dvd Calendar'!$AE$1103)*100000000+('Dvd Calendar'!$AE$1105=SPECIAL_LBL)*10000000+(N('Dvd Calendar'!$AE$1099)&gt;0)*(N('Dvd Calendar'!$AE$1099)&lt;=VAL_SERIAL)*1000000+100*1000+27))</f>
        <v/>
      </c>
      <c r="FF111" s="121">
        <f>IF(N('Dvd Calendar'!$AF$1100)=0,"",IF(('Dvd Calendar'!$AF$1100&gt;=GRID_FROM)*('Dvd Calendar'!$AF$1100&lt;=GRID_TO)*((('Dvd Calendar'!$AF$1100&lt;=VAL_DATE)+(COUNTIF('Dvd Calendar'!$E$1107:$AR$1107,'Dvd Calendar'!$AF$1100)=0))&gt;0)=0,"",'Dvd Calendar'!$AF$1100*1000000000+ISNUMBER('Dvd Calendar'!$AF$1103)*100000000+('Dvd Calendar'!$AF$1105=SPECIAL_LBL)*10000000+(N('Dvd Calendar'!$AF$1099)&gt;0)*(N('Dvd Calendar'!$AF$1099)&lt;=VAL_SERIAL)*1000000+100*1000+28))</f>
        <v/>
      </c>
      <c r="FG111" s="121">
        <f>IF(N('Dvd Calendar'!$AG$1100)=0,"",IF(('Dvd Calendar'!$AG$1100&gt;=GRID_FROM)*('Dvd Calendar'!$AG$1100&lt;=GRID_TO)*((('Dvd Calendar'!$AG$1100&lt;=VAL_DATE)+(COUNTIF('Dvd Calendar'!$E$1107:$AR$1107,'Dvd Calendar'!$AG$1100)=0))&gt;0)=0,"",'Dvd Calendar'!$AG$1100*1000000000+ISNUMBER('Dvd Calendar'!$AG$1103)*100000000+('Dvd Calendar'!$AG$1105=SPECIAL_LBL)*10000000+(N('Dvd Calendar'!$AG$1099)&gt;0)*(N('Dvd Calendar'!$AG$1099)&lt;=VAL_SERIAL)*1000000+100*1000+29))</f>
        <v/>
      </c>
      <c r="FH111" s="121">
        <f>IF(N('Dvd Calendar'!$AH$1100)=0,"",IF(('Dvd Calendar'!$AH$1100&gt;=GRID_FROM)*('Dvd Calendar'!$AH$1100&lt;=GRID_TO)*((('Dvd Calendar'!$AH$1100&lt;=VAL_DATE)+(COUNTIF('Dvd Calendar'!$E$1107:$AR$1107,'Dvd Calendar'!$AH$1100)=0))&gt;0)=0,"",'Dvd Calendar'!$AH$1100*1000000000+ISNUMBER('Dvd Calendar'!$AH$1103)*100000000+('Dvd Calendar'!$AH$1105=SPECIAL_LBL)*10000000+(N('Dvd Calendar'!$AH$1099)&gt;0)*(N('Dvd Calendar'!$AH$1099)&lt;=VAL_SERIAL)*1000000+100*1000+30))</f>
        <v/>
      </c>
      <c r="FI111" s="121">
        <f>IF(N('Dvd Calendar'!$AI$1100)=0,"",IF(('Dvd Calendar'!$AI$1100&gt;=GRID_FROM)*('Dvd Calendar'!$AI$1100&lt;=GRID_TO)*((('Dvd Calendar'!$AI$1100&lt;=VAL_DATE)+(COUNTIF('Dvd Calendar'!$E$1107:$AR$1107,'Dvd Calendar'!$AI$1100)=0))&gt;0)=0,"",'Dvd Calendar'!$AI$1100*1000000000+ISNUMBER('Dvd Calendar'!$AI$1103)*100000000+('Dvd Calendar'!$AI$1105=SPECIAL_LBL)*10000000+(N('Dvd Calendar'!$AI$1099)&gt;0)*(N('Dvd Calendar'!$AI$1099)&lt;=VAL_SERIAL)*1000000+100*1000+31))</f>
        <v/>
      </c>
      <c r="FJ111" s="121">
        <f>IF(N('Dvd Calendar'!$AJ$1100)=0,"",IF(('Dvd Calendar'!$AJ$1100&gt;=GRID_FROM)*('Dvd Calendar'!$AJ$1100&lt;=GRID_TO)*((('Dvd Calendar'!$AJ$1100&lt;=VAL_DATE)+(COUNTIF('Dvd Calendar'!$E$1107:$AR$1107,'Dvd Calendar'!$AJ$1100)=0))&gt;0)=0,"",'Dvd Calendar'!$AJ$1100*1000000000+ISNUMBER('Dvd Calendar'!$AJ$1103)*100000000+('Dvd Calendar'!$AJ$1105=SPECIAL_LBL)*10000000+(N('Dvd Calendar'!$AJ$1099)&gt;0)*(N('Dvd Calendar'!$AJ$1099)&lt;=VAL_SERIAL)*1000000+100*1000+32))</f>
        <v/>
      </c>
      <c r="FK111" s="121">
        <f>IF(N('Dvd Calendar'!$AK$1100)=0,"",IF(('Dvd Calendar'!$AK$1100&gt;=GRID_FROM)*('Dvd Calendar'!$AK$1100&lt;=GRID_TO)*((('Dvd Calendar'!$AK$1100&lt;=VAL_DATE)+(COUNTIF('Dvd Calendar'!$E$1107:$AR$1107,'Dvd Calendar'!$AK$1100)=0))&gt;0)=0,"",'Dvd Calendar'!$AK$1100*1000000000+ISNUMBER('Dvd Calendar'!$AK$1103)*100000000+('Dvd Calendar'!$AK$1105=SPECIAL_LBL)*10000000+(N('Dvd Calendar'!$AK$1099)&gt;0)*(N('Dvd Calendar'!$AK$1099)&lt;=VAL_SERIAL)*1000000+100*1000+33))</f>
        <v/>
      </c>
      <c r="FL111" s="121">
        <f>IF(N('Dvd Calendar'!$AL$1100)=0,"",IF(('Dvd Calendar'!$AL$1100&gt;=GRID_FROM)*('Dvd Calendar'!$AL$1100&lt;=GRID_TO)*((('Dvd Calendar'!$AL$1100&lt;=VAL_DATE)+(COUNTIF('Dvd Calendar'!$E$1107:$AR$1107,'Dvd Calendar'!$AL$1100)=0))&gt;0)=0,"",'Dvd Calendar'!$AL$1100*1000000000+ISNUMBER('Dvd Calendar'!$AL$1103)*100000000+('Dvd Calendar'!$AL$1105=SPECIAL_LBL)*10000000+(N('Dvd Calendar'!$AL$1099)&gt;0)*(N('Dvd Calendar'!$AL$1099)&lt;=VAL_SERIAL)*1000000+100*1000+34))</f>
        <v/>
      </c>
      <c r="FM111" s="121">
        <f>IF(N('Dvd Calendar'!$AM$1100)=0,"",IF(('Dvd Calendar'!$AM$1100&gt;=GRID_FROM)*('Dvd Calendar'!$AM$1100&lt;=GRID_TO)*((('Dvd Calendar'!$AM$1100&lt;=VAL_DATE)+(COUNTIF('Dvd Calendar'!$E$1107:$AR$1107,'Dvd Calendar'!$AM$1100)=0))&gt;0)=0,"",'Dvd Calendar'!$AM$1100*1000000000+ISNUMBER('Dvd Calendar'!$AM$1103)*100000000+('Dvd Calendar'!$AM$1105=SPECIAL_LBL)*10000000+(N('Dvd Calendar'!$AM$1099)&gt;0)*(N('Dvd Calendar'!$AM$1099)&lt;=VAL_SERIAL)*1000000+100*1000+35))</f>
        <v/>
      </c>
      <c r="FN111" s="121">
        <f>IF(N('Dvd Calendar'!$AN$1100)=0,"",IF(('Dvd Calendar'!$AN$1100&gt;=GRID_FROM)*('Dvd Calendar'!$AN$1100&lt;=GRID_TO)*((('Dvd Calendar'!$AN$1100&lt;=VAL_DATE)+(COUNTIF('Dvd Calendar'!$E$1107:$AR$1107,'Dvd Calendar'!$AN$1100)=0))&gt;0)=0,"",'Dvd Calendar'!$AN$1100*1000000000+ISNUMBER('Dvd Calendar'!$AN$1103)*100000000+('Dvd Calendar'!$AN$1105=SPECIAL_LBL)*10000000+(N('Dvd Calendar'!$AN$1099)&gt;0)*(N('Dvd Calendar'!$AN$1099)&lt;=VAL_SERIAL)*1000000+100*1000+36))</f>
        <v/>
      </c>
      <c r="FO111" s="121">
        <f>IF(N('Dvd Calendar'!$AO$1100)=0,"",IF(('Dvd Calendar'!$AO$1100&gt;=GRID_FROM)*('Dvd Calendar'!$AO$1100&lt;=GRID_TO)*((('Dvd Calendar'!$AO$1100&lt;=VAL_DATE)+(COUNTIF('Dvd Calendar'!$E$1107:$AR$1107,'Dvd Calendar'!$AO$1100)=0))&gt;0)=0,"",'Dvd Calendar'!$AO$1100*1000000000+ISNUMBER('Dvd Calendar'!$AO$1103)*100000000+('Dvd Calendar'!$AO$1105=SPECIAL_LBL)*10000000+(N('Dvd Calendar'!$AO$1099)&gt;0)*(N('Dvd Calendar'!$AO$1099)&lt;=VAL_SERIAL)*1000000+100*1000+37))</f>
        <v/>
      </c>
      <c r="FP111" s="121">
        <f>IF(N('Dvd Calendar'!$AP$1100)=0,"",IF(('Dvd Calendar'!$AP$1100&gt;=GRID_FROM)*('Dvd Calendar'!$AP$1100&lt;=GRID_TO)*((('Dvd Calendar'!$AP$1100&lt;=VAL_DATE)+(COUNTIF('Dvd Calendar'!$E$1107:$AR$1107,'Dvd Calendar'!$AP$1100)=0))&gt;0)=0,"",'Dvd Calendar'!$AP$1100*1000000000+ISNUMBER('Dvd Calendar'!$AP$1103)*100000000+('Dvd Calendar'!$AP$1105=SPECIAL_LBL)*10000000+(N('Dvd Calendar'!$AP$1099)&gt;0)*(N('Dvd Calendar'!$AP$1099)&lt;=VAL_SERIAL)*1000000+100*1000+38))</f>
        <v/>
      </c>
      <c r="FQ111" s="121">
        <f>IF(N('Dvd Calendar'!$AQ$1100)=0,"",IF(('Dvd Calendar'!$AQ$1100&gt;=GRID_FROM)*('Dvd Calendar'!$AQ$1100&lt;=GRID_TO)*((('Dvd Calendar'!$AQ$1100&lt;=VAL_DATE)+(COUNTIF('Dvd Calendar'!$E$1107:$AR$1107,'Dvd Calendar'!$AQ$1100)=0))&gt;0)=0,"",'Dvd Calendar'!$AQ$1100*1000000000+ISNUMBER('Dvd Calendar'!$AQ$1103)*100000000+('Dvd Calendar'!$AQ$1105=SPECIAL_LBL)*10000000+(N('Dvd Calendar'!$AQ$1099)&gt;0)*(N('Dvd Calendar'!$AQ$1099)&lt;=VAL_SERIAL)*1000000+100*1000+39))</f>
        <v/>
      </c>
      <c r="FR111" s="121">
        <f>IF(N('Dvd Calendar'!$AR$1100)=0,"",IF(('Dvd Calendar'!$AR$1100&gt;=GRID_FROM)*('Dvd Calendar'!$AR$1100&lt;=GRID_TO)*((('Dvd Calendar'!$AR$1100&lt;=VAL_DATE)+(COUNTIF('Dvd Calendar'!$E$1107:$AR$1107,'Dvd Calendar'!$AR$1100)=0))&gt;0)=0,"",'Dvd Calendar'!$AR$1100*1000000000+ISNUMBER('Dvd Calendar'!$AR$1103)*100000000+('Dvd Calendar'!$AR$1105=SPECIAL_LBL)*10000000+(N('Dvd Calendar'!$AR$1099)&gt;0)*(N('Dvd Calendar'!$AR$1099)&lt;=VAL_SERIAL)*1000000+100*1000+40))</f>
        <v/>
      </c>
      <c r="FS111" s="121">
        <f>IF(N('Dvd Calendar'!$E$1107)=0,"",IF(('Dvd Calendar'!$E$1107&gt;=GRID_FROM)*('Dvd Calendar'!$E$1107&lt;=GRID_TO)*('Dvd Calendar'!$E$1107&gt;VAL_DATE)=0,"",'Dvd Calendar'!$E$1107*1000000000+ISNUMBER('Dvd Calendar'!$E$1108)*100000000+0*10000000+(N('Dvd Calendar'!$E$1106)&gt;0)*(N('Dvd Calendar'!$E$1106)&lt;=VAL_SERIAL)*1000000+100*1000+41))</f>
        <v/>
      </c>
      <c r="FT111" s="121">
        <f>IF(N('Dvd Calendar'!$F$1107)=0,"",IF(('Dvd Calendar'!$F$1107&gt;=GRID_FROM)*('Dvd Calendar'!$F$1107&lt;=GRID_TO)*('Dvd Calendar'!$F$1107&gt;VAL_DATE)=0,"",'Dvd Calendar'!$F$1107*1000000000+ISNUMBER('Dvd Calendar'!$F$1108)*100000000+0*10000000+(N('Dvd Calendar'!$F$1106)&gt;0)*(N('Dvd Calendar'!$F$1106)&lt;=VAL_SERIAL)*1000000+100*1000+42))</f>
        <v/>
      </c>
      <c r="FU111" s="121">
        <f>IF(N('Dvd Calendar'!$G$1107)=0,"",IF(('Dvd Calendar'!$G$1107&gt;=GRID_FROM)*('Dvd Calendar'!$G$1107&lt;=GRID_TO)*('Dvd Calendar'!$G$1107&gt;VAL_DATE)=0,"",'Dvd Calendar'!$G$1107*1000000000+ISNUMBER('Dvd Calendar'!$G$1108)*100000000+0*10000000+(N('Dvd Calendar'!$G$1106)&gt;0)*(N('Dvd Calendar'!$G$1106)&lt;=VAL_SERIAL)*1000000+100*1000+43))</f>
        <v/>
      </c>
      <c r="FV111" s="121">
        <f>IF(N('Dvd Calendar'!$H$1107)=0,"",IF(('Dvd Calendar'!$H$1107&gt;=GRID_FROM)*('Dvd Calendar'!$H$1107&lt;=GRID_TO)*('Dvd Calendar'!$H$1107&gt;VAL_DATE)=0,"",'Dvd Calendar'!$H$1107*1000000000+ISNUMBER('Dvd Calendar'!$H$1108)*100000000+0*10000000+(N('Dvd Calendar'!$H$1106)&gt;0)*(N('Dvd Calendar'!$H$1106)&lt;=VAL_SERIAL)*1000000+100*1000+44))</f>
        <v/>
      </c>
      <c r="FW111" s="121">
        <f>IF(N('Dvd Calendar'!$I$1107)=0,"",IF(('Dvd Calendar'!$I$1107&gt;=GRID_FROM)*('Dvd Calendar'!$I$1107&lt;=GRID_TO)*('Dvd Calendar'!$I$1107&gt;VAL_DATE)=0,"",'Dvd Calendar'!$I$1107*1000000000+ISNUMBER('Dvd Calendar'!$I$1108)*100000000+0*10000000+(N('Dvd Calendar'!$I$1106)&gt;0)*(N('Dvd Calendar'!$I$1106)&lt;=VAL_SERIAL)*1000000+100*1000+45))</f>
        <v/>
      </c>
      <c r="FX111" s="121">
        <f>IF(N('Dvd Calendar'!$J$1107)=0,"",IF(('Dvd Calendar'!$J$1107&gt;=GRID_FROM)*('Dvd Calendar'!$J$1107&lt;=GRID_TO)*('Dvd Calendar'!$J$1107&gt;VAL_DATE)=0,"",'Dvd Calendar'!$J$1107*1000000000+ISNUMBER('Dvd Calendar'!$J$1108)*100000000+0*10000000+(N('Dvd Calendar'!$J$1106)&gt;0)*(N('Dvd Calendar'!$J$1106)&lt;=VAL_SERIAL)*1000000+100*1000+46))</f>
        <v/>
      </c>
      <c r="FY111" s="121">
        <f>IF(N('Dvd Calendar'!$K$1107)=0,"",IF(('Dvd Calendar'!$K$1107&gt;=GRID_FROM)*('Dvd Calendar'!$K$1107&lt;=GRID_TO)*('Dvd Calendar'!$K$1107&gt;VAL_DATE)=0,"",'Dvd Calendar'!$K$1107*1000000000+ISNUMBER('Dvd Calendar'!$K$1108)*100000000+0*10000000+(N('Dvd Calendar'!$K$1106)&gt;0)*(N('Dvd Calendar'!$K$1106)&lt;=VAL_SERIAL)*1000000+100*1000+47))</f>
        <v/>
      </c>
      <c r="FZ111" s="121">
        <f>IF(N('Dvd Calendar'!$L$1107)=0,"",IF(('Dvd Calendar'!$L$1107&gt;=GRID_FROM)*('Dvd Calendar'!$L$1107&lt;=GRID_TO)*('Dvd Calendar'!$L$1107&gt;VAL_DATE)=0,"",'Dvd Calendar'!$L$1107*1000000000+ISNUMBER('Dvd Calendar'!$L$1108)*100000000+0*10000000+(N('Dvd Calendar'!$L$1106)&gt;0)*(N('Dvd Calendar'!$L$1106)&lt;=VAL_SERIAL)*1000000+100*1000+48))</f>
        <v/>
      </c>
      <c r="GA111" s="121">
        <f>IF(N('Dvd Calendar'!$M$1107)=0,"",IF(('Dvd Calendar'!$M$1107&gt;=GRID_FROM)*('Dvd Calendar'!$M$1107&lt;=GRID_TO)*('Dvd Calendar'!$M$1107&gt;VAL_DATE)=0,"",'Dvd Calendar'!$M$1107*1000000000+ISNUMBER('Dvd Calendar'!$M$1108)*100000000+0*10000000+(N('Dvd Calendar'!$M$1106)&gt;0)*(N('Dvd Calendar'!$M$1106)&lt;=VAL_SERIAL)*1000000+100*1000+49))</f>
        <v/>
      </c>
      <c r="GB111" s="121">
        <f>IF(N('Dvd Calendar'!$N$1107)=0,"",IF(('Dvd Calendar'!$N$1107&gt;=GRID_FROM)*('Dvd Calendar'!$N$1107&lt;=GRID_TO)*('Dvd Calendar'!$N$1107&gt;VAL_DATE)=0,"",'Dvd Calendar'!$N$1107*1000000000+ISNUMBER('Dvd Calendar'!$N$1108)*100000000+0*10000000+(N('Dvd Calendar'!$N$1106)&gt;0)*(N('Dvd Calendar'!$N$1106)&lt;=VAL_SERIAL)*1000000+100*1000+50))</f>
        <v/>
      </c>
      <c r="GC111" s="121">
        <f>IF(N('Dvd Calendar'!$O$1107)=0,"",IF(('Dvd Calendar'!$O$1107&gt;=GRID_FROM)*('Dvd Calendar'!$O$1107&lt;=GRID_TO)*('Dvd Calendar'!$O$1107&gt;VAL_DATE)=0,"",'Dvd Calendar'!$O$1107*1000000000+ISNUMBER('Dvd Calendar'!$O$1108)*100000000+0*10000000+(N('Dvd Calendar'!$O$1106)&gt;0)*(N('Dvd Calendar'!$O$1106)&lt;=VAL_SERIAL)*1000000+100*1000+51))</f>
        <v/>
      </c>
      <c r="GD111" s="121">
        <f>IF(N('Dvd Calendar'!$P$1107)=0,"",IF(('Dvd Calendar'!$P$1107&gt;=GRID_FROM)*('Dvd Calendar'!$P$1107&lt;=GRID_TO)*('Dvd Calendar'!$P$1107&gt;VAL_DATE)=0,"",'Dvd Calendar'!$P$1107*1000000000+ISNUMBER('Dvd Calendar'!$P$1108)*100000000+0*10000000+(N('Dvd Calendar'!$P$1106)&gt;0)*(N('Dvd Calendar'!$P$1106)&lt;=VAL_SERIAL)*1000000+100*1000+52))</f>
        <v/>
      </c>
      <c r="GE111" s="121">
        <f>IF(N('Dvd Calendar'!$Q$1107)=0,"",IF(('Dvd Calendar'!$Q$1107&gt;=GRID_FROM)*('Dvd Calendar'!$Q$1107&lt;=GRID_TO)*('Dvd Calendar'!$Q$1107&gt;VAL_DATE)=0,"",'Dvd Calendar'!$Q$1107*1000000000+ISNUMBER('Dvd Calendar'!$Q$1108)*100000000+0*10000000+(N('Dvd Calendar'!$Q$1106)&gt;0)*(N('Dvd Calendar'!$Q$1106)&lt;=VAL_SERIAL)*1000000+100*1000+53))</f>
        <v/>
      </c>
      <c r="GF111" s="121">
        <f>IF(N('Dvd Calendar'!$R$1107)=0,"",IF(('Dvd Calendar'!$R$1107&gt;=GRID_FROM)*('Dvd Calendar'!$R$1107&lt;=GRID_TO)*('Dvd Calendar'!$R$1107&gt;VAL_DATE)=0,"",'Dvd Calendar'!$R$1107*1000000000+ISNUMBER('Dvd Calendar'!$R$1108)*100000000+0*10000000+(N('Dvd Calendar'!$R$1106)&gt;0)*(N('Dvd Calendar'!$R$1106)&lt;=VAL_SERIAL)*1000000+100*1000+54))</f>
        <v/>
      </c>
      <c r="GG111" s="121">
        <f>IF(N('Dvd Calendar'!$S$1107)=0,"",IF(('Dvd Calendar'!$S$1107&gt;=GRID_FROM)*('Dvd Calendar'!$S$1107&lt;=GRID_TO)*('Dvd Calendar'!$S$1107&gt;VAL_DATE)=0,"",'Dvd Calendar'!$S$1107*1000000000+ISNUMBER('Dvd Calendar'!$S$1108)*100000000+0*10000000+(N('Dvd Calendar'!$S$1106)&gt;0)*(N('Dvd Calendar'!$S$1106)&lt;=VAL_SERIAL)*1000000+100*1000+55))</f>
        <v/>
      </c>
      <c r="GH111" s="121">
        <f>IF(N('Dvd Calendar'!$T$1107)=0,"",IF(('Dvd Calendar'!$T$1107&gt;=GRID_FROM)*('Dvd Calendar'!$T$1107&lt;=GRID_TO)*('Dvd Calendar'!$T$1107&gt;VAL_DATE)=0,"",'Dvd Calendar'!$T$1107*1000000000+ISNUMBER('Dvd Calendar'!$T$1108)*100000000+0*10000000+(N('Dvd Calendar'!$T$1106)&gt;0)*(N('Dvd Calendar'!$T$1106)&lt;=VAL_SERIAL)*1000000+100*1000+56))</f>
        <v/>
      </c>
      <c r="GI111" s="121">
        <f>IF(N('Dvd Calendar'!$U$1107)=0,"",IF(('Dvd Calendar'!$U$1107&gt;=GRID_FROM)*('Dvd Calendar'!$U$1107&lt;=GRID_TO)*('Dvd Calendar'!$U$1107&gt;VAL_DATE)=0,"",'Dvd Calendar'!$U$1107*1000000000+ISNUMBER('Dvd Calendar'!$U$1108)*100000000+0*10000000+(N('Dvd Calendar'!$U$1106)&gt;0)*(N('Dvd Calendar'!$U$1106)&lt;=VAL_SERIAL)*1000000+100*1000+57))</f>
        <v/>
      </c>
      <c r="GJ111" s="121">
        <f>IF(N('Dvd Calendar'!$V$1107)=0,"",IF(('Dvd Calendar'!$V$1107&gt;=GRID_FROM)*('Dvd Calendar'!$V$1107&lt;=GRID_TO)*('Dvd Calendar'!$V$1107&gt;VAL_DATE)=0,"",'Dvd Calendar'!$V$1107*1000000000+ISNUMBER('Dvd Calendar'!$V$1108)*100000000+0*10000000+(N('Dvd Calendar'!$V$1106)&gt;0)*(N('Dvd Calendar'!$V$1106)&lt;=VAL_SERIAL)*1000000+100*1000+58))</f>
        <v/>
      </c>
      <c r="GK111" s="121">
        <f>IF(N('Dvd Calendar'!$W$1107)=0,"",IF(('Dvd Calendar'!$W$1107&gt;=GRID_FROM)*('Dvd Calendar'!$W$1107&lt;=GRID_TO)*('Dvd Calendar'!$W$1107&gt;VAL_DATE)=0,"",'Dvd Calendar'!$W$1107*1000000000+ISNUMBER('Dvd Calendar'!$W$1108)*100000000+0*10000000+(N('Dvd Calendar'!$W$1106)&gt;0)*(N('Dvd Calendar'!$W$1106)&lt;=VAL_SERIAL)*1000000+100*1000+59))</f>
        <v/>
      </c>
      <c r="GL111" s="121">
        <f>IF(N('Dvd Calendar'!$X$1107)=0,"",IF(('Dvd Calendar'!$X$1107&gt;=GRID_FROM)*('Dvd Calendar'!$X$1107&lt;=GRID_TO)*('Dvd Calendar'!$X$1107&gt;VAL_DATE)=0,"",'Dvd Calendar'!$X$1107*1000000000+ISNUMBER('Dvd Calendar'!$X$1108)*100000000+0*10000000+(N('Dvd Calendar'!$X$1106)&gt;0)*(N('Dvd Calendar'!$X$1106)&lt;=VAL_SERIAL)*1000000+100*1000+60))</f>
        <v/>
      </c>
      <c r="GM111" s="121">
        <f>IF(N('Dvd Calendar'!$Y$1107)=0,"",IF(('Dvd Calendar'!$Y$1107&gt;=GRID_FROM)*('Dvd Calendar'!$Y$1107&lt;=GRID_TO)*('Dvd Calendar'!$Y$1107&gt;VAL_DATE)=0,"",'Dvd Calendar'!$Y$1107*1000000000+ISNUMBER('Dvd Calendar'!$Y$1108)*100000000+0*10000000+(N('Dvd Calendar'!$Y$1106)&gt;0)*(N('Dvd Calendar'!$Y$1106)&lt;=VAL_SERIAL)*1000000+100*1000+61))</f>
        <v/>
      </c>
      <c r="GN111" s="121">
        <f>IF(N('Dvd Calendar'!$Z$1107)=0,"",IF(('Dvd Calendar'!$Z$1107&gt;=GRID_FROM)*('Dvd Calendar'!$Z$1107&lt;=GRID_TO)*('Dvd Calendar'!$Z$1107&gt;VAL_DATE)=0,"",'Dvd Calendar'!$Z$1107*1000000000+ISNUMBER('Dvd Calendar'!$Z$1108)*100000000+0*10000000+(N('Dvd Calendar'!$Z$1106)&gt;0)*(N('Dvd Calendar'!$Z$1106)&lt;=VAL_SERIAL)*1000000+100*1000+62))</f>
        <v/>
      </c>
      <c r="GO111" s="121">
        <f>IF(N('Dvd Calendar'!$AA$1107)=0,"",IF(('Dvd Calendar'!$AA$1107&gt;=GRID_FROM)*('Dvd Calendar'!$AA$1107&lt;=GRID_TO)*('Dvd Calendar'!$AA$1107&gt;VAL_DATE)=0,"",'Dvd Calendar'!$AA$1107*1000000000+ISNUMBER('Dvd Calendar'!$AA$1108)*100000000+0*10000000+(N('Dvd Calendar'!$AA$1106)&gt;0)*(N('Dvd Calendar'!$AA$1106)&lt;=VAL_SERIAL)*1000000+100*1000+63))</f>
        <v/>
      </c>
      <c r="GP111" s="121">
        <f>IF(N('Dvd Calendar'!$AB$1107)=0,"",IF(('Dvd Calendar'!$AB$1107&gt;=GRID_FROM)*('Dvd Calendar'!$AB$1107&lt;=GRID_TO)*('Dvd Calendar'!$AB$1107&gt;VAL_DATE)=0,"",'Dvd Calendar'!$AB$1107*1000000000+ISNUMBER('Dvd Calendar'!$AB$1108)*100000000+0*10000000+(N('Dvd Calendar'!$AB$1106)&gt;0)*(N('Dvd Calendar'!$AB$1106)&lt;=VAL_SERIAL)*1000000+100*1000+64))</f>
        <v/>
      </c>
      <c r="GQ111" s="121">
        <f>IF(N('Dvd Calendar'!$AC$1107)=0,"",IF(('Dvd Calendar'!$AC$1107&gt;=GRID_FROM)*('Dvd Calendar'!$AC$1107&lt;=GRID_TO)*('Dvd Calendar'!$AC$1107&gt;VAL_DATE)=0,"",'Dvd Calendar'!$AC$1107*1000000000+ISNUMBER('Dvd Calendar'!$AC$1108)*100000000+0*10000000+(N('Dvd Calendar'!$AC$1106)&gt;0)*(N('Dvd Calendar'!$AC$1106)&lt;=VAL_SERIAL)*1000000+100*1000+65))</f>
        <v/>
      </c>
    </row>
    <row r="114">
      <c r="B114" s="6" t="inlineStr">
        <is>
          <t>Hang Seng TECH Index (HSTECH)  -  DPS per event  (slots 1-40 history, 41-65 projections)</t>
        </is>
      </c>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c r="AF114" s="7" t="n"/>
      <c r="AG114" s="7" t="n"/>
      <c r="AH114" s="7" t="n"/>
      <c r="AI114" s="7" t="n"/>
      <c r="AJ114" s="7" t="n"/>
      <c r="AK114" s="7" t="n"/>
      <c r="AL114" s="7" t="n"/>
      <c r="AM114" s="7" t="n"/>
      <c r="AN114" s="7" t="n"/>
      <c r="AO114" s="7" t="n"/>
      <c r="AP114" s="7" t="n"/>
      <c r="AQ114" s="7" t="n"/>
      <c r="AR114" s="7" t="n"/>
      <c r="AS114" s="7" t="n"/>
      <c r="AT114" s="7" t="n"/>
      <c r="AU114" s="7" t="n"/>
      <c r="AV114" s="7" t="n"/>
      <c r="AW114" s="7" t="n"/>
      <c r="AX114" s="7" t="n"/>
      <c r="AY114" s="7" t="n"/>
      <c r="AZ114" s="7" t="n"/>
      <c r="BA114" s="7" t="n"/>
      <c r="BB114" s="7" t="n"/>
      <c r="BC114" s="7" t="n"/>
      <c r="BD114" s="7" t="n"/>
      <c r="BE114" s="7" t="n"/>
      <c r="BF114" s="7" t="n"/>
      <c r="BG114" s="7" t="n"/>
      <c r="BH114" s="7" t="n"/>
      <c r="BI114" s="7" t="n"/>
      <c r="BJ114" s="7" t="n"/>
      <c r="BK114" s="7" t="n"/>
      <c r="BL114" s="7" t="n"/>
      <c r="BM114" s="7" t="n"/>
      <c r="BN114" s="7" t="n"/>
      <c r="BO114" s="7" t="n"/>
      <c r="BQ114" s="6" t="inlineStr">
        <is>
          <t>index points per event</t>
        </is>
      </c>
      <c r="BR114" s="7" t="n"/>
      <c r="BS114" s="7" t="n"/>
      <c r="BT114" s="7" t="n"/>
      <c r="BU114" s="7" t="n"/>
      <c r="BV114" s="7" t="n"/>
      <c r="BW114" s="7" t="n"/>
      <c r="BX114" s="7" t="n"/>
      <c r="BY114" s="7" t="n"/>
      <c r="BZ114" s="7" t="n"/>
      <c r="CA114" s="7" t="n"/>
      <c r="CB114" s="7" t="n"/>
      <c r="CC114" s="7" t="n"/>
      <c r="CD114" s="7" t="n"/>
      <c r="CE114" s="7" t="n"/>
      <c r="CF114" s="7" t="n"/>
      <c r="CG114" s="7" t="n"/>
      <c r="CH114" s="7" t="n"/>
      <c r="CI114" s="7" t="n"/>
      <c r="CJ114" s="7" t="n"/>
      <c r="CK114" s="7" t="n"/>
      <c r="CL114" s="7" t="n"/>
      <c r="CM114" s="7" t="n"/>
      <c r="CN114" s="7" t="n"/>
      <c r="CO114" s="7" t="n"/>
      <c r="CP114" s="7" t="n"/>
      <c r="CQ114" s="7" t="n"/>
      <c r="CR114" s="7" t="n"/>
      <c r="CS114" s="7" t="n"/>
      <c r="CT114" s="7" t="n"/>
      <c r="CU114" s="7" t="n"/>
      <c r="CV114" s="7" t="n"/>
      <c r="CW114" s="7" t="n"/>
      <c r="CX114" s="7" t="n"/>
      <c r="CY114" s="7" t="n"/>
      <c r="CZ114" s="7" t="n"/>
      <c r="DA114" s="7" t="n"/>
      <c r="DB114" s="7" t="n"/>
      <c r="DC114" s="7" t="n"/>
      <c r="DD114" s="7" t="n"/>
      <c r="DE114" s="7" t="n"/>
      <c r="DF114" s="7" t="n"/>
      <c r="DG114" s="7" t="n"/>
      <c r="DH114" s="7" t="n"/>
      <c r="DI114" s="7" t="n"/>
      <c r="DJ114" s="7" t="n"/>
      <c r="DK114" s="7" t="n"/>
      <c r="DL114" s="7" t="n"/>
      <c r="DM114" s="7" t="n"/>
      <c r="DN114" s="7" t="n"/>
      <c r="DO114" s="7" t="n"/>
      <c r="DP114" s="7" t="n"/>
      <c r="DQ114" s="7" t="n"/>
      <c r="DR114" s="7" t="n"/>
      <c r="DS114" s="7" t="n"/>
      <c r="DT114" s="7" t="n"/>
      <c r="DU114" s="7" t="n"/>
      <c r="DV114" s="7" t="n"/>
      <c r="DW114" s="7" t="n"/>
      <c r="DX114" s="7" t="n"/>
      <c r="DY114" s="7" t="n"/>
      <c r="DZ114" s="7" t="n"/>
      <c r="EA114" s="7" t="n"/>
      <c r="EB114" s="7" t="n"/>
      <c r="EC114" s="7" t="n"/>
      <c r="EE114" s="6" t="inlineStr">
        <is>
          <t>packed codes (blank on purpose - use the decoder)</t>
        </is>
      </c>
      <c r="EF114" s="7" t="n"/>
      <c r="EG114" s="7" t="n"/>
      <c r="EH114" s="7" t="n"/>
      <c r="EI114" s="7" t="n"/>
      <c r="EJ114" s="7" t="n"/>
      <c r="EK114" s="7" t="n"/>
      <c r="EL114" s="7" t="n"/>
      <c r="EM114" s="7" t="n"/>
      <c r="EN114" s="7" t="n"/>
      <c r="EO114" s="7" t="n"/>
      <c r="EP114" s="7" t="n"/>
      <c r="EQ114" s="7" t="n"/>
      <c r="ER114" s="7" t="n"/>
      <c r="ES114" s="7" t="n"/>
      <c r="ET114" s="7" t="n"/>
      <c r="EU114" s="7" t="n"/>
      <c r="EV114" s="7" t="n"/>
      <c r="EW114" s="7" t="n"/>
      <c r="EX114" s="7" t="n"/>
      <c r="EY114" s="7" t="n"/>
      <c r="EZ114" s="7" t="n"/>
      <c r="FA114" s="7" t="n"/>
      <c r="FB114" s="7" t="n"/>
      <c r="FC114" s="7" t="n"/>
      <c r="FD114" s="7" t="n"/>
      <c r="FE114" s="7" t="n"/>
      <c r="FF114" s="7" t="n"/>
      <c r="FG114" s="7" t="n"/>
      <c r="FH114" s="7" t="n"/>
      <c r="FI114" s="7" t="n"/>
      <c r="FJ114" s="7" t="n"/>
      <c r="FK114" s="7" t="n"/>
      <c r="FL114" s="7" t="n"/>
      <c r="FM114" s="7" t="n"/>
      <c r="FN114" s="7" t="n"/>
      <c r="FO114" s="7" t="n"/>
      <c r="FP114" s="7" t="n"/>
      <c r="FQ114" s="7" t="n"/>
      <c r="FR114" s="7" t="n"/>
      <c r="FS114" s="7" t="n"/>
      <c r="FT114" s="7" t="n"/>
      <c r="FU114" s="7" t="n"/>
      <c r="FV114" s="7" t="n"/>
      <c r="FW114" s="7" t="n"/>
      <c r="FX114" s="7" t="n"/>
      <c r="FY114" s="7" t="n"/>
      <c r="FZ114" s="7" t="n"/>
      <c r="GA114" s="7" t="n"/>
      <c r="GB114" s="7" t="n"/>
      <c r="GC114" s="7" t="n"/>
      <c r="GD114" s="7" t="n"/>
      <c r="GE114" s="7" t="n"/>
      <c r="GF114" s="7" t="n"/>
      <c r="GG114" s="7" t="n"/>
      <c r="GH114" s="7" t="n"/>
      <c r="GI114" s="7" t="n"/>
      <c r="GJ114" s="7" t="n"/>
      <c r="GK114" s="7" t="n"/>
      <c r="GL114" s="7" t="n"/>
      <c r="GM114" s="7" t="n"/>
      <c r="GN114" s="7" t="n"/>
      <c r="GO114" s="7" t="n"/>
      <c r="GP114" s="7" t="n"/>
      <c r="GQ114" s="7" t="n"/>
    </row>
    <row r="116">
      <c r="B116" s="2">
        <f>IF(HSTECH!$C$7="","",HSTECH!$C$7)</f>
        <v/>
      </c>
      <c r="C116" s="161">
        <f>IF(EE116="","",IF(ISNUMBER('Dvd Calendar'!$E$1119)=FALSE,"",IF((('Dvd Calendar'!$E$1121=TYPE1)*(TYPE1&lt;&gt;"")+('Dvd Calendar'!$E$1121=TYPE2)*(TYPE2&lt;&gt;"")+('Dvd Calendar'!$E$1121=TYPE3)*(TYPE3&lt;&gt;"")+('Dvd Calendar'!$E$1121=TYPE4)*(TYPE4&lt;&gt;"")+('Dvd Calendar'!$E$1121=SPECIAL_LBL)*(INC_SPECIALS="Y"))=0,"",'Dvd Calendar'!$E$1119)))</f>
        <v/>
      </c>
      <c r="D116" s="161">
        <f>IF(EF116="","",IF(ISNUMBER('Dvd Calendar'!$F$1119)=FALSE,"",IF((('Dvd Calendar'!$F$1121=TYPE1)*(TYPE1&lt;&gt;"")+('Dvd Calendar'!$F$1121=TYPE2)*(TYPE2&lt;&gt;"")+('Dvd Calendar'!$F$1121=TYPE3)*(TYPE3&lt;&gt;"")+('Dvd Calendar'!$F$1121=TYPE4)*(TYPE4&lt;&gt;"")+('Dvd Calendar'!$F$1121=SPECIAL_LBL)*(INC_SPECIALS="Y"))=0,"",'Dvd Calendar'!$F$1119)))</f>
        <v/>
      </c>
      <c r="E116" s="161">
        <f>IF(EG116="","",IF(ISNUMBER('Dvd Calendar'!$G$1119)=FALSE,"",IF((('Dvd Calendar'!$G$1121=TYPE1)*(TYPE1&lt;&gt;"")+('Dvd Calendar'!$G$1121=TYPE2)*(TYPE2&lt;&gt;"")+('Dvd Calendar'!$G$1121=TYPE3)*(TYPE3&lt;&gt;"")+('Dvd Calendar'!$G$1121=TYPE4)*(TYPE4&lt;&gt;"")+('Dvd Calendar'!$G$1121=SPECIAL_LBL)*(INC_SPECIALS="Y"))=0,"",'Dvd Calendar'!$G$1119)))</f>
        <v/>
      </c>
      <c r="F116" s="161">
        <f>IF(EH116="","",IF(ISNUMBER('Dvd Calendar'!$H$1119)=FALSE,"",IF((('Dvd Calendar'!$H$1121=TYPE1)*(TYPE1&lt;&gt;"")+('Dvd Calendar'!$H$1121=TYPE2)*(TYPE2&lt;&gt;"")+('Dvd Calendar'!$H$1121=TYPE3)*(TYPE3&lt;&gt;"")+('Dvd Calendar'!$H$1121=TYPE4)*(TYPE4&lt;&gt;"")+('Dvd Calendar'!$H$1121=SPECIAL_LBL)*(INC_SPECIALS="Y"))=0,"",'Dvd Calendar'!$H$1119)))</f>
        <v/>
      </c>
      <c r="G116" s="161">
        <f>IF(EI116="","",IF(ISNUMBER('Dvd Calendar'!$I$1119)=FALSE,"",IF((('Dvd Calendar'!$I$1121=TYPE1)*(TYPE1&lt;&gt;"")+('Dvd Calendar'!$I$1121=TYPE2)*(TYPE2&lt;&gt;"")+('Dvd Calendar'!$I$1121=TYPE3)*(TYPE3&lt;&gt;"")+('Dvd Calendar'!$I$1121=TYPE4)*(TYPE4&lt;&gt;"")+('Dvd Calendar'!$I$1121=SPECIAL_LBL)*(INC_SPECIALS="Y"))=0,"",'Dvd Calendar'!$I$1119)))</f>
        <v/>
      </c>
      <c r="H116" s="161">
        <f>IF(EJ116="","",IF(ISNUMBER('Dvd Calendar'!$J$1119)=FALSE,"",IF((('Dvd Calendar'!$J$1121=TYPE1)*(TYPE1&lt;&gt;"")+('Dvd Calendar'!$J$1121=TYPE2)*(TYPE2&lt;&gt;"")+('Dvd Calendar'!$J$1121=TYPE3)*(TYPE3&lt;&gt;"")+('Dvd Calendar'!$J$1121=TYPE4)*(TYPE4&lt;&gt;"")+('Dvd Calendar'!$J$1121=SPECIAL_LBL)*(INC_SPECIALS="Y"))=0,"",'Dvd Calendar'!$J$1119)))</f>
        <v/>
      </c>
      <c r="I116" s="161">
        <f>IF(EK116="","",IF(ISNUMBER('Dvd Calendar'!$K$1119)=FALSE,"",IF((('Dvd Calendar'!$K$1121=TYPE1)*(TYPE1&lt;&gt;"")+('Dvd Calendar'!$K$1121=TYPE2)*(TYPE2&lt;&gt;"")+('Dvd Calendar'!$K$1121=TYPE3)*(TYPE3&lt;&gt;"")+('Dvd Calendar'!$K$1121=TYPE4)*(TYPE4&lt;&gt;"")+('Dvd Calendar'!$K$1121=SPECIAL_LBL)*(INC_SPECIALS="Y"))=0,"",'Dvd Calendar'!$K$1119)))</f>
        <v/>
      </c>
      <c r="J116" s="161">
        <f>IF(EL116="","",IF(ISNUMBER('Dvd Calendar'!$L$1119)=FALSE,"",IF((('Dvd Calendar'!$L$1121=TYPE1)*(TYPE1&lt;&gt;"")+('Dvd Calendar'!$L$1121=TYPE2)*(TYPE2&lt;&gt;"")+('Dvd Calendar'!$L$1121=TYPE3)*(TYPE3&lt;&gt;"")+('Dvd Calendar'!$L$1121=TYPE4)*(TYPE4&lt;&gt;"")+('Dvd Calendar'!$L$1121=SPECIAL_LBL)*(INC_SPECIALS="Y"))=0,"",'Dvd Calendar'!$L$1119)))</f>
        <v/>
      </c>
      <c r="K116" s="161">
        <f>IF(EM116="","",IF(ISNUMBER('Dvd Calendar'!$M$1119)=FALSE,"",IF((('Dvd Calendar'!$M$1121=TYPE1)*(TYPE1&lt;&gt;"")+('Dvd Calendar'!$M$1121=TYPE2)*(TYPE2&lt;&gt;"")+('Dvd Calendar'!$M$1121=TYPE3)*(TYPE3&lt;&gt;"")+('Dvd Calendar'!$M$1121=TYPE4)*(TYPE4&lt;&gt;"")+('Dvd Calendar'!$M$1121=SPECIAL_LBL)*(INC_SPECIALS="Y"))=0,"",'Dvd Calendar'!$M$1119)))</f>
        <v/>
      </c>
      <c r="L116" s="161">
        <f>IF(EN116="","",IF(ISNUMBER('Dvd Calendar'!$N$1119)=FALSE,"",IF((('Dvd Calendar'!$N$1121=TYPE1)*(TYPE1&lt;&gt;"")+('Dvd Calendar'!$N$1121=TYPE2)*(TYPE2&lt;&gt;"")+('Dvd Calendar'!$N$1121=TYPE3)*(TYPE3&lt;&gt;"")+('Dvd Calendar'!$N$1121=TYPE4)*(TYPE4&lt;&gt;"")+('Dvd Calendar'!$N$1121=SPECIAL_LBL)*(INC_SPECIALS="Y"))=0,"",'Dvd Calendar'!$N$1119)))</f>
        <v/>
      </c>
      <c r="M116" s="161">
        <f>IF(EO116="","",IF(ISNUMBER('Dvd Calendar'!$O$1119)=FALSE,"",IF((('Dvd Calendar'!$O$1121=TYPE1)*(TYPE1&lt;&gt;"")+('Dvd Calendar'!$O$1121=TYPE2)*(TYPE2&lt;&gt;"")+('Dvd Calendar'!$O$1121=TYPE3)*(TYPE3&lt;&gt;"")+('Dvd Calendar'!$O$1121=TYPE4)*(TYPE4&lt;&gt;"")+('Dvd Calendar'!$O$1121=SPECIAL_LBL)*(INC_SPECIALS="Y"))=0,"",'Dvd Calendar'!$O$1119)))</f>
        <v/>
      </c>
      <c r="N116" s="161">
        <f>IF(EP116="","",IF(ISNUMBER('Dvd Calendar'!$P$1119)=FALSE,"",IF((('Dvd Calendar'!$P$1121=TYPE1)*(TYPE1&lt;&gt;"")+('Dvd Calendar'!$P$1121=TYPE2)*(TYPE2&lt;&gt;"")+('Dvd Calendar'!$P$1121=TYPE3)*(TYPE3&lt;&gt;"")+('Dvd Calendar'!$P$1121=TYPE4)*(TYPE4&lt;&gt;"")+('Dvd Calendar'!$P$1121=SPECIAL_LBL)*(INC_SPECIALS="Y"))=0,"",'Dvd Calendar'!$P$1119)))</f>
        <v/>
      </c>
      <c r="O116" s="161">
        <f>IF(EQ116="","",IF(ISNUMBER('Dvd Calendar'!$Q$1119)=FALSE,"",IF((('Dvd Calendar'!$Q$1121=TYPE1)*(TYPE1&lt;&gt;"")+('Dvd Calendar'!$Q$1121=TYPE2)*(TYPE2&lt;&gt;"")+('Dvd Calendar'!$Q$1121=TYPE3)*(TYPE3&lt;&gt;"")+('Dvd Calendar'!$Q$1121=TYPE4)*(TYPE4&lt;&gt;"")+('Dvd Calendar'!$Q$1121=SPECIAL_LBL)*(INC_SPECIALS="Y"))=0,"",'Dvd Calendar'!$Q$1119)))</f>
        <v/>
      </c>
      <c r="P116" s="161">
        <f>IF(ER116="","",IF(ISNUMBER('Dvd Calendar'!$R$1119)=FALSE,"",IF((('Dvd Calendar'!$R$1121=TYPE1)*(TYPE1&lt;&gt;"")+('Dvd Calendar'!$R$1121=TYPE2)*(TYPE2&lt;&gt;"")+('Dvd Calendar'!$R$1121=TYPE3)*(TYPE3&lt;&gt;"")+('Dvd Calendar'!$R$1121=TYPE4)*(TYPE4&lt;&gt;"")+('Dvd Calendar'!$R$1121=SPECIAL_LBL)*(INC_SPECIALS="Y"))=0,"",'Dvd Calendar'!$R$1119)))</f>
        <v/>
      </c>
      <c r="Q116" s="161">
        <f>IF(ES116="","",IF(ISNUMBER('Dvd Calendar'!$S$1119)=FALSE,"",IF((('Dvd Calendar'!$S$1121=TYPE1)*(TYPE1&lt;&gt;"")+('Dvd Calendar'!$S$1121=TYPE2)*(TYPE2&lt;&gt;"")+('Dvd Calendar'!$S$1121=TYPE3)*(TYPE3&lt;&gt;"")+('Dvd Calendar'!$S$1121=TYPE4)*(TYPE4&lt;&gt;"")+('Dvd Calendar'!$S$1121=SPECIAL_LBL)*(INC_SPECIALS="Y"))=0,"",'Dvd Calendar'!$S$1119)))</f>
        <v/>
      </c>
      <c r="R116" s="161">
        <f>IF(ET116="","",IF(ISNUMBER('Dvd Calendar'!$T$1119)=FALSE,"",IF((('Dvd Calendar'!$T$1121=TYPE1)*(TYPE1&lt;&gt;"")+('Dvd Calendar'!$T$1121=TYPE2)*(TYPE2&lt;&gt;"")+('Dvd Calendar'!$T$1121=TYPE3)*(TYPE3&lt;&gt;"")+('Dvd Calendar'!$T$1121=TYPE4)*(TYPE4&lt;&gt;"")+('Dvd Calendar'!$T$1121=SPECIAL_LBL)*(INC_SPECIALS="Y"))=0,"",'Dvd Calendar'!$T$1119)))</f>
        <v/>
      </c>
      <c r="S116" s="161">
        <f>IF(EU116="","",IF(ISNUMBER('Dvd Calendar'!$U$1119)=FALSE,"",IF((('Dvd Calendar'!$U$1121=TYPE1)*(TYPE1&lt;&gt;"")+('Dvd Calendar'!$U$1121=TYPE2)*(TYPE2&lt;&gt;"")+('Dvd Calendar'!$U$1121=TYPE3)*(TYPE3&lt;&gt;"")+('Dvd Calendar'!$U$1121=TYPE4)*(TYPE4&lt;&gt;"")+('Dvd Calendar'!$U$1121=SPECIAL_LBL)*(INC_SPECIALS="Y"))=0,"",'Dvd Calendar'!$U$1119)))</f>
        <v/>
      </c>
      <c r="T116" s="161">
        <f>IF(EV116="","",IF(ISNUMBER('Dvd Calendar'!$V$1119)=FALSE,"",IF((('Dvd Calendar'!$V$1121=TYPE1)*(TYPE1&lt;&gt;"")+('Dvd Calendar'!$V$1121=TYPE2)*(TYPE2&lt;&gt;"")+('Dvd Calendar'!$V$1121=TYPE3)*(TYPE3&lt;&gt;"")+('Dvd Calendar'!$V$1121=TYPE4)*(TYPE4&lt;&gt;"")+('Dvd Calendar'!$V$1121=SPECIAL_LBL)*(INC_SPECIALS="Y"))=0,"",'Dvd Calendar'!$V$1119)))</f>
        <v/>
      </c>
      <c r="U116" s="161">
        <f>IF(EW116="","",IF(ISNUMBER('Dvd Calendar'!$W$1119)=FALSE,"",IF((('Dvd Calendar'!$W$1121=TYPE1)*(TYPE1&lt;&gt;"")+('Dvd Calendar'!$W$1121=TYPE2)*(TYPE2&lt;&gt;"")+('Dvd Calendar'!$W$1121=TYPE3)*(TYPE3&lt;&gt;"")+('Dvd Calendar'!$W$1121=TYPE4)*(TYPE4&lt;&gt;"")+('Dvd Calendar'!$W$1121=SPECIAL_LBL)*(INC_SPECIALS="Y"))=0,"",'Dvd Calendar'!$W$1119)))</f>
        <v/>
      </c>
      <c r="V116" s="161">
        <f>IF(EX116="","",IF(ISNUMBER('Dvd Calendar'!$X$1119)=FALSE,"",IF((('Dvd Calendar'!$X$1121=TYPE1)*(TYPE1&lt;&gt;"")+('Dvd Calendar'!$X$1121=TYPE2)*(TYPE2&lt;&gt;"")+('Dvd Calendar'!$X$1121=TYPE3)*(TYPE3&lt;&gt;"")+('Dvd Calendar'!$X$1121=TYPE4)*(TYPE4&lt;&gt;"")+('Dvd Calendar'!$X$1121=SPECIAL_LBL)*(INC_SPECIALS="Y"))=0,"",'Dvd Calendar'!$X$1119)))</f>
        <v/>
      </c>
      <c r="W116" s="161">
        <f>IF(EY116="","",IF(ISNUMBER('Dvd Calendar'!$Y$1119)=FALSE,"",IF((('Dvd Calendar'!$Y$1121=TYPE1)*(TYPE1&lt;&gt;"")+('Dvd Calendar'!$Y$1121=TYPE2)*(TYPE2&lt;&gt;"")+('Dvd Calendar'!$Y$1121=TYPE3)*(TYPE3&lt;&gt;"")+('Dvd Calendar'!$Y$1121=TYPE4)*(TYPE4&lt;&gt;"")+('Dvd Calendar'!$Y$1121=SPECIAL_LBL)*(INC_SPECIALS="Y"))=0,"",'Dvd Calendar'!$Y$1119)))</f>
        <v/>
      </c>
      <c r="X116" s="161">
        <f>IF(EZ116="","",IF(ISNUMBER('Dvd Calendar'!$Z$1119)=FALSE,"",IF((('Dvd Calendar'!$Z$1121=TYPE1)*(TYPE1&lt;&gt;"")+('Dvd Calendar'!$Z$1121=TYPE2)*(TYPE2&lt;&gt;"")+('Dvd Calendar'!$Z$1121=TYPE3)*(TYPE3&lt;&gt;"")+('Dvd Calendar'!$Z$1121=TYPE4)*(TYPE4&lt;&gt;"")+('Dvd Calendar'!$Z$1121=SPECIAL_LBL)*(INC_SPECIALS="Y"))=0,"",'Dvd Calendar'!$Z$1119)))</f>
        <v/>
      </c>
      <c r="Y116" s="161">
        <f>IF(FA116="","",IF(ISNUMBER('Dvd Calendar'!$AA$1119)=FALSE,"",IF((('Dvd Calendar'!$AA$1121=TYPE1)*(TYPE1&lt;&gt;"")+('Dvd Calendar'!$AA$1121=TYPE2)*(TYPE2&lt;&gt;"")+('Dvd Calendar'!$AA$1121=TYPE3)*(TYPE3&lt;&gt;"")+('Dvd Calendar'!$AA$1121=TYPE4)*(TYPE4&lt;&gt;"")+('Dvd Calendar'!$AA$1121=SPECIAL_LBL)*(INC_SPECIALS="Y"))=0,"",'Dvd Calendar'!$AA$1119)))</f>
        <v/>
      </c>
      <c r="Z116" s="161">
        <f>IF(FB116="","",IF(ISNUMBER('Dvd Calendar'!$AB$1119)=FALSE,"",IF((('Dvd Calendar'!$AB$1121=TYPE1)*(TYPE1&lt;&gt;"")+('Dvd Calendar'!$AB$1121=TYPE2)*(TYPE2&lt;&gt;"")+('Dvd Calendar'!$AB$1121=TYPE3)*(TYPE3&lt;&gt;"")+('Dvd Calendar'!$AB$1121=TYPE4)*(TYPE4&lt;&gt;"")+('Dvd Calendar'!$AB$1121=SPECIAL_LBL)*(INC_SPECIALS="Y"))=0,"",'Dvd Calendar'!$AB$1119)))</f>
        <v/>
      </c>
      <c r="AA116" s="161">
        <f>IF(FC116="","",IF(ISNUMBER('Dvd Calendar'!$AC$1119)=FALSE,"",IF((('Dvd Calendar'!$AC$1121=TYPE1)*(TYPE1&lt;&gt;"")+('Dvd Calendar'!$AC$1121=TYPE2)*(TYPE2&lt;&gt;"")+('Dvd Calendar'!$AC$1121=TYPE3)*(TYPE3&lt;&gt;"")+('Dvd Calendar'!$AC$1121=TYPE4)*(TYPE4&lt;&gt;"")+('Dvd Calendar'!$AC$1121=SPECIAL_LBL)*(INC_SPECIALS="Y"))=0,"",'Dvd Calendar'!$AC$1119)))</f>
        <v/>
      </c>
      <c r="AB116" s="161">
        <f>IF(FD116="","",IF(ISNUMBER('Dvd Calendar'!$AD$1119)=FALSE,"",IF((('Dvd Calendar'!$AD$1121=TYPE1)*(TYPE1&lt;&gt;"")+('Dvd Calendar'!$AD$1121=TYPE2)*(TYPE2&lt;&gt;"")+('Dvd Calendar'!$AD$1121=TYPE3)*(TYPE3&lt;&gt;"")+('Dvd Calendar'!$AD$1121=TYPE4)*(TYPE4&lt;&gt;"")+('Dvd Calendar'!$AD$1121=SPECIAL_LBL)*(INC_SPECIALS="Y"))=0,"",'Dvd Calendar'!$AD$1119)))</f>
        <v/>
      </c>
      <c r="AC116" s="161">
        <f>IF(FE116="","",IF(ISNUMBER('Dvd Calendar'!$AE$1119)=FALSE,"",IF((('Dvd Calendar'!$AE$1121=TYPE1)*(TYPE1&lt;&gt;"")+('Dvd Calendar'!$AE$1121=TYPE2)*(TYPE2&lt;&gt;"")+('Dvd Calendar'!$AE$1121=TYPE3)*(TYPE3&lt;&gt;"")+('Dvd Calendar'!$AE$1121=TYPE4)*(TYPE4&lt;&gt;"")+('Dvd Calendar'!$AE$1121=SPECIAL_LBL)*(INC_SPECIALS="Y"))=0,"",'Dvd Calendar'!$AE$1119)))</f>
        <v/>
      </c>
      <c r="AD116" s="161">
        <f>IF(FF116="","",IF(ISNUMBER('Dvd Calendar'!$AF$1119)=FALSE,"",IF((('Dvd Calendar'!$AF$1121=TYPE1)*(TYPE1&lt;&gt;"")+('Dvd Calendar'!$AF$1121=TYPE2)*(TYPE2&lt;&gt;"")+('Dvd Calendar'!$AF$1121=TYPE3)*(TYPE3&lt;&gt;"")+('Dvd Calendar'!$AF$1121=TYPE4)*(TYPE4&lt;&gt;"")+('Dvd Calendar'!$AF$1121=SPECIAL_LBL)*(INC_SPECIALS="Y"))=0,"",'Dvd Calendar'!$AF$1119)))</f>
        <v/>
      </c>
      <c r="AE116" s="161">
        <f>IF(FG116="","",IF(ISNUMBER('Dvd Calendar'!$AG$1119)=FALSE,"",IF((('Dvd Calendar'!$AG$1121=TYPE1)*(TYPE1&lt;&gt;"")+('Dvd Calendar'!$AG$1121=TYPE2)*(TYPE2&lt;&gt;"")+('Dvd Calendar'!$AG$1121=TYPE3)*(TYPE3&lt;&gt;"")+('Dvd Calendar'!$AG$1121=TYPE4)*(TYPE4&lt;&gt;"")+('Dvd Calendar'!$AG$1121=SPECIAL_LBL)*(INC_SPECIALS="Y"))=0,"",'Dvd Calendar'!$AG$1119)))</f>
        <v/>
      </c>
      <c r="AF116" s="161">
        <f>IF(FH116="","",IF(ISNUMBER('Dvd Calendar'!$AH$1119)=FALSE,"",IF((('Dvd Calendar'!$AH$1121=TYPE1)*(TYPE1&lt;&gt;"")+('Dvd Calendar'!$AH$1121=TYPE2)*(TYPE2&lt;&gt;"")+('Dvd Calendar'!$AH$1121=TYPE3)*(TYPE3&lt;&gt;"")+('Dvd Calendar'!$AH$1121=TYPE4)*(TYPE4&lt;&gt;"")+('Dvd Calendar'!$AH$1121=SPECIAL_LBL)*(INC_SPECIALS="Y"))=0,"",'Dvd Calendar'!$AH$1119)))</f>
        <v/>
      </c>
      <c r="AG116" s="161">
        <f>IF(FI116="","",IF(ISNUMBER('Dvd Calendar'!$AI$1119)=FALSE,"",IF((('Dvd Calendar'!$AI$1121=TYPE1)*(TYPE1&lt;&gt;"")+('Dvd Calendar'!$AI$1121=TYPE2)*(TYPE2&lt;&gt;"")+('Dvd Calendar'!$AI$1121=TYPE3)*(TYPE3&lt;&gt;"")+('Dvd Calendar'!$AI$1121=TYPE4)*(TYPE4&lt;&gt;"")+('Dvd Calendar'!$AI$1121=SPECIAL_LBL)*(INC_SPECIALS="Y"))=0,"",'Dvd Calendar'!$AI$1119)))</f>
        <v/>
      </c>
      <c r="AH116" s="161">
        <f>IF(FJ116="","",IF(ISNUMBER('Dvd Calendar'!$AJ$1119)=FALSE,"",IF((('Dvd Calendar'!$AJ$1121=TYPE1)*(TYPE1&lt;&gt;"")+('Dvd Calendar'!$AJ$1121=TYPE2)*(TYPE2&lt;&gt;"")+('Dvd Calendar'!$AJ$1121=TYPE3)*(TYPE3&lt;&gt;"")+('Dvd Calendar'!$AJ$1121=TYPE4)*(TYPE4&lt;&gt;"")+('Dvd Calendar'!$AJ$1121=SPECIAL_LBL)*(INC_SPECIALS="Y"))=0,"",'Dvd Calendar'!$AJ$1119)))</f>
        <v/>
      </c>
      <c r="AI116" s="161">
        <f>IF(FK116="","",IF(ISNUMBER('Dvd Calendar'!$AK$1119)=FALSE,"",IF((('Dvd Calendar'!$AK$1121=TYPE1)*(TYPE1&lt;&gt;"")+('Dvd Calendar'!$AK$1121=TYPE2)*(TYPE2&lt;&gt;"")+('Dvd Calendar'!$AK$1121=TYPE3)*(TYPE3&lt;&gt;"")+('Dvd Calendar'!$AK$1121=TYPE4)*(TYPE4&lt;&gt;"")+('Dvd Calendar'!$AK$1121=SPECIAL_LBL)*(INC_SPECIALS="Y"))=0,"",'Dvd Calendar'!$AK$1119)))</f>
        <v/>
      </c>
      <c r="AJ116" s="161">
        <f>IF(FL116="","",IF(ISNUMBER('Dvd Calendar'!$AL$1119)=FALSE,"",IF((('Dvd Calendar'!$AL$1121=TYPE1)*(TYPE1&lt;&gt;"")+('Dvd Calendar'!$AL$1121=TYPE2)*(TYPE2&lt;&gt;"")+('Dvd Calendar'!$AL$1121=TYPE3)*(TYPE3&lt;&gt;"")+('Dvd Calendar'!$AL$1121=TYPE4)*(TYPE4&lt;&gt;"")+('Dvd Calendar'!$AL$1121=SPECIAL_LBL)*(INC_SPECIALS="Y"))=0,"",'Dvd Calendar'!$AL$1119)))</f>
        <v/>
      </c>
      <c r="AK116" s="161">
        <f>IF(FM116="","",IF(ISNUMBER('Dvd Calendar'!$AM$1119)=FALSE,"",IF((('Dvd Calendar'!$AM$1121=TYPE1)*(TYPE1&lt;&gt;"")+('Dvd Calendar'!$AM$1121=TYPE2)*(TYPE2&lt;&gt;"")+('Dvd Calendar'!$AM$1121=TYPE3)*(TYPE3&lt;&gt;"")+('Dvd Calendar'!$AM$1121=TYPE4)*(TYPE4&lt;&gt;"")+('Dvd Calendar'!$AM$1121=SPECIAL_LBL)*(INC_SPECIALS="Y"))=0,"",'Dvd Calendar'!$AM$1119)))</f>
        <v/>
      </c>
      <c r="AL116" s="161">
        <f>IF(FN116="","",IF(ISNUMBER('Dvd Calendar'!$AN$1119)=FALSE,"",IF((('Dvd Calendar'!$AN$1121=TYPE1)*(TYPE1&lt;&gt;"")+('Dvd Calendar'!$AN$1121=TYPE2)*(TYPE2&lt;&gt;"")+('Dvd Calendar'!$AN$1121=TYPE3)*(TYPE3&lt;&gt;"")+('Dvd Calendar'!$AN$1121=TYPE4)*(TYPE4&lt;&gt;"")+('Dvd Calendar'!$AN$1121=SPECIAL_LBL)*(INC_SPECIALS="Y"))=0,"",'Dvd Calendar'!$AN$1119)))</f>
        <v/>
      </c>
      <c r="AM116" s="161">
        <f>IF(FO116="","",IF(ISNUMBER('Dvd Calendar'!$AO$1119)=FALSE,"",IF((('Dvd Calendar'!$AO$1121=TYPE1)*(TYPE1&lt;&gt;"")+('Dvd Calendar'!$AO$1121=TYPE2)*(TYPE2&lt;&gt;"")+('Dvd Calendar'!$AO$1121=TYPE3)*(TYPE3&lt;&gt;"")+('Dvd Calendar'!$AO$1121=TYPE4)*(TYPE4&lt;&gt;"")+('Dvd Calendar'!$AO$1121=SPECIAL_LBL)*(INC_SPECIALS="Y"))=0,"",'Dvd Calendar'!$AO$1119)))</f>
        <v/>
      </c>
      <c r="AN116" s="161">
        <f>IF(FP116="","",IF(ISNUMBER('Dvd Calendar'!$AP$1119)=FALSE,"",IF((('Dvd Calendar'!$AP$1121=TYPE1)*(TYPE1&lt;&gt;"")+('Dvd Calendar'!$AP$1121=TYPE2)*(TYPE2&lt;&gt;"")+('Dvd Calendar'!$AP$1121=TYPE3)*(TYPE3&lt;&gt;"")+('Dvd Calendar'!$AP$1121=TYPE4)*(TYPE4&lt;&gt;"")+('Dvd Calendar'!$AP$1121=SPECIAL_LBL)*(INC_SPECIALS="Y"))=0,"",'Dvd Calendar'!$AP$1119)))</f>
        <v/>
      </c>
      <c r="AO116" s="161">
        <f>IF(FQ116="","",IF(ISNUMBER('Dvd Calendar'!$AQ$1119)=FALSE,"",IF((('Dvd Calendar'!$AQ$1121=TYPE1)*(TYPE1&lt;&gt;"")+('Dvd Calendar'!$AQ$1121=TYPE2)*(TYPE2&lt;&gt;"")+('Dvd Calendar'!$AQ$1121=TYPE3)*(TYPE3&lt;&gt;"")+('Dvd Calendar'!$AQ$1121=TYPE4)*(TYPE4&lt;&gt;"")+('Dvd Calendar'!$AQ$1121=SPECIAL_LBL)*(INC_SPECIALS="Y"))=0,"",'Dvd Calendar'!$AQ$1119)))</f>
        <v/>
      </c>
      <c r="AP116" s="161">
        <f>IF(FR116="","",IF(ISNUMBER('Dvd Calendar'!$AR$1119)=FALSE,"",IF((('Dvd Calendar'!$AR$1121=TYPE1)*(TYPE1&lt;&gt;"")+('Dvd Calendar'!$AR$1121=TYPE2)*(TYPE2&lt;&gt;"")+('Dvd Calendar'!$AR$1121=TYPE3)*(TYPE3&lt;&gt;"")+('Dvd Calendar'!$AR$1121=TYPE4)*(TYPE4&lt;&gt;"")+('Dvd Calendar'!$AR$1121=SPECIAL_LBL)*(INC_SPECIALS="Y"))=0,"",'Dvd Calendar'!$AR$1119)))</f>
        <v/>
      </c>
      <c r="AQ116" s="161">
        <f>IF(FS116="","",IF(ISNUMBER('Dvd Calendar'!$E$1124)=FALSE,"",'Dvd Calendar'!$E$1124))</f>
        <v/>
      </c>
      <c r="AR116" s="161">
        <f>IF(FT116="","",IF(ISNUMBER('Dvd Calendar'!$F$1124)=FALSE,"",'Dvd Calendar'!$F$1124))</f>
        <v/>
      </c>
      <c r="AS116" s="161">
        <f>IF(FU116="","",IF(ISNUMBER('Dvd Calendar'!$G$1124)=FALSE,"",'Dvd Calendar'!$G$1124))</f>
        <v/>
      </c>
      <c r="AT116" s="161">
        <f>IF(FV116="","",IF(ISNUMBER('Dvd Calendar'!$H$1124)=FALSE,"",'Dvd Calendar'!$H$1124))</f>
        <v/>
      </c>
      <c r="AU116" s="161">
        <f>IF(FW116="","",IF(ISNUMBER('Dvd Calendar'!$I$1124)=FALSE,"",'Dvd Calendar'!$I$1124))</f>
        <v/>
      </c>
      <c r="AV116" s="161">
        <f>IF(FX116="","",IF(ISNUMBER('Dvd Calendar'!$J$1124)=FALSE,"",'Dvd Calendar'!$J$1124))</f>
        <v/>
      </c>
      <c r="AW116" s="161">
        <f>IF(FY116="","",IF(ISNUMBER('Dvd Calendar'!$K$1124)=FALSE,"",'Dvd Calendar'!$K$1124))</f>
        <v/>
      </c>
      <c r="AX116" s="161">
        <f>IF(FZ116="","",IF(ISNUMBER('Dvd Calendar'!$L$1124)=FALSE,"",'Dvd Calendar'!$L$1124))</f>
        <v/>
      </c>
      <c r="AY116" s="161">
        <f>IF(GA116="","",IF(ISNUMBER('Dvd Calendar'!$M$1124)=FALSE,"",'Dvd Calendar'!$M$1124))</f>
        <v/>
      </c>
      <c r="AZ116" s="161">
        <f>IF(GB116="","",IF(ISNUMBER('Dvd Calendar'!$N$1124)=FALSE,"",'Dvd Calendar'!$N$1124))</f>
        <v/>
      </c>
      <c r="BA116" s="161">
        <f>IF(GC116="","",IF(ISNUMBER('Dvd Calendar'!$O$1124)=FALSE,"",'Dvd Calendar'!$O$1124))</f>
        <v/>
      </c>
      <c r="BB116" s="161">
        <f>IF(GD116="","",IF(ISNUMBER('Dvd Calendar'!$P$1124)=FALSE,"",'Dvd Calendar'!$P$1124))</f>
        <v/>
      </c>
      <c r="BC116" s="161">
        <f>IF(GE116="","",IF(ISNUMBER('Dvd Calendar'!$Q$1124)=FALSE,"",'Dvd Calendar'!$Q$1124))</f>
        <v/>
      </c>
      <c r="BD116" s="161">
        <f>IF(GF116="","",IF(ISNUMBER('Dvd Calendar'!$R$1124)=FALSE,"",'Dvd Calendar'!$R$1124))</f>
        <v/>
      </c>
      <c r="BE116" s="161">
        <f>IF(GG116="","",IF(ISNUMBER('Dvd Calendar'!$S$1124)=FALSE,"",'Dvd Calendar'!$S$1124))</f>
        <v/>
      </c>
      <c r="BF116" s="161">
        <f>IF(GH116="","",IF(ISNUMBER('Dvd Calendar'!$T$1124)=FALSE,"",'Dvd Calendar'!$T$1124))</f>
        <v/>
      </c>
      <c r="BG116" s="161">
        <f>IF(GI116="","",IF(ISNUMBER('Dvd Calendar'!$U$1124)=FALSE,"",'Dvd Calendar'!$U$1124))</f>
        <v/>
      </c>
      <c r="BH116" s="161">
        <f>IF(GJ116="","",IF(ISNUMBER('Dvd Calendar'!$V$1124)=FALSE,"",'Dvd Calendar'!$V$1124))</f>
        <v/>
      </c>
      <c r="BI116" s="161">
        <f>IF(GK116="","",IF(ISNUMBER('Dvd Calendar'!$W$1124)=FALSE,"",'Dvd Calendar'!$W$1124))</f>
        <v/>
      </c>
      <c r="BJ116" s="161">
        <f>IF(GL116="","",IF(ISNUMBER('Dvd Calendar'!$X$1124)=FALSE,"",'Dvd Calendar'!$X$1124))</f>
        <v/>
      </c>
      <c r="BK116" s="161">
        <f>IF(GM116="","",IF(ISNUMBER('Dvd Calendar'!$Y$1124)=FALSE,"",'Dvd Calendar'!$Y$1124))</f>
        <v/>
      </c>
      <c r="BL116" s="161">
        <f>IF(GN116="","",IF(ISNUMBER('Dvd Calendar'!$Z$1124)=FALSE,"",'Dvd Calendar'!$Z$1124))</f>
        <v/>
      </c>
      <c r="BM116" s="161">
        <f>IF(GO116="","",IF(ISNUMBER('Dvd Calendar'!$AA$1124)=FALSE,"",'Dvd Calendar'!$AA$1124))</f>
        <v/>
      </c>
      <c r="BN116" s="161">
        <f>IF(GP116="","",IF(ISNUMBER('Dvd Calendar'!$AB$1124)=FALSE,"",'Dvd Calendar'!$AB$1124))</f>
        <v/>
      </c>
      <c r="BO116" s="161">
        <f>IF(GQ116="","",IF(ISNUMBER('Dvd Calendar'!$AC$1124)=FALSE,"",'Dvd Calendar'!$AC$1124))</f>
        <v/>
      </c>
      <c r="BQ116" s="161">
        <f>IF(C116="","",IFERROR(C116*HSTECH!$B$7*HSTECH!$G$7/HSTECH!$B$3,""))</f>
        <v/>
      </c>
      <c r="BR116" s="161">
        <f>IF(D116="","",IFERROR(D116*HSTECH!$B$7*HSTECH!$G$7/HSTECH!$B$3,""))</f>
        <v/>
      </c>
      <c r="BS116" s="161">
        <f>IF(E116="","",IFERROR(E116*HSTECH!$B$7*HSTECH!$G$7/HSTECH!$B$3,""))</f>
        <v/>
      </c>
      <c r="BT116" s="161">
        <f>IF(F116="","",IFERROR(F116*HSTECH!$B$7*HSTECH!$G$7/HSTECH!$B$3,""))</f>
        <v/>
      </c>
      <c r="BU116" s="161">
        <f>IF(G116="","",IFERROR(G116*HSTECH!$B$7*HSTECH!$G$7/HSTECH!$B$3,""))</f>
        <v/>
      </c>
      <c r="BV116" s="161">
        <f>IF(H116="","",IFERROR(H116*HSTECH!$B$7*HSTECH!$G$7/HSTECH!$B$3,""))</f>
        <v/>
      </c>
      <c r="BW116" s="161">
        <f>IF(I116="","",IFERROR(I116*HSTECH!$B$7*HSTECH!$G$7/HSTECH!$B$3,""))</f>
        <v/>
      </c>
      <c r="BX116" s="161">
        <f>IF(J116="","",IFERROR(J116*HSTECH!$B$7*HSTECH!$G$7/HSTECH!$B$3,""))</f>
        <v/>
      </c>
      <c r="BY116" s="161">
        <f>IF(K116="","",IFERROR(K116*HSTECH!$B$7*HSTECH!$G$7/HSTECH!$B$3,""))</f>
        <v/>
      </c>
      <c r="BZ116" s="161">
        <f>IF(L116="","",IFERROR(L116*HSTECH!$B$7*HSTECH!$G$7/HSTECH!$B$3,""))</f>
        <v/>
      </c>
      <c r="CA116" s="161">
        <f>IF(M116="","",IFERROR(M116*HSTECH!$B$7*HSTECH!$G$7/HSTECH!$B$3,""))</f>
        <v/>
      </c>
      <c r="CB116" s="161">
        <f>IF(N116="","",IFERROR(N116*HSTECH!$B$7*HSTECH!$G$7/HSTECH!$B$3,""))</f>
        <v/>
      </c>
      <c r="CC116" s="161">
        <f>IF(O116="","",IFERROR(O116*HSTECH!$B$7*HSTECH!$G$7/HSTECH!$B$3,""))</f>
        <v/>
      </c>
      <c r="CD116" s="161">
        <f>IF(P116="","",IFERROR(P116*HSTECH!$B$7*HSTECH!$G$7/HSTECH!$B$3,""))</f>
        <v/>
      </c>
      <c r="CE116" s="161">
        <f>IF(Q116="","",IFERROR(Q116*HSTECH!$B$7*HSTECH!$G$7/HSTECH!$B$3,""))</f>
        <v/>
      </c>
      <c r="CF116" s="161">
        <f>IF(R116="","",IFERROR(R116*HSTECH!$B$7*HSTECH!$G$7/HSTECH!$B$3,""))</f>
        <v/>
      </c>
      <c r="CG116" s="161">
        <f>IF(S116="","",IFERROR(S116*HSTECH!$B$7*HSTECH!$G$7/HSTECH!$B$3,""))</f>
        <v/>
      </c>
      <c r="CH116" s="161">
        <f>IF(T116="","",IFERROR(T116*HSTECH!$B$7*HSTECH!$G$7/HSTECH!$B$3,""))</f>
        <v/>
      </c>
      <c r="CI116" s="161">
        <f>IF(U116="","",IFERROR(U116*HSTECH!$B$7*HSTECH!$G$7/HSTECH!$B$3,""))</f>
        <v/>
      </c>
      <c r="CJ116" s="161">
        <f>IF(V116="","",IFERROR(V116*HSTECH!$B$7*HSTECH!$G$7/HSTECH!$B$3,""))</f>
        <v/>
      </c>
      <c r="CK116" s="161">
        <f>IF(W116="","",IFERROR(W116*HSTECH!$B$7*HSTECH!$G$7/HSTECH!$B$3,""))</f>
        <v/>
      </c>
      <c r="CL116" s="161">
        <f>IF(X116="","",IFERROR(X116*HSTECH!$B$7*HSTECH!$G$7/HSTECH!$B$3,""))</f>
        <v/>
      </c>
      <c r="CM116" s="161">
        <f>IF(Y116="","",IFERROR(Y116*HSTECH!$B$7*HSTECH!$G$7/HSTECH!$B$3,""))</f>
        <v/>
      </c>
      <c r="CN116" s="161">
        <f>IF(Z116="","",IFERROR(Z116*HSTECH!$B$7*HSTECH!$G$7/HSTECH!$B$3,""))</f>
        <v/>
      </c>
      <c r="CO116" s="161">
        <f>IF(AA116="","",IFERROR(AA116*HSTECH!$B$7*HSTECH!$G$7/HSTECH!$B$3,""))</f>
        <v/>
      </c>
      <c r="CP116" s="161">
        <f>IF(AB116="","",IFERROR(AB116*HSTECH!$B$7*HSTECH!$G$7/HSTECH!$B$3,""))</f>
        <v/>
      </c>
      <c r="CQ116" s="161">
        <f>IF(AC116="","",IFERROR(AC116*HSTECH!$B$7*HSTECH!$G$7/HSTECH!$B$3,""))</f>
        <v/>
      </c>
      <c r="CR116" s="161">
        <f>IF(AD116="","",IFERROR(AD116*HSTECH!$B$7*HSTECH!$G$7/HSTECH!$B$3,""))</f>
        <v/>
      </c>
      <c r="CS116" s="161">
        <f>IF(AE116="","",IFERROR(AE116*HSTECH!$B$7*HSTECH!$G$7/HSTECH!$B$3,""))</f>
        <v/>
      </c>
      <c r="CT116" s="161">
        <f>IF(AF116="","",IFERROR(AF116*HSTECH!$B$7*HSTECH!$G$7/HSTECH!$B$3,""))</f>
        <v/>
      </c>
      <c r="CU116" s="161">
        <f>IF(AG116="","",IFERROR(AG116*HSTECH!$B$7*HSTECH!$G$7/HSTECH!$B$3,""))</f>
        <v/>
      </c>
      <c r="CV116" s="161">
        <f>IF(AH116="","",IFERROR(AH116*HSTECH!$B$7*HSTECH!$G$7/HSTECH!$B$3,""))</f>
        <v/>
      </c>
      <c r="CW116" s="161">
        <f>IF(AI116="","",IFERROR(AI116*HSTECH!$B$7*HSTECH!$G$7/HSTECH!$B$3,""))</f>
        <v/>
      </c>
      <c r="CX116" s="161">
        <f>IF(AJ116="","",IFERROR(AJ116*HSTECH!$B$7*HSTECH!$G$7/HSTECH!$B$3,""))</f>
        <v/>
      </c>
      <c r="CY116" s="161">
        <f>IF(AK116="","",IFERROR(AK116*HSTECH!$B$7*HSTECH!$G$7/HSTECH!$B$3,""))</f>
        <v/>
      </c>
      <c r="CZ116" s="161">
        <f>IF(AL116="","",IFERROR(AL116*HSTECH!$B$7*HSTECH!$G$7/HSTECH!$B$3,""))</f>
        <v/>
      </c>
      <c r="DA116" s="161">
        <f>IF(AM116="","",IFERROR(AM116*HSTECH!$B$7*HSTECH!$G$7/HSTECH!$B$3,""))</f>
        <v/>
      </c>
      <c r="DB116" s="161">
        <f>IF(AN116="","",IFERROR(AN116*HSTECH!$B$7*HSTECH!$G$7/HSTECH!$B$3,""))</f>
        <v/>
      </c>
      <c r="DC116" s="161">
        <f>IF(AO116="","",IFERROR(AO116*HSTECH!$B$7*HSTECH!$G$7/HSTECH!$B$3,""))</f>
        <v/>
      </c>
      <c r="DD116" s="161">
        <f>IF(AP116="","",IFERROR(AP116*HSTECH!$B$7*HSTECH!$G$7/HSTECH!$B$3,""))</f>
        <v/>
      </c>
      <c r="DE116" s="161">
        <f>IF(AQ116="","",IFERROR(AQ116*HSTECH!$B$7*HSTECH!$G$7/HSTECH!$B$3,""))</f>
        <v/>
      </c>
      <c r="DF116" s="161">
        <f>IF(AR116="","",IFERROR(AR116*HSTECH!$B$7*HSTECH!$G$7/HSTECH!$B$3,""))</f>
        <v/>
      </c>
      <c r="DG116" s="161">
        <f>IF(AS116="","",IFERROR(AS116*HSTECH!$B$7*HSTECH!$G$7/HSTECH!$B$3,""))</f>
        <v/>
      </c>
      <c r="DH116" s="161">
        <f>IF(AT116="","",IFERROR(AT116*HSTECH!$B$7*HSTECH!$G$7/HSTECH!$B$3,""))</f>
        <v/>
      </c>
      <c r="DI116" s="161">
        <f>IF(AU116="","",IFERROR(AU116*HSTECH!$B$7*HSTECH!$G$7/HSTECH!$B$3,""))</f>
        <v/>
      </c>
      <c r="DJ116" s="161">
        <f>IF(AV116="","",IFERROR(AV116*HSTECH!$B$7*HSTECH!$G$7/HSTECH!$B$3,""))</f>
        <v/>
      </c>
      <c r="DK116" s="161">
        <f>IF(AW116="","",IFERROR(AW116*HSTECH!$B$7*HSTECH!$G$7/HSTECH!$B$3,""))</f>
        <v/>
      </c>
      <c r="DL116" s="161">
        <f>IF(AX116="","",IFERROR(AX116*HSTECH!$B$7*HSTECH!$G$7/HSTECH!$B$3,""))</f>
        <v/>
      </c>
      <c r="DM116" s="161">
        <f>IF(AY116="","",IFERROR(AY116*HSTECH!$B$7*HSTECH!$G$7/HSTECH!$B$3,""))</f>
        <v/>
      </c>
      <c r="DN116" s="161">
        <f>IF(AZ116="","",IFERROR(AZ116*HSTECH!$B$7*HSTECH!$G$7/HSTECH!$B$3,""))</f>
        <v/>
      </c>
      <c r="DO116" s="161">
        <f>IF(BA116="","",IFERROR(BA116*HSTECH!$B$7*HSTECH!$G$7/HSTECH!$B$3,""))</f>
        <v/>
      </c>
      <c r="DP116" s="161">
        <f>IF(BB116="","",IFERROR(BB116*HSTECH!$B$7*HSTECH!$G$7/HSTECH!$B$3,""))</f>
        <v/>
      </c>
      <c r="DQ116" s="161">
        <f>IF(BC116="","",IFERROR(BC116*HSTECH!$B$7*HSTECH!$G$7/HSTECH!$B$3,""))</f>
        <v/>
      </c>
      <c r="DR116" s="161">
        <f>IF(BD116="","",IFERROR(BD116*HSTECH!$B$7*HSTECH!$G$7/HSTECH!$B$3,""))</f>
        <v/>
      </c>
      <c r="DS116" s="161">
        <f>IF(BE116="","",IFERROR(BE116*HSTECH!$B$7*HSTECH!$G$7/HSTECH!$B$3,""))</f>
        <v/>
      </c>
      <c r="DT116" s="161">
        <f>IF(BF116="","",IFERROR(BF116*HSTECH!$B$7*HSTECH!$G$7/HSTECH!$B$3,""))</f>
        <v/>
      </c>
      <c r="DU116" s="161">
        <f>IF(BG116="","",IFERROR(BG116*HSTECH!$B$7*HSTECH!$G$7/HSTECH!$B$3,""))</f>
        <v/>
      </c>
      <c r="DV116" s="161">
        <f>IF(BH116="","",IFERROR(BH116*HSTECH!$B$7*HSTECH!$G$7/HSTECH!$B$3,""))</f>
        <v/>
      </c>
      <c r="DW116" s="161">
        <f>IF(BI116="","",IFERROR(BI116*HSTECH!$B$7*HSTECH!$G$7/HSTECH!$B$3,""))</f>
        <v/>
      </c>
      <c r="DX116" s="161">
        <f>IF(BJ116="","",IFERROR(BJ116*HSTECH!$B$7*HSTECH!$G$7/HSTECH!$B$3,""))</f>
        <v/>
      </c>
      <c r="DY116" s="161">
        <f>IF(BK116="","",IFERROR(BK116*HSTECH!$B$7*HSTECH!$G$7/HSTECH!$B$3,""))</f>
        <v/>
      </c>
      <c r="DZ116" s="161">
        <f>IF(BL116="","",IFERROR(BL116*HSTECH!$B$7*HSTECH!$G$7/HSTECH!$B$3,""))</f>
        <v/>
      </c>
      <c r="EA116" s="161">
        <f>IF(BM116="","",IFERROR(BM116*HSTECH!$B$7*HSTECH!$G$7/HSTECH!$B$3,""))</f>
        <v/>
      </c>
      <c r="EB116" s="161">
        <f>IF(BN116="","",IFERROR(BN116*HSTECH!$B$7*HSTECH!$G$7/HSTECH!$B$3,""))</f>
        <v/>
      </c>
      <c r="EC116" s="161">
        <f>IF(BO116="","",IFERROR(BO116*HSTECH!$B$7*HSTECH!$G$7/HSTECH!$B$3,""))</f>
        <v/>
      </c>
      <c r="EE116" s="121">
        <f>IF(N('Dvd Calendar'!$E$1116)=0,"",IF(('Dvd Calendar'!$E$1116&gt;=GRID_FROM)*('Dvd Calendar'!$E$1116&lt;=GRID_TO)*((('Dvd Calendar'!$E$1116&lt;=VAL_DATE)+(COUNTIF('Dvd Calendar'!$E$1123:$AR$1123,'Dvd Calendar'!$E$1116)=0))&gt;0)=0,"",'Dvd Calendar'!$E$1116*1000000000+ISNUMBER('Dvd Calendar'!$E$1119)*100000000+('Dvd Calendar'!$E$1121=SPECIAL_LBL)*10000000+(N('Dvd Calendar'!$E$1115)&gt;0)*(N('Dvd Calendar'!$E$1115)&lt;=VAL_SERIAL)*1000000+1*1000+1))</f>
        <v/>
      </c>
      <c r="EF116" s="121">
        <f>IF(N('Dvd Calendar'!$F$1116)=0,"",IF(('Dvd Calendar'!$F$1116&gt;=GRID_FROM)*('Dvd Calendar'!$F$1116&lt;=GRID_TO)*((('Dvd Calendar'!$F$1116&lt;=VAL_DATE)+(COUNTIF('Dvd Calendar'!$E$1123:$AR$1123,'Dvd Calendar'!$F$1116)=0))&gt;0)=0,"",'Dvd Calendar'!$F$1116*1000000000+ISNUMBER('Dvd Calendar'!$F$1119)*100000000+('Dvd Calendar'!$F$1121=SPECIAL_LBL)*10000000+(N('Dvd Calendar'!$F$1115)&gt;0)*(N('Dvd Calendar'!$F$1115)&lt;=VAL_SERIAL)*1000000+1*1000+2))</f>
        <v/>
      </c>
      <c r="EG116" s="121">
        <f>IF(N('Dvd Calendar'!$G$1116)=0,"",IF(('Dvd Calendar'!$G$1116&gt;=GRID_FROM)*('Dvd Calendar'!$G$1116&lt;=GRID_TO)*((('Dvd Calendar'!$G$1116&lt;=VAL_DATE)+(COUNTIF('Dvd Calendar'!$E$1123:$AR$1123,'Dvd Calendar'!$G$1116)=0))&gt;0)=0,"",'Dvd Calendar'!$G$1116*1000000000+ISNUMBER('Dvd Calendar'!$G$1119)*100000000+('Dvd Calendar'!$G$1121=SPECIAL_LBL)*10000000+(N('Dvd Calendar'!$G$1115)&gt;0)*(N('Dvd Calendar'!$G$1115)&lt;=VAL_SERIAL)*1000000+1*1000+3))</f>
        <v/>
      </c>
      <c r="EH116" s="121">
        <f>IF(N('Dvd Calendar'!$H$1116)=0,"",IF(('Dvd Calendar'!$H$1116&gt;=GRID_FROM)*('Dvd Calendar'!$H$1116&lt;=GRID_TO)*((('Dvd Calendar'!$H$1116&lt;=VAL_DATE)+(COUNTIF('Dvd Calendar'!$E$1123:$AR$1123,'Dvd Calendar'!$H$1116)=0))&gt;0)=0,"",'Dvd Calendar'!$H$1116*1000000000+ISNUMBER('Dvd Calendar'!$H$1119)*100000000+('Dvd Calendar'!$H$1121=SPECIAL_LBL)*10000000+(N('Dvd Calendar'!$H$1115)&gt;0)*(N('Dvd Calendar'!$H$1115)&lt;=VAL_SERIAL)*1000000+1*1000+4))</f>
        <v/>
      </c>
      <c r="EI116" s="121">
        <f>IF(N('Dvd Calendar'!$I$1116)=0,"",IF(('Dvd Calendar'!$I$1116&gt;=GRID_FROM)*('Dvd Calendar'!$I$1116&lt;=GRID_TO)*((('Dvd Calendar'!$I$1116&lt;=VAL_DATE)+(COUNTIF('Dvd Calendar'!$E$1123:$AR$1123,'Dvd Calendar'!$I$1116)=0))&gt;0)=0,"",'Dvd Calendar'!$I$1116*1000000000+ISNUMBER('Dvd Calendar'!$I$1119)*100000000+('Dvd Calendar'!$I$1121=SPECIAL_LBL)*10000000+(N('Dvd Calendar'!$I$1115)&gt;0)*(N('Dvd Calendar'!$I$1115)&lt;=VAL_SERIAL)*1000000+1*1000+5))</f>
        <v/>
      </c>
      <c r="EJ116" s="121">
        <f>IF(N('Dvd Calendar'!$J$1116)=0,"",IF(('Dvd Calendar'!$J$1116&gt;=GRID_FROM)*('Dvd Calendar'!$J$1116&lt;=GRID_TO)*((('Dvd Calendar'!$J$1116&lt;=VAL_DATE)+(COUNTIF('Dvd Calendar'!$E$1123:$AR$1123,'Dvd Calendar'!$J$1116)=0))&gt;0)=0,"",'Dvd Calendar'!$J$1116*1000000000+ISNUMBER('Dvd Calendar'!$J$1119)*100000000+('Dvd Calendar'!$J$1121=SPECIAL_LBL)*10000000+(N('Dvd Calendar'!$J$1115)&gt;0)*(N('Dvd Calendar'!$J$1115)&lt;=VAL_SERIAL)*1000000+1*1000+6))</f>
        <v/>
      </c>
      <c r="EK116" s="121">
        <f>IF(N('Dvd Calendar'!$K$1116)=0,"",IF(('Dvd Calendar'!$K$1116&gt;=GRID_FROM)*('Dvd Calendar'!$K$1116&lt;=GRID_TO)*((('Dvd Calendar'!$K$1116&lt;=VAL_DATE)+(COUNTIF('Dvd Calendar'!$E$1123:$AR$1123,'Dvd Calendar'!$K$1116)=0))&gt;0)=0,"",'Dvd Calendar'!$K$1116*1000000000+ISNUMBER('Dvd Calendar'!$K$1119)*100000000+('Dvd Calendar'!$K$1121=SPECIAL_LBL)*10000000+(N('Dvd Calendar'!$K$1115)&gt;0)*(N('Dvd Calendar'!$K$1115)&lt;=VAL_SERIAL)*1000000+1*1000+7))</f>
        <v/>
      </c>
      <c r="EL116" s="121">
        <f>IF(N('Dvd Calendar'!$L$1116)=0,"",IF(('Dvd Calendar'!$L$1116&gt;=GRID_FROM)*('Dvd Calendar'!$L$1116&lt;=GRID_TO)*((('Dvd Calendar'!$L$1116&lt;=VAL_DATE)+(COUNTIF('Dvd Calendar'!$E$1123:$AR$1123,'Dvd Calendar'!$L$1116)=0))&gt;0)=0,"",'Dvd Calendar'!$L$1116*1000000000+ISNUMBER('Dvd Calendar'!$L$1119)*100000000+('Dvd Calendar'!$L$1121=SPECIAL_LBL)*10000000+(N('Dvd Calendar'!$L$1115)&gt;0)*(N('Dvd Calendar'!$L$1115)&lt;=VAL_SERIAL)*1000000+1*1000+8))</f>
        <v/>
      </c>
      <c r="EM116" s="121">
        <f>IF(N('Dvd Calendar'!$M$1116)=0,"",IF(('Dvd Calendar'!$M$1116&gt;=GRID_FROM)*('Dvd Calendar'!$M$1116&lt;=GRID_TO)*((('Dvd Calendar'!$M$1116&lt;=VAL_DATE)+(COUNTIF('Dvd Calendar'!$E$1123:$AR$1123,'Dvd Calendar'!$M$1116)=0))&gt;0)=0,"",'Dvd Calendar'!$M$1116*1000000000+ISNUMBER('Dvd Calendar'!$M$1119)*100000000+('Dvd Calendar'!$M$1121=SPECIAL_LBL)*10000000+(N('Dvd Calendar'!$M$1115)&gt;0)*(N('Dvd Calendar'!$M$1115)&lt;=VAL_SERIAL)*1000000+1*1000+9))</f>
        <v/>
      </c>
      <c r="EN116" s="121">
        <f>IF(N('Dvd Calendar'!$N$1116)=0,"",IF(('Dvd Calendar'!$N$1116&gt;=GRID_FROM)*('Dvd Calendar'!$N$1116&lt;=GRID_TO)*((('Dvd Calendar'!$N$1116&lt;=VAL_DATE)+(COUNTIF('Dvd Calendar'!$E$1123:$AR$1123,'Dvd Calendar'!$N$1116)=0))&gt;0)=0,"",'Dvd Calendar'!$N$1116*1000000000+ISNUMBER('Dvd Calendar'!$N$1119)*100000000+('Dvd Calendar'!$N$1121=SPECIAL_LBL)*10000000+(N('Dvd Calendar'!$N$1115)&gt;0)*(N('Dvd Calendar'!$N$1115)&lt;=VAL_SERIAL)*1000000+1*1000+10))</f>
        <v/>
      </c>
      <c r="EO116" s="121">
        <f>IF(N('Dvd Calendar'!$O$1116)=0,"",IF(('Dvd Calendar'!$O$1116&gt;=GRID_FROM)*('Dvd Calendar'!$O$1116&lt;=GRID_TO)*((('Dvd Calendar'!$O$1116&lt;=VAL_DATE)+(COUNTIF('Dvd Calendar'!$E$1123:$AR$1123,'Dvd Calendar'!$O$1116)=0))&gt;0)=0,"",'Dvd Calendar'!$O$1116*1000000000+ISNUMBER('Dvd Calendar'!$O$1119)*100000000+('Dvd Calendar'!$O$1121=SPECIAL_LBL)*10000000+(N('Dvd Calendar'!$O$1115)&gt;0)*(N('Dvd Calendar'!$O$1115)&lt;=VAL_SERIAL)*1000000+1*1000+11))</f>
        <v/>
      </c>
      <c r="EP116" s="121">
        <f>IF(N('Dvd Calendar'!$P$1116)=0,"",IF(('Dvd Calendar'!$P$1116&gt;=GRID_FROM)*('Dvd Calendar'!$P$1116&lt;=GRID_TO)*((('Dvd Calendar'!$P$1116&lt;=VAL_DATE)+(COUNTIF('Dvd Calendar'!$E$1123:$AR$1123,'Dvd Calendar'!$P$1116)=0))&gt;0)=0,"",'Dvd Calendar'!$P$1116*1000000000+ISNUMBER('Dvd Calendar'!$P$1119)*100000000+('Dvd Calendar'!$P$1121=SPECIAL_LBL)*10000000+(N('Dvd Calendar'!$P$1115)&gt;0)*(N('Dvd Calendar'!$P$1115)&lt;=VAL_SERIAL)*1000000+1*1000+12))</f>
        <v/>
      </c>
      <c r="EQ116" s="121">
        <f>IF(N('Dvd Calendar'!$Q$1116)=0,"",IF(('Dvd Calendar'!$Q$1116&gt;=GRID_FROM)*('Dvd Calendar'!$Q$1116&lt;=GRID_TO)*((('Dvd Calendar'!$Q$1116&lt;=VAL_DATE)+(COUNTIF('Dvd Calendar'!$E$1123:$AR$1123,'Dvd Calendar'!$Q$1116)=0))&gt;0)=0,"",'Dvd Calendar'!$Q$1116*1000000000+ISNUMBER('Dvd Calendar'!$Q$1119)*100000000+('Dvd Calendar'!$Q$1121=SPECIAL_LBL)*10000000+(N('Dvd Calendar'!$Q$1115)&gt;0)*(N('Dvd Calendar'!$Q$1115)&lt;=VAL_SERIAL)*1000000+1*1000+13))</f>
        <v/>
      </c>
      <c r="ER116" s="121">
        <f>IF(N('Dvd Calendar'!$R$1116)=0,"",IF(('Dvd Calendar'!$R$1116&gt;=GRID_FROM)*('Dvd Calendar'!$R$1116&lt;=GRID_TO)*((('Dvd Calendar'!$R$1116&lt;=VAL_DATE)+(COUNTIF('Dvd Calendar'!$E$1123:$AR$1123,'Dvd Calendar'!$R$1116)=0))&gt;0)=0,"",'Dvd Calendar'!$R$1116*1000000000+ISNUMBER('Dvd Calendar'!$R$1119)*100000000+('Dvd Calendar'!$R$1121=SPECIAL_LBL)*10000000+(N('Dvd Calendar'!$R$1115)&gt;0)*(N('Dvd Calendar'!$R$1115)&lt;=VAL_SERIAL)*1000000+1*1000+14))</f>
        <v/>
      </c>
      <c r="ES116" s="121">
        <f>IF(N('Dvd Calendar'!$S$1116)=0,"",IF(('Dvd Calendar'!$S$1116&gt;=GRID_FROM)*('Dvd Calendar'!$S$1116&lt;=GRID_TO)*((('Dvd Calendar'!$S$1116&lt;=VAL_DATE)+(COUNTIF('Dvd Calendar'!$E$1123:$AR$1123,'Dvd Calendar'!$S$1116)=0))&gt;0)=0,"",'Dvd Calendar'!$S$1116*1000000000+ISNUMBER('Dvd Calendar'!$S$1119)*100000000+('Dvd Calendar'!$S$1121=SPECIAL_LBL)*10000000+(N('Dvd Calendar'!$S$1115)&gt;0)*(N('Dvd Calendar'!$S$1115)&lt;=VAL_SERIAL)*1000000+1*1000+15))</f>
        <v/>
      </c>
      <c r="ET116" s="121">
        <f>IF(N('Dvd Calendar'!$T$1116)=0,"",IF(('Dvd Calendar'!$T$1116&gt;=GRID_FROM)*('Dvd Calendar'!$T$1116&lt;=GRID_TO)*((('Dvd Calendar'!$T$1116&lt;=VAL_DATE)+(COUNTIF('Dvd Calendar'!$E$1123:$AR$1123,'Dvd Calendar'!$T$1116)=0))&gt;0)=0,"",'Dvd Calendar'!$T$1116*1000000000+ISNUMBER('Dvd Calendar'!$T$1119)*100000000+('Dvd Calendar'!$T$1121=SPECIAL_LBL)*10000000+(N('Dvd Calendar'!$T$1115)&gt;0)*(N('Dvd Calendar'!$T$1115)&lt;=VAL_SERIAL)*1000000+1*1000+16))</f>
        <v/>
      </c>
      <c r="EU116" s="121">
        <f>IF(N('Dvd Calendar'!$U$1116)=0,"",IF(('Dvd Calendar'!$U$1116&gt;=GRID_FROM)*('Dvd Calendar'!$U$1116&lt;=GRID_TO)*((('Dvd Calendar'!$U$1116&lt;=VAL_DATE)+(COUNTIF('Dvd Calendar'!$E$1123:$AR$1123,'Dvd Calendar'!$U$1116)=0))&gt;0)=0,"",'Dvd Calendar'!$U$1116*1000000000+ISNUMBER('Dvd Calendar'!$U$1119)*100000000+('Dvd Calendar'!$U$1121=SPECIAL_LBL)*10000000+(N('Dvd Calendar'!$U$1115)&gt;0)*(N('Dvd Calendar'!$U$1115)&lt;=VAL_SERIAL)*1000000+1*1000+17))</f>
        <v/>
      </c>
      <c r="EV116" s="121">
        <f>IF(N('Dvd Calendar'!$V$1116)=0,"",IF(('Dvd Calendar'!$V$1116&gt;=GRID_FROM)*('Dvd Calendar'!$V$1116&lt;=GRID_TO)*((('Dvd Calendar'!$V$1116&lt;=VAL_DATE)+(COUNTIF('Dvd Calendar'!$E$1123:$AR$1123,'Dvd Calendar'!$V$1116)=0))&gt;0)=0,"",'Dvd Calendar'!$V$1116*1000000000+ISNUMBER('Dvd Calendar'!$V$1119)*100000000+('Dvd Calendar'!$V$1121=SPECIAL_LBL)*10000000+(N('Dvd Calendar'!$V$1115)&gt;0)*(N('Dvd Calendar'!$V$1115)&lt;=VAL_SERIAL)*1000000+1*1000+18))</f>
        <v/>
      </c>
      <c r="EW116" s="121">
        <f>IF(N('Dvd Calendar'!$W$1116)=0,"",IF(('Dvd Calendar'!$W$1116&gt;=GRID_FROM)*('Dvd Calendar'!$W$1116&lt;=GRID_TO)*((('Dvd Calendar'!$W$1116&lt;=VAL_DATE)+(COUNTIF('Dvd Calendar'!$E$1123:$AR$1123,'Dvd Calendar'!$W$1116)=0))&gt;0)=0,"",'Dvd Calendar'!$W$1116*1000000000+ISNUMBER('Dvd Calendar'!$W$1119)*100000000+('Dvd Calendar'!$W$1121=SPECIAL_LBL)*10000000+(N('Dvd Calendar'!$W$1115)&gt;0)*(N('Dvd Calendar'!$W$1115)&lt;=VAL_SERIAL)*1000000+1*1000+19))</f>
        <v/>
      </c>
      <c r="EX116" s="121">
        <f>IF(N('Dvd Calendar'!$X$1116)=0,"",IF(('Dvd Calendar'!$X$1116&gt;=GRID_FROM)*('Dvd Calendar'!$X$1116&lt;=GRID_TO)*((('Dvd Calendar'!$X$1116&lt;=VAL_DATE)+(COUNTIF('Dvd Calendar'!$E$1123:$AR$1123,'Dvd Calendar'!$X$1116)=0))&gt;0)=0,"",'Dvd Calendar'!$X$1116*1000000000+ISNUMBER('Dvd Calendar'!$X$1119)*100000000+('Dvd Calendar'!$X$1121=SPECIAL_LBL)*10000000+(N('Dvd Calendar'!$X$1115)&gt;0)*(N('Dvd Calendar'!$X$1115)&lt;=VAL_SERIAL)*1000000+1*1000+20))</f>
        <v/>
      </c>
      <c r="EY116" s="121">
        <f>IF(N('Dvd Calendar'!$Y$1116)=0,"",IF(('Dvd Calendar'!$Y$1116&gt;=GRID_FROM)*('Dvd Calendar'!$Y$1116&lt;=GRID_TO)*((('Dvd Calendar'!$Y$1116&lt;=VAL_DATE)+(COUNTIF('Dvd Calendar'!$E$1123:$AR$1123,'Dvd Calendar'!$Y$1116)=0))&gt;0)=0,"",'Dvd Calendar'!$Y$1116*1000000000+ISNUMBER('Dvd Calendar'!$Y$1119)*100000000+('Dvd Calendar'!$Y$1121=SPECIAL_LBL)*10000000+(N('Dvd Calendar'!$Y$1115)&gt;0)*(N('Dvd Calendar'!$Y$1115)&lt;=VAL_SERIAL)*1000000+1*1000+21))</f>
        <v/>
      </c>
      <c r="EZ116" s="121">
        <f>IF(N('Dvd Calendar'!$Z$1116)=0,"",IF(('Dvd Calendar'!$Z$1116&gt;=GRID_FROM)*('Dvd Calendar'!$Z$1116&lt;=GRID_TO)*((('Dvd Calendar'!$Z$1116&lt;=VAL_DATE)+(COUNTIF('Dvd Calendar'!$E$1123:$AR$1123,'Dvd Calendar'!$Z$1116)=0))&gt;0)=0,"",'Dvd Calendar'!$Z$1116*1000000000+ISNUMBER('Dvd Calendar'!$Z$1119)*100000000+('Dvd Calendar'!$Z$1121=SPECIAL_LBL)*10000000+(N('Dvd Calendar'!$Z$1115)&gt;0)*(N('Dvd Calendar'!$Z$1115)&lt;=VAL_SERIAL)*1000000+1*1000+22))</f>
        <v/>
      </c>
      <c r="FA116" s="121">
        <f>IF(N('Dvd Calendar'!$AA$1116)=0,"",IF(('Dvd Calendar'!$AA$1116&gt;=GRID_FROM)*('Dvd Calendar'!$AA$1116&lt;=GRID_TO)*((('Dvd Calendar'!$AA$1116&lt;=VAL_DATE)+(COUNTIF('Dvd Calendar'!$E$1123:$AR$1123,'Dvd Calendar'!$AA$1116)=0))&gt;0)=0,"",'Dvd Calendar'!$AA$1116*1000000000+ISNUMBER('Dvd Calendar'!$AA$1119)*100000000+('Dvd Calendar'!$AA$1121=SPECIAL_LBL)*10000000+(N('Dvd Calendar'!$AA$1115)&gt;0)*(N('Dvd Calendar'!$AA$1115)&lt;=VAL_SERIAL)*1000000+1*1000+23))</f>
        <v/>
      </c>
      <c r="FB116" s="121">
        <f>IF(N('Dvd Calendar'!$AB$1116)=0,"",IF(('Dvd Calendar'!$AB$1116&gt;=GRID_FROM)*('Dvd Calendar'!$AB$1116&lt;=GRID_TO)*((('Dvd Calendar'!$AB$1116&lt;=VAL_DATE)+(COUNTIF('Dvd Calendar'!$E$1123:$AR$1123,'Dvd Calendar'!$AB$1116)=0))&gt;0)=0,"",'Dvd Calendar'!$AB$1116*1000000000+ISNUMBER('Dvd Calendar'!$AB$1119)*100000000+('Dvd Calendar'!$AB$1121=SPECIAL_LBL)*10000000+(N('Dvd Calendar'!$AB$1115)&gt;0)*(N('Dvd Calendar'!$AB$1115)&lt;=VAL_SERIAL)*1000000+1*1000+24))</f>
        <v/>
      </c>
      <c r="FC116" s="121">
        <f>IF(N('Dvd Calendar'!$AC$1116)=0,"",IF(('Dvd Calendar'!$AC$1116&gt;=GRID_FROM)*('Dvd Calendar'!$AC$1116&lt;=GRID_TO)*((('Dvd Calendar'!$AC$1116&lt;=VAL_DATE)+(COUNTIF('Dvd Calendar'!$E$1123:$AR$1123,'Dvd Calendar'!$AC$1116)=0))&gt;0)=0,"",'Dvd Calendar'!$AC$1116*1000000000+ISNUMBER('Dvd Calendar'!$AC$1119)*100000000+('Dvd Calendar'!$AC$1121=SPECIAL_LBL)*10000000+(N('Dvd Calendar'!$AC$1115)&gt;0)*(N('Dvd Calendar'!$AC$1115)&lt;=VAL_SERIAL)*1000000+1*1000+25))</f>
        <v/>
      </c>
      <c r="FD116" s="121">
        <f>IF(N('Dvd Calendar'!$AD$1116)=0,"",IF(('Dvd Calendar'!$AD$1116&gt;=GRID_FROM)*('Dvd Calendar'!$AD$1116&lt;=GRID_TO)*((('Dvd Calendar'!$AD$1116&lt;=VAL_DATE)+(COUNTIF('Dvd Calendar'!$E$1123:$AR$1123,'Dvd Calendar'!$AD$1116)=0))&gt;0)=0,"",'Dvd Calendar'!$AD$1116*1000000000+ISNUMBER('Dvd Calendar'!$AD$1119)*100000000+('Dvd Calendar'!$AD$1121=SPECIAL_LBL)*10000000+(N('Dvd Calendar'!$AD$1115)&gt;0)*(N('Dvd Calendar'!$AD$1115)&lt;=VAL_SERIAL)*1000000+1*1000+26))</f>
        <v/>
      </c>
      <c r="FE116" s="121">
        <f>IF(N('Dvd Calendar'!$AE$1116)=0,"",IF(('Dvd Calendar'!$AE$1116&gt;=GRID_FROM)*('Dvd Calendar'!$AE$1116&lt;=GRID_TO)*((('Dvd Calendar'!$AE$1116&lt;=VAL_DATE)+(COUNTIF('Dvd Calendar'!$E$1123:$AR$1123,'Dvd Calendar'!$AE$1116)=0))&gt;0)=0,"",'Dvd Calendar'!$AE$1116*1000000000+ISNUMBER('Dvd Calendar'!$AE$1119)*100000000+('Dvd Calendar'!$AE$1121=SPECIAL_LBL)*10000000+(N('Dvd Calendar'!$AE$1115)&gt;0)*(N('Dvd Calendar'!$AE$1115)&lt;=VAL_SERIAL)*1000000+1*1000+27))</f>
        <v/>
      </c>
      <c r="FF116" s="121">
        <f>IF(N('Dvd Calendar'!$AF$1116)=0,"",IF(('Dvd Calendar'!$AF$1116&gt;=GRID_FROM)*('Dvd Calendar'!$AF$1116&lt;=GRID_TO)*((('Dvd Calendar'!$AF$1116&lt;=VAL_DATE)+(COUNTIF('Dvd Calendar'!$E$1123:$AR$1123,'Dvd Calendar'!$AF$1116)=0))&gt;0)=0,"",'Dvd Calendar'!$AF$1116*1000000000+ISNUMBER('Dvd Calendar'!$AF$1119)*100000000+('Dvd Calendar'!$AF$1121=SPECIAL_LBL)*10000000+(N('Dvd Calendar'!$AF$1115)&gt;0)*(N('Dvd Calendar'!$AF$1115)&lt;=VAL_SERIAL)*1000000+1*1000+28))</f>
        <v/>
      </c>
      <c r="FG116" s="121">
        <f>IF(N('Dvd Calendar'!$AG$1116)=0,"",IF(('Dvd Calendar'!$AG$1116&gt;=GRID_FROM)*('Dvd Calendar'!$AG$1116&lt;=GRID_TO)*((('Dvd Calendar'!$AG$1116&lt;=VAL_DATE)+(COUNTIF('Dvd Calendar'!$E$1123:$AR$1123,'Dvd Calendar'!$AG$1116)=0))&gt;0)=0,"",'Dvd Calendar'!$AG$1116*1000000000+ISNUMBER('Dvd Calendar'!$AG$1119)*100000000+('Dvd Calendar'!$AG$1121=SPECIAL_LBL)*10000000+(N('Dvd Calendar'!$AG$1115)&gt;0)*(N('Dvd Calendar'!$AG$1115)&lt;=VAL_SERIAL)*1000000+1*1000+29))</f>
        <v/>
      </c>
      <c r="FH116" s="121">
        <f>IF(N('Dvd Calendar'!$AH$1116)=0,"",IF(('Dvd Calendar'!$AH$1116&gt;=GRID_FROM)*('Dvd Calendar'!$AH$1116&lt;=GRID_TO)*((('Dvd Calendar'!$AH$1116&lt;=VAL_DATE)+(COUNTIF('Dvd Calendar'!$E$1123:$AR$1123,'Dvd Calendar'!$AH$1116)=0))&gt;0)=0,"",'Dvd Calendar'!$AH$1116*1000000000+ISNUMBER('Dvd Calendar'!$AH$1119)*100000000+('Dvd Calendar'!$AH$1121=SPECIAL_LBL)*10000000+(N('Dvd Calendar'!$AH$1115)&gt;0)*(N('Dvd Calendar'!$AH$1115)&lt;=VAL_SERIAL)*1000000+1*1000+30))</f>
        <v/>
      </c>
      <c r="FI116" s="121">
        <f>IF(N('Dvd Calendar'!$AI$1116)=0,"",IF(('Dvd Calendar'!$AI$1116&gt;=GRID_FROM)*('Dvd Calendar'!$AI$1116&lt;=GRID_TO)*((('Dvd Calendar'!$AI$1116&lt;=VAL_DATE)+(COUNTIF('Dvd Calendar'!$E$1123:$AR$1123,'Dvd Calendar'!$AI$1116)=0))&gt;0)=0,"",'Dvd Calendar'!$AI$1116*1000000000+ISNUMBER('Dvd Calendar'!$AI$1119)*100000000+('Dvd Calendar'!$AI$1121=SPECIAL_LBL)*10000000+(N('Dvd Calendar'!$AI$1115)&gt;0)*(N('Dvd Calendar'!$AI$1115)&lt;=VAL_SERIAL)*1000000+1*1000+31))</f>
        <v/>
      </c>
      <c r="FJ116" s="121">
        <f>IF(N('Dvd Calendar'!$AJ$1116)=0,"",IF(('Dvd Calendar'!$AJ$1116&gt;=GRID_FROM)*('Dvd Calendar'!$AJ$1116&lt;=GRID_TO)*((('Dvd Calendar'!$AJ$1116&lt;=VAL_DATE)+(COUNTIF('Dvd Calendar'!$E$1123:$AR$1123,'Dvd Calendar'!$AJ$1116)=0))&gt;0)=0,"",'Dvd Calendar'!$AJ$1116*1000000000+ISNUMBER('Dvd Calendar'!$AJ$1119)*100000000+('Dvd Calendar'!$AJ$1121=SPECIAL_LBL)*10000000+(N('Dvd Calendar'!$AJ$1115)&gt;0)*(N('Dvd Calendar'!$AJ$1115)&lt;=VAL_SERIAL)*1000000+1*1000+32))</f>
        <v/>
      </c>
      <c r="FK116" s="121">
        <f>IF(N('Dvd Calendar'!$AK$1116)=0,"",IF(('Dvd Calendar'!$AK$1116&gt;=GRID_FROM)*('Dvd Calendar'!$AK$1116&lt;=GRID_TO)*((('Dvd Calendar'!$AK$1116&lt;=VAL_DATE)+(COUNTIF('Dvd Calendar'!$E$1123:$AR$1123,'Dvd Calendar'!$AK$1116)=0))&gt;0)=0,"",'Dvd Calendar'!$AK$1116*1000000000+ISNUMBER('Dvd Calendar'!$AK$1119)*100000000+('Dvd Calendar'!$AK$1121=SPECIAL_LBL)*10000000+(N('Dvd Calendar'!$AK$1115)&gt;0)*(N('Dvd Calendar'!$AK$1115)&lt;=VAL_SERIAL)*1000000+1*1000+33))</f>
        <v/>
      </c>
      <c r="FL116" s="121">
        <f>IF(N('Dvd Calendar'!$AL$1116)=0,"",IF(('Dvd Calendar'!$AL$1116&gt;=GRID_FROM)*('Dvd Calendar'!$AL$1116&lt;=GRID_TO)*((('Dvd Calendar'!$AL$1116&lt;=VAL_DATE)+(COUNTIF('Dvd Calendar'!$E$1123:$AR$1123,'Dvd Calendar'!$AL$1116)=0))&gt;0)=0,"",'Dvd Calendar'!$AL$1116*1000000000+ISNUMBER('Dvd Calendar'!$AL$1119)*100000000+('Dvd Calendar'!$AL$1121=SPECIAL_LBL)*10000000+(N('Dvd Calendar'!$AL$1115)&gt;0)*(N('Dvd Calendar'!$AL$1115)&lt;=VAL_SERIAL)*1000000+1*1000+34))</f>
        <v/>
      </c>
      <c r="FM116" s="121">
        <f>IF(N('Dvd Calendar'!$AM$1116)=0,"",IF(('Dvd Calendar'!$AM$1116&gt;=GRID_FROM)*('Dvd Calendar'!$AM$1116&lt;=GRID_TO)*((('Dvd Calendar'!$AM$1116&lt;=VAL_DATE)+(COUNTIF('Dvd Calendar'!$E$1123:$AR$1123,'Dvd Calendar'!$AM$1116)=0))&gt;0)=0,"",'Dvd Calendar'!$AM$1116*1000000000+ISNUMBER('Dvd Calendar'!$AM$1119)*100000000+('Dvd Calendar'!$AM$1121=SPECIAL_LBL)*10000000+(N('Dvd Calendar'!$AM$1115)&gt;0)*(N('Dvd Calendar'!$AM$1115)&lt;=VAL_SERIAL)*1000000+1*1000+35))</f>
        <v/>
      </c>
      <c r="FN116" s="121">
        <f>IF(N('Dvd Calendar'!$AN$1116)=0,"",IF(('Dvd Calendar'!$AN$1116&gt;=GRID_FROM)*('Dvd Calendar'!$AN$1116&lt;=GRID_TO)*((('Dvd Calendar'!$AN$1116&lt;=VAL_DATE)+(COUNTIF('Dvd Calendar'!$E$1123:$AR$1123,'Dvd Calendar'!$AN$1116)=0))&gt;0)=0,"",'Dvd Calendar'!$AN$1116*1000000000+ISNUMBER('Dvd Calendar'!$AN$1119)*100000000+('Dvd Calendar'!$AN$1121=SPECIAL_LBL)*10000000+(N('Dvd Calendar'!$AN$1115)&gt;0)*(N('Dvd Calendar'!$AN$1115)&lt;=VAL_SERIAL)*1000000+1*1000+36))</f>
        <v/>
      </c>
      <c r="FO116" s="121">
        <f>IF(N('Dvd Calendar'!$AO$1116)=0,"",IF(('Dvd Calendar'!$AO$1116&gt;=GRID_FROM)*('Dvd Calendar'!$AO$1116&lt;=GRID_TO)*((('Dvd Calendar'!$AO$1116&lt;=VAL_DATE)+(COUNTIF('Dvd Calendar'!$E$1123:$AR$1123,'Dvd Calendar'!$AO$1116)=0))&gt;0)=0,"",'Dvd Calendar'!$AO$1116*1000000000+ISNUMBER('Dvd Calendar'!$AO$1119)*100000000+('Dvd Calendar'!$AO$1121=SPECIAL_LBL)*10000000+(N('Dvd Calendar'!$AO$1115)&gt;0)*(N('Dvd Calendar'!$AO$1115)&lt;=VAL_SERIAL)*1000000+1*1000+37))</f>
        <v/>
      </c>
      <c r="FP116" s="121">
        <f>IF(N('Dvd Calendar'!$AP$1116)=0,"",IF(('Dvd Calendar'!$AP$1116&gt;=GRID_FROM)*('Dvd Calendar'!$AP$1116&lt;=GRID_TO)*((('Dvd Calendar'!$AP$1116&lt;=VAL_DATE)+(COUNTIF('Dvd Calendar'!$E$1123:$AR$1123,'Dvd Calendar'!$AP$1116)=0))&gt;0)=0,"",'Dvd Calendar'!$AP$1116*1000000000+ISNUMBER('Dvd Calendar'!$AP$1119)*100000000+('Dvd Calendar'!$AP$1121=SPECIAL_LBL)*10000000+(N('Dvd Calendar'!$AP$1115)&gt;0)*(N('Dvd Calendar'!$AP$1115)&lt;=VAL_SERIAL)*1000000+1*1000+38))</f>
        <v/>
      </c>
      <c r="FQ116" s="121">
        <f>IF(N('Dvd Calendar'!$AQ$1116)=0,"",IF(('Dvd Calendar'!$AQ$1116&gt;=GRID_FROM)*('Dvd Calendar'!$AQ$1116&lt;=GRID_TO)*((('Dvd Calendar'!$AQ$1116&lt;=VAL_DATE)+(COUNTIF('Dvd Calendar'!$E$1123:$AR$1123,'Dvd Calendar'!$AQ$1116)=0))&gt;0)=0,"",'Dvd Calendar'!$AQ$1116*1000000000+ISNUMBER('Dvd Calendar'!$AQ$1119)*100000000+('Dvd Calendar'!$AQ$1121=SPECIAL_LBL)*10000000+(N('Dvd Calendar'!$AQ$1115)&gt;0)*(N('Dvd Calendar'!$AQ$1115)&lt;=VAL_SERIAL)*1000000+1*1000+39))</f>
        <v/>
      </c>
      <c r="FR116" s="121">
        <f>IF(N('Dvd Calendar'!$AR$1116)=0,"",IF(('Dvd Calendar'!$AR$1116&gt;=GRID_FROM)*('Dvd Calendar'!$AR$1116&lt;=GRID_TO)*((('Dvd Calendar'!$AR$1116&lt;=VAL_DATE)+(COUNTIF('Dvd Calendar'!$E$1123:$AR$1123,'Dvd Calendar'!$AR$1116)=0))&gt;0)=0,"",'Dvd Calendar'!$AR$1116*1000000000+ISNUMBER('Dvd Calendar'!$AR$1119)*100000000+('Dvd Calendar'!$AR$1121=SPECIAL_LBL)*10000000+(N('Dvd Calendar'!$AR$1115)&gt;0)*(N('Dvd Calendar'!$AR$1115)&lt;=VAL_SERIAL)*1000000+1*1000+40))</f>
        <v/>
      </c>
      <c r="FS116" s="121">
        <f>IF(N('Dvd Calendar'!$E$1123)=0,"",IF(('Dvd Calendar'!$E$1123&gt;=GRID_FROM)*('Dvd Calendar'!$E$1123&lt;=GRID_TO)*('Dvd Calendar'!$E$1123&gt;VAL_DATE)=0,"",'Dvd Calendar'!$E$1123*1000000000+ISNUMBER('Dvd Calendar'!$E$1124)*100000000+0*10000000+(N('Dvd Calendar'!$E$1122)&gt;0)*(N('Dvd Calendar'!$E$1122)&lt;=VAL_SERIAL)*1000000+1*1000+41))</f>
        <v/>
      </c>
      <c r="FT116" s="121">
        <f>IF(N('Dvd Calendar'!$F$1123)=0,"",IF(('Dvd Calendar'!$F$1123&gt;=GRID_FROM)*('Dvd Calendar'!$F$1123&lt;=GRID_TO)*('Dvd Calendar'!$F$1123&gt;VAL_DATE)=0,"",'Dvd Calendar'!$F$1123*1000000000+ISNUMBER('Dvd Calendar'!$F$1124)*100000000+0*10000000+(N('Dvd Calendar'!$F$1122)&gt;0)*(N('Dvd Calendar'!$F$1122)&lt;=VAL_SERIAL)*1000000+1*1000+42))</f>
        <v/>
      </c>
      <c r="FU116" s="121">
        <f>IF(N('Dvd Calendar'!$G$1123)=0,"",IF(('Dvd Calendar'!$G$1123&gt;=GRID_FROM)*('Dvd Calendar'!$G$1123&lt;=GRID_TO)*('Dvd Calendar'!$G$1123&gt;VAL_DATE)=0,"",'Dvd Calendar'!$G$1123*1000000000+ISNUMBER('Dvd Calendar'!$G$1124)*100000000+0*10000000+(N('Dvd Calendar'!$G$1122)&gt;0)*(N('Dvd Calendar'!$G$1122)&lt;=VAL_SERIAL)*1000000+1*1000+43))</f>
        <v/>
      </c>
      <c r="FV116" s="121">
        <f>IF(N('Dvd Calendar'!$H$1123)=0,"",IF(('Dvd Calendar'!$H$1123&gt;=GRID_FROM)*('Dvd Calendar'!$H$1123&lt;=GRID_TO)*('Dvd Calendar'!$H$1123&gt;VAL_DATE)=0,"",'Dvd Calendar'!$H$1123*1000000000+ISNUMBER('Dvd Calendar'!$H$1124)*100000000+0*10000000+(N('Dvd Calendar'!$H$1122)&gt;0)*(N('Dvd Calendar'!$H$1122)&lt;=VAL_SERIAL)*1000000+1*1000+44))</f>
        <v/>
      </c>
      <c r="FW116" s="121">
        <f>IF(N('Dvd Calendar'!$I$1123)=0,"",IF(('Dvd Calendar'!$I$1123&gt;=GRID_FROM)*('Dvd Calendar'!$I$1123&lt;=GRID_TO)*('Dvd Calendar'!$I$1123&gt;VAL_DATE)=0,"",'Dvd Calendar'!$I$1123*1000000000+ISNUMBER('Dvd Calendar'!$I$1124)*100000000+0*10000000+(N('Dvd Calendar'!$I$1122)&gt;0)*(N('Dvd Calendar'!$I$1122)&lt;=VAL_SERIAL)*1000000+1*1000+45))</f>
        <v/>
      </c>
      <c r="FX116" s="121">
        <f>IF(N('Dvd Calendar'!$J$1123)=0,"",IF(('Dvd Calendar'!$J$1123&gt;=GRID_FROM)*('Dvd Calendar'!$J$1123&lt;=GRID_TO)*('Dvd Calendar'!$J$1123&gt;VAL_DATE)=0,"",'Dvd Calendar'!$J$1123*1000000000+ISNUMBER('Dvd Calendar'!$J$1124)*100000000+0*10000000+(N('Dvd Calendar'!$J$1122)&gt;0)*(N('Dvd Calendar'!$J$1122)&lt;=VAL_SERIAL)*1000000+1*1000+46))</f>
        <v/>
      </c>
      <c r="FY116" s="121">
        <f>IF(N('Dvd Calendar'!$K$1123)=0,"",IF(('Dvd Calendar'!$K$1123&gt;=GRID_FROM)*('Dvd Calendar'!$K$1123&lt;=GRID_TO)*('Dvd Calendar'!$K$1123&gt;VAL_DATE)=0,"",'Dvd Calendar'!$K$1123*1000000000+ISNUMBER('Dvd Calendar'!$K$1124)*100000000+0*10000000+(N('Dvd Calendar'!$K$1122)&gt;0)*(N('Dvd Calendar'!$K$1122)&lt;=VAL_SERIAL)*1000000+1*1000+47))</f>
        <v/>
      </c>
      <c r="FZ116" s="121">
        <f>IF(N('Dvd Calendar'!$L$1123)=0,"",IF(('Dvd Calendar'!$L$1123&gt;=GRID_FROM)*('Dvd Calendar'!$L$1123&lt;=GRID_TO)*('Dvd Calendar'!$L$1123&gt;VAL_DATE)=0,"",'Dvd Calendar'!$L$1123*1000000000+ISNUMBER('Dvd Calendar'!$L$1124)*100000000+0*10000000+(N('Dvd Calendar'!$L$1122)&gt;0)*(N('Dvd Calendar'!$L$1122)&lt;=VAL_SERIAL)*1000000+1*1000+48))</f>
        <v/>
      </c>
      <c r="GA116" s="121">
        <f>IF(N('Dvd Calendar'!$M$1123)=0,"",IF(('Dvd Calendar'!$M$1123&gt;=GRID_FROM)*('Dvd Calendar'!$M$1123&lt;=GRID_TO)*('Dvd Calendar'!$M$1123&gt;VAL_DATE)=0,"",'Dvd Calendar'!$M$1123*1000000000+ISNUMBER('Dvd Calendar'!$M$1124)*100000000+0*10000000+(N('Dvd Calendar'!$M$1122)&gt;0)*(N('Dvd Calendar'!$M$1122)&lt;=VAL_SERIAL)*1000000+1*1000+49))</f>
        <v/>
      </c>
      <c r="GB116" s="121">
        <f>IF(N('Dvd Calendar'!$N$1123)=0,"",IF(('Dvd Calendar'!$N$1123&gt;=GRID_FROM)*('Dvd Calendar'!$N$1123&lt;=GRID_TO)*('Dvd Calendar'!$N$1123&gt;VAL_DATE)=0,"",'Dvd Calendar'!$N$1123*1000000000+ISNUMBER('Dvd Calendar'!$N$1124)*100000000+0*10000000+(N('Dvd Calendar'!$N$1122)&gt;0)*(N('Dvd Calendar'!$N$1122)&lt;=VAL_SERIAL)*1000000+1*1000+50))</f>
        <v/>
      </c>
      <c r="GC116" s="121">
        <f>IF(N('Dvd Calendar'!$O$1123)=0,"",IF(('Dvd Calendar'!$O$1123&gt;=GRID_FROM)*('Dvd Calendar'!$O$1123&lt;=GRID_TO)*('Dvd Calendar'!$O$1123&gt;VAL_DATE)=0,"",'Dvd Calendar'!$O$1123*1000000000+ISNUMBER('Dvd Calendar'!$O$1124)*100000000+0*10000000+(N('Dvd Calendar'!$O$1122)&gt;0)*(N('Dvd Calendar'!$O$1122)&lt;=VAL_SERIAL)*1000000+1*1000+51))</f>
        <v/>
      </c>
      <c r="GD116" s="121">
        <f>IF(N('Dvd Calendar'!$P$1123)=0,"",IF(('Dvd Calendar'!$P$1123&gt;=GRID_FROM)*('Dvd Calendar'!$P$1123&lt;=GRID_TO)*('Dvd Calendar'!$P$1123&gt;VAL_DATE)=0,"",'Dvd Calendar'!$P$1123*1000000000+ISNUMBER('Dvd Calendar'!$P$1124)*100000000+0*10000000+(N('Dvd Calendar'!$P$1122)&gt;0)*(N('Dvd Calendar'!$P$1122)&lt;=VAL_SERIAL)*1000000+1*1000+52))</f>
        <v/>
      </c>
      <c r="GE116" s="121">
        <f>IF(N('Dvd Calendar'!$Q$1123)=0,"",IF(('Dvd Calendar'!$Q$1123&gt;=GRID_FROM)*('Dvd Calendar'!$Q$1123&lt;=GRID_TO)*('Dvd Calendar'!$Q$1123&gt;VAL_DATE)=0,"",'Dvd Calendar'!$Q$1123*1000000000+ISNUMBER('Dvd Calendar'!$Q$1124)*100000000+0*10000000+(N('Dvd Calendar'!$Q$1122)&gt;0)*(N('Dvd Calendar'!$Q$1122)&lt;=VAL_SERIAL)*1000000+1*1000+53))</f>
        <v/>
      </c>
      <c r="GF116" s="121">
        <f>IF(N('Dvd Calendar'!$R$1123)=0,"",IF(('Dvd Calendar'!$R$1123&gt;=GRID_FROM)*('Dvd Calendar'!$R$1123&lt;=GRID_TO)*('Dvd Calendar'!$R$1123&gt;VAL_DATE)=0,"",'Dvd Calendar'!$R$1123*1000000000+ISNUMBER('Dvd Calendar'!$R$1124)*100000000+0*10000000+(N('Dvd Calendar'!$R$1122)&gt;0)*(N('Dvd Calendar'!$R$1122)&lt;=VAL_SERIAL)*1000000+1*1000+54))</f>
        <v/>
      </c>
      <c r="GG116" s="121">
        <f>IF(N('Dvd Calendar'!$S$1123)=0,"",IF(('Dvd Calendar'!$S$1123&gt;=GRID_FROM)*('Dvd Calendar'!$S$1123&lt;=GRID_TO)*('Dvd Calendar'!$S$1123&gt;VAL_DATE)=0,"",'Dvd Calendar'!$S$1123*1000000000+ISNUMBER('Dvd Calendar'!$S$1124)*100000000+0*10000000+(N('Dvd Calendar'!$S$1122)&gt;0)*(N('Dvd Calendar'!$S$1122)&lt;=VAL_SERIAL)*1000000+1*1000+55))</f>
        <v/>
      </c>
      <c r="GH116" s="121">
        <f>IF(N('Dvd Calendar'!$T$1123)=0,"",IF(('Dvd Calendar'!$T$1123&gt;=GRID_FROM)*('Dvd Calendar'!$T$1123&lt;=GRID_TO)*('Dvd Calendar'!$T$1123&gt;VAL_DATE)=0,"",'Dvd Calendar'!$T$1123*1000000000+ISNUMBER('Dvd Calendar'!$T$1124)*100000000+0*10000000+(N('Dvd Calendar'!$T$1122)&gt;0)*(N('Dvd Calendar'!$T$1122)&lt;=VAL_SERIAL)*1000000+1*1000+56))</f>
        <v/>
      </c>
      <c r="GI116" s="121">
        <f>IF(N('Dvd Calendar'!$U$1123)=0,"",IF(('Dvd Calendar'!$U$1123&gt;=GRID_FROM)*('Dvd Calendar'!$U$1123&lt;=GRID_TO)*('Dvd Calendar'!$U$1123&gt;VAL_DATE)=0,"",'Dvd Calendar'!$U$1123*1000000000+ISNUMBER('Dvd Calendar'!$U$1124)*100000000+0*10000000+(N('Dvd Calendar'!$U$1122)&gt;0)*(N('Dvd Calendar'!$U$1122)&lt;=VAL_SERIAL)*1000000+1*1000+57))</f>
        <v/>
      </c>
      <c r="GJ116" s="121">
        <f>IF(N('Dvd Calendar'!$V$1123)=0,"",IF(('Dvd Calendar'!$V$1123&gt;=GRID_FROM)*('Dvd Calendar'!$V$1123&lt;=GRID_TO)*('Dvd Calendar'!$V$1123&gt;VAL_DATE)=0,"",'Dvd Calendar'!$V$1123*1000000000+ISNUMBER('Dvd Calendar'!$V$1124)*100000000+0*10000000+(N('Dvd Calendar'!$V$1122)&gt;0)*(N('Dvd Calendar'!$V$1122)&lt;=VAL_SERIAL)*1000000+1*1000+58))</f>
        <v/>
      </c>
      <c r="GK116" s="121">
        <f>IF(N('Dvd Calendar'!$W$1123)=0,"",IF(('Dvd Calendar'!$W$1123&gt;=GRID_FROM)*('Dvd Calendar'!$W$1123&lt;=GRID_TO)*('Dvd Calendar'!$W$1123&gt;VAL_DATE)=0,"",'Dvd Calendar'!$W$1123*1000000000+ISNUMBER('Dvd Calendar'!$W$1124)*100000000+0*10000000+(N('Dvd Calendar'!$W$1122)&gt;0)*(N('Dvd Calendar'!$W$1122)&lt;=VAL_SERIAL)*1000000+1*1000+59))</f>
        <v/>
      </c>
      <c r="GL116" s="121">
        <f>IF(N('Dvd Calendar'!$X$1123)=0,"",IF(('Dvd Calendar'!$X$1123&gt;=GRID_FROM)*('Dvd Calendar'!$X$1123&lt;=GRID_TO)*('Dvd Calendar'!$X$1123&gt;VAL_DATE)=0,"",'Dvd Calendar'!$X$1123*1000000000+ISNUMBER('Dvd Calendar'!$X$1124)*100000000+0*10000000+(N('Dvd Calendar'!$X$1122)&gt;0)*(N('Dvd Calendar'!$X$1122)&lt;=VAL_SERIAL)*1000000+1*1000+60))</f>
        <v/>
      </c>
      <c r="GM116" s="121">
        <f>IF(N('Dvd Calendar'!$Y$1123)=0,"",IF(('Dvd Calendar'!$Y$1123&gt;=GRID_FROM)*('Dvd Calendar'!$Y$1123&lt;=GRID_TO)*('Dvd Calendar'!$Y$1123&gt;VAL_DATE)=0,"",'Dvd Calendar'!$Y$1123*1000000000+ISNUMBER('Dvd Calendar'!$Y$1124)*100000000+0*10000000+(N('Dvd Calendar'!$Y$1122)&gt;0)*(N('Dvd Calendar'!$Y$1122)&lt;=VAL_SERIAL)*1000000+1*1000+61))</f>
        <v/>
      </c>
      <c r="GN116" s="121">
        <f>IF(N('Dvd Calendar'!$Z$1123)=0,"",IF(('Dvd Calendar'!$Z$1123&gt;=GRID_FROM)*('Dvd Calendar'!$Z$1123&lt;=GRID_TO)*('Dvd Calendar'!$Z$1123&gt;VAL_DATE)=0,"",'Dvd Calendar'!$Z$1123*1000000000+ISNUMBER('Dvd Calendar'!$Z$1124)*100000000+0*10000000+(N('Dvd Calendar'!$Z$1122)&gt;0)*(N('Dvd Calendar'!$Z$1122)&lt;=VAL_SERIAL)*1000000+1*1000+62))</f>
        <v/>
      </c>
      <c r="GO116" s="121">
        <f>IF(N('Dvd Calendar'!$AA$1123)=0,"",IF(('Dvd Calendar'!$AA$1123&gt;=GRID_FROM)*('Dvd Calendar'!$AA$1123&lt;=GRID_TO)*('Dvd Calendar'!$AA$1123&gt;VAL_DATE)=0,"",'Dvd Calendar'!$AA$1123*1000000000+ISNUMBER('Dvd Calendar'!$AA$1124)*100000000+0*10000000+(N('Dvd Calendar'!$AA$1122)&gt;0)*(N('Dvd Calendar'!$AA$1122)&lt;=VAL_SERIAL)*1000000+1*1000+63))</f>
        <v/>
      </c>
      <c r="GP116" s="121">
        <f>IF(N('Dvd Calendar'!$AB$1123)=0,"",IF(('Dvd Calendar'!$AB$1123&gt;=GRID_FROM)*('Dvd Calendar'!$AB$1123&lt;=GRID_TO)*('Dvd Calendar'!$AB$1123&gt;VAL_DATE)=0,"",'Dvd Calendar'!$AB$1123*1000000000+ISNUMBER('Dvd Calendar'!$AB$1124)*100000000+0*10000000+(N('Dvd Calendar'!$AB$1122)&gt;0)*(N('Dvd Calendar'!$AB$1122)&lt;=VAL_SERIAL)*1000000+1*1000+64))</f>
        <v/>
      </c>
      <c r="GQ116" s="121">
        <f>IF(N('Dvd Calendar'!$AC$1123)=0,"",IF(('Dvd Calendar'!$AC$1123&gt;=GRID_FROM)*('Dvd Calendar'!$AC$1123&lt;=GRID_TO)*('Dvd Calendar'!$AC$1123&gt;VAL_DATE)=0,"",'Dvd Calendar'!$AC$1123*1000000000+ISNUMBER('Dvd Calendar'!$AC$1124)*100000000+0*10000000+(N('Dvd Calendar'!$AC$1122)&gt;0)*(N('Dvd Calendar'!$AC$1122)&lt;=VAL_SERIAL)*1000000+1*1000+65))</f>
        <v/>
      </c>
    </row>
    <row r="117">
      <c r="B117" s="2">
        <f>IF(HSTECH!$C$8="","",HSTECH!$C$8)</f>
        <v/>
      </c>
      <c r="C117" s="161">
        <f>IF(EE117="","",IF(ISNUMBER('Dvd Calendar'!$E$1130)=FALSE,"",IF((('Dvd Calendar'!$E$1132=TYPE1)*(TYPE1&lt;&gt;"")+('Dvd Calendar'!$E$1132=TYPE2)*(TYPE2&lt;&gt;"")+('Dvd Calendar'!$E$1132=TYPE3)*(TYPE3&lt;&gt;"")+('Dvd Calendar'!$E$1132=TYPE4)*(TYPE4&lt;&gt;"")+('Dvd Calendar'!$E$1132=SPECIAL_LBL)*(INC_SPECIALS="Y"))=0,"",'Dvd Calendar'!$E$1130)))</f>
        <v/>
      </c>
      <c r="D117" s="161">
        <f>IF(EF117="","",IF(ISNUMBER('Dvd Calendar'!$F$1130)=FALSE,"",IF((('Dvd Calendar'!$F$1132=TYPE1)*(TYPE1&lt;&gt;"")+('Dvd Calendar'!$F$1132=TYPE2)*(TYPE2&lt;&gt;"")+('Dvd Calendar'!$F$1132=TYPE3)*(TYPE3&lt;&gt;"")+('Dvd Calendar'!$F$1132=TYPE4)*(TYPE4&lt;&gt;"")+('Dvd Calendar'!$F$1132=SPECIAL_LBL)*(INC_SPECIALS="Y"))=0,"",'Dvd Calendar'!$F$1130)))</f>
        <v/>
      </c>
      <c r="E117" s="161">
        <f>IF(EG117="","",IF(ISNUMBER('Dvd Calendar'!$G$1130)=FALSE,"",IF((('Dvd Calendar'!$G$1132=TYPE1)*(TYPE1&lt;&gt;"")+('Dvd Calendar'!$G$1132=TYPE2)*(TYPE2&lt;&gt;"")+('Dvd Calendar'!$G$1132=TYPE3)*(TYPE3&lt;&gt;"")+('Dvd Calendar'!$G$1132=TYPE4)*(TYPE4&lt;&gt;"")+('Dvd Calendar'!$G$1132=SPECIAL_LBL)*(INC_SPECIALS="Y"))=0,"",'Dvd Calendar'!$G$1130)))</f>
        <v/>
      </c>
      <c r="F117" s="161">
        <f>IF(EH117="","",IF(ISNUMBER('Dvd Calendar'!$H$1130)=FALSE,"",IF((('Dvd Calendar'!$H$1132=TYPE1)*(TYPE1&lt;&gt;"")+('Dvd Calendar'!$H$1132=TYPE2)*(TYPE2&lt;&gt;"")+('Dvd Calendar'!$H$1132=TYPE3)*(TYPE3&lt;&gt;"")+('Dvd Calendar'!$H$1132=TYPE4)*(TYPE4&lt;&gt;"")+('Dvd Calendar'!$H$1132=SPECIAL_LBL)*(INC_SPECIALS="Y"))=0,"",'Dvd Calendar'!$H$1130)))</f>
        <v/>
      </c>
      <c r="G117" s="161">
        <f>IF(EI117="","",IF(ISNUMBER('Dvd Calendar'!$I$1130)=FALSE,"",IF((('Dvd Calendar'!$I$1132=TYPE1)*(TYPE1&lt;&gt;"")+('Dvd Calendar'!$I$1132=TYPE2)*(TYPE2&lt;&gt;"")+('Dvd Calendar'!$I$1132=TYPE3)*(TYPE3&lt;&gt;"")+('Dvd Calendar'!$I$1132=TYPE4)*(TYPE4&lt;&gt;"")+('Dvd Calendar'!$I$1132=SPECIAL_LBL)*(INC_SPECIALS="Y"))=0,"",'Dvd Calendar'!$I$1130)))</f>
        <v/>
      </c>
      <c r="H117" s="161">
        <f>IF(EJ117="","",IF(ISNUMBER('Dvd Calendar'!$J$1130)=FALSE,"",IF((('Dvd Calendar'!$J$1132=TYPE1)*(TYPE1&lt;&gt;"")+('Dvd Calendar'!$J$1132=TYPE2)*(TYPE2&lt;&gt;"")+('Dvd Calendar'!$J$1132=TYPE3)*(TYPE3&lt;&gt;"")+('Dvd Calendar'!$J$1132=TYPE4)*(TYPE4&lt;&gt;"")+('Dvd Calendar'!$J$1132=SPECIAL_LBL)*(INC_SPECIALS="Y"))=0,"",'Dvd Calendar'!$J$1130)))</f>
        <v/>
      </c>
      <c r="I117" s="161">
        <f>IF(EK117="","",IF(ISNUMBER('Dvd Calendar'!$K$1130)=FALSE,"",IF((('Dvd Calendar'!$K$1132=TYPE1)*(TYPE1&lt;&gt;"")+('Dvd Calendar'!$K$1132=TYPE2)*(TYPE2&lt;&gt;"")+('Dvd Calendar'!$K$1132=TYPE3)*(TYPE3&lt;&gt;"")+('Dvd Calendar'!$K$1132=TYPE4)*(TYPE4&lt;&gt;"")+('Dvd Calendar'!$K$1132=SPECIAL_LBL)*(INC_SPECIALS="Y"))=0,"",'Dvd Calendar'!$K$1130)))</f>
        <v/>
      </c>
      <c r="J117" s="161">
        <f>IF(EL117="","",IF(ISNUMBER('Dvd Calendar'!$L$1130)=FALSE,"",IF((('Dvd Calendar'!$L$1132=TYPE1)*(TYPE1&lt;&gt;"")+('Dvd Calendar'!$L$1132=TYPE2)*(TYPE2&lt;&gt;"")+('Dvd Calendar'!$L$1132=TYPE3)*(TYPE3&lt;&gt;"")+('Dvd Calendar'!$L$1132=TYPE4)*(TYPE4&lt;&gt;"")+('Dvd Calendar'!$L$1132=SPECIAL_LBL)*(INC_SPECIALS="Y"))=0,"",'Dvd Calendar'!$L$1130)))</f>
        <v/>
      </c>
      <c r="K117" s="161">
        <f>IF(EM117="","",IF(ISNUMBER('Dvd Calendar'!$M$1130)=FALSE,"",IF((('Dvd Calendar'!$M$1132=TYPE1)*(TYPE1&lt;&gt;"")+('Dvd Calendar'!$M$1132=TYPE2)*(TYPE2&lt;&gt;"")+('Dvd Calendar'!$M$1132=TYPE3)*(TYPE3&lt;&gt;"")+('Dvd Calendar'!$M$1132=TYPE4)*(TYPE4&lt;&gt;"")+('Dvd Calendar'!$M$1132=SPECIAL_LBL)*(INC_SPECIALS="Y"))=0,"",'Dvd Calendar'!$M$1130)))</f>
        <v/>
      </c>
      <c r="L117" s="161">
        <f>IF(EN117="","",IF(ISNUMBER('Dvd Calendar'!$N$1130)=FALSE,"",IF((('Dvd Calendar'!$N$1132=TYPE1)*(TYPE1&lt;&gt;"")+('Dvd Calendar'!$N$1132=TYPE2)*(TYPE2&lt;&gt;"")+('Dvd Calendar'!$N$1132=TYPE3)*(TYPE3&lt;&gt;"")+('Dvd Calendar'!$N$1132=TYPE4)*(TYPE4&lt;&gt;"")+('Dvd Calendar'!$N$1132=SPECIAL_LBL)*(INC_SPECIALS="Y"))=0,"",'Dvd Calendar'!$N$1130)))</f>
        <v/>
      </c>
      <c r="M117" s="161">
        <f>IF(EO117="","",IF(ISNUMBER('Dvd Calendar'!$O$1130)=FALSE,"",IF((('Dvd Calendar'!$O$1132=TYPE1)*(TYPE1&lt;&gt;"")+('Dvd Calendar'!$O$1132=TYPE2)*(TYPE2&lt;&gt;"")+('Dvd Calendar'!$O$1132=TYPE3)*(TYPE3&lt;&gt;"")+('Dvd Calendar'!$O$1132=TYPE4)*(TYPE4&lt;&gt;"")+('Dvd Calendar'!$O$1132=SPECIAL_LBL)*(INC_SPECIALS="Y"))=0,"",'Dvd Calendar'!$O$1130)))</f>
        <v/>
      </c>
      <c r="N117" s="161">
        <f>IF(EP117="","",IF(ISNUMBER('Dvd Calendar'!$P$1130)=FALSE,"",IF((('Dvd Calendar'!$P$1132=TYPE1)*(TYPE1&lt;&gt;"")+('Dvd Calendar'!$P$1132=TYPE2)*(TYPE2&lt;&gt;"")+('Dvd Calendar'!$P$1132=TYPE3)*(TYPE3&lt;&gt;"")+('Dvd Calendar'!$P$1132=TYPE4)*(TYPE4&lt;&gt;"")+('Dvd Calendar'!$P$1132=SPECIAL_LBL)*(INC_SPECIALS="Y"))=0,"",'Dvd Calendar'!$P$1130)))</f>
        <v/>
      </c>
      <c r="O117" s="161">
        <f>IF(EQ117="","",IF(ISNUMBER('Dvd Calendar'!$Q$1130)=FALSE,"",IF((('Dvd Calendar'!$Q$1132=TYPE1)*(TYPE1&lt;&gt;"")+('Dvd Calendar'!$Q$1132=TYPE2)*(TYPE2&lt;&gt;"")+('Dvd Calendar'!$Q$1132=TYPE3)*(TYPE3&lt;&gt;"")+('Dvd Calendar'!$Q$1132=TYPE4)*(TYPE4&lt;&gt;"")+('Dvd Calendar'!$Q$1132=SPECIAL_LBL)*(INC_SPECIALS="Y"))=0,"",'Dvd Calendar'!$Q$1130)))</f>
        <v/>
      </c>
      <c r="P117" s="161">
        <f>IF(ER117="","",IF(ISNUMBER('Dvd Calendar'!$R$1130)=FALSE,"",IF((('Dvd Calendar'!$R$1132=TYPE1)*(TYPE1&lt;&gt;"")+('Dvd Calendar'!$R$1132=TYPE2)*(TYPE2&lt;&gt;"")+('Dvd Calendar'!$R$1132=TYPE3)*(TYPE3&lt;&gt;"")+('Dvd Calendar'!$R$1132=TYPE4)*(TYPE4&lt;&gt;"")+('Dvd Calendar'!$R$1132=SPECIAL_LBL)*(INC_SPECIALS="Y"))=0,"",'Dvd Calendar'!$R$1130)))</f>
        <v/>
      </c>
      <c r="Q117" s="161">
        <f>IF(ES117="","",IF(ISNUMBER('Dvd Calendar'!$S$1130)=FALSE,"",IF((('Dvd Calendar'!$S$1132=TYPE1)*(TYPE1&lt;&gt;"")+('Dvd Calendar'!$S$1132=TYPE2)*(TYPE2&lt;&gt;"")+('Dvd Calendar'!$S$1132=TYPE3)*(TYPE3&lt;&gt;"")+('Dvd Calendar'!$S$1132=TYPE4)*(TYPE4&lt;&gt;"")+('Dvd Calendar'!$S$1132=SPECIAL_LBL)*(INC_SPECIALS="Y"))=0,"",'Dvd Calendar'!$S$1130)))</f>
        <v/>
      </c>
      <c r="R117" s="161">
        <f>IF(ET117="","",IF(ISNUMBER('Dvd Calendar'!$T$1130)=FALSE,"",IF((('Dvd Calendar'!$T$1132=TYPE1)*(TYPE1&lt;&gt;"")+('Dvd Calendar'!$T$1132=TYPE2)*(TYPE2&lt;&gt;"")+('Dvd Calendar'!$T$1132=TYPE3)*(TYPE3&lt;&gt;"")+('Dvd Calendar'!$T$1132=TYPE4)*(TYPE4&lt;&gt;"")+('Dvd Calendar'!$T$1132=SPECIAL_LBL)*(INC_SPECIALS="Y"))=0,"",'Dvd Calendar'!$T$1130)))</f>
        <v/>
      </c>
      <c r="S117" s="161">
        <f>IF(EU117="","",IF(ISNUMBER('Dvd Calendar'!$U$1130)=FALSE,"",IF((('Dvd Calendar'!$U$1132=TYPE1)*(TYPE1&lt;&gt;"")+('Dvd Calendar'!$U$1132=TYPE2)*(TYPE2&lt;&gt;"")+('Dvd Calendar'!$U$1132=TYPE3)*(TYPE3&lt;&gt;"")+('Dvd Calendar'!$U$1132=TYPE4)*(TYPE4&lt;&gt;"")+('Dvd Calendar'!$U$1132=SPECIAL_LBL)*(INC_SPECIALS="Y"))=0,"",'Dvd Calendar'!$U$1130)))</f>
        <v/>
      </c>
      <c r="T117" s="161">
        <f>IF(EV117="","",IF(ISNUMBER('Dvd Calendar'!$V$1130)=FALSE,"",IF((('Dvd Calendar'!$V$1132=TYPE1)*(TYPE1&lt;&gt;"")+('Dvd Calendar'!$V$1132=TYPE2)*(TYPE2&lt;&gt;"")+('Dvd Calendar'!$V$1132=TYPE3)*(TYPE3&lt;&gt;"")+('Dvd Calendar'!$V$1132=TYPE4)*(TYPE4&lt;&gt;"")+('Dvd Calendar'!$V$1132=SPECIAL_LBL)*(INC_SPECIALS="Y"))=0,"",'Dvd Calendar'!$V$1130)))</f>
        <v/>
      </c>
      <c r="U117" s="161">
        <f>IF(EW117="","",IF(ISNUMBER('Dvd Calendar'!$W$1130)=FALSE,"",IF((('Dvd Calendar'!$W$1132=TYPE1)*(TYPE1&lt;&gt;"")+('Dvd Calendar'!$W$1132=TYPE2)*(TYPE2&lt;&gt;"")+('Dvd Calendar'!$W$1132=TYPE3)*(TYPE3&lt;&gt;"")+('Dvd Calendar'!$W$1132=TYPE4)*(TYPE4&lt;&gt;"")+('Dvd Calendar'!$W$1132=SPECIAL_LBL)*(INC_SPECIALS="Y"))=0,"",'Dvd Calendar'!$W$1130)))</f>
        <v/>
      </c>
      <c r="V117" s="161">
        <f>IF(EX117="","",IF(ISNUMBER('Dvd Calendar'!$X$1130)=FALSE,"",IF((('Dvd Calendar'!$X$1132=TYPE1)*(TYPE1&lt;&gt;"")+('Dvd Calendar'!$X$1132=TYPE2)*(TYPE2&lt;&gt;"")+('Dvd Calendar'!$X$1132=TYPE3)*(TYPE3&lt;&gt;"")+('Dvd Calendar'!$X$1132=TYPE4)*(TYPE4&lt;&gt;"")+('Dvd Calendar'!$X$1132=SPECIAL_LBL)*(INC_SPECIALS="Y"))=0,"",'Dvd Calendar'!$X$1130)))</f>
        <v/>
      </c>
      <c r="W117" s="161">
        <f>IF(EY117="","",IF(ISNUMBER('Dvd Calendar'!$Y$1130)=FALSE,"",IF((('Dvd Calendar'!$Y$1132=TYPE1)*(TYPE1&lt;&gt;"")+('Dvd Calendar'!$Y$1132=TYPE2)*(TYPE2&lt;&gt;"")+('Dvd Calendar'!$Y$1132=TYPE3)*(TYPE3&lt;&gt;"")+('Dvd Calendar'!$Y$1132=TYPE4)*(TYPE4&lt;&gt;"")+('Dvd Calendar'!$Y$1132=SPECIAL_LBL)*(INC_SPECIALS="Y"))=0,"",'Dvd Calendar'!$Y$1130)))</f>
        <v/>
      </c>
      <c r="X117" s="161">
        <f>IF(EZ117="","",IF(ISNUMBER('Dvd Calendar'!$Z$1130)=FALSE,"",IF((('Dvd Calendar'!$Z$1132=TYPE1)*(TYPE1&lt;&gt;"")+('Dvd Calendar'!$Z$1132=TYPE2)*(TYPE2&lt;&gt;"")+('Dvd Calendar'!$Z$1132=TYPE3)*(TYPE3&lt;&gt;"")+('Dvd Calendar'!$Z$1132=TYPE4)*(TYPE4&lt;&gt;"")+('Dvd Calendar'!$Z$1132=SPECIAL_LBL)*(INC_SPECIALS="Y"))=0,"",'Dvd Calendar'!$Z$1130)))</f>
        <v/>
      </c>
      <c r="Y117" s="161">
        <f>IF(FA117="","",IF(ISNUMBER('Dvd Calendar'!$AA$1130)=FALSE,"",IF((('Dvd Calendar'!$AA$1132=TYPE1)*(TYPE1&lt;&gt;"")+('Dvd Calendar'!$AA$1132=TYPE2)*(TYPE2&lt;&gt;"")+('Dvd Calendar'!$AA$1132=TYPE3)*(TYPE3&lt;&gt;"")+('Dvd Calendar'!$AA$1132=TYPE4)*(TYPE4&lt;&gt;"")+('Dvd Calendar'!$AA$1132=SPECIAL_LBL)*(INC_SPECIALS="Y"))=0,"",'Dvd Calendar'!$AA$1130)))</f>
        <v/>
      </c>
      <c r="Z117" s="161">
        <f>IF(FB117="","",IF(ISNUMBER('Dvd Calendar'!$AB$1130)=FALSE,"",IF((('Dvd Calendar'!$AB$1132=TYPE1)*(TYPE1&lt;&gt;"")+('Dvd Calendar'!$AB$1132=TYPE2)*(TYPE2&lt;&gt;"")+('Dvd Calendar'!$AB$1132=TYPE3)*(TYPE3&lt;&gt;"")+('Dvd Calendar'!$AB$1132=TYPE4)*(TYPE4&lt;&gt;"")+('Dvd Calendar'!$AB$1132=SPECIAL_LBL)*(INC_SPECIALS="Y"))=0,"",'Dvd Calendar'!$AB$1130)))</f>
        <v/>
      </c>
      <c r="AA117" s="161">
        <f>IF(FC117="","",IF(ISNUMBER('Dvd Calendar'!$AC$1130)=FALSE,"",IF((('Dvd Calendar'!$AC$1132=TYPE1)*(TYPE1&lt;&gt;"")+('Dvd Calendar'!$AC$1132=TYPE2)*(TYPE2&lt;&gt;"")+('Dvd Calendar'!$AC$1132=TYPE3)*(TYPE3&lt;&gt;"")+('Dvd Calendar'!$AC$1132=TYPE4)*(TYPE4&lt;&gt;"")+('Dvd Calendar'!$AC$1132=SPECIAL_LBL)*(INC_SPECIALS="Y"))=0,"",'Dvd Calendar'!$AC$1130)))</f>
        <v/>
      </c>
      <c r="AB117" s="161">
        <f>IF(FD117="","",IF(ISNUMBER('Dvd Calendar'!$AD$1130)=FALSE,"",IF((('Dvd Calendar'!$AD$1132=TYPE1)*(TYPE1&lt;&gt;"")+('Dvd Calendar'!$AD$1132=TYPE2)*(TYPE2&lt;&gt;"")+('Dvd Calendar'!$AD$1132=TYPE3)*(TYPE3&lt;&gt;"")+('Dvd Calendar'!$AD$1132=TYPE4)*(TYPE4&lt;&gt;"")+('Dvd Calendar'!$AD$1132=SPECIAL_LBL)*(INC_SPECIALS="Y"))=0,"",'Dvd Calendar'!$AD$1130)))</f>
        <v/>
      </c>
      <c r="AC117" s="161">
        <f>IF(FE117="","",IF(ISNUMBER('Dvd Calendar'!$AE$1130)=FALSE,"",IF((('Dvd Calendar'!$AE$1132=TYPE1)*(TYPE1&lt;&gt;"")+('Dvd Calendar'!$AE$1132=TYPE2)*(TYPE2&lt;&gt;"")+('Dvd Calendar'!$AE$1132=TYPE3)*(TYPE3&lt;&gt;"")+('Dvd Calendar'!$AE$1132=TYPE4)*(TYPE4&lt;&gt;"")+('Dvd Calendar'!$AE$1132=SPECIAL_LBL)*(INC_SPECIALS="Y"))=0,"",'Dvd Calendar'!$AE$1130)))</f>
        <v/>
      </c>
      <c r="AD117" s="161">
        <f>IF(FF117="","",IF(ISNUMBER('Dvd Calendar'!$AF$1130)=FALSE,"",IF((('Dvd Calendar'!$AF$1132=TYPE1)*(TYPE1&lt;&gt;"")+('Dvd Calendar'!$AF$1132=TYPE2)*(TYPE2&lt;&gt;"")+('Dvd Calendar'!$AF$1132=TYPE3)*(TYPE3&lt;&gt;"")+('Dvd Calendar'!$AF$1132=TYPE4)*(TYPE4&lt;&gt;"")+('Dvd Calendar'!$AF$1132=SPECIAL_LBL)*(INC_SPECIALS="Y"))=0,"",'Dvd Calendar'!$AF$1130)))</f>
        <v/>
      </c>
      <c r="AE117" s="161">
        <f>IF(FG117="","",IF(ISNUMBER('Dvd Calendar'!$AG$1130)=FALSE,"",IF((('Dvd Calendar'!$AG$1132=TYPE1)*(TYPE1&lt;&gt;"")+('Dvd Calendar'!$AG$1132=TYPE2)*(TYPE2&lt;&gt;"")+('Dvd Calendar'!$AG$1132=TYPE3)*(TYPE3&lt;&gt;"")+('Dvd Calendar'!$AG$1132=TYPE4)*(TYPE4&lt;&gt;"")+('Dvd Calendar'!$AG$1132=SPECIAL_LBL)*(INC_SPECIALS="Y"))=0,"",'Dvd Calendar'!$AG$1130)))</f>
        <v/>
      </c>
      <c r="AF117" s="161">
        <f>IF(FH117="","",IF(ISNUMBER('Dvd Calendar'!$AH$1130)=FALSE,"",IF((('Dvd Calendar'!$AH$1132=TYPE1)*(TYPE1&lt;&gt;"")+('Dvd Calendar'!$AH$1132=TYPE2)*(TYPE2&lt;&gt;"")+('Dvd Calendar'!$AH$1132=TYPE3)*(TYPE3&lt;&gt;"")+('Dvd Calendar'!$AH$1132=TYPE4)*(TYPE4&lt;&gt;"")+('Dvd Calendar'!$AH$1132=SPECIAL_LBL)*(INC_SPECIALS="Y"))=0,"",'Dvd Calendar'!$AH$1130)))</f>
        <v/>
      </c>
      <c r="AG117" s="161">
        <f>IF(FI117="","",IF(ISNUMBER('Dvd Calendar'!$AI$1130)=FALSE,"",IF((('Dvd Calendar'!$AI$1132=TYPE1)*(TYPE1&lt;&gt;"")+('Dvd Calendar'!$AI$1132=TYPE2)*(TYPE2&lt;&gt;"")+('Dvd Calendar'!$AI$1132=TYPE3)*(TYPE3&lt;&gt;"")+('Dvd Calendar'!$AI$1132=TYPE4)*(TYPE4&lt;&gt;"")+('Dvd Calendar'!$AI$1132=SPECIAL_LBL)*(INC_SPECIALS="Y"))=0,"",'Dvd Calendar'!$AI$1130)))</f>
        <v/>
      </c>
      <c r="AH117" s="161">
        <f>IF(FJ117="","",IF(ISNUMBER('Dvd Calendar'!$AJ$1130)=FALSE,"",IF((('Dvd Calendar'!$AJ$1132=TYPE1)*(TYPE1&lt;&gt;"")+('Dvd Calendar'!$AJ$1132=TYPE2)*(TYPE2&lt;&gt;"")+('Dvd Calendar'!$AJ$1132=TYPE3)*(TYPE3&lt;&gt;"")+('Dvd Calendar'!$AJ$1132=TYPE4)*(TYPE4&lt;&gt;"")+('Dvd Calendar'!$AJ$1132=SPECIAL_LBL)*(INC_SPECIALS="Y"))=0,"",'Dvd Calendar'!$AJ$1130)))</f>
        <v/>
      </c>
      <c r="AI117" s="161">
        <f>IF(FK117="","",IF(ISNUMBER('Dvd Calendar'!$AK$1130)=FALSE,"",IF((('Dvd Calendar'!$AK$1132=TYPE1)*(TYPE1&lt;&gt;"")+('Dvd Calendar'!$AK$1132=TYPE2)*(TYPE2&lt;&gt;"")+('Dvd Calendar'!$AK$1132=TYPE3)*(TYPE3&lt;&gt;"")+('Dvd Calendar'!$AK$1132=TYPE4)*(TYPE4&lt;&gt;"")+('Dvd Calendar'!$AK$1132=SPECIAL_LBL)*(INC_SPECIALS="Y"))=0,"",'Dvd Calendar'!$AK$1130)))</f>
        <v/>
      </c>
      <c r="AJ117" s="161">
        <f>IF(FL117="","",IF(ISNUMBER('Dvd Calendar'!$AL$1130)=FALSE,"",IF((('Dvd Calendar'!$AL$1132=TYPE1)*(TYPE1&lt;&gt;"")+('Dvd Calendar'!$AL$1132=TYPE2)*(TYPE2&lt;&gt;"")+('Dvd Calendar'!$AL$1132=TYPE3)*(TYPE3&lt;&gt;"")+('Dvd Calendar'!$AL$1132=TYPE4)*(TYPE4&lt;&gt;"")+('Dvd Calendar'!$AL$1132=SPECIAL_LBL)*(INC_SPECIALS="Y"))=0,"",'Dvd Calendar'!$AL$1130)))</f>
        <v/>
      </c>
      <c r="AK117" s="161">
        <f>IF(FM117="","",IF(ISNUMBER('Dvd Calendar'!$AM$1130)=FALSE,"",IF((('Dvd Calendar'!$AM$1132=TYPE1)*(TYPE1&lt;&gt;"")+('Dvd Calendar'!$AM$1132=TYPE2)*(TYPE2&lt;&gt;"")+('Dvd Calendar'!$AM$1132=TYPE3)*(TYPE3&lt;&gt;"")+('Dvd Calendar'!$AM$1132=TYPE4)*(TYPE4&lt;&gt;"")+('Dvd Calendar'!$AM$1132=SPECIAL_LBL)*(INC_SPECIALS="Y"))=0,"",'Dvd Calendar'!$AM$1130)))</f>
        <v/>
      </c>
      <c r="AL117" s="161">
        <f>IF(FN117="","",IF(ISNUMBER('Dvd Calendar'!$AN$1130)=FALSE,"",IF((('Dvd Calendar'!$AN$1132=TYPE1)*(TYPE1&lt;&gt;"")+('Dvd Calendar'!$AN$1132=TYPE2)*(TYPE2&lt;&gt;"")+('Dvd Calendar'!$AN$1132=TYPE3)*(TYPE3&lt;&gt;"")+('Dvd Calendar'!$AN$1132=TYPE4)*(TYPE4&lt;&gt;"")+('Dvd Calendar'!$AN$1132=SPECIAL_LBL)*(INC_SPECIALS="Y"))=0,"",'Dvd Calendar'!$AN$1130)))</f>
        <v/>
      </c>
      <c r="AM117" s="161">
        <f>IF(FO117="","",IF(ISNUMBER('Dvd Calendar'!$AO$1130)=FALSE,"",IF((('Dvd Calendar'!$AO$1132=TYPE1)*(TYPE1&lt;&gt;"")+('Dvd Calendar'!$AO$1132=TYPE2)*(TYPE2&lt;&gt;"")+('Dvd Calendar'!$AO$1132=TYPE3)*(TYPE3&lt;&gt;"")+('Dvd Calendar'!$AO$1132=TYPE4)*(TYPE4&lt;&gt;"")+('Dvd Calendar'!$AO$1132=SPECIAL_LBL)*(INC_SPECIALS="Y"))=0,"",'Dvd Calendar'!$AO$1130)))</f>
        <v/>
      </c>
      <c r="AN117" s="161">
        <f>IF(FP117="","",IF(ISNUMBER('Dvd Calendar'!$AP$1130)=FALSE,"",IF((('Dvd Calendar'!$AP$1132=TYPE1)*(TYPE1&lt;&gt;"")+('Dvd Calendar'!$AP$1132=TYPE2)*(TYPE2&lt;&gt;"")+('Dvd Calendar'!$AP$1132=TYPE3)*(TYPE3&lt;&gt;"")+('Dvd Calendar'!$AP$1132=TYPE4)*(TYPE4&lt;&gt;"")+('Dvd Calendar'!$AP$1132=SPECIAL_LBL)*(INC_SPECIALS="Y"))=0,"",'Dvd Calendar'!$AP$1130)))</f>
        <v/>
      </c>
      <c r="AO117" s="161">
        <f>IF(FQ117="","",IF(ISNUMBER('Dvd Calendar'!$AQ$1130)=FALSE,"",IF((('Dvd Calendar'!$AQ$1132=TYPE1)*(TYPE1&lt;&gt;"")+('Dvd Calendar'!$AQ$1132=TYPE2)*(TYPE2&lt;&gt;"")+('Dvd Calendar'!$AQ$1132=TYPE3)*(TYPE3&lt;&gt;"")+('Dvd Calendar'!$AQ$1132=TYPE4)*(TYPE4&lt;&gt;"")+('Dvd Calendar'!$AQ$1132=SPECIAL_LBL)*(INC_SPECIALS="Y"))=0,"",'Dvd Calendar'!$AQ$1130)))</f>
        <v/>
      </c>
      <c r="AP117" s="161">
        <f>IF(FR117="","",IF(ISNUMBER('Dvd Calendar'!$AR$1130)=FALSE,"",IF((('Dvd Calendar'!$AR$1132=TYPE1)*(TYPE1&lt;&gt;"")+('Dvd Calendar'!$AR$1132=TYPE2)*(TYPE2&lt;&gt;"")+('Dvd Calendar'!$AR$1132=TYPE3)*(TYPE3&lt;&gt;"")+('Dvd Calendar'!$AR$1132=TYPE4)*(TYPE4&lt;&gt;"")+('Dvd Calendar'!$AR$1132=SPECIAL_LBL)*(INC_SPECIALS="Y"))=0,"",'Dvd Calendar'!$AR$1130)))</f>
        <v/>
      </c>
      <c r="AQ117" s="161">
        <f>IF(FS117="","",IF(ISNUMBER('Dvd Calendar'!$E$1135)=FALSE,"",'Dvd Calendar'!$E$1135))</f>
        <v/>
      </c>
      <c r="AR117" s="161">
        <f>IF(FT117="","",IF(ISNUMBER('Dvd Calendar'!$F$1135)=FALSE,"",'Dvd Calendar'!$F$1135))</f>
        <v/>
      </c>
      <c r="AS117" s="161">
        <f>IF(FU117="","",IF(ISNUMBER('Dvd Calendar'!$G$1135)=FALSE,"",'Dvd Calendar'!$G$1135))</f>
        <v/>
      </c>
      <c r="AT117" s="161">
        <f>IF(FV117="","",IF(ISNUMBER('Dvd Calendar'!$H$1135)=FALSE,"",'Dvd Calendar'!$H$1135))</f>
        <v/>
      </c>
      <c r="AU117" s="161">
        <f>IF(FW117="","",IF(ISNUMBER('Dvd Calendar'!$I$1135)=FALSE,"",'Dvd Calendar'!$I$1135))</f>
        <v/>
      </c>
      <c r="AV117" s="161">
        <f>IF(FX117="","",IF(ISNUMBER('Dvd Calendar'!$J$1135)=FALSE,"",'Dvd Calendar'!$J$1135))</f>
        <v/>
      </c>
      <c r="AW117" s="161">
        <f>IF(FY117="","",IF(ISNUMBER('Dvd Calendar'!$K$1135)=FALSE,"",'Dvd Calendar'!$K$1135))</f>
        <v/>
      </c>
      <c r="AX117" s="161">
        <f>IF(FZ117="","",IF(ISNUMBER('Dvd Calendar'!$L$1135)=FALSE,"",'Dvd Calendar'!$L$1135))</f>
        <v/>
      </c>
      <c r="AY117" s="161">
        <f>IF(GA117="","",IF(ISNUMBER('Dvd Calendar'!$M$1135)=FALSE,"",'Dvd Calendar'!$M$1135))</f>
        <v/>
      </c>
      <c r="AZ117" s="161">
        <f>IF(GB117="","",IF(ISNUMBER('Dvd Calendar'!$N$1135)=FALSE,"",'Dvd Calendar'!$N$1135))</f>
        <v/>
      </c>
      <c r="BA117" s="161">
        <f>IF(GC117="","",IF(ISNUMBER('Dvd Calendar'!$O$1135)=FALSE,"",'Dvd Calendar'!$O$1135))</f>
        <v/>
      </c>
      <c r="BB117" s="161">
        <f>IF(GD117="","",IF(ISNUMBER('Dvd Calendar'!$P$1135)=FALSE,"",'Dvd Calendar'!$P$1135))</f>
        <v/>
      </c>
      <c r="BC117" s="161">
        <f>IF(GE117="","",IF(ISNUMBER('Dvd Calendar'!$Q$1135)=FALSE,"",'Dvd Calendar'!$Q$1135))</f>
        <v/>
      </c>
      <c r="BD117" s="161">
        <f>IF(GF117="","",IF(ISNUMBER('Dvd Calendar'!$R$1135)=FALSE,"",'Dvd Calendar'!$R$1135))</f>
        <v/>
      </c>
      <c r="BE117" s="161">
        <f>IF(GG117="","",IF(ISNUMBER('Dvd Calendar'!$S$1135)=FALSE,"",'Dvd Calendar'!$S$1135))</f>
        <v/>
      </c>
      <c r="BF117" s="161">
        <f>IF(GH117="","",IF(ISNUMBER('Dvd Calendar'!$T$1135)=FALSE,"",'Dvd Calendar'!$T$1135))</f>
        <v/>
      </c>
      <c r="BG117" s="161">
        <f>IF(GI117="","",IF(ISNUMBER('Dvd Calendar'!$U$1135)=FALSE,"",'Dvd Calendar'!$U$1135))</f>
        <v/>
      </c>
      <c r="BH117" s="161">
        <f>IF(GJ117="","",IF(ISNUMBER('Dvd Calendar'!$V$1135)=FALSE,"",'Dvd Calendar'!$V$1135))</f>
        <v/>
      </c>
      <c r="BI117" s="161">
        <f>IF(GK117="","",IF(ISNUMBER('Dvd Calendar'!$W$1135)=FALSE,"",'Dvd Calendar'!$W$1135))</f>
        <v/>
      </c>
      <c r="BJ117" s="161">
        <f>IF(GL117="","",IF(ISNUMBER('Dvd Calendar'!$X$1135)=FALSE,"",'Dvd Calendar'!$X$1135))</f>
        <v/>
      </c>
      <c r="BK117" s="161">
        <f>IF(GM117="","",IF(ISNUMBER('Dvd Calendar'!$Y$1135)=FALSE,"",'Dvd Calendar'!$Y$1135))</f>
        <v/>
      </c>
      <c r="BL117" s="161">
        <f>IF(GN117="","",IF(ISNUMBER('Dvd Calendar'!$Z$1135)=FALSE,"",'Dvd Calendar'!$Z$1135))</f>
        <v/>
      </c>
      <c r="BM117" s="161">
        <f>IF(GO117="","",IF(ISNUMBER('Dvd Calendar'!$AA$1135)=FALSE,"",'Dvd Calendar'!$AA$1135))</f>
        <v/>
      </c>
      <c r="BN117" s="161">
        <f>IF(GP117="","",IF(ISNUMBER('Dvd Calendar'!$AB$1135)=FALSE,"",'Dvd Calendar'!$AB$1135))</f>
        <v/>
      </c>
      <c r="BO117" s="161">
        <f>IF(GQ117="","",IF(ISNUMBER('Dvd Calendar'!$AC$1135)=FALSE,"",'Dvd Calendar'!$AC$1135))</f>
        <v/>
      </c>
      <c r="BQ117" s="161">
        <f>IF(C117="","",IFERROR(C117*HSTECH!$B$8*HSTECH!$G$8/HSTECH!$B$3,""))</f>
        <v/>
      </c>
      <c r="BR117" s="161">
        <f>IF(D117="","",IFERROR(D117*HSTECH!$B$8*HSTECH!$G$8/HSTECH!$B$3,""))</f>
        <v/>
      </c>
      <c r="BS117" s="161">
        <f>IF(E117="","",IFERROR(E117*HSTECH!$B$8*HSTECH!$G$8/HSTECH!$B$3,""))</f>
        <v/>
      </c>
      <c r="BT117" s="161">
        <f>IF(F117="","",IFERROR(F117*HSTECH!$B$8*HSTECH!$G$8/HSTECH!$B$3,""))</f>
        <v/>
      </c>
      <c r="BU117" s="161">
        <f>IF(G117="","",IFERROR(G117*HSTECH!$B$8*HSTECH!$G$8/HSTECH!$B$3,""))</f>
        <v/>
      </c>
      <c r="BV117" s="161">
        <f>IF(H117="","",IFERROR(H117*HSTECH!$B$8*HSTECH!$G$8/HSTECH!$B$3,""))</f>
        <v/>
      </c>
      <c r="BW117" s="161">
        <f>IF(I117="","",IFERROR(I117*HSTECH!$B$8*HSTECH!$G$8/HSTECH!$B$3,""))</f>
        <v/>
      </c>
      <c r="BX117" s="161">
        <f>IF(J117="","",IFERROR(J117*HSTECH!$B$8*HSTECH!$G$8/HSTECH!$B$3,""))</f>
        <v/>
      </c>
      <c r="BY117" s="161">
        <f>IF(K117="","",IFERROR(K117*HSTECH!$B$8*HSTECH!$G$8/HSTECH!$B$3,""))</f>
        <v/>
      </c>
      <c r="BZ117" s="161">
        <f>IF(L117="","",IFERROR(L117*HSTECH!$B$8*HSTECH!$G$8/HSTECH!$B$3,""))</f>
        <v/>
      </c>
      <c r="CA117" s="161">
        <f>IF(M117="","",IFERROR(M117*HSTECH!$B$8*HSTECH!$G$8/HSTECH!$B$3,""))</f>
        <v/>
      </c>
      <c r="CB117" s="161">
        <f>IF(N117="","",IFERROR(N117*HSTECH!$B$8*HSTECH!$G$8/HSTECH!$B$3,""))</f>
        <v/>
      </c>
      <c r="CC117" s="161">
        <f>IF(O117="","",IFERROR(O117*HSTECH!$B$8*HSTECH!$G$8/HSTECH!$B$3,""))</f>
        <v/>
      </c>
      <c r="CD117" s="161">
        <f>IF(P117="","",IFERROR(P117*HSTECH!$B$8*HSTECH!$G$8/HSTECH!$B$3,""))</f>
        <v/>
      </c>
      <c r="CE117" s="161">
        <f>IF(Q117="","",IFERROR(Q117*HSTECH!$B$8*HSTECH!$G$8/HSTECH!$B$3,""))</f>
        <v/>
      </c>
      <c r="CF117" s="161">
        <f>IF(R117="","",IFERROR(R117*HSTECH!$B$8*HSTECH!$G$8/HSTECH!$B$3,""))</f>
        <v/>
      </c>
      <c r="CG117" s="161">
        <f>IF(S117="","",IFERROR(S117*HSTECH!$B$8*HSTECH!$G$8/HSTECH!$B$3,""))</f>
        <v/>
      </c>
      <c r="CH117" s="161">
        <f>IF(T117="","",IFERROR(T117*HSTECH!$B$8*HSTECH!$G$8/HSTECH!$B$3,""))</f>
        <v/>
      </c>
      <c r="CI117" s="161">
        <f>IF(U117="","",IFERROR(U117*HSTECH!$B$8*HSTECH!$G$8/HSTECH!$B$3,""))</f>
        <v/>
      </c>
      <c r="CJ117" s="161">
        <f>IF(V117="","",IFERROR(V117*HSTECH!$B$8*HSTECH!$G$8/HSTECH!$B$3,""))</f>
        <v/>
      </c>
      <c r="CK117" s="161">
        <f>IF(W117="","",IFERROR(W117*HSTECH!$B$8*HSTECH!$G$8/HSTECH!$B$3,""))</f>
        <v/>
      </c>
      <c r="CL117" s="161">
        <f>IF(X117="","",IFERROR(X117*HSTECH!$B$8*HSTECH!$G$8/HSTECH!$B$3,""))</f>
        <v/>
      </c>
      <c r="CM117" s="161">
        <f>IF(Y117="","",IFERROR(Y117*HSTECH!$B$8*HSTECH!$G$8/HSTECH!$B$3,""))</f>
        <v/>
      </c>
      <c r="CN117" s="161">
        <f>IF(Z117="","",IFERROR(Z117*HSTECH!$B$8*HSTECH!$G$8/HSTECH!$B$3,""))</f>
        <v/>
      </c>
      <c r="CO117" s="161">
        <f>IF(AA117="","",IFERROR(AA117*HSTECH!$B$8*HSTECH!$G$8/HSTECH!$B$3,""))</f>
        <v/>
      </c>
      <c r="CP117" s="161">
        <f>IF(AB117="","",IFERROR(AB117*HSTECH!$B$8*HSTECH!$G$8/HSTECH!$B$3,""))</f>
        <v/>
      </c>
      <c r="CQ117" s="161">
        <f>IF(AC117="","",IFERROR(AC117*HSTECH!$B$8*HSTECH!$G$8/HSTECH!$B$3,""))</f>
        <v/>
      </c>
      <c r="CR117" s="161">
        <f>IF(AD117="","",IFERROR(AD117*HSTECH!$B$8*HSTECH!$G$8/HSTECH!$B$3,""))</f>
        <v/>
      </c>
      <c r="CS117" s="161">
        <f>IF(AE117="","",IFERROR(AE117*HSTECH!$B$8*HSTECH!$G$8/HSTECH!$B$3,""))</f>
        <v/>
      </c>
      <c r="CT117" s="161">
        <f>IF(AF117="","",IFERROR(AF117*HSTECH!$B$8*HSTECH!$G$8/HSTECH!$B$3,""))</f>
        <v/>
      </c>
      <c r="CU117" s="161">
        <f>IF(AG117="","",IFERROR(AG117*HSTECH!$B$8*HSTECH!$G$8/HSTECH!$B$3,""))</f>
        <v/>
      </c>
      <c r="CV117" s="161">
        <f>IF(AH117="","",IFERROR(AH117*HSTECH!$B$8*HSTECH!$G$8/HSTECH!$B$3,""))</f>
        <v/>
      </c>
      <c r="CW117" s="161">
        <f>IF(AI117="","",IFERROR(AI117*HSTECH!$B$8*HSTECH!$G$8/HSTECH!$B$3,""))</f>
        <v/>
      </c>
      <c r="CX117" s="161">
        <f>IF(AJ117="","",IFERROR(AJ117*HSTECH!$B$8*HSTECH!$G$8/HSTECH!$B$3,""))</f>
        <v/>
      </c>
      <c r="CY117" s="161">
        <f>IF(AK117="","",IFERROR(AK117*HSTECH!$B$8*HSTECH!$G$8/HSTECH!$B$3,""))</f>
        <v/>
      </c>
      <c r="CZ117" s="161">
        <f>IF(AL117="","",IFERROR(AL117*HSTECH!$B$8*HSTECH!$G$8/HSTECH!$B$3,""))</f>
        <v/>
      </c>
      <c r="DA117" s="161">
        <f>IF(AM117="","",IFERROR(AM117*HSTECH!$B$8*HSTECH!$G$8/HSTECH!$B$3,""))</f>
        <v/>
      </c>
      <c r="DB117" s="161">
        <f>IF(AN117="","",IFERROR(AN117*HSTECH!$B$8*HSTECH!$G$8/HSTECH!$B$3,""))</f>
        <v/>
      </c>
      <c r="DC117" s="161">
        <f>IF(AO117="","",IFERROR(AO117*HSTECH!$B$8*HSTECH!$G$8/HSTECH!$B$3,""))</f>
        <v/>
      </c>
      <c r="DD117" s="161">
        <f>IF(AP117="","",IFERROR(AP117*HSTECH!$B$8*HSTECH!$G$8/HSTECH!$B$3,""))</f>
        <v/>
      </c>
      <c r="DE117" s="161">
        <f>IF(AQ117="","",IFERROR(AQ117*HSTECH!$B$8*HSTECH!$G$8/HSTECH!$B$3,""))</f>
        <v/>
      </c>
      <c r="DF117" s="161">
        <f>IF(AR117="","",IFERROR(AR117*HSTECH!$B$8*HSTECH!$G$8/HSTECH!$B$3,""))</f>
        <v/>
      </c>
      <c r="DG117" s="161">
        <f>IF(AS117="","",IFERROR(AS117*HSTECH!$B$8*HSTECH!$G$8/HSTECH!$B$3,""))</f>
        <v/>
      </c>
      <c r="DH117" s="161">
        <f>IF(AT117="","",IFERROR(AT117*HSTECH!$B$8*HSTECH!$G$8/HSTECH!$B$3,""))</f>
        <v/>
      </c>
      <c r="DI117" s="161">
        <f>IF(AU117="","",IFERROR(AU117*HSTECH!$B$8*HSTECH!$G$8/HSTECH!$B$3,""))</f>
        <v/>
      </c>
      <c r="DJ117" s="161">
        <f>IF(AV117="","",IFERROR(AV117*HSTECH!$B$8*HSTECH!$G$8/HSTECH!$B$3,""))</f>
        <v/>
      </c>
      <c r="DK117" s="161">
        <f>IF(AW117="","",IFERROR(AW117*HSTECH!$B$8*HSTECH!$G$8/HSTECH!$B$3,""))</f>
        <v/>
      </c>
      <c r="DL117" s="161">
        <f>IF(AX117="","",IFERROR(AX117*HSTECH!$B$8*HSTECH!$G$8/HSTECH!$B$3,""))</f>
        <v/>
      </c>
      <c r="DM117" s="161">
        <f>IF(AY117="","",IFERROR(AY117*HSTECH!$B$8*HSTECH!$G$8/HSTECH!$B$3,""))</f>
        <v/>
      </c>
      <c r="DN117" s="161">
        <f>IF(AZ117="","",IFERROR(AZ117*HSTECH!$B$8*HSTECH!$G$8/HSTECH!$B$3,""))</f>
        <v/>
      </c>
      <c r="DO117" s="161">
        <f>IF(BA117="","",IFERROR(BA117*HSTECH!$B$8*HSTECH!$G$8/HSTECH!$B$3,""))</f>
        <v/>
      </c>
      <c r="DP117" s="161">
        <f>IF(BB117="","",IFERROR(BB117*HSTECH!$B$8*HSTECH!$G$8/HSTECH!$B$3,""))</f>
        <v/>
      </c>
      <c r="DQ117" s="161">
        <f>IF(BC117="","",IFERROR(BC117*HSTECH!$B$8*HSTECH!$G$8/HSTECH!$B$3,""))</f>
        <v/>
      </c>
      <c r="DR117" s="161">
        <f>IF(BD117="","",IFERROR(BD117*HSTECH!$B$8*HSTECH!$G$8/HSTECH!$B$3,""))</f>
        <v/>
      </c>
      <c r="DS117" s="161">
        <f>IF(BE117="","",IFERROR(BE117*HSTECH!$B$8*HSTECH!$G$8/HSTECH!$B$3,""))</f>
        <v/>
      </c>
      <c r="DT117" s="161">
        <f>IF(BF117="","",IFERROR(BF117*HSTECH!$B$8*HSTECH!$G$8/HSTECH!$B$3,""))</f>
        <v/>
      </c>
      <c r="DU117" s="161">
        <f>IF(BG117="","",IFERROR(BG117*HSTECH!$B$8*HSTECH!$G$8/HSTECH!$B$3,""))</f>
        <v/>
      </c>
      <c r="DV117" s="161">
        <f>IF(BH117="","",IFERROR(BH117*HSTECH!$B$8*HSTECH!$G$8/HSTECH!$B$3,""))</f>
        <v/>
      </c>
      <c r="DW117" s="161">
        <f>IF(BI117="","",IFERROR(BI117*HSTECH!$B$8*HSTECH!$G$8/HSTECH!$B$3,""))</f>
        <v/>
      </c>
      <c r="DX117" s="161">
        <f>IF(BJ117="","",IFERROR(BJ117*HSTECH!$B$8*HSTECH!$G$8/HSTECH!$B$3,""))</f>
        <v/>
      </c>
      <c r="DY117" s="161">
        <f>IF(BK117="","",IFERROR(BK117*HSTECH!$B$8*HSTECH!$G$8/HSTECH!$B$3,""))</f>
        <v/>
      </c>
      <c r="DZ117" s="161">
        <f>IF(BL117="","",IFERROR(BL117*HSTECH!$B$8*HSTECH!$G$8/HSTECH!$B$3,""))</f>
        <v/>
      </c>
      <c r="EA117" s="161">
        <f>IF(BM117="","",IFERROR(BM117*HSTECH!$B$8*HSTECH!$G$8/HSTECH!$B$3,""))</f>
        <v/>
      </c>
      <c r="EB117" s="161">
        <f>IF(BN117="","",IFERROR(BN117*HSTECH!$B$8*HSTECH!$G$8/HSTECH!$B$3,""))</f>
        <v/>
      </c>
      <c r="EC117" s="161">
        <f>IF(BO117="","",IFERROR(BO117*HSTECH!$B$8*HSTECH!$G$8/HSTECH!$B$3,""))</f>
        <v/>
      </c>
      <c r="EE117" s="121">
        <f>IF(N('Dvd Calendar'!$E$1127)=0,"",IF(('Dvd Calendar'!$E$1127&gt;=GRID_FROM)*('Dvd Calendar'!$E$1127&lt;=GRID_TO)*((('Dvd Calendar'!$E$1127&lt;=VAL_DATE)+(COUNTIF('Dvd Calendar'!$E$1134:$AR$1134,'Dvd Calendar'!$E$1127)=0))&gt;0)=0,"",'Dvd Calendar'!$E$1127*1000000000+ISNUMBER('Dvd Calendar'!$E$1130)*100000000+('Dvd Calendar'!$E$1132=SPECIAL_LBL)*10000000+(N('Dvd Calendar'!$E$1126)&gt;0)*(N('Dvd Calendar'!$E$1126)&lt;=VAL_SERIAL)*1000000+2*1000+1))</f>
        <v/>
      </c>
      <c r="EF117" s="121">
        <f>IF(N('Dvd Calendar'!$F$1127)=0,"",IF(('Dvd Calendar'!$F$1127&gt;=GRID_FROM)*('Dvd Calendar'!$F$1127&lt;=GRID_TO)*((('Dvd Calendar'!$F$1127&lt;=VAL_DATE)+(COUNTIF('Dvd Calendar'!$E$1134:$AR$1134,'Dvd Calendar'!$F$1127)=0))&gt;0)=0,"",'Dvd Calendar'!$F$1127*1000000000+ISNUMBER('Dvd Calendar'!$F$1130)*100000000+('Dvd Calendar'!$F$1132=SPECIAL_LBL)*10000000+(N('Dvd Calendar'!$F$1126)&gt;0)*(N('Dvd Calendar'!$F$1126)&lt;=VAL_SERIAL)*1000000+2*1000+2))</f>
        <v/>
      </c>
      <c r="EG117" s="121">
        <f>IF(N('Dvd Calendar'!$G$1127)=0,"",IF(('Dvd Calendar'!$G$1127&gt;=GRID_FROM)*('Dvd Calendar'!$G$1127&lt;=GRID_TO)*((('Dvd Calendar'!$G$1127&lt;=VAL_DATE)+(COUNTIF('Dvd Calendar'!$E$1134:$AR$1134,'Dvd Calendar'!$G$1127)=0))&gt;0)=0,"",'Dvd Calendar'!$G$1127*1000000000+ISNUMBER('Dvd Calendar'!$G$1130)*100000000+('Dvd Calendar'!$G$1132=SPECIAL_LBL)*10000000+(N('Dvd Calendar'!$G$1126)&gt;0)*(N('Dvd Calendar'!$G$1126)&lt;=VAL_SERIAL)*1000000+2*1000+3))</f>
        <v/>
      </c>
      <c r="EH117" s="121">
        <f>IF(N('Dvd Calendar'!$H$1127)=0,"",IF(('Dvd Calendar'!$H$1127&gt;=GRID_FROM)*('Dvd Calendar'!$H$1127&lt;=GRID_TO)*((('Dvd Calendar'!$H$1127&lt;=VAL_DATE)+(COUNTIF('Dvd Calendar'!$E$1134:$AR$1134,'Dvd Calendar'!$H$1127)=0))&gt;0)=0,"",'Dvd Calendar'!$H$1127*1000000000+ISNUMBER('Dvd Calendar'!$H$1130)*100000000+('Dvd Calendar'!$H$1132=SPECIAL_LBL)*10000000+(N('Dvd Calendar'!$H$1126)&gt;0)*(N('Dvd Calendar'!$H$1126)&lt;=VAL_SERIAL)*1000000+2*1000+4))</f>
        <v/>
      </c>
      <c r="EI117" s="121">
        <f>IF(N('Dvd Calendar'!$I$1127)=0,"",IF(('Dvd Calendar'!$I$1127&gt;=GRID_FROM)*('Dvd Calendar'!$I$1127&lt;=GRID_TO)*((('Dvd Calendar'!$I$1127&lt;=VAL_DATE)+(COUNTIF('Dvd Calendar'!$E$1134:$AR$1134,'Dvd Calendar'!$I$1127)=0))&gt;0)=0,"",'Dvd Calendar'!$I$1127*1000000000+ISNUMBER('Dvd Calendar'!$I$1130)*100000000+('Dvd Calendar'!$I$1132=SPECIAL_LBL)*10000000+(N('Dvd Calendar'!$I$1126)&gt;0)*(N('Dvd Calendar'!$I$1126)&lt;=VAL_SERIAL)*1000000+2*1000+5))</f>
        <v/>
      </c>
      <c r="EJ117" s="121">
        <f>IF(N('Dvd Calendar'!$J$1127)=0,"",IF(('Dvd Calendar'!$J$1127&gt;=GRID_FROM)*('Dvd Calendar'!$J$1127&lt;=GRID_TO)*((('Dvd Calendar'!$J$1127&lt;=VAL_DATE)+(COUNTIF('Dvd Calendar'!$E$1134:$AR$1134,'Dvd Calendar'!$J$1127)=0))&gt;0)=0,"",'Dvd Calendar'!$J$1127*1000000000+ISNUMBER('Dvd Calendar'!$J$1130)*100000000+('Dvd Calendar'!$J$1132=SPECIAL_LBL)*10000000+(N('Dvd Calendar'!$J$1126)&gt;0)*(N('Dvd Calendar'!$J$1126)&lt;=VAL_SERIAL)*1000000+2*1000+6))</f>
        <v/>
      </c>
      <c r="EK117" s="121">
        <f>IF(N('Dvd Calendar'!$K$1127)=0,"",IF(('Dvd Calendar'!$K$1127&gt;=GRID_FROM)*('Dvd Calendar'!$K$1127&lt;=GRID_TO)*((('Dvd Calendar'!$K$1127&lt;=VAL_DATE)+(COUNTIF('Dvd Calendar'!$E$1134:$AR$1134,'Dvd Calendar'!$K$1127)=0))&gt;0)=0,"",'Dvd Calendar'!$K$1127*1000000000+ISNUMBER('Dvd Calendar'!$K$1130)*100000000+('Dvd Calendar'!$K$1132=SPECIAL_LBL)*10000000+(N('Dvd Calendar'!$K$1126)&gt;0)*(N('Dvd Calendar'!$K$1126)&lt;=VAL_SERIAL)*1000000+2*1000+7))</f>
        <v/>
      </c>
      <c r="EL117" s="121">
        <f>IF(N('Dvd Calendar'!$L$1127)=0,"",IF(('Dvd Calendar'!$L$1127&gt;=GRID_FROM)*('Dvd Calendar'!$L$1127&lt;=GRID_TO)*((('Dvd Calendar'!$L$1127&lt;=VAL_DATE)+(COUNTIF('Dvd Calendar'!$E$1134:$AR$1134,'Dvd Calendar'!$L$1127)=0))&gt;0)=0,"",'Dvd Calendar'!$L$1127*1000000000+ISNUMBER('Dvd Calendar'!$L$1130)*100000000+('Dvd Calendar'!$L$1132=SPECIAL_LBL)*10000000+(N('Dvd Calendar'!$L$1126)&gt;0)*(N('Dvd Calendar'!$L$1126)&lt;=VAL_SERIAL)*1000000+2*1000+8))</f>
        <v/>
      </c>
      <c r="EM117" s="121">
        <f>IF(N('Dvd Calendar'!$M$1127)=0,"",IF(('Dvd Calendar'!$M$1127&gt;=GRID_FROM)*('Dvd Calendar'!$M$1127&lt;=GRID_TO)*((('Dvd Calendar'!$M$1127&lt;=VAL_DATE)+(COUNTIF('Dvd Calendar'!$E$1134:$AR$1134,'Dvd Calendar'!$M$1127)=0))&gt;0)=0,"",'Dvd Calendar'!$M$1127*1000000000+ISNUMBER('Dvd Calendar'!$M$1130)*100000000+('Dvd Calendar'!$M$1132=SPECIAL_LBL)*10000000+(N('Dvd Calendar'!$M$1126)&gt;0)*(N('Dvd Calendar'!$M$1126)&lt;=VAL_SERIAL)*1000000+2*1000+9))</f>
        <v/>
      </c>
      <c r="EN117" s="121">
        <f>IF(N('Dvd Calendar'!$N$1127)=0,"",IF(('Dvd Calendar'!$N$1127&gt;=GRID_FROM)*('Dvd Calendar'!$N$1127&lt;=GRID_TO)*((('Dvd Calendar'!$N$1127&lt;=VAL_DATE)+(COUNTIF('Dvd Calendar'!$E$1134:$AR$1134,'Dvd Calendar'!$N$1127)=0))&gt;0)=0,"",'Dvd Calendar'!$N$1127*1000000000+ISNUMBER('Dvd Calendar'!$N$1130)*100000000+('Dvd Calendar'!$N$1132=SPECIAL_LBL)*10000000+(N('Dvd Calendar'!$N$1126)&gt;0)*(N('Dvd Calendar'!$N$1126)&lt;=VAL_SERIAL)*1000000+2*1000+10))</f>
        <v/>
      </c>
      <c r="EO117" s="121">
        <f>IF(N('Dvd Calendar'!$O$1127)=0,"",IF(('Dvd Calendar'!$O$1127&gt;=GRID_FROM)*('Dvd Calendar'!$O$1127&lt;=GRID_TO)*((('Dvd Calendar'!$O$1127&lt;=VAL_DATE)+(COUNTIF('Dvd Calendar'!$E$1134:$AR$1134,'Dvd Calendar'!$O$1127)=0))&gt;0)=0,"",'Dvd Calendar'!$O$1127*1000000000+ISNUMBER('Dvd Calendar'!$O$1130)*100000000+('Dvd Calendar'!$O$1132=SPECIAL_LBL)*10000000+(N('Dvd Calendar'!$O$1126)&gt;0)*(N('Dvd Calendar'!$O$1126)&lt;=VAL_SERIAL)*1000000+2*1000+11))</f>
        <v/>
      </c>
      <c r="EP117" s="121">
        <f>IF(N('Dvd Calendar'!$P$1127)=0,"",IF(('Dvd Calendar'!$P$1127&gt;=GRID_FROM)*('Dvd Calendar'!$P$1127&lt;=GRID_TO)*((('Dvd Calendar'!$P$1127&lt;=VAL_DATE)+(COUNTIF('Dvd Calendar'!$E$1134:$AR$1134,'Dvd Calendar'!$P$1127)=0))&gt;0)=0,"",'Dvd Calendar'!$P$1127*1000000000+ISNUMBER('Dvd Calendar'!$P$1130)*100000000+('Dvd Calendar'!$P$1132=SPECIAL_LBL)*10000000+(N('Dvd Calendar'!$P$1126)&gt;0)*(N('Dvd Calendar'!$P$1126)&lt;=VAL_SERIAL)*1000000+2*1000+12))</f>
        <v/>
      </c>
      <c r="EQ117" s="121">
        <f>IF(N('Dvd Calendar'!$Q$1127)=0,"",IF(('Dvd Calendar'!$Q$1127&gt;=GRID_FROM)*('Dvd Calendar'!$Q$1127&lt;=GRID_TO)*((('Dvd Calendar'!$Q$1127&lt;=VAL_DATE)+(COUNTIF('Dvd Calendar'!$E$1134:$AR$1134,'Dvd Calendar'!$Q$1127)=0))&gt;0)=0,"",'Dvd Calendar'!$Q$1127*1000000000+ISNUMBER('Dvd Calendar'!$Q$1130)*100000000+('Dvd Calendar'!$Q$1132=SPECIAL_LBL)*10000000+(N('Dvd Calendar'!$Q$1126)&gt;0)*(N('Dvd Calendar'!$Q$1126)&lt;=VAL_SERIAL)*1000000+2*1000+13))</f>
        <v/>
      </c>
      <c r="ER117" s="121">
        <f>IF(N('Dvd Calendar'!$R$1127)=0,"",IF(('Dvd Calendar'!$R$1127&gt;=GRID_FROM)*('Dvd Calendar'!$R$1127&lt;=GRID_TO)*((('Dvd Calendar'!$R$1127&lt;=VAL_DATE)+(COUNTIF('Dvd Calendar'!$E$1134:$AR$1134,'Dvd Calendar'!$R$1127)=0))&gt;0)=0,"",'Dvd Calendar'!$R$1127*1000000000+ISNUMBER('Dvd Calendar'!$R$1130)*100000000+('Dvd Calendar'!$R$1132=SPECIAL_LBL)*10000000+(N('Dvd Calendar'!$R$1126)&gt;0)*(N('Dvd Calendar'!$R$1126)&lt;=VAL_SERIAL)*1000000+2*1000+14))</f>
        <v/>
      </c>
      <c r="ES117" s="121">
        <f>IF(N('Dvd Calendar'!$S$1127)=0,"",IF(('Dvd Calendar'!$S$1127&gt;=GRID_FROM)*('Dvd Calendar'!$S$1127&lt;=GRID_TO)*((('Dvd Calendar'!$S$1127&lt;=VAL_DATE)+(COUNTIF('Dvd Calendar'!$E$1134:$AR$1134,'Dvd Calendar'!$S$1127)=0))&gt;0)=0,"",'Dvd Calendar'!$S$1127*1000000000+ISNUMBER('Dvd Calendar'!$S$1130)*100000000+('Dvd Calendar'!$S$1132=SPECIAL_LBL)*10000000+(N('Dvd Calendar'!$S$1126)&gt;0)*(N('Dvd Calendar'!$S$1126)&lt;=VAL_SERIAL)*1000000+2*1000+15))</f>
        <v/>
      </c>
      <c r="ET117" s="121">
        <f>IF(N('Dvd Calendar'!$T$1127)=0,"",IF(('Dvd Calendar'!$T$1127&gt;=GRID_FROM)*('Dvd Calendar'!$T$1127&lt;=GRID_TO)*((('Dvd Calendar'!$T$1127&lt;=VAL_DATE)+(COUNTIF('Dvd Calendar'!$E$1134:$AR$1134,'Dvd Calendar'!$T$1127)=0))&gt;0)=0,"",'Dvd Calendar'!$T$1127*1000000000+ISNUMBER('Dvd Calendar'!$T$1130)*100000000+('Dvd Calendar'!$T$1132=SPECIAL_LBL)*10000000+(N('Dvd Calendar'!$T$1126)&gt;0)*(N('Dvd Calendar'!$T$1126)&lt;=VAL_SERIAL)*1000000+2*1000+16))</f>
        <v/>
      </c>
      <c r="EU117" s="121">
        <f>IF(N('Dvd Calendar'!$U$1127)=0,"",IF(('Dvd Calendar'!$U$1127&gt;=GRID_FROM)*('Dvd Calendar'!$U$1127&lt;=GRID_TO)*((('Dvd Calendar'!$U$1127&lt;=VAL_DATE)+(COUNTIF('Dvd Calendar'!$E$1134:$AR$1134,'Dvd Calendar'!$U$1127)=0))&gt;0)=0,"",'Dvd Calendar'!$U$1127*1000000000+ISNUMBER('Dvd Calendar'!$U$1130)*100000000+('Dvd Calendar'!$U$1132=SPECIAL_LBL)*10000000+(N('Dvd Calendar'!$U$1126)&gt;0)*(N('Dvd Calendar'!$U$1126)&lt;=VAL_SERIAL)*1000000+2*1000+17))</f>
        <v/>
      </c>
      <c r="EV117" s="121">
        <f>IF(N('Dvd Calendar'!$V$1127)=0,"",IF(('Dvd Calendar'!$V$1127&gt;=GRID_FROM)*('Dvd Calendar'!$V$1127&lt;=GRID_TO)*((('Dvd Calendar'!$V$1127&lt;=VAL_DATE)+(COUNTIF('Dvd Calendar'!$E$1134:$AR$1134,'Dvd Calendar'!$V$1127)=0))&gt;0)=0,"",'Dvd Calendar'!$V$1127*1000000000+ISNUMBER('Dvd Calendar'!$V$1130)*100000000+('Dvd Calendar'!$V$1132=SPECIAL_LBL)*10000000+(N('Dvd Calendar'!$V$1126)&gt;0)*(N('Dvd Calendar'!$V$1126)&lt;=VAL_SERIAL)*1000000+2*1000+18))</f>
        <v/>
      </c>
      <c r="EW117" s="121">
        <f>IF(N('Dvd Calendar'!$W$1127)=0,"",IF(('Dvd Calendar'!$W$1127&gt;=GRID_FROM)*('Dvd Calendar'!$W$1127&lt;=GRID_TO)*((('Dvd Calendar'!$W$1127&lt;=VAL_DATE)+(COUNTIF('Dvd Calendar'!$E$1134:$AR$1134,'Dvd Calendar'!$W$1127)=0))&gt;0)=0,"",'Dvd Calendar'!$W$1127*1000000000+ISNUMBER('Dvd Calendar'!$W$1130)*100000000+('Dvd Calendar'!$W$1132=SPECIAL_LBL)*10000000+(N('Dvd Calendar'!$W$1126)&gt;0)*(N('Dvd Calendar'!$W$1126)&lt;=VAL_SERIAL)*1000000+2*1000+19))</f>
        <v/>
      </c>
      <c r="EX117" s="121">
        <f>IF(N('Dvd Calendar'!$X$1127)=0,"",IF(('Dvd Calendar'!$X$1127&gt;=GRID_FROM)*('Dvd Calendar'!$X$1127&lt;=GRID_TO)*((('Dvd Calendar'!$X$1127&lt;=VAL_DATE)+(COUNTIF('Dvd Calendar'!$E$1134:$AR$1134,'Dvd Calendar'!$X$1127)=0))&gt;0)=0,"",'Dvd Calendar'!$X$1127*1000000000+ISNUMBER('Dvd Calendar'!$X$1130)*100000000+('Dvd Calendar'!$X$1132=SPECIAL_LBL)*10000000+(N('Dvd Calendar'!$X$1126)&gt;0)*(N('Dvd Calendar'!$X$1126)&lt;=VAL_SERIAL)*1000000+2*1000+20))</f>
        <v/>
      </c>
      <c r="EY117" s="121">
        <f>IF(N('Dvd Calendar'!$Y$1127)=0,"",IF(('Dvd Calendar'!$Y$1127&gt;=GRID_FROM)*('Dvd Calendar'!$Y$1127&lt;=GRID_TO)*((('Dvd Calendar'!$Y$1127&lt;=VAL_DATE)+(COUNTIF('Dvd Calendar'!$E$1134:$AR$1134,'Dvd Calendar'!$Y$1127)=0))&gt;0)=0,"",'Dvd Calendar'!$Y$1127*1000000000+ISNUMBER('Dvd Calendar'!$Y$1130)*100000000+('Dvd Calendar'!$Y$1132=SPECIAL_LBL)*10000000+(N('Dvd Calendar'!$Y$1126)&gt;0)*(N('Dvd Calendar'!$Y$1126)&lt;=VAL_SERIAL)*1000000+2*1000+21))</f>
        <v/>
      </c>
      <c r="EZ117" s="121">
        <f>IF(N('Dvd Calendar'!$Z$1127)=0,"",IF(('Dvd Calendar'!$Z$1127&gt;=GRID_FROM)*('Dvd Calendar'!$Z$1127&lt;=GRID_TO)*((('Dvd Calendar'!$Z$1127&lt;=VAL_DATE)+(COUNTIF('Dvd Calendar'!$E$1134:$AR$1134,'Dvd Calendar'!$Z$1127)=0))&gt;0)=0,"",'Dvd Calendar'!$Z$1127*1000000000+ISNUMBER('Dvd Calendar'!$Z$1130)*100000000+('Dvd Calendar'!$Z$1132=SPECIAL_LBL)*10000000+(N('Dvd Calendar'!$Z$1126)&gt;0)*(N('Dvd Calendar'!$Z$1126)&lt;=VAL_SERIAL)*1000000+2*1000+22))</f>
        <v/>
      </c>
      <c r="FA117" s="121">
        <f>IF(N('Dvd Calendar'!$AA$1127)=0,"",IF(('Dvd Calendar'!$AA$1127&gt;=GRID_FROM)*('Dvd Calendar'!$AA$1127&lt;=GRID_TO)*((('Dvd Calendar'!$AA$1127&lt;=VAL_DATE)+(COUNTIF('Dvd Calendar'!$E$1134:$AR$1134,'Dvd Calendar'!$AA$1127)=0))&gt;0)=0,"",'Dvd Calendar'!$AA$1127*1000000000+ISNUMBER('Dvd Calendar'!$AA$1130)*100000000+('Dvd Calendar'!$AA$1132=SPECIAL_LBL)*10000000+(N('Dvd Calendar'!$AA$1126)&gt;0)*(N('Dvd Calendar'!$AA$1126)&lt;=VAL_SERIAL)*1000000+2*1000+23))</f>
        <v/>
      </c>
      <c r="FB117" s="121">
        <f>IF(N('Dvd Calendar'!$AB$1127)=0,"",IF(('Dvd Calendar'!$AB$1127&gt;=GRID_FROM)*('Dvd Calendar'!$AB$1127&lt;=GRID_TO)*((('Dvd Calendar'!$AB$1127&lt;=VAL_DATE)+(COUNTIF('Dvd Calendar'!$E$1134:$AR$1134,'Dvd Calendar'!$AB$1127)=0))&gt;0)=0,"",'Dvd Calendar'!$AB$1127*1000000000+ISNUMBER('Dvd Calendar'!$AB$1130)*100000000+('Dvd Calendar'!$AB$1132=SPECIAL_LBL)*10000000+(N('Dvd Calendar'!$AB$1126)&gt;0)*(N('Dvd Calendar'!$AB$1126)&lt;=VAL_SERIAL)*1000000+2*1000+24))</f>
        <v/>
      </c>
      <c r="FC117" s="121">
        <f>IF(N('Dvd Calendar'!$AC$1127)=0,"",IF(('Dvd Calendar'!$AC$1127&gt;=GRID_FROM)*('Dvd Calendar'!$AC$1127&lt;=GRID_TO)*((('Dvd Calendar'!$AC$1127&lt;=VAL_DATE)+(COUNTIF('Dvd Calendar'!$E$1134:$AR$1134,'Dvd Calendar'!$AC$1127)=0))&gt;0)=0,"",'Dvd Calendar'!$AC$1127*1000000000+ISNUMBER('Dvd Calendar'!$AC$1130)*100000000+('Dvd Calendar'!$AC$1132=SPECIAL_LBL)*10000000+(N('Dvd Calendar'!$AC$1126)&gt;0)*(N('Dvd Calendar'!$AC$1126)&lt;=VAL_SERIAL)*1000000+2*1000+25))</f>
        <v/>
      </c>
      <c r="FD117" s="121">
        <f>IF(N('Dvd Calendar'!$AD$1127)=0,"",IF(('Dvd Calendar'!$AD$1127&gt;=GRID_FROM)*('Dvd Calendar'!$AD$1127&lt;=GRID_TO)*((('Dvd Calendar'!$AD$1127&lt;=VAL_DATE)+(COUNTIF('Dvd Calendar'!$E$1134:$AR$1134,'Dvd Calendar'!$AD$1127)=0))&gt;0)=0,"",'Dvd Calendar'!$AD$1127*1000000000+ISNUMBER('Dvd Calendar'!$AD$1130)*100000000+('Dvd Calendar'!$AD$1132=SPECIAL_LBL)*10000000+(N('Dvd Calendar'!$AD$1126)&gt;0)*(N('Dvd Calendar'!$AD$1126)&lt;=VAL_SERIAL)*1000000+2*1000+26))</f>
        <v/>
      </c>
      <c r="FE117" s="121">
        <f>IF(N('Dvd Calendar'!$AE$1127)=0,"",IF(('Dvd Calendar'!$AE$1127&gt;=GRID_FROM)*('Dvd Calendar'!$AE$1127&lt;=GRID_TO)*((('Dvd Calendar'!$AE$1127&lt;=VAL_DATE)+(COUNTIF('Dvd Calendar'!$E$1134:$AR$1134,'Dvd Calendar'!$AE$1127)=0))&gt;0)=0,"",'Dvd Calendar'!$AE$1127*1000000000+ISNUMBER('Dvd Calendar'!$AE$1130)*100000000+('Dvd Calendar'!$AE$1132=SPECIAL_LBL)*10000000+(N('Dvd Calendar'!$AE$1126)&gt;0)*(N('Dvd Calendar'!$AE$1126)&lt;=VAL_SERIAL)*1000000+2*1000+27))</f>
        <v/>
      </c>
      <c r="FF117" s="121">
        <f>IF(N('Dvd Calendar'!$AF$1127)=0,"",IF(('Dvd Calendar'!$AF$1127&gt;=GRID_FROM)*('Dvd Calendar'!$AF$1127&lt;=GRID_TO)*((('Dvd Calendar'!$AF$1127&lt;=VAL_DATE)+(COUNTIF('Dvd Calendar'!$E$1134:$AR$1134,'Dvd Calendar'!$AF$1127)=0))&gt;0)=0,"",'Dvd Calendar'!$AF$1127*1000000000+ISNUMBER('Dvd Calendar'!$AF$1130)*100000000+('Dvd Calendar'!$AF$1132=SPECIAL_LBL)*10000000+(N('Dvd Calendar'!$AF$1126)&gt;0)*(N('Dvd Calendar'!$AF$1126)&lt;=VAL_SERIAL)*1000000+2*1000+28))</f>
        <v/>
      </c>
      <c r="FG117" s="121">
        <f>IF(N('Dvd Calendar'!$AG$1127)=0,"",IF(('Dvd Calendar'!$AG$1127&gt;=GRID_FROM)*('Dvd Calendar'!$AG$1127&lt;=GRID_TO)*((('Dvd Calendar'!$AG$1127&lt;=VAL_DATE)+(COUNTIF('Dvd Calendar'!$E$1134:$AR$1134,'Dvd Calendar'!$AG$1127)=0))&gt;0)=0,"",'Dvd Calendar'!$AG$1127*1000000000+ISNUMBER('Dvd Calendar'!$AG$1130)*100000000+('Dvd Calendar'!$AG$1132=SPECIAL_LBL)*10000000+(N('Dvd Calendar'!$AG$1126)&gt;0)*(N('Dvd Calendar'!$AG$1126)&lt;=VAL_SERIAL)*1000000+2*1000+29))</f>
        <v/>
      </c>
      <c r="FH117" s="121">
        <f>IF(N('Dvd Calendar'!$AH$1127)=0,"",IF(('Dvd Calendar'!$AH$1127&gt;=GRID_FROM)*('Dvd Calendar'!$AH$1127&lt;=GRID_TO)*((('Dvd Calendar'!$AH$1127&lt;=VAL_DATE)+(COUNTIF('Dvd Calendar'!$E$1134:$AR$1134,'Dvd Calendar'!$AH$1127)=0))&gt;0)=0,"",'Dvd Calendar'!$AH$1127*1000000000+ISNUMBER('Dvd Calendar'!$AH$1130)*100000000+('Dvd Calendar'!$AH$1132=SPECIAL_LBL)*10000000+(N('Dvd Calendar'!$AH$1126)&gt;0)*(N('Dvd Calendar'!$AH$1126)&lt;=VAL_SERIAL)*1000000+2*1000+30))</f>
        <v/>
      </c>
      <c r="FI117" s="121">
        <f>IF(N('Dvd Calendar'!$AI$1127)=0,"",IF(('Dvd Calendar'!$AI$1127&gt;=GRID_FROM)*('Dvd Calendar'!$AI$1127&lt;=GRID_TO)*((('Dvd Calendar'!$AI$1127&lt;=VAL_DATE)+(COUNTIF('Dvd Calendar'!$E$1134:$AR$1134,'Dvd Calendar'!$AI$1127)=0))&gt;0)=0,"",'Dvd Calendar'!$AI$1127*1000000000+ISNUMBER('Dvd Calendar'!$AI$1130)*100000000+('Dvd Calendar'!$AI$1132=SPECIAL_LBL)*10000000+(N('Dvd Calendar'!$AI$1126)&gt;0)*(N('Dvd Calendar'!$AI$1126)&lt;=VAL_SERIAL)*1000000+2*1000+31))</f>
        <v/>
      </c>
      <c r="FJ117" s="121">
        <f>IF(N('Dvd Calendar'!$AJ$1127)=0,"",IF(('Dvd Calendar'!$AJ$1127&gt;=GRID_FROM)*('Dvd Calendar'!$AJ$1127&lt;=GRID_TO)*((('Dvd Calendar'!$AJ$1127&lt;=VAL_DATE)+(COUNTIF('Dvd Calendar'!$E$1134:$AR$1134,'Dvd Calendar'!$AJ$1127)=0))&gt;0)=0,"",'Dvd Calendar'!$AJ$1127*1000000000+ISNUMBER('Dvd Calendar'!$AJ$1130)*100000000+('Dvd Calendar'!$AJ$1132=SPECIAL_LBL)*10000000+(N('Dvd Calendar'!$AJ$1126)&gt;0)*(N('Dvd Calendar'!$AJ$1126)&lt;=VAL_SERIAL)*1000000+2*1000+32))</f>
        <v/>
      </c>
      <c r="FK117" s="121">
        <f>IF(N('Dvd Calendar'!$AK$1127)=0,"",IF(('Dvd Calendar'!$AK$1127&gt;=GRID_FROM)*('Dvd Calendar'!$AK$1127&lt;=GRID_TO)*((('Dvd Calendar'!$AK$1127&lt;=VAL_DATE)+(COUNTIF('Dvd Calendar'!$E$1134:$AR$1134,'Dvd Calendar'!$AK$1127)=0))&gt;0)=0,"",'Dvd Calendar'!$AK$1127*1000000000+ISNUMBER('Dvd Calendar'!$AK$1130)*100000000+('Dvd Calendar'!$AK$1132=SPECIAL_LBL)*10000000+(N('Dvd Calendar'!$AK$1126)&gt;0)*(N('Dvd Calendar'!$AK$1126)&lt;=VAL_SERIAL)*1000000+2*1000+33))</f>
        <v/>
      </c>
      <c r="FL117" s="121">
        <f>IF(N('Dvd Calendar'!$AL$1127)=0,"",IF(('Dvd Calendar'!$AL$1127&gt;=GRID_FROM)*('Dvd Calendar'!$AL$1127&lt;=GRID_TO)*((('Dvd Calendar'!$AL$1127&lt;=VAL_DATE)+(COUNTIF('Dvd Calendar'!$E$1134:$AR$1134,'Dvd Calendar'!$AL$1127)=0))&gt;0)=0,"",'Dvd Calendar'!$AL$1127*1000000000+ISNUMBER('Dvd Calendar'!$AL$1130)*100000000+('Dvd Calendar'!$AL$1132=SPECIAL_LBL)*10000000+(N('Dvd Calendar'!$AL$1126)&gt;0)*(N('Dvd Calendar'!$AL$1126)&lt;=VAL_SERIAL)*1000000+2*1000+34))</f>
        <v/>
      </c>
      <c r="FM117" s="121">
        <f>IF(N('Dvd Calendar'!$AM$1127)=0,"",IF(('Dvd Calendar'!$AM$1127&gt;=GRID_FROM)*('Dvd Calendar'!$AM$1127&lt;=GRID_TO)*((('Dvd Calendar'!$AM$1127&lt;=VAL_DATE)+(COUNTIF('Dvd Calendar'!$E$1134:$AR$1134,'Dvd Calendar'!$AM$1127)=0))&gt;0)=0,"",'Dvd Calendar'!$AM$1127*1000000000+ISNUMBER('Dvd Calendar'!$AM$1130)*100000000+('Dvd Calendar'!$AM$1132=SPECIAL_LBL)*10000000+(N('Dvd Calendar'!$AM$1126)&gt;0)*(N('Dvd Calendar'!$AM$1126)&lt;=VAL_SERIAL)*1000000+2*1000+35))</f>
        <v/>
      </c>
      <c r="FN117" s="121">
        <f>IF(N('Dvd Calendar'!$AN$1127)=0,"",IF(('Dvd Calendar'!$AN$1127&gt;=GRID_FROM)*('Dvd Calendar'!$AN$1127&lt;=GRID_TO)*((('Dvd Calendar'!$AN$1127&lt;=VAL_DATE)+(COUNTIF('Dvd Calendar'!$E$1134:$AR$1134,'Dvd Calendar'!$AN$1127)=0))&gt;0)=0,"",'Dvd Calendar'!$AN$1127*1000000000+ISNUMBER('Dvd Calendar'!$AN$1130)*100000000+('Dvd Calendar'!$AN$1132=SPECIAL_LBL)*10000000+(N('Dvd Calendar'!$AN$1126)&gt;0)*(N('Dvd Calendar'!$AN$1126)&lt;=VAL_SERIAL)*1000000+2*1000+36))</f>
        <v/>
      </c>
      <c r="FO117" s="121">
        <f>IF(N('Dvd Calendar'!$AO$1127)=0,"",IF(('Dvd Calendar'!$AO$1127&gt;=GRID_FROM)*('Dvd Calendar'!$AO$1127&lt;=GRID_TO)*((('Dvd Calendar'!$AO$1127&lt;=VAL_DATE)+(COUNTIF('Dvd Calendar'!$E$1134:$AR$1134,'Dvd Calendar'!$AO$1127)=0))&gt;0)=0,"",'Dvd Calendar'!$AO$1127*1000000000+ISNUMBER('Dvd Calendar'!$AO$1130)*100000000+('Dvd Calendar'!$AO$1132=SPECIAL_LBL)*10000000+(N('Dvd Calendar'!$AO$1126)&gt;0)*(N('Dvd Calendar'!$AO$1126)&lt;=VAL_SERIAL)*1000000+2*1000+37))</f>
        <v/>
      </c>
      <c r="FP117" s="121">
        <f>IF(N('Dvd Calendar'!$AP$1127)=0,"",IF(('Dvd Calendar'!$AP$1127&gt;=GRID_FROM)*('Dvd Calendar'!$AP$1127&lt;=GRID_TO)*((('Dvd Calendar'!$AP$1127&lt;=VAL_DATE)+(COUNTIF('Dvd Calendar'!$E$1134:$AR$1134,'Dvd Calendar'!$AP$1127)=0))&gt;0)=0,"",'Dvd Calendar'!$AP$1127*1000000000+ISNUMBER('Dvd Calendar'!$AP$1130)*100000000+('Dvd Calendar'!$AP$1132=SPECIAL_LBL)*10000000+(N('Dvd Calendar'!$AP$1126)&gt;0)*(N('Dvd Calendar'!$AP$1126)&lt;=VAL_SERIAL)*1000000+2*1000+38))</f>
        <v/>
      </c>
      <c r="FQ117" s="121">
        <f>IF(N('Dvd Calendar'!$AQ$1127)=0,"",IF(('Dvd Calendar'!$AQ$1127&gt;=GRID_FROM)*('Dvd Calendar'!$AQ$1127&lt;=GRID_TO)*((('Dvd Calendar'!$AQ$1127&lt;=VAL_DATE)+(COUNTIF('Dvd Calendar'!$E$1134:$AR$1134,'Dvd Calendar'!$AQ$1127)=0))&gt;0)=0,"",'Dvd Calendar'!$AQ$1127*1000000000+ISNUMBER('Dvd Calendar'!$AQ$1130)*100000000+('Dvd Calendar'!$AQ$1132=SPECIAL_LBL)*10000000+(N('Dvd Calendar'!$AQ$1126)&gt;0)*(N('Dvd Calendar'!$AQ$1126)&lt;=VAL_SERIAL)*1000000+2*1000+39))</f>
        <v/>
      </c>
      <c r="FR117" s="121">
        <f>IF(N('Dvd Calendar'!$AR$1127)=0,"",IF(('Dvd Calendar'!$AR$1127&gt;=GRID_FROM)*('Dvd Calendar'!$AR$1127&lt;=GRID_TO)*((('Dvd Calendar'!$AR$1127&lt;=VAL_DATE)+(COUNTIF('Dvd Calendar'!$E$1134:$AR$1134,'Dvd Calendar'!$AR$1127)=0))&gt;0)=0,"",'Dvd Calendar'!$AR$1127*1000000000+ISNUMBER('Dvd Calendar'!$AR$1130)*100000000+('Dvd Calendar'!$AR$1132=SPECIAL_LBL)*10000000+(N('Dvd Calendar'!$AR$1126)&gt;0)*(N('Dvd Calendar'!$AR$1126)&lt;=VAL_SERIAL)*1000000+2*1000+40))</f>
        <v/>
      </c>
      <c r="FS117" s="121">
        <f>IF(N('Dvd Calendar'!$E$1134)=0,"",IF(('Dvd Calendar'!$E$1134&gt;=GRID_FROM)*('Dvd Calendar'!$E$1134&lt;=GRID_TO)*('Dvd Calendar'!$E$1134&gt;VAL_DATE)=0,"",'Dvd Calendar'!$E$1134*1000000000+ISNUMBER('Dvd Calendar'!$E$1135)*100000000+0*10000000+(N('Dvd Calendar'!$E$1133)&gt;0)*(N('Dvd Calendar'!$E$1133)&lt;=VAL_SERIAL)*1000000+2*1000+41))</f>
        <v/>
      </c>
      <c r="FT117" s="121">
        <f>IF(N('Dvd Calendar'!$F$1134)=0,"",IF(('Dvd Calendar'!$F$1134&gt;=GRID_FROM)*('Dvd Calendar'!$F$1134&lt;=GRID_TO)*('Dvd Calendar'!$F$1134&gt;VAL_DATE)=0,"",'Dvd Calendar'!$F$1134*1000000000+ISNUMBER('Dvd Calendar'!$F$1135)*100000000+0*10000000+(N('Dvd Calendar'!$F$1133)&gt;0)*(N('Dvd Calendar'!$F$1133)&lt;=VAL_SERIAL)*1000000+2*1000+42))</f>
        <v/>
      </c>
      <c r="FU117" s="121">
        <f>IF(N('Dvd Calendar'!$G$1134)=0,"",IF(('Dvd Calendar'!$G$1134&gt;=GRID_FROM)*('Dvd Calendar'!$G$1134&lt;=GRID_TO)*('Dvd Calendar'!$G$1134&gt;VAL_DATE)=0,"",'Dvd Calendar'!$G$1134*1000000000+ISNUMBER('Dvd Calendar'!$G$1135)*100000000+0*10000000+(N('Dvd Calendar'!$G$1133)&gt;0)*(N('Dvd Calendar'!$G$1133)&lt;=VAL_SERIAL)*1000000+2*1000+43))</f>
        <v/>
      </c>
      <c r="FV117" s="121">
        <f>IF(N('Dvd Calendar'!$H$1134)=0,"",IF(('Dvd Calendar'!$H$1134&gt;=GRID_FROM)*('Dvd Calendar'!$H$1134&lt;=GRID_TO)*('Dvd Calendar'!$H$1134&gt;VAL_DATE)=0,"",'Dvd Calendar'!$H$1134*1000000000+ISNUMBER('Dvd Calendar'!$H$1135)*100000000+0*10000000+(N('Dvd Calendar'!$H$1133)&gt;0)*(N('Dvd Calendar'!$H$1133)&lt;=VAL_SERIAL)*1000000+2*1000+44))</f>
        <v/>
      </c>
      <c r="FW117" s="121">
        <f>IF(N('Dvd Calendar'!$I$1134)=0,"",IF(('Dvd Calendar'!$I$1134&gt;=GRID_FROM)*('Dvd Calendar'!$I$1134&lt;=GRID_TO)*('Dvd Calendar'!$I$1134&gt;VAL_DATE)=0,"",'Dvd Calendar'!$I$1134*1000000000+ISNUMBER('Dvd Calendar'!$I$1135)*100000000+0*10000000+(N('Dvd Calendar'!$I$1133)&gt;0)*(N('Dvd Calendar'!$I$1133)&lt;=VAL_SERIAL)*1000000+2*1000+45))</f>
        <v/>
      </c>
      <c r="FX117" s="121">
        <f>IF(N('Dvd Calendar'!$J$1134)=0,"",IF(('Dvd Calendar'!$J$1134&gt;=GRID_FROM)*('Dvd Calendar'!$J$1134&lt;=GRID_TO)*('Dvd Calendar'!$J$1134&gt;VAL_DATE)=0,"",'Dvd Calendar'!$J$1134*1000000000+ISNUMBER('Dvd Calendar'!$J$1135)*100000000+0*10000000+(N('Dvd Calendar'!$J$1133)&gt;0)*(N('Dvd Calendar'!$J$1133)&lt;=VAL_SERIAL)*1000000+2*1000+46))</f>
        <v/>
      </c>
      <c r="FY117" s="121">
        <f>IF(N('Dvd Calendar'!$K$1134)=0,"",IF(('Dvd Calendar'!$K$1134&gt;=GRID_FROM)*('Dvd Calendar'!$K$1134&lt;=GRID_TO)*('Dvd Calendar'!$K$1134&gt;VAL_DATE)=0,"",'Dvd Calendar'!$K$1134*1000000000+ISNUMBER('Dvd Calendar'!$K$1135)*100000000+0*10000000+(N('Dvd Calendar'!$K$1133)&gt;0)*(N('Dvd Calendar'!$K$1133)&lt;=VAL_SERIAL)*1000000+2*1000+47))</f>
        <v/>
      </c>
      <c r="FZ117" s="121">
        <f>IF(N('Dvd Calendar'!$L$1134)=0,"",IF(('Dvd Calendar'!$L$1134&gt;=GRID_FROM)*('Dvd Calendar'!$L$1134&lt;=GRID_TO)*('Dvd Calendar'!$L$1134&gt;VAL_DATE)=0,"",'Dvd Calendar'!$L$1134*1000000000+ISNUMBER('Dvd Calendar'!$L$1135)*100000000+0*10000000+(N('Dvd Calendar'!$L$1133)&gt;0)*(N('Dvd Calendar'!$L$1133)&lt;=VAL_SERIAL)*1000000+2*1000+48))</f>
        <v/>
      </c>
      <c r="GA117" s="121">
        <f>IF(N('Dvd Calendar'!$M$1134)=0,"",IF(('Dvd Calendar'!$M$1134&gt;=GRID_FROM)*('Dvd Calendar'!$M$1134&lt;=GRID_TO)*('Dvd Calendar'!$M$1134&gt;VAL_DATE)=0,"",'Dvd Calendar'!$M$1134*1000000000+ISNUMBER('Dvd Calendar'!$M$1135)*100000000+0*10000000+(N('Dvd Calendar'!$M$1133)&gt;0)*(N('Dvd Calendar'!$M$1133)&lt;=VAL_SERIAL)*1000000+2*1000+49))</f>
        <v/>
      </c>
      <c r="GB117" s="121">
        <f>IF(N('Dvd Calendar'!$N$1134)=0,"",IF(('Dvd Calendar'!$N$1134&gt;=GRID_FROM)*('Dvd Calendar'!$N$1134&lt;=GRID_TO)*('Dvd Calendar'!$N$1134&gt;VAL_DATE)=0,"",'Dvd Calendar'!$N$1134*1000000000+ISNUMBER('Dvd Calendar'!$N$1135)*100000000+0*10000000+(N('Dvd Calendar'!$N$1133)&gt;0)*(N('Dvd Calendar'!$N$1133)&lt;=VAL_SERIAL)*1000000+2*1000+50))</f>
        <v/>
      </c>
      <c r="GC117" s="121">
        <f>IF(N('Dvd Calendar'!$O$1134)=0,"",IF(('Dvd Calendar'!$O$1134&gt;=GRID_FROM)*('Dvd Calendar'!$O$1134&lt;=GRID_TO)*('Dvd Calendar'!$O$1134&gt;VAL_DATE)=0,"",'Dvd Calendar'!$O$1134*1000000000+ISNUMBER('Dvd Calendar'!$O$1135)*100000000+0*10000000+(N('Dvd Calendar'!$O$1133)&gt;0)*(N('Dvd Calendar'!$O$1133)&lt;=VAL_SERIAL)*1000000+2*1000+51))</f>
        <v/>
      </c>
      <c r="GD117" s="121">
        <f>IF(N('Dvd Calendar'!$P$1134)=0,"",IF(('Dvd Calendar'!$P$1134&gt;=GRID_FROM)*('Dvd Calendar'!$P$1134&lt;=GRID_TO)*('Dvd Calendar'!$P$1134&gt;VAL_DATE)=0,"",'Dvd Calendar'!$P$1134*1000000000+ISNUMBER('Dvd Calendar'!$P$1135)*100000000+0*10000000+(N('Dvd Calendar'!$P$1133)&gt;0)*(N('Dvd Calendar'!$P$1133)&lt;=VAL_SERIAL)*1000000+2*1000+52))</f>
        <v/>
      </c>
      <c r="GE117" s="121">
        <f>IF(N('Dvd Calendar'!$Q$1134)=0,"",IF(('Dvd Calendar'!$Q$1134&gt;=GRID_FROM)*('Dvd Calendar'!$Q$1134&lt;=GRID_TO)*('Dvd Calendar'!$Q$1134&gt;VAL_DATE)=0,"",'Dvd Calendar'!$Q$1134*1000000000+ISNUMBER('Dvd Calendar'!$Q$1135)*100000000+0*10000000+(N('Dvd Calendar'!$Q$1133)&gt;0)*(N('Dvd Calendar'!$Q$1133)&lt;=VAL_SERIAL)*1000000+2*1000+53))</f>
        <v/>
      </c>
      <c r="GF117" s="121">
        <f>IF(N('Dvd Calendar'!$R$1134)=0,"",IF(('Dvd Calendar'!$R$1134&gt;=GRID_FROM)*('Dvd Calendar'!$R$1134&lt;=GRID_TO)*('Dvd Calendar'!$R$1134&gt;VAL_DATE)=0,"",'Dvd Calendar'!$R$1134*1000000000+ISNUMBER('Dvd Calendar'!$R$1135)*100000000+0*10000000+(N('Dvd Calendar'!$R$1133)&gt;0)*(N('Dvd Calendar'!$R$1133)&lt;=VAL_SERIAL)*1000000+2*1000+54))</f>
        <v/>
      </c>
      <c r="GG117" s="121">
        <f>IF(N('Dvd Calendar'!$S$1134)=0,"",IF(('Dvd Calendar'!$S$1134&gt;=GRID_FROM)*('Dvd Calendar'!$S$1134&lt;=GRID_TO)*('Dvd Calendar'!$S$1134&gt;VAL_DATE)=0,"",'Dvd Calendar'!$S$1134*1000000000+ISNUMBER('Dvd Calendar'!$S$1135)*100000000+0*10000000+(N('Dvd Calendar'!$S$1133)&gt;0)*(N('Dvd Calendar'!$S$1133)&lt;=VAL_SERIAL)*1000000+2*1000+55))</f>
        <v/>
      </c>
      <c r="GH117" s="121">
        <f>IF(N('Dvd Calendar'!$T$1134)=0,"",IF(('Dvd Calendar'!$T$1134&gt;=GRID_FROM)*('Dvd Calendar'!$T$1134&lt;=GRID_TO)*('Dvd Calendar'!$T$1134&gt;VAL_DATE)=0,"",'Dvd Calendar'!$T$1134*1000000000+ISNUMBER('Dvd Calendar'!$T$1135)*100000000+0*10000000+(N('Dvd Calendar'!$T$1133)&gt;0)*(N('Dvd Calendar'!$T$1133)&lt;=VAL_SERIAL)*1000000+2*1000+56))</f>
        <v/>
      </c>
      <c r="GI117" s="121">
        <f>IF(N('Dvd Calendar'!$U$1134)=0,"",IF(('Dvd Calendar'!$U$1134&gt;=GRID_FROM)*('Dvd Calendar'!$U$1134&lt;=GRID_TO)*('Dvd Calendar'!$U$1134&gt;VAL_DATE)=0,"",'Dvd Calendar'!$U$1134*1000000000+ISNUMBER('Dvd Calendar'!$U$1135)*100000000+0*10000000+(N('Dvd Calendar'!$U$1133)&gt;0)*(N('Dvd Calendar'!$U$1133)&lt;=VAL_SERIAL)*1000000+2*1000+57))</f>
        <v/>
      </c>
      <c r="GJ117" s="121">
        <f>IF(N('Dvd Calendar'!$V$1134)=0,"",IF(('Dvd Calendar'!$V$1134&gt;=GRID_FROM)*('Dvd Calendar'!$V$1134&lt;=GRID_TO)*('Dvd Calendar'!$V$1134&gt;VAL_DATE)=0,"",'Dvd Calendar'!$V$1134*1000000000+ISNUMBER('Dvd Calendar'!$V$1135)*100000000+0*10000000+(N('Dvd Calendar'!$V$1133)&gt;0)*(N('Dvd Calendar'!$V$1133)&lt;=VAL_SERIAL)*1000000+2*1000+58))</f>
        <v/>
      </c>
      <c r="GK117" s="121">
        <f>IF(N('Dvd Calendar'!$W$1134)=0,"",IF(('Dvd Calendar'!$W$1134&gt;=GRID_FROM)*('Dvd Calendar'!$W$1134&lt;=GRID_TO)*('Dvd Calendar'!$W$1134&gt;VAL_DATE)=0,"",'Dvd Calendar'!$W$1134*1000000000+ISNUMBER('Dvd Calendar'!$W$1135)*100000000+0*10000000+(N('Dvd Calendar'!$W$1133)&gt;0)*(N('Dvd Calendar'!$W$1133)&lt;=VAL_SERIAL)*1000000+2*1000+59))</f>
        <v/>
      </c>
      <c r="GL117" s="121">
        <f>IF(N('Dvd Calendar'!$X$1134)=0,"",IF(('Dvd Calendar'!$X$1134&gt;=GRID_FROM)*('Dvd Calendar'!$X$1134&lt;=GRID_TO)*('Dvd Calendar'!$X$1134&gt;VAL_DATE)=0,"",'Dvd Calendar'!$X$1134*1000000000+ISNUMBER('Dvd Calendar'!$X$1135)*100000000+0*10000000+(N('Dvd Calendar'!$X$1133)&gt;0)*(N('Dvd Calendar'!$X$1133)&lt;=VAL_SERIAL)*1000000+2*1000+60))</f>
        <v/>
      </c>
      <c r="GM117" s="121">
        <f>IF(N('Dvd Calendar'!$Y$1134)=0,"",IF(('Dvd Calendar'!$Y$1134&gt;=GRID_FROM)*('Dvd Calendar'!$Y$1134&lt;=GRID_TO)*('Dvd Calendar'!$Y$1134&gt;VAL_DATE)=0,"",'Dvd Calendar'!$Y$1134*1000000000+ISNUMBER('Dvd Calendar'!$Y$1135)*100000000+0*10000000+(N('Dvd Calendar'!$Y$1133)&gt;0)*(N('Dvd Calendar'!$Y$1133)&lt;=VAL_SERIAL)*1000000+2*1000+61))</f>
        <v/>
      </c>
      <c r="GN117" s="121">
        <f>IF(N('Dvd Calendar'!$Z$1134)=0,"",IF(('Dvd Calendar'!$Z$1134&gt;=GRID_FROM)*('Dvd Calendar'!$Z$1134&lt;=GRID_TO)*('Dvd Calendar'!$Z$1134&gt;VAL_DATE)=0,"",'Dvd Calendar'!$Z$1134*1000000000+ISNUMBER('Dvd Calendar'!$Z$1135)*100000000+0*10000000+(N('Dvd Calendar'!$Z$1133)&gt;0)*(N('Dvd Calendar'!$Z$1133)&lt;=VAL_SERIAL)*1000000+2*1000+62))</f>
        <v/>
      </c>
      <c r="GO117" s="121">
        <f>IF(N('Dvd Calendar'!$AA$1134)=0,"",IF(('Dvd Calendar'!$AA$1134&gt;=GRID_FROM)*('Dvd Calendar'!$AA$1134&lt;=GRID_TO)*('Dvd Calendar'!$AA$1134&gt;VAL_DATE)=0,"",'Dvd Calendar'!$AA$1134*1000000000+ISNUMBER('Dvd Calendar'!$AA$1135)*100000000+0*10000000+(N('Dvd Calendar'!$AA$1133)&gt;0)*(N('Dvd Calendar'!$AA$1133)&lt;=VAL_SERIAL)*1000000+2*1000+63))</f>
        <v/>
      </c>
      <c r="GP117" s="121">
        <f>IF(N('Dvd Calendar'!$AB$1134)=0,"",IF(('Dvd Calendar'!$AB$1134&gt;=GRID_FROM)*('Dvd Calendar'!$AB$1134&lt;=GRID_TO)*('Dvd Calendar'!$AB$1134&gt;VAL_DATE)=0,"",'Dvd Calendar'!$AB$1134*1000000000+ISNUMBER('Dvd Calendar'!$AB$1135)*100000000+0*10000000+(N('Dvd Calendar'!$AB$1133)&gt;0)*(N('Dvd Calendar'!$AB$1133)&lt;=VAL_SERIAL)*1000000+2*1000+64))</f>
        <v/>
      </c>
      <c r="GQ117" s="121">
        <f>IF(N('Dvd Calendar'!$AC$1134)=0,"",IF(('Dvd Calendar'!$AC$1134&gt;=GRID_FROM)*('Dvd Calendar'!$AC$1134&lt;=GRID_TO)*('Dvd Calendar'!$AC$1134&gt;VAL_DATE)=0,"",'Dvd Calendar'!$AC$1134*1000000000+ISNUMBER('Dvd Calendar'!$AC$1135)*100000000+0*10000000+(N('Dvd Calendar'!$AC$1133)&gt;0)*(N('Dvd Calendar'!$AC$1133)&lt;=VAL_SERIAL)*1000000+2*1000+65))</f>
        <v/>
      </c>
    </row>
    <row r="118">
      <c r="B118" s="2">
        <f>IF(HSTECH!$C$9="","",HSTECH!$C$9)</f>
        <v/>
      </c>
      <c r="C118" s="161">
        <f>IF(EE118="","",IF(ISNUMBER('Dvd Calendar'!$E$1141)=FALSE,"",IF((('Dvd Calendar'!$E$1143=TYPE1)*(TYPE1&lt;&gt;"")+('Dvd Calendar'!$E$1143=TYPE2)*(TYPE2&lt;&gt;"")+('Dvd Calendar'!$E$1143=TYPE3)*(TYPE3&lt;&gt;"")+('Dvd Calendar'!$E$1143=TYPE4)*(TYPE4&lt;&gt;"")+('Dvd Calendar'!$E$1143=SPECIAL_LBL)*(INC_SPECIALS="Y"))=0,"",'Dvd Calendar'!$E$1141)))</f>
        <v/>
      </c>
      <c r="D118" s="161">
        <f>IF(EF118="","",IF(ISNUMBER('Dvd Calendar'!$F$1141)=FALSE,"",IF((('Dvd Calendar'!$F$1143=TYPE1)*(TYPE1&lt;&gt;"")+('Dvd Calendar'!$F$1143=TYPE2)*(TYPE2&lt;&gt;"")+('Dvd Calendar'!$F$1143=TYPE3)*(TYPE3&lt;&gt;"")+('Dvd Calendar'!$F$1143=TYPE4)*(TYPE4&lt;&gt;"")+('Dvd Calendar'!$F$1143=SPECIAL_LBL)*(INC_SPECIALS="Y"))=0,"",'Dvd Calendar'!$F$1141)))</f>
        <v/>
      </c>
      <c r="E118" s="161">
        <f>IF(EG118="","",IF(ISNUMBER('Dvd Calendar'!$G$1141)=FALSE,"",IF((('Dvd Calendar'!$G$1143=TYPE1)*(TYPE1&lt;&gt;"")+('Dvd Calendar'!$G$1143=TYPE2)*(TYPE2&lt;&gt;"")+('Dvd Calendar'!$G$1143=TYPE3)*(TYPE3&lt;&gt;"")+('Dvd Calendar'!$G$1143=TYPE4)*(TYPE4&lt;&gt;"")+('Dvd Calendar'!$G$1143=SPECIAL_LBL)*(INC_SPECIALS="Y"))=0,"",'Dvd Calendar'!$G$1141)))</f>
        <v/>
      </c>
      <c r="F118" s="161">
        <f>IF(EH118="","",IF(ISNUMBER('Dvd Calendar'!$H$1141)=FALSE,"",IF((('Dvd Calendar'!$H$1143=TYPE1)*(TYPE1&lt;&gt;"")+('Dvd Calendar'!$H$1143=TYPE2)*(TYPE2&lt;&gt;"")+('Dvd Calendar'!$H$1143=TYPE3)*(TYPE3&lt;&gt;"")+('Dvd Calendar'!$H$1143=TYPE4)*(TYPE4&lt;&gt;"")+('Dvd Calendar'!$H$1143=SPECIAL_LBL)*(INC_SPECIALS="Y"))=0,"",'Dvd Calendar'!$H$1141)))</f>
        <v/>
      </c>
      <c r="G118" s="161">
        <f>IF(EI118="","",IF(ISNUMBER('Dvd Calendar'!$I$1141)=FALSE,"",IF((('Dvd Calendar'!$I$1143=TYPE1)*(TYPE1&lt;&gt;"")+('Dvd Calendar'!$I$1143=TYPE2)*(TYPE2&lt;&gt;"")+('Dvd Calendar'!$I$1143=TYPE3)*(TYPE3&lt;&gt;"")+('Dvd Calendar'!$I$1143=TYPE4)*(TYPE4&lt;&gt;"")+('Dvd Calendar'!$I$1143=SPECIAL_LBL)*(INC_SPECIALS="Y"))=0,"",'Dvd Calendar'!$I$1141)))</f>
        <v/>
      </c>
      <c r="H118" s="161">
        <f>IF(EJ118="","",IF(ISNUMBER('Dvd Calendar'!$J$1141)=FALSE,"",IF((('Dvd Calendar'!$J$1143=TYPE1)*(TYPE1&lt;&gt;"")+('Dvd Calendar'!$J$1143=TYPE2)*(TYPE2&lt;&gt;"")+('Dvd Calendar'!$J$1143=TYPE3)*(TYPE3&lt;&gt;"")+('Dvd Calendar'!$J$1143=TYPE4)*(TYPE4&lt;&gt;"")+('Dvd Calendar'!$J$1143=SPECIAL_LBL)*(INC_SPECIALS="Y"))=0,"",'Dvd Calendar'!$J$1141)))</f>
        <v/>
      </c>
      <c r="I118" s="161">
        <f>IF(EK118="","",IF(ISNUMBER('Dvd Calendar'!$K$1141)=FALSE,"",IF((('Dvd Calendar'!$K$1143=TYPE1)*(TYPE1&lt;&gt;"")+('Dvd Calendar'!$K$1143=TYPE2)*(TYPE2&lt;&gt;"")+('Dvd Calendar'!$K$1143=TYPE3)*(TYPE3&lt;&gt;"")+('Dvd Calendar'!$K$1143=TYPE4)*(TYPE4&lt;&gt;"")+('Dvd Calendar'!$K$1143=SPECIAL_LBL)*(INC_SPECIALS="Y"))=0,"",'Dvd Calendar'!$K$1141)))</f>
        <v/>
      </c>
      <c r="J118" s="161">
        <f>IF(EL118="","",IF(ISNUMBER('Dvd Calendar'!$L$1141)=FALSE,"",IF((('Dvd Calendar'!$L$1143=TYPE1)*(TYPE1&lt;&gt;"")+('Dvd Calendar'!$L$1143=TYPE2)*(TYPE2&lt;&gt;"")+('Dvd Calendar'!$L$1143=TYPE3)*(TYPE3&lt;&gt;"")+('Dvd Calendar'!$L$1143=TYPE4)*(TYPE4&lt;&gt;"")+('Dvd Calendar'!$L$1143=SPECIAL_LBL)*(INC_SPECIALS="Y"))=0,"",'Dvd Calendar'!$L$1141)))</f>
        <v/>
      </c>
      <c r="K118" s="161">
        <f>IF(EM118="","",IF(ISNUMBER('Dvd Calendar'!$M$1141)=FALSE,"",IF((('Dvd Calendar'!$M$1143=TYPE1)*(TYPE1&lt;&gt;"")+('Dvd Calendar'!$M$1143=TYPE2)*(TYPE2&lt;&gt;"")+('Dvd Calendar'!$M$1143=TYPE3)*(TYPE3&lt;&gt;"")+('Dvd Calendar'!$M$1143=TYPE4)*(TYPE4&lt;&gt;"")+('Dvd Calendar'!$M$1143=SPECIAL_LBL)*(INC_SPECIALS="Y"))=0,"",'Dvd Calendar'!$M$1141)))</f>
        <v/>
      </c>
      <c r="L118" s="161">
        <f>IF(EN118="","",IF(ISNUMBER('Dvd Calendar'!$N$1141)=FALSE,"",IF((('Dvd Calendar'!$N$1143=TYPE1)*(TYPE1&lt;&gt;"")+('Dvd Calendar'!$N$1143=TYPE2)*(TYPE2&lt;&gt;"")+('Dvd Calendar'!$N$1143=TYPE3)*(TYPE3&lt;&gt;"")+('Dvd Calendar'!$N$1143=TYPE4)*(TYPE4&lt;&gt;"")+('Dvd Calendar'!$N$1143=SPECIAL_LBL)*(INC_SPECIALS="Y"))=0,"",'Dvd Calendar'!$N$1141)))</f>
        <v/>
      </c>
      <c r="M118" s="161">
        <f>IF(EO118="","",IF(ISNUMBER('Dvd Calendar'!$O$1141)=FALSE,"",IF((('Dvd Calendar'!$O$1143=TYPE1)*(TYPE1&lt;&gt;"")+('Dvd Calendar'!$O$1143=TYPE2)*(TYPE2&lt;&gt;"")+('Dvd Calendar'!$O$1143=TYPE3)*(TYPE3&lt;&gt;"")+('Dvd Calendar'!$O$1143=TYPE4)*(TYPE4&lt;&gt;"")+('Dvd Calendar'!$O$1143=SPECIAL_LBL)*(INC_SPECIALS="Y"))=0,"",'Dvd Calendar'!$O$1141)))</f>
        <v/>
      </c>
      <c r="N118" s="161">
        <f>IF(EP118="","",IF(ISNUMBER('Dvd Calendar'!$P$1141)=FALSE,"",IF((('Dvd Calendar'!$P$1143=TYPE1)*(TYPE1&lt;&gt;"")+('Dvd Calendar'!$P$1143=TYPE2)*(TYPE2&lt;&gt;"")+('Dvd Calendar'!$P$1143=TYPE3)*(TYPE3&lt;&gt;"")+('Dvd Calendar'!$P$1143=TYPE4)*(TYPE4&lt;&gt;"")+('Dvd Calendar'!$P$1143=SPECIAL_LBL)*(INC_SPECIALS="Y"))=0,"",'Dvd Calendar'!$P$1141)))</f>
        <v/>
      </c>
      <c r="O118" s="161">
        <f>IF(EQ118="","",IF(ISNUMBER('Dvd Calendar'!$Q$1141)=FALSE,"",IF((('Dvd Calendar'!$Q$1143=TYPE1)*(TYPE1&lt;&gt;"")+('Dvd Calendar'!$Q$1143=TYPE2)*(TYPE2&lt;&gt;"")+('Dvd Calendar'!$Q$1143=TYPE3)*(TYPE3&lt;&gt;"")+('Dvd Calendar'!$Q$1143=TYPE4)*(TYPE4&lt;&gt;"")+('Dvd Calendar'!$Q$1143=SPECIAL_LBL)*(INC_SPECIALS="Y"))=0,"",'Dvd Calendar'!$Q$1141)))</f>
        <v/>
      </c>
      <c r="P118" s="161">
        <f>IF(ER118="","",IF(ISNUMBER('Dvd Calendar'!$R$1141)=FALSE,"",IF((('Dvd Calendar'!$R$1143=TYPE1)*(TYPE1&lt;&gt;"")+('Dvd Calendar'!$R$1143=TYPE2)*(TYPE2&lt;&gt;"")+('Dvd Calendar'!$R$1143=TYPE3)*(TYPE3&lt;&gt;"")+('Dvd Calendar'!$R$1143=TYPE4)*(TYPE4&lt;&gt;"")+('Dvd Calendar'!$R$1143=SPECIAL_LBL)*(INC_SPECIALS="Y"))=0,"",'Dvd Calendar'!$R$1141)))</f>
        <v/>
      </c>
      <c r="Q118" s="161">
        <f>IF(ES118="","",IF(ISNUMBER('Dvd Calendar'!$S$1141)=FALSE,"",IF((('Dvd Calendar'!$S$1143=TYPE1)*(TYPE1&lt;&gt;"")+('Dvd Calendar'!$S$1143=TYPE2)*(TYPE2&lt;&gt;"")+('Dvd Calendar'!$S$1143=TYPE3)*(TYPE3&lt;&gt;"")+('Dvd Calendar'!$S$1143=TYPE4)*(TYPE4&lt;&gt;"")+('Dvd Calendar'!$S$1143=SPECIAL_LBL)*(INC_SPECIALS="Y"))=0,"",'Dvd Calendar'!$S$1141)))</f>
        <v/>
      </c>
      <c r="R118" s="161">
        <f>IF(ET118="","",IF(ISNUMBER('Dvd Calendar'!$T$1141)=FALSE,"",IF((('Dvd Calendar'!$T$1143=TYPE1)*(TYPE1&lt;&gt;"")+('Dvd Calendar'!$T$1143=TYPE2)*(TYPE2&lt;&gt;"")+('Dvd Calendar'!$T$1143=TYPE3)*(TYPE3&lt;&gt;"")+('Dvd Calendar'!$T$1143=TYPE4)*(TYPE4&lt;&gt;"")+('Dvd Calendar'!$T$1143=SPECIAL_LBL)*(INC_SPECIALS="Y"))=0,"",'Dvd Calendar'!$T$1141)))</f>
        <v/>
      </c>
      <c r="S118" s="161">
        <f>IF(EU118="","",IF(ISNUMBER('Dvd Calendar'!$U$1141)=FALSE,"",IF((('Dvd Calendar'!$U$1143=TYPE1)*(TYPE1&lt;&gt;"")+('Dvd Calendar'!$U$1143=TYPE2)*(TYPE2&lt;&gt;"")+('Dvd Calendar'!$U$1143=TYPE3)*(TYPE3&lt;&gt;"")+('Dvd Calendar'!$U$1143=TYPE4)*(TYPE4&lt;&gt;"")+('Dvd Calendar'!$U$1143=SPECIAL_LBL)*(INC_SPECIALS="Y"))=0,"",'Dvd Calendar'!$U$1141)))</f>
        <v/>
      </c>
      <c r="T118" s="161">
        <f>IF(EV118="","",IF(ISNUMBER('Dvd Calendar'!$V$1141)=FALSE,"",IF((('Dvd Calendar'!$V$1143=TYPE1)*(TYPE1&lt;&gt;"")+('Dvd Calendar'!$V$1143=TYPE2)*(TYPE2&lt;&gt;"")+('Dvd Calendar'!$V$1143=TYPE3)*(TYPE3&lt;&gt;"")+('Dvd Calendar'!$V$1143=TYPE4)*(TYPE4&lt;&gt;"")+('Dvd Calendar'!$V$1143=SPECIAL_LBL)*(INC_SPECIALS="Y"))=0,"",'Dvd Calendar'!$V$1141)))</f>
        <v/>
      </c>
      <c r="U118" s="161">
        <f>IF(EW118="","",IF(ISNUMBER('Dvd Calendar'!$W$1141)=FALSE,"",IF((('Dvd Calendar'!$W$1143=TYPE1)*(TYPE1&lt;&gt;"")+('Dvd Calendar'!$W$1143=TYPE2)*(TYPE2&lt;&gt;"")+('Dvd Calendar'!$W$1143=TYPE3)*(TYPE3&lt;&gt;"")+('Dvd Calendar'!$W$1143=TYPE4)*(TYPE4&lt;&gt;"")+('Dvd Calendar'!$W$1143=SPECIAL_LBL)*(INC_SPECIALS="Y"))=0,"",'Dvd Calendar'!$W$1141)))</f>
        <v/>
      </c>
      <c r="V118" s="161">
        <f>IF(EX118="","",IF(ISNUMBER('Dvd Calendar'!$X$1141)=FALSE,"",IF((('Dvd Calendar'!$X$1143=TYPE1)*(TYPE1&lt;&gt;"")+('Dvd Calendar'!$X$1143=TYPE2)*(TYPE2&lt;&gt;"")+('Dvd Calendar'!$X$1143=TYPE3)*(TYPE3&lt;&gt;"")+('Dvd Calendar'!$X$1143=TYPE4)*(TYPE4&lt;&gt;"")+('Dvd Calendar'!$X$1143=SPECIAL_LBL)*(INC_SPECIALS="Y"))=0,"",'Dvd Calendar'!$X$1141)))</f>
        <v/>
      </c>
      <c r="W118" s="161">
        <f>IF(EY118="","",IF(ISNUMBER('Dvd Calendar'!$Y$1141)=FALSE,"",IF((('Dvd Calendar'!$Y$1143=TYPE1)*(TYPE1&lt;&gt;"")+('Dvd Calendar'!$Y$1143=TYPE2)*(TYPE2&lt;&gt;"")+('Dvd Calendar'!$Y$1143=TYPE3)*(TYPE3&lt;&gt;"")+('Dvd Calendar'!$Y$1143=TYPE4)*(TYPE4&lt;&gt;"")+('Dvd Calendar'!$Y$1143=SPECIAL_LBL)*(INC_SPECIALS="Y"))=0,"",'Dvd Calendar'!$Y$1141)))</f>
        <v/>
      </c>
      <c r="X118" s="161">
        <f>IF(EZ118="","",IF(ISNUMBER('Dvd Calendar'!$Z$1141)=FALSE,"",IF((('Dvd Calendar'!$Z$1143=TYPE1)*(TYPE1&lt;&gt;"")+('Dvd Calendar'!$Z$1143=TYPE2)*(TYPE2&lt;&gt;"")+('Dvd Calendar'!$Z$1143=TYPE3)*(TYPE3&lt;&gt;"")+('Dvd Calendar'!$Z$1143=TYPE4)*(TYPE4&lt;&gt;"")+('Dvd Calendar'!$Z$1143=SPECIAL_LBL)*(INC_SPECIALS="Y"))=0,"",'Dvd Calendar'!$Z$1141)))</f>
        <v/>
      </c>
      <c r="Y118" s="161">
        <f>IF(FA118="","",IF(ISNUMBER('Dvd Calendar'!$AA$1141)=FALSE,"",IF((('Dvd Calendar'!$AA$1143=TYPE1)*(TYPE1&lt;&gt;"")+('Dvd Calendar'!$AA$1143=TYPE2)*(TYPE2&lt;&gt;"")+('Dvd Calendar'!$AA$1143=TYPE3)*(TYPE3&lt;&gt;"")+('Dvd Calendar'!$AA$1143=TYPE4)*(TYPE4&lt;&gt;"")+('Dvd Calendar'!$AA$1143=SPECIAL_LBL)*(INC_SPECIALS="Y"))=0,"",'Dvd Calendar'!$AA$1141)))</f>
        <v/>
      </c>
      <c r="Z118" s="161">
        <f>IF(FB118="","",IF(ISNUMBER('Dvd Calendar'!$AB$1141)=FALSE,"",IF((('Dvd Calendar'!$AB$1143=TYPE1)*(TYPE1&lt;&gt;"")+('Dvd Calendar'!$AB$1143=TYPE2)*(TYPE2&lt;&gt;"")+('Dvd Calendar'!$AB$1143=TYPE3)*(TYPE3&lt;&gt;"")+('Dvd Calendar'!$AB$1143=TYPE4)*(TYPE4&lt;&gt;"")+('Dvd Calendar'!$AB$1143=SPECIAL_LBL)*(INC_SPECIALS="Y"))=0,"",'Dvd Calendar'!$AB$1141)))</f>
        <v/>
      </c>
      <c r="AA118" s="161">
        <f>IF(FC118="","",IF(ISNUMBER('Dvd Calendar'!$AC$1141)=FALSE,"",IF((('Dvd Calendar'!$AC$1143=TYPE1)*(TYPE1&lt;&gt;"")+('Dvd Calendar'!$AC$1143=TYPE2)*(TYPE2&lt;&gt;"")+('Dvd Calendar'!$AC$1143=TYPE3)*(TYPE3&lt;&gt;"")+('Dvd Calendar'!$AC$1143=TYPE4)*(TYPE4&lt;&gt;"")+('Dvd Calendar'!$AC$1143=SPECIAL_LBL)*(INC_SPECIALS="Y"))=0,"",'Dvd Calendar'!$AC$1141)))</f>
        <v/>
      </c>
      <c r="AB118" s="161">
        <f>IF(FD118="","",IF(ISNUMBER('Dvd Calendar'!$AD$1141)=FALSE,"",IF((('Dvd Calendar'!$AD$1143=TYPE1)*(TYPE1&lt;&gt;"")+('Dvd Calendar'!$AD$1143=TYPE2)*(TYPE2&lt;&gt;"")+('Dvd Calendar'!$AD$1143=TYPE3)*(TYPE3&lt;&gt;"")+('Dvd Calendar'!$AD$1143=TYPE4)*(TYPE4&lt;&gt;"")+('Dvd Calendar'!$AD$1143=SPECIAL_LBL)*(INC_SPECIALS="Y"))=0,"",'Dvd Calendar'!$AD$1141)))</f>
        <v/>
      </c>
      <c r="AC118" s="161">
        <f>IF(FE118="","",IF(ISNUMBER('Dvd Calendar'!$AE$1141)=FALSE,"",IF((('Dvd Calendar'!$AE$1143=TYPE1)*(TYPE1&lt;&gt;"")+('Dvd Calendar'!$AE$1143=TYPE2)*(TYPE2&lt;&gt;"")+('Dvd Calendar'!$AE$1143=TYPE3)*(TYPE3&lt;&gt;"")+('Dvd Calendar'!$AE$1143=TYPE4)*(TYPE4&lt;&gt;"")+('Dvd Calendar'!$AE$1143=SPECIAL_LBL)*(INC_SPECIALS="Y"))=0,"",'Dvd Calendar'!$AE$1141)))</f>
        <v/>
      </c>
      <c r="AD118" s="161">
        <f>IF(FF118="","",IF(ISNUMBER('Dvd Calendar'!$AF$1141)=FALSE,"",IF((('Dvd Calendar'!$AF$1143=TYPE1)*(TYPE1&lt;&gt;"")+('Dvd Calendar'!$AF$1143=TYPE2)*(TYPE2&lt;&gt;"")+('Dvd Calendar'!$AF$1143=TYPE3)*(TYPE3&lt;&gt;"")+('Dvd Calendar'!$AF$1143=TYPE4)*(TYPE4&lt;&gt;"")+('Dvd Calendar'!$AF$1143=SPECIAL_LBL)*(INC_SPECIALS="Y"))=0,"",'Dvd Calendar'!$AF$1141)))</f>
        <v/>
      </c>
      <c r="AE118" s="161">
        <f>IF(FG118="","",IF(ISNUMBER('Dvd Calendar'!$AG$1141)=FALSE,"",IF((('Dvd Calendar'!$AG$1143=TYPE1)*(TYPE1&lt;&gt;"")+('Dvd Calendar'!$AG$1143=TYPE2)*(TYPE2&lt;&gt;"")+('Dvd Calendar'!$AG$1143=TYPE3)*(TYPE3&lt;&gt;"")+('Dvd Calendar'!$AG$1143=TYPE4)*(TYPE4&lt;&gt;"")+('Dvd Calendar'!$AG$1143=SPECIAL_LBL)*(INC_SPECIALS="Y"))=0,"",'Dvd Calendar'!$AG$1141)))</f>
        <v/>
      </c>
      <c r="AF118" s="161">
        <f>IF(FH118="","",IF(ISNUMBER('Dvd Calendar'!$AH$1141)=FALSE,"",IF((('Dvd Calendar'!$AH$1143=TYPE1)*(TYPE1&lt;&gt;"")+('Dvd Calendar'!$AH$1143=TYPE2)*(TYPE2&lt;&gt;"")+('Dvd Calendar'!$AH$1143=TYPE3)*(TYPE3&lt;&gt;"")+('Dvd Calendar'!$AH$1143=TYPE4)*(TYPE4&lt;&gt;"")+('Dvd Calendar'!$AH$1143=SPECIAL_LBL)*(INC_SPECIALS="Y"))=0,"",'Dvd Calendar'!$AH$1141)))</f>
        <v/>
      </c>
      <c r="AG118" s="161">
        <f>IF(FI118="","",IF(ISNUMBER('Dvd Calendar'!$AI$1141)=FALSE,"",IF((('Dvd Calendar'!$AI$1143=TYPE1)*(TYPE1&lt;&gt;"")+('Dvd Calendar'!$AI$1143=TYPE2)*(TYPE2&lt;&gt;"")+('Dvd Calendar'!$AI$1143=TYPE3)*(TYPE3&lt;&gt;"")+('Dvd Calendar'!$AI$1143=TYPE4)*(TYPE4&lt;&gt;"")+('Dvd Calendar'!$AI$1143=SPECIAL_LBL)*(INC_SPECIALS="Y"))=0,"",'Dvd Calendar'!$AI$1141)))</f>
        <v/>
      </c>
      <c r="AH118" s="161">
        <f>IF(FJ118="","",IF(ISNUMBER('Dvd Calendar'!$AJ$1141)=FALSE,"",IF((('Dvd Calendar'!$AJ$1143=TYPE1)*(TYPE1&lt;&gt;"")+('Dvd Calendar'!$AJ$1143=TYPE2)*(TYPE2&lt;&gt;"")+('Dvd Calendar'!$AJ$1143=TYPE3)*(TYPE3&lt;&gt;"")+('Dvd Calendar'!$AJ$1143=TYPE4)*(TYPE4&lt;&gt;"")+('Dvd Calendar'!$AJ$1143=SPECIAL_LBL)*(INC_SPECIALS="Y"))=0,"",'Dvd Calendar'!$AJ$1141)))</f>
        <v/>
      </c>
      <c r="AI118" s="161">
        <f>IF(FK118="","",IF(ISNUMBER('Dvd Calendar'!$AK$1141)=FALSE,"",IF((('Dvd Calendar'!$AK$1143=TYPE1)*(TYPE1&lt;&gt;"")+('Dvd Calendar'!$AK$1143=TYPE2)*(TYPE2&lt;&gt;"")+('Dvd Calendar'!$AK$1143=TYPE3)*(TYPE3&lt;&gt;"")+('Dvd Calendar'!$AK$1143=TYPE4)*(TYPE4&lt;&gt;"")+('Dvd Calendar'!$AK$1143=SPECIAL_LBL)*(INC_SPECIALS="Y"))=0,"",'Dvd Calendar'!$AK$1141)))</f>
        <v/>
      </c>
      <c r="AJ118" s="161">
        <f>IF(FL118="","",IF(ISNUMBER('Dvd Calendar'!$AL$1141)=FALSE,"",IF((('Dvd Calendar'!$AL$1143=TYPE1)*(TYPE1&lt;&gt;"")+('Dvd Calendar'!$AL$1143=TYPE2)*(TYPE2&lt;&gt;"")+('Dvd Calendar'!$AL$1143=TYPE3)*(TYPE3&lt;&gt;"")+('Dvd Calendar'!$AL$1143=TYPE4)*(TYPE4&lt;&gt;"")+('Dvd Calendar'!$AL$1143=SPECIAL_LBL)*(INC_SPECIALS="Y"))=0,"",'Dvd Calendar'!$AL$1141)))</f>
        <v/>
      </c>
      <c r="AK118" s="161">
        <f>IF(FM118="","",IF(ISNUMBER('Dvd Calendar'!$AM$1141)=FALSE,"",IF((('Dvd Calendar'!$AM$1143=TYPE1)*(TYPE1&lt;&gt;"")+('Dvd Calendar'!$AM$1143=TYPE2)*(TYPE2&lt;&gt;"")+('Dvd Calendar'!$AM$1143=TYPE3)*(TYPE3&lt;&gt;"")+('Dvd Calendar'!$AM$1143=TYPE4)*(TYPE4&lt;&gt;"")+('Dvd Calendar'!$AM$1143=SPECIAL_LBL)*(INC_SPECIALS="Y"))=0,"",'Dvd Calendar'!$AM$1141)))</f>
        <v/>
      </c>
      <c r="AL118" s="161">
        <f>IF(FN118="","",IF(ISNUMBER('Dvd Calendar'!$AN$1141)=FALSE,"",IF((('Dvd Calendar'!$AN$1143=TYPE1)*(TYPE1&lt;&gt;"")+('Dvd Calendar'!$AN$1143=TYPE2)*(TYPE2&lt;&gt;"")+('Dvd Calendar'!$AN$1143=TYPE3)*(TYPE3&lt;&gt;"")+('Dvd Calendar'!$AN$1143=TYPE4)*(TYPE4&lt;&gt;"")+('Dvd Calendar'!$AN$1143=SPECIAL_LBL)*(INC_SPECIALS="Y"))=0,"",'Dvd Calendar'!$AN$1141)))</f>
        <v/>
      </c>
      <c r="AM118" s="161">
        <f>IF(FO118="","",IF(ISNUMBER('Dvd Calendar'!$AO$1141)=FALSE,"",IF((('Dvd Calendar'!$AO$1143=TYPE1)*(TYPE1&lt;&gt;"")+('Dvd Calendar'!$AO$1143=TYPE2)*(TYPE2&lt;&gt;"")+('Dvd Calendar'!$AO$1143=TYPE3)*(TYPE3&lt;&gt;"")+('Dvd Calendar'!$AO$1143=TYPE4)*(TYPE4&lt;&gt;"")+('Dvd Calendar'!$AO$1143=SPECIAL_LBL)*(INC_SPECIALS="Y"))=0,"",'Dvd Calendar'!$AO$1141)))</f>
        <v/>
      </c>
      <c r="AN118" s="161">
        <f>IF(FP118="","",IF(ISNUMBER('Dvd Calendar'!$AP$1141)=FALSE,"",IF((('Dvd Calendar'!$AP$1143=TYPE1)*(TYPE1&lt;&gt;"")+('Dvd Calendar'!$AP$1143=TYPE2)*(TYPE2&lt;&gt;"")+('Dvd Calendar'!$AP$1143=TYPE3)*(TYPE3&lt;&gt;"")+('Dvd Calendar'!$AP$1143=TYPE4)*(TYPE4&lt;&gt;"")+('Dvd Calendar'!$AP$1143=SPECIAL_LBL)*(INC_SPECIALS="Y"))=0,"",'Dvd Calendar'!$AP$1141)))</f>
        <v/>
      </c>
      <c r="AO118" s="161">
        <f>IF(FQ118="","",IF(ISNUMBER('Dvd Calendar'!$AQ$1141)=FALSE,"",IF((('Dvd Calendar'!$AQ$1143=TYPE1)*(TYPE1&lt;&gt;"")+('Dvd Calendar'!$AQ$1143=TYPE2)*(TYPE2&lt;&gt;"")+('Dvd Calendar'!$AQ$1143=TYPE3)*(TYPE3&lt;&gt;"")+('Dvd Calendar'!$AQ$1143=TYPE4)*(TYPE4&lt;&gt;"")+('Dvd Calendar'!$AQ$1143=SPECIAL_LBL)*(INC_SPECIALS="Y"))=0,"",'Dvd Calendar'!$AQ$1141)))</f>
        <v/>
      </c>
      <c r="AP118" s="161">
        <f>IF(FR118="","",IF(ISNUMBER('Dvd Calendar'!$AR$1141)=FALSE,"",IF((('Dvd Calendar'!$AR$1143=TYPE1)*(TYPE1&lt;&gt;"")+('Dvd Calendar'!$AR$1143=TYPE2)*(TYPE2&lt;&gt;"")+('Dvd Calendar'!$AR$1143=TYPE3)*(TYPE3&lt;&gt;"")+('Dvd Calendar'!$AR$1143=TYPE4)*(TYPE4&lt;&gt;"")+('Dvd Calendar'!$AR$1143=SPECIAL_LBL)*(INC_SPECIALS="Y"))=0,"",'Dvd Calendar'!$AR$1141)))</f>
        <v/>
      </c>
      <c r="AQ118" s="161">
        <f>IF(FS118="","",IF(ISNUMBER('Dvd Calendar'!$E$1146)=FALSE,"",'Dvd Calendar'!$E$1146))</f>
        <v/>
      </c>
      <c r="AR118" s="161">
        <f>IF(FT118="","",IF(ISNUMBER('Dvd Calendar'!$F$1146)=FALSE,"",'Dvd Calendar'!$F$1146))</f>
        <v/>
      </c>
      <c r="AS118" s="161">
        <f>IF(FU118="","",IF(ISNUMBER('Dvd Calendar'!$G$1146)=FALSE,"",'Dvd Calendar'!$G$1146))</f>
        <v/>
      </c>
      <c r="AT118" s="161">
        <f>IF(FV118="","",IF(ISNUMBER('Dvd Calendar'!$H$1146)=FALSE,"",'Dvd Calendar'!$H$1146))</f>
        <v/>
      </c>
      <c r="AU118" s="161">
        <f>IF(FW118="","",IF(ISNUMBER('Dvd Calendar'!$I$1146)=FALSE,"",'Dvd Calendar'!$I$1146))</f>
        <v/>
      </c>
      <c r="AV118" s="161">
        <f>IF(FX118="","",IF(ISNUMBER('Dvd Calendar'!$J$1146)=FALSE,"",'Dvd Calendar'!$J$1146))</f>
        <v/>
      </c>
      <c r="AW118" s="161">
        <f>IF(FY118="","",IF(ISNUMBER('Dvd Calendar'!$K$1146)=FALSE,"",'Dvd Calendar'!$K$1146))</f>
        <v/>
      </c>
      <c r="AX118" s="161">
        <f>IF(FZ118="","",IF(ISNUMBER('Dvd Calendar'!$L$1146)=FALSE,"",'Dvd Calendar'!$L$1146))</f>
        <v/>
      </c>
      <c r="AY118" s="161">
        <f>IF(GA118="","",IF(ISNUMBER('Dvd Calendar'!$M$1146)=FALSE,"",'Dvd Calendar'!$M$1146))</f>
        <v/>
      </c>
      <c r="AZ118" s="161">
        <f>IF(GB118="","",IF(ISNUMBER('Dvd Calendar'!$N$1146)=FALSE,"",'Dvd Calendar'!$N$1146))</f>
        <v/>
      </c>
      <c r="BA118" s="161">
        <f>IF(GC118="","",IF(ISNUMBER('Dvd Calendar'!$O$1146)=FALSE,"",'Dvd Calendar'!$O$1146))</f>
        <v/>
      </c>
      <c r="BB118" s="161">
        <f>IF(GD118="","",IF(ISNUMBER('Dvd Calendar'!$P$1146)=FALSE,"",'Dvd Calendar'!$P$1146))</f>
        <v/>
      </c>
      <c r="BC118" s="161">
        <f>IF(GE118="","",IF(ISNUMBER('Dvd Calendar'!$Q$1146)=FALSE,"",'Dvd Calendar'!$Q$1146))</f>
        <v/>
      </c>
      <c r="BD118" s="161">
        <f>IF(GF118="","",IF(ISNUMBER('Dvd Calendar'!$R$1146)=FALSE,"",'Dvd Calendar'!$R$1146))</f>
        <v/>
      </c>
      <c r="BE118" s="161">
        <f>IF(GG118="","",IF(ISNUMBER('Dvd Calendar'!$S$1146)=FALSE,"",'Dvd Calendar'!$S$1146))</f>
        <v/>
      </c>
      <c r="BF118" s="161">
        <f>IF(GH118="","",IF(ISNUMBER('Dvd Calendar'!$T$1146)=FALSE,"",'Dvd Calendar'!$T$1146))</f>
        <v/>
      </c>
      <c r="BG118" s="161">
        <f>IF(GI118="","",IF(ISNUMBER('Dvd Calendar'!$U$1146)=FALSE,"",'Dvd Calendar'!$U$1146))</f>
        <v/>
      </c>
      <c r="BH118" s="161">
        <f>IF(GJ118="","",IF(ISNUMBER('Dvd Calendar'!$V$1146)=FALSE,"",'Dvd Calendar'!$V$1146))</f>
        <v/>
      </c>
      <c r="BI118" s="161">
        <f>IF(GK118="","",IF(ISNUMBER('Dvd Calendar'!$W$1146)=FALSE,"",'Dvd Calendar'!$W$1146))</f>
        <v/>
      </c>
      <c r="BJ118" s="161">
        <f>IF(GL118="","",IF(ISNUMBER('Dvd Calendar'!$X$1146)=FALSE,"",'Dvd Calendar'!$X$1146))</f>
        <v/>
      </c>
      <c r="BK118" s="161">
        <f>IF(GM118="","",IF(ISNUMBER('Dvd Calendar'!$Y$1146)=FALSE,"",'Dvd Calendar'!$Y$1146))</f>
        <v/>
      </c>
      <c r="BL118" s="161">
        <f>IF(GN118="","",IF(ISNUMBER('Dvd Calendar'!$Z$1146)=FALSE,"",'Dvd Calendar'!$Z$1146))</f>
        <v/>
      </c>
      <c r="BM118" s="161">
        <f>IF(GO118="","",IF(ISNUMBER('Dvd Calendar'!$AA$1146)=FALSE,"",'Dvd Calendar'!$AA$1146))</f>
        <v/>
      </c>
      <c r="BN118" s="161">
        <f>IF(GP118="","",IF(ISNUMBER('Dvd Calendar'!$AB$1146)=FALSE,"",'Dvd Calendar'!$AB$1146))</f>
        <v/>
      </c>
      <c r="BO118" s="161">
        <f>IF(GQ118="","",IF(ISNUMBER('Dvd Calendar'!$AC$1146)=FALSE,"",'Dvd Calendar'!$AC$1146))</f>
        <v/>
      </c>
      <c r="BQ118" s="161">
        <f>IF(C118="","",IFERROR(C118*HSTECH!$B$9*HSTECH!$G$9/HSTECH!$B$3,""))</f>
        <v/>
      </c>
      <c r="BR118" s="161">
        <f>IF(D118="","",IFERROR(D118*HSTECH!$B$9*HSTECH!$G$9/HSTECH!$B$3,""))</f>
        <v/>
      </c>
      <c r="BS118" s="161">
        <f>IF(E118="","",IFERROR(E118*HSTECH!$B$9*HSTECH!$G$9/HSTECH!$B$3,""))</f>
        <v/>
      </c>
      <c r="BT118" s="161">
        <f>IF(F118="","",IFERROR(F118*HSTECH!$B$9*HSTECH!$G$9/HSTECH!$B$3,""))</f>
        <v/>
      </c>
      <c r="BU118" s="161">
        <f>IF(G118="","",IFERROR(G118*HSTECH!$B$9*HSTECH!$G$9/HSTECH!$B$3,""))</f>
        <v/>
      </c>
      <c r="BV118" s="161">
        <f>IF(H118="","",IFERROR(H118*HSTECH!$B$9*HSTECH!$G$9/HSTECH!$B$3,""))</f>
        <v/>
      </c>
      <c r="BW118" s="161">
        <f>IF(I118="","",IFERROR(I118*HSTECH!$B$9*HSTECH!$G$9/HSTECH!$B$3,""))</f>
        <v/>
      </c>
      <c r="BX118" s="161">
        <f>IF(J118="","",IFERROR(J118*HSTECH!$B$9*HSTECH!$G$9/HSTECH!$B$3,""))</f>
        <v/>
      </c>
      <c r="BY118" s="161">
        <f>IF(K118="","",IFERROR(K118*HSTECH!$B$9*HSTECH!$G$9/HSTECH!$B$3,""))</f>
        <v/>
      </c>
      <c r="BZ118" s="161">
        <f>IF(L118="","",IFERROR(L118*HSTECH!$B$9*HSTECH!$G$9/HSTECH!$B$3,""))</f>
        <v/>
      </c>
      <c r="CA118" s="161">
        <f>IF(M118="","",IFERROR(M118*HSTECH!$B$9*HSTECH!$G$9/HSTECH!$B$3,""))</f>
        <v/>
      </c>
      <c r="CB118" s="161">
        <f>IF(N118="","",IFERROR(N118*HSTECH!$B$9*HSTECH!$G$9/HSTECH!$B$3,""))</f>
        <v/>
      </c>
      <c r="CC118" s="161">
        <f>IF(O118="","",IFERROR(O118*HSTECH!$B$9*HSTECH!$G$9/HSTECH!$B$3,""))</f>
        <v/>
      </c>
      <c r="CD118" s="161">
        <f>IF(P118="","",IFERROR(P118*HSTECH!$B$9*HSTECH!$G$9/HSTECH!$B$3,""))</f>
        <v/>
      </c>
      <c r="CE118" s="161">
        <f>IF(Q118="","",IFERROR(Q118*HSTECH!$B$9*HSTECH!$G$9/HSTECH!$B$3,""))</f>
        <v/>
      </c>
      <c r="CF118" s="161">
        <f>IF(R118="","",IFERROR(R118*HSTECH!$B$9*HSTECH!$G$9/HSTECH!$B$3,""))</f>
        <v/>
      </c>
      <c r="CG118" s="161">
        <f>IF(S118="","",IFERROR(S118*HSTECH!$B$9*HSTECH!$G$9/HSTECH!$B$3,""))</f>
        <v/>
      </c>
      <c r="CH118" s="161">
        <f>IF(T118="","",IFERROR(T118*HSTECH!$B$9*HSTECH!$G$9/HSTECH!$B$3,""))</f>
        <v/>
      </c>
      <c r="CI118" s="161">
        <f>IF(U118="","",IFERROR(U118*HSTECH!$B$9*HSTECH!$G$9/HSTECH!$B$3,""))</f>
        <v/>
      </c>
      <c r="CJ118" s="161">
        <f>IF(V118="","",IFERROR(V118*HSTECH!$B$9*HSTECH!$G$9/HSTECH!$B$3,""))</f>
        <v/>
      </c>
      <c r="CK118" s="161">
        <f>IF(W118="","",IFERROR(W118*HSTECH!$B$9*HSTECH!$G$9/HSTECH!$B$3,""))</f>
        <v/>
      </c>
      <c r="CL118" s="161">
        <f>IF(X118="","",IFERROR(X118*HSTECH!$B$9*HSTECH!$G$9/HSTECH!$B$3,""))</f>
        <v/>
      </c>
      <c r="CM118" s="161">
        <f>IF(Y118="","",IFERROR(Y118*HSTECH!$B$9*HSTECH!$G$9/HSTECH!$B$3,""))</f>
        <v/>
      </c>
      <c r="CN118" s="161">
        <f>IF(Z118="","",IFERROR(Z118*HSTECH!$B$9*HSTECH!$G$9/HSTECH!$B$3,""))</f>
        <v/>
      </c>
      <c r="CO118" s="161">
        <f>IF(AA118="","",IFERROR(AA118*HSTECH!$B$9*HSTECH!$G$9/HSTECH!$B$3,""))</f>
        <v/>
      </c>
      <c r="CP118" s="161">
        <f>IF(AB118="","",IFERROR(AB118*HSTECH!$B$9*HSTECH!$G$9/HSTECH!$B$3,""))</f>
        <v/>
      </c>
      <c r="CQ118" s="161">
        <f>IF(AC118="","",IFERROR(AC118*HSTECH!$B$9*HSTECH!$G$9/HSTECH!$B$3,""))</f>
        <v/>
      </c>
      <c r="CR118" s="161">
        <f>IF(AD118="","",IFERROR(AD118*HSTECH!$B$9*HSTECH!$G$9/HSTECH!$B$3,""))</f>
        <v/>
      </c>
      <c r="CS118" s="161">
        <f>IF(AE118="","",IFERROR(AE118*HSTECH!$B$9*HSTECH!$G$9/HSTECH!$B$3,""))</f>
        <v/>
      </c>
      <c r="CT118" s="161">
        <f>IF(AF118="","",IFERROR(AF118*HSTECH!$B$9*HSTECH!$G$9/HSTECH!$B$3,""))</f>
        <v/>
      </c>
      <c r="CU118" s="161">
        <f>IF(AG118="","",IFERROR(AG118*HSTECH!$B$9*HSTECH!$G$9/HSTECH!$B$3,""))</f>
        <v/>
      </c>
      <c r="CV118" s="161">
        <f>IF(AH118="","",IFERROR(AH118*HSTECH!$B$9*HSTECH!$G$9/HSTECH!$B$3,""))</f>
        <v/>
      </c>
      <c r="CW118" s="161">
        <f>IF(AI118="","",IFERROR(AI118*HSTECH!$B$9*HSTECH!$G$9/HSTECH!$B$3,""))</f>
        <v/>
      </c>
      <c r="CX118" s="161">
        <f>IF(AJ118="","",IFERROR(AJ118*HSTECH!$B$9*HSTECH!$G$9/HSTECH!$B$3,""))</f>
        <v/>
      </c>
      <c r="CY118" s="161">
        <f>IF(AK118="","",IFERROR(AK118*HSTECH!$B$9*HSTECH!$G$9/HSTECH!$B$3,""))</f>
        <v/>
      </c>
      <c r="CZ118" s="161">
        <f>IF(AL118="","",IFERROR(AL118*HSTECH!$B$9*HSTECH!$G$9/HSTECH!$B$3,""))</f>
        <v/>
      </c>
      <c r="DA118" s="161">
        <f>IF(AM118="","",IFERROR(AM118*HSTECH!$B$9*HSTECH!$G$9/HSTECH!$B$3,""))</f>
        <v/>
      </c>
      <c r="DB118" s="161">
        <f>IF(AN118="","",IFERROR(AN118*HSTECH!$B$9*HSTECH!$G$9/HSTECH!$B$3,""))</f>
        <v/>
      </c>
      <c r="DC118" s="161">
        <f>IF(AO118="","",IFERROR(AO118*HSTECH!$B$9*HSTECH!$G$9/HSTECH!$B$3,""))</f>
        <v/>
      </c>
      <c r="DD118" s="161">
        <f>IF(AP118="","",IFERROR(AP118*HSTECH!$B$9*HSTECH!$G$9/HSTECH!$B$3,""))</f>
        <v/>
      </c>
      <c r="DE118" s="161">
        <f>IF(AQ118="","",IFERROR(AQ118*HSTECH!$B$9*HSTECH!$G$9/HSTECH!$B$3,""))</f>
        <v/>
      </c>
      <c r="DF118" s="161">
        <f>IF(AR118="","",IFERROR(AR118*HSTECH!$B$9*HSTECH!$G$9/HSTECH!$B$3,""))</f>
        <v/>
      </c>
      <c r="DG118" s="161">
        <f>IF(AS118="","",IFERROR(AS118*HSTECH!$B$9*HSTECH!$G$9/HSTECH!$B$3,""))</f>
        <v/>
      </c>
      <c r="DH118" s="161">
        <f>IF(AT118="","",IFERROR(AT118*HSTECH!$B$9*HSTECH!$G$9/HSTECH!$B$3,""))</f>
        <v/>
      </c>
      <c r="DI118" s="161">
        <f>IF(AU118="","",IFERROR(AU118*HSTECH!$B$9*HSTECH!$G$9/HSTECH!$B$3,""))</f>
        <v/>
      </c>
      <c r="DJ118" s="161">
        <f>IF(AV118="","",IFERROR(AV118*HSTECH!$B$9*HSTECH!$G$9/HSTECH!$B$3,""))</f>
        <v/>
      </c>
      <c r="DK118" s="161">
        <f>IF(AW118="","",IFERROR(AW118*HSTECH!$B$9*HSTECH!$G$9/HSTECH!$B$3,""))</f>
        <v/>
      </c>
      <c r="DL118" s="161">
        <f>IF(AX118="","",IFERROR(AX118*HSTECH!$B$9*HSTECH!$G$9/HSTECH!$B$3,""))</f>
        <v/>
      </c>
      <c r="DM118" s="161">
        <f>IF(AY118="","",IFERROR(AY118*HSTECH!$B$9*HSTECH!$G$9/HSTECH!$B$3,""))</f>
        <v/>
      </c>
      <c r="DN118" s="161">
        <f>IF(AZ118="","",IFERROR(AZ118*HSTECH!$B$9*HSTECH!$G$9/HSTECH!$B$3,""))</f>
        <v/>
      </c>
      <c r="DO118" s="161">
        <f>IF(BA118="","",IFERROR(BA118*HSTECH!$B$9*HSTECH!$G$9/HSTECH!$B$3,""))</f>
        <v/>
      </c>
      <c r="DP118" s="161">
        <f>IF(BB118="","",IFERROR(BB118*HSTECH!$B$9*HSTECH!$G$9/HSTECH!$B$3,""))</f>
        <v/>
      </c>
      <c r="DQ118" s="161">
        <f>IF(BC118="","",IFERROR(BC118*HSTECH!$B$9*HSTECH!$G$9/HSTECH!$B$3,""))</f>
        <v/>
      </c>
      <c r="DR118" s="161">
        <f>IF(BD118="","",IFERROR(BD118*HSTECH!$B$9*HSTECH!$G$9/HSTECH!$B$3,""))</f>
        <v/>
      </c>
      <c r="DS118" s="161">
        <f>IF(BE118="","",IFERROR(BE118*HSTECH!$B$9*HSTECH!$G$9/HSTECH!$B$3,""))</f>
        <v/>
      </c>
      <c r="DT118" s="161">
        <f>IF(BF118="","",IFERROR(BF118*HSTECH!$B$9*HSTECH!$G$9/HSTECH!$B$3,""))</f>
        <v/>
      </c>
      <c r="DU118" s="161">
        <f>IF(BG118="","",IFERROR(BG118*HSTECH!$B$9*HSTECH!$G$9/HSTECH!$B$3,""))</f>
        <v/>
      </c>
      <c r="DV118" s="161">
        <f>IF(BH118="","",IFERROR(BH118*HSTECH!$B$9*HSTECH!$G$9/HSTECH!$B$3,""))</f>
        <v/>
      </c>
      <c r="DW118" s="161">
        <f>IF(BI118="","",IFERROR(BI118*HSTECH!$B$9*HSTECH!$G$9/HSTECH!$B$3,""))</f>
        <v/>
      </c>
      <c r="DX118" s="161">
        <f>IF(BJ118="","",IFERROR(BJ118*HSTECH!$B$9*HSTECH!$G$9/HSTECH!$B$3,""))</f>
        <v/>
      </c>
      <c r="DY118" s="161">
        <f>IF(BK118="","",IFERROR(BK118*HSTECH!$B$9*HSTECH!$G$9/HSTECH!$B$3,""))</f>
        <v/>
      </c>
      <c r="DZ118" s="161">
        <f>IF(BL118="","",IFERROR(BL118*HSTECH!$B$9*HSTECH!$G$9/HSTECH!$B$3,""))</f>
        <v/>
      </c>
      <c r="EA118" s="161">
        <f>IF(BM118="","",IFERROR(BM118*HSTECH!$B$9*HSTECH!$G$9/HSTECH!$B$3,""))</f>
        <v/>
      </c>
      <c r="EB118" s="161">
        <f>IF(BN118="","",IFERROR(BN118*HSTECH!$B$9*HSTECH!$G$9/HSTECH!$B$3,""))</f>
        <v/>
      </c>
      <c r="EC118" s="161">
        <f>IF(BO118="","",IFERROR(BO118*HSTECH!$B$9*HSTECH!$G$9/HSTECH!$B$3,""))</f>
        <v/>
      </c>
      <c r="EE118" s="121">
        <f>IF(N('Dvd Calendar'!$E$1138)=0,"",IF(('Dvd Calendar'!$E$1138&gt;=GRID_FROM)*('Dvd Calendar'!$E$1138&lt;=GRID_TO)*((('Dvd Calendar'!$E$1138&lt;=VAL_DATE)+(COUNTIF('Dvd Calendar'!$E$1145:$AR$1145,'Dvd Calendar'!$E$1138)=0))&gt;0)=0,"",'Dvd Calendar'!$E$1138*1000000000+ISNUMBER('Dvd Calendar'!$E$1141)*100000000+('Dvd Calendar'!$E$1143=SPECIAL_LBL)*10000000+(N('Dvd Calendar'!$E$1137)&gt;0)*(N('Dvd Calendar'!$E$1137)&lt;=VAL_SERIAL)*1000000+3*1000+1))</f>
        <v/>
      </c>
      <c r="EF118" s="121">
        <f>IF(N('Dvd Calendar'!$F$1138)=0,"",IF(('Dvd Calendar'!$F$1138&gt;=GRID_FROM)*('Dvd Calendar'!$F$1138&lt;=GRID_TO)*((('Dvd Calendar'!$F$1138&lt;=VAL_DATE)+(COUNTIF('Dvd Calendar'!$E$1145:$AR$1145,'Dvd Calendar'!$F$1138)=0))&gt;0)=0,"",'Dvd Calendar'!$F$1138*1000000000+ISNUMBER('Dvd Calendar'!$F$1141)*100000000+('Dvd Calendar'!$F$1143=SPECIAL_LBL)*10000000+(N('Dvd Calendar'!$F$1137)&gt;0)*(N('Dvd Calendar'!$F$1137)&lt;=VAL_SERIAL)*1000000+3*1000+2))</f>
        <v/>
      </c>
      <c r="EG118" s="121">
        <f>IF(N('Dvd Calendar'!$G$1138)=0,"",IF(('Dvd Calendar'!$G$1138&gt;=GRID_FROM)*('Dvd Calendar'!$G$1138&lt;=GRID_TO)*((('Dvd Calendar'!$G$1138&lt;=VAL_DATE)+(COUNTIF('Dvd Calendar'!$E$1145:$AR$1145,'Dvd Calendar'!$G$1138)=0))&gt;0)=0,"",'Dvd Calendar'!$G$1138*1000000000+ISNUMBER('Dvd Calendar'!$G$1141)*100000000+('Dvd Calendar'!$G$1143=SPECIAL_LBL)*10000000+(N('Dvd Calendar'!$G$1137)&gt;0)*(N('Dvd Calendar'!$G$1137)&lt;=VAL_SERIAL)*1000000+3*1000+3))</f>
        <v/>
      </c>
      <c r="EH118" s="121">
        <f>IF(N('Dvd Calendar'!$H$1138)=0,"",IF(('Dvd Calendar'!$H$1138&gt;=GRID_FROM)*('Dvd Calendar'!$H$1138&lt;=GRID_TO)*((('Dvd Calendar'!$H$1138&lt;=VAL_DATE)+(COUNTIF('Dvd Calendar'!$E$1145:$AR$1145,'Dvd Calendar'!$H$1138)=0))&gt;0)=0,"",'Dvd Calendar'!$H$1138*1000000000+ISNUMBER('Dvd Calendar'!$H$1141)*100000000+('Dvd Calendar'!$H$1143=SPECIAL_LBL)*10000000+(N('Dvd Calendar'!$H$1137)&gt;0)*(N('Dvd Calendar'!$H$1137)&lt;=VAL_SERIAL)*1000000+3*1000+4))</f>
        <v/>
      </c>
      <c r="EI118" s="121">
        <f>IF(N('Dvd Calendar'!$I$1138)=0,"",IF(('Dvd Calendar'!$I$1138&gt;=GRID_FROM)*('Dvd Calendar'!$I$1138&lt;=GRID_TO)*((('Dvd Calendar'!$I$1138&lt;=VAL_DATE)+(COUNTIF('Dvd Calendar'!$E$1145:$AR$1145,'Dvd Calendar'!$I$1138)=0))&gt;0)=0,"",'Dvd Calendar'!$I$1138*1000000000+ISNUMBER('Dvd Calendar'!$I$1141)*100000000+('Dvd Calendar'!$I$1143=SPECIAL_LBL)*10000000+(N('Dvd Calendar'!$I$1137)&gt;0)*(N('Dvd Calendar'!$I$1137)&lt;=VAL_SERIAL)*1000000+3*1000+5))</f>
        <v/>
      </c>
      <c r="EJ118" s="121">
        <f>IF(N('Dvd Calendar'!$J$1138)=0,"",IF(('Dvd Calendar'!$J$1138&gt;=GRID_FROM)*('Dvd Calendar'!$J$1138&lt;=GRID_TO)*((('Dvd Calendar'!$J$1138&lt;=VAL_DATE)+(COUNTIF('Dvd Calendar'!$E$1145:$AR$1145,'Dvd Calendar'!$J$1138)=0))&gt;0)=0,"",'Dvd Calendar'!$J$1138*1000000000+ISNUMBER('Dvd Calendar'!$J$1141)*100000000+('Dvd Calendar'!$J$1143=SPECIAL_LBL)*10000000+(N('Dvd Calendar'!$J$1137)&gt;0)*(N('Dvd Calendar'!$J$1137)&lt;=VAL_SERIAL)*1000000+3*1000+6))</f>
        <v/>
      </c>
      <c r="EK118" s="121">
        <f>IF(N('Dvd Calendar'!$K$1138)=0,"",IF(('Dvd Calendar'!$K$1138&gt;=GRID_FROM)*('Dvd Calendar'!$K$1138&lt;=GRID_TO)*((('Dvd Calendar'!$K$1138&lt;=VAL_DATE)+(COUNTIF('Dvd Calendar'!$E$1145:$AR$1145,'Dvd Calendar'!$K$1138)=0))&gt;0)=0,"",'Dvd Calendar'!$K$1138*1000000000+ISNUMBER('Dvd Calendar'!$K$1141)*100000000+('Dvd Calendar'!$K$1143=SPECIAL_LBL)*10000000+(N('Dvd Calendar'!$K$1137)&gt;0)*(N('Dvd Calendar'!$K$1137)&lt;=VAL_SERIAL)*1000000+3*1000+7))</f>
        <v/>
      </c>
      <c r="EL118" s="121">
        <f>IF(N('Dvd Calendar'!$L$1138)=0,"",IF(('Dvd Calendar'!$L$1138&gt;=GRID_FROM)*('Dvd Calendar'!$L$1138&lt;=GRID_TO)*((('Dvd Calendar'!$L$1138&lt;=VAL_DATE)+(COUNTIF('Dvd Calendar'!$E$1145:$AR$1145,'Dvd Calendar'!$L$1138)=0))&gt;0)=0,"",'Dvd Calendar'!$L$1138*1000000000+ISNUMBER('Dvd Calendar'!$L$1141)*100000000+('Dvd Calendar'!$L$1143=SPECIAL_LBL)*10000000+(N('Dvd Calendar'!$L$1137)&gt;0)*(N('Dvd Calendar'!$L$1137)&lt;=VAL_SERIAL)*1000000+3*1000+8))</f>
        <v/>
      </c>
      <c r="EM118" s="121">
        <f>IF(N('Dvd Calendar'!$M$1138)=0,"",IF(('Dvd Calendar'!$M$1138&gt;=GRID_FROM)*('Dvd Calendar'!$M$1138&lt;=GRID_TO)*((('Dvd Calendar'!$M$1138&lt;=VAL_DATE)+(COUNTIF('Dvd Calendar'!$E$1145:$AR$1145,'Dvd Calendar'!$M$1138)=0))&gt;0)=0,"",'Dvd Calendar'!$M$1138*1000000000+ISNUMBER('Dvd Calendar'!$M$1141)*100000000+('Dvd Calendar'!$M$1143=SPECIAL_LBL)*10000000+(N('Dvd Calendar'!$M$1137)&gt;0)*(N('Dvd Calendar'!$M$1137)&lt;=VAL_SERIAL)*1000000+3*1000+9))</f>
        <v/>
      </c>
      <c r="EN118" s="121">
        <f>IF(N('Dvd Calendar'!$N$1138)=0,"",IF(('Dvd Calendar'!$N$1138&gt;=GRID_FROM)*('Dvd Calendar'!$N$1138&lt;=GRID_TO)*((('Dvd Calendar'!$N$1138&lt;=VAL_DATE)+(COUNTIF('Dvd Calendar'!$E$1145:$AR$1145,'Dvd Calendar'!$N$1138)=0))&gt;0)=0,"",'Dvd Calendar'!$N$1138*1000000000+ISNUMBER('Dvd Calendar'!$N$1141)*100000000+('Dvd Calendar'!$N$1143=SPECIAL_LBL)*10000000+(N('Dvd Calendar'!$N$1137)&gt;0)*(N('Dvd Calendar'!$N$1137)&lt;=VAL_SERIAL)*1000000+3*1000+10))</f>
        <v/>
      </c>
      <c r="EO118" s="121">
        <f>IF(N('Dvd Calendar'!$O$1138)=0,"",IF(('Dvd Calendar'!$O$1138&gt;=GRID_FROM)*('Dvd Calendar'!$O$1138&lt;=GRID_TO)*((('Dvd Calendar'!$O$1138&lt;=VAL_DATE)+(COUNTIF('Dvd Calendar'!$E$1145:$AR$1145,'Dvd Calendar'!$O$1138)=0))&gt;0)=0,"",'Dvd Calendar'!$O$1138*1000000000+ISNUMBER('Dvd Calendar'!$O$1141)*100000000+('Dvd Calendar'!$O$1143=SPECIAL_LBL)*10000000+(N('Dvd Calendar'!$O$1137)&gt;0)*(N('Dvd Calendar'!$O$1137)&lt;=VAL_SERIAL)*1000000+3*1000+11))</f>
        <v/>
      </c>
      <c r="EP118" s="121">
        <f>IF(N('Dvd Calendar'!$P$1138)=0,"",IF(('Dvd Calendar'!$P$1138&gt;=GRID_FROM)*('Dvd Calendar'!$P$1138&lt;=GRID_TO)*((('Dvd Calendar'!$P$1138&lt;=VAL_DATE)+(COUNTIF('Dvd Calendar'!$E$1145:$AR$1145,'Dvd Calendar'!$P$1138)=0))&gt;0)=0,"",'Dvd Calendar'!$P$1138*1000000000+ISNUMBER('Dvd Calendar'!$P$1141)*100000000+('Dvd Calendar'!$P$1143=SPECIAL_LBL)*10000000+(N('Dvd Calendar'!$P$1137)&gt;0)*(N('Dvd Calendar'!$P$1137)&lt;=VAL_SERIAL)*1000000+3*1000+12))</f>
        <v/>
      </c>
      <c r="EQ118" s="121">
        <f>IF(N('Dvd Calendar'!$Q$1138)=0,"",IF(('Dvd Calendar'!$Q$1138&gt;=GRID_FROM)*('Dvd Calendar'!$Q$1138&lt;=GRID_TO)*((('Dvd Calendar'!$Q$1138&lt;=VAL_DATE)+(COUNTIF('Dvd Calendar'!$E$1145:$AR$1145,'Dvd Calendar'!$Q$1138)=0))&gt;0)=0,"",'Dvd Calendar'!$Q$1138*1000000000+ISNUMBER('Dvd Calendar'!$Q$1141)*100000000+('Dvd Calendar'!$Q$1143=SPECIAL_LBL)*10000000+(N('Dvd Calendar'!$Q$1137)&gt;0)*(N('Dvd Calendar'!$Q$1137)&lt;=VAL_SERIAL)*1000000+3*1000+13))</f>
        <v/>
      </c>
      <c r="ER118" s="121">
        <f>IF(N('Dvd Calendar'!$R$1138)=0,"",IF(('Dvd Calendar'!$R$1138&gt;=GRID_FROM)*('Dvd Calendar'!$R$1138&lt;=GRID_TO)*((('Dvd Calendar'!$R$1138&lt;=VAL_DATE)+(COUNTIF('Dvd Calendar'!$E$1145:$AR$1145,'Dvd Calendar'!$R$1138)=0))&gt;0)=0,"",'Dvd Calendar'!$R$1138*1000000000+ISNUMBER('Dvd Calendar'!$R$1141)*100000000+('Dvd Calendar'!$R$1143=SPECIAL_LBL)*10000000+(N('Dvd Calendar'!$R$1137)&gt;0)*(N('Dvd Calendar'!$R$1137)&lt;=VAL_SERIAL)*1000000+3*1000+14))</f>
        <v/>
      </c>
      <c r="ES118" s="121">
        <f>IF(N('Dvd Calendar'!$S$1138)=0,"",IF(('Dvd Calendar'!$S$1138&gt;=GRID_FROM)*('Dvd Calendar'!$S$1138&lt;=GRID_TO)*((('Dvd Calendar'!$S$1138&lt;=VAL_DATE)+(COUNTIF('Dvd Calendar'!$E$1145:$AR$1145,'Dvd Calendar'!$S$1138)=0))&gt;0)=0,"",'Dvd Calendar'!$S$1138*1000000000+ISNUMBER('Dvd Calendar'!$S$1141)*100000000+('Dvd Calendar'!$S$1143=SPECIAL_LBL)*10000000+(N('Dvd Calendar'!$S$1137)&gt;0)*(N('Dvd Calendar'!$S$1137)&lt;=VAL_SERIAL)*1000000+3*1000+15))</f>
        <v/>
      </c>
      <c r="ET118" s="121">
        <f>IF(N('Dvd Calendar'!$T$1138)=0,"",IF(('Dvd Calendar'!$T$1138&gt;=GRID_FROM)*('Dvd Calendar'!$T$1138&lt;=GRID_TO)*((('Dvd Calendar'!$T$1138&lt;=VAL_DATE)+(COUNTIF('Dvd Calendar'!$E$1145:$AR$1145,'Dvd Calendar'!$T$1138)=0))&gt;0)=0,"",'Dvd Calendar'!$T$1138*1000000000+ISNUMBER('Dvd Calendar'!$T$1141)*100000000+('Dvd Calendar'!$T$1143=SPECIAL_LBL)*10000000+(N('Dvd Calendar'!$T$1137)&gt;0)*(N('Dvd Calendar'!$T$1137)&lt;=VAL_SERIAL)*1000000+3*1000+16))</f>
        <v/>
      </c>
      <c r="EU118" s="121">
        <f>IF(N('Dvd Calendar'!$U$1138)=0,"",IF(('Dvd Calendar'!$U$1138&gt;=GRID_FROM)*('Dvd Calendar'!$U$1138&lt;=GRID_TO)*((('Dvd Calendar'!$U$1138&lt;=VAL_DATE)+(COUNTIF('Dvd Calendar'!$E$1145:$AR$1145,'Dvd Calendar'!$U$1138)=0))&gt;0)=0,"",'Dvd Calendar'!$U$1138*1000000000+ISNUMBER('Dvd Calendar'!$U$1141)*100000000+('Dvd Calendar'!$U$1143=SPECIAL_LBL)*10000000+(N('Dvd Calendar'!$U$1137)&gt;0)*(N('Dvd Calendar'!$U$1137)&lt;=VAL_SERIAL)*1000000+3*1000+17))</f>
        <v/>
      </c>
      <c r="EV118" s="121">
        <f>IF(N('Dvd Calendar'!$V$1138)=0,"",IF(('Dvd Calendar'!$V$1138&gt;=GRID_FROM)*('Dvd Calendar'!$V$1138&lt;=GRID_TO)*((('Dvd Calendar'!$V$1138&lt;=VAL_DATE)+(COUNTIF('Dvd Calendar'!$E$1145:$AR$1145,'Dvd Calendar'!$V$1138)=0))&gt;0)=0,"",'Dvd Calendar'!$V$1138*1000000000+ISNUMBER('Dvd Calendar'!$V$1141)*100000000+('Dvd Calendar'!$V$1143=SPECIAL_LBL)*10000000+(N('Dvd Calendar'!$V$1137)&gt;0)*(N('Dvd Calendar'!$V$1137)&lt;=VAL_SERIAL)*1000000+3*1000+18))</f>
        <v/>
      </c>
      <c r="EW118" s="121">
        <f>IF(N('Dvd Calendar'!$W$1138)=0,"",IF(('Dvd Calendar'!$W$1138&gt;=GRID_FROM)*('Dvd Calendar'!$W$1138&lt;=GRID_TO)*((('Dvd Calendar'!$W$1138&lt;=VAL_DATE)+(COUNTIF('Dvd Calendar'!$E$1145:$AR$1145,'Dvd Calendar'!$W$1138)=0))&gt;0)=0,"",'Dvd Calendar'!$W$1138*1000000000+ISNUMBER('Dvd Calendar'!$W$1141)*100000000+('Dvd Calendar'!$W$1143=SPECIAL_LBL)*10000000+(N('Dvd Calendar'!$W$1137)&gt;0)*(N('Dvd Calendar'!$W$1137)&lt;=VAL_SERIAL)*1000000+3*1000+19))</f>
        <v/>
      </c>
      <c r="EX118" s="121">
        <f>IF(N('Dvd Calendar'!$X$1138)=0,"",IF(('Dvd Calendar'!$X$1138&gt;=GRID_FROM)*('Dvd Calendar'!$X$1138&lt;=GRID_TO)*((('Dvd Calendar'!$X$1138&lt;=VAL_DATE)+(COUNTIF('Dvd Calendar'!$E$1145:$AR$1145,'Dvd Calendar'!$X$1138)=0))&gt;0)=0,"",'Dvd Calendar'!$X$1138*1000000000+ISNUMBER('Dvd Calendar'!$X$1141)*100000000+('Dvd Calendar'!$X$1143=SPECIAL_LBL)*10000000+(N('Dvd Calendar'!$X$1137)&gt;0)*(N('Dvd Calendar'!$X$1137)&lt;=VAL_SERIAL)*1000000+3*1000+20))</f>
        <v/>
      </c>
      <c r="EY118" s="121">
        <f>IF(N('Dvd Calendar'!$Y$1138)=0,"",IF(('Dvd Calendar'!$Y$1138&gt;=GRID_FROM)*('Dvd Calendar'!$Y$1138&lt;=GRID_TO)*((('Dvd Calendar'!$Y$1138&lt;=VAL_DATE)+(COUNTIF('Dvd Calendar'!$E$1145:$AR$1145,'Dvd Calendar'!$Y$1138)=0))&gt;0)=0,"",'Dvd Calendar'!$Y$1138*1000000000+ISNUMBER('Dvd Calendar'!$Y$1141)*100000000+('Dvd Calendar'!$Y$1143=SPECIAL_LBL)*10000000+(N('Dvd Calendar'!$Y$1137)&gt;0)*(N('Dvd Calendar'!$Y$1137)&lt;=VAL_SERIAL)*1000000+3*1000+21))</f>
        <v/>
      </c>
      <c r="EZ118" s="121">
        <f>IF(N('Dvd Calendar'!$Z$1138)=0,"",IF(('Dvd Calendar'!$Z$1138&gt;=GRID_FROM)*('Dvd Calendar'!$Z$1138&lt;=GRID_TO)*((('Dvd Calendar'!$Z$1138&lt;=VAL_DATE)+(COUNTIF('Dvd Calendar'!$E$1145:$AR$1145,'Dvd Calendar'!$Z$1138)=0))&gt;0)=0,"",'Dvd Calendar'!$Z$1138*1000000000+ISNUMBER('Dvd Calendar'!$Z$1141)*100000000+('Dvd Calendar'!$Z$1143=SPECIAL_LBL)*10000000+(N('Dvd Calendar'!$Z$1137)&gt;0)*(N('Dvd Calendar'!$Z$1137)&lt;=VAL_SERIAL)*1000000+3*1000+22))</f>
        <v/>
      </c>
      <c r="FA118" s="121">
        <f>IF(N('Dvd Calendar'!$AA$1138)=0,"",IF(('Dvd Calendar'!$AA$1138&gt;=GRID_FROM)*('Dvd Calendar'!$AA$1138&lt;=GRID_TO)*((('Dvd Calendar'!$AA$1138&lt;=VAL_DATE)+(COUNTIF('Dvd Calendar'!$E$1145:$AR$1145,'Dvd Calendar'!$AA$1138)=0))&gt;0)=0,"",'Dvd Calendar'!$AA$1138*1000000000+ISNUMBER('Dvd Calendar'!$AA$1141)*100000000+('Dvd Calendar'!$AA$1143=SPECIAL_LBL)*10000000+(N('Dvd Calendar'!$AA$1137)&gt;0)*(N('Dvd Calendar'!$AA$1137)&lt;=VAL_SERIAL)*1000000+3*1000+23))</f>
        <v/>
      </c>
      <c r="FB118" s="121">
        <f>IF(N('Dvd Calendar'!$AB$1138)=0,"",IF(('Dvd Calendar'!$AB$1138&gt;=GRID_FROM)*('Dvd Calendar'!$AB$1138&lt;=GRID_TO)*((('Dvd Calendar'!$AB$1138&lt;=VAL_DATE)+(COUNTIF('Dvd Calendar'!$E$1145:$AR$1145,'Dvd Calendar'!$AB$1138)=0))&gt;0)=0,"",'Dvd Calendar'!$AB$1138*1000000000+ISNUMBER('Dvd Calendar'!$AB$1141)*100000000+('Dvd Calendar'!$AB$1143=SPECIAL_LBL)*10000000+(N('Dvd Calendar'!$AB$1137)&gt;0)*(N('Dvd Calendar'!$AB$1137)&lt;=VAL_SERIAL)*1000000+3*1000+24))</f>
        <v/>
      </c>
      <c r="FC118" s="121">
        <f>IF(N('Dvd Calendar'!$AC$1138)=0,"",IF(('Dvd Calendar'!$AC$1138&gt;=GRID_FROM)*('Dvd Calendar'!$AC$1138&lt;=GRID_TO)*((('Dvd Calendar'!$AC$1138&lt;=VAL_DATE)+(COUNTIF('Dvd Calendar'!$E$1145:$AR$1145,'Dvd Calendar'!$AC$1138)=0))&gt;0)=0,"",'Dvd Calendar'!$AC$1138*1000000000+ISNUMBER('Dvd Calendar'!$AC$1141)*100000000+('Dvd Calendar'!$AC$1143=SPECIAL_LBL)*10000000+(N('Dvd Calendar'!$AC$1137)&gt;0)*(N('Dvd Calendar'!$AC$1137)&lt;=VAL_SERIAL)*1000000+3*1000+25))</f>
        <v/>
      </c>
      <c r="FD118" s="121">
        <f>IF(N('Dvd Calendar'!$AD$1138)=0,"",IF(('Dvd Calendar'!$AD$1138&gt;=GRID_FROM)*('Dvd Calendar'!$AD$1138&lt;=GRID_TO)*((('Dvd Calendar'!$AD$1138&lt;=VAL_DATE)+(COUNTIF('Dvd Calendar'!$E$1145:$AR$1145,'Dvd Calendar'!$AD$1138)=0))&gt;0)=0,"",'Dvd Calendar'!$AD$1138*1000000000+ISNUMBER('Dvd Calendar'!$AD$1141)*100000000+('Dvd Calendar'!$AD$1143=SPECIAL_LBL)*10000000+(N('Dvd Calendar'!$AD$1137)&gt;0)*(N('Dvd Calendar'!$AD$1137)&lt;=VAL_SERIAL)*1000000+3*1000+26))</f>
        <v/>
      </c>
      <c r="FE118" s="121">
        <f>IF(N('Dvd Calendar'!$AE$1138)=0,"",IF(('Dvd Calendar'!$AE$1138&gt;=GRID_FROM)*('Dvd Calendar'!$AE$1138&lt;=GRID_TO)*((('Dvd Calendar'!$AE$1138&lt;=VAL_DATE)+(COUNTIF('Dvd Calendar'!$E$1145:$AR$1145,'Dvd Calendar'!$AE$1138)=0))&gt;0)=0,"",'Dvd Calendar'!$AE$1138*1000000000+ISNUMBER('Dvd Calendar'!$AE$1141)*100000000+('Dvd Calendar'!$AE$1143=SPECIAL_LBL)*10000000+(N('Dvd Calendar'!$AE$1137)&gt;0)*(N('Dvd Calendar'!$AE$1137)&lt;=VAL_SERIAL)*1000000+3*1000+27))</f>
        <v/>
      </c>
      <c r="FF118" s="121">
        <f>IF(N('Dvd Calendar'!$AF$1138)=0,"",IF(('Dvd Calendar'!$AF$1138&gt;=GRID_FROM)*('Dvd Calendar'!$AF$1138&lt;=GRID_TO)*((('Dvd Calendar'!$AF$1138&lt;=VAL_DATE)+(COUNTIF('Dvd Calendar'!$E$1145:$AR$1145,'Dvd Calendar'!$AF$1138)=0))&gt;0)=0,"",'Dvd Calendar'!$AF$1138*1000000000+ISNUMBER('Dvd Calendar'!$AF$1141)*100000000+('Dvd Calendar'!$AF$1143=SPECIAL_LBL)*10000000+(N('Dvd Calendar'!$AF$1137)&gt;0)*(N('Dvd Calendar'!$AF$1137)&lt;=VAL_SERIAL)*1000000+3*1000+28))</f>
        <v/>
      </c>
      <c r="FG118" s="121">
        <f>IF(N('Dvd Calendar'!$AG$1138)=0,"",IF(('Dvd Calendar'!$AG$1138&gt;=GRID_FROM)*('Dvd Calendar'!$AG$1138&lt;=GRID_TO)*((('Dvd Calendar'!$AG$1138&lt;=VAL_DATE)+(COUNTIF('Dvd Calendar'!$E$1145:$AR$1145,'Dvd Calendar'!$AG$1138)=0))&gt;0)=0,"",'Dvd Calendar'!$AG$1138*1000000000+ISNUMBER('Dvd Calendar'!$AG$1141)*100000000+('Dvd Calendar'!$AG$1143=SPECIAL_LBL)*10000000+(N('Dvd Calendar'!$AG$1137)&gt;0)*(N('Dvd Calendar'!$AG$1137)&lt;=VAL_SERIAL)*1000000+3*1000+29))</f>
        <v/>
      </c>
      <c r="FH118" s="121">
        <f>IF(N('Dvd Calendar'!$AH$1138)=0,"",IF(('Dvd Calendar'!$AH$1138&gt;=GRID_FROM)*('Dvd Calendar'!$AH$1138&lt;=GRID_TO)*((('Dvd Calendar'!$AH$1138&lt;=VAL_DATE)+(COUNTIF('Dvd Calendar'!$E$1145:$AR$1145,'Dvd Calendar'!$AH$1138)=0))&gt;0)=0,"",'Dvd Calendar'!$AH$1138*1000000000+ISNUMBER('Dvd Calendar'!$AH$1141)*100000000+('Dvd Calendar'!$AH$1143=SPECIAL_LBL)*10000000+(N('Dvd Calendar'!$AH$1137)&gt;0)*(N('Dvd Calendar'!$AH$1137)&lt;=VAL_SERIAL)*1000000+3*1000+30))</f>
        <v/>
      </c>
      <c r="FI118" s="121">
        <f>IF(N('Dvd Calendar'!$AI$1138)=0,"",IF(('Dvd Calendar'!$AI$1138&gt;=GRID_FROM)*('Dvd Calendar'!$AI$1138&lt;=GRID_TO)*((('Dvd Calendar'!$AI$1138&lt;=VAL_DATE)+(COUNTIF('Dvd Calendar'!$E$1145:$AR$1145,'Dvd Calendar'!$AI$1138)=0))&gt;0)=0,"",'Dvd Calendar'!$AI$1138*1000000000+ISNUMBER('Dvd Calendar'!$AI$1141)*100000000+('Dvd Calendar'!$AI$1143=SPECIAL_LBL)*10000000+(N('Dvd Calendar'!$AI$1137)&gt;0)*(N('Dvd Calendar'!$AI$1137)&lt;=VAL_SERIAL)*1000000+3*1000+31))</f>
        <v/>
      </c>
      <c r="FJ118" s="121">
        <f>IF(N('Dvd Calendar'!$AJ$1138)=0,"",IF(('Dvd Calendar'!$AJ$1138&gt;=GRID_FROM)*('Dvd Calendar'!$AJ$1138&lt;=GRID_TO)*((('Dvd Calendar'!$AJ$1138&lt;=VAL_DATE)+(COUNTIF('Dvd Calendar'!$E$1145:$AR$1145,'Dvd Calendar'!$AJ$1138)=0))&gt;0)=0,"",'Dvd Calendar'!$AJ$1138*1000000000+ISNUMBER('Dvd Calendar'!$AJ$1141)*100000000+('Dvd Calendar'!$AJ$1143=SPECIAL_LBL)*10000000+(N('Dvd Calendar'!$AJ$1137)&gt;0)*(N('Dvd Calendar'!$AJ$1137)&lt;=VAL_SERIAL)*1000000+3*1000+32))</f>
        <v/>
      </c>
      <c r="FK118" s="121">
        <f>IF(N('Dvd Calendar'!$AK$1138)=0,"",IF(('Dvd Calendar'!$AK$1138&gt;=GRID_FROM)*('Dvd Calendar'!$AK$1138&lt;=GRID_TO)*((('Dvd Calendar'!$AK$1138&lt;=VAL_DATE)+(COUNTIF('Dvd Calendar'!$E$1145:$AR$1145,'Dvd Calendar'!$AK$1138)=0))&gt;0)=0,"",'Dvd Calendar'!$AK$1138*1000000000+ISNUMBER('Dvd Calendar'!$AK$1141)*100000000+('Dvd Calendar'!$AK$1143=SPECIAL_LBL)*10000000+(N('Dvd Calendar'!$AK$1137)&gt;0)*(N('Dvd Calendar'!$AK$1137)&lt;=VAL_SERIAL)*1000000+3*1000+33))</f>
        <v/>
      </c>
      <c r="FL118" s="121">
        <f>IF(N('Dvd Calendar'!$AL$1138)=0,"",IF(('Dvd Calendar'!$AL$1138&gt;=GRID_FROM)*('Dvd Calendar'!$AL$1138&lt;=GRID_TO)*((('Dvd Calendar'!$AL$1138&lt;=VAL_DATE)+(COUNTIF('Dvd Calendar'!$E$1145:$AR$1145,'Dvd Calendar'!$AL$1138)=0))&gt;0)=0,"",'Dvd Calendar'!$AL$1138*1000000000+ISNUMBER('Dvd Calendar'!$AL$1141)*100000000+('Dvd Calendar'!$AL$1143=SPECIAL_LBL)*10000000+(N('Dvd Calendar'!$AL$1137)&gt;0)*(N('Dvd Calendar'!$AL$1137)&lt;=VAL_SERIAL)*1000000+3*1000+34))</f>
        <v/>
      </c>
      <c r="FM118" s="121">
        <f>IF(N('Dvd Calendar'!$AM$1138)=0,"",IF(('Dvd Calendar'!$AM$1138&gt;=GRID_FROM)*('Dvd Calendar'!$AM$1138&lt;=GRID_TO)*((('Dvd Calendar'!$AM$1138&lt;=VAL_DATE)+(COUNTIF('Dvd Calendar'!$E$1145:$AR$1145,'Dvd Calendar'!$AM$1138)=0))&gt;0)=0,"",'Dvd Calendar'!$AM$1138*1000000000+ISNUMBER('Dvd Calendar'!$AM$1141)*100000000+('Dvd Calendar'!$AM$1143=SPECIAL_LBL)*10000000+(N('Dvd Calendar'!$AM$1137)&gt;0)*(N('Dvd Calendar'!$AM$1137)&lt;=VAL_SERIAL)*1000000+3*1000+35))</f>
        <v/>
      </c>
      <c r="FN118" s="121">
        <f>IF(N('Dvd Calendar'!$AN$1138)=0,"",IF(('Dvd Calendar'!$AN$1138&gt;=GRID_FROM)*('Dvd Calendar'!$AN$1138&lt;=GRID_TO)*((('Dvd Calendar'!$AN$1138&lt;=VAL_DATE)+(COUNTIF('Dvd Calendar'!$E$1145:$AR$1145,'Dvd Calendar'!$AN$1138)=0))&gt;0)=0,"",'Dvd Calendar'!$AN$1138*1000000000+ISNUMBER('Dvd Calendar'!$AN$1141)*100000000+('Dvd Calendar'!$AN$1143=SPECIAL_LBL)*10000000+(N('Dvd Calendar'!$AN$1137)&gt;0)*(N('Dvd Calendar'!$AN$1137)&lt;=VAL_SERIAL)*1000000+3*1000+36))</f>
        <v/>
      </c>
      <c r="FO118" s="121">
        <f>IF(N('Dvd Calendar'!$AO$1138)=0,"",IF(('Dvd Calendar'!$AO$1138&gt;=GRID_FROM)*('Dvd Calendar'!$AO$1138&lt;=GRID_TO)*((('Dvd Calendar'!$AO$1138&lt;=VAL_DATE)+(COUNTIF('Dvd Calendar'!$E$1145:$AR$1145,'Dvd Calendar'!$AO$1138)=0))&gt;0)=0,"",'Dvd Calendar'!$AO$1138*1000000000+ISNUMBER('Dvd Calendar'!$AO$1141)*100000000+('Dvd Calendar'!$AO$1143=SPECIAL_LBL)*10000000+(N('Dvd Calendar'!$AO$1137)&gt;0)*(N('Dvd Calendar'!$AO$1137)&lt;=VAL_SERIAL)*1000000+3*1000+37))</f>
        <v/>
      </c>
      <c r="FP118" s="121">
        <f>IF(N('Dvd Calendar'!$AP$1138)=0,"",IF(('Dvd Calendar'!$AP$1138&gt;=GRID_FROM)*('Dvd Calendar'!$AP$1138&lt;=GRID_TO)*((('Dvd Calendar'!$AP$1138&lt;=VAL_DATE)+(COUNTIF('Dvd Calendar'!$E$1145:$AR$1145,'Dvd Calendar'!$AP$1138)=0))&gt;0)=0,"",'Dvd Calendar'!$AP$1138*1000000000+ISNUMBER('Dvd Calendar'!$AP$1141)*100000000+('Dvd Calendar'!$AP$1143=SPECIAL_LBL)*10000000+(N('Dvd Calendar'!$AP$1137)&gt;0)*(N('Dvd Calendar'!$AP$1137)&lt;=VAL_SERIAL)*1000000+3*1000+38))</f>
        <v/>
      </c>
      <c r="FQ118" s="121">
        <f>IF(N('Dvd Calendar'!$AQ$1138)=0,"",IF(('Dvd Calendar'!$AQ$1138&gt;=GRID_FROM)*('Dvd Calendar'!$AQ$1138&lt;=GRID_TO)*((('Dvd Calendar'!$AQ$1138&lt;=VAL_DATE)+(COUNTIF('Dvd Calendar'!$E$1145:$AR$1145,'Dvd Calendar'!$AQ$1138)=0))&gt;0)=0,"",'Dvd Calendar'!$AQ$1138*1000000000+ISNUMBER('Dvd Calendar'!$AQ$1141)*100000000+('Dvd Calendar'!$AQ$1143=SPECIAL_LBL)*10000000+(N('Dvd Calendar'!$AQ$1137)&gt;0)*(N('Dvd Calendar'!$AQ$1137)&lt;=VAL_SERIAL)*1000000+3*1000+39))</f>
        <v/>
      </c>
      <c r="FR118" s="121">
        <f>IF(N('Dvd Calendar'!$AR$1138)=0,"",IF(('Dvd Calendar'!$AR$1138&gt;=GRID_FROM)*('Dvd Calendar'!$AR$1138&lt;=GRID_TO)*((('Dvd Calendar'!$AR$1138&lt;=VAL_DATE)+(COUNTIF('Dvd Calendar'!$E$1145:$AR$1145,'Dvd Calendar'!$AR$1138)=0))&gt;0)=0,"",'Dvd Calendar'!$AR$1138*1000000000+ISNUMBER('Dvd Calendar'!$AR$1141)*100000000+('Dvd Calendar'!$AR$1143=SPECIAL_LBL)*10000000+(N('Dvd Calendar'!$AR$1137)&gt;0)*(N('Dvd Calendar'!$AR$1137)&lt;=VAL_SERIAL)*1000000+3*1000+40))</f>
        <v/>
      </c>
      <c r="FS118" s="121">
        <f>IF(N('Dvd Calendar'!$E$1145)=0,"",IF(('Dvd Calendar'!$E$1145&gt;=GRID_FROM)*('Dvd Calendar'!$E$1145&lt;=GRID_TO)*('Dvd Calendar'!$E$1145&gt;VAL_DATE)=0,"",'Dvd Calendar'!$E$1145*1000000000+ISNUMBER('Dvd Calendar'!$E$1146)*100000000+0*10000000+(N('Dvd Calendar'!$E$1144)&gt;0)*(N('Dvd Calendar'!$E$1144)&lt;=VAL_SERIAL)*1000000+3*1000+41))</f>
        <v/>
      </c>
      <c r="FT118" s="121">
        <f>IF(N('Dvd Calendar'!$F$1145)=0,"",IF(('Dvd Calendar'!$F$1145&gt;=GRID_FROM)*('Dvd Calendar'!$F$1145&lt;=GRID_TO)*('Dvd Calendar'!$F$1145&gt;VAL_DATE)=0,"",'Dvd Calendar'!$F$1145*1000000000+ISNUMBER('Dvd Calendar'!$F$1146)*100000000+0*10000000+(N('Dvd Calendar'!$F$1144)&gt;0)*(N('Dvd Calendar'!$F$1144)&lt;=VAL_SERIAL)*1000000+3*1000+42))</f>
        <v/>
      </c>
      <c r="FU118" s="121">
        <f>IF(N('Dvd Calendar'!$G$1145)=0,"",IF(('Dvd Calendar'!$G$1145&gt;=GRID_FROM)*('Dvd Calendar'!$G$1145&lt;=GRID_TO)*('Dvd Calendar'!$G$1145&gt;VAL_DATE)=0,"",'Dvd Calendar'!$G$1145*1000000000+ISNUMBER('Dvd Calendar'!$G$1146)*100000000+0*10000000+(N('Dvd Calendar'!$G$1144)&gt;0)*(N('Dvd Calendar'!$G$1144)&lt;=VAL_SERIAL)*1000000+3*1000+43))</f>
        <v/>
      </c>
      <c r="FV118" s="121">
        <f>IF(N('Dvd Calendar'!$H$1145)=0,"",IF(('Dvd Calendar'!$H$1145&gt;=GRID_FROM)*('Dvd Calendar'!$H$1145&lt;=GRID_TO)*('Dvd Calendar'!$H$1145&gt;VAL_DATE)=0,"",'Dvd Calendar'!$H$1145*1000000000+ISNUMBER('Dvd Calendar'!$H$1146)*100000000+0*10000000+(N('Dvd Calendar'!$H$1144)&gt;0)*(N('Dvd Calendar'!$H$1144)&lt;=VAL_SERIAL)*1000000+3*1000+44))</f>
        <v/>
      </c>
      <c r="FW118" s="121">
        <f>IF(N('Dvd Calendar'!$I$1145)=0,"",IF(('Dvd Calendar'!$I$1145&gt;=GRID_FROM)*('Dvd Calendar'!$I$1145&lt;=GRID_TO)*('Dvd Calendar'!$I$1145&gt;VAL_DATE)=0,"",'Dvd Calendar'!$I$1145*1000000000+ISNUMBER('Dvd Calendar'!$I$1146)*100000000+0*10000000+(N('Dvd Calendar'!$I$1144)&gt;0)*(N('Dvd Calendar'!$I$1144)&lt;=VAL_SERIAL)*1000000+3*1000+45))</f>
        <v/>
      </c>
      <c r="FX118" s="121">
        <f>IF(N('Dvd Calendar'!$J$1145)=0,"",IF(('Dvd Calendar'!$J$1145&gt;=GRID_FROM)*('Dvd Calendar'!$J$1145&lt;=GRID_TO)*('Dvd Calendar'!$J$1145&gt;VAL_DATE)=0,"",'Dvd Calendar'!$J$1145*1000000000+ISNUMBER('Dvd Calendar'!$J$1146)*100000000+0*10000000+(N('Dvd Calendar'!$J$1144)&gt;0)*(N('Dvd Calendar'!$J$1144)&lt;=VAL_SERIAL)*1000000+3*1000+46))</f>
        <v/>
      </c>
      <c r="FY118" s="121">
        <f>IF(N('Dvd Calendar'!$K$1145)=0,"",IF(('Dvd Calendar'!$K$1145&gt;=GRID_FROM)*('Dvd Calendar'!$K$1145&lt;=GRID_TO)*('Dvd Calendar'!$K$1145&gt;VAL_DATE)=0,"",'Dvd Calendar'!$K$1145*1000000000+ISNUMBER('Dvd Calendar'!$K$1146)*100000000+0*10000000+(N('Dvd Calendar'!$K$1144)&gt;0)*(N('Dvd Calendar'!$K$1144)&lt;=VAL_SERIAL)*1000000+3*1000+47))</f>
        <v/>
      </c>
      <c r="FZ118" s="121">
        <f>IF(N('Dvd Calendar'!$L$1145)=0,"",IF(('Dvd Calendar'!$L$1145&gt;=GRID_FROM)*('Dvd Calendar'!$L$1145&lt;=GRID_TO)*('Dvd Calendar'!$L$1145&gt;VAL_DATE)=0,"",'Dvd Calendar'!$L$1145*1000000000+ISNUMBER('Dvd Calendar'!$L$1146)*100000000+0*10000000+(N('Dvd Calendar'!$L$1144)&gt;0)*(N('Dvd Calendar'!$L$1144)&lt;=VAL_SERIAL)*1000000+3*1000+48))</f>
        <v/>
      </c>
      <c r="GA118" s="121">
        <f>IF(N('Dvd Calendar'!$M$1145)=0,"",IF(('Dvd Calendar'!$M$1145&gt;=GRID_FROM)*('Dvd Calendar'!$M$1145&lt;=GRID_TO)*('Dvd Calendar'!$M$1145&gt;VAL_DATE)=0,"",'Dvd Calendar'!$M$1145*1000000000+ISNUMBER('Dvd Calendar'!$M$1146)*100000000+0*10000000+(N('Dvd Calendar'!$M$1144)&gt;0)*(N('Dvd Calendar'!$M$1144)&lt;=VAL_SERIAL)*1000000+3*1000+49))</f>
        <v/>
      </c>
      <c r="GB118" s="121">
        <f>IF(N('Dvd Calendar'!$N$1145)=0,"",IF(('Dvd Calendar'!$N$1145&gt;=GRID_FROM)*('Dvd Calendar'!$N$1145&lt;=GRID_TO)*('Dvd Calendar'!$N$1145&gt;VAL_DATE)=0,"",'Dvd Calendar'!$N$1145*1000000000+ISNUMBER('Dvd Calendar'!$N$1146)*100000000+0*10000000+(N('Dvd Calendar'!$N$1144)&gt;0)*(N('Dvd Calendar'!$N$1144)&lt;=VAL_SERIAL)*1000000+3*1000+50))</f>
        <v/>
      </c>
      <c r="GC118" s="121">
        <f>IF(N('Dvd Calendar'!$O$1145)=0,"",IF(('Dvd Calendar'!$O$1145&gt;=GRID_FROM)*('Dvd Calendar'!$O$1145&lt;=GRID_TO)*('Dvd Calendar'!$O$1145&gt;VAL_DATE)=0,"",'Dvd Calendar'!$O$1145*1000000000+ISNUMBER('Dvd Calendar'!$O$1146)*100000000+0*10000000+(N('Dvd Calendar'!$O$1144)&gt;0)*(N('Dvd Calendar'!$O$1144)&lt;=VAL_SERIAL)*1000000+3*1000+51))</f>
        <v/>
      </c>
      <c r="GD118" s="121">
        <f>IF(N('Dvd Calendar'!$P$1145)=0,"",IF(('Dvd Calendar'!$P$1145&gt;=GRID_FROM)*('Dvd Calendar'!$P$1145&lt;=GRID_TO)*('Dvd Calendar'!$P$1145&gt;VAL_DATE)=0,"",'Dvd Calendar'!$P$1145*1000000000+ISNUMBER('Dvd Calendar'!$P$1146)*100000000+0*10000000+(N('Dvd Calendar'!$P$1144)&gt;0)*(N('Dvd Calendar'!$P$1144)&lt;=VAL_SERIAL)*1000000+3*1000+52))</f>
        <v/>
      </c>
      <c r="GE118" s="121">
        <f>IF(N('Dvd Calendar'!$Q$1145)=0,"",IF(('Dvd Calendar'!$Q$1145&gt;=GRID_FROM)*('Dvd Calendar'!$Q$1145&lt;=GRID_TO)*('Dvd Calendar'!$Q$1145&gt;VAL_DATE)=0,"",'Dvd Calendar'!$Q$1145*1000000000+ISNUMBER('Dvd Calendar'!$Q$1146)*100000000+0*10000000+(N('Dvd Calendar'!$Q$1144)&gt;0)*(N('Dvd Calendar'!$Q$1144)&lt;=VAL_SERIAL)*1000000+3*1000+53))</f>
        <v/>
      </c>
      <c r="GF118" s="121">
        <f>IF(N('Dvd Calendar'!$R$1145)=0,"",IF(('Dvd Calendar'!$R$1145&gt;=GRID_FROM)*('Dvd Calendar'!$R$1145&lt;=GRID_TO)*('Dvd Calendar'!$R$1145&gt;VAL_DATE)=0,"",'Dvd Calendar'!$R$1145*1000000000+ISNUMBER('Dvd Calendar'!$R$1146)*100000000+0*10000000+(N('Dvd Calendar'!$R$1144)&gt;0)*(N('Dvd Calendar'!$R$1144)&lt;=VAL_SERIAL)*1000000+3*1000+54))</f>
        <v/>
      </c>
      <c r="GG118" s="121">
        <f>IF(N('Dvd Calendar'!$S$1145)=0,"",IF(('Dvd Calendar'!$S$1145&gt;=GRID_FROM)*('Dvd Calendar'!$S$1145&lt;=GRID_TO)*('Dvd Calendar'!$S$1145&gt;VAL_DATE)=0,"",'Dvd Calendar'!$S$1145*1000000000+ISNUMBER('Dvd Calendar'!$S$1146)*100000000+0*10000000+(N('Dvd Calendar'!$S$1144)&gt;0)*(N('Dvd Calendar'!$S$1144)&lt;=VAL_SERIAL)*1000000+3*1000+55))</f>
        <v/>
      </c>
      <c r="GH118" s="121">
        <f>IF(N('Dvd Calendar'!$T$1145)=0,"",IF(('Dvd Calendar'!$T$1145&gt;=GRID_FROM)*('Dvd Calendar'!$T$1145&lt;=GRID_TO)*('Dvd Calendar'!$T$1145&gt;VAL_DATE)=0,"",'Dvd Calendar'!$T$1145*1000000000+ISNUMBER('Dvd Calendar'!$T$1146)*100000000+0*10000000+(N('Dvd Calendar'!$T$1144)&gt;0)*(N('Dvd Calendar'!$T$1144)&lt;=VAL_SERIAL)*1000000+3*1000+56))</f>
        <v/>
      </c>
      <c r="GI118" s="121">
        <f>IF(N('Dvd Calendar'!$U$1145)=0,"",IF(('Dvd Calendar'!$U$1145&gt;=GRID_FROM)*('Dvd Calendar'!$U$1145&lt;=GRID_TO)*('Dvd Calendar'!$U$1145&gt;VAL_DATE)=0,"",'Dvd Calendar'!$U$1145*1000000000+ISNUMBER('Dvd Calendar'!$U$1146)*100000000+0*10000000+(N('Dvd Calendar'!$U$1144)&gt;0)*(N('Dvd Calendar'!$U$1144)&lt;=VAL_SERIAL)*1000000+3*1000+57))</f>
        <v/>
      </c>
      <c r="GJ118" s="121">
        <f>IF(N('Dvd Calendar'!$V$1145)=0,"",IF(('Dvd Calendar'!$V$1145&gt;=GRID_FROM)*('Dvd Calendar'!$V$1145&lt;=GRID_TO)*('Dvd Calendar'!$V$1145&gt;VAL_DATE)=0,"",'Dvd Calendar'!$V$1145*1000000000+ISNUMBER('Dvd Calendar'!$V$1146)*100000000+0*10000000+(N('Dvd Calendar'!$V$1144)&gt;0)*(N('Dvd Calendar'!$V$1144)&lt;=VAL_SERIAL)*1000000+3*1000+58))</f>
        <v/>
      </c>
      <c r="GK118" s="121">
        <f>IF(N('Dvd Calendar'!$W$1145)=0,"",IF(('Dvd Calendar'!$W$1145&gt;=GRID_FROM)*('Dvd Calendar'!$W$1145&lt;=GRID_TO)*('Dvd Calendar'!$W$1145&gt;VAL_DATE)=0,"",'Dvd Calendar'!$W$1145*1000000000+ISNUMBER('Dvd Calendar'!$W$1146)*100000000+0*10000000+(N('Dvd Calendar'!$W$1144)&gt;0)*(N('Dvd Calendar'!$W$1144)&lt;=VAL_SERIAL)*1000000+3*1000+59))</f>
        <v/>
      </c>
      <c r="GL118" s="121">
        <f>IF(N('Dvd Calendar'!$X$1145)=0,"",IF(('Dvd Calendar'!$X$1145&gt;=GRID_FROM)*('Dvd Calendar'!$X$1145&lt;=GRID_TO)*('Dvd Calendar'!$X$1145&gt;VAL_DATE)=0,"",'Dvd Calendar'!$X$1145*1000000000+ISNUMBER('Dvd Calendar'!$X$1146)*100000000+0*10000000+(N('Dvd Calendar'!$X$1144)&gt;0)*(N('Dvd Calendar'!$X$1144)&lt;=VAL_SERIAL)*1000000+3*1000+60))</f>
        <v/>
      </c>
      <c r="GM118" s="121">
        <f>IF(N('Dvd Calendar'!$Y$1145)=0,"",IF(('Dvd Calendar'!$Y$1145&gt;=GRID_FROM)*('Dvd Calendar'!$Y$1145&lt;=GRID_TO)*('Dvd Calendar'!$Y$1145&gt;VAL_DATE)=0,"",'Dvd Calendar'!$Y$1145*1000000000+ISNUMBER('Dvd Calendar'!$Y$1146)*100000000+0*10000000+(N('Dvd Calendar'!$Y$1144)&gt;0)*(N('Dvd Calendar'!$Y$1144)&lt;=VAL_SERIAL)*1000000+3*1000+61))</f>
        <v/>
      </c>
      <c r="GN118" s="121">
        <f>IF(N('Dvd Calendar'!$Z$1145)=0,"",IF(('Dvd Calendar'!$Z$1145&gt;=GRID_FROM)*('Dvd Calendar'!$Z$1145&lt;=GRID_TO)*('Dvd Calendar'!$Z$1145&gt;VAL_DATE)=0,"",'Dvd Calendar'!$Z$1145*1000000000+ISNUMBER('Dvd Calendar'!$Z$1146)*100000000+0*10000000+(N('Dvd Calendar'!$Z$1144)&gt;0)*(N('Dvd Calendar'!$Z$1144)&lt;=VAL_SERIAL)*1000000+3*1000+62))</f>
        <v/>
      </c>
      <c r="GO118" s="121">
        <f>IF(N('Dvd Calendar'!$AA$1145)=0,"",IF(('Dvd Calendar'!$AA$1145&gt;=GRID_FROM)*('Dvd Calendar'!$AA$1145&lt;=GRID_TO)*('Dvd Calendar'!$AA$1145&gt;VAL_DATE)=0,"",'Dvd Calendar'!$AA$1145*1000000000+ISNUMBER('Dvd Calendar'!$AA$1146)*100000000+0*10000000+(N('Dvd Calendar'!$AA$1144)&gt;0)*(N('Dvd Calendar'!$AA$1144)&lt;=VAL_SERIAL)*1000000+3*1000+63))</f>
        <v/>
      </c>
      <c r="GP118" s="121">
        <f>IF(N('Dvd Calendar'!$AB$1145)=0,"",IF(('Dvd Calendar'!$AB$1145&gt;=GRID_FROM)*('Dvd Calendar'!$AB$1145&lt;=GRID_TO)*('Dvd Calendar'!$AB$1145&gt;VAL_DATE)=0,"",'Dvd Calendar'!$AB$1145*1000000000+ISNUMBER('Dvd Calendar'!$AB$1146)*100000000+0*10000000+(N('Dvd Calendar'!$AB$1144)&gt;0)*(N('Dvd Calendar'!$AB$1144)&lt;=VAL_SERIAL)*1000000+3*1000+64))</f>
        <v/>
      </c>
      <c r="GQ118" s="121">
        <f>IF(N('Dvd Calendar'!$AC$1145)=0,"",IF(('Dvd Calendar'!$AC$1145&gt;=GRID_FROM)*('Dvd Calendar'!$AC$1145&lt;=GRID_TO)*('Dvd Calendar'!$AC$1145&gt;VAL_DATE)=0,"",'Dvd Calendar'!$AC$1145*1000000000+ISNUMBER('Dvd Calendar'!$AC$1146)*100000000+0*10000000+(N('Dvd Calendar'!$AC$1144)&gt;0)*(N('Dvd Calendar'!$AC$1144)&lt;=VAL_SERIAL)*1000000+3*1000+65))</f>
        <v/>
      </c>
    </row>
    <row r="119">
      <c r="B119" s="2">
        <f>IF(HSTECH!$C$10="","",HSTECH!$C$10)</f>
        <v/>
      </c>
      <c r="C119" s="161">
        <f>IF(EE119="","",IF(ISNUMBER('Dvd Calendar'!$E$1152)=FALSE,"",IF((('Dvd Calendar'!$E$1154=TYPE1)*(TYPE1&lt;&gt;"")+('Dvd Calendar'!$E$1154=TYPE2)*(TYPE2&lt;&gt;"")+('Dvd Calendar'!$E$1154=TYPE3)*(TYPE3&lt;&gt;"")+('Dvd Calendar'!$E$1154=TYPE4)*(TYPE4&lt;&gt;"")+('Dvd Calendar'!$E$1154=SPECIAL_LBL)*(INC_SPECIALS="Y"))=0,"",'Dvd Calendar'!$E$1152)))</f>
        <v/>
      </c>
      <c r="D119" s="161">
        <f>IF(EF119="","",IF(ISNUMBER('Dvd Calendar'!$F$1152)=FALSE,"",IF((('Dvd Calendar'!$F$1154=TYPE1)*(TYPE1&lt;&gt;"")+('Dvd Calendar'!$F$1154=TYPE2)*(TYPE2&lt;&gt;"")+('Dvd Calendar'!$F$1154=TYPE3)*(TYPE3&lt;&gt;"")+('Dvd Calendar'!$F$1154=TYPE4)*(TYPE4&lt;&gt;"")+('Dvd Calendar'!$F$1154=SPECIAL_LBL)*(INC_SPECIALS="Y"))=0,"",'Dvd Calendar'!$F$1152)))</f>
        <v/>
      </c>
      <c r="E119" s="161">
        <f>IF(EG119="","",IF(ISNUMBER('Dvd Calendar'!$G$1152)=FALSE,"",IF((('Dvd Calendar'!$G$1154=TYPE1)*(TYPE1&lt;&gt;"")+('Dvd Calendar'!$G$1154=TYPE2)*(TYPE2&lt;&gt;"")+('Dvd Calendar'!$G$1154=TYPE3)*(TYPE3&lt;&gt;"")+('Dvd Calendar'!$G$1154=TYPE4)*(TYPE4&lt;&gt;"")+('Dvd Calendar'!$G$1154=SPECIAL_LBL)*(INC_SPECIALS="Y"))=0,"",'Dvd Calendar'!$G$1152)))</f>
        <v/>
      </c>
      <c r="F119" s="161">
        <f>IF(EH119="","",IF(ISNUMBER('Dvd Calendar'!$H$1152)=FALSE,"",IF((('Dvd Calendar'!$H$1154=TYPE1)*(TYPE1&lt;&gt;"")+('Dvd Calendar'!$H$1154=TYPE2)*(TYPE2&lt;&gt;"")+('Dvd Calendar'!$H$1154=TYPE3)*(TYPE3&lt;&gt;"")+('Dvd Calendar'!$H$1154=TYPE4)*(TYPE4&lt;&gt;"")+('Dvd Calendar'!$H$1154=SPECIAL_LBL)*(INC_SPECIALS="Y"))=0,"",'Dvd Calendar'!$H$1152)))</f>
        <v/>
      </c>
      <c r="G119" s="161">
        <f>IF(EI119="","",IF(ISNUMBER('Dvd Calendar'!$I$1152)=FALSE,"",IF((('Dvd Calendar'!$I$1154=TYPE1)*(TYPE1&lt;&gt;"")+('Dvd Calendar'!$I$1154=TYPE2)*(TYPE2&lt;&gt;"")+('Dvd Calendar'!$I$1154=TYPE3)*(TYPE3&lt;&gt;"")+('Dvd Calendar'!$I$1154=TYPE4)*(TYPE4&lt;&gt;"")+('Dvd Calendar'!$I$1154=SPECIAL_LBL)*(INC_SPECIALS="Y"))=0,"",'Dvd Calendar'!$I$1152)))</f>
        <v/>
      </c>
      <c r="H119" s="161">
        <f>IF(EJ119="","",IF(ISNUMBER('Dvd Calendar'!$J$1152)=FALSE,"",IF((('Dvd Calendar'!$J$1154=TYPE1)*(TYPE1&lt;&gt;"")+('Dvd Calendar'!$J$1154=TYPE2)*(TYPE2&lt;&gt;"")+('Dvd Calendar'!$J$1154=TYPE3)*(TYPE3&lt;&gt;"")+('Dvd Calendar'!$J$1154=TYPE4)*(TYPE4&lt;&gt;"")+('Dvd Calendar'!$J$1154=SPECIAL_LBL)*(INC_SPECIALS="Y"))=0,"",'Dvd Calendar'!$J$1152)))</f>
        <v/>
      </c>
      <c r="I119" s="161">
        <f>IF(EK119="","",IF(ISNUMBER('Dvd Calendar'!$K$1152)=FALSE,"",IF((('Dvd Calendar'!$K$1154=TYPE1)*(TYPE1&lt;&gt;"")+('Dvd Calendar'!$K$1154=TYPE2)*(TYPE2&lt;&gt;"")+('Dvd Calendar'!$K$1154=TYPE3)*(TYPE3&lt;&gt;"")+('Dvd Calendar'!$K$1154=TYPE4)*(TYPE4&lt;&gt;"")+('Dvd Calendar'!$K$1154=SPECIAL_LBL)*(INC_SPECIALS="Y"))=0,"",'Dvd Calendar'!$K$1152)))</f>
        <v/>
      </c>
      <c r="J119" s="161">
        <f>IF(EL119="","",IF(ISNUMBER('Dvd Calendar'!$L$1152)=FALSE,"",IF((('Dvd Calendar'!$L$1154=TYPE1)*(TYPE1&lt;&gt;"")+('Dvd Calendar'!$L$1154=TYPE2)*(TYPE2&lt;&gt;"")+('Dvd Calendar'!$L$1154=TYPE3)*(TYPE3&lt;&gt;"")+('Dvd Calendar'!$L$1154=TYPE4)*(TYPE4&lt;&gt;"")+('Dvd Calendar'!$L$1154=SPECIAL_LBL)*(INC_SPECIALS="Y"))=0,"",'Dvd Calendar'!$L$1152)))</f>
        <v/>
      </c>
      <c r="K119" s="161">
        <f>IF(EM119="","",IF(ISNUMBER('Dvd Calendar'!$M$1152)=FALSE,"",IF((('Dvd Calendar'!$M$1154=TYPE1)*(TYPE1&lt;&gt;"")+('Dvd Calendar'!$M$1154=TYPE2)*(TYPE2&lt;&gt;"")+('Dvd Calendar'!$M$1154=TYPE3)*(TYPE3&lt;&gt;"")+('Dvd Calendar'!$M$1154=TYPE4)*(TYPE4&lt;&gt;"")+('Dvd Calendar'!$M$1154=SPECIAL_LBL)*(INC_SPECIALS="Y"))=0,"",'Dvd Calendar'!$M$1152)))</f>
        <v/>
      </c>
      <c r="L119" s="161">
        <f>IF(EN119="","",IF(ISNUMBER('Dvd Calendar'!$N$1152)=FALSE,"",IF((('Dvd Calendar'!$N$1154=TYPE1)*(TYPE1&lt;&gt;"")+('Dvd Calendar'!$N$1154=TYPE2)*(TYPE2&lt;&gt;"")+('Dvd Calendar'!$N$1154=TYPE3)*(TYPE3&lt;&gt;"")+('Dvd Calendar'!$N$1154=TYPE4)*(TYPE4&lt;&gt;"")+('Dvd Calendar'!$N$1154=SPECIAL_LBL)*(INC_SPECIALS="Y"))=0,"",'Dvd Calendar'!$N$1152)))</f>
        <v/>
      </c>
      <c r="M119" s="161">
        <f>IF(EO119="","",IF(ISNUMBER('Dvd Calendar'!$O$1152)=FALSE,"",IF((('Dvd Calendar'!$O$1154=TYPE1)*(TYPE1&lt;&gt;"")+('Dvd Calendar'!$O$1154=TYPE2)*(TYPE2&lt;&gt;"")+('Dvd Calendar'!$O$1154=TYPE3)*(TYPE3&lt;&gt;"")+('Dvd Calendar'!$O$1154=TYPE4)*(TYPE4&lt;&gt;"")+('Dvd Calendar'!$O$1154=SPECIAL_LBL)*(INC_SPECIALS="Y"))=0,"",'Dvd Calendar'!$O$1152)))</f>
        <v/>
      </c>
      <c r="N119" s="161">
        <f>IF(EP119="","",IF(ISNUMBER('Dvd Calendar'!$P$1152)=FALSE,"",IF((('Dvd Calendar'!$P$1154=TYPE1)*(TYPE1&lt;&gt;"")+('Dvd Calendar'!$P$1154=TYPE2)*(TYPE2&lt;&gt;"")+('Dvd Calendar'!$P$1154=TYPE3)*(TYPE3&lt;&gt;"")+('Dvd Calendar'!$P$1154=TYPE4)*(TYPE4&lt;&gt;"")+('Dvd Calendar'!$P$1154=SPECIAL_LBL)*(INC_SPECIALS="Y"))=0,"",'Dvd Calendar'!$P$1152)))</f>
        <v/>
      </c>
      <c r="O119" s="161">
        <f>IF(EQ119="","",IF(ISNUMBER('Dvd Calendar'!$Q$1152)=FALSE,"",IF((('Dvd Calendar'!$Q$1154=TYPE1)*(TYPE1&lt;&gt;"")+('Dvd Calendar'!$Q$1154=TYPE2)*(TYPE2&lt;&gt;"")+('Dvd Calendar'!$Q$1154=TYPE3)*(TYPE3&lt;&gt;"")+('Dvd Calendar'!$Q$1154=TYPE4)*(TYPE4&lt;&gt;"")+('Dvd Calendar'!$Q$1154=SPECIAL_LBL)*(INC_SPECIALS="Y"))=0,"",'Dvd Calendar'!$Q$1152)))</f>
        <v/>
      </c>
      <c r="P119" s="161">
        <f>IF(ER119="","",IF(ISNUMBER('Dvd Calendar'!$R$1152)=FALSE,"",IF((('Dvd Calendar'!$R$1154=TYPE1)*(TYPE1&lt;&gt;"")+('Dvd Calendar'!$R$1154=TYPE2)*(TYPE2&lt;&gt;"")+('Dvd Calendar'!$R$1154=TYPE3)*(TYPE3&lt;&gt;"")+('Dvd Calendar'!$R$1154=TYPE4)*(TYPE4&lt;&gt;"")+('Dvd Calendar'!$R$1154=SPECIAL_LBL)*(INC_SPECIALS="Y"))=0,"",'Dvd Calendar'!$R$1152)))</f>
        <v/>
      </c>
      <c r="Q119" s="161">
        <f>IF(ES119="","",IF(ISNUMBER('Dvd Calendar'!$S$1152)=FALSE,"",IF((('Dvd Calendar'!$S$1154=TYPE1)*(TYPE1&lt;&gt;"")+('Dvd Calendar'!$S$1154=TYPE2)*(TYPE2&lt;&gt;"")+('Dvd Calendar'!$S$1154=TYPE3)*(TYPE3&lt;&gt;"")+('Dvd Calendar'!$S$1154=TYPE4)*(TYPE4&lt;&gt;"")+('Dvd Calendar'!$S$1154=SPECIAL_LBL)*(INC_SPECIALS="Y"))=0,"",'Dvd Calendar'!$S$1152)))</f>
        <v/>
      </c>
      <c r="R119" s="161">
        <f>IF(ET119="","",IF(ISNUMBER('Dvd Calendar'!$T$1152)=FALSE,"",IF((('Dvd Calendar'!$T$1154=TYPE1)*(TYPE1&lt;&gt;"")+('Dvd Calendar'!$T$1154=TYPE2)*(TYPE2&lt;&gt;"")+('Dvd Calendar'!$T$1154=TYPE3)*(TYPE3&lt;&gt;"")+('Dvd Calendar'!$T$1154=TYPE4)*(TYPE4&lt;&gt;"")+('Dvd Calendar'!$T$1154=SPECIAL_LBL)*(INC_SPECIALS="Y"))=0,"",'Dvd Calendar'!$T$1152)))</f>
        <v/>
      </c>
      <c r="S119" s="161">
        <f>IF(EU119="","",IF(ISNUMBER('Dvd Calendar'!$U$1152)=FALSE,"",IF((('Dvd Calendar'!$U$1154=TYPE1)*(TYPE1&lt;&gt;"")+('Dvd Calendar'!$U$1154=TYPE2)*(TYPE2&lt;&gt;"")+('Dvd Calendar'!$U$1154=TYPE3)*(TYPE3&lt;&gt;"")+('Dvd Calendar'!$U$1154=TYPE4)*(TYPE4&lt;&gt;"")+('Dvd Calendar'!$U$1154=SPECIAL_LBL)*(INC_SPECIALS="Y"))=0,"",'Dvd Calendar'!$U$1152)))</f>
        <v/>
      </c>
      <c r="T119" s="161">
        <f>IF(EV119="","",IF(ISNUMBER('Dvd Calendar'!$V$1152)=FALSE,"",IF((('Dvd Calendar'!$V$1154=TYPE1)*(TYPE1&lt;&gt;"")+('Dvd Calendar'!$V$1154=TYPE2)*(TYPE2&lt;&gt;"")+('Dvd Calendar'!$V$1154=TYPE3)*(TYPE3&lt;&gt;"")+('Dvd Calendar'!$V$1154=TYPE4)*(TYPE4&lt;&gt;"")+('Dvd Calendar'!$V$1154=SPECIAL_LBL)*(INC_SPECIALS="Y"))=0,"",'Dvd Calendar'!$V$1152)))</f>
        <v/>
      </c>
      <c r="U119" s="161">
        <f>IF(EW119="","",IF(ISNUMBER('Dvd Calendar'!$W$1152)=FALSE,"",IF((('Dvd Calendar'!$W$1154=TYPE1)*(TYPE1&lt;&gt;"")+('Dvd Calendar'!$W$1154=TYPE2)*(TYPE2&lt;&gt;"")+('Dvd Calendar'!$W$1154=TYPE3)*(TYPE3&lt;&gt;"")+('Dvd Calendar'!$W$1154=TYPE4)*(TYPE4&lt;&gt;"")+('Dvd Calendar'!$W$1154=SPECIAL_LBL)*(INC_SPECIALS="Y"))=0,"",'Dvd Calendar'!$W$1152)))</f>
        <v/>
      </c>
      <c r="V119" s="161">
        <f>IF(EX119="","",IF(ISNUMBER('Dvd Calendar'!$X$1152)=FALSE,"",IF((('Dvd Calendar'!$X$1154=TYPE1)*(TYPE1&lt;&gt;"")+('Dvd Calendar'!$X$1154=TYPE2)*(TYPE2&lt;&gt;"")+('Dvd Calendar'!$X$1154=TYPE3)*(TYPE3&lt;&gt;"")+('Dvd Calendar'!$X$1154=TYPE4)*(TYPE4&lt;&gt;"")+('Dvd Calendar'!$X$1154=SPECIAL_LBL)*(INC_SPECIALS="Y"))=0,"",'Dvd Calendar'!$X$1152)))</f>
        <v/>
      </c>
      <c r="W119" s="161">
        <f>IF(EY119="","",IF(ISNUMBER('Dvd Calendar'!$Y$1152)=FALSE,"",IF((('Dvd Calendar'!$Y$1154=TYPE1)*(TYPE1&lt;&gt;"")+('Dvd Calendar'!$Y$1154=TYPE2)*(TYPE2&lt;&gt;"")+('Dvd Calendar'!$Y$1154=TYPE3)*(TYPE3&lt;&gt;"")+('Dvd Calendar'!$Y$1154=TYPE4)*(TYPE4&lt;&gt;"")+('Dvd Calendar'!$Y$1154=SPECIAL_LBL)*(INC_SPECIALS="Y"))=0,"",'Dvd Calendar'!$Y$1152)))</f>
        <v/>
      </c>
      <c r="X119" s="161">
        <f>IF(EZ119="","",IF(ISNUMBER('Dvd Calendar'!$Z$1152)=FALSE,"",IF((('Dvd Calendar'!$Z$1154=TYPE1)*(TYPE1&lt;&gt;"")+('Dvd Calendar'!$Z$1154=TYPE2)*(TYPE2&lt;&gt;"")+('Dvd Calendar'!$Z$1154=TYPE3)*(TYPE3&lt;&gt;"")+('Dvd Calendar'!$Z$1154=TYPE4)*(TYPE4&lt;&gt;"")+('Dvd Calendar'!$Z$1154=SPECIAL_LBL)*(INC_SPECIALS="Y"))=0,"",'Dvd Calendar'!$Z$1152)))</f>
        <v/>
      </c>
      <c r="Y119" s="161">
        <f>IF(FA119="","",IF(ISNUMBER('Dvd Calendar'!$AA$1152)=FALSE,"",IF((('Dvd Calendar'!$AA$1154=TYPE1)*(TYPE1&lt;&gt;"")+('Dvd Calendar'!$AA$1154=TYPE2)*(TYPE2&lt;&gt;"")+('Dvd Calendar'!$AA$1154=TYPE3)*(TYPE3&lt;&gt;"")+('Dvd Calendar'!$AA$1154=TYPE4)*(TYPE4&lt;&gt;"")+('Dvd Calendar'!$AA$1154=SPECIAL_LBL)*(INC_SPECIALS="Y"))=0,"",'Dvd Calendar'!$AA$1152)))</f>
        <v/>
      </c>
      <c r="Z119" s="161">
        <f>IF(FB119="","",IF(ISNUMBER('Dvd Calendar'!$AB$1152)=FALSE,"",IF((('Dvd Calendar'!$AB$1154=TYPE1)*(TYPE1&lt;&gt;"")+('Dvd Calendar'!$AB$1154=TYPE2)*(TYPE2&lt;&gt;"")+('Dvd Calendar'!$AB$1154=TYPE3)*(TYPE3&lt;&gt;"")+('Dvd Calendar'!$AB$1154=TYPE4)*(TYPE4&lt;&gt;"")+('Dvd Calendar'!$AB$1154=SPECIAL_LBL)*(INC_SPECIALS="Y"))=0,"",'Dvd Calendar'!$AB$1152)))</f>
        <v/>
      </c>
      <c r="AA119" s="161">
        <f>IF(FC119="","",IF(ISNUMBER('Dvd Calendar'!$AC$1152)=FALSE,"",IF((('Dvd Calendar'!$AC$1154=TYPE1)*(TYPE1&lt;&gt;"")+('Dvd Calendar'!$AC$1154=TYPE2)*(TYPE2&lt;&gt;"")+('Dvd Calendar'!$AC$1154=TYPE3)*(TYPE3&lt;&gt;"")+('Dvd Calendar'!$AC$1154=TYPE4)*(TYPE4&lt;&gt;"")+('Dvd Calendar'!$AC$1154=SPECIAL_LBL)*(INC_SPECIALS="Y"))=0,"",'Dvd Calendar'!$AC$1152)))</f>
        <v/>
      </c>
      <c r="AB119" s="161">
        <f>IF(FD119="","",IF(ISNUMBER('Dvd Calendar'!$AD$1152)=FALSE,"",IF((('Dvd Calendar'!$AD$1154=TYPE1)*(TYPE1&lt;&gt;"")+('Dvd Calendar'!$AD$1154=TYPE2)*(TYPE2&lt;&gt;"")+('Dvd Calendar'!$AD$1154=TYPE3)*(TYPE3&lt;&gt;"")+('Dvd Calendar'!$AD$1154=TYPE4)*(TYPE4&lt;&gt;"")+('Dvd Calendar'!$AD$1154=SPECIAL_LBL)*(INC_SPECIALS="Y"))=0,"",'Dvd Calendar'!$AD$1152)))</f>
        <v/>
      </c>
      <c r="AC119" s="161">
        <f>IF(FE119="","",IF(ISNUMBER('Dvd Calendar'!$AE$1152)=FALSE,"",IF((('Dvd Calendar'!$AE$1154=TYPE1)*(TYPE1&lt;&gt;"")+('Dvd Calendar'!$AE$1154=TYPE2)*(TYPE2&lt;&gt;"")+('Dvd Calendar'!$AE$1154=TYPE3)*(TYPE3&lt;&gt;"")+('Dvd Calendar'!$AE$1154=TYPE4)*(TYPE4&lt;&gt;"")+('Dvd Calendar'!$AE$1154=SPECIAL_LBL)*(INC_SPECIALS="Y"))=0,"",'Dvd Calendar'!$AE$1152)))</f>
        <v/>
      </c>
      <c r="AD119" s="161">
        <f>IF(FF119="","",IF(ISNUMBER('Dvd Calendar'!$AF$1152)=FALSE,"",IF((('Dvd Calendar'!$AF$1154=TYPE1)*(TYPE1&lt;&gt;"")+('Dvd Calendar'!$AF$1154=TYPE2)*(TYPE2&lt;&gt;"")+('Dvd Calendar'!$AF$1154=TYPE3)*(TYPE3&lt;&gt;"")+('Dvd Calendar'!$AF$1154=TYPE4)*(TYPE4&lt;&gt;"")+('Dvd Calendar'!$AF$1154=SPECIAL_LBL)*(INC_SPECIALS="Y"))=0,"",'Dvd Calendar'!$AF$1152)))</f>
        <v/>
      </c>
      <c r="AE119" s="161">
        <f>IF(FG119="","",IF(ISNUMBER('Dvd Calendar'!$AG$1152)=FALSE,"",IF((('Dvd Calendar'!$AG$1154=TYPE1)*(TYPE1&lt;&gt;"")+('Dvd Calendar'!$AG$1154=TYPE2)*(TYPE2&lt;&gt;"")+('Dvd Calendar'!$AG$1154=TYPE3)*(TYPE3&lt;&gt;"")+('Dvd Calendar'!$AG$1154=TYPE4)*(TYPE4&lt;&gt;"")+('Dvd Calendar'!$AG$1154=SPECIAL_LBL)*(INC_SPECIALS="Y"))=0,"",'Dvd Calendar'!$AG$1152)))</f>
        <v/>
      </c>
      <c r="AF119" s="161">
        <f>IF(FH119="","",IF(ISNUMBER('Dvd Calendar'!$AH$1152)=FALSE,"",IF((('Dvd Calendar'!$AH$1154=TYPE1)*(TYPE1&lt;&gt;"")+('Dvd Calendar'!$AH$1154=TYPE2)*(TYPE2&lt;&gt;"")+('Dvd Calendar'!$AH$1154=TYPE3)*(TYPE3&lt;&gt;"")+('Dvd Calendar'!$AH$1154=TYPE4)*(TYPE4&lt;&gt;"")+('Dvd Calendar'!$AH$1154=SPECIAL_LBL)*(INC_SPECIALS="Y"))=0,"",'Dvd Calendar'!$AH$1152)))</f>
        <v/>
      </c>
      <c r="AG119" s="161">
        <f>IF(FI119="","",IF(ISNUMBER('Dvd Calendar'!$AI$1152)=FALSE,"",IF((('Dvd Calendar'!$AI$1154=TYPE1)*(TYPE1&lt;&gt;"")+('Dvd Calendar'!$AI$1154=TYPE2)*(TYPE2&lt;&gt;"")+('Dvd Calendar'!$AI$1154=TYPE3)*(TYPE3&lt;&gt;"")+('Dvd Calendar'!$AI$1154=TYPE4)*(TYPE4&lt;&gt;"")+('Dvd Calendar'!$AI$1154=SPECIAL_LBL)*(INC_SPECIALS="Y"))=0,"",'Dvd Calendar'!$AI$1152)))</f>
        <v/>
      </c>
      <c r="AH119" s="161">
        <f>IF(FJ119="","",IF(ISNUMBER('Dvd Calendar'!$AJ$1152)=FALSE,"",IF((('Dvd Calendar'!$AJ$1154=TYPE1)*(TYPE1&lt;&gt;"")+('Dvd Calendar'!$AJ$1154=TYPE2)*(TYPE2&lt;&gt;"")+('Dvd Calendar'!$AJ$1154=TYPE3)*(TYPE3&lt;&gt;"")+('Dvd Calendar'!$AJ$1154=TYPE4)*(TYPE4&lt;&gt;"")+('Dvd Calendar'!$AJ$1154=SPECIAL_LBL)*(INC_SPECIALS="Y"))=0,"",'Dvd Calendar'!$AJ$1152)))</f>
        <v/>
      </c>
      <c r="AI119" s="161">
        <f>IF(FK119="","",IF(ISNUMBER('Dvd Calendar'!$AK$1152)=FALSE,"",IF((('Dvd Calendar'!$AK$1154=TYPE1)*(TYPE1&lt;&gt;"")+('Dvd Calendar'!$AK$1154=TYPE2)*(TYPE2&lt;&gt;"")+('Dvd Calendar'!$AK$1154=TYPE3)*(TYPE3&lt;&gt;"")+('Dvd Calendar'!$AK$1154=TYPE4)*(TYPE4&lt;&gt;"")+('Dvd Calendar'!$AK$1154=SPECIAL_LBL)*(INC_SPECIALS="Y"))=0,"",'Dvd Calendar'!$AK$1152)))</f>
        <v/>
      </c>
      <c r="AJ119" s="161">
        <f>IF(FL119="","",IF(ISNUMBER('Dvd Calendar'!$AL$1152)=FALSE,"",IF((('Dvd Calendar'!$AL$1154=TYPE1)*(TYPE1&lt;&gt;"")+('Dvd Calendar'!$AL$1154=TYPE2)*(TYPE2&lt;&gt;"")+('Dvd Calendar'!$AL$1154=TYPE3)*(TYPE3&lt;&gt;"")+('Dvd Calendar'!$AL$1154=TYPE4)*(TYPE4&lt;&gt;"")+('Dvd Calendar'!$AL$1154=SPECIAL_LBL)*(INC_SPECIALS="Y"))=0,"",'Dvd Calendar'!$AL$1152)))</f>
        <v/>
      </c>
      <c r="AK119" s="161">
        <f>IF(FM119="","",IF(ISNUMBER('Dvd Calendar'!$AM$1152)=FALSE,"",IF((('Dvd Calendar'!$AM$1154=TYPE1)*(TYPE1&lt;&gt;"")+('Dvd Calendar'!$AM$1154=TYPE2)*(TYPE2&lt;&gt;"")+('Dvd Calendar'!$AM$1154=TYPE3)*(TYPE3&lt;&gt;"")+('Dvd Calendar'!$AM$1154=TYPE4)*(TYPE4&lt;&gt;"")+('Dvd Calendar'!$AM$1154=SPECIAL_LBL)*(INC_SPECIALS="Y"))=0,"",'Dvd Calendar'!$AM$1152)))</f>
        <v/>
      </c>
      <c r="AL119" s="161">
        <f>IF(FN119="","",IF(ISNUMBER('Dvd Calendar'!$AN$1152)=FALSE,"",IF((('Dvd Calendar'!$AN$1154=TYPE1)*(TYPE1&lt;&gt;"")+('Dvd Calendar'!$AN$1154=TYPE2)*(TYPE2&lt;&gt;"")+('Dvd Calendar'!$AN$1154=TYPE3)*(TYPE3&lt;&gt;"")+('Dvd Calendar'!$AN$1154=TYPE4)*(TYPE4&lt;&gt;"")+('Dvd Calendar'!$AN$1154=SPECIAL_LBL)*(INC_SPECIALS="Y"))=0,"",'Dvd Calendar'!$AN$1152)))</f>
        <v/>
      </c>
      <c r="AM119" s="161">
        <f>IF(FO119="","",IF(ISNUMBER('Dvd Calendar'!$AO$1152)=FALSE,"",IF((('Dvd Calendar'!$AO$1154=TYPE1)*(TYPE1&lt;&gt;"")+('Dvd Calendar'!$AO$1154=TYPE2)*(TYPE2&lt;&gt;"")+('Dvd Calendar'!$AO$1154=TYPE3)*(TYPE3&lt;&gt;"")+('Dvd Calendar'!$AO$1154=TYPE4)*(TYPE4&lt;&gt;"")+('Dvd Calendar'!$AO$1154=SPECIAL_LBL)*(INC_SPECIALS="Y"))=0,"",'Dvd Calendar'!$AO$1152)))</f>
        <v/>
      </c>
      <c r="AN119" s="161">
        <f>IF(FP119="","",IF(ISNUMBER('Dvd Calendar'!$AP$1152)=FALSE,"",IF((('Dvd Calendar'!$AP$1154=TYPE1)*(TYPE1&lt;&gt;"")+('Dvd Calendar'!$AP$1154=TYPE2)*(TYPE2&lt;&gt;"")+('Dvd Calendar'!$AP$1154=TYPE3)*(TYPE3&lt;&gt;"")+('Dvd Calendar'!$AP$1154=TYPE4)*(TYPE4&lt;&gt;"")+('Dvd Calendar'!$AP$1154=SPECIAL_LBL)*(INC_SPECIALS="Y"))=0,"",'Dvd Calendar'!$AP$1152)))</f>
        <v/>
      </c>
      <c r="AO119" s="161">
        <f>IF(FQ119="","",IF(ISNUMBER('Dvd Calendar'!$AQ$1152)=FALSE,"",IF((('Dvd Calendar'!$AQ$1154=TYPE1)*(TYPE1&lt;&gt;"")+('Dvd Calendar'!$AQ$1154=TYPE2)*(TYPE2&lt;&gt;"")+('Dvd Calendar'!$AQ$1154=TYPE3)*(TYPE3&lt;&gt;"")+('Dvd Calendar'!$AQ$1154=TYPE4)*(TYPE4&lt;&gt;"")+('Dvd Calendar'!$AQ$1154=SPECIAL_LBL)*(INC_SPECIALS="Y"))=0,"",'Dvd Calendar'!$AQ$1152)))</f>
        <v/>
      </c>
      <c r="AP119" s="161">
        <f>IF(FR119="","",IF(ISNUMBER('Dvd Calendar'!$AR$1152)=FALSE,"",IF((('Dvd Calendar'!$AR$1154=TYPE1)*(TYPE1&lt;&gt;"")+('Dvd Calendar'!$AR$1154=TYPE2)*(TYPE2&lt;&gt;"")+('Dvd Calendar'!$AR$1154=TYPE3)*(TYPE3&lt;&gt;"")+('Dvd Calendar'!$AR$1154=TYPE4)*(TYPE4&lt;&gt;"")+('Dvd Calendar'!$AR$1154=SPECIAL_LBL)*(INC_SPECIALS="Y"))=0,"",'Dvd Calendar'!$AR$1152)))</f>
        <v/>
      </c>
      <c r="AQ119" s="161">
        <f>IF(FS119="","",IF(ISNUMBER('Dvd Calendar'!$E$1157)=FALSE,"",'Dvd Calendar'!$E$1157))</f>
        <v/>
      </c>
      <c r="AR119" s="161">
        <f>IF(FT119="","",IF(ISNUMBER('Dvd Calendar'!$F$1157)=FALSE,"",'Dvd Calendar'!$F$1157))</f>
        <v/>
      </c>
      <c r="AS119" s="161">
        <f>IF(FU119="","",IF(ISNUMBER('Dvd Calendar'!$G$1157)=FALSE,"",'Dvd Calendar'!$G$1157))</f>
        <v/>
      </c>
      <c r="AT119" s="161">
        <f>IF(FV119="","",IF(ISNUMBER('Dvd Calendar'!$H$1157)=FALSE,"",'Dvd Calendar'!$H$1157))</f>
        <v/>
      </c>
      <c r="AU119" s="161">
        <f>IF(FW119="","",IF(ISNUMBER('Dvd Calendar'!$I$1157)=FALSE,"",'Dvd Calendar'!$I$1157))</f>
        <v/>
      </c>
      <c r="AV119" s="161">
        <f>IF(FX119="","",IF(ISNUMBER('Dvd Calendar'!$J$1157)=FALSE,"",'Dvd Calendar'!$J$1157))</f>
        <v/>
      </c>
      <c r="AW119" s="161">
        <f>IF(FY119="","",IF(ISNUMBER('Dvd Calendar'!$K$1157)=FALSE,"",'Dvd Calendar'!$K$1157))</f>
        <v/>
      </c>
      <c r="AX119" s="161">
        <f>IF(FZ119="","",IF(ISNUMBER('Dvd Calendar'!$L$1157)=FALSE,"",'Dvd Calendar'!$L$1157))</f>
        <v/>
      </c>
      <c r="AY119" s="161">
        <f>IF(GA119="","",IF(ISNUMBER('Dvd Calendar'!$M$1157)=FALSE,"",'Dvd Calendar'!$M$1157))</f>
        <v/>
      </c>
      <c r="AZ119" s="161">
        <f>IF(GB119="","",IF(ISNUMBER('Dvd Calendar'!$N$1157)=FALSE,"",'Dvd Calendar'!$N$1157))</f>
        <v/>
      </c>
      <c r="BA119" s="161">
        <f>IF(GC119="","",IF(ISNUMBER('Dvd Calendar'!$O$1157)=FALSE,"",'Dvd Calendar'!$O$1157))</f>
        <v/>
      </c>
      <c r="BB119" s="161">
        <f>IF(GD119="","",IF(ISNUMBER('Dvd Calendar'!$P$1157)=FALSE,"",'Dvd Calendar'!$P$1157))</f>
        <v/>
      </c>
      <c r="BC119" s="161">
        <f>IF(GE119="","",IF(ISNUMBER('Dvd Calendar'!$Q$1157)=FALSE,"",'Dvd Calendar'!$Q$1157))</f>
        <v/>
      </c>
      <c r="BD119" s="161">
        <f>IF(GF119="","",IF(ISNUMBER('Dvd Calendar'!$R$1157)=FALSE,"",'Dvd Calendar'!$R$1157))</f>
        <v/>
      </c>
      <c r="BE119" s="161">
        <f>IF(GG119="","",IF(ISNUMBER('Dvd Calendar'!$S$1157)=FALSE,"",'Dvd Calendar'!$S$1157))</f>
        <v/>
      </c>
      <c r="BF119" s="161">
        <f>IF(GH119="","",IF(ISNUMBER('Dvd Calendar'!$T$1157)=FALSE,"",'Dvd Calendar'!$T$1157))</f>
        <v/>
      </c>
      <c r="BG119" s="161">
        <f>IF(GI119="","",IF(ISNUMBER('Dvd Calendar'!$U$1157)=FALSE,"",'Dvd Calendar'!$U$1157))</f>
        <v/>
      </c>
      <c r="BH119" s="161">
        <f>IF(GJ119="","",IF(ISNUMBER('Dvd Calendar'!$V$1157)=FALSE,"",'Dvd Calendar'!$V$1157))</f>
        <v/>
      </c>
      <c r="BI119" s="161">
        <f>IF(GK119="","",IF(ISNUMBER('Dvd Calendar'!$W$1157)=FALSE,"",'Dvd Calendar'!$W$1157))</f>
        <v/>
      </c>
      <c r="BJ119" s="161">
        <f>IF(GL119="","",IF(ISNUMBER('Dvd Calendar'!$X$1157)=FALSE,"",'Dvd Calendar'!$X$1157))</f>
        <v/>
      </c>
      <c r="BK119" s="161">
        <f>IF(GM119="","",IF(ISNUMBER('Dvd Calendar'!$Y$1157)=FALSE,"",'Dvd Calendar'!$Y$1157))</f>
        <v/>
      </c>
      <c r="BL119" s="161">
        <f>IF(GN119="","",IF(ISNUMBER('Dvd Calendar'!$Z$1157)=FALSE,"",'Dvd Calendar'!$Z$1157))</f>
        <v/>
      </c>
      <c r="BM119" s="161">
        <f>IF(GO119="","",IF(ISNUMBER('Dvd Calendar'!$AA$1157)=FALSE,"",'Dvd Calendar'!$AA$1157))</f>
        <v/>
      </c>
      <c r="BN119" s="161">
        <f>IF(GP119="","",IF(ISNUMBER('Dvd Calendar'!$AB$1157)=FALSE,"",'Dvd Calendar'!$AB$1157))</f>
        <v/>
      </c>
      <c r="BO119" s="161">
        <f>IF(GQ119="","",IF(ISNUMBER('Dvd Calendar'!$AC$1157)=FALSE,"",'Dvd Calendar'!$AC$1157))</f>
        <v/>
      </c>
      <c r="BQ119" s="161">
        <f>IF(C119="","",IFERROR(C119*HSTECH!$B$10*HSTECH!$G$10/HSTECH!$B$3,""))</f>
        <v/>
      </c>
      <c r="BR119" s="161">
        <f>IF(D119="","",IFERROR(D119*HSTECH!$B$10*HSTECH!$G$10/HSTECH!$B$3,""))</f>
        <v/>
      </c>
      <c r="BS119" s="161">
        <f>IF(E119="","",IFERROR(E119*HSTECH!$B$10*HSTECH!$G$10/HSTECH!$B$3,""))</f>
        <v/>
      </c>
      <c r="BT119" s="161">
        <f>IF(F119="","",IFERROR(F119*HSTECH!$B$10*HSTECH!$G$10/HSTECH!$B$3,""))</f>
        <v/>
      </c>
      <c r="BU119" s="161">
        <f>IF(G119="","",IFERROR(G119*HSTECH!$B$10*HSTECH!$G$10/HSTECH!$B$3,""))</f>
        <v/>
      </c>
      <c r="BV119" s="161">
        <f>IF(H119="","",IFERROR(H119*HSTECH!$B$10*HSTECH!$G$10/HSTECH!$B$3,""))</f>
        <v/>
      </c>
      <c r="BW119" s="161">
        <f>IF(I119="","",IFERROR(I119*HSTECH!$B$10*HSTECH!$G$10/HSTECH!$B$3,""))</f>
        <v/>
      </c>
      <c r="BX119" s="161">
        <f>IF(J119="","",IFERROR(J119*HSTECH!$B$10*HSTECH!$G$10/HSTECH!$B$3,""))</f>
        <v/>
      </c>
      <c r="BY119" s="161">
        <f>IF(K119="","",IFERROR(K119*HSTECH!$B$10*HSTECH!$G$10/HSTECH!$B$3,""))</f>
        <v/>
      </c>
      <c r="BZ119" s="161">
        <f>IF(L119="","",IFERROR(L119*HSTECH!$B$10*HSTECH!$G$10/HSTECH!$B$3,""))</f>
        <v/>
      </c>
      <c r="CA119" s="161">
        <f>IF(M119="","",IFERROR(M119*HSTECH!$B$10*HSTECH!$G$10/HSTECH!$B$3,""))</f>
        <v/>
      </c>
      <c r="CB119" s="161">
        <f>IF(N119="","",IFERROR(N119*HSTECH!$B$10*HSTECH!$G$10/HSTECH!$B$3,""))</f>
        <v/>
      </c>
      <c r="CC119" s="161">
        <f>IF(O119="","",IFERROR(O119*HSTECH!$B$10*HSTECH!$G$10/HSTECH!$B$3,""))</f>
        <v/>
      </c>
      <c r="CD119" s="161">
        <f>IF(P119="","",IFERROR(P119*HSTECH!$B$10*HSTECH!$G$10/HSTECH!$B$3,""))</f>
        <v/>
      </c>
      <c r="CE119" s="161">
        <f>IF(Q119="","",IFERROR(Q119*HSTECH!$B$10*HSTECH!$G$10/HSTECH!$B$3,""))</f>
        <v/>
      </c>
      <c r="CF119" s="161">
        <f>IF(R119="","",IFERROR(R119*HSTECH!$B$10*HSTECH!$G$10/HSTECH!$B$3,""))</f>
        <v/>
      </c>
      <c r="CG119" s="161">
        <f>IF(S119="","",IFERROR(S119*HSTECH!$B$10*HSTECH!$G$10/HSTECH!$B$3,""))</f>
        <v/>
      </c>
      <c r="CH119" s="161">
        <f>IF(T119="","",IFERROR(T119*HSTECH!$B$10*HSTECH!$G$10/HSTECH!$B$3,""))</f>
        <v/>
      </c>
      <c r="CI119" s="161">
        <f>IF(U119="","",IFERROR(U119*HSTECH!$B$10*HSTECH!$G$10/HSTECH!$B$3,""))</f>
        <v/>
      </c>
      <c r="CJ119" s="161">
        <f>IF(V119="","",IFERROR(V119*HSTECH!$B$10*HSTECH!$G$10/HSTECH!$B$3,""))</f>
        <v/>
      </c>
      <c r="CK119" s="161">
        <f>IF(W119="","",IFERROR(W119*HSTECH!$B$10*HSTECH!$G$10/HSTECH!$B$3,""))</f>
        <v/>
      </c>
      <c r="CL119" s="161">
        <f>IF(X119="","",IFERROR(X119*HSTECH!$B$10*HSTECH!$G$10/HSTECH!$B$3,""))</f>
        <v/>
      </c>
      <c r="CM119" s="161">
        <f>IF(Y119="","",IFERROR(Y119*HSTECH!$B$10*HSTECH!$G$10/HSTECH!$B$3,""))</f>
        <v/>
      </c>
      <c r="CN119" s="161">
        <f>IF(Z119="","",IFERROR(Z119*HSTECH!$B$10*HSTECH!$G$10/HSTECH!$B$3,""))</f>
        <v/>
      </c>
      <c r="CO119" s="161">
        <f>IF(AA119="","",IFERROR(AA119*HSTECH!$B$10*HSTECH!$G$10/HSTECH!$B$3,""))</f>
        <v/>
      </c>
      <c r="CP119" s="161">
        <f>IF(AB119="","",IFERROR(AB119*HSTECH!$B$10*HSTECH!$G$10/HSTECH!$B$3,""))</f>
        <v/>
      </c>
      <c r="CQ119" s="161">
        <f>IF(AC119="","",IFERROR(AC119*HSTECH!$B$10*HSTECH!$G$10/HSTECH!$B$3,""))</f>
        <v/>
      </c>
      <c r="CR119" s="161">
        <f>IF(AD119="","",IFERROR(AD119*HSTECH!$B$10*HSTECH!$G$10/HSTECH!$B$3,""))</f>
        <v/>
      </c>
      <c r="CS119" s="161">
        <f>IF(AE119="","",IFERROR(AE119*HSTECH!$B$10*HSTECH!$G$10/HSTECH!$B$3,""))</f>
        <v/>
      </c>
      <c r="CT119" s="161">
        <f>IF(AF119="","",IFERROR(AF119*HSTECH!$B$10*HSTECH!$G$10/HSTECH!$B$3,""))</f>
        <v/>
      </c>
      <c r="CU119" s="161">
        <f>IF(AG119="","",IFERROR(AG119*HSTECH!$B$10*HSTECH!$G$10/HSTECH!$B$3,""))</f>
        <v/>
      </c>
      <c r="CV119" s="161">
        <f>IF(AH119="","",IFERROR(AH119*HSTECH!$B$10*HSTECH!$G$10/HSTECH!$B$3,""))</f>
        <v/>
      </c>
      <c r="CW119" s="161">
        <f>IF(AI119="","",IFERROR(AI119*HSTECH!$B$10*HSTECH!$G$10/HSTECH!$B$3,""))</f>
        <v/>
      </c>
      <c r="CX119" s="161">
        <f>IF(AJ119="","",IFERROR(AJ119*HSTECH!$B$10*HSTECH!$G$10/HSTECH!$B$3,""))</f>
        <v/>
      </c>
      <c r="CY119" s="161">
        <f>IF(AK119="","",IFERROR(AK119*HSTECH!$B$10*HSTECH!$G$10/HSTECH!$B$3,""))</f>
        <v/>
      </c>
      <c r="CZ119" s="161">
        <f>IF(AL119="","",IFERROR(AL119*HSTECH!$B$10*HSTECH!$G$10/HSTECH!$B$3,""))</f>
        <v/>
      </c>
      <c r="DA119" s="161">
        <f>IF(AM119="","",IFERROR(AM119*HSTECH!$B$10*HSTECH!$G$10/HSTECH!$B$3,""))</f>
        <v/>
      </c>
      <c r="DB119" s="161">
        <f>IF(AN119="","",IFERROR(AN119*HSTECH!$B$10*HSTECH!$G$10/HSTECH!$B$3,""))</f>
        <v/>
      </c>
      <c r="DC119" s="161">
        <f>IF(AO119="","",IFERROR(AO119*HSTECH!$B$10*HSTECH!$G$10/HSTECH!$B$3,""))</f>
        <v/>
      </c>
      <c r="DD119" s="161">
        <f>IF(AP119="","",IFERROR(AP119*HSTECH!$B$10*HSTECH!$G$10/HSTECH!$B$3,""))</f>
        <v/>
      </c>
      <c r="DE119" s="161">
        <f>IF(AQ119="","",IFERROR(AQ119*HSTECH!$B$10*HSTECH!$G$10/HSTECH!$B$3,""))</f>
        <v/>
      </c>
      <c r="DF119" s="161">
        <f>IF(AR119="","",IFERROR(AR119*HSTECH!$B$10*HSTECH!$G$10/HSTECH!$B$3,""))</f>
        <v/>
      </c>
      <c r="DG119" s="161">
        <f>IF(AS119="","",IFERROR(AS119*HSTECH!$B$10*HSTECH!$G$10/HSTECH!$B$3,""))</f>
        <v/>
      </c>
      <c r="DH119" s="161">
        <f>IF(AT119="","",IFERROR(AT119*HSTECH!$B$10*HSTECH!$G$10/HSTECH!$B$3,""))</f>
        <v/>
      </c>
      <c r="DI119" s="161">
        <f>IF(AU119="","",IFERROR(AU119*HSTECH!$B$10*HSTECH!$G$10/HSTECH!$B$3,""))</f>
        <v/>
      </c>
      <c r="DJ119" s="161">
        <f>IF(AV119="","",IFERROR(AV119*HSTECH!$B$10*HSTECH!$G$10/HSTECH!$B$3,""))</f>
        <v/>
      </c>
      <c r="DK119" s="161">
        <f>IF(AW119="","",IFERROR(AW119*HSTECH!$B$10*HSTECH!$G$10/HSTECH!$B$3,""))</f>
        <v/>
      </c>
      <c r="DL119" s="161">
        <f>IF(AX119="","",IFERROR(AX119*HSTECH!$B$10*HSTECH!$G$10/HSTECH!$B$3,""))</f>
        <v/>
      </c>
      <c r="DM119" s="161">
        <f>IF(AY119="","",IFERROR(AY119*HSTECH!$B$10*HSTECH!$G$10/HSTECH!$B$3,""))</f>
        <v/>
      </c>
      <c r="DN119" s="161">
        <f>IF(AZ119="","",IFERROR(AZ119*HSTECH!$B$10*HSTECH!$G$10/HSTECH!$B$3,""))</f>
        <v/>
      </c>
      <c r="DO119" s="161">
        <f>IF(BA119="","",IFERROR(BA119*HSTECH!$B$10*HSTECH!$G$10/HSTECH!$B$3,""))</f>
        <v/>
      </c>
      <c r="DP119" s="161">
        <f>IF(BB119="","",IFERROR(BB119*HSTECH!$B$10*HSTECH!$G$10/HSTECH!$B$3,""))</f>
        <v/>
      </c>
      <c r="DQ119" s="161">
        <f>IF(BC119="","",IFERROR(BC119*HSTECH!$B$10*HSTECH!$G$10/HSTECH!$B$3,""))</f>
        <v/>
      </c>
      <c r="DR119" s="161">
        <f>IF(BD119="","",IFERROR(BD119*HSTECH!$B$10*HSTECH!$G$10/HSTECH!$B$3,""))</f>
        <v/>
      </c>
      <c r="DS119" s="161">
        <f>IF(BE119="","",IFERROR(BE119*HSTECH!$B$10*HSTECH!$G$10/HSTECH!$B$3,""))</f>
        <v/>
      </c>
      <c r="DT119" s="161">
        <f>IF(BF119="","",IFERROR(BF119*HSTECH!$B$10*HSTECH!$G$10/HSTECH!$B$3,""))</f>
        <v/>
      </c>
      <c r="DU119" s="161">
        <f>IF(BG119="","",IFERROR(BG119*HSTECH!$B$10*HSTECH!$G$10/HSTECH!$B$3,""))</f>
        <v/>
      </c>
      <c r="DV119" s="161">
        <f>IF(BH119="","",IFERROR(BH119*HSTECH!$B$10*HSTECH!$G$10/HSTECH!$B$3,""))</f>
        <v/>
      </c>
      <c r="DW119" s="161">
        <f>IF(BI119="","",IFERROR(BI119*HSTECH!$B$10*HSTECH!$G$10/HSTECH!$B$3,""))</f>
        <v/>
      </c>
      <c r="DX119" s="161">
        <f>IF(BJ119="","",IFERROR(BJ119*HSTECH!$B$10*HSTECH!$G$10/HSTECH!$B$3,""))</f>
        <v/>
      </c>
      <c r="DY119" s="161">
        <f>IF(BK119="","",IFERROR(BK119*HSTECH!$B$10*HSTECH!$G$10/HSTECH!$B$3,""))</f>
        <v/>
      </c>
      <c r="DZ119" s="161">
        <f>IF(BL119="","",IFERROR(BL119*HSTECH!$B$10*HSTECH!$G$10/HSTECH!$B$3,""))</f>
        <v/>
      </c>
      <c r="EA119" s="161">
        <f>IF(BM119="","",IFERROR(BM119*HSTECH!$B$10*HSTECH!$G$10/HSTECH!$B$3,""))</f>
        <v/>
      </c>
      <c r="EB119" s="161">
        <f>IF(BN119="","",IFERROR(BN119*HSTECH!$B$10*HSTECH!$G$10/HSTECH!$B$3,""))</f>
        <v/>
      </c>
      <c r="EC119" s="161">
        <f>IF(BO119="","",IFERROR(BO119*HSTECH!$B$10*HSTECH!$G$10/HSTECH!$B$3,""))</f>
        <v/>
      </c>
      <c r="EE119" s="121">
        <f>IF(N('Dvd Calendar'!$E$1149)=0,"",IF(('Dvd Calendar'!$E$1149&gt;=GRID_FROM)*('Dvd Calendar'!$E$1149&lt;=GRID_TO)*((('Dvd Calendar'!$E$1149&lt;=VAL_DATE)+(COUNTIF('Dvd Calendar'!$E$1156:$AR$1156,'Dvd Calendar'!$E$1149)=0))&gt;0)=0,"",'Dvd Calendar'!$E$1149*1000000000+ISNUMBER('Dvd Calendar'!$E$1152)*100000000+('Dvd Calendar'!$E$1154=SPECIAL_LBL)*10000000+(N('Dvd Calendar'!$E$1148)&gt;0)*(N('Dvd Calendar'!$E$1148)&lt;=VAL_SERIAL)*1000000+4*1000+1))</f>
        <v/>
      </c>
      <c r="EF119" s="121">
        <f>IF(N('Dvd Calendar'!$F$1149)=0,"",IF(('Dvd Calendar'!$F$1149&gt;=GRID_FROM)*('Dvd Calendar'!$F$1149&lt;=GRID_TO)*((('Dvd Calendar'!$F$1149&lt;=VAL_DATE)+(COUNTIF('Dvd Calendar'!$E$1156:$AR$1156,'Dvd Calendar'!$F$1149)=0))&gt;0)=0,"",'Dvd Calendar'!$F$1149*1000000000+ISNUMBER('Dvd Calendar'!$F$1152)*100000000+('Dvd Calendar'!$F$1154=SPECIAL_LBL)*10000000+(N('Dvd Calendar'!$F$1148)&gt;0)*(N('Dvd Calendar'!$F$1148)&lt;=VAL_SERIAL)*1000000+4*1000+2))</f>
        <v/>
      </c>
      <c r="EG119" s="121">
        <f>IF(N('Dvd Calendar'!$G$1149)=0,"",IF(('Dvd Calendar'!$G$1149&gt;=GRID_FROM)*('Dvd Calendar'!$G$1149&lt;=GRID_TO)*((('Dvd Calendar'!$G$1149&lt;=VAL_DATE)+(COUNTIF('Dvd Calendar'!$E$1156:$AR$1156,'Dvd Calendar'!$G$1149)=0))&gt;0)=0,"",'Dvd Calendar'!$G$1149*1000000000+ISNUMBER('Dvd Calendar'!$G$1152)*100000000+('Dvd Calendar'!$G$1154=SPECIAL_LBL)*10000000+(N('Dvd Calendar'!$G$1148)&gt;0)*(N('Dvd Calendar'!$G$1148)&lt;=VAL_SERIAL)*1000000+4*1000+3))</f>
        <v/>
      </c>
      <c r="EH119" s="121">
        <f>IF(N('Dvd Calendar'!$H$1149)=0,"",IF(('Dvd Calendar'!$H$1149&gt;=GRID_FROM)*('Dvd Calendar'!$H$1149&lt;=GRID_TO)*((('Dvd Calendar'!$H$1149&lt;=VAL_DATE)+(COUNTIF('Dvd Calendar'!$E$1156:$AR$1156,'Dvd Calendar'!$H$1149)=0))&gt;0)=0,"",'Dvd Calendar'!$H$1149*1000000000+ISNUMBER('Dvd Calendar'!$H$1152)*100000000+('Dvd Calendar'!$H$1154=SPECIAL_LBL)*10000000+(N('Dvd Calendar'!$H$1148)&gt;0)*(N('Dvd Calendar'!$H$1148)&lt;=VAL_SERIAL)*1000000+4*1000+4))</f>
        <v/>
      </c>
      <c r="EI119" s="121">
        <f>IF(N('Dvd Calendar'!$I$1149)=0,"",IF(('Dvd Calendar'!$I$1149&gt;=GRID_FROM)*('Dvd Calendar'!$I$1149&lt;=GRID_TO)*((('Dvd Calendar'!$I$1149&lt;=VAL_DATE)+(COUNTIF('Dvd Calendar'!$E$1156:$AR$1156,'Dvd Calendar'!$I$1149)=0))&gt;0)=0,"",'Dvd Calendar'!$I$1149*1000000000+ISNUMBER('Dvd Calendar'!$I$1152)*100000000+('Dvd Calendar'!$I$1154=SPECIAL_LBL)*10000000+(N('Dvd Calendar'!$I$1148)&gt;0)*(N('Dvd Calendar'!$I$1148)&lt;=VAL_SERIAL)*1000000+4*1000+5))</f>
        <v/>
      </c>
      <c r="EJ119" s="121">
        <f>IF(N('Dvd Calendar'!$J$1149)=0,"",IF(('Dvd Calendar'!$J$1149&gt;=GRID_FROM)*('Dvd Calendar'!$J$1149&lt;=GRID_TO)*((('Dvd Calendar'!$J$1149&lt;=VAL_DATE)+(COUNTIF('Dvd Calendar'!$E$1156:$AR$1156,'Dvd Calendar'!$J$1149)=0))&gt;0)=0,"",'Dvd Calendar'!$J$1149*1000000000+ISNUMBER('Dvd Calendar'!$J$1152)*100000000+('Dvd Calendar'!$J$1154=SPECIAL_LBL)*10000000+(N('Dvd Calendar'!$J$1148)&gt;0)*(N('Dvd Calendar'!$J$1148)&lt;=VAL_SERIAL)*1000000+4*1000+6))</f>
        <v/>
      </c>
      <c r="EK119" s="121">
        <f>IF(N('Dvd Calendar'!$K$1149)=0,"",IF(('Dvd Calendar'!$K$1149&gt;=GRID_FROM)*('Dvd Calendar'!$K$1149&lt;=GRID_TO)*((('Dvd Calendar'!$K$1149&lt;=VAL_DATE)+(COUNTIF('Dvd Calendar'!$E$1156:$AR$1156,'Dvd Calendar'!$K$1149)=0))&gt;0)=0,"",'Dvd Calendar'!$K$1149*1000000000+ISNUMBER('Dvd Calendar'!$K$1152)*100000000+('Dvd Calendar'!$K$1154=SPECIAL_LBL)*10000000+(N('Dvd Calendar'!$K$1148)&gt;0)*(N('Dvd Calendar'!$K$1148)&lt;=VAL_SERIAL)*1000000+4*1000+7))</f>
        <v/>
      </c>
      <c r="EL119" s="121">
        <f>IF(N('Dvd Calendar'!$L$1149)=0,"",IF(('Dvd Calendar'!$L$1149&gt;=GRID_FROM)*('Dvd Calendar'!$L$1149&lt;=GRID_TO)*((('Dvd Calendar'!$L$1149&lt;=VAL_DATE)+(COUNTIF('Dvd Calendar'!$E$1156:$AR$1156,'Dvd Calendar'!$L$1149)=0))&gt;0)=0,"",'Dvd Calendar'!$L$1149*1000000000+ISNUMBER('Dvd Calendar'!$L$1152)*100000000+('Dvd Calendar'!$L$1154=SPECIAL_LBL)*10000000+(N('Dvd Calendar'!$L$1148)&gt;0)*(N('Dvd Calendar'!$L$1148)&lt;=VAL_SERIAL)*1000000+4*1000+8))</f>
        <v/>
      </c>
      <c r="EM119" s="121">
        <f>IF(N('Dvd Calendar'!$M$1149)=0,"",IF(('Dvd Calendar'!$M$1149&gt;=GRID_FROM)*('Dvd Calendar'!$M$1149&lt;=GRID_TO)*((('Dvd Calendar'!$M$1149&lt;=VAL_DATE)+(COUNTIF('Dvd Calendar'!$E$1156:$AR$1156,'Dvd Calendar'!$M$1149)=0))&gt;0)=0,"",'Dvd Calendar'!$M$1149*1000000000+ISNUMBER('Dvd Calendar'!$M$1152)*100000000+('Dvd Calendar'!$M$1154=SPECIAL_LBL)*10000000+(N('Dvd Calendar'!$M$1148)&gt;0)*(N('Dvd Calendar'!$M$1148)&lt;=VAL_SERIAL)*1000000+4*1000+9))</f>
        <v/>
      </c>
      <c r="EN119" s="121">
        <f>IF(N('Dvd Calendar'!$N$1149)=0,"",IF(('Dvd Calendar'!$N$1149&gt;=GRID_FROM)*('Dvd Calendar'!$N$1149&lt;=GRID_TO)*((('Dvd Calendar'!$N$1149&lt;=VAL_DATE)+(COUNTIF('Dvd Calendar'!$E$1156:$AR$1156,'Dvd Calendar'!$N$1149)=0))&gt;0)=0,"",'Dvd Calendar'!$N$1149*1000000000+ISNUMBER('Dvd Calendar'!$N$1152)*100000000+('Dvd Calendar'!$N$1154=SPECIAL_LBL)*10000000+(N('Dvd Calendar'!$N$1148)&gt;0)*(N('Dvd Calendar'!$N$1148)&lt;=VAL_SERIAL)*1000000+4*1000+10))</f>
        <v/>
      </c>
      <c r="EO119" s="121">
        <f>IF(N('Dvd Calendar'!$O$1149)=0,"",IF(('Dvd Calendar'!$O$1149&gt;=GRID_FROM)*('Dvd Calendar'!$O$1149&lt;=GRID_TO)*((('Dvd Calendar'!$O$1149&lt;=VAL_DATE)+(COUNTIF('Dvd Calendar'!$E$1156:$AR$1156,'Dvd Calendar'!$O$1149)=0))&gt;0)=0,"",'Dvd Calendar'!$O$1149*1000000000+ISNUMBER('Dvd Calendar'!$O$1152)*100000000+('Dvd Calendar'!$O$1154=SPECIAL_LBL)*10000000+(N('Dvd Calendar'!$O$1148)&gt;0)*(N('Dvd Calendar'!$O$1148)&lt;=VAL_SERIAL)*1000000+4*1000+11))</f>
        <v/>
      </c>
      <c r="EP119" s="121">
        <f>IF(N('Dvd Calendar'!$P$1149)=0,"",IF(('Dvd Calendar'!$P$1149&gt;=GRID_FROM)*('Dvd Calendar'!$P$1149&lt;=GRID_TO)*((('Dvd Calendar'!$P$1149&lt;=VAL_DATE)+(COUNTIF('Dvd Calendar'!$E$1156:$AR$1156,'Dvd Calendar'!$P$1149)=0))&gt;0)=0,"",'Dvd Calendar'!$P$1149*1000000000+ISNUMBER('Dvd Calendar'!$P$1152)*100000000+('Dvd Calendar'!$P$1154=SPECIAL_LBL)*10000000+(N('Dvd Calendar'!$P$1148)&gt;0)*(N('Dvd Calendar'!$P$1148)&lt;=VAL_SERIAL)*1000000+4*1000+12))</f>
        <v/>
      </c>
      <c r="EQ119" s="121">
        <f>IF(N('Dvd Calendar'!$Q$1149)=0,"",IF(('Dvd Calendar'!$Q$1149&gt;=GRID_FROM)*('Dvd Calendar'!$Q$1149&lt;=GRID_TO)*((('Dvd Calendar'!$Q$1149&lt;=VAL_DATE)+(COUNTIF('Dvd Calendar'!$E$1156:$AR$1156,'Dvd Calendar'!$Q$1149)=0))&gt;0)=0,"",'Dvd Calendar'!$Q$1149*1000000000+ISNUMBER('Dvd Calendar'!$Q$1152)*100000000+('Dvd Calendar'!$Q$1154=SPECIAL_LBL)*10000000+(N('Dvd Calendar'!$Q$1148)&gt;0)*(N('Dvd Calendar'!$Q$1148)&lt;=VAL_SERIAL)*1000000+4*1000+13))</f>
        <v/>
      </c>
      <c r="ER119" s="121">
        <f>IF(N('Dvd Calendar'!$R$1149)=0,"",IF(('Dvd Calendar'!$R$1149&gt;=GRID_FROM)*('Dvd Calendar'!$R$1149&lt;=GRID_TO)*((('Dvd Calendar'!$R$1149&lt;=VAL_DATE)+(COUNTIF('Dvd Calendar'!$E$1156:$AR$1156,'Dvd Calendar'!$R$1149)=0))&gt;0)=0,"",'Dvd Calendar'!$R$1149*1000000000+ISNUMBER('Dvd Calendar'!$R$1152)*100000000+('Dvd Calendar'!$R$1154=SPECIAL_LBL)*10000000+(N('Dvd Calendar'!$R$1148)&gt;0)*(N('Dvd Calendar'!$R$1148)&lt;=VAL_SERIAL)*1000000+4*1000+14))</f>
        <v/>
      </c>
      <c r="ES119" s="121">
        <f>IF(N('Dvd Calendar'!$S$1149)=0,"",IF(('Dvd Calendar'!$S$1149&gt;=GRID_FROM)*('Dvd Calendar'!$S$1149&lt;=GRID_TO)*((('Dvd Calendar'!$S$1149&lt;=VAL_DATE)+(COUNTIF('Dvd Calendar'!$E$1156:$AR$1156,'Dvd Calendar'!$S$1149)=0))&gt;0)=0,"",'Dvd Calendar'!$S$1149*1000000000+ISNUMBER('Dvd Calendar'!$S$1152)*100000000+('Dvd Calendar'!$S$1154=SPECIAL_LBL)*10000000+(N('Dvd Calendar'!$S$1148)&gt;0)*(N('Dvd Calendar'!$S$1148)&lt;=VAL_SERIAL)*1000000+4*1000+15))</f>
        <v/>
      </c>
      <c r="ET119" s="121">
        <f>IF(N('Dvd Calendar'!$T$1149)=0,"",IF(('Dvd Calendar'!$T$1149&gt;=GRID_FROM)*('Dvd Calendar'!$T$1149&lt;=GRID_TO)*((('Dvd Calendar'!$T$1149&lt;=VAL_DATE)+(COUNTIF('Dvd Calendar'!$E$1156:$AR$1156,'Dvd Calendar'!$T$1149)=0))&gt;0)=0,"",'Dvd Calendar'!$T$1149*1000000000+ISNUMBER('Dvd Calendar'!$T$1152)*100000000+('Dvd Calendar'!$T$1154=SPECIAL_LBL)*10000000+(N('Dvd Calendar'!$T$1148)&gt;0)*(N('Dvd Calendar'!$T$1148)&lt;=VAL_SERIAL)*1000000+4*1000+16))</f>
        <v/>
      </c>
      <c r="EU119" s="121">
        <f>IF(N('Dvd Calendar'!$U$1149)=0,"",IF(('Dvd Calendar'!$U$1149&gt;=GRID_FROM)*('Dvd Calendar'!$U$1149&lt;=GRID_TO)*((('Dvd Calendar'!$U$1149&lt;=VAL_DATE)+(COUNTIF('Dvd Calendar'!$E$1156:$AR$1156,'Dvd Calendar'!$U$1149)=0))&gt;0)=0,"",'Dvd Calendar'!$U$1149*1000000000+ISNUMBER('Dvd Calendar'!$U$1152)*100000000+('Dvd Calendar'!$U$1154=SPECIAL_LBL)*10000000+(N('Dvd Calendar'!$U$1148)&gt;0)*(N('Dvd Calendar'!$U$1148)&lt;=VAL_SERIAL)*1000000+4*1000+17))</f>
        <v/>
      </c>
      <c r="EV119" s="121">
        <f>IF(N('Dvd Calendar'!$V$1149)=0,"",IF(('Dvd Calendar'!$V$1149&gt;=GRID_FROM)*('Dvd Calendar'!$V$1149&lt;=GRID_TO)*((('Dvd Calendar'!$V$1149&lt;=VAL_DATE)+(COUNTIF('Dvd Calendar'!$E$1156:$AR$1156,'Dvd Calendar'!$V$1149)=0))&gt;0)=0,"",'Dvd Calendar'!$V$1149*1000000000+ISNUMBER('Dvd Calendar'!$V$1152)*100000000+('Dvd Calendar'!$V$1154=SPECIAL_LBL)*10000000+(N('Dvd Calendar'!$V$1148)&gt;0)*(N('Dvd Calendar'!$V$1148)&lt;=VAL_SERIAL)*1000000+4*1000+18))</f>
        <v/>
      </c>
      <c r="EW119" s="121">
        <f>IF(N('Dvd Calendar'!$W$1149)=0,"",IF(('Dvd Calendar'!$W$1149&gt;=GRID_FROM)*('Dvd Calendar'!$W$1149&lt;=GRID_TO)*((('Dvd Calendar'!$W$1149&lt;=VAL_DATE)+(COUNTIF('Dvd Calendar'!$E$1156:$AR$1156,'Dvd Calendar'!$W$1149)=0))&gt;0)=0,"",'Dvd Calendar'!$W$1149*1000000000+ISNUMBER('Dvd Calendar'!$W$1152)*100000000+('Dvd Calendar'!$W$1154=SPECIAL_LBL)*10000000+(N('Dvd Calendar'!$W$1148)&gt;0)*(N('Dvd Calendar'!$W$1148)&lt;=VAL_SERIAL)*1000000+4*1000+19))</f>
        <v/>
      </c>
      <c r="EX119" s="121">
        <f>IF(N('Dvd Calendar'!$X$1149)=0,"",IF(('Dvd Calendar'!$X$1149&gt;=GRID_FROM)*('Dvd Calendar'!$X$1149&lt;=GRID_TO)*((('Dvd Calendar'!$X$1149&lt;=VAL_DATE)+(COUNTIF('Dvd Calendar'!$E$1156:$AR$1156,'Dvd Calendar'!$X$1149)=0))&gt;0)=0,"",'Dvd Calendar'!$X$1149*1000000000+ISNUMBER('Dvd Calendar'!$X$1152)*100000000+('Dvd Calendar'!$X$1154=SPECIAL_LBL)*10000000+(N('Dvd Calendar'!$X$1148)&gt;0)*(N('Dvd Calendar'!$X$1148)&lt;=VAL_SERIAL)*1000000+4*1000+20))</f>
        <v/>
      </c>
      <c r="EY119" s="121">
        <f>IF(N('Dvd Calendar'!$Y$1149)=0,"",IF(('Dvd Calendar'!$Y$1149&gt;=GRID_FROM)*('Dvd Calendar'!$Y$1149&lt;=GRID_TO)*((('Dvd Calendar'!$Y$1149&lt;=VAL_DATE)+(COUNTIF('Dvd Calendar'!$E$1156:$AR$1156,'Dvd Calendar'!$Y$1149)=0))&gt;0)=0,"",'Dvd Calendar'!$Y$1149*1000000000+ISNUMBER('Dvd Calendar'!$Y$1152)*100000000+('Dvd Calendar'!$Y$1154=SPECIAL_LBL)*10000000+(N('Dvd Calendar'!$Y$1148)&gt;0)*(N('Dvd Calendar'!$Y$1148)&lt;=VAL_SERIAL)*1000000+4*1000+21))</f>
        <v/>
      </c>
      <c r="EZ119" s="121">
        <f>IF(N('Dvd Calendar'!$Z$1149)=0,"",IF(('Dvd Calendar'!$Z$1149&gt;=GRID_FROM)*('Dvd Calendar'!$Z$1149&lt;=GRID_TO)*((('Dvd Calendar'!$Z$1149&lt;=VAL_DATE)+(COUNTIF('Dvd Calendar'!$E$1156:$AR$1156,'Dvd Calendar'!$Z$1149)=0))&gt;0)=0,"",'Dvd Calendar'!$Z$1149*1000000000+ISNUMBER('Dvd Calendar'!$Z$1152)*100000000+('Dvd Calendar'!$Z$1154=SPECIAL_LBL)*10000000+(N('Dvd Calendar'!$Z$1148)&gt;0)*(N('Dvd Calendar'!$Z$1148)&lt;=VAL_SERIAL)*1000000+4*1000+22))</f>
        <v/>
      </c>
      <c r="FA119" s="121">
        <f>IF(N('Dvd Calendar'!$AA$1149)=0,"",IF(('Dvd Calendar'!$AA$1149&gt;=GRID_FROM)*('Dvd Calendar'!$AA$1149&lt;=GRID_TO)*((('Dvd Calendar'!$AA$1149&lt;=VAL_DATE)+(COUNTIF('Dvd Calendar'!$E$1156:$AR$1156,'Dvd Calendar'!$AA$1149)=0))&gt;0)=0,"",'Dvd Calendar'!$AA$1149*1000000000+ISNUMBER('Dvd Calendar'!$AA$1152)*100000000+('Dvd Calendar'!$AA$1154=SPECIAL_LBL)*10000000+(N('Dvd Calendar'!$AA$1148)&gt;0)*(N('Dvd Calendar'!$AA$1148)&lt;=VAL_SERIAL)*1000000+4*1000+23))</f>
        <v/>
      </c>
      <c r="FB119" s="121">
        <f>IF(N('Dvd Calendar'!$AB$1149)=0,"",IF(('Dvd Calendar'!$AB$1149&gt;=GRID_FROM)*('Dvd Calendar'!$AB$1149&lt;=GRID_TO)*((('Dvd Calendar'!$AB$1149&lt;=VAL_DATE)+(COUNTIF('Dvd Calendar'!$E$1156:$AR$1156,'Dvd Calendar'!$AB$1149)=0))&gt;0)=0,"",'Dvd Calendar'!$AB$1149*1000000000+ISNUMBER('Dvd Calendar'!$AB$1152)*100000000+('Dvd Calendar'!$AB$1154=SPECIAL_LBL)*10000000+(N('Dvd Calendar'!$AB$1148)&gt;0)*(N('Dvd Calendar'!$AB$1148)&lt;=VAL_SERIAL)*1000000+4*1000+24))</f>
        <v/>
      </c>
      <c r="FC119" s="121">
        <f>IF(N('Dvd Calendar'!$AC$1149)=0,"",IF(('Dvd Calendar'!$AC$1149&gt;=GRID_FROM)*('Dvd Calendar'!$AC$1149&lt;=GRID_TO)*((('Dvd Calendar'!$AC$1149&lt;=VAL_DATE)+(COUNTIF('Dvd Calendar'!$E$1156:$AR$1156,'Dvd Calendar'!$AC$1149)=0))&gt;0)=0,"",'Dvd Calendar'!$AC$1149*1000000000+ISNUMBER('Dvd Calendar'!$AC$1152)*100000000+('Dvd Calendar'!$AC$1154=SPECIAL_LBL)*10000000+(N('Dvd Calendar'!$AC$1148)&gt;0)*(N('Dvd Calendar'!$AC$1148)&lt;=VAL_SERIAL)*1000000+4*1000+25))</f>
        <v/>
      </c>
      <c r="FD119" s="121">
        <f>IF(N('Dvd Calendar'!$AD$1149)=0,"",IF(('Dvd Calendar'!$AD$1149&gt;=GRID_FROM)*('Dvd Calendar'!$AD$1149&lt;=GRID_TO)*((('Dvd Calendar'!$AD$1149&lt;=VAL_DATE)+(COUNTIF('Dvd Calendar'!$E$1156:$AR$1156,'Dvd Calendar'!$AD$1149)=0))&gt;0)=0,"",'Dvd Calendar'!$AD$1149*1000000000+ISNUMBER('Dvd Calendar'!$AD$1152)*100000000+('Dvd Calendar'!$AD$1154=SPECIAL_LBL)*10000000+(N('Dvd Calendar'!$AD$1148)&gt;0)*(N('Dvd Calendar'!$AD$1148)&lt;=VAL_SERIAL)*1000000+4*1000+26))</f>
        <v/>
      </c>
      <c r="FE119" s="121">
        <f>IF(N('Dvd Calendar'!$AE$1149)=0,"",IF(('Dvd Calendar'!$AE$1149&gt;=GRID_FROM)*('Dvd Calendar'!$AE$1149&lt;=GRID_TO)*((('Dvd Calendar'!$AE$1149&lt;=VAL_DATE)+(COUNTIF('Dvd Calendar'!$E$1156:$AR$1156,'Dvd Calendar'!$AE$1149)=0))&gt;0)=0,"",'Dvd Calendar'!$AE$1149*1000000000+ISNUMBER('Dvd Calendar'!$AE$1152)*100000000+('Dvd Calendar'!$AE$1154=SPECIAL_LBL)*10000000+(N('Dvd Calendar'!$AE$1148)&gt;0)*(N('Dvd Calendar'!$AE$1148)&lt;=VAL_SERIAL)*1000000+4*1000+27))</f>
        <v/>
      </c>
      <c r="FF119" s="121">
        <f>IF(N('Dvd Calendar'!$AF$1149)=0,"",IF(('Dvd Calendar'!$AF$1149&gt;=GRID_FROM)*('Dvd Calendar'!$AF$1149&lt;=GRID_TO)*((('Dvd Calendar'!$AF$1149&lt;=VAL_DATE)+(COUNTIF('Dvd Calendar'!$E$1156:$AR$1156,'Dvd Calendar'!$AF$1149)=0))&gt;0)=0,"",'Dvd Calendar'!$AF$1149*1000000000+ISNUMBER('Dvd Calendar'!$AF$1152)*100000000+('Dvd Calendar'!$AF$1154=SPECIAL_LBL)*10000000+(N('Dvd Calendar'!$AF$1148)&gt;0)*(N('Dvd Calendar'!$AF$1148)&lt;=VAL_SERIAL)*1000000+4*1000+28))</f>
        <v/>
      </c>
      <c r="FG119" s="121">
        <f>IF(N('Dvd Calendar'!$AG$1149)=0,"",IF(('Dvd Calendar'!$AG$1149&gt;=GRID_FROM)*('Dvd Calendar'!$AG$1149&lt;=GRID_TO)*((('Dvd Calendar'!$AG$1149&lt;=VAL_DATE)+(COUNTIF('Dvd Calendar'!$E$1156:$AR$1156,'Dvd Calendar'!$AG$1149)=0))&gt;0)=0,"",'Dvd Calendar'!$AG$1149*1000000000+ISNUMBER('Dvd Calendar'!$AG$1152)*100000000+('Dvd Calendar'!$AG$1154=SPECIAL_LBL)*10000000+(N('Dvd Calendar'!$AG$1148)&gt;0)*(N('Dvd Calendar'!$AG$1148)&lt;=VAL_SERIAL)*1000000+4*1000+29))</f>
        <v/>
      </c>
      <c r="FH119" s="121">
        <f>IF(N('Dvd Calendar'!$AH$1149)=0,"",IF(('Dvd Calendar'!$AH$1149&gt;=GRID_FROM)*('Dvd Calendar'!$AH$1149&lt;=GRID_TO)*((('Dvd Calendar'!$AH$1149&lt;=VAL_DATE)+(COUNTIF('Dvd Calendar'!$E$1156:$AR$1156,'Dvd Calendar'!$AH$1149)=0))&gt;0)=0,"",'Dvd Calendar'!$AH$1149*1000000000+ISNUMBER('Dvd Calendar'!$AH$1152)*100000000+('Dvd Calendar'!$AH$1154=SPECIAL_LBL)*10000000+(N('Dvd Calendar'!$AH$1148)&gt;0)*(N('Dvd Calendar'!$AH$1148)&lt;=VAL_SERIAL)*1000000+4*1000+30))</f>
        <v/>
      </c>
      <c r="FI119" s="121">
        <f>IF(N('Dvd Calendar'!$AI$1149)=0,"",IF(('Dvd Calendar'!$AI$1149&gt;=GRID_FROM)*('Dvd Calendar'!$AI$1149&lt;=GRID_TO)*((('Dvd Calendar'!$AI$1149&lt;=VAL_DATE)+(COUNTIF('Dvd Calendar'!$E$1156:$AR$1156,'Dvd Calendar'!$AI$1149)=0))&gt;0)=0,"",'Dvd Calendar'!$AI$1149*1000000000+ISNUMBER('Dvd Calendar'!$AI$1152)*100000000+('Dvd Calendar'!$AI$1154=SPECIAL_LBL)*10000000+(N('Dvd Calendar'!$AI$1148)&gt;0)*(N('Dvd Calendar'!$AI$1148)&lt;=VAL_SERIAL)*1000000+4*1000+31))</f>
        <v/>
      </c>
      <c r="FJ119" s="121">
        <f>IF(N('Dvd Calendar'!$AJ$1149)=0,"",IF(('Dvd Calendar'!$AJ$1149&gt;=GRID_FROM)*('Dvd Calendar'!$AJ$1149&lt;=GRID_TO)*((('Dvd Calendar'!$AJ$1149&lt;=VAL_DATE)+(COUNTIF('Dvd Calendar'!$E$1156:$AR$1156,'Dvd Calendar'!$AJ$1149)=0))&gt;0)=0,"",'Dvd Calendar'!$AJ$1149*1000000000+ISNUMBER('Dvd Calendar'!$AJ$1152)*100000000+('Dvd Calendar'!$AJ$1154=SPECIAL_LBL)*10000000+(N('Dvd Calendar'!$AJ$1148)&gt;0)*(N('Dvd Calendar'!$AJ$1148)&lt;=VAL_SERIAL)*1000000+4*1000+32))</f>
        <v/>
      </c>
      <c r="FK119" s="121">
        <f>IF(N('Dvd Calendar'!$AK$1149)=0,"",IF(('Dvd Calendar'!$AK$1149&gt;=GRID_FROM)*('Dvd Calendar'!$AK$1149&lt;=GRID_TO)*((('Dvd Calendar'!$AK$1149&lt;=VAL_DATE)+(COUNTIF('Dvd Calendar'!$E$1156:$AR$1156,'Dvd Calendar'!$AK$1149)=0))&gt;0)=0,"",'Dvd Calendar'!$AK$1149*1000000000+ISNUMBER('Dvd Calendar'!$AK$1152)*100000000+('Dvd Calendar'!$AK$1154=SPECIAL_LBL)*10000000+(N('Dvd Calendar'!$AK$1148)&gt;0)*(N('Dvd Calendar'!$AK$1148)&lt;=VAL_SERIAL)*1000000+4*1000+33))</f>
        <v/>
      </c>
      <c r="FL119" s="121">
        <f>IF(N('Dvd Calendar'!$AL$1149)=0,"",IF(('Dvd Calendar'!$AL$1149&gt;=GRID_FROM)*('Dvd Calendar'!$AL$1149&lt;=GRID_TO)*((('Dvd Calendar'!$AL$1149&lt;=VAL_DATE)+(COUNTIF('Dvd Calendar'!$E$1156:$AR$1156,'Dvd Calendar'!$AL$1149)=0))&gt;0)=0,"",'Dvd Calendar'!$AL$1149*1000000000+ISNUMBER('Dvd Calendar'!$AL$1152)*100000000+('Dvd Calendar'!$AL$1154=SPECIAL_LBL)*10000000+(N('Dvd Calendar'!$AL$1148)&gt;0)*(N('Dvd Calendar'!$AL$1148)&lt;=VAL_SERIAL)*1000000+4*1000+34))</f>
        <v/>
      </c>
      <c r="FM119" s="121">
        <f>IF(N('Dvd Calendar'!$AM$1149)=0,"",IF(('Dvd Calendar'!$AM$1149&gt;=GRID_FROM)*('Dvd Calendar'!$AM$1149&lt;=GRID_TO)*((('Dvd Calendar'!$AM$1149&lt;=VAL_DATE)+(COUNTIF('Dvd Calendar'!$E$1156:$AR$1156,'Dvd Calendar'!$AM$1149)=0))&gt;0)=0,"",'Dvd Calendar'!$AM$1149*1000000000+ISNUMBER('Dvd Calendar'!$AM$1152)*100000000+('Dvd Calendar'!$AM$1154=SPECIAL_LBL)*10000000+(N('Dvd Calendar'!$AM$1148)&gt;0)*(N('Dvd Calendar'!$AM$1148)&lt;=VAL_SERIAL)*1000000+4*1000+35))</f>
        <v/>
      </c>
      <c r="FN119" s="121">
        <f>IF(N('Dvd Calendar'!$AN$1149)=0,"",IF(('Dvd Calendar'!$AN$1149&gt;=GRID_FROM)*('Dvd Calendar'!$AN$1149&lt;=GRID_TO)*((('Dvd Calendar'!$AN$1149&lt;=VAL_DATE)+(COUNTIF('Dvd Calendar'!$E$1156:$AR$1156,'Dvd Calendar'!$AN$1149)=0))&gt;0)=0,"",'Dvd Calendar'!$AN$1149*1000000000+ISNUMBER('Dvd Calendar'!$AN$1152)*100000000+('Dvd Calendar'!$AN$1154=SPECIAL_LBL)*10000000+(N('Dvd Calendar'!$AN$1148)&gt;0)*(N('Dvd Calendar'!$AN$1148)&lt;=VAL_SERIAL)*1000000+4*1000+36))</f>
        <v/>
      </c>
      <c r="FO119" s="121">
        <f>IF(N('Dvd Calendar'!$AO$1149)=0,"",IF(('Dvd Calendar'!$AO$1149&gt;=GRID_FROM)*('Dvd Calendar'!$AO$1149&lt;=GRID_TO)*((('Dvd Calendar'!$AO$1149&lt;=VAL_DATE)+(COUNTIF('Dvd Calendar'!$E$1156:$AR$1156,'Dvd Calendar'!$AO$1149)=0))&gt;0)=0,"",'Dvd Calendar'!$AO$1149*1000000000+ISNUMBER('Dvd Calendar'!$AO$1152)*100000000+('Dvd Calendar'!$AO$1154=SPECIAL_LBL)*10000000+(N('Dvd Calendar'!$AO$1148)&gt;0)*(N('Dvd Calendar'!$AO$1148)&lt;=VAL_SERIAL)*1000000+4*1000+37))</f>
        <v/>
      </c>
      <c r="FP119" s="121">
        <f>IF(N('Dvd Calendar'!$AP$1149)=0,"",IF(('Dvd Calendar'!$AP$1149&gt;=GRID_FROM)*('Dvd Calendar'!$AP$1149&lt;=GRID_TO)*((('Dvd Calendar'!$AP$1149&lt;=VAL_DATE)+(COUNTIF('Dvd Calendar'!$E$1156:$AR$1156,'Dvd Calendar'!$AP$1149)=0))&gt;0)=0,"",'Dvd Calendar'!$AP$1149*1000000000+ISNUMBER('Dvd Calendar'!$AP$1152)*100000000+('Dvd Calendar'!$AP$1154=SPECIAL_LBL)*10000000+(N('Dvd Calendar'!$AP$1148)&gt;0)*(N('Dvd Calendar'!$AP$1148)&lt;=VAL_SERIAL)*1000000+4*1000+38))</f>
        <v/>
      </c>
      <c r="FQ119" s="121">
        <f>IF(N('Dvd Calendar'!$AQ$1149)=0,"",IF(('Dvd Calendar'!$AQ$1149&gt;=GRID_FROM)*('Dvd Calendar'!$AQ$1149&lt;=GRID_TO)*((('Dvd Calendar'!$AQ$1149&lt;=VAL_DATE)+(COUNTIF('Dvd Calendar'!$E$1156:$AR$1156,'Dvd Calendar'!$AQ$1149)=0))&gt;0)=0,"",'Dvd Calendar'!$AQ$1149*1000000000+ISNUMBER('Dvd Calendar'!$AQ$1152)*100000000+('Dvd Calendar'!$AQ$1154=SPECIAL_LBL)*10000000+(N('Dvd Calendar'!$AQ$1148)&gt;0)*(N('Dvd Calendar'!$AQ$1148)&lt;=VAL_SERIAL)*1000000+4*1000+39))</f>
        <v/>
      </c>
      <c r="FR119" s="121">
        <f>IF(N('Dvd Calendar'!$AR$1149)=0,"",IF(('Dvd Calendar'!$AR$1149&gt;=GRID_FROM)*('Dvd Calendar'!$AR$1149&lt;=GRID_TO)*((('Dvd Calendar'!$AR$1149&lt;=VAL_DATE)+(COUNTIF('Dvd Calendar'!$E$1156:$AR$1156,'Dvd Calendar'!$AR$1149)=0))&gt;0)=0,"",'Dvd Calendar'!$AR$1149*1000000000+ISNUMBER('Dvd Calendar'!$AR$1152)*100000000+('Dvd Calendar'!$AR$1154=SPECIAL_LBL)*10000000+(N('Dvd Calendar'!$AR$1148)&gt;0)*(N('Dvd Calendar'!$AR$1148)&lt;=VAL_SERIAL)*1000000+4*1000+40))</f>
        <v/>
      </c>
      <c r="FS119" s="121">
        <f>IF(N('Dvd Calendar'!$E$1156)=0,"",IF(('Dvd Calendar'!$E$1156&gt;=GRID_FROM)*('Dvd Calendar'!$E$1156&lt;=GRID_TO)*('Dvd Calendar'!$E$1156&gt;VAL_DATE)=0,"",'Dvd Calendar'!$E$1156*1000000000+ISNUMBER('Dvd Calendar'!$E$1157)*100000000+0*10000000+(N('Dvd Calendar'!$E$1155)&gt;0)*(N('Dvd Calendar'!$E$1155)&lt;=VAL_SERIAL)*1000000+4*1000+41))</f>
        <v/>
      </c>
      <c r="FT119" s="121">
        <f>IF(N('Dvd Calendar'!$F$1156)=0,"",IF(('Dvd Calendar'!$F$1156&gt;=GRID_FROM)*('Dvd Calendar'!$F$1156&lt;=GRID_TO)*('Dvd Calendar'!$F$1156&gt;VAL_DATE)=0,"",'Dvd Calendar'!$F$1156*1000000000+ISNUMBER('Dvd Calendar'!$F$1157)*100000000+0*10000000+(N('Dvd Calendar'!$F$1155)&gt;0)*(N('Dvd Calendar'!$F$1155)&lt;=VAL_SERIAL)*1000000+4*1000+42))</f>
        <v/>
      </c>
      <c r="FU119" s="121">
        <f>IF(N('Dvd Calendar'!$G$1156)=0,"",IF(('Dvd Calendar'!$G$1156&gt;=GRID_FROM)*('Dvd Calendar'!$G$1156&lt;=GRID_TO)*('Dvd Calendar'!$G$1156&gt;VAL_DATE)=0,"",'Dvd Calendar'!$G$1156*1000000000+ISNUMBER('Dvd Calendar'!$G$1157)*100000000+0*10000000+(N('Dvd Calendar'!$G$1155)&gt;0)*(N('Dvd Calendar'!$G$1155)&lt;=VAL_SERIAL)*1000000+4*1000+43))</f>
        <v/>
      </c>
      <c r="FV119" s="121">
        <f>IF(N('Dvd Calendar'!$H$1156)=0,"",IF(('Dvd Calendar'!$H$1156&gt;=GRID_FROM)*('Dvd Calendar'!$H$1156&lt;=GRID_TO)*('Dvd Calendar'!$H$1156&gt;VAL_DATE)=0,"",'Dvd Calendar'!$H$1156*1000000000+ISNUMBER('Dvd Calendar'!$H$1157)*100000000+0*10000000+(N('Dvd Calendar'!$H$1155)&gt;0)*(N('Dvd Calendar'!$H$1155)&lt;=VAL_SERIAL)*1000000+4*1000+44))</f>
        <v/>
      </c>
      <c r="FW119" s="121">
        <f>IF(N('Dvd Calendar'!$I$1156)=0,"",IF(('Dvd Calendar'!$I$1156&gt;=GRID_FROM)*('Dvd Calendar'!$I$1156&lt;=GRID_TO)*('Dvd Calendar'!$I$1156&gt;VAL_DATE)=0,"",'Dvd Calendar'!$I$1156*1000000000+ISNUMBER('Dvd Calendar'!$I$1157)*100000000+0*10000000+(N('Dvd Calendar'!$I$1155)&gt;0)*(N('Dvd Calendar'!$I$1155)&lt;=VAL_SERIAL)*1000000+4*1000+45))</f>
        <v/>
      </c>
      <c r="FX119" s="121">
        <f>IF(N('Dvd Calendar'!$J$1156)=0,"",IF(('Dvd Calendar'!$J$1156&gt;=GRID_FROM)*('Dvd Calendar'!$J$1156&lt;=GRID_TO)*('Dvd Calendar'!$J$1156&gt;VAL_DATE)=0,"",'Dvd Calendar'!$J$1156*1000000000+ISNUMBER('Dvd Calendar'!$J$1157)*100000000+0*10000000+(N('Dvd Calendar'!$J$1155)&gt;0)*(N('Dvd Calendar'!$J$1155)&lt;=VAL_SERIAL)*1000000+4*1000+46))</f>
        <v/>
      </c>
      <c r="FY119" s="121">
        <f>IF(N('Dvd Calendar'!$K$1156)=0,"",IF(('Dvd Calendar'!$K$1156&gt;=GRID_FROM)*('Dvd Calendar'!$K$1156&lt;=GRID_TO)*('Dvd Calendar'!$K$1156&gt;VAL_DATE)=0,"",'Dvd Calendar'!$K$1156*1000000000+ISNUMBER('Dvd Calendar'!$K$1157)*100000000+0*10000000+(N('Dvd Calendar'!$K$1155)&gt;0)*(N('Dvd Calendar'!$K$1155)&lt;=VAL_SERIAL)*1000000+4*1000+47))</f>
        <v/>
      </c>
      <c r="FZ119" s="121">
        <f>IF(N('Dvd Calendar'!$L$1156)=0,"",IF(('Dvd Calendar'!$L$1156&gt;=GRID_FROM)*('Dvd Calendar'!$L$1156&lt;=GRID_TO)*('Dvd Calendar'!$L$1156&gt;VAL_DATE)=0,"",'Dvd Calendar'!$L$1156*1000000000+ISNUMBER('Dvd Calendar'!$L$1157)*100000000+0*10000000+(N('Dvd Calendar'!$L$1155)&gt;0)*(N('Dvd Calendar'!$L$1155)&lt;=VAL_SERIAL)*1000000+4*1000+48))</f>
        <v/>
      </c>
      <c r="GA119" s="121">
        <f>IF(N('Dvd Calendar'!$M$1156)=0,"",IF(('Dvd Calendar'!$M$1156&gt;=GRID_FROM)*('Dvd Calendar'!$M$1156&lt;=GRID_TO)*('Dvd Calendar'!$M$1156&gt;VAL_DATE)=0,"",'Dvd Calendar'!$M$1156*1000000000+ISNUMBER('Dvd Calendar'!$M$1157)*100000000+0*10000000+(N('Dvd Calendar'!$M$1155)&gt;0)*(N('Dvd Calendar'!$M$1155)&lt;=VAL_SERIAL)*1000000+4*1000+49))</f>
        <v/>
      </c>
      <c r="GB119" s="121">
        <f>IF(N('Dvd Calendar'!$N$1156)=0,"",IF(('Dvd Calendar'!$N$1156&gt;=GRID_FROM)*('Dvd Calendar'!$N$1156&lt;=GRID_TO)*('Dvd Calendar'!$N$1156&gt;VAL_DATE)=0,"",'Dvd Calendar'!$N$1156*1000000000+ISNUMBER('Dvd Calendar'!$N$1157)*100000000+0*10000000+(N('Dvd Calendar'!$N$1155)&gt;0)*(N('Dvd Calendar'!$N$1155)&lt;=VAL_SERIAL)*1000000+4*1000+50))</f>
        <v/>
      </c>
      <c r="GC119" s="121">
        <f>IF(N('Dvd Calendar'!$O$1156)=0,"",IF(('Dvd Calendar'!$O$1156&gt;=GRID_FROM)*('Dvd Calendar'!$O$1156&lt;=GRID_TO)*('Dvd Calendar'!$O$1156&gt;VAL_DATE)=0,"",'Dvd Calendar'!$O$1156*1000000000+ISNUMBER('Dvd Calendar'!$O$1157)*100000000+0*10000000+(N('Dvd Calendar'!$O$1155)&gt;0)*(N('Dvd Calendar'!$O$1155)&lt;=VAL_SERIAL)*1000000+4*1000+51))</f>
        <v/>
      </c>
      <c r="GD119" s="121">
        <f>IF(N('Dvd Calendar'!$P$1156)=0,"",IF(('Dvd Calendar'!$P$1156&gt;=GRID_FROM)*('Dvd Calendar'!$P$1156&lt;=GRID_TO)*('Dvd Calendar'!$P$1156&gt;VAL_DATE)=0,"",'Dvd Calendar'!$P$1156*1000000000+ISNUMBER('Dvd Calendar'!$P$1157)*100000000+0*10000000+(N('Dvd Calendar'!$P$1155)&gt;0)*(N('Dvd Calendar'!$P$1155)&lt;=VAL_SERIAL)*1000000+4*1000+52))</f>
        <v/>
      </c>
      <c r="GE119" s="121">
        <f>IF(N('Dvd Calendar'!$Q$1156)=0,"",IF(('Dvd Calendar'!$Q$1156&gt;=GRID_FROM)*('Dvd Calendar'!$Q$1156&lt;=GRID_TO)*('Dvd Calendar'!$Q$1156&gt;VAL_DATE)=0,"",'Dvd Calendar'!$Q$1156*1000000000+ISNUMBER('Dvd Calendar'!$Q$1157)*100000000+0*10000000+(N('Dvd Calendar'!$Q$1155)&gt;0)*(N('Dvd Calendar'!$Q$1155)&lt;=VAL_SERIAL)*1000000+4*1000+53))</f>
        <v/>
      </c>
      <c r="GF119" s="121">
        <f>IF(N('Dvd Calendar'!$R$1156)=0,"",IF(('Dvd Calendar'!$R$1156&gt;=GRID_FROM)*('Dvd Calendar'!$R$1156&lt;=GRID_TO)*('Dvd Calendar'!$R$1156&gt;VAL_DATE)=0,"",'Dvd Calendar'!$R$1156*1000000000+ISNUMBER('Dvd Calendar'!$R$1157)*100000000+0*10000000+(N('Dvd Calendar'!$R$1155)&gt;0)*(N('Dvd Calendar'!$R$1155)&lt;=VAL_SERIAL)*1000000+4*1000+54))</f>
        <v/>
      </c>
      <c r="GG119" s="121">
        <f>IF(N('Dvd Calendar'!$S$1156)=0,"",IF(('Dvd Calendar'!$S$1156&gt;=GRID_FROM)*('Dvd Calendar'!$S$1156&lt;=GRID_TO)*('Dvd Calendar'!$S$1156&gt;VAL_DATE)=0,"",'Dvd Calendar'!$S$1156*1000000000+ISNUMBER('Dvd Calendar'!$S$1157)*100000000+0*10000000+(N('Dvd Calendar'!$S$1155)&gt;0)*(N('Dvd Calendar'!$S$1155)&lt;=VAL_SERIAL)*1000000+4*1000+55))</f>
        <v/>
      </c>
      <c r="GH119" s="121">
        <f>IF(N('Dvd Calendar'!$T$1156)=0,"",IF(('Dvd Calendar'!$T$1156&gt;=GRID_FROM)*('Dvd Calendar'!$T$1156&lt;=GRID_TO)*('Dvd Calendar'!$T$1156&gt;VAL_DATE)=0,"",'Dvd Calendar'!$T$1156*1000000000+ISNUMBER('Dvd Calendar'!$T$1157)*100000000+0*10000000+(N('Dvd Calendar'!$T$1155)&gt;0)*(N('Dvd Calendar'!$T$1155)&lt;=VAL_SERIAL)*1000000+4*1000+56))</f>
        <v/>
      </c>
      <c r="GI119" s="121">
        <f>IF(N('Dvd Calendar'!$U$1156)=0,"",IF(('Dvd Calendar'!$U$1156&gt;=GRID_FROM)*('Dvd Calendar'!$U$1156&lt;=GRID_TO)*('Dvd Calendar'!$U$1156&gt;VAL_DATE)=0,"",'Dvd Calendar'!$U$1156*1000000000+ISNUMBER('Dvd Calendar'!$U$1157)*100000000+0*10000000+(N('Dvd Calendar'!$U$1155)&gt;0)*(N('Dvd Calendar'!$U$1155)&lt;=VAL_SERIAL)*1000000+4*1000+57))</f>
        <v/>
      </c>
      <c r="GJ119" s="121">
        <f>IF(N('Dvd Calendar'!$V$1156)=0,"",IF(('Dvd Calendar'!$V$1156&gt;=GRID_FROM)*('Dvd Calendar'!$V$1156&lt;=GRID_TO)*('Dvd Calendar'!$V$1156&gt;VAL_DATE)=0,"",'Dvd Calendar'!$V$1156*1000000000+ISNUMBER('Dvd Calendar'!$V$1157)*100000000+0*10000000+(N('Dvd Calendar'!$V$1155)&gt;0)*(N('Dvd Calendar'!$V$1155)&lt;=VAL_SERIAL)*1000000+4*1000+58))</f>
        <v/>
      </c>
      <c r="GK119" s="121">
        <f>IF(N('Dvd Calendar'!$W$1156)=0,"",IF(('Dvd Calendar'!$W$1156&gt;=GRID_FROM)*('Dvd Calendar'!$W$1156&lt;=GRID_TO)*('Dvd Calendar'!$W$1156&gt;VAL_DATE)=0,"",'Dvd Calendar'!$W$1156*1000000000+ISNUMBER('Dvd Calendar'!$W$1157)*100000000+0*10000000+(N('Dvd Calendar'!$W$1155)&gt;0)*(N('Dvd Calendar'!$W$1155)&lt;=VAL_SERIAL)*1000000+4*1000+59))</f>
        <v/>
      </c>
      <c r="GL119" s="121">
        <f>IF(N('Dvd Calendar'!$X$1156)=0,"",IF(('Dvd Calendar'!$X$1156&gt;=GRID_FROM)*('Dvd Calendar'!$X$1156&lt;=GRID_TO)*('Dvd Calendar'!$X$1156&gt;VAL_DATE)=0,"",'Dvd Calendar'!$X$1156*1000000000+ISNUMBER('Dvd Calendar'!$X$1157)*100000000+0*10000000+(N('Dvd Calendar'!$X$1155)&gt;0)*(N('Dvd Calendar'!$X$1155)&lt;=VAL_SERIAL)*1000000+4*1000+60))</f>
        <v/>
      </c>
      <c r="GM119" s="121">
        <f>IF(N('Dvd Calendar'!$Y$1156)=0,"",IF(('Dvd Calendar'!$Y$1156&gt;=GRID_FROM)*('Dvd Calendar'!$Y$1156&lt;=GRID_TO)*('Dvd Calendar'!$Y$1156&gt;VAL_DATE)=0,"",'Dvd Calendar'!$Y$1156*1000000000+ISNUMBER('Dvd Calendar'!$Y$1157)*100000000+0*10000000+(N('Dvd Calendar'!$Y$1155)&gt;0)*(N('Dvd Calendar'!$Y$1155)&lt;=VAL_SERIAL)*1000000+4*1000+61))</f>
        <v/>
      </c>
      <c r="GN119" s="121">
        <f>IF(N('Dvd Calendar'!$Z$1156)=0,"",IF(('Dvd Calendar'!$Z$1156&gt;=GRID_FROM)*('Dvd Calendar'!$Z$1156&lt;=GRID_TO)*('Dvd Calendar'!$Z$1156&gt;VAL_DATE)=0,"",'Dvd Calendar'!$Z$1156*1000000000+ISNUMBER('Dvd Calendar'!$Z$1157)*100000000+0*10000000+(N('Dvd Calendar'!$Z$1155)&gt;0)*(N('Dvd Calendar'!$Z$1155)&lt;=VAL_SERIAL)*1000000+4*1000+62))</f>
        <v/>
      </c>
      <c r="GO119" s="121">
        <f>IF(N('Dvd Calendar'!$AA$1156)=0,"",IF(('Dvd Calendar'!$AA$1156&gt;=GRID_FROM)*('Dvd Calendar'!$AA$1156&lt;=GRID_TO)*('Dvd Calendar'!$AA$1156&gt;VAL_DATE)=0,"",'Dvd Calendar'!$AA$1156*1000000000+ISNUMBER('Dvd Calendar'!$AA$1157)*100000000+0*10000000+(N('Dvd Calendar'!$AA$1155)&gt;0)*(N('Dvd Calendar'!$AA$1155)&lt;=VAL_SERIAL)*1000000+4*1000+63))</f>
        <v/>
      </c>
      <c r="GP119" s="121">
        <f>IF(N('Dvd Calendar'!$AB$1156)=0,"",IF(('Dvd Calendar'!$AB$1156&gt;=GRID_FROM)*('Dvd Calendar'!$AB$1156&lt;=GRID_TO)*('Dvd Calendar'!$AB$1156&gt;VAL_DATE)=0,"",'Dvd Calendar'!$AB$1156*1000000000+ISNUMBER('Dvd Calendar'!$AB$1157)*100000000+0*10000000+(N('Dvd Calendar'!$AB$1155)&gt;0)*(N('Dvd Calendar'!$AB$1155)&lt;=VAL_SERIAL)*1000000+4*1000+64))</f>
        <v/>
      </c>
      <c r="GQ119" s="121">
        <f>IF(N('Dvd Calendar'!$AC$1156)=0,"",IF(('Dvd Calendar'!$AC$1156&gt;=GRID_FROM)*('Dvd Calendar'!$AC$1156&lt;=GRID_TO)*('Dvd Calendar'!$AC$1156&gt;VAL_DATE)=0,"",'Dvd Calendar'!$AC$1156*1000000000+ISNUMBER('Dvd Calendar'!$AC$1157)*100000000+0*10000000+(N('Dvd Calendar'!$AC$1155)&gt;0)*(N('Dvd Calendar'!$AC$1155)&lt;=VAL_SERIAL)*1000000+4*1000+65))</f>
        <v/>
      </c>
    </row>
    <row r="120">
      <c r="B120" s="2">
        <f>IF(HSTECH!$C$11="","",HSTECH!$C$11)</f>
        <v/>
      </c>
      <c r="C120" s="161">
        <f>IF(EE120="","",IF(ISNUMBER('Dvd Calendar'!$E$1163)=FALSE,"",IF((('Dvd Calendar'!$E$1165=TYPE1)*(TYPE1&lt;&gt;"")+('Dvd Calendar'!$E$1165=TYPE2)*(TYPE2&lt;&gt;"")+('Dvd Calendar'!$E$1165=TYPE3)*(TYPE3&lt;&gt;"")+('Dvd Calendar'!$E$1165=TYPE4)*(TYPE4&lt;&gt;"")+('Dvd Calendar'!$E$1165=SPECIAL_LBL)*(INC_SPECIALS="Y"))=0,"",'Dvd Calendar'!$E$1163)))</f>
        <v/>
      </c>
      <c r="D120" s="161">
        <f>IF(EF120="","",IF(ISNUMBER('Dvd Calendar'!$F$1163)=FALSE,"",IF((('Dvd Calendar'!$F$1165=TYPE1)*(TYPE1&lt;&gt;"")+('Dvd Calendar'!$F$1165=TYPE2)*(TYPE2&lt;&gt;"")+('Dvd Calendar'!$F$1165=TYPE3)*(TYPE3&lt;&gt;"")+('Dvd Calendar'!$F$1165=TYPE4)*(TYPE4&lt;&gt;"")+('Dvd Calendar'!$F$1165=SPECIAL_LBL)*(INC_SPECIALS="Y"))=0,"",'Dvd Calendar'!$F$1163)))</f>
        <v/>
      </c>
      <c r="E120" s="161">
        <f>IF(EG120="","",IF(ISNUMBER('Dvd Calendar'!$G$1163)=FALSE,"",IF((('Dvd Calendar'!$G$1165=TYPE1)*(TYPE1&lt;&gt;"")+('Dvd Calendar'!$G$1165=TYPE2)*(TYPE2&lt;&gt;"")+('Dvd Calendar'!$G$1165=TYPE3)*(TYPE3&lt;&gt;"")+('Dvd Calendar'!$G$1165=TYPE4)*(TYPE4&lt;&gt;"")+('Dvd Calendar'!$G$1165=SPECIAL_LBL)*(INC_SPECIALS="Y"))=0,"",'Dvd Calendar'!$G$1163)))</f>
        <v/>
      </c>
      <c r="F120" s="161">
        <f>IF(EH120="","",IF(ISNUMBER('Dvd Calendar'!$H$1163)=FALSE,"",IF((('Dvd Calendar'!$H$1165=TYPE1)*(TYPE1&lt;&gt;"")+('Dvd Calendar'!$H$1165=TYPE2)*(TYPE2&lt;&gt;"")+('Dvd Calendar'!$H$1165=TYPE3)*(TYPE3&lt;&gt;"")+('Dvd Calendar'!$H$1165=TYPE4)*(TYPE4&lt;&gt;"")+('Dvd Calendar'!$H$1165=SPECIAL_LBL)*(INC_SPECIALS="Y"))=0,"",'Dvd Calendar'!$H$1163)))</f>
        <v/>
      </c>
      <c r="G120" s="161">
        <f>IF(EI120="","",IF(ISNUMBER('Dvd Calendar'!$I$1163)=FALSE,"",IF((('Dvd Calendar'!$I$1165=TYPE1)*(TYPE1&lt;&gt;"")+('Dvd Calendar'!$I$1165=TYPE2)*(TYPE2&lt;&gt;"")+('Dvd Calendar'!$I$1165=TYPE3)*(TYPE3&lt;&gt;"")+('Dvd Calendar'!$I$1165=TYPE4)*(TYPE4&lt;&gt;"")+('Dvd Calendar'!$I$1165=SPECIAL_LBL)*(INC_SPECIALS="Y"))=0,"",'Dvd Calendar'!$I$1163)))</f>
        <v/>
      </c>
      <c r="H120" s="161">
        <f>IF(EJ120="","",IF(ISNUMBER('Dvd Calendar'!$J$1163)=FALSE,"",IF((('Dvd Calendar'!$J$1165=TYPE1)*(TYPE1&lt;&gt;"")+('Dvd Calendar'!$J$1165=TYPE2)*(TYPE2&lt;&gt;"")+('Dvd Calendar'!$J$1165=TYPE3)*(TYPE3&lt;&gt;"")+('Dvd Calendar'!$J$1165=TYPE4)*(TYPE4&lt;&gt;"")+('Dvd Calendar'!$J$1165=SPECIAL_LBL)*(INC_SPECIALS="Y"))=0,"",'Dvd Calendar'!$J$1163)))</f>
        <v/>
      </c>
      <c r="I120" s="161">
        <f>IF(EK120="","",IF(ISNUMBER('Dvd Calendar'!$K$1163)=FALSE,"",IF((('Dvd Calendar'!$K$1165=TYPE1)*(TYPE1&lt;&gt;"")+('Dvd Calendar'!$K$1165=TYPE2)*(TYPE2&lt;&gt;"")+('Dvd Calendar'!$K$1165=TYPE3)*(TYPE3&lt;&gt;"")+('Dvd Calendar'!$K$1165=TYPE4)*(TYPE4&lt;&gt;"")+('Dvd Calendar'!$K$1165=SPECIAL_LBL)*(INC_SPECIALS="Y"))=0,"",'Dvd Calendar'!$K$1163)))</f>
        <v/>
      </c>
      <c r="J120" s="161">
        <f>IF(EL120="","",IF(ISNUMBER('Dvd Calendar'!$L$1163)=FALSE,"",IF((('Dvd Calendar'!$L$1165=TYPE1)*(TYPE1&lt;&gt;"")+('Dvd Calendar'!$L$1165=TYPE2)*(TYPE2&lt;&gt;"")+('Dvd Calendar'!$L$1165=TYPE3)*(TYPE3&lt;&gt;"")+('Dvd Calendar'!$L$1165=TYPE4)*(TYPE4&lt;&gt;"")+('Dvd Calendar'!$L$1165=SPECIAL_LBL)*(INC_SPECIALS="Y"))=0,"",'Dvd Calendar'!$L$1163)))</f>
        <v/>
      </c>
      <c r="K120" s="161">
        <f>IF(EM120="","",IF(ISNUMBER('Dvd Calendar'!$M$1163)=FALSE,"",IF((('Dvd Calendar'!$M$1165=TYPE1)*(TYPE1&lt;&gt;"")+('Dvd Calendar'!$M$1165=TYPE2)*(TYPE2&lt;&gt;"")+('Dvd Calendar'!$M$1165=TYPE3)*(TYPE3&lt;&gt;"")+('Dvd Calendar'!$M$1165=TYPE4)*(TYPE4&lt;&gt;"")+('Dvd Calendar'!$M$1165=SPECIAL_LBL)*(INC_SPECIALS="Y"))=0,"",'Dvd Calendar'!$M$1163)))</f>
        <v/>
      </c>
      <c r="L120" s="161">
        <f>IF(EN120="","",IF(ISNUMBER('Dvd Calendar'!$N$1163)=FALSE,"",IF((('Dvd Calendar'!$N$1165=TYPE1)*(TYPE1&lt;&gt;"")+('Dvd Calendar'!$N$1165=TYPE2)*(TYPE2&lt;&gt;"")+('Dvd Calendar'!$N$1165=TYPE3)*(TYPE3&lt;&gt;"")+('Dvd Calendar'!$N$1165=TYPE4)*(TYPE4&lt;&gt;"")+('Dvd Calendar'!$N$1165=SPECIAL_LBL)*(INC_SPECIALS="Y"))=0,"",'Dvd Calendar'!$N$1163)))</f>
        <v/>
      </c>
      <c r="M120" s="161">
        <f>IF(EO120="","",IF(ISNUMBER('Dvd Calendar'!$O$1163)=FALSE,"",IF((('Dvd Calendar'!$O$1165=TYPE1)*(TYPE1&lt;&gt;"")+('Dvd Calendar'!$O$1165=TYPE2)*(TYPE2&lt;&gt;"")+('Dvd Calendar'!$O$1165=TYPE3)*(TYPE3&lt;&gt;"")+('Dvd Calendar'!$O$1165=TYPE4)*(TYPE4&lt;&gt;"")+('Dvd Calendar'!$O$1165=SPECIAL_LBL)*(INC_SPECIALS="Y"))=0,"",'Dvd Calendar'!$O$1163)))</f>
        <v/>
      </c>
      <c r="N120" s="161">
        <f>IF(EP120="","",IF(ISNUMBER('Dvd Calendar'!$P$1163)=FALSE,"",IF((('Dvd Calendar'!$P$1165=TYPE1)*(TYPE1&lt;&gt;"")+('Dvd Calendar'!$P$1165=TYPE2)*(TYPE2&lt;&gt;"")+('Dvd Calendar'!$P$1165=TYPE3)*(TYPE3&lt;&gt;"")+('Dvd Calendar'!$P$1165=TYPE4)*(TYPE4&lt;&gt;"")+('Dvd Calendar'!$P$1165=SPECIAL_LBL)*(INC_SPECIALS="Y"))=0,"",'Dvd Calendar'!$P$1163)))</f>
        <v/>
      </c>
      <c r="O120" s="161">
        <f>IF(EQ120="","",IF(ISNUMBER('Dvd Calendar'!$Q$1163)=FALSE,"",IF((('Dvd Calendar'!$Q$1165=TYPE1)*(TYPE1&lt;&gt;"")+('Dvd Calendar'!$Q$1165=TYPE2)*(TYPE2&lt;&gt;"")+('Dvd Calendar'!$Q$1165=TYPE3)*(TYPE3&lt;&gt;"")+('Dvd Calendar'!$Q$1165=TYPE4)*(TYPE4&lt;&gt;"")+('Dvd Calendar'!$Q$1165=SPECIAL_LBL)*(INC_SPECIALS="Y"))=0,"",'Dvd Calendar'!$Q$1163)))</f>
        <v/>
      </c>
      <c r="P120" s="161">
        <f>IF(ER120="","",IF(ISNUMBER('Dvd Calendar'!$R$1163)=FALSE,"",IF((('Dvd Calendar'!$R$1165=TYPE1)*(TYPE1&lt;&gt;"")+('Dvd Calendar'!$R$1165=TYPE2)*(TYPE2&lt;&gt;"")+('Dvd Calendar'!$R$1165=TYPE3)*(TYPE3&lt;&gt;"")+('Dvd Calendar'!$R$1165=TYPE4)*(TYPE4&lt;&gt;"")+('Dvd Calendar'!$R$1165=SPECIAL_LBL)*(INC_SPECIALS="Y"))=0,"",'Dvd Calendar'!$R$1163)))</f>
        <v/>
      </c>
      <c r="Q120" s="161">
        <f>IF(ES120="","",IF(ISNUMBER('Dvd Calendar'!$S$1163)=FALSE,"",IF((('Dvd Calendar'!$S$1165=TYPE1)*(TYPE1&lt;&gt;"")+('Dvd Calendar'!$S$1165=TYPE2)*(TYPE2&lt;&gt;"")+('Dvd Calendar'!$S$1165=TYPE3)*(TYPE3&lt;&gt;"")+('Dvd Calendar'!$S$1165=TYPE4)*(TYPE4&lt;&gt;"")+('Dvd Calendar'!$S$1165=SPECIAL_LBL)*(INC_SPECIALS="Y"))=0,"",'Dvd Calendar'!$S$1163)))</f>
        <v/>
      </c>
      <c r="R120" s="161">
        <f>IF(ET120="","",IF(ISNUMBER('Dvd Calendar'!$T$1163)=FALSE,"",IF((('Dvd Calendar'!$T$1165=TYPE1)*(TYPE1&lt;&gt;"")+('Dvd Calendar'!$T$1165=TYPE2)*(TYPE2&lt;&gt;"")+('Dvd Calendar'!$T$1165=TYPE3)*(TYPE3&lt;&gt;"")+('Dvd Calendar'!$T$1165=TYPE4)*(TYPE4&lt;&gt;"")+('Dvd Calendar'!$T$1165=SPECIAL_LBL)*(INC_SPECIALS="Y"))=0,"",'Dvd Calendar'!$T$1163)))</f>
        <v/>
      </c>
      <c r="S120" s="161">
        <f>IF(EU120="","",IF(ISNUMBER('Dvd Calendar'!$U$1163)=FALSE,"",IF((('Dvd Calendar'!$U$1165=TYPE1)*(TYPE1&lt;&gt;"")+('Dvd Calendar'!$U$1165=TYPE2)*(TYPE2&lt;&gt;"")+('Dvd Calendar'!$U$1165=TYPE3)*(TYPE3&lt;&gt;"")+('Dvd Calendar'!$U$1165=TYPE4)*(TYPE4&lt;&gt;"")+('Dvd Calendar'!$U$1165=SPECIAL_LBL)*(INC_SPECIALS="Y"))=0,"",'Dvd Calendar'!$U$1163)))</f>
        <v/>
      </c>
      <c r="T120" s="161">
        <f>IF(EV120="","",IF(ISNUMBER('Dvd Calendar'!$V$1163)=FALSE,"",IF((('Dvd Calendar'!$V$1165=TYPE1)*(TYPE1&lt;&gt;"")+('Dvd Calendar'!$V$1165=TYPE2)*(TYPE2&lt;&gt;"")+('Dvd Calendar'!$V$1165=TYPE3)*(TYPE3&lt;&gt;"")+('Dvd Calendar'!$V$1165=TYPE4)*(TYPE4&lt;&gt;"")+('Dvd Calendar'!$V$1165=SPECIAL_LBL)*(INC_SPECIALS="Y"))=0,"",'Dvd Calendar'!$V$1163)))</f>
        <v/>
      </c>
      <c r="U120" s="161">
        <f>IF(EW120="","",IF(ISNUMBER('Dvd Calendar'!$W$1163)=FALSE,"",IF((('Dvd Calendar'!$W$1165=TYPE1)*(TYPE1&lt;&gt;"")+('Dvd Calendar'!$W$1165=TYPE2)*(TYPE2&lt;&gt;"")+('Dvd Calendar'!$W$1165=TYPE3)*(TYPE3&lt;&gt;"")+('Dvd Calendar'!$W$1165=TYPE4)*(TYPE4&lt;&gt;"")+('Dvd Calendar'!$W$1165=SPECIAL_LBL)*(INC_SPECIALS="Y"))=0,"",'Dvd Calendar'!$W$1163)))</f>
        <v/>
      </c>
      <c r="V120" s="161">
        <f>IF(EX120="","",IF(ISNUMBER('Dvd Calendar'!$X$1163)=FALSE,"",IF((('Dvd Calendar'!$X$1165=TYPE1)*(TYPE1&lt;&gt;"")+('Dvd Calendar'!$X$1165=TYPE2)*(TYPE2&lt;&gt;"")+('Dvd Calendar'!$X$1165=TYPE3)*(TYPE3&lt;&gt;"")+('Dvd Calendar'!$X$1165=TYPE4)*(TYPE4&lt;&gt;"")+('Dvd Calendar'!$X$1165=SPECIAL_LBL)*(INC_SPECIALS="Y"))=0,"",'Dvd Calendar'!$X$1163)))</f>
        <v/>
      </c>
      <c r="W120" s="161">
        <f>IF(EY120="","",IF(ISNUMBER('Dvd Calendar'!$Y$1163)=FALSE,"",IF((('Dvd Calendar'!$Y$1165=TYPE1)*(TYPE1&lt;&gt;"")+('Dvd Calendar'!$Y$1165=TYPE2)*(TYPE2&lt;&gt;"")+('Dvd Calendar'!$Y$1165=TYPE3)*(TYPE3&lt;&gt;"")+('Dvd Calendar'!$Y$1165=TYPE4)*(TYPE4&lt;&gt;"")+('Dvd Calendar'!$Y$1165=SPECIAL_LBL)*(INC_SPECIALS="Y"))=0,"",'Dvd Calendar'!$Y$1163)))</f>
        <v/>
      </c>
      <c r="X120" s="161">
        <f>IF(EZ120="","",IF(ISNUMBER('Dvd Calendar'!$Z$1163)=FALSE,"",IF((('Dvd Calendar'!$Z$1165=TYPE1)*(TYPE1&lt;&gt;"")+('Dvd Calendar'!$Z$1165=TYPE2)*(TYPE2&lt;&gt;"")+('Dvd Calendar'!$Z$1165=TYPE3)*(TYPE3&lt;&gt;"")+('Dvd Calendar'!$Z$1165=TYPE4)*(TYPE4&lt;&gt;"")+('Dvd Calendar'!$Z$1165=SPECIAL_LBL)*(INC_SPECIALS="Y"))=0,"",'Dvd Calendar'!$Z$1163)))</f>
        <v/>
      </c>
      <c r="Y120" s="161">
        <f>IF(FA120="","",IF(ISNUMBER('Dvd Calendar'!$AA$1163)=FALSE,"",IF((('Dvd Calendar'!$AA$1165=TYPE1)*(TYPE1&lt;&gt;"")+('Dvd Calendar'!$AA$1165=TYPE2)*(TYPE2&lt;&gt;"")+('Dvd Calendar'!$AA$1165=TYPE3)*(TYPE3&lt;&gt;"")+('Dvd Calendar'!$AA$1165=TYPE4)*(TYPE4&lt;&gt;"")+('Dvd Calendar'!$AA$1165=SPECIAL_LBL)*(INC_SPECIALS="Y"))=0,"",'Dvd Calendar'!$AA$1163)))</f>
        <v/>
      </c>
      <c r="Z120" s="161">
        <f>IF(FB120="","",IF(ISNUMBER('Dvd Calendar'!$AB$1163)=FALSE,"",IF((('Dvd Calendar'!$AB$1165=TYPE1)*(TYPE1&lt;&gt;"")+('Dvd Calendar'!$AB$1165=TYPE2)*(TYPE2&lt;&gt;"")+('Dvd Calendar'!$AB$1165=TYPE3)*(TYPE3&lt;&gt;"")+('Dvd Calendar'!$AB$1165=TYPE4)*(TYPE4&lt;&gt;"")+('Dvd Calendar'!$AB$1165=SPECIAL_LBL)*(INC_SPECIALS="Y"))=0,"",'Dvd Calendar'!$AB$1163)))</f>
        <v/>
      </c>
      <c r="AA120" s="161">
        <f>IF(FC120="","",IF(ISNUMBER('Dvd Calendar'!$AC$1163)=FALSE,"",IF((('Dvd Calendar'!$AC$1165=TYPE1)*(TYPE1&lt;&gt;"")+('Dvd Calendar'!$AC$1165=TYPE2)*(TYPE2&lt;&gt;"")+('Dvd Calendar'!$AC$1165=TYPE3)*(TYPE3&lt;&gt;"")+('Dvd Calendar'!$AC$1165=TYPE4)*(TYPE4&lt;&gt;"")+('Dvd Calendar'!$AC$1165=SPECIAL_LBL)*(INC_SPECIALS="Y"))=0,"",'Dvd Calendar'!$AC$1163)))</f>
        <v/>
      </c>
      <c r="AB120" s="161">
        <f>IF(FD120="","",IF(ISNUMBER('Dvd Calendar'!$AD$1163)=FALSE,"",IF((('Dvd Calendar'!$AD$1165=TYPE1)*(TYPE1&lt;&gt;"")+('Dvd Calendar'!$AD$1165=TYPE2)*(TYPE2&lt;&gt;"")+('Dvd Calendar'!$AD$1165=TYPE3)*(TYPE3&lt;&gt;"")+('Dvd Calendar'!$AD$1165=TYPE4)*(TYPE4&lt;&gt;"")+('Dvd Calendar'!$AD$1165=SPECIAL_LBL)*(INC_SPECIALS="Y"))=0,"",'Dvd Calendar'!$AD$1163)))</f>
        <v/>
      </c>
      <c r="AC120" s="161">
        <f>IF(FE120="","",IF(ISNUMBER('Dvd Calendar'!$AE$1163)=FALSE,"",IF((('Dvd Calendar'!$AE$1165=TYPE1)*(TYPE1&lt;&gt;"")+('Dvd Calendar'!$AE$1165=TYPE2)*(TYPE2&lt;&gt;"")+('Dvd Calendar'!$AE$1165=TYPE3)*(TYPE3&lt;&gt;"")+('Dvd Calendar'!$AE$1165=TYPE4)*(TYPE4&lt;&gt;"")+('Dvd Calendar'!$AE$1165=SPECIAL_LBL)*(INC_SPECIALS="Y"))=0,"",'Dvd Calendar'!$AE$1163)))</f>
        <v/>
      </c>
      <c r="AD120" s="161">
        <f>IF(FF120="","",IF(ISNUMBER('Dvd Calendar'!$AF$1163)=FALSE,"",IF((('Dvd Calendar'!$AF$1165=TYPE1)*(TYPE1&lt;&gt;"")+('Dvd Calendar'!$AF$1165=TYPE2)*(TYPE2&lt;&gt;"")+('Dvd Calendar'!$AF$1165=TYPE3)*(TYPE3&lt;&gt;"")+('Dvd Calendar'!$AF$1165=TYPE4)*(TYPE4&lt;&gt;"")+('Dvd Calendar'!$AF$1165=SPECIAL_LBL)*(INC_SPECIALS="Y"))=0,"",'Dvd Calendar'!$AF$1163)))</f>
        <v/>
      </c>
      <c r="AE120" s="161">
        <f>IF(FG120="","",IF(ISNUMBER('Dvd Calendar'!$AG$1163)=FALSE,"",IF((('Dvd Calendar'!$AG$1165=TYPE1)*(TYPE1&lt;&gt;"")+('Dvd Calendar'!$AG$1165=TYPE2)*(TYPE2&lt;&gt;"")+('Dvd Calendar'!$AG$1165=TYPE3)*(TYPE3&lt;&gt;"")+('Dvd Calendar'!$AG$1165=TYPE4)*(TYPE4&lt;&gt;"")+('Dvd Calendar'!$AG$1165=SPECIAL_LBL)*(INC_SPECIALS="Y"))=0,"",'Dvd Calendar'!$AG$1163)))</f>
        <v/>
      </c>
      <c r="AF120" s="161">
        <f>IF(FH120="","",IF(ISNUMBER('Dvd Calendar'!$AH$1163)=FALSE,"",IF((('Dvd Calendar'!$AH$1165=TYPE1)*(TYPE1&lt;&gt;"")+('Dvd Calendar'!$AH$1165=TYPE2)*(TYPE2&lt;&gt;"")+('Dvd Calendar'!$AH$1165=TYPE3)*(TYPE3&lt;&gt;"")+('Dvd Calendar'!$AH$1165=TYPE4)*(TYPE4&lt;&gt;"")+('Dvd Calendar'!$AH$1165=SPECIAL_LBL)*(INC_SPECIALS="Y"))=0,"",'Dvd Calendar'!$AH$1163)))</f>
        <v/>
      </c>
      <c r="AG120" s="161">
        <f>IF(FI120="","",IF(ISNUMBER('Dvd Calendar'!$AI$1163)=FALSE,"",IF((('Dvd Calendar'!$AI$1165=TYPE1)*(TYPE1&lt;&gt;"")+('Dvd Calendar'!$AI$1165=TYPE2)*(TYPE2&lt;&gt;"")+('Dvd Calendar'!$AI$1165=TYPE3)*(TYPE3&lt;&gt;"")+('Dvd Calendar'!$AI$1165=TYPE4)*(TYPE4&lt;&gt;"")+('Dvd Calendar'!$AI$1165=SPECIAL_LBL)*(INC_SPECIALS="Y"))=0,"",'Dvd Calendar'!$AI$1163)))</f>
        <v/>
      </c>
      <c r="AH120" s="161">
        <f>IF(FJ120="","",IF(ISNUMBER('Dvd Calendar'!$AJ$1163)=FALSE,"",IF((('Dvd Calendar'!$AJ$1165=TYPE1)*(TYPE1&lt;&gt;"")+('Dvd Calendar'!$AJ$1165=TYPE2)*(TYPE2&lt;&gt;"")+('Dvd Calendar'!$AJ$1165=TYPE3)*(TYPE3&lt;&gt;"")+('Dvd Calendar'!$AJ$1165=TYPE4)*(TYPE4&lt;&gt;"")+('Dvd Calendar'!$AJ$1165=SPECIAL_LBL)*(INC_SPECIALS="Y"))=0,"",'Dvd Calendar'!$AJ$1163)))</f>
        <v/>
      </c>
      <c r="AI120" s="161">
        <f>IF(FK120="","",IF(ISNUMBER('Dvd Calendar'!$AK$1163)=FALSE,"",IF((('Dvd Calendar'!$AK$1165=TYPE1)*(TYPE1&lt;&gt;"")+('Dvd Calendar'!$AK$1165=TYPE2)*(TYPE2&lt;&gt;"")+('Dvd Calendar'!$AK$1165=TYPE3)*(TYPE3&lt;&gt;"")+('Dvd Calendar'!$AK$1165=TYPE4)*(TYPE4&lt;&gt;"")+('Dvd Calendar'!$AK$1165=SPECIAL_LBL)*(INC_SPECIALS="Y"))=0,"",'Dvd Calendar'!$AK$1163)))</f>
        <v/>
      </c>
      <c r="AJ120" s="161">
        <f>IF(FL120="","",IF(ISNUMBER('Dvd Calendar'!$AL$1163)=FALSE,"",IF((('Dvd Calendar'!$AL$1165=TYPE1)*(TYPE1&lt;&gt;"")+('Dvd Calendar'!$AL$1165=TYPE2)*(TYPE2&lt;&gt;"")+('Dvd Calendar'!$AL$1165=TYPE3)*(TYPE3&lt;&gt;"")+('Dvd Calendar'!$AL$1165=TYPE4)*(TYPE4&lt;&gt;"")+('Dvd Calendar'!$AL$1165=SPECIAL_LBL)*(INC_SPECIALS="Y"))=0,"",'Dvd Calendar'!$AL$1163)))</f>
        <v/>
      </c>
      <c r="AK120" s="161">
        <f>IF(FM120="","",IF(ISNUMBER('Dvd Calendar'!$AM$1163)=FALSE,"",IF((('Dvd Calendar'!$AM$1165=TYPE1)*(TYPE1&lt;&gt;"")+('Dvd Calendar'!$AM$1165=TYPE2)*(TYPE2&lt;&gt;"")+('Dvd Calendar'!$AM$1165=TYPE3)*(TYPE3&lt;&gt;"")+('Dvd Calendar'!$AM$1165=TYPE4)*(TYPE4&lt;&gt;"")+('Dvd Calendar'!$AM$1165=SPECIAL_LBL)*(INC_SPECIALS="Y"))=0,"",'Dvd Calendar'!$AM$1163)))</f>
        <v/>
      </c>
      <c r="AL120" s="161">
        <f>IF(FN120="","",IF(ISNUMBER('Dvd Calendar'!$AN$1163)=FALSE,"",IF((('Dvd Calendar'!$AN$1165=TYPE1)*(TYPE1&lt;&gt;"")+('Dvd Calendar'!$AN$1165=TYPE2)*(TYPE2&lt;&gt;"")+('Dvd Calendar'!$AN$1165=TYPE3)*(TYPE3&lt;&gt;"")+('Dvd Calendar'!$AN$1165=TYPE4)*(TYPE4&lt;&gt;"")+('Dvd Calendar'!$AN$1165=SPECIAL_LBL)*(INC_SPECIALS="Y"))=0,"",'Dvd Calendar'!$AN$1163)))</f>
        <v/>
      </c>
      <c r="AM120" s="161">
        <f>IF(FO120="","",IF(ISNUMBER('Dvd Calendar'!$AO$1163)=FALSE,"",IF((('Dvd Calendar'!$AO$1165=TYPE1)*(TYPE1&lt;&gt;"")+('Dvd Calendar'!$AO$1165=TYPE2)*(TYPE2&lt;&gt;"")+('Dvd Calendar'!$AO$1165=TYPE3)*(TYPE3&lt;&gt;"")+('Dvd Calendar'!$AO$1165=TYPE4)*(TYPE4&lt;&gt;"")+('Dvd Calendar'!$AO$1165=SPECIAL_LBL)*(INC_SPECIALS="Y"))=0,"",'Dvd Calendar'!$AO$1163)))</f>
        <v/>
      </c>
      <c r="AN120" s="161">
        <f>IF(FP120="","",IF(ISNUMBER('Dvd Calendar'!$AP$1163)=FALSE,"",IF((('Dvd Calendar'!$AP$1165=TYPE1)*(TYPE1&lt;&gt;"")+('Dvd Calendar'!$AP$1165=TYPE2)*(TYPE2&lt;&gt;"")+('Dvd Calendar'!$AP$1165=TYPE3)*(TYPE3&lt;&gt;"")+('Dvd Calendar'!$AP$1165=TYPE4)*(TYPE4&lt;&gt;"")+('Dvd Calendar'!$AP$1165=SPECIAL_LBL)*(INC_SPECIALS="Y"))=0,"",'Dvd Calendar'!$AP$1163)))</f>
        <v/>
      </c>
      <c r="AO120" s="161">
        <f>IF(FQ120="","",IF(ISNUMBER('Dvd Calendar'!$AQ$1163)=FALSE,"",IF((('Dvd Calendar'!$AQ$1165=TYPE1)*(TYPE1&lt;&gt;"")+('Dvd Calendar'!$AQ$1165=TYPE2)*(TYPE2&lt;&gt;"")+('Dvd Calendar'!$AQ$1165=TYPE3)*(TYPE3&lt;&gt;"")+('Dvd Calendar'!$AQ$1165=TYPE4)*(TYPE4&lt;&gt;"")+('Dvd Calendar'!$AQ$1165=SPECIAL_LBL)*(INC_SPECIALS="Y"))=0,"",'Dvd Calendar'!$AQ$1163)))</f>
        <v/>
      </c>
      <c r="AP120" s="161">
        <f>IF(FR120="","",IF(ISNUMBER('Dvd Calendar'!$AR$1163)=FALSE,"",IF((('Dvd Calendar'!$AR$1165=TYPE1)*(TYPE1&lt;&gt;"")+('Dvd Calendar'!$AR$1165=TYPE2)*(TYPE2&lt;&gt;"")+('Dvd Calendar'!$AR$1165=TYPE3)*(TYPE3&lt;&gt;"")+('Dvd Calendar'!$AR$1165=TYPE4)*(TYPE4&lt;&gt;"")+('Dvd Calendar'!$AR$1165=SPECIAL_LBL)*(INC_SPECIALS="Y"))=0,"",'Dvd Calendar'!$AR$1163)))</f>
        <v/>
      </c>
      <c r="AQ120" s="161">
        <f>IF(FS120="","",IF(ISNUMBER('Dvd Calendar'!$E$1168)=FALSE,"",'Dvd Calendar'!$E$1168))</f>
        <v/>
      </c>
      <c r="AR120" s="161">
        <f>IF(FT120="","",IF(ISNUMBER('Dvd Calendar'!$F$1168)=FALSE,"",'Dvd Calendar'!$F$1168))</f>
        <v/>
      </c>
      <c r="AS120" s="161">
        <f>IF(FU120="","",IF(ISNUMBER('Dvd Calendar'!$G$1168)=FALSE,"",'Dvd Calendar'!$G$1168))</f>
        <v/>
      </c>
      <c r="AT120" s="161">
        <f>IF(FV120="","",IF(ISNUMBER('Dvd Calendar'!$H$1168)=FALSE,"",'Dvd Calendar'!$H$1168))</f>
        <v/>
      </c>
      <c r="AU120" s="161">
        <f>IF(FW120="","",IF(ISNUMBER('Dvd Calendar'!$I$1168)=FALSE,"",'Dvd Calendar'!$I$1168))</f>
        <v/>
      </c>
      <c r="AV120" s="161">
        <f>IF(FX120="","",IF(ISNUMBER('Dvd Calendar'!$J$1168)=FALSE,"",'Dvd Calendar'!$J$1168))</f>
        <v/>
      </c>
      <c r="AW120" s="161">
        <f>IF(FY120="","",IF(ISNUMBER('Dvd Calendar'!$K$1168)=FALSE,"",'Dvd Calendar'!$K$1168))</f>
        <v/>
      </c>
      <c r="AX120" s="161">
        <f>IF(FZ120="","",IF(ISNUMBER('Dvd Calendar'!$L$1168)=FALSE,"",'Dvd Calendar'!$L$1168))</f>
        <v/>
      </c>
      <c r="AY120" s="161">
        <f>IF(GA120="","",IF(ISNUMBER('Dvd Calendar'!$M$1168)=FALSE,"",'Dvd Calendar'!$M$1168))</f>
        <v/>
      </c>
      <c r="AZ120" s="161">
        <f>IF(GB120="","",IF(ISNUMBER('Dvd Calendar'!$N$1168)=FALSE,"",'Dvd Calendar'!$N$1168))</f>
        <v/>
      </c>
      <c r="BA120" s="161">
        <f>IF(GC120="","",IF(ISNUMBER('Dvd Calendar'!$O$1168)=FALSE,"",'Dvd Calendar'!$O$1168))</f>
        <v/>
      </c>
      <c r="BB120" s="161">
        <f>IF(GD120="","",IF(ISNUMBER('Dvd Calendar'!$P$1168)=FALSE,"",'Dvd Calendar'!$P$1168))</f>
        <v/>
      </c>
      <c r="BC120" s="161">
        <f>IF(GE120="","",IF(ISNUMBER('Dvd Calendar'!$Q$1168)=FALSE,"",'Dvd Calendar'!$Q$1168))</f>
        <v/>
      </c>
      <c r="BD120" s="161">
        <f>IF(GF120="","",IF(ISNUMBER('Dvd Calendar'!$R$1168)=FALSE,"",'Dvd Calendar'!$R$1168))</f>
        <v/>
      </c>
      <c r="BE120" s="161">
        <f>IF(GG120="","",IF(ISNUMBER('Dvd Calendar'!$S$1168)=FALSE,"",'Dvd Calendar'!$S$1168))</f>
        <v/>
      </c>
      <c r="BF120" s="161">
        <f>IF(GH120="","",IF(ISNUMBER('Dvd Calendar'!$T$1168)=FALSE,"",'Dvd Calendar'!$T$1168))</f>
        <v/>
      </c>
      <c r="BG120" s="161">
        <f>IF(GI120="","",IF(ISNUMBER('Dvd Calendar'!$U$1168)=FALSE,"",'Dvd Calendar'!$U$1168))</f>
        <v/>
      </c>
      <c r="BH120" s="161">
        <f>IF(GJ120="","",IF(ISNUMBER('Dvd Calendar'!$V$1168)=FALSE,"",'Dvd Calendar'!$V$1168))</f>
        <v/>
      </c>
      <c r="BI120" s="161">
        <f>IF(GK120="","",IF(ISNUMBER('Dvd Calendar'!$W$1168)=FALSE,"",'Dvd Calendar'!$W$1168))</f>
        <v/>
      </c>
      <c r="BJ120" s="161">
        <f>IF(GL120="","",IF(ISNUMBER('Dvd Calendar'!$X$1168)=FALSE,"",'Dvd Calendar'!$X$1168))</f>
        <v/>
      </c>
      <c r="BK120" s="161">
        <f>IF(GM120="","",IF(ISNUMBER('Dvd Calendar'!$Y$1168)=FALSE,"",'Dvd Calendar'!$Y$1168))</f>
        <v/>
      </c>
      <c r="BL120" s="161">
        <f>IF(GN120="","",IF(ISNUMBER('Dvd Calendar'!$Z$1168)=FALSE,"",'Dvd Calendar'!$Z$1168))</f>
        <v/>
      </c>
      <c r="BM120" s="161">
        <f>IF(GO120="","",IF(ISNUMBER('Dvd Calendar'!$AA$1168)=FALSE,"",'Dvd Calendar'!$AA$1168))</f>
        <v/>
      </c>
      <c r="BN120" s="161">
        <f>IF(GP120="","",IF(ISNUMBER('Dvd Calendar'!$AB$1168)=FALSE,"",'Dvd Calendar'!$AB$1168))</f>
        <v/>
      </c>
      <c r="BO120" s="161">
        <f>IF(GQ120="","",IF(ISNUMBER('Dvd Calendar'!$AC$1168)=FALSE,"",'Dvd Calendar'!$AC$1168))</f>
        <v/>
      </c>
      <c r="BQ120" s="161">
        <f>IF(C120="","",IFERROR(C120*HSTECH!$B$11*HSTECH!$G$11/HSTECH!$B$3,""))</f>
        <v/>
      </c>
      <c r="BR120" s="161">
        <f>IF(D120="","",IFERROR(D120*HSTECH!$B$11*HSTECH!$G$11/HSTECH!$B$3,""))</f>
        <v/>
      </c>
      <c r="BS120" s="161">
        <f>IF(E120="","",IFERROR(E120*HSTECH!$B$11*HSTECH!$G$11/HSTECH!$B$3,""))</f>
        <v/>
      </c>
      <c r="BT120" s="161">
        <f>IF(F120="","",IFERROR(F120*HSTECH!$B$11*HSTECH!$G$11/HSTECH!$B$3,""))</f>
        <v/>
      </c>
      <c r="BU120" s="161">
        <f>IF(G120="","",IFERROR(G120*HSTECH!$B$11*HSTECH!$G$11/HSTECH!$B$3,""))</f>
        <v/>
      </c>
      <c r="BV120" s="161">
        <f>IF(H120="","",IFERROR(H120*HSTECH!$B$11*HSTECH!$G$11/HSTECH!$B$3,""))</f>
        <v/>
      </c>
      <c r="BW120" s="161">
        <f>IF(I120="","",IFERROR(I120*HSTECH!$B$11*HSTECH!$G$11/HSTECH!$B$3,""))</f>
        <v/>
      </c>
      <c r="BX120" s="161">
        <f>IF(J120="","",IFERROR(J120*HSTECH!$B$11*HSTECH!$G$11/HSTECH!$B$3,""))</f>
        <v/>
      </c>
      <c r="BY120" s="161">
        <f>IF(K120="","",IFERROR(K120*HSTECH!$B$11*HSTECH!$G$11/HSTECH!$B$3,""))</f>
        <v/>
      </c>
      <c r="BZ120" s="161">
        <f>IF(L120="","",IFERROR(L120*HSTECH!$B$11*HSTECH!$G$11/HSTECH!$B$3,""))</f>
        <v/>
      </c>
      <c r="CA120" s="161">
        <f>IF(M120="","",IFERROR(M120*HSTECH!$B$11*HSTECH!$G$11/HSTECH!$B$3,""))</f>
        <v/>
      </c>
      <c r="CB120" s="161">
        <f>IF(N120="","",IFERROR(N120*HSTECH!$B$11*HSTECH!$G$11/HSTECH!$B$3,""))</f>
        <v/>
      </c>
      <c r="CC120" s="161">
        <f>IF(O120="","",IFERROR(O120*HSTECH!$B$11*HSTECH!$G$11/HSTECH!$B$3,""))</f>
        <v/>
      </c>
      <c r="CD120" s="161">
        <f>IF(P120="","",IFERROR(P120*HSTECH!$B$11*HSTECH!$G$11/HSTECH!$B$3,""))</f>
        <v/>
      </c>
      <c r="CE120" s="161">
        <f>IF(Q120="","",IFERROR(Q120*HSTECH!$B$11*HSTECH!$G$11/HSTECH!$B$3,""))</f>
        <v/>
      </c>
      <c r="CF120" s="161">
        <f>IF(R120="","",IFERROR(R120*HSTECH!$B$11*HSTECH!$G$11/HSTECH!$B$3,""))</f>
        <v/>
      </c>
      <c r="CG120" s="161">
        <f>IF(S120="","",IFERROR(S120*HSTECH!$B$11*HSTECH!$G$11/HSTECH!$B$3,""))</f>
        <v/>
      </c>
      <c r="CH120" s="161">
        <f>IF(T120="","",IFERROR(T120*HSTECH!$B$11*HSTECH!$G$11/HSTECH!$B$3,""))</f>
        <v/>
      </c>
      <c r="CI120" s="161">
        <f>IF(U120="","",IFERROR(U120*HSTECH!$B$11*HSTECH!$G$11/HSTECH!$B$3,""))</f>
        <v/>
      </c>
      <c r="CJ120" s="161">
        <f>IF(V120="","",IFERROR(V120*HSTECH!$B$11*HSTECH!$G$11/HSTECH!$B$3,""))</f>
        <v/>
      </c>
      <c r="CK120" s="161">
        <f>IF(W120="","",IFERROR(W120*HSTECH!$B$11*HSTECH!$G$11/HSTECH!$B$3,""))</f>
        <v/>
      </c>
      <c r="CL120" s="161">
        <f>IF(X120="","",IFERROR(X120*HSTECH!$B$11*HSTECH!$G$11/HSTECH!$B$3,""))</f>
        <v/>
      </c>
      <c r="CM120" s="161">
        <f>IF(Y120="","",IFERROR(Y120*HSTECH!$B$11*HSTECH!$G$11/HSTECH!$B$3,""))</f>
        <v/>
      </c>
      <c r="CN120" s="161">
        <f>IF(Z120="","",IFERROR(Z120*HSTECH!$B$11*HSTECH!$G$11/HSTECH!$B$3,""))</f>
        <v/>
      </c>
      <c r="CO120" s="161">
        <f>IF(AA120="","",IFERROR(AA120*HSTECH!$B$11*HSTECH!$G$11/HSTECH!$B$3,""))</f>
        <v/>
      </c>
      <c r="CP120" s="161">
        <f>IF(AB120="","",IFERROR(AB120*HSTECH!$B$11*HSTECH!$G$11/HSTECH!$B$3,""))</f>
        <v/>
      </c>
      <c r="CQ120" s="161">
        <f>IF(AC120="","",IFERROR(AC120*HSTECH!$B$11*HSTECH!$G$11/HSTECH!$B$3,""))</f>
        <v/>
      </c>
      <c r="CR120" s="161">
        <f>IF(AD120="","",IFERROR(AD120*HSTECH!$B$11*HSTECH!$G$11/HSTECH!$B$3,""))</f>
        <v/>
      </c>
      <c r="CS120" s="161">
        <f>IF(AE120="","",IFERROR(AE120*HSTECH!$B$11*HSTECH!$G$11/HSTECH!$B$3,""))</f>
        <v/>
      </c>
      <c r="CT120" s="161">
        <f>IF(AF120="","",IFERROR(AF120*HSTECH!$B$11*HSTECH!$G$11/HSTECH!$B$3,""))</f>
        <v/>
      </c>
      <c r="CU120" s="161">
        <f>IF(AG120="","",IFERROR(AG120*HSTECH!$B$11*HSTECH!$G$11/HSTECH!$B$3,""))</f>
        <v/>
      </c>
      <c r="CV120" s="161">
        <f>IF(AH120="","",IFERROR(AH120*HSTECH!$B$11*HSTECH!$G$11/HSTECH!$B$3,""))</f>
        <v/>
      </c>
      <c r="CW120" s="161">
        <f>IF(AI120="","",IFERROR(AI120*HSTECH!$B$11*HSTECH!$G$11/HSTECH!$B$3,""))</f>
        <v/>
      </c>
      <c r="CX120" s="161">
        <f>IF(AJ120="","",IFERROR(AJ120*HSTECH!$B$11*HSTECH!$G$11/HSTECH!$B$3,""))</f>
        <v/>
      </c>
      <c r="CY120" s="161">
        <f>IF(AK120="","",IFERROR(AK120*HSTECH!$B$11*HSTECH!$G$11/HSTECH!$B$3,""))</f>
        <v/>
      </c>
      <c r="CZ120" s="161">
        <f>IF(AL120="","",IFERROR(AL120*HSTECH!$B$11*HSTECH!$G$11/HSTECH!$B$3,""))</f>
        <v/>
      </c>
      <c r="DA120" s="161">
        <f>IF(AM120="","",IFERROR(AM120*HSTECH!$B$11*HSTECH!$G$11/HSTECH!$B$3,""))</f>
        <v/>
      </c>
      <c r="DB120" s="161">
        <f>IF(AN120="","",IFERROR(AN120*HSTECH!$B$11*HSTECH!$G$11/HSTECH!$B$3,""))</f>
        <v/>
      </c>
      <c r="DC120" s="161">
        <f>IF(AO120="","",IFERROR(AO120*HSTECH!$B$11*HSTECH!$G$11/HSTECH!$B$3,""))</f>
        <v/>
      </c>
      <c r="DD120" s="161">
        <f>IF(AP120="","",IFERROR(AP120*HSTECH!$B$11*HSTECH!$G$11/HSTECH!$B$3,""))</f>
        <v/>
      </c>
      <c r="DE120" s="161">
        <f>IF(AQ120="","",IFERROR(AQ120*HSTECH!$B$11*HSTECH!$G$11/HSTECH!$B$3,""))</f>
        <v/>
      </c>
      <c r="DF120" s="161">
        <f>IF(AR120="","",IFERROR(AR120*HSTECH!$B$11*HSTECH!$G$11/HSTECH!$B$3,""))</f>
        <v/>
      </c>
      <c r="DG120" s="161">
        <f>IF(AS120="","",IFERROR(AS120*HSTECH!$B$11*HSTECH!$G$11/HSTECH!$B$3,""))</f>
        <v/>
      </c>
      <c r="DH120" s="161">
        <f>IF(AT120="","",IFERROR(AT120*HSTECH!$B$11*HSTECH!$G$11/HSTECH!$B$3,""))</f>
        <v/>
      </c>
      <c r="DI120" s="161">
        <f>IF(AU120="","",IFERROR(AU120*HSTECH!$B$11*HSTECH!$G$11/HSTECH!$B$3,""))</f>
        <v/>
      </c>
      <c r="DJ120" s="161">
        <f>IF(AV120="","",IFERROR(AV120*HSTECH!$B$11*HSTECH!$G$11/HSTECH!$B$3,""))</f>
        <v/>
      </c>
      <c r="DK120" s="161">
        <f>IF(AW120="","",IFERROR(AW120*HSTECH!$B$11*HSTECH!$G$11/HSTECH!$B$3,""))</f>
        <v/>
      </c>
      <c r="DL120" s="161">
        <f>IF(AX120="","",IFERROR(AX120*HSTECH!$B$11*HSTECH!$G$11/HSTECH!$B$3,""))</f>
        <v/>
      </c>
      <c r="DM120" s="161">
        <f>IF(AY120="","",IFERROR(AY120*HSTECH!$B$11*HSTECH!$G$11/HSTECH!$B$3,""))</f>
        <v/>
      </c>
      <c r="DN120" s="161">
        <f>IF(AZ120="","",IFERROR(AZ120*HSTECH!$B$11*HSTECH!$G$11/HSTECH!$B$3,""))</f>
        <v/>
      </c>
      <c r="DO120" s="161">
        <f>IF(BA120="","",IFERROR(BA120*HSTECH!$B$11*HSTECH!$G$11/HSTECH!$B$3,""))</f>
        <v/>
      </c>
      <c r="DP120" s="161">
        <f>IF(BB120="","",IFERROR(BB120*HSTECH!$B$11*HSTECH!$G$11/HSTECH!$B$3,""))</f>
        <v/>
      </c>
      <c r="DQ120" s="161">
        <f>IF(BC120="","",IFERROR(BC120*HSTECH!$B$11*HSTECH!$G$11/HSTECH!$B$3,""))</f>
        <v/>
      </c>
      <c r="DR120" s="161">
        <f>IF(BD120="","",IFERROR(BD120*HSTECH!$B$11*HSTECH!$G$11/HSTECH!$B$3,""))</f>
        <v/>
      </c>
      <c r="DS120" s="161">
        <f>IF(BE120="","",IFERROR(BE120*HSTECH!$B$11*HSTECH!$G$11/HSTECH!$B$3,""))</f>
        <v/>
      </c>
      <c r="DT120" s="161">
        <f>IF(BF120="","",IFERROR(BF120*HSTECH!$B$11*HSTECH!$G$11/HSTECH!$B$3,""))</f>
        <v/>
      </c>
      <c r="DU120" s="161">
        <f>IF(BG120="","",IFERROR(BG120*HSTECH!$B$11*HSTECH!$G$11/HSTECH!$B$3,""))</f>
        <v/>
      </c>
      <c r="DV120" s="161">
        <f>IF(BH120="","",IFERROR(BH120*HSTECH!$B$11*HSTECH!$G$11/HSTECH!$B$3,""))</f>
        <v/>
      </c>
      <c r="DW120" s="161">
        <f>IF(BI120="","",IFERROR(BI120*HSTECH!$B$11*HSTECH!$G$11/HSTECH!$B$3,""))</f>
        <v/>
      </c>
      <c r="DX120" s="161">
        <f>IF(BJ120="","",IFERROR(BJ120*HSTECH!$B$11*HSTECH!$G$11/HSTECH!$B$3,""))</f>
        <v/>
      </c>
      <c r="DY120" s="161">
        <f>IF(BK120="","",IFERROR(BK120*HSTECH!$B$11*HSTECH!$G$11/HSTECH!$B$3,""))</f>
        <v/>
      </c>
      <c r="DZ120" s="161">
        <f>IF(BL120="","",IFERROR(BL120*HSTECH!$B$11*HSTECH!$G$11/HSTECH!$B$3,""))</f>
        <v/>
      </c>
      <c r="EA120" s="161">
        <f>IF(BM120="","",IFERROR(BM120*HSTECH!$B$11*HSTECH!$G$11/HSTECH!$B$3,""))</f>
        <v/>
      </c>
      <c r="EB120" s="161">
        <f>IF(BN120="","",IFERROR(BN120*HSTECH!$B$11*HSTECH!$G$11/HSTECH!$B$3,""))</f>
        <v/>
      </c>
      <c r="EC120" s="161">
        <f>IF(BO120="","",IFERROR(BO120*HSTECH!$B$11*HSTECH!$G$11/HSTECH!$B$3,""))</f>
        <v/>
      </c>
      <c r="EE120" s="121">
        <f>IF(N('Dvd Calendar'!$E$1160)=0,"",IF(('Dvd Calendar'!$E$1160&gt;=GRID_FROM)*('Dvd Calendar'!$E$1160&lt;=GRID_TO)*((('Dvd Calendar'!$E$1160&lt;=VAL_DATE)+(COUNTIF('Dvd Calendar'!$E$1167:$AR$1167,'Dvd Calendar'!$E$1160)=0))&gt;0)=0,"",'Dvd Calendar'!$E$1160*1000000000+ISNUMBER('Dvd Calendar'!$E$1163)*100000000+('Dvd Calendar'!$E$1165=SPECIAL_LBL)*10000000+(N('Dvd Calendar'!$E$1159)&gt;0)*(N('Dvd Calendar'!$E$1159)&lt;=VAL_SERIAL)*1000000+5*1000+1))</f>
        <v/>
      </c>
      <c r="EF120" s="121">
        <f>IF(N('Dvd Calendar'!$F$1160)=0,"",IF(('Dvd Calendar'!$F$1160&gt;=GRID_FROM)*('Dvd Calendar'!$F$1160&lt;=GRID_TO)*((('Dvd Calendar'!$F$1160&lt;=VAL_DATE)+(COUNTIF('Dvd Calendar'!$E$1167:$AR$1167,'Dvd Calendar'!$F$1160)=0))&gt;0)=0,"",'Dvd Calendar'!$F$1160*1000000000+ISNUMBER('Dvd Calendar'!$F$1163)*100000000+('Dvd Calendar'!$F$1165=SPECIAL_LBL)*10000000+(N('Dvd Calendar'!$F$1159)&gt;0)*(N('Dvd Calendar'!$F$1159)&lt;=VAL_SERIAL)*1000000+5*1000+2))</f>
        <v/>
      </c>
      <c r="EG120" s="121">
        <f>IF(N('Dvd Calendar'!$G$1160)=0,"",IF(('Dvd Calendar'!$G$1160&gt;=GRID_FROM)*('Dvd Calendar'!$G$1160&lt;=GRID_TO)*((('Dvd Calendar'!$G$1160&lt;=VAL_DATE)+(COUNTIF('Dvd Calendar'!$E$1167:$AR$1167,'Dvd Calendar'!$G$1160)=0))&gt;0)=0,"",'Dvd Calendar'!$G$1160*1000000000+ISNUMBER('Dvd Calendar'!$G$1163)*100000000+('Dvd Calendar'!$G$1165=SPECIAL_LBL)*10000000+(N('Dvd Calendar'!$G$1159)&gt;0)*(N('Dvd Calendar'!$G$1159)&lt;=VAL_SERIAL)*1000000+5*1000+3))</f>
        <v/>
      </c>
      <c r="EH120" s="121">
        <f>IF(N('Dvd Calendar'!$H$1160)=0,"",IF(('Dvd Calendar'!$H$1160&gt;=GRID_FROM)*('Dvd Calendar'!$H$1160&lt;=GRID_TO)*((('Dvd Calendar'!$H$1160&lt;=VAL_DATE)+(COUNTIF('Dvd Calendar'!$E$1167:$AR$1167,'Dvd Calendar'!$H$1160)=0))&gt;0)=0,"",'Dvd Calendar'!$H$1160*1000000000+ISNUMBER('Dvd Calendar'!$H$1163)*100000000+('Dvd Calendar'!$H$1165=SPECIAL_LBL)*10000000+(N('Dvd Calendar'!$H$1159)&gt;0)*(N('Dvd Calendar'!$H$1159)&lt;=VAL_SERIAL)*1000000+5*1000+4))</f>
        <v/>
      </c>
      <c r="EI120" s="121">
        <f>IF(N('Dvd Calendar'!$I$1160)=0,"",IF(('Dvd Calendar'!$I$1160&gt;=GRID_FROM)*('Dvd Calendar'!$I$1160&lt;=GRID_TO)*((('Dvd Calendar'!$I$1160&lt;=VAL_DATE)+(COUNTIF('Dvd Calendar'!$E$1167:$AR$1167,'Dvd Calendar'!$I$1160)=0))&gt;0)=0,"",'Dvd Calendar'!$I$1160*1000000000+ISNUMBER('Dvd Calendar'!$I$1163)*100000000+('Dvd Calendar'!$I$1165=SPECIAL_LBL)*10000000+(N('Dvd Calendar'!$I$1159)&gt;0)*(N('Dvd Calendar'!$I$1159)&lt;=VAL_SERIAL)*1000000+5*1000+5))</f>
        <v/>
      </c>
      <c r="EJ120" s="121">
        <f>IF(N('Dvd Calendar'!$J$1160)=0,"",IF(('Dvd Calendar'!$J$1160&gt;=GRID_FROM)*('Dvd Calendar'!$J$1160&lt;=GRID_TO)*((('Dvd Calendar'!$J$1160&lt;=VAL_DATE)+(COUNTIF('Dvd Calendar'!$E$1167:$AR$1167,'Dvd Calendar'!$J$1160)=0))&gt;0)=0,"",'Dvd Calendar'!$J$1160*1000000000+ISNUMBER('Dvd Calendar'!$J$1163)*100000000+('Dvd Calendar'!$J$1165=SPECIAL_LBL)*10000000+(N('Dvd Calendar'!$J$1159)&gt;0)*(N('Dvd Calendar'!$J$1159)&lt;=VAL_SERIAL)*1000000+5*1000+6))</f>
        <v/>
      </c>
      <c r="EK120" s="121">
        <f>IF(N('Dvd Calendar'!$K$1160)=0,"",IF(('Dvd Calendar'!$K$1160&gt;=GRID_FROM)*('Dvd Calendar'!$K$1160&lt;=GRID_TO)*((('Dvd Calendar'!$K$1160&lt;=VAL_DATE)+(COUNTIF('Dvd Calendar'!$E$1167:$AR$1167,'Dvd Calendar'!$K$1160)=0))&gt;0)=0,"",'Dvd Calendar'!$K$1160*1000000000+ISNUMBER('Dvd Calendar'!$K$1163)*100000000+('Dvd Calendar'!$K$1165=SPECIAL_LBL)*10000000+(N('Dvd Calendar'!$K$1159)&gt;0)*(N('Dvd Calendar'!$K$1159)&lt;=VAL_SERIAL)*1000000+5*1000+7))</f>
        <v/>
      </c>
      <c r="EL120" s="121">
        <f>IF(N('Dvd Calendar'!$L$1160)=0,"",IF(('Dvd Calendar'!$L$1160&gt;=GRID_FROM)*('Dvd Calendar'!$L$1160&lt;=GRID_TO)*((('Dvd Calendar'!$L$1160&lt;=VAL_DATE)+(COUNTIF('Dvd Calendar'!$E$1167:$AR$1167,'Dvd Calendar'!$L$1160)=0))&gt;0)=0,"",'Dvd Calendar'!$L$1160*1000000000+ISNUMBER('Dvd Calendar'!$L$1163)*100000000+('Dvd Calendar'!$L$1165=SPECIAL_LBL)*10000000+(N('Dvd Calendar'!$L$1159)&gt;0)*(N('Dvd Calendar'!$L$1159)&lt;=VAL_SERIAL)*1000000+5*1000+8))</f>
        <v/>
      </c>
      <c r="EM120" s="121">
        <f>IF(N('Dvd Calendar'!$M$1160)=0,"",IF(('Dvd Calendar'!$M$1160&gt;=GRID_FROM)*('Dvd Calendar'!$M$1160&lt;=GRID_TO)*((('Dvd Calendar'!$M$1160&lt;=VAL_DATE)+(COUNTIF('Dvd Calendar'!$E$1167:$AR$1167,'Dvd Calendar'!$M$1160)=0))&gt;0)=0,"",'Dvd Calendar'!$M$1160*1000000000+ISNUMBER('Dvd Calendar'!$M$1163)*100000000+('Dvd Calendar'!$M$1165=SPECIAL_LBL)*10000000+(N('Dvd Calendar'!$M$1159)&gt;0)*(N('Dvd Calendar'!$M$1159)&lt;=VAL_SERIAL)*1000000+5*1000+9))</f>
        <v/>
      </c>
      <c r="EN120" s="121">
        <f>IF(N('Dvd Calendar'!$N$1160)=0,"",IF(('Dvd Calendar'!$N$1160&gt;=GRID_FROM)*('Dvd Calendar'!$N$1160&lt;=GRID_TO)*((('Dvd Calendar'!$N$1160&lt;=VAL_DATE)+(COUNTIF('Dvd Calendar'!$E$1167:$AR$1167,'Dvd Calendar'!$N$1160)=0))&gt;0)=0,"",'Dvd Calendar'!$N$1160*1000000000+ISNUMBER('Dvd Calendar'!$N$1163)*100000000+('Dvd Calendar'!$N$1165=SPECIAL_LBL)*10000000+(N('Dvd Calendar'!$N$1159)&gt;0)*(N('Dvd Calendar'!$N$1159)&lt;=VAL_SERIAL)*1000000+5*1000+10))</f>
        <v/>
      </c>
      <c r="EO120" s="121">
        <f>IF(N('Dvd Calendar'!$O$1160)=0,"",IF(('Dvd Calendar'!$O$1160&gt;=GRID_FROM)*('Dvd Calendar'!$O$1160&lt;=GRID_TO)*((('Dvd Calendar'!$O$1160&lt;=VAL_DATE)+(COUNTIF('Dvd Calendar'!$E$1167:$AR$1167,'Dvd Calendar'!$O$1160)=0))&gt;0)=0,"",'Dvd Calendar'!$O$1160*1000000000+ISNUMBER('Dvd Calendar'!$O$1163)*100000000+('Dvd Calendar'!$O$1165=SPECIAL_LBL)*10000000+(N('Dvd Calendar'!$O$1159)&gt;0)*(N('Dvd Calendar'!$O$1159)&lt;=VAL_SERIAL)*1000000+5*1000+11))</f>
        <v/>
      </c>
      <c r="EP120" s="121">
        <f>IF(N('Dvd Calendar'!$P$1160)=0,"",IF(('Dvd Calendar'!$P$1160&gt;=GRID_FROM)*('Dvd Calendar'!$P$1160&lt;=GRID_TO)*((('Dvd Calendar'!$P$1160&lt;=VAL_DATE)+(COUNTIF('Dvd Calendar'!$E$1167:$AR$1167,'Dvd Calendar'!$P$1160)=0))&gt;0)=0,"",'Dvd Calendar'!$P$1160*1000000000+ISNUMBER('Dvd Calendar'!$P$1163)*100000000+('Dvd Calendar'!$P$1165=SPECIAL_LBL)*10000000+(N('Dvd Calendar'!$P$1159)&gt;0)*(N('Dvd Calendar'!$P$1159)&lt;=VAL_SERIAL)*1000000+5*1000+12))</f>
        <v/>
      </c>
      <c r="EQ120" s="121">
        <f>IF(N('Dvd Calendar'!$Q$1160)=0,"",IF(('Dvd Calendar'!$Q$1160&gt;=GRID_FROM)*('Dvd Calendar'!$Q$1160&lt;=GRID_TO)*((('Dvd Calendar'!$Q$1160&lt;=VAL_DATE)+(COUNTIF('Dvd Calendar'!$E$1167:$AR$1167,'Dvd Calendar'!$Q$1160)=0))&gt;0)=0,"",'Dvd Calendar'!$Q$1160*1000000000+ISNUMBER('Dvd Calendar'!$Q$1163)*100000000+('Dvd Calendar'!$Q$1165=SPECIAL_LBL)*10000000+(N('Dvd Calendar'!$Q$1159)&gt;0)*(N('Dvd Calendar'!$Q$1159)&lt;=VAL_SERIAL)*1000000+5*1000+13))</f>
        <v/>
      </c>
      <c r="ER120" s="121">
        <f>IF(N('Dvd Calendar'!$R$1160)=0,"",IF(('Dvd Calendar'!$R$1160&gt;=GRID_FROM)*('Dvd Calendar'!$R$1160&lt;=GRID_TO)*((('Dvd Calendar'!$R$1160&lt;=VAL_DATE)+(COUNTIF('Dvd Calendar'!$E$1167:$AR$1167,'Dvd Calendar'!$R$1160)=0))&gt;0)=0,"",'Dvd Calendar'!$R$1160*1000000000+ISNUMBER('Dvd Calendar'!$R$1163)*100000000+('Dvd Calendar'!$R$1165=SPECIAL_LBL)*10000000+(N('Dvd Calendar'!$R$1159)&gt;0)*(N('Dvd Calendar'!$R$1159)&lt;=VAL_SERIAL)*1000000+5*1000+14))</f>
        <v/>
      </c>
      <c r="ES120" s="121">
        <f>IF(N('Dvd Calendar'!$S$1160)=0,"",IF(('Dvd Calendar'!$S$1160&gt;=GRID_FROM)*('Dvd Calendar'!$S$1160&lt;=GRID_TO)*((('Dvd Calendar'!$S$1160&lt;=VAL_DATE)+(COUNTIF('Dvd Calendar'!$E$1167:$AR$1167,'Dvd Calendar'!$S$1160)=0))&gt;0)=0,"",'Dvd Calendar'!$S$1160*1000000000+ISNUMBER('Dvd Calendar'!$S$1163)*100000000+('Dvd Calendar'!$S$1165=SPECIAL_LBL)*10000000+(N('Dvd Calendar'!$S$1159)&gt;0)*(N('Dvd Calendar'!$S$1159)&lt;=VAL_SERIAL)*1000000+5*1000+15))</f>
        <v/>
      </c>
      <c r="ET120" s="121">
        <f>IF(N('Dvd Calendar'!$T$1160)=0,"",IF(('Dvd Calendar'!$T$1160&gt;=GRID_FROM)*('Dvd Calendar'!$T$1160&lt;=GRID_TO)*((('Dvd Calendar'!$T$1160&lt;=VAL_DATE)+(COUNTIF('Dvd Calendar'!$E$1167:$AR$1167,'Dvd Calendar'!$T$1160)=0))&gt;0)=0,"",'Dvd Calendar'!$T$1160*1000000000+ISNUMBER('Dvd Calendar'!$T$1163)*100000000+('Dvd Calendar'!$T$1165=SPECIAL_LBL)*10000000+(N('Dvd Calendar'!$T$1159)&gt;0)*(N('Dvd Calendar'!$T$1159)&lt;=VAL_SERIAL)*1000000+5*1000+16))</f>
        <v/>
      </c>
      <c r="EU120" s="121">
        <f>IF(N('Dvd Calendar'!$U$1160)=0,"",IF(('Dvd Calendar'!$U$1160&gt;=GRID_FROM)*('Dvd Calendar'!$U$1160&lt;=GRID_TO)*((('Dvd Calendar'!$U$1160&lt;=VAL_DATE)+(COUNTIF('Dvd Calendar'!$E$1167:$AR$1167,'Dvd Calendar'!$U$1160)=0))&gt;0)=0,"",'Dvd Calendar'!$U$1160*1000000000+ISNUMBER('Dvd Calendar'!$U$1163)*100000000+('Dvd Calendar'!$U$1165=SPECIAL_LBL)*10000000+(N('Dvd Calendar'!$U$1159)&gt;0)*(N('Dvd Calendar'!$U$1159)&lt;=VAL_SERIAL)*1000000+5*1000+17))</f>
        <v/>
      </c>
      <c r="EV120" s="121">
        <f>IF(N('Dvd Calendar'!$V$1160)=0,"",IF(('Dvd Calendar'!$V$1160&gt;=GRID_FROM)*('Dvd Calendar'!$V$1160&lt;=GRID_TO)*((('Dvd Calendar'!$V$1160&lt;=VAL_DATE)+(COUNTIF('Dvd Calendar'!$E$1167:$AR$1167,'Dvd Calendar'!$V$1160)=0))&gt;0)=0,"",'Dvd Calendar'!$V$1160*1000000000+ISNUMBER('Dvd Calendar'!$V$1163)*100000000+('Dvd Calendar'!$V$1165=SPECIAL_LBL)*10000000+(N('Dvd Calendar'!$V$1159)&gt;0)*(N('Dvd Calendar'!$V$1159)&lt;=VAL_SERIAL)*1000000+5*1000+18))</f>
        <v/>
      </c>
      <c r="EW120" s="121">
        <f>IF(N('Dvd Calendar'!$W$1160)=0,"",IF(('Dvd Calendar'!$W$1160&gt;=GRID_FROM)*('Dvd Calendar'!$W$1160&lt;=GRID_TO)*((('Dvd Calendar'!$W$1160&lt;=VAL_DATE)+(COUNTIF('Dvd Calendar'!$E$1167:$AR$1167,'Dvd Calendar'!$W$1160)=0))&gt;0)=0,"",'Dvd Calendar'!$W$1160*1000000000+ISNUMBER('Dvd Calendar'!$W$1163)*100000000+('Dvd Calendar'!$W$1165=SPECIAL_LBL)*10000000+(N('Dvd Calendar'!$W$1159)&gt;0)*(N('Dvd Calendar'!$W$1159)&lt;=VAL_SERIAL)*1000000+5*1000+19))</f>
        <v/>
      </c>
      <c r="EX120" s="121">
        <f>IF(N('Dvd Calendar'!$X$1160)=0,"",IF(('Dvd Calendar'!$X$1160&gt;=GRID_FROM)*('Dvd Calendar'!$X$1160&lt;=GRID_TO)*((('Dvd Calendar'!$X$1160&lt;=VAL_DATE)+(COUNTIF('Dvd Calendar'!$E$1167:$AR$1167,'Dvd Calendar'!$X$1160)=0))&gt;0)=0,"",'Dvd Calendar'!$X$1160*1000000000+ISNUMBER('Dvd Calendar'!$X$1163)*100000000+('Dvd Calendar'!$X$1165=SPECIAL_LBL)*10000000+(N('Dvd Calendar'!$X$1159)&gt;0)*(N('Dvd Calendar'!$X$1159)&lt;=VAL_SERIAL)*1000000+5*1000+20))</f>
        <v/>
      </c>
      <c r="EY120" s="121">
        <f>IF(N('Dvd Calendar'!$Y$1160)=0,"",IF(('Dvd Calendar'!$Y$1160&gt;=GRID_FROM)*('Dvd Calendar'!$Y$1160&lt;=GRID_TO)*((('Dvd Calendar'!$Y$1160&lt;=VAL_DATE)+(COUNTIF('Dvd Calendar'!$E$1167:$AR$1167,'Dvd Calendar'!$Y$1160)=0))&gt;0)=0,"",'Dvd Calendar'!$Y$1160*1000000000+ISNUMBER('Dvd Calendar'!$Y$1163)*100000000+('Dvd Calendar'!$Y$1165=SPECIAL_LBL)*10000000+(N('Dvd Calendar'!$Y$1159)&gt;0)*(N('Dvd Calendar'!$Y$1159)&lt;=VAL_SERIAL)*1000000+5*1000+21))</f>
        <v/>
      </c>
      <c r="EZ120" s="121">
        <f>IF(N('Dvd Calendar'!$Z$1160)=0,"",IF(('Dvd Calendar'!$Z$1160&gt;=GRID_FROM)*('Dvd Calendar'!$Z$1160&lt;=GRID_TO)*((('Dvd Calendar'!$Z$1160&lt;=VAL_DATE)+(COUNTIF('Dvd Calendar'!$E$1167:$AR$1167,'Dvd Calendar'!$Z$1160)=0))&gt;0)=0,"",'Dvd Calendar'!$Z$1160*1000000000+ISNUMBER('Dvd Calendar'!$Z$1163)*100000000+('Dvd Calendar'!$Z$1165=SPECIAL_LBL)*10000000+(N('Dvd Calendar'!$Z$1159)&gt;0)*(N('Dvd Calendar'!$Z$1159)&lt;=VAL_SERIAL)*1000000+5*1000+22))</f>
        <v/>
      </c>
      <c r="FA120" s="121">
        <f>IF(N('Dvd Calendar'!$AA$1160)=0,"",IF(('Dvd Calendar'!$AA$1160&gt;=GRID_FROM)*('Dvd Calendar'!$AA$1160&lt;=GRID_TO)*((('Dvd Calendar'!$AA$1160&lt;=VAL_DATE)+(COUNTIF('Dvd Calendar'!$E$1167:$AR$1167,'Dvd Calendar'!$AA$1160)=0))&gt;0)=0,"",'Dvd Calendar'!$AA$1160*1000000000+ISNUMBER('Dvd Calendar'!$AA$1163)*100000000+('Dvd Calendar'!$AA$1165=SPECIAL_LBL)*10000000+(N('Dvd Calendar'!$AA$1159)&gt;0)*(N('Dvd Calendar'!$AA$1159)&lt;=VAL_SERIAL)*1000000+5*1000+23))</f>
        <v/>
      </c>
      <c r="FB120" s="121">
        <f>IF(N('Dvd Calendar'!$AB$1160)=0,"",IF(('Dvd Calendar'!$AB$1160&gt;=GRID_FROM)*('Dvd Calendar'!$AB$1160&lt;=GRID_TO)*((('Dvd Calendar'!$AB$1160&lt;=VAL_DATE)+(COUNTIF('Dvd Calendar'!$E$1167:$AR$1167,'Dvd Calendar'!$AB$1160)=0))&gt;0)=0,"",'Dvd Calendar'!$AB$1160*1000000000+ISNUMBER('Dvd Calendar'!$AB$1163)*100000000+('Dvd Calendar'!$AB$1165=SPECIAL_LBL)*10000000+(N('Dvd Calendar'!$AB$1159)&gt;0)*(N('Dvd Calendar'!$AB$1159)&lt;=VAL_SERIAL)*1000000+5*1000+24))</f>
        <v/>
      </c>
      <c r="FC120" s="121">
        <f>IF(N('Dvd Calendar'!$AC$1160)=0,"",IF(('Dvd Calendar'!$AC$1160&gt;=GRID_FROM)*('Dvd Calendar'!$AC$1160&lt;=GRID_TO)*((('Dvd Calendar'!$AC$1160&lt;=VAL_DATE)+(COUNTIF('Dvd Calendar'!$E$1167:$AR$1167,'Dvd Calendar'!$AC$1160)=0))&gt;0)=0,"",'Dvd Calendar'!$AC$1160*1000000000+ISNUMBER('Dvd Calendar'!$AC$1163)*100000000+('Dvd Calendar'!$AC$1165=SPECIAL_LBL)*10000000+(N('Dvd Calendar'!$AC$1159)&gt;0)*(N('Dvd Calendar'!$AC$1159)&lt;=VAL_SERIAL)*1000000+5*1000+25))</f>
        <v/>
      </c>
      <c r="FD120" s="121">
        <f>IF(N('Dvd Calendar'!$AD$1160)=0,"",IF(('Dvd Calendar'!$AD$1160&gt;=GRID_FROM)*('Dvd Calendar'!$AD$1160&lt;=GRID_TO)*((('Dvd Calendar'!$AD$1160&lt;=VAL_DATE)+(COUNTIF('Dvd Calendar'!$E$1167:$AR$1167,'Dvd Calendar'!$AD$1160)=0))&gt;0)=0,"",'Dvd Calendar'!$AD$1160*1000000000+ISNUMBER('Dvd Calendar'!$AD$1163)*100000000+('Dvd Calendar'!$AD$1165=SPECIAL_LBL)*10000000+(N('Dvd Calendar'!$AD$1159)&gt;0)*(N('Dvd Calendar'!$AD$1159)&lt;=VAL_SERIAL)*1000000+5*1000+26))</f>
        <v/>
      </c>
      <c r="FE120" s="121">
        <f>IF(N('Dvd Calendar'!$AE$1160)=0,"",IF(('Dvd Calendar'!$AE$1160&gt;=GRID_FROM)*('Dvd Calendar'!$AE$1160&lt;=GRID_TO)*((('Dvd Calendar'!$AE$1160&lt;=VAL_DATE)+(COUNTIF('Dvd Calendar'!$E$1167:$AR$1167,'Dvd Calendar'!$AE$1160)=0))&gt;0)=0,"",'Dvd Calendar'!$AE$1160*1000000000+ISNUMBER('Dvd Calendar'!$AE$1163)*100000000+('Dvd Calendar'!$AE$1165=SPECIAL_LBL)*10000000+(N('Dvd Calendar'!$AE$1159)&gt;0)*(N('Dvd Calendar'!$AE$1159)&lt;=VAL_SERIAL)*1000000+5*1000+27))</f>
        <v/>
      </c>
      <c r="FF120" s="121">
        <f>IF(N('Dvd Calendar'!$AF$1160)=0,"",IF(('Dvd Calendar'!$AF$1160&gt;=GRID_FROM)*('Dvd Calendar'!$AF$1160&lt;=GRID_TO)*((('Dvd Calendar'!$AF$1160&lt;=VAL_DATE)+(COUNTIF('Dvd Calendar'!$E$1167:$AR$1167,'Dvd Calendar'!$AF$1160)=0))&gt;0)=0,"",'Dvd Calendar'!$AF$1160*1000000000+ISNUMBER('Dvd Calendar'!$AF$1163)*100000000+('Dvd Calendar'!$AF$1165=SPECIAL_LBL)*10000000+(N('Dvd Calendar'!$AF$1159)&gt;0)*(N('Dvd Calendar'!$AF$1159)&lt;=VAL_SERIAL)*1000000+5*1000+28))</f>
        <v/>
      </c>
      <c r="FG120" s="121">
        <f>IF(N('Dvd Calendar'!$AG$1160)=0,"",IF(('Dvd Calendar'!$AG$1160&gt;=GRID_FROM)*('Dvd Calendar'!$AG$1160&lt;=GRID_TO)*((('Dvd Calendar'!$AG$1160&lt;=VAL_DATE)+(COUNTIF('Dvd Calendar'!$E$1167:$AR$1167,'Dvd Calendar'!$AG$1160)=0))&gt;0)=0,"",'Dvd Calendar'!$AG$1160*1000000000+ISNUMBER('Dvd Calendar'!$AG$1163)*100000000+('Dvd Calendar'!$AG$1165=SPECIAL_LBL)*10000000+(N('Dvd Calendar'!$AG$1159)&gt;0)*(N('Dvd Calendar'!$AG$1159)&lt;=VAL_SERIAL)*1000000+5*1000+29))</f>
        <v/>
      </c>
      <c r="FH120" s="121">
        <f>IF(N('Dvd Calendar'!$AH$1160)=0,"",IF(('Dvd Calendar'!$AH$1160&gt;=GRID_FROM)*('Dvd Calendar'!$AH$1160&lt;=GRID_TO)*((('Dvd Calendar'!$AH$1160&lt;=VAL_DATE)+(COUNTIF('Dvd Calendar'!$E$1167:$AR$1167,'Dvd Calendar'!$AH$1160)=0))&gt;0)=0,"",'Dvd Calendar'!$AH$1160*1000000000+ISNUMBER('Dvd Calendar'!$AH$1163)*100000000+('Dvd Calendar'!$AH$1165=SPECIAL_LBL)*10000000+(N('Dvd Calendar'!$AH$1159)&gt;0)*(N('Dvd Calendar'!$AH$1159)&lt;=VAL_SERIAL)*1000000+5*1000+30))</f>
        <v/>
      </c>
      <c r="FI120" s="121">
        <f>IF(N('Dvd Calendar'!$AI$1160)=0,"",IF(('Dvd Calendar'!$AI$1160&gt;=GRID_FROM)*('Dvd Calendar'!$AI$1160&lt;=GRID_TO)*((('Dvd Calendar'!$AI$1160&lt;=VAL_DATE)+(COUNTIF('Dvd Calendar'!$E$1167:$AR$1167,'Dvd Calendar'!$AI$1160)=0))&gt;0)=0,"",'Dvd Calendar'!$AI$1160*1000000000+ISNUMBER('Dvd Calendar'!$AI$1163)*100000000+('Dvd Calendar'!$AI$1165=SPECIAL_LBL)*10000000+(N('Dvd Calendar'!$AI$1159)&gt;0)*(N('Dvd Calendar'!$AI$1159)&lt;=VAL_SERIAL)*1000000+5*1000+31))</f>
        <v/>
      </c>
      <c r="FJ120" s="121">
        <f>IF(N('Dvd Calendar'!$AJ$1160)=0,"",IF(('Dvd Calendar'!$AJ$1160&gt;=GRID_FROM)*('Dvd Calendar'!$AJ$1160&lt;=GRID_TO)*((('Dvd Calendar'!$AJ$1160&lt;=VAL_DATE)+(COUNTIF('Dvd Calendar'!$E$1167:$AR$1167,'Dvd Calendar'!$AJ$1160)=0))&gt;0)=0,"",'Dvd Calendar'!$AJ$1160*1000000000+ISNUMBER('Dvd Calendar'!$AJ$1163)*100000000+('Dvd Calendar'!$AJ$1165=SPECIAL_LBL)*10000000+(N('Dvd Calendar'!$AJ$1159)&gt;0)*(N('Dvd Calendar'!$AJ$1159)&lt;=VAL_SERIAL)*1000000+5*1000+32))</f>
        <v/>
      </c>
      <c r="FK120" s="121">
        <f>IF(N('Dvd Calendar'!$AK$1160)=0,"",IF(('Dvd Calendar'!$AK$1160&gt;=GRID_FROM)*('Dvd Calendar'!$AK$1160&lt;=GRID_TO)*((('Dvd Calendar'!$AK$1160&lt;=VAL_DATE)+(COUNTIF('Dvd Calendar'!$E$1167:$AR$1167,'Dvd Calendar'!$AK$1160)=0))&gt;0)=0,"",'Dvd Calendar'!$AK$1160*1000000000+ISNUMBER('Dvd Calendar'!$AK$1163)*100000000+('Dvd Calendar'!$AK$1165=SPECIAL_LBL)*10000000+(N('Dvd Calendar'!$AK$1159)&gt;0)*(N('Dvd Calendar'!$AK$1159)&lt;=VAL_SERIAL)*1000000+5*1000+33))</f>
        <v/>
      </c>
      <c r="FL120" s="121">
        <f>IF(N('Dvd Calendar'!$AL$1160)=0,"",IF(('Dvd Calendar'!$AL$1160&gt;=GRID_FROM)*('Dvd Calendar'!$AL$1160&lt;=GRID_TO)*((('Dvd Calendar'!$AL$1160&lt;=VAL_DATE)+(COUNTIF('Dvd Calendar'!$E$1167:$AR$1167,'Dvd Calendar'!$AL$1160)=0))&gt;0)=0,"",'Dvd Calendar'!$AL$1160*1000000000+ISNUMBER('Dvd Calendar'!$AL$1163)*100000000+('Dvd Calendar'!$AL$1165=SPECIAL_LBL)*10000000+(N('Dvd Calendar'!$AL$1159)&gt;0)*(N('Dvd Calendar'!$AL$1159)&lt;=VAL_SERIAL)*1000000+5*1000+34))</f>
        <v/>
      </c>
      <c r="FM120" s="121">
        <f>IF(N('Dvd Calendar'!$AM$1160)=0,"",IF(('Dvd Calendar'!$AM$1160&gt;=GRID_FROM)*('Dvd Calendar'!$AM$1160&lt;=GRID_TO)*((('Dvd Calendar'!$AM$1160&lt;=VAL_DATE)+(COUNTIF('Dvd Calendar'!$E$1167:$AR$1167,'Dvd Calendar'!$AM$1160)=0))&gt;0)=0,"",'Dvd Calendar'!$AM$1160*1000000000+ISNUMBER('Dvd Calendar'!$AM$1163)*100000000+('Dvd Calendar'!$AM$1165=SPECIAL_LBL)*10000000+(N('Dvd Calendar'!$AM$1159)&gt;0)*(N('Dvd Calendar'!$AM$1159)&lt;=VAL_SERIAL)*1000000+5*1000+35))</f>
        <v/>
      </c>
      <c r="FN120" s="121">
        <f>IF(N('Dvd Calendar'!$AN$1160)=0,"",IF(('Dvd Calendar'!$AN$1160&gt;=GRID_FROM)*('Dvd Calendar'!$AN$1160&lt;=GRID_TO)*((('Dvd Calendar'!$AN$1160&lt;=VAL_DATE)+(COUNTIF('Dvd Calendar'!$E$1167:$AR$1167,'Dvd Calendar'!$AN$1160)=0))&gt;0)=0,"",'Dvd Calendar'!$AN$1160*1000000000+ISNUMBER('Dvd Calendar'!$AN$1163)*100000000+('Dvd Calendar'!$AN$1165=SPECIAL_LBL)*10000000+(N('Dvd Calendar'!$AN$1159)&gt;0)*(N('Dvd Calendar'!$AN$1159)&lt;=VAL_SERIAL)*1000000+5*1000+36))</f>
        <v/>
      </c>
      <c r="FO120" s="121">
        <f>IF(N('Dvd Calendar'!$AO$1160)=0,"",IF(('Dvd Calendar'!$AO$1160&gt;=GRID_FROM)*('Dvd Calendar'!$AO$1160&lt;=GRID_TO)*((('Dvd Calendar'!$AO$1160&lt;=VAL_DATE)+(COUNTIF('Dvd Calendar'!$E$1167:$AR$1167,'Dvd Calendar'!$AO$1160)=0))&gt;0)=0,"",'Dvd Calendar'!$AO$1160*1000000000+ISNUMBER('Dvd Calendar'!$AO$1163)*100000000+('Dvd Calendar'!$AO$1165=SPECIAL_LBL)*10000000+(N('Dvd Calendar'!$AO$1159)&gt;0)*(N('Dvd Calendar'!$AO$1159)&lt;=VAL_SERIAL)*1000000+5*1000+37))</f>
        <v/>
      </c>
      <c r="FP120" s="121">
        <f>IF(N('Dvd Calendar'!$AP$1160)=0,"",IF(('Dvd Calendar'!$AP$1160&gt;=GRID_FROM)*('Dvd Calendar'!$AP$1160&lt;=GRID_TO)*((('Dvd Calendar'!$AP$1160&lt;=VAL_DATE)+(COUNTIF('Dvd Calendar'!$E$1167:$AR$1167,'Dvd Calendar'!$AP$1160)=0))&gt;0)=0,"",'Dvd Calendar'!$AP$1160*1000000000+ISNUMBER('Dvd Calendar'!$AP$1163)*100000000+('Dvd Calendar'!$AP$1165=SPECIAL_LBL)*10000000+(N('Dvd Calendar'!$AP$1159)&gt;0)*(N('Dvd Calendar'!$AP$1159)&lt;=VAL_SERIAL)*1000000+5*1000+38))</f>
        <v/>
      </c>
      <c r="FQ120" s="121">
        <f>IF(N('Dvd Calendar'!$AQ$1160)=0,"",IF(('Dvd Calendar'!$AQ$1160&gt;=GRID_FROM)*('Dvd Calendar'!$AQ$1160&lt;=GRID_TO)*((('Dvd Calendar'!$AQ$1160&lt;=VAL_DATE)+(COUNTIF('Dvd Calendar'!$E$1167:$AR$1167,'Dvd Calendar'!$AQ$1160)=0))&gt;0)=0,"",'Dvd Calendar'!$AQ$1160*1000000000+ISNUMBER('Dvd Calendar'!$AQ$1163)*100000000+('Dvd Calendar'!$AQ$1165=SPECIAL_LBL)*10000000+(N('Dvd Calendar'!$AQ$1159)&gt;0)*(N('Dvd Calendar'!$AQ$1159)&lt;=VAL_SERIAL)*1000000+5*1000+39))</f>
        <v/>
      </c>
      <c r="FR120" s="121">
        <f>IF(N('Dvd Calendar'!$AR$1160)=0,"",IF(('Dvd Calendar'!$AR$1160&gt;=GRID_FROM)*('Dvd Calendar'!$AR$1160&lt;=GRID_TO)*((('Dvd Calendar'!$AR$1160&lt;=VAL_DATE)+(COUNTIF('Dvd Calendar'!$E$1167:$AR$1167,'Dvd Calendar'!$AR$1160)=0))&gt;0)=0,"",'Dvd Calendar'!$AR$1160*1000000000+ISNUMBER('Dvd Calendar'!$AR$1163)*100000000+('Dvd Calendar'!$AR$1165=SPECIAL_LBL)*10000000+(N('Dvd Calendar'!$AR$1159)&gt;0)*(N('Dvd Calendar'!$AR$1159)&lt;=VAL_SERIAL)*1000000+5*1000+40))</f>
        <v/>
      </c>
      <c r="FS120" s="121">
        <f>IF(N('Dvd Calendar'!$E$1167)=0,"",IF(('Dvd Calendar'!$E$1167&gt;=GRID_FROM)*('Dvd Calendar'!$E$1167&lt;=GRID_TO)*('Dvd Calendar'!$E$1167&gt;VAL_DATE)=0,"",'Dvd Calendar'!$E$1167*1000000000+ISNUMBER('Dvd Calendar'!$E$1168)*100000000+0*10000000+(N('Dvd Calendar'!$E$1166)&gt;0)*(N('Dvd Calendar'!$E$1166)&lt;=VAL_SERIAL)*1000000+5*1000+41))</f>
        <v/>
      </c>
      <c r="FT120" s="121">
        <f>IF(N('Dvd Calendar'!$F$1167)=0,"",IF(('Dvd Calendar'!$F$1167&gt;=GRID_FROM)*('Dvd Calendar'!$F$1167&lt;=GRID_TO)*('Dvd Calendar'!$F$1167&gt;VAL_DATE)=0,"",'Dvd Calendar'!$F$1167*1000000000+ISNUMBER('Dvd Calendar'!$F$1168)*100000000+0*10000000+(N('Dvd Calendar'!$F$1166)&gt;0)*(N('Dvd Calendar'!$F$1166)&lt;=VAL_SERIAL)*1000000+5*1000+42))</f>
        <v/>
      </c>
      <c r="FU120" s="121">
        <f>IF(N('Dvd Calendar'!$G$1167)=0,"",IF(('Dvd Calendar'!$G$1167&gt;=GRID_FROM)*('Dvd Calendar'!$G$1167&lt;=GRID_TO)*('Dvd Calendar'!$G$1167&gt;VAL_DATE)=0,"",'Dvd Calendar'!$G$1167*1000000000+ISNUMBER('Dvd Calendar'!$G$1168)*100000000+0*10000000+(N('Dvd Calendar'!$G$1166)&gt;0)*(N('Dvd Calendar'!$G$1166)&lt;=VAL_SERIAL)*1000000+5*1000+43))</f>
        <v/>
      </c>
      <c r="FV120" s="121">
        <f>IF(N('Dvd Calendar'!$H$1167)=0,"",IF(('Dvd Calendar'!$H$1167&gt;=GRID_FROM)*('Dvd Calendar'!$H$1167&lt;=GRID_TO)*('Dvd Calendar'!$H$1167&gt;VAL_DATE)=0,"",'Dvd Calendar'!$H$1167*1000000000+ISNUMBER('Dvd Calendar'!$H$1168)*100000000+0*10000000+(N('Dvd Calendar'!$H$1166)&gt;0)*(N('Dvd Calendar'!$H$1166)&lt;=VAL_SERIAL)*1000000+5*1000+44))</f>
        <v/>
      </c>
      <c r="FW120" s="121">
        <f>IF(N('Dvd Calendar'!$I$1167)=0,"",IF(('Dvd Calendar'!$I$1167&gt;=GRID_FROM)*('Dvd Calendar'!$I$1167&lt;=GRID_TO)*('Dvd Calendar'!$I$1167&gt;VAL_DATE)=0,"",'Dvd Calendar'!$I$1167*1000000000+ISNUMBER('Dvd Calendar'!$I$1168)*100000000+0*10000000+(N('Dvd Calendar'!$I$1166)&gt;0)*(N('Dvd Calendar'!$I$1166)&lt;=VAL_SERIAL)*1000000+5*1000+45))</f>
        <v/>
      </c>
      <c r="FX120" s="121">
        <f>IF(N('Dvd Calendar'!$J$1167)=0,"",IF(('Dvd Calendar'!$J$1167&gt;=GRID_FROM)*('Dvd Calendar'!$J$1167&lt;=GRID_TO)*('Dvd Calendar'!$J$1167&gt;VAL_DATE)=0,"",'Dvd Calendar'!$J$1167*1000000000+ISNUMBER('Dvd Calendar'!$J$1168)*100000000+0*10000000+(N('Dvd Calendar'!$J$1166)&gt;0)*(N('Dvd Calendar'!$J$1166)&lt;=VAL_SERIAL)*1000000+5*1000+46))</f>
        <v/>
      </c>
      <c r="FY120" s="121">
        <f>IF(N('Dvd Calendar'!$K$1167)=0,"",IF(('Dvd Calendar'!$K$1167&gt;=GRID_FROM)*('Dvd Calendar'!$K$1167&lt;=GRID_TO)*('Dvd Calendar'!$K$1167&gt;VAL_DATE)=0,"",'Dvd Calendar'!$K$1167*1000000000+ISNUMBER('Dvd Calendar'!$K$1168)*100000000+0*10000000+(N('Dvd Calendar'!$K$1166)&gt;0)*(N('Dvd Calendar'!$K$1166)&lt;=VAL_SERIAL)*1000000+5*1000+47))</f>
        <v/>
      </c>
      <c r="FZ120" s="121">
        <f>IF(N('Dvd Calendar'!$L$1167)=0,"",IF(('Dvd Calendar'!$L$1167&gt;=GRID_FROM)*('Dvd Calendar'!$L$1167&lt;=GRID_TO)*('Dvd Calendar'!$L$1167&gt;VAL_DATE)=0,"",'Dvd Calendar'!$L$1167*1000000000+ISNUMBER('Dvd Calendar'!$L$1168)*100000000+0*10000000+(N('Dvd Calendar'!$L$1166)&gt;0)*(N('Dvd Calendar'!$L$1166)&lt;=VAL_SERIAL)*1000000+5*1000+48))</f>
        <v/>
      </c>
      <c r="GA120" s="121">
        <f>IF(N('Dvd Calendar'!$M$1167)=0,"",IF(('Dvd Calendar'!$M$1167&gt;=GRID_FROM)*('Dvd Calendar'!$M$1167&lt;=GRID_TO)*('Dvd Calendar'!$M$1167&gt;VAL_DATE)=0,"",'Dvd Calendar'!$M$1167*1000000000+ISNUMBER('Dvd Calendar'!$M$1168)*100000000+0*10000000+(N('Dvd Calendar'!$M$1166)&gt;0)*(N('Dvd Calendar'!$M$1166)&lt;=VAL_SERIAL)*1000000+5*1000+49))</f>
        <v/>
      </c>
      <c r="GB120" s="121">
        <f>IF(N('Dvd Calendar'!$N$1167)=0,"",IF(('Dvd Calendar'!$N$1167&gt;=GRID_FROM)*('Dvd Calendar'!$N$1167&lt;=GRID_TO)*('Dvd Calendar'!$N$1167&gt;VAL_DATE)=0,"",'Dvd Calendar'!$N$1167*1000000000+ISNUMBER('Dvd Calendar'!$N$1168)*100000000+0*10000000+(N('Dvd Calendar'!$N$1166)&gt;0)*(N('Dvd Calendar'!$N$1166)&lt;=VAL_SERIAL)*1000000+5*1000+50))</f>
        <v/>
      </c>
      <c r="GC120" s="121">
        <f>IF(N('Dvd Calendar'!$O$1167)=0,"",IF(('Dvd Calendar'!$O$1167&gt;=GRID_FROM)*('Dvd Calendar'!$O$1167&lt;=GRID_TO)*('Dvd Calendar'!$O$1167&gt;VAL_DATE)=0,"",'Dvd Calendar'!$O$1167*1000000000+ISNUMBER('Dvd Calendar'!$O$1168)*100000000+0*10000000+(N('Dvd Calendar'!$O$1166)&gt;0)*(N('Dvd Calendar'!$O$1166)&lt;=VAL_SERIAL)*1000000+5*1000+51))</f>
        <v/>
      </c>
      <c r="GD120" s="121">
        <f>IF(N('Dvd Calendar'!$P$1167)=0,"",IF(('Dvd Calendar'!$P$1167&gt;=GRID_FROM)*('Dvd Calendar'!$P$1167&lt;=GRID_TO)*('Dvd Calendar'!$P$1167&gt;VAL_DATE)=0,"",'Dvd Calendar'!$P$1167*1000000000+ISNUMBER('Dvd Calendar'!$P$1168)*100000000+0*10000000+(N('Dvd Calendar'!$P$1166)&gt;0)*(N('Dvd Calendar'!$P$1166)&lt;=VAL_SERIAL)*1000000+5*1000+52))</f>
        <v/>
      </c>
      <c r="GE120" s="121">
        <f>IF(N('Dvd Calendar'!$Q$1167)=0,"",IF(('Dvd Calendar'!$Q$1167&gt;=GRID_FROM)*('Dvd Calendar'!$Q$1167&lt;=GRID_TO)*('Dvd Calendar'!$Q$1167&gt;VAL_DATE)=0,"",'Dvd Calendar'!$Q$1167*1000000000+ISNUMBER('Dvd Calendar'!$Q$1168)*100000000+0*10000000+(N('Dvd Calendar'!$Q$1166)&gt;0)*(N('Dvd Calendar'!$Q$1166)&lt;=VAL_SERIAL)*1000000+5*1000+53))</f>
        <v/>
      </c>
      <c r="GF120" s="121">
        <f>IF(N('Dvd Calendar'!$R$1167)=0,"",IF(('Dvd Calendar'!$R$1167&gt;=GRID_FROM)*('Dvd Calendar'!$R$1167&lt;=GRID_TO)*('Dvd Calendar'!$R$1167&gt;VAL_DATE)=0,"",'Dvd Calendar'!$R$1167*1000000000+ISNUMBER('Dvd Calendar'!$R$1168)*100000000+0*10000000+(N('Dvd Calendar'!$R$1166)&gt;0)*(N('Dvd Calendar'!$R$1166)&lt;=VAL_SERIAL)*1000000+5*1000+54))</f>
        <v/>
      </c>
      <c r="GG120" s="121">
        <f>IF(N('Dvd Calendar'!$S$1167)=0,"",IF(('Dvd Calendar'!$S$1167&gt;=GRID_FROM)*('Dvd Calendar'!$S$1167&lt;=GRID_TO)*('Dvd Calendar'!$S$1167&gt;VAL_DATE)=0,"",'Dvd Calendar'!$S$1167*1000000000+ISNUMBER('Dvd Calendar'!$S$1168)*100000000+0*10000000+(N('Dvd Calendar'!$S$1166)&gt;0)*(N('Dvd Calendar'!$S$1166)&lt;=VAL_SERIAL)*1000000+5*1000+55))</f>
        <v/>
      </c>
      <c r="GH120" s="121">
        <f>IF(N('Dvd Calendar'!$T$1167)=0,"",IF(('Dvd Calendar'!$T$1167&gt;=GRID_FROM)*('Dvd Calendar'!$T$1167&lt;=GRID_TO)*('Dvd Calendar'!$T$1167&gt;VAL_DATE)=0,"",'Dvd Calendar'!$T$1167*1000000000+ISNUMBER('Dvd Calendar'!$T$1168)*100000000+0*10000000+(N('Dvd Calendar'!$T$1166)&gt;0)*(N('Dvd Calendar'!$T$1166)&lt;=VAL_SERIAL)*1000000+5*1000+56))</f>
        <v/>
      </c>
      <c r="GI120" s="121">
        <f>IF(N('Dvd Calendar'!$U$1167)=0,"",IF(('Dvd Calendar'!$U$1167&gt;=GRID_FROM)*('Dvd Calendar'!$U$1167&lt;=GRID_TO)*('Dvd Calendar'!$U$1167&gt;VAL_DATE)=0,"",'Dvd Calendar'!$U$1167*1000000000+ISNUMBER('Dvd Calendar'!$U$1168)*100000000+0*10000000+(N('Dvd Calendar'!$U$1166)&gt;0)*(N('Dvd Calendar'!$U$1166)&lt;=VAL_SERIAL)*1000000+5*1000+57))</f>
        <v/>
      </c>
      <c r="GJ120" s="121">
        <f>IF(N('Dvd Calendar'!$V$1167)=0,"",IF(('Dvd Calendar'!$V$1167&gt;=GRID_FROM)*('Dvd Calendar'!$V$1167&lt;=GRID_TO)*('Dvd Calendar'!$V$1167&gt;VAL_DATE)=0,"",'Dvd Calendar'!$V$1167*1000000000+ISNUMBER('Dvd Calendar'!$V$1168)*100000000+0*10000000+(N('Dvd Calendar'!$V$1166)&gt;0)*(N('Dvd Calendar'!$V$1166)&lt;=VAL_SERIAL)*1000000+5*1000+58))</f>
        <v/>
      </c>
      <c r="GK120" s="121">
        <f>IF(N('Dvd Calendar'!$W$1167)=0,"",IF(('Dvd Calendar'!$W$1167&gt;=GRID_FROM)*('Dvd Calendar'!$W$1167&lt;=GRID_TO)*('Dvd Calendar'!$W$1167&gt;VAL_DATE)=0,"",'Dvd Calendar'!$W$1167*1000000000+ISNUMBER('Dvd Calendar'!$W$1168)*100000000+0*10000000+(N('Dvd Calendar'!$W$1166)&gt;0)*(N('Dvd Calendar'!$W$1166)&lt;=VAL_SERIAL)*1000000+5*1000+59))</f>
        <v/>
      </c>
      <c r="GL120" s="121">
        <f>IF(N('Dvd Calendar'!$X$1167)=0,"",IF(('Dvd Calendar'!$X$1167&gt;=GRID_FROM)*('Dvd Calendar'!$X$1167&lt;=GRID_TO)*('Dvd Calendar'!$X$1167&gt;VAL_DATE)=0,"",'Dvd Calendar'!$X$1167*1000000000+ISNUMBER('Dvd Calendar'!$X$1168)*100000000+0*10000000+(N('Dvd Calendar'!$X$1166)&gt;0)*(N('Dvd Calendar'!$X$1166)&lt;=VAL_SERIAL)*1000000+5*1000+60))</f>
        <v/>
      </c>
      <c r="GM120" s="121">
        <f>IF(N('Dvd Calendar'!$Y$1167)=0,"",IF(('Dvd Calendar'!$Y$1167&gt;=GRID_FROM)*('Dvd Calendar'!$Y$1167&lt;=GRID_TO)*('Dvd Calendar'!$Y$1167&gt;VAL_DATE)=0,"",'Dvd Calendar'!$Y$1167*1000000000+ISNUMBER('Dvd Calendar'!$Y$1168)*100000000+0*10000000+(N('Dvd Calendar'!$Y$1166)&gt;0)*(N('Dvd Calendar'!$Y$1166)&lt;=VAL_SERIAL)*1000000+5*1000+61))</f>
        <v/>
      </c>
      <c r="GN120" s="121">
        <f>IF(N('Dvd Calendar'!$Z$1167)=0,"",IF(('Dvd Calendar'!$Z$1167&gt;=GRID_FROM)*('Dvd Calendar'!$Z$1167&lt;=GRID_TO)*('Dvd Calendar'!$Z$1167&gt;VAL_DATE)=0,"",'Dvd Calendar'!$Z$1167*1000000000+ISNUMBER('Dvd Calendar'!$Z$1168)*100000000+0*10000000+(N('Dvd Calendar'!$Z$1166)&gt;0)*(N('Dvd Calendar'!$Z$1166)&lt;=VAL_SERIAL)*1000000+5*1000+62))</f>
        <v/>
      </c>
      <c r="GO120" s="121">
        <f>IF(N('Dvd Calendar'!$AA$1167)=0,"",IF(('Dvd Calendar'!$AA$1167&gt;=GRID_FROM)*('Dvd Calendar'!$AA$1167&lt;=GRID_TO)*('Dvd Calendar'!$AA$1167&gt;VAL_DATE)=0,"",'Dvd Calendar'!$AA$1167*1000000000+ISNUMBER('Dvd Calendar'!$AA$1168)*100000000+0*10000000+(N('Dvd Calendar'!$AA$1166)&gt;0)*(N('Dvd Calendar'!$AA$1166)&lt;=VAL_SERIAL)*1000000+5*1000+63))</f>
        <v/>
      </c>
      <c r="GP120" s="121">
        <f>IF(N('Dvd Calendar'!$AB$1167)=0,"",IF(('Dvd Calendar'!$AB$1167&gt;=GRID_FROM)*('Dvd Calendar'!$AB$1167&lt;=GRID_TO)*('Dvd Calendar'!$AB$1167&gt;VAL_DATE)=0,"",'Dvd Calendar'!$AB$1167*1000000000+ISNUMBER('Dvd Calendar'!$AB$1168)*100000000+0*10000000+(N('Dvd Calendar'!$AB$1166)&gt;0)*(N('Dvd Calendar'!$AB$1166)&lt;=VAL_SERIAL)*1000000+5*1000+64))</f>
        <v/>
      </c>
      <c r="GQ120" s="121">
        <f>IF(N('Dvd Calendar'!$AC$1167)=0,"",IF(('Dvd Calendar'!$AC$1167&gt;=GRID_FROM)*('Dvd Calendar'!$AC$1167&lt;=GRID_TO)*('Dvd Calendar'!$AC$1167&gt;VAL_DATE)=0,"",'Dvd Calendar'!$AC$1167*1000000000+ISNUMBER('Dvd Calendar'!$AC$1168)*100000000+0*10000000+(N('Dvd Calendar'!$AC$1166)&gt;0)*(N('Dvd Calendar'!$AC$1166)&lt;=VAL_SERIAL)*1000000+5*1000+65))</f>
        <v/>
      </c>
    </row>
    <row r="121">
      <c r="B121" s="2">
        <f>IF(HSTECH!$C$12="","",HSTECH!$C$12)</f>
        <v/>
      </c>
      <c r="C121" s="161">
        <f>IF(EE121="","",IF(ISNUMBER('Dvd Calendar'!$E$1174)=FALSE,"",IF((('Dvd Calendar'!$E$1176=TYPE1)*(TYPE1&lt;&gt;"")+('Dvd Calendar'!$E$1176=TYPE2)*(TYPE2&lt;&gt;"")+('Dvd Calendar'!$E$1176=TYPE3)*(TYPE3&lt;&gt;"")+('Dvd Calendar'!$E$1176=TYPE4)*(TYPE4&lt;&gt;"")+('Dvd Calendar'!$E$1176=SPECIAL_LBL)*(INC_SPECIALS="Y"))=0,"",'Dvd Calendar'!$E$1174)))</f>
        <v/>
      </c>
      <c r="D121" s="161">
        <f>IF(EF121="","",IF(ISNUMBER('Dvd Calendar'!$F$1174)=FALSE,"",IF((('Dvd Calendar'!$F$1176=TYPE1)*(TYPE1&lt;&gt;"")+('Dvd Calendar'!$F$1176=TYPE2)*(TYPE2&lt;&gt;"")+('Dvd Calendar'!$F$1176=TYPE3)*(TYPE3&lt;&gt;"")+('Dvd Calendar'!$F$1176=TYPE4)*(TYPE4&lt;&gt;"")+('Dvd Calendar'!$F$1176=SPECIAL_LBL)*(INC_SPECIALS="Y"))=0,"",'Dvd Calendar'!$F$1174)))</f>
        <v/>
      </c>
      <c r="E121" s="161">
        <f>IF(EG121="","",IF(ISNUMBER('Dvd Calendar'!$G$1174)=FALSE,"",IF((('Dvd Calendar'!$G$1176=TYPE1)*(TYPE1&lt;&gt;"")+('Dvd Calendar'!$G$1176=TYPE2)*(TYPE2&lt;&gt;"")+('Dvd Calendar'!$G$1176=TYPE3)*(TYPE3&lt;&gt;"")+('Dvd Calendar'!$G$1176=TYPE4)*(TYPE4&lt;&gt;"")+('Dvd Calendar'!$G$1176=SPECIAL_LBL)*(INC_SPECIALS="Y"))=0,"",'Dvd Calendar'!$G$1174)))</f>
        <v/>
      </c>
      <c r="F121" s="161">
        <f>IF(EH121="","",IF(ISNUMBER('Dvd Calendar'!$H$1174)=FALSE,"",IF((('Dvd Calendar'!$H$1176=TYPE1)*(TYPE1&lt;&gt;"")+('Dvd Calendar'!$H$1176=TYPE2)*(TYPE2&lt;&gt;"")+('Dvd Calendar'!$H$1176=TYPE3)*(TYPE3&lt;&gt;"")+('Dvd Calendar'!$H$1176=TYPE4)*(TYPE4&lt;&gt;"")+('Dvd Calendar'!$H$1176=SPECIAL_LBL)*(INC_SPECIALS="Y"))=0,"",'Dvd Calendar'!$H$1174)))</f>
        <v/>
      </c>
      <c r="G121" s="161">
        <f>IF(EI121="","",IF(ISNUMBER('Dvd Calendar'!$I$1174)=FALSE,"",IF((('Dvd Calendar'!$I$1176=TYPE1)*(TYPE1&lt;&gt;"")+('Dvd Calendar'!$I$1176=TYPE2)*(TYPE2&lt;&gt;"")+('Dvd Calendar'!$I$1176=TYPE3)*(TYPE3&lt;&gt;"")+('Dvd Calendar'!$I$1176=TYPE4)*(TYPE4&lt;&gt;"")+('Dvd Calendar'!$I$1176=SPECIAL_LBL)*(INC_SPECIALS="Y"))=0,"",'Dvd Calendar'!$I$1174)))</f>
        <v/>
      </c>
      <c r="H121" s="161">
        <f>IF(EJ121="","",IF(ISNUMBER('Dvd Calendar'!$J$1174)=FALSE,"",IF((('Dvd Calendar'!$J$1176=TYPE1)*(TYPE1&lt;&gt;"")+('Dvd Calendar'!$J$1176=TYPE2)*(TYPE2&lt;&gt;"")+('Dvd Calendar'!$J$1176=TYPE3)*(TYPE3&lt;&gt;"")+('Dvd Calendar'!$J$1176=TYPE4)*(TYPE4&lt;&gt;"")+('Dvd Calendar'!$J$1176=SPECIAL_LBL)*(INC_SPECIALS="Y"))=0,"",'Dvd Calendar'!$J$1174)))</f>
        <v/>
      </c>
      <c r="I121" s="161">
        <f>IF(EK121="","",IF(ISNUMBER('Dvd Calendar'!$K$1174)=FALSE,"",IF((('Dvd Calendar'!$K$1176=TYPE1)*(TYPE1&lt;&gt;"")+('Dvd Calendar'!$K$1176=TYPE2)*(TYPE2&lt;&gt;"")+('Dvd Calendar'!$K$1176=TYPE3)*(TYPE3&lt;&gt;"")+('Dvd Calendar'!$K$1176=TYPE4)*(TYPE4&lt;&gt;"")+('Dvd Calendar'!$K$1176=SPECIAL_LBL)*(INC_SPECIALS="Y"))=0,"",'Dvd Calendar'!$K$1174)))</f>
        <v/>
      </c>
      <c r="J121" s="161">
        <f>IF(EL121="","",IF(ISNUMBER('Dvd Calendar'!$L$1174)=FALSE,"",IF((('Dvd Calendar'!$L$1176=TYPE1)*(TYPE1&lt;&gt;"")+('Dvd Calendar'!$L$1176=TYPE2)*(TYPE2&lt;&gt;"")+('Dvd Calendar'!$L$1176=TYPE3)*(TYPE3&lt;&gt;"")+('Dvd Calendar'!$L$1176=TYPE4)*(TYPE4&lt;&gt;"")+('Dvd Calendar'!$L$1176=SPECIAL_LBL)*(INC_SPECIALS="Y"))=0,"",'Dvd Calendar'!$L$1174)))</f>
        <v/>
      </c>
      <c r="K121" s="161">
        <f>IF(EM121="","",IF(ISNUMBER('Dvd Calendar'!$M$1174)=FALSE,"",IF((('Dvd Calendar'!$M$1176=TYPE1)*(TYPE1&lt;&gt;"")+('Dvd Calendar'!$M$1176=TYPE2)*(TYPE2&lt;&gt;"")+('Dvd Calendar'!$M$1176=TYPE3)*(TYPE3&lt;&gt;"")+('Dvd Calendar'!$M$1176=TYPE4)*(TYPE4&lt;&gt;"")+('Dvd Calendar'!$M$1176=SPECIAL_LBL)*(INC_SPECIALS="Y"))=0,"",'Dvd Calendar'!$M$1174)))</f>
        <v/>
      </c>
      <c r="L121" s="161">
        <f>IF(EN121="","",IF(ISNUMBER('Dvd Calendar'!$N$1174)=FALSE,"",IF((('Dvd Calendar'!$N$1176=TYPE1)*(TYPE1&lt;&gt;"")+('Dvd Calendar'!$N$1176=TYPE2)*(TYPE2&lt;&gt;"")+('Dvd Calendar'!$N$1176=TYPE3)*(TYPE3&lt;&gt;"")+('Dvd Calendar'!$N$1176=TYPE4)*(TYPE4&lt;&gt;"")+('Dvd Calendar'!$N$1176=SPECIAL_LBL)*(INC_SPECIALS="Y"))=0,"",'Dvd Calendar'!$N$1174)))</f>
        <v/>
      </c>
      <c r="M121" s="161">
        <f>IF(EO121="","",IF(ISNUMBER('Dvd Calendar'!$O$1174)=FALSE,"",IF((('Dvd Calendar'!$O$1176=TYPE1)*(TYPE1&lt;&gt;"")+('Dvd Calendar'!$O$1176=TYPE2)*(TYPE2&lt;&gt;"")+('Dvd Calendar'!$O$1176=TYPE3)*(TYPE3&lt;&gt;"")+('Dvd Calendar'!$O$1176=TYPE4)*(TYPE4&lt;&gt;"")+('Dvd Calendar'!$O$1176=SPECIAL_LBL)*(INC_SPECIALS="Y"))=0,"",'Dvd Calendar'!$O$1174)))</f>
        <v/>
      </c>
      <c r="N121" s="161">
        <f>IF(EP121="","",IF(ISNUMBER('Dvd Calendar'!$P$1174)=FALSE,"",IF((('Dvd Calendar'!$P$1176=TYPE1)*(TYPE1&lt;&gt;"")+('Dvd Calendar'!$P$1176=TYPE2)*(TYPE2&lt;&gt;"")+('Dvd Calendar'!$P$1176=TYPE3)*(TYPE3&lt;&gt;"")+('Dvd Calendar'!$P$1176=TYPE4)*(TYPE4&lt;&gt;"")+('Dvd Calendar'!$P$1176=SPECIAL_LBL)*(INC_SPECIALS="Y"))=0,"",'Dvd Calendar'!$P$1174)))</f>
        <v/>
      </c>
      <c r="O121" s="161">
        <f>IF(EQ121="","",IF(ISNUMBER('Dvd Calendar'!$Q$1174)=FALSE,"",IF((('Dvd Calendar'!$Q$1176=TYPE1)*(TYPE1&lt;&gt;"")+('Dvd Calendar'!$Q$1176=TYPE2)*(TYPE2&lt;&gt;"")+('Dvd Calendar'!$Q$1176=TYPE3)*(TYPE3&lt;&gt;"")+('Dvd Calendar'!$Q$1176=TYPE4)*(TYPE4&lt;&gt;"")+('Dvd Calendar'!$Q$1176=SPECIAL_LBL)*(INC_SPECIALS="Y"))=0,"",'Dvd Calendar'!$Q$1174)))</f>
        <v/>
      </c>
      <c r="P121" s="161">
        <f>IF(ER121="","",IF(ISNUMBER('Dvd Calendar'!$R$1174)=FALSE,"",IF((('Dvd Calendar'!$R$1176=TYPE1)*(TYPE1&lt;&gt;"")+('Dvd Calendar'!$R$1176=TYPE2)*(TYPE2&lt;&gt;"")+('Dvd Calendar'!$R$1176=TYPE3)*(TYPE3&lt;&gt;"")+('Dvd Calendar'!$R$1176=TYPE4)*(TYPE4&lt;&gt;"")+('Dvd Calendar'!$R$1176=SPECIAL_LBL)*(INC_SPECIALS="Y"))=0,"",'Dvd Calendar'!$R$1174)))</f>
        <v/>
      </c>
      <c r="Q121" s="161">
        <f>IF(ES121="","",IF(ISNUMBER('Dvd Calendar'!$S$1174)=FALSE,"",IF((('Dvd Calendar'!$S$1176=TYPE1)*(TYPE1&lt;&gt;"")+('Dvd Calendar'!$S$1176=TYPE2)*(TYPE2&lt;&gt;"")+('Dvd Calendar'!$S$1176=TYPE3)*(TYPE3&lt;&gt;"")+('Dvd Calendar'!$S$1176=TYPE4)*(TYPE4&lt;&gt;"")+('Dvd Calendar'!$S$1176=SPECIAL_LBL)*(INC_SPECIALS="Y"))=0,"",'Dvd Calendar'!$S$1174)))</f>
        <v/>
      </c>
      <c r="R121" s="161">
        <f>IF(ET121="","",IF(ISNUMBER('Dvd Calendar'!$T$1174)=FALSE,"",IF((('Dvd Calendar'!$T$1176=TYPE1)*(TYPE1&lt;&gt;"")+('Dvd Calendar'!$T$1176=TYPE2)*(TYPE2&lt;&gt;"")+('Dvd Calendar'!$T$1176=TYPE3)*(TYPE3&lt;&gt;"")+('Dvd Calendar'!$T$1176=TYPE4)*(TYPE4&lt;&gt;"")+('Dvd Calendar'!$T$1176=SPECIAL_LBL)*(INC_SPECIALS="Y"))=0,"",'Dvd Calendar'!$T$1174)))</f>
        <v/>
      </c>
      <c r="S121" s="161">
        <f>IF(EU121="","",IF(ISNUMBER('Dvd Calendar'!$U$1174)=FALSE,"",IF((('Dvd Calendar'!$U$1176=TYPE1)*(TYPE1&lt;&gt;"")+('Dvd Calendar'!$U$1176=TYPE2)*(TYPE2&lt;&gt;"")+('Dvd Calendar'!$U$1176=TYPE3)*(TYPE3&lt;&gt;"")+('Dvd Calendar'!$U$1176=TYPE4)*(TYPE4&lt;&gt;"")+('Dvd Calendar'!$U$1176=SPECIAL_LBL)*(INC_SPECIALS="Y"))=0,"",'Dvd Calendar'!$U$1174)))</f>
        <v/>
      </c>
      <c r="T121" s="161">
        <f>IF(EV121="","",IF(ISNUMBER('Dvd Calendar'!$V$1174)=FALSE,"",IF((('Dvd Calendar'!$V$1176=TYPE1)*(TYPE1&lt;&gt;"")+('Dvd Calendar'!$V$1176=TYPE2)*(TYPE2&lt;&gt;"")+('Dvd Calendar'!$V$1176=TYPE3)*(TYPE3&lt;&gt;"")+('Dvd Calendar'!$V$1176=TYPE4)*(TYPE4&lt;&gt;"")+('Dvd Calendar'!$V$1176=SPECIAL_LBL)*(INC_SPECIALS="Y"))=0,"",'Dvd Calendar'!$V$1174)))</f>
        <v/>
      </c>
      <c r="U121" s="161">
        <f>IF(EW121="","",IF(ISNUMBER('Dvd Calendar'!$W$1174)=FALSE,"",IF((('Dvd Calendar'!$W$1176=TYPE1)*(TYPE1&lt;&gt;"")+('Dvd Calendar'!$W$1176=TYPE2)*(TYPE2&lt;&gt;"")+('Dvd Calendar'!$W$1176=TYPE3)*(TYPE3&lt;&gt;"")+('Dvd Calendar'!$W$1176=TYPE4)*(TYPE4&lt;&gt;"")+('Dvd Calendar'!$W$1176=SPECIAL_LBL)*(INC_SPECIALS="Y"))=0,"",'Dvd Calendar'!$W$1174)))</f>
        <v/>
      </c>
      <c r="V121" s="161">
        <f>IF(EX121="","",IF(ISNUMBER('Dvd Calendar'!$X$1174)=FALSE,"",IF((('Dvd Calendar'!$X$1176=TYPE1)*(TYPE1&lt;&gt;"")+('Dvd Calendar'!$X$1176=TYPE2)*(TYPE2&lt;&gt;"")+('Dvd Calendar'!$X$1176=TYPE3)*(TYPE3&lt;&gt;"")+('Dvd Calendar'!$X$1176=TYPE4)*(TYPE4&lt;&gt;"")+('Dvd Calendar'!$X$1176=SPECIAL_LBL)*(INC_SPECIALS="Y"))=0,"",'Dvd Calendar'!$X$1174)))</f>
        <v/>
      </c>
      <c r="W121" s="161">
        <f>IF(EY121="","",IF(ISNUMBER('Dvd Calendar'!$Y$1174)=FALSE,"",IF((('Dvd Calendar'!$Y$1176=TYPE1)*(TYPE1&lt;&gt;"")+('Dvd Calendar'!$Y$1176=TYPE2)*(TYPE2&lt;&gt;"")+('Dvd Calendar'!$Y$1176=TYPE3)*(TYPE3&lt;&gt;"")+('Dvd Calendar'!$Y$1176=TYPE4)*(TYPE4&lt;&gt;"")+('Dvd Calendar'!$Y$1176=SPECIAL_LBL)*(INC_SPECIALS="Y"))=0,"",'Dvd Calendar'!$Y$1174)))</f>
        <v/>
      </c>
      <c r="X121" s="161">
        <f>IF(EZ121="","",IF(ISNUMBER('Dvd Calendar'!$Z$1174)=FALSE,"",IF((('Dvd Calendar'!$Z$1176=TYPE1)*(TYPE1&lt;&gt;"")+('Dvd Calendar'!$Z$1176=TYPE2)*(TYPE2&lt;&gt;"")+('Dvd Calendar'!$Z$1176=TYPE3)*(TYPE3&lt;&gt;"")+('Dvd Calendar'!$Z$1176=TYPE4)*(TYPE4&lt;&gt;"")+('Dvd Calendar'!$Z$1176=SPECIAL_LBL)*(INC_SPECIALS="Y"))=0,"",'Dvd Calendar'!$Z$1174)))</f>
        <v/>
      </c>
      <c r="Y121" s="161">
        <f>IF(FA121="","",IF(ISNUMBER('Dvd Calendar'!$AA$1174)=FALSE,"",IF((('Dvd Calendar'!$AA$1176=TYPE1)*(TYPE1&lt;&gt;"")+('Dvd Calendar'!$AA$1176=TYPE2)*(TYPE2&lt;&gt;"")+('Dvd Calendar'!$AA$1176=TYPE3)*(TYPE3&lt;&gt;"")+('Dvd Calendar'!$AA$1176=TYPE4)*(TYPE4&lt;&gt;"")+('Dvd Calendar'!$AA$1176=SPECIAL_LBL)*(INC_SPECIALS="Y"))=0,"",'Dvd Calendar'!$AA$1174)))</f>
        <v/>
      </c>
      <c r="Z121" s="161">
        <f>IF(FB121="","",IF(ISNUMBER('Dvd Calendar'!$AB$1174)=FALSE,"",IF((('Dvd Calendar'!$AB$1176=TYPE1)*(TYPE1&lt;&gt;"")+('Dvd Calendar'!$AB$1176=TYPE2)*(TYPE2&lt;&gt;"")+('Dvd Calendar'!$AB$1176=TYPE3)*(TYPE3&lt;&gt;"")+('Dvd Calendar'!$AB$1176=TYPE4)*(TYPE4&lt;&gt;"")+('Dvd Calendar'!$AB$1176=SPECIAL_LBL)*(INC_SPECIALS="Y"))=0,"",'Dvd Calendar'!$AB$1174)))</f>
        <v/>
      </c>
      <c r="AA121" s="161">
        <f>IF(FC121="","",IF(ISNUMBER('Dvd Calendar'!$AC$1174)=FALSE,"",IF((('Dvd Calendar'!$AC$1176=TYPE1)*(TYPE1&lt;&gt;"")+('Dvd Calendar'!$AC$1176=TYPE2)*(TYPE2&lt;&gt;"")+('Dvd Calendar'!$AC$1176=TYPE3)*(TYPE3&lt;&gt;"")+('Dvd Calendar'!$AC$1176=TYPE4)*(TYPE4&lt;&gt;"")+('Dvd Calendar'!$AC$1176=SPECIAL_LBL)*(INC_SPECIALS="Y"))=0,"",'Dvd Calendar'!$AC$1174)))</f>
        <v/>
      </c>
      <c r="AB121" s="161">
        <f>IF(FD121="","",IF(ISNUMBER('Dvd Calendar'!$AD$1174)=FALSE,"",IF((('Dvd Calendar'!$AD$1176=TYPE1)*(TYPE1&lt;&gt;"")+('Dvd Calendar'!$AD$1176=TYPE2)*(TYPE2&lt;&gt;"")+('Dvd Calendar'!$AD$1176=TYPE3)*(TYPE3&lt;&gt;"")+('Dvd Calendar'!$AD$1176=TYPE4)*(TYPE4&lt;&gt;"")+('Dvd Calendar'!$AD$1176=SPECIAL_LBL)*(INC_SPECIALS="Y"))=0,"",'Dvd Calendar'!$AD$1174)))</f>
        <v/>
      </c>
      <c r="AC121" s="161">
        <f>IF(FE121="","",IF(ISNUMBER('Dvd Calendar'!$AE$1174)=FALSE,"",IF((('Dvd Calendar'!$AE$1176=TYPE1)*(TYPE1&lt;&gt;"")+('Dvd Calendar'!$AE$1176=TYPE2)*(TYPE2&lt;&gt;"")+('Dvd Calendar'!$AE$1176=TYPE3)*(TYPE3&lt;&gt;"")+('Dvd Calendar'!$AE$1176=TYPE4)*(TYPE4&lt;&gt;"")+('Dvd Calendar'!$AE$1176=SPECIAL_LBL)*(INC_SPECIALS="Y"))=0,"",'Dvd Calendar'!$AE$1174)))</f>
        <v/>
      </c>
      <c r="AD121" s="161">
        <f>IF(FF121="","",IF(ISNUMBER('Dvd Calendar'!$AF$1174)=FALSE,"",IF((('Dvd Calendar'!$AF$1176=TYPE1)*(TYPE1&lt;&gt;"")+('Dvd Calendar'!$AF$1176=TYPE2)*(TYPE2&lt;&gt;"")+('Dvd Calendar'!$AF$1176=TYPE3)*(TYPE3&lt;&gt;"")+('Dvd Calendar'!$AF$1176=TYPE4)*(TYPE4&lt;&gt;"")+('Dvd Calendar'!$AF$1176=SPECIAL_LBL)*(INC_SPECIALS="Y"))=0,"",'Dvd Calendar'!$AF$1174)))</f>
        <v/>
      </c>
      <c r="AE121" s="161">
        <f>IF(FG121="","",IF(ISNUMBER('Dvd Calendar'!$AG$1174)=FALSE,"",IF((('Dvd Calendar'!$AG$1176=TYPE1)*(TYPE1&lt;&gt;"")+('Dvd Calendar'!$AG$1176=TYPE2)*(TYPE2&lt;&gt;"")+('Dvd Calendar'!$AG$1176=TYPE3)*(TYPE3&lt;&gt;"")+('Dvd Calendar'!$AG$1176=TYPE4)*(TYPE4&lt;&gt;"")+('Dvd Calendar'!$AG$1176=SPECIAL_LBL)*(INC_SPECIALS="Y"))=0,"",'Dvd Calendar'!$AG$1174)))</f>
        <v/>
      </c>
      <c r="AF121" s="161">
        <f>IF(FH121="","",IF(ISNUMBER('Dvd Calendar'!$AH$1174)=FALSE,"",IF((('Dvd Calendar'!$AH$1176=TYPE1)*(TYPE1&lt;&gt;"")+('Dvd Calendar'!$AH$1176=TYPE2)*(TYPE2&lt;&gt;"")+('Dvd Calendar'!$AH$1176=TYPE3)*(TYPE3&lt;&gt;"")+('Dvd Calendar'!$AH$1176=TYPE4)*(TYPE4&lt;&gt;"")+('Dvd Calendar'!$AH$1176=SPECIAL_LBL)*(INC_SPECIALS="Y"))=0,"",'Dvd Calendar'!$AH$1174)))</f>
        <v/>
      </c>
      <c r="AG121" s="161">
        <f>IF(FI121="","",IF(ISNUMBER('Dvd Calendar'!$AI$1174)=FALSE,"",IF((('Dvd Calendar'!$AI$1176=TYPE1)*(TYPE1&lt;&gt;"")+('Dvd Calendar'!$AI$1176=TYPE2)*(TYPE2&lt;&gt;"")+('Dvd Calendar'!$AI$1176=TYPE3)*(TYPE3&lt;&gt;"")+('Dvd Calendar'!$AI$1176=TYPE4)*(TYPE4&lt;&gt;"")+('Dvd Calendar'!$AI$1176=SPECIAL_LBL)*(INC_SPECIALS="Y"))=0,"",'Dvd Calendar'!$AI$1174)))</f>
        <v/>
      </c>
      <c r="AH121" s="161">
        <f>IF(FJ121="","",IF(ISNUMBER('Dvd Calendar'!$AJ$1174)=FALSE,"",IF((('Dvd Calendar'!$AJ$1176=TYPE1)*(TYPE1&lt;&gt;"")+('Dvd Calendar'!$AJ$1176=TYPE2)*(TYPE2&lt;&gt;"")+('Dvd Calendar'!$AJ$1176=TYPE3)*(TYPE3&lt;&gt;"")+('Dvd Calendar'!$AJ$1176=TYPE4)*(TYPE4&lt;&gt;"")+('Dvd Calendar'!$AJ$1176=SPECIAL_LBL)*(INC_SPECIALS="Y"))=0,"",'Dvd Calendar'!$AJ$1174)))</f>
        <v/>
      </c>
      <c r="AI121" s="161">
        <f>IF(FK121="","",IF(ISNUMBER('Dvd Calendar'!$AK$1174)=FALSE,"",IF((('Dvd Calendar'!$AK$1176=TYPE1)*(TYPE1&lt;&gt;"")+('Dvd Calendar'!$AK$1176=TYPE2)*(TYPE2&lt;&gt;"")+('Dvd Calendar'!$AK$1176=TYPE3)*(TYPE3&lt;&gt;"")+('Dvd Calendar'!$AK$1176=TYPE4)*(TYPE4&lt;&gt;"")+('Dvd Calendar'!$AK$1176=SPECIAL_LBL)*(INC_SPECIALS="Y"))=0,"",'Dvd Calendar'!$AK$1174)))</f>
        <v/>
      </c>
      <c r="AJ121" s="161">
        <f>IF(FL121="","",IF(ISNUMBER('Dvd Calendar'!$AL$1174)=FALSE,"",IF((('Dvd Calendar'!$AL$1176=TYPE1)*(TYPE1&lt;&gt;"")+('Dvd Calendar'!$AL$1176=TYPE2)*(TYPE2&lt;&gt;"")+('Dvd Calendar'!$AL$1176=TYPE3)*(TYPE3&lt;&gt;"")+('Dvd Calendar'!$AL$1176=TYPE4)*(TYPE4&lt;&gt;"")+('Dvd Calendar'!$AL$1176=SPECIAL_LBL)*(INC_SPECIALS="Y"))=0,"",'Dvd Calendar'!$AL$1174)))</f>
        <v/>
      </c>
      <c r="AK121" s="161">
        <f>IF(FM121="","",IF(ISNUMBER('Dvd Calendar'!$AM$1174)=FALSE,"",IF((('Dvd Calendar'!$AM$1176=TYPE1)*(TYPE1&lt;&gt;"")+('Dvd Calendar'!$AM$1176=TYPE2)*(TYPE2&lt;&gt;"")+('Dvd Calendar'!$AM$1176=TYPE3)*(TYPE3&lt;&gt;"")+('Dvd Calendar'!$AM$1176=TYPE4)*(TYPE4&lt;&gt;"")+('Dvd Calendar'!$AM$1176=SPECIAL_LBL)*(INC_SPECIALS="Y"))=0,"",'Dvd Calendar'!$AM$1174)))</f>
        <v/>
      </c>
      <c r="AL121" s="161">
        <f>IF(FN121="","",IF(ISNUMBER('Dvd Calendar'!$AN$1174)=FALSE,"",IF((('Dvd Calendar'!$AN$1176=TYPE1)*(TYPE1&lt;&gt;"")+('Dvd Calendar'!$AN$1176=TYPE2)*(TYPE2&lt;&gt;"")+('Dvd Calendar'!$AN$1176=TYPE3)*(TYPE3&lt;&gt;"")+('Dvd Calendar'!$AN$1176=TYPE4)*(TYPE4&lt;&gt;"")+('Dvd Calendar'!$AN$1176=SPECIAL_LBL)*(INC_SPECIALS="Y"))=0,"",'Dvd Calendar'!$AN$1174)))</f>
        <v/>
      </c>
      <c r="AM121" s="161">
        <f>IF(FO121="","",IF(ISNUMBER('Dvd Calendar'!$AO$1174)=FALSE,"",IF((('Dvd Calendar'!$AO$1176=TYPE1)*(TYPE1&lt;&gt;"")+('Dvd Calendar'!$AO$1176=TYPE2)*(TYPE2&lt;&gt;"")+('Dvd Calendar'!$AO$1176=TYPE3)*(TYPE3&lt;&gt;"")+('Dvd Calendar'!$AO$1176=TYPE4)*(TYPE4&lt;&gt;"")+('Dvd Calendar'!$AO$1176=SPECIAL_LBL)*(INC_SPECIALS="Y"))=0,"",'Dvd Calendar'!$AO$1174)))</f>
        <v/>
      </c>
      <c r="AN121" s="161">
        <f>IF(FP121="","",IF(ISNUMBER('Dvd Calendar'!$AP$1174)=FALSE,"",IF((('Dvd Calendar'!$AP$1176=TYPE1)*(TYPE1&lt;&gt;"")+('Dvd Calendar'!$AP$1176=TYPE2)*(TYPE2&lt;&gt;"")+('Dvd Calendar'!$AP$1176=TYPE3)*(TYPE3&lt;&gt;"")+('Dvd Calendar'!$AP$1176=TYPE4)*(TYPE4&lt;&gt;"")+('Dvd Calendar'!$AP$1176=SPECIAL_LBL)*(INC_SPECIALS="Y"))=0,"",'Dvd Calendar'!$AP$1174)))</f>
        <v/>
      </c>
      <c r="AO121" s="161">
        <f>IF(FQ121="","",IF(ISNUMBER('Dvd Calendar'!$AQ$1174)=FALSE,"",IF((('Dvd Calendar'!$AQ$1176=TYPE1)*(TYPE1&lt;&gt;"")+('Dvd Calendar'!$AQ$1176=TYPE2)*(TYPE2&lt;&gt;"")+('Dvd Calendar'!$AQ$1176=TYPE3)*(TYPE3&lt;&gt;"")+('Dvd Calendar'!$AQ$1176=TYPE4)*(TYPE4&lt;&gt;"")+('Dvd Calendar'!$AQ$1176=SPECIAL_LBL)*(INC_SPECIALS="Y"))=0,"",'Dvd Calendar'!$AQ$1174)))</f>
        <v/>
      </c>
      <c r="AP121" s="161">
        <f>IF(FR121="","",IF(ISNUMBER('Dvd Calendar'!$AR$1174)=FALSE,"",IF((('Dvd Calendar'!$AR$1176=TYPE1)*(TYPE1&lt;&gt;"")+('Dvd Calendar'!$AR$1176=TYPE2)*(TYPE2&lt;&gt;"")+('Dvd Calendar'!$AR$1176=TYPE3)*(TYPE3&lt;&gt;"")+('Dvd Calendar'!$AR$1176=TYPE4)*(TYPE4&lt;&gt;"")+('Dvd Calendar'!$AR$1176=SPECIAL_LBL)*(INC_SPECIALS="Y"))=0,"",'Dvd Calendar'!$AR$1174)))</f>
        <v/>
      </c>
      <c r="AQ121" s="161">
        <f>IF(FS121="","",IF(ISNUMBER('Dvd Calendar'!$E$1179)=FALSE,"",'Dvd Calendar'!$E$1179))</f>
        <v/>
      </c>
      <c r="AR121" s="161">
        <f>IF(FT121="","",IF(ISNUMBER('Dvd Calendar'!$F$1179)=FALSE,"",'Dvd Calendar'!$F$1179))</f>
        <v/>
      </c>
      <c r="AS121" s="161">
        <f>IF(FU121="","",IF(ISNUMBER('Dvd Calendar'!$G$1179)=FALSE,"",'Dvd Calendar'!$G$1179))</f>
        <v/>
      </c>
      <c r="AT121" s="161">
        <f>IF(FV121="","",IF(ISNUMBER('Dvd Calendar'!$H$1179)=FALSE,"",'Dvd Calendar'!$H$1179))</f>
        <v/>
      </c>
      <c r="AU121" s="161">
        <f>IF(FW121="","",IF(ISNUMBER('Dvd Calendar'!$I$1179)=FALSE,"",'Dvd Calendar'!$I$1179))</f>
        <v/>
      </c>
      <c r="AV121" s="161">
        <f>IF(FX121="","",IF(ISNUMBER('Dvd Calendar'!$J$1179)=FALSE,"",'Dvd Calendar'!$J$1179))</f>
        <v/>
      </c>
      <c r="AW121" s="161">
        <f>IF(FY121="","",IF(ISNUMBER('Dvd Calendar'!$K$1179)=FALSE,"",'Dvd Calendar'!$K$1179))</f>
        <v/>
      </c>
      <c r="AX121" s="161">
        <f>IF(FZ121="","",IF(ISNUMBER('Dvd Calendar'!$L$1179)=FALSE,"",'Dvd Calendar'!$L$1179))</f>
        <v/>
      </c>
      <c r="AY121" s="161">
        <f>IF(GA121="","",IF(ISNUMBER('Dvd Calendar'!$M$1179)=FALSE,"",'Dvd Calendar'!$M$1179))</f>
        <v/>
      </c>
      <c r="AZ121" s="161">
        <f>IF(GB121="","",IF(ISNUMBER('Dvd Calendar'!$N$1179)=FALSE,"",'Dvd Calendar'!$N$1179))</f>
        <v/>
      </c>
      <c r="BA121" s="161">
        <f>IF(GC121="","",IF(ISNUMBER('Dvd Calendar'!$O$1179)=FALSE,"",'Dvd Calendar'!$O$1179))</f>
        <v/>
      </c>
      <c r="BB121" s="161">
        <f>IF(GD121="","",IF(ISNUMBER('Dvd Calendar'!$P$1179)=FALSE,"",'Dvd Calendar'!$P$1179))</f>
        <v/>
      </c>
      <c r="BC121" s="161">
        <f>IF(GE121="","",IF(ISNUMBER('Dvd Calendar'!$Q$1179)=FALSE,"",'Dvd Calendar'!$Q$1179))</f>
        <v/>
      </c>
      <c r="BD121" s="161">
        <f>IF(GF121="","",IF(ISNUMBER('Dvd Calendar'!$R$1179)=FALSE,"",'Dvd Calendar'!$R$1179))</f>
        <v/>
      </c>
      <c r="BE121" s="161">
        <f>IF(GG121="","",IF(ISNUMBER('Dvd Calendar'!$S$1179)=FALSE,"",'Dvd Calendar'!$S$1179))</f>
        <v/>
      </c>
      <c r="BF121" s="161">
        <f>IF(GH121="","",IF(ISNUMBER('Dvd Calendar'!$T$1179)=FALSE,"",'Dvd Calendar'!$T$1179))</f>
        <v/>
      </c>
      <c r="BG121" s="161">
        <f>IF(GI121="","",IF(ISNUMBER('Dvd Calendar'!$U$1179)=FALSE,"",'Dvd Calendar'!$U$1179))</f>
        <v/>
      </c>
      <c r="BH121" s="161">
        <f>IF(GJ121="","",IF(ISNUMBER('Dvd Calendar'!$V$1179)=FALSE,"",'Dvd Calendar'!$V$1179))</f>
        <v/>
      </c>
      <c r="BI121" s="161">
        <f>IF(GK121="","",IF(ISNUMBER('Dvd Calendar'!$W$1179)=FALSE,"",'Dvd Calendar'!$W$1179))</f>
        <v/>
      </c>
      <c r="BJ121" s="161">
        <f>IF(GL121="","",IF(ISNUMBER('Dvd Calendar'!$X$1179)=FALSE,"",'Dvd Calendar'!$X$1179))</f>
        <v/>
      </c>
      <c r="BK121" s="161">
        <f>IF(GM121="","",IF(ISNUMBER('Dvd Calendar'!$Y$1179)=FALSE,"",'Dvd Calendar'!$Y$1179))</f>
        <v/>
      </c>
      <c r="BL121" s="161">
        <f>IF(GN121="","",IF(ISNUMBER('Dvd Calendar'!$Z$1179)=FALSE,"",'Dvd Calendar'!$Z$1179))</f>
        <v/>
      </c>
      <c r="BM121" s="161">
        <f>IF(GO121="","",IF(ISNUMBER('Dvd Calendar'!$AA$1179)=FALSE,"",'Dvd Calendar'!$AA$1179))</f>
        <v/>
      </c>
      <c r="BN121" s="161">
        <f>IF(GP121="","",IF(ISNUMBER('Dvd Calendar'!$AB$1179)=FALSE,"",'Dvd Calendar'!$AB$1179))</f>
        <v/>
      </c>
      <c r="BO121" s="161">
        <f>IF(GQ121="","",IF(ISNUMBER('Dvd Calendar'!$AC$1179)=FALSE,"",'Dvd Calendar'!$AC$1179))</f>
        <v/>
      </c>
      <c r="BQ121" s="161">
        <f>IF(C121="","",IFERROR(C121*HSTECH!$B$12*HSTECH!$G$12/HSTECH!$B$3,""))</f>
        <v/>
      </c>
      <c r="BR121" s="161">
        <f>IF(D121="","",IFERROR(D121*HSTECH!$B$12*HSTECH!$G$12/HSTECH!$B$3,""))</f>
        <v/>
      </c>
      <c r="BS121" s="161">
        <f>IF(E121="","",IFERROR(E121*HSTECH!$B$12*HSTECH!$G$12/HSTECH!$B$3,""))</f>
        <v/>
      </c>
      <c r="BT121" s="161">
        <f>IF(F121="","",IFERROR(F121*HSTECH!$B$12*HSTECH!$G$12/HSTECH!$B$3,""))</f>
        <v/>
      </c>
      <c r="BU121" s="161">
        <f>IF(G121="","",IFERROR(G121*HSTECH!$B$12*HSTECH!$G$12/HSTECH!$B$3,""))</f>
        <v/>
      </c>
      <c r="BV121" s="161">
        <f>IF(H121="","",IFERROR(H121*HSTECH!$B$12*HSTECH!$G$12/HSTECH!$B$3,""))</f>
        <v/>
      </c>
      <c r="BW121" s="161">
        <f>IF(I121="","",IFERROR(I121*HSTECH!$B$12*HSTECH!$G$12/HSTECH!$B$3,""))</f>
        <v/>
      </c>
      <c r="BX121" s="161">
        <f>IF(J121="","",IFERROR(J121*HSTECH!$B$12*HSTECH!$G$12/HSTECH!$B$3,""))</f>
        <v/>
      </c>
      <c r="BY121" s="161">
        <f>IF(K121="","",IFERROR(K121*HSTECH!$B$12*HSTECH!$G$12/HSTECH!$B$3,""))</f>
        <v/>
      </c>
      <c r="BZ121" s="161">
        <f>IF(L121="","",IFERROR(L121*HSTECH!$B$12*HSTECH!$G$12/HSTECH!$B$3,""))</f>
        <v/>
      </c>
      <c r="CA121" s="161">
        <f>IF(M121="","",IFERROR(M121*HSTECH!$B$12*HSTECH!$G$12/HSTECH!$B$3,""))</f>
        <v/>
      </c>
      <c r="CB121" s="161">
        <f>IF(N121="","",IFERROR(N121*HSTECH!$B$12*HSTECH!$G$12/HSTECH!$B$3,""))</f>
        <v/>
      </c>
      <c r="CC121" s="161">
        <f>IF(O121="","",IFERROR(O121*HSTECH!$B$12*HSTECH!$G$12/HSTECH!$B$3,""))</f>
        <v/>
      </c>
      <c r="CD121" s="161">
        <f>IF(P121="","",IFERROR(P121*HSTECH!$B$12*HSTECH!$G$12/HSTECH!$B$3,""))</f>
        <v/>
      </c>
      <c r="CE121" s="161">
        <f>IF(Q121="","",IFERROR(Q121*HSTECH!$B$12*HSTECH!$G$12/HSTECH!$B$3,""))</f>
        <v/>
      </c>
      <c r="CF121" s="161">
        <f>IF(R121="","",IFERROR(R121*HSTECH!$B$12*HSTECH!$G$12/HSTECH!$B$3,""))</f>
        <v/>
      </c>
      <c r="CG121" s="161">
        <f>IF(S121="","",IFERROR(S121*HSTECH!$B$12*HSTECH!$G$12/HSTECH!$B$3,""))</f>
        <v/>
      </c>
      <c r="CH121" s="161">
        <f>IF(T121="","",IFERROR(T121*HSTECH!$B$12*HSTECH!$G$12/HSTECH!$B$3,""))</f>
        <v/>
      </c>
      <c r="CI121" s="161">
        <f>IF(U121="","",IFERROR(U121*HSTECH!$B$12*HSTECH!$G$12/HSTECH!$B$3,""))</f>
        <v/>
      </c>
      <c r="CJ121" s="161">
        <f>IF(V121="","",IFERROR(V121*HSTECH!$B$12*HSTECH!$G$12/HSTECH!$B$3,""))</f>
        <v/>
      </c>
      <c r="CK121" s="161">
        <f>IF(W121="","",IFERROR(W121*HSTECH!$B$12*HSTECH!$G$12/HSTECH!$B$3,""))</f>
        <v/>
      </c>
      <c r="CL121" s="161">
        <f>IF(X121="","",IFERROR(X121*HSTECH!$B$12*HSTECH!$G$12/HSTECH!$B$3,""))</f>
        <v/>
      </c>
      <c r="CM121" s="161">
        <f>IF(Y121="","",IFERROR(Y121*HSTECH!$B$12*HSTECH!$G$12/HSTECH!$B$3,""))</f>
        <v/>
      </c>
      <c r="CN121" s="161">
        <f>IF(Z121="","",IFERROR(Z121*HSTECH!$B$12*HSTECH!$G$12/HSTECH!$B$3,""))</f>
        <v/>
      </c>
      <c r="CO121" s="161">
        <f>IF(AA121="","",IFERROR(AA121*HSTECH!$B$12*HSTECH!$G$12/HSTECH!$B$3,""))</f>
        <v/>
      </c>
      <c r="CP121" s="161">
        <f>IF(AB121="","",IFERROR(AB121*HSTECH!$B$12*HSTECH!$G$12/HSTECH!$B$3,""))</f>
        <v/>
      </c>
      <c r="CQ121" s="161">
        <f>IF(AC121="","",IFERROR(AC121*HSTECH!$B$12*HSTECH!$G$12/HSTECH!$B$3,""))</f>
        <v/>
      </c>
      <c r="CR121" s="161">
        <f>IF(AD121="","",IFERROR(AD121*HSTECH!$B$12*HSTECH!$G$12/HSTECH!$B$3,""))</f>
        <v/>
      </c>
      <c r="CS121" s="161">
        <f>IF(AE121="","",IFERROR(AE121*HSTECH!$B$12*HSTECH!$G$12/HSTECH!$B$3,""))</f>
        <v/>
      </c>
      <c r="CT121" s="161">
        <f>IF(AF121="","",IFERROR(AF121*HSTECH!$B$12*HSTECH!$G$12/HSTECH!$B$3,""))</f>
        <v/>
      </c>
      <c r="CU121" s="161">
        <f>IF(AG121="","",IFERROR(AG121*HSTECH!$B$12*HSTECH!$G$12/HSTECH!$B$3,""))</f>
        <v/>
      </c>
      <c r="CV121" s="161">
        <f>IF(AH121="","",IFERROR(AH121*HSTECH!$B$12*HSTECH!$G$12/HSTECH!$B$3,""))</f>
        <v/>
      </c>
      <c r="CW121" s="161">
        <f>IF(AI121="","",IFERROR(AI121*HSTECH!$B$12*HSTECH!$G$12/HSTECH!$B$3,""))</f>
        <v/>
      </c>
      <c r="CX121" s="161">
        <f>IF(AJ121="","",IFERROR(AJ121*HSTECH!$B$12*HSTECH!$G$12/HSTECH!$B$3,""))</f>
        <v/>
      </c>
      <c r="CY121" s="161">
        <f>IF(AK121="","",IFERROR(AK121*HSTECH!$B$12*HSTECH!$G$12/HSTECH!$B$3,""))</f>
        <v/>
      </c>
      <c r="CZ121" s="161">
        <f>IF(AL121="","",IFERROR(AL121*HSTECH!$B$12*HSTECH!$G$12/HSTECH!$B$3,""))</f>
        <v/>
      </c>
      <c r="DA121" s="161">
        <f>IF(AM121="","",IFERROR(AM121*HSTECH!$B$12*HSTECH!$G$12/HSTECH!$B$3,""))</f>
        <v/>
      </c>
      <c r="DB121" s="161">
        <f>IF(AN121="","",IFERROR(AN121*HSTECH!$B$12*HSTECH!$G$12/HSTECH!$B$3,""))</f>
        <v/>
      </c>
      <c r="DC121" s="161">
        <f>IF(AO121="","",IFERROR(AO121*HSTECH!$B$12*HSTECH!$G$12/HSTECH!$B$3,""))</f>
        <v/>
      </c>
      <c r="DD121" s="161">
        <f>IF(AP121="","",IFERROR(AP121*HSTECH!$B$12*HSTECH!$G$12/HSTECH!$B$3,""))</f>
        <v/>
      </c>
      <c r="DE121" s="161">
        <f>IF(AQ121="","",IFERROR(AQ121*HSTECH!$B$12*HSTECH!$G$12/HSTECH!$B$3,""))</f>
        <v/>
      </c>
      <c r="DF121" s="161">
        <f>IF(AR121="","",IFERROR(AR121*HSTECH!$B$12*HSTECH!$G$12/HSTECH!$B$3,""))</f>
        <v/>
      </c>
      <c r="DG121" s="161">
        <f>IF(AS121="","",IFERROR(AS121*HSTECH!$B$12*HSTECH!$G$12/HSTECH!$B$3,""))</f>
        <v/>
      </c>
      <c r="DH121" s="161">
        <f>IF(AT121="","",IFERROR(AT121*HSTECH!$B$12*HSTECH!$G$12/HSTECH!$B$3,""))</f>
        <v/>
      </c>
      <c r="DI121" s="161">
        <f>IF(AU121="","",IFERROR(AU121*HSTECH!$B$12*HSTECH!$G$12/HSTECH!$B$3,""))</f>
        <v/>
      </c>
      <c r="DJ121" s="161">
        <f>IF(AV121="","",IFERROR(AV121*HSTECH!$B$12*HSTECH!$G$12/HSTECH!$B$3,""))</f>
        <v/>
      </c>
      <c r="DK121" s="161">
        <f>IF(AW121="","",IFERROR(AW121*HSTECH!$B$12*HSTECH!$G$12/HSTECH!$B$3,""))</f>
        <v/>
      </c>
      <c r="DL121" s="161">
        <f>IF(AX121="","",IFERROR(AX121*HSTECH!$B$12*HSTECH!$G$12/HSTECH!$B$3,""))</f>
        <v/>
      </c>
      <c r="DM121" s="161">
        <f>IF(AY121="","",IFERROR(AY121*HSTECH!$B$12*HSTECH!$G$12/HSTECH!$B$3,""))</f>
        <v/>
      </c>
      <c r="DN121" s="161">
        <f>IF(AZ121="","",IFERROR(AZ121*HSTECH!$B$12*HSTECH!$G$12/HSTECH!$B$3,""))</f>
        <v/>
      </c>
      <c r="DO121" s="161">
        <f>IF(BA121="","",IFERROR(BA121*HSTECH!$B$12*HSTECH!$G$12/HSTECH!$B$3,""))</f>
        <v/>
      </c>
      <c r="DP121" s="161">
        <f>IF(BB121="","",IFERROR(BB121*HSTECH!$B$12*HSTECH!$G$12/HSTECH!$B$3,""))</f>
        <v/>
      </c>
      <c r="DQ121" s="161">
        <f>IF(BC121="","",IFERROR(BC121*HSTECH!$B$12*HSTECH!$G$12/HSTECH!$B$3,""))</f>
        <v/>
      </c>
      <c r="DR121" s="161">
        <f>IF(BD121="","",IFERROR(BD121*HSTECH!$B$12*HSTECH!$G$12/HSTECH!$B$3,""))</f>
        <v/>
      </c>
      <c r="DS121" s="161">
        <f>IF(BE121="","",IFERROR(BE121*HSTECH!$B$12*HSTECH!$G$12/HSTECH!$B$3,""))</f>
        <v/>
      </c>
      <c r="DT121" s="161">
        <f>IF(BF121="","",IFERROR(BF121*HSTECH!$B$12*HSTECH!$G$12/HSTECH!$B$3,""))</f>
        <v/>
      </c>
      <c r="DU121" s="161">
        <f>IF(BG121="","",IFERROR(BG121*HSTECH!$B$12*HSTECH!$G$12/HSTECH!$B$3,""))</f>
        <v/>
      </c>
      <c r="DV121" s="161">
        <f>IF(BH121="","",IFERROR(BH121*HSTECH!$B$12*HSTECH!$G$12/HSTECH!$B$3,""))</f>
        <v/>
      </c>
      <c r="DW121" s="161">
        <f>IF(BI121="","",IFERROR(BI121*HSTECH!$B$12*HSTECH!$G$12/HSTECH!$B$3,""))</f>
        <v/>
      </c>
      <c r="DX121" s="161">
        <f>IF(BJ121="","",IFERROR(BJ121*HSTECH!$B$12*HSTECH!$G$12/HSTECH!$B$3,""))</f>
        <v/>
      </c>
      <c r="DY121" s="161">
        <f>IF(BK121="","",IFERROR(BK121*HSTECH!$B$12*HSTECH!$G$12/HSTECH!$B$3,""))</f>
        <v/>
      </c>
      <c r="DZ121" s="161">
        <f>IF(BL121="","",IFERROR(BL121*HSTECH!$B$12*HSTECH!$G$12/HSTECH!$B$3,""))</f>
        <v/>
      </c>
      <c r="EA121" s="161">
        <f>IF(BM121="","",IFERROR(BM121*HSTECH!$B$12*HSTECH!$G$12/HSTECH!$B$3,""))</f>
        <v/>
      </c>
      <c r="EB121" s="161">
        <f>IF(BN121="","",IFERROR(BN121*HSTECH!$B$12*HSTECH!$G$12/HSTECH!$B$3,""))</f>
        <v/>
      </c>
      <c r="EC121" s="161">
        <f>IF(BO121="","",IFERROR(BO121*HSTECH!$B$12*HSTECH!$G$12/HSTECH!$B$3,""))</f>
        <v/>
      </c>
      <c r="EE121" s="121">
        <f>IF(N('Dvd Calendar'!$E$1171)=0,"",IF(('Dvd Calendar'!$E$1171&gt;=GRID_FROM)*('Dvd Calendar'!$E$1171&lt;=GRID_TO)*((('Dvd Calendar'!$E$1171&lt;=VAL_DATE)+(COUNTIF('Dvd Calendar'!$E$1178:$AR$1178,'Dvd Calendar'!$E$1171)=0))&gt;0)=0,"",'Dvd Calendar'!$E$1171*1000000000+ISNUMBER('Dvd Calendar'!$E$1174)*100000000+('Dvd Calendar'!$E$1176=SPECIAL_LBL)*10000000+(N('Dvd Calendar'!$E$1170)&gt;0)*(N('Dvd Calendar'!$E$1170)&lt;=VAL_SERIAL)*1000000+6*1000+1))</f>
        <v/>
      </c>
      <c r="EF121" s="121">
        <f>IF(N('Dvd Calendar'!$F$1171)=0,"",IF(('Dvd Calendar'!$F$1171&gt;=GRID_FROM)*('Dvd Calendar'!$F$1171&lt;=GRID_TO)*((('Dvd Calendar'!$F$1171&lt;=VAL_DATE)+(COUNTIF('Dvd Calendar'!$E$1178:$AR$1178,'Dvd Calendar'!$F$1171)=0))&gt;0)=0,"",'Dvd Calendar'!$F$1171*1000000000+ISNUMBER('Dvd Calendar'!$F$1174)*100000000+('Dvd Calendar'!$F$1176=SPECIAL_LBL)*10000000+(N('Dvd Calendar'!$F$1170)&gt;0)*(N('Dvd Calendar'!$F$1170)&lt;=VAL_SERIAL)*1000000+6*1000+2))</f>
        <v/>
      </c>
      <c r="EG121" s="121">
        <f>IF(N('Dvd Calendar'!$G$1171)=0,"",IF(('Dvd Calendar'!$G$1171&gt;=GRID_FROM)*('Dvd Calendar'!$G$1171&lt;=GRID_TO)*((('Dvd Calendar'!$G$1171&lt;=VAL_DATE)+(COUNTIF('Dvd Calendar'!$E$1178:$AR$1178,'Dvd Calendar'!$G$1171)=0))&gt;0)=0,"",'Dvd Calendar'!$G$1171*1000000000+ISNUMBER('Dvd Calendar'!$G$1174)*100000000+('Dvd Calendar'!$G$1176=SPECIAL_LBL)*10000000+(N('Dvd Calendar'!$G$1170)&gt;0)*(N('Dvd Calendar'!$G$1170)&lt;=VAL_SERIAL)*1000000+6*1000+3))</f>
        <v/>
      </c>
      <c r="EH121" s="121">
        <f>IF(N('Dvd Calendar'!$H$1171)=0,"",IF(('Dvd Calendar'!$H$1171&gt;=GRID_FROM)*('Dvd Calendar'!$H$1171&lt;=GRID_TO)*((('Dvd Calendar'!$H$1171&lt;=VAL_DATE)+(COUNTIF('Dvd Calendar'!$E$1178:$AR$1178,'Dvd Calendar'!$H$1171)=0))&gt;0)=0,"",'Dvd Calendar'!$H$1171*1000000000+ISNUMBER('Dvd Calendar'!$H$1174)*100000000+('Dvd Calendar'!$H$1176=SPECIAL_LBL)*10000000+(N('Dvd Calendar'!$H$1170)&gt;0)*(N('Dvd Calendar'!$H$1170)&lt;=VAL_SERIAL)*1000000+6*1000+4))</f>
        <v/>
      </c>
      <c r="EI121" s="121">
        <f>IF(N('Dvd Calendar'!$I$1171)=0,"",IF(('Dvd Calendar'!$I$1171&gt;=GRID_FROM)*('Dvd Calendar'!$I$1171&lt;=GRID_TO)*((('Dvd Calendar'!$I$1171&lt;=VAL_DATE)+(COUNTIF('Dvd Calendar'!$E$1178:$AR$1178,'Dvd Calendar'!$I$1171)=0))&gt;0)=0,"",'Dvd Calendar'!$I$1171*1000000000+ISNUMBER('Dvd Calendar'!$I$1174)*100000000+('Dvd Calendar'!$I$1176=SPECIAL_LBL)*10000000+(N('Dvd Calendar'!$I$1170)&gt;0)*(N('Dvd Calendar'!$I$1170)&lt;=VAL_SERIAL)*1000000+6*1000+5))</f>
        <v/>
      </c>
      <c r="EJ121" s="121">
        <f>IF(N('Dvd Calendar'!$J$1171)=0,"",IF(('Dvd Calendar'!$J$1171&gt;=GRID_FROM)*('Dvd Calendar'!$J$1171&lt;=GRID_TO)*((('Dvd Calendar'!$J$1171&lt;=VAL_DATE)+(COUNTIF('Dvd Calendar'!$E$1178:$AR$1178,'Dvd Calendar'!$J$1171)=0))&gt;0)=0,"",'Dvd Calendar'!$J$1171*1000000000+ISNUMBER('Dvd Calendar'!$J$1174)*100000000+('Dvd Calendar'!$J$1176=SPECIAL_LBL)*10000000+(N('Dvd Calendar'!$J$1170)&gt;0)*(N('Dvd Calendar'!$J$1170)&lt;=VAL_SERIAL)*1000000+6*1000+6))</f>
        <v/>
      </c>
      <c r="EK121" s="121">
        <f>IF(N('Dvd Calendar'!$K$1171)=0,"",IF(('Dvd Calendar'!$K$1171&gt;=GRID_FROM)*('Dvd Calendar'!$K$1171&lt;=GRID_TO)*((('Dvd Calendar'!$K$1171&lt;=VAL_DATE)+(COUNTIF('Dvd Calendar'!$E$1178:$AR$1178,'Dvd Calendar'!$K$1171)=0))&gt;0)=0,"",'Dvd Calendar'!$K$1171*1000000000+ISNUMBER('Dvd Calendar'!$K$1174)*100000000+('Dvd Calendar'!$K$1176=SPECIAL_LBL)*10000000+(N('Dvd Calendar'!$K$1170)&gt;0)*(N('Dvd Calendar'!$K$1170)&lt;=VAL_SERIAL)*1000000+6*1000+7))</f>
        <v/>
      </c>
      <c r="EL121" s="121">
        <f>IF(N('Dvd Calendar'!$L$1171)=0,"",IF(('Dvd Calendar'!$L$1171&gt;=GRID_FROM)*('Dvd Calendar'!$L$1171&lt;=GRID_TO)*((('Dvd Calendar'!$L$1171&lt;=VAL_DATE)+(COUNTIF('Dvd Calendar'!$E$1178:$AR$1178,'Dvd Calendar'!$L$1171)=0))&gt;0)=0,"",'Dvd Calendar'!$L$1171*1000000000+ISNUMBER('Dvd Calendar'!$L$1174)*100000000+('Dvd Calendar'!$L$1176=SPECIAL_LBL)*10000000+(N('Dvd Calendar'!$L$1170)&gt;0)*(N('Dvd Calendar'!$L$1170)&lt;=VAL_SERIAL)*1000000+6*1000+8))</f>
        <v/>
      </c>
      <c r="EM121" s="121">
        <f>IF(N('Dvd Calendar'!$M$1171)=0,"",IF(('Dvd Calendar'!$M$1171&gt;=GRID_FROM)*('Dvd Calendar'!$M$1171&lt;=GRID_TO)*((('Dvd Calendar'!$M$1171&lt;=VAL_DATE)+(COUNTIF('Dvd Calendar'!$E$1178:$AR$1178,'Dvd Calendar'!$M$1171)=0))&gt;0)=0,"",'Dvd Calendar'!$M$1171*1000000000+ISNUMBER('Dvd Calendar'!$M$1174)*100000000+('Dvd Calendar'!$M$1176=SPECIAL_LBL)*10000000+(N('Dvd Calendar'!$M$1170)&gt;0)*(N('Dvd Calendar'!$M$1170)&lt;=VAL_SERIAL)*1000000+6*1000+9))</f>
        <v/>
      </c>
      <c r="EN121" s="121">
        <f>IF(N('Dvd Calendar'!$N$1171)=0,"",IF(('Dvd Calendar'!$N$1171&gt;=GRID_FROM)*('Dvd Calendar'!$N$1171&lt;=GRID_TO)*((('Dvd Calendar'!$N$1171&lt;=VAL_DATE)+(COUNTIF('Dvd Calendar'!$E$1178:$AR$1178,'Dvd Calendar'!$N$1171)=0))&gt;0)=0,"",'Dvd Calendar'!$N$1171*1000000000+ISNUMBER('Dvd Calendar'!$N$1174)*100000000+('Dvd Calendar'!$N$1176=SPECIAL_LBL)*10000000+(N('Dvd Calendar'!$N$1170)&gt;0)*(N('Dvd Calendar'!$N$1170)&lt;=VAL_SERIAL)*1000000+6*1000+10))</f>
        <v/>
      </c>
      <c r="EO121" s="121">
        <f>IF(N('Dvd Calendar'!$O$1171)=0,"",IF(('Dvd Calendar'!$O$1171&gt;=GRID_FROM)*('Dvd Calendar'!$O$1171&lt;=GRID_TO)*((('Dvd Calendar'!$O$1171&lt;=VAL_DATE)+(COUNTIF('Dvd Calendar'!$E$1178:$AR$1178,'Dvd Calendar'!$O$1171)=0))&gt;0)=0,"",'Dvd Calendar'!$O$1171*1000000000+ISNUMBER('Dvd Calendar'!$O$1174)*100000000+('Dvd Calendar'!$O$1176=SPECIAL_LBL)*10000000+(N('Dvd Calendar'!$O$1170)&gt;0)*(N('Dvd Calendar'!$O$1170)&lt;=VAL_SERIAL)*1000000+6*1000+11))</f>
        <v/>
      </c>
      <c r="EP121" s="121">
        <f>IF(N('Dvd Calendar'!$P$1171)=0,"",IF(('Dvd Calendar'!$P$1171&gt;=GRID_FROM)*('Dvd Calendar'!$P$1171&lt;=GRID_TO)*((('Dvd Calendar'!$P$1171&lt;=VAL_DATE)+(COUNTIF('Dvd Calendar'!$E$1178:$AR$1178,'Dvd Calendar'!$P$1171)=0))&gt;0)=0,"",'Dvd Calendar'!$P$1171*1000000000+ISNUMBER('Dvd Calendar'!$P$1174)*100000000+('Dvd Calendar'!$P$1176=SPECIAL_LBL)*10000000+(N('Dvd Calendar'!$P$1170)&gt;0)*(N('Dvd Calendar'!$P$1170)&lt;=VAL_SERIAL)*1000000+6*1000+12))</f>
        <v/>
      </c>
      <c r="EQ121" s="121">
        <f>IF(N('Dvd Calendar'!$Q$1171)=0,"",IF(('Dvd Calendar'!$Q$1171&gt;=GRID_FROM)*('Dvd Calendar'!$Q$1171&lt;=GRID_TO)*((('Dvd Calendar'!$Q$1171&lt;=VAL_DATE)+(COUNTIF('Dvd Calendar'!$E$1178:$AR$1178,'Dvd Calendar'!$Q$1171)=0))&gt;0)=0,"",'Dvd Calendar'!$Q$1171*1000000000+ISNUMBER('Dvd Calendar'!$Q$1174)*100000000+('Dvd Calendar'!$Q$1176=SPECIAL_LBL)*10000000+(N('Dvd Calendar'!$Q$1170)&gt;0)*(N('Dvd Calendar'!$Q$1170)&lt;=VAL_SERIAL)*1000000+6*1000+13))</f>
        <v/>
      </c>
      <c r="ER121" s="121">
        <f>IF(N('Dvd Calendar'!$R$1171)=0,"",IF(('Dvd Calendar'!$R$1171&gt;=GRID_FROM)*('Dvd Calendar'!$R$1171&lt;=GRID_TO)*((('Dvd Calendar'!$R$1171&lt;=VAL_DATE)+(COUNTIF('Dvd Calendar'!$E$1178:$AR$1178,'Dvd Calendar'!$R$1171)=0))&gt;0)=0,"",'Dvd Calendar'!$R$1171*1000000000+ISNUMBER('Dvd Calendar'!$R$1174)*100000000+('Dvd Calendar'!$R$1176=SPECIAL_LBL)*10000000+(N('Dvd Calendar'!$R$1170)&gt;0)*(N('Dvd Calendar'!$R$1170)&lt;=VAL_SERIAL)*1000000+6*1000+14))</f>
        <v/>
      </c>
      <c r="ES121" s="121">
        <f>IF(N('Dvd Calendar'!$S$1171)=0,"",IF(('Dvd Calendar'!$S$1171&gt;=GRID_FROM)*('Dvd Calendar'!$S$1171&lt;=GRID_TO)*((('Dvd Calendar'!$S$1171&lt;=VAL_DATE)+(COUNTIF('Dvd Calendar'!$E$1178:$AR$1178,'Dvd Calendar'!$S$1171)=0))&gt;0)=0,"",'Dvd Calendar'!$S$1171*1000000000+ISNUMBER('Dvd Calendar'!$S$1174)*100000000+('Dvd Calendar'!$S$1176=SPECIAL_LBL)*10000000+(N('Dvd Calendar'!$S$1170)&gt;0)*(N('Dvd Calendar'!$S$1170)&lt;=VAL_SERIAL)*1000000+6*1000+15))</f>
        <v/>
      </c>
      <c r="ET121" s="121">
        <f>IF(N('Dvd Calendar'!$T$1171)=0,"",IF(('Dvd Calendar'!$T$1171&gt;=GRID_FROM)*('Dvd Calendar'!$T$1171&lt;=GRID_TO)*((('Dvd Calendar'!$T$1171&lt;=VAL_DATE)+(COUNTIF('Dvd Calendar'!$E$1178:$AR$1178,'Dvd Calendar'!$T$1171)=0))&gt;0)=0,"",'Dvd Calendar'!$T$1171*1000000000+ISNUMBER('Dvd Calendar'!$T$1174)*100000000+('Dvd Calendar'!$T$1176=SPECIAL_LBL)*10000000+(N('Dvd Calendar'!$T$1170)&gt;0)*(N('Dvd Calendar'!$T$1170)&lt;=VAL_SERIAL)*1000000+6*1000+16))</f>
        <v/>
      </c>
      <c r="EU121" s="121">
        <f>IF(N('Dvd Calendar'!$U$1171)=0,"",IF(('Dvd Calendar'!$U$1171&gt;=GRID_FROM)*('Dvd Calendar'!$U$1171&lt;=GRID_TO)*((('Dvd Calendar'!$U$1171&lt;=VAL_DATE)+(COUNTIF('Dvd Calendar'!$E$1178:$AR$1178,'Dvd Calendar'!$U$1171)=0))&gt;0)=0,"",'Dvd Calendar'!$U$1171*1000000000+ISNUMBER('Dvd Calendar'!$U$1174)*100000000+('Dvd Calendar'!$U$1176=SPECIAL_LBL)*10000000+(N('Dvd Calendar'!$U$1170)&gt;0)*(N('Dvd Calendar'!$U$1170)&lt;=VAL_SERIAL)*1000000+6*1000+17))</f>
        <v/>
      </c>
      <c r="EV121" s="121">
        <f>IF(N('Dvd Calendar'!$V$1171)=0,"",IF(('Dvd Calendar'!$V$1171&gt;=GRID_FROM)*('Dvd Calendar'!$V$1171&lt;=GRID_TO)*((('Dvd Calendar'!$V$1171&lt;=VAL_DATE)+(COUNTIF('Dvd Calendar'!$E$1178:$AR$1178,'Dvd Calendar'!$V$1171)=0))&gt;0)=0,"",'Dvd Calendar'!$V$1171*1000000000+ISNUMBER('Dvd Calendar'!$V$1174)*100000000+('Dvd Calendar'!$V$1176=SPECIAL_LBL)*10000000+(N('Dvd Calendar'!$V$1170)&gt;0)*(N('Dvd Calendar'!$V$1170)&lt;=VAL_SERIAL)*1000000+6*1000+18))</f>
        <v/>
      </c>
      <c r="EW121" s="121">
        <f>IF(N('Dvd Calendar'!$W$1171)=0,"",IF(('Dvd Calendar'!$W$1171&gt;=GRID_FROM)*('Dvd Calendar'!$W$1171&lt;=GRID_TO)*((('Dvd Calendar'!$W$1171&lt;=VAL_DATE)+(COUNTIF('Dvd Calendar'!$E$1178:$AR$1178,'Dvd Calendar'!$W$1171)=0))&gt;0)=0,"",'Dvd Calendar'!$W$1171*1000000000+ISNUMBER('Dvd Calendar'!$W$1174)*100000000+('Dvd Calendar'!$W$1176=SPECIAL_LBL)*10000000+(N('Dvd Calendar'!$W$1170)&gt;0)*(N('Dvd Calendar'!$W$1170)&lt;=VAL_SERIAL)*1000000+6*1000+19))</f>
        <v/>
      </c>
      <c r="EX121" s="121">
        <f>IF(N('Dvd Calendar'!$X$1171)=0,"",IF(('Dvd Calendar'!$X$1171&gt;=GRID_FROM)*('Dvd Calendar'!$X$1171&lt;=GRID_TO)*((('Dvd Calendar'!$X$1171&lt;=VAL_DATE)+(COUNTIF('Dvd Calendar'!$E$1178:$AR$1178,'Dvd Calendar'!$X$1171)=0))&gt;0)=0,"",'Dvd Calendar'!$X$1171*1000000000+ISNUMBER('Dvd Calendar'!$X$1174)*100000000+('Dvd Calendar'!$X$1176=SPECIAL_LBL)*10000000+(N('Dvd Calendar'!$X$1170)&gt;0)*(N('Dvd Calendar'!$X$1170)&lt;=VAL_SERIAL)*1000000+6*1000+20))</f>
        <v/>
      </c>
      <c r="EY121" s="121">
        <f>IF(N('Dvd Calendar'!$Y$1171)=0,"",IF(('Dvd Calendar'!$Y$1171&gt;=GRID_FROM)*('Dvd Calendar'!$Y$1171&lt;=GRID_TO)*((('Dvd Calendar'!$Y$1171&lt;=VAL_DATE)+(COUNTIF('Dvd Calendar'!$E$1178:$AR$1178,'Dvd Calendar'!$Y$1171)=0))&gt;0)=0,"",'Dvd Calendar'!$Y$1171*1000000000+ISNUMBER('Dvd Calendar'!$Y$1174)*100000000+('Dvd Calendar'!$Y$1176=SPECIAL_LBL)*10000000+(N('Dvd Calendar'!$Y$1170)&gt;0)*(N('Dvd Calendar'!$Y$1170)&lt;=VAL_SERIAL)*1000000+6*1000+21))</f>
        <v/>
      </c>
      <c r="EZ121" s="121">
        <f>IF(N('Dvd Calendar'!$Z$1171)=0,"",IF(('Dvd Calendar'!$Z$1171&gt;=GRID_FROM)*('Dvd Calendar'!$Z$1171&lt;=GRID_TO)*((('Dvd Calendar'!$Z$1171&lt;=VAL_DATE)+(COUNTIF('Dvd Calendar'!$E$1178:$AR$1178,'Dvd Calendar'!$Z$1171)=0))&gt;0)=0,"",'Dvd Calendar'!$Z$1171*1000000000+ISNUMBER('Dvd Calendar'!$Z$1174)*100000000+('Dvd Calendar'!$Z$1176=SPECIAL_LBL)*10000000+(N('Dvd Calendar'!$Z$1170)&gt;0)*(N('Dvd Calendar'!$Z$1170)&lt;=VAL_SERIAL)*1000000+6*1000+22))</f>
        <v/>
      </c>
      <c r="FA121" s="121">
        <f>IF(N('Dvd Calendar'!$AA$1171)=0,"",IF(('Dvd Calendar'!$AA$1171&gt;=GRID_FROM)*('Dvd Calendar'!$AA$1171&lt;=GRID_TO)*((('Dvd Calendar'!$AA$1171&lt;=VAL_DATE)+(COUNTIF('Dvd Calendar'!$E$1178:$AR$1178,'Dvd Calendar'!$AA$1171)=0))&gt;0)=0,"",'Dvd Calendar'!$AA$1171*1000000000+ISNUMBER('Dvd Calendar'!$AA$1174)*100000000+('Dvd Calendar'!$AA$1176=SPECIAL_LBL)*10000000+(N('Dvd Calendar'!$AA$1170)&gt;0)*(N('Dvd Calendar'!$AA$1170)&lt;=VAL_SERIAL)*1000000+6*1000+23))</f>
        <v/>
      </c>
      <c r="FB121" s="121">
        <f>IF(N('Dvd Calendar'!$AB$1171)=0,"",IF(('Dvd Calendar'!$AB$1171&gt;=GRID_FROM)*('Dvd Calendar'!$AB$1171&lt;=GRID_TO)*((('Dvd Calendar'!$AB$1171&lt;=VAL_DATE)+(COUNTIF('Dvd Calendar'!$E$1178:$AR$1178,'Dvd Calendar'!$AB$1171)=0))&gt;0)=0,"",'Dvd Calendar'!$AB$1171*1000000000+ISNUMBER('Dvd Calendar'!$AB$1174)*100000000+('Dvd Calendar'!$AB$1176=SPECIAL_LBL)*10000000+(N('Dvd Calendar'!$AB$1170)&gt;0)*(N('Dvd Calendar'!$AB$1170)&lt;=VAL_SERIAL)*1000000+6*1000+24))</f>
        <v/>
      </c>
      <c r="FC121" s="121">
        <f>IF(N('Dvd Calendar'!$AC$1171)=0,"",IF(('Dvd Calendar'!$AC$1171&gt;=GRID_FROM)*('Dvd Calendar'!$AC$1171&lt;=GRID_TO)*((('Dvd Calendar'!$AC$1171&lt;=VAL_DATE)+(COUNTIF('Dvd Calendar'!$E$1178:$AR$1178,'Dvd Calendar'!$AC$1171)=0))&gt;0)=0,"",'Dvd Calendar'!$AC$1171*1000000000+ISNUMBER('Dvd Calendar'!$AC$1174)*100000000+('Dvd Calendar'!$AC$1176=SPECIAL_LBL)*10000000+(N('Dvd Calendar'!$AC$1170)&gt;0)*(N('Dvd Calendar'!$AC$1170)&lt;=VAL_SERIAL)*1000000+6*1000+25))</f>
        <v/>
      </c>
      <c r="FD121" s="121">
        <f>IF(N('Dvd Calendar'!$AD$1171)=0,"",IF(('Dvd Calendar'!$AD$1171&gt;=GRID_FROM)*('Dvd Calendar'!$AD$1171&lt;=GRID_TO)*((('Dvd Calendar'!$AD$1171&lt;=VAL_DATE)+(COUNTIF('Dvd Calendar'!$E$1178:$AR$1178,'Dvd Calendar'!$AD$1171)=0))&gt;0)=0,"",'Dvd Calendar'!$AD$1171*1000000000+ISNUMBER('Dvd Calendar'!$AD$1174)*100000000+('Dvd Calendar'!$AD$1176=SPECIAL_LBL)*10000000+(N('Dvd Calendar'!$AD$1170)&gt;0)*(N('Dvd Calendar'!$AD$1170)&lt;=VAL_SERIAL)*1000000+6*1000+26))</f>
        <v/>
      </c>
      <c r="FE121" s="121">
        <f>IF(N('Dvd Calendar'!$AE$1171)=0,"",IF(('Dvd Calendar'!$AE$1171&gt;=GRID_FROM)*('Dvd Calendar'!$AE$1171&lt;=GRID_TO)*((('Dvd Calendar'!$AE$1171&lt;=VAL_DATE)+(COUNTIF('Dvd Calendar'!$E$1178:$AR$1178,'Dvd Calendar'!$AE$1171)=0))&gt;0)=0,"",'Dvd Calendar'!$AE$1171*1000000000+ISNUMBER('Dvd Calendar'!$AE$1174)*100000000+('Dvd Calendar'!$AE$1176=SPECIAL_LBL)*10000000+(N('Dvd Calendar'!$AE$1170)&gt;0)*(N('Dvd Calendar'!$AE$1170)&lt;=VAL_SERIAL)*1000000+6*1000+27))</f>
        <v/>
      </c>
      <c r="FF121" s="121">
        <f>IF(N('Dvd Calendar'!$AF$1171)=0,"",IF(('Dvd Calendar'!$AF$1171&gt;=GRID_FROM)*('Dvd Calendar'!$AF$1171&lt;=GRID_TO)*((('Dvd Calendar'!$AF$1171&lt;=VAL_DATE)+(COUNTIF('Dvd Calendar'!$E$1178:$AR$1178,'Dvd Calendar'!$AF$1171)=0))&gt;0)=0,"",'Dvd Calendar'!$AF$1171*1000000000+ISNUMBER('Dvd Calendar'!$AF$1174)*100000000+('Dvd Calendar'!$AF$1176=SPECIAL_LBL)*10000000+(N('Dvd Calendar'!$AF$1170)&gt;0)*(N('Dvd Calendar'!$AF$1170)&lt;=VAL_SERIAL)*1000000+6*1000+28))</f>
        <v/>
      </c>
      <c r="FG121" s="121">
        <f>IF(N('Dvd Calendar'!$AG$1171)=0,"",IF(('Dvd Calendar'!$AG$1171&gt;=GRID_FROM)*('Dvd Calendar'!$AG$1171&lt;=GRID_TO)*((('Dvd Calendar'!$AG$1171&lt;=VAL_DATE)+(COUNTIF('Dvd Calendar'!$E$1178:$AR$1178,'Dvd Calendar'!$AG$1171)=0))&gt;0)=0,"",'Dvd Calendar'!$AG$1171*1000000000+ISNUMBER('Dvd Calendar'!$AG$1174)*100000000+('Dvd Calendar'!$AG$1176=SPECIAL_LBL)*10000000+(N('Dvd Calendar'!$AG$1170)&gt;0)*(N('Dvd Calendar'!$AG$1170)&lt;=VAL_SERIAL)*1000000+6*1000+29))</f>
        <v/>
      </c>
      <c r="FH121" s="121">
        <f>IF(N('Dvd Calendar'!$AH$1171)=0,"",IF(('Dvd Calendar'!$AH$1171&gt;=GRID_FROM)*('Dvd Calendar'!$AH$1171&lt;=GRID_TO)*((('Dvd Calendar'!$AH$1171&lt;=VAL_DATE)+(COUNTIF('Dvd Calendar'!$E$1178:$AR$1178,'Dvd Calendar'!$AH$1171)=0))&gt;0)=0,"",'Dvd Calendar'!$AH$1171*1000000000+ISNUMBER('Dvd Calendar'!$AH$1174)*100000000+('Dvd Calendar'!$AH$1176=SPECIAL_LBL)*10000000+(N('Dvd Calendar'!$AH$1170)&gt;0)*(N('Dvd Calendar'!$AH$1170)&lt;=VAL_SERIAL)*1000000+6*1000+30))</f>
        <v/>
      </c>
      <c r="FI121" s="121">
        <f>IF(N('Dvd Calendar'!$AI$1171)=0,"",IF(('Dvd Calendar'!$AI$1171&gt;=GRID_FROM)*('Dvd Calendar'!$AI$1171&lt;=GRID_TO)*((('Dvd Calendar'!$AI$1171&lt;=VAL_DATE)+(COUNTIF('Dvd Calendar'!$E$1178:$AR$1178,'Dvd Calendar'!$AI$1171)=0))&gt;0)=0,"",'Dvd Calendar'!$AI$1171*1000000000+ISNUMBER('Dvd Calendar'!$AI$1174)*100000000+('Dvd Calendar'!$AI$1176=SPECIAL_LBL)*10000000+(N('Dvd Calendar'!$AI$1170)&gt;0)*(N('Dvd Calendar'!$AI$1170)&lt;=VAL_SERIAL)*1000000+6*1000+31))</f>
        <v/>
      </c>
      <c r="FJ121" s="121">
        <f>IF(N('Dvd Calendar'!$AJ$1171)=0,"",IF(('Dvd Calendar'!$AJ$1171&gt;=GRID_FROM)*('Dvd Calendar'!$AJ$1171&lt;=GRID_TO)*((('Dvd Calendar'!$AJ$1171&lt;=VAL_DATE)+(COUNTIF('Dvd Calendar'!$E$1178:$AR$1178,'Dvd Calendar'!$AJ$1171)=0))&gt;0)=0,"",'Dvd Calendar'!$AJ$1171*1000000000+ISNUMBER('Dvd Calendar'!$AJ$1174)*100000000+('Dvd Calendar'!$AJ$1176=SPECIAL_LBL)*10000000+(N('Dvd Calendar'!$AJ$1170)&gt;0)*(N('Dvd Calendar'!$AJ$1170)&lt;=VAL_SERIAL)*1000000+6*1000+32))</f>
        <v/>
      </c>
      <c r="FK121" s="121">
        <f>IF(N('Dvd Calendar'!$AK$1171)=0,"",IF(('Dvd Calendar'!$AK$1171&gt;=GRID_FROM)*('Dvd Calendar'!$AK$1171&lt;=GRID_TO)*((('Dvd Calendar'!$AK$1171&lt;=VAL_DATE)+(COUNTIF('Dvd Calendar'!$E$1178:$AR$1178,'Dvd Calendar'!$AK$1171)=0))&gt;0)=0,"",'Dvd Calendar'!$AK$1171*1000000000+ISNUMBER('Dvd Calendar'!$AK$1174)*100000000+('Dvd Calendar'!$AK$1176=SPECIAL_LBL)*10000000+(N('Dvd Calendar'!$AK$1170)&gt;0)*(N('Dvd Calendar'!$AK$1170)&lt;=VAL_SERIAL)*1000000+6*1000+33))</f>
        <v/>
      </c>
      <c r="FL121" s="121">
        <f>IF(N('Dvd Calendar'!$AL$1171)=0,"",IF(('Dvd Calendar'!$AL$1171&gt;=GRID_FROM)*('Dvd Calendar'!$AL$1171&lt;=GRID_TO)*((('Dvd Calendar'!$AL$1171&lt;=VAL_DATE)+(COUNTIF('Dvd Calendar'!$E$1178:$AR$1178,'Dvd Calendar'!$AL$1171)=0))&gt;0)=0,"",'Dvd Calendar'!$AL$1171*1000000000+ISNUMBER('Dvd Calendar'!$AL$1174)*100000000+('Dvd Calendar'!$AL$1176=SPECIAL_LBL)*10000000+(N('Dvd Calendar'!$AL$1170)&gt;0)*(N('Dvd Calendar'!$AL$1170)&lt;=VAL_SERIAL)*1000000+6*1000+34))</f>
        <v/>
      </c>
      <c r="FM121" s="121">
        <f>IF(N('Dvd Calendar'!$AM$1171)=0,"",IF(('Dvd Calendar'!$AM$1171&gt;=GRID_FROM)*('Dvd Calendar'!$AM$1171&lt;=GRID_TO)*((('Dvd Calendar'!$AM$1171&lt;=VAL_DATE)+(COUNTIF('Dvd Calendar'!$E$1178:$AR$1178,'Dvd Calendar'!$AM$1171)=0))&gt;0)=0,"",'Dvd Calendar'!$AM$1171*1000000000+ISNUMBER('Dvd Calendar'!$AM$1174)*100000000+('Dvd Calendar'!$AM$1176=SPECIAL_LBL)*10000000+(N('Dvd Calendar'!$AM$1170)&gt;0)*(N('Dvd Calendar'!$AM$1170)&lt;=VAL_SERIAL)*1000000+6*1000+35))</f>
        <v/>
      </c>
      <c r="FN121" s="121">
        <f>IF(N('Dvd Calendar'!$AN$1171)=0,"",IF(('Dvd Calendar'!$AN$1171&gt;=GRID_FROM)*('Dvd Calendar'!$AN$1171&lt;=GRID_TO)*((('Dvd Calendar'!$AN$1171&lt;=VAL_DATE)+(COUNTIF('Dvd Calendar'!$E$1178:$AR$1178,'Dvd Calendar'!$AN$1171)=0))&gt;0)=0,"",'Dvd Calendar'!$AN$1171*1000000000+ISNUMBER('Dvd Calendar'!$AN$1174)*100000000+('Dvd Calendar'!$AN$1176=SPECIAL_LBL)*10000000+(N('Dvd Calendar'!$AN$1170)&gt;0)*(N('Dvd Calendar'!$AN$1170)&lt;=VAL_SERIAL)*1000000+6*1000+36))</f>
        <v/>
      </c>
      <c r="FO121" s="121">
        <f>IF(N('Dvd Calendar'!$AO$1171)=0,"",IF(('Dvd Calendar'!$AO$1171&gt;=GRID_FROM)*('Dvd Calendar'!$AO$1171&lt;=GRID_TO)*((('Dvd Calendar'!$AO$1171&lt;=VAL_DATE)+(COUNTIF('Dvd Calendar'!$E$1178:$AR$1178,'Dvd Calendar'!$AO$1171)=0))&gt;0)=0,"",'Dvd Calendar'!$AO$1171*1000000000+ISNUMBER('Dvd Calendar'!$AO$1174)*100000000+('Dvd Calendar'!$AO$1176=SPECIAL_LBL)*10000000+(N('Dvd Calendar'!$AO$1170)&gt;0)*(N('Dvd Calendar'!$AO$1170)&lt;=VAL_SERIAL)*1000000+6*1000+37))</f>
        <v/>
      </c>
      <c r="FP121" s="121">
        <f>IF(N('Dvd Calendar'!$AP$1171)=0,"",IF(('Dvd Calendar'!$AP$1171&gt;=GRID_FROM)*('Dvd Calendar'!$AP$1171&lt;=GRID_TO)*((('Dvd Calendar'!$AP$1171&lt;=VAL_DATE)+(COUNTIF('Dvd Calendar'!$E$1178:$AR$1178,'Dvd Calendar'!$AP$1171)=0))&gt;0)=0,"",'Dvd Calendar'!$AP$1171*1000000000+ISNUMBER('Dvd Calendar'!$AP$1174)*100000000+('Dvd Calendar'!$AP$1176=SPECIAL_LBL)*10000000+(N('Dvd Calendar'!$AP$1170)&gt;0)*(N('Dvd Calendar'!$AP$1170)&lt;=VAL_SERIAL)*1000000+6*1000+38))</f>
        <v/>
      </c>
      <c r="FQ121" s="121">
        <f>IF(N('Dvd Calendar'!$AQ$1171)=0,"",IF(('Dvd Calendar'!$AQ$1171&gt;=GRID_FROM)*('Dvd Calendar'!$AQ$1171&lt;=GRID_TO)*((('Dvd Calendar'!$AQ$1171&lt;=VAL_DATE)+(COUNTIF('Dvd Calendar'!$E$1178:$AR$1178,'Dvd Calendar'!$AQ$1171)=0))&gt;0)=0,"",'Dvd Calendar'!$AQ$1171*1000000000+ISNUMBER('Dvd Calendar'!$AQ$1174)*100000000+('Dvd Calendar'!$AQ$1176=SPECIAL_LBL)*10000000+(N('Dvd Calendar'!$AQ$1170)&gt;0)*(N('Dvd Calendar'!$AQ$1170)&lt;=VAL_SERIAL)*1000000+6*1000+39))</f>
        <v/>
      </c>
      <c r="FR121" s="121">
        <f>IF(N('Dvd Calendar'!$AR$1171)=0,"",IF(('Dvd Calendar'!$AR$1171&gt;=GRID_FROM)*('Dvd Calendar'!$AR$1171&lt;=GRID_TO)*((('Dvd Calendar'!$AR$1171&lt;=VAL_DATE)+(COUNTIF('Dvd Calendar'!$E$1178:$AR$1178,'Dvd Calendar'!$AR$1171)=0))&gt;0)=0,"",'Dvd Calendar'!$AR$1171*1000000000+ISNUMBER('Dvd Calendar'!$AR$1174)*100000000+('Dvd Calendar'!$AR$1176=SPECIAL_LBL)*10000000+(N('Dvd Calendar'!$AR$1170)&gt;0)*(N('Dvd Calendar'!$AR$1170)&lt;=VAL_SERIAL)*1000000+6*1000+40))</f>
        <v/>
      </c>
      <c r="FS121" s="121">
        <f>IF(N('Dvd Calendar'!$E$1178)=0,"",IF(('Dvd Calendar'!$E$1178&gt;=GRID_FROM)*('Dvd Calendar'!$E$1178&lt;=GRID_TO)*('Dvd Calendar'!$E$1178&gt;VAL_DATE)=0,"",'Dvd Calendar'!$E$1178*1000000000+ISNUMBER('Dvd Calendar'!$E$1179)*100000000+0*10000000+(N('Dvd Calendar'!$E$1177)&gt;0)*(N('Dvd Calendar'!$E$1177)&lt;=VAL_SERIAL)*1000000+6*1000+41))</f>
        <v/>
      </c>
      <c r="FT121" s="121">
        <f>IF(N('Dvd Calendar'!$F$1178)=0,"",IF(('Dvd Calendar'!$F$1178&gt;=GRID_FROM)*('Dvd Calendar'!$F$1178&lt;=GRID_TO)*('Dvd Calendar'!$F$1178&gt;VAL_DATE)=0,"",'Dvd Calendar'!$F$1178*1000000000+ISNUMBER('Dvd Calendar'!$F$1179)*100000000+0*10000000+(N('Dvd Calendar'!$F$1177)&gt;0)*(N('Dvd Calendar'!$F$1177)&lt;=VAL_SERIAL)*1000000+6*1000+42))</f>
        <v/>
      </c>
      <c r="FU121" s="121">
        <f>IF(N('Dvd Calendar'!$G$1178)=0,"",IF(('Dvd Calendar'!$G$1178&gt;=GRID_FROM)*('Dvd Calendar'!$G$1178&lt;=GRID_TO)*('Dvd Calendar'!$G$1178&gt;VAL_DATE)=0,"",'Dvd Calendar'!$G$1178*1000000000+ISNUMBER('Dvd Calendar'!$G$1179)*100000000+0*10000000+(N('Dvd Calendar'!$G$1177)&gt;0)*(N('Dvd Calendar'!$G$1177)&lt;=VAL_SERIAL)*1000000+6*1000+43))</f>
        <v/>
      </c>
      <c r="FV121" s="121">
        <f>IF(N('Dvd Calendar'!$H$1178)=0,"",IF(('Dvd Calendar'!$H$1178&gt;=GRID_FROM)*('Dvd Calendar'!$H$1178&lt;=GRID_TO)*('Dvd Calendar'!$H$1178&gt;VAL_DATE)=0,"",'Dvd Calendar'!$H$1178*1000000000+ISNUMBER('Dvd Calendar'!$H$1179)*100000000+0*10000000+(N('Dvd Calendar'!$H$1177)&gt;0)*(N('Dvd Calendar'!$H$1177)&lt;=VAL_SERIAL)*1000000+6*1000+44))</f>
        <v/>
      </c>
      <c r="FW121" s="121">
        <f>IF(N('Dvd Calendar'!$I$1178)=0,"",IF(('Dvd Calendar'!$I$1178&gt;=GRID_FROM)*('Dvd Calendar'!$I$1178&lt;=GRID_TO)*('Dvd Calendar'!$I$1178&gt;VAL_DATE)=0,"",'Dvd Calendar'!$I$1178*1000000000+ISNUMBER('Dvd Calendar'!$I$1179)*100000000+0*10000000+(N('Dvd Calendar'!$I$1177)&gt;0)*(N('Dvd Calendar'!$I$1177)&lt;=VAL_SERIAL)*1000000+6*1000+45))</f>
        <v/>
      </c>
      <c r="FX121" s="121">
        <f>IF(N('Dvd Calendar'!$J$1178)=0,"",IF(('Dvd Calendar'!$J$1178&gt;=GRID_FROM)*('Dvd Calendar'!$J$1178&lt;=GRID_TO)*('Dvd Calendar'!$J$1178&gt;VAL_DATE)=0,"",'Dvd Calendar'!$J$1178*1000000000+ISNUMBER('Dvd Calendar'!$J$1179)*100000000+0*10000000+(N('Dvd Calendar'!$J$1177)&gt;0)*(N('Dvd Calendar'!$J$1177)&lt;=VAL_SERIAL)*1000000+6*1000+46))</f>
        <v/>
      </c>
      <c r="FY121" s="121">
        <f>IF(N('Dvd Calendar'!$K$1178)=0,"",IF(('Dvd Calendar'!$K$1178&gt;=GRID_FROM)*('Dvd Calendar'!$K$1178&lt;=GRID_TO)*('Dvd Calendar'!$K$1178&gt;VAL_DATE)=0,"",'Dvd Calendar'!$K$1178*1000000000+ISNUMBER('Dvd Calendar'!$K$1179)*100000000+0*10000000+(N('Dvd Calendar'!$K$1177)&gt;0)*(N('Dvd Calendar'!$K$1177)&lt;=VAL_SERIAL)*1000000+6*1000+47))</f>
        <v/>
      </c>
      <c r="FZ121" s="121">
        <f>IF(N('Dvd Calendar'!$L$1178)=0,"",IF(('Dvd Calendar'!$L$1178&gt;=GRID_FROM)*('Dvd Calendar'!$L$1178&lt;=GRID_TO)*('Dvd Calendar'!$L$1178&gt;VAL_DATE)=0,"",'Dvd Calendar'!$L$1178*1000000000+ISNUMBER('Dvd Calendar'!$L$1179)*100000000+0*10000000+(N('Dvd Calendar'!$L$1177)&gt;0)*(N('Dvd Calendar'!$L$1177)&lt;=VAL_SERIAL)*1000000+6*1000+48))</f>
        <v/>
      </c>
      <c r="GA121" s="121">
        <f>IF(N('Dvd Calendar'!$M$1178)=0,"",IF(('Dvd Calendar'!$M$1178&gt;=GRID_FROM)*('Dvd Calendar'!$M$1178&lt;=GRID_TO)*('Dvd Calendar'!$M$1178&gt;VAL_DATE)=0,"",'Dvd Calendar'!$M$1178*1000000000+ISNUMBER('Dvd Calendar'!$M$1179)*100000000+0*10000000+(N('Dvd Calendar'!$M$1177)&gt;0)*(N('Dvd Calendar'!$M$1177)&lt;=VAL_SERIAL)*1000000+6*1000+49))</f>
        <v/>
      </c>
      <c r="GB121" s="121">
        <f>IF(N('Dvd Calendar'!$N$1178)=0,"",IF(('Dvd Calendar'!$N$1178&gt;=GRID_FROM)*('Dvd Calendar'!$N$1178&lt;=GRID_TO)*('Dvd Calendar'!$N$1178&gt;VAL_DATE)=0,"",'Dvd Calendar'!$N$1178*1000000000+ISNUMBER('Dvd Calendar'!$N$1179)*100000000+0*10000000+(N('Dvd Calendar'!$N$1177)&gt;0)*(N('Dvd Calendar'!$N$1177)&lt;=VAL_SERIAL)*1000000+6*1000+50))</f>
        <v/>
      </c>
      <c r="GC121" s="121">
        <f>IF(N('Dvd Calendar'!$O$1178)=0,"",IF(('Dvd Calendar'!$O$1178&gt;=GRID_FROM)*('Dvd Calendar'!$O$1178&lt;=GRID_TO)*('Dvd Calendar'!$O$1178&gt;VAL_DATE)=0,"",'Dvd Calendar'!$O$1178*1000000000+ISNUMBER('Dvd Calendar'!$O$1179)*100000000+0*10000000+(N('Dvd Calendar'!$O$1177)&gt;0)*(N('Dvd Calendar'!$O$1177)&lt;=VAL_SERIAL)*1000000+6*1000+51))</f>
        <v/>
      </c>
      <c r="GD121" s="121">
        <f>IF(N('Dvd Calendar'!$P$1178)=0,"",IF(('Dvd Calendar'!$P$1178&gt;=GRID_FROM)*('Dvd Calendar'!$P$1178&lt;=GRID_TO)*('Dvd Calendar'!$P$1178&gt;VAL_DATE)=0,"",'Dvd Calendar'!$P$1178*1000000000+ISNUMBER('Dvd Calendar'!$P$1179)*100000000+0*10000000+(N('Dvd Calendar'!$P$1177)&gt;0)*(N('Dvd Calendar'!$P$1177)&lt;=VAL_SERIAL)*1000000+6*1000+52))</f>
        <v/>
      </c>
      <c r="GE121" s="121">
        <f>IF(N('Dvd Calendar'!$Q$1178)=0,"",IF(('Dvd Calendar'!$Q$1178&gt;=GRID_FROM)*('Dvd Calendar'!$Q$1178&lt;=GRID_TO)*('Dvd Calendar'!$Q$1178&gt;VAL_DATE)=0,"",'Dvd Calendar'!$Q$1178*1000000000+ISNUMBER('Dvd Calendar'!$Q$1179)*100000000+0*10000000+(N('Dvd Calendar'!$Q$1177)&gt;0)*(N('Dvd Calendar'!$Q$1177)&lt;=VAL_SERIAL)*1000000+6*1000+53))</f>
        <v/>
      </c>
      <c r="GF121" s="121">
        <f>IF(N('Dvd Calendar'!$R$1178)=0,"",IF(('Dvd Calendar'!$R$1178&gt;=GRID_FROM)*('Dvd Calendar'!$R$1178&lt;=GRID_TO)*('Dvd Calendar'!$R$1178&gt;VAL_DATE)=0,"",'Dvd Calendar'!$R$1178*1000000000+ISNUMBER('Dvd Calendar'!$R$1179)*100000000+0*10000000+(N('Dvd Calendar'!$R$1177)&gt;0)*(N('Dvd Calendar'!$R$1177)&lt;=VAL_SERIAL)*1000000+6*1000+54))</f>
        <v/>
      </c>
      <c r="GG121" s="121">
        <f>IF(N('Dvd Calendar'!$S$1178)=0,"",IF(('Dvd Calendar'!$S$1178&gt;=GRID_FROM)*('Dvd Calendar'!$S$1178&lt;=GRID_TO)*('Dvd Calendar'!$S$1178&gt;VAL_DATE)=0,"",'Dvd Calendar'!$S$1178*1000000000+ISNUMBER('Dvd Calendar'!$S$1179)*100000000+0*10000000+(N('Dvd Calendar'!$S$1177)&gt;0)*(N('Dvd Calendar'!$S$1177)&lt;=VAL_SERIAL)*1000000+6*1000+55))</f>
        <v/>
      </c>
      <c r="GH121" s="121">
        <f>IF(N('Dvd Calendar'!$T$1178)=0,"",IF(('Dvd Calendar'!$T$1178&gt;=GRID_FROM)*('Dvd Calendar'!$T$1178&lt;=GRID_TO)*('Dvd Calendar'!$T$1178&gt;VAL_DATE)=0,"",'Dvd Calendar'!$T$1178*1000000000+ISNUMBER('Dvd Calendar'!$T$1179)*100000000+0*10000000+(N('Dvd Calendar'!$T$1177)&gt;0)*(N('Dvd Calendar'!$T$1177)&lt;=VAL_SERIAL)*1000000+6*1000+56))</f>
        <v/>
      </c>
      <c r="GI121" s="121">
        <f>IF(N('Dvd Calendar'!$U$1178)=0,"",IF(('Dvd Calendar'!$U$1178&gt;=GRID_FROM)*('Dvd Calendar'!$U$1178&lt;=GRID_TO)*('Dvd Calendar'!$U$1178&gt;VAL_DATE)=0,"",'Dvd Calendar'!$U$1178*1000000000+ISNUMBER('Dvd Calendar'!$U$1179)*100000000+0*10000000+(N('Dvd Calendar'!$U$1177)&gt;0)*(N('Dvd Calendar'!$U$1177)&lt;=VAL_SERIAL)*1000000+6*1000+57))</f>
        <v/>
      </c>
      <c r="GJ121" s="121">
        <f>IF(N('Dvd Calendar'!$V$1178)=0,"",IF(('Dvd Calendar'!$V$1178&gt;=GRID_FROM)*('Dvd Calendar'!$V$1178&lt;=GRID_TO)*('Dvd Calendar'!$V$1178&gt;VAL_DATE)=0,"",'Dvd Calendar'!$V$1178*1000000000+ISNUMBER('Dvd Calendar'!$V$1179)*100000000+0*10000000+(N('Dvd Calendar'!$V$1177)&gt;0)*(N('Dvd Calendar'!$V$1177)&lt;=VAL_SERIAL)*1000000+6*1000+58))</f>
        <v/>
      </c>
      <c r="GK121" s="121">
        <f>IF(N('Dvd Calendar'!$W$1178)=0,"",IF(('Dvd Calendar'!$W$1178&gt;=GRID_FROM)*('Dvd Calendar'!$W$1178&lt;=GRID_TO)*('Dvd Calendar'!$W$1178&gt;VAL_DATE)=0,"",'Dvd Calendar'!$W$1178*1000000000+ISNUMBER('Dvd Calendar'!$W$1179)*100000000+0*10000000+(N('Dvd Calendar'!$W$1177)&gt;0)*(N('Dvd Calendar'!$W$1177)&lt;=VAL_SERIAL)*1000000+6*1000+59))</f>
        <v/>
      </c>
      <c r="GL121" s="121">
        <f>IF(N('Dvd Calendar'!$X$1178)=0,"",IF(('Dvd Calendar'!$X$1178&gt;=GRID_FROM)*('Dvd Calendar'!$X$1178&lt;=GRID_TO)*('Dvd Calendar'!$X$1178&gt;VAL_DATE)=0,"",'Dvd Calendar'!$X$1178*1000000000+ISNUMBER('Dvd Calendar'!$X$1179)*100000000+0*10000000+(N('Dvd Calendar'!$X$1177)&gt;0)*(N('Dvd Calendar'!$X$1177)&lt;=VAL_SERIAL)*1000000+6*1000+60))</f>
        <v/>
      </c>
      <c r="GM121" s="121">
        <f>IF(N('Dvd Calendar'!$Y$1178)=0,"",IF(('Dvd Calendar'!$Y$1178&gt;=GRID_FROM)*('Dvd Calendar'!$Y$1178&lt;=GRID_TO)*('Dvd Calendar'!$Y$1178&gt;VAL_DATE)=0,"",'Dvd Calendar'!$Y$1178*1000000000+ISNUMBER('Dvd Calendar'!$Y$1179)*100000000+0*10000000+(N('Dvd Calendar'!$Y$1177)&gt;0)*(N('Dvd Calendar'!$Y$1177)&lt;=VAL_SERIAL)*1000000+6*1000+61))</f>
        <v/>
      </c>
      <c r="GN121" s="121">
        <f>IF(N('Dvd Calendar'!$Z$1178)=0,"",IF(('Dvd Calendar'!$Z$1178&gt;=GRID_FROM)*('Dvd Calendar'!$Z$1178&lt;=GRID_TO)*('Dvd Calendar'!$Z$1178&gt;VAL_DATE)=0,"",'Dvd Calendar'!$Z$1178*1000000000+ISNUMBER('Dvd Calendar'!$Z$1179)*100000000+0*10000000+(N('Dvd Calendar'!$Z$1177)&gt;0)*(N('Dvd Calendar'!$Z$1177)&lt;=VAL_SERIAL)*1000000+6*1000+62))</f>
        <v/>
      </c>
      <c r="GO121" s="121">
        <f>IF(N('Dvd Calendar'!$AA$1178)=0,"",IF(('Dvd Calendar'!$AA$1178&gt;=GRID_FROM)*('Dvd Calendar'!$AA$1178&lt;=GRID_TO)*('Dvd Calendar'!$AA$1178&gt;VAL_DATE)=0,"",'Dvd Calendar'!$AA$1178*1000000000+ISNUMBER('Dvd Calendar'!$AA$1179)*100000000+0*10000000+(N('Dvd Calendar'!$AA$1177)&gt;0)*(N('Dvd Calendar'!$AA$1177)&lt;=VAL_SERIAL)*1000000+6*1000+63))</f>
        <v/>
      </c>
      <c r="GP121" s="121">
        <f>IF(N('Dvd Calendar'!$AB$1178)=0,"",IF(('Dvd Calendar'!$AB$1178&gt;=GRID_FROM)*('Dvd Calendar'!$AB$1178&lt;=GRID_TO)*('Dvd Calendar'!$AB$1178&gt;VAL_DATE)=0,"",'Dvd Calendar'!$AB$1178*1000000000+ISNUMBER('Dvd Calendar'!$AB$1179)*100000000+0*10000000+(N('Dvd Calendar'!$AB$1177)&gt;0)*(N('Dvd Calendar'!$AB$1177)&lt;=VAL_SERIAL)*1000000+6*1000+64))</f>
        <v/>
      </c>
      <c r="GQ121" s="121">
        <f>IF(N('Dvd Calendar'!$AC$1178)=0,"",IF(('Dvd Calendar'!$AC$1178&gt;=GRID_FROM)*('Dvd Calendar'!$AC$1178&lt;=GRID_TO)*('Dvd Calendar'!$AC$1178&gt;VAL_DATE)=0,"",'Dvd Calendar'!$AC$1178*1000000000+ISNUMBER('Dvd Calendar'!$AC$1179)*100000000+0*10000000+(N('Dvd Calendar'!$AC$1177)&gt;0)*(N('Dvd Calendar'!$AC$1177)&lt;=VAL_SERIAL)*1000000+6*1000+65))</f>
        <v/>
      </c>
    </row>
    <row r="122">
      <c r="B122" s="2">
        <f>IF(HSTECH!$C$13="","",HSTECH!$C$13)</f>
        <v/>
      </c>
      <c r="C122" s="161">
        <f>IF(EE122="","",IF(ISNUMBER('Dvd Calendar'!$E$1185)=FALSE,"",IF((('Dvd Calendar'!$E$1187=TYPE1)*(TYPE1&lt;&gt;"")+('Dvd Calendar'!$E$1187=TYPE2)*(TYPE2&lt;&gt;"")+('Dvd Calendar'!$E$1187=TYPE3)*(TYPE3&lt;&gt;"")+('Dvd Calendar'!$E$1187=TYPE4)*(TYPE4&lt;&gt;"")+('Dvd Calendar'!$E$1187=SPECIAL_LBL)*(INC_SPECIALS="Y"))=0,"",'Dvd Calendar'!$E$1185)))</f>
        <v/>
      </c>
      <c r="D122" s="161">
        <f>IF(EF122="","",IF(ISNUMBER('Dvd Calendar'!$F$1185)=FALSE,"",IF((('Dvd Calendar'!$F$1187=TYPE1)*(TYPE1&lt;&gt;"")+('Dvd Calendar'!$F$1187=TYPE2)*(TYPE2&lt;&gt;"")+('Dvd Calendar'!$F$1187=TYPE3)*(TYPE3&lt;&gt;"")+('Dvd Calendar'!$F$1187=TYPE4)*(TYPE4&lt;&gt;"")+('Dvd Calendar'!$F$1187=SPECIAL_LBL)*(INC_SPECIALS="Y"))=0,"",'Dvd Calendar'!$F$1185)))</f>
        <v/>
      </c>
      <c r="E122" s="161">
        <f>IF(EG122="","",IF(ISNUMBER('Dvd Calendar'!$G$1185)=FALSE,"",IF((('Dvd Calendar'!$G$1187=TYPE1)*(TYPE1&lt;&gt;"")+('Dvd Calendar'!$G$1187=TYPE2)*(TYPE2&lt;&gt;"")+('Dvd Calendar'!$G$1187=TYPE3)*(TYPE3&lt;&gt;"")+('Dvd Calendar'!$G$1187=TYPE4)*(TYPE4&lt;&gt;"")+('Dvd Calendar'!$G$1187=SPECIAL_LBL)*(INC_SPECIALS="Y"))=0,"",'Dvd Calendar'!$G$1185)))</f>
        <v/>
      </c>
      <c r="F122" s="161">
        <f>IF(EH122="","",IF(ISNUMBER('Dvd Calendar'!$H$1185)=FALSE,"",IF((('Dvd Calendar'!$H$1187=TYPE1)*(TYPE1&lt;&gt;"")+('Dvd Calendar'!$H$1187=TYPE2)*(TYPE2&lt;&gt;"")+('Dvd Calendar'!$H$1187=TYPE3)*(TYPE3&lt;&gt;"")+('Dvd Calendar'!$H$1187=TYPE4)*(TYPE4&lt;&gt;"")+('Dvd Calendar'!$H$1187=SPECIAL_LBL)*(INC_SPECIALS="Y"))=0,"",'Dvd Calendar'!$H$1185)))</f>
        <v/>
      </c>
      <c r="G122" s="161">
        <f>IF(EI122="","",IF(ISNUMBER('Dvd Calendar'!$I$1185)=FALSE,"",IF((('Dvd Calendar'!$I$1187=TYPE1)*(TYPE1&lt;&gt;"")+('Dvd Calendar'!$I$1187=TYPE2)*(TYPE2&lt;&gt;"")+('Dvd Calendar'!$I$1187=TYPE3)*(TYPE3&lt;&gt;"")+('Dvd Calendar'!$I$1187=TYPE4)*(TYPE4&lt;&gt;"")+('Dvd Calendar'!$I$1187=SPECIAL_LBL)*(INC_SPECIALS="Y"))=0,"",'Dvd Calendar'!$I$1185)))</f>
        <v/>
      </c>
      <c r="H122" s="161">
        <f>IF(EJ122="","",IF(ISNUMBER('Dvd Calendar'!$J$1185)=FALSE,"",IF((('Dvd Calendar'!$J$1187=TYPE1)*(TYPE1&lt;&gt;"")+('Dvd Calendar'!$J$1187=TYPE2)*(TYPE2&lt;&gt;"")+('Dvd Calendar'!$J$1187=TYPE3)*(TYPE3&lt;&gt;"")+('Dvd Calendar'!$J$1187=TYPE4)*(TYPE4&lt;&gt;"")+('Dvd Calendar'!$J$1187=SPECIAL_LBL)*(INC_SPECIALS="Y"))=0,"",'Dvd Calendar'!$J$1185)))</f>
        <v/>
      </c>
      <c r="I122" s="161">
        <f>IF(EK122="","",IF(ISNUMBER('Dvd Calendar'!$K$1185)=FALSE,"",IF((('Dvd Calendar'!$K$1187=TYPE1)*(TYPE1&lt;&gt;"")+('Dvd Calendar'!$K$1187=TYPE2)*(TYPE2&lt;&gt;"")+('Dvd Calendar'!$K$1187=TYPE3)*(TYPE3&lt;&gt;"")+('Dvd Calendar'!$K$1187=TYPE4)*(TYPE4&lt;&gt;"")+('Dvd Calendar'!$K$1187=SPECIAL_LBL)*(INC_SPECIALS="Y"))=0,"",'Dvd Calendar'!$K$1185)))</f>
        <v/>
      </c>
      <c r="J122" s="161">
        <f>IF(EL122="","",IF(ISNUMBER('Dvd Calendar'!$L$1185)=FALSE,"",IF((('Dvd Calendar'!$L$1187=TYPE1)*(TYPE1&lt;&gt;"")+('Dvd Calendar'!$L$1187=TYPE2)*(TYPE2&lt;&gt;"")+('Dvd Calendar'!$L$1187=TYPE3)*(TYPE3&lt;&gt;"")+('Dvd Calendar'!$L$1187=TYPE4)*(TYPE4&lt;&gt;"")+('Dvd Calendar'!$L$1187=SPECIAL_LBL)*(INC_SPECIALS="Y"))=0,"",'Dvd Calendar'!$L$1185)))</f>
        <v/>
      </c>
      <c r="K122" s="161">
        <f>IF(EM122="","",IF(ISNUMBER('Dvd Calendar'!$M$1185)=FALSE,"",IF((('Dvd Calendar'!$M$1187=TYPE1)*(TYPE1&lt;&gt;"")+('Dvd Calendar'!$M$1187=TYPE2)*(TYPE2&lt;&gt;"")+('Dvd Calendar'!$M$1187=TYPE3)*(TYPE3&lt;&gt;"")+('Dvd Calendar'!$M$1187=TYPE4)*(TYPE4&lt;&gt;"")+('Dvd Calendar'!$M$1187=SPECIAL_LBL)*(INC_SPECIALS="Y"))=0,"",'Dvd Calendar'!$M$1185)))</f>
        <v/>
      </c>
      <c r="L122" s="161">
        <f>IF(EN122="","",IF(ISNUMBER('Dvd Calendar'!$N$1185)=FALSE,"",IF((('Dvd Calendar'!$N$1187=TYPE1)*(TYPE1&lt;&gt;"")+('Dvd Calendar'!$N$1187=TYPE2)*(TYPE2&lt;&gt;"")+('Dvd Calendar'!$N$1187=TYPE3)*(TYPE3&lt;&gt;"")+('Dvd Calendar'!$N$1187=TYPE4)*(TYPE4&lt;&gt;"")+('Dvd Calendar'!$N$1187=SPECIAL_LBL)*(INC_SPECIALS="Y"))=0,"",'Dvd Calendar'!$N$1185)))</f>
        <v/>
      </c>
      <c r="M122" s="161">
        <f>IF(EO122="","",IF(ISNUMBER('Dvd Calendar'!$O$1185)=FALSE,"",IF((('Dvd Calendar'!$O$1187=TYPE1)*(TYPE1&lt;&gt;"")+('Dvd Calendar'!$O$1187=TYPE2)*(TYPE2&lt;&gt;"")+('Dvd Calendar'!$O$1187=TYPE3)*(TYPE3&lt;&gt;"")+('Dvd Calendar'!$O$1187=TYPE4)*(TYPE4&lt;&gt;"")+('Dvd Calendar'!$O$1187=SPECIAL_LBL)*(INC_SPECIALS="Y"))=0,"",'Dvd Calendar'!$O$1185)))</f>
        <v/>
      </c>
      <c r="N122" s="161">
        <f>IF(EP122="","",IF(ISNUMBER('Dvd Calendar'!$P$1185)=FALSE,"",IF((('Dvd Calendar'!$P$1187=TYPE1)*(TYPE1&lt;&gt;"")+('Dvd Calendar'!$P$1187=TYPE2)*(TYPE2&lt;&gt;"")+('Dvd Calendar'!$P$1187=TYPE3)*(TYPE3&lt;&gt;"")+('Dvd Calendar'!$P$1187=TYPE4)*(TYPE4&lt;&gt;"")+('Dvd Calendar'!$P$1187=SPECIAL_LBL)*(INC_SPECIALS="Y"))=0,"",'Dvd Calendar'!$P$1185)))</f>
        <v/>
      </c>
      <c r="O122" s="161">
        <f>IF(EQ122="","",IF(ISNUMBER('Dvd Calendar'!$Q$1185)=FALSE,"",IF((('Dvd Calendar'!$Q$1187=TYPE1)*(TYPE1&lt;&gt;"")+('Dvd Calendar'!$Q$1187=TYPE2)*(TYPE2&lt;&gt;"")+('Dvd Calendar'!$Q$1187=TYPE3)*(TYPE3&lt;&gt;"")+('Dvd Calendar'!$Q$1187=TYPE4)*(TYPE4&lt;&gt;"")+('Dvd Calendar'!$Q$1187=SPECIAL_LBL)*(INC_SPECIALS="Y"))=0,"",'Dvd Calendar'!$Q$1185)))</f>
        <v/>
      </c>
      <c r="P122" s="161">
        <f>IF(ER122="","",IF(ISNUMBER('Dvd Calendar'!$R$1185)=FALSE,"",IF((('Dvd Calendar'!$R$1187=TYPE1)*(TYPE1&lt;&gt;"")+('Dvd Calendar'!$R$1187=TYPE2)*(TYPE2&lt;&gt;"")+('Dvd Calendar'!$R$1187=TYPE3)*(TYPE3&lt;&gt;"")+('Dvd Calendar'!$R$1187=TYPE4)*(TYPE4&lt;&gt;"")+('Dvd Calendar'!$R$1187=SPECIAL_LBL)*(INC_SPECIALS="Y"))=0,"",'Dvd Calendar'!$R$1185)))</f>
        <v/>
      </c>
      <c r="Q122" s="161">
        <f>IF(ES122="","",IF(ISNUMBER('Dvd Calendar'!$S$1185)=FALSE,"",IF((('Dvd Calendar'!$S$1187=TYPE1)*(TYPE1&lt;&gt;"")+('Dvd Calendar'!$S$1187=TYPE2)*(TYPE2&lt;&gt;"")+('Dvd Calendar'!$S$1187=TYPE3)*(TYPE3&lt;&gt;"")+('Dvd Calendar'!$S$1187=TYPE4)*(TYPE4&lt;&gt;"")+('Dvd Calendar'!$S$1187=SPECIAL_LBL)*(INC_SPECIALS="Y"))=0,"",'Dvd Calendar'!$S$1185)))</f>
        <v/>
      </c>
      <c r="R122" s="161">
        <f>IF(ET122="","",IF(ISNUMBER('Dvd Calendar'!$T$1185)=FALSE,"",IF((('Dvd Calendar'!$T$1187=TYPE1)*(TYPE1&lt;&gt;"")+('Dvd Calendar'!$T$1187=TYPE2)*(TYPE2&lt;&gt;"")+('Dvd Calendar'!$T$1187=TYPE3)*(TYPE3&lt;&gt;"")+('Dvd Calendar'!$T$1187=TYPE4)*(TYPE4&lt;&gt;"")+('Dvd Calendar'!$T$1187=SPECIAL_LBL)*(INC_SPECIALS="Y"))=0,"",'Dvd Calendar'!$T$1185)))</f>
        <v/>
      </c>
      <c r="S122" s="161">
        <f>IF(EU122="","",IF(ISNUMBER('Dvd Calendar'!$U$1185)=FALSE,"",IF((('Dvd Calendar'!$U$1187=TYPE1)*(TYPE1&lt;&gt;"")+('Dvd Calendar'!$U$1187=TYPE2)*(TYPE2&lt;&gt;"")+('Dvd Calendar'!$U$1187=TYPE3)*(TYPE3&lt;&gt;"")+('Dvd Calendar'!$U$1187=TYPE4)*(TYPE4&lt;&gt;"")+('Dvd Calendar'!$U$1187=SPECIAL_LBL)*(INC_SPECIALS="Y"))=0,"",'Dvd Calendar'!$U$1185)))</f>
        <v/>
      </c>
      <c r="T122" s="161">
        <f>IF(EV122="","",IF(ISNUMBER('Dvd Calendar'!$V$1185)=FALSE,"",IF((('Dvd Calendar'!$V$1187=TYPE1)*(TYPE1&lt;&gt;"")+('Dvd Calendar'!$V$1187=TYPE2)*(TYPE2&lt;&gt;"")+('Dvd Calendar'!$V$1187=TYPE3)*(TYPE3&lt;&gt;"")+('Dvd Calendar'!$V$1187=TYPE4)*(TYPE4&lt;&gt;"")+('Dvd Calendar'!$V$1187=SPECIAL_LBL)*(INC_SPECIALS="Y"))=0,"",'Dvd Calendar'!$V$1185)))</f>
        <v/>
      </c>
      <c r="U122" s="161">
        <f>IF(EW122="","",IF(ISNUMBER('Dvd Calendar'!$W$1185)=FALSE,"",IF((('Dvd Calendar'!$W$1187=TYPE1)*(TYPE1&lt;&gt;"")+('Dvd Calendar'!$W$1187=TYPE2)*(TYPE2&lt;&gt;"")+('Dvd Calendar'!$W$1187=TYPE3)*(TYPE3&lt;&gt;"")+('Dvd Calendar'!$W$1187=TYPE4)*(TYPE4&lt;&gt;"")+('Dvd Calendar'!$W$1187=SPECIAL_LBL)*(INC_SPECIALS="Y"))=0,"",'Dvd Calendar'!$W$1185)))</f>
        <v/>
      </c>
      <c r="V122" s="161">
        <f>IF(EX122="","",IF(ISNUMBER('Dvd Calendar'!$X$1185)=FALSE,"",IF((('Dvd Calendar'!$X$1187=TYPE1)*(TYPE1&lt;&gt;"")+('Dvd Calendar'!$X$1187=TYPE2)*(TYPE2&lt;&gt;"")+('Dvd Calendar'!$X$1187=TYPE3)*(TYPE3&lt;&gt;"")+('Dvd Calendar'!$X$1187=TYPE4)*(TYPE4&lt;&gt;"")+('Dvd Calendar'!$X$1187=SPECIAL_LBL)*(INC_SPECIALS="Y"))=0,"",'Dvd Calendar'!$X$1185)))</f>
        <v/>
      </c>
      <c r="W122" s="161">
        <f>IF(EY122="","",IF(ISNUMBER('Dvd Calendar'!$Y$1185)=FALSE,"",IF((('Dvd Calendar'!$Y$1187=TYPE1)*(TYPE1&lt;&gt;"")+('Dvd Calendar'!$Y$1187=TYPE2)*(TYPE2&lt;&gt;"")+('Dvd Calendar'!$Y$1187=TYPE3)*(TYPE3&lt;&gt;"")+('Dvd Calendar'!$Y$1187=TYPE4)*(TYPE4&lt;&gt;"")+('Dvd Calendar'!$Y$1187=SPECIAL_LBL)*(INC_SPECIALS="Y"))=0,"",'Dvd Calendar'!$Y$1185)))</f>
        <v/>
      </c>
      <c r="X122" s="161">
        <f>IF(EZ122="","",IF(ISNUMBER('Dvd Calendar'!$Z$1185)=FALSE,"",IF((('Dvd Calendar'!$Z$1187=TYPE1)*(TYPE1&lt;&gt;"")+('Dvd Calendar'!$Z$1187=TYPE2)*(TYPE2&lt;&gt;"")+('Dvd Calendar'!$Z$1187=TYPE3)*(TYPE3&lt;&gt;"")+('Dvd Calendar'!$Z$1187=TYPE4)*(TYPE4&lt;&gt;"")+('Dvd Calendar'!$Z$1187=SPECIAL_LBL)*(INC_SPECIALS="Y"))=0,"",'Dvd Calendar'!$Z$1185)))</f>
        <v/>
      </c>
      <c r="Y122" s="161">
        <f>IF(FA122="","",IF(ISNUMBER('Dvd Calendar'!$AA$1185)=FALSE,"",IF((('Dvd Calendar'!$AA$1187=TYPE1)*(TYPE1&lt;&gt;"")+('Dvd Calendar'!$AA$1187=TYPE2)*(TYPE2&lt;&gt;"")+('Dvd Calendar'!$AA$1187=TYPE3)*(TYPE3&lt;&gt;"")+('Dvd Calendar'!$AA$1187=TYPE4)*(TYPE4&lt;&gt;"")+('Dvd Calendar'!$AA$1187=SPECIAL_LBL)*(INC_SPECIALS="Y"))=0,"",'Dvd Calendar'!$AA$1185)))</f>
        <v/>
      </c>
      <c r="Z122" s="161">
        <f>IF(FB122="","",IF(ISNUMBER('Dvd Calendar'!$AB$1185)=FALSE,"",IF((('Dvd Calendar'!$AB$1187=TYPE1)*(TYPE1&lt;&gt;"")+('Dvd Calendar'!$AB$1187=TYPE2)*(TYPE2&lt;&gt;"")+('Dvd Calendar'!$AB$1187=TYPE3)*(TYPE3&lt;&gt;"")+('Dvd Calendar'!$AB$1187=TYPE4)*(TYPE4&lt;&gt;"")+('Dvd Calendar'!$AB$1187=SPECIAL_LBL)*(INC_SPECIALS="Y"))=0,"",'Dvd Calendar'!$AB$1185)))</f>
        <v/>
      </c>
      <c r="AA122" s="161">
        <f>IF(FC122="","",IF(ISNUMBER('Dvd Calendar'!$AC$1185)=FALSE,"",IF((('Dvd Calendar'!$AC$1187=TYPE1)*(TYPE1&lt;&gt;"")+('Dvd Calendar'!$AC$1187=TYPE2)*(TYPE2&lt;&gt;"")+('Dvd Calendar'!$AC$1187=TYPE3)*(TYPE3&lt;&gt;"")+('Dvd Calendar'!$AC$1187=TYPE4)*(TYPE4&lt;&gt;"")+('Dvd Calendar'!$AC$1187=SPECIAL_LBL)*(INC_SPECIALS="Y"))=0,"",'Dvd Calendar'!$AC$1185)))</f>
        <v/>
      </c>
      <c r="AB122" s="161">
        <f>IF(FD122="","",IF(ISNUMBER('Dvd Calendar'!$AD$1185)=FALSE,"",IF((('Dvd Calendar'!$AD$1187=TYPE1)*(TYPE1&lt;&gt;"")+('Dvd Calendar'!$AD$1187=TYPE2)*(TYPE2&lt;&gt;"")+('Dvd Calendar'!$AD$1187=TYPE3)*(TYPE3&lt;&gt;"")+('Dvd Calendar'!$AD$1187=TYPE4)*(TYPE4&lt;&gt;"")+('Dvd Calendar'!$AD$1187=SPECIAL_LBL)*(INC_SPECIALS="Y"))=0,"",'Dvd Calendar'!$AD$1185)))</f>
        <v/>
      </c>
      <c r="AC122" s="161">
        <f>IF(FE122="","",IF(ISNUMBER('Dvd Calendar'!$AE$1185)=FALSE,"",IF((('Dvd Calendar'!$AE$1187=TYPE1)*(TYPE1&lt;&gt;"")+('Dvd Calendar'!$AE$1187=TYPE2)*(TYPE2&lt;&gt;"")+('Dvd Calendar'!$AE$1187=TYPE3)*(TYPE3&lt;&gt;"")+('Dvd Calendar'!$AE$1187=TYPE4)*(TYPE4&lt;&gt;"")+('Dvd Calendar'!$AE$1187=SPECIAL_LBL)*(INC_SPECIALS="Y"))=0,"",'Dvd Calendar'!$AE$1185)))</f>
        <v/>
      </c>
      <c r="AD122" s="161">
        <f>IF(FF122="","",IF(ISNUMBER('Dvd Calendar'!$AF$1185)=FALSE,"",IF((('Dvd Calendar'!$AF$1187=TYPE1)*(TYPE1&lt;&gt;"")+('Dvd Calendar'!$AF$1187=TYPE2)*(TYPE2&lt;&gt;"")+('Dvd Calendar'!$AF$1187=TYPE3)*(TYPE3&lt;&gt;"")+('Dvd Calendar'!$AF$1187=TYPE4)*(TYPE4&lt;&gt;"")+('Dvd Calendar'!$AF$1187=SPECIAL_LBL)*(INC_SPECIALS="Y"))=0,"",'Dvd Calendar'!$AF$1185)))</f>
        <v/>
      </c>
      <c r="AE122" s="161">
        <f>IF(FG122="","",IF(ISNUMBER('Dvd Calendar'!$AG$1185)=FALSE,"",IF((('Dvd Calendar'!$AG$1187=TYPE1)*(TYPE1&lt;&gt;"")+('Dvd Calendar'!$AG$1187=TYPE2)*(TYPE2&lt;&gt;"")+('Dvd Calendar'!$AG$1187=TYPE3)*(TYPE3&lt;&gt;"")+('Dvd Calendar'!$AG$1187=TYPE4)*(TYPE4&lt;&gt;"")+('Dvd Calendar'!$AG$1187=SPECIAL_LBL)*(INC_SPECIALS="Y"))=0,"",'Dvd Calendar'!$AG$1185)))</f>
        <v/>
      </c>
      <c r="AF122" s="161">
        <f>IF(FH122="","",IF(ISNUMBER('Dvd Calendar'!$AH$1185)=FALSE,"",IF((('Dvd Calendar'!$AH$1187=TYPE1)*(TYPE1&lt;&gt;"")+('Dvd Calendar'!$AH$1187=TYPE2)*(TYPE2&lt;&gt;"")+('Dvd Calendar'!$AH$1187=TYPE3)*(TYPE3&lt;&gt;"")+('Dvd Calendar'!$AH$1187=TYPE4)*(TYPE4&lt;&gt;"")+('Dvd Calendar'!$AH$1187=SPECIAL_LBL)*(INC_SPECIALS="Y"))=0,"",'Dvd Calendar'!$AH$1185)))</f>
        <v/>
      </c>
      <c r="AG122" s="161">
        <f>IF(FI122="","",IF(ISNUMBER('Dvd Calendar'!$AI$1185)=FALSE,"",IF((('Dvd Calendar'!$AI$1187=TYPE1)*(TYPE1&lt;&gt;"")+('Dvd Calendar'!$AI$1187=TYPE2)*(TYPE2&lt;&gt;"")+('Dvd Calendar'!$AI$1187=TYPE3)*(TYPE3&lt;&gt;"")+('Dvd Calendar'!$AI$1187=TYPE4)*(TYPE4&lt;&gt;"")+('Dvd Calendar'!$AI$1187=SPECIAL_LBL)*(INC_SPECIALS="Y"))=0,"",'Dvd Calendar'!$AI$1185)))</f>
        <v/>
      </c>
      <c r="AH122" s="161">
        <f>IF(FJ122="","",IF(ISNUMBER('Dvd Calendar'!$AJ$1185)=FALSE,"",IF((('Dvd Calendar'!$AJ$1187=TYPE1)*(TYPE1&lt;&gt;"")+('Dvd Calendar'!$AJ$1187=TYPE2)*(TYPE2&lt;&gt;"")+('Dvd Calendar'!$AJ$1187=TYPE3)*(TYPE3&lt;&gt;"")+('Dvd Calendar'!$AJ$1187=TYPE4)*(TYPE4&lt;&gt;"")+('Dvd Calendar'!$AJ$1187=SPECIAL_LBL)*(INC_SPECIALS="Y"))=0,"",'Dvd Calendar'!$AJ$1185)))</f>
        <v/>
      </c>
      <c r="AI122" s="161">
        <f>IF(FK122="","",IF(ISNUMBER('Dvd Calendar'!$AK$1185)=FALSE,"",IF((('Dvd Calendar'!$AK$1187=TYPE1)*(TYPE1&lt;&gt;"")+('Dvd Calendar'!$AK$1187=TYPE2)*(TYPE2&lt;&gt;"")+('Dvd Calendar'!$AK$1187=TYPE3)*(TYPE3&lt;&gt;"")+('Dvd Calendar'!$AK$1187=TYPE4)*(TYPE4&lt;&gt;"")+('Dvd Calendar'!$AK$1187=SPECIAL_LBL)*(INC_SPECIALS="Y"))=0,"",'Dvd Calendar'!$AK$1185)))</f>
        <v/>
      </c>
      <c r="AJ122" s="161">
        <f>IF(FL122="","",IF(ISNUMBER('Dvd Calendar'!$AL$1185)=FALSE,"",IF((('Dvd Calendar'!$AL$1187=TYPE1)*(TYPE1&lt;&gt;"")+('Dvd Calendar'!$AL$1187=TYPE2)*(TYPE2&lt;&gt;"")+('Dvd Calendar'!$AL$1187=TYPE3)*(TYPE3&lt;&gt;"")+('Dvd Calendar'!$AL$1187=TYPE4)*(TYPE4&lt;&gt;"")+('Dvd Calendar'!$AL$1187=SPECIAL_LBL)*(INC_SPECIALS="Y"))=0,"",'Dvd Calendar'!$AL$1185)))</f>
        <v/>
      </c>
      <c r="AK122" s="161">
        <f>IF(FM122="","",IF(ISNUMBER('Dvd Calendar'!$AM$1185)=FALSE,"",IF((('Dvd Calendar'!$AM$1187=TYPE1)*(TYPE1&lt;&gt;"")+('Dvd Calendar'!$AM$1187=TYPE2)*(TYPE2&lt;&gt;"")+('Dvd Calendar'!$AM$1187=TYPE3)*(TYPE3&lt;&gt;"")+('Dvd Calendar'!$AM$1187=TYPE4)*(TYPE4&lt;&gt;"")+('Dvd Calendar'!$AM$1187=SPECIAL_LBL)*(INC_SPECIALS="Y"))=0,"",'Dvd Calendar'!$AM$1185)))</f>
        <v/>
      </c>
      <c r="AL122" s="161">
        <f>IF(FN122="","",IF(ISNUMBER('Dvd Calendar'!$AN$1185)=FALSE,"",IF((('Dvd Calendar'!$AN$1187=TYPE1)*(TYPE1&lt;&gt;"")+('Dvd Calendar'!$AN$1187=TYPE2)*(TYPE2&lt;&gt;"")+('Dvd Calendar'!$AN$1187=TYPE3)*(TYPE3&lt;&gt;"")+('Dvd Calendar'!$AN$1187=TYPE4)*(TYPE4&lt;&gt;"")+('Dvd Calendar'!$AN$1187=SPECIAL_LBL)*(INC_SPECIALS="Y"))=0,"",'Dvd Calendar'!$AN$1185)))</f>
        <v/>
      </c>
      <c r="AM122" s="161">
        <f>IF(FO122="","",IF(ISNUMBER('Dvd Calendar'!$AO$1185)=FALSE,"",IF((('Dvd Calendar'!$AO$1187=TYPE1)*(TYPE1&lt;&gt;"")+('Dvd Calendar'!$AO$1187=TYPE2)*(TYPE2&lt;&gt;"")+('Dvd Calendar'!$AO$1187=TYPE3)*(TYPE3&lt;&gt;"")+('Dvd Calendar'!$AO$1187=TYPE4)*(TYPE4&lt;&gt;"")+('Dvd Calendar'!$AO$1187=SPECIAL_LBL)*(INC_SPECIALS="Y"))=0,"",'Dvd Calendar'!$AO$1185)))</f>
        <v/>
      </c>
      <c r="AN122" s="161">
        <f>IF(FP122="","",IF(ISNUMBER('Dvd Calendar'!$AP$1185)=FALSE,"",IF((('Dvd Calendar'!$AP$1187=TYPE1)*(TYPE1&lt;&gt;"")+('Dvd Calendar'!$AP$1187=TYPE2)*(TYPE2&lt;&gt;"")+('Dvd Calendar'!$AP$1187=TYPE3)*(TYPE3&lt;&gt;"")+('Dvd Calendar'!$AP$1187=TYPE4)*(TYPE4&lt;&gt;"")+('Dvd Calendar'!$AP$1187=SPECIAL_LBL)*(INC_SPECIALS="Y"))=0,"",'Dvd Calendar'!$AP$1185)))</f>
        <v/>
      </c>
      <c r="AO122" s="161">
        <f>IF(FQ122="","",IF(ISNUMBER('Dvd Calendar'!$AQ$1185)=FALSE,"",IF((('Dvd Calendar'!$AQ$1187=TYPE1)*(TYPE1&lt;&gt;"")+('Dvd Calendar'!$AQ$1187=TYPE2)*(TYPE2&lt;&gt;"")+('Dvd Calendar'!$AQ$1187=TYPE3)*(TYPE3&lt;&gt;"")+('Dvd Calendar'!$AQ$1187=TYPE4)*(TYPE4&lt;&gt;"")+('Dvd Calendar'!$AQ$1187=SPECIAL_LBL)*(INC_SPECIALS="Y"))=0,"",'Dvd Calendar'!$AQ$1185)))</f>
        <v/>
      </c>
      <c r="AP122" s="161">
        <f>IF(FR122="","",IF(ISNUMBER('Dvd Calendar'!$AR$1185)=FALSE,"",IF((('Dvd Calendar'!$AR$1187=TYPE1)*(TYPE1&lt;&gt;"")+('Dvd Calendar'!$AR$1187=TYPE2)*(TYPE2&lt;&gt;"")+('Dvd Calendar'!$AR$1187=TYPE3)*(TYPE3&lt;&gt;"")+('Dvd Calendar'!$AR$1187=TYPE4)*(TYPE4&lt;&gt;"")+('Dvd Calendar'!$AR$1187=SPECIAL_LBL)*(INC_SPECIALS="Y"))=0,"",'Dvd Calendar'!$AR$1185)))</f>
        <v/>
      </c>
      <c r="AQ122" s="161">
        <f>IF(FS122="","",IF(ISNUMBER('Dvd Calendar'!$E$1190)=FALSE,"",'Dvd Calendar'!$E$1190))</f>
        <v/>
      </c>
      <c r="AR122" s="161">
        <f>IF(FT122="","",IF(ISNUMBER('Dvd Calendar'!$F$1190)=FALSE,"",'Dvd Calendar'!$F$1190))</f>
        <v/>
      </c>
      <c r="AS122" s="161">
        <f>IF(FU122="","",IF(ISNUMBER('Dvd Calendar'!$G$1190)=FALSE,"",'Dvd Calendar'!$G$1190))</f>
        <v/>
      </c>
      <c r="AT122" s="161">
        <f>IF(FV122="","",IF(ISNUMBER('Dvd Calendar'!$H$1190)=FALSE,"",'Dvd Calendar'!$H$1190))</f>
        <v/>
      </c>
      <c r="AU122" s="161">
        <f>IF(FW122="","",IF(ISNUMBER('Dvd Calendar'!$I$1190)=FALSE,"",'Dvd Calendar'!$I$1190))</f>
        <v/>
      </c>
      <c r="AV122" s="161">
        <f>IF(FX122="","",IF(ISNUMBER('Dvd Calendar'!$J$1190)=FALSE,"",'Dvd Calendar'!$J$1190))</f>
        <v/>
      </c>
      <c r="AW122" s="161">
        <f>IF(FY122="","",IF(ISNUMBER('Dvd Calendar'!$K$1190)=FALSE,"",'Dvd Calendar'!$K$1190))</f>
        <v/>
      </c>
      <c r="AX122" s="161">
        <f>IF(FZ122="","",IF(ISNUMBER('Dvd Calendar'!$L$1190)=FALSE,"",'Dvd Calendar'!$L$1190))</f>
        <v/>
      </c>
      <c r="AY122" s="161">
        <f>IF(GA122="","",IF(ISNUMBER('Dvd Calendar'!$M$1190)=FALSE,"",'Dvd Calendar'!$M$1190))</f>
        <v/>
      </c>
      <c r="AZ122" s="161">
        <f>IF(GB122="","",IF(ISNUMBER('Dvd Calendar'!$N$1190)=FALSE,"",'Dvd Calendar'!$N$1190))</f>
        <v/>
      </c>
      <c r="BA122" s="161">
        <f>IF(GC122="","",IF(ISNUMBER('Dvd Calendar'!$O$1190)=FALSE,"",'Dvd Calendar'!$O$1190))</f>
        <v/>
      </c>
      <c r="BB122" s="161">
        <f>IF(GD122="","",IF(ISNUMBER('Dvd Calendar'!$P$1190)=FALSE,"",'Dvd Calendar'!$P$1190))</f>
        <v/>
      </c>
      <c r="BC122" s="161">
        <f>IF(GE122="","",IF(ISNUMBER('Dvd Calendar'!$Q$1190)=FALSE,"",'Dvd Calendar'!$Q$1190))</f>
        <v/>
      </c>
      <c r="BD122" s="161">
        <f>IF(GF122="","",IF(ISNUMBER('Dvd Calendar'!$R$1190)=FALSE,"",'Dvd Calendar'!$R$1190))</f>
        <v/>
      </c>
      <c r="BE122" s="161">
        <f>IF(GG122="","",IF(ISNUMBER('Dvd Calendar'!$S$1190)=FALSE,"",'Dvd Calendar'!$S$1190))</f>
        <v/>
      </c>
      <c r="BF122" s="161">
        <f>IF(GH122="","",IF(ISNUMBER('Dvd Calendar'!$T$1190)=FALSE,"",'Dvd Calendar'!$T$1190))</f>
        <v/>
      </c>
      <c r="BG122" s="161">
        <f>IF(GI122="","",IF(ISNUMBER('Dvd Calendar'!$U$1190)=FALSE,"",'Dvd Calendar'!$U$1190))</f>
        <v/>
      </c>
      <c r="BH122" s="161">
        <f>IF(GJ122="","",IF(ISNUMBER('Dvd Calendar'!$V$1190)=FALSE,"",'Dvd Calendar'!$V$1190))</f>
        <v/>
      </c>
      <c r="BI122" s="161">
        <f>IF(GK122="","",IF(ISNUMBER('Dvd Calendar'!$W$1190)=FALSE,"",'Dvd Calendar'!$W$1190))</f>
        <v/>
      </c>
      <c r="BJ122" s="161">
        <f>IF(GL122="","",IF(ISNUMBER('Dvd Calendar'!$X$1190)=FALSE,"",'Dvd Calendar'!$X$1190))</f>
        <v/>
      </c>
      <c r="BK122" s="161">
        <f>IF(GM122="","",IF(ISNUMBER('Dvd Calendar'!$Y$1190)=FALSE,"",'Dvd Calendar'!$Y$1190))</f>
        <v/>
      </c>
      <c r="BL122" s="161">
        <f>IF(GN122="","",IF(ISNUMBER('Dvd Calendar'!$Z$1190)=FALSE,"",'Dvd Calendar'!$Z$1190))</f>
        <v/>
      </c>
      <c r="BM122" s="161">
        <f>IF(GO122="","",IF(ISNUMBER('Dvd Calendar'!$AA$1190)=FALSE,"",'Dvd Calendar'!$AA$1190))</f>
        <v/>
      </c>
      <c r="BN122" s="161">
        <f>IF(GP122="","",IF(ISNUMBER('Dvd Calendar'!$AB$1190)=FALSE,"",'Dvd Calendar'!$AB$1190))</f>
        <v/>
      </c>
      <c r="BO122" s="161">
        <f>IF(GQ122="","",IF(ISNUMBER('Dvd Calendar'!$AC$1190)=FALSE,"",'Dvd Calendar'!$AC$1190))</f>
        <v/>
      </c>
      <c r="BQ122" s="161">
        <f>IF(C122="","",IFERROR(C122*HSTECH!$B$13*HSTECH!$G$13/HSTECH!$B$3,""))</f>
        <v/>
      </c>
      <c r="BR122" s="161">
        <f>IF(D122="","",IFERROR(D122*HSTECH!$B$13*HSTECH!$G$13/HSTECH!$B$3,""))</f>
        <v/>
      </c>
      <c r="BS122" s="161">
        <f>IF(E122="","",IFERROR(E122*HSTECH!$B$13*HSTECH!$G$13/HSTECH!$B$3,""))</f>
        <v/>
      </c>
      <c r="BT122" s="161">
        <f>IF(F122="","",IFERROR(F122*HSTECH!$B$13*HSTECH!$G$13/HSTECH!$B$3,""))</f>
        <v/>
      </c>
      <c r="BU122" s="161">
        <f>IF(G122="","",IFERROR(G122*HSTECH!$B$13*HSTECH!$G$13/HSTECH!$B$3,""))</f>
        <v/>
      </c>
      <c r="BV122" s="161">
        <f>IF(H122="","",IFERROR(H122*HSTECH!$B$13*HSTECH!$G$13/HSTECH!$B$3,""))</f>
        <v/>
      </c>
      <c r="BW122" s="161">
        <f>IF(I122="","",IFERROR(I122*HSTECH!$B$13*HSTECH!$G$13/HSTECH!$B$3,""))</f>
        <v/>
      </c>
      <c r="BX122" s="161">
        <f>IF(J122="","",IFERROR(J122*HSTECH!$B$13*HSTECH!$G$13/HSTECH!$B$3,""))</f>
        <v/>
      </c>
      <c r="BY122" s="161">
        <f>IF(K122="","",IFERROR(K122*HSTECH!$B$13*HSTECH!$G$13/HSTECH!$B$3,""))</f>
        <v/>
      </c>
      <c r="BZ122" s="161">
        <f>IF(L122="","",IFERROR(L122*HSTECH!$B$13*HSTECH!$G$13/HSTECH!$B$3,""))</f>
        <v/>
      </c>
      <c r="CA122" s="161">
        <f>IF(M122="","",IFERROR(M122*HSTECH!$B$13*HSTECH!$G$13/HSTECH!$B$3,""))</f>
        <v/>
      </c>
      <c r="CB122" s="161">
        <f>IF(N122="","",IFERROR(N122*HSTECH!$B$13*HSTECH!$G$13/HSTECH!$B$3,""))</f>
        <v/>
      </c>
      <c r="CC122" s="161">
        <f>IF(O122="","",IFERROR(O122*HSTECH!$B$13*HSTECH!$G$13/HSTECH!$B$3,""))</f>
        <v/>
      </c>
      <c r="CD122" s="161">
        <f>IF(P122="","",IFERROR(P122*HSTECH!$B$13*HSTECH!$G$13/HSTECH!$B$3,""))</f>
        <v/>
      </c>
      <c r="CE122" s="161">
        <f>IF(Q122="","",IFERROR(Q122*HSTECH!$B$13*HSTECH!$G$13/HSTECH!$B$3,""))</f>
        <v/>
      </c>
      <c r="CF122" s="161">
        <f>IF(R122="","",IFERROR(R122*HSTECH!$B$13*HSTECH!$G$13/HSTECH!$B$3,""))</f>
        <v/>
      </c>
      <c r="CG122" s="161">
        <f>IF(S122="","",IFERROR(S122*HSTECH!$B$13*HSTECH!$G$13/HSTECH!$B$3,""))</f>
        <v/>
      </c>
      <c r="CH122" s="161">
        <f>IF(T122="","",IFERROR(T122*HSTECH!$B$13*HSTECH!$G$13/HSTECH!$B$3,""))</f>
        <v/>
      </c>
      <c r="CI122" s="161">
        <f>IF(U122="","",IFERROR(U122*HSTECH!$B$13*HSTECH!$G$13/HSTECH!$B$3,""))</f>
        <v/>
      </c>
      <c r="CJ122" s="161">
        <f>IF(V122="","",IFERROR(V122*HSTECH!$B$13*HSTECH!$G$13/HSTECH!$B$3,""))</f>
        <v/>
      </c>
      <c r="CK122" s="161">
        <f>IF(W122="","",IFERROR(W122*HSTECH!$B$13*HSTECH!$G$13/HSTECH!$B$3,""))</f>
        <v/>
      </c>
      <c r="CL122" s="161">
        <f>IF(X122="","",IFERROR(X122*HSTECH!$B$13*HSTECH!$G$13/HSTECH!$B$3,""))</f>
        <v/>
      </c>
      <c r="CM122" s="161">
        <f>IF(Y122="","",IFERROR(Y122*HSTECH!$B$13*HSTECH!$G$13/HSTECH!$B$3,""))</f>
        <v/>
      </c>
      <c r="CN122" s="161">
        <f>IF(Z122="","",IFERROR(Z122*HSTECH!$B$13*HSTECH!$G$13/HSTECH!$B$3,""))</f>
        <v/>
      </c>
      <c r="CO122" s="161">
        <f>IF(AA122="","",IFERROR(AA122*HSTECH!$B$13*HSTECH!$G$13/HSTECH!$B$3,""))</f>
        <v/>
      </c>
      <c r="CP122" s="161">
        <f>IF(AB122="","",IFERROR(AB122*HSTECH!$B$13*HSTECH!$G$13/HSTECH!$B$3,""))</f>
        <v/>
      </c>
      <c r="CQ122" s="161">
        <f>IF(AC122="","",IFERROR(AC122*HSTECH!$B$13*HSTECH!$G$13/HSTECH!$B$3,""))</f>
        <v/>
      </c>
      <c r="CR122" s="161">
        <f>IF(AD122="","",IFERROR(AD122*HSTECH!$B$13*HSTECH!$G$13/HSTECH!$B$3,""))</f>
        <v/>
      </c>
      <c r="CS122" s="161">
        <f>IF(AE122="","",IFERROR(AE122*HSTECH!$B$13*HSTECH!$G$13/HSTECH!$B$3,""))</f>
        <v/>
      </c>
      <c r="CT122" s="161">
        <f>IF(AF122="","",IFERROR(AF122*HSTECH!$B$13*HSTECH!$G$13/HSTECH!$B$3,""))</f>
        <v/>
      </c>
      <c r="CU122" s="161">
        <f>IF(AG122="","",IFERROR(AG122*HSTECH!$B$13*HSTECH!$G$13/HSTECH!$B$3,""))</f>
        <v/>
      </c>
      <c r="CV122" s="161">
        <f>IF(AH122="","",IFERROR(AH122*HSTECH!$B$13*HSTECH!$G$13/HSTECH!$B$3,""))</f>
        <v/>
      </c>
      <c r="CW122" s="161">
        <f>IF(AI122="","",IFERROR(AI122*HSTECH!$B$13*HSTECH!$G$13/HSTECH!$B$3,""))</f>
        <v/>
      </c>
      <c r="CX122" s="161">
        <f>IF(AJ122="","",IFERROR(AJ122*HSTECH!$B$13*HSTECH!$G$13/HSTECH!$B$3,""))</f>
        <v/>
      </c>
      <c r="CY122" s="161">
        <f>IF(AK122="","",IFERROR(AK122*HSTECH!$B$13*HSTECH!$G$13/HSTECH!$B$3,""))</f>
        <v/>
      </c>
      <c r="CZ122" s="161">
        <f>IF(AL122="","",IFERROR(AL122*HSTECH!$B$13*HSTECH!$G$13/HSTECH!$B$3,""))</f>
        <v/>
      </c>
      <c r="DA122" s="161">
        <f>IF(AM122="","",IFERROR(AM122*HSTECH!$B$13*HSTECH!$G$13/HSTECH!$B$3,""))</f>
        <v/>
      </c>
      <c r="DB122" s="161">
        <f>IF(AN122="","",IFERROR(AN122*HSTECH!$B$13*HSTECH!$G$13/HSTECH!$B$3,""))</f>
        <v/>
      </c>
      <c r="DC122" s="161">
        <f>IF(AO122="","",IFERROR(AO122*HSTECH!$B$13*HSTECH!$G$13/HSTECH!$B$3,""))</f>
        <v/>
      </c>
      <c r="DD122" s="161">
        <f>IF(AP122="","",IFERROR(AP122*HSTECH!$B$13*HSTECH!$G$13/HSTECH!$B$3,""))</f>
        <v/>
      </c>
      <c r="DE122" s="161">
        <f>IF(AQ122="","",IFERROR(AQ122*HSTECH!$B$13*HSTECH!$G$13/HSTECH!$B$3,""))</f>
        <v/>
      </c>
      <c r="DF122" s="161">
        <f>IF(AR122="","",IFERROR(AR122*HSTECH!$B$13*HSTECH!$G$13/HSTECH!$B$3,""))</f>
        <v/>
      </c>
      <c r="DG122" s="161">
        <f>IF(AS122="","",IFERROR(AS122*HSTECH!$B$13*HSTECH!$G$13/HSTECH!$B$3,""))</f>
        <v/>
      </c>
      <c r="DH122" s="161">
        <f>IF(AT122="","",IFERROR(AT122*HSTECH!$B$13*HSTECH!$G$13/HSTECH!$B$3,""))</f>
        <v/>
      </c>
      <c r="DI122" s="161">
        <f>IF(AU122="","",IFERROR(AU122*HSTECH!$B$13*HSTECH!$G$13/HSTECH!$B$3,""))</f>
        <v/>
      </c>
      <c r="DJ122" s="161">
        <f>IF(AV122="","",IFERROR(AV122*HSTECH!$B$13*HSTECH!$G$13/HSTECH!$B$3,""))</f>
        <v/>
      </c>
      <c r="DK122" s="161">
        <f>IF(AW122="","",IFERROR(AW122*HSTECH!$B$13*HSTECH!$G$13/HSTECH!$B$3,""))</f>
        <v/>
      </c>
      <c r="DL122" s="161">
        <f>IF(AX122="","",IFERROR(AX122*HSTECH!$B$13*HSTECH!$G$13/HSTECH!$B$3,""))</f>
        <v/>
      </c>
      <c r="DM122" s="161">
        <f>IF(AY122="","",IFERROR(AY122*HSTECH!$B$13*HSTECH!$G$13/HSTECH!$B$3,""))</f>
        <v/>
      </c>
      <c r="DN122" s="161">
        <f>IF(AZ122="","",IFERROR(AZ122*HSTECH!$B$13*HSTECH!$G$13/HSTECH!$B$3,""))</f>
        <v/>
      </c>
      <c r="DO122" s="161">
        <f>IF(BA122="","",IFERROR(BA122*HSTECH!$B$13*HSTECH!$G$13/HSTECH!$B$3,""))</f>
        <v/>
      </c>
      <c r="DP122" s="161">
        <f>IF(BB122="","",IFERROR(BB122*HSTECH!$B$13*HSTECH!$G$13/HSTECH!$B$3,""))</f>
        <v/>
      </c>
      <c r="DQ122" s="161">
        <f>IF(BC122="","",IFERROR(BC122*HSTECH!$B$13*HSTECH!$G$13/HSTECH!$B$3,""))</f>
        <v/>
      </c>
      <c r="DR122" s="161">
        <f>IF(BD122="","",IFERROR(BD122*HSTECH!$B$13*HSTECH!$G$13/HSTECH!$B$3,""))</f>
        <v/>
      </c>
      <c r="DS122" s="161">
        <f>IF(BE122="","",IFERROR(BE122*HSTECH!$B$13*HSTECH!$G$13/HSTECH!$B$3,""))</f>
        <v/>
      </c>
      <c r="DT122" s="161">
        <f>IF(BF122="","",IFERROR(BF122*HSTECH!$B$13*HSTECH!$G$13/HSTECH!$B$3,""))</f>
        <v/>
      </c>
      <c r="DU122" s="161">
        <f>IF(BG122="","",IFERROR(BG122*HSTECH!$B$13*HSTECH!$G$13/HSTECH!$B$3,""))</f>
        <v/>
      </c>
      <c r="DV122" s="161">
        <f>IF(BH122="","",IFERROR(BH122*HSTECH!$B$13*HSTECH!$G$13/HSTECH!$B$3,""))</f>
        <v/>
      </c>
      <c r="DW122" s="161">
        <f>IF(BI122="","",IFERROR(BI122*HSTECH!$B$13*HSTECH!$G$13/HSTECH!$B$3,""))</f>
        <v/>
      </c>
      <c r="DX122" s="161">
        <f>IF(BJ122="","",IFERROR(BJ122*HSTECH!$B$13*HSTECH!$G$13/HSTECH!$B$3,""))</f>
        <v/>
      </c>
      <c r="DY122" s="161">
        <f>IF(BK122="","",IFERROR(BK122*HSTECH!$B$13*HSTECH!$G$13/HSTECH!$B$3,""))</f>
        <v/>
      </c>
      <c r="DZ122" s="161">
        <f>IF(BL122="","",IFERROR(BL122*HSTECH!$B$13*HSTECH!$G$13/HSTECH!$B$3,""))</f>
        <v/>
      </c>
      <c r="EA122" s="161">
        <f>IF(BM122="","",IFERROR(BM122*HSTECH!$B$13*HSTECH!$G$13/HSTECH!$B$3,""))</f>
        <v/>
      </c>
      <c r="EB122" s="161">
        <f>IF(BN122="","",IFERROR(BN122*HSTECH!$B$13*HSTECH!$G$13/HSTECH!$B$3,""))</f>
        <v/>
      </c>
      <c r="EC122" s="161">
        <f>IF(BO122="","",IFERROR(BO122*HSTECH!$B$13*HSTECH!$G$13/HSTECH!$B$3,""))</f>
        <v/>
      </c>
      <c r="EE122" s="121">
        <f>IF(N('Dvd Calendar'!$E$1182)=0,"",IF(('Dvd Calendar'!$E$1182&gt;=GRID_FROM)*('Dvd Calendar'!$E$1182&lt;=GRID_TO)*((('Dvd Calendar'!$E$1182&lt;=VAL_DATE)+(COUNTIF('Dvd Calendar'!$E$1189:$AR$1189,'Dvd Calendar'!$E$1182)=0))&gt;0)=0,"",'Dvd Calendar'!$E$1182*1000000000+ISNUMBER('Dvd Calendar'!$E$1185)*100000000+('Dvd Calendar'!$E$1187=SPECIAL_LBL)*10000000+(N('Dvd Calendar'!$E$1181)&gt;0)*(N('Dvd Calendar'!$E$1181)&lt;=VAL_SERIAL)*1000000+7*1000+1))</f>
        <v/>
      </c>
      <c r="EF122" s="121">
        <f>IF(N('Dvd Calendar'!$F$1182)=0,"",IF(('Dvd Calendar'!$F$1182&gt;=GRID_FROM)*('Dvd Calendar'!$F$1182&lt;=GRID_TO)*((('Dvd Calendar'!$F$1182&lt;=VAL_DATE)+(COUNTIF('Dvd Calendar'!$E$1189:$AR$1189,'Dvd Calendar'!$F$1182)=0))&gt;0)=0,"",'Dvd Calendar'!$F$1182*1000000000+ISNUMBER('Dvd Calendar'!$F$1185)*100000000+('Dvd Calendar'!$F$1187=SPECIAL_LBL)*10000000+(N('Dvd Calendar'!$F$1181)&gt;0)*(N('Dvd Calendar'!$F$1181)&lt;=VAL_SERIAL)*1000000+7*1000+2))</f>
        <v/>
      </c>
      <c r="EG122" s="121">
        <f>IF(N('Dvd Calendar'!$G$1182)=0,"",IF(('Dvd Calendar'!$G$1182&gt;=GRID_FROM)*('Dvd Calendar'!$G$1182&lt;=GRID_TO)*((('Dvd Calendar'!$G$1182&lt;=VAL_DATE)+(COUNTIF('Dvd Calendar'!$E$1189:$AR$1189,'Dvd Calendar'!$G$1182)=0))&gt;0)=0,"",'Dvd Calendar'!$G$1182*1000000000+ISNUMBER('Dvd Calendar'!$G$1185)*100000000+('Dvd Calendar'!$G$1187=SPECIAL_LBL)*10000000+(N('Dvd Calendar'!$G$1181)&gt;0)*(N('Dvd Calendar'!$G$1181)&lt;=VAL_SERIAL)*1000000+7*1000+3))</f>
        <v/>
      </c>
      <c r="EH122" s="121">
        <f>IF(N('Dvd Calendar'!$H$1182)=0,"",IF(('Dvd Calendar'!$H$1182&gt;=GRID_FROM)*('Dvd Calendar'!$H$1182&lt;=GRID_TO)*((('Dvd Calendar'!$H$1182&lt;=VAL_DATE)+(COUNTIF('Dvd Calendar'!$E$1189:$AR$1189,'Dvd Calendar'!$H$1182)=0))&gt;0)=0,"",'Dvd Calendar'!$H$1182*1000000000+ISNUMBER('Dvd Calendar'!$H$1185)*100000000+('Dvd Calendar'!$H$1187=SPECIAL_LBL)*10000000+(N('Dvd Calendar'!$H$1181)&gt;0)*(N('Dvd Calendar'!$H$1181)&lt;=VAL_SERIAL)*1000000+7*1000+4))</f>
        <v/>
      </c>
      <c r="EI122" s="121">
        <f>IF(N('Dvd Calendar'!$I$1182)=0,"",IF(('Dvd Calendar'!$I$1182&gt;=GRID_FROM)*('Dvd Calendar'!$I$1182&lt;=GRID_TO)*((('Dvd Calendar'!$I$1182&lt;=VAL_DATE)+(COUNTIF('Dvd Calendar'!$E$1189:$AR$1189,'Dvd Calendar'!$I$1182)=0))&gt;0)=0,"",'Dvd Calendar'!$I$1182*1000000000+ISNUMBER('Dvd Calendar'!$I$1185)*100000000+('Dvd Calendar'!$I$1187=SPECIAL_LBL)*10000000+(N('Dvd Calendar'!$I$1181)&gt;0)*(N('Dvd Calendar'!$I$1181)&lt;=VAL_SERIAL)*1000000+7*1000+5))</f>
        <v/>
      </c>
      <c r="EJ122" s="121">
        <f>IF(N('Dvd Calendar'!$J$1182)=0,"",IF(('Dvd Calendar'!$J$1182&gt;=GRID_FROM)*('Dvd Calendar'!$J$1182&lt;=GRID_TO)*((('Dvd Calendar'!$J$1182&lt;=VAL_DATE)+(COUNTIF('Dvd Calendar'!$E$1189:$AR$1189,'Dvd Calendar'!$J$1182)=0))&gt;0)=0,"",'Dvd Calendar'!$J$1182*1000000000+ISNUMBER('Dvd Calendar'!$J$1185)*100000000+('Dvd Calendar'!$J$1187=SPECIAL_LBL)*10000000+(N('Dvd Calendar'!$J$1181)&gt;0)*(N('Dvd Calendar'!$J$1181)&lt;=VAL_SERIAL)*1000000+7*1000+6))</f>
        <v/>
      </c>
      <c r="EK122" s="121">
        <f>IF(N('Dvd Calendar'!$K$1182)=0,"",IF(('Dvd Calendar'!$K$1182&gt;=GRID_FROM)*('Dvd Calendar'!$K$1182&lt;=GRID_TO)*((('Dvd Calendar'!$K$1182&lt;=VAL_DATE)+(COUNTIF('Dvd Calendar'!$E$1189:$AR$1189,'Dvd Calendar'!$K$1182)=0))&gt;0)=0,"",'Dvd Calendar'!$K$1182*1000000000+ISNUMBER('Dvd Calendar'!$K$1185)*100000000+('Dvd Calendar'!$K$1187=SPECIAL_LBL)*10000000+(N('Dvd Calendar'!$K$1181)&gt;0)*(N('Dvd Calendar'!$K$1181)&lt;=VAL_SERIAL)*1000000+7*1000+7))</f>
        <v/>
      </c>
      <c r="EL122" s="121">
        <f>IF(N('Dvd Calendar'!$L$1182)=0,"",IF(('Dvd Calendar'!$L$1182&gt;=GRID_FROM)*('Dvd Calendar'!$L$1182&lt;=GRID_TO)*((('Dvd Calendar'!$L$1182&lt;=VAL_DATE)+(COUNTIF('Dvd Calendar'!$E$1189:$AR$1189,'Dvd Calendar'!$L$1182)=0))&gt;0)=0,"",'Dvd Calendar'!$L$1182*1000000000+ISNUMBER('Dvd Calendar'!$L$1185)*100000000+('Dvd Calendar'!$L$1187=SPECIAL_LBL)*10000000+(N('Dvd Calendar'!$L$1181)&gt;0)*(N('Dvd Calendar'!$L$1181)&lt;=VAL_SERIAL)*1000000+7*1000+8))</f>
        <v/>
      </c>
      <c r="EM122" s="121">
        <f>IF(N('Dvd Calendar'!$M$1182)=0,"",IF(('Dvd Calendar'!$M$1182&gt;=GRID_FROM)*('Dvd Calendar'!$M$1182&lt;=GRID_TO)*((('Dvd Calendar'!$M$1182&lt;=VAL_DATE)+(COUNTIF('Dvd Calendar'!$E$1189:$AR$1189,'Dvd Calendar'!$M$1182)=0))&gt;0)=0,"",'Dvd Calendar'!$M$1182*1000000000+ISNUMBER('Dvd Calendar'!$M$1185)*100000000+('Dvd Calendar'!$M$1187=SPECIAL_LBL)*10000000+(N('Dvd Calendar'!$M$1181)&gt;0)*(N('Dvd Calendar'!$M$1181)&lt;=VAL_SERIAL)*1000000+7*1000+9))</f>
        <v/>
      </c>
      <c r="EN122" s="121">
        <f>IF(N('Dvd Calendar'!$N$1182)=0,"",IF(('Dvd Calendar'!$N$1182&gt;=GRID_FROM)*('Dvd Calendar'!$N$1182&lt;=GRID_TO)*((('Dvd Calendar'!$N$1182&lt;=VAL_DATE)+(COUNTIF('Dvd Calendar'!$E$1189:$AR$1189,'Dvd Calendar'!$N$1182)=0))&gt;0)=0,"",'Dvd Calendar'!$N$1182*1000000000+ISNUMBER('Dvd Calendar'!$N$1185)*100000000+('Dvd Calendar'!$N$1187=SPECIAL_LBL)*10000000+(N('Dvd Calendar'!$N$1181)&gt;0)*(N('Dvd Calendar'!$N$1181)&lt;=VAL_SERIAL)*1000000+7*1000+10))</f>
        <v/>
      </c>
      <c r="EO122" s="121">
        <f>IF(N('Dvd Calendar'!$O$1182)=0,"",IF(('Dvd Calendar'!$O$1182&gt;=GRID_FROM)*('Dvd Calendar'!$O$1182&lt;=GRID_TO)*((('Dvd Calendar'!$O$1182&lt;=VAL_DATE)+(COUNTIF('Dvd Calendar'!$E$1189:$AR$1189,'Dvd Calendar'!$O$1182)=0))&gt;0)=0,"",'Dvd Calendar'!$O$1182*1000000000+ISNUMBER('Dvd Calendar'!$O$1185)*100000000+('Dvd Calendar'!$O$1187=SPECIAL_LBL)*10000000+(N('Dvd Calendar'!$O$1181)&gt;0)*(N('Dvd Calendar'!$O$1181)&lt;=VAL_SERIAL)*1000000+7*1000+11))</f>
        <v/>
      </c>
      <c r="EP122" s="121">
        <f>IF(N('Dvd Calendar'!$P$1182)=0,"",IF(('Dvd Calendar'!$P$1182&gt;=GRID_FROM)*('Dvd Calendar'!$P$1182&lt;=GRID_TO)*((('Dvd Calendar'!$P$1182&lt;=VAL_DATE)+(COUNTIF('Dvd Calendar'!$E$1189:$AR$1189,'Dvd Calendar'!$P$1182)=0))&gt;0)=0,"",'Dvd Calendar'!$P$1182*1000000000+ISNUMBER('Dvd Calendar'!$P$1185)*100000000+('Dvd Calendar'!$P$1187=SPECIAL_LBL)*10000000+(N('Dvd Calendar'!$P$1181)&gt;0)*(N('Dvd Calendar'!$P$1181)&lt;=VAL_SERIAL)*1000000+7*1000+12))</f>
        <v/>
      </c>
      <c r="EQ122" s="121">
        <f>IF(N('Dvd Calendar'!$Q$1182)=0,"",IF(('Dvd Calendar'!$Q$1182&gt;=GRID_FROM)*('Dvd Calendar'!$Q$1182&lt;=GRID_TO)*((('Dvd Calendar'!$Q$1182&lt;=VAL_DATE)+(COUNTIF('Dvd Calendar'!$E$1189:$AR$1189,'Dvd Calendar'!$Q$1182)=0))&gt;0)=0,"",'Dvd Calendar'!$Q$1182*1000000000+ISNUMBER('Dvd Calendar'!$Q$1185)*100000000+('Dvd Calendar'!$Q$1187=SPECIAL_LBL)*10000000+(N('Dvd Calendar'!$Q$1181)&gt;0)*(N('Dvd Calendar'!$Q$1181)&lt;=VAL_SERIAL)*1000000+7*1000+13))</f>
        <v/>
      </c>
      <c r="ER122" s="121">
        <f>IF(N('Dvd Calendar'!$R$1182)=0,"",IF(('Dvd Calendar'!$R$1182&gt;=GRID_FROM)*('Dvd Calendar'!$R$1182&lt;=GRID_TO)*((('Dvd Calendar'!$R$1182&lt;=VAL_DATE)+(COUNTIF('Dvd Calendar'!$E$1189:$AR$1189,'Dvd Calendar'!$R$1182)=0))&gt;0)=0,"",'Dvd Calendar'!$R$1182*1000000000+ISNUMBER('Dvd Calendar'!$R$1185)*100000000+('Dvd Calendar'!$R$1187=SPECIAL_LBL)*10000000+(N('Dvd Calendar'!$R$1181)&gt;0)*(N('Dvd Calendar'!$R$1181)&lt;=VAL_SERIAL)*1000000+7*1000+14))</f>
        <v/>
      </c>
      <c r="ES122" s="121">
        <f>IF(N('Dvd Calendar'!$S$1182)=0,"",IF(('Dvd Calendar'!$S$1182&gt;=GRID_FROM)*('Dvd Calendar'!$S$1182&lt;=GRID_TO)*((('Dvd Calendar'!$S$1182&lt;=VAL_DATE)+(COUNTIF('Dvd Calendar'!$E$1189:$AR$1189,'Dvd Calendar'!$S$1182)=0))&gt;0)=0,"",'Dvd Calendar'!$S$1182*1000000000+ISNUMBER('Dvd Calendar'!$S$1185)*100000000+('Dvd Calendar'!$S$1187=SPECIAL_LBL)*10000000+(N('Dvd Calendar'!$S$1181)&gt;0)*(N('Dvd Calendar'!$S$1181)&lt;=VAL_SERIAL)*1000000+7*1000+15))</f>
        <v/>
      </c>
      <c r="ET122" s="121">
        <f>IF(N('Dvd Calendar'!$T$1182)=0,"",IF(('Dvd Calendar'!$T$1182&gt;=GRID_FROM)*('Dvd Calendar'!$T$1182&lt;=GRID_TO)*((('Dvd Calendar'!$T$1182&lt;=VAL_DATE)+(COUNTIF('Dvd Calendar'!$E$1189:$AR$1189,'Dvd Calendar'!$T$1182)=0))&gt;0)=0,"",'Dvd Calendar'!$T$1182*1000000000+ISNUMBER('Dvd Calendar'!$T$1185)*100000000+('Dvd Calendar'!$T$1187=SPECIAL_LBL)*10000000+(N('Dvd Calendar'!$T$1181)&gt;0)*(N('Dvd Calendar'!$T$1181)&lt;=VAL_SERIAL)*1000000+7*1000+16))</f>
        <v/>
      </c>
      <c r="EU122" s="121">
        <f>IF(N('Dvd Calendar'!$U$1182)=0,"",IF(('Dvd Calendar'!$U$1182&gt;=GRID_FROM)*('Dvd Calendar'!$U$1182&lt;=GRID_TO)*((('Dvd Calendar'!$U$1182&lt;=VAL_DATE)+(COUNTIF('Dvd Calendar'!$E$1189:$AR$1189,'Dvd Calendar'!$U$1182)=0))&gt;0)=0,"",'Dvd Calendar'!$U$1182*1000000000+ISNUMBER('Dvd Calendar'!$U$1185)*100000000+('Dvd Calendar'!$U$1187=SPECIAL_LBL)*10000000+(N('Dvd Calendar'!$U$1181)&gt;0)*(N('Dvd Calendar'!$U$1181)&lt;=VAL_SERIAL)*1000000+7*1000+17))</f>
        <v/>
      </c>
      <c r="EV122" s="121">
        <f>IF(N('Dvd Calendar'!$V$1182)=0,"",IF(('Dvd Calendar'!$V$1182&gt;=GRID_FROM)*('Dvd Calendar'!$V$1182&lt;=GRID_TO)*((('Dvd Calendar'!$V$1182&lt;=VAL_DATE)+(COUNTIF('Dvd Calendar'!$E$1189:$AR$1189,'Dvd Calendar'!$V$1182)=0))&gt;0)=0,"",'Dvd Calendar'!$V$1182*1000000000+ISNUMBER('Dvd Calendar'!$V$1185)*100000000+('Dvd Calendar'!$V$1187=SPECIAL_LBL)*10000000+(N('Dvd Calendar'!$V$1181)&gt;0)*(N('Dvd Calendar'!$V$1181)&lt;=VAL_SERIAL)*1000000+7*1000+18))</f>
        <v/>
      </c>
      <c r="EW122" s="121">
        <f>IF(N('Dvd Calendar'!$W$1182)=0,"",IF(('Dvd Calendar'!$W$1182&gt;=GRID_FROM)*('Dvd Calendar'!$W$1182&lt;=GRID_TO)*((('Dvd Calendar'!$W$1182&lt;=VAL_DATE)+(COUNTIF('Dvd Calendar'!$E$1189:$AR$1189,'Dvd Calendar'!$W$1182)=0))&gt;0)=0,"",'Dvd Calendar'!$W$1182*1000000000+ISNUMBER('Dvd Calendar'!$W$1185)*100000000+('Dvd Calendar'!$W$1187=SPECIAL_LBL)*10000000+(N('Dvd Calendar'!$W$1181)&gt;0)*(N('Dvd Calendar'!$W$1181)&lt;=VAL_SERIAL)*1000000+7*1000+19))</f>
        <v/>
      </c>
      <c r="EX122" s="121">
        <f>IF(N('Dvd Calendar'!$X$1182)=0,"",IF(('Dvd Calendar'!$X$1182&gt;=GRID_FROM)*('Dvd Calendar'!$X$1182&lt;=GRID_TO)*((('Dvd Calendar'!$X$1182&lt;=VAL_DATE)+(COUNTIF('Dvd Calendar'!$E$1189:$AR$1189,'Dvd Calendar'!$X$1182)=0))&gt;0)=0,"",'Dvd Calendar'!$X$1182*1000000000+ISNUMBER('Dvd Calendar'!$X$1185)*100000000+('Dvd Calendar'!$X$1187=SPECIAL_LBL)*10000000+(N('Dvd Calendar'!$X$1181)&gt;0)*(N('Dvd Calendar'!$X$1181)&lt;=VAL_SERIAL)*1000000+7*1000+20))</f>
        <v/>
      </c>
      <c r="EY122" s="121">
        <f>IF(N('Dvd Calendar'!$Y$1182)=0,"",IF(('Dvd Calendar'!$Y$1182&gt;=GRID_FROM)*('Dvd Calendar'!$Y$1182&lt;=GRID_TO)*((('Dvd Calendar'!$Y$1182&lt;=VAL_DATE)+(COUNTIF('Dvd Calendar'!$E$1189:$AR$1189,'Dvd Calendar'!$Y$1182)=0))&gt;0)=0,"",'Dvd Calendar'!$Y$1182*1000000000+ISNUMBER('Dvd Calendar'!$Y$1185)*100000000+('Dvd Calendar'!$Y$1187=SPECIAL_LBL)*10000000+(N('Dvd Calendar'!$Y$1181)&gt;0)*(N('Dvd Calendar'!$Y$1181)&lt;=VAL_SERIAL)*1000000+7*1000+21))</f>
        <v/>
      </c>
      <c r="EZ122" s="121">
        <f>IF(N('Dvd Calendar'!$Z$1182)=0,"",IF(('Dvd Calendar'!$Z$1182&gt;=GRID_FROM)*('Dvd Calendar'!$Z$1182&lt;=GRID_TO)*((('Dvd Calendar'!$Z$1182&lt;=VAL_DATE)+(COUNTIF('Dvd Calendar'!$E$1189:$AR$1189,'Dvd Calendar'!$Z$1182)=0))&gt;0)=0,"",'Dvd Calendar'!$Z$1182*1000000000+ISNUMBER('Dvd Calendar'!$Z$1185)*100000000+('Dvd Calendar'!$Z$1187=SPECIAL_LBL)*10000000+(N('Dvd Calendar'!$Z$1181)&gt;0)*(N('Dvd Calendar'!$Z$1181)&lt;=VAL_SERIAL)*1000000+7*1000+22))</f>
        <v/>
      </c>
      <c r="FA122" s="121">
        <f>IF(N('Dvd Calendar'!$AA$1182)=0,"",IF(('Dvd Calendar'!$AA$1182&gt;=GRID_FROM)*('Dvd Calendar'!$AA$1182&lt;=GRID_TO)*((('Dvd Calendar'!$AA$1182&lt;=VAL_DATE)+(COUNTIF('Dvd Calendar'!$E$1189:$AR$1189,'Dvd Calendar'!$AA$1182)=0))&gt;0)=0,"",'Dvd Calendar'!$AA$1182*1000000000+ISNUMBER('Dvd Calendar'!$AA$1185)*100000000+('Dvd Calendar'!$AA$1187=SPECIAL_LBL)*10000000+(N('Dvd Calendar'!$AA$1181)&gt;0)*(N('Dvd Calendar'!$AA$1181)&lt;=VAL_SERIAL)*1000000+7*1000+23))</f>
        <v/>
      </c>
      <c r="FB122" s="121">
        <f>IF(N('Dvd Calendar'!$AB$1182)=0,"",IF(('Dvd Calendar'!$AB$1182&gt;=GRID_FROM)*('Dvd Calendar'!$AB$1182&lt;=GRID_TO)*((('Dvd Calendar'!$AB$1182&lt;=VAL_DATE)+(COUNTIF('Dvd Calendar'!$E$1189:$AR$1189,'Dvd Calendar'!$AB$1182)=0))&gt;0)=0,"",'Dvd Calendar'!$AB$1182*1000000000+ISNUMBER('Dvd Calendar'!$AB$1185)*100000000+('Dvd Calendar'!$AB$1187=SPECIAL_LBL)*10000000+(N('Dvd Calendar'!$AB$1181)&gt;0)*(N('Dvd Calendar'!$AB$1181)&lt;=VAL_SERIAL)*1000000+7*1000+24))</f>
        <v/>
      </c>
      <c r="FC122" s="121">
        <f>IF(N('Dvd Calendar'!$AC$1182)=0,"",IF(('Dvd Calendar'!$AC$1182&gt;=GRID_FROM)*('Dvd Calendar'!$AC$1182&lt;=GRID_TO)*((('Dvd Calendar'!$AC$1182&lt;=VAL_DATE)+(COUNTIF('Dvd Calendar'!$E$1189:$AR$1189,'Dvd Calendar'!$AC$1182)=0))&gt;0)=0,"",'Dvd Calendar'!$AC$1182*1000000000+ISNUMBER('Dvd Calendar'!$AC$1185)*100000000+('Dvd Calendar'!$AC$1187=SPECIAL_LBL)*10000000+(N('Dvd Calendar'!$AC$1181)&gt;0)*(N('Dvd Calendar'!$AC$1181)&lt;=VAL_SERIAL)*1000000+7*1000+25))</f>
        <v/>
      </c>
      <c r="FD122" s="121">
        <f>IF(N('Dvd Calendar'!$AD$1182)=0,"",IF(('Dvd Calendar'!$AD$1182&gt;=GRID_FROM)*('Dvd Calendar'!$AD$1182&lt;=GRID_TO)*((('Dvd Calendar'!$AD$1182&lt;=VAL_DATE)+(COUNTIF('Dvd Calendar'!$E$1189:$AR$1189,'Dvd Calendar'!$AD$1182)=0))&gt;0)=0,"",'Dvd Calendar'!$AD$1182*1000000000+ISNUMBER('Dvd Calendar'!$AD$1185)*100000000+('Dvd Calendar'!$AD$1187=SPECIAL_LBL)*10000000+(N('Dvd Calendar'!$AD$1181)&gt;0)*(N('Dvd Calendar'!$AD$1181)&lt;=VAL_SERIAL)*1000000+7*1000+26))</f>
        <v/>
      </c>
      <c r="FE122" s="121">
        <f>IF(N('Dvd Calendar'!$AE$1182)=0,"",IF(('Dvd Calendar'!$AE$1182&gt;=GRID_FROM)*('Dvd Calendar'!$AE$1182&lt;=GRID_TO)*((('Dvd Calendar'!$AE$1182&lt;=VAL_DATE)+(COUNTIF('Dvd Calendar'!$E$1189:$AR$1189,'Dvd Calendar'!$AE$1182)=0))&gt;0)=0,"",'Dvd Calendar'!$AE$1182*1000000000+ISNUMBER('Dvd Calendar'!$AE$1185)*100000000+('Dvd Calendar'!$AE$1187=SPECIAL_LBL)*10000000+(N('Dvd Calendar'!$AE$1181)&gt;0)*(N('Dvd Calendar'!$AE$1181)&lt;=VAL_SERIAL)*1000000+7*1000+27))</f>
        <v/>
      </c>
      <c r="FF122" s="121">
        <f>IF(N('Dvd Calendar'!$AF$1182)=0,"",IF(('Dvd Calendar'!$AF$1182&gt;=GRID_FROM)*('Dvd Calendar'!$AF$1182&lt;=GRID_TO)*((('Dvd Calendar'!$AF$1182&lt;=VAL_DATE)+(COUNTIF('Dvd Calendar'!$E$1189:$AR$1189,'Dvd Calendar'!$AF$1182)=0))&gt;0)=0,"",'Dvd Calendar'!$AF$1182*1000000000+ISNUMBER('Dvd Calendar'!$AF$1185)*100000000+('Dvd Calendar'!$AF$1187=SPECIAL_LBL)*10000000+(N('Dvd Calendar'!$AF$1181)&gt;0)*(N('Dvd Calendar'!$AF$1181)&lt;=VAL_SERIAL)*1000000+7*1000+28))</f>
        <v/>
      </c>
      <c r="FG122" s="121">
        <f>IF(N('Dvd Calendar'!$AG$1182)=0,"",IF(('Dvd Calendar'!$AG$1182&gt;=GRID_FROM)*('Dvd Calendar'!$AG$1182&lt;=GRID_TO)*((('Dvd Calendar'!$AG$1182&lt;=VAL_DATE)+(COUNTIF('Dvd Calendar'!$E$1189:$AR$1189,'Dvd Calendar'!$AG$1182)=0))&gt;0)=0,"",'Dvd Calendar'!$AG$1182*1000000000+ISNUMBER('Dvd Calendar'!$AG$1185)*100000000+('Dvd Calendar'!$AG$1187=SPECIAL_LBL)*10000000+(N('Dvd Calendar'!$AG$1181)&gt;0)*(N('Dvd Calendar'!$AG$1181)&lt;=VAL_SERIAL)*1000000+7*1000+29))</f>
        <v/>
      </c>
      <c r="FH122" s="121">
        <f>IF(N('Dvd Calendar'!$AH$1182)=0,"",IF(('Dvd Calendar'!$AH$1182&gt;=GRID_FROM)*('Dvd Calendar'!$AH$1182&lt;=GRID_TO)*((('Dvd Calendar'!$AH$1182&lt;=VAL_DATE)+(COUNTIF('Dvd Calendar'!$E$1189:$AR$1189,'Dvd Calendar'!$AH$1182)=0))&gt;0)=0,"",'Dvd Calendar'!$AH$1182*1000000000+ISNUMBER('Dvd Calendar'!$AH$1185)*100000000+('Dvd Calendar'!$AH$1187=SPECIAL_LBL)*10000000+(N('Dvd Calendar'!$AH$1181)&gt;0)*(N('Dvd Calendar'!$AH$1181)&lt;=VAL_SERIAL)*1000000+7*1000+30))</f>
        <v/>
      </c>
      <c r="FI122" s="121">
        <f>IF(N('Dvd Calendar'!$AI$1182)=0,"",IF(('Dvd Calendar'!$AI$1182&gt;=GRID_FROM)*('Dvd Calendar'!$AI$1182&lt;=GRID_TO)*((('Dvd Calendar'!$AI$1182&lt;=VAL_DATE)+(COUNTIF('Dvd Calendar'!$E$1189:$AR$1189,'Dvd Calendar'!$AI$1182)=0))&gt;0)=0,"",'Dvd Calendar'!$AI$1182*1000000000+ISNUMBER('Dvd Calendar'!$AI$1185)*100000000+('Dvd Calendar'!$AI$1187=SPECIAL_LBL)*10000000+(N('Dvd Calendar'!$AI$1181)&gt;0)*(N('Dvd Calendar'!$AI$1181)&lt;=VAL_SERIAL)*1000000+7*1000+31))</f>
        <v/>
      </c>
      <c r="FJ122" s="121">
        <f>IF(N('Dvd Calendar'!$AJ$1182)=0,"",IF(('Dvd Calendar'!$AJ$1182&gt;=GRID_FROM)*('Dvd Calendar'!$AJ$1182&lt;=GRID_TO)*((('Dvd Calendar'!$AJ$1182&lt;=VAL_DATE)+(COUNTIF('Dvd Calendar'!$E$1189:$AR$1189,'Dvd Calendar'!$AJ$1182)=0))&gt;0)=0,"",'Dvd Calendar'!$AJ$1182*1000000000+ISNUMBER('Dvd Calendar'!$AJ$1185)*100000000+('Dvd Calendar'!$AJ$1187=SPECIAL_LBL)*10000000+(N('Dvd Calendar'!$AJ$1181)&gt;0)*(N('Dvd Calendar'!$AJ$1181)&lt;=VAL_SERIAL)*1000000+7*1000+32))</f>
        <v/>
      </c>
      <c r="FK122" s="121">
        <f>IF(N('Dvd Calendar'!$AK$1182)=0,"",IF(('Dvd Calendar'!$AK$1182&gt;=GRID_FROM)*('Dvd Calendar'!$AK$1182&lt;=GRID_TO)*((('Dvd Calendar'!$AK$1182&lt;=VAL_DATE)+(COUNTIF('Dvd Calendar'!$E$1189:$AR$1189,'Dvd Calendar'!$AK$1182)=0))&gt;0)=0,"",'Dvd Calendar'!$AK$1182*1000000000+ISNUMBER('Dvd Calendar'!$AK$1185)*100000000+('Dvd Calendar'!$AK$1187=SPECIAL_LBL)*10000000+(N('Dvd Calendar'!$AK$1181)&gt;0)*(N('Dvd Calendar'!$AK$1181)&lt;=VAL_SERIAL)*1000000+7*1000+33))</f>
        <v/>
      </c>
      <c r="FL122" s="121">
        <f>IF(N('Dvd Calendar'!$AL$1182)=0,"",IF(('Dvd Calendar'!$AL$1182&gt;=GRID_FROM)*('Dvd Calendar'!$AL$1182&lt;=GRID_TO)*((('Dvd Calendar'!$AL$1182&lt;=VAL_DATE)+(COUNTIF('Dvd Calendar'!$E$1189:$AR$1189,'Dvd Calendar'!$AL$1182)=0))&gt;0)=0,"",'Dvd Calendar'!$AL$1182*1000000000+ISNUMBER('Dvd Calendar'!$AL$1185)*100000000+('Dvd Calendar'!$AL$1187=SPECIAL_LBL)*10000000+(N('Dvd Calendar'!$AL$1181)&gt;0)*(N('Dvd Calendar'!$AL$1181)&lt;=VAL_SERIAL)*1000000+7*1000+34))</f>
        <v/>
      </c>
      <c r="FM122" s="121">
        <f>IF(N('Dvd Calendar'!$AM$1182)=0,"",IF(('Dvd Calendar'!$AM$1182&gt;=GRID_FROM)*('Dvd Calendar'!$AM$1182&lt;=GRID_TO)*((('Dvd Calendar'!$AM$1182&lt;=VAL_DATE)+(COUNTIF('Dvd Calendar'!$E$1189:$AR$1189,'Dvd Calendar'!$AM$1182)=0))&gt;0)=0,"",'Dvd Calendar'!$AM$1182*1000000000+ISNUMBER('Dvd Calendar'!$AM$1185)*100000000+('Dvd Calendar'!$AM$1187=SPECIAL_LBL)*10000000+(N('Dvd Calendar'!$AM$1181)&gt;0)*(N('Dvd Calendar'!$AM$1181)&lt;=VAL_SERIAL)*1000000+7*1000+35))</f>
        <v/>
      </c>
      <c r="FN122" s="121">
        <f>IF(N('Dvd Calendar'!$AN$1182)=0,"",IF(('Dvd Calendar'!$AN$1182&gt;=GRID_FROM)*('Dvd Calendar'!$AN$1182&lt;=GRID_TO)*((('Dvd Calendar'!$AN$1182&lt;=VAL_DATE)+(COUNTIF('Dvd Calendar'!$E$1189:$AR$1189,'Dvd Calendar'!$AN$1182)=0))&gt;0)=0,"",'Dvd Calendar'!$AN$1182*1000000000+ISNUMBER('Dvd Calendar'!$AN$1185)*100000000+('Dvd Calendar'!$AN$1187=SPECIAL_LBL)*10000000+(N('Dvd Calendar'!$AN$1181)&gt;0)*(N('Dvd Calendar'!$AN$1181)&lt;=VAL_SERIAL)*1000000+7*1000+36))</f>
        <v/>
      </c>
      <c r="FO122" s="121">
        <f>IF(N('Dvd Calendar'!$AO$1182)=0,"",IF(('Dvd Calendar'!$AO$1182&gt;=GRID_FROM)*('Dvd Calendar'!$AO$1182&lt;=GRID_TO)*((('Dvd Calendar'!$AO$1182&lt;=VAL_DATE)+(COUNTIF('Dvd Calendar'!$E$1189:$AR$1189,'Dvd Calendar'!$AO$1182)=0))&gt;0)=0,"",'Dvd Calendar'!$AO$1182*1000000000+ISNUMBER('Dvd Calendar'!$AO$1185)*100000000+('Dvd Calendar'!$AO$1187=SPECIAL_LBL)*10000000+(N('Dvd Calendar'!$AO$1181)&gt;0)*(N('Dvd Calendar'!$AO$1181)&lt;=VAL_SERIAL)*1000000+7*1000+37))</f>
        <v/>
      </c>
      <c r="FP122" s="121">
        <f>IF(N('Dvd Calendar'!$AP$1182)=0,"",IF(('Dvd Calendar'!$AP$1182&gt;=GRID_FROM)*('Dvd Calendar'!$AP$1182&lt;=GRID_TO)*((('Dvd Calendar'!$AP$1182&lt;=VAL_DATE)+(COUNTIF('Dvd Calendar'!$E$1189:$AR$1189,'Dvd Calendar'!$AP$1182)=0))&gt;0)=0,"",'Dvd Calendar'!$AP$1182*1000000000+ISNUMBER('Dvd Calendar'!$AP$1185)*100000000+('Dvd Calendar'!$AP$1187=SPECIAL_LBL)*10000000+(N('Dvd Calendar'!$AP$1181)&gt;0)*(N('Dvd Calendar'!$AP$1181)&lt;=VAL_SERIAL)*1000000+7*1000+38))</f>
        <v/>
      </c>
      <c r="FQ122" s="121">
        <f>IF(N('Dvd Calendar'!$AQ$1182)=0,"",IF(('Dvd Calendar'!$AQ$1182&gt;=GRID_FROM)*('Dvd Calendar'!$AQ$1182&lt;=GRID_TO)*((('Dvd Calendar'!$AQ$1182&lt;=VAL_DATE)+(COUNTIF('Dvd Calendar'!$E$1189:$AR$1189,'Dvd Calendar'!$AQ$1182)=0))&gt;0)=0,"",'Dvd Calendar'!$AQ$1182*1000000000+ISNUMBER('Dvd Calendar'!$AQ$1185)*100000000+('Dvd Calendar'!$AQ$1187=SPECIAL_LBL)*10000000+(N('Dvd Calendar'!$AQ$1181)&gt;0)*(N('Dvd Calendar'!$AQ$1181)&lt;=VAL_SERIAL)*1000000+7*1000+39))</f>
        <v/>
      </c>
      <c r="FR122" s="121">
        <f>IF(N('Dvd Calendar'!$AR$1182)=0,"",IF(('Dvd Calendar'!$AR$1182&gt;=GRID_FROM)*('Dvd Calendar'!$AR$1182&lt;=GRID_TO)*((('Dvd Calendar'!$AR$1182&lt;=VAL_DATE)+(COUNTIF('Dvd Calendar'!$E$1189:$AR$1189,'Dvd Calendar'!$AR$1182)=0))&gt;0)=0,"",'Dvd Calendar'!$AR$1182*1000000000+ISNUMBER('Dvd Calendar'!$AR$1185)*100000000+('Dvd Calendar'!$AR$1187=SPECIAL_LBL)*10000000+(N('Dvd Calendar'!$AR$1181)&gt;0)*(N('Dvd Calendar'!$AR$1181)&lt;=VAL_SERIAL)*1000000+7*1000+40))</f>
        <v/>
      </c>
      <c r="FS122" s="121">
        <f>IF(N('Dvd Calendar'!$E$1189)=0,"",IF(('Dvd Calendar'!$E$1189&gt;=GRID_FROM)*('Dvd Calendar'!$E$1189&lt;=GRID_TO)*('Dvd Calendar'!$E$1189&gt;VAL_DATE)=0,"",'Dvd Calendar'!$E$1189*1000000000+ISNUMBER('Dvd Calendar'!$E$1190)*100000000+0*10000000+(N('Dvd Calendar'!$E$1188)&gt;0)*(N('Dvd Calendar'!$E$1188)&lt;=VAL_SERIAL)*1000000+7*1000+41))</f>
        <v/>
      </c>
      <c r="FT122" s="121">
        <f>IF(N('Dvd Calendar'!$F$1189)=0,"",IF(('Dvd Calendar'!$F$1189&gt;=GRID_FROM)*('Dvd Calendar'!$F$1189&lt;=GRID_TO)*('Dvd Calendar'!$F$1189&gt;VAL_DATE)=0,"",'Dvd Calendar'!$F$1189*1000000000+ISNUMBER('Dvd Calendar'!$F$1190)*100000000+0*10000000+(N('Dvd Calendar'!$F$1188)&gt;0)*(N('Dvd Calendar'!$F$1188)&lt;=VAL_SERIAL)*1000000+7*1000+42))</f>
        <v/>
      </c>
      <c r="FU122" s="121">
        <f>IF(N('Dvd Calendar'!$G$1189)=0,"",IF(('Dvd Calendar'!$G$1189&gt;=GRID_FROM)*('Dvd Calendar'!$G$1189&lt;=GRID_TO)*('Dvd Calendar'!$G$1189&gt;VAL_DATE)=0,"",'Dvd Calendar'!$G$1189*1000000000+ISNUMBER('Dvd Calendar'!$G$1190)*100000000+0*10000000+(N('Dvd Calendar'!$G$1188)&gt;0)*(N('Dvd Calendar'!$G$1188)&lt;=VAL_SERIAL)*1000000+7*1000+43))</f>
        <v/>
      </c>
      <c r="FV122" s="121">
        <f>IF(N('Dvd Calendar'!$H$1189)=0,"",IF(('Dvd Calendar'!$H$1189&gt;=GRID_FROM)*('Dvd Calendar'!$H$1189&lt;=GRID_TO)*('Dvd Calendar'!$H$1189&gt;VAL_DATE)=0,"",'Dvd Calendar'!$H$1189*1000000000+ISNUMBER('Dvd Calendar'!$H$1190)*100000000+0*10000000+(N('Dvd Calendar'!$H$1188)&gt;0)*(N('Dvd Calendar'!$H$1188)&lt;=VAL_SERIAL)*1000000+7*1000+44))</f>
        <v/>
      </c>
      <c r="FW122" s="121">
        <f>IF(N('Dvd Calendar'!$I$1189)=0,"",IF(('Dvd Calendar'!$I$1189&gt;=GRID_FROM)*('Dvd Calendar'!$I$1189&lt;=GRID_TO)*('Dvd Calendar'!$I$1189&gt;VAL_DATE)=0,"",'Dvd Calendar'!$I$1189*1000000000+ISNUMBER('Dvd Calendar'!$I$1190)*100000000+0*10000000+(N('Dvd Calendar'!$I$1188)&gt;0)*(N('Dvd Calendar'!$I$1188)&lt;=VAL_SERIAL)*1000000+7*1000+45))</f>
        <v/>
      </c>
      <c r="FX122" s="121">
        <f>IF(N('Dvd Calendar'!$J$1189)=0,"",IF(('Dvd Calendar'!$J$1189&gt;=GRID_FROM)*('Dvd Calendar'!$J$1189&lt;=GRID_TO)*('Dvd Calendar'!$J$1189&gt;VAL_DATE)=0,"",'Dvd Calendar'!$J$1189*1000000000+ISNUMBER('Dvd Calendar'!$J$1190)*100000000+0*10000000+(N('Dvd Calendar'!$J$1188)&gt;0)*(N('Dvd Calendar'!$J$1188)&lt;=VAL_SERIAL)*1000000+7*1000+46))</f>
        <v/>
      </c>
      <c r="FY122" s="121">
        <f>IF(N('Dvd Calendar'!$K$1189)=0,"",IF(('Dvd Calendar'!$K$1189&gt;=GRID_FROM)*('Dvd Calendar'!$K$1189&lt;=GRID_TO)*('Dvd Calendar'!$K$1189&gt;VAL_DATE)=0,"",'Dvd Calendar'!$K$1189*1000000000+ISNUMBER('Dvd Calendar'!$K$1190)*100000000+0*10000000+(N('Dvd Calendar'!$K$1188)&gt;0)*(N('Dvd Calendar'!$K$1188)&lt;=VAL_SERIAL)*1000000+7*1000+47))</f>
        <v/>
      </c>
      <c r="FZ122" s="121">
        <f>IF(N('Dvd Calendar'!$L$1189)=0,"",IF(('Dvd Calendar'!$L$1189&gt;=GRID_FROM)*('Dvd Calendar'!$L$1189&lt;=GRID_TO)*('Dvd Calendar'!$L$1189&gt;VAL_DATE)=0,"",'Dvd Calendar'!$L$1189*1000000000+ISNUMBER('Dvd Calendar'!$L$1190)*100000000+0*10000000+(N('Dvd Calendar'!$L$1188)&gt;0)*(N('Dvd Calendar'!$L$1188)&lt;=VAL_SERIAL)*1000000+7*1000+48))</f>
        <v/>
      </c>
      <c r="GA122" s="121">
        <f>IF(N('Dvd Calendar'!$M$1189)=0,"",IF(('Dvd Calendar'!$M$1189&gt;=GRID_FROM)*('Dvd Calendar'!$M$1189&lt;=GRID_TO)*('Dvd Calendar'!$M$1189&gt;VAL_DATE)=0,"",'Dvd Calendar'!$M$1189*1000000000+ISNUMBER('Dvd Calendar'!$M$1190)*100000000+0*10000000+(N('Dvd Calendar'!$M$1188)&gt;0)*(N('Dvd Calendar'!$M$1188)&lt;=VAL_SERIAL)*1000000+7*1000+49))</f>
        <v/>
      </c>
      <c r="GB122" s="121">
        <f>IF(N('Dvd Calendar'!$N$1189)=0,"",IF(('Dvd Calendar'!$N$1189&gt;=GRID_FROM)*('Dvd Calendar'!$N$1189&lt;=GRID_TO)*('Dvd Calendar'!$N$1189&gt;VAL_DATE)=0,"",'Dvd Calendar'!$N$1189*1000000000+ISNUMBER('Dvd Calendar'!$N$1190)*100000000+0*10000000+(N('Dvd Calendar'!$N$1188)&gt;0)*(N('Dvd Calendar'!$N$1188)&lt;=VAL_SERIAL)*1000000+7*1000+50))</f>
        <v/>
      </c>
      <c r="GC122" s="121">
        <f>IF(N('Dvd Calendar'!$O$1189)=0,"",IF(('Dvd Calendar'!$O$1189&gt;=GRID_FROM)*('Dvd Calendar'!$O$1189&lt;=GRID_TO)*('Dvd Calendar'!$O$1189&gt;VAL_DATE)=0,"",'Dvd Calendar'!$O$1189*1000000000+ISNUMBER('Dvd Calendar'!$O$1190)*100000000+0*10000000+(N('Dvd Calendar'!$O$1188)&gt;0)*(N('Dvd Calendar'!$O$1188)&lt;=VAL_SERIAL)*1000000+7*1000+51))</f>
        <v/>
      </c>
      <c r="GD122" s="121">
        <f>IF(N('Dvd Calendar'!$P$1189)=0,"",IF(('Dvd Calendar'!$P$1189&gt;=GRID_FROM)*('Dvd Calendar'!$P$1189&lt;=GRID_TO)*('Dvd Calendar'!$P$1189&gt;VAL_DATE)=0,"",'Dvd Calendar'!$P$1189*1000000000+ISNUMBER('Dvd Calendar'!$P$1190)*100000000+0*10000000+(N('Dvd Calendar'!$P$1188)&gt;0)*(N('Dvd Calendar'!$P$1188)&lt;=VAL_SERIAL)*1000000+7*1000+52))</f>
        <v/>
      </c>
      <c r="GE122" s="121">
        <f>IF(N('Dvd Calendar'!$Q$1189)=0,"",IF(('Dvd Calendar'!$Q$1189&gt;=GRID_FROM)*('Dvd Calendar'!$Q$1189&lt;=GRID_TO)*('Dvd Calendar'!$Q$1189&gt;VAL_DATE)=0,"",'Dvd Calendar'!$Q$1189*1000000000+ISNUMBER('Dvd Calendar'!$Q$1190)*100000000+0*10000000+(N('Dvd Calendar'!$Q$1188)&gt;0)*(N('Dvd Calendar'!$Q$1188)&lt;=VAL_SERIAL)*1000000+7*1000+53))</f>
        <v/>
      </c>
      <c r="GF122" s="121">
        <f>IF(N('Dvd Calendar'!$R$1189)=0,"",IF(('Dvd Calendar'!$R$1189&gt;=GRID_FROM)*('Dvd Calendar'!$R$1189&lt;=GRID_TO)*('Dvd Calendar'!$R$1189&gt;VAL_DATE)=0,"",'Dvd Calendar'!$R$1189*1000000000+ISNUMBER('Dvd Calendar'!$R$1190)*100000000+0*10000000+(N('Dvd Calendar'!$R$1188)&gt;0)*(N('Dvd Calendar'!$R$1188)&lt;=VAL_SERIAL)*1000000+7*1000+54))</f>
        <v/>
      </c>
      <c r="GG122" s="121">
        <f>IF(N('Dvd Calendar'!$S$1189)=0,"",IF(('Dvd Calendar'!$S$1189&gt;=GRID_FROM)*('Dvd Calendar'!$S$1189&lt;=GRID_TO)*('Dvd Calendar'!$S$1189&gt;VAL_DATE)=0,"",'Dvd Calendar'!$S$1189*1000000000+ISNUMBER('Dvd Calendar'!$S$1190)*100000000+0*10000000+(N('Dvd Calendar'!$S$1188)&gt;0)*(N('Dvd Calendar'!$S$1188)&lt;=VAL_SERIAL)*1000000+7*1000+55))</f>
        <v/>
      </c>
      <c r="GH122" s="121">
        <f>IF(N('Dvd Calendar'!$T$1189)=0,"",IF(('Dvd Calendar'!$T$1189&gt;=GRID_FROM)*('Dvd Calendar'!$T$1189&lt;=GRID_TO)*('Dvd Calendar'!$T$1189&gt;VAL_DATE)=0,"",'Dvd Calendar'!$T$1189*1000000000+ISNUMBER('Dvd Calendar'!$T$1190)*100000000+0*10000000+(N('Dvd Calendar'!$T$1188)&gt;0)*(N('Dvd Calendar'!$T$1188)&lt;=VAL_SERIAL)*1000000+7*1000+56))</f>
        <v/>
      </c>
      <c r="GI122" s="121">
        <f>IF(N('Dvd Calendar'!$U$1189)=0,"",IF(('Dvd Calendar'!$U$1189&gt;=GRID_FROM)*('Dvd Calendar'!$U$1189&lt;=GRID_TO)*('Dvd Calendar'!$U$1189&gt;VAL_DATE)=0,"",'Dvd Calendar'!$U$1189*1000000000+ISNUMBER('Dvd Calendar'!$U$1190)*100000000+0*10000000+(N('Dvd Calendar'!$U$1188)&gt;0)*(N('Dvd Calendar'!$U$1188)&lt;=VAL_SERIAL)*1000000+7*1000+57))</f>
        <v/>
      </c>
      <c r="GJ122" s="121">
        <f>IF(N('Dvd Calendar'!$V$1189)=0,"",IF(('Dvd Calendar'!$V$1189&gt;=GRID_FROM)*('Dvd Calendar'!$V$1189&lt;=GRID_TO)*('Dvd Calendar'!$V$1189&gt;VAL_DATE)=0,"",'Dvd Calendar'!$V$1189*1000000000+ISNUMBER('Dvd Calendar'!$V$1190)*100000000+0*10000000+(N('Dvd Calendar'!$V$1188)&gt;0)*(N('Dvd Calendar'!$V$1188)&lt;=VAL_SERIAL)*1000000+7*1000+58))</f>
        <v/>
      </c>
      <c r="GK122" s="121">
        <f>IF(N('Dvd Calendar'!$W$1189)=0,"",IF(('Dvd Calendar'!$W$1189&gt;=GRID_FROM)*('Dvd Calendar'!$W$1189&lt;=GRID_TO)*('Dvd Calendar'!$W$1189&gt;VAL_DATE)=0,"",'Dvd Calendar'!$W$1189*1000000000+ISNUMBER('Dvd Calendar'!$W$1190)*100000000+0*10000000+(N('Dvd Calendar'!$W$1188)&gt;0)*(N('Dvd Calendar'!$W$1188)&lt;=VAL_SERIAL)*1000000+7*1000+59))</f>
        <v/>
      </c>
      <c r="GL122" s="121">
        <f>IF(N('Dvd Calendar'!$X$1189)=0,"",IF(('Dvd Calendar'!$X$1189&gt;=GRID_FROM)*('Dvd Calendar'!$X$1189&lt;=GRID_TO)*('Dvd Calendar'!$X$1189&gt;VAL_DATE)=0,"",'Dvd Calendar'!$X$1189*1000000000+ISNUMBER('Dvd Calendar'!$X$1190)*100000000+0*10000000+(N('Dvd Calendar'!$X$1188)&gt;0)*(N('Dvd Calendar'!$X$1188)&lt;=VAL_SERIAL)*1000000+7*1000+60))</f>
        <v/>
      </c>
      <c r="GM122" s="121">
        <f>IF(N('Dvd Calendar'!$Y$1189)=0,"",IF(('Dvd Calendar'!$Y$1189&gt;=GRID_FROM)*('Dvd Calendar'!$Y$1189&lt;=GRID_TO)*('Dvd Calendar'!$Y$1189&gt;VAL_DATE)=0,"",'Dvd Calendar'!$Y$1189*1000000000+ISNUMBER('Dvd Calendar'!$Y$1190)*100000000+0*10000000+(N('Dvd Calendar'!$Y$1188)&gt;0)*(N('Dvd Calendar'!$Y$1188)&lt;=VAL_SERIAL)*1000000+7*1000+61))</f>
        <v/>
      </c>
      <c r="GN122" s="121">
        <f>IF(N('Dvd Calendar'!$Z$1189)=0,"",IF(('Dvd Calendar'!$Z$1189&gt;=GRID_FROM)*('Dvd Calendar'!$Z$1189&lt;=GRID_TO)*('Dvd Calendar'!$Z$1189&gt;VAL_DATE)=0,"",'Dvd Calendar'!$Z$1189*1000000000+ISNUMBER('Dvd Calendar'!$Z$1190)*100000000+0*10000000+(N('Dvd Calendar'!$Z$1188)&gt;0)*(N('Dvd Calendar'!$Z$1188)&lt;=VAL_SERIAL)*1000000+7*1000+62))</f>
        <v/>
      </c>
      <c r="GO122" s="121">
        <f>IF(N('Dvd Calendar'!$AA$1189)=0,"",IF(('Dvd Calendar'!$AA$1189&gt;=GRID_FROM)*('Dvd Calendar'!$AA$1189&lt;=GRID_TO)*('Dvd Calendar'!$AA$1189&gt;VAL_DATE)=0,"",'Dvd Calendar'!$AA$1189*1000000000+ISNUMBER('Dvd Calendar'!$AA$1190)*100000000+0*10000000+(N('Dvd Calendar'!$AA$1188)&gt;0)*(N('Dvd Calendar'!$AA$1188)&lt;=VAL_SERIAL)*1000000+7*1000+63))</f>
        <v/>
      </c>
      <c r="GP122" s="121">
        <f>IF(N('Dvd Calendar'!$AB$1189)=0,"",IF(('Dvd Calendar'!$AB$1189&gt;=GRID_FROM)*('Dvd Calendar'!$AB$1189&lt;=GRID_TO)*('Dvd Calendar'!$AB$1189&gt;VAL_DATE)=0,"",'Dvd Calendar'!$AB$1189*1000000000+ISNUMBER('Dvd Calendar'!$AB$1190)*100000000+0*10000000+(N('Dvd Calendar'!$AB$1188)&gt;0)*(N('Dvd Calendar'!$AB$1188)&lt;=VAL_SERIAL)*1000000+7*1000+64))</f>
        <v/>
      </c>
      <c r="GQ122" s="121">
        <f>IF(N('Dvd Calendar'!$AC$1189)=0,"",IF(('Dvd Calendar'!$AC$1189&gt;=GRID_FROM)*('Dvd Calendar'!$AC$1189&lt;=GRID_TO)*('Dvd Calendar'!$AC$1189&gt;VAL_DATE)=0,"",'Dvd Calendar'!$AC$1189*1000000000+ISNUMBER('Dvd Calendar'!$AC$1190)*100000000+0*10000000+(N('Dvd Calendar'!$AC$1188)&gt;0)*(N('Dvd Calendar'!$AC$1188)&lt;=VAL_SERIAL)*1000000+7*1000+65))</f>
        <v/>
      </c>
    </row>
    <row r="123">
      <c r="B123" s="2">
        <f>IF(HSTECH!$C$14="","",HSTECH!$C$14)</f>
        <v/>
      </c>
      <c r="C123" s="161">
        <f>IF(EE123="","",IF(ISNUMBER('Dvd Calendar'!$E$1196)=FALSE,"",IF((('Dvd Calendar'!$E$1198=TYPE1)*(TYPE1&lt;&gt;"")+('Dvd Calendar'!$E$1198=TYPE2)*(TYPE2&lt;&gt;"")+('Dvd Calendar'!$E$1198=TYPE3)*(TYPE3&lt;&gt;"")+('Dvd Calendar'!$E$1198=TYPE4)*(TYPE4&lt;&gt;"")+('Dvd Calendar'!$E$1198=SPECIAL_LBL)*(INC_SPECIALS="Y"))=0,"",'Dvd Calendar'!$E$1196)))</f>
        <v/>
      </c>
      <c r="D123" s="161">
        <f>IF(EF123="","",IF(ISNUMBER('Dvd Calendar'!$F$1196)=FALSE,"",IF((('Dvd Calendar'!$F$1198=TYPE1)*(TYPE1&lt;&gt;"")+('Dvd Calendar'!$F$1198=TYPE2)*(TYPE2&lt;&gt;"")+('Dvd Calendar'!$F$1198=TYPE3)*(TYPE3&lt;&gt;"")+('Dvd Calendar'!$F$1198=TYPE4)*(TYPE4&lt;&gt;"")+('Dvd Calendar'!$F$1198=SPECIAL_LBL)*(INC_SPECIALS="Y"))=0,"",'Dvd Calendar'!$F$1196)))</f>
        <v/>
      </c>
      <c r="E123" s="161">
        <f>IF(EG123="","",IF(ISNUMBER('Dvd Calendar'!$G$1196)=FALSE,"",IF((('Dvd Calendar'!$G$1198=TYPE1)*(TYPE1&lt;&gt;"")+('Dvd Calendar'!$G$1198=TYPE2)*(TYPE2&lt;&gt;"")+('Dvd Calendar'!$G$1198=TYPE3)*(TYPE3&lt;&gt;"")+('Dvd Calendar'!$G$1198=TYPE4)*(TYPE4&lt;&gt;"")+('Dvd Calendar'!$G$1198=SPECIAL_LBL)*(INC_SPECIALS="Y"))=0,"",'Dvd Calendar'!$G$1196)))</f>
        <v/>
      </c>
      <c r="F123" s="161">
        <f>IF(EH123="","",IF(ISNUMBER('Dvd Calendar'!$H$1196)=FALSE,"",IF((('Dvd Calendar'!$H$1198=TYPE1)*(TYPE1&lt;&gt;"")+('Dvd Calendar'!$H$1198=TYPE2)*(TYPE2&lt;&gt;"")+('Dvd Calendar'!$H$1198=TYPE3)*(TYPE3&lt;&gt;"")+('Dvd Calendar'!$H$1198=TYPE4)*(TYPE4&lt;&gt;"")+('Dvd Calendar'!$H$1198=SPECIAL_LBL)*(INC_SPECIALS="Y"))=0,"",'Dvd Calendar'!$H$1196)))</f>
        <v/>
      </c>
      <c r="G123" s="161">
        <f>IF(EI123="","",IF(ISNUMBER('Dvd Calendar'!$I$1196)=FALSE,"",IF((('Dvd Calendar'!$I$1198=TYPE1)*(TYPE1&lt;&gt;"")+('Dvd Calendar'!$I$1198=TYPE2)*(TYPE2&lt;&gt;"")+('Dvd Calendar'!$I$1198=TYPE3)*(TYPE3&lt;&gt;"")+('Dvd Calendar'!$I$1198=TYPE4)*(TYPE4&lt;&gt;"")+('Dvd Calendar'!$I$1198=SPECIAL_LBL)*(INC_SPECIALS="Y"))=0,"",'Dvd Calendar'!$I$1196)))</f>
        <v/>
      </c>
      <c r="H123" s="161">
        <f>IF(EJ123="","",IF(ISNUMBER('Dvd Calendar'!$J$1196)=FALSE,"",IF((('Dvd Calendar'!$J$1198=TYPE1)*(TYPE1&lt;&gt;"")+('Dvd Calendar'!$J$1198=TYPE2)*(TYPE2&lt;&gt;"")+('Dvd Calendar'!$J$1198=TYPE3)*(TYPE3&lt;&gt;"")+('Dvd Calendar'!$J$1198=TYPE4)*(TYPE4&lt;&gt;"")+('Dvd Calendar'!$J$1198=SPECIAL_LBL)*(INC_SPECIALS="Y"))=0,"",'Dvd Calendar'!$J$1196)))</f>
        <v/>
      </c>
      <c r="I123" s="161">
        <f>IF(EK123="","",IF(ISNUMBER('Dvd Calendar'!$K$1196)=FALSE,"",IF((('Dvd Calendar'!$K$1198=TYPE1)*(TYPE1&lt;&gt;"")+('Dvd Calendar'!$K$1198=TYPE2)*(TYPE2&lt;&gt;"")+('Dvd Calendar'!$K$1198=TYPE3)*(TYPE3&lt;&gt;"")+('Dvd Calendar'!$K$1198=TYPE4)*(TYPE4&lt;&gt;"")+('Dvd Calendar'!$K$1198=SPECIAL_LBL)*(INC_SPECIALS="Y"))=0,"",'Dvd Calendar'!$K$1196)))</f>
        <v/>
      </c>
      <c r="J123" s="161">
        <f>IF(EL123="","",IF(ISNUMBER('Dvd Calendar'!$L$1196)=FALSE,"",IF((('Dvd Calendar'!$L$1198=TYPE1)*(TYPE1&lt;&gt;"")+('Dvd Calendar'!$L$1198=TYPE2)*(TYPE2&lt;&gt;"")+('Dvd Calendar'!$L$1198=TYPE3)*(TYPE3&lt;&gt;"")+('Dvd Calendar'!$L$1198=TYPE4)*(TYPE4&lt;&gt;"")+('Dvd Calendar'!$L$1198=SPECIAL_LBL)*(INC_SPECIALS="Y"))=0,"",'Dvd Calendar'!$L$1196)))</f>
        <v/>
      </c>
      <c r="K123" s="161">
        <f>IF(EM123="","",IF(ISNUMBER('Dvd Calendar'!$M$1196)=FALSE,"",IF((('Dvd Calendar'!$M$1198=TYPE1)*(TYPE1&lt;&gt;"")+('Dvd Calendar'!$M$1198=TYPE2)*(TYPE2&lt;&gt;"")+('Dvd Calendar'!$M$1198=TYPE3)*(TYPE3&lt;&gt;"")+('Dvd Calendar'!$M$1198=TYPE4)*(TYPE4&lt;&gt;"")+('Dvd Calendar'!$M$1198=SPECIAL_LBL)*(INC_SPECIALS="Y"))=0,"",'Dvd Calendar'!$M$1196)))</f>
        <v/>
      </c>
      <c r="L123" s="161">
        <f>IF(EN123="","",IF(ISNUMBER('Dvd Calendar'!$N$1196)=FALSE,"",IF((('Dvd Calendar'!$N$1198=TYPE1)*(TYPE1&lt;&gt;"")+('Dvd Calendar'!$N$1198=TYPE2)*(TYPE2&lt;&gt;"")+('Dvd Calendar'!$N$1198=TYPE3)*(TYPE3&lt;&gt;"")+('Dvd Calendar'!$N$1198=TYPE4)*(TYPE4&lt;&gt;"")+('Dvd Calendar'!$N$1198=SPECIAL_LBL)*(INC_SPECIALS="Y"))=0,"",'Dvd Calendar'!$N$1196)))</f>
        <v/>
      </c>
      <c r="M123" s="161">
        <f>IF(EO123="","",IF(ISNUMBER('Dvd Calendar'!$O$1196)=FALSE,"",IF((('Dvd Calendar'!$O$1198=TYPE1)*(TYPE1&lt;&gt;"")+('Dvd Calendar'!$O$1198=TYPE2)*(TYPE2&lt;&gt;"")+('Dvd Calendar'!$O$1198=TYPE3)*(TYPE3&lt;&gt;"")+('Dvd Calendar'!$O$1198=TYPE4)*(TYPE4&lt;&gt;"")+('Dvd Calendar'!$O$1198=SPECIAL_LBL)*(INC_SPECIALS="Y"))=0,"",'Dvd Calendar'!$O$1196)))</f>
        <v/>
      </c>
      <c r="N123" s="161">
        <f>IF(EP123="","",IF(ISNUMBER('Dvd Calendar'!$P$1196)=FALSE,"",IF((('Dvd Calendar'!$P$1198=TYPE1)*(TYPE1&lt;&gt;"")+('Dvd Calendar'!$P$1198=TYPE2)*(TYPE2&lt;&gt;"")+('Dvd Calendar'!$P$1198=TYPE3)*(TYPE3&lt;&gt;"")+('Dvd Calendar'!$P$1198=TYPE4)*(TYPE4&lt;&gt;"")+('Dvd Calendar'!$P$1198=SPECIAL_LBL)*(INC_SPECIALS="Y"))=0,"",'Dvd Calendar'!$P$1196)))</f>
        <v/>
      </c>
      <c r="O123" s="161">
        <f>IF(EQ123="","",IF(ISNUMBER('Dvd Calendar'!$Q$1196)=FALSE,"",IF((('Dvd Calendar'!$Q$1198=TYPE1)*(TYPE1&lt;&gt;"")+('Dvd Calendar'!$Q$1198=TYPE2)*(TYPE2&lt;&gt;"")+('Dvd Calendar'!$Q$1198=TYPE3)*(TYPE3&lt;&gt;"")+('Dvd Calendar'!$Q$1198=TYPE4)*(TYPE4&lt;&gt;"")+('Dvd Calendar'!$Q$1198=SPECIAL_LBL)*(INC_SPECIALS="Y"))=0,"",'Dvd Calendar'!$Q$1196)))</f>
        <v/>
      </c>
      <c r="P123" s="161">
        <f>IF(ER123="","",IF(ISNUMBER('Dvd Calendar'!$R$1196)=FALSE,"",IF((('Dvd Calendar'!$R$1198=TYPE1)*(TYPE1&lt;&gt;"")+('Dvd Calendar'!$R$1198=TYPE2)*(TYPE2&lt;&gt;"")+('Dvd Calendar'!$R$1198=TYPE3)*(TYPE3&lt;&gt;"")+('Dvd Calendar'!$R$1198=TYPE4)*(TYPE4&lt;&gt;"")+('Dvd Calendar'!$R$1198=SPECIAL_LBL)*(INC_SPECIALS="Y"))=0,"",'Dvd Calendar'!$R$1196)))</f>
        <v/>
      </c>
      <c r="Q123" s="161">
        <f>IF(ES123="","",IF(ISNUMBER('Dvd Calendar'!$S$1196)=FALSE,"",IF((('Dvd Calendar'!$S$1198=TYPE1)*(TYPE1&lt;&gt;"")+('Dvd Calendar'!$S$1198=TYPE2)*(TYPE2&lt;&gt;"")+('Dvd Calendar'!$S$1198=TYPE3)*(TYPE3&lt;&gt;"")+('Dvd Calendar'!$S$1198=TYPE4)*(TYPE4&lt;&gt;"")+('Dvd Calendar'!$S$1198=SPECIAL_LBL)*(INC_SPECIALS="Y"))=0,"",'Dvd Calendar'!$S$1196)))</f>
        <v/>
      </c>
      <c r="R123" s="161">
        <f>IF(ET123="","",IF(ISNUMBER('Dvd Calendar'!$T$1196)=FALSE,"",IF((('Dvd Calendar'!$T$1198=TYPE1)*(TYPE1&lt;&gt;"")+('Dvd Calendar'!$T$1198=TYPE2)*(TYPE2&lt;&gt;"")+('Dvd Calendar'!$T$1198=TYPE3)*(TYPE3&lt;&gt;"")+('Dvd Calendar'!$T$1198=TYPE4)*(TYPE4&lt;&gt;"")+('Dvd Calendar'!$T$1198=SPECIAL_LBL)*(INC_SPECIALS="Y"))=0,"",'Dvd Calendar'!$T$1196)))</f>
        <v/>
      </c>
      <c r="S123" s="161">
        <f>IF(EU123="","",IF(ISNUMBER('Dvd Calendar'!$U$1196)=FALSE,"",IF((('Dvd Calendar'!$U$1198=TYPE1)*(TYPE1&lt;&gt;"")+('Dvd Calendar'!$U$1198=TYPE2)*(TYPE2&lt;&gt;"")+('Dvd Calendar'!$U$1198=TYPE3)*(TYPE3&lt;&gt;"")+('Dvd Calendar'!$U$1198=TYPE4)*(TYPE4&lt;&gt;"")+('Dvd Calendar'!$U$1198=SPECIAL_LBL)*(INC_SPECIALS="Y"))=0,"",'Dvd Calendar'!$U$1196)))</f>
        <v/>
      </c>
      <c r="T123" s="161">
        <f>IF(EV123="","",IF(ISNUMBER('Dvd Calendar'!$V$1196)=FALSE,"",IF((('Dvd Calendar'!$V$1198=TYPE1)*(TYPE1&lt;&gt;"")+('Dvd Calendar'!$V$1198=TYPE2)*(TYPE2&lt;&gt;"")+('Dvd Calendar'!$V$1198=TYPE3)*(TYPE3&lt;&gt;"")+('Dvd Calendar'!$V$1198=TYPE4)*(TYPE4&lt;&gt;"")+('Dvd Calendar'!$V$1198=SPECIAL_LBL)*(INC_SPECIALS="Y"))=0,"",'Dvd Calendar'!$V$1196)))</f>
        <v/>
      </c>
      <c r="U123" s="161">
        <f>IF(EW123="","",IF(ISNUMBER('Dvd Calendar'!$W$1196)=FALSE,"",IF((('Dvd Calendar'!$W$1198=TYPE1)*(TYPE1&lt;&gt;"")+('Dvd Calendar'!$W$1198=TYPE2)*(TYPE2&lt;&gt;"")+('Dvd Calendar'!$W$1198=TYPE3)*(TYPE3&lt;&gt;"")+('Dvd Calendar'!$W$1198=TYPE4)*(TYPE4&lt;&gt;"")+('Dvd Calendar'!$W$1198=SPECIAL_LBL)*(INC_SPECIALS="Y"))=0,"",'Dvd Calendar'!$W$1196)))</f>
        <v/>
      </c>
      <c r="V123" s="161">
        <f>IF(EX123="","",IF(ISNUMBER('Dvd Calendar'!$X$1196)=FALSE,"",IF((('Dvd Calendar'!$X$1198=TYPE1)*(TYPE1&lt;&gt;"")+('Dvd Calendar'!$X$1198=TYPE2)*(TYPE2&lt;&gt;"")+('Dvd Calendar'!$X$1198=TYPE3)*(TYPE3&lt;&gt;"")+('Dvd Calendar'!$X$1198=TYPE4)*(TYPE4&lt;&gt;"")+('Dvd Calendar'!$X$1198=SPECIAL_LBL)*(INC_SPECIALS="Y"))=0,"",'Dvd Calendar'!$X$1196)))</f>
        <v/>
      </c>
      <c r="W123" s="161">
        <f>IF(EY123="","",IF(ISNUMBER('Dvd Calendar'!$Y$1196)=FALSE,"",IF((('Dvd Calendar'!$Y$1198=TYPE1)*(TYPE1&lt;&gt;"")+('Dvd Calendar'!$Y$1198=TYPE2)*(TYPE2&lt;&gt;"")+('Dvd Calendar'!$Y$1198=TYPE3)*(TYPE3&lt;&gt;"")+('Dvd Calendar'!$Y$1198=TYPE4)*(TYPE4&lt;&gt;"")+('Dvd Calendar'!$Y$1198=SPECIAL_LBL)*(INC_SPECIALS="Y"))=0,"",'Dvd Calendar'!$Y$1196)))</f>
        <v/>
      </c>
      <c r="X123" s="161">
        <f>IF(EZ123="","",IF(ISNUMBER('Dvd Calendar'!$Z$1196)=FALSE,"",IF((('Dvd Calendar'!$Z$1198=TYPE1)*(TYPE1&lt;&gt;"")+('Dvd Calendar'!$Z$1198=TYPE2)*(TYPE2&lt;&gt;"")+('Dvd Calendar'!$Z$1198=TYPE3)*(TYPE3&lt;&gt;"")+('Dvd Calendar'!$Z$1198=TYPE4)*(TYPE4&lt;&gt;"")+('Dvd Calendar'!$Z$1198=SPECIAL_LBL)*(INC_SPECIALS="Y"))=0,"",'Dvd Calendar'!$Z$1196)))</f>
        <v/>
      </c>
      <c r="Y123" s="161">
        <f>IF(FA123="","",IF(ISNUMBER('Dvd Calendar'!$AA$1196)=FALSE,"",IF((('Dvd Calendar'!$AA$1198=TYPE1)*(TYPE1&lt;&gt;"")+('Dvd Calendar'!$AA$1198=TYPE2)*(TYPE2&lt;&gt;"")+('Dvd Calendar'!$AA$1198=TYPE3)*(TYPE3&lt;&gt;"")+('Dvd Calendar'!$AA$1198=TYPE4)*(TYPE4&lt;&gt;"")+('Dvd Calendar'!$AA$1198=SPECIAL_LBL)*(INC_SPECIALS="Y"))=0,"",'Dvd Calendar'!$AA$1196)))</f>
        <v/>
      </c>
      <c r="Z123" s="161">
        <f>IF(FB123="","",IF(ISNUMBER('Dvd Calendar'!$AB$1196)=FALSE,"",IF((('Dvd Calendar'!$AB$1198=TYPE1)*(TYPE1&lt;&gt;"")+('Dvd Calendar'!$AB$1198=TYPE2)*(TYPE2&lt;&gt;"")+('Dvd Calendar'!$AB$1198=TYPE3)*(TYPE3&lt;&gt;"")+('Dvd Calendar'!$AB$1198=TYPE4)*(TYPE4&lt;&gt;"")+('Dvd Calendar'!$AB$1198=SPECIAL_LBL)*(INC_SPECIALS="Y"))=0,"",'Dvd Calendar'!$AB$1196)))</f>
        <v/>
      </c>
      <c r="AA123" s="161">
        <f>IF(FC123="","",IF(ISNUMBER('Dvd Calendar'!$AC$1196)=FALSE,"",IF((('Dvd Calendar'!$AC$1198=TYPE1)*(TYPE1&lt;&gt;"")+('Dvd Calendar'!$AC$1198=TYPE2)*(TYPE2&lt;&gt;"")+('Dvd Calendar'!$AC$1198=TYPE3)*(TYPE3&lt;&gt;"")+('Dvd Calendar'!$AC$1198=TYPE4)*(TYPE4&lt;&gt;"")+('Dvd Calendar'!$AC$1198=SPECIAL_LBL)*(INC_SPECIALS="Y"))=0,"",'Dvd Calendar'!$AC$1196)))</f>
        <v/>
      </c>
      <c r="AB123" s="161">
        <f>IF(FD123="","",IF(ISNUMBER('Dvd Calendar'!$AD$1196)=FALSE,"",IF((('Dvd Calendar'!$AD$1198=TYPE1)*(TYPE1&lt;&gt;"")+('Dvd Calendar'!$AD$1198=TYPE2)*(TYPE2&lt;&gt;"")+('Dvd Calendar'!$AD$1198=TYPE3)*(TYPE3&lt;&gt;"")+('Dvd Calendar'!$AD$1198=TYPE4)*(TYPE4&lt;&gt;"")+('Dvd Calendar'!$AD$1198=SPECIAL_LBL)*(INC_SPECIALS="Y"))=0,"",'Dvd Calendar'!$AD$1196)))</f>
        <v/>
      </c>
      <c r="AC123" s="161">
        <f>IF(FE123="","",IF(ISNUMBER('Dvd Calendar'!$AE$1196)=FALSE,"",IF((('Dvd Calendar'!$AE$1198=TYPE1)*(TYPE1&lt;&gt;"")+('Dvd Calendar'!$AE$1198=TYPE2)*(TYPE2&lt;&gt;"")+('Dvd Calendar'!$AE$1198=TYPE3)*(TYPE3&lt;&gt;"")+('Dvd Calendar'!$AE$1198=TYPE4)*(TYPE4&lt;&gt;"")+('Dvd Calendar'!$AE$1198=SPECIAL_LBL)*(INC_SPECIALS="Y"))=0,"",'Dvd Calendar'!$AE$1196)))</f>
        <v/>
      </c>
      <c r="AD123" s="161">
        <f>IF(FF123="","",IF(ISNUMBER('Dvd Calendar'!$AF$1196)=FALSE,"",IF((('Dvd Calendar'!$AF$1198=TYPE1)*(TYPE1&lt;&gt;"")+('Dvd Calendar'!$AF$1198=TYPE2)*(TYPE2&lt;&gt;"")+('Dvd Calendar'!$AF$1198=TYPE3)*(TYPE3&lt;&gt;"")+('Dvd Calendar'!$AF$1198=TYPE4)*(TYPE4&lt;&gt;"")+('Dvd Calendar'!$AF$1198=SPECIAL_LBL)*(INC_SPECIALS="Y"))=0,"",'Dvd Calendar'!$AF$1196)))</f>
        <v/>
      </c>
      <c r="AE123" s="161">
        <f>IF(FG123="","",IF(ISNUMBER('Dvd Calendar'!$AG$1196)=FALSE,"",IF((('Dvd Calendar'!$AG$1198=TYPE1)*(TYPE1&lt;&gt;"")+('Dvd Calendar'!$AG$1198=TYPE2)*(TYPE2&lt;&gt;"")+('Dvd Calendar'!$AG$1198=TYPE3)*(TYPE3&lt;&gt;"")+('Dvd Calendar'!$AG$1198=TYPE4)*(TYPE4&lt;&gt;"")+('Dvd Calendar'!$AG$1198=SPECIAL_LBL)*(INC_SPECIALS="Y"))=0,"",'Dvd Calendar'!$AG$1196)))</f>
        <v/>
      </c>
      <c r="AF123" s="161">
        <f>IF(FH123="","",IF(ISNUMBER('Dvd Calendar'!$AH$1196)=FALSE,"",IF((('Dvd Calendar'!$AH$1198=TYPE1)*(TYPE1&lt;&gt;"")+('Dvd Calendar'!$AH$1198=TYPE2)*(TYPE2&lt;&gt;"")+('Dvd Calendar'!$AH$1198=TYPE3)*(TYPE3&lt;&gt;"")+('Dvd Calendar'!$AH$1198=TYPE4)*(TYPE4&lt;&gt;"")+('Dvd Calendar'!$AH$1198=SPECIAL_LBL)*(INC_SPECIALS="Y"))=0,"",'Dvd Calendar'!$AH$1196)))</f>
        <v/>
      </c>
      <c r="AG123" s="161">
        <f>IF(FI123="","",IF(ISNUMBER('Dvd Calendar'!$AI$1196)=FALSE,"",IF((('Dvd Calendar'!$AI$1198=TYPE1)*(TYPE1&lt;&gt;"")+('Dvd Calendar'!$AI$1198=TYPE2)*(TYPE2&lt;&gt;"")+('Dvd Calendar'!$AI$1198=TYPE3)*(TYPE3&lt;&gt;"")+('Dvd Calendar'!$AI$1198=TYPE4)*(TYPE4&lt;&gt;"")+('Dvd Calendar'!$AI$1198=SPECIAL_LBL)*(INC_SPECIALS="Y"))=0,"",'Dvd Calendar'!$AI$1196)))</f>
        <v/>
      </c>
      <c r="AH123" s="161">
        <f>IF(FJ123="","",IF(ISNUMBER('Dvd Calendar'!$AJ$1196)=FALSE,"",IF((('Dvd Calendar'!$AJ$1198=TYPE1)*(TYPE1&lt;&gt;"")+('Dvd Calendar'!$AJ$1198=TYPE2)*(TYPE2&lt;&gt;"")+('Dvd Calendar'!$AJ$1198=TYPE3)*(TYPE3&lt;&gt;"")+('Dvd Calendar'!$AJ$1198=TYPE4)*(TYPE4&lt;&gt;"")+('Dvd Calendar'!$AJ$1198=SPECIAL_LBL)*(INC_SPECIALS="Y"))=0,"",'Dvd Calendar'!$AJ$1196)))</f>
        <v/>
      </c>
      <c r="AI123" s="161">
        <f>IF(FK123="","",IF(ISNUMBER('Dvd Calendar'!$AK$1196)=FALSE,"",IF((('Dvd Calendar'!$AK$1198=TYPE1)*(TYPE1&lt;&gt;"")+('Dvd Calendar'!$AK$1198=TYPE2)*(TYPE2&lt;&gt;"")+('Dvd Calendar'!$AK$1198=TYPE3)*(TYPE3&lt;&gt;"")+('Dvd Calendar'!$AK$1198=TYPE4)*(TYPE4&lt;&gt;"")+('Dvd Calendar'!$AK$1198=SPECIAL_LBL)*(INC_SPECIALS="Y"))=0,"",'Dvd Calendar'!$AK$1196)))</f>
        <v/>
      </c>
      <c r="AJ123" s="161">
        <f>IF(FL123="","",IF(ISNUMBER('Dvd Calendar'!$AL$1196)=FALSE,"",IF((('Dvd Calendar'!$AL$1198=TYPE1)*(TYPE1&lt;&gt;"")+('Dvd Calendar'!$AL$1198=TYPE2)*(TYPE2&lt;&gt;"")+('Dvd Calendar'!$AL$1198=TYPE3)*(TYPE3&lt;&gt;"")+('Dvd Calendar'!$AL$1198=TYPE4)*(TYPE4&lt;&gt;"")+('Dvd Calendar'!$AL$1198=SPECIAL_LBL)*(INC_SPECIALS="Y"))=0,"",'Dvd Calendar'!$AL$1196)))</f>
        <v/>
      </c>
      <c r="AK123" s="161">
        <f>IF(FM123="","",IF(ISNUMBER('Dvd Calendar'!$AM$1196)=FALSE,"",IF((('Dvd Calendar'!$AM$1198=TYPE1)*(TYPE1&lt;&gt;"")+('Dvd Calendar'!$AM$1198=TYPE2)*(TYPE2&lt;&gt;"")+('Dvd Calendar'!$AM$1198=TYPE3)*(TYPE3&lt;&gt;"")+('Dvd Calendar'!$AM$1198=TYPE4)*(TYPE4&lt;&gt;"")+('Dvd Calendar'!$AM$1198=SPECIAL_LBL)*(INC_SPECIALS="Y"))=0,"",'Dvd Calendar'!$AM$1196)))</f>
        <v/>
      </c>
      <c r="AL123" s="161">
        <f>IF(FN123="","",IF(ISNUMBER('Dvd Calendar'!$AN$1196)=FALSE,"",IF((('Dvd Calendar'!$AN$1198=TYPE1)*(TYPE1&lt;&gt;"")+('Dvd Calendar'!$AN$1198=TYPE2)*(TYPE2&lt;&gt;"")+('Dvd Calendar'!$AN$1198=TYPE3)*(TYPE3&lt;&gt;"")+('Dvd Calendar'!$AN$1198=TYPE4)*(TYPE4&lt;&gt;"")+('Dvd Calendar'!$AN$1198=SPECIAL_LBL)*(INC_SPECIALS="Y"))=0,"",'Dvd Calendar'!$AN$1196)))</f>
        <v/>
      </c>
      <c r="AM123" s="161">
        <f>IF(FO123="","",IF(ISNUMBER('Dvd Calendar'!$AO$1196)=FALSE,"",IF((('Dvd Calendar'!$AO$1198=TYPE1)*(TYPE1&lt;&gt;"")+('Dvd Calendar'!$AO$1198=TYPE2)*(TYPE2&lt;&gt;"")+('Dvd Calendar'!$AO$1198=TYPE3)*(TYPE3&lt;&gt;"")+('Dvd Calendar'!$AO$1198=TYPE4)*(TYPE4&lt;&gt;"")+('Dvd Calendar'!$AO$1198=SPECIAL_LBL)*(INC_SPECIALS="Y"))=0,"",'Dvd Calendar'!$AO$1196)))</f>
        <v/>
      </c>
      <c r="AN123" s="161">
        <f>IF(FP123="","",IF(ISNUMBER('Dvd Calendar'!$AP$1196)=FALSE,"",IF((('Dvd Calendar'!$AP$1198=TYPE1)*(TYPE1&lt;&gt;"")+('Dvd Calendar'!$AP$1198=TYPE2)*(TYPE2&lt;&gt;"")+('Dvd Calendar'!$AP$1198=TYPE3)*(TYPE3&lt;&gt;"")+('Dvd Calendar'!$AP$1198=TYPE4)*(TYPE4&lt;&gt;"")+('Dvd Calendar'!$AP$1198=SPECIAL_LBL)*(INC_SPECIALS="Y"))=0,"",'Dvd Calendar'!$AP$1196)))</f>
        <v/>
      </c>
      <c r="AO123" s="161">
        <f>IF(FQ123="","",IF(ISNUMBER('Dvd Calendar'!$AQ$1196)=FALSE,"",IF((('Dvd Calendar'!$AQ$1198=TYPE1)*(TYPE1&lt;&gt;"")+('Dvd Calendar'!$AQ$1198=TYPE2)*(TYPE2&lt;&gt;"")+('Dvd Calendar'!$AQ$1198=TYPE3)*(TYPE3&lt;&gt;"")+('Dvd Calendar'!$AQ$1198=TYPE4)*(TYPE4&lt;&gt;"")+('Dvd Calendar'!$AQ$1198=SPECIAL_LBL)*(INC_SPECIALS="Y"))=0,"",'Dvd Calendar'!$AQ$1196)))</f>
        <v/>
      </c>
      <c r="AP123" s="161">
        <f>IF(FR123="","",IF(ISNUMBER('Dvd Calendar'!$AR$1196)=FALSE,"",IF((('Dvd Calendar'!$AR$1198=TYPE1)*(TYPE1&lt;&gt;"")+('Dvd Calendar'!$AR$1198=TYPE2)*(TYPE2&lt;&gt;"")+('Dvd Calendar'!$AR$1198=TYPE3)*(TYPE3&lt;&gt;"")+('Dvd Calendar'!$AR$1198=TYPE4)*(TYPE4&lt;&gt;"")+('Dvd Calendar'!$AR$1198=SPECIAL_LBL)*(INC_SPECIALS="Y"))=0,"",'Dvd Calendar'!$AR$1196)))</f>
        <v/>
      </c>
      <c r="AQ123" s="161">
        <f>IF(FS123="","",IF(ISNUMBER('Dvd Calendar'!$E$1201)=FALSE,"",'Dvd Calendar'!$E$1201))</f>
        <v/>
      </c>
      <c r="AR123" s="161">
        <f>IF(FT123="","",IF(ISNUMBER('Dvd Calendar'!$F$1201)=FALSE,"",'Dvd Calendar'!$F$1201))</f>
        <v/>
      </c>
      <c r="AS123" s="161">
        <f>IF(FU123="","",IF(ISNUMBER('Dvd Calendar'!$G$1201)=FALSE,"",'Dvd Calendar'!$G$1201))</f>
        <v/>
      </c>
      <c r="AT123" s="161">
        <f>IF(FV123="","",IF(ISNUMBER('Dvd Calendar'!$H$1201)=FALSE,"",'Dvd Calendar'!$H$1201))</f>
        <v/>
      </c>
      <c r="AU123" s="161">
        <f>IF(FW123="","",IF(ISNUMBER('Dvd Calendar'!$I$1201)=FALSE,"",'Dvd Calendar'!$I$1201))</f>
        <v/>
      </c>
      <c r="AV123" s="161">
        <f>IF(FX123="","",IF(ISNUMBER('Dvd Calendar'!$J$1201)=FALSE,"",'Dvd Calendar'!$J$1201))</f>
        <v/>
      </c>
      <c r="AW123" s="161">
        <f>IF(FY123="","",IF(ISNUMBER('Dvd Calendar'!$K$1201)=FALSE,"",'Dvd Calendar'!$K$1201))</f>
        <v/>
      </c>
      <c r="AX123" s="161">
        <f>IF(FZ123="","",IF(ISNUMBER('Dvd Calendar'!$L$1201)=FALSE,"",'Dvd Calendar'!$L$1201))</f>
        <v/>
      </c>
      <c r="AY123" s="161">
        <f>IF(GA123="","",IF(ISNUMBER('Dvd Calendar'!$M$1201)=FALSE,"",'Dvd Calendar'!$M$1201))</f>
        <v/>
      </c>
      <c r="AZ123" s="161">
        <f>IF(GB123="","",IF(ISNUMBER('Dvd Calendar'!$N$1201)=FALSE,"",'Dvd Calendar'!$N$1201))</f>
        <v/>
      </c>
      <c r="BA123" s="161">
        <f>IF(GC123="","",IF(ISNUMBER('Dvd Calendar'!$O$1201)=FALSE,"",'Dvd Calendar'!$O$1201))</f>
        <v/>
      </c>
      <c r="BB123" s="161">
        <f>IF(GD123="","",IF(ISNUMBER('Dvd Calendar'!$P$1201)=FALSE,"",'Dvd Calendar'!$P$1201))</f>
        <v/>
      </c>
      <c r="BC123" s="161">
        <f>IF(GE123="","",IF(ISNUMBER('Dvd Calendar'!$Q$1201)=FALSE,"",'Dvd Calendar'!$Q$1201))</f>
        <v/>
      </c>
      <c r="BD123" s="161">
        <f>IF(GF123="","",IF(ISNUMBER('Dvd Calendar'!$R$1201)=FALSE,"",'Dvd Calendar'!$R$1201))</f>
        <v/>
      </c>
      <c r="BE123" s="161">
        <f>IF(GG123="","",IF(ISNUMBER('Dvd Calendar'!$S$1201)=FALSE,"",'Dvd Calendar'!$S$1201))</f>
        <v/>
      </c>
      <c r="BF123" s="161">
        <f>IF(GH123="","",IF(ISNUMBER('Dvd Calendar'!$T$1201)=FALSE,"",'Dvd Calendar'!$T$1201))</f>
        <v/>
      </c>
      <c r="BG123" s="161">
        <f>IF(GI123="","",IF(ISNUMBER('Dvd Calendar'!$U$1201)=FALSE,"",'Dvd Calendar'!$U$1201))</f>
        <v/>
      </c>
      <c r="BH123" s="161">
        <f>IF(GJ123="","",IF(ISNUMBER('Dvd Calendar'!$V$1201)=FALSE,"",'Dvd Calendar'!$V$1201))</f>
        <v/>
      </c>
      <c r="BI123" s="161">
        <f>IF(GK123="","",IF(ISNUMBER('Dvd Calendar'!$W$1201)=FALSE,"",'Dvd Calendar'!$W$1201))</f>
        <v/>
      </c>
      <c r="BJ123" s="161">
        <f>IF(GL123="","",IF(ISNUMBER('Dvd Calendar'!$X$1201)=FALSE,"",'Dvd Calendar'!$X$1201))</f>
        <v/>
      </c>
      <c r="BK123" s="161">
        <f>IF(GM123="","",IF(ISNUMBER('Dvd Calendar'!$Y$1201)=FALSE,"",'Dvd Calendar'!$Y$1201))</f>
        <v/>
      </c>
      <c r="BL123" s="161">
        <f>IF(GN123="","",IF(ISNUMBER('Dvd Calendar'!$Z$1201)=FALSE,"",'Dvd Calendar'!$Z$1201))</f>
        <v/>
      </c>
      <c r="BM123" s="161">
        <f>IF(GO123="","",IF(ISNUMBER('Dvd Calendar'!$AA$1201)=FALSE,"",'Dvd Calendar'!$AA$1201))</f>
        <v/>
      </c>
      <c r="BN123" s="161">
        <f>IF(GP123="","",IF(ISNUMBER('Dvd Calendar'!$AB$1201)=FALSE,"",'Dvd Calendar'!$AB$1201))</f>
        <v/>
      </c>
      <c r="BO123" s="161">
        <f>IF(GQ123="","",IF(ISNUMBER('Dvd Calendar'!$AC$1201)=FALSE,"",'Dvd Calendar'!$AC$1201))</f>
        <v/>
      </c>
      <c r="BQ123" s="161">
        <f>IF(C123="","",IFERROR(C123*HSTECH!$B$14*HSTECH!$G$14/HSTECH!$B$3,""))</f>
        <v/>
      </c>
      <c r="BR123" s="161">
        <f>IF(D123="","",IFERROR(D123*HSTECH!$B$14*HSTECH!$G$14/HSTECH!$B$3,""))</f>
        <v/>
      </c>
      <c r="BS123" s="161">
        <f>IF(E123="","",IFERROR(E123*HSTECH!$B$14*HSTECH!$G$14/HSTECH!$B$3,""))</f>
        <v/>
      </c>
      <c r="BT123" s="161">
        <f>IF(F123="","",IFERROR(F123*HSTECH!$B$14*HSTECH!$G$14/HSTECH!$B$3,""))</f>
        <v/>
      </c>
      <c r="BU123" s="161">
        <f>IF(G123="","",IFERROR(G123*HSTECH!$B$14*HSTECH!$G$14/HSTECH!$B$3,""))</f>
        <v/>
      </c>
      <c r="BV123" s="161">
        <f>IF(H123="","",IFERROR(H123*HSTECH!$B$14*HSTECH!$G$14/HSTECH!$B$3,""))</f>
        <v/>
      </c>
      <c r="BW123" s="161">
        <f>IF(I123="","",IFERROR(I123*HSTECH!$B$14*HSTECH!$G$14/HSTECH!$B$3,""))</f>
        <v/>
      </c>
      <c r="BX123" s="161">
        <f>IF(J123="","",IFERROR(J123*HSTECH!$B$14*HSTECH!$G$14/HSTECH!$B$3,""))</f>
        <v/>
      </c>
      <c r="BY123" s="161">
        <f>IF(K123="","",IFERROR(K123*HSTECH!$B$14*HSTECH!$G$14/HSTECH!$B$3,""))</f>
        <v/>
      </c>
      <c r="BZ123" s="161">
        <f>IF(L123="","",IFERROR(L123*HSTECH!$B$14*HSTECH!$G$14/HSTECH!$B$3,""))</f>
        <v/>
      </c>
      <c r="CA123" s="161">
        <f>IF(M123="","",IFERROR(M123*HSTECH!$B$14*HSTECH!$G$14/HSTECH!$B$3,""))</f>
        <v/>
      </c>
      <c r="CB123" s="161">
        <f>IF(N123="","",IFERROR(N123*HSTECH!$B$14*HSTECH!$G$14/HSTECH!$B$3,""))</f>
        <v/>
      </c>
      <c r="CC123" s="161">
        <f>IF(O123="","",IFERROR(O123*HSTECH!$B$14*HSTECH!$G$14/HSTECH!$B$3,""))</f>
        <v/>
      </c>
      <c r="CD123" s="161">
        <f>IF(P123="","",IFERROR(P123*HSTECH!$B$14*HSTECH!$G$14/HSTECH!$B$3,""))</f>
        <v/>
      </c>
      <c r="CE123" s="161">
        <f>IF(Q123="","",IFERROR(Q123*HSTECH!$B$14*HSTECH!$G$14/HSTECH!$B$3,""))</f>
        <v/>
      </c>
      <c r="CF123" s="161">
        <f>IF(R123="","",IFERROR(R123*HSTECH!$B$14*HSTECH!$G$14/HSTECH!$B$3,""))</f>
        <v/>
      </c>
      <c r="CG123" s="161">
        <f>IF(S123="","",IFERROR(S123*HSTECH!$B$14*HSTECH!$G$14/HSTECH!$B$3,""))</f>
        <v/>
      </c>
      <c r="CH123" s="161">
        <f>IF(T123="","",IFERROR(T123*HSTECH!$B$14*HSTECH!$G$14/HSTECH!$B$3,""))</f>
        <v/>
      </c>
      <c r="CI123" s="161">
        <f>IF(U123="","",IFERROR(U123*HSTECH!$B$14*HSTECH!$G$14/HSTECH!$B$3,""))</f>
        <v/>
      </c>
      <c r="CJ123" s="161">
        <f>IF(V123="","",IFERROR(V123*HSTECH!$B$14*HSTECH!$G$14/HSTECH!$B$3,""))</f>
        <v/>
      </c>
      <c r="CK123" s="161">
        <f>IF(W123="","",IFERROR(W123*HSTECH!$B$14*HSTECH!$G$14/HSTECH!$B$3,""))</f>
        <v/>
      </c>
      <c r="CL123" s="161">
        <f>IF(X123="","",IFERROR(X123*HSTECH!$B$14*HSTECH!$G$14/HSTECH!$B$3,""))</f>
        <v/>
      </c>
      <c r="CM123" s="161">
        <f>IF(Y123="","",IFERROR(Y123*HSTECH!$B$14*HSTECH!$G$14/HSTECH!$B$3,""))</f>
        <v/>
      </c>
      <c r="CN123" s="161">
        <f>IF(Z123="","",IFERROR(Z123*HSTECH!$B$14*HSTECH!$G$14/HSTECH!$B$3,""))</f>
        <v/>
      </c>
      <c r="CO123" s="161">
        <f>IF(AA123="","",IFERROR(AA123*HSTECH!$B$14*HSTECH!$G$14/HSTECH!$B$3,""))</f>
        <v/>
      </c>
      <c r="CP123" s="161">
        <f>IF(AB123="","",IFERROR(AB123*HSTECH!$B$14*HSTECH!$G$14/HSTECH!$B$3,""))</f>
        <v/>
      </c>
      <c r="CQ123" s="161">
        <f>IF(AC123="","",IFERROR(AC123*HSTECH!$B$14*HSTECH!$G$14/HSTECH!$B$3,""))</f>
        <v/>
      </c>
      <c r="CR123" s="161">
        <f>IF(AD123="","",IFERROR(AD123*HSTECH!$B$14*HSTECH!$G$14/HSTECH!$B$3,""))</f>
        <v/>
      </c>
      <c r="CS123" s="161">
        <f>IF(AE123="","",IFERROR(AE123*HSTECH!$B$14*HSTECH!$G$14/HSTECH!$B$3,""))</f>
        <v/>
      </c>
      <c r="CT123" s="161">
        <f>IF(AF123="","",IFERROR(AF123*HSTECH!$B$14*HSTECH!$G$14/HSTECH!$B$3,""))</f>
        <v/>
      </c>
      <c r="CU123" s="161">
        <f>IF(AG123="","",IFERROR(AG123*HSTECH!$B$14*HSTECH!$G$14/HSTECH!$B$3,""))</f>
        <v/>
      </c>
      <c r="CV123" s="161">
        <f>IF(AH123="","",IFERROR(AH123*HSTECH!$B$14*HSTECH!$G$14/HSTECH!$B$3,""))</f>
        <v/>
      </c>
      <c r="CW123" s="161">
        <f>IF(AI123="","",IFERROR(AI123*HSTECH!$B$14*HSTECH!$G$14/HSTECH!$B$3,""))</f>
        <v/>
      </c>
      <c r="CX123" s="161">
        <f>IF(AJ123="","",IFERROR(AJ123*HSTECH!$B$14*HSTECH!$G$14/HSTECH!$B$3,""))</f>
        <v/>
      </c>
      <c r="CY123" s="161">
        <f>IF(AK123="","",IFERROR(AK123*HSTECH!$B$14*HSTECH!$G$14/HSTECH!$B$3,""))</f>
        <v/>
      </c>
      <c r="CZ123" s="161">
        <f>IF(AL123="","",IFERROR(AL123*HSTECH!$B$14*HSTECH!$G$14/HSTECH!$B$3,""))</f>
        <v/>
      </c>
      <c r="DA123" s="161">
        <f>IF(AM123="","",IFERROR(AM123*HSTECH!$B$14*HSTECH!$G$14/HSTECH!$B$3,""))</f>
        <v/>
      </c>
      <c r="DB123" s="161">
        <f>IF(AN123="","",IFERROR(AN123*HSTECH!$B$14*HSTECH!$G$14/HSTECH!$B$3,""))</f>
        <v/>
      </c>
      <c r="DC123" s="161">
        <f>IF(AO123="","",IFERROR(AO123*HSTECH!$B$14*HSTECH!$G$14/HSTECH!$B$3,""))</f>
        <v/>
      </c>
      <c r="DD123" s="161">
        <f>IF(AP123="","",IFERROR(AP123*HSTECH!$B$14*HSTECH!$G$14/HSTECH!$B$3,""))</f>
        <v/>
      </c>
      <c r="DE123" s="161">
        <f>IF(AQ123="","",IFERROR(AQ123*HSTECH!$B$14*HSTECH!$G$14/HSTECH!$B$3,""))</f>
        <v/>
      </c>
      <c r="DF123" s="161">
        <f>IF(AR123="","",IFERROR(AR123*HSTECH!$B$14*HSTECH!$G$14/HSTECH!$B$3,""))</f>
        <v/>
      </c>
      <c r="DG123" s="161">
        <f>IF(AS123="","",IFERROR(AS123*HSTECH!$B$14*HSTECH!$G$14/HSTECH!$B$3,""))</f>
        <v/>
      </c>
      <c r="DH123" s="161">
        <f>IF(AT123="","",IFERROR(AT123*HSTECH!$B$14*HSTECH!$G$14/HSTECH!$B$3,""))</f>
        <v/>
      </c>
      <c r="DI123" s="161">
        <f>IF(AU123="","",IFERROR(AU123*HSTECH!$B$14*HSTECH!$G$14/HSTECH!$B$3,""))</f>
        <v/>
      </c>
      <c r="DJ123" s="161">
        <f>IF(AV123="","",IFERROR(AV123*HSTECH!$B$14*HSTECH!$G$14/HSTECH!$B$3,""))</f>
        <v/>
      </c>
      <c r="DK123" s="161">
        <f>IF(AW123="","",IFERROR(AW123*HSTECH!$B$14*HSTECH!$G$14/HSTECH!$B$3,""))</f>
        <v/>
      </c>
      <c r="DL123" s="161">
        <f>IF(AX123="","",IFERROR(AX123*HSTECH!$B$14*HSTECH!$G$14/HSTECH!$B$3,""))</f>
        <v/>
      </c>
      <c r="DM123" s="161">
        <f>IF(AY123="","",IFERROR(AY123*HSTECH!$B$14*HSTECH!$G$14/HSTECH!$B$3,""))</f>
        <v/>
      </c>
      <c r="DN123" s="161">
        <f>IF(AZ123="","",IFERROR(AZ123*HSTECH!$B$14*HSTECH!$G$14/HSTECH!$B$3,""))</f>
        <v/>
      </c>
      <c r="DO123" s="161">
        <f>IF(BA123="","",IFERROR(BA123*HSTECH!$B$14*HSTECH!$G$14/HSTECH!$B$3,""))</f>
        <v/>
      </c>
      <c r="DP123" s="161">
        <f>IF(BB123="","",IFERROR(BB123*HSTECH!$B$14*HSTECH!$G$14/HSTECH!$B$3,""))</f>
        <v/>
      </c>
      <c r="DQ123" s="161">
        <f>IF(BC123="","",IFERROR(BC123*HSTECH!$B$14*HSTECH!$G$14/HSTECH!$B$3,""))</f>
        <v/>
      </c>
      <c r="DR123" s="161">
        <f>IF(BD123="","",IFERROR(BD123*HSTECH!$B$14*HSTECH!$G$14/HSTECH!$B$3,""))</f>
        <v/>
      </c>
      <c r="DS123" s="161">
        <f>IF(BE123="","",IFERROR(BE123*HSTECH!$B$14*HSTECH!$G$14/HSTECH!$B$3,""))</f>
        <v/>
      </c>
      <c r="DT123" s="161">
        <f>IF(BF123="","",IFERROR(BF123*HSTECH!$B$14*HSTECH!$G$14/HSTECH!$B$3,""))</f>
        <v/>
      </c>
      <c r="DU123" s="161">
        <f>IF(BG123="","",IFERROR(BG123*HSTECH!$B$14*HSTECH!$G$14/HSTECH!$B$3,""))</f>
        <v/>
      </c>
      <c r="DV123" s="161">
        <f>IF(BH123="","",IFERROR(BH123*HSTECH!$B$14*HSTECH!$G$14/HSTECH!$B$3,""))</f>
        <v/>
      </c>
      <c r="DW123" s="161">
        <f>IF(BI123="","",IFERROR(BI123*HSTECH!$B$14*HSTECH!$G$14/HSTECH!$B$3,""))</f>
        <v/>
      </c>
      <c r="DX123" s="161">
        <f>IF(BJ123="","",IFERROR(BJ123*HSTECH!$B$14*HSTECH!$G$14/HSTECH!$B$3,""))</f>
        <v/>
      </c>
      <c r="DY123" s="161">
        <f>IF(BK123="","",IFERROR(BK123*HSTECH!$B$14*HSTECH!$G$14/HSTECH!$B$3,""))</f>
        <v/>
      </c>
      <c r="DZ123" s="161">
        <f>IF(BL123="","",IFERROR(BL123*HSTECH!$B$14*HSTECH!$G$14/HSTECH!$B$3,""))</f>
        <v/>
      </c>
      <c r="EA123" s="161">
        <f>IF(BM123="","",IFERROR(BM123*HSTECH!$B$14*HSTECH!$G$14/HSTECH!$B$3,""))</f>
        <v/>
      </c>
      <c r="EB123" s="161">
        <f>IF(BN123="","",IFERROR(BN123*HSTECH!$B$14*HSTECH!$G$14/HSTECH!$B$3,""))</f>
        <v/>
      </c>
      <c r="EC123" s="161">
        <f>IF(BO123="","",IFERROR(BO123*HSTECH!$B$14*HSTECH!$G$14/HSTECH!$B$3,""))</f>
        <v/>
      </c>
      <c r="EE123" s="121">
        <f>IF(N('Dvd Calendar'!$E$1193)=0,"",IF(('Dvd Calendar'!$E$1193&gt;=GRID_FROM)*('Dvd Calendar'!$E$1193&lt;=GRID_TO)*((('Dvd Calendar'!$E$1193&lt;=VAL_DATE)+(COUNTIF('Dvd Calendar'!$E$1200:$AR$1200,'Dvd Calendar'!$E$1193)=0))&gt;0)=0,"",'Dvd Calendar'!$E$1193*1000000000+ISNUMBER('Dvd Calendar'!$E$1196)*100000000+('Dvd Calendar'!$E$1198=SPECIAL_LBL)*10000000+(N('Dvd Calendar'!$E$1192)&gt;0)*(N('Dvd Calendar'!$E$1192)&lt;=VAL_SERIAL)*1000000+8*1000+1))</f>
        <v/>
      </c>
      <c r="EF123" s="121">
        <f>IF(N('Dvd Calendar'!$F$1193)=0,"",IF(('Dvd Calendar'!$F$1193&gt;=GRID_FROM)*('Dvd Calendar'!$F$1193&lt;=GRID_TO)*((('Dvd Calendar'!$F$1193&lt;=VAL_DATE)+(COUNTIF('Dvd Calendar'!$E$1200:$AR$1200,'Dvd Calendar'!$F$1193)=0))&gt;0)=0,"",'Dvd Calendar'!$F$1193*1000000000+ISNUMBER('Dvd Calendar'!$F$1196)*100000000+('Dvd Calendar'!$F$1198=SPECIAL_LBL)*10000000+(N('Dvd Calendar'!$F$1192)&gt;0)*(N('Dvd Calendar'!$F$1192)&lt;=VAL_SERIAL)*1000000+8*1000+2))</f>
        <v/>
      </c>
      <c r="EG123" s="121">
        <f>IF(N('Dvd Calendar'!$G$1193)=0,"",IF(('Dvd Calendar'!$G$1193&gt;=GRID_FROM)*('Dvd Calendar'!$G$1193&lt;=GRID_TO)*((('Dvd Calendar'!$G$1193&lt;=VAL_DATE)+(COUNTIF('Dvd Calendar'!$E$1200:$AR$1200,'Dvd Calendar'!$G$1193)=0))&gt;0)=0,"",'Dvd Calendar'!$G$1193*1000000000+ISNUMBER('Dvd Calendar'!$G$1196)*100000000+('Dvd Calendar'!$G$1198=SPECIAL_LBL)*10000000+(N('Dvd Calendar'!$G$1192)&gt;0)*(N('Dvd Calendar'!$G$1192)&lt;=VAL_SERIAL)*1000000+8*1000+3))</f>
        <v/>
      </c>
      <c r="EH123" s="121">
        <f>IF(N('Dvd Calendar'!$H$1193)=0,"",IF(('Dvd Calendar'!$H$1193&gt;=GRID_FROM)*('Dvd Calendar'!$H$1193&lt;=GRID_TO)*((('Dvd Calendar'!$H$1193&lt;=VAL_DATE)+(COUNTIF('Dvd Calendar'!$E$1200:$AR$1200,'Dvd Calendar'!$H$1193)=0))&gt;0)=0,"",'Dvd Calendar'!$H$1193*1000000000+ISNUMBER('Dvd Calendar'!$H$1196)*100000000+('Dvd Calendar'!$H$1198=SPECIAL_LBL)*10000000+(N('Dvd Calendar'!$H$1192)&gt;0)*(N('Dvd Calendar'!$H$1192)&lt;=VAL_SERIAL)*1000000+8*1000+4))</f>
        <v/>
      </c>
      <c r="EI123" s="121">
        <f>IF(N('Dvd Calendar'!$I$1193)=0,"",IF(('Dvd Calendar'!$I$1193&gt;=GRID_FROM)*('Dvd Calendar'!$I$1193&lt;=GRID_TO)*((('Dvd Calendar'!$I$1193&lt;=VAL_DATE)+(COUNTIF('Dvd Calendar'!$E$1200:$AR$1200,'Dvd Calendar'!$I$1193)=0))&gt;0)=0,"",'Dvd Calendar'!$I$1193*1000000000+ISNUMBER('Dvd Calendar'!$I$1196)*100000000+('Dvd Calendar'!$I$1198=SPECIAL_LBL)*10000000+(N('Dvd Calendar'!$I$1192)&gt;0)*(N('Dvd Calendar'!$I$1192)&lt;=VAL_SERIAL)*1000000+8*1000+5))</f>
        <v/>
      </c>
      <c r="EJ123" s="121">
        <f>IF(N('Dvd Calendar'!$J$1193)=0,"",IF(('Dvd Calendar'!$J$1193&gt;=GRID_FROM)*('Dvd Calendar'!$J$1193&lt;=GRID_TO)*((('Dvd Calendar'!$J$1193&lt;=VAL_DATE)+(COUNTIF('Dvd Calendar'!$E$1200:$AR$1200,'Dvd Calendar'!$J$1193)=0))&gt;0)=0,"",'Dvd Calendar'!$J$1193*1000000000+ISNUMBER('Dvd Calendar'!$J$1196)*100000000+('Dvd Calendar'!$J$1198=SPECIAL_LBL)*10000000+(N('Dvd Calendar'!$J$1192)&gt;0)*(N('Dvd Calendar'!$J$1192)&lt;=VAL_SERIAL)*1000000+8*1000+6))</f>
        <v/>
      </c>
      <c r="EK123" s="121">
        <f>IF(N('Dvd Calendar'!$K$1193)=0,"",IF(('Dvd Calendar'!$K$1193&gt;=GRID_FROM)*('Dvd Calendar'!$K$1193&lt;=GRID_TO)*((('Dvd Calendar'!$K$1193&lt;=VAL_DATE)+(COUNTIF('Dvd Calendar'!$E$1200:$AR$1200,'Dvd Calendar'!$K$1193)=0))&gt;0)=0,"",'Dvd Calendar'!$K$1193*1000000000+ISNUMBER('Dvd Calendar'!$K$1196)*100000000+('Dvd Calendar'!$K$1198=SPECIAL_LBL)*10000000+(N('Dvd Calendar'!$K$1192)&gt;0)*(N('Dvd Calendar'!$K$1192)&lt;=VAL_SERIAL)*1000000+8*1000+7))</f>
        <v/>
      </c>
      <c r="EL123" s="121">
        <f>IF(N('Dvd Calendar'!$L$1193)=0,"",IF(('Dvd Calendar'!$L$1193&gt;=GRID_FROM)*('Dvd Calendar'!$L$1193&lt;=GRID_TO)*((('Dvd Calendar'!$L$1193&lt;=VAL_DATE)+(COUNTIF('Dvd Calendar'!$E$1200:$AR$1200,'Dvd Calendar'!$L$1193)=0))&gt;0)=0,"",'Dvd Calendar'!$L$1193*1000000000+ISNUMBER('Dvd Calendar'!$L$1196)*100000000+('Dvd Calendar'!$L$1198=SPECIAL_LBL)*10000000+(N('Dvd Calendar'!$L$1192)&gt;0)*(N('Dvd Calendar'!$L$1192)&lt;=VAL_SERIAL)*1000000+8*1000+8))</f>
        <v/>
      </c>
      <c r="EM123" s="121">
        <f>IF(N('Dvd Calendar'!$M$1193)=0,"",IF(('Dvd Calendar'!$M$1193&gt;=GRID_FROM)*('Dvd Calendar'!$M$1193&lt;=GRID_TO)*((('Dvd Calendar'!$M$1193&lt;=VAL_DATE)+(COUNTIF('Dvd Calendar'!$E$1200:$AR$1200,'Dvd Calendar'!$M$1193)=0))&gt;0)=0,"",'Dvd Calendar'!$M$1193*1000000000+ISNUMBER('Dvd Calendar'!$M$1196)*100000000+('Dvd Calendar'!$M$1198=SPECIAL_LBL)*10000000+(N('Dvd Calendar'!$M$1192)&gt;0)*(N('Dvd Calendar'!$M$1192)&lt;=VAL_SERIAL)*1000000+8*1000+9))</f>
        <v/>
      </c>
      <c r="EN123" s="121">
        <f>IF(N('Dvd Calendar'!$N$1193)=0,"",IF(('Dvd Calendar'!$N$1193&gt;=GRID_FROM)*('Dvd Calendar'!$N$1193&lt;=GRID_TO)*((('Dvd Calendar'!$N$1193&lt;=VAL_DATE)+(COUNTIF('Dvd Calendar'!$E$1200:$AR$1200,'Dvd Calendar'!$N$1193)=0))&gt;0)=0,"",'Dvd Calendar'!$N$1193*1000000000+ISNUMBER('Dvd Calendar'!$N$1196)*100000000+('Dvd Calendar'!$N$1198=SPECIAL_LBL)*10000000+(N('Dvd Calendar'!$N$1192)&gt;0)*(N('Dvd Calendar'!$N$1192)&lt;=VAL_SERIAL)*1000000+8*1000+10))</f>
        <v/>
      </c>
      <c r="EO123" s="121">
        <f>IF(N('Dvd Calendar'!$O$1193)=0,"",IF(('Dvd Calendar'!$O$1193&gt;=GRID_FROM)*('Dvd Calendar'!$O$1193&lt;=GRID_TO)*((('Dvd Calendar'!$O$1193&lt;=VAL_DATE)+(COUNTIF('Dvd Calendar'!$E$1200:$AR$1200,'Dvd Calendar'!$O$1193)=0))&gt;0)=0,"",'Dvd Calendar'!$O$1193*1000000000+ISNUMBER('Dvd Calendar'!$O$1196)*100000000+('Dvd Calendar'!$O$1198=SPECIAL_LBL)*10000000+(N('Dvd Calendar'!$O$1192)&gt;0)*(N('Dvd Calendar'!$O$1192)&lt;=VAL_SERIAL)*1000000+8*1000+11))</f>
        <v/>
      </c>
      <c r="EP123" s="121">
        <f>IF(N('Dvd Calendar'!$P$1193)=0,"",IF(('Dvd Calendar'!$P$1193&gt;=GRID_FROM)*('Dvd Calendar'!$P$1193&lt;=GRID_TO)*((('Dvd Calendar'!$P$1193&lt;=VAL_DATE)+(COUNTIF('Dvd Calendar'!$E$1200:$AR$1200,'Dvd Calendar'!$P$1193)=0))&gt;0)=0,"",'Dvd Calendar'!$P$1193*1000000000+ISNUMBER('Dvd Calendar'!$P$1196)*100000000+('Dvd Calendar'!$P$1198=SPECIAL_LBL)*10000000+(N('Dvd Calendar'!$P$1192)&gt;0)*(N('Dvd Calendar'!$P$1192)&lt;=VAL_SERIAL)*1000000+8*1000+12))</f>
        <v/>
      </c>
      <c r="EQ123" s="121">
        <f>IF(N('Dvd Calendar'!$Q$1193)=0,"",IF(('Dvd Calendar'!$Q$1193&gt;=GRID_FROM)*('Dvd Calendar'!$Q$1193&lt;=GRID_TO)*((('Dvd Calendar'!$Q$1193&lt;=VAL_DATE)+(COUNTIF('Dvd Calendar'!$E$1200:$AR$1200,'Dvd Calendar'!$Q$1193)=0))&gt;0)=0,"",'Dvd Calendar'!$Q$1193*1000000000+ISNUMBER('Dvd Calendar'!$Q$1196)*100000000+('Dvd Calendar'!$Q$1198=SPECIAL_LBL)*10000000+(N('Dvd Calendar'!$Q$1192)&gt;0)*(N('Dvd Calendar'!$Q$1192)&lt;=VAL_SERIAL)*1000000+8*1000+13))</f>
        <v/>
      </c>
      <c r="ER123" s="121">
        <f>IF(N('Dvd Calendar'!$R$1193)=0,"",IF(('Dvd Calendar'!$R$1193&gt;=GRID_FROM)*('Dvd Calendar'!$R$1193&lt;=GRID_TO)*((('Dvd Calendar'!$R$1193&lt;=VAL_DATE)+(COUNTIF('Dvd Calendar'!$E$1200:$AR$1200,'Dvd Calendar'!$R$1193)=0))&gt;0)=0,"",'Dvd Calendar'!$R$1193*1000000000+ISNUMBER('Dvd Calendar'!$R$1196)*100000000+('Dvd Calendar'!$R$1198=SPECIAL_LBL)*10000000+(N('Dvd Calendar'!$R$1192)&gt;0)*(N('Dvd Calendar'!$R$1192)&lt;=VAL_SERIAL)*1000000+8*1000+14))</f>
        <v/>
      </c>
      <c r="ES123" s="121">
        <f>IF(N('Dvd Calendar'!$S$1193)=0,"",IF(('Dvd Calendar'!$S$1193&gt;=GRID_FROM)*('Dvd Calendar'!$S$1193&lt;=GRID_TO)*((('Dvd Calendar'!$S$1193&lt;=VAL_DATE)+(COUNTIF('Dvd Calendar'!$E$1200:$AR$1200,'Dvd Calendar'!$S$1193)=0))&gt;0)=0,"",'Dvd Calendar'!$S$1193*1000000000+ISNUMBER('Dvd Calendar'!$S$1196)*100000000+('Dvd Calendar'!$S$1198=SPECIAL_LBL)*10000000+(N('Dvd Calendar'!$S$1192)&gt;0)*(N('Dvd Calendar'!$S$1192)&lt;=VAL_SERIAL)*1000000+8*1000+15))</f>
        <v/>
      </c>
      <c r="ET123" s="121">
        <f>IF(N('Dvd Calendar'!$T$1193)=0,"",IF(('Dvd Calendar'!$T$1193&gt;=GRID_FROM)*('Dvd Calendar'!$T$1193&lt;=GRID_TO)*((('Dvd Calendar'!$T$1193&lt;=VAL_DATE)+(COUNTIF('Dvd Calendar'!$E$1200:$AR$1200,'Dvd Calendar'!$T$1193)=0))&gt;0)=0,"",'Dvd Calendar'!$T$1193*1000000000+ISNUMBER('Dvd Calendar'!$T$1196)*100000000+('Dvd Calendar'!$T$1198=SPECIAL_LBL)*10000000+(N('Dvd Calendar'!$T$1192)&gt;0)*(N('Dvd Calendar'!$T$1192)&lt;=VAL_SERIAL)*1000000+8*1000+16))</f>
        <v/>
      </c>
      <c r="EU123" s="121">
        <f>IF(N('Dvd Calendar'!$U$1193)=0,"",IF(('Dvd Calendar'!$U$1193&gt;=GRID_FROM)*('Dvd Calendar'!$U$1193&lt;=GRID_TO)*((('Dvd Calendar'!$U$1193&lt;=VAL_DATE)+(COUNTIF('Dvd Calendar'!$E$1200:$AR$1200,'Dvd Calendar'!$U$1193)=0))&gt;0)=0,"",'Dvd Calendar'!$U$1193*1000000000+ISNUMBER('Dvd Calendar'!$U$1196)*100000000+('Dvd Calendar'!$U$1198=SPECIAL_LBL)*10000000+(N('Dvd Calendar'!$U$1192)&gt;0)*(N('Dvd Calendar'!$U$1192)&lt;=VAL_SERIAL)*1000000+8*1000+17))</f>
        <v/>
      </c>
      <c r="EV123" s="121">
        <f>IF(N('Dvd Calendar'!$V$1193)=0,"",IF(('Dvd Calendar'!$V$1193&gt;=GRID_FROM)*('Dvd Calendar'!$V$1193&lt;=GRID_TO)*((('Dvd Calendar'!$V$1193&lt;=VAL_DATE)+(COUNTIF('Dvd Calendar'!$E$1200:$AR$1200,'Dvd Calendar'!$V$1193)=0))&gt;0)=0,"",'Dvd Calendar'!$V$1193*1000000000+ISNUMBER('Dvd Calendar'!$V$1196)*100000000+('Dvd Calendar'!$V$1198=SPECIAL_LBL)*10000000+(N('Dvd Calendar'!$V$1192)&gt;0)*(N('Dvd Calendar'!$V$1192)&lt;=VAL_SERIAL)*1000000+8*1000+18))</f>
        <v/>
      </c>
      <c r="EW123" s="121">
        <f>IF(N('Dvd Calendar'!$W$1193)=0,"",IF(('Dvd Calendar'!$W$1193&gt;=GRID_FROM)*('Dvd Calendar'!$W$1193&lt;=GRID_TO)*((('Dvd Calendar'!$W$1193&lt;=VAL_DATE)+(COUNTIF('Dvd Calendar'!$E$1200:$AR$1200,'Dvd Calendar'!$W$1193)=0))&gt;0)=0,"",'Dvd Calendar'!$W$1193*1000000000+ISNUMBER('Dvd Calendar'!$W$1196)*100000000+('Dvd Calendar'!$W$1198=SPECIAL_LBL)*10000000+(N('Dvd Calendar'!$W$1192)&gt;0)*(N('Dvd Calendar'!$W$1192)&lt;=VAL_SERIAL)*1000000+8*1000+19))</f>
        <v/>
      </c>
      <c r="EX123" s="121">
        <f>IF(N('Dvd Calendar'!$X$1193)=0,"",IF(('Dvd Calendar'!$X$1193&gt;=GRID_FROM)*('Dvd Calendar'!$X$1193&lt;=GRID_TO)*((('Dvd Calendar'!$X$1193&lt;=VAL_DATE)+(COUNTIF('Dvd Calendar'!$E$1200:$AR$1200,'Dvd Calendar'!$X$1193)=0))&gt;0)=0,"",'Dvd Calendar'!$X$1193*1000000000+ISNUMBER('Dvd Calendar'!$X$1196)*100000000+('Dvd Calendar'!$X$1198=SPECIAL_LBL)*10000000+(N('Dvd Calendar'!$X$1192)&gt;0)*(N('Dvd Calendar'!$X$1192)&lt;=VAL_SERIAL)*1000000+8*1000+20))</f>
        <v/>
      </c>
      <c r="EY123" s="121">
        <f>IF(N('Dvd Calendar'!$Y$1193)=0,"",IF(('Dvd Calendar'!$Y$1193&gt;=GRID_FROM)*('Dvd Calendar'!$Y$1193&lt;=GRID_TO)*((('Dvd Calendar'!$Y$1193&lt;=VAL_DATE)+(COUNTIF('Dvd Calendar'!$E$1200:$AR$1200,'Dvd Calendar'!$Y$1193)=0))&gt;0)=0,"",'Dvd Calendar'!$Y$1193*1000000000+ISNUMBER('Dvd Calendar'!$Y$1196)*100000000+('Dvd Calendar'!$Y$1198=SPECIAL_LBL)*10000000+(N('Dvd Calendar'!$Y$1192)&gt;0)*(N('Dvd Calendar'!$Y$1192)&lt;=VAL_SERIAL)*1000000+8*1000+21))</f>
        <v/>
      </c>
      <c r="EZ123" s="121">
        <f>IF(N('Dvd Calendar'!$Z$1193)=0,"",IF(('Dvd Calendar'!$Z$1193&gt;=GRID_FROM)*('Dvd Calendar'!$Z$1193&lt;=GRID_TO)*((('Dvd Calendar'!$Z$1193&lt;=VAL_DATE)+(COUNTIF('Dvd Calendar'!$E$1200:$AR$1200,'Dvd Calendar'!$Z$1193)=0))&gt;0)=0,"",'Dvd Calendar'!$Z$1193*1000000000+ISNUMBER('Dvd Calendar'!$Z$1196)*100000000+('Dvd Calendar'!$Z$1198=SPECIAL_LBL)*10000000+(N('Dvd Calendar'!$Z$1192)&gt;0)*(N('Dvd Calendar'!$Z$1192)&lt;=VAL_SERIAL)*1000000+8*1000+22))</f>
        <v/>
      </c>
      <c r="FA123" s="121">
        <f>IF(N('Dvd Calendar'!$AA$1193)=0,"",IF(('Dvd Calendar'!$AA$1193&gt;=GRID_FROM)*('Dvd Calendar'!$AA$1193&lt;=GRID_TO)*((('Dvd Calendar'!$AA$1193&lt;=VAL_DATE)+(COUNTIF('Dvd Calendar'!$E$1200:$AR$1200,'Dvd Calendar'!$AA$1193)=0))&gt;0)=0,"",'Dvd Calendar'!$AA$1193*1000000000+ISNUMBER('Dvd Calendar'!$AA$1196)*100000000+('Dvd Calendar'!$AA$1198=SPECIAL_LBL)*10000000+(N('Dvd Calendar'!$AA$1192)&gt;0)*(N('Dvd Calendar'!$AA$1192)&lt;=VAL_SERIAL)*1000000+8*1000+23))</f>
        <v/>
      </c>
      <c r="FB123" s="121">
        <f>IF(N('Dvd Calendar'!$AB$1193)=0,"",IF(('Dvd Calendar'!$AB$1193&gt;=GRID_FROM)*('Dvd Calendar'!$AB$1193&lt;=GRID_TO)*((('Dvd Calendar'!$AB$1193&lt;=VAL_DATE)+(COUNTIF('Dvd Calendar'!$E$1200:$AR$1200,'Dvd Calendar'!$AB$1193)=0))&gt;0)=0,"",'Dvd Calendar'!$AB$1193*1000000000+ISNUMBER('Dvd Calendar'!$AB$1196)*100000000+('Dvd Calendar'!$AB$1198=SPECIAL_LBL)*10000000+(N('Dvd Calendar'!$AB$1192)&gt;0)*(N('Dvd Calendar'!$AB$1192)&lt;=VAL_SERIAL)*1000000+8*1000+24))</f>
        <v/>
      </c>
      <c r="FC123" s="121">
        <f>IF(N('Dvd Calendar'!$AC$1193)=0,"",IF(('Dvd Calendar'!$AC$1193&gt;=GRID_FROM)*('Dvd Calendar'!$AC$1193&lt;=GRID_TO)*((('Dvd Calendar'!$AC$1193&lt;=VAL_DATE)+(COUNTIF('Dvd Calendar'!$E$1200:$AR$1200,'Dvd Calendar'!$AC$1193)=0))&gt;0)=0,"",'Dvd Calendar'!$AC$1193*1000000000+ISNUMBER('Dvd Calendar'!$AC$1196)*100000000+('Dvd Calendar'!$AC$1198=SPECIAL_LBL)*10000000+(N('Dvd Calendar'!$AC$1192)&gt;0)*(N('Dvd Calendar'!$AC$1192)&lt;=VAL_SERIAL)*1000000+8*1000+25))</f>
        <v/>
      </c>
      <c r="FD123" s="121">
        <f>IF(N('Dvd Calendar'!$AD$1193)=0,"",IF(('Dvd Calendar'!$AD$1193&gt;=GRID_FROM)*('Dvd Calendar'!$AD$1193&lt;=GRID_TO)*((('Dvd Calendar'!$AD$1193&lt;=VAL_DATE)+(COUNTIF('Dvd Calendar'!$E$1200:$AR$1200,'Dvd Calendar'!$AD$1193)=0))&gt;0)=0,"",'Dvd Calendar'!$AD$1193*1000000000+ISNUMBER('Dvd Calendar'!$AD$1196)*100000000+('Dvd Calendar'!$AD$1198=SPECIAL_LBL)*10000000+(N('Dvd Calendar'!$AD$1192)&gt;0)*(N('Dvd Calendar'!$AD$1192)&lt;=VAL_SERIAL)*1000000+8*1000+26))</f>
        <v/>
      </c>
      <c r="FE123" s="121">
        <f>IF(N('Dvd Calendar'!$AE$1193)=0,"",IF(('Dvd Calendar'!$AE$1193&gt;=GRID_FROM)*('Dvd Calendar'!$AE$1193&lt;=GRID_TO)*((('Dvd Calendar'!$AE$1193&lt;=VAL_DATE)+(COUNTIF('Dvd Calendar'!$E$1200:$AR$1200,'Dvd Calendar'!$AE$1193)=0))&gt;0)=0,"",'Dvd Calendar'!$AE$1193*1000000000+ISNUMBER('Dvd Calendar'!$AE$1196)*100000000+('Dvd Calendar'!$AE$1198=SPECIAL_LBL)*10000000+(N('Dvd Calendar'!$AE$1192)&gt;0)*(N('Dvd Calendar'!$AE$1192)&lt;=VAL_SERIAL)*1000000+8*1000+27))</f>
        <v/>
      </c>
      <c r="FF123" s="121">
        <f>IF(N('Dvd Calendar'!$AF$1193)=0,"",IF(('Dvd Calendar'!$AF$1193&gt;=GRID_FROM)*('Dvd Calendar'!$AF$1193&lt;=GRID_TO)*((('Dvd Calendar'!$AF$1193&lt;=VAL_DATE)+(COUNTIF('Dvd Calendar'!$E$1200:$AR$1200,'Dvd Calendar'!$AF$1193)=0))&gt;0)=0,"",'Dvd Calendar'!$AF$1193*1000000000+ISNUMBER('Dvd Calendar'!$AF$1196)*100000000+('Dvd Calendar'!$AF$1198=SPECIAL_LBL)*10000000+(N('Dvd Calendar'!$AF$1192)&gt;0)*(N('Dvd Calendar'!$AF$1192)&lt;=VAL_SERIAL)*1000000+8*1000+28))</f>
        <v/>
      </c>
      <c r="FG123" s="121">
        <f>IF(N('Dvd Calendar'!$AG$1193)=0,"",IF(('Dvd Calendar'!$AG$1193&gt;=GRID_FROM)*('Dvd Calendar'!$AG$1193&lt;=GRID_TO)*((('Dvd Calendar'!$AG$1193&lt;=VAL_DATE)+(COUNTIF('Dvd Calendar'!$E$1200:$AR$1200,'Dvd Calendar'!$AG$1193)=0))&gt;0)=0,"",'Dvd Calendar'!$AG$1193*1000000000+ISNUMBER('Dvd Calendar'!$AG$1196)*100000000+('Dvd Calendar'!$AG$1198=SPECIAL_LBL)*10000000+(N('Dvd Calendar'!$AG$1192)&gt;0)*(N('Dvd Calendar'!$AG$1192)&lt;=VAL_SERIAL)*1000000+8*1000+29))</f>
        <v/>
      </c>
      <c r="FH123" s="121">
        <f>IF(N('Dvd Calendar'!$AH$1193)=0,"",IF(('Dvd Calendar'!$AH$1193&gt;=GRID_FROM)*('Dvd Calendar'!$AH$1193&lt;=GRID_TO)*((('Dvd Calendar'!$AH$1193&lt;=VAL_DATE)+(COUNTIF('Dvd Calendar'!$E$1200:$AR$1200,'Dvd Calendar'!$AH$1193)=0))&gt;0)=0,"",'Dvd Calendar'!$AH$1193*1000000000+ISNUMBER('Dvd Calendar'!$AH$1196)*100000000+('Dvd Calendar'!$AH$1198=SPECIAL_LBL)*10000000+(N('Dvd Calendar'!$AH$1192)&gt;0)*(N('Dvd Calendar'!$AH$1192)&lt;=VAL_SERIAL)*1000000+8*1000+30))</f>
        <v/>
      </c>
      <c r="FI123" s="121">
        <f>IF(N('Dvd Calendar'!$AI$1193)=0,"",IF(('Dvd Calendar'!$AI$1193&gt;=GRID_FROM)*('Dvd Calendar'!$AI$1193&lt;=GRID_TO)*((('Dvd Calendar'!$AI$1193&lt;=VAL_DATE)+(COUNTIF('Dvd Calendar'!$E$1200:$AR$1200,'Dvd Calendar'!$AI$1193)=0))&gt;0)=0,"",'Dvd Calendar'!$AI$1193*1000000000+ISNUMBER('Dvd Calendar'!$AI$1196)*100000000+('Dvd Calendar'!$AI$1198=SPECIAL_LBL)*10000000+(N('Dvd Calendar'!$AI$1192)&gt;0)*(N('Dvd Calendar'!$AI$1192)&lt;=VAL_SERIAL)*1000000+8*1000+31))</f>
        <v/>
      </c>
      <c r="FJ123" s="121">
        <f>IF(N('Dvd Calendar'!$AJ$1193)=0,"",IF(('Dvd Calendar'!$AJ$1193&gt;=GRID_FROM)*('Dvd Calendar'!$AJ$1193&lt;=GRID_TO)*((('Dvd Calendar'!$AJ$1193&lt;=VAL_DATE)+(COUNTIF('Dvd Calendar'!$E$1200:$AR$1200,'Dvd Calendar'!$AJ$1193)=0))&gt;0)=0,"",'Dvd Calendar'!$AJ$1193*1000000000+ISNUMBER('Dvd Calendar'!$AJ$1196)*100000000+('Dvd Calendar'!$AJ$1198=SPECIAL_LBL)*10000000+(N('Dvd Calendar'!$AJ$1192)&gt;0)*(N('Dvd Calendar'!$AJ$1192)&lt;=VAL_SERIAL)*1000000+8*1000+32))</f>
        <v/>
      </c>
      <c r="FK123" s="121">
        <f>IF(N('Dvd Calendar'!$AK$1193)=0,"",IF(('Dvd Calendar'!$AK$1193&gt;=GRID_FROM)*('Dvd Calendar'!$AK$1193&lt;=GRID_TO)*((('Dvd Calendar'!$AK$1193&lt;=VAL_DATE)+(COUNTIF('Dvd Calendar'!$E$1200:$AR$1200,'Dvd Calendar'!$AK$1193)=0))&gt;0)=0,"",'Dvd Calendar'!$AK$1193*1000000000+ISNUMBER('Dvd Calendar'!$AK$1196)*100000000+('Dvd Calendar'!$AK$1198=SPECIAL_LBL)*10000000+(N('Dvd Calendar'!$AK$1192)&gt;0)*(N('Dvd Calendar'!$AK$1192)&lt;=VAL_SERIAL)*1000000+8*1000+33))</f>
        <v/>
      </c>
      <c r="FL123" s="121">
        <f>IF(N('Dvd Calendar'!$AL$1193)=0,"",IF(('Dvd Calendar'!$AL$1193&gt;=GRID_FROM)*('Dvd Calendar'!$AL$1193&lt;=GRID_TO)*((('Dvd Calendar'!$AL$1193&lt;=VAL_DATE)+(COUNTIF('Dvd Calendar'!$E$1200:$AR$1200,'Dvd Calendar'!$AL$1193)=0))&gt;0)=0,"",'Dvd Calendar'!$AL$1193*1000000000+ISNUMBER('Dvd Calendar'!$AL$1196)*100000000+('Dvd Calendar'!$AL$1198=SPECIAL_LBL)*10000000+(N('Dvd Calendar'!$AL$1192)&gt;0)*(N('Dvd Calendar'!$AL$1192)&lt;=VAL_SERIAL)*1000000+8*1000+34))</f>
        <v/>
      </c>
      <c r="FM123" s="121">
        <f>IF(N('Dvd Calendar'!$AM$1193)=0,"",IF(('Dvd Calendar'!$AM$1193&gt;=GRID_FROM)*('Dvd Calendar'!$AM$1193&lt;=GRID_TO)*((('Dvd Calendar'!$AM$1193&lt;=VAL_DATE)+(COUNTIF('Dvd Calendar'!$E$1200:$AR$1200,'Dvd Calendar'!$AM$1193)=0))&gt;0)=0,"",'Dvd Calendar'!$AM$1193*1000000000+ISNUMBER('Dvd Calendar'!$AM$1196)*100000000+('Dvd Calendar'!$AM$1198=SPECIAL_LBL)*10000000+(N('Dvd Calendar'!$AM$1192)&gt;0)*(N('Dvd Calendar'!$AM$1192)&lt;=VAL_SERIAL)*1000000+8*1000+35))</f>
        <v/>
      </c>
      <c r="FN123" s="121">
        <f>IF(N('Dvd Calendar'!$AN$1193)=0,"",IF(('Dvd Calendar'!$AN$1193&gt;=GRID_FROM)*('Dvd Calendar'!$AN$1193&lt;=GRID_TO)*((('Dvd Calendar'!$AN$1193&lt;=VAL_DATE)+(COUNTIF('Dvd Calendar'!$E$1200:$AR$1200,'Dvd Calendar'!$AN$1193)=0))&gt;0)=0,"",'Dvd Calendar'!$AN$1193*1000000000+ISNUMBER('Dvd Calendar'!$AN$1196)*100000000+('Dvd Calendar'!$AN$1198=SPECIAL_LBL)*10000000+(N('Dvd Calendar'!$AN$1192)&gt;0)*(N('Dvd Calendar'!$AN$1192)&lt;=VAL_SERIAL)*1000000+8*1000+36))</f>
        <v/>
      </c>
      <c r="FO123" s="121">
        <f>IF(N('Dvd Calendar'!$AO$1193)=0,"",IF(('Dvd Calendar'!$AO$1193&gt;=GRID_FROM)*('Dvd Calendar'!$AO$1193&lt;=GRID_TO)*((('Dvd Calendar'!$AO$1193&lt;=VAL_DATE)+(COUNTIF('Dvd Calendar'!$E$1200:$AR$1200,'Dvd Calendar'!$AO$1193)=0))&gt;0)=0,"",'Dvd Calendar'!$AO$1193*1000000000+ISNUMBER('Dvd Calendar'!$AO$1196)*100000000+('Dvd Calendar'!$AO$1198=SPECIAL_LBL)*10000000+(N('Dvd Calendar'!$AO$1192)&gt;0)*(N('Dvd Calendar'!$AO$1192)&lt;=VAL_SERIAL)*1000000+8*1000+37))</f>
        <v/>
      </c>
      <c r="FP123" s="121">
        <f>IF(N('Dvd Calendar'!$AP$1193)=0,"",IF(('Dvd Calendar'!$AP$1193&gt;=GRID_FROM)*('Dvd Calendar'!$AP$1193&lt;=GRID_TO)*((('Dvd Calendar'!$AP$1193&lt;=VAL_DATE)+(COUNTIF('Dvd Calendar'!$E$1200:$AR$1200,'Dvd Calendar'!$AP$1193)=0))&gt;0)=0,"",'Dvd Calendar'!$AP$1193*1000000000+ISNUMBER('Dvd Calendar'!$AP$1196)*100000000+('Dvd Calendar'!$AP$1198=SPECIAL_LBL)*10000000+(N('Dvd Calendar'!$AP$1192)&gt;0)*(N('Dvd Calendar'!$AP$1192)&lt;=VAL_SERIAL)*1000000+8*1000+38))</f>
        <v/>
      </c>
      <c r="FQ123" s="121">
        <f>IF(N('Dvd Calendar'!$AQ$1193)=0,"",IF(('Dvd Calendar'!$AQ$1193&gt;=GRID_FROM)*('Dvd Calendar'!$AQ$1193&lt;=GRID_TO)*((('Dvd Calendar'!$AQ$1193&lt;=VAL_DATE)+(COUNTIF('Dvd Calendar'!$E$1200:$AR$1200,'Dvd Calendar'!$AQ$1193)=0))&gt;0)=0,"",'Dvd Calendar'!$AQ$1193*1000000000+ISNUMBER('Dvd Calendar'!$AQ$1196)*100000000+('Dvd Calendar'!$AQ$1198=SPECIAL_LBL)*10000000+(N('Dvd Calendar'!$AQ$1192)&gt;0)*(N('Dvd Calendar'!$AQ$1192)&lt;=VAL_SERIAL)*1000000+8*1000+39))</f>
        <v/>
      </c>
      <c r="FR123" s="121">
        <f>IF(N('Dvd Calendar'!$AR$1193)=0,"",IF(('Dvd Calendar'!$AR$1193&gt;=GRID_FROM)*('Dvd Calendar'!$AR$1193&lt;=GRID_TO)*((('Dvd Calendar'!$AR$1193&lt;=VAL_DATE)+(COUNTIF('Dvd Calendar'!$E$1200:$AR$1200,'Dvd Calendar'!$AR$1193)=0))&gt;0)=0,"",'Dvd Calendar'!$AR$1193*1000000000+ISNUMBER('Dvd Calendar'!$AR$1196)*100000000+('Dvd Calendar'!$AR$1198=SPECIAL_LBL)*10000000+(N('Dvd Calendar'!$AR$1192)&gt;0)*(N('Dvd Calendar'!$AR$1192)&lt;=VAL_SERIAL)*1000000+8*1000+40))</f>
        <v/>
      </c>
      <c r="FS123" s="121">
        <f>IF(N('Dvd Calendar'!$E$1200)=0,"",IF(('Dvd Calendar'!$E$1200&gt;=GRID_FROM)*('Dvd Calendar'!$E$1200&lt;=GRID_TO)*('Dvd Calendar'!$E$1200&gt;VAL_DATE)=0,"",'Dvd Calendar'!$E$1200*1000000000+ISNUMBER('Dvd Calendar'!$E$1201)*100000000+0*10000000+(N('Dvd Calendar'!$E$1199)&gt;0)*(N('Dvd Calendar'!$E$1199)&lt;=VAL_SERIAL)*1000000+8*1000+41))</f>
        <v/>
      </c>
      <c r="FT123" s="121">
        <f>IF(N('Dvd Calendar'!$F$1200)=0,"",IF(('Dvd Calendar'!$F$1200&gt;=GRID_FROM)*('Dvd Calendar'!$F$1200&lt;=GRID_TO)*('Dvd Calendar'!$F$1200&gt;VAL_DATE)=0,"",'Dvd Calendar'!$F$1200*1000000000+ISNUMBER('Dvd Calendar'!$F$1201)*100000000+0*10000000+(N('Dvd Calendar'!$F$1199)&gt;0)*(N('Dvd Calendar'!$F$1199)&lt;=VAL_SERIAL)*1000000+8*1000+42))</f>
        <v/>
      </c>
      <c r="FU123" s="121">
        <f>IF(N('Dvd Calendar'!$G$1200)=0,"",IF(('Dvd Calendar'!$G$1200&gt;=GRID_FROM)*('Dvd Calendar'!$G$1200&lt;=GRID_TO)*('Dvd Calendar'!$G$1200&gt;VAL_DATE)=0,"",'Dvd Calendar'!$G$1200*1000000000+ISNUMBER('Dvd Calendar'!$G$1201)*100000000+0*10000000+(N('Dvd Calendar'!$G$1199)&gt;0)*(N('Dvd Calendar'!$G$1199)&lt;=VAL_SERIAL)*1000000+8*1000+43))</f>
        <v/>
      </c>
      <c r="FV123" s="121">
        <f>IF(N('Dvd Calendar'!$H$1200)=0,"",IF(('Dvd Calendar'!$H$1200&gt;=GRID_FROM)*('Dvd Calendar'!$H$1200&lt;=GRID_TO)*('Dvd Calendar'!$H$1200&gt;VAL_DATE)=0,"",'Dvd Calendar'!$H$1200*1000000000+ISNUMBER('Dvd Calendar'!$H$1201)*100000000+0*10000000+(N('Dvd Calendar'!$H$1199)&gt;0)*(N('Dvd Calendar'!$H$1199)&lt;=VAL_SERIAL)*1000000+8*1000+44))</f>
        <v/>
      </c>
      <c r="FW123" s="121">
        <f>IF(N('Dvd Calendar'!$I$1200)=0,"",IF(('Dvd Calendar'!$I$1200&gt;=GRID_FROM)*('Dvd Calendar'!$I$1200&lt;=GRID_TO)*('Dvd Calendar'!$I$1200&gt;VAL_DATE)=0,"",'Dvd Calendar'!$I$1200*1000000000+ISNUMBER('Dvd Calendar'!$I$1201)*100000000+0*10000000+(N('Dvd Calendar'!$I$1199)&gt;0)*(N('Dvd Calendar'!$I$1199)&lt;=VAL_SERIAL)*1000000+8*1000+45))</f>
        <v/>
      </c>
      <c r="FX123" s="121">
        <f>IF(N('Dvd Calendar'!$J$1200)=0,"",IF(('Dvd Calendar'!$J$1200&gt;=GRID_FROM)*('Dvd Calendar'!$J$1200&lt;=GRID_TO)*('Dvd Calendar'!$J$1200&gt;VAL_DATE)=0,"",'Dvd Calendar'!$J$1200*1000000000+ISNUMBER('Dvd Calendar'!$J$1201)*100000000+0*10000000+(N('Dvd Calendar'!$J$1199)&gt;0)*(N('Dvd Calendar'!$J$1199)&lt;=VAL_SERIAL)*1000000+8*1000+46))</f>
        <v/>
      </c>
      <c r="FY123" s="121">
        <f>IF(N('Dvd Calendar'!$K$1200)=0,"",IF(('Dvd Calendar'!$K$1200&gt;=GRID_FROM)*('Dvd Calendar'!$K$1200&lt;=GRID_TO)*('Dvd Calendar'!$K$1200&gt;VAL_DATE)=0,"",'Dvd Calendar'!$K$1200*1000000000+ISNUMBER('Dvd Calendar'!$K$1201)*100000000+0*10000000+(N('Dvd Calendar'!$K$1199)&gt;0)*(N('Dvd Calendar'!$K$1199)&lt;=VAL_SERIAL)*1000000+8*1000+47))</f>
        <v/>
      </c>
      <c r="FZ123" s="121">
        <f>IF(N('Dvd Calendar'!$L$1200)=0,"",IF(('Dvd Calendar'!$L$1200&gt;=GRID_FROM)*('Dvd Calendar'!$L$1200&lt;=GRID_TO)*('Dvd Calendar'!$L$1200&gt;VAL_DATE)=0,"",'Dvd Calendar'!$L$1200*1000000000+ISNUMBER('Dvd Calendar'!$L$1201)*100000000+0*10000000+(N('Dvd Calendar'!$L$1199)&gt;0)*(N('Dvd Calendar'!$L$1199)&lt;=VAL_SERIAL)*1000000+8*1000+48))</f>
        <v/>
      </c>
      <c r="GA123" s="121">
        <f>IF(N('Dvd Calendar'!$M$1200)=0,"",IF(('Dvd Calendar'!$M$1200&gt;=GRID_FROM)*('Dvd Calendar'!$M$1200&lt;=GRID_TO)*('Dvd Calendar'!$M$1200&gt;VAL_DATE)=0,"",'Dvd Calendar'!$M$1200*1000000000+ISNUMBER('Dvd Calendar'!$M$1201)*100000000+0*10000000+(N('Dvd Calendar'!$M$1199)&gt;0)*(N('Dvd Calendar'!$M$1199)&lt;=VAL_SERIAL)*1000000+8*1000+49))</f>
        <v/>
      </c>
      <c r="GB123" s="121">
        <f>IF(N('Dvd Calendar'!$N$1200)=0,"",IF(('Dvd Calendar'!$N$1200&gt;=GRID_FROM)*('Dvd Calendar'!$N$1200&lt;=GRID_TO)*('Dvd Calendar'!$N$1200&gt;VAL_DATE)=0,"",'Dvd Calendar'!$N$1200*1000000000+ISNUMBER('Dvd Calendar'!$N$1201)*100000000+0*10000000+(N('Dvd Calendar'!$N$1199)&gt;0)*(N('Dvd Calendar'!$N$1199)&lt;=VAL_SERIAL)*1000000+8*1000+50))</f>
        <v/>
      </c>
      <c r="GC123" s="121">
        <f>IF(N('Dvd Calendar'!$O$1200)=0,"",IF(('Dvd Calendar'!$O$1200&gt;=GRID_FROM)*('Dvd Calendar'!$O$1200&lt;=GRID_TO)*('Dvd Calendar'!$O$1200&gt;VAL_DATE)=0,"",'Dvd Calendar'!$O$1200*1000000000+ISNUMBER('Dvd Calendar'!$O$1201)*100000000+0*10000000+(N('Dvd Calendar'!$O$1199)&gt;0)*(N('Dvd Calendar'!$O$1199)&lt;=VAL_SERIAL)*1000000+8*1000+51))</f>
        <v/>
      </c>
      <c r="GD123" s="121">
        <f>IF(N('Dvd Calendar'!$P$1200)=0,"",IF(('Dvd Calendar'!$P$1200&gt;=GRID_FROM)*('Dvd Calendar'!$P$1200&lt;=GRID_TO)*('Dvd Calendar'!$P$1200&gt;VAL_DATE)=0,"",'Dvd Calendar'!$P$1200*1000000000+ISNUMBER('Dvd Calendar'!$P$1201)*100000000+0*10000000+(N('Dvd Calendar'!$P$1199)&gt;0)*(N('Dvd Calendar'!$P$1199)&lt;=VAL_SERIAL)*1000000+8*1000+52))</f>
        <v/>
      </c>
      <c r="GE123" s="121">
        <f>IF(N('Dvd Calendar'!$Q$1200)=0,"",IF(('Dvd Calendar'!$Q$1200&gt;=GRID_FROM)*('Dvd Calendar'!$Q$1200&lt;=GRID_TO)*('Dvd Calendar'!$Q$1200&gt;VAL_DATE)=0,"",'Dvd Calendar'!$Q$1200*1000000000+ISNUMBER('Dvd Calendar'!$Q$1201)*100000000+0*10000000+(N('Dvd Calendar'!$Q$1199)&gt;0)*(N('Dvd Calendar'!$Q$1199)&lt;=VAL_SERIAL)*1000000+8*1000+53))</f>
        <v/>
      </c>
      <c r="GF123" s="121">
        <f>IF(N('Dvd Calendar'!$R$1200)=0,"",IF(('Dvd Calendar'!$R$1200&gt;=GRID_FROM)*('Dvd Calendar'!$R$1200&lt;=GRID_TO)*('Dvd Calendar'!$R$1200&gt;VAL_DATE)=0,"",'Dvd Calendar'!$R$1200*1000000000+ISNUMBER('Dvd Calendar'!$R$1201)*100000000+0*10000000+(N('Dvd Calendar'!$R$1199)&gt;0)*(N('Dvd Calendar'!$R$1199)&lt;=VAL_SERIAL)*1000000+8*1000+54))</f>
        <v/>
      </c>
      <c r="GG123" s="121">
        <f>IF(N('Dvd Calendar'!$S$1200)=0,"",IF(('Dvd Calendar'!$S$1200&gt;=GRID_FROM)*('Dvd Calendar'!$S$1200&lt;=GRID_TO)*('Dvd Calendar'!$S$1200&gt;VAL_DATE)=0,"",'Dvd Calendar'!$S$1200*1000000000+ISNUMBER('Dvd Calendar'!$S$1201)*100000000+0*10000000+(N('Dvd Calendar'!$S$1199)&gt;0)*(N('Dvd Calendar'!$S$1199)&lt;=VAL_SERIAL)*1000000+8*1000+55))</f>
        <v/>
      </c>
      <c r="GH123" s="121">
        <f>IF(N('Dvd Calendar'!$T$1200)=0,"",IF(('Dvd Calendar'!$T$1200&gt;=GRID_FROM)*('Dvd Calendar'!$T$1200&lt;=GRID_TO)*('Dvd Calendar'!$T$1200&gt;VAL_DATE)=0,"",'Dvd Calendar'!$T$1200*1000000000+ISNUMBER('Dvd Calendar'!$T$1201)*100000000+0*10000000+(N('Dvd Calendar'!$T$1199)&gt;0)*(N('Dvd Calendar'!$T$1199)&lt;=VAL_SERIAL)*1000000+8*1000+56))</f>
        <v/>
      </c>
      <c r="GI123" s="121">
        <f>IF(N('Dvd Calendar'!$U$1200)=0,"",IF(('Dvd Calendar'!$U$1200&gt;=GRID_FROM)*('Dvd Calendar'!$U$1200&lt;=GRID_TO)*('Dvd Calendar'!$U$1200&gt;VAL_DATE)=0,"",'Dvd Calendar'!$U$1200*1000000000+ISNUMBER('Dvd Calendar'!$U$1201)*100000000+0*10000000+(N('Dvd Calendar'!$U$1199)&gt;0)*(N('Dvd Calendar'!$U$1199)&lt;=VAL_SERIAL)*1000000+8*1000+57))</f>
        <v/>
      </c>
      <c r="GJ123" s="121">
        <f>IF(N('Dvd Calendar'!$V$1200)=0,"",IF(('Dvd Calendar'!$V$1200&gt;=GRID_FROM)*('Dvd Calendar'!$V$1200&lt;=GRID_TO)*('Dvd Calendar'!$V$1200&gt;VAL_DATE)=0,"",'Dvd Calendar'!$V$1200*1000000000+ISNUMBER('Dvd Calendar'!$V$1201)*100000000+0*10000000+(N('Dvd Calendar'!$V$1199)&gt;0)*(N('Dvd Calendar'!$V$1199)&lt;=VAL_SERIAL)*1000000+8*1000+58))</f>
        <v/>
      </c>
      <c r="GK123" s="121">
        <f>IF(N('Dvd Calendar'!$W$1200)=0,"",IF(('Dvd Calendar'!$W$1200&gt;=GRID_FROM)*('Dvd Calendar'!$W$1200&lt;=GRID_TO)*('Dvd Calendar'!$W$1200&gt;VAL_DATE)=0,"",'Dvd Calendar'!$W$1200*1000000000+ISNUMBER('Dvd Calendar'!$W$1201)*100000000+0*10000000+(N('Dvd Calendar'!$W$1199)&gt;0)*(N('Dvd Calendar'!$W$1199)&lt;=VAL_SERIAL)*1000000+8*1000+59))</f>
        <v/>
      </c>
      <c r="GL123" s="121">
        <f>IF(N('Dvd Calendar'!$X$1200)=0,"",IF(('Dvd Calendar'!$X$1200&gt;=GRID_FROM)*('Dvd Calendar'!$X$1200&lt;=GRID_TO)*('Dvd Calendar'!$X$1200&gt;VAL_DATE)=0,"",'Dvd Calendar'!$X$1200*1000000000+ISNUMBER('Dvd Calendar'!$X$1201)*100000000+0*10000000+(N('Dvd Calendar'!$X$1199)&gt;0)*(N('Dvd Calendar'!$X$1199)&lt;=VAL_SERIAL)*1000000+8*1000+60))</f>
        <v/>
      </c>
      <c r="GM123" s="121">
        <f>IF(N('Dvd Calendar'!$Y$1200)=0,"",IF(('Dvd Calendar'!$Y$1200&gt;=GRID_FROM)*('Dvd Calendar'!$Y$1200&lt;=GRID_TO)*('Dvd Calendar'!$Y$1200&gt;VAL_DATE)=0,"",'Dvd Calendar'!$Y$1200*1000000000+ISNUMBER('Dvd Calendar'!$Y$1201)*100000000+0*10000000+(N('Dvd Calendar'!$Y$1199)&gt;0)*(N('Dvd Calendar'!$Y$1199)&lt;=VAL_SERIAL)*1000000+8*1000+61))</f>
        <v/>
      </c>
      <c r="GN123" s="121">
        <f>IF(N('Dvd Calendar'!$Z$1200)=0,"",IF(('Dvd Calendar'!$Z$1200&gt;=GRID_FROM)*('Dvd Calendar'!$Z$1200&lt;=GRID_TO)*('Dvd Calendar'!$Z$1200&gt;VAL_DATE)=0,"",'Dvd Calendar'!$Z$1200*1000000000+ISNUMBER('Dvd Calendar'!$Z$1201)*100000000+0*10000000+(N('Dvd Calendar'!$Z$1199)&gt;0)*(N('Dvd Calendar'!$Z$1199)&lt;=VAL_SERIAL)*1000000+8*1000+62))</f>
        <v/>
      </c>
      <c r="GO123" s="121">
        <f>IF(N('Dvd Calendar'!$AA$1200)=0,"",IF(('Dvd Calendar'!$AA$1200&gt;=GRID_FROM)*('Dvd Calendar'!$AA$1200&lt;=GRID_TO)*('Dvd Calendar'!$AA$1200&gt;VAL_DATE)=0,"",'Dvd Calendar'!$AA$1200*1000000000+ISNUMBER('Dvd Calendar'!$AA$1201)*100000000+0*10000000+(N('Dvd Calendar'!$AA$1199)&gt;0)*(N('Dvd Calendar'!$AA$1199)&lt;=VAL_SERIAL)*1000000+8*1000+63))</f>
        <v/>
      </c>
      <c r="GP123" s="121">
        <f>IF(N('Dvd Calendar'!$AB$1200)=0,"",IF(('Dvd Calendar'!$AB$1200&gt;=GRID_FROM)*('Dvd Calendar'!$AB$1200&lt;=GRID_TO)*('Dvd Calendar'!$AB$1200&gt;VAL_DATE)=0,"",'Dvd Calendar'!$AB$1200*1000000000+ISNUMBER('Dvd Calendar'!$AB$1201)*100000000+0*10000000+(N('Dvd Calendar'!$AB$1199)&gt;0)*(N('Dvd Calendar'!$AB$1199)&lt;=VAL_SERIAL)*1000000+8*1000+64))</f>
        <v/>
      </c>
      <c r="GQ123" s="121">
        <f>IF(N('Dvd Calendar'!$AC$1200)=0,"",IF(('Dvd Calendar'!$AC$1200&gt;=GRID_FROM)*('Dvd Calendar'!$AC$1200&lt;=GRID_TO)*('Dvd Calendar'!$AC$1200&gt;VAL_DATE)=0,"",'Dvd Calendar'!$AC$1200*1000000000+ISNUMBER('Dvd Calendar'!$AC$1201)*100000000+0*10000000+(N('Dvd Calendar'!$AC$1199)&gt;0)*(N('Dvd Calendar'!$AC$1199)&lt;=VAL_SERIAL)*1000000+8*1000+65))</f>
        <v/>
      </c>
    </row>
    <row r="124">
      <c r="B124" s="2">
        <f>IF(HSTECH!$C$15="","",HSTECH!$C$15)</f>
        <v/>
      </c>
      <c r="C124" s="161">
        <f>IF(EE124="","",IF(ISNUMBER('Dvd Calendar'!$E$1207)=FALSE,"",IF((('Dvd Calendar'!$E$1209=TYPE1)*(TYPE1&lt;&gt;"")+('Dvd Calendar'!$E$1209=TYPE2)*(TYPE2&lt;&gt;"")+('Dvd Calendar'!$E$1209=TYPE3)*(TYPE3&lt;&gt;"")+('Dvd Calendar'!$E$1209=TYPE4)*(TYPE4&lt;&gt;"")+('Dvd Calendar'!$E$1209=SPECIAL_LBL)*(INC_SPECIALS="Y"))=0,"",'Dvd Calendar'!$E$1207)))</f>
        <v/>
      </c>
      <c r="D124" s="161">
        <f>IF(EF124="","",IF(ISNUMBER('Dvd Calendar'!$F$1207)=FALSE,"",IF((('Dvd Calendar'!$F$1209=TYPE1)*(TYPE1&lt;&gt;"")+('Dvd Calendar'!$F$1209=TYPE2)*(TYPE2&lt;&gt;"")+('Dvd Calendar'!$F$1209=TYPE3)*(TYPE3&lt;&gt;"")+('Dvd Calendar'!$F$1209=TYPE4)*(TYPE4&lt;&gt;"")+('Dvd Calendar'!$F$1209=SPECIAL_LBL)*(INC_SPECIALS="Y"))=0,"",'Dvd Calendar'!$F$1207)))</f>
        <v/>
      </c>
      <c r="E124" s="161">
        <f>IF(EG124="","",IF(ISNUMBER('Dvd Calendar'!$G$1207)=FALSE,"",IF((('Dvd Calendar'!$G$1209=TYPE1)*(TYPE1&lt;&gt;"")+('Dvd Calendar'!$G$1209=TYPE2)*(TYPE2&lt;&gt;"")+('Dvd Calendar'!$G$1209=TYPE3)*(TYPE3&lt;&gt;"")+('Dvd Calendar'!$G$1209=TYPE4)*(TYPE4&lt;&gt;"")+('Dvd Calendar'!$G$1209=SPECIAL_LBL)*(INC_SPECIALS="Y"))=0,"",'Dvd Calendar'!$G$1207)))</f>
        <v/>
      </c>
      <c r="F124" s="161">
        <f>IF(EH124="","",IF(ISNUMBER('Dvd Calendar'!$H$1207)=FALSE,"",IF((('Dvd Calendar'!$H$1209=TYPE1)*(TYPE1&lt;&gt;"")+('Dvd Calendar'!$H$1209=TYPE2)*(TYPE2&lt;&gt;"")+('Dvd Calendar'!$H$1209=TYPE3)*(TYPE3&lt;&gt;"")+('Dvd Calendar'!$H$1209=TYPE4)*(TYPE4&lt;&gt;"")+('Dvd Calendar'!$H$1209=SPECIAL_LBL)*(INC_SPECIALS="Y"))=0,"",'Dvd Calendar'!$H$1207)))</f>
        <v/>
      </c>
      <c r="G124" s="161">
        <f>IF(EI124="","",IF(ISNUMBER('Dvd Calendar'!$I$1207)=FALSE,"",IF((('Dvd Calendar'!$I$1209=TYPE1)*(TYPE1&lt;&gt;"")+('Dvd Calendar'!$I$1209=TYPE2)*(TYPE2&lt;&gt;"")+('Dvd Calendar'!$I$1209=TYPE3)*(TYPE3&lt;&gt;"")+('Dvd Calendar'!$I$1209=TYPE4)*(TYPE4&lt;&gt;"")+('Dvd Calendar'!$I$1209=SPECIAL_LBL)*(INC_SPECIALS="Y"))=0,"",'Dvd Calendar'!$I$1207)))</f>
        <v/>
      </c>
      <c r="H124" s="161">
        <f>IF(EJ124="","",IF(ISNUMBER('Dvd Calendar'!$J$1207)=FALSE,"",IF((('Dvd Calendar'!$J$1209=TYPE1)*(TYPE1&lt;&gt;"")+('Dvd Calendar'!$J$1209=TYPE2)*(TYPE2&lt;&gt;"")+('Dvd Calendar'!$J$1209=TYPE3)*(TYPE3&lt;&gt;"")+('Dvd Calendar'!$J$1209=TYPE4)*(TYPE4&lt;&gt;"")+('Dvd Calendar'!$J$1209=SPECIAL_LBL)*(INC_SPECIALS="Y"))=0,"",'Dvd Calendar'!$J$1207)))</f>
        <v/>
      </c>
      <c r="I124" s="161">
        <f>IF(EK124="","",IF(ISNUMBER('Dvd Calendar'!$K$1207)=FALSE,"",IF((('Dvd Calendar'!$K$1209=TYPE1)*(TYPE1&lt;&gt;"")+('Dvd Calendar'!$K$1209=TYPE2)*(TYPE2&lt;&gt;"")+('Dvd Calendar'!$K$1209=TYPE3)*(TYPE3&lt;&gt;"")+('Dvd Calendar'!$K$1209=TYPE4)*(TYPE4&lt;&gt;"")+('Dvd Calendar'!$K$1209=SPECIAL_LBL)*(INC_SPECIALS="Y"))=0,"",'Dvd Calendar'!$K$1207)))</f>
        <v/>
      </c>
      <c r="J124" s="161">
        <f>IF(EL124="","",IF(ISNUMBER('Dvd Calendar'!$L$1207)=FALSE,"",IF((('Dvd Calendar'!$L$1209=TYPE1)*(TYPE1&lt;&gt;"")+('Dvd Calendar'!$L$1209=TYPE2)*(TYPE2&lt;&gt;"")+('Dvd Calendar'!$L$1209=TYPE3)*(TYPE3&lt;&gt;"")+('Dvd Calendar'!$L$1209=TYPE4)*(TYPE4&lt;&gt;"")+('Dvd Calendar'!$L$1209=SPECIAL_LBL)*(INC_SPECIALS="Y"))=0,"",'Dvd Calendar'!$L$1207)))</f>
        <v/>
      </c>
      <c r="K124" s="161">
        <f>IF(EM124="","",IF(ISNUMBER('Dvd Calendar'!$M$1207)=FALSE,"",IF((('Dvd Calendar'!$M$1209=TYPE1)*(TYPE1&lt;&gt;"")+('Dvd Calendar'!$M$1209=TYPE2)*(TYPE2&lt;&gt;"")+('Dvd Calendar'!$M$1209=TYPE3)*(TYPE3&lt;&gt;"")+('Dvd Calendar'!$M$1209=TYPE4)*(TYPE4&lt;&gt;"")+('Dvd Calendar'!$M$1209=SPECIAL_LBL)*(INC_SPECIALS="Y"))=0,"",'Dvd Calendar'!$M$1207)))</f>
        <v/>
      </c>
      <c r="L124" s="161">
        <f>IF(EN124="","",IF(ISNUMBER('Dvd Calendar'!$N$1207)=FALSE,"",IF((('Dvd Calendar'!$N$1209=TYPE1)*(TYPE1&lt;&gt;"")+('Dvd Calendar'!$N$1209=TYPE2)*(TYPE2&lt;&gt;"")+('Dvd Calendar'!$N$1209=TYPE3)*(TYPE3&lt;&gt;"")+('Dvd Calendar'!$N$1209=TYPE4)*(TYPE4&lt;&gt;"")+('Dvd Calendar'!$N$1209=SPECIAL_LBL)*(INC_SPECIALS="Y"))=0,"",'Dvd Calendar'!$N$1207)))</f>
        <v/>
      </c>
      <c r="M124" s="161">
        <f>IF(EO124="","",IF(ISNUMBER('Dvd Calendar'!$O$1207)=FALSE,"",IF((('Dvd Calendar'!$O$1209=TYPE1)*(TYPE1&lt;&gt;"")+('Dvd Calendar'!$O$1209=TYPE2)*(TYPE2&lt;&gt;"")+('Dvd Calendar'!$O$1209=TYPE3)*(TYPE3&lt;&gt;"")+('Dvd Calendar'!$O$1209=TYPE4)*(TYPE4&lt;&gt;"")+('Dvd Calendar'!$O$1209=SPECIAL_LBL)*(INC_SPECIALS="Y"))=0,"",'Dvd Calendar'!$O$1207)))</f>
        <v/>
      </c>
      <c r="N124" s="161">
        <f>IF(EP124="","",IF(ISNUMBER('Dvd Calendar'!$P$1207)=FALSE,"",IF((('Dvd Calendar'!$P$1209=TYPE1)*(TYPE1&lt;&gt;"")+('Dvd Calendar'!$P$1209=TYPE2)*(TYPE2&lt;&gt;"")+('Dvd Calendar'!$P$1209=TYPE3)*(TYPE3&lt;&gt;"")+('Dvd Calendar'!$P$1209=TYPE4)*(TYPE4&lt;&gt;"")+('Dvd Calendar'!$P$1209=SPECIAL_LBL)*(INC_SPECIALS="Y"))=0,"",'Dvd Calendar'!$P$1207)))</f>
        <v/>
      </c>
      <c r="O124" s="161">
        <f>IF(EQ124="","",IF(ISNUMBER('Dvd Calendar'!$Q$1207)=FALSE,"",IF((('Dvd Calendar'!$Q$1209=TYPE1)*(TYPE1&lt;&gt;"")+('Dvd Calendar'!$Q$1209=TYPE2)*(TYPE2&lt;&gt;"")+('Dvd Calendar'!$Q$1209=TYPE3)*(TYPE3&lt;&gt;"")+('Dvd Calendar'!$Q$1209=TYPE4)*(TYPE4&lt;&gt;"")+('Dvd Calendar'!$Q$1209=SPECIAL_LBL)*(INC_SPECIALS="Y"))=0,"",'Dvd Calendar'!$Q$1207)))</f>
        <v/>
      </c>
      <c r="P124" s="161">
        <f>IF(ER124="","",IF(ISNUMBER('Dvd Calendar'!$R$1207)=FALSE,"",IF((('Dvd Calendar'!$R$1209=TYPE1)*(TYPE1&lt;&gt;"")+('Dvd Calendar'!$R$1209=TYPE2)*(TYPE2&lt;&gt;"")+('Dvd Calendar'!$R$1209=TYPE3)*(TYPE3&lt;&gt;"")+('Dvd Calendar'!$R$1209=TYPE4)*(TYPE4&lt;&gt;"")+('Dvd Calendar'!$R$1209=SPECIAL_LBL)*(INC_SPECIALS="Y"))=0,"",'Dvd Calendar'!$R$1207)))</f>
        <v/>
      </c>
      <c r="Q124" s="161">
        <f>IF(ES124="","",IF(ISNUMBER('Dvd Calendar'!$S$1207)=FALSE,"",IF((('Dvd Calendar'!$S$1209=TYPE1)*(TYPE1&lt;&gt;"")+('Dvd Calendar'!$S$1209=TYPE2)*(TYPE2&lt;&gt;"")+('Dvd Calendar'!$S$1209=TYPE3)*(TYPE3&lt;&gt;"")+('Dvd Calendar'!$S$1209=TYPE4)*(TYPE4&lt;&gt;"")+('Dvd Calendar'!$S$1209=SPECIAL_LBL)*(INC_SPECIALS="Y"))=0,"",'Dvd Calendar'!$S$1207)))</f>
        <v/>
      </c>
      <c r="R124" s="161">
        <f>IF(ET124="","",IF(ISNUMBER('Dvd Calendar'!$T$1207)=FALSE,"",IF((('Dvd Calendar'!$T$1209=TYPE1)*(TYPE1&lt;&gt;"")+('Dvd Calendar'!$T$1209=TYPE2)*(TYPE2&lt;&gt;"")+('Dvd Calendar'!$T$1209=TYPE3)*(TYPE3&lt;&gt;"")+('Dvd Calendar'!$T$1209=TYPE4)*(TYPE4&lt;&gt;"")+('Dvd Calendar'!$T$1209=SPECIAL_LBL)*(INC_SPECIALS="Y"))=0,"",'Dvd Calendar'!$T$1207)))</f>
        <v/>
      </c>
      <c r="S124" s="161">
        <f>IF(EU124="","",IF(ISNUMBER('Dvd Calendar'!$U$1207)=FALSE,"",IF((('Dvd Calendar'!$U$1209=TYPE1)*(TYPE1&lt;&gt;"")+('Dvd Calendar'!$U$1209=TYPE2)*(TYPE2&lt;&gt;"")+('Dvd Calendar'!$U$1209=TYPE3)*(TYPE3&lt;&gt;"")+('Dvd Calendar'!$U$1209=TYPE4)*(TYPE4&lt;&gt;"")+('Dvd Calendar'!$U$1209=SPECIAL_LBL)*(INC_SPECIALS="Y"))=0,"",'Dvd Calendar'!$U$1207)))</f>
        <v/>
      </c>
      <c r="T124" s="161">
        <f>IF(EV124="","",IF(ISNUMBER('Dvd Calendar'!$V$1207)=FALSE,"",IF((('Dvd Calendar'!$V$1209=TYPE1)*(TYPE1&lt;&gt;"")+('Dvd Calendar'!$V$1209=TYPE2)*(TYPE2&lt;&gt;"")+('Dvd Calendar'!$V$1209=TYPE3)*(TYPE3&lt;&gt;"")+('Dvd Calendar'!$V$1209=TYPE4)*(TYPE4&lt;&gt;"")+('Dvd Calendar'!$V$1209=SPECIAL_LBL)*(INC_SPECIALS="Y"))=0,"",'Dvd Calendar'!$V$1207)))</f>
        <v/>
      </c>
      <c r="U124" s="161">
        <f>IF(EW124="","",IF(ISNUMBER('Dvd Calendar'!$W$1207)=FALSE,"",IF((('Dvd Calendar'!$W$1209=TYPE1)*(TYPE1&lt;&gt;"")+('Dvd Calendar'!$W$1209=TYPE2)*(TYPE2&lt;&gt;"")+('Dvd Calendar'!$W$1209=TYPE3)*(TYPE3&lt;&gt;"")+('Dvd Calendar'!$W$1209=TYPE4)*(TYPE4&lt;&gt;"")+('Dvd Calendar'!$W$1209=SPECIAL_LBL)*(INC_SPECIALS="Y"))=0,"",'Dvd Calendar'!$W$1207)))</f>
        <v/>
      </c>
      <c r="V124" s="161">
        <f>IF(EX124="","",IF(ISNUMBER('Dvd Calendar'!$X$1207)=FALSE,"",IF((('Dvd Calendar'!$X$1209=TYPE1)*(TYPE1&lt;&gt;"")+('Dvd Calendar'!$X$1209=TYPE2)*(TYPE2&lt;&gt;"")+('Dvd Calendar'!$X$1209=TYPE3)*(TYPE3&lt;&gt;"")+('Dvd Calendar'!$X$1209=TYPE4)*(TYPE4&lt;&gt;"")+('Dvd Calendar'!$X$1209=SPECIAL_LBL)*(INC_SPECIALS="Y"))=0,"",'Dvd Calendar'!$X$1207)))</f>
        <v/>
      </c>
      <c r="W124" s="161">
        <f>IF(EY124="","",IF(ISNUMBER('Dvd Calendar'!$Y$1207)=FALSE,"",IF((('Dvd Calendar'!$Y$1209=TYPE1)*(TYPE1&lt;&gt;"")+('Dvd Calendar'!$Y$1209=TYPE2)*(TYPE2&lt;&gt;"")+('Dvd Calendar'!$Y$1209=TYPE3)*(TYPE3&lt;&gt;"")+('Dvd Calendar'!$Y$1209=TYPE4)*(TYPE4&lt;&gt;"")+('Dvd Calendar'!$Y$1209=SPECIAL_LBL)*(INC_SPECIALS="Y"))=0,"",'Dvd Calendar'!$Y$1207)))</f>
        <v/>
      </c>
      <c r="X124" s="161">
        <f>IF(EZ124="","",IF(ISNUMBER('Dvd Calendar'!$Z$1207)=FALSE,"",IF((('Dvd Calendar'!$Z$1209=TYPE1)*(TYPE1&lt;&gt;"")+('Dvd Calendar'!$Z$1209=TYPE2)*(TYPE2&lt;&gt;"")+('Dvd Calendar'!$Z$1209=TYPE3)*(TYPE3&lt;&gt;"")+('Dvd Calendar'!$Z$1209=TYPE4)*(TYPE4&lt;&gt;"")+('Dvd Calendar'!$Z$1209=SPECIAL_LBL)*(INC_SPECIALS="Y"))=0,"",'Dvd Calendar'!$Z$1207)))</f>
        <v/>
      </c>
      <c r="Y124" s="161">
        <f>IF(FA124="","",IF(ISNUMBER('Dvd Calendar'!$AA$1207)=FALSE,"",IF((('Dvd Calendar'!$AA$1209=TYPE1)*(TYPE1&lt;&gt;"")+('Dvd Calendar'!$AA$1209=TYPE2)*(TYPE2&lt;&gt;"")+('Dvd Calendar'!$AA$1209=TYPE3)*(TYPE3&lt;&gt;"")+('Dvd Calendar'!$AA$1209=TYPE4)*(TYPE4&lt;&gt;"")+('Dvd Calendar'!$AA$1209=SPECIAL_LBL)*(INC_SPECIALS="Y"))=0,"",'Dvd Calendar'!$AA$1207)))</f>
        <v/>
      </c>
      <c r="Z124" s="161">
        <f>IF(FB124="","",IF(ISNUMBER('Dvd Calendar'!$AB$1207)=FALSE,"",IF((('Dvd Calendar'!$AB$1209=TYPE1)*(TYPE1&lt;&gt;"")+('Dvd Calendar'!$AB$1209=TYPE2)*(TYPE2&lt;&gt;"")+('Dvd Calendar'!$AB$1209=TYPE3)*(TYPE3&lt;&gt;"")+('Dvd Calendar'!$AB$1209=TYPE4)*(TYPE4&lt;&gt;"")+('Dvd Calendar'!$AB$1209=SPECIAL_LBL)*(INC_SPECIALS="Y"))=0,"",'Dvd Calendar'!$AB$1207)))</f>
        <v/>
      </c>
      <c r="AA124" s="161">
        <f>IF(FC124="","",IF(ISNUMBER('Dvd Calendar'!$AC$1207)=FALSE,"",IF((('Dvd Calendar'!$AC$1209=TYPE1)*(TYPE1&lt;&gt;"")+('Dvd Calendar'!$AC$1209=TYPE2)*(TYPE2&lt;&gt;"")+('Dvd Calendar'!$AC$1209=TYPE3)*(TYPE3&lt;&gt;"")+('Dvd Calendar'!$AC$1209=TYPE4)*(TYPE4&lt;&gt;"")+('Dvd Calendar'!$AC$1209=SPECIAL_LBL)*(INC_SPECIALS="Y"))=0,"",'Dvd Calendar'!$AC$1207)))</f>
        <v/>
      </c>
      <c r="AB124" s="161">
        <f>IF(FD124="","",IF(ISNUMBER('Dvd Calendar'!$AD$1207)=FALSE,"",IF((('Dvd Calendar'!$AD$1209=TYPE1)*(TYPE1&lt;&gt;"")+('Dvd Calendar'!$AD$1209=TYPE2)*(TYPE2&lt;&gt;"")+('Dvd Calendar'!$AD$1209=TYPE3)*(TYPE3&lt;&gt;"")+('Dvd Calendar'!$AD$1209=TYPE4)*(TYPE4&lt;&gt;"")+('Dvd Calendar'!$AD$1209=SPECIAL_LBL)*(INC_SPECIALS="Y"))=0,"",'Dvd Calendar'!$AD$1207)))</f>
        <v/>
      </c>
      <c r="AC124" s="161">
        <f>IF(FE124="","",IF(ISNUMBER('Dvd Calendar'!$AE$1207)=FALSE,"",IF((('Dvd Calendar'!$AE$1209=TYPE1)*(TYPE1&lt;&gt;"")+('Dvd Calendar'!$AE$1209=TYPE2)*(TYPE2&lt;&gt;"")+('Dvd Calendar'!$AE$1209=TYPE3)*(TYPE3&lt;&gt;"")+('Dvd Calendar'!$AE$1209=TYPE4)*(TYPE4&lt;&gt;"")+('Dvd Calendar'!$AE$1209=SPECIAL_LBL)*(INC_SPECIALS="Y"))=0,"",'Dvd Calendar'!$AE$1207)))</f>
        <v/>
      </c>
      <c r="AD124" s="161">
        <f>IF(FF124="","",IF(ISNUMBER('Dvd Calendar'!$AF$1207)=FALSE,"",IF((('Dvd Calendar'!$AF$1209=TYPE1)*(TYPE1&lt;&gt;"")+('Dvd Calendar'!$AF$1209=TYPE2)*(TYPE2&lt;&gt;"")+('Dvd Calendar'!$AF$1209=TYPE3)*(TYPE3&lt;&gt;"")+('Dvd Calendar'!$AF$1209=TYPE4)*(TYPE4&lt;&gt;"")+('Dvd Calendar'!$AF$1209=SPECIAL_LBL)*(INC_SPECIALS="Y"))=0,"",'Dvd Calendar'!$AF$1207)))</f>
        <v/>
      </c>
      <c r="AE124" s="161">
        <f>IF(FG124="","",IF(ISNUMBER('Dvd Calendar'!$AG$1207)=FALSE,"",IF((('Dvd Calendar'!$AG$1209=TYPE1)*(TYPE1&lt;&gt;"")+('Dvd Calendar'!$AG$1209=TYPE2)*(TYPE2&lt;&gt;"")+('Dvd Calendar'!$AG$1209=TYPE3)*(TYPE3&lt;&gt;"")+('Dvd Calendar'!$AG$1209=TYPE4)*(TYPE4&lt;&gt;"")+('Dvd Calendar'!$AG$1209=SPECIAL_LBL)*(INC_SPECIALS="Y"))=0,"",'Dvd Calendar'!$AG$1207)))</f>
        <v/>
      </c>
      <c r="AF124" s="161">
        <f>IF(FH124="","",IF(ISNUMBER('Dvd Calendar'!$AH$1207)=FALSE,"",IF((('Dvd Calendar'!$AH$1209=TYPE1)*(TYPE1&lt;&gt;"")+('Dvd Calendar'!$AH$1209=TYPE2)*(TYPE2&lt;&gt;"")+('Dvd Calendar'!$AH$1209=TYPE3)*(TYPE3&lt;&gt;"")+('Dvd Calendar'!$AH$1209=TYPE4)*(TYPE4&lt;&gt;"")+('Dvd Calendar'!$AH$1209=SPECIAL_LBL)*(INC_SPECIALS="Y"))=0,"",'Dvd Calendar'!$AH$1207)))</f>
        <v/>
      </c>
      <c r="AG124" s="161">
        <f>IF(FI124="","",IF(ISNUMBER('Dvd Calendar'!$AI$1207)=FALSE,"",IF((('Dvd Calendar'!$AI$1209=TYPE1)*(TYPE1&lt;&gt;"")+('Dvd Calendar'!$AI$1209=TYPE2)*(TYPE2&lt;&gt;"")+('Dvd Calendar'!$AI$1209=TYPE3)*(TYPE3&lt;&gt;"")+('Dvd Calendar'!$AI$1209=TYPE4)*(TYPE4&lt;&gt;"")+('Dvd Calendar'!$AI$1209=SPECIAL_LBL)*(INC_SPECIALS="Y"))=0,"",'Dvd Calendar'!$AI$1207)))</f>
        <v/>
      </c>
      <c r="AH124" s="161">
        <f>IF(FJ124="","",IF(ISNUMBER('Dvd Calendar'!$AJ$1207)=FALSE,"",IF((('Dvd Calendar'!$AJ$1209=TYPE1)*(TYPE1&lt;&gt;"")+('Dvd Calendar'!$AJ$1209=TYPE2)*(TYPE2&lt;&gt;"")+('Dvd Calendar'!$AJ$1209=TYPE3)*(TYPE3&lt;&gt;"")+('Dvd Calendar'!$AJ$1209=TYPE4)*(TYPE4&lt;&gt;"")+('Dvd Calendar'!$AJ$1209=SPECIAL_LBL)*(INC_SPECIALS="Y"))=0,"",'Dvd Calendar'!$AJ$1207)))</f>
        <v/>
      </c>
      <c r="AI124" s="161">
        <f>IF(FK124="","",IF(ISNUMBER('Dvd Calendar'!$AK$1207)=FALSE,"",IF((('Dvd Calendar'!$AK$1209=TYPE1)*(TYPE1&lt;&gt;"")+('Dvd Calendar'!$AK$1209=TYPE2)*(TYPE2&lt;&gt;"")+('Dvd Calendar'!$AK$1209=TYPE3)*(TYPE3&lt;&gt;"")+('Dvd Calendar'!$AK$1209=TYPE4)*(TYPE4&lt;&gt;"")+('Dvd Calendar'!$AK$1209=SPECIAL_LBL)*(INC_SPECIALS="Y"))=0,"",'Dvd Calendar'!$AK$1207)))</f>
        <v/>
      </c>
      <c r="AJ124" s="161">
        <f>IF(FL124="","",IF(ISNUMBER('Dvd Calendar'!$AL$1207)=FALSE,"",IF((('Dvd Calendar'!$AL$1209=TYPE1)*(TYPE1&lt;&gt;"")+('Dvd Calendar'!$AL$1209=TYPE2)*(TYPE2&lt;&gt;"")+('Dvd Calendar'!$AL$1209=TYPE3)*(TYPE3&lt;&gt;"")+('Dvd Calendar'!$AL$1209=TYPE4)*(TYPE4&lt;&gt;"")+('Dvd Calendar'!$AL$1209=SPECIAL_LBL)*(INC_SPECIALS="Y"))=0,"",'Dvd Calendar'!$AL$1207)))</f>
        <v/>
      </c>
      <c r="AK124" s="161">
        <f>IF(FM124="","",IF(ISNUMBER('Dvd Calendar'!$AM$1207)=FALSE,"",IF((('Dvd Calendar'!$AM$1209=TYPE1)*(TYPE1&lt;&gt;"")+('Dvd Calendar'!$AM$1209=TYPE2)*(TYPE2&lt;&gt;"")+('Dvd Calendar'!$AM$1209=TYPE3)*(TYPE3&lt;&gt;"")+('Dvd Calendar'!$AM$1209=TYPE4)*(TYPE4&lt;&gt;"")+('Dvd Calendar'!$AM$1209=SPECIAL_LBL)*(INC_SPECIALS="Y"))=0,"",'Dvd Calendar'!$AM$1207)))</f>
        <v/>
      </c>
      <c r="AL124" s="161">
        <f>IF(FN124="","",IF(ISNUMBER('Dvd Calendar'!$AN$1207)=FALSE,"",IF((('Dvd Calendar'!$AN$1209=TYPE1)*(TYPE1&lt;&gt;"")+('Dvd Calendar'!$AN$1209=TYPE2)*(TYPE2&lt;&gt;"")+('Dvd Calendar'!$AN$1209=TYPE3)*(TYPE3&lt;&gt;"")+('Dvd Calendar'!$AN$1209=TYPE4)*(TYPE4&lt;&gt;"")+('Dvd Calendar'!$AN$1209=SPECIAL_LBL)*(INC_SPECIALS="Y"))=0,"",'Dvd Calendar'!$AN$1207)))</f>
        <v/>
      </c>
      <c r="AM124" s="161">
        <f>IF(FO124="","",IF(ISNUMBER('Dvd Calendar'!$AO$1207)=FALSE,"",IF((('Dvd Calendar'!$AO$1209=TYPE1)*(TYPE1&lt;&gt;"")+('Dvd Calendar'!$AO$1209=TYPE2)*(TYPE2&lt;&gt;"")+('Dvd Calendar'!$AO$1209=TYPE3)*(TYPE3&lt;&gt;"")+('Dvd Calendar'!$AO$1209=TYPE4)*(TYPE4&lt;&gt;"")+('Dvd Calendar'!$AO$1209=SPECIAL_LBL)*(INC_SPECIALS="Y"))=0,"",'Dvd Calendar'!$AO$1207)))</f>
        <v/>
      </c>
      <c r="AN124" s="161">
        <f>IF(FP124="","",IF(ISNUMBER('Dvd Calendar'!$AP$1207)=FALSE,"",IF((('Dvd Calendar'!$AP$1209=TYPE1)*(TYPE1&lt;&gt;"")+('Dvd Calendar'!$AP$1209=TYPE2)*(TYPE2&lt;&gt;"")+('Dvd Calendar'!$AP$1209=TYPE3)*(TYPE3&lt;&gt;"")+('Dvd Calendar'!$AP$1209=TYPE4)*(TYPE4&lt;&gt;"")+('Dvd Calendar'!$AP$1209=SPECIAL_LBL)*(INC_SPECIALS="Y"))=0,"",'Dvd Calendar'!$AP$1207)))</f>
        <v/>
      </c>
      <c r="AO124" s="161">
        <f>IF(FQ124="","",IF(ISNUMBER('Dvd Calendar'!$AQ$1207)=FALSE,"",IF((('Dvd Calendar'!$AQ$1209=TYPE1)*(TYPE1&lt;&gt;"")+('Dvd Calendar'!$AQ$1209=TYPE2)*(TYPE2&lt;&gt;"")+('Dvd Calendar'!$AQ$1209=TYPE3)*(TYPE3&lt;&gt;"")+('Dvd Calendar'!$AQ$1209=TYPE4)*(TYPE4&lt;&gt;"")+('Dvd Calendar'!$AQ$1209=SPECIAL_LBL)*(INC_SPECIALS="Y"))=0,"",'Dvd Calendar'!$AQ$1207)))</f>
        <v/>
      </c>
      <c r="AP124" s="161">
        <f>IF(FR124="","",IF(ISNUMBER('Dvd Calendar'!$AR$1207)=FALSE,"",IF((('Dvd Calendar'!$AR$1209=TYPE1)*(TYPE1&lt;&gt;"")+('Dvd Calendar'!$AR$1209=TYPE2)*(TYPE2&lt;&gt;"")+('Dvd Calendar'!$AR$1209=TYPE3)*(TYPE3&lt;&gt;"")+('Dvd Calendar'!$AR$1209=TYPE4)*(TYPE4&lt;&gt;"")+('Dvd Calendar'!$AR$1209=SPECIAL_LBL)*(INC_SPECIALS="Y"))=0,"",'Dvd Calendar'!$AR$1207)))</f>
        <v/>
      </c>
      <c r="AQ124" s="161">
        <f>IF(FS124="","",IF(ISNUMBER('Dvd Calendar'!$E$1212)=FALSE,"",'Dvd Calendar'!$E$1212))</f>
        <v/>
      </c>
      <c r="AR124" s="161">
        <f>IF(FT124="","",IF(ISNUMBER('Dvd Calendar'!$F$1212)=FALSE,"",'Dvd Calendar'!$F$1212))</f>
        <v/>
      </c>
      <c r="AS124" s="161">
        <f>IF(FU124="","",IF(ISNUMBER('Dvd Calendar'!$G$1212)=FALSE,"",'Dvd Calendar'!$G$1212))</f>
        <v/>
      </c>
      <c r="AT124" s="161">
        <f>IF(FV124="","",IF(ISNUMBER('Dvd Calendar'!$H$1212)=FALSE,"",'Dvd Calendar'!$H$1212))</f>
        <v/>
      </c>
      <c r="AU124" s="161">
        <f>IF(FW124="","",IF(ISNUMBER('Dvd Calendar'!$I$1212)=FALSE,"",'Dvd Calendar'!$I$1212))</f>
        <v/>
      </c>
      <c r="AV124" s="161">
        <f>IF(FX124="","",IF(ISNUMBER('Dvd Calendar'!$J$1212)=FALSE,"",'Dvd Calendar'!$J$1212))</f>
        <v/>
      </c>
      <c r="AW124" s="161">
        <f>IF(FY124="","",IF(ISNUMBER('Dvd Calendar'!$K$1212)=FALSE,"",'Dvd Calendar'!$K$1212))</f>
        <v/>
      </c>
      <c r="AX124" s="161">
        <f>IF(FZ124="","",IF(ISNUMBER('Dvd Calendar'!$L$1212)=FALSE,"",'Dvd Calendar'!$L$1212))</f>
        <v/>
      </c>
      <c r="AY124" s="161">
        <f>IF(GA124="","",IF(ISNUMBER('Dvd Calendar'!$M$1212)=FALSE,"",'Dvd Calendar'!$M$1212))</f>
        <v/>
      </c>
      <c r="AZ124" s="161">
        <f>IF(GB124="","",IF(ISNUMBER('Dvd Calendar'!$N$1212)=FALSE,"",'Dvd Calendar'!$N$1212))</f>
        <v/>
      </c>
      <c r="BA124" s="161">
        <f>IF(GC124="","",IF(ISNUMBER('Dvd Calendar'!$O$1212)=FALSE,"",'Dvd Calendar'!$O$1212))</f>
        <v/>
      </c>
      <c r="BB124" s="161">
        <f>IF(GD124="","",IF(ISNUMBER('Dvd Calendar'!$P$1212)=FALSE,"",'Dvd Calendar'!$P$1212))</f>
        <v/>
      </c>
      <c r="BC124" s="161">
        <f>IF(GE124="","",IF(ISNUMBER('Dvd Calendar'!$Q$1212)=FALSE,"",'Dvd Calendar'!$Q$1212))</f>
        <v/>
      </c>
      <c r="BD124" s="161">
        <f>IF(GF124="","",IF(ISNUMBER('Dvd Calendar'!$R$1212)=FALSE,"",'Dvd Calendar'!$R$1212))</f>
        <v/>
      </c>
      <c r="BE124" s="161">
        <f>IF(GG124="","",IF(ISNUMBER('Dvd Calendar'!$S$1212)=FALSE,"",'Dvd Calendar'!$S$1212))</f>
        <v/>
      </c>
      <c r="BF124" s="161">
        <f>IF(GH124="","",IF(ISNUMBER('Dvd Calendar'!$T$1212)=FALSE,"",'Dvd Calendar'!$T$1212))</f>
        <v/>
      </c>
      <c r="BG124" s="161">
        <f>IF(GI124="","",IF(ISNUMBER('Dvd Calendar'!$U$1212)=FALSE,"",'Dvd Calendar'!$U$1212))</f>
        <v/>
      </c>
      <c r="BH124" s="161">
        <f>IF(GJ124="","",IF(ISNUMBER('Dvd Calendar'!$V$1212)=FALSE,"",'Dvd Calendar'!$V$1212))</f>
        <v/>
      </c>
      <c r="BI124" s="161">
        <f>IF(GK124="","",IF(ISNUMBER('Dvd Calendar'!$W$1212)=FALSE,"",'Dvd Calendar'!$W$1212))</f>
        <v/>
      </c>
      <c r="BJ124" s="161">
        <f>IF(GL124="","",IF(ISNUMBER('Dvd Calendar'!$X$1212)=FALSE,"",'Dvd Calendar'!$X$1212))</f>
        <v/>
      </c>
      <c r="BK124" s="161">
        <f>IF(GM124="","",IF(ISNUMBER('Dvd Calendar'!$Y$1212)=FALSE,"",'Dvd Calendar'!$Y$1212))</f>
        <v/>
      </c>
      <c r="BL124" s="161">
        <f>IF(GN124="","",IF(ISNUMBER('Dvd Calendar'!$Z$1212)=FALSE,"",'Dvd Calendar'!$Z$1212))</f>
        <v/>
      </c>
      <c r="BM124" s="161">
        <f>IF(GO124="","",IF(ISNUMBER('Dvd Calendar'!$AA$1212)=FALSE,"",'Dvd Calendar'!$AA$1212))</f>
        <v/>
      </c>
      <c r="BN124" s="161">
        <f>IF(GP124="","",IF(ISNUMBER('Dvd Calendar'!$AB$1212)=FALSE,"",'Dvd Calendar'!$AB$1212))</f>
        <v/>
      </c>
      <c r="BO124" s="161">
        <f>IF(GQ124="","",IF(ISNUMBER('Dvd Calendar'!$AC$1212)=FALSE,"",'Dvd Calendar'!$AC$1212))</f>
        <v/>
      </c>
      <c r="BQ124" s="161">
        <f>IF(C124="","",IFERROR(C124*HSTECH!$B$15*HSTECH!$G$15/HSTECH!$B$3,""))</f>
        <v/>
      </c>
      <c r="BR124" s="161">
        <f>IF(D124="","",IFERROR(D124*HSTECH!$B$15*HSTECH!$G$15/HSTECH!$B$3,""))</f>
        <v/>
      </c>
      <c r="BS124" s="161">
        <f>IF(E124="","",IFERROR(E124*HSTECH!$B$15*HSTECH!$G$15/HSTECH!$B$3,""))</f>
        <v/>
      </c>
      <c r="BT124" s="161">
        <f>IF(F124="","",IFERROR(F124*HSTECH!$B$15*HSTECH!$G$15/HSTECH!$B$3,""))</f>
        <v/>
      </c>
      <c r="BU124" s="161">
        <f>IF(G124="","",IFERROR(G124*HSTECH!$B$15*HSTECH!$G$15/HSTECH!$B$3,""))</f>
        <v/>
      </c>
      <c r="BV124" s="161">
        <f>IF(H124="","",IFERROR(H124*HSTECH!$B$15*HSTECH!$G$15/HSTECH!$B$3,""))</f>
        <v/>
      </c>
      <c r="BW124" s="161">
        <f>IF(I124="","",IFERROR(I124*HSTECH!$B$15*HSTECH!$G$15/HSTECH!$B$3,""))</f>
        <v/>
      </c>
      <c r="BX124" s="161">
        <f>IF(J124="","",IFERROR(J124*HSTECH!$B$15*HSTECH!$G$15/HSTECH!$B$3,""))</f>
        <v/>
      </c>
      <c r="BY124" s="161">
        <f>IF(K124="","",IFERROR(K124*HSTECH!$B$15*HSTECH!$G$15/HSTECH!$B$3,""))</f>
        <v/>
      </c>
      <c r="BZ124" s="161">
        <f>IF(L124="","",IFERROR(L124*HSTECH!$B$15*HSTECH!$G$15/HSTECH!$B$3,""))</f>
        <v/>
      </c>
      <c r="CA124" s="161">
        <f>IF(M124="","",IFERROR(M124*HSTECH!$B$15*HSTECH!$G$15/HSTECH!$B$3,""))</f>
        <v/>
      </c>
      <c r="CB124" s="161">
        <f>IF(N124="","",IFERROR(N124*HSTECH!$B$15*HSTECH!$G$15/HSTECH!$B$3,""))</f>
        <v/>
      </c>
      <c r="CC124" s="161">
        <f>IF(O124="","",IFERROR(O124*HSTECH!$B$15*HSTECH!$G$15/HSTECH!$B$3,""))</f>
        <v/>
      </c>
      <c r="CD124" s="161">
        <f>IF(P124="","",IFERROR(P124*HSTECH!$B$15*HSTECH!$G$15/HSTECH!$B$3,""))</f>
        <v/>
      </c>
      <c r="CE124" s="161">
        <f>IF(Q124="","",IFERROR(Q124*HSTECH!$B$15*HSTECH!$G$15/HSTECH!$B$3,""))</f>
        <v/>
      </c>
      <c r="CF124" s="161">
        <f>IF(R124="","",IFERROR(R124*HSTECH!$B$15*HSTECH!$G$15/HSTECH!$B$3,""))</f>
        <v/>
      </c>
      <c r="CG124" s="161">
        <f>IF(S124="","",IFERROR(S124*HSTECH!$B$15*HSTECH!$G$15/HSTECH!$B$3,""))</f>
        <v/>
      </c>
      <c r="CH124" s="161">
        <f>IF(T124="","",IFERROR(T124*HSTECH!$B$15*HSTECH!$G$15/HSTECH!$B$3,""))</f>
        <v/>
      </c>
      <c r="CI124" s="161">
        <f>IF(U124="","",IFERROR(U124*HSTECH!$B$15*HSTECH!$G$15/HSTECH!$B$3,""))</f>
        <v/>
      </c>
      <c r="CJ124" s="161">
        <f>IF(V124="","",IFERROR(V124*HSTECH!$B$15*HSTECH!$G$15/HSTECH!$B$3,""))</f>
        <v/>
      </c>
      <c r="CK124" s="161">
        <f>IF(W124="","",IFERROR(W124*HSTECH!$B$15*HSTECH!$G$15/HSTECH!$B$3,""))</f>
        <v/>
      </c>
      <c r="CL124" s="161">
        <f>IF(X124="","",IFERROR(X124*HSTECH!$B$15*HSTECH!$G$15/HSTECH!$B$3,""))</f>
        <v/>
      </c>
      <c r="CM124" s="161">
        <f>IF(Y124="","",IFERROR(Y124*HSTECH!$B$15*HSTECH!$G$15/HSTECH!$B$3,""))</f>
        <v/>
      </c>
      <c r="CN124" s="161">
        <f>IF(Z124="","",IFERROR(Z124*HSTECH!$B$15*HSTECH!$G$15/HSTECH!$B$3,""))</f>
        <v/>
      </c>
      <c r="CO124" s="161">
        <f>IF(AA124="","",IFERROR(AA124*HSTECH!$B$15*HSTECH!$G$15/HSTECH!$B$3,""))</f>
        <v/>
      </c>
      <c r="CP124" s="161">
        <f>IF(AB124="","",IFERROR(AB124*HSTECH!$B$15*HSTECH!$G$15/HSTECH!$B$3,""))</f>
        <v/>
      </c>
      <c r="CQ124" s="161">
        <f>IF(AC124="","",IFERROR(AC124*HSTECH!$B$15*HSTECH!$G$15/HSTECH!$B$3,""))</f>
        <v/>
      </c>
      <c r="CR124" s="161">
        <f>IF(AD124="","",IFERROR(AD124*HSTECH!$B$15*HSTECH!$G$15/HSTECH!$B$3,""))</f>
        <v/>
      </c>
      <c r="CS124" s="161">
        <f>IF(AE124="","",IFERROR(AE124*HSTECH!$B$15*HSTECH!$G$15/HSTECH!$B$3,""))</f>
        <v/>
      </c>
      <c r="CT124" s="161">
        <f>IF(AF124="","",IFERROR(AF124*HSTECH!$B$15*HSTECH!$G$15/HSTECH!$B$3,""))</f>
        <v/>
      </c>
      <c r="CU124" s="161">
        <f>IF(AG124="","",IFERROR(AG124*HSTECH!$B$15*HSTECH!$G$15/HSTECH!$B$3,""))</f>
        <v/>
      </c>
      <c r="CV124" s="161">
        <f>IF(AH124="","",IFERROR(AH124*HSTECH!$B$15*HSTECH!$G$15/HSTECH!$B$3,""))</f>
        <v/>
      </c>
      <c r="CW124" s="161">
        <f>IF(AI124="","",IFERROR(AI124*HSTECH!$B$15*HSTECH!$G$15/HSTECH!$B$3,""))</f>
        <v/>
      </c>
      <c r="CX124" s="161">
        <f>IF(AJ124="","",IFERROR(AJ124*HSTECH!$B$15*HSTECH!$G$15/HSTECH!$B$3,""))</f>
        <v/>
      </c>
      <c r="CY124" s="161">
        <f>IF(AK124="","",IFERROR(AK124*HSTECH!$B$15*HSTECH!$G$15/HSTECH!$B$3,""))</f>
        <v/>
      </c>
      <c r="CZ124" s="161">
        <f>IF(AL124="","",IFERROR(AL124*HSTECH!$B$15*HSTECH!$G$15/HSTECH!$B$3,""))</f>
        <v/>
      </c>
      <c r="DA124" s="161">
        <f>IF(AM124="","",IFERROR(AM124*HSTECH!$B$15*HSTECH!$G$15/HSTECH!$B$3,""))</f>
        <v/>
      </c>
      <c r="DB124" s="161">
        <f>IF(AN124="","",IFERROR(AN124*HSTECH!$B$15*HSTECH!$G$15/HSTECH!$B$3,""))</f>
        <v/>
      </c>
      <c r="DC124" s="161">
        <f>IF(AO124="","",IFERROR(AO124*HSTECH!$B$15*HSTECH!$G$15/HSTECH!$B$3,""))</f>
        <v/>
      </c>
      <c r="DD124" s="161">
        <f>IF(AP124="","",IFERROR(AP124*HSTECH!$B$15*HSTECH!$G$15/HSTECH!$B$3,""))</f>
        <v/>
      </c>
      <c r="DE124" s="161">
        <f>IF(AQ124="","",IFERROR(AQ124*HSTECH!$B$15*HSTECH!$G$15/HSTECH!$B$3,""))</f>
        <v/>
      </c>
      <c r="DF124" s="161">
        <f>IF(AR124="","",IFERROR(AR124*HSTECH!$B$15*HSTECH!$G$15/HSTECH!$B$3,""))</f>
        <v/>
      </c>
      <c r="DG124" s="161">
        <f>IF(AS124="","",IFERROR(AS124*HSTECH!$B$15*HSTECH!$G$15/HSTECH!$B$3,""))</f>
        <v/>
      </c>
      <c r="DH124" s="161">
        <f>IF(AT124="","",IFERROR(AT124*HSTECH!$B$15*HSTECH!$G$15/HSTECH!$B$3,""))</f>
        <v/>
      </c>
      <c r="DI124" s="161">
        <f>IF(AU124="","",IFERROR(AU124*HSTECH!$B$15*HSTECH!$G$15/HSTECH!$B$3,""))</f>
        <v/>
      </c>
      <c r="DJ124" s="161">
        <f>IF(AV124="","",IFERROR(AV124*HSTECH!$B$15*HSTECH!$G$15/HSTECH!$B$3,""))</f>
        <v/>
      </c>
      <c r="DK124" s="161">
        <f>IF(AW124="","",IFERROR(AW124*HSTECH!$B$15*HSTECH!$G$15/HSTECH!$B$3,""))</f>
        <v/>
      </c>
      <c r="DL124" s="161">
        <f>IF(AX124="","",IFERROR(AX124*HSTECH!$B$15*HSTECH!$G$15/HSTECH!$B$3,""))</f>
        <v/>
      </c>
      <c r="DM124" s="161">
        <f>IF(AY124="","",IFERROR(AY124*HSTECH!$B$15*HSTECH!$G$15/HSTECH!$B$3,""))</f>
        <v/>
      </c>
      <c r="DN124" s="161">
        <f>IF(AZ124="","",IFERROR(AZ124*HSTECH!$B$15*HSTECH!$G$15/HSTECH!$B$3,""))</f>
        <v/>
      </c>
      <c r="DO124" s="161">
        <f>IF(BA124="","",IFERROR(BA124*HSTECH!$B$15*HSTECH!$G$15/HSTECH!$B$3,""))</f>
        <v/>
      </c>
      <c r="DP124" s="161">
        <f>IF(BB124="","",IFERROR(BB124*HSTECH!$B$15*HSTECH!$G$15/HSTECH!$B$3,""))</f>
        <v/>
      </c>
      <c r="DQ124" s="161">
        <f>IF(BC124="","",IFERROR(BC124*HSTECH!$B$15*HSTECH!$G$15/HSTECH!$B$3,""))</f>
        <v/>
      </c>
      <c r="DR124" s="161">
        <f>IF(BD124="","",IFERROR(BD124*HSTECH!$B$15*HSTECH!$G$15/HSTECH!$B$3,""))</f>
        <v/>
      </c>
      <c r="DS124" s="161">
        <f>IF(BE124="","",IFERROR(BE124*HSTECH!$B$15*HSTECH!$G$15/HSTECH!$B$3,""))</f>
        <v/>
      </c>
      <c r="DT124" s="161">
        <f>IF(BF124="","",IFERROR(BF124*HSTECH!$B$15*HSTECH!$G$15/HSTECH!$B$3,""))</f>
        <v/>
      </c>
      <c r="DU124" s="161">
        <f>IF(BG124="","",IFERROR(BG124*HSTECH!$B$15*HSTECH!$G$15/HSTECH!$B$3,""))</f>
        <v/>
      </c>
      <c r="DV124" s="161">
        <f>IF(BH124="","",IFERROR(BH124*HSTECH!$B$15*HSTECH!$G$15/HSTECH!$B$3,""))</f>
        <v/>
      </c>
      <c r="DW124" s="161">
        <f>IF(BI124="","",IFERROR(BI124*HSTECH!$B$15*HSTECH!$G$15/HSTECH!$B$3,""))</f>
        <v/>
      </c>
      <c r="DX124" s="161">
        <f>IF(BJ124="","",IFERROR(BJ124*HSTECH!$B$15*HSTECH!$G$15/HSTECH!$B$3,""))</f>
        <v/>
      </c>
      <c r="DY124" s="161">
        <f>IF(BK124="","",IFERROR(BK124*HSTECH!$B$15*HSTECH!$G$15/HSTECH!$B$3,""))</f>
        <v/>
      </c>
      <c r="DZ124" s="161">
        <f>IF(BL124="","",IFERROR(BL124*HSTECH!$B$15*HSTECH!$G$15/HSTECH!$B$3,""))</f>
        <v/>
      </c>
      <c r="EA124" s="161">
        <f>IF(BM124="","",IFERROR(BM124*HSTECH!$B$15*HSTECH!$G$15/HSTECH!$B$3,""))</f>
        <v/>
      </c>
      <c r="EB124" s="161">
        <f>IF(BN124="","",IFERROR(BN124*HSTECH!$B$15*HSTECH!$G$15/HSTECH!$B$3,""))</f>
        <v/>
      </c>
      <c r="EC124" s="161">
        <f>IF(BO124="","",IFERROR(BO124*HSTECH!$B$15*HSTECH!$G$15/HSTECH!$B$3,""))</f>
        <v/>
      </c>
      <c r="EE124" s="121">
        <f>IF(N('Dvd Calendar'!$E$1204)=0,"",IF(('Dvd Calendar'!$E$1204&gt;=GRID_FROM)*('Dvd Calendar'!$E$1204&lt;=GRID_TO)*((('Dvd Calendar'!$E$1204&lt;=VAL_DATE)+(COUNTIF('Dvd Calendar'!$E$1211:$AR$1211,'Dvd Calendar'!$E$1204)=0))&gt;0)=0,"",'Dvd Calendar'!$E$1204*1000000000+ISNUMBER('Dvd Calendar'!$E$1207)*100000000+('Dvd Calendar'!$E$1209=SPECIAL_LBL)*10000000+(N('Dvd Calendar'!$E$1203)&gt;0)*(N('Dvd Calendar'!$E$1203)&lt;=VAL_SERIAL)*1000000+9*1000+1))</f>
        <v/>
      </c>
      <c r="EF124" s="121">
        <f>IF(N('Dvd Calendar'!$F$1204)=0,"",IF(('Dvd Calendar'!$F$1204&gt;=GRID_FROM)*('Dvd Calendar'!$F$1204&lt;=GRID_TO)*((('Dvd Calendar'!$F$1204&lt;=VAL_DATE)+(COUNTIF('Dvd Calendar'!$E$1211:$AR$1211,'Dvd Calendar'!$F$1204)=0))&gt;0)=0,"",'Dvd Calendar'!$F$1204*1000000000+ISNUMBER('Dvd Calendar'!$F$1207)*100000000+('Dvd Calendar'!$F$1209=SPECIAL_LBL)*10000000+(N('Dvd Calendar'!$F$1203)&gt;0)*(N('Dvd Calendar'!$F$1203)&lt;=VAL_SERIAL)*1000000+9*1000+2))</f>
        <v/>
      </c>
      <c r="EG124" s="121">
        <f>IF(N('Dvd Calendar'!$G$1204)=0,"",IF(('Dvd Calendar'!$G$1204&gt;=GRID_FROM)*('Dvd Calendar'!$G$1204&lt;=GRID_TO)*((('Dvd Calendar'!$G$1204&lt;=VAL_DATE)+(COUNTIF('Dvd Calendar'!$E$1211:$AR$1211,'Dvd Calendar'!$G$1204)=0))&gt;0)=0,"",'Dvd Calendar'!$G$1204*1000000000+ISNUMBER('Dvd Calendar'!$G$1207)*100000000+('Dvd Calendar'!$G$1209=SPECIAL_LBL)*10000000+(N('Dvd Calendar'!$G$1203)&gt;0)*(N('Dvd Calendar'!$G$1203)&lt;=VAL_SERIAL)*1000000+9*1000+3))</f>
        <v/>
      </c>
      <c r="EH124" s="121">
        <f>IF(N('Dvd Calendar'!$H$1204)=0,"",IF(('Dvd Calendar'!$H$1204&gt;=GRID_FROM)*('Dvd Calendar'!$H$1204&lt;=GRID_TO)*((('Dvd Calendar'!$H$1204&lt;=VAL_DATE)+(COUNTIF('Dvd Calendar'!$E$1211:$AR$1211,'Dvd Calendar'!$H$1204)=0))&gt;0)=0,"",'Dvd Calendar'!$H$1204*1000000000+ISNUMBER('Dvd Calendar'!$H$1207)*100000000+('Dvd Calendar'!$H$1209=SPECIAL_LBL)*10000000+(N('Dvd Calendar'!$H$1203)&gt;0)*(N('Dvd Calendar'!$H$1203)&lt;=VAL_SERIAL)*1000000+9*1000+4))</f>
        <v/>
      </c>
      <c r="EI124" s="121">
        <f>IF(N('Dvd Calendar'!$I$1204)=0,"",IF(('Dvd Calendar'!$I$1204&gt;=GRID_FROM)*('Dvd Calendar'!$I$1204&lt;=GRID_TO)*((('Dvd Calendar'!$I$1204&lt;=VAL_DATE)+(COUNTIF('Dvd Calendar'!$E$1211:$AR$1211,'Dvd Calendar'!$I$1204)=0))&gt;0)=0,"",'Dvd Calendar'!$I$1204*1000000000+ISNUMBER('Dvd Calendar'!$I$1207)*100000000+('Dvd Calendar'!$I$1209=SPECIAL_LBL)*10000000+(N('Dvd Calendar'!$I$1203)&gt;0)*(N('Dvd Calendar'!$I$1203)&lt;=VAL_SERIAL)*1000000+9*1000+5))</f>
        <v/>
      </c>
      <c r="EJ124" s="121">
        <f>IF(N('Dvd Calendar'!$J$1204)=0,"",IF(('Dvd Calendar'!$J$1204&gt;=GRID_FROM)*('Dvd Calendar'!$J$1204&lt;=GRID_TO)*((('Dvd Calendar'!$J$1204&lt;=VAL_DATE)+(COUNTIF('Dvd Calendar'!$E$1211:$AR$1211,'Dvd Calendar'!$J$1204)=0))&gt;0)=0,"",'Dvd Calendar'!$J$1204*1000000000+ISNUMBER('Dvd Calendar'!$J$1207)*100000000+('Dvd Calendar'!$J$1209=SPECIAL_LBL)*10000000+(N('Dvd Calendar'!$J$1203)&gt;0)*(N('Dvd Calendar'!$J$1203)&lt;=VAL_SERIAL)*1000000+9*1000+6))</f>
        <v/>
      </c>
      <c r="EK124" s="121">
        <f>IF(N('Dvd Calendar'!$K$1204)=0,"",IF(('Dvd Calendar'!$K$1204&gt;=GRID_FROM)*('Dvd Calendar'!$K$1204&lt;=GRID_TO)*((('Dvd Calendar'!$K$1204&lt;=VAL_DATE)+(COUNTIF('Dvd Calendar'!$E$1211:$AR$1211,'Dvd Calendar'!$K$1204)=0))&gt;0)=0,"",'Dvd Calendar'!$K$1204*1000000000+ISNUMBER('Dvd Calendar'!$K$1207)*100000000+('Dvd Calendar'!$K$1209=SPECIAL_LBL)*10000000+(N('Dvd Calendar'!$K$1203)&gt;0)*(N('Dvd Calendar'!$K$1203)&lt;=VAL_SERIAL)*1000000+9*1000+7))</f>
        <v/>
      </c>
      <c r="EL124" s="121">
        <f>IF(N('Dvd Calendar'!$L$1204)=0,"",IF(('Dvd Calendar'!$L$1204&gt;=GRID_FROM)*('Dvd Calendar'!$L$1204&lt;=GRID_TO)*((('Dvd Calendar'!$L$1204&lt;=VAL_DATE)+(COUNTIF('Dvd Calendar'!$E$1211:$AR$1211,'Dvd Calendar'!$L$1204)=0))&gt;0)=0,"",'Dvd Calendar'!$L$1204*1000000000+ISNUMBER('Dvd Calendar'!$L$1207)*100000000+('Dvd Calendar'!$L$1209=SPECIAL_LBL)*10000000+(N('Dvd Calendar'!$L$1203)&gt;0)*(N('Dvd Calendar'!$L$1203)&lt;=VAL_SERIAL)*1000000+9*1000+8))</f>
        <v/>
      </c>
      <c r="EM124" s="121">
        <f>IF(N('Dvd Calendar'!$M$1204)=0,"",IF(('Dvd Calendar'!$M$1204&gt;=GRID_FROM)*('Dvd Calendar'!$M$1204&lt;=GRID_TO)*((('Dvd Calendar'!$M$1204&lt;=VAL_DATE)+(COUNTIF('Dvd Calendar'!$E$1211:$AR$1211,'Dvd Calendar'!$M$1204)=0))&gt;0)=0,"",'Dvd Calendar'!$M$1204*1000000000+ISNUMBER('Dvd Calendar'!$M$1207)*100000000+('Dvd Calendar'!$M$1209=SPECIAL_LBL)*10000000+(N('Dvd Calendar'!$M$1203)&gt;0)*(N('Dvd Calendar'!$M$1203)&lt;=VAL_SERIAL)*1000000+9*1000+9))</f>
        <v/>
      </c>
      <c r="EN124" s="121">
        <f>IF(N('Dvd Calendar'!$N$1204)=0,"",IF(('Dvd Calendar'!$N$1204&gt;=GRID_FROM)*('Dvd Calendar'!$N$1204&lt;=GRID_TO)*((('Dvd Calendar'!$N$1204&lt;=VAL_DATE)+(COUNTIF('Dvd Calendar'!$E$1211:$AR$1211,'Dvd Calendar'!$N$1204)=0))&gt;0)=0,"",'Dvd Calendar'!$N$1204*1000000000+ISNUMBER('Dvd Calendar'!$N$1207)*100000000+('Dvd Calendar'!$N$1209=SPECIAL_LBL)*10000000+(N('Dvd Calendar'!$N$1203)&gt;0)*(N('Dvd Calendar'!$N$1203)&lt;=VAL_SERIAL)*1000000+9*1000+10))</f>
        <v/>
      </c>
      <c r="EO124" s="121">
        <f>IF(N('Dvd Calendar'!$O$1204)=0,"",IF(('Dvd Calendar'!$O$1204&gt;=GRID_FROM)*('Dvd Calendar'!$O$1204&lt;=GRID_TO)*((('Dvd Calendar'!$O$1204&lt;=VAL_DATE)+(COUNTIF('Dvd Calendar'!$E$1211:$AR$1211,'Dvd Calendar'!$O$1204)=0))&gt;0)=0,"",'Dvd Calendar'!$O$1204*1000000000+ISNUMBER('Dvd Calendar'!$O$1207)*100000000+('Dvd Calendar'!$O$1209=SPECIAL_LBL)*10000000+(N('Dvd Calendar'!$O$1203)&gt;0)*(N('Dvd Calendar'!$O$1203)&lt;=VAL_SERIAL)*1000000+9*1000+11))</f>
        <v/>
      </c>
      <c r="EP124" s="121">
        <f>IF(N('Dvd Calendar'!$P$1204)=0,"",IF(('Dvd Calendar'!$P$1204&gt;=GRID_FROM)*('Dvd Calendar'!$P$1204&lt;=GRID_TO)*((('Dvd Calendar'!$P$1204&lt;=VAL_DATE)+(COUNTIF('Dvd Calendar'!$E$1211:$AR$1211,'Dvd Calendar'!$P$1204)=0))&gt;0)=0,"",'Dvd Calendar'!$P$1204*1000000000+ISNUMBER('Dvd Calendar'!$P$1207)*100000000+('Dvd Calendar'!$P$1209=SPECIAL_LBL)*10000000+(N('Dvd Calendar'!$P$1203)&gt;0)*(N('Dvd Calendar'!$P$1203)&lt;=VAL_SERIAL)*1000000+9*1000+12))</f>
        <v/>
      </c>
      <c r="EQ124" s="121">
        <f>IF(N('Dvd Calendar'!$Q$1204)=0,"",IF(('Dvd Calendar'!$Q$1204&gt;=GRID_FROM)*('Dvd Calendar'!$Q$1204&lt;=GRID_TO)*((('Dvd Calendar'!$Q$1204&lt;=VAL_DATE)+(COUNTIF('Dvd Calendar'!$E$1211:$AR$1211,'Dvd Calendar'!$Q$1204)=0))&gt;0)=0,"",'Dvd Calendar'!$Q$1204*1000000000+ISNUMBER('Dvd Calendar'!$Q$1207)*100000000+('Dvd Calendar'!$Q$1209=SPECIAL_LBL)*10000000+(N('Dvd Calendar'!$Q$1203)&gt;0)*(N('Dvd Calendar'!$Q$1203)&lt;=VAL_SERIAL)*1000000+9*1000+13))</f>
        <v/>
      </c>
      <c r="ER124" s="121">
        <f>IF(N('Dvd Calendar'!$R$1204)=0,"",IF(('Dvd Calendar'!$R$1204&gt;=GRID_FROM)*('Dvd Calendar'!$R$1204&lt;=GRID_TO)*((('Dvd Calendar'!$R$1204&lt;=VAL_DATE)+(COUNTIF('Dvd Calendar'!$E$1211:$AR$1211,'Dvd Calendar'!$R$1204)=0))&gt;0)=0,"",'Dvd Calendar'!$R$1204*1000000000+ISNUMBER('Dvd Calendar'!$R$1207)*100000000+('Dvd Calendar'!$R$1209=SPECIAL_LBL)*10000000+(N('Dvd Calendar'!$R$1203)&gt;0)*(N('Dvd Calendar'!$R$1203)&lt;=VAL_SERIAL)*1000000+9*1000+14))</f>
        <v/>
      </c>
      <c r="ES124" s="121">
        <f>IF(N('Dvd Calendar'!$S$1204)=0,"",IF(('Dvd Calendar'!$S$1204&gt;=GRID_FROM)*('Dvd Calendar'!$S$1204&lt;=GRID_TO)*((('Dvd Calendar'!$S$1204&lt;=VAL_DATE)+(COUNTIF('Dvd Calendar'!$E$1211:$AR$1211,'Dvd Calendar'!$S$1204)=0))&gt;0)=0,"",'Dvd Calendar'!$S$1204*1000000000+ISNUMBER('Dvd Calendar'!$S$1207)*100000000+('Dvd Calendar'!$S$1209=SPECIAL_LBL)*10000000+(N('Dvd Calendar'!$S$1203)&gt;0)*(N('Dvd Calendar'!$S$1203)&lt;=VAL_SERIAL)*1000000+9*1000+15))</f>
        <v/>
      </c>
      <c r="ET124" s="121">
        <f>IF(N('Dvd Calendar'!$T$1204)=0,"",IF(('Dvd Calendar'!$T$1204&gt;=GRID_FROM)*('Dvd Calendar'!$T$1204&lt;=GRID_TO)*((('Dvd Calendar'!$T$1204&lt;=VAL_DATE)+(COUNTIF('Dvd Calendar'!$E$1211:$AR$1211,'Dvd Calendar'!$T$1204)=0))&gt;0)=0,"",'Dvd Calendar'!$T$1204*1000000000+ISNUMBER('Dvd Calendar'!$T$1207)*100000000+('Dvd Calendar'!$T$1209=SPECIAL_LBL)*10000000+(N('Dvd Calendar'!$T$1203)&gt;0)*(N('Dvd Calendar'!$T$1203)&lt;=VAL_SERIAL)*1000000+9*1000+16))</f>
        <v/>
      </c>
      <c r="EU124" s="121">
        <f>IF(N('Dvd Calendar'!$U$1204)=0,"",IF(('Dvd Calendar'!$U$1204&gt;=GRID_FROM)*('Dvd Calendar'!$U$1204&lt;=GRID_TO)*((('Dvd Calendar'!$U$1204&lt;=VAL_DATE)+(COUNTIF('Dvd Calendar'!$E$1211:$AR$1211,'Dvd Calendar'!$U$1204)=0))&gt;0)=0,"",'Dvd Calendar'!$U$1204*1000000000+ISNUMBER('Dvd Calendar'!$U$1207)*100000000+('Dvd Calendar'!$U$1209=SPECIAL_LBL)*10000000+(N('Dvd Calendar'!$U$1203)&gt;0)*(N('Dvd Calendar'!$U$1203)&lt;=VAL_SERIAL)*1000000+9*1000+17))</f>
        <v/>
      </c>
      <c r="EV124" s="121">
        <f>IF(N('Dvd Calendar'!$V$1204)=0,"",IF(('Dvd Calendar'!$V$1204&gt;=GRID_FROM)*('Dvd Calendar'!$V$1204&lt;=GRID_TO)*((('Dvd Calendar'!$V$1204&lt;=VAL_DATE)+(COUNTIF('Dvd Calendar'!$E$1211:$AR$1211,'Dvd Calendar'!$V$1204)=0))&gt;0)=0,"",'Dvd Calendar'!$V$1204*1000000000+ISNUMBER('Dvd Calendar'!$V$1207)*100000000+('Dvd Calendar'!$V$1209=SPECIAL_LBL)*10000000+(N('Dvd Calendar'!$V$1203)&gt;0)*(N('Dvd Calendar'!$V$1203)&lt;=VAL_SERIAL)*1000000+9*1000+18))</f>
        <v/>
      </c>
      <c r="EW124" s="121">
        <f>IF(N('Dvd Calendar'!$W$1204)=0,"",IF(('Dvd Calendar'!$W$1204&gt;=GRID_FROM)*('Dvd Calendar'!$W$1204&lt;=GRID_TO)*((('Dvd Calendar'!$W$1204&lt;=VAL_DATE)+(COUNTIF('Dvd Calendar'!$E$1211:$AR$1211,'Dvd Calendar'!$W$1204)=0))&gt;0)=0,"",'Dvd Calendar'!$W$1204*1000000000+ISNUMBER('Dvd Calendar'!$W$1207)*100000000+('Dvd Calendar'!$W$1209=SPECIAL_LBL)*10000000+(N('Dvd Calendar'!$W$1203)&gt;0)*(N('Dvd Calendar'!$W$1203)&lt;=VAL_SERIAL)*1000000+9*1000+19))</f>
        <v/>
      </c>
      <c r="EX124" s="121">
        <f>IF(N('Dvd Calendar'!$X$1204)=0,"",IF(('Dvd Calendar'!$X$1204&gt;=GRID_FROM)*('Dvd Calendar'!$X$1204&lt;=GRID_TO)*((('Dvd Calendar'!$X$1204&lt;=VAL_DATE)+(COUNTIF('Dvd Calendar'!$E$1211:$AR$1211,'Dvd Calendar'!$X$1204)=0))&gt;0)=0,"",'Dvd Calendar'!$X$1204*1000000000+ISNUMBER('Dvd Calendar'!$X$1207)*100000000+('Dvd Calendar'!$X$1209=SPECIAL_LBL)*10000000+(N('Dvd Calendar'!$X$1203)&gt;0)*(N('Dvd Calendar'!$X$1203)&lt;=VAL_SERIAL)*1000000+9*1000+20))</f>
        <v/>
      </c>
      <c r="EY124" s="121">
        <f>IF(N('Dvd Calendar'!$Y$1204)=0,"",IF(('Dvd Calendar'!$Y$1204&gt;=GRID_FROM)*('Dvd Calendar'!$Y$1204&lt;=GRID_TO)*((('Dvd Calendar'!$Y$1204&lt;=VAL_DATE)+(COUNTIF('Dvd Calendar'!$E$1211:$AR$1211,'Dvd Calendar'!$Y$1204)=0))&gt;0)=0,"",'Dvd Calendar'!$Y$1204*1000000000+ISNUMBER('Dvd Calendar'!$Y$1207)*100000000+('Dvd Calendar'!$Y$1209=SPECIAL_LBL)*10000000+(N('Dvd Calendar'!$Y$1203)&gt;0)*(N('Dvd Calendar'!$Y$1203)&lt;=VAL_SERIAL)*1000000+9*1000+21))</f>
        <v/>
      </c>
      <c r="EZ124" s="121">
        <f>IF(N('Dvd Calendar'!$Z$1204)=0,"",IF(('Dvd Calendar'!$Z$1204&gt;=GRID_FROM)*('Dvd Calendar'!$Z$1204&lt;=GRID_TO)*((('Dvd Calendar'!$Z$1204&lt;=VAL_DATE)+(COUNTIF('Dvd Calendar'!$E$1211:$AR$1211,'Dvd Calendar'!$Z$1204)=0))&gt;0)=0,"",'Dvd Calendar'!$Z$1204*1000000000+ISNUMBER('Dvd Calendar'!$Z$1207)*100000000+('Dvd Calendar'!$Z$1209=SPECIAL_LBL)*10000000+(N('Dvd Calendar'!$Z$1203)&gt;0)*(N('Dvd Calendar'!$Z$1203)&lt;=VAL_SERIAL)*1000000+9*1000+22))</f>
        <v/>
      </c>
      <c r="FA124" s="121">
        <f>IF(N('Dvd Calendar'!$AA$1204)=0,"",IF(('Dvd Calendar'!$AA$1204&gt;=GRID_FROM)*('Dvd Calendar'!$AA$1204&lt;=GRID_TO)*((('Dvd Calendar'!$AA$1204&lt;=VAL_DATE)+(COUNTIF('Dvd Calendar'!$E$1211:$AR$1211,'Dvd Calendar'!$AA$1204)=0))&gt;0)=0,"",'Dvd Calendar'!$AA$1204*1000000000+ISNUMBER('Dvd Calendar'!$AA$1207)*100000000+('Dvd Calendar'!$AA$1209=SPECIAL_LBL)*10000000+(N('Dvd Calendar'!$AA$1203)&gt;0)*(N('Dvd Calendar'!$AA$1203)&lt;=VAL_SERIAL)*1000000+9*1000+23))</f>
        <v/>
      </c>
      <c r="FB124" s="121">
        <f>IF(N('Dvd Calendar'!$AB$1204)=0,"",IF(('Dvd Calendar'!$AB$1204&gt;=GRID_FROM)*('Dvd Calendar'!$AB$1204&lt;=GRID_TO)*((('Dvd Calendar'!$AB$1204&lt;=VAL_DATE)+(COUNTIF('Dvd Calendar'!$E$1211:$AR$1211,'Dvd Calendar'!$AB$1204)=0))&gt;0)=0,"",'Dvd Calendar'!$AB$1204*1000000000+ISNUMBER('Dvd Calendar'!$AB$1207)*100000000+('Dvd Calendar'!$AB$1209=SPECIAL_LBL)*10000000+(N('Dvd Calendar'!$AB$1203)&gt;0)*(N('Dvd Calendar'!$AB$1203)&lt;=VAL_SERIAL)*1000000+9*1000+24))</f>
        <v/>
      </c>
      <c r="FC124" s="121">
        <f>IF(N('Dvd Calendar'!$AC$1204)=0,"",IF(('Dvd Calendar'!$AC$1204&gt;=GRID_FROM)*('Dvd Calendar'!$AC$1204&lt;=GRID_TO)*((('Dvd Calendar'!$AC$1204&lt;=VAL_DATE)+(COUNTIF('Dvd Calendar'!$E$1211:$AR$1211,'Dvd Calendar'!$AC$1204)=0))&gt;0)=0,"",'Dvd Calendar'!$AC$1204*1000000000+ISNUMBER('Dvd Calendar'!$AC$1207)*100000000+('Dvd Calendar'!$AC$1209=SPECIAL_LBL)*10000000+(N('Dvd Calendar'!$AC$1203)&gt;0)*(N('Dvd Calendar'!$AC$1203)&lt;=VAL_SERIAL)*1000000+9*1000+25))</f>
        <v/>
      </c>
      <c r="FD124" s="121">
        <f>IF(N('Dvd Calendar'!$AD$1204)=0,"",IF(('Dvd Calendar'!$AD$1204&gt;=GRID_FROM)*('Dvd Calendar'!$AD$1204&lt;=GRID_TO)*((('Dvd Calendar'!$AD$1204&lt;=VAL_DATE)+(COUNTIF('Dvd Calendar'!$E$1211:$AR$1211,'Dvd Calendar'!$AD$1204)=0))&gt;0)=0,"",'Dvd Calendar'!$AD$1204*1000000000+ISNUMBER('Dvd Calendar'!$AD$1207)*100000000+('Dvd Calendar'!$AD$1209=SPECIAL_LBL)*10000000+(N('Dvd Calendar'!$AD$1203)&gt;0)*(N('Dvd Calendar'!$AD$1203)&lt;=VAL_SERIAL)*1000000+9*1000+26))</f>
        <v/>
      </c>
      <c r="FE124" s="121">
        <f>IF(N('Dvd Calendar'!$AE$1204)=0,"",IF(('Dvd Calendar'!$AE$1204&gt;=GRID_FROM)*('Dvd Calendar'!$AE$1204&lt;=GRID_TO)*((('Dvd Calendar'!$AE$1204&lt;=VAL_DATE)+(COUNTIF('Dvd Calendar'!$E$1211:$AR$1211,'Dvd Calendar'!$AE$1204)=0))&gt;0)=0,"",'Dvd Calendar'!$AE$1204*1000000000+ISNUMBER('Dvd Calendar'!$AE$1207)*100000000+('Dvd Calendar'!$AE$1209=SPECIAL_LBL)*10000000+(N('Dvd Calendar'!$AE$1203)&gt;0)*(N('Dvd Calendar'!$AE$1203)&lt;=VAL_SERIAL)*1000000+9*1000+27))</f>
        <v/>
      </c>
      <c r="FF124" s="121">
        <f>IF(N('Dvd Calendar'!$AF$1204)=0,"",IF(('Dvd Calendar'!$AF$1204&gt;=GRID_FROM)*('Dvd Calendar'!$AF$1204&lt;=GRID_TO)*((('Dvd Calendar'!$AF$1204&lt;=VAL_DATE)+(COUNTIF('Dvd Calendar'!$E$1211:$AR$1211,'Dvd Calendar'!$AF$1204)=0))&gt;0)=0,"",'Dvd Calendar'!$AF$1204*1000000000+ISNUMBER('Dvd Calendar'!$AF$1207)*100000000+('Dvd Calendar'!$AF$1209=SPECIAL_LBL)*10000000+(N('Dvd Calendar'!$AF$1203)&gt;0)*(N('Dvd Calendar'!$AF$1203)&lt;=VAL_SERIAL)*1000000+9*1000+28))</f>
        <v/>
      </c>
      <c r="FG124" s="121">
        <f>IF(N('Dvd Calendar'!$AG$1204)=0,"",IF(('Dvd Calendar'!$AG$1204&gt;=GRID_FROM)*('Dvd Calendar'!$AG$1204&lt;=GRID_TO)*((('Dvd Calendar'!$AG$1204&lt;=VAL_DATE)+(COUNTIF('Dvd Calendar'!$E$1211:$AR$1211,'Dvd Calendar'!$AG$1204)=0))&gt;0)=0,"",'Dvd Calendar'!$AG$1204*1000000000+ISNUMBER('Dvd Calendar'!$AG$1207)*100000000+('Dvd Calendar'!$AG$1209=SPECIAL_LBL)*10000000+(N('Dvd Calendar'!$AG$1203)&gt;0)*(N('Dvd Calendar'!$AG$1203)&lt;=VAL_SERIAL)*1000000+9*1000+29))</f>
        <v/>
      </c>
      <c r="FH124" s="121">
        <f>IF(N('Dvd Calendar'!$AH$1204)=0,"",IF(('Dvd Calendar'!$AH$1204&gt;=GRID_FROM)*('Dvd Calendar'!$AH$1204&lt;=GRID_TO)*((('Dvd Calendar'!$AH$1204&lt;=VAL_DATE)+(COUNTIF('Dvd Calendar'!$E$1211:$AR$1211,'Dvd Calendar'!$AH$1204)=0))&gt;0)=0,"",'Dvd Calendar'!$AH$1204*1000000000+ISNUMBER('Dvd Calendar'!$AH$1207)*100000000+('Dvd Calendar'!$AH$1209=SPECIAL_LBL)*10000000+(N('Dvd Calendar'!$AH$1203)&gt;0)*(N('Dvd Calendar'!$AH$1203)&lt;=VAL_SERIAL)*1000000+9*1000+30))</f>
        <v/>
      </c>
      <c r="FI124" s="121">
        <f>IF(N('Dvd Calendar'!$AI$1204)=0,"",IF(('Dvd Calendar'!$AI$1204&gt;=GRID_FROM)*('Dvd Calendar'!$AI$1204&lt;=GRID_TO)*((('Dvd Calendar'!$AI$1204&lt;=VAL_DATE)+(COUNTIF('Dvd Calendar'!$E$1211:$AR$1211,'Dvd Calendar'!$AI$1204)=0))&gt;0)=0,"",'Dvd Calendar'!$AI$1204*1000000000+ISNUMBER('Dvd Calendar'!$AI$1207)*100000000+('Dvd Calendar'!$AI$1209=SPECIAL_LBL)*10000000+(N('Dvd Calendar'!$AI$1203)&gt;0)*(N('Dvd Calendar'!$AI$1203)&lt;=VAL_SERIAL)*1000000+9*1000+31))</f>
        <v/>
      </c>
      <c r="FJ124" s="121">
        <f>IF(N('Dvd Calendar'!$AJ$1204)=0,"",IF(('Dvd Calendar'!$AJ$1204&gt;=GRID_FROM)*('Dvd Calendar'!$AJ$1204&lt;=GRID_TO)*((('Dvd Calendar'!$AJ$1204&lt;=VAL_DATE)+(COUNTIF('Dvd Calendar'!$E$1211:$AR$1211,'Dvd Calendar'!$AJ$1204)=0))&gt;0)=0,"",'Dvd Calendar'!$AJ$1204*1000000000+ISNUMBER('Dvd Calendar'!$AJ$1207)*100000000+('Dvd Calendar'!$AJ$1209=SPECIAL_LBL)*10000000+(N('Dvd Calendar'!$AJ$1203)&gt;0)*(N('Dvd Calendar'!$AJ$1203)&lt;=VAL_SERIAL)*1000000+9*1000+32))</f>
        <v/>
      </c>
      <c r="FK124" s="121">
        <f>IF(N('Dvd Calendar'!$AK$1204)=0,"",IF(('Dvd Calendar'!$AK$1204&gt;=GRID_FROM)*('Dvd Calendar'!$AK$1204&lt;=GRID_TO)*((('Dvd Calendar'!$AK$1204&lt;=VAL_DATE)+(COUNTIF('Dvd Calendar'!$E$1211:$AR$1211,'Dvd Calendar'!$AK$1204)=0))&gt;0)=0,"",'Dvd Calendar'!$AK$1204*1000000000+ISNUMBER('Dvd Calendar'!$AK$1207)*100000000+('Dvd Calendar'!$AK$1209=SPECIAL_LBL)*10000000+(N('Dvd Calendar'!$AK$1203)&gt;0)*(N('Dvd Calendar'!$AK$1203)&lt;=VAL_SERIAL)*1000000+9*1000+33))</f>
        <v/>
      </c>
      <c r="FL124" s="121">
        <f>IF(N('Dvd Calendar'!$AL$1204)=0,"",IF(('Dvd Calendar'!$AL$1204&gt;=GRID_FROM)*('Dvd Calendar'!$AL$1204&lt;=GRID_TO)*((('Dvd Calendar'!$AL$1204&lt;=VAL_DATE)+(COUNTIF('Dvd Calendar'!$E$1211:$AR$1211,'Dvd Calendar'!$AL$1204)=0))&gt;0)=0,"",'Dvd Calendar'!$AL$1204*1000000000+ISNUMBER('Dvd Calendar'!$AL$1207)*100000000+('Dvd Calendar'!$AL$1209=SPECIAL_LBL)*10000000+(N('Dvd Calendar'!$AL$1203)&gt;0)*(N('Dvd Calendar'!$AL$1203)&lt;=VAL_SERIAL)*1000000+9*1000+34))</f>
        <v/>
      </c>
      <c r="FM124" s="121">
        <f>IF(N('Dvd Calendar'!$AM$1204)=0,"",IF(('Dvd Calendar'!$AM$1204&gt;=GRID_FROM)*('Dvd Calendar'!$AM$1204&lt;=GRID_TO)*((('Dvd Calendar'!$AM$1204&lt;=VAL_DATE)+(COUNTIF('Dvd Calendar'!$E$1211:$AR$1211,'Dvd Calendar'!$AM$1204)=0))&gt;0)=0,"",'Dvd Calendar'!$AM$1204*1000000000+ISNUMBER('Dvd Calendar'!$AM$1207)*100000000+('Dvd Calendar'!$AM$1209=SPECIAL_LBL)*10000000+(N('Dvd Calendar'!$AM$1203)&gt;0)*(N('Dvd Calendar'!$AM$1203)&lt;=VAL_SERIAL)*1000000+9*1000+35))</f>
        <v/>
      </c>
      <c r="FN124" s="121">
        <f>IF(N('Dvd Calendar'!$AN$1204)=0,"",IF(('Dvd Calendar'!$AN$1204&gt;=GRID_FROM)*('Dvd Calendar'!$AN$1204&lt;=GRID_TO)*((('Dvd Calendar'!$AN$1204&lt;=VAL_DATE)+(COUNTIF('Dvd Calendar'!$E$1211:$AR$1211,'Dvd Calendar'!$AN$1204)=0))&gt;0)=0,"",'Dvd Calendar'!$AN$1204*1000000000+ISNUMBER('Dvd Calendar'!$AN$1207)*100000000+('Dvd Calendar'!$AN$1209=SPECIAL_LBL)*10000000+(N('Dvd Calendar'!$AN$1203)&gt;0)*(N('Dvd Calendar'!$AN$1203)&lt;=VAL_SERIAL)*1000000+9*1000+36))</f>
        <v/>
      </c>
      <c r="FO124" s="121">
        <f>IF(N('Dvd Calendar'!$AO$1204)=0,"",IF(('Dvd Calendar'!$AO$1204&gt;=GRID_FROM)*('Dvd Calendar'!$AO$1204&lt;=GRID_TO)*((('Dvd Calendar'!$AO$1204&lt;=VAL_DATE)+(COUNTIF('Dvd Calendar'!$E$1211:$AR$1211,'Dvd Calendar'!$AO$1204)=0))&gt;0)=0,"",'Dvd Calendar'!$AO$1204*1000000000+ISNUMBER('Dvd Calendar'!$AO$1207)*100000000+('Dvd Calendar'!$AO$1209=SPECIAL_LBL)*10000000+(N('Dvd Calendar'!$AO$1203)&gt;0)*(N('Dvd Calendar'!$AO$1203)&lt;=VAL_SERIAL)*1000000+9*1000+37))</f>
        <v/>
      </c>
      <c r="FP124" s="121">
        <f>IF(N('Dvd Calendar'!$AP$1204)=0,"",IF(('Dvd Calendar'!$AP$1204&gt;=GRID_FROM)*('Dvd Calendar'!$AP$1204&lt;=GRID_TO)*((('Dvd Calendar'!$AP$1204&lt;=VAL_DATE)+(COUNTIF('Dvd Calendar'!$E$1211:$AR$1211,'Dvd Calendar'!$AP$1204)=0))&gt;0)=0,"",'Dvd Calendar'!$AP$1204*1000000000+ISNUMBER('Dvd Calendar'!$AP$1207)*100000000+('Dvd Calendar'!$AP$1209=SPECIAL_LBL)*10000000+(N('Dvd Calendar'!$AP$1203)&gt;0)*(N('Dvd Calendar'!$AP$1203)&lt;=VAL_SERIAL)*1000000+9*1000+38))</f>
        <v/>
      </c>
      <c r="FQ124" s="121">
        <f>IF(N('Dvd Calendar'!$AQ$1204)=0,"",IF(('Dvd Calendar'!$AQ$1204&gt;=GRID_FROM)*('Dvd Calendar'!$AQ$1204&lt;=GRID_TO)*((('Dvd Calendar'!$AQ$1204&lt;=VAL_DATE)+(COUNTIF('Dvd Calendar'!$E$1211:$AR$1211,'Dvd Calendar'!$AQ$1204)=0))&gt;0)=0,"",'Dvd Calendar'!$AQ$1204*1000000000+ISNUMBER('Dvd Calendar'!$AQ$1207)*100000000+('Dvd Calendar'!$AQ$1209=SPECIAL_LBL)*10000000+(N('Dvd Calendar'!$AQ$1203)&gt;0)*(N('Dvd Calendar'!$AQ$1203)&lt;=VAL_SERIAL)*1000000+9*1000+39))</f>
        <v/>
      </c>
      <c r="FR124" s="121">
        <f>IF(N('Dvd Calendar'!$AR$1204)=0,"",IF(('Dvd Calendar'!$AR$1204&gt;=GRID_FROM)*('Dvd Calendar'!$AR$1204&lt;=GRID_TO)*((('Dvd Calendar'!$AR$1204&lt;=VAL_DATE)+(COUNTIF('Dvd Calendar'!$E$1211:$AR$1211,'Dvd Calendar'!$AR$1204)=0))&gt;0)=0,"",'Dvd Calendar'!$AR$1204*1000000000+ISNUMBER('Dvd Calendar'!$AR$1207)*100000000+('Dvd Calendar'!$AR$1209=SPECIAL_LBL)*10000000+(N('Dvd Calendar'!$AR$1203)&gt;0)*(N('Dvd Calendar'!$AR$1203)&lt;=VAL_SERIAL)*1000000+9*1000+40))</f>
        <v/>
      </c>
      <c r="FS124" s="121">
        <f>IF(N('Dvd Calendar'!$E$1211)=0,"",IF(('Dvd Calendar'!$E$1211&gt;=GRID_FROM)*('Dvd Calendar'!$E$1211&lt;=GRID_TO)*('Dvd Calendar'!$E$1211&gt;VAL_DATE)=0,"",'Dvd Calendar'!$E$1211*1000000000+ISNUMBER('Dvd Calendar'!$E$1212)*100000000+0*10000000+(N('Dvd Calendar'!$E$1210)&gt;0)*(N('Dvd Calendar'!$E$1210)&lt;=VAL_SERIAL)*1000000+9*1000+41))</f>
        <v/>
      </c>
      <c r="FT124" s="121">
        <f>IF(N('Dvd Calendar'!$F$1211)=0,"",IF(('Dvd Calendar'!$F$1211&gt;=GRID_FROM)*('Dvd Calendar'!$F$1211&lt;=GRID_TO)*('Dvd Calendar'!$F$1211&gt;VAL_DATE)=0,"",'Dvd Calendar'!$F$1211*1000000000+ISNUMBER('Dvd Calendar'!$F$1212)*100000000+0*10000000+(N('Dvd Calendar'!$F$1210)&gt;0)*(N('Dvd Calendar'!$F$1210)&lt;=VAL_SERIAL)*1000000+9*1000+42))</f>
        <v/>
      </c>
      <c r="FU124" s="121">
        <f>IF(N('Dvd Calendar'!$G$1211)=0,"",IF(('Dvd Calendar'!$G$1211&gt;=GRID_FROM)*('Dvd Calendar'!$G$1211&lt;=GRID_TO)*('Dvd Calendar'!$G$1211&gt;VAL_DATE)=0,"",'Dvd Calendar'!$G$1211*1000000000+ISNUMBER('Dvd Calendar'!$G$1212)*100000000+0*10000000+(N('Dvd Calendar'!$G$1210)&gt;0)*(N('Dvd Calendar'!$G$1210)&lt;=VAL_SERIAL)*1000000+9*1000+43))</f>
        <v/>
      </c>
      <c r="FV124" s="121">
        <f>IF(N('Dvd Calendar'!$H$1211)=0,"",IF(('Dvd Calendar'!$H$1211&gt;=GRID_FROM)*('Dvd Calendar'!$H$1211&lt;=GRID_TO)*('Dvd Calendar'!$H$1211&gt;VAL_DATE)=0,"",'Dvd Calendar'!$H$1211*1000000000+ISNUMBER('Dvd Calendar'!$H$1212)*100000000+0*10000000+(N('Dvd Calendar'!$H$1210)&gt;0)*(N('Dvd Calendar'!$H$1210)&lt;=VAL_SERIAL)*1000000+9*1000+44))</f>
        <v/>
      </c>
      <c r="FW124" s="121">
        <f>IF(N('Dvd Calendar'!$I$1211)=0,"",IF(('Dvd Calendar'!$I$1211&gt;=GRID_FROM)*('Dvd Calendar'!$I$1211&lt;=GRID_TO)*('Dvd Calendar'!$I$1211&gt;VAL_DATE)=0,"",'Dvd Calendar'!$I$1211*1000000000+ISNUMBER('Dvd Calendar'!$I$1212)*100000000+0*10000000+(N('Dvd Calendar'!$I$1210)&gt;0)*(N('Dvd Calendar'!$I$1210)&lt;=VAL_SERIAL)*1000000+9*1000+45))</f>
        <v/>
      </c>
      <c r="FX124" s="121">
        <f>IF(N('Dvd Calendar'!$J$1211)=0,"",IF(('Dvd Calendar'!$J$1211&gt;=GRID_FROM)*('Dvd Calendar'!$J$1211&lt;=GRID_TO)*('Dvd Calendar'!$J$1211&gt;VAL_DATE)=0,"",'Dvd Calendar'!$J$1211*1000000000+ISNUMBER('Dvd Calendar'!$J$1212)*100000000+0*10000000+(N('Dvd Calendar'!$J$1210)&gt;0)*(N('Dvd Calendar'!$J$1210)&lt;=VAL_SERIAL)*1000000+9*1000+46))</f>
        <v/>
      </c>
      <c r="FY124" s="121">
        <f>IF(N('Dvd Calendar'!$K$1211)=0,"",IF(('Dvd Calendar'!$K$1211&gt;=GRID_FROM)*('Dvd Calendar'!$K$1211&lt;=GRID_TO)*('Dvd Calendar'!$K$1211&gt;VAL_DATE)=0,"",'Dvd Calendar'!$K$1211*1000000000+ISNUMBER('Dvd Calendar'!$K$1212)*100000000+0*10000000+(N('Dvd Calendar'!$K$1210)&gt;0)*(N('Dvd Calendar'!$K$1210)&lt;=VAL_SERIAL)*1000000+9*1000+47))</f>
        <v/>
      </c>
      <c r="FZ124" s="121">
        <f>IF(N('Dvd Calendar'!$L$1211)=0,"",IF(('Dvd Calendar'!$L$1211&gt;=GRID_FROM)*('Dvd Calendar'!$L$1211&lt;=GRID_TO)*('Dvd Calendar'!$L$1211&gt;VAL_DATE)=0,"",'Dvd Calendar'!$L$1211*1000000000+ISNUMBER('Dvd Calendar'!$L$1212)*100000000+0*10000000+(N('Dvd Calendar'!$L$1210)&gt;0)*(N('Dvd Calendar'!$L$1210)&lt;=VAL_SERIAL)*1000000+9*1000+48))</f>
        <v/>
      </c>
      <c r="GA124" s="121">
        <f>IF(N('Dvd Calendar'!$M$1211)=0,"",IF(('Dvd Calendar'!$M$1211&gt;=GRID_FROM)*('Dvd Calendar'!$M$1211&lt;=GRID_TO)*('Dvd Calendar'!$M$1211&gt;VAL_DATE)=0,"",'Dvd Calendar'!$M$1211*1000000000+ISNUMBER('Dvd Calendar'!$M$1212)*100000000+0*10000000+(N('Dvd Calendar'!$M$1210)&gt;0)*(N('Dvd Calendar'!$M$1210)&lt;=VAL_SERIAL)*1000000+9*1000+49))</f>
        <v/>
      </c>
      <c r="GB124" s="121">
        <f>IF(N('Dvd Calendar'!$N$1211)=0,"",IF(('Dvd Calendar'!$N$1211&gt;=GRID_FROM)*('Dvd Calendar'!$N$1211&lt;=GRID_TO)*('Dvd Calendar'!$N$1211&gt;VAL_DATE)=0,"",'Dvd Calendar'!$N$1211*1000000000+ISNUMBER('Dvd Calendar'!$N$1212)*100000000+0*10000000+(N('Dvd Calendar'!$N$1210)&gt;0)*(N('Dvd Calendar'!$N$1210)&lt;=VAL_SERIAL)*1000000+9*1000+50))</f>
        <v/>
      </c>
      <c r="GC124" s="121">
        <f>IF(N('Dvd Calendar'!$O$1211)=0,"",IF(('Dvd Calendar'!$O$1211&gt;=GRID_FROM)*('Dvd Calendar'!$O$1211&lt;=GRID_TO)*('Dvd Calendar'!$O$1211&gt;VAL_DATE)=0,"",'Dvd Calendar'!$O$1211*1000000000+ISNUMBER('Dvd Calendar'!$O$1212)*100000000+0*10000000+(N('Dvd Calendar'!$O$1210)&gt;0)*(N('Dvd Calendar'!$O$1210)&lt;=VAL_SERIAL)*1000000+9*1000+51))</f>
        <v/>
      </c>
      <c r="GD124" s="121">
        <f>IF(N('Dvd Calendar'!$P$1211)=0,"",IF(('Dvd Calendar'!$P$1211&gt;=GRID_FROM)*('Dvd Calendar'!$P$1211&lt;=GRID_TO)*('Dvd Calendar'!$P$1211&gt;VAL_DATE)=0,"",'Dvd Calendar'!$P$1211*1000000000+ISNUMBER('Dvd Calendar'!$P$1212)*100000000+0*10000000+(N('Dvd Calendar'!$P$1210)&gt;0)*(N('Dvd Calendar'!$P$1210)&lt;=VAL_SERIAL)*1000000+9*1000+52))</f>
        <v/>
      </c>
      <c r="GE124" s="121">
        <f>IF(N('Dvd Calendar'!$Q$1211)=0,"",IF(('Dvd Calendar'!$Q$1211&gt;=GRID_FROM)*('Dvd Calendar'!$Q$1211&lt;=GRID_TO)*('Dvd Calendar'!$Q$1211&gt;VAL_DATE)=0,"",'Dvd Calendar'!$Q$1211*1000000000+ISNUMBER('Dvd Calendar'!$Q$1212)*100000000+0*10000000+(N('Dvd Calendar'!$Q$1210)&gt;0)*(N('Dvd Calendar'!$Q$1210)&lt;=VAL_SERIAL)*1000000+9*1000+53))</f>
        <v/>
      </c>
      <c r="GF124" s="121">
        <f>IF(N('Dvd Calendar'!$R$1211)=0,"",IF(('Dvd Calendar'!$R$1211&gt;=GRID_FROM)*('Dvd Calendar'!$R$1211&lt;=GRID_TO)*('Dvd Calendar'!$R$1211&gt;VAL_DATE)=0,"",'Dvd Calendar'!$R$1211*1000000000+ISNUMBER('Dvd Calendar'!$R$1212)*100000000+0*10000000+(N('Dvd Calendar'!$R$1210)&gt;0)*(N('Dvd Calendar'!$R$1210)&lt;=VAL_SERIAL)*1000000+9*1000+54))</f>
        <v/>
      </c>
      <c r="GG124" s="121">
        <f>IF(N('Dvd Calendar'!$S$1211)=0,"",IF(('Dvd Calendar'!$S$1211&gt;=GRID_FROM)*('Dvd Calendar'!$S$1211&lt;=GRID_TO)*('Dvd Calendar'!$S$1211&gt;VAL_DATE)=0,"",'Dvd Calendar'!$S$1211*1000000000+ISNUMBER('Dvd Calendar'!$S$1212)*100000000+0*10000000+(N('Dvd Calendar'!$S$1210)&gt;0)*(N('Dvd Calendar'!$S$1210)&lt;=VAL_SERIAL)*1000000+9*1000+55))</f>
        <v/>
      </c>
      <c r="GH124" s="121">
        <f>IF(N('Dvd Calendar'!$T$1211)=0,"",IF(('Dvd Calendar'!$T$1211&gt;=GRID_FROM)*('Dvd Calendar'!$T$1211&lt;=GRID_TO)*('Dvd Calendar'!$T$1211&gt;VAL_DATE)=0,"",'Dvd Calendar'!$T$1211*1000000000+ISNUMBER('Dvd Calendar'!$T$1212)*100000000+0*10000000+(N('Dvd Calendar'!$T$1210)&gt;0)*(N('Dvd Calendar'!$T$1210)&lt;=VAL_SERIAL)*1000000+9*1000+56))</f>
        <v/>
      </c>
      <c r="GI124" s="121">
        <f>IF(N('Dvd Calendar'!$U$1211)=0,"",IF(('Dvd Calendar'!$U$1211&gt;=GRID_FROM)*('Dvd Calendar'!$U$1211&lt;=GRID_TO)*('Dvd Calendar'!$U$1211&gt;VAL_DATE)=0,"",'Dvd Calendar'!$U$1211*1000000000+ISNUMBER('Dvd Calendar'!$U$1212)*100000000+0*10000000+(N('Dvd Calendar'!$U$1210)&gt;0)*(N('Dvd Calendar'!$U$1210)&lt;=VAL_SERIAL)*1000000+9*1000+57))</f>
        <v/>
      </c>
      <c r="GJ124" s="121">
        <f>IF(N('Dvd Calendar'!$V$1211)=0,"",IF(('Dvd Calendar'!$V$1211&gt;=GRID_FROM)*('Dvd Calendar'!$V$1211&lt;=GRID_TO)*('Dvd Calendar'!$V$1211&gt;VAL_DATE)=0,"",'Dvd Calendar'!$V$1211*1000000000+ISNUMBER('Dvd Calendar'!$V$1212)*100000000+0*10000000+(N('Dvd Calendar'!$V$1210)&gt;0)*(N('Dvd Calendar'!$V$1210)&lt;=VAL_SERIAL)*1000000+9*1000+58))</f>
        <v/>
      </c>
      <c r="GK124" s="121">
        <f>IF(N('Dvd Calendar'!$W$1211)=0,"",IF(('Dvd Calendar'!$W$1211&gt;=GRID_FROM)*('Dvd Calendar'!$W$1211&lt;=GRID_TO)*('Dvd Calendar'!$W$1211&gt;VAL_DATE)=0,"",'Dvd Calendar'!$W$1211*1000000000+ISNUMBER('Dvd Calendar'!$W$1212)*100000000+0*10000000+(N('Dvd Calendar'!$W$1210)&gt;0)*(N('Dvd Calendar'!$W$1210)&lt;=VAL_SERIAL)*1000000+9*1000+59))</f>
        <v/>
      </c>
      <c r="GL124" s="121">
        <f>IF(N('Dvd Calendar'!$X$1211)=0,"",IF(('Dvd Calendar'!$X$1211&gt;=GRID_FROM)*('Dvd Calendar'!$X$1211&lt;=GRID_TO)*('Dvd Calendar'!$X$1211&gt;VAL_DATE)=0,"",'Dvd Calendar'!$X$1211*1000000000+ISNUMBER('Dvd Calendar'!$X$1212)*100000000+0*10000000+(N('Dvd Calendar'!$X$1210)&gt;0)*(N('Dvd Calendar'!$X$1210)&lt;=VAL_SERIAL)*1000000+9*1000+60))</f>
        <v/>
      </c>
      <c r="GM124" s="121">
        <f>IF(N('Dvd Calendar'!$Y$1211)=0,"",IF(('Dvd Calendar'!$Y$1211&gt;=GRID_FROM)*('Dvd Calendar'!$Y$1211&lt;=GRID_TO)*('Dvd Calendar'!$Y$1211&gt;VAL_DATE)=0,"",'Dvd Calendar'!$Y$1211*1000000000+ISNUMBER('Dvd Calendar'!$Y$1212)*100000000+0*10000000+(N('Dvd Calendar'!$Y$1210)&gt;0)*(N('Dvd Calendar'!$Y$1210)&lt;=VAL_SERIAL)*1000000+9*1000+61))</f>
        <v/>
      </c>
      <c r="GN124" s="121">
        <f>IF(N('Dvd Calendar'!$Z$1211)=0,"",IF(('Dvd Calendar'!$Z$1211&gt;=GRID_FROM)*('Dvd Calendar'!$Z$1211&lt;=GRID_TO)*('Dvd Calendar'!$Z$1211&gt;VAL_DATE)=0,"",'Dvd Calendar'!$Z$1211*1000000000+ISNUMBER('Dvd Calendar'!$Z$1212)*100000000+0*10000000+(N('Dvd Calendar'!$Z$1210)&gt;0)*(N('Dvd Calendar'!$Z$1210)&lt;=VAL_SERIAL)*1000000+9*1000+62))</f>
        <v/>
      </c>
      <c r="GO124" s="121">
        <f>IF(N('Dvd Calendar'!$AA$1211)=0,"",IF(('Dvd Calendar'!$AA$1211&gt;=GRID_FROM)*('Dvd Calendar'!$AA$1211&lt;=GRID_TO)*('Dvd Calendar'!$AA$1211&gt;VAL_DATE)=0,"",'Dvd Calendar'!$AA$1211*1000000000+ISNUMBER('Dvd Calendar'!$AA$1212)*100000000+0*10000000+(N('Dvd Calendar'!$AA$1210)&gt;0)*(N('Dvd Calendar'!$AA$1210)&lt;=VAL_SERIAL)*1000000+9*1000+63))</f>
        <v/>
      </c>
      <c r="GP124" s="121">
        <f>IF(N('Dvd Calendar'!$AB$1211)=0,"",IF(('Dvd Calendar'!$AB$1211&gt;=GRID_FROM)*('Dvd Calendar'!$AB$1211&lt;=GRID_TO)*('Dvd Calendar'!$AB$1211&gt;VAL_DATE)=0,"",'Dvd Calendar'!$AB$1211*1000000000+ISNUMBER('Dvd Calendar'!$AB$1212)*100000000+0*10000000+(N('Dvd Calendar'!$AB$1210)&gt;0)*(N('Dvd Calendar'!$AB$1210)&lt;=VAL_SERIAL)*1000000+9*1000+64))</f>
        <v/>
      </c>
      <c r="GQ124" s="121">
        <f>IF(N('Dvd Calendar'!$AC$1211)=0,"",IF(('Dvd Calendar'!$AC$1211&gt;=GRID_FROM)*('Dvd Calendar'!$AC$1211&lt;=GRID_TO)*('Dvd Calendar'!$AC$1211&gt;VAL_DATE)=0,"",'Dvd Calendar'!$AC$1211*1000000000+ISNUMBER('Dvd Calendar'!$AC$1212)*100000000+0*10000000+(N('Dvd Calendar'!$AC$1210)&gt;0)*(N('Dvd Calendar'!$AC$1210)&lt;=VAL_SERIAL)*1000000+9*1000+65))</f>
        <v/>
      </c>
    </row>
    <row r="125">
      <c r="B125" s="2">
        <f>IF(HSTECH!$C$16="","",HSTECH!$C$16)</f>
        <v/>
      </c>
      <c r="C125" s="161">
        <f>IF(EE125="","",IF(ISNUMBER('Dvd Calendar'!$E$1218)=FALSE,"",IF((('Dvd Calendar'!$E$1220=TYPE1)*(TYPE1&lt;&gt;"")+('Dvd Calendar'!$E$1220=TYPE2)*(TYPE2&lt;&gt;"")+('Dvd Calendar'!$E$1220=TYPE3)*(TYPE3&lt;&gt;"")+('Dvd Calendar'!$E$1220=TYPE4)*(TYPE4&lt;&gt;"")+('Dvd Calendar'!$E$1220=SPECIAL_LBL)*(INC_SPECIALS="Y"))=0,"",'Dvd Calendar'!$E$1218)))</f>
        <v/>
      </c>
      <c r="D125" s="161">
        <f>IF(EF125="","",IF(ISNUMBER('Dvd Calendar'!$F$1218)=FALSE,"",IF((('Dvd Calendar'!$F$1220=TYPE1)*(TYPE1&lt;&gt;"")+('Dvd Calendar'!$F$1220=TYPE2)*(TYPE2&lt;&gt;"")+('Dvd Calendar'!$F$1220=TYPE3)*(TYPE3&lt;&gt;"")+('Dvd Calendar'!$F$1220=TYPE4)*(TYPE4&lt;&gt;"")+('Dvd Calendar'!$F$1220=SPECIAL_LBL)*(INC_SPECIALS="Y"))=0,"",'Dvd Calendar'!$F$1218)))</f>
        <v/>
      </c>
      <c r="E125" s="161">
        <f>IF(EG125="","",IF(ISNUMBER('Dvd Calendar'!$G$1218)=FALSE,"",IF((('Dvd Calendar'!$G$1220=TYPE1)*(TYPE1&lt;&gt;"")+('Dvd Calendar'!$G$1220=TYPE2)*(TYPE2&lt;&gt;"")+('Dvd Calendar'!$G$1220=TYPE3)*(TYPE3&lt;&gt;"")+('Dvd Calendar'!$G$1220=TYPE4)*(TYPE4&lt;&gt;"")+('Dvd Calendar'!$G$1220=SPECIAL_LBL)*(INC_SPECIALS="Y"))=0,"",'Dvd Calendar'!$G$1218)))</f>
        <v/>
      </c>
      <c r="F125" s="161">
        <f>IF(EH125="","",IF(ISNUMBER('Dvd Calendar'!$H$1218)=FALSE,"",IF((('Dvd Calendar'!$H$1220=TYPE1)*(TYPE1&lt;&gt;"")+('Dvd Calendar'!$H$1220=TYPE2)*(TYPE2&lt;&gt;"")+('Dvd Calendar'!$H$1220=TYPE3)*(TYPE3&lt;&gt;"")+('Dvd Calendar'!$H$1220=TYPE4)*(TYPE4&lt;&gt;"")+('Dvd Calendar'!$H$1220=SPECIAL_LBL)*(INC_SPECIALS="Y"))=0,"",'Dvd Calendar'!$H$1218)))</f>
        <v/>
      </c>
      <c r="G125" s="161">
        <f>IF(EI125="","",IF(ISNUMBER('Dvd Calendar'!$I$1218)=FALSE,"",IF((('Dvd Calendar'!$I$1220=TYPE1)*(TYPE1&lt;&gt;"")+('Dvd Calendar'!$I$1220=TYPE2)*(TYPE2&lt;&gt;"")+('Dvd Calendar'!$I$1220=TYPE3)*(TYPE3&lt;&gt;"")+('Dvd Calendar'!$I$1220=TYPE4)*(TYPE4&lt;&gt;"")+('Dvd Calendar'!$I$1220=SPECIAL_LBL)*(INC_SPECIALS="Y"))=0,"",'Dvd Calendar'!$I$1218)))</f>
        <v/>
      </c>
      <c r="H125" s="161">
        <f>IF(EJ125="","",IF(ISNUMBER('Dvd Calendar'!$J$1218)=FALSE,"",IF((('Dvd Calendar'!$J$1220=TYPE1)*(TYPE1&lt;&gt;"")+('Dvd Calendar'!$J$1220=TYPE2)*(TYPE2&lt;&gt;"")+('Dvd Calendar'!$J$1220=TYPE3)*(TYPE3&lt;&gt;"")+('Dvd Calendar'!$J$1220=TYPE4)*(TYPE4&lt;&gt;"")+('Dvd Calendar'!$J$1220=SPECIAL_LBL)*(INC_SPECIALS="Y"))=0,"",'Dvd Calendar'!$J$1218)))</f>
        <v/>
      </c>
      <c r="I125" s="161">
        <f>IF(EK125="","",IF(ISNUMBER('Dvd Calendar'!$K$1218)=FALSE,"",IF((('Dvd Calendar'!$K$1220=TYPE1)*(TYPE1&lt;&gt;"")+('Dvd Calendar'!$K$1220=TYPE2)*(TYPE2&lt;&gt;"")+('Dvd Calendar'!$K$1220=TYPE3)*(TYPE3&lt;&gt;"")+('Dvd Calendar'!$K$1220=TYPE4)*(TYPE4&lt;&gt;"")+('Dvd Calendar'!$K$1220=SPECIAL_LBL)*(INC_SPECIALS="Y"))=0,"",'Dvd Calendar'!$K$1218)))</f>
        <v/>
      </c>
      <c r="J125" s="161">
        <f>IF(EL125="","",IF(ISNUMBER('Dvd Calendar'!$L$1218)=FALSE,"",IF((('Dvd Calendar'!$L$1220=TYPE1)*(TYPE1&lt;&gt;"")+('Dvd Calendar'!$L$1220=TYPE2)*(TYPE2&lt;&gt;"")+('Dvd Calendar'!$L$1220=TYPE3)*(TYPE3&lt;&gt;"")+('Dvd Calendar'!$L$1220=TYPE4)*(TYPE4&lt;&gt;"")+('Dvd Calendar'!$L$1220=SPECIAL_LBL)*(INC_SPECIALS="Y"))=0,"",'Dvd Calendar'!$L$1218)))</f>
        <v/>
      </c>
      <c r="K125" s="161">
        <f>IF(EM125="","",IF(ISNUMBER('Dvd Calendar'!$M$1218)=FALSE,"",IF((('Dvd Calendar'!$M$1220=TYPE1)*(TYPE1&lt;&gt;"")+('Dvd Calendar'!$M$1220=TYPE2)*(TYPE2&lt;&gt;"")+('Dvd Calendar'!$M$1220=TYPE3)*(TYPE3&lt;&gt;"")+('Dvd Calendar'!$M$1220=TYPE4)*(TYPE4&lt;&gt;"")+('Dvd Calendar'!$M$1220=SPECIAL_LBL)*(INC_SPECIALS="Y"))=0,"",'Dvd Calendar'!$M$1218)))</f>
        <v/>
      </c>
      <c r="L125" s="161">
        <f>IF(EN125="","",IF(ISNUMBER('Dvd Calendar'!$N$1218)=FALSE,"",IF((('Dvd Calendar'!$N$1220=TYPE1)*(TYPE1&lt;&gt;"")+('Dvd Calendar'!$N$1220=TYPE2)*(TYPE2&lt;&gt;"")+('Dvd Calendar'!$N$1220=TYPE3)*(TYPE3&lt;&gt;"")+('Dvd Calendar'!$N$1220=TYPE4)*(TYPE4&lt;&gt;"")+('Dvd Calendar'!$N$1220=SPECIAL_LBL)*(INC_SPECIALS="Y"))=0,"",'Dvd Calendar'!$N$1218)))</f>
        <v/>
      </c>
      <c r="M125" s="161">
        <f>IF(EO125="","",IF(ISNUMBER('Dvd Calendar'!$O$1218)=FALSE,"",IF((('Dvd Calendar'!$O$1220=TYPE1)*(TYPE1&lt;&gt;"")+('Dvd Calendar'!$O$1220=TYPE2)*(TYPE2&lt;&gt;"")+('Dvd Calendar'!$O$1220=TYPE3)*(TYPE3&lt;&gt;"")+('Dvd Calendar'!$O$1220=TYPE4)*(TYPE4&lt;&gt;"")+('Dvd Calendar'!$O$1220=SPECIAL_LBL)*(INC_SPECIALS="Y"))=0,"",'Dvd Calendar'!$O$1218)))</f>
        <v/>
      </c>
      <c r="N125" s="161">
        <f>IF(EP125="","",IF(ISNUMBER('Dvd Calendar'!$P$1218)=FALSE,"",IF((('Dvd Calendar'!$P$1220=TYPE1)*(TYPE1&lt;&gt;"")+('Dvd Calendar'!$P$1220=TYPE2)*(TYPE2&lt;&gt;"")+('Dvd Calendar'!$P$1220=TYPE3)*(TYPE3&lt;&gt;"")+('Dvd Calendar'!$P$1220=TYPE4)*(TYPE4&lt;&gt;"")+('Dvd Calendar'!$P$1220=SPECIAL_LBL)*(INC_SPECIALS="Y"))=0,"",'Dvd Calendar'!$P$1218)))</f>
        <v/>
      </c>
      <c r="O125" s="161">
        <f>IF(EQ125="","",IF(ISNUMBER('Dvd Calendar'!$Q$1218)=FALSE,"",IF((('Dvd Calendar'!$Q$1220=TYPE1)*(TYPE1&lt;&gt;"")+('Dvd Calendar'!$Q$1220=TYPE2)*(TYPE2&lt;&gt;"")+('Dvd Calendar'!$Q$1220=TYPE3)*(TYPE3&lt;&gt;"")+('Dvd Calendar'!$Q$1220=TYPE4)*(TYPE4&lt;&gt;"")+('Dvd Calendar'!$Q$1220=SPECIAL_LBL)*(INC_SPECIALS="Y"))=0,"",'Dvd Calendar'!$Q$1218)))</f>
        <v/>
      </c>
      <c r="P125" s="161">
        <f>IF(ER125="","",IF(ISNUMBER('Dvd Calendar'!$R$1218)=FALSE,"",IF((('Dvd Calendar'!$R$1220=TYPE1)*(TYPE1&lt;&gt;"")+('Dvd Calendar'!$R$1220=TYPE2)*(TYPE2&lt;&gt;"")+('Dvd Calendar'!$R$1220=TYPE3)*(TYPE3&lt;&gt;"")+('Dvd Calendar'!$R$1220=TYPE4)*(TYPE4&lt;&gt;"")+('Dvd Calendar'!$R$1220=SPECIAL_LBL)*(INC_SPECIALS="Y"))=0,"",'Dvd Calendar'!$R$1218)))</f>
        <v/>
      </c>
      <c r="Q125" s="161">
        <f>IF(ES125="","",IF(ISNUMBER('Dvd Calendar'!$S$1218)=FALSE,"",IF((('Dvd Calendar'!$S$1220=TYPE1)*(TYPE1&lt;&gt;"")+('Dvd Calendar'!$S$1220=TYPE2)*(TYPE2&lt;&gt;"")+('Dvd Calendar'!$S$1220=TYPE3)*(TYPE3&lt;&gt;"")+('Dvd Calendar'!$S$1220=TYPE4)*(TYPE4&lt;&gt;"")+('Dvd Calendar'!$S$1220=SPECIAL_LBL)*(INC_SPECIALS="Y"))=0,"",'Dvd Calendar'!$S$1218)))</f>
        <v/>
      </c>
      <c r="R125" s="161">
        <f>IF(ET125="","",IF(ISNUMBER('Dvd Calendar'!$T$1218)=FALSE,"",IF((('Dvd Calendar'!$T$1220=TYPE1)*(TYPE1&lt;&gt;"")+('Dvd Calendar'!$T$1220=TYPE2)*(TYPE2&lt;&gt;"")+('Dvd Calendar'!$T$1220=TYPE3)*(TYPE3&lt;&gt;"")+('Dvd Calendar'!$T$1220=TYPE4)*(TYPE4&lt;&gt;"")+('Dvd Calendar'!$T$1220=SPECIAL_LBL)*(INC_SPECIALS="Y"))=0,"",'Dvd Calendar'!$T$1218)))</f>
        <v/>
      </c>
      <c r="S125" s="161">
        <f>IF(EU125="","",IF(ISNUMBER('Dvd Calendar'!$U$1218)=FALSE,"",IF((('Dvd Calendar'!$U$1220=TYPE1)*(TYPE1&lt;&gt;"")+('Dvd Calendar'!$U$1220=TYPE2)*(TYPE2&lt;&gt;"")+('Dvd Calendar'!$U$1220=TYPE3)*(TYPE3&lt;&gt;"")+('Dvd Calendar'!$U$1220=TYPE4)*(TYPE4&lt;&gt;"")+('Dvd Calendar'!$U$1220=SPECIAL_LBL)*(INC_SPECIALS="Y"))=0,"",'Dvd Calendar'!$U$1218)))</f>
        <v/>
      </c>
      <c r="T125" s="161">
        <f>IF(EV125="","",IF(ISNUMBER('Dvd Calendar'!$V$1218)=FALSE,"",IF((('Dvd Calendar'!$V$1220=TYPE1)*(TYPE1&lt;&gt;"")+('Dvd Calendar'!$V$1220=TYPE2)*(TYPE2&lt;&gt;"")+('Dvd Calendar'!$V$1220=TYPE3)*(TYPE3&lt;&gt;"")+('Dvd Calendar'!$V$1220=TYPE4)*(TYPE4&lt;&gt;"")+('Dvd Calendar'!$V$1220=SPECIAL_LBL)*(INC_SPECIALS="Y"))=0,"",'Dvd Calendar'!$V$1218)))</f>
        <v/>
      </c>
      <c r="U125" s="161">
        <f>IF(EW125="","",IF(ISNUMBER('Dvd Calendar'!$W$1218)=FALSE,"",IF((('Dvd Calendar'!$W$1220=TYPE1)*(TYPE1&lt;&gt;"")+('Dvd Calendar'!$W$1220=TYPE2)*(TYPE2&lt;&gt;"")+('Dvd Calendar'!$W$1220=TYPE3)*(TYPE3&lt;&gt;"")+('Dvd Calendar'!$W$1220=TYPE4)*(TYPE4&lt;&gt;"")+('Dvd Calendar'!$W$1220=SPECIAL_LBL)*(INC_SPECIALS="Y"))=0,"",'Dvd Calendar'!$W$1218)))</f>
        <v/>
      </c>
      <c r="V125" s="161">
        <f>IF(EX125="","",IF(ISNUMBER('Dvd Calendar'!$X$1218)=FALSE,"",IF((('Dvd Calendar'!$X$1220=TYPE1)*(TYPE1&lt;&gt;"")+('Dvd Calendar'!$X$1220=TYPE2)*(TYPE2&lt;&gt;"")+('Dvd Calendar'!$X$1220=TYPE3)*(TYPE3&lt;&gt;"")+('Dvd Calendar'!$X$1220=TYPE4)*(TYPE4&lt;&gt;"")+('Dvd Calendar'!$X$1220=SPECIAL_LBL)*(INC_SPECIALS="Y"))=0,"",'Dvd Calendar'!$X$1218)))</f>
        <v/>
      </c>
      <c r="W125" s="161">
        <f>IF(EY125="","",IF(ISNUMBER('Dvd Calendar'!$Y$1218)=FALSE,"",IF((('Dvd Calendar'!$Y$1220=TYPE1)*(TYPE1&lt;&gt;"")+('Dvd Calendar'!$Y$1220=TYPE2)*(TYPE2&lt;&gt;"")+('Dvd Calendar'!$Y$1220=TYPE3)*(TYPE3&lt;&gt;"")+('Dvd Calendar'!$Y$1220=TYPE4)*(TYPE4&lt;&gt;"")+('Dvd Calendar'!$Y$1220=SPECIAL_LBL)*(INC_SPECIALS="Y"))=0,"",'Dvd Calendar'!$Y$1218)))</f>
        <v/>
      </c>
      <c r="X125" s="161">
        <f>IF(EZ125="","",IF(ISNUMBER('Dvd Calendar'!$Z$1218)=FALSE,"",IF((('Dvd Calendar'!$Z$1220=TYPE1)*(TYPE1&lt;&gt;"")+('Dvd Calendar'!$Z$1220=TYPE2)*(TYPE2&lt;&gt;"")+('Dvd Calendar'!$Z$1220=TYPE3)*(TYPE3&lt;&gt;"")+('Dvd Calendar'!$Z$1220=TYPE4)*(TYPE4&lt;&gt;"")+('Dvd Calendar'!$Z$1220=SPECIAL_LBL)*(INC_SPECIALS="Y"))=0,"",'Dvd Calendar'!$Z$1218)))</f>
        <v/>
      </c>
      <c r="Y125" s="161">
        <f>IF(FA125="","",IF(ISNUMBER('Dvd Calendar'!$AA$1218)=FALSE,"",IF((('Dvd Calendar'!$AA$1220=TYPE1)*(TYPE1&lt;&gt;"")+('Dvd Calendar'!$AA$1220=TYPE2)*(TYPE2&lt;&gt;"")+('Dvd Calendar'!$AA$1220=TYPE3)*(TYPE3&lt;&gt;"")+('Dvd Calendar'!$AA$1220=TYPE4)*(TYPE4&lt;&gt;"")+('Dvd Calendar'!$AA$1220=SPECIAL_LBL)*(INC_SPECIALS="Y"))=0,"",'Dvd Calendar'!$AA$1218)))</f>
        <v/>
      </c>
      <c r="Z125" s="161">
        <f>IF(FB125="","",IF(ISNUMBER('Dvd Calendar'!$AB$1218)=FALSE,"",IF((('Dvd Calendar'!$AB$1220=TYPE1)*(TYPE1&lt;&gt;"")+('Dvd Calendar'!$AB$1220=TYPE2)*(TYPE2&lt;&gt;"")+('Dvd Calendar'!$AB$1220=TYPE3)*(TYPE3&lt;&gt;"")+('Dvd Calendar'!$AB$1220=TYPE4)*(TYPE4&lt;&gt;"")+('Dvd Calendar'!$AB$1220=SPECIAL_LBL)*(INC_SPECIALS="Y"))=0,"",'Dvd Calendar'!$AB$1218)))</f>
        <v/>
      </c>
      <c r="AA125" s="161">
        <f>IF(FC125="","",IF(ISNUMBER('Dvd Calendar'!$AC$1218)=FALSE,"",IF((('Dvd Calendar'!$AC$1220=TYPE1)*(TYPE1&lt;&gt;"")+('Dvd Calendar'!$AC$1220=TYPE2)*(TYPE2&lt;&gt;"")+('Dvd Calendar'!$AC$1220=TYPE3)*(TYPE3&lt;&gt;"")+('Dvd Calendar'!$AC$1220=TYPE4)*(TYPE4&lt;&gt;"")+('Dvd Calendar'!$AC$1220=SPECIAL_LBL)*(INC_SPECIALS="Y"))=0,"",'Dvd Calendar'!$AC$1218)))</f>
        <v/>
      </c>
      <c r="AB125" s="161">
        <f>IF(FD125="","",IF(ISNUMBER('Dvd Calendar'!$AD$1218)=FALSE,"",IF((('Dvd Calendar'!$AD$1220=TYPE1)*(TYPE1&lt;&gt;"")+('Dvd Calendar'!$AD$1220=TYPE2)*(TYPE2&lt;&gt;"")+('Dvd Calendar'!$AD$1220=TYPE3)*(TYPE3&lt;&gt;"")+('Dvd Calendar'!$AD$1220=TYPE4)*(TYPE4&lt;&gt;"")+('Dvd Calendar'!$AD$1220=SPECIAL_LBL)*(INC_SPECIALS="Y"))=0,"",'Dvd Calendar'!$AD$1218)))</f>
        <v/>
      </c>
      <c r="AC125" s="161">
        <f>IF(FE125="","",IF(ISNUMBER('Dvd Calendar'!$AE$1218)=FALSE,"",IF((('Dvd Calendar'!$AE$1220=TYPE1)*(TYPE1&lt;&gt;"")+('Dvd Calendar'!$AE$1220=TYPE2)*(TYPE2&lt;&gt;"")+('Dvd Calendar'!$AE$1220=TYPE3)*(TYPE3&lt;&gt;"")+('Dvd Calendar'!$AE$1220=TYPE4)*(TYPE4&lt;&gt;"")+('Dvd Calendar'!$AE$1220=SPECIAL_LBL)*(INC_SPECIALS="Y"))=0,"",'Dvd Calendar'!$AE$1218)))</f>
        <v/>
      </c>
      <c r="AD125" s="161">
        <f>IF(FF125="","",IF(ISNUMBER('Dvd Calendar'!$AF$1218)=FALSE,"",IF((('Dvd Calendar'!$AF$1220=TYPE1)*(TYPE1&lt;&gt;"")+('Dvd Calendar'!$AF$1220=TYPE2)*(TYPE2&lt;&gt;"")+('Dvd Calendar'!$AF$1220=TYPE3)*(TYPE3&lt;&gt;"")+('Dvd Calendar'!$AF$1220=TYPE4)*(TYPE4&lt;&gt;"")+('Dvd Calendar'!$AF$1220=SPECIAL_LBL)*(INC_SPECIALS="Y"))=0,"",'Dvd Calendar'!$AF$1218)))</f>
        <v/>
      </c>
      <c r="AE125" s="161">
        <f>IF(FG125="","",IF(ISNUMBER('Dvd Calendar'!$AG$1218)=FALSE,"",IF((('Dvd Calendar'!$AG$1220=TYPE1)*(TYPE1&lt;&gt;"")+('Dvd Calendar'!$AG$1220=TYPE2)*(TYPE2&lt;&gt;"")+('Dvd Calendar'!$AG$1220=TYPE3)*(TYPE3&lt;&gt;"")+('Dvd Calendar'!$AG$1220=TYPE4)*(TYPE4&lt;&gt;"")+('Dvd Calendar'!$AG$1220=SPECIAL_LBL)*(INC_SPECIALS="Y"))=0,"",'Dvd Calendar'!$AG$1218)))</f>
        <v/>
      </c>
      <c r="AF125" s="161">
        <f>IF(FH125="","",IF(ISNUMBER('Dvd Calendar'!$AH$1218)=FALSE,"",IF((('Dvd Calendar'!$AH$1220=TYPE1)*(TYPE1&lt;&gt;"")+('Dvd Calendar'!$AH$1220=TYPE2)*(TYPE2&lt;&gt;"")+('Dvd Calendar'!$AH$1220=TYPE3)*(TYPE3&lt;&gt;"")+('Dvd Calendar'!$AH$1220=TYPE4)*(TYPE4&lt;&gt;"")+('Dvd Calendar'!$AH$1220=SPECIAL_LBL)*(INC_SPECIALS="Y"))=0,"",'Dvd Calendar'!$AH$1218)))</f>
        <v/>
      </c>
      <c r="AG125" s="161">
        <f>IF(FI125="","",IF(ISNUMBER('Dvd Calendar'!$AI$1218)=FALSE,"",IF((('Dvd Calendar'!$AI$1220=TYPE1)*(TYPE1&lt;&gt;"")+('Dvd Calendar'!$AI$1220=TYPE2)*(TYPE2&lt;&gt;"")+('Dvd Calendar'!$AI$1220=TYPE3)*(TYPE3&lt;&gt;"")+('Dvd Calendar'!$AI$1220=TYPE4)*(TYPE4&lt;&gt;"")+('Dvd Calendar'!$AI$1220=SPECIAL_LBL)*(INC_SPECIALS="Y"))=0,"",'Dvd Calendar'!$AI$1218)))</f>
        <v/>
      </c>
      <c r="AH125" s="161">
        <f>IF(FJ125="","",IF(ISNUMBER('Dvd Calendar'!$AJ$1218)=FALSE,"",IF((('Dvd Calendar'!$AJ$1220=TYPE1)*(TYPE1&lt;&gt;"")+('Dvd Calendar'!$AJ$1220=TYPE2)*(TYPE2&lt;&gt;"")+('Dvd Calendar'!$AJ$1220=TYPE3)*(TYPE3&lt;&gt;"")+('Dvd Calendar'!$AJ$1220=TYPE4)*(TYPE4&lt;&gt;"")+('Dvd Calendar'!$AJ$1220=SPECIAL_LBL)*(INC_SPECIALS="Y"))=0,"",'Dvd Calendar'!$AJ$1218)))</f>
        <v/>
      </c>
      <c r="AI125" s="161">
        <f>IF(FK125="","",IF(ISNUMBER('Dvd Calendar'!$AK$1218)=FALSE,"",IF((('Dvd Calendar'!$AK$1220=TYPE1)*(TYPE1&lt;&gt;"")+('Dvd Calendar'!$AK$1220=TYPE2)*(TYPE2&lt;&gt;"")+('Dvd Calendar'!$AK$1220=TYPE3)*(TYPE3&lt;&gt;"")+('Dvd Calendar'!$AK$1220=TYPE4)*(TYPE4&lt;&gt;"")+('Dvd Calendar'!$AK$1220=SPECIAL_LBL)*(INC_SPECIALS="Y"))=0,"",'Dvd Calendar'!$AK$1218)))</f>
        <v/>
      </c>
      <c r="AJ125" s="161">
        <f>IF(FL125="","",IF(ISNUMBER('Dvd Calendar'!$AL$1218)=FALSE,"",IF((('Dvd Calendar'!$AL$1220=TYPE1)*(TYPE1&lt;&gt;"")+('Dvd Calendar'!$AL$1220=TYPE2)*(TYPE2&lt;&gt;"")+('Dvd Calendar'!$AL$1220=TYPE3)*(TYPE3&lt;&gt;"")+('Dvd Calendar'!$AL$1220=TYPE4)*(TYPE4&lt;&gt;"")+('Dvd Calendar'!$AL$1220=SPECIAL_LBL)*(INC_SPECIALS="Y"))=0,"",'Dvd Calendar'!$AL$1218)))</f>
        <v/>
      </c>
      <c r="AK125" s="161">
        <f>IF(FM125="","",IF(ISNUMBER('Dvd Calendar'!$AM$1218)=FALSE,"",IF((('Dvd Calendar'!$AM$1220=TYPE1)*(TYPE1&lt;&gt;"")+('Dvd Calendar'!$AM$1220=TYPE2)*(TYPE2&lt;&gt;"")+('Dvd Calendar'!$AM$1220=TYPE3)*(TYPE3&lt;&gt;"")+('Dvd Calendar'!$AM$1220=TYPE4)*(TYPE4&lt;&gt;"")+('Dvd Calendar'!$AM$1220=SPECIAL_LBL)*(INC_SPECIALS="Y"))=0,"",'Dvd Calendar'!$AM$1218)))</f>
        <v/>
      </c>
      <c r="AL125" s="161">
        <f>IF(FN125="","",IF(ISNUMBER('Dvd Calendar'!$AN$1218)=FALSE,"",IF((('Dvd Calendar'!$AN$1220=TYPE1)*(TYPE1&lt;&gt;"")+('Dvd Calendar'!$AN$1220=TYPE2)*(TYPE2&lt;&gt;"")+('Dvd Calendar'!$AN$1220=TYPE3)*(TYPE3&lt;&gt;"")+('Dvd Calendar'!$AN$1220=TYPE4)*(TYPE4&lt;&gt;"")+('Dvd Calendar'!$AN$1220=SPECIAL_LBL)*(INC_SPECIALS="Y"))=0,"",'Dvd Calendar'!$AN$1218)))</f>
        <v/>
      </c>
      <c r="AM125" s="161">
        <f>IF(FO125="","",IF(ISNUMBER('Dvd Calendar'!$AO$1218)=FALSE,"",IF((('Dvd Calendar'!$AO$1220=TYPE1)*(TYPE1&lt;&gt;"")+('Dvd Calendar'!$AO$1220=TYPE2)*(TYPE2&lt;&gt;"")+('Dvd Calendar'!$AO$1220=TYPE3)*(TYPE3&lt;&gt;"")+('Dvd Calendar'!$AO$1220=TYPE4)*(TYPE4&lt;&gt;"")+('Dvd Calendar'!$AO$1220=SPECIAL_LBL)*(INC_SPECIALS="Y"))=0,"",'Dvd Calendar'!$AO$1218)))</f>
        <v/>
      </c>
      <c r="AN125" s="161">
        <f>IF(FP125="","",IF(ISNUMBER('Dvd Calendar'!$AP$1218)=FALSE,"",IF((('Dvd Calendar'!$AP$1220=TYPE1)*(TYPE1&lt;&gt;"")+('Dvd Calendar'!$AP$1220=TYPE2)*(TYPE2&lt;&gt;"")+('Dvd Calendar'!$AP$1220=TYPE3)*(TYPE3&lt;&gt;"")+('Dvd Calendar'!$AP$1220=TYPE4)*(TYPE4&lt;&gt;"")+('Dvd Calendar'!$AP$1220=SPECIAL_LBL)*(INC_SPECIALS="Y"))=0,"",'Dvd Calendar'!$AP$1218)))</f>
        <v/>
      </c>
      <c r="AO125" s="161">
        <f>IF(FQ125="","",IF(ISNUMBER('Dvd Calendar'!$AQ$1218)=FALSE,"",IF((('Dvd Calendar'!$AQ$1220=TYPE1)*(TYPE1&lt;&gt;"")+('Dvd Calendar'!$AQ$1220=TYPE2)*(TYPE2&lt;&gt;"")+('Dvd Calendar'!$AQ$1220=TYPE3)*(TYPE3&lt;&gt;"")+('Dvd Calendar'!$AQ$1220=TYPE4)*(TYPE4&lt;&gt;"")+('Dvd Calendar'!$AQ$1220=SPECIAL_LBL)*(INC_SPECIALS="Y"))=0,"",'Dvd Calendar'!$AQ$1218)))</f>
        <v/>
      </c>
      <c r="AP125" s="161">
        <f>IF(FR125="","",IF(ISNUMBER('Dvd Calendar'!$AR$1218)=FALSE,"",IF((('Dvd Calendar'!$AR$1220=TYPE1)*(TYPE1&lt;&gt;"")+('Dvd Calendar'!$AR$1220=TYPE2)*(TYPE2&lt;&gt;"")+('Dvd Calendar'!$AR$1220=TYPE3)*(TYPE3&lt;&gt;"")+('Dvd Calendar'!$AR$1220=TYPE4)*(TYPE4&lt;&gt;"")+('Dvd Calendar'!$AR$1220=SPECIAL_LBL)*(INC_SPECIALS="Y"))=0,"",'Dvd Calendar'!$AR$1218)))</f>
        <v/>
      </c>
      <c r="AQ125" s="161">
        <f>IF(FS125="","",IF(ISNUMBER('Dvd Calendar'!$E$1223)=FALSE,"",'Dvd Calendar'!$E$1223))</f>
        <v/>
      </c>
      <c r="AR125" s="161">
        <f>IF(FT125="","",IF(ISNUMBER('Dvd Calendar'!$F$1223)=FALSE,"",'Dvd Calendar'!$F$1223))</f>
        <v/>
      </c>
      <c r="AS125" s="161">
        <f>IF(FU125="","",IF(ISNUMBER('Dvd Calendar'!$G$1223)=FALSE,"",'Dvd Calendar'!$G$1223))</f>
        <v/>
      </c>
      <c r="AT125" s="161">
        <f>IF(FV125="","",IF(ISNUMBER('Dvd Calendar'!$H$1223)=FALSE,"",'Dvd Calendar'!$H$1223))</f>
        <v/>
      </c>
      <c r="AU125" s="161">
        <f>IF(FW125="","",IF(ISNUMBER('Dvd Calendar'!$I$1223)=FALSE,"",'Dvd Calendar'!$I$1223))</f>
        <v/>
      </c>
      <c r="AV125" s="161">
        <f>IF(FX125="","",IF(ISNUMBER('Dvd Calendar'!$J$1223)=FALSE,"",'Dvd Calendar'!$J$1223))</f>
        <v/>
      </c>
      <c r="AW125" s="161">
        <f>IF(FY125="","",IF(ISNUMBER('Dvd Calendar'!$K$1223)=FALSE,"",'Dvd Calendar'!$K$1223))</f>
        <v/>
      </c>
      <c r="AX125" s="161">
        <f>IF(FZ125="","",IF(ISNUMBER('Dvd Calendar'!$L$1223)=FALSE,"",'Dvd Calendar'!$L$1223))</f>
        <v/>
      </c>
      <c r="AY125" s="161">
        <f>IF(GA125="","",IF(ISNUMBER('Dvd Calendar'!$M$1223)=FALSE,"",'Dvd Calendar'!$M$1223))</f>
        <v/>
      </c>
      <c r="AZ125" s="161">
        <f>IF(GB125="","",IF(ISNUMBER('Dvd Calendar'!$N$1223)=FALSE,"",'Dvd Calendar'!$N$1223))</f>
        <v/>
      </c>
      <c r="BA125" s="161">
        <f>IF(GC125="","",IF(ISNUMBER('Dvd Calendar'!$O$1223)=FALSE,"",'Dvd Calendar'!$O$1223))</f>
        <v/>
      </c>
      <c r="BB125" s="161">
        <f>IF(GD125="","",IF(ISNUMBER('Dvd Calendar'!$P$1223)=FALSE,"",'Dvd Calendar'!$P$1223))</f>
        <v/>
      </c>
      <c r="BC125" s="161">
        <f>IF(GE125="","",IF(ISNUMBER('Dvd Calendar'!$Q$1223)=FALSE,"",'Dvd Calendar'!$Q$1223))</f>
        <v/>
      </c>
      <c r="BD125" s="161">
        <f>IF(GF125="","",IF(ISNUMBER('Dvd Calendar'!$R$1223)=FALSE,"",'Dvd Calendar'!$R$1223))</f>
        <v/>
      </c>
      <c r="BE125" s="161">
        <f>IF(GG125="","",IF(ISNUMBER('Dvd Calendar'!$S$1223)=FALSE,"",'Dvd Calendar'!$S$1223))</f>
        <v/>
      </c>
      <c r="BF125" s="161">
        <f>IF(GH125="","",IF(ISNUMBER('Dvd Calendar'!$T$1223)=FALSE,"",'Dvd Calendar'!$T$1223))</f>
        <v/>
      </c>
      <c r="BG125" s="161">
        <f>IF(GI125="","",IF(ISNUMBER('Dvd Calendar'!$U$1223)=FALSE,"",'Dvd Calendar'!$U$1223))</f>
        <v/>
      </c>
      <c r="BH125" s="161">
        <f>IF(GJ125="","",IF(ISNUMBER('Dvd Calendar'!$V$1223)=FALSE,"",'Dvd Calendar'!$V$1223))</f>
        <v/>
      </c>
      <c r="BI125" s="161">
        <f>IF(GK125="","",IF(ISNUMBER('Dvd Calendar'!$W$1223)=FALSE,"",'Dvd Calendar'!$W$1223))</f>
        <v/>
      </c>
      <c r="BJ125" s="161">
        <f>IF(GL125="","",IF(ISNUMBER('Dvd Calendar'!$X$1223)=FALSE,"",'Dvd Calendar'!$X$1223))</f>
        <v/>
      </c>
      <c r="BK125" s="161">
        <f>IF(GM125="","",IF(ISNUMBER('Dvd Calendar'!$Y$1223)=FALSE,"",'Dvd Calendar'!$Y$1223))</f>
        <v/>
      </c>
      <c r="BL125" s="161">
        <f>IF(GN125="","",IF(ISNUMBER('Dvd Calendar'!$Z$1223)=FALSE,"",'Dvd Calendar'!$Z$1223))</f>
        <v/>
      </c>
      <c r="BM125" s="161">
        <f>IF(GO125="","",IF(ISNUMBER('Dvd Calendar'!$AA$1223)=FALSE,"",'Dvd Calendar'!$AA$1223))</f>
        <v/>
      </c>
      <c r="BN125" s="161">
        <f>IF(GP125="","",IF(ISNUMBER('Dvd Calendar'!$AB$1223)=FALSE,"",'Dvd Calendar'!$AB$1223))</f>
        <v/>
      </c>
      <c r="BO125" s="161">
        <f>IF(GQ125="","",IF(ISNUMBER('Dvd Calendar'!$AC$1223)=FALSE,"",'Dvd Calendar'!$AC$1223))</f>
        <v/>
      </c>
      <c r="BQ125" s="161">
        <f>IF(C125="","",IFERROR(C125*HSTECH!$B$16*HSTECH!$G$16/HSTECH!$B$3,""))</f>
        <v/>
      </c>
      <c r="BR125" s="161">
        <f>IF(D125="","",IFERROR(D125*HSTECH!$B$16*HSTECH!$G$16/HSTECH!$B$3,""))</f>
        <v/>
      </c>
      <c r="BS125" s="161">
        <f>IF(E125="","",IFERROR(E125*HSTECH!$B$16*HSTECH!$G$16/HSTECH!$B$3,""))</f>
        <v/>
      </c>
      <c r="BT125" s="161">
        <f>IF(F125="","",IFERROR(F125*HSTECH!$B$16*HSTECH!$G$16/HSTECH!$B$3,""))</f>
        <v/>
      </c>
      <c r="BU125" s="161">
        <f>IF(G125="","",IFERROR(G125*HSTECH!$B$16*HSTECH!$G$16/HSTECH!$B$3,""))</f>
        <v/>
      </c>
      <c r="BV125" s="161">
        <f>IF(H125="","",IFERROR(H125*HSTECH!$B$16*HSTECH!$G$16/HSTECH!$B$3,""))</f>
        <v/>
      </c>
      <c r="BW125" s="161">
        <f>IF(I125="","",IFERROR(I125*HSTECH!$B$16*HSTECH!$G$16/HSTECH!$B$3,""))</f>
        <v/>
      </c>
      <c r="BX125" s="161">
        <f>IF(J125="","",IFERROR(J125*HSTECH!$B$16*HSTECH!$G$16/HSTECH!$B$3,""))</f>
        <v/>
      </c>
      <c r="BY125" s="161">
        <f>IF(K125="","",IFERROR(K125*HSTECH!$B$16*HSTECH!$G$16/HSTECH!$B$3,""))</f>
        <v/>
      </c>
      <c r="BZ125" s="161">
        <f>IF(L125="","",IFERROR(L125*HSTECH!$B$16*HSTECH!$G$16/HSTECH!$B$3,""))</f>
        <v/>
      </c>
      <c r="CA125" s="161">
        <f>IF(M125="","",IFERROR(M125*HSTECH!$B$16*HSTECH!$G$16/HSTECH!$B$3,""))</f>
        <v/>
      </c>
      <c r="CB125" s="161">
        <f>IF(N125="","",IFERROR(N125*HSTECH!$B$16*HSTECH!$G$16/HSTECH!$B$3,""))</f>
        <v/>
      </c>
      <c r="CC125" s="161">
        <f>IF(O125="","",IFERROR(O125*HSTECH!$B$16*HSTECH!$G$16/HSTECH!$B$3,""))</f>
        <v/>
      </c>
      <c r="CD125" s="161">
        <f>IF(P125="","",IFERROR(P125*HSTECH!$B$16*HSTECH!$G$16/HSTECH!$B$3,""))</f>
        <v/>
      </c>
      <c r="CE125" s="161">
        <f>IF(Q125="","",IFERROR(Q125*HSTECH!$B$16*HSTECH!$G$16/HSTECH!$B$3,""))</f>
        <v/>
      </c>
      <c r="CF125" s="161">
        <f>IF(R125="","",IFERROR(R125*HSTECH!$B$16*HSTECH!$G$16/HSTECH!$B$3,""))</f>
        <v/>
      </c>
      <c r="CG125" s="161">
        <f>IF(S125="","",IFERROR(S125*HSTECH!$B$16*HSTECH!$G$16/HSTECH!$B$3,""))</f>
        <v/>
      </c>
      <c r="CH125" s="161">
        <f>IF(T125="","",IFERROR(T125*HSTECH!$B$16*HSTECH!$G$16/HSTECH!$B$3,""))</f>
        <v/>
      </c>
      <c r="CI125" s="161">
        <f>IF(U125="","",IFERROR(U125*HSTECH!$B$16*HSTECH!$G$16/HSTECH!$B$3,""))</f>
        <v/>
      </c>
      <c r="CJ125" s="161">
        <f>IF(V125="","",IFERROR(V125*HSTECH!$B$16*HSTECH!$G$16/HSTECH!$B$3,""))</f>
        <v/>
      </c>
      <c r="CK125" s="161">
        <f>IF(W125="","",IFERROR(W125*HSTECH!$B$16*HSTECH!$G$16/HSTECH!$B$3,""))</f>
        <v/>
      </c>
      <c r="CL125" s="161">
        <f>IF(X125="","",IFERROR(X125*HSTECH!$B$16*HSTECH!$G$16/HSTECH!$B$3,""))</f>
        <v/>
      </c>
      <c r="CM125" s="161">
        <f>IF(Y125="","",IFERROR(Y125*HSTECH!$B$16*HSTECH!$G$16/HSTECH!$B$3,""))</f>
        <v/>
      </c>
      <c r="CN125" s="161">
        <f>IF(Z125="","",IFERROR(Z125*HSTECH!$B$16*HSTECH!$G$16/HSTECH!$B$3,""))</f>
        <v/>
      </c>
      <c r="CO125" s="161">
        <f>IF(AA125="","",IFERROR(AA125*HSTECH!$B$16*HSTECH!$G$16/HSTECH!$B$3,""))</f>
        <v/>
      </c>
      <c r="CP125" s="161">
        <f>IF(AB125="","",IFERROR(AB125*HSTECH!$B$16*HSTECH!$G$16/HSTECH!$B$3,""))</f>
        <v/>
      </c>
      <c r="CQ125" s="161">
        <f>IF(AC125="","",IFERROR(AC125*HSTECH!$B$16*HSTECH!$G$16/HSTECH!$B$3,""))</f>
        <v/>
      </c>
      <c r="CR125" s="161">
        <f>IF(AD125="","",IFERROR(AD125*HSTECH!$B$16*HSTECH!$G$16/HSTECH!$B$3,""))</f>
        <v/>
      </c>
      <c r="CS125" s="161">
        <f>IF(AE125="","",IFERROR(AE125*HSTECH!$B$16*HSTECH!$G$16/HSTECH!$B$3,""))</f>
        <v/>
      </c>
      <c r="CT125" s="161">
        <f>IF(AF125="","",IFERROR(AF125*HSTECH!$B$16*HSTECH!$G$16/HSTECH!$B$3,""))</f>
        <v/>
      </c>
      <c r="CU125" s="161">
        <f>IF(AG125="","",IFERROR(AG125*HSTECH!$B$16*HSTECH!$G$16/HSTECH!$B$3,""))</f>
        <v/>
      </c>
      <c r="CV125" s="161">
        <f>IF(AH125="","",IFERROR(AH125*HSTECH!$B$16*HSTECH!$G$16/HSTECH!$B$3,""))</f>
        <v/>
      </c>
      <c r="CW125" s="161">
        <f>IF(AI125="","",IFERROR(AI125*HSTECH!$B$16*HSTECH!$G$16/HSTECH!$B$3,""))</f>
        <v/>
      </c>
      <c r="CX125" s="161">
        <f>IF(AJ125="","",IFERROR(AJ125*HSTECH!$B$16*HSTECH!$G$16/HSTECH!$B$3,""))</f>
        <v/>
      </c>
      <c r="CY125" s="161">
        <f>IF(AK125="","",IFERROR(AK125*HSTECH!$B$16*HSTECH!$G$16/HSTECH!$B$3,""))</f>
        <v/>
      </c>
      <c r="CZ125" s="161">
        <f>IF(AL125="","",IFERROR(AL125*HSTECH!$B$16*HSTECH!$G$16/HSTECH!$B$3,""))</f>
        <v/>
      </c>
      <c r="DA125" s="161">
        <f>IF(AM125="","",IFERROR(AM125*HSTECH!$B$16*HSTECH!$G$16/HSTECH!$B$3,""))</f>
        <v/>
      </c>
      <c r="DB125" s="161">
        <f>IF(AN125="","",IFERROR(AN125*HSTECH!$B$16*HSTECH!$G$16/HSTECH!$B$3,""))</f>
        <v/>
      </c>
      <c r="DC125" s="161">
        <f>IF(AO125="","",IFERROR(AO125*HSTECH!$B$16*HSTECH!$G$16/HSTECH!$B$3,""))</f>
        <v/>
      </c>
      <c r="DD125" s="161">
        <f>IF(AP125="","",IFERROR(AP125*HSTECH!$B$16*HSTECH!$G$16/HSTECH!$B$3,""))</f>
        <v/>
      </c>
      <c r="DE125" s="161">
        <f>IF(AQ125="","",IFERROR(AQ125*HSTECH!$B$16*HSTECH!$G$16/HSTECH!$B$3,""))</f>
        <v/>
      </c>
      <c r="DF125" s="161">
        <f>IF(AR125="","",IFERROR(AR125*HSTECH!$B$16*HSTECH!$G$16/HSTECH!$B$3,""))</f>
        <v/>
      </c>
      <c r="DG125" s="161">
        <f>IF(AS125="","",IFERROR(AS125*HSTECH!$B$16*HSTECH!$G$16/HSTECH!$B$3,""))</f>
        <v/>
      </c>
      <c r="DH125" s="161">
        <f>IF(AT125="","",IFERROR(AT125*HSTECH!$B$16*HSTECH!$G$16/HSTECH!$B$3,""))</f>
        <v/>
      </c>
      <c r="DI125" s="161">
        <f>IF(AU125="","",IFERROR(AU125*HSTECH!$B$16*HSTECH!$G$16/HSTECH!$B$3,""))</f>
        <v/>
      </c>
      <c r="DJ125" s="161">
        <f>IF(AV125="","",IFERROR(AV125*HSTECH!$B$16*HSTECH!$G$16/HSTECH!$B$3,""))</f>
        <v/>
      </c>
      <c r="DK125" s="161">
        <f>IF(AW125="","",IFERROR(AW125*HSTECH!$B$16*HSTECH!$G$16/HSTECH!$B$3,""))</f>
        <v/>
      </c>
      <c r="DL125" s="161">
        <f>IF(AX125="","",IFERROR(AX125*HSTECH!$B$16*HSTECH!$G$16/HSTECH!$B$3,""))</f>
        <v/>
      </c>
      <c r="DM125" s="161">
        <f>IF(AY125="","",IFERROR(AY125*HSTECH!$B$16*HSTECH!$G$16/HSTECH!$B$3,""))</f>
        <v/>
      </c>
      <c r="DN125" s="161">
        <f>IF(AZ125="","",IFERROR(AZ125*HSTECH!$B$16*HSTECH!$G$16/HSTECH!$B$3,""))</f>
        <v/>
      </c>
      <c r="DO125" s="161">
        <f>IF(BA125="","",IFERROR(BA125*HSTECH!$B$16*HSTECH!$G$16/HSTECH!$B$3,""))</f>
        <v/>
      </c>
      <c r="DP125" s="161">
        <f>IF(BB125="","",IFERROR(BB125*HSTECH!$B$16*HSTECH!$G$16/HSTECH!$B$3,""))</f>
        <v/>
      </c>
      <c r="DQ125" s="161">
        <f>IF(BC125="","",IFERROR(BC125*HSTECH!$B$16*HSTECH!$G$16/HSTECH!$B$3,""))</f>
        <v/>
      </c>
      <c r="DR125" s="161">
        <f>IF(BD125="","",IFERROR(BD125*HSTECH!$B$16*HSTECH!$G$16/HSTECH!$B$3,""))</f>
        <v/>
      </c>
      <c r="DS125" s="161">
        <f>IF(BE125="","",IFERROR(BE125*HSTECH!$B$16*HSTECH!$G$16/HSTECH!$B$3,""))</f>
        <v/>
      </c>
      <c r="DT125" s="161">
        <f>IF(BF125="","",IFERROR(BF125*HSTECH!$B$16*HSTECH!$G$16/HSTECH!$B$3,""))</f>
        <v/>
      </c>
      <c r="DU125" s="161">
        <f>IF(BG125="","",IFERROR(BG125*HSTECH!$B$16*HSTECH!$G$16/HSTECH!$B$3,""))</f>
        <v/>
      </c>
      <c r="DV125" s="161">
        <f>IF(BH125="","",IFERROR(BH125*HSTECH!$B$16*HSTECH!$G$16/HSTECH!$B$3,""))</f>
        <v/>
      </c>
      <c r="DW125" s="161">
        <f>IF(BI125="","",IFERROR(BI125*HSTECH!$B$16*HSTECH!$G$16/HSTECH!$B$3,""))</f>
        <v/>
      </c>
      <c r="DX125" s="161">
        <f>IF(BJ125="","",IFERROR(BJ125*HSTECH!$B$16*HSTECH!$G$16/HSTECH!$B$3,""))</f>
        <v/>
      </c>
      <c r="DY125" s="161">
        <f>IF(BK125="","",IFERROR(BK125*HSTECH!$B$16*HSTECH!$G$16/HSTECH!$B$3,""))</f>
        <v/>
      </c>
      <c r="DZ125" s="161">
        <f>IF(BL125="","",IFERROR(BL125*HSTECH!$B$16*HSTECH!$G$16/HSTECH!$B$3,""))</f>
        <v/>
      </c>
      <c r="EA125" s="161">
        <f>IF(BM125="","",IFERROR(BM125*HSTECH!$B$16*HSTECH!$G$16/HSTECH!$B$3,""))</f>
        <v/>
      </c>
      <c r="EB125" s="161">
        <f>IF(BN125="","",IFERROR(BN125*HSTECH!$B$16*HSTECH!$G$16/HSTECH!$B$3,""))</f>
        <v/>
      </c>
      <c r="EC125" s="161">
        <f>IF(BO125="","",IFERROR(BO125*HSTECH!$B$16*HSTECH!$G$16/HSTECH!$B$3,""))</f>
        <v/>
      </c>
      <c r="EE125" s="121">
        <f>IF(N('Dvd Calendar'!$E$1215)=0,"",IF(('Dvd Calendar'!$E$1215&gt;=GRID_FROM)*('Dvd Calendar'!$E$1215&lt;=GRID_TO)*((('Dvd Calendar'!$E$1215&lt;=VAL_DATE)+(COUNTIF('Dvd Calendar'!$E$1222:$AR$1222,'Dvd Calendar'!$E$1215)=0))&gt;0)=0,"",'Dvd Calendar'!$E$1215*1000000000+ISNUMBER('Dvd Calendar'!$E$1218)*100000000+('Dvd Calendar'!$E$1220=SPECIAL_LBL)*10000000+(N('Dvd Calendar'!$E$1214)&gt;0)*(N('Dvd Calendar'!$E$1214)&lt;=VAL_SERIAL)*1000000+10*1000+1))</f>
        <v/>
      </c>
      <c r="EF125" s="121">
        <f>IF(N('Dvd Calendar'!$F$1215)=0,"",IF(('Dvd Calendar'!$F$1215&gt;=GRID_FROM)*('Dvd Calendar'!$F$1215&lt;=GRID_TO)*((('Dvd Calendar'!$F$1215&lt;=VAL_DATE)+(COUNTIF('Dvd Calendar'!$E$1222:$AR$1222,'Dvd Calendar'!$F$1215)=0))&gt;0)=0,"",'Dvd Calendar'!$F$1215*1000000000+ISNUMBER('Dvd Calendar'!$F$1218)*100000000+('Dvd Calendar'!$F$1220=SPECIAL_LBL)*10000000+(N('Dvd Calendar'!$F$1214)&gt;0)*(N('Dvd Calendar'!$F$1214)&lt;=VAL_SERIAL)*1000000+10*1000+2))</f>
        <v/>
      </c>
      <c r="EG125" s="121">
        <f>IF(N('Dvd Calendar'!$G$1215)=0,"",IF(('Dvd Calendar'!$G$1215&gt;=GRID_FROM)*('Dvd Calendar'!$G$1215&lt;=GRID_TO)*((('Dvd Calendar'!$G$1215&lt;=VAL_DATE)+(COUNTIF('Dvd Calendar'!$E$1222:$AR$1222,'Dvd Calendar'!$G$1215)=0))&gt;0)=0,"",'Dvd Calendar'!$G$1215*1000000000+ISNUMBER('Dvd Calendar'!$G$1218)*100000000+('Dvd Calendar'!$G$1220=SPECIAL_LBL)*10000000+(N('Dvd Calendar'!$G$1214)&gt;0)*(N('Dvd Calendar'!$G$1214)&lt;=VAL_SERIAL)*1000000+10*1000+3))</f>
        <v/>
      </c>
      <c r="EH125" s="121">
        <f>IF(N('Dvd Calendar'!$H$1215)=0,"",IF(('Dvd Calendar'!$H$1215&gt;=GRID_FROM)*('Dvd Calendar'!$H$1215&lt;=GRID_TO)*((('Dvd Calendar'!$H$1215&lt;=VAL_DATE)+(COUNTIF('Dvd Calendar'!$E$1222:$AR$1222,'Dvd Calendar'!$H$1215)=0))&gt;0)=0,"",'Dvd Calendar'!$H$1215*1000000000+ISNUMBER('Dvd Calendar'!$H$1218)*100000000+('Dvd Calendar'!$H$1220=SPECIAL_LBL)*10000000+(N('Dvd Calendar'!$H$1214)&gt;0)*(N('Dvd Calendar'!$H$1214)&lt;=VAL_SERIAL)*1000000+10*1000+4))</f>
        <v/>
      </c>
      <c r="EI125" s="121">
        <f>IF(N('Dvd Calendar'!$I$1215)=0,"",IF(('Dvd Calendar'!$I$1215&gt;=GRID_FROM)*('Dvd Calendar'!$I$1215&lt;=GRID_TO)*((('Dvd Calendar'!$I$1215&lt;=VAL_DATE)+(COUNTIF('Dvd Calendar'!$E$1222:$AR$1222,'Dvd Calendar'!$I$1215)=0))&gt;0)=0,"",'Dvd Calendar'!$I$1215*1000000000+ISNUMBER('Dvd Calendar'!$I$1218)*100000000+('Dvd Calendar'!$I$1220=SPECIAL_LBL)*10000000+(N('Dvd Calendar'!$I$1214)&gt;0)*(N('Dvd Calendar'!$I$1214)&lt;=VAL_SERIAL)*1000000+10*1000+5))</f>
        <v/>
      </c>
      <c r="EJ125" s="121">
        <f>IF(N('Dvd Calendar'!$J$1215)=0,"",IF(('Dvd Calendar'!$J$1215&gt;=GRID_FROM)*('Dvd Calendar'!$J$1215&lt;=GRID_TO)*((('Dvd Calendar'!$J$1215&lt;=VAL_DATE)+(COUNTIF('Dvd Calendar'!$E$1222:$AR$1222,'Dvd Calendar'!$J$1215)=0))&gt;0)=0,"",'Dvd Calendar'!$J$1215*1000000000+ISNUMBER('Dvd Calendar'!$J$1218)*100000000+('Dvd Calendar'!$J$1220=SPECIAL_LBL)*10000000+(N('Dvd Calendar'!$J$1214)&gt;0)*(N('Dvd Calendar'!$J$1214)&lt;=VAL_SERIAL)*1000000+10*1000+6))</f>
        <v/>
      </c>
      <c r="EK125" s="121">
        <f>IF(N('Dvd Calendar'!$K$1215)=0,"",IF(('Dvd Calendar'!$K$1215&gt;=GRID_FROM)*('Dvd Calendar'!$K$1215&lt;=GRID_TO)*((('Dvd Calendar'!$K$1215&lt;=VAL_DATE)+(COUNTIF('Dvd Calendar'!$E$1222:$AR$1222,'Dvd Calendar'!$K$1215)=0))&gt;0)=0,"",'Dvd Calendar'!$K$1215*1000000000+ISNUMBER('Dvd Calendar'!$K$1218)*100000000+('Dvd Calendar'!$K$1220=SPECIAL_LBL)*10000000+(N('Dvd Calendar'!$K$1214)&gt;0)*(N('Dvd Calendar'!$K$1214)&lt;=VAL_SERIAL)*1000000+10*1000+7))</f>
        <v/>
      </c>
      <c r="EL125" s="121">
        <f>IF(N('Dvd Calendar'!$L$1215)=0,"",IF(('Dvd Calendar'!$L$1215&gt;=GRID_FROM)*('Dvd Calendar'!$L$1215&lt;=GRID_TO)*((('Dvd Calendar'!$L$1215&lt;=VAL_DATE)+(COUNTIF('Dvd Calendar'!$E$1222:$AR$1222,'Dvd Calendar'!$L$1215)=0))&gt;0)=0,"",'Dvd Calendar'!$L$1215*1000000000+ISNUMBER('Dvd Calendar'!$L$1218)*100000000+('Dvd Calendar'!$L$1220=SPECIAL_LBL)*10000000+(N('Dvd Calendar'!$L$1214)&gt;0)*(N('Dvd Calendar'!$L$1214)&lt;=VAL_SERIAL)*1000000+10*1000+8))</f>
        <v/>
      </c>
      <c r="EM125" s="121">
        <f>IF(N('Dvd Calendar'!$M$1215)=0,"",IF(('Dvd Calendar'!$M$1215&gt;=GRID_FROM)*('Dvd Calendar'!$M$1215&lt;=GRID_TO)*((('Dvd Calendar'!$M$1215&lt;=VAL_DATE)+(COUNTIF('Dvd Calendar'!$E$1222:$AR$1222,'Dvd Calendar'!$M$1215)=0))&gt;0)=0,"",'Dvd Calendar'!$M$1215*1000000000+ISNUMBER('Dvd Calendar'!$M$1218)*100000000+('Dvd Calendar'!$M$1220=SPECIAL_LBL)*10000000+(N('Dvd Calendar'!$M$1214)&gt;0)*(N('Dvd Calendar'!$M$1214)&lt;=VAL_SERIAL)*1000000+10*1000+9))</f>
        <v/>
      </c>
      <c r="EN125" s="121">
        <f>IF(N('Dvd Calendar'!$N$1215)=0,"",IF(('Dvd Calendar'!$N$1215&gt;=GRID_FROM)*('Dvd Calendar'!$N$1215&lt;=GRID_TO)*((('Dvd Calendar'!$N$1215&lt;=VAL_DATE)+(COUNTIF('Dvd Calendar'!$E$1222:$AR$1222,'Dvd Calendar'!$N$1215)=0))&gt;0)=0,"",'Dvd Calendar'!$N$1215*1000000000+ISNUMBER('Dvd Calendar'!$N$1218)*100000000+('Dvd Calendar'!$N$1220=SPECIAL_LBL)*10000000+(N('Dvd Calendar'!$N$1214)&gt;0)*(N('Dvd Calendar'!$N$1214)&lt;=VAL_SERIAL)*1000000+10*1000+10))</f>
        <v/>
      </c>
      <c r="EO125" s="121">
        <f>IF(N('Dvd Calendar'!$O$1215)=0,"",IF(('Dvd Calendar'!$O$1215&gt;=GRID_FROM)*('Dvd Calendar'!$O$1215&lt;=GRID_TO)*((('Dvd Calendar'!$O$1215&lt;=VAL_DATE)+(COUNTIF('Dvd Calendar'!$E$1222:$AR$1222,'Dvd Calendar'!$O$1215)=0))&gt;0)=0,"",'Dvd Calendar'!$O$1215*1000000000+ISNUMBER('Dvd Calendar'!$O$1218)*100000000+('Dvd Calendar'!$O$1220=SPECIAL_LBL)*10000000+(N('Dvd Calendar'!$O$1214)&gt;0)*(N('Dvd Calendar'!$O$1214)&lt;=VAL_SERIAL)*1000000+10*1000+11))</f>
        <v/>
      </c>
      <c r="EP125" s="121">
        <f>IF(N('Dvd Calendar'!$P$1215)=0,"",IF(('Dvd Calendar'!$P$1215&gt;=GRID_FROM)*('Dvd Calendar'!$P$1215&lt;=GRID_TO)*((('Dvd Calendar'!$P$1215&lt;=VAL_DATE)+(COUNTIF('Dvd Calendar'!$E$1222:$AR$1222,'Dvd Calendar'!$P$1215)=0))&gt;0)=0,"",'Dvd Calendar'!$P$1215*1000000000+ISNUMBER('Dvd Calendar'!$P$1218)*100000000+('Dvd Calendar'!$P$1220=SPECIAL_LBL)*10000000+(N('Dvd Calendar'!$P$1214)&gt;0)*(N('Dvd Calendar'!$P$1214)&lt;=VAL_SERIAL)*1000000+10*1000+12))</f>
        <v/>
      </c>
      <c r="EQ125" s="121">
        <f>IF(N('Dvd Calendar'!$Q$1215)=0,"",IF(('Dvd Calendar'!$Q$1215&gt;=GRID_FROM)*('Dvd Calendar'!$Q$1215&lt;=GRID_TO)*((('Dvd Calendar'!$Q$1215&lt;=VAL_DATE)+(COUNTIF('Dvd Calendar'!$E$1222:$AR$1222,'Dvd Calendar'!$Q$1215)=0))&gt;0)=0,"",'Dvd Calendar'!$Q$1215*1000000000+ISNUMBER('Dvd Calendar'!$Q$1218)*100000000+('Dvd Calendar'!$Q$1220=SPECIAL_LBL)*10000000+(N('Dvd Calendar'!$Q$1214)&gt;0)*(N('Dvd Calendar'!$Q$1214)&lt;=VAL_SERIAL)*1000000+10*1000+13))</f>
        <v/>
      </c>
      <c r="ER125" s="121">
        <f>IF(N('Dvd Calendar'!$R$1215)=0,"",IF(('Dvd Calendar'!$R$1215&gt;=GRID_FROM)*('Dvd Calendar'!$R$1215&lt;=GRID_TO)*((('Dvd Calendar'!$R$1215&lt;=VAL_DATE)+(COUNTIF('Dvd Calendar'!$E$1222:$AR$1222,'Dvd Calendar'!$R$1215)=0))&gt;0)=0,"",'Dvd Calendar'!$R$1215*1000000000+ISNUMBER('Dvd Calendar'!$R$1218)*100000000+('Dvd Calendar'!$R$1220=SPECIAL_LBL)*10000000+(N('Dvd Calendar'!$R$1214)&gt;0)*(N('Dvd Calendar'!$R$1214)&lt;=VAL_SERIAL)*1000000+10*1000+14))</f>
        <v/>
      </c>
      <c r="ES125" s="121">
        <f>IF(N('Dvd Calendar'!$S$1215)=0,"",IF(('Dvd Calendar'!$S$1215&gt;=GRID_FROM)*('Dvd Calendar'!$S$1215&lt;=GRID_TO)*((('Dvd Calendar'!$S$1215&lt;=VAL_DATE)+(COUNTIF('Dvd Calendar'!$E$1222:$AR$1222,'Dvd Calendar'!$S$1215)=0))&gt;0)=0,"",'Dvd Calendar'!$S$1215*1000000000+ISNUMBER('Dvd Calendar'!$S$1218)*100000000+('Dvd Calendar'!$S$1220=SPECIAL_LBL)*10000000+(N('Dvd Calendar'!$S$1214)&gt;0)*(N('Dvd Calendar'!$S$1214)&lt;=VAL_SERIAL)*1000000+10*1000+15))</f>
        <v/>
      </c>
      <c r="ET125" s="121">
        <f>IF(N('Dvd Calendar'!$T$1215)=0,"",IF(('Dvd Calendar'!$T$1215&gt;=GRID_FROM)*('Dvd Calendar'!$T$1215&lt;=GRID_TO)*((('Dvd Calendar'!$T$1215&lt;=VAL_DATE)+(COUNTIF('Dvd Calendar'!$E$1222:$AR$1222,'Dvd Calendar'!$T$1215)=0))&gt;0)=0,"",'Dvd Calendar'!$T$1215*1000000000+ISNUMBER('Dvd Calendar'!$T$1218)*100000000+('Dvd Calendar'!$T$1220=SPECIAL_LBL)*10000000+(N('Dvd Calendar'!$T$1214)&gt;0)*(N('Dvd Calendar'!$T$1214)&lt;=VAL_SERIAL)*1000000+10*1000+16))</f>
        <v/>
      </c>
      <c r="EU125" s="121">
        <f>IF(N('Dvd Calendar'!$U$1215)=0,"",IF(('Dvd Calendar'!$U$1215&gt;=GRID_FROM)*('Dvd Calendar'!$U$1215&lt;=GRID_TO)*((('Dvd Calendar'!$U$1215&lt;=VAL_DATE)+(COUNTIF('Dvd Calendar'!$E$1222:$AR$1222,'Dvd Calendar'!$U$1215)=0))&gt;0)=0,"",'Dvd Calendar'!$U$1215*1000000000+ISNUMBER('Dvd Calendar'!$U$1218)*100000000+('Dvd Calendar'!$U$1220=SPECIAL_LBL)*10000000+(N('Dvd Calendar'!$U$1214)&gt;0)*(N('Dvd Calendar'!$U$1214)&lt;=VAL_SERIAL)*1000000+10*1000+17))</f>
        <v/>
      </c>
      <c r="EV125" s="121">
        <f>IF(N('Dvd Calendar'!$V$1215)=0,"",IF(('Dvd Calendar'!$V$1215&gt;=GRID_FROM)*('Dvd Calendar'!$V$1215&lt;=GRID_TO)*((('Dvd Calendar'!$V$1215&lt;=VAL_DATE)+(COUNTIF('Dvd Calendar'!$E$1222:$AR$1222,'Dvd Calendar'!$V$1215)=0))&gt;0)=0,"",'Dvd Calendar'!$V$1215*1000000000+ISNUMBER('Dvd Calendar'!$V$1218)*100000000+('Dvd Calendar'!$V$1220=SPECIAL_LBL)*10000000+(N('Dvd Calendar'!$V$1214)&gt;0)*(N('Dvd Calendar'!$V$1214)&lt;=VAL_SERIAL)*1000000+10*1000+18))</f>
        <v/>
      </c>
      <c r="EW125" s="121">
        <f>IF(N('Dvd Calendar'!$W$1215)=0,"",IF(('Dvd Calendar'!$W$1215&gt;=GRID_FROM)*('Dvd Calendar'!$W$1215&lt;=GRID_TO)*((('Dvd Calendar'!$W$1215&lt;=VAL_DATE)+(COUNTIF('Dvd Calendar'!$E$1222:$AR$1222,'Dvd Calendar'!$W$1215)=0))&gt;0)=0,"",'Dvd Calendar'!$W$1215*1000000000+ISNUMBER('Dvd Calendar'!$W$1218)*100000000+('Dvd Calendar'!$W$1220=SPECIAL_LBL)*10000000+(N('Dvd Calendar'!$W$1214)&gt;0)*(N('Dvd Calendar'!$W$1214)&lt;=VAL_SERIAL)*1000000+10*1000+19))</f>
        <v/>
      </c>
      <c r="EX125" s="121">
        <f>IF(N('Dvd Calendar'!$X$1215)=0,"",IF(('Dvd Calendar'!$X$1215&gt;=GRID_FROM)*('Dvd Calendar'!$X$1215&lt;=GRID_TO)*((('Dvd Calendar'!$X$1215&lt;=VAL_DATE)+(COUNTIF('Dvd Calendar'!$E$1222:$AR$1222,'Dvd Calendar'!$X$1215)=0))&gt;0)=0,"",'Dvd Calendar'!$X$1215*1000000000+ISNUMBER('Dvd Calendar'!$X$1218)*100000000+('Dvd Calendar'!$X$1220=SPECIAL_LBL)*10000000+(N('Dvd Calendar'!$X$1214)&gt;0)*(N('Dvd Calendar'!$X$1214)&lt;=VAL_SERIAL)*1000000+10*1000+20))</f>
        <v/>
      </c>
      <c r="EY125" s="121">
        <f>IF(N('Dvd Calendar'!$Y$1215)=0,"",IF(('Dvd Calendar'!$Y$1215&gt;=GRID_FROM)*('Dvd Calendar'!$Y$1215&lt;=GRID_TO)*((('Dvd Calendar'!$Y$1215&lt;=VAL_DATE)+(COUNTIF('Dvd Calendar'!$E$1222:$AR$1222,'Dvd Calendar'!$Y$1215)=0))&gt;0)=0,"",'Dvd Calendar'!$Y$1215*1000000000+ISNUMBER('Dvd Calendar'!$Y$1218)*100000000+('Dvd Calendar'!$Y$1220=SPECIAL_LBL)*10000000+(N('Dvd Calendar'!$Y$1214)&gt;0)*(N('Dvd Calendar'!$Y$1214)&lt;=VAL_SERIAL)*1000000+10*1000+21))</f>
        <v/>
      </c>
      <c r="EZ125" s="121">
        <f>IF(N('Dvd Calendar'!$Z$1215)=0,"",IF(('Dvd Calendar'!$Z$1215&gt;=GRID_FROM)*('Dvd Calendar'!$Z$1215&lt;=GRID_TO)*((('Dvd Calendar'!$Z$1215&lt;=VAL_DATE)+(COUNTIF('Dvd Calendar'!$E$1222:$AR$1222,'Dvd Calendar'!$Z$1215)=0))&gt;0)=0,"",'Dvd Calendar'!$Z$1215*1000000000+ISNUMBER('Dvd Calendar'!$Z$1218)*100000000+('Dvd Calendar'!$Z$1220=SPECIAL_LBL)*10000000+(N('Dvd Calendar'!$Z$1214)&gt;0)*(N('Dvd Calendar'!$Z$1214)&lt;=VAL_SERIAL)*1000000+10*1000+22))</f>
        <v/>
      </c>
      <c r="FA125" s="121">
        <f>IF(N('Dvd Calendar'!$AA$1215)=0,"",IF(('Dvd Calendar'!$AA$1215&gt;=GRID_FROM)*('Dvd Calendar'!$AA$1215&lt;=GRID_TO)*((('Dvd Calendar'!$AA$1215&lt;=VAL_DATE)+(COUNTIF('Dvd Calendar'!$E$1222:$AR$1222,'Dvd Calendar'!$AA$1215)=0))&gt;0)=0,"",'Dvd Calendar'!$AA$1215*1000000000+ISNUMBER('Dvd Calendar'!$AA$1218)*100000000+('Dvd Calendar'!$AA$1220=SPECIAL_LBL)*10000000+(N('Dvd Calendar'!$AA$1214)&gt;0)*(N('Dvd Calendar'!$AA$1214)&lt;=VAL_SERIAL)*1000000+10*1000+23))</f>
        <v/>
      </c>
      <c r="FB125" s="121">
        <f>IF(N('Dvd Calendar'!$AB$1215)=0,"",IF(('Dvd Calendar'!$AB$1215&gt;=GRID_FROM)*('Dvd Calendar'!$AB$1215&lt;=GRID_TO)*((('Dvd Calendar'!$AB$1215&lt;=VAL_DATE)+(COUNTIF('Dvd Calendar'!$E$1222:$AR$1222,'Dvd Calendar'!$AB$1215)=0))&gt;0)=0,"",'Dvd Calendar'!$AB$1215*1000000000+ISNUMBER('Dvd Calendar'!$AB$1218)*100000000+('Dvd Calendar'!$AB$1220=SPECIAL_LBL)*10000000+(N('Dvd Calendar'!$AB$1214)&gt;0)*(N('Dvd Calendar'!$AB$1214)&lt;=VAL_SERIAL)*1000000+10*1000+24))</f>
        <v/>
      </c>
      <c r="FC125" s="121">
        <f>IF(N('Dvd Calendar'!$AC$1215)=0,"",IF(('Dvd Calendar'!$AC$1215&gt;=GRID_FROM)*('Dvd Calendar'!$AC$1215&lt;=GRID_TO)*((('Dvd Calendar'!$AC$1215&lt;=VAL_DATE)+(COUNTIF('Dvd Calendar'!$E$1222:$AR$1222,'Dvd Calendar'!$AC$1215)=0))&gt;0)=0,"",'Dvd Calendar'!$AC$1215*1000000000+ISNUMBER('Dvd Calendar'!$AC$1218)*100000000+('Dvd Calendar'!$AC$1220=SPECIAL_LBL)*10000000+(N('Dvd Calendar'!$AC$1214)&gt;0)*(N('Dvd Calendar'!$AC$1214)&lt;=VAL_SERIAL)*1000000+10*1000+25))</f>
        <v/>
      </c>
      <c r="FD125" s="121">
        <f>IF(N('Dvd Calendar'!$AD$1215)=0,"",IF(('Dvd Calendar'!$AD$1215&gt;=GRID_FROM)*('Dvd Calendar'!$AD$1215&lt;=GRID_TO)*((('Dvd Calendar'!$AD$1215&lt;=VAL_DATE)+(COUNTIF('Dvd Calendar'!$E$1222:$AR$1222,'Dvd Calendar'!$AD$1215)=0))&gt;0)=0,"",'Dvd Calendar'!$AD$1215*1000000000+ISNUMBER('Dvd Calendar'!$AD$1218)*100000000+('Dvd Calendar'!$AD$1220=SPECIAL_LBL)*10000000+(N('Dvd Calendar'!$AD$1214)&gt;0)*(N('Dvd Calendar'!$AD$1214)&lt;=VAL_SERIAL)*1000000+10*1000+26))</f>
        <v/>
      </c>
      <c r="FE125" s="121">
        <f>IF(N('Dvd Calendar'!$AE$1215)=0,"",IF(('Dvd Calendar'!$AE$1215&gt;=GRID_FROM)*('Dvd Calendar'!$AE$1215&lt;=GRID_TO)*((('Dvd Calendar'!$AE$1215&lt;=VAL_DATE)+(COUNTIF('Dvd Calendar'!$E$1222:$AR$1222,'Dvd Calendar'!$AE$1215)=0))&gt;0)=0,"",'Dvd Calendar'!$AE$1215*1000000000+ISNUMBER('Dvd Calendar'!$AE$1218)*100000000+('Dvd Calendar'!$AE$1220=SPECIAL_LBL)*10000000+(N('Dvd Calendar'!$AE$1214)&gt;0)*(N('Dvd Calendar'!$AE$1214)&lt;=VAL_SERIAL)*1000000+10*1000+27))</f>
        <v/>
      </c>
      <c r="FF125" s="121">
        <f>IF(N('Dvd Calendar'!$AF$1215)=0,"",IF(('Dvd Calendar'!$AF$1215&gt;=GRID_FROM)*('Dvd Calendar'!$AF$1215&lt;=GRID_TO)*((('Dvd Calendar'!$AF$1215&lt;=VAL_DATE)+(COUNTIF('Dvd Calendar'!$E$1222:$AR$1222,'Dvd Calendar'!$AF$1215)=0))&gt;0)=0,"",'Dvd Calendar'!$AF$1215*1000000000+ISNUMBER('Dvd Calendar'!$AF$1218)*100000000+('Dvd Calendar'!$AF$1220=SPECIAL_LBL)*10000000+(N('Dvd Calendar'!$AF$1214)&gt;0)*(N('Dvd Calendar'!$AF$1214)&lt;=VAL_SERIAL)*1000000+10*1000+28))</f>
        <v/>
      </c>
      <c r="FG125" s="121">
        <f>IF(N('Dvd Calendar'!$AG$1215)=0,"",IF(('Dvd Calendar'!$AG$1215&gt;=GRID_FROM)*('Dvd Calendar'!$AG$1215&lt;=GRID_TO)*((('Dvd Calendar'!$AG$1215&lt;=VAL_DATE)+(COUNTIF('Dvd Calendar'!$E$1222:$AR$1222,'Dvd Calendar'!$AG$1215)=0))&gt;0)=0,"",'Dvd Calendar'!$AG$1215*1000000000+ISNUMBER('Dvd Calendar'!$AG$1218)*100000000+('Dvd Calendar'!$AG$1220=SPECIAL_LBL)*10000000+(N('Dvd Calendar'!$AG$1214)&gt;0)*(N('Dvd Calendar'!$AG$1214)&lt;=VAL_SERIAL)*1000000+10*1000+29))</f>
        <v/>
      </c>
      <c r="FH125" s="121">
        <f>IF(N('Dvd Calendar'!$AH$1215)=0,"",IF(('Dvd Calendar'!$AH$1215&gt;=GRID_FROM)*('Dvd Calendar'!$AH$1215&lt;=GRID_TO)*((('Dvd Calendar'!$AH$1215&lt;=VAL_DATE)+(COUNTIF('Dvd Calendar'!$E$1222:$AR$1222,'Dvd Calendar'!$AH$1215)=0))&gt;0)=0,"",'Dvd Calendar'!$AH$1215*1000000000+ISNUMBER('Dvd Calendar'!$AH$1218)*100000000+('Dvd Calendar'!$AH$1220=SPECIAL_LBL)*10000000+(N('Dvd Calendar'!$AH$1214)&gt;0)*(N('Dvd Calendar'!$AH$1214)&lt;=VAL_SERIAL)*1000000+10*1000+30))</f>
        <v/>
      </c>
      <c r="FI125" s="121">
        <f>IF(N('Dvd Calendar'!$AI$1215)=0,"",IF(('Dvd Calendar'!$AI$1215&gt;=GRID_FROM)*('Dvd Calendar'!$AI$1215&lt;=GRID_TO)*((('Dvd Calendar'!$AI$1215&lt;=VAL_DATE)+(COUNTIF('Dvd Calendar'!$E$1222:$AR$1222,'Dvd Calendar'!$AI$1215)=0))&gt;0)=0,"",'Dvd Calendar'!$AI$1215*1000000000+ISNUMBER('Dvd Calendar'!$AI$1218)*100000000+('Dvd Calendar'!$AI$1220=SPECIAL_LBL)*10000000+(N('Dvd Calendar'!$AI$1214)&gt;0)*(N('Dvd Calendar'!$AI$1214)&lt;=VAL_SERIAL)*1000000+10*1000+31))</f>
        <v/>
      </c>
      <c r="FJ125" s="121">
        <f>IF(N('Dvd Calendar'!$AJ$1215)=0,"",IF(('Dvd Calendar'!$AJ$1215&gt;=GRID_FROM)*('Dvd Calendar'!$AJ$1215&lt;=GRID_TO)*((('Dvd Calendar'!$AJ$1215&lt;=VAL_DATE)+(COUNTIF('Dvd Calendar'!$E$1222:$AR$1222,'Dvd Calendar'!$AJ$1215)=0))&gt;0)=0,"",'Dvd Calendar'!$AJ$1215*1000000000+ISNUMBER('Dvd Calendar'!$AJ$1218)*100000000+('Dvd Calendar'!$AJ$1220=SPECIAL_LBL)*10000000+(N('Dvd Calendar'!$AJ$1214)&gt;0)*(N('Dvd Calendar'!$AJ$1214)&lt;=VAL_SERIAL)*1000000+10*1000+32))</f>
        <v/>
      </c>
      <c r="FK125" s="121">
        <f>IF(N('Dvd Calendar'!$AK$1215)=0,"",IF(('Dvd Calendar'!$AK$1215&gt;=GRID_FROM)*('Dvd Calendar'!$AK$1215&lt;=GRID_TO)*((('Dvd Calendar'!$AK$1215&lt;=VAL_DATE)+(COUNTIF('Dvd Calendar'!$E$1222:$AR$1222,'Dvd Calendar'!$AK$1215)=0))&gt;0)=0,"",'Dvd Calendar'!$AK$1215*1000000000+ISNUMBER('Dvd Calendar'!$AK$1218)*100000000+('Dvd Calendar'!$AK$1220=SPECIAL_LBL)*10000000+(N('Dvd Calendar'!$AK$1214)&gt;0)*(N('Dvd Calendar'!$AK$1214)&lt;=VAL_SERIAL)*1000000+10*1000+33))</f>
        <v/>
      </c>
      <c r="FL125" s="121">
        <f>IF(N('Dvd Calendar'!$AL$1215)=0,"",IF(('Dvd Calendar'!$AL$1215&gt;=GRID_FROM)*('Dvd Calendar'!$AL$1215&lt;=GRID_TO)*((('Dvd Calendar'!$AL$1215&lt;=VAL_DATE)+(COUNTIF('Dvd Calendar'!$E$1222:$AR$1222,'Dvd Calendar'!$AL$1215)=0))&gt;0)=0,"",'Dvd Calendar'!$AL$1215*1000000000+ISNUMBER('Dvd Calendar'!$AL$1218)*100000000+('Dvd Calendar'!$AL$1220=SPECIAL_LBL)*10000000+(N('Dvd Calendar'!$AL$1214)&gt;0)*(N('Dvd Calendar'!$AL$1214)&lt;=VAL_SERIAL)*1000000+10*1000+34))</f>
        <v/>
      </c>
      <c r="FM125" s="121">
        <f>IF(N('Dvd Calendar'!$AM$1215)=0,"",IF(('Dvd Calendar'!$AM$1215&gt;=GRID_FROM)*('Dvd Calendar'!$AM$1215&lt;=GRID_TO)*((('Dvd Calendar'!$AM$1215&lt;=VAL_DATE)+(COUNTIF('Dvd Calendar'!$E$1222:$AR$1222,'Dvd Calendar'!$AM$1215)=0))&gt;0)=0,"",'Dvd Calendar'!$AM$1215*1000000000+ISNUMBER('Dvd Calendar'!$AM$1218)*100000000+('Dvd Calendar'!$AM$1220=SPECIAL_LBL)*10000000+(N('Dvd Calendar'!$AM$1214)&gt;0)*(N('Dvd Calendar'!$AM$1214)&lt;=VAL_SERIAL)*1000000+10*1000+35))</f>
        <v/>
      </c>
      <c r="FN125" s="121">
        <f>IF(N('Dvd Calendar'!$AN$1215)=0,"",IF(('Dvd Calendar'!$AN$1215&gt;=GRID_FROM)*('Dvd Calendar'!$AN$1215&lt;=GRID_TO)*((('Dvd Calendar'!$AN$1215&lt;=VAL_DATE)+(COUNTIF('Dvd Calendar'!$E$1222:$AR$1222,'Dvd Calendar'!$AN$1215)=0))&gt;0)=0,"",'Dvd Calendar'!$AN$1215*1000000000+ISNUMBER('Dvd Calendar'!$AN$1218)*100000000+('Dvd Calendar'!$AN$1220=SPECIAL_LBL)*10000000+(N('Dvd Calendar'!$AN$1214)&gt;0)*(N('Dvd Calendar'!$AN$1214)&lt;=VAL_SERIAL)*1000000+10*1000+36))</f>
        <v/>
      </c>
      <c r="FO125" s="121">
        <f>IF(N('Dvd Calendar'!$AO$1215)=0,"",IF(('Dvd Calendar'!$AO$1215&gt;=GRID_FROM)*('Dvd Calendar'!$AO$1215&lt;=GRID_TO)*((('Dvd Calendar'!$AO$1215&lt;=VAL_DATE)+(COUNTIF('Dvd Calendar'!$E$1222:$AR$1222,'Dvd Calendar'!$AO$1215)=0))&gt;0)=0,"",'Dvd Calendar'!$AO$1215*1000000000+ISNUMBER('Dvd Calendar'!$AO$1218)*100000000+('Dvd Calendar'!$AO$1220=SPECIAL_LBL)*10000000+(N('Dvd Calendar'!$AO$1214)&gt;0)*(N('Dvd Calendar'!$AO$1214)&lt;=VAL_SERIAL)*1000000+10*1000+37))</f>
        <v/>
      </c>
      <c r="FP125" s="121">
        <f>IF(N('Dvd Calendar'!$AP$1215)=0,"",IF(('Dvd Calendar'!$AP$1215&gt;=GRID_FROM)*('Dvd Calendar'!$AP$1215&lt;=GRID_TO)*((('Dvd Calendar'!$AP$1215&lt;=VAL_DATE)+(COUNTIF('Dvd Calendar'!$E$1222:$AR$1222,'Dvd Calendar'!$AP$1215)=0))&gt;0)=0,"",'Dvd Calendar'!$AP$1215*1000000000+ISNUMBER('Dvd Calendar'!$AP$1218)*100000000+('Dvd Calendar'!$AP$1220=SPECIAL_LBL)*10000000+(N('Dvd Calendar'!$AP$1214)&gt;0)*(N('Dvd Calendar'!$AP$1214)&lt;=VAL_SERIAL)*1000000+10*1000+38))</f>
        <v/>
      </c>
      <c r="FQ125" s="121">
        <f>IF(N('Dvd Calendar'!$AQ$1215)=0,"",IF(('Dvd Calendar'!$AQ$1215&gt;=GRID_FROM)*('Dvd Calendar'!$AQ$1215&lt;=GRID_TO)*((('Dvd Calendar'!$AQ$1215&lt;=VAL_DATE)+(COUNTIF('Dvd Calendar'!$E$1222:$AR$1222,'Dvd Calendar'!$AQ$1215)=0))&gt;0)=0,"",'Dvd Calendar'!$AQ$1215*1000000000+ISNUMBER('Dvd Calendar'!$AQ$1218)*100000000+('Dvd Calendar'!$AQ$1220=SPECIAL_LBL)*10000000+(N('Dvd Calendar'!$AQ$1214)&gt;0)*(N('Dvd Calendar'!$AQ$1214)&lt;=VAL_SERIAL)*1000000+10*1000+39))</f>
        <v/>
      </c>
      <c r="FR125" s="121">
        <f>IF(N('Dvd Calendar'!$AR$1215)=0,"",IF(('Dvd Calendar'!$AR$1215&gt;=GRID_FROM)*('Dvd Calendar'!$AR$1215&lt;=GRID_TO)*((('Dvd Calendar'!$AR$1215&lt;=VAL_DATE)+(COUNTIF('Dvd Calendar'!$E$1222:$AR$1222,'Dvd Calendar'!$AR$1215)=0))&gt;0)=0,"",'Dvd Calendar'!$AR$1215*1000000000+ISNUMBER('Dvd Calendar'!$AR$1218)*100000000+('Dvd Calendar'!$AR$1220=SPECIAL_LBL)*10000000+(N('Dvd Calendar'!$AR$1214)&gt;0)*(N('Dvd Calendar'!$AR$1214)&lt;=VAL_SERIAL)*1000000+10*1000+40))</f>
        <v/>
      </c>
      <c r="FS125" s="121">
        <f>IF(N('Dvd Calendar'!$E$1222)=0,"",IF(('Dvd Calendar'!$E$1222&gt;=GRID_FROM)*('Dvd Calendar'!$E$1222&lt;=GRID_TO)*('Dvd Calendar'!$E$1222&gt;VAL_DATE)=0,"",'Dvd Calendar'!$E$1222*1000000000+ISNUMBER('Dvd Calendar'!$E$1223)*100000000+0*10000000+(N('Dvd Calendar'!$E$1221)&gt;0)*(N('Dvd Calendar'!$E$1221)&lt;=VAL_SERIAL)*1000000+10*1000+41))</f>
        <v/>
      </c>
      <c r="FT125" s="121">
        <f>IF(N('Dvd Calendar'!$F$1222)=0,"",IF(('Dvd Calendar'!$F$1222&gt;=GRID_FROM)*('Dvd Calendar'!$F$1222&lt;=GRID_TO)*('Dvd Calendar'!$F$1222&gt;VAL_DATE)=0,"",'Dvd Calendar'!$F$1222*1000000000+ISNUMBER('Dvd Calendar'!$F$1223)*100000000+0*10000000+(N('Dvd Calendar'!$F$1221)&gt;0)*(N('Dvd Calendar'!$F$1221)&lt;=VAL_SERIAL)*1000000+10*1000+42))</f>
        <v/>
      </c>
      <c r="FU125" s="121">
        <f>IF(N('Dvd Calendar'!$G$1222)=0,"",IF(('Dvd Calendar'!$G$1222&gt;=GRID_FROM)*('Dvd Calendar'!$G$1222&lt;=GRID_TO)*('Dvd Calendar'!$G$1222&gt;VAL_DATE)=0,"",'Dvd Calendar'!$G$1222*1000000000+ISNUMBER('Dvd Calendar'!$G$1223)*100000000+0*10000000+(N('Dvd Calendar'!$G$1221)&gt;0)*(N('Dvd Calendar'!$G$1221)&lt;=VAL_SERIAL)*1000000+10*1000+43))</f>
        <v/>
      </c>
      <c r="FV125" s="121">
        <f>IF(N('Dvd Calendar'!$H$1222)=0,"",IF(('Dvd Calendar'!$H$1222&gt;=GRID_FROM)*('Dvd Calendar'!$H$1222&lt;=GRID_TO)*('Dvd Calendar'!$H$1222&gt;VAL_DATE)=0,"",'Dvd Calendar'!$H$1222*1000000000+ISNUMBER('Dvd Calendar'!$H$1223)*100000000+0*10000000+(N('Dvd Calendar'!$H$1221)&gt;0)*(N('Dvd Calendar'!$H$1221)&lt;=VAL_SERIAL)*1000000+10*1000+44))</f>
        <v/>
      </c>
      <c r="FW125" s="121">
        <f>IF(N('Dvd Calendar'!$I$1222)=0,"",IF(('Dvd Calendar'!$I$1222&gt;=GRID_FROM)*('Dvd Calendar'!$I$1222&lt;=GRID_TO)*('Dvd Calendar'!$I$1222&gt;VAL_DATE)=0,"",'Dvd Calendar'!$I$1222*1000000000+ISNUMBER('Dvd Calendar'!$I$1223)*100000000+0*10000000+(N('Dvd Calendar'!$I$1221)&gt;0)*(N('Dvd Calendar'!$I$1221)&lt;=VAL_SERIAL)*1000000+10*1000+45))</f>
        <v/>
      </c>
      <c r="FX125" s="121">
        <f>IF(N('Dvd Calendar'!$J$1222)=0,"",IF(('Dvd Calendar'!$J$1222&gt;=GRID_FROM)*('Dvd Calendar'!$J$1222&lt;=GRID_TO)*('Dvd Calendar'!$J$1222&gt;VAL_DATE)=0,"",'Dvd Calendar'!$J$1222*1000000000+ISNUMBER('Dvd Calendar'!$J$1223)*100000000+0*10000000+(N('Dvd Calendar'!$J$1221)&gt;0)*(N('Dvd Calendar'!$J$1221)&lt;=VAL_SERIAL)*1000000+10*1000+46))</f>
        <v/>
      </c>
      <c r="FY125" s="121">
        <f>IF(N('Dvd Calendar'!$K$1222)=0,"",IF(('Dvd Calendar'!$K$1222&gt;=GRID_FROM)*('Dvd Calendar'!$K$1222&lt;=GRID_TO)*('Dvd Calendar'!$K$1222&gt;VAL_DATE)=0,"",'Dvd Calendar'!$K$1222*1000000000+ISNUMBER('Dvd Calendar'!$K$1223)*100000000+0*10000000+(N('Dvd Calendar'!$K$1221)&gt;0)*(N('Dvd Calendar'!$K$1221)&lt;=VAL_SERIAL)*1000000+10*1000+47))</f>
        <v/>
      </c>
      <c r="FZ125" s="121">
        <f>IF(N('Dvd Calendar'!$L$1222)=0,"",IF(('Dvd Calendar'!$L$1222&gt;=GRID_FROM)*('Dvd Calendar'!$L$1222&lt;=GRID_TO)*('Dvd Calendar'!$L$1222&gt;VAL_DATE)=0,"",'Dvd Calendar'!$L$1222*1000000000+ISNUMBER('Dvd Calendar'!$L$1223)*100000000+0*10000000+(N('Dvd Calendar'!$L$1221)&gt;0)*(N('Dvd Calendar'!$L$1221)&lt;=VAL_SERIAL)*1000000+10*1000+48))</f>
        <v/>
      </c>
      <c r="GA125" s="121">
        <f>IF(N('Dvd Calendar'!$M$1222)=0,"",IF(('Dvd Calendar'!$M$1222&gt;=GRID_FROM)*('Dvd Calendar'!$M$1222&lt;=GRID_TO)*('Dvd Calendar'!$M$1222&gt;VAL_DATE)=0,"",'Dvd Calendar'!$M$1222*1000000000+ISNUMBER('Dvd Calendar'!$M$1223)*100000000+0*10000000+(N('Dvd Calendar'!$M$1221)&gt;0)*(N('Dvd Calendar'!$M$1221)&lt;=VAL_SERIAL)*1000000+10*1000+49))</f>
        <v/>
      </c>
      <c r="GB125" s="121">
        <f>IF(N('Dvd Calendar'!$N$1222)=0,"",IF(('Dvd Calendar'!$N$1222&gt;=GRID_FROM)*('Dvd Calendar'!$N$1222&lt;=GRID_TO)*('Dvd Calendar'!$N$1222&gt;VAL_DATE)=0,"",'Dvd Calendar'!$N$1222*1000000000+ISNUMBER('Dvd Calendar'!$N$1223)*100000000+0*10000000+(N('Dvd Calendar'!$N$1221)&gt;0)*(N('Dvd Calendar'!$N$1221)&lt;=VAL_SERIAL)*1000000+10*1000+50))</f>
        <v/>
      </c>
      <c r="GC125" s="121">
        <f>IF(N('Dvd Calendar'!$O$1222)=0,"",IF(('Dvd Calendar'!$O$1222&gt;=GRID_FROM)*('Dvd Calendar'!$O$1222&lt;=GRID_TO)*('Dvd Calendar'!$O$1222&gt;VAL_DATE)=0,"",'Dvd Calendar'!$O$1222*1000000000+ISNUMBER('Dvd Calendar'!$O$1223)*100000000+0*10000000+(N('Dvd Calendar'!$O$1221)&gt;0)*(N('Dvd Calendar'!$O$1221)&lt;=VAL_SERIAL)*1000000+10*1000+51))</f>
        <v/>
      </c>
      <c r="GD125" s="121">
        <f>IF(N('Dvd Calendar'!$P$1222)=0,"",IF(('Dvd Calendar'!$P$1222&gt;=GRID_FROM)*('Dvd Calendar'!$P$1222&lt;=GRID_TO)*('Dvd Calendar'!$P$1222&gt;VAL_DATE)=0,"",'Dvd Calendar'!$P$1222*1000000000+ISNUMBER('Dvd Calendar'!$P$1223)*100000000+0*10000000+(N('Dvd Calendar'!$P$1221)&gt;0)*(N('Dvd Calendar'!$P$1221)&lt;=VAL_SERIAL)*1000000+10*1000+52))</f>
        <v/>
      </c>
      <c r="GE125" s="121">
        <f>IF(N('Dvd Calendar'!$Q$1222)=0,"",IF(('Dvd Calendar'!$Q$1222&gt;=GRID_FROM)*('Dvd Calendar'!$Q$1222&lt;=GRID_TO)*('Dvd Calendar'!$Q$1222&gt;VAL_DATE)=0,"",'Dvd Calendar'!$Q$1222*1000000000+ISNUMBER('Dvd Calendar'!$Q$1223)*100000000+0*10000000+(N('Dvd Calendar'!$Q$1221)&gt;0)*(N('Dvd Calendar'!$Q$1221)&lt;=VAL_SERIAL)*1000000+10*1000+53))</f>
        <v/>
      </c>
      <c r="GF125" s="121">
        <f>IF(N('Dvd Calendar'!$R$1222)=0,"",IF(('Dvd Calendar'!$R$1222&gt;=GRID_FROM)*('Dvd Calendar'!$R$1222&lt;=GRID_TO)*('Dvd Calendar'!$R$1222&gt;VAL_DATE)=0,"",'Dvd Calendar'!$R$1222*1000000000+ISNUMBER('Dvd Calendar'!$R$1223)*100000000+0*10000000+(N('Dvd Calendar'!$R$1221)&gt;0)*(N('Dvd Calendar'!$R$1221)&lt;=VAL_SERIAL)*1000000+10*1000+54))</f>
        <v/>
      </c>
      <c r="GG125" s="121">
        <f>IF(N('Dvd Calendar'!$S$1222)=0,"",IF(('Dvd Calendar'!$S$1222&gt;=GRID_FROM)*('Dvd Calendar'!$S$1222&lt;=GRID_TO)*('Dvd Calendar'!$S$1222&gt;VAL_DATE)=0,"",'Dvd Calendar'!$S$1222*1000000000+ISNUMBER('Dvd Calendar'!$S$1223)*100000000+0*10000000+(N('Dvd Calendar'!$S$1221)&gt;0)*(N('Dvd Calendar'!$S$1221)&lt;=VAL_SERIAL)*1000000+10*1000+55))</f>
        <v/>
      </c>
      <c r="GH125" s="121">
        <f>IF(N('Dvd Calendar'!$T$1222)=0,"",IF(('Dvd Calendar'!$T$1222&gt;=GRID_FROM)*('Dvd Calendar'!$T$1222&lt;=GRID_TO)*('Dvd Calendar'!$T$1222&gt;VAL_DATE)=0,"",'Dvd Calendar'!$T$1222*1000000000+ISNUMBER('Dvd Calendar'!$T$1223)*100000000+0*10000000+(N('Dvd Calendar'!$T$1221)&gt;0)*(N('Dvd Calendar'!$T$1221)&lt;=VAL_SERIAL)*1000000+10*1000+56))</f>
        <v/>
      </c>
      <c r="GI125" s="121">
        <f>IF(N('Dvd Calendar'!$U$1222)=0,"",IF(('Dvd Calendar'!$U$1222&gt;=GRID_FROM)*('Dvd Calendar'!$U$1222&lt;=GRID_TO)*('Dvd Calendar'!$U$1222&gt;VAL_DATE)=0,"",'Dvd Calendar'!$U$1222*1000000000+ISNUMBER('Dvd Calendar'!$U$1223)*100000000+0*10000000+(N('Dvd Calendar'!$U$1221)&gt;0)*(N('Dvd Calendar'!$U$1221)&lt;=VAL_SERIAL)*1000000+10*1000+57))</f>
        <v/>
      </c>
      <c r="GJ125" s="121">
        <f>IF(N('Dvd Calendar'!$V$1222)=0,"",IF(('Dvd Calendar'!$V$1222&gt;=GRID_FROM)*('Dvd Calendar'!$V$1222&lt;=GRID_TO)*('Dvd Calendar'!$V$1222&gt;VAL_DATE)=0,"",'Dvd Calendar'!$V$1222*1000000000+ISNUMBER('Dvd Calendar'!$V$1223)*100000000+0*10000000+(N('Dvd Calendar'!$V$1221)&gt;0)*(N('Dvd Calendar'!$V$1221)&lt;=VAL_SERIAL)*1000000+10*1000+58))</f>
        <v/>
      </c>
      <c r="GK125" s="121">
        <f>IF(N('Dvd Calendar'!$W$1222)=0,"",IF(('Dvd Calendar'!$W$1222&gt;=GRID_FROM)*('Dvd Calendar'!$W$1222&lt;=GRID_TO)*('Dvd Calendar'!$W$1222&gt;VAL_DATE)=0,"",'Dvd Calendar'!$W$1222*1000000000+ISNUMBER('Dvd Calendar'!$W$1223)*100000000+0*10000000+(N('Dvd Calendar'!$W$1221)&gt;0)*(N('Dvd Calendar'!$W$1221)&lt;=VAL_SERIAL)*1000000+10*1000+59))</f>
        <v/>
      </c>
      <c r="GL125" s="121">
        <f>IF(N('Dvd Calendar'!$X$1222)=0,"",IF(('Dvd Calendar'!$X$1222&gt;=GRID_FROM)*('Dvd Calendar'!$X$1222&lt;=GRID_TO)*('Dvd Calendar'!$X$1222&gt;VAL_DATE)=0,"",'Dvd Calendar'!$X$1222*1000000000+ISNUMBER('Dvd Calendar'!$X$1223)*100000000+0*10000000+(N('Dvd Calendar'!$X$1221)&gt;0)*(N('Dvd Calendar'!$X$1221)&lt;=VAL_SERIAL)*1000000+10*1000+60))</f>
        <v/>
      </c>
      <c r="GM125" s="121">
        <f>IF(N('Dvd Calendar'!$Y$1222)=0,"",IF(('Dvd Calendar'!$Y$1222&gt;=GRID_FROM)*('Dvd Calendar'!$Y$1222&lt;=GRID_TO)*('Dvd Calendar'!$Y$1222&gt;VAL_DATE)=0,"",'Dvd Calendar'!$Y$1222*1000000000+ISNUMBER('Dvd Calendar'!$Y$1223)*100000000+0*10000000+(N('Dvd Calendar'!$Y$1221)&gt;0)*(N('Dvd Calendar'!$Y$1221)&lt;=VAL_SERIAL)*1000000+10*1000+61))</f>
        <v/>
      </c>
      <c r="GN125" s="121">
        <f>IF(N('Dvd Calendar'!$Z$1222)=0,"",IF(('Dvd Calendar'!$Z$1222&gt;=GRID_FROM)*('Dvd Calendar'!$Z$1222&lt;=GRID_TO)*('Dvd Calendar'!$Z$1222&gt;VAL_DATE)=0,"",'Dvd Calendar'!$Z$1222*1000000000+ISNUMBER('Dvd Calendar'!$Z$1223)*100000000+0*10000000+(N('Dvd Calendar'!$Z$1221)&gt;0)*(N('Dvd Calendar'!$Z$1221)&lt;=VAL_SERIAL)*1000000+10*1000+62))</f>
        <v/>
      </c>
      <c r="GO125" s="121">
        <f>IF(N('Dvd Calendar'!$AA$1222)=0,"",IF(('Dvd Calendar'!$AA$1222&gt;=GRID_FROM)*('Dvd Calendar'!$AA$1222&lt;=GRID_TO)*('Dvd Calendar'!$AA$1222&gt;VAL_DATE)=0,"",'Dvd Calendar'!$AA$1222*1000000000+ISNUMBER('Dvd Calendar'!$AA$1223)*100000000+0*10000000+(N('Dvd Calendar'!$AA$1221)&gt;0)*(N('Dvd Calendar'!$AA$1221)&lt;=VAL_SERIAL)*1000000+10*1000+63))</f>
        <v/>
      </c>
      <c r="GP125" s="121">
        <f>IF(N('Dvd Calendar'!$AB$1222)=0,"",IF(('Dvd Calendar'!$AB$1222&gt;=GRID_FROM)*('Dvd Calendar'!$AB$1222&lt;=GRID_TO)*('Dvd Calendar'!$AB$1222&gt;VAL_DATE)=0,"",'Dvd Calendar'!$AB$1222*1000000000+ISNUMBER('Dvd Calendar'!$AB$1223)*100000000+0*10000000+(N('Dvd Calendar'!$AB$1221)&gt;0)*(N('Dvd Calendar'!$AB$1221)&lt;=VAL_SERIAL)*1000000+10*1000+64))</f>
        <v/>
      </c>
      <c r="GQ125" s="121">
        <f>IF(N('Dvd Calendar'!$AC$1222)=0,"",IF(('Dvd Calendar'!$AC$1222&gt;=GRID_FROM)*('Dvd Calendar'!$AC$1222&lt;=GRID_TO)*('Dvd Calendar'!$AC$1222&gt;VAL_DATE)=0,"",'Dvd Calendar'!$AC$1222*1000000000+ISNUMBER('Dvd Calendar'!$AC$1223)*100000000+0*10000000+(N('Dvd Calendar'!$AC$1221)&gt;0)*(N('Dvd Calendar'!$AC$1221)&lt;=VAL_SERIAL)*1000000+10*1000+65))</f>
        <v/>
      </c>
    </row>
    <row r="126">
      <c r="B126" s="2">
        <f>IF(HSTECH!$C$17="","",HSTECH!$C$17)</f>
        <v/>
      </c>
      <c r="C126" s="161">
        <f>IF(EE126="","",IF(ISNUMBER('Dvd Calendar'!$E$1229)=FALSE,"",IF((('Dvd Calendar'!$E$1231=TYPE1)*(TYPE1&lt;&gt;"")+('Dvd Calendar'!$E$1231=TYPE2)*(TYPE2&lt;&gt;"")+('Dvd Calendar'!$E$1231=TYPE3)*(TYPE3&lt;&gt;"")+('Dvd Calendar'!$E$1231=TYPE4)*(TYPE4&lt;&gt;"")+('Dvd Calendar'!$E$1231=SPECIAL_LBL)*(INC_SPECIALS="Y"))=0,"",'Dvd Calendar'!$E$1229)))</f>
        <v/>
      </c>
      <c r="D126" s="161">
        <f>IF(EF126="","",IF(ISNUMBER('Dvd Calendar'!$F$1229)=FALSE,"",IF((('Dvd Calendar'!$F$1231=TYPE1)*(TYPE1&lt;&gt;"")+('Dvd Calendar'!$F$1231=TYPE2)*(TYPE2&lt;&gt;"")+('Dvd Calendar'!$F$1231=TYPE3)*(TYPE3&lt;&gt;"")+('Dvd Calendar'!$F$1231=TYPE4)*(TYPE4&lt;&gt;"")+('Dvd Calendar'!$F$1231=SPECIAL_LBL)*(INC_SPECIALS="Y"))=0,"",'Dvd Calendar'!$F$1229)))</f>
        <v/>
      </c>
      <c r="E126" s="161">
        <f>IF(EG126="","",IF(ISNUMBER('Dvd Calendar'!$G$1229)=FALSE,"",IF((('Dvd Calendar'!$G$1231=TYPE1)*(TYPE1&lt;&gt;"")+('Dvd Calendar'!$G$1231=TYPE2)*(TYPE2&lt;&gt;"")+('Dvd Calendar'!$G$1231=TYPE3)*(TYPE3&lt;&gt;"")+('Dvd Calendar'!$G$1231=TYPE4)*(TYPE4&lt;&gt;"")+('Dvd Calendar'!$G$1231=SPECIAL_LBL)*(INC_SPECIALS="Y"))=0,"",'Dvd Calendar'!$G$1229)))</f>
        <v/>
      </c>
      <c r="F126" s="161">
        <f>IF(EH126="","",IF(ISNUMBER('Dvd Calendar'!$H$1229)=FALSE,"",IF((('Dvd Calendar'!$H$1231=TYPE1)*(TYPE1&lt;&gt;"")+('Dvd Calendar'!$H$1231=TYPE2)*(TYPE2&lt;&gt;"")+('Dvd Calendar'!$H$1231=TYPE3)*(TYPE3&lt;&gt;"")+('Dvd Calendar'!$H$1231=TYPE4)*(TYPE4&lt;&gt;"")+('Dvd Calendar'!$H$1231=SPECIAL_LBL)*(INC_SPECIALS="Y"))=0,"",'Dvd Calendar'!$H$1229)))</f>
        <v/>
      </c>
      <c r="G126" s="161">
        <f>IF(EI126="","",IF(ISNUMBER('Dvd Calendar'!$I$1229)=FALSE,"",IF((('Dvd Calendar'!$I$1231=TYPE1)*(TYPE1&lt;&gt;"")+('Dvd Calendar'!$I$1231=TYPE2)*(TYPE2&lt;&gt;"")+('Dvd Calendar'!$I$1231=TYPE3)*(TYPE3&lt;&gt;"")+('Dvd Calendar'!$I$1231=TYPE4)*(TYPE4&lt;&gt;"")+('Dvd Calendar'!$I$1231=SPECIAL_LBL)*(INC_SPECIALS="Y"))=0,"",'Dvd Calendar'!$I$1229)))</f>
        <v/>
      </c>
      <c r="H126" s="161">
        <f>IF(EJ126="","",IF(ISNUMBER('Dvd Calendar'!$J$1229)=FALSE,"",IF((('Dvd Calendar'!$J$1231=TYPE1)*(TYPE1&lt;&gt;"")+('Dvd Calendar'!$J$1231=TYPE2)*(TYPE2&lt;&gt;"")+('Dvd Calendar'!$J$1231=TYPE3)*(TYPE3&lt;&gt;"")+('Dvd Calendar'!$J$1231=TYPE4)*(TYPE4&lt;&gt;"")+('Dvd Calendar'!$J$1231=SPECIAL_LBL)*(INC_SPECIALS="Y"))=0,"",'Dvd Calendar'!$J$1229)))</f>
        <v/>
      </c>
      <c r="I126" s="161">
        <f>IF(EK126="","",IF(ISNUMBER('Dvd Calendar'!$K$1229)=FALSE,"",IF((('Dvd Calendar'!$K$1231=TYPE1)*(TYPE1&lt;&gt;"")+('Dvd Calendar'!$K$1231=TYPE2)*(TYPE2&lt;&gt;"")+('Dvd Calendar'!$K$1231=TYPE3)*(TYPE3&lt;&gt;"")+('Dvd Calendar'!$K$1231=TYPE4)*(TYPE4&lt;&gt;"")+('Dvd Calendar'!$K$1231=SPECIAL_LBL)*(INC_SPECIALS="Y"))=0,"",'Dvd Calendar'!$K$1229)))</f>
        <v/>
      </c>
      <c r="J126" s="161">
        <f>IF(EL126="","",IF(ISNUMBER('Dvd Calendar'!$L$1229)=FALSE,"",IF((('Dvd Calendar'!$L$1231=TYPE1)*(TYPE1&lt;&gt;"")+('Dvd Calendar'!$L$1231=TYPE2)*(TYPE2&lt;&gt;"")+('Dvd Calendar'!$L$1231=TYPE3)*(TYPE3&lt;&gt;"")+('Dvd Calendar'!$L$1231=TYPE4)*(TYPE4&lt;&gt;"")+('Dvd Calendar'!$L$1231=SPECIAL_LBL)*(INC_SPECIALS="Y"))=0,"",'Dvd Calendar'!$L$1229)))</f>
        <v/>
      </c>
      <c r="K126" s="161">
        <f>IF(EM126="","",IF(ISNUMBER('Dvd Calendar'!$M$1229)=FALSE,"",IF((('Dvd Calendar'!$M$1231=TYPE1)*(TYPE1&lt;&gt;"")+('Dvd Calendar'!$M$1231=TYPE2)*(TYPE2&lt;&gt;"")+('Dvd Calendar'!$M$1231=TYPE3)*(TYPE3&lt;&gt;"")+('Dvd Calendar'!$M$1231=TYPE4)*(TYPE4&lt;&gt;"")+('Dvd Calendar'!$M$1231=SPECIAL_LBL)*(INC_SPECIALS="Y"))=0,"",'Dvd Calendar'!$M$1229)))</f>
        <v/>
      </c>
      <c r="L126" s="161">
        <f>IF(EN126="","",IF(ISNUMBER('Dvd Calendar'!$N$1229)=FALSE,"",IF((('Dvd Calendar'!$N$1231=TYPE1)*(TYPE1&lt;&gt;"")+('Dvd Calendar'!$N$1231=TYPE2)*(TYPE2&lt;&gt;"")+('Dvd Calendar'!$N$1231=TYPE3)*(TYPE3&lt;&gt;"")+('Dvd Calendar'!$N$1231=TYPE4)*(TYPE4&lt;&gt;"")+('Dvd Calendar'!$N$1231=SPECIAL_LBL)*(INC_SPECIALS="Y"))=0,"",'Dvd Calendar'!$N$1229)))</f>
        <v/>
      </c>
      <c r="M126" s="161">
        <f>IF(EO126="","",IF(ISNUMBER('Dvd Calendar'!$O$1229)=FALSE,"",IF((('Dvd Calendar'!$O$1231=TYPE1)*(TYPE1&lt;&gt;"")+('Dvd Calendar'!$O$1231=TYPE2)*(TYPE2&lt;&gt;"")+('Dvd Calendar'!$O$1231=TYPE3)*(TYPE3&lt;&gt;"")+('Dvd Calendar'!$O$1231=TYPE4)*(TYPE4&lt;&gt;"")+('Dvd Calendar'!$O$1231=SPECIAL_LBL)*(INC_SPECIALS="Y"))=0,"",'Dvd Calendar'!$O$1229)))</f>
        <v/>
      </c>
      <c r="N126" s="161">
        <f>IF(EP126="","",IF(ISNUMBER('Dvd Calendar'!$P$1229)=FALSE,"",IF((('Dvd Calendar'!$P$1231=TYPE1)*(TYPE1&lt;&gt;"")+('Dvd Calendar'!$P$1231=TYPE2)*(TYPE2&lt;&gt;"")+('Dvd Calendar'!$P$1231=TYPE3)*(TYPE3&lt;&gt;"")+('Dvd Calendar'!$P$1231=TYPE4)*(TYPE4&lt;&gt;"")+('Dvd Calendar'!$P$1231=SPECIAL_LBL)*(INC_SPECIALS="Y"))=0,"",'Dvd Calendar'!$P$1229)))</f>
        <v/>
      </c>
      <c r="O126" s="161">
        <f>IF(EQ126="","",IF(ISNUMBER('Dvd Calendar'!$Q$1229)=FALSE,"",IF((('Dvd Calendar'!$Q$1231=TYPE1)*(TYPE1&lt;&gt;"")+('Dvd Calendar'!$Q$1231=TYPE2)*(TYPE2&lt;&gt;"")+('Dvd Calendar'!$Q$1231=TYPE3)*(TYPE3&lt;&gt;"")+('Dvd Calendar'!$Q$1231=TYPE4)*(TYPE4&lt;&gt;"")+('Dvd Calendar'!$Q$1231=SPECIAL_LBL)*(INC_SPECIALS="Y"))=0,"",'Dvd Calendar'!$Q$1229)))</f>
        <v/>
      </c>
      <c r="P126" s="161">
        <f>IF(ER126="","",IF(ISNUMBER('Dvd Calendar'!$R$1229)=FALSE,"",IF((('Dvd Calendar'!$R$1231=TYPE1)*(TYPE1&lt;&gt;"")+('Dvd Calendar'!$R$1231=TYPE2)*(TYPE2&lt;&gt;"")+('Dvd Calendar'!$R$1231=TYPE3)*(TYPE3&lt;&gt;"")+('Dvd Calendar'!$R$1231=TYPE4)*(TYPE4&lt;&gt;"")+('Dvd Calendar'!$R$1231=SPECIAL_LBL)*(INC_SPECIALS="Y"))=0,"",'Dvd Calendar'!$R$1229)))</f>
        <v/>
      </c>
      <c r="Q126" s="161">
        <f>IF(ES126="","",IF(ISNUMBER('Dvd Calendar'!$S$1229)=FALSE,"",IF((('Dvd Calendar'!$S$1231=TYPE1)*(TYPE1&lt;&gt;"")+('Dvd Calendar'!$S$1231=TYPE2)*(TYPE2&lt;&gt;"")+('Dvd Calendar'!$S$1231=TYPE3)*(TYPE3&lt;&gt;"")+('Dvd Calendar'!$S$1231=TYPE4)*(TYPE4&lt;&gt;"")+('Dvd Calendar'!$S$1231=SPECIAL_LBL)*(INC_SPECIALS="Y"))=0,"",'Dvd Calendar'!$S$1229)))</f>
        <v/>
      </c>
      <c r="R126" s="161">
        <f>IF(ET126="","",IF(ISNUMBER('Dvd Calendar'!$T$1229)=FALSE,"",IF((('Dvd Calendar'!$T$1231=TYPE1)*(TYPE1&lt;&gt;"")+('Dvd Calendar'!$T$1231=TYPE2)*(TYPE2&lt;&gt;"")+('Dvd Calendar'!$T$1231=TYPE3)*(TYPE3&lt;&gt;"")+('Dvd Calendar'!$T$1231=TYPE4)*(TYPE4&lt;&gt;"")+('Dvd Calendar'!$T$1231=SPECIAL_LBL)*(INC_SPECIALS="Y"))=0,"",'Dvd Calendar'!$T$1229)))</f>
        <v/>
      </c>
      <c r="S126" s="161">
        <f>IF(EU126="","",IF(ISNUMBER('Dvd Calendar'!$U$1229)=FALSE,"",IF((('Dvd Calendar'!$U$1231=TYPE1)*(TYPE1&lt;&gt;"")+('Dvd Calendar'!$U$1231=TYPE2)*(TYPE2&lt;&gt;"")+('Dvd Calendar'!$U$1231=TYPE3)*(TYPE3&lt;&gt;"")+('Dvd Calendar'!$U$1231=TYPE4)*(TYPE4&lt;&gt;"")+('Dvd Calendar'!$U$1231=SPECIAL_LBL)*(INC_SPECIALS="Y"))=0,"",'Dvd Calendar'!$U$1229)))</f>
        <v/>
      </c>
      <c r="T126" s="161">
        <f>IF(EV126="","",IF(ISNUMBER('Dvd Calendar'!$V$1229)=FALSE,"",IF((('Dvd Calendar'!$V$1231=TYPE1)*(TYPE1&lt;&gt;"")+('Dvd Calendar'!$V$1231=TYPE2)*(TYPE2&lt;&gt;"")+('Dvd Calendar'!$V$1231=TYPE3)*(TYPE3&lt;&gt;"")+('Dvd Calendar'!$V$1231=TYPE4)*(TYPE4&lt;&gt;"")+('Dvd Calendar'!$V$1231=SPECIAL_LBL)*(INC_SPECIALS="Y"))=0,"",'Dvd Calendar'!$V$1229)))</f>
        <v/>
      </c>
      <c r="U126" s="161">
        <f>IF(EW126="","",IF(ISNUMBER('Dvd Calendar'!$W$1229)=FALSE,"",IF((('Dvd Calendar'!$W$1231=TYPE1)*(TYPE1&lt;&gt;"")+('Dvd Calendar'!$W$1231=TYPE2)*(TYPE2&lt;&gt;"")+('Dvd Calendar'!$W$1231=TYPE3)*(TYPE3&lt;&gt;"")+('Dvd Calendar'!$W$1231=TYPE4)*(TYPE4&lt;&gt;"")+('Dvd Calendar'!$W$1231=SPECIAL_LBL)*(INC_SPECIALS="Y"))=0,"",'Dvd Calendar'!$W$1229)))</f>
        <v/>
      </c>
      <c r="V126" s="161">
        <f>IF(EX126="","",IF(ISNUMBER('Dvd Calendar'!$X$1229)=FALSE,"",IF((('Dvd Calendar'!$X$1231=TYPE1)*(TYPE1&lt;&gt;"")+('Dvd Calendar'!$X$1231=TYPE2)*(TYPE2&lt;&gt;"")+('Dvd Calendar'!$X$1231=TYPE3)*(TYPE3&lt;&gt;"")+('Dvd Calendar'!$X$1231=TYPE4)*(TYPE4&lt;&gt;"")+('Dvd Calendar'!$X$1231=SPECIAL_LBL)*(INC_SPECIALS="Y"))=0,"",'Dvd Calendar'!$X$1229)))</f>
        <v/>
      </c>
      <c r="W126" s="161">
        <f>IF(EY126="","",IF(ISNUMBER('Dvd Calendar'!$Y$1229)=FALSE,"",IF((('Dvd Calendar'!$Y$1231=TYPE1)*(TYPE1&lt;&gt;"")+('Dvd Calendar'!$Y$1231=TYPE2)*(TYPE2&lt;&gt;"")+('Dvd Calendar'!$Y$1231=TYPE3)*(TYPE3&lt;&gt;"")+('Dvd Calendar'!$Y$1231=TYPE4)*(TYPE4&lt;&gt;"")+('Dvd Calendar'!$Y$1231=SPECIAL_LBL)*(INC_SPECIALS="Y"))=0,"",'Dvd Calendar'!$Y$1229)))</f>
        <v/>
      </c>
      <c r="X126" s="161">
        <f>IF(EZ126="","",IF(ISNUMBER('Dvd Calendar'!$Z$1229)=FALSE,"",IF((('Dvd Calendar'!$Z$1231=TYPE1)*(TYPE1&lt;&gt;"")+('Dvd Calendar'!$Z$1231=TYPE2)*(TYPE2&lt;&gt;"")+('Dvd Calendar'!$Z$1231=TYPE3)*(TYPE3&lt;&gt;"")+('Dvd Calendar'!$Z$1231=TYPE4)*(TYPE4&lt;&gt;"")+('Dvd Calendar'!$Z$1231=SPECIAL_LBL)*(INC_SPECIALS="Y"))=0,"",'Dvd Calendar'!$Z$1229)))</f>
        <v/>
      </c>
      <c r="Y126" s="161">
        <f>IF(FA126="","",IF(ISNUMBER('Dvd Calendar'!$AA$1229)=FALSE,"",IF((('Dvd Calendar'!$AA$1231=TYPE1)*(TYPE1&lt;&gt;"")+('Dvd Calendar'!$AA$1231=TYPE2)*(TYPE2&lt;&gt;"")+('Dvd Calendar'!$AA$1231=TYPE3)*(TYPE3&lt;&gt;"")+('Dvd Calendar'!$AA$1231=TYPE4)*(TYPE4&lt;&gt;"")+('Dvd Calendar'!$AA$1231=SPECIAL_LBL)*(INC_SPECIALS="Y"))=0,"",'Dvd Calendar'!$AA$1229)))</f>
        <v/>
      </c>
      <c r="Z126" s="161">
        <f>IF(FB126="","",IF(ISNUMBER('Dvd Calendar'!$AB$1229)=FALSE,"",IF((('Dvd Calendar'!$AB$1231=TYPE1)*(TYPE1&lt;&gt;"")+('Dvd Calendar'!$AB$1231=TYPE2)*(TYPE2&lt;&gt;"")+('Dvd Calendar'!$AB$1231=TYPE3)*(TYPE3&lt;&gt;"")+('Dvd Calendar'!$AB$1231=TYPE4)*(TYPE4&lt;&gt;"")+('Dvd Calendar'!$AB$1231=SPECIAL_LBL)*(INC_SPECIALS="Y"))=0,"",'Dvd Calendar'!$AB$1229)))</f>
        <v/>
      </c>
      <c r="AA126" s="161">
        <f>IF(FC126="","",IF(ISNUMBER('Dvd Calendar'!$AC$1229)=FALSE,"",IF((('Dvd Calendar'!$AC$1231=TYPE1)*(TYPE1&lt;&gt;"")+('Dvd Calendar'!$AC$1231=TYPE2)*(TYPE2&lt;&gt;"")+('Dvd Calendar'!$AC$1231=TYPE3)*(TYPE3&lt;&gt;"")+('Dvd Calendar'!$AC$1231=TYPE4)*(TYPE4&lt;&gt;"")+('Dvd Calendar'!$AC$1231=SPECIAL_LBL)*(INC_SPECIALS="Y"))=0,"",'Dvd Calendar'!$AC$1229)))</f>
        <v/>
      </c>
      <c r="AB126" s="161">
        <f>IF(FD126="","",IF(ISNUMBER('Dvd Calendar'!$AD$1229)=FALSE,"",IF((('Dvd Calendar'!$AD$1231=TYPE1)*(TYPE1&lt;&gt;"")+('Dvd Calendar'!$AD$1231=TYPE2)*(TYPE2&lt;&gt;"")+('Dvd Calendar'!$AD$1231=TYPE3)*(TYPE3&lt;&gt;"")+('Dvd Calendar'!$AD$1231=TYPE4)*(TYPE4&lt;&gt;"")+('Dvd Calendar'!$AD$1231=SPECIAL_LBL)*(INC_SPECIALS="Y"))=0,"",'Dvd Calendar'!$AD$1229)))</f>
        <v/>
      </c>
      <c r="AC126" s="161">
        <f>IF(FE126="","",IF(ISNUMBER('Dvd Calendar'!$AE$1229)=FALSE,"",IF((('Dvd Calendar'!$AE$1231=TYPE1)*(TYPE1&lt;&gt;"")+('Dvd Calendar'!$AE$1231=TYPE2)*(TYPE2&lt;&gt;"")+('Dvd Calendar'!$AE$1231=TYPE3)*(TYPE3&lt;&gt;"")+('Dvd Calendar'!$AE$1231=TYPE4)*(TYPE4&lt;&gt;"")+('Dvd Calendar'!$AE$1231=SPECIAL_LBL)*(INC_SPECIALS="Y"))=0,"",'Dvd Calendar'!$AE$1229)))</f>
        <v/>
      </c>
      <c r="AD126" s="161">
        <f>IF(FF126="","",IF(ISNUMBER('Dvd Calendar'!$AF$1229)=FALSE,"",IF((('Dvd Calendar'!$AF$1231=TYPE1)*(TYPE1&lt;&gt;"")+('Dvd Calendar'!$AF$1231=TYPE2)*(TYPE2&lt;&gt;"")+('Dvd Calendar'!$AF$1231=TYPE3)*(TYPE3&lt;&gt;"")+('Dvd Calendar'!$AF$1231=TYPE4)*(TYPE4&lt;&gt;"")+('Dvd Calendar'!$AF$1231=SPECIAL_LBL)*(INC_SPECIALS="Y"))=0,"",'Dvd Calendar'!$AF$1229)))</f>
        <v/>
      </c>
      <c r="AE126" s="161">
        <f>IF(FG126="","",IF(ISNUMBER('Dvd Calendar'!$AG$1229)=FALSE,"",IF((('Dvd Calendar'!$AG$1231=TYPE1)*(TYPE1&lt;&gt;"")+('Dvd Calendar'!$AG$1231=TYPE2)*(TYPE2&lt;&gt;"")+('Dvd Calendar'!$AG$1231=TYPE3)*(TYPE3&lt;&gt;"")+('Dvd Calendar'!$AG$1231=TYPE4)*(TYPE4&lt;&gt;"")+('Dvd Calendar'!$AG$1231=SPECIAL_LBL)*(INC_SPECIALS="Y"))=0,"",'Dvd Calendar'!$AG$1229)))</f>
        <v/>
      </c>
      <c r="AF126" s="161">
        <f>IF(FH126="","",IF(ISNUMBER('Dvd Calendar'!$AH$1229)=FALSE,"",IF((('Dvd Calendar'!$AH$1231=TYPE1)*(TYPE1&lt;&gt;"")+('Dvd Calendar'!$AH$1231=TYPE2)*(TYPE2&lt;&gt;"")+('Dvd Calendar'!$AH$1231=TYPE3)*(TYPE3&lt;&gt;"")+('Dvd Calendar'!$AH$1231=TYPE4)*(TYPE4&lt;&gt;"")+('Dvd Calendar'!$AH$1231=SPECIAL_LBL)*(INC_SPECIALS="Y"))=0,"",'Dvd Calendar'!$AH$1229)))</f>
        <v/>
      </c>
      <c r="AG126" s="161">
        <f>IF(FI126="","",IF(ISNUMBER('Dvd Calendar'!$AI$1229)=FALSE,"",IF((('Dvd Calendar'!$AI$1231=TYPE1)*(TYPE1&lt;&gt;"")+('Dvd Calendar'!$AI$1231=TYPE2)*(TYPE2&lt;&gt;"")+('Dvd Calendar'!$AI$1231=TYPE3)*(TYPE3&lt;&gt;"")+('Dvd Calendar'!$AI$1231=TYPE4)*(TYPE4&lt;&gt;"")+('Dvd Calendar'!$AI$1231=SPECIAL_LBL)*(INC_SPECIALS="Y"))=0,"",'Dvd Calendar'!$AI$1229)))</f>
        <v/>
      </c>
      <c r="AH126" s="161">
        <f>IF(FJ126="","",IF(ISNUMBER('Dvd Calendar'!$AJ$1229)=FALSE,"",IF((('Dvd Calendar'!$AJ$1231=TYPE1)*(TYPE1&lt;&gt;"")+('Dvd Calendar'!$AJ$1231=TYPE2)*(TYPE2&lt;&gt;"")+('Dvd Calendar'!$AJ$1231=TYPE3)*(TYPE3&lt;&gt;"")+('Dvd Calendar'!$AJ$1231=TYPE4)*(TYPE4&lt;&gt;"")+('Dvd Calendar'!$AJ$1231=SPECIAL_LBL)*(INC_SPECIALS="Y"))=0,"",'Dvd Calendar'!$AJ$1229)))</f>
        <v/>
      </c>
      <c r="AI126" s="161">
        <f>IF(FK126="","",IF(ISNUMBER('Dvd Calendar'!$AK$1229)=FALSE,"",IF((('Dvd Calendar'!$AK$1231=TYPE1)*(TYPE1&lt;&gt;"")+('Dvd Calendar'!$AK$1231=TYPE2)*(TYPE2&lt;&gt;"")+('Dvd Calendar'!$AK$1231=TYPE3)*(TYPE3&lt;&gt;"")+('Dvd Calendar'!$AK$1231=TYPE4)*(TYPE4&lt;&gt;"")+('Dvd Calendar'!$AK$1231=SPECIAL_LBL)*(INC_SPECIALS="Y"))=0,"",'Dvd Calendar'!$AK$1229)))</f>
        <v/>
      </c>
      <c r="AJ126" s="161">
        <f>IF(FL126="","",IF(ISNUMBER('Dvd Calendar'!$AL$1229)=FALSE,"",IF((('Dvd Calendar'!$AL$1231=TYPE1)*(TYPE1&lt;&gt;"")+('Dvd Calendar'!$AL$1231=TYPE2)*(TYPE2&lt;&gt;"")+('Dvd Calendar'!$AL$1231=TYPE3)*(TYPE3&lt;&gt;"")+('Dvd Calendar'!$AL$1231=TYPE4)*(TYPE4&lt;&gt;"")+('Dvd Calendar'!$AL$1231=SPECIAL_LBL)*(INC_SPECIALS="Y"))=0,"",'Dvd Calendar'!$AL$1229)))</f>
        <v/>
      </c>
      <c r="AK126" s="161">
        <f>IF(FM126="","",IF(ISNUMBER('Dvd Calendar'!$AM$1229)=FALSE,"",IF((('Dvd Calendar'!$AM$1231=TYPE1)*(TYPE1&lt;&gt;"")+('Dvd Calendar'!$AM$1231=TYPE2)*(TYPE2&lt;&gt;"")+('Dvd Calendar'!$AM$1231=TYPE3)*(TYPE3&lt;&gt;"")+('Dvd Calendar'!$AM$1231=TYPE4)*(TYPE4&lt;&gt;"")+('Dvd Calendar'!$AM$1231=SPECIAL_LBL)*(INC_SPECIALS="Y"))=0,"",'Dvd Calendar'!$AM$1229)))</f>
        <v/>
      </c>
      <c r="AL126" s="161">
        <f>IF(FN126="","",IF(ISNUMBER('Dvd Calendar'!$AN$1229)=FALSE,"",IF((('Dvd Calendar'!$AN$1231=TYPE1)*(TYPE1&lt;&gt;"")+('Dvd Calendar'!$AN$1231=TYPE2)*(TYPE2&lt;&gt;"")+('Dvd Calendar'!$AN$1231=TYPE3)*(TYPE3&lt;&gt;"")+('Dvd Calendar'!$AN$1231=TYPE4)*(TYPE4&lt;&gt;"")+('Dvd Calendar'!$AN$1231=SPECIAL_LBL)*(INC_SPECIALS="Y"))=0,"",'Dvd Calendar'!$AN$1229)))</f>
        <v/>
      </c>
      <c r="AM126" s="161">
        <f>IF(FO126="","",IF(ISNUMBER('Dvd Calendar'!$AO$1229)=FALSE,"",IF((('Dvd Calendar'!$AO$1231=TYPE1)*(TYPE1&lt;&gt;"")+('Dvd Calendar'!$AO$1231=TYPE2)*(TYPE2&lt;&gt;"")+('Dvd Calendar'!$AO$1231=TYPE3)*(TYPE3&lt;&gt;"")+('Dvd Calendar'!$AO$1231=TYPE4)*(TYPE4&lt;&gt;"")+('Dvd Calendar'!$AO$1231=SPECIAL_LBL)*(INC_SPECIALS="Y"))=0,"",'Dvd Calendar'!$AO$1229)))</f>
        <v/>
      </c>
      <c r="AN126" s="161">
        <f>IF(FP126="","",IF(ISNUMBER('Dvd Calendar'!$AP$1229)=FALSE,"",IF((('Dvd Calendar'!$AP$1231=TYPE1)*(TYPE1&lt;&gt;"")+('Dvd Calendar'!$AP$1231=TYPE2)*(TYPE2&lt;&gt;"")+('Dvd Calendar'!$AP$1231=TYPE3)*(TYPE3&lt;&gt;"")+('Dvd Calendar'!$AP$1231=TYPE4)*(TYPE4&lt;&gt;"")+('Dvd Calendar'!$AP$1231=SPECIAL_LBL)*(INC_SPECIALS="Y"))=0,"",'Dvd Calendar'!$AP$1229)))</f>
        <v/>
      </c>
      <c r="AO126" s="161">
        <f>IF(FQ126="","",IF(ISNUMBER('Dvd Calendar'!$AQ$1229)=FALSE,"",IF((('Dvd Calendar'!$AQ$1231=TYPE1)*(TYPE1&lt;&gt;"")+('Dvd Calendar'!$AQ$1231=TYPE2)*(TYPE2&lt;&gt;"")+('Dvd Calendar'!$AQ$1231=TYPE3)*(TYPE3&lt;&gt;"")+('Dvd Calendar'!$AQ$1231=TYPE4)*(TYPE4&lt;&gt;"")+('Dvd Calendar'!$AQ$1231=SPECIAL_LBL)*(INC_SPECIALS="Y"))=0,"",'Dvd Calendar'!$AQ$1229)))</f>
        <v/>
      </c>
      <c r="AP126" s="161">
        <f>IF(FR126="","",IF(ISNUMBER('Dvd Calendar'!$AR$1229)=FALSE,"",IF((('Dvd Calendar'!$AR$1231=TYPE1)*(TYPE1&lt;&gt;"")+('Dvd Calendar'!$AR$1231=TYPE2)*(TYPE2&lt;&gt;"")+('Dvd Calendar'!$AR$1231=TYPE3)*(TYPE3&lt;&gt;"")+('Dvd Calendar'!$AR$1231=TYPE4)*(TYPE4&lt;&gt;"")+('Dvd Calendar'!$AR$1231=SPECIAL_LBL)*(INC_SPECIALS="Y"))=0,"",'Dvd Calendar'!$AR$1229)))</f>
        <v/>
      </c>
      <c r="AQ126" s="161">
        <f>IF(FS126="","",IF(ISNUMBER('Dvd Calendar'!$E$1234)=FALSE,"",'Dvd Calendar'!$E$1234))</f>
        <v/>
      </c>
      <c r="AR126" s="161">
        <f>IF(FT126="","",IF(ISNUMBER('Dvd Calendar'!$F$1234)=FALSE,"",'Dvd Calendar'!$F$1234))</f>
        <v/>
      </c>
      <c r="AS126" s="161">
        <f>IF(FU126="","",IF(ISNUMBER('Dvd Calendar'!$G$1234)=FALSE,"",'Dvd Calendar'!$G$1234))</f>
        <v/>
      </c>
      <c r="AT126" s="161">
        <f>IF(FV126="","",IF(ISNUMBER('Dvd Calendar'!$H$1234)=FALSE,"",'Dvd Calendar'!$H$1234))</f>
        <v/>
      </c>
      <c r="AU126" s="161">
        <f>IF(FW126="","",IF(ISNUMBER('Dvd Calendar'!$I$1234)=FALSE,"",'Dvd Calendar'!$I$1234))</f>
        <v/>
      </c>
      <c r="AV126" s="161">
        <f>IF(FX126="","",IF(ISNUMBER('Dvd Calendar'!$J$1234)=FALSE,"",'Dvd Calendar'!$J$1234))</f>
        <v/>
      </c>
      <c r="AW126" s="161">
        <f>IF(FY126="","",IF(ISNUMBER('Dvd Calendar'!$K$1234)=FALSE,"",'Dvd Calendar'!$K$1234))</f>
        <v/>
      </c>
      <c r="AX126" s="161">
        <f>IF(FZ126="","",IF(ISNUMBER('Dvd Calendar'!$L$1234)=FALSE,"",'Dvd Calendar'!$L$1234))</f>
        <v/>
      </c>
      <c r="AY126" s="161">
        <f>IF(GA126="","",IF(ISNUMBER('Dvd Calendar'!$M$1234)=FALSE,"",'Dvd Calendar'!$M$1234))</f>
        <v/>
      </c>
      <c r="AZ126" s="161">
        <f>IF(GB126="","",IF(ISNUMBER('Dvd Calendar'!$N$1234)=FALSE,"",'Dvd Calendar'!$N$1234))</f>
        <v/>
      </c>
      <c r="BA126" s="161">
        <f>IF(GC126="","",IF(ISNUMBER('Dvd Calendar'!$O$1234)=FALSE,"",'Dvd Calendar'!$O$1234))</f>
        <v/>
      </c>
      <c r="BB126" s="161">
        <f>IF(GD126="","",IF(ISNUMBER('Dvd Calendar'!$P$1234)=FALSE,"",'Dvd Calendar'!$P$1234))</f>
        <v/>
      </c>
      <c r="BC126" s="161">
        <f>IF(GE126="","",IF(ISNUMBER('Dvd Calendar'!$Q$1234)=FALSE,"",'Dvd Calendar'!$Q$1234))</f>
        <v/>
      </c>
      <c r="BD126" s="161">
        <f>IF(GF126="","",IF(ISNUMBER('Dvd Calendar'!$R$1234)=FALSE,"",'Dvd Calendar'!$R$1234))</f>
        <v/>
      </c>
      <c r="BE126" s="161">
        <f>IF(GG126="","",IF(ISNUMBER('Dvd Calendar'!$S$1234)=FALSE,"",'Dvd Calendar'!$S$1234))</f>
        <v/>
      </c>
      <c r="BF126" s="161">
        <f>IF(GH126="","",IF(ISNUMBER('Dvd Calendar'!$T$1234)=FALSE,"",'Dvd Calendar'!$T$1234))</f>
        <v/>
      </c>
      <c r="BG126" s="161">
        <f>IF(GI126="","",IF(ISNUMBER('Dvd Calendar'!$U$1234)=FALSE,"",'Dvd Calendar'!$U$1234))</f>
        <v/>
      </c>
      <c r="BH126" s="161">
        <f>IF(GJ126="","",IF(ISNUMBER('Dvd Calendar'!$V$1234)=FALSE,"",'Dvd Calendar'!$V$1234))</f>
        <v/>
      </c>
      <c r="BI126" s="161">
        <f>IF(GK126="","",IF(ISNUMBER('Dvd Calendar'!$W$1234)=FALSE,"",'Dvd Calendar'!$W$1234))</f>
        <v/>
      </c>
      <c r="BJ126" s="161">
        <f>IF(GL126="","",IF(ISNUMBER('Dvd Calendar'!$X$1234)=FALSE,"",'Dvd Calendar'!$X$1234))</f>
        <v/>
      </c>
      <c r="BK126" s="161">
        <f>IF(GM126="","",IF(ISNUMBER('Dvd Calendar'!$Y$1234)=FALSE,"",'Dvd Calendar'!$Y$1234))</f>
        <v/>
      </c>
      <c r="BL126" s="161">
        <f>IF(GN126="","",IF(ISNUMBER('Dvd Calendar'!$Z$1234)=FALSE,"",'Dvd Calendar'!$Z$1234))</f>
        <v/>
      </c>
      <c r="BM126" s="161">
        <f>IF(GO126="","",IF(ISNUMBER('Dvd Calendar'!$AA$1234)=FALSE,"",'Dvd Calendar'!$AA$1234))</f>
        <v/>
      </c>
      <c r="BN126" s="161">
        <f>IF(GP126="","",IF(ISNUMBER('Dvd Calendar'!$AB$1234)=FALSE,"",'Dvd Calendar'!$AB$1234))</f>
        <v/>
      </c>
      <c r="BO126" s="161">
        <f>IF(GQ126="","",IF(ISNUMBER('Dvd Calendar'!$AC$1234)=FALSE,"",'Dvd Calendar'!$AC$1234))</f>
        <v/>
      </c>
      <c r="BQ126" s="161">
        <f>IF(C126="","",IFERROR(C126*HSTECH!$B$17*HSTECH!$G$17/HSTECH!$B$3,""))</f>
        <v/>
      </c>
      <c r="BR126" s="161">
        <f>IF(D126="","",IFERROR(D126*HSTECH!$B$17*HSTECH!$G$17/HSTECH!$B$3,""))</f>
        <v/>
      </c>
      <c r="BS126" s="161">
        <f>IF(E126="","",IFERROR(E126*HSTECH!$B$17*HSTECH!$G$17/HSTECH!$B$3,""))</f>
        <v/>
      </c>
      <c r="BT126" s="161">
        <f>IF(F126="","",IFERROR(F126*HSTECH!$B$17*HSTECH!$G$17/HSTECH!$B$3,""))</f>
        <v/>
      </c>
      <c r="BU126" s="161">
        <f>IF(G126="","",IFERROR(G126*HSTECH!$B$17*HSTECH!$G$17/HSTECH!$B$3,""))</f>
        <v/>
      </c>
      <c r="BV126" s="161">
        <f>IF(H126="","",IFERROR(H126*HSTECH!$B$17*HSTECH!$G$17/HSTECH!$B$3,""))</f>
        <v/>
      </c>
      <c r="BW126" s="161">
        <f>IF(I126="","",IFERROR(I126*HSTECH!$B$17*HSTECH!$G$17/HSTECH!$B$3,""))</f>
        <v/>
      </c>
      <c r="BX126" s="161">
        <f>IF(J126="","",IFERROR(J126*HSTECH!$B$17*HSTECH!$G$17/HSTECH!$B$3,""))</f>
        <v/>
      </c>
      <c r="BY126" s="161">
        <f>IF(K126="","",IFERROR(K126*HSTECH!$B$17*HSTECH!$G$17/HSTECH!$B$3,""))</f>
        <v/>
      </c>
      <c r="BZ126" s="161">
        <f>IF(L126="","",IFERROR(L126*HSTECH!$B$17*HSTECH!$G$17/HSTECH!$B$3,""))</f>
        <v/>
      </c>
      <c r="CA126" s="161">
        <f>IF(M126="","",IFERROR(M126*HSTECH!$B$17*HSTECH!$G$17/HSTECH!$B$3,""))</f>
        <v/>
      </c>
      <c r="CB126" s="161">
        <f>IF(N126="","",IFERROR(N126*HSTECH!$B$17*HSTECH!$G$17/HSTECH!$B$3,""))</f>
        <v/>
      </c>
      <c r="CC126" s="161">
        <f>IF(O126="","",IFERROR(O126*HSTECH!$B$17*HSTECH!$G$17/HSTECH!$B$3,""))</f>
        <v/>
      </c>
      <c r="CD126" s="161">
        <f>IF(P126="","",IFERROR(P126*HSTECH!$B$17*HSTECH!$G$17/HSTECH!$B$3,""))</f>
        <v/>
      </c>
      <c r="CE126" s="161">
        <f>IF(Q126="","",IFERROR(Q126*HSTECH!$B$17*HSTECH!$G$17/HSTECH!$B$3,""))</f>
        <v/>
      </c>
      <c r="CF126" s="161">
        <f>IF(R126="","",IFERROR(R126*HSTECH!$B$17*HSTECH!$G$17/HSTECH!$B$3,""))</f>
        <v/>
      </c>
      <c r="CG126" s="161">
        <f>IF(S126="","",IFERROR(S126*HSTECH!$B$17*HSTECH!$G$17/HSTECH!$B$3,""))</f>
        <v/>
      </c>
      <c r="CH126" s="161">
        <f>IF(T126="","",IFERROR(T126*HSTECH!$B$17*HSTECH!$G$17/HSTECH!$B$3,""))</f>
        <v/>
      </c>
      <c r="CI126" s="161">
        <f>IF(U126="","",IFERROR(U126*HSTECH!$B$17*HSTECH!$G$17/HSTECH!$B$3,""))</f>
        <v/>
      </c>
      <c r="CJ126" s="161">
        <f>IF(V126="","",IFERROR(V126*HSTECH!$B$17*HSTECH!$G$17/HSTECH!$B$3,""))</f>
        <v/>
      </c>
      <c r="CK126" s="161">
        <f>IF(W126="","",IFERROR(W126*HSTECH!$B$17*HSTECH!$G$17/HSTECH!$B$3,""))</f>
        <v/>
      </c>
      <c r="CL126" s="161">
        <f>IF(X126="","",IFERROR(X126*HSTECH!$B$17*HSTECH!$G$17/HSTECH!$B$3,""))</f>
        <v/>
      </c>
      <c r="CM126" s="161">
        <f>IF(Y126="","",IFERROR(Y126*HSTECH!$B$17*HSTECH!$G$17/HSTECH!$B$3,""))</f>
        <v/>
      </c>
      <c r="CN126" s="161">
        <f>IF(Z126="","",IFERROR(Z126*HSTECH!$B$17*HSTECH!$G$17/HSTECH!$B$3,""))</f>
        <v/>
      </c>
      <c r="CO126" s="161">
        <f>IF(AA126="","",IFERROR(AA126*HSTECH!$B$17*HSTECH!$G$17/HSTECH!$B$3,""))</f>
        <v/>
      </c>
      <c r="CP126" s="161">
        <f>IF(AB126="","",IFERROR(AB126*HSTECH!$B$17*HSTECH!$G$17/HSTECH!$B$3,""))</f>
        <v/>
      </c>
      <c r="CQ126" s="161">
        <f>IF(AC126="","",IFERROR(AC126*HSTECH!$B$17*HSTECH!$G$17/HSTECH!$B$3,""))</f>
        <v/>
      </c>
      <c r="CR126" s="161">
        <f>IF(AD126="","",IFERROR(AD126*HSTECH!$B$17*HSTECH!$G$17/HSTECH!$B$3,""))</f>
        <v/>
      </c>
      <c r="CS126" s="161">
        <f>IF(AE126="","",IFERROR(AE126*HSTECH!$B$17*HSTECH!$G$17/HSTECH!$B$3,""))</f>
        <v/>
      </c>
      <c r="CT126" s="161">
        <f>IF(AF126="","",IFERROR(AF126*HSTECH!$B$17*HSTECH!$G$17/HSTECH!$B$3,""))</f>
        <v/>
      </c>
      <c r="CU126" s="161">
        <f>IF(AG126="","",IFERROR(AG126*HSTECH!$B$17*HSTECH!$G$17/HSTECH!$B$3,""))</f>
        <v/>
      </c>
      <c r="CV126" s="161">
        <f>IF(AH126="","",IFERROR(AH126*HSTECH!$B$17*HSTECH!$G$17/HSTECH!$B$3,""))</f>
        <v/>
      </c>
      <c r="CW126" s="161">
        <f>IF(AI126="","",IFERROR(AI126*HSTECH!$B$17*HSTECH!$G$17/HSTECH!$B$3,""))</f>
        <v/>
      </c>
      <c r="CX126" s="161">
        <f>IF(AJ126="","",IFERROR(AJ126*HSTECH!$B$17*HSTECH!$G$17/HSTECH!$B$3,""))</f>
        <v/>
      </c>
      <c r="CY126" s="161">
        <f>IF(AK126="","",IFERROR(AK126*HSTECH!$B$17*HSTECH!$G$17/HSTECH!$B$3,""))</f>
        <v/>
      </c>
      <c r="CZ126" s="161">
        <f>IF(AL126="","",IFERROR(AL126*HSTECH!$B$17*HSTECH!$G$17/HSTECH!$B$3,""))</f>
        <v/>
      </c>
      <c r="DA126" s="161">
        <f>IF(AM126="","",IFERROR(AM126*HSTECH!$B$17*HSTECH!$G$17/HSTECH!$B$3,""))</f>
        <v/>
      </c>
      <c r="DB126" s="161">
        <f>IF(AN126="","",IFERROR(AN126*HSTECH!$B$17*HSTECH!$G$17/HSTECH!$B$3,""))</f>
        <v/>
      </c>
      <c r="DC126" s="161">
        <f>IF(AO126="","",IFERROR(AO126*HSTECH!$B$17*HSTECH!$G$17/HSTECH!$B$3,""))</f>
        <v/>
      </c>
      <c r="DD126" s="161">
        <f>IF(AP126="","",IFERROR(AP126*HSTECH!$B$17*HSTECH!$G$17/HSTECH!$B$3,""))</f>
        <v/>
      </c>
      <c r="DE126" s="161">
        <f>IF(AQ126="","",IFERROR(AQ126*HSTECH!$B$17*HSTECH!$G$17/HSTECH!$B$3,""))</f>
        <v/>
      </c>
      <c r="DF126" s="161">
        <f>IF(AR126="","",IFERROR(AR126*HSTECH!$B$17*HSTECH!$G$17/HSTECH!$B$3,""))</f>
        <v/>
      </c>
      <c r="DG126" s="161">
        <f>IF(AS126="","",IFERROR(AS126*HSTECH!$B$17*HSTECH!$G$17/HSTECH!$B$3,""))</f>
        <v/>
      </c>
      <c r="DH126" s="161">
        <f>IF(AT126="","",IFERROR(AT126*HSTECH!$B$17*HSTECH!$G$17/HSTECH!$B$3,""))</f>
        <v/>
      </c>
      <c r="DI126" s="161">
        <f>IF(AU126="","",IFERROR(AU126*HSTECH!$B$17*HSTECH!$G$17/HSTECH!$B$3,""))</f>
        <v/>
      </c>
      <c r="DJ126" s="161">
        <f>IF(AV126="","",IFERROR(AV126*HSTECH!$B$17*HSTECH!$G$17/HSTECH!$B$3,""))</f>
        <v/>
      </c>
      <c r="DK126" s="161">
        <f>IF(AW126="","",IFERROR(AW126*HSTECH!$B$17*HSTECH!$G$17/HSTECH!$B$3,""))</f>
        <v/>
      </c>
      <c r="DL126" s="161">
        <f>IF(AX126="","",IFERROR(AX126*HSTECH!$B$17*HSTECH!$G$17/HSTECH!$B$3,""))</f>
        <v/>
      </c>
      <c r="DM126" s="161">
        <f>IF(AY126="","",IFERROR(AY126*HSTECH!$B$17*HSTECH!$G$17/HSTECH!$B$3,""))</f>
        <v/>
      </c>
      <c r="DN126" s="161">
        <f>IF(AZ126="","",IFERROR(AZ126*HSTECH!$B$17*HSTECH!$G$17/HSTECH!$B$3,""))</f>
        <v/>
      </c>
      <c r="DO126" s="161">
        <f>IF(BA126="","",IFERROR(BA126*HSTECH!$B$17*HSTECH!$G$17/HSTECH!$B$3,""))</f>
        <v/>
      </c>
      <c r="DP126" s="161">
        <f>IF(BB126="","",IFERROR(BB126*HSTECH!$B$17*HSTECH!$G$17/HSTECH!$B$3,""))</f>
        <v/>
      </c>
      <c r="DQ126" s="161">
        <f>IF(BC126="","",IFERROR(BC126*HSTECH!$B$17*HSTECH!$G$17/HSTECH!$B$3,""))</f>
        <v/>
      </c>
      <c r="DR126" s="161">
        <f>IF(BD126="","",IFERROR(BD126*HSTECH!$B$17*HSTECH!$G$17/HSTECH!$B$3,""))</f>
        <v/>
      </c>
      <c r="DS126" s="161">
        <f>IF(BE126="","",IFERROR(BE126*HSTECH!$B$17*HSTECH!$G$17/HSTECH!$B$3,""))</f>
        <v/>
      </c>
      <c r="DT126" s="161">
        <f>IF(BF126="","",IFERROR(BF126*HSTECH!$B$17*HSTECH!$G$17/HSTECH!$B$3,""))</f>
        <v/>
      </c>
      <c r="DU126" s="161">
        <f>IF(BG126="","",IFERROR(BG126*HSTECH!$B$17*HSTECH!$G$17/HSTECH!$B$3,""))</f>
        <v/>
      </c>
      <c r="DV126" s="161">
        <f>IF(BH126="","",IFERROR(BH126*HSTECH!$B$17*HSTECH!$G$17/HSTECH!$B$3,""))</f>
        <v/>
      </c>
      <c r="DW126" s="161">
        <f>IF(BI126="","",IFERROR(BI126*HSTECH!$B$17*HSTECH!$G$17/HSTECH!$B$3,""))</f>
        <v/>
      </c>
      <c r="DX126" s="161">
        <f>IF(BJ126="","",IFERROR(BJ126*HSTECH!$B$17*HSTECH!$G$17/HSTECH!$B$3,""))</f>
        <v/>
      </c>
      <c r="DY126" s="161">
        <f>IF(BK126="","",IFERROR(BK126*HSTECH!$B$17*HSTECH!$G$17/HSTECH!$B$3,""))</f>
        <v/>
      </c>
      <c r="DZ126" s="161">
        <f>IF(BL126="","",IFERROR(BL126*HSTECH!$B$17*HSTECH!$G$17/HSTECH!$B$3,""))</f>
        <v/>
      </c>
      <c r="EA126" s="161">
        <f>IF(BM126="","",IFERROR(BM126*HSTECH!$B$17*HSTECH!$G$17/HSTECH!$B$3,""))</f>
        <v/>
      </c>
      <c r="EB126" s="161">
        <f>IF(BN126="","",IFERROR(BN126*HSTECH!$B$17*HSTECH!$G$17/HSTECH!$B$3,""))</f>
        <v/>
      </c>
      <c r="EC126" s="161">
        <f>IF(BO126="","",IFERROR(BO126*HSTECH!$B$17*HSTECH!$G$17/HSTECH!$B$3,""))</f>
        <v/>
      </c>
      <c r="EE126" s="121">
        <f>IF(N('Dvd Calendar'!$E$1226)=0,"",IF(('Dvd Calendar'!$E$1226&gt;=GRID_FROM)*('Dvd Calendar'!$E$1226&lt;=GRID_TO)*((('Dvd Calendar'!$E$1226&lt;=VAL_DATE)+(COUNTIF('Dvd Calendar'!$E$1233:$AR$1233,'Dvd Calendar'!$E$1226)=0))&gt;0)=0,"",'Dvd Calendar'!$E$1226*1000000000+ISNUMBER('Dvd Calendar'!$E$1229)*100000000+('Dvd Calendar'!$E$1231=SPECIAL_LBL)*10000000+(N('Dvd Calendar'!$E$1225)&gt;0)*(N('Dvd Calendar'!$E$1225)&lt;=VAL_SERIAL)*1000000+11*1000+1))</f>
        <v/>
      </c>
      <c r="EF126" s="121">
        <f>IF(N('Dvd Calendar'!$F$1226)=0,"",IF(('Dvd Calendar'!$F$1226&gt;=GRID_FROM)*('Dvd Calendar'!$F$1226&lt;=GRID_TO)*((('Dvd Calendar'!$F$1226&lt;=VAL_DATE)+(COUNTIF('Dvd Calendar'!$E$1233:$AR$1233,'Dvd Calendar'!$F$1226)=0))&gt;0)=0,"",'Dvd Calendar'!$F$1226*1000000000+ISNUMBER('Dvd Calendar'!$F$1229)*100000000+('Dvd Calendar'!$F$1231=SPECIAL_LBL)*10000000+(N('Dvd Calendar'!$F$1225)&gt;0)*(N('Dvd Calendar'!$F$1225)&lt;=VAL_SERIAL)*1000000+11*1000+2))</f>
        <v/>
      </c>
      <c r="EG126" s="121">
        <f>IF(N('Dvd Calendar'!$G$1226)=0,"",IF(('Dvd Calendar'!$G$1226&gt;=GRID_FROM)*('Dvd Calendar'!$G$1226&lt;=GRID_TO)*((('Dvd Calendar'!$G$1226&lt;=VAL_DATE)+(COUNTIF('Dvd Calendar'!$E$1233:$AR$1233,'Dvd Calendar'!$G$1226)=0))&gt;0)=0,"",'Dvd Calendar'!$G$1226*1000000000+ISNUMBER('Dvd Calendar'!$G$1229)*100000000+('Dvd Calendar'!$G$1231=SPECIAL_LBL)*10000000+(N('Dvd Calendar'!$G$1225)&gt;0)*(N('Dvd Calendar'!$G$1225)&lt;=VAL_SERIAL)*1000000+11*1000+3))</f>
        <v/>
      </c>
      <c r="EH126" s="121">
        <f>IF(N('Dvd Calendar'!$H$1226)=0,"",IF(('Dvd Calendar'!$H$1226&gt;=GRID_FROM)*('Dvd Calendar'!$H$1226&lt;=GRID_TO)*((('Dvd Calendar'!$H$1226&lt;=VAL_DATE)+(COUNTIF('Dvd Calendar'!$E$1233:$AR$1233,'Dvd Calendar'!$H$1226)=0))&gt;0)=0,"",'Dvd Calendar'!$H$1226*1000000000+ISNUMBER('Dvd Calendar'!$H$1229)*100000000+('Dvd Calendar'!$H$1231=SPECIAL_LBL)*10000000+(N('Dvd Calendar'!$H$1225)&gt;0)*(N('Dvd Calendar'!$H$1225)&lt;=VAL_SERIAL)*1000000+11*1000+4))</f>
        <v/>
      </c>
      <c r="EI126" s="121">
        <f>IF(N('Dvd Calendar'!$I$1226)=0,"",IF(('Dvd Calendar'!$I$1226&gt;=GRID_FROM)*('Dvd Calendar'!$I$1226&lt;=GRID_TO)*((('Dvd Calendar'!$I$1226&lt;=VAL_DATE)+(COUNTIF('Dvd Calendar'!$E$1233:$AR$1233,'Dvd Calendar'!$I$1226)=0))&gt;0)=0,"",'Dvd Calendar'!$I$1226*1000000000+ISNUMBER('Dvd Calendar'!$I$1229)*100000000+('Dvd Calendar'!$I$1231=SPECIAL_LBL)*10000000+(N('Dvd Calendar'!$I$1225)&gt;0)*(N('Dvd Calendar'!$I$1225)&lt;=VAL_SERIAL)*1000000+11*1000+5))</f>
        <v/>
      </c>
      <c r="EJ126" s="121">
        <f>IF(N('Dvd Calendar'!$J$1226)=0,"",IF(('Dvd Calendar'!$J$1226&gt;=GRID_FROM)*('Dvd Calendar'!$J$1226&lt;=GRID_TO)*((('Dvd Calendar'!$J$1226&lt;=VAL_DATE)+(COUNTIF('Dvd Calendar'!$E$1233:$AR$1233,'Dvd Calendar'!$J$1226)=0))&gt;0)=0,"",'Dvd Calendar'!$J$1226*1000000000+ISNUMBER('Dvd Calendar'!$J$1229)*100000000+('Dvd Calendar'!$J$1231=SPECIAL_LBL)*10000000+(N('Dvd Calendar'!$J$1225)&gt;0)*(N('Dvd Calendar'!$J$1225)&lt;=VAL_SERIAL)*1000000+11*1000+6))</f>
        <v/>
      </c>
      <c r="EK126" s="121">
        <f>IF(N('Dvd Calendar'!$K$1226)=0,"",IF(('Dvd Calendar'!$K$1226&gt;=GRID_FROM)*('Dvd Calendar'!$K$1226&lt;=GRID_TO)*((('Dvd Calendar'!$K$1226&lt;=VAL_DATE)+(COUNTIF('Dvd Calendar'!$E$1233:$AR$1233,'Dvd Calendar'!$K$1226)=0))&gt;0)=0,"",'Dvd Calendar'!$K$1226*1000000000+ISNUMBER('Dvd Calendar'!$K$1229)*100000000+('Dvd Calendar'!$K$1231=SPECIAL_LBL)*10000000+(N('Dvd Calendar'!$K$1225)&gt;0)*(N('Dvd Calendar'!$K$1225)&lt;=VAL_SERIAL)*1000000+11*1000+7))</f>
        <v/>
      </c>
      <c r="EL126" s="121">
        <f>IF(N('Dvd Calendar'!$L$1226)=0,"",IF(('Dvd Calendar'!$L$1226&gt;=GRID_FROM)*('Dvd Calendar'!$L$1226&lt;=GRID_TO)*((('Dvd Calendar'!$L$1226&lt;=VAL_DATE)+(COUNTIF('Dvd Calendar'!$E$1233:$AR$1233,'Dvd Calendar'!$L$1226)=0))&gt;0)=0,"",'Dvd Calendar'!$L$1226*1000000000+ISNUMBER('Dvd Calendar'!$L$1229)*100000000+('Dvd Calendar'!$L$1231=SPECIAL_LBL)*10000000+(N('Dvd Calendar'!$L$1225)&gt;0)*(N('Dvd Calendar'!$L$1225)&lt;=VAL_SERIAL)*1000000+11*1000+8))</f>
        <v/>
      </c>
      <c r="EM126" s="121">
        <f>IF(N('Dvd Calendar'!$M$1226)=0,"",IF(('Dvd Calendar'!$M$1226&gt;=GRID_FROM)*('Dvd Calendar'!$M$1226&lt;=GRID_TO)*((('Dvd Calendar'!$M$1226&lt;=VAL_DATE)+(COUNTIF('Dvd Calendar'!$E$1233:$AR$1233,'Dvd Calendar'!$M$1226)=0))&gt;0)=0,"",'Dvd Calendar'!$M$1226*1000000000+ISNUMBER('Dvd Calendar'!$M$1229)*100000000+('Dvd Calendar'!$M$1231=SPECIAL_LBL)*10000000+(N('Dvd Calendar'!$M$1225)&gt;0)*(N('Dvd Calendar'!$M$1225)&lt;=VAL_SERIAL)*1000000+11*1000+9))</f>
        <v/>
      </c>
      <c r="EN126" s="121">
        <f>IF(N('Dvd Calendar'!$N$1226)=0,"",IF(('Dvd Calendar'!$N$1226&gt;=GRID_FROM)*('Dvd Calendar'!$N$1226&lt;=GRID_TO)*((('Dvd Calendar'!$N$1226&lt;=VAL_DATE)+(COUNTIF('Dvd Calendar'!$E$1233:$AR$1233,'Dvd Calendar'!$N$1226)=0))&gt;0)=0,"",'Dvd Calendar'!$N$1226*1000000000+ISNUMBER('Dvd Calendar'!$N$1229)*100000000+('Dvd Calendar'!$N$1231=SPECIAL_LBL)*10000000+(N('Dvd Calendar'!$N$1225)&gt;0)*(N('Dvd Calendar'!$N$1225)&lt;=VAL_SERIAL)*1000000+11*1000+10))</f>
        <v/>
      </c>
      <c r="EO126" s="121">
        <f>IF(N('Dvd Calendar'!$O$1226)=0,"",IF(('Dvd Calendar'!$O$1226&gt;=GRID_FROM)*('Dvd Calendar'!$O$1226&lt;=GRID_TO)*((('Dvd Calendar'!$O$1226&lt;=VAL_DATE)+(COUNTIF('Dvd Calendar'!$E$1233:$AR$1233,'Dvd Calendar'!$O$1226)=0))&gt;0)=0,"",'Dvd Calendar'!$O$1226*1000000000+ISNUMBER('Dvd Calendar'!$O$1229)*100000000+('Dvd Calendar'!$O$1231=SPECIAL_LBL)*10000000+(N('Dvd Calendar'!$O$1225)&gt;0)*(N('Dvd Calendar'!$O$1225)&lt;=VAL_SERIAL)*1000000+11*1000+11))</f>
        <v/>
      </c>
      <c r="EP126" s="121">
        <f>IF(N('Dvd Calendar'!$P$1226)=0,"",IF(('Dvd Calendar'!$P$1226&gt;=GRID_FROM)*('Dvd Calendar'!$P$1226&lt;=GRID_TO)*((('Dvd Calendar'!$P$1226&lt;=VAL_DATE)+(COUNTIF('Dvd Calendar'!$E$1233:$AR$1233,'Dvd Calendar'!$P$1226)=0))&gt;0)=0,"",'Dvd Calendar'!$P$1226*1000000000+ISNUMBER('Dvd Calendar'!$P$1229)*100000000+('Dvd Calendar'!$P$1231=SPECIAL_LBL)*10000000+(N('Dvd Calendar'!$P$1225)&gt;0)*(N('Dvd Calendar'!$P$1225)&lt;=VAL_SERIAL)*1000000+11*1000+12))</f>
        <v/>
      </c>
      <c r="EQ126" s="121">
        <f>IF(N('Dvd Calendar'!$Q$1226)=0,"",IF(('Dvd Calendar'!$Q$1226&gt;=GRID_FROM)*('Dvd Calendar'!$Q$1226&lt;=GRID_TO)*((('Dvd Calendar'!$Q$1226&lt;=VAL_DATE)+(COUNTIF('Dvd Calendar'!$E$1233:$AR$1233,'Dvd Calendar'!$Q$1226)=0))&gt;0)=0,"",'Dvd Calendar'!$Q$1226*1000000000+ISNUMBER('Dvd Calendar'!$Q$1229)*100000000+('Dvd Calendar'!$Q$1231=SPECIAL_LBL)*10000000+(N('Dvd Calendar'!$Q$1225)&gt;0)*(N('Dvd Calendar'!$Q$1225)&lt;=VAL_SERIAL)*1000000+11*1000+13))</f>
        <v/>
      </c>
      <c r="ER126" s="121">
        <f>IF(N('Dvd Calendar'!$R$1226)=0,"",IF(('Dvd Calendar'!$R$1226&gt;=GRID_FROM)*('Dvd Calendar'!$R$1226&lt;=GRID_TO)*((('Dvd Calendar'!$R$1226&lt;=VAL_DATE)+(COUNTIF('Dvd Calendar'!$E$1233:$AR$1233,'Dvd Calendar'!$R$1226)=0))&gt;0)=0,"",'Dvd Calendar'!$R$1226*1000000000+ISNUMBER('Dvd Calendar'!$R$1229)*100000000+('Dvd Calendar'!$R$1231=SPECIAL_LBL)*10000000+(N('Dvd Calendar'!$R$1225)&gt;0)*(N('Dvd Calendar'!$R$1225)&lt;=VAL_SERIAL)*1000000+11*1000+14))</f>
        <v/>
      </c>
      <c r="ES126" s="121">
        <f>IF(N('Dvd Calendar'!$S$1226)=0,"",IF(('Dvd Calendar'!$S$1226&gt;=GRID_FROM)*('Dvd Calendar'!$S$1226&lt;=GRID_TO)*((('Dvd Calendar'!$S$1226&lt;=VAL_DATE)+(COUNTIF('Dvd Calendar'!$E$1233:$AR$1233,'Dvd Calendar'!$S$1226)=0))&gt;0)=0,"",'Dvd Calendar'!$S$1226*1000000000+ISNUMBER('Dvd Calendar'!$S$1229)*100000000+('Dvd Calendar'!$S$1231=SPECIAL_LBL)*10000000+(N('Dvd Calendar'!$S$1225)&gt;0)*(N('Dvd Calendar'!$S$1225)&lt;=VAL_SERIAL)*1000000+11*1000+15))</f>
        <v/>
      </c>
      <c r="ET126" s="121">
        <f>IF(N('Dvd Calendar'!$T$1226)=0,"",IF(('Dvd Calendar'!$T$1226&gt;=GRID_FROM)*('Dvd Calendar'!$T$1226&lt;=GRID_TO)*((('Dvd Calendar'!$T$1226&lt;=VAL_DATE)+(COUNTIF('Dvd Calendar'!$E$1233:$AR$1233,'Dvd Calendar'!$T$1226)=0))&gt;0)=0,"",'Dvd Calendar'!$T$1226*1000000000+ISNUMBER('Dvd Calendar'!$T$1229)*100000000+('Dvd Calendar'!$T$1231=SPECIAL_LBL)*10000000+(N('Dvd Calendar'!$T$1225)&gt;0)*(N('Dvd Calendar'!$T$1225)&lt;=VAL_SERIAL)*1000000+11*1000+16))</f>
        <v/>
      </c>
      <c r="EU126" s="121">
        <f>IF(N('Dvd Calendar'!$U$1226)=0,"",IF(('Dvd Calendar'!$U$1226&gt;=GRID_FROM)*('Dvd Calendar'!$U$1226&lt;=GRID_TO)*((('Dvd Calendar'!$U$1226&lt;=VAL_DATE)+(COUNTIF('Dvd Calendar'!$E$1233:$AR$1233,'Dvd Calendar'!$U$1226)=0))&gt;0)=0,"",'Dvd Calendar'!$U$1226*1000000000+ISNUMBER('Dvd Calendar'!$U$1229)*100000000+('Dvd Calendar'!$U$1231=SPECIAL_LBL)*10000000+(N('Dvd Calendar'!$U$1225)&gt;0)*(N('Dvd Calendar'!$U$1225)&lt;=VAL_SERIAL)*1000000+11*1000+17))</f>
        <v/>
      </c>
      <c r="EV126" s="121">
        <f>IF(N('Dvd Calendar'!$V$1226)=0,"",IF(('Dvd Calendar'!$V$1226&gt;=GRID_FROM)*('Dvd Calendar'!$V$1226&lt;=GRID_TO)*((('Dvd Calendar'!$V$1226&lt;=VAL_DATE)+(COUNTIF('Dvd Calendar'!$E$1233:$AR$1233,'Dvd Calendar'!$V$1226)=0))&gt;0)=0,"",'Dvd Calendar'!$V$1226*1000000000+ISNUMBER('Dvd Calendar'!$V$1229)*100000000+('Dvd Calendar'!$V$1231=SPECIAL_LBL)*10000000+(N('Dvd Calendar'!$V$1225)&gt;0)*(N('Dvd Calendar'!$V$1225)&lt;=VAL_SERIAL)*1000000+11*1000+18))</f>
        <v/>
      </c>
      <c r="EW126" s="121">
        <f>IF(N('Dvd Calendar'!$W$1226)=0,"",IF(('Dvd Calendar'!$W$1226&gt;=GRID_FROM)*('Dvd Calendar'!$W$1226&lt;=GRID_TO)*((('Dvd Calendar'!$W$1226&lt;=VAL_DATE)+(COUNTIF('Dvd Calendar'!$E$1233:$AR$1233,'Dvd Calendar'!$W$1226)=0))&gt;0)=0,"",'Dvd Calendar'!$W$1226*1000000000+ISNUMBER('Dvd Calendar'!$W$1229)*100000000+('Dvd Calendar'!$W$1231=SPECIAL_LBL)*10000000+(N('Dvd Calendar'!$W$1225)&gt;0)*(N('Dvd Calendar'!$W$1225)&lt;=VAL_SERIAL)*1000000+11*1000+19))</f>
        <v/>
      </c>
      <c r="EX126" s="121">
        <f>IF(N('Dvd Calendar'!$X$1226)=0,"",IF(('Dvd Calendar'!$X$1226&gt;=GRID_FROM)*('Dvd Calendar'!$X$1226&lt;=GRID_TO)*((('Dvd Calendar'!$X$1226&lt;=VAL_DATE)+(COUNTIF('Dvd Calendar'!$E$1233:$AR$1233,'Dvd Calendar'!$X$1226)=0))&gt;0)=0,"",'Dvd Calendar'!$X$1226*1000000000+ISNUMBER('Dvd Calendar'!$X$1229)*100000000+('Dvd Calendar'!$X$1231=SPECIAL_LBL)*10000000+(N('Dvd Calendar'!$X$1225)&gt;0)*(N('Dvd Calendar'!$X$1225)&lt;=VAL_SERIAL)*1000000+11*1000+20))</f>
        <v/>
      </c>
      <c r="EY126" s="121">
        <f>IF(N('Dvd Calendar'!$Y$1226)=0,"",IF(('Dvd Calendar'!$Y$1226&gt;=GRID_FROM)*('Dvd Calendar'!$Y$1226&lt;=GRID_TO)*((('Dvd Calendar'!$Y$1226&lt;=VAL_DATE)+(COUNTIF('Dvd Calendar'!$E$1233:$AR$1233,'Dvd Calendar'!$Y$1226)=0))&gt;0)=0,"",'Dvd Calendar'!$Y$1226*1000000000+ISNUMBER('Dvd Calendar'!$Y$1229)*100000000+('Dvd Calendar'!$Y$1231=SPECIAL_LBL)*10000000+(N('Dvd Calendar'!$Y$1225)&gt;0)*(N('Dvd Calendar'!$Y$1225)&lt;=VAL_SERIAL)*1000000+11*1000+21))</f>
        <v/>
      </c>
      <c r="EZ126" s="121">
        <f>IF(N('Dvd Calendar'!$Z$1226)=0,"",IF(('Dvd Calendar'!$Z$1226&gt;=GRID_FROM)*('Dvd Calendar'!$Z$1226&lt;=GRID_TO)*((('Dvd Calendar'!$Z$1226&lt;=VAL_DATE)+(COUNTIF('Dvd Calendar'!$E$1233:$AR$1233,'Dvd Calendar'!$Z$1226)=0))&gt;0)=0,"",'Dvd Calendar'!$Z$1226*1000000000+ISNUMBER('Dvd Calendar'!$Z$1229)*100000000+('Dvd Calendar'!$Z$1231=SPECIAL_LBL)*10000000+(N('Dvd Calendar'!$Z$1225)&gt;0)*(N('Dvd Calendar'!$Z$1225)&lt;=VAL_SERIAL)*1000000+11*1000+22))</f>
        <v/>
      </c>
      <c r="FA126" s="121">
        <f>IF(N('Dvd Calendar'!$AA$1226)=0,"",IF(('Dvd Calendar'!$AA$1226&gt;=GRID_FROM)*('Dvd Calendar'!$AA$1226&lt;=GRID_TO)*((('Dvd Calendar'!$AA$1226&lt;=VAL_DATE)+(COUNTIF('Dvd Calendar'!$E$1233:$AR$1233,'Dvd Calendar'!$AA$1226)=0))&gt;0)=0,"",'Dvd Calendar'!$AA$1226*1000000000+ISNUMBER('Dvd Calendar'!$AA$1229)*100000000+('Dvd Calendar'!$AA$1231=SPECIAL_LBL)*10000000+(N('Dvd Calendar'!$AA$1225)&gt;0)*(N('Dvd Calendar'!$AA$1225)&lt;=VAL_SERIAL)*1000000+11*1000+23))</f>
        <v/>
      </c>
      <c r="FB126" s="121">
        <f>IF(N('Dvd Calendar'!$AB$1226)=0,"",IF(('Dvd Calendar'!$AB$1226&gt;=GRID_FROM)*('Dvd Calendar'!$AB$1226&lt;=GRID_TO)*((('Dvd Calendar'!$AB$1226&lt;=VAL_DATE)+(COUNTIF('Dvd Calendar'!$E$1233:$AR$1233,'Dvd Calendar'!$AB$1226)=0))&gt;0)=0,"",'Dvd Calendar'!$AB$1226*1000000000+ISNUMBER('Dvd Calendar'!$AB$1229)*100000000+('Dvd Calendar'!$AB$1231=SPECIAL_LBL)*10000000+(N('Dvd Calendar'!$AB$1225)&gt;0)*(N('Dvd Calendar'!$AB$1225)&lt;=VAL_SERIAL)*1000000+11*1000+24))</f>
        <v/>
      </c>
      <c r="FC126" s="121">
        <f>IF(N('Dvd Calendar'!$AC$1226)=0,"",IF(('Dvd Calendar'!$AC$1226&gt;=GRID_FROM)*('Dvd Calendar'!$AC$1226&lt;=GRID_TO)*((('Dvd Calendar'!$AC$1226&lt;=VAL_DATE)+(COUNTIF('Dvd Calendar'!$E$1233:$AR$1233,'Dvd Calendar'!$AC$1226)=0))&gt;0)=0,"",'Dvd Calendar'!$AC$1226*1000000000+ISNUMBER('Dvd Calendar'!$AC$1229)*100000000+('Dvd Calendar'!$AC$1231=SPECIAL_LBL)*10000000+(N('Dvd Calendar'!$AC$1225)&gt;0)*(N('Dvd Calendar'!$AC$1225)&lt;=VAL_SERIAL)*1000000+11*1000+25))</f>
        <v/>
      </c>
      <c r="FD126" s="121">
        <f>IF(N('Dvd Calendar'!$AD$1226)=0,"",IF(('Dvd Calendar'!$AD$1226&gt;=GRID_FROM)*('Dvd Calendar'!$AD$1226&lt;=GRID_TO)*((('Dvd Calendar'!$AD$1226&lt;=VAL_DATE)+(COUNTIF('Dvd Calendar'!$E$1233:$AR$1233,'Dvd Calendar'!$AD$1226)=0))&gt;0)=0,"",'Dvd Calendar'!$AD$1226*1000000000+ISNUMBER('Dvd Calendar'!$AD$1229)*100000000+('Dvd Calendar'!$AD$1231=SPECIAL_LBL)*10000000+(N('Dvd Calendar'!$AD$1225)&gt;0)*(N('Dvd Calendar'!$AD$1225)&lt;=VAL_SERIAL)*1000000+11*1000+26))</f>
        <v/>
      </c>
      <c r="FE126" s="121">
        <f>IF(N('Dvd Calendar'!$AE$1226)=0,"",IF(('Dvd Calendar'!$AE$1226&gt;=GRID_FROM)*('Dvd Calendar'!$AE$1226&lt;=GRID_TO)*((('Dvd Calendar'!$AE$1226&lt;=VAL_DATE)+(COUNTIF('Dvd Calendar'!$E$1233:$AR$1233,'Dvd Calendar'!$AE$1226)=0))&gt;0)=0,"",'Dvd Calendar'!$AE$1226*1000000000+ISNUMBER('Dvd Calendar'!$AE$1229)*100000000+('Dvd Calendar'!$AE$1231=SPECIAL_LBL)*10000000+(N('Dvd Calendar'!$AE$1225)&gt;0)*(N('Dvd Calendar'!$AE$1225)&lt;=VAL_SERIAL)*1000000+11*1000+27))</f>
        <v/>
      </c>
      <c r="FF126" s="121">
        <f>IF(N('Dvd Calendar'!$AF$1226)=0,"",IF(('Dvd Calendar'!$AF$1226&gt;=GRID_FROM)*('Dvd Calendar'!$AF$1226&lt;=GRID_TO)*((('Dvd Calendar'!$AF$1226&lt;=VAL_DATE)+(COUNTIF('Dvd Calendar'!$E$1233:$AR$1233,'Dvd Calendar'!$AF$1226)=0))&gt;0)=0,"",'Dvd Calendar'!$AF$1226*1000000000+ISNUMBER('Dvd Calendar'!$AF$1229)*100000000+('Dvd Calendar'!$AF$1231=SPECIAL_LBL)*10000000+(N('Dvd Calendar'!$AF$1225)&gt;0)*(N('Dvd Calendar'!$AF$1225)&lt;=VAL_SERIAL)*1000000+11*1000+28))</f>
        <v/>
      </c>
      <c r="FG126" s="121">
        <f>IF(N('Dvd Calendar'!$AG$1226)=0,"",IF(('Dvd Calendar'!$AG$1226&gt;=GRID_FROM)*('Dvd Calendar'!$AG$1226&lt;=GRID_TO)*((('Dvd Calendar'!$AG$1226&lt;=VAL_DATE)+(COUNTIF('Dvd Calendar'!$E$1233:$AR$1233,'Dvd Calendar'!$AG$1226)=0))&gt;0)=0,"",'Dvd Calendar'!$AG$1226*1000000000+ISNUMBER('Dvd Calendar'!$AG$1229)*100000000+('Dvd Calendar'!$AG$1231=SPECIAL_LBL)*10000000+(N('Dvd Calendar'!$AG$1225)&gt;0)*(N('Dvd Calendar'!$AG$1225)&lt;=VAL_SERIAL)*1000000+11*1000+29))</f>
        <v/>
      </c>
      <c r="FH126" s="121">
        <f>IF(N('Dvd Calendar'!$AH$1226)=0,"",IF(('Dvd Calendar'!$AH$1226&gt;=GRID_FROM)*('Dvd Calendar'!$AH$1226&lt;=GRID_TO)*((('Dvd Calendar'!$AH$1226&lt;=VAL_DATE)+(COUNTIF('Dvd Calendar'!$E$1233:$AR$1233,'Dvd Calendar'!$AH$1226)=0))&gt;0)=0,"",'Dvd Calendar'!$AH$1226*1000000000+ISNUMBER('Dvd Calendar'!$AH$1229)*100000000+('Dvd Calendar'!$AH$1231=SPECIAL_LBL)*10000000+(N('Dvd Calendar'!$AH$1225)&gt;0)*(N('Dvd Calendar'!$AH$1225)&lt;=VAL_SERIAL)*1000000+11*1000+30))</f>
        <v/>
      </c>
      <c r="FI126" s="121">
        <f>IF(N('Dvd Calendar'!$AI$1226)=0,"",IF(('Dvd Calendar'!$AI$1226&gt;=GRID_FROM)*('Dvd Calendar'!$AI$1226&lt;=GRID_TO)*((('Dvd Calendar'!$AI$1226&lt;=VAL_DATE)+(COUNTIF('Dvd Calendar'!$E$1233:$AR$1233,'Dvd Calendar'!$AI$1226)=0))&gt;0)=0,"",'Dvd Calendar'!$AI$1226*1000000000+ISNUMBER('Dvd Calendar'!$AI$1229)*100000000+('Dvd Calendar'!$AI$1231=SPECIAL_LBL)*10000000+(N('Dvd Calendar'!$AI$1225)&gt;0)*(N('Dvd Calendar'!$AI$1225)&lt;=VAL_SERIAL)*1000000+11*1000+31))</f>
        <v/>
      </c>
      <c r="FJ126" s="121">
        <f>IF(N('Dvd Calendar'!$AJ$1226)=0,"",IF(('Dvd Calendar'!$AJ$1226&gt;=GRID_FROM)*('Dvd Calendar'!$AJ$1226&lt;=GRID_TO)*((('Dvd Calendar'!$AJ$1226&lt;=VAL_DATE)+(COUNTIF('Dvd Calendar'!$E$1233:$AR$1233,'Dvd Calendar'!$AJ$1226)=0))&gt;0)=0,"",'Dvd Calendar'!$AJ$1226*1000000000+ISNUMBER('Dvd Calendar'!$AJ$1229)*100000000+('Dvd Calendar'!$AJ$1231=SPECIAL_LBL)*10000000+(N('Dvd Calendar'!$AJ$1225)&gt;0)*(N('Dvd Calendar'!$AJ$1225)&lt;=VAL_SERIAL)*1000000+11*1000+32))</f>
        <v/>
      </c>
      <c r="FK126" s="121">
        <f>IF(N('Dvd Calendar'!$AK$1226)=0,"",IF(('Dvd Calendar'!$AK$1226&gt;=GRID_FROM)*('Dvd Calendar'!$AK$1226&lt;=GRID_TO)*((('Dvd Calendar'!$AK$1226&lt;=VAL_DATE)+(COUNTIF('Dvd Calendar'!$E$1233:$AR$1233,'Dvd Calendar'!$AK$1226)=0))&gt;0)=0,"",'Dvd Calendar'!$AK$1226*1000000000+ISNUMBER('Dvd Calendar'!$AK$1229)*100000000+('Dvd Calendar'!$AK$1231=SPECIAL_LBL)*10000000+(N('Dvd Calendar'!$AK$1225)&gt;0)*(N('Dvd Calendar'!$AK$1225)&lt;=VAL_SERIAL)*1000000+11*1000+33))</f>
        <v/>
      </c>
      <c r="FL126" s="121">
        <f>IF(N('Dvd Calendar'!$AL$1226)=0,"",IF(('Dvd Calendar'!$AL$1226&gt;=GRID_FROM)*('Dvd Calendar'!$AL$1226&lt;=GRID_TO)*((('Dvd Calendar'!$AL$1226&lt;=VAL_DATE)+(COUNTIF('Dvd Calendar'!$E$1233:$AR$1233,'Dvd Calendar'!$AL$1226)=0))&gt;0)=0,"",'Dvd Calendar'!$AL$1226*1000000000+ISNUMBER('Dvd Calendar'!$AL$1229)*100000000+('Dvd Calendar'!$AL$1231=SPECIAL_LBL)*10000000+(N('Dvd Calendar'!$AL$1225)&gt;0)*(N('Dvd Calendar'!$AL$1225)&lt;=VAL_SERIAL)*1000000+11*1000+34))</f>
        <v/>
      </c>
      <c r="FM126" s="121">
        <f>IF(N('Dvd Calendar'!$AM$1226)=0,"",IF(('Dvd Calendar'!$AM$1226&gt;=GRID_FROM)*('Dvd Calendar'!$AM$1226&lt;=GRID_TO)*((('Dvd Calendar'!$AM$1226&lt;=VAL_DATE)+(COUNTIF('Dvd Calendar'!$E$1233:$AR$1233,'Dvd Calendar'!$AM$1226)=0))&gt;0)=0,"",'Dvd Calendar'!$AM$1226*1000000000+ISNUMBER('Dvd Calendar'!$AM$1229)*100000000+('Dvd Calendar'!$AM$1231=SPECIAL_LBL)*10000000+(N('Dvd Calendar'!$AM$1225)&gt;0)*(N('Dvd Calendar'!$AM$1225)&lt;=VAL_SERIAL)*1000000+11*1000+35))</f>
        <v/>
      </c>
      <c r="FN126" s="121">
        <f>IF(N('Dvd Calendar'!$AN$1226)=0,"",IF(('Dvd Calendar'!$AN$1226&gt;=GRID_FROM)*('Dvd Calendar'!$AN$1226&lt;=GRID_TO)*((('Dvd Calendar'!$AN$1226&lt;=VAL_DATE)+(COUNTIF('Dvd Calendar'!$E$1233:$AR$1233,'Dvd Calendar'!$AN$1226)=0))&gt;0)=0,"",'Dvd Calendar'!$AN$1226*1000000000+ISNUMBER('Dvd Calendar'!$AN$1229)*100000000+('Dvd Calendar'!$AN$1231=SPECIAL_LBL)*10000000+(N('Dvd Calendar'!$AN$1225)&gt;0)*(N('Dvd Calendar'!$AN$1225)&lt;=VAL_SERIAL)*1000000+11*1000+36))</f>
        <v/>
      </c>
      <c r="FO126" s="121">
        <f>IF(N('Dvd Calendar'!$AO$1226)=0,"",IF(('Dvd Calendar'!$AO$1226&gt;=GRID_FROM)*('Dvd Calendar'!$AO$1226&lt;=GRID_TO)*((('Dvd Calendar'!$AO$1226&lt;=VAL_DATE)+(COUNTIF('Dvd Calendar'!$E$1233:$AR$1233,'Dvd Calendar'!$AO$1226)=0))&gt;0)=0,"",'Dvd Calendar'!$AO$1226*1000000000+ISNUMBER('Dvd Calendar'!$AO$1229)*100000000+('Dvd Calendar'!$AO$1231=SPECIAL_LBL)*10000000+(N('Dvd Calendar'!$AO$1225)&gt;0)*(N('Dvd Calendar'!$AO$1225)&lt;=VAL_SERIAL)*1000000+11*1000+37))</f>
        <v/>
      </c>
      <c r="FP126" s="121">
        <f>IF(N('Dvd Calendar'!$AP$1226)=0,"",IF(('Dvd Calendar'!$AP$1226&gt;=GRID_FROM)*('Dvd Calendar'!$AP$1226&lt;=GRID_TO)*((('Dvd Calendar'!$AP$1226&lt;=VAL_DATE)+(COUNTIF('Dvd Calendar'!$E$1233:$AR$1233,'Dvd Calendar'!$AP$1226)=0))&gt;0)=0,"",'Dvd Calendar'!$AP$1226*1000000000+ISNUMBER('Dvd Calendar'!$AP$1229)*100000000+('Dvd Calendar'!$AP$1231=SPECIAL_LBL)*10000000+(N('Dvd Calendar'!$AP$1225)&gt;0)*(N('Dvd Calendar'!$AP$1225)&lt;=VAL_SERIAL)*1000000+11*1000+38))</f>
        <v/>
      </c>
      <c r="FQ126" s="121">
        <f>IF(N('Dvd Calendar'!$AQ$1226)=0,"",IF(('Dvd Calendar'!$AQ$1226&gt;=GRID_FROM)*('Dvd Calendar'!$AQ$1226&lt;=GRID_TO)*((('Dvd Calendar'!$AQ$1226&lt;=VAL_DATE)+(COUNTIF('Dvd Calendar'!$E$1233:$AR$1233,'Dvd Calendar'!$AQ$1226)=0))&gt;0)=0,"",'Dvd Calendar'!$AQ$1226*1000000000+ISNUMBER('Dvd Calendar'!$AQ$1229)*100000000+('Dvd Calendar'!$AQ$1231=SPECIAL_LBL)*10000000+(N('Dvd Calendar'!$AQ$1225)&gt;0)*(N('Dvd Calendar'!$AQ$1225)&lt;=VAL_SERIAL)*1000000+11*1000+39))</f>
        <v/>
      </c>
      <c r="FR126" s="121">
        <f>IF(N('Dvd Calendar'!$AR$1226)=0,"",IF(('Dvd Calendar'!$AR$1226&gt;=GRID_FROM)*('Dvd Calendar'!$AR$1226&lt;=GRID_TO)*((('Dvd Calendar'!$AR$1226&lt;=VAL_DATE)+(COUNTIF('Dvd Calendar'!$E$1233:$AR$1233,'Dvd Calendar'!$AR$1226)=0))&gt;0)=0,"",'Dvd Calendar'!$AR$1226*1000000000+ISNUMBER('Dvd Calendar'!$AR$1229)*100000000+('Dvd Calendar'!$AR$1231=SPECIAL_LBL)*10000000+(N('Dvd Calendar'!$AR$1225)&gt;0)*(N('Dvd Calendar'!$AR$1225)&lt;=VAL_SERIAL)*1000000+11*1000+40))</f>
        <v/>
      </c>
      <c r="FS126" s="121">
        <f>IF(N('Dvd Calendar'!$E$1233)=0,"",IF(('Dvd Calendar'!$E$1233&gt;=GRID_FROM)*('Dvd Calendar'!$E$1233&lt;=GRID_TO)*('Dvd Calendar'!$E$1233&gt;VAL_DATE)=0,"",'Dvd Calendar'!$E$1233*1000000000+ISNUMBER('Dvd Calendar'!$E$1234)*100000000+0*10000000+(N('Dvd Calendar'!$E$1232)&gt;0)*(N('Dvd Calendar'!$E$1232)&lt;=VAL_SERIAL)*1000000+11*1000+41))</f>
        <v/>
      </c>
      <c r="FT126" s="121">
        <f>IF(N('Dvd Calendar'!$F$1233)=0,"",IF(('Dvd Calendar'!$F$1233&gt;=GRID_FROM)*('Dvd Calendar'!$F$1233&lt;=GRID_TO)*('Dvd Calendar'!$F$1233&gt;VAL_DATE)=0,"",'Dvd Calendar'!$F$1233*1000000000+ISNUMBER('Dvd Calendar'!$F$1234)*100000000+0*10000000+(N('Dvd Calendar'!$F$1232)&gt;0)*(N('Dvd Calendar'!$F$1232)&lt;=VAL_SERIAL)*1000000+11*1000+42))</f>
        <v/>
      </c>
      <c r="FU126" s="121">
        <f>IF(N('Dvd Calendar'!$G$1233)=0,"",IF(('Dvd Calendar'!$G$1233&gt;=GRID_FROM)*('Dvd Calendar'!$G$1233&lt;=GRID_TO)*('Dvd Calendar'!$G$1233&gt;VAL_DATE)=0,"",'Dvd Calendar'!$G$1233*1000000000+ISNUMBER('Dvd Calendar'!$G$1234)*100000000+0*10000000+(N('Dvd Calendar'!$G$1232)&gt;0)*(N('Dvd Calendar'!$G$1232)&lt;=VAL_SERIAL)*1000000+11*1000+43))</f>
        <v/>
      </c>
      <c r="FV126" s="121">
        <f>IF(N('Dvd Calendar'!$H$1233)=0,"",IF(('Dvd Calendar'!$H$1233&gt;=GRID_FROM)*('Dvd Calendar'!$H$1233&lt;=GRID_TO)*('Dvd Calendar'!$H$1233&gt;VAL_DATE)=0,"",'Dvd Calendar'!$H$1233*1000000000+ISNUMBER('Dvd Calendar'!$H$1234)*100000000+0*10000000+(N('Dvd Calendar'!$H$1232)&gt;0)*(N('Dvd Calendar'!$H$1232)&lt;=VAL_SERIAL)*1000000+11*1000+44))</f>
        <v/>
      </c>
      <c r="FW126" s="121">
        <f>IF(N('Dvd Calendar'!$I$1233)=0,"",IF(('Dvd Calendar'!$I$1233&gt;=GRID_FROM)*('Dvd Calendar'!$I$1233&lt;=GRID_TO)*('Dvd Calendar'!$I$1233&gt;VAL_DATE)=0,"",'Dvd Calendar'!$I$1233*1000000000+ISNUMBER('Dvd Calendar'!$I$1234)*100000000+0*10000000+(N('Dvd Calendar'!$I$1232)&gt;0)*(N('Dvd Calendar'!$I$1232)&lt;=VAL_SERIAL)*1000000+11*1000+45))</f>
        <v/>
      </c>
      <c r="FX126" s="121">
        <f>IF(N('Dvd Calendar'!$J$1233)=0,"",IF(('Dvd Calendar'!$J$1233&gt;=GRID_FROM)*('Dvd Calendar'!$J$1233&lt;=GRID_TO)*('Dvd Calendar'!$J$1233&gt;VAL_DATE)=0,"",'Dvd Calendar'!$J$1233*1000000000+ISNUMBER('Dvd Calendar'!$J$1234)*100000000+0*10000000+(N('Dvd Calendar'!$J$1232)&gt;0)*(N('Dvd Calendar'!$J$1232)&lt;=VAL_SERIAL)*1000000+11*1000+46))</f>
        <v/>
      </c>
      <c r="FY126" s="121">
        <f>IF(N('Dvd Calendar'!$K$1233)=0,"",IF(('Dvd Calendar'!$K$1233&gt;=GRID_FROM)*('Dvd Calendar'!$K$1233&lt;=GRID_TO)*('Dvd Calendar'!$K$1233&gt;VAL_DATE)=0,"",'Dvd Calendar'!$K$1233*1000000000+ISNUMBER('Dvd Calendar'!$K$1234)*100000000+0*10000000+(N('Dvd Calendar'!$K$1232)&gt;0)*(N('Dvd Calendar'!$K$1232)&lt;=VAL_SERIAL)*1000000+11*1000+47))</f>
        <v/>
      </c>
      <c r="FZ126" s="121">
        <f>IF(N('Dvd Calendar'!$L$1233)=0,"",IF(('Dvd Calendar'!$L$1233&gt;=GRID_FROM)*('Dvd Calendar'!$L$1233&lt;=GRID_TO)*('Dvd Calendar'!$L$1233&gt;VAL_DATE)=0,"",'Dvd Calendar'!$L$1233*1000000000+ISNUMBER('Dvd Calendar'!$L$1234)*100000000+0*10000000+(N('Dvd Calendar'!$L$1232)&gt;0)*(N('Dvd Calendar'!$L$1232)&lt;=VAL_SERIAL)*1000000+11*1000+48))</f>
        <v/>
      </c>
      <c r="GA126" s="121">
        <f>IF(N('Dvd Calendar'!$M$1233)=0,"",IF(('Dvd Calendar'!$M$1233&gt;=GRID_FROM)*('Dvd Calendar'!$M$1233&lt;=GRID_TO)*('Dvd Calendar'!$M$1233&gt;VAL_DATE)=0,"",'Dvd Calendar'!$M$1233*1000000000+ISNUMBER('Dvd Calendar'!$M$1234)*100000000+0*10000000+(N('Dvd Calendar'!$M$1232)&gt;0)*(N('Dvd Calendar'!$M$1232)&lt;=VAL_SERIAL)*1000000+11*1000+49))</f>
        <v/>
      </c>
      <c r="GB126" s="121">
        <f>IF(N('Dvd Calendar'!$N$1233)=0,"",IF(('Dvd Calendar'!$N$1233&gt;=GRID_FROM)*('Dvd Calendar'!$N$1233&lt;=GRID_TO)*('Dvd Calendar'!$N$1233&gt;VAL_DATE)=0,"",'Dvd Calendar'!$N$1233*1000000000+ISNUMBER('Dvd Calendar'!$N$1234)*100000000+0*10000000+(N('Dvd Calendar'!$N$1232)&gt;0)*(N('Dvd Calendar'!$N$1232)&lt;=VAL_SERIAL)*1000000+11*1000+50))</f>
        <v/>
      </c>
      <c r="GC126" s="121">
        <f>IF(N('Dvd Calendar'!$O$1233)=0,"",IF(('Dvd Calendar'!$O$1233&gt;=GRID_FROM)*('Dvd Calendar'!$O$1233&lt;=GRID_TO)*('Dvd Calendar'!$O$1233&gt;VAL_DATE)=0,"",'Dvd Calendar'!$O$1233*1000000000+ISNUMBER('Dvd Calendar'!$O$1234)*100000000+0*10000000+(N('Dvd Calendar'!$O$1232)&gt;0)*(N('Dvd Calendar'!$O$1232)&lt;=VAL_SERIAL)*1000000+11*1000+51))</f>
        <v/>
      </c>
      <c r="GD126" s="121">
        <f>IF(N('Dvd Calendar'!$P$1233)=0,"",IF(('Dvd Calendar'!$P$1233&gt;=GRID_FROM)*('Dvd Calendar'!$P$1233&lt;=GRID_TO)*('Dvd Calendar'!$P$1233&gt;VAL_DATE)=0,"",'Dvd Calendar'!$P$1233*1000000000+ISNUMBER('Dvd Calendar'!$P$1234)*100000000+0*10000000+(N('Dvd Calendar'!$P$1232)&gt;0)*(N('Dvd Calendar'!$P$1232)&lt;=VAL_SERIAL)*1000000+11*1000+52))</f>
        <v/>
      </c>
      <c r="GE126" s="121">
        <f>IF(N('Dvd Calendar'!$Q$1233)=0,"",IF(('Dvd Calendar'!$Q$1233&gt;=GRID_FROM)*('Dvd Calendar'!$Q$1233&lt;=GRID_TO)*('Dvd Calendar'!$Q$1233&gt;VAL_DATE)=0,"",'Dvd Calendar'!$Q$1233*1000000000+ISNUMBER('Dvd Calendar'!$Q$1234)*100000000+0*10000000+(N('Dvd Calendar'!$Q$1232)&gt;0)*(N('Dvd Calendar'!$Q$1232)&lt;=VAL_SERIAL)*1000000+11*1000+53))</f>
        <v/>
      </c>
      <c r="GF126" s="121">
        <f>IF(N('Dvd Calendar'!$R$1233)=0,"",IF(('Dvd Calendar'!$R$1233&gt;=GRID_FROM)*('Dvd Calendar'!$R$1233&lt;=GRID_TO)*('Dvd Calendar'!$R$1233&gt;VAL_DATE)=0,"",'Dvd Calendar'!$R$1233*1000000000+ISNUMBER('Dvd Calendar'!$R$1234)*100000000+0*10000000+(N('Dvd Calendar'!$R$1232)&gt;0)*(N('Dvd Calendar'!$R$1232)&lt;=VAL_SERIAL)*1000000+11*1000+54))</f>
        <v/>
      </c>
      <c r="GG126" s="121">
        <f>IF(N('Dvd Calendar'!$S$1233)=0,"",IF(('Dvd Calendar'!$S$1233&gt;=GRID_FROM)*('Dvd Calendar'!$S$1233&lt;=GRID_TO)*('Dvd Calendar'!$S$1233&gt;VAL_DATE)=0,"",'Dvd Calendar'!$S$1233*1000000000+ISNUMBER('Dvd Calendar'!$S$1234)*100000000+0*10000000+(N('Dvd Calendar'!$S$1232)&gt;0)*(N('Dvd Calendar'!$S$1232)&lt;=VAL_SERIAL)*1000000+11*1000+55))</f>
        <v/>
      </c>
      <c r="GH126" s="121">
        <f>IF(N('Dvd Calendar'!$T$1233)=0,"",IF(('Dvd Calendar'!$T$1233&gt;=GRID_FROM)*('Dvd Calendar'!$T$1233&lt;=GRID_TO)*('Dvd Calendar'!$T$1233&gt;VAL_DATE)=0,"",'Dvd Calendar'!$T$1233*1000000000+ISNUMBER('Dvd Calendar'!$T$1234)*100000000+0*10000000+(N('Dvd Calendar'!$T$1232)&gt;0)*(N('Dvd Calendar'!$T$1232)&lt;=VAL_SERIAL)*1000000+11*1000+56))</f>
        <v/>
      </c>
      <c r="GI126" s="121">
        <f>IF(N('Dvd Calendar'!$U$1233)=0,"",IF(('Dvd Calendar'!$U$1233&gt;=GRID_FROM)*('Dvd Calendar'!$U$1233&lt;=GRID_TO)*('Dvd Calendar'!$U$1233&gt;VAL_DATE)=0,"",'Dvd Calendar'!$U$1233*1000000000+ISNUMBER('Dvd Calendar'!$U$1234)*100000000+0*10000000+(N('Dvd Calendar'!$U$1232)&gt;0)*(N('Dvd Calendar'!$U$1232)&lt;=VAL_SERIAL)*1000000+11*1000+57))</f>
        <v/>
      </c>
      <c r="GJ126" s="121">
        <f>IF(N('Dvd Calendar'!$V$1233)=0,"",IF(('Dvd Calendar'!$V$1233&gt;=GRID_FROM)*('Dvd Calendar'!$V$1233&lt;=GRID_TO)*('Dvd Calendar'!$V$1233&gt;VAL_DATE)=0,"",'Dvd Calendar'!$V$1233*1000000000+ISNUMBER('Dvd Calendar'!$V$1234)*100000000+0*10000000+(N('Dvd Calendar'!$V$1232)&gt;0)*(N('Dvd Calendar'!$V$1232)&lt;=VAL_SERIAL)*1000000+11*1000+58))</f>
        <v/>
      </c>
      <c r="GK126" s="121">
        <f>IF(N('Dvd Calendar'!$W$1233)=0,"",IF(('Dvd Calendar'!$W$1233&gt;=GRID_FROM)*('Dvd Calendar'!$W$1233&lt;=GRID_TO)*('Dvd Calendar'!$W$1233&gt;VAL_DATE)=0,"",'Dvd Calendar'!$W$1233*1000000000+ISNUMBER('Dvd Calendar'!$W$1234)*100000000+0*10000000+(N('Dvd Calendar'!$W$1232)&gt;0)*(N('Dvd Calendar'!$W$1232)&lt;=VAL_SERIAL)*1000000+11*1000+59))</f>
        <v/>
      </c>
      <c r="GL126" s="121">
        <f>IF(N('Dvd Calendar'!$X$1233)=0,"",IF(('Dvd Calendar'!$X$1233&gt;=GRID_FROM)*('Dvd Calendar'!$X$1233&lt;=GRID_TO)*('Dvd Calendar'!$X$1233&gt;VAL_DATE)=0,"",'Dvd Calendar'!$X$1233*1000000000+ISNUMBER('Dvd Calendar'!$X$1234)*100000000+0*10000000+(N('Dvd Calendar'!$X$1232)&gt;0)*(N('Dvd Calendar'!$X$1232)&lt;=VAL_SERIAL)*1000000+11*1000+60))</f>
        <v/>
      </c>
      <c r="GM126" s="121">
        <f>IF(N('Dvd Calendar'!$Y$1233)=0,"",IF(('Dvd Calendar'!$Y$1233&gt;=GRID_FROM)*('Dvd Calendar'!$Y$1233&lt;=GRID_TO)*('Dvd Calendar'!$Y$1233&gt;VAL_DATE)=0,"",'Dvd Calendar'!$Y$1233*1000000000+ISNUMBER('Dvd Calendar'!$Y$1234)*100000000+0*10000000+(N('Dvd Calendar'!$Y$1232)&gt;0)*(N('Dvd Calendar'!$Y$1232)&lt;=VAL_SERIAL)*1000000+11*1000+61))</f>
        <v/>
      </c>
      <c r="GN126" s="121">
        <f>IF(N('Dvd Calendar'!$Z$1233)=0,"",IF(('Dvd Calendar'!$Z$1233&gt;=GRID_FROM)*('Dvd Calendar'!$Z$1233&lt;=GRID_TO)*('Dvd Calendar'!$Z$1233&gt;VAL_DATE)=0,"",'Dvd Calendar'!$Z$1233*1000000000+ISNUMBER('Dvd Calendar'!$Z$1234)*100000000+0*10000000+(N('Dvd Calendar'!$Z$1232)&gt;0)*(N('Dvd Calendar'!$Z$1232)&lt;=VAL_SERIAL)*1000000+11*1000+62))</f>
        <v/>
      </c>
      <c r="GO126" s="121">
        <f>IF(N('Dvd Calendar'!$AA$1233)=0,"",IF(('Dvd Calendar'!$AA$1233&gt;=GRID_FROM)*('Dvd Calendar'!$AA$1233&lt;=GRID_TO)*('Dvd Calendar'!$AA$1233&gt;VAL_DATE)=0,"",'Dvd Calendar'!$AA$1233*1000000000+ISNUMBER('Dvd Calendar'!$AA$1234)*100000000+0*10000000+(N('Dvd Calendar'!$AA$1232)&gt;0)*(N('Dvd Calendar'!$AA$1232)&lt;=VAL_SERIAL)*1000000+11*1000+63))</f>
        <v/>
      </c>
      <c r="GP126" s="121">
        <f>IF(N('Dvd Calendar'!$AB$1233)=0,"",IF(('Dvd Calendar'!$AB$1233&gt;=GRID_FROM)*('Dvd Calendar'!$AB$1233&lt;=GRID_TO)*('Dvd Calendar'!$AB$1233&gt;VAL_DATE)=0,"",'Dvd Calendar'!$AB$1233*1000000000+ISNUMBER('Dvd Calendar'!$AB$1234)*100000000+0*10000000+(N('Dvd Calendar'!$AB$1232)&gt;0)*(N('Dvd Calendar'!$AB$1232)&lt;=VAL_SERIAL)*1000000+11*1000+64))</f>
        <v/>
      </c>
      <c r="GQ126" s="121">
        <f>IF(N('Dvd Calendar'!$AC$1233)=0,"",IF(('Dvd Calendar'!$AC$1233&gt;=GRID_FROM)*('Dvd Calendar'!$AC$1233&lt;=GRID_TO)*('Dvd Calendar'!$AC$1233&gt;VAL_DATE)=0,"",'Dvd Calendar'!$AC$1233*1000000000+ISNUMBER('Dvd Calendar'!$AC$1234)*100000000+0*10000000+(N('Dvd Calendar'!$AC$1232)&gt;0)*(N('Dvd Calendar'!$AC$1232)&lt;=VAL_SERIAL)*1000000+11*1000+65))</f>
        <v/>
      </c>
    </row>
    <row r="127">
      <c r="B127" s="2">
        <f>IF(HSTECH!$C$18="","",HSTECH!$C$18)</f>
        <v/>
      </c>
      <c r="C127" s="161">
        <f>IF(EE127="","",IF(ISNUMBER('Dvd Calendar'!$E$1240)=FALSE,"",IF((('Dvd Calendar'!$E$1242=TYPE1)*(TYPE1&lt;&gt;"")+('Dvd Calendar'!$E$1242=TYPE2)*(TYPE2&lt;&gt;"")+('Dvd Calendar'!$E$1242=TYPE3)*(TYPE3&lt;&gt;"")+('Dvd Calendar'!$E$1242=TYPE4)*(TYPE4&lt;&gt;"")+('Dvd Calendar'!$E$1242=SPECIAL_LBL)*(INC_SPECIALS="Y"))=0,"",'Dvd Calendar'!$E$1240)))</f>
        <v/>
      </c>
      <c r="D127" s="161">
        <f>IF(EF127="","",IF(ISNUMBER('Dvd Calendar'!$F$1240)=FALSE,"",IF((('Dvd Calendar'!$F$1242=TYPE1)*(TYPE1&lt;&gt;"")+('Dvd Calendar'!$F$1242=TYPE2)*(TYPE2&lt;&gt;"")+('Dvd Calendar'!$F$1242=TYPE3)*(TYPE3&lt;&gt;"")+('Dvd Calendar'!$F$1242=TYPE4)*(TYPE4&lt;&gt;"")+('Dvd Calendar'!$F$1242=SPECIAL_LBL)*(INC_SPECIALS="Y"))=0,"",'Dvd Calendar'!$F$1240)))</f>
        <v/>
      </c>
      <c r="E127" s="161">
        <f>IF(EG127="","",IF(ISNUMBER('Dvd Calendar'!$G$1240)=FALSE,"",IF((('Dvd Calendar'!$G$1242=TYPE1)*(TYPE1&lt;&gt;"")+('Dvd Calendar'!$G$1242=TYPE2)*(TYPE2&lt;&gt;"")+('Dvd Calendar'!$G$1242=TYPE3)*(TYPE3&lt;&gt;"")+('Dvd Calendar'!$G$1242=TYPE4)*(TYPE4&lt;&gt;"")+('Dvd Calendar'!$G$1242=SPECIAL_LBL)*(INC_SPECIALS="Y"))=0,"",'Dvd Calendar'!$G$1240)))</f>
        <v/>
      </c>
      <c r="F127" s="161">
        <f>IF(EH127="","",IF(ISNUMBER('Dvd Calendar'!$H$1240)=FALSE,"",IF((('Dvd Calendar'!$H$1242=TYPE1)*(TYPE1&lt;&gt;"")+('Dvd Calendar'!$H$1242=TYPE2)*(TYPE2&lt;&gt;"")+('Dvd Calendar'!$H$1242=TYPE3)*(TYPE3&lt;&gt;"")+('Dvd Calendar'!$H$1242=TYPE4)*(TYPE4&lt;&gt;"")+('Dvd Calendar'!$H$1242=SPECIAL_LBL)*(INC_SPECIALS="Y"))=0,"",'Dvd Calendar'!$H$1240)))</f>
        <v/>
      </c>
      <c r="G127" s="161">
        <f>IF(EI127="","",IF(ISNUMBER('Dvd Calendar'!$I$1240)=FALSE,"",IF((('Dvd Calendar'!$I$1242=TYPE1)*(TYPE1&lt;&gt;"")+('Dvd Calendar'!$I$1242=TYPE2)*(TYPE2&lt;&gt;"")+('Dvd Calendar'!$I$1242=TYPE3)*(TYPE3&lt;&gt;"")+('Dvd Calendar'!$I$1242=TYPE4)*(TYPE4&lt;&gt;"")+('Dvd Calendar'!$I$1242=SPECIAL_LBL)*(INC_SPECIALS="Y"))=0,"",'Dvd Calendar'!$I$1240)))</f>
        <v/>
      </c>
      <c r="H127" s="161">
        <f>IF(EJ127="","",IF(ISNUMBER('Dvd Calendar'!$J$1240)=FALSE,"",IF((('Dvd Calendar'!$J$1242=TYPE1)*(TYPE1&lt;&gt;"")+('Dvd Calendar'!$J$1242=TYPE2)*(TYPE2&lt;&gt;"")+('Dvd Calendar'!$J$1242=TYPE3)*(TYPE3&lt;&gt;"")+('Dvd Calendar'!$J$1242=TYPE4)*(TYPE4&lt;&gt;"")+('Dvd Calendar'!$J$1242=SPECIAL_LBL)*(INC_SPECIALS="Y"))=0,"",'Dvd Calendar'!$J$1240)))</f>
        <v/>
      </c>
      <c r="I127" s="161">
        <f>IF(EK127="","",IF(ISNUMBER('Dvd Calendar'!$K$1240)=FALSE,"",IF((('Dvd Calendar'!$K$1242=TYPE1)*(TYPE1&lt;&gt;"")+('Dvd Calendar'!$K$1242=TYPE2)*(TYPE2&lt;&gt;"")+('Dvd Calendar'!$K$1242=TYPE3)*(TYPE3&lt;&gt;"")+('Dvd Calendar'!$K$1242=TYPE4)*(TYPE4&lt;&gt;"")+('Dvd Calendar'!$K$1242=SPECIAL_LBL)*(INC_SPECIALS="Y"))=0,"",'Dvd Calendar'!$K$1240)))</f>
        <v/>
      </c>
      <c r="J127" s="161">
        <f>IF(EL127="","",IF(ISNUMBER('Dvd Calendar'!$L$1240)=FALSE,"",IF((('Dvd Calendar'!$L$1242=TYPE1)*(TYPE1&lt;&gt;"")+('Dvd Calendar'!$L$1242=TYPE2)*(TYPE2&lt;&gt;"")+('Dvd Calendar'!$L$1242=TYPE3)*(TYPE3&lt;&gt;"")+('Dvd Calendar'!$L$1242=TYPE4)*(TYPE4&lt;&gt;"")+('Dvd Calendar'!$L$1242=SPECIAL_LBL)*(INC_SPECIALS="Y"))=0,"",'Dvd Calendar'!$L$1240)))</f>
        <v/>
      </c>
      <c r="K127" s="161">
        <f>IF(EM127="","",IF(ISNUMBER('Dvd Calendar'!$M$1240)=FALSE,"",IF((('Dvd Calendar'!$M$1242=TYPE1)*(TYPE1&lt;&gt;"")+('Dvd Calendar'!$M$1242=TYPE2)*(TYPE2&lt;&gt;"")+('Dvd Calendar'!$M$1242=TYPE3)*(TYPE3&lt;&gt;"")+('Dvd Calendar'!$M$1242=TYPE4)*(TYPE4&lt;&gt;"")+('Dvd Calendar'!$M$1242=SPECIAL_LBL)*(INC_SPECIALS="Y"))=0,"",'Dvd Calendar'!$M$1240)))</f>
        <v/>
      </c>
      <c r="L127" s="161">
        <f>IF(EN127="","",IF(ISNUMBER('Dvd Calendar'!$N$1240)=FALSE,"",IF((('Dvd Calendar'!$N$1242=TYPE1)*(TYPE1&lt;&gt;"")+('Dvd Calendar'!$N$1242=TYPE2)*(TYPE2&lt;&gt;"")+('Dvd Calendar'!$N$1242=TYPE3)*(TYPE3&lt;&gt;"")+('Dvd Calendar'!$N$1242=TYPE4)*(TYPE4&lt;&gt;"")+('Dvd Calendar'!$N$1242=SPECIAL_LBL)*(INC_SPECIALS="Y"))=0,"",'Dvd Calendar'!$N$1240)))</f>
        <v/>
      </c>
      <c r="M127" s="161">
        <f>IF(EO127="","",IF(ISNUMBER('Dvd Calendar'!$O$1240)=FALSE,"",IF((('Dvd Calendar'!$O$1242=TYPE1)*(TYPE1&lt;&gt;"")+('Dvd Calendar'!$O$1242=TYPE2)*(TYPE2&lt;&gt;"")+('Dvd Calendar'!$O$1242=TYPE3)*(TYPE3&lt;&gt;"")+('Dvd Calendar'!$O$1242=TYPE4)*(TYPE4&lt;&gt;"")+('Dvd Calendar'!$O$1242=SPECIAL_LBL)*(INC_SPECIALS="Y"))=0,"",'Dvd Calendar'!$O$1240)))</f>
        <v/>
      </c>
      <c r="N127" s="161">
        <f>IF(EP127="","",IF(ISNUMBER('Dvd Calendar'!$P$1240)=FALSE,"",IF((('Dvd Calendar'!$P$1242=TYPE1)*(TYPE1&lt;&gt;"")+('Dvd Calendar'!$P$1242=TYPE2)*(TYPE2&lt;&gt;"")+('Dvd Calendar'!$P$1242=TYPE3)*(TYPE3&lt;&gt;"")+('Dvd Calendar'!$P$1242=TYPE4)*(TYPE4&lt;&gt;"")+('Dvd Calendar'!$P$1242=SPECIAL_LBL)*(INC_SPECIALS="Y"))=0,"",'Dvd Calendar'!$P$1240)))</f>
        <v/>
      </c>
      <c r="O127" s="161">
        <f>IF(EQ127="","",IF(ISNUMBER('Dvd Calendar'!$Q$1240)=FALSE,"",IF((('Dvd Calendar'!$Q$1242=TYPE1)*(TYPE1&lt;&gt;"")+('Dvd Calendar'!$Q$1242=TYPE2)*(TYPE2&lt;&gt;"")+('Dvd Calendar'!$Q$1242=TYPE3)*(TYPE3&lt;&gt;"")+('Dvd Calendar'!$Q$1242=TYPE4)*(TYPE4&lt;&gt;"")+('Dvd Calendar'!$Q$1242=SPECIAL_LBL)*(INC_SPECIALS="Y"))=0,"",'Dvd Calendar'!$Q$1240)))</f>
        <v/>
      </c>
      <c r="P127" s="161">
        <f>IF(ER127="","",IF(ISNUMBER('Dvd Calendar'!$R$1240)=FALSE,"",IF((('Dvd Calendar'!$R$1242=TYPE1)*(TYPE1&lt;&gt;"")+('Dvd Calendar'!$R$1242=TYPE2)*(TYPE2&lt;&gt;"")+('Dvd Calendar'!$R$1242=TYPE3)*(TYPE3&lt;&gt;"")+('Dvd Calendar'!$R$1242=TYPE4)*(TYPE4&lt;&gt;"")+('Dvd Calendar'!$R$1242=SPECIAL_LBL)*(INC_SPECIALS="Y"))=0,"",'Dvd Calendar'!$R$1240)))</f>
        <v/>
      </c>
      <c r="Q127" s="161">
        <f>IF(ES127="","",IF(ISNUMBER('Dvd Calendar'!$S$1240)=FALSE,"",IF((('Dvd Calendar'!$S$1242=TYPE1)*(TYPE1&lt;&gt;"")+('Dvd Calendar'!$S$1242=TYPE2)*(TYPE2&lt;&gt;"")+('Dvd Calendar'!$S$1242=TYPE3)*(TYPE3&lt;&gt;"")+('Dvd Calendar'!$S$1242=TYPE4)*(TYPE4&lt;&gt;"")+('Dvd Calendar'!$S$1242=SPECIAL_LBL)*(INC_SPECIALS="Y"))=0,"",'Dvd Calendar'!$S$1240)))</f>
        <v/>
      </c>
      <c r="R127" s="161">
        <f>IF(ET127="","",IF(ISNUMBER('Dvd Calendar'!$T$1240)=FALSE,"",IF((('Dvd Calendar'!$T$1242=TYPE1)*(TYPE1&lt;&gt;"")+('Dvd Calendar'!$T$1242=TYPE2)*(TYPE2&lt;&gt;"")+('Dvd Calendar'!$T$1242=TYPE3)*(TYPE3&lt;&gt;"")+('Dvd Calendar'!$T$1242=TYPE4)*(TYPE4&lt;&gt;"")+('Dvd Calendar'!$T$1242=SPECIAL_LBL)*(INC_SPECIALS="Y"))=0,"",'Dvd Calendar'!$T$1240)))</f>
        <v/>
      </c>
      <c r="S127" s="161">
        <f>IF(EU127="","",IF(ISNUMBER('Dvd Calendar'!$U$1240)=FALSE,"",IF((('Dvd Calendar'!$U$1242=TYPE1)*(TYPE1&lt;&gt;"")+('Dvd Calendar'!$U$1242=TYPE2)*(TYPE2&lt;&gt;"")+('Dvd Calendar'!$U$1242=TYPE3)*(TYPE3&lt;&gt;"")+('Dvd Calendar'!$U$1242=TYPE4)*(TYPE4&lt;&gt;"")+('Dvd Calendar'!$U$1242=SPECIAL_LBL)*(INC_SPECIALS="Y"))=0,"",'Dvd Calendar'!$U$1240)))</f>
        <v/>
      </c>
      <c r="T127" s="161">
        <f>IF(EV127="","",IF(ISNUMBER('Dvd Calendar'!$V$1240)=FALSE,"",IF((('Dvd Calendar'!$V$1242=TYPE1)*(TYPE1&lt;&gt;"")+('Dvd Calendar'!$V$1242=TYPE2)*(TYPE2&lt;&gt;"")+('Dvd Calendar'!$V$1242=TYPE3)*(TYPE3&lt;&gt;"")+('Dvd Calendar'!$V$1242=TYPE4)*(TYPE4&lt;&gt;"")+('Dvd Calendar'!$V$1242=SPECIAL_LBL)*(INC_SPECIALS="Y"))=0,"",'Dvd Calendar'!$V$1240)))</f>
        <v/>
      </c>
      <c r="U127" s="161">
        <f>IF(EW127="","",IF(ISNUMBER('Dvd Calendar'!$W$1240)=FALSE,"",IF((('Dvd Calendar'!$W$1242=TYPE1)*(TYPE1&lt;&gt;"")+('Dvd Calendar'!$W$1242=TYPE2)*(TYPE2&lt;&gt;"")+('Dvd Calendar'!$W$1242=TYPE3)*(TYPE3&lt;&gt;"")+('Dvd Calendar'!$W$1242=TYPE4)*(TYPE4&lt;&gt;"")+('Dvd Calendar'!$W$1242=SPECIAL_LBL)*(INC_SPECIALS="Y"))=0,"",'Dvd Calendar'!$W$1240)))</f>
        <v/>
      </c>
      <c r="V127" s="161">
        <f>IF(EX127="","",IF(ISNUMBER('Dvd Calendar'!$X$1240)=FALSE,"",IF((('Dvd Calendar'!$X$1242=TYPE1)*(TYPE1&lt;&gt;"")+('Dvd Calendar'!$X$1242=TYPE2)*(TYPE2&lt;&gt;"")+('Dvd Calendar'!$X$1242=TYPE3)*(TYPE3&lt;&gt;"")+('Dvd Calendar'!$X$1242=TYPE4)*(TYPE4&lt;&gt;"")+('Dvd Calendar'!$X$1242=SPECIAL_LBL)*(INC_SPECIALS="Y"))=0,"",'Dvd Calendar'!$X$1240)))</f>
        <v/>
      </c>
      <c r="W127" s="161">
        <f>IF(EY127="","",IF(ISNUMBER('Dvd Calendar'!$Y$1240)=FALSE,"",IF((('Dvd Calendar'!$Y$1242=TYPE1)*(TYPE1&lt;&gt;"")+('Dvd Calendar'!$Y$1242=TYPE2)*(TYPE2&lt;&gt;"")+('Dvd Calendar'!$Y$1242=TYPE3)*(TYPE3&lt;&gt;"")+('Dvd Calendar'!$Y$1242=TYPE4)*(TYPE4&lt;&gt;"")+('Dvd Calendar'!$Y$1242=SPECIAL_LBL)*(INC_SPECIALS="Y"))=0,"",'Dvd Calendar'!$Y$1240)))</f>
        <v/>
      </c>
      <c r="X127" s="161">
        <f>IF(EZ127="","",IF(ISNUMBER('Dvd Calendar'!$Z$1240)=FALSE,"",IF((('Dvd Calendar'!$Z$1242=TYPE1)*(TYPE1&lt;&gt;"")+('Dvd Calendar'!$Z$1242=TYPE2)*(TYPE2&lt;&gt;"")+('Dvd Calendar'!$Z$1242=TYPE3)*(TYPE3&lt;&gt;"")+('Dvd Calendar'!$Z$1242=TYPE4)*(TYPE4&lt;&gt;"")+('Dvd Calendar'!$Z$1242=SPECIAL_LBL)*(INC_SPECIALS="Y"))=0,"",'Dvd Calendar'!$Z$1240)))</f>
        <v/>
      </c>
      <c r="Y127" s="161">
        <f>IF(FA127="","",IF(ISNUMBER('Dvd Calendar'!$AA$1240)=FALSE,"",IF((('Dvd Calendar'!$AA$1242=TYPE1)*(TYPE1&lt;&gt;"")+('Dvd Calendar'!$AA$1242=TYPE2)*(TYPE2&lt;&gt;"")+('Dvd Calendar'!$AA$1242=TYPE3)*(TYPE3&lt;&gt;"")+('Dvd Calendar'!$AA$1242=TYPE4)*(TYPE4&lt;&gt;"")+('Dvd Calendar'!$AA$1242=SPECIAL_LBL)*(INC_SPECIALS="Y"))=0,"",'Dvd Calendar'!$AA$1240)))</f>
        <v/>
      </c>
      <c r="Z127" s="161">
        <f>IF(FB127="","",IF(ISNUMBER('Dvd Calendar'!$AB$1240)=FALSE,"",IF((('Dvd Calendar'!$AB$1242=TYPE1)*(TYPE1&lt;&gt;"")+('Dvd Calendar'!$AB$1242=TYPE2)*(TYPE2&lt;&gt;"")+('Dvd Calendar'!$AB$1242=TYPE3)*(TYPE3&lt;&gt;"")+('Dvd Calendar'!$AB$1242=TYPE4)*(TYPE4&lt;&gt;"")+('Dvd Calendar'!$AB$1242=SPECIAL_LBL)*(INC_SPECIALS="Y"))=0,"",'Dvd Calendar'!$AB$1240)))</f>
        <v/>
      </c>
      <c r="AA127" s="161">
        <f>IF(FC127="","",IF(ISNUMBER('Dvd Calendar'!$AC$1240)=FALSE,"",IF((('Dvd Calendar'!$AC$1242=TYPE1)*(TYPE1&lt;&gt;"")+('Dvd Calendar'!$AC$1242=TYPE2)*(TYPE2&lt;&gt;"")+('Dvd Calendar'!$AC$1242=TYPE3)*(TYPE3&lt;&gt;"")+('Dvd Calendar'!$AC$1242=TYPE4)*(TYPE4&lt;&gt;"")+('Dvd Calendar'!$AC$1242=SPECIAL_LBL)*(INC_SPECIALS="Y"))=0,"",'Dvd Calendar'!$AC$1240)))</f>
        <v/>
      </c>
      <c r="AB127" s="161">
        <f>IF(FD127="","",IF(ISNUMBER('Dvd Calendar'!$AD$1240)=FALSE,"",IF((('Dvd Calendar'!$AD$1242=TYPE1)*(TYPE1&lt;&gt;"")+('Dvd Calendar'!$AD$1242=TYPE2)*(TYPE2&lt;&gt;"")+('Dvd Calendar'!$AD$1242=TYPE3)*(TYPE3&lt;&gt;"")+('Dvd Calendar'!$AD$1242=TYPE4)*(TYPE4&lt;&gt;"")+('Dvd Calendar'!$AD$1242=SPECIAL_LBL)*(INC_SPECIALS="Y"))=0,"",'Dvd Calendar'!$AD$1240)))</f>
        <v/>
      </c>
      <c r="AC127" s="161">
        <f>IF(FE127="","",IF(ISNUMBER('Dvd Calendar'!$AE$1240)=FALSE,"",IF((('Dvd Calendar'!$AE$1242=TYPE1)*(TYPE1&lt;&gt;"")+('Dvd Calendar'!$AE$1242=TYPE2)*(TYPE2&lt;&gt;"")+('Dvd Calendar'!$AE$1242=TYPE3)*(TYPE3&lt;&gt;"")+('Dvd Calendar'!$AE$1242=TYPE4)*(TYPE4&lt;&gt;"")+('Dvd Calendar'!$AE$1242=SPECIAL_LBL)*(INC_SPECIALS="Y"))=0,"",'Dvd Calendar'!$AE$1240)))</f>
        <v/>
      </c>
      <c r="AD127" s="161">
        <f>IF(FF127="","",IF(ISNUMBER('Dvd Calendar'!$AF$1240)=FALSE,"",IF((('Dvd Calendar'!$AF$1242=TYPE1)*(TYPE1&lt;&gt;"")+('Dvd Calendar'!$AF$1242=TYPE2)*(TYPE2&lt;&gt;"")+('Dvd Calendar'!$AF$1242=TYPE3)*(TYPE3&lt;&gt;"")+('Dvd Calendar'!$AF$1242=TYPE4)*(TYPE4&lt;&gt;"")+('Dvd Calendar'!$AF$1242=SPECIAL_LBL)*(INC_SPECIALS="Y"))=0,"",'Dvd Calendar'!$AF$1240)))</f>
        <v/>
      </c>
      <c r="AE127" s="161">
        <f>IF(FG127="","",IF(ISNUMBER('Dvd Calendar'!$AG$1240)=FALSE,"",IF((('Dvd Calendar'!$AG$1242=TYPE1)*(TYPE1&lt;&gt;"")+('Dvd Calendar'!$AG$1242=TYPE2)*(TYPE2&lt;&gt;"")+('Dvd Calendar'!$AG$1242=TYPE3)*(TYPE3&lt;&gt;"")+('Dvd Calendar'!$AG$1242=TYPE4)*(TYPE4&lt;&gt;"")+('Dvd Calendar'!$AG$1242=SPECIAL_LBL)*(INC_SPECIALS="Y"))=0,"",'Dvd Calendar'!$AG$1240)))</f>
        <v/>
      </c>
      <c r="AF127" s="161">
        <f>IF(FH127="","",IF(ISNUMBER('Dvd Calendar'!$AH$1240)=FALSE,"",IF((('Dvd Calendar'!$AH$1242=TYPE1)*(TYPE1&lt;&gt;"")+('Dvd Calendar'!$AH$1242=TYPE2)*(TYPE2&lt;&gt;"")+('Dvd Calendar'!$AH$1242=TYPE3)*(TYPE3&lt;&gt;"")+('Dvd Calendar'!$AH$1242=TYPE4)*(TYPE4&lt;&gt;"")+('Dvd Calendar'!$AH$1242=SPECIAL_LBL)*(INC_SPECIALS="Y"))=0,"",'Dvd Calendar'!$AH$1240)))</f>
        <v/>
      </c>
      <c r="AG127" s="161">
        <f>IF(FI127="","",IF(ISNUMBER('Dvd Calendar'!$AI$1240)=FALSE,"",IF((('Dvd Calendar'!$AI$1242=TYPE1)*(TYPE1&lt;&gt;"")+('Dvd Calendar'!$AI$1242=TYPE2)*(TYPE2&lt;&gt;"")+('Dvd Calendar'!$AI$1242=TYPE3)*(TYPE3&lt;&gt;"")+('Dvd Calendar'!$AI$1242=TYPE4)*(TYPE4&lt;&gt;"")+('Dvd Calendar'!$AI$1242=SPECIAL_LBL)*(INC_SPECIALS="Y"))=0,"",'Dvd Calendar'!$AI$1240)))</f>
        <v/>
      </c>
      <c r="AH127" s="161">
        <f>IF(FJ127="","",IF(ISNUMBER('Dvd Calendar'!$AJ$1240)=FALSE,"",IF((('Dvd Calendar'!$AJ$1242=TYPE1)*(TYPE1&lt;&gt;"")+('Dvd Calendar'!$AJ$1242=TYPE2)*(TYPE2&lt;&gt;"")+('Dvd Calendar'!$AJ$1242=TYPE3)*(TYPE3&lt;&gt;"")+('Dvd Calendar'!$AJ$1242=TYPE4)*(TYPE4&lt;&gt;"")+('Dvd Calendar'!$AJ$1242=SPECIAL_LBL)*(INC_SPECIALS="Y"))=0,"",'Dvd Calendar'!$AJ$1240)))</f>
        <v/>
      </c>
      <c r="AI127" s="161">
        <f>IF(FK127="","",IF(ISNUMBER('Dvd Calendar'!$AK$1240)=FALSE,"",IF((('Dvd Calendar'!$AK$1242=TYPE1)*(TYPE1&lt;&gt;"")+('Dvd Calendar'!$AK$1242=TYPE2)*(TYPE2&lt;&gt;"")+('Dvd Calendar'!$AK$1242=TYPE3)*(TYPE3&lt;&gt;"")+('Dvd Calendar'!$AK$1242=TYPE4)*(TYPE4&lt;&gt;"")+('Dvd Calendar'!$AK$1242=SPECIAL_LBL)*(INC_SPECIALS="Y"))=0,"",'Dvd Calendar'!$AK$1240)))</f>
        <v/>
      </c>
      <c r="AJ127" s="161">
        <f>IF(FL127="","",IF(ISNUMBER('Dvd Calendar'!$AL$1240)=FALSE,"",IF((('Dvd Calendar'!$AL$1242=TYPE1)*(TYPE1&lt;&gt;"")+('Dvd Calendar'!$AL$1242=TYPE2)*(TYPE2&lt;&gt;"")+('Dvd Calendar'!$AL$1242=TYPE3)*(TYPE3&lt;&gt;"")+('Dvd Calendar'!$AL$1242=TYPE4)*(TYPE4&lt;&gt;"")+('Dvd Calendar'!$AL$1242=SPECIAL_LBL)*(INC_SPECIALS="Y"))=0,"",'Dvd Calendar'!$AL$1240)))</f>
        <v/>
      </c>
      <c r="AK127" s="161">
        <f>IF(FM127="","",IF(ISNUMBER('Dvd Calendar'!$AM$1240)=FALSE,"",IF((('Dvd Calendar'!$AM$1242=TYPE1)*(TYPE1&lt;&gt;"")+('Dvd Calendar'!$AM$1242=TYPE2)*(TYPE2&lt;&gt;"")+('Dvd Calendar'!$AM$1242=TYPE3)*(TYPE3&lt;&gt;"")+('Dvd Calendar'!$AM$1242=TYPE4)*(TYPE4&lt;&gt;"")+('Dvd Calendar'!$AM$1242=SPECIAL_LBL)*(INC_SPECIALS="Y"))=0,"",'Dvd Calendar'!$AM$1240)))</f>
        <v/>
      </c>
      <c r="AL127" s="161">
        <f>IF(FN127="","",IF(ISNUMBER('Dvd Calendar'!$AN$1240)=FALSE,"",IF((('Dvd Calendar'!$AN$1242=TYPE1)*(TYPE1&lt;&gt;"")+('Dvd Calendar'!$AN$1242=TYPE2)*(TYPE2&lt;&gt;"")+('Dvd Calendar'!$AN$1242=TYPE3)*(TYPE3&lt;&gt;"")+('Dvd Calendar'!$AN$1242=TYPE4)*(TYPE4&lt;&gt;"")+('Dvd Calendar'!$AN$1242=SPECIAL_LBL)*(INC_SPECIALS="Y"))=0,"",'Dvd Calendar'!$AN$1240)))</f>
        <v/>
      </c>
      <c r="AM127" s="161">
        <f>IF(FO127="","",IF(ISNUMBER('Dvd Calendar'!$AO$1240)=FALSE,"",IF((('Dvd Calendar'!$AO$1242=TYPE1)*(TYPE1&lt;&gt;"")+('Dvd Calendar'!$AO$1242=TYPE2)*(TYPE2&lt;&gt;"")+('Dvd Calendar'!$AO$1242=TYPE3)*(TYPE3&lt;&gt;"")+('Dvd Calendar'!$AO$1242=TYPE4)*(TYPE4&lt;&gt;"")+('Dvd Calendar'!$AO$1242=SPECIAL_LBL)*(INC_SPECIALS="Y"))=0,"",'Dvd Calendar'!$AO$1240)))</f>
        <v/>
      </c>
      <c r="AN127" s="161">
        <f>IF(FP127="","",IF(ISNUMBER('Dvd Calendar'!$AP$1240)=FALSE,"",IF((('Dvd Calendar'!$AP$1242=TYPE1)*(TYPE1&lt;&gt;"")+('Dvd Calendar'!$AP$1242=TYPE2)*(TYPE2&lt;&gt;"")+('Dvd Calendar'!$AP$1242=TYPE3)*(TYPE3&lt;&gt;"")+('Dvd Calendar'!$AP$1242=TYPE4)*(TYPE4&lt;&gt;"")+('Dvd Calendar'!$AP$1242=SPECIAL_LBL)*(INC_SPECIALS="Y"))=0,"",'Dvd Calendar'!$AP$1240)))</f>
        <v/>
      </c>
      <c r="AO127" s="161">
        <f>IF(FQ127="","",IF(ISNUMBER('Dvd Calendar'!$AQ$1240)=FALSE,"",IF((('Dvd Calendar'!$AQ$1242=TYPE1)*(TYPE1&lt;&gt;"")+('Dvd Calendar'!$AQ$1242=TYPE2)*(TYPE2&lt;&gt;"")+('Dvd Calendar'!$AQ$1242=TYPE3)*(TYPE3&lt;&gt;"")+('Dvd Calendar'!$AQ$1242=TYPE4)*(TYPE4&lt;&gt;"")+('Dvd Calendar'!$AQ$1242=SPECIAL_LBL)*(INC_SPECIALS="Y"))=0,"",'Dvd Calendar'!$AQ$1240)))</f>
        <v/>
      </c>
      <c r="AP127" s="161">
        <f>IF(FR127="","",IF(ISNUMBER('Dvd Calendar'!$AR$1240)=FALSE,"",IF((('Dvd Calendar'!$AR$1242=TYPE1)*(TYPE1&lt;&gt;"")+('Dvd Calendar'!$AR$1242=TYPE2)*(TYPE2&lt;&gt;"")+('Dvd Calendar'!$AR$1242=TYPE3)*(TYPE3&lt;&gt;"")+('Dvd Calendar'!$AR$1242=TYPE4)*(TYPE4&lt;&gt;"")+('Dvd Calendar'!$AR$1242=SPECIAL_LBL)*(INC_SPECIALS="Y"))=0,"",'Dvd Calendar'!$AR$1240)))</f>
        <v/>
      </c>
      <c r="AQ127" s="161">
        <f>IF(FS127="","",IF(ISNUMBER('Dvd Calendar'!$E$1245)=FALSE,"",'Dvd Calendar'!$E$1245))</f>
        <v/>
      </c>
      <c r="AR127" s="161">
        <f>IF(FT127="","",IF(ISNUMBER('Dvd Calendar'!$F$1245)=FALSE,"",'Dvd Calendar'!$F$1245))</f>
        <v/>
      </c>
      <c r="AS127" s="161">
        <f>IF(FU127="","",IF(ISNUMBER('Dvd Calendar'!$G$1245)=FALSE,"",'Dvd Calendar'!$G$1245))</f>
        <v/>
      </c>
      <c r="AT127" s="161">
        <f>IF(FV127="","",IF(ISNUMBER('Dvd Calendar'!$H$1245)=FALSE,"",'Dvd Calendar'!$H$1245))</f>
        <v/>
      </c>
      <c r="AU127" s="161">
        <f>IF(FW127="","",IF(ISNUMBER('Dvd Calendar'!$I$1245)=FALSE,"",'Dvd Calendar'!$I$1245))</f>
        <v/>
      </c>
      <c r="AV127" s="161">
        <f>IF(FX127="","",IF(ISNUMBER('Dvd Calendar'!$J$1245)=FALSE,"",'Dvd Calendar'!$J$1245))</f>
        <v/>
      </c>
      <c r="AW127" s="161">
        <f>IF(FY127="","",IF(ISNUMBER('Dvd Calendar'!$K$1245)=FALSE,"",'Dvd Calendar'!$K$1245))</f>
        <v/>
      </c>
      <c r="AX127" s="161">
        <f>IF(FZ127="","",IF(ISNUMBER('Dvd Calendar'!$L$1245)=FALSE,"",'Dvd Calendar'!$L$1245))</f>
        <v/>
      </c>
      <c r="AY127" s="161">
        <f>IF(GA127="","",IF(ISNUMBER('Dvd Calendar'!$M$1245)=FALSE,"",'Dvd Calendar'!$M$1245))</f>
        <v/>
      </c>
      <c r="AZ127" s="161">
        <f>IF(GB127="","",IF(ISNUMBER('Dvd Calendar'!$N$1245)=FALSE,"",'Dvd Calendar'!$N$1245))</f>
        <v/>
      </c>
      <c r="BA127" s="161">
        <f>IF(GC127="","",IF(ISNUMBER('Dvd Calendar'!$O$1245)=FALSE,"",'Dvd Calendar'!$O$1245))</f>
        <v/>
      </c>
      <c r="BB127" s="161">
        <f>IF(GD127="","",IF(ISNUMBER('Dvd Calendar'!$P$1245)=FALSE,"",'Dvd Calendar'!$P$1245))</f>
        <v/>
      </c>
      <c r="BC127" s="161">
        <f>IF(GE127="","",IF(ISNUMBER('Dvd Calendar'!$Q$1245)=FALSE,"",'Dvd Calendar'!$Q$1245))</f>
        <v/>
      </c>
      <c r="BD127" s="161">
        <f>IF(GF127="","",IF(ISNUMBER('Dvd Calendar'!$R$1245)=FALSE,"",'Dvd Calendar'!$R$1245))</f>
        <v/>
      </c>
      <c r="BE127" s="161">
        <f>IF(GG127="","",IF(ISNUMBER('Dvd Calendar'!$S$1245)=FALSE,"",'Dvd Calendar'!$S$1245))</f>
        <v/>
      </c>
      <c r="BF127" s="161">
        <f>IF(GH127="","",IF(ISNUMBER('Dvd Calendar'!$T$1245)=FALSE,"",'Dvd Calendar'!$T$1245))</f>
        <v/>
      </c>
      <c r="BG127" s="161">
        <f>IF(GI127="","",IF(ISNUMBER('Dvd Calendar'!$U$1245)=FALSE,"",'Dvd Calendar'!$U$1245))</f>
        <v/>
      </c>
      <c r="BH127" s="161">
        <f>IF(GJ127="","",IF(ISNUMBER('Dvd Calendar'!$V$1245)=FALSE,"",'Dvd Calendar'!$V$1245))</f>
        <v/>
      </c>
      <c r="BI127" s="161">
        <f>IF(GK127="","",IF(ISNUMBER('Dvd Calendar'!$W$1245)=FALSE,"",'Dvd Calendar'!$W$1245))</f>
        <v/>
      </c>
      <c r="BJ127" s="161">
        <f>IF(GL127="","",IF(ISNUMBER('Dvd Calendar'!$X$1245)=FALSE,"",'Dvd Calendar'!$X$1245))</f>
        <v/>
      </c>
      <c r="BK127" s="161">
        <f>IF(GM127="","",IF(ISNUMBER('Dvd Calendar'!$Y$1245)=FALSE,"",'Dvd Calendar'!$Y$1245))</f>
        <v/>
      </c>
      <c r="BL127" s="161">
        <f>IF(GN127="","",IF(ISNUMBER('Dvd Calendar'!$Z$1245)=FALSE,"",'Dvd Calendar'!$Z$1245))</f>
        <v/>
      </c>
      <c r="BM127" s="161">
        <f>IF(GO127="","",IF(ISNUMBER('Dvd Calendar'!$AA$1245)=FALSE,"",'Dvd Calendar'!$AA$1245))</f>
        <v/>
      </c>
      <c r="BN127" s="161">
        <f>IF(GP127="","",IF(ISNUMBER('Dvd Calendar'!$AB$1245)=FALSE,"",'Dvd Calendar'!$AB$1245))</f>
        <v/>
      </c>
      <c r="BO127" s="161">
        <f>IF(GQ127="","",IF(ISNUMBER('Dvd Calendar'!$AC$1245)=FALSE,"",'Dvd Calendar'!$AC$1245))</f>
        <v/>
      </c>
      <c r="BQ127" s="161">
        <f>IF(C127="","",IFERROR(C127*HSTECH!$B$18*HSTECH!$G$18/HSTECH!$B$3,""))</f>
        <v/>
      </c>
      <c r="BR127" s="161">
        <f>IF(D127="","",IFERROR(D127*HSTECH!$B$18*HSTECH!$G$18/HSTECH!$B$3,""))</f>
        <v/>
      </c>
      <c r="BS127" s="161">
        <f>IF(E127="","",IFERROR(E127*HSTECH!$B$18*HSTECH!$G$18/HSTECH!$B$3,""))</f>
        <v/>
      </c>
      <c r="BT127" s="161">
        <f>IF(F127="","",IFERROR(F127*HSTECH!$B$18*HSTECH!$G$18/HSTECH!$B$3,""))</f>
        <v/>
      </c>
      <c r="BU127" s="161">
        <f>IF(G127="","",IFERROR(G127*HSTECH!$B$18*HSTECH!$G$18/HSTECH!$B$3,""))</f>
        <v/>
      </c>
      <c r="BV127" s="161">
        <f>IF(H127="","",IFERROR(H127*HSTECH!$B$18*HSTECH!$G$18/HSTECH!$B$3,""))</f>
        <v/>
      </c>
      <c r="BW127" s="161">
        <f>IF(I127="","",IFERROR(I127*HSTECH!$B$18*HSTECH!$G$18/HSTECH!$B$3,""))</f>
        <v/>
      </c>
      <c r="BX127" s="161">
        <f>IF(J127="","",IFERROR(J127*HSTECH!$B$18*HSTECH!$G$18/HSTECH!$B$3,""))</f>
        <v/>
      </c>
      <c r="BY127" s="161">
        <f>IF(K127="","",IFERROR(K127*HSTECH!$B$18*HSTECH!$G$18/HSTECH!$B$3,""))</f>
        <v/>
      </c>
      <c r="BZ127" s="161">
        <f>IF(L127="","",IFERROR(L127*HSTECH!$B$18*HSTECH!$G$18/HSTECH!$B$3,""))</f>
        <v/>
      </c>
      <c r="CA127" s="161">
        <f>IF(M127="","",IFERROR(M127*HSTECH!$B$18*HSTECH!$G$18/HSTECH!$B$3,""))</f>
        <v/>
      </c>
      <c r="CB127" s="161">
        <f>IF(N127="","",IFERROR(N127*HSTECH!$B$18*HSTECH!$G$18/HSTECH!$B$3,""))</f>
        <v/>
      </c>
      <c r="CC127" s="161">
        <f>IF(O127="","",IFERROR(O127*HSTECH!$B$18*HSTECH!$G$18/HSTECH!$B$3,""))</f>
        <v/>
      </c>
      <c r="CD127" s="161">
        <f>IF(P127="","",IFERROR(P127*HSTECH!$B$18*HSTECH!$G$18/HSTECH!$B$3,""))</f>
        <v/>
      </c>
      <c r="CE127" s="161">
        <f>IF(Q127="","",IFERROR(Q127*HSTECH!$B$18*HSTECH!$G$18/HSTECH!$B$3,""))</f>
        <v/>
      </c>
      <c r="CF127" s="161">
        <f>IF(R127="","",IFERROR(R127*HSTECH!$B$18*HSTECH!$G$18/HSTECH!$B$3,""))</f>
        <v/>
      </c>
      <c r="CG127" s="161">
        <f>IF(S127="","",IFERROR(S127*HSTECH!$B$18*HSTECH!$G$18/HSTECH!$B$3,""))</f>
        <v/>
      </c>
      <c r="CH127" s="161">
        <f>IF(T127="","",IFERROR(T127*HSTECH!$B$18*HSTECH!$G$18/HSTECH!$B$3,""))</f>
        <v/>
      </c>
      <c r="CI127" s="161">
        <f>IF(U127="","",IFERROR(U127*HSTECH!$B$18*HSTECH!$G$18/HSTECH!$B$3,""))</f>
        <v/>
      </c>
      <c r="CJ127" s="161">
        <f>IF(V127="","",IFERROR(V127*HSTECH!$B$18*HSTECH!$G$18/HSTECH!$B$3,""))</f>
        <v/>
      </c>
      <c r="CK127" s="161">
        <f>IF(W127="","",IFERROR(W127*HSTECH!$B$18*HSTECH!$G$18/HSTECH!$B$3,""))</f>
        <v/>
      </c>
      <c r="CL127" s="161">
        <f>IF(X127="","",IFERROR(X127*HSTECH!$B$18*HSTECH!$G$18/HSTECH!$B$3,""))</f>
        <v/>
      </c>
      <c r="CM127" s="161">
        <f>IF(Y127="","",IFERROR(Y127*HSTECH!$B$18*HSTECH!$G$18/HSTECH!$B$3,""))</f>
        <v/>
      </c>
      <c r="CN127" s="161">
        <f>IF(Z127="","",IFERROR(Z127*HSTECH!$B$18*HSTECH!$G$18/HSTECH!$B$3,""))</f>
        <v/>
      </c>
      <c r="CO127" s="161">
        <f>IF(AA127="","",IFERROR(AA127*HSTECH!$B$18*HSTECH!$G$18/HSTECH!$B$3,""))</f>
        <v/>
      </c>
      <c r="CP127" s="161">
        <f>IF(AB127="","",IFERROR(AB127*HSTECH!$B$18*HSTECH!$G$18/HSTECH!$B$3,""))</f>
        <v/>
      </c>
      <c r="CQ127" s="161">
        <f>IF(AC127="","",IFERROR(AC127*HSTECH!$B$18*HSTECH!$G$18/HSTECH!$B$3,""))</f>
        <v/>
      </c>
      <c r="CR127" s="161">
        <f>IF(AD127="","",IFERROR(AD127*HSTECH!$B$18*HSTECH!$G$18/HSTECH!$B$3,""))</f>
        <v/>
      </c>
      <c r="CS127" s="161">
        <f>IF(AE127="","",IFERROR(AE127*HSTECH!$B$18*HSTECH!$G$18/HSTECH!$B$3,""))</f>
        <v/>
      </c>
      <c r="CT127" s="161">
        <f>IF(AF127="","",IFERROR(AF127*HSTECH!$B$18*HSTECH!$G$18/HSTECH!$B$3,""))</f>
        <v/>
      </c>
      <c r="CU127" s="161">
        <f>IF(AG127="","",IFERROR(AG127*HSTECH!$B$18*HSTECH!$G$18/HSTECH!$B$3,""))</f>
        <v/>
      </c>
      <c r="CV127" s="161">
        <f>IF(AH127="","",IFERROR(AH127*HSTECH!$B$18*HSTECH!$G$18/HSTECH!$B$3,""))</f>
        <v/>
      </c>
      <c r="CW127" s="161">
        <f>IF(AI127="","",IFERROR(AI127*HSTECH!$B$18*HSTECH!$G$18/HSTECH!$B$3,""))</f>
        <v/>
      </c>
      <c r="CX127" s="161">
        <f>IF(AJ127="","",IFERROR(AJ127*HSTECH!$B$18*HSTECH!$G$18/HSTECH!$B$3,""))</f>
        <v/>
      </c>
      <c r="CY127" s="161">
        <f>IF(AK127="","",IFERROR(AK127*HSTECH!$B$18*HSTECH!$G$18/HSTECH!$B$3,""))</f>
        <v/>
      </c>
      <c r="CZ127" s="161">
        <f>IF(AL127="","",IFERROR(AL127*HSTECH!$B$18*HSTECH!$G$18/HSTECH!$B$3,""))</f>
        <v/>
      </c>
      <c r="DA127" s="161">
        <f>IF(AM127="","",IFERROR(AM127*HSTECH!$B$18*HSTECH!$G$18/HSTECH!$B$3,""))</f>
        <v/>
      </c>
      <c r="DB127" s="161">
        <f>IF(AN127="","",IFERROR(AN127*HSTECH!$B$18*HSTECH!$G$18/HSTECH!$B$3,""))</f>
        <v/>
      </c>
      <c r="DC127" s="161">
        <f>IF(AO127="","",IFERROR(AO127*HSTECH!$B$18*HSTECH!$G$18/HSTECH!$B$3,""))</f>
        <v/>
      </c>
      <c r="DD127" s="161">
        <f>IF(AP127="","",IFERROR(AP127*HSTECH!$B$18*HSTECH!$G$18/HSTECH!$B$3,""))</f>
        <v/>
      </c>
      <c r="DE127" s="161">
        <f>IF(AQ127="","",IFERROR(AQ127*HSTECH!$B$18*HSTECH!$G$18/HSTECH!$B$3,""))</f>
        <v/>
      </c>
      <c r="DF127" s="161">
        <f>IF(AR127="","",IFERROR(AR127*HSTECH!$B$18*HSTECH!$G$18/HSTECH!$B$3,""))</f>
        <v/>
      </c>
      <c r="DG127" s="161">
        <f>IF(AS127="","",IFERROR(AS127*HSTECH!$B$18*HSTECH!$G$18/HSTECH!$B$3,""))</f>
        <v/>
      </c>
      <c r="DH127" s="161">
        <f>IF(AT127="","",IFERROR(AT127*HSTECH!$B$18*HSTECH!$G$18/HSTECH!$B$3,""))</f>
        <v/>
      </c>
      <c r="DI127" s="161">
        <f>IF(AU127="","",IFERROR(AU127*HSTECH!$B$18*HSTECH!$G$18/HSTECH!$B$3,""))</f>
        <v/>
      </c>
      <c r="DJ127" s="161">
        <f>IF(AV127="","",IFERROR(AV127*HSTECH!$B$18*HSTECH!$G$18/HSTECH!$B$3,""))</f>
        <v/>
      </c>
      <c r="DK127" s="161">
        <f>IF(AW127="","",IFERROR(AW127*HSTECH!$B$18*HSTECH!$G$18/HSTECH!$B$3,""))</f>
        <v/>
      </c>
      <c r="DL127" s="161">
        <f>IF(AX127="","",IFERROR(AX127*HSTECH!$B$18*HSTECH!$G$18/HSTECH!$B$3,""))</f>
        <v/>
      </c>
      <c r="DM127" s="161">
        <f>IF(AY127="","",IFERROR(AY127*HSTECH!$B$18*HSTECH!$G$18/HSTECH!$B$3,""))</f>
        <v/>
      </c>
      <c r="DN127" s="161">
        <f>IF(AZ127="","",IFERROR(AZ127*HSTECH!$B$18*HSTECH!$G$18/HSTECH!$B$3,""))</f>
        <v/>
      </c>
      <c r="DO127" s="161">
        <f>IF(BA127="","",IFERROR(BA127*HSTECH!$B$18*HSTECH!$G$18/HSTECH!$B$3,""))</f>
        <v/>
      </c>
      <c r="DP127" s="161">
        <f>IF(BB127="","",IFERROR(BB127*HSTECH!$B$18*HSTECH!$G$18/HSTECH!$B$3,""))</f>
        <v/>
      </c>
      <c r="DQ127" s="161">
        <f>IF(BC127="","",IFERROR(BC127*HSTECH!$B$18*HSTECH!$G$18/HSTECH!$B$3,""))</f>
        <v/>
      </c>
      <c r="DR127" s="161">
        <f>IF(BD127="","",IFERROR(BD127*HSTECH!$B$18*HSTECH!$G$18/HSTECH!$B$3,""))</f>
        <v/>
      </c>
      <c r="DS127" s="161">
        <f>IF(BE127="","",IFERROR(BE127*HSTECH!$B$18*HSTECH!$G$18/HSTECH!$B$3,""))</f>
        <v/>
      </c>
      <c r="DT127" s="161">
        <f>IF(BF127="","",IFERROR(BF127*HSTECH!$B$18*HSTECH!$G$18/HSTECH!$B$3,""))</f>
        <v/>
      </c>
      <c r="DU127" s="161">
        <f>IF(BG127="","",IFERROR(BG127*HSTECH!$B$18*HSTECH!$G$18/HSTECH!$B$3,""))</f>
        <v/>
      </c>
      <c r="DV127" s="161">
        <f>IF(BH127="","",IFERROR(BH127*HSTECH!$B$18*HSTECH!$G$18/HSTECH!$B$3,""))</f>
        <v/>
      </c>
      <c r="DW127" s="161">
        <f>IF(BI127="","",IFERROR(BI127*HSTECH!$B$18*HSTECH!$G$18/HSTECH!$B$3,""))</f>
        <v/>
      </c>
      <c r="DX127" s="161">
        <f>IF(BJ127="","",IFERROR(BJ127*HSTECH!$B$18*HSTECH!$G$18/HSTECH!$B$3,""))</f>
        <v/>
      </c>
      <c r="DY127" s="161">
        <f>IF(BK127="","",IFERROR(BK127*HSTECH!$B$18*HSTECH!$G$18/HSTECH!$B$3,""))</f>
        <v/>
      </c>
      <c r="DZ127" s="161">
        <f>IF(BL127="","",IFERROR(BL127*HSTECH!$B$18*HSTECH!$G$18/HSTECH!$B$3,""))</f>
        <v/>
      </c>
      <c r="EA127" s="161">
        <f>IF(BM127="","",IFERROR(BM127*HSTECH!$B$18*HSTECH!$G$18/HSTECH!$B$3,""))</f>
        <v/>
      </c>
      <c r="EB127" s="161">
        <f>IF(BN127="","",IFERROR(BN127*HSTECH!$B$18*HSTECH!$G$18/HSTECH!$B$3,""))</f>
        <v/>
      </c>
      <c r="EC127" s="161">
        <f>IF(BO127="","",IFERROR(BO127*HSTECH!$B$18*HSTECH!$G$18/HSTECH!$B$3,""))</f>
        <v/>
      </c>
      <c r="EE127" s="121">
        <f>IF(N('Dvd Calendar'!$E$1237)=0,"",IF(('Dvd Calendar'!$E$1237&gt;=GRID_FROM)*('Dvd Calendar'!$E$1237&lt;=GRID_TO)*((('Dvd Calendar'!$E$1237&lt;=VAL_DATE)+(COUNTIF('Dvd Calendar'!$E$1244:$AR$1244,'Dvd Calendar'!$E$1237)=0))&gt;0)=0,"",'Dvd Calendar'!$E$1237*1000000000+ISNUMBER('Dvd Calendar'!$E$1240)*100000000+('Dvd Calendar'!$E$1242=SPECIAL_LBL)*10000000+(N('Dvd Calendar'!$E$1236)&gt;0)*(N('Dvd Calendar'!$E$1236)&lt;=VAL_SERIAL)*1000000+12*1000+1))</f>
        <v/>
      </c>
      <c r="EF127" s="121">
        <f>IF(N('Dvd Calendar'!$F$1237)=0,"",IF(('Dvd Calendar'!$F$1237&gt;=GRID_FROM)*('Dvd Calendar'!$F$1237&lt;=GRID_TO)*((('Dvd Calendar'!$F$1237&lt;=VAL_DATE)+(COUNTIF('Dvd Calendar'!$E$1244:$AR$1244,'Dvd Calendar'!$F$1237)=0))&gt;0)=0,"",'Dvd Calendar'!$F$1237*1000000000+ISNUMBER('Dvd Calendar'!$F$1240)*100000000+('Dvd Calendar'!$F$1242=SPECIAL_LBL)*10000000+(N('Dvd Calendar'!$F$1236)&gt;0)*(N('Dvd Calendar'!$F$1236)&lt;=VAL_SERIAL)*1000000+12*1000+2))</f>
        <v/>
      </c>
      <c r="EG127" s="121">
        <f>IF(N('Dvd Calendar'!$G$1237)=0,"",IF(('Dvd Calendar'!$G$1237&gt;=GRID_FROM)*('Dvd Calendar'!$G$1237&lt;=GRID_TO)*((('Dvd Calendar'!$G$1237&lt;=VAL_DATE)+(COUNTIF('Dvd Calendar'!$E$1244:$AR$1244,'Dvd Calendar'!$G$1237)=0))&gt;0)=0,"",'Dvd Calendar'!$G$1237*1000000000+ISNUMBER('Dvd Calendar'!$G$1240)*100000000+('Dvd Calendar'!$G$1242=SPECIAL_LBL)*10000000+(N('Dvd Calendar'!$G$1236)&gt;0)*(N('Dvd Calendar'!$G$1236)&lt;=VAL_SERIAL)*1000000+12*1000+3))</f>
        <v/>
      </c>
      <c r="EH127" s="121">
        <f>IF(N('Dvd Calendar'!$H$1237)=0,"",IF(('Dvd Calendar'!$H$1237&gt;=GRID_FROM)*('Dvd Calendar'!$H$1237&lt;=GRID_TO)*((('Dvd Calendar'!$H$1237&lt;=VAL_DATE)+(COUNTIF('Dvd Calendar'!$E$1244:$AR$1244,'Dvd Calendar'!$H$1237)=0))&gt;0)=0,"",'Dvd Calendar'!$H$1237*1000000000+ISNUMBER('Dvd Calendar'!$H$1240)*100000000+('Dvd Calendar'!$H$1242=SPECIAL_LBL)*10000000+(N('Dvd Calendar'!$H$1236)&gt;0)*(N('Dvd Calendar'!$H$1236)&lt;=VAL_SERIAL)*1000000+12*1000+4))</f>
        <v/>
      </c>
      <c r="EI127" s="121">
        <f>IF(N('Dvd Calendar'!$I$1237)=0,"",IF(('Dvd Calendar'!$I$1237&gt;=GRID_FROM)*('Dvd Calendar'!$I$1237&lt;=GRID_TO)*((('Dvd Calendar'!$I$1237&lt;=VAL_DATE)+(COUNTIF('Dvd Calendar'!$E$1244:$AR$1244,'Dvd Calendar'!$I$1237)=0))&gt;0)=0,"",'Dvd Calendar'!$I$1237*1000000000+ISNUMBER('Dvd Calendar'!$I$1240)*100000000+('Dvd Calendar'!$I$1242=SPECIAL_LBL)*10000000+(N('Dvd Calendar'!$I$1236)&gt;0)*(N('Dvd Calendar'!$I$1236)&lt;=VAL_SERIAL)*1000000+12*1000+5))</f>
        <v/>
      </c>
      <c r="EJ127" s="121">
        <f>IF(N('Dvd Calendar'!$J$1237)=0,"",IF(('Dvd Calendar'!$J$1237&gt;=GRID_FROM)*('Dvd Calendar'!$J$1237&lt;=GRID_TO)*((('Dvd Calendar'!$J$1237&lt;=VAL_DATE)+(COUNTIF('Dvd Calendar'!$E$1244:$AR$1244,'Dvd Calendar'!$J$1237)=0))&gt;0)=0,"",'Dvd Calendar'!$J$1237*1000000000+ISNUMBER('Dvd Calendar'!$J$1240)*100000000+('Dvd Calendar'!$J$1242=SPECIAL_LBL)*10000000+(N('Dvd Calendar'!$J$1236)&gt;0)*(N('Dvd Calendar'!$J$1236)&lt;=VAL_SERIAL)*1000000+12*1000+6))</f>
        <v/>
      </c>
      <c r="EK127" s="121">
        <f>IF(N('Dvd Calendar'!$K$1237)=0,"",IF(('Dvd Calendar'!$K$1237&gt;=GRID_FROM)*('Dvd Calendar'!$K$1237&lt;=GRID_TO)*((('Dvd Calendar'!$K$1237&lt;=VAL_DATE)+(COUNTIF('Dvd Calendar'!$E$1244:$AR$1244,'Dvd Calendar'!$K$1237)=0))&gt;0)=0,"",'Dvd Calendar'!$K$1237*1000000000+ISNUMBER('Dvd Calendar'!$K$1240)*100000000+('Dvd Calendar'!$K$1242=SPECIAL_LBL)*10000000+(N('Dvd Calendar'!$K$1236)&gt;0)*(N('Dvd Calendar'!$K$1236)&lt;=VAL_SERIAL)*1000000+12*1000+7))</f>
        <v/>
      </c>
      <c r="EL127" s="121">
        <f>IF(N('Dvd Calendar'!$L$1237)=0,"",IF(('Dvd Calendar'!$L$1237&gt;=GRID_FROM)*('Dvd Calendar'!$L$1237&lt;=GRID_TO)*((('Dvd Calendar'!$L$1237&lt;=VAL_DATE)+(COUNTIF('Dvd Calendar'!$E$1244:$AR$1244,'Dvd Calendar'!$L$1237)=0))&gt;0)=0,"",'Dvd Calendar'!$L$1237*1000000000+ISNUMBER('Dvd Calendar'!$L$1240)*100000000+('Dvd Calendar'!$L$1242=SPECIAL_LBL)*10000000+(N('Dvd Calendar'!$L$1236)&gt;0)*(N('Dvd Calendar'!$L$1236)&lt;=VAL_SERIAL)*1000000+12*1000+8))</f>
        <v/>
      </c>
      <c r="EM127" s="121">
        <f>IF(N('Dvd Calendar'!$M$1237)=0,"",IF(('Dvd Calendar'!$M$1237&gt;=GRID_FROM)*('Dvd Calendar'!$M$1237&lt;=GRID_TO)*((('Dvd Calendar'!$M$1237&lt;=VAL_DATE)+(COUNTIF('Dvd Calendar'!$E$1244:$AR$1244,'Dvd Calendar'!$M$1237)=0))&gt;0)=0,"",'Dvd Calendar'!$M$1237*1000000000+ISNUMBER('Dvd Calendar'!$M$1240)*100000000+('Dvd Calendar'!$M$1242=SPECIAL_LBL)*10000000+(N('Dvd Calendar'!$M$1236)&gt;0)*(N('Dvd Calendar'!$M$1236)&lt;=VAL_SERIAL)*1000000+12*1000+9))</f>
        <v/>
      </c>
      <c r="EN127" s="121">
        <f>IF(N('Dvd Calendar'!$N$1237)=0,"",IF(('Dvd Calendar'!$N$1237&gt;=GRID_FROM)*('Dvd Calendar'!$N$1237&lt;=GRID_TO)*((('Dvd Calendar'!$N$1237&lt;=VAL_DATE)+(COUNTIF('Dvd Calendar'!$E$1244:$AR$1244,'Dvd Calendar'!$N$1237)=0))&gt;0)=0,"",'Dvd Calendar'!$N$1237*1000000000+ISNUMBER('Dvd Calendar'!$N$1240)*100000000+('Dvd Calendar'!$N$1242=SPECIAL_LBL)*10000000+(N('Dvd Calendar'!$N$1236)&gt;0)*(N('Dvd Calendar'!$N$1236)&lt;=VAL_SERIAL)*1000000+12*1000+10))</f>
        <v/>
      </c>
      <c r="EO127" s="121">
        <f>IF(N('Dvd Calendar'!$O$1237)=0,"",IF(('Dvd Calendar'!$O$1237&gt;=GRID_FROM)*('Dvd Calendar'!$O$1237&lt;=GRID_TO)*((('Dvd Calendar'!$O$1237&lt;=VAL_DATE)+(COUNTIF('Dvd Calendar'!$E$1244:$AR$1244,'Dvd Calendar'!$O$1237)=0))&gt;0)=0,"",'Dvd Calendar'!$O$1237*1000000000+ISNUMBER('Dvd Calendar'!$O$1240)*100000000+('Dvd Calendar'!$O$1242=SPECIAL_LBL)*10000000+(N('Dvd Calendar'!$O$1236)&gt;0)*(N('Dvd Calendar'!$O$1236)&lt;=VAL_SERIAL)*1000000+12*1000+11))</f>
        <v/>
      </c>
      <c r="EP127" s="121">
        <f>IF(N('Dvd Calendar'!$P$1237)=0,"",IF(('Dvd Calendar'!$P$1237&gt;=GRID_FROM)*('Dvd Calendar'!$P$1237&lt;=GRID_TO)*((('Dvd Calendar'!$P$1237&lt;=VAL_DATE)+(COUNTIF('Dvd Calendar'!$E$1244:$AR$1244,'Dvd Calendar'!$P$1237)=0))&gt;0)=0,"",'Dvd Calendar'!$P$1237*1000000000+ISNUMBER('Dvd Calendar'!$P$1240)*100000000+('Dvd Calendar'!$P$1242=SPECIAL_LBL)*10000000+(N('Dvd Calendar'!$P$1236)&gt;0)*(N('Dvd Calendar'!$P$1236)&lt;=VAL_SERIAL)*1000000+12*1000+12))</f>
        <v/>
      </c>
      <c r="EQ127" s="121">
        <f>IF(N('Dvd Calendar'!$Q$1237)=0,"",IF(('Dvd Calendar'!$Q$1237&gt;=GRID_FROM)*('Dvd Calendar'!$Q$1237&lt;=GRID_TO)*((('Dvd Calendar'!$Q$1237&lt;=VAL_DATE)+(COUNTIF('Dvd Calendar'!$E$1244:$AR$1244,'Dvd Calendar'!$Q$1237)=0))&gt;0)=0,"",'Dvd Calendar'!$Q$1237*1000000000+ISNUMBER('Dvd Calendar'!$Q$1240)*100000000+('Dvd Calendar'!$Q$1242=SPECIAL_LBL)*10000000+(N('Dvd Calendar'!$Q$1236)&gt;0)*(N('Dvd Calendar'!$Q$1236)&lt;=VAL_SERIAL)*1000000+12*1000+13))</f>
        <v/>
      </c>
      <c r="ER127" s="121">
        <f>IF(N('Dvd Calendar'!$R$1237)=0,"",IF(('Dvd Calendar'!$R$1237&gt;=GRID_FROM)*('Dvd Calendar'!$R$1237&lt;=GRID_TO)*((('Dvd Calendar'!$R$1237&lt;=VAL_DATE)+(COUNTIF('Dvd Calendar'!$E$1244:$AR$1244,'Dvd Calendar'!$R$1237)=0))&gt;0)=0,"",'Dvd Calendar'!$R$1237*1000000000+ISNUMBER('Dvd Calendar'!$R$1240)*100000000+('Dvd Calendar'!$R$1242=SPECIAL_LBL)*10000000+(N('Dvd Calendar'!$R$1236)&gt;0)*(N('Dvd Calendar'!$R$1236)&lt;=VAL_SERIAL)*1000000+12*1000+14))</f>
        <v/>
      </c>
      <c r="ES127" s="121">
        <f>IF(N('Dvd Calendar'!$S$1237)=0,"",IF(('Dvd Calendar'!$S$1237&gt;=GRID_FROM)*('Dvd Calendar'!$S$1237&lt;=GRID_TO)*((('Dvd Calendar'!$S$1237&lt;=VAL_DATE)+(COUNTIF('Dvd Calendar'!$E$1244:$AR$1244,'Dvd Calendar'!$S$1237)=0))&gt;0)=0,"",'Dvd Calendar'!$S$1237*1000000000+ISNUMBER('Dvd Calendar'!$S$1240)*100000000+('Dvd Calendar'!$S$1242=SPECIAL_LBL)*10000000+(N('Dvd Calendar'!$S$1236)&gt;0)*(N('Dvd Calendar'!$S$1236)&lt;=VAL_SERIAL)*1000000+12*1000+15))</f>
        <v/>
      </c>
      <c r="ET127" s="121">
        <f>IF(N('Dvd Calendar'!$T$1237)=0,"",IF(('Dvd Calendar'!$T$1237&gt;=GRID_FROM)*('Dvd Calendar'!$T$1237&lt;=GRID_TO)*((('Dvd Calendar'!$T$1237&lt;=VAL_DATE)+(COUNTIF('Dvd Calendar'!$E$1244:$AR$1244,'Dvd Calendar'!$T$1237)=0))&gt;0)=0,"",'Dvd Calendar'!$T$1237*1000000000+ISNUMBER('Dvd Calendar'!$T$1240)*100000000+('Dvd Calendar'!$T$1242=SPECIAL_LBL)*10000000+(N('Dvd Calendar'!$T$1236)&gt;0)*(N('Dvd Calendar'!$T$1236)&lt;=VAL_SERIAL)*1000000+12*1000+16))</f>
        <v/>
      </c>
      <c r="EU127" s="121">
        <f>IF(N('Dvd Calendar'!$U$1237)=0,"",IF(('Dvd Calendar'!$U$1237&gt;=GRID_FROM)*('Dvd Calendar'!$U$1237&lt;=GRID_TO)*((('Dvd Calendar'!$U$1237&lt;=VAL_DATE)+(COUNTIF('Dvd Calendar'!$E$1244:$AR$1244,'Dvd Calendar'!$U$1237)=0))&gt;0)=0,"",'Dvd Calendar'!$U$1237*1000000000+ISNUMBER('Dvd Calendar'!$U$1240)*100000000+('Dvd Calendar'!$U$1242=SPECIAL_LBL)*10000000+(N('Dvd Calendar'!$U$1236)&gt;0)*(N('Dvd Calendar'!$U$1236)&lt;=VAL_SERIAL)*1000000+12*1000+17))</f>
        <v/>
      </c>
      <c r="EV127" s="121">
        <f>IF(N('Dvd Calendar'!$V$1237)=0,"",IF(('Dvd Calendar'!$V$1237&gt;=GRID_FROM)*('Dvd Calendar'!$V$1237&lt;=GRID_TO)*((('Dvd Calendar'!$V$1237&lt;=VAL_DATE)+(COUNTIF('Dvd Calendar'!$E$1244:$AR$1244,'Dvd Calendar'!$V$1237)=0))&gt;0)=0,"",'Dvd Calendar'!$V$1237*1000000000+ISNUMBER('Dvd Calendar'!$V$1240)*100000000+('Dvd Calendar'!$V$1242=SPECIAL_LBL)*10000000+(N('Dvd Calendar'!$V$1236)&gt;0)*(N('Dvd Calendar'!$V$1236)&lt;=VAL_SERIAL)*1000000+12*1000+18))</f>
        <v/>
      </c>
      <c r="EW127" s="121">
        <f>IF(N('Dvd Calendar'!$W$1237)=0,"",IF(('Dvd Calendar'!$W$1237&gt;=GRID_FROM)*('Dvd Calendar'!$W$1237&lt;=GRID_TO)*((('Dvd Calendar'!$W$1237&lt;=VAL_DATE)+(COUNTIF('Dvd Calendar'!$E$1244:$AR$1244,'Dvd Calendar'!$W$1237)=0))&gt;0)=0,"",'Dvd Calendar'!$W$1237*1000000000+ISNUMBER('Dvd Calendar'!$W$1240)*100000000+('Dvd Calendar'!$W$1242=SPECIAL_LBL)*10000000+(N('Dvd Calendar'!$W$1236)&gt;0)*(N('Dvd Calendar'!$W$1236)&lt;=VAL_SERIAL)*1000000+12*1000+19))</f>
        <v/>
      </c>
      <c r="EX127" s="121">
        <f>IF(N('Dvd Calendar'!$X$1237)=0,"",IF(('Dvd Calendar'!$X$1237&gt;=GRID_FROM)*('Dvd Calendar'!$X$1237&lt;=GRID_TO)*((('Dvd Calendar'!$X$1237&lt;=VAL_DATE)+(COUNTIF('Dvd Calendar'!$E$1244:$AR$1244,'Dvd Calendar'!$X$1237)=0))&gt;0)=0,"",'Dvd Calendar'!$X$1237*1000000000+ISNUMBER('Dvd Calendar'!$X$1240)*100000000+('Dvd Calendar'!$X$1242=SPECIAL_LBL)*10000000+(N('Dvd Calendar'!$X$1236)&gt;0)*(N('Dvd Calendar'!$X$1236)&lt;=VAL_SERIAL)*1000000+12*1000+20))</f>
        <v/>
      </c>
      <c r="EY127" s="121">
        <f>IF(N('Dvd Calendar'!$Y$1237)=0,"",IF(('Dvd Calendar'!$Y$1237&gt;=GRID_FROM)*('Dvd Calendar'!$Y$1237&lt;=GRID_TO)*((('Dvd Calendar'!$Y$1237&lt;=VAL_DATE)+(COUNTIF('Dvd Calendar'!$E$1244:$AR$1244,'Dvd Calendar'!$Y$1237)=0))&gt;0)=0,"",'Dvd Calendar'!$Y$1237*1000000000+ISNUMBER('Dvd Calendar'!$Y$1240)*100000000+('Dvd Calendar'!$Y$1242=SPECIAL_LBL)*10000000+(N('Dvd Calendar'!$Y$1236)&gt;0)*(N('Dvd Calendar'!$Y$1236)&lt;=VAL_SERIAL)*1000000+12*1000+21))</f>
        <v/>
      </c>
      <c r="EZ127" s="121">
        <f>IF(N('Dvd Calendar'!$Z$1237)=0,"",IF(('Dvd Calendar'!$Z$1237&gt;=GRID_FROM)*('Dvd Calendar'!$Z$1237&lt;=GRID_TO)*((('Dvd Calendar'!$Z$1237&lt;=VAL_DATE)+(COUNTIF('Dvd Calendar'!$E$1244:$AR$1244,'Dvd Calendar'!$Z$1237)=0))&gt;0)=0,"",'Dvd Calendar'!$Z$1237*1000000000+ISNUMBER('Dvd Calendar'!$Z$1240)*100000000+('Dvd Calendar'!$Z$1242=SPECIAL_LBL)*10000000+(N('Dvd Calendar'!$Z$1236)&gt;0)*(N('Dvd Calendar'!$Z$1236)&lt;=VAL_SERIAL)*1000000+12*1000+22))</f>
        <v/>
      </c>
      <c r="FA127" s="121">
        <f>IF(N('Dvd Calendar'!$AA$1237)=0,"",IF(('Dvd Calendar'!$AA$1237&gt;=GRID_FROM)*('Dvd Calendar'!$AA$1237&lt;=GRID_TO)*((('Dvd Calendar'!$AA$1237&lt;=VAL_DATE)+(COUNTIF('Dvd Calendar'!$E$1244:$AR$1244,'Dvd Calendar'!$AA$1237)=0))&gt;0)=0,"",'Dvd Calendar'!$AA$1237*1000000000+ISNUMBER('Dvd Calendar'!$AA$1240)*100000000+('Dvd Calendar'!$AA$1242=SPECIAL_LBL)*10000000+(N('Dvd Calendar'!$AA$1236)&gt;0)*(N('Dvd Calendar'!$AA$1236)&lt;=VAL_SERIAL)*1000000+12*1000+23))</f>
        <v/>
      </c>
      <c r="FB127" s="121">
        <f>IF(N('Dvd Calendar'!$AB$1237)=0,"",IF(('Dvd Calendar'!$AB$1237&gt;=GRID_FROM)*('Dvd Calendar'!$AB$1237&lt;=GRID_TO)*((('Dvd Calendar'!$AB$1237&lt;=VAL_DATE)+(COUNTIF('Dvd Calendar'!$E$1244:$AR$1244,'Dvd Calendar'!$AB$1237)=0))&gt;0)=0,"",'Dvd Calendar'!$AB$1237*1000000000+ISNUMBER('Dvd Calendar'!$AB$1240)*100000000+('Dvd Calendar'!$AB$1242=SPECIAL_LBL)*10000000+(N('Dvd Calendar'!$AB$1236)&gt;0)*(N('Dvd Calendar'!$AB$1236)&lt;=VAL_SERIAL)*1000000+12*1000+24))</f>
        <v/>
      </c>
      <c r="FC127" s="121">
        <f>IF(N('Dvd Calendar'!$AC$1237)=0,"",IF(('Dvd Calendar'!$AC$1237&gt;=GRID_FROM)*('Dvd Calendar'!$AC$1237&lt;=GRID_TO)*((('Dvd Calendar'!$AC$1237&lt;=VAL_DATE)+(COUNTIF('Dvd Calendar'!$E$1244:$AR$1244,'Dvd Calendar'!$AC$1237)=0))&gt;0)=0,"",'Dvd Calendar'!$AC$1237*1000000000+ISNUMBER('Dvd Calendar'!$AC$1240)*100000000+('Dvd Calendar'!$AC$1242=SPECIAL_LBL)*10000000+(N('Dvd Calendar'!$AC$1236)&gt;0)*(N('Dvd Calendar'!$AC$1236)&lt;=VAL_SERIAL)*1000000+12*1000+25))</f>
        <v/>
      </c>
      <c r="FD127" s="121">
        <f>IF(N('Dvd Calendar'!$AD$1237)=0,"",IF(('Dvd Calendar'!$AD$1237&gt;=GRID_FROM)*('Dvd Calendar'!$AD$1237&lt;=GRID_TO)*((('Dvd Calendar'!$AD$1237&lt;=VAL_DATE)+(COUNTIF('Dvd Calendar'!$E$1244:$AR$1244,'Dvd Calendar'!$AD$1237)=0))&gt;0)=0,"",'Dvd Calendar'!$AD$1237*1000000000+ISNUMBER('Dvd Calendar'!$AD$1240)*100000000+('Dvd Calendar'!$AD$1242=SPECIAL_LBL)*10000000+(N('Dvd Calendar'!$AD$1236)&gt;0)*(N('Dvd Calendar'!$AD$1236)&lt;=VAL_SERIAL)*1000000+12*1000+26))</f>
        <v/>
      </c>
      <c r="FE127" s="121">
        <f>IF(N('Dvd Calendar'!$AE$1237)=0,"",IF(('Dvd Calendar'!$AE$1237&gt;=GRID_FROM)*('Dvd Calendar'!$AE$1237&lt;=GRID_TO)*((('Dvd Calendar'!$AE$1237&lt;=VAL_DATE)+(COUNTIF('Dvd Calendar'!$E$1244:$AR$1244,'Dvd Calendar'!$AE$1237)=0))&gt;0)=0,"",'Dvd Calendar'!$AE$1237*1000000000+ISNUMBER('Dvd Calendar'!$AE$1240)*100000000+('Dvd Calendar'!$AE$1242=SPECIAL_LBL)*10000000+(N('Dvd Calendar'!$AE$1236)&gt;0)*(N('Dvd Calendar'!$AE$1236)&lt;=VAL_SERIAL)*1000000+12*1000+27))</f>
        <v/>
      </c>
      <c r="FF127" s="121">
        <f>IF(N('Dvd Calendar'!$AF$1237)=0,"",IF(('Dvd Calendar'!$AF$1237&gt;=GRID_FROM)*('Dvd Calendar'!$AF$1237&lt;=GRID_TO)*((('Dvd Calendar'!$AF$1237&lt;=VAL_DATE)+(COUNTIF('Dvd Calendar'!$E$1244:$AR$1244,'Dvd Calendar'!$AF$1237)=0))&gt;0)=0,"",'Dvd Calendar'!$AF$1237*1000000000+ISNUMBER('Dvd Calendar'!$AF$1240)*100000000+('Dvd Calendar'!$AF$1242=SPECIAL_LBL)*10000000+(N('Dvd Calendar'!$AF$1236)&gt;0)*(N('Dvd Calendar'!$AF$1236)&lt;=VAL_SERIAL)*1000000+12*1000+28))</f>
        <v/>
      </c>
      <c r="FG127" s="121">
        <f>IF(N('Dvd Calendar'!$AG$1237)=0,"",IF(('Dvd Calendar'!$AG$1237&gt;=GRID_FROM)*('Dvd Calendar'!$AG$1237&lt;=GRID_TO)*((('Dvd Calendar'!$AG$1237&lt;=VAL_DATE)+(COUNTIF('Dvd Calendar'!$E$1244:$AR$1244,'Dvd Calendar'!$AG$1237)=0))&gt;0)=0,"",'Dvd Calendar'!$AG$1237*1000000000+ISNUMBER('Dvd Calendar'!$AG$1240)*100000000+('Dvd Calendar'!$AG$1242=SPECIAL_LBL)*10000000+(N('Dvd Calendar'!$AG$1236)&gt;0)*(N('Dvd Calendar'!$AG$1236)&lt;=VAL_SERIAL)*1000000+12*1000+29))</f>
        <v/>
      </c>
      <c r="FH127" s="121">
        <f>IF(N('Dvd Calendar'!$AH$1237)=0,"",IF(('Dvd Calendar'!$AH$1237&gt;=GRID_FROM)*('Dvd Calendar'!$AH$1237&lt;=GRID_TO)*((('Dvd Calendar'!$AH$1237&lt;=VAL_DATE)+(COUNTIF('Dvd Calendar'!$E$1244:$AR$1244,'Dvd Calendar'!$AH$1237)=0))&gt;0)=0,"",'Dvd Calendar'!$AH$1237*1000000000+ISNUMBER('Dvd Calendar'!$AH$1240)*100000000+('Dvd Calendar'!$AH$1242=SPECIAL_LBL)*10000000+(N('Dvd Calendar'!$AH$1236)&gt;0)*(N('Dvd Calendar'!$AH$1236)&lt;=VAL_SERIAL)*1000000+12*1000+30))</f>
        <v/>
      </c>
      <c r="FI127" s="121">
        <f>IF(N('Dvd Calendar'!$AI$1237)=0,"",IF(('Dvd Calendar'!$AI$1237&gt;=GRID_FROM)*('Dvd Calendar'!$AI$1237&lt;=GRID_TO)*((('Dvd Calendar'!$AI$1237&lt;=VAL_DATE)+(COUNTIF('Dvd Calendar'!$E$1244:$AR$1244,'Dvd Calendar'!$AI$1237)=0))&gt;0)=0,"",'Dvd Calendar'!$AI$1237*1000000000+ISNUMBER('Dvd Calendar'!$AI$1240)*100000000+('Dvd Calendar'!$AI$1242=SPECIAL_LBL)*10000000+(N('Dvd Calendar'!$AI$1236)&gt;0)*(N('Dvd Calendar'!$AI$1236)&lt;=VAL_SERIAL)*1000000+12*1000+31))</f>
        <v/>
      </c>
      <c r="FJ127" s="121">
        <f>IF(N('Dvd Calendar'!$AJ$1237)=0,"",IF(('Dvd Calendar'!$AJ$1237&gt;=GRID_FROM)*('Dvd Calendar'!$AJ$1237&lt;=GRID_TO)*((('Dvd Calendar'!$AJ$1237&lt;=VAL_DATE)+(COUNTIF('Dvd Calendar'!$E$1244:$AR$1244,'Dvd Calendar'!$AJ$1237)=0))&gt;0)=0,"",'Dvd Calendar'!$AJ$1237*1000000000+ISNUMBER('Dvd Calendar'!$AJ$1240)*100000000+('Dvd Calendar'!$AJ$1242=SPECIAL_LBL)*10000000+(N('Dvd Calendar'!$AJ$1236)&gt;0)*(N('Dvd Calendar'!$AJ$1236)&lt;=VAL_SERIAL)*1000000+12*1000+32))</f>
        <v/>
      </c>
      <c r="FK127" s="121">
        <f>IF(N('Dvd Calendar'!$AK$1237)=0,"",IF(('Dvd Calendar'!$AK$1237&gt;=GRID_FROM)*('Dvd Calendar'!$AK$1237&lt;=GRID_TO)*((('Dvd Calendar'!$AK$1237&lt;=VAL_DATE)+(COUNTIF('Dvd Calendar'!$E$1244:$AR$1244,'Dvd Calendar'!$AK$1237)=0))&gt;0)=0,"",'Dvd Calendar'!$AK$1237*1000000000+ISNUMBER('Dvd Calendar'!$AK$1240)*100000000+('Dvd Calendar'!$AK$1242=SPECIAL_LBL)*10000000+(N('Dvd Calendar'!$AK$1236)&gt;0)*(N('Dvd Calendar'!$AK$1236)&lt;=VAL_SERIAL)*1000000+12*1000+33))</f>
        <v/>
      </c>
      <c r="FL127" s="121">
        <f>IF(N('Dvd Calendar'!$AL$1237)=0,"",IF(('Dvd Calendar'!$AL$1237&gt;=GRID_FROM)*('Dvd Calendar'!$AL$1237&lt;=GRID_TO)*((('Dvd Calendar'!$AL$1237&lt;=VAL_DATE)+(COUNTIF('Dvd Calendar'!$E$1244:$AR$1244,'Dvd Calendar'!$AL$1237)=0))&gt;0)=0,"",'Dvd Calendar'!$AL$1237*1000000000+ISNUMBER('Dvd Calendar'!$AL$1240)*100000000+('Dvd Calendar'!$AL$1242=SPECIAL_LBL)*10000000+(N('Dvd Calendar'!$AL$1236)&gt;0)*(N('Dvd Calendar'!$AL$1236)&lt;=VAL_SERIAL)*1000000+12*1000+34))</f>
        <v/>
      </c>
      <c r="FM127" s="121">
        <f>IF(N('Dvd Calendar'!$AM$1237)=0,"",IF(('Dvd Calendar'!$AM$1237&gt;=GRID_FROM)*('Dvd Calendar'!$AM$1237&lt;=GRID_TO)*((('Dvd Calendar'!$AM$1237&lt;=VAL_DATE)+(COUNTIF('Dvd Calendar'!$E$1244:$AR$1244,'Dvd Calendar'!$AM$1237)=0))&gt;0)=0,"",'Dvd Calendar'!$AM$1237*1000000000+ISNUMBER('Dvd Calendar'!$AM$1240)*100000000+('Dvd Calendar'!$AM$1242=SPECIAL_LBL)*10000000+(N('Dvd Calendar'!$AM$1236)&gt;0)*(N('Dvd Calendar'!$AM$1236)&lt;=VAL_SERIAL)*1000000+12*1000+35))</f>
        <v/>
      </c>
      <c r="FN127" s="121">
        <f>IF(N('Dvd Calendar'!$AN$1237)=0,"",IF(('Dvd Calendar'!$AN$1237&gt;=GRID_FROM)*('Dvd Calendar'!$AN$1237&lt;=GRID_TO)*((('Dvd Calendar'!$AN$1237&lt;=VAL_DATE)+(COUNTIF('Dvd Calendar'!$E$1244:$AR$1244,'Dvd Calendar'!$AN$1237)=0))&gt;0)=0,"",'Dvd Calendar'!$AN$1237*1000000000+ISNUMBER('Dvd Calendar'!$AN$1240)*100000000+('Dvd Calendar'!$AN$1242=SPECIAL_LBL)*10000000+(N('Dvd Calendar'!$AN$1236)&gt;0)*(N('Dvd Calendar'!$AN$1236)&lt;=VAL_SERIAL)*1000000+12*1000+36))</f>
        <v/>
      </c>
      <c r="FO127" s="121">
        <f>IF(N('Dvd Calendar'!$AO$1237)=0,"",IF(('Dvd Calendar'!$AO$1237&gt;=GRID_FROM)*('Dvd Calendar'!$AO$1237&lt;=GRID_TO)*((('Dvd Calendar'!$AO$1237&lt;=VAL_DATE)+(COUNTIF('Dvd Calendar'!$E$1244:$AR$1244,'Dvd Calendar'!$AO$1237)=0))&gt;0)=0,"",'Dvd Calendar'!$AO$1237*1000000000+ISNUMBER('Dvd Calendar'!$AO$1240)*100000000+('Dvd Calendar'!$AO$1242=SPECIAL_LBL)*10000000+(N('Dvd Calendar'!$AO$1236)&gt;0)*(N('Dvd Calendar'!$AO$1236)&lt;=VAL_SERIAL)*1000000+12*1000+37))</f>
        <v/>
      </c>
      <c r="FP127" s="121">
        <f>IF(N('Dvd Calendar'!$AP$1237)=0,"",IF(('Dvd Calendar'!$AP$1237&gt;=GRID_FROM)*('Dvd Calendar'!$AP$1237&lt;=GRID_TO)*((('Dvd Calendar'!$AP$1237&lt;=VAL_DATE)+(COUNTIF('Dvd Calendar'!$E$1244:$AR$1244,'Dvd Calendar'!$AP$1237)=0))&gt;0)=0,"",'Dvd Calendar'!$AP$1237*1000000000+ISNUMBER('Dvd Calendar'!$AP$1240)*100000000+('Dvd Calendar'!$AP$1242=SPECIAL_LBL)*10000000+(N('Dvd Calendar'!$AP$1236)&gt;0)*(N('Dvd Calendar'!$AP$1236)&lt;=VAL_SERIAL)*1000000+12*1000+38))</f>
        <v/>
      </c>
      <c r="FQ127" s="121">
        <f>IF(N('Dvd Calendar'!$AQ$1237)=0,"",IF(('Dvd Calendar'!$AQ$1237&gt;=GRID_FROM)*('Dvd Calendar'!$AQ$1237&lt;=GRID_TO)*((('Dvd Calendar'!$AQ$1237&lt;=VAL_DATE)+(COUNTIF('Dvd Calendar'!$E$1244:$AR$1244,'Dvd Calendar'!$AQ$1237)=0))&gt;0)=0,"",'Dvd Calendar'!$AQ$1237*1000000000+ISNUMBER('Dvd Calendar'!$AQ$1240)*100000000+('Dvd Calendar'!$AQ$1242=SPECIAL_LBL)*10000000+(N('Dvd Calendar'!$AQ$1236)&gt;0)*(N('Dvd Calendar'!$AQ$1236)&lt;=VAL_SERIAL)*1000000+12*1000+39))</f>
        <v/>
      </c>
      <c r="FR127" s="121">
        <f>IF(N('Dvd Calendar'!$AR$1237)=0,"",IF(('Dvd Calendar'!$AR$1237&gt;=GRID_FROM)*('Dvd Calendar'!$AR$1237&lt;=GRID_TO)*((('Dvd Calendar'!$AR$1237&lt;=VAL_DATE)+(COUNTIF('Dvd Calendar'!$E$1244:$AR$1244,'Dvd Calendar'!$AR$1237)=0))&gt;0)=0,"",'Dvd Calendar'!$AR$1237*1000000000+ISNUMBER('Dvd Calendar'!$AR$1240)*100000000+('Dvd Calendar'!$AR$1242=SPECIAL_LBL)*10000000+(N('Dvd Calendar'!$AR$1236)&gt;0)*(N('Dvd Calendar'!$AR$1236)&lt;=VAL_SERIAL)*1000000+12*1000+40))</f>
        <v/>
      </c>
      <c r="FS127" s="121">
        <f>IF(N('Dvd Calendar'!$E$1244)=0,"",IF(('Dvd Calendar'!$E$1244&gt;=GRID_FROM)*('Dvd Calendar'!$E$1244&lt;=GRID_TO)*('Dvd Calendar'!$E$1244&gt;VAL_DATE)=0,"",'Dvd Calendar'!$E$1244*1000000000+ISNUMBER('Dvd Calendar'!$E$1245)*100000000+0*10000000+(N('Dvd Calendar'!$E$1243)&gt;0)*(N('Dvd Calendar'!$E$1243)&lt;=VAL_SERIAL)*1000000+12*1000+41))</f>
        <v/>
      </c>
      <c r="FT127" s="121">
        <f>IF(N('Dvd Calendar'!$F$1244)=0,"",IF(('Dvd Calendar'!$F$1244&gt;=GRID_FROM)*('Dvd Calendar'!$F$1244&lt;=GRID_TO)*('Dvd Calendar'!$F$1244&gt;VAL_DATE)=0,"",'Dvd Calendar'!$F$1244*1000000000+ISNUMBER('Dvd Calendar'!$F$1245)*100000000+0*10000000+(N('Dvd Calendar'!$F$1243)&gt;0)*(N('Dvd Calendar'!$F$1243)&lt;=VAL_SERIAL)*1000000+12*1000+42))</f>
        <v/>
      </c>
      <c r="FU127" s="121">
        <f>IF(N('Dvd Calendar'!$G$1244)=0,"",IF(('Dvd Calendar'!$G$1244&gt;=GRID_FROM)*('Dvd Calendar'!$G$1244&lt;=GRID_TO)*('Dvd Calendar'!$G$1244&gt;VAL_DATE)=0,"",'Dvd Calendar'!$G$1244*1000000000+ISNUMBER('Dvd Calendar'!$G$1245)*100000000+0*10000000+(N('Dvd Calendar'!$G$1243)&gt;0)*(N('Dvd Calendar'!$G$1243)&lt;=VAL_SERIAL)*1000000+12*1000+43))</f>
        <v/>
      </c>
      <c r="FV127" s="121">
        <f>IF(N('Dvd Calendar'!$H$1244)=0,"",IF(('Dvd Calendar'!$H$1244&gt;=GRID_FROM)*('Dvd Calendar'!$H$1244&lt;=GRID_TO)*('Dvd Calendar'!$H$1244&gt;VAL_DATE)=0,"",'Dvd Calendar'!$H$1244*1000000000+ISNUMBER('Dvd Calendar'!$H$1245)*100000000+0*10000000+(N('Dvd Calendar'!$H$1243)&gt;0)*(N('Dvd Calendar'!$H$1243)&lt;=VAL_SERIAL)*1000000+12*1000+44))</f>
        <v/>
      </c>
      <c r="FW127" s="121">
        <f>IF(N('Dvd Calendar'!$I$1244)=0,"",IF(('Dvd Calendar'!$I$1244&gt;=GRID_FROM)*('Dvd Calendar'!$I$1244&lt;=GRID_TO)*('Dvd Calendar'!$I$1244&gt;VAL_DATE)=0,"",'Dvd Calendar'!$I$1244*1000000000+ISNUMBER('Dvd Calendar'!$I$1245)*100000000+0*10000000+(N('Dvd Calendar'!$I$1243)&gt;0)*(N('Dvd Calendar'!$I$1243)&lt;=VAL_SERIAL)*1000000+12*1000+45))</f>
        <v/>
      </c>
      <c r="FX127" s="121">
        <f>IF(N('Dvd Calendar'!$J$1244)=0,"",IF(('Dvd Calendar'!$J$1244&gt;=GRID_FROM)*('Dvd Calendar'!$J$1244&lt;=GRID_TO)*('Dvd Calendar'!$J$1244&gt;VAL_DATE)=0,"",'Dvd Calendar'!$J$1244*1000000000+ISNUMBER('Dvd Calendar'!$J$1245)*100000000+0*10000000+(N('Dvd Calendar'!$J$1243)&gt;0)*(N('Dvd Calendar'!$J$1243)&lt;=VAL_SERIAL)*1000000+12*1000+46))</f>
        <v/>
      </c>
      <c r="FY127" s="121">
        <f>IF(N('Dvd Calendar'!$K$1244)=0,"",IF(('Dvd Calendar'!$K$1244&gt;=GRID_FROM)*('Dvd Calendar'!$K$1244&lt;=GRID_TO)*('Dvd Calendar'!$K$1244&gt;VAL_DATE)=0,"",'Dvd Calendar'!$K$1244*1000000000+ISNUMBER('Dvd Calendar'!$K$1245)*100000000+0*10000000+(N('Dvd Calendar'!$K$1243)&gt;0)*(N('Dvd Calendar'!$K$1243)&lt;=VAL_SERIAL)*1000000+12*1000+47))</f>
        <v/>
      </c>
      <c r="FZ127" s="121">
        <f>IF(N('Dvd Calendar'!$L$1244)=0,"",IF(('Dvd Calendar'!$L$1244&gt;=GRID_FROM)*('Dvd Calendar'!$L$1244&lt;=GRID_TO)*('Dvd Calendar'!$L$1244&gt;VAL_DATE)=0,"",'Dvd Calendar'!$L$1244*1000000000+ISNUMBER('Dvd Calendar'!$L$1245)*100000000+0*10000000+(N('Dvd Calendar'!$L$1243)&gt;0)*(N('Dvd Calendar'!$L$1243)&lt;=VAL_SERIAL)*1000000+12*1000+48))</f>
        <v/>
      </c>
      <c r="GA127" s="121">
        <f>IF(N('Dvd Calendar'!$M$1244)=0,"",IF(('Dvd Calendar'!$M$1244&gt;=GRID_FROM)*('Dvd Calendar'!$M$1244&lt;=GRID_TO)*('Dvd Calendar'!$M$1244&gt;VAL_DATE)=0,"",'Dvd Calendar'!$M$1244*1000000000+ISNUMBER('Dvd Calendar'!$M$1245)*100000000+0*10000000+(N('Dvd Calendar'!$M$1243)&gt;0)*(N('Dvd Calendar'!$M$1243)&lt;=VAL_SERIAL)*1000000+12*1000+49))</f>
        <v/>
      </c>
      <c r="GB127" s="121">
        <f>IF(N('Dvd Calendar'!$N$1244)=0,"",IF(('Dvd Calendar'!$N$1244&gt;=GRID_FROM)*('Dvd Calendar'!$N$1244&lt;=GRID_TO)*('Dvd Calendar'!$N$1244&gt;VAL_DATE)=0,"",'Dvd Calendar'!$N$1244*1000000000+ISNUMBER('Dvd Calendar'!$N$1245)*100000000+0*10000000+(N('Dvd Calendar'!$N$1243)&gt;0)*(N('Dvd Calendar'!$N$1243)&lt;=VAL_SERIAL)*1000000+12*1000+50))</f>
        <v/>
      </c>
      <c r="GC127" s="121">
        <f>IF(N('Dvd Calendar'!$O$1244)=0,"",IF(('Dvd Calendar'!$O$1244&gt;=GRID_FROM)*('Dvd Calendar'!$O$1244&lt;=GRID_TO)*('Dvd Calendar'!$O$1244&gt;VAL_DATE)=0,"",'Dvd Calendar'!$O$1244*1000000000+ISNUMBER('Dvd Calendar'!$O$1245)*100000000+0*10000000+(N('Dvd Calendar'!$O$1243)&gt;0)*(N('Dvd Calendar'!$O$1243)&lt;=VAL_SERIAL)*1000000+12*1000+51))</f>
        <v/>
      </c>
      <c r="GD127" s="121">
        <f>IF(N('Dvd Calendar'!$P$1244)=0,"",IF(('Dvd Calendar'!$P$1244&gt;=GRID_FROM)*('Dvd Calendar'!$P$1244&lt;=GRID_TO)*('Dvd Calendar'!$P$1244&gt;VAL_DATE)=0,"",'Dvd Calendar'!$P$1244*1000000000+ISNUMBER('Dvd Calendar'!$P$1245)*100000000+0*10000000+(N('Dvd Calendar'!$P$1243)&gt;0)*(N('Dvd Calendar'!$P$1243)&lt;=VAL_SERIAL)*1000000+12*1000+52))</f>
        <v/>
      </c>
      <c r="GE127" s="121">
        <f>IF(N('Dvd Calendar'!$Q$1244)=0,"",IF(('Dvd Calendar'!$Q$1244&gt;=GRID_FROM)*('Dvd Calendar'!$Q$1244&lt;=GRID_TO)*('Dvd Calendar'!$Q$1244&gt;VAL_DATE)=0,"",'Dvd Calendar'!$Q$1244*1000000000+ISNUMBER('Dvd Calendar'!$Q$1245)*100000000+0*10000000+(N('Dvd Calendar'!$Q$1243)&gt;0)*(N('Dvd Calendar'!$Q$1243)&lt;=VAL_SERIAL)*1000000+12*1000+53))</f>
        <v/>
      </c>
      <c r="GF127" s="121">
        <f>IF(N('Dvd Calendar'!$R$1244)=0,"",IF(('Dvd Calendar'!$R$1244&gt;=GRID_FROM)*('Dvd Calendar'!$R$1244&lt;=GRID_TO)*('Dvd Calendar'!$R$1244&gt;VAL_DATE)=0,"",'Dvd Calendar'!$R$1244*1000000000+ISNUMBER('Dvd Calendar'!$R$1245)*100000000+0*10000000+(N('Dvd Calendar'!$R$1243)&gt;0)*(N('Dvd Calendar'!$R$1243)&lt;=VAL_SERIAL)*1000000+12*1000+54))</f>
        <v/>
      </c>
      <c r="GG127" s="121">
        <f>IF(N('Dvd Calendar'!$S$1244)=0,"",IF(('Dvd Calendar'!$S$1244&gt;=GRID_FROM)*('Dvd Calendar'!$S$1244&lt;=GRID_TO)*('Dvd Calendar'!$S$1244&gt;VAL_DATE)=0,"",'Dvd Calendar'!$S$1244*1000000000+ISNUMBER('Dvd Calendar'!$S$1245)*100000000+0*10000000+(N('Dvd Calendar'!$S$1243)&gt;0)*(N('Dvd Calendar'!$S$1243)&lt;=VAL_SERIAL)*1000000+12*1000+55))</f>
        <v/>
      </c>
      <c r="GH127" s="121">
        <f>IF(N('Dvd Calendar'!$T$1244)=0,"",IF(('Dvd Calendar'!$T$1244&gt;=GRID_FROM)*('Dvd Calendar'!$T$1244&lt;=GRID_TO)*('Dvd Calendar'!$T$1244&gt;VAL_DATE)=0,"",'Dvd Calendar'!$T$1244*1000000000+ISNUMBER('Dvd Calendar'!$T$1245)*100000000+0*10000000+(N('Dvd Calendar'!$T$1243)&gt;0)*(N('Dvd Calendar'!$T$1243)&lt;=VAL_SERIAL)*1000000+12*1000+56))</f>
        <v/>
      </c>
      <c r="GI127" s="121">
        <f>IF(N('Dvd Calendar'!$U$1244)=0,"",IF(('Dvd Calendar'!$U$1244&gt;=GRID_FROM)*('Dvd Calendar'!$U$1244&lt;=GRID_TO)*('Dvd Calendar'!$U$1244&gt;VAL_DATE)=0,"",'Dvd Calendar'!$U$1244*1000000000+ISNUMBER('Dvd Calendar'!$U$1245)*100000000+0*10000000+(N('Dvd Calendar'!$U$1243)&gt;0)*(N('Dvd Calendar'!$U$1243)&lt;=VAL_SERIAL)*1000000+12*1000+57))</f>
        <v/>
      </c>
      <c r="GJ127" s="121">
        <f>IF(N('Dvd Calendar'!$V$1244)=0,"",IF(('Dvd Calendar'!$V$1244&gt;=GRID_FROM)*('Dvd Calendar'!$V$1244&lt;=GRID_TO)*('Dvd Calendar'!$V$1244&gt;VAL_DATE)=0,"",'Dvd Calendar'!$V$1244*1000000000+ISNUMBER('Dvd Calendar'!$V$1245)*100000000+0*10000000+(N('Dvd Calendar'!$V$1243)&gt;0)*(N('Dvd Calendar'!$V$1243)&lt;=VAL_SERIAL)*1000000+12*1000+58))</f>
        <v/>
      </c>
      <c r="GK127" s="121">
        <f>IF(N('Dvd Calendar'!$W$1244)=0,"",IF(('Dvd Calendar'!$W$1244&gt;=GRID_FROM)*('Dvd Calendar'!$W$1244&lt;=GRID_TO)*('Dvd Calendar'!$W$1244&gt;VAL_DATE)=0,"",'Dvd Calendar'!$W$1244*1000000000+ISNUMBER('Dvd Calendar'!$W$1245)*100000000+0*10000000+(N('Dvd Calendar'!$W$1243)&gt;0)*(N('Dvd Calendar'!$W$1243)&lt;=VAL_SERIAL)*1000000+12*1000+59))</f>
        <v/>
      </c>
      <c r="GL127" s="121">
        <f>IF(N('Dvd Calendar'!$X$1244)=0,"",IF(('Dvd Calendar'!$X$1244&gt;=GRID_FROM)*('Dvd Calendar'!$X$1244&lt;=GRID_TO)*('Dvd Calendar'!$X$1244&gt;VAL_DATE)=0,"",'Dvd Calendar'!$X$1244*1000000000+ISNUMBER('Dvd Calendar'!$X$1245)*100000000+0*10000000+(N('Dvd Calendar'!$X$1243)&gt;0)*(N('Dvd Calendar'!$X$1243)&lt;=VAL_SERIAL)*1000000+12*1000+60))</f>
        <v/>
      </c>
      <c r="GM127" s="121">
        <f>IF(N('Dvd Calendar'!$Y$1244)=0,"",IF(('Dvd Calendar'!$Y$1244&gt;=GRID_FROM)*('Dvd Calendar'!$Y$1244&lt;=GRID_TO)*('Dvd Calendar'!$Y$1244&gt;VAL_DATE)=0,"",'Dvd Calendar'!$Y$1244*1000000000+ISNUMBER('Dvd Calendar'!$Y$1245)*100000000+0*10000000+(N('Dvd Calendar'!$Y$1243)&gt;0)*(N('Dvd Calendar'!$Y$1243)&lt;=VAL_SERIAL)*1000000+12*1000+61))</f>
        <v/>
      </c>
      <c r="GN127" s="121">
        <f>IF(N('Dvd Calendar'!$Z$1244)=0,"",IF(('Dvd Calendar'!$Z$1244&gt;=GRID_FROM)*('Dvd Calendar'!$Z$1244&lt;=GRID_TO)*('Dvd Calendar'!$Z$1244&gt;VAL_DATE)=0,"",'Dvd Calendar'!$Z$1244*1000000000+ISNUMBER('Dvd Calendar'!$Z$1245)*100000000+0*10000000+(N('Dvd Calendar'!$Z$1243)&gt;0)*(N('Dvd Calendar'!$Z$1243)&lt;=VAL_SERIAL)*1000000+12*1000+62))</f>
        <v/>
      </c>
      <c r="GO127" s="121">
        <f>IF(N('Dvd Calendar'!$AA$1244)=0,"",IF(('Dvd Calendar'!$AA$1244&gt;=GRID_FROM)*('Dvd Calendar'!$AA$1244&lt;=GRID_TO)*('Dvd Calendar'!$AA$1244&gt;VAL_DATE)=0,"",'Dvd Calendar'!$AA$1244*1000000000+ISNUMBER('Dvd Calendar'!$AA$1245)*100000000+0*10000000+(N('Dvd Calendar'!$AA$1243)&gt;0)*(N('Dvd Calendar'!$AA$1243)&lt;=VAL_SERIAL)*1000000+12*1000+63))</f>
        <v/>
      </c>
      <c r="GP127" s="121">
        <f>IF(N('Dvd Calendar'!$AB$1244)=0,"",IF(('Dvd Calendar'!$AB$1244&gt;=GRID_FROM)*('Dvd Calendar'!$AB$1244&lt;=GRID_TO)*('Dvd Calendar'!$AB$1244&gt;VAL_DATE)=0,"",'Dvd Calendar'!$AB$1244*1000000000+ISNUMBER('Dvd Calendar'!$AB$1245)*100000000+0*10000000+(N('Dvd Calendar'!$AB$1243)&gt;0)*(N('Dvd Calendar'!$AB$1243)&lt;=VAL_SERIAL)*1000000+12*1000+64))</f>
        <v/>
      </c>
      <c r="GQ127" s="121">
        <f>IF(N('Dvd Calendar'!$AC$1244)=0,"",IF(('Dvd Calendar'!$AC$1244&gt;=GRID_FROM)*('Dvd Calendar'!$AC$1244&lt;=GRID_TO)*('Dvd Calendar'!$AC$1244&gt;VAL_DATE)=0,"",'Dvd Calendar'!$AC$1244*1000000000+ISNUMBER('Dvd Calendar'!$AC$1245)*100000000+0*10000000+(N('Dvd Calendar'!$AC$1243)&gt;0)*(N('Dvd Calendar'!$AC$1243)&lt;=VAL_SERIAL)*1000000+12*1000+65))</f>
        <v/>
      </c>
    </row>
    <row r="128">
      <c r="B128" s="2">
        <f>IF(HSTECH!$C$19="","",HSTECH!$C$19)</f>
        <v/>
      </c>
      <c r="C128" s="161">
        <f>IF(EE128="","",IF(ISNUMBER('Dvd Calendar'!$E$1251)=FALSE,"",IF((('Dvd Calendar'!$E$1253=TYPE1)*(TYPE1&lt;&gt;"")+('Dvd Calendar'!$E$1253=TYPE2)*(TYPE2&lt;&gt;"")+('Dvd Calendar'!$E$1253=TYPE3)*(TYPE3&lt;&gt;"")+('Dvd Calendar'!$E$1253=TYPE4)*(TYPE4&lt;&gt;"")+('Dvd Calendar'!$E$1253=SPECIAL_LBL)*(INC_SPECIALS="Y"))=0,"",'Dvd Calendar'!$E$1251)))</f>
        <v/>
      </c>
      <c r="D128" s="161">
        <f>IF(EF128="","",IF(ISNUMBER('Dvd Calendar'!$F$1251)=FALSE,"",IF((('Dvd Calendar'!$F$1253=TYPE1)*(TYPE1&lt;&gt;"")+('Dvd Calendar'!$F$1253=TYPE2)*(TYPE2&lt;&gt;"")+('Dvd Calendar'!$F$1253=TYPE3)*(TYPE3&lt;&gt;"")+('Dvd Calendar'!$F$1253=TYPE4)*(TYPE4&lt;&gt;"")+('Dvd Calendar'!$F$1253=SPECIAL_LBL)*(INC_SPECIALS="Y"))=0,"",'Dvd Calendar'!$F$1251)))</f>
        <v/>
      </c>
      <c r="E128" s="161">
        <f>IF(EG128="","",IF(ISNUMBER('Dvd Calendar'!$G$1251)=FALSE,"",IF((('Dvd Calendar'!$G$1253=TYPE1)*(TYPE1&lt;&gt;"")+('Dvd Calendar'!$G$1253=TYPE2)*(TYPE2&lt;&gt;"")+('Dvd Calendar'!$G$1253=TYPE3)*(TYPE3&lt;&gt;"")+('Dvd Calendar'!$G$1253=TYPE4)*(TYPE4&lt;&gt;"")+('Dvd Calendar'!$G$1253=SPECIAL_LBL)*(INC_SPECIALS="Y"))=0,"",'Dvd Calendar'!$G$1251)))</f>
        <v/>
      </c>
      <c r="F128" s="161">
        <f>IF(EH128="","",IF(ISNUMBER('Dvd Calendar'!$H$1251)=FALSE,"",IF((('Dvd Calendar'!$H$1253=TYPE1)*(TYPE1&lt;&gt;"")+('Dvd Calendar'!$H$1253=TYPE2)*(TYPE2&lt;&gt;"")+('Dvd Calendar'!$H$1253=TYPE3)*(TYPE3&lt;&gt;"")+('Dvd Calendar'!$H$1253=TYPE4)*(TYPE4&lt;&gt;"")+('Dvd Calendar'!$H$1253=SPECIAL_LBL)*(INC_SPECIALS="Y"))=0,"",'Dvd Calendar'!$H$1251)))</f>
        <v/>
      </c>
      <c r="G128" s="161">
        <f>IF(EI128="","",IF(ISNUMBER('Dvd Calendar'!$I$1251)=FALSE,"",IF((('Dvd Calendar'!$I$1253=TYPE1)*(TYPE1&lt;&gt;"")+('Dvd Calendar'!$I$1253=TYPE2)*(TYPE2&lt;&gt;"")+('Dvd Calendar'!$I$1253=TYPE3)*(TYPE3&lt;&gt;"")+('Dvd Calendar'!$I$1253=TYPE4)*(TYPE4&lt;&gt;"")+('Dvd Calendar'!$I$1253=SPECIAL_LBL)*(INC_SPECIALS="Y"))=0,"",'Dvd Calendar'!$I$1251)))</f>
        <v/>
      </c>
      <c r="H128" s="161">
        <f>IF(EJ128="","",IF(ISNUMBER('Dvd Calendar'!$J$1251)=FALSE,"",IF((('Dvd Calendar'!$J$1253=TYPE1)*(TYPE1&lt;&gt;"")+('Dvd Calendar'!$J$1253=TYPE2)*(TYPE2&lt;&gt;"")+('Dvd Calendar'!$J$1253=TYPE3)*(TYPE3&lt;&gt;"")+('Dvd Calendar'!$J$1253=TYPE4)*(TYPE4&lt;&gt;"")+('Dvd Calendar'!$J$1253=SPECIAL_LBL)*(INC_SPECIALS="Y"))=0,"",'Dvd Calendar'!$J$1251)))</f>
        <v/>
      </c>
      <c r="I128" s="161">
        <f>IF(EK128="","",IF(ISNUMBER('Dvd Calendar'!$K$1251)=FALSE,"",IF((('Dvd Calendar'!$K$1253=TYPE1)*(TYPE1&lt;&gt;"")+('Dvd Calendar'!$K$1253=TYPE2)*(TYPE2&lt;&gt;"")+('Dvd Calendar'!$K$1253=TYPE3)*(TYPE3&lt;&gt;"")+('Dvd Calendar'!$K$1253=TYPE4)*(TYPE4&lt;&gt;"")+('Dvd Calendar'!$K$1253=SPECIAL_LBL)*(INC_SPECIALS="Y"))=0,"",'Dvd Calendar'!$K$1251)))</f>
        <v/>
      </c>
      <c r="J128" s="161">
        <f>IF(EL128="","",IF(ISNUMBER('Dvd Calendar'!$L$1251)=FALSE,"",IF((('Dvd Calendar'!$L$1253=TYPE1)*(TYPE1&lt;&gt;"")+('Dvd Calendar'!$L$1253=TYPE2)*(TYPE2&lt;&gt;"")+('Dvd Calendar'!$L$1253=TYPE3)*(TYPE3&lt;&gt;"")+('Dvd Calendar'!$L$1253=TYPE4)*(TYPE4&lt;&gt;"")+('Dvd Calendar'!$L$1253=SPECIAL_LBL)*(INC_SPECIALS="Y"))=0,"",'Dvd Calendar'!$L$1251)))</f>
        <v/>
      </c>
      <c r="K128" s="161">
        <f>IF(EM128="","",IF(ISNUMBER('Dvd Calendar'!$M$1251)=FALSE,"",IF((('Dvd Calendar'!$M$1253=TYPE1)*(TYPE1&lt;&gt;"")+('Dvd Calendar'!$M$1253=TYPE2)*(TYPE2&lt;&gt;"")+('Dvd Calendar'!$M$1253=TYPE3)*(TYPE3&lt;&gt;"")+('Dvd Calendar'!$M$1253=TYPE4)*(TYPE4&lt;&gt;"")+('Dvd Calendar'!$M$1253=SPECIAL_LBL)*(INC_SPECIALS="Y"))=0,"",'Dvd Calendar'!$M$1251)))</f>
        <v/>
      </c>
      <c r="L128" s="161">
        <f>IF(EN128="","",IF(ISNUMBER('Dvd Calendar'!$N$1251)=FALSE,"",IF((('Dvd Calendar'!$N$1253=TYPE1)*(TYPE1&lt;&gt;"")+('Dvd Calendar'!$N$1253=TYPE2)*(TYPE2&lt;&gt;"")+('Dvd Calendar'!$N$1253=TYPE3)*(TYPE3&lt;&gt;"")+('Dvd Calendar'!$N$1253=TYPE4)*(TYPE4&lt;&gt;"")+('Dvd Calendar'!$N$1253=SPECIAL_LBL)*(INC_SPECIALS="Y"))=0,"",'Dvd Calendar'!$N$1251)))</f>
        <v/>
      </c>
      <c r="M128" s="161">
        <f>IF(EO128="","",IF(ISNUMBER('Dvd Calendar'!$O$1251)=FALSE,"",IF((('Dvd Calendar'!$O$1253=TYPE1)*(TYPE1&lt;&gt;"")+('Dvd Calendar'!$O$1253=TYPE2)*(TYPE2&lt;&gt;"")+('Dvd Calendar'!$O$1253=TYPE3)*(TYPE3&lt;&gt;"")+('Dvd Calendar'!$O$1253=TYPE4)*(TYPE4&lt;&gt;"")+('Dvd Calendar'!$O$1253=SPECIAL_LBL)*(INC_SPECIALS="Y"))=0,"",'Dvd Calendar'!$O$1251)))</f>
        <v/>
      </c>
      <c r="N128" s="161">
        <f>IF(EP128="","",IF(ISNUMBER('Dvd Calendar'!$P$1251)=FALSE,"",IF((('Dvd Calendar'!$P$1253=TYPE1)*(TYPE1&lt;&gt;"")+('Dvd Calendar'!$P$1253=TYPE2)*(TYPE2&lt;&gt;"")+('Dvd Calendar'!$P$1253=TYPE3)*(TYPE3&lt;&gt;"")+('Dvd Calendar'!$P$1253=TYPE4)*(TYPE4&lt;&gt;"")+('Dvd Calendar'!$P$1253=SPECIAL_LBL)*(INC_SPECIALS="Y"))=0,"",'Dvd Calendar'!$P$1251)))</f>
        <v/>
      </c>
      <c r="O128" s="161">
        <f>IF(EQ128="","",IF(ISNUMBER('Dvd Calendar'!$Q$1251)=FALSE,"",IF((('Dvd Calendar'!$Q$1253=TYPE1)*(TYPE1&lt;&gt;"")+('Dvd Calendar'!$Q$1253=TYPE2)*(TYPE2&lt;&gt;"")+('Dvd Calendar'!$Q$1253=TYPE3)*(TYPE3&lt;&gt;"")+('Dvd Calendar'!$Q$1253=TYPE4)*(TYPE4&lt;&gt;"")+('Dvd Calendar'!$Q$1253=SPECIAL_LBL)*(INC_SPECIALS="Y"))=0,"",'Dvd Calendar'!$Q$1251)))</f>
        <v/>
      </c>
      <c r="P128" s="161">
        <f>IF(ER128="","",IF(ISNUMBER('Dvd Calendar'!$R$1251)=FALSE,"",IF((('Dvd Calendar'!$R$1253=TYPE1)*(TYPE1&lt;&gt;"")+('Dvd Calendar'!$R$1253=TYPE2)*(TYPE2&lt;&gt;"")+('Dvd Calendar'!$R$1253=TYPE3)*(TYPE3&lt;&gt;"")+('Dvd Calendar'!$R$1253=TYPE4)*(TYPE4&lt;&gt;"")+('Dvd Calendar'!$R$1253=SPECIAL_LBL)*(INC_SPECIALS="Y"))=0,"",'Dvd Calendar'!$R$1251)))</f>
        <v/>
      </c>
      <c r="Q128" s="161">
        <f>IF(ES128="","",IF(ISNUMBER('Dvd Calendar'!$S$1251)=FALSE,"",IF((('Dvd Calendar'!$S$1253=TYPE1)*(TYPE1&lt;&gt;"")+('Dvd Calendar'!$S$1253=TYPE2)*(TYPE2&lt;&gt;"")+('Dvd Calendar'!$S$1253=TYPE3)*(TYPE3&lt;&gt;"")+('Dvd Calendar'!$S$1253=TYPE4)*(TYPE4&lt;&gt;"")+('Dvd Calendar'!$S$1253=SPECIAL_LBL)*(INC_SPECIALS="Y"))=0,"",'Dvd Calendar'!$S$1251)))</f>
        <v/>
      </c>
      <c r="R128" s="161">
        <f>IF(ET128="","",IF(ISNUMBER('Dvd Calendar'!$T$1251)=FALSE,"",IF((('Dvd Calendar'!$T$1253=TYPE1)*(TYPE1&lt;&gt;"")+('Dvd Calendar'!$T$1253=TYPE2)*(TYPE2&lt;&gt;"")+('Dvd Calendar'!$T$1253=TYPE3)*(TYPE3&lt;&gt;"")+('Dvd Calendar'!$T$1253=TYPE4)*(TYPE4&lt;&gt;"")+('Dvd Calendar'!$T$1253=SPECIAL_LBL)*(INC_SPECIALS="Y"))=0,"",'Dvd Calendar'!$T$1251)))</f>
        <v/>
      </c>
      <c r="S128" s="161">
        <f>IF(EU128="","",IF(ISNUMBER('Dvd Calendar'!$U$1251)=FALSE,"",IF((('Dvd Calendar'!$U$1253=TYPE1)*(TYPE1&lt;&gt;"")+('Dvd Calendar'!$U$1253=TYPE2)*(TYPE2&lt;&gt;"")+('Dvd Calendar'!$U$1253=TYPE3)*(TYPE3&lt;&gt;"")+('Dvd Calendar'!$U$1253=TYPE4)*(TYPE4&lt;&gt;"")+('Dvd Calendar'!$U$1253=SPECIAL_LBL)*(INC_SPECIALS="Y"))=0,"",'Dvd Calendar'!$U$1251)))</f>
        <v/>
      </c>
      <c r="T128" s="161">
        <f>IF(EV128="","",IF(ISNUMBER('Dvd Calendar'!$V$1251)=FALSE,"",IF((('Dvd Calendar'!$V$1253=TYPE1)*(TYPE1&lt;&gt;"")+('Dvd Calendar'!$V$1253=TYPE2)*(TYPE2&lt;&gt;"")+('Dvd Calendar'!$V$1253=TYPE3)*(TYPE3&lt;&gt;"")+('Dvd Calendar'!$V$1253=TYPE4)*(TYPE4&lt;&gt;"")+('Dvd Calendar'!$V$1253=SPECIAL_LBL)*(INC_SPECIALS="Y"))=0,"",'Dvd Calendar'!$V$1251)))</f>
        <v/>
      </c>
      <c r="U128" s="161">
        <f>IF(EW128="","",IF(ISNUMBER('Dvd Calendar'!$W$1251)=FALSE,"",IF((('Dvd Calendar'!$W$1253=TYPE1)*(TYPE1&lt;&gt;"")+('Dvd Calendar'!$W$1253=TYPE2)*(TYPE2&lt;&gt;"")+('Dvd Calendar'!$W$1253=TYPE3)*(TYPE3&lt;&gt;"")+('Dvd Calendar'!$W$1253=TYPE4)*(TYPE4&lt;&gt;"")+('Dvd Calendar'!$W$1253=SPECIAL_LBL)*(INC_SPECIALS="Y"))=0,"",'Dvd Calendar'!$W$1251)))</f>
        <v/>
      </c>
      <c r="V128" s="161">
        <f>IF(EX128="","",IF(ISNUMBER('Dvd Calendar'!$X$1251)=FALSE,"",IF((('Dvd Calendar'!$X$1253=TYPE1)*(TYPE1&lt;&gt;"")+('Dvd Calendar'!$X$1253=TYPE2)*(TYPE2&lt;&gt;"")+('Dvd Calendar'!$X$1253=TYPE3)*(TYPE3&lt;&gt;"")+('Dvd Calendar'!$X$1253=TYPE4)*(TYPE4&lt;&gt;"")+('Dvd Calendar'!$X$1253=SPECIAL_LBL)*(INC_SPECIALS="Y"))=0,"",'Dvd Calendar'!$X$1251)))</f>
        <v/>
      </c>
      <c r="W128" s="161">
        <f>IF(EY128="","",IF(ISNUMBER('Dvd Calendar'!$Y$1251)=FALSE,"",IF((('Dvd Calendar'!$Y$1253=TYPE1)*(TYPE1&lt;&gt;"")+('Dvd Calendar'!$Y$1253=TYPE2)*(TYPE2&lt;&gt;"")+('Dvd Calendar'!$Y$1253=TYPE3)*(TYPE3&lt;&gt;"")+('Dvd Calendar'!$Y$1253=TYPE4)*(TYPE4&lt;&gt;"")+('Dvd Calendar'!$Y$1253=SPECIAL_LBL)*(INC_SPECIALS="Y"))=0,"",'Dvd Calendar'!$Y$1251)))</f>
        <v/>
      </c>
      <c r="X128" s="161">
        <f>IF(EZ128="","",IF(ISNUMBER('Dvd Calendar'!$Z$1251)=FALSE,"",IF((('Dvd Calendar'!$Z$1253=TYPE1)*(TYPE1&lt;&gt;"")+('Dvd Calendar'!$Z$1253=TYPE2)*(TYPE2&lt;&gt;"")+('Dvd Calendar'!$Z$1253=TYPE3)*(TYPE3&lt;&gt;"")+('Dvd Calendar'!$Z$1253=TYPE4)*(TYPE4&lt;&gt;"")+('Dvd Calendar'!$Z$1253=SPECIAL_LBL)*(INC_SPECIALS="Y"))=0,"",'Dvd Calendar'!$Z$1251)))</f>
        <v/>
      </c>
      <c r="Y128" s="161">
        <f>IF(FA128="","",IF(ISNUMBER('Dvd Calendar'!$AA$1251)=FALSE,"",IF((('Dvd Calendar'!$AA$1253=TYPE1)*(TYPE1&lt;&gt;"")+('Dvd Calendar'!$AA$1253=TYPE2)*(TYPE2&lt;&gt;"")+('Dvd Calendar'!$AA$1253=TYPE3)*(TYPE3&lt;&gt;"")+('Dvd Calendar'!$AA$1253=TYPE4)*(TYPE4&lt;&gt;"")+('Dvd Calendar'!$AA$1253=SPECIAL_LBL)*(INC_SPECIALS="Y"))=0,"",'Dvd Calendar'!$AA$1251)))</f>
        <v/>
      </c>
      <c r="Z128" s="161">
        <f>IF(FB128="","",IF(ISNUMBER('Dvd Calendar'!$AB$1251)=FALSE,"",IF((('Dvd Calendar'!$AB$1253=TYPE1)*(TYPE1&lt;&gt;"")+('Dvd Calendar'!$AB$1253=TYPE2)*(TYPE2&lt;&gt;"")+('Dvd Calendar'!$AB$1253=TYPE3)*(TYPE3&lt;&gt;"")+('Dvd Calendar'!$AB$1253=TYPE4)*(TYPE4&lt;&gt;"")+('Dvd Calendar'!$AB$1253=SPECIAL_LBL)*(INC_SPECIALS="Y"))=0,"",'Dvd Calendar'!$AB$1251)))</f>
        <v/>
      </c>
      <c r="AA128" s="161">
        <f>IF(FC128="","",IF(ISNUMBER('Dvd Calendar'!$AC$1251)=FALSE,"",IF((('Dvd Calendar'!$AC$1253=TYPE1)*(TYPE1&lt;&gt;"")+('Dvd Calendar'!$AC$1253=TYPE2)*(TYPE2&lt;&gt;"")+('Dvd Calendar'!$AC$1253=TYPE3)*(TYPE3&lt;&gt;"")+('Dvd Calendar'!$AC$1253=TYPE4)*(TYPE4&lt;&gt;"")+('Dvd Calendar'!$AC$1253=SPECIAL_LBL)*(INC_SPECIALS="Y"))=0,"",'Dvd Calendar'!$AC$1251)))</f>
        <v/>
      </c>
      <c r="AB128" s="161">
        <f>IF(FD128="","",IF(ISNUMBER('Dvd Calendar'!$AD$1251)=FALSE,"",IF((('Dvd Calendar'!$AD$1253=TYPE1)*(TYPE1&lt;&gt;"")+('Dvd Calendar'!$AD$1253=TYPE2)*(TYPE2&lt;&gt;"")+('Dvd Calendar'!$AD$1253=TYPE3)*(TYPE3&lt;&gt;"")+('Dvd Calendar'!$AD$1253=TYPE4)*(TYPE4&lt;&gt;"")+('Dvd Calendar'!$AD$1253=SPECIAL_LBL)*(INC_SPECIALS="Y"))=0,"",'Dvd Calendar'!$AD$1251)))</f>
        <v/>
      </c>
      <c r="AC128" s="161">
        <f>IF(FE128="","",IF(ISNUMBER('Dvd Calendar'!$AE$1251)=FALSE,"",IF((('Dvd Calendar'!$AE$1253=TYPE1)*(TYPE1&lt;&gt;"")+('Dvd Calendar'!$AE$1253=TYPE2)*(TYPE2&lt;&gt;"")+('Dvd Calendar'!$AE$1253=TYPE3)*(TYPE3&lt;&gt;"")+('Dvd Calendar'!$AE$1253=TYPE4)*(TYPE4&lt;&gt;"")+('Dvd Calendar'!$AE$1253=SPECIAL_LBL)*(INC_SPECIALS="Y"))=0,"",'Dvd Calendar'!$AE$1251)))</f>
        <v/>
      </c>
      <c r="AD128" s="161">
        <f>IF(FF128="","",IF(ISNUMBER('Dvd Calendar'!$AF$1251)=FALSE,"",IF((('Dvd Calendar'!$AF$1253=TYPE1)*(TYPE1&lt;&gt;"")+('Dvd Calendar'!$AF$1253=TYPE2)*(TYPE2&lt;&gt;"")+('Dvd Calendar'!$AF$1253=TYPE3)*(TYPE3&lt;&gt;"")+('Dvd Calendar'!$AF$1253=TYPE4)*(TYPE4&lt;&gt;"")+('Dvd Calendar'!$AF$1253=SPECIAL_LBL)*(INC_SPECIALS="Y"))=0,"",'Dvd Calendar'!$AF$1251)))</f>
        <v/>
      </c>
      <c r="AE128" s="161">
        <f>IF(FG128="","",IF(ISNUMBER('Dvd Calendar'!$AG$1251)=FALSE,"",IF((('Dvd Calendar'!$AG$1253=TYPE1)*(TYPE1&lt;&gt;"")+('Dvd Calendar'!$AG$1253=TYPE2)*(TYPE2&lt;&gt;"")+('Dvd Calendar'!$AG$1253=TYPE3)*(TYPE3&lt;&gt;"")+('Dvd Calendar'!$AG$1253=TYPE4)*(TYPE4&lt;&gt;"")+('Dvd Calendar'!$AG$1253=SPECIAL_LBL)*(INC_SPECIALS="Y"))=0,"",'Dvd Calendar'!$AG$1251)))</f>
        <v/>
      </c>
      <c r="AF128" s="161">
        <f>IF(FH128="","",IF(ISNUMBER('Dvd Calendar'!$AH$1251)=FALSE,"",IF((('Dvd Calendar'!$AH$1253=TYPE1)*(TYPE1&lt;&gt;"")+('Dvd Calendar'!$AH$1253=TYPE2)*(TYPE2&lt;&gt;"")+('Dvd Calendar'!$AH$1253=TYPE3)*(TYPE3&lt;&gt;"")+('Dvd Calendar'!$AH$1253=TYPE4)*(TYPE4&lt;&gt;"")+('Dvd Calendar'!$AH$1253=SPECIAL_LBL)*(INC_SPECIALS="Y"))=0,"",'Dvd Calendar'!$AH$1251)))</f>
        <v/>
      </c>
      <c r="AG128" s="161">
        <f>IF(FI128="","",IF(ISNUMBER('Dvd Calendar'!$AI$1251)=FALSE,"",IF((('Dvd Calendar'!$AI$1253=TYPE1)*(TYPE1&lt;&gt;"")+('Dvd Calendar'!$AI$1253=TYPE2)*(TYPE2&lt;&gt;"")+('Dvd Calendar'!$AI$1253=TYPE3)*(TYPE3&lt;&gt;"")+('Dvd Calendar'!$AI$1253=TYPE4)*(TYPE4&lt;&gt;"")+('Dvd Calendar'!$AI$1253=SPECIAL_LBL)*(INC_SPECIALS="Y"))=0,"",'Dvd Calendar'!$AI$1251)))</f>
        <v/>
      </c>
      <c r="AH128" s="161">
        <f>IF(FJ128="","",IF(ISNUMBER('Dvd Calendar'!$AJ$1251)=FALSE,"",IF((('Dvd Calendar'!$AJ$1253=TYPE1)*(TYPE1&lt;&gt;"")+('Dvd Calendar'!$AJ$1253=TYPE2)*(TYPE2&lt;&gt;"")+('Dvd Calendar'!$AJ$1253=TYPE3)*(TYPE3&lt;&gt;"")+('Dvd Calendar'!$AJ$1253=TYPE4)*(TYPE4&lt;&gt;"")+('Dvd Calendar'!$AJ$1253=SPECIAL_LBL)*(INC_SPECIALS="Y"))=0,"",'Dvd Calendar'!$AJ$1251)))</f>
        <v/>
      </c>
      <c r="AI128" s="161">
        <f>IF(FK128="","",IF(ISNUMBER('Dvd Calendar'!$AK$1251)=FALSE,"",IF((('Dvd Calendar'!$AK$1253=TYPE1)*(TYPE1&lt;&gt;"")+('Dvd Calendar'!$AK$1253=TYPE2)*(TYPE2&lt;&gt;"")+('Dvd Calendar'!$AK$1253=TYPE3)*(TYPE3&lt;&gt;"")+('Dvd Calendar'!$AK$1253=TYPE4)*(TYPE4&lt;&gt;"")+('Dvd Calendar'!$AK$1253=SPECIAL_LBL)*(INC_SPECIALS="Y"))=0,"",'Dvd Calendar'!$AK$1251)))</f>
        <v/>
      </c>
      <c r="AJ128" s="161">
        <f>IF(FL128="","",IF(ISNUMBER('Dvd Calendar'!$AL$1251)=FALSE,"",IF((('Dvd Calendar'!$AL$1253=TYPE1)*(TYPE1&lt;&gt;"")+('Dvd Calendar'!$AL$1253=TYPE2)*(TYPE2&lt;&gt;"")+('Dvd Calendar'!$AL$1253=TYPE3)*(TYPE3&lt;&gt;"")+('Dvd Calendar'!$AL$1253=TYPE4)*(TYPE4&lt;&gt;"")+('Dvd Calendar'!$AL$1253=SPECIAL_LBL)*(INC_SPECIALS="Y"))=0,"",'Dvd Calendar'!$AL$1251)))</f>
        <v/>
      </c>
      <c r="AK128" s="161">
        <f>IF(FM128="","",IF(ISNUMBER('Dvd Calendar'!$AM$1251)=FALSE,"",IF((('Dvd Calendar'!$AM$1253=TYPE1)*(TYPE1&lt;&gt;"")+('Dvd Calendar'!$AM$1253=TYPE2)*(TYPE2&lt;&gt;"")+('Dvd Calendar'!$AM$1253=TYPE3)*(TYPE3&lt;&gt;"")+('Dvd Calendar'!$AM$1253=TYPE4)*(TYPE4&lt;&gt;"")+('Dvd Calendar'!$AM$1253=SPECIAL_LBL)*(INC_SPECIALS="Y"))=0,"",'Dvd Calendar'!$AM$1251)))</f>
        <v/>
      </c>
      <c r="AL128" s="161">
        <f>IF(FN128="","",IF(ISNUMBER('Dvd Calendar'!$AN$1251)=FALSE,"",IF((('Dvd Calendar'!$AN$1253=TYPE1)*(TYPE1&lt;&gt;"")+('Dvd Calendar'!$AN$1253=TYPE2)*(TYPE2&lt;&gt;"")+('Dvd Calendar'!$AN$1253=TYPE3)*(TYPE3&lt;&gt;"")+('Dvd Calendar'!$AN$1253=TYPE4)*(TYPE4&lt;&gt;"")+('Dvd Calendar'!$AN$1253=SPECIAL_LBL)*(INC_SPECIALS="Y"))=0,"",'Dvd Calendar'!$AN$1251)))</f>
        <v/>
      </c>
      <c r="AM128" s="161">
        <f>IF(FO128="","",IF(ISNUMBER('Dvd Calendar'!$AO$1251)=FALSE,"",IF((('Dvd Calendar'!$AO$1253=TYPE1)*(TYPE1&lt;&gt;"")+('Dvd Calendar'!$AO$1253=TYPE2)*(TYPE2&lt;&gt;"")+('Dvd Calendar'!$AO$1253=TYPE3)*(TYPE3&lt;&gt;"")+('Dvd Calendar'!$AO$1253=TYPE4)*(TYPE4&lt;&gt;"")+('Dvd Calendar'!$AO$1253=SPECIAL_LBL)*(INC_SPECIALS="Y"))=0,"",'Dvd Calendar'!$AO$1251)))</f>
        <v/>
      </c>
      <c r="AN128" s="161">
        <f>IF(FP128="","",IF(ISNUMBER('Dvd Calendar'!$AP$1251)=FALSE,"",IF((('Dvd Calendar'!$AP$1253=TYPE1)*(TYPE1&lt;&gt;"")+('Dvd Calendar'!$AP$1253=TYPE2)*(TYPE2&lt;&gt;"")+('Dvd Calendar'!$AP$1253=TYPE3)*(TYPE3&lt;&gt;"")+('Dvd Calendar'!$AP$1253=TYPE4)*(TYPE4&lt;&gt;"")+('Dvd Calendar'!$AP$1253=SPECIAL_LBL)*(INC_SPECIALS="Y"))=0,"",'Dvd Calendar'!$AP$1251)))</f>
        <v/>
      </c>
      <c r="AO128" s="161">
        <f>IF(FQ128="","",IF(ISNUMBER('Dvd Calendar'!$AQ$1251)=FALSE,"",IF((('Dvd Calendar'!$AQ$1253=TYPE1)*(TYPE1&lt;&gt;"")+('Dvd Calendar'!$AQ$1253=TYPE2)*(TYPE2&lt;&gt;"")+('Dvd Calendar'!$AQ$1253=TYPE3)*(TYPE3&lt;&gt;"")+('Dvd Calendar'!$AQ$1253=TYPE4)*(TYPE4&lt;&gt;"")+('Dvd Calendar'!$AQ$1253=SPECIAL_LBL)*(INC_SPECIALS="Y"))=0,"",'Dvd Calendar'!$AQ$1251)))</f>
        <v/>
      </c>
      <c r="AP128" s="161">
        <f>IF(FR128="","",IF(ISNUMBER('Dvd Calendar'!$AR$1251)=FALSE,"",IF((('Dvd Calendar'!$AR$1253=TYPE1)*(TYPE1&lt;&gt;"")+('Dvd Calendar'!$AR$1253=TYPE2)*(TYPE2&lt;&gt;"")+('Dvd Calendar'!$AR$1253=TYPE3)*(TYPE3&lt;&gt;"")+('Dvd Calendar'!$AR$1253=TYPE4)*(TYPE4&lt;&gt;"")+('Dvd Calendar'!$AR$1253=SPECIAL_LBL)*(INC_SPECIALS="Y"))=0,"",'Dvd Calendar'!$AR$1251)))</f>
        <v/>
      </c>
      <c r="AQ128" s="161">
        <f>IF(FS128="","",IF(ISNUMBER('Dvd Calendar'!$E$1256)=FALSE,"",'Dvd Calendar'!$E$1256))</f>
        <v/>
      </c>
      <c r="AR128" s="161">
        <f>IF(FT128="","",IF(ISNUMBER('Dvd Calendar'!$F$1256)=FALSE,"",'Dvd Calendar'!$F$1256))</f>
        <v/>
      </c>
      <c r="AS128" s="161">
        <f>IF(FU128="","",IF(ISNUMBER('Dvd Calendar'!$G$1256)=FALSE,"",'Dvd Calendar'!$G$1256))</f>
        <v/>
      </c>
      <c r="AT128" s="161">
        <f>IF(FV128="","",IF(ISNUMBER('Dvd Calendar'!$H$1256)=FALSE,"",'Dvd Calendar'!$H$1256))</f>
        <v/>
      </c>
      <c r="AU128" s="161">
        <f>IF(FW128="","",IF(ISNUMBER('Dvd Calendar'!$I$1256)=FALSE,"",'Dvd Calendar'!$I$1256))</f>
        <v/>
      </c>
      <c r="AV128" s="161">
        <f>IF(FX128="","",IF(ISNUMBER('Dvd Calendar'!$J$1256)=FALSE,"",'Dvd Calendar'!$J$1256))</f>
        <v/>
      </c>
      <c r="AW128" s="161">
        <f>IF(FY128="","",IF(ISNUMBER('Dvd Calendar'!$K$1256)=FALSE,"",'Dvd Calendar'!$K$1256))</f>
        <v/>
      </c>
      <c r="AX128" s="161">
        <f>IF(FZ128="","",IF(ISNUMBER('Dvd Calendar'!$L$1256)=FALSE,"",'Dvd Calendar'!$L$1256))</f>
        <v/>
      </c>
      <c r="AY128" s="161">
        <f>IF(GA128="","",IF(ISNUMBER('Dvd Calendar'!$M$1256)=FALSE,"",'Dvd Calendar'!$M$1256))</f>
        <v/>
      </c>
      <c r="AZ128" s="161">
        <f>IF(GB128="","",IF(ISNUMBER('Dvd Calendar'!$N$1256)=FALSE,"",'Dvd Calendar'!$N$1256))</f>
        <v/>
      </c>
      <c r="BA128" s="161">
        <f>IF(GC128="","",IF(ISNUMBER('Dvd Calendar'!$O$1256)=FALSE,"",'Dvd Calendar'!$O$1256))</f>
        <v/>
      </c>
      <c r="BB128" s="161">
        <f>IF(GD128="","",IF(ISNUMBER('Dvd Calendar'!$P$1256)=FALSE,"",'Dvd Calendar'!$P$1256))</f>
        <v/>
      </c>
      <c r="BC128" s="161">
        <f>IF(GE128="","",IF(ISNUMBER('Dvd Calendar'!$Q$1256)=FALSE,"",'Dvd Calendar'!$Q$1256))</f>
        <v/>
      </c>
      <c r="BD128" s="161">
        <f>IF(GF128="","",IF(ISNUMBER('Dvd Calendar'!$R$1256)=FALSE,"",'Dvd Calendar'!$R$1256))</f>
        <v/>
      </c>
      <c r="BE128" s="161">
        <f>IF(GG128="","",IF(ISNUMBER('Dvd Calendar'!$S$1256)=FALSE,"",'Dvd Calendar'!$S$1256))</f>
        <v/>
      </c>
      <c r="BF128" s="161">
        <f>IF(GH128="","",IF(ISNUMBER('Dvd Calendar'!$T$1256)=FALSE,"",'Dvd Calendar'!$T$1256))</f>
        <v/>
      </c>
      <c r="BG128" s="161">
        <f>IF(GI128="","",IF(ISNUMBER('Dvd Calendar'!$U$1256)=FALSE,"",'Dvd Calendar'!$U$1256))</f>
        <v/>
      </c>
      <c r="BH128" s="161">
        <f>IF(GJ128="","",IF(ISNUMBER('Dvd Calendar'!$V$1256)=FALSE,"",'Dvd Calendar'!$V$1256))</f>
        <v/>
      </c>
      <c r="BI128" s="161">
        <f>IF(GK128="","",IF(ISNUMBER('Dvd Calendar'!$W$1256)=FALSE,"",'Dvd Calendar'!$W$1256))</f>
        <v/>
      </c>
      <c r="BJ128" s="161">
        <f>IF(GL128="","",IF(ISNUMBER('Dvd Calendar'!$X$1256)=FALSE,"",'Dvd Calendar'!$X$1256))</f>
        <v/>
      </c>
      <c r="BK128" s="161">
        <f>IF(GM128="","",IF(ISNUMBER('Dvd Calendar'!$Y$1256)=FALSE,"",'Dvd Calendar'!$Y$1256))</f>
        <v/>
      </c>
      <c r="BL128" s="161">
        <f>IF(GN128="","",IF(ISNUMBER('Dvd Calendar'!$Z$1256)=FALSE,"",'Dvd Calendar'!$Z$1256))</f>
        <v/>
      </c>
      <c r="BM128" s="161">
        <f>IF(GO128="","",IF(ISNUMBER('Dvd Calendar'!$AA$1256)=FALSE,"",'Dvd Calendar'!$AA$1256))</f>
        <v/>
      </c>
      <c r="BN128" s="161">
        <f>IF(GP128="","",IF(ISNUMBER('Dvd Calendar'!$AB$1256)=FALSE,"",'Dvd Calendar'!$AB$1256))</f>
        <v/>
      </c>
      <c r="BO128" s="161">
        <f>IF(GQ128="","",IF(ISNUMBER('Dvd Calendar'!$AC$1256)=FALSE,"",'Dvd Calendar'!$AC$1256))</f>
        <v/>
      </c>
      <c r="BQ128" s="161">
        <f>IF(C128="","",IFERROR(C128*HSTECH!$B$19*HSTECH!$G$19/HSTECH!$B$3,""))</f>
        <v/>
      </c>
      <c r="BR128" s="161">
        <f>IF(D128="","",IFERROR(D128*HSTECH!$B$19*HSTECH!$G$19/HSTECH!$B$3,""))</f>
        <v/>
      </c>
      <c r="BS128" s="161">
        <f>IF(E128="","",IFERROR(E128*HSTECH!$B$19*HSTECH!$G$19/HSTECH!$B$3,""))</f>
        <v/>
      </c>
      <c r="BT128" s="161">
        <f>IF(F128="","",IFERROR(F128*HSTECH!$B$19*HSTECH!$G$19/HSTECH!$B$3,""))</f>
        <v/>
      </c>
      <c r="BU128" s="161">
        <f>IF(G128="","",IFERROR(G128*HSTECH!$B$19*HSTECH!$G$19/HSTECH!$B$3,""))</f>
        <v/>
      </c>
      <c r="BV128" s="161">
        <f>IF(H128="","",IFERROR(H128*HSTECH!$B$19*HSTECH!$G$19/HSTECH!$B$3,""))</f>
        <v/>
      </c>
      <c r="BW128" s="161">
        <f>IF(I128="","",IFERROR(I128*HSTECH!$B$19*HSTECH!$G$19/HSTECH!$B$3,""))</f>
        <v/>
      </c>
      <c r="BX128" s="161">
        <f>IF(J128="","",IFERROR(J128*HSTECH!$B$19*HSTECH!$G$19/HSTECH!$B$3,""))</f>
        <v/>
      </c>
      <c r="BY128" s="161">
        <f>IF(K128="","",IFERROR(K128*HSTECH!$B$19*HSTECH!$G$19/HSTECH!$B$3,""))</f>
        <v/>
      </c>
      <c r="BZ128" s="161">
        <f>IF(L128="","",IFERROR(L128*HSTECH!$B$19*HSTECH!$G$19/HSTECH!$B$3,""))</f>
        <v/>
      </c>
      <c r="CA128" s="161">
        <f>IF(M128="","",IFERROR(M128*HSTECH!$B$19*HSTECH!$G$19/HSTECH!$B$3,""))</f>
        <v/>
      </c>
      <c r="CB128" s="161">
        <f>IF(N128="","",IFERROR(N128*HSTECH!$B$19*HSTECH!$G$19/HSTECH!$B$3,""))</f>
        <v/>
      </c>
      <c r="CC128" s="161">
        <f>IF(O128="","",IFERROR(O128*HSTECH!$B$19*HSTECH!$G$19/HSTECH!$B$3,""))</f>
        <v/>
      </c>
      <c r="CD128" s="161">
        <f>IF(P128="","",IFERROR(P128*HSTECH!$B$19*HSTECH!$G$19/HSTECH!$B$3,""))</f>
        <v/>
      </c>
      <c r="CE128" s="161">
        <f>IF(Q128="","",IFERROR(Q128*HSTECH!$B$19*HSTECH!$G$19/HSTECH!$B$3,""))</f>
        <v/>
      </c>
      <c r="CF128" s="161">
        <f>IF(R128="","",IFERROR(R128*HSTECH!$B$19*HSTECH!$G$19/HSTECH!$B$3,""))</f>
        <v/>
      </c>
      <c r="CG128" s="161">
        <f>IF(S128="","",IFERROR(S128*HSTECH!$B$19*HSTECH!$G$19/HSTECH!$B$3,""))</f>
        <v/>
      </c>
      <c r="CH128" s="161">
        <f>IF(T128="","",IFERROR(T128*HSTECH!$B$19*HSTECH!$G$19/HSTECH!$B$3,""))</f>
        <v/>
      </c>
      <c r="CI128" s="161">
        <f>IF(U128="","",IFERROR(U128*HSTECH!$B$19*HSTECH!$G$19/HSTECH!$B$3,""))</f>
        <v/>
      </c>
      <c r="CJ128" s="161">
        <f>IF(V128="","",IFERROR(V128*HSTECH!$B$19*HSTECH!$G$19/HSTECH!$B$3,""))</f>
        <v/>
      </c>
      <c r="CK128" s="161">
        <f>IF(W128="","",IFERROR(W128*HSTECH!$B$19*HSTECH!$G$19/HSTECH!$B$3,""))</f>
        <v/>
      </c>
      <c r="CL128" s="161">
        <f>IF(X128="","",IFERROR(X128*HSTECH!$B$19*HSTECH!$G$19/HSTECH!$B$3,""))</f>
        <v/>
      </c>
      <c r="CM128" s="161">
        <f>IF(Y128="","",IFERROR(Y128*HSTECH!$B$19*HSTECH!$G$19/HSTECH!$B$3,""))</f>
        <v/>
      </c>
      <c r="CN128" s="161">
        <f>IF(Z128="","",IFERROR(Z128*HSTECH!$B$19*HSTECH!$G$19/HSTECH!$B$3,""))</f>
        <v/>
      </c>
      <c r="CO128" s="161">
        <f>IF(AA128="","",IFERROR(AA128*HSTECH!$B$19*HSTECH!$G$19/HSTECH!$B$3,""))</f>
        <v/>
      </c>
      <c r="CP128" s="161">
        <f>IF(AB128="","",IFERROR(AB128*HSTECH!$B$19*HSTECH!$G$19/HSTECH!$B$3,""))</f>
        <v/>
      </c>
      <c r="CQ128" s="161">
        <f>IF(AC128="","",IFERROR(AC128*HSTECH!$B$19*HSTECH!$G$19/HSTECH!$B$3,""))</f>
        <v/>
      </c>
      <c r="CR128" s="161">
        <f>IF(AD128="","",IFERROR(AD128*HSTECH!$B$19*HSTECH!$G$19/HSTECH!$B$3,""))</f>
        <v/>
      </c>
      <c r="CS128" s="161">
        <f>IF(AE128="","",IFERROR(AE128*HSTECH!$B$19*HSTECH!$G$19/HSTECH!$B$3,""))</f>
        <v/>
      </c>
      <c r="CT128" s="161">
        <f>IF(AF128="","",IFERROR(AF128*HSTECH!$B$19*HSTECH!$G$19/HSTECH!$B$3,""))</f>
        <v/>
      </c>
      <c r="CU128" s="161">
        <f>IF(AG128="","",IFERROR(AG128*HSTECH!$B$19*HSTECH!$G$19/HSTECH!$B$3,""))</f>
        <v/>
      </c>
      <c r="CV128" s="161">
        <f>IF(AH128="","",IFERROR(AH128*HSTECH!$B$19*HSTECH!$G$19/HSTECH!$B$3,""))</f>
        <v/>
      </c>
      <c r="CW128" s="161">
        <f>IF(AI128="","",IFERROR(AI128*HSTECH!$B$19*HSTECH!$G$19/HSTECH!$B$3,""))</f>
        <v/>
      </c>
      <c r="CX128" s="161">
        <f>IF(AJ128="","",IFERROR(AJ128*HSTECH!$B$19*HSTECH!$G$19/HSTECH!$B$3,""))</f>
        <v/>
      </c>
      <c r="CY128" s="161">
        <f>IF(AK128="","",IFERROR(AK128*HSTECH!$B$19*HSTECH!$G$19/HSTECH!$B$3,""))</f>
        <v/>
      </c>
      <c r="CZ128" s="161">
        <f>IF(AL128="","",IFERROR(AL128*HSTECH!$B$19*HSTECH!$G$19/HSTECH!$B$3,""))</f>
        <v/>
      </c>
      <c r="DA128" s="161">
        <f>IF(AM128="","",IFERROR(AM128*HSTECH!$B$19*HSTECH!$G$19/HSTECH!$B$3,""))</f>
        <v/>
      </c>
      <c r="DB128" s="161">
        <f>IF(AN128="","",IFERROR(AN128*HSTECH!$B$19*HSTECH!$G$19/HSTECH!$B$3,""))</f>
        <v/>
      </c>
      <c r="DC128" s="161">
        <f>IF(AO128="","",IFERROR(AO128*HSTECH!$B$19*HSTECH!$G$19/HSTECH!$B$3,""))</f>
        <v/>
      </c>
      <c r="DD128" s="161">
        <f>IF(AP128="","",IFERROR(AP128*HSTECH!$B$19*HSTECH!$G$19/HSTECH!$B$3,""))</f>
        <v/>
      </c>
      <c r="DE128" s="161">
        <f>IF(AQ128="","",IFERROR(AQ128*HSTECH!$B$19*HSTECH!$G$19/HSTECH!$B$3,""))</f>
        <v/>
      </c>
      <c r="DF128" s="161">
        <f>IF(AR128="","",IFERROR(AR128*HSTECH!$B$19*HSTECH!$G$19/HSTECH!$B$3,""))</f>
        <v/>
      </c>
      <c r="DG128" s="161">
        <f>IF(AS128="","",IFERROR(AS128*HSTECH!$B$19*HSTECH!$G$19/HSTECH!$B$3,""))</f>
        <v/>
      </c>
      <c r="DH128" s="161">
        <f>IF(AT128="","",IFERROR(AT128*HSTECH!$B$19*HSTECH!$G$19/HSTECH!$B$3,""))</f>
        <v/>
      </c>
      <c r="DI128" s="161">
        <f>IF(AU128="","",IFERROR(AU128*HSTECH!$B$19*HSTECH!$G$19/HSTECH!$B$3,""))</f>
        <v/>
      </c>
      <c r="DJ128" s="161">
        <f>IF(AV128="","",IFERROR(AV128*HSTECH!$B$19*HSTECH!$G$19/HSTECH!$B$3,""))</f>
        <v/>
      </c>
      <c r="DK128" s="161">
        <f>IF(AW128="","",IFERROR(AW128*HSTECH!$B$19*HSTECH!$G$19/HSTECH!$B$3,""))</f>
        <v/>
      </c>
      <c r="DL128" s="161">
        <f>IF(AX128="","",IFERROR(AX128*HSTECH!$B$19*HSTECH!$G$19/HSTECH!$B$3,""))</f>
        <v/>
      </c>
      <c r="DM128" s="161">
        <f>IF(AY128="","",IFERROR(AY128*HSTECH!$B$19*HSTECH!$G$19/HSTECH!$B$3,""))</f>
        <v/>
      </c>
      <c r="DN128" s="161">
        <f>IF(AZ128="","",IFERROR(AZ128*HSTECH!$B$19*HSTECH!$G$19/HSTECH!$B$3,""))</f>
        <v/>
      </c>
      <c r="DO128" s="161">
        <f>IF(BA128="","",IFERROR(BA128*HSTECH!$B$19*HSTECH!$G$19/HSTECH!$B$3,""))</f>
        <v/>
      </c>
      <c r="DP128" s="161">
        <f>IF(BB128="","",IFERROR(BB128*HSTECH!$B$19*HSTECH!$G$19/HSTECH!$B$3,""))</f>
        <v/>
      </c>
      <c r="DQ128" s="161">
        <f>IF(BC128="","",IFERROR(BC128*HSTECH!$B$19*HSTECH!$G$19/HSTECH!$B$3,""))</f>
        <v/>
      </c>
      <c r="DR128" s="161">
        <f>IF(BD128="","",IFERROR(BD128*HSTECH!$B$19*HSTECH!$G$19/HSTECH!$B$3,""))</f>
        <v/>
      </c>
      <c r="DS128" s="161">
        <f>IF(BE128="","",IFERROR(BE128*HSTECH!$B$19*HSTECH!$G$19/HSTECH!$B$3,""))</f>
        <v/>
      </c>
      <c r="DT128" s="161">
        <f>IF(BF128="","",IFERROR(BF128*HSTECH!$B$19*HSTECH!$G$19/HSTECH!$B$3,""))</f>
        <v/>
      </c>
      <c r="DU128" s="161">
        <f>IF(BG128="","",IFERROR(BG128*HSTECH!$B$19*HSTECH!$G$19/HSTECH!$B$3,""))</f>
        <v/>
      </c>
      <c r="DV128" s="161">
        <f>IF(BH128="","",IFERROR(BH128*HSTECH!$B$19*HSTECH!$G$19/HSTECH!$B$3,""))</f>
        <v/>
      </c>
      <c r="DW128" s="161">
        <f>IF(BI128="","",IFERROR(BI128*HSTECH!$B$19*HSTECH!$G$19/HSTECH!$B$3,""))</f>
        <v/>
      </c>
      <c r="DX128" s="161">
        <f>IF(BJ128="","",IFERROR(BJ128*HSTECH!$B$19*HSTECH!$G$19/HSTECH!$B$3,""))</f>
        <v/>
      </c>
      <c r="DY128" s="161">
        <f>IF(BK128="","",IFERROR(BK128*HSTECH!$B$19*HSTECH!$G$19/HSTECH!$B$3,""))</f>
        <v/>
      </c>
      <c r="DZ128" s="161">
        <f>IF(BL128="","",IFERROR(BL128*HSTECH!$B$19*HSTECH!$G$19/HSTECH!$B$3,""))</f>
        <v/>
      </c>
      <c r="EA128" s="161">
        <f>IF(BM128="","",IFERROR(BM128*HSTECH!$B$19*HSTECH!$G$19/HSTECH!$B$3,""))</f>
        <v/>
      </c>
      <c r="EB128" s="161">
        <f>IF(BN128="","",IFERROR(BN128*HSTECH!$B$19*HSTECH!$G$19/HSTECH!$B$3,""))</f>
        <v/>
      </c>
      <c r="EC128" s="161">
        <f>IF(BO128="","",IFERROR(BO128*HSTECH!$B$19*HSTECH!$G$19/HSTECH!$B$3,""))</f>
        <v/>
      </c>
      <c r="EE128" s="121">
        <f>IF(N('Dvd Calendar'!$E$1248)=0,"",IF(('Dvd Calendar'!$E$1248&gt;=GRID_FROM)*('Dvd Calendar'!$E$1248&lt;=GRID_TO)*((('Dvd Calendar'!$E$1248&lt;=VAL_DATE)+(COUNTIF('Dvd Calendar'!$E$1255:$AR$1255,'Dvd Calendar'!$E$1248)=0))&gt;0)=0,"",'Dvd Calendar'!$E$1248*1000000000+ISNUMBER('Dvd Calendar'!$E$1251)*100000000+('Dvd Calendar'!$E$1253=SPECIAL_LBL)*10000000+(N('Dvd Calendar'!$E$1247)&gt;0)*(N('Dvd Calendar'!$E$1247)&lt;=VAL_SERIAL)*1000000+13*1000+1))</f>
        <v/>
      </c>
      <c r="EF128" s="121">
        <f>IF(N('Dvd Calendar'!$F$1248)=0,"",IF(('Dvd Calendar'!$F$1248&gt;=GRID_FROM)*('Dvd Calendar'!$F$1248&lt;=GRID_TO)*((('Dvd Calendar'!$F$1248&lt;=VAL_DATE)+(COUNTIF('Dvd Calendar'!$E$1255:$AR$1255,'Dvd Calendar'!$F$1248)=0))&gt;0)=0,"",'Dvd Calendar'!$F$1248*1000000000+ISNUMBER('Dvd Calendar'!$F$1251)*100000000+('Dvd Calendar'!$F$1253=SPECIAL_LBL)*10000000+(N('Dvd Calendar'!$F$1247)&gt;0)*(N('Dvd Calendar'!$F$1247)&lt;=VAL_SERIAL)*1000000+13*1000+2))</f>
        <v/>
      </c>
      <c r="EG128" s="121">
        <f>IF(N('Dvd Calendar'!$G$1248)=0,"",IF(('Dvd Calendar'!$G$1248&gt;=GRID_FROM)*('Dvd Calendar'!$G$1248&lt;=GRID_TO)*((('Dvd Calendar'!$G$1248&lt;=VAL_DATE)+(COUNTIF('Dvd Calendar'!$E$1255:$AR$1255,'Dvd Calendar'!$G$1248)=0))&gt;0)=0,"",'Dvd Calendar'!$G$1248*1000000000+ISNUMBER('Dvd Calendar'!$G$1251)*100000000+('Dvd Calendar'!$G$1253=SPECIAL_LBL)*10000000+(N('Dvd Calendar'!$G$1247)&gt;0)*(N('Dvd Calendar'!$G$1247)&lt;=VAL_SERIAL)*1000000+13*1000+3))</f>
        <v/>
      </c>
      <c r="EH128" s="121">
        <f>IF(N('Dvd Calendar'!$H$1248)=0,"",IF(('Dvd Calendar'!$H$1248&gt;=GRID_FROM)*('Dvd Calendar'!$H$1248&lt;=GRID_TO)*((('Dvd Calendar'!$H$1248&lt;=VAL_DATE)+(COUNTIF('Dvd Calendar'!$E$1255:$AR$1255,'Dvd Calendar'!$H$1248)=0))&gt;0)=0,"",'Dvd Calendar'!$H$1248*1000000000+ISNUMBER('Dvd Calendar'!$H$1251)*100000000+('Dvd Calendar'!$H$1253=SPECIAL_LBL)*10000000+(N('Dvd Calendar'!$H$1247)&gt;0)*(N('Dvd Calendar'!$H$1247)&lt;=VAL_SERIAL)*1000000+13*1000+4))</f>
        <v/>
      </c>
      <c r="EI128" s="121">
        <f>IF(N('Dvd Calendar'!$I$1248)=0,"",IF(('Dvd Calendar'!$I$1248&gt;=GRID_FROM)*('Dvd Calendar'!$I$1248&lt;=GRID_TO)*((('Dvd Calendar'!$I$1248&lt;=VAL_DATE)+(COUNTIF('Dvd Calendar'!$E$1255:$AR$1255,'Dvd Calendar'!$I$1248)=0))&gt;0)=0,"",'Dvd Calendar'!$I$1248*1000000000+ISNUMBER('Dvd Calendar'!$I$1251)*100000000+('Dvd Calendar'!$I$1253=SPECIAL_LBL)*10000000+(N('Dvd Calendar'!$I$1247)&gt;0)*(N('Dvd Calendar'!$I$1247)&lt;=VAL_SERIAL)*1000000+13*1000+5))</f>
        <v/>
      </c>
      <c r="EJ128" s="121">
        <f>IF(N('Dvd Calendar'!$J$1248)=0,"",IF(('Dvd Calendar'!$J$1248&gt;=GRID_FROM)*('Dvd Calendar'!$J$1248&lt;=GRID_TO)*((('Dvd Calendar'!$J$1248&lt;=VAL_DATE)+(COUNTIF('Dvd Calendar'!$E$1255:$AR$1255,'Dvd Calendar'!$J$1248)=0))&gt;0)=0,"",'Dvd Calendar'!$J$1248*1000000000+ISNUMBER('Dvd Calendar'!$J$1251)*100000000+('Dvd Calendar'!$J$1253=SPECIAL_LBL)*10000000+(N('Dvd Calendar'!$J$1247)&gt;0)*(N('Dvd Calendar'!$J$1247)&lt;=VAL_SERIAL)*1000000+13*1000+6))</f>
        <v/>
      </c>
      <c r="EK128" s="121">
        <f>IF(N('Dvd Calendar'!$K$1248)=0,"",IF(('Dvd Calendar'!$K$1248&gt;=GRID_FROM)*('Dvd Calendar'!$K$1248&lt;=GRID_TO)*((('Dvd Calendar'!$K$1248&lt;=VAL_DATE)+(COUNTIF('Dvd Calendar'!$E$1255:$AR$1255,'Dvd Calendar'!$K$1248)=0))&gt;0)=0,"",'Dvd Calendar'!$K$1248*1000000000+ISNUMBER('Dvd Calendar'!$K$1251)*100000000+('Dvd Calendar'!$K$1253=SPECIAL_LBL)*10000000+(N('Dvd Calendar'!$K$1247)&gt;0)*(N('Dvd Calendar'!$K$1247)&lt;=VAL_SERIAL)*1000000+13*1000+7))</f>
        <v/>
      </c>
      <c r="EL128" s="121">
        <f>IF(N('Dvd Calendar'!$L$1248)=0,"",IF(('Dvd Calendar'!$L$1248&gt;=GRID_FROM)*('Dvd Calendar'!$L$1248&lt;=GRID_TO)*((('Dvd Calendar'!$L$1248&lt;=VAL_DATE)+(COUNTIF('Dvd Calendar'!$E$1255:$AR$1255,'Dvd Calendar'!$L$1248)=0))&gt;0)=0,"",'Dvd Calendar'!$L$1248*1000000000+ISNUMBER('Dvd Calendar'!$L$1251)*100000000+('Dvd Calendar'!$L$1253=SPECIAL_LBL)*10000000+(N('Dvd Calendar'!$L$1247)&gt;0)*(N('Dvd Calendar'!$L$1247)&lt;=VAL_SERIAL)*1000000+13*1000+8))</f>
        <v/>
      </c>
      <c r="EM128" s="121">
        <f>IF(N('Dvd Calendar'!$M$1248)=0,"",IF(('Dvd Calendar'!$M$1248&gt;=GRID_FROM)*('Dvd Calendar'!$M$1248&lt;=GRID_TO)*((('Dvd Calendar'!$M$1248&lt;=VAL_DATE)+(COUNTIF('Dvd Calendar'!$E$1255:$AR$1255,'Dvd Calendar'!$M$1248)=0))&gt;0)=0,"",'Dvd Calendar'!$M$1248*1000000000+ISNUMBER('Dvd Calendar'!$M$1251)*100000000+('Dvd Calendar'!$M$1253=SPECIAL_LBL)*10000000+(N('Dvd Calendar'!$M$1247)&gt;0)*(N('Dvd Calendar'!$M$1247)&lt;=VAL_SERIAL)*1000000+13*1000+9))</f>
        <v/>
      </c>
      <c r="EN128" s="121">
        <f>IF(N('Dvd Calendar'!$N$1248)=0,"",IF(('Dvd Calendar'!$N$1248&gt;=GRID_FROM)*('Dvd Calendar'!$N$1248&lt;=GRID_TO)*((('Dvd Calendar'!$N$1248&lt;=VAL_DATE)+(COUNTIF('Dvd Calendar'!$E$1255:$AR$1255,'Dvd Calendar'!$N$1248)=0))&gt;0)=0,"",'Dvd Calendar'!$N$1248*1000000000+ISNUMBER('Dvd Calendar'!$N$1251)*100000000+('Dvd Calendar'!$N$1253=SPECIAL_LBL)*10000000+(N('Dvd Calendar'!$N$1247)&gt;0)*(N('Dvd Calendar'!$N$1247)&lt;=VAL_SERIAL)*1000000+13*1000+10))</f>
        <v/>
      </c>
      <c r="EO128" s="121">
        <f>IF(N('Dvd Calendar'!$O$1248)=0,"",IF(('Dvd Calendar'!$O$1248&gt;=GRID_FROM)*('Dvd Calendar'!$O$1248&lt;=GRID_TO)*((('Dvd Calendar'!$O$1248&lt;=VAL_DATE)+(COUNTIF('Dvd Calendar'!$E$1255:$AR$1255,'Dvd Calendar'!$O$1248)=0))&gt;0)=0,"",'Dvd Calendar'!$O$1248*1000000000+ISNUMBER('Dvd Calendar'!$O$1251)*100000000+('Dvd Calendar'!$O$1253=SPECIAL_LBL)*10000000+(N('Dvd Calendar'!$O$1247)&gt;0)*(N('Dvd Calendar'!$O$1247)&lt;=VAL_SERIAL)*1000000+13*1000+11))</f>
        <v/>
      </c>
      <c r="EP128" s="121">
        <f>IF(N('Dvd Calendar'!$P$1248)=0,"",IF(('Dvd Calendar'!$P$1248&gt;=GRID_FROM)*('Dvd Calendar'!$P$1248&lt;=GRID_TO)*((('Dvd Calendar'!$P$1248&lt;=VAL_DATE)+(COUNTIF('Dvd Calendar'!$E$1255:$AR$1255,'Dvd Calendar'!$P$1248)=0))&gt;0)=0,"",'Dvd Calendar'!$P$1248*1000000000+ISNUMBER('Dvd Calendar'!$P$1251)*100000000+('Dvd Calendar'!$P$1253=SPECIAL_LBL)*10000000+(N('Dvd Calendar'!$P$1247)&gt;0)*(N('Dvd Calendar'!$P$1247)&lt;=VAL_SERIAL)*1000000+13*1000+12))</f>
        <v/>
      </c>
      <c r="EQ128" s="121">
        <f>IF(N('Dvd Calendar'!$Q$1248)=0,"",IF(('Dvd Calendar'!$Q$1248&gt;=GRID_FROM)*('Dvd Calendar'!$Q$1248&lt;=GRID_TO)*((('Dvd Calendar'!$Q$1248&lt;=VAL_DATE)+(COUNTIF('Dvd Calendar'!$E$1255:$AR$1255,'Dvd Calendar'!$Q$1248)=0))&gt;0)=0,"",'Dvd Calendar'!$Q$1248*1000000000+ISNUMBER('Dvd Calendar'!$Q$1251)*100000000+('Dvd Calendar'!$Q$1253=SPECIAL_LBL)*10000000+(N('Dvd Calendar'!$Q$1247)&gt;0)*(N('Dvd Calendar'!$Q$1247)&lt;=VAL_SERIAL)*1000000+13*1000+13))</f>
        <v/>
      </c>
      <c r="ER128" s="121">
        <f>IF(N('Dvd Calendar'!$R$1248)=0,"",IF(('Dvd Calendar'!$R$1248&gt;=GRID_FROM)*('Dvd Calendar'!$R$1248&lt;=GRID_TO)*((('Dvd Calendar'!$R$1248&lt;=VAL_DATE)+(COUNTIF('Dvd Calendar'!$E$1255:$AR$1255,'Dvd Calendar'!$R$1248)=0))&gt;0)=0,"",'Dvd Calendar'!$R$1248*1000000000+ISNUMBER('Dvd Calendar'!$R$1251)*100000000+('Dvd Calendar'!$R$1253=SPECIAL_LBL)*10000000+(N('Dvd Calendar'!$R$1247)&gt;0)*(N('Dvd Calendar'!$R$1247)&lt;=VAL_SERIAL)*1000000+13*1000+14))</f>
        <v/>
      </c>
      <c r="ES128" s="121">
        <f>IF(N('Dvd Calendar'!$S$1248)=0,"",IF(('Dvd Calendar'!$S$1248&gt;=GRID_FROM)*('Dvd Calendar'!$S$1248&lt;=GRID_TO)*((('Dvd Calendar'!$S$1248&lt;=VAL_DATE)+(COUNTIF('Dvd Calendar'!$E$1255:$AR$1255,'Dvd Calendar'!$S$1248)=0))&gt;0)=0,"",'Dvd Calendar'!$S$1248*1000000000+ISNUMBER('Dvd Calendar'!$S$1251)*100000000+('Dvd Calendar'!$S$1253=SPECIAL_LBL)*10000000+(N('Dvd Calendar'!$S$1247)&gt;0)*(N('Dvd Calendar'!$S$1247)&lt;=VAL_SERIAL)*1000000+13*1000+15))</f>
        <v/>
      </c>
      <c r="ET128" s="121">
        <f>IF(N('Dvd Calendar'!$T$1248)=0,"",IF(('Dvd Calendar'!$T$1248&gt;=GRID_FROM)*('Dvd Calendar'!$T$1248&lt;=GRID_TO)*((('Dvd Calendar'!$T$1248&lt;=VAL_DATE)+(COUNTIF('Dvd Calendar'!$E$1255:$AR$1255,'Dvd Calendar'!$T$1248)=0))&gt;0)=0,"",'Dvd Calendar'!$T$1248*1000000000+ISNUMBER('Dvd Calendar'!$T$1251)*100000000+('Dvd Calendar'!$T$1253=SPECIAL_LBL)*10000000+(N('Dvd Calendar'!$T$1247)&gt;0)*(N('Dvd Calendar'!$T$1247)&lt;=VAL_SERIAL)*1000000+13*1000+16))</f>
        <v/>
      </c>
      <c r="EU128" s="121">
        <f>IF(N('Dvd Calendar'!$U$1248)=0,"",IF(('Dvd Calendar'!$U$1248&gt;=GRID_FROM)*('Dvd Calendar'!$U$1248&lt;=GRID_TO)*((('Dvd Calendar'!$U$1248&lt;=VAL_DATE)+(COUNTIF('Dvd Calendar'!$E$1255:$AR$1255,'Dvd Calendar'!$U$1248)=0))&gt;0)=0,"",'Dvd Calendar'!$U$1248*1000000000+ISNUMBER('Dvd Calendar'!$U$1251)*100000000+('Dvd Calendar'!$U$1253=SPECIAL_LBL)*10000000+(N('Dvd Calendar'!$U$1247)&gt;0)*(N('Dvd Calendar'!$U$1247)&lt;=VAL_SERIAL)*1000000+13*1000+17))</f>
        <v/>
      </c>
      <c r="EV128" s="121">
        <f>IF(N('Dvd Calendar'!$V$1248)=0,"",IF(('Dvd Calendar'!$V$1248&gt;=GRID_FROM)*('Dvd Calendar'!$V$1248&lt;=GRID_TO)*((('Dvd Calendar'!$V$1248&lt;=VAL_DATE)+(COUNTIF('Dvd Calendar'!$E$1255:$AR$1255,'Dvd Calendar'!$V$1248)=0))&gt;0)=0,"",'Dvd Calendar'!$V$1248*1000000000+ISNUMBER('Dvd Calendar'!$V$1251)*100000000+('Dvd Calendar'!$V$1253=SPECIAL_LBL)*10000000+(N('Dvd Calendar'!$V$1247)&gt;0)*(N('Dvd Calendar'!$V$1247)&lt;=VAL_SERIAL)*1000000+13*1000+18))</f>
        <v/>
      </c>
      <c r="EW128" s="121">
        <f>IF(N('Dvd Calendar'!$W$1248)=0,"",IF(('Dvd Calendar'!$W$1248&gt;=GRID_FROM)*('Dvd Calendar'!$W$1248&lt;=GRID_TO)*((('Dvd Calendar'!$W$1248&lt;=VAL_DATE)+(COUNTIF('Dvd Calendar'!$E$1255:$AR$1255,'Dvd Calendar'!$W$1248)=0))&gt;0)=0,"",'Dvd Calendar'!$W$1248*1000000000+ISNUMBER('Dvd Calendar'!$W$1251)*100000000+('Dvd Calendar'!$W$1253=SPECIAL_LBL)*10000000+(N('Dvd Calendar'!$W$1247)&gt;0)*(N('Dvd Calendar'!$W$1247)&lt;=VAL_SERIAL)*1000000+13*1000+19))</f>
        <v/>
      </c>
      <c r="EX128" s="121">
        <f>IF(N('Dvd Calendar'!$X$1248)=0,"",IF(('Dvd Calendar'!$X$1248&gt;=GRID_FROM)*('Dvd Calendar'!$X$1248&lt;=GRID_TO)*((('Dvd Calendar'!$X$1248&lt;=VAL_DATE)+(COUNTIF('Dvd Calendar'!$E$1255:$AR$1255,'Dvd Calendar'!$X$1248)=0))&gt;0)=0,"",'Dvd Calendar'!$X$1248*1000000000+ISNUMBER('Dvd Calendar'!$X$1251)*100000000+('Dvd Calendar'!$X$1253=SPECIAL_LBL)*10000000+(N('Dvd Calendar'!$X$1247)&gt;0)*(N('Dvd Calendar'!$X$1247)&lt;=VAL_SERIAL)*1000000+13*1000+20))</f>
        <v/>
      </c>
      <c r="EY128" s="121">
        <f>IF(N('Dvd Calendar'!$Y$1248)=0,"",IF(('Dvd Calendar'!$Y$1248&gt;=GRID_FROM)*('Dvd Calendar'!$Y$1248&lt;=GRID_TO)*((('Dvd Calendar'!$Y$1248&lt;=VAL_DATE)+(COUNTIF('Dvd Calendar'!$E$1255:$AR$1255,'Dvd Calendar'!$Y$1248)=0))&gt;0)=0,"",'Dvd Calendar'!$Y$1248*1000000000+ISNUMBER('Dvd Calendar'!$Y$1251)*100000000+('Dvd Calendar'!$Y$1253=SPECIAL_LBL)*10000000+(N('Dvd Calendar'!$Y$1247)&gt;0)*(N('Dvd Calendar'!$Y$1247)&lt;=VAL_SERIAL)*1000000+13*1000+21))</f>
        <v/>
      </c>
      <c r="EZ128" s="121">
        <f>IF(N('Dvd Calendar'!$Z$1248)=0,"",IF(('Dvd Calendar'!$Z$1248&gt;=GRID_FROM)*('Dvd Calendar'!$Z$1248&lt;=GRID_TO)*((('Dvd Calendar'!$Z$1248&lt;=VAL_DATE)+(COUNTIF('Dvd Calendar'!$E$1255:$AR$1255,'Dvd Calendar'!$Z$1248)=0))&gt;0)=0,"",'Dvd Calendar'!$Z$1248*1000000000+ISNUMBER('Dvd Calendar'!$Z$1251)*100000000+('Dvd Calendar'!$Z$1253=SPECIAL_LBL)*10000000+(N('Dvd Calendar'!$Z$1247)&gt;0)*(N('Dvd Calendar'!$Z$1247)&lt;=VAL_SERIAL)*1000000+13*1000+22))</f>
        <v/>
      </c>
      <c r="FA128" s="121">
        <f>IF(N('Dvd Calendar'!$AA$1248)=0,"",IF(('Dvd Calendar'!$AA$1248&gt;=GRID_FROM)*('Dvd Calendar'!$AA$1248&lt;=GRID_TO)*((('Dvd Calendar'!$AA$1248&lt;=VAL_DATE)+(COUNTIF('Dvd Calendar'!$E$1255:$AR$1255,'Dvd Calendar'!$AA$1248)=0))&gt;0)=0,"",'Dvd Calendar'!$AA$1248*1000000000+ISNUMBER('Dvd Calendar'!$AA$1251)*100000000+('Dvd Calendar'!$AA$1253=SPECIAL_LBL)*10000000+(N('Dvd Calendar'!$AA$1247)&gt;0)*(N('Dvd Calendar'!$AA$1247)&lt;=VAL_SERIAL)*1000000+13*1000+23))</f>
        <v/>
      </c>
      <c r="FB128" s="121">
        <f>IF(N('Dvd Calendar'!$AB$1248)=0,"",IF(('Dvd Calendar'!$AB$1248&gt;=GRID_FROM)*('Dvd Calendar'!$AB$1248&lt;=GRID_TO)*((('Dvd Calendar'!$AB$1248&lt;=VAL_DATE)+(COUNTIF('Dvd Calendar'!$E$1255:$AR$1255,'Dvd Calendar'!$AB$1248)=0))&gt;0)=0,"",'Dvd Calendar'!$AB$1248*1000000000+ISNUMBER('Dvd Calendar'!$AB$1251)*100000000+('Dvd Calendar'!$AB$1253=SPECIAL_LBL)*10000000+(N('Dvd Calendar'!$AB$1247)&gt;0)*(N('Dvd Calendar'!$AB$1247)&lt;=VAL_SERIAL)*1000000+13*1000+24))</f>
        <v/>
      </c>
      <c r="FC128" s="121">
        <f>IF(N('Dvd Calendar'!$AC$1248)=0,"",IF(('Dvd Calendar'!$AC$1248&gt;=GRID_FROM)*('Dvd Calendar'!$AC$1248&lt;=GRID_TO)*((('Dvd Calendar'!$AC$1248&lt;=VAL_DATE)+(COUNTIF('Dvd Calendar'!$E$1255:$AR$1255,'Dvd Calendar'!$AC$1248)=0))&gt;0)=0,"",'Dvd Calendar'!$AC$1248*1000000000+ISNUMBER('Dvd Calendar'!$AC$1251)*100000000+('Dvd Calendar'!$AC$1253=SPECIAL_LBL)*10000000+(N('Dvd Calendar'!$AC$1247)&gt;0)*(N('Dvd Calendar'!$AC$1247)&lt;=VAL_SERIAL)*1000000+13*1000+25))</f>
        <v/>
      </c>
      <c r="FD128" s="121">
        <f>IF(N('Dvd Calendar'!$AD$1248)=0,"",IF(('Dvd Calendar'!$AD$1248&gt;=GRID_FROM)*('Dvd Calendar'!$AD$1248&lt;=GRID_TO)*((('Dvd Calendar'!$AD$1248&lt;=VAL_DATE)+(COUNTIF('Dvd Calendar'!$E$1255:$AR$1255,'Dvd Calendar'!$AD$1248)=0))&gt;0)=0,"",'Dvd Calendar'!$AD$1248*1000000000+ISNUMBER('Dvd Calendar'!$AD$1251)*100000000+('Dvd Calendar'!$AD$1253=SPECIAL_LBL)*10000000+(N('Dvd Calendar'!$AD$1247)&gt;0)*(N('Dvd Calendar'!$AD$1247)&lt;=VAL_SERIAL)*1000000+13*1000+26))</f>
        <v/>
      </c>
      <c r="FE128" s="121">
        <f>IF(N('Dvd Calendar'!$AE$1248)=0,"",IF(('Dvd Calendar'!$AE$1248&gt;=GRID_FROM)*('Dvd Calendar'!$AE$1248&lt;=GRID_TO)*((('Dvd Calendar'!$AE$1248&lt;=VAL_DATE)+(COUNTIF('Dvd Calendar'!$E$1255:$AR$1255,'Dvd Calendar'!$AE$1248)=0))&gt;0)=0,"",'Dvd Calendar'!$AE$1248*1000000000+ISNUMBER('Dvd Calendar'!$AE$1251)*100000000+('Dvd Calendar'!$AE$1253=SPECIAL_LBL)*10000000+(N('Dvd Calendar'!$AE$1247)&gt;0)*(N('Dvd Calendar'!$AE$1247)&lt;=VAL_SERIAL)*1000000+13*1000+27))</f>
        <v/>
      </c>
      <c r="FF128" s="121">
        <f>IF(N('Dvd Calendar'!$AF$1248)=0,"",IF(('Dvd Calendar'!$AF$1248&gt;=GRID_FROM)*('Dvd Calendar'!$AF$1248&lt;=GRID_TO)*((('Dvd Calendar'!$AF$1248&lt;=VAL_DATE)+(COUNTIF('Dvd Calendar'!$E$1255:$AR$1255,'Dvd Calendar'!$AF$1248)=0))&gt;0)=0,"",'Dvd Calendar'!$AF$1248*1000000000+ISNUMBER('Dvd Calendar'!$AF$1251)*100000000+('Dvd Calendar'!$AF$1253=SPECIAL_LBL)*10000000+(N('Dvd Calendar'!$AF$1247)&gt;0)*(N('Dvd Calendar'!$AF$1247)&lt;=VAL_SERIAL)*1000000+13*1000+28))</f>
        <v/>
      </c>
      <c r="FG128" s="121">
        <f>IF(N('Dvd Calendar'!$AG$1248)=0,"",IF(('Dvd Calendar'!$AG$1248&gt;=GRID_FROM)*('Dvd Calendar'!$AG$1248&lt;=GRID_TO)*((('Dvd Calendar'!$AG$1248&lt;=VAL_DATE)+(COUNTIF('Dvd Calendar'!$E$1255:$AR$1255,'Dvd Calendar'!$AG$1248)=0))&gt;0)=0,"",'Dvd Calendar'!$AG$1248*1000000000+ISNUMBER('Dvd Calendar'!$AG$1251)*100000000+('Dvd Calendar'!$AG$1253=SPECIAL_LBL)*10000000+(N('Dvd Calendar'!$AG$1247)&gt;0)*(N('Dvd Calendar'!$AG$1247)&lt;=VAL_SERIAL)*1000000+13*1000+29))</f>
        <v/>
      </c>
      <c r="FH128" s="121">
        <f>IF(N('Dvd Calendar'!$AH$1248)=0,"",IF(('Dvd Calendar'!$AH$1248&gt;=GRID_FROM)*('Dvd Calendar'!$AH$1248&lt;=GRID_TO)*((('Dvd Calendar'!$AH$1248&lt;=VAL_DATE)+(COUNTIF('Dvd Calendar'!$E$1255:$AR$1255,'Dvd Calendar'!$AH$1248)=0))&gt;0)=0,"",'Dvd Calendar'!$AH$1248*1000000000+ISNUMBER('Dvd Calendar'!$AH$1251)*100000000+('Dvd Calendar'!$AH$1253=SPECIAL_LBL)*10000000+(N('Dvd Calendar'!$AH$1247)&gt;0)*(N('Dvd Calendar'!$AH$1247)&lt;=VAL_SERIAL)*1000000+13*1000+30))</f>
        <v/>
      </c>
      <c r="FI128" s="121">
        <f>IF(N('Dvd Calendar'!$AI$1248)=0,"",IF(('Dvd Calendar'!$AI$1248&gt;=GRID_FROM)*('Dvd Calendar'!$AI$1248&lt;=GRID_TO)*((('Dvd Calendar'!$AI$1248&lt;=VAL_DATE)+(COUNTIF('Dvd Calendar'!$E$1255:$AR$1255,'Dvd Calendar'!$AI$1248)=0))&gt;0)=0,"",'Dvd Calendar'!$AI$1248*1000000000+ISNUMBER('Dvd Calendar'!$AI$1251)*100000000+('Dvd Calendar'!$AI$1253=SPECIAL_LBL)*10000000+(N('Dvd Calendar'!$AI$1247)&gt;0)*(N('Dvd Calendar'!$AI$1247)&lt;=VAL_SERIAL)*1000000+13*1000+31))</f>
        <v/>
      </c>
      <c r="FJ128" s="121">
        <f>IF(N('Dvd Calendar'!$AJ$1248)=0,"",IF(('Dvd Calendar'!$AJ$1248&gt;=GRID_FROM)*('Dvd Calendar'!$AJ$1248&lt;=GRID_TO)*((('Dvd Calendar'!$AJ$1248&lt;=VAL_DATE)+(COUNTIF('Dvd Calendar'!$E$1255:$AR$1255,'Dvd Calendar'!$AJ$1248)=0))&gt;0)=0,"",'Dvd Calendar'!$AJ$1248*1000000000+ISNUMBER('Dvd Calendar'!$AJ$1251)*100000000+('Dvd Calendar'!$AJ$1253=SPECIAL_LBL)*10000000+(N('Dvd Calendar'!$AJ$1247)&gt;0)*(N('Dvd Calendar'!$AJ$1247)&lt;=VAL_SERIAL)*1000000+13*1000+32))</f>
        <v/>
      </c>
      <c r="FK128" s="121">
        <f>IF(N('Dvd Calendar'!$AK$1248)=0,"",IF(('Dvd Calendar'!$AK$1248&gt;=GRID_FROM)*('Dvd Calendar'!$AK$1248&lt;=GRID_TO)*((('Dvd Calendar'!$AK$1248&lt;=VAL_DATE)+(COUNTIF('Dvd Calendar'!$E$1255:$AR$1255,'Dvd Calendar'!$AK$1248)=0))&gt;0)=0,"",'Dvd Calendar'!$AK$1248*1000000000+ISNUMBER('Dvd Calendar'!$AK$1251)*100000000+('Dvd Calendar'!$AK$1253=SPECIAL_LBL)*10000000+(N('Dvd Calendar'!$AK$1247)&gt;0)*(N('Dvd Calendar'!$AK$1247)&lt;=VAL_SERIAL)*1000000+13*1000+33))</f>
        <v/>
      </c>
      <c r="FL128" s="121">
        <f>IF(N('Dvd Calendar'!$AL$1248)=0,"",IF(('Dvd Calendar'!$AL$1248&gt;=GRID_FROM)*('Dvd Calendar'!$AL$1248&lt;=GRID_TO)*((('Dvd Calendar'!$AL$1248&lt;=VAL_DATE)+(COUNTIF('Dvd Calendar'!$E$1255:$AR$1255,'Dvd Calendar'!$AL$1248)=0))&gt;0)=0,"",'Dvd Calendar'!$AL$1248*1000000000+ISNUMBER('Dvd Calendar'!$AL$1251)*100000000+('Dvd Calendar'!$AL$1253=SPECIAL_LBL)*10000000+(N('Dvd Calendar'!$AL$1247)&gt;0)*(N('Dvd Calendar'!$AL$1247)&lt;=VAL_SERIAL)*1000000+13*1000+34))</f>
        <v/>
      </c>
      <c r="FM128" s="121">
        <f>IF(N('Dvd Calendar'!$AM$1248)=0,"",IF(('Dvd Calendar'!$AM$1248&gt;=GRID_FROM)*('Dvd Calendar'!$AM$1248&lt;=GRID_TO)*((('Dvd Calendar'!$AM$1248&lt;=VAL_DATE)+(COUNTIF('Dvd Calendar'!$E$1255:$AR$1255,'Dvd Calendar'!$AM$1248)=0))&gt;0)=0,"",'Dvd Calendar'!$AM$1248*1000000000+ISNUMBER('Dvd Calendar'!$AM$1251)*100000000+('Dvd Calendar'!$AM$1253=SPECIAL_LBL)*10000000+(N('Dvd Calendar'!$AM$1247)&gt;0)*(N('Dvd Calendar'!$AM$1247)&lt;=VAL_SERIAL)*1000000+13*1000+35))</f>
        <v/>
      </c>
      <c r="FN128" s="121">
        <f>IF(N('Dvd Calendar'!$AN$1248)=0,"",IF(('Dvd Calendar'!$AN$1248&gt;=GRID_FROM)*('Dvd Calendar'!$AN$1248&lt;=GRID_TO)*((('Dvd Calendar'!$AN$1248&lt;=VAL_DATE)+(COUNTIF('Dvd Calendar'!$E$1255:$AR$1255,'Dvd Calendar'!$AN$1248)=0))&gt;0)=0,"",'Dvd Calendar'!$AN$1248*1000000000+ISNUMBER('Dvd Calendar'!$AN$1251)*100000000+('Dvd Calendar'!$AN$1253=SPECIAL_LBL)*10000000+(N('Dvd Calendar'!$AN$1247)&gt;0)*(N('Dvd Calendar'!$AN$1247)&lt;=VAL_SERIAL)*1000000+13*1000+36))</f>
        <v/>
      </c>
      <c r="FO128" s="121">
        <f>IF(N('Dvd Calendar'!$AO$1248)=0,"",IF(('Dvd Calendar'!$AO$1248&gt;=GRID_FROM)*('Dvd Calendar'!$AO$1248&lt;=GRID_TO)*((('Dvd Calendar'!$AO$1248&lt;=VAL_DATE)+(COUNTIF('Dvd Calendar'!$E$1255:$AR$1255,'Dvd Calendar'!$AO$1248)=0))&gt;0)=0,"",'Dvd Calendar'!$AO$1248*1000000000+ISNUMBER('Dvd Calendar'!$AO$1251)*100000000+('Dvd Calendar'!$AO$1253=SPECIAL_LBL)*10000000+(N('Dvd Calendar'!$AO$1247)&gt;0)*(N('Dvd Calendar'!$AO$1247)&lt;=VAL_SERIAL)*1000000+13*1000+37))</f>
        <v/>
      </c>
      <c r="FP128" s="121">
        <f>IF(N('Dvd Calendar'!$AP$1248)=0,"",IF(('Dvd Calendar'!$AP$1248&gt;=GRID_FROM)*('Dvd Calendar'!$AP$1248&lt;=GRID_TO)*((('Dvd Calendar'!$AP$1248&lt;=VAL_DATE)+(COUNTIF('Dvd Calendar'!$E$1255:$AR$1255,'Dvd Calendar'!$AP$1248)=0))&gt;0)=0,"",'Dvd Calendar'!$AP$1248*1000000000+ISNUMBER('Dvd Calendar'!$AP$1251)*100000000+('Dvd Calendar'!$AP$1253=SPECIAL_LBL)*10000000+(N('Dvd Calendar'!$AP$1247)&gt;0)*(N('Dvd Calendar'!$AP$1247)&lt;=VAL_SERIAL)*1000000+13*1000+38))</f>
        <v/>
      </c>
      <c r="FQ128" s="121">
        <f>IF(N('Dvd Calendar'!$AQ$1248)=0,"",IF(('Dvd Calendar'!$AQ$1248&gt;=GRID_FROM)*('Dvd Calendar'!$AQ$1248&lt;=GRID_TO)*((('Dvd Calendar'!$AQ$1248&lt;=VAL_DATE)+(COUNTIF('Dvd Calendar'!$E$1255:$AR$1255,'Dvd Calendar'!$AQ$1248)=0))&gt;0)=0,"",'Dvd Calendar'!$AQ$1248*1000000000+ISNUMBER('Dvd Calendar'!$AQ$1251)*100000000+('Dvd Calendar'!$AQ$1253=SPECIAL_LBL)*10000000+(N('Dvd Calendar'!$AQ$1247)&gt;0)*(N('Dvd Calendar'!$AQ$1247)&lt;=VAL_SERIAL)*1000000+13*1000+39))</f>
        <v/>
      </c>
      <c r="FR128" s="121">
        <f>IF(N('Dvd Calendar'!$AR$1248)=0,"",IF(('Dvd Calendar'!$AR$1248&gt;=GRID_FROM)*('Dvd Calendar'!$AR$1248&lt;=GRID_TO)*((('Dvd Calendar'!$AR$1248&lt;=VAL_DATE)+(COUNTIF('Dvd Calendar'!$E$1255:$AR$1255,'Dvd Calendar'!$AR$1248)=0))&gt;0)=0,"",'Dvd Calendar'!$AR$1248*1000000000+ISNUMBER('Dvd Calendar'!$AR$1251)*100000000+('Dvd Calendar'!$AR$1253=SPECIAL_LBL)*10000000+(N('Dvd Calendar'!$AR$1247)&gt;0)*(N('Dvd Calendar'!$AR$1247)&lt;=VAL_SERIAL)*1000000+13*1000+40))</f>
        <v/>
      </c>
      <c r="FS128" s="121">
        <f>IF(N('Dvd Calendar'!$E$1255)=0,"",IF(('Dvd Calendar'!$E$1255&gt;=GRID_FROM)*('Dvd Calendar'!$E$1255&lt;=GRID_TO)*('Dvd Calendar'!$E$1255&gt;VAL_DATE)=0,"",'Dvd Calendar'!$E$1255*1000000000+ISNUMBER('Dvd Calendar'!$E$1256)*100000000+0*10000000+(N('Dvd Calendar'!$E$1254)&gt;0)*(N('Dvd Calendar'!$E$1254)&lt;=VAL_SERIAL)*1000000+13*1000+41))</f>
        <v/>
      </c>
      <c r="FT128" s="121">
        <f>IF(N('Dvd Calendar'!$F$1255)=0,"",IF(('Dvd Calendar'!$F$1255&gt;=GRID_FROM)*('Dvd Calendar'!$F$1255&lt;=GRID_TO)*('Dvd Calendar'!$F$1255&gt;VAL_DATE)=0,"",'Dvd Calendar'!$F$1255*1000000000+ISNUMBER('Dvd Calendar'!$F$1256)*100000000+0*10000000+(N('Dvd Calendar'!$F$1254)&gt;0)*(N('Dvd Calendar'!$F$1254)&lt;=VAL_SERIAL)*1000000+13*1000+42))</f>
        <v/>
      </c>
      <c r="FU128" s="121">
        <f>IF(N('Dvd Calendar'!$G$1255)=0,"",IF(('Dvd Calendar'!$G$1255&gt;=GRID_FROM)*('Dvd Calendar'!$G$1255&lt;=GRID_TO)*('Dvd Calendar'!$G$1255&gt;VAL_DATE)=0,"",'Dvd Calendar'!$G$1255*1000000000+ISNUMBER('Dvd Calendar'!$G$1256)*100000000+0*10000000+(N('Dvd Calendar'!$G$1254)&gt;0)*(N('Dvd Calendar'!$G$1254)&lt;=VAL_SERIAL)*1000000+13*1000+43))</f>
        <v/>
      </c>
      <c r="FV128" s="121">
        <f>IF(N('Dvd Calendar'!$H$1255)=0,"",IF(('Dvd Calendar'!$H$1255&gt;=GRID_FROM)*('Dvd Calendar'!$H$1255&lt;=GRID_TO)*('Dvd Calendar'!$H$1255&gt;VAL_DATE)=0,"",'Dvd Calendar'!$H$1255*1000000000+ISNUMBER('Dvd Calendar'!$H$1256)*100000000+0*10000000+(N('Dvd Calendar'!$H$1254)&gt;0)*(N('Dvd Calendar'!$H$1254)&lt;=VAL_SERIAL)*1000000+13*1000+44))</f>
        <v/>
      </c>
      <c r="FW128" s="121">
        <f>IF(N('Dvd Calendar'!$I$1255)=0,"",IF(('Dvd Calendar'!$I$1255&gt;=GRID_FROM)*('Dvd Calendar'!$I$1255&lt;=GRID_TO)*('Dvd Calendar'!$I$1255&gt;VAL_DATE)=0,"",'Dvd Calendar'!$I$1255*1000000000+ISNUMBER('Dvd Calendar'!$I$1256)*100000000+0*10000000+(N('Dvd Calendar'!$I$1254)&gt;0)*(N('Dvd Calendar'!$I$1254)&lt;=VAL_SERIAL)*1000000+13*1000+45))</f>
        <v/>
      </c>
      <c r="FX128" s="121">
        <f>IF(N('Dvd Calendar'!$J$1255)=0,"",IF(('Dvd Calendar'!$J$1255&gt;=GRID_FROM)*('Dvd Calendar'!$J$1255&lt;=GRID_TO)*('Dvd Calendar'!$J$1255&gt;VAL_DATE)=0,"",'Dvd Calendar'!$J$1255*1000000000+ISNUMBER('Dvd Calendar'!$J$1256)*100000000+0*10000000+(N('Dvd Calendar'!$J$1254)&gt;0)*(N('Dvd Calendar'!$J$1254)&lt;=VAL_SERIAL)*1000000+13*1000+46))</f>
        <v/>
      </c>
      <c r="FY128" s="121">
        <f>IF(N('Dvd Calendar'!$K$1255)=0,"",IF(('Dvd Calendar'!$K$1255&gt;=GRID_FROM)*('Dvd Calendar'!$K$1255&lt;=GRID_TO)*('Dvd Calendar'!$K$1255&gt;VAL_DATE)=0,"",'Dvd Calendar'!$K$1255*1000000000+ISNUMBER('Dvd Calendar'!$K$1256)*100000000+0*10000000+(N('Dvd Calendar'!$K$1254)&gt;0)*(N('Dvd Calendar'!$K$1254)&lt;=VAL_SERIAL)*1000000+13*1000+47))</f>
        <v/>
      </c>
      <c r="FZ128" s="121">
        <f>IF(N('Dvd Calendar'!$L$1255)=0,"",IF(('Dvd Calendar'!$L$1255&gt;=GRID_FROM)*('Dvd Calendar'!$L$1255&lt;=GRID_TO)*('Dvd Calendar'!$L$1255&gt;VAL_DATE)=0,"",'Dvd Calendar'!$L$1255*1000000000+ISNUMBER('Dvd Calendar'!$L$1256)*100000000+0*10000000+(N('Dvd Calendar'!$L$1254)&gt;0)*(N('Dvd Calendar'!$L$1254)&lt;=VAL_SERIAL)*1000000+13*1000+48))</f>
        <v/>
      </c>
      <c r="GA128" s="121">
        <f>IF(N('Dvd Calendar'!$M$1255)=0,"",IF(('Dvd Calendar'!$M$1255&gt;=GRID_FROM)*('Dvd Calendar'!$M$1255&lt;=GRID_TO)*('Dvd Calendar'!$M$1255&gt;VAL_DATE)=0,"",'Dvd Calendar'!$M$1255*1000000000+ISNUMBER('Dvd Calendar'!$M$1256)*100000000+0*10000000+(N('Dvd Calendar'!$M$1254)&gt;0)*(N('Dvd Calendar'!$M$1254)&lt;=VAL_SERIAL)*1000000+13*1000+49))</f>
        <v/>
      </c>
      <c r="GB128" s="121">
        <f>IF(N('Dvd Calendar'!$N$1255)=0,"",IF(('Dvd Calendar'!$N$1255&gt;=GRID_FROM)*('Dvd Calendar'!$N$1255&lt;=GRID_TO)*('Dvd Calendar'!$N$1255&gt;VAL_DATE)=0,"",'Dvd Calendar'!$N$1255*1000000000+ISNUMBER('Dvd Calendar'!$N$1256)*100000000+0*10000000+(N('Dvd Calendar'!$N$1254)&gt;0)*(N('Dvd Calendar'!$N$1254)&lt;=VAL_SERIAL)*1000000+13*1000+50))</f>
        <v/>
      </c>
      <c r="GC128" s="121">
        <f>IF(N('Dvd Calendar'!$O$1255)=0,"",IF(('Dvd Calendar'!$O$1255&gt;=GRID_FROM)*('Dvd Calendar'!$O$1255&lt;=GRID_TO)*('Dvd Calendar'!$O$1255&gt;VAL_DATE)=0,"",'Dvd Calendar'!$O$1255*1000000000+ISNUMBER('Dvd Calendar'!$O$1256)*100000000+0*10000000+(N('Dvd Calendar'!$O$1254)&gt;0)*(N('Dvd Calendar'!$O$1254)&lt;=VAL_SERIAL)*1000000+13*1000+51))</f>
        <v/>
      </c>
      <c r="GD128" s="121">
        <f>IF(N('Dvd Calendar'!$P$1255)=0,"",IF(('Dvd Calendar'!$P$1255&gt;=GRID_FROM)*('Dvd Calendar'!$P$1255&lt;=GRID_TO)*('Dvd Calendar'!$P$1255&gt;VAL_DATE)=0,"",'Dvd Calendar'!$P$1255*1000000000+ISNUMBER('Dvd Calendar'!$P$1256)*100000000+0*10000000+(N('Dvd Calendar'!$P$1254)&gt;0)*(N('Dvd Calendar'!$P$1254)&lt;=VAL_SERIAL)*1000000+13*1000+52))</f>
        <v/>
      </c>
      <c r="GE128" s="121">
        <f>IF(N('Dvd Calendar'!$Q$1255)=0,"",IF(('Dvd Calendar'!$Q$1255&gt;=GRID_FROM)*('Dvd Calendar'!$Q$1255&lt;=GRID_TO)*('Dvd Calendar'!$Q$1255&gt;VAL_DATE)=0,"",'Dvd Calendar'!$Q$1255*1000000000+ISNUMBER('Dvd Calendar'!$Q$1256)*100000000+0*10000000+(N('Dvd Calendar'!$Q$1254)&gt;0)*(N('Dvd Calendar'!$Q$1254)&lt;=VAL_SERIAL)*1000000+13*1000+53))</f>
        <v/>
      </c>
      <c r="GF128" s="121">
        <f>IF(N('Dvd Calendar'!$R$1255)=0,"",IF(('Dvd Calendar'!$R$1255&gt;=GRID_FROM)*('Dvd Calendar'!$R$1255&lt;=GRID_TO)*('Dvd Calendar'!$R$1255&gt;VAL_DATE)=0,"",'Dvd Calendar'!$R$1255*1000000000+ISNUMBER('Dvd Calendar'!$R$1256)*100000000+0*10000000+(N('Dvd Calendar'!$R$1254)&gt;0)*(N('Dvd Calendar'!$R$1254)&lt;=VAL_SERIAL)*1000000+13*1000+54))</f>
        <v/>
      </c>
      <c r="GG128" s="121">
        <f>IF(N('Dvd Calendar'!$S$1255)=0,"",IF(('Dvd Calendar'!$S$1255&gt;=GRID_FROM)*('Dvd Calendar'!$S$1255&lt;=GRID_TO)*('Dvd Calendar'!$S$1255&gt;VAL_DATE)=0,"",'Dvd Calendar'!$S$1255*1000000000+ISNUMBER('Dvd Calendar'!$S$1256)*100000000+0*10000000+(N('Dvd Calendar'!$S$1254)&gt;0)*(N('Dvd Calendar'!$S$1254)&lt;=VAL_SERIAL)*1000000+13*1000+55))</f>
        <v/>
      </c>
      <c r="GH128" s="121">
        <f>IF(N('Dvd Calendar'!$T$1255)=0,"",IF(('Dvd Calendar'!$T$1255&gt;=GRID_FROM)*('Dvd Calendar'!$T$1255&lt;=GRID_TO)*('Dvd Calendar'!$T$1255&gt;VAL_DATE)=0,"",'Dvd Calendar'!$T$1255*1000000000+ISNUMBER('Dvd Calendar'!$T$1256)*100000000+0*10000000+(N('Dvd Calendar'!$T$1254)&gt;0)*(N('Dvd Calendar'!$T$1254)&lt;=VAL_SERIAL)*1000000+13*1000+56))</f>
        <v/>
      </c>
      <c r="GI128" s="121">
        <f>IF(N('Dvd Calendar'!$U$1255)=0,"",IF(('Dvd Calendar'!$U$1255&gt;=GRID_FROM)*('Dvd Calendar'!$U$1255&lt;=GRID_TO)*('Dvd Calendar'!$U$1255&gt;VAL_DATE)=0,"",'Dvd Calendar'!$U$1255*1000000000+ISNUMBER('Dvd Calendar'!$U$1256)*100000000+0*10000000+(N('Dvd Calendar'!$U$1254)&gt;0)*(N('Dvd Calendar'!$U$1254)&lt;=VAL_SERIAL)*1000000+13*1000+57))</f>
        <v/>
      </c>
      <c r="GJ128" s="121">
        <f>IF(N('Dvd Calendar'!$V$1255)=0,"",IF(('Dvd Calendar'!$V$1255&gt;=GRID_FROM)*('Dvd Calendar'!$V$1255&lt;=GRID_TO)*('Dvd Calendar'!$V$1255&gt;VAL_DATE)=0,"",'Dvd Calendar'!$V$1255*1000000000+ISNUMBER('Dvd Calendar'!$V$1256)*100000000+0*10000000+(N('Dvd Calendar'!$V$1254)&gt;0)*(N('Dvd Calendar'!$V$1254)&lt;=VAL_SERIAL)*1000000+13*1000+58))</f>
        <v/>
      </c>
      <c r="GK128" s="121">
        <f>IF(N('Dvd Calendar'!$W$1255)=0,"",IF(('Dvd Calendar'!$W$1255&gt;=GRID_FROM)*('Dvd Calendar'!$W$1255&lt;=GRID_TO)*('Dvd Calendar'!$W$1255&gt;VAL_DATE)=0,"",'Dvd Calendar'!$W$1255*1000000000+ISNUMBER('Dvd Calendar'!$W$1256)*100000000+0*10000000+(N('Dvd Calendar'!$W$1254)&gt;0)*(N('Dvd Calendar'!$W$1254)&lt;=VAL_SERIAL)*1000000+13*1000+59))</f>
        <v/>
      </c>
      <c r="GL128" s="121">
        <f>IF(N('Dvd Calendar'!$X$1255)=0,"",IF(('Dvd Calendar'!$X$1255&gt;=GRID_FROM)*('Dvd Calendar'!$X$1255&lt;=GRID_TO)*('Dvd Calendar'!$X$1255&gt;VAL_DATE)=0,"",'Dvd Calendar'!$X$1255*1000000000+ISNUMBER('Dvd Calendar'!$X$1256)*100000000+0*10000000+(N('Dvd Calendar'!$X$1254)&gt;0)*(N('Dvd Calendar'!$X$1254)&lt;=VAL_SERIAL)*1000000+13*1000+60))</f>
        <v/>
      </c>
      <c r="GM128" s="121">
        <f>IF(N('Dvd Calendar'!$Y$1255)=0,"",IF(('Dvd Calendar'!$Y$1255&gt;=GRID_FROM)*('Dvd Calendar'!$Y$1255&lt;=GRID_TO)*('Dvd Calendar'!$Y$1255&gt;VAL_DATE)=0,"",'Dvd Calendar'!$Y$1255*1000000000+ISNUMBER('Dvd Calendar'!$Y$1256)*100000000+0*10000000+(N('Dvd Calendar'!$Y$1254)&gt;0)*(N('Dvd Calendar'!$Y$1254)&lt;=VAL_SERIAL)*1000000+13*1000+61))</f>
        <v/>
      </c>
      <c r="GN128" s="121">
        <f>IF(N('Dvd Calendar'!$Z$1255)=0,"",IF(('Dvd Calendar'!$Z$1255&gt;=GRID_FROM)*('Dvd Calendar'!$Z$1255&lt;=GRID_TO)*('Dvd Calendar'!$Z$1255&gt;VAL_DATE)=0,"",'Dvd Calendar'!$Z$1255*1000000000+ISNUMBER('Dvd Calendar'!$Z$1256)*100000000+0*10000000+(N('Dvd Calendar'!$Z$1254)&gt;0)*(N('Dvd Calendar'!$Z$1254)&lt;=VAL_SERIAL)*1000000+13*1000+62))</f>
        <v/>
      </c>
      <c r="GO128" s="121">
        <f>IF(N('Dvd Calendar'!$AA$1255)=0,"",IF(('Dvd Calendar'!$AA$1255&gt;=GRID_FROM)*('Dvd Calendar'!$AA$1255&lt;=GRID_TO)*('Dvd Calendar'!$AA$1255&gt;VAL_DATE)=0,"",'Dvd Calendar'!$AA$1255*1000000000+ISNUMBER('Dvd Calendar'!$AA$1256)*100000000+0*10000000+(N('Dvd Calendar'!$AA$1254)&gt;0)*(N('Dvd Calendar'!$AA$1254)&lt;=VAL_SERIAL)*1000000+13*1000+63))</f>
        <v/>
      </c>
      <c r="GP128" s="121">
        <f>IF(N('Dvd Calendar'!$AB$1255)=0,"",IF(('Dvd Calendar'!$AB$1255&gt;=GRID_FROM)*('Dvd Calendar'!$AB$1255&lt;=GRID_TO)*('Dvd Calendar'!$AB$1255&gt;VAL_DATE)=0,"",'Dvd Calendar'!$AB$1255*1000000000+ISNUMBER('Dvd Calendar'!$AB$1256)*100000000+0*10000000+(N('Dvd Calendar'!$AB$1254)&gt;0)*(N('Dvd Calendar'!$AB$1254)&lt;=VAL_SERIAL)*1000000+13*1000+64))</f>
        <v/>
      </c>
      <c r="GQ128" s="121">
        <f>IF(N('Dvd Calendar'!$AC$1255)=0,"",IF(('Dvd Calendar'!$AC$1255&gt;=GRID_FROM)*('Dvd Calendar'!$AC$1255&lt;=GRID_TO)*('Dvd Calendar'!$AC$1255&gt;VAL_DATE)=0,"",'Dvd Calendar'!$AC$1255*1000000000+ISNUMBER('Dvd Calendar'!$AC$1256)*100000000+0*10000000+(N('Dvd Calendar'!$AC$1254)&gt;0)*(N('Dvd Calendar'!$AC$1254)&lt;=VAL_SERIAL)*1000000+13*1000+65))</f>
        <v/>
      </c>
    </row>
    <row r="129">
      <c r="B129" s="2">
        <f>IF(HSTECH!$C$20="","",HSTECH!$C$20)</f>
        <v/>
      </c>
      <c r="C129" s="161">
        <f>IF(EE129="","",IF(ISNUMBER('Dvd Calendar'!$E$1262)=FALSE,"",IF((('Dvd Calendar'!$E$1264=TYPE1)*(TYPE1&lt;&gt;"")+('Dvd Calendar'!$E$1264=TYPE2)*(TYPE2&lt;&gt;"")+('Dvd Calendar'!$E$1264=TYPE3)*(TYPE3&lt;&gt;"")+('Dvd Calendar'!$E$1264=TYPE4)*(TYPE4&lt;&gt;"")+('Dvd Calendar'!$E$1264=SPECIAL_LBL)*(INC_SPECIALS="Y"))=0,"",'Dvd Calendar'!$E$1262)))</f>
        <v/>
      </c>
      <c r="D129" s="161">
        <f>IF(EF129="","",IF(ISNUMBER('Dvd Calendar'!$F$1262)=FALSE,"",IF((('Dvd Calendar'!$F$1264=TYPE1)*(TYPE1&lt;&gt;"")+('Dvd Calendar'!$F$1264=TYPE2)*(TYPE2&lt;&gt;"")+('Dvd Calendar'!$F$1264=TYPE3)*(TYPE3&lt;&gt;"")+('Dvd Calendar'!$F$1264=TYPE4)*(TYPE4&lt;&gt;"")+('Dvd Calendar'!$F$1264=SPECIAL_LBL)*(INC_SPECIALS="Y"))=0,"",'Dvd Calendar'!$F$1262)))</f>
        <v/>
      </c>
      <c r="E129" s="161">
        <f>IF(EG129="","",IF(ISNUMBER('Dvd Calendar'!$G$1262)=FALSE,"",IF((('Dvd Calendar'!$G$1264=TYPE1)*(TYPE1&lt;&gt;"")+('Dvd Calendar'!$G$1264=TYPE2)*(TYPE2&lt;&gt;"")+('Dvd Calendar'!$G$1264=TYPE3)*(TYPE3&lt;&gt;"")+('Dvd Calendar'!$G$1264=TYPE4)*(TYPE4&lt;&gt;"")+('Dvd Calendar'!$G$1264=SPECIAL_LBL)*(INC_SPECIALS="Y"))=0,"",'Dvd Calendar'!$G$1262)))</f>
        <v/>
      </c>
      <c r="F129" s="161">
        <f>IF(EH129="","",IF(ISNUMBER('Dvd Calendar'!$H$1262)=FALSE,"",IF((('Dvd Calendar'!$H$1264=TYPE1)*(TYPE1&lt;&gt;"")+('Dvd Calendar'!$H$1264=TYPE2)*(TYPE2&lt;&gt;"")+('Dvd Calendar'!$H$1264=TYPE3)*(TYPE3&lt;&gt;"")+('Dvd Calendar'!$H$1264=TYPE4)*(TYPE4&lt;&gt;"")+('Dvd Calendar'!$H$1264=SPECIAL_LBL)*(INC_SPECIALS="Y"))=0,"",'Dvd Calendar'!$H$1262)))</f>
        <v/>
      </c>
      <c r="G129" s="161">
        <f>IF(EI129="","",IF(ISNUMBER('Dvd Calendar'!$I$1262)=FALSE,"",IF((('Dvd Calendar'!$I$1264=TYPE1)*(TYPE1&lt;&gt;"")+('Dvd Calendar'!$I$1264=TYPE2)*(TYPE2&lt;&gt;"")+('Dvd Calendar'!$I$1264=TYPE3)*(TYPE3&lt;&gt;"")+('Dvd Calendar'!$I$1264=TYPE4)*(TYPE4&lt;&gt;"")+('Dvd Calendar'!$I$1264=SPECIAL_LBL)*(INC_SPECIALS="Y"))=0,"",'Dvd Calendar'!$I$1262)))</f>
        <v/>
      </c>
      <c r="H129" s="161">
        <f>IF(EJ129="","",IF(ISNUMBER('Dvd Calendar'!$J$1262)=FALSE,"",IF((('Dvd Calendar'!$J$1264=TYPE1)*(TYPE1&lt;&gt;"")+('Dvd Calendar'!$J$1264=TYPE2)*(TYPE2&lt;&gt;"")+('Dvd Calendar'!$J$1264=TYPE3)*(TYPE3&lt;&gt;"")+('Dvd Calendar'!$J$1264=TYPE4)*(TYPE4&lt;&gt;"")+('Dvd Calendar'!$J$1264=SPECIAL_LBL)*(INC_SPECIALS="Y"))=0,"",'Dvd Calendar'!$J$1262)))</f>
        <v/>
      </c>
      <c r="I129" s="161">
        <f>IF(EK129="","",IF(ISNUMBER('Dvd Calendar'!$K$1262)=FALSE,"",IF((('Dvd Calendar'!$K$1264=TYPE1)*(TYPE1&lt;&gt;"")+('Dvd Calendar'!$K$1264=TYPE2)*(TYPE2&lt;&gt;"")+('Dvd Calendar'!$K$1264=TYPE3)*(TYPE3&lt;&gt;"")+('Dvd Calendar'!$K$1264=TYPE4)*(TYPE4&lt;&gt;"")+('Dvd Calendar'!$K$1264=SPECIAL_LBL)*(INC_SPECIALS="Y"))=0,"",'Dvd Calendar'!$K$1262)))</f>
        <v/>
      </c>
      <c r="J129" s="161">
        <f>IF(EL129="","",IF(ISNUMBER('Dvd Calendar'!$L$1262)=FALSE,"",IF((('Dvd Calendar'!$L$1264=TYPE1)*(TYPE1&lt;&gt;"")+('Dvd Calendar'!$L$1264=TYPE2)*(TYPE2&lt;&gt;"")+('Dvd Calendar'!$L$1264=TYPE3)*(TYPE3&lt;&gt;"")+('Dvd Calendar'!$L$1264=TYPE4)*(TYPE4&lt;&gt;"")+('Dvd Calendar'!$L$1264=SPECIAL_LBL)*(INC_SPECIALS="Y"))=0,"",'Dvd Calendar'!$L$1262)))</f>
        <v/>
      </c>
      <c r="K129" s="161">
        <f>IF(EM129="","",IF(ISNUMBER('Dvd Calendar'!$M$1262)=FALSE,"",IF((('Dvd Calendar'!$M$1264=TYPE1)*(TYPE1&lt;&gt;"")+('Dvd Calendar'!$M$1264=TYPE2)*(TYPE2&lt;&gt;"")+('Dvd Calendar'!$M$1264=TYPE3)*(TYPE3&lt;&gt;"")+('Dvd Calendar'!$M$1264=TYPE4)*(TYPE4&lt;&gt;"")+('Dvd Calendar'!$M$1264=SPECIAL_LBL)*(INC_SPECIALS="Y"))=0,"",'Dvd Calendar'!$M$1262)))</f>
        <v/>
      </c>
      <c r="L129" s="161">
        <f>IF(EN129="","",IF(ISNUMBER('Dvd Calendar'!$N$1262)=FALSE,"",IF((('Dvd Calendar'!$N$1264=TYPE1)*(TYPE1&lt;&gt;"")+('Dvd Calendar'!$N$1264=TYPE2)*(TYPE2&lt;&gt;"")+('Dvd Calendar'!$N$1264=TYPE3)*(TYPE3&lt;&gt;"")+('Dvd Calendar'!$N$1264=TYPE4)*(TYPE4&lt;&gt;"")+('Dvd Calendar'!$N$1264=SPECIAL_LBL)*(INC_SPECIALS="Y"))=0,"",'Dvd Calendar'!$N$1262)))</f>
        <v/>
      </c>
      <c r="M129" s="161">
        <f>IF(EO129="","",IF(ISNUMBER('Dvd Calendar'!$O$1262)=FALSE,"",IF((('Dvd Calendar'!$O$1264=TYPE1)*(TYPE1&lt;&gt;"")+('Dvd Calendar'!$O$1264=TYPE2)*(TYPE2&lt;&gt;"")+('Dvd Calendar'!$O$1264=TYPE3)*(TYPE3&lt;&gt;"")+('Dvd Calendar'!$O$1264=TYPE4)*(TYPE4&lt;&gt;"")+('Dvd Calendar'!$O$1264=SPECIAL_LBL)*(INC_SPECIALS="Y"))=0,"",'Dvd Calendar'!$O$1262)))</f>
        <v/>
      </c>
      <c r="N129" s="161">
        <f>IF(EP129="","",IF(ISNUMBER('Dvd Calendar'!$P$1262)=FALSE,"",IF((('Dvd Calendar'!$P$1264=TYPE1)*(TYPE1&lt;&gt;"")+('Dvd Calendar'!$P$1264=TYPE2)*(TYPE2&lt;&gt;"")+('Dvd Calendar'!$P$1264=TYPE3)*(TYPE3&lt;&gt;"")+('Dvd Calendar'!$P$1264=TYPE4)*(TYPE4&lt;&gt;"")+('Dvd Calendar'!$P$1264=SPECIAL_LBL)*(INC_SPECIALS="Y"))=0,"",'Dvd Calendar'!$P$1262)))</f>
        <v/>
      </c>
      <c r="O129" s="161">
        <f>IF(EQ129="","",IF(ISNUMBER('Dvd Calendar'!$Q$1262)=FALSE,"",IF((('Dvd Calendar'!$Q$1264=TYPE1)*(TYPE1&lt;&gt;"")+('Dvd Calendar'!$Q$1264=TYPE2)*(TYPE2&lt;&gt;"")+('Dvd Calendar'!$Q$1264=TYPE3)*(TYPE3&lt;&gt;"")+('Dvd Calendar'!$Q$1264=TYPE4)*(TYPE4&lt;&gt;"")+('Dvd Calendar'!$Q$1264=SPECIAL_LBL)*(INC_SPECIALS="Y"))=0,"",'Dvd Calendar'!$Q$1262)))</f>
        <v/>
      </c>
      <c r="P129" s="161">
        <f>IF(ER129="","",IF(ISNUMBER('Dvd Calendar'!$R$1262)=FALSE,"",IF((('Dvd Calendar'!$R$1264=TYPE1)*(TYPE1&lt;&gt;"")+('Dvd Calendar'!$R$1264=TYPE2)*(TYPE2&lt;&gt;"")+('Dvd Calendar'!$R$1264=TYPE3)*(TYPE3&lt;&gt;"")+('Dvd Calendar'!$R$1264=TYPE4)*(TYPE4&lt;&gt;"")+('Dvd Calendar'!$R$1264=SPECIAL_LBL)*(INC_SPECIALS="Y"))=0,"",'Dvd Calendar'!$R$1262)))</f>
        <v/>
      </c>
      <c r="Q129" s="161">
        <f>IF(ES129="","",IF(ISNUMBER('Dvd Calendar'!$S$1262)=FALSE,"",IF((('Dvd Calendar'!$S$1264=TYPE1)*(TYPE1&lt;&gt;"")+('Dvd Calendar'!$S$1264=TYPE2)*(TYPE2&lt;&gt;"")+('Dvd Calendar'!$S$1264=TYPE3)*(TYPE3&lt;&gt;"")+('Dvd Calendar'!$S$1264=TYPE4)*(TYPE4&lt;&gt;"")+('Dvd Calendar'!$S$1264=SPECIAL_LBL)*(INC_SPECIALS="Y"))=0,"",'Dvd Calendar'!$S$1262)))</f>
        <v/>
      </c>
      <c r="R129" s="161">
        <f>IF(ET129="","",IF(ISNUMBER('Dvd Calendar'!$T$1262)=FALSE,"",IF((('Dvd Calendar'!$T$1264=TYPE1)*(TYPE1&lt;&gt;"")+('Dvd Calendar'!$T$1264=TYPE2)*(TYPE2&lt;&gt;"")+('Dvd Calendar'!$T$1264=TYPE3)*(TYPE3&lt;&gt;"")+('Dvd Calendar'!$T$1264=TYPE4)*(TYPE4&lt;&gt;"")+('Dvd Calendar'!$T$1264=SPECIAL_LBL)*(INC_SPECIALS="Y"))=0,"",'Dvd Calendar'!$T$1262)))</f>
        <v/>
      </c>
      <c r="S129" s="161">
        <f>IF(EU129="","",IF(ISNUMBER('Dvd Calendar'!$U$1262)=FALSE,"",IF((('Dvd Calendar'!$U$1264=TYPE1)*(TYPE1&lt;&gt;"")+('Dvd Calendar'!$U$1264=TYPE2)*(TYPE2&lt;&gt;"")+('Dvd Calendar'!$U$1264=TYPE3)*(TYPE3&lt;&gt;"")+('Dvd Calendar'!$U$1264=TYPE4)*(TYPE4&lt;&gt;"")+('Dvd Calendar'!$U$1264=SPECIAL_LBL)*(INC_SPECIALS="Y"))=0,"",'Dvd Calendar'!$U$1262)))</f>
        <v/>
      </c>
      <c r="T129" s="161">
        <f>IF(EV129="","",IF(ISNUMBER('Dvd Calendar'!$V$1262)=FALSE,"",IF((('Dvd Calendar'!$V$1264=TYPE1)*(TYPE1&lt;&gt;"")+('Dvd Calendar'!$V$1264=TYPE2)*(TYPE2&lt;&gt;"")+('Dvd Calendar'!$V$1264=TYPE3)*(TYPE3&lt;&gt;"")+('Dvd Calendar'!$V$1264=TYPE4)*(TYPE4&lt;&gt;"")+('Dvd Calendar'!$V$1264=SPECIAL_LBL)*(INC_SPECIALS="Y"))=0,"",'Dvd Calendar'!$V$1262)))</f>
        <v/>
      </c>
      <c r="U129" s="161">
        <f>IF(EW129="","",IF(ISNUMBER('Dvd Calendar'!$W$1262)=FALSE,"",IF((('Dvd Calendar'!$W$1264=TYPE1)*(TYPE1&lt;&gt;"")+('Dvd Calendar'!$W$1264=TYPE2)*(TYPE2&lt;&gt;"")+('Dvd Calendar'!$W$1264=TYPE3)*(TYPE3&lt;&gt;"")+('Dvd Calendar'!$W$1264=TYPE4)*(TYPE4&lt;&gt;"")+('Dvd Calendar'!$W$1264=SPECIAL_LBL)*(INC_SPECIALS="Y"))=0,"",'Dvd Calendar'!$W$1262)))</f>
        <v/>
      </c>
      <c r="V129" s="161">
        <f>IF(EX129="","",IF(ISNUMBER('Dvd Calendar'!$X$1262)=FALSE,"",IF((('Dvd Calendar'!$X$1264=TYPE1)*(TYPE1&lt;&gt;"")+('Dvd Calendar'!$X$1264=TYPE2)*(TYPE2&lt;&gt;"")+('Dvd Calendar'!$X$1264=TYPE3)*(TYPE3&lt;&gt;"")+('Dvd Calendar'!$X$1264=TYPE4)*(TYPE4&lt;&gt;"")+('Dvd Calendar'!$X$1264=SPECIAL_LBL)*(INC_SPECIALS="Y"))=0,"",'Dvd Calendar'!$X$1262)))</f>
        <v/>
      </c>
      <c r="W129" s="161">
        <f>IF(EY129="","",IF(ISNUMBER('Dvd Calendar'!$Y$1262)=FALSE,"",IF((('Dvd Calendar'!$Y$1264=TYPE1)*(TYPE1&lt;&gt;"")+('Dvd Calendar'!$Y$1264=TYPE2)*(TYPE2&lt;&gt;"")+('Dvd Calendar'!$Y$1264=TYPE3)*(TYPE3&lt;&gt;"")+('Dvd Calendar'!$Y$1264=TYPE4)*(TYPE4&lt;&gt;"")+('Dvd Calendar'!$Y$1264=SPECIAL_LBL)*(INC_SPECIALS="Y"))=0,"",'Dvd Calendar'!$Y$1262)))</f>
        <v/>
      </c>
      <c r="X129" s="161">
        <f>IF(EZ129="","",IF(ISNUMBER('Dvd Calendar'!$Z$1262)=FALSE,"",IF((('Dvd Calendar'!$Z$1264=TYPE1)*(TYPE1&lt;&gt;"")+('Dvd Calendar'!$Z$1264=TYPE2)*(TYPE2&lt;&gt;"")+('Dvd Calendar'!$Z$1264=TYPE3)*(TYPE3&lt;&gt;"")+('Dvd Calendar'!$Z$1264=TYPE4)*(TYPE4&lt;&gt;"")+('Dvd Calendar'!$Z$1264=SPECIAL_LBL)*(INC_SPECIALS="Y"))=0,"",'Dvd Calendar'!$Z$1262)))</f>
        <v/>
      </c>
      <c r="Y129" s="161">
        <f>IF(FA129="","",IF(ISNUMBER('Dvd Calendar'!$AA$1262)=FALSE,"",IF((('Dvd Calendar'!$AA$1264=TYPE1)*(TYPE1&lt;&gt;"")+('Dvd Calendar'!$AA$1264=TYPE2)*(TYPE2&lt;&gt;"")+('Dvd Calendar'!$AA$1264=TYPE3)*(TYPE3&lt;&gt;"")+('Dvd Calendar'!$AA$1264=TYPE4)*(TYPE4&lt;&gt;"")+('Dvd Calendar'!$AA$1264=SPECIAL_LBL)*(INC_SPECIALS="Y"))=0,"",'Dvd Calendar'!$AA$1262)))</f>
        <v/>
      </c>
      <c r="Z129" s="161">
        <f>IF(FB129="","",IF(ISNUMBER('Dvd Calendar'!$AB$1262)=FALSE,"",IF((('Dvd Calendar'!$AB$1264=TYPE1)*(TYPE1&lt;&gt;"")+('Dvd Calendar'!$AB$1264=TYPE2)*(TYPE2&lt;&gt;"")+('Dvd Calendar'!$AB$1264=TYPE3)*(TYPE3&lt;&gt;"")+('Dvd Calendar'!$AB$1264=TYPE4)*(TYPE4&lt;&gt;"")+('Dvd Calendar'!$AB$1264=SPECIAL_LBL)*(INC_SPECIALS="Y"))=0,"",'Dvd Calendar'!$AB$1262)))</f>
        <v/>
      </c>
      <c r="AA129" s="161">
        <f>IF(FC129="","",IF(ISNUMBER('Dvd Calendar'!$AC$1262)=FALSE,"",IF((('Dvd Calendar'!$AC$1264=TYPE1)*(TYPE1&lt;&gt;"")+('Dvd Calendar'!$AC$1264=TYPE2)*(TYPE2&lt;&gt;"")+('Dvd Calendar'!$AC$1264=TYPE3)*(TYPE3&lt;&gt;"")+('Dvd Calendar'!$AC$1264=TYPE4)*(TYPE4&lt;&gt;"")+('Dvd Calendar'!$AC$1264=SPECIAL_LBL)*(INC_SPECIALS="Y"))=0,"",'Dvd Calendar'!$AC$1262)))</f>
        <v/>
      </c>
      <c r="AB129" s="161">
        <f>IF(FD129="","",IF(ISNUMBER('Dvd Calendar'!$AD$1262)=FALSE,"",IF((('Dvd Calendar'!$AD$1264=TYPE1)*(TYPE1&lt;&gt;"")+('Dvd Calendar'!$AD$1264=TYPE2)*(TYPE2&lt;&gt;"")+('Dvd Calendar'!$AD$1264=TYPE3)*(TYPE3&lt;&gt;"")+('Dvd Calendar'!$AD$1264=TYPE4)*(TYPE4&lt;&gt;"")+('Dvd Calendar'!$AD$1264=SPECIAL_LBL)*(INC_SPECIALS="Y"))=0,"",'Dvd Calendar'!$AD$1262)))</f>
        <v/>
      </c>
      <c r="AC129" s="161">
        <f>IF(FE129="","",IF(ISNUMBER('Dvd Calendar'!$AE$1262)=FALSE,"",IF((('Dvd Calendar'!$AE$1264=TYPE1)*(TYPE1&lt;&gt;"")+('Dvd Calendar'!$AE$1264=TYPE2)*(TYPE2&lt;&gt;"")+('Dvd Calendar'!$AE$1264=TYPE3)*(TYPE3&lt;&gt;"")+('Dvd Calendar'!$AE$1264=TYPE4)*(TYPE4&lt;&gt;"")+('Dvd Calendar'!$AE$1264=SPECIAL_LBL)*(INC_SPECIALS="Y"))=0,"",'Dvd Calendar'!$AE$1262)))</f>
        <v/>
      </c>
      <c r="AD129" s="161">
        <f>IF(FF129="","",IF(ISNUMBER('Dvd Calendar'!$AF$1262)=FALSE,"",IF((('Dvd Calendar'!$AF$1264=TYPE1)*(TYPE1&lt;&gt;"")+('Dvd Calendar'!$AF$1264=TYPE2)*(TYPE2&lt;&gt;"")+('Dvd Calendar'!$AF$1264=TYPE3)*(TYPE3&lt;&gt;"")+('Dvd Calendar'!$AF$1264=TYPE4)*(TYPE4&lt;&gt;"")+('Dvd Calendar'!$AF$1264=SPECIAL_LBL)*(INC_SPECIALS="Y"))=0,"",'Dvd Calendar'!$AF$1262)))</f>
        <v/>
      </c>
      <c r="AE129" s="161">
        <f>IF(FG129="","",IF(ISNUMBER('Dvd Calendar'!$AG$1262)=FALSE,"",IF((('Dvd Calendar'!$AG$1264=TYPE1)*(TYPE1&lt;&gt;"")+('Dvd Calendar'!$AG$1264=TYPE2)*(TYPE2&lt;&gt;"")+('Dvd Calendar'!$AG$1264=TYPE3)*(TYPE3&lt;&gt;"")+('Dvd Calendar'!$AG$1264=TYPE4)*(TYPE4&lt;&gt;"")+('Dvd Calendar'!$AG$1264=SPECIAL_LBL)*(INC_SPECIALS="Y"))=0,"",'Dvd Calendar'!$AG$1262)))</f>
        <v/>
      </c>
      <c r="AF129" s="161">
        <f>IF(FH129="","",IF(ISNUMBER('Dvd Calendar'!$AH$1262)=FALSE,"",IF((('Dvd Calendar'!$AH$1264=TYPE1)*(TYPE1&lt;&gt;"")+('Dvd Calendar'!$AH$1264=TYPE2)*(TYPE2&lt;&gt;"")+('Dvd Calendar'!$AH$1264=TYPE3)*(TYPE3&lt;&gt;"")+('Dvd Calendar'!$AH$1264=TYPE4)*(TYPE4&lt;&gt;"")+('Dvd Calendar'!$AH$1264=SPECIAL_LBL)*(INC_SPECIALS="Y"))=0,"",'Dvd Calendar'!$AH$1262)))</f>
        <v/>
      </c>
      <c r="AG129" s="161">
        <f>IF(FI129="","",IF(ISNUMBER('Dvd Calendar'!$AI$1262)=FALSE,"",IF((('Dvd Calendar'!$AI$1264=TYPE1)*(TYPE1&lt;&gt;"")+('Dvd Calendar'!$AI$1264=TYPE2)*(TYPE2&lt;&gt;"")+('Dvd Calendar'!$AI$1264=TYPE3)*(TYPE3&lt;&gt;"")+('Dvd Calendar'!$AI$1264=TYPE4)*(TYPE4&lt;&gt;"")+('Dvd Calendar'!$AI$1264=SPECIAL_LBL)*(INC_SPECIALS="Y"))=0,"",'Dvd Calendar'!$AI$1262)))</f>
        <v/>
      </c>
      <c r="AH129" s="161">
        <f>IF(FJ129="","",IF(ISNUMBER('Dvd Calendar'!$AJ$1262)=FALSE,"",IF((('Dvd Calendar'!$AJ$1264=TYPE1)*(TYPE1&lt;&gt;"")+('Dvd Calendar'!$AJ$1264=TYPE2)*(TYPE2&lt;&gt;"")+('Dvd Calendar'!$AJ$1264=TYPE3)*(TYPE3&lt;&gt;"")+('Dvd Calendar'!$AJ$1264=TYPE4)*(TYPE4&lt;&gt;"")+('Dvd Calendar'!$AJ$1264=SPECIAL_LBL)*(INC_SPECIALS="Y"))=0,"",'Dvd Calendar'!$AJ$1262)))</f>
        <v/>
      </c>
      <c r="AI129" s="161">
        <f>IF(FK129="","",IF(ISNUMBER('Dvd Calendar'!$AK$1262)=FALSE,"",IF((('Dvd Calendar'!$AK$1264=TYPE1)*(TYPE1&lt;&gt;"")+('Dvd Calendar'!$AK$1264=TYPE2)*(TYPE2&lt;&gt;"")+('Dvd Calendar'!$AK$1264=TYPE3)*(TYPE3&lt;&gt;"")+('Dvd Calendar'!$AK$1264=TYPE4)*(TYPE4&lt;&gt;"")+('Dvd Calendar'!$AK$1264=SPECIAL_LBL)*(INC_SPECIALS="Y"))=0,"",'Dvd Calendar'!$AK$1262)))</f>
        <v/>
      </c>
      <c r="AJ129" s="161">
        <f>IF(FL129="","",IF(ISNUMBER('Dvd Calendar'!$AL$1262)=FALSE,"",IF((('Dvd Calendar'!$AL$1264=TYPE1)*(TYPE1&lt;&gt;"")+('Dvd Calendar'!$AL$1264=TYPE2)*(TYPE2&lt;&gt;"")+('Dvd Calendar'!$AL$1264=TYPE3)*(TYPE3&lt;&gt;"")+('Dvd Calendar'!$AL$1264=TYPE4)*(TYPE4&lt;&gt;"")+('Dvd Calendar'!$AL$1264=SPECIAL_LBL)*(INC_SPECIALS="Y"))=0,"",'Dvd Calendar'!$AL$1262)))</f>
        <v/>
      </c>
      <c r="AK129" s="161">
        <f>IF(FM129="","",IF(ISNUMBER('Dvd Calendar'!$AM$1262)=FALSE,"",IF((('Dvd Calendar'!$AM$1264=TYPE1)*(TYPE1&lt;&gt;"")+('Dvd Calendar'!$AM$1264=TYPE2)*(TYPE2&lt;&gt;"")+('Dvd Calendar'!$AM$1264=TYPE3)*(TYPE3&lt;&gt;"")+('Dvd Calendar'!$AM$1264=TYPE4)*(TYPE4&lt;&gt;"")+('Dvd Calendar'!$AM$1264=SPECIAL_LBL)*(INC_SPECIALS="Y"))=0,"",'Dvd Calendar'!$AM$1262)))</f>
        <v/>
      </c>
      <c r="AL129" s="161">
        <f>IF(FN129="","",IF(ISNUMBER('Dvd Calendar'!$AN$1262)=FALSE,"",IF((('Dvd Calendar'!$AN$1264=TYPE1)*(TYPE1&lt;&gt;"")+('Dvd Calendar'!$AN$1264=TYPE2)*(TYPE2&lt;&gt;"")+('Dvd Calendar'!$AN$1264=TYPE3)*(TYPE3&lt;&gt;"")+('Dvd Calendar'!$AN$1264=TYPE4)*(TYPE4&lt;&gt;"")+('Dvd Calendar'!$AN$1264=SPECIAL_LBL)*(INC_SPECIALS="Y"))=0,"",'Dvd Calendar'!$AN$1262)))</f>
        <v/>
      </c>
      <c r="AM129" s="161">
        <f>IF(FO129="","",IF(ISNUMBER('Dvd Calendar'!$AO$1262)=FALSE,"",IF((('Dvd Calendar'!$AO$1264=TYPE1)*(TYPE1&lt;&gt;"")+('Dvd Calendar'!$AO$1264=TYPE2)*(TYPE2&lt;&gt;"")+('Dvd Calendar'!$AO$1264=TYPE3)*(TYPE3&lt;&gt;"")+('Dvd Calendar'!$AO$1264=TYPE4)*(TYPE4&lt;&gt;"")+('Dvd Calendar'!$AO$1264=SPECIAL_LBL)*(INC_SPECIALS="Y"))=0,"",'Dvd Calendar'!$AO$1262)))</f>
        <v/>
      </c>
      <c r="AN129" s="161">
        <f>IF(FP129="","",IF(ISNUMBER('Dvd Calendar'!$AP$1262)=FALSE,"",IF((('Dvd Calendar'!$AP$1264=TYPE1)*(TYPE1&lt;&gt;"")+('Dvd Calendar'!$AP$1264=TYPE2)*(TYPE2&lt;&gt;"")+('Dvd Calendar'!$AP$1264=TYPE3)*(TYPE3&lt;&gt;"")+('Dvd Calendar'!$AP$1264=TYPE4)*(TYPE4&lt;&gt;"")+('Dvd Calendar'!$AP$1264=SPECIAL_LBL)*(INC_SPECIALS="Y"))=0,"",'Dvd Calendar'!$AP$1262)))</f>
        <v/>
      </c>
      <c r="AO129" s="161">
        <f>IF(FQ129="","",IF(ISNUMBER('Dvd Calendar'!$AQ$1262)=FALSE,"",IF((('Dvd Calendar'!$AQ$1264=TYPE1)*(TYPE1&lt;&gt;"")+('Dvd Calendar'!$AQ$1264=TYPE2)*(TYPE2&lt;&gt;"")+('Dvd Calendar'!$AQ$1264=TYPE3)*(TYPE3&lt;&gt;"")+('Dvd Calendar'!$AQ$1264=TYPE4)*(TYPE4&lt;&gt;"")+('Dvd Calendar'!$AQ$1264=SPECIAL_LBL)*(INC_SPECIALS="Y"))=0,"",'Dvd Calendar'!$AQ$1262)))</f>
        <v/>
      </c>
      <c r="AP129" s="161">
        <f>IF(FR129="","",IF(ISNUMBER('Dvd Calendar'!$AR$1262)=FALSE,"",IF((('Dvd Calendar'!$AR$1264=TYPE1)*(TYPE1&lt;&gt;"")+('Dvd Calendar'!$AR$1264=TYPE2)*(TYPE2&lt;&gt;"")+('Dvd Calendar'!$AR$1264=TYPE3)*(TYPE3&lt;&gt;"")+('Dvd Calendar'!$AR$1264=TYPE4)*(TYPE4&lt;&gt;"")+('Dvd Calendar'!$AR$1264=SPECIAL_LBL)*(INC_SPECIALS="Y"))=0,"",'Dvd Calendar'!$AR$1262)))</f>
        <v/>
      </c>
      <c r="AQ129" s="161">
        <f>IF(FS129="","",IF(ISNUMBER('Dvd Calendar'!$E$1267)=FALSE,"",'Dvd Calendar'!$E$1267))</f>
        <v/>
      </c>
      <c r="AR129" s="161">
        <f>IF(FT129="","",IF(ISNUMBER('Dvd Calendar'!$F$1267)=FALSE,"",'Dvd Calendar'!$F$1267))</f>
        <v/>
      </c>
      <c r="AS129" s="161">
        <f>IF(FU129="","",IF(ISNUMBER('Dvd Calendar'!$G$1267)=FALSE,"",'Dvd Calendar'!$G$1267))</f>
        <v/>
      </c>
      <c r="AT129" s="161">
        <f>IF(FV129="","",IF(ISNUMBER('Dvd Calendar'!$H$1267)=FALSE,"",'Dvd Calendar'!$H$1267))</f>
        <v/>
      </c>
      <c r="AU129" s="161">
        <f>IF(FW129="","",IF(ISNUMBER('Dvd Calendar'!$I$1267)=FALSE,"",'Dvd Calendar'!$I$1267))</f>
        <v/>
      </c>
      <c r="AV129" s="161">
        <f>IF(FX129="","",IF(ISNUMBER('Dvd Calendar'!$J$1267)=FALSE,"",'Dvd Calendar'!$J$1267))</f>
        <v/>
      </c>
      <c r="AW129" s="161">
        <f>IF(FY129="","",IF(ISNUMBER('Dvd Calendar'!$K$1267)=FALSE,"",'Dvd Calendar'!$K$1267))</f>
        <v/>
      </c>
      <c r="AX129" s="161">
        <f>IF(FZ129="","",IF(ISNUMBER('Dvd Calendar'!$L$1267)=FALSE,"",'Dvd Calendar'!$L$1267))</f>
        <v/>
      </c>
      <c r="AY129" s="161">
        <f>IF(GA129="","",IF(ISNUMBER('Dvd Calendar'!$M$1267)=FALSE,"",'Dvd Calendar'!$M$1267))</f>
        <v/>
      </c>
      <c r="AZ129" s="161">
        <f>IF(GB129="","",IF(ISNUMBER('Dvd Calendar'!$N$1267)=FALSE,"",'Dvd Calendar'!$N$1267))</f>
        <v/>
      </c>
      <c r="BA129" s="161">
        <f>IF(GC129="","",IF(ISNUMBER('Dvd Calendar'!$O$1267)=FALSE,"",'Dvd Calendar'!$O$1267))</f>
        <v/>
      </c>
      <c r="BB129" s="161">
        <f>IF(GD129="","",IF(ISNUMBER('Dvd Calendar'!$P$1267)=FALSE,"",'Dvd Calendar'!$P$1267))</f>
        <v/>
      </c>
      <c r="BC129" s="161">
        <f>IF(GE129="","",IF(ISNUMBER('Dvd Calendar'!$Q$1267)=FALSE,"",'Dvd Calendar'!$Q$1267))</f>
        <v/>
      </c>
      <c r="BD129" s="161">
        <f>IF(GF129="","",IF(ISNUMBER('Dvd Calendar'!$R$1267)=FALSE,"",'Dvd Calendar'!$R$1267))</f>
        <v/>
      </c>
      <c r="BE129" s="161">
        <f>IF(GG129="","",IF(ISNUMBER('Dvd Calendar'!$S$1267)=FALSE,"",'Dvd Calendar'!$S$1267))</f>
        <v/>
      </c>
      <c r="BF129" s="161">
        <f>IF(GH129="","",IF(ISNUMBER('Dvd Calendar'!$T$1267)=FALSE,"",'Dvd Calendar'!$T$1267))</f>
        <v/>
      </c>
      <c r="BG129" s="161">
        <f>IF(GI129="","",IF(ISNUMBER('Dvd Calendar'!$U$1267)=FALSE,"",'Dvd Calendar'!$U$1267))</f>
        <v/>
      </c>
      <c r="BH129" s="161">
        <f>IF(GJ129="","",IF(ISNUMBER('Dvd Calendar'!$V$1267)=FALSE,"",'Dvd Calendar'!$V$1267))</f>
        <v/>
      </c>
      <c r="BI129" s="161">
        <f>IF(GK129="","",IF(ISNUMBER('Dvd Calendar'!$W$1267)=FALSE,"",'Dvd Calendar'!$W$1267))</f>
        <v/>
      </c>
      <c r="BJ129" s="161">
        <f>IF(GL129="","",IF(ISNUMBER('Dvd Calendar'!$X$1267)=FALSE,"",'Dvd Calendar'!$X$1267))</f>
        <v/>
      </c>
      <c r="BK129" s="161">
        <f>IF(GM129="","",IF(ISNUMBER('Dvd Calendar'!$Y$1267)=FALSE,"",'Dvd Calendar'!$Y$1267))</f>
        <v/>
      </c>
      <c r="BL129" s="161">
        <f>IF(GN129="","",IF(ISNUMBER('Dvd Calendar'!$Z$1267)=FALSE,"",'Dvd Calendar'!$Z$1267))</f>
        <v/>
      </c>
      <c r="BM129" s="161">
        <f>IF(GO129="","",IF(ISNUMBER('Dvd Calendar'!$AA$1267)=FALSE,"",'Dvd Calendar'!$AA$1267))</f>
        <v/>
      </c>
      <c r="BN129" s="161">
        <f>IF(GP129="","",IF(ISNUMBER('Dvd Calendar'!$AB$1267)=FALSE,"",'Dvd Calendar'!$AB$1267))</f>
        <v/>
      </c>
      <c r="BO129" s="161">
        <f>IF(GQ129="","",IF(ISNUMBER('Dvd Calendar'!$AC$1267)=FALSE,"",'Dvd Calendar'!$AC$1267))</f>
        <v/>
      </c>
      <c r="BQ129" s="161">
        <f>IF(C129="","",IFERROR(C129*HSTECH!$B$20*HSTECH!$G$20/HSTECH!$B$3,""))</f>
        <v/>
      </c>
      <c r="BR129" s="161">
        <f>IF(D129="","",IFERROR(D129*HSTECH!$B$20*HSTECH!$G$20/HSTECH!$B$3,""))</f>
        <v/>
      </c>
      <c r="BS129" s="161">
        <f>IF(E129="","",IFERROR(E129*HSTECH!$B$20*HSTECH!$G$20/HSTECH!$B$3,""))</f>
        <v/>
      </c>
      <c r="BT129" s="161">
        <f>IF(F129="","",IFERROR(F129*HSTECH!$B$20*HSTECH!$G$20/HSTECH!$B$3,""))</f>
        <v/>
      </c>
      <c r="BU129" s="161">
        <f>IF(G129="","",IFERROR(G129*HSTECH!$B$20*HSTECH!$G$20/HSTECH!$B$3,""))</f>
        <v/>
      </c>
      <c r="BV129" s="161">
        <f>IF(H129="","",IFERROR(H129*HSTECH!$B$20*HSTECH!$G$20/HSTECH!$B$3,""))</f>
        <v/>
      </c>
      <c r="BW129" s="161">
        <f>IF(I129="","",IFERROR(I129*HSTECH!$B$20*HSTECH!$G$20/HSTECH!$B$3,""))</f>
        <v/>
      </c>
      <c r="BX129" s="161">
        <f>IF(J129="","",IFERROR(J129*HSTECH!$B$20*HSTECH!$G$20/HSTECH!$B$3,""))</f>
        <v/>
      </c>
      <c r="BY129" s="161">
        <f>IF(K129="","",IFERROR(K129*HSTECH!$B$20*HSTECH!$G$20/HSTECH!$B$3,""))</f>
        <v/>
      </c>
      <c r="BZ129" s="161">
        <f>IF(L129="","",IFERROR(L129*HSTECH!$B$20*HSTECH!$G$20/HSTECH!$B$3,""))</f>
        <v/>
      </c>
      <c r="CA129" s="161">
        <f>IF(M129="","",IFERROR(M129*HSTECH!$B$20*HSTECH!$G$20/HSTECH!$B$3,""))</f>
        <v/>
      </c>
      <c r="CB129" s="161">
        <f>IF(N129="","",IFERROR(N129*HSTECH!$B$20*HSTECH!$G$20/HSTECH!$B$3,""))</f>
        <v/>
      </c>
      <c r="CC129" s="161">
        <f>IF(O129="","",IFERROR(O129*HSTECH!$B$20*HSTECH!$G$20/HSTECH!$B$3,""))</f>
        <v/>
      </c>
      <c r="CD129" s="161">
        <f>IF(P129="","",IFERROR(P129*HSTECH!$B$20*HSTECH!$G$20/HSTECH!$B$3,""))</f>
        <v/>
      </c>
      <c r="CE129" s="161">
        <f>IF(Q129="","",IFERROR(Q129*HSTECH!$B$20*HSTECH!$G$20/HSTECH!$B$3,""))</f>
        <v/>
      </c>
      <c r="CF129" s="161">
        <f>IF(R129="","",IFERROR(R129*HSTECH!$B$20*HSTECH!$G$20/HSTECH!$B$3,""))</f>
        <v/>
      </c>
      <c r="CG129" s="161">
        <f>IF(S129="","",IFERROR(S129*HSTECH!$B$20*HSTECH!$G$20/HSTECH!$B$3,""))</f>
        <v/>
      </c>
      <c r="CH129" s="161">
        <f>IF(T129="","",IFERROR(T129*HSTECH!$B$20*HSTECH!$G$20/HSTECH!$B$3,""))</f>
        <v/>
      </c>
      <c r="CI129" s="161">
        <f>IF(U129="","",IFERROR(U129*HSTECH!$B$20*HSTECH!$G$20/HSTECH!$B$3,""))</f>
        <v/>
      </c>
      <c r="CJ129" s="161">
        <f>IF(V129="","",IFERROR(V129*HSTECH!$B$20*HSTECH!$G$20/HSTECH!$B$3,""))</f>
        <v/>
      </c>
      <c r="CK129" s="161">
        <f>IF(W129="","",IFERROR(W129*HSTECH!$B$20*HSTECH!$G$20/HSTECH!$B$3,""))</f>
        <v/>
      </c>
      <c r="CL129" s="161">
        <f>IF(X129="","",IFERROR(X129*HSTECH!$B$20*HSTECH!$G$20/HSTECH!$B$3,""))</f>
        <v/>
      </c>
      <c r="CM129" s="161">
        <f>IF(Y129="","",IFERROR(Y129*HSTECH!$B$20*HSTECH!$G$20/HSTECH!$B$3,""))</f>
        <v/>
      </c>
      <c r="CN129" s="161">
        <f>IF(Z129="","",IFERROR(Z129*HSTECH!$B$20*HSTECH!$G$20/HSTECH!$B$3,""))</f>
        <v/>
      </c>
      <c r="CO129" s="161">
        <f>IF(AA129="","",IFERROR(AA129*HSTECH!$B$20*HSTECH!$G$20/HSTECH!$B$3,""))</f>
        <v/>
      </c>
      <c r="CP129" s="161">
        <f>IF(AB129="","",IFERROR(AB129*HSTECH!$B$20*HSTECH!$G$20/HSTECH!$B$3,""))</f>
        <v/>
      </c>
      <c r="CQ129" s="161">
        <f>IF(AC129="","",IFERROR(AC129*HSTECH!$B$20*HSTECH!$G$20/HSTECH!$B$3,""))</f>
        <v/>
      </c>
      <c r="CR129" s="161">
        <f>IF(AD129="","",IFERROR(AD129*HSTECH!$B$20*HSTECH!$G$20/HSTECH!$B$3,""))</f>
        <v/>
      </c>
      <c r="CS129" s="161">
        <f>IF(AE129="","",IFERROR(AE129*HSTECH!$B$20*HSTECH!$G$20/HSTECH!$B$3,""))</f>
        <v/>
      </c>
      <c r="CT129" s="161">
        <f>IF(AF129="","",IFERROR(AF129*HSTECH!$B$20*HSTECH!$G$20/HSTECH!$B$3,""))</f>
        <v/>
      </c>
      <c r="CU129" s="161">
        <f>IF(AG129="","",IFERROR(AG129*HSTECH!$B$20*HSTECH!$G$20/HSTECH!$B$3,""))</f>
        <v/>
      </c>
      <c r="CV129" s="161">
        <f>IF(AH129="","",IFERROR(AH129*HSTECH!$B$20*HSTECH!$G$20/HSTECH!$B$3,""))</f>
        <v/>
      </c>
      <c r="CW129" s="161">
        <f>IF(AI129="","",IFERROR(AI129*HSTECH!$B$20*HSTECH!$G$20/HSTECH!$B$3,""))</f>
        <v/>
      </c>
      <c r="CX129" s="161">
        <f>IF(AJ129="","",IFERROR(AJ129*HSTECH!$B$20*HSTECH!$G$20/HSTECH!$B$3,""))</f>
        <v/>
      </c>
      <c r="CY129" s="161">
        <f>IF(AK129="","",IFERROR(AK129*HSTECH!$B$20*HSTECH!$G$20/HSTECH!$B$3,""))</f>
        <v/>
      </c>
      <c r="CZ129" s="161">
        <f>IF(AL129="","",IFERROR(AL129*HSTECH!$B$20*HSTECH!$G$20/HSTECH!$B$3,""))</f>
        <v/>
      </c>
      <c r="DA129" s="161">
        <f>IF(AM129="","",IFERROR(AM129*HSTECH!$B$20*HSTECH!$G$20/HSTECH!$B$3,""))</f>
        <v/>
      </c>
      <c r="DB129" s="161">
        <f>IF(AN129="","",IFERROR(AN129*HSTECH!$B$20*HSTECH!$G$20/HSTECH!$B$3,""))</f>
        <v/>
      </c>
      <c r="DC129" s="161">
        <f>IF(AO129="","",IFERROR(AO129*HSTECH!$B$20*HSTECH!$G$20/HSTECH!$B$3,""))</f>
        <v/>
      </c>
      <c r="DD129" s="161">
        <f>IF(AP129="","",IFERROR(AP129*HSTECH!$B$20*HSTECH!$G$20/HSTECH!$B$3,""))</f>
        <v/>
      </c>
      <c r="DE129" s="161">
        <f>IF(AQ129="","",IFERROR(AQ129*HSTECH!$B$20*HSTECH!$G$20/HSTECH!$B$3,""))</f>
        <v/>
      </c>
      <c r="DF129" s="161">
        <f>IF(AR129="","",IFERROR(AR129*HSTECH!$B$20*HSTECH!$G$20/HSTECH!$B$3,""))</f>
        <v/>
      </c>
      <c r="DG129" s="161">
        <f>IF(AS129="","",IFERROR(AS129*HSTECH!$B$20*HSTECH!$G$20/HSTECH!$B$3,""))</f>
        <v/>
      </c>
      <c r="DH129" s="161">
        <f>IF(AT129="","",IFERROR(AT129*HSTECH!$B$20*HSTECH!$G$20/HSTECH!$B$3,""))</f>
        <v/>
      </c>
      <c r="DI129" s="161">
        <f>IF(AU129="","",IFERROR(AU129*HSTECH!$B$20*HSTECH!$G$20/HSTECH!$B$3,""))</f>
        <v/>
      </c>
      <c r="DJ129" s="161">
        <f>IF(AV129="","",IFERROR(AV129*HSTECH!$B$20*HSTECH!$G$20/HSTECH!$B$3,""))</f>
        <v/>
      </c>
      <c r="DK129" s="161">
        <f>IF(AW129="","",IFERROR(AW129*HSTECH!$B$20*HSTECH!$G$20/HSTECH!$B$3,""))</f>
        <v/>
      </c>
      <c r="DL129" s="161">
        <f>IF(AX129="","",IFERROR(AX129*HSTECH!$B$20*HSTECH!$G$20/HSTECH!$B$3,""))</f>
        <v/>
      </c>
      <c r="DM129" s="161">
        <f>IF(AY129="","",IFERROR(AY129*HSTECH!$B$20*HSTECH!$G$20/HSTECH!$B$3,""))</f>
        <v/>
      </c>
      <c r="DN129" s="161">
        <f>IF(AZ129="","",IFERROR(AZ129*HSTECH!$B$20*HSTECH!$G$20/HSTECH!$B$3,""))</f>
        <v/>
      </c>
      <c r="DO129" s="161">
        <f>IF(BA129="","",IFERROR(BA129*HSTECH!$B$20*HSTECH!$G$20/HSTECH!$B$3,""))</f>
        <v/>
      </c>
      <c r="DP129" s="161">
        <f>IF(BB129="","",IFERROR(BB129*HSTECH!$B$20*HSTECH!$G$20/HSTECH!$B$3,""))</f>
        <v/>
      </c>
      <c r="DQ129" s="161">
        <f>IF(BC129="","",IFERROR(BC129*HSTECH!$B$20*HSTECH!$G$20/HSTECH!$B$3,""))</f>
        <v/>
      </c>
      <c r="DR129" s="161">
        <f>IF(BD129="","",IFERROR(BD129*HSTECH!$B$20*HSTECH!$G$20/HSTECH!$B$3,""))</f>
        <v/>
      </c>
      <c r="DS129" s="161">
        <f>IF(BE129="","",IFERROR(BE129*HSTECH!$B$20*HSTECH!$G$20/HSTECH!$B$3,""))</f>
        <v/>
      </c>
      <c r="DT129" s="161">
        <f>IF(BF129="","",IFERROR(BF129*HSTECH!$B$20*HSTECH!$G$20/HSTECH!$B$3,""))</f>
        <v/>
      </c>
      <c r="DU129" s="161">
        <f>IF(BG129="","",IFERROR(BG129*HSTECH!$B$20*HSTECH!$G$20/HSTECH!$B$3,""))</f>
        <v/>
      </c>
      <c r="DV129" s="161">
        <f>IF(BH129="","",IFERROR(BH129*HSTECH!$B$20*HSTECH!$G$20/HSTECH!$B$3,""))</f>
        <v/>
      </c>
      <c r="DW129" s="161">
        <f>IF(BI129="","",IFERROR(BI129*HSTECH!$B$20*HSTECH!$G$20/HSTECH!$B$3,""))</f>
        <v/>
      </c>
      <c r="DX129" s="161">
        <f>IF(BJ129="","",IFERROR(BJ129*HSTECH!$B$20*HSTECH!$G$20/HSTECH!$B$3,""))</f>
        <v/>
      </c>
      <c r="DY129" s="161">
        <f>IF(BK129="","",IFERROR(BK129*HSTECH!$B$20*HSTECH!$G$20/HSTECH!$B$3,""))</f>
        <v/>
      </c>
      <c r="DZ129" s="161">
        <f>IF(BL129="","",IFERROR(BL129*HSTECH!$B$20*HSTECH!$G$20/HSTECH!$B$3,""))</f>
        <v/>
      </c>
      <c r="EA129" s="161">
        <f>IF(BM129="","",IFERROR(BM129*HSTECH!$B$20*HSTECH!$G$20/HSTECH!$B$3,""))</f>
        <v/>
      </c>
      <c r="EB129" s="161">
        <f>IF(BN129="","",IFERROR(BN129*HSTECH!$B$20*HSTECH!$G$20/HSTECH!$B$3,""))</f>
        <v/>
      </c>
      <c r="EC129" s="161">
        <f>IF(BO129="","",IFERROR(BO129*HSTECH!$B$20*HSTECH!$G$20/HSTECH!$B$3,""))</f>
        <v/>
      </c>
      <c r="EE129" s="121">
        <f>IF(N('Dvd Calendar'!$E$1259)=0,"",IF(('Dvd Calendar'!$E$1259&gt;=GRID_FROM)*('Dvd Calendar'!$E$1259&lt;=GRID_TO)*((('Dvd Calendar'!$E$1259&lt;=VAL_DATE)+(COUNTIF('Dvd Calendar'!$E$1266:$AR$1266,'Dvd Calendar'!$E$1259)=0))&gt;0)=0,"",'Dvd Calendar'!$E$1259*1000000000+ISNUMBER('Dvd Calendar'!$E$1262)*100000000+('Dvd Calendar'!$E$1264=SPECIAL_LBL)*10000000+(N('Dvd Calendar'!$E$1258)&gt;0)*(N('Dvd Calendar'!$E$1258)&lt;=VAL_SERIAL)*1000000+14*1000+1))</f>
        <v/>
      </c>
      <c r="EF129" s="121">
        <f>IF(N('Dvd Calendar'!$F$1259)=0,"",IF(('Dvd Calendar'!$F$1259&gt;=GRID_FROM)*('Dvd Calendar'!$F$1259&lt;=GRID_TO)*((('Dvd Calendar'!$F$1259&lt;=VAL_DATE)+(COUNTIF('Dvd Calendar'!$E$1266:$AR$1266,'Dvd Calendar'!$F$1259)=0))&gt;0)=0,"",'Dvd Calendar'!$F$1259*1000000000+ISNUMBER('Dvd Calendar'!$F$1262)*100000000+('Dvd Calendar'!$F$1264=SPECIAL_LBL)*10000000+(N('Dvd Calendar'!$F$1258)&gt;0)*(N('Dvd Calendar'!$F$1258)&lt;=VAL_SERIAL)*1000000+14*1000+2))</f>
        <v/>
      </c>
      <c r="EG129" s="121">
        <f>IF(N('Dvd Calendar'!$G$1259)=0,"",IF(('Dvd Calendar'!$G$1259&gt;=GRID_FROM)*('Dvd Calendar'!$G$1259&lt;=GRID_TO)*((('Dvd Calendar'!$G$1259&lt;=VAL_DATE)+(COUNTIF('Dvd Calendar'!$E$1266:$AR$1266,'Dvd Calendar'!$G$1259)=0))&gt;0)=0,"",'Dvd Calendar'!$G$1259*1000000000+ISNUMBER('Dvd Calendar'!$G$1262)*100000000+('Dvd Calendar'!$G$1264=SPECIAL_LBL)*10000000+(N('Dvd Calendar'!$G$1258)&gt;0)*(N('Dvd Calendar'!$G$1258)&lt;=VAL_SERIAL)*1000000+14*1000+3))</f>
        <v/>
      </c>
      <c r="EH129" s="121">
        <f>IF(N('Dvd Calendar'!$H$1259)=0,"",IF(('Dvd Calendar'!$H$1259&gt;=GRID_FROM)*('Dvd Calendar'!$H$1259&lt;=GRID_TO)*((('Dvd Calendar'!$H$1259&lt;=VAL_DATE)+(COUNTIF('Dvd Calendar'!$E$1266:$AR$1266,'Dvd Calendar'!$H$1259)=0))&gt;0)=0,"",'Dvd Calendar'!$H$1259*1000000000+ISNUMBER('Dvd Calendar'!$H$1262)*100000000+('Dvd Calendar'!$H$1264=SPECIAL_LBL)*10000000+(N('Dvd Calendar'!$H$1258)&gt;0)*(N('Dvd Calendar'!$H$1258)&lt;=VAL_SERIAL)*1000000+14*1000+4))</f>
        <v/>
      </c>
      <c r="EI129" s="121">
        <f>IF(N('Dvd Calendar'!$I$1259)=0,"",IF(('Dvd Calendar'!$I$1259&gt;=GRID_FROM)*('Dvd Calendar'!$I$1259&lt;=GRID_TO)*((('Dvd Calendar'!$I$1259&lt;=VAL_DATE)+(COUNTIF('Dvd Calendar'!$E$1266:$AR$1266,'Dvd Calendar'!$I$1259)=0))&gt;0)=0,"",'Dvd Calendar'!$I$1259*1000000000+ISNUMBER('Dvd Calendar'!$I$1262)*100000000+('Dvd Calendar'!$I$1264=SPECIAL_LBL)*10000000+(N('Dvd Calendar'!$I$1258)&gt;0)*(N('Dvd Calendar'!$I$1258)&lt;=VAL_SERIAL)*1000000+14*1000+5))</f>
        <v/>
      </c>
      <c r="EJ129" s="121">
        <f>IF(N('Dvd Calendar'!$J$1259)=0,"",IF(('Dvd Calendar'!$J$1259&gt;=GRID_FROM)*('Dvd Calendar'!$J$1259&lt;=GRID_TO)*((('Dvd Calendar'!$J$1259&lt;=VAL_DATE)+(COUNTIF('Dvd Calendar'!$E$1266:$AR$1266,'Dvd Calendar'!$J$1259)=0))&gt;0)=0,"",'Dvd Calendar'!$J$1259*1000000000+ISNUMBER('Dvd Calendar'!$J$1262)*100000000+('Dvd Calendar'!$J$1264=SPECIAL_LBL)*10000000+(N('Dvd Calendar'!$J$1258)&gt;0)*(N('Dvd Calendar'!$J$1258)&lt;=VAL_SERIAL)*1000000+14*1000+6))</f>
        <v/>
      </c>
      <c r="EK129" s="121">
        <f>IF(N('Dvd Calendar'!$K$1259)=0,"",IF(('Dvd Calendar'!$K$1259&gt;=GRID_FROM)*('Dvd Calendar'!$K$1259&lt;=GRID_TO)*((('Dvd Calendar'!$K$1259&lt;=VAL_DATE)+(COUNTIF('Dvd Calendar'!$E$1266:$AR$1266,'Dvd Calendar'!$K$1259)=0))&gt;0)=0,"",'Dvd Calendar'!$K$1259*1000000000+ISNUMBER('Dvd Calendar'!$K$1262)*100000000+('Dvd Calendar'!$K$1264=SPECIAL_LBL)*10000000+(N('Dvd Calendar'!$K$1258)&gt;0)*(N('Dvd Calendar'!$K$1258)&lt;=VAL_SERIAL)*1000000+14*1000+7))</f>
        <v/>
      </c>
      <c r="EL129" s="121">
        <f>IF(N('Dvd Calendar'!$L$1259)=0,"",IF(('Dvd Calendar'!$L$1259&gt;=GRID_FROM)*('Dvd Calendar'!$L$1259&lt;=GRID_TO)*((('Dvd Calendar'!$L$1259&lt;=VAL_DATE)+(COUNTIF('Dvd Calendar'!$E$1266:$AR$1266,'Dvd Calendar'!$L$1259)=0))&gt;0)=0,"",'Dvd Calendar'!$L$1259*1000000000+ISNUMBER('Dvd Calendar'!$L$1262)*100000000+('Dvd Calendar'!$L$1264=SPECIAL_LBL)*10000000+(N('Dvd Calendar'!$L$1258)&gt;0)*(N('Dvd Calendar'!$L$1258)&lt;=VAL_SERIAL)*1000000+14*1000+8))</f>
        <v/>
      </c>
      <c r="EM129" s="121">
        <f>IF(N('Dvd Calendar'!$M$1259)=0,"",IF(('Dvd Calendar'!$M$1259&gt;=GRID_FROM)*('Dvd Calendar'!$M$1259&lt;=GRID_TO)*((('Dvd Calendar'!$M$1259&lt;=VAL_DATE)+(COUNTIF('Dvd Calendar'!$E$1266:$AR$1266,'Dvd Calendar'!$M$1259)=0))&gt;0)=0,"",'Dvd Calendar'!$M$1259*1000000000+ISNUMBER('Dvd Calendar'!$M$1262)*100000000+('Dvd Calendar'!$M$1264=SPECIAL_LBL)*10000000+(N('Dvd Calendar'!$M$1258)&gt;0)*(N('Dvd Calendar'!$M$1258)&lt;=VAL_SERIAL)*1000000+14*1000+9))</f>
        <v/>
      </c>
      <c r="EN129" s="121">
        <f>IF(N('Dvd Calendar'!$N$1259)=0,"",IF(('Dvd Calendar'!$N$1259&gt;=GRID_FROM)*('Dvd Calendar'!$N$1259&lt;=GRID_TO)*((('Dvd Calendar'!$N$1259&lt;=VAL_DATE)+(COUNTIF('Dvd Calendar'!$E$1266:$AR$1266,'Dvd Calendar'!$N$1259)=0))&gt;0)=0,"",'Dvd Calendar'!$N$1259*1000000000+ISNUMBER('Dvd Calendar'!$N$1262)*100000000+('Dvd Calendar'!$N$1264=SPECIAL_LBL)*10000000+(N('Dvd Calendar'!$N$1258)&gt;0)*(N('Dvd Calendar'!$N$1258)&lt;=VAL_SERIAL)*1000000+14*1000+10))</f>
        <v/>
      </c>
      <c r="EO129" s="121">
        <f>IF(N('Dvd Calendar'!$O$1259)=0,"",IF(('Dvd Calendar'!$O$1259&gt;=GRID_FROM)*('Dvd Calendar'!$O$1259&lt;=GRID_TO)*((('Dvd Calendar'!$O$1259&lt;=VAL_DATE)+(COUNTIF('Dvd Calendar'!$E$1266:$AR$1266,'Dvd Calendar'!$O$1259)=0))&gt;0)=0,"",'Dvd Calendar'!$O$1259*1000000000+ISNUMBER('Dvd Calendar'!$O$1262)*100000000+('Dvd Calendar'!$O$1264=SPECIAL_LBL)*10000000+(N('Dvd Calendar'!$O$1258)&gt;0)*(N('Dvd Calendar'!$O$1258)&lt;=VAL_SERIAL)*1000000+14*1000+11))</f>
        <v/>
      </c>
      <c r="EP129" s="121">
        <f>IF(N('Dvd Calendar'!$P$1259)=0,"",IF(('Dvd Calendar'!$P$1259&gt;=GRID_FROM)*('Dvd Calendar'!$P$1259&lt;=GRID_TO)*((('Dvd Calendar'!$P$1259&lt;=VAL_DATE)+(COUNTIF('Dvd Calendar'!$E$1266:$AR$1266,'Dvd Calendar'!$P$1259)=0))&gt;0)=0,"",'Dvd Calendar'!$P$1259*1000000000+ISNUMBER('Dvd Calendar'!$P$1262)*100000000+('Dvd Calendar'!$P$1264=SPECIAL_LBL)*10000000+(N('Dvd Calendar'!$P$1258)&gt;0)*(N('Dvd Calendar'!$P$1258)&lt;=VAL_SERIAL)*1000000+14*1000+12))</f>
        <v/>
      </c>
      <c r="EQ129" s="121">
        <f>IF(N('Dvd Calendar'!$Q$1259)=0,"",IF(('Dvd Calendar'!$Q$1259&gt;=GRID_FROM)*('Dvd Calendar'!$Q$1259&lt;=GRID_TO)*((('Dvd Calendar'!$Q$1259&lt;=VAL_DATE)+(COUNTIF('Dvd Calendar'!$E$1266:$AR$1266,'Dvd Calendar'!$Q$1259)=0))&gt;0)=0,"",'Dvd Calendar'!$Q$1259*1000000000+ISNUMBER('Dvd Calendar'!$Q$1262)*100000000+('Dvd Calendar'!$Q$1264=SPECIAL_LBL)*10000000+(N('Dvd Calendar'!$Q$1258)&gt;0)*(N('Dvd Calendar'!$Q$1258)&lt;=VAL_SERIAL)*1000000+14*1000+13))</f>
        <v/>
      </c>
      <c r="ER129" s="121">
        <f>IF(N('Dvd Calendar'!$R$1259)=0,"",IF(('Dvd Calendar'!$R$1259&gt;=GRID_FROM)*('Dvd Calendar'!$R$1259&lt;=GRID_TO)*((('Dvd Calendar'!$R$1259&lt;=VAL_DATE)+(COUNTIF('Dvd Calendar'!$E$1266:$AR$1266,'Dvd Calendar'!$R$1259)=0))&gt;0)=0,"",'Dvd Calendar'!$R$1259*1000000000+ISNUMBER('Dvd Calendar'!$R$1262)*100000000+('Dvd Calendar'!$R$1264=SPECIAL_LBL)*10000000+(N('Dvd Calendar'!$R$1258)&gt;0)*(N('Dvd Calendar'!$R$1258)&lt;=VAL_SERIAL)*1000000+14*1000+14))</f>
        <v/>
      </c>
      <c r="ES129" s="121">
        <f>IF(N('Dvd Calendar'!$S$1259)=0,"",IF(('Dvd Calendar'!$S$1259&gt;=GRID_FROM)*('Dvd Calendar'!$S$1259&lt;=GRID_TO)*((('Dvd Calendar'!$S$1259&lt;=VAL_DATE)+(COUNTIF('Dvd Calendar'!$E$1266:$AR$1266,'Dvd Calendar'!$S$1259)=0))&gt;0)=0,"",'Dvd Calendar'!$S$1259*1000000000+ISNUMBER('Dvd Calendar'!$S$1262)*100000000+('Dvd Calendar'!$S$1264=SPECIAL_LBL)*10000000+(N('Dvd Calendar'!$S$1258)&gt;0)*(N('Dvd Calendar'!$S$1258)&lt;=VAL_SERIAL)*1000000+14*1000+15))</f>
        <v/>
      </c>
      <c r="ET129" s="121">
        <f>IF(N('Dvd Calendar'!$T$1259)=0,"",IF(('Dvd Calendar'!$T$1259&gt;=GRID_FROM)*('Dvd Calendar'!$T$1259&lt;=GRID_TO)*((('Dvd Calendar'!$T$1259&lt;=VAL_DATE)+(COUNTIF('Dvd Calendar'!$E$1266:$AR$1266,'Dvd Calendar'!$T$1259)=0))&gt;0)=0,"",'Dvd Calendar'!$T$1259*1000000000+ISNUMBER('Dvd Calendar'!$T$1262)*100000000+('Dvd Calendar'!$T$1264=SPECIAL_LBL)*10000000+(N('Dvd Calendar'!$T$1258)&gt;0)*(N('Dvd Calendar'!$T$1258)&lt;=VAL_SERIAL)*1000000+14*1000+16))</f>
        <v/>
      </c>
      <c r="EU129" s="121">
        <f>IF(N('Dvd Calendar'!$U$1259)=0,"",IF(('Dvd Calendar'!$U$1259&gt;=GRID_FROM)*('Dvd Calendar'!$U$1259&lt;=GRID_TO)*((('Dvd Calendar'!$U$1259&lt;=VAL_DATE)+(COUNTIF('Dvd Calendar'!$E$1266:$AR$1266,'Dvd Calendar'!$U$1259)=0))&gt;0)=0,"",'Dvd Calendar'!$U$1259*1000000000+ISNUMBER('Dvd Calendar'!$U$1262)*100000000+('Dvd Calendar'!$U$1264=SPECIAL_LBL)*10000000+(N('Dvd Calendar'!$U$1258)&gt;0)*(N('Dvd Calendar'!$U$1258)&lt;=VAL_SERIAL)*1000000+14*1000+17))</f>
        <v/>
      </c>
      <c r="EV129" s="121">
        <f>IF(N('Dvd Calendar'!$V$1259)=0,"",IF(('Dvd Calendar'!$V$1259&gt;=GRID_FROM)*('Dvd Calendar'!$V$1259&lt;=GRID_TO)*((('Dvd Calendar'!$V$1259&lt;=VAL_DATE)+(COUNTIF('Dvd Calendar'!$E$1266:$AR$1266,'Dvd Calendar'!$V$1259)=0))&gt;0)=0,"",'Dvd Calendar'!$V$1259*1000000000+ISNUMBER('Dvd Calendar'!$V$1262)*100000000+('Dvd Calendar'!$V$1264=SPECIAL_LBL)*10000000+(N('Dvd Calendar'!$V$1258)&gt;0)*(N('Dvd Calendar'!$V$1258)&lt;=VAL_SERIAL)*1000000+14*1000+18))</f>
        <v/>
      </c>
      <c r="EW129" s="121">
        <f>IF(N('Dvd Calendar'!$W$1259)=0,"",IF(('Dvd Calendar'!$W$1259&gt;=GRID_FROM)*('Dvd Calendar'!$W$1259&lt;=GRID_TO)*((('Dvd Calendar'!$W$1259&lt;=VAL_DATE)+(COUNTIF('Dvd Calendar'!$E$1266:$AR$1266,'Dvd Calendar'!$W$1259)=0))&gt;0)=0,"",'Dvd Calendar'!$W$1259*1000000000+ISNUMBER('Dvd Calendar'!$W$1262)*100000000+('Dvd Calendar'!$W$1264=SPECIAL_LBL)*10000000+(N('Dvd Calendar'!$W$1258)&gt;0)*(N('Dvd Calendar'!$W$1258)&lt;=VAL_SERIAL)*1000000+14*1000+19))</f>
        <v/>
      </c>
      <c r="EX129" s="121">
        <f>IF(N('Dvd Calendar'!$X$1259)=0,"",IF(('Dvd Calendar'!$X$1259&gt;=GRID_FROM)*('Dvd Calendar'!$X$1259&lt;=GRID_TO)*((('Dvd Calendar'!$X$1259&lt;=VAL_DATE)+(COUNTIF('Dvd Calendar'!$E$1266:$AR$1266,'Dvd Calendar'!$X$1259)=0))&gt;0)=0,"",'Dvd Calendar'!$X$1259*1000000000+ISNUMBER('Dvd Calendar'!$X$1262)*100000000+('Dvd Calendar'!$X$1264=SPECIAL_LBL)*10000000+(N('Dvd Calendar'!$X$1258)&gt;0)*(N('Dvd Calendar'!$X$1258)&lt;=VAL_SERIAL)*1000000+14*1000+20))</f>
        <v/>
      </c>
      <c r="EY129" s="121">
        <f>IF(N('Dvd Calendar'!$Y$1259)=0,"",IF(('Dvd Calendar'!$Y$1259&gt;=GRID_FROM)*('Dvd Calendar'!$Y$1259&lt;=GRID_TO)*((('Dvd Calendar'!$Y$1259&lt;=VAL_DATE)+(COUNTIF('Dvd Calendar'!$E$1266:$AR$1266,'Dvd Calendar'!$Y$1259)=0))&gt;0)=0,"",'Dvd Calendar'!$Y$1259*1000000000+ISNUMBER('Dvd Calendar'!$Y$1262)*100000000+('Dvd Calendar'!$Y$1264=SPECIAL_LBL)*10000000+(N('Dvd Calendar'!$Y$1258)&gt;0)*(N('Dvd Calendar'!$Y$1258)&lt;=VAL_SERIAL)*1000000+14*1000+21))</f>
        <v/>
      </c>
      <c r="EZ129" s="121">
        <f>IF(N('Dvd Calendar'!$Z$1259)=0,"",IF(('Dvd Calendar'!$Z$1259&gt;=GRID_FROM)*('Dvd Calendar'!$Z$1259&lt;=GRID_TO)*((('Dvd Calendar'!$Z$1259&lt;=VAL_DATE)+(COUNTIF('Dvd Calendar'!$E$1266:$AR$1266,'Dvd Calendar'!$Z$1259)=0))&gt;0)=0,"",'Dvd Calendar'!$Z$1259*1000000000+ISNUMBER('Dvd Calendar'!$Z$1262)*100000000+('Dvd Calendar'!$Z$1264=SPECIAL_LBL)*10000000+(N('Dvd Calendar'!$Z$1258)&gt;0)*(N('Dvd Calendar'!$Z$1258)&lt;=VAL_SERIAL)*1000000+14*1000+22))</f>
        <v/>
      </c>
      <c r="FA129" s="121">
        <f>IF(N('Dvd Calendar'!$AA$1259)=0,"",IF(('Dvd Calendar'!$AA$1259&gt;=GRID_FROM)*('Dvd Calendar'!$AA$1259&lt;=GRID_TO)*((('Dvd Calendar'!$AA$1259&lt;=VAL_DATE)+(COUNTIF('Dvd Calendar'!$E$1266:$AR$1266,'Dvd Calendar'!$AA$1259)=0))&gt;0)=0,"",'Dvd Calendar'!$AA$1259*1000000000+ISNUMBER('Dvd Calendar'!$AA$1262)*100000000+('Dvd Calendar'!$AA$1264=SPECIAL_LBL)*10000000+(N('Dvd Calendar'!$AA$1258)&gt;0)*(N('Dvd Calendar'!$AA$1258)&lt;=VAL_SERIAL)*1000000+14*1000+23))</f>
        <v/>
      </c>
      <c r="FB129" s="121">
        <f>IF(N('Dvd Calendar'!$AB$1259)=0,"",IF(('Dvd Calendar'!$AB$1259&gt;=GRID_FROM)*('Dvd Calendar'!$AB$1259&lt;=GRID_TO)*((('Dvd Calendar'!$AB$1259&lt;=VAL_DATE)+(COUNTIF('Dvd Calendar'!$E$1266:$AR$1266,'Dvd Calendar'!$AB$1259)=0))&gt;0)=0,"",'Dvd Calendar'!$AB$1259*1000000000+ISNUMBER('Dvd Calendar'!$AB$1262)*100000000+('Dvd Calendar'!$AB$1264=SPECIAL_LBL)*10000000+(N('Dvd Calendar'!$AB$1258)&gt;0)*(N('Dvd Calendar'!$AB$1258)&lt;=VAL_SERIAL)*1000000+14*1000+24))</f>
        <v/>
      </c>
      <c r="FC129" s="121">
        <f>IF(N('Dvd Calendar'!$AC$1259)=0,"",IF(('Dvd Calendar'!$AC$1259&gt;=GRID_FROM)*('Dvd Calendar'!$AC$1259&lt;=GRID_TO)*((('Dvd Calendar'!$AC$1259&lt;=VAL_DATE)+(COUNTIF('Dvd Calendar'!$E$1266:$AR$1266,'Dvd Calendar'!$AC$1259)=0))&gt;0)=0,"",'Dvd Calendar'!$AC$1259*1000000000+ISNUMBER('Dvd Calendar'!$AC$1262)*100000000+('Dvd Calendar'!$AC$1264=SPECIAL_LBL)*10000000+(N('Dvd Calendar'!$AC$1258)&gt;0)*(N('Dvd Calendar'!$AC$1258)&lt;=VAL_SERIAL)*1000000+14*1000+25))</f>
        <v/>
      </c>
      <c r="FD129" s="121">
        <f>IF(N('Dvd Calendar'!$AD$1259)=0,"",IF(('Dvd Calendar'!$AD$1259&gt;=GRID_FROM)*('Dvd Calendar'!$AD$1259&lt;=GRID_TO)*((('Dvd Calendar'!$AD$1259&lt;=VAL_DATE)+(COUNTIF('Dvd Calendar'!$E$1266:$AR$1266,'Dvd Calendar'!$AD$1259)=0))&gt;0)=0,"",'Dvd Calendar'!$AD$1259*1000000000+ISNUMBER('Dvd Calendar'!$AD$1262)*100000000+('Dvd Calendar'!$AD$1264=SPECIAL_LBL)*10000000+(N('Dvd Calendar'!$AD$1258)&gt;0)*(N('Dvd Calendar'!$AD$1258)&lt;=VAL_SERIAL)*1000000+14*1000+26))</f>
        <v/>
      </c>
      <c r="FE129" s="121">
        <f>IF(N('Dvd Calendar'!$AE$1259)=0,"",IF(('Dvd Calendar'!$AE$1259&gt;=GRID_FROM)*('Dvd Calendar'!$AE$1259&lt;=GRID_TO)*((('Dvd Calendar'!$AE$1259&lt;=VAL_DATE)+(COUNTIF('Dvd Calendar'!$E$1266:$AR$1266,'Dvd Calendar'!$AE$1259)=0))&gt;0)=0,"",'Dvd Calendar'!$AE$1259*1000000000+ISNUMBER('Dvd Calendar'!$AE$1262)*100000000+('Dvd Calendar'!$AE$1264=SPECIAL_LBL)*10000000+(N('Dvd Calendar'!$AE$1258)&gt;0)*(N('Dvd Calendar'!$AE$1258)&lt;=VAL_SERIAL)*1000000+14*1000+27))</f>
        <v/>
      </c>
      <c r="FF129" s="121">
        <f>IF(N('Dvd Calendar'!$AF$1259)=0,"",IF(('Dvd Calendar'!$AF$1259&gt;=GRID_FROM)*('Dvd Calendar'!$AF$1259&lt;=GRID_TO)*((('Dvd Calendar'!$AF$1259&lt;=VAL_DATE)+(COUNTIF('Dvd Calendar'!$E$1266:$AR$1266,'Dvd Calendar'!$AF$1259)=0))&gt;0)=0,"",'Dvd Calendar'!$AF$1259*1000000000+ISNUMBER('Dvd Calendar'!$AF$1262)*100000000+('Dvd Calendar'!$AF$1264=SPECIAL_LBL)*10000000+(N('Dvd Calendar'!$AF$1258)&gt;0)*(N('Dvd Calendar'!$AF$1258)&lt;=VAL_SERIAL)*1000000+14*1000+28))</f>
        <v/>
      </c>
      <c r="FG129" s="121">
        <f>IF(N('Dvd Calendar'!$AG$1259)=0,"",IF(('Dvd Calendar'!$AG$1259&gt;=GRID_FROM)*('Dvd Calendar'!$AG$1259&lt;=GRID_TO)*((('Dvd Calendar'!$AG$1259&lt;=VAL_DATE)+(COUNTIF('Dvd Calendar'!$E$1266:$AR$1266,'Dvd Calendar'!$AG$1259)=0))&gt;0)=0,"",'Dvd Calendar'!$AG$1259*1000000000+ISNUMBER('Dvd Calendar'!$AG$1262)*100000000+('Dvd Calendar'!$AG$1264=SPECIAL_LBL)*10000000+(N('Dvd Calendar'!$AG$1258)&gt;0)*(N('Dvd Calendar'!$AG$1258)&lt;=VAL_SERIAL)*1000000+14*1000+29))</f>
        <v/>
      </c>
      <c r="FH129" s="121">
        <f>IF(N('Dvd Calendar'!$AH$1259)=0,"",IF(('Dvd Calendar'!$AH$1259&gt;=GRID_FROM)*('Dvd Calendar'!$AH$1259&lt;=GRID_TO)*((('Dvd Calendar'!$AH$1259&lt;=VAL_DATE)+(COUNTIF('Dvd Calendar'!$E$1266:$AR$1266,'Dvd Calendar'!$AH$1259)=0))&gt;0)=0,"",'Dvd Calendar'!$AH$1259*1000000000+ISNUMBER('Dvd Calendar'!$AH$1262)*100000000+('Dvd Calendar'!$AH$1264=SPECIAL_LBL)*10000000+(N('Dvd Calendar'!$AH$1258)&gt;0)*(N('Dvd Calendar'!$AH$1258)&lt;=VAL_SERIAL)*1000000+14*1000+30))</f>
        <v/>
      </c>
      <c r="FI129" s="121">
        <f>IF(N('Dvd Calendar'!$AI$1259)=0,"",IF(('Dvd Calendar'!$AI$1259&gt;=GRID_FROM)*('Dvd Calendar'!$AI$1259&lt;=GRID_TO)*((('Dvd Calendar'!$AI$1259&lt;=VAL_DATE)+(COUNTIF('Dvd Calendar'!$E$1266:$AR$1266,'Dvd Calendar'!$AI$1259)=0))&gt;0)=0,"",'Dvd Calendar'!$AI$1259*1000000000+ISNUMBER('Dvd Calendar'!$AI$1262)*100000000+('Dvd Calendar'!$AI$1264=SPECIAL_LBL)*10000000+(N('Dvd Calendar'!$AI$1258)&gt;0)*(N('Dvd Calendar'!$AI$1258)&lt;=VAL_SERIAL)*1000000+14*1000+31))</f>
        <v/>
      </c>
      <c r="FJ129" s="121">
        <f>IF(N('Dvd Calendar'!$AJ$1259)=0,"",IF(('Dvd Calendar'!$AJ$1259&gt;=GRID_FROM)*('Dvd Calendar'!$AJ$1259&lt;=GRID_TO)*((('Dvd Calendar'!$AJ$1259&lt;=VAL_DATE)+(COUNTIF('Dvd Calendar'!$E$1266:$AR$1266,'Dvd Calendar'!$AJ$1259)=0))&gt;0)=0,"",'Dvd Calendar'!$AJ$1259*1000000000+ISNUMBER('Dvd Calendar'!$AJ$1262)*100000000+('Dvd Calendar'!$AJ$1264=SPECIAL_LBL)*10000000+(N('Dvd Calendar'!$AJ$1258)&gt;0)*(N('Dvd Calendar'!$AJ$1258)&lt;=VAL_SERIAL)*1000000+14*1000+32))</f>
        <v/>
      </c>
      <c r="FK129" s="121">
        <f>IF(N('Dvd Calendar'!$AK$1259)=0,"",IF(('Dvd Calendar'!$AK$1259&gt;=GRID_FROM)*('Dvd Calendar'!$AK$1259&lt;=GRID_TO)*((('Dvd Calendar'!$AK$1259&lt;=VAL_DATE)+(COUNTIF('Dvd Calendar'!$E$1266:$AR$1266,'Dvd Calendar'!$AK$1259)=0))&gt;0)=0,"",'Dvd Calendar'!$AK$1259*1000000000+ISNUMBER('Dvd Calendar'!$AK$1262)*100000000+('Dvd Calendar'!$AK$1264=SPECIAL_LBL)*10000000+(N('Dvd Calendar'!$AK$1258)&gt;0)*(N('Dvd Calendar'!$AK$1258)&lt;=VAL_SERIAL)*1000000+14*1000+33))</f>
        <v/>
      </c>
      <c r="FL129" s="121">
        <f>IF(N('Dvd Calendar'!$AL$1259)=0,"",IF(('Dvd Calendar'!$AL$1259&gt;=GRID_FROM)*('Dvd Calendar'!$AL$1259&lt;=GRID_TO)*((('Dvd Calendar'!$AL$1259&lt;=VAL_DATE)+(COUNTIF('Dvd Calendar'!$E$1266:$AR$1266,'Dvd Calendar'!$AL$1259)=0))&gt;0)=0,"",'Dvd Calendar'!$AL$1259*1000000000+ISNUMBER('Dvd Calendar'!$AL$1262)*100000000+('Dvd Calendar'!$AL$1264=SPECIAL_LBL)*10000000+(N('Dvd Calendar'!$AL$1258)&gt;0)*(N('Dvd Calendar'!$AL$1258)&lt;=VAL_SERIAL)*1000000+14*1000+34))</f>
        <v/>
      </c>
      <c r="FM129" s="121">
        <f>IF(N('Dvd Calendar'!$AM$1259)=0,"",IF(('Dvd Calendar'!$AM$1259&gt;=GRID_FROM)*('Dvd Calendar'!$AM$1259&lt;=GRID_TO)*((('Dvd Calendar'!$AM$1259&lt;=VAL_DATE)+(COUNTIF('Dvd Calendar'!$E$1266:$AR$1266,'Dvd Calendar'!$AM$1259)=0))&gt;0)=0,"",'Dvd Calendar'!$AM$1259*1000000000+ISNUMBER('Dvd Calendar'!$AM$1262)*100000000+('Dvd Calendar'!$AM$1264=SPECIAL_LBL)*10000000+(N('Dvd Calendar'!$AM$1258)&gt;0)*(N('Dvd Calendar'!$AM$1258)&lt;=VAL_SERIAL)*1000000+14*1000+35))</f>
        <v/>
      </c>
      <c r="FN129" s="121">
        <f>IF(N('Dvd Calendar'!$AN$1259)=0,"",IF(('Dvd Calendar'!$AN$1259&gt;=GRID_FROM)*('Dvd Calendar'!$AN$1259&lt;=GRID_TO)*((('Dvd Calendar'!$AN$1259&lt;=VAL_DATE)+(COUNTIF('Dvd Calendar'!$E$1266:$AR$1266,'Dvd Calendar'!$AN$1259)=0))&gt;0)=0,"",'Dvd Calendar'!$AN$1259*1000000000+ISNUMBER('Dvd Calendar'!$AN$1262)*100000000+('Dvd Calendar'!$AN$1264=SPECIAL_LBL)*10000000+(N('Dvd Calendar'!$AN$1258)&gt;0)*(N('Dvd Calendar'!$AN$1258)&lt;=VAL_SERIAL)*1000000+14*1000+36))</f>
        <v/>
      </c>
      <c r="FO129" s="121">
        <f>IF(N('Dvd Calendar'!$AO$1259)=0,"",IF(('Dvd Calendar'!$AO$1259&gt;=GRID_FROM)*('Dvd Calendar'!$AO$1259&lt;=GRID_TO)*((('Dvd Calendar'!$AO$1259&lt;=VAL_DATE)+(COUNTIF('Dvd Calendar'!$E$1266:$AR$1266,'Dvd Calendar'!$AO$1259)=0))&gt;0)=0,"",'Dvd Calendar'!$AO$1259*1000000000+ISNUMBER('Dvd Calendar'!$AO$1262)*100000000+('Dvd Calendar'!$AO$1264=SPECIAL_LBL)*10000000+(N('Dvd Calendar'!$AO$1258)&gt;0)*(N('Dvd Calendar'!$AO$1258)&lt;=VAL_SERIAL)*1000000+14*1000+37))</f>
        <v/>
      </c>
      <c r="FP129" s="121">
        <f>IF(N('Dvd Calendar'!$AP$1259)=0,"",IF(('Dvd Calendar'!$AP$1259&gt;=GRID_FROM)*('Dvd Calendar'!$AP$1259&lt;=GRID_TO)*((('Dvd Calendar'!$AP$1259&lt;=VAL_DATE)+(COUNTIF('Dvd Calendar'!$E$1266:$AR$1266,'Dvd Calendar'!$AP$1259)=0))&gt;0)=0,"",'Dvd Calendar'!$AP$1259*1000000000+ISNUMBER('Dvd Calendar'!$AP$1262)*100000000+('Dvd Calendar'!$AP$1264=SPECIAL_LBL)*10000000+(N('Dvd Calendar'!$AP$1258)&gt;0)*(N('Dvd Calendar'!$AP$1258)&lt;=VAL_SERIAL)*1000000+14*1000+38))</f>
        <v/>
      </c>
      <c r="FQ129" s="121">
        <f>IF(N('Dvd Calendar'!$AQ$1259)=0,"",IF(('Dvd Calendar'!$AQ$1259&gt;=GRID_FROM)*('Dvd Calendar'!$AQ$1259&lt;=GRID_TO)*((('Dvd Calendar'!$AQ$1259&lt;=VAL_DATE)+(COUNTIF('Dvd Calendar'!$E$1266:$AR$1266,'Dvd Calendar'!$AQ$1259)=0))&gt;0)=0,"",'Dvd Calendar'!$AQ$1259*1000000000+ISNUMBER('Dvd Calendar'!$AQ$1262)*100000000+('Dvd Calendar'!$AQ$1264=SPECIAL_LBL)*10000000+(N('Dvd Calendar'!$AQ$1258)&gt;0)*(N('Dvd Calendar'!$AQ$1258)&lt;=VAL_SERIAL)*1000000+14*1000+39))</f>
        <v/>
      </c>
      <c r="FR129" s="121">
        <f>IF(N('Dvd Calendar'!$AR$1259)=0,"",IF(('Dvd Calendar'!$AR$1259&gt;=GRID_FROM)*('Dvd Calendar'!$AR$1259&lt;=GRID_TO)*((('Dvd Calendar'!$AR$1259&lt;=VAL_DATE)+(COUNTIF('Dvd Calendar'!$E$1266:$AR$1266,'Dvd Calendar'!$AR$1259)=0))&gt;0)=0,"",'Dvd Calendar'!$AR$1259*1000000000+ISNUMBER('Dvd Calendar'!$AR$1262)*100000000+('Dvd Calendar'!$AR$1264=SPECIAL_LBL)*10000000+(N('Dvd Calendar'!$AR$1258)&gt;0)*(N('Dvd Calendar'!$AR$1258)&lt;=VAL_SERIAL)*1000000+14*1000+40))</f>
        <v/>
      </c>
      <c r="FS129" s="121">
        <f>IF(N('Dvd Calendar'!$E$1266)=0,"",IF(('Dvd Calendar'!$E$1266&gt;=GRID_FROM)*('Dvd Calendar'!$E$1266&lt;=GRID_TO)*('Dvd Calendar'!$E$1266&gt;VAL_DATE)=0,"",'Dvd Calendar'!$E$1266*1000000000+ISNUMBER('Dvd Calendar'!$E$1267)*100000000+0*10000000+(N('Dvd Calendar'!$E$1265)&gt;0)*(N('Dvd Calendar'!$E$1265)&lt;=VAL_SERIAL)*1000000+14*1000+41))</f>
        <v/>
      </c>
      <c r="FT129" s="121">
        <f>IF(N('Dvd Calendar'!$F$1266)=0,"",IF(('Dvd Calendar'!$F$1266&gt;=GRID_FROM)*('Dvd Calendar'!$F$1266&lt;=GRID_TO)*('Dvd Calendar'!$F$1266&gt;VAL_DATE)=0,"",'Dvd Calendar'!$F$1266*1000000000+ISNUMBER('Dvd Calendar'!$F$1267)*100000000+0*10000000+(N('Dvd Calendar'!$F$1265)&gt;0)*(N('Dvd Calendar'!$F$1265)&lt;=VAL_SERIAL)*1000000+14*1000+42))</f>
        <v/>
      </c>
      <c r="FU129" s="121">
        <f>IF(N('Dvd Calendar'!$G$1266)=0,"",IF(('Dvd Calendar'!$G$1266&gt;=GRID_FROM)*('Dvd Calendar'!$G$1266&lt;=GRID_TO)*('Dvd Calendar'!$G$1266&gt;VAL_DATE)=0,"",'Dvd Calendar'!$G$1266*1000000000+ISNUMBER('Dvd Calendar'!$G$1267)*100000000+0*10000000+(N('Dvd Calendar'!$G$1265)&gt;0)*(N('Dvd Calendar'!$G$1265)&lt;=VAL_SERIAL)*1000000+14*1000+43))</f>
        <v/>
      </c>
      <c r="FV129" s="121">
        <f>IF(N('Dvd Calendar'!$H$1266)=0,"",IF(('Dvd Calendar'!$H$1266&gt;=GRID_FROM)*('Dvd Calendar'!$H$1266&lt;=GRID_TO)*('Dvd Calendar'!$H$1266&gt;VAL_DATE)=0,"",'Dvd Calendar'!$H$1266*1000000000+ISNUMBER('Dvd Calendar'!$H$1267)*100000000+0*10000000+(N('Dvd Calendar'!$H$1265)&gt;0)*(N('Dvd Calendar'!$H$1265)&lt;=VAL_SERIAL)*1000000+14*1000+44))</f>
        <v/>
      </c>
      <c r="FW129" s="121">
        <f>IF(N('Dvd Calendar'!$I$1266)=0,"",IF(('Dvd Calendar'!$I$1266&gt;=GRID_FROM)*('Dvd Calendar'!$I$1266&lt;=GRID_TO)*('Dvd Calendar'!$I$1266&gt;VAL_DATE)=0,"",'Dvd Calendar'!$I$1266*1000000000+ISNUMBER('Dvd Calendar'!$I$1267)*100000000+0*10000000+(N('Dvd Calendar'!$I$1265)&gt;0)*(N('Dvd Calendar'!$I$1265)&lt;=VAL_SERIAL)*1000000+14*1000+45))</f>
        <v/>
      </c>
      <c r="FX129" s="121">
        <f>IF(N('Dvd Calendar'!$J$1266)=0,"",IF(('Dvd Calendar'!$J$1266&gt;=GRID_FROM)*('Dvd Calendar'!$J$1266&lt;=GRID_TO)*('Dvd Calendar'!$J$1266&gt;VAL_DATE)=0,"",'Dvd Calendar'!$J$1266*1000000000+ISNUMBER('Dvd Calendar'!$J$1267)*100000000+0*10000000+(N('Dvd Calendar'!$J$1265)&gt;0)*(N('Dvd Calendar'!$J$1265)&lt;=VAL_SERIAL)*1000000+14*1000+46))</f>
        <v/>
      </c>
      <c r="FY129" s="121">
        <f>IF(N('Dvd Calendar'!$K$1266)=0,"",IF(('Dvd Calendar'!$K$1266&gt;=GRID_FROM)*('Dvd Calendar'!$K$1266&lt;=GRID_TO)*('Dvd Calendar'!$K$1266&gt;VAL_DATE)=0,"",'Dvd Calendar'!$K$1266*1000000000+ISNUMBER('Dvd Calendar'!$K$1267)*100000000+0*10000000+(N('Dvd Calendar'!$K$1265)&gt;0)*(N('Dvd Calendar'!$K$1265)&lt;=VAL_SERIAL)*1000000+14*1000+47))</f>
        <v/>
      </c>
      <c r="FZ129" s="121">
        <f>IF(N('Dvd Calendar'!$L$1266)=0,"",IF(('Dvd Calendar'!$L$1266&gt;=GRID_FROM)*('Dvd Calendar'!$L$1266&lt;=GRID_TO)*('Dvd Calendar'!$L$1266&gt;VAL_DATE)=0,"",'Dvd Calendar'!$L$1266*1000000000+ISNUMBER('Dvd Calendar'!$L$1267)*100000000+0*10000000+(N('Dvd Calendar'!$L$1265)&gt;0)*(N('Dvd Calendar'!$L$1265)&lt;=VAL_SERIAL)*1000000+14*1000+48))</f>
        <v/>
      </c>
      <c r="GA129" s="121">
        <f>IF(N('Dvd Calendar'!$M$1266)=0,"",IF(('Dvd Calendar'!$M$1266&gt;=GRID_FROM)*('Dvd Calendar'!$M$1266&lt;=GRID_TO)*('Dvd Calendar'!$M$1266&gt;VAL_DATE)=0,"",'Dvd Calendar'!$M$1266*1000000000+ISNUMBER('Dvd Calendar'!$M$1267)*100000000+0*10000000+(N('Dvd Calendar'!$M$1265)&gt;0)*(N('Dvd Calendar'!$M$1265)&lt;=VAL_SERIAL)*1000000+14*1000+49))</f>
        <v/>
      </c>
      <c r="GB129" s="121">
        <f>IF(N('Dvd Calendar'!$N$1266)=0,"",IF(('Dvd Calendar'!$N$1266&gt;=GRID_FROM)*('Dvd Calendar'!$N$1266&lt;=GRID_TO)*('Dvd Calendar'!$N$1266&gt;VAL_DATE)=0,"",'Dvd Calendar'!$N$1266*1000000000+ISNUMBER('Dvd Calendar'!$N$1267)*100000000+0*10000000+(N('Dvd Calendar'!$N$1265)&gt;0)*(N('Dvd Calendar'!$N$1265)&lt;=VAL_SERIAL)*1000000+14*1000+50))</f>
        <v/>
      </c>
      <c r="GC129" s="121">
        <f>IF(N('Dvd Calendar'!$O$1266)=0,"",IF(('Dvd Calendar'!$O$1266&gt;=GRID_FROM)*('Dvd Calendar'!$O$1266&lt;=GRID_TO)*('Dvd Calendar'!$O$1266&gt;VAL_DATE)=0,"",'Dvd Calendar'!$O$1266*1000000000+ISNUMBER('Dvd Calendar'!$O$1267)*100000000+0*10000000+(N('Dvd Calendar'!$O$1265)&gt;0)*(N('Dvd Calendar'!$O$1265)&lt;=VAL_SERIAL)*1000000+14*1000+51))</f>
        <v/>
      </c>
      <c r="GD129" s="121">
        <f>IF(N('Dvd Calendar'!$P$1266)=0,"",IF(('Dvd Calendar'!$P$1266&gt;=GRID_FROM)*('Dvd Calendar'!$P$1266&lt;=GRID_TO)*('Dvd Calendar'!$P$1266&gt;VAL_DATE)=0,"",'Dvd Calendar'!$P$1266*1000000000+ISNUMBER('Dvd Calendar'!$P$1267)*100000000+0*10000000+(N('Dvd Calendar'!$P$1265)&gt;0)*(N('Dvd Calendar'!$P$1265)&lt;=VAL_SERIAL)*1000000+14*1000+52))</f>
        <v/>
      </c>
      <c r="GE129" s="121">
        <f>IF(N('Dvd Calendar'!$Q$1266)=0,"",IF(('Dvd Calendar'!$Q$1266&gt;=GRID_FROM)*('Dvd Calendar'!$Q$1266&lt;=GRID_TO)*('Dvd Calendar'!$Q$1266&gt;VAL_DATE)=0,"",'Dvd Calendar'!$Q$1266*1000000000+ISNUMBER('Dvd Calendar'!$Q$1267)*100000000+0*10000000+(N('Dvd Calendar'!$Q$1265)&gt;0)*(N('Dvd Calendar'!$Q$1265)&lt;=VAL_SERIAL)*1000000+14*1000+53))</f>
        <v/>
      </c>
      <c r="GF129" s="121">
        <f>IF(N('Dvd Calendar'!$R$1266)=0,"",IF(('Dvd Calendar'!$R$1266&gt;=GRID_FROM)*('Dvd Calendar'!$R$1266&lt;=GRID_TO)*('Dvd Calendar'!$R$1266&gt;VAL_DATE)=0,"",'Dvd Calendar'!$R$1266*1000000000+ISNUMBER('Dvd Calendar'!$R$1267)*100000000+0*10000000+(N('Dvd Calendar'!$R$1265)&gt;0)*(N('Dvd Calendar'!$R$1265)&lt;=VAL_SERIAL)*1000000+14*1000+54))</f>
        <v/>
      </c>
      <c r="GG129" s="121">
        <f>IF(N('Dvd Calendar'!$S$1266)=0,"",IF(('Dvd Calendar'!$S$1266&gt;=GRID_FROM)*('Dvd Calendar'!$S$1266&lt;=GRID_TO)*('Dvd Calendar'!$S$1266&gt;VAL_DATE)=0,"",'Dvd Calendar'!$S$1266*1000000000+ISNUMBER('Dvd Calendar'!$S$1267)*100000000+0*10000000+(N('Dvd Calendar'!$S$1265)&gt;0)*(N('Dvd Calendar'!$S$1265)&lt;=VAL_SERIAL)*1000000+14*1000+55))</f>
        <v/>
      </c>
      <c r="GH129" s="121">
        <f>IF(N('Dvd Calendar'!$T$1266)=0,"",IF(('Dvd Calendar'!$T$1266&gt;=GRID_FROM)*('Dvd Calendar'!$T$1266&lt;=GRID_TO)*('Dvd Calendar'!$T$1266&gt;VAL_DATE)=0,"",'Dvd Calendar'!$T$1266*1000000000+ISNUMBER('Dvd Calendar'!$T$1267)*100000000+0*10000000+(N('Dvd Calendar'!$T$1265)&gt;0)*(N('Dvd Calendar'!$T$1265)&lt;=VAL_SERIAL)*1000000+14*1000+56))</f>
        <v/>
      </c>
      <c r="GI129" s="121">
        <f>IF(N('Dvd Calendar'!$U$1266)=0,"",IF(('Dvd Calendar'!$U$1266&gt;=GRID_FROM)*('Dvd Calendar'!$U$1266&lt;=GRID_TO)*('Dvd Calendar'!$U$1266&gt;VAL_DATE)=0,"",'Dvd Calendar'!$U$1266*1000000000+ISNUMBER('Dvd Calendar'!$U$1267)*100000000+0*10000000+(N('Dvd Calendar'!$U$1265)&gt;0)*(N('Dvd Calendar'!$U$1265)&lt;=VAL_SERIAL)*1000000+14*1000+57))</f>
        <v/>
      </c>
      <c r="GJ129" s="121">
        <f>IF(N('Dvd Calendar'!$V$1266)=0,"",IF(('Dvd Calendar'!$V$1266&gt;=GRID_FROM)*('Dvd Calendar'!$V$1266&lt;=GRID_TO)*('Dvd Calendar'!$V$1266&gt;VAL_DATE)=0,"",'Dvd Calendar'!$V$1266*1000000000+ISNUMBER('Dvd Calendar'!$V$1267)*100000000+0*10000000+(N('Dvd Calendar'!$V$1265)&gt;0)*(N('Dvd Calendar'!$V$1265)&lt;=VAL_SERIAL)*1000000+14*1000+58))</f>
        <v/>
      </c>
      <c r="GK129" s="121">
        <f>IF(N('Dvd Calendar'!$W$1266)=0,"",IF(('Dvd Calendar'!$W$1266&gt;=GRID_FROM)*('Dvd Calendar'!$W$1266&lt;=GRID_TO)*('Dvd Calendar'!$W$1266&gt;VAL_DATE)=0,"",'Dvd Calendar'!$W$1266*1000000000+ISNUMBER('Dvd Calendar'!$W$1267)*100000000+0*10000000+(N('Dvd Calendar'!$W$1265)&gt;0)*(N('Dvd Calendar'!$W$1265)&lt;=VAL_SERIAL)*1000000+14*1000+59))</f>
        <v/>
      </c>
      <c r="GL129" s="121">
        <f>IF(N('Dvd Calendar'!$X$1266)=0,"",IF(('Dvd Calendar'!$X$1266&gt;=GRID_FROM)*('Dvd Calendar'!$X$1266&lt;=GRID_TO)*('Dvd Calendar'!$X$1266&gt;VAL_DATE)=0,"",'Dvd Calendar'!$X$1266*1000000000+ISNUMBER('Dvd Calendar'!$X$1267)*100000000+0*10000000+(N('Dvd Calendar'!$X$1265)&gt;0)*(N('Dvd Calendar'!$X$1265)&lt;=VAL_SERIAL)*1000000+14*1000+60))</f>
        <v/>
      </c>
      <c r="GM129" s="121">
        <f>IF(N('Dvd Calendar'!$Y$1266)=0,"",IF(('Dvd Calendar'!$Y$1266&gt;=GRID_FROM)*('Dvd Calendar'!$Y$1266&lt;=GRID_TO)*('Dvd Calendar'!$Y$1266&gt;VAL_DATE)=0,"",'Dvd Calendar'!$Y$1266*1000000000+ISNUMBER('Dvd Calendar'!$Y$1267)*100000000+0*10000000+(N('Dvd Calendar'!$Y$1265)&gt;0)*(N('Dvd Calendar'!$Y$1265)&lt;=VAL_SERIAL)*1000000+14*1000+61))</f>
        <v/>
      </c>
      <c r="GN129" s="121">
        <f>IF(N('Dvd Calendar'!$Z$1266)=0,"",IF(('Dvd Calendar'!$Z$1266&gt;=GRID_FROM)*('Dvd Calendar'!$Z$1266&lt;=GRID_TO)*('Dvd Calendar'!$Z$1266&gt;VAL_DATE)=0,"",'Dvd Calendar'!$Z$1266*1000000000+ISNUMBER('Dvd Calendar'!$Z$1267)*100000000+0*10000000+(N('Dvd Calendar'!$Z$1265)&gt;0)*(N('Dvd Calendar'!$Z$1265)&lt;=VAL_SERIAL)*1000000+14*1000+62))</f>
        <v/>
      </c>
      <c r="GO129" s="121">
        <f>IF(N('Dvd Calendar'!$AA$1266)=0,"",IF(('Dvd Calendar'!$AA$1266&gt;=GRID_FROM)*('Dvd Calendar'!$AA$1266&lt;=GRID_TO)*('Dvd Calendar'!$AA$1266&gt;VAL_DATE)=0,"",'Dvd Calendar'!$AA$1266*1000000000+ISNUMBER('Dvd Calendar'!$AA$1267)*100000000+0*10000000+(N('Dvd Calendar'!$AA$1265)&gt;0)*(N('Dvd Calendar'!$AA$1265)&lt;=VAL_SERIAL)*1000000+14*1000+63))</f>
        <v/>
      </c>
      <c r="GP129" s="121">
        <f>IF(N('Dvd Calendar'!$AB$1266)=0,"",IF(('Dvd Calendar'!$AB$1266&gt;=GRID_FROM)*('Dvd Calendar'!$AB$1266&lt;=GRID_TO)*('Dvd Calendar'!$AB$1266&gt;VAL_DATE)=0,"",'Dvd Calendar'!$AB$1266*1000000000+ISNUMBER('Dvd Calendar'!$AB$1267)*100000000+0*10000000+(N('Dvd Calendar'!$AB$1265)&gt;0)*(N('Dvd Calendar'!$AB$1265)&lt;=VAL_SERIAL)*1000000+14*1000+64))</f>
        <v/>
      </c>
      <c r="GQ129" s="121">
        <f>IF(N('Dvd Calendar'!$AC$1266)=0,"",IF(('Dvd Calendar'!$AC$1266&gt;=GRID_FROM)*('Dvd Calendar'!$AC$1266&lt;=GRID_TO)*('Dvd Calendar'!$AC$1266&gt;VAL_DATE)=0,"",'Dvd Calendar'!$AC$1266*1000000000+ISNUMBER('Dvd Calendar'!$AC$1267)*100000000+0*10000000+(N('Dvd Calendar'!$AC$1265)&gt;0)*(N('Dvd Calendar'!$AC$1265)&lt;=VAL_SERIAL)*1000000+14*1000+65))</f>
        <v/>
      </c>
    </row>
    <row r="130">
      <c r="B130" s="2">
        <f>IF(HSTECH!$C$21="","",HSTECH!$C$21)</f>
        <v/>
      </c>
      <c r="C130" s="161">
        <f>IF(EE130="","",IF(ISNUMBER('Dvd Calendar'!$E$1273)=FALSE,"",IF((('Dvd Calendar'!$E$1275=TYPE1)*(TYPE1&lt;&gt;"")+('Dvd Calendar'!$E$1275=TYPE2)*(TYPE2&lt;&gt;"")+('Dvd Calendar'!$E$1275=TYPE3)*(TYPE3&lt;&gt;"")+('Dvd Calendar'!$E$1275=TYPE4)*(TYPE4&lt;&gt;"")+('Dvd Calendar'!$E$1275=SPECIAL_LBL)*(INC_SPECIALS="Y"))=0,"",'Dvd Calendar'!$E$1273)))</f>
        <v/>
      </c>
      <c r="D130" s="161">
        <f>IF(EF130="","",IF(ISNUMBER('Dvd Calendar'!$F$1273)=FALSE,"",IF((('Dvd Calendar'!$F$1275=TYPE1)*(TYPE1&lt;&gt;"")+('Dvd Calendar'!$F$1275=TYPE2)*(TYPE2&lt;&gt;"")+('Dvd Calendar'!$F$1275=TYPE3)*(TYPE3&lt;&gt;"")+('Dvd Calendar'!$F$1275=TYPE4)*(TYPE4&lt;&gt;"")+('Dvd Calendar'!$F$1275=SPECIAL_LBL)*(INC_SPECIALS="Y"))=0,"",'Dvd Calendar'!$F$1273)))</f>
        <v/>
      </c>
      <c r="E130" s="161">
        <f>IF(EG130="","",IF(ISNUMBER('Dvd Calendar'!$G$1273)=FALSE,"",IF((('Dvd Calendar'!$G$1275=TYPE1)*(TYPE1&lt;&gt;"")+('Dvd Calendar'!$G$1275=TYPE2)*(TYPE2&lt;&gt;"")+('Dvd Calendar'!$G$1275=TYPE3)*(TYPE3&lt;&gt;"")+('Dvd Calendar'!$G$1275=TYPE4)*(TYPE4&lt;&gt;"")+('Dvd Calendar'!$G$1275=SPECIAL_LBL)*(INC_SPECIALS="Y"))=0,"",'Dvd Calendar'!$G$1273)))</f>
        <v/>
      </c>
      <c r="F130" s="161">
        <f>IF(EH130="","",IF(ISNUMBER('Dvd Calendar'!$H$1273)=FALSE,"",IF((('Dvd Calendar'!$H$1275=TYPE1)*(TYPE1&lt;&gt;"")+('Dvd Calendar'!$H$1275=TYPE2)*(TYPE2&lt;&gt;"")+('Dvd Calendar'!$H$1275=TYPE3)*(TYPE3&lt;&gt;"")+('Dvd Calendar'!$H$1275=TYPE4)*(TYPE4&lt;&gt;"")+('Dvd Calendar'!$H$1275=SPECIAL_LBL)*(INC_SPECIALS="Y"))=0,"",'Dvd Calendar'!$H$1273)))</f>
        <v/>
      </c>
      <c r="G130" s="161">
        <f>IF(EI130="","",IF(ISNUMBER('Dvd Calendar'!$I$1273)=FALSE,"",IF((('Dvd Calendar'!$I$1275=TYPE1)*(TYPE1&lt;&gt;"")+('Dvd Calendar'!$I$1275=TYPE2)*(TYPE2&lt;&gt;"")+('Dvd Calendar'!$I$1275=TYPE3)*(TYPE3&lt;&gt;"")+('Dvd Calendar'!$I$1275=TYPE4)*(TYPE4&lt;&gt;"")+('Dvd Calendar'!$I$1275=SPECIAL_LBL)*(INC_SPECIALS="Y"))=0,"",'Dvd Calendar'!$I$1273)))</f>
        <v/>
      </c>
      <c r="H130" s="161">
        <f>IF(EJ130="","",IF(ISNUMBER('Dvd Calendar'!$J$1273)=FALSE,"",IF((('Dvd Calendar'!$J$1275=TYPE1)*(TYPE1&lt;&gt;"")+('Dvd Calendar'!$J$1275=TYPE2)*(TYPE2&lt;&gt;"")+('Dvd Calendar'!$J$1275=TYPE3)*(TYPE3&lt;&gt;"")+('Dvd Calendar'!$J$1275=TYPE4)*(TYPE4&lt;&gt;"")+('Dvd Calendar'!$J$1275=SPECIAL_LBL)*(INC_SPECIALS="Y"))=0,"",'Dvd Calendar'!$J$1273)))</f>
        <v/>
      </c>
      <c r="I130" s="161">
        <f>IF(EK130="","",IF(ISNUMBER('Dvd Calendar'!$K$1273)=FALSE,"",IF((('Dvd Calendar'!$K$1275=TYPE1)*(TYPE1&lt;&gt;"")+('Dvd Calendar'!$K$1275=TYPE2)*(TYPE2&lt;&gt;"")+('Dvd Calendar'!$K$1275=TYPE3)*(TYPE3&lt;&gt;"")+('Dvd Calendar'!$K$1275=TYPE4)*(TYPE4&lt;&gt;"")+('Dvd Calendar'!$K$1275=SPECIAL_LBL)*(INC_SPECIALS="Y"))=0,"",'Dvd Calendar'!$K$1273)))</f>
        <v/>
      </c>
      <c r="J130" s="161">
        <f>IF(EL130="","",IF(ISNUMBER('Dvd Calendar'!$L$1273)=FALSE,"",IF((('Dvd Calendar'!$L$1275=TYPE1)*(TYPE1&lt;&gt;"")+('Dvd Calendar'!$L$1275=TYPE2)*(TYPE2&lt;&gt;"")+('Dvd Calendar'!$L$1275=TYPE3)*(TYPE3&lt;&gt;"")+('Dvd Calendar'!$L$1275=TYPE4)*(TYPE4&lt;&gt;"")+('Dvd Calendar'!$L$1275=SPECIAL_LBL)*(INC_SPECIALS="Y"))=0,"",'Dvd Calendar'!$L$1273)))</f>
        <v/>
      </c>
      <c r="K130" s="161">
        <f>IF(EM130="","",IF(ISNUMBER('Dvd Calendar'!$M$1273)=FALSE,"",IF((('Dvd Calendar'!$M$1275=TYPE1)*(TYPE1&lt;&gt;"")+('Dvd Calendar'!$M$1275=TYPE2)*(TYPE2&lt;&gt;"")+('Dvd Calendar'!$M$1275=TYPE3)*(TYPE3&lt;&gt;"")+('Dvd Calendar'!$M$1275=TYPE4)*(TYPE4&lt;&gt;"")+('Dvd Calendar'!$M$1275=SPECIAL_LBL)*(INC_SPECIALS="Y"))=0,"",'Dvd Calendar'!$M$1273)))</f>
        <v/>
      </c>
      <c r="L130" s="161">
        <f>IF(EN130="","",IF(ISNUMBER('Dvd Calendar'!$N$1273)=FALSE,"",IF((('Dvd Calendar'!$N$1275=TYPE1)*(TYPE1&lt;&gt;"")+('Dvd Calendar'!$N$1275=TYPE2)*(TYPE2&lt;&gt;"")+('Dvd Calendar'!$N$1275=TYPE3)*(TYPE3&lt;&gt;"")+('Dvd Calendar'!$N$1275=TYPE4)*(TYPE4&lt;&gt;"")+('Dvd Calendar'!$N$1275=SPECIAL_LBL)*(INC_SPECIALS="Y"))=0,"",'Dvd Calendar'!$N$1273)))</f>
        <v/>
      </c>
      <c r="M130" s="161">
        <f>IF(EO130="","",IF(ISNUMBER('Dvd Calendar'!$O$1273)=FALSE,"",IF((('Dvd Calendar'!$O$1275=TYPE1)*(TYPE1&lt;&gt;"")+('Dvd Calendar'!$O$1275=TYPE2)*(TYPE2&lt;&gt;"")+('Dvd Calendar'!$O$1275=TYPE3)*(TYPE3&lt;&gt;"")+('Dvd Calendar'!$O$1275=TYPE4)*(TYPE4&lt;&gt;"")+('Dvd Calendar'!$O$1275=SPECIAL_LBL)*(INC_SPECIALS="Y"))=0,"",'Dvd Calendar'!$O$1273)))</f>
        <v/>
      </c>
      <c r="N130" s="161">
        <f>IF(EP130="","",IF(ISNUMBER('Dvd Calendar'!$P$1273)=FALSE,"",IF((('Dvd Calendar'!$P$1275=TYPE1)*(TYPE1&lt;&gt;"")+('Dvd Calendar'!$P$1275=TYPE2)*(TYPE2&lt;&gt;"")+('Dvd Calendar'!$P$1275=TYPE3)*(TYPE3&lt;&gt;"")+('Dvd Calendar'!$P$1275=TYPE4)*(TYPE4&lt;&gt;"")+('Dvd Calendar'!$P$1275=SPECIAL_LBL)*(INC_SPECIALS="Y"))=0,"",'Dvd Calendar'!$P$1273)))</f>
        <v/>
      </c>
      <c r="O130" s="161">
        <f>IF(EQ130="","",IF(ISNUMBER('Dvd Calendar'!$Q$1273)=FALSE,"",IF((('Dvd Calendar'!$Q$1275=TYPE1)*(TYPE1&lt;&gt;"")+('Dvd Calendar'!$Q$1275=TYPE2)*(TYPE2&lt;&gt;"")+('Dvd Calendar'!$Q$1275=TYPE3)*(TYPE3&lt;&gt;"")+('Dvd Calendar'!$Q$1275=TYPE4)*(TYPE4&lt;&gt;"")+('Dvd Calendar'!$Q$1275=SPECIAL_LBL)*(INC_SPECIALS="Y"))=0,"",'Dvd Calendar'!$Q$1273)))</f>
        <v/>
      </c>
      <c r="P130" s="161">
        <f>IF(ER130="","",IF(ISNUMBER('Dvd Calendar'!$R$1273)=FALSE,"",IF((('Dvd Calendar'!$R$1275=TYPE1)*(TYPE1&lt;&gt;"")+('Dvd Calendar'!$R$1275=TYPE2)*(TYPE2&lt;&gt;"")+('Dvd Calendar'!$R$1275=TYPE3)*(TYPE3&lt;&gt;"")+('Dvd Calendar'!$R$1275=TYPE4)*(TYPE4&lt;&gt;"")+('Dvd Calendar'!$R$1275=SPECIAL_LBL)*(INC_SPECIALS="Y"))=0,"",'Dvd Calendar'!$R$1273)))</f>
        <v/>
      </c>
      <c r="Q130" s="161">
        <f>IF(ES130="","",IF(ISNUMBER('Dvd Calendar'!$S$1273)=FALSE,"",IF((('Dvd Calendar'!$S$1275=TYPE1)*(TYPE1&lt;&gt;"")+('Dvd Calendar'!$S$1275=TYPE2)*(TYPE2&lt;&gt;"")+('Dvd Calendar'!$S$1275=TYPE3)*(TYPE3&lt;&gt;"")+('Dvd Calendar'!$S$1275=TYPE4)*(TYPE4&lt;&gt;"")+('Dvd Calendar'!$S$1275=SPECIAL_LBL)*(INC_SPECIALS="Y"))=0,"",'Dvd Calendar'!$S$1273)))</f>
        <v/>
      </c>
      <c r="R130" s="161">
        <f>IF(ET130="","",IF(ISNUMBER('Dvd Calendar'!$T$1273)=FALSE,"",IF((('Dvd Calendar'!$T$1275=TYPE1)*(TYPE1&lt;&gt;"")+('Dvd Calendar'!$T$1275=TYPE2)*(TYPE2&lt;&gt;"")+('Dvd Calendar'!$T$1275=TYPE3)*(TYPE3&lt;&gt;"")+('Dvd Calendar'!$T$1275=TYPE4)*(TYPE4&lt;&gt;"")+('Dvd Calendar'!$T$1275=SPECIAL_LBL)*(INC_SPECIALS="Y"))=0,"",'Dvd Calendar'!$T$1273)))</f>
        <v/>
      </c>
      <c r="S130" s="161">
        <f>IF(EU130="","",IF(ISNUMBER('Dvd Calendar'!$U$1273)=FALSE,"",IF((('Dvd Calendar'!$U$1275=TYPE1)*(TYPE1&lt;&gt;"")+('Dvd Calendar'!$U$1275=TYPE2)*(TYPE2&lt;&gt;"")+('Dvd Calendar'!$U$1275=TYPE3)*(TYPE3&lt;&gt;"")+('Dvd Calendar'!$U$1275=TYPE4)*(TYPE4&lt;&gt;"")+('Dvd Calendar'!$U$1275=SPECIAL_LBL)*(INC_SPECIALS="Y"))=0,"",'Dvd Calendar'!$U$1273)))</f>
        <v/>
      </c>
      <c r="T130" s="161">
        <f>IF(EV130="","",IF(ISNUMBER('Dvd Calendar'!$V$1273)=FALSE,"",IF((('Dvd Calendar'!$V$1275=TYPE1)*(TYPE1&lt;&gt;"")+('Dvd Calendar'!$V$1275=TYPE2)*(TYPE2&lt;&gt;"")+('Dvd Calendar'!$V$1275=TYPE3)*(TYPE3&lt;&gt;"")+('Dvd Calendar'!$V$1275=TYPE4)*(TYPE4&lt;&gt;"")+('Dvd Calendar'!$V$1275=SPECIAL_LBL)*(INC_SPECIALS="Y"))=0,"",'Dvd Calendar'!$V$1273)))</f>
        <v/>
      </c>
      <c r="U130" s="161">
        <f>IF(EW130="","",IF(ISNUMBER('Dvd Calendar'!$W$1273)=FALSE,"",IF((('Dvd Calendar'!$W$1275=TYPE1)*(TYPE1&lt;&gt;"")+('Dvd Calendar'!$W$1275=TYPE2)*(TYPE2&lt;&gt;"")+('Dvd Calendar'!$W$1275=TYPE3)*(TYPE3&lt;&gt;"")+('Dvd Calendar'!$W$1275=TYPE4)*(TYPE4&lt;&gt;"")+('Dvd Calendar'!$W$1275=SPECIAL_LBL)*(INC_SPECIALS="Y"))=0,"",'Dvd Calendar'!$W$1273)))</f>
        <v/>
      </c>
      <c r="V130" s="161">
        <f>IF(EX130="","",IF(ISNUMBER('Dvd Calendar'!$X$1273)=FALSE,"",IF((('Dvd Calendar'!$X$1275=TYPE1)*(TYPE1&lt;&gt;"")+('Dvd Calendar'!$X$1275=TYPE2)*(TYPE2&lt;&gt;"")+('Dvd Calendar'!$X$1275=TYPE3)*(TYPE3&lt;&gt;"")+('Dvd Calendar'!$X$1275=TYPE4)*(TYPE4&lt;&gt;"")+('Dvd Calendar'!$X$1275=SPECIAL_LBL)*(INC_SPECIALS="Y"))=0,"",'Dvd Calendar'!$X$1273)))</f>
        <v/>
      </c>
      <c r="W130" s="161">
        <f>IF(EY130="","",IF(ISNUMBER('Dvd Calendar'!$Y$1273)=FALSE,"",IF((('Dvd Calendar'!$Y$1275=TYPE1)*(TYPE1&lt;&gt;"")+('Dvd Calendar'!$Y$1275=TYPE2)*(TYPE2&lt;&gt;"")+('Dvd Calendar'!$Y$1275=TYPE3)*(TYPE3&lt;&gt;"")+('Dvd Calendar'!$Y$1275=TYPE4)*(TYPE4&lt;&gt;"")+('Dvd Calendar'!$Y$1275=SPECIAL_LBL)*(INC_SPECIALS="Y"))=0,"",'Dvd Calendar'!$Y$1273)))</f>
        <v/>
      </c>
      <c r="X130" s="161">
        <f>IF(EZ130="","",IF(ISNUMBER('Dvd Calendar'!$Z$1273)=FALSE,"",IF((('Dvd Calendar'!$Z$1275=TYPE1)*(TYPE1&lt;&gt;"")+('Dvd Calendar'!$Z$1275=TYPE2)*(TYPE2&lt;&gt;"")+('Dvd Calendar'!$Z$1275=TYPE3)*(TYPE3&lt;&gt;"")+('Dvd Calendar'!$Z$1275=TYPE4)*(TYPE4&lt;&gt;"")+('Dvd Calendar'!$Z$1275=SPECIAL_LBL)*(INC_SPECIALS="Y"))=0,"",'Dvd Calendar'!$Z$1273)))</f>
        <v/>
      </c>
      <c r="Y130" s="161">
        <f>IF(FA130="","",IF(ISNUMBER('Dvd Calendar'!$AA$1273)=FALSE,"",IF((('Dvd Calendar'!$AA$1275=TYPE1)*(TYPE1&lt;&gt;"")+('Dvd Calendar'!$AA$1275=TYPE2)*(TYPE2&lt;&gt;"")+('Dvd Calendar'!$AA$1275=TYPE3)*(TYPE3&lt;&gt;"")+('Dvd Calendar'!$AA$1275=TYPE4)*(TYPE4&lt;&gt;"")+('Dvd Calendar'!$AA$1275=SPECIAL_LBL)*(INC_SPECIALS="Y"))=0,"",'Dvd Calendar'!$AA$1273)))</f>
        <v/>
      </c>
      <c r="Z130" s="161">
        <f>IF(FB130="","",IF(ISNUMBER('Dvd Calendar'!$AB$1273)=FALSE,"",IF((('Dvd Calendar'!$AB$1275=TYPE1)*(TYPE1&lt;&gt;"")+('Dvd Calendar'!$AB$1275=TYPE2)*(TYPE2&lt;&gt;"")+('Dvd Calendar'!$AB$1275=TYPE3)*(TYPE3&lt;&gt;"")+('Dvd Calendar'!$AB$1275=TYPE4)*(TYPE4&lt;&gt;"")+('Dvd Calendar'!$AB$1275=SPECIAL_LBL)*(INC_SPECIALS="Y"))=0,"",'Dvd Calendar'!$AB$1273)))</f>
        <v/>
      </c>
      <c r="AA130" s="161">
        <f>IF(FC130="","",IF(ISNUMBER('Dvd Calendar'!$AC$1273)=FALSE,"",IF((('Dvd Calendar'!$AC$1275=TYPE1)*(TYPE1&lt;&gt;"")+('Dvd Calendar'!$AC$1275=TYPE2)*(TYPE2&lt;&gt;"")+('Dvd Calendar'!$AC$1275=TYPE3)*(TYPE3&lt;&gt;"")+('Dvd Calendar'!$AC$1275=TYPE4)*(TYPE4&lt;&gt;"")+('Dvd Calendar'!$AC$1275=SPECIAL_LBL)*(INC_SPECIALS="Y"))=0,"",'Dvd Calendar'!$AC$1273)))</f>
        <v/>
      </c>
      <c r="AB130" s="161">
        <f>IF(FD130="","",IF(ISNUMBER('Dvd Calendar'!$AD$1273)=FALSE,"",IF((('Dvd Calendar'!$AD$1275=TYPE1)*(TYPE1&lt;&gt;"")+('Dvd Calendar'!$AD$1275=TYPE2)*(TYPE2&lt;&gt;"")+('Dvd Calendar'!$AD$1275=TYPE3)*(TYPE3&lt;&gt;"")+('Dvd Calendar'!$AD$1275=TYPE4)*(TYPE4&lt;&gt;"")+('Dvd Calendar'!$AD$1275=SPECIAL_LBL)*(INC_SPECIALS="Y"))=0,"",'Dvd Calendar'!$AD$1273)))</f>
        <v/>
      </c>
      <c r="AC130" s="161">
        <f>IF(FE130="","",IF(ISNUMBER('Dvd Calendar'!$AE$1273)=FALSE,"",IF((('Dvd Calendar'!$AE$1275=TYPE1)*(TYPE1&lt;&gt;"")+('Dvd Calendar'!$AE$1275=TYPE2)*(TYPE2&lt;&gt;"")+('Dvd Calendar'!$AE$1275=TYPE3)*(TYPE3&lt;&gt;"")+('Dvd Calendar'!$AE$1275=TYPE4)*(TYPE4&lt;&gt;"")+('Dvd Calendar'!$AE$1275=SPECIAL_LBL)*(INC_SPECIALS="Y"))=0,"",'Dvd Calendar'!$AE$1273)))</f>
        <v/>
      </c>
      <c r="AD130" s="161">
        <f>IF(FF130="","",IF(ISNUMBER('Dvd Calendar'!$AF$1273)=FALSE,"",IF((('Dvd Calendar'!$AF$1275=TYPE1)*(TYPE1&lt;&gt;"")+('Dvd Calendar'!$AF$1275=TYPE2)*(TYPE2&lt;&gt;"")+('Dvd Calendar'!$AF$1275=TYPE3)*(TYPE3&lt;&gt;"")+('Dvd Calendar'!$AF$1275=TYPE4)*(TYPE4&lt;&gt;"")+('Dvd Calendar'!$AF$1275=SPECIAL_LBL)*(INC_SPECIALS="Y"))=0,"",'Dvd Calendar'!$AF$1273)))</f>
        <v/>
      </c>
      <c r="AE130" s="161">
        <f>IF(FG130="","",IF(ISNUMBER('Dvd Calendar'!$AG$1273)=FALSE,"",IF((('Dvd Calendar'!$AG$1275=TYPE1)*(TYPE1&lt;&gt;"")+('Dvd Calendar'!$AG$1275=TYPE2)*(TYPE2&lt;&gt;"")+('Dvd Calendar'!$AG$1275=TYPE3)*(TYPE3&lt;&gt;"")+('Dvd Calendar'!$AG$1275=TYPE4)*(TYPE4&lt;&gt;"")+('Dvd Calendar'!$AG$1275=SPECIAL_LBL)*(INC_SPECIALS="Y"))=0,"",'Dvd Calendar'!$AG$1273)))</f>
        <v/>
      </c>
      <c r="AF130" s="161">
        <f>IF(FH130="","",IF(ISNUMBER('Dvd Calendar'!$AH$1273)=FALSE,"",IF((('Dvd Calendar'!$AH$1275=TYPE1)*(TYPE1&lt;&gt;"")+('Dvd Calendar'!$AH$1275=TYPE2)*(TYPE2&lt;&gt;"")+('Dvd Calendar'!$AH$1275=TYPE3)*(TYPE3&lt;&gt;"")+('Dvd Calendar'!$AH$1275=TYPE4)*(TYPE4&lt;&gt;"")+('Dvd Calendar'!$AH$1275=SPECIAL_LBL)*(INC_SPECIALS="Y"))=0,"",'Dvd Calendar'!$AH$1273)))</f>
        <v/>
      </c>
      <c r="AG130" s="161">
        <f>IF(FI130="","",IF(ISNUMBER('Dvd Calendar'!$AI$1273)=FALSE,"",IF((('Dvd Calendar'!$AI$1275=TYPE1)*(TYPE1&lt;&gt;"")+('Dvd Calendar'!$AI$1275=TYPE2)*(TYPE2&lt;&gt;"")+('Dvd Calendar'!$AI$1275=TYPE3)*(TYPE3&lt;&gt;"")+('Dvd Calendar'!$AI$1275=TYPE4)*(TYPE4&lt;&gt;"")+('Dvd Calendar'!$AI$1275=SPECIAL_LBL)*(INC_SPECIALS="Y"))=0,"",'Dvd Calendar'!$AI$1273)))</f>
        <v/>
      </c>
      <c r="AH130" s="161">
        <f>IF(FJ130="","",IF(ISNUMBER('Dvd Calendar'!$AJ$1273)=FALSE,"",IF((('Dvd Calendar'!$AJ$1275=TYPE1)*(TYPE1&lt;&gt;"")+('Dvd Calendar'!$AJ$1275=TYPE2)*(TYPE2&lt;&gt;"")+('Dvd Calendar'!$AJ$1275=TYPE3)*(TYPE3&lt;&gt;"")+('Dvd Calendar'!$AJ$1275=TYPE4)*(TYPE4&lt;&gt;"")+('Dvd Calendar'!$AJ$1275=SPECIAL_LBL)*(INC_SPECIALS="Y"))=0,"",'Dvd Calendar'!$AJ$1273)))</f>
        <v/>
      </c>
      <c r="AI130" s="161">
        <f>IF(FK130="","",IF(ISNUMBER('Dvd Calendar'!$AK$1273)=FALSE,"",IF((('Dvd Calendar'!$AK$1275=TYPE1)*(TYPE1&lt;&gt;"")+('Dvd Calendar'!$AK$1275=TYPE2)*(TYPE2&lt;&gt;"")+('Dvd Calendar'!$AK$1275=TYPE3)*(TYPE3&lt;&gt;"")+('Dvd Calendar'!$AK$1275=TYPE4)*(TYPE4&lt;&gt;"")+('Dvd Calendar'!$AK$1275=SPECIAL_LBL)*(INC_SPECIALS="Y"))=0,"",'Dvd Calendar'!$AK$1273)))</f>
        <v/>
      </c>
      <c r="AJ130" s="161">
        <f>IF(FL130="","",IF(ISNUMBER('Dvd Calendar'!$AL$1273)=FALSE,"",IF((('Dvd Calendar'!$AL$1275=TYPE1)*(TYPE1&lt;&gt;"")+('Dvd Calendar'!$AL$1275=TYPE2)*(TYPE2&lt;&gt;"")+('Dvd Calendar'!$AL$1275=TYPE3)*(TYPE3&lt;&gt;"")+('Dvd Calendar'!$AL$1275=TYPE4)*(TYPE4&lt;&gt;"")+('Dvd Calendar'!$AL$1275=SPECIAL_LBL)*(INC_SPECIALS="Y"))=0,"",'Dvd Calendar'!$AL$1273)))</f>
        <v/>
      </c>
      <c r="AK130" s="161">
        <f>IF(FM130="","",IF(ISNUMBER('Dvd Calendar'!$AM$1273)=FALSE,"",IF((('Dvd Calendar'!$AM$1275=TYPE1)*(TYPE1&lt;&gt;"")+('Dvd Calendar'!$AM$1275=TYPE2)*(TYPE2&lt;&gt;"")+('Dvd Calendar'!$AM$1275=TYPE3)*(TYPE3&lt;&gt;"")+('Dvd Calendar'!$AM$1275=TYPE4)*(TYPE4&lt;&gt;"")+('Dvd Calendar'!$AM$1275=SPECIAL_LBL)*(INC_SPECIALS="Y"))=0,"",'Dvd Calendar'!$AM$1273)))</f>
        <v/>
      </c>
      <c r="AL130" s="161">
        <f>IF(FN130="","",IF(ISNUMBER('Dvd Calendar'!$AN$1273)=FALSE,"",IF((('Dvd Calendar'!$AN$1275=TYPE1)*(TYPE1&lt;&gt;"")+('Dvd Calendar'!$AN$1275=TYPE2)*(TYPE2&lt;&gt;"")+('Dvd Calendar'!$AN$1275=TYPE3)*(TYPE3&lt;&gt;"")+('Dvd Calendar'!$AN$1275=TYPE4)*(TYPE4&lt;&gt;"")+('Dvd Calendar'!$AN$1275=SPECIAL_LBL)*(INC_SPECIALS="Y"))=0,"",'Dvd Calendar'!$AN$1273)))</f>
        <v/>
      </c>
      <c r="AM130" s="161">
        <f>IF(FO130="","",IF(ISNUMBER('Dvd Calendar'!$AO$1273)=FALSE,"",IF((('Dvd Calendar'!$AO$1275=TYPE1)*(TYPE1&lt;&gt;"")+('Dvd Calendar'!$AO$1275=TYPE2)*(TYPE2&lt;&gt;"")+('Dvd Calendar'!$AO$1275=TYPE3)*(TYPE3&lt;&gt;"")+('Dvd Calendar'!$AO$1275=TYPE4)*(TYPE4&lt;&gt;"")+('Dvd Calendar'!$AO$1275=SPECIAL_LBL)*(INC_SPECIALS="Y"))=0,"",'Dvd Calendar'!$AO$1273)))</f>
        <v/>
      </c>
      <c r="AN130" s="161">
        <f>IF(FP130="","",IF(ISNUMBER('Dvd Calendar'!$AP$1273)=FALSE,"",IF((('Dvd Calendar'!$AP$1275=TYPE1)*(TYPE1&lt;&gt;"")+('Dvd Calendar'!$AP$1275=TYPE2)*(TYPE2&lt;&gt;"")+('Dvd Calendar'!$AP$1275=TYPE3)*(TYPE3&lt;&gt;"")+('Dvd Calendar'!$AP$1275=TYPE4)*(TYPE4&lt;&gt;"")+('Dvd Calendar'!$AP$1275=SPECIAL_LBL)*(INC_SPECIALS="Y"))=0,"",'Dvd Calendar'!$AP$1273)))</f>
        <v/>
      </c>
      <c r="AO130" s="161">
        <f>IF(FQ130="","",IF(ISNUMBER('Dvd Calendar'!$AQ$1273)=FALSE,"",IF((('Dvd Calendar'!$AQ$1275=TYPE1)*(TYPE1&lt;&gt;"")+('Dvd Calendar'!$AQ$1275=TYPE2)*(TYPE2&lt;&gt;"")+('Dvd Calendar'!$AQ$1275=TYPE3)*(TYPE3&lt;&gt;"")+('Dvd Calendar'!$AQ$1275=TYPE4)*(TYPE4&lt;&gt;"")+('Dvd Calendar'!$AQ$1275=SPECIAL_LBL)*(INC_SPECIALS="Y"))=0,"",'Dvd Calendar'!$AQ$1273)))</f>
        <v/>
      </c>
      <c r="AP130" s="161">
        <f>IF(FR130="","",IF(ISNUMBER('Dvd Calendar'!$AR$1273)=FALSE,"",IF((('Dvd Calendar'!$AR$1275=TYPE1)*(TYPE1&lt;&gt;"")+('Dvd Calendar'!$AR$1275=TYPE2)*(TYPE2&lt;&gt;"")+('Dvd Calendar'!$AR$1275=TYPE3)*(TYPE3&lt;&gt;"")+('Dvd Calendar'!$AR$1275=TYPE4)*(TYPE4&lt;&gt;"")+('Dvd Calendar'!$AR$1275=SPECIAL_LBL)*(INC_SPECIALS="Y"))=0,"",'Dvd Calendar'!$AR$1273)))</f>
        <v/>
      </c>
      <c r="AQ130" s="161">
        <f>IF(FS130="","",IF(ISNUMBER('Dvd Calendar'!$E$1278)=FALSE,"",'Dvd Calendar'!$E$1278))</f>
        <v/>
      </c>
      <c r="AR130" s="161">
        <f>IF(FT130="","",IF(ISNUMBER('Dvd Calendar'!$F$1278)=FALSE,"",'Dvd Calendar'!$F$1278))</f>
        <v/>
      </c>
      <c r="AS130" s="161">
        <f>IF(FU130="","",IF(ISNUMBER('Dvd Calendar'!$G$1278)=FALSE,"",'Dvd Calendar'!$G$1278))</f>
        <v/>
      </c>
      <c r="AT130" s="161">
        <f>IF(FV130="","",IF(ISNUMBER('Dvd Calendar'!$H$1278)=FALSE,"",'Dvd Calendar'!$H$1278))</f>
        <v/>
      </c>
      <c r="AU130" s="161">
        <f>IF(FW130="","",IF(ISNUMBER('Dvd Calendar'!$I$1278)=FALSE,"",'Dvd Calendar'!$I$1278))</f>
        <v/>
      </c>
      <c r="AV130" s="161">
        <f>IF(FX130="","",IF(ISNUMBER('Dvd Calendar'!$J$1278)=FALSE,"",'Dvd Calendar'!$J$1278))</f>
        <v/>
      </c>
      <c r="AW130" s="161">
        <f>IF(FY130="","",IF(ISNUMBER('Dvd Calendar'!$K$1278)=FALSE,"",'Dvd Calendar'!$K$1278))</f>
        <v/>
      </c>
      <c r="AX130" s="161">
        <f>IF(FZ130="","",IF(ISNUMBER('Dvd Calendar'!$L$1278)=FALSE,"",'Dvd Calendar'!$L$1278))</f>
        <v/>
      </c>
      <c r="AY130" s="161">
        <f>IF(GA130="","",IF(ISNUMBER('Dvd Calendar'!$M$1278)=FALSE,"",'Dvd Calendar'!$M$1278))</f>
        <v/>
      </c>
      <c r="AZ130" s="161">
        <f>IF(GB130="","",IF(ISNUMBER('Dvd Calendar'!$N$1278)=FALSE,"",'Dvd Calendar'!$N$1278))</f>
        <v/>
      </c>
      <c r="BA130" s="161">
        <f>IF(GC130="","",IF(ISNUMBER('Dvd Calendar'!$O$1278)=FALSE,"",'Dvd Calendar'!$O$1278))</f>
        <v/>
      </c>
      <c r="BB130" s="161">
        <f>IF(GD130="","",IF(ISNUMBER('Dvd Calendar'!$P$1278)=FALSE,"",'Dvd Calendar'!$P$1278))</f>
        <v/>
      </c>
      <c r="BC130" s="161">
        <f>IF(GE130="","",IF(ISNUMBER('Dvd Calendar'!$Q$1278)=FALSE,"",'Dvd Calendar'!$Q$1278))</f>
        <v/>
      </c>
      <c r="BD130" s="161">
        <f>IF(GF130="","",IF(ISNUMBER('Dvd Calendar'!$R$1278)=FALSE,"",'Dvd Calendar'!$R$1278))</f>
        <v/>
      </c>
      <c r="BE130" s="161">
        <f>IF(GG130="","",IF(ISNUMBER('Dvd Calendar'!$S$1278)=FALSE,"",'Dvd Calendar'!$S$1278))</f>
        <v/>
      </c>
      <c r="BF130" s="161">
        <f>IF(GH130="","",IF(ISNUMBER('Dvd Calendar'!$T$1278)=FALSE,"",'Dvd Calendar'!$T$1278))</f>
        <v/>
      </c>
      <c r="BG130" s="161">
        <f>IF(GI130="","",IF(ISNUMBER('Dvd Calendar'!$U$1278)=FALSE,"",'Dvd Calendar'!$U$1278))</f>
        <v/>
      </c>
      <c r="BH130" s="161">
        <f>IF(GJ130="","",IF(ISNUMBER('Dvd Calendar'!$V$1278)=FALSE,"",'Dvd Calendar'!$V$1278))</f>
        <v/>
      </c>
      <c r="BI130" s="161">
        <f>IF(GK130="","",IF(ISNUMBER('Dvd Calendar'!$W$1278)=FALSE,"",'Dvd Calendar'!$W$1278))</f>
        <v/>
      </c>
      <c r="BJ130" s="161">
        <f>IF(GL130="","",IF(ISNUMBER('Dvd Calendar'!$X$1278)=FALSE,"",'Dvd Calendar'!$X$1278))</f>
        <v/>
      </c>
      <c r="BK130" s="161">
        <f>IF(GM130="","",IF(ISNUMBER('Dvd Calendar'!$Y$1278)=FALSE,"",'Dvd Calendar'!$Y$1278))</f>
        <v/>
      </c>
      <c r="BL130" s="161">
        <f>IF(GN130="","",IF(ISNUMBER('Dvd Calendar'!$Z$1278)=FALSE,"",'Dvd Calendar'!$Z$1278))</f>
        <v/>
      </c>
      <c r="BM130" s="161">
        <f>IF(GO130="","",IF(ISNUMBER('Dvd Calendar'!$AA$1278)=FALSE,"",'Dvd Calendar'!$AA$1278))</f>
        <v/>
      </c>
      <c r="BN130" s="161">
        <f>IF(GP130="","",IF(ISNUMBER('Dvd Calendar'!$AB$1278)=FALSE,"",'Dvd Calendar'!$AB$1278))</f>
        <v/>
      </c>
      <c r="BO130" s="161">
        <f>IF(GQ130="","",IF(ISNUMBER('Dvd Calendar'!$AC$1278)=FALSE,"",'Dvd Calendar'!$AC$1278))</f>
        <v/>
      </c>
      <c r="BQ130" s="161">
        <f>IF(C130="","",IFERROR(C130*HSTECH!$B$21*HSTECH!$G$21/HSTECH!$B$3,""))</f>
        <v/>
      </c>
      <c r="BR130" s="161">
        <f>IF(D130="","",IFERROR(D130*HSTECH!$B$21*HSTECH!$G$21/HSTECH!$B$3,""))</f>
        <v/>
      </c>
      <c r="BS130" s="161">
        <f>IF(E130="","",IFERROR(E130*HSTECH!$B$21*HSTECH!$G$21/HSTECH!$B$3,""))</f>
        <v/>
      </c>
      <c r="BT130" s="161">
        <f>IF(F130="","",IFERROR(F130*HSTECH!$B$21*HSTECH!$G$21/HSTECH!$B$3,""))</f>
        <v/>
      </c>
      <c r="BU130" s="161">
        <f>IF(G130="","",IFERROR(G130*HSTECH!$B$21*HSTECH!$G$21/HSTECH!$B$3,""))</f>
        <v/>
      </c>
      <c r="BV130" s="161">
        <f>IF(H130="","",IFERROR(H130*HSTECH!$B$21*HSTECH!$G$21/HSTECH!$B$3,""))</f>
        <v/>
      </c>
      <c r="BW130" s="161">
        <f>IF(I130="","",IFERROR(I130*HSTECH!$B$21*HSTECH!$G$21/HSTECH!$B$3,""))</f>
        <v/>
      </c>
      <c r="BX130" s="161">
        <f>IF(J130="","",IFERROR(J130*HSTECH!$B$21*HSTECH!$G$21/HSTECH!$B$3,""))</f>
        <v/>
      </c>
      <c r="BY130" s="161">
        <f>IF(K130="","",IFERROR(K130*HSTECH!$B$21*HSTECH!$G$21/HSTECH!$B$3,""))</f>
        <v/>
      </c>
      <c r="BZ130" s="161">
        <f>IF(L130="","",IFERROR(L130*HSTECH!$B$21*HSTECH!$G$21/HSTECH!$B$3,""))</f>
        <v/>
      </c>
      <c r="CA130" s="161">
        <f>IF(M130="","",IFERROR(M130*HSTECH!$B$21*HSTECH!$G$21/HSTECH!$B$3,""))</f>
        <v/>
      </c>
      <c r="CB130" s="161">
        <f>IF(N130="","",IFERROR(N130*HSTECH!$B$21*HSTECH!$G$21/HSTECH!$B$3,""))</f>
        <v/>
      </c>
      <c r="CC130" s="161">
        <f>IF(O130="","",IFERROR(O130*HSTECH!$B$21*HSTECH!$G$21/HSTECH!$B$3,""))</f>
        <v/>
      </c>
      <c r="CD130" s="161">
        <f>IF(P130="","",IFERROR(P130*HSTECH!$B$21*HSTECH!$G$21/HSTECH!$B$3,""))</f>
        <v/>
      </c>
      <c r="CE130" s="161">
        <f>IF(Q130="","",IFERROR(Q130*HSTECH!$B$21*HSTECH!$G$21/HSTECH!$B$3,""))</f>
        <v/>
      </c>
      <c r="CF130" s="161">
        <f>IF(R130="","",IFERROR(R130*HSTECH!$B$21*HSTECH!$G$21/HSTECH!$B$3,""))</f>
        <v/>
      </c>
      <c r="CG130" s="161">
        <f>IF(S130="","",IFERROR(S130*HSTECH!$B$21*HSTECH!$G$21/HSTECH!$B$3,""))</f>
        <v/>
      </c>
      <c r="CH130" s="161">
        <f>IF(T130="","",IFERROR(T130*HSTECH!$B$21*HSTECH!$G$21/HSTECH!$B$3,""))</f>
        <v/>
      </c>
      <c r="CI130" s="161">
        <f>IF(U130="","",IFERROR(U130*HSTECH!$B$21*HSTECH!$G$21/HSTECH!$B$3,""))</f>
        <v/>
      </c>
      <c r="CJ130" s="161">
        <f>IF(V130="","",IFERROR(V130*HSTECH!$B$21*HSTECH!$G$21/HSTECH!$B$3,""))</f>
        <v/>
      </c>
      <c r="CK130" s="161">
        <f>IF(W130="","",IFERROR(W130*HSTECH!$B$21*HSTECH!$G$21/HSTECH!$B$3,""))</f>
        <v/>
      </c>
      <c r="CL130" s="161">
        <f>IF(X130="","",IFERROR(X130*HSTECH!$B$21*HSTECH!$G$21/HSTECH!$B$3,""))</f>
        <v/>
      </c>
      <c r="CM130" s="161">
        <f>IF(Y130="","",IFERROR(Y130*HSTECH!$B$21*HSTECH!$G$21/HSTECH!$B$3,""))</f>
        <v/>
      </c>
      <c r="CN130" s="161">
        <f>IF(Z130="","",IFERROR(Z130*HSTECH!$B$21*HSTECH!$G$21/HSTECH!$B$3,""))</f>
        <v/>
      </c>
      <c r="CO130" s="161">
        <f>IF(AA130="","",IFERROR(AA130*HSTECH!$B$21*HSTECH!$G$21/HSTECH!$B$3,""))</f>
        <v/>
      </c>
      <c r="CP130" s="161">
        <f>IF(AB130="","",IFERROR(AB130*HSTECH!$B$21*HSTECH!$G$21/HSTECH!$B$3,""))</f>
        <v/>
      </c>
      <c r="CQ130" s="161">
        <f>IF(AC130="","",IFERROR(AC130*HSTECH!$B$21*HSTECH!$G$21/HSTECH!$B$3,""))</f>
        <v/>
      </c>
      <c r="CR130" s="161">
        <f>IF(AD130="","",IFERROR(AD130*HSTECH!$B$21*HSTECH!$G$21/HSTECH!$B$3,""))</f>
        <v/>
      </c>
      <c r="CS130" s="161">
        <f>IF(AE130="","",IFERROR(AE130*HSTECH!$B$21*HSTECH!$G$21/HSTECH!$B$3,""))</f>
        <v/>
      </c>
      <c r="CT130" s="161">
        <f>IF(AF130="","",IFERROR(AF130*HSTECH!$B$21*HSTECH!$G$21/HSTECH!$B$3,""))</f>
        <v/>
      </c>
      <c r="CU130" s="161">
        <f>IF(AG130="","",IFERROR(AG130*HSTECH!$B$21*HSTECH!$G$21/HSTECH!$B$3,""))</f>
        <v/>
      </c>
      <c r="CV130" s="161">
        <f>IF(AH130="","",IFERROR(AH130*HSTECH!$B$21*HSTECH!$G$21/HSTECH!$B$3,""))</f>
        <v/>
      </c>
      <c r="CW130" s="161">
        <f>IF(AI130="","",IFERROR(AI130*HSTECH!$B$21*HSTECH!$G$21/HSTECH!$B$3,""))</f>
        <v/>
      </c>
      <c r="CX130" s="161">
        <f>IF(AJ130="","",IFERROR(AJ130*HSTECH!$B$21*HSTECH!$G$21/HSTECH!$B$3,""))</f>
        <v/>
      </c>
      <c r="CY130" s="161">
        <f>IF(AK130="","",IFERROR(AK130*HSTECH!$B$21*HSTECH!$G$21/HSTECH!$B$3,""))</f>
        <v/>
      </c>
      <c r="CZ130" s="161">
        <f>IF(AL130="","",IFERROR(AL130*HSTECH!$B$21*HSTECH!$G$21/HSTECH!$B$3,""))</f>
        <v/>
      </c>
      <c r="DA130" s="161">
        <f>IF(AM130="","",IFERROR(AM130*HSTECH!$B$21*HSTECH!$G$21/HSTECH!$B$3,""))</f>
        <v/>
      </c>
      <c r="DB130" s="161">
        <f>IF(AN130="","",IFERROR(AN130*HSTECH!$B$21*HSTECH!$G$21/HSTECH!$B$3,""))</f>
        <v/>
      </c>
      <c r="DC130" s="161">
        <f>IF(AO130="","",IFERROR(AO130*HSTECH!$B$21*HSTECH!$G$21/HSTECH!$B$3,""))</f>
        <v/>
      </c>
      <c r="DD130" s="161">
        <f>IF(AP130="","",IFERROR(AP130*HSTECH!$B$21*HSTECH!$G$21/HSTECH!$B$3,""))</f>
        <v/>
      </c>
      <c r="DE130" s="161">
        <f>IF(AQ130="","",IFERROR(AQ130*HSTECH!$B$21*HSTECH!$G$21/HSTECH!$B$3,""))</f>
        <v/>
      </c>
      <c r="DF130" s="161">
        <f>IF(AR130="","",IFERROR(AR130*HSTECH!$B$21*HSTECH!$G$21/HSTECH!$B$3,""))</f>
        <v/>
      </c>
      <c r="DG130" s="161">
        <f>IF(AS130="","",IFERROR(AS130*HSTECH!$B$21*HSTECH!$G$21/HSTECH!$B$3,""))</f>
        <v/>
      </c>
      <c r="DH130" s="161">
        <f>IF(AT130="","",IFERROR(AT130*HSTECH!$B$21*HSTECH!$G$21/HSTECH!$B$3,""))</f>
        <v/>
      </c>
      <c r="DI130" s="161">
        <f>IF(AU130="","",IFERROR(AU130*HSTECH!$B$21*HSTECH!$G$21/HSTECH!$B$3,""))</f>
        <v/>
      </c>
      <c r="DJ130" s="161">
        <f>IF(AV130="","",IFERROR(AV130*HSTECH!$B$21*HSTECH!$G$21/HSTECH!$B$3,""))</f>
        <v/>
      </c>
      <c r="DK130" s="161">
        <f>IF(AW130="","",IFERROR(AW130*HSTECH!$B$21*HSTECH!$G$21/HSTECH!$B$3,""))</f>
        <v/>
      </c>
      <c r="DL130" s="161">
        <f>IF(AX130="","",IFERROR(AX130*HSTECH!$B$21*HSTECH!$G$21/HSTECH!$B$3,""))</f>
        <v/>
      </c>
      <c r="DM130" s="161">
        <f>IF(AY130="","",IFERROR(AY130*HSTECH!$B$21*HSTECH!$G$21/HSTECH!$B$3,""))</f>
        <v/>
      </c>
      <c r="DN130" s="161">
        <f>IF(AZ130="","",IFERROR(AZ130*HSTECH!$B$21*HSTECH!$G$21/HSTECH!$B$3,""))</f>
        <v/>
      </c>
      <c r="DO130" s="161">
        <f>IF(BA130="","",IFERROR(BA130*HSTECH!$B$21*HSTECH!$G$21/HSTECH!$B$3,""))</f>
        <v/>
      </c>
      <c r="DP130" s="161">
        <f>IF(BB130="","",IFERROR(BB130*HSTECH!$B$21*HSTECH!$G$21/HSTECH!$B$3,""))</f>
        <v/>
      </c>
      <c r="DQ130" s="161">
        <f>IF(BC130="","",IFERROR(BC130*HSTECH!$B$21*HSTECH!$G$21/HSTECH!$B$3,""))</f>
        <v/>
      </c>
      <c r="DR130" s="161">
        <f>IF(BD130="","",IFERROR(BD130*HSTECH!$B$21*HSTECH!$G$21/HSTECH!$B$3,""))</f>
        <v/>
      </c>
      <c r="DS130" s="161">
        <f>IF(BE130="","",IFERROR(BE130*HSTECH!$B$21*HSTECH!$G$21/HSTECH!$B$3,""))</f>
        <v/>
      </c>
      <c r="DT130" s="161">
        <f>IF(BF130="","",IFERROR(BF130*HSTECH!$B$21*HSTECH!$G$21/HSTECH!$B$3,""))</f>
        <v/>
      </c>
      <c r="DU130" s="161">
        <f>IF(BG130="","",IFERROR(BG130*HSTECH!$B$21*HSTECH!$G$21/HSTECH!$B$3,""))</f>
        <v/>
      </c>
      <c r="DV130" s="161">
        <f>IF(BH130="","",IFERROR(BH130*HSTECH!$B$21*HSTECH!$G$21/HSTECH!$B$3,""))</f>
        <v/>
      </c>
      <c r="DW130" s="161">
        <f>IF(BI130="","",IFERROR(BI130*HSTECH!$B$21*HSTECH!$G$21/HSTECH!$B$3,""))</f>
        <v/>
      </c>
      <c r="DX130" s="161">
        <f>IF(BJ130="","",IFERROR(BJ130*HSTECH!$B$21*HSTECH!$G$21/HSTECH!$B$3,""))</f>
        <v/>
      </c>
      <c r="DY130" s="161">
        <f>IF(BK130="","",IFERROR(BK130*HSTECH!$B$21*HSTECH!$G$21/HSTECH!$B$3,""))</f>
        <v/>
      </c>
      <c r="DZ130" s="161">
        <f>IF(BL130="","",IFERROR(BL130*HSTECH!$B$21*HSTECH!$G$21/HSTECH!$B$3,""))</f>
        <v/>
      </c>
      <c r="EA130" s="161">
        <f>IF(BM130="","",IFERROR(BM130*HSTECH!$B$21*HSTECH!$G$21/HSTECH!$B$3,""))</f>
        <v/>
      </c>
      <c r="EB130" s="161">
        <f>IF(BN130="","",IFERROR(BN130*HSTECH!$B$21*HSTECH!$G$21/HSTECH!$B$3,""))</f>
        <v/>
      </c>
      <c r="EC130" s="161">
        <f>IF(BO130="","",IFERROR(BO130*HSTECH!$B$21*HSTECH!$G$21/HSTECH!$B$3,""))</f>
        <v/>
      </c>
      <c r="EE130" s="121">
        <f>IF(N('Dvd Calendar'!$E$1270)=0,"",IF(('Dvd Calendar'!$E$1270&gt;=GRID_FROM)*('Dvd Calendar'!$E$1270&lt;=GRID_TO)*((('Dvd Calendar'!$E$1270&lt;=VAL_DATE)+(COUNTIF('Dvd Calendar'!$E$1277:$AR$1277,'Dvd Calendar'!$E$1270)=0))&gt;0)=0,"",'Dvd Calendar'!$E$1270*1000000000+ISNUMBER('Dvd Calendar'!$E$1273)*100000000+('Dvd Calendar'!$E$1275=SPECIAL_LBL)*10000000+(N('Dvd Calendar'!$E$1269)&gt;0)*(N('Dvd Calendar'!$E$1269)&lt;=VAL_SERIAL)*1000000+15*1000+1))</f>
        <v/>
      </c>
      <c r="EF130" s="121">
        <f>IF(N('Dvd Calendar'!$F$1270)=0,"",IF(('Dvd Calendar'!$F$1270&gt;=GRID_FROM)*('Dvd Calendar'!$F$1270&lt;=GRID_TO)*((('Dvd Calendar'!$F$1270&lt;=VAL_DATE)+(COUNTIF('Dvd Calendar'!$E$1277:$AR$1277,'Dvd Calendar'!$F$1270)=0))&gt;0)=0,"",'Dvd Calendar'!$F$1270*1000000000+ISNUMBER('Dvd Calendar'!$F$1273)*100000000+('Dvd Calendar'!$F$1275=SPECIAL_LBL)*10000000+(N('Dvd Calendar'!$F$1269)&gt;0)*(N('Dvd Calendar'!$F$1269)&lt;=VAL_SERIAL)*1000000+15*1000+2))</f>
        <v/>
      </c>
      <c r="EG130" s="121">
        <f>IF(N('Dvd Calendar'!$G$1270)=0,"",IF(('Dvd Calendar'!$G$1270&gt;=GRID_FROM)*('Dvd Calendar'!$G$1270&lt;=GRID_TO)*((('Dvd Calendar'!$G$1270&lt;=VAL_DATE)+(COUNTIF('Dvd Calendar'!$E$1277:$AR$1277,'Dvd Calendar'!$G$1270)=0))&gt;0)=0,"",'Dvd Calendar'!$G$1270*1000000000+ISNUMBER('Dvd Calendar'!$G$1273)*100000000+('Dvd Calendar'!$G$1275=SPECIAL_LBL)*10000000+(N('Dvd Calendar'!$G$1269)&gt;0)*(N('Dvd Calendar'!$G$1269)&lt;=VAL_SERIAL)*1000000+15*1000+3))</f>
        <v/>
      </c>
      <c r="EH130" s="121">
        <f>IF(N('Dvd Calendar'!$H$1270)=0,"",IF(('Dvd Calendar'!$H$1270&gt;=GRID_FROM)*('Dvd Calendar'!$H$1270&lt;=GRID_TO)*((('Dvd Calendar'!$H$1270&lt;=VAL_DATE)+(COUNTIF('Dvd Calendar'!$E$1277:$AR$1277,'Dvd Calendar'!$H$1270)=0))&gt;0)=0,"",'Dvd Calendar'!$H$1270*1000000000+ISNUMBER('Dvd Calendar'!$H$1273)*100000000+('Dvd Calendar'!$H$1275=SPECIAL_LBL)*10000000+(N('Dvd Calendar'!$H$1269)&gt;0)*(N('Dvd Calendar'!$H$1269)&lt;=VAL_SERIAL)*1000000+15*1000+4))</f>
        <v/>
      </c>
      <c r="EI130" s="121">
        <f>IF(N('Dvd Calendar'!$I$1270)=0,"",IF(('Dvd Calendar'!$I$1270&gt;=GRID_FROM)*('Dvd Calendar'!$I$1270&lt;=GRID_TO)*((('Dvd Calendar'!$I$1270&lt;=VAL_DATE)+(COUNTIF('Dvd Calendar'!$E$1277:$AR$1277,'Dvd Calendar'!$I$1270)=0))&gt;0)=0,"",'Dvd Calendar'!$I$1270*1000000000+ISNUMBER('Dvd Calendar'!$I$1273)*100000000+('Dvd Calendar'!$I$1275=SPECIAL_LBL)*10000000+(N('Dvd Calendar'!$I$1269)&gt;0)*(N('Dvd Calendar'!$I$1269)&lt;=VAL_SERIAL)*1000000+15*1000+5))</f>
        <v/>
      </c>
      <c r="EJ130" s="121">
        <f>IF(N('Dvd Calendar'!$J$1270)=0,"",IF(('Dvd Calendar'!$J$1270&gt;=GRID_FROM)*('Dvd Calendar'!$J$1270&lt;=GRID_TO)*((('Dvd Calendar'!$J$1270&lt;=VAL_DATE)+(COUNTIF('Dvd Calendar'!$E$1277:$AR$1277,'Dvd Calendar'!$J$1270)=0))&gt;0)=0,"",'Dvd Calendar'!$J$1270*1000000000+ISNUMBER('Dvd Calendar'!$J$1273)*100000000+('Dvd Calendar'!$J$1275=SPECIAL_LBL)*10000000+(N('Dvd Calendar'!$J$1269)&gt;0)*(N('Dvd Calendar'!$J$1269)&lt;=VAL_SERIAL)*1000000+15*1000+6))</f>
        <v/>
      </c>
      <c r="EK130" s="121">
        <f>IF(N('Dvd Calendar'!$K$1270)=0,"",IF(('Dvd Calendar'!$K$1270&gt;=GRID_FROM)*('Dvd Calendar'!$K$1270&lt;=GRID_TO)*((('Dvd Calendar'!$K$1270&lt;=VAL_DATE)+(COUNTIF('Dvd Calendar'!$E$1277:$AR$1277,'Dvd Calendar'!$K$1270)=0))&gt;0)=0,"",'Dvd Calendar'!$K$1270*1000000000+ISNUMBER('Dvd Calendar'!$K$1273)*100000000+('Dvd Calendar'!$K$1275=SPECIAL_LBL)*10000000+(N('Dvd Calendar'!$K$1269)&gt;0)*(N('Dvd Calendar'!$K$1269)&lt;=VAL_SERIAL)*1000000+15*1000+7))</f>
        <v/>
      </c>
      <c r="EL130" s="121">
        <f>IF(N('Dvd Calendar'!$L$1270)=0,"",IF(('Dvd Calendar'!$L$1270&gt;=GRID_FROM)*('Dvd Calendar'!$L$1270&lt;=GRID_TO)*((('Dvd Calendar'!$L$1270&lt;=VAL_DATE)+(COUNTIF('Dvd Calendar'!$E$1277:$AR$1277,'Dvd Calendar'!$L$1270)=0))&gt;0)=0,"",'Dvd Calendar'!$L$1270*1000000000+ISNUMBER('Dvd Calendar'!$L$1273)*100000000+('Dvd Calendar'!$L$1275=SPECIAL_LBL)*10000000+(N('Dvd Calendar'!$L$1269)&gt;0)*(N('Dvd Calendar'!$L$1269)&lt;=VAL_SERIAL)*1000000+15*1000+8))</f>
        <v/>
      </c>
      <c r="EM130" s="121">
        <f>IF(N('Dvd Calendar'!$M$1270)=0,"",IF(('Dvd Calendar'!$M$1270&gt;=GRID_FROM)*('Dvd Calendar'!$M$1270&lt;=GRID_TO)*((('Dvd Calendar'!$M$1270&lt;=VAL_DATE)+(COUNTIF('Dvd Calendar'!$E$1277:$AR$1277,'Dvd Calendar'!$M$1270)=0))&gt;0)=0,"",'Dvd Calendar'!$M$1270*1000000000+ISNUMBER('Dvd Calendar'!$M$1273)*100000000+('Dvd Calendar'!$M$1275=SPECIAL_LBL)*10000000+(N('Dvd Calendar'!$M$1269)&gt;0)*(N('Dvd Calendar'!$M$1269)&lt;=VAL_SERIAL)*1000000+15*1000+9))</f>
        <v/>
      </c>
      <c r="EN130" s="121">
        <f>IF(N('Dvd Calendar'!$N$1270)=0,"",IF(('Dvd Calendar'!$N$1270&gt;=GRID_FROM)*('Dvd Calendar'!$N$1270&lt;=GRID_TO)*((('Dvd Calendar'!$N$1270&lt;=VAL_DATE)+(COUNTIF('Dvd Calendar'!$E$1277:$AR$1277,'Dvd Calendar'!$N$1270)=0))&gt;0)=0,"",'Dvd Calendar'!$N$1270*1000000000+ISNUMBER('Dvd Calendar'!$N$1273)*100000000+('Dvd Calendar'!$N$1275=SPECIAL_LBL)*10000000+(N('Dvd Calendar'!$N$1269)&gt;0)*(N('Dvd Calendar'!$N$1269)&lt;=VAL_SERIAL)*1000000+15*1000+10))</f>
        <v/>
      </c>
      <c r="EO130" s="121">
        <f>IF(N('Dvd Calendar'!$O$1270)=0,"",IF(('Dvd Calendar'!$O$1270&gt;=GRID_FROM)*('Dvd Calendar'!$O$1270&lt;=GRID_TO)*((('Dvd Calendar'!$O$1270&lt;=VAL_DATE)+(COUNTIF('Dvd Calendar'!$E$1277:$AR$1277,'Dvd Calendar'!$O$1270)=0))&gt;0)=0,"",'Dvd Calendar'!$O$1270*1000000000+ISNUMBER('Dvd Calendar'!$O$1273)*100000000+('Dvd Calendar'!$O$1275=SPECIAL_LBL)*10000000+(N('Dvd Calendar'!$O$1269)&gt;0)*(N('Dvd Calendar'!$O$1269)&lt;=VAL_SERIAL)*1000000+15*1000+11))</f>
        <v/>
      </c>
      <c r="EP130" s="121">
        <f>IF(N('Dvd Calendar'!$P$1270)=0,"",IF(('Dvd Calendar'!$P$1270&gt;=GRID_FROM)*('Dvd Calendar'!$P$1270&lt;=GRID_TO)*((('Dvd Calendar'!$P$1270&lt;=VAL_DATE)+(COUNTIF('Dvd Calendar'!$E$1277:$AR$1277,'Dvd Calendar'!$P$1270)=0))&gt;0)=0,"",'Dvd Calendar'!$P$1270*1000000000+ISNUMBER('Dvd Calendar'!$P$1273)*100000000+('Dvd Calendar'!$P$1275=SPECIAL_LBL)*10000000+(N('Dvd Calendar'!$P$1269)&gt;0)*(N('Dvd Calendar'!$P$1269)&lt;=VAL_SERIAL)*1000000+15*1000+12))</f>
        <v/>
      </c>
      <c r="EQ130" s="121">
        <f>IF(N('Dvd Calendar'!$Q$1270)=0,"",IF(('Dvd Calendar'!$Q$1270&gt;=GRID_FROM)*('Dvd Calendar'!$Q$1270&lt;=GRID_TO)*((('Dvd Calendar'!$Q$1270&lt;=VAL_DATE)+(COUNTIF('Dvd Calendar'!$E$1277:$AR$1277,'Dvd Calendar'!$Q$1270)=0))&gt;0)=0,"",'Dvd Calendar'!$Q$1270*1000000000+ISNUMBER('Dvd Calendar'!$Q$1273)*100000000+('Dvd Calendar'!$Q$1275=SPECIAL_LBL)*10000000+(N('Dvd Calendar'!$Q$1269)&gt;0)*(N('Dvd Calendar'!$Q$1269)&lt;=VAL_SERIAL)*1000000+15*1000+13))</f>
        <v/>
      </c>
      <c r="ER130" s="121">
        <f>IF(N('Dvd Calendar'!$R$1270)=0,"",IF(('Dvd Calendar'!$R$1270&gt;=GRID_FROM)*('Dvd Calendar'!$R$1270&lt;=GRID_TO)*((('Dvd Calendar'!$R$1270&lt;=VAL_DATE)+(COUNTIF('Dvd Calendar'!$E$1277:$AR$1277,'Dvd Calendar'!$R$1270)=0))&gt;0)=0,"",'Dvd Calendar'!$R$1270*1000000000+ISNUMBER('Dvd Calendar'!$R$1273)*100000000+('Dvd Calendar'!$R$1275=SPECIAL_LBL)*10000000+(N('Dvd Calendar'!$R$1269)&gt;0)*(N('Dvd Calendar'!$R$1269)&lt;=VAL_SERIAL)*1000000+15*1000+14))</f>
        <v/>
      </c>
      <c r="ES130" s="121">
        <f>IF(N('Dvd Calendar'!$S$1270)=0,"",IF(('Dvd Calendar'!$S$1270&gt;=GRID_FROM)*('Dvd Calendar'!$S$1270&lt;=GRID_TO)*((('Dvd Calendar'!$S$1270&lt;=VAL_DATE)+(COUNTIF('Dvd Calendar'!$E$1277:$AR$1277,'Dvd Calendar'!$S$1270)=0))&gt;0)=0,"",'Dvd Calendar'!$S$1270*1000000000+ISNUMBER('Dvd Calendar'!$S$1273)*100000000+('Dvd Calendar'!$S$1275=SPECIAL_LBL)*10000000+(N('Dvd Calendar'!$S$1269)&gt;0)*(N('Dvd Calendar'!$S$1269)&lt;=VAL_SERIAL)*1000000+15*1000+15))</f>
        <v/>
      </c>
      <c r="ET130" s="121">
        <f>IF(N('Dvd Calendar'!$T$1270)=0,"",IF(('Dvd Calendar'!$T$1270&gt;=GRID_FROM)*('Dvd Calendar'!$T$1270&lt;=GRID_TO)*((('Dvd Calendar'!$T$1270&lt;=VAL_DATE)+(COUNTIF('Dvd Calendar'!$E$1277:$AR$1277,'Dvd Calendar'!$T$1270)=0))&gt;0)=0,"",'Dvd Calendar'!$T$1270*1000000000+ISNUMBER('Dvd Calendar'!$T$1273)*100000000+('Dvd Calendar'!$T$1275=SPECIAL_LBL)*10000000+(N('Dvd Calendar'!$T$1269)&gt;0)*(N('Dvd Calendar'!$T$1269)&lt;=VAL_SERIAL)*1000000+15*1000+16))</f>
        <v/>
      </c>
      <c r="EU130" s="121">
        <f>IF(N('Dvd Calendar'!$U$1270)=0,"",IF(('Dvd Calendar'!$U$1270&gt;=GRID_FROM)*('Dvd Calendar'!$U$1270&lt;=GRID_TO)*((('Dvd Calendar'!$U$1270&lt;=VAL_DATE)+(COUNTIF('Dvd Calendar'!$E$1277:$AR$1277,'Dvd Calendar'!$U$1270)=0))&gt;0)=0,"",'Dvd Calendar'!$U$1270*1000000000+ISNUMBER('Dvd Calendar'!$U$1273)*100000000+('Dvd Calendar'!$U$1275=SPECIAL_LBL)*10000000+(N('Dvd Calendar'!$U$1269)&gt;0)*(N('Dvd Calendar'!$U$1269)&lt;=VAL_SERIAL)*1000000+15*1000+17))</f>
        <v/>
      </c>
      <c r="EV130" s="121">
        <f>IF(N('Dvd Calendar'!$V$1270)=0,"",IF(('Dvd Calendar'!$V$1270&gt;=GRID_FROM)*('Dvd Calendar'!$V$1270&lt;=GRID_TO)*((('Dvd Calendar'!$V$1270&lt;=VAL_DATE)+(COUNTIF('Dvd Calendar'!$E$1277:$AR$1277,'Dvd Calendar'!$V$1270)=0))&gt;0)=0,"",'Dvd Calendar'!$V$1270*1000000000+ISNUMBER('Dvd Calendar'!$V$1273)*100000000+('Dvd Calendar'!$V$1275=SPECIAL_LBL)*10000000+(N('Dvd Calendar'!$V$1269)&gt;0)*(N('Dvd Calendar'!$V$1269)&lt;=VAL_SERIAL)*1000000+15*1000+18))</f>
        <v/>
      </c>
      <c r="EW130" s="121">
        <f>IF(N('Dvd Calendar'!$W$1270)=0,"",IF(('Dvd Calendar'!$W$1270&gt;=GRID_FROM)*('Dvd Calendar'!$W$1270&lt;=GRID_TO)*((('Dvd Calendar'!$W$1270&lt;=VAL_DATE)+(COUNTIF('Dvd Calendar'!$E$1277:$AR$1277,'Dvd Calendar'!$W$1270)=0))&gt;0)=0,"",'Dvd Calendar'!$W$1270*1000000000+ISNUMBER('Dvd Calendar'!$W$1273)*100000000+('Dvd Calendar'!$W$1275=SPECIAL_LBL)*10000000+(N('Dvd Calendar'!$W$1269)&gt;0)*(N('Dvd Calendar'!$W$1269)&lt;=VAL_SERIAL)*1000000+15*1000+19))</f>
        <v/>
      </c>
      <c r="EX130" s="121">
        <f>IF(N('Dvd Calendar'!$X$1270)=0,"",IF(('Dvd Calendar'!$X$1270&gt;=GRID_FROM)*('Dvd Calendar'!$X$1270&lt;=GRID_TO)*((('Dvd Calendar'!$X$1270&lt;=VAL_DATE)+(COUNTIF('Dvd Calendar'!$E$1277:$AR$1277,'Dvd Calendar'!$X$1270)=0))&gt;0)=0,"",'Dvd Calendar'!$X$1270*1000000000+ISNUMBER('Dvd Calendar'!$X$1273)*100000000+('Dvd Calendar'!$X$1275=SPECIAL_LBL)*10000000+(N('Dvd Calendar'!$X$1269)&gt;0)*(N('Dvd Calendar'!$X$1269)&lt;=VAL_SERIAL)*1000000+15*1000+20))</f>
        <v/>
      </c>
      <c r="EY130" s="121">
        <f>IF(N('Dvd Calendar'!$Y$1270)=0,"",IF(('Dvd Calendar'!$Y$1270&gt;=GRID_FROM)*('Dvd Calendar'!$Y$1270&lt;=GRID_TO)*((('Dvd Calendar'!$Y$1270&lt;=VAL_DATE)+(COUNTIF('Dvd Calendar'!$E$1277:$AR$1277,'Dvd Calendar'!$Y$1270)=0))&gt;0)=0,"",'Dvd Calendar'!$Y$1270*1000000000+ISNUMBER('Dvd Calendar'!$Y$1273)*100000000+('Dvd Calendar'!$Y$1275=SPECIAL_LBL)*10000000+(N('Dvd Calendar'!$Y$1269)&gt;0)*(N('Dvd Calendar'!$Y$1269)&lt;=VAL_SERIAL)*1000000+15*1000+21))</f>
        <v/>
      </c>
      <c r="EZ130" s="121">
        <f>IF(N('Dvd Calendar'!$Z$1270)=0,"",IF(('Dvd Calendar'!$Z$1270&gt;=GRID_FROM)*('Dvd Calendar'!$Z$1270&lt;=GRID_TO)*((('Dvd Calendar'!$Z$1270&lt;=VAL_DATE)+(COUNTIF('Dvd Calendar'!$E$1277:$AR$1277,'Dvd Calendar'!$Z$1270)=0))&gt;0)=0,"",'Dvd Calendar'!$Z$1270*1000000000+ISNUMBER('Dvd Calendar'!$Z$1273)*100000000+('Dvd Calendar'!$Z$1275=SPECIAL_LBL)*10000000+(N('Dvd Calendar'!$Z$1269)&gt;0)*(N('Dvd Calendar'!$Z$1269)&lt;=VAL_SERIAL)*1000000+15*1000+22))</f>
        <v/>
      </c>
      <c r="FA130" s="121">
        <f>IF(N('Dvd Calendar'!$AA$1270)=0,"",IF(('Dvd Calendar'!$AA$1270&gt;=GRID_FROM)*('Dvd Calendar'!$AA$1270&lt;=GRID_TO)*((('Dvd Calendar'!$AA$1270&lt;=VAL_DATE)+(COUNTIF('Dvd Calendar'!$E$1277:$AR$1277,'Dvd Calendar'!$AA$1270)=0))&gt;0)=0,"",'Dvd Calendar'!$AA$1270*1000000000+ISNUMBER('Dvd Calendar'!$AA$1273)*100000000+('Dvd Calendar'!$AA$1275=SPECIAL_LBL)*10000000+(N('Dvd Calendar'!$AA$1269)&gt;0)*(N('Dvd Calendar'!$AA$1269)&lt;=VAL_SERIAL)*1000000+15*1000+23))</f>
        <v/>
      </c>
      <c r="FB130" s="121">
        <f>IF(N('Dvd Calendar'!$AB$1270)=0,"",IF(('Dvd Calendar'!$AB$1270&gt;=GRID_FROM)*('Dvd Calendar'!$AB$1270&lt;=GRID_TO)*((('Dvd Calendar'!$AB$1270&lt;=VAL_DATE)+(COUNTIF('Dvd Calendar'!$E$1277:$AR$1277,'Dvd Calendar'!$AB$1270)=0))&gt;0)=0,"",'Dvd Calendar'!$AB$1270*1000000000+ISNUMBER('Dvd Calendar'!$AB$1273)*100000000+('Dvd Calendar'!$AB$1275=SPECIAL_LBL)*10000000+(N('Dvd Calendar'!$AB$1269)&gt;0)*(N('Dvd Calendar'!$AB$1269)&lt;=VAL_SERIAL)*1000000+15*1000+24))</f>
        <v/>
      </c>
      <c r="FC130" s="121">
        <f>IF(N('Dvd Calendar'!$AC$1270)=0,"",IF(('Dvd Calendar'!$AC$1270&gt;=GRID_FROM)*('Dvd Calendar'!$AC$1270&lt;=GRID_TO)*((('Dvd Calendar'!$AC$1270&lt;=VAL_DATE)+(COUNTIF('Dvd Calendar'!$E$1277:$AR$1277,'Dvd Calendar'!$AC$1270)=0))&gt;0)=0,"",'Dvd Calendar'!$AC$1270*1000000000+ISNUMBER('Dvd Calendar'!$AC$1273)*100000000+('Dvd Calendar'!$AC$1275=SPECIAL_LBL)*10000000+(N('Dvd Calendar'!$AC$1269)&gt;0)*(N('Dvd Calendar'!$AC$1269)&lt;=VAL_SERIAL)*1000000+15*1000+25))</f>
        <v/>
      </c>
      <c r="FD130" s="121">
        <f>IF(N('Dvd Calendar'!$AD$1270)=0,"",IF(('Dvd Calendar'!$AD$1270&gt;=GRID_FROM)*('Dvd Calendar'!$AD$1270&lt;=GRID_TO)*((('Dvd Calendar'!$AD$1270&lt;=VAL_DATE)+(COUNTIF('Dvd Calendar'!$E$1277:$AR$1277,'Dvd Calendar'!$AD$1270)=0))&gt;0)=0,"",'Dvd Calendar'!$AD$1270*1000000000+ISNUMBER('Dvd Calendar'!$AD$1273)*100000000+('Dvd Calendar'!$AD$1275=SPECIAL_LBL)*10000000+(N('Dvd Calendar'!$AD$1269)&gt;0)*(N('Dvd Calendar'!$AD$1269)&lt;=VAL_SERIAL)*1000000+15*1000+26))</f>
        <v/>
      </c>
      <c r="FE130" s="121">
        <f>IF(N('Dvd Calendar'!$AE$1270)=0,"",IF(('Dvd Calendar'!$AE$1270&gt;=GRID_FROM)*('Dvd Calendar'!$AE$1270&lt;=GRID_TO)*((('Dvd Calendar'!$AE$1270&lt;=VAL_DATE)+(COUNTIF('Dvd Calendar'!$E$1277:$AR$1277,'Dvd Calendar'!$AE$1270)=0))&gt;0)=0,"",'Dvd Calendar'!$AE$1270*1000000000+ISNUMBER('Dvd Calendar'!$AE$1273)*100000000+('Dvd Calendar'!$AE$1275=SPECIAL_LBL)*10000000+(N('Dvd Calendar'!$AE$1269)&gt;0)*(N('Dvd Calendar'!$AE$1269)&lt;=VAL_SERIAL)*1000000+15*1000+27))</f>
        <v/>
      </c>
      <c r="FF130" s="121">
        <f>IF(N('Dvd Calendar'!$AF$1270)=0,"",IF(('Dvd Calendar'!$AF$1270&gt;=GRID_FROM)*('Dvd Calendar'!$AF$1270&lt;=GRID_TO)*((('Dvd Calendar'!$AF$1270&lt;=VAL_DATE)+(COUNTIF('Dvd Calendar'!$E$1277:$AR$1277,'Dvd Calendar'!$AF$1270)=0))&gt;0)=0,"",'Dvd Calendar'!$AF$1270*1000000000+ISNUMBER('Dvd Calendar'!$AF$1273)*100000000+('Dvd Calendar'!$AF$1275=SPECIAL_LBL)*10000000+(N('Dvd Calendar'!$AF$1269)&gt;0)*(N('Dvd Calendar'!$AF$1269)&lt;=VAL_SERIAL)*1000000+15*1000+28))</f>
        <v/>
      </c>
      <c r="FG130" s="121">
        <f>IF(N('Dvd Calendar'!$AG$1270)=0,"",IF(('Dvd Calendar'!$AG$1270&gt;=GRID_FROM)*('Dvd Calendar'!$AG$1270&lt;=GRID_TO)*((('Dvd Calendar'!$AG$1270&lt;=VAL_DATE)+(COUNTIF('Dvd Calendar'!$E$1277:$AR$1277,'Dvd Calendar'!$AG$1270)=0))&gt;0)=0,"",'Dvd Calendar'!$AG$1270*1000000000+ISNUMBER('Dvd Calendar'!$AG$1273)*100000000+('Dvd Calendar'!$AG$1275=SPECIAL_LBL)*10000000+(N('Dvd Calendar'!$AG$1269)&gt;0)*(N('Dvd Calendar'!$AG$1269)&lt;=VAL_SERIAL)*1000000+15*1000+29))</f>
        <v/>
      </c>
      <c r="FH130" s="121">
        <f>IF(N('Dvd Calendar'!$AH$1270)=0,"",IF(('Dvd Calendar'!$AH$1270&gt;=GRID_FROM)*('Dvd Calendar'!$AH$1270&lt;=GRID_TO)*((('Dvd Calendar'!$AH$1270&lt;=VAL_DATE)+(COUNTIF('Dvd Calendar'!$E$1277:$AR$1277,'Dvd Calendar'!$AH$1270)=0))&gt;0)=0,"",'Dvd Calendar'!$AH$1270*1000000000+ISNUMBER('Dvd Calendar'!$AH$1273)*100000000+('Dvd Calendar'!$AH$1275=SPECIAL_LBL)*10000000+(N('Dvd Calendar'!$AH$1269)&gt;0)*(N('Dvd Calendar'!$AH$1269)&lt;=VAL_SERIAL)*1000000+15*1000+30))</f>
        <v/>
      </c>
      <c r="FI130" s="121">
        <f>IF(N('Dvd Calendar'!$AI$1270)=0,"",IF(('Dvd Calendar'!$AI$1270&gt;=GRID_FROM)*('Dvd Calendar'!$AI$1270&lt;=GRID_TO)*((('Dvd Calendar'!$AI$1270&lt;=VAL_DATE)+(COUNTIF('Dvd Calendar'!$E$1277:$AR$1277,'Dvd Calendar'!$AI$1270)=0))&gt;0)=0,"",'Dvd Calendar'!$AI$1270*1000000000+ISNUMBER('Dvd Calendar'!$AI$1273)*100000000+('Dvd Calendar'!$AI$1275=SPECIAL_LBL)*10000000+(N('Dvd Calendar'!$AI$1269)&gt;0)*(N('Dvd Calendar'!$AI$1269)&lt;=VAL_SERIAL)*1000000+15*1000+31))</f>
        <v/>
      </c>
      <c r="FJ130" s="121">
        <f>IF(N('Dvd Calendar'!$AJ$1270)=0,"",IF(('Dvd Calendar'!$AJ$1270&gt;=GRID_FROM)*('Dvd Calendar'!$AJ$1270&lt;=GRID_TO)*((('Dvd Calendar'!$AJ$1270&lt;=VAL_DATE)+(COUNTIF('Dvd Calendar'!$E$1277:$AR$1277,'Dvd Calendar'!$AJ$1270)=0))&gt;0)=0,"",'Dvd Calendar'!$AJ$1270*1000000000+ISNUMBER('Dvd Calendar'!$AJ$1273)*100000000+('Dvd Calendar'!$AJ$1275=SPECIAL_LBL)*10000000+(N('Dvd Calendar'!$AJ$1269)&gt;0)*(N('Dvd Calendar'!$AJ$1269)&lt;=VAL_SERIAL)*1000000+15*1000+32))</f>
        <v/>
      </c>
      <c r="FK130" s="121">
        <f>IF(N('Dvd Calendar'!$AK$1270)=0,"",IF(('Dvd Calendar'!$AK$1270&gt;=GRID_FROM)*('Dvd Calendar'!$AK$1270&lt;=GRID_TO)*((('Dvd Calendar'!$AK$1270&lt;=VAL_DATE)+(COUNTIF('Dvd Calendar'!$E$1277:$AR$1277,'Dvd Calendar'!$AK$1270)=0))&gt;0)=0,"",'Dvd Calendar'!$AK$1270*1000000000+ISNUMBER('Dvd Calendar'!$AK$1273)*100000000+('Dvd Calendar'!$AK$1275=SPECIAL_LBL)*10000000+(N('Dvd Calendar'!$AK$1269)&gt;0)*(N('Dvd Calendar'!$AK$1269)&lt;=VAL_SERIAL)*1000000+15*1000+33))</f>
        <v/>
      </c>
      <c r="FL130" s="121">
        <f>IF(N('Dvd Calendar'!$AL$1270)=0,"",IF(('Dvd Calendar'!$AL$1270&gt;=GRID_FROM)*('Dvd Calendar'!$AL$1270&lt;=GRID_TO)*((('Dvd Calendar'!$AL$1270&lt;=VAL_DATE)+(COUNTIF('Dvd Calendar'!$E$1277:$AR$1277,'Dvd Calendar'!$AL$1270)=0))&gt;0)=0,"",'Dvd Calendar'!$AL$1270*1000000000+ISNUMBER('Dvd Calendar'!$AL$1273)*100000000+('Dvd Calendar'!$AL$1275=SPECIAL_LBL)*10000000+(N('Dvd Calendar'!$AL$1269)&gt;0)*(N('Dvd Calendar'!$AL$1269)&lt;=VAL_SERIAL)*1000000+15*1000+34))</f>
        <v/>
      </c>
      <c r="FM130" s="121">
        <f>IF(N('Dvd Calendar'!$AM$1270)=0,"",IF(('Dvd Calendar'!$AM$1270&gt;=GRID_FROM)*('Dvd Calendar'!$AM$1270&lt;=GRID_TO)*((('Dvd Calendar'!$AM$1270&lt;=VAL_DATE)+(COUNTIF('Dvd Calendar'!$E$1277:$AR$1277,'Dvd Calendar'!$AM$1270)=0))&gt;0)=0,"",'Dvd Calendar'!$AM$1270*1000000000+ISNUMBER('Dvd Calendar'!$AM$1273)*100000000+('Dvd Calendar'!$AM$1275=SPECIAL_LBL)*10000000+(N('Dvd Calendar'!$AM$1269)&gt;0)*(N('Dvd Calendar'!$AM$1269)&lt;=VAL_SERIAL)*1000000+15*1000+35))</f>
        <v/>
      </c>
      <c r="FN130" s="121">
        <f>IF(N('Dvd Calendar'!$AN$1270)=0,"",IF(('Dvd Calendar'!$AN$1270&gt;=GRID_FROM)*('Dvd Calendar'!$AN$1270&lt;=GRID_TO)*((('Dvd Calendar'!$AN$1270&lt;=VAL_DATE)+(COUNTIF('Dvd Calendar'!$E$1277:$AR$1277,'Dvd Calendar'!$AN$1270)=0))&gt;0)=0,"",'Dvd Calendar'!$AN$1270*1000000000+ISNUMBER('Dvd Calendar'!$AN$1273)*100000000+('Dvd Calendar'!$AN$1275=SPECIAL_LBL)*10000000+(N('Dvd Calendar'!$AN$1269)&gt;0)*(N('Dvd Calendar'!$AN$1269)&lt;=VAL_SERIAL)*1000000+15*1000+36))</f>
        <v/>
      </c>
      <c r="FO130" s="121">
        <f>IF(N('Dvd Calendar'!$AO$1270)=0,"",IF(('Dvd Calendar'!$AO$1270&gt;=GRID_FROM)*('Dvd Calendar'!$AO$1270&lt;=GRID_TO)*((('Dvd Calendar'!$AO$1270&lt;=VAL_DATE)+(COUNTIF('Dvd Calendar'!$E$1277:$AR$1277,'Dvd Calendar'!$AO$1270)=0))&gt;0)=0,"",'Dvd Calendar'!$AO$1270*1000000000+ISNUMBER('Dvd Calendar'!$AO$1273)*100000000+('Dvd Calendar'!$AO$1275=SPECIAL_LBL)*10000000+(N('Dvd Calendar'!$AO$1269)&gt;0)*(N('Dvd Calendar'!$AO$1269)&lt;=VAL_SERIAL)*1000000+15*1000+37))</f>
        <v/>
      </c>
      <c r="FP130" s="121">
        <f>IF(N('Dvd Calendar'!$AP$1270)=0,"",IF(('Dvd Calendar'!$AP$1270&gt;=GRID_FROM)*('Dvd Calendar'!$AP$1270&lt;=GRID_TO)*((('Dvd Calendar'!$AP$1270&lt;=VAL_DATE)+(COUNTIF('Dvd Calendar'!$E$1277:$AR$1277,'Dvd Calendar'!$AP$1270)=0))&gt;0)=0,"",'Dvd Calendar'!$AP$1270*1000000000+ISNUMBER('Dvd Calendar'!$AP$1273)*100000000+('Dvd Calendar'!$AP$1275=SPECIAL_LBL)*10000000+(N('Dvd Calendar'!$AP$1269)&gt;0)*(N('Dvd Calendar'!$AP$1269)&lt;=VAL_SERIAL)*1000000+15*1000+38))</f>
        <v/>
      </c>
      <c r="FQ130" s="121">
        <f>IF(N('Dvd Calendar'!$AQ$1270)=0,"",IF(('Dvd Calendar'!$AQ$1270&gt;=GRID_FROM)*('Dvd Calendar'!$AQ$1270&lt;=GRID_TO)*((('Dvd Calendar'!$AQ$1270&lt;=VAL_DATE)+(COUNTIF('Dvd Calendar'!$E$1277:$AR$1277,'Dvd Calendar'!$AQ$1270)=0))&gt;0)=0,"",'Dvd Calendar'!$AQ$1270*1000000000+ISNUMBER('Dvd Calendar'!$AQ$1273)*100000000+('Dvd Calendar'!$AQ$1275=SPECIAL_LBL)*10000000+(N('Dvd Calendar'!$AQ$1269)&gt;0)*(N('Dvd Calendar'!$AQ$1269)&lt;=VAL_SERIAL)*1000000+15*1000+39))</f>
        <v/>
      </c>
      <c r="FR130" s="121">
        <f>IF(N('Dvd Calendar'!$AR$1270)=0,"",IF(('Dvd Calendar'!$AR$1270&gt;=GRID_FROM)*('Dvd Calendar'!$AR$1270&lt;=GRID_TO)*((('Dvd Calendar'!$AR$1270&lt;=VAL_DATE)+(COUNTIF('Dvd Calendar'!$E$1277:$AR$1277,'Dvd Calendar'!$AR$1270)=0))&gt;0)=0,"",'Dvd Calendar'!$AR$1270*1000000000+ISNUMBER('Dvd Calendar'!$AR$1273)*100000000+('Dvd Calendar'!$AR$1275=SPECIAL_LBL)*10000000+(N('Dvd Calendar'!$AR$1269)&gt;0)*(N('Dvd Calendar'!$AR$1269)&lt;=VAL_SERIAL)*1000000+15*1000+40))</f>
        <v/>
      </c>
      <c r="FS130" s="121">
        <f>IF(N('Dvd Calendar'!$E$1277)=0,"",IF(('Dvd Calendar'!$E$1277&gt;=GRID_FROM)*('Dvd Calendar'!$E$1277&lt;=GRID_TO)*('Dvd Calendar'!$E$1277&gt;VAL_DATE)=0,"",'Dvd Calendar'!$E$1277*1000000000+ISNUMBER('Dvd Calendar'!$E$1278)*100000000+0*10000000+(N('Dvd Calendar'!$E$1276)&gt;0)*(N('Dvd Calendar'!$E$1276)&lt;=VAL_SERIAL)*1000000+15*1000+41))</f>
        <v/>
      </c>
      <c r="FT130" s="121">
        <f>IF(N('Dvd Calendar'!$F$1277)=0,"",IF(('Dvd Calendar'!$F$1277&gt;=GRID_FROM)*('Dvd Calendar'!$F$1277&lt;=GRID_TO)*('Dvd Calendar'!$F$1277&gt;VAL_DATE)=0,"",'Dvd Calendar'!$F$1277*1000000000+ISNUMBER('Dvd Calendar'!$F$1278)*100000000+0*10000000+(N('Dvd Calendar'!$F$1276)&gt;0)*(N('Dvd Calendar'!$F$1276)&lt;=VAL_SERIAL)*1000000+15*1000+42))</f>
        <v/>
      </c>
      <c r="FU130" s="121">
        <f>IF(N('Dvd Calendar'!$G$1277)=0,"",IF(('Dvd Calendar'!$G$1277&gt;=GRID_FROM)*('Dvd Calendar'!$G$1277&lt;=GRID_TO)*('Dvd Calendar'!$G$1277&gt;VAL_DATE)=0,"",'Dvd Calendar'!$G$1277*1000000000+ISNUMBER('Dvd Calendar'!$G$1278)*100000000+0*10000000+(N('Dvd Calendar'!$G$1276)&gt;0)*(N('Dvd Calendar'!$G$1276)&lt;=VAL_SERIAL)*1000000+15*1000+43))</f>
        <v/>
      </c>
      <c r="FV130" s="121">
        <f>IF(N('Dvd Calendar'!$H$1277)=0,"",IF(('Dvd Calendar'!$H$1277&gt;=GRID_FROM)*('Dvd Calendar'!$H$1277&lt;=GRID_TO)*('Dvd Calendar'!$H$1277&gt;VAL_DATE)=0,"",'Dvd Calendar'!$H$1277*1000000000+ISNUMBER('Dvd Calendar'!$H$1278)*100000000+0*10000000+(N('Dvd Calendar'!$H$1276)&gt;0)*(N('Dvd Calendar'!$H$1276)&lt;=VAL_SERIAL)*1000000+15*1000+44))</f>
        <v/>
      </c>
      <c r="FW130" s="121">
        <f>IF(N('Dvd Calendar'!$I$1277)=0,"",IF(('Dvd Calendar'!$I$1277&gt;=GRID_FROM)*('Dvd Calendar'!$I$1277&lt;=GRID_TO)*('Dvd Calendar'!$I$1277&gt;VAL_DATE)=0,"",'Dvd Calendar'!$I$1277*1000000000+ISNUMBER('Dvd Calendar'!$I$1278)*100000000+0*10000000+(N('Dvd Calendar'!$I$1276)&gt;0)*(N('Dvd Calendar'!$I$1276)&lt;=VAL_SERIAL)*1000000+15*1000+45))</f>
        <v/>
      </c>
      <c r="FX130" s="121">
        <f>IF(N('Dvd Calendar'!$J$1277)=0,"",IF(('Dvd Calendar'!$J$1277&gt;=GRID_FROM)*('Dvd Calendar'!$J$1277&lt;=GRID_TO)*('Dvd Calendar'!$J$1277&gt;VAL_DATE)=0,"",'Dvd Calendar'!$J$1277*1000000000+ISNUMBER('Dvd Calendar'!$J$1278)*100000000+0*10000000+(N('Dvd Calendar'!$J$1276)&gt;0)*(N('Dvd Calendar'!$J$1276)&lt;=VAL_SERIAL)*1000000+15*1000+46))</f>
        <v/>
      </c>
      <c r="FY130" s="121">
        <f>IF(N('Dvd Calendar'!$K$1277)=0,"",IF(('Dvd Calendar'!$K$1277&gt;=GRID_FROM)*('Dvd Calendar'!$K$1277&lt;=GRID_TO)*('Dvd Calendar'!$K$1277&gt;VAL_DATE)=0,"",'Dvd Calendar'!$K$1277*1000000000+ISNUMBER('Dvd Calendar'!$K$1278)*100000000+0*10000000+(N('Dvd Calendar'!$K$1276)&gt;0)*(N('Dvd Calendar'!$K$1276)&lt;=VAL_SERIAL)*1000000+15*1000+47))</f>
        <v/>
      </c>
      <c r="FZ130" s="121">
        <f>IF(N('Dvd Calendar'!$L$1277)=0,"",IF(('Dvd Calendar'!$L$1277&gt;=GRID_FROM)*('Dvd Calendar'!$L$1277&lt;=GRID_TO)*('Dvd Calendar'!$L$1277&gt;VAL_DATE)=0,"",'Dvd Calendar'!$L$1277*1000000000+ISNUMBER('Dvd Calendar'!$L$1278)*100000000+0*10000000+(N('Dvd Calendar'!$L$1276)&gt;0)*(N('Dvd Calendar'!$L$1276)&lt;=VAL_SERIAL)*1000000+15*1000+48))</f>
        <v/>
      </c>
      <c r="GA130" s="121">
        <f>IF(N('Dvd Calendar'!$M$1277)=0,"",IF(('Dvd Calendar'!$M$1277&gt;=GRID_FROM)*('Dvd Calendar'!$M$1277&lt;=GRID_TO)*('Dvd Calendar'!$M$1277&gt;VAL_DATE)=0,"",'Dvd Calendar'!$M$1277*1000000000+ISNUMBER('Dvd Calendar'!$M$1278)*100000000+0*10000000+(N('Dvd Calendar'!$M$1276)&gt;0)*(N('Dvd Calendar'!$M$1276)&lt;=VAL_SERIAL)*1000000+15*1000+49))</f>
        <v/>
      </c>
      <c r="GB130" s="121">
        <f>IF(N('Dvd Calendar'!$N$1277)=0,"",IF(('Dvd Calendar'!$N$1277&gt;=GRID_FROM)*('Dvd Calendar'!$N$1277&lt;=GRID_TO)*('Dvd Calendar'!$N$1277&gt;VAL_DATE)=0,"",'Dvd Calendar'!$N$1277*1000000000+ISNUMBER('Dvd Calendar'!$N$1278)*100000000+0*10000000+(N('Dvd Calendar'!$N$1276)&gt;0)*(N('Dvd Calendar'!$N$1276)&lt;=VAL_SERIAL)*1000000+15*1000+50))</f>
        <v/>
      </c>
      <c r="GC130" s="121">
        <f>IF(N('Dvd Calendar'!$O$1277)=0,"",IF(('Dvd Calendar'!$O$1277&gt;=GRID_FROM)*('Dvd Calendar'!$O$1277&lt;=GRID_TO)*('Dvd Calendar'!$O$1277&gt;VAL_DATE)=0,"",'Dvd Calendar'!$O$1277*1000000000+ISNUMBER('Dvd Calendar'!$O$1278)*100000000+0*10000000+(N('Dvd Calendar'!$O$1276)&gt;0)*(N('Dvd Calendar'!$O$1276)&lt;=VAL_SERIAL)*1000000+15*1000+51))</f>
        <v/>
      </c>
      <c r="GD130" s="121">
        <f>IF(N('Dvd Calendar'!$P$1277)=0,"",IF(('Dvd Calendar'!$P$1277&gt;=GRID_FROM)*('Dvd Calendar'!$P$1277&lt;=GRID_TO)*('Dvd Calendar'!$P$1277&gt;VAL_DATE)=0,"",'Dvd Calendar'!$P$1277*1000000000+ISNUMBER('Dvd Calendar'!$P$1278)*100000000+0*10000000+(N('Dvd Calendar'!$P$1276)&gt;0)*(N('Dvd Calendar'!$P$1276)&lt;=VAL_SERIAL)*1000000+15*1000+52))</f>
        <v/>
      </c>
      <c r="GE130" s="121">
        <f>IF(N('Dvd Calendar'!$Q$1277)=0,"",IF(('Dvd Calendar'!$Q$1277&gt;=GRID_FROM)*('Dvd Calendar'!$Q$1277&lt;=GRID_TO)*('Dvd Calendar'!$Q$1277&gt;VAL_DATE)=0,"",'Dvd Calendar'!$Q$1277*1000000000+ISNUMBER('Dvd Calendar'!$Q$1278)*100000000+0*10000000+(N('Dvd Calendar'!$Q$1276)&gt;0)*(N('Dvd Calendar'!$Q$1276)&lt;=VAL_SERIAL)*1000000+15*1000+53))</f>
        <v/>
      </c>
      <c r="GF130" s="121">
        <f>IF(N('Dvd Calendar'!$R$1277)=0,"",IF(('Dvd Calendar'!$R$1277&gt;=GRID_FROM)*('Dvd Calendar'!$R$1277&lt;=GRID_TO)*('Dvd Calendar'!$R$1277&gt;VAL_DATE)=0,"",'Dvd Calendar'!$R$1277*1000000000+ISNUMBER('Dvd Calendar'!$R$1278)*100000000+0*10000000+(N('Dvd Calendar'!$R$1276)&gt;0)*(N('Dvd Calendar'!$R$1276)&lt;=VAL_SERIAL)*1000000+15*1000+54))</f>
        <v/>
      </c>
      <c r="GG130" s="121">
        <f>IF(N('Dvd Calendar'!$S$1277)=0,"",IF(('Dvd Calendar'!$S$1277&gt;=GRID_FROM)*('Dvd Calendar'!$S$1277&lt;=GRID_TO)*('Dvd Calendar'!$S$1277&gt;VAL_DATE)=0,"",'Dvd Calendar'!$S$1277*1000000000+ISNUMBER('Dvd Calendar'!$S$1278)*100000000+0*10000000+(N('Dvd Calendar'!$S$1276)&gt;0)*(N('Dvd Calendar'!$S$1276)&lt;=VAL_SERIAL)*1000000+15*1000+55))</f>
        <v/>
      </c>
      <c r="GH130" s="121">
        <f>IF(N('Dvd Calendar'!$T$1277)=0,"",IF(('Dvd Calendar'!$T$1277&gt;=GRID_FROM)*('Dvd Calendar'!$T$1277&lt;=GRID_TO)*('Dvd Calendar'!$T$1277&gt;VAL_DATE)=0,"",'Dvd Calendar'!$T$1277*1000000000+ISNUMBER('Dvd Calendar'!$T$1278)*100000000+0*10000000+(N('Dvd Calendar'!$T$1276)&gt;0)*(N('Dvd Calendar'!$T$1276)&lt;=VAL_SERIAL)*1000000+15*1000+56))</f>
        <v/>
      </c>
      <c r="GI130" s="121">
        <f>IF(N('Dvd Calendar'!$U$1277)=0,"",IF(('Dvd Calendar'!$U$1277&gt;=GRID_FROM)*('Dvd Calendar'!$U$1277&lt;=GRID_TO)*('Dvd Calendar'!$U$1277&gt;VAL_DATE)=0,"",'Dvd Calendar'!$U$1277*1000000000+ISNUMBER('Dvd Calendar'!$U$1278)*100000000+0*10000000+(N('Dvd Calendar'!$U$1276)&gt;0)*(N('Dvd Calendar'!$U$1276)&lt;=VAL_SERIAL)*1000000+15*1000+57))</f>
        <v/>
      </c>
      <c r="GJ130" s="121">
        <f>IF(N('Dvd Calendar'!$V$1277)=0,"",IF(('Dvd Calendar'!$V$1277&gt;=GRID_FROM)*('Dvd Calendar'!$V$1277&lt;=GRID_TO)*('Dvd Calendar'!$V$1277&gt;VAL_DATE)=0,"",'Dvd Calendar'!$V$1277*1000000000+ISNUMBER('Dvd Calendar'!$V$1278)*100000000+0*10000000+(N('Dvd Calendar'!$V$1276)&gt;0)*(N('Dvd Calendar'!$V$1276)&lt;=VAL_SERIAL)*1000000+15*1000+58))</f>
        <v/>
      </c>
      <c r="GK130" s="121">
        <f>IF(N('Dvd Calendar'!$W$1277)=0,"",IF(('Dvd Calendar'!$W$1277&gt;=GRID_FROM)*('Dvd Calendar'!$W$1277&lt;=GRID_TO)*('Dvd Calendar'!$W$1277&gt;VAL_DATE)=0,"",'Dvd Calendar'!$W$1277*1000000000+ISNUMBER('Dvd Calendar'!$W$1278)*100000000+0*10000000+(N('Dvd Calendar'!$W$1276)&gt;0)*(N('Dvd Calendar'!$W$1276)&lt;=VAL_SERIAL)*1000000+15*1000+59))</f>
        <v/>
      </c>
      <c r="GL130" s="121">
        <f>IF(N('Dvd Calendar'!$X$1277)=0,"",IF(('Dvd Calendar'!$X$1277&gt;=GRID_FROM)*('Dvd Calendar'!$X$1277&lt;=GRID_TO)*('Dvd Calendar'!$X$1277&gt;VAL_DATE)=0,"",'Dvd Calendar'!$X$1277*1000000000+ISNUMBER('Dvd Calendar'!$X$1278)*100000000+0*10000000+(N('Dvd Calendar'!$X$1276)&gt;0)*(N('Dvd Calendar'!$X$1276)&lt;=VAL_SERIAL)*1000000+15*1000+60))</f>
        <v/>
      </c>
      <c r="GM130" s="121">
        <f>IF(N('Dvd Calendar'!$Y$1277)=0,"",IF(('Dvd Calendar'!$Y$1277&gt;=GRID_FROM)*('Dvd Calendar'!$Y$1277&lt;=GRID_TO)*('Dvd Calendar'!$Y$1277&gt;VAL_DATE)=0,"",'Dvd Calendar'!$Y$1277*1000000000+ISNUMBER('Dvd Calendar'!$Y$1278)*100000000+0*10000000+(N('Dvd Calendar'!$Y$1276)&gt;0)*(N('Dvd Calendar'!$Y$1276)&lt;=VAL_SERIAL)*1000000+15*1000+61))</f>
        <v/>
      </c>
      <c r="GN130" s="121">
        <f>IF(N('Dvd Calendar'!$Z$1277)=0,"",IF(('Dvd Calendar'!$Z$1277&gt;=GRID_FROM)*('Dvd Calendar'!$Z$1277&lt;=GRID_TO)*('Dvd Calendar'!$Z$1277&gt;VAL_DATE)=0,"",'Dvd Calendar'!$Z$1277*1000000000+ISNUMBER('Dvd Calendar'!$Z$1278)*100000000+0*10000000+(N('Dvd Calendar'!$Z$1276)&gt;0)*(N('Dvd Calendar'!$Z$1276)&lt;=VAL_SERIAL)*1000000+15*1000+62))</f>
        <v/>
      </c>
      <c r="GO130" s="121">
        <f>IF(N('Dvd Calendar'!$AA$1277)=0,"",IF(('Dvd Calendar'!$AA$1277&gt;=GRID_FROM)*('Dvd Calendar'!$AA$1277&lt;=GRID_TO)*('Dvd Calendar'!$AA$1277&gt;VAL_DATE)=0,"",'Dvd Calendar'!$AA$1277*1000000000+ISNUMBER('Dvd Calendar'!$AA$1278)*100000000+0*10000000+(N('Dvd Calendar'!$AA$1276)&gt;0)*(N('Dvd Calendar'!$AA$1276)&lt;=VAL_SERIAL)*1000000+15*1000+63))</f>
        <v/>
      </c>
      <c r="GP130" s="121">
        <f>IF(N('Dvd Calendar'!$AB$1277)=0,"",IF(('Dvd Calendar'!$AB$1277&gt;=GRID_FROM)*('Dvd Calendar'!$AB$1277&lt;=GRID_TO)*('Dvd Calendar'!$AB$1277&gt;VAL_DATE)=0,"",'Dvd Calendar'!$AB$1277*1000000000+ISNUMBER('Dvd Calendar'!$AB$1278)*100000000+0*10000000+(N('Dvd Calendar'!$AB$1276)&gt;0)*(N('Dvd Calendar'!$AB$1276)&lt;=VAL_SERIAL)*1000000+15*1000+64))</f>
        <v/>
      </c>
      <c r="GQ130" s="121">
        <f>IF(N('Dvd Calendar'!$AC$1277)=0,"",IF(('Dvd Calendar'!$AC$1277&gt;=GRID_FROM)*('Dvd Calendar'!$AC$1277&lt;=GRID_TO)*('Dvd Calendar'!$AC$1277&gt;VAL_DATE)=0,"",'Dvd Calendar'!$AC$1277*1000000000+ISNUMBER('Dvd Calendar'!$AC$1278)*100000000+0*10000000+(N('Dvd Calendar'!$AC$1276)&gt;0)*(N('Dvd Calendar'!$AC$1276)&lt;=VAL_SERIAL)*1000000+15*1000+65))</f>
        <v/>
      </c>
    </row>
    <row r="131">
      <c r="B131" s="2">
        <f>IF(HSTECH!$C$22="","",HSTECH!$C$22)</f>
        <v/>
      </c>
      <c r="C131" s="161">
        <f>IF(EE131="","",IF(ISNUMBER('Dvd Calendar'!$E$1284)=FALSE,"",IF((('Dvd Calendar'!$E$1286=TYPE1)*(TYPE1&lt;&gt;"")+('Dvd Calendar'!$E$1286=TYPE2)*(TYPE2&lt;&gt;"")+('Dvd Calendar'!$E$1286=TYPE3)*(TYPE3&lt;&gt;"")+('Dvd Calendar'!$E$1286=TYPE4)*(TYPE4&lt;&gt;"")+('Dvd Calendar'!$E$1286=SPECIAL_LBL)*(INC_SPECIALS="Y"))=0,"",'Dvd Calendar'!$E$1284)))</f>
        <v/>
      </c>
      <c r="D131" s="161">
        <f>IF(EF131="","",IF(ISNUMBER('Dvd Calendar'!$F$1284)=FALSE,"",IF((('Dvd Calendar'!$F$1286=TYPE1)*(TYPE1&lt;&gt;"")+('Dvd Calendar'!$F$1286=TYPE2)*(TYPE2&lt;&gt;"")+('Dvd Calendar'!$F$1286=TYPE3)*(TYPE3&lt;&gt;"")+('Dvd Calendar'!$F$1286=TYPE4)*(TYPE4&lt;&gt;"")+('Dvd Calendar'!$F$1286=SPECIAL_LBL)*(INC_SPECIALS="Y"))=0,"",'Dvd Calendar'!$F$1284)))</f>
        <v/>
      </c>
      <c r="E131" s="161">
        <f>IF(EG131="","",IF(ISNUMBER('Dvd Calendar'!$G$1284)=FALSE,"",IF((('Dvd Calendar'!$G$1286=TYPE1)*(TYPE1&lt;&gt;"")+('Dvd Calendar'!$G$1286=TYPE2)*(TYPE2&lt;&gt;"")+('Dvd Calendar'!$G$1286=TYPE3)*(TYPE3&lt;&gt;"")+('Dvd Calendar'!$G$1286=TYPE4)*(TYPE4&lt;&gt;"")+('Dvd Calendar'!$G$1286=SPECIAL_LBL)*(INC_SPECIALS="Y"))=0,"",'Dvd Calendar'!$G$1284)))</f>
        <v/>
      </c>
      <c r="F131" s="161">
        <f>IF(EH131="","",IF(ISNUMBER('Dvd Calendar'!$H$1284)=FALSE,"",IF((('Dvd Calendar'!$H$1286=TYPE1)*(TYPE1&lt;&gt;"")+('Dvd Calendar'!$H$1286=TYPE2)*(TYPE2&lt;&gt;"")+('Dvd Calendar'!$H$1286=TYPE3)*(TYPE3&lt;&gt;"")+('Dvd Calendar'!$H$1286=TYPE4)*(TYPE4&lt;&gt;"")+('Dvd Calendar'!$H$1286=SPECIAL_LBL)*(INC_SPECIALS="Y"))=0,"",'Dvd Calendar'!$H$1284)))</f>
        <v/>
      </c>
      <c r="G131" s="161">
        <f>IF(EI131="","",IF(ISNUMBER('Dvd Calendar'!$I$1284)=FALSE,"",IF((('Dvd Calendar'!$I$1286=TYPE1)*(TYPE1&lt;&gt;"")+('Dvd Calendar'!$I$1286=TYPE2)*(TYPE2&lt;&gt;"")+('Dvd Calendar'!$I$1286=TYPE3)*(TYPE3&lt;&gt;"")+('Dvd Calendar'!$I$1286=TYPE4)*(TYPE4&lt;&gt;"")+('Dvd Calendar'!$I$1286=SPECIAL_LBL)*(INC_SPECIALS="Y"))=0,"",'Dvd Calendar'!$I$1284)))</f>
        <v/>
      </c>
      <c r="H131" s="161">
        <f>IF(EJ131="","",IF(ISNUMBER('Dvd Calendar'!$J$1284)=FALSE,"",IF((('Dvd Calendar'!$J$1286=TYPE1)*(TYPE1&lt;&gt;"")+('Dvd Calendar'!$J$1286=TYPE2)*(TYPE2&lt;&gt;"")+('Dvd Calendar'!$J$1286=TYPE3)*(TYPE3&lt;&gt;"")+('Dvd Calendar'!$J$1286=TYPE4)*(TYPE4&lt;&gt;"")+('Dvd Calendar'!$J$1286=SPECIAL_LBL)*(INC_SPECIALS="Y"))=0,"",'Dvd Calendar'!$J$1284)))</f>
        <v/>
      </c>
      <c r="I131" s="161">
        <f>IF(EK131="","",IF(ISNUMBER('Dvd Calendar'!$K$1284)=FALSE,"",IF((('Dvd Calendar'!$K$1286=TYPE1)*(TYPE1&lt;&gt;"")+('Dvd Calendar'!$K$1286=TYPE2)*(TYPE2&lt;&gt;"")+('Dvd Calendar'!$K$1286=TYPE3)*(TYPE3&lt;&gt;"")+('Dvd Calendar'!$K$1286=TYPE4)*(TYPE4&lt;&gt;"")+('Dvd Calendar'!$K$1286=SPECIAL_LBL)*(INC_SPECIALS="Y"))=0,"",'Dvd Calendar'!$K$1284)))</f>
        <v/>
      </c>
      <c r="J131" s="161">
        <f>IF(EL131="","",IF(ISNUMBER('Dvd Calendar'!$L$1284)=FALSE,"",IF((('Dvd Calendar'!$L$1286=TYPE1)*(TYPE1&lt;&gt;"")+('Dvd Calendar'!$L$1286=TYPE2)*(TYPE2&lt;&gt;"")+('Dvd Calendar'!$L$1286=TYPE3)*(TYPE3&lt;&gt;"")+('Dvd Calendar'!$L$1286=TYPE4)*(TYPE4&lt;&gt;"")+('Dvd Calendar'!$L$1286=SPECIAL_LBL)*(INC_SPECIALS="Y"))=0,"",'Dvd Calendar'!$L$1284)))</f>
        <v/>
      </c>
      <c r="K131" s="161">
        <f>IF(EM131="","",IF(ISNUMBER('Dvd Calendar'!$M$1284)=FALSE,"",IF((('Dvd Calendar'!$M$1286=TYPE1)*(TYPE1&lt;&gt;"")+('Dvd Calendar'!$M$1286=TYPE2)*(TYPE2&lt;&gt;"")+('Dvd Calendar'!$M$1286=TYPE3)*(TYPE3&lt;&gt;"")+('Dvd Calendar'!$M$1286=TYPE4)*(TYPE4&lt;&gt;"")+('Dvd Calendar'!$M$1286=SPECIAL_LBL)*(INC_SPECIALS="Y"))=0,"",'Dvd Calendar'!$M$1284)))</f>
        <v/>
      </c>
      <c r="L131" s="161">
        <f>IF(EN131="","",IF(ISNUMBER('Dvd Calendar'!$N$1284)=FALSE,"",IF((('Dvd Calendar'!$N$1286=TYPE1)*(TYPE1&lt;&gt;"")+('Dvd Calendar'!$N$1286=TYPE2)*(TYPE2&lt;&gt;"")+('Dvd Calendar'!$N$1286=TYPE3)*(TYPE3&lt;&gt;"")+('Dvd Calendar'!$N$1286=TYPE4)*(TYPE4&lt;&gt;"")+('Dvd Calendar'!$N$1286=SPECIAL_LBL)*(INC_SPECIALS="Y"))=0,"",'Dvd Calendar'!$N$1284)))</f>
        <v/>
      </c>
      <c r="M131" s="161">
        <f>IF(EO131="","",IF(ISNUMBER('Dvd Calendar'!$O$1284)=FALSE,"",IF((('Dvd Calendar'!$O$1286=TYPE1)*(TYPE1&lt;&gt;"")+('Dvd Calendar'!$O$1286=TYPE2)*(TYPE2&lt;&gt;"")+('Dvd Calendar'!$O$1286=TYPE3)*(TYPE3&lt;&gt;"")+('Dvd Calendar'!$O$1286=TYPE4)*(TYPE4&lt;&gt;"")+('Dvd Calendar'!$O$1286=SPECIAL_LBL)*(INC_SPECIALS="Y"))=0,"",'Dvd Calendar'!$O$1284)))</f>
        <v/>
      </c>
      <c r="N131" s="161">
        <f>IF(EP131="","",IF(ISNUMBER('Dvd Calendar'!$P$1284)=FALSE,"",IF((('Dvd Calendar'!$P$1286=TYPE1)*(TYPE1&lt;&gt;"")+('Dvd Calendar'!$P$1286=TYPE2)*(TYPE2&lt;&gt;"")+('Dvd Calendar'!$P$1286=TYPE3)*(TYPE3&lt;&gt;"")+('Dvd Calendar'!$P$1286=TYPE4)*(TYPE4&lt;&gt;"")+('Dvd Calendar'!$P$1286=SPECIAL_LBL)*(INC_SPECIALS="Y"))=0,"",'Dvd Calendar'!$P$1284)))</f>
        <v/>
      </c>
      <c r="O131" s="161">
        <f>IF(EQ131="","",IF(ISNUMBER('Dvd Calendar'!$Q$1284)=FALSE,"",IF((('Dvd Calendar'!$Q$1286=TYPE1)*(TYPE1&lt;&gt;"")+('Dvd Calendar'!$Q$1286=TYPE2)*(TYPE2&lt;&gt;"")+('Dvd Calendar'!$Q$1286=TYPE3)*(TYPE3&lt;&gt;"")+('Dvd Calendar'!$Q$1286=TYPE4)*(TYPE4&lt;&gt;"")+('Dvd Calendar'!$Q$1286=SPECIAL_LBL)*(INC_SPECIALS="Y"))=0,"",'Dvd Calendar'!$Q$1284)))</f>
        <v/>
      </c>
      <c r="P131" s="161">
        <f>IF(ER131="","",IF(ISNUMBER('Dvd Calendar'!$R$1284)=FALSE,"",IF((('Dvd Calendar'!$R$1286=TYPE1)*(TYPE1&lt;&gt;"")+('Dvd Calendar'!$R$1286=TYPE2)*(TYPE2&lt;&gt;"")+('Dvd Calendar'!$R$1286=TYPE3)*(TYPE3&lt;&gt;"")+('Dvd Calendar'!$R$1286=TYPE4)*(TYPE4&lt;&gt;"")+('Dvd Calendar'!$R$1286=SPECIAL_LBL)*(INC_SPECIALS="Y"))=0,"",'Dvd Calendar'!$R$1284)))</f>
        <v/>
      </c>
      <c r="Q131" s="161">
        <f>IF(ES131="","",IF(ISNUMBER('Dvd Calendar'!$S$1284)=FALSE,"",IF((('Dvd Calendar'!$S$1286=TYPE1)*(TYPE1&lt;&gt;"")+('Dvd Calendar'!$S$1286=TYPE2)*(TYPE2&lt;&gt;"")+('Dvd Calendar'!$S$1286=TYPE3)*(TYPE3&lt;&gt;"")+('Dvd Calendar'!$S$1286=TYPE4)*(TYPE4&lt;&gt;"")+('Dvd Calendar'!$S$1286=SPECIAL_LBL)*(INC_SPECIALS="Y"))=0,"",'Dvd Calendar'!$S$1284)))</f>
        <v/>
      </c>
      <c r="R131" s="161">
        <f>IF(ET131="","",IF(ISNUMBER('Dvd Calendar'!$T$1284)=FALSE,"",IF((('Dvd Calendar'!$T$1286=TYPE1)*(TYPE1&lt;&gt;"")+('Dvd Calendar'!$T$1286=TYPE2)*(TYPE2&lt;&gt;"")+('Dvd Calendar'!$T$1286=TYPE3)*(TYPE3&lt;&gt;"")+('Dvd Calendar'!$T$1286=TYPE4)*(TYPE4&lt;&gt;"")+('Dvd Calendar'!$T$1286=SPECIAL_LBL)*(INC_SPECIALS="Y"))=0,"",'Dvd Calendar'!$T$1284)))</f>
        <v/>
      </c>
      <c r="S131" s="161">
        <f>IF(EU131="","",IF(ISNUMBER('Dvd Calendar'!$U$1284)=FALSE,"",IF((('Dvd Calendar'!$U$1286=TYPE1)*(TYPE1&lt;&gt;"")+('Dvd Calendar'!$U$1286=TYPE2)*(TYPE2&lt;&gt;"")+('Dvd Calendar'!$U$1286=TYPE3)*(TYPE3&lt;&gt;"")+('Dvd Calendar'!$U$1286=TYPE4)*(TYPE4&lt;&gt;"")+('Dvd Calendar'!$U$1286=SPECIAL_LBL)*(INC_SPECIALS="Y"))=0,"",'Dvd Calendar'!$U$1284)))</f>
        <v/>
      </c>
      <c r="T131" s="161">
        <f>IF(EV131="","",IF(ISNUMBER('Dvd Calendar'!$V$1284)=FALSE,"",IF((('Dvd Calendar'!$V$1286=TYPE1)*(TYPE1&lt;&gt;"")+('Dvd Calendar'!$V$1286=TYPE2)*(TYPE2&lt;&gt;"")+('Dvd Calendar'!$V$1286=TYPE3)*(TYPE3&lt;&gt;"")+('Dvd Calendar'!$V$1286=TYPE4)*(TYPE4&lt;&gt;"")+('Dvd Calendar'!$V$1286=SPECIAL_LBL)*(INC_SPECIALS="Y"))=0,"",'Dvd Calendar'!$V$1284)))</f>
        <v/>
      </c>
      <c r="U131" s="161">
        <f>IF(EW131="","",IF(ISNUMBER('Dvd Calendar'!$W$1284)=FALSE,"",IF((('Dvd Calendar'!$W$1286=TYPE1)*(TYPE1&lt;&gt;"")+('Dvd Calendar'!$W$1286=TYPE2)*(TYPE2&lt;&gt;"")+('Dvd Calendar'!$W$1286=TYPE3)*(TYPE3&lt;&gt;"")+('Dvd Calendar'!$W$1286=TYPE4)*(TYPE4&lt;&gt;"")+('Dvd Calendar'!$W$1286=SPECIAL_LBL)*(INC_SPECIALS="Y"))=0,"",'Dvd Calendar'!$W$1284)))</f>
        <v/>
      </c>
      <c r="V131" s="161">
        <f>IF(EX131="","",IF(ISNUMBER('Dvd Calendar'!$X$1284)=FALSE,"",IF((('Dvd Calendar'!$X$1286=TYPE1)*(TYPE1&lt;&gt;"")+('Dvd Calendar'!$X$1286=TYPE2)*(TYPE2&lt;&gt;"")+('Dvd Calendar'!$X$1286=TYPE3)*(TYPE3&lt;&gt;"")+('Dvd Calendar'!$X$1286=TYPE4)*(TYPE4&lt;&gt;"")+('Dvd Calendar'!$X$1286=SPECIAL_LBL)*(INC_SPECIALS="Y"))=0,"",'Dvd Calendar'!$X$1284)))</f>
        <v/>
      </c>
      <c r="W131" s="161">
        <f>IF(EY131="","",IF(ISNUMBER('Dvd Calendar'!$Y$1284)=FALSE,"",IF((('Dvd Calendar'!$Y$1286=TYPE1)*(TYPE1&lt;&gt;"")+('Dvd Calendar'!$Y$1286=TYPE2)*(TYPE2&lt;&gt;"")+('Dvd Calendar'!$Y$1286=TYPE3)*(TYPE3&lt;&gt;"")+('Dvd Calendar'!$Y$1286=TYPE4)*(TYPE4&lt;&gt;"")+('Dvd Calendar'!$Y$1286=SPECIAL_LBL)*(INC_SPECIALS="Y"))=0,"",'Dvd Calendar'!$Y$1284)))</f>
        <v/>
      </c>
      <c r="X131" s="161">
        <f>IF(EZ131="","",IF(ISNUMBER('Dvd Calendar'!$Z$1284)=FALSE,"",IF((('Dvd Calendar'!$Z$1286=TYPE1)*(TYPE1&lt;&gt;"")+('Dvd Calendar'!$Z$1286=TYPE2)*(TYPE2&lt;&gt;"")+('Dvd Calendar'!$Z$1286=TYPE3)*(TYPE3&lt;&gt;"")+('Dvd Calendar'!$Z$1286=TYPE4)*(TYPE4&lt;&gt;"")+('Dvd Calendar'!$Z$1286=SPECIAL_LBL)*(INC_SPECIALS="Y"))=0,"",'Dvd Calendar'!$Z$1284)))</f>
        <v/>
      </c>
      <c r="Y131" s="161">
        <f>IF(FA131="","",IF(ISNUMBER('Dvd Calendar'!$AA$1284)=FALSE,"",IF((('Dvd Calendar'!$AA$1286=TYPE1)*(TYPE1&lt;&gt;"")+('Dvd Calendar'!$AA$1286=TYPE2)*(TYPE2&lt;&gt;"")+('Dvd Calendar'!$AA$1286=TYPE3)*(TYPE3&lt;&gt;"")+('Dvd Calendar'!$AA$1286=TYPE4)*(TYPE4&lt;&gt;"")+('Dvd Calendar'!$AA$1286=SPECIAL_LBL)*(INC_SPECIALS="Y"))=0,"",'Dvd Calendar'!$AA$1284)))</f>
        <v/>
      </c>
      <c r="Z131" s="161">
        <f>IF(FB131="","",IF(ISNUMBER('Dvd Calendar'!$AB$1284)=FALSE,"",IF((('Dvd Calendar'!$AB$1286=TYPE1)*(TYPE1&lt;&gt;"")+('Dvd Calendar'!$AB$1286=TYPE2)*(TYPE2&lt;&gt;"")+('Dvd Calendar'!$AB$1286=TYPE3)*(TYPE3&lt;&gt;"")+('Dvd Calendar'!$AB$1286=TYPE4)*(TYPE4&lt;&gt;"")+('Dvd Calendar'!$AB$1286=SPECIAL_LBL)*(INC_SPECIALS="Y"))=0,"",'Dvd Calendar'!$AB$1284)))</f>
        <v/>
      </c>
      <c r="AA131" s="161">
        <f>IF(FC131="","",IF(ISNUMBER('Dvd Calendar'!$AC$1284)=FALSE,"",IF((('Dvd Calendar'!$AC$1286=TYPE1)*(TYPE1&lt;&gt;"")+('Dvd Calendar'!$AC$1286=TYPE2)*(TYPE2&lt;&gt;"")+('Dvd Calendar'!$AC$1286=TYPE3)*(TYPE3&lt;&gt;"")+('Dvd Calendar'!$AC$1286=TYPE4)*(TYPE4&lt;&gt;"")+('Dvd Calendar'!$AC$1286=SPECIAL_LBL)*(INC_SPECIALS="Y"))=0,"",'Dvd Calendar'!$AC$1284)))</f>
        <v/>
      </c>
      <c r="AB131" s="161">
        <f>IF(FD131="","",IF(ISNUMBER('Dvd Calendar'!$AD$1284)=FALSE,"",IF((('Dvd Calendar'!$AD$1286=TYPE1)*(TYPE1&lt;&gt;"")+('Dvd Calendar'!$AD$1286=TYPE2)*(TYPE2&lt;&gt;"")+('Dvd Calendar'!$AD$1286=TYPE3)*(TYPE3&lt;&gt;"")+('Dvd Calendar'!$AD$1286=TYPE4)*(TYPE4&lt;&gt;"")+('Dvd Calendar'!$AD$1286=SPECIAL_LBL)*(INC_SPECIALS="Y"))=0,"",'Dvd Calendar'!$AD$1284)))</f>
        <v/>
      </c>
      <c r="AC131" s="161">
        <f>IF(FE131="","",IF(ISNUMBER('Dvd Calendar'!$AE$1284)=FALSE,"",IF((('Dvd Calendar'!$AE$1286=TYPE1)*(TYPE1&lt;&gt;"")+('Dvd Calendar'!$AE$1286=TYPE2)*(TYPE2&lt;&gt;"")+('Dvd Calendar'!$AE$1286=TYPE3)*(TYPE3&lt;&gt;"")+('Dvd Calendar'!$AE$1286=TYPE4)*(TYPE4&lt;&gt;"")+('Dvd Calendar'!$AE$1286=SPECIAL_LBL)*(INC_SPECIALS="Y"))=0,"",'Dvd Calendar'!$AE$1284)))</f>
        <v/>
      </c>
      <c r="AD131" s="161">
        <f>IF(FF131="","",IF(ISNUMBER('Dvd Calendar'!$AF$1284)=FALSE,"",IF((('Dvd Calendar'!$AF$1286=TYPE1)*(TYPE1&lt;&gt;"")+('Dvd Calendar'!$AF$1286=TYPE2)*(TYPE2&lt;&gt;"")+('Dvd Calendar'!$AF$1286=TYPE3)*(TYPE3&lt;&gt;"")+('Dvd Calendar'!$AF$1286=TYPE4)*(TYPE4&lt;&gt;"")+('Dvd Calendar'!$AF$1286=SPECIAL_LBL)*(INC_SPECIALS="Y"))=0,"",'Dvd Calendar'!$AF$1284)))</f>
        <v/>
      </c>
      <c r="AE131" s="161">
        <f>IF(FG131="","",IF(ISNUMBER('Dvd Calendar'!$AG$1284)=FALSE,"",IF((('Dvd Calendar'!$AG$1286=TYPE1)*(TYPE1&lt;&gt;"")+('Dvd Calendar'!$AG$1286=TYPE2)*(TYPE2&lt;&gt;"")+('Dvd Calendar'!$AG$1286=TYPE3)*(TYPE3&lt;&gt;"")+('Dvd Calendar'!$AG$1286=TYPE4)*(TYPE4&lt;&gt;"")+('Dvd Calendar'!$AG$1286=SPECIAL_LBL)*(INC_SPECIALS="Y"))=0,"",'Dvd Calendar'!$AG$1284)))</f>
        <v/>
      </c>
      <c r="AF131" s="161">
        <f>IF(FH131="","",IF(ISNUMBER('Dvd Calendar'!$AH$1284)=FALSE,"",IF((('Dvd Calendar'!$AH$1286=TYPE1)*(TYPE1&lt;&gt;"")+('Dvd Calendar'!$AH$1286=TYPE2)*(TYPE2&lt;&gt;"")+('Dvd Calendar'!$AH$1286=TYPE3)*(TYPE3&lt;&gt;"")+('Dvd Calendar'!$AH$1286=TYPE4)*(TYPE4&lt;&gt;"")+('Dvd Calendar'!$AH$1286=SPECIAL_LBL)*(INC_SPECIALS="Y"))=0,"",'Dvd Calendar'!$AH$1284)))</f>
        <v/>
      </c>
      <c r="AG131" s="161">
        <f>IF(FI131="","",IF(ISNUMBER('Dvd Calendar'!$AI$1284)=FALSE,"",IF((('Dvd Calendar'!$AI$1286=TYPE1)*(TYPE1&lt;&gt;"")+('Dvd Calendar'!$AI$1286=TYPE2)*(TYPE2&lt;&gt;"")+('Dvd Calendar'!$AI$1286=TYPE3)*(TYPE3&lt;&gt;"")+('Dvd Calendar'!$AI$1286=TYPE4)*(TYPE4&lt;&gt;"")+('Dvd Calendar'!$AI$1286=SPECIAL_LBL)*(INC_SPECIALS="Y"))=0,"",'Dvd Calendar'!$AI$1284)))</f>
        <v/>
      </c>
      <c r="AH131" s="161">
        <f>IF(FJ131="","",IF(ISNUMBER('Dvd Calendar'!$AJ$1284)=FALSE,"",IF((('Dvd Calendar'!$AJ$1286=TYPE1)*(TYPE1&lt;&gt;"")+('Dvd Calendar'!$AJ$1286=TYPE2)*(TYPE2&lt;&gt;"")+('Dvd Calendar'!$AJ$1286=TYPE3)*(TYPE3&lt;&gt;"")+('Dvd Calendar'!$AJ$1286=TYPE4)*(TYPE4&lt;&gt;"")+('Dvd Calendar'!$AJ$1286=SPECIAL_LBL)*(INC_SPECIALS="Y"))=0,"",'Dvd Calendar'!$AJ$1284)))</f>
        <v/>
      </c>
      <c r="AI131" s="161">
        <f>IF(FK131="","",IF(ISNUMBER('Dvd Calendar'!$AK$1284)=FALSE,"",IF((('Dvd Calendar'!$AK$1286=TYPE1)*(TYPE1&lt;&gt;"")+('Dvd Calendar'!$AK$1286=TYPE2)*(TYPE2&lt;&gt;"")+('Dvd Calendar'!$AK$1286=TYPE3)*(TYPE3&lt;&gt;"")+('Dvd Calendar'!$AK$1286=TYPE4)*(TYPE4&lt;&gt;"")+('Dvd Calendar'!$AK$1286=SPECIAL_LBL)*(INC_SPECIALS="Y"))=0,"",'Dvd Calendar'!$AK$1284)))</f>
        <v/>
      </c>
      <c r="AJ131" s="161">
        <f>IF(FL131="","",IF(ISNUMBER('Dvd Calendar'!$AL$1284)=FALSE,"",IF((('Dvd Calendar'!$AL$1286=TYPE1)*(TYPE1&lt;&gt;"")+('Dvd Calendar'!$AL$1286=TYPE2)*(TYPE2&lt;&gt;"")+('Dvd Calendar'!$AL$1286=TYPE3)*(TYPE3&lt;&gt;"")+('Dvd Calendar'!$AL$1286=TYPE4)*(TYPE4&lt;&gt;"")+('Dvd Calendar'!$AL$1286=SPECIAL_LBL)*(INC_SPECIALS="Y"))=0,"",'Dvd Calendar'!$AL$1284)))</f>
        <v/>
      </c>
      <c r="AK131" s="161">
        <f>IF(FM131="","",IF(ISNUMBER('Dvd Calendar'!$AM$1284)=FALSE,"",IF((('Dvd Calendar'!$AM$1286=TYPE1)*(TYPE1&lt;&gt;"")+('Dvd Calendar'!$AM$1286=TYPE2)*(TYPE2&lt;&gt;"")+('Dvd Calendar'!$AM$1286=TYPE3)*(TYPE3&lt;&gt;"")+('Dvd Calendar'!$AM$1286=TYPE4)*(TYPE4&lt;&gt;"")+('Dvd Calendar'!$AM$1286=SPECIAL_LBL)*(INC_SPECIALS="Y"))=0,"",'Dvd Calendar'!$AM$1284)))</f>
        <v/>
      </c>
      <c r="AL131" s="161">
        <f>IF(FN131="","",IF(ISNUMBER('Dvd Calendar'!$AN$1284)=FALSE,"",IF((('Dvd Calendar'!$AN$1286=TYPE1)*(TYPE1&lt;&gt;"")+('Dvd Calendar'!$AN$1286=TYPE2)*(TYPE2&lt;&gt;"")+('Dvd Calendar'!$AN$1286=TYPE3)*(TYPE3&lt;&gt;"")+('Dvd Calendar'!$AN$1286=TYPE4)*(TYPE4&lt;&gt;"")+('Dvd Calendar'!$AN$1286=SPECIAL_LBL)*(INC_SPECIALS="Y"))=0,"",'Dvd Calendar'!$AN$1284)))</f>
        <v/>
      </c>
      <c r="AM131" s="161">
        <f>IF(FO131="","",IF(ISNUMBER('Dvd Calendar'!$AO$1284)=FALSE,"",IF((('Dvd Calendar'!$AO$1286=TYPE1)*(TYPE1&lt;&gt;"")+('Dvd Calendar'!$AO$1286=TYPE2)*(TYPE2&lt;&gt;"")+('Dvd Calendar'!$AO$1286=TYPE3)*(TYPE3&lt;&gt;"")+('Dvd Calendar'!$AO$1286=TYPE4)*(TYPE4&lt;&gt;"")+('Dvd Calendar'!$AO$1286=SPECIAL_LBL)*(INC_SPECIALS="Y"))=0,"",'Dvd Calendar'!$AO$1284)))</f>
        <v/>
      </c>
      <c r="AN131" s="161">
        <f>IF(FP131="","",IF(ISNUMBER('Dvd Calendar'!$AP$1284)=FALSE,"",IF((('Dvd Calendar'!$AP$1286=TYPE1)*(TYPE1&lt;&gt;"")+('Dvd Calendar'!$AP$1286=TYPE2)*(TYPE2&lt;&gt;"")+('Dvd Calendar'!$AP$1286=TYPE3)*(TYPE3&lt;&gt;"")+('Dvd Calendar'!$AP$1286=TYPE4)*(TYPE4&lt;&gt;"")+('Dvd Calendar'!$AP$1286=SPECIAL_LBL)*(INC_SPECIALS="Y"))=0,"",'Dvd Calendar'!$AP$1284)))</f>
        <v/>
      </c>
      <c r="AO131" s="161">
        <f>IF(FQ131="","",IF(ISNUMBER('Dvd Calendar'!$AQ$1284)=FALSE,"",IF((('Dvd Calendar'!$AQ$1286=TYPE1)*(TYPE1&lt;&gt;"")+('Dvd Calendar'!$AQ$1286=TYPE2)*(TYPE2&lt;&gt;"")+('Dvd Calendar'!$AQ$1286=TYPE3)*(TYPE3&lt;&gt;"")+('Dvd Calendar'!$AQ$1286=TYPE4)*(TYPE4&lt;&gt;"")+('Dvd Calendar'!$AQ$1286=SPECIAL_LBL)*(INC_SPECIALS="Y"))=0,"",'Dvd Calendar'!$AQ$1284)))</f>
        <v/>
      </c>
      <c r="AP131" s="161">
        <f>IF(FR131="","",IF(ISNUMBER('Dvd Calendar'!$AR$1284)=FALSE,"",IF((('Dvd Calendar'!$AR$1286=TYPE1)*(TYPE1&lt;&gt;"")+('Dvd Calendar'!$AR$1286=TYPE2)*(TYPE2&lt;&gt;"")+('Dvd Calendar'!$AR$1286=TYPE3)*(TYPE3&lt;&gt;"")+('Dvd Calendar'!$AR$1286=TYPE4)*(TYPE4&lt;&gt;"")+('Dvd Calendar'!$AR$1286=SPECIAL_LBL)*(INC_SPECIALS="Y"))=0,"",'Dvd Calendar'!$AR$1284)))</f>
        <v/>
      </c>
      <c r="AQ131" s="161">
        <f>IF(FS131="","",IF(ISNUMBER('Dvd Calendar'!$E$1289)=FALSE,"",'Dvd Calendar'!$E$1289))</f>
        <v/>
      </c>
      <c r="AR131" s="161">
        <f>IF(FT131="","",IF(ISNUMBER('Dvd Calendar'!$F$1289)=FALSE,"",'Dvd Calendar'!$F$1289))</f>
        <v/>
      </c>
      <c r="AS131" s="161">
        <f>IF(FU131="","",IF(ISNUMBER('Dvd Calendar'!$G$1289)=FALSE,"",'Dvd Calendar'!$G$1289))</f>
        <v/>
      </c>
      <c r="AT131" s="161">
        <f>IF(FV131="","",IF(ISNUMBER('Dvd Calendar'!$H$1289)=FALSE,"",'Dvd Calendar'!$H$1289))</f>
        <v/>
      </c>
      <c r="AU131" s="161">
        <f>IF(FW131="","",IF(ISNUMBER('Dvd Calendar'!$I$1289)=FALSE,"",'Dvd Calendar'!$I$1289))</f>
        <v/>
      </c>
      <c r="AV131" s="161">
        <f>IF(FX131="","",IF(ISNUMBER('Dvd Calendar'!$J$1289)=FALSE,"",'Dvd Calendar'!$J$1289))</f>
        <v/>
      </c>
      <c r="AW131" s="161">
        <f>IF(FY131="","",IF(ISNUMBER('Dvd Calendar'!$K$1289)=FALSE,"",'Dvd Calendar'!$K$1289))</f>
        <v/>
      </c>
      <c r="AX131" s="161">
        <f>IF(FZ131="","",IF(ISNUMBER('Dvd Calendar'!$L$1289)=FALSE,"",'Dvd Calendar'!$L$1289))</f>
        <v/>
      </c>
      <c r="AY131" s="161">
        <f>IF(GA131="","",IF(ISNUMBER('Dvd Calendar'!$M$1289)=FALSE,"",'Dvd Calendar'!$M$1289))</f>
        <v/>
      </c>
      <c r="AZ131" s="161">
        <f>IF(GB131="","",IF(ISNUMBER('Dvd Calendar'!$N$1289)=FALSE,"",'Dvd Calendar'!$N$1289))</f>
        <v/>
      </c>
      <c r="BA131" s="161">
        <f>IF(GC131="","",IF(ISNUMBER('Dvd Calendar'!$O$1289)=FALSE,"",'Dvd Calendar'!$O$1289))</f>
        <v/>
      </c>
      <c r="BB131" s="161">
        <f>IF(GD131="","",IF(ISNUMBER('Dvd Calendar'!$P$1289)=FALSE,"",'Dvd Calendar'!$P$1289))</f>
        <v/>
      </c>
      <c r="BC131" s="161">
        <f>IF(GE131="","",IF(ISNUMBER('Dvd Calendar'!$Q$1289)=FALSE,"",'Dvd Calendar'!$Q$1289))</f>
        <v/>
      </c>
      <c r="BD131" s="161">
        <f>IF(GF131="","",IF(ISNUMBER('Dvd Calendar'!$R$1289)=FALSE,"",'Dvd Calendar'!$R$1289))</f>
        <v/>
      </c>
      <c r="BE131" s="161">
        <f>IF(GG131="","",IF(ISNUMBER('Dvd Calendar'!$S$1289)=FALSE,"",'Dvd Calendar'!$S$1289))</f>
        <v/>
      </c>
      <c r="BF131" s="161">
        <f>IF(GH131="","",IF(ISNUMBER('Dvd Calendar'!$T$1289)=FALSE,"",'Dvd Calendar'!$T$1289))</f>
        <v/>
      </c>
      <c r="BG131" s="161">
        <f>IF(GI131="","",IF(ISNUMBER('Dvd Calendar'!$U$1289)=FALSE,"",'Dvd Calendar'!$U$1289))</f>
        <v/>
      </c>
      <c r="BH131" s="161">
        <f>IF(GJ131="","",IF(ISNUMBER('Dvd Calendar'!$V$1289)=FALSE,"",'Dvd Calendar'!$V$1289))</f>
        <v/>
      </c>
      <c r="BI131" s="161">
        <f>IF(GK131="","",IF(ISNUMBER('Dvd Calendar'!$W$1289)=FALSE,"",'Dvd Calendar'!$W$1289))</f>
        <v/>
      </c>
      <c r="BJ131" s="161">
        <f>IF(GL131="","",IF(ISNUMBER('Dvd Calendar'!$X$1289)=FALSE,"",'Dvd Calendar'!$X$1289))</f>
        <v/>
      </c>
      <c r="BK131" s="161">
        <f>IF(GM131="","",IF(ISNUMBER('Dvd Calendar'!$Y$1289)=FALSE,"",'Dvd Calendar'!$Y$1289))</f>
        <v/>
      </c>
      <c r="BL131" s="161">
        <f>IF(GN131="","",IF(ISNUMBER('Dvd Calendar'!$Z$1289)=FALSE,"",'Dvd Calendar'!$Z$1289))</f>
        <v/>
      </c>
      <c r="BM131" s="161">
        <f>IF(GO131="","",IF(ISNUMBER('Dvd Calendar'!$AA$1289)=FALSE,"",'Dvd Calendar'!$AA$1289))</f>
        <v/>
      </c>
      <c r="BN131" s="161">
        <f>IF(GP131="","",IF(ISNUMBER('Dvd Calendar'!$AB$1289)=FALSE,"",'Dvd Calendar'!$AB$1289))</f>
        <v/>
      </c>
      <c r="BO131" s="161">
        <f>IF(GQ131="","",IF(ISNUMBER('Dvd Calendar'!$AC$1289)=FALSE,"",'Dvd Calendar'!$AC$1289))</f>
        <v/>
      </c>
      <c r="BQ131" s="161">
        <f>IF(C131="","",IFERROR(C131*HSTECH!$B$22*HSTECH!$G$22/HSTECH!$B$3,""))</f>
        <v/>
      </c>
      <c r="BR131" s="161">
        <f>IF(D131="","",IFERROR(D131*HSTECH!$B$22*HSTECH!$G$22/HSTECH!$B$3,""))</f>
        <v/>
      </c>
      <c r="BS131" s="161">
        <f>IF(E131="","",IFERROR(E131*HSTECH!$B$22*HSTECH!$G$22/HSTECH!$B$3,""))</f>
        <v/>
      </c>
      <c r="BT131" s="161">
        <f>IF(F131="","",IFERROR(F131*HSTECH!$B$22*HSTECH!$G$22/HSTECH!$B$3,""))</f>
        <v/>
      </c>
      <c r="BU131" s="161">
        <f>IF(G131="","",IFERROR(G131*HSTECH!$B$22*HSTECH!$G$22/HSTECH!$B$3,""))</f>
        <v/>
      </c>
      <c r="BV131" s="161">
        <f>IF(H131="","",IFERROR(H131*HSTECH!$B$22*HSTECH!$G$22/HSTECH!$B$3,""))</f>
        <v/>
      </c>
      <c r="BW131" s="161">
        <f>IF(I131="","",IFERROR(I131*HSTECH!$B$22*HSTECH!$G$22/HSTECH!$B$3,""))</f>
        <v/>
      </c>
      <c r="BX131" s="161">
        <f>IF(J131="","",IFERROR(J131*HSTECH!$B$22*HSTECH!$G$22/HSTECH!$B$3,""))</f>
        <v/>
      </c>
      <c r="BY131" s="161">
        <f>IF(K131="","",IFERROR(K131*HSTECH!$B$22*HSTECH!$G$22/HSTECH!$B$3,""))</f>
        <v/>
      </c>
      <c r="BZ131" s="161">
        <f>IF(L131="","",IFERROR(L131*HSTECH!$B$22*HSTECH!$G$22/HSTECH!$B$3,""))</f>
        <v/>
      </c>
      <c r="CA131" s="161">
        <f>IF(M131="","",IFERROR(M131*HSTECH!$B$22*HSTECH!$G$22/HSTECH!$B$3,""))</f>
        <v/>
      </c>
      <c r="CB131" s="161">
        <f>IF(N131="","",IFERROR(N131*HSTECH!$B$22*HSTECH!$G$22/HSTECH!$B$3,""))</f>
        <v/>
      </c>
      <c r="CC131" s="161">
        <f>IF(O131="","",IFERROR(O131*HSTECH!$B$22*HSTECH!$G$22/HSTECH!$B$3,""))</f>
        <v/>
      </c>
      <c r="CD131" s="161">
        <f>IF(P131="","",IFERROR(P131*HSTECH!$B$22*HSTECH!$G$22/HSTECH!$B$3,""))</f>
        <v/>
      </c>
      <c r="CE131" s="161">
        <f>IF(Q131="","",IFERROR(Q131*HSTECH!$B$22*HSTECH!$G$22/HSTECH!$B$3,""))</f>
        <v/>
      </c>
      <c r="CF131" s="161">
        <f>IF(R131="","",IFERROR(R131*HSTECH!$B$22*HSTECH!$G$22/HSTECH!$B$3,""))</f>
        <v/>
      </c>
      <c r="CG131" s="161">
        <f>IF(S131="","",IFERROR(S131*HSTECH!$B$22*HSTECH!$G$22/HSTECH!$B$3,""))</f>
        <v/>
      </c>
      <c r="CH131" s="161">
        <f>IF(T131="","",IFERROR(T131*HSTECH!$B$22*HSTECH!$G$22/HSTECH!$B$3,""))</f>
        <v/>
      </c>
      <c r="CI131" s="161">
        <f>IF(U131="","",IFERROR(U131*HSTECH!$B$22*HSTECH!$G$22/HSTECH!$B$3,""))</f>
        <v/>
      </c>
      <c r="CJ131" s="161">
        <f>IF(V131="","",IFERROR(V131*HSTECH!$B$22*HSTECH!$G$22/HSTECH!$B$3,""))</f>
        <v/>
      </c>
      <c r="CK131" s="161">
        <f>IF(W131="","",IFERROR(W131*HSTECH!$B$22*HSTECH!$G$22/HSTECH!$B$3,""))</f>
        <v/>
      </c>
      <c r="CL131" s="161">
        <f>IF(X131="","",IFERROR(X131*HSTECH!$B$22*HSTECH!$G$22/HSTECH!$B$3,""))</f>
        <v/>
      </c>
      <c r="CM131" s="161">
        <f>IF(Y131="","",IFERROR(Y131*HSTECH!$B$22*HSTECH!$G$22/HSTECH!$B$3,""))</f>
        <v/>
      </c>
      <c r="CN131" s="161">
        <f>IF(Z131="","",IFERROR(Z131*HSTECH!$B$22*HSTECH!$G$22/HSTECH!$B$3,""))</f>
        <v/>
      </c>
      <c r="CO131" s="161">
        <f>IF(AA131="","",IFERROR(AA131*HSTECH!$B$22*HSTECH!$G$22/HSTECH!$B$3,""))</f>
        <v/>
      </c>
      <c r="CP131" s="161">
        <f>IF(AB131="","",IFERROR(AB131*HSTECH!$B$22*HSTECH!$G$22/HSTECH!$B$3,""))</f>
        <v/>
      </c>
      <c r="CQ131" s="161">
        <f>IF(AC131="","",IFERROR(AC131*HSTECH!$B$22*HSTECH!$G$22/HSTECH!$B$3,""))</f>
        <v/>
      </c>
      <c r="CR131" s="161">
        <f>IF(AD131="","",IFERROR(AD131*HSTECH!$B$22*HSTECH!$G$22/HSTECH!$B$3,""))</f>
        <v/>
      </c>
      <c r="CS131" s="161">
        <f>IF(AE131="","",IFERROR(AE131*HSTECH!$B$22*HSTECH!$G$22/HSTECH!$B$3,""))</f>
        <v/>
      </c>
      <c r="CT131" s="161">
        <f>IF(AF131="","",IFERROR(AF131*HSTECH!$B$22*HSTECH!$G$22/HSTECH!$B$3,""))</f>
        <v/>
      </c>
      <c r="CU131" s="161">
        <f>IF(AG131="","",IFERROR(AG131*HSTECH!$B$22*HSTECH!$G$22/HSTECH!$B$3,""))</f>
        <v/>
      </c>
      <c r="CV131" s="161">
        <f>IF(AH131="","",IFERROR(AH131*HSTECH!$B$22*HSTECH!$G$22/HSTECH!$B$3,""))</f>
        <v/>
      </c>
      <c r="CW131" s="161">
        <f>IF(AI131="","",IFERROR(AI131*HSTECH!$B$22*HSTECH!$G$22/HSTECH!$B$3,""))</f>
        <v/>
      </c>
      <c r="CX131" s="161">
        <f>IF(AJ131="","",IFERROR(AJ131*HSTECH!$B$22*HSTECH!$G$22/HSTECH!$B$3,""))</f>
        <v/>
      </c>
      <c r="CY131" s="161">
        <f>IF(AK131="","",IFERROR(AK131*HSTECH!$B$22*HSTECH!$G$22/HSTECH!$B$3,""))</f>
        <v/>
      </c>
      <c r="CZ131" s="161">
        <f>IF(AL131="","",IFERROR(AL131*HSTECH!$B$22*HSTECH!$G$22/HSTECH!$B$3,""))</f>
        <v/>
      </c>
      <c r="DA131" s="161">
        <f>IF(AM131="","",IFERROR(AM131*HSTECH!$B$22*HSTECH!$G$22/HSTECH!$B$3,""))</f>
        <v/>
      </c>
      <c r="DB131" s="161">
        <f>IF(AN131="","",IFERROR(AN131*HSTECH!$B$22*HSTECH!$G$22/HSTECH!$B$3,""))</f>
        <v/>
      </c>
      <c r="DC131" s="161">
        <f>IF(AO131="","",IFERROR(AO131*HSTECH!$B$22*HSTECH!$G$22/HSTECH!$B$3,""))</f>
        <v/>
      </c>
      <c r="DD131" s="161">
        <f>IF(AP131="","",IFERROR(AP131*HSTECH!$B$22*HSTECH!$G$22/HSTECH!$B$3,""))</f>
        <v/>
      </c>
      <c r="DE131" s="161">
        <f>IF(AQ131="","",IFERROR(AQ131*HSTECH!$B$22*HSTECH!$G$22/HSTECH!$B$3,""))</f>
        <v/>
      </c>
      <c r="DF131" s="161">
        <f>IF(AR131="","",IFERROR(AR131*HSTECH!$B$22*HSTECH!$G$22/HSTECH!$B$3,""))</f>
        <v/>
      </c>
      <c r="DG131" s="161">
        <f>IF(AS131="","",IFERROR(AS131*HSTECH!$B$22*HSTECH!$G$22/HSTECH!$B$3,""))</f>
        <v/>
      </c>
      <c r="DH131" s="161">
        <f>IF(AT131="","",IFERROR(AT131*HSTECH!$B$22*HSTECH!$G$22/HSTECH!$B$3,""))</f>
        <v/>
      </c>
      <c r="DI131" s="161">
        <f>IF(AU131="","",IFERROR(AU131*HSTECH!$B$22*HSTECH!$G$22/HSTECH!$B$3,""))</f>
        <v/>
      </c>
      <c r="DJ131" s="161">
        <f>IF(AV131="","",IFERROR(AV131*HSTECH!$B$22*HSTECH!$G$22/HSTECH!$B$3,""))</f>
        <v/>
      </c>
      <c r="DK131" s="161">
        <f>IF(AW131="","",IFERROR(AW131*HSTECH!$B$22*HSTECH!$G$22/HSTECH!$B$3,""))</f>
        <v/>
      </c>
      <c r="DL131" s="161">
        <f>IF(AX131="","",IFERROR(AX131*HSTECH!$B$22*HSTECH!$G$22/HSTECH!$B$3,""))</f>
        <v/>
      </c>
      <c r="DM131" s="161">
        <f>IF(AY131="","",IFERROR(AY131*HSTECH!$B$22*HSTECH!$G$22/HSTECH!$B$3,""))</f>
        <v/>
      </c>
      <c r="DN131" s="161">
        <f>IF(AZ131="","",IFERROR(AZ131*HSTECH!$B$22*HSTECH!$G$22/HSTECH!$B$3,""))</f>
        <v/>
      </c>
      <c r="DO131" s="161">
        <f>IF(BA131="","",IFERROR(BA131*HSTECH!$B$22*HSTECH!$G$22/HSTECH!$B$3,""))</f>
        <v/>
      </c>
      <c r="DP131" s="161">
        <f>IF(BB131="","",IFERROR(BB131*HSTECH!$B$22*HSTECH!$G$22/HSTECH!$B$3,""))</f>
        <v/>
      </c>
      <c r="DQ131" s="161">
        <f>IF(BC131="","",IFERROR(BC131*HSTECH!$B$22*HSTECH!$G$22/HSTECH!$B$3,""))</f>
        <v/>
      </c>
      <c r="DR131" s="161">
        <f>IF(BD131="","",IFERROR(BD131*HSTECH!$B$22*HSTECH!$G$22/HSTECH!$B$3,""))</f>
        <v/>
      </c>
      <c r="DS131" s="161">
        <f>IF(BE131="","",IFERROR(BE131*HSTECH!$B$22*HSTECH!$G$22/HSTECH!$B$3,""))</f>
        <v/>
      </c>
      <c r="DT131" s="161">
        <f>IF(BF131="","",IFERROR(BF131*HSTECH!$B$22*HSTECH!$G$22/HSTECH!$B$3,""))</f>
        <v/>
      </c>
      <c r="DU131" s="161">
        <f>IF(BG131="","",IFERROR(BG131*HSTECH!$B$22*HSTECH!$G$22/HSTECH!$B$3,""))</f>
        <v/>
      </c>
      <c r="DV131" s="161">
        <f>IF(BH131="","",IFERROR(BH131*HSTECH!$B$22*HSTECH!$G$22/HSTECH!$B$3,""))</f>
        <v/>
      </c>
      <c r="DW131" s="161">
        <f>IF(BI131="","",IFERROR(BI131*HSTECH!$B$22*HSTECH!$G$22/HSTECH!$B$3,""))</f>
        <v/>
      </c>
      <c r="DX131" s="161">
        <f>IF(BJ131="","",IFERROR(BJ131*HSTECH!$B$22*HSTECH!$G$22/HSTECH!$B$3,""))</f>
        <v/>
      </c>
      <c r="DY131" s="161">
        <f>IF(BK131="","",IFERROR(BK131*HSTECH!$B$22*HSTECH!$G$22/HSTECH!$B$3,""))</f>
        <v/>
      </c>
      <c r="DZ131" s="161">
        <f>IF(BL131="","",IFERROR(BL131*HSTECH!$B$22*HSTECH!$G$22/HSTECH!$B$3,""))</f>
        <v/>
      </c>
      <c r="EA131" s="161">
        <f>IF(BM131="","",IFERROR(BM131*HSTECH!$B$22*HSTECH!$G$22/HSTECH!$B$3,""))</f>
        <v/>
      </c>
      <c r="EB131" s="161">
        <f>IF(BN131="","",IFERROR(BN131*HSTECH!$B$22*HSTECH!$G$22/HSTECH!$B$3,""))</f>
        <v/>
      </c>
      <c r="EC131" s="161">
        <f>IF(BO131="","",IFERROR(BO131*HSTECH!$B$22*HSTECH!$G$22/HSTECH!$B$3,""))</f>
        <v/>
      </c>
      <c r="EE131" s="121">
        <f>IF(N('Dvd Calendar'!$E$1281)=0,"",IF(('Dvd Calendar'!$E$1281&gt;=GRID_FROM)*('Dvd Calendar'!$E$1281&lt;=GRID_TO)*((('Dvd Calendar'!$E$1281&lt;=VAL_DATE)+(COUNTIF('Dvd Calendar'!$E$1288:$AR$1288,'Dvd Calendar'!$E$1281)=0))&gt;0)=0,"",'Dvd Calendar'!$E$1281*1000000000+ISNUMBER('Dvd Calendar'!$E$1284)*100000000+('Dvd Calendar'!$E$1286=SPECIAL_LBL)*10000000+(N('Dvd Calendar'!$E$1280)&gt;0)*(N('Dvd Calendar'!$E$1280)&lt;=VAL_SERIAL)*1000000+16*1000+1))</f>
        <v/>
      </c>
      <c r="EF131" s="121">
        <f>IF(N('Dvd Calendar'!$F$1281)=0,"",IF(('Dvd Calendar'!$F$1281&gt;=GRID_FROM)*('Dvd Calendar'!$F$1281&lt;=GRID_TO)*((('Dvd Calendar'!$F$1281&lt;=VAL_DATE)+(COUNTIF('Dvd Calendar'!$E$1288:$AR$1288,'Dvd Calendar'!$F$1281)=0))&gt;0)=0,"",'Dvd Calendar'!$F$1281*1000000000+ISNUMBER('Dvd Calendar'!$F$1284)*100000000+('Dvd Calendar'!$F$1286=SPECIAL_LBL)*10000000+(N('Dvd Calendar'!$F$1280)&gt;0)*(N('Dvd Calendar'!$F$1280)&lt;=VAL_SERIAL)*1000000+16*1000+2))</f>
        <v/>
      </c>
      <c r="EG131" s="121">
        <f>IF(N('Dvd Calendar'!$G$1281)=0,"",IF(('Dvd Calendar'!$G$1281&gt;=GRID_FROM)*('Dvd Calendar'!$G$1281&lt;=GRID_TO)*((('Dvd Calendar'!$G$1281&lt;=VAL_DATE)+(COUNTIF('Dvd Calendar'!$E$1288:$AR$1288,'Dvd Calendar'!$G$1281)=0))&gt;0)=0,"",'Dvd Calendar'!$G$1281*1000000000+ISNUMBER('Dvd Calendar'!$G$1284)*100000000+('Dvd Calendar'!$G$1286=SPECIAL_LBL)*10000000+(N('Dvd Calendar'!$G$1280)&gt;0)*(N('Dvd Calendar'!$G$1280)&lt;=VAL_SERIAL)*1000000+16*1000+3))</f>
        <v/>
      </c>
      <c r="EH131" s="121">
        <f>IF(N('Dvd Calendar'!$H$1281)=0,"",IF(('Dvd Calendar'!$H$1281&gt;=GRID_FROM)*('Dvd Calendar'!$H$1281&lt;=GRID_TO)*((('Dvd Calendar'!$H$1281&lt;=VAL_DATE)+(COUNTIF('Dvd Calendar'!$E$1288:$AR$1288,'Dvd Calendar'!$H$1281)=0))&gt;0)=0,"",'Dvd Calendar'!$H$1281*1000000000+ISNUMBER('Dvd Calendar'!$H$1284)*100000000+('Dvd Calendar'!$H$1286=SPECIAL_LBL)*10000000+(N('Dvd Calendar'!$H$1280)&gt;0)*(N('Dvd Calendar'!$H$1280)&lt;=VAL_SERIAL)*1000000+16*1000+4))</f>
        <v/>
      </c>
      <c r="EI131" s="121">
        <f>IF(N('Dvd Calendar'!$I$1281)=0,"",IF(('Dvd Calendar'!$I$1281&gt;=GRID_FROM)*('Dvd Calendar'!$I$1281&lt;=GRID_TO)*((('Dvd Calendar'!$I$1281&lt;=VAL_DATE)+(COUNTIF('Dvd Calendar'!$E$1288:$AR$1288,'Dvd Calendar'!$I$1281)=0))&gt;0)=0,"",'Dvd Calendar'!$I$1281*1000000000+ISNUMBER('Dvd Calendar'!$I$1284)*100000000+('Dvd Calendar'!$I$1286=SPECIAL_LBL)*10000000+(N('Dvd Calendar'!$I$1280)&gt;0)*(N('Dvd Calendar'!$I$1280)&lt;=VAL_SERIAL)*1000000+16*1000+5))</f>
        <v/>
      </c>
      <c r="EJ131" s="121">
        <f>IF(N('Dvd Calendar'!$J$1281)=0,"",IF(('Dvd Calendar'!$J$1281&gt;=GRID_FROM)*('Dvd Calendar'!$J$1281&lt;=GRID_TO)*((('Dvd Calendar'!$J$1281&lt;=VAL_DATE)+(COUNTIF('Dvd Calendar'!$E$1288:$AR$1288,'Dvd Calendar'!$J$1281)=0))&gt;0)=0,"",'Dvd Calendar'!$J$1281*1000000000+ISNUMBER('Dvd Calendar'!$J$1284)*100000000+('Dvd Calendar'!$J$1286=SPECIAL_LBL)*10000000+(N('Dvd Calendar'!$J$1280)&gt;0)*(N('Dvd Calendar'!$J$1280)&lt;=VAL_SERIAL)*1000000+16*1000+6))</f>
        <v/>
      </c>
      <c r="EK131" s="121">
        <f>IF(N('Dvd Calendar'!$K$1281)=0,"",IF(('Dvd Calendar'!$K$1281&gt;=GRID_FROM)*('Dvd Calendar'!$K$1281&lt;=GRID_TO)*((('Dvd Calendar'!$K$1281&lt;=VAL_DATE)+(COUNTIF('Dvd Calendar'!$E$1288:$AR$1288,'Dvd Calendar'!$K$1281)=0))&gt;0)=0,"",'Dvd Calendar'!$K$1281*1000000000+ISNUMBER('Dvd Calendar'!$K$1284)*100000000+('Dvd Calendar'!$K$1286=SPECIAL_LBL)*10000000+(N('Dvd Calendar'!$K$1280)&gt;0)*(N('Dvd Calendar'!$K$1280)&lt;=VAL_SERIAL)*1000000+16*1000+7))</f>
        <v/>
      </c>
      <c r="EL131" s="121">
        <f>IF(N('Dvd Calendar'!$L$1281)=0,"",IF(('Dvd Calendar'!$L$1281&gt;=GRID_FROM)*('Dvd Calendar'!$L$1281&lt;=GRID_TO)*((('Dvd Calendar'!$L$1281&lt;=VAL_DATE)+(COUNTIF('Dvd Calendar'!$E$1288:$AR$1288,'Dvd Calendar'!$L$1281)=0))&gt;0)=0,"",'Dvd Calendar'!$L$1281*1000000000+ISNUMBER('Dvd Calendar'!$L$1284)*100000000+('Dvd Calendar'!$L$1286=SPECIAL_LBL)*10000000+(N('Dvd Calendar'!$L$1280)&gt;0)*(N('Dvd Calendar'!$L$1280)&lt;=VAL_SERIAL)*1000000+16*1000+8))</f>
        <v/>
      </c>
      <c r="EM131" s="121">
        <f>IF(N('Dvd Calendar'!$M$1281)=0,"",IF(('Dvd Calendar'!$M$1281&gt;=GRID_FROM)*('Dvd Calendar'!$M$1281&lt;=GRID_TO)*((('Dvd Calendar'!$M$1281&lt;=VAL_DATE)+(COUNTIF('Dvd Calendar'!$E$1288:$AR$1288,'Dvd Calendar'!$M$1281)=0))&gt;0)=0,"",'Dvd Calendar'!$M$1281*1000000000+ISNUMBER('Dvd Calendar'!$M$1284)*100000000+('Dvd Calendar'!$M$1286=SPECIAL_LBL)*10000000+(N('Dvd Calendar'!$M$1280)&gt;0)*(N('Dvd Calendar'!$M$1280)&lt;=VAL_SERIAL)*1000000+16*1000+9))</f>
        <v/>
      </c>
      <c r="EN131" s="121">
        <f>IF(N('Dvd Calendar'!$N$1281)=0,"",IF(('Dvd Calendar'!$N$1281&gt;=GRID_FROM)*('Dvd Calendar'!$N$1281&lt;=GRID_TO)*((('Dvd Calendar'!$N$1281&lt;=VAL_DATE)+(COUNTIF('Dvd Calendar'!$E$1288:$AR$1288,'Dvd Calendar'!$N$1281)=0))&gt;0)=0,"",'Dvd Calendar'!$N$1281*1000000000+ISNUMBER('Dvd Calendar'!$N$1284)*100000000+('Dvd Calendar'!$N$1286=SPECIAL_LBL)*10000000+(N('Dvd Calendar'!$N$1280)&gt;0)*(N('Dvd Calendar'!$N$1280)&lt;=VAL_SERIAL)*1000000+16*1000+10))</f>
        <v/>
      </c>
      <c r="EO131" s="121">
        <f>IF(N('Dvd Calendar'!$O$1281)=0,"",IF(('Dvd Calendar'!$O$1281&gt;=GRID_FROM)*('Dvd Calendar'!$O$1281&lt;=GRID_TO)*((('Dvd Calendar'!$O$1281&lt;=VAL_DATE)+(COUNTIF('Dvd Calendar'!$E$1288:$AR$1288,'Dvd Calendar'!$O$1281)=0))&gt;0)=0,"",'Dvd Calendar'!$O$1281*1000000000+ISNUMBER('Dvd Calendar'!$O$1284)*100000000+('Dvd Calendar'!$O$1286=SPECIAL_LBL)*10000000+(N('Dvd Calendar'!$O$1280)&gt;0)*(N('Dvd Calendar'!$O$1280)&lt;=VAL_SERIAL)*1000000+16*1000+11))</f>
        <v/>
      </c>
      <c r="EP131" s="121">
        <f>IF(N('Dvd Calendar'!$P$1281)=0,"",IF(('Dvd Calendar'!$P$1281&gt;=GRID_FROM)*('Dvd Calendar'!$P$1281&lt;=GRID_TO)*((('Dvd Calendar'!$P$1281&lt;=VAL_DATE)+(COUNTIF('Dvd Calendar'!$E$1288:$AR$1288,'Dvd Calendar'!$P$1281)=0))&gt;0)=0,"",'Dvd Calendar'!$P$1281*1000000000+ISNUMBER('Dvd Calendar'!$P$1284)*100000000+('Dvd Calendar'!$P$1286=SPECIAL_LBL)*10000000+(N('Dvd Calendar'!$P$1280)&gt;0)*(N('Dvd Calendar'!$P$1280)&lt;=VAL_SERIAL)*1000000+16*1000+12))</f>
        <v/>
      </c>
      <c r="EQ131" s="121">
        <f>IF(N('Dvd Calendar'!$Q$1281)=0,"",IF(('Dvd Calendar'!$Q$1281&gt;=GRID_FROM)*('Dvd Calendar'!$Q$1281&lt;=GRID_TO)*((('Dvd Calendar'!$Q$1281&lt;=VAL_DATE)+(COUNTIF('Dvd Calendar'!$E$1288:$AR$1288,'Dvd Calendar'!$Q$1281)=0))&gt;0)=0,"",'Dvd Calendar'!$Q$1281*1000000000+ISNUMBER('Dvd Calendar'!$Q$1284)*100000000+('Dvd Calendar'!$Q$1286=SPECIAL_LBL)*10000000+(N('Dvd Calendar'!$Q$1280)&gt;0)*(N('Dvd Calendar'!$Q$1280)&lt;=VAL_SERIAL)*1000000+16*1000+13))</f>
        <v/>
      </c>
      <c r="ER131" s="121">
        <f>IF(N('Dvd Calendar'!$R$1281)=0,"",IF(('Dvd Calendar'!$R$1281&gt;=GRID_FROM)*('Dvd Calendar'!$R$1281&lt;=GRID_TO)*((('Dvd Calendar'!$R$1281&lt;=VAL_DATE)+(COUNTIF('Dvd Calendar'!$E$1288:$AR$1288,'Dvd Calendar'!$R$1281)=0))&gt;0)=0,"",'Dvd Calendar'!$R$1281*1000000000+ISNUMBER('Dvd Calendar'!$R$1284)*100000000+('Dvd Calendar'!$R$1286=SPECIAL_LBL)*10000000+(N('Dvd Calendar'!$R$1280)&gt;0)*(N('Dvd Calendar'!$R$1280)&lt;=VAL_SERIAL)*1000000+16*1000+14))</f>
        <v/>
      </c>
      <c r="ES131" s="121">
        <f>IF(N('Dvd Calendar'!$S$1281)=0,"",IF(('Dvd Calendar'!$S$1281&gt;=GRID_FROM)*('Dvd Calendar'!$S$1281&lt;=GRID_TO)*((('Dvd Calendar'!$S$1281&lt;=VAL_DATE)+(COUNTIF('Dvd Calendar'!$E$1288:$AR$1288,'Dvd Calendar'!$S$1281)=0))&gt;0)=0,"",'Dvd Calendar'!$S$1281*1000000000+ISNUMBER('Dvd Calendar'!$S$1284)*100000000+('Dvd Calendar'!$S$1286=SPECIAL_LBL)*10000000+(N('Dvd Calendar'!$S$1280)&gt;0)*(N('Dvd Calendar'!$S$1280)&lt;=VAL_SERIAL)*1000000+16*1000+15))</f>
        <v/>
      </c>
      <c r="ET131" s="121">
        <f>IF(N('Dvd Calendar'!$T$1281)=0,"",IF(('Dvd Calendar'!$T$1281&gt;=GRID_FROM)*('Dvd Calendar'!$T$1281&lt;=GRID_TO)*((('Dvd Calendar'!$T$1281&lt;=VAL_DATE)+(COUNTIF('Dvd Calendar'!$E$1288:$AR$1288,'Dvd Calendar'!$T$1281)=0))&gt;0)=0,"",'Dvd Calendar'!$T$1281*1000000000+ISNUMBER('Dvd Calendar'!$T$1284)*100000000+('Dvd Calendar'!$T$1286=SPECIAL_LBL)*10000000+(N('Dvd Calendar'!$T$1280)&gt;0)*(N('Dvd Calendar'!$T$1280)&lt;=VAL_SERIAL)*1000000+16*1000+16))</f>
        <v/>
      </c>
      <c r="EU131" s="121">
        <f>IF(N('Dvd Calendar'!$U$1281)=0,"",IF(('Dvd Calendar'!$U$1281&gt;=GRID_FROM)*('Dvd Calendar'!$U$1281&lt;=GRID_TO)*((('Dvd Calendar'!$U$1281&lt;=VAL_DATE)+(COUNTIF('Dvd Calendar'!$E$1288:$AR$1288,'Dvd Calendar'!$U$1281)=0))&gt;0)=0,"",'Dvd Calendar'!$U$1281*1000000000+ISNUMBER('Dvd Calendar'!$U$1284)*100000000+('Dvd Calendar'!$U$1286=SPECIAL_LBL)*10000000+(N('Dvd Calendar'!$U$1280)&gt;0)*(N('Dvd Calendar'!$U$1280)&lt;=VAL_SERIAL)*1000000+16*1000+17))</f>
        <v/>
      </c>
      <c r="EV131" s="121">
        <f>IF(N('Dvd Calendar'!$V$1281)=0,"",IF(('Dvd Calendar'!$V$1281&gt;=GRID_FROM)*('Dvd Calendar'!$V$1281&lt;=GRID_TO)*((('Dvd Calendar'!$V$1281&lt;=VAL_DATE)+(COUNTIF('Dvd Calendar'!$E$1288:$AR$1288,'Dvd Calendar'!$V$1281)=0))&gt;0)=0,"",'Dvd Calendar'!$V$1281*1000000000+ISNUMBER('Dvd Calendar'!$V$1284)*100000000+('Dvd Calendar'!$V$1286=SPECIAL_LBL)*10000000+(N('Dvd Calendar'!$V$1280)&gt;0)*(N('Dvd Calendar'!$V$1280)&lt;=VAL_SERIAL)*1000000+16*1000+18))</f>
        <v/>
      </c>
      <c r="EW131" s="121">
        <f>IF(N('Dvd Calendar'!$W$1281)=0,"",IF(('Dvd Calendar'!$W$1281&gt;=GRID_FROM)*('Dvd Calendar'!$W$1281&lt;=GRID_TO)*((('Dvd Calendar'!$W$1281&lt;=VAL_DATE)+(COUNTIF('Dvd Calendar'!$E$1288:$AR$1288,'Dvd Calendar'!$W$1281)=0))&gt;0)=0,"",'Dvd Calendar'!$W$1281*1000000000+ISNUMBER('Dvd Calendar'!$W$1284)*100000000+('Dvd Calendar'!$W$1286=SPECIAL_LBL)*10000000+(N('Dvd Calendar'!$W$1280)&gt;0)*(N('Dvd Calendar'!$W$1280)&lt;=VAL_SERIAL)*1000000+16*1000+19))</f>
        <v/>
      </c>
      <c r="EX131" s="121">
        <f>IF(N('Dvd Calendar'!$X$1281)=0,"",IF(('Dvd Calendar'!$X$1281&gt;=GRID_FROM)*('Dvd Calendar'!$X$1281&lt;=GRID_TO)*((('Dvd Calendar'!$X$1281&lt;=VAL_DATE)+(COUNTIF('Dvd Calendar'!$E$1288:$AR$1288,'Dvd Calendar'!$X$1281)=0))&gt;0)=0,"",'Dvd Calendar'!$X$1281*1000000000+ISNUMBER('Dvd Calendar'!$X$1284)*100000000+('Dvd Calendar'!$X$1286=SPECIAL_LBL)*10000000+(N('Dvd Calendar'!$X$1280)&gt;0)*(N('Dvd Calendar'!$X$1280)&lt;=VAL_SERIAL)*1000000+16*1000+20))</f>
        <v/>
      </c>
      <c r="EY131" s="121">
        <f>IF(N('Dvd Calendar'!$Y$1281)=0,"",IF(('Dvd Calendar'!$Y$1281&gt;=GRID_FROM)*('Dvd Calendar'!$Y$1281&lt;=GRID_TO)*((('Dvd Calendar'!$Y$1281&lt;=VAL_DATE)+(COUNTIF('Dvd Calendar'!$E$1288:$AR$1288,'Dvd Calendar'!$Y$1281)=0))&gt;0)=0,"",'Dvd Calendar'!$Y$1281*1000000000+ISNUMBER('Dvd Calendar'!$Y$1284)*100000000+('Dvd Calendar'!$Y$1286=SPECIAL_LBL)*10000000+(N('Dvd Calendar'!$Y$1280)&gt;0)*(N('Dvd Calendar'!$Y$1280)&lt;=VAL_SERIAL)*1000000+16*1000+21))</f>
        <v/>
      </c>
      <c r="EZ131" s="121">
        <f>IF(N('Dvd Calendar'!$Z$1281)=0,"",IF(('Dvd Calendar'!$Z$1281&gt;=GRID_FROM)*('Dvd Calendar'!$Z$1281&lt;=GRID_TO)*((('Dvd Calendar'!$Z$1281&lt;=VAL_DATE)+(COUNTIF('Dvd Calendar'!$E$1288:$AR$1288,'Dvd Calendar'!$Z$1281)=0))&gt;0)=0,"",'Dvd Calendar'!$Z$1281*1000000000+ISNUMBER('Dvd Calendar'!$Z$1284)*100000000+('Dvd Calendar'!$Z$1286=SPECIAL_LBL)*10000000+(N('Dvd Calendar'!$Z$1280)&gt;0)*(N('Dvd Calendar'!$Z$1280)&lt;=VAL_SERIAL)*1000000+16*1000+22))</f>
        <v/>
      </c>
      <c r="FA131" s="121">
        <f>IF(N('Dvd Calendar'!$AA$1281)=0,"",IF(('Dvd Calendar'!$AA$1281&gt;=GRID_FROM)*('Dvd Calendar'!$AA$1281&lt;=GRID_TO)*((('Dvd Calendar'!$AA$1281&lt;=VAL_DATE)+(COUNTIF('Dvd Calendar'!$E$1288:$AR$1288,'Dvd Calendar'!$AA$1281)=0))&gt;0)=0,"",'Dvd Calendar'!$AA$1281*1000000000+ISNUMBER('Dvd Calendar'!$AA$1284)*100000000+('Dvd Calendar'!$AA$1286=SPECIAL_LBL)*10000000+(N('Dvd Calendar'!$AA$1280)&gt;0)*(N('Dvd Calendar'!$AA$1280)&lt;=VAL_SERIAL)*1000000+16*1000+23))</f>
        <v/>
      </c>
      <c r="FB131" s="121">
        <f>IF(N('Dvd Calendar'!$AB$1281)=0,"",IF(('Dvd Calendar'!$AB$1281&gt;=GRID_FROM)*('Dvd Calendar'!$AB$1281&lt;=GRID_TO)*((('Dvd Calendar'!$AB$1281&lt;=VAL_DATE)+(COUNTIF('Dvd Calendar'!$E$1288:$AR$1288,'Dvd Calendar'!$AB$1281)=0))&gt;0)=0,"",'Dvd Calendar'!$AB$1281*1000000000+ISNUMBER('Dvd Calendar'!$AB$1284)*100000000+('Dvd Calendar'!$AB$1286=SPECIAL_LBL)*10000000+(N('Dvd Calendar'!$AB$1280)&gt;0)*(N('Dvd Calendar'!$AB$1280)&lt;=VAL_SERIAL)*1000000+16*1000+24))</f>
        <v/>
      </c>
      <c r="FC131" s="121">
        <f>IF(N('Dvd Calendar'!$AC$1281)=0,"",IF(('Dvd Calendar'!$AC$1281&gt;=GRID_FROM)*('Dvd Calendar'!$AC$1281&lt;=GRID_TO)*((('Dvd Calendar'!$AC$1281&lt;=VAL_DATE)+(COUNTIF('Dvd Calendar'!$E$1288:$AR$1288,'Dvd Calendar'!$AC$1281)=0))&gt;0)=0,"",'Dvd Calendar'!$AC$1281*1000000000+ISNUMBER('Dvd Calendar'!$AC$1284)*100000000+('Dvd Calendar'!$AC$1286=SPECIAL_LBL)*10000000+(N('Dvd Calendar'!$AC$1280)&gt;0)*(N('Dvd Calendar'!$AC$1280)&lt;=VAL_SERIAL)*1000000+16*1000+25))</f>
        <v/>
      </c>
      <c r="FD131" s="121">
        <f>IF(N('Dvd Calendar'!$AD$1281)=0,"",IF(('Dvd Calendar'!$AD$1281&gt;=GRID_FROM)*('Dvd Calendar'!$AD$1281&lt;=GRID_TO)*((('Dvd Calendar'!$AD$1281&lt;=VAL_DATE)+(COUNTIF('Dvd Calendar'!$E$1288:$AR$1288,'Dvd Calendar'!$AD$1281)=0))&gt;0)=0,"",'Dvd Calendar'!$AD$1281*1000000000+ISNUMBER('Dvd Calendar'!$AD$1284)*100000000+('Dvd Calendar'!$AD$1286=SPECIAL_LBL)*10000000+(N('Dvd Calendar'!$AD$1280)&gt;0)*(N('Dvd Calendar'!$AD$1280)&lt;=VAL_SERIAL)*1000000+16*1000+26))</f>
        <v/>
      </c>
      <c r="FE131" s="121">
        <f>IF(N('Dvd Calendar'!$AE$1281)=0,"",IF(('Dvd Calendar'!$AE$1281&gt;=GRID_FROM)*('Dvd Calendar'!$AE$1281&lt;=GRID_TO)*((('Dvd Calendar'!$AE$1281&lt;=VAL_DATE)+(COUNTIF('Dvd Calendar'!$E$1288:$AR$1288,'Dvd Calendar'!$AE$1281)=0))&gt;0)=0,"",'Dvd Calendar'!$AE$1281*1000000000+ISNUMBER('Dvd Calendar'!$AE$1284)*100000000+('Dvd Calendar'!$AE$1286=SPECIAL_LBL)*10000000+(N('Dvd Calendar'!$AE$1280)&gt;0)*(N('Dvd Calendar'!$AE$1280)&lt;=VAL_SERIAL)*1000000+16*1000+27))</f>
        <v/>
      </c>
      <c r="FF131" s="121">
        <f>IF(N('Dvd Calendar'!$AF$1281)=0,"",IF(('Dvd Calendar'!$AF$1281&gt;=GRID_FROM)*('Dvd Calendar'!$AF$1281&lt;=GRID_TO)*((('Dvd Calendar'!$AF$1281&lt;=VAL_DATE)+(COUNTIF('Dvd Calendar'!$E$1288:$AR$1288,'Dvd Calendar'!$AF$1281)=0))&gt;0)=0,"",'Dvd Calendar'!$AF$1281*1000000000+ISNUMBER('Dvd Calendar'!$AF$1284)*100000000+('Dvd Calendar'!$AF$1286=SPECIAL_LBL)*10000000+(N('Dvd Calendar'!$AF$1280)&gt;0)*(N('Dvd Calendar'!$AF$1280)&lt;=VAL_SERIAL)*1000000+16*1000+28))</f>
        <v/>
      </c>
      <c r="FG131" s="121">
        <f>IF(N('Dvd Calendar'!$AG$1281)=0,"",IF(('Dvd Calendar'!$AG$1281&gt;=GRID_FROM)*('Dvd Calendar'!$AG$1281&lt;=GRID_TO)*((('Dvd Calendar'!$AG$1281&lt;=VAL_DATE)+(COUNTIF('Dvd Calendar'!$E$1288:$AR$1288,'Dvd Calendar'!$AG$1281)=0))&gt;0)=0,"",'Dvd Calendar'!$AG$1281*1000000000+ISNUMBER('Dvd Calendar'!$AG$1284)*100000000+('Dvd Calendar'!$AG$1286=SPECIAL_LBL)*10000000+(N('Dvd Calendar'!$AG$1280)&gt;0)*(N('Dvd Calendar'!$AG$1280)&lt;=VAL_SERIAL)*1000000+16*1000+29))</f>
        <v/>
      </c>
      <c r="FH131" s="121">
        <f>IF(N('Dvd Calendar'!$AH$1281)=0,"",IF(('Dvd Calendar'!$AH$1281&gt;=GRID_FROM)*('Dvd Calendar'!$AH$1281&lt;=GRID_TO)*((('Dvd Calendar'!$AH$1281&lt;=VAL_DATE)+(COUNTIF('Dvd Calendar'!$E$1288:$AR$1288,'Dvd Calendar'!$AH$1281)=0))&gt;0)=0,"",'Dvd Calendar'!$AH$1281*1000000000+ISNUMBER('Dvd Calendar'!$AH$1284)*100000000+('Dvd Calendar'!$AH$1286=SPECIAL_LBL)*10000000+(N('Dvd Calendar'!$AH$1280)&gt;0)*(N('Dvd Calendar'!$AH$1280)&lt;=VAL_SERIAL)*1000000+16*1000+30))</f>
        <v/>
      </c>
      <c r="FI131" s="121">
        <f>IF(N('Dvd Calendar'!$AI$1281)=0,"",IF(('Dvd Calendar'!$AI$1281&gt;=GRID_FROM)*('Dvd Calendar'!$AI$1281&lt;=GRID_TO)*((('Dvd Calendar'!$AI$1281&lt;=VAL_DATE)+(COUNTIF('Dvd Calendar'!$E$1288:$AR$1288,'Dvd Calendar'!$AI$1281)=0))&gt;0)=0,"",'Dvd Calendar'!$AI$1281*1000000000+ISNUMBER('Dvd Calendar'!$AI$1284)*100000000+('Dvd Calendar'!$AI$1286=SPECIAL_LBL)*10000000+(N('Dvd Calendar'!$AI$1280)&gt;0)*(N('Dvd Calendar'!$AI$1280)&lt;=VAL_SERIAL)*1000000+16*1000+31))</f>
        <v/>
      </c>
      <c r="FJ131" s="121">
        <f>IF(N('Dvd Calendar'!$AJ$1281)=0,"",IF(('Dvd Calendar'!$AJ$1281&gt;=GRID_FROM)*('Dvd Calendar'!$AJ$1281&lt;=GRID_TO)*((('Dvd Calendar'!$AJ$1281&lt;=VAL_DATE)+(COUNTIF('Dvd Calendar'!$E$1288:$AR$1288,'Dvd Calendar'!$AJ$1281)=0))&gt;0)=0,"",'Dvd Calendar'!$AJ$1281*1000000000+ISNUMBER('Dvd Calendar'!$AJ$1284)*100000000+('Dvd Calendar'!$AJ$1286=SPECIAL_LBL)*10000000+(N('Dvd Calendar'!$AJ$1280)&gt;0)*(N('Dvd Calendar'!$AJ$1280)&lt;=VAL_SERIAL)*1000000+16*1000+32))</f>
        <v/>
      </c>
      <c r="FK131" s="121">
        <f>IF(N('Dvd Calendar'!$AK$1281)=0,"",IF(('Dvd Calendar'!$AK$1281&gt;=GRID_FROM)*('Dvd Calendar'!$AK$1281&lt;=GRID_TO)*((('Dvd Calendar'!$AK$1281&lt;=VAL_DATE)+(COUNTIF('Dvd Calendar'!$E$1288:$AR$1288,'Dvd Calendar'!$AK$1281)=0))&gt;0)=0,"",'Dvd Calendar'!$AK$1281*1000000000+ISNUMBER('Dvd Calendar'!$AK$1284)*100000000+('Dvd Calendar'!$AK$1286=SPECIAL_LBL)*10000000+(N('Dvd Calendar'!$AK$1280)&gt;0)*(N('Dvd Calendar'!$AK$1280)&lt;=VAL_SERIAL)*1000000+16*1000+33))</f>
        <v/>
      </c>
      <c r="FL131" s="121">
        <f>IF(N('Dvd Calendar'!$AL$1281)=0,"",IF(('Dvd Calendar'!$AL$1281&gt;=GRID_FROM)*('Dvd Calendar'!$AL$1281&lt;=GRID_TO)*((('Dvd Calendar'!$AL$1281&lt;=VAL_DATE)+(COUNTIF('Dvd Calendar'!$E$1288:$AR$1288,'Dvd Calendar'!$AL$1281)=0))&gt;0)=0,"",'Dvd Calendar'!$AL$1281*1000000000+ISNUMBER('Dvd Calendar'!$AL$1284)*100000000+('Dvd Calendar'!$AL$1286=SPECIAL_LBL)*10000000+(N('Dvd Calendar'!$AL$1280)&gt;0)*(N('Dvd Calendar'!$AL$1280)&lt;=VAL_SERIAL)*1000000+16*1000+34))</f>
        <v/>
      </c>
      <c r="FM131" s="121">
        <f>IF(N('Dvd Calendar'!$AM$1281)=0,"",IF(('Dvd Calendar'!$AM$1281&gt;=GRID_FROM)*('Dvd Calendar'!$AM$1281&lt;=GRID_TO)*((('Dvd Calendar'!$AM$1281&lt;=VAL_DATE)+(COUNTIF('Dvd Calendar'!$E$1288:$AR$1288,'Dvd Calendar'!$AM$1281)=0))&gt;0)=0,"",'Dvd Calendar'!$AM$1281*1000000000+ISNUMBER('Dvd Calendar'!$AM$1284)*100000000+('Dvd Calendar'!$AM$1286=SPECIAL_LBL)*10000000+(N('Dvd Calendar'!$AM$1280)&gt;0)*(N('Dvd Calendar'!$AM$1280)&lt;=VAL_SERIAL)*1000000+16*1000+35))</f>
        <v/>
      </c>
      <c r="FN131" s="121">
        <f>IF(N('Dvd Calendar'!$AN$1281)=0,"",IF(('Dvd Calendar'!$AN$1281&gt;=GRID_FROM)*('Dvd Calendar'!$AN$1281&lt;=GRID_TO)*((('Dvd Calendar'!$AN$1281&lt;=VAL_DATE)+(COUNTIF('Dvd Calendar'!$E$1288:$AR$1288,'Dvd Calendar'!$AN$1281)=0))&gt;0)=0,"",'Dvd Calendar'!$AN$1281*1000000000+ISNUMBER('Dvd Calendar'!$AN$1284)*100000000+('Dvd Calendar'!$AN$1286=SPECIAL_LBL)*10000000+(N('Dvd Calendar'!$AN$1280)&gt;0)*(N('Dvd Calendar'!$AN$1280)&lt;=VAL_SERIAL)*1000000+16*1000+36))</f>
        <v/>
      </c>
      <c r="FO131" s="121">
        <f>IF(N('Dvd Calendar'!$AO$1281)=0,"",IF(('Dvd Calendar'!$AO$1281&gt;=GRID_FROM)*('Dvd Calendar'!$AO$1281&lt;=GRID_TO)*((('Dvd Calendar'!$AO$1281&lt;=VAL_DATE)+(COUNTIF('Dvd Calendar'!$E$1288:$AR$1288,'Dvd Calendar'!$AO$1281)=0))&gt;0)=0,"",'Dvd Calendar'!$AO$1281*1000000000+ISNUMBER('Dvd Calendar'!$AO$1284)*100000000+('Dvd Calendar'!$AO$1286=SPECIAL_LBL)*10000000+(N('Dvd Calendar'!$AO$1280)&gt;0)*(N('Dvd Calendar'!$AO$1280)&lt;=VAL_SERIAL)*1000000+16*1000+37))</f>
        <v/>
      </c>
      <c r="FP131" s="121">
        <f>IF(N('Dvd Calendar'!$AP$1281)=0,"",IF(('Dvd Calendar'!$AP$1281&gt;=GRID_FROM)*('Dvd Calendar'!$AP$1281&lt;=GRID_TO)*((('Dvd Calendar'!$AP$1281&lt;=VAL_DATE)+(COUNTIF('Dvd Calendar'!$E$1288:$AR$1288,'Dvd Calendar'!$AP$1281)=0))&gt;0)=0,"",'Dvd Calendar'!$AP$1281*1000000000+ISNUMBER('Dvd Calendar'!$AP$1284)*100000000+('Dvd Calendar'!$AP$1286=SPECIAL_LBL)*10000000+(N('Dvd Calendar'!$AP$1280)&gt;0)*(N('Dvd Calendar'!$AP$1280)&lt;=VAL_SERIAL)*1000000+16*1000+38))</f>
        <v/>
      </c>
      <c r="FQ131" s="121">
        <f>IF(N('Dvd Calendar'!$AQ$1281)=0,"",IF(('Dvd Calendar'!$AQ$1281&gt;=GRID_FROM)*('Dvd Calendar'!$AQ$1281&lt;=GRID_TO)*((('Dvd Calendar'!$AQ$1281&lt;=VAL_DATE)+(COUNTIF('Dvd Calendar'!$E$1288:$AR$1288,'Dvd Calendar'!$AQ$1281)=0))&gt;0)=0,"",'Dvd Calendar'!$AQ$1281*1000000000+ISNUMBER('Dvd Calendar'!$AQ$1284)*100000000+('Dvd Calendar'!$AQ$1286=SPECIAL_LBL)*10000000+(N('Dvd Calendar'!$AQ$1280)&gt;0)*(N('Dvd Calendar'!$AQ$1280)&lt;=VAL_SERIAL)*1000000+16*1000+39))</f>
        <v/>
      </c>
      <c r="FR131" s="121">
        <f>IF(N('Dvd Calendar'!$AR$1281)=0,"",IF(('Dvd Calendar'!$AR$1281&gt;=GRID_FROM)*('Dvd Calendar'!$AR$1281&lt;=GRID_TO)*((('Dvd Calendar'!$AR$1281&lt;=VAL_DATE)+(COUNTIF('Dvd Calendar'!$E$1288:$AR$1288,'Dvd Calendar'!$AR$1281)=0))&gt;0)=0,"",'Dvd Calendar'!$AR$1281*1000000000+ISNUMBER('Dvd Calendar'!$AR$1284)*100000000+('Dvd Calendar'!$AR$1286=SPECIAL_LBL)*10000000+(N('Dvd Calendar'!$AR$1280)&gt;0)*(N('Dvd Calendar'!$AR$1280)&lt;=VAL_SERIAL)*1000000+16*1000+40))</f>
        <v/>
      </c>
      <c r="FS131" s="121">
        <f>IF(N('Dvd Calendar'!$E$1288)=0,"",IF(('Dvd Calendar'!$E$1288&gt;=GRID_FROM)*('Dvd Calendar'!$E$1288&lt;=GRID_TO)*('Dvd Calendar'!$E$1288&gt;VAL_DATE)=0,"",'Dvd Calendar'!$E$1288*1000000000+ISNUMBER('Dvd Calendar'!$E$1289)*100000000+0*10000000+(N('Dvd Calendar'!$E$1287)&gt;0)*(N('Dvd Calendar'!$E$1287)&lt;=VAL_SERIAL)*1000000+16*1000+41))</f>
        <v/>
      </c>
      <c r="FT131" s="121">
        <f>IF(N('Dvd Calendar'!$F$1288)=0,"",IF(('Dvd Calendar'!$F$1288&gt;=GRID_FROM)*('Dvd Calendar'!$F$1288&lt;=GRID_TO)*('Dvd Calendar'!$F$1288&gt;VAL_DATE)=0,"",'Dvd Calendar'!$F$1288*1000000000+ISNUMBER('Dvd Calendar'!$F$1289)*100000000+0*10000000+(N('Dvd Calendar'!$F$1287)&gt;0)*(N('Dvd Calendar'!$F$1287)&lt;=VAL_SERIAL)*1000000+16*1000+42))</f>
        <v/>
      </c>
      <c r="FU131" s="121">
        <f>IF(N('Dvd Calendar'!$G$1288)=0,"",IF(('Dvd Calendar'!$G$1288&gt;=GRID_FROM)*('Dvd Calendar'!$G$1288&lt;=GRID_TO)*('Dvd Calendar'!$G$1288&gt;VAL_DATE)=0,"",'Dvd Calendar'!$G$1288*1000000000+ISNUMBER('Dvd Calendar'!$G$1289)*100000000+0*10000000+(N('Dvd Calendar'!$G$1287)&gt;0)*(N('Dvd Calendar'!$G$1287)&lt;=VAL_SERIAL)*1000000+16*1000+43))</f>
        <v/>
      </c>
      <c r="FV131" s="121">
        <f>IF(N('Dvd Calendar'!$H$1288)=0,"",IF(('Dvd Calendar'!$H$1288&gt;=GRID_FROM)*('Dvd Calendar'!$H$1288&lt;=GRID_TO)*('Dvd Calendar'!$H$1288&gt;VAL_DATE)=0,"",'Dvd Calendar'!$H$1288*1000000000+ISNUMBER('Dvd Calendar'!$H$1289)*100000000+0*10000000+(N('Dvd Calendar'!$H$1287)&gt;0)*(N('Dvd Calendar'!$H$1287)&lt;=VAL_SERIAL)*1000000+16*1000+44))</f>
        <v/>
      </c>
      <c r="FW131" s="121">
        <f>IF(N('Dvd Calendar'!$I$1288)=0,"",IF(('Dvd Calendar'!$I$1288&gt;=GRID_FROM)*('Dvd Calendar'!$I$1288&lt;=GRID_TO)*('Dvd Calendar'!$I$1288&gt;VAL_DATE)=0,"",'Dvd Calendar'!$I$1288*1000000000+ISNUMBER('Dvd Calendar'!$I$1289)*100000000+0*10000000+(N('Dvd Calendar'!$I$1287)&gt;0)*(N('Dvd Calendar'!$I$1287)&lt;=VAL_SERIAL)*1000000+16*1000+45))</f>
        <v/>
      </c>
      <c r="FX131" s="121">
        <f>IF(N('Dvd Calendar'!$J$1288)=0,"",IF(('Dvd Calendar'!$J$1288&gt;=GRID_FROM)*('Dvd Calendar'!$J$1288&lt;=GRID_TO)*('Dvd Calendar'!$J$1288&gt;VAL_DATE)=0,"",'Dvd Calendar'!$J$1288*1000000000+ISNUMBER('Dvd Calendar'!$J$1289)*100000000+0*10000000+(N('Dvd Calendar'!$J$1287)&gt;0)*(N('Dvd Calendar'!$J$1287)&lt;=VAL_SERIAL)*1000000+16*1000+46))</f>
        <v/>
      </c>
      <c r="FY131" s="121">
        <f>IF(N('Dvd Calendar'!$K$1288)=0,"",IF(('Dvd Calendar'!$K$1288&gt;=GRID_FROM)*('Dvd Calendar'!$K$1288&lt;=GRID_TO)*('Dvd Calendar'!$K$1288&gt;VAL_DATE)=0,"",'Dvd Calendar'!$K$1288*1000000000+ISNUMBER('Dvd Calendar'!$K$1289)*100000000+0*10000000+(N('Dvd Calendar'!$K$1287)&gt;0)*(N('Dvd Calendar'!$K$1287)&lt;=VAL_SERIAL)*1000000+16*1000+47))</f>
        <v/>
      </c>
      <c r="FZ131" s="121">
        <f>IF(N('Dvd Calendar'!$L$1288)=0,"",IF(('Dvd Calendar'!$L$1288&gt;=GRID_FROM)*('Dvd Calendar'!$L$1288&lt;=GRID_TO)*('Dvd Calendar'!$L$1288&gt;VAL_DATE)=0,"",'Dvd Calendar'!$L$1288*1000000000+ISNUMBER('Dvd Calendar'!$L$1289)*100000000+0*10000000+(N('Dvd Calendar'!$L$1287)&gt;0)*(N('Dvd Calendar'!$L$1287)&lt;=VAL_SERIAL)*1000000+16*1000+48))</f>
        <v/>
      </c>
      <c r="GA131" s="121">
        <f>IF(N('Dvd Calendar'!$M$1288)=0,"",IF(('Dvd Calendar'!$M$1288&gt;=GRID_FROM)*('Dvd Calendar'!$M$1288&lt;=GRID_TO)*('Dvd Calendar'!$M$1288&gt;VAL_DATE)=0,"",'Dvd Calendar'!$M$1288*1000000000+ISNUMBER('Dvd Calendar'!$M$1289)*100000000+0*10000000+(N('Dvd Calendar'!$M$1287)&gt;0)*(N('Dvd Calendar'!$M$1287)&lt;=VAL_SERIAL)*1000000+16*1000+49))</f>
        <v/>
      </c>
      <c r="GB131" s="121">
        <f>IF(N('Dvd Calendar'!$N$1288)=0,"",IF(('Dvd Calendar'!$N$1288&gt;=GRID_FROM)*('Dvd Calendar'!$N$1288&lt;=GRID_TO)*('Dvd Calendar'!$N$1288&gt;VAL_DATE)=0,"",'Dvd Calendar'!$N$1288*1000000000+ISNUMBER('Dvd Calendar'!$N$1289)*100000000+0*10000000+(N('Dvd Calendar'!$N$1287)&gt;0)*(N('Dvd Calendar'!$N$1287)&lt;=VAL_SERIAL)*1000000+16*1000+50))</f>
        <v/>
      </c>
      <c r="GC131" s="121">
        <f>IF(N('Dvd Calendar'!$O$1288)=0,"",IF(('Dvd Calendar'!$O$1288&gt;=GRID_FROM)*('Dvd Calendar'!$O$1288&lt;=GRID_TO)*('Dvd Calendar'!$O$1288&gt;VAL_DATE)=0,"",'Dvd Calendar'!$O$1288*1000000000+ISNUMBER('Dvd Calendar'!$O$1289)*100000000+0*10000000+(N('Dvd Calendar'!$O$1287)&gt;0)*(N('Dvd Calendar'!$O$1287)&lt;=VAL_SERIAL)*1000000+16*1000+51))</f>
        <v/>
      </c>
      <c r="GD131" s="121">
        <f>IF(N('Dvd Calendar'!$P$1288)=0,"",IF(('Dvd Calendar'!$P$1288&gt;=GRID_FROM)*('Dvd Calendar'!$P$1288&lt;=GRID_TO)*('Dvd Calendar'!$P$1288&gt;VAL_DATE)=0,"",'Dvd Calendar'!$P$1288*1000000000+ISNUMBER('Dvd Calendar'!$P$1289)*100000000+0*10000000+(N('Dvd Calendar'!$P$1287)&gt;0)*(N('Dvd Calendar'!$P$1287)&lt;=VAL_SERIAL)*1000000+16*1000+52))</f>
        <v/>
      </c>
      <c r="GE131" s="121">
        <f>IF(N('Dvd Calendar'!$Q$1288)=0,"",IF(('Dvd Calendar'!$Q$1288&gt;=GRID_FROM)*('Dvd Calendar'!$Q$1288&lt;=GRID_TO)*('Dvd Calendar'!$Q$1288&gt;VAL_DATE)=0,"",'Dvd Calendar'!$Q$1288*1000000000+ISNUMBER('Dvd Calendar'!$Q$1289)*100000000+0*10000000+(N('Dvd Calendar'!$Q$1287)&gt;0)*(N('Dvd Calendar'!$Q$1287)&lt;=VAL_SERIAL)*1000000+16*1000+53))</f>
        <v/>
      </c>
      <c r="GF131" s="121">
        <f>IF(N('Dvd Calendar'!$R$1288)=0,"",IF(('Dvd Calendar'!$R$1288&gt;=GRID_FROM)*('Dvd Calendar'!$R$1288&lt;=GRID_TO)*('Dvd Calendar'!$R$1288&gt;VAL_DATE)=0,"",'Dvd Calendar'!$R$1288*1000000000+ISNUMBER('Dvd Calendar'!$R$1289)*100000000+0*10000000+(N('Dvd Calendar'!$R$1287)&gt;0)*(N('Dvd Calendar'!$R$1287)&lt;=VAL_SERIAL)*1000000+16*1000+54))</f>
        <v/>
      </c>
      <c r="GG131" s="121">
        <f>IF(N('Dvd Calendar'!$S$1288)=0,"",IF(('Dvd Calendar'!$S$1288&gt;=GRID_FROM)*('Dvd Calendar'!$S$1288&lt;=GRID_TO)*('Dvd Calendar'!$S$1288&gt;VAL_DATE)=0,"",'Dvd Calendar'!$S$1288*1000000000+ISNUMBER('Dvd Calendar'!$S$1289)*100000000+0*10000000+(N('Dvd Calendar'!$S$1287)&gt;0)*(N('Dvd Calendar'!$S$1287)&lt;=VAL_SERIAL)*1000000+16*1000+55))</f>
        <v/>
      </c>
      <c r="GH131" s="121">
        <f>IF(N('Dvd Calendar'!$T$1288)=0,"",IF(('Dvd Calendar'!$T$1288&gt;=GRID_FROM)*('Dvd Calendar'!$T$1288&lt;=GRID_TO)*('Dvd Calendar'!$T$1288&gt;VAL_DATE)=0,"",'Dvd Calendar'!$T$1288*1000000000+ISNUMBER('Dvd Calendar'!$T$1289)*100000000+0*10000000+(N('Dvd Calendar'!$T$1287)&gt;0)*(N('Dvd Calendar'!$T$1287)&lt;=VAL_SERIAL)*1000000+16*1000+56))</f>
        <v/>
      </c>
      <c r="GI131" s="121">
        <f>IF(N('Dvd Calendar'!$U$1288)=0,"",IF(('Dvd Calendar'!$U$1288&gt;=GRID_FROM)*('Dvd Calendar'!$U$1288&lt;=GRID_TO)*('Dvd Calendar'!$U$1288&gt;VAL_DATE)=0,"",'Dvd Calendar'!$U$1288*1000000000+ISNUMBER('Dvd Calendar'!$U$1289)*100000000+0*10000000+(N('Dvd Calendar'!$U$1287)&gt;0)*(N('Dvd Calendar'!$U$1287)&lt;=VAL_SERIAL)*1000000+16*1000+57))</f>
        <v/>
      </c>
      <c r="GJ131" s="121">
        <f>IF(N('Dvd Calendar'!$V$1288)=0,"",IF(('Dvd Calendar'!$V$1288&gt;=GRID_FROM)*('Dvd Calendar'!$V$1288&lt;=GRID_TO)*('Dvd Calendar'!$V$1288&gt;VAL_DATE)=0,"",'Dvd Calendar'!$V$1288*1000000000+ISNUMBER('Dvd Calendar'!$V$1289)*100000000+0*10000000+(N('Dvd Calendar'!$V$1287)&gt;0)*(N('Dvd Calendar'!$V$1287)&lt;=VAL_SERIAL)*1000000+16*1000+58))</f>
        <v/>
      </c>
      <c r="GK131" s="121">
        <f>IF(N('Dvd Calendar'!$W$1288)=0,"",IF(('Dvd Calendar'!$W$1288&gt;=GRID_FROM)*('Dvd Calendar'!$W$1288&lt;=GRID_TO)*('Dvd Calendar'!$W$1288&gt;VAL_DATE)=0,"",'Dvd Calendar'!$W$1288*1000000000+ISNUMBER('Dvd Calendar'!$W$1289)*100000000+0*10000000+(N('Dvd Calendar'!$W$1287)&gt;0)*(N('Dvd Calendar'!$W$1287)&lt;=VAL_SERIAL)*1000000+16*1000+59))</f>
        <v/>
      </c>
      <c r="GL131" s="121">
        <f>IF(N('Dvd Calendar'!$X$1288)=0,"",IF(('Dvd Calendar'!$X$1288&gt;=GRID_FROM)*('Dvd Calendar'!$X$1288&lt;=GRID_TO)*('Dvd Calendar'!$X$1288&gt;VAL_DATE)=0,"",'Dvd Calendar'!$X$1288*1000000000+ISNUMBER('Dvd Calendar'!$X$1289)*100000000+0*10000000+(N('Dvd Calendar'!$X$1287)&gt;0)*(N('Dvd Calendar'!$X$1287)&lt;=VAL_SERIAL)*1000000+16*1000+60))</f>
        <v/>
      </c>
      <c r="GM131" s="121">
        <f>IF(N('Dvd Calendar'!$Y$1288)=0,"",IF(('Dvd Calendar'!$Y$1288&gt;=GRID_FROM)*('Dvd Calendar'!$Y$1288&lt;=GRID_TO)*('Dvd Calendar'!$Y$1288&gt;VAL_DATE)=0,"",'Dvd Calendar'!$Y$1288*1000000000+ISNUMBER('Dvd Calendar'!$Y$1289)*100000000+0*10000000+(N('Dvd Calendar'!$Y$1287)&gt;0)*(N('Dvd Calendar'!$Y$1287)&lt;=VAL_SERIAL)*1000000+16*1000+61))</f>
        <v/>
      </c>
      <c r="GN131" s="121">
        <f>IF(N('Dvd Calendar'!$Z$1288)=0,"",IF(('Dvd Calendar'!$Z$1288&gt;=GRID_FROM)*('Dvd Calendar'!$Z$1288&lt;=GRID_TO)*('Dvd Calendar'!$Z$1288&gt;VAL_DATE)=0,"",'Dvd Calendar'!$Z$1288*1000000000+ISNUMBER('Dvd Calendar'!$Z$1289)*100000000+0*10000000+(N('Dvd Calendar'!$Z$1287)&gt;0)*(N('Dvd Calendar'!$Z$1287)&lt;=VAL_SERIAL)*1000000+16*1000+62))</f>
        <v/>
      </c>
      <c r="GO131" s="121">
        <f>IF(N('Dvd Calendar'!$AA$1288)=0,"",IF(('Dvd Calendar'!$AA$1288&gt;=GRID_FROM)*('Dvd Calendar'!$AA$1288&lt;=GRID_TO)*('Dvd Calendar'!$AA$1288&gt;VAL_DATE)=0,"",'Dvd Calendar'!$AA$1288*1000000000+ISNUMBER('Dvd Calendar'!$AA$1289)*100000000+0*10000000+(N('Dvd Calendar'!$AA$1287)&gt;0)*(N('Dvd Calendar'!$AA$1287)&lt;=VAL_SERIAL)*1000000+16*1000+63))</f>
        <v/>
      </c>
      <c r="GP131" s="121">
        <f>IF(N('Dvd Calendar'!$AB$1288)=0,"",IF(('Dvd Calendar'!$AB$1288&gt;=GRID_FROM)*('Dvd Calendar'!$AB$1288&lt;=GRID_TO)*('Dvd Calendar'!$AB$1288&gt;VAL_DATE)=0,"",'Dvd Calendar'!$AB$1288*1000000000+ISNUMBER('Dvd Calendar'!$AB$1289)*100000000+0*10000000+(N('Dvd Calendar'!$AB$1287)&gt;0)*(N('Dvd Calendar'!$AB$1287)&lt;=VAL_SERIAL)*1000000+16*1000+64))</f>
        <v/>
      </c>
      <c r="GQ131" s="121">
        <f>IF(N('Dvd Calendar'!$AC$1288)=0,"",IF(('Dvd Calendar'!$AC$1288&gt;=GRID_FROM)*('Dvd Calendar'!$AC$1288&lt;=GRID_TO)*('Dvd Calendar'!$AC$1288&gt;VAL_DATE)=0,"",'Dvd Calendar'!$AC$1288*1000000000+ISNUMBER('Dvd Calendar'!$AC$1289)*100000000+0*10000000+(N('Dvd Calendar'!$AC$1287)&gt;0)*(N('Dvd Calendar'!$AC$1287)&lt;=VAL_SERIAL)*1000000+16*1000+65))</f>
        <v/>
      </c>
    </row>
    <row r="132">
      <c r="B132" s="2">
        <f>IF(HSTECH!$C$23="","",HSTECH!$C$23)</f>
        <v/>
      </c>
      <c r="C132" s="161">
        <f>IF(EE132="","",IF(ISNUMBER('Dvd Calendar'!$E$1295)=FALSE,"",IF((('Dvd Calendar'!$E$1297=TYPE1)*(TYPE1&lt;&gt;"")+('Dvd Calendar'!$E$1297=TYPE2)*(TYPE2&lt;&gt;"")+('Dvd Calendar'!$E$1297=TYPE3)*(TYPE3&lt;&gt;"")+('Dvd Calendar'!$E$1297=TYPE4)*(TYPE4&lt;&gt;"")+('Dvd Calendar'!$E$1297=SPECIAL_LBL)*(INC_SPECIALS="Y"))=0,"",'Dvd Calendar'!$E$1295)))</f>
        <v/>
      </c>
      <c r="D132" s="161">
        <f>IF(EF132="","",IF(ISNUMBER('Dvd Calendar'!$F$1295)=FALSE,"",IF((('Dvd Calendar'!$F$1297=TYPE1)*(TYPE1&lt;&gt;"")+('Dvd Calendar'!$F$1297=TYPE2)*(TYPE2&lt;&gt;"")+('Dvd Calendar'!$F$1297=TYPE3)*(TYPE3&lt;&gt;"")+('Dvd Calendar'!$F$1297=TYPE4)*(TYPE4&lt;&gt;"")+('Dvd Calendar'!$F$1297=SPECIAL_LBL)*(INC_SPECIALS="Y"))=0,"",'Dvd Calendar'!$F$1295)))</f>
        <v/>
      </c>
      <c r="E132" s="161">
        <f>IF(EG132="","",IF(ISNUMBER('Dvd Calendar'!$G$1295)=FALSE,"",IF((('Dvd Calendar'!$G$1297=TYPE1)*(TYPE1&lt;&gt;"")+('Dvd Calendar'!$G$1297=TYPE2)*(TYPE2&lt;&gt;"")+('Dvd Calendar'!$G$1297=TYPE3)*(TYPE3&lt;&gt;"")+('Dvd Calendar'!$G$1297=TYPE4)*(TYPE4&lt;&gt;"")+('Dvd Calendar'!$G$1297=SPECIAL_LBL)*(INC_SPECIALS="Y"))=0,"",'Dvd Calendar'!$G$1295)))</f>
        <v/>
      </c>
      <c r="F132" s="161">
        <f>IF(EH132="","",IF(ISNUMBER('Dvd Calendar'!$H$1295)=FALSE,"",IF((('Dvd Calendar'!$H$1297=TYPE1)*(TYPE1&lt;&gt;"")+('Dvd Calendar'!$H$1297=TYPE2)*(TYPE2&lt;&gt;"")+('Dvd Calendar'!$H$1297=TYPE3)*(TYPE3&lt;&gt;"")+('Dvd Calendar'!$H$1297=TYPE4)*(TYPE4&lt;&gt;"")+('Dvd Calendar'!$H$1297=SPECIAL_LBL)*(INC_SPECIALS="Y"))=0,"",'Dvd Calendar'!$H$1295)))</f>
        <v/>
      </c>
      <c r="G132" s="161">
        <f>IF(EI132="","",IF(ISNUMBER('Dvd Calendar'!$I$1295)=FALSE,"",IF((('Dvd Calendar'!$I$1297=TYPE1)*(TYPE1&lt;&gt;"")+('Dvd Calendar'!$I$1297=TYPE2)*(TYPE2&lt;&gt;"")+('Dvd Calendar'!$I$1297=TYPE3)*(TYPE3&lt;&gt;"")+('Dvd Calendar'!$I$1297=TYPE4)*(TYPE4&lt;&gt;"")+('Dvd Calendar'!$I$1297=SPECIAL_LBL)*(INC_SPECIALS="Y"))=0,"",'Dvd Calendar'!$I$1295)))</f>
        <v/>
      </c>
      <c r="H132" s="161">
        <f>IF(EJ132="","",IF(ISNUMBER('Dvd Calendar'!$J$1295)=FALSE,"",IF((('Dvd Calendar'!$J$1297=TYPE1)*(TYPE1&lt;&gt;"")+('Dvd Calendar'!$J$1297=TYPE2)*(TYPE2&lt;&gt;"")+('Dvd Calendar'!$J$1297=TYPE3)*(TYPE3&lt;&gt;"")+('Dvd Calendar'!$J$1297=TYPE4)*(TYPE4&lt;&gt;"")+('Dvd Calendar'!$J$1297=SPECIAL_LBL)*(INC_SPECIALS="Y"))=0,"",'Dvd Calendar'!$J$1295)))</f>
        <v/>
      </c>
      <c r="I132" s="161">
        <f>IF(EK132="","",IF(ISNUMBER('Dvd Calendar'!$K$1295)=FALSE,"",IF((('Dvd Calendar'!$K$1297=TYPE1)*(TYPE1&lt;&gt;"")+('Dvd Calendar'!$K$1297=TYPE2)*(TYPE2&lt;&gt;"")+('Dvd Calendar'!$K$1297=TYPE3)*(TYPE3&lt;&gt;"")+('Dvd Calendar'!$K$1297=TYPE4)*(TYPE4&lt;&gt;"")+('Dvd Calendar'!$K$1297=SPECIAL_LBL)*(INC_SPECIALS="Y"))=0,"",'Dvd Calendar'!$K$1295)))</f>
        <v/>
      </c>
      <c r="J132" s="161">
        <f>IF(EL132="","",IF(ISNUMBER('Dvd Calendar'!$L$1295)=FALSE,"",IF((('Dvd Calendar'!$L$1297=TYPE1)*(TYPE1&lt;&gt;"")+('Dvd Calendar'!$L$1297=TYPE2)*(TYPE2&lt;&gt;"")+('Dvd Calendar'!$L$1297=TYPE3)*(TYPE3&lt;&gt;"")+('Dvd Calendar'!$L$1297=TYPE4)*(TYPE4&lt;&gt;"")+('Dvd Calendar'!$L$1297=SPECIAL_LBL)*(INC_SPECIALS="Y"))=0,"",'Dvd Calendar'!$L$1295)))</f>
        <v/>
      </c>
      <c r="K132" s="161">
        <f>IF(EM132="","",IF(ISNUMBER('Dvd Calendar'!$M$1295)=FALSE,"",IF((('Dvd Calendar'!$M$1297=TYPE1)*(TYPE1&lt;&gt;"")+('Dvd Calendar'!$M$1297=TYPE2)*(TYPE2&lt;&gt;"")+('Dvd Calendar'!$M$1297=TYPE3)*(TYPE3&lt;&gt;"")+('Dvd Calendar'!$M$1297=TYPE4)*(TYPE4&lt;&gt;"")+('Dvd Calendar'!$M$1297=SPECIAL_LBL)*(INC_SPECIALS="Y"))=0,"",'Dvd Calendar'!$M$1295)))</f>
        <v/>
      </c>
      <c r="L132" s="161">
        <f>IF(EN132="","",IF(ISNUMBER('Dvd Calendar'!$N$1295)=FALSE,"",IF((('Dvd Calendar'!$N$1297=TYPE1)*(TYPE1&lt;&gt;"")+('Dvd Calendar'!$N$1297=TYPE2)*(TYPE2&lt;&gt;"")+('Dvd Calendar'!$N$1297=TYPE3)*(TYPE3&lt;&gt;"")+('Dvd Calendar'!$N$1297=TYPE4)*(TYPE4&lt;&gt;"")+('Dvd Calendar'!$N$1297=SPECIAL_LBL)*(INC_SPECIALS="Y"))=0,"",'Dvd Calendar'!$N$1295)))</f>
        <v/>
      </c>
      <c r="M132" s="161">
        <f>IF(EO132="","",IF(ISNUMBER('Dvd Calendar'!$O$1295)=FALSE,"",IF((('Dvd Calendar'!$O$1297=TYPE1)*(TYPE1&lt;&gt;"")+('Dvd Calendar'!$O$1297=TYPE2)*(TYPE2&lt;&gt;"")+('Dvd Calendar'!$O$1297=TYPE3)*(TYPE3&lt;&gt;"")+('Dvd Calendar'!$O$1297=TYPE4)*(TYPE4&lt;&gt;"")+('Dvd Calendar'!$O$1297=SPECIAL_LBL)*(INC_SPECIALS="Y"))=0,"",'Dvd Calendar'!$O$1295)))</f>
        <v/>
      </c>
      <c r="N132" s="161">
        <f>IF(EP132="","",IF(ISNUMBER('Dvd Calendar'!$P$1295)=FALSE,"",IF((('Dvd Calendar'!$P$1297=TYPE1)*(TYPE1&lt;&gt;"")+('Dvd Calendar'!$P$1297=TYPE2)*(TYPE2&lt;&gt;"")+('Dvd Calendar'!$P$1297=TYPE3)*(TYPE3&lt;&gt;"")+('Dvd Calendar'!$P$1297=TYPE4)*(TYPE4&lt;&gt;"")+('Dvd Calendar'!$P$1297=SPECIAL_LBL)*(INC_SPECIALS="Y"))=0,"",'Dvd Calendar'!$P$1295)))</f>
        <v/>
      </c>
      <c r="O132" s="161">
        <f>IF(EQ132="","",IF(ISNUMBER('Dvd Calendar'!$Q$1295)=FALSE,"",IF((('Dvd Calendar'!$Q$1297=TYPE1)*(TYPE1&lt;&gt;"")+('Dvd Calendar'!$Q$1297=TYPE2)*(TYPE2&lt;&gt;"")+('Dvd Calendar'!$Q$1297=TYPE3)*(TYPE3&lt;&gt;"")+('Dvd Calendar'!$Q$1297=TYPE4)*(TYPE4&lt;&gt;"")+('Dvd Calendar'!$Q$1297=SPECIAL_LBL)*(INC_SPECIALS="Y"))=0,"",'Dvd Calendar'!$Q$1295)))</f>
        <v/>
      </c>
      <c r="P132" s="161">
        <f>IF(ER132="","",IF(ISNUMBER('Dvd Calendar'!$R$1295)=FALSE,"",IF((('Dvd Calendar'!$R$1297=TYPE1)*(TYPE1&lt;&gt;"")+('Dvd Calendar'!$R$1297=TYPE2)*(TYPE2&lt;&gt;"")+('Dvd Calendar'!$R$1297=TYPE3)*(TYPE3&lt;&gt;"")+('Dvd Calendar'!$R$1297=TYPE4)*(TYPE4&lt;&gt;"")+('Dvd Calendar'!$R$1297=SPECIAL_LBL)*(INC_SPECIALS="Y"))=0,"",'Dvd Calendar'!$R$1295)))</f>
        <v/>
      </c>
      <c r="Q132" s="161">
        <f>IF(ES132="","",IF(ISNUMBER('Dvd Calendar'!$S$1295)=FALSE,"",IF((('Dvd Calendar'!$S$1297=TYPE1)*(TYPE1&lt;&gt;"")+('Dvd Calendar'!$S$1297=TYPE2)*(TYPE2&lt;&gt;"")+('Dvd Calendar'!$S$1297=TYPE3)*(TYPE3&lt;&gt;"")+('Dvd Calendar'!$S$1297=TYPE4)*(TYPE4&lt;&gt;"")+('Dvd Calendar'!$S$1297=SPECIAL_LBL)*(INC_SPECIALS="Y"))=0,"",'Dvd Calendar'!$S$1295)))</f>
        <v/>
      </c>
      <c r="R132" s="161">
        <f>IF(ET132="","",IF(ISNUMBER('Dvd Calendar'!$T$1295)=FALSE,"",IF((('Dvd Calendar'!$T$1297=TYPE1)*(TYPE1&lt;&gt;"")+('Dvd Calendar'!$T$1297=TYPE2)*(TYPE2&lt;&gt;"")+('Dvd Calendar'!$T$1297=TYPE3)*(TYPE3&lt;&gt;"")+('Dvd Calendar'!$T$1297=TYPE4)*(TYPE4&lt;&gt;"")+('Dvd Calendar'!$T$1297=SPECIAL_LBL)*(INC_SPECIALS="Y"))=0,"",'Dvd Calendar'!$T$1295)))</f>
        <v/>
      </c>
      <c r="S132" s="161">
        <f>IF(EU132="","",IF(ISNUMBER('Dvd Calendar'!$U$1295)=FALSE,"",IF((('Dvd Calendar'!$U$1297=TYPE1)*(TYPE1&lt;&gt;"")+('Dvd Calendar'!$U$1297=TYPE2)*(TYPE2&lt;&gt;"")+('Dvd Calendar'!$U$1297=TYPE3)*(TYPE3&lt;&gt;"")+('Dvd Calendar'!$U$1297=TYPE4)*(TYPE4&lt;&gt;"")+('Dvd Calendar'!$U$1297=SPECIAL_LBL)*(INC_SPECIALS="Y"))=0,"",'Dvd Calendar'!$U$1295)))</f>
        <v/>
      </c>
      <c r="T132" s="161">
        <f>IF(EV132="","",IF(ISNUMBER('Dvd Calendar'!$V$1295)=FALSE,"",IF((('Dvd Calendar'!$V$1297=TYPE1)*(TYPE1&lt;&gt;"")+('Dvd Calendar'!$V$1297=TYPE2)*(TYPE2&lt;&gt;"")+('Dvd Calendar'!$V$1297=TYPE3)*(TYPE3&lt;&gt;"")+('Dvd Calendar'!$V$1297=TYPE4)*(TYPE4&lt;&gt;"")+('Dvd Calendar'!$V$1297=SPECIAL_LBL)*(INC_SPECIALS="Y"))=0,"",'Dvd Calendar'!$V$1295)))</f>
        <v/>
      </c>
      <c r="U132" s="161">
        <f>IF(EW132="","",IF(ISNUMBER('Dvd Calendar'!$W$1295)=FALSE,"",IF((('Dvd Calendar'!$W$1297=TYPE1)*(TYPE1&lt;&gt;"")+('Dvd Calendar'!$W$1297=TYPE2)*(TYPE2&lt;&gt;"")+('Dvd Calendar'!$W$1297=TYPE3)*(TYPE3&lt;&gt;"")+('Dvd Calendar'!$W$1297=TYPE4)*(TYPE4&lt;&gt;"")+('Dvd Calendar'!$W$1297=SPECIAL_LBL)*(INC_SPECIALS="Y"))=0,"",'Dvd Calendar'!$W$1295)))</f>
        <v/>
      </c>
      <c r="V132" s="161">
        <f>IF(EX132="","",IF(ISNUMBER('Dvd Calendar'!$X$1295)=FALSE,"",IF((('Dvd Calendar'!$X$1297=TYPE1)*(TYPE1&lt;&gt;"")+('Dvd Calendar'!$X$1297=TYPE2)*(TYPE2&lt;&gt;"")+('Dvd Calendar'!$X$1297=TYPE3)*(TYPE3&lt;&gt;"")+('Dvd Calendar'!$X$1297=TYPE4)*(TYPE4&lt;&gt;"")+('Dvd Calendar'!$X$1297=SPECIAL_LBL)*(INC_SPECIALS="Y"))=0,"",'Dvd Calendar'!$X$1295)))</f>
        <v/>
      </c>
      <c r="W132" s="161">
        <f>IF(EY132="","",IF(ISNUMBER('Dvd Calendar'!$Y$1295)=FALSE,"",IF((('Dvd Calendar'!$Y$1297=TYPE1)*(TYPE1&lt;&gt;"")+('Dvd Calendar'!$Y$1297=TYPE2)*(TYPE2&lt;&gt;"")+('Dvd Calendar'!$Y$1297=TYPE3)*(TYPE3&lt;&gt;"")+('Dvd Calendar'!$Y$1297=TYPE4)*(TYPE4&lt;&gt;"")+('Dvd Calendar'!$Y$1297=SPECIAL_LBL)*(INC_SPECIALS="Y"))=0,"",'Dvd Calendar'!$Y$1295)))</f>
        <v/>
      </c>
      <c r="X132" s="161">
        <f>IF(EZ132="","",IF(ISNUMBER('Dvd Calendar'!$Z$1295)=FALSE,"",IF((('Dvd Calendar'!$Z$1297=TYPE1)*(TYPE1&lt;&gt;"")+('Dvd Calendar'!$Z$1297=TYPE2)*(TYPE2&lt;&gt;"")+('Dvd Calendar'!$Z$1297=TYPE3)*(TYPE3&lt;&gt;"")+('Dvd Calendar'!$Z$1297=TYPE4)*(TYPE4&lt;&gt;"")+('Dvd Calendar'!$Z$1297=SPECIAL_LBL)*(INC_SPECIALS="Y"))=0,"",'Dvd Calendar'!$Z$1295)))</f>
        <v/>
      </c>
      <c r="Y132" s="161">
        <f>IF(FA132="","",IF(ISNUMBER('Dvd Calendar'!$AA$1295)=FALSE,"",IF((('Dvd Calendar'!$AA$1297=TYPE1)*(TYPE1&lt;&gt;"")+('Dvd Calendar'!$AA$1297=TYPE2)*(TYPE2&lt;&gt;"")+('Dvd Calendar'!$AA$1297=TYPE3)*(TYPE3&lt;&gt;"")+('Dvd Calendar'!$AA$1297=TYPE4)*(TYPE4&lt;&gt;"")+('Dvd Calendar'!$AA$1297=SPECIAL_LBL)*(INC_SPECIALS="Y"))=0,"",'Dvd Calendar'!$AA$1295)))</f>
        <v/>
      </c>
      <c r="Z132" s="161">
        <f>IF(FB132="","",IF(ISNUMBER('Dvd Calendar'!$AB$1295)=FALSE,"",IF((('Dvd Calendar'!$AB$1297=TYPE1)*(TYPE1&lt;&gt;"")+('Dvd Calendar'!$AB$1297=TYPE2)*(TYPE2&lt;&gt;"")+('Dvd Calendar'!$AB$1297=TYPE3)*(TYPE3&lt;&gt;"")+('Dvd Calendar'!$AB$1297=TYPE4)*(TYPE4&lt;&gt;"")+('Dvd Calendar'!$AB$1297=SPECIAL_LBL)*(INC_SPECIALS="Y"))=0,"",'Dvd Calendar'!$AB$1295)))</f>
        <v/>
      </c>
      <c r="AA132" s="161">
        <f>IF(FC132="","",IF(ISNUMBER('Dvd Calendar'!$AC$1295)=FALSE,"",IF((('Dvd Calendar'!$AC$1297=TYPE1)*(TYPE1&lt;&gt;"")+('Dvd Calendar'!$AC$1297=TYPE2)*(TYPE2&lt;&gt;"")+('Dvd Calendar'!$AC$1297=TYPE3)*(TYPE3&lt;&gt;"")+('Dvd Calendar'!$AC$1297=TYPE4)*(TYPE4&lt;&gt;"")+('Dvd Calendar'!$AC$1297=SPECIAL_LBL)*(INC_SPECIALS="Y"))=0,"",'Dvd Calendar'!$AC$1295)))</f>
        <v/>
      </c>
      <c r="AB132" s="161">
        <f>IF(FD132="","",IF(ISNUMBER('Dvd Calendar'!$AD$1295)=FALSE,"",IF((('Dvd Calendar'!$AD$1297=TYPE1)*(TYPE1&lt;&gt;"")+('Dvd Calendar'!$AD$1297=TYPE2)*(TYPE2&lt;&gt;"")+('Dvd Calendar'!$AD$1297=TYPE3)*(TYPE3&lt;&gt;"")+('Dvd Calendar'!$AD$1297=TYPE4)*(TYPE4&lt;&gt;"")+('Dvd Calendar'!$AD$1297=SPECIAL_LBL)*(INC_SPECIALS="Y"))=0,"",'Dvd Calendar'!$AD$1295)))</f>
        <v/>
      </c>
      <c r="AC132" s="161">
        <f>IF(FE132="","",IF(ISNUMBER('Dvd Calendar'!$AE$1295)=FALSE,"",IF((('Dvd Calendar'!$AE$1297=TYPE1)*(TYPE1&lt;&gt;"")+('Dvd Calendar'!$AE$1297=TYPE2)*(TYPE2&lt;&gt;"")+('Dvd Calendar'!$AE$1297=TYPE3)*(TYPE3&lt;&gt;"")+('Dvd Calendar'!$AE$1297=TYPE4)*(TYPE4&lt;&gt;"")+('Dvd Calendar'!$AE$1297=SPECIAL_LBL)*(INC_SPECIALS="Y"))=0,"",'Dvd Calendar'!$AE$1295)))</f>
        <v/>
      </c>
      <c r="AD132" s="161">
        <f>IF(FF132="","",IF(ISNUMBER('Dvd Calendar'!$AF$1295)=FALSE,"",IF((('Dvd Calendar'!$AF$1297=TYPE1)*(TYPE1&lt;&gt;"")+('Dvd Calendar'!$AF$1297=TYPE2)*(TYPE2&lt;&gt;"")+('Dvd Calendar'!$AF$1297=TYPE3)*(TYPE3&lt;&gt;"")+('Dvd Calendar'!$AF$1297=TYPE4)*(TYPE4&lt;&gt;"")+('Dvd Calendar'!$AF$1297=SPECIAL_LBL)*(INC_SPECIALS="Y"))=0,"",'Dvd Calendar'!$AF$1295)))</f>
        <v/>
      </c>
      <c r="AE132" s="161">
        <f>IF(FG132="","",IF(ISNUMBER('Dvd Calendar'!$AG$1295)=FALSE,"",IF((('Dvd Calendar'!$AG$1297=TYPE1)*(TYPE1&lt;&gt;"")+('Dvd Calendar'!$AG$1297=TYPE2)*(TYPE2&lt;&gt;"")+('Dvd Calendar'!$AG$1297=TYPE3)*(TYPE3&lt;&gt;"")+('Dvd Calendar'!$AG$1297=TYPE4)*(TYPE4&lt;&gt;"")+('Dvd Calendar'!$AG$1297=SPECIAL_LBL)*(INC_SPECIALS="Y"))=0,"",'Dvd Calendar'!$AG$1295)))</f>
        <v/>
      </c>
      <c r="AF132" s="161">
        <f>IF(FH132="","",IF(ISNUMBER('Dvd Calendar'!$AH$1295)=FALSE,"",IF((('Dvd Calendar'!$AH$1297=TYPE1)*(TYPE1&lt;&gt;"")+('Dvd Calendar'!$AH$1297=TYPE2)*(TYPE2&lt;&gt;"")+('Dvd Calendar'!$AH$1297=TYPE3)*(TYPE3&lt;&gt;"")+('Dvd Calendar'!$AH$1297=TYPE4)*(TYPE4&lt;&gt;"")+('Dvd Calendar'!$AH$1297=SPECIAL_LBL)*(INC_SPECIALS="Y"))=0,"",'Dvd Calendar'!$AH$1295)))</f>
        <v/>
      </c>
      <c r="AG132" s="161">
        <f>IF(FI132="","",IF(ISNUMBER('Dvd Calendar'!$AI$1295)=FALSE,"",IF((('Dvd Calendar'!$AI$1297=TYPE1)*(TYPE1&lt;&gt;"")+('Dvd Calendar'!$AI$1297=TYPE2)*(TYPE2&lt;&gt;"")+('Dvd Calendar'!$AI$1297=TYPE3)*(TYPE3&lt;&gt;"")+('Dvd Calendar'!$AI$1297=TYPE4)*(TYPE4&lt;&gt;"")+('Dvd Calendar'!$AI$1297=SPECIAL_LBL)*(INC_SPECIALS="Y"))=0,"",'Dvd Calendar'!$AI$1295)))</f>
        <v/>
      </c>
      <c r="AH132" s="161">
        <f>IF(FJ132="","",IF(ISNUMBER('Dvd Calendar'!$AJ$1295)=FALSE,"",IF((('Dvd Calendar'!$AJ$1297=TYPE1)*(TYPE1&lt;&gt;"")+('Dvd Calendar'!$AJ$1297=TYPE2)*(TYPE2&lt;&gt;"")+('Dvd Calendar'!$AJ$1297=TYPE3)*(TYPE3&lt;&gt;"")+('Dvd Calendar'!$AJ$1297=TYPE4)*(TYPE4&lt;&gt;"")+('Dvd Calendar'!$AJ$1297=SPECIAL_LBL)*(INC_SPECIALS="Y"))=0,"",'Dvd Calendar'!$AJ$1295)))</f>
        <v/>
      </c>
      <c r="AI132" s="161">
        <f>IF(FK132="","",IF(ISNUMBER('Dvd Calendar'!$AK$1295)=FALSE,"",IF((('Dvd Calendar'!$AK$1297=TYPE1)*(TYPE1&lt;&gt;"")+('Dvd Calendar'!$AK$1297=TYPE2)*(TYPE2&lt;&gt;"")+('Dvd Calendar'!$AK$1297=TYPE3)*(TYPE3&lt;&gt;"")+('Dvd Calendar'!$AK$1297=TYPE4)*(TYPE4&lt;&gt;"")+('Dvd Calendar'!$AK$1297=SPECIAL_LBL)*(INC_SPECIALS="Y"))=0,"",'Dvd Calendar'!$AK$1295)))</f>
        <v/>
      </c>
      <c r="AJ132" s="161">
        <f>IF(FL132="","",IF(ISNUMBER('Dvd Calendar'!$AL$1295)=FALSE,"",IF((('Dvd Calendar'!$AL$1297=TYPE1)*(TYPE1&lt;&gt;"")+('Dvd Calendar'!$AL$1297=TYPE2)*(TYPE2&lt;&gt;"")+('Dvd Calendar'!$AL$1297=TYPE3)*(TYPE3&lt;&gt;"")+('Dvd Calendar'!$AL$1297=TYPE4)*(TYPE4&lt;&gt;"")+('Dvd Calendar'!$AL$1297=SPECIAL_LBL)*(INC_SPECIALS="Y"))=0,"",'Dvd Calendar'!$AL$1295)))</f>
        <v/>
      </c>
      <c r="AK132" s="161">
        <f>IF(FM132="","",IF(ISNUMBER('Dvd Calendar'!$AM$1295)=FALSE,"",IF((('Dvd Calendar'!$AM$1297=TYPE1)*(TYPE1&lt;&gt;"")+('Dvd Calendar'!$AM$1297=TYPE2)*(TYPE2&lt;&gt;"")+('Dvd Calendar'!$AM$1297=TYPE3)*(TYPE3&lt;&gt;"")+('Dvd Calendar'!$AM$1297=TYPE4)*(TYPE4&lt;&gt;"")+('Dvd Calendar'!$AM$1297=SPECIAL_LBL)*(INC_SPECIALS="Y"))=0,"",'Dvd Calendar'!$AM$1295)))</f>
        <v/>
      </c>
      <c r="AL132" s="161">
        <f>IF(FN132="","",IF(ISNUMBER('Dvd Calendar'!$AN$1295)=FALSE,"",IF((('Dvd Calendar'!$AN$1297=TYPE1)*(TYPE1&lt;&gt;"")+('Dvd Calendar'!$AN$1297=TYPE2)*(TYPE2&lt;&gt;"")+('Dvd Calendar'!$AN$1297=TYPE3)*(TYPE3&lt;&gt;"")+('Dvd Calendar'!$AN$1297=TYPE4)*(TYPE4&lt;&gt;"")+('Dvd Calendar'!$AN$1297=SPECIAL_LBL)*(INC_SPECIALS="Y"))=0,"",'Dvd Calendar'!$AN$1295)))</f>
        <v/>
      </c>
      <c r="AM132" s="161">
        <f>IF(FO132="","",IF(ISNUMBER('Dvd Calendar'!$AO$1295)=FALSE,"",IF((('Dvd Calendar'!$AO$1297=TYPE1)*(TYPE1&lt;&gt;"")+('Dvd Calendar'!$AO$1297=TYPE2)*(TYPE2&lt;&gt;"")+('Dvd Calendar'!$AO$1297=TYPE3)*(TYPE3&lt;&gt;"")+('Dvd Calendar'!$AO$1297=TYPE4)*(TYPE4&lt;&gt;"")+('Dvd Calendar'!$AO$1297=SPECIAL_LBL)*(INC_SPECIALS="Y"))=0,"",'Dvd Calendar'!$AO$1295)))</f>
        <v/>
      </c>
      <c r="AN132" s="161">
        <f>IF(FP132="","",IF(ISNUMBER('Dvd Calendar'!$AP$1295)=FALSE,"",IF((('Dvd Calendar'!$AP$1297=TYPE1)*(TYPE1&lt;&gt;"")+('Dvd Calendar'!$AP$1297=TYPE2)*(TYPE2&lt;&gt;"")+('Dvd Calendar'!$AP$1297=TYPE3)*(TYPE3&lt;&gt;"")+('Dvd Calendar'!$AP$1297=TYPE4)*(TYPE4&lt;&gt;"")+('Dvd Calendar'!$AP$1297=SPECIAL_LBL)*(INC_SPECIALS="Y"))=0,"",'Dvd Calendar'!$AP$1295)))</f>
        <v/>
      </c>
      <c r="AO132" s="161">
        <f>IF(FQ132="","",IF(ISNUMBER('Dvd Calendar'!$AQ$1295)=FALSE,"",IF((('Dvd Calendar'!$AQ$1297=TYPE1)*(TYPE1&lt;&gt;"")+('Dvd Calendar'!$AQ$1297=TYPE2)*(TYPE2&lt;&gt;"")+('Dvd Calendar'!$AQ$1297=TYPE3)*(TYPE3&lt;&gt;"")+('Dvd Calendar'!$AQ$1297=TYPE4)*(TYPE4&lt;&gt;"")+('Dvd Calendar'!$AQ$1297=SPECIAL_LBL)*(INC_SPECIALS="Y"))=0,"",'Dvd Calendar'!$AQ$1295)))</f>
        <v/>
      </c>
      <c r="AP132" s="161">
        <f>IF(FR132="","",IF(ISNUMBER('Dvd Calendar'!$AR$1295)=FALSE,"",IF((('Dvd Calendar'!$AR$1297=TYPE1)*(TYPE1&lt;&gt;"")+('Dvd Calendar'!$AR$1297=TYPE2)*(TYPE2&lt;&gt;"")+('Dvd Calendar'!$AR$1297=TYPE3)*(TYPE3&lt;&gt;"")+('Dvd Calendar'!$AR$1297=TYPE4)*(TYPE4&lt;&gt;"")+('Dvd Calendar'!$AR$1297=SPECIAL_LBL)*(INC_SPECIALS="Y"))=0,"",'Dvd Calendar'!$AR$1295)))</f>
        <v/>
      </c>
      <c r="AQ132" s="161">
        <f>IF(FS132="","",IF(ISNUMBER('Dvd Calendar'!$E$1300)=FALSE,"",'Dvd Calendar'!$E$1300))</f>
        <v/>
      </c>
      <c r="AR132" s="161">
        <f>IF(FT132="","",IF(ISNUMBER('Dvd Calendar'!$F$1300)=FALSE,"",'Dvd Calendar'!$F$1300))</f>
        <v/>
      </c>
      <c r="AS132" s="161">
        <f>IF(FU132="","",IF(ISNUMBER('Dvd Calendar'!$G$1300)=FALSE,"",'Dvd Calendar'!$G$1300))</f>
        <v/>
      </c>
      <c r="AT132" s="161">
        <f>IF(FV132="","",IF(ISNUMBER('Dvd Calendar'!$H$1300)=FALSE,"",'Dvd Calendar'!$H$1300))</f>
        <v/>
      </c>
      <c r="AU132" s="161">
        <f>IF(FW132="","",IF(ISNUMBER('Dvd Calendar'!$I$1300)=FALSE,"",'Dvd Calendar'!$I$1300))</f>
        <v/>
      </c>
      <c r="AV132" s="161">
        <f>IF(FX132="","",IF(ISNUMBER('Dvd Calendar'!$J$1300)=FALSE,"",'Dvd Calendar'!$J$1300))</f>
        <v/>
      </c>
      <c r="AW132" s="161">
        <f>IF(FY132="","",IF(ISNUMBER('Dvd Calendar'!$K$1300)=FALSE,"",'Dvd Calendar'!$K$1300))</f>
        <v/>
      </c>
      <c r="AX132" s="161">
        <f>IF(FZ132="","",IF(ISNUMBER('Dvd Calendar'!$L$1300)=FALSE,"",'Dvd Calendar'!$L$1300))</f>
        <v/>
      </c>
      <c r="AY132" s="161">
        <f>IF(GA132="","",IF(ISNUMBER('Dvd Calendar'!$M$1300)=FALSE,"",'Dvd Calendar'!$M$1300))</f>
        <v/>
      </c>
      <c r="AZ132" s="161">
        <f>IF(GB132="","",IF(ISNUMBER('Dvd Calendar'!$N$1300)=FALSE,"",'Dvd Calendar'!$N$1300))</f>
        <v/>
      </c>
      <c r="BA132" s="161">
        <f>IF(GC132="","",IF(ISNUMBER('Dvd Calendar'!$O$1300)=FALSE,"",'Dvd Calendar'!$O$1300))</f>
        <v/>
      </c>
      <c r="BB132" s="161">
        <f>IF(GD132="","",IF(ISNUMBER('Dvd Calendar'!$P$1300)=FALSE,"",'Dvd Calendar'!$P$1300))</f>
        <v/>
      </c>
      <c r="BC132" s="161">
        <f>IF(GE132="","",IF(ISNUMBER('Dvd Calendar'!$Q$1300)=FALSE,"",'Dvd Calendar'!$Q$1300))</f>
        <v/>
      </c>
      <c r="BD132" s="161">
        <f>IF(GF132="","",IF(ISNUMBER('Dvd Calendar'!$R$1300)=FALSE,"",'Dvd Calendar'!$R$1300))</f>
        <v/>
      </c>
      <c r="BE132" s="161">
        <f>IF(GG132="","",IF(ISNUMBER('Dvd Calendar'!$S$1300)=FALSE,"",'Dvd Calendar'!$S$1300))</f>
        <v/>
      </c>
      <c r="BF132" s="161">
        <f>IF(GH132="","",IF(ISNUMBER('Dvd Calendar'!$T$1300)=FALSE,"",'Dvd Calendar'!$T$1300))</f>
        <v/>
      </c>
      <c r="BG132" s="161">
        <f>IF(GI132="","",IF(ISNUMBER('Dvd Calendar'!$U$1300)=FALSE,"",'Dvd Calendar'!$U$1300))</f>
        <v/>
      </c>
      <c r="BH132" s="161">
        <f>IF(GJ132="","",IF(ISNUMBER('Dvd Calendar'!$V$1300)=FALSE,"",'Dvd Calendar'!$V$1300))</f>
        <v/>
      </c>
      <c r="BI132" s="161">
        <f>IF(GK132="","",IF(ISNUMBER('Dvd Calendar'!$W$1300)=FALSE,"",'Dvd Calendar'!$W$1300))</f>
        <v/>
      </c>
      <c r="BJ132" s="161">
        <f>IF(GL132="","",IF(ISNUMBER('Dvd Calendar'!$X$1300)=FALSE,"",'Dvd Calendar'!$X$1300))</f>
        <v/>
      </c>
      <c r="BK132" s="161">
        <f>IF(GM132="","",IF(ISNUMBER('Dvd Calendar'!$Y$1300)=FALSE,"",'Dvd Calendar'!$Y$1300))</f>
        <v/>
      </c>
      <c r="BL132" s="161">
        <f>IF(GN132="","",IF(ISNUMBER('Dvd Calendar'!$Z$1300)=FALSE,"",'Dvd Calendar'!$Z$1300))</f>
        <v/>
      </c>
      <c r="BM132" s="161">
        <f>IF(GO132="","",IF(ISNUMBER('Dvd Calendar'!$AA$1300)=FALSE,"",'Dvd Calendar'!$AA$1300))</f>
        <v/>
      </c>
      <c r="BN132" s="161">
        <f>IF(GP132="","",IF(ISNUMBER('Dvd Calendar'!$AB$1300)=FALSE,"",'Dvd Calendar'!$AB$1300))</f>
        <v/>
      </c>
      <c r="BO132" s="161">
        <f>IF(GQ132="","",IF(ISNUMBER('Dvd Calendar'!$AC$1300)=FALSE,"",'Dvd Calendar'!$AC$1300))</f>
        <v/>
      </c>
      <c r="BQ132" s="161">
        <f>IF(C132="","",IFERROR(C132*HSTECH!$B$23*HSTECH!$G$23/HSTECH!$B$3,""))</f>
        <v/>
      </c>
      <c r="BR132" s="161">
        <f>IF(D132="","",IFERROR(D132*HSTECH!$B$23*HSTECH!$G$23/HSTECH!$B$3,""))</f>
        <v/>
      </c>
      <c r="BS132" s="161">
        <f>IF(E132="","",IFERROR(E132*HSTECH!$B$23*HSTECH!$G$23/HSTECH!$B$3,""))</f>
        <v/>
      </c>
      <c r="BT132" s="161">
        <f>IF(F132="","",IFERROR(F132*HSTECH!$B$23*HSTECH!$G$23/HSTECH!$B$3,""))</f>
        <v/>
      </c>
      <c r="BU132" s="161">
        <f>IF(G132="","",IFERROR(G132*HSTECH!$B$23*HSTECH!$G$23/HSTECH!$B$3,""))</f>
        <v/>
      </c>
      <c r="BV132" s="161">
        <f>IF(H132="","",IFERROR(H132*HSTECH!$B$23*HSTECH!$G$23/HSTECH!$B$3,""))</f>
        <v/>
      </c>
      <c r="BW132" s="161">
        <f>IF(I132="","",IFERROR(I132*HSTECH!$B$23*HSTECH!$G$23/HSTECH!$B$3,""))</f>
        <v/>
      </c>
      <c r="BX132" s="161">
        <f>IF(J132="","",IFERROR(J132*HSTECH!$B$23*HSTECH!$G$23/HSTECH!$B$3,""))</f>
        <v/>
      </c>
      <c r="BY132" s="161">
        <f>IF(K132="","",IFERROR(K132*HSTECH!$B$23*HSTECH!$G$23/HSTECH!$B$3,""))</f>
        <v/>
      </c>
      <c r="BZ132" s="161">
        <f>IF(L132="","",IFERROR(L132*HSTECH!$B$23*HSTECH!$G$23/HSTECH!$B$3,""))</f>
        <v/>
      </c>
      <c r="CA132" s="161">
        <f>IF(M132="","",IFERROR(M132*HSTECH!$B$23*HSTECH!$G$23/HSTECH!$B$3,""))</f>
        <v/>
      </c>
      <c r="CB132" s="161">
        <f>IF(N132="","",IFERROR(N132*HSTECH!$B$23*HSTECH!$G$23/HSTECH!$B$3,""))</f>
        <v/>
      </c>
      <c r="CC132" s="161">
        <f>IF(O132="","",IFERROR(O132*HSTECH!$B$23*HSTECH!$G$23/HSTECH!$B$3,""))</f>
        <v/>
      </c>
      <c r="CD132" s="161">
        <f>IF(P132="","",IFERROR(P132*HSTECH!$B$23*HSTECH!$G$23/HSTECH!$B$3,""))</f>
        <v/>
      </c>
      <c r="CE132" s="161">
        <f>IF(Q132="","",IFERROR(Q132*HSTECH!$B$23*HSTECH!$G$23/HSTECH!$B$3,""))</f>
        <v/>
      </c>
      <c r="CF132" s="161">
        <f>IF(R132="","",IFERROR(R132*HSTECH!$B$23*HSTECH!$G$23/HSTECH!$B$3,""))</f>
        <v/>
      </c>
      <c r="CG132" s="161">
        <f>IF(S132="","",IFERROR(S132*HSTECH!$B$23*HSTECH!$G$23/HSTECH!$B$3,""))</f>
        <v/>
      </c>
      <c r="CH132" s="161">
        <f>IF(T132="","",IFERROR(T132*HSTECH!$B$23*HSTECH!$G$23/HSTECH!$B$3,""))</f>
        <v/>
      </c>
      <c r="CI132" s="161">
        <f>IF(U132="","",IFERROR(U132*HSTECH!$B$23*HSTECH!$G$23/HSTECH!$B$3,""))</f>
        <v/>
      </c>
      <c r="CJ132" s="161">
        <f>IF(V132="","",IFERROR(V132*HSTECH!$B$23*HSTECH!$G$23/HSTECH!$B$3,""))</f>
        <v/>
      </c>
      <c r="CK132" s="161">
        <f>IF(W132="","",IFERROR(W132*HSTECH!$B$23*HSTECH!$G$23/HSTECH!$B$3,""))</f>
        <v/>
      </c>
      <c r="CL132" s="161">
        <f>IF(X132="","",IFERROR(X132*HSTECH!$B$23*HSTECH!$G$23/HSTECH!$B$3,""))</f>
        <v/>
      </c>
      <c r="CM132" s="161">
        <f>IF(Y132="","",IFERROR(Y132*HSTECH!$B$23*HSTECH!$G$23/HSTECH!$B$3,""))</f>
        <v/>
      </c>
      <c r="CN132" s="161">
        <f>IF(Z132="","",IFERROR(Z132*HSTECH!$B$23*HSTECH!$G$23/HSTECH!$B$3,""))</f>
        <v/>
      </c>
      <c r="CO132" s="161">
        <f>IF(AA132="","",IFERROR(AA132*HSTECH!$B$23*HSTECH!$G$23/HSTECH!$B$3,""))</f>
        <v/>
      </c>
      <c r="CP132" s="161">
        <f>IF(AB132="","",IFERROR(AB132*HSTECH!$B$23*HSTECH!$G$23/HSTECH!$B$3,""))</f>
        <v/>
      </c>
      <c r="CQ132" s="161">
        <f>IF(AC132="","",IFERROR(AC132*HSTECH!$B$23*HSTECH!$G$23/HSTECH!$B$3,""))</f>
        <v/>
      </c>
      <c r="CR132" s="161">
        <f>IF(AD132="","",IFERROR(AD132*HSTECH!$B$23*HSTECH!$G$23/HSTECH!$B$3,""))</f>
        <v/>
      </c>
      <c r="CS132" s="161">
        <f>IF(AE132="","",IFERROR(AE132*HSTECH!$B$23*HSTECH!$G$23/HSTECH!$B$3,""))</f>
        <v/>
      </c>
      <c r="CT132" s="161">
        <f>IF(AF132="","",IFERROR(AF132*HSTECH!$B$23*HSTECH!$G$23/HSTECH!$B$3,""))</f>
        <v/>
      </c>
      <c r="CU132" s="161">
        <f>IF(AG132="","",IFERROR(AG132*HSTECH!$B$23*HSTECH!$G$23/HSTECH!$B$3,""))</f>
        <v/>
      </c>
      <c r="CV132" s="161">
        <f>IF(AH132="","",IFERROR(AH132*HSTECH!$B$23*HSTECH!$G$23/HSTECH!$B$3,""))</f>
        <v/>
      </c>
      <c r="CW132" s="161">
        <f>IF(AI132="","",IFERROR(AI132*HSTECH!$B$23*HSTECH!$G$23/HSTECH!$B$3,""))</f>
        <v/>
      </c>
      <c r="CX132" s="161">
        <f>IF(AJ132="","",IFERROR(AJ132*HSTECH!$B$23*HSTECH!$G$23/HSTECH!$B$3,""))</f>
        <v/>
      </c>
      <c r="CY132" s="161">
        <f>IF(AK132="","",IFERROR(AK132*HSTECH!$B$23*HSTECH!$G$23/HSTECH!$B$3,""))</f>
        <v/>
      </c>
      <c r="CZ132" s="161">
        <f>IF(AL132="","",IFERROR(AL132*HSTECH!$B$23*HSTECH!$G$23/HSTECH!$B$3,""))</f>
        <v/>
      </c>
      <c r="DA132" s="161">
        <f>IF(AM132="","",IFERROR(AM132*HSTECH!$B$23*HSTECH!$G$23/HSTECH!$B$3,""))</f>
        <v/>
      </c>
      <c r="DB132" s="161">
        <f>IF(AN132="","",IFERROR(AN132*HSTECH!$B$23*HSTECH!$G$23/HSTECH!$B$3,""))</f>
        <v/>
      </c>
      <c r="DC132" s="161">
        <f>IF(AO132="","",IFERROR(AO132*HSTECH!$B$23*HSTECH!$G$23/HSTECH!$B$3,""))</f>
        <v/>
      </c>
      <c r="DD132" s="161">
        <f>IF(AP132="","",IFERROR(AP132*HSTECH!$B$23*HSTECH!$G$23/HSTECH!$B$3,""))</f>
        <v/>
      </c>
      <c r="DE132" s="161">
        <f>IF(AQ132="","",IFERROR(AQ132*HSTECH!$B$23*HSTECH!$G$23/HSTECH!$B$3,""))</f>
        <v/>
      </c>
      <c r="DF132" s="161">
        <f>IF(AR132="","",IFERROR(AR132*HSTECH!$B$23*HSTECH!$G$23/HSTECH!$B$3,""))</f>
        <v/>
      </c>
      <c r="DG132" s="161">
        <f>IF(AS132="","",IFERROR(AS132*HSTECH!$B$23*HSTECH!$G$23/HSTECH!$B$3,""))</f>
        <v/>
      </c>
      <c r="DH132" s="161">
        <f>IF(AT132="","",IFERROR(AT132*HSTECH!$B$23*HSTECH!$G$23/HSTECH!$B$3,""))</f>
        <v/>
      </c>
      <c r="DI132" s="161">
        <f>IF(AU132="","",IFERROR(AU132*HSTECH!$B$23*HSTECH!$G$23/HSTECH!$B$3,""))</f>
        <v/>
      </c>
      <c r="DJ132" s="161">
        <f>IF(AV132="","",IFERROR(AV132*HSTECH!$B$23*HSTECH!$G$23/HSTECH!$B$3,""))</f>
        <v/>
      </c>
      <c r="DK132" s="161">
        <f>IF(AW132="","",IFERROR(AW132*HSTECH!$B$23*HSTECH!$G$23/HSTECH!$B$3,""))</f>
        <v/>
      </c>
      <c r="DL132" s="161">
        <f>IF(AX132="","",IFERROR(AX132*HSTECH!$B$23*HSTECH!$G$23/HSTECH!$B$3,""))</f>
        <v/>
      </c>
      <c r="DM132" s="161">
        <f>IF(AY132="","",IFERROR(AY132*HSTECH!$B$23*HSTECH!$G$23/HSTECH!$B$3,""))</f>
        <v/>
      </c>
      <c r="DN132" s="161">
        <f>IF(AZ132="","",IFERROR(AZ132*HSTECH!$B$23*HSTECH!$G$23/HSTECH!$B$3,""))</f>
        <v/>
      </c>
      <c r="DO132" s="161">
        <f>IF(BA132="","",IFERROR(BA132*HSTECH!$B$23*HSTECH!$G$23/HSTECH!$B$3,""))</f>
        <v/>
      </c>
      <c r="DP132" s="161">
        <f>IF(BB132="","",IFERROR(BB132*HSTECH!$B$23*HSTECH!$G$23/HSTECH!$B$3,""))</f>
        <v/>
      </c>
      <c r="DQ132" s="161">
        <f>IF(BC132="","",IFERROR(BC132*HSTECH!$B$23*HSTECH!$G$23/HSTECH!$B$3,""))</f>
        <v/>
      </c>
      <c r="DR132" s="161">
        <f>IF(BD132="","",IFERROR(BD132*HSTECH!$B$23*HSTECH!$G$23/HSTECH!$B$3,""))</f>
        <v/>
      </c>
      <c r="DS132" s="161">
        <f>IF(BE132="","",IFERROR(BE132*HSTECH!$B$23*HSTECH!$G$23/HSTECH!$B$3,""))</f>
        <v/>
      </c>
      <c r="DT132" s="161">
        <f>IF(BF132="","",IFERROR(BF132*HSTECH!$B$23*HSTECH!$G$23/HSTECH!$B$3,""))</f>
        <v/>
      </c>
      <c r="DU132" s="161">
        <f>IF(BG132="","",IFERROR(BG132*HSTECH!$B$23*HSTECH!$G$23/HSTECH!$B$3,""))</f>
        <v/>
      </c>
      <c r="DV132" s="161">
        <f>IF(BH132="","",IFERROR(BH132*HSTECH!$B$23*HSTECH!$G$23/HSTECH!$B$3,""))</f>
        <v/>
      </c>
      <c r="DW132" s="161">
        <f>IF(BI132="","",IFERROR(BI132*HSTECH!$B$23*HSTECH!$G$23/HSTECH!$B$3,""))</f>
        <v/>
      </c>
      <c r="DX132" s="161">
        <f>IF(BJ132="","",IFERROR(BJ132*HSTECH!$B$23*HSTECH!$G$23/HSTECH!$B$3,""))</f>
        <v/>
      </c>
      <c r="DY132" s="161">
        <f>IF(BK132="","",IFERROR(BK132*HSTECH!$B$23*HSTECH!$G$23/HSTECH!$B$3,""))</f>
        <v/>
      </c>
      <c r="DZ132" s="161">
        <f>IF(BL132="","",IFERROR(BL132*HSTECH!$B$23*HSTECH!$G$23/HSTECH!$B$3,""))</f>
        <v/>
      </c>
      <c r="EA132" s="161">
        <f>IF(BM132="","",IFERROR(BM132*HSTECH!$B$23*HSTECH!$G$23/HSTECH!$B$3,""))</f>
        <v/>
      </c>
      <c r="EB132" s="161">
        <f>IF(BN132="","",IFERROR(BN132*HSTECH!$B$23*HSTECH!$G$23/HSTECH!$B$3,""))</f>
        <v/>
      </c>
      <c r="EC132" s="161">
        <f>IF(BO132="","",IFERROR(BO132*HSTECH!$B$23*HSTECH!$G$23/HSTECH!$B$3,""))</f>
        <v/>
      </c>
      <c r="EE132" s="121">
        <f>IF(N('Dvd Calendar'!$E$1292)=0,"",IF(('Dvd Calendar'!$E$1292&gt;=GRID_FROM)*('Dvd Calendar'!$E$1292&lt;=GRID_TO)*((('Dvd Calendar'!$E$1292&lt;=VAL_DATE)+(COUNTIF('Dvd Calendar'!$E$1299:$AR$1299,'Dvd Calendar'!$E$1292)=0))&gt;0)=0,"",'Dvd Calendar'!$E$1292*1000000000+ISNUMBER('Dvd Calendar'!$E$1295)*100000000+('Dvd Calendar'!$E$1297=SPECIAL_LBL)*10000000+(N('Dvd Calendar'!$E$1291)&gt;0)*(N('Dvd Calendar'!$E$1291)&lt;=VAL_SERIAL)*1000000+17*1000+1))</f>
        <v/>
      </c>
      <c r="EF132" s="121">
        <f>IF(N('Dvd Calendar'!$F$1292)=0,"",IF(('Dvd Calendar'!$F$1292&gt;=GRID_FROM)*('Dvd Calendar'!$F$1292&lt;=GRID_TO)*((('Dvd Calendar'!$F$1292&lt;=VAL_DATE)+(COUNTIF('Dvd Calendar'!$E$1299:$AR$1299,'Dvd Calendar'!$F$1292)=0))&gt;0)=0,"",'Dvd Calendar'!$F$1292*1000000000+ISNUMBER('Dvd Calendar'!$F$1295)*100000000+('Dvd Calendar'!$F$1297=SPECIAL_LBL)*10000000+(N('Dvd Calendar'!$F$1291)&gt;0)*(N('Dvd Calendar'!$F$1291)&lt;=VAL_SERIAL)*1000000+17*1000+2))</f>
        <v/>
      </c>
      <c r="EG132" s="121">
        <f>IF(N('Dvd Calendar'!$G$1292)=0,"",IF(('Dvd Calendar'!$G$1292&gt;=GRID_FROM)*('Dvd Calendar'!$G$1292&lt;=GRID_TO)*((('Dvd Calendar'!$G$1292&lt;=VAL_DATE)+(COUNTIF('Dvd Calendar'!$E$1299:$AR$1299,'Dvd Calendar'!$G$1292)=0))&gt;0)=0,"",'Dvd Calendar'!$G$1292*1000000000+ISNUMBER('Dvd Calendar'!$G$1295)*100000000+('Dvd Calendar'!$G$1297=SPECIAL_LBL)*10000000+(N('Dvd Calendar'!$G$1291)&gt;0)*(N('Dvd Calendar'!$G$1291)&lt;=VAL_SERIAL)*1000000+17*1000+3))</f>
        <v/>
      </c>
      <c r="EH132" s="121">
        <f>IF(N('Dvd Calendar'!$H$1292)=0,"",IF(('Dvd Calendar'!$H$1292&gt;=GRID_FROM)*('Dvd Calendar'!$H$1292&lt;=GRID_TO)*((('Dvd Calendar'!$H$1292&lt;=VAL_DATE)+(COUNTIF('Dvd Calendar'!$E$1299:$AR$1299,'Dvd Calendar'!$H$1292)=0))&gt;0)=0,"",'Dvd Calendar'!$H$1292*1000000000+ISNUMBER('Dvd Calendar'!$H$1295)*100000000+('Dvd Calendar'!$H$1297=SPECIAL_LBL)*10000000+(N('Dvd Calendar'!$H$1291)&gt;0)*(N('Dvd Calendar'!$H$1291)&lt;=VAL_SERIAL)*1000000+17*1000+4))</f>
        <v/>
      </c>
      <c r="EI132" s="121">
        <f>IF(N('Dvd Calendar'!$I$1292)=0,"",IF(('Dvd Calendar'!$I$1292&gt;=GRID_FROM)*('Dvd Calendar'!$I$1292&lt;=GRID_TO)*((('Dvd Calendar'!$I$1292&lt;=VAL_DATE)+(COUNTIF('Dvd Calendar'!$E$1299:$AR$1299,'Dvd Calendar'!$I$1292)=0))&gt;0)=0,"",'Dvd Calendar'!$I$1292*1000000000+ISNUMBER('Dvd Calendar'!$I$1295)*100000000+('Dvd Calendar'!$I$1297=SPECIAL_LBL)*10000000+(N('Dvd Calendar'!$I$1291)&gt;0)*(N('Dvd Calendar'!$I$1291)&lt;=VAL_SERIAL)*1000000+17*1000+5))</f>
        <v/>
      </c>
      <c r="EJ132" s="121">
        <f>IF(N('Dvd Calendar'!$J$1292)=0,"",IF(('Dvd Calendar'!$J$1292&gt;=GRID_FROM)*('Dvd Calendar'!$J$1292&lt;=GRID_TO)*((('Dvd Calendar'!$J$1292&lt;=VAL_DATE)+(COUNTIF('Dvd Calendar'!$E$1299:$AR$1299,'Dvd Calendar'!$J$1292)=0))&gt;0)=0,"",'Dvd Calendar'!$J$1292*1000000000+ISNUMBER('Dvd Calendar'!$J$1295)*100000000+('Dvd Calendar'!$J$1297=SPECIAL_LBL)*10000000+(N('Dvd Calendar'!$J$1291)&gt;0)*(N('Dvd Calendar'!$J$1291)&lt;=VAL_SERIAL)*1000000+17*1000+6))</f>
        <v/>
      </c>
      <c r="EK132" s="121">
        <f>IF(N('Dvd Calendar'!$K$1292)=0,"",IF(('Dvd Calendar'!$K$1292&gt;=GRID_FROM)*('Dvd Calendar'!$K$1292&lt;=GRID_TO)*((('Dvd Calendar'!$K$1292&lt;=VAL_DATE)+(COUNTIF('Dvd Calendar'!$E$1299:$AR$1299,'Dvd Calendar'!$K$1292)=0))&gt;0)=0,"",'Dvd Calendar'!$K$1292*1000000000+ISNUMBER('Dvd Calendar'!$K$1295)*100000000+('Dvd Calendar'!$K$1297=SPECIAL_LBL)*10000000+(N('Dvd Calendar'!$K$1291)&gt;0)*(N('Dvd Calendar'!$K$1291)&lt;=VAL_SERIAL)*1000000+17*1000+7))</f>
        <v/>
      </c>
      <c r="EL132" s="121">
        <f>IF(N('Dvd Calendar'!$L$1292)=0,"",IF(('Dvd Calendar'!$L$1292&gt;=GRID_FROM)*('Dvd Calendar'!$L$1292&lt;=GRID_TO)*((('Dvd Calendar'!$L$1292&lt;=VAL_DATE)+(COUNTIF('Dvd Calendar'!$E$1299:$AR$1299,'Dvd Calendar'!$L$1292)=0))&gt;0)=0,"",'Dvd Calendar'!$L$1292*1000000000+ISNUMBER('Dvd Calendar'!$L$1295)*100000000+('Dvd Calendar'!$L$1297=SPECIAL_LBL)*10000000+(N('Dvd Calendar'!$L$1291)&gt;0)*(N('Dvd Calendar'!$L$1291)&lt;=VAL_SERIAL)*1000000+17*1000+8))</f>
        <v/>
      </c>
      <c r="EM132" s="121">
        <f>IF(N('Dvd Calendar'!$M$1292)=0,"",IF(('Dvd Calendar'!$M$1292&gt;=GRID_FROM)*('Dvd Calendar'!$M$1292&lt;=GRID_TO)*((('Dvd Calendar'!$M$1292&lt;=VAL_DATE)+(COUNTIF('Dvd Calendar'!$E$1299:$AR$1299,'Dvd Calendar'!$M$1292)=0))&gt;0)=0,"",'Dvd Calendar'!$M$1292*1000000000+ISNUMBER('Dvd Calendar'!$M$1295)*100000000+('Dvd Calendar'!$M$1297=SPECIAL_LBL)*10000000+(N('Dvd Calendar'!$M$1291)&gt;0)*(N('Dvd Calendar'!$M$1291)&lt;=VAL_SERIAL)*1000000+17*1000+9))</f>
        <v/>
      </c>
      <c r="EN132" s="121">
        <f>IF(N('Dvd Calendar'!$N$1292)=0,"",IF(('Dvd Calendar'!$N$1292&gt;=GRID_FROM)*('Dvd Calendar'!$N$1292&lt;=GRID_TO)*((('Dvd Calendar'!$N$1292&lt;=VAL_DATE)+(COUNTIF('Dvd Calendar'!$E$1299:$AR$1299,'Dvd Calendar'!$N$1292)=0))&gt;0)=0,"",'Dvd Calendar'!$N$1292*1000000000+ISNUMBER('Dvd Calendar'!$N$1295)*100000000+('Dvd Calendar'!$N$1297=SPECIAL_LBL)*10000000+(N('Dvd Calendar'!$N$1291)&gt;0)*(N('Dvd Calendar'!$N$1291)&lt;=VAL_SERIAL)*1000000+17*1000+10))</f>
        <v/>
      </c>
      <c r="EO132" s="121">
        <f>IF(N('Dvd Calendar'!$O$1292)=0,"",IF(('Dvd Calendar'!$O$1292&gt;=GRID_FROM)*('Dvd Calendar'!$O$1292&lt;=GRID_TO)*((('Dvd Calendar'!$O$1292&lt;=VAL_DATE)+(COUNTIF('Dvd Calendar'!$E$1299:$AR$1299,'Dvd Calendar'!$O$1292)=0))&gt;0)=0,"",'Dvd Calendar'!$O$1292*1000000000+ISNUMBER('Dvd Calendar'!$O$1295)*100000000+('Dvd Calendar'!$O$1297=SPECIAL_LBL)*10000000+(N('Dvd Calendar'!$O$1291)&gt;0)*(N('Dvd Calendar'!$O$1291)&lt;=VAL_SERIAL)*1000000+17*1000+11))</f>
        <v/>
      </c>
      <c r="EP132" s="121">
        <f>IF(N('Dvd Calendar'!$P$1292)=0,"",IF(('Dvd Calendar'!$P$1292&gt;=GRID_FROM)*('Dvd Calendar'!$P$1292&lt;=GRID_TO)*((('Dvd Calendar'!$P$1292&lt;=VAL_DATE)+(COUNTIF('Dvd Calendar'!$E$1299:$AR$1299,'Dvd Calendar'!$P$1292)=0))&gt;0)=0,"",'Dvd Calendar'!$P$1292*1000000000+ISNUMBER('Dvd Calendar'!$P$1295)*100000000+('Dvd Calendar'!$P$1297=SPECIAL_LBL)*10000000+(N('Dvd Calendar'!$P$1291)&gt;0)*(N('Dvd Calendar'!$P$1291)&lt;=VAL_SERIAL)*1000000+17*1000+12))</f>
        <v/>
      </c>
      <c r="EQ132" s="121">
        <f>IF(N('Dvd Calendar'!$Q$1292)=0,"",IF(('Dvd Calendar'!$Q$1292&gt;=GRID_FROM)*('Dvd Calendar'!$Q$1292&lt;=GRID_TO)*((('Dvd Calendar'!$Q$1292&lt;=VAL_DATE)+(COUNTIF('Dvd Calendar'!$E$1299:$AR$1299,'Dvd Calendar'!$Q$1292)=0))&gt;0)=0,"",'Dvd Calendar'!$Q$1292*1000000000+ISNUMBER('Dvd Calendar'!$Q$1295)*100000000+('Dvd Calendar'!$Q$1297=SPECIAL_LBL)*10000000+(N('Dvd Calendar'!$Q$1291)&gt;0)*(N('Dvd Calendar'!$Q$1291)&lt;=VAL_SERIAL)*1000000+17*1000+13))</f>
        <v/>
      </c>
      <c r="ER132" s="121">
        <f>IF(N('Dvd Calendar'!$R$1292)=0,"",IF(('Dvd Calendar'!$R$1292&gt;=GRID_FROM)*('Dvd Calendar'!$R$1292&lt;=GRID_TO)*((('Dvd Calendar'!$R$1292&lt;=VAL_DATE)+(COUNTIF('Dvd Calendar'!$E$1299:$AR$1299,'Dvd Calendar'!$R$1292)=0))&gt;0)=0,"",'Dvd Calendar'!$R$1292*1000000000+ISNUMBER('Dvd Calendar'!$R$1295)*100000000+('Dvd Calendar'!$R$1297=SPECIAL_LBL)*10000000+(N('Dvd Calendar'!$R$1291)&gt;0)*(N('Dvd Calendar'!$R$1291)&lt;=VAL_SERIAL)*1000000+17*1000+14))</f>
        <v/>
      </c>
      <c r="ES132" s="121">
        <f>IF(N('Dvd Calendar'!$S$1292)=0,"",IF(('Dvd Calendar'!$S$1292&gt;=GRID_FROM)*('Dvd Calendar'!$S$1292&lt;=GRID_TO)*((('Dvd Calendar'!$S$1292&lt;=VAL_DATE)+(COUNTIF('Dvd Calendar'!$E$1299:$AR$1299,'Dvd Calendar'!$S$1292)=0))&gt;0)=0,"",'Dvd Calendar'!$S$1292*1000000000+ISNUMBER('Dvd Calendar'!$S$1295)*100000000+('Dvd Calendar'!$S$1297=SPECIAL_LBL)*10000000+(N('Dvd Calendar'!$S$1291)&gt;0)*(N('Dvd Calendar'!$S$1291)&lt;=VAL_SERIAL)*1000000+17*1000+15))</f>
        <v/>
      </c>
      <c r="ET132" s="121">
        <f>IF(N('Dvd Calendar'!$T$1292)=0,"",IF(('Dvd Calendar'!$T$1292&gt;=GRID_FROM)*('Dvd Calendar'!$T$1292&lt;=GRID_TO)*((('Dvd Calendar'!$T$1292&lt;=VAL_DATE)+(COUNTIF('Dvd Calendar'!$E$1299:$AR$1299,'Dvd Calendar'!$T$1292)=0))&gt;0)=0,"",'Dvd Calendar'!$T$1292*1000000000+ISNUMBER('Dvd Calendar'!$T$1295)*100000000+('Dvd Calendar'!$T$1297=SPECIAL_LBL)*10000000+(N('Dvd Calendar'!$T$1291)&gt;0)*(N('Dvd Calendar'!$T$1291)&lt;=VAL_SERIAL)*1000000+17*1000+16))</f>
        <v/>
      </c>
      <c r="EU132" s="121">
        <f>IF(N('Dvd Calendar'!$U$1292)=0,"",IF(('Dvd Calendar'!$U$1292&gt;=GRID_FROM)*('Dvd Calendar'!$U$1292&lt;=GRID_TO)*((('Dvd Calendar'!$U$1292&lt;=VAL_DATE)+(COUNTIF('Dvd Calendar'!$E$1299:$AR$1299,'Dvd Calendar'!$U$1292)=0))&gt;0)=0,"",'Dvd Calendar'!$U$1292*1000000000+ISNUMBER('Dvd Calendar'!$U$1295)*100000000+('Dvd Calendar'!$U$1297=SPECIAL_LBL)*10000000+(N('Dvd Calendar'!$U$1291)&gt;0)*(N('Dvd Calendar'!$U$1291)&lt;=VAL_SERIAL)*1000000+17*1000+17))</f>
        <v/>
      </c>
      <c r="EV132" s="121">
        <f>IF(N('Dvd Calendar'!$V$1292)=0,"",IF(('Dvd Calendar'!$V$1292&gt;=GRID_FROM)*('Dvd Calendar'!$V$1292&lt;=GRID_TO)*((('Dvd Calendar'!$V$1292&lt;=VAL_DATE)+(COUNTIF('Dvd Calendar'!$E$1299:$AR$1299,'Dvd Calendar'!$V$1292)=0))&gt;0)=0,"",'Dvd Calendar'!$V$1292*1000000000+ISNUMBER('Dvd Calendar'!$V$1295)*100000000+('Dvd Calendar'!$V$1297=SPECIAL_LBL)*10000000+(N('Dvd Calendar'!$V$1291)&gt;0)*(N('Dvd Calendar'!$V$1291)&lt;=VAL_SERIAL)*1000000+17*1000+18))</f>
        <v/>
      </c>
      <c r="EW132" s="121">
        <f>IF(N('Dvd Calendar'!$W$1292)=0,"",IF(('Dvd Calendar'!$W$1292&gt;=GRID_FROM)*('Dvd Calendar'!$W$1292&lt;=GRID_TO)*((('Dvd Calendar'!$W$1292&lt;=VAL_DATE)+(COUNTIF('Dvd Calendar'!$E$1299:$AR$1299,'Dvd Calendar'!$W$1292)=0))&gt;0)=0,"",'Dvd Calendar'!$W$1292*1000000000+ISNUMBER('Dvd Calendar'!$W$1295)*100000000+('Dvd Calendar'!$W$1297=SPECIAL_LBL)*10000000+(N('Dvd Calendar'!$W$1291)&gt;0)*(N('Dvd Calendar'!$W$1291)&lt;=VAL_SERIAL)*1000000+17*1000+19))</f>
        <v/>
      </c>
      <c r="EX132" s="121">
        <f>IF(N('Dvd Calendar'!$X$1292)=0,"",IF(('Dvd Calendar'!$X$1292&gt;=GRID_FROM)*('Dvd Calendar'!$X$1292&lt;=GRID_TO)*((('Dvd Calendar'!$X$1292&lt;=VAL_DATE)+(COUNTIF('Dvd Calendar'!$E$1299:$AR$1299,'Dvd Calendar'!$X$1292)=0))&gt;0)=0,"",'Dvd Calendar'!$X$1292*1000000000+ISNUMBER('Dvd Calendar'!$X$1295)*100000000+('Dvd Calendar'!$X$1297=SPECIAL_LBL)*10000000+(N('Dvd Calendar'!$X$1291)&gt;0)*(N('Dvd Calendar'!$X$1291)&lt;=VAL_SERIAL)*1000000+17*1000+20))</f>
        <v/>
      </c>
      <c r="EY132" s="121">
        <f>IF(N('Dvd Calendar'!$Y$1292)=0,"",IF(('Dvd Calendar'!$Y$1292&gt;=GRID_FROM)*('Dvd Calendar'!$Y$1292&lt;=GRID_TO)*((('Dvd Calendar'!$Y$1292&lt;=VAL_DATE)+(COUNTIF('Dvd Calendar'!$E$1299:$AR$1299,'Dvd Calendar'!$Y$1292)=0))&gt;0)=0,"",'Dvd Calendar'!$Y$1292*1000000000+ISNUMBER('Dvd Calendar'!$Y$1295)*100000000+('Dvd Calendar'!$Y$1297=SPECIAL_LBL)*10000000+(N('Dvd Calendar'!$Y$1291)&gt;0)*(N('Dvd Calendar'!$Y$1291)&lt;=VAL_SERIAL)*1000000+17*1000+21))</f>
        <v/>
      </c>
      <c r="EZ132" s="121">
        <f>IF(N('Dvd Calendar'!$Z$1292)=0,"",IF(('Dvd Calendar'!$Z$1292&gt;=GRID_FROM)*('Dvd Calendar'!$Z$1292&lt;=GRID_TO)*((('Dvd Calendar'!$Z$1292&lt;=VAL_DATE)+(COUNTIF('Dvd Calendar'!$E$1299:$AR$1299,'Dvd Calendar'!$Z$1292)=0))&gt;0)=0,"",'Dvd Calendar'!$Z$1292*1000000000+ISNUMBER('Dvd Calendar'!$Z$1295)*100000000+('Dvd Calendar'!$Z$1297=SPECIAL_LBL)*10000000+(N('Dvd Calendar'!$Z$1291)&gt;0)*(N('Dvd Calendar'!$Z$1291)&lt;=VAL_SERIAL)*1000000+17*1000+22))</f>
        <v/>
      </c>
      <c r="FA132" s="121">
        <f>IF(N('Dvd Calendar'!$AA$1292)=0,"",IF(('Dvd Calendar'!$AA$1292&gt;=GRID_FROM)*('Dvd Calendar'!$AA$1292&lt;=GRID_TO)*((('Dvd Calendar'!$AA$1292&lt;=VAL_DATE)+(COUNTIF('Dvd Calendar'!$E$1299:$AR$1299,'Dvd Calendar'!$AA$1292)=0))&gt;0)=0,"",'Dvd Calendar'!$AA$1292*1000000000+ISNUMBER('Dvd Calendar'!$AA$1295)*100000000+('Dvd Calendar'!$AA$1297=SPECIAL_LBL)*10000000+(N('Dvd Calendar'!$AA$1291)&gt;0)*(N('Dvd Calendar'!$AA$1291)&lt;=VAL_SERIAL)*1000000+17*1000+23))</f>
        <v/>
      </c>
      <c r="FB132" s="121">
        <f>IF(N('Dvd Calendar'!$AB$1292)=0,"",IF(('Dvd Calendar'!$AB$1292&gt;=GRID_FROM)*('Dvd Calendar'!$AB$1292&lt;=GRID_TO)*((('Dvd Calendar'!$AB$1292&lt;=VAL_DATE)+(COUNTIF('Dvd Calendar'!$E$1299:$AR$1299,'Dvd Calendar'!$AB$1292)=0))&gt;0)=0,"",'Dvd Calendar'!$AB$1292*1000000000+ISNUMBER('Dvd Calendar'!$AB$1295)*100000000+('Dvd Calendar'!$AB$1297=SPECIAL_LBL)*10000000+(N('Dvd Calendar'!$AB$1291)&gt;0)*(N('Dvd Calendar'!$AB$1291)&lt;=VAL_SERIAL)*1000000+17*1000+24))</f>
        <v/>
      </c>
      <c r="FC132" s="121">
        <f>IF(N('Dvd Calendar'!$AC$1292)=0,"",IF(('Dvd Calendar'!$AC$1292&gt;=GRID_FROM)*('Dvd Calendar'!$AC$1292&lt;=GRID_TO)*((('Dvd Calendar'!$AC$1292&lt;=VAL_DATE)+(COUNTIF('Dvd Calendar'!$E$1299:$AR$1299,'Dvd Calendar'!$AC$1292)=0))&gt;0)=0,"",'Dvd Calendar'!$AC$1292*1000000000+ISNUMBER('Dvd Calendar'!$AC$1295)*100000000+('Dvd Calendar'!$AC$1297=SPECIAL_LBL)*10000000+(N('Dvd Calendar'!$AC$1291)&gt;0)*(N('Dvd Calendar'!$AC$1291)&lt;=VAL_SERIAL)*1000000+17*1000+25))</f>
        <v/>
      </c>
      <c r="FD132" s="121">
        <f>IF(N('Dvd Calendar'!$AD$1292)=0,"",IF(('Dvd Calendar'!$AD$1292&gt;=GRID_FROM)*('Dvd Calendar'!$AD$1292&lt;=GRID_TO)*((('Dvd Calendar'!$AD$1292&lt;=VAL_DATE)+(COUNTIF('Dvd Calendar'!$E$1299:$AR$1299,'Dvd Calendar'!$AD$1292)=0))&gt;0)=0,"",'Dvd Calendar'!$AD$1292*1000000000+ISNUMBER('Dvd Calendar'!$AD$1295)*100000000+('Dvd Calendar'!$AD$1297=SPECIAL_LBL)*10000000+(N('Dvd Calendar'!$AD$1291)&gt;0)*(N('Dvd Calendar'!$AD$1291)&lt;=VAL_SERIAL)*1000000+17*1000+26))</f>
        <v/>
      </c>
      <c r="FE132" s="121">
        <f>IF(N('Dvd Calendar'!$AE$1292)=0,"",IF(('Dvd Calendar'!$AE$1292&gt;=GRID_FROM)*('Dvd Calendar'!$AE$1292&lt;=GRID_TO)*((('Dvd Calendar'!$AE$1292&lt;=VAL_DATE)+(COUNTIF('Dvd Calendar'!$E$1299:$AR$1299,'Dvd Calendar'!$AE$1292)=0))&gt;0)=0,"",'Dvd Calendar'!$AE$1292*1000000000+ISNUMBER('Dvd Calendar'!$AE$1295)*100000000+('Dvd Calendar'!$AE$1297=SPECIAL_LBL)*10000000+(N('Dvd Calendar'!$AE$1291)&gt;0)*(N('Dvd Calendar'!$AE$1291)&lt;=VAL_SERIAL)*1000000+17*1000+27))</f>
        <v/>
      </c>
      <c r="FF132" s="121">
        <f>IF(N('Dvd Calendar'!$AF$1292)=0,"",IF(('Dvd Calendar'!$AF$1292&gt;=GRID_FROM)*('Dvd Calendar'!$AF$1292&lt;=GRID_TO)*((('Dvd Calendar'!$AF$1292&lt;=VAL_DATE)+(COUNTIF('Dvd Calendar'!$E$1299:$AR$1299,'Dvd Calendar'!$AF$1292)=0))&gt;0)=0,"",'Dvd Calendar'!$AF$1292*1000000000+ISNUMBER('Dvd Calendar'!$AF$1295)*100000000+('Dvd Calendar'!$AF$1297=SPECIAL_LBL)*10000000+(N('Dvd Calendar'!$AF$1291)&gt;0)*(N('Dvd Calendar'!$AF$1291)&lt;=VAL_SERIAL)*1000000+17*1000+28))</f>
        <v/>
      </c>
      <c r="FG132" s="121">
        <f>IF(N('Dvd Calendar'!$AG$1292)=0,"",IF(('Dvd Calendar'!$AG$1292&gt;=GRID_FROM)*('Dvd Calendar'!$AG$1292&lt;=GRID_TO)*((('Dvd Calendar'!$AG$1292&lt;=VAL_DATE)+(COUNTIF('Dvd Calendar'!$E$1299:$AR$1299,'Dvd Calendar'!$AG$1292)=0))&gt;0)=0,"",'Dvd Calendar'!$AG$1292*1000000000+ISNUMBER('Dvd Calendar'!$AG$1295)*100000000+('Dvd Calendar'!$AG$1297=SPECIAL_LBL)*10000000+(N('Dvd Calendar'!$AG$1291)&gt;0)*(N('Dvd Calendar'!$AG$1291)&lt;=VAL_SERIAL)*1000000+17*1000+29))</f>
        <v/>
      </c>
      <c r="FH132" s="121">
        <f>IF(N('Dvd Calendar'!$AH$1292)=0,"",IF(('Dvd Calendar'!$AH$1292&gt;=GRID_FROM)*('Dvd Calendar'!$AH$1292&lt;=GRID_TO)*((('Dvd Calendar'!$AH$1292&lt;=VAL_DATE)+(COUNTIF('Dvd Calendar'!$E$1299:$AR$1299,'Dvd Calendar'!$AH$1292)=0))&gt;0)=0,"",'Dvd Calendar'!$AH$1292*1000000000+ISNUMBER('Dvd Calendar'!$AH$1295)*100000000+('Dvd Calendar'!$AH$1297=SPECIAL_LBL)*10000000+(N('Dvd Calendar'!$AH$1291)&gt;0)*(N('Dvd Calendar'!$AH$1291)&lt;=VAL_SERIAL)*1000000+17*1000+30))</f>
        <v/>
      </c>
      <c r="FI132" s="121">
        <f>IF(N('Dvd Calendar'!$AI$1292)=0,"",IF(('Dvd Calendar'!$AI$1292&gt;=GRID_FROM)*('Dvd Calendar'!$AI$1292&lt;=GRID_TO)*((('Dvd Calendar'!$AI$1292&lt;=VAL_DATE)+(COUNTIF('Dvd Calendar'!$E$1299:$AR$1299,'Dvd Calendar'!$AI$1292)=0))&gt;0)=0,"",'Dvd Calendar'!$AI$1292*1000000000+ISNUMBER('Dvd Calendar'!$AI$1295)*100000000+('Dvd Calendar'!$AI$1297=SPECIAL_LBL)*10000000+(N('Dvd Calendar'!$AI$1291)&gt;0)*(N('Dvd Calendar'!$AI$1291)&lt;=VAL_SERIAL)*1000000+17*1000+31))</f>
        <v/>
      </c>
      <c r="FJ132" s="121">
        <f>IF(N('Dvd Calendar'!$AJ$1292)=0,"",IF(('Dvd Calendar'!$AJ$1292&gt;=GRID_FROM)*('Dvd Calendar'!$AJ$1292&lt;=GRID_TO)*((('Dvd Calendar'!$AJ$1292&lt;=VAL_DATE)+(COUNTIF('Dvd Calendar'!$E$1299:$AR$1299,'Dvd Calendar'!$AJ$1292)=0))&gt;0)=0,"",'Dvd Calendar'!$AJ$1292*1000000000+ISNUMBER('Dvd Calendar'!$AJ$1295)*100000000+('Dvd Calendar'!$AJ$1297=SPECIAL_LBL)*10000000+(N('Dvd Calendar'!$AJ$1291)&gt;0)*(N('Dvd Calendar'!$AJ$1291)&lt;=VAL_SERIAL)*1000000+17*1000+32))</f>
        <v/>
      </c>
      <c r="FK132" s="121">
        <f>IF(N('Dvd Calendar'!$AK$1292)=0,"",IF(('Dvd Calendar'!$AK$1292&gt;=GRID_FROM)*('Dvd Calendar'!$AK$1292&lt;=GRID_TO)*((('Dvd Calendar'!$AK$1292&lt;=VAL_DATE)+(COUNTIF('Dvd Calendar'!$E$1299:$AR$1299,'Dvd Calendar'!$AK$1292)=0))&gt;0)=0,"",'Dvd Calendar'!$AK$1292*1000000000+ISNUMBER('Dvd Calendar'!$AK$1295)*100000000+('Dvd Calendar'!$AK$1297=SPECIAL_LBL)*10000000+(N('Dvd Calendar'!$AK$1291)&gt;0)*(N('Dvd Calendar'!$AK$1291)&lt;=VAL_SERIAL)*1000000+17*1000+33))</f>
        <v/>
      </c>
      <c r="FL132" s="121">
        <f>IF(N('Dvd Calendar'!$AL$1292)=0,"",IF(('Dvd Calendar'!$AL$1292&gt;=GRID_FROM)*('Dvd Calendar'!$AL$1292&lt;=GRID_TO)*((('Dvd Calendar'!$AL$1292&lt;=VAL_DATE)+(COUNTIF('Dvd Calendar'!$E$1299:$AR$1299,'Dvd Calendar'!$AL$1292)=0))&gt;0)=0,"",'Dvd Calendar'!$AL$1292*1000000000+ISNUMBER('Dvd Calendar'!$AL$1295)*100000000+('Dvd Calendar'!$AL$1297=SPECIAL_LBL)*10000000+(N('Dvd Calendar'!$AL$1291)&gt;0)*(N('Dvd Calendar'!$AL$1291)&lt;=VAL_SERIAL)*1000000+17*1000+34))</f>
        <v/>
      </c>
      <c r="FM132" s="121">
        <f>IF(N('Dvd Calendar'!$AM$1292)=0,"",IF(('Dvd Calendar'!$AM$1292&gt;=GRID_FROM)*('Dvd Calendar'!$AM$1292&lt;=GRID_TO)*((('Dvd Calendar'!$AM$1292&lt;=VAL_DATE)+(COUNTIF('Dvd Calendar'!$E$1299:$AR$1299,'Dvd Calendar'!$AM$1292)=0))&gt;0)=0,"",'Dvd Calendar'!$AM$1292*1000000000+ISNUMBER('Dvd Calendar'!$AM$1295)*100000000+('Dvd Calendar'!$AM$1297=SPECIAL_LBL)*10000000+(N('Dvd Calendar'!$AM$1291)&gt;0)*(N('Dvd Calendar'!$AM$1291)&lt;=VAL_SERIAL)*1000000+17*1000+35))</f>
        <v/>
      </c>
      <c r="FN132" s="121">
        <f>IF(N('Dvd Calendar'!$AN$1292)=0,"",IF(('Dvd Calendar'!$AN$1292&gt;=GRID_FROM)*('Dvd Calendar'!$AN$1292&lt;=GRID_TO)*((('Dvd Calendar'!$AN$1292&lt;=VAL_DATE)+(COUNTIF('Dvd Calendar'!$E$1299:$AR$1299,'Dvd Calendar'!$AN$1292)=0))&gt;0)=0,"",'Dvd Calendar'!$AN$1292*1000000000+ISNUMBER('Dvd Calendar'!$AN$1295)*100000000+('Dvd Calendar'!$AN$1297=SPECIAL_LBL)*10000000+(N('Dvd Calendar'!$AN$1291)&gt;0)*(N('Dvd Calendar'!$AN$1291)&lt;=VAL_SERIAL)*1000000+17*1000+36))</f>
        <v/>
      </c>
      <c r="FO132" s="121">
        <f>IF(N('Dvd Calendar'!$AO$1292)=0,"",IF(('Dvd Calendar'!$AO$1292&gt;=GRID_FROM)*('Dvd Calendar'!$AO$1292&lt;=GRID_TO)*((('Dvd Calendar'!$AO$1292&lt;=VAL_DATE)+(COUNTIF('Dvd Calendar'!$E$1299:$AR$1299,'Dvd Calendar'!$AO$1292)=0))&gt;0)=0,"",'Dvd Calendar'!$AO$1292*1000000000+ISNUMBER('Dvd Calendar'!$AO$1295)*100000000+('Dvd Calendar'!$AO$1297=SPECIAL_LBL)*10000000+(N('Dvd Calendar'!$AO$1291)&gt;0)*(N('Dvd Calendar'!$AO$1291)&lt;=VAL_SERIAL)*1000000+17*1000+37))</f>
        <v/>
      </c>
      <c r="FP132" s="121">
        <f>IF(N('Dvd Calendar'!$AP$1292)=0,"",IF(('Dvd Calendar'!$AP$1292&gt;=GRID_FROM)*('Dvd Calendar'!$AP$1292&lt;=GRID_TO)*((('Dvd Calendar'!$AP$1292&lt;=VAL_DATE)+(COUNTIF('Dvd Calendar'!$E$1299:$AR$1299,'Dvd Calendar'!$AP$1292)=0))&gt;0)=0,"",'Dvd Calendar'!$AP$1292*1000000000+ISNUMBER('Dvd Calendar'!$AP$1295)*100000000+('Dvd Calendar'!$AP$1297=SPECIAL_LBL)*10000000+(N('Dvd Calendar'!$AP$1291)&gt;0)*(N('Dvd Calendar'!$AP$1291)&lt;=VAL_SERIAL)*1000000+17*1000+38))</f>
        <v/>
      </c>
      <c r="FQ132" s="121">
        <f>IF(N('Dvd Calendar'!$AQ$1292)=0,"",IF(('Dvd Calendar'!$AQ$1292&gt;=GRID_FROM)*('Dvd Calendar'!$AQ$1292&lt;=GRID_TO)*((('Dvd Calendar'!$AQ$1292&lt;=VAL_DATE)+(COUNTIF('Dvd Calendar'!$E$1299:$AR$1299,'Dvd Calendar'!$AQ$1292)=0))&gt;0)=0,"",'Dvd Calendar'!$AQ$1292*1000000000+ISNUMBER('Dvd Calendar'!$AQ$1295)*100000000+('Dvd Calendar'!$AQ$1297=SPECIAL_LBL)*10000000+(N('Dvd Calendar'!$AQ$1291)&gt;0)*(N('Dvd Calendar'!$AQ$1291)&lt;=VAL_SERIAL)*1000000+17*1000+39))</f>
        <v/>
      </c>
      <c r="FR132" s="121">
        <f>IF(N('Dvd Calendar'!$AR$1292)=0,"",IF(('Dvd Calendar'!$AR$1292&gt;=GRID_FROM)*('Dvd Calendar'!$AR$1292&lt;=GRID_TO)*((('Dvd Calendar'!$AR$1292&lt;=VAL_DATE)+(COUNTIF('Dvd Calendar'!$E$1299:$AR$1299,'Dvd Calendar'!$AR$1292)=0))&gt;0)=0,"",'Dvd Calendar'!$AR$1292*1000000000+ISNUMBER('Dvd Calendar'!$AR$1295)*100000000+('Dvd Calendar'!$AR$1297=SPECIAL_LBL)*10000000+(N('Dvd Calendar'!$AR$1291)&gt;0)*(N('Dvd Calendar'!$AR$1291)&lt;=VAL_SERIAL)*1000000+17*1000+40))</f>
        <v/>
      </c>
      <c r="FS132" s="121">
        <f>IF(N('Dvd Calendar'!$E$1299)=0,"",IF(('Dvd Calendar'!$E$1299&gt;=GRID_FROM)*('Dvd Calendar'!$E$1299&lt;=GRID_TO)*('Dvd Calendar'!$E$1299&gt;VAL_DATE)=0,"",'Dvd Calendar'!$E$1299*1000000000+ISNUMBER('Dvd Calendar'!$E$1300)*100000000+0*10000000+(N('Dvd Calendar'!$E$1298)&gt;0)*(N('Dvd Calendar'!$E$1298)&lt;=VAL_SERIAL)*1000000+17*1000+41))</f>
        <v/>
      </c>
      <c r="FT132" s="121">
        <f>IF(N('Dvd Calendar'!$F$1299)=0,"",IF(('Dvd Calendar'!$F$1299&gt;=GRID_FROM)*('Dvd Calendar'!$F$1299&lt;=GRID_TO)*('Dvd Calendar'!$F$1299&gt;VAL_DATE)=0,"",'Dvd Calendar'!$F$1299*1000000000+ISNUMBER('Dvd Calendar'!$F$1300)*100000000+0*10000000+(N('Dvd Calendar'!$F$1298)&gt;0)*(N('Dvd Calendar'!$F$1298)&lt;=VAL_SERIAL)*1000000+17*1000+42))</f>
        <v/>
      </c>
      <c r="FU132" s="121">
        <f>IF(N('Dvd Calendar'!$G$1299)=0,"",IF(('Dvd Calendar'!$G$1299&gt;=GRID_FROM)*('Dvd Calendar'!$G$1299&lt;=GRID_TO)*('Dvd Calendar'!$G$1299&gt;VAL_DATE)=0,"",'Dvd Calendar'!$G$1299*1000000000+ISNUMBER('Dvd Calendar'!$G$1300)*100000000+0*10000000+(N('Dvd Calendar'!$G$1298)&gt;0)*(N('Dvd Calendar'!$G$1298)&lt;=VAL_SERIAL)*1000000+17*1000+43))</f>
        <v/>
      </c>
      <c r="FV132" s="121">
        <f>IF(N('Dvd Calendar'!$H$1299)=0,"",IF(('Dvd Calendar'!$H$1299&gt;=GRID_FROM)*('Dvd Calendar'!$H$1299&lt;=GRID_TO)*('Dvd Calendar'!$H$1299&gt;VAL_DATE)=0,"",'Dvd Calendar'!$H$1299*1000000000+ISNUMBER('Dvd Calendar'!$H$1300)*100000000+0*10000000+(N('Dvd Calendar'!$H$1298)&gt;0)*(N('Dvd Calendar'!$H$1298)&lt;=VAL_SERIAL)*1000000+17*1000+44))</f>
        <v/>
      </c>
      <c r="FW132" s="121">
        <f>IF(N('Dvd Calendar'!$I$1299)=0,"",IF(('Dvd Calendar'!$I$1299&gt;=GRID_FROM)*('Dvd Calendar'!$I$1299&lt;=GRID_TO)*('Dvd Calendar'!$I$1299&gt;VAL_DATE)=0,"",'Dvd Calendar'!$I$1299*1000000000+ISNUMBER('Dvd Calendar'!$I$1300)*100000000+0*10000000+(N('Dvd Calendar'!$I$1298)&gt;0)*(N('Dvd Calendar'!$I$1298)&lt;=VAL_SERIAL)*1000000+17*1000+45))</f>
        <v/>
      </c>
      <c r="FX132" s="121">
        <f>IF(N('Dvd Calendar'!$J$1299)=0,"",IF(('Dvd Calendar'!$J$1299&gt;=GRID_FROM)*('Dvd Calendar'!$J$1299&lt;=GRID_TO)*('Dvd Calendar'!$J$1299&gt;VAL_DATE)=0,"",'Dvd Calendar'!$J$1299*1000000000+ISNUMBER('Dvd Calendar'!$J$1300)*100000000+0*10000000+(N('Dvd Calendar'!$J$1298)&gt;0)*(N('Dvd Calendar'!$J$1298)&lt;=VAL_SERIAL)*1000000+17*1000+46))</f>
        <v/>
      </c>
      <c r="FY132" s="121">
        <f>IF(N('Dvd Calendar'!$K$1299)=0,"",IF(('Dvd Calendar'!$K$1299&gt;=GRID_FROM)*('Dvd Calendar'!$K$1299&lt;=GRID_TO)*('Dvd Calendar'!$K$1299&gt;VAL_DATE)=0,"",'Dvd Calendar'!$K$1299*1000000000+ISNUMBER('Dvd Calendar'!$K$1300)*100000000+0*10000000+(N('Dvd Calendar'!$K$1298)&gt;0)*(N('Dvd Calendar'!$K$1298)&lt;=VAL_SERIAL)*1000000+17*1000+47))</f>
        <v/>
      </c>
      <c r="FZ132" s="121">
        <f>IF(N('Dvd Calendar'!$L$1299)=0,"",IF(('Dvd Calendar'!$L$1299&gt;=GRID_FROM)*('Dvd Calendar'!$L$1299&lt;=GRID_TO)*('Dvd Calendar'!$L$1299&gt;VAL_DATE)=0,"",'Dvd Calendar'!$L$1299*1000000000+ISNUMBER('Dvd Calendar'!$L$1300)*100000000+0*10000000+(N('Dvd Calendar'!$L$1298)&gt;0)*(N('Dvd Calendar'!$L$1298)&lt;=VAL_SERIAL)*1000000+17*1000+48))</f>
        <v/>
      </c>
      <c r="GA132" s="121">
        <f>IF(N('Dvd Calendar'!$M$1299)=0,"",IF(('Dvd Calendar'!$M$1299&gt;=GRID_FROM)*('Dvd Calendar'!$M$1299&lt;=GRID_TO)*('Dvd Calendar'!$M$1299&gt;VAL_DATE)=0,"",'Dvd Calendar'!$M$1299*1000000000+ISNUMBER('Dvd Calendar'!$M$1300)*100000000+0*10000000+(N('Dvd Calendar'!$M$1298)&gt;0)*(N('Dvd Calendar'!$M$1298)&lt;=VAL_SERIAL)*1000000+17*1000+49))</f>
        <v/>
      </c>
      <c r="GB132" s="121">
        <f>IF(N('Dvd Calendar'!$N$1299)=0,"",IF(('Dvd Calendar'!$N$1299&gt;=GRID_FROM)*('Dvd Calendar'!$N$1299&lt;=GRID_TO)*('Dvd Calendar'!$N$1299&gt;VAL_DATE)=0,"",'Dvd Calendar'!$N$1299*1000000000+ISNUMBER('Dvd Calendar'!$N$1300)*100000000+0*10000000+(N('Dvd Calendar'!$N$1298)&gt;0)*(N('Dvd Calendar'!$N$1298)&lt;=VAL_SERIAL)*1000000+17*1000+50))</f>
        <v/>
      </c>
      <c r="GC132" s="121">
        <f>IF(N('Dvd Calendar'!$O$1299)=0,"",IF(('Dvd Calendar'!$O$1299&gt;=GRID_FROM)*('Dvd Calendar'!$O$1299&lt;=GRID_TO)*('Dvd Calendar'!$O$1299&gt;VAL_DATE)=0,"",'Dvd Calendar'!$O$1299*1000000000+ISNUMBER('Dvd Calendar'!$O$1300)*100000000+0*10000000+(N('Dvd Calendar'!$O$1298)&gt;0)*(N('Dvd Calendar'!$O$1298)&lt;=VAL_SERIAL)*1000000+17*1000+51))</f>
        <v/>
      </c>
      <c r="GD132" s="121">
        <f>IF(N('Dvd Calendar'!$P$1299)=0,"",IF(('Dvd Calendar'!$P$1299&gt;=GRID_FROM)*('Dvd Calendar'!$P$1299&lt;=GRID_TO)*('Dvd Calendar'!$P$1299&gt;VAL_DATE)=0,"",'Dvd Calendar'!$P$1299*1000000000+ISNUMBER('Dvd Calendar'!$P$1300)*100000000+0*10000000+(N('Dvd Calendar'!$P$1298)&gt;0)*(N('Dvd Calendar'!$P$1298)&lt;=VAL_SERIAL)*1000000+17*1000+52))</f>
        <v/>
      </c>
      <c r="GE132" s="121">
        <f>IF(N('Dvd Calendar'!$Q$1299)=0,"",IF(('Dvd Calendar'!$Q$1299&gt;=GRID_FROM)*('Dvd Calendar'!$Q$1299&lt;=GRID_TO)*('Dvd Calendar'!$Q$1299&gt;VAL_DATE)=0,"",'Dvd Calendar'!$Q$1299*1000000000+ISNUMBER('Dvd Calendar'!$Q$1300)*100000000+0*10000000+(N('Dvd Calendar'!$Q$1298)&gt;0)*(N('Dvd Calendar'!$Q$1298)&lt;=VAL_SERIAL)*1000000+17*1000+53))</f>
        <v/>
      </c>
      <c r="GF132" s="121">
        <f>IF(N('Dvd Calendar'!$R$1299)=0,"",IF(('Dvd Calendar'!$R$1299&gt;=GRID_FROM)*('Dvd Calendar'!$R$1299&lt;=GRID_TO)*('Dvd Calendar'!$R$1299&gt;VAL_DATE)=0,"",'Dvd Calendar'!$R$1299*1000000000+ISNUMBER('Dvd Calendar'!$R$1300)*100000000+0*10000000+(N('Dvd Calendar'!$R$1298)&gt;0)*(N('Dvd Calendar'!$R$1298)&lt;=VAL_SERIAL)*1000000+17*1000+54))</f>
        <v/>
      </c>
      <c r="GG132" s="121">
        <f>IF(N('Dvd Calendar'!$S$1299)=0,"",IF(('Dvd Calendar'!$S$1299&gt;=GRID_FROM)*('Dvd Calendar'!$S$1299&lt;=GRID_TO)*('Dvd Calendar'!$S$1299&gt;VAL_DATE)=0,"",'Dvd Calendar'!$S$1299*1000000000+ISNUMBER('Dvd Calendar'!$S$1300)*100000000+0*10000000+(N('Dvd Calendar'!$S$1298)&gt;0)*(N('Dvd Calendar'!$S$1298)&lt;=VAL_SERIAL)*1000000+17*1000+55))</f>
        <v/>
      </c>
      <c r="GH132" s="121">
        <f>IF(N('Dvd Calendar'!$T$1299)=0,"",IF(('Dvd Calendar'!$T$1299&gt;=GRID_FROM)*('Dvd Calendar'!$T$1299&lt;=GRID_TO)*('Dvd Calendar'!$T$1299&gt;VAL_DATE)=0,"",'Dvd Calendar'!$T$1299*1000000000+ISNUMBER('Dvd Calendar'!$T$1300)*100000000+0*10000000+(N('Dvd Calendar'!$T$1298)&gt;0)*(N('Dvd Calendar'!$T$1298)&lt;=VAL_SERIAL)*1000000+17*1000+56))</f>
        <v/>
      </c>
      <c r="GI132" s="121">
        <f>IF(N('Dvd Calendar'!$U$1299)=0,"",IF(('Dvd Calendar'!$U$1299&gt;=GRID_FROM)*('Dvd Calendar'!$U$1299&lt;=GRID_TO)*('Dvd Calendar'!$U$1299&gt;VAL_DATE)=0,"",'Dvd Calendar'!$U$1299*1000000000+ISNUMBER('Dvd Calendar'!$U$1300)*100000000+0*10000000+(N('Dvd Calendar'!$U$1298)&gt;0)*(N('Dvd Calendar'!$U$1298)&lt;=VAL_SERIAL)*1000000+17*1000+57))</f>
        <v/>
      </c>
      <c r="GJ132" s="121">
        <f>IF(N('Dvd Calendar'!$V$1299)=0,"",IF(('Dvd Calendar'!$V$1299&gt;=GRID_FROM)*('Dvd Calendar'!$V$1299&lt;=GRID_TO)*('Dvd Calendar'!$V$1299&gt;VAL_DATE)=0,"",'Dvd Calendar'!$V$1299*1000000000+ISNUMBER('Dvd Calendar'!$V$1300)*100000000+0*10000000+(N('Dvd Calendar'!$V$1298)&gt;0)*(N('Dvd Calendar'!$V$1298)&lt;=VAL_SERIAL)*1000000+17*1000+58))</f>
        <v/>
      </c>
      <c r="GK132" s="121">
        <f>IF(N('Dvd Calendar'!$W$1299)=0,"",IF(('Dvd Calendar'!$W$1299&gt;=GRID_FROM)*('Dvd Calendar'!$W$1299&lt;=GRID_TO)*('Dvd Calendar'!$W$1299&gt;VAL_DATE)=0,"",'Dvd Calendar'!$W$1299*1000000000+ISNUMBER('Dvd Calendar'!$W$1300)*100000000+0*10000000+(N('Dvd Calendar'!$W$1298)&gt;0)*(N('Dvd Calendar'!$W$1298)&lt;=VAL_SERIAL)*1000000+17*1000+59))</f>
        <v/>
      </c>
      <c r="GL132" s="121">
        <f>IF(N('Dvd Calendar'!$X$1299)=0,"",IF(('Dvd Calendar'!$X$1299&gt;=GRID_FROM)*('Dvd Calendar'!$X$1299&lt;=GRID_TO)*('Dvd Calendar'!$X$1299&gt;VAL_DATE)=0,"",'Dvd Calendar'!$X$1299*1000000000+ISNUMBER('Dvd Calendar'!$X$1300)*100000000+0*10000000+(N('Dvd Calendar'!$X$1298)&gt;0)*(N('Dvd Calendar'!$X$1298)&lt;=VAL_SERIAL)*1000000+17*1000+60))</f>
        <v/>
      </c>
      <c r="GM132" s="121">
        <f>IF(N('Dvd Calendar'!$Y$1299)=0,"",IF(('Dvd Calendar'!$Y$1299&gt;=GRID_FROM)*('Dvd Calendar'!$Y$1299&lt;=GRID_TO)*('Dvd Calendar'!$Y$1299&gt;VAL_DATE)=0,"",'Dvd Calendar'!$Y$1299*1000000000+ISNUMBER('Dvd Calendar'!$Y$1300)*100000000+0*10000000+(N('Dvd Calendar'!$Y$1298)&gt;0)*(N('Dvd Calendar'!$Y$1298)&lt;=VAL_SERIAL)*1000000+17*1000+61))</f>
        <v/>
      </c>
      <c r="GN132" s="121">
        <f>IF(N('Dvd Calendar'!$Z$1299)=0,"",IF(('Dvd Calendar'!$Z$1299&gt;=GRID_FROM)*('Dvd Calendar'!$Z$1299&lt;=GRID_TO)*('Dvd Calendar'!$Z$1299&gt;VAL_DATE)=0,"",'Dvd Calendar'!$Z$1299*1000000000+ISNUMBER('Dvd Calendar'!$Z$1300)*100000000+0*10000000+(N('Dvd Calendar'!$Z$1298)&gt;0)*(N('Dvd Calendar'!$Z$1298)&lt;=VAL_SERIAL)*1000000+17*1000+62))</f>
        <v/>
      </c>
      <c r="GO132" s="121">
        <f>IF(N('Dvd Calendar'!$AA$1299)=0,"",IF(('Dvd Calendar'!$AA$1299&gt;=GRID_FROM)*('Dvd Calendar'!$AA$1299&lt;=GRID_TO)*('Dvd Calendar'!$AA$1299&gt;VAL_DATE)=0,"",'Dvd Calendar'!$AA$1299*1000000000+ISNUMBER('Dvd Calendar'!$AA$1300)*100000000+0*10000000+(N('Dvd Calendar'!$AA$1298)&gt;0)*(N('Dvd Calendar'!$AA$1298)&lt;=VAL_SERIAL)*1000000+17*1000+63))</f>
        <v/>
      </c>
      <c r="GP132" s="121">
        <f>IF(N('Dvd Calendar'!$AB$1299)=0,"",IF(('Dvd Calendar'!$AB$1299&gt;=GRID_FROM)*('Dvd Calendar'!$AB$1299&lt;=GRID_TO)*('Dvd Calendar'!$AB$1299&gt;VAL_DATE)=0,"",'Dvd Calendar'!$AB$1299*1000000000+ISNUMBER('Dvd Calendar'!$AB$1300)*100000000+0*10000000+(N('Dvd Calendar'!$AB$1298)&gt;0)*(N('Dvd Calendar'!$AB$1298)&lt;=VAL_SERIAL)*1000000+17*1000+64))</f>
        <v/>
      </c>
      <c r="GQ132" s="121">
        <f>IF(N('Dvd Calendar'!$AC$1299)=0,"",IF(('Dvd Calendar'!$AC$1299&gt;=GRID_FROM)*('Dvd Calendar'!$AC$1299&lt;=GRID_TO)*('Dvd Calendar'!$AC$1299&gt;VAL_DATE)=0,"",'Dvd Calendar'!$AC$1299*1000000000+ISNUMBER('Dvd Calendar'!$AC$1300)*100000000+0*10000000+(N('Dvd Calendar'!$AC$1298)&gt;0)*(N('Dvd Calendar'!$AC$1298)&lt;=VAL_SERIAL)*1000000+17*1000+65))</f>
        <v/>
      </c>
    </row>
    <row r="133">
      <c r="B133" s="2">
        <f>IF(HSTECH!$C$24="","",HSTECH!$C$24)</f>
        <v/>
      </c>
      <c r="C133" s="161">
        <f>IF(EE133="","",IF(ISNUMBER('Dvd Calendar'!$E$1306)=FALSE,"",IF((('Dvd Calendar'!$E$1308=TYPE1)*(TYPE1&lt;&gt;"")+('Dvd Calendar'!$E$1308=TYPE2)*(TYPE2&lt;&gt;"")+('Dvd Calendar'!$E$1308=TYPE3)*(TYPE3&lt;&gt;"")+('Dvd Calendar'!$E$1308=TYPE4)*(TYPE4&lt;&gt;"")+('Dvd Calendar'!$E$1308=SPECIAL_LBL)*(INC_SPECIALS="Y"))=0,"",'Dvd Calendar'!$E$1306)))</f>
        <v/>
      </c>
      <c r="D133" s="161">
        <f>IF(EF133="","",IF(ISNUMBER('Dvd Calendar'!$F$1306)=FALSE,"",IF((('Dvd Calendar'!$F$1308=TYPE1)*(TYPE1&lt;&gt;"")+('Dvd Calendar'!$F$1308=TYPE2)*(TYPE2&lt;&gt;"")+('Dvd Calendar'!$F$1308=TYPE3)*(TYPE3&lt;&gt;"")+('Dvd Calendar'!$F$1308=TYPE4)*(TYPE4&lt;&gt;"")+('Dvd Calendar'!$F$1308=SPECIAL_LBL)*(INC_SPECIALS="Y"))=0,"",'Dvd Calendar'!$F$1306)))</f>
        <v/>
      </c>
      <c r="E133" s="161">
        <f>IF(EG133="","",IF(ISNUMBER('Dvd Calendar'!$G$1306)=FALSE,"",IF((('Dvd Calendar'!$G$1308=TYPE1)*(TYPE1&lt;&gt;"")+('Dvd Calendar'!$G$1308=TYPE2)*(TYPE2&lt;&gt;"")+('Dvd Calendar'!$G$1308=TYPE3)*(TYPE3&lt;&gt;"")+('Dvd Calendar'!$G$1308=TYPE4)*(TYPE4&lt;&gt;"")+('Dvd Calendar'!$G$1308=SPECIAL_LBL)*(INC_SPECIALS="Y"))=0,"",'Dvd Calendar'!$G$1306)))</f>
        <v/>
      </c>
      <c r="F133" s="161">
        <f>IF(EH133="","",IF(ISNUMBER('Dvd Calendar'!$H$1306)=FALSE,"",IF((('Dvd Calendar'!$H$1308=TYPE1)*(TYPE1&lt;&gt;"")+('Dvd Calendar'!$H$1308=TYPE2)*(TYPE2&lt;&gt;"")+('Dvd Calendar'!$H$1308=TYPE3)*(TYPE3&lt;&gt;"")+('Dvd Calendar'!$H$1308=TYPE4)*(TYPE4&lt;&gt;"")+('Dvd Calendar'!$H$1308=SPECIAL_LBL)*(INC_SPECIALS="Y"))=0,"",'Dvd Calendar'!$H$1306)))</f>
        <v/>
      </c>
      <c r="G133" s="161">
        <f>IF(EI133="","",IF(ISNUMBER('Dvd Calendar'!$I$1306)=FALSE,"",IF((('Dvd Calendar'!$I$1308=TYPE1)*(TYPE1&lt;&gt;"")+('Dvd Calendar'!$I$1308=TYPE2)*(TYPE2&lt;&gt;"")+('Dvd Calendar'!$I$1308=TYPE3)*(TYPE3&lt;&gt;"")+('Dvd Calendar'!$I$1308=TYPE4)*(TYPE4&lt;&gt;"")+('Dvd Calendar'!$I$1308=SPECIAL_LBL)*(INC_SPECIALS="Y"))=0,"",'Dvd Calendar'!$I$1306)))</f>
        <v/>
      </c>
      <c r="H133" s="161">
        <f>IF(EJ133="","",IF(ISNUMBER('Dvd Calendar'!$J$1306)=FALSE,"",IF((('Dvd Calendar'!$J$1308=TYPE1)*(TYPE1&lt;&gt;"")+('Dvd Calendar'!$J$1308=TYPE2)*(TYPE2&lt;&gt;"")+('Dvd Calendar'!$J$1308=TYPE3)*(TYPE3&lt;&gt;"")+('Dvd Calendar'!$J$1308=TYPE4)*(TYPE4&lt;&gt;"")+('Dvd Calendar'!$J$1308=SPECIAL_LBL)*(INC_SPECIALS="Y"))=0,"",'Dvd Calendar'!$J$1306)))</f>
        <v/>
      </c>
      <c r="I133" s="161">
        <f>IF(EK133="","",IF(ISNUMBER('Dvd Calendar'!$K$1306)=FALSE,"",IF((('Dvd Calendar'!$K$1308=TYPE1)*(TYPE1&lt;&gt;"")+('Dvd Calendar'!$K$1308=TYPE2)*(TYPE2&lt;&gt;"")+('Dvd Calendar'!$K$1308=TYPE3)*(TYPE3&lt;&gt;"")+('Dvd Calendar'!$K$1308=TYPE4)*(TYPE4&lt;&gt;"")+('Dvd Calendar'!$K$1308=SPECIAL_LBL)*(INC_SPECIALS="Y"))=0,"",'Dvd Calendar'!$K$1306)))</f>
        <v/>
      </c>
      <c r="J133" s="161">
        <f>IF(EL133="","",IF(ISNUMBER('Dvd Calendar'!$L$1306)=FALSE,"",IF((('Dvd Calendar'!$L$1308=TYPE1)*(TYPE1&lt;&gt;"")+('Dvd Calendar'!$L$1308=TYPE2)*(TYPE2&lt;&gt;"")+('Dvd Calendar'!$L$1308=TYPE3)*(TYPE3&lt;&gt;"")+('Dvd Calendar'!$L$1308=TYPE4)*(TYPE4&lt;&gt;"")+('Dvd Calendar'!$L$1308=SPECIAL_LBL)*(INC_SPECIALS="Y"))=0,"",'Dvd Calendar'!$L$1306)))</f>
        <v/>
      </c>
      <c r="K133" s="161">
        <f>IF(EM133="","",IF(ISNUMBER('Dvd Calendar'!$M$1306)=FALSE,"",IF((('Dvd Calendar'!$M$1308=TYPE1)*(TYPE1&lt;&gt;"")+('Dvd Calendar'!$M$1308=TYPE2)*(TYPE2&lt;&gt;"")+('Dvd Calendar'!$M$1308=TYPE3)*(TYPE3&lt;&gt;"")+('Dvd Calendar'!$M$1308=TYPE4)*(TYPE4&lt;&gt;"")+('Dvd Calendar'!$M$1308=SPECIAL_LBL)*(INC_SPECIALS="Y"))=0,"",'Dvd Calendar'!$M$1306)))</f>
        <v/>
      </c>
      <c r="L133" s="161">
        <f>IF(EN133="","",IF(ISNUMBER('Dvd Calendar'!$N$1306)=FALSE,"",IF((('Dvd Calendar'!$N$1308=TYPE1)*(TYPE1&lt;&gt;"")+('Dvd Calendar'!$N$1308=TYPE2)*(TYPE2&lt;&gt;"")+('Dvd Calendar'!$N$1308=TYPE3)*(TYPE3&lt;&gt;"")+('Dvd Calendar'!$N$1308=TYPE4)*(TYPE4&lt;&gt;"")+('Dvd Calendar'!$N$1308=SPECIAL_LBL)*(INC_SPECIALS="Y"))=0,"",'Dvd Calendar'!$N$1306)))</f>
        <v/>
      </c>
      <c r="M133" s="161">
        <f>IF(EO133="","",IF(ISNUMBER('Dvd Calendar'!$O$1306)=FALSE,"",IF((('Dvd Calendar'!$O$1308=TYPE1)*(TYPE1&lt;&gt;"")+('Dvd Calendar'!$O$1308=TYPE2)*(TYPE2&lt;&gt;"")+('Dvd Calendar'!$O$1308=TYPE3)*(TYPE3&lt;&gt;"")+('Dvd Calendar'!$O$1308=TYPE4)*(TYPE4&lt;&gt;"")+('Dvd Calendar'!$O$1308=SPECIAL_LBL)*(INC_SPECIALS="Y"))=0,"",'Dvd Calendar'!$O$1306)))</f>
        <v/>
      </c>
      <c r="N133" s="161">
        <f>IF(EP133="","",IF(ISNUMBER('Dvd Calendar'!$P$1306)=FALSE,"",IF((('Dvd Calendar'!$P$1308=TYPE1)*(TYPE1&lt;&gt;"")+('Dvd Calendar'!$P$1308=TYPE2)*(TYPE2&lt;&gt;"")+('Dvd Calendar'!$P$1308=TYPE3)*(TYPE3&lt;&gt;"")+('Dvd Calendar'!$P$1308=TYPE4)*(TYPE4&lt;&gt;"")+('Dvd Calendar'!$P$1308=SPECIAL_LBL)*(INC_SPECIALS="Y"))=0,"",'Dvd Calendar'!$P$1306)))</f>
        <v/>
      </c>
      <c r="O133" s="161">
        <f>IF(EQ133="","",IF(ISNUMBER('Dvd Calendar'!$Q$1306)=FALSE,"",IF((('Dvd Calendar'!$Q$1308=TYPE1)*(TYPE1&lt;&gt;"")+('Dvd Calendar'!$Q$1308=TYPE2)*(TYPE2&lt;&gt;"")+('Dvd Calendar'!$Q$1308=TYPE3)*(TYPE3&lt;&gt;"")+('Dvd Calendar'!$Q$1308=TYPE4)*(TYPE4&lt;&gt;"")+('Dvd Calendar'!$Q$1308=SPECIAL_LBL)*(INC_SPECIALS="Y"))=0,"",'Dvd Calendar'!$Q$1306)))</f>
        <v/>
      </c>
      <c r="P133" s="161">
        <f>IF(ER133="","",IF(ISNUMBER('Dvd Calendar'!$R$1306)=FALSE,"",IF((('Dvd Calendar'!$R$1308=TYPE1)*(TYPE1&lt;&gt;"")+('Dvd Calendar'!$R$1308=TYPE2)*(TYPE2&lt;&gt;"")+('Dvd Calendar'!$R$1308=TYPE3)*(TYPE3&lt;&gt;"")+('Dvd Calendar'!$R$1308=TYPE4)*(TYPE4&lt;&gt;"")+('Dvd Calendar'!$R$1308=SPECIAL_LBL)*(INC_SPECIALS="Y"))=0,"",'Dvd Calendar'!$R$1306)))</f>
        <v/>
      </c>
      <c r="Q133" s="161">
        <f>IF(ES133="","",IF(ISNUMBER('Dvd Calendar'!$S$1306)=FALSE,"",IF((('Dvd Calendar'!$S$1308=TYPE1)*(TYPE1&lt;&gt;"")+('Dvd Calendar'!$S$1308=TYPE2)*(TYPE2&lt;&gt;"")+('Dvd Calendar'!$S$1308=TYPE3)*(TYPE3&lt;&gt;"")+('Dvd Calendar'!$S$1308=TYPE4)*(TYPE4&lt;&gt;"")+('Dvd Calendar'!$S$1308=SPECIAL_LBL)*(INC_SPECIALS="Y"))=0,"",'Dvd Calendar'!$S$1306)))</f>
        <v/>
      </c>
      <c r="R133" s="161">
        <f>IF(ET133="","",IF(ISNUMBER('Dvd Calendar'!$T$1306)=FALSE,"",IF((('Dvd Calendar'!$T$1308=TYPE1)*(TYPE1&lt;&gt;"")+('Dvd Calendar'!$T$1308=TYPE2)*(TYPE2&lt;&gt;"")+('Dvd Calendar'!$T$1308=TYPE3)*(TYPE3&lt;&gt;"")+('Dvd Calendar'!$T$1308=TYPE4)*(TYPE4&lt;&gt;"")+('Dvd Calendar'!$T$1308=SPECIAL_LBL)*(INC_SPECIALS="Y"))=0,"",'Dvd Calendar'!$T$1306)))</f>
        <v/>
      </c>
      <c r="S133" s="161">
        <f>IF(EU133="","",IF(ISNUMBER('Dvd Calendar'!$U$1306)=FALSE,"",IF((('Dvd Calendar'!$U$1308=TYPE1)*(TYPE1&lt;&gt;"")+('Dvd Calendar'!$U$1308=TYPE2)*(TYPE2&lt;&gt;"")+('Dvd Calendar'!$U$1308=TYPE3)*(TYPE3&lt;&gt;"")+('Dvd Calendar'!$U$1308=TYPE4)*(TYPE4&lt;&gt;"")+('Dvd Calendar'!$U$1308=SPECIAL_LBL)*(INC_SPECIALS="Y"))=0,"",'Dvd Calendar'!$U$1306)))</f>
        <v/>
      </c>
      <c r="T133" s="161">
        <f>IF(EV133="","",IF(ISNUMBER('Dvd Calendar'!$V$1306)=FALSE,"",IF((('Dvd Calendar'!$V$1308=TYPE1)*(TYPE1&lt;&gt;"")+('Dvd Calendar'!$V$1308=TYPE2)*(TYPE2&lt;&gt;"")+('Dvd Calendar'!$V$1308=TYPE3)*(TYPE3&lt;&gt;"")+('Dvd Calendar'!$V$1308=TYPE4)*(TYPE4&lt;&gt;"")+('Dvd Calendar'!$V$1308=SPECIAL_LBL)*(INC_SPECIALS="Y"))=0,"",'Dvd Calendar'!$V$1306)))</f>
        <v/>
      </c>
      <c r="U133" s="161">
        <f>IF(EW133="","",IF(ISNUMBER('Dvd Calendar'!$W$1306)=FALSE,"",IF((('Dvd Calendar'!$W$1308=TYPE1)*(TYPE1&lt;&gt;"")+('Dvd Calendar'!$W$1308=TYPE2)*(TYPE2&lt;&gt;"")+('Dvd Calendar'!$W$1308=TYPE3)*(TYPE3&lt;&gt;"")+('Dvd Calendar'!$W$1308=TYPE4)*(TYPE4&lt;&gt;"")+('Dvd Calendar'!$W$1308=SPECIAL_LBL)*(INC_SPECIALS="Y"))=0,"",'Dvd Calendar'!$W$1306)))</f>
        <v/>
      </c>
      <c r="V133" s="161">
        <f>IF(EX133="","",IF(ISNUMBER('Dvd Calendar'!$X$1306)=FALSE,"",IF((('Dvd Calendar'!$X$1308=TYPE1)*(TYPE1&lt;&gt;"")+('Dvd Calendar'!$X$1308=TYPE2)*(TYPE2&lt;&gt;"")+('Dvd Calendar'!$X$1308=TYPE3)*(TYPE3&lt;&gt;"")+('Dvd Calendar'!$X$1308=TYPE4)*(TYPE4&lt;&gt;"")+('Dvd Calendar'!$X$1308=SPECIAL_LBL)*(INC_SPECIALS="Y"))=0,"",'Dvd Calendar'!$X$1306)))</f>
        <v/>
      </c>
      <c r="W133" s="161">
        <f>IF(EY133="","",IF(ISNUMBER('Dvd Calendar'!$Y$1306)=FALSE,"",IF((('Dvd Calendar'!$Y$1308=TYPE1)*(TYPE1&lt;&gt;"")+('Dvd Calendar'!$Y$1308=TYPE2)*(TYPE2&lt;&gt;"")+('Dvd Calendar'!$Y$1308=TYPE3)*(TYPE3&lt;&gt;"")+('Dvd Calendar'!$Y$1308=TYPE4)*(TYPE4&lt;&gt;"")+('Dvd Calendar'!$Y$1308=SPECIAL_LBL)*(INC_SPECIALS="Y"))=0,"",'Dvd Calendar'!$Y$1306)))</f>
        <v/>
      </c>
      <c r="X133" s="161">
        <f>IF(EZ133="","",IF(ISNUMBER('Dvd Calendar'!$Z$1306)=FALSE,"",IF((('Dvd Calendar'!$Z$1308=TYPE1)*(TYPE1&lt;&gt;"")+('Dvd Calendar'!$Z$1308=TYPE2)*(TYPE2&lt;&gt;"")+('Dvd Calendar'!$Z$1308=TYPE3)*(TYPE3&lt;&gt;"")+('Dvd Calendar'!$Z$1308=TYPE4)*(TYPE4&lt;&gt;"")+('Dvd Calendar'!$Z$1308=SPECIAL_LBL)*(INC_SPECIALS="Y"))=0,"",'Dvd Calendar'!$Z$1306)))</f>
        <v/>
      </c>
      <c r="Y133" s="161">
        <f>IF(FA133="","",IF(ISNUMBER('Dvd Calendar'!$AA$1306)=FALSE,"",IF((('Dvd Calendar'!$AA$1308=TYPE1)*(TYPE1&lt;&gt;"")+('Dvd Calendar'!$AA$1308=TYPE2)*(TYPE2&lt;&gt;"")+('Dvd Calendar'!$AA$1308=TYPE3)*(TYPE3&lt;&gt;"")+('Dvd Calendar'!$AA$1308=TYPE4)*(TYPE4&lt;&gt;"")+('Dvd Calendar'!$AA$1308=SPECIAL_LBL)*(INC_SPECIALS="Y"))=0,"",'Dvd Calendar'!$AA$1306)))</f>
        <v/>
      </c>
      <c r="Z133" s="161">
        <f>IF(FB133="","",IF(ISNUMBER('Dvd Calendar'!$AB$1306)=FALSE,"",IF((('Dvd Calendar'!$AB$1308=TYPE1)*(TYPE1&lt;&gt;"")+('Dvd Calendar'!$AB$1308=TYPE2)*(TYPE2&lt;&gt;"")+('Dvd Calendar'!$AB$1308=TYPE3)*(TYPE3&lt;&gt;"")+('Dvd Calendar'!$AB$1308=TYPE4)*(TYPE4&lt;&gt;"")+('Dvd Calendar'!$AB$1308=SPECIAL_LBL)*(INC_SPECIALS="Y"))=0,"",'Dvd Calendar'!$AB$1306)))</f>
        <v/>
      </c>
      <c r="AA133" s="161">
        <f>IF(FC133="","",IF(ISNUMBER('Dvd Calendar'!$AC$1306)=FALSE,"",IF((('Dvd Calendar'!$AC$1308=TYPE1)*(TYPE1&lt;&gt;"")+('Dvd Calendar'!$AC$1308=TYPE2)*(TYPE2&lt;&gt;"")+('Dvd Calendar'!$AC$1308=TYPE3)*(TYPE3&lt;&gt;"")+('Dvd Calendar'!$AC$1308=TYPE4)*(TYPE4&lt;&gt;"")+('Dvd Calendar'!$AC$1308=SPECIAL_LBL)*(INC_SPECIALS="Y"))=0,"",'Dvd Calendar'!$AC$1306)))</f>
        <v/>
      </c>
      <c r="AB133" s="161">
        <f>IF(FD133="","",IF(ISNUMBER('Dvd Calendar'!$AD$1306)=FALSE,"",IF((('Dvd Calendar'!$AD$1308=TYPE1)*(TYPE1&lt;&gt;"")+('Dvd Calendar'!$AD$1308=TYPE2)*(TYPE2&lt;&gt;"")+('Dvd Calendar'!$AD$1308=TYPE3)*(TYPE3&lt;&gt;"")+('Dvd Calendar'!$AD$1308=TYPE4)*(TYPE4&lt;&gt;"")+('Dvd Calendar'!$AD$1308=SPECIAL_LBL)*(INC_SPECIALS="Y"))=0,"",'Dvd Calendar'!$AD$1306)))</f>
        <v/>
      </c>
      <c r="AC133" s="161">
        <f>IF(FE133="","",IF(ISNUMBER('Dvd Calendar'!$AE$1306)=FALSE,"",IF((('Dvd Calendar'!$AE$1308=TYPE1)*(TYPE1&lt;&gt;"")+('Dvd Calendar'!$AE$1308=TYPE2)*(TYPE2&lt;&gt;"")+('Dvd Calendar'!$AE$1308=TYPE3)*(TYPE3&lt;&gt;"")+('Dvd Calendar'!$AE$1308=TYPE4)*(TYPE4&lt;&gt;"")+('Dvd Calendar'!$AE$1308=SPECIAL_LBL)*(INC_SPECIALS="Y"))=0,"",'Dvd Calendar'!$AE$1306)))</f>
        <v/>
      </c>
      <c r="AD133" s="161">
        <f>IF(FF133="","",IF(ISNUMBER('Dvd Calendar'!$AF$1306)=FALSE,"",IF((('Dvd Calendar'!$AF$1308=TYPE1)*(TYPE1&lt;&gt;"")+('Dvd Calendar'!$AF$1308=TYPE2)*(TYPE2&lt;&gt;"")+('Dvd Calendar'!$AF$1308=TYPE3)*(TYPE3&lt;&gt;"")+('Dvd Calendar'!$AF$1308=TYPE4)*(TYPE4&lt;&gt;"")+('Dvd Calendar'!$AF$1308=SPECIAL_LBL)*(INC_SPECIALS="Y"))=0,"",'Dvd Calendar'!$AF$1306)))</f>
        <v/>
      </c>
      <c r="AE133" s="161">
        <f>IF(FG133="","",IF(ISNUMBER('Dvd Calendar'!$AG$1306)=FALSE,"",IF((('Dvd Calendar'!$AG$1308=TYPE1)*(TYPE1&lt;&gt;"")+('Dvd Calendar'!$AG$1308=TYPE2)*(TYPE2&lt;&gt;"")+('Dvd Calendar'!$AG$1308=TYPE3)*(TYPE3&lt;&gt;"")+('Dvd Calendar'!$AG$1308=TYPE4)*(TYPE4&lt;&gt;"")+('Dvd Calendar'!$AG$1308=SPECIAL_LBL)*(INC_SPECIALS="Y"))=0,"",'Dvd Calendar'!$AG$1306)))</f>
        <v/>
      </c>
      <c r="AF133" s="161">
        <f>IF(FH133="","",IF(ISNUMBER('Dvd Calendar'!$AH$1306)=FALSE,"",IF((('Dvd Calendar'!$AH$1308=TYPE1)*(TYPE1&lt;&gt;"")+('Dvd Calendar'!$AH$1308=TYPE2)*(TYPE2&lt;&gt;"")+('Dvd Calendar'!$AH$1308=TYPE3)*(TYPE3&lt;&gt;"")+('Dvd Calendar'!$AH$1308=TYPE4)*(TYPE4&lt;&gt;"")+('Dvd Calendar'!$AH$1308=SPECIAL_LBL)*(INC_SPECIALS="Y"))=0,"",'Dvd Calendar'!$AH$1306)))</f>
        <v/>
      </c>
      <c r="AG133" s="161">
        <f>IF(FI133="","",IF(ISNUMBER('Dvd Calendar'!$AI$1306)=FALSE,"",IF((('Dvd Calendar'!$AI$1308=TYPE1)*(TYPE1&lt;&gt;"")+('Dvd Calendar'!$AI$1308=TYPE2)*(TYPE2&lt;&gt;"")+('Dvd Calendar'!$AI$1308=TYPE3)*(TYPE3&lt;&gt;"")+('Dvd Calendar'!$AI$1308=TYPE4)*(TYPE4&lt;&gt;"")+('Dvd Calendar'!$AI$1308=SPECIAL_LBL)*(INC_SPECIALS="Y"))=0,"",'Dvd Calendar'!$AI$1306)))</f>
        <v/>
      </c>
      <c r="AH133" s="161">
        <f>IF(FJ133="","",IF(ISNUMBER('Dvd Calendar'!$AJ$1306)=FALSE,"",IF((('Dvd Calendar'!$AJ$1308=TYPE1)*(TYPE1&lt;&gt;"")+('Dvd Calendar'!$AJ$1308=TYPE2)*(TYPE2&lt;&gt;"")+('Dvd Calendar'!$AJ$1308=TYPE3)*(TYPE3&lt;&gt;"")+('Dvd Calendar'!$AJ$1308=TYPE4)*(TYPE4&lt;&gt;"")+('Dvd Calendar'!$AJ$1308=SPECIAL_LBL)*(INC_SPECIALS="Y"))=0,"",'Dvd Calendar'!$AJ$1306)))</f>
        <v/>
      </c>
      <c r="AI133" s="161">
        <f>IF(FK133="","",IF(ISNUMBER('Dvd Calendar'!$AK$1306)=FALSE,"",IF((('Dvd Calendar'!$AK$1308=TYPE1)*(TYPE1&lt;&gt;"")+('Dvd Calendar'!$AK$1308=TYPE2)*(TYPE2&lt;&gt;"")+('Dvd Calendar'!$AK$1308=TYPE3)*(TYPE3&lt;&gt;"")+('Dvd Calendar'!$AK$1308=TYPE4)*(TYPE4&lt;&gt;"")+('Dvd Calendar'!$AK$1308=SPECIAL_LBL)*(INC_SPECIALS="Y"))=0,"",'Dvd Calendar'!$AK$1306)))</f>
        <v/>
      </c>
      <c r="AJ133" s="161">
        <f>IF(FL133="","",IF(ISNUMBER('Dvd Calendar'!$AL$1306)=FALSE,"",IF((('Dvd Calendar'!$AL$1308=TYPE1)*(TYPE1&lt;&gt;"")+('Dvd Calendar'!$AL$1308=TYPE2)*(TYPE2&lt;&gt;"")+('Dvd Calendar'!$AL$1308=TYPE3)*(TYPE3&lt;&gt;"")+('Dvd Calendar'!$AL$1308=TYPE4)*(TYPE4&lt;&gt;"")+('Dvd Calendar'!$AL$1308=SPECIAL_LBL)*(INC_SPECIALS="Y"))=0,"",'Dvd Calendar'!$AL$1306)))</f>
        <v/>
      </c>
      <c r="AK133" s="161">
        <f>IF(FM133="","",IF(ISNUMBER('Dvd Calendar'!$AM$1306)=FALSE,"",IF((('Dvd Calendar'!$AM$1308=TYPE1)*(TYPE1&lt;&gt;"")+('Dvd Calendar'!$AM$1308=TYPE2)*(TYPE2&lt;&gt;"")+('Dvd Calendar'!$AM$1308=TYPE3)*(TYPE3&lt;&gt;"")+('Dvd Calendar'!$AM$1308=TYPE4)*(TYPE4&lt;&gt;"")+('Dvd Calendar'!$AM$1308=SPECIAL_LBL)*(INC_SPECIALS="Y"))=0,"",'Dvd Calendar'!$AM$1306)))</f>
        <v/>
      </c>
      <c r="AL133" s="161">
        <f>IF(FN133="","",IF(ISNUMBER('Dvd Calendar'!$AN$1306)=FALSE,"",IF((('Dvd Calendar'!$AN$1308=TYPE1)*(TYPE1&lt;&gt;"")+('Dvd Calendar'!$AN$1308=TYPE2)*(TYPE2&lt;&gt;"")+('Dvd Calendar'!$AN$1308=TYPE3)*(TYPE3&lt;&gt;"")+('Dvd Calendar'!$AN$1308=TYPE4)*(TYPE4&lt;&gt;"")+('Dvd Calendar'!$AN$1308=SPECIAL_LBL)*(INC_SPECIALS="Y"))=0,"",'Dvd Calendar'!$AN$1306)))</f>
        <v/>
      </c>
      <c r="AM133" s="161">
        <f>IF(FO133="","",IF(ISNUMBER('Dvd Calendar'!$AO$1306)=FALSE,"",IF((('Dvd Calendar'!$AO$1308=TYPE1)*(TYPE1&lt;&gt;"")+('Dvd Calendar'!$AO$1308=TYPE2)*(TYPE2&lt;&gt;"")+('Dvd Calendar'!$AO$1308=TYPE3)*(TYPE3&lt;&gt;"")+('Dvd Calendar'!$AO$1308=TYPE4)*(TYPE4&lt;&gt;"")+('Dvd Calendar'!$AO$1308=SPECIAL_LBL)*(INC_SPECIALS="Y"))=0,"",'Dvd Calendar'!$AO$1306)))</f>
        <v/>
      </c>
      <c r="AN133" s="161">
        <f>IF(FP133="","",IF(ISNUMBER('Dvd Calendar'!$AP$1306)=FALSE,"",IF((('Dvd Calendar'!$AP$1308=TYPE1)*(TYPE1&lt;&gt;"")+('Dvd Calendar'!$AP$1308=TYPE2)*(TYPE2&lt;&gt;"")+('Dvd Calendar'!$AP$1308=TYPE3)*(TYPE3&lt;&gt;"")+('Dvd Calendar'!$AP$1308=TYPE4)*(TYPE4&lt;&gt;"")+('Dvd Calendar'!$AP$1308=SPECIAL_LBL)*(INC_SPECIALS="Y"))=0,"",'Dvd Calendar'!$AP$1306)))</f>
        <v/>
      </c>
      <c r="AO133" s="161">
        <f>IF(FQ133="","",IF(ISNUMBER('Dvd Calendar'!$AQ$1306)=FALSE,"",IF((('Dvd Calendar'!$AQ$1308=TYPE1)*(TYPE1&lt;&gt;"")+('Dvd Calendar'!$AQ$1308=TYPE2)*(TYPE2&lt;&gt;"")+('Dvd Calendar'!$AQ$1308=TYPE3)*(TYPE3&lt;&gt;"")+('Dvd Calendar'!$AQ$1308=TYPE4)*(TYPE4&lt;&gt;"")+('Dvd Calendar'!$AQ$1308=SPECIAL_LBL)*(INC_SPECIALS="Y"))=0,"",'Dvd Calendar'!$AQ$1306)))</f>
        <v/>
      </c>
      <c r="AP133" s="161">
        <f>IF(FR133="","",IF(ISNUMBER('Dvd Calendar'!$AR$1306)=FALSE,"",IF((('Dvd Calendar'!$AR$1308=TYPE1)*(TYPE1&lt;&gt;"")+('Dvd Calendar'!$AR$1308=TYPE2)*(TYPE2&lt;&gt;"")+('Dvd Calendar'!$AR$1308=TYPE3)*(TYPE3&lt;&gt;"")+('Dvd Calendar'!$AR$1308=TYPE4)*(TYPE4&lt;&gt;"")+('Dvd Calendar'!$AR$1308=SPECIAL_LBL)*(INC_SPECIALS="Y"))=0,"",'Dvd Calendar'!$AR$1306)))</f>
        <v/>
      </c>
      <c r="AQ133" s="161">
        <f>IF(FS133="","",IF(ISNUMBER('Dvd Calendar'!$E$1311)=FALSE,"",'Dvd Calendar'!$E$1311))</f>
        <v/>
      </c>
      <c r="AR133" s="161">
        <f>IF(FT133="","",IF(ISNUMBER('Dvd Calendar'!$F$1311)=FALSE,"",'Dvd Calendar'!$F$1311))</f>
        <v/>
      </c>
      <c r="AS133" s="161">
        <f>IF(FU133="","",IF(ISNUMBER('Dvd Calendar'!$G$1311)=FALSE,"",'Dvd Calendar'!$G$1311))</f>
        <v/>
      </c>
      <c r="AT133" s="161">
        <f>IF(FV133="","",IF(ISNUMBER('Dvd Calendar'!$H$1311)=FALSE,"",'Dvd Calendar'!$H$1311))</f>
        <v/>
      </c>
      <c r="AU133" s="161">
        <f>IF(FW133="","",IF(ISNUMBER('Dvd Calendar'!$I$1311)=FALSE,"",'Dvd Calendar'!$I$1311))</f>
        <v/>
      </c>
      <c r="AV133" s="161">
        <f>IF(FX133="","",IF(ISNUMBER('Dvd Calendar'!$J$1311)=FALSE,"",'Dvd Calendar'!$J$1311))</f>
        <v/>
      </c>
      <c r="AW133" s="161">
        <f>IF(FY133="","",IF(ISNUMBER('Dvd Calendar'!$K$1311)=FALSE,"",'Dvd Calendar'!$K$1311))</f>
        <v/>
      </c>
      <c r="AX133" s="161">
        <f>IF(FZ133="","",IF(ISNUMBER('Dvd Calendar'!$L$1311)=FALSE,"",'Dvd Calendar'!$L$1311))</f>
        <v/>
      </c>
      <c r="AY133" s="161">
        <f>IF(GA133="","",IF(ISNUMBER('Dvd Calendar'!$M$1311)=FALSE,"",'Dvd Calendar'!$M$1311))</f>
        <v/>
      </c>
      <c r="AZ133" s="161">
        <f>IF(GB133="","",IF(ISNUMBER('Dvd Calendar'!$N$1311)=FALSE,"",'Dvd Calendar'!$N$1311))</f>
        <v/>
      </c>
      <c r="BA133" s="161">
        <f>IF(GC133="","",IF(ISNUMBER('Dvd Calendar'!$O$1311)=FALSE,"",'Dvd Calendar'!$O$1311))</f>
        <v/>
      </c>
      <c r="BB133" s="161">
        <f>IF(GD133="","",IF(ISNUMBER('Dvd Calendar'!$P$1311)=FALSE,"",'Dvd Calendar'!$P$1311))</f>
        <v/>
      </c>
      <c r="BC133" s="161">
        <f>IF(GE133="","",IF(ISNUMBER('Dvd Calendar'!$Q$1311)=FALSE,"",'Dvd Calendar'!$Q$1311))</f>
        <v/>
      </c>
      <c r="BD133" s="161">
        <f>IF(GF133="","",IF(ISNUMBER('Dvd Calendar'!$R$1311)=FALSE,"",'Dvd Calendar'!$R$1311))</f>
        <v/>
      </c>
      <c r="BE133" s="161">
        <f>IF(GG133="","",IF(ISNUMBER('Dvd Calendar'!$S$1311)=FALSE,"",'Dvd Calendar'!$S$1311))</f>
        <v/>
      </c>
      <c r="BF133" s="161">
        <f>IF(GH133="","",IF(ISNUMBER('Dvd Calendar'!$T$1311)=FALSE,"",'Dvd Calendar'!$T$1311))</f>
        <v/>
      </c>
      <c r="BG133" s="161">
        <f>IF(GI133="","",IF(ISNUMBER('Dvd Calendar'!$U$1311)=FALSE,"",'Dvd Calendar'!$U$1311))</f>
        <v/>
      </c>
      <c r="BH133" s="161">
        <f>IF(GJ133="","",IF(ISNUMBER('Dvd Calendar'!$V$1311)=FALSE,"",'Dvd Calendar'!$V$1311))</f>
        <v/>
      </c>
      <c r="BI133" s="161">
        <f>IF(GK133="","",IF(ISNUMBER('Dvd Calendar'!$W$1311)=FALSE,"",'Dvd Calendar'!$W$1311))</f>
        <v/>
      </c>
      <c r="BJ133" s="161">
        <f>IF(GL133="","",IF(ISNUMBER('Dvd Calendar'!$X$1311)=FALSE,"",'Dvd Calendar'!$X$1311))</f>
        <v/>
      </c>
      <c r="BK133" s="161">
        <f>IF(GM133="","",IF(ISNUMBER('Dvd Calendar'!$Y$1311)=FALSE,"",'Dvd Calendar'!$Y$1311))</f>
        <v/>
      </c>
      <c r="BL133" s="161">
        <f>IF(GN133="","",IF(ISNUMBER('Dvd Calendar'!$Z$1311)=FALSE,"",'Dvd Calendar'!$Z$1311))</f>
        <v/>
      </c>
      <c r="BM133" s="161">
        <f>IF(GO133="","",IF(ISNUMBER('Dvd Calendar'!$AA$1311)=FALSE,"",'Dvd Calendar'!$AA$1311))</f>
        <v/>
      </c>
      <c r="BN133" s="161">
        <f>IF(GP133="","",IF(ISNUMBER('Dvd Calendar'!$AB$1311)=FALSE,"",'Dvd Calendar'!$AB$1311))</f>
        <v/>
      </c>
      <c r="BO133" s="161">
        <f>IF(GQ133="","",IF(ISNUMBER('Dvd Calendar'!$AC$1311)=FALSE,"",'Dvd Calendar'!$AC$1311))</f>
        <v/>
      </c>
      <c r="BQ133" s="161">
        <f>IF(C133="","",IFERROR(C133*HSTECH!$B$24*HSTECH!$G$24/HSTECH!$B$3,""))</f>
        <v/>
      </c>
      <c r="BR133" s="161">
        <f>IF(D133="","",IFERROR(D133*HSTECH!$B$24*HSTECH!$G$24/HSTECH!$B$3,""))</f>
        <v/>
      </c>
      <c r="BS133" s="161">
        <f>IF(E133="","",IFERROR(E133*HSTECH!$B$24*HSTECH!$G$24/HSTECH!$B$3,""))</f>
        <v/>
      </c>
      <c r="BT133" s="161">
        <f>IF(F133="","",IFERROR(F133*HSTECH!$B$24*HSTECH!$G$24/HSTECH!$B$3,""))</f>
        <v/>
      </c>
      <c r="BU133" s="161">
        <f>IF(G133="","",IFERROR(G133*HSTECH!$B$24*HSTECH!$G$24/HSTECH!$B$3,""))</f>
        <v/>
      </c>
      <c r="BV133" s="161">
        <f>IF(H133="","",IFERROR(H133*HSTECH!$B$24*HSTECH!$G$24/HSTECH!$B$3,""))</f>
        <v/>
      </c>
      <c r="BW133" s="161">
        <f>IF(I133="","",IFERROR(I133*HSTECH!$B$24*HSTECH!$G$24/HSTECH!$B$3,""))</f>
        <v/>
      </c>
      <c r="BX133" s="161">
        <f>IF(J133="","",IFERROR(J133*HSTECH!$B$24*HSTECH!$G$24/HSTECH!$B$3,""))</f>
        <v/>
      </c>
      <c r="BY133" s="161">
        <f>IF(K133="","",IFERROR(K133*HSTECH!$B$24*HSTECH!$G$24/HSTECH!$B$3,""))</f>
        <v/>
      </c>
      <c r="BZ133" s="161">
        <f>IF(L133="","",IFERROR(L133*HSTECH!$B$24*HSTECH!$G$24/HSTECH!$B$3,""))</f>
        <v/>
      </c>
      <c r="CA133" s="161">
        <f>IF(M133="","",IFERROR(M133*HSTECH!$B$24*HSTECH!$G$24/HSTECH!$B$3,""))</f>
        <v/>
      </c>
      <c r="CB133" s="161">
        <f>IF(N133="","",IFERROR(N133*HSTECH!$B$24*HSTECH!$G$24/HSTECH!$B$3,""))</f>
        <v/>
      </c>
      <c r="CC133" s="161">
        <f>IF(O133="","",IFERROR(O133*HSTECH!$B$24*HSTECH!$G$24/HSTECH!$B$3,""))</f>
        <v/>
      </c>
      <c r="CD133" s="161">
        <f>IF(P133="","",IFERROR(P133*HSTECH!$B$24*HSTECH!$G$24/HSTECH!$B$3,""))</f>
        <v/>
      </c>
      <c r="CE133" s="161">
        <f>IF(Q133="","",IFERROR(Q133*HSTECH!$B$24*HSTECH!$G$24/HSTECH!$B$3,""))</f>
        <v/>
      </c>
      <c r="CF133" s="161">
        <f>IF(R133="","",IFERROR(R133*HSTECH!$B$24*HSTECH!$G$24/HSTECH!$B$3,""))</f>
        <v/>
      </c>
      <c r="CG133" s="161">
        <f>IF(S133="","",IFERROR(S133*HSTECH!$B$24*HSTECH!$G$24/HSTECH!$B$3,""))</f>
        <v/>
      </c>
      <c r="CH133" s="161">
        <f>IF(T133="","",IFERROR(T133*HSTECH!$B$24*HSTECH!$G$24/HSTECH!$B$3,""))</f>
        <v/>
      </c>
      <c r="CI133" s="161">
        <f>IF(U133="","",IFERROR(U133*HSTECH!$B$24*HSTECH!$G$24/HSTECH!$B$3,""))</f>
        <v/>
      </c>
      <c r="CJ133" s="161">
        <f>IF(V133="","",IFERROR(V133*HSTECH!$B$24*HSTECH!$G$24/HSTECH!$B$3,""))</f>
        <v/>
      </c>
      <c r="CK133" s="161">
        <f>IF(W133="","",IFERROR(W133*HSTECH!$B$24*HSTECH!$G$24/HSTECH!$B$3,""))</f>
        <v/>
      </c>
      <c r="CL133" s="161">
        <f>IF(X133="","",IFERROR(X133*HSTECH!$B$24*HSTECH!$G$24/HSTECH!$B$3,""))</f>
        <v/>
      </c>
      <c r="CM133" s="161">
        <f>IF(Y133="","",IFERROR(Y133*HSTECH!$B$24*HSTECH!$G$24/HSTECH!$B$3,""))</f>
        <v/>
      </c>
      <c r="CN133" s="161">
        <f>IF(Z133="","",IFERROR(Z133*HSTECH!$B$24*HSTECH!$G$24/HSTECH!$B$3,""))</f>
        <v/>
      </c>
      <c r="CO133" s="161">
        <f>IF(AA133="","",IFERROR(AA133*HSTECH!$B$24*HSTECH!$G$24/HSTECH!$B$3,""))</f>
        <v/>
      </c>
      <c r="CP133" s="161">
        <f>IF(AB133="","",IFERROR(AB133*HSTECH!$B$24*HSTECH!$G$24/HSTECH!$B$3,""))</f>
        <v/>
      </c>
      <c r="CQ133" s="161">
        <f>IF(AC133="","",IFERROR(AC133*HSTECH!$B$24*HSTECH!$G$24/HSTECH!$B$3,""))</f>
        <v/>
      </c>
      <c r="CR133" s="161">
        <f>IF(AD133="","",IFERROR(AD133*HSTECH!$B$24*HSTECH!$G$24/HSTECH!$B$3,""))</f>
        <v/>
      </c>
      <c r="CS133" s="161">
        <f>IF(AE133="","",IFERROR(AE133*HSTECH!$B$24*HSTECH!$G$24/HSTECH!$B$3,""))</f>
        <v/>
      </c>
      <c r="CT133" s="161">
        <f>IF(AF133="","",IFERROR(AF133*HSTECH!$B$24*HSTECH!$G$24/HSTECH!$B$3,""))</f>
        <v/>
      </c>
      <c r="CU133" s="161">
        <f>IF(AG133="","",IFERROR(AG133*HSTECH!$B$24*HSTECH!$G$24/HSTECH!$B$3,""))</f>
        <v/>
      </c>
      <c r="CV133" s="161">
        <f>IF(AH133="","",IFERROR(AH133*HSTECH!$B$24*HSTECH!$G$24/HSTECH!$B$3,""))</f>
        <v/>
      </c>
      <c r="CW133" s="161">
        <f>IF(AI133="","",IFERROR(AI133*HSTECH!$B$24*HSTECH!$G$24/HSTECH!$B$3,""))</f>
        <v/>
      </c>
      <c r="CX133" s="161">
        <f>IF(AJ133="","",IFERROR(AJ133*HSTECH!$B$24*HSTECH!$G$24/HSTECH!$B$3,""))</f>
        <v/>
      </c>
      <c r="CY133" s="161">
        <f>IF(AK133="","",IFERROR(AK133*HSTECH!$B$24*HSTECH!$G$24/HSTECH!$B$3,""))</f>
        <v/>
      </c>
      <c r="CZ133" s="161">
        <f>IF(AL133="","",IFERROR(AL133*HSTECH!$B$24*HSTECH!$G$24/HSTECH!$B$3,""))</f>
        <v/>
      </c>
      <c r="DA133" s="161">
        <f>IF(AM133="","",IFERROR(AM133*HSTECH!$B$24*HSTECH!$G$24/HSTECH!$B$3,""))</f>
        <v/>
      </c>
      <c r="DB133" s="161">
        <f>IF(AN133="","",IFERROR(AN133*HSTECH!$B$24*HSTECH!$G$24/HSTECH!$B$3,""))</f>
        <v/>
      </c>
      <c r="DC133" s="161">
        <f>IF(AO133="","",IFERROR(AO133*HSTECH!$B$24*HSTECH!$G$24/HSTECH!$B$3,""))</f>
        <v/>
      </c>
      <c r="DD133" s="161">
        <f>IF(AP133="","",IFERROR(AP133*HSTECH!$B$24*HSTECH!$G$24/HSTECH!$B$3,""))</f>
        <v/>
      </c>
      <c r="DE133" s="161">
        <f>IF(AQ133="","",IFERROR(AQ133*HSTECH!$B$24*HSTECH!$G$24/HSTECH!$B$3,""))</f>
        <v/>
      </c>
      <c r="DF133" s="161">
        <f>IF(AR133="","",IFERROR(AR133*HSTECH!$B$24*HSTECH!$G$24/HSTECH!$B$3,""))</f>
        <v/>
      </c>
      <c r="DG133" s="161">
        <f>IF(AS133="","",IFERROR(AS133*HSTECH!$B$24*HSTECH!$G$24/HSTECH!$B$3,""))</f>
        <v/>
      </c>
      <c r="DH133" s="161">
        <f>IF(AT133="","",IFERROR(AT133*HSTECH!$B$24*HSTECH!$G$24/HSTECH!$B$3,""))</f>
        <v/>
      </c>
      <c r="DI133" s="161">
        <f>IF(AU133="","",IFERROR(AU133*HSTECH!$B$24*HSTECH!$G$24/HSTECH!$B$3,""))</f>
        <v/>
      </c>
      <c r="DJ133" s="161">
        <f>IF(AV133="","",IFERROR(AV133*HSTECH!$B$24*HSTECH!$G$24/HSTECH!$B$3,""))</f>
        <v/>
      </c>
      <c r="DK133" s="161">
        <f>IF(AW133="","",IFERROR(AW133*HSTECH!$B$24*HSTECH!$G$24/HSTECH!$B$3,""))</f>
        <v/>
      </c>
      <c r="DL133" s="161">
        <f>IF(AX133="","",IFERROR(AX133*HSTECH!$B$24*HSTECH!$G$24/HSTECH!$B$3,""))</f>
        <v/>
      </c>
      <c r="DM133" s="161">
        <f>IF(AY133="","",IFERROR(AY133*HSTECH!$B$24*HSTECH!$G$24/HSTECH!$B$3,""))</f>
        <v/>
      </c>
      <c r="DN133" s="161">
        <f>IF(AZ133="","",IFERROR(AZ133*HSTECH!$B$24*HSTECH!$G$24/HSTECH!$B$3,""))</f>
        <v/>
      </c>
      <c r="DO133" s="161">
        <f>IF(BA133="","",IFERROR(BA133*HSTECH!$B$24*HSTECH!$G$24/HSTECH!$B$3,""))</f>
        <v/>
      </c>
      <c r="DP133" s="161">
        <f>IF(BB133="","",IFERROR(BB133*HSTECH!$B$24*HSTECH!$G$24/HSTECH!$B$3,""))</f>
        <v/>
      </c>
      <c r="DQ133" s="161">
        <f>IF(BC133="","",IFERROR(BC133*HSTECH!$B$24*HSTECH!$G$24/HSTECH!$B$3,""))</f>
        <v/>
      </c>
      <c r="DR133" s="161">
        <f>IF(BD133="","",IFERROR(BD133*HSTECH!$B$24*HSTECH!$G$24/HSTECH!$B$3,""))</f>
        <v/>
      </c>
      <c r="DS133" s="161">
        <f>IF(BE133="","",IFERROR(BE133*HSTECH!$B$24*HSTECH!$G$24/HSTECH!$B$3,""))</f>
        <v/>
      </c>
      <c r="DT133" s="161">
        <f>IF(BF133="","",IFERROR(BF133*HSTECH!$B$24*HSTECH!$G$24/HSTECH!$B$3,""))</f>
        <v/>
      </c>
      <c r="DU133" s="161">
        <f>IF(BG133="","",IFERROR(BG133*HSTECH!$B$24*HSTECH!$G$24/HSTECH!$B$3,""))</f>
        <v/>
      </c>
      <c r="DV133" s="161">
        <f>IF(BH133="","",IFERROR(BH133*HSTECH!$B$24*HSTECH!$G$24/HSTECH!$B$3,""))</f>
        <v/>
      </c>
      <c r="DW133" s="161">
        <f>IF(BI133="","",IFERROR(BI133*HSTECH!$B$24*HSTECH!$G$24/HSTECH!$B$3,""))</f>
        <v/>
      </c>
      <c r="DX133" s="161">
        <f>IF(BJ133="","",IFERROR(BJ133*HSTECH!$B$24*HSTECH!$G$24/HSTECH!$B$3,""))</f>
        <v/>
      </c>
      <c r="DY133" s="161">
        <f>IF(BK133="","",IFERROR(BK133*HSTECH!$B$24*HSTECH!$G$24/HSTECH!$B$3,""))</f>
        <v/>
      </c>
      <c r="DZ133" s="161">
        <f>IF(BL133="","",IFERROR(BL133*HSTECH!$B$24*HSTECH!$G$24/HSTECH!$B$3,""))</f>
        <v/>
      </c>
      <c r="EA133" s="161">
        <f>IF(BM133="","",IFERROR(BM133*HSTECH!$B$24*HSTECH!$G$24/HSTECH!$B$3,""))</f>
        <v/>
      </c>
      <c r="EB133" s="161">
        <f>IF(BN133="","",IFERROR(BN133*HSTECH!$B$24*HSTECH!$G$24/HSTECH!$B$3,""))</f>
        <v/>
      </c>
      <c r="EC133" s="161">
        <f>IF(BO133="","",IFERROR(BO133*HSTECH!$B$24*HSTECH!$G$24/HSTECH!$B$3,""))</f>
        <v/>
      </c>
      <c r="EE133" s="121">
        <f>IF(N('Dvd Calendar'!$E$1303)=0,"",IF(('Dvd Calendar'!$E$1303&gt;=GRID_FROM)*('Dvd Calendar'!$E$1303&lt;=GRID_TO)*((('Dvd Calendar'!$E$1303&lt;=VAL_DATE)+(COUNTIF('Dvd Calendar'!$E$1310:$AR$1310,'Dvd Calendar'!$E$1303)=0))&gt;0)=0,"",'Dvd Calendar'!$E$1303*1000000000+ISNUMBER('Dvd Calendar'!$E$1306)*100000000+('Dvd Calendar'!$E$1308=SPECIAL_LBL)*10000000+(N('Dvd Calendar'!$E$1302)&gt;0)*(N('Dvd Calendar'!$E$1302)&lt;=VAL_SERIAL)*1000000+18*1000+1))</f>
        <v/>
      </c>
      <c r="EF133" s="121">
        <f>IF(N('Dvd Calendar'!$F$1303)=0,"",IF(('Dvd Calendar'!$F$1303&gt;=GRID_FROM)*('Dvd Calendar'!$F$1303&lt;=GRID_TO)*((('Dvd Calendar'!$F$1303&lt;=VAL_DATE)+(COUNTIF('Dvd Calendar'!$E$1310:$AR$1310,'Dvd Calendar'!$F$1303)=0))&gt;0)=0,"",'Dvd Calendar'!$F$1303*1000000000+ISNUMBER('Dvd Calendar'!$F$1306)*100000000+('Dvd Calendar'!$F$1308=SPECIAL_LBL)*10000000+(N('Dvd Calendar'!$F$1302)&gt;0)*(N('Dvd Calendar'!$F$1302)&lt;=VAL_SERIAL)*1000000+18*1000+2))</f>
        <v/>
      </c>
      <c r="EG133" s="121">
        <f>IF(N('Dvd Calendar'!$G$1303)=0,"",IF(('Dvd Calendar'!$G$1303&gt;=GRID_FROM)*('Dvd Calendar'!$G$1303&lt;=GRID_TO)*((('Dvd Calendar'!$G$1303&lt;=VAL_DATE)+(COUNTIF('Dvd Calendar'!$E$1310:$AR$1310,'Dvd Calendar'!$G$1303)=0))&gt;0)=0,"",'Dvd Calendar'!$G$1303*1000000000+ISNUMBER('Dvd Calendar'!$G$1306)*100000000+('Dvd Calendar'!$G$1308=SPECIAL_LBL)*10000000+(N('Dvd Calendar'!$G$1302)&gt;0)*(N('Dvd Calendar'!$G$1302)&lt;=VAL_SERIAL)*1000000+18*1000+3))</f>
        <v/>
      </c>
      <c r="EH133" s="121">
        <f>IF(N('Dvd Calendar'!$H$1303)=0,"",IF(('Dvd Calendar'!$H$1303&gt;=GRID_FROM)*('Dvd Calendar'!$H$1303&lt;=GRID_TO)*((('Dvd Calendar'!$H$1303&lt;=VAL_DATE)+(COUNTIF('Dvd Calendar'!$E$1310:$AR$1310,'Dvd Calendar'!$H$1303)=0))&gt;0)=0,"",'Dvd Calendar'!$H$1303*1000000000+ISNUMBER('Dvd Calendar'!$H$1306)*100000000+('Dvd Calendar'!$H$1308=SPECIAL_LBL)*10000000+(N('Dvd Calendar'!$H$1302)&gt;0)*(N('Dvd Calendar'!$H$1302)&lt;=VAL_SERIAL)*1000000+18*1000+4))</f>
        <v/>
      </c>
      <c r="EI133" s="121">
        <f>IF(N('Dvd Calendar'!$I$1303)=0,"",IF(('Dvd Calendar'!$I$1303&gt;=GRID_FROM)*('Dvd Calendar'!$I$1303&lt;=GRID_TO)*((('Dvd Calendar'!$I$1303&lt;=VAL_DATE)+(COUNTIF('Dvd Calendar'!$E$1310:$AR$1310,'Dvd Calendar'!$I$1303)=0))&gt;0)=0,"",'Dvd Calendar'!$I$1303*1000000000+ISNUMBER('Dvd Calendar'!$I$1306)*100000000+('Dvd Calendar'!$I$1308=SPECIAL_LBL)*10000000+(N('Dvd Calendar'!$I$1302)&gt;0)*(N('Dvd Calendar'!$I$1302)&lt;=VAL_SERIAL)*1000000+18*1000+5))</f>
        <v/>
      </c>
      <c r="EJ133" s="121">
        <f>IF(N('Dvd Calendar'!$J$1303)=0,"",IF(('Dvd Calendar'!$J$1303&gt;=GRID_FROM)*('Dvd Calendar'!$J$1303&lt;=GRID_TO)*((('Dvd Calendar'!$J$1303&lt;=VAL_DATE)+(COUNTIF('Dvd Calendar'!$E$1310:$AR$1310,'Dvd Calendar'!$J$1303)=0))&gt;0)=0,"",'Dvd Calendar'!$J$1303*1000000000+ISNUMBER('Dvd Calendar'!$J$1306)*100000000+('Dvd Calendar'!$J$1308=SPECIAL_LBL)*10000000+(N('Dvd Calendar'!$J$1302)&gt;0)*(N('Dvd Calendar'!$J$1302)&lt;=VAL_SERIAL)*1000000+18*1000+6))</f>
        <v/>
      </c>
      <c r="EK133" s="121">
        <f>IF(N('Dvd Calendar'!$K$1303)=0,"",IF(('Dvd Calendar'!$K$1303&gt;=GRID_FROM)*('Dvd Calendar'!$K$1303&lt;=GRID_TO)*((('Dvd Calendar'!$K$1303&lt;=VAL_DATE)+(COUNTIF('Dvd Calendar'!$E$1310:$AR$1310,'Dvd Calendar'!$K$1303)=0))&gt;0)=0,"",'Dvd Calendar'!$K$1303*1000000000+ISNUMBER('Dvd Calendar'!$K$1306)*100000000+('Dvd Calendar'!$K$1308=SPECIAL_LBL)*10000000+(N('Dvd Calendar'!$K$1302)&gt;0)*(N('Dvd Calendar'!$K$1302)&lt;=VAL_SERIAL)*1000000+18*1000+7))</f>
        <v/>
      </c>
      <c r="EL133" s="121">
        <f>IF(N('Dvd Calendar'!$L$1303)=0,"",IF(('Dvd Calendar'!$L$1303&gt;=GRID_FROM)*('Dvd Calendar'!$L$1303&lt;=GRID_TO)*((('Dvd Calendar'!$L$1303&lt;=VAL_DATE)+(COUNTIF('Dvd Calendar'!$E$1310:$AR$1310,'Dvd Calendar'!$L$1303)=0))&gt;0)=0,"",'Dvd Calendar'!$L$1303*1000000000+ISNUMBER('Dvd Calendar'!$L$1306)*100000000+('Dvd Calendar'!$L$1308=SPECIAL_LBL)*10000000+(N('Dvd Calendar'!$L$1302)&gt;0)*(N('Dvd Calendar'!$L$1302)&lt;=VAL_SERIAL)*1000000+18*1000+8))</f>
        <v/>
      </c>
      <c r="EM133" s="121">
        <f>IF(N('Dvd Calendar'!$M$1303)=0,"",IF(('Dvd Calendar'!$M$1303&gt;=GRID_FROM)*('Dvd Calendar'!$M$1303&lt;=GRID_TO)*((('Dvd Calendar'!$M$1303&lt;=VAL_DATE)+(COUNTIF('Dvd Calendar'!$E$1310:$AR$1310,'Dvd Calendar'!$M$1303)=0))&gt;0)=0,"",'Dvd Calendar'!$M$1303*1000000000+ISNUMBER('Dvd Calendar'!$M$1306)*100000000+('Dvd Calendar'!$M$1308=SPECIAL_LBL)*10000000+(N('Dvd Calendar'!$M$1302)&gt;0)*(N('Dvd Calendar'!$M$1302)&lt;=VAL_SERIAL)*1000000+18*1000+9))</f>
        <v/>
      </c>
      <c r="EN133" s="121">
        <f>IF(N('Dvd Calendar'!$N$1303)=0,"",IF(('Dvd Calendar'!$N$1303&gt;=GRID_FROM)*('Dvd Calendar'!$N$1303&lt;=GRID_TO)*((('Dvd Calendar'!$N$1303&lt;=VAL_DATE)+(COUNTIF('Dvd Calendar'!$E$1310:$AR$1310,'Dvd Calendar'!$N$1303)=0))&gt;0)=0,"",'Dvd Calendar'!$N$1303*1000000000+ISNUMBER('Dvd Calendar'!$N$1306)*100000000+('Dvd Calendar'!$N$1308=SPECIAL_LBL)*10000000+(N('Dvd Calendar'!$N$1302)&gt;0)*(N('Dvd Calendar'!$N$1302)&lt;=VAL_SERIAL)*1000000+18*1000+10))</f>
        <v/>
      </c>
      <c r="EO133" s="121">
        <f>IF(N('Dvd Calendar'!$O$1303)=0,"",IF(('Dvd Calendar'!$O$1303&gt;=GRID_FROM)*('Dvd Calendar'!$O$1303&lt;=GRID_TO)*((('Dvd Calendar'!$O$1303&lt;=VAL_DATE)+(COUNTIF('Dvd Calendar'!$E$1310:$AR$1310,'Dvd Calendar'!$O$1303)=0))&gt;0)=0,"",'Dvd Calendar'!$O$1303*1000000000+ISNUMBER('Dvd Calendar'!$O$1306)*100000000+('Dvd Calendar'!$O$1308=SPECIAL_LBL)*10000000+(N('Dvd Calendar'!$O$1302)&gt;0)*(N('Dvd Calendar'!$O$1302)&lt;=VAL_SERIAL)*1000000+18*1000+11))</f>
        <v/>
      </c>
      <c r="EP133" s="121">
        <f>IF(N('Dvd Calendar'!$P$1303)=0,"",IF(('Dvd Calendar'!$P$1303&gt;=GRID_FROM)*('Dvd Calendar'!$P$1303&lt;=GRID_TO)*((('Dvd Calendar'!$P$1303&lt;=VAL_DATE)+(COUNTIF('Dvd Calendar'!$E$1310:$AR$1310,'Dvd Calendar'!$P$1303)=0))&gt;0)=0,"",'Dvd Calendar'!$P$1303*1000000000+ISNUMBER('Dvd Calendar'!$P$1306)*100000000+('Dvd Calendar'!$P$1308=SPECIAL_LBL)*10000000+(N('Dvd Calendar'!$P$1302)&gt;0)*(N('Dvd Calendar'!$P$1302)&lt;=VAL_SERIAL)*1000000+18*1000+12))</f>
        <v/>
      </c>
      <c r="EQ133" s="121">
        <f>IF(N('Dvd Calendar'!$Q$1303)=0,"",IF(('Dvd Calendar'!$Q$1303&gt;=GRID_FROM)*('Dvd Calendar'!$Q$1303&lt;=GRID_TO)*((('Dvd Calendar'!$Q$1303&lt;=VAL_DATE)+(COUNTIF('Dvd Calendar'!$E$1310:$AR$1310,'Dvd Calendar'!$Q$1303)=0))&gt;0)=0,"",'Dvd Calendar'!$Q$1303*1000000000+ISNUMBER('Dvd Calendar'!$Q$1306)*100000000+('Dvd Calendar'!$Q$1308=SPECIAL_LBL)*10000000+(N('Dvd Calendar'!$Q$1302)&gt;0)*(N('Dvd Calendar'!$Q$1302)&lt;=VAL_SERIAL)*1000000+18*1000+13))</f>
        <v/>
      </c>
      <c r="ER133" s="121">
        <f>IF(N('Dvd Calendar'!$R$1303)=0,"",IF(('Dvd Calendar'!$R$1303&gt;=GRID_FROM)*('Dvd Calendar'!$R$1303&lt;=GRID_TO)*((('Dvd Calendar'!$R$1303&lt;=VAL_DATE)+(COUNTIF('Dvd Calendar'!$E$1310:$AR$1310,'Dvd Calendar'!$R$1303)=0))&gt;0)=0,"",'Dvd Calendar'!$R$1303*1000000000+ISNUMBER('Dvd Calendar'!$R$1306)*100000000+('Dvd Calendar'!$R$1308=SPECIAL_LBL)*10000000+(N('Dvd Calendar'!$R$1302)&gt;0)*(N('Dvd Calendar'!$R$1302)&lt;=VAL_SERIAL)*1000000+18*1000+14))</f>
        <v/>
      </c>
      <c r="ES133" s="121">
        <f>IF(N('Dvd Calendar'!$S$1303)=0,"",IF(('Dvd Calendar'!$S$1303&gt;=GRID_FROM)*('Dvd Calendar'!$S$1303&lt;=GRID_TO)*((('Dvd Calendar'!$S$1303&lt;=VAL_DATE)+(COUNTIF('Dvd Calendar'!$E$1310:$AR$1310,'Dvd Calendar'!$S$1303)=0))&gt;0)=0,"",'Dvd Calendar'!$S$1303*1000000000+ISNUMBER('Dvd Calendar'!$S$1306)*100000000+('Dvd Calendar'!$S$1308=SPECIAL_LBL)*10000000+(N('Dvd Calendar'!$S$1302)&gt;0)*(N('Dvd Calendar'!$S$1302)&lt;=VAL_SERIAL)*1000000+18*1000+15))</f>
        <v/>
      </c>
      <c r="ET133" s="121">
        <f>IF(N('Dvd Calendar'!$T$1303)=0,"",IF(('Dvd Calendar'!$T$1303&gt;=GRID_FROM)*('Dvd Calendar'!$T$1303&lt;=GRID_TO)*((('Dvd Calendar'!$T$1303&lt;=VAL_DATE)+(COUNTIF('Dvd Calendar'!$E$1310:$AR$1310,'Dvd Calendar'!$T$1303)=0))&gt;0)=0,"",'Dvd Calendar'!$T$1303*1000000000+ISNUMBER('Dvd Calendar'!$T$1306)*100000000+('Dvd Calendar'!$T$1308=SPECIAL_LBL)*10000000+(N('Dvd Calendar'!$T$1302)&gt;0)*(N('Dvd Calendar'!$T$1302)&lt;=VAL_SERIAL)*1000000+18*1000+16))</f>
        <v/>
      </c>
      <c r="EU133" s="121">
        <f>IF(N('Dvd Calendar'!$U$1303)=0,"",IF(('Dvd Calendar'!$U$1303&gt;=GRID_FROM)*('Dvd Calendar'!$U$1303&lt;=GRID_TO)*((('Dvd Calendar'!$U$1303&lt;=VAL_DATE)+(COUNTIF('Dvd Calendar'!$E$1310:$AR$1310,'Dvd Calendar'!$U$1303)=0))&gt;0)=0,"",'Dvd Calendar'!$U$1303*1000000000+ISNUMBER('Dvd Calendar'!$U$1306)*100000000+('Dvd Calendar'!$U$1308=SPECIAL_LBL)*10000000+(N('Dvd Calendar'!$U$1302)&gt;0)*(N('Dvd Calendar'!$U$1302)&lt;=VAL_SERIAL)*1000000+18*1000+17))</f>
        <v/>
      </c>
      <c r="EV133" s="121">
        <f>IF(N('Dvd Calendar'!$V$1303)=0,"",IF(('Dvd Calendar'!$V$1303&gt;=GRID_FROM)*('Dvd Calendar'!$V$1303&lt;=GRID_TO)*((('Dvd Calendar'!$V$1303&lt;=VAL_DATE)+(COUNTIF('Dvd Calendar'!$E$1310:$AR$1310,'Dvd Calendar'!$V$1303)=0))&gt;0)=0,"",'Dvd Calendar'!$V$1303*1000000000+ISNUMBER('Dvd Calendar'!$V$1306)*100000000+('Dvd Calendar'!$V$1308=SPECIAL_LBL)*10000000+(N('Dvd Calendar'!$V$1302)&gt;0)*(N('Dvd Calendar'!$V$1302)&lt;=VAL_SERIAL)*1000000+18*1000+18))</f>
        <v/>
      </c>
      <c r="EW133" s="121">
        <f>IF(N('Dvd Calendar'!$W$1303)=0,"",IF(('Dvd Calendar'!$W$1303&gt;=GRID_FROM)*('Dvd Calendar'!$W$1303&lt;=GRID_TO)*((('Dvd Calendar'!$W$1303&lt;=VAL_DATE)+(COUNTIF('Dvd Calendar'!$E$1310:$AR$1310,'Dvd Calendar'!$W$1303)=0))&gt;0)=0,"",'Dvd Calendar'!$W$1303*1000000000+ISNUMBER('Dvd Calendar'!$W$1306)*100000000+('Dvd Calendar'!$W$1308=SPECIAL_LBL)*10000000+(N('Dvd Calendar'!$W$1302)&gt;0)*(N('Dvd Calendar'!$W$1302)&lt;=VAL_SERIAL)*1000000+18*1000+19))</f>
        <v/>
      </c>
      <c r="EX133" s="121">
        <f>IF(N('Dvd Calendar'!$X$1303)=0,"",IF(('Dvd Calendar'!$X$1303&gt;=GRID_FROM)*('Dvd Calendar'!$X$1303&lt;=GRID_TO)*((('Dvd Calendar'!$X$1303&lt;=VAL_DATE)+(COUNTIF('Dvd Calendar'!$E$1310:$AR$1310,'Dvd Calendar'!$X$1303)=0))&gt;0)=0,"",'Dvd Calendar'!$X$1303*1000000000+ISNUMBER('Dvd Calendar'!$X$1306)*100000000+('Dvd Calendar'!$X$1308=SPECIAL_LBL)*10000000+(N('Dvd Calendar'!$X$1302)&gt;0)*(N('Dvd Calendar'!$X$1302)&lt;=VAL_SERIAL)*1000000+18*1000+20))</f>
        <v/>
      </c>
      <c r="EY133" s="121">
        <f>IF(N('Dvd Calendar'!$Y$1303)=0,"",IF(('Dvd Calendar'!$Y$1303&gt;=GRID_FROM)*('Dvd Calendar'!$Y$1303&lt;=GRID_TO)*((('Dvd Calendar'!$Y$1303&lt;=VAL_DATE)+(COUNTIF('Dvd Calendar'!$E$1310:$AR$1310,'Dvd Calendar'!$Y$1303)=0))&gt;0)=0,"",'Dvd Calendar'!$Y$1303*1000000000+ISNUMBER('Dvd Calendar'!$Y$1306)*100000000+('Dvd Calendar'!$Y$1308=SPECIAL_LBL)*10000000+(N('Dvd Calendar'!$Y$1302)&gt;0)*(N('Dvd Calendar'!$Y$1302)&lt;=VAL_SERIAL)*1000000+18*1000+21))</f>
        <v/>
      </c>
      <c r="EZ133" s="121">
        <f>IF(N('Dvd Calendar'!$Z$1303)=0,"",IF(('Dvd Calendar'!$Z$1303&gt;=GRID_FROM)*('Dvd Calendar'!$Z$1303&lt;=GRID_TO)*((('Dvd Calendar'!$Z$1303&lt;=VAL_DATE)+(COUNTIF('Dvd Calendar'!$E$1310:$AR$1310,'Dvd Calendar'!$Z$1303)=0))&gt;0)=0,"",'Dvd Calendar'!$Z$1303*1000000000+ISNUMBER('Dvd Calendar'!$Z$1306)*100000000+('Dvd Calendar'!$Z$1308=SPECIAL_LBL)*10000000+(N('Dvd Calendar'!$Z$1302)&gt;0)*(N('Dvd Calendar'!$Z$1302)&lt;=VAL_SERIAL)*1000000+18*1000+22))</f>
        <v/>
      </c>
      <c r="FA133" s="121">
        <f>IF(N('Dvd Calendar'!$AA$1303)=0,"",IF(('Dvd Calendar'!$AA$1303&gt;=GRID_FROM)*('Dvd Calendar'!$AA$1303&lt;=GRID_TO)*((('Dvd Calendar'!$AA$1303&lt;=VAL_DATE)+(COUNTIF('Dvd Calendar'!$E$1310:$AR$1310,'Dvd Calendar'!$AA$1303)=0))&gt;0)=0,"",'Dvd Calendar'!$AA$1303*1000000000+ISNUMBER('Dvd Calendar'!$AA$1306)*100000000+('Dvd Calendar'!$AA$1308=SPECIAL_LBL)*10000000+(N('Dvd Calendar'!$AA$1302)&gt;0)*(N('Dvd Calendar'!$AA$1302)&lt;=VAL_SERIAL)*1000000+18*1000+23))</f>
        <v/>
      </c>
      <c r="FB133" s="121">
        <f>IF(N('Dvd Calendar'!$AB$1303)=0,"",IF(('Dvd Calendar'!$AB$1303&gt;=GRID_FROM)*('Dvd Calendar'!$AB$1303&lt;=GRID_TO)*((('Dvd Calendar'!$AB$1303&lt;=VAL_DATE)+(COUNTIF('Dvd Calendar'!$E$1310:$AR$1310,'Dvd Calendar'!$AB$1303)=0))&gt;0)=0,"",'Dvd Calendar'!$AB$1303*1000000000+ISNUMBER('Dvd Calendar'!$AB$1306)*100000000+('Dvd Calendar'!$AB$1308=SPECIAL_LBL)*10000000+(N('Dvd Calendar'!$AB$1302)&gt;0)*(N('Dvd Calendar'!$AB$1302)&lt;=VAL_SERIAL)*1000000+18*1000+24))</f>
        <v/>
      </c>
      <c r="FC133" s="121">
        <f>IF(N('Dvd Calendar'!$AC$1303)=0,"",IF(('Dvd Calendar'!$AC$1303&gt;=GRID_FROM)*('Dvd Calendar'!$AC$1303&lt;=GRID_TO)*((('Dvd Calendar'!$AC$1303&lt;=VAL_DATE)+(COUNTIF('Dvd Calendar'!$E$1310:$AR$1310,'Dvd Calendar'!$AC$1303)=0))&gt;0)=0,"",'Dvd Calendar'!$AC$1303*1000000000+ISNUMBER('Dvd Calendar'!$AC$1306)*100000000+('Dvd Calendar'!$AC$1308=SPECIAL_LBL)*10000000+(N('Dvd Calendar'!$AC$1302)&gt;0)*(N('Dvd Calendar'!$AC$1302)&lt;=VAL_SERIAL)*1000000+18*1000+25))</f>
        <v/>
      </c>
      <c r="FD133" s="121">
        <f>IF(N('Dvd Calendar'!$AD$1303)=0,"",IF(('Dvd Calendar'!$AD$1303&gt;=GRID_FROM)*('Dvd Calendar'!$AD$1303&lt;=GRID_TO)*((('Dvd Calendar'!$AD$1303&lt;=VAL_DATE)+(COUNTIF('Dvd Calendar'!$E$1310:$AR$1310,'Dvd Calendar'!$AD$1303)=0))&gt;0)=0,"",'Dvd Calendar'!$AD$1303*1000000000+ISNUMBER('Dvd Calendar'!$AD$1306)*100000000+('Dvd Calendar'!$AD$1308=SPECIAL_LBL)*10000000+(N('Dvd Calendar'!$AD$1302)&gt;0)*(N('Dvd Calendar'!$AD$1302)&lt;=VAL_SERIAL)*1000000+18*1000+26))</f>
        <v/>
      </c>
      <c r="FE133" s="121">
        <f>IF(N('Dvd Calendar'!$AE$1303)=0,"",IF(('Dvd Calendar'!$AE$1303&gt;=GRID_FROM)*('Dvd Calendar'!$AE$1303&lt;=GRID_TO)*((('Dvd Calendar'!$AE$1303&lt;=VAL_DATE)+(COUNTIF('Dvd Calendar'!$E$1310:$AR$1310,'Dvd Calendar'!$AE$1303)=0))&gt;0)=0,"",'Dvd Calendar'!$AE$1303*1000000000+ISNUMBER('Dvd Calendar'!$AE$1306)*100000000+('Dvd Calendar'!$AE$1308=SPECIAL_LBL)*10000000+(N('Dvd Calendar'!$AE$1302)&gt;0)*(N('Dvd Calendar'!$AE$1302)&lt;=VAL_SERIAL)*1000000+18*1000+27))</f>
        <v/>
      </c>
      <c r="FF133" s="121">
        <f>IF(N('Dvd Calendar'!$AF$1303)=0,"",IF(('Dvd Calendar'!$AF$1303&gt;=GRID_FROM)*('Dvd Calendar'!$AF$1303&lt;=GRID_TO)*((('Dvd Calendar'!$AF$1303&lt;=VAL_DATE)+(COUNTIF('Dvd Calendar'!$E$1310:$AR$1310,'Dvd Calendar'!$AF$1303)=0))&gt;0)=0,"",'Dvd Calendar'!$AF$1303*1000000000+ISNUMBER('Dvd Calendar'!$AF$1306)*100000000+('Dvd Calendar'!$AF$1308=SPECIAL_LBL)*10000000+(N('Dvd Calendar'!$AF$1302)&gt;0)*(N('Dvd Calendar'!$AF$1302)&lt;=VAL_SERIAL)*1000000+18*1000+28))</f>
        <v/>
      </c>
      <c r="FG133" s="121">
        <f>IF(N('Dvd Calendar'!$AG$1303)=0,"",IF(('Dvd Calendar'!$AG$1303&gt;=GRID_FROM)*('Dvd Calendar'!$AG$1303&lt;=GRID_TO)*((('Dvd Calendar'!$AG$1303&lt;=VAL_DATE)+(COUNTIF('Dvd Calendar'!$E$1310:$AR$1310,'Dvd Calendar'!$AG$1303)=0))&gt;0)=0,"",'Dvd Calendar'!$AG$1303*1000000000+ISNUMBER('Dvd Calendar'!$AG$1306)*100000000+('Dvd Calendar'!$AG$1308=SPECIAL_LBL)*10000000+(N('Dvd Calendar'!$AG$1302)&gt;0)*(N('Dvd Calendar'!$AG$1302)&lt;=VAL_SERIAL)*1000000+18*1000+29))</f>
        <v/>
      </c>
      <c r="FH133" s="121">
        <f>IF(N('Dvd Calendar'!$AH$1303)=0,"",IF(('Dvd Calendar'!$AH$1303&gt;=GRID_FROM)*('Dvd Calendar'!$AH$1303&lt;=GRID_TO)*((('Dvd Calendar'!$AH$1303&lt;=VAL_DATE)+(COUNTIF('Dvd Calendar'!$E$1310:$AR$1310,'Dvd Calendar'!$AH$1303)=0))&gt;0)=0,"",'Dvd Calendar'!$AH$1303*1000000000+ISNUMBER('Dvd Calendar'!$AH$1306)*100000000+('Dvd Calendar'!$AH$1308=SPECIAL_LBL)*10000000+(N('Dvd Calendar'!$AH$1302)&gt;0)*(N('Dvd Calendar'!$AH$1302)&lt;=VAL_SERIAL)*1000000+18*1000+30))</f>
        <v/>
      </c>
      <c r="FI133" s="121">
        <f>IF(N('Dvd Calendar'!$AI$1303)=0,"",IF(('Dvd Calendar'!$AI$1303&gt;=GRID_FROM)*('Dvd Calendar'!$AI$1303&lt;=GRID_TO)*((('Dvd Calendar'!$AI$1303&lt;=VAL_DATE)+(COUNTIF('Dvd Calendar'!$E$1310:$AR$1310,'Dvd Calendar'!$AI$1303)=0))&gt;0)=0,"",'Dvd Calendar'!$AI$1303*1000000000+ISNUMBER('Dvd Calendar'!$AI$1306)*100000000+('Dvd Calendar'!$AI$1308=SPECIAL_LBL)*10000000+(N('Dvd Calendar'!$AI$1302)&gt;0)*(N('Dvd Calendar'!$AI$1302)&lt;=VAL_SERIAL)*1000000+18*1000+31))</f>
        <v/>
      </c>
      <c r="FJ133" s="121">
        <f>IF(N('Dvd Calendar'!$AJ$1303)=0,"",IF(('Dvd Calendar'!$AJ$1303&gt;=GRID_FROM)*('Dvd Calendar'!$AJ$1303&lt;=GRID_TO)*((('Dvd Calendar'!$AJ$1303&lt;=VAL_DATE)+(COUNTIF('Dvd Calendar'!$E$1310:$AR$1310,'Dvd Calendar'!$AJ$1303)=0))&gt;0)=0,"",'Dvd Calendar'!$AJ$1303*1000000000+ISNUMBER('Dvd Calendar'!$AJ$1306)*100000000+('Dvd Calendar'!$AJ$1308=SPECIAL_LBL)*10000000+(N('Dvd Calendar'!$AJ$1302)&gt;0)*(N('Dvd Calendar'!$AJ$1302)&lt;=VAL_SERIAL)*1000000+18*1000+32))</f>
        <v/>
      </c>
      <c r="FK133" s="121">
        <f>IF(N('Dvd Calendar'!$AK$1303)=0,"",IF(('Dvd Calendar'!$AK$1303&gt;=GRID_FROM)*('Dvd Calendar'!$AK$1303&lt;=GRID_TO)*((('Dvd Calendar'!$AK$1303&lt;=VAL_DATE)+(COUNTIF('Dvd Calendar'!$E$1310:$AR$1310,'Dvd Calendar'!$AK$1303)=0))&gt;0)=0,"",'Dvd Calendar'!$AK$1303*1000000000+ISNUMBER('Dvd Calendar'!$AK$1306)*100000000+('Dvd Calendar'!$AK$1308=SPECIAL_LBL)*10000000+(N('Dvd Calendar'!$AK$1302)&gt;0)*(N('Dvd Calendar'!$AK$1302)&lt;=VAL_SERIAL)*1000000+18*1000+33))</f>
        <v/>
      </c>
      <c r="FL133" s="121">
        <f>IF(N('Dvd Calendar'!$AL$1303)=0,"",IF(('Dvd Calendar'!$AL$1303&gt;=GRID_FROM)*('Dvd Calendar'!$AL$1303&lt;=GRID_TO)*((('Dvd Calendar'!$AL$1303&lt;=VAL_DATE)+(COUNTIF('Dvd Calendar'!$E$1310:$AR$1310,'Dvd Calendar'!$AL$1303)=0))&gt;0)=0,"",'Dvd Calendar'!$AL$1303*1000000000+ISNUMBER('Dvd Calendar'!$AL$1306)*100000000+('Dvd Calendar'!$AL$1308=SPECIAL_LBL)*10000000+(N('Dvd Calendar'!$AL$1302)&gt;0)*(N('Dvd Calendar'!$AL$1302)&lt;=VAL_SERIAL)*1000000+18*1000+34))</f>
        <v/>
      </c>
      <c r="FM133" s="121">
        <f>IF(N('Dvd Calendar'!$AM$1303)=0,"",IF(('Dvd Calendar'!$AM$1303&gt;=GRID_FROM)*('Dvd Calendar'!$AM$1303&lt;=GRID_TO)*((('Dvd Calendar'!$AM$1303&lt;=VAL_DATE)+(COUNTIF('Dvd Calendar'!$E$1310:$AR$1310,'Dvd Calendar'!$AM$1303)=0))&gt;0)=0,"",'Dvd Calendar'!$AM$1303*1000000000+ISNUMBER('Dvd Calendar'!$AM$1306)*100000000+('Dvd Calendar'!$AM$1308=SPECIAL_LBL)*10000000+(N('Dvd Calendar'!$AM$1302)&gt;0)*(N('Dvd Calendar'!$AM$1302)&lt;=VAL_SERIAL)*1000000+18*1000+35))</f>
        <v/>
      </c>
      <c r="FN133" s="121">
        <f>IF(N('Dvd Calendar'!$AN$1303)=0,"",IF(('Dvd Calendar'!$AN$1303&gt;=GRID_FROM)*('Dvd Calendar'!$AN$1303&lt;=GRID_TO)*((('Dvd Calendar'!$AN$1303&lt;=VAL_DATE)+(COUNTIF('Dvd Calendar'!$E$1310:$AR$1310,'Dvd Calendar'!$AN$1303)=0))&gt;0)=0,"",'Dvd Calendar'!$AN$1303*1000000000+ISNUMBER('Dvd Calendar'!$AN$1306)*100000000+('Dvd Calendar'!$AN$1308=SPECIAL_LBL)*10000000+(N('Dvd Calendar'!$AN$1302)&gt;0)*(N('Dvd Calendar'!$AN$1302)&lt;=VAL_SERIAL)*1000000+18*1000+36))</f>
        <v/>
      </c>
      <c r="FO133" s="121">
        <f>IF(N('Dvd Calendar'!$AO$1303)=0,"",IF(('Dvd Calendar'!$AO$1303&gt;=GRID_FROM)*('Dvd Calendar'!$AO$1303&lt;=GRID_TO)*((('Dvd Calendar'!$AO$1303&lt;=VAL_DATE)+(COUNTIF('Dvd Calendar'!$E$1310:$AR$1310,'Dvd Calendar'!$AO$1303)=0))&gt;0)=0,"",'Dvd Calendar'!$AO$1303*1000000000+ISNUMBER('Dvd Calendar'!$AO$1306)*100000000+('Dvd Calendar'!$AO$1308=SPECIAL_LBL)*10000000+(N('Dvd Calendar'!$AO$1302)&gt;0)*(N('Dvd Calendar'!$AO$1302)&lt;=VAL_SERIAL)*1000000+18*1000+37))</f>
        <v/>
      </c>
      <c r="FP133" s="121">
        <f>IF(N('Dvd Calendar'!$AP$1303)=0,"",IF(('Dvd Calendar'!$AP$1303&gt;=GRID_FROM)*('Dvd Calendar'!$AP$1303&lt;=GRID_TO)*((('Dvd Calendar'!$AP$1303&lt;=VAL_DATE)+(COUNTIF('Dvd Calendar'!$E$1310:$AR$1310,'Dvd Calendar'!$AP$1303)=0))&gt;0)=0,"",'Dvd Calendar'!$AP$1303*1000000000+ISNUMBER('Dvd Calendar'!$AP$1306)*100000000+('Dvd Calendar'!$AP$1308=SPECIAL_LBL)*10000000+(N('Dvd Calendar'!$AP$1302)&gt;0)*(N('Dvd Calendar'!$AP$1302)&lt;=VAL_SERIAL)*1000000+18*1000+38))</f>
        <v/>
      </c>
      <c r="FQ133" s="121">
        <f>IF(N('Dvd Calendar'!$AQ$1303)=0,"",IF(('Dvd Calendar'!$AQ$1303&gt;=GRID_FROM)*('Dvd Calendar'!$AQ$1303&lt;=GRID_TO)*((('Dvd Calendar'!$AQ$1303&lt;=VAL_DATE)+(COUNTIF('Dvd Calendar'!$E$1310:$AR$1310,'Dvd Calendar'!$AQ$1303)=0))&gt;0)=0,"",'Dvd Calendar'!$AQ$1303*1000000000+ISNUMBER('Dvd Calendar'!$AQ$1306)*100000000+('Dvd Calendar'!$AQ$1308=SPECIAL_LBL)*10000000+(N('Dvd Calendar'!$AQ$1302)&gt;0)*(N('Dvd Calendar'!$AQ$1302)&lt;=VAL_SERIAL)*1000000+18*1000+39))</f>
        <v/>
      </c>
      <c r="FR133" s="121">
        <f>IF(N('Dvd Calendar'!$AR$1303)=0,"",IF(('Dvd Calendar'!$AR$1303&gt;=GRID_FROM)*('Dvd Calendar'!$AR$1303&lt;=GRID_TO)*((('Dvd Calendar'!$AR$1303&lt;=VAL_DATE)+(COUNTIF('Dvd Calendar'!$E$1310:$AR$1310,'Dvd Calendar'!$AR$1303)=0))&gt;0)=0,"",'Dvd Calendar'!$AR$1303*1000000000+ISNUMBER('Dvd Calendar'!$AR$1306)*100000000+('Dvd Calendar'!$AR$1308=SPECIAL_LBL)*10000000+(N('Dvd Calendar'!$AR$1302)&gt;0)*(N('Dvd Calendar'!$AR$1302)&lt;=VAL_SERIAL)*1000000+18*1000+40))</f>
        <v/>
      </c>
      <c r="FS133" s="121">
        <f>IF(N('Dvd Calendar'!$E$1310)=0,"",IF(('Dvd Calendar'!$E$1310&gt;=GRID_FROM)*('Dvd Calendar'!$E$1310&lt;=GRID_TO)*('Dvd Calendar'!$E$1310&gt;VAL_DATE)=0,"",'Dvd Calendar'!$E$1310*1000000000+ISNUMBER('Dvd Calendar'!$E$1311)*100000000+0*10000000+(N('Dvd Calendar'!$E$1309)&gt;0)*(N('Dvd Calendar'!$E$1309)&lt;=VAL_SERIAL)*1000000+18*1000+41))</f>
        <v/>
      </c>
      <c r="FT133" s="121">
        <f>IF(N('Dvd Calendar'!$F$1310)=0,"",IF(('Dvd Calendar'!$F$1310&gt;=GRID_FROM)*('Dvd Calendar'!$F$1310&lt;=GRID_TO)*('Dvd Calendar'!$F$1310&gt;VAL_DATE)=0,"",'Dvd Calendar'!$F$1310*1000000000+ISNUMBER('Dvd Calendar'!$F$1311)*100000000+0*10000000+(N('Dvd Calendar'!$F$1309)&gt;0)*(N('Dvd Calendar'!$F$1309)&lt;=VAL_SERIAL)*1000000+18*1000+42))</f>
        <v/>
      </c>
      <c r="FU133" s="121">
        <f>IF(N('Dvd Calendar'!$G$1310)=0,"",IF(('Dvd Calendar'!$G$1310&gt;=GRID_FROM)*('Dvd Calendar'!$G$1310&lt;=GRID_TO)*('Dvd Calendar'!$G$1310&gt;VAL_DATE)=0,"",'Dvd Calendar'!$G$1310*1000000000+ISNUMBER('Dvd Calendar'!$G$1311)*100000000+0*10000000+(N('Dvd Calendar'!$G$1309)&gt;0)*(N('Dvd Calendar'!$G$1309)&lt;=VAL_SERIAL)*1000000+18*1000+43))</f>
        <v/>
      </c>
      <c r="FV133" s="121">
        <f>IF(N('Dvd Calendar'!$H$1310)=0,"",IF(('Dvd Calendar'!$H$1310&gt;=GRID_FROM)*('Dvd Calendar'!$H$1310&lt;=GRID_TO)*('Dvd Calendar'!$H$1310&gt;VAL_DATE)=0,"",'Dvd Calendar'!$H$1310*1000000000+ISNUMBER('Dvd Calendar'!$H$1311)*100000000+0*10000000+(N('Dvd Calendar'!$H$1309)&gt;0)*(N('Dvd Calendar'!$H$1309)&lt;=VAL_SERIAL)*1000000+18*1000+44))</f>
        <v/>
      </c>
      <c r="FW133" s="121">
        <f>IF(N('Dvd Calendar'!$I$1310)=0,"",IF(('Dvd Calendar'!$I$1310&gt;=GRID_FROM)*('Dvd Calendar'!$I$1310&lt;=GRID_TO)*('Dvd Calendar'!$I$1310&gt;VAL_DATE)=0,"",'Dvd Calendar'!$I$1310*1000000000+ISNUMBER('Dvd Calendar'!$I$1311)*100000000+0*10000000+(N('Dvd Calendar'!$I$1309)&gt;0)*(N('Dvd Calendar'!$I$1309)&lt;=VAL_SERIAL)*1000000+18*1000+45))</f>
        <v/>
      </c>
      <c r="FX133" s="121">
        <f>IF(N('Dvd Calendar'!$J$1310)=0,"",IF(('Dvd Calendar'!$J$1310&gt;=GRID_FROM)*('Dvd Calendar'!$J$1310&lt;=GRID_TO)*('Dvd Calendar'!$J$1310&gt;VAL_DATE)=0,"",'Dvd Calendar'!$J$1310*1000000000+ISNUMBER('Dvd Calendar'!$J$1311)*100000000+0*10000000+(N('Dvd Calendar'!$J$1309)&gt;0)*(N('Dvd Calendar'!$J$1309)&lt;=VAL_SERIAL)*1000000+18*1000+46))</f>
        <v/>
      </c>
      <c r="FY133" s="121">
        <f>IF(N('Dvd Calendar'!$K$1310)=0,"",IF(('Dvd Calendar'!$K$1310&gt;=GRID_FROM)*('Dvd Calendar'!$K$1310&lt;=GRID_TO)*('Dvd Calendar'!$K$1310&gt;VAL_DATE)=0,"",'Dvd Calendar'!$K$1310*1000000000+ISNUMBER('Dvd Calendar'!$K$1311)*100000000+0*10000000+(N('Dvd Calendar'!$K$1309)&gt;0)*(N('Dvd Calendar'!$K$1309)&lt;=VAL_SERIAL)*1000000+18*1000+47))</f>
        <v/>
      </c>
      <c r="FZ133" s="121">
        <f>IF(N('Dvd Calendar'!$L$1310)=0,"",IF(('Dvd Calendar'!$L$1310&gt;=GRID_FROM)*('Dvd Calendar'!$L$1310&lt;=GRID_TO)*('Dvd Calendar'!$L$1310&gt;VAL_DATE)=0,"",'Dvd Calendar'!$L$1310*1000000000+ISNUMBER('Dvd Calendar'!$L$1311)*100000000+0*10000000+(N('Dvd Calendar'!$L$1309)&gt;0)*(N('Dvd Calendar'!$L$1309)&lt;=VAL_SERIAL)*1000000+18*1000+48))</f>
        <v/>
      </c>
      <c r="GA133" s="121">
        <f>IF(N('Dvd Calendar'!$M$1310)=0,"",IF(('Dvd Calendar'!$M$1310&gt;=GRID_FROM)*('Dvd Calendar'!$M$1310&lt;=GRID_TO)*('Dvd Calendar'!$M$1310&gt;VAL_DATE)=0,"",'Dvd Calendar'!$M$1310*1000000000+ISNUMBER('Dvd Calendar'!$M$1311)*100000000+0*10000000+(N('Dvd Calendar'!$M$1309)&gt;0)*(N('Dvd Calendar'!$M$1309)&lt;=VAL_SERIAL)*1000000+18*1000+49))</f>
        <v/>
      </c>
      <c r="GB133" s="121">
        <f>IF(N('Dvd Calendar'!$N$1310)=0,"",IF(('Dvd Calendar'!$N$1310&gt;=GRID_FROM)*('Dvd Calendar'!$N$1310&lt;=GRID_TO)*('Dvd Calendar'!$N$1310&gt;VAL_DATE)=0,"",'Dvd Calendar'!$N$1310*1000000000+ISNUMBER('Dvd Calendar'!$N$1311)*100000000+0*10000000+(N('Dvd Calendar'!$N$1309)&gt;0)*(N('Dvd Calendar'!$N$1309)&lt;=VAL_SERIAL)*1000000+18*1000+50))</f>
        <v/>
      </c>
      <c r="GC133" s="121">
        <f>IF(N('Dvd Calendar'!$O$1310)=0,"",IF(('Dvd Calendar'!$O$1310&gt;=GRID_FROM)*('Dvd Calendar'!$O$1310&lt;=GRID_TO)*('Dvd Calendar'!$O$1310&gt;VAL_DATE)=0,"",'Dvd Calendar'!$O$1310*1000000000+ISNUMBER('Dvd Calendar'!$O$1311)*100000000+0*10000000+(N('Dvd Calendar'!$O$1309)&gt;0)*(N('Dvd Calendar'!$O$1309)&lt;=VAL_SERIAL)*1000000+18*1000+51))</f>
        <v/>
      </c>
      <c r="GD133" s="121">
        <f>IF(N('Dvd Calendar'!$P$1310)=0,"",IF(('Dvd Calendar'!$P$1310&gt;=GRID_FROM)*('Dvd Calendar'!$P$1310&lt;=GRID_TO)*('Dvd Calendar'!$P$1310&gt;VAL_DATE)=0,"",'Dvd Calendar'!$P$1310*1000000000+ISNUMBER('Dvd Calendar'!$P$1311)*100000000+0*10000000+(N('Dvd Calendar'!$P$1309)&gt;0)*(N('Dvd Calendar'!$P$1309)&lt;=VAL_SERIAL)*1000000+18*1000+52))</f>
        <v/>
      </c>
      <c r="GE133" s="121">
        <f>IF(N('Dvd Calendar'!$Q$1310)=0,"",IF(('Dvd Calendar'!$Q$1310&gt;=GRID_FROM)*('Dvd Calendar'!$Q$1310&lt;=GRID_TO)*('Dvd Calendar'!$Q$1310&gt;VAL_DATE)=0,"",'Dvd Calendar'!$Q$1310*1000000000+ISNUMBER('Dvd Calendar'!$Q$1311)*100000000+0*10000000+(N('Dvd Calendar'!$Q$1309)&gt;0)*(N('Dvd Calendar'!$Q$1309)&lt;=VAL_SERIAL)*1000000+18*1000+53))</f>
        <v/>
      </c>
      <c r="GF133" s="121">
        <f>IF(N('Dvd Calendar'!$R$1310)=0,"",IF(('Dvd Calendar'!$R$1310&gt;=GRID_FROM)*('Dvd Calendar'!$R$1310&lt;=GRID_TO)*('Dvd Calendar'!$R$1310&gt;VAL_DATE)=0,"",'Dvd Calendar'!$R$1310*1000000000+ISNUMBER('Dvd Calendar'!$R$1311)*100000000+0*10000000+(N('Dvd Calendar'!$R$1309)&gt;0)*(N('Dvd Calendar'!$R$1309)&lt;=VAL_SERIAL)*1000000+18*1000+54))</f>
        <v/>
      </c>
      <c r="GG133" s="121">
        <f>IF(N('Dvd Calendar'!$S$1310)=0,"",IF(('Dvd Calendar'!$S$1310&gt;=GRID_FROM)*('Dvd Calendar'!$S$1310&lt;=GRID_TO)*('Dvd Calendar'!$S$1310&gt;VAL_DATE)=0,"",'Dvd Calendar'!$S$1310*1000000000+ISNUMBER('Dvd Calendar'!$S$1311)*100000000+0*10000000+(N('Dvd Calendar'!$S$1309)&gt;0)*(N('Dvd Calendar'!$S$1309)&lt;=VAL_SERIAL)*1000000+18*1000+55))</f>
        <v/>
      </c>
      <c r="GH133" s="121">
        <f>IF(N('Dvd Calendar'!$T$1310)=0,"",IF(('Dvd Calendar'!$T$1310&gt;=GRID_FROM)*('Dvd Calendar'!$T$1310&lt;=GRID_TO)*('Dvd Calendar'!$T$1310&gt;VAL_DATE)=0,"",'Dvd Calendar'!$T$1310*1000000000+ISNUMBER('Dvd Calendar'!$T$1311)*100000000+0*10000000+(N('Dvd Calendar'!$T$1309)&gt;0)*(N('Dvd Calendar'!$T$1309)&lt;=VAL_SERIAL)*1000000+18*1000+56))</f>
        <v/>
      </c>
      <c r="GI133" s="121">
        <f>IF(N('Dvd Calendar'!$U$1310)=0,"",IF(('Dvd Calendar'!$U$1310&gt;=GRID_FROM)*('Dvd Calendar'!$U$1310&lt;=GRID_TO)*('Dvd Calendar'!$U$1310&gt;VAL_DATE)=0,"",'Dvd Calendar'!$U$1310*1000000000+ISNUMBER('Dvd Calendar'!$U$1311)*100000000+0*10000000+(N('Dvd Calendar'!$U$1309)&gt;0)*(N('Dvd Calendar'!$U$1309)&lt;=VAL_SERIAL)*1000000+18*1000+57))</f>
        <v/>
      </c>
      <c r="GJ133" s="121">
        <f>IF(N('Dvd Calendar'!$V$1310)=0,"",IF(('Dvd Calendar'!$V$1310&gt;=GRID_FROM)*('Dvd Calendar'!$V$1310&lt;=GRID_TO)*('Dvd Calendar'!$V$1310&gt;VAL_DATE)=0,"",'Dvd Calendar'!$V$1310*1000000000+ISNUMBER('Dvd Calendar'!$V$1311)*100000000+0*10000000+(N('Dvd Calendar'!$V$1309)&gt;0)*(N('Dvd Calendar'!$V$1309)&lt;=VAL_SERIAL)*1000000+18*1000+58))</f>
        <v/>
      </c>
      <c r="GK133" s="121">
        <f>IF(N('Dvd Calendar'!$W$1310)=0,"",IF(('Dvd Calendar'!$W$1310&gt;=GRID_FROM)*('Dvd Calendar'!$W$1310&lt;=GRID_TO)*('Dvd Calendar'!$W$1310&gt;VAL_DATE)=0,"",'Dvd Calendar'!$W$1310*1000000000+ISNUMBER('Dvd Calendar'!$W$1311)*100000000+0*10000000+(N('Dvd Calendar'!$W$1309)&gt;0)*(N('Dvd Calendar'!$W$1309)&lt;=VAL_SERIAL)*1000000+18*1000+59))</f>
        <v/>
      </c>
      <c r="GL133" s="121">
        <f>IF(N('Dvd Calendar'!$X$1310)=0,"",IF(('Dvd Calendar'!$X$1310&gt;=GRID_FROM)*('Dvd Calendar'!$X$1310&lt;=GRID_TO)*('Dvd Calendar'!$X$1310&gt;VAL_DATE)=0,"",'Dvd Calendar'!$X$1310*1000000000+ISNUMBER('Dvd Calendar'!$X$1311)*100000000+0*10000000+(N('Dvd Calendar'!$X$1309)&gt;0)*(N('Dvd Calendar'!$X$1309)&lt;=VAL_SERIAL)*1000000+18*1000+60))</f>
        <v/>
      </c>
      <c r="GM133" s="121">
        <f>IF(N('Dvd Calendar'!$Y$1310)=0,"",IF(('Dvd Calendar'!$Y$1310&gt;=GRID_FROM)*('Dvd Calendar'!$Y$1310&lt;=GRID_TO)*('Dvd Calendar'!$Y$1310&gt;VAL_DATE)=0,"",'Dvd Calendar'!$Y$1310*1000000000+ISNUMBER('Dvd Calendar'!$Y$1311)*100000000+0*10000000+(N('Dvd Calendar'!$Y$1309)&gt;0)*(N('Dvd Calendar'!$Y$1309)&lt;=VAL_SERIAL)*1000000+18*1000+61))</f>
        <v/>
      </c>
      <c r="GN133" s="121">
        <f>IF(N('Dvd Calendar'!$Z$1310)=0,"",IF(('Dvd Calendar'!$Z$1310&gt;=GRID_FROM)*('Dvd Calendar'!$Z$1310&lt;=GRID_TO)*('Dvd Calendar'!$Z$1310&gt;VAL_DATE)=0,"",'Dvd Calendar'!$Z$1310*1000000000+ISNUMBER('Dvd Calendar'!$Z$1311)*100000000+0*10000000+(N('Dvd Calendar'!$Z$1309)&gt;0)*(N('Dvd Calendar'!$Z$1309)&lt;=VAL_SERIAL)*1000000+18*1000+62))</f>
        <v/>
      </c>
      <c r="GO133" s="121">
        <f>IF(N('Dvd Calendar'!$AA$1310)=0,"",IF(('Dvd Calendar'!$AA$1310&gt;=GRID_FROM)*('Dvd Calendar'!$AA$1310&lt;=GRID_TO)*('Dvd Calendar'!$AA$1310&gt;VAL_DATE)=0,"",'Dvd Calendar'!$AA$1310*1000000000+ISNUMBER('Dvd Calendar'!$AA$1311)*100000000+0*10000000+(N('Dvd Calendar'!$AA$1309)&gt;0)*(N('Dvd Calendar'!$AA$1309)&lt;=VAL_SERIAL)*1000000+18*1000+63))</f>
        <v/>
      </c>
      <c r="GP133" s="121">
        <f>IF(N('Dvd Calendar'!$AB$1310)=0,"",IF(('Dvd Calendar'!$AB$1310&gt;=GRID_FROM)*('Dvd Calendar'!$AB$1310&lt;=GRID_TO)*('Dvd Calendar'!$AB$1310&gt;VAL_DATE)=0,"",'Dvd Calendar'!$AB$1310*1000000000+ISNUMBER('Dvd Calendar'!$AB$1311)*100000000+0*10000000+(N('Dvd Calendar'!$AB$1309)&gt;0)*(N('Dvd Calendar'!$AB$1309)&lt;=VAL_SERIAL)*1000000+18*1000+64))</f>
        <v/>
      </c>
      <c r="GQ133" s="121">
        <f>IF(N('Dvd Calendar'!$AC$1310)=0,"",IF(('Dvd Calendar'!$AC$1310&gt;=GRID_FROM)*('Dvd Calendar'!$AC$1310&lt;=GRID_TO)*('Dvd Calendar'!$AC$1310&gt;VAL_DATE)=0,"",'Dvd Calendar'!$AC$1310*1000000000+ISNUMBER('Dvd Calendar'!$AC$1311)*100000000+0*10000000+(N('Dvd Calendar'!$AC$1309)&gt;0)*(N('Dvd Calendar'!$AC$1309)&lt;=VAL_SERIAL)*1000000+18*1000+65))</f>
        <v/>
      </c>
    </row>
    <row r="134">
      <c r="B134" s="2">
        <f>IF(HSTECH!$C$25="","",HSTECH!$C$25)</f>
        <v/>
      </c>
      <c r="C134" s="161">
        <f>IF(EE134="","",IF(ISNUMBER('Dvd Calendar'!$E$1317)=FALSE,"",IF((('Dvd Calendar'!$E$1319=TYPE1)*(TYPE1&lt;&gt;"")+('Dvd Calendar'!$E$1319=TYPE2)*(TYPE2&lt;&gt;"")+('Dvd Calendar'!$E$1319=TYPE3)*(TYPE3&lt;&gt;"")+('Dvd Calendar'!$E$1319=TYPE4)*(TYPE4&lt;&gt;"")+('Dvd Calendar'!$E$1319=SPECIAL_LBL)*(INC_SPECIALS="Y"))=0,"",'Dvd Calendar'!$E$1317)))</f>
        <v/>
      </c>
      <c r="D134" s="161">
        <f>IF(EF134="","",IF(ISNUMBER('Dvd Calendar'!$F$1317)=FALSE,"",IF((('Dvd Calendar'!$F$1319=TYPE1)*(TYPE1&lt;&gt;"")+('Dvd Calendar'!$F$1319=TYPE2)*(TYPE2&lt;&gt;"")+('Dvd Calendar'!$F$1319=TYPE3)*(TYPE3&lt;&gt;"")+('Dvd Calendar'!$F$1319=TYPE4)*(TYPE4&lt;&gt;"")+('Dvd Calendar'!$F$1319=SPECIAL_LBL)*(INC_SPECIALS="Y"))=0,"",'Dvd Calendar'!$F$1317)))</f>
        <v/>
      </c>
      <c r="E134" s="161">
        <f>IF(EG134="","",IF(ISNUMBER('Dvd Calendar'!$G$1317)=FALSE,"",IF((('Dvd Calendar'!$G$1319=TYPE1)*(TYPE1&lt;&gt;"")+('Dvd Calendar'!$G$1319=TYPE2)*(TYPE2&lt;&gt;"")+('Dvd Calendar'!$G$1319=TYPE3)*(TYPE3&lt;&gt;"")+('Dvd Calendar'!$G$1319=TYPE4)*(TYPE4&lt;&gt;"")+('Dvd Calendar'!$G$1319=SPECIAL_LBL)*(INC_SPECIALS="Y"))=0,"",'Dvd Calendar'!$G$1317)))</f>
        <v/>
      </c>
      <c r="F134" s="161">
        <f>IF(EH134="","",IF(ISNUMBER('Dvd Calendar'!$H$1317)=FALSE,"",IF((('Dvd Calendar'!$H$1319=TYPE1)*(TYPE1&lt;&gt;"")+('Dvd Calendar'!$H$1319=TYPE2)*(TYPE2&lt;&gt;"")+('Dvd Calendar'!$H$1319=TYPE3)*(TYPE3&lt;&gt;"")+('Dvd Calendar'!$H$1319=TYPE4)*(TYPE4&lt;&gt;"")+('Dvd Calendar'!$H$1319=SPECIAL_LBL)*(INC_SPECIALS="Y"))=0,"",'Dvd Calendar'!$H$1317)))</f>
        <v/>
      </c>
      <c r="G134" s="161">
        <f>IF(EI134="","",IF(ISNUMBER('Dvd Calendar'!$I$1317)=FALSE,"",IF((('Dvd Calendar'!$I$1319=TYPE1)*(TYPE1&lt;&gt;"")+('Dvd Calendar'!$I$1319=TYPE2)*(TYPE2&lt;&gt;"")+('Dvd Calendar'!$I$1319=TYPE3)*(TYPE3&lt;&gt;"")+('Dvd Calendar'!$I$1319=TYPE4)*(TYPE4&lt;&gt;"")+('Dvd Calendar'!$I$1319=SPECIAL_LBL)*(INC_SPECIALS="Y"))=0,"",'Dvd Calendar'!$I$1317)))</f>
        <v/>
      </c>
      <c r="H134" s="161">
        <f>IF(EJ134="","",IF(ISNUMBER('Dvd Calendar'!$J$1317)=FALSE,"",IF((('Dvd Calendar'!$J$1319=TYPE1)*(TYPE1&lt;&gt;"")+('Dvd Calendar'!$J$1319=TYPE2)*(TYPE2&lt;&gt;"")+('Dvd Calendar'!$J$1319=TYPE3)*(TYPE3&lt;&gt;"")+('Dvd Calendar'!$J$1319=TYPE4)*(TYPE4&lt;&gt;"")+('Dvd Calendar'!$J$1319=SPECIAL_LBL)*(INC_SPECIALS="Y"))=0,"",'Dvd Calendar'!$J$1317)))</f>
        <v/>
      </c>
      <c r="I134" s="161">
        <f>IF(EK134="","",IF(ISNUMBER('Dvd Calendar'!$K$1317)=FALSE,"",IF((('Dvd Calendar'!$K$1319=TYPE1)*(TYPE1&lt;&gt;"")+('Dvd Calendar'!$K$1319=TYPE2)*(TYPE2&lt;&gt;"")+('Dvd Calendar'!$K$1319=TYPE3)*(TYPE3&lt;&gt;"")+('Dvd Calendar'!$K$1319=TYPE4)*(TYPE4&lt;&gt;"")+('Dvd Calendar'!$K$1319=SPECIAL_LBL)*(INC_SPECIALS="Y"))=0,"",'Dvd Calendar'!$K$1317)))</f>
        <v/>
      </c>
      <c r="J134" s="161">
        <f>IF(EL134="","",IF(ISNUMBER('Dvd Calendar'!$L$1317)=FALSE,"",IF((('Dvd Calendar'!$L$1319=TYPE1)*(TYPE1&lt;&gt;"")+('Dvd Calendar'!$L$1319=TYPE2)*(TYPE2&lt;&gt;"")+('Dvd Calendar'!$L$1319=TYPE3)*(TYPE3&lt;&gt;"")+('Dvd Calendar'!$L$1319=TYPE4)*(TYPE4&lt;&gt;"")+('Dvd Calendar'!$L$1319=SPECIAL_LBL)*(INC_SPECIALS="Y"))=0,"",'Dvd Calendar'!$L$1317)))</f>
        <v/>
      </c>
      <c r="K134" s="161">
        <f>IF(EM134="","",IF(ISNUMBER('Dvd Calendar'!$M$1317)=FALSE,"",IF((('Dvd Calendar'!$M$1319=TYPE1)*(TYPE1&lt;&gt;"")+('Dvd Calendar'!$M$1319=TYPE2)*(TYPE2&lt;&gt;"")+('Dvd Calendar'!$M$1319=TYPE3)*(TYPE3&lt;&gt;"")+('Dvd Calendar'!$M$1319=TYPE4)*(TYPE4&lt;&gt;"")+('Dvd Calendar'!$M$1319=SPECIAL_LBL)*(INC_SPECIALS="Y"))=0,"",'Dvd Calendar'!$M$1317)))</f>
        <v/>
      </c>
      <c r="L134" s="161">
        <f>IF(EN134="","",IF(ISNUMBER('Dvd Calendar'!$N$1317)=FALSE,"",IF((('Dvd Calendar'!$N$1319=TYPE1)*(TYPE1&lt;&gt;"")+('Dvd Calendar'!$N$1319=TYPE2)*(TYPE2&lt;&gt;"")+('Dvd Calendar'!$N$1319=TYPE3)*(TYPE3&lt;&gt;"")+('Dvd Calendar'!$N$1319=TYPE4)*(TYPE4&lt;&gt;"")+('Dvd Calendar'!$N$1319=SPECIAL_LBL)*(INC_SPECIALS="Y"))=0,"",'Dvd Calendar'!$N$1317)))</f>
        <v/>
      </c>
      <c r="M134" s="161">
        <f>IF(EO134="","",IF(ISNUMBER('Dvd Calendar'!$O$1317)=FALSE,"",IF((('Dvd Calendar'!$O$1319=TYPE1)*(TYPE1&lt;&gt;"")+('Dvd Calendar'!$O$1319=TYPE2)*(TYPE2&lt;&gt;"")+('Dvd Calendar'!$O$1319=TYPE3)*(TYPE3&lt;&gt;"")+('Dvd Calendar'!$O$1319=TYPE4)*(TYPE4&lt;&gt;"")+('Dvd Calendar'!$O$1319=SPECIAL_LBL)*(INC_SPECIALS="Y"))=0,"",'Dvd Calendar'!$O$1317)))</f>
        <v/>
      </c>
      <c r="N134" s="161">
        <f>IF(EP134="","",IF(ISNUMBER('Dvd Calendar'!$P$1317)=FALSE,"",IF((('Dvd Calendar'!$P$1319=TYPE1)*(TYPE1&lt;&gt;"")+('Dvd Calendar'!$P$1319=TYPE2)*(TYPE2&lt;&gt;"")+('Dvd Calendar'!$P$1319=TYPE3)*(TYPE3&lt;&gt;"")+('Dvd Calendar'!$P$1319=TYPE4)*(TYPE4&lt;&gt;"")+('Dvd Calendar'!$P$1319=SPECIAL_LBL)*(INC_SPECIALS="Y"))=0,"",'Dvd Calendar'!$P$1317)))</f>
        <v/>
      </c>
      <c r="O134" s="161">
        <f>IF(EQ134="","",IF(ISNUMBER('Dvd Calendar'!$Q$1317)=FALSE,"",IF((('Dvd Calendar'!$Q$1319=TYPE1)*(TYPE1&lt;&gt;"")+('Dvd Calendar'!$Q$1319=TYPE2)*(TYPE2&lt;&gt;"")+('Dvd Calendar'!$Q$1319=TYPE3)*(TYPE3&lt;&gt;"")+('Dvd Calendar'!$Q$1319=TYPE4)*(TYPE4&lt;&gt;"")+('Dvd Calendar'!$Q$1319=SPECIAL_LBL)*(INC_SPECIALS="Y"))=0,"",'Dvd Calendar'!$Q$1317)))</f>
        <v/>
      </c>
      <c r="P134" s="161">
        <f>IF(ER134="","",IF(ISNUMBER('Dvd Calendar'!$R$1317)=FALSE,"",IF((('Dvd Calendar'!$R$1319=TYPE1)*(TYPE1&lt;&gt;"")+('Dvd Calendar'!$R$1319=TYPE2)*(TYPE2&lt;&gt;"")+('Dvd Calendar'!$R$1319=TYPE3)*(TYPE3&lt;&gt;"")+('Dvd Calendar'!$R$1319=TYPE4)*(TYPE4&lt;&gt;"")+('Dvd Calendar'!$R$1319=SPECIAL_LBL)*(INC_SPECIALS="Y"))=0,"",'Dvd Calendar'!$R$1317)))</f>
        <v/>
      </c>
      <c r="Q134" s="161">
        <f>IF(ES134="","",IF(ISNUMBER('Dvd Calendar'!$S$1317)=FALSE,"",IF((('Dvd Calendar'!$S$1319=TYPE1)*(TYPE1&lt;&gt;"")+('Dvd Calendar'!$S$1319=TYPE2)*(TYPE2&lt;&gt;"")+('Dvd Calendar'!$S$1319=TYPE3)*(TYPE3&lt;&gt;"")+('Dvd Calendar'!$S$1319=TYPE4)*(TYPE4&lt;&gt;"")+('Dvd Calendar'!$S$1319=SPECIAL_LBL)*(INC_SPECIALS="Y"))=0,"",'Dvd Calendar'!$S$1317)))</f>
        <v/>
      </c>
      <c r="R134" s="161">
        <f>IF(ET134="","",IF(ISNUMBER('Dvd Calendar'!$T$1317)=FALSE,"",IF((('Dvd Calendar'!$T$1319=TYPE1)*(TYPE1&lt;&gt;"")+('Dvd Calendar'!$T$1319=TYPE2)*(TYPE2&lt;&gt;"")+('Dvd Calendar'!$T$1319=TYPE3)*(TYPE3&lt;&gt;"")+('Dvd Calendar'!$T$1319=TYPE4)*(TYPE4&lt;&gt;"")+('Dvd Calendar'!$T$1319=SPECIAL_LBL)*(INC_SPECIALS="Y"))=0,"",'Dvd Calendar'!$T$1317)))</f>
        <v/>
      </c>
      <c r="S134" s="161">
        <f>IF(EU134="","",IF(ISNUMBER('Dvd Calendar'!$U$1317)=FALSE,"",IF((('Dvd Calendar'!$U$1319=TYPE1)*(TYPE1&lt;&gt;"")+('Dvd Calendar'!$U$1319=TYPE2)*(TYPE2&lt;&gt;"")+('Dvd Calendar'!$U$1319=TYPE3)*(TYPE3&lt;&gt;"")+('Dvd Calendar'!$U$1319=TYPE4)*(TYPE4&lt;&gt;"")+('Dvd Calendar'!$U$1319=SPECIAL_LBL)*(INC_SPECIALS="Y"))=0,"",'Dvd Calendar'!$U$1317)))</f>
        <v/>
      </c>
      <c r="T134" s="161">
        <f>IF(EV134="","",IF(ISNUMBER('Dvd Calendar'!$V$1317)=FALSE,"",IF((('Dvd Calendar'!$V$1319=TYPE1)*(TYPE1&lt;&gt;"")+('Dvd Calendar'!$V$1319=TYPE2)*(TYPE2&lt;&gt;"")+('Dvd Calendar'!$V$1319=TYPE3)*(TYPE3&lt;&gt;"")+('Dvd Calendar'!$V$1319=TYPE4)*(TYPE4&lt;&gt;"")+('Dvd Calendar'!$V$1319=SPECIAL_LBL)*(INC_SPECIALS="Y"))=0,"",'Dvd Calendar'!$V$1317)))</f>
        <v/>
      </c>
      <c r="U134" s="161">
        <f>IF(EW134="","",IF(ISNUMBER('Dvd Calendar'!$W$1317)=FALSE,"",IF((('Dvd Calendar'!$W$1319=TYPE1)*(TYPE1&lt;&gt;"")+('Dvd Calendar'!$W$1319=TYPE2)*(TYPE2&lt;&gt;"")+('Dvd Calendar'!$W$1319=TYPE3)*(TYPE3&lt;&gt;"")+('Dvd Calendar'!$W$1319=TYPE4)*(TYPE4&lt;&gt;"")+('Dvd Calendar'!$W$1319=SPECIAL_LBL)*(INC_SPECIALS="Y"))=0,"",'Dvd Calendar'!$W$1317)))</f>
        <v/>
      </c>
      <c r="V134" s="161">
        <f>IF(EX134="","",IF(ISNUMBER('Dvd Calendar'!$X$1317)=FALSE,"",IF((('Dvd Calendar'!$X$1319=TYPE1)*(TYPE1&lt;&gt;"")+('Dvd Calendar'!$X$1319=TYPE2)*(TYPE2&lt;&gt;"")+('Dvd Calendar'!$X$1319=TYPE3)*(TYPE3&lt;&gt;"")+('Dvd Calendar'!$X$1319=TYPE4)*(TYPE4&lt;&gt;"")+('Dvd Calendar'!$X$1319=SPECIAL_LBL)*(INC_SPECIALS="Y"))=0,"",'Dvd Calendar'!$X$1317)))</f>
        <v/>
      </c>
      <c r="W134" s="161">
        <f>IF(EY134="","",IF(ISNUMBER('Dvd Calendar'!$Y$1317)=FALSE,"",IF((('Dvd Calendar'!$Y$1319=TYPE1)*(TYPE1&lt;&gt;"")+('Dvd Calendar'!$Y$1319=TYPE2)*(TYPE2&lt;&gt;"")+('Dvd Calendar'!$Y$1319=TYPE3)*(TYPE3&lt;&gt;"")+('Dvd Calendar'!$Y$1319=TYPE4)*(TYPE4&lt;&gt;"")+('Dvd Calendar'!$Y$1319=SPECIAL_LBL)*(INC_SPECIALS="Y"))=0,"",'Dvd Calendar'!$Y$1317)))</f>
        <v/>
      </c>
      <c r="X134" s="161">
        <f>IF(EZ134="","",IF(ISNUMBER('Dvd Calendar'!$Z$1317)=FALSE,"",IF((('Dvd Calendar'!$Z$1319=TYPE1)*(TYPE1&lt;&gt;"")+('Dvd Calendar'!$Z$1319=TYPE2)*(TYPE2&lt;&gt;"")+('Dvd Calendar'!$Z$1319=TYPE3)*(TYPE3&lt;&gt;"")+('Dvd Calendar'!$Z$1319=TYPE4)*(TYPE4&lt;&gt;"")+('Dvd Calendar'!$Z$1319=SPECIAL_LBL)*(INC_SPECIALS="Y"))=0,"",'Dvd Calendar'!$Z$1317)))</f>
        <v/>
      </c>
      <c r="Y134" s="161">
        <f>IF(FA134="","",IF(ISNUMBER('Dvd Calendar'!$AA$1317)=FALSE,"",IF((('Dvd Calendar'!$AA$1319=TYPE1)*(TYPE1&lt;&gt;"")+('Dvd Calendar'!$AA$1319=TYPE2)*(TYPE2&lt;&gt;"")+('Dvd Calendar'!$AA$1319=TYPE3)*(TYPE3&lt;&gt;"")+('Dvd Calendar'!$AA$1319=TYPE4)*(TYPE4&lt;&gt;"")+('Dvd Calendar'!$AA$1319=SPECIAL_LBL)*(INC_SPECIALS="Y"))=0,"",'Dvd Calendar'!$AA$1317)))</f>
        <v/>
      </c>
      <c r="Z134" s="161">
        <f>IF(FB134="","",IF(ISNUMBER('Dvd Calendar'!$AB$1317)=FALSE,"",IF((('Dvd Calendar'!$AB$1319=TYPE1)*(TYPE1&lt;&gt;"")+('Dvd Calendar'!$AB$1319=TYPE2)*(TYPE2&lt;&gt;"")+('Dvd Calendar'!$AB$1319=TYPE3)*(TYPE3&lt;&gt;"")+('Dvd Calendar'!$AB$1319=TYPE4)*(TYPE4&lt;&gt;"")+('Dvd Calendar'!$AB$1319=SPECIAL_LBL)*(INC_SPECIALS="Y"))=0,"",'Dvd Calendar'!$AB$1317)))</f>
        <v/>
      </c>
      <c r="AA134" s="161">
        <f>IF(FC134="","",IF(ISNUMBER('Dvd Calendar'!$AC$1317)=FALSE,"",IF((('Dvd Calendar'!$AC$1319=TYPE1)*(TYPE1&lt;&gt;"")+('Dvd Calendar'!$AC$1319=TYPE2)*(TYPE2&lt;&gt;"")+('Dvd Calendar'!$AC$1319=TYPE3)*(TYPE3&lt;&gt;"")+('Dvd Calendar'!$AC$1319=TYPE4)*(TYPE4&lt;&gt;"")+('Dvd Calendar'!$AC$1319=SPECIAL_LBL)*(INC_SPECIALS="Y"))=0,"",'Dvd Calendar'!$AC$1317)))</f>
        <v/>
      </c>
      <c r="AB134" s="161">
        <f>IF(FD134="","",IF(ISNUMBER('Dvd Calendar'!$AD$1317)=FALSE,"",IF((('Dvd Calendar'!$AD$1319=TYPE1)*(TYPE1&lt;&gt;"")+('Dvd Calendar'!$AD$1319=TYPE2)*(TYPE2&lt;&gt;"")+('Dvd Calendar'!$AD$1319=TYPE3)*(TYPE3&lt;&gt;"")+('Dvd Calendar'!$AD$1319=TYPE4)*(TYPE4&lt;&gt;"")+('Dvd Calendar'!$AD$1319=SPECIAL_LBL)*(INC_SPECIALS="Y"))=0,"",'Dvd Calendar'!$AD$1317)))</f>
        <v/>
      </c>
      <c r="AC134" s="161">
        <f>IF(FE134="","",IF(ISNUMBER('Dvd Calendar'!$AE$1317)=FALSE,"",IF((('Dvd Calendar'!$AE$1319=TYPE1)*(TYPE1&lt;&gt;"")+('Dvd Calendar'!$AE$1319=TYPE2)*(TYPE2&lt;&gt;"")+('Dvd Calendar'!$AE$1319=TYPE3)*(TYPE3&lt;&gt;"")+('Dvd Calendar'!$AE$1319=TYPE4)*(TYPE4&lt;&gt;"")+('Dvd Calendar'!$AE$1319=SPECIAL_LBL)*(INC_SPECIALS="Y"))=0,"",'Dvd Calendar'!$AE$1317)))</f>
        <v/>
      </c>
      <c r="AD134" s="161">
        <f>IF(FF134="","",IF(ISNUMBER('Dvd Calendar'!$AF$1317)=FALSE,"",IF((('Dvd Calendar'!$AF$1319=TYPE1)*(TYPE1&lt;&gt;"")+('Dvd Calendar'!$AF$1319=TYPE2)*(TYPE2&lt;&gt;"")+('Dvd Calendar'!$AF$1319=TYPE3)*(TYPE3&lt;&gt;"")+('Dvd Calendar'!$AF$1319=TYPE4)*(TYPE4&lt;&gt;"")+('Dvd Calendar'!$AF$1319=SPECIAL_LBL)*(INC_SPECIALS="Y"))=0,"",'Dvd Calendar'!$AF$1317)))</f>
        <v/>
      </c>
      <c r="AE134" s="161">
        <f>IF(FG134="","",IF(ISNUMBER('Dvd Calendar'!$AG$1317)=FALSE,"",IF((('Dvd Calendar'!$AG$1319=TYPE1)*(TYPE1&lt;&gt;"")+('Dvd Calendar'!$AG$1319=TYPE2)*(TYPE2&lt;&gt;"")+('Dvd Calendar'!$AG$1319=TYPE3)*(TYPE3&lt;&gt;"")+('Dvd Calendar'!$AG$1319=TYPE4)*(TYPE4&lt;&gt;"")+('Dvd Calendar'!$AG$1319=SPECIAL_LBL)*(INC_SPECIALS="Y"))=0,"",'Dvd Calendar'!$AG$1317)))</f>
        <v/>
      </c>
      <c r="AF134" s="161">
        <f>IF(FH134="","",IF(ISNUMBER('Dvd Calendar'!$AH$1317)=FALSE,"",IF((('Dvd Calendar'!$AH$1319=TYPE1)*(TYPE1&lt;&gt;"")+('Dvd Calendar'!$AH$1319=TYPE2)*(TYPE2&lt;&gt;"")+('Dvd Calendar'!$AH$1319=TYPE3)*(TYPE3&lt;&gt;"")+('Dvd Calendar'!$AH$1319=TYPE4)*(TYPE4&lt;&gt;"")+('Dvd Calendar'!$AH$1319=SPECIAL_LBL)*(INC_SPECIALS="Y"))=0,"",'Dvd Calendar'!$AH$1317)))</f>
        <v/>
      </c>
      <c r="AG134" s="161">
        <f>IF(FI134="","",IF(ISNUMBER('Dvd Calendar'!$AI$1317)=FALSE,"",IF((('Dvd Calendar'!$AI$1319=TYPE1)*(TYPE1&lt;&gt;"")+('Dvd Calendar'!$AI$1319=TYPE2)*(TYPE2&lt;&gt;"")+('Dvd Calendar'!$AI$1319=TYPE3)*(TYPE3&lt;&gt;"")+('Dvd Calendar'!$AI$1319=TYPE4)*(TYPE4&lt;&gt;"")+('Dvd Calendar'!$AI$1319=SPECIAL_LBL)*(INC_SPECIALS="Y"))=0,"",'Dvd Calendar'!$AI$1317)))</f>
        <v/>
      </c>
      <c r="AH134" s="161">
        <f>IF(FJ134="","",IF(ISNUMBER('Dvd Calendar'!$AJ$1317)=FALSE,"",IF((('Dvd Calendar'!$AJ$1319=TYPE1)*(TYPE1&lt;&gt;"")+('Dvd Calendar'!$AJ$1319=TYPE2)*(TYPE2&lt;&gt;"")+('Dvd Calendar'!$AJ$1319=TYPE3)*(TYPE3&lt;&gt;"")+('Dvd Calendar'!$AJ$1319=TYPE4)*(TYPE4&lt;&gt;"")+('Dvd Calendar'!$AJ$1319=SPECIAL_LBL)*(INC_SPECIALS="Y"))=0,"",'Dvd Calendar'!$AJ$1317)))</f>
        <v/>
      </c>
      <c r="AI134" s="161">
        <f>IF(FK134="","",IF(ISNUMBER('Dvd Calendar'!$AK$1317)=FALSE,"",IF((('Dvd Calendar'!$AK$1319=TYPE1)*(TYPE1&lt;&gt;"")+('Dvd Calendar'!$AK$1319=TYPE2)*(TYPE2&lt;&gt;"")+('Dvd Calendar'!$AK$1319=TYPE3)*(TYPE3&lt;&gt;"")+('Dvd Calendar'!$AK$1319=TYPE4)*(TYPE4&lt;&gt;"")+('Dvd Calendar'!$AK$1319=SPECIAL_LBL)*(INC_SPECIALS="Y"))=0,"",'Dvd Calendar'!$AK$1317)))</f>
        <v/>
      </c>
      <c r="AJ134" s="161">
        <f>IF(FL134="","",IF(ISNUMBER('Dvd Calendar'!$AL$1317)=FALSE,"",IF((('Dvd Calendar'!$AL$1319=TYPE1)*(TYPE1&lt;&gt;"")+('Dvd Calendar'!$AL$1319=TYPE2)*(TYPE2&lt;&gt;"")+('Dvd Calendar'!$AL$1319=TYPE3)*(TYPE3&lt;&gt;"")+('Dvd Calendar'!$AL$1319=TYPE4)*(TYPE4&lt;&gt;"")+('Dvd Calendar'!$AL$1319=SPECIAL_LBL)*(INC_SPECIALS="Y"))=0,"",'Dvd Calendar'!$AL$1317)))</f>
        <v/>
      </c>
      <c r="AK134" s="161">
        <f>IF(FM134="","",IF(ISNUMBER('Dvd Calendar'!$AM$1317)=FALSE,"",IF((('Dvd Calendar'!$AM$1319=TYPE1)*(TYPE1&lt;&gt;"")+('Dvd Calendar'!$AM$1319=TYPE2)*(TYPE2&lt;&gt;"")+('Dvd Calendar'!$AM$1319=TYPE3)*(TYPE3&lt;&gt;"")+('Dvd Calendar'!$AM$1319=TYPE4)*(TYPE4&lt;&gt;"")+('Dvd Calendar'!$AM$1319=SPECIAL_LBL)*(INC_SPECIALS="Y"))=0,"",'Dvd Calendar'!$AM$1317)))</f>
        <v/>
      </c>
      <c r="AL134" s="161">
        <f>IF(FN134="","",IF(ISNUMBER('Dvd Calendar'!$AN$1317)=FALSE,"",IF((('Dvd Calendar'!$AN$1319=TYPE1)*(TYPE1&lt;&gt;"")+('Dvd Calendar'!$AN$1319=TYPE2)*(TYPE2&lt;&gt;"")+('Dvd Calendar'!$AN$1319=TYPE3)*(TYPE3&lt;&gt;"")+('Dvd Calendar'!$AN$1319=TYPE4)*(TYPE4&lt;&gt;"")+('Dvd Calendar'!$AN$1319=SPECIAL_LBL)*(INC_SPECIALS="Y"))=0,"",'Dvd Calendar'!$AN$1317)))</f>
        <v/>
      </c>
      <c r="AM134" s="161">
        <f>IF(FO134="","",IF(ISNUMBER('Dvd Calendar'!$AO$1317)=FALSE,"",IF((('Dvd Calendar'!$AO$1319=TYPE1)*(TYPE1&lt;&gt;"")+('Dvd Calendar'!$AO$1319=TYPE2)*(TYPE2&lt;&gt;"")+('Dvd Calendar'!$AO$1319=TYPE3)*(TYPE3&lt;&gt;"")+('Dvd Calendar'!$AO$1319=TYPE4)*(TYPE4&lt;&gt;"")+('Dvd Calendar'!$AO$1319=SPECIAL_LBL)*(INC_SPECIALS="Y"))=0,"",'Dvd Calendar'!$AO$1317)))</f>
        <v/>
      </c>
      <c r="AN134" s="161">
        <f>IF(FP134="","",IF(ISNUMBER('Dvd Calendar'!$AP$1317)=FALSE,"",IF((('Dvd Calendar'!$AP$1319=TYPE1)*(TYPE1&lt;&gt;"")+('Dvd Calendar'!$AP$1319=TYPE2)*(TYPE2&lt;&gt;"")+('Dvd Calendar'!$AP$1319=TYPE3)*(TYPE3&lt;&gt;"")+('Dvd Calendar'!$AP$1319=TYPE4)*(TYPE4&lt;&gt;"")+('Dvd Calendar'!$AP$1319=SPECIAL_LBL)*(INC_SPECIALS="Y"))=0,"",'Dvd Calendar'!$AP$1317)))</f>
        <v/>
      </c>
      <c r="AO134" s="161">
        <f>IF(FQ134="","",IF(ISNUMBER('Dvd Calendar'!$AQ$1317)=FALSE,"",IF((('Dvd Calendar'!$AQ$1319=TYPE1)*(TYPE1&lt;&gt;"")+('Dvd Calendar'!$AQ$1319=TYPE2)*(TYPE2&lt;&gt;"")+('Dvd Calendar'!$AQ$1319=TYPE3)*(TYPE3&lt;&gt;"")+('Dvd Calendar'!$AQ$1319=TYPE4)*(TYPE4&lt;&gt;"")+('Dvd Calendar'!$AQ$1319=SPECIAL_LBL)*(INC_SPECIALS="Y"))=0,"",'Dvd Calendar'!$AQ$1317)))</f>
        <v/>
      </c>
      <c r="AP134" s="161">
        <f>IF(FR134="","",IF(ISNUMBER('Dvd Calendar'!$AR$1317)=FALSE,"",IF((('Dvd Calendar'!$AR$1319=TYPE1)*(TYPE1&lt;&gt;"")+('Dvd Calendar'!$AR$1319=TYPE2)*(TYPE2&lt;&gt;"")+('Dvd Calendar'!$AR$1319=TYPE3)*(TYPE3&lt;&gt;"")+('Dvd Calendar'!$AR$1319=TYPE4)*(TYPE4&lt;&gt;"")+('Dvd Calendar'!$AR$1319=SPECIAL_LBL)*(INC_SPECIALS="Y"))=0,"",'Dvd Calendar'!$AR$1317)))</f>
        <v/>
      </c>
      <c r="AQ134" s="161">
        <f>IF(FS134="","",IF(ISNUMBER('Dvd Calendar'!$E$1322)=FALSE,"",'Dvd Calendar'!$E$1322))</f>
        <v/>
      </c>
      <c r="AR134" s="161">
        <f>IF(FT134="","",IF(ISNUMBER('Dvd Calendar'!$F$1322)=FALSE,"",'Dvd Calendar'!$F$1322))</f>
        <v/>
      </c>
      <c r="AS134" s="161">
        <f>IF(FU134="","",IF(ISNUMBER('Dvd Calendar'!$G$1322)=FALSE,"",'Dvd Calendar'!$G$1322))</f>
        <v/>
      </c>
      <c r="AT134" s="161">
        <f>IF(FV134="","",IF(ISNUMBER('Dvd Calendar'!$H$1322)=FALSE,"",'Dvd Calendar'!$H$1322))</f>
        <v/>
      </c>
      <c r="AU134" s="161">
        <f>IF(FW134="","",IF(ISNUMBER('Dvd Calendar'!$I$1322)=FALSE,"",'Dvd Calendar'!$I$1322))</f>
        <v/>
      </c>
      <c r="AV134" s="161">
        <f>IF(FX134="","",IF(ISNUMBER('Dvd Calendar'!$J$1322)=FALSE,"",'Dvd Calendar'!$J$1322))</f>
        <v/>
      </c>
      <c r="AW134" s="161">
        <f>IF(FY134="","",IF(ISNUMBER('Dvd Calendar'!$K$1322)=FALSE,"",'Dvd Calendar'!$K$1322))</f>
        <v/>
      </c>
      <c r="AX134" s="161">
        <f>IF(FZ134="","",IF(ISNUMBER('Dvd Calendar'!$L$1322)=FALSE,"",'Dvd Calendar'!$L$1322))</f>
        <v/>
      </c>
      <c r="AY134" s="161">
        <f>IF(GA134="","",IF(ISNUMBER('Dvd Calendar'!$M$1322)=FALSE,"",'Dvd Calendar'!$M$1322))</f>
        <v/>
      </c>
      <c r="AZ134" s="161">
        <f>IF(GB134="","",IF(ISNUMBER('Dvd Calendar'!$N$1322)=FALSE,"",'Dvd Calendar'!$N$1322))</f>
        <v/>
      </c>
      <c r="BA134" s="161">
        <f>IF(GC134="","",IF(ISNUMBER('Dvd Calendar'!$O$1322)=FALSE,"",'Dvd Calendar'!$O$1322))</f>
        <v/>
      </c>
      <c r="BB134" s="161">
        <f>IF(GD134="","",IF(ISNUMBER('Dvd Calendar'!$P$1322)=FALSE,"",'Dvd Calendar'!$P$1322))</f>
        <v/>
      </c>
      <c r="BC134" s="161">
        <f>IF(GE134="","",IF(ISNUMBER('Dvd Calendar'!$Q$1322)=FALSE,"",'Dvd Calendar'!$Q$1322))</f>
        <v/>
      </c>
      <c r="BD134" s="161">
        <f>IF(GF134="","",IF(ISNUMBER('Dvd Calendar'!$R$1322)=FALSE,"",'Dvd Calendar'!$R$1322))</f>
        <v/>
      </c>
      <c r="BE134" s="161">
        <f>IF(GG134="","",IF(ISNUMBER('Dvd Calendar'!$S$1322)=FALSE,"",'Dvd Calendar'!$S$1322))</f>
        <v/>
      </c>
      <c r="BF134" s="161">
        <f>IF(GH134="","",IF(ISNUMBER('Dvd Calendar'!$T$1322)=FALSE,"",'Dvd Calendar'!$T$1322))</f>
        <v/>
      </c>
      <c r="BG134" s="161">
        <f>IF(GI134="","",IF(ISNUMBER('Dvd Calendar'!$U$1322)=FALSE,"",'Dvd Calendar'!$U$1322))</f>
        <v/>
      </c>
      <c r="BH134" s="161">
        <f>IF(GJ134="","",IF(ISNUMBER('Dvd Calendar'!$V$1322)=FALSE,"",'Dvd Calendar'!$V$1322))</f>
        <v/>
      </c>
      <c r="BI134" s="161">
        <f>IF(GK134="","",IF(ISNUMBER('Dvd Calendar'!$W$1322)=FALSE,"",'Dvd Calendar'!$W$1322))</f>
        <v/>
      </c>
      <c r="BJ134" s="161">
        <f>IF(GL134="","",IF(ISNUMBER('Dvd Calendar'!$X$1322)=FALSE,"",'Dvd Calendar'!$X$1322))</f>
        <v/>
      </c>
      <c r="BK134" s="161">
        <f>IF(GM134="","",IF(ISNUMBER('Dvd Calendar'!$Y$1322)=FALSE,"",'Dvd Calendar'!$Y$1322))</f>
        <v/>
      </c>
      <c r="BL134" s="161">
        <f>IF(GN134="","",IF(ISNUMBER('Dvd Calendar'!$Z$1322)=FALSE,"",'Dvd Calendar'!$Z$1322))</f>
        <v/>
      </c>
      <c r="BM134" s="161">
        <f>IF(GO134="","",IF(ISNUMBER('Dvd Calendar'!$AA$1322)=FALSE,"",'Dvd Calendar'!$AA$1322))</f>
        <v/>
      </c>
      <c r="BN134" s="161">
        <f>IF(GP134="","",IF(ISNUMBER('Dvd Calendar'!$AB$1322)=FALSE,"",'Dvd Calendar'!$AB$1322))</f>
        <v/>
      </c>
      <c r="BO134" s="161">
        <f>IF(GQ134="","",IF(ISNUMBER('Dvd Calendar'!$AC$1322)=FALSE,"",'Dvd Calendar'!$AC$1322))</f>
        <v/>
      </c>
      <c r="BQ134" s="161">
        <f>IF(C134="","",IFERROR(C134*HSTECH!$B$25*HSTECH!$G$25/HSTECH!$B$3,""))</f>
        <v/>
      </c>
      <c r="BR134" s="161">
        <f>IF(D134="","",IFERROR(D134*HSTECH!$B$25*HSTECH!$G$25/HSTECH!$B$3,""))</f>
        <v/>
      </c>
      <c r="BS134" s="161">
        <f>IF(E134="","",IFERROR(E134*HSTECH!$B$25*HSTECH!$G$25/HSTECH!$B$3,""))</f>
        <v/>
      </c>
      <c r="BT134" s="161">
        <f>IF(F134="","",IFERROR(F134*HSTECH!$B$25*HSTECH!$G$25/HSTECH!$B$3,""))</f>
        <v/>
      </c>
      <c r="BU134" s="161">
        <f>IF(G134="","",IFERROR(G134*HSTECH!$B$25*HSTECH!$G$25/HSTECH!$B$3,""))</f>
        <v/>
      </c>
      <c r="BV134" s="161">
        <f>IF(H134="","",IFERROR(H134*HSTECH!$B$25*HSTECH!$G$25/HSTECH!$B$3,""))</f>
        <v/>
      </c>
      <c r="BW134" s="161">
        <f>IF(I134="","",IFERROR(I134*HSTECH!$B$25*HSTECH!$G$25/HSTECH!$B$3,""))</f>
        <v/>
      </c>
      <c r="BX134" s="161">
        <f>IF(J134="","",IFERROR(J134*HSTECH!$B$25*HSTECH!$G$25/HSTECH!$B$3,""))</f>
        <v/>
      </c>
      <c r="BY134" s="161">
        <f>IF(K134="","",IFERROR(K134*HSTECH!$B$25*HSTECH!$G$25/HSTECH!$B$3,""))</f>
        <v/>
      </c>
      <c r="BZ134" s="161">
        <f>IF(L134="","",IFERROR(L134*HSTECH!$B$25*HSTECH!$G$25/HSTECH!$B$3,""))</f>
        <v/>
      </c>
      <c r="CA134" s="161">
        <f>IF(M134="","",IFERROR(M134*HSTECH!$B$25*HSTECH!$G$25/HSTECH!$B$3,""))</f>
        <v/>
      </c>
      <c r="CB134" s="161">
        <f>IF(N134="","",IFERROR(N134*HSTECH!$B$25*HSTECH!$G$25/HSTECH!$B$3,""))</f>
        <v/>
      </c>
      <c r="CC134" s="161">
        <f>IF(O134="","",IFERROR(O134*HSTECH!$B$25*HSTECH!$G$25/HSTECH!$B$3,""))</f>
        <v/>
      </c>
      <c r="CD134" s="161">
        <f>IF(P134="","",IFERROR(P134*HSTECH!$B$25*HSTECH!$G$25/HSTECH!$B$3,""))</f>
        <v/>
      </c>
      <c r="CE134" s="161">
        <f>IF(Q134="","",IFERROR(Q134*HSTECH!$B$25*HSTECH!$G$25/HSTECH!$B$3,""))</f>
        <v/>
      </c>
      <c r="CF134" s="161">
        <f>IF(R134="","",IFERROR(R134*HSTECH!$B$25*HSTECH!$G$25/HSTECH!$B$3,""))</f>
        <v/>
      </c>
      <c r="CG134" s="161">
        <f>IF(S134="","",IFERROR(S134*HSTECH!$B$25*HSTECH!$G$25/HSTECH!$B$3,""))</f>
        <v/>
      </c>
      <c r="CH134" s="161">
        <f>IF(T134="","",IFERROR(T134*HSTECH!$B$25*HSTECH!$G$25/HSTECH!$B$3,""))</f>
        <v/>
      </c>
      <c r="CI134" s="161">
        <f>IF(U134="","",IFERROR(U134*HSTECH!$B$25*HSTECH!$G$25/HSTECH!$B$3,""))</f>
        <v/>
      </c>
      <c r="CJ134" s="161">
        <f>IF(V134="","",IFERROR(V134*HSTECH!$B$25*HSTECH!$G$25/HSTECH!$B$3,""))</f>
        <v/>
      </c>
      <c r="CK134" s="161">
        <f>IF(W134="","",IFERROR(W134*HSTECH!$B$25*HSTECH!$G$25/HSTECH!$B$3,""))</f>
        <v/>
      </c>
      <c r="CL134" s="161">
        <f>IF(X134="","",IFERROR(X134*HSTECH!$B$25*HSTECH!$G$25/HSTECH!$B$3,""))</f>
        <v/>
      </c>
      <c r="CM134" s="161">
        <f>IF(Y134="","",IFERROR(Y134*HSTECH!$B$25*HSTECH!$G$25/HSTECH!$B$3,""))</f>
        <v/>
      </c>
      <c r="CN134" s="161">
        <f>IF(Z134="","",IFERROR(Z134*HSTECH!$B$25*HSTECH!$G$25/HSTECH!$B$3,""))</f>
        <v/>
      </c>
      <c r="CO134" s="161">
        <f>IF(AA134="","",IFERROR(AA134*HSTECH!$B$25*HSTECH!$G$25/HSTECH!$B$3,""))</f>
        <v/>
      </c>
      <c r="CP134" s="161">
        <f>IF(AB134="","",IFERROR(AB134*HSTECH!$B$25*HSTECH!$G$25/HSTECH!$B$3,""))</f>
        <v/>
      </c>
      <c r="CQ134" s="161">
        <f>IF(AC134="","",IFERROR(AC134*HSTECH!$B$25*HSTECH!$G$25/HSTECH!$B$3,""))</f>
        <v/>
      </c>
      <c r="CR134" s="161">
        <f>IF(AD134="","",IFERROR(AD134*HSTECH!$B$25*HSTECH!$G$25/HSTECH!$B$3,""))</f>
        <v/>
      </c>
      <c r="CS134" s="161">
        <f>IF(AE134="","",IFERROR(AE134*HSTECH!$B$25*HSTECH!$G$25/HSTECH!$B$3,""))</f>
        <v/>
      </c>
      <c r="CT134" s="161">
        <f>IF(AF134="","",IFERROR(AF134*HSTECH!$B$25*HSTECH!$G$25/HSTECH!$B$3,""))</f>
        <v/>
      </c>
      <c r="CU134" s="161">
        <f>IF(AG134="","",IFERROR(AG134*HSTECH!$B$25*HSTECH!$G$25/HSTECH!$B$3,""))</f>
        <v/>
      </c>
      <c r="CV134" s="161">
        <f>IF(AH134="","",IFERROR(AH134*HSTECH!$B$25*HSTECH!$G$25/HSTECH!$B$3,""))</f>
        <v/>
      </c>
      <c r="CW134" s="161">
        <f>IF(AI134="","",IFERROR(AI134*HSTECH!$B$25*HSTECH!$G$25/HSTECH!$B$3,""))</f>
        <v/>
      </c>
      <c r="CX134" s="161">
        <f>IF(AJ134="","",IFERROR(AJ134*HSTECH!$B$25*HSTECH!$G$25/HSTECH!$B$3,""))</f>
        <v/>
      </c>
      <c r="CY134" s="161">
        <f>IF(AK134="","",IFERROR(AK134*HSTECH!$B$25*HSTECH!$G$25/HSTECH!$B$3,""))</f>
        <v/>
      </c>
      <c r="CZ134" s="161">
        <f>IF(AL134="","",IFERROR(AL134*HSTECH!$B$25*HSTECH!$G$25/HSTECH!$B$3,""))</f>
        <v/>
      </c>
      <c r="DA134" s="161">
        <f>IF(AM134="","",IFERROR(AM134*HSTECH!$B$25*HSTECH!$G$25/HSTECH!$B$3,""))</f>
        <v/>
      </c>
      <c r="DB134" s="161">
        <f>IF(AN134="","",IFERROR(AN134*HSTECH!$B$25*HSTECH!$G$25/HSTECH!$B$3,""))</f>
        <v/>
      </c>
      <c r="DC134" s="161">
        <f>IF(AO134="","",IFERROR(AO134*HSTECH!$B$25*HSTECH!$G$25/HSTECH!$B$3,""))</f>
        <v/>
      </c>
      <c r="DD134" s="161">
        <f>IF(AP134="","",IFERROR(AP134*HSTECH!$B$25*HSTECH!$G$25/HSTECH!$B$3,""))</f>
        <v/>
      </c>
      <c r="DE134" s="161">
        <f>IF(AQ134="","",IFERROR(AQ134*HSTECH!$B$25*HSTECH!$G$25/HSTECH!$B$3,""))</f>
        <v/>
      </c>
      <c r="DF134" s="161">
        <f>IF(AR134="","",IFERROR(AR134*HSTECH!$B$25*HSTECH!$G$25/HSTECH!$B$3,""))</f>
        <v/>
      </c>
      <c r="DG134" s="161">
        <f>IF(AS134="","",IFERROR(AS134*HSTECH!$B$25*HSTECH!$G$25/HSTECH!$B$3,""))</f>
        <v/>
      </c>
      <c r="DH134" s="161">
        <f>IF(AT134="","",IFERROR(AT134*HSTECH!$B$25*HSTECH!$G$25/HSTECH!$B$3,""))</f>
        <v/>
      </c>
      <c r="DI134" s="161">
        <f>IF(AU134="","",IFERROR(AU134*HSTECH!$B$25*HSTECH!$G$25/HSTECH!$B$3,""))</f>
        <v/>
      </c>
      <c r="DJ134" s="161">
        <f>IF(AV134="","",IFERROR(AV134*HSTECH!$B$25*HSTECH!$G$25/HSTECH!$B$3,""))</f>
        <v/>
      </c>
      <c r="DK134" s="161">
        <f>IF(AW134="","",IFERROR(AW134*HSTECH!$B$25*HSTECH!$G$25/HSTECH!$B$3,""))</f>
        <v/>
      </c>
      <c r="DL134" s="161">
        <f>IF(AX134="","",IFERROR(AX134*HSTECH!$B$25*HSTECH!$G$25/HSTECH!$B$3,""))</f>
        <v/>
      </c>
      <c r="DM134" s="161">
        <f>IF(AY134="","",IFERROR(AY134*HSTECH!$B$25*HSTECH!$G$25/HSTECH!$B$3,""))</f>
        <v/>
      </c>
      <c r="DN134" s="161">
        <f>IF(AZ134="","",IFERROR(AZ134*HSTECH!$B$25*HSTECH!$G$25/HSTECH!$B$3,""))</f>
        <v/>
      </c>
      <c r="DO134" s="161">
        <f>IF(BA134="","",IFERROR(BA134*HSTECH!$B$25*HSTECH!$G$25/HSTECH!$B$3,""))</f>
        <v/>
      </c>
      <c r="DP134" s="161">
        <f>IF(BB134="","",IFERROR(BB134*HSTECH!$B$25*HSTECH!$G$25/HSTECH!$B$3,""))</f>
        <v/>
      </c>
      <c r="DQ134" s="161">
        <f>IF(BC134="","",IFERROR(BC134*HSTECH!$B$25*HSTECH!$G$25/HSTECH!$B$3,""))</f>
        <v/>
      </c>
      <c r="DR134" s="161">
        <f>IF(BD134="","",IFERROR(BD134*HSTECH!$B$25*HSTECH!$G$25/HSTECH!$B$3,""))</f>
        <v/>
      </c>
      <c r="DS134" s="161">
        <f>IF(BE134="","",IFERROR(BE134*HSTECH!$B$25*HSTECH!$G$25/HSTECH!$B$3,""))</f>
        <v/>
      </c>
      <c r="DT134" s="161">
        <f>IF(BF134="","",IFERROR(BF134*HSTECH!$B$25*HSTECH!$G$25/HSTECH!$B$3,""))</f>
        <v/>
      </c>
      <c r="DU134" s="161">
        <f>IF(BG134="","",IFERROR(BG134*HSTECH!$B$25*HSTECH!$G$25/HSTECH!$B$3,""))</f>
        <v/>
      </c>
      <c r="DV134" s="161">
        <f>IF(BH134="","",IFERROR(BH134*HSTECH!$B$25*HSTECH!$G$25/HSTECH!$B$3,""))</f>
        <v/>
      </c>
      <c r="DW134" s="161">
        <f>IF(BI134="","",IFERROR(BI134*HSTECH!$B$25*HSTECH!$G$25/HSTECH!$B$3,""))</f>
        <v/>
      </c>
      <c r="DX134" s="161">
        <f>IF(BJ134="","",IFERROR(BJ134*HSTECH!$B$25*HSTECH!$G$25/HSTECH!$B$3,""))</f>
        <v/>
      </c>
      <c r="DY134" s="161">
        <f>IF(BK134="","",IFERROR(BK134*HSTECH!$B$25*HSTECH!$G$25/HSTECH!$B$3,""))</f>
        <v/>
      </c>
      <c r="DZ134" s="161">
        <f>IF(BL134="","",IFERROR(BL134*HSTECH!$B$25*HSTECH!$G$25/HSTECH!$B$3,""))</f>
        <v/>
      </c>
      <c r="EA134" s="161">
        <f>IF(BM134="","",IFERROR(BM134*HSTECH!$B$25*HSTECH!$G$25/HSTECH!$B$3,""))</f>
        <v/>
      </c>
      <c r="EB134" s="161">
        <f>IF(BN134="","",IFERROR(BN134*HSTECH!$B$25*HSTECH!$G$25/HSTECH!$B$3,""))</f>
        <v/>
      </c>
      <c r="EC134" s="161">
        <f>IF(BO134="","",IFERROR(BO134*HSTECH!$B$25*HSTECH!$G$25/HSTECH!$B$3,""))</f>
        <v/>
      </c>
      <c r="EE134" s="121">
        <f>IF(N('Dvd Calendar'!$E$1314)=0,"",IF(('Dvd Calendar'!$E$1314&gt;=GRID_FROM)*('Dvd Calendar'!$E$1314&lt;=GRID_TO)*((('Dvd Calendar'!$E$1314&lt;=VAL_DATE)+(COUNTIF('Dvd Calendar'!$E$1321:$AR$1321,'Dvd Calendar'!$E$1314)=0))&gt;0)=0,"",'Dvd Calendar'!$E$1314*1000000000+ISNUMBER('Dvd Calendar'!$E$1317)*100000000+('Dvd Calendar'!$E$1319=SPECIAL_LBL)*10000000+(N('Dvd Calendar'!$E$1313)&gt;0)*(N('Dvd Calendar'!$E$1313)&lt;=VAL_SERIAL)*1000000+19*1000+1))</f>
        <v/>
      </c>
      <c r="EF134" s="121">
        <f>IF(N('Dvd Calendar'!$F$1314)=0,"",IF(('Dvd Calendar'!$F$1314&gt;=GRID_FROM)*('Dvd Calendar'!$F$1314&lt;=GRID_TO)*((('Dvd Calendar'!$F$1314&lt;=VAL_DATE)+(COUNTIF('Dvd Calendar'!$E$1321:$AR$1321,'Dvd Calendar'!$F$1314)=0))&gt;0)=0,"",'Dvd Calendar'!$F$1314*1000000000+ISNUMBER('Dvd Calendar'!$F$1317)*100000000+('Dvd Calendar'!$F$1319=SPECIAL_LBL)*10000000+(N('Dvd Calendar'!$F$1313)&gt;0)*(N('Dvd Calendar'!$F$1313)&lt;=VAL_SERIAL)*1000000+19*1000+2))</f>
        <v/>
      </c>
      <c r="EG134" s="121">
        <f>IF(N('Dvd Calendar'!$G$1314)=0,"",IF(('Dvd Calendar'!$G$1314&gt;=GRID_FROM)*('Dvd Calendar'!$G$1314&lt;=GRID_TO)*((('Dvd Calendar'!$G$1314&lt;=VAL_DATE)+(COUNTIF('Dvd Calendar'!$E$1321:$AR$1321,'Dvd Calendar'!$G$1314)=0))&gt;0)=0,"",'Dvd Calendar'!$G$1314*1000000000+ISNUMBER('Dvd Calendar'!$G$1317)*100000000+('Dvd Calendar'!$G$1319=SPECIAL_LBL)*10000000+(N('Dvd Calendar'!$G$1313)&gt;0)*(N('Dvd Calendar'!$G$1313)&lt;=VAL_SERIAL)*1000000+19*1000+3))</f>
        <v/>
      </c>
      <c r="EH134" s="121">
        <f>IF(N('Dvd Calendar'!$H$1314)=0,"",IF(('Dvd Calendar'!$H$1314&gt;=GRID_FROM)*('Dvd Calendar'!$H$1314&lt;=GRID_TO)*((('Dvd Calendar'!$H$1314&lt;=VAL_DATE)+(COUNTIF('Dvd Calendar'!$E$1321:$AR$1321,'Dvd Calendar'!$H$1314)=0))&gt;0)=0,"",'Dvd Calendar'!$H$1314*1000000000+ISNUMBER('Dvd Calendar'!$H$1317)*100000000+('Dvd Calendar'!$H$1319=SPECIAL_LBL)*10000000+(N('Dvd Calendar'!$H$1313)&gt;0)*(N('Dvd Calendar'!$H$1313)&lt;=VAL_SERIAL)*1000000+19*1000+4))</f>
        <v/>
      </c>
      <c r="EI134" s="121">
        <f>IF(N('Dvd Calendar'!$I$1314)=0,"",IF(('Dvd Calendar'!$I$1314&gt;=GRID_FROM)*('Dvd Calendar'!$I$1314&lt;=GRID_TO)*((('Dvd Calendar'!$I$1314&lt;=VAL_DATE)+(COUNTIF('Dvd Calendar'!$E$1321:$AR$1321,'Dvd Calendar'!$I$1314)=0))&gt;0)=0,"",'Dvd Calendar'!$I$1314*1000000000+ISNUMBER('Dvd Calendar'!$I$1317)*100000000+('Dvd Calendar'!$I$1319=SPECIAL_LBL)*10000000+(N('Dvd Calendar'!$I$1313)&gt;0)*(N('Dvd Calendar'!$I$1313)&lt;=VAL_SERIAL)*1000000+19*1000+5))</f>
        <v/>
      </c>
      <c r="EJ134" s="121">
        <f>IF(N('Dvd Calendar'!$J$1314)=0,"",IF(('Dvd Calendar'!$J$1314&gt;=GRID_FROM)*('Dvd Calendar'!$J$1314&lt;=GRID_TO)*((('Dvd Calendar'!$J$1314&lt;=VAL_DATE)+(COUNTIF('Dvd Calendar'!$E$1321:$AR$1321,'Dvd Calendar'!$J$1314)=0))&gt;0)=0,"",'Dvd Calendar'!$J$1314*1000000000+ISNUMBER('Dvd Calendar'!$J$1317)*100000000+('Dvd Calendar'!$J$1319=SPECIAL_LBL)*10000000+(N('Dvd Calendar'!$J$1313)&gt;0)*(N('Dvd Calendar'!$J$1313)&lt;=VAL_SERIAL)*1000000+19*1000+6))</f>
        <v/>
      </c>
      <c r="EK134" s="121">
        <f>IF(N('Dvd Calendar'!$K$1314)=0,"",IF(('Dvd Calendar'!$K$1314&gt;=GRID_FROM)*('Dvd Calendar'!$K$1314&lt;=GRID_TO)*((('Dvd Calendar'!$K$1314&lt;=VAL_DATE)+(COUNTIF('Dvd Calendar'!$E$1321:$AR$1321,'Dvd Calendar'!$K$1314)=0))&gt;0)=0,"",'Dvd Calendar'!$K$1314*1000000000+ISNUMBER('Dvd Calendar'!$K$1317)*100000000+('Dvd Calendar'!$K$1319=SPECIAL_LBL)*10000000+(N('Dvd Calendar'!$K$1313)&gt;0)*(N('Dvd Calendar'!$K$1313)&lt;=VAL_SERIAL)*1000000+19*1000+7))</f>
        <v/>
      </c>
      <c r="EL134" s="121">
        <f>IF(N('Dvd Calendar'!$L$1314)=0,"",IF(('Dvd Calendar'!$L$1314&gt;=GRID_FROM)*('Dvd Calendar'!$L$1314&lt;=GRID_TO)*((('Dvd Calendar'!$L$1314&lt;=VAL_DATE)+(COUNTIF('Dvd Calendar'!$E$1321:$AR$1321,'Dvd Calendar'!$L$1314)=0))&gt;0)=0,"",'Dvd Calendar'!$L$1314*1000000000+ISNUMBER('Dvd Calendar'!$L$1317)*100000000+('Dvd Calendar'!$L$1319=SPECIAL_LBL)*10000000+(N('Dvd Calendar'!$L$1313)&gt;0)*(N('Dvd Calendar'!$L$1313)&lt;=VAL_SERIAL)*1000000+19*1000+8))</f>
        <v/>
      </c>
      <c r="EM134" s="121">
        <f>IF(N('Dvd Calendar'!$M$1314)=0,"",IF(('Dvd Calendar'!$M$1314&gt;=GRID_FROM)*('Dvd Calendar'!$M$1314&lt;=GRID_TO)*((('Dvd Calendar'!$M$1314&lt;=VAL_DATE)+(COUNTIF('Dvd Calendar'!$E$1321:$AR$1321,'Dvd Calendar'!$M$1314)=0))&gt;0)=0,"",'Dvd Calendar'!$M$1314*1000000000+ISNUMBER('Dvd Calendar'!$M$1317)*100000000+('Dvd Calendar'!$M$1319=SPECIAL_LBL)*10000000+(N('Dvd Calendar'!$M$1313)&gt;0)*(N('Dvd Calendar'!$M$1313)&lt;=VAL_SERIAL)*1000000+19*1000+9))</f>
        <v/>
      </c>
      <c r="EN134" s="121">
        <f>IF(N('Dvd Calendar'!$N$1314)=0,"",IF(('Dvd Calendar'!$N$1314&gt;=GRID_FROM)*('Dvd Calendar'!$N$1314&lt;=GRID_TO)*((('Dvd Calendar'!$N$1314&lt;=VAL_DATE)+(COUNTIF('Dvd Calendar'!$E$1321:$AR$1321,'Dvd Calendar'!$N$1314)=0))&gt;0)=0,"",'Dvd Calendar'!$N$1314*1000000000+ISNUMBER('Dvd Calendar'!$N$1317)*100000000+('Dvd Calendar'!$N$1319=SPECIAL_LBL)*10000000+(N('Dvd Calendar'!$N$1313)&gt;0)*(N('Dvd Calendar'!$N$1313)&lt;=VAL_SERIAL)*1000000+19*1000+10))</f>
        <v/>
      </c>
      <c r="EO134" s="121">
        <f>IF(N('Dvd Calendar'!$O$1314)=0,"",IF(('Dvd Calendar'!$O$1314&gt;=GRID_FROM)*('Dvd Calendar'!$O$1314&lt;=GRID_TO)*((('Dvd Calendar'!$O$1314&lt;=VAL_DATE)+(COUNTIF('Dvd Calendar'!$E$1321:$AR$1321,'Dvd Calendar'!$O$1314)=0))&gt;0)=0,"",'Dvd Calendar'!$O$1314*1000000000+ISNUMBER('Dvd Calendar'!$O$1317)*100000000+('Dvd Calendar'!$O$1319=SPECIAL_LBL)*10000000+(N('Dvd Calendar'!$O$1313)&gt;0)*(N('Dvd Calendar'!$O$1313)&lt;=VAL_SERIAL)*1000000+19*1000+11))</f>
        <v/>
      </c>
      <c r="EP134" s="121">
        <f>IF(N('Dvd Calendar'!$P$1314)=0,"",IF(('Dvd Calendar'!$P$1314&gt;=GRID_FROM)*('Dvd Calendar'!$P$1314&lt;=GRID_TO)*((('Dvd Calendar'!$P$1314&lt;=VAL_DATE)+(COUNTIF('Dvd Calendar'!$E$1321:$AR$1321,'Dvd Calendar'!$P$1314)=0))&gt;0)=0,"",'Dvd Calendar'!$P$1314*1000000000+ISNUMBER('Dvd Calendar'!$P$1317)*100000000+('Dvd Calendar'!$P$1319=SPECIAL_LBL)*10000000+(N('Dvd Calendar'!$P$1313)&gt;0)*(N('Dvd Calendar'!$P$1313)&lt;=VAL_SERIAL)*1000000+19*1000+12))</f>
        <v/>
      </c>
      <c r="EQ134" s="121">
        <f>IF(N('Dvd Calendar'!$Q$1314)=0,"",IF(('Dvd Calendar'!$Q$1314&gt;=GRID_FROM)*('Dvd Calendar'!$Q$1314&lt;=GRID_TO)*((('Dvd Calendar'!$Q$1314&lt;=VAL_DATE)+(COUNTIF('Dvd Calendar'!$E$1321:$AR$1321,'Dvd Calendar'!$Q$1314)=0))&gt;0)=0,"",'Dvd Calendar'!$Q$1314*1000000000+ISNUMBER('Dvd Calendar'!$Q$1317)*100000000+('Dvd Calendar'!$Q$1319=SPECIAL_LBL)*10000000+(N('Dvd Calendar'!$Q$1313)&gt;0)*(N('Dvd Calendar'!$Q$1313)&lt;=VAL_SERIAL)*1000000+19*1000+13))</f>
        <v/>
      </c>
      <c r="ER134" s="121">
        <f>IF(N('Dvd Calendar'!$R$1314)=0,"",IF(('Dvd Calendar'!$R$1314&gt;=GRID_FROM)*('Dvd Calendar'!$R$1314&lt;=GRID_TO)*((('Dvd Calendar'!$R$1314&lt;=VAL_DATE)+(COUNTIF('Dvd Calendar'!$E$1321:$AR$1321,'Dvd Calendar'!$R$1314)=0))&gt;0)=0,"",'Dvd Calendar'!$R$1314*1000000000+ISNUMBER('Dvd Calendar'!$R$1317)*100000000+('Dvd Calendar'!$R$1319=SPECIAL_LBL)*10000000+(N('Dvd Calendar'!$R$1313)&gt;0)*(N('Dvd Calendar'!$R$1313)&lt;=VAL_SERIAL)*1000000+19*1000+14))</f>
        <v/>
      </c>
      <c r="ES134" s="121">
        <f>IF(N('Dvd Calendar'!$S$1314)=0,"",IF(('Dvd Calendar'!$S$1314&gt;=GRID_FROM)*('Dvd Calendar'!$S$1314&lt;=GRID_TO)*((('Dvd Calendar'!$S$1314&lt;=VAL_DATE)+(COUNTIF('Dvd Calendar'!$E$1321:$AR$1321,'Dvd Calendar'!$S$1314)=0))&gt;0)=0,"",'Dvd Calendar'!$S$1314*1000000000+ISNUMBER('Dvd Calendar'!$S$1317)*100000000+('Dvd Calendar'!$S$1319=SPECIAL_LBL)*10000000+(N('Dvd Calendar'!$S$1313)&gt;0)*(N('Dvd Calendar'!$S$1313)&lt;=VAL_SERIAL)*1000000+19*1000+15))</f>
        <v/>
      </c>
      <c r="ET134" s="121">
        <f>IF(N('Dvd Calendar'!$T$1314)=0,"",IF(('Dvd Calendar'!$T$1314&gt;=GRID_FROM)*('Dvd Calendar'!$T$1314&lt;=GRID_TO)*((('Dvd Calendar'!$T$1314&lt;=VAL_DATE)+(COUNTIF('Dvd Calendar'!$E$1321:$AR$1321,'Dvd Calendar'!$T$1314)=0))&gt;0)=0,"",'Dvd Calendar'!$T$1314*1000000000+ISNUMBER('Dvd Calendar'!$T$1317)*100000000+('Dvd Calendar'!$T$1319=SPECIAL_LBL)*10000000+(N('Dvd Calendar'!$T$1313)&gt;0)*(N('Dvd Calendar'!$T$1313)&lt;=VAL_SERIAL)*1000000+19*1000+16))</f>
        <v/>
      </c>
      <c r="EU134" s="121">
        <f>IF(N('Dvd Calendar'!$U$1314)=0,"",IF(('Dvd Calendar'!$U$1314&gt;=GRID_FROM)*('Dvd Calendar'!$U$1314&lt;=GRID_TO)*((('Dvd Calendar'!$U$1314&lt;=VAL_DATE)+(COUNTIF('Dvd Calendar'!$E$1321:$AR$1321,'Dvd Calendar'!$U$1314)=0))&gt;0)=0,"",'Dvd Calendar'!$U$1314*1000000000+ISNUMBER('Dvd Calendar'!$U$1317)*100000000+('Dvd Calendar'!$U$1319=SPECIAL_LBL)*10000000+(N('Dvd Calendar'!$U$1313)&gt;0)*(N('Dvd Calendar'!$U$1313)&lt;=VAL_SERIAL)*1000000+19*1000+17))</f>
        <v/>
      </c>
      <c r="EV134" s="121">
        <f>IF(N('Dvd Calendar'!$V$1314)=0,"",IF(('Dvd Calendar'!$V$1314&gt;=GRID_FROM)*('Dvd Calendar'!$V$1314&lt;=GRID_TO)*((('Dvd Calendar'!$V$1314&lt;=VAL_DATE)+(COUNTIF('Dvd Calendar'!$E$1321:$AR$1321,'Dvd Calendar'!$V$1314)=0))&gt;0)=0,"",'Dvd Calendar'!$V$1314*1000000000+ISNUMBER('Dvd Calendar'!$V$1317)*100000000+('Dvd Calendar'!$V$1319=SPECIAL_LBL)*10000000+(N('Dvd Calendar'!$V$1313)&gt;0)*(N('Dvd Calendar'!$V$1313)&lt;=VAL_SERIAL)*1000000+19*1000+18))</f>
        <v/>
      </c>
      <c r="EW134" s="121">
        <f>IF(N('Dvd Calendar'!$W$1314)=0,"",IF(('Dvd Calendar'!$W$1314&gt;=GRID_FROM)*('Dvd Calendar'!$W$1314&lt;=GRID_TO)*((('Dvd Calendar'!$W$1314&lt;=VAL_DATE)+(COUNTIF('Dvd Calendar'!$E$1321:$AR$1321,'Dvd Calendar'!$W$1314)=0))&gt;0)=0,"",'Dvd Calendar'!$W$1314*1000000000+ISNUMBER('Dvd Calendar'!$W$1317)*100000000+('Dvd Calendar'!$W$1319=SPECIAL_LBL)*10000000+(N('Dvd Calendar'!$W$1313)&gt;0)*(N('Dvd Calendar'!$W$1313)&lt;=VAL_SERIAL)*1000000+19*1000+19))</f>
        <v/>
      </c>
      <c r="EX134" s="121">
        <f>IF(N('Dvd Calendar'!$X$1314)=0,"",IF(('Dvd Calendar'!$X$1314&gt;=GRID_FROM)*('Dvd Calendar'!$X$1314&lt;=GRID_TO)*((('Dvd Calendar'!$X$1314&lt;=VAL_DATE)+(COUNTIF('Dvd Calendar'!$E$1321:$AR$1321,'Dvd Calendar'!$X$1314)=0))&gt;0)=0,"",'Dvd Calendar'!$X$1314*1000000000+ISNUMBER('Dvd Calendar'!$X$1317)*100000000+('Dvd Calendar'!$X$1319=SPECIAL_LBL)*10000000+(N('Dvd Calendar'!$X$1313)&gt;0)*(N('Dvd Calendar'!$X$1313)&lt;=VAL_SERIAL)*1000000+19*1000+20))</f>
        <v/>
      </c>
      <c r="EY134" s="121">
        <f>IF(N('Dvd Calendar'!$Y$1314)=0,"",IF(('Dvd Calendar'!$Y$1314&gt;=GRID_FROM)*('Dvd Calendar'!$Y$1314&lt;=GRID_TO)*((('Dvd Calendar'!$Y$1314&lt;=VAL_DATE)+(COUNTIF('Dvd Calendar'!$E$1321:$AR$1321,'Dvd Calendar'!$Y$1314)=0))&gt;0)=0,"",'Dvd Calendar'!$Y$1314*1000000000+ISNUMBER('Dvd Calendar'!$Y$1317)*100000000+('Dvd Calendar'!$Y$1319=SPECIAL_LBL)*10000000+(N('Dvd Calendar'!$Y$1313)&gt;0)*(N('Dvd Calendar'!$Y$1313)&lt;=VAL_SERIAL)*1000000+19*1000+21))</f>
        <v/>
      </c>
      <c r="EZ134" s="121">
        <f>IF(N('Dvd Calendar'!$Z$1314)=0,"",IF(('Dvd Calendar'!$Z$1314&gt;=GRID_FROM)*('Dvd Calendar'!$Z$1314&lt;=GRID_TO)*((('Dvd Calendar'!$Z$1314&lt;=VAL_DATE)+(COUNTIF('Dvd Calendar'!$E$1321:$AR$1321,'Dvd Calendar'!$Z$1314)=0))&gt;0)=0,"",'Dvd Calendar'!$Z$1314*1000000000+ISNUMBER('Dvd Calendar'!$Z$1317)*100000000+('Dvd Calendar'!$Z$1319=SPECIAL_LBL)*10000000+(N('Dvd Calendar'!$Z$1313)&gt;0)*(N('Dvd Calendar'!$Z$1313)&lt;=VAL_SERIAL)*1000000+19*1000+22))</f>
        <v/>
      </c>
      <c r="FA134" s="121">
        <f>IF(N('Dvd Calendar'!$AA$1314)=0,"",IF(('Dvd Calendar'!$AA$1314&gt;=GRID_FROM)*('Dvd Calendar'!$AA$1314&lt;=GRID_TO)*((('Dvd Calendar'!$AA$1314&lt;=VAL_DATE)+(COUNTIF('Dvd Calendar'!$E$1321:$AR$1321,'Dvd Calendar'!$AA$1314)=0))&gt;0)=0,"",'Dvd Calendar'!$AA$1314*1000000000+ISNUMBER('Dvd Calendar'!$AA$1317)*100000000+('Dvd Calendar'!$AA$1319=SPECIAL_LBL)*10000000+(N('Dvd Calendar'!$AA$1313)&gt;0)*(N('Dvd Calendar'!$AA$1313)&lt;=VAL_SERIAL)*1000000+19*1000+23))</f>
        <v/>
      </c>
      <c r="FB134" s="121">
        <f>IF(N('Dvd Calendar'!$AB$1314)=0,"",IF(('Dvd Calendar'!$AB$1314&gt;=GRID_FROM)*('Dvd Calendar'!$AB$1314&lt;=GRID_TO)*((('Dvd Calendar'!$AB$1314&lt;=VAL_DATE)+(COUNTIF('Dvd Calendar'!$E$1321:$AR$1321,'Dvd Calendar'!$AB$1314)=0))&gt;0)=0,"",'Dvd Calendar'!$AB$1314*1000000000+ISNUMBER('Dvd Calendar'!$AB$1317)*100000000+('Dvd Calendar'!$AB$1319=SPECIAL_LBL)*10000000+(N('Dvd Calendar'!$AB$1313)&gt;0)*(N('Dvd Calendar'!$AB$1313)&lt;=VAL_SERIAL)*1000000+19*1000+24))</f>
        <v/>
      </c>
      <c r="FC134" s="121">
        <f>IF(N('Dvd Calendar'!$AC$1314)=0,"",IF(('Dvd Calendar'!$AC$1314&gt;=GRID_FROM)*('Dvd Calendar'!$AC$1314&lt;=GRID_TO)*((('Dvd Calendar'!$AC$1314&lt;=VAL_DATE)+(COUNTIF('Dvd Calendar'!$E$1321:$AR$1321,'Dvd Calendar'!$AC$1314)=0))&gt;0)=0,"",'Dvd Calendar'!$AC$1314*1000000000+ISNUMBER('Dvd Calendar'!$AC$1317)*100000000+('Dvd Calendar'!$AC$1319=SPECIAL_LBL)*10000000+(N('Dvd Calendar'!$AC$1313)&gt;0)*(N('Dvd Calendar'!$AC$1313)&lt;=VAL_SERIAL)*1000000+19*1000+25))</f>
        <v/>
      </c>
      <c r="FD134" s="121">
        <f>IF(N('Dvd Calendar'!$AD$1314)=0,"",IF(('Dvd Calendar'!$AD$1314&gt;=GRID_FROM)*('Dvd Calendar'!$AD$1314&lt;=GRID_TO)*((('Dvd Calendar'!$AD$1314&lt;=VAL_DATE)+(COUNTIF('Dvd Calendar'!$E$1321:$AR$1321,'Dvd Calendar'!$AD$1314)=0))&gt;0)=0,"",'Dvd Calendar'!$AD$1314*1000000000+ISNUMBER('Dvd Calendar'!$AD$1317)*100000000+('Dvd Calendar'!$AD$1319=SPECIAL_LBL)*10000000+(N('Dvd Calendar'!$AD$1313)&gt;0)*(N('Dvd Calendar'!$AD$1313)&lt;=VAL_SERIAL)*1000000+19*1000+26))</f>
        <v/>
      </c>
      <c r="FE134" s="121">
        <f>IF(N('Dvd Calendar'!$AE$1314)=0,"",IF(('Dvd Calendar'!$AE$1314&gt;=GRID_FROM)*('Dvd Calendar'!$AE$1314&lt;=GRID_TO)*((('Dvd Calendar'!$AE$1314&lt;=VAL_DATE)+(COUNTIF('Dvd Calendar'!$E$1321:$AR$1321,'Dvd Calendar'!$AE$1314)=0))&gt;0)=0,"",'Dvd Calendar'!$AE$1314*1000000000+ISNUMBER('Dvd Calendar'!$AE$1317)*100000000+('Dvd Calendar'!$AE$1319=SPECIAL_LBL)*10000000+(N('Dvd Calendar'!$AE$1313)&gt;0)*(N('Dvd Calendar'!$AE$1313)&lt;=VAL_SERIAL)*1000000+19*1000+27))</f>
        <v/>
      </c>
      <c r="FF134" s="121">
        <f>IF(N('Dvd Calendar'!$AF$1314)=0,"",IF(('Dvd Calendar'!$AF$1314&gt;=GRID_FROM)*('Dvd Calendar'!$AF$1314&lt;=GRID_TO)*((('Dvd Calendar'!$AF$1314&lt;=VAL_DATE)+(COUNTIF('Dvd Calendar'!$E$1321:$AR$1321,'Dvd Calendar'!$AF$1314)=0))&gt;0)=0,"",'Dvd Calendar'!$AF$1314*1000000000+ISNUMBER('Dvd Calendar'!$AF$1317)*100000000+('Dvd Calendar'!$AF$1319=SPECIAL_LBL)*10000000+(N('Dvd Calendar'!$AF$1313)&gt;0)*(N('Dvd Calendar'!$AF$1313)&lt;=VAL_SERIAL)*1000000+19*1000+28))</f>
        <v/>
      </c>
      <c r="FG134" s="121">
        <f>IF(N('Dvd Calendar'!$AG$1314)=0,"",IF(('Dvd Calendar'!$AG$1314&gt;=GRID_FROM)*('Dvd Calendar'!$AG$1314&lt;=GRID_TO)*((('Dvd Calendar'!$AG$1314&lt;=VAL_DATE)+(COUNTIF('Dvd Calendar'!$E$1321:$AR$1321,'Dvd Calendar'!$AG$1314)=0))&gt;0)=0,"",'Dvd Calendar'!$AG$1314*1000000000+ISNUMBER('Dvd Calendar'!$AG$1317)*100000000+('Dvd Calendar'!$AG$1319=SPECIAL_LBL)*10000000+(N('Dvd Calendar'!$AG$1313)&gt;0)*(N('Dvd Calendar'!$AG$1313)&lt;=VAL_SERIAL)*1000000+19*1000+29))</f>
        <v/>
      </c>
      <c r="FH134" s="121">
        <f>IF(N('Dvd Calendar'!$AH$1314)=0,"",IF(('Dvd Calendar'!$AH$1314&gt;=GRID_FROM)*('Dvd Calendar'!$AH$1314&lt;=GRID_TO)*((('Dvd Calendar'!$AH$1314&lt;=VAL_DATE)+(COUNTIF('Dvd Calendar'!$E$1321:$AR$1321,'Dvd Calendar'!$AH$1314)=0))&gt;0)=0,"",'Dvd Calendar'!$AH$1314*1000000000+ISNUMBER('Dvd Calendar'!$AH$1317)*100000000+('Dvd Calendar'!$AH$1319=SPECIAL_LBL)*10000000+(N('Dvd Calendar'!$AH$1313)&gt;0)*(N('Dvd Calendar'!$AH$1313)&lt;=VAL_SERIAL)*1000000+19*1000+30))</f>
        <v/>
      </c>
      <c r="FI134" s="121">
        <f>IF(N('Dvd Calendar'!$AI$1314)=0,"",IF(('Dvd Calendar'!$AI$1314&gt;=GRID_FROM)*('Dvd Calendar'!$AI$1314&lt;=GRID_TO)*((('Dvd Calendar'!$AI$1314&lt;=VAL_DATE)+(COUNTIF('Dvd Calendar'!$E$1321:$AR$1321,'Dvd Calendar'!$AI$1314)=0))&gt;0)=0,"",'Dvd Calendar'!$AI$1314*1000000000+ISNUMBER('Dvd Calendar'!$AI$1317)*100000000+('Dvd Calendar'!$AI$1319=SPECIAL_LBL)*10000000+(N('Dvd Calendar'!$AI$1313)&gt;0)*(N('Dvd Calendar'!$AI$1313)&lt;=VAL_SERIAL)*1000000+19*1000+31))</f>
        <v/>
      </c>
      <c r="FJ134" s="121">
        <f>IF(N('Dvd Calendar'!$AJ$1314)=0,"",IF(('Dvd Calendar'!$AJ$1314&gt;=GRID_FROM)*('Dvd Calendar'!$AJ$1314&lt;=GRID_TO)*((('Dvd Calendar'!$AJ$1314&lt;=VAL_DATE)+(COUNTIF('Dvd Calendar'!$E$1321:$AR$1321,'Dvd Calendar'!$AJ$1314)=0))&gt;0)=0,"",'Dvd Calendar'!$AJ$1314*1000000000+ISNUMBER('Dvd Calendar'!$AJ$1317)*100000000+('Dvd Calendar'!$AJ$1319=SPECIAL_LBL)*10000000+(N('Dvd Calendar'!$AJ$1313)&gt;0)*(N('Dvd Calendar'!$AJ$1313)&lt;=VAL_SERIAL)*1000000+19*1000+32))</f>
        <v/>
      </c>
      <c r="FK134" s="121">
        <f>IF(N('Dvd Calendar'!$AK$1314)=0,"",IF(('Dvd Calendar'!$AK$1314&gt;=GRID_FROM)*('Dvd Calendar'!$AK$1314&lt;=GRID_TO)*((('Dvd Calendar'!$AK$1314&lt;=VAL_DATE)+(COUNTIF('Dvd Calendar'!$E$1321:$AR$1321,'Dvd Calendar'!$AK$1314)=0))&gt;0)=0,"",'Dvd Calendar'!$AK$1314*1000000000+ISNUMBER('Dvd Calendar'!$AK$1317)*100000000+('Dvd Calendar'!$AK$1319=SPECIAL_LBL)*10000000+(N('Dvd Calendar'!$AK$1313)&gt;0)*(N('Dvd Calendar'!$AK$1313)&lt;=VAL_SERIAL)*1000000+19*1000+33))</f>
        <v/>
      </c>
      <c r="FL134" s="121">
        <f>IF(N('Dvd Calendar'!$AL$1314)=0,"",IF(('Dvd Calendar'!$AL$1314&gt;=GRID_FROM)*('Dvd Calendar'!$AL$1314&lt;=GRID_TO)*((('Dvd Calendar'!$AL$1314&lt;=VAL_DATE)+(COUNTIF('Dvd Calendar'!$E$1321:$AR$1321,'Dvd Calendar'!$AL$1314)=0))&gt;0)=0,"",'Dvd Calendar'!$AL$1314*1000000000+ISNUMBER('Dvd Calendar'!$AL$1317)*100000000+('Dvd Calendar'!$AL$1319=SPECIAL_LBL)*10000000+(N('Dvd Calendar'!$AL$1313)&gt;0)*(N('Dvd Calendar'!$AL$1313)&lt;=VAL_SERIAL)*1000000+19*1000+34))</f>
        <v/>
      </c>
      <c r="FM134" s="121">
        <f>IF(N('Dvd Calendar'!$AM$1314)=0,"",IF(('Dvd Calendar'!$AM$1314&gt;=GRID_FROM)*('Dvd Calendar'!$AM$1314&lt;=GRID_TO)*((('Dvd Calendar'!$AM$1314&lt;=VAL_DATE)+(COUNTIF('Dvd Calendar'!$E$1321:$AR$1321,'Dvd Calendar'!$AM$1314)=0))&gt;0)=0,"",'Dvd Calendar'!$AM$1314*1000000000+ISNUMBER('Dvd Calendar'!$AM$1317)*100000000+('Dvd Calendar'!$AM$1319=SPECIAL_LBL)*10000000+(N('Dvd Calendar'!$AM$1313)&gt;0)*(N('Dvd Calendar'!$AM$1313)&lt;=VAL_SERIAL)*1000000+19*1000+35))</f>
        <v/>
      </c>
      <c r="FN134" s="121">
        <f>IF(N('Dvd Calendar'!$AN$1314)=0,"",IF(('Dvd Calendar'!$AN$1314&gt;=GRID_FROM)*('Dvd Calendar'!$AN$1314&lt;=GRID_TO)*((('Dvd Calendar'!$AN$1314&lt;=VAL_DATE)+(COUNTIF('Dvd Calendar'!$E$1321:$AR$1321,'Dvd Calendar'!$AN$1314)=0))&gt;0)=0,"",'Dvd Calendar'!$AN$1314*1000000000+ISNUMBER('Dvd Calendar'!$AN$1317)*100000000+('Dvd Calendar'!$AN$1319=SPECIAL_LBL)*10000000+(N('Dvd Calendar'!$AN$1313)&gt;0)*(N('Dvd Calendar'!$AN$1313)&lt;=VAL_SERIAL)*1000000+19*1000+36))</f>
        <v/>
      </c>
      <c r="FO134" s="121">
        <f>IF(N('Dvd Calendar'!$AO$1314)=0,"",IF(('Dvd Calendar'!$AO$1314&gt;=GRID_FROM)*('Dvd Calendar'!$AO$1314&lt;=GRID_TO)*((('Dvd Calendar'!$AO$1314&lt;=VAL_DATE)+(COUNTIF('Dvd Calendar'!$E$1321:$AR$1321,'Dvd Calendar'!$AO$1314)=0))&gt;0)=0,"",'Dvd Calendar'!$AO$1314*1000000000+ISNUMBER('Dvd Calendar'!$AO$1317)*100000000+('Dvd Calendar'!$AO$1319=SPECIAL_LBL)*10000000+(N('Dvd Calendar'!$AO$1313)&gt;0)*(N('Dvd Calendar'!$AO$1313)&lt;=VAL_SERIAL)*1000000+19*1000+37))</f>
        <v/>
      </c>
      <c r="FP134" s="121">
        <f>IF(N('Dvd Calendar'!$AP$1314)=0,"",IF(('Dvd Calendar'!$AP$1314&gt;=GRID_FROM)*('Dvd Calendar'!$AP$1314&lt;=GRID_TO)*((('Dvd Calendar'!$AP$1314&lt;=VAL_DATE)+(COUNTIF('Dvd Calendar'!$E$1321:$AR$1321,'Dvd Calendar'!$AP$1314)=0))&gt;0)=0,"",'Dvd Calendar'!$AP$1314*1000000000+ISNUMBER('Dvd Calendar'!$AP$1317)*100000000+('Dvd Calendar'!$AP$1319=SPECIAL_LBL)*10000000+(N('Dvd Calendar'!$AP$1313)&gt;0)*(N('Dvd Calendar'!$AP$1313)&lt;=VAL_SERIAL)*1000000+19*1000+38))</f>
        <v/>
      </c>
      <c r="FQ134" s="121">
        <f>IF(N('Dvd Calendar'!$AQ$1314)=0,"",IF(('Dvd Calendar'!$AQ$1314&gt;=GRID_FROM)*('Dvd Calendar'!$AQ$1314&lt;=GRID_TO)*((('Dvd Calendar'!$AQ$1314&lt;=VAL_DATE)+(COUNTIF('Dvd Calendar'!$E$1321:$AR$1321,'Dvd Calendar'!$AQ$1314)=0))&gt;0)=0,"",'Dvd Calendar'!$AQ$1314*1000000000+ISNUMBER('Dvd Calendar'!$AQ$1317)*100000000+('Dvd Calendar'!$AQ$1319=SPECIAL_LBL)*10000000+(N('Dvd Calendar'!$AQ$1313)&gt;0)*(N('Dvd Calendar'!$AQ$1313)&lt;=VAL_SERIAL)*1000000+19*1000+39))</f>
        <v/>
      </c>
      <c r="FR134" s="121">
        <f>IF(N('Dvd Calendar'!$AR$1314)=0,"",IF(('Dvd Calendar'!$AR$1314&gt;=GRID_FROM)*('Dvd Calendar'!$AR$1314&lt;=GRID_TO)*((('Dvd Calendar'!$AR$1314&lt;=VAL_DATE)+(COUNTIF('Dvd Calendar'!$E$1321:$AR$1321,'Dvd Calendar'!$AR$1314)=0))&gt;0)=0,"",'Dvd Calendar'!$AR$1314*1000000000+ISNUMBER('Dvd Calendar'!$AR$1317)*100000000+('Dvd Calendar'!$AR$1319=SPECIAL_LBL)*10000000+(N('Dvd Calendar'!$AR$1313)&gt;0)*(N('Dvd Calendar'!$AR$1313)&lt;=VAL_SERIAL)*1000000+19*1000+40))</f>
        <v/>
      </c>
      <c r="FS134" s="121">
        <f>IF(N('Dvd Calendar'!$E$1321)=0,"",IF(('Dvd Calendar'!$E$1321&gt;=GRID_FROM)*('Dvd Calendar'!$E$1321&lt;=GRID_TO)*('Dvd Calendar'!$E$1321&gt;VAL_DATE)=0,"",'Dvd Calendar'!$E$1321*1000000000+ISNUMBER('Dvd Calendar'!$E$1322)*100000000+0*10000000+(N('Dvd Calendar'!$E$1320)&gt;0)*(N('Dvd Calendar'!$E$1320)&lt;=VAL_SERIAL)*1000000+19*1000+41))</f>
        <v/>
      </c>
      <c r="FT134" s="121">
        <f>IF(N('Dvd Calendar'!$F$1321)=0,"",IF(('Dvd Calendar'!$F$1321&gt;=GRID_FROM)*('Dvd Calendar'!$F$1321&lt;=GRID_TO)*('Dvd Calendar'!$F$1321&gt;VAL_DATE)=0,"",'Dvd Calendar'!$F$1321*1000000000+ISNUMBER('Dvd Calendar'!$F$1322)*100000000+0*10000000+(N('Dvd Calendar'!$F$1320)&gt;0)*(N('Dvd Calendar'!$F$1320)&lt;=VAL_SERIAL)*1000000+19*1000+42))</f>
        <v/>
      </c>
      <c r="FU134" s="121">
        <f>IF(N('Dvd Calendar'!$G$1321)=0,"",IF(('Dvd Calendar'!$G$1321&gt;=GRID_FROM)*('Dvd Calendar'!$G$1321&lt;=GRID_TO)*('Dvd Calendar'!$G$1321&gt;VAL_DATE)=0,"",'Dvd Calendar'!$G$1321*1000000000+ISNUMBER('Dvd Calendar'!$G$1322)*100000000+0*10000000+(N('Dvd Calendar'!$G$1320)&gt;0)*(N('Dvd Calendar'!$G$1320)&lt;=VAL_SERIAL)*1000000+19*1000+43))</f>
        <v/>
      </c>
      <c r="FV134" s="121">
        <f>IF(N('Dvd Calendar'!$H$1321)=0,"",IF(('Dvd Calendar'!$H$1321&gt;=GRID_FROM)*('Dvd Calendar'!$H$1321&lt;=GRID_TO)*('Dvd Calendar'!$H$1321&gt;VAL_DATE)=0,"",'Dvd Calendar'!$H$1321*1000000000+ISNUMBER('Dvd Calendar'!$H$1322)*100000000+0*10000000+(N('Dvd Calendar'!$H$1320)&gt;0)*(N('Dvd Calendar'!$H$1320)&lt;=VAL_SERIAL)*1000000+19*1000+44))</f>
        <v/>
      </c>
      <c r="FW134" s="121">
        <f>IF(N('Dvd Calendar'!$I$1321)=0,"",IF(('Dvd Calendar'!$I$1321&gt;=GRID_FROM)*('Dvd Calendar'!$I$1321&lt;=GRID_TO)*('Dvd Calendar'!$I$1321&gt;VAL_DATE)=0,"",'Dvd Calendar'!$I$1321*1000000000+ISNUMBER('Dvd Calendar'!$I$1322)*100000000+0*10000000+(N('Dvd Calendar'!$I$1320)&gt;0)*(N('Dvd Calendar'!$I$1320)&lt;=VAL_SERIAL)*1000000+19*1000+45))</f>
        <v/>
      </c>
      <c r="FX134" s="121">
        <f>IF(N('Dvd Calendar'!$J$1321)=0,"",IF(('Dvd Calendar'!$J$1321&gt;=GRID_FROM)*('Dvd Calendar'!$J$1321&lt;=GRID_TO)*('Dvd Calendar'!$J$1321&gt;VAL_DATE)=0,"",'Dvd Calendar'!$J$1321*1000000000+ISNUMBER('Dvd Calendar'!$J$1322)*100000000+0*10000000+(N('Dvd Calendar'!$J$1320)&gt;0)*(N('Dvd Calendar'!$J$1320)&lt;=VAL_SERIAL)*1000000+19*1000+46))</f>
        <v/>
      </c>
      <c r="FY134" s="121">
        <f>IF(N('Dvd Calendar'!$K$1321)=0,"",IF(('Dvd Calendar'!$K$1321&gt;=GRID_FROM)*('Dvd Calendar'!$K$1321&lt;=GRID_TO)*('Dvd Calendar'!$K$1321&gt;VAL_DATE)=0,"",'Dvd Calendar'!$K$1321*1000000000+ISNUMBER('Dvd Calendar'!$K$1322)*100000000+0*10000000+(N('Dvd Calendar'!$K$1320)&gt;0)*(N('Dvd Calendar'!$K$1320)&lt;=VAL_SERIAL)*1000000+19*1000+47))</f>
        <v/>
      </c>
      <c r="FZ134" s="121">
        <f>IF(N('Dvd Calendar'!$L$1321)=0,"",IF(('Dvd Calendar'!$L$1321&gt;=GRID_FROM)*('Dvd Calendar'!$L$1321&lt;=GRID_TO)*('Dvd Calendar'!$L$1321&gt;VAL_DATE)=0,"",'Dvd Calendar'!$L$1321*1000000000+ISNUMBER('Dvd Calendar'!$L$1322)*100000000+0*10000000+(N('Dvd Calendar'!$L$1320)&gt;0)*(N('Dvd Calendar'!$L$1320)&lt;=VAL_SERIAL)*1000000+19*1000+48))</f>
        <v/>
      </c>
      <c r="GA134" s="121">
        <f>IF(N('Dvd Calendar'!$M$1321)=0,"",IF(('Dvd Calendar'!$M$1321&gt;=GRID_FROM)*('Dvd Calendar'!$M$1321&lt;=GRID_TO)*('Dvd Calendar'!$M$1321&gt;VAL_DATE)=0,"",'Dvd Calendar'!$M$1321*1000000000+ISNUMBER('Dvd Calendar'!$M$1322)*100000000+0*10000000+(N('Dvd Calendar'!$M$1320)&gt;0)*(N('Dvd Calendar'!$M$1320)&lt;=VAL_SERIAL)*1000000+19*1000+49))</f>
        <v/>
      </c>
      <c r="GB134" s="121">
        <f>IF(N('Dvd Calendar'!$N$1321)=0,"",IF(('Dvd Calendar'!$N$1321&gt;=GRID_FROM)*('Dvd Calendar'!$N$1321&lt;=GRID_TO)*('Dvd Calendar'!$N$1321&gt;VAL_DATE)=0,"",'Dvd Calendar'!$N$1321*1000000000+ISNUMBER('Dvd Calendar'!$N$1322)*100000000+0*10000000+(N('Dvd Calendar'!$N$1320)&gt;0)*(N('Dvd Calendar'!$N$1320)&lt;=VAL_SERIAL)*1000000+19*1000+50))</f>
        <v/>
      </c>
      <c r="GC134" s="121">
        <f>IF(N('Dvd Calendar'!$O$1321)=0,"",IF(('Dvd Calendar'!$O$1321&gt;=GRID_FROM)*('Dvd Calendar'!$O$1321&lt;=GRID_TO)*('Dvd Calendar'!$O$1321&gt;VAL_DATE)=0,"",'Dvd Calendar'!$O$1321*1000000000+ISNUMBER('Dvd Calendar'!$O$1322)*100000000+0*10000000+(N('Dvd Calendar'!$O$1320)&gt;0)*(N('Dvd Calendar'!$O$1320)&lt;=VAL_SERIAL)*1000000+19*1000+51))</f>
        <v/>
      </c>
      <c r="GD134" s="121">
        <f>IF(N('Dvd Calendar'!$P$1321)=0,"",IF(('Dvd Calendar'!$P$1321&gt;=GRID_FROM)*('Dvd Calendar'!$P$1321&lt;=GRID_TO)*('Dvd Calendar'!$P$1321&gt;VAL_DATE)=0,"",'Dvd Calendar'!$P$1321*1000000000+ISNUMBER('Dvd Calendar'!$P$1322)*100000000+0*10000000+(N('Dvd Calendar'!$P$1320)&gt;0)*(N('Dvd Calendar'!$P$1320)&lt;=VAL_SERIAL)*1000000+19*1000+52))</f>
        <v/>
      </c>
      <c r="GE134" s="121">
        <f>IF(N('Dvd Calendar'!$Q$1321)=0,"",IF(('Dvd Calendar'!$Q$1321&gt;=GRID_FROM)*('Dvd Calendar'!$Q$1321&lt;=GRID_TO)*('Dvd Calendar'!$Q$1321&gt;VAL_DATE)=0,"",'Dvd Calendar'!$Q$1321*1000000000+ISNUMBER('Dvd Calendar'!$Q$1322)*100000000+0*10000000+(N('Dvd Calendar'!$Q$1320)&gt;0)*(N('Dvd Calendar'!$Q$1320)&lt;=VAL_SERIAL)*1000000+19*1000+53))</f>
        <v/>
      </c>
      <c r="GF134" s="121">
        <f>IF(N('Dvd Calendar'!$R$1321)=0,"",IF(('Dvd Calendar'!$R$1321&gt;=GRID_FROM)*('Dvd Calendar'!$R$1321&lt;=GRID_TO)*('Dvd Calendar'!$R$1321&gt;VAL_DATE)=0,"",'Dvd Calendar'!$R$1321*1000000000+ISNUMBER('Dvd Calendar'!$R$1322)*100000000+0*10000000+(N('Dvd Calendar'!$R$1320)&gt;0)*(N('Dvd Calendar'!$R$1320)&lt;=VAL_SERIAL)*1000000+19*1000+54))</f>
        <v/>
      </c>
      <c r="GG134" s="121">
        <f>IF(N('Dvd Calendar'!$S$1321)=0,"",IF(('Dvd Calendar'!$S$1321&gt;=GRID_FROM)*('Dvd Calendar'!$S$1321&lt;=GRID_TO)*('Dvd Calendar'!$S$1321&gt;VAL_DATE)=0,"",'Dvd Calendar'!$S$1321*1000000000+ISNUMBER('Dvd Calendar'!$S$1322)*100000000+0*10000000+(N('Dvd Calendar'!$S$1320)&gt;0)*(N('Dvd Calendar'!$S$1320)&lt;=VAL_SERIAL)*1000000+19*1000+55))</f>
        <v/>
      </c>
      <c r="GH134" s="121">
        <f>IF(N('Dvd Calendar'!$T$1321)=0,"",IF(('Dvd Calendar'!$T$1321&gt;=GRID_FROM)*('Dvd Calendar'!$T$1321&lt;=GRID_TO)*('Dvd Calendar'!$T$1321&gt;VAL_DATE)=0,"",'Dvd Calendar'!$T$1321*1000000000+ISNUMBER('Dvd Calendar'!$T$1322)*100000000+0*10000000+(N('Dvd Calendar'!$T$1320)&gt;0)*(N('Dvd Calendar'!$T$1320)&lt;=VAL_SERIAL)*1000000+19*1000+56))</f>
        <v/>
      </c>
      <c r="GI134" s="121">
        <f>IF(N('Dvd Calendar'!$U$1321)=0,"",IF(('Dvd Calendar'!$U$1321&gt;=GRID_FROM)*('Dvd Calendar'!$U$1321&lt;=GRID_TO)*('Dvd Calendar'!$U$1321&gt;VAL_DATE)=0,"",'Dvd Calendar'!$U$1321*1000000000+ISNUMBER('Dvd Calendar'!$U$1322)*100000000+0*10000000+(N('Dvd Calendar'!$U$1320)&gt;0)*(N('Dvd Calendar'!$U$1320)&lt;=VAL_SERIAL)*1000000+19*1000+57))</f>
        <v/>
      </c>
      <c r="GJ134" s="121">
        <f>IF(N('Dvd Calendar'!$V$1321)=0,"",IF(('Dvd Calendar'!$V$1321&gt;=GRID_FROM)*('Dvd Calendar'!$V$1321&lt;=GRID_TO)*('Dvd Calendar'!$V$1321&gt;VAL_DATE)=0,"",'Dvd Calendar'!$V$1321*1000000000+ISNUMBER('Dvd Calendar'!$V$1322)*100000000+0*10000000+(N('Dvd Calendar'!$V$1320)&gt;0)*(N('Dvd Calendar'!$V$1320)&lt;=VAL_SERIAL)*1000000+19*1000+58))</f>
        <v/>
      </c>
      <c r="GK134" s="121">
        <f>IF(N('Dvd Calendar'!$W$1321)=0,"",IF(('Dvd Calendar'!$W$1321&gt;=GRID_FROM)*('Dvd Calendar'!$W$1321&lt;=GRID_TO)*('Dvd Calendar'!$W$1321&gt;VAL_DATE)=0,"",'Dvd Calendar'!$W$1321*1000000000+ISNUMBER('Dvd Calendar'!$W$1322)*100000000+0*10000000+(N('Dvd Calendar'!$W$1320)&gt;0)*(N('Dvd Calendar'!$W$1320)&lt;=VAL_SERIAL)*1000000+19*1000+59))</f>
        <v/>
      </c>
      <c r="GL134" s="121">
        <f>IF(N('Dvd Calendar'!$X$1321)=0,"",IF(('Dvd Calendar'!$X$1321&gt;=GRID_FROM)*('Dvd Calendar'!$X$1321&lt;=GRID_TO)*('Dvd Calendar'!$X$1321&gt;VAL_DATE)=0,"",'Dvd Calendar'!$X$1321*1000000000+ISNUMBER('Dvd Calendar'!$X$1322)*100000000+0*10000000+(N('Dvd Calendar'!$X$1320)&gt;0)*(N('Dvd Calendar'!$X$1320)&lt;=VAL_SERIAL)*1000000+19*1000+60))</f>
        <v/>
      </c>
      <c r="GM134" s="121">
        <f>IF(N('Dvd Calendar'!$Y$1321)=0,"",IF(('Dvd Calendar'!$Y$1321&gt;=GRID_FROM)*('Dvd Calendar'!$Y$1321&lt;=GRID_TO)*('Dvd Calendar'!$Y$1321&gt;VAL_DATE)=0,"",'Dvd Calendar'!$Y$1321*1000000000+ISNUMBER('Dvd Calendar'!$Y$1322)*100000000+0*10000000+(N('Dvd Calendar'!$Y$1320)&gt;0)*(N('Dvd Calendar'!$Y$1320)&lt;=VAL_SERIAL)*1000000+19*1000+61))</f>
        <v/>
      </c>
      <c r="GN134" s="121">
        <f>IF(N('Dvd Calendar'!$Z$1321)=0,"",IF(('Dvd Calendar'!$Z$1321&gt;=GRID_FROM)*('Dvd Calendar'!$Z$1321&lt;=GRID_TO)*('Dvd Calendar'!$Z$1321&gt;VAL_DATE)=0,"",'Dvd Calendar'!$Z$1321*1000000000+ISNUMBER('Dvd Calendar'!$Z$1322)*100000000+0*10000000+(N('Dvd Calendar'!$Z$1320)&gt;0)*(N('Dvd Calendar'!$Z$1320)&lt;=VAL_SERIAL)*1000000+19*1000+62))</f>
        <v/>
      </c>
      <c r="GO134" s="121">
        <f>IF(N('Dvd Calendar'!$AA$1321)=0,"",IF(('Dvd Calendar'!$AA$1321&gt;=GRID_FROM)*('Dvd Calendar'!$AA$1321&lt;=GRID_TO)*('Dvd Calendar'!$AA$1321&gt;VAL_DATE)=0,"",'Dvd Calendar'!$AA$1321*1000000000+ISNUMBER('Dvd Calendar'!$AA$1322)*100000000+0*10000000+(N('Dvd Calendar'!$AA$1320)&gt;0)*(N('Dvd Calendar'!$AA$1320)&lt;=VAL_SERIAL)*1000000+19*1000+63))</f>
        <v/>
      </c>
      <c r="GP134" s="121">
        <f>IF(N('Dvd Calendar'!$AB$1321)=0,"",IF(('Dvd Calendar'!$AB$1321&gt;=GRID_FROM)*('Dvd Calendar'!$AB$1321&lt;=GRID_TO)*('Dvd Calendar'!$AB$1321&gt;VAL_DATE)=0,"",'Dvd Calendar'!$AB$1321*1000000000+ISNUMBER('Dvd Calendar'!$AB$1322)*100000000+0*10000000+(N('Dvd Calendar'!$AB$1320)&gt;0)*(N('Dvd Calendar'!$AB$1320)&lt;=VAL_SERIAL)*1000000+19*1000+64))</f>
        <v/>
      </c>
      <c r="GQ134" s="121">
        <f>IF(N('Dvd Calendar'!$AC$1321)=0,"",IF(('Dvd Calendar'!$AC$1321&gt;=GRID_FROM)*('Dvd Calendar'!$AC$1321&lt;=GRID_TO)*('Dvd Calendar'!$AC$1321&gt;VAL_DATE)=0,"",'Dvd Calendar'!$AC$1321*1000000000+ISNUMBER('Dvd Calendar'!$AC$1322)*100000000+0*10000000+(N('Dvd Calendar'!$AC$1320)&gt;0)*(N('Dvd Calendar'!$AC$1320)&lt;=VAL_SERIAL)*1000000+19*1000+65))</f>
        <v/>
      </c>
    </row>
    <row r="135">
      <c r="B135" s="2">
        <f>IF(HSTECH!$C$26="","",HSTECH!$C$26)</f>
        <v/>
      </c>
      <c r="C135" s="161">
        <f>IF(EE135="","",IF(ISNUMBER('Dvd Calendar'!$E$1328)=FALSE,"",IF((('Dvd Calendar'!$E$1330=TYPE1)*(TYPE1&lt;&gt;"")+('Dvd Calendar'!$E$1330=TYPE2)*(TYPE2&lt;&gt;"")+('Dvd Calendar'!$E$1330=TYPE3)*(TYPE3&lt;&gt;"")+('Dvd Calendar'!$E$1330=TYPE4)*(TYPE4&lt;&gt;"")+('Dvd Calendar'!$E$1330=SPECIAL_LBL)*(INC_SPECIALS="Y"))=0,"",'Dvd Calendar'!$E$1328)))</f>
        <v/>
      </c>
      <c r="D135" s="161">
        <f>IF(EF135="","",IF(ISNUMBER('Dvd Calendar'!$F$1328)=FALSE,"",IF((('Dvd Calendar'!$F$1330=TYPE1)*(TYPE1&lt;&gt;"")+('Dvd Calendar'!$F$1330=TYPE2)*(TYPE2&lt;&gt;"")+('Dvd Calendar'!$F$1330=TYPE3)*(TYPE3&lt;&gt;"")+('Dvd Calendar'!$F$1330=TYPE4)*(TYPE4&lt;&gt;"")+('Dvd Calendar'!$F$1330=SPECIAL_LBL)*(INC_SPECIALS="Y"))=0,"",'Dvd Calendar'!$F$1328)))</f>
        <v/>
      </c>
      <c r="E135" s="161">
        <f>IF(EG135="","",IF(ISNUMBER('Dvd Calendar'!$G$1328)=FALSE,"",IF((('Dvd Calendar'!$G$1330=TYPE1)*(TYPE1&lt;&gt;"")+('Dvd Calendar'!$G$1330=TYPE2)*(TYPE2&lt;&gt;"")+('Dvd Calendar'!$G$1330=TYPE3)*(TYPE3&lt;&gt;"")+('Dvd Calendar'!$G$1330=TYPE4)*(TYPE4&lt;&gt;"")+('Dvd Calendar'!$G$1330=SPECIAL_LBL)*(INC_SPECIALS="Y"))=0,"",'Dvd Calendar'!$G$1328)))</f>
        <v/>
      </c>
      <c r="F135" s="161">
        <f>IF(EH135="","",IF(ISNUMBER('Dvd Calendar'!$H$1328)=FALSE,"",IF((('Dvd Calendar'!$H$1330=TYPE1)*(TYPE1&lt;&gt;"")+('Dvd Calendar'!$H$1330=TYPE2)*(TYPE2&lt;&gt;"")+('Dvd Calendar'!$H$1330=TYPE3)*(TYPE3&lt;&gt;"")+('Dvd Calendar'!$H$1330=TYPE4)*(TYPE4&lt;&gt;"")+('Dvd Calendar'!$H$1330=SPECIAL_LBL)*(INC_SPECIALS="Y"))=0,"",'Dvd Calendar'!$H$1328)))</f>
        <v/>
      </c>
      <c r="G135" s="161">
        <f>IF(EI135="","",IF(ISNUMBER('Dvd Calendar'!$I$1328)=FALSE,"",IF((('Dvd Calendar'!$I$1330=TYPE1)*(TYPE1&lt;&gt;"")+('Dvd Calendar'!$I$1330=TYPE2)*(TYPE2&lt;&gt;"")+('Dvd Calendar'!$I$1330=TYPE3)*(TYPE3&lt;&gt;"")+('Dvd Calendar'!$I$1330=TYPE4)*(TYPE4&lt;&gt;"")+('Dvd Calendar'!$I$1330=SPECIAL_LBL)*(INC_SPECIALS="Y"))=0,"",'Dvd Calendar'!$I$1328)))</f>
        <v/>
      </c>
      <c r="H135" s="161">
        <f>IF(EJ135="","",IF(ISNUMBER('Dvd Calendar'!$J$1328)=FALSE,"",IF((('Dvd Calendar'!$J$1330=TYPE1)*(TYPE1&lt;&gt;"")+('Dvd Calendar'!$J$1330=TYPE2)*(TYPE2&lt;&gt;"")+('Dvd Calendar'!$J$1330=TYPE3)*(TYPE3&lt;&gt;"")+('Dvd Calendar'!$J$1330=TYPE4)*(TYPE4&lt;&gt;"")+('Dvd Calendar'!$J$1330=SPECIAL_LBL)*(INC_SPECIALS="Y"))=0,"",'Dvd Calendar'!$J$1328)))</f>
        <v/>
      </c>
      <c r="I135" s="161">
        <f>IF(EK135="","",IF(ISNUMBER('Dvd Calendar'!$K$1328)=FALSE,"",IF((('Dvd Calendar'!$K$1330=TYPE1)*(TYPE1&lt;&gt;"")+('Dvd Calendar'!$K$1330=TYPE2)*(TYPE2&lt;&gt;"")+('Dvd Calendar'!$K$1330=TYPE3)*(TYPE3&lt;&gt;"")+('Dvd Calendar'!$K$1330=TYPE4)*(TYPE4&lt;&gt;"")+('Dvd Calendar'!$K$1330=SPECIAL_LBL)*(INC_SPECIALS="Y"))=0,"",'Dvd Calendar'!$K$1328)))</f>
        <v/>
      </c>
      <c r="J135" s="161">
        <f>IF(EL135="","",IF(ISNUMBER('Dvd Calendar'!$L$1328)=FALSE,"",IF((('Dvd Calendar'!$L$1330=TYPE1)*(TYPE1&lt;&gt;"")+('Dvd Calendar'!$L$1330=TYPE2)*(TYPE2&lt;&gt;"")+('Dvd Calendar'!$L$1330=TYPE3)*(TYPE3&lt;&gt;"")+('Dvd Calendar'!$L$1330=TYPE4)*(TYPE4&lt;&gt;"")+('Dvd Calendar'!$L$1330=SPECIAL_LBL)*(INC_SPECIALS="Y"))=0,"",'Dvd Calendar'!$L$1328)))</f>
        <v/>
      </c>
      <c r="K135" s="161">
        <f>IF(EM135="","",IF(ISNUMBER('Dvd Calendar'!$M$1328)=FALSE,"",IF((('Dvd Calendar'!$M$1330=TYPE1)*(TYPE1&lt;&gt;"")+('Dvd Calendar'!$M$1330=TYPE2)*(TYPE2&lt;&gt;"")+('Dvd Calendar'!$M$1330=TYPE3)*(TYPE3&lt;&gt;"")+('Dvd Calendar'!$M$1330=TYPE4)*(TYPE4&lt;&gt;"")+('Dvd Calendar'!$M$1330=SPECIAL_LBL)*(INC_SPECIALS="Y"))=0,"",'Dvd Calendar'!$M$1328)))</f>
        <v/>
      </c>
      <c r="L135" s="161">
        <f>IF(EN135="","",IF(ISNUMBER('Dvd Calendar'!$N$1328)=FALSE,"",IF((('Dvd Calendar'!$N$1330=TYPE1)*(TYPE1&lt;&gt;"")+('Dvd Calendar'!$N$1330=TYPE2)*(TYPE2&lt;&gt;"")+('Dvd Calendar'!$N$1330=TYPE3)*(TYPE3&lt;&gt;"")+('Dvd Calendar'!$N$1330=TYPE4)*(TYPE4&lt;&gt;"")+('Dvd Calendar'!$N$1330=SPECIAL_LBL)*(INC_SPECIALS="Y"))=0,"",'Dvd Calendar'!$N$1328)))</f>
        <v/>
      </c>
      <c r="M135" s="161">
        <f>IF(EO135="","",IF(ISNUMBER('Dvd Calendar'!$O$1328)=FALSE,"",IF((('Dvd Calendar'!$O$1330=TYPE1)*(TYPE1&lt;&gt;"")+('Dvd Calendar'!$O$1330=TYPE2)*(TYPE2&lt;&gt;"")+('Dvd Calendar'!$O$1330=TYPE3)*(TYPE3&lt;&gt;"")+('Dvd Calendar'!$O$1330=TYPE4)*(TYPE4&lt;&gt;"")+('Dvd Calendar'!$O$1330=SPECIAL_LBL)*(INC_SPECIALS="Y"))=0,"",'Dvd Calendar'!$O$1328)))</f>
        <v/>
      </c>
      <c r="N135" s="161">
        <f>IF(EP135="","",IF(ISNUMBER('Dvd Calendar'!$P$1328)=FALSE,"",IF((('Dvd Calendar'!$P$1330=TYPE1)*(TYPE1&lt;&gt;"")+('Dvd Calendar'!$P$1330=TYPE2)*(TYPE2&lt;&gt;"")+('Dvd Calendar'!$P$1330=TYPE3)*(TYPE3&lt;&gt;"")+('Dvd Calendar'!$P$1330=TYPE4)*(TYPE4&lt;&gt;"")+('Dvd Calendar'!$P$1330=SPECIAL_LBL)*(INC_SPECIALS="Y"))=0,"",'Dvd Calendar'!$P$1328)))</f>
        <v/>
      </c>
      <c r="O135" s="161">
        <f>IF(EQ135="","",IF(ISNUMBER('Dvd Calendar'!$Q$1328)=FALSE,"",IF((('Dvd Calendar'!$Q$1330=TYPE1)*(TYPE1&lt;&gt;"")+('Dvd Calendar'!$Q$1330=TYPE2)*(TYPE2&lt;&gt;"")+('Dvd Calendar'!$Q$1330=TYPE3)*(TYPE3&lt;&gt;"")+('Dvd Calendar'!$Q$1330=TYPE4)*(TYPE4&lt;&gt;"")+('Dvd Calendar'!$Q$1330=SPECIAL_LBL)*(INC_SPECIALS="Y"))=0,"",'Dvd Calendar'!$Q$1328)))</f>
        <v/>
      </c>
      <c r="P135" s="161">
        <f>IF(ER135="","",IF(ISNUMBER('Dvd Calendar'!$R$1328)=FALSE,"",IF((('Dvd Calendar'!$R$1330=TYPE1)*(TYPE1&lt;&gt;"")+('Dvd Calendar'!$R$1330=TYPE2)*(TYPE2&lt;&gt;"")+('Dvd Calendar'!$R$1330=TYPE3)*(TYPE3&lt;&gt;"")+('Dvd Calendar'!$R$1330=TYPE4)*(TYPE4&lt;&gt;"")+('Dvd Calendar'!$R$1330=SPECIAL_LBL)*(INC_SPECIALS="Y"))=0,"",'Dvd Calendar'!$R$1328)))</f>
        <v/>
      </c>
      <c r="Q135" s="161">
        <f>IF(ES135="","",IF(ISNUMBER('Dvd Calendar'!$S$1328)=FALSE,"",IF((('Dvd Calendar'!$S$1330=TYPE1)*(TYPE1&lt;&gt;"")+('Dvd Calendar'!$S$1330=TYPE2)*(TYPE2&lt;&gt;"")+('Dvd Calendar'!$S$1330=TYPE3)*(TYPE3&lt;&gt;"")+('Dvd Calendar'!$S$1330=TYPE4)*(TYPE4&lt;&gt;"")+('Dvd Calendar'!$S$1330=SPECIAL_LBL)*(INC_SPECIALS="Y"))=0,"",'Dvd Calendar'!$S$1328)))</f>
        <v/>
      </c>
      <c r="R135" s="161">
        <f>IF(ET135="","",IF(ISNUMBER('Dvd Calendar'!$T$1328)=FALSE,"",IF((('Dvd Calendar'!$T$1330=TYPE1)*(TYPE1&lt;&gt;"")+('Dvd Calendar'!$T$1330=TYPE2)*(TYPE2&lt;&gt;"")+('Dvd Calendar'!$T$1330=TYPE3)*(TYPE3&lt;&gt;"")+('Dvd Calendar'!$T$1330=TYPE4)*(TYPE4&lt;&gt;"")+('Dvd Calendar'!$T$1330=SPECIAL_LBL)*(INC_SPECIALS="Y"))=0,"",'Dvd Calendar'!$T$1328)))</f>
        <v/>
      </c>
      <c r="S135" s="161">
        <f>IF(EU135="","",IF(ISNUMBER('Dvd Calendar'!$U$1328)=FALSE,"",IF((('Dvd Calendar'!$U$1330=TYPE1)*(TYPE1&lt;&gt;"")+('Dvd Calendar'!$U$1330=TYPE2)*(TYPE2&lt;&gt;"")+('Dvd Calendar'!$U$1330=TYPE3)*(TYPE3&lt;&gt;"")+('Dvd Calendar'!$U$1330=TYPE4)*(TYPE4&lt;&gt;"")+('Dvd Calendar'!$U$1330=SPECIAL_LBL)*(INC_SPECIALS="Y"))=0,"",'Dvd Calendar'!$U$1328)))</f>
        <v/>
      </c>
      <c r="T135" s="161">
        <f>IF(EV135="","",IF(ISNUMBER('Dvd Calendar'!$V$1328)=FALSE,"",IF((('Dvd Calendar'!$V$1330=TYPE1)*(TYPE1&lt;&gt;"")+('Dvd Calendar'!$V$1330=TYPE2)*(TYPE2&lt;&gt;"")+('Dvd Calendar'!$V$1330=TYPE3)*(TYPE3&lt;&gt;"")+('Dvd Calendar'!$V$1330=TYPE4)*(TYPE4&lt;&gt;"")+('Dvd Calendar'!$V$1330=SPECIAL_LBL)*(INC_SPECIALS="Y"))=0,"",'Dvd Calendar'!$V$1328)))</f>
        <v/>
      </c>
      <c r="U135" s="161">
        <f>IF(EW135="","",IF(ISNUMBER('Dvd Calendar'!$W$1328)=FALSE,"",IF((('Dvd Calendar'!$W$1330=TYPE1)*(TYPE1&lt;&gt;"")+('Dvd Calendar'!$W$1330=TYPE2)*(TYPE2&lt;&gt;"")+('Dvd Calendar'!$W$1330=TYPE3)*(TYPE3&lt;&gt;"")+('Dvd Calendar'!$W$1330=TYPE4)*(TYPE4&lt;&gt;"")+('Dvd Calendar'!$W$1330=SPECIAL_LBL)*(INC_SPECIALS="Y"))=0,"",'Dvd Calendar'!$W$1328)))</f>
        <v/>
      </c>
      <c r="V135" s="161">
        <f>IF(EX135="","",IF(ISNUMBER('Dvd Calendar'!$X$1328)=FALSE,"",IF((('Dvd Calendar'!$X$1330=TYPE1)*(TYPE1&lt;&gt;"")+('Dvd Calendar'!$X$1330=TYPE2)*(TYPE2&lt;&gt;"")+('Dvd Calendar'!$X$1330=TYPE3)*(TYPE3&lt;&gt;"")+('Dvd Calendar'!$X$1330=TYPE4)*(TYPE4&lt;&gt;"")+('Dvd Calendar'!$X$1330=SPECIAL_LBL)*(INC_SPECIALS="Y"))=0,"",'Dvd Calendar'!$X$1328)))</f>
        <v/>
      </c>
      <c r="W135" s="161">
        <f>IF(EY135="","",IF(ISNUMBER('Dvd Calendar'!$Y$1328)=FALSE,"",IF((('Dvd Calendar'!$Y$1330=TYPE1)*(TYPE1&lt;&gt;"")+('Dvd Calendar'!$Y$1330=TYPE2)*(TYPE2&lt;&gt;"")+('Dvd Calendar'!$Y$1330=TYPE3)*(TYPE3&lt;&gt;"")+('Dvd Calendar'!$Y$1330=TYPE4)*(TYPE4&lt;&gt;"")+('Dvd Calendar'!$Y$1330=SPECIAL_LBL)*(INC_SPECIALS="Y"))=0,"",'Dvd Calendar'!$Y$1328)))</f>
        <v/>
      </c>
      <c r="X135" s="161">
        <f>IF(EZ135="","",IF(ISNUMBER('Dvd Calendar'!$Z$1328)=FALSE,"",IF((('Dvd Calendar'!$Z$1330=TYPE1)*(TYPE1&lt;&gt;"")+('Dvd Calendar'!$Z$1330=TYPE2)*(TYPE2&lt;&gt;"")+('Dvd Calendar'!$Z$1330=TYPE3)*(TYPE3&lt;&gt;"")+('Dvd Calendar'!$Z$1330=TYPE4)*(TYPE4&lt;&gt;"")+('Dvd Calendar'!$Z$1330=SPECIAL_LBL)*(INC_SPECIALS="Y"))=0,"",'Dvd Calendar'!$Z$1328)))</f>
        <v/>
      </c>
      <c r="Y135" s="161">
        <f>IF(FA135="","",IF(ISNUMBER('Dvd Calendar'!$AA$1328)=FALSE,"",IF((('Dvd Calendar'!$AA$1330=TYPE1)*(TYPE1&lt;&gt;"")+('Dvd Calendar'!$AA$1330=TYPE2)*(TYPE2&lt;&gt;"")+('Dvd Calendar'!$AA$1330=TYPE3)*(TYPE3&lt;&gt;"")+('Dvd Calendar'!$AA$1330=TYPE4)*(TYPE4&lt;&gt;"")+('Dvd Calendar'!$AA$1330=SPECIAL_LBL)*(INC_SPECIALS="Y"))=0,"",'Dvd Calendar'!$AA$1328)))</f>
        <v/>
      </c>
      <c r="Z135" s="161">
        <f>IF(FB135="","",IF(ISNUMBER('Dvd Calendar'!$AB$1328)=FALSE,"",IF((('Dvd Calendar'!$AB$1330=TYPE1)*(TYPE1&lt;&gt;"")+('Dvd Calendar'!$AB$1330=TYPE2)*(TYPE2&lt;&gt;"")+('Dvd Calendar'!$AB$1330=TYPE3)*(TYPE3&lt;&gt;"")+('Dvd Calendar'!$AB$1330=TYPE4)*(TYPE4&lt;&gt;"")+('Dvd Calendar'!$AB$1330=SPECIAL_LBL)*(INC_SPECIALS="Y"))=0,"",'Dvd Calendar'!$AB$1328)))</f>
        <v/>
      </c>
      <c r="AA135" s="161">
        <f>IF(FC135="","",IF(ISNUMBER('Dvd Calendar'!$AC$1328)=FALSE,"",IF((('Dvd Calendar'!$AC$1330=TYPE1)*(TYPE1&lt;&gt;"")+('Dvd Calendar'!$AC$1330=TYPE2)*(TYPE2&lt;&gt;"")+('Dvd Calendar'!$AC$1330=TYPE3)*(TYPE3&lt;&gt;"")+('Dvd Calendar'!$AC$1330=TYPE4)*(TYPE4&lt;&gt;"")+('Dvd Calendar'!$AC$1330=SPECIAL_LBL)*(INC_SPECIALS="Y"))=0,"",'Dvd Calendar'!$AC$1328)))</f>
        <v/>
      </c>
      <c r="AB135" s="161">
        <f>IF(FD135="","",IF(ISNUMBER('Dvd Calendar'!$AD$1328)=FALSE,"",IF((('Dvd Calendar'!$AD$1330=TYPE1)*(TYPE1&lt;&gt;"")+('Dvd Calendar'!$AD$1330=TYPE2)*(TYPE2&lt;&gt;"")+('Dvd Calendar'!$AD$1330=TYPE3)*(TYPE3&lt;&gt;"")+('Dvd Calendar'!$AD$1330=TYPE4)*(TYPE4&lt;&gt;"")+('Dvd Calendar'!$AD$1330=SPECIAL_LBL)*(INC_SPECIALS="Y"))=0,"",'Dvd Calendar'!$AD$1328)))</f>
        <v/>
      </c>
      <c r="AC135" s="161">
        <f>IF(FE135="","",IF(ISNUMBER('Dvd Calendar'!$AE$1328)=FALSE,"",IF((('Dvd Calendar'!$AE$1330=TYPE1)*(TYPE1&lt;&gt;"")+('Dvd Calendar'!$AE$1330=TYPE2)*(TYPE2&lt;&gt;"")+('Dvd Calendar'!$AE$1330=TYPE3)*(TYPE3&lt;&gt;"")+('Dvd Calendar'!$AE$1330=TYPE4)*(TYPE4&lt;&gt;"")+('Dvd Calendar'!$AE$1330=SPECIAL_LBL)*(INC_SPECIALS="Y"))=0,"",'Dvd Calendar'!$AE$1328)))</f>
        <v/>
      </c>
      <c r="AD135" s="161">
        <f>IF(FF135="","",IF(ISNUMBER('Dvd Calendar'!$AF$1328)=FALSE,"",IF((('Dvd Calendar'!$AF$1330=TYPE1)*(TYPE1&lt;&gt;"")+('Dvd Calendar'!$AF$1330=TYPE2)*(TYPE2&lt;&gt;"")+('Dvd Calendar'!$AF$1330=TYPE3)*(TYPE3&lt;&gt;"")+('Dvd Calendar'!$AF$1330=TYPE4)*(TYPE4&lt;&gt;"")+('Dvd Calendar'!$AF$1330=SPECIAL_LBL)*(INC_SPECIALS="Y"))=0,"",'Dvd Calendar'!$AF$1328)))</f>
        <v/>
      </c>
      <c r="AE135" s="161">
        <f>IF(FG135="","",IF(ISNUMBER('Dvd Calendar'!$AG$1328)=FALSE,"",IF((('Dvd Calendar'!$AG$1330=TYPE1)*(TYPE1&lt;&gt;"")+('Dvd Calendar'!$AG$1330=TYPE2)*(TYPE2&lt;&gt;"")+('Dvd Calendar'!$AG$1330=TYPE3)*(TYPE3&lt;&gt;"")+('Dvd Calendar'!$AG$1330=TYPE4)*(TYPE4&lt;&gt;"")+('Dvd Calendar'!$AG$1330=SPECIAL_LBL)*(INC_SPECIALS="Y"))=0,"",'Dvd Calendar'!$AG$1328)))</f>
        <v/>
      </c>
      <c r="AF135" s="161">
        <f>IF(FH135="","",IF(ISNUMBER('Dvd Calendar'!$AH$1328)=FALSE,"",IF((('Dvd Calendar'!$AH$1330=TYPE1)*(TYPE1&lt;&gt;"")+('Dvd Calendar'!$AH$1330=TYPE2)*(TYPE2&lt;&gt;"")+('Dvd Calendar'!$AH$1330=TYPE3)*(TYPE3&lt;&gt;"")+('Dvd Calendar'!$AH$1330=TYPE4)*(TYPE4&lt;&gt;"")+('Dvd Calendar'!$AH$1330=SPECIAL_LBL)*(INC_SPECIALS="Y"))=0,"",'Dvd Calendar'!$AH$1328)))</f>
        <v/>
      </c>
      <c r="AG135" s="161">
        <f>IF(FI135="","",IF(ISNUMBER('Dvd Calendar'!$AI$1328)=FALSE,"",IF((('Dvd Calendar'!$AI$1330=TYPE1)*(TYPE1&lt;&gt;"")+('Dvd Calendar'!$AI$1330=TYPE2)*(TYPE2&lt;&gt;"")+('Dvd Calendar'!$AI$1330=TYPE3)*(TYPE3&lt;&gt;"")+('Dvd Calendar'!$AI$1330=TYPE4)*(TYPE4&lt;&gt;"")+('Dvd Calendar'!$AI$1330=SPECIAL_LBL)*(INC_SPECIALS="Y"))=0,"",'Dvd Calendar'!$AI$1328)))</f>
        <v/>
      </c>
      <c r="AH135" s="161">
        <f>IF(FJ135="","",IF(ISNUMBER('Dvd Calendar'!$AJ$1328)=FALSE,"",IF((('Dvd Calendar'!$AJ$1330=TYPE1)*(TYPE1&lt;&gt;"")+('Dvd Calendar'!$AJ$1330=TYPE2)*(TYPE2&lt;&gt;"")+('Dvd Calendar'!$AJ$1330=TYPE3)*(TYPE3&lt;&gt;"")+('Dvd Calendar'!$AJ$1330=TYPE4)*(TYPE4&lt;&gt;"")+('Dvd Calendar'!$AJ$1330=SPECIAL_LBL)*(INC_SPECIALS="Y"))=0,"",'Dvd Calendar'!$AJ$1328)))</f>
        <v/>
      </c>
      <c r="AI135" s="161">
        <f>IF(FK135="","",IF(ISNUMBER('Dvd Calendar'!$AK$1328)=FALSE,"",IF((('Dvd Calendar'!$AK$1330=TYPE1)*(TYPE1&lt;&gt;"")+('Dvd Calendar'!$AK$1330=TYPE2)*(TYPE2&lt;&gt;"")+('Dvd Calendar'!$AK$1330=TYPE3)*(TYPE3&lt;&gt;"")+('Dvd Calendar'!$AK$1330=TYPE4)*(TYPE4&lt;&gt;"")+('Dvd Calendar'!$AK$1330=SPECIAL_LBL)*(INC_SPECIALS="Y"))=0,"",'Dvd Calendar'!$AK$1328)))</f>
        <v/>
      </c>
      <c r="AJ135" s="161">
        <f>IF(FL135="","",IF(ISNUMBER('Dvd Calendar'!$AL$1328)=FALSE,"",IF((('Dvd Calendar'!$AL$1330=TYPE1)*(TYPE1&lt;&gt;"")+('Dvd Calendar'!$AL$1330=TYPE2)*(TYPE2&lt;&gt;"")+('Dvd Calendar'!$AL$1330=TYPE3)*(TYPE3&lt;&gt;"")+('Dvd Calendar'!$AL$1330=TYPE4)*(TYPE4&lt;&gt;"")+('Dvd Calendar'!$AL$1330=SPECIAL_LBL)*(INC_SPECIALS="Y"))=0,"",'Dvd Calendar'!$AL$1328)))</f>
        <v/>
      </c>
      <c r="AK135" s="161">
        <f>IF(FM135="","",IF(ISNUMBER('Dvd Calendar'!$AM$1328)=FALSE,"",IF((('Dvd Calendar'!$AM$1330=TYPE1)*(TYPE1&lt;&gt;"")+('Dvd Calendar'!$AM$1330=TYPE2)*(TYPE2&lt;&gt;"")+('Dvd Calendar'!$AM$1330=TYPE3)*(TYPE3&lt;&gt;"")+('Dvd Calendar'!$AM$1330=TYPE4)*(TYPE4&lt;&gt;"")+('Dvd Calendar'!$AM$1330=SPECIAL_LBL)*(INC_SPECIALS="Y"))=0,"",'Dvd Calendar'!$AM$1328)))</f>
        <v/>
      </c>
      <c r="AL135" s="161">
        <f>IF(FN135="","",IF(ISNUMBER('Dvd Calendar'!$AN$1328)=FALSE,"",IF((('Dvd Calendar'!$AN$1330=TYPE1)*(TYPE1&lt;&gt;"")+('Dvd Calendar'!$AN$1330=TYPE2)*(TYPE2&lt;&gt;"")+('Dvd Calendar'!$AN$1330=TYPE3)*(TYPE3&lt;&gt;"")+('Dvd Calendar'!$AN$1330=TYPE4)*(TYPE4&lt;&gt;"")+('Dvd Calendar'!$AN$1330=SPECIAL_LBL)*(INC_SPECIALS="Y"))=0,"",'Dvd Calendar'!$AN$1328)))</f>
        <v/>
      </c>
      <c r="AM135" s="161">
        <f>IF(FO135="","",IF(ISNUMBER('Dvd Calendar'!$AO$1328)=FALSE,"",IF((('Dvd Calendar'!$AO$1330=TYPE1)*(TYPE1&lt;&gt;"")+('Dvd Calendar'!$AO$1330=TYPE2)*(TYPE2&lt;&gt;"")+('Dvd Calendar'!$AO$1330=TYPE3)*(TYPE3&lt;&gt;"")+('Dvd Calendar'!$AO$1330=TYPE4)*(TYPE4&lt;&gt;"")+('Dvd Calendar'!$AO$1330=SPECIAL_LBL)*(INC_SPECIALS="Y"))=0,"",'Dvd Calendar'!$AO$1328)))</f>
        <v/>
      </c>
      <c r="AN135" s="161">
        <f>IF(FP135="","",IF(ISNUMBER('Dvd Calendar'!$AP$1328)=FALSE,"",IF((('Dvd Calendar'!$AP$1330=TYPE1)*(TYPE1&lt;&gt;"")+('Dvd Calendar'!$AP$1330=TYPE2)*(TYPE2&lt;&gt;"")+('Dvd Calendar'!$AP$1330=TYPE3)*(TYPE3&lt;&gt;"")+('Dvd Calendar'!$AP$1330=TYPE4)*(TYPE4&lt;&gt;"")+('Dvd Calendar'!$AP$1330=SPECIAL_LBL)*(INC_SPECIALS="Y"))=0,"",'Dvd Calendar'!$AP$1328)))</f>
        <v/>
      </c>
      <c r="AO135" s="161">
        <f>IF(FQ135="","",IF(ISNUMBER('Dvd Calendar'!$AQ$1328)=FALSE,"",IF((('Dvd Calendar'!$AQ$1330=TYPE1)*(TYPE1&lt;&gt;"")+('Dvd Calendar'!$AQ$1330=TYPE2)*(TYPE2&lt;&gt;"")+('Dvd Calendar'!$AQ$1330=TYPE3)*(TYPE3&lt;&gt;"")+('Dvd Calendar'!$AQ$1330=TYPE4)*(TYPE4&lt;&gt;"")+('Dvd Calendar'!$AQ$1330=SPECIAL_LBL)*(INC_SPECIALS="Y"))=0,"",'Dvd Calendar'!$AQ$1328)))</f>
        <v/>
      </c>
      <c r="AP135" s="161">
        <f>IF(FR135="","",IF(ISNUMBER('Dvd Calendar'!$AR$1328)=FALSE,"",IF((('Dvd Calendar'!$AR$1330=TYPE1)*(TYPE1&lt;&gt;"")+('Dvd Calendar'!$AR$1330=TYPE2)*(TYPE2&lt;&gt;"")+('Dvd Calendar'!$AR$1330=TYPE3)*(TYPE3&lt;&gt;"")+('Dvd Calendar'!$AR$1330=TYPE4)*(TYPE4&lt;&gt;"")+('Dvd Calendar'!$AR$1330=SPECIAL_LBL)*(INC_SPECIALS="Y"))=0,"",'Dvd Calendar'!$AR$1328)))</f>
        <v/>
      </c>
      <c r="AQ135" s="161">
        <f>IF(FS135="","",IF(ISNUMBER('Dvd Calendar'!$E$1333)=FALSE,"",'Dvd Calendar'!$E$1333))</f>
        <v/>
      </c>
      <c r="AR135" s="161">
        <f>IF(FT135="","",IF(ISNUMBER('Dvd Calendar'!$F$1333)=FALSE,"",'Dvd Calendar'!$F$1333))</f>
        <v/>
      </c>
      <c r="AS135" s="161">
        <f>IF(FU135="","",IF(ISNUMBER('Dvd Calendar'!$G$1333)=FALSE,"",'Dvd Calendar'!$G$1333))</f>
        <v/>
      </c>
      <c r="AT135" s="161">
        <f>IF(FV135="","",IF(ISNUMBER('Dvd Calendar'!$H$1333)=FALSE,"",'Dvd Calendar'!$H$1333))</f>
        <v/>
      </c>
      <c r="AU135" s="161">
        <f>IF(FW135="","",IF(ISNUMBER('Dvd Calendar'!$I$1333)=FALSE,"",'Dvd Calendar'!$I$1333))</f>
        <v/>
      </c>
      <c r="AV135" s="161">
        <f>IF(FX135="","",IF(ISNUMBER('Dvd Calendar'!$J$1333)=FALSE,"",'Dvd Calendar'!$J$1333))</f>
        <v/>
      </c>
      <c r="AW135" s="161">
        <f>IF(FY135="","",IF(ISNUMBER('Dvd Calendar'!$K$1333)=FALSE,"",'Dvd Calendar'!$K$1333))</f>
        <v/>
      </c>
      <c r="AX135" s="161">
        <f>IF(FZ135="","",IF(ISNUMBER('Dvd Calendar'!$L$1333)=FALSE,"",'Dvd Calendar'!$L$1333))</f>
        <v/>
      </c>
      <c r="AY135" s="161">
        <f>IF(GA135="","",IF(ISNUMBER('Dvd Calendar'!$M$1333)=FALSE,"",'Dvd Calendar'!$M$1333))</f>
        <v/>
      </c>
      <c r="AZ135" s="161">
        <f>IF(GB135="","",IF(ISNUMBER('Dvd Calendar'!$N$1333)=FALSE,"",'Dvd Calendar'!$N$1333))</f>
        <v/>
      </c>
      <c r="BA135" s="161">
        <f>IF(GC135="","",IF(ISNUMBER('Dvd Calendar'!$O$1333)=FALSE,"",'Dvd Calendar'!$O$1333))</f>
        <v/>
      </c>
      <c r="BB135" s="161">
        <f>IF(GD135="","",IF(ISNUMBER('Dvd Calendar'!$P$1333)=FALSE,"",'Dvd Calendar'!$P$1333))</f>
        <v/>
      </c>
      <c r="BC135" s="161">
        <f>IF(GE135="","",IF(ISNUMBER('Dvd Calendar'!$Q$1333)=FALSE,"",'Dvd Calendar'!$Q$1333))</f>
        <v/>
      </c>
      <c r="BD135" s="161">
        <f>IF(GF135="","",IF(ISNUMBER('Dvd Calendar'!$R$1333)=FALSE,"",'Dvd Calendar'!$R$1333))</f>
        <v/>
      </c>
      <c r="BE135" s="161">
        <f>IF(GG135="","",IF(ISNUMBER('Dvd Calendar'!$S$1333)=FALSE,"",'Dvd Calendar'!$S$1333))</f>
        <v/>
      </c>
      <c r="BF135" s="161">
        <f>IF(GH135="","",IF(ISNUMBER('Dvd Calendar'!$T$1333)=FALSE,"",'Dvd Calendar'!$T$1333))</f>
        <v/>
      </c>
      <c r="BG135" s="161">
        <f>IF(GI135="","",IF(ISNUMBER('Dvd Calendar'!$U$1333)=FALSE,"",'Dvd Calendar'!$U$1333))</f>
        <v/>
      </c>
      <c r="BH135" s="161">
        <f>IF(GJ135="","",IF(ISNUMBER('Dvd Calendar'!$V$1333)=FALSE,"",'Dvd Calendar'!$V$1333))</f>
        <v/>
      </c>
      <c r="BI135" s="161">
        <f>IF(GK135="","",IF(ISNUMBER('Dvd Calendar'!$W$1333)=FALSE,"",'Dvd Calendar'!$W$1333))</f>
        <v/>
      </c>
      <c r="BJ135" s="161">
        <f>IF(GL135="","",IF(ISNUMBER('Dvd Calendar'!$X$1333)=FALSE,"",'Dvd Calendar'!$X$1333))</f>
        <v/>
      </c>
      <c r="BK135" s="161">
        <f>IF(GM135="","",IF(ISNUMBER('Dvd Calendar'!$Y$1333)=FALSE,"",'Dvd Calendar'!$Y$1333))</f>
        <v/>
      </c>
      <c r="BL135" s="161">
        <f>IF(GN135="","",IF(ISNUMBER('Dvd Calendar'!$Z$1333)=FALSE,"",'Dvd Calendar'!$Z$1333))</f>
        <v/>
      </c>
      <c r="BM135" s="161">
        <f>IF(GO135="","",IF(ISNUMBER('Dvd Calendar'!$AA$1333)=FALSE,"",'Dvd Calendar'!$AA$1333))</f>
        <v/>
      </c>
      <c r="BN135" s="161">
        <f>IF(GP135="","",IF(ISNUMBER('Dvd Calendar'!$AB$1333)=FALSE,"",'Dvd Calendar'!$AB$1333))</f>
        <v/>
      </c>
      <c r="BO135" s="161">
        <f>IF(GQ135="","",IF(ISNUMBER('Dvd Calendar'!$AC$1333)=FALSE,"",'Dvd Calendar'!$AC$1333))</f>
        <v/>
      </c>
      <c r="BQ135" s="161">
        <f>IF(C135="","",IFERROR(C135*HSTECH!$B$26*HSTECH!$G$26/HSTECH!$B$3,""))</f>
        <v/>
      </c>
      <c r="BR135" s="161">
        <f>IF(D135="","",IFERROR(D135*HSTECH!$B$26*HSTECH!$G$26/HSTECH!$B$3,""))</f>
        <v/>
      </c>
      <c r="BS135" s="161">
        <f>IF(E135="","",IFERROR(E135*HSTECH!$B$26*HSTECH!$G$26/HSTECH!$B$3,""))</f>
        <v/>
      </c>
      <c r="BT135" s="161">
        <f>IF(F135="","",IFERROR(F135*HSTECH!$B$26*HSTECH!$G$26/HSTECH!$B$3,""))</f>
        <v/>
      </c>
      <c r="BU135" s="161">
        <f>IF(G135="","",IFERROR(G135*HSTECH!$B$26*HSTECH!$G$26/HSTECH!$B$3,""))</f>
        <v/>
      </c>
      <c r="BV135" s="161">
        <f>IF(H135="","",IFERROR(H135*HSTECH!$B$26*HSTECH!$G$26/HSTECH!$B$3,""))</f>
        <v/>
      </c>
      <c r="BW135" s="161">
        <f>IF(I135="","",IFERROR(I135*HSTECH!$B$26*HSTECH!$G$26/HSTECH!$B$3,""))</f>
        <v/>
      </c>
      <c r="BX135" s="161">
        <f>IF(J135="","",IFERROR(J135*HSTECH!$B$26*HSTECH!$G$26/HSTECH!$B$3,""))</f>
        <v/>
      </c>
      <c r="BY135" s="161">
        <f>IF(K135="","",IFERROR(K135*HSTECH!$B$26*HSTECH!$G$26/HSTECH!$B$3,""))</f>
        <v/>
      </c>
      <c r="BZ135" s="161">
        <f>IF(L135="","",IFERROR(L135*HSTECH!$B$26*HSTECH!$G$26/HSTECH!$B$3,""))</f>
        <v/>
      </c>
      <c r="CA135" s="161">
        <f>IF(M135="","",IFERROR(M135*HSTECH!$B$26*HSTECH!$G$26/HSTECH!$B$3,""))</f>
        <v/>
      </c>
      <c r="CB135" s="161">
        <f>IF(N135="","",IFERROR(N135*HSTECH!$B$26*HSTECH!$G$26/HSTECH!$B$3,""))</f>
        <v/>
      </c>
      <c r="CC135" s="161">
        <f>IF(O135="","",IFERROR(O135*HSTECH!$B$26*HSTECH!$G$26/HSTECH!$B$3,""))</f>
        <v/>
      </c>
      <c r="CD135" s="161">
        <f>IF(P135="","",IFERROR(P135*HSTECH!$B$26*HSTECH!$G$26/HSTECH!$B$3,""))</f>
        <v/>
      </c>
      <c r="CE135" s="161">
        <f>IF(Q135="","",IFERROR(Q135*HSTECH!$B$26*HSTECH!$G$26/HSTECH!$B$3,""))</f>
        <v/>
      </c>
      <c r="CF135" s="161">
        <f>IF(R135="","",IFERROR(R135*HSTECH!$B$26*HSTECH!$G$26/HSTECH!$B$3,""))</f>
        <v/>
      </c>
      <c r="CG135" s="161">
        <f>IF(S135="","",IFERROR(S135*HSTECH!$B$26*HSTECH!$G$26/HSTECH!$B$3,""))</f>
        <v/>
      </c>
      <c r="CH135" s="161">
        <f>IF(T135="","",IFERROR(T135*HSTECH!$B$26*HSTECH!$G$26/HSTECH!$B$3,""))</f>
        <v/>
      </c>
      <c r="CI135" s="161">
        <f>IF(U135="","",IFERROR(U135*HSTECH!$B$26*HSTECH!$G$26/HSTECH!$B$3,""))</f>
        <v/>
      </c>
      <c r="CJ135" s="161">
        <f>IF(V135="","",IFERROR(V135*HSTECH!$B$26*HSTECH!$G$26/HSTECH!$B$3,""))</f>
        <v/>
      </c>
      <c r="CK135" s="161">
        <f>IF(W135="","",IFERROR(W135*HSTECH!$B$26*HSTECH!$G$26/HSTECH!$B$3,""))</f>
        <v/>
      </c>
      <c r="CL135" s="161">
        <f>IF(X135="","",IFERROR(X135*HSTECH!$B$26*HSTECH!$G$26/HSTECH!$B$3,""))</f>
        <v/>
      </c>
      <c r="CM135" s="161">
        <f>IF(Y135="","",IFERROR(Y135*HSTECH!$B$26*HSTECH!$G$26/HSTECH!$B$3,""))</f>
        <v/>
      </c>
      <c r="CN135" s="161">
        <f>IF(Z135="","",IFERROR(Z135*HSTECH!$B$26*HSTECH!$G$26/HSTECH!$B$3,""))</f>
        <v/>
      </c>
      <c r="CO135" s="161">
        <f>IF(AA135="","",IFERROR(AA135*HSTECH!$B$26*HSTECH!$G$26/HSTECH!$B$3,""))</f>
        <v/>
      </c>
      <c r="CP135" s="161">
        <f>IF(AB135="","",IFERROR(AB135*HSTECH!$B$26*HSTECH!$G$26/HSTECH!$B$3,""))</f>
        <v/>
      </c>
      <c r="CQ135" s="161">
        <f>IF(AC135="","",IFERROR(AC135*HSTECH!$B$26*HSTECH!$G$26/HSTECH!$B$3,""))</f>
        <v/>
      </c>
      <c r="CR135" s="161">
        <f>IF(AD135="","",IFERROR(AD135*HSTECH!$B$26*HSTECH!$G$26/HSTECH!$B$3,""))</f>
        <v/>
      </c>
      <c r="CS135" s="161">
        <f>IF(AE135="","",IFERROR(AE135*HSTECH!$B$26*HSTECH!$G$26/HSTECH!$B$3,""))</f>
        <v/>
      </c>
      <c r="CT135" s="161">
        <f>IF(AF135="","",IFERROR(AF135*HSTECH!$B$26*HSTECH!$G$26/HSTECH!$B$3,""))</f>
        <v/>
      </c>
      <c r="CU135" s="161">
        <f>IF(AG135="","",IFERROR(AG135*HSTECH!$B$26*HSTECH!$G$26/HSTECH!$B$3,""))</f>
        <v/>
      </c>
      <c r="CV135" s="161">
        <f>IF(AH135="","",IFERROR(AH135*HSTECH!$B$26*HSTECH!$G$26/HSTECH!$B$3,""))</f>
        <v/>
      </c>
      <c r="CW135" s="161">
        <f>IF(AI135="","",IFERROR(AI135*HSTECH!$B$26*HSTECH!$G$26/HSTECH!$B$3,""))</f>
        <v/>
      </c>
      <c r="CX135" s="161">
        <f>IF(AJ135="","",IFERROR(AJ135*HSTECH!$B$26*HSTECH!$G$26/HSTECH!$B$3,""))</f>
        <v/>
      </c>
      <c r="CY135" s="161">
        <f>IF(AK135="","",IFERROR(AK135*HSTECH!$B$26*HSTECH!$G$26/HSTECH!$B$3,""))</f>
        <v/>
      </c>
      <c r="CZ135" s="161">
        <f>IF(AL135="","",IFERROR(AL135*HSTECH!$B$26*HSTECH!$G$26/HSTECH!$B$3,""))</f>
        <v/>
      </c>
      <c r="DA135" s="161">
        <f>IF(AM135="","",IFERROR(AM135*HSTECH!$B$26*HSTECH!$G$26/HSTECH!$B$3,""))</f>
        <v/>
      </c>
      <c r="DB135" s="161">
        <f>IF(AN135="","",IFERROR(AN135*HSTECH!$B$26*HSTECH!$G$26/HSTECH!$B$3,""))</f>
        <v/>
      </c>
      <c r="DC135" s="161">
        <f>IF(AO135="","",IFERROR(AO135*HSTECH!$B$26*HSTECH!$G$26/HSTECH!$B$3,""))</f>
        <v/>
      </c>
      <c r="DD135" s="161">
        <f>IF(AP135="","",IFERROR(AP135*HSTECH!$B$26*HSTECH!$G$26/HSTECH!$B$3,""))</f>
        <v/>
      </c>
      <c r="DE135" s="161">
        <f>IF(AQ135="","",IFERROR(AQ135*HSTECH!$B$26*HSTECH!$G$26/HSTECH!$B$3,""))</f>
        <v/>
      </c>
      <c r="DF135" s="161">
        <f>IF(AR135="","",IFERROR(AR135*HSTECH!$B$26*HSTECH!$G$26/HSTECH!$B$3,""))</f>
        <v/>
      </c>
      <c r="DG135" s="161">
        <f>IF(AS135="","",IFERROR(AS135*HSTECH!$B$26*HSTECH!$G$26/HSTECH!$B$3,""))</f>
        <v/>
      </c>
      <c r="DH135" s="161">
        <f>IF(AT135="","",IFERROR(AT135*HSTECH!$B$26*HSTECH!$G$26/HSTECH!$B$3,""))</f>
        <v/>
      </c>
      <c r="DI135" s="161">
        <f>IF(AU135="","",IFERROR(AU135*HSTECH!$B$26*HSTECH!$G$26/HSTECH!$B$3,""))</f>
        <v/>
      </c>
      <c r="DJ135" s="161">
        <f>IF(AV135="","",IFERROR(AV135*HSTECH!$B$26*HSTECH!$G$26/HSTECH!$B$3,""))</f>
        <v/>
      </c>
      <c r="DK135" s="161">
        <f>IF(AW135="","",IFERROR(AW135*HSTECH!$B$26*HSTECH!$G$26/HSTECH!$B$3,""))</f>
        <v/>
      </c>
      <c r="DL135" s="161">
        <f>IF(AX135="","",IFERROR(AX135*HSTECH!$B$26*HSTECH!$G$26/HSTECH!$B$3,""))</f>
        <v/>
      </c>
      <c r="DM135" s="161">
        <f>IF(AY135="","",IFERROR(AY135*HSTECH!$B$26*HSTECH!$G$26/HSTECH!$B$3,""))</f>
        <v/>
      </c>
      <c r="DN135" s="161">
        <f>IF(AZ135="","",IFERROR(AZ135*HSTECH!$B$26*HSTECH!$G$26/HSTECH!$B$3,""))</f>
        <v/>
      </c>
      <c r="DO135" s="161">
        <f>IF(BA135="","",IFERROR(BA135*HSTECH!$B$26*HSTECH!$G$26/HSTECH!$B$3,""))</f>
        <v/>
      </c>
      <c r="DP135" s="161">
        <f>IF(BB135="","",IFERROR(BB135*HSTECH!$B$26*HSTECH!$G$26/HSTECH!$B$3,""))</f>
        <v/>
      </c>
      <c r="DQ135" s="161">
        <f>IF(BC135="","",IFERROR(BC135*HSTECH!$B$26*HSTECH!$G$26/HSTECH!$B$3,""))</f>
        <v/>
      </c>
      <c r="DR135" s="161">
        <f>IF(BD135="","",IFERROR(BD135*HSTECH!$B$26*HSTECH!$G$26/HSTECH!$B$3,""))</f>
        <v/>
      </c>
      <c r="DS135" s="161">
        <f>IF(BE135="","",IFERROR(BE135*HSTECH!$B$26*HSTECH!$G$26/HSTECH!$B$3,""))</f>
        <v/>
      </c>
      <c r="DT135" s="161">
        <f>IF(BF135="","",IFERROR(BF135*HSTECH!$B$26*HSTECH!$G$26/HSTECH!$B$3,""))</f>
        <v/>
      </c>
      <c r="DU135" s="161">
        <f>IF(BG135="","",IFERROR(BG135*HSTECH!$B$26*HSTECH!$G$26/HSTECH!$B$3,""))</f>
        <v/>
      </c>
      <c r="DV135" s="161">
        <f>IF(BH135="","",IFERROR(BH135*HSTECH!$B$26*HSTECH!$G$26/HSTECH!$B$3,""))</f>
        <v/>
      </c>
      <c r="DW135" s="161">
        <f>IF(BI135="","",IFERROR(BI135*HSTECH!$B$26*HSTECH!$G$26/HSTECH!$B$3,""))</f>
        <v/>
      </c>
      <c r="DX135" s="161">
        <f>IF(BJ135="","",IFERROR(BJ135*HSTECH!$B$26*HSTECH!$G$26/HSTECH!$B$3,""))</f>
        <v/>
      </c>
      <c r="DY135" s="161">
        <f>IF(BK135="","",IFERROR(BK135*HSTECH!$B$26*HSTECH!$G$26/HSTECH!$B$3,""))</f>
        <v/>
      </c>
      <c r="DZ135" s="161">
        <f>IF(BL135="","",IFERROR(BL135*HSTECH!$B$26*HSTECH!$G$26/HSTECH!$B$3,""))</f>
        <v/>
      </c>
      <c r="EA135" s="161">
        <f>IF(BM135="","",IFERROR(BM135*HSTECH!$B$26*HSTECH!$G$26/HSTECH!$B$3,""))</f>
        <v/>
      </c>
      <c r="EB135" s="161">
        <f>IF(BN135="","",IFERROR(BN135*HSTECH!$B$26*HSTECH!$G$26/HSTECH!$B$3,""))</f>
        <v/>
      </c>
      <c r="EC135" s="161">
        <f>IF(BO135="","",IFERROR(BO135*HSTECH!$B$26*HSTECH!$G$26/HSTECH!$B$3,""))</f>
        <v/>
      </c>
      <c r="EE135" s="121">
        <f>IF(N('Dvd Calendar'!$E$1325)=0,"",IF(('Dvd Calendar'!$E$1325&gt;=GRID_FROM)*('Dvd Calendar'!$E$1325&lt;=GRID_TO)*((('Dvd Calendar'!$E$1325&lt;=VAL_DATE)+(COUNTIF('Dvd Calendar'!$E$1332:$AR$1332,'Dvd Calendar'!$E$1325)=0))&gt;0)=0,"",'Dvd Calendar'!$E$1325*1000000000+ISNUMBER('Dvd Calendar'!$E$1328)*100000000+('Dvd Calendar'!$E$1330=SPECIAL_LBL)*10000000+(N('Dvd Calendar'!$E$1324)&gt;0)*(N('Dvd Calendar'!$E$1324)&lt;=VAL_SERIAL)*1000000+20*1000+1))</f>
        <v/>
      </c>
      <c r="EF135" s="121">
        <f>IF(N('Dvd Calendar'!$F$1325)=0,"",IF(('Dvd Calendar'!$F$1325&gt;=GRID_FROM)*('Dvd Calendar'!$F$1325&lt;=GRID_TO)*((('Dvd Calendar'!$F$1325&lt;=VAL_DATE)+(COUNTIF('Dvd Calendar'!$E$1332:$AR$1332,'Dvd Calendar'!$F$1325)=0))&gt;0)=0,"",'Dvd Calendar'!$F$1325*1000000000+ISNUMBER('Dvd Calendar'!$F$1328)*100000000+('Dvd Calendar'!$F$1330=SPECIAL_LBL)*10000000+(N('Dvd Calendar'!$F$1324)&gt;0)*(N('Dvd Calendar'!$F$1324)&lt;=VAL_SERIAL)*1000000+20*1000+2))</f>
        <v/>
      </c>
      <c r="EG135" s="121">
        <f>IF(N('Dvd Calendar'!$G$1325)=0,"",IF(('Dvd Calendar'!$G$1325&gt;=GRID_FROM)*('Dvd Calendar'!$G$1325&lt;=GRID_TO)*((('Dvd Calendar'!$G$1325&lt;=VAL_DATE)+(COUNTIF('Dvd Calendar'!$E$1332:$AR$1332,'Dvd Calendar'!$G$1325)=0))&gt;0)=0,"",'Dvd Calendar'!$G$1325*1000000000+ISNUMBER('Dvd Calendar'!$G$1328)*100000000+('Dvd Calendar'!$G$1330=SPECIAL_LBL)*10000000+(N('Dvd Calendar'!$G$1324)&gt;0)*(N('Dvd Calendar'!$G$1324)&lt;=VAL_SERIAL)*1000000+20*1000+3))</f>
        <v/>
      </c>
      <c r="EH135" s="121">
        <f>IF(N('Dvd Calendar'!$H$1325)=0,"",IF(('Dvd Calendar'!$H$1325&gt;=GRID_FROM)*('Dvd Calendar'!$H$1325&lt;=GRID_TO)*((('Dvd Calendar'!$H$1325&lt;=VAL_DATE)+(COUNTIF('Dvd Calendar'!$E$1332:$AR$1332,'Dvd Calendar'!$H$1325)=0))&gt;0)=0,"",'Dvd Calendar'!$H$1325*1000000000+ISNUMBER('Dvd Calendar'!$H$1328)*100000000+('Dvd Calendar'!$H$1330=SPECIAL_LBL)*10000000+(N('Dvd Calendar'!$H$1324)&gt;0)*(N('Dvd Calendar'!$H$1324)&lt;=VAL_SERIAL)*1000000+20*1000+4))</f>
        <v/>
      </c>
      <c r="EI135" s="121">
        <f>IF(N('Dvd Calendar'!$I$1325)=0,"",IF(('Dvd Calendar'!$I$1325&gt;=GRID_FROM)*('Dvd Calendar'!$I$1325&lt;=GRID_TO)*((('Dvd Calendar'!$I$1325&lt;=VAL_DATE)+(COUNTIF('Dvd Calendar'!$E$1332:$AR$1332,'Dvd Calendar'!$I$1325)=0))&gt;0)=0,"",'Dvd Calendar'!$I$1325*1000000000+ISNUMBER('Dvd Calendar'!$I$1328)*100000000+('Dvd Calendar'!$I$1330=SPECIAL_LBL)*10000000+(N('Dvd Calendar'!$I$1324)&gt;0)*(N('Dvd Calendar'!$I$1324)&lt;=VAL_SERIAL)*1000000+20*1000+5))</f>
        <v/>
      </c>
      <c r="EJ135" s="121">
        <f>IF(N('Dvd Calendar'!$J$1325)=0,"",IF(('Dvd Calendar'!$J$1325&gt;=GRID_FROM)*('Dvd Calendar'!$J$1325&lt;=GRID_TO)*((('Dvd Calendar'!$J$1325&lt;=VAL_DATE)+(COUNTIF('Dvd Calendar'!$E$1332:$AR$1332,'Dvd Calendar'!$J$1325)=0))&gt;0)=0,"",'Dvd Calendar'!$J$1325*1000000000+ISNUMBER('Dvd Calendar'!$J$1328)*100000000+('Dvd Calendar'!$J$1330=SPECIAL_LBL)*10000000+(N('Dvd Calendar'!$J$1324)&gt;0)*(N('Dvd Calendar'!$J$1324)&lt;=VAL_SERIAL)*1000000+20*1000+6))</f>
        <v/>
      </c>
      <c r="EK135" s="121">
        <f>IF(N('Dvd Calendar'!$K$1325)=0,"",IF(('Dvd Calendar'!$K$1325&gt;=GRID_FROM)*('Dvd Calendar'!$K$1325&lt;=GRID_TO)*((('Dvd Calendar'!$K$1325&lt;=VAL_DATE)+(COUNTIF('Dvd Calendar'!$E$1332:$AR$1332,'Dvd Calendar'!$K$1325)=0))&gt;0)=0,"",'Dvd Calendar'!$K$1325*1000000000+ISNUMBER('Dvd Calendar'!$K$1328)*100000000+('Dvd Calendar'!$K$1330=SPECIAL_LBL)*10000000+(N('Dvd Calendar'!$K$1324)&gt;0)*(N('Dvd Calendar'!$K$1324)&lt;=VAL_SERIAL)*1000000+20*1000+7))</f>
        <v/>
      </c>
      <c r="EL135" s="121">
        <f>IF(N('Dvd Calendar'!$L$1325)=0,"",IF(('Dvd Calendar'!$L$1325&gt;=GRID_FROM)*('Dvd Calendar'!$L$1325&lt;=GRID_TO)*((('Dvd Calendar'!$L$1325&lt;=VAL_DATE)+(COUNTIF('Dvd Calendar'!$E$1332:$AR$1332,'Dvd Calendar'!$L$1325)=0))&gt;0)=0,"",'Dvd Calendar'!$L$1325*1000000000+ISNUMBER('Dvd Calendar'!$L$1328)*100000000+('Dvd Calendar'!$L$1330=SPECIAL_LBL)*10000000+(N('Dvd Calendar'!$L$1324)&gt;0)*(N('Dvd Calendar'!$L$1324)&lt;=VAL_SERIAL)*1000000+20*1000+8))</f>
        <v/>
      </c>
      <c r="EM135" s="121">
        <f>IF(N('Dvd Calendar'!$M$1325)=0,"",IF(('Dvd Calendar'!$M$1325&gt;=GRID_FROM)*('Dvd Calendar'!$M$1325&lt;=GRID_TO)*((('Dvd Calendar'!$M$1325&lt;=VAL_DATE)+(COUNTIF('Dvd Calendar'!$E$1332:$AR$1332,'Dvd Calendar'!$M$1325)=0))&gt;0)=0,"",'Dvd Calendar'!$M$1325*1000000000+ISNUMBER('Dvd Calendar'!$M$1328)*100000000+('Dvd Calendar'!$M$1330=SPECIAL_LBL)*10000000+(N('Dvd Calendar'!$M$1324)&gt;0)*(N('Dvd Calendar'!$M$1324)&lt;=VAL_SERIAL)*1000000+20*1000+9))</f>
        <v/>
      </c>
      <c r="EN135" s="121">
        <f>IF(N('Dvd Calendar'!$N$1325)=0,"",IF(('Dvd Calendar'!$N$1325&gt;=GRID_FROM)*('Dvd Calendar'!$N$1325&lt;=GRID_TO)*((('Dvd Calendar'!$N$1325&lt;=VAL_DATE)+(COUNTIF('Dvd Calendar'!$E$1332:$AR$1332,'Dvd Calendar'!$N$1325)=0))&gt;0)=0,"",'Dvd Calendar'!$N$1325*1000000000+ISNUMBER('Dvd Calendar'!$N$1328)*100000000+('Dvd Calendar'!$N$1330=SPECIAL_LBL)*10000000+(N('Dvd Calendar'!$N$1324)&gt;0)*(N('Dvd Calendar'!$N$1324)&lt;=VAL_SERIAL)*1000000+20*1000+10))</f>
        <v/>
      </c>
      <c r="EO135" s="121">
        <f>IF(N('Dvd Calendar'!$O$1325)=0,"",IF(('Dvd Calendar'!$O$1325&gt;=GRID_FROM)*('Dvd Calendar'!$O$1325&lt;=GRID_TO)*((('Dvd Calendar'!$O$1325&lt;=VAL_DATE)+(COUNTIF('Dvd Calendar'!$E$1332:$AR$1332,'Dvd Calendar'!$O$1325)=0))&gt;0)=0,"",'Dvd Calendar'!$O$1325*1000000000+ISNUMBER('Dvd Calendar'!$O$1328)*100000000+('Dvd Calendar'!$O$1330=SPECIAL_LBL)*10000000+(N('Dvd Calendar'!$O$1324)&gt;0)*(N('Dvd Calendar'!$O$1324)&lt;=VAL_SERIAL)*1000000+20*1000+11))</f>
        <v/>
      </c>
      <c r="EP135" s="121">
        <f>IF(N('Dvd Calendar'!$P$1325)=0,"",IF(('Dvd Calendar'!$P$1325&gt;=GRID_FROM)*('Dvd Calendar'!$P$1325&lt;=GRID_TO)*((('Dvd Calendar'!$P$1325&lt;=VAL_DATE)+(COUNTIF('Dvd Calendar'!$E$1332:$AR$1332,'Dvd Calendar'!$P$1325)=0))&gt;0)=0,"",'Dvd Calendar'!$P$1325*1000000000+ISNUMBER('Dvd Calendar'!$P$1328)*100000000+('Dvd Calendar'!$P$1330=SPECIAL_LBL)*10000000+(N('Dvd Calendar'!$P$1324)&gt;0)*(N('Dvd Calendar'!$P$1324)&lt;=VAL_SERIAL)*1000000+20*1000+12))</f>
        <v/>
      </c>
      <c r="EQ135" s="121">
        <f>IF(N('Dvd Calendar'!$Q$1325)=0,"",IF(('Dvd Calendar'!$Q$1325&gt;=GRID_FROM)*('Dvd Calendar'!$Q$1325&lt;=GRID_TO)*((('Dvd Calendar'!$Q$1325&lt;=VAL_DATE)+(COUNTIF('Dvd Calendar'!$E$1332:$AR$1332,'Dvd Calendar'!$Q$1325)=0))&gt;0)=0,"",'Dvd Calendar'!$Q$1325*1000000000+ISNUMBER('Dvd Calendar'!$Q$1328)*100000000+('Dvd Calendar'!$Q$1330=SPECIAL_LBL)*10000000+(N('Dvd Calendar'!$Q$1324)&gt;0)*(N('Dvd Calendar'!$Q$1324)&lt;=VAL_SERIAL)*1000000+20*1000+13))</f>
        <v/>
      </c>
      <c r="ER135" s="121">
        <f>IF(N('Dvd Calendar'!$R$1325)=0,"",IF(('Dvd Calendar'!$R$1325&gt;=GRID_FROM)*('Dvd Calendar'!$R$1325&lt;=GRID_TO)*((('Dvd Calendar'!$R$1325&lt;=VAL_DATE)+(COUNTIF('Dvd Calendar'!$E$1332:$AR$1332,'Dvd Calendar'!$R$1325)=0))&gt;0)=0,"",'Dvd Calendar'!$R$1325*1000000000+ISNUMBER('Dvd Calendar'!$R$1328)*100000000+('Dvd Calendar'!$R$1330=SPECIAL_LBL)*10000000+(N('Dvd Calendar'!$R$1324)&gt;0)*(N('Dvd Calendar'!$R$1324)&lt;=VAL_SERIAL)*1000000+20*1000+14))</f>
        <v/>
      </c>
      <c r="ES135" s="121">
        <f>IF(N('Dvd Calendar'!$S$1325)=0,"",IF(('Dvd Calendar'!$S$1325&gt;=GRID_FROM)*('Dvd Calendar'!$S$1325&lt;=GRID_TO)*((('Dvd Calendar'!$S$1325&lt;=VAL_DATE)+(COUNTIF('Dvd Calendar'!$E$1332:$AR$1332,'Dvd Calendar'!$S$1325)=0))&gt;0)=0,"",'Dvd Calendar'!$S$1325*1000000000+ISNUMBER('Dvd Calendar'!$S$1328)*100000000+('Dvd Calendar'!$S$1330=SPECIAL_LBL)*10000000+(N('Dvd Calendar'!$S$1324)&gt;0)*(N('Dvd Calendar'!$S$1324)&lt;=VAL_SERIAL)*1000000+20*1000+15))</f>
        <v/>
      </c>
      <c r="ET135" s="121">
        <f>IF(N('Dvd Calendar'!$T$1325)=0,"",IF(('Dvd Calendar'!$T$1325&gt;=GRID_FROM)*('Dvd Calendar'!$T$1325&lt;=GRID_TO)*((('Dvd Calendar'!$T$1325&lt;=VAL_DATE)+(COUNTIF('Dvd Calendar'!$E$1332:$AR$1332,'Dvd Calendar'!$T$1325)=0))&gt;0)=0,"",'Dvd Calendar'!$T$1325*1000000000+ISNUMBER('Dvd Calendar'!$T$1328)*100000000+('Dvd Calendar'!$T$1330=SPECIAL_LBL)*10000000+(N('Dvd Calendar'!$T$1324)&gt;0)*(N('Dvd Calendar'!$T$1324)&lt;=VAL_SERIAL)*1000000+20*1000+16))</f>
        <v/>
      </c>
      <c r="EU135" s="121">
        <f>IF(N('Dvd Calendar'!$U$1325)=0,"",IF(('Dvd Calendar'!$U$1325&gt;=GRID_FROM)*('Dvd Calendar'!$U$1325&lt;=GRID_TO)*((('Dvd Calendar'!$U$1325&lt;=VAL_DATE)+(COUNTIF('Dvd Calendar'!$E$1332:$AR$1332,'Dvd Calendar'!$U$1325)=0))&gt;0)=0,"",'Dvd Calendar'!$U$1325*1000000000+ISNUMBER('Dvd Calendar'!$U$1328)*100000000+('Dvd Calendar'!$U$1330=SPECIAL_LBL)*10000000+(N('Dvd Calendar'!$U$1324)&gt;0)*(N('Dvd Calendar'!$U$1324)&lt;=VAL_SERIAL)*1000000+20*1000+17))</f>
        <v/>
      </c>
      <c r="EV135" s="121">
        <f>IF(N('Dvd Calendar'!$V$1325)=0,"",IF(('Dvd Calendar'!$V$1325&gt;=GRID_FROM)*('Dvd Calendar'!$V$1325&lt;=GRID_TO)*((('Dvd Calendar'!$V$1325&lt;=VAL_DATE)+(COUNTIF('Dvd Calendar'!$E$1332:$AR$1332,'Dvd Calendar'!$V$1325)=0))&gt;0)=0,"",'Dvd Calendar'!$V$1325*1000000000+ISNUMBER('Dvd Calendar'!$V$1328)*100000000+('Dvd Calendar'!$V$1330=SPECIAL_LBL)*10000000+(N('Dvd Calendar'!$V$1324)&gt;0)*(N('Dvd Calendar'!$V$1324)&lt;=VAL_SERIAL)*1000000+20*1000+18))</f>
        <v/>
      </c>
      <c r="EW135" s="121">
        <f>IF(N('Dvd Calendar'!$W$1325)=0,"",IF(('Dvd Calendar'!$W$1325&gt;=GRID_FROM)*('Dvd Calendar'!$W$1325&lt;=GRID_TO)*((('Dvd Calendar'!$W$1325&lt;=VAL_DATE)+(COUNTIF('Dvd Calendar'!$E$1332:$AR$1332,'Dvd Calendar'!$W$1325)=0))&gt;0)=0,"",'Dvd Calendar'!$W$1325*1000000000+ISNUMBER('Dvd Calendar'!$W$1328)*100000000+('Dvd Calendar'!$W$1330=SPECIAL_LBL)*10000000+(N('Dvd Calendar'!$W$1324)&gt;0)*(N('Dvd Calendar'!$W$1324)&lt;=VAL_SERIAL)*1000000+20*1000+19))</f>
        <v/>
      </c>
      <c r="EX135" s="121">
        <f>IF(N('Dvd Calendar'!$X$1325)=0,"",IF(('Dvd Calendar'!$X$1325&gt;=GRID_FROM)*('Dvd Calendar'!$X$1325&lt;=GRID_TO)*((('Dvd Calendar'!$X$1325&lt;=VAL_DATE)+(COUNTIF('Dvd Calendar'!$E$1332:$AR$1332,'Dvd Calendar'!$X$1325)=0))&gt;0)=0,"",'Dvd Calendar'!$X$1325*1000000000+ISNUMBER('Dvd Calendar'!$X$1328)*100000000+('Dvd Calendar'!$X$1330=SPECIAL_LBL)*10000000+(N('Dvd Calendar'!$X$1324)&gt;0)*(N('Dvd Calendar'!$X$1324)&lt;=VAL_SERIAL)*1000000+20*1000+20))</f>
        <v/>
      </c>
      <c r="EY135" s="121">
        <f>IF(N('Dvd Calendar'!$Y$1325)=0,"",IF(('Dvd Calendar'!$Y$1325&gt;=GRID_FROM)*('Dvd Calendar'!$Y$1325&lt;=GRID_TO)*((('Dvd Calendar'!$Y$1325&lt;=VAL_DATE)+(COUNTIF('Dvd Calendar'!$E$1332:$AR$1332,'Dvd Calendar'!$Y$1325)=0))&gt;0)=0,"",'Dvd Calendar'!$Y$1325*1000000000+ISNUMBER('Dvd Calendar'!$Y$1328)*100000000+('Dvd Calendar'!$Y$1330=SPECIAL_LBL)*10000000+(N('Dvd Calendar'!$Y$1324)&gt;0)*(N('Dvd Calendar'!$Y$1324)&lt;=VAL_SERIAL)*1000000+20*1000+21))</f>
        <v/>
      </c>
      <c r="EZ135" s="121">
        <f>IF(N('Dvd Calendar'!$Z$1325)=0,"",IF(('Dvd Calendar'!$Z$1325&gt;=GRID_FROM)*('Dvd Calendar'!$Z$1325&lt;=GRID_TO)*((('Dvd Calendar'!$Z$1325&lt;=VAL_DATE)+(COUNTIF('Dvd Calendar'!$E$1332:$AR$1332,'Dvd Calendar'!$Z$1325)=0))&gt;0)=0,"",'Dvd Calendar'!$Z$1325*1000000000+ISNUMBER('Dvd Calendar'!$Z$1328)*100000000+('Dvd Calendar'!$Z$1330=SPECIAL_LBL)*10000000+(N('Dvd Calendar'!$Z$1324)&gt;0)*(N('Dvd Calendar'!$Z$1324)&lt;=VAL_SERIAL)*1000000+20*1000+22))</f>
        <v/>
      </c>
      <c r="FA135" s="121">
        <f>IF(N('Dvd Calendar'!$AA$1325)=0,"",IF(('Dvd Calendar'!$AA$1325&gt;=GRID_FROM)*('Dvd Calendar'!$AA$1325&lt;=GRID_TO)*((('Dvd Calendar'!$AA$1325&lt;=VAL_DATE)+(COUNTIF('Dvd Calendar'!$E$1332:$AR$1332,'Dvd Calendar'!$AA$1325)=0))&gt;0)=0,"",'Dvd Calendar'!$AA$1325*1000000000+ISNUMBER('Dvd Calendar'!$AA$1328)*100000000+('Dvd Calendar'!$AA$1330=SPECIAL_LBL)*10000000+(N('Dvd Calendar'!$AA$1324)&gt;0)*(N('Dvd Calendar'!$AA$1324)&lt;=VAL_SERIAL)*1000000+20*1000+23))</f>
        <v/>
      </c>
      <c r="FB135" s="121">
        <f>IF(N('Dvd Calendar'!$AB$1325)=0,"",IF(('Dvd Calendar'!$AB$1325&gt;=GRID_FROM)*('Dvd Calendar'!$AB$1325&lt;=GRID_TO)*((('Dvd Calendar'!$AB$1325&lt;=VAL_DATE)+(COUNTIF('Dvd Calendar'!$E$1332:$AR$1332,'Dvd Calendar'!$AB$1325)=0))&gt;0)=0,"",'Dvd Calendar'!$AB$1325*1000000000+ISNUMBER('Dvd Calendar'!$AB$1328)*100000000+('Dvd Calendar'!$AB$1330=SPECIAL_LBL)*10000000+(N('Dvd Calendar'!$AB$1324)&gt;0)*(N('Dvd Calendar'!$AB$1324)&lt;=VAL_SERIAL)*1000000+20*1000+24))</f>
        <v/>
      </c>
      <c r="FC135" s="121">
        <f>IF(N('Dvd Calendar'!$AC$1325)=0,"",IF(('Dvd Calendar'!$AC$1325&gt;=GRID_FROM)*('Dvd Calendar'!$AC$1325&lt;=GRID_TO)*((('Dvd Calendar'!$AC$1325&lt;=VAL_DATE)+(COUNTIF('Dvd Calendar'!$E$1332:$AR$1332,'Dvd Calendar'!$AC$1325)=0))&gt;0)=0,"",'Dvd Calendar'!$AC$1325*1000000000+ISNUMBER('Dvd Calendar'!$AC$1328)*100000000+('Dvd Calendar'!$AC$1330=SPECIAL_LBL)*10000000+(N('Dvd Calendar'!$AC$1324)&gt;0)*(N('Dvd Calendar'!$AC$1324)&lt;=VAL_SERIAL)*1000000+20*1000+25))</f>
        <v/>
      </c>
      <c r="FD135" s="121">
        <f>IF(N('Dvd Calendar'!$AD$1325)=0,"",IF(('Dvd Calendar'!$AD$1325&gt;=GRID_FROM)*('Dvd Calendar'!$AD$1325&lt;=GRID_TO)*((('Dvd Calendar'!$AD$1325&lt;=VAL_DATE)+(COUNTIF('Dvd Calendar'!$E$1332:$AR$1332,'Dvd Calendar'!$AD$1325)=0))&gt;0)=0,"",'Dvd Calendar'!$AD$1325*1000000000+ISNUMBER('Dvd Calendar'!$AD$1328)*100000000+('Dvd Calendar'!$AD$1330=SPECIAL_LBL)*10000000+(N('Dvd Calendar'!$AD$1324)&gt;0)*(N('Dvd Calendar'!$AD$1324)&lt;=VAL_SERIAL)*1000000+20*1000+26))</f>
        <v/>
      </c>
      <c r="FE135" s="121">
        <f>IF(N('Dvd Calendar'!$AE$1325)=0,"",IF(('Dvd Calendar'!$AE$1325&gt;=GRID_FROM)*('Dvd Calendar'!$AE$1325&lt;=GRID_TO)*((('Dvd Calendar'!$AE$1325&lt;=VAL_DATE)+(COUNTIF('Dvd Calendar'!$E$1332:$AR$1332,'Dvd Calendar'!$AE$1325)=0))&gt;0)=0,"",'Dvd Calendar'!$AE$1325*1000000000+ISNUMBER('Dvd Calendar'!$AE$1328)*100000000+('Dvd Calendar'!$AE$1330=SPECIAL_LBL)*10000000+(N('Dvd Calendar'!$AE$1324)&gt;0)*(N('Dvd Calendar'!$AE$1324)&lt;=VAL_SERIAL)*1000000+20*1000+27))</f>
        <v/>
      </c>
      <c r="FF135" s="121">
        <f>IF(N('Dvd Calendar'!$AF$1325)=0,"",IF(('Dvd Calendar'!$AF$1325&gt;=GRID_FROM)*('Dvd Calendar'!$AF$1325&lt;=GRID_TO)*((('Dvd Calendar'!$AF$1325&lt;=VAL_DATE)+(COUNTIF('Dvd Calendar'!$E$1332:$AR$1332,'Dvd Calendar'!$AF$1325)=0))&gt;0)=0,"",'Dvd Calendar'!$AF$1325*1000000000+ISNUMBER('Dvd Calendar'!$AF$1328)*100000000+('Dvd Calendar'!$AF$1330=SPECIAL_LBL)*10000000+(N('Dvd Calendar'!$AF$1324)&gt;0)*(N('Dvd Calendar'!$AF$1324)&lt;=VAL_SERIAL)*1000000+20*1000+28))</f>
        <v/>
      </c>
      <c r="FG135" s="121">
        <f>IF(N('Dvd Calendar'!$AG$1325)=0,"",IF(('Dvd Calendar'!$AG$1325&gt;=GRID_FROM)*('Dvd Calendar'!$AG$1325&lt;=GRID_TO)*((('Dvd Calendar'!$AG$1325&lt;=VAL_DATE)+(COUNTIF('Dvd Calendar'!$E$1332:$AR$1332,'Dvd Calendar'!$AG$1325)=0))&gt;0)=0,"",'Dvd Calendar'!$AG$1325*1000000000+ISNUMBER('Dvd Calendar'!$AG$1328)*100000000+('Dvd Calendar'!$AG$1330=SPECIAL_LBL)*10000000+(N('Dvd Calendar'!$AG$1324)&gt;0)*(N('Dvd Calendar'!$AG$1324)&lt;=VAL_SERIAL)*1000000+20*1000+29))</f>
        <v/>
      </c>
      <c r="FH135" s="121">
        <f>IF(N('Dvd Calendar'!$AH$1325)=0,"",IF(('Dvd Calendar'!$AH$1325&gt;=GRID_FROM)*('Dvd Calendar'!$AH$1325&lt;=GRID_TO)*((('Dvd Calendar'!$AH$1325&lt;=VAL_DATE)+(COUNTIF('Dvd Calendar'!$E$1332:$AR$1332,'Dvd Calendar'!$AH$1325)=0))&gt;0)=0,"",'Dvd Calendar'!$AH$1325*1000000000+ISNUMBER('Dvd Calendar'!$AH$1328)*100000000+('Dvd Calendar'!$AH$1330=SPECIAL_LBL)*10000000+(N('Dvd Calendar'!$AH$1324)&gt;0)*(N('Dvd Calendar'!$AH$1324)&lt;=VAL_SERIAL)*1000000+20*1000+30))</f>
        <v/>
      </c>
      <c r="FI135" s="121">
        <f>IF(N('Dvd Calendar'!$AI$1325)=0,"",IF(('Dvd Calendar'!$AI$1325&gt;=GRID_FROM)*('Dvd Calendar'!$AI$1325&lt;=GRID_TO)*((('Dvd Calendar'!$AI$1325&lt;=VAL_DATE)+(COUNTIF('Dvd Calendar'!$E$1332:$AR$1332,'Dvd Calendar'!$AI$1325)=0))&gt;0)=0,"",'Dvd Calendar'!$AI$1325*1000000000+ISNUMBER('Dvd Calendar'!$AI$1328)*100000000+('Dvd Calendar'!$AI$1330=SPECIAL_LBL)*10000000+(N('Dvd Calendar'!$AI$1324)&gt;0)*(N('Dvd Calendar'!$AI$1324)&lt;=VAL_SERIAL)*1000000+20*1000+31))</f>
        <v/>
      </c>
      <c r="FJ135" s="121">
        <f>IF(N('Dvd Calendar'!$AJ$1325)=0,"",IF(('Dvd Calendar'!$AJ$1325&gt;=GRID_FROM)*('Dvd Calendar'!$AJ$1325&lt;=GRID_TO)*((('Dvd Calendar'!$AJ$1325&lt;=VAL_DATE)+(COUNTIF('Dvd Calendar'!$E$1332:$AR$1332,'Dvd Calendar'!$AJ$1325)=0))&gt;0)=0,"",'Dvd Calendar'!$AJ$1325*1000000000+ISNUMBER('Dvd Calendar'!$AJ$1328)*100000000+('Dvd Calendar'!$AJ$1330=SPECIAL_LBL)*10000000+(N('Dvd Calendar'!$AJ$1324)&gt;0)*(N('Dvd Calendar'!$AJ$1324)&lt;=VAL_SERIAL)*1000000+20*1000+32))</f>
        <v/>
      </c>
      <c r="FK135" s="121">
        <f>IF(N('Dvd Calendar'!$AK$1325)=0,"",IF(('Dvd Calendar'!$AK$1325&gt;=GRID_FROM)*('Dvd Calendar'!$AK$1325&lt;=GRID_TO)*((('Dvd Calendar'!$AK$1325&lt;=VAL_DATE)+(COUNTIF('Dvd Calendar'!$E$1332:$AR$1332,'Dvd Calendar'!$AK$1325)=0))&gt;0)=0,"",'Dvd Calendar'!$AK$1325*1000000000+ISNUMBER('Dvd Calendar'!$AK$1328)*100000000+('Dvd Calendar'!$AK$1330=SPECIAL_LBL)*10000000+(N('Dvd Calendar'!$AK$1324)&gt;0)*(N('Dvd Calendar'!$AK$1324)&lt;=VAL_SERIAL)*1000000+20*1000+33))</f>
        <v/>
      </c>
      <c r="FL135" s="121">
        <f>IF(N('Dvd Calendar'!$AL$1325)=0,"",IF(('Dvd Calendar'!$AL$1325&gt;=GRID_FROM)*('Dvd Calendar'!$AL$1325&lt;=GRID_TO)*((('Dvd Calendar'!$AL$1325&lt;=VAL_DATE)+(COUNTIF('Dvd Calendar'!$E$1332:$AR$1332,'Dvd Calendar'!$AL$1325)=0))&gt;0)=0,"",'Dvd Calendar'!$AL$1325*1000000000+ISNUMBER('Dvd Calendar'!$AL$1328)*100000000+('Dvd Calendar'!$AL$1330=SPECIAL_LBL)*10000000+(N('Dvd Calendar'!$AL$1324)&gt;0)*(N('Dvd Calendar'!$AL$1324)&lt;=VAL_SERIAL)*1000000+20*1000+34))</f>
        <v/>
      </c>
      <c r="FM135" s="121">
        <f>IF(N('Dvd Calendar'!$AM$1325)=0,"",IF(('Dvd Calendar'!$AM$1325&gt;=GRID_FROM)*('Dvd Calendar'!$AM$1325&lt;=GRID_TO)*((('Dvd Calendar'!$AM$1325&lt;=VAL_DATE)+(COUNTIF('Dvd Calendar'!$E$1332:$AR$1332,'Dvd Calendar'!$AM$1325)=0))&gt;0)=0,"",'Dvd Calendar'!$AM$1325*1000000000+ISNUMBER('Dvd Calendar'!$AM$1328)*100000000+('Dvd Calendar'!$AM$1330=SPECIAL_LBL)*10000000+(N('Dvd Calendar'!$AM$1324)&gt;0)*(N('Dvd Calendar'!$AM$1324)&lt;=VAL_SERIAL)*1000000+20*1000+35))</f>
        <v/>
      </c>
      <c r="FN135" s="121">
        <f>IF(N('Dvd Calendar'!$AN$1325)=0,"",IF(('Dvd Calendar'!$AN$1325&gt;=GRID_FROM)*('Dvd Calendar'!$AN$1325&lt;=GRID_TO)*((('Dvd Calendar'!$AN$1325&lt;=VAL_DATE)+(COUNTIF('Dvd Calendar'!$E$1332:$AR$1332,'Dvd Calendar'!$AN$1325)=0))&gt;0)=0,"",'Dvd Calendar'!$AN$1325*1000000000+ISNUMBER('Dvd Calendar'!$AN$1328)*100000000+('Dvd Calendar'!$AN$1330=SPECIAL_LBL)*10000000+(N('Dvd Calendar'!$AN$1324)&gt;0)*(N('Dvd Calendar'!$AN$1324)&lt;=VAL_SERIAL)*1000000+20*1000+36))</f>
        <v/>
      </c>
      <c r="FO135" s="121">
        <f>IF(N('Dvd Calendar'!$AO$1325)=0,"",IF(('Dvd Calendar'!$AO$1325&gt;=GRID_FROM)*('Dvd Calendar'!$AO$1325&lt;=GRID_TO)*((('Dvd Calendar'!$AO$1325&lt;=VAL_DATE)+(COUNTIF('Dvd Calendar'!$E$1332:$AR$1332,'Dvd Calendar'!$AO$1325)=0))&gt;0)=0,"",'Dvd Calendar'!$AO$1325*1000000000+ISNUMBER('Dvd Calendar'!$AO$1328)*100000000+('Dvd Calendar'!$AO$1330=SPECIAL_LBL)*10000000+(N('Dvd Calendar'!$AO$1324)&gt;0)*(N('Dvd Calendar'!$AO$1324)&lt;=VAL_SERIAL)*1000000+20*1000+37))</f>
        <v/>
      </c>
      <c r="FP135" s="121">
        <f>IF(N('Dvd Calendar'!$AP$1325)=0,"",IF(('Dvd Calendar'!$AP$1325&gt;=GRID_FROM)*('Dvd Calendar'!$AP$1325&lt;=GRID_TO)*((('Dvd Calendar'!$AP$1325&lt;=VAL_DATE)+(COUNTIF('Dvd Calendar'!$E$1332:$AR$1332,'Dvd Calendar'!$AP$1325)=0))&gt;0)=0,"",'Dvd Calendar'!$AP$1325*1000000000+ISNUMBER('Dvd Calendar'!$AP$1328)*100000000+('Dvd Calendar'!$AP$1330=SPECIAL_LBL)*10000000+(N('Dvd Calendar'!$AP$1324)&gt;0)*(N('Dvd Calendar'!$AP$1324)&lt;=VAL_SERIAL)*1000000+20*1000+38))</f>
        <v/>
      </c>
      <c r="FQ135" s="121">
        <f>IF(N('Dvd Calendar'!$AQ$1325)=0,"",IF(('Dvd Calendar'!$AQ$1325&gt;=GRID_FROM)*('Dvd Calendar'!$AQ$1325&lt;=GRID_TO)*((('Dvd Calendar'!$AQ$1325&lt;=VAL_DATE)+(COUNTIF('Dvd Calendar'!$E$1332:$AR$1332,'Dvd Calendar'!$AQ$1325)=0))&gt;0)=0,"",'Dvd Calendar'!$AQ$1325*1000000000+ISNUMBER('Dvd Calendar'!$AQ$1328)*100000000+('Dvd Calendar'!$AQ$1330=SPECIAL_LBL)*10000000+(N('Dvd Calendar'!$AQ$1324)&gt;0)*(N('Dvd Calendar'!$AQ$1324)&lt;=VAL_SERIAL)*1000000+20*1000+39))</f>
        <v/>
      </c>
      <c r="FR135" s="121">
        <f>IF(N('Dvd Calendar'!$AR$1325)=0,"",IF(('Dvd Calendar'!$AR$1325&gt;=GRID_FROM)*('Dvd Calendar'!$AR$1325&lt;=GRID_TO)*((('Dvd Calendar'!$AR$1325&lt;=VAL_DATE)+(COUNTIF('Dvd Calendar'!$E$1332:$AR$1332,'Dvd Calendar'!$AR$1325)=0))&gt;0)=0,"",'Dvd Calendar'!$AR$1325*1000000000+ISNUMBER('Dvd Calendar'!$AR$1328)*100000000+('Dvd Calendar'!$AR$1330=SPECIAL_LBL)*10000000+(N('Dvd Calendar'!$AR$1324)&gt;0)*(N('Dvd Calendar'!$AR$1324)&lt;=VAL_SERIAL)*1000000+20*1000+40))</f>
        <v/>
      </c>
      <c r="FS135" s="121">
        <f>IF(N('Dvd Calendar'!$E$1332)=0,"",IF(('Dvd Calendar'!$E$1332&gt;=GRID_FROM)*('Dvd Calendar'!$E$1332&lt;=GRID_TO)*('Dvd Calendar'!$E$1332&gt;VAL_DATE)=0,"",'Dvd Calendar'!$E$1332*1000000000+ISNUMBER('Dvd Calendar'!$E$1333)*100000000+0*10000000+(N('Dvd Calendar'!$E$1331)&gt;0)*(N('Dvd Calendar'!$E$1331)&lt;=VAL_SERIAL)*1000000+20*1000+41))</f>
        <v/>
      </c>
      <c r="FT135" s="121">
        <f>IF(N('Dvd Calendar'!$F$1332)=0,"",IF(('Dvd Calendar'!$F$1332&gt;=GRID_FROM)*('Dvd Calendar'!$F$1332&lt;=GRID_TO)*('Dvd Calendar'!$F$1332&gt;VAL_DATE)=0,"",'Dvd Calendar'!$F$1332*1000000000+ISNUMBER('Dvd Calendar'!$F$1333)*100000000+0*10000000+(N('Dvd Calendar'!$F$1331)&gt;0)*(N('Dvd Calendar'!$F$1331)&lt;=VAL_SERIAL)*1000000+20*1000+42))</f>
        <v/>
      </c>
      <c r="FU135" s="121">
        <f>IF(N('Dvd Calendar'!$G$1332)=0,"",IF(('Dvd Calendar'!$G$1332&gt;=GRID_FROM)*('Dvd Calendar'!$G$1332&lt;=GRID_TO)*('Dvd Calendar'!$G$1332&gt;VAL_DATE)=0,"",'Dvd Calendar'!$G$1332*1000000000+ISNUMBER('Dvd Calendar'!$G$1333)*100000000+0*10000000+(N('Dvd Calendar'!$G$1331)&gt;0)*(N('Dvd Calendar'!$G$1331)&lt;=VAL_SERIAL)*1000000+20*1000+43))</f>
        <v/>
      </c>
      <c r="FV135" s="121">
        <f>IF(N('Dvd Calendar'!$H$1332)=0,"",IF(('Dvd Calendar'!$H$1332&gt;=GRID_FROM)*('Dvd Calendar'!$H$1332&lt;=GRID_TO)*('Dvd Calendar'!$H$1332&gt;VAL_DATE)=0,"",'Dvd Calendar'!$H$1332*1000000000+ISNUMBER('Dvd Calendar'!$H$1333)*100000000+0*10000000+(N('Dvd Calendar'!$H$1331)&gt;0)*(N('Dvd Calendar'!$H$1331)&lt;=VAL_SERIAL)*1000000+20*1000+44))</f>
        <v/>
      </c>
      <c r="FW135" s="121">
        <f>IF(N('Dvd Calendar'!$I$1332)=0,"",IF(('Dvd Calendar'!$I$1332&gt;=GRID_FROM)*('Dvd Calendar'!$I$1332&lt;=GRID_TO)*('Dvd Calendar'!$I$1332&gt;VAL_DATE)=0,"",'Dvd Calendar'!$I$1332*1000000000+ISNUMBER('Dvd Calendar'!$I$1333)*100000000+0*10000000+(N('Dvd Calendar'!$I$1331)&gt;0)*(N('Dvd Calendar'!$I$1331)&lt;=VAL_SERIAL)*1000000+20*1000+45))</f>
        <v/>
      </c>
      <c r="FX135" s="121">
        <f>IF(N('Dvd Calendar'!$J$1332)=0,"",IF(('Dvd Calendar'!$J$1332&gt;=GRID_FROM)*('Dvd Calendar'!$J$1332&lt;=GRID_TO)*('Dvd Calendar'!$J$1332&gt;VAL_DATE)=0,"",'Dvd Calendar'!$J$1332*1000000000+ISNUMBER('Dvd Calendar'!$J$1333)*100000000+0*10000000+(N('Dvd Calendar'!$J$1331)&gt;0)*(N('Dvd Calendar'!$J$1331)&lt;=VAL_SERIAL)*1000000+20*1000+46))</f>
        <v/>
      </c>
      <c r="FY135" s="121">
        <f>IF(N('Dvd Calendar'!$K$1332)=0,"",IF(('Dvd Calendar'!$K$1332&gt;=GRID_FROM)*('Dvd Calendar'!$K$1332&lt;=GRID_TO)*('Dvd Calendar'!$K$1332&gt;VAL_DATE)=0,"",'Dvd Calendar'!$K$1332*1000000000+ISNUMBER('Dvd Calendar'!$K$1333)*100000000+0*10000000+(N('Dvd Calendar'!$K$1331)&gt;0)*(N('Dvd Calendar'!$K$1331)&lt;=VAL_SERIAL)*1000000+20*1000+47))</f>
        <v/>
      </c>
      <c r="FZ135" s="121">
        <f>IF(N('Dvd Calendar'!$L$1332)=0,"",IF(('Dvd Calendar'!$L$1332&gt;=GRID_FROM)*('Dvd Calendar'!$L$1332&lt;=GRID_TO)*('Dvd Calendar'!$L$1332&gt;VAL_DATE)=0,"",'Dvd Calendar'!$L$1332*1000000000+ISNUMBER('Dvd Calendar'!$L$1333)*100000000+0*10000000+(N('Dvd Calendar'!$L$1331)&gt;0)*(N('Dvd Calendar'!$L$1331)&lt;=VAL_SERIAL)*1000000+20*1000+48))</f>
        <v/>
      </c>
      <c r="GA135" s="121">
        <f>IF(N('Dvd Calendar'!$M$1332)=0,"",IF(('Dvd Calendar'!$M$1332&gt;=GRID_FROM)*('Dvd Calendar'!$M$1332&lt;=GRID_TO)*('Dvd Calendar'!$M$1332&gt;VAL_DATE)=0,"",'Dvd Calendar'!$M$1332*1000000000+ISNUMBER('Dvd Calendar'!$M$1333)*100000000+0*10000000+(N('Dvd Calendar'!$M$1331)&gt;0)*(N('Dvd Calendar'!$M$1331)&lt;=VAL_SERIAL)*1000000+20*1000+49))</f>
        <v/>
      </c>
      <c r="GB135" s="121">
        <f>IF(N('Dvd Calendar'!$N$1332)=0,"",IF(('Dvd Calendar'!$N$1332&gt;=GRID_FROM)*('Dvd Calendar'!$N$1332&lt;=GRID_TO)*('Dvd Calendar'!$N$1332&gt;VAL_DATE)=0,"",'Dvd Calendar'!$N$1332*1000000000+ISNUMBER('Dvd Calendar'!$N$1333)*100000000+0*10000000+(N('Dvd Calendar'!$N$1331)&gt;0)*(N('Dvd Calendar'!$N$1331)&lt;=VAL_SERIAL)*1000000+20*1000+50))</f>
        <v/>
      </c>
      <c r="GC135" s="121">
        <f>IF(N('Dvd Calendar'!$O$1332)=0,"",IF(('Dvd Calendar'!$O$1332&gt;=GRID_FROM)*('Dvd Calendar'!$O$1332&lt;=GRID_TO)*('Dvd Calendar'!$O$1332&gt;VAL_DATE)=0,"",'Dvd Calendar'!$O$1332*1000000000+ISNUMBER('Dvd Calendar'!$O$1333)*100000000+0*10000000+(N('Dvd Calendar'!$O$1331)&gt;0)*(N('Dvd Calendar'!$O$1331)&lt;=VAL_SERIAL)*1000000+20*1000+51))</f>
        <v/>
      </c>
      <c r="GD135" s="121">
        <f>IF(N('Dvd Calendar'!$P$1332)=0,"",IF(('Dvd Calendar'!$P$1332&gt;=GRID_FROM)*('Dvd Calendar'!$P$1332&lt;=GRID_TO)*('Dvd Calendar'!$P$1332&gt;VAL_DATE)=0,"",'Dvd Calendar'!$P$1332*1000000000+ISNUMBER('Dvd Calendar'!$P$1333)*100000000+0*10000000+(N('Dvd Calendar'!$P$1331)&gt;0)*(N('Dvd Calendar'!$P$1331)&lt;=VAL_SERIAL)*1000000+20*1000+52))</f>
        <v/>
      </c>
      <c r="GE135" s="121">
        <f>IF(N('Dvd Calendar'!$Q$1332)=0,"",IF(('Dvd Calendar'!$Q$1332&gt;=GRID_FROM)*('Dvd Calendar'!$Q$1332&lt;=GRID_TO)*('Dvd Calendar'!$Q$1332&gt;VAL_DATE)=0,"",'Dvd Calendar'!$Q$1332*1000000000+ISNUMBER('Dvd Calendar'!$Q$1333)*100000000+0*10000000+(N('Dvd Calendar'!$Q$1331)&gt;0)*(N('Dvd Calendar'!$Q$1331)&lt;=VAL_SERIAL)*1000000+20*1000+53))</f>
        <v/>
      </c>
      <c r="GF135" s="121">
        <f>IF(N('Dvd Calendar'!$R$1332)=0,"",IF(('Dvd Calendar'!$R$1332&gt;=GRID_FROM)*('Dvd Calendar'!$R$1332&lt;=GRID_TO)*('Dvd Calendar'!$R$1332&gt;VAL_DATE)=0,"",'Dvd Calendar'!$R$1332*1000000000+ISNUMBER('Dvd Calendar'!$R$1333)*100000000+0*10000000+(N('Dvd Calendar'!$R$1331)&gt;0)*(N('Dvd Calendar'!$R$1331)&lt;=VAL_SERIAL)*1000000+20*1000+54))</f>
        <v/>
      </c>
      <c r="GG135" s="121">
        <f>IF(N('Dvd Calendar'!$S$1332)=0,"",IF(('Dvd Calendar'!$S$1332&gt;=GRID_FROM)*('Dvd Calendar'!$S$1332&lt;=GRID_TO)*('Dvd Calendar'!$S$1332&gt;VAL_DATE)=0,"",'Dvd Calendar'!$S$1332*1000000000+ISNUMBER('Dvd Calendar'!$S$1333)*100000000+0*10000000+(N('Dvd Calendar'!$S$1331)&gt;0)*(N('Dvd Calendar'!$S$1331)&lt;=VAL_SERIAL)*1000000+20*1000+55))</f>
        <v/>
      </c>
      <c r="GH135" s="121">
        <f>IF(N('Dvd Calendar'!$T$1332)=0,"",IF(('Dvd Calendar'!$T$1332&gt;=GRID_FROM)*('Dvd Calendar'!$T$1332&lt;=GRID_TO)*('Dvd Calendar'!$T$1332&gt;VAL_DATE)=0,"",'Dvd Calendar'!$T$1332*1000000000+ISNUMBER('Dvd Calendar'!$T$1333)*100000000+0*10000000+(N('Dvd Calendar'!$T$1331)&gt;0)*(N('Dvd Calendar'!$T$1331)&lt;=VAL_SERIAL)*1000000+20*1000+56))</f>
        <v/>
      </c>
      <c r="GI135" s="121">
        <f>IF(N('Dvd Calendar'!$U$1332)=0,"",IF(('Dvd Calendar'!$U$1332&gt;=GRID_FROM)*('Dvd Calendar'!$U$1332&lt;=GRID_TO)*('Dvd Calendar'!$U$1332&gt;VAL_DATE)=0,"",'Dvd Calendar'!$U$1332*1000000000+ISNUMBER('Dvd Calendar'!$U$1333)*100000000+0*10000000+(N('Dvd Calendar'!$U$1331)&gt;0)*(N('Dvd Calendar'!$U$1331)&lt;=VAL_SERIAL)*1000000+20*1000+57))</f>
        <v/>
      </c>
      <c r="GJ135" s="121">
        <f>IF(N('Dvd Calendar'!$V$1332)=0,"",IF(('Dvd Calendar'!$V$1332&gt;=GRID_FROM)*('Dvd Calendar'!$V$1332&lt;=GRID_TO)*('Dvd Calendar'!$V$1332&gt;VAL_DATE)=0,"",'Dvd Calendar'!$V$1332*1000000000+ISNUMBER('Dvd Calendar'!$V$1333)*100000000+0*10000000+(N('Dvd Calendar'!$V$1331)&gt;0)*(N('Dvd Calendar'!$V$1331)&lt;=VAL_SERIAL)*1000000+20*1000+58))</f>
        <v/>
      </c>
      <c r="GK135" s="121">
        <f>IF(N('Dvd Calendar'!$W$1332)=0,"",IF(('Dvd Calendar'!$W$1332&gt;=GRID_FROM)*('Dvd Calendar'!$W$1332&lt;=GRID_TO)*('Dvd Calendar'!$W$1332&gt;VAL_DATE)=0,"",'Dvd Calendar'!$W$1332*1000000000+ISNUMBER('Dvd Calendar'!$W$1333)*100000000+0*10000000+(N('Dvd Calendar'!$W$1331)&gt;0)*(N('Dvd Calendar'!$W$1331)&lt;=VAL_SERIAL)*1000000+20*1000+59))</f>
        <v/>
      </c>
      <c r="GL135" s="121">
        <f>IF(N('Dvd Calendar'!$X$1332)=0,"",IF(('Dvd Calendar'!$X$1332&gt;=GRID_FROM)*('Dvd Calendar'!$X$1332&lt;=GRID_TO)*('Dvd Calendar'!$X$1332&gt;VAL_DATE)=0,"",'Dvd Calendar'!$X$1332*1000000000+ISNUMBER('Dvd Calendar'!$X$1333)*100000000+0*10000000+(N('Dvd Calendar'!$X$1331)&gt;0)*(N('Dvd Calendar'!$X$1331)&lt;=VAL_SERIAL)*1000000+20*1000+60))</f>
        <v/>
      </c>
      <c r="GM135" s="121">
        <f>IF(N('Dvd Calendar'!$Y$1332)=0,"",IF(('Dvd Calendar'!$Y$1332&gt;=GRID_FROM)*('Dvd Calendar'!$Y$1332&lt;=GRID_TO)*('Dvd Calendar'!$Y$1332&gt;VAL_DATE)=0,"",'Dvd Calendar'!$Y$1332*1000000000+ISNUMBER('Dvd Calendar'!$Y$1333)*100000000+0*10000000+(N('Dvd Calendar'!$Y$1331)&gt;0)*(N('Dvd Calendar'!$Y$1331)&lt;=VAL_SERIAL)*1000000+20*1000+61))</f>
        <v/>
      </c>
      <c r="GN135" s="121">
        <f>IF(N('Dvd Calendar'!$Z$1332)=0,"",IF(('Dvd Calendar'!$Z$1332&gt;=GRID_FROM)*('Dvd Calendar'!$Z$1332&lt;=GRID_TO)*('Dvd Calendar'!$Z$1332&gt;VAL_DATE)=0,"",'Dvd Calendar'!$Z$1332*1000000000+ISNUMBER('Dvd Calendar'!$Z$1333)*100000000+0*10000000+(N('Dvd Calendar'!$Z$1331)&gt;0)*(N('Dvd Calendar'!$Z$1331)&lt;=VAL_SERIAL)*1000000+20*1000+62))</f>
        <v/>
      </c>
      <c r="GO135" s="121">
        <f>IF(N('Dvd Calendar'!$AA$1332)=0,"",IF(('Dvd Calendar'!$AA$1332&gt;=GRID_FROM)*('Dvd Calendar'!$AA$1332&lt;=GRID_TO)*('Dvd Calendar'!$AA$1332&gt;VAL_DATE)=0,"",'Dvd Calendar'!$AA$1332*1000000000+ISNUMBER('Dvd Calendar'!$AA$1333)*100000000+0*10000000+(N('Dvd Calendar'!$AA$1331)&gt;0)*(N('Dvd Calendar'!$AA$1331)&lt;=VAL_SERIAL)*1000000+20*1000+63))</f>
        <v/>
      </c>
      <c r="GP135" s="121">
        <f>IF(N('Dvd Calendar'!$AB$1332)=0,"",IF(('Dvd Calendar'!$AB$1332&gt;=GRID_FROM)*('Dvd Calendar'!$AB$1332&lt;=GRID_TO)*('Dvd Calendar'!$AB$1332&gt;VAL_DATE)=0,"",'Dvd Calendar'!$AB$1332*1000000000+ISNUMBER('Dvd Calendar'!$AB$1333)*100000000+0*10000000+(N('Dvd Calendar'!$AB$1331)&gt;0)*(N('Dvd Calendar'!$AB$1331)&lt;=VAL_SERIAL)*1000000+20*1000+64))</f>
        <v/>
      </c>
      <c r="GQ135" s="121">
        <f>IF(N('Dvd Calendar'!$AC$1332)=0,"",IF(('Dvd Calendar'!$AC$1332&gt;=GRID_FROM)*('Dvd Calendar'!$AC$1332&lt;=GRID_TO)*('Dvd Calendar'!$AC$1332&gt;VAL_DATE)=0,"",'Dvd Calendar'!$AC$1332*1000000000+ISNUMBER('Dvd Calendar'!$AC$1333)*100000000+0*10000000+(N('Dvd Calendar'!$AC$1331)&gt;0)*(N('Dvd Calendar'!$AC$1331)&lt;=VAL_SERIAL)*1000000+20*1000+65))</f>
        <v/>
      </c>
    </row>
    <row r="136">
      <c r="B136" s="2">
        <f>IF(HSTECH!$C$27="","",HSTECH!$C$27)</f>
        <v/>
      </c>
      <c r="C136" s="161">
        <f>IF(EE136="","",IF(ISNUMBER('Dvd Calendar'!$E$1339)=FALSE,"",IF((('Dvd Calendar'!$E$1341=TYPE1)*(TYPE1&lt;&gt;"")+('Dvd Calendar'!$E$1341=TYPE2)*(TYPE2&lt;&gt;"")+('Dvd Calendar'!$E$1341=TYPE3)*(TYPE3&lt;&gt;"")+('Dvd Calendar'!$E$1341=TYPE4)*(TYPE4&lt;&gt;"")+('Dvd Calendar'!$E$1341=SPECIAL_LBL)*(INC_SPECIALS="Y"))=0,"",'Dvd Calendar'!$E$1339)))</f>
        <v/>
      </c>
      <c r="D136" s="161">
        <f>IF(EF136="","",IF(ISNUMBER('Dvd Calendar'!$F$1339)=FALSE,"",IF((('Dvd Calendar'!$F$1341=TYPE1)*(TYPE1&lt;&gt;"")+('Dvd Calendar'!$F$1341=TYPE2)*(TYPE2&lt;&gt;"")+('Dvd Calendar'!$F$1341=TYPE3)*(TYPE3&lt;&gt;"")+('Dvd Calendar'!$F$1341=TYPE4)*(TYPE4&lt;&gt;"")+('Dvd Calendar'!$F$1341=SPECIAL_LBL)*(INC_SPECIALS="Y"))=0,"",'Dvd Calendar'!$F$1339)))</f>
        <v/>
      </c>
      <c r="E136" s="161">
        <f>IF(EG136="","",IF(ISNUMBER('Dvd Calendar'!$G$1339)=FALSE,"",IF((('Dvd Calendar'!$G$1341=TYPE1)*(TYPE1&lt;&gt;"")+('Dvd Calendar'!$G$1341=TYPE2)*(TYPE2&lt;&gt;"")+('Dvd Calendar'!$G$1341=TYPE3)*(TYPE3&lt;&gt;"")+('Dvd Calendar'!$G$1341=TYPE4)*(TYPE4&lt;&gt;"")+('Dvd Calendar'!$G$1341=SPECIAL_LBL)*(INC_SPECIALS="Y"))=0,"",'Dvd Calendar'!$G$1339)))</f>
        <v/>
      </c>
      <c r="F136" s="161">
        <f>IF(EH136="","",IF(ISNUMBER('Dvd Calendar'!$H$1339)=FALSE,"",IF((('Dvd Calendar'!$H$1341=TYPE1)*(TYPE1&lt;&gt;"")+('Dvd Calendar'!$H$1341=TYPE2)*(TYPE2&lt;&gt;"")+('Dvd Calendar'!$H$1341=TYPE3)*(TYPE3&lt;&gt;"")+('Dvd Calendar'!$H$1341=TYPE4)*(TYPE4&lt;&gt;"")+('Dvd Calendar'!$H$1341=SPECIAL_LBL)*(INC_SPECIALS="Y"))=0,"",'Dvd Calendar'!$H$1339)))</f>
        <v/>
      </c>
      <c r="G136" s="161">
        <f>IF(EI136="","",IF(ISNUMBER('Dvd Calendar'!$I$1339)=FALSE,"",IF((('Dvd Calendar'!$I$1341=TYPE1)*(TYPE1&lt;&gt;"")+('Dvd Calendar'!$I$1341=TYPE2)*(TYPE2&lt;&gt;"")+('Dvd Calendar'!$I$1341=TYPE3)*(TYPE3&lt;&gt;"")+('Dvd Calendar'!$I$1341=TYPE4)*(TYPE4&lt;&gt;"")+('Dvd Calendar'!$I$1341=SPECIAL_LBL)*(INC_SPECIALS="Y"))=0,"",'Dvd Calendar'!$I$1339)))</f>
        <v/>
      </c>
      <c r="H136" s="161">
        <f>IF(EJ136="","",IF(ISNUMBER('Dvd Calendar'!$J$1339)=FALSE,"",IF((('Dvd Calendar'!$J$1341=TYPE1)*(TYPE1&lt;&gt;"")+('Dvd Calendar'!$J$1341=TYPE2)*(TYPE2&lt;&gt;"")+('Dvd Calendar'!$J$1341=TYPE3)*(TYPE3&lt;&gt;"")+('Dvd Calendar'!$J$1341=TYPE4)*(TYPE4&lt;&gt;"")+('Dvd Calendar'!$J$1341=SPECIAL_LBL)*(INC_SPECIALS="Y"))=0,"",'Dvd Calendar'!$J$1339)))</f>
        <v/>
      </c>
      <c r="I136" s="161">
        <f>IF(EK136="","",IF(ISNUMBER('Dvd Calendar'!$K$1339)=FALSE,"",IF((('Dvd Calendar'!$K$1341=TYPE1)*(TYPE1&lt;&gt;"")+('Dvd Calendar'!$K$1341=TYPE2)*(TYPE2&lt;&gt;"")+('Dvd Calendar'!$K$1341=TYPE3)*(TYPE3&lt;&gt;"")+('Dvd Calendar'!$K$1341=TYPE4)*(TYPE4&lt;&gt;"")+('Dvd Calendar'!$K$1341=SPECIAL_LBL)*(INC_SPECIALS="Y"))=0,"",'Dvd Calendar'!$K$1339)))</f>
        <v/>
      </c>
      <c r="J136" s="161">
        <f>IF(EL136="","",IF(ISNUMBER('Dvd Calendar'!$L$1339)=FALSE,"",IF((('Dvd Calendar'!$L$1341=TYPE1)*(TYPE1&lt;&gt;"")+('Dvd Calendar'!$L$1341=TYPE2)*(TYPE2&lt;&gt;"")+('Dvd Calendar'!$L$1341=TYPE3)*(TYPE3&lt;&gt;"")+('Dvd Calendar'!$L$1341=TYPE4)*(TYPE4&lt;&gt;"")+('Dvd Calendar'!$L$1341=SPECIAL_LBL)*(INC_SPECIALS="Y"))=0,"",'Dvd Calendar'!$L$1339)))</f>
        <v/>
      </c>
      <c r="K136" s="161">
        <f>IF(EM136="","",IF(ISNUMBER('Dvd Calendar'!$M$1339)=FALSE,"",IF((('Dvd Calendar'!$M$1341=TYPE1)*(TYPE1&lt;&gt;"")+('Dvd Calendar'!$M$1341=TYPE2)*(TYPE2&lt;&gt;"")+('Dvd Calendar'!$M$1341=TYPE3)*(TYPE3&lt;&gt;"")+('Dvd Calendar'!$M$1341=TYPE4)*(TYPE4&lt;&gt;"")+('Dvd Calendar'!$M$1341=SPECIAL_LBL)*(INC_SPECIALS="Y"))=0,"",'Dvd Calendar'!$M$1339)))</f>
        <v/>
      </c>
      <c r="L136" s="161">
        <f>IF(EN136="","",IF(ISNUMBER('Dvd Calendar'!$N$1339)=FALSE,"",IF((('Dvd Calendar'!$N$1341=TYPE1)*(TYPE1&lt;&gt;"")+('Dvd Calendar'!$N$1341=TYPE2)*(TYPE2&lt;&gt;"")+('Dvd Calendar'!$N$1341=TYPE3)*(TYPE3&lt;&gt;"")+('Dvd Calendar'!$N$1341=TYPE4)*(TYPE4&lt;&gt;"")+('Dvd Calendar'!$N$1341=SPECIAL_LBL)*(INC_SPECIALS="Y"))=0,"",'Dvd Calendar'!$N$1339)))</f>
        <v/>
      </c>
      <c r="M136" s="161">
        <f>IF(EO136="","",IF(ISNUMBER('Dvd Calendar'!$O$1339)=FALSE,"",IF((('Dvd Calendar'!$O$1341=TYPE1)*(TYPE1&lt;&gt;"")+('Dvd Calendar'!$O$1341=TYPE2)*(TYPE2&lt;&gt;"")+('Dvd Calendar'!$O$1341=TYPE3)*(TYPE3&lt;&gt;"")+('Dvd Calendar'!$O$1341=TYPE4)*(TYPE4&lt;&gt;"")+('Dvd Calendar'!$O$1341=SPECIAL_LBL)*(INC_SPECIALS="Y"))=0,"",'Dvd Calendar'!$O$1339)))</f>
        <v/>
      </c>
      <c r="N136" s="161">
        <f>IF(EP136="","",IF(ISNUMBER('Dvd Calendar'!$P$1339)=FALSE,"",IF((('Dvd Calendar'!$P$1341=TYPE1)*(TYPE1&lt;&gt;"")+('Dvd Calendar'!$P$1341=TYPE2)*(TYPE2&lt;&gt;"")+('Dvd Calendar'!$P$1341=TYPE3)*(TYPE3&lt;&gt;"")+('Dvd Calendar'!$P$1341=TYPE4)*(TYPE4&lt;&gt;"")+('Dvd Calendar'!$P$1341=SPECIAL_LBL)*(INC_SPECIALS="Y"))=0,"",'Dvd Calendar'!$P$1339)))</f>
        <v/>
      </c>
      <c r="O136" s="161">
        <f>IF(EQ136="","",IF(ISNUMBER('Dvd Calendar'!$Q$1339)=FALSE,"",IF((('Dvd Calendar'!$Q$1341=TYPE1)*(TYPE1&lt;&gt;"")+('Dvd Calendar'!$Q$1341=TYPE2)*(TYPE2&lt;&gt;"")+('Dvd Calendar'!$Q$1341=TYPE3)*(TYPE3&lt;&gt;"")+('Dvd Calendar'!$Q$1341=TYPE4)*(TYPE4&lt;&gt;"")+('Dvd Calendar'!$Q$1341=SPECIAL_LBL)*(INC_SPECIALS="Y"))=0,"",'Dvd Calendar'!$Q$1339)))</f>
        <v/>
      </c>
      <c r="P136" s="161">
        <f>IF(ER136="","",IF(ISNUMBER('Dvd Calendar'!$R$1339)=FALSE,"",IF((('Dvd Calendar'!$R$1341=TYPE1)*(TYPE1&lt;&gt;"")+('Dvd Calendar'!$R$1341=TYPE2)*(TYPE2&lt;&gt;"")+('Dvd Calendar'!$R$1341=TYPE3)*(TYPE3&lt;&gt;"")+('Dvd Calendar'!$R$1341=TYPE4)*(TYPE4&lt;&gt;"")+('Dvd Calendar'!$R$1341=SPECIAL_LBL)*(INC_SPECIALS="Y"))=0,"",'Dvd Calendar'!$R$1339)))</f>
        <v/>
      </c>
      <c r="Q136" s="161">
        <f>IF(ES136="","",IF(ISNUMBER('Dvd Calendar'!$S$1339)=FALSE,"",IF((('Dvd Calendar'!$S$1341=TYPE1)*(TYPE1&lt;&gt;"")+('Dvd Calendar'!$S$1341=TYPE2)*(TYPE2&lt;&gt;"")+('Dvd Calendar'!$S$1341=TYPE3)*(TYPE3&lt;&gt;"")+('Dvd Calendar'!$S$1341=TYPE4)*(TYPE4&lt;&gt;"")+('Dvd Calendar'!$S$1341=SPECIAL_LBL)*(INC_SPECIALS="Y"))=0,"",'Dvd Calendar'!$S$1339)))</f>
        <v/>
      </c>
      <c r="R136" s="161">
        <f>IF(ET136="","",IF(ISNUMBER('Dvd Calendar'!$T$1339)=FALSE,"",IF((('Dvd Calendar'!$T$1341=TYPE1)*(TYPE1&lt;&gt;"")+('Dvd Calendar'!$T$1341=TYPE2)*(TYPE2&lt;&gt;"")+('Dvd Calendar'!$T$1341=TYPE3)*(TYPE3&lt;&gt;"")+('Dvd Calendar'!$T$1341=TYPE4)*(TYPE4&lt;&gt;"")+('Dvd Calendar'!$T$1341=SPECIAL_LBL)*(INC_SPECIALS="Y"))=0,"",'Dvd Calendar'!$T$1339)))</f>
        <v/>
      </c>
      <c r="S136" s="161">
        <f>IF(EU136="","",IF(ISNUMBER('Dvd Calendar'!$U$1339)=FALSE,"",IF((('Dvd Calendar'!$U$1341=TYPE1)*(TYPE1&lt;&gt;"")+('Dvd Calendar'!$U$1341=TYPE2)*(TYPE2&lt;&gt;"")+('Dvd Calendar'!$U$1341=TYPE3)*(TYPE3&lt;&gt;"")+('Dvd Calendar'!$U$1341=TYPE4)*(TYPE4&lt;&gt;"")+('Dvd Calendar'!$U$1341=SPECIAL_LBL)*(INC_SPECIALS="Y"))=0,"",'Dvd Calendar'!$U$1339)))</f>
        <v/>
      </c>
      <c r="T136" s="161">
        <f>IF(EV136="","",IF(ISNUMBER('Dvd Calendar'!$V$1339)=FALSE,"",IF((('Dvd Calendar'!$V$1341=TYPE1)*(TYPE1&lt;&gt;"")+('Dvd Calendar'!$V$1341=TYPE2)*(TYPE2&lt;&gt;"")+('Dvd Calendar'!$V$1341=TYPE3)*(TYPE3&lt;&gt;"")+('Dvd Calendar'!$V$1341=TYPE4)*(TYPE4&lt;&gt;"")+('Dvd Calendar'!$V$1341=SPECIAL_LBL)*(INC_SPECIALS="Y"))=0,"",'Dvd Calendar'!$V$1339)))</f>
        <v/>
      </c>
      <c r="U136" s="161">
        <f>IF(EW136="","",IF(ISNUMBER('Dvd Calendar'!$W$1339)=FALSE,"",IF((('Dvd Calendar'!$W$1341=TYPE1)*(TYPE1&lt;&gt;"")+('Dvd Calendar'!$W$1341=TYPE2)*(TYPE2&lt;&gt;"")+('Dvd Calendar'!$W$1341=TYPE3)*(TYPE3&lt;&gt;"")+('Dvd Calendar'!$W$1341=TYPE4)*(TYPE4&lt;&gt;"")+('Dvd Calendar'!$W$1341=SPECIAL_LBL)*(INC_SPECIALS="Y"))=0,"",'Dvd Calendar'!$W$1339)))</f>
        <v/>
      </c>
      <c r="V136" s="161">
        <f>IF(EX136="","",IF(ISNUMBER('Dvd Calendar'!$X$1339)=FALSE,"",IF((('Dvd Calendar'!$X$1341=TYPE1)*(TYPE1&lt;&gt;"")+('Dvd Calendar'!$X$1341=TYPE2)*(TYPE2&lt;&gt;"")+('Dvd Calendar'!$X$1341=TYPE3)*(TYPE3&lt;&gt;"")+('Dvd Calendar'!$X$1341=TYPE4)*(TYPE4&lt;&gt;"")+('Dvd Calendar'!$X$1341=SPECIAL_LBL)*(INC_SPECIALS="Y"))=0,"",'Dvd Calendar'!$X$1339)))</f>
        <v/>
      </c>
      <c r="W136" s="161">
        <f>IF(EY136="","",IF(ISNUMBER('Dvd Calendar'!$Y$1339)=FALSE,"",IF((('Dvd Calendar'!$Y$1341=TYPE1)*(TYPE1&lt;&gt;"")+('Dvd Calendar'!$Y$1341=TYPE2)*(TYPE2&lt;&gt;"")+('Dvd Calendar'!$Y$1341=TYPE3)*(TYPE3&lt;&gt;"")+('Dvd Calendar'!$Y$1341=TYPE4)*(TYPE4&lt;&gt;"")+('Dvd Calendar'!$Y$1341=SPECIAL_LBL)*(INC_SPECIALS="Y"))=0,"",'Dvd Calendar'!$Y$1339)))</f>
        <v/>
      </c>
      <c r="X136" s="161">
        <f>IF(EZ136="","",IF(ISNUMBER('Dvd Calendar'!$Z$1339)=FALSE,"",IF((('Dvd Calendar'!$Z$1341=TYPE1)*(TYPE1&lt;&gt;"")+('Dvd Calendar'!$Z$1341=TYPE2)*(TYPE2&lt;&gt;"")+('Dvd Calendar'!$Z$1341=TYPE3)*(TYPE3&lt;&gt;"")+('Dvd Calendar'!$Z$1341=TYPE4)*(TYPE4&lt;&gt;"")+('Dvd Calendar'!$Z$1341=SPECIAL_LBL)*(INC_SPECIALS="Y"))=0,"",'Dvd Calendar'!$Z$1339)))</f>
        <v/>
      </c>
      <c r="Y136" s="161">
        <f>IF(FA136="","",IF(ISNUMBER('Dvd Calendar'!$AA$1339)=FALSE,"",IF((('Dvd Calendar'!$AA$1341=TYPE1)*(TYPE1&lt;&gt;"")+('Dvd Calendar'!$AA$1341=TYPE2)*(TYPE2&lt;&gt;"")+('Dvd Calendar'!$AA$1341=TYPE3)*(TYPE3&lt;&gt;"")+('Dvd Calendar'!$AA$1341=TYPE4)*(TYPE4&lt;&gt;"")+('Dvd Calendar'!$AA$1341=SPECIAL_LBL)*(INC_SPECIALS="Y"))=0,"",'Dvd Calendar'!$AA$1339)))</f>
        <v/>
      </c>
      <c r="Z136" s="161">
        <f>IF(FB136="","",IF(ISNUMBER('Dvd Calendar'!$AB$1339)=FALSE,"",IF((('Dvd Calendar'!$AB$1341=TYPE1)*(TYPE1&lt;&gt;"")+('Dvd Calendar'!$AB$1341=TYPE2)*(TYPE2&lt;&gt;"")+('Dvd Calendar'!$AB$1341=TYPE3)*(TYPE3&lt;&gt;"")+('Dvd Calendar'!$AB$1341=TYPE4)*(TYPE4&lt;&gt;"")+('Dvd Calendar'!$AB$1341=SPECIAL_LBL)*(INC_SPECIALS="Y"))=0,"",'Dvd Calendar'!$AB$1339)))</f>
        <v/>
      </c>
      <c r="AA136" s="161">
        <f>IF(FC136="","",IF(ISNUMBER('Dvd Calendar'!$AC$1339)=FALSE,"",IF((('Dvd Calendar'!$AC$1341=TYPE1)*(TYPE1&lt;&gt;"")+('Dvd Calendar'!$AC$1341=TYPE2)*(TYPE2&lt;&gt;"")+('Dvd Calendar'!$AC$1341=TYPE3)*(TYPE3&lt;&gt;"")+('Dvd Calendar'!$AC$1341=TYPE4)*(TYPE4&lt;&gt;"")+('Dvd Calendar'!$AC$1341=SPECIAL_LBL)*(INC_SPECIALS="Y"))=0,"",'Dvd Calendar'!$AC$1339)))</f>
        <v/>
      </c>
      <c r="AB136" s="161">
        <f>IF(FD136="","",IF(ISNUMBER('Dvd Calendar'!$AD$1339)=FALSE,"",IF((('Dvd Calendar'!$AD$1341=TYPE1)*(TYPE1&lt;&gt;"")+('Dvd Calendar'!$AD$1341=TYPE2)*(TYPE2&lt;&gt;"")+('Dvd Calendar'!$AD$1341=TYPE3)*(TYPE3&lt;&gt;"")+('Dvd Calendar'!$AD$1341=TYPE4)*(TYPE4&lt;&gt;"")+('Dvd Calendar'!$AD$1341=SPECIAL_LBL)*(INC_SPECIALS="Y"))=0,"",'Dvd Calendar'!$AD$1339)))</f>
        <v/>
      </c>
      <c r="AC136" s="161">
        <f>IF(FE136="","",IF(ISNUMBER('Dvd Calendar'!$AE$1339)=FALSE,"",IF((('Dvd Calendar'!$AE$1341=TYPE1)*(TYPE1&lt;&gt;"")+('Dvd Calendar'!$AE$1341=TYPE2)*(TYPE2&lt;&gt;"")+('Dvd Calendar'!$AE$1341=TYPE3)*(TYPE3&lt;&gt;"")+('Dvd Calendar'!$AE$1341=TYPE4)*(TYPE4&lt;&gt;"")+('Dvd Calendar'!$AE$1341=SPECIAL_LBL)*(INC_SPECIALS="Y"))=0,"",'Dvd Calendar'!$AE$1339)))</f>
        <v/>
      </c>
      <c r="AD136" s="161">
        <f>IF(FF136="","",IF(ISNUMBER('Dvd Calendar'!$AF$1339)=FALSE,"",IF((('Dvd Calendar'!$AF$1341=TYPE1)*(TYPE1&lt;&gt;"")+('Dvd Calendar'!$AF$1341=TYPE2)*(TYPE2&lt;&gt;"")+('Dvd Calendar'!$AF$1341=TYPE3)*(TYPE3&lt;&gt;"")+('Dvd Calendar'!$AF$1341=TYPE4)*(TYPE4&lt;&gt;"")+('Dvd Calendar'!$AF$1341=SPECIAL_LBL)*(INC_SPECIALS="Y"))=0,"",'Dvd Calendar'!$AF$1339)))</f>
        <v/>
      </c>
      <c r="AE136" s="161">
        <f>IF(FG136="","",IF(ISNUMBER('Dvd Calendar'!$AG$1339)=FALSE,"",IF((('Dvd Calendar'!$AG$1341=TYPE1)*(TYPE1&lt;&gt;"")+('Dvd Calendar'!$AG$1341=TYPE2)*(TYPE2&lt;&gt;"")+('Dvd Calendar'!$AG$1341=TYPE3)*(TYPE3&lt;&gt;"")+('Dvd Calendar'!$AG$1341=TYPE4)*(TYPE4&lt;&gt;"")+('Dvd Calendar'!$AG$1341=SPECIAL_LBL)*(INC_SPECIALS="Y"))=0,"",'Dvd Calendar'!$AG$1339)))</f>
        <v/>
      </c>
      <c r="AF136" s="161">
        <f>IF(FH136="","",IF(ISNUMBER('Dvd Calendar'!$AH$1339)=FALSE,"",IF((('Dvd Calendar'!$AH$1341=TYPE1)*(TYPE1&lt;&gt;"")+('Dvd Calendar'!$AH$1341=TYPE2)*(TYPE2&lt;&gt;"")+('Dvd Calendar'!$AH$1341=TYPE3)*(TYPE3&lt;&gt;"")+('Dvd Calendar'!$AH$1341=TYPE4)*(TYPE4&lt;&gt;"")+('Dvd Calendar'!$AH$1341=SPECIAL_LBL)*(INC_SPECIALS="Y"))=0,"",'Dvd Calendar'!$AH$1339)))</f>
        <v/>
      </c>
      <c r="AG136" s="161">
        <f>IF(FI136="","",IF(ISNUMBER('Dvd Calendar'!$AI$1339)=FALSE,"",IF((('Dvd Calendar'!$AI$1341=TYPE1)*(TYPE1&lt;&gt;"")+('Dvd Calendar'!$AI$1341=TYPE2)*(TYPE2&lt;&gt;"")+('Dvd Calendar'!$AI$1341=TYPE3)*(TYPE3&lt;&gt;"")+('Dvd Calendar'!$AI$1341=TYPE4)*(TYPE4&lt;&gt;"")+('Dvd Calendar'!$AI$1341=SPECIAL_LBL)*(INC_SPECIALS="Y"))=0,"",'Dvd Calendar'!$AI$1339)))</f>
        <v/>
      </c>
      <c r="AH136" s="161">
        <f>IF(FJ136="","",IF(ISNUMBER('Dvd Calendar'!$AJ$1339)=FALSE,"",IF((('Dvd Calendar'!$AJ$1341=TYPE1)*(TYPE1&lt;&gt;"")+('Dvd Calendar'!$AJ$1341=TYPE2)*(TYPE2&lt;&gt;"")+('Dvd Calendar'!$AJ$1341=TYPE3)*(TYPE3&lt;&gt;"")+('Dvd Calendar'!$AJ$1341=TYPE4)*(TYPE4&lt;&gt;"")+('Dvd Calendar'!$AJ$1341=SPECIAL_LBL)*(INC_SPECIALS="Y"))=0,"",'Dvd Calendar'!$AJ$1339)))</f>
        <v/>
      </c>
      <c r="AI136" s="161">
        <f>IF(FK136="","",IF(ISNUMBER('Dvd Calendar'!$AK$1339)=FALSE,"",IF((('Dvd Calendar'!$AK$1341=TYPE1)*(TYPE1&lt;&gt;"")+('Dvd Calendar'!$AK$1341=TYPE2)*(TYPE2&lt;&gt;"")+('Dvd Calendar'!$AK$1341=TYPE3)*(TYPE3&lt;&gt;"")+('Dvd Calendar'!$AK$1341=TYPE4)*(TYPE4&lt;&gt;"")+('Dvd Calendar'!$AK$1341=SPECIAL_LBL)*(INC_SPECIALS="Y"))=0,"",'Dvd Calendar'!$AK$1339)))</f>
        <v/>
      </c>
      <c r="AJ136" s="161">
        <f>IF(FL136="","",IF(ISNUMBER('Dvd Calendar'!$AL$1339)=FALSE,"",IF((('Dvd Calendar'!$AL$1341=TYPE1)*(TYPE1&lt;&gt;"")+('Dvd Calendar'!$AL$1341=TYPE2)*(TYPE2&lt;&gt;"")+('Dvd Calendar'!$AL$1341=TYPE3)*(TYPE3&lt;&gt;"")+('Dvd Calendar'!$AL$1341=TYPE4)*(TYPE4&lt;&gt;"")+('Dvd Calendar'!$AL$1341=SPECIAL_LBL)*(INC_SPECIALS="Y"))=0,"",'Dvd Calendar'!$AL$1339)))</f>
        <v/>
      </c>
      <c r="AK136" s="161">
        <f>IF(FM136="","",IF(ISNUMBER('Dvd Calendar'!$AM$1339)=FALSE,"",IF((('Dvd Calendar'!$AM$1341=TYPE1)*(TYPE1&lt;&gt;"")+('Dvd Calendar'!$AM$1341=TYPE2)*(TYPE2&lt;&gt;"")+('Dvd Calendar'!$AM$1341=TYPE3)*(TYPE3&lt;&gt;"")+('Dvd Calendar'!$AM$1341=TYPE4)*(TYPE4&lt;&gt;"")+('Dvd Calendar'!$AM$1341=SPECIAL_LBL)*(INC_SPECIALS="Y"))=0,"",'Dvd Calendar'!$AM$1339)))</f>
        <v/>
      </c>
      <c r="AL136" s="161">
        <f>IF(FN136="","",IF(ISNUMBER('Dvd Calendar'!$AN$1339)=FALSE,"",IF((('Dvd Calendar'!$AN$1341=TYPE1)*(TYPE1&lt;&gt;"")+('Dvd Calendar'!$AN$1341=TYPE2)*(TYPE2&lt;&gt;"")+('Dvd Calendar'!$AN$1341=TYPE3)*(TYPE3&lt;&gt;"")+('Dvd Calendar'!$AN$1341=TYPE4)*(TYPE4&lt;&gt;"")+('Dvd Calendar'!$AN$1341=SPECIAL_LBL)*(INC_SPECIALS="Y"))=0,"",'Dvd Calendar'!$AN$1339)))</f>
        <v/>
      </c>
      <c r="AM136" s="161">
        <f>IF(FO136="","",IF(ISNUMBER('Dvd Calendar'!$AO$1339)=FALSE,"",IF((('Dvd Calendar'!$AO$1341=TYPE1)*(TYPE1&lt;&gt;"")+('Dvd Calendar'!$AO$1341=TYPE2)*(TYPE2&lt;&gt;"")+('Dvd Calendar'!$AO$1341=TYPE3)*(TYPE3&lt;&gt;"")+('Dvd Calendar'!$AO$1341=TYPE4)*(TYPE4&lt;&gt;"")+('Dvd Calendar'!$AO$1341=SPECIAL_LBL)*(INC_SPECIALS="Y"))=0,"",'Dvd Calendar'!$AO$1339)))</f>
        <v/>
      </c>
      <c r="AN136" s="161">
        <f>IF(FP136="","",IF(ISNUMBER('Dvd Calendar'!$AP$1339)=FALSE,"",IF((('Dvd Calendar'!$AP$1341=TYPE1)*(TYPE1&lt;&gt;"")+('Dvd Calendar'!$AP$1341=TYPE2)*(TYPE2&lt;&gt;"")+('Dvd Calendar'!$AP$1341=TYPE3)*(TYPE3&lt;&gt;"")+('Dvd Calendar'!$AP$1341=TYPE4)*(TYPE4&lt;&gt;"")+('Dvd Calendar'!$AP$1341=SPECIAL_LBL)*(INC_SPECIALS="Y"))=0,"",'Dvd Calendar'!$AP$1339)))</f>
        <v/>
      </c>
      <c r="AO136" s="161">
        <f>IF(FQ136="","",IF(ISNUMBER('Dvd Calendar'!$AQ$1339)=FALSE,"",IF((('Dvd Calendar'!$AQ$1341=TYPE1)*(TYPE1&lt;&gt;"")+('Dvd Calendar'!$AQ$1341=TYPE2)*(TYPE2&lt;&gt;"")+('Dvd Calendar'!$AQ$1341=TYPE3)*(TYPE3&lt;&gt;"")+('Dvd Calendar'!$AQ$1341=TYPE4)*(TYPE4&lt;&gt;"")+('Dvd Calendar'!$AQ$1341=SPECIAL_LBL)*(INC_SPECIALS="Y"))=0,"",'Dvd Calendar'!$AQ$1339)))</f>
        <v/>
      </c>
      <c r="AP136" s="161">
        <f>IF(FR136="","",IF(ISNUMBER('Dvd Calendar'!$AR$1339)=FALSE,"",IF((('Dvd Calendar'!$AR$1341=TYPE1)*(TYPE1&lt;&gt;"")+('Dvd Calendar'!$AR$1341=TYPE2)*(TYPE2&lt;&gt;"")+('Dvd Calendar'!$AR$1341=TYPE3)*(TYPE3&lt;&gt;"")+('Dvd Calendar'!$AR$1341=TYPE4)*(TYPE4&lt;&gt;"")+('Dvd Calendar'!$AR$1341=SPECIAL_LBL)*(INC_SPECIALS="Y"))=0,"",'Dvd Calendar'!$AR$1339)))</f>
        <v/>
      </c>
      <c r="AQ136" s="161">
        <f>IF(FS136="","",IF(ISNUMBER('Dvd Calendar'!$E$1344)=FALSE,"",'Dvd Calendar'!$E$1344))</f>
        <v/>
      </c>
      <c r="AR136" s="161">
        <f>IF(FT136="","",IF(ISNUMBER('Dvd Calendar'!$F$1344)=FALSE,"",'Dvd Calendar'!$F$1344))</f>
        <v/>
      </c>
      <c r="AS136" s="161">
        <f>IF(FU136="","",IF(ISNUMBER('Dvd Calendar'!$G$1344)=FALSE,"",'Dvd Calendar'!$G$1344))</f>
        <v/>
      </c>
      <c r="AT136" s="161">
        <f>IF(FV136="","",IF(ISNUMBER('Dvd Calendar'!$H$1344)=FALSE,"",'Dvd Calendar'!$H$1344))</f>
        <v/>
      </c>
      <c r="AU136" s="161">
        <f>IF(FW136="","",IF(ISNUMBER('Dvd Calendar'!$I$1344)=FALSE,"",'Dvd Calendar'!$I$1344))</f>
        <v/>
      </c>
      <c r="AV136" s="161">
        <f>IF(FX136="","",IF(ISNUMBER('Dvd Calendar'!$J$1344)=FALSE,"",'Dvd Calendar'!$J$1344))</f>
        <v/>
      </c>
      <c r="AW136" s="161">
        <f>IF(FY136="","",IF(ISNUMBER('Dvd Calendar'!$K$1344)=FALSE,"",'Dvd Calendar'!$K$1344))</f>
        <v/>
      </c>
      <c r="AX136" s="161">
        <f>IF(FZ136="","",IF(ISNUMBER('Dvd Calendar'!$L$1344)=FALSE,"",'Dvd Calendar'!$L$1344))</f>
        <v/>
      </c>
      <c r="AY136" s="161">
        <f>IF(GA136="","",IF(ISNUMBER('Dvd Calendar'!$M$1344)=FALSE,"",'Dvd Calendar'!$M$1344))</f>
        <v/>
      </c>
      <c r="AZ136" s="161">
        <f>IF(GB136="","",IF(ISNUMBER('Dvd Calendar'!$N$1344)=FALSE,"",'Dvd Calendar'!$N$1344))</f>
        <v/>
      </c>
      <c r="BA136" s="161">
        <f>IF(GC136="","",IF(ISNUMBER('Dvd Calendar'!$O$1344)=FALSE,"",'Dvd Calendar'!$O$1344))</f>
        <v/>
      </c>
      <c r="BB136" s="161">
        <f>IF(GD136="","",IF(ISNUMBER('Dvd Calendar'!$P$1344)=FALSE,"",'Dvd Calendar'!$P$1344))</f>
        <v/>
      </c>
      <c r="BC136" s="161">
        <f>IF(GE136="","",IF(ISNUMBER('Dvd Calendar'!$Q$1344)=FALSE,"",'Dvd Calendar'!$Q$1344))</f>
        <v/>
      </c>
      <c r="BD136" s="161">
        <f>IF(GF136="","",IF(ISNUMBER('Dvd Calendar'!$R$1344)=FALSE,"",'Dvd Calendar'!$R$1344))</f>
        <v/>
      </c>
      <c r="BE136" s="161">
        <f>IF(GG136="","",IF(ISNUMBER('Dvd Calendar'!$S$1344)=FALSE,"",'Dvd Calendar'!$S$1344))</f>
        <v/>
      </c>
      <c r="BF136" s="161">
        <f>IF(GH136="","",IF(ISNUMBER('Dvd Calendar'!$T$1344)=FALSE,"",'Dvd Calendar'!$T$1344))</f>
        <v/>
      </c>
      <c r="BG136" s="161">
        <f>IF(GI136="","",IF(ISNUMBER('Dvd Calendar'!$U$1344)=FALSE,"",'Dvd Calendar'!$U$1344))</f>
        <v/>
      </c>
      <c r="BH136" s="161">
        <f>IF(GJ136="","",IF(ISNUMBER('Dvd Calendar'!$V$1344)=FALSE,"",'Dvd Calendar'!$V$1344))</f>
        <v/>
      </c>
      <c r="BI136" s="161">
        <f>IF(GK136="","",IF(ISNUMBER('Dvd Calendar'!$W$1344)=FALSE,"",'Dvd Calendar'!$W$1344))</f>
        <v/>
      </c>
      <c r="BJ136" s="161">
        <f>IF(GL136="","",IF(ISNUMBER('Dvd Calendar'!$X$1344)=FALSE,"",'Dvd Calendar'!$X$1344))</f>
        <v/>
      </c>
      <c r="BK136" s="161">
        <f>IF(GM136="","",IF(ISNUMBER('Dvd Calendar'!$Y$1344)=FALSE,"",'Dvd Calendar'!$Y$1344))</f>
        <v/>
      </c>
      <c r="BL136" s="161">
        <f>IF(GN136="","",IF(ISNUMBER('Dvd Calendar'!$Z$1344)=FALSE,"",'Dvd Calendar'!$Z$1344))</f>
        <v/>
      </c>
      <c r="BM136" s="161">
        <f>IF(GO136="","",IF(ISNUMBER('Dvd Calendar'!$AA$1344)=FALSE,"",'Dvd Calendar'!$AA$1344))</f>
        <v/>
      </c>
      <c r="BN136" s="161">
        <f>IF(GP136="","",IF(ISNUMBER('Dvd Calendar'!$AB$1344)=FALSE,"",'Dvd Calendar'!$AB$1344))</f>
        <v/>
      </c>
      <c r="BO136" s="161">
        <f>IF(GQ136="","",IF(ISNUMBER('Dvd Calendar'!$AC$1344)=FALSE,"",'Dvd Calendar'!$AC$1344))</f>
        <v/>
      </c>
      <c r="BQ136" s="161">
        <f>IF(C136="","",IFERROR(C136*HSTECH!$B$27*HSTECH!$G$27/HSTECH!$B$3,""))</f>
        <v/>
      </c>
      <c r="BR136" s="161">
        <f>IF(D136="","",IFERROR(D136*HSTECH!$B$27*HSTECH!$G$27/HSTECH!$B$3,""))</f>
        <v/>
      </c>
      <c r="BS136" s="161">
        <f>IF(E136="","",IFERROR(E136*HSTECH!$B$27*HSTECH!$G$27/HSTECH!$B$3,""))</f>
        <v/>
      </c>
      <c r="BT136" s="161">
        <f>IF(F136="","",IFERROR(F136*HSTECH!$B$27*HSTECH!$G$27/HSTECH!$B$3,""))</f>
        <v/>
      </c>
      <c r="BU136" s="161">
        <f>IF(G136="","",IFERROR(G136*HSTECH!$B$27*HSTECH!$G$27/HSTECH!$B$3,""))</f>
        <v/>
      </c>
      <c r="BV136" s="161">
        <f>IF(H136="","",IFERROR(H136*HSTECH!$B$27*HSTECH!$G$27/HSTECH!$B$3,""))</f>
        <v/>
      </c>
      <c r="BW136" s="161">
        <f>IF(I136="","",IFERROR(I136*HSTECH!$B$27*HSTECH!$G$27/HSTECH!$B$3,""))</f>
        <v/>
      </c>
      <c r="BX136" s="161">
        <f>IF(J136="","",IFERROR(J136*HSTECH!$B$27*HSTECH!$G$27/HSTECH!$B$3,""))</f>
        <v/>
      </c>
      <c r="BY136" s="161">
        <f>IF(K136="","",IFERROR(K136*HSTECH!$B$27*HSTECH!$G$27/HSTECH!$B$3,""))</f>
        <v/>
      </c>
      <c r="BZ136" s="161">
        <f>IF(L136="","",IFERROR(L136*HSTECH!$B$27*HSTECH!$G$27/HSTECH!$B$3,""))</f>
        <v/>
      </c>
      <c r="CA136" s="161">
        <f>IF(M136="","",IFERROR(M136*HSTECH!$B$27*HSTECH!$G$27/HSTECH!$B$3,""))</f>
        <v/>
      </c>
      <c r="CB136" s="161">
        <f>IF(N136="","",IFERROR(N136*HSTECH!$B$27*HSTECH!$G$27/HSTECH!$B$3,""))</f>
        <v/>
      </c>
      <c r="CC136" s="161">
        <f>IF(O136="","",IFERROR(O136*HSTECH!$B$27*HSTECH!$G$27/HSTECH!$B$3,""))</f>
        <v/>
      </c>
      <c r="CD136" s="161">
        <f>IF(P136="","",IFERROR(P136*HSTECH!$B$27*HSTECH!$G$27/HSTECH!$B$3,""))</f>
        <v/>
      </c>
      <c r="CE136" s="161">
        <f>IF(Q136="","",IFERROR(Q136*HSTECH!$B$27*HSTECH!$G$27/HSTECH!$B$3,""))</f>
        <v/>
      </c>
      <c r="CF136" s="161">
        <f>IF(R136="","",IFERROR(R136*HSTECH!$B$27*HSTECH!$G$27/HSTECH!$B$3,""))</f>
        <v/>
      </c>
      <c r="CG136" s="161">
        <f>IF(S136="","",IFERROR(S136*HSTECH!$B$27*HSTECH!$G$27/HSTECH!$B$3,""))</f>
        <v/>
      </c>
      <c r="CH136" s="161">
        <f>IF(T136="","",IFERROR(T136*HSTECH!$B$27*HSTECH!$G$27/HSTECH!$B$3,""))</f>
        <v/>
      </c>
      <c r="CI136" s="161">
        <f>IF(U136="","",IFERROR(U136*HSTECH!$B$27*HSTECH!$G$27/HSTECH!$B$3,""))</f>
        <v/>
      </c>
      <c r="CJ136" s="161">
        <f>IF(V136="","",IFERROR(V136*HSTECH!$B$27*HSTECH!$G$27/HSTECH!$B$3,""))</f>
        <v/>
      </c>
      <c r="CK136" s="161">
        <f>IF(W136="","",IFERROR(W136*HSTECH!$B$27*HSTECH!$G$27/HSTECH!$B$3,""))</f>
        <v/>
      </c>
      <c r="CL136" s="161">
        <f>IF(X136="","",IFERROR(X136*HSTECH!$B$27*HSTECH!$G$27/HSTECH!$B$3,""))</f>
        <v/>
      </c>
      <c r="CM136" s="161">
        <f>IF(Y136="","",IFERROR(Y136*HSTECH!$B$27*HSTECH!$G$27/HSTECH!$B$3,""))</f>
        <v/>
      </c>
      <c r="CN136" s="161">
        <f>IF(Z136="","",IFERROR(Z136*HSTECH!$B$27*HSTECH!$G$27/HSTECH!$B$3,""))</f>
        <v/>
      </c>
      <c r="CO136" s="161">
        <f>IF(AA136="","",IFERROR(AA136*HSTECH!$B$27*HSTECH!$G$27/HSTECH!$B$3,""))</f>
        <v/>
      </c>
      <c r="CP136" s="161">
        <f>IF(AB136="","",IFERROR(AB136*HSTECH!$B$27*HSTECH!$G$27/HSTECH!$B$3,""))</f>
        <v/>
      </c>
      <c r="CQ136" s="161">
        <f>IF(AC136="","",IFERROR(AC136*HSTECH!$B$27*HSTECH!$G$27/HSTECH!$B$3,""))</f>
        <v/>
      </c>
      <c r="CR136" s="161">
        <f>IF(AD136="","",IFERROR(AD136*HSTECH!$B$27*HSTECH!$G$27/HSTECH!$B$3,""))</f>
        <v/>
      </c>
      <c r="CS136" s="161">
        <f>IF(AE136="","",IFERROR(AE136*HSTECH!$B$27*HSTECH!$G$27/HSTECH!$B$3,""))</f>
        <v/>
      </c>
      <c r="CT136" s="161">
        <f>IF(AF136="","",IFERROR(AF136*HSTECH!$B$27*HSTECH!$G$27/HSTECH!$B$3,""))</f>
        <v/>
      </c>
      <c r="CU136" s="161">
        <f>IF(AG136="","",IFERROR(AG136*HSTECH!$B$27*HSTECH!$G$27/HSTECH!$B$3,""))</f>
        <v/>
      </c>
      <c r="CV136" s="161">
        <f>IF(AH136="","",IFERROR(AH136*HSTECH!$B$27*HSTECH!$G$27/HSTECH!$B$3,""))</f>
        <v/>
      </c>
      <c r="CW136" s="161">
        <f>IF(AI136="","",IFERROR(AI136*HSTECH!$B$27*HSTECH!$G$27/HSTECH!$B$3,""))</f>
        <v/>
      </c>
      <c r="CX136" s="161">
        <f>IF(AJ136="","",IFERROR(AJ136*HSTECH!$B$27*HSTECH!$G$27/HSTECH!$B$3,""))</f>
        <v/>
      </c>
      <c r="CY136" s="161">
        <f>IF(AK136="","",IFERROR(AK136*HSTECH!$B$27*HSTECH!$G$27/HSTECH!$B$3,""))</f>
        <v/>
      </c>
      <c r="CZ136" s="161">
        <f>IF(AL136="","",IFERROR(AL136*HSTECH!$B$27*HSTECH!$G$27/HSTECH!$B$3,""))</f>
        <v/>
      </c>
      <c r="DA136" s="161">
        <f>IF(AM136="","",IFERROR(AM136*HSTECH!$B$27*HSTECH!$G$27/HSTECH!$B$3,""))</f>
        <v/>
      </c>
      <c r="DB136" s="161">
        <f>IF(AN136="","",IFERROR(AN136*HSTECH!$B$27*HSTECH!$G$27/HSTECH!$B$3,""))</f>
        <v/>
      </c>
      <c r="DC136" s="161">
        <f>IF(AO136="","",IFERROR(AO136*HSTECH!$B$27*HSTECH!$G$27/HSTECH!$B$3,""))</f>
        <v/>
      </c>
      <c r="DD136" s="161">
        <f>IF(AP136="","",IFERROR(AP136*HSTECH!$B$27*HSTECH!$G$27/HSTECH!$B$3,""))</f>
        <v/>
      </c>
      <c r="DE136" s="161">
        <f>IF(AQ136="","",IFERROR(AQ136*HSTECH!$B$27*HSTECH!$G$27/HSTECH!$B$3,""))</f>
        <v/>
      </c>
      <c r="DF136" s="161">
        <f>IF(AR136="","",IFERROR(AR136*HSTECH!$B$27*HSTECH!$G$27/HSTECH!$B$3,""))</f>
        <v/>
      </c>
      <c r="DG136" s="161">
        <f>IF(AS136="","",IFERROR(AS136*HSTECH!$B$27*HSTECH!$G$27/HSTECH!$B$3,""))</f>
        <v/>
      </c>
      <c r="DH136" s="161">
        <f>IF(AT136="","",IFERROR(AT136*HSTECH!$B$27*HSTECH!$G$27/HSTECH!$B$3,""))</f>
        <v/>
      </c>
      <c r="DI136" s="161">
        <f>IF(AU136="","",IFERROR(AU136*HSTECH!$B$27*HSTECH!$G$27/HSTECH!$B$3,""))</f>
        <v/>
      </c>
      <c r="DJ136" s="161">
        <f>IF(AV136="","",IFERROR(AV136*HSTECH!$B$27*HSTECH!$G$27/HSTECH!$B$3,""))</f>
        <v/>
      </c>
      <c r="DK136" s="161">
        <f>IF(AW136="","",IFERROR(AW136*HSTECH!$B$27*HSTECH!$G$27/HSTECH!$B$3,""))</f>
        <v/>
      </c>
      <c r="DL136" s="161">
        <f>IF(AX136="","",IFERROR(AX136*HSTECH!$B$27*HSTECH!$G$27/HSTECH!$B$3,""))</f>
        <v/>
      </c>
      <c r="DM136" s="161">
        <f>IF(AY136="","",IFERROR(AY136*HSTECH!$B$27*HSTECH!$G$27/HSTECH!$B$3,""))</f>
        <v/>
      </c>
      <c r="DN136" s="161">
        <f>IF(AZ136="","",IFERROR(AZ136*HSTECH!$B$27*HSTECH!$G$27/HSTECH!$B$3,""))</f>
        <v/>
      </c>
      <c r="DO136" s="161">
        <f>IF(BA136="","",IFERROR(BA136*HSTECH!$B$27*HSTECH!$G$27/HSTECH!$B$3,""))</f>
        <v/>
      </c>
      <c r="DP136" s="161">
        <f>IF(BB136="","",IFERROR(BB136*HSTECH!$B$27*HSTECH!$G$27/HSTECH!$B$3,""))</f>
        <v/>
      </c>
      <c r="DQ136" s="161">
        <f>IF(BC136="","",IFERROR(BC136*HSTECH!$B$27*HSTECH!$G$27/HSTECH!$B$3,""))</f>
        <v/>
      </c>
      <c r="DR136" s="161">
        <f>IF(BD136="","",IFERROR(BD136*HSTECH!$B$27*HSTECH!$G$27/HSTECH!$B$3,""))</f>
        <v/>
      </c>
      <c r="DS136" s="161">
        <f>IF(BE136="","",IFERROR(BE136*HSTECH!$B$27*HSTECH!$G$27/HSTECH!$B$3,""))</f>
        <v/>
      </c>
      <c r="DT136" s="161">
        <f>IF(BF136="","",IFERROR(BF136*HSTECH!$B$27*HSTECH!$G$27/HSTECH!$B$3,""))</f>
        <v/>
      </c>
      <c r="DU136" s="161">
        <f>IF(BG136="","",IFERROR(BG136*HSTECH!$B$27*HSTECH!$G$27/HSTECH!$B$3,""))</f>
        <v/>
      </c>
      <c r="DV136" s="161">
        <f>IF(BH136="","",IFERROR(BH136*HSTECH!$B$27*HSTECH!$G$27/HSTECH!$B$3,""))</f>
        <v/>
      </c>
      <c r="DW136" s="161">
        <f>IF(BI136="","",IFERROR(BI136*HSTECH!$B$27*HSTECH!$G$27/HSTECH!$B$3,""))</f>
        <v/>
      </c>
      <c r="DX136" s="161">
        <f>IF(BJ136="","",IFERROR(BJ136*HSTECH!$B$27*HSTECH!$G$27/HSTECH!$B$3,""))</f>
        <v/>
      </c>
      <c r="DY136" s="161">
        <f>IF(BK136="","",IFERROR(BK136*HSTECH!$B$27*HSTECH!$G$27/HSTECH!$B$3,""))</f>
        <v/>
      </c>
      <c r="DZ136" s="161">
        <f>IF(BL136="","",IFERROR(BL136*HSTECH!$B$27*HSTECH!$G$27/HSTECH!$B$3,""))</f>
        <v/>
      </c>
      <c r="EA136" s="161">
        <f>IF(BM136="","",IFERROR(BM136*HSTECH!$B$27*HSTECH!$G$27/HSTECH!$B$3,""))</f>
        <v/>
      </c>
      <c r="EB136" s="161">
        <f>IF(BN136="","",IFERROR(BN136*HSTECH!$B$27*HSTECH!$G$27/HSTECH!$B$3,""))</f>
        <v/>
      </c>
      <c r="EC136" s="161">
        <f>IF(BO136="","",IFERROR(BO136*HSTECH!$B$27*HSTECH!$G$27/HSTECH!$B$3,""))</f>
        <v/>
      </c>
      <c r="EE136" s="121">
        <f>IF(N('Dvd Calendar'!$E$1336)=0,"",IF(('Dvd Calendar'!$E$1336&gt;=GRID_FROM)*('Dvd Calendar'!$E$1336&lt;=GRID_TO)*((('Dvd Calendar'!$E$1336&lt;=VAL_DATE)+(COUNTIF('Dvd Calendar'!$E$1343:$AR$1343,'Dvd Calendar'!$E$1336)=0))&gt;0)=0,"",'Dvd Calendar'!$E$1336*1000000000+ISNUMBER('Dvd Calendar'!$E$1339)*100000000+('Dvd Calendar'!$E$1341=SPECIAL_LBL)*10000000+(N('Dvd Calendar'!$E$1335)&gt;0)*(N('Dvd Calendar'!$E$1335)&lt;=VAL_SERIAL)*1000000+21*1000+1))</f>
        <v/>
      </c>
      <c r="EF136" s="121">
        <f>IF(N('Dvd Calendar'!$F$1336)=0,"",IF(('Dvd Calendar'!$F$1336&gt;=GRID_FROM)*('Dvd Calendar'!$F$1336&lt;=GRID_TO)*((('Dvd Calendar'!$F$1336&lt;=VAL_DATE)+(COUNTIF('Dvd Calendar'!$E$1343:$AR$1343,'Dvd Calendar'!$F$1336)=0))&gt;0)=0,"",'Dvd Calendar'!$F$1336*1000000000+ISNUMBER('Dvd Calendar'!$F$1339)*100000000+('Dvd Calendar'!$F$1341=SPECIAL_LBL)*10000000+(N('Dvd Calendar'!$F$1335)&gt;0)*(N('Dvd Calendar'!$F$1335)&lt;=VAL_SERIAL)*1000000+21*1000+2))</f>
        <v/>
      </c>
      <c r="EG136" s="121">
        <f>IF(N('Dvd Calendar'!$G$1336)=0,"",IF(('Dvd Calendar'!$G$1336&gt;=GRID_FROM)*('Dvd Calendar'!$G$1336&lt;=GRID_TO)*((('Dvd Calendar'!$G$1336&lt;=VAL_DATE)+(COUNTIF('Dvd Calendar'!$E$1343:$AR$1343,'Dvd Calendar'!$G$1336)=0))&gt;0)=0,"",'Dvd Calendar'!$G$1336*1000000000+ISNUMBER('Dvd Calendar'!$G$1339)*100000000+('Dvd Calendar'!$G$1341=SPECIAL_LBL)*10000000+(N('Dvd Calendar'!$G$1335)&gt;0)*(N('Dvd Calendar'!$G$1335)&lt;=VAL_SERIAL)*1000000+21*1000+3))</f>
        <v/>
      </c>
      <c r="EH136" s="121">
        <f>IF(N('Dvd Calendar'!$H$1336)=0,"",IF(('Dvd Calendar'!$H$1336&gt;=GRID_FROM)*('Dvd Calendar'!$H$1336&lt;=GRID_TO)*((('Dvd Calendar'!$H$1336&lt;=VAL_DATE)+(COUNTIF('Dvd Calendar'!$E$1343:$AR$1343,'Dvd Calendar'!$H$1336)=0))&gt;0)=0,"",'Dvd Calendar'!$H$1336*1000000000+ISNUMBER('Dvd Calendar'!$H$1339)*100000000+('Dvd Calendar'!$H$1341=SPECIAL_LBL)*10000000+(N('Dvd Calendar'!$H$1335)&gt;0)*(N('Dvd Calendar'!$H$1335)&lt;=VAL_SERIAL)*1000000+21*1000+4))</f>
        <v/>
      </c>
      <c r="EI136" s="121">
        <f>IF(N('Dvd Calendar'!$I$1336)=0,"",IF(('Dvd Calendar'!$I$1336&gt;=GRID_FROM)*('Dvd Calendar'!$I$1336&lt;=GRID_TO)*((('Dvd Calendar'!$I$1336&lt;=VAL_DATE)+(COUNTIF('Dvd Calendar'!$E$1343:$AR$1343,'Dvd Calendar'!$I$1336)=0))&gt;0)=0,"",'Dvd Calendar'!$I$1336*1000000000+ISNUMBER('Dvd Calendar'!$I$1339)*100000000+('Dvd Calendar'!$I$1341=SPECIAL_LBL)*10000000+(N('Dvd Calendar'!$I$1335)&gt;0)*(N('Dvd Calendar'!$I$1335)&lt;=VAL_SERIAL)*1000000+21*1000+5))</f>
        <v/>
      </c>
      <c r="EJ136" s="121">
        <f>IF(N('Dvd Calendar'!$J$1336)=0,"",IF(('Dvd Calendar'!$J$1336&gt;=GRID_FROM)*('Dvd Calendar'!$J$1336&lt;=GRID_TO)*((('Dvd Calendar'!$J$1336&lt;=VAL_DATE)+(COUNTIF('Dvd Calendar'!$E$1343:$AR$1343,'Dvd Calendar'!$J$1336)=0))&gt;0)=0,"",'Dvd Calendar'!$J$1336*1000000000+ISNUMBER('Dvd Calendar'!$J$1339)*100000000+('Dvd Calendar'!$J$1341=SPECIAL_LBL)*10000000+(N('Dvd Calendar'!$J$1335)&gt;0)*(N('Dvd Calendar'!$J$1335)&lt;=VAL_SERIAL)*1000000+21*1000+6))</f>
        <v/>
      </c>
      <c r="EK136" s="121">
        <f>IF(N('Dvd Calendar'!$K$1336)=0,"",IF(('Dvd Calendar'!$K$1336&gt;=GRID_FROM)*('Dvd Calendar'!$K$1336&lt;=GRID_TO)*((('Dvd Calendar'!$K$1336&lt;=VAL_DATE)+(COUNTIF('Dvd Calendar'!$E$1343:$AR$1343,'Dvd Calendar'!$K$1336)=0))&gt;0)=0,"",'Dvd Calendar'!$K$1336*1000000000+ISNUMBER('Dvd Calendar'!$K$1339)*100000000+('Dvd Calendar'!$K$1341=SPECIAL_LBL)*10000000+(N('Dvd Calendar'!$K$1335)&gt;0)*(N('Dvd Calendar'!$K$1335)&lt;=VAL_SERIAL)*1000000+21*1000+7))</f>
        <v/>
      </c>
      <c r="EL136" s="121">
        <f>IF(N('Dvd Calendar'!$L$1336)=0,"",IF(('Dvd Calendar'!$L$1336&gt;=GRID_FROM)*('Dvd Calendar'!$L$1336&lt;=GRID_TO)*((('Dvd Calendar'!$L$1336&lt;=VAL_DATE)+(COUNTIF('Dvd Calendar'!$E$1343:$AR$1343,'Dvd Calendar'!$L$1336)=0))&gt;0)=0,"",'Dvd Calendar'!$L$1336*1000000000+ISNUMBER('Dvd Calendar'!$L$1339)*100000000+('Dvd Calendar'!$L$1341=SPECIAL_LBL)*10000000+(N('Dvd Calendar'!$L$1335)&gt;0)*(N('Dvd Calendar'!$L$1335)&lt;=VAL_SERIAL)*1000000+21*1000+8))</f>
        <v/>
      </c>
      <c r="EM136" s="121">
        <f>IF(N('Dvd Calendar'!$M$1336)=0,"",IF(('Dvd Calendar'!$M$1336&gt;=GRID_FROM)*('Dvd Calendar'!$M$1336&lt;=GRID_TO)*((('Dvd Calendar'!$M$1336&lt;=VAL_DATE)+(COUNTIF('Dvd Calendar'!$E$1343:$AR$1343,'Dvd Calendar'!$M$1336)=0))&gt;0)=0,"",'Dvd Calendar'!$M$1336*1000000000+ISNUMBER('Dvd Calendar'!$M$1339)*100000000+('Dvd Calendar'!$M$1341=SPECIAL_LBL)*10000000+(N('Dvd Calendar'!$M$1335)&gt;0)*(N('Dvd Calendar'!$M$1335)&lt;=VAL_SERIAL)*1000000+21*1000+9))</f>
        <v/>
      </c>
      <c r="EN136" s="121">
        <f>IF(N('Dvd Calendar'!$N$1336)=0,"",IF(('Dvd Calendar'!$N$1336&gt;=GRID_FROM)*('Dvd Calendar'!$N$1336&lt;=GRID_TO)*((('Dvd Calendar'!$N$1336&lt;=VAL_DATE)+(COUNTIF('Dvd Calendar'!$E$1343:$AR$1343,'Dvd Calendar'!$N$1336)=0))&gt;0)=0,"",'Dvd Calendar'!$N$1336*1000000000+ISNUMBER('Dvd Calendar'!$N$1339)*100000000+('Dvd Calendar'!$N$1341=SPECIAL_LBL)*10000000+(N('Dvd Calendar'!$N$1335)&gt;0)*(N('Dvd Calendar'!$N$1335)&lt;=VAL_SERIAL)*1000000+21*1000+10))</f>
        <v/>
      </c>
      <c r="EO136" s="121">
        <f>IF(N('Dvd Calendar'!$O$1336)=0,"",IF(('Dvd Calendar'!$O$1336&gt;=GRID_FROM)*('Dvd Calendar'!$O$1336&lt;=GRID_TO)*((('Dvd Calendar'!$O$1336&lt;=VAL_DATE)+(COUNTIF('Dvd Calendar'!$E$1343:$AR$1343,'Dvd Calendar'!$O$1336)=0))&gt;0)=0,"",'Dvd Calendar'!$O$1336*1000000000+ISNUMBER('Dvd Calendar'!$O$1339)*100000000+('Dvd Calendar'!$O$1341=SPECIAL_LBL)*10000000+(N('Dvd Calendar'!$O$1335)&gt;0)*(N('Dvd Calendar'!$O$1335)&lt;=VAL_SERIAL)*1000000+21*1000+11))</f>
        <v/>
      </c>
      <c r="EP136" s="121">
        <f>IF(N('Dvd Calendar'!$P$1336)=0,"",IF(('Dvd Calendar'!$P$1336&gt;=GRID_FROM)*('Dvd Calendar'!$P$1336&lt;=GRID_TO)*((('Dvd Calendar'!$P$1336&lt;=VAL_DATE)+(COUNTIF('Dvd Calendar'!$E$1343:$AR$1343,'Dvd Calendar'!$P$1336)=0))&gt;0)=0,"",'Dvd Calendar'!$P$1336*1000000000+ISNUMBER('Dvd Calendar'!$P$1339)*100000000+('Dvd Calendar'!$P$1341=SPECIAL_LBL)*10000000+(N('Dvd Calendar'!$P$1335)&gt;0)*(N('Dvd Calendar'!$P$1335)&lt;=VAL_SERIAL)*1000000+21*1000+12))</f>
        <v/>
      </c>
      <c r="EQ136" s="121">
        <f>IF(N('Dvd Calendar'!$Q$1336)=0,"",IF(('Dvd Calendar'!$Q$1336&gt;=GRID_FROM)*('Dvd Calendar'!$Q$1336&lt;=GRID_TO)*((('Dvd Calendar'!$Q$1336&lt;=VAL_DATE)+(COUNTIF('Dvd Calendar'!$E$1343:$AR$1343,'Dvd Calendar'!$Q$1336)=0))&gt;0)=0,"",'Dvd Calendar'!$Q$1336*1000000000+ISNUMBER('Dvd Calendar'!$Q$1339)*100000000+('Dvd Calendar'!$Q$1341=SPECIAL_LBL)*10000000+(N('Dvd Calendar'!$Q$1335)&gt;0)*(N('Dvd Calendar'!$Q$1335)&lt;=VAL_SERIAL)*1000000+21*1000+13))</f>
        <v/>
      </c>
      <c r="ER136" s="121">
        <f>IF(N('Dvd Calendar'!$R$1336)=0,"",IF(('Dvd Calendar'!$R$1336&gt;=GRID_FROM)*('Dvd Calendar'!$R$1336&lt;=GRID_TO)*((('Dvd Calendar'!$R$1336&lt;=VAL_DATE)+(COUNTIF('Dvd Calendar'!$E$1343:$AR$1343,'Dvd Calendar'!$R$1336)=0))&gt;0)=0,"",'Dvd Calendar'!$R$1336*1000000000+ISNUMBER('Dvd Calendar'!$R$1339)*100000000+('Dvd Calendar'!$R$1341=SPECIAL_LBL)*10000000+(N('Dvd Calendar'!$R$1335)&gt;0)*(N('Dvd Calendar'!$R$1335)&lt;=VAL_SERIAL)*1000000+21*1000+14))</f>
        <v/>
      </c>
      <c r="ES136" s="121">
        <f>IF(N('Dvd Calendar'!$S$1336)=0,"",IF(('Dvd Calendar'!$S$1336&gt;=GRID_FROM)*('Dvd Calendar'!$S$1336&lt;=GRID_TO)*((('Dvd Calendar'!$S$1336&lt;=VAL_DATE)+(COUNTIF('Dvd Calendar'!$E$1343:$AR$1343,'Dvd Calendar'!$S$1336)=0))&gt;0)=0,"",'Dvd Calendar'!$S$1336*1000000000+ISNUMBER('Dvd Calendar'!$S$1339)*100000000+('Dvd Calendar'!$S$1341=SPECIAL_LBL)*10000000+(N('Dvd Calendar'!$S$1335)&gt;0)*(N('Dvd Calendar'!$S$1335)&lt;=VAL_SERIAL)*1000000+21*1000+15))</f>
        <v/>
      </c>
      <c r="ET136" s="121">
        <f>IF(N('Dvd Calendar'!$T$1336)=0,"",IF(('Dvd Calendar'!$T$1336&gt;=GRID_FROM)*('Dvd Calendar'!$T$1336&lt;=GRID_TO)*((('Dvd Calendar'!$T$1336&lt;=VAL_DATE)+(COUNTIF('Dvd Calendar'!$E$1343:$AR$1343,'Dvd Calendar'!$T$1336)=0))&gt;0)=0,"",'Dvd Calendar'!$T$1336*1000000000+ISNUMBER('Dvd Calendar'!$T$1339)*100000000+('Dvd Calendar'!$T$1341=SPECIAL_LBL)*10000000+(N('Dvd Calendar'!$T$1335)&gt;0)*(N('Dvd Calendar'!$T$1335)&lt;=VAL_SERIAL)*1000000+21*1000+16))</f>
        <v/>
      </c>
      <c r="EU136" s="121">
        <f>IF(N('Dvd Calendar'!$U$1336)=0,"",IF(('Dvd Calendar'!$U$1336&gt;=GRID_FROM)*('Dvd Calendar'!$U$1336&lt;=GRID_TO)*((('Dvd Calendar'!$U$1336&lt;=VAL_DATE)+(COUNTIF('Dvd Calendar'!$E$1343:$AR$1343,'Dvd Calendar'!$U$1336)=0))&gt;0)=0,"",'Dvd Calendar'!$U$1336*1000000000+ISNUMBER('Dvd Calendar'!$U$1339)*100000000+('Dvd Calendar'!$U$1341=SPECIAL_LBL)*10000000+(N('Dvd Calendar'!$U$1335)&gt;0)*(N('Dvd Calendar'!$U$1335)&lt;=VAL_SERIAL)*1000000+21*1000+17))</f>
        <v/>
      </c>
      <c r="EV136" s="121">
        <f>IF(N('Dvd Calendar'!$V$1336)=0,"",IF(('Dvd Calendar'!$V$1336&gt;=GRID_FROM)*('Dvd Calendar'!$V$1336&lt;=GRID_TO)*((('Dvd Calendar'!$V$1336&lt;=VAL_DATE)+(COUNTIF('Dvd Calendar'!$E$1343:$AR$1343,'Dvd Calendar'!$V$1336)=0))&gt;0)=0,"",'Dvd Calendar'!$V$1336*1000000000+ISNUMBER('Dvd Calendar'!$V$1339)*100000000+('Dvd Calendar'!$V$1341=SPECIAL_LBL)*10000000+(N('Dvd Calendar'!$V$1335)&gt;0)*(N('Dvd Calendar'!$V$1335)&lt;=VAL_SERIAL)*1000000+21*1000+18))</f>
        <v/>
      </c>
      <c r="EW136" s="121">
        <f>IF(N('Dvd Calendar'!$W$1336)=0,"",IF(('Dvd Calendar'!$W$1336&gt;=GRID_FROM)*('Dvd Calendar'!$W$1336&lt;=GRID_TO)*((('Dvd Calendar'!$W$1336&lt;=VAL_DATE)+(COUNTIF('Dvd Calendar'!$E$1343:$AR$1343,'Dvd Calendar'!$W$1336)=0))&gt;0)=0,"",'Dvd Calendar'!$W$1336*1000000000+ISNUMBER('Dvd Calendar'!$W$1339)*100000000+('Dvd Calendar'!$W$1341=SPECIAL_LBL)*10000000+(N('Dvd Calendar'!$W$1335)&gt;0)*(N('Dvd Calendar'!$W$1335)&lt;=VAL_SERIAL)*1000000+21*1000+19))</f>
        <v/>
      </c>
      <c r="EX136" s="121">
        <f>IF(N('Dvd Calendar'!$X$1336)=0,"",IF(('Dvd Calendar'!$X$1336&gt;=GRID_FROM)*('Dvd Calendar'!$X$1336&lt;=GRID_TO)*((('Dvd Calendar'!$X$1336&lt;=VAL_DATE)+(COUNTIF('Dvd Calendar'!$E$1343:$AR$1343,'Dvd Calendar'!$X$1336)=0))&gt;0)=0,"",'Dvd Calendar'!$X$1336*1000000000+ISNUMBER('Dvd Calendar'!$X$1339)*100000000+('Dvd Calendar'!$X$1341=SPECIAL_LBL)*10000000+(N('Dvd Calendar'!$X$1335)&gt;0)*(N('Dvd Calendar'!$X$1335)&lt;=VAL_SERIAL)*1000000+21*1000+20))</f>
        <v/>
      </c>
      <c r="EY136" s="121">
        <f>IF(N('Dvd Calendar'!$Y$1336)=0,"",IF(('Dvd Calendar'!$Y$1336&gt;=GRID_FROM)*('Dvd Calendar'!$Y$1336&lt;=GRID_TO)*((('Dvd Calendar'!$Y$1336&lt;=VAL_DATE)+(COUNTIF('Dvd Calendar'!$E$1343:$AR$1343,'Dvd Calendar'!$Y$1336)=0))&gt;0)=0,"",'Dvd Calendar'!$Y$1336*1000000000+ISNUMBER('Dvd Calendar'!$Y$1339)*100000000+('Dvd Calendar'!$Y$1341=SPECIAL_LBL)*10000000+(N('Dvd Calendar'!$Y$1335)&gt;0)*(N('Dvd Calendar'!$Y$1335)&lt;=VAL_SERIAL)*1000000+21*1000+21))</f>
        <v/>
      </c>
      <c r="EZ136" s="121">
        <f>IF(N('Dvd Calendar'!$Z$1336)=0,"",IF(('Dvd Calendar'!$Z$1336&gt;=GRID_FROM)*('Dvd Calendar'!$Z$1336&lt;=GRID_TO)*((('Dvd Calendar'!$Z$1336&lt;=VAL_DATE)+(COUNTIF('Dvd Calendar'!$E$1343:$AR$1343,'Dvd Calendar'!$Z$1336)=0))&gt;0)=0,"",'Dvd Calendar'!$Z$1336*1000000000+ISNUMBER('Dvd Calendar'!$Z$1339)*100000000+('Dvd Calendar'!$Z$1341=SPECIAL_LBL)*10000000+(N('Dvd Calendar'!$Z$1335)&gt;0)*(N('Dvd Calendar'!$Z$1335)&lt;=VAL_SERIAL)*1000000+21*1000+22))</f>
        <v/>
      </c>
      <c r="FA136" s="121">
        <f>IF(N('Dvd Calendar'!$AA$1336)=0,"",IF(('Dvd Calendar'!$AA$1336&gt;=GRID_FROM)*('Dvd Calendar'!$AA$1336&lt;=GRID_TO)*((('Dvd Calendar'!$AA$1336&lt;=VAL_DATE)+(COUNTIF('Dvd Calendar'!$E$1343:$AR$1343,'Dvd Calendar'!$AA$1336)=0))&gt;0)=0,"",'Dvd Calendar'!$AA$1336*1000000000+ISNUMBER('Dvd Calendar'!$AA$1339)*100000000+('Dvd Calendar'!$AA$1341=SPECIAL_LBL)*10000000+(N('Dvd Calendar'!$AA$1335)&gt;0)*(N('Dvd Calendar'!$AA$1335)&lt;=VAL_SERIAL)*1000000+21*1000+23))</f>
        <v/>
      </c>
      <c r="FB136" s="121">
        <f>IF(N('Dvd Calendar'!$AB$1336)=0,"",IF(('Dvd Calendar'!$AB$1336&gt;=GRID_FROM)*('Dvd Calendar'!$AB$1336&lt;=GRID_TO)*((('Dvd Calendar'!$AB$1336&lt;=VAL_DATE)+(COUNTIF('Dvd Calendar'!$E$1343:$AR$1343,'Dvd Calendar'!$AB$1336)=0))&gt;0)=0,"",'Dvd Calendar'!$AB$1336*1000000000+ISNUMBER('Dvd Calendar'!$AB$1339)*100000000+('Dvd Calendar'!$AB$1341=SPECIAL_LBL)*10000000+(N('Dvd Calendar'!$AB$1335)&gt;0)*(N('Dvd Calendar'!$AB$1335)&lt;=VAL_SERIAL)*1000000+21*1000+24))</f>
        <v/>
      </c>
      <c r="FC136" s="121">
        <f>IF(N('Dvd Calendar'!$AC$1336)=0,"",IF(('Dvd Calendar'!$AC$1336&gt;=GRID_FROM)*('Dvd Calendar'!$AC$1336&lt;=GRID_TO)*((('Dvd Calendar'!$AC$1336&lt;=VAL_DATE)+(COUNTIF('Dvd Calendar'!$E$1343:$AR$1343,'Dvd Calendar'!$AC$1336)=0))&gt;0)=0,"",'Dvd Calendar'!$AC$1336*1000000000+ISNUMBER('Dvd Calendar'!$AC$1339)*100000000+('Dvd Calendar'!$AC$1341=SPECIAL_LBL)*10000000+(N('Dvd Calendar'!$AC$1335)&gt;0)*(N('Dvd Calendar'!$AC$1335)&lt;=VAL_SERIAL)*1000000+21*1000+25))</f>
        <v/>
      </c>
      <c r="FD136" s="121">
        <f>IF(N('Dvd Calendar'!$AD$1336)=0,"",IF(('Dvd Calendar'!$AD$1336&gt;=GRID_FROM)*('Dvd Calendar'!$AD$1336&lt;=GRID_TO)*((('Dvd Calendar'!$AD$1336&lt;=VAL_DATE)+(COUNTIF('Dvd Calendar'!$E$1343:$AR$1343,'Dvd Calendar'!$AD$1336)=0))&gt;0)=0,"",'Dvd Calendar'!$AD$1336*1000000000+ISNUMBER('Dvd Calendar'!$AD$1339)*100000000+('Dvd Calendar'!$AD$1341=SPECIAL_LBL)*10000000+(N('Dvd Calendar'!$AD$1335)&gt;0)*(N('Dvd Calendar'!$AD$1335)&lt;=VAL_SERIAL)*1000000+21*1000+26))</f>
        <v/>
      </c>
      <c r="FE136" s="121">
        <f>IF(N('Dvd Calendar'!$AE$1336)=0,"",IF(('Dvd Calendar'!$AE$1336&gt;=GRID_FROM)*('Dvd Calendar'!$AE$1336&lt;=GRID_TO)*((('Dvd Calendar'!$AE$1336&lt;=VAL_DATE)+(COUNTIF('Dvd Calendar'!$E$1343:$AR$1343,'Dvd Calendar'!$AE$1336)=0))&gt;0)=0,"",'Dvd Calendar'!$AE$1336*1000000000+ISNUMBER('Dvd Calendar'!$AE$1339)*100000000+('Dvd Calendar'!$AE$1341=SPECIAL_LBL)*10000000+(N('Dvd Calendar'!$AE$1335)&gt;0)*(N('Dvd Calendar'!$AE$1335)&lt;=VAL_SERIAL)*1000000+21*1000+27))</f>
        <v/>
      </c>
      <c r="FF136" s="121">
        <f>IF(N('Dvd Calendar'!$AF$1336)=0,"",IF(('Dvd Calendar'!$AF$1336&gt;=GRID_FROM)*('Dvd Calendar'!$AF$1336&lt;=GRID_TO)*((('Dvd Calendar'!$AF$1336&lt;=VAL_DATE)+(COUNTIF('Dvd Calendar'!$E$1343:$AR$1343,'Dvd Calendar'!$AF$1336)=0))&gt;0)=0,"",'Dvd Calendar'!$AF$1336*1000000000+ISNUMBER('Dvd Calendar'!$AF$1339)*100000000+('Dvd Calendar'!$AF$1341=SPECIAL_LBL)*10000000+(N('Dvd Calendar'!$AF$1335)&gt;0)*(N('Dvd Calendar'!$AF$1335)&lt;=VAL_SERIAL)*1000000+21*1000+28))</f>
        <v/>
      </c>
      <c r="FG136" s="121">
        <f>IF(N('Dvd Calendar'!$AG$1336)=0,"",IF(('Dvd Calendar'!$AG$1336&gt;=GRID_FROM)*('Dvd Calendar'!$AG$1336&lt;=GRID_TO)*((('Dvd Calendar'!$AG$1336&lt;=VAL_DATE)+(COUNTIF('Dvd Calendar'!$E$1343:$AR$1343,'Dvd Calendar'!$AG$1336)=0))&gt;0)=0,"",'Dvd Calendar'!$AG$1336*1000000000+ISNUMBER('Dvd Calendar'!$AG$1339)*100000000+('Dvd Calendar'!$AG$1341=SPECIAL_LBL)*10000000+(N('Dvd Calendar'!$AG$1335)&gt;0)*(N('Dvd Calendar'!$AG$1335)&lt;=VAL_SERIAL)*1000000+21*1000+29))</f>
        <v/>
      </c>
      <c r="FH136" s="121">
        <f>IF(N('Dvd Calendar'!$AH$1336)=0,"",IF(('Dvd Calendar'!$AH$1336&gt;=GRID_FROM)*('Dvd Calendar'!$AH$1336&lt;=GRID_TO)*((('Dvd Calendar'!$AH$1336&lt;=VAL_DATE)+(COUNTIF('Dvd Calendar'!$E$1343:$AR$1343,'Dvd Calendar'!$AH$1336)=0))&gt;0)=0,"",'Dvd Calendar'!$AH$1336*1000000000+ISNUMBER('Dvd Calendar'!$AH$1339)*100000000+('Dvd Calendar'!$AH$1341=SPECIAL_LBL)*10000000+(N('Dvd Calendar'!$AH$1335)&gt;0)*(N('Dvd Calendar'!$AH$1335)&lt;=VAL_SERIAL)*1000000+21*1000+30))</f>
        <v/>
      </c>
      <c r="FI136" s="121">
        <f>IF(N('Dvd Calendar'!$AI$1336)=0,"",IF(('Dvd Calendar'!$AI$1336&gt;=GRID_FROM)*('Dvd Calendar'!$AI$1336&lt;=GRID_TO)*((('Dvd Calendar'!$AI$1336&lt;=VAL_DATE)+(COUNTIF('Dvd Calendar'!$E$1343:$AR$1343,'Dvd Calendar'!$AI$1336)=0))&gt;0)=0,"",'Dvd Calendar'!$AI$1336*1000000000+ISNUMBER('Dvd Calendar'!$AI$1339)*100000000+('Dvd Calendar'!$AI$1341=SPECIAL_LBL)*10000000+(N('Dvd Calendar'!$AI$1335)&gt;0)*(N('Dvd Calendar'!$AI$1335)&lt;=VAL_SERIAL)*1000000+21*1000+31))</f>
        <v/>
      </c>
      <c r="FJ136" s="121">
        <f>IF(N('Dvd Calendar'!$AJ$1336)=0,"",IF(('Dvd Calendar'!$AJ$1336&gt;=GRID_FROM)*('Dvd Calendar'!$AJ$1336&lt;=GRID_TO)*((('Dvd Calendar'!$AJ$1336&lt;=VAL_DATE)+(COUNTIF('Dvd Calendar'!$E$1343:$AR$1343,'Dvd Calendar'!$AJ$1336)=0))&gt;0)=0,"",'Dvd Calendar'!$AJ$1336*1000000000+ISNUMBER('Dvd Calendar'!$AJ$1339)*100000000+('Dvd Calendar'!$AJ$1341=SPECIAL_LBL)*10000000+(N('Dvd Calendar'!$AJ$1335)&gt;0)*(N('Dvd Calendar'!$AJ$1335)&lt;=VAL_SERIAL)*1000000+21*1000+32))</f>
        <v/>
      </c>
      <c r="FK136" s="121">
        <f>IF(N('Dvd Calendar'!$AK$1336)=0,"",IF(('Dvd Calendar'!$AK$1336&gt;=GRID_FROM)*('Dvd Calendar'!$AK$1336&lt;=GRID_TO)*((('Dvd Calendar'!$AK$1336&lt;=VAL_DATE)+(COUNTIF('Dvd Calendar'!$E$1343:$AR$1343,'Dvd Calendar'!$AK$1336)=0))&gt;0)=0,"",'Dvd Calendar'!$AK$1336*1000000000+ISNUMBER('Dvd Calendar'!$AK$1339)*100000000+('Dvd Calendar'!$AK$1341=SPECIAL_LBL)*10000000+(N('Dvd Calendar'!$AK$1335)&gt;0)*(N('Dvd Calendar'!$AK$1335)&lt;=VAL_SERIAL)*1000000+21*1000+33))</f>
        <v/>
      </c>
      <c r="FL136" s="121">
        <f>IF(N('Dvd Calendar'!$AL$1336)=0,"",IF(('Dvd Calendar'!$AL$1336&gt;=GRID_FROM)*('Dvd Calendar'!$AL$1336&lt;=GRID_TO)*((('Dvd Calendar'!$AL$1336&lt;=VAL_DATE)+(COUNTIF('Dvd Calendar'!$E$1343:$AR$1343,'Dvd Calendar'!$AL$1336)=0))&gt;0)=0,"",'Dvd Calendar'!$AL$1336*1000000000+ISNUMBER('Dvd Calendar'!$AL$1339)*100000000+('Dvd Calendar'!$AL$1341=SPECIAL_LBL)*10000000+(N('Dvd Calendar'!$AL$1335)&gt;0)*(N('Dvd Calendar'!$AL$1335)&lt;=VAL_SERIAL)*1000000+21*1000+34))</f>
        <v/>
      </c>
      <c r="FM136" s="121">
        <f>IF(N('Dvd Calendar'!$AM$1336)=0,"",IF(('Dvd Calendar'!$AM$1336&gt;=GRID_FROM)*('Dvd Calendar'!$AM$1336&lt;=GRID_TO)*((('Dvd Calendar'!$AM$1336&lt;=VAL_DATE)+(COUNTIF('Dvd Calendar'!$E$1343:$AR$1343,'Dvd Calendar'!$AM$1336)=0))&gt;0)=0,"",'Dvd Calendar'!$AM$1336*1000000000+ISNUMBER('Dvd Calendar'!$AM$1339)*100000000+('Dvd Calendar'!$AM$1341=SPECIAL_LBL)*10000000+(N('Dvd Calendar'!$AM$1335)&gt;0)*(N('Dvd Calendar'!$AM$1335)&lt;=VAL_SERIAL)*1000000+21*1000+35))</f>
        <v/>
      </c>
      <c r="FN136" s="121">
        <f>IF(N('Dvd Calendar'!$AN$1336)=0,"",IF(('Dvd Calendar'!$AN$1336&gt;=GRID_FROM)*('Dvd Calendar'!$AN$1336&lt;=GRID_TO)*((('Dvd Calendar'!$AN$1336&lt;=VAL_DATE)+(COUNTIF('Dvd Calendar'!$E$1343:$AR$1343,'Dvd Calendar'!$AN$1336)=0))&gt;0)=0,"",'Dvd Calendar'!$AN$1336*1000000000+ISNUMBER('Dvd Calendar'!$AN$1339)*100000000+('Dvd Calendar'!$AN$1341=SPECIAL_LBL)*10000000+(N('Dvd Calendar'!$AN$1335)&gt;0)*(N('Dvd Calendar'!$AN$1335)&lt;=VAL_SERIAL)*1000000+21*1000+36))</f>
        <v/>
      </c>
      <c r="FO136" s="121">
        <f>IF(N('Dvd Calendar'!$AO$1336)=0,"",IF(('Dvd Calendar'!$AO$1336&gt;=GRID_FROM)*('Dvd Calendar'!$AO$1336&lt;=GRID_TO)*((('Dvd Calendar'!$AO$1336&lt;=VAL_DATE)+(COUNTIF('Dvd Calendar'!$E$1343:$AR$1343,'Dvd Calendar'!$AO$1336)=0))&gt;0)=0,"",'Dvd Calendar'!$AO$1336*1000000000+ISNUMBER('Dvd Calendar'!$AO$1339)*100000000+('Dvd Calendar'!$AO$1341=SPECIAL_LBL)*10000000+(N('Dvd Calendar'!$AO$1335)&gt;0)*(N('Dvd Calendar'!$AO$1335)&lt;=VAL_SERIAL)*1000000+21*1000+37))</f>
        <v/>
      </c>
      <c r="FP136" s="121">
        <f>IF(N('Dvd Calendar'!$AP$1336)=0,"",IF(('Dvd Calendar'!$AP$1336&gt;=GRID_FROM)*('Dvd Calendar'!$AP$1336&lt;=GRID_TO)*((('Dvd Calendar'!$AP$1336&lt;=VAL_DATE)+(COUNTIF('Dvd Calendar'!$E$1343:$AR$1343,'Dvd Calendar'!$AP$1336)=0))&gt;0)=0,"",'Dvd Calendar'!$AP$1336*1000000000+ISNUMBER('Dvd Calendar'!$AP$1339)*100000000+('Dvd Calendar'!$AP$1341=SPECIAL_LBL)*10000000+(N('Dvd Calendar'!$AP$1335)&gt;0)*(N('Dvd Calendar'!$AP$1335)&lt;=VAL_SERIAL)*1000000+21*1000+38))</f>
        <v/>
      </c>
      <c r="FQ136" s="121">
        <f>IF(N('Dvd Calendar'!$AQ$1336)=0,"",IF(('Dvd Calendar'!$AQ$1336&gt;=GRID_FROM)*('Dvd Calendar'!$AQ$1336&lt;=GRID_TO)*((('Dvd Calendar'!$AQ$1336&lt;=VAL_DATE)+(COUNTIF('Dvd Calendar'!$E$1343:$AR$1343,'Dvd Calendar'!$AQ$1336)=0))&gt;0)=0,"",'Dvd Calendar'!$AQ$1336*1000000000+ISNUMBER('Dvd Calendar'!$AQ$1339)*100000000+('Dvd Calendar'!$AQ$1341=SPECIAL_LBL)*10000000+(N('Dvd Calendar'!$AQ$1335)&gt;0)*(N('Dvd Calendar'!$AQ$1335)&lt;=VAL_SERIAL)*1000000+21*1000+39))</f>
        <v/>
      </c>
      <c r="FR136" s="121">
        <f>IF(N('Dvd Calendar'!$AR$1336)=0,"",IF(('Dvd Calendar'!$AR$1336&gt;=GRID_FROM)*('Dvd Calendar'!$AR$1336&lt;=GRID_TO)*((('Dvd Calendar'!$AR$1336&lt;=VAL_DATE)+(COUNTIF('Dvd Calendar'!$E$1343:$AR$1343,'Dvd Calendar'!$AR$1336)=0))&gt;0)=0,"",'Dvd Calendar'!$AR$1336*1000000000+ISNUMBER('Dvd Calendar'!$AR$1339)*100000000+('Dvd Calendar'!$AR$1341=SPECIAL_LBL)*10000000+(N('Dvd Calendar'!$AR$1335)&gt;0)*(N('Dvd Calendar'!$AR$1335)&lt;=VAL_SERIAL)*1000000+21*1000+40))</f>
        <v/>
      </c>
      <c r="FS136" s="121">
        <f>IF(N('Dvd Calendar'!$E$1343)=0,"",IF(('Dvd Calendar'!$E$1343&gt;=GRID_FROM)*('Dvd Calendar'!$E$1343&lt;=GRID_TO)*('Dvd Calendar'!$E$1343&gt;VAL_DATE)=0,"",'Dvd Calendar'!$E$1343*1000000000+ISNUMBER('Dvd Calendar'!$E$1344)*100000000+0*10000000+(N('Dvd Calendar'!$E$1342)&gt;0)*(N('Dvd Calendar'!$E$1342)&lt;=VAL_SERIAL)*1000000+21*1000+41))</f>
        <v/>
      </c>
      <c r="FT136" s="121">
        <f>IF(N('Dvd Calendar'!$F$1343)=0,"",IF(('Dvd Calendar'!$F$1343&gt;=GRID_FROM)*('Dvd Calendar'!$F$1343&lt;=GRID_TO)*('Dvd Calendar'!$F$1343&gt;VAL_DATE)=0,"",'Dvd Calendar'!$F$1343*1000000000+ISNUMBER('Dvd Calendar'!$F$1344)*100000000+0*10000000+(N('Dvd Calendar'!$F$1342)&gt;0)*(N('Dvd Calendar'!$F$1342)&lt;=VAL_SERIAL)*1000000+21*1000+42))</f>
        <v/>
      </c>
      <c r="FU136" s="121">
        <f>IF(N('Dvd Calendar'!$G$1343)=0,"",IF(('Dvd Calendar'!$G$1343&gt;=GRID_FROM)*('Dvd Calendar'!$G$1343&lt;=GRID_TO)*('Dvd Calendar'!$G$1343&gt;VAL_DATE)=0,"",'Dvd Calendar'!$G$1343*1000000000+ISNUMBER('Dvd Calendar'!$G$1344)*100000000+0*10000000+(N('Dvd Calendar'!$G$1342)&gt;0)*(N('Dvd Calendar'!$G$1342)&lt;=VAL_SERIAL)*1000000+21*1000+43))</f>
        <v/>
      </c>
      <c r="FV136" s="121">
        <f>IF(N('Dvd Calendar'!$H$1343)=0,"",IF(('Dvd Calendar'!$H$1343&gt;=GRID_FROM)*('Dvd Calendar'!$H$1343&lt;=GRID_TO)*('Dvd Calendar'!$H$1343&gt;VAL_DATE)=0,"",'Dvd Calendar'!$H$1343*1000000000+ISNUMBER('Dvd Calendar'!$H$1344)*100000000+0*10000000+(N('Dvd Calendar'!$H$1342)&gt;0)*(N('Dvd Calendar'!$H$1342)&lt;=VAL_SERIAL)*1000000+21*1000+44))</f>
        <v/>
      </c>
      <c r="FW136" s="121">
        <f>IF(N('Dvd Calendar'!$I$1343)=0,"",IF(('Dvd Calendar'!$I$1343&gt;=GRID_FROM)*('Dvd Calendar'!$I$1343&lt;=GRID_TO)*('Dvd Calendar'!$I$1343&gt;VAL_DATE)=0,"",'Dvd Calendar'!$I$1343*1000000000+ISNUMBER('Dvd Calendar'!$I$1344)*100000000+0*10000000+(N('Dvd Calendar'!$I$1342)&gt;0)*(N('Dvd Calendar'!$I$1342)&lt;=VAL_SERIAL)*1000000+21*1000+45))</f>
        <v/>
      </c>
      <c r="FX136" s="121">
        <f>IF(N('Dvd Calendar'!$J$1343)=0,"",IF(('Dvd Calendar'!$J$1343&gt;=GRID_FROM)*('Dvd Calendar'!$J$1343&lt;=GRID_TO)*('Dvd Calendar'!$J$1343&gt;VAL_DATE)=0,"",'Dvd Calendar'!$J$1343*1000000000+ISNUMBER('Dvd Calendar'!$J$1344)*100000000+0*10000000+(N('Dvd Calendar'!$J$1342)&gt;0)*(N('Dvd Calendar'!$J$1342)&lt;=VAL_SERIAL)*1000000+21*1000+46))</f>
        <v/>
      </c>
      <c r="FY136" s="121">
        <f>IF(N('Dvd Calendar'!$K$1343)=0,"",IF(('Dvd Calendar'!$K$1343&gt;=GRID_FROM)*('Dvd Calendar'!$K$1343&lt;=GRID_TO)*('Dvd Calendar'!$K$1343&gt;VAL_DATE)=0,"",'Dvd Calendar'!$K$1343*1000000000+ISNUMBER('Dvd Calendar'!$K$1344)*100000000+0*10000000+(N('Dvd Calendar'!$K$1342)&gt;0)*(N('Dvd Calendar'!$K$1342)&lt;=VAL_SERIAL)*1000000+21*1000+47))</f>
        <v/>
      </c>
      <c r="FZ136" s="121">
        <f>IF(N('Dvd Calendar'!$L$1343)=0,"",IF(('Dvd Calendar'!$L$1343&gt;=GRID_FROM)*('Dvd Calendar'!$L$1343&lt;=GRID_TO)*('Dvd Calendar'!$L$1343&gt;VAL_DATE)=0,"",'Dvd Calendar'!$L$1343*1000000000+ISNUMBER('Dvd Calendar'!$L$1344)*100000000+0*10000000+(N('Dvd Calendar'!$L$1342)&gt;0)*(N('Dvd Calendar'!$L$1342)&lt;=VAL_SERIAL)*1000000+21*1000+48))</f>
        <v/>
      </c>
      <c r="GA136" s="121">
        <f>IF(N('Dvd Calendar'!$M$1343)=0,"",IF(('Dvd Calendar'!$M$1343&gt;=GRID_FROM)*('Dvd Calendar'!$M$1343&lt;=GRID_TO)*('Dvd Calendar'!$M$1343&gt;VAL_DATE)=0,"",'Dvd Calendar'!$M$1343*1000000000+ISNUMBER('Dvd Calendar'!$M$1344)*100000000+0*10000000+(N('Dvd Calendar'!$M$1342)&gt;0)*(N('Dvd Calendar'!$M$1342)&lt;=VAL_SERIAL)*1000000+21*1000+49))</f>
        <v/>
      </c>
      <c r="GB136" s="121">
        <f>IF(N('Dvd Calendar'!$N$1343)=0,"",IF(('Dvd Calendar'!$N$1343&gt;=GRID_FROM)*('Dvd Calendar'!$N$1343&lt;=GRID_TO)*('Dvd Calendar'!$N$1343&gt;VAL_DATE)=0,"",'Dvd Calendar'!$N$1343*1000000000+ISNUMBER('Dvd Calendar'!$N$1344)*100000000+0*10000000+(N('Dvd Calendar'!$N$1342)&gt;0)*(N('Dvd Calendar'!$N$1342)&lt;=VAL_SERIAL)*1000000+21*1000+50))</f>
        <v/>
      </c>
      <c r="GC136" s="121">
        <f>IF(N('Dvd Calendar'!$O$1343)=0,"",IF(('Dvd Calendar'!$O$1343&gt;=GRID_FROM)*('Dvd Calendar'!$O$1343&lt;=GRID_TO)*('Dvd Calendar'!$O$1343&gt;VAL_DATE)=0,"",'Dvd Calendar'!$O$1343*1000000000+ISNUMBER('Dvd Calendar'!$O$1344)*100000000+0*10000000+(N('Dvd Calendar'!$O$1342)&gt;0)*(N('Dvd Calendar'!$O$1342)&lt;=VAL_SERIAL)*1000000+21*1000+51))</f>
        <v/>
      </c>
      <c r="GD136" s="121">
        <f>IF(N('Dvd Calendar'!$P$1343)=0,"",IF(('Dvd Calendar'!$P$1343&gt;=GRID_FROM)*('Dvd Calendar'!$P$1343&lt;=GRID_TO)*('Dvd Calendar'!$P$1343&gt;VAL_DATE)=0,"",'Dvd Calendar'!$P$1343*1000000000+ISNUMBER('Dvd Calendar'!$P$1344)*100000000+0*10000000+(N('Dvd Calendar'!$P$1342)&gt;0)*(N('Dvd Calendar'!$P$1342)&lt;=VAL_SERIAL)*1000000+21*1000+52))</f>
        <v/>
      </c>
      <c r="GE136" s="121">
        <f>IF(N('Dvd Calendar'!$Q$1343)=0,"",IF(('Dvd Calendar'!$Q$1343&gt;=GRID_FROM)*('Dvd Calendar'!$Q$1343&lt;=GRID_TO)*('Dvd Calendar'!$Q$1343&gt;VAL_DATE)=0,"",'Dvd Calendar'!$Q$1343*1000000000+ISNUMBER('Dvd Calendar'!$Q$1344)*100000000+0*10000000+(N('Dvd Calendar'!$Q$1342)&gt;0)*(N('Dvd Calendar'!$Q$1342)&lt;=VAL_SERIAL)*1000000+21*1000+53))</f>
        <v/>
      </c>
      <c r="GF136" s="121">
        <f>IF(N('Dvd Calendar'!$R$1343)=0,"",IF(('Dvd Calendar'!$R$1343&gt;=GRID_FROM)*('Dvd Calendar'!$R$1343&lt;=GRID_TO)*('Dvd Calendar'!$R$1343&gt;VAL_DATE)=0,"",'Dvd Calendar'!$R$1343*1000000000+ISNUMBER('Dvd Calendar'!$R$1344)*100000000+0*10000000+(N('Dvd Calendar'!$R$1342)&gt;0)*(N('Dvd Calendar'!$R$1342)&lt;=VAL_SERIAL)*1000000+21*1000+54))</f>
        <v/>
      </c>
      <c r="GG136" s="121">
        <f>IF(N('Dvd Calendar'!$S$1343)=0,"",IF(('Dvd Calendar'!$S$1343&gt;=GRID_FROM)*('Dvd Calendar'!$S$1343&lt;=GRID_TO)*('Dvd Calendar'!$S$1343&gt;VAL_DATE)=0,"",'Dvd Calendar'!$S$1343*1000000000+ISNUMBER('Dvd Calendar'!$S$1344)*100000000+0*10000000+(N('Dvd Calendar'!$S$1342)&gt;0)*(N('Dvd Calendar'!$S$1342)&lt;=VAL_SERIAL)*1000000+21*1000+55))</f>
        <v/>
      </c>
      <c r="GH136" s="121">
        <f>IF(N('Dvd Calendar'!$T$1343)=0,"",IF(('Dvd Calendar'!$T$1343&gt;=GRID_FROM)*('Dvd Calendar'!$T$1343&lt;=GRID_TO)*('Dvd Calendar'!$T$1343&gt;VAL_DATE)=0,"",'Dvd Calendar'!$T$1343*1000000000+ISNUMBER('Dvd Calendar'!$T$1344)*100000000+0*10000000+(N('Dvd Calendar'!$T$1342)&gt;0)*(N('Dvd Calendar'!$T$1342)&lt;=VAL_SERIAL)*1000000+21*1000+56))</f>
        <v/>
      </c>
      <c r="GI136" s="121">
        <f>IF(N('Dvd Calendar'!$U$1343)=0,"",IF(('Dvd Calendar'!$U$1343&gt;=GRID_FROM)*('Dvd Calendar'!$U$1343&lt;=GRID_TO)*('Dvd Calendar'!$U$1343&gt;VAL_DATE)=0,"",'Dvd Calendar'!$U$1343*1000000000+ISNUMBER('Dvd Calendar'!$U$1344)*100000000+0*10000000+(N('Dvd Calendar'!$U$1342)&gt;0)*(N('Dvd Calendar'!$U$1342)&lt;=VAL_SERIAL)*1000000+21*1000+57))</f>
        <v/>
      </c>
      <c r="GJ136" s="121">
        <f>IF(N('Dvd Calendar'!$V$1343)=0,"",IF(('Dvd Calendar'!$V$1343&gt;=GRID_FROM)*('Dvd Calendar'!$V$1343&lt;=GRID_TO)*('Dvd Calendar'!$V$1343&gt;VAL_DATE)=0,"",'Dvd Calendar'!$V$1343*1000000000+ISNUMBER('Dvd Calendar'!$V$1344)*100000000+0*10000000+(N('Dvd Calendar'!$V$1342)&gt;0)*(N('Dvd Calendar'!$V$1342)&lt;=VAL_SERIAL)*1000000+21*1000+58))</f>
        <v/>
      </c>
      <c r="GK136" s="121">
        <f>IF(N('Dvd Calendar'!$W$1343)=0,"",IF(('Dvd Calendar'!$W$1343&gt;=GRID_FROM)*('Dvd Calendar'!$W$1343&lt;=GRID_TO)*('Dvd Calendar'!$W$1343&gt;VAL_DATE)=0,"",'Dvd Calendar'!$W$1343*1000000000+ISNUMBER('Dvd Calendar'!$W$1344)*100000000+0*10000000+(N('Dvd Calendar'!$W$1342)&gt;0)*(N('Dvd Calendar'!$W$1342)&lt;=VAL_SERIAL)*1000000+21*1000+59))</f>
        <v/>
      </c>
      <c r="GL136" s="121">
        <f>IF(N('Dvd Calendar'!$X$1343)=0,"",IF(('Dvd Calendar'!$X$1343&gt;=GRID_FROM)*('Dvd Calendar'!$X$1343&lt;=GRID_TO)*('Dvd Calendar'!$X$1343&gt;VAL_DATE)=0,"",'Dvd Calendar'!$X$1343*1000000000+ISNUMBER('Dvd Calendar'!$X$1344)*100000000+0*10000000+(N('Dvd Calendar'!$X$1342)&gt;0)*(N('Dvd Calendar'!$X$1342)&lt;=VAL_SERIAL)*1000000+21*1000+60))</f>
        <v/>
      </c>
      <c r="GM136" s="121">
        <f>IF(N('Dvd Calendar'!$Y$1343)=0,"",IF(('Dvd Calendar'!$Y$1343&gt;=GRID_FROM)*('Dvd Calendar'!$Y$1343&lt;=GRID_TO)*('Dvd Calendar'!$Y$1343&gt;VAL_DATE)=0,"",'Dvd Calendar'!$Y$1343*1000000000+ISNUMBER('Dvd Calendar'!$Y$1344)*100000000+0*10000000+(N('Dvd Calendar'!$Y$1342)&gt;0)*(N('Dvd Calendar'!$Y$1342)&lt;=VAL_SERIAL)*1000000+21*1000+61))</f>
        <v/>
      </c>
      <c r="GN136" s="121">
        <f>IF(N('Dvd Calendar'!$Z$1343)=0,"",IF(('Dvd Calendar'!$Z$1343&gt;=GRID_FROM)*('Dvd Calendar'!$Z$1343&lt;=GRID_TO)*('Dvd Calendar'!$Z$1343&gt;VAL_DATE)=0,"",'Dvd Calendar'!$Z$1343*1000000000+ISNUMBER('Dvd Calendar'!$Z$1344)*100000000+0*10000000+(N('Dvd Calendar'!$Z$1342)&gt;0)*(N('Dvd Calendar'!$Z$1342)&lt;=VAL_SERIAL)*1000000+21*1000+62))</f>
        <v/>
      </c>
      <c r="GO136" s="121">
        <f>IF(N('Dvd Calendar'!$AA$1343)=0,"",IF(('Dvd Calendar'!$AA$1343&gt;=GRID_FROM)*('Dvd Calendar'!$AA$1343&lt;=GRID_TO)*('Dvd Calendar'!$AA$1343&gt;VAL_DATE)=0,"",'Dvd Calendar'!$AA$1343*1000000000+ISNUMBER('Dvd Calendar'!$AA$1344)*100000000+0*10000000+(N('Dvd Calendar'!$AA$1342)&gt;0)*(N('Dvd Calendar'!$AA$1342)&lt;=VAL_SERIAL)*1000000+21*1000+63))</f>
        <v/>
      </c>
      <c r="GP136" s="121">
        <f>IF(N('Dvd Calendar'!$AB$1343)=0,"",IF(('Dvd Calendar'!$AB$1343&gt;=GRID_FROM)*('Dvd Calendar'!$AB$1343&lt;=GRID_TO)*('Dvd Calendar'!$AB$1343&gt;VAL_DATE)=0,"",'Dvd Calendar'!$AB$1343*1000000000+ISNUMBER('Dvd Calendar'!$AB$1344)*100000000+0*10000000+(N('Dvd Calendar'!$AB$1342)&gt;0)*(N('Dvd Calendar'!$AB$1342)&lt;=VAL_SERIAL)*1000000+21*1000+64))</f>
        <v/>
      </c>
      <c r="GQ136" s="121">
        <f>IF(N('Dvd Calendar'!$AC$1343)=0,"",IF(('Dvd Calendar'!$AC$1343&gt;=GRID_FROM)*('Dvd Calendar'!$AC$1343&lt;=GRID_TO)*('Dvd Calendar'!$AC$1343&gt;VAL_DATE)=0,"",'Dvd Calendar'!$AC$1343*1000000000+ISNUMBER('Dvd Calendar'!$AC$1344)*100000000+0*10000000+(N('Dvd Calendar'!$AC$1342)&gt;0)*(N('Dvd Calendar'!$AC$1342)&lt;=VAL_SERIAL)*1000000+21*1000+65))</f>
        <v/>
      </c>
    </row>
    <row r="137">
      <c r="B137" s="2">
        <f>IF(HSTECH!$C$28="","",HSTECH!$C$28)</f>
        <v/>
      </c>
      <c r="C137" s="161">
        <f>IF(EE137="","",IF(ISNUMBER('Dvd Calendar'!$E$1350)=FALSE,"",IF((('Dvd Calendar'!$E$1352=TYPE1)*(TYPE1&lt;&gt;"")+('Dvd Calendar'!$E$1352=TYPE2)*(TYPE2&lt;&gt;"")+('Dvd Calendar'!$E$1352=TYPE3)*(TYPE3&lt;&gt;"")+('Dvd Calendar'!$E$1352=TYPE4)*(TYPE4&lt;&gt;"")+('Dvd Calendar'!$E$1352=SPECIAL_LBL)*(INC_SPECIALS="Y"))=0,"",'Dvd Calendar'!$E$1350)))</f>
        <v/>
      </c>
      <c r="D137" s="161">
        <f>IF(EF137="","",IF(ISNUMBER('Dvd Calendar'!$F$1350)=FALSE,"",IF((('Dvd Calendar'!$F$1352=TYPE1)*(TYPE1&lt;&gt;"")+('Dvd Calendar'!$F$1352=TYPE2)*(TYPE2&lt;&gt;"")+('Dvd Calendar'!$F$1352=TYPE3)*(TYPE3&lt;&gt;"")+('Dvd Calendar'!$F$1352=TYPE4)*(TYPE4&lt;&gt;"")+('Dvd Calendar'!$F$1352=SPECIAL_LBL)*(INC_SPECIALS="Y"))=0,"",'Dvd Calendar'!$F$1350)))</f>
        <v/>
      </c>
      <c r="E137" s="161">
        <f>IF(EG137="","",IF(ISNUMBER('Dvd Calendar'!$G$1350)=FALSE,"",IF((('Dvd Calendar'!$G$1352=TYPE1)*(TYPE1&lt;&gt;"")+('Dvd Calendar'!$G$1352=TYPE2)*(TYPE2&lt;&gt;"")+('Dvd Calendar'!$G$1352=TYPE3)*(TYPE3&lt;&gt;"")+('Dvd Calendar'!$G$1352=TYPE4)*(TYPE4&lt;&gt;"")+('Dvd Calendar'!$G$1352=SPECIAL_LBL)*(INC_SPECIALS="Y"))=0,"",'Dvd Calendar'!$G$1350)))</f>
        <v/>
      </c>
      <c r="F137" s="161">
        <f>IF(EH137="","",IF(ISNUMBER('Dvd Calendar'!$H$1350)=FALSE,"",IF((('Dvd Calendar'!$H$1352=TYPE1)*(TYPE1&lt;&gt;"")+('Dvd Calendar'!$H$1352=TYPE2)*(TYPE2&lt;&gt;"")+('Dvd Calendar'!$H$1352=TYPE3)*(TYPE3&lt;&gt;"")+('Dvd Calendar'!$H$1352=TYPE4)*(TYPE4&lt;&gt;"")+('Dvd Calendar'!$H$1352=SPECIAL_LBL)*(INC_SPECIALS="Y"))=0,"",'Dvd Calendar'!$H$1350)))</f>
        <v/>
      </c>
      <c r="G137" s="161">
        <f>IF(EI137="","",IF(ISNUMBER('Dvd Calendar'!$I$1350)=FALSE,"",IF((('Dvd Calendar'!$I$1352=TYPE1)*(TYPE1&lt;&gt;"")+('Dvd Calendar'!$I$1352=TYPE2)*(TYPE2&lt;&gt;"")+('Dvd Calendar'!$I$1352=TYPE3)*(TYPE3&lt;&gt;"")+('Dvd Calendar'!$I$1352=TYPE4)*(TYPE4&lt;&gt;"")+('Dvd Calendar'!$I$1352=SPECIAL_LBL)*(INC_SPECIALS="Y"))=0,"",'Dvd Calendar'!$I$1350)))</f>
        <v/>
      </c>
      <c r="H137" s="161">
        <f>IF(EJ137="","",IF(ISNUMBER('Dvd Calendar'!$J$1350)=FALSE,"",IF((('Dvd Calendar'!$J$1352=TYPE1)*(TYPE1&lt;&gt;"")+('Dvd Calendar'!$J$1352=TYPE2)*(TYPE2&lt;&gt;"")+('Dvd Calendar'!$J$1352=TYPE3)*(TYPE3&lt;&gt;"")+('Dvd Calendar'!$J$1352=TYPE4)*(TYPE4&lt;&gt;"")+('Dvd Calendar'!$J$1352=SPECIAL_LBL)*(INC_SPECIALS="Y"))=0,"",'Dvd Calendar'!$J$1350)))</f>
        <v/>
      </c>
      <c r="I137" s="161">
        <f>IF(EK137="","",IF(ISNUMBER('Dvd Calendar'!$K$1350)=FALSE,"",IF((('Dvd Calendar'!$K$1352=TYPE1)*(TYPE1&lt;&gt;"")+('Dvd Calendar'!$K$1352=TYPE2)*(TYPE2&lt;&gt;"")+('Dvd Calendar'!$K$1352=TYPE3)*(TYPE3&lt;&gt;"")+('Dvd Calendar'!$K$1352=TYPE4)*(TYPE4&lt;&gt;"")+('Dvd Calendar'!$K$1352=SPECIAL_LBL)*(INC_SPECIALS="Y"))=0,"",'Dvd Calendar'!$K$1350)))</f>
        <v/>
      </c>
      <c r="J137" s="161">
        <f>IF(EL137="","",IF(ISNUMBER('Dvd Calendar'!$L$1350)=FALSE,"",IF((('Dvd Calendar'!$L$1352=TYPE1)*(TYPE1&lt;&gt;"")+('Dvd Calendar'!$L$1352=TYPE2)*(TYPE2&lt;&gt;"")+('Dvd Calendar'!$L$1352=TYPE3)*(TYPE3&lt;&gt;"")+('Dvd Calendar'!$L$1352=TYPE4)*(TYPE4&lt;&gt;"")+('Dvd Calendar'!$L$1352=SPECIAL_LBL)*(INC_SPECIALS="Y"))=0,"",'Dvd Calendar'!$L$1350)))</f>
        <v/>
      </c>
      <c r="K137" s="161">
        <f>IF(EM137="","",IF(ISNUMBER('Dvd Calendar'!$M$1350)=FALSE,"",IF((('Dvd Calendar'!$M$1352=TYPE1)*(TYPE1&lt;&gt;"")+('Dvd Calendar'!$M$1352=TYPE2)*(TYPE2&lt;&gt;"")+('Dvd Calendar'!$M$1352=TYPE3)*(TYPE3&lt;&gt;"")+('Dvd Calendar'!$M$1352=TYPE4)*(TYPE4&lt;&gt;"")+('Dvd Calendar'!$M$1352=SPECIAL_LBL)*(INC_SPECIALS="Y"))=0,"",'Dvd Calendar'!$M$1350)))</f>
        <v/>
      </c>
      <c r="L137" s="161">
        <f>IF(EN137="","",IF(ISNUMBER('Dvd Calendar'!$N$1350)=FALSE,"",IF((('Dvd Calendar'!$N$1352=TYPE1)*(TYPE1&lt;&gt;"")+('Dvd Calendar'!$N$1352=TYPE2)*(TYPE2&lt;&gt;"")+('Dvd Calendar'!$N$1352=TYPE3)*(TYPE3&lt;&gt;"")+('Dvd Calendar'!$N$1352=TYPE4)*(TYPE4&lt;&gt;"")+('Dvd Calendar'!$N$1352=SPECIAL_LBL)*(INC_SPECIALS="Y"))=0,"",'Dvd Calendar'!$N$1350)))</f>
        <v/>
      </c>
      <c r="M137" s="161">
        <f>IF(EO137="","",IF(ISNUMBER('Dvd Calendar'!$O$1350)=FALSE,"",IF((('Dvd Calendar'!$O$1352=TYPE1)*(TYPE1&lt;&gt;"")+('Dvd Calendar'!$O$1352=TYPE2)*(TYPE2&lt;&gt;"")+('Dvd Calendar'!$O$1352=TYPE3)*(TYPE3&lt;&gt;"")+('Dvd Calendar'!$O$1352=TYPE4)*(TYPE4&lt;&gt;"")+('Dvd Calendar'!$O$1352=SPECIAL_LBL)*(INC_SPECIALS="Y"))=0,"",'Dvd Calendar'!$O$1350)))</f>
        <v/>
      </c>
      <c r="N137" s="161">
        <f>IF(EP137="","",IF(ISNUMBER('Dvd Calendar'!$P$1350)=FALSE,"",IF((('Dvd Calendar'!$P$1352=TYPE1)*(TYPE1&lt;&gt;"")+('Dvd Calendar'!$P$1352=TYPE2)*(TYPE2&lt;&gt;"")+('Dvd Calendar'!$P$1352=TYPE3)*(TYPE3&lt;&gt;"")+('Dvd Calendar'!$P$1352=TYPE4)*(TYPE4&lt;&gt;"")+('Dvd Calendar'!$P$1352=SPECIAL_LBL)*(INC_SPECIALS="Y"))=0,"",'Dvd Calendar'!$P$1350)))</f>
        <v/>
      </c>
      <c r="O137" s="161">
        <f>IF(EQ137="","",IF(ISNUMBER('Dvd Calendar'!$Q$1350)=FALSE,"",IF((('Dvd Calendar'!$Q$1352=TYPE1)*(TYPE1&lt;&gt;"")+('Dvd Calendar'!$Q$1352=TYPE2)*(TYPE2&lt;&gt;"")+('Dvd Calendar'!$Q$1352=TYPE3)*(TYPE3&lt;&gt;"")+('Dvd Calendar'!$Q$1352=TYPE4)*(TYPE4&lt;&gt;"")+('Dvd Calendar'!$Q$1352=SPECIAL_LBL)*(INC_SPECIALS="Y"))=0,"",'Dvd Calendar'!$Q$1350)))</f>
        <v/>
      </c>
      <c r="P137" s="161">
        <f>IF(ER137="","",IF(ISNUMBER('Dvd Calendar'!$R$1350)=FALSE,"",IF((('Dvd Calendar'!$R$1352=TYPE1)*(TYPE1&lt;&gt;"")+('Dvd Calendar'!$R$1352=TYPE2)*(TYPE2&lt;&gt;"")+('Dvd Calendar'!$R$1352=TYPE3)*(TYPE3&lt;&gt;"")+('Dvd Calendar'!$R$1352=TYPE4)*(TYPE4&lt;&gt;"")+('Dvd Calendar'!$R$1352=SPECIAL_LBL)*(INC_SPECIALS="Y"))=0,"",'Dvd Calendar'!$R$1350)))</f>
        <v/>
      </c>
      <c r="Q137" s="161">
        <f>IF(ES137="","",IF(ISNUMBER('Dvd Calendar'!$S$1350)=FALSE,"",IF((('Dvd Calendar'!$S$1352=TYPE1)*(TYPE1&lt;&gt;"")+('Dvd Calendar'!$S$1352=TYPE2)*(TYPE2&lt;&gt;"")+('Dvd Calendar'!$S$1352=TYPE3)*(TYPE3&lt;&gt;"")+('Dvd Calendar'!$S$1352=TYPE4)*(TYPE4&lt;&gt;"")+('Dvd Calendar'!$S$1352=SPECIAL_LBL)*(INC_SPECIALS="Y"))=0,"",'Dvd Calendar'!$S$1350)))</f>
        <v/>
      </c>
      <c r="R137" s="161">
        <f>IF(ET137="","",IF(ISNUMBER('Dvd Calendar'!$T$1350)=FALSE,"",IF((('Dvd Calendar'!$T$1352=TYPE1)*(TYPE1&lt;&gt;"")+('Dvd Calendar'!$T$1352=TYPE2)*(TYPE2&lt;&gt;"")+('Dvd Calendar'!$T$1352=TYPE3)*(TYPE3&lt;&gt;"")+('Dvd Calendar'!$T$1352=TYPE4)*(TYPE4&lt;&gt;"")+('Dvd Calendar'!$T$1352=SPECIAL_LBL)*(INC_SPECIALS="Y"))=0,"",'Dvd Calendar'!$T$1350)))</f>
        <v/>
      </c>
      <c r="S137" s="161">
        <f>IF(EU137="","",IF(ISNUMBER('Dvd Calendar'!$U$1350)=FALSE,"",IF((('Dvd Calendar'!$U$1352=TYPE1)*(TYPE1&lt;&gt;"")+('Dvd Calendar'!$U$1352=TYPE2)*(TYPE2&lt;&gt;"")+('Dvd Calendar'!$U$1352=TYPE3)*(TYPE3&lt;&gt;"")+('Dvd Calendar'!$U$1352=TYPE4)*(TYPE4&lt;&gt;"")+('Dvd Calendar'!$U$1352=SPECIAL_LBL)*(INC_SPECIALS="Y"))=0,"",'Dvd Calendar'!$U$1350)))</f>
        <v/>
      </c>
      <c r="T137" s="161">
        <f>IF(EV137="","",IF(ISNUMBER('Dvd Calendar'!$V$1350)=FALSE,"",IF((('Dvd Calendar'!$V$1352=TYPE1)*(TYPE1&lt;&gt;"")+('Dvd Calendar'!$V$1352=TYPE2)*(TYPE2&lt;&gt;"")+('Dvd Calendar'!$V$1352=TYPE3)*(TYPE3&lt;&gt;"")+('Dvd Calendar'!$V$1352=TYPE4)*(TYPE4&lt;&gt;"")+('Dvd Calendar'!$V$1352=SPECIAL_LBL)*(INC_SPECIALS="Y"))=0,"",'Dvd Calendar'!$V$1350)))</f>
        <v/>
      </c>
      <c r="U137" s="161">
        <f>IF(EW137="","",IF(ISNUMBER('Dvd Calendar'!$W$1350)=FALSE,"",IF((('Dvd Calendar'!$W$1352=TYPE1)*(TYPE1&lt;&gt;"")+('Dvd Calendar'!$W$1352=TYPE2)*(TYPE2&lt;&gt;"")+('Dvd Calendar'!$W$1352=TYPE3)*(TYPE3&lt;&gt;"")+('Dvd Calendar'!$W$1352=TYPE4)*(TYPE4&lt;&gt;"")+('Dvd Calendar'!$W$1352=SPECIAL_LBL)*(INC_SPECIALS="Y"))=0,"",'Dvd Calendar'!$W$1350)))</f>
        <v/>
      </c>
      <c r="V137" s="161">
        <f>IF(EX137="","",IF(ISNUMBER('Dvd Calendar'!$X$1350)=FALSE,"",IF((('Dvd Calendar'!$X$1352=TYPE1)*(TYPE1&lt;&gt;"")+('Dvd Calendar'!$X$1352=TYPE2)*(TYPE2&lt;&gt;"")+('Dvd Calendar'!$X$1352=TYPE3)*(TYPE3&lt;&gt;"")+('Dvd Calendar'!$X$1352=TYPE4)*(TYPE4&lt;&gt;"")+('Dvd Calendar'!$X$1352=SPECIAL_LBL)*(INC_SPECIALS="Y"))=0,"",'Dvd Calendar'!$X$1350)))</f>
        <v/>
      </c>
      <c r="W137" s="161">
        <f>IF(EY137="","",IF(ISNUMBER('Dvd Calendar'!$Y$1350)=FALSE,"",IF((('Dvd Calendar'!$Y$1352=TYPE1)*(TYPE1&lt;&gt;"")+('Dvd Calendar'!$Y$1352=TYPE2)*(TYPE2&lt;&gt;"")+('Dvd Calendar'!$Y$1352=TYPE3)*(TYPE3&lt;&gt;"")+('Dvd Calendar'!$Y$1352=TYPE4)*(TYPE4&lt;&gt;"")+('Dvd Calendar'!$Y$1352=SPECIAL_LBL)*(INC_SPECIALS="Y"))=0,"",'Dvd Calendar'!$Y$1350)))</f>
        <v/>
      </c>
      <c r="X137" s="161">
        <f>IF(EZ137="","",IF(ISNUMBER('Dvd Calendar'!$Z$1350)=FALSE,"",IF((('Dvd Calendar'!$Z$1352=TYPE1)*(TYPE1&lt;&gt;"")+('Dvd Calendar'!$Z$1352=TYPE2)*(TYPE2&lt;&gt;"")+('Dvd Calendar'!$Z$1352=TYPE3)*(TYPE3&lt;&gt;"")+('Dvd Calendar'!$Z$1352=TYPE4)*(TYPE4&lt;&gt;"")+('Dvd Calendar'!$Z$1352=SPECIAL_LBL)*(INC_SPECIALS="Y"))=0,"",'Dvd Calendar'!$Z$1350)))</f>
        <v/>
      </c>
      <c r="Y137" s="161">
        <f>IF(FA137="","",IF(ISNUMBER('Dvd Calendar'!$AA$1350)=FALSE,"",IF((('Dvd Calendar'!$AA$1352=TYPE1)*(TYPE1&lt;&gt;"")+('Dvd Calendar'!$AA$1352=TYPE2)*(TYPE2&lt;&gt;"")+('Dvd Calendar'!$AA$1352=TYPE3)*(TYPE3&lt;&gt;"")+('Dvd Calendar'!$AA$1352=TYPE4)*(TYPE4&lt;&gt;"")+('Dvd Calendar'!$AA$1352=SPECIAL_LBL)*(INC_SPECIALS="Y"))=0,"",'Dvd Calendar'!$AA$1350)))</f>
        <v/>
      </c>
      <c r="Z137" s="161">
        <f>IF(FB137="","",IF(ISNUMBER('Dvd Calendar'!$AB$1350)=FALSE,"",IF((('Dvd Calendar'!$AB$1352=TYPE1)*(TYPE1&lt;&gt;"")+('Dvd Calendar'!$AB$1352=TYPE2)*(TYPE2&lt;&gt;"")+('Dvd Calendar'!$AB$1352=TYPE3)*(TYPE3&lt;&gt;"")+('Dvd Calendar'!$AB$1352=TYPE4)*(TYPE4&lt;&gt;"")+('Dvd Calendar'!$AB$1352=SPECIAL_LBL)*(INC_SPECIALS="Y"))=0,"",'Dvd Calendar'!$AB$1350)))</f>
        <v/>
      </c>
      <c r="AA137" s="161">
        <f>IF(FC137="","",IF(ISNUMBER('Dvd Calendar'!$AC$1350)=FALSE,"",IF((('Dvd Calendar'!$AC$1352=TYPE1)*(TYPE1&lt;&gt;"")+('Dvd Calendar'!$AC$1352=TYPE2)*(TYPE2&lt;&gt;"")+('Dvd Calendar'!$AC$1352=TYPE3)*(TYPE3&lt;&gt;"")+('Dvd Calendar'!$AC$1352=TYPE4)*(TYPE4&lt;&gt;"")+('Dvd Calendar'!$AC$1352=SPECIAL_LBL)*(INC_SPECIALS="Y"))=0,"",'Dvd Calendar'!$AC$1350)))</f>
        <v/>
      </c>
      <c r="AB137" s="161">
        <f>IF(FD137="","",IF(ISNUMBER('Dvd Calendar'!$AD$1350)=FALSE,"",IF((('Dvd Calendar'!$AD$1352=TYPE1)*(TYPE1&lt;&gt;"")+('Dvd Calendar'!$AD$1352=TYPE2)*(TYPE2&lt;&gt;"")+('Dvd Calendar'!$AD$1352=TYPE3)*(TYPE3&lt;&gt;"")+('Dvd Calendar'!$AD$1352=TYPE4)*(TYPE4&lt;&gt;"")+('Dvd Calendar'!$AD$1352=SPECIAL_LBL)*(INC_SPECIALS="Y"))=0,"",'Dvd Calendar'!$AD$1350)))</f>
        <v/>
      </c>
      <c r="AC137" s="161">
        <f>IF(FE137="","",IF(ISNUMBER('Dvd Calendar'!$AE$1350)=FALSE,"",IF((('Dvd Calendar'!$AE$1352=TYPE1)*(TYPE1&lt;&gt;"")+('Dvd Calendar'!$AE$1352=TYPE2)*(TYPE2&lt;&gt;"")+('Dvd Calendar'!$AE$1352=TYPE3)*(TYPE3&lt;&gt;"")+('Dvd Calendar'!$AE$1352=TYPE4)*(TYPE4&lt;&gt;"")+('Dvd Calendar'!$AE$1352=SPECIAL_LBL)*(INC_SPECIALS="Y"))=0,"",'Dvd Calendar'!$AE$1350)))</f>
        <v/>
      </c>
      <c r="AD137" s="161">
        <f>IF(FF137="","",IF(ISNUMBER('Dvd Calendar'!$AF$1350)=FALSE,"",IF((('Dvd Calendar'!$AF$1352=TYPE1)*(TYPE1&lt;&gt;"")+('Dvd Calendar'!$AF$1352=TYPE2)*(TYPE2&lt;&gt;"")+('Dvd Calendar'!$AF$1352=TYPE3)*(TYPE3&lt;&gt;"")+('Dvd Calendar'!$AF$1352=TYPE4)*(TYPE4&lt;&gt;"")+('Dvd Calendar'!$AF$1352=SPECIAL_LBL)*(INC_SPECIALS="Y"))=0,"",'Dvd Calendar'!$AF$1350)))</f>
        <v/>
      </c>
      <c r="AE137" s="161">
        <f>IF(FG137="","",IF(ISNUMBER('Dvd Calendar'!$AG$1350)=FALSE,"",IF((('Dvd Calendar'!$AG$1352=TYPE1)*(TYPE1&lt;&gt;"")+('Dvd Calendar'!$AG$1352=TYPE2)*(TYPE2&lt;&gt;"")+('Dvd Calendar'!$AG$1352=TYPE3)*(TYPE3&lt;&gt;"")+('Dvd Calendar'!$AG$1352=TYPE4)*(TYPE4&lt;&gt;"")+('Dvd Calendar'!$AG$1352=SPECIAL_LBL)*(INC_SPECIALS="Y"))=0,"",'Dvd Calendar'!$AG$1350)))</f>
        <v/>
      </c>
      <c r="AF137" s="161">
        <f>IF(FH137="","",IF(ISNUMBER('Dvd Calendar'!$AH$1350)=FALSE,"",IF((('Dvd Calendar'!$AH$1352=TYPE1)*(TYPE1&lt;&gt;"")+('Dvd Calendar'!$AH$1352=TYPE2)*(TYPE2&lt;&gt;"")+('Dvd Calendar'!$AH$1352=TYPE3)*(TYPE3&lt;&gt;"")+('Dvd Calendar'!$AH$1352=TYPE4)*(TYPE4&lt;&gt;"")+('Dvd Calendar'!$AH$1352=SPECIAL_LBL)*(INC_SPECIALS="Y"))=0,"",'Dvd Calendar'!$AH$1350)))</f>
        <v/>
      </c>
      <c r="AG137" s="161">
        <f>IF(FI137="","",IF(ISNUMBER('Dvd Calendar'!$AI$1350)=FALSE,"",IF((('Dvd Calendar'!$AI$1352=TYPE1)*(TYPE1&lt;&gt;"")+('Dvd Calendar'!$AI$1352=TYPE2)*(TYPE2&lt;&gt;"")+('Dvd Calendar'!$AI$1352=TYPE3)*(TYPE3&lt;&gt;"")+('Dvd Calendar'!$AI$1352=TYPE4)*(TYPE4&lt;&gt;"")+('Dvd Calendar'!$AI$1352=SPECIAL_LBL)*(INC_SPECIALS="Y"))=0,"",'Dvd Calendar'!$AI$1350)))</f>
        <v/>
      </c>
      <c r="AH137" s="161">
        <f>IF(FJ137="","",IF(ISNUMBER('Dvd Calendar'!$AJ$1350)=FALSE,"",IF((('Dvd Calendar'!$AJ$1352=TYPE1)*(TYPE1&lt;&gt;"")+('Dvd Calendar'!$AJ$1352=TYPE2)*(TYPE2&lt;&gt;"")+('Dvd Calendar'!$AJ$1352=TYPE3)*(TYPE3&lt;&gt;"")+('Dvd Calendar'!$AJ$1352=TYPE4)*(TYPE4&lt;&gt;"")+('Dvd Calendar'!$AJ$1352=SPECIAL_LBL)*(INC_SPECIALS="Y"))=0,"",'Dvd Calendar'!$AJ$1350)))</f>
        <v/>
      </c>
      <c r="AI137" s="161">
        <f>IF(FK137="","",IF(ISNUMBER('Dvd Calendar'!$AK$1350)=FALSE,"",IF((('Dvd Calendar'!$AK$1352=TYPE1)*(TYPE1&lt;&gt;"")+('Dvd Calendar'!$AK$1352=TYPE2)*(TYPE2&lt;&gt;"")+('Dvd Calendar'!$AK$1352=TYPE3)*(TYPE3&lt;&gt;"")+('Dvd Calendar'!$AK$1352=TYPE4)*(TYPE4&lt;&gt;"")+('Dvd Calendar'!$AK$1352=SPECIAL_LBL)*(INC_SPECIALS="Y"))=0,"",'Dvd Calendar'!$AK$1350)))</f>
        <v/>
      </c>
      <c r="AJ137" s="161">
        <f>IF(FL137="","",IF(ISNUMBER('Dvd Calendar'!$AL$1350)=FALSE,"",IF((('Dvd Calendar'!$AL$1352=TYPE1)*(TYPE1&lt;&gt;"")+('Dvd Calendar'!$AL$1352=TYPE2)*(TYPE2&lt;&gt;"")+('Dvd Calendar'!$AL$1352=TYPE3)*(TYPE3&lt;&gt;"")+('Dvd Calendar'!$AL$1352=TYPE4)*(TYPE4&lt;&gt;"")+('Dvd Calendar'!$AL$1352=SPECIAL_LBL)*(INC_SPECIALS="Y"))=0,"",'Dvd Calendar'!$AL$1350)))</f>
        <v/>
      </c>
      <c r="AK137" s="161">
        <f>IF(FM137="","",IF(ISNUMBER('Dvd Calendar'!$AM$1350)=FALSE,"",IF((('Dvd Calendar'!$AM$1352=TYPE1)*(TYPE1&lt;&gt;"")+('Dvd Calendar'!$AM$1352=TYPE2)*(TYPE2&lt;&gt;"")+('Dvd Calendar'!$AM$1352=TYPE3)*(TYPE3&lt;&gt;"")+('Dvd Calendar'!$AM$1352=TYPE4)*(TYPE4&lt;&gt;"")+('Dvd Calendar'!$AM$1352=SPECIAL_LBL)*(INC_SPECIALS="Y"))=0,"",'Dvd Calendar'!$AM$1350)))</f>
        <v/>
      </c>
      <c r="AL137" s="161">
        <f>IF(FN137="","",IF(ISNUMBER('Dvd Calendar'!$AN$1350)=FALSE,"",IF((('Dvd Calendar'!$AN$1352=TYPE1)*(TYPE1&lt;&gt;"")+('Dvd Calendar'!$AN$1352=TYPE2)*(TYPE2&lt;&gt;"")+('Dvd Calendar'!$AN$1352=TYPE3)*(TYPE3&lt;&gt;"")+('Dvd Calendar'!$AN$1352=TYPE4)*(TYPE4&lt;&gt;"")+('Dvd Calendar'!$AN$1352=SPECIAL_LBL)*(INC_SPECIALS="Y"))=0,"",'Dvd Calendar'!$AN$1350)))</f>
        <v/>
      </c>
      <c r="AM137" s="161">
        <f>IF(FO137="","",IF(ISNUMBER('Dvd Calendar'!$AO$1350)=FALSE,"",IF((('Dvd Calendar'!$AO$1352=TYPE1)*(TYPE1&lt;&gt;"")+('Dvd Calendar'!$AO$1352=TYPE2)*(TYPE2&lt;&gt;"")+('Dvd Calendar'!$AO$1352=TYPE3)*(TYPE3&lt;&gt;"")+('Dvd Calendar'!$AO$1352=TYPE4)*(TYPE4&lt;&gt;"")+('Dvd Calendar'!$AO$1352=SPECIAL_LBL)*(INC_SPECIALS="Y"))=0,"",'Dvd Calendar'!$AO$1350)))</f>
        <v/>
      </c>
      <c r="AN137" s="161">
        <f>IF(FP137="","",IF(ISNUMBER('Dvd Calendar'!$AP$1350)=FALSE,"",IF((('Dvd Calendar'!$AP$1352=TYPE1)*(TYPE1&lt;&gt;"")+('Dvd Calendar'!$AP$1352=TYPE2)*(TYPE2&lt;&gt;"")+('Dvd Calendar'!$AP$1352=TYPE3)*(TYPE3&lt;&gt;"")+('Dvd Calendar'!$AP$1352=TYPE4)*(TYPE4&lt;&gt;"")+('Dvd Calendar'!$AP$1352=SPECIAL_LBL)*(INC_SPECIALS="Y"))=0,"",'Dvd Calendar'!$AP$1350)))</f>
        <v/>
      </c>
      <c r="AO137" s="161">
        <f>IF(FQ137="","",IF(ISNUMBER('Dvd Calendar'!$AQ$1350)=FALSE,"",IF((('Dvd Calendar'!$AQ$1352=TYPE1)*(TYPE1&lt;&gt;"")+('Dvd Calendar'!$AQ$1352=TYPE2)*(TYPE2&lt;&gt;"")+('Dvd Calendar'!$AQ$1352=TYPE3)*(TYPE3&lt;&gt;"")+('Dvd Calendar'!$AQ$1352=TYPE4)*(TYPE4&lt;&gt;"")+('Dvd Calendar'!$AQ$1352=SPECIAL_LBL)*(INC_SPECIALS="Y"))=0,"",'Dvd Calendar'!$AQ$1350)))</f>
        <v/>
      </c>
      <c r="AP137" s="161">
        <f>IF(FR137="","",IF(ISNUMBER('Dvd Calendar'!$AR$1350)=FALSE,"",IF((('Dvd Calendar'!$AR$1352=TYPE1)*(TYPE1&lt;&gt;"")+('Dvd Calendar'!$AR$1352=TYPE2)*(TYPE2&lt;&gt;"")+('Dvd Calendar'!$AR$1352=TYPE3)*(TYPE3&lt;&gt;"")+('Dvd Calendar'!$AR$1352=TYPE4)*(TYPE4&lt;&gt;"")+('Dvd Calendar'!$AR$1352=SPECIAL_LBL)*(INC_SPECIALS="Y"))=0,"",'Dvd Calendar'!$AR$1350)))</f>
        <v/>
      </c>
      <c r="AQ137" s="161">
        <f>IF(FS137="","",IF(ISNUMBER('Dvd Calendar'!$E$1355)=FALSE,"",'Dvd Calendar'!$E$1355))</f>
        <v/>
      </c>
      <c r="AR137" s="161">
        <f>IF(FT137="","",IF(ISNUMBER('Dvd Calendar'!$F$1355)=FALSE,"",'Dvd Calendar'!$F$1355))</f>
        <v/>
      </c>
      <c r="AS137" s="161">
        <f>IF(FU137="","",IF(ISNUMBER('Dvd Calendar'!$G$1355)=FALSE,"",'Dvd Calendar'!$G$1355))</f>
        <v/>
      </c>
      <c r="AT137" s="161">
        <f>IF(FV137="","",IF(ISNUMBER('Dvd Calendar'!$H$1355)=FALSE,"",'Dvd Calendar'!$H$1355))</f>
        <v/>
      </c>
      <c r="AU137" s="161">
        <f>IF(FW137="","",IF(ISNUMBER('Dvd Calendar'!$I$1355)=FALSE,"",'Dvd Calendar'!$I$1355))</f>
        <v/>
      </c>
      <c r="AV137" s="161">
        <f>IF(FX137="","",IF(ISNUMBER('Dvd Calendar'!$J$1355)=FALSE,"",'Dvd Calendar'!$J$1355))</f>
        <v/>
      </c>
      <c r="AW137" s="161">
        <f>IF(FY137="","",IF(ISNUMBER('Dvd Calendar'!$K$1355)=FALSE,"",'Dvd Calendar'!$K$1355))</f>
        <v/>
      </c>
      <c r="AX137" s="161">
        <f>IF(FZ137="","",IF(ISNUMBER('Dvd Calendar'!$L$1355)=FALSE,"",'Dvd Calendar'!$L$1355))</f>
        <v/>
      </c>
      <c r="AY137" s="161">
        <f>IF(GA137="","",IF(ISNUMBER('Dvd Calendar'!$M$1355)=FALSE,"",'Dvd Calendar'!$M$1355))</f>
        <v/>
      </c>
      <c r="AZ137" s="161">
        <f>IF(GB137="","",IF(ISNUMBER('Dvd Calendar'!$N$1355)=FALSE,"",'Dvd Calendar'!$N$1355))</f>
        <v/>
      </c>
      <c r="BA137" s="161">
        <f>IF(GC137="","",IF(ISNUMBER('Dvd Calendar'!$O$1355)=FALSE,"",'Dvd Calendar'!$O$1355))</f>
        <v/>
      </c>
      <c r="BB137" s="161">
        <f>IF(GD137="","",IF(ISNUMBER('Dvd Calendar'!$P$1355)=FALSE,"",'Dvd Calendar'!$P$1355))</f>
        <v/>
      </c>
      <c r="BC137" s="161">
        <f>IF(GE137="","",IF(ISNUMBER('Dvd Calendar'!$Q$1355)=FALSE,"",'Dvd Calendar'!$Q$1355))</f>
        <v/>
      </c>
      <c r="BD137" s="161">
        <f>IF(GF137="","",IF(ISNUMBER('Dvd Calendar'!$R$1355)=FALSE,"",'Dvd Calendar'!$R$1355))</f>
        <v/>
      </c>
      <c r="BE137" s="161">
        <f>IF(GG137="","",IF(ISNUMBER('Dvd Calendar'!$S$1355)=FALSE,"",'Dvd Calendar'!$S$1355))</f>
        <v/>
      </c>
      <c r="BF137" s="161">
        <f>IF(GH137="","",IF(ISNUMBER('Dvd Calendar'!$T$1355)=FALSE,"",'Dvd Calendar'!$T$1355))</f>
        <v/>
      </c>
      <c r="BG137" s="161">
        <f>IF(GI137="","",IF(ISNUMBER('Dvd Calendar'!$U$1355)=FALSE,"",'Dvd Calendar'!$U$1355))</f>
        <v/>
      </c>
      <c r="BH137" s="161">
        <f>IF(GJ137="","",IF(ISNUMBER('Dvd Calendar'!$V$1355)=FALSE,"",'Dvd Calendar'!$V$1355))</f>
        <v/>
      </c>
      <c r="BI137" s="161">
        <f>IF(GK137="","",IF(ISNUMBER('Dvd Calendar'!$W$1355)=FALSE,"",'Dvd Calendar'!$W$1355))</f>
        <v/>
      </c>
      <c r="BJ137" s="161">
        <f>IF(GL137="","",IF(ISNUMBER('Dvd Calendar'!$X$1355)=FALSE,"",'Dvd Calendar'!$X$1355))</f>
        <v/>
      </c>
      <c r="BK137" s="161">
        <f>IF(GM137="","",IF(ISNUMBER('Dvd Calendar'!$Y$1355)=FALSE,"",'Dvd Calendar'!$Y$1355))</f>
        <v/>
      </c>
      <c r="BL137" s="161">
        <f>IF(GN137="","",IF(ISNUMBER('Dvd Calendar'!$Z$1355)=FALSE,"",'Dvd Calendar'!$Z$1355))</f>
        <v/>
      </c>
      <c r="BM137" s="161">
        <f>IF(GO137="","",IF(ISNUMBER('Dvd Calendar'!$AA$1355)=FALSE,"",'Dvd Calendar'!$AA$1355))</f>
        <v/>
      </c>
      <c r="BN137" s="161">
        <f>IF(GP137="","",IF(ISNUMBER('Dvd Calendar'!$AB$1355)=FALSE,"",'Dvd Calendar'!$AB$1355))</f>
        <v/>
      </c>
      <c r="BO137" s="161">
        <f>IF(GQ137="","",IF(ISNUMBER('Dvd Calendar'!$AC$1355)=FALSE,"",'Dvd Calendar'!$AC$1355))</f>
        <v/>
      </c>
      <c r="BQ137" s="161">
        <f>IF(C137="","",IFERROR(C137*HSTECH!$B$28*HSTECH!$G$28/HSTECH!$B$3,""))</f>
        <v/>
      </c>
      <c r="BR137" s="161">
        <f>IF(D137="","",IFERROR(D137*HSTECH!$B$28*HSTECH!$G$28/HSTECH!$B$3,""))</f>
        <v/>
      </c>
      <c r="BS137" s="161">
        <f>IF(E137="","",IFERROR(E137*HSTECH!$B$28*HSTECH!$G$28/HSTECH!$B$3,""))</f>
        <v/>
      </c>
      <c r="BT137" s="161">
        <f>IF(F137="","",IFERROR(F137*HSTECH!$B$28*HSTECH!$G$28/HSTECH!$B$3,""))</f>
        <v/>
      </c>
      <c r="BU137" s="161">
        <f>IF(G137="","",IFERROR(G137*HSTECH!$B$28*HSTECH!$G$28/HSTECH!$B$3,""))</f>
        <v/>
      </c>
      <c r="BV137" s="161">
        <f>IF(H137="","",IFERROR(H137*HSTECH!$B$28*HSTECH!$G$28/HSTECH!$B$3,""))</f>
        <v/>
      </c>
      <c r="BW137" s="161">
        <f>IF(I137="","",IFERROR(I137*HSTECH!$B$28*HSTECH!$G$28/HSTECH!$B$3,""))</f>
        <v/>
      </c>
      <c r="BX137" s="161">
        <f>IF(J137="","",IFERROR(J137*HSTECH!$B$28*HSTECH!$G$28/HSTECH!$B$3,""))</f>
        <v/>
      </c>
      <c r="BY137" s="161">
        <f>IF(K137="","",IFERROR(K137*HSTECH!$B$28*HSTECH!$G$28/HSTECH!$B$3,""))</f>
        <v/>
      </c>
      <c r="BZ137" s="161">
        <f>IF(L137="","",IFERROR(L137*HSTECH!$B$28*HSTECH!$G$28/HSTECH!$B$3,""))</f>
        <v/>
      </c>
      <c r="CA137" s="161">
        <f>IF(M137="","",IFERROR(M137*HSTECH!$B$28*HSTECH!$G$28/HSTECH!$B$3,""))</f>
        <v/>
      </c>
      <c r="CB137" s="161">
        <f>IF(N137="","",IFERROR(N137*HSTECH!$B$28*HSTECH!$G$28/HSTECH!$B$3,""))</f>
        <v/>
      </c>
      <c r="CC137" s="161">
        <f>IF(O137="","",IFERROR(O137*HSTECH!$B$28*HSTECH!$G$28/HSTECH!$B$3,""))</f>
        <v/>
      </c>
      <c r="CD137" s="161">
        <f>IF(P137="","",IFERROR(P137*HSTECH!$B$28*HSTECH!$G$28/HSTECH!$B$3,""))</f>
        <v/>
      </c>
      <c r="CE137" s="161">
        <f>IF(Q137="","",IFERROR(Q137*HSTECH!$B$28*HSTECH!$G$28/HSTECH!$B$3,""))</f>
        <v/>
      </c>
      <c r="CF137" s="161">
        <f>IF(R137="","",IFERROR(R137*HSTECH!$B$28*HSTECH!$G$28/HSTECH!$B$3,""))</f>
        <v/>
      </c>
      <c r="CG137" s="161">
        <f>IF(S137="","",IFERROR(S137*HSTECH!$B$28*HSTECH!$G$28/HSTECH!$B$3,""))</f>
        <v/>
      </c>
      <c r="CH137" s="161">
        <f>IF(T137="","",IFERROR(T137*HSTECH!$B$28*HSTECH!$G$28/HSTECH!$B$3,""))</f>
        <v/>
      </c>
      <c r="CI137" s="161">
        <f>IF(U137="","",IFERROR(U137*HSTECH!$B$28*HSTECH!$G$28/HSTECH!$B$3,""))</f>
        <v/>
      </c>
      <c r="CJ137" s="161">
        <f>IF(V137="","",IFERROR(V137*HSTECH!$B$28*HSTECH!$G$28/HSTECH!$B$3,""))</f>
        <v/>
      </c>
      <c r="CK137" s="161">
        <f>IF(W137="","",IFERROR(W137*HSTECH!$B$28*HSTECH!$G$28/HSTECH!$B$3,""))</f>
        <v/>
      </c>
      <c r="CL137" s="161">
        <f>IF(X137="","",IFERROR(X137*HSTECH!$B$28*HSTECH!$G$28/HSTECH!$B$3,""))</f>
        <v/>
      </c>
      <c r="CM137" s="161">
        <f>IF(Y137="","",IFERROR(Y137*HSTECH!$B$28*HSTECH!$G$28/HSTECH!$B$3,""))</f>
        <v/>
      </c>
      <c r="CN137" s="161">
        <f>IF(Z137="","",IFERROR(Z137*HSTECH!$B$28*HSTECH!$G$28/HSTECH!$B$3,""))</f>
        <v/>
      </c>
      <c r="CO137" s="161">
        <f>IF(AA137="","",IFERROR(AA137*HSTECH!$B$28*HSTECH!$G$28/HSTECH!$B$3,""))</f>
        <v/>
      </c>
      <c r="CP137" s="161">
        <f>IF(AB137="","",IFERROR(AB137*HSTECH!$B$28*HSTECH!$G$28/HSTECH!$B$3,""))</f>
        <v/>
      </c>
      <c r="CQ137" s="161">
        <f>IF(AC137="","",IFERROR(AC137*HSTECH!$B$28*HSTECH!$G$28/HSTECH!$B$3,""))</f>
        <v/>
      </c>
      <c r="CR137" s="161">
        <f>IF(AD137="","",IFERROR(AD137*HSTECH!$B$28*HSTECH!$G$28/HSTECH!$B$3,""))</f>
        <v/>
      </c>
      <c r="CS137" s="161">
        <f>IF(AE137="","",IFERROR(AE137*HSTECH!$B$28*HSTECH!$G$28/HSTECH!$B$3,""))</f>
        <v/>
      </c>
      <c r="CT137" s="161">
        <f>IF(AF137="","",IFERROR(AF137*HSTECH!$B$28*HSTECH!$G$28/HSTECH!$B$3,""))</f>
        <v/>
      </c>
      <c r="CU137" s="161">
        <f>IF(AG137="","",IFERROR(AG137*HSTECH!$B$28*HSTECH!$G$28/HSTECH!$B$3,""))</f>
        <v/>
      </c>
      <c r="CV137" s="161">
        <f>IF(AH137="","",IFERROR(AH137*HSTECH!$B$28*HSTECH!$G$28/HSTECH!$B$3,""))</f>
        <v/>
      </c>
      <c r="CW137" s="161">
        <f>IF(AI137="","",IFERROR(AI137*HSTECH!$B$28*HSTECH!$G$28/HSTECH!$B$3,""))</f>
        <v/>
      </c>
      <c r="CX137" s="161">
        <f>IF(AJ137="","",IFERROR(AJ137*HSTECH!$B$28*HSTECH!$G$28/HSTECH!$B$3,""))</f>
        <v/>
      </c>
      <c r="CY137" s="161">
        <f>IF(AK137="","",IFERROR(AK137*HSTECH!$B$28*HSTECH!$G$28/HSTECH!$B$3,""))</f>
        <v/>
      </c>
      <c r="CZ137" s="161">
        <f>IF(AL137="","",IFERROR(AL137*HSTECH!$B$28*HSTECH!$G$28/HSTECH!$B$3,""))</f>
        <v/>
      </c>
      <c r="DA137" s="161">
        <f>IF(AM137="","",IFERROR(AM137*HSTECH!$B$28*HSTECH!$G$28/HSTECH!$B$3,""))</f>
        <v/>
      </c>
      <c r="DB137" s="161">
        <f>IF(AN137="","",IFERROR(AN137*HSTECH!$B$28*HSTECH!$G$28/HSTECH!$B$3,""))</f>
        <v/>
      </c>
      <c r="DC137" s="161">
        <f>IF(AO137="","",IFERROR(AO137*HSTECH!$B$28*HSTECH!$G$28/HSTECH!$B$3,""))</f>
        <v/>
      </c>
      <c r="DD137" s="161">
        <f>IF(AP137="","",IFERROR(AP137*HSTECH!$B$28*HSTECH!$G$28/HSTECH!$B$3,""))</f>
        <v/>
      </c>
      <c r="DE137" s="161">
        <f>IF(AQ137="","",IFERROR(AQ137*HSTECH!$B$28*HSTECH!$G$28/HSTECH!$B$3,""))</f>
        <v/>
      </c>
      <c r="DF137" s="161">
        <f>IF(AR137="","",IFERROR(AR137*HSTECH!$B$28*HSTECH!$G$28/HSTECH!$B$3,""))</f>
        <v/>
      </c>
      <c r="DG137" s="161">
        <f>IF(AS137="","",IFERROR(AS137*HSTECH!$B$28*HSTECH!$G$28/HSTECH!$B$3,""))</f>
        <v/>
      </c>
      <c r="DH137" s="161">
        <f>IF(AT137="","",IFERROR(AT137*HSTECH!$B$28*HSTECH!$G$28/HSTECH!$B$3,""))</f>
        <v/>
      </c>
      <c r="DI137" s="161">
        <f>IF(AU137="","",IFERROR(AU137*HSTECH!$B$28*HSTECH!$G$28/HSTECH!$B$3,""))</f>
        <v/>
      </c>
      <c r="DJ137" s="161">
        <f>IF(AV137="","",IFERROR(AV137*HSTECH!$B$28*HSTECH!$G$28/HSTECH!$B$3,""))</f>
        <v/>
      </c>
      <c r="DK137" s="161">
        <f>IF(AW137="","",IFERROR(AW137*HSTECH!$B$28*HSTECH!$G$28/HSTECH!$B$3,""))</f>
        <v/>
      </c>
      <c r="DL137" s="161">
        <f>IF(AX137="","",IFERROR(AX137*HSTECH!$B$28*HSTECH!$G$28/HSTECH!$B$3,""))</f>
        <v/>
      </c>
      <c r="DM137" s="161">
        <f>IF(AY137="","",IFERROR(AY137*HSTECH!$B$28*HSTECH!$G$28/HSTECH!$B$3,""))</f>
        <v/>
      </c>
      <c r="DN137" s="161">
        <f>IF(AZ137="","",IFERROR(AZ137*HSTECH!$B$28*HSTECH!$G$28/HSTECH!$B$3,""))</f>
        <v/>
      </c>
      <c r="DO137" s="161">
        <f>IF(BA137="","",IFERROR(BA137*HSTECH!$B$28*HSTECH!$G$28/HSTECH!$B$3,""))</f>
        <v/>
      </c>
      <c r="DP137" s="161">
        <f>IF(BB137="","",IFERROR(BB137*HSTECH!$B$28*HSTECH!$G$28/HSTECH!$B$3,""))</f>
        <v/>
      </c>
      <c r="DQ137" s="161">
        <f>IF(BC137="","",IFERROR(BC137*HSTECH!$B$28*HSTECH!$G$28/HSTECH!$B$3,""))</f>
        <v/>
      </c>
      <c r="DR137" s="161">
        <f>IF(BD137="","",IFERROR(BD137*HSTECH!$B$28*HSTECH!$G$28/HSTECH!$B$3,""))</f>
        <v/>
      </c>
      <c r="DS137" s="161">
        <f>IF(BE137="","",IFERROR(BE137*HSTECH!$B$28*HSTECH!$G$28/HSTECH!$B$3,""))</f>
        <v/>
      </c>
      <c r="DT137" s="161">
        <f>IF(BF137="","",IFERROR(BF137*HSTECH!$B$28*HSTECH!$G$28/HSTECH!$B$3,""))</f>
        <v/>
      </c>
      <c r="DU137" s="161">
        <f>IF(BG137="","",IFERROR(BG137*HSTECH!$B$28*HSTECH!$G$28/HSTECH!$B$3,""))</f>
        <v/>
      </c>
      <c r="DV137" s="161">
        <f>IF(BH137="","",IFERROR(BH137*HSTECH!$B$28*HSTECH!$G$28/HSTECH!$B$3,""))</f>
        <v/>
      </c>
      <c r="DW137" s="161">
        <f>IF(BI137="","",IFERROR(BI137*HSTECH!$B$28*HSTECH!$G$28/HSTECH!$B$3,""))</f>
        <v/>
      </c>
      <c r="DX137" s="161">
        <f>IF(BJ137="","",IFERROR(BJ137*HSTECH!$B$28*HSTECH!$G$28/HSTECH!$B$3,""))</f>
        <v/>
      </c>
      <c r="DY137" s="161">
        <f>IF(BK137="","",IFERROR(BK137*HSTECH!$B$28*HSTECH!$G$28/HSTECH!$B$3,""))</f>
        <v/>
      </c>
      <c r="DZ137" s="161">
        <f>IF(BL137="","",IFERROR(BL137*HSTECH!$B$28*HSTECH!$G$28/HSTECH!$B$3,""))</f>
        <v/>
      </c>
      <c r="EA137" s="161">
        <f>IF(BM137="","",IFERROR(BM137*HSTECH!$B$28*HSTECH!$G$28/HSTECH!$B$3,""))</f>
        <v/>
      </c>
      <c r="EB137" s="161">
        <f>IF(BN137="","",IFERROR(BN137*HSTECH!$B$28*HSTECH!$G$28/HSTECH!$B$3,""))</f>
        <v/>
      </c>
      <c r="EC137" s="161">
        <f>IF(BO137="","",IFERROR(BO137*HSTECH!$B$28*HSTECH!$G$28/HSTECH!$B$3,""))</f>
        <v/>
      </c>
      <c r="EE137" s="121">
        <f>IF(N('Dvd Calendar'!$E$1347)=0,"",IF(('Dvd Calendar'!$E$1347&gt;=GRID_FROM)*('Dvd Calendar'!$E$1347&lt;=GRID_TO)*((('Dvd Calendar'!$E$1347&lt;=VAL_DATE)+(COUNTIF('Dvd Calendar'!$E$1354:$AR$1354,'Dvd Calendar'!$E$1347)=0))&gt;0)=0,"",'Dvd Calendar'!$E$1347*1000000000+ISNUMBER('Dvd Calendar'!$E$1350)*100000000+('Dvd Calendar'!$E$1352=SPECIAL_LBL)*10000000+(N('Dvd Calendar'!$E$1346)&gt;0)*(N('Dvd Calendar'!$E$1346)&lt;=VAL_SERIAL)*1000000+22*1000+1))</f>
        <v/>
      </c>
      <c r="EF137" s="121">
        <f>IF(N('Dvd Calendar'!$F$1347)=0,"",IF(('Dvd Calendar'!$F$1347&gt;=GRID_FROM)*('Dvd Calendar'!$F$1347&lt;=GRID_TO)*((('Dvd Calendar'!$F$1347&lt;=VAL_DATE)+(COUNTIF('Dvd Calendar'!$E$1354:$AR$1354,'Dvd Calendar'!$F$1347)=0))&gt;0)=0,"",'Dvd Calendar'!$F$1347*1000000000+ISNUMBER('Dvd Calendar'!$F$1350)*100000000+('Dvd Calendar'!$F$1352=SPECIAL_LBL)*10000000+(N('Dvd Calendar'!$F$1346)&gt;0)*(N('Dvd Calendar'!$F$1346)&lt;=VAL_SERIAL)*1000000+22*1000+2))</f>
        <v/>
      </c>
      <c r="EG137" s="121">
        <f>IF(N('Dvd Calendar'!$G$1347)=0,"",IF(('Dvd Calendar'!$G$1347&gt;=GRID_FROM)*('Dvd Calendar'!$G$1347&lt;=GRID_TO)*((('Dvd Calendar'!$G$1347&lt;=VAL_DATE)+(COUNTIF('Dvd Calendar'!$E$1354:$AR$1354,'Dvd Calendar'!$G$1347)=0))&gt;0)=0,"",'Dvd Calendar'!$G$1347*1000000000+ISNUMBER('Dvd Calendar'!$G$1350)*100000000+('Dvd Calendar'!$G$1352=SPECIAL_LBL)*10000000+(N('Dvd Calendar'!$G$1346)&gt;0)*(N('Dvd Calendar'!$G$1346)&lt;=VAL_SERIAL)*1000000+22*1000+3))</f>
        <v/>
      </c>
      <c r="EH137" s="121">
        <f>IF(N('Dvd Calendar'!$H$1347)=0,"",IF(('Dvd Calendar'!$H$1347&gt;=GRID_FROM)*('Dvd Calendar'!$H$1347&lt;=GRID_TO)*((('Dvd Calendar'!$H$1347&lt;=VAL_DATE)+(COUNTIF('Dvd Calendar'!$E$1354:$AR$1354,'Dvd Calendar'!$H$1347)=0))&gt;0)=0,"",'Dvd Calendar'!$H$1347*1000000000+ISNUMBER('Dvd Calendar'!$H$1350)*100000000+('Dvd Calendar'!$H$1352=SPECIAL_LBL)*10000000+(N('Dvd Calendar'!$H$1346)&gt;0)*(N('Dvd Calendar'!$H$1346)&lt;=VAL_SERIAL)*1000000+22*1000+4))</f>
        <v/>
      </c>
      <c r="EI137" s="121">
        <f>IF(N('Dvd Calendar'!$I$1347)=0,"",IF(('Dvd Calendar'!$I$1347&gt;=GRID_FROM)*('Dvd Calendar'!$I$1347&lt;=GRID_TO)*((('Dvd Calendar'!$I$1347&lt;=VAL_DATE)+(COUNTIF('Dvd Calendar'!$E$1354:$AR$1354,'Dvd Calendar'!$I$1347)=0))&gt;0)=0,"",'Dvd Calendar'!$I$1347*1000000000+ISNUMBER('Dvd Calendar'!$I$1350)*100000000+('Dvd Calendar'!$I$1352=SPECIAL_LBL)*10000000+(N('Dvd Calendar'!$I$1346)&gt;0)*(N('Dvd Calendar'!$I$1346)&lt;=VAL_SERIAL)*1000000+22*1000+5))</f>
        <v/>
      </c>
      <c r="EJ137" s="121">
        <f>IF(N('Dvd Calendar'!$J$1347)=0,"",IF(('Dvd Calendar'!$J$1347&gt;=GRID_FROM)*('Dvd Calendar'!$J$1347&lt;=GRID_TO)*((('Dvd Calendar'!$J$1347&lt;=VAL_DATE)+(COUNTIF('Dvd Calendar'!$E$1354:$AR$1354,'Dvd Calendar'!$J$1347)=0))&gt;0)=0,"",'Dvd Calendar'!$J$1347*1000000000+ISNUMBER('Dvd Calendar'!$J$1350)*100000000+('Dvd Calendar'!$J$1352=SPECIAL_LBL)*10000000+(N('Dvd Calendar'!$J$1346)&gt;0)*(N('Dvd Calendar'!$J$1346)&lt;=VAL_SERIAL)*1000000+22*1000+6))</f>
        <v/>
      </c>
      <c r="EK137" s="121">
        <f>IF(N('Dvd Calendar'!$K$1347)=0,"",IF(('Dvd Calendar'!$K$1347&gt;=GRID_FROM)*('Dvd Calendar'!$K$1347&lt;=GRID_TO)*((('Dvd Calendar'!$K$1347&lt;=VAL_DATE)+(COUNTIF('Dvd Calendar'!$E$1354:$AR$1354,'Dvd Calendar'!$K$1347)=0))&gt;0)=0,"",'Dvd Calendar'!$K$1347*1000000000+ISNUMBER('Dvd Calendar'!$K$1350)*100000000+('Dvd Calendar'!$K$1352=SPECIAL_LBL)*10000000+(N('Dvd Calendar'!$K$1346)&gt;0)*(N('Dvd Calendar'!$K$1346)&lt;=VAL_SERIAL)*1000000+22*1000+7))</f>
        <v/>
      </c>
      <c r="EL137" s="121">
        <f>IF(N('Dvd Calendar'!$L$1347)=0,"",IF(('Dvd Calendar'!$L$1347&gt;=GRID_FROM)*('Dvd Calendar'!$L$1347&lt;=GRID_TO)*((('Dvd Calendar'!$L$1347&lt;=VAL_DATE)+(COUNTIF('Dvd Calendar'!$E$1354:$AR$1354,'Dvd Calendar'!$L$1347)=0))&gt;0)=0,"",'Dvd Calendar'!$L$1347*1000000000+ISNUMBER('Dvd Calendar'!$L$1350)*100000000+('Dvd Calendar'!$L$1352=SPECIAL_LBL)*10000000+(N('Dvd Calendar'!$L$1346)&gt;0)*(N('Dvd Calendar'!$L$1346)&lt;=VAL_SERIAL)*1000000+22*1000+8))</f>
        <v/>
      </c>
      <c r="EM137" s="121">
        <f>IF(N('Dvd Calendar'!$M$1347)=0,"",IF(('Dvd Calendar'!$M$1347&gt;=GRID_FROM)*('Dvd Calendar'!$M$1347&lt;=GRID_TO)*((('Dvd Calendar'!$M$1347&lt;=VAL_DATE)+(COUNTIF('Dvd Calendar'!$E$1354:$AR$1354,'Dvd Calendar'!$M$1347)=0))&gt;0)=0,"",'Dvd Calendar'!$M$1347*1000000000+ISNUMBER('Dvd Calendar'!$M$1350)*100000000+('Dvd Calendar'!$M$1352=SPECIAL_LBL)*10000000+(N('Dvd Calendar'!$M$1346)&gt;0)*(N('Dvd Calendar'!$M$1346)&lt;=VAL_SERIAL)*1000000+22*1000+9))</f>
        <v/>
      </c>
      <c r="EN137" s="121">
        <f>IF(N('Dvd Calendar'!$N$1347)=0,"",IF(('Dvd Calendar'!$N$1347&gt;=GRID_FROM)*('Dvd Calendar'!$N$1347&lt;=GRID_TO)*((('Dvd Calendar'!$N$1347&lt;=VAL_DATE)+(COUNTIF('Dvd Calendar'!$E$1354:$AR$1354,'Dvd Calendar'!$N$1347)=0))&gt;0)=0,"",'Dvd Calendar'!$N$1347*1000000000+ISNUMBER('Dvd Calendar'!$N$1350)*100000000+('Dvd Calendar'!$N$1352=SPECIAL_LBL)*10000000+(N('Dvd Calendar'!$N$1346)&gt;0)*(N('Dvd Calendar'!$N$1346)&lt;=VAL_SERIAL)*1000000+22*1000+10))</f>
        <v/>
      </c>
      <c r="EO137" s="121">
        <f>IF(N('Dvd Calendar'!$O$1347)=0,"",IF(('Dvd Calendar'!$O$1347&gt;=GRID_FROM)*('Dvd Calendar'!$O$1347&lt;=GRID_TO)*((('Dvd Calendar'!$O$1347&lt;=VAL_DATE)+(COUNTIF('Dvd Calendar'!$E$1354:$AR$1354,'Dvd Calendar'!$O$1347)=0))&gt;0)=0,"",'Dvd Calendar'!$O$1347*1000000000+ISNUMBER('Dvd Calendar'!$O$1350)*100000000+('Dvd Calendar'!$O$1352=SPECIAL_LBL)*10000000+(N('Dvd Calendar'!$O$1346)&gt;0)*(N('Dvd Calendar'!$O$1346)&lt;=VAL_SERIAL)*1000000+22*1000+11))</f>
        <v/>
      </c>
      <c r="EP137" s="121">
        <f>IF(N('Dvd Calendar'!$P$1347)=0,"",IF(('Dvd Calendar'!$P$1347&gt;=GRID_FROM)*('Dvd Calendar'!$P$1347&lt;=GRID_TO)*((('Dvd Calendar'!$P$1347&lt;=VAL_DATE)+(COUNTIF('Dvd Calendar'!$E$1354:$AR$1354,'Dvd Calendar'!$P$1347)=0))&gt;0)=0,"",'Dvd Calendar'!$P$1347*1000000000+ISNUMBER('Dvd Calendar'!$P$1350)*100000000+('Dvd Calendar'!$P$1352=SPECIAL_LBL)*10000000+(N('Dvd Calendar'!$P$1346)&gt;0)*(N('Dvd Calendar'!$P$1346)&lt;=VAL_SERIAL)*1000000+22*1000+12))</f>
        <v/>
      </c>
      <c r="EQ137" s="121">
        <f>IF(N('Dvd Calendar'!$Q$1347)=0,"",IF(('Dvd Calendar'!$Q$1347&gt;=GRID_FROM)*('Dvd Calendar'!$Q$1347&lt;=GRID_TO)*((('Dvd Calendar'!$Q$1347&lt;=VAL_DATE)+(COUNTIF('Dvd Calendar'!$E$1354:$AR$1354,'Dvd Calendar'!$Q$1347)=0))&gt;0)=0,"",'Dvd Calendar'!$Q$1347*1000000000+ISNUMBER('Dvd Calendar'!$Q$1350)*100000000+('Dvd Calendar'!$Q$1352=SPECIAL_LBL)*10000000+(N('Dvd Calendar'!$Q$1346)&gt;0)*(N('Dvd Calendar'!$Q$1346)&lt;=VAL_SERIAL)*1000000+22*1000+13))</f>
        <v/>
      </c>
      <c r="ER137" s="121">
        <f>IF(N('Dvd Calendar'!$R$1347)=0,"",IF(('Dvd Calendar'!$R$1347&gt;=GRID_FROM)*('Dvd Calendar'!$R$1347&lt;=GRID_TO)*((('Dvd Calendar'!$R$1347&lt;=VAL_DATE)+(COUNTIF('Dvd Calendar'!$E$1354:$AR$1354,'Dvd Calendar'!$R$1347)=0))&gt;0)=0,"",'Dvd Calendar'!$R$1347*1000000000+ISNUMBER('Dvd Calendar'!$R$1350)*100000000+('Dvd Calendar'!$R$1352=SPECIAL_LBL)*10000000+(N('Dvd Calendar'!$R$1346)&gt;0)*(N('Dvd Calendar'!$R$1346)&lt;=VAL_SERIAL)*1000000+22*1000+14))</f>
        <v/>
      </c>
      <c r="ES137" s="121">
        <f>IF(N('Dvd Calendar'!$S$1347)=0,"",IF(('Dvd Calendar'!$S$1347&gt;=GRID_FROM)*('Dvd Calendar'!$S$1347&lt;=GRID_TO)*((('Dvd Calendar'!$S$1347&lt;=VAL_DATE)+(COUNTIF('Dvd Calendar'!$E$1354:$AR$1354,'Dvd Calendar'!$S$1347)=0))&gt;0)=0,"",'Dvd Calendar'!$S$1347*1000000000+ISNUMBER('Dvd Calendar'!$S$1350)*100000000+('Dvd Calendar'!$S$1352=SPECIAL_LBL)*10000000+(N('Dvd Calendar'!$S$1346)&gt;0)*(N('Dvd Calendar'!$S$1346)&lt;=VAL_SERIAL)*1000000+22*1000+15))</f>
        <v/>
      </c>
      <c r="ET137" s="121">
        <f>IF(N('Dvd Calendar'!$T$1347)=0,"",IF(('Dvd Calendar'!$T$1347&gt;=GRID_FROM)*('Dvd Calendar'!$T$1347&lt;=GRID_TO)*((('Dvd Calendar'!$T$1347&lt;=VAL_DATE)+(COUNTIF('Dvd Calendar'!$E$1354:$AR$1354,'Dvd Calendar'!$T$1347)=0))&gt;0)=0,"",'Dvd Calendar'!$T$1347*1000000000+ISNUMBER('Dvd Calendar'!$T$1350)*100000000+('Dvd Calendar'!$T$1352=SPECIAL_LBL)*10000000+(N('Dvd Calendar'!$T$1346)&gt;0)*(N('Dvd Calendar'!$T$1346)&lt;=VAL_SERIAL)*1000000+22*1000+16))</f>
        <v/>
      </c>
      <c r="EU137" s="121">
        <f>IF(N('Dvd Calendar'!$U$1347)=0,"",IF(('Dvd Calendar'!$U$1347&gt;=GRID_FROM)*('Dvd Calendar'!$U$1347&lt;=GRID_TO)*((('Dvd Calendar'!$U$1347&lt;=VAL_DATE)+(COUNTIF('Dvd Calendar'!$E$1354:$AR$1354,'Dvd Calendar'!$U$1347)=0))&gt;0)=0,"",'Dvd Calendar'!$U$1347*1000000000+ISNUMBER('Dvd Calendar'!$U$1350)*100000000+('Dvd Calendar'!$U$1352=SPECIAL_LBL)*10000000+(N('Dvd Calendar'!$U$1346)&gt;0)*(N('Dvd Calendar'!$U$1346)&lt;=VAL_SERIAL)*1000000+22*1000+17))</f>
        <v/>
      </c>
      <c r="EV137" s="121">
        <f>IF(N('Dvd Calendar'!$V$1347)=0,"",IF(('Dvd Calendar'!$V$1347&gt;=GRID_FROM)*('Dvd Calendar'!$V$1347&lt;=GRID_TO)*((('Dvd Calendar'!$V$1347&lt;=VAL_DATE)+(COUNTIF('Dvd Calendar'!$E$1354:$AR$1354,'Dvd Calendar'!$V$1347)=0))&gt;0)=0,"",'Dvd Calendar'!$V$1347*1000000000+ISNUMBER('Dvd Calendar'!$V$1350)*100000000+('Dvd Calendar'!$V$1352=SPECIAL_LBL)*10000000+(N('Dvd Calendar'!$V$1346)&gt;0)*(N('Dvd Calendar'!$V$1346)&lt;=VAL_SERIAL)*1000000+22*1000+18))</f>
        <v/>
      </c>
      <c r="EW137" s="121">
        <f>IF(N('Dvd Calendar'!$W$1347)=0,"",IF(('Dvd Calendar'!$W$1347&gt;=GRID_FROM)*('Dvd Calendar'!$W$1347&lt;=GRID_TO)*((('Dvd Calendar'!$W$1347&lt;=VAL_DATE)+(COUNTIF('Dvd Calendar'!$E$1354:$AR$1354,'Dvd Calendar'!$W$1347)=0))&gt;0)=0,"",'Dvd Calendar'!$W$1347*1000000000+ISNUMBER('Dvd Calendar'!$W$1350)*100000000+('Dvd Calendar'!$W$1352=SPECIAL_LBL)*10000000+(N('Dvd Calendar'!$W$1346)&gt;0)*(N('Dvd Calendar'!$W$1346)&lt;=VAL_SERIAL)*1000000+22*1000+19))</f>
        <v/>
      </c>
      <c r="EX137" s="121">
        <f>IF(N('Dvd Calendar'!$X$1347)=0,"",IF(('Dvd Calendar'!$X$1347&gt;=GRID_FROM)*('Dvd Calendar'!$X$1347&lt;=GRID_TO)*((('Dvd Calendar'!$X$1347&lt;=VAL_DATE)+(COUNTIF('Dvd Calendar'!$E$1354:$AR$1354,'Dvd Calendar'!$X$1347)=0))&gt;0)=0,"",'Dvd Calendar'!$X$1347*1000000000+ISNUMBER('Dvd Calendar'!$X$1350)*100000000+('Dvd Calendar'!$X$1352=SPECIAL_LBL)*10000000+(N('Dvd Calendar'!$X$1346)&gt;0)*(N('Dvd Calendar'!$X$1346)&lt;=VAL_SERIAL)*1000000+22*1000+20))</f>
        <v/>
      </c>
      <c r="EY137" s="121">
        <f>IF(N('Dvd Calendar'!$Y$1347)=0,"",IF(('Dvd Calendar'!$Y$1347&gt;=GRID_FROM)*('Dvd Calendar'!$Y$1347&lt;=GRID_TO)*((('Dvd Calendar'!$Y$1347&lt;=VAL_DATE)+(COUNTIF('Dvd Calendar'!$E$1354:$AR$1354,'Dvd Calendar'!$Y$1347)=0))&gt;0)=0,"",'Dvd Calendar'!$Y$1347*1000000000+ISNUMBER('Dvd Calendar'!$Y$1350)*100000000+('Dvd Calendar'!$Y$1352=SPECIAL_LBL)*10000000+(N('Dvd Calendar'!$Y$1346)&gt;0)*(N('Dvd Calendar'!$Y$1346)&lt;=VAL_SERIAL)*1000000+22*1000+21))</f>
        <v/>
      </c>
      <c r="EZ137" s="121">
        <f>IF(N('Dvd Calendar'!$Z$1347)=0,"",IF(('Dvd Calendar'!$Z$1347&gt;=GRID_FROM)*('Dvd Calendar'!$Z$1347&lt;=GRID_TO)*((('Dvd Calendar'!$Z$1347&lt;=VAL_DATE)+(COUNTIF('Dvd Calendar'!$E$1354:$AR$1354,'Dvd Calendar'!$Z$1347)=0))&gt;0)=0,"",'Dvd Calendar'!$Z$1347*1000000000+ISNUMBER('Dvd Calendar'!$Z$1350)*100000000+('Dvd Calendar'!$Z$1352=SPECIAL_LBL)*10000000+(N('Dvd Calendar'!$Z$1346)&gt;0)*(N('Dvd Calendar'!$Z$1346)&lt;=VAL_SERIAL)*1000000+22*1000+22))</f>
        <v/>
      </c>
      <c r="FA137" s="121">
        <f>IF(N('Dvd Calendar'!$AA$1347)=0,"",IF(('Dvd Calendar'!$AA$1347&gt;=GRID_FROM)*('Dvd Calendar'!$AA$1347&lt;=GRID_TO)*((('Dvd Calendar'!$AA$1347&lt;=VAL_DATE)+(COUNTIF('Dvd Calendar'!$E$1354:$AR$1354,'Dvd Calendar'!$AA$1347)=0))&gt;0)=0,"",'Dvd Calendar'!$AA$1347*1000000000+ISNUMBER('Dvd Calendar'!$AA$1350)*100000000+('Dvd Calendar'!$AA$1352=SPECIAL_LBL)*10000000+(N('Dvd Calendar'!$AA$1346)&gt;0)*(N('Dvd Calendar'!$AA$1346)&lt;=VAL_SERIAL)*1000000+22*1000+23))</f>
        <v/>
      </c>
      <c r="FB137" s="121">
        <f>IF(N('Dvd Calendar'!$AB$1347)=0,"",IF(('Dvd Calendar'!$AB$1347&gt;=GRID_FROM)*('Dvd Calendar'!$AB$1347&lt;=GRID_TO)*((('Dvd Calendar'!$AB$1347&lt;=VAL_DATE)+(COUNTIF('Dvd Calendar'!$E$1354:$AR$1354,'Dvd Calendar'!$AB$1347)=0))&gt;0)=0,"",'Dvd Calendar'!$AB$1347*1000000000+ISNUMBER('Dvd Calendar'!$AB$1350)*100000000+('Dvd Calendar'!$AB$1352=SPECIAL_LBL)*10000000+(N('Dvd Calendar'!$AB$1346)&gt;0)*(N('Dvd Calendar'!$AB$1346)&lt;=VAL_SERIAL)*1000000+22*1000+24))</f>
        <v/>
      </c>
      <c r="FC137" s="121">
        <f>IF(N('Dvd Calendar'!$AC$1347)=0,"",IF(('Dvd Calendar'!$AC$1347&gt;=GRID_FROM)*('Dvd Calendar'!$AC$1347&lt;=GRID_TO)*((('Dvd Calendar'!$AC$1347&lt;=VAL_DATE)+(COUNTIF('Dvd Calendar'!$E$1354:$AR$1354,'Dvd Calendar'!$AC$1347)=0))&gt;0)=0,"",'Dvd Calendar'!$AC$1347*1000000000+ISNUMBER('Dvd Calendar'!$AC$1350)*100000000+('Dvd Calendar'!$AC$1352=SPECIAL_LBL)*10000000+(N('Dvd Calendar'!$AC$1346)&gt;0)*(N('Dvd Calendar'!$AC$1346)&lt;=VAL_SERIAL)*1000000+22*1000+25))</f>
        <v/>
      </c>
      <c r="FD137" s="121">
        <f>IF(N('Dvd Calendar'!$AD$1347)=0,"",IF(('Dvd Calendar'!$AD$1347&gt;=GRID_FROM)*('Dvd Calendar'!$AD$1347&lt;=GRID_TO)*((('Dvd Calendar'!$AD$1347&lt;=VAL_DATE)+(COUNTIF('Dvd Calendar'!$E$1354:$AR$1354,'Dvd Calendar'!$AD$1347)=0))&gt;0)=0,"",'Dvd Calendar'!$AD$1347*1000000000+ISNUMBER('Dvd Calendar'!$AD$1350)*100000000+('Dvd Calendar'!$AD$1352=SPECIAL_LBL)*10000000+(N('Dvd Calendar'!$AD$1346)&gt;0)*(N('Dvd Calendar'!$AD$1346)&lt;=VAL_SERIAL)*1000000+22*1000+26))</f>
        <v/>
      </c>
      <c r="FE137" s="121">
        <f>IF(N('Dvd Calendar'!$AE$1347)=0,"",IF(('Dvd Calendar'!$AE$1347&gt;=GRID_FROM)*('Dvd Calendar'!$AE$1347&lt;=GRID_TO)*((('Dvd Calendar'!$AE$1347&lt;=VAL_DATE)+(COUNTIF('Dvd Calendar'!$E$1354:$AR$1354,'Dvd Calendar'!$AE$1347)=0))&gt;0)=0,"",'Dvd Calendar'!$AE$1347*1000000000+ISNUMBER('Dvd Calendar'!$AE$1350)*100000000+('Dvd Calendar'!$AE$1352=SPECIAL_LBL)*10000000+(N('Dvd Calendar'!$AE$1346)&gt;0)*(N('Dvd Calendar'!$AE$1346)&lt;=VAL_SERIAL)*1000000+22*1000+27))</f>
        <v/>
      </c>
      <c r="FF137" s="121">
        <f>IF(N('Dvd Calendar'!$AF$1347)=0,"",IF(('Dvd Calendar'!$AF$1347&gt;=GRID_FROM)*('Dvd Calendar'!$AF$1347&lt;=GRID_TO)*((('Dvd Calendar'!$AF$1347&lt;=VAL_DATE)+(COUNTIF('Dvd Calendar'!$E$1354:$AR$1354,'Dvd Calendar'!$AF$1347)=0))&gt;0)=0,"",'Dvd Calendar'!$AF$1347*1000000000+ISNUMBER('Dvd Calendar'!$AF$1350)*100000000+('Dvd Calendar'!$AF$1352=SPECIAL_LBL)*10000000+(N('Dvd Calendar'!$AF$1346)&gt;0)*(N('Dvd Calendar'!$AF$1346)&lt;=VAL_SERIAL)*1000000+22*1000+28))</f>
        <v/>
      </c>
      <c r="FG137" s="121">
        <f>IF(N('Dvd Calendar'!$AG$1347)=0,"",IF(('Dvd Calendar'!$AG$1347&gt;=GRID_FROM)*('Dvd Calendar'!$AG$1347&lt;=GRID_TO)*((('Dvd Calendar'!$AG$1347&lt;=VAL_DATE)+(COUNTIF('Dvd Calendar'!$E$1354:$AR$1354,'Dvd Calendar'!$AG$1347)=0))&gt;0)=0,"",'Dvd Calendar'!$AG$1347*1000000000+ISNUMBER('Dvd Calendar'!$AG$1350)*100000000+('Dvd Calendar'!$AG$1352=SPECIAL_LBL)*10000000+(N('Dvd Calendar'!$AG$1346)&gt;0)*(N('Dvd Calendar'!$AG$1346)&lt;=VAL_SERIAL)*1000000+22*1000+29))</f>
        <v/>
      </c>
      <c r="FH137" s="121">
        <f>IF(N('Dvd Calendar'!$AH$1347)=0,"",IF(('Dvd Calendar'!$AH$1347&gt;=GRID_FROM)*('Dvd Calendar'!$AH$1347&lt;=GRID_TO)*((('Dvd Calendar'!$AH$1347&lt;=VAL_DATE)+(COUNTIF('Dvd Calendar'!$E$1354:$AR$1354,'Dvd Calendar'!$AH$1347)=0))&gt;0)=0,"",'Dvd Calendar'!$AH$1347*1000000000+ISNUMBER('Dvd Calendar'!$AH$1350)*100000000+('Dvd Calendar'!$AH$1352=SPECIAL_LBL)*10000000+(N('Dvd Calendar'!$AH$1346)&gt;0)*(N('Dvd Calendar'!$AH$1346)&lt;=VAL_SERIAL)*1000000+22*1000+30))</f>
        <v/>
      </c>
      <c r="FI137" s="121">
        <f>IF(N('Dvd Calendar'!$AI$1347)=0,"",IF(('Dvd Calendar'!$AI$1347&gt;=GRID_FROM)*('Dvd Calendar'!$AI$1347&lt;=GRID_TO)*((('Dvd Calendar'!$AI$1347&lt;=VAL_DATE)+(COUNTIF('Dvd Calendar'!$E$1354:$AR$1354,'Dvd Calendar'!$AI$1347)=0))&gt;0)=0,"",'Dvd Calendar'!$AI$1347*1000000000+ISNUMBER('Dvd Calendar'!$AI$1350)*100000000+('Dvd Calendar'!$AI$1352=SPECIAL_LBL)*10000000+(N('Dvd Calendar'!$AI$1346)&gt;0)*(N('Dvd Calendar'!$AI$1346)&lt;=VAL_SERIAL)*1000000+22*1000+31))</f>
        <v/>
      </c>
      <c r="FJ137" s="121">
        <f>IF(N('Dvd Calendar'!$AJ$1347)=0,"",IF(('Dvd Calendar'!$AJ$1347&gt;=GRID_FROM)*('Dvd Calendar'!$AJ$1347&lt;=GRID_TO)*((('Dvd Calendar'!$AJ$1347&lt;=VAL_DATE)+(COUNTIF('Dvd Calendar'!$E$1354:$AR$1354,'Dvd Calendar'!$AJ$1347)=0))&gt;0)=0,"",'Dvd Calendar'!$AJ$1347*1000000000+ISNUMBER('Dvd Calendar'!$AJ$1350)*100000000+('Dvd Calendar'!$AJ$1352=SPECIAL_LBL)*10000000+(N('Dvd Calendar'!$AJ$1346)&gt;0)*(N('Dvd Calendar'!$AJ$1346)&lt;=VAL_SERIAL)*1000000+22*1000+32))</f>
        <v/>
      </c>
      <c r="FK137" s="121">
        <f>IF(N('Dvd Calendar'!$AK$1347)=0,"",IF(('Dvd Calendar'!$AK$1347&gt;=GRID_FROM)*('Dvd Calendar'!$AK$1347&lt;=GRID_TO)*((('Dvd Calendar'!$AK$1347&lt;=VAL_DATE)+(COUNTIF('Dvd Calendar'!$E$1354:$AR$1354,'Dvd Calendar'!$AK$1347)=0))&gt;0)=0,"",'Dvd Calendar'!$AK$1347*1000000000+ISNUMBER('Dvd Calendar'!$AK$1350)*100000000+('Dvd Calendar'!$AK$1352=SPECIAL_LBL)*10000000+(N('Dvd Calendar'!$AK$1346)&gt;0)*(N('Dvd Calendar'!$AK$1346)&lt;=VAL_SERIAL)*1000000+22*1000+33))</f>
        <v/>
      </c>
      <c r="FL137" s="121">
        <f>IF(N('Dvd Calendar'!$AL$1347)=0,"",IF(('Dvd Calendar'!$AL$1347&gt;=GRID_FROM)*('Dvd Calendar'!$AL$1347&lt;=GRID_TO)*((('Dvd Calendar'!$AL$1347&lt;=VAL_DATE)+(COUNTIF('Dvd Calendar'!$E$1354:$AR$1354,'Dvd Calendar'!$AL$1347)=0))&gt;0)=0,"",'Dvd Calendar'!$AL$1347*1000000000+ISNUMBER('Dvd Calendar'!$AL$1350)*100000000+('Dvd Calendar'!$AL$1352=SPECIAL_LBL)*10000000+(N('Dvd Calendar'!$AL$1346)&gt;0)*(N('Dvd Calendar'!$AL$1346)&lt;=VAL_SERIAL)*1000000+22*1000+34))</f>
        <v/>
      </c>
      <c r="FM137" s="121">
        <f>IF(N('Dvd Calendar'!$AM$1347)=0,"",IF(('Dvd Calendar'!$AM$1347&gt;=GRID_FROM)*('Dvd Calendar'!$AM$1347&lt;=GRID_TO)*((('Dvd Calendar'!$AM$1347&lt;=VAL_DATE)+(COUNTIF('Dvd Calendar'!$E$1354:$AR$1354,'Dvd Calendar'!$AM$1347)=0))&gt;0)=0,"",'Dvd Calendar'!$AM$1347*1000000000+ISNUMBER('Dvd Calendar'!$AM$1350)*100000000+('Dvd Calendar'!$AM$1352=SPECIAL_LBL)*10000000+(N('Dvd Calendar'!$AM$1346)&gt;0)*(N('Dvd Calendar'!$AM$1346)&lt;=VAL_SERIAL)*1000000+22*1000+35))</f>
        <v/>
      </c>
      <c r="FN137" s="121">
        <f>IF(N('Dvd Calendar'!$AN$1347)=0,"",IF(('Dvd Calendar'!$AN$1347&gt;=GRID_FROM)*('Dvd Calendar'!$AN$1347&lt;=GRID_TO)*((('Dvd Calendar'!$AN$1347&lt;=VAL_DATE)+(COUNTIF('Dvd Calendar'!$E$1354:$AR$1354,'Dvd Calendar'!$AN$1347)=0))&gt;0)=0,"",'Dvd Calendar'!$AN$1347*1000000000+ISNUMBER('Dvd Calendar'!$AN$1350)*100000000+('Dvd Calendar'!$AN$1352=SPECIAL_LBL)*10000000+(N('Dvd Calendar'!$AN$1346)&gt;0)*(N('Dvd Calendar'!$AN$1346)&lt;=VAL_SERIAL)*1000000+22*1000+36))</f>
        <v/>
      </c>
      <c r="FO137" s="121">
        <f>IF(N('Dvd Calendar'!$AO$1347)=0,"",IF(('Dvd Calendar'!$AO$1347&gt;=GRID_FROM)*('Dvd Calendar'!$AO$1347&lt;=GRID_TO)*((('Dvd Calendar'!$AO$1347&lt;=VAL_DATE)+(COUNTIF('Dvd Calendar'!$E$1354:$AR$1354,'Dvd Calendar'!$AO$1347)=0))&gt;0)=0,"",'Dvd Calendar'!$AO$1347*1000000000+ISNUMBER('Dvd Calendar'!$AO$1350)*100000000+('Dvd Calendar'!$AO$1352=SPECIAL_LBL)*10000000+(N('Dvd Calendar'!$AO$1346)&gt;0)*(N('Dvd Calendar'!$AO$1346)&lt;=VAL_SERIAL)*1000000+22*1000+37))</f>
        <v/>
      </c>
      <c r="FP137" s="121">
        <f>IF(N('Dvd Calendar'!$AP$1347)=0,"",IF(('Dvd Calendar'!$AP$1347&gt;=GRID_FROM)*('Dvd Calendar'!$AP$1347&lt;=GRID_TO)*((('Dvd Calendar'!$AP$1347&lt;=VAL_DATE)+(COUNTIF('Dvd Calendar'!$E$1354:$AR$1354,'Dvd Calendar'!$AP$1347)=0))&gt;0)=0,"",'Dvd Calendar'!$AP$1347*1000000000+ISNUMBER('Dvd Calendar'!$AP$1350)*100000000+('Dvd Calendar'!$AP$1352=SPECIAL_LBL)*10000000+(N('Dvd Calendar'!$AP$1346)&gt;0)*(N('Dvd Calendar'!$AP$1346)&lt;=VAL_SERIAL)*1000000+22*1000+38))</f>
        <v/>
      </c>
      <c r="FQ137" s="121">
        <f>IF(N('Dvd Calendar'!$AQ$1347)=0,"",IF(('Dvd Calendar'!$AQ$1347&gt;=GRID_FROM)*('Dvd Calendar'!$AQ$1347&lt;=GRID_TO)*((('Dvd Calendar'!$AQ$1347&lt;=VAL_DATE)+(COUNTIF('Dvd Calendar'!$E$1354:$AR$1354,'Dvd Calendar'!$AQ$1347)=0))&gt;0)=0,"",'Dvd Calendar'!$AQ$1347*1000000000+ISNUMBER('Dvd Calendar'!$AQ$1350)*100000000+('Dvd Calendar'!$AQ$1352=SPECIAL_LBL)*10000000+(N('Dvd Calendar'!$AQ$1346)&gt;0)*(N('Dvd Calendar'!$AQ$1346)&lt;=VAL_SERIAL)*1000000+22*1000+39))</f>
        <v/>
      </c>
      <c r="FR137" s="121">
        <f>IF(N('Dvd Calendar'!$AR$1347)=0,"",IF(('Dvd Calendar'!$AR$1347&gt;=GRID_FROM)*('Dvd Calendar'!$AR$1347&lt;=GRID_TO)*((('Dvd Calendar'!$AR$1347&lt;=VAL_DATE)+(COUNTIF('Dvd Calendar'!$E$1354:$AR$1354,'Dvd Calendar'!$AR$1347)=0))&gt;0)=0,"",'Dvd Calendar'!$AR$1347*1000000000+ISNUMBER('Dvd Calendar'!$AR$1350)*100000000+('Dvd Calendar'!$AR$1352=SPECIAL_LBL)*10000000+(N('Dvd Calendar'!$AR$1346)&gt;0)*(N('Dvd Calendar'!$AR$1346)&lt;=VAL_SERIAL)*1000000+22*1000+40))</f>
        <v/>
      </c>
      <c r="FS137" s="121">
        <f>IF(N('Dvd Calendar'!$E$1354)=0,"",IF(('Dvd Calendar'!$E$1354&gt;=GRID_FROM)*('Dvd Calendar'!$E$1354&lt;=GRID_TO)*('Dvd Calendar'!$E$1354&gt;VAL_DATE)=0,"",'Dvd Calendar'!$E$1354*1000000000+ISNUMBER('Dvd Calendar'!$E$1355)*100000000+0*10000000+(N('Dvd Calendar'!$E$1353)&gt;0)*(N('Dvd Calendar'!$E$1353)&lt;=VAL_SERIAL)*1000000+22*1000+41))</f>
        <v/>
      </c>
      <c r="FT137" s="121">
        <f>IF(N('Dvd Calendar'!$F$1354)=0,"",IF(('Dvd Calendar'!$F$1354&gt;=GRID_FROM)*('Dvd Calendar'!$F$1354&lt;=GRID_TO)*('Dvd Calendar'!$F$1354&gt;VAL_DATE)=0,"",'Dvd Calendar'!$F$1354*1000000000+ISNUMBER('Dvd Calendar'!$F$1355)*100000000+0*10000000+(N('Dvd Calendar'!$F$1353)&gt;0)*(N('Dvd Calendar'!$F$1353)&lt;=VAL_SERIAL)*1000000+22*1000+42))</f>
        <v/>
      </c>
      <c r="FU137" s="121">
        <f>IF(N('Dvd Calendar'!$G$1354)=0,"",IF(('Dvd Calendar'!$G$1354&gt;=GRID_FROM)*('Dvd Calendar'!$G$1354&lt;=GRID_TO)*('Dvd Calendar'!$G$1354&gt;VAL_DATE)=0,"",'Dvd Calendar'!$G$1354*1000000000+ISNUMBER('Dvd Calendar'!$G$1355)*100000000+0*10000000+(N('Dvd Calendar'!$G$1353)&gt;0)*(N('Dvd Calendar'!$G$1353)&lt;=VAL_SERIAL)*1000000+22*1000+43))</f>
        <v/>
      </c>
      <c r="FV137" s="121">
        <f>IF(N('Dvd Calendar'!$H$1354)=0,"",IF(('Dvd Calendar'!$H$1354&gt;=GRID_FROM)*('Dvd Calendar'!$H$1354&lt;=GRID_TO)*('Dvd Calendar'!$H$1354&gt;VAL_DATE)=0,"",'Dvd Calendar'!$H$1354*1000000000+ISNUMBER('Dvd Calendar'!$H$1355)*100000000+0*10000000+(N('Dvd Calendar'!$H$1353)&gt;0)*(N('Dvd Calendar'!$H$1353)&lt;=VAL_SERIAL)*1000000+22*1000+44))</f>
        <v/>
      </c>
      <c r="FW137" s="121">
        <f>IF(N('Dvd Calendar'!$I$1354)=0,"",IF(('Dvd Calendar'!$I$1354&gt;=GRID_FROM)*('Dvd Calendar'!$I$1354&lt;=GRID_TO)*('Dvd Calendar'!$I$1354&gt;VAL_DATE)=0,"",'Dvd Calendar'!$I$1354*1000000000+ISNUMBER('Dvd Calendar'!$I$1355)*100000000+0*10000000+(N('Dvd Calendar'!$I$1353)&gt;0)*(N('Dvd Calendar'!$I$1353)&lt;=VAL_SERIAL)*1000000+22*1000+45))</f>
        <v/>
      </c>
      <c r="FX137" s="121">
        <f>IF(N('Dvd Calendar'!$J$1354)=0,"",IF(('Dvd Calendar'!$J$1354&gt;=GRID_FROM)*('Dvd Calendar'!$J$1354&lt;=GRID_TO)*('Dvd Calendar'!$J$1354&gt;VAL_DATE)=0,"",'Dvd Calendar'!$J$1354*1000000000+ISNUMBER('Dvd Calendar'!$J$1355)*100000000+0*10000000+(N('Dvd Calendar'!$J$1353)&gt;0)*(N('Dvd Calendar'!$J$1353)&lt;=VAL_SERIAL)*1000000+22*1000+46))</f>
        <v/>
      </c>
      <c r="FY137" s="121">
        <f>IF(N('Dvd Calendar'!$K$1354)=0,"",IF(('Dvd Calendar'!$K$1354&gt;=GRID_FROM)*('Dvd Calendar'!$K$1354&lt;=GRID_TO)*('Dvd Calendar'!$K$1354&gt;VAL_DATE)=0,"",'Dvd Calendar'!$K$1354*1000000000+ISNUMBER('Dvd Calendar'!$K$1355)*100000000+0*10000000+(N('Dvd Calendar'!$K$1353)&gt;0)*(N('Dvd Calendar'!$K$1353)&lt;=VAL_SERIAL)*1000000+22*1000+47))</f>
        <v/>
      </c>
      <c r="FZ137" s="121">
        <f>IF(N('Dvd Calendar'!$L$1354)=0,"",IF(('Dvd Calendar'!$L$1354&gt;=GRID_FROM)*('Dvd Calendar'!$L$1354&lt;=GRID_TO)*('Dvd Calendar'!$L$1354&gt;VAL_DATE)=0,"",'Dvd Calendar'!$L$1354*1000000000+ISNUMBER('Dvd Calendar'!$L$1355)*100000000+0*10000000+(N('Dvd Calendar'!$L$1353)&gt;0)*(N('Dvd Calendar'!$L$1353)&lt;=VAL_SERIAL)*1000000+22*1000+48))</f>
        <v/>
      </c>
      <c r="GA137" s="121">
        <f>IF(N('Dvd Calendar'!$M$1354)=0,"",IF(('Dvd Calendar'!$M$1354&gt;=GRID_FROM)*('Dvd Calendar'!$M$1354&lt;=GRID_TO)*('Dvd Calendar'!$M$1354&gt;VAL_DATE)=0,"",'Dvd Calendar'!$M$1354*1000000000+ISNUMBER('Dvd Calendar'!$M$1355)*100000000+0*10000000+(N('Dvd Calendar'!$M$1353)&gt;0)*(N('Dvd Calendar'!$M$1353)&lt;=VAL_SERIAL)*1000000+22*1000+49))</f>
        <v/>
      </c>
      <c r="GB137" s="121">
        <f>IF(N('Dvd Calendar'!$N$1354)=0,"",IF(('Dvd Calendar'!$N$1354&gt;=GRID_FROM)*('Dvd Calendar'!$N$1354&lt;=GRID_TO)*('Dvd Calendar'!$N$1354&gt;VAL_DATE)=0,"",'Dvd Calendar'!$N$1354*1000000000+ISNUMBER('Dvd Calendar'!$N$1355)*100000000+0*10000000+(N('Dvd Calendar'!$N$1353)&gt;0)*(N('Dvd Calendar'!$N$1353)&lt;=VAL_SERIAL)*1000000+22*1000+50))</f>
        <v/>
      </c>
      <c r="GC137" s="121">
        <f>IF(N('Dvd Calendar'!$O$1354)=0,"",IF(('Dvd Calendar'!$O$1354&gt;=GRID_FROM)*('Dvd Calendar'!$O$1354&lt;=GRID_TO)*('Dvd Calendar'!$O$1354&gt;VAL_DATE)=0,"",'Dvd Calendar'!$O$1354*1000000000+ISNUMBER('Dvd Calendar'!$O$1355)*100000000+0*10000000+(N('Dvd Calendar'!$O$1353)&gt;0)*(N('Dvd Calendar'!$O$1353)&lt;=VAL_SERIAL)*1000000+22*1000+51))</f>
        <v/>
      </c>
      <c r="GD137" s="121">
        <f>IF(N('Dvd Calendar'!$P$1354)=0,"",IF(('Dvd Calendar'!$P$1354&gt;=GRID_FROM)*('Dvd Calendar'!$P$1354&lt;=GRID_TO)*('Dvd Calendar'!$P$1354&gt;VAL_DATE)=0,"",'Dvd Calendar'!$P$1354*1000000000+ISNUMBER('Dvd Calendar'!$P$1355)*100000000+0*10000000+(N('Dvd Calendar'!$P$1353)&gt;0)*(N('Dvd Calendar'!$P$1353)&lt;=VAL_SERIAL)*1000000+22*1000+52))</f>
        <v/>
      </c>
      <c r="GE137" s="121">
        <f>IF(N('Dvd Calendar'!$Q$1354)=0,"",IF(('Dvd Calendar'!$Q$1354&gt;=GRID_FROM)*('Dvd Calendar'!$Q$1354&lt;=GRID_TO)*('Dvd Calendar'!$Q$1354&gt;VAL_DATE)=0,"",'Dvd Calendar'!$Q$1354*1000000000+ISNUMBER('Dvd Calendar'!$Q$1355)*100000000+0*10000000+(N('Dvd Calendar'!$Q$1353)&gt;0)*(N('Dvd Calendar'!$Q$1353)&lt;=VAL_SERIAL)*1000000+22*1000+53))</f>
        <v/>
      </c>
      <c r="GF137" s="121">
        <f>IF(N('Dvd Calendar'!$R$1354)=0,"",IF(('Dvd Calendar'!$R$1354&gt;=GRID_FROM)*('Dvd Calendar'!$R$1354&lt;=GRID_TO)*('Dvd Calendar'!$R$1354&gt;VAL_DATE)=0,"",'Dvd Calendar'!$R$1354*1000000000+ISNUMBER('Dvd Calendar'!$R$1355)*100000000+0*10000000+(N('Dvd Calendar'!$R$1353)&gt;0)*(N('Dvd Calendar'!$R$1353)&lt;=VAL_SERIAL)*1000000+22*1000+54))</f>
        <v/>
      </c>
      <c r="GG137" s="121">
        <f>IF(N('Dvd Calendar'!$S$1354)=0,"",IF(('Dvd Calendar'!$S$1354&gt;=GRID_FROM)*('Dvd Calendar'!$S$1354&lt;=GRID_TO)*('Dvd Calendar'!$S$1354&gt;VAL_DATE)=0,"",'Dvd Calendar'!$S$1354*1000000000+ISNUMBER('Dvd Calendar'!$S$1355)*100000000+0*10000000+(N('Dvd Calendar'!$S$1353)&gt;0)*(N('Dvd Calendar'!$S$1353)&lt;=VAL_SERIAL)*1000000+22*1000+55))</f>
        <v/>
      </c>
      <c r="GH137" s="121">
        <f>IF(N('Dvd Calendar'!$T$1354)=0,"",IF(('Dvd Calendar'!$T$1354&gt;=GRID_FROM)*('Dvd Calendar'!$T$1354&lt;=GRID_TO)*('Dvd Calendar'!$T$1354&gt;VAL_DATE)=0,"",'Dvd Calendar'!$T$1354*1000000000+ISNUMBER('Dvd Calendar'!$T$1355)*100000000+0*10000000+(N('Dvd Calendar'!$T$1353)&gt;0)*(N('Dvd Calendar'!$T$1353)&lt;=VAL_SERIAL)*1000000+22*1000+56))</f>
        <v/>
      </c>
      <c r="GI137" s="121">
        <f>IF(N('Dvd Calendar'!$U$1354)=0,"",IF(('Dvd Calendar'!$U$1354&gt;=GRID_FROM)*('Dvd Calendar'!$U$1354&lt;=GRID_TO)*('Dvd Calendar'!$U$1354&gt;VAL_DATE)=0,"",'Dvd Calendar'!$U$1354*1000000000+ISNUMBER('Dvd Calendar'!$U$1355)*100000000+0*10000000+(N('Dvd Calendar'!$U$1353)&gt;0)*(N('Dvd Calendar'!$U$1353)&lt;=VAL_SERIAL)*1000000+22*1000+57))</f>
        <v/>
      </c>
      <c r="GJ137" s="121">
        <f>IF(N('Dvd Calendar'!$V$1354)=0,"",IF(('Dvd Calendar'!$V$1354&gt;=GRID_FROM)*('Dvd Calendar'!$V$1354&lt;=GRID_TO)*('Dvd Calendar'!$V$1354&gt;VAL_DATE)=0,"",'Dvd Calendar'!$V$1354*1000000000+ISNUMBER('Dvd Calendar'!$V$1355)*100000000+0*10000000+(N('Dvd Calendar'!$V$1353)&gt;0)*(N('Dvd Calendar'!$V$1353)&lt;=VAL_SERIAL)*1000000+22*1000+58))</f>
        <v/>
      </c>
      <c r="GK137" s="121">
        <f>IF(N('Dvd Calendar'!$W$1354)=0,"",IF(('Dvd Calendar'!$W$1354&gt;=GRID_FROM)*('Dvd Calendar'!$W$1354&lt;=GRID_TO)*('Dvd Calendar'!$W$1354&gt;VAL_DATE)=0,"",'Dvd Calendar'!$W$1354*1000000000+ISNUMBER('Dvd Calendar'!$W$1355)*100000000+0*10000000+(N('Dvd Calendar'!$W$1353)&gt;0)*(N('Dvd Calendar'!$W$1353)&lt;=VAL_SERIAL)*1000000+22*1000+59))</f>
        <v/>
      </c>
      <c r="GL137" s="121">
        <f>IF(N('Dvd Calendar'!$X$1354)=0,"",IF(('Dvd Calendar'!$X$1354&gt;=GRID_FROM)*('Dvd Calendar'!$X$1354&lt;=GRID_TO)*('Dvd Calendar'!$X$1354&gt;VAL_DATE)=0,"",'Dvd Calendar'!$X$1354*1000000000+ISNUMBER('Dvd Calendar'!$X$1355)*100000000+0*10000000+(N('Dvd Calendar'!$X$1353)&gt;0)*(N('Dvd Calendar'!$X$1353)&lt;=VAL_SERIAL)*1000000+22*1000+60))</f>
        <v/>
      </c>
      <c r="GM137" s="121">
        <f>IF(N('Dvd Calendar'!$Y$1354)=0,"",IF(('Dvd Calendar'!$Y$1354&gt;=GRID_FROM)*('Dvd Calendar'!$Y$1354&lt;=GRID_TO)*('Dvd Calendar'!$Y$1354&gt;VAL_DATE)=0,"",'Dvd Calendar'!$Y$1354*1000000000+ISNUMBER('Dvd Calendar'!$Y$1355)*100000000+0*10000000+(N('Dvd Calendar'!$Y$1353)&gt;0)*(N('Dvd Calendar'!$Y$1353)&lt;=VAL_SERIAL)*1000000+22*1000+61))</f>
        <v/>
      </c>
      <c r="GN137" s="121">
        <f>IF(N('Dvd Calendar'!$Z$1354)=0,"",IF(('Dvd Calendar'!$Z$1354&gt;=GRID_FROM)*('Dvd Calendar'!$Z$1354&lt;=GRID_TO)*('Dvd Calendar'!$Z$1354&gt;VAL_DATE)=0,"",'Dvd Calendar'!$Z$1354*1000000000+ISNUMBER('Dvd Calendar'!$Z$1355)*100000000+0*10000000+(N('Dvd Calendar'!$Z$1353)&gt;0)*(N('Dvd Calendar'!$Z$1353)&lt;=VAL_SERIAL)*1000000+22*1000+62))</f>
        <v/>
      </c>
      <c r="GO137" s="121">
        <f>IF(N('Dvd Calendar'!$AA$1354)=0,"",IF(('Dvd Calendar'!$AA$1354&gt;=GRID_FROM)*('Dvd Calendar'!$AA$1354&lt;=GRID_TO)*('Dvd Calendar'!$AA$1354&gt;VAL_DATE)=0,"",'Dvd Calendar'!$AA$1354*1000000000+ISNUMBER('Dvd Calendar'!$AA$1355)*100000000+0*10000000+(N('Dvd Calendar'!$AA$1353)&gt;0)*(N('Dvd Calendar'!$AA$1353)&lt;=VAL_SERIAL)*1000000+22*1000+63))</f>
        <v/>
      </c>
      <c r="GP137" s="121">
        <f>IF(N('Dvd Calendar'!$AB$1354)=0,"",IF(('Dvd Calendar'!$AB$1354&gt;=GRID_FROM)*('Dvd Calendar'!$AB$1354&lt;=GRID_TO)*('Dvd Calendar'!$AB$1354&gt;VAL_DATE)=0,"",'Dvd Calendar'!$AB$1354*1000000000+ISNUMBER('Dvd Calendar'!$AB$1355)*100000000+0*10000000+(N('Dvd Calendar'!$AB$1353)&gt;0)*(N('Dvd Calendar'!$AB$1353)&lt;=VAL_SERIAL)*1000000+22*1000+64))</f>
        <v/>
      </c>
      <c r="GQ137" s="121">
        <f>IF(N('Dvd Calendar'!$AC$1354)=0,"",IF(('Dvd Calendar'!$AC$1354&gt;=GRID_FROM)*('Dvd Calendar'!$AC$1354&lt;=GRID_TO)*('Dvd Calendar'!$AC$1354&gt;VAL_DATE)=0,"",'Dvd Calendar'!$AC$1354*1000000000+ISNUMBER('Dvd Calendar'!$AC$1355)*100000000+0*10000000+(N('Dvd Calendar'!$AC$1353)&gt;0)*(N('Dvd Calendar'!$AC$1353)&lt;=VAL_SERIAL)*1000000+22*1000+65))</f>
        <v/>
      </c>
    </row>
    <row r="138">
      <c r="B138" s="2">
        <f>IF(HSTECH!$C$29="","",HSTECH!$C$29)</f>
        <v/>
      </c>
      <c r="C138" s="161">
        <f>IF(EE138="","",IF(ISNUMBER('Dvd Calendar'!$E$1361)=FALSE,"",IF((('Dvd Calendar'!$E$1363=TYPE1)*(TYPE1&lt;&gt;"")+('Dvd Calendar'!$E$1363=TYPE2)*(TYPE2&lt;&gt;"")+('Dvd Calendar'!$E$1363=TYPE3)*(TYPE3&lt;&gt;"")+('Dvd Calendar'!$E$1363=TYPE4)*(TYPE4&lt;&gt;"")+('Dvd Calendar'!$E$1363=SPECIAL_LBL)*(INC_SPECIALS="Y"))=0,"",'Dvd Calendar'!$E$1361)))</f>
        <v/>
      </c>
      <c r="D138" s="161">
        <f>IF(EF138="","",IF(ISNUMBER('Dvd Calendar'!$F$1361)=FALSE,"",IF((('Dvd Calendar'!$F$1363=TYPE1)*(TYPE1&lt;&gt;"")+('Dvd Calendar'!$F$1363=TYPE2)*(TYPE2&lt;&gt;"")+('Dvd Calendar'!$F$1363=TYPE3)*(TYPE3&lt;&gt;"")+('Dvd Calendar'!$F$1363=TYPE4)*(TYPE4&lt;&gt;"")+('Dvd Calendar'!$F$1363=SPECIAL_LBL)*(INC_SPECIALS="Y"))=0,"",'Dvd Calendar'!$F$1361)))</f>
        <v/>
      </c>
      <c r="E138" s="161">
        <f>IF(EG138="","",IF(ISNUMBER('Dvd Calendar'!$G$1361)=FALSE,"",IF((('Dvd Calendar'!$G$1363=TYPE1)*(TYPE1&lt;&gt;"")+('Dvd Calendar'!$G$1363=TYPE2)*(TYPE2&lt;&gt;"")+('Dvd Calendar'!$G$1363=TYPE3)*(TYPE3&lt;&gt;"")+('Dvd Calendar'!$G$1363=TYPE4)*(TYPE4&lt;&gt;"")+('Dvd Calendar'!$G$1363=SPECIAL_LBL)*(INC_SPECIALS="Y"))=0,"",'Dvd Calendar'!$G$1361)))</f>
        <v/>
      </c>
      <c r="F138" s="161">
        <f>IF(EH138="","",IF(ISNUMBER('Dvd Calendar'!$H$1361)=FALSE,"",IF((('Dvd Calendar'!$H$1363=TYPE1)*(TYPE1&lt;&gt;"")+('Dvd Calendar'!$H$1363=TYPE2)*(TYPE2&lt;&gt;"")+('Dvd Calendar'!$H$1363=TYPE3)*(TYPE3&lt;&gt;"")+('Dvd Calendar'!$H$1363=TYPE4)*(TYPE4&lt;&gt;"")+('Dvd Calendar'!$H$1363=SPECIAL_LBL)*(INC_SPECIALS="Y"))=0,"",'Dvd Calendar'!$H$1361)))</f>
        <v/>
      </c>
      <c r="G138" s="161">
        <f>IF(EI138="","",IF(ISNUMBER('Dvd Calendar'!$I$1361)=FALSE,"",IF((('Dvd Calendar'!$I$1363=TYPE1)*(TYPE1&lt;&gt;"")+('Dvd Calendar'!$I$1363=TYPE2)*(TYPE2&lt;&gt;"")+('Dvd Calendar'!$I$1363=TYPE3)*(TYPE3&lt;&gt;"")+('Dvd Calendar'!$I$1363=TYPE4)*(TYPE4&lt;&gt;"")+('Dvd Calendar'!$I$1363=SPECIAL_LBL)*(INC_SPECIALS="Y"))=0,"",'Dvd Calendar'!$I$1361)))</f>
        <v/>
      </c>
      <c r="H138" s="161">
        <f>IF(EJ138="","",IF(ISNUMBER('Dvd Calendar'!$J$1361)=FALSE,"",IF((('Dvd Calendar'!$J$1363=TYPE1)*(TYPE1&lt;&gt;"")+('Dvd Calendar'!$J$1363=TYPE2)*(TYPE2&lt;&gt;"")+('Dvd Calendar'!$J$1363=TYPE3)*(TYPE3&lt;&gt;"")+('Dvd Calendar'!$J$1363=TYPE4)*(TYPE4&lt;&gt;"")+('Dvd Calendar'!$J$1363=SPECIAL_LBL)*(INC_SPECIALS="Y"))=0,"",'Dvd Calendar'!$J$1361)))</f>
        <v/>
      </c>
      <c r="I138" s="161">
        <f>IF(EK138="","",IF(ISNUMBER('Dvd Calendar'!$K$1361)=FALSE,"",IF((('Dvd Calendar'!$K$1363=TYPE1)*(TYPE1&lt;&gt;"")+('Dvd Calendar'!$K$1363=TYPE2)*(TYPE2&lt;&gt;"")+('Dvd Calendar'!$K$1363=TYPE3)*(TYPE3&lt;&gt;"")+('Dvd Calendar'!$K$1363=TYPE4)*(TYPE4&lt;&gt;"")+('Dvd Calendar'!$K$1363=SPECIAL_LBL)*(INC_SPECIALS="Y"))=0,"",'Dvd Calendar'!$K$1361)))</f>
        <v/>
      </c>
      <c r="J138" s="161">
        <f>IF(EL138="","",IF(ISNUMBER('Dvd Calendar'!$L$1361)=FALSE,"",IF((('Dvd Calendar'!$L$1363=TYPE1)*(TYPE1&lt;&gt;"")+('Dvd Calendar'!$L$1363=TYPE2)*(TYPE2&lt;&gt;"")+('Dvd Calendar'!$L$1363=TYPE3)*(TYPE3&lt;&gt;"")+('Dvd Calendar'!$L$1363=TYPE4)*(TYPE4&lt;&gt;"")+('Dvd Calendar'!$L$1363=SPECIAL_LBL)*(INC_SPECIALS="Y"))=0,"",'Dvd Calendar'!$L$1361)))</f>
        <v/>
      </c>
      <c r="K138" s="161">
        <f>IF(EM138="","",IF(ISNUMBER('Dvd Calendar'!$M$1361)=FALSE,"",IF((('Dvd Calendar'!$M$1363=TYPE1)*(TYPE1&lt;&gt;"")+('Dvd Calendar'!$M$1363=TYPE2)*(TYPE2&lt;&gt;"")+('Dvd Calendar'!$M$1363=TYPE3)*(TYPE3&lt;&gt;"")+('Dvd Calendar'!$M$1363=TYPE4)*(TYPE4&lt;&gt;"")+('Dvd Calendar'!$M$1363=SPECIAL_LBL)*(INC_SPECIALS="Y"))=0,"",'Dvd Calendar'!$M$1361)))</f>
        <v/>
      </c>
      <c r="L138" s="161">
        <f>IF(EN138="","",IF(ISNUMBER('Dvd Calendar'!$N$1361)=FALSE,"",IF((('Dvd Calendar'!$N$1363=TYPE1)*(TYPE1&lt;&gt;"")+('Dvd Calendar'!$N$1363=TYPE2)*(TYPE2&lt;&gt;"")+('Dvd Calendar'!$N$1363=TYPE3)*(TYPE3&lt;&gt;"")+('Dvd Calendar'!$N$1363=TYPE4)*(TYPE4&lt;&gt;"")+('Dvd Calendar'!$N$1363=SPECIAL_LBL)*(INC_SPECIALS="Y"))=0,"",'Dvd Calendar'!$N$1361)))</f>
        <v/>
      </c>
      <c r="M138" s="161">
        <f>IF(EO138="","",IF(ISNUMBER('Dvd Calendar'!$O$1361)=FALSE,"",IF((('Dvd Calendar'!$O$1363=TYPE1)*(TYPE1&lt;&gt;"")+('Dvd Calendar'!$O$1363=TYPE2)*(TYPE2&lt;&gt;"")+('Dvd Calendar'!$O$1363=TYPE3)*(TYPE3&lt;&gt;"")+('Dvd Calendar'!$O$1363=TYPE4)*(TYPE4&lt;&gt;"")+('Dvd Calendar'!$O$1363=SPECIAL_LBL)*(INC_SPECIALS="Y"))=0,"",'Dvd Calendar'!$O$1361)))</f>
        <v/>
      </c>
      <c r="N138" s="161">
        <f>IF(EP138="","",IF(ISNUMBER('Dvd Calendar'!$P$1361)=FALSE,"",IF((('Dvd Calendar'!$P$1363=TYPE1)*(TYPE1&lt;&gt;"")+('Dvd Calendar'!$P$1363=TYPE2)*(TYPE2&lt;&gt;"")+('Dvd Calendar'!$P$1363=TYPE3)*(TYPE3&lt;&gt;"")+('Dvd Calendar'!$P$1363=TYPE4)*(TYPE4&lt;&gt;"")+('Dvd Calendar'!$P$1363=SPECIAL_LBL)*(INC_SPECIALS="Y"))=0,"",'Dvd Calendar'!$P$1361)))</f>
        <v/>
      </c>
      <c r="O138" s="161">
        <f>IF(EQ138="","",IF(ISNUMBER('Dvd Calendar'!$Q$1361)=FALSE,"",IF((('Dvd Calendar'!$Q$1363=TYPE1)*(TYPE1&lt;&gt;"")+('Dvd Calendar'!$Q$1363=TYPE2)*(TYPE2&lt;&gt;"")+('Dvd Calendar'!$Q$1363=TYPE3)*(TYPE3&lt;&gt;"")+('Dvd Calendar'!$Q$1363=TYPE4)*(TYPE4&lt;&gt;"")+('Dvd Calendar'!$Q$1363=SPECIAL_LBL)*(INC_SPECIALS="Y"))=0,"",'Dvd Calendar'!$Q$1361)))</f>
        <v/>
      </c>
      <c r="P138" s="161">
        <f>IF(ER138="","",IF(ISNUMBER('Dvd Calendar'!$R$1361)=FALSE,"",IF((('Dvd Calendar'!$R$1363=TYPE1)*(TYPE1&lt;&gt;"")+('Dvd Calendar'!$R$1363=TYPE2)*(TYPE2&lt;&gt;"")+('Dvd Calendar'!$R$1363=TYPE3)*(TYPE3&lt;&gt;"")+('Dvd Calendar'!$R$1363=TYPE4)*(TYPE4&lt;&gt;"")+('Dvd Calendar'!$R$1363=SPECIAL_LBL)*(INC_SPECIALS="Y"))=0,"",'Dvd Calendar'!$R$1361)))</f>
        <v/>
      </c>
      <c r="Q138" s="161">
        <f>IF(ES138="","",IF(ISNUMBER('Dvd Calendar'!$S$1361)=FALSE,"",IF((('Dvd Calendar'!$S$1363=TYPE1)*(TYPE1&lt;&gt;"")+('Dvd Calendar'!$S$1363=TYPE2)*(TYPE2&lt;&gt;"")+('Dvd Calendar'!$S$1363=TYPE3)*(TYPE3&lt;&gt;"")+('Dvd Calendar'!$S$1363=TYPE4)*(TYPE4&lt;&gt;"")+('Dvd Calendar'!$S$1363=SPECIAL_LBL)*(INC_SPECIALS="Y"))=0,"",'Dvd Calendar'!$S$1361)))</f>
        <v/>
      </c>
      <c r="R138" s="161">
        <f>IF(ET138="","",IF(ISNUMBER('Dvd Calendar'!$T$1361)=FALSE,"",IF((('Dvd Calendar'!$T$1363=TYPE1)*(TYPE1&lt;&gt;"")+('Dvd Calendar'!$T$1363=TYPE2)*(TYPE2&lt;&gt;"")+('Dvd Calendar'!$T$1363=TYPE3)*(TYPE3&lt;&gt;"")+('Dvd Calendar'!$T$1363=TYPE4)*(TYPE4&lt;&gt;"")+('Dvd Calendar'!$T$1363=SPECIAL_LBL)*(INC_SPECIALS="Y"))=0,"",'Dvd Calendar'!$T$1361)))</f>
        <v/>
      </c>
      <c r="S138" s="161">
        <f>IF(EU138="","",IF(ISNUMBER('Dvd Calendar'!$U$1361)=FALSE,"",IF((('Dvd Calendar'!$U$1363=TYPE1)*(TYPE1&lt;&gt;"")+('Dvd Calendar'!$U$1363=TYPE2)*(TYPE2&lt;&gt;"")+('Dvd Calendar'!$U$1363=TYPE3)*(TYPE3&lt;&gt;"")+('Dvd Calendar'!$U$1363=TYPE4)*(TYPE4&lt;&gt;"")+('Dvd Calendar'!$U$1363=SPECIAL_LBL)*(INC_SPECIALS="Y"))=0,"",'Dvd Calendar'!$U$1361)))</f>
        <v/>
      </c>
      <c r="T138" s="161">
        <f>IF(EV138="","",IF(ISNUMBER('Dvd Calendar'!$V$1361)=FALSE,"",IF((('Dvd Calendar'!$V$1363=TYPE1)*(TYPE1&lt;&gt;"")+('Dvd Calendar'!$V$1363=TYPE2)*(TYPE2&lt;&gt;"")+('Dvd Calendar'!$V$1363=TYPE3)*(TYPE3&lt;&gt;"")+('Dvd Calendar'!$V$1363=TYPE4)*(TYPE4&lt;&gt;"")+('Dvd Calendar'!$V$1363=SPECIAL_LBL)*(INC_SPECIALS="Y"))=0,"",'Dvd Calendar'!$V$1361)))</f>
        <v/>
      </c>
      <c r="U138" s="161">
        <f>IF(EW138="","",IF(ISNUMBER('Dvd Calendar'!$W$1361)=FALSE,"",IF((('Dvd Calendar'!$W$1363=TYPE1)*(TYPE1&lt;&gt;"")+('Dvd Calendar'!$W$1363=TYPE2)*(TYPE2&lt;&gt;"")+('Dvd Calendar'!$W$1363=TYPE3)*(TYPE3&lt;&gt;"")+('Dvd Calendar'!$W$1363=TYPE4)*(TYPE4&lt;&gt;"")+('Dvd Calendar'!$W$1363=SPECIAL_LBL)*(INC_SPECIALS="Y"))=0,"",'Dvd Calendar'!$W$1361)))</f>
        <v/>
      </c>
      <c r="V138" s="161">
        <f>IF(EX138="","",IF(ISNUMBER('Dvd Calendar'!$X$1361)=FALSE,"",IF((('Dvd Calendar'!$X$1363=TYPE1)*(TYPE1&lt;&gt;"")+('Dvd Calendar'!$X$1363=TYPE2)*(TYPE2&lt;&gt;"")+('Dvd Calendar'!$X$1363=TYPE3)*(TYPE3&lt;&gt;"")+('Dvd Calendar'!$X$1363=TYPE4)*(TYPE4&lt;&gt;"")+('Dvd Calendar'!$X$1363=SPECIAL_LBL)*(INC_SPECIALS="Y"))=0,"",'Dvd Calendar'!$X$1361)))</f>
        <v/>
      </c>
      <c r="W138" s="161">
        <f>IF(EY138="","",IF(ISNUMBER('Dvd Calendar'!$Y$1361)=FALSE,"",IF((('Dvd Calendar'!$Y$1363=TYPE1)*(TYPE1&lt;&gt;"")+('Dvd Calendar'!$Y$1363=TYPE2)*(TYPE2&lt;&gt;"")+('Dvd Calendar'!$Y$1363=TYPE3)*(TYPE3&lt;&gt;"")+('Dvd Calendar'!$Y$1363=TYPE4)*(TYPE4&lt;&gt;"")+('Dvd Calendar'!$Y$1363=SPECIAL_LBL)*(INC_SPECIALS="Y"))=0,"",'Dvd Calendar'!$Y$1361)))</f>
        <v/>
      </c>
      <c r="X138" s="161">
        <f>IF(EZ138="","",IF(ISNUMBER('Dvd Calendar'!$Z$1361)=FALSE,"",IF((('Dvd Calendar'!$Z$1363=TYPE1)*(TYPE1&lt;&gt;"")+('Dvd Calendar'!$Z$1363=TYPE2)*(TYPE2&lt;&gt;"")+('Dvd Calendar'!$Z$1363=TYPE3)*(TYPE3&lt;&gt;"")+('Dvd Calendar'!$Z$1363=TYPE4)*(TYPE4&lt;&gt;"")+('Dvd Calendar'!$Z$1363=SPECIAL_LBL)*(INC_SPECIALS="Y"))=0,"",'Dvd Calendar'!$Z$1361)))</f>
        <v/>
      </c>
      <c r="Y138" s="161">
        <f>IF(FA138="","",IF(ISNUMBER('Dvd Calendar'!$AA$1361)=FALSE,"",IF((('Dvd Calendar'!$AA$1363=TYPE1)*(TYPE1&lt;&gt;"")+('Dvd Calendar'!$AA$1363=TYPE2)*(TYPE2&lt;&gt;"")+('Dvd Calendar'!$AA$1363=TYPE3)*(TYPE3&lt;&gt;"")+('Dvd Calendar'!$AA$1363=TYPE4)*(TYPE4&lt;&gt;"")+('Dvd Calendar'!$AA$1363=SPECIAL_LBL)*(INC_SPECIALS="Y"))=0,"",'Dvd Calendar'!$AA$1361)))</f>
        <v/>
      </c>
      <c r="Z138" s="161">
        <f>IF(FB138="","",IF(ISNUMBER('Dvd Calendar'!$AB$1361)=FALSE,"",IF((('Dvd Calendar'!$AB$1363=TYPE1)*(TYPE1&lt;&gt;"")+('Dvd Calendar'!$AB$1363=TYPE2)*(TYPE2&lt;&gt;"")+('Dvd Calendar'!$AB$1363=TYPE3)*(TYPE3&lt;&gt;"")+('Dvd Calendar'!$AB$1363=TYPE4)*(TYPE4&lt;&gt;"")+('Dvd Calendar'!$AB$1363=SPECIAL_LBL)*(INC_SPECIALS="Y"))=0,"",'Dvd Calendar'!$AB$1361)))</f>
        <v/>
      </c>
      <c r="AA138" s="161">
        <f>IF(FC138="","",IF(ISNUMBER('Dvd Calendar'!$AC$1361)=FALSE,"",IF((('Dvd Calendar'!$AC$1363=TYPE1)*(TYPE1&lt;&gt;"")+('Dvd Calendar'!$AC$1363=TYPE2)*(TYPE2&lt;&gt;"")+('Dvd Calendar'!$AC$1363=TYPE3)*(TYPE3&lt;&gt;"")+('Dvd Calendar'!$AC$1363=TYPE4)*(TYPE4&lt;&gt;"")+('Dvd Calendar'!$AC$1363=SPECIAL_LBL)*(INC_SPECIALS="Y"))=0,"",'Dvd Calendar'!$AC$1361)))</f>
        <v/>
      </c>
      <c r="AB138" s="161">
        <f>IF(FD138="","",IF(ISNUMBER('Dvd Calendar'!$AD$1361)=FALSE,"",IF((('Dvd Calendar'!$AD$1363=TYPE1)*(TYPE1&lt;&gt;"")+('Dvd Calendar'!$AD$1363=TYPE2)*(TYPE2&lt;&gt;"")+('Dvd Calendar'!$AD$1363=TYPE3)*(TYPE3&lt;&gt;"")+('Dvd Calendar'!$AD$1363=TYPE4)*(TYPE4&lt;&gt;"")+('Dvd Calendar'!$AD$1363=SPECIAL_LBL)*(INC_SPECIALS="Y"))=0,"",'Dvd Calendar'!$AD$1361)))</f>
        <v/>
      </c>
      <c r="AC138" s="161">
        <f>IF(FE138="","",IF(ISNUMBER('Dvd Calendar'!$AE$1361)=FALSE,"",IF((('Dvd Calendar'!$AE$1363=TYPE1)*(TYPE1&lt;&gt;"")+('Dvd Calendar'!$AE$1363=TYPE2)*(TYPE2&lt;&gt;"")+('Dvd Calendar'!$AE$1363=TYPE3)*(TYPE3&lt;&gt;"")+('Dvd Calendar'!$AE$1363=TYPE4)*(TYPE4&lt;&gt;"")+('Dvd Calendar'!$AE$1363=SPECIAL_LBL)*(INC_SPECIALS="Y"))=0,"",'Dvd Calendar'!$AE$1361)))</f>
        <v/>
      </c>
      <c r="AD138" s="161">
        <f>IF(FF138="","",IF(ISNUMBER('Dvd Calendar'!$AF$1361)=FALSE,"",IF((('Dvd Calendar'!$AF$1363=TYPE1)*(TYPE1&lt;&gt;"")+('Dvd Calendar'!$AF$1363=TYPE2)*(TYPE2&lt;&gt;"")+('Dvd Calendar'!$AF$1363=TYPE3)*(TYPE3&lt;&gt;"")+('Dvd Calendar'!$AF$1363=TYPE4)*(TYPE4&lt;&gt;"")+('Dvd Calendar'!$AF$1363=SPECIAL_LBL)*(INC_SPECIALS="Y"))=0,"",'Dvd Calendar'!$AF$1361)))</f>
        <v/>
      </c>
      <c r="AE138" s="161">
        <f>IF(FG138="","",IF(ISNUMBER('Dvd Calendar'!$AG$1361)=FALSE,"",IF((('Dvd Calendar'!$AG$1363=TYPE1)*(TYPE1&lt;&gt;"")+('Dvd Calendar'!$AG$1363=TYPE2)*(TYPE2&lt;&gt;"")+('Dvd Calendar'!$AG$1363=TYPE3)*(TYPE3&lt;&gt;"")+('Dvd Calendar'!$AG$1363=TYPE4)*(TYPE4&lt;&gt;"")+('Dvd Calendar'!$AG$1363=SPECIAL_LBL)*(INC_SPECIALS="Y"))=0,"",'Dvd Calendar'!$AG$1361)))</f>
        <v/>
      </c>
      <c r="AF138" s="161">
        <f>IF(FH138="","",IF(ISNUMBER('Dvd Calendar'!$AH$1361)=FALSE,"",IF((('Dvd Calendar'!$AH$1363=TYPE1)*(TYPE1&lt;&gt;"")+('Dvd Calendar'!$AH$1363=TYPE2)*(TYPE2&lt;&gt;"")+('Dvd Calendar'!$AH$1363=TYPE3)*(TYPE3&lt;&gt;"")+('Dvd Calendar'!$AH$1363=TYPE4)*(TYPE4&lt;&gt;"")+('Dvd Calendar'!$AH$1363=SPECIAL_LBL)*(INC_SPECIALS="Y"))=0,"",'Dvd Calendar'!$AH$1361)))</f>
        <v/>
      </c>
      <c r="AG138" s="161">
        <f>IF(FI138="","",IF(ISNUMBER('Dvd Calendar'!$AI$1361)=FALSE,"",IF((('Dvd Calendar'!$AI$1363=TYPE1)*(TYPE1&lt;&gt;"")+('Dvd Calendar'!$AI$1363=TYPE2)*(TYPE2&lt;&gt;"")+('Dvd Calendar'!$AI$1363=TYPE3)*(TYPE3&lt;&gt;"")+('Dvd Calendar'!$AI$1363=TYPE4)*(TYPE4&lt;&gt;"")+('Dvd Calendar'!$AI$1363=SPECIAL_LBL)*(INC_SPECIALS="Y"))=0,"",'Dvd Calendar'!$AI$1361)))</f>
        <v/>
      </c>
      <c r="AH138" s="161">
        <f>IF(FJ138="","",IF(ISNUMBER('Dvd Calendar'!$AJ$1361)=FALSE,"",IF((('Dvd Calendar'!$AJ$1363=TYPE1)*(TYPE1&lt;&gt;"")+('Dvd Calendar'!$AJ$1363=TYPE2)*(TYPE2&lt;&gt;"")+('Dvd Calendar'!$AJ$1363=TYPE3)*(TYPE3&lt;&gt;"")+('Dvd Calendar'!$AJ$1363=TYPE4)*(TYPE4&lt;&gt;"")+('Dvd Calendar'!$AJ$1363=SPECIAL_LBL)*(INC_SPECIALS="Y"))=0,"",'Dvd Calendar'!$AJ$1361)))</f>
        <v/>
      </c>
      <c r="AI138" s="161">
        <f>IF(FK138="","",IF(ISNUMBER('Dvd Calendar'!$AK$1361)=FALSE,"",IF((('Dvd Calendar'!$AK$1363=TYPE1)*(TYPE1&lt;&gt;"")+('Dvd Calendar'!$AK$1363=TYPE2)*(TYPE2&lt;&gt;"")+('Dvd Calendar'!$AK$1363=TYPE3)*(TYPE3&lt;&gt;"")+('Dvd Calendar'!$AK$1363=TYPE4)*(TYPE4&lt;&gt;"")+('Dvd Calendar'!$AK$1363=SPECIAL_LBL)*(INC_SPECIALS="Y"))=0,"",'Dvd Calendar'!$AK$1361)))</f>
        <v/>
      </c>
      <c r="AJ138" s="161">
        <f>IF(FL138="","",IF(ISNUMBER('Dvd Calendar'!$AL$1361)=FALSE,"",IF((('Dvd Calendar'!$AL$1363=TYPE1)*(TYPE1&lt;&gt;"")+('Dvd Calendar'!$AL$1363=TYPE2)*(TYPE2&lt;&gt;"")+('Dvd Calendar'!$AL$1363=TYPE3)*(TYPE3&lt;&gt;"")+('Dvd Calendar'!$AL$1363=TYPE4)*(TYPE4&lt;&gt;"")+('Dvd Calendar'!$AL$1363=SPECIAL_LBL)*(INC_SPECIALS="Y"))=0,"",'Dvd Calendar'!$AL$1361)))</f>
        <v/>
      </c>
      <c r="AK138" s="161">
        <f>IF(FM138="","",IF(ISNUMBER('Dvd Calendar'!$AM$1361)=FALSE,"",IF((('Dvd Calendar'!$AM$1363=TYPE1)*(TYPE1&lt;&gt;"")+('Dvd Calendar'!$AM$1363=TYPE2)*(TYPE2&lt;&gt;"")+('Dvd Calendar'!$AM$1363=TYPE3)*(TYPE3&lt;&gt;"")+('Dvd Calendar'!$AM$1363=TYPE4)*(TYPE4&lt;&gt;"")+('Dvd Calendar'!$AM$1363=SPECIAL_LBL)*(INC_SPECIALS="Y"))=0,"",'Dvd Calendar'!$AM$1361)))</f>
        <v/>
      </c>
      <c r="AL138" s="161">
        <f>IF(FN138="","",IF(ISNUMBER('Dvd Calendar'!$AN$1361)=FALSE,"",IF((('Dvd Calendar'!$AN$1363=TYPE1)*(TYPE1&lt;&gt;"")+('Dvd Calendar'!$AN$1363=TYPE2)*(TYPE2&lt;&gt;"")+('Dvd Calendar'!$AN$1363=TYPE3)*(TYPE3&lt;&gt;"")+('Dvd Calendar'!$AN$1363=TYPE4)*(TYPE4&lt;&gt;"")+('Dvd Calendar'!$AN$1363=SPECIAL_LBL)*(INC_SPECIALS="Y"))=0,"",'Dvd Calendar'!$AN$1361)))</f>
        <v/>
      </c>
      <c r="AM138" s="161">
        <f>IF(FO138="","",IF(ISNUMBER('Dvd Calendar'!$AO$1361)=FALSE,"",IF((('Dvd Calendar'!$AO$1363=TYPE1)*(TYPE1&lt;&gt;"")+('Dvd Calendar'!$AO$1363=TYPE2)*(TYPE2&lt;&gt;"")+('Dvd Calendar'!$AO$1363=TYPE3)*(TYPE3&lt;&gt;"")+('Dvd Calendar'!$AO$1363=TYPE4)*(TYPE4&lt;&gt;"")+('Dvd Calendar'!$AO$1363=SPECIAL_LBL)*(INC_SPECIALS="Y"))=0,"",'Dvd Calendar'!$AO$1361)))</f>
        <v/>
      </c>
      <c r="AN138" s="161">
        <f>IF(FP138="","",IF(ISNUMBER('Dvd Calendar'!$AP$1361)=FALSE,"",IF((('Dvd Calendar'!$AP$1363=TYPE1)*(TYPE1&lt;&gt;"")+('Dvd Calendar'!$AP$1363=TYPE2)*(TYPE2&lt;&gt;"")+('Dvd Calendar'!$AP$1363=TYPE3)*(TYPE3&lt;&gt;"")+('Dvd Calendar'!$AP$1363=TYPE4)*(TYPE4&lt;&gt;"")+('Dvd Calendar'!$AP$1363=SPECIAL_LBL)*(INC_SPECIALS="Y"))=0,"",'Dvd Calendar'!$AP$1361)))</f>
        <v/>
      </c>
      <c r="AO138" s="161">
        <f>IF(FQ138="","",IF(ISNUMBER('Dvd Calendar'!$AQ$1361)=FALSE,"",IF((('Dvd Calendar'!$AQ$1363=TYPE1)*(TYPE1&lt;&gt;"")+('Dvd Calendar'!$AQ$1363=TYPE2)*(TYPE2&lt;&gt;"")+('Dvd Calendar'!$AQ$1363=TYPE3)*(TYPE3&lt;&gt;"")+('Dvd Calendar'!$AQ$1363=TYPE4)*(TYPE4&lt;&gt;"")+('Dvd Calendar'!$AQ$1363=SPECIAL_LBL)*(INC_SPECIALS="Y"))=0,"",'Dvd Calendar'!$AQ$1361)))</f>
        <v/>
      </c>
      <c r="AP138" s="161">
        <f>IF(FR138="","",IF(ISNUMBER('Dvd Calendar'!$AR$1361)=FALSE,"",IF((('Dvd Calendar'!$AR$1363=TYPE1)*(TYPE1&lt;&gt;"")+('Dvd Calendar'!$AR$1363=TYPE2)*(TYPE2&lt;&gt;"")+('Dvd Calendar'!$AR$1363=TYPE3)*(TYPE3&lt;&gt;"")+('Dvd Calendar'!$AR$1363=TYPE4)*(TYPE4&lt;&gt;"")+('Dvd Calendar'!$AR$1363=SPECIAL_LBL)*(INC_SPECIALS="Y"))=0,"",'Dvd Calendar'!$AR$1361)))</f>
        <v/>
      </c>
      <c r="AQ138" s="161">
        <f>IF(FS138="","",IF(ISNUMBER('Dvd Calendar'!$E$1366)=FALSE,"",'Dvd Calendar'!$E$1366))</f>
        <v/>
      </c>
      <c r="AR138" s="161">
        <f>IF(FT138="","",IF(ISNUMBER('Dvd Calendar'!$F$1366)=FALSE,"",'Dvd Calendar'!$F$1366))</f>
        <v/>
      </c>
      <c r="AS138" s="161">
        <f>IF(FU138="","",IF(ISNUMBER('Dvd Calendar'!$G$1366)=FALSE,"",'Dvd Calendar'!$G$1366))</f>
        <v/>
      </c>
      <c r="AT138" s="161">
        <f>IF(FV138="","",IF(ISNUMBER('Dvd Calendar'!$H$1366)=FALSE,"",'Dvd Calendar'!$H$1366))</f>
        <v/>
      </c>
      <c r="AU138" s="161">
        <f>IF(FW138="","",IF(ISNUMBER('Dvd Calendar'!$I$1366)=FALSE,"",'Dvd Calendar'!$I$1366))</f>
        <v/>
      </c>
      <c r="AV138" s="161">
        <f>IF(FX138="","",IF(ISNUMBER('Dvd Calendar'!$J$1366)=FALSE,"",'Dvd Calendar'!$J$1366))</f>
        <v/>
      </c>
      <c r="AW138" s="161">
        <f>IF(FY138="","",IF(ISNUMBER('Dvd Calendar'!$K$1366)=FALSE,"",'Dvd Calendar'!$K$1366))</f>
        <v/>
      </c>
      <c r="AX138" s="161">
        <f>IF(FZ138="","",IF(ISNUMBER('Dvd Calendar'!$L$1366)=FALSE,"",'Dvd Calendar'!$L$1366))</f>
        <v/>
      </c>
      <c r="AY138" s="161">
        <f>IF(GA138="","",IF(ISNUMBER('Dvd Calendar'!$M$1366)=FALSE,"",'Dvd Calendar'!$M$1366))</f>
        <v/>
      </c>
      <c r="AZ138" s="161">
        <f>IF(GB138="","",IF(ISNUMBER('Dvd Calendar'!$N$1366)=FALSE,"",'Dvd Calendar'!$N$1366))</f>
        <v/>
      </c>
      <c r="BA138" s="161">
        <f>IF(GC138="","",IF(ISNUMBER('Dvd Calendar'!$O$1366)=FALSE,"",'Dvd Calendar'!$O$1366))</f>
        <v/>
      </c>
      <c r="BB138" s="161">
        <f>IF(GD138="","",IF(ISNUMBER('Dvd Calendar'!$P$1366)=FALSE,"",'Dvd Calendar'!$P$1366))</f>
        <v/>
      </c>
      <c r="BC138" s="161">
        <f>IF(GE138="","",IF(ISNUMBER('Dvd Calendar'!$Q$1366)=FALSE,"",'Dvd Calendar'!$Q$1366))</f>
        <v/>
      </c>
      <c r="BD138" s="161">
        <f>IF(GF138="","",IF(ISNUMBER('Dvd Calendar'!$R$1366)=FALSE,"",'Dvd Calendar'!$R$1366))</f>
        <v/>
      </c>
      <c r="BE138" s="161">
        <f>IF(GG138="","",IF(ISNUMBER('Dvd Calendar'!$S$1366)=FALSE,"",'Dvd Calendar'!$S$1366))</f>
        <v/>
      </c>
      <c r="BF138" s="161">
        <f>IF(GH138="","",IF(ISNUMBER('Dvd Calendar'!$T$1366)=FALSE,"",'Dvd Calendar'!$T$1366))</f>
        <v/>
      </c>
      <c r="BG138" s="161">
        <f>IF(GI138="","",IF(ISNUMBER('Dvd Calendar'!$U$1366)=FALSE,"",'Dvd Calendar'!$U$1366))</f>
        <v/>
      </c>
      <c r="BH138" s="161">
        <f>IF(GJ138="","",IF(ISNUMBER('Dvd Calendar'!$V$1366)=FALSE,"",'Dvd Calendar'!$V$1366))</f>
        <v/>
      </c>
      <c r="BI138" s="161">
        <f>IF(GK138="","",IF(ISNUMBER('Dvd Calendar'!$W$1366)=FALSE,"",'Dvd Calendar'!$W$1366))</f>
        <v/>
      </c>
      <c r="BJ138" s="161">
        <f>IF(GL138="","",IF(ISNUMBER('Dvd Calendar'!$X$1366)=FALSE,"",'Dvd Calendar'!$X$1366))</f>
        <v/>
      </c>
      <c r="BK138" s="161">
        <f>IF(GM138="","",IF(ISNUMBER('Dvd Calendar'!$Y$1366)=FALSE,"",'Dvd Calendar'!$Y$1366))</f>
        <v/>
      </c>
      <c r="BL138" s="161">
        <f>IF(GN138="","",IF(ISNUMBER('Dvd Calendar'!$Z$1366)=FALSE,"",'Dvd Calendar'!$Z$1366))</f>
        <v/>
      </c>
      <c r="BM138" s="161">
        <f>IF(GO138="","",IF(ISNUMBER('Dvd Calendar'!$AA$1366)=FALSE,"",'Dvd Calendar'!$AA$1366))</f>
        <v/>
      </c>
      <c r="BN138" s="161">
        <f>IF(GP138="","",IF(ISNUMBER('Dvd Calendar'!$AB$1366)=FALSE,"",'Dvd Calendar'!$AB$1366))</f>
        <v/>
      </c>
      <c r="BO138" s="161">
        <f>IF(GQ138="","",IF(ISNUMBER('Dvd Calendar'!$AC$1366)=FALSE,"",'Dvd Calendar'!$AC$1366))</f>
        <v/>
      </c>
      <c r="BQ138" s="161">
        <f>IF(C138="","",IFERROR(C138*HSTECH!$B$29*HSTECH!$G$29/HSTECH!$B$3,""))</f>
        <v/>
      </c>
      <c r="BR138" s="161">
        <f>IF(D138="","",IFERROR(D138*HSTECH!$B$29*HSTECH!$G$29/HSTECH!$B$3,""))</f>
        <v/>
      </c>
      <c r="BS138" s="161">
        <f>IF(E138="","",IFERROR(E138*HSTECH!$B$29*HSTECH!$G$29/HSTECH!$B$3,""))</f>
        <v/>
      </c>
      <c r="BT138" s="161">
        <f>IF(F138="","",IFERROR(F138*HSTECH!$B$29*HSTECH!$G$29/HSTECH!$B$3,""))</f>
        <v/>
      </c>
      <c r="BU138" s="161">
        <f>IF(G138="","",IFERROR(G138*HSTECH!$B$29*HSTECH!$G$29/HSTECH!$B$3,""))</f>
        <v/>
      </c>
      <c r="BV138" s="161">
        <f>IF(H138="","",IFERROR(H138*HSTECH!$B$29*HSTECH!$G$29/HSTECH!$B$3,""))</f>
        <v/>
      </c>
      <c r="BW138" s="161">
        <f>IF(I138="","",IFERROR(I138*HSTECH!$B$29*HSTECH!$G$29/HSTECH!$B$3,""))</f>
        <v/>
      </c>
      <c r="BX138" s="161">
        <f>IF(J138="","",IFERROR(J138*HSTECH!$B$29*HSTECH!$G$29/HSTECH!$B$3,""))</f>
        <v/>
      </c>
      <c r="BY138" s="161">
        <f>IF(K138="","",IFERROR(K138*HSTECH!$B$29*HSTECH!$G$29/HSTECH!$B$3,""))</f>
        <v/>
      </c>
      <c r="BZ138" s="161">
        <f>IF(L138="","",IFERROR(L138*HSTECH!$B$29*HSTECH!$G$29/HSTECH!$B$3,""))</f>
        <v/>
      </c>
      <c r="CA138" s="161">
        <f>IF(M138="","",IFERROR(M138*HSTECH!$B$29*HSTECH!$G$29/HSTECH!$B$3,""))</f>
        <v/>
      </c>
      <c r="CB138" s="161">
        <f>IF(N138="","",IFERROR(N138*HSTECH!$B$29*HSTECH!$G$29/HSTECH!$B$3,""))</f>
        <v/>
      </c>
      <c r="CC138" s="161">
        <f>IF(O138="","",IFERROR(O138*HSTECH!$B$29*HSTECH!$G$29/HSTECH!$B$3,""))</f>
        <v/>
      </c>
      <c r="CD138" s="161">
        <f>IF(P138="","",IFERROR(P138*HSTECH!$B$29*HSTECH!$G$29/HSTECH!$B$3,""))</f>
        <v/>
      </c>
      <c r="CE138" s="161">
        <f>IF(Q138="","",IFERROR(Q138*HSTECH!$B$29*HSTECH!$G$29/HSTECH!$B$3,""))</f>
        <v/>
      </c>
      <c r="CF138" s="161">
        <f>IF(R138="","",IFERROR(R138*HSTECH!$B$29*HSTECH!$G$29/HSTECH!$B$3,""))</f>
        <v/>
      </c>
      <c r="CG138" s="161">
        <f>IF(S138="","",IFERROR(S138*HSTECH!$B$29*HSTECH!$G$29/HSTECH!$B$3,""))</f>
        <v/>
      </c>
      <c r="CH138" s="161">
        <f>IF(T138="","",IFERROR(T138*HSTECH!$B$29*HSTECH!$G$29/HSTECH!$B$3,""))</f>
        <v/>
      </c>
      <c r="CI138" s="161">
        <f>IF(U138="","",IFERROR(U138*HSTECH!$B$29*HSTECH!$G$29/HSTECH!$B$3,""))</f>
        <v/>
      </c>
      <c r="CJ138" s="161">
        <f>IF(V138="","",IFERROR(V138*HSTECH!$B$29*HSTECH!$G$29/HSTECH!$B$3,""))</f>
        <v/>
      </c>
      <c r="CK138" s="161">
        <f>IF(W138="","",IFERROR(W138*HSTECH!$B$29*HSTECH!$G$29/HSTECH!$B$3,""))</f>
        <v/>
      </c>
      <c r="CL138" s="161">
        <f>IF(X138="","",IFERROR(X138*HSTECH!$B$29*HSTECH!$G$29/HSTECH!$B$3,""))</f>
        <v/>
      </c>
      <c r="CM138" s="161">
        <f>IF(Y138="","",IFERROR(Y138*HSTECH!$B$29*HSTECH!$G$29/HSTECH!$B$3,""))</f>
        <v/>
      </c>
      <c r="CN138" s="161">
        <f>IF(Z138="","",IFERROR(Z138*HSTECH!$B$29*HSTECH!$G$29/HSTECH!$B$3,""))</f>
        <v/>
      </c>
      <c r="CO138" s="161">
        <f>IF(AA138="","",IFERROR(AA138*HSTECH!$B$29*HSTECH!$G$29/HSTECH!$B$3,""))</f>
        <v/>
      </c>
      <c r="CP138" s="161">
        <f>IF(AB138="","",IFERROR(AB138*HSTECH!$B$29*HSTECH!$G$29/HSTECH!$B$3,""))</f>
        <v/>
      </c>
      <c r="CQ138" s="161">
        <f>IF(AC138="","",IFERROR(AC138*HSTECH!$B$29*HSTECH!$G$29/HSTECH!$B$3,""))</f>
        <v/>
      </c>
      <c r="CR138" s="161">
        <f>IF(AD138="","",IFERROR(AD138*HSTECH!$B$29*HSTECH!$G$29/HSTECH!$B$3,""))</f>
        <v/>
      </c>
      <c r="CS138" s="161">
        <f>IF(AE138="","",IFERROR(AE138*HSTECH!$B$29*HSTECH!$G$29/HSTECH!$B$3,""))</f>
        <v/>
      </c>
      <c r="CT138" s="161">
        <f>IF(AF138="","",IFERROR(AF138*HSTECH!$B$29*HSTECH!$G$29/HSTECH!$B$3,""))</f>
        <v/>
      </c>
      <c r="CU138" s="161">
        <f>IF(AG138="","",IFERROR(AG138*HSTECH!$B$29*HSTECH!$G$29/HSTECH!$B$3,""))</f>
        <v/>
      </c>
      <c r="CV138" s="161">
        <f>IF(AH138="","",IFERROR(AH138*HSTECH!$B$29*HSTECH!$G$29/HSTECH!$B$3,""))</f>
        <v/>
      </c>
      <c r="CW138" s="161">
        <f>IF(AI138="","",IFERROR(AI138*HSTECH!$B$29*HSTECH!$G$29/HSTECH!$B$3,""))</f>
        <v/>
      </c>
      <c r="CX138" s="161">
        <f>IF(AJ138="","",IFERROR(AJ138*HSTECH!$B$29*HSTECH!$G$29/HSTECH!$B$3,""))</f>
        <v/>
      </c>
      <c r="CY138" s="161">
        <f>IF(AK138="","",IFERROR(AK138*HSTECH!$B$29*HSTECH!$G$29/HSTECH!$B$3,""))</f>
        <v/>
      </c>
      <c r="CZ138" s="161">
        <f>IF(AL138="","",IFERROR(AL138*HSTECH!$B$29*HSTECH!$G$29/HSTECH!$B$3,""))</f>
        <v/>
      </c>
      <c r="DA138" s="161">
        <f>IF(AM138="","",IFERROR(AM138*HSTECH!$B$29*HSTECH!$G$29/HSTECH!$B$3,""))</f>
        <v/>
      </c>
      <c r="DB138" s="161">
        <f>IF(AN138="","",IFERROR(AN138*HSTECH!$B$29*HSTECH!$G$29/HSTECH!$B$3,""))</f>
        <v/>
      </c>
      <c r="DC138" s="161">
        <f>IF(AO138="","",IFERROR(AO138*HSTECH!$B$29*HSTECH!$G$29/HSTECH!$B$3,""))</f>
        <v/>
      </c>
      <c r="DD138" s="161">
        <f>IF(AP138="","",IFERROR(AP138*HSTECH!$B$29*HSTECH!$G$29/HSTECH!$B$3,""))</f>
        <v/>
      </c>
      <c r="DE138" s="161">
        <f>IF(AQ138="","",IFERROR(AQ138*HSTECH!$B$29*HSTECH!$G$29/HSTECH!$B$3,""))</f>
        <v/>
      </c>
      <c r="DF138" s="161">
        <f>IF(AR138="","",IFERROR(AR138*HSTECH!$B$29*HSTECH!$G$29/HSTECH!$B$3,""))</f>
        <v/>
      </c>
      <c r="DG138" s="161">
        <f>IF(AS138="","",IFERROR(AS138*HSTECH!$B$29*HSTECH!$G$29/HSTECH!$B$3,""))</f>
        <v/>
      </c>
      <c r="DH138" s="161">
        <f>IF(AT138="","",IFERROR(AT138*HSTECH!$B$29*HSTECH!$G$29/HSTECH!$B$3,""))</f>
        <v/>
      </c>
      <c r="DI138" s="161">
        <f>IF(AU138="","",IFERROR(AU138*HSTECH!$B$29*HSTECH!$G$29/HSTECH!$B$3,""))</f>
        <v/>
      </c>
      <c r="DJ138" s="161">
        <f>IF(AV138="","",IFERROR(AV138*HSTECH!$B$29*HSTECH!$G$29/HSTECH!$B$3,""))</f>
        <v/>
      </c>
      <c r="DK138" s="161">
        <f>IF(AW138="","",IFERROR(AW138*HSTECH!$B$29*HSTECH!$G$29/HSTECH!$B$3,""))</f>
        <v/>
      </c>
      <c r="DL138" s="161">
        <f>IF(AX138="","",IFERROR(AX138*HSTECH!$B$29*HSTECH!$G$29/HSTECH!$B$3,""))</f>
        <v/>
      </c>
      <c r="DM138" s="161">
        <f>IF(AY138="","",IFERROR(AY138*HSTECH!$B$29*HSTECH!$G$29/HSTECH!$B$3,""))</f>
        <v/>
      </c>
      <c r="DN138" s="161">
        <f>IF(AZ138="","",IFERROR(AZ138*HSTECH!$B$29*HSTECH!$G$29/HSTECH!$B$3,""))</f>
        <v/>
      </c>
      <c r="DO138" s="161">
        <f>IF(BA138="","",IFERROR(BA138*HSTECH!$B$29*HSTECH!$G$29/HSTECH!$B$3,""))</f>
        <v/>
      </c>
      <c r="DP138" s="161">
        <f>IF(BB138="","",IFERROR(BB138*HSTECH!$B$29*HSTECH!$G$29/HSTECH!$B$3,""))</f>
        <v/>
      </c>
      <c r="DQ138" s="161">
        <f>IF(BC138="","",IFERROR(BC138*HSTECH!$B$29*HSTECH!$G$29/HSTECH!$B$3,""))</f>
        <v/>
      </c>
      <c r="DR138" s="161">
        <f>IF(BD138="","",IFERROR(BD138*HSTECH!$B$29*HSTECH!$G$29/HSTECH!$B$3,""))</f>
        <v/>
      </c>
      <c r="DS138" s="161">
        <f>IF(BE138="","",IFERROR(BE138*HSTECH!$B$29*HSTECH!$G$29/HSTECH!$B$3,""))</f>
        <v/>
      </c>
      <c r="DT138" s="161">
        <f>IF(BF138="","",IFERROR(BF138*HSTECH!$B$29*HSTECH!$G$29/HSTECH!$B$3,""))</f>
        <v/>
      </c>
      <c r="DU138" s="161">
        <f>IF(BG138="","",IFERROR(BG138*HSTECH!$B$29*HSTECH!$G$29/HSTECH!$B$3,""))</f>
        <v/>
      </c>
      <c r="DV138" s="161">
        <f>IF(BH138="","",IFERROR(BH138*HSTECH!$B$29*HSTECH!$G$29/HSTECH!$B$3,""))</f>
        <v/>
      </c>
      <c r="DW138" s="161">
        <f>IF(BI138="","",IFERROR(BI138*HSTECH!$B$29*HSTECH!$G$29/HSTECH!$B$3,""))</f>
        <v/>
      </c>
      <c r="DX138" s="161">
        <f>IF(BJ138="","",IFERROR(BJ138*HSTECH!$B$29*HSTECH!$G$29/HSTECH!$B$3,""))</f>
        <v/>
      </c>
      <c r="DY138" s="161">
        <f>IF(BK138="","",IFERROR(BK138*HSTECH!$B$29*HSTECH!$G$29/HSTECH!$B$3,""))</f>
        <v/>
      </c>
      <c r="DZ138" s="161">
        <f>IF(BL138="","",IFERROR(BL138*HSTECH!$B$29*HSTECH!$G$29/HSTECH!$B$3,""))</f>
        <v/>
      </c>
      <c r="EA138" s="161">
        <f>IF(BM138="","",IFERROR(BM138*HSTECH!$B$29*HSTECH!$G$29/HSTECH!$B$3,""))</f>
        <v/>
      </c>
      <c r="EB138" s="161">
        <f>IF(BN138="","",IFERROR(BN138*HSTECH!$B$29*HSTECH!$G$29/HSTECH!$B$3,""))</f>
        <v/>
      </c>
      <c r="EC138" s="161">
        <f>IF(BO138="","",IFERROR(BO138*HSTECH!$B$29*HSTECH!$G$29/HSTECH!$B$3,""))</f>
        <v/>
      </c>
      <c r="EE138" s="121">
        <f>IF(N('Dvd Calendar'!$E$1358)=0,"",IF(('Dvd Calendar'!$E$1358&gt;=GRID_FROM)*('Dvd Calendar'!$E$1358&lt;=GRID_TO)*((('Dvd Calendar'!$E$1358&lt;=VAL_DATE)+(COUNTIF('Dvd Calendar'!$E$1365:$AR$1365,'Dvd Calendar'!$E$1358)=0))&gt;0)=0,"",'Dvd Calendar'!$E$1358*1000000000+ISNUMBER('Dvd Calendar'!$E$1361)*100000000+('Dvd Calendar'!$E$1363=SPECIAL_LBL)*10000000+(N('Dvd Calendar'!$E$1357)&gt;0)*(N('Dvd Calendar'!$E$1357)&lt;=VAL_SERIAL)*1000000+23*1000+1))</f>
        <v/>
      </c>
      <c r="EF138" s="121">
        <f>IF(N('Dvd Calendar'!$F$1358)=0,"",IF(('Dvd Calendar'!$F$1358&gt;=GRID_FROM)*('Dvd Calendar'!$F$1358&lt;=GRID_TO)*((('Dvd Calendar'!$F$1358&lt;=VAL_DATE)+(COUNTIF('Dvd Calendar'!$E$1365:$AR$1365,'Dvd Calendar'!$F$1358)=0))&gt;0)=0,"",'Dvd Calendar'!$F$1358*1000000000+ISNUMBER('Dvd Calendar'!$F$1361)*100000000+('Dvd Calendar'!$F$1363=SPECIAL_LBL)*10000000+(N('Dvd Calendar'!$F$1357)&gt;0)*(N('Dvd Calendar'!$F$1357)&lt;=VAL_SERIAL)*1000000+23*1000+2))</f>
        <v/>
      </c>
      <c r="EG138" s="121">
        <f>IF(N('Dvd Calendar'!$G$1358)=0,"",IF(('Dvd Calendar'!$G$1358&gt;=GRID_FROM)*('Dvd Calendar'!$G$1358&lt;=GRID_TO)*((('Dvd Calendar'!$G$1358&lt;=VAL_DATE)+(COUNTIF('Dvd Calendar'!$E$1365:$AR$1365,'Dvd Calendar'!$G$1358)=0))&gt;0)=0,"",'Dvd Calendar'!$G$1358*1000000000+ISNUMBER('Dvd Calendar'!$G$1361)*100000000+('Dvd Calendar'!$G$1363=SPECIAL_LBL)*10000000+(N('Dvd Calendar'!$G$1357)&gt;0)*(N('Dvd Calendar'!$G$1357)&lt;=VAL_SERIAL)*1000000+23*1000+3))</f>
        <v/>
      </c>
      <c r="EH138" s="121">
        <f>IF(N('Dvd Calendar'!$H$1358)=0,"",IF(('Dvd Calendar'!$H$1358&gt;=GRID_FROM)*('Dvd Calendar'!$H$1358&lt;=GRID_TO)*((('Dvd Calendar'!$H$1358&lt;=VAL_DATE)+(COUNTIF('Dvd Calendar'!$E$1365:$AR$1365,'Dvd Calendar'!$H$1358)=0))&gt;0)=0,"",'Dvd Calendar'!$H$1358*1000000000+ISNUMBER('Dvd Calendar'!$H$1361)*100000000+('Dvd Calendar'!$H$1363=SPECIAL_LBL)*10000000+(N('Dvd Calendar'!$H$1357)&gt;0)*(N('Dvd Calendar'!$H$1357)&lt;=VAL_SERIAL)*1000000+23*1000+4))</f>
        <v/>
      </c>
      <c r="EI138" s="121">
        <f>IF(N('Dvd Calendar'!$I$1358)=0,"",IF(('Dvd Calendar'!$I$1358&gt;=GRID_FROM)*('Dvd Calendar'!$I$1358&lt;=GRID_TO)*((('Dvd Calendar'!$I$1358&lt;=VAL_DATE)+(COUNTIF('Dvd Calendar'!$E$1365:$AR$1365,'Dvd Calendar'!$I$1358)=0))&gt;0)=0,"",'Dvd Calendar'!$I$1358*1000000000+ISNUMBER('Dvd Calendar'!$I$1361)*100000000+('Dvd Calendar'!$I$1363=SPECIAL_LBL)*10000000+(N('Dvd Calendar'!$I$1357)&gt;0)*(N('Dvd Calendar'!$I$1357)&lt;=VAL_SERIAL)*1000000+23*1000+5))</f>
        <v/>
      </c>
      <c r="EJ138" s="121">
        <f>IF(N('Dvd Calendar'!$J$1358)=0,"",IF(('Dvd Calendar'!$J$1358&gt;=GRID_FROM)*('Dvd Calendar'!$J$1358&lt;=GRID_TO)*((('Dvd Calendar'!$J$1358&lt;=VAL_DATE)+(COUNTIF('Dvd Calendar'!$E$1365:$AR$1365,'Dvd Calendar'!$J$1358)=0))&gt;0)=0,"",'Dvd Calendar'!$J$1358*1000000000+ISNUMBER('Dvd Calendar'!$J$1361)*100000000+('Dvd Calendar'!$J$1363=SPECIAL_LBL)*10000000+(N('Dvd Calendar'!$J$1357)&gt;0)*(N('Dvd Calendar'!$J$1357)&lt;=VAL_SERIAL)*1000000+23*1000+6))</f>
        <v/>
      </c>
      <c r="EK138" s="121">
        <f>IF(N('Dvd Calendar'!$K$1358)=0,"",IF(('Dvd Calendar'!$K$1358&gt;=GRID_FROM)*('Dvd Calendar'!$K$1358&lt;=GRID_TO)*((('Dvd Calendar'!$K$1358&lt;=VAL_DATE)+(COUNTIF('Dvd Calendar'!$E$1365:$AR$1365,'Dvd Calendar'!$K$1358)=0))&gt;0)=0,"",'Dvd Calendar'!$K$1358*1000000000+ISNUMBER('Dvd Calendar'!$K$1361)*100000000+('Dvd Calendar'!$K$1363=SPECIAL_LBL)*10000000+(N('Dvd Calendar'!$K$1357)&gt;0)*(N('Dvd Calendar'!$K$1357)&lt;=VAL_SERIAL)*1000000+23*1000+7))</f>
        <v/>
      </c>
      <c r="EL138" s="121">
        <f>IF(N('Dvd Calendar'!$L$1358)=0,"",IF(('Dvd Calendar'!$L$1358&gt;=GRID_FROM)*('Dvd Calendar'!$L$1358&lt;=GRID_TO)*((('Dvd Calendar'!$L$1358&lt;=VAL_DATE)+(COUNTIF('Dvd Calendar'!$E$1365:$AR$1365,'Dvd Calendar'!$L$1358)=0))&gt;0)=0,"",'Dvd Calendar'!$L$1358*1000000000+ISNUMBER('Dvd Calendar'!$L$1361)*100000000+('Dvd Calendar'!$L$1363=SPECIAL_LBL)*10000000+(N('Dvd Calendar'!$L$1357)&gt;0)*(N('Dvd Calendar'!$L$1357)&lt;=VAL_SERIAL)*1000000+23*1000+8))</f>
        <v/>
      </c>
      <c r="EM138" s="121">
        <f>IF(N('Dvd Calendar'!$M$1358)=0,"",IF(('Dvd Calendar'!$M$1358&gt;=GRID_FROM)*('Dvd Calendar'!$M$1358&lt;=GRID_TO)*((('Dvd Calendar'!$M$1358&lt;=VAL_DATE)+(COUNTIF('Dvd Calendar'!$E$1365:$AR$1365,'Dvd Calendar'!$M$1358)=0))&gt;0)=0,"",'Dvd Calendar'!$M$1358*1000000000+ISNUMBER('Dvd Calendar'!$M$1361)*100000000+('Dvd Calendar'!$M$1363=SPECIAL_LBL)*10000000+(N('Dvd Calendar'!$M$1357)&gt;0)*(N('Dvd Calendar'!$M$1357)&lt;=VAL_SERIAL)*1000000+23*1000+9))</f>
        <v/>
      </c>
      <c r="EN138" s="121">
        <f>IF(N('Dvd Calendar'!$N$1358)=0,"",IF(('Dvd Calendar'!$N$1358&gt;=GRID_FROM)*('Dvd Calendar'!$N$1358&lt;=GRID_TO)*((('Dvd Calendar'!$N$1358&lt;=VAL_DATE)+(COUNTIF('Dvd Calendar'!$E$1365:$AR$1365,'Dvd Calendar'!$N$1358)=0))&gt;0)=0,"",'Dvd Calendar'!$N$1358*1000000000+ISNUMBER('Dvd Calendar'!$N$1361)*100000000+('Dvd Calendar'!$N$1363=SPECIAL_LBL)*10000000+(N('Dvd Calendar'!$N$1357)&gt;0)*(N('Dvd Calendar'!$N$1357)&lt;=VAL_SERIAL)*1000000+23*1000+10))</f>
        <v/>
      </c>
      <c r="EO138" s="121">
        <f>IF(N('Dvd Calendar'!$O$1358)=0,"",IF(('Dvd Calendar'!$O$1358&gt;=GRID_FROM)*('Dvd Calendar'!$O$1358&lt;=GRID_TO)*((('Dvd Calendar'!$O$1358&lt;=VAL_DATE)+(COUNTIF('Dvd Calendar'!$E$1365:$AR$1365,'Dvd Calendar'!$O$1358)=0))&gt;0)=0,"",'Dvd Calendar'!$O$1358*1000000000+ISNUMBER('Dvd Calendar'!$O$1361)*100000000+('Dvd Calendar'!$O$1363=SPECIAL_LBL)*10000000+(N('Dvd Calendar'!$O$1357)&gt;0)*(N('Dvd Calendar'!$O$1357)&lt;=VAL_SERIAL)*1000000+23*1000+11))</f>
        <v/>
      </c>
      <c r="EP138" s="121">
        <f>IF(N('Dvd Calendar'!$P$1358)=0,"",IF(('Dvd Calendar'!$P$1358&gt;=GRID_FROM)*('Dvd Calendar'!$P$1358&lt;=GRID_TO)*((('Dvd Calendar'!$P$1358&lt;=VAL_DATE)+(COUNTIF('Dvd Calendar'!$E$1365:$AR$1365,'Dvd Calendar'!$P$1358)=0))&gt;0)=0,"",'Dvd Calendar'!$P$1358*1000000000+ISNUMBER('Dvd Calendar'!$P$1361)*100000000+('Dvd Calendar'!$P$1363=SPECIAL_LBL)*10000000+(N('Dvd Calendar'!$P$1357)&gt;0)*(N('Dvd Calendar'!$P$1357)&lt;=VAL_SERIAL)*1000000+23*1000+12))</f>
        <v/>
      </c>
      <c r="EQ138" s="121">
        <f>IF(N('Dvd Calendar'!$Q$1358)=0,"",IF(('Dvd Calendar'!$Q$1358&gt;=GRID_FROM)*('Dvd Calendar'!$Q$1358&lt;=GRID_TO)*((('Dvd Calendar'!$Q$1358&lt;=VAL_DATE)+(COUNTIF('Dvd Calendar'!$E$1365:$AR$1365,'Dvd Calendar'!$Q$1358)=0))&gt;0)=0,"",'Dvd Calendar'!$Q$1358*1000000000+ISNUMBER('Dvd Calendar'!$Q$1361)*100000000+('Dvd Calendar'!$Q$1363=SPECIAL_LBL)*10000000+(N('Dvd Calendar'!$Q$1357)&gt;0)*(N('Dvd Calendar'!$Q$1357)&lt;=VAL_SERIAL)*1000000+23*1000+13))</f>
        <v/>
      </c>
      <c r="ER138" s="121">
        <f>IF(N('Dvd Calendar'!$R$1358)=0,"",IF(('Dvd Calendar'!$R$1358&gt;=GRID_FROM)*('Dvd Calendar'!$R$1358&lt;=GRID_TO)*((('Dvd Calendar'!$R$1358&lt;=VAL_DATE)+(COUNTIF('Dvd Calendar'!$E$1365:$AR$1365,'Dvd Calendar'!$R$1358)=0))&gt;0)=0,"",'Dvd Calendar'!$R$1358*1000000000+ISNUMBER('Dvd Calendar'!$R$1361)*100000000+('Dvd Calendar'!$R$1363=SPECIAL_LBL)*10000000+(N('Dvd Calendar'!$R$1357)&gt;0)*(N('Dvd Calendar'!$R$1357)&lt;=VAL_SERIAL)*1000000+23*1000+14))</f>
        <v/>
      </c>
      <c r="ES138" s="121">
        <f>IF(N('Dvd Calendar'!$S$1358)=0,"",IF(('Dvd Calendar'!$S$1358&gt;=GRID_FROM)*('Dvd Calendar'!$S$1358&lt;=GRID_TO)*((('Dvd Calendar'!$S$1358&lt;=VAL_DATE)+(COUNTIF('Dvd Calendar'!$E$1365:$AR$1365,'Dvd Calendar'!$S$1358)=0))&gt;0)=0,"",'Dvd Calendar'!$S$1358*1000000000+ISNUMBER('Dvd Calendar'!$S$1361)*100000000+('Dvd Calendar'!$S$1363=SPECIAL_LBL)*10000000+(N('Dvd Calendar'!$S$1357)&gt;0)*(N('Dvd Calendar'!$S$1357)&lt;=VAL_SERIAL)*1000000+23*1000+15))</f>
        <v/>
      </c>
      <c r="ET138" s="121">
        <f>IF(N('Dvd Calendar'!$T$1358)=0,"",IF(('Dvd Calendar'!$T$1358&gt;=GRID_FROM)*('Dvd Calendar'!$T$1358&lt;=GRID_TO)*((('Dvd Calendar'!$T$1358&lt;=VAL_DATE)+(COUNTIF('Dvd Calendar'!$E$1365:$AR$1365,'Dvd Calendar'!$T$1358)=0))&gt;0)=0,"",'Dvd Calendar'!$T$1358*1000000000+ISNUMBER('Dvd Calendar'!$T$1361)*100000000+('Dvd Calendar'!$T$1363=SPECIAL_LBL)*10000000+(N('Dvd Calendar'!$T$1357)&gt;0)*(N('Dvd Calendar'!$T$1357)&lt;=VAL_SERIAL)*1000000+23*1000+16))</f>
        <v/>
      </c>
      <c r="EU138" s="121">
        <f>IF(N('Dvd Calendar'!$U$1358)=0,"",IF(('Dvd Calendar'!$U$1358&gt;=GRID_FROM)*('Dvd Calendar'!$U$1358&lt;=GRID_TO)*((('Dvd Calendar'!$U$1358&lt;=VAL_DATE)+(COUNTIF('Dvd Calendar'!$E$1365:$AR$1365,'Dvd Calendar'!$U$1358)=0))&gt;0)=0,"",'Dvd Calendar'!$U$1358*1000000000+ISNUMBER('Dvd Calendar'!$U$1361)*100000000+('Dvd Calendar'!$U$1363=SPECIAL_LBL)*10000000+(N('Dvd Calendar'!$U$1357)&gt;0)*(N('Dvd Calendar'!$U$1357)&lt;=VAL_SERIAL)*1000000+23*1000+17))</f>
        <v/>
      </c>
      <c r="EV138" s="121">
        <f>IF(N('Dvd Calendar'!$V$1358)=0,"",IF(('Dvd Calendar'!$V$1358&gt;=GRID_FROM)*('Dvd Calendar'!$V$1358&lt;=GRID_TO)*((('Dvd Calendar'!$V$1358&lt;=VAL_DATE)+(COUNTIF('Dvd Calendar'!$E$1365:$AR$1365,'Dvd Calendar'!$V$1358)=0))&gt;0)=0,"",'Dvd Calendar'!$V$1358*1000000000+ISNUMBER('Dvd Calendar'!$V$1361)*100000000+('Dvd Calendar'!$V$1363=SPECIAL_LBL)*10000000+(N('Dvd Calendar'!$V$1357)&gt;0)*(N('Dvd Calendar'!$V$1357)&lt;=VAL_SERIAL)*1000000+23*1000+18))</f>
        <v/>
      </c>
      <c r="EW138" s="121">
        <f>IF(N('Dvd Calendar'!$W$1358)=0,"",IF(('Dvd Calendar'!$W$1358&gt;=GRID_FROM)*('Dvd Calendar'!$W$1358&lt;=GRID_TO)*((('Dvd Calendar'!$W$1358&lt;=VAL_DATE)+(COUNTIF('Dvd Calendar'!$E$1365:$AR$1365,'Dvd Calendar'!$W$1358)=0))&gt;0)=0,"",'Dvd Calendar'!$W$1358*1000000000+ISNUMBER('Dvd Calendar'!$W$1361)*100000000+('Dvd Calendar'!$W$1363=SPECIAL_LBL)*10000000+(N('Dvd Calendar'!$W$1357)&gt;0)*(N('Dvd Calendar'!$W$1357)&lt;=VAL_SERIAL)*1000000+23*1000+19))</f>
        <v/>
      </c>
      <c r="EX138" s="121">
        <f>IF(N('Dvd Calendar'!$X$1358)=0,"",IF(('Dvd Calendar'!$X$1358&gt;=GRID_FROM)*('Dvd Calendar'!$X$1358&lt;=GRID_TO)*((('Dvd Calendar'!$X$1358&lt;=VAL_DATE)+(COUNTIF('Dvd Calendar'!$E$1365:$AR$1365,'Dvd Calendar'!$X$1358)=0))&gt;0)=0,"",'Dvd Calendar'!$X$1358*1000000000+ISNUMBER('Dvd Calendar'!$X$1361)*100000000+('Dvd Calendar'!$X$1363=SPECIAL_LBL)*10000000+(N('Dvd Calendar'!$X$1357)&gt;0)*(N('Dvd Calendar'!$X$1357)&lt;=VAL_SERIAL)*1000000+23*1000+20))</f>
        <v/>
      </c>
      <c r="EY138" s="121">
        <f>IF(N('Dvd Calendar'!$Y$1358)=0,"",IF(('Dvd Calendar'!$Y$1358&gt;=GRID_FROM)*('Dvd Calendar'!$Y$1358&lt;=GRID_TO)*((('Dvd Calendar'!$Y$1358&lt;=VAL_DATE)+(COUNTIF('Dvd Calendar'!$E$1365:$AR$1365,'Dvd Calendar'!$Y$1358)=0))&gt;0)=0,"",'Dvd Calendar'!$Y$1358*1000000000+ISNUMBER('Dvd Calendar'!$Y$1361)*100000000+('Dvd Calendar'!$Y$1363=SPECIAL_LBL)*10000000+(N('Dvd Calendar'!$Y$1357)&gt;0)*(N('Dvd Calendar'!$Y$1357)&lt;=VAL_SERIAL)*1000000+23*1000+21))</f>
        <v/>
      </c>
      <c r="EZ138" s="121">
        <f>IF(N('Dvd Calendar'!$Z$1358)=0,"",IF(('Dvd Calendar'!$Z$1358&gt;=GRID_FROM)*('Dvd Calendar'!$Z$1358&lt;=GRID_TO)*((('Dvd Calendar'!$Z$1358&lt;=VAL_DATE)+(COUNTIF('Dvd Calendar'!$E$1365:$AR$1365,'Dvd Calendar'!$Z$1358)=0))&gt;0)=0,"",'Dvd Calendar'!$Z$1358*1000000000+ISNUMBER('Dvd Calendar'!$Z$1361)*100000000+('Dvd Calendar'!$Z$1363=SPECIAL_LBL)*10000000+(N('Dvd Calendar'!$Z$1357)&gt;0)*(N('Dvd Calendar'!$Z$1357)&lt;=VAL_SERIAL)*1000000+23*1000+22))</f>
        <v/>
      </c>
      <c r="FA138" s="121">
        <f>IF(N('Dvd Calendar'!$AA$1358)=0,"",IF(('Dvd Calendar'!$AA$1358&gt;=GRID_FROM)*('Dvd Calendar'!$AA$1358&lt;=GRID_TO)*((('Dvd Calendar'!$AA$1358&lt;=VAL_DATE)+(COUNTIF('Dvd Calendar'!$E$1365:$AR$1365,'Dvd Calendar'!$AA$1358)=0))&gt;0)=0,"",'Dvd Calendar'!$AA$1358*1000000000+ISNUMBER('Dvd Calendar'!$AA$1361)*100000000+('Dvd Calendar'!$AA$1363=SPECIAL_LBL)*10000000+(N('Dvd Calendar'!$AA$1357)&gt;0)*(N('Dvd Calendar'!$AA$1357)&lt;=VAL_SERIAL)*1000000+23*1000+23))</f>
        <v/>
      </c>
      <c r="FB138" s="121">
        <f>IF(N('Dvd Calendar'!$AB$1358)=0,"",IF(('Dvd Calendar'!$AB$1358&gt;=GRID_FROM)*('Dvd Calendar'!$AB$1358&lt;=GRID_TO)*((('Dvd Calendar'!$AB$1358&lt;=VAL_DATE)+(COUNTIF('Dvd Calendar'!$E$1365:$AR$1365,'Dvd Calendar'!$AB$1358)=0))&gt;0)=0,"",'Dvd Calendar'!$AB$1358*1000000000+ISNUMBER('Dvd Calendar'!$AB$1361)*100000000+('Dvd Calendar'!$AB$1363=SPECIAL_LBL)*10000000+(N('Dvd Calendar'!$AB$1357)&gt;0)*(N('Dvd Calendar'!$AB$1357)&lt;=VAL_SERIAL)*1000000+23*1000+24))</f>
        <v/>
      </c>
      <c r="FC138" s="121">
        <f>IF(N('Dvd Calendar'!$AC$1358)=0,"",IF(('Dvd Calendar'!$AC$1358&gt;=GRID_FROM)*('Dvd Calendar'!$AC$1358&lt;=GRID_TO)*((('Dvd Calendar'!$AC$1358&lt;=VAL_DATE)+(COUNTIF('Dvd Calendar'!$E$1365:$AR$1365,'Dvd Calendar'!$AC$1358)=0))&gt;0)=0,"",'Dvd Calendar'!$AC$1358*1000000000+ISNUMBER('Dvd Calendar'!$AC$1361)*100000000+('Dvd Calendar'!$AC$1363=SPECIAL_LBL)*10000000+(N('Dvd Calendar'!$AC$1357)&gt;0)*(N('Dvd Calendar'!$AC$1357)&lt;=VAL_SERIAL)*1000000+23*1000+25))</f>
        <v/>
      </c>
      <c r="FD138" s="121">
        <f>IF(N('Dvd Calendar'!$AD$1358)=0,"",IF(('Dvd Calendar'!$AD$1358&gt;=GRID_FROM)*('Dvd Calendar'!$AD$1358&lt;=GRID_TO)*((('Dvd Calendar'!$AD$1358&lt;=VAL_DATE)+(COUNTIF('Dvd Calendar'!$E$1365:$AR$1365,'Dvd Calendar'!$AD$1358)=0))&gt;0)=0,"",'Dvd Calendar'!$AD$1358*1000000000+ISNUMBER('Dvd Calendar'!$AD$1361)*100000000+('Dvd Calendar'!$AD$1363=SPECIAL_LBL)*10000000+(N('Dvd Calendar'!$AD$1357)&gt;0)*(N('Dvd Calendar'!$AD$1357)&lt;=VAL_SERIAL)*1000000+23*1000+26))</f>
        <v/>
      </c>
      <c r="FE138" s="121">
        <f>IF(N('Dvd Calendar'!$AE$1358)=0,"",IF(('Dvd Calendar'!$AE$1358&gt;=GRID_FROM)*('Dvd Calendar'!$AE$1358&lt;=GRID_TO)*((('Dvd Calendar'!$AE$1358&lt;=VAL_DATE)+(COUNTIF('Dvd Calendar'!$E$1365:$AR$1365,'Dvd Calendar'!$AE$1358)=0))&gt;0)=0,"",'Dvd Calendar'!$AE$1358*1000000000+ISNUMBER('Dvd Calendar'!$AE$1361)*100000000+('Dvd Calendar'!$AE$1363=SPECIAL_LBL)*10000000+(N('Dvd Calendar'!$AE$1357)&gt;0)*(N('Dvd Calendar'!$AE$1357)&lt;=VAL_SERIAL)*1000000+23*1000+27))</f>
        <v/>
      </c>
      <c r="FF138" s="121">
        <f>IF(N('Dvd Calendar'!$AF$1358)=0,"",IF(('Dvd Calendar'!$AF$1358&gt;=GRID_FROM)*('Dvd Calendar'!$AF$1358&lt;=GRID_TO)*((('Dvd Calendar'!$AF$1358&lt;=VAL_DATE)+(COUNTIF('Dvd Calendar'!$E$1365:$AR$1365,'Dvd Calendar'!$AF$1358)=0))&gt;0)=0,"",'Dvd Calendar'!$AF$1358*1000000000+ISNUMBER('Dvd Calendar'!$AF$1361)*100000000+('Dvd Calendar'!$AF$1363=SPECIAL_LBL)*10000000+(N('Dvd Calendar'!$AF$1357)&gt;0)*(N('Dvd Calendar'!$AF$1357)&lt;=VAL_SERIAL)*1000000+23*1000+28))</f>
        <v/>
      </c>
      <c r="FG138" s="121">
        <f>IF(N('Dvd Calendar'!$AG$1358)=0,"",IF(('Dvd Calendar'!$AG$1358&gt;=GRID_FROM)*('Dvd Calendar'!$AG$1358&lt;=GRID_TO)*((('Dvd Calendar'!$AG$1358&lt;=VAL_DATE)+(COUNTIF('Dvd Calendar'!$E$1365:$AR$1365,'Dvd Calendar'!$AG$1358)=0))&gt;0)=0,"",'Dvd Calendar'!$AG$1358*1000000000+ISNUMBER('Dvd Calendar'!$AG$1361)*100000000+('Dvd Calendar'!$AG$1363=SPECIAL_LBL)*10000000+(N('Dvd Calendar'!$AG$1357)&gt;0)*(N('Dvd Calendar'!$AG$1357)&lt;=VAL_SERIAL)*1000000+23*1000+29))</f>
        <v/>
      </c>
      <c r="FH138" s="121">
        <f>IF(N('Dvd Calendar'!$AH$1358)=0,"",IF(('Dvd Calendar'!$AH$1358&gt;=GRID_FROM)*('Dvd Calendar'!$AH$1358&lt;=GRID_TO)*((('Dvd Calendar'!$AH$1358&lt;=VAL_DATE)+(COUNTIF('Dvd Calendar'!$E$1365:$AR$1365,'Dvd Calendar'!$AH$1358)=0))&gt;0)=0,"",'Dvd Calendar'!$AH$1358*1000000000+ISNUMBER('Dvd Calendar'!$AH$1361)*100000000+('Dvd Calendar'!$AH$1363=SPECIAL_LBL)*10000000+(N('Dvd Calendar'!$AH$1357)&gt;0)*(N('Dvd Calendar'!$AH$1357)&lt;=VAL_SERIAL)*1000000+23*1000+30))</f>
        <v/>
      </c>
      <c r="FI138" s="121">
        <f>IF(N('Dvd Calendar'!$AI$1358)=0,"",IF(('Dvd Calendar'!$AI$1358&gt;=GRID_FROM)*('Dvd Calendar'!$AI$1358&lt;=GRID_TO)*((('Dvd Calendar'!$AI$1358&lt;=VAL_DATE)+(COUNTIF('Dvd Calendar'!$E$1365:$AR$1365,'Dvd Calendar'!$AI$1358)=0))&gt;0)=0,"",'Dvd Calendar'!$AI$1358*1000000000+ISNUMBER('Dvd Calendar'!$AI$1361)*100000000+('Dvd Calendar'!$AI$1363=SPECIAL_LBL)*10000000+(N('Dvd Calendar'!$AI$1357)&gt;0)*(N('Dvd Calendar'!$AI$1357)&lt;=VAL_SERIAL)*1000000+23*1000+31))</f>
        <v/>
      </c>
      <c r="FJ138" s="121">
        <f>IF(N('Dvd Calendar'!$AJ$1358)=0,"",IF(('Dvd Calendar'!$AJ$1358&gt;=GRID_FROM)*('Dvd Calendar'!$AJ$1358&lt;=GRID_TO)*((('Dvd Calendar'!$AJ$1358&lt;=VAL_DATE)+(COUNTIF('Dvd Calendar'!$E$1365:$AR$1365,'Dvd Calendar'!$AJ$1358)=0))&gt;0)=0,"",'Dvd Calendar'!$AJ$1358*1000000000+ISNUMBER('Dvd Calendar'!$AJ$1361)*100000000+('Dvd Calendar'!$AJ$1363=SPECIAL_LBL)*10000000+(N('Dvd Calendar'!$AJ$1357)&gt;0)*(N('Dvd Calendar'!$AJ$1357)&lt;=VAL_SERIAL)*1000000+23*1000+32))</f>
        <v/>
      </c>
      <c r="FK138" s="121">
        <f>IF(N('Dvd Calendar'!$AK$1358)=0,"",IF(('Dvd Calendar'!$AK$1358&gt;=GRID_FROM)*('Dvd Calendar'!$AK$1358&lt;=GRID_TO)*((('Dvd Calendar'!$AK$1358&lt;=VAL_DATE)+(COUNTIF('Dvd Calendar'!$E$1365:$AR$1365,'Dvd Calendar'!$AK$1358)=0))&gt;0)=0,"",'Dvd Calendar'!$AK$1358*1000000000+ISNUMBER('Dvd Calendar'!$AK$1361)*100000000+('Dvd Calendar'!$AK$1363=SPECIAL_LBL)*10000000+(N('Dvd Calendar'!$AK$1357)&gt;0)*(N('Dvd Calendar'!$AK$1357)&lt;=VAL_SERIAL)*1000000+23*1000+33))</f>
        <v/>
      </c>
      <c r="FL138" s="121">
        <f>IF(N('Dvd Calendar'!$AL$1358)=0,"",IF(('Dvd Calendar'!$AL$1358&gt;=GRID_FROM)*('Dvd Calendar'!$AL$1358&lt;=GRID_TO)*((('Dvd Calendar'!$AL$1358&lt;=VAL_DATE)+(COUNTIF('Dvd Calendar'!$E$1365:$AR$1365,'Dvd Calendar'!$AL$1358)=0))&gt;0)=0,"",'Dvd Calendar'!$AL$1358*1000000000+ISNUMBER('Dvd Calendar'!$AL$1361)*100000000+('Dvd Calendar'!$AL$1363=SPECIAL_LBL)*10000000+(N('Dvd Calendar'!$AL$1357)&gt;0)*(N('Dvd Calendar'!$AL$1357)&lt;=VAL_SERIAL)*1000000+23*1000+34))</f>
        <v/>
      </c>
      <c r="FM138" s="121">
        <f>IF(N('Dvd Calendar'!$AM$1358)=0,"",IF(('Dvd Calendar'!$AM$1358&gt;=GRID_FROM)*('Dvd Calendar'!$AM$1358&lt;=GRID_TO)*((('Dvd Calendar'!$AM$1358&lt;=VAL_DATE)+(COUNTIF('Dvd Calendar'!$E$1365:$AR$1365,'Dvd Calendar'!$AM$1358)=0))&gt;0)=0,"",'Dvd Calendar'!$AM$1358*1000000000+ISNUMBER('Dvd Calendar'!$AM$1361)*100000000+('Dvd Calendar'!$AM$1363=SPECIAL_LBL)*10000000+(N('Dvd Calendar'!$AM$1357)&gt;0)*(N('Dvd Calendar'!$AM$1357)&lt;=VAL_SERIAL)*1000000+23*1000+35))</f>
        <v/>
      </c>
      <c r="FN138" s="121">
        <f>IF(N('Dvd Calendar'!$AN$1358)=0,"",IF(('Dvd Calendar'!$AN$1358&gt;=GRID_FROM)*('Dvd Calendar'!$AN$1358&lt;=GRID_TO)*((('Dvd Calendar'!$AN$1358&lt;=VAL_DATE)+(COUNTIF('Dvd Calendar'!$E$1365:$AR$1365,'Dvd Calendar'!$AN$1358)=0))&gt;0)=0,"",'Dvd Calendar'!$AN$1358*1000000000+ISNUMBER('Dvd Calendar'!$AN$1361)*100000000+('Dvd Calendar'!$AN$1363=SPECIAL_LBL)*10000000+(N('Dvd Calendar'!$AN$1357)&gt;0)*(N('Dvd Calendar'!$AN$1357)&lt;=VAL_SERIAL)*1000000+23*1000+36))</f>
        <v/>
      </c>
      <c r="FO138" s="121">
        <f>IF(N('Dvd Calendar'!$AO$1358)=0,"",IF(('Dvd Calendar'!$AO$1358&gt;=GRID_FROM)*('Dvd Calendar'!$AO$1358&lt;=GRID_TO)*((('Dvd Calendar'!$AO$1358&lt;=VAL_DATE)+(COUNTIF('Dvd Calendar'!$E$1365:$AR$1365,'Dvd Calendar'!$AO$1358)=0))&gt;0)=0,"",'Dvd Calendar'!$AO$1358*1000000000+ISNUMBER('Dvd Calendar'!$AO$1361)*100000000+('Dvd Calendar'!$AO$1363=SPECIAL_LBL)*10000000+(N('Dvd Calendar'!$AO$1357)&gt;0)*(N('Dvd Calendar'!$AO$1357)&lt;=VAL_SERIAL)*1000000+23*1000+37))</f>
        <v/>
      </c>
      <c r="FP138" s="121">
        <f>IF(N('Dvd Calendar'!$AP$1358)=0,"",IF(('Dvd Calendar'!$AP$1358&gt;=GRID_FROM)*('Dvd Calendar'!$AP$1358&lt;=GRID_TO)*((('Dvd Calendar'!$AP$1358&lt;=VAL_DATE)+(COUNTIF('Dvd Calendar'!$E$1365:$AR$1365,'Dvd Calendar'!$AP$1358)=0))&gt;0)=0,"",'Dvd Calendar'!$AP$1358*1000000000+ISNUMBER('Dvd Calendar'!$AP$1361)*100000000+('Dvd Calendar'!$AP$1363=SPECIAL_LBL)*10000000+(N('Dvd Calendar'!$AP$1357)&gt;0)*(N('Dvd Calendar'!$AP$1357)&lt;=VAL_SERIAL)*1000000+23*1000+38))</f>
        <v/>
      </c>
      <c r="FQ138" s="121">
        <f>IF(N('Dvd Calendar'!$AQ$1358)=0,"",IF(('Dvd Calendar'!$AQ$1358&gt;=GRID_FROM)*('Dvd Calendar'!$AQ$1358&lt;=GRID_TO)*((('Dvd Calendar'!$AQ$1358&lt;=VAL_DATE)+(COUNTIF('Dvd Calendar'!$E$1365:$AR$1365,'Dvd Calendar'!$AQ$1358)=0))&gt;0)=0,"",'Dvd Calendar'!$AQ$1358*1000000000+ISNUMBER('Dvd Calendar'!$AQ$1361)*100000000+('Dvd Calendar'!$AQ$1363=SPECIAL_LBL)*10000000+(N('Dvd Calendar'!$AQ$1357)&gt;0)*(N('Dvd Calendar'!$AQ$1357)&lt;=VAL_SERIAL)*1000000+23*1000+39))</f>
        <v/>
      </c>
      <c r="FR138" s="121">
        <f>IF(N('Dvd Calendar'!$AR$1358)=0,"",IF(('Dvd Calendar'!$AR$1358&gt;=GRID_FROM)*('Dvd Calendar'!$AR$1358&lt;=GRID_TO)*((('Dvd Calendar'!$AR$1358&lt;=VAL_DATE)+(COUNTIF('Dvd Calendar'!$E$1365:$AR$1365,'Dvd Calendar'!$AR$1358)=0))&gt;0)=0,"",'Dvd Calendar'!$AR$1358*1000000000+ISNUMBER('Dvd Calendar'!$AR$1361)*100000000+('Dvd Calendar'!$AR$1363=SPECIAL_LBL)*10000000+(N('Dvd Calendar'!$AR$1357)&gt;0)*(N('Dvd Calendar'!$AR$1357)&lt;=VAL_SERIAL)*1000000+23*1000+40))</f>
        <v/>
      </c>
      <c r="FS138" s="121">
        <f>IF(N('Dvd Calendar'!$E$1365)=0,"",IF(('Dvd Calendar'!$E$1365&gt;=GRID_FROM)*('Dvd Calendar'!$E$1365&lt;=GRID_TO)*('Dvd Calendar'!$E$1365&gt;VAL_DATE)=0,"",'Dvd Calendar'!$E$1365*1000000000+ISNUMBER('Dvd Calendar'!$E$1366)*100000000+0*10000000+(N('Dvd Calendar'!$E$1364)&gt;0)*(N('Dvd Calendar'!$E$1364)&lt;=VAL_SERIAL)*1000000+23*1000+41))</f>
        <v/>
      </c>
      <c r="FT138" s="121">
        <f>IF(N('Dvd Calendar'!$F$1365)=0,"",IF(('Dvd Calendar'!$F$1365&gt;=GRID_FROM)*('Dvd Calendar'!$F$1365&lt;=GRID_TO)*('Dvd Calendar'!$F$1365&gt;VAL_DATE)=0,"",'Dvd Calendar'!$F$1365*1000000000+ISNUMBER('Dvd Calendar'!$F$1366)*100000000+0*10000000+(N('Dvd Calendar'!$F$1364)&gt;0)*(N('Dvd Calendar'!$F$1364)&lt;=VAL_SERIAL)*1000000+23*1000+42))</f>
        <v/>
      </c>
      <c r="FU138" s="121">
        <f>IF(N('Dvd Calendar'!$G$1365)=0,"",IF(('Dvd Calendar'!$G$1365&gt;=GRID_FROM)*('Dvd Calendar'!$G$1365&lt;=GRID_TO)*('Dvd Calendar'!$G$1365&gt;VAL_DATE)=0,"",'Dvd Calendar'!$G$1365*1000000000+ISNUMBER('Dvd Calendar'!$G$1366)*100000000+0*10000000+(N('Dvd Calendar'!$G$1364)&gt;0)*(N('Dvd Calendar'!$G$1364)&lt;=VAL_SERIAL)*1000000+23*1000+43))</f>
        <v/>
      </c>
      <c r="FV138" s="121">
        <f>IF(N('Dvd Calendar'!$H$1365)=0,"",IF(('Dvd Calendar'!$H$1365&gt;=GRID_FROM)*('Dvd Calendar'!$H$1365&lt;=GRID_TO)*('Dvd Calendar'!$H$1365&gt;VAL_DATE)=0,"",'Dvd Calendar'!$H$1365*1000000000+ISNUMBER('Dvd Calendar'!$H$1366)*100000000+0*10000000+(N('Dvd Calendar'!$H$1364)&gt;0)*(N('Dvd Calendar'!$H$1364)&lt;=VAL_SERIAL)*1000000+23*1000+44))</f>
        <v/>
      </c>
      <c r="FW138" s="121">
        <f>IF(N('Dvd Calendar'!$I$1365)=0,"",IF(('Dvd Calendar'!$I$1365&gt;=GRID_FROM)*('Dvd Calendar'!$I$1365&lt;=GRID_TO)*('Dvd Calendar'!$I$1365&gt;VAL_DATE)=0,"",'Dvd Calendar'!$I$1365*1000000000+ISNUMBER('Dvd Calendar'!$I$1366)*100000000+0*10000000+(N('Dvd Calendar'!$I$1364)&gt;0)*(N('Dvd Calendar'!$I$1364)&lt;=VAL_SERIAL)*1000000+23*1000+45))</f>
        <v/>
      </c>
      <c r="FX138" s="121">
        <f>IF(N('Dvd Calendar'!$J$1365)=0,"",IF(('Dvd Calendar'!$J$1365&gt;=GRID_FROM)*('Dvd Calendar'!$J$1365&lt;=GRID_TO)*('Dvd Calendar'!$J$1365&gt;VAL_DATE)=0,"",'Dvd Calendar'!$J$1365*1000000000+ISNUMBER('Dvd Calendar'!$J$1366)*100000000+0*10000000+(N('Dvd Calendar'!$J$1364)&gt;0)*(N('Dvd Calendar'!$J$1364)&lt;=VAL_SERIAL)*1000000+23*1000+46))</f>
        <v/>
      </c>
      <c r="FY138" s="121">
        <f>IF(N('Dvd Calendar'!$K$1365)=0,"",IF(('Dvd Calendar'!$K$1365&gt;=GRID_FROM)*('Dvd Calendar'!$K$1365&lt;=GRID_TO)*('Dvd Calendar'!$K$1365&gt;VAL_DATE)=0,"",'Dvd Calendar'!$K$1365*1000000000+ISNUMBER('Dvd Calendar'!$K$1366)*100000000+0*10000000+(N('Dvd Calendar'!$K$1364)&gt;0)*(N('Dvd Calendar'!$K$1364)&lt;=VAL_SERIAL)*1000000+23*1000+47))</f>
        <v/>
      </c>
      <c r="FZ138" s="121">
        <f>IF(N('Dvd Calendar'!$L$1365)=0,"",IF(('Dvd Calendar'!$L$1365&gt;=GRID_FROM)*('Dvd Calendar'!$L$1365&lt;=GRID_TO)*('Dvd Calendar'!$L$1365&gt;VAL_DATE)=0,"",'Dvd Calendar'!$L$1365*1000000000+ISNUMBER('Dvd Calendar'!$L$1366)*100000000+0*10000000+(N('Dvd Calendar'!$L$1364)&gt;0)*(N('Dvd Calendar'!$L$1364)&lt;=VAL_SERIAL)*1000000+23*1000+48))</f>
        <v/>
      </c>
      <c r="GA138" s="121">
        <f>IF(N('Dvd Calendar'!$M$1365)=0,"",IF(('Dvd Calendar'!$M$1365&gt;=GRID_FROM)*('Dvd Calendar'!$M$1365&lt;=GRID_TO)*('Dvd Calendar'!$M$1365&gt;VAL_DATE)=0,"",'Dvd Calendar'!$M$1365*1000000000+ISNUMBER('Dvd Calendar'!$M$1366)*100000000+0*10000000+(N('Dvd Calendar'!$M$1364)&gt;0)*(N('Dvd Calendar'!$M$1364)&lt;=VAL_SERIAL)*1000000+23*1000+49))</f>
        <v/>
      </c>
      <c r="GB138" s="121">
        <f>IF(N('Dvd Calendar'!$N$1365)=0,"",IF(('Dvd Calendar'!$N$1365&gt;=GRID_FROM)*('Dvd Calendar'!$N$1365&lt;=GRID_TO)*('Dvd Calendar'!$N$1365&gt;VAL_DATE)=0,"",'Dvd Calendar'!$N$1365*1000000000+ISNUMBER('Dvd Calendar'!$N$1366)*100000000+0*10000000+(N('Dvd Calendar'!$N$1364)&gt;0)*(N('Dvd Calendar'!$N$1364)&lt;=VAL_SERIAL)*1000000+23*1000+50))</f>
        <v/>
      </c>
      <c r="GC138" s="121">
        <f>IF(N('Dvd Calendar'!$O$1365)=0,"",IF(('Dvd Calendar'!$O$1365&gt;=GRID_FROM)*('Dvd Calendar'!$O$1365&lt;=GRID_TO)*('Dvd Calendar'!$O$1365&gt;VAL_DATE)=0,"",'Dvd Calendar'!$O$1365*1000000000+ISNUMBER('Dvd Calendar'!$O$1366)*100000000+0*10000000+(N('Dvd Calendar'!$O$1364)&gt;0)*(N('Dvd Calendar'!$O$1364)&lt;=VAL_SERIAL)*1000000+23*1000+51))</f>
        <v/>
      </c>
      <c r="GD138" s="121">
        <f>IF(N('Dvd Calendar'!$P$1365)=0,"",IF(('Dvd Calendar'!$P$1365&gt;=GRID_FROM)*('Dvd Calendar'!$P$1365&lt;=GRID_TO)*('Dvd Calendar'!$P$1365&gt;VAL_DATE)=0,"",'Dvd Calendar'!$P$1365*1000000000+ISNUMBER('Dvd Calendar'!$P$1366)*100000000+0*10000000+(N('Dvd Calendar'!$P$1364)&gt;0)*(N('Dvd Calendar'!$P$1364)&lt;=VAL_SERIAL)*1000000+23*1000+52))</f>
        <v/>
      </c>
      <c r="GE138" s="121">
        <f>IF(N('Dvd Calendar'!$Q$1365)=0,"",IF(('Dvd Calendar'!$Q$1365&gt;=GRID_FROM)*('Dvd Calendar'!$Q$1365&lt;=GRID_TO)*('Dvd Calendar'!$Q$1365&gt;VAL_DATE)=0,"",'Dvd Calendar'!$Q$1365*1000000000+ISNUMBER('Dvd Calendar'!$Q$1366)*100000000+0*10000000+(N('Dvd Calendar'!$Q$1364)&gt;0)*(N('Dvd Calendar'!$Q$1364)&lt;=VAL_SERIAL)*1000000+23*1000+53))</f>
        <v/>
      </c>
      <c r="GF138" s="121">
        <f>IF(N('Dvd Calendar'!$R$1365)=0,"",IF(('Dvd Calendar'!$R$1365&gt;=GRID_FROM)*('Dvd Calendar'!$R$1365&lt;=GRID_TO)*('Dvd Calendar'!$R$1365&gt;VAL_DATE)=0,"",'Dvd Calendar'!$R$1365*1000000000+ISNUMBER('Dvd Calendar'!$R$1366)*100000000+0*10000000+(N('Dvd Calendar'!$R$1364)&gt;0)*(N('Dvd Calendar'!$R$1364)&lt;=VAL_SERIAL)*1000000+23*1000+54))</f>
        <v/>
      </c>
      <c r="GG138" s="121">
        <f>IF(N('Dvd Calendar'!$S$1365)=0,"",IF(('Dvd Calendar'!$S$1365&gt;=GRID_FROM)*('Dvd Calendar'!$S$1365&lt;=GRID_TO)*('Dvd Calendar'!$S$1365&gt;VAL_DATE)=0,"",'Dvd Calendar'!$S$1365*1000000000+ISNUMBER('Dvd Calendar'!$S$1366)*100000000+0*10000000+(N('Dvd Calendar'!$S$1364)&gt;0)*(N('Dvd Calendar'!$S$1364)&lt;=VAL_SERIAL)*1000000+23*1000+55))</f>
        <v/>
      </c>
      <c r="GH138" s="121">
        <f>IF(N('Dvd Calendar'!$T$1365)=0,"",IF(('Dvd Calendar'!$T$1365&gt;=GRID_FROM)*('Dvd Calendar'!$T$1365&lt;=GRID_TO)*('Dvd Calendar'!$T$1365&gt;VAL_DATE)=0,"",'Dvd Calendar'!$T$1365*1000000000+ISNUMBER('Dvd Calendar'!$T$1366)*100000000+0*10000000+(N('Dvd Calendar'!$T$1364)&gt;0)*(N('Dvd Calendar'!$T$1364)&lt;=VAL_SERIAL)*1000000+23*1000+56))</f>
        <v/>
      </c>
      <c r="GI138" s="121">
        <f>IF(N('Dvd Calendar'!$U$1365)=0,"",IF(('Dvd Calendar'!$U$1365&gt;=GRID_FROM)*('Dvd Calendar'!$U$1365&lt;=GRID_TO)*('Dvd Calendar'!$U$1365&gt;VAL_DATE)=0,"",'Dvd Calendar'!$U$1365*1000000000+ISNUMBER('Dvd Calendar'!$U$1366)*100000000+0*10000000+(N('Dvd Calendar'!$U$1364)&gt;0)*(N('Dvd Calendar'!$U$1364)&lt;=VAL_SERIAL)*1000000+23*1000+57))</f>
        <v/>
      </c>
      <c r="GJ138" s="121">
        <f>IF(N('Dvd Calendar'!$V$1365)=0,"",IF(('Dvd Calendar'!$V$1365&gt;=GRID_FROM)*('Dvd Calendar'!$V$1365&lt;=GRID_TO)*('Dvd Calendar'!$V$1365&gt;VAL_DATE)=0,"",'Dvd Calendar'!$V$1365*1000000000+ISNUMBER('Dvd Calendar'!$V$1366)*100000000+0*10000000+(N('Dvd Calendar'!$V$1364)&gt;0)*(N('Dvd Calendar'!$V$1364)&lt;=VAL_SERIAL)*1000000+23*1000+58))</f>
        <v/>
      </c>
      <c r="GK138" s="121">
        <f>IF(N('Dvd Calendar'!$W$1365)=0,"",IF(('Dvd Calendar'!$W$1365&gt;=GRID_FROM)*('Dvd Calendar'!$W$1365&lt;=GRID_TO)*('Dvd Calendar'!$W$1365&gt;VAL_DATE)=0,"",'Dvd Calendar'!$W$1365*1000000000+ISNUMBER('Dvd Calendar'!$W$1366)*100000000+0*10000000+(N('Dvd Calendar'!$W$1364)&gt;0)*(N('Dvd Calendar'!$W$1364)&lt;=VAL_SERIAL)*1000000+23*1000+59))</f>
        <v/>
      </c>
      <c r="GL138" s="121">
        <f>IF(N('Dvd Calendar'!$X$1365)=0,"",IF(('Dvd Calendar'!$X$1365&gt;=GRID_FROM)*('Dvd Calendar'!$X$1365&lt;=GRID_TO)*('Dvd Calendar'!$X$1365&gt;VAL_DATE)=0,"",'Dvd Calendar'!$X$1365*1000000000+ISNUMBER('Dvd Calendar'!$X$1366)*100000000+0*10000000+(N('Dvd Calendar'!$X$1364)&gt;0)*(N('Dvd Calendar'!$X$1364)&lt;=VAL_SERIAL)*1000000+23*1000+60))</f>
        <v/>
      </c>
      <c r="GM138" s="121">
        <f>IF(N('Dvd Calendar'!$Y$1365)=0,"",IF(('Dvd Calendar'!$Y$1365&gt;=GRID_FROM)*('Dvd Calendar'!$Y$1365&lt;=GRID_TO)*('Dvd Calendar'!$Y$1365&gt;VAL_DATE)=0,"",'Dvd Calendar'!$Y$1365*1000000000+ISNUMBER('Dvd Calendar'!$Y$1366)*100000000+0*10000000+(N('Dvd Calendar'!$Y$1364)&gt;0)*(N('Dvd Calendar'!$Y$1364)&lt;=VAL_SERIAL)*1000000+23*1000+61))</f>
        <v/>
      </c>
      <c r="GN138" s="121">
        <f>IF(N('Dvd Calendar'!$Z$1365)=0,"",IF(('Dvd Calendar'!$Z$1365&gt;=GRID_FROM)*('Dvd Calendar'!$Z$1365&lt;=GRID_TO)*('Dvd Calendar'!$Z$1365&gt;VAL_DATE)=0,"",'Dvd Calendar'!$Z$1365*1000000000+ISNUMBER('Dvd Calendar'!$Z$1366)*100000000+0*10000000+(N('Dvd Calendar'!$Z$1364)&gt;0)*(N('Dvd Calendar'!$Z$1364)&lt;=VAL_SERIAL)*1000000+23*1000+62))</f>
        <v/>
      </c>
      <c r="GO138" s="121">
        <f>IF(N('Dvd Calendar'!$AA$1365)=0,"",IF(('Dvd Calendar'!$AA$1365&gt;=GRID_FROM)*('Dvd Calendar'!$AA$1365&lt;=GRID_TO)*('Dvd Calendar'!$AA$1365&gt;VAL_DATE)=0,"",'Dvd Calendar'!$AA$1365*1000000000+ISNUMBER('Dvd Calendar'!$AA$1366)*100000000+0*10000000+(N('Dvd Calendar'!$AA$1364)&gt;0)*(N('Dvd Calendar'!$AA$1364)&lt;=VAL_SERIAL)*1000000+23*1000+63))</f>
        <v/>
      </c>
      <c r="GP138" s="121">
        <f>IF(N('Dvd Calendar'!$AB$1365)=0,"",IF(('Dvd Calendar'!$AB$1365&gt;=GRID_FROM)*('Dvd Calendar'!$AB$1365&lt;=GRID_TO)*('Dvd Calendar'!$AB$1365&gt;VAL_DATE)=0,"",'Dvd Calendar'!$AB$1365*1000000000+ISNUMBER('Dvd Calendar'!$AB$1366)*100000000+0*10000000+(N('Dvd Calendar'!$AB$1364)&gt;0)*(N('Dvd Calendar'!$AB$1364)&lt;=VAL_SERIAL)*1000000+23*1000+64))</f>
        <v/>
      </c>
      <c r="GQ138" s="121">
        <f>IF(N('Dvd Calendar'!$AC$1365)=0,"",IF(('Dvd Calendar'!$AC$1365&gt;=GRID_FROM)*('Dvd Calendar'!$AC$1365&lt;=GRID_TO)*('Dvd Calendar'!$AC$1365&gt;VAL_DATE)=0,"",'Dvd Calendar'!$AC$1365*1000000000+ISNUMBER('Dvd Calendar'!$AC$1366)*100000000+0*10000000+(N('Dvd Calendar'!$AC$1364)&gt;0)*(N('Dvd Calendar'!$AC$1364)&lt;=VAL_SERIAL)*1000000+23*1000+65))</f>
        <v/>
      </c>
    </row>
    <row r="139">
      <c r="B139" s="2">
        <f>IF(HSTECH!$C$30="","",HSTECH!$C$30)</f>
        <v/>
      </c>
      <c r="C139" s="161">
        <f>IF(EE139="","",IF(ISNUMBER('Dvd Calendar'!$E$1372)=FALSE,"",IF((('Dvd Calendar'!$E$1374=TYPE1)*(TYPE1&lt;&gt;"")+('Dvd Calendar'!$E$1374=TYPE2)*(TYPE2&lt;&gt;"")+('Dvd Calendar'!$E$1374=TYPE3)*(TYPE3&lt;&gt;"")+('Dvd Calendar'!$E$1374=TYPE4)*(TYPE4&lt;&gt;"")+('Dvd Calendar'!$E$1374=SPECIAL_LBL)*(INC_SPECIALS="Y"))=0,"",'Dvd Calendar'!$E$1372)))</f>
        <v/>
      </c>
      <c r="D139" s="161">
        <f>IF(EF139="","",IF(ISNUMBER('Dvd Calendar'!$F$1372)=FALSE,"",IF((('Dvd Calendar'!$F$1374=TYPE1)*(TYPE1&lt;&gt;"")+('Dvd Calendar'!$F$1374=TYPE2)*(TYPE2&lt;&gt;"")+('Dvd Calendar'!$F$1374=TYPE3)*(TYPE3&lt;&gt;"")+('Dvd Calendar'!$F$1374=TYPE4)*(TYPE4&lt;&gt;"")+('Dvd Calendar'!$F$1374=SPECIAL_LBL)*(INC_SPECIALS="Y"))=0,"",'Dvd Calendar'!$F$1372)))</f>
        <v/>
      </c>
      <c r="E139" s="161">
        <f>IF(EG139="","",IF(ISNUMBER('Dvd Calendar'!$G$1372)=FALSE,"",IF((('Dvd Calendar'!$G$1374=TYPE1)*(TYPE1&lt;&gt;"")+('Dvd Calendar'!$G$1374=TYPE2)*(TYPE2&lt;&gt;"")+('Dvd Calendar'!$G$1374=TYPE3)*(TYPE3&lt;&gt;"")+('Dvd Calendar'!$G$1374=TYPE4)*(TYPE4&lt;&gt;"")+('Dvd Calendar'!$G$1374=SPECIAL_LBL)*(INC_SPECIALS="Y"))=0,"",'Dvd Calendar'!$G$1372)))</f>
        <v/>
      </c>
      <c r="F139" s="161">
        <f>IF(EH139="","",IF(ISNUMBER('Dvd Calendar'!$H$1372)=FALSE,"",IF((('Dvd Calendar'!$H$1374=TYPE1)*(TYPE1&lt;&gt;"")+('Dvd Calendar'!$H$1374=TYPE2)*(TYPE2&lt;&gt;"")+('Dvd Calendar'!$H$1374=TYPE3)*(TYPE3&lt;&gt;"")+('Dvd Calendar'!$H$1374=TYPE4)*(TYPE4&lt;&gt;"")+('Dvd Calendar'!$H$1374=SPECIAL_LBL)*(INC_SPECIALS="Y"))=0,"",'Dvd Calendar'!$H$1372)))</f>
        <v/>
      </c>
      <c r="G139" s="161">
        <f>IF(EI139="","",IF(ISNUMBER('Dvd Calendar'!$I$1372)=FALSE,"",IF((('Dvd Calendar'!$I$1374=TYPE1)*(TYPE1&lt;&gt;"")+('Dvd Calendar'!$I$1374=TYPE2)*(TYPE2&lt;&gt;"")+('Dvd Calendar'!$I$1374=TYPE3)*(TYPE3&lt;&gt;"")+('Dvd Calendar'!$I$1374=TYPE4)*(TYPE4&lt;&gt;"")+('Dvd Calendar'!$I$1374=SPECIAL_LBL)*(INC_SPECIALS="Y"))=0,"",'Dvd Calendar'!$I$1372)))</f>
        <v/>
      </c>
      <c r="H139" s="161">
        <f>IF(EJ139="","",IF(ISNUMBER('Dvd Calendar'!$J$1372)=FALSE,"",IF((('Dvd Calendar'!$J$1374=TYPE1)*(TYPE1&lt;&gt;"")+('Dvd Calendar'!$J$1374=TYPE2)*(TYPE2&lt;&gt;"")+('Dvd Calendar'!$J$1374=TYPE3)*(TYPE3&lt;&gt;"")+('Dvd Calendar'!$J$1374=TYPE4)*(TYPE4&lt;&gt;"")+('Dvd Calendar'!$J$1374=SPECIAL_LBL)*(INC_SPECIALS="Y"))=0,"",'Dvd Calendar'!$J$1372)))</f>
        <v/>
      </c>
      <c r="I139" s="161">
        <f>IF(EK139="","",IF(ISNUMBER('Dvd Calendar'!$K$1372)=FALSE,"",IF((('Dvd Calendar'!$K$1374=TYPE1)*(TYPE1&lt;&gt;"")+('Dvd Calendar'!$K$1374=TYPE2)*(TYPE2&lt;&gt;"")+('Dvd Calendar'!$K$1374=TYPE3)*(TYPE3&lt;&gt;"")+('Dvd Calendar'!$K$1374=TYPE4)*(TYPE4&lt;&gt;"")+('Dvd Calendar'!$K$1374=SPECIAL_LBL)*(INC_SPECIALS="Y"))=0,"",'Dvd Calendar'!$K$1372)))</f>
        <v/>
      </c>
      <c r="J139" s="161">
        <f>IF(EL139="","",IF(ISNUMBER('Dvd Calendar'!$L$1372)=FALSE,"",IF((('Dvd Calendar'!$L$1374=TYPE1)*(TYPE1&lt;&gt;"")+('Dvd Calendar'!$L$1374=TYPE2)*(TYPE2&lt;&gt;"")+('Dvd Calendar'!$L$1374=TYPE3)*(TYPE3&lt;&gt;"")+('Dvd Calendar'!$L$1374=TYPE4)*(TYPE4&lt;&gt;"")+('Dvd Calendar'!$L$1374=SPECIAL_LBL)*(INC_SPECIALS="Y"))=0,"",'Dvd Calendar'!$L$1372)))</f>
        <v/>
      </c>
      <c r="K139" s="161">
        <f>IF(EM139="","",IF(ISNUMBER('Dvd Calendar'!$M$1372)=FALSE,"",IF((('Dvd Calendar'!$M$1374=TYPE1)*(TYPE1&lt;&gt;"")+('Dvd Calendar'!$M$1374=TYPE2)*(TYPE2&lt;&gt;"")+('Dvd Calendar'!$M$1374=TYPE3)*(TYPE3&lt;&gt;"")+('Dvd Calendar'!$M$1374=TYPE4)*(TYPE4&lt;&gt;"")+('Dvd Calendar'!$M$1374=SPECIAL_LBL)*(INC_SPECIALS="Y"))=0,"",'Dvd Calendar'!$M$1372)))</f>
        <v/>
      </c>
      <c r="L139" s="161">
        <f>IF(EN139="","",IF(ISNUMBER('Dvd Calendar'!$N$1372)=FALSE,"",IF((('Dvd Calendar'!$N$1374=TYPE1)*(TYPE1&lt;&gt;"")+('Dvd Calendar'!$N$1374=TYPE2)*(TYPE2&lt;&gt;"")+('Dvd Calendar'!$N$1374=TYPE3)*(TYPE3&lt;&gt;"")+('Dvd Calendar'!$N$1374=TYPE4)*(TYPE4&lt;&gt;"")+('Dvd Calendar'!$N$1374=SPECIAL_LBL)*(INC_SPECIALS="Y"))=0,"",'Dvd Calendar'!$N$1372)))</f>
        <v/>
      </c>
      <c r="M139" s="161">
        <f>IF(EO139="","",IF(ISNUMBER('Dvd Calendar'!$O$1372)=FALSE,"",IF((('Dvd Calendar'!$O$1374=TYPE1)*(TYPE1&lt;&gt;"")+('Dvd Calendar'!$O$1374=TYPE2)*(TYPE2&lt;&gt;"")+('Dvd Calendar'!$O$1374=TYPE3)*(TYPE3&lt;&gt;"")+('Dvd Calendar'!$O$1374=TYPE4)*(TYPE4&lt;&gt;"")+('Dvd Calendar'!$O$1374=SPECIAL_LBL)*(INC_SPECIALS="Y"))=0,"",'Dvd Calendar'!$O$1372)))</f>
        <v/>
      </c>
      <c r="N139" s="161">
        <f>IF(EP139="","",IF(ISNUMBER('Dvd Calendar'!$P$1372)=FALSE,"",IF((('Dvd Calendar'!$P$1374=TYPE1)*(TYPE1&lt;&gt;"")+('Dvd Calendar'!$P$1374=TYPE2)*(TYPE2&lt;&gt;"")+('Dvd Calendar'!$P$1374=TYPE3)*(TYPE3&lt;&gt;"")+('Dvd Calendar'!$P$1374=TYPE4)*(TYPE4&lt;&gt;"")+('Dvd Calendar'!$P$1374=SPECIAL_LBL)*(INC_SPECIALS="Y"))=0,"",'Dvd Calendar'!$P$1372)))</f>
        <v/>
      </c>
      <c r="O139" s="161">
        <f>IF(EQ139="","",IF(ISNUMBER('Dvd Calendar'!$Q$1372)=FALSE,"",IF((('Dvd Calendar'!$Q$1374=TYPE1)*(TYPE1&lt;&gt;"")+('Dvd Calendar'!$Q$1374=TYPE2)*(TYPE2&lt;&gt;"")+('Dvd Calendar'!$Q$1374=TYPE3)*(TYPE3&lt;&gt;"")+('Dvd Calendar'!$Q$1374=TYPE4)*(TYPE4&lt;&gt;"")+('Dvd Calendar'!$Q$1374=SPECIAL_LBL)*(INC_SPECIALS="Y"))=0,"",'Dvd Calendar'!$Q$1372)))</f>
        <v/>
      </c>
      <c r="P139" s="161">
        <f>IF(ER139="","",IF(ISNUMBER('Dvd Calendar'!$R$1372)=FALSE,"",IF((('Dvd Calendar'!$R$1374=TYPE1)*(TYPE1&lt;&gt;"")+('Dvd Calendar'!$R$1374=TYPE2)*(TYPE2&lt;&gt;"")+('Dvd Calendar'!$R$1374=TYPE3)*(TYPE3&lt;&gt;"")+('Dvd Calendar'!$R$1374=TYPE4)*(TYPE4&lt;&gt;"")+('Dvd Calendar'!$R$1374=SPECIAL_LBL)*(INC_SPECIALS="Y"))=0,"",'Dvd Calendar'!$R$1372)))</f>
        <v/>
      </c>
      <c r="Q139" s="161">
        <f>IF(ES139="","",IF(ISNUMBER('Dvd Calendar'!$S$1372)=FALSE,"",IF((('Dvd Calendar'!$S$1374=TYPE1)*(TYPE1&lt;&gt;"")+('Dvd Calendar'!$S$1374=TYPE2)*(TYPE2&lt;&gt;"")+('Dvd Calendar'!$S$1374=TYPE3)*(TYPE3&lt;&gt;"")+('Dvd Calendar'!$S$1374=TYPE4)*(TYPE4&lt;&gt;"")+('Dvd Calendar'!$S$1374=SPECIAL_LBL)*(INC_SPECIALS="Y"))=0,"",'Dvd Calendar'!$S$1372)))</f>
        <v/>
      </c>
      <c r="R139" s="161">
        <f>IF(ET139="","",IF(ISNUMBER('Dvd Calendar'!$T$1372)=FALSE,"",IF((('Dvd Calendar'!$T$1374=TYPE1)*(TYPE1&lt;&gt;"")+('Dvd Calendar'!$T$1374=TYPE2)*(TYPE2&lt;&gt;"")+('Dvd Calendar'!$T$1374=TYPE3)*(TYPE3&lt;&gt;"")+('Dvd Calendar'!$T$1374=TYPE4)*(TYPE4&lt;&gt;"")+('Dvd Calendar'!$T$1374=SPECIAL_LBL)*(INC_SPECIALS="Y"))=0,"",'Dvd Calendar'!$T$1372)))</f>
        <v/>
      </c>
      <c r="S139" s="161">
        <f>IF(EU139="","",IF(ISNUMBER('Dvd Calendar'!$U$1372)=FALSE,"",IF((('Dvd Calendar'!$U$1374=TYPE1)*(TYPE1&lt;&gt;"")+('Dvd Calendar'!$U$1374=TYPE2)*(TYPE2&lt;&gt;"")+('Dvd Calendar'!$U$1374=TYPE3)*(TYPE3&lt;&gt;"")+('Dvd Calendar'!$U$1374=TYPE4)*(TYPE4&lt;&gt;"")+('Dvd Calendar'!$U$1374=SPECIAL_LBL)*(INC_SPECIALS="Y"))=0,"",'Dvd Calendar'!$U$1372)))</f>
        <v/>
      </c>
      <c r="T139" s="161">
        <f>IF(EV139="","",IF(ISNUMBER('Dvd Calendar'!$V$1372)=FALSE,"",IF((('Dvd Calendar'!$V$1374=TYPE1)*(TYPE1&lt;&gt;"")+('Dvd Calendar'!$V$1374=TYPE2)*(TYPE2&lt;&gt;"")+('Dvd Calendar'!$V$1374=TYPE3)*(TYPE3&lt;&gt;"")+('Dvd Calendar'!$V$1374=TYPE4)*(TYPE4&lt;&gt;"")+('Dvd Calendar'!$V$1374=SPECIAL_LBL)*(INC_SPECIALS="Y"))=0,"",'Dvd Calendar'!$V$1372)))</f>
        <v/>
      </c>
      <c r="U139" s="161">
        <f>IF(EW139="","",IF(ISNUMBER('Dvd Calendar'!$W$1372)=FALSE,"",IF((('Dvd Calendar'!$W$1374=TYPE1)*(TYPE1&lt;&gt;"")+('Dvd Calendar'!$W$1374=TYPE2)*(TYPE2&lt;&gt;"")+('Dvd Calendar'!$W$1374=TYPE3)*(TYPE3&lt;&gt;"")+('Dvd Calendar'!$W$1374=TYPE4)*(TYPE4&lt;&gt;"")+('Dvd Calendar'!$W$1374=SPECIAL_LBL)*(INC_SPECIALS="Y"))=0,"",'Dvd Calendar'!$W$1372)))</f>
        <v/>
      </c>
      <c r="V139" s="161">
        <f>IF(EX139="","",IF(ISNUMBER('Dvd Calendar'!$X$1372)=FALSE,"",IF((('Dvd Calendar'!$X$1374=TYPE1)*(TYPE1&lt;&gt;"")+('Dvd Calendar'!$X$1374=TYPE2)*(TYPE2&lt;&gt;"")+('Dvd Calendar'!$X$1374=TYPE3)*(TYPE3&lt;&gt;"")+('Dvd Calendar'!$X$1374=TYPE4)*(TYPE4&lt;&gt;"")+('Dvd Calendar'!$X$1374=SPECIAL_LBL)*(INC_SPECIALS="Y"))=0,"",'Dvd Calendar'!$X$1372)))</f>
        <v/>
      </c>
      <c r="W139" s="161">
        <f>IF(EY139="","",IF(ISNUMBER('Dvd Calendar'!$Y$1372)=FALSE,"",IF((('Dvd Calendar'!$Y$1374=TYPE1)*(TYPE1&lt;&gt;"")+('Dvd Calendar'!$Y$1374=TYPE2)*(TYPE2&lt;&gt;"")+('Dvd Calendar'!$Y$1374=TYPE3)*(TYPE3&lt;&gt;"")+('Dvd Calendar'!$Y$1374=TYPE4)*(TYPE4&lt;&gt;"")+('Dvd Calendar'!$Y$1374=SPECIAL_LBL)*(INC_SPECIALS="Y"))=0,"",'Dvd Calendar'!$Y$1372)))</f>
        <v/>
      </c>
      <c r="X139" s="161">
        <f>IF(EZ139="","",IF(ISNUMBER('Dvd Calendar'!$Z$1372)=FALSE,"",IF((('Dvd Calendar'!$Z$1374=TYPE1)*(TYPE1&lt;&gt;"")+('Dvd Calendar'!$Z$1374=TYPE2)*(TYPE2&lt;&gt;"")+('Dvd Calendar'!$Z$1374=TYPE3)*(TYPE3&lt;&gt;"")+('Dvd Calendar'!$Z$1374=TYPE4)*(TYPE4&lt;&gt;"")+('Dvd Calendar'!$Z$1374=SPECIAL_LBL)*(INC_SPECIALS="Y"))=0,"",'Dvd Calendar'!$Z$1372)))</f>
        <v/>
      </c>
      <c r="Y139" s="161">
        <f>IF(FA139="","",IF(ISNUMBER('Dvd Calendar'!$AA$1372)=FALSE,"",IF((('Dvd Calendar'!$AA$1374=TYPE1)*(TYPE1&lt;&gt;"")+('Dvd Calendar'!$AA$1374=TYPE2)*(TYPE2&lt;&gt;"")+('Dvd Calendar'!$AA$1374=TYPE3)*(TYPE3&lt;&gt;"")+('Dvd Calendar'!$AA$1374=TYPE4)*(TYPE4&lt;&gt;"")+('Dvd Calendar'!$AA$1374=SPECIAL_LBL)*(INC_SPECIALS="Y"))=0,"",'Dvd Calendar'!$AA$1372)))</f>
        <v/>
      </c>
      <c r="Z139" s="161">
        <f>IF(FB139="","",IF(ISNUMBER('Dvd Calendar'!$AB$1372)=FALSE,"",IF((('Dvd Calendar'!$AB$1374=TYPE1)*(TYPE1&lt;&gt;"")+('Dvd Calendar'!$AB$1374=TYPE2)*(TYPE2&lt;&gt;"")+('Dvd Calendar'!$AB$1374=TYPE3)*(TYPE3&lt;&gt;"")+('Dvd Calendar'!$AB$1374=TYPE4)*(TYPE4&lt;&gt;"")+('Dvd Calendar'!$AB$1374=SPECIAL_LBL)*(INC_SPECIALS="Y"))=0,"",'Dvd Calendar'!$AB$1372)))</f>
        <v/>
      </c>
      <c r="AA139" s="161">
        <f>IF(FC139="","",IF(ISNUMBER('Dvd Calendar'!$AC$1372)=FALSE,"",IF((('Dvd Calendar'!$AC$1374=TYPE1)*(TYPE1&lt;&gt;"")+('Dvd Calendar'!$AC$1374=TYPE2)*(TYPE2&lt;&gt;"")+('Dvd Calendar'!$AC$1374=TYPE3)*(TYPE3&lt;&gt;"")+('Dvd Calendar'!$AC$1374=TYPE4)*(TYPE4&lt;&gt;"")+('Dvd Calendar'!$AC$1374=SPECIAL_LBL)*(INC_SPECIALS="Y"))=0,"",'Dvd Calendar'!$AC$1372)))</f>
        <v/>
      </c>
      <c r="AB139" s="161">
        <f>IF(FD139="","",IF(ISNUMBER('Dvd Calendar'!$AD$1372)=FALSE,"",IF((('Dvd Calendar'!$AD$1374=TYPE1)*(TYPE1&lt;&gt;"")+('Dvd Calendar'!$AD$1374=TYPE2)*(TYPE2&lt;&gt;"")+('Dvd Calendar'!$AD$1374=TYPE3)*(TYPE3&lt;&gt;"")+('Dvd Calendar'!$AD$1374=TYPE4)*(TYPE4&lt;&gt;"")+('Dvd Calendar'!$AD$1374=SPECIAL_LBL)*(INC_SPECIALS="Y"))=0,"",'Dvd Calendar'!$AD$1372)))</f>
        <v/>
      </c>
      <c r="AC139" s="161">
        <f>IF(FE139="","",IF(ISNUMBER('Dvd Calendar'!$AE$1372)=FALSE,"",IF((('Dvd Calendar'!$AE$1374=TYPE1)*(TYPE1&lt;&gt;"")+('Dvd Calendar'!$AE$1374=TYPE2)*(TYPE2&lt;&gt;"")+('Dvd Calendar'!$AE$1374=TYPE3)*(TYPE3&lt;&gt;"")+('Dvd Calendar'!$AE$1374=TYPE4)*(TYPE4&lt;&gt;"")+('Dvd Calendar'!$AE$1374=SPECIAL_LBL)*(INC_SPECIALS="Y"))=0,"",'Dvd Calendar'!$AE$1372)))</f>
        <v/>
      </c>
      <c r="AD139" s="161">
        <f>IF(FF139="","",IF(ISNUMBER('Dvd Calendar'!$AF$1372)=FALSE,"",IF((('Dvd Calendar'!$AF$1374=TYPE1)*(TYPE1&lt;&gt;"")+('Dvd Calendar'!$AF$1374=TYPE2)*(TYPE2&lt;&gt;"")+('Dvd Calendar'!$AF$1374=TYPE3)*(TYPE3&lt;&gt;"")+('Dvd Calendar'!$AF$1374=TYPE4)*(TYPE4&lt;&gt;"")+('Dvd Calendar'!$AF$1374=SPECIAL_LBL)*(INC_SPECIALS="Y"))=0,"",'Dvd Calendar'!$AF$1372)))</f>
        <v/>
      </c>
      <c r="AE139" s="161">
        <f>IF(FG139="","",IF(ISNUMBER('Dvd Calendar'!$AG$1372)=FALSE,"",IF((('Dvd Calendar'!$AG$1374=TYPE1)*(TYPE1&lt;&gt;"")+('Dvd Calendar'!$AG$1374=TYPE2)*(TYPE2&lt;&gt;"")+('Dvd Calendar'!$AG$1374=TYPE3)*(TYPE3&lt;&gt;"")+('Dvd Calendar'!$AG$1374=TYPE4)*(TYPE4&lt;&gt;"")+('Dvd Calendar'!$AG$1374=SPECIAL_LBL)*(INC_SPECIALS="Y"))=0,"",'Dvd Calendar'!$AG$1372)))</f>
        <v/>
      </c>
      <c r="AF139" s="161">
        <f>IF(FH139="","",IF(ISNUMBER('Dvd Calendar'!$AH$1372)=FALSE,"",IF((('Dvd Calendar'!$AH$1374=TYPE1)*(TYPE1&lt;&gt;"")+('Dvd Calendar'!$AH$1374=TYPE2)*(TYPE2&lt;&gt;"")+('Dvd Calendar'!$AH$1374=TYPE3)*(TYPE3&lt;&gt;"")+('Dvd Calendar'!$AH$1374=TYPE4)*(TYPE4&lt;&gt;"")+('Dvd Calendar'!$AH$1374=SPECIAL_LBL)*(INC_SPECIALS="Y"))=0,"",'Dvd Calendar'!$AH$1372)))</f>
        <v/>
      </c>
      <c r="AG139" s="161">
        <f>IF(FI139="","",IF(ISNUMBER('Dvd Calendar'!$AI$1372)=FALSE,"",IF((('Dvd Calendar'!$AI$1374=TYPE1)*(TYPE1&lt;&gt;"")+('Dvd Calendar'!$AI$1374=TYPE2)*(TYPE2&lt;&gt;"")+('Dvd Calendar'!$AI$1374=TYPE3)*(TYPE3&lt;&gt;"")+('Dvd Calendar'!$AI$1374=TYPE4)*(TYPE4&lt;&gt;"")+('Dvd Calendar'!$AI$1374=SPECIAL_LBL)*(INC_SPECIALS="Y"))=0,"",'Dvd Calendar'!$AI$1372)))</f>
        <v/>
      </c>
      <c r="AH139" s="161">
        <f>IF(FJ139="","",IF(ISNUMBER('Dvd Calendar'!$AJ$1372)=FALSE,"",IF((('Dvd Calendar'!$AJ$1374=TYPE1)*(TYPE1&lt;&gt;"")+('Dvd Calendar'!$AJ$1374=TYPE2)*(TYPE2&lt;&gt;"")+('Dvd Calendar'!$AJ$1374=TYPE3)*(TYPE3&lt;&gt;"")+('Dvd Calendar'!$AJ$1374=TYPE4)*(TYPE4&lt;&gt;"")+('Dvd Calendar'!$AJ$1374=SPECIAL_LBL)*(INC_SPECIALS="Y"))=0,"",'Dvd Calendar'!$AJ$1372)))</f>
        <v/>
      </c>
      <c r="AI139" s="161">
        <f>IF(FK139="","",IF(ISNUMBER('Dvd Calendar'!$AK$1372)=FALSE,"",IF((('Dvd Calendar'!$AK$1374=TYPE1)*(TYPE1&lt;&gt;"")+('Dvd Calendar'!$AK$1374=TYPE2)*(TYPE2&lt;&gt;"")+('Dvd Calendar'!$AK$1374=TYPE3)*(TYPE3&lt;&gt;"")+('Dvd Calendar'!$AK$1374=TYPE4)*(TYPE4&lt;&gt;"")+('Dvd Calendar'!$AK$1374=SPECIAL_LBL)*(INC_SPECIALS="Y"))=0,"",'Dvd Calendar'!$AK$1372)))</f>
        <v/>
      </c>
      <c r="AJ139" s="161">
        <f>IF(FL139="","",IF(ISNUMBER('Dvd Calendar'!$AL$1372)=FALSE,"",IF((('Dvd Calendar'!$AL$1374=TYPE1)*(TYPE1&lt;&gt;"")+('Dvd Calendar'!$AL$1374=TYPE2)*(TYPE2&lt;&gt;"")+('Dvd Calendar'!$AL$1374=TYPE3)*(TYPE3&lt;&gt;"")+('Dvd Calendar'!$AL$1374=TYPE4)*(TYPE4&lt;&gt;"")+('Dvd Calendar'!$AL$1374=SPECIAL_LBL)*(INC_SPECIALS="Y"))=0,"",'Dvd Calendar'!$AL$1372)))</f>
        <v/>
      </c>
      <c r="AK139" s="161">
        <f>IF(FM139="","",IF(ISNUMBER('Dvd Calendar'!$AM$1372)=FALSE,"",IF((('Dvd Calendar'!$AM$1374=TYPE1)*(TYPE1&lt;&gt;"")+('Dvd Calendar'!$AM$1374=TYPE2)*(TYPE2&lt;&gt;"")+('Dvd Calendar'!$AM$1374=TYPE3)*(TYPE3&lt;&gt;"")+('Dvd Calendar'!$AM$1374=TYPE4)*(TYPE4&lt;&gt;"")+('Dvd Calendar'!$AM$1374=SPECIAL_LBL)*(INC_SPECIALS="Y"))=0,"",'Dvd Calendar'!$AM$1372)))</f>
        <v/>
      </c>
      <c r="AL139" s="161">
        <f>IF(FN139="","",IF(ISNUMBER('Dvd Calendar'!$AN$1372)=FALSE,"",IF((('Dvd Calendar'!$AN$1374=TYPE1)*(TYPE1&lt;&gt;"")+('Dvd Calendar'!$AN$1374=TYPE2)*(TYPE2&lt;&gt;"")+('Dvd Calendar'!$AN$1374=TYPE3)*(TYPE3&lt;&gt;"")+('Dvd Calendar'!$AN$1374=TYPE4)*(TYPE4&lt;&gt;"")+('Dvd Calendar'!$AN$1374=SPECIAL_LBL)*(INC_SPECIALS="Y"))=0,"",'Dvd Calendar'!$AN$1372)))</f>
        <v/>
      </c>
      <c r="AM139" s="161">
        <f>IF(FO139="","",IF(ISNUMBER('Dvd Calendar'!$AO$1372)=FALSE,"",IF((('Dvd Calendar'!$AO$1374=TYPE1)*(TYPE1&lt;&gt;"")+('Dvd Calendar'!$AO$1374=TYPE2)*(TYPE2&lt;&gt;"")+('Dvd Calendar'!$AO$1374=TYPE3)*(TYPE3&lt;&gt;"")+('Dvd Calendar'!$AO$1374=TYPE4)*(TYPE4&lt;&gt;"")+('Dvd Calendar'!$AO$1374=SPECIAL_LBL)*(INC_SPECIALS="Y"))=0,"",'Dvd Calendar'!$AO$1372)))</f>
        <v/>
      </c>
      <c r="AN139" s="161">
        <f>IF(FP139="","",IF(ISNUMBER('Dvd Calendar'!$AP$1372)=FALSE,"",IF((('Dvd Calendar'!$AP$1374=TYPE1)*(TYPE1&lt;&gt;"")+('Dvd Calendar'!$AP$1374=TYPE2)*(TYPE2&lt;&gt;"")+('Dvd Calendar'!$AP$1374=TYPE3)*(TYPE3&lt;&gt;"")+('Dvd Calendar'!$AP$1374=TYPE4)*(TYPE4&lt;&gt;"")+('Dvd Calendar'!$AP$1374=SPECIAL_LBL)*(INC_SPECIALS="Y"))=0,"",'Dvd Calendar'!$AP$1372)))</f>
        <v/>
      </c>
      <c r="AO139" s="161">
        <f>IF(FQ139="","",IF(ISNUMBER('Dvd Calendar'!$AQ$1372)=FALSE,"",IF((('Dvd Calendar'!$AQ$1374=TYPE1)*(TYPE1&lt;&gt;"")+('Dvd Calendar'!$AQ$1374=TYPE2)*(TYPE2&lt;&gt;"")+('Dvd Calendar'!$AQ$1374=TYPE3)*(TYPE3&lt;&gt;"")+('Dvd Calendar'!$AQ$1374=TYPE4)*(TYPE4&lt;&gt;"")+('Dvd Calendar'!$AQ$1374=SPECIAL_LBL)*(INC_SPECIALS="Y"))=0,"",'Dvd Calendar'!$AQ$1372)))</f>
        <v/>
      </c>
      <c r="AP139" s="161">
        <f>IF(FR139="","",IF(ISNUMBER('Dvd Calendar'!$AR$1372)=FALSE,"",IF((('Dvd Calendar'!$AR$1374=TYPE1)*(TYPE1&lt;&gt;"")+('Dvd Calendar'!$AR$1374=TYPE2)*(TYPE2&lt;&gt;"")+('Dvd Calendar'!$AR$1374=TYPE3)*(TYPE3&lt;&gt;"")+('Dvd Calendar'!$AR$1374=TYPE4)*(TYPE4&lt;&gt;"")+('Dvd Calendar'!$AR$1374=SPECIAL_LBL)*(INC_SPECIALS="Y"))=0,"",'Dvd Calendar'!$AR$1372)))</f>
        <v/>
      </c>
      <c r="AQ139" s="161">
        <f>IF(FS139="","",IF(ISNUMBER('Dvd Calendar'!$E$1377)=FALSE,"",'Dvd Calendar'!$E$1377))</f>
        <v/>
      </c>
      <c r="AR139" s="161">
        <f>IF(FT139="","",IF(ISNUMBER('Dvd Calendar'!$F$1377)=FALSE,"",'Dvd Calendar'!$F$1377))</f>
        <v/>
      </c>
      <c r="AS139" s="161">
        <f>IF(FU139="","",IF(ISNUMBER('Dvd Calendar'!$G$1377)=FALSE,"",'Dvd Calendar'!$G$1377))</f>
        <v/>
      </c>
      <c r="AT139" s="161">
        <f>IF(FV139="","",IF(ISNUMBER('Dvd Calendar'!$H$1377)=FALSE,"",'Dvd Calendar'!$H$1377))</f>
        <v/>
      </c>
      <c r="AU139" s="161">
        <f>IF(FW139="","",IF(ISNUMBER('Dvd Calendar'!$I$1377)=FALSE,"",'Dvd Calendar'!$I$1377))</f>
        <v/>
      </c>
      <c r="AV139" s="161">
        <f>IF(FX139="","",IF(ISNUMBER('Dvd Calendar'!$J$1377)=FALSE,"",'Dvd Calendar'!$J$1377))</f>
        <v/>
      </c>
      <c r="AW139" s="161">
        <f>IF(FY139="","",IF(ISNUMBER('Dvd Calendar'!$K$1377)=FALSE,"",'Dvd Calendar'!$K$1377))</f>
        <v/>
      </c>
      <c r="AX139" s="161">
        <f>IF(FZ139="","",IF(ISNUMBER('Dvd Calendar'!$L$1377)=FALSE,"",'Dvd Calendar'!$L$1377))</f>
        <v/>
      </c>
      <c r="AY139" s="161">
        <f>IF(GA139="","",IF(ISNUMBER('Dvd Calendar'!$M$1377)=FALSE,"",'Dvd Calendar'!$M$1377))</f>
        <v/>
      </c>
      <c r="AZ139" s="161">
        <f>IF(GB139="","",IF(ISNUMBER('Dvd Calendar'!$N$1377)=FALSE,"",'Dvd Calendar'!$N$1377))</f>
        <v/>
      </c>
      <c r="BA139" s="161">
        <f>IF(GC139="","",IF(ISNUMBER('Dvd Calendar'!$O$1377)=FALSE,"",'Dvd Calendar'!$O$1377))</f>
        <v/>
      </c>
      <c r="BB139" s="161">
        <f>IF(GD139="","",IF(ISNUMBER('Dvd Calendar'!$P$1377)=FALSE,"",'Dvd Calendar'!$P$1377))</f>
        <v/>
      </c>
      <c r="BC139" s="161">
        <f>IF(GE139="","",IF(ISNUMBER('Dvd Calendar'!$Q$1377)=FALSE,"",'Dvd Calendar'!$Q$1377))</f>
        <v/>
      </c>
      <c r="BD139" s="161">
        <f>IF(GF139="","",IF(ISNUMBER('Dvd Calendar'!$R$1377)=FALSE,"",'Dvd Calendar'!$R$1377))</f>
        <v/>
      </c>
      <c r="BE139" s="161">
        <f>IF(GG139="","",IF(ISNUMBER('Dvd Calendar'!$S$1377)=FALSE,"",'Dvd Calendar'!$S$1377))</f>
        <v/>
      </c>
      <c r="BF139" s="161">
        <f>IF(GH139="","",IF(ISNUMBER('Dvd Calendar'!$T$1377)=FALSE,"",'Dvd Calendar'!$T$1377))</f>
        <v/>
      </c>
      <c r="BG139" s="161">
        <f>IF(GI139="","",IF(ISNUMBER('Dvd Calendar'!$U$1377)=FALSE,"",'Dvd Calendar'!$U$1377))</f>
        <v/>
      </c>
      <c r="BH139" s="161">
        <f>IF(GJ139="","",IF(ISNUMBER('Dvd Calendar'!$V$1377)=FALSE,"",'Dvd Calendar'!$V$1377))</f>
        <v/>
      </c>
      <c r="BI139" s="161">
        <f>IF(GK139="","",IF(ISNUMBER('Dvd Calendar'!$W$1377)=FALSE,"",'Dvd Calendar'!$W$1377))</f>
        <v/>
      </c>
      <c r="BJ139" s="161">
        <f>IF(GL139="","",IF(ISNUMBER('Dvd Calendar'!$X$1377)=FALSE,"",'Dvd Calendar'!$X$1377))</f>
        <v/>
      </c>
      <c r="BK139" s="161">
        <f>IF(GM139="","",IF(ISNUMBER('Dvd Calendar'!$Y$1377)=FALSE,"",'Dvd Calendar'!$Y$1377))</f>
        <v/>
      </c>
      <c r="BL139" s="161">
        <f>IF(GN139="","",IF(ISNUMBER('Dvd Calendar'!$Z$1377)=FALSE,"",'Dvd Calendar'!$Z$1377))</f>
        <v/>
      </c>
      <c r="BM139" s="161">
        <f>IF(GO139="","",IF(ISNUMBER('Dvd Calendar'!$AA$1377)=FALSE,"",'Dvd Calendar'!$AA$1377))</f>
        <v/>
      </c>
      <c r="BN139" s="161">
        <f>IF(GP139="","",IF(ISNUMBER('Dvd Calendar'!$AB$1377)=FALSE,"",'Dvd Calendar'!$AB$1377))</f>
        <v/>
      </c>
      <c r="BO139" s="161">
        <f>IF(GQ139="","",IF(ISNUMBER('Dvd Calendar'!$AC$1377)=FALSE,"",'Dvd Calendar'!$AC$1377))</f>
        <v/>
      </c>
      <c r="BQ139" s="161">
        <f>IF(C139="","",IFERROR(C139*HSTECH!$B$30*HSTECH!$G$30/HSTECH!$B$3,""))</f>
        <v/>
      </c>
      <c r="BR139" s="161">
        <f>IF(D139="","",IFERROR(D139*HSTECH!$B$30*HSTECH!$G$30/HSTECH!$B$3,""))</f>
        <v/>
      </c>
      <c r="BS139" s="161">
        <f>IF(E139="","",IFERROR(E139*HSTECH!$B$30*HSTECH!$G$30/HSTECH!$B$3,""))</f>
        <v/>
      </c>
      <c r="BT139" s="161">
        <f>IF(F139="","",IFERROR(F139*HSTECH!$B$30*HSTECH!$G$30/HSTECH!$B$3,""))</f>
        <v/>
      </c>
      <c r="BU139" s="161">
        <f>IF(G139="","",IFERROR(G139*HSTECH!$B$30*HSTECH!$G$30/HSTECH!$B$3,""))</f>
        <v/>
      </c>
      <c r="BV139" s="161">
        <f>IF(H139="","",IFERROR(H139*HSTECH!$B$30*HSTECH!$G$30/HSTECH!$B$3,""))</f>
        <v/>
      </c>
      <c r="BW139" s="161">
        <f>IF(I139="","",IFERROR(I139*HSTECH!$B$30*HSTECH!$G$30/HSTECH!$B$3,""))</f>
        <v/>
      </c>
      <c r="BX139" s="161">
        <f>IF(J139="","",IFERROR(J139*HSTECH!$B$30*HSTECH!$G$30/HSTECH!$B$3,""))</f>
        <v/>
      </c>
      <c r="BY139" s="161">
        <f>IF(K139="","",IFERROR(K139*HSTECH!$B$30*HSTECH!$G$30/HSTECH!$B$3,""))</f>
        <v/>
      </c>
      <c r="BZ139" s="161">
        <f>IF(L139="","",IFERROR(L139*HSTECH!$B$30*HSTECH!$G$30/HSTECH!$B$3,""))</f>
        <v/>
      </c>
      <c r="CA139" s="161">
        <f>IF(M139="","",IFERROR(M139*HSTECH!$B$30*HSTECH!$G$30/HSTECH!$B$3,""))</f>
        <v/>
      </c>
      <c r="CB139" s="161">
        <f>IF(N139="","",IFERROR(N139*HSTECH!$B$30*HSTECH!$G$30/HSTECH!$B$3,""))</f>
        <v/>
      </c>
      <c r="CC139" s="161">
        <f>IF(O139="","",IFERROR(O139*HSTECH!$B$30*HSTECH!$G$30/HSTECH!$B$3,""))</f>
        <v/>
      </c>
      <c r="CD139" s="161">
        <f>IF(P139="","",IFERROR(P139*HSTECH!$B$30*HSTECH!$G$30/HSTECH!$B$3,""))</f>
        <v/>
      </c>
      <c r="CE139" s="161">
        <f>IF(Q139="","",IFERROR(Q139*HSTECH!$B$30*HSTECH!$G$30/HSTECH!$B$3,""))</f>
        <v/>
      </c>
      <c r="CF139" s="161">
        <f>IF(R139="","",IFERROR(R139*HSTECH!$B$30*HSTECH!$G$30/HSTECH!$B$3,""))</f>
        <v/>
      </c>
      <c r="CG139" s="161">
        <f>IF(S139="","",IFERROR(S139*HSTECH!$B$30*HSTECH!$G$30/HSTECH!$B$3,""))</f>
        <v/>
      </c>
      <c r="CH139" s="161">
        <f>IF(T139="","",IFERROR(T139*HSTECH!$B$30*HSTECH!$G$30/HSTECH!$B$3,""))</f>
        <v/>
      </c>
      <c r="CI139" s="161">
        <f>IF(U139="","",IFERROR(U139*HSTECH!$B$30*HSTECH!$G$30/HSTECH!$B$3,""))</f>
        <v/>
      </c>
      <c r="CJ139" s="161">
        <f>IF(V139="","",IFERROR(V139*HSTECH!$B$30*HSTECH!$G$30/HSTECH!$B$3,""))</f>
        <v/>
      </c>
      <c r="CK139" s="161">
        <f>IF(W139="","",IFERROR(W139*HSTECH!$B$30*HSTECH!$G$30/HSTECH!$B$3,""))</f>
        <v/>
      </c>
      <c r="CL139" s="161">
        <f>IF(X139="","",IFERROR(X139*HSTECH!$B$30*HSTECH!$G$30/HSTECH!$B$3,""))</f>
        <v/>
      </c>
      <c r="CM139" s="161">
        <f>IF(Y139="","",IFERROR(Y139*HSTECH!$B$30*HSTECH!$G$30/HSTECH!$B$3,""))</f>
        <v/>
      </c>
      <c r="CN139" s="161">
        <f>IF(Z139="","",IFERROR(Z139*HSTECH!$B$30*HSTECH!$G$30/HSTECH!$B$3,""))</f>
        <v/>
      </c>
      <c r="CO139" s="161">
        <f>IF(AA139="","",IFERROR(AA139*HSTECH!$B$30*HSTECH!$G$30/HSTECH!$B$3,""))</f>
        <v/>
      </c>
      <c r="CP139" s="161">
        <f>IF(AB139="","",IFERROR(AB139*HSTECH!$B$30*HSTECH!$G$30/HSTECH!$B$3,""))</f>
        <v/>
      </c>
      <c r="CQ139" s="161">
        <f>IF(AC139="","",IFERROR(AC139*HSTECH!$B$30*HSTECH!$G$30/HSTECH!$B$3,""))</f>
        <v/>
      </c>
      <c r="CR139" s="161">
        <f>IF(AD139="","",IFERROR(AD139*HSTECH!$B$30*HSTECH!$G$30/HSTECH!$B$3,""))</f>
        <v/>
      </c>
      <c r="CS139" s="161">
        <f>IF(AE139="","",IFERROR(AE139*HSTECH!$B$30*HSTECH!$G$30/HSTECH!$B$3,""))</f>
        <v/>
      </c>
      <c r="CT139" s="161">
        <f>IF(AF139="","",IFERROR(AF139*HSTECH!$B$30*HSTECH!$G$30/HSTECH!$B$3,""))</f>
        <v/>
      </c>
      <c r="CU139" s="161">
        <f>IF(AG139="","",IFERROR(AG139*HSTECH!$B$30*HSTECH!$G$30/HSTECH!$B$3,""))</f>
        <v/>
      </c>
      <c r="CV139" s="161">
        <f>IF(AH139="","",IFERROR(AH139*HSTECH!$B$30*HSTECH!$G$30/HSTECH!$B$3,""))</f>
        <v/>
      </c>
      <c r="CW139" s="161">
        <f>IF(AI139="","",IFERROR(AI139*HSTECH!$B$30*HSTECH!$G$30/HSTECH!$B$3,""))</f>
        <v/>
      </c>
      <c r="CX139" s="161">
        <f>IF(AJ139="","",IFERROR(AJ139*HSTECH!$B$30*HSTECH!$G$30/HSTECH!$B$3,""))</f>
        <v/>
      </c>
      <c r="CY139" s="161">
        <f>IF(AK139="","",IFERROR(AK139*HSTECH!$B$30*HSTECH!$G$30/HSTECH!$B$3,""))</f>
        <v/>
      </c>
      <c r="CZ139" s="161">
        <f>IF(AL139="","",IFERROR(AL139*HSTECH!$B$30*HSTECH!$G$30/HSTECH!$B$3,""))</f>
        <v/>
      </c>
      <c r="DA139" s="161">
        <f>IF(AM139="","",IFERROR(AM139*HSTECH!$B$30*HSTECH!$G$30/HSTECH!$B$3,""))</f>
        <v/>
      </c>
      <c r="DB139" s="161">
        <f>IF(AN139="","",IFERROR(AN139*HSTECH!$B$30*HSTECH!$G$30/HSTECH!$B$3,""))</f>
        <v/>
      </c>
      <c r="DC139" s="161">
        <f>IF(AO139="","",IFERROR(AO139*HSTECH!$B$30*HSTECH!$G$30/HSTECH!$B$3,""))</f>
        <v/>
      </c>
      <c r="DD139" s="161">
        <f>IF(AP139="","",IFERROR(AP139*HSTECH!$B$30*HSTECH!$G$30/HSTECH!$B$3,""))</f>
        <v/>
      </c>
      <c r="DE139" s="161">
        <f>IF(AQ139="","",IFERROR(AQ139*HSTECH!$B$30*HSTECH!$G$30/HSTECH!$B$3,""))</f>
        <v/>
      </c>
      <c r="DF139" s="161">
        <f>IF(AR139="","",IFERROR(AR139*HSTECH!$B$30*HSTECH!$G$30/HSTECH!$B$3,""))</f>
        <v/>
      </c>
      <c r="DG139" s="161">
        <f>IF(AS139="","",IFERROR(AS139*HSTECH!$B$30*HSTECH!$G$30/HSTECH!$B$3,""))</f>
        <v/>
      </c>
      <c r="DH139" s="161">
        <f>IF(AT139="","",IFERROR(AT139*HSTECH!$B$30*HSTECH!$G$30/HSTECH!$B$3,""))</f>
        <v/>
      </c>
      <c r="DI139" s="161">
        <f>IF(AU139="","",IFERROR(AU139*HSTECH!$B$30*HSTECH!$G$30/HSTECH!$B$3,""))</f>
        <v/>
      </c>
      <c r="DJ139" s="161">
        <f>IF(AV139="","",IFERROR(AV139*HSTECH!$B$30*HSTECH!$G$30/HSTECH!$B$3,""))</f>
        <v/>
      </c>
      <c r="DK139" s="161">
        <f>IF(AW139="","",IFERROR(AW139*HSTECH!$B$30*HSTECH!$G$30/HSTECH!$B$3,""))</f>
        <v/>
      </c>
      <c r="DL139" s="161">
        <f>IF(AX139="","",IFERROR(AX139*HSTECH!$B$30*HSTECH!$G$30/HSTECH!$B$3,""))</f>
        <v/>
      </c>
      <c r="DM139" s="161">
        <f>IF(AY139="","",IFERROR(AY139*HSTECH!$B$30*HSTECH!$G$30/HSTECH!$B$3,""))</f>
        <v/>
      </c>
      <c r="DN139" s="161">
        <f>IF(AZ139="","",IFERROR(AZ139*HSTECH!$B$30*HSTECH!$G$30/HSTECH!$B$3,""))</f>
        <v/>
      </c>
      <c r="DO139" s="161">
        <f>IF(BA139="","",IFERROR(BA139*HSTECH!$B$30*HSTECH!$G$30/HSTECH!$B$3,""))</f>
        <v/>
      </c>
      <c r="DP139" s="161">
        <f>IF(BB139="","",IFERROR(BB139*HSTECH!$B$30*HSTECH!$G$30/HSTECH!$B$3,""))</f>
        <v/>
      </c>
      <c r="DQ139" s="161">
        <f>IF(BC139="","",IFERROR(BC139*HSTECH!$B$30*HSTECH!$G$30/HSTECH!$B$3,""))</f>
        <v/>
      </c>
      <c r="DR139" s="161">
        <f>IF(BD139="","",IFERROR(BD139*HSTECH!$B$30*HSTECH!$G$30/HSTECH!$B$3,""))</f>
        <v/>
      </c>
      <c r="DS139" s="161">
        <f>IF(BE139="","",IFERROR(BE139*HSTECH!$B$30*HSTECH!$G$30/HSTECH!$B$3,""))</f>
        <v/>
      </c>
      <c r="DT139" s="161">
        <f>IF(BF139="","",IFERROR(BF139*HSTECH!$B$30*HSTECH!$G$30/HSTECH!$B$3,""))</f>
        <v/>
      </c>
      <c r="DU139" s="161">
        <f>IF(BG139="","",IFERROR(BG139*HSTECH!$B$30*HSTECH!$G$30/HSTECH!$B$3,""))</f>
        <v/>
      </c>
      <c r="DV139" s="161">
        <f>IF(BH139="","",IFERROR(BH139*HSTECH!$B$30*HSTECH!$G$30/HSTECH!$B$3,""))</f>
        <v/>
      </c>
      <c r="DW139" s="161">
        <f>IF(BI139="","",IFERROR(BI139*HSTECH!$B$30*HSTECH!$G$30/HSTECH!$B$3,""))</f>
        <v/>
      </c>
      <c r="DX139" s="161">
        <f>IF(BJ139="","",IFERROR(BJ139*HSTECH!$B$30*HSTECH!$G$30/HSTECH!$B$3,""))</f>
        <v/>
      </c>
      <c r="DY139" s="161">
        <f>IF(BK139="","",IFERROR(BK139*HSTECH!$B$30*HSTECH!$G$30/HSTECH!$B$3,""))</f>
        <v/>
      </c>
      <c r="DZ139" s="161">
        <f>IF(BL139="","",IFERROR(BL139*HSTECH!$B$30*HSTECH!$G$30/HSTECH!$B$3,""))</f>
        <v/>
      </c>
      <c r="EA139" s="161">
        <f>IF(BM139="","",IFERROR(BM139*HSTECH!$B$30*HSTECH!$G$30/HSTECH!$B$3,""))</f>
        <v/>
      </c>
      <c r="EB139" s="161">
        <f>IF(BN139="","",IFERROR(BN139*HSTECH!$B$30*HSTECH!$G$30/HSTECH!$B$3,""))</f>
        <v/>
      </c>
      <c r="EC139" s="161">
        <f>IF(BO139="","",IFERROR(BO139*HSTECH!$B$30*HSTECH!$G$30/HSTECH!$B$3,""))</f>
        <v/>
      </c>
      <c r="EE139" s="121">
        <f>IF(N('Dvd Calendar'!$E$1369)=0,"",IF(('Dvd Calendar'!$E$1369&gt;=GRID_FROM)*('Dvd Calendar'!$E$1369&lt;=GRID_TO)*((('Dvd Calendar'!$E$1369&lt;=VAL_DATE)+(COUNTIF('Dvd Calendar'!$E$1376:$AR$1376,'Dvd Calendar'!$E$1369)=0))&gt;0)=0,"",'Dvd Calendar'!$E$1369*1000000000+ISNUMBER('Dvd Calendar'!$E$1372)*100000000+('Dvd Calendar'!$E$1374=SPECIAL_LBL)*10000000+(N('Dvd Calendar'!$E$1368)&gt;0)*(N('Dvd Calendar'!$E$1368)&lt;=VAL_SERIAL)*1000000+24*1000+1))</f>
        <v/>
      </c>
      <c r="EF139" s="121">
        <f>IF(N('Dvd Calendar'!$F$1369)=0,"",IF(('Dvd Calendar'!$F$1369&gt;=GRID_FROM)*('Dvd Calendar'!$F$1369&lt;=GRID_TO)*((('Dvd Calendar'!$F$1369&lt;=VAL_DATE)+(COUNTIF('Dvd Calendar'!$E$1376:$AR$1376,'Dvd Calendar'!$F$1369)=0))&gt;0)=0,"",'Dvd Calendar'!$F$1369*1000000000+ISNUMBER('Dvd Calendar'!$F$1372)*100000000+('Dvd Calendar'!$F$1374=SPECIAL_LBL)*10000000+(N('Dvd Calendar'!$F$1368)&gt;0)*(N('Dvd Calendar'!$F$1368)&lt;=VAL_SERIAL)*1000000+24*1000+2))</f>
        <v/>
      </c>
      <c r="EG139" s="121">
        <f>IF(N('Dvd Calendar'!$G$1369)=0,"",IF(('Dvd Calendar'!$G$1369&gt;=GRID_FROM)*('Dvd Calendar'!$G$1369&lt;=GRID_TO)*((('Dvd Calendar'!$G$1369&lt;=VAL_DATE)+(COUNTIF('Dvd Calendar'!$E$1376:$AR$1376,'Dvd Calendar'!$G$1369)=0))&gt;0)=0,"",'Dvd Calendar'!$G$1369*1000000000+ISNUMBER('Dvd Calendar'!$G$1372)*100000000+('Dvd Calendar'!$G$1374=SPECIAL_LBL)*10000000+(N('Dvd Calendar'!$G$1368)&gt;0)*(N('Dvd Calendar'!$G$1368)&lt;=VAL_SERIAL)*1000000+24*1000+3))</f>
        <v/>
      </c>
      <c r="EH139" s="121">
        <f>IF(N('Dvd Calendar'!$H$1369)=0,"",IF(('Dvd Calendar'!$H$1369&gt;=GRID_FROM)*('Dvd Calendar'!$H$1369&lt;=GRID_TO)*((('Dvd Calendar'!$H$1369&lt;=VAL_DATE)+(COUNTIF('Dvd Calendar'!$E$1376:$AR$1376,'Dvd Calendar'!$H$1369)=0))&gt;0)=0,"",'Dvd Calendar'!$H$1369*1000000000+ISNUMBER('Dvd Calendar'!$H$1372)*100000000+('Dvd Calendar'!$H$1374=SPECIAL_LBL)*10000000+(N('Dvd Calendar'!$H$1368)&gt;0)*(N('Dvd Calendar'!$H$1368)&lt;=VAL_SERIAL)*1000000+24*1000+4))</f>
        <v/>
      </c>
      <c r="EI139" s="121">
        <f>IF(N('Dvd Calendar'!$I$1369)=0,"",IF(('Dvd Calendar'!$I$1369&gt;=GRID_FROM)*('Dvd Calendar'!$I$1369&lt;=GRID_TO)*((('Dvd Calendar'!$I$1369&lt;=VAL_DATE)+(COUNTIF('Dvd Calendar'!$E$1376:$AR$1376,'Dvd Calendar'!$I$1369)=0))&gt;0)=0,"",'Dvd Calendar'!$I$1369*1000000000+ISNUMBER('Dvd Calendar'!$I$1372)*100000000+('Dvd Calendar'!$I$1374=SPECIAL_LBL)*10000000+(N('Dvd Calendar'!$I$1368)&gt;0)*(N('Dvd Calendar'!$I$1368)&lt;=VAL_SERIAL)*1000000+24*1000+5))</f>
        <v/>
      </c>
      <c r="EJ139" s="121">
        <f>IF(N('Dvd Calendar'!$J$1369)=0,"",IF(('Dvd Calendar'!$J$1369&gt;=GRID_FROM)*('Dvd Calendar'!$J$1369&lt;=GRID_TO)*((('Dvd Calendar'!$J$1369&lt;=VAL_DATE)+(COUNTIF('Dvd Calendar'!$E$1376:$AR$1376,'Dvd Calendar'!$J$1369)=0))&gt;0)=0,"",'Dvd Calendar'!$J$1369*1000000000+ISNUMBER('Dvd Calendar'!$J$1372)*100000000+('Dvd Calendar'!$J$1374=SPECIAL_LBL)*10000000+(N('Dvd Calendar'!$J$1368)&gt;0)*(N('Dvd Calendar'!$J$1368)&lt;=VAL_SERIAL)*1000000+24*1000+6))</f>
        <v/>
      </c>
      <c r="EK139" s="121">
        <f>IF(N('Dvd Calendar'!$K$1369)=0,"",IF(('Dvd Calendar'!$K$1369&gt;=GRID_FROM)*('Dvd Calendar'!$K$1369&lt;=GRID_TO)*((('Dvd Calendar'!$K$1369&lt;=VAL_DATE)+(COUNTIF('Dvd Calendar'!$E$1376:$AR$1376,'Dvd Calendar'!$K$1369)=0))&gt;0)=0,"",'Dvd Calendar'!$K$1369*1000000000+ISNUMBER('Dvd Calendar'!$K$1372)*100000000+('Dvd Calendar'!$K$1374=SPECIAL_LBL)*10000000+(N('Dvd Calendar'!$K$1368)&gt;0)*(N('Dvd Calendar'!$K$1368)&lt;=VAL_SERIAL)*1000000+24*1000+7))</f>
        <v/>
      </c>
      <c r="EL139" s="121">
        <f>IF(N('Dvd Calendar'!$L$1369)=0,"",IF(('Dvd Calendar'!$L$1369&gt;=GRID_FROM)*('Dvd Calendar'!$L$1369&lt;=GRID_TO)*((('Dvd Calendar'!$L$1369&lt;=VAL_DATE)+(COUNTIF('Dvd Calendar'!$E$1376:$AR$1376,'Dvd Calendar'!$L$1369)=0))&gt;0)=0,"",'Dvd Calendar'!$L$1369*1000000000+ISNUMBER('Dvd Calendar'!$L$1372)*100000000+('Dvd Calendar'!$L$1374=SPECIAL_LBL)*10000000+(N('Dvd Calendar'!$L$1368)&gt;0)*(N('Dvd Calendar'!$L$1368)&lt;=VAL_SERIAL)*1000000+24*1000+8))</f>
        <v/>
      </c>
      <c r="EM139" s="121">
        <f>IF(N('Dvd Calendar'!$M$1369)=0,"",IF(('Dvd Calendar'!$M$1369&gt;=GRID_FROM)*('Dvd Calendar'!$M$1369&lt;=GRID_TO)*((('Dvd Calendar'!$M$1369&lt;=VAL_DATE)+(COUNTIF('Dvd Calendar'!$E$1376:$AR$1376,'Dvd Calendar'!$M$1369)=0))&gt;0)=0,"",'Dvd Calendar'!$M$1369*1000000000+ISNUMBER('Dvd Calendar'!$M$1372)*100000000+('Dvd Calendar'!$M$1374=SPECIAL_LBL)*10000000+(N('Dvd Calendar'!$M$1368)&gt;0)*(N('Dvd Calendar'!$M$1368)&lt;=VAL_SERIAL)*1000000+24*1000+9))</f>
        <v/>
      </c>
      <c r="EN139" s="121">
        <f>IF(N('Dvd Calendar'!$N$1369)=0,"",IF(('Dvd Calendar'!$N$1369&gt;=GRID_FROM)*('Dvd Calendar'!$N$1369&lt;=GRID_TO)*((('Dvd Calendar'!$N$1369&lt;=VAL_DATE)+(COUNTIF('Dvd Calendar'!$E$1376:$AR$1376,'Dvd Calendar'!$N$1369)=0))&gt;0)=0,"",'Dvd Calendar'!$N$1369*1000000000+ISNUMBER('Dvd Calendar'!$N$1372)*100000000+('Dvd Calendar'!$N$1374=SPECIAL_LBL)*10000000+(N('Dvd Calendar'!$N$1368)&gt;0)*(N('Dvd Calendar'!$N$1368)&lt;=VAL_SERIAL)*1000000+24*1000+10))</f>
        <v/>
      </c>
      <c r="EO139" s="121">
        <f>IF(N('Dvd Calendar'!$O$1369)=0,"",IF(('Dvd Calendar'!$O$1369&gt;=GRID_FROM)*('Dvd Calendar'!$O$1369&lt;=GRID_TO)*((('Dvd Calendar'!$O$1369&lt;=VAL_DATE)+(COUNTIF('Dvd Calendar'!$E$1376:$AR$1376,'Dvd Calendar'!$O$1369)=0))&gt;0)=0,"",'Dvd Calendar'!$O$1369*1000000000+ISNUMBER('Dvd Calendar'!$O$1372)*100000000+('Dvd Calendar'!$O$1374=SPECIAL_LBL)*10000000+(N('Dvd Calendar'!$O$1368)&gt;0)*(N('Dvd Calendar'!$O$1368)&lt;=VAL_SERIAL)*1000000+24*1000+11))</f>
        <v/>
      </c>
      <c r="EP139" s="121">
        <f>IF(N('Dvd Calendar'!$P$1369)=0,"",IF(('Dvd Calendar'!$P$1369&gt;=GRID_FROM)*('Dvd Calendar'!$P$1369&lt;=GRID_TO)*((('Dvd Calendar'!$P$1369&lt;=VAL_DATE)+(COUNTIF('Dvd Calendar'!$E$1376:$AR$1376,'Dvd Calendar'!$P$1369)=0))&gt;0)=0,"",'Dvd Calendar'!$P$1369*1000000000+ISNUMBER('Dvd Calendar'!$P$1372)*100000000+('Dvd Calendar'!$P$1374=SPECIAL_LBL)*10000000+(N('Dvd Calendar'!$P$1368)&gt;0)*(N('Dvd Calendar'!$P$1368)&lt;=VAL_SERIAL)*1000000+24*1000+12))</f>
        <v/>
      </c>
      <c r="EQ139" s="121">
        <f>IF(N('Dvd Calendar'!$Q$1369)=0,"",IF(('Dvd Calendar'!$Q$1369&gt;=GRID_FROM)*('Dvd Calendar'!$Q$1369&lt;=GRID_TO)*((('Dvd Calendar'!$Q$1369&lt;=VAL_DATE)+(COUNTIF('Dvd Calendar'!$E$1376:$AR$1376,'Dvd Calendar'!$Q$1369)=0))&gt;0)=0,"",'Dvd Calendar'!$Q$1369*1000000000+ISNUMBER('Dvd Calendar'!$Q$1372)*100000000+('Dvd Calendar'!$Q$1374=SPECIAL_LBL)*10000000+(N('Dvd Calendar'!$Q$1368)&gt;0)*(N('Dvd Calendar'!$Q$1368)&lt;=VAL_SERIAL)*1000000+24*1000+13))</f>
        <v/>
      </c>
      <c r="ER139" s="121">
        <f>IF(N('Dvd Calendar'!$R$1369)=0,"",IF(('Dvd Calendar'!$R$1369&gt;=GRID_FROM)*('Dvd Calendar'!$R$1369&lt;=GRID_TO)*((('Dvd Calendar'!$R$1369&lt;=VAL_DATE)+(COUNTIF('Dvd Calendar'!$E$1376:$AR$1376,'Dvd Calendar'!$R$1369)=0))&gt;0)=0,"",'Dvd Calendar'!$R$1369*1000000000+ISNUMBER('Dvd Calendar'!$R$1372)*100000000+('Dvd Calendar'!$R$1374=SPECIAL_LBL)*10000000+(N('Dvd Calendar'!$R$1368)&gt;0)*(N('Dvd Calendar'!$R$1368)&lt;=VAL_SERIAL)*1000000+24*1000+14))</f>
        <v/>
      </c>
      <c r="ES139" s="121">
        <f>IF(N('Dvd Calendar'!$S$1369)=0,"",IF(('Dvd Calendar'!$S$1369&gt;=GRID_FROM)*('Dvd Calendar'!$S$1369&lt;=GRID_TO)*((('Dvd Calendar'!$S$1369&lt;=VAL_DATE)+(COUNTIF('Dvd Calendar'!$E$1376:$AR$1376,'Dvd Calendar'!$S$1369)=0))&gt;0)=0,"",'Dvd Calendar'!$S$1369*1000000000+ISNUMBER('Dvd Calendar'!$S$1372)*100000000+('Dvd Calendar'!$S$1374=SPECIAL_LBL)*10000000+(N('Dvd Calendar'!$S$1368)&gt;0)*(N('Dvd Calendar'!$S$1368)&lt;=VAL_SERIAL)*1000000+24*1000+15))</f>
        <v/>
      </c>
      <c r="ET139" s="121">
        <f>IF(N('Dvd Calendar'!$T$1369)=0,"",IF(('Dvd Calendar'!$T$1369&gt;=GRID_FROM)*('Dvd Calendar'!$T$1369&lt;=GRID_TO)*((('Dvd Calendar'!$T$1369&lt;=VAL_DATE)+(COUNTIF('Dvd Calendar'!$E$1376:$AR$1376,'Dvd Calendar'!$T$1369)=0))&gt;0)=0,"",'Dvd Calendar'!$T$1369*1000000000+ISNUMBER('Dvd Calendar'!$T$1372)*100000000+('Dvd Calendar'!$T$1374=SPECIAL_LBL)*10000000+(N('Dvd Calendar'!$T$1368)&gt;0)*(N('Dvd Calendar'!$T$1368)&lt;=VAL_SERIAL)*1000000+24*1000+16))</f>
        <v/>
      </c>
      <c r="EU139" s="121">
        <f>IF(N('Dvd Calendar'!$U$1369)=0,"",IF(('Dvd Calendar'!$U$1369&gt;=GRID_FROM)*('Dvd Calendar'!$U$1369&lt;=GRID_TO)*((('Dvd Calendar'!$U$1369&lt;=VAL_DATE)+(COUNTIF('Dvd Calendar'!$E$1376:$AR$1376,'Dvd Calendar'!$U$1369)=0))&gt;0)=0,"",'Dvd Calendar'!$U$1369*1000000000+ISNUMBER('Dvd Calendar'!$U$1372)*100000000+('Dvd Calendar'!$U$1374=SPECIAL_LBL)*10000000+(N('Dvd Calendar'!$U$1368)&gt;0)*(N('Dvd Calendar'!$U$1368)&lt;=VAL_SERIAL)*1000000+24*1000+17))</f>
        <v/>
      </c>
      <c r="EV139" s="121">
        <f>IF(N('Dvd Calendar'!$V$1369)=0,"",IF(('Dvd Calendar'!$V$1369&gt;=GRID_FROM)*('Dvd Calendar'!$V$1369&lt;=GRID_TO)*((('Dvd Calendar'!$V$1369&lt;=VAL_DATE)+(COUNTIF('Dvd Calendar'!$E$1376:$AR$1376,'Dvd Calendar'!$V$1369)=0))&gt;0)=0,"",'Dvd Calendar'!$V$1369*1000000000+ISNUMBER('Dvd Calendar'!$V$1372)*100000000+('Dvd Calendar'!$V$1374=SPECIAL_LBL)*10000000+(N('Dvd Calendar'!$V$1368)&gt;0)*(N('Dvd Calendar'!$V$1368)&lt;=VAL_SERIAL)*1000000+24*1000+18))</f>
        <v/>
      </c>
      <c r="EW139" s="121">
        <f>IF(N('Dvd Calendar'!$W$1369)=0,"",IF(('Dvd Calendar'!$W$1369&gt;=GRID_FROM)*('Dvd Calendar'!$W$1369&lt;=GRID_TO)*((('Dvd Calendar'!$W$1369&lt;=VAL_DATE)+(COUNTIF('Dvd Calendar'!$E$1376:$AR$1376,'Dvd Calendar'!$W$1369)=0))&gt;0)=0,"",'Dvd Calendar'!$W$1369*1000000000+ISNUMBER('Dvd Calendar'!$W$1372)*100000000+('Dvd Calendar'!$W$1374=SPECIAL_LBL)*10000000+(N('Dvd Calendar'!$W$1368)&gt;0)*(N('Dvd Calendar'!$W$1368)&lt;=VAL_SERIAL)*1000000+24*1000+19))</f>
        <v/>
      </c>
      <c r="EX139" s="121">
        <f>IF(N('Dvd Calendar'!$X$1369)=0,"",IF(('Dvd Calendar'!$X$1369&gt;=GRID_FROM)*('Dvd Calendar'!$X$1369&lt;=GRID_TO)*((('Dvd Calendar'!$X$1369&lt;=VAL_DATE)+(COUNTIF('Dvd Calendar'!$E$1376:$AR$1376,'Dvd Calendar'!$X$1369)=0))&gt;0)=0,"",'Dvd Calendar'!$X$1369*1000000000+ISNUMBER('Dvd Calendar'!$X$1372)*100000000+('Dvd Calendar'!$X$1374=SPECIAL_LBL)*10000000+(N('Dvd Calendar'!$X$1368)&gt;0)*(N('Dvd Calendar'!$X$1368)&lt;=VAL_SERIAL)*1000000+24*1000+20))</f>
        <v/>
      </c>
      <c r="EY139" s="121">
        <f>IF(N('Dvd Calendar'!$Y$1369)=0,"",IF(('Dvd Calendar'!$Y$1369&gt;=GRID_FROM)*('Dvd Calendar'!$Y$1369&lt;=GRID_TO)*((('Dvd Calendar'!$Y$1369&lt;=VAL_DATE)+(COUNTIF('Dvd Calendar'!$E$1376:$AR$1376,'Dvd Calendar'!$Y$1369)=0))&gt;0)=0,"",'Dvd Calendar'!$Y$1369*1000000000+ISNUMBER('Dvd Calendar'!$Y$1372)*100000000+('Dvd Calendar'!$Y$1374=SPECIAL_LBL)*10000000+(N('Dvd Calendar'!$Y$1368)&gt;0)*(N('Dvd Calendar'!$Y$1368)&lt;=VAL_SERIAL)*1000000+24*1000+21))</f>
        <v/>
      </c>
      <c r="EZ139" s="121">
        <f>IF(N('Dvd Calendar'!$Z$1369)=0,"",IF(('Dvd Calendar'!$Z$1369&gt;=GRID_FROM)*('Dvd Calendar'!$Z$1369&lt;=GRID_TO)*((('Dvd Calendar'!$Z$1369&lt;=VAL_DATE)+(COUNTIF('Dvd Calendar'!$E$1376:$AR$1376,'Dvd Calendar'!$Z$1369)=0))&gt;0)=0,"",'Dvd Calendar'!$Z$1369*1000000000+ISNUMBER('Dvd Calendar'!$Z$1372)*100000000+('Dvd Calendar'!$Z$1374=SPECIAL_LBL)*10000000+(N('Dvd Calendar'!$Z$1368)&gt;0)*(N('Dvd Calendar'!$Z$1368)&lt;=VAL_SERIAL)*1000000+24*1000+22))</f>
        <v/>
      </c>
      <c r="FA139" s="121">
        <f>IF(N('Dvd Calendar'!$AA$1369)=0,"",IF(('Dvd Calendar'!$AA$1369&gt;=GRID_FROM)*('Dvd Calendar'!$AA$1369&lt;=GRID_TO)*((('Dvd Calendar'!$AA$1369&lt;=VAL_DATE)+(COUNTIF('Dvd Calendar'!$E$1376:$AR$1376,'Dvd Calendar'!$AA$1369)=0))&gt;0)=0,"",'Dvd Calendar'!$AA$1369*1000000000+ISNUMBER('Dvd Calendar'!$AA$1372)*100000000+('Dvd Calendar'!$AA$1374=SPECIAL_LBL)*10000000+(N('Dvd Calendar'!$AA$1368)&gt;0)*(N('Dvd Calendar'!$AA$1368)&lt;=VAL_SERIAL)*1000000+24*1000+23))</f>
        <v/>
      </c>
      <c r="FB139" s="121">
        <f>IF(N('Dvd Calendar'!$AB$1369)=0,"",IF(('Dvd Calendar'!$AB$1369&gt;=GRID_FROM)*('Dvd Calendar'!$AB$1369&lt;=GRID_TO)*((('Dvd Calendar'!$AB$1369&lt;=VAL_DATE)+(COUNTIF('Dvd Calendar'!$E$1376:$AR$1376,'Dvd Calendar'!$AB$1369)=0))&gt;0)=0,"",'Dvd Calendar'!$AB$1369*1000000000+ISNUMBER('Dvd Calendar'!$AB$1372)*100000000+('Dvd Calendar'!$AB$1374=SPECIAL_LBL)*10000000+(N('Dvd Calendar'!$AB$1368)&gt;0)*(N('Dvd Calendar'!$AB$1368)&lt;=VAL_SERIAL)*1000000+24*1000+24))</f>
        <v/>
      </c>
      <c r="FC139" s="121">
        <f>IF(N('Dvd Calendar'!$AC$1369)=0,"",IF(('Dvd Calendar'!$AC$1369&gt;=GRID_FROM)*('Dvd Calendar'!$AC$1369&lt;=GRID_TO)*((('Dvd Calendar'!$AC$1369&lt;=VAL_DATE)+(COUNTIF('Dvd Calendar'!$E$1376:$AR$1376,'Dvd Calendar'!$AC$1369)=0))&gt;0)=0,"",'Dvd Calendar'!$AC$1369*1000000000+ISNUMBER('Dvd Calendar'!$AC$1372)*100000000+('Dvd Calendar'!$AC$1374=SPECIAL_LBL)*10000000+(N('Dvd Calendar'!$AC$1368)&gt;0)*(N('Dvd Calendar'!$AC$1368)&lt;=VAL_SERIAL)*1000000+24*1000+25))</f>
        <v/>
      </c>
      <c r="FD139" s="121">
        <f>IF(N('Dvd Calendar'!$AD$1369)=0,"",IF(('Dvd Calendar'!$AD$1369&gt;=GRID_FROM)*('Dvd Calendar'!$AD$1369&lt;=GRID_TO)*((('Dvd Calendar'!$AD$1369&lt;=VAL_DATE)+(COUNTIF('Dvd Calendar'!$E$1376:$AR$1376,'Dvd Calendar'!$AD$1369)=0))&gt;0)=0,"",'Dvd Calendar'!$AD$1369*1000000000+ISNUMBER('Dvd Calendar'!$AD$1372)*100000000+('Dvd Calendar'!$AD$1374=SPECIAL_LBL)*10000000+(N('Dvd Calendar'!$AD$1368)&gt;0)*(N('Dvd Calendar'!$AD$1368)&lt;=VAL_SERIAL)*1000000+24*1000+26))</f>
        <v/>
      </c>
      <c r="FE139" s="121">
        <f>IF(N('Dvd Calendar'!$AE$1369)=0,"",IF(('Dvd Calendar'!$AE$1369&gt;=GRID_FROM)*('Dvd Calendar'!$AE$1369&lt;=GRID_TO)*((('Dvd Calendar'!$AE$1369&lt;=VAL_DATE)+(COUNTIF('Dvd Calendar'!$E$1376:$AR$1376,'Dvd Calendar'!$AE$1369)=0))&gt;0)=0,"",'Dvd Calendar'!$AE$1369*1000000000+ISNUMBER('Dvd Calendar'!$AE$1372)*100000000+('Dvd Calendar'!$AE$1374=SPECIAL_LBL)*10000000+(N('Dvd Calendar'!$AE$1368)&gt;0)*(N('Dvd Calendar'!$AE$1368)&lt;=VAL_SERIAL)*1000000+24*1000+27))</f>
        <v/>
      </c>
      <c r="FF139" s="121">
        <f>IF(N('Dvd Calendar'!$AF$1369)=0,"",IF(('Dvd Calendar'!$AF$1369&gt;=GRID_FROM)*('Dvd Calendar'!$AF$1369&lt;=GRID_TO)*((('Dvd Calendar'!$AF$1369&lt;=VAL_DATE)+(COUNTIF('Dvd Calendar'!$E$1376:$AR$1376,'Dvd Calendar'!$AF$1369)=0))&gt;0)=0,"",'Dvd Calendar'!$AF$1369*1000000000+ISNUMBER('Dvd Calendar'!$AF$1372)*100000000+('Dvd Calendar'!$AF$1374=SPECIAL_LBL)*10000000+(N('Dvd Calendar'!$AF$1368)&gt;0)*(N('Dvd Calendar'!$AF$1368)&lt;=VAL_SERIAL)*1000000+24*1000+28))</f>
        <v/>
      </c>
      <c r="FG139" s="121">
        <f>IF(N('Dvd Calendar'!$AG$1369)=0,"",IF(('Dvd Calendar'!$AG$1369&gt;=GRID_FROM)*('Dvd Calendar'!$AG$1369&lt;=GRID_TO)*((('Dvd Calendar'!$AG$1369&lt;=VAL_DATE)+(COUNTIF('Dvd Calendar'!$E$1376:$AR$1376,'Dvd Calendar'!$AG$1369)=0))&gt;0)=0,"",'Dvd Calendar'!$AG$1369*1000000000+ISNUMBER('Dvd Calendar'!$AG$1372)*100000000+('Dvd Calendar'!$AG$1374=SPECIAL_LBL)*10000000+(N('Dvd Calendar'!$AG$1368)&gt;0)*(N('Dvd Calendar'!$AG$1368)&lt;=VAL_SERIAL)*1000000+24*1000+29))</f>
        <v/>
      </c>
      <c r="FH139" s="121">
        <f>IF(N('Dvd Calendar'!$AH$1369)=0,"",IF(('Dvd Calendar'!$AH$1369&gt;=GRID_FROM)*('Dvd Calendar'!$AH$1369&lt;=GRID_TO)*((('Dvd Calendar'!$AH$1369&lt;=VAL_DATE)+(COUNTIF('Dvd Calendar'!$E$1376:$AR$1376,'Dvd Calendar'!$AH$1369)=0))&gt;0)=0,"",'Dvd Calendar'!$AH$1369*1000000000+ISNUMBER('Dvd Calendar'!$AH$1372)*100000000+('Dvd Calendar'!$AH$1374=SPECIAL_LBL)*10000000+(N('Dvd Calendar'!$AH$1368)&gt;0)*(N('Dvd Calendar'!$AH$1368)&lt;=VAL_SERIAL)*1000000+24*1000+30))</f>
        <v/>
      </c>
      <c r="FI139" s="121">
        <f>IF(N('Dvd Calendar'!$AI$1369)=0,"",IF(('Dvd Calendar'!$AI$1369&gt;=GRID_FROM)*('Dvd Calendar'!$AI$1369&lt;=GRID_TO)*((('Dvd Calendar'!$AI$1369&lt;=VAL_DATE)+(COUNTIF('Dvd Calendar'!$E$1376:$AR$1376,'Dvd Calendar'!$AI$1369)=0))&gt;0)=0,"",'Dvd Calendar'!$AI$1369*1000000000+ISNUMBER('Dvd Calendar'!$AI$1372)*100000000+('Dvd Calendar'!$AI$1374=SPECIAL_LBL)*10000000+(N('Dvd Calendar'!$AI$1368)&gt;0)*(N('Dvd Calendar'!$AI$1368)&lt;=VAL_SERIAL)*1000000+24*1000+31))</f>
        <v/>
      </c>
      <c r="FJ139" s="121">
        <f>IF(N('Dvd Calendar'!$AJ$1369)=0,"",IF(('Dvd Calendar'!$AJ$1369&gt;=GRID_FROM)*('Dvd Calendar'!$AJ$1369&lt;=GRID_TO)*((('Dvd Calendar'!$AJ$1369&lt;=VAL_DATE)+(COUNTIF('Dvd Calendar'!$E$1376:$AR$1376,'Dvd Calendar'!$AJ$1369)=0))&gt;0)=0,"",'Dvd Calendar'!$AJ$1369*1000000000+ISNUMBER('Dvd Calendar'!$AJ$1372)*100000000+('Dvd Calendar'!$AJ$1374=SPECIAL_LBL)*10000000+(N('Dvd Calendar'!$AJ$1368)&gt;0)*(N('Dvd Calendar'!$AJ$1368)&lt;=VAL_SERIAL)*1000000+24*1000+32))</f>
        <v/>
      </c>
      <c r="FK139" s="121">
        <f>IF(N('Dvd Calendar'!$AK$1369)=0,"",IF(('Dvd Calendar'!$AK$1369&gt;=GRID_FROM)*('Dvd Calendar'!$AK$1369&lt;=GRID_TO)*((('Dvd Calendar'!$AK$1369&lt;=VAL_DATE)+(COUNTIF('Dvd Calendar'!$E$1376:$AR$1376,'Dvd Calendar'!$AK$1369)=0))&gt;0)=0,"",'Dvd Calendar'!$AK$1369*1000000000+ISNUMBER('Dvd Calendar'!$AK$1372)*100000000+('Dvd Calendar'!$AK$1374=SPECIAL_LBL)*10000000+(N('Dvd Calendar'!$AK$1368)&gt;0)*(N('Dvd Calendar'!$AK$1368)&lt;=VAL_SERIAL)*1000000+24*1000+33))</f>
        <v/>
      </c>
      <c r="FL139" s="121">
        <f>IF(N('Dvd Calendar'!$AL$1369)=0,"",IF(('Dvd Calendar'!$AL$1369&gt;=GRID_FROM)*('Dvd Calendar'!$AL$1369&lt;=GRID_TO)*((('Dvd Calendar'!$AL$1369&lt;=VAL_DATE)+(COUNTIF('Dvd Calendar'!$E$1376:$AR$1376,'Dvd Calendar'!$AL$1369)=0))&gt;0)=0,"",'Dvd Calendar'!$AL$1369*1000000000+ISNUMBER('Dvd Calendar'!$AL$1372)*100000000+('Dvd Calendar'!$AL$1374=SPECIAL_LBL)*10000000+(N('Dvd Calendar'!$AL$1368)&gt;0)*(N('Dvd Calendar'!$AL$1368)&lt;=VAL_SERIAL)*1000000+24*1000+34))</f>
        <v/>
      </c>
      <c r="FM139" s="121">
        <f>IF(N('Dvd Calendar'!$AM$1369)=0,"",IF(('Dvd Calendar'!$AM$1369&gt;=GRID_FROM)*('Dvd Calendar'!$AM$1369&lt;=GRID_TO)*((('Dvd Calendar'!$AM$1369&lt;=VAL_DATE)+(COUNTIF('Dvd Calendar'!$E$1376:$AR$1376,'Dvd Calendar'!$AM$1369)=0))&gt;0)=0,"",'Dvd Calendar'!$AM$1369*1000000000+ISNUMBER('Dvd Calendar'!$AM$1372)*100000000+('Dvd Calendar'!$AM$1374=SPECIAL_LBL)*10000000+(N('Dvd Calendar'!$AM$1368)&gt;0)*(N('Dvd Calendar'!$AM$1368)&lt;=VAL_SERIAL)*1000000+24*1000+35))</f>
        <v/>
      </c>
      <c r="FN139" s="121">
        <f>IF(N('Dvd Calendar'!$AN$1369)=0,"",IF(('Dvd Calendar'!$AN$1369&gt;=GRID_FROM)*('Dvd Calendar'!$AN$1369&lt;=GRID_TO)*((('Dvd Calendar'!$AN$1369&lt;=VAL_DATE)+(COUNTIF('Dvd Calendar'!$E$1376:$AR$1376,'Dvd Calendar'!$AN$1369)=0))&gt;0)=0,"",'Dvd Calendar'!$AN$1369*1000000000+ISNUMBER('Dvd Calendar'!$AN$1372)*100000000+('Dvd Calendar'!$AN$1374=SPECIAL_LBL)*10000000+(N('Dvd Calendar'!$AN$1368)&gt;0)*(N('Dvd Calendar'!$AN$1368)&lt;=VAL_SERIAL)*1000000+24*1000+36))</f>
        <v/>
      </c>
      <c r="FO139" s="121">
        <f>IF(N('Dvd Calendar'!$AO$1369)=0,"",IF(('Dvd Calendar'!$AO$1369&gt;=GRID_FROM)*('Dvd Calendar'!$AO$1369&lt;=GRID_TO)*((('Dvd Calendar'!$AO$1369&lt;=VAL_DATE)+(COUNTIF('Dvd Calendar'!$E$1376:$AR$1376,'Dvd Calendar'!$AO$1369)=0))&gt;0)=0,"",'Dvd Calendar'!$AO$1369*1000000000+ISNUMBER('Dvd Calendar'!$AO$1372)*100000000+('Dvd Calendar'!$AO$1374=SPECIAL_LBL)*10000000+(N('Dvd Calendar'!$AO$1368)&gt;0)*(N('Dvd Calendar'!$AO$1368)&lt;=VAL_SERIAL)*1000000+24*1000+37))</f>
        <v/>
      </c>
      <c r="FP139" s="121">
        <f>IF(N('Dvd Calendar'!$AP$1369)=0,"",IF(('Dvd Calendar'!$AP$1369&gt;=GRID_FROM)*('Dvd Calendar'!$AP$1369&lt;=GRID_TO)*((('Dvd Calendar'!$AP$1369&lt;=VAL_DATE)+(COUNTIF('Dvd Calendar'!$E$1376:$AR$1376,'Dvd Calendar'!$AP$1369)=0))&gt;0)=0,"",'Dvd Calendar'!$AP$1369*1000000000+ISNUMBER('Dvd Calendar'!$AP$1372)*100000000+('Dvd Calendar'!$AP$1374=SPECIAL_LBL)*10000000+(N('Dvd Calendar'!$AP$1368)&gt;0)*(N('Dvd Calendar'!$AP$1368)&lt;=VAL_SERIAL)*1000000+24*1000+38))</f>
        <v/>
      </c>
      <c r="FQ139" s="121">
        <f>IF(N('Dvd Calendar'!$AQ$1369)=0,"",IF(('Dvd Calendar'!$AQ$1369&gt;=GRID_FROM)*('Dvd Calendar'!$AQ$1369&lt;=GRID_TO)*((('Dvd Calendar'!$AQ$1369&lt;=VAL_DATE)+(COUNTIF('Dvd Calendar'!$E$1376:$AR$1376,'Dvd Calendar'!$AQ$1369)=0))&gt;0)=0,"",'Dvd Calendar'!$AQ$1369*1000000000+ISNUMBER('Dvd Calendar'!$AQ$1372)*100000000+('Dvd Calendar'!$AQ$1374=SPECIAL_LBL)*10000000+(N('Dvd Calendar'!$AQ$1368)&gt;0)*(N('Dvd Calendar'!$AQ$1368)&lt;=VAL_SERIAL)*1000000+24*1000+39))</f>
        <v/>
      </c>
      <c r="FR139" s="121">
        <f>IF(N('Dvd Calendar'!$AR$1369)=0,"",IF(('Dvd Calendar'!$AR$1369&gt;=GRID_FROM)*('Dvd Calendar'!$AR$1369&lt;=GRID_TO)*((('Dvd Calendar'!$AR$1369&lt;=VAL_DATE)+(COUNTIF('Dvd Calendar'!$E$1376:$AR$1376,'Dvd Calendar'!$AR$1369)=0))&gt;0)=0,"",'Dvd Calendar'!$AR$1369*1000000000+ISNUMBER('Dvd Calendar'!$AR$1372)*100000000+('Dvd Calendar'!$AR$1374=SPECIAL_LBL)*10000000+(N('Dvd Calendar'!$AR$1368)&gt;0)*(N('Dvd Calendar'!$AR$1368)&lt;=VAL_SERIAL)*1000000+24*1000+40))</f>
        <v/>
      </c>
      <c r="FS139" s="121">
        <f>IF(N('Dvd Calendar'!$E$1376)=0,"",IF(('Dvd Calendar'!$E$1376&gt;=GRID_FROM)*('Dvd Calendar'!$E$1376&lt;=GRID_TO)*('Dvd Calendar'!$E$1376&gt;VAL_DATE)=0,"",'Dvd Calendar'!$E$1376*1000000000+ISNUMBER('Dvd Calendar'!$E$1377)*100000000+0*10000000+(N('Dvd Calendar'!$E$1375)&gt;0)*(N('Dvd Calendar'!$E$1375)&lt;=VAL_SERIAL)*1000000+24*1000+41))</f>
        <v/>
      </c>
      <c r="FT139" s="121">
        <f>IF(N('Dvd Calendar'!$F$1376)=0,"",IF(('Dvd Calendar'!$F$1376&gt;=GRID_FROM)*('Dvd Calendar'!$F$1376&lt;=GRID_TO)*('Dvd Calendar'!$F$1376&gt;VAL_DATE)=0,"",'Dvd Calendar'!$F$1376*1000000000+ISNUMBER('Dvd Calendar'!$F$1377)*100000000+0*10000000+(N('Dvd Calendar'!$F$1375)&gt;0)*(N('Dvd Calendar'!$F$1375)&lt;=VAL_SERIAL)*1000000+24*1000+42))</f>
        <v/>
      </c>
      <c r="FU139" s="121">
        <f>IF(N('Dvd Calendar'!$G$1376)=0,"",IF(('Dvd Calendar'!$G$1376&gt;=GRID_FROM)*('Dvd Calendar'!$G$1376&lt;=GRID_TO)*('Dvd Calendar'!$G$1376&gt;VAL_DATE)=0,"",'Dvd Calendar'!$G$1376*1000000000+ISNUMBER('Dvd Calendar'!$G$1377)*100000000+0*10000000+(N('Dvd Calendar'!$G$1375)&gt;0)*(N('Dvd Calendar'!$G$1375)&lt;=VAL_SERIAL)*1000000+24*1000+43))</f>
        <v/>
      </c>
      <c r="FV139" s="121">
        <f>IF(N('Dvd Calendar'!$H$1376)=0,"",IF(('Dvd Calendar'!$H$1376&gt;=GRID_FROM)*('Dvd Calendar'!$H$1376&lt;=GRID_TO)*('Dvd Calendar'!$H$1376&gt;VAL_DATE)=0,"",'Dvd Calendar'!$H$1376*1000000000+ISNUMBER('Dvd Calendar'!$H$1377)*100000000+0*10000000+(N('Dvd Calendar'!$H$1375)&gt;0)*(N('Dvd Calendar'!$H$1375)&lt;=VAL_SERIAL)*1000000+24*1000+44))</f>
        <v/>
      </c>
      <c r="FW139" s="121">
        <f>IF(N('Dvd Calendar'!$I$1376)=0,"",IF(('Dvd Calendar'!$I$1376&gt;=GRID_FROM)*('Dvd Calendar'!$I$1376&lt;=GRID_TO)*('Dvd Calendar'!$I$1376&gt;VAL_DATE)=0,"",'Dvd Calendar'!$I$1376*1000000000+ISNUMBER('Dvd Calendar'!$I$1377)*100000000+0*10000000+(N('Dvd Calendar'!$I$1375)&gt;0)*(N('Dvd Calendar'!$I$1375)&lt;=VAL_SERIAL)*1000000+24*1000+45))</f>
        <v/>
      </c>
      <c r="FX139" s="121">
        <f>IF(N('Dvd Calendar'!$J$1376)=0,"",IF(('Dvd Calendar'!$J$1376&gt;=GRID_FROM)*('Dvd Calendar'!$J$1376&lt;=GRID_TO)*('Dvd Calendar'!$J$1376&gt;VAL_DATE)=0,"",'Dvd Calendar'!$J$1376*1000000000+ISNUMBER('Dvd Calendar'!$J$1377)*100000000+0*10000000+(N('Dvd Calendar'!$J$1375)&gt;0)*(N('Dvd Calendar'!$J$1375)&lt;=VAL_SERIAL)*1000000+24*1000+46))</f>
        <v/>
      </c>
      <c r="FY139" s="121">
        <f>IF(N('Dvd Calendar'!$K$1376)=0,"",IF(('Dvd Calendar'!$K$1376&gt;=GRID_FROM)*('Dvd Calendar'!$K$1376&lt;=GRID_TO)*('Dvd Calendar'!$K$1376&gt;VAL_DATE)=0,"",'Dvd Calendar'!$K$1376*1000000000+ISNUMBER('Dvd Calendar'!$K$1377)*100000000+0*10000000+(N('Dvd Calendar'!$K$1375)&gt;0)*(N('Dvd Calendar'!$K$1375)&lt;=VAL_SERIAL)*1000000+24*1000+47))</f>
        <v/>
      </c>
      <c r="FZ139" s="121">
        <f>IF(N('Dvd Calendar'!$L$1376)=0,"",IF(('Dvd Calendar'!$L$1376&gt;=GRID_FROM)*('Dvd Calendar'!$L$1376&lt;=GRID_TO)*('Dvd Calendar'!$L$1376&gt;VAL_DATE)=0,"",'Dvd Calendar'!$L$1376*1000000000+ISNUMBER('Dvd Calendar'!$L$1377)*100000000+0*10000000+(N('Dvd Calendar'!$L$1375)&gt;0)*(N('Dvd Calendar'!$L$1375)&lt;=VAL_SERIAL)*1000000+24*1000+48))</f>
        <v/>
      </c>
      <c r="GA139" s="121">
        <f>IF(N('Dvd Calendar'!$M$1376)=0,"",IF(('Dvd Calendar'!$M$1376&gt;=GRID_FROM)*('Dvd Calendar'!$M$1376&lt;=GRID_TO)*('Dvd Calendar'!$M$1376&gt;VAL_DATE)=0,"",'Dvd Calendar'!$M$1376*1000000000+ISNUMBER('Dvd Calendar'!$M$1377)*100000000+0*10000000+(N('Dvd Calendar'!$M$1375)&gt;0)*(N('Dvd Calendar'!$M$1375)&lt;=VAL_SERIAL)*1000000+24*1000+49))</f>
        <v/>
      </c>
      <c r="GB139" s="121">
        <f>IF(N('Dvd Calendar'!$N$1376)=0,"",IF(('Dvd Calendar'!$N$1376&gt;=GRID_FROM)*('Dvd Calendar'!$N$1376&lt;=GRID_TO)*('Dvd Calendar'!$N$1376&gt;VAL_DATE)=0,"",'Dvd Calendar'!$N$1376*1000000000+ISNUMBER('Dvd Calendar'!$N$1377)*100000000+0*10000000+(N('Dvd Calendar'!$N$1375)&gt;0)*(N('Dvd Calendar'!$N$1375)&lt;=VAL_SERIAL)*1000000+24*1000+50))</f>
        <v/>
      </c>
      <c r="GC139" s="121">
        <f>IF(N('Dvd Calendar'!$O$1376)=0,"",IF(('Dvd Calendar'!$O$1376&gt;=GRID_FROM)*('Dvd Calendar'!$O$1376&lt;=GRID_TO)*('Dvd Calendar'!$O$1376&gt;VAL_DATE)=0,"",'Dvd Calendar'!$O$1376*1000000000+ISNUMBER('Dvd Calendar'!$O$1377)*100000000+0*10000000+(N('Dvd Calendar'!$O$1375)&gt;0)*(N('Dvd Calendar'!$O$1375)&lt;=VAL_SERIAL)*1000000+24*1000+51))</f>
        <v/>
      </c>
      <c r="GD139" s="121">
        <f>IF(N('Dvd Calendar'!$P$1376)=0,"",IF(('Dvd Calendar'!$P$1376&gt;=GRID_FROM)*('Dvd Calendar'!$P$1376&lt;=GRID_TO)*('Dvd Calendar'!$P$1376&gt;VAL_DATE)=0,"",'Dvd Calendar'!$P$1376*1000000000+ISNUMBER('Dvd Calendar'!$P$1377)*100000000+0*10000000+(N('Dvd Calendar'!$P$1375)&gt;0)*(N('Dvd Calendar'!$P$1375)&lt;=VAL_SERIAL)*1000000+24*1000+52))</f>
        <v/>
      </c>
      <c r="GE139" s="121">
        <f>IF(N('Dvd Calendar'!$Q$1376)=0,"",IF(('Dvd Calendar'!$Q$1376&gt;=GRID_FROM)*('Dvd Calendar'!$Q$1376&lt;=GRID_TO)*('Dvd Calendar'!$Q$1376&gt;VAL_DATE)=0,"",'Dvd Calendar'!$Q$1376*1000000000+ISNUMBER('Dvd Calendar'!$Q$1377)*100000000+0*10000000+(N('Dvd Calendar'!$Q$1375)&gt;0)*(N('Dvd Calendar'!$Q$1375)&lt;=VAL_SERIAL)*1000000+24*1000+53))</f>
        <v/>
      </c>
      <c r="GF139" s="121">
        <f>IF(N('Dvd Calendar'!$R$1376)=0,"",IF(('Dvd Calendar'!$R$1376&gt;=GRID_FROM)*('Dvd Calendar'!$R$1376&lt;=GRID_TO)*('Dvd Calendar'!$R$1376&gt;VAL_DATE)=0,"",'Dvd Calendar'!$R$1376*1000000000+ISNUMBER('Dvd Calendar'!$R$1377)*100000000+0*10000000+(N('Dvd Calendar'!$R$1375)&gt;0)*(N('Dvd Calendar'!$R$1375)&lt;=VAL_SERIAL)*1000000+24*1000+54))</f>
        <v/>
      </c>
      <c r="GG139" s="121">
        <f>IF(N('Dvd Calendar'!$S$1376)=0,"",IF(('Dvd Calendar'!$S$1376&gt;=GRID_FROM)*('Dvd Calendar'!$S$1376&lt;=GRID_TO)*('Dvd Calendar'!$S$1376&gt;VAL_DATE)=0,"",'Dvd Calendar'!$S$1376*1000000000+ISNUMBER('Dvd Calendar'!$S$1377)*100000000+0*10000000+(N('Dvd Calendar'!$S$1375)&gt;0)*(N('Dvd Calendar'!$S$1375)&lt;=VAL_SERIAL)*1000000+24*1000+55))</f>
        <v/>
      </c>
      <c r="GH139" s="121">
        <f>IF(N('Dvd Calendar'!$T$1376)=0,"",IF(('Dvd Calendar'!$T$1376&gt;=GRID_FROM)*('Dvd Calendar'!$T$1376&lt;=GRID_TO)*('Dvd Calendar'!$T$1376&gt;VAL_DATE)=0,"",'Dvd Calendar'!$T$1376*1000000000+ISNUMBER('Dvd Calendar'!$T$1377)*100000000+0*10000000+(N('Dvd Calendar'!$T$1375)&gt;0)*(N('Dvd Calendar'!$T$1375)&lt;=VAL_SERIAL)*1000000+24*1000+56))</f>
        <v/>
      </c>
      <c r="GI139" s="121">
        <f>IF(N('Dvd Calendar'!$U$1376)=0,"",IF(('Dvd Calendar'!$U$1376&gt;=GRID_FROM)*('Dvd Calendar'!$U$1376&lt;=GRID_TO)*('Dvd Calendar'!$U$1376&gt;VAL_DATE)=0,"",'Dvd Calendar'!$U$1376*1000000000+ISNUMBER('Dvd Calendar'!$U$1377)*100000000+0*10000000+(N('Dvd Calendar'!$U$1375)&gt;0)*(N('Dvd Calendar'!$U$1375)&lt;=VAL_SERIAL)*1000000+24*1000+57))</f>
        <v/>
      </c>
      <c r="GJ139" s="121">
        <f>IF(N('Dvd Calendar'!$V$1376)=0,"",IF(('Dvd Calendar'!$V$1376&gt;=GRID_FROM)*('Dvd Calendar'!$V$1376&lt;=GRID_TO)*('Dvd Calendar'!$V$1376&gt;VAL_DATE)=0,"",'Dvd Calendar'!$V$1376*1000000000+ISNUMBER('Dvd Calendar'!$V$1377)*100000000+0*10000000+(N('Dvd Calendar'!$V$1375)&gt;0)*(N('Dvd Calendar'!$V$1375)&lt;=VAL_SERIAL)*1000000+24*1000+58))</f>
        <v/>
      </c>
      <c r="GK139" s="121">
        <f>IF(N('Dvd Calendar'!$W$1376)=0,"",IF(('Dvd Calendar'!$W$1376&gt;=GRID_FROM)*('Dvd Calendar'!$W$1376&lt;=GRID_TO)*('Dvd Calendar'!$W$1376&gt;VAL_DATE)=0,"",'Dvd Calendar'!$W$1376*1000000000+ISNUMBER('Dvd Calendar'!$W$1377)*100000000+0*10000000+(N('Dvd Calendar'!$W$1375)&gt;0)*(N('Dvd Calendar'!$W$1375)&lt;=VAL_SERIAL)*1000000+24*1000+59))</f>
        <v/>
      </c>
      <c r="GL139" s="121">
        <f>IF(N('Dvd Calendar'!$X$1376)=0,"",IF(('Dvd Calendar'!$X$1376&gt;=GRID_FROM)*('Dvd Calendar'!$X$1376&lt;=GRID_TO)*('Dvd Calendar'!$X$1376&gt;VAL_DATE)=0,"",'Dvd Calendar'!$X$1376*1000000000+ISNUMBER('Dvd Calendar'!$X$1377)*100000000+0*10000000+(N('Dvd Calendar'!$X$1375)&gt;0)*(N('Dvd Calendar'!$X$1375)&lt;=VAL_SERIAL)*1000000+24*1000+60))</f>
        <v/>
      </c>
      <c r="GM139" s="121">
        <f>IF(N('Dvd Calendar'!$Y$1376)=0,"",IF(('Dvd Calendar'!$Y$1376&gt;=GRID_FROM)*('Dvd Calendar'!$Y$1376&lt;=GRID_TO)*('Dvd Calendar'!$Y$1376&gt;VAL_DATE)=0,"",'Dvd Calendar'!$Y$1376*1000000000+ISNUMBER('Dvd Calendar'!$Y$1377)*100000000+0*10000000+(N('Dvd Calendar'!$Y$1375)&gt;0)*(N('Dvd Calendar'!$Y$1375)&lt;=VAL_SERIAL)*1000000+24*1000+61))</f>
        <v/>
      </c>
      <c r="GN139" s="121">
        <f>IF(N('Dvd Calendar'!$Z$1376)=0,"",IF(('Dvd Calendar'!$Z$1376&gt;=GRID_FROM)*('Dvd Calendar'!$Z$1376&lt;=GRID_TO)*('Dvd Calendar'!$Z$1376&gt;VAL_DATE)=0,"",'Dvd Calendar'!$Z$1376*1000000000+ISNUMBER('Dvd Calendar'!$Z$1377)*100000000+0*10000000+(N('Dvd Calendar'!$Z$1375)&gt;0)*(N('Dvd Calendar'!$Z$1375)&lt;=VAL_SERIAL)*1000000+24*1000+62))</f>
        <v/>
      </c>
      <c r="GO139" s="121">
        <f>IF(N('Dvd Calendar'!$AA$1376)=0,"",IF(('Dvd Calendar'!$AA$1376&gt;=GRID_FROM)*('Dvd Calendar'!$AA$1376&lt;=GRID_TO)*('Dvd Calendar'!$AA$1376&gt;VAL_DATE)=0,"",'Dvd Calendar'!$AA$1376*1000000000+ISNUMBER('Dvd Calendar'!$AA$1377)*100000000+0*10000000+(N('Dvd Calendar'!$AA$1375)&gt;0)*(N('Dvd Calendar'!$AA$1375)&lt;=VAL_SERIAL)*1000000+24*1000+63))</f>
        <v/>
      </c>
      <c r="GP139" s="121">
        <f>IF(N('Dvd Calendar'!$AB$1376)=0,"",IF(('Dvd Calendar'!$AB$1376&gt;=GRID_FROM)*('Dvd Calendar'!$AB$1376&lt;=GRID_TO)*('Dvd Calendar'!$AB$1376&gt;VAL_DATE)=0,"",'Dvd Calendar'!$AB$1376*1000000000+ISNUMBER('Dvd Calendar'!$AB$1377)*100000000+0*10000000+(N('Dvd Calendar'!$AB$1375)&gt;0)*(N('Dvd Calendar'!$AB$1375)&lt;=VAL_SERIAL)*1000000+24*1000+64))</f>
        <v/>
      </c>
      <c r="GQ139" s="121">
        <f>IF(N('Dvd Calendar'!$AC$1376)=0,"",IF(('Dvd Calendar'!$AC$1376&gt;=GRID_FROM)*('Dvd Calendar'!$AC$1376&lt;=GRID_TO)*('Dvd Calendar'!$AC$1376&gt;VAL_DATE)=0,"",'Dvd Calendar'!$AC$1376*1000000000+ISNUMBER('Dvd Calendar'!$AC$1377)*100000000+0*10000000+(N('Dvd Calendar'!$AC$1375)&gt;0)*(N('Dvd Calendar'!$AC$1375)&lt;=VAL_SERIAL)*1000000+24*1000+65))</f>
        <v/>
      </c>
    </row>
    <row r="140">
      <c r="B140" s="2">
        <f>IF(HSTECH!$C$31="","",HSTECH!$C$31)</f>
        <v/>
      </c>
      <c r="C140" s="161">
        <f>IF(EE140="","",IF(ISNUMBER('Dvd Calendar'!$E$1383)=FALSE,"",IF((('Dvd Calendar'!$E$1385=TYPE1)*(TYPE1&lt;&gt;"")+('Dvd Calendar'!$E$1385=TYPE2)*(TYPE2&lt;&gt;"")+('Dvd Calendar'!$E$1385=TYPE3)*(TYPE3&lt;&gt;"")+('Dvd Calendar'!$E$1385=TYPE4)*(TYPE4&lt;&gt;"")+('Dvd Calendar'!$E$1385=SPECIAL_LBL)*(INC_SPECIALS="Y"))=0,"",'Dvd Calendar'!$E$1383)))</f>
        <v/>
      </c>
      <c r="D140" s="161">
        <f>IF(EF140="","",IF(ISNUMBER('Dvd Calendar'!$F$1383)=FALSE,"",IF((('Dvd Calendar'!$F$1385=TYPE1)*(TYPE1&lt;&gt;"")+('Dvd Calendar'!$F$1385=TYPE2)*(TYPE2&lt;&gt;"")+('Dvd Calendar'!$F$1385=TYPE3)*(TYPE3&lt;&gt;"")+('Dvd Calendar'!$F$1385=TYPE4)*(TYPE4&lt;&gt;"")+('Dvd Calendar'!$F$1385=SPECIAL_LBL)*(INC_SPECIALS="Y"))=0,"",'Dvd Calendar'!$F$1383)))</f>
        <v/>
      </c>
      <c r="E140" s="161">
        <f>IF(EG140="","",IF(ISNUMBER('Dvd Calendar'!$G$1383)=FALSE,"",IF((('Dvd Calendar'!$G$1385=TYPE1)*(TYPE1&lt;&gt;"")+('Dvd Calendar'!$G$1385=TYPE2)*(TYPE2&lt;&gt;"")+('Dvd Calendar'!$G$1385=TYPE3)*(TYPE3&lt;&gt;"")+('Dvd Calendar'!$G$1385=TYPE4)*(TYPE4&lt;&gt;"")+('Dvd Calendar'!$G$1385=SPECIAL_LBL)*(INC_SPECIALS="Y"))=0,"",'Dvd Calendar'!$G$1383)))</f>
        <v/>
      </c>
      <c r="F140" s="161">
        <f>IF(EH140="","",IF(ISNUMBER('Dvd Calendar'!$H$1383)=FALSE,"",IF((('Dvd Calendar'!$H$1385=TYPE1)*(TYPE1&lt;&gt;"")+('Dvd Calendar'!$H$1385=TYPE2)*(TYPE2&lt;&gt;"")+('Dvd Calendar'!$H$1385=TYPE3)*(TYPE3&lt;&gt;"")+('Dvd Calendar'!$H$1385=TYPE4)*(TYPE4&lt;&gt;"")+('Dvd Calendar'!$H$1385=SPECIAL_LBL)*(INC_SPECIALS="Y"))=0,"",'Dvd Calendar'!$H$1383)))</f>
        <v/>
      </c>
      <c r="G140" s="161">
        <f>IF(EI140="","",IF(ISNUMBER('Dvd Calendar'!$I$1383)=FALSE,"",IF((('Dvd Calendar'!$I$1385=TYPE1)*(TYPE1&lt;&gt;"")+('Dvd Calendar'!$I$1385=TYPE2)*(TYPE2&lt;&gt;"")+('Dvd Calendar'!$I$1385=TYPE3)*(TYPE3&lt;&gt;"")+('Dvd Calendar'!$I$1385=TYPE4)*(TYPE4&lt;&gt;"")+('Dvd Calendar'!$I$1385=SPECIAL_LBL)*(INC_SPECIALS="Y"))=0,"",'Dvd Calendar'!$I$1383)))</f>
        <v/>
      </c>
      <c r="H140" s="161">
        <f>IF(EJ140="","",IF(ISNUMBER('Dvd Calendar'!$J$1383)=FALSE,"",IF((('Dvd Calendar'!$J$1385=TYPE1)*(TYPE1&lt;&gt;"")+('Dvd Calendar'!$J$1385=TYPE2)*(TYPE2&lt;&gt;"")+('Dvd Calendar'!$J$1385=TYPE3)*(TYPE3&lt;&gt;"")+('Dvd Calendar'!$J$1385=TYPE4)*(TYPE4&lt;&gt;"")+('Dvd Calendar'!$J$1385=SPECIAL_LBL)*(INC_SPECIALS="Y"))=0,"",'Dvd Calendar'!$J$1383)))</f>
        <v/>
      </c>
      <c r="I140" s="161">
        <f>IF(EK140="","",IF(ISNUMBER('Dvd Calendar'!$K$1383)=FALSE,"",IF((('Dvd Calendar'!$K$1385=TYPE1)*(TYPE1&lt;&gt;"")+('Dvd Calendar'!$K$1385=TYPE2)*(TYPE2&lt;&gt;"")+('Dvd Calendar'!$K$1385=TYPE3)*(TYPE3&lt;&gt;"")+('Dvd Calendar'!$K$1385=TYPE4)*(TYPE4&lt;&gt;"")+('Dvd Calendar'!$K$1385=SPECIAL_LBL)*(INC_SPECIALS="Y"))=0,"",'Dvd Calendar'!$K$1383)))</f>
        <v/>
      </c>
      <c r="J140" s="161">
        <f>IF(EL140="","",IF(ISNUMBER('Dvd Calendar'!$L$1383)=FALSE,"",IF((('Dvd Calendar'!$L$1385=TYPE1)*(TYPE1&lt;&gt;"")+('Dvd Calendar'!$L$1385=TYPE2)*(TYPE2&lt;&gt;"")+('Dvd Calendar'!$L$1385=TYPE3)*(TYPE3&lt;&gt;"")+('Dvd Calendar'!$L$1385=TYPE4)*(TYPE4&lt;&gt;"")+('Dvd Calendar'!$L$1385=SPECIAL_LBL)*(INC_SPECIALS="Y"))=0,"",'Dvd Calendar'!$L$1383)))</f>
        <v/>
      </c>
      <c r="K140" s="161">
        <f>IF(EM140="","",IF(ISNUMBER('Dvd Calendar'!$M$1383)=FALSE,"",IF((('Dvd Calendar'!$M$1385=TYPE1)*(TYPE1&lt;&gt;"")+('Dvd Calendar'!$M$1385=TYPE2)*(TYPE2&lt;&gt;"")+('Dvd Calendar'!$M$1385=TYPE3)*(TYPE3&lt;&gt;"")+('Dvd Calendar'!$M$1385=TYPE4)*(TYPE4&lt;&gt;"")+('Dvd Calendar'!$M$1385=SPECIAL_LBL)*(INC_SPECIALS="Y"))=0,"",'Dvd Calendar'!$M$1383)))</f>
        <v/>
      </c>
      <c r="L140" s="161">
        <f>IF(EN140="","",IF(ISNUMBER('Dvd Calendar'!$N$1383)=FALSE,"",IF((('Dvd Calendar'!$N$1385=TYPE1)*(TYPE1&lt;&gt;"")+('Dvd Calendar'!$N$1385=TYPE2)*(TYPE2&lt;&gt;"")+('Dvd Calendar'!$N$1385=TYPE3)*(TYPE3&lt;&gt;"")+('Dvd Calendar'!$N$1385=TYPE4)*(TYPE4&lt;&gt;"")+('Dvd Calendar'!$N$1385=SPECIAL_LBL)*(INC_SPECIALS="Y"))=0,"",'Dvd Calendar'!$N$1383)))</f>
        <v/>
      </c>
      <c r="M140" s="161">
        <f>IF(EO140="","",IF(ISNUMBER('Dvd Calendar'!$O$1383)=FALSE,"",IF((('Dvd Calendar'!$O$1385=TYPE1)*(TYPE1&lt;&gt;"")+('Dvd Calendar'!$O$1385=TYPE2)*(TYPE2&lt;&gt;"")+('Dvd Calendar'!$O$1385=TYPE3)*(TYPE3&lt;&gt;"")+('Dvd Calendar'!$O$1385=TYPE4)*(TYPE4&lt;&gt;"")+('Dvd Calendar'!$O$1385=SPECIAL_LBL)*(INC_SPECIALS="Y"))=0,"",'Dvd Calendar'!$O$1383)))</f>
        <v/>
      </c>
      <c r="N140" s="161">
        <f>IF(EP140="","",IF(ISNUMBER('Dvd Calendar'!$P$1383)=FALSE,"",IF((('Dvd Calendar'!$P$1385=TYPE1)*(TYPE1&lt;&gt;"")+('Dvd Calendar'!$P$1385=TYPE2)*(TYPE2&lt;&gt;"")+('Dvd Calendar'!$P$1385=TYPE3)*(TYPE3&lt;&gt;"")+('Dvd Calendar'!$P$1385=TYPE4)*(TYPE4&lt;&gt;"")+('Dvd Calendar'!$P$1385=SPECIAL_LBL)*(INC_SPECIALS="Y"))=0,"",'Dvd Calendar'!$P$1383)))</f>
        <v/>
      </c>
      <c r="O140" s="161">
        <f>IF(EQ140="","",IF(ISNUMBER('Dvd Calendar'!$Q$1383)=FALSE,"",IF((('Dvd Calendar'!$Q$1385=TYPE1)*(TYPE1&lt;&gt;"")+('Dvd Calendar'!$Q$1385=TYPE2)*(TYPE2&lt;&gt;"")+('Dvd Calendar'!$Q$1385=TYPE3)*(TYPE3&lt;&gt;"")+('Dvd Calendar'!$Q$1385=TYPE4)*(TYPE4&lt;&gt;"")+('Dvd Calendar'!$Q$1385=SPECIAL_LBL)*(INC_SPECIALS="Y"))=0,"",'Dvd Calendar'!$Q$1383)))</f>
        <v/>
      </c>
      <c r="P140" s="161">
        <f>IF(ER140="","",IF(ISNUMBER('Dvd Calendar'!$R$1383)=FALSE,"",IF((('Dvd Calendar'!$R$1385=TYPE1)*(TYPE1&lt;&gt;"")+('Dvd Calendar'!$R$1385=TYPE2)*(TYPE2&lt;&gt;"")+('Dvd Calendar'!$R$1385=TYPE3)*(TYPE3&lt;&gt;"")+('Dvd Calendar'!$R$1385=TYPE4)*(TYPE4&lt;&gt;"")+('Dvd Calendar'!$R$1385=SPECIAL_LBL)*(INC_SPECIALS="Y"))=0,"",'Dvd Calendar'!$R$1383)))</f>
        <v/>
      </c>
      <c r="Q140" s="161">
        <f>IF(ES140="","",IF(ISNUMBER('Dvd Calendar'!$S$1383)=FALSE,"",IF((('Dvd Calendar'!$S$1385=TYPE1)*(TYPE1&lt;&gt;"")+('Dvd Calendar'!$S$1385=TYPE2)*(TYPE2&lt;&gt;"")+('Dvd Calendar'!$S$1385=TYPE3)*(TYPE3&lt;&gt;"")+('Dvd Calendar'!$S$1385=TYPE4)*(TYPE4&lt;&gt;"")+('Dvd Calendar'!$S$1385=SPECIAL_LBL)*(INC_SPECIALS="Y"))=0,"",'Dvd Calendar'!$S$1383)))</f>
        <v/>
      </c>
      <c r="R140" s="161">
        <f>IF(ET140="","",IF(ISNUMBER('Dvd Calendar'!$T$1383)=FALSE,"",IF((('Dvd Calendar'!$T$1385=TYPE1)*(TYPE1&lt;&gt;"")+('Dvd Calendar'!$T$1385=TYPE2)*(TYPE2&lt;&gt;"")+('Dvd Calendar'!$T$1385=TYPE3)*(TYPE3&lt;&gt;"")+('Dvd Calendar'!$T$1385=TYPE4)*(TYPE4&lt;&gt;"")+('Dvd Calendar'!$T$1385=SPECIAL_LBL)*(INC_SPECIALS="Y"))=0,"",'Dvd Calendar'!$T$1383)))</f>
        <v/>
      </c>
      <c r="S140" s="161">
        <f>IF(EU140="","",IF(ISNUMBER('Dvd Calendar'!$U$1383)=FALSE,"",IF((('Dvd Calendar'!$U$1385=TYPE1)*(TYPE1&lt;&gt;"")+('Dvd Calendar'!$U$1385=TYPE2)*(TYPE2&lt;&gt;"")+('Dvd Calendar'!$U$1385=TYPE3)*(TYPE3&lt;&gt;"")+('Dvd Calendar'!$U$1385=TYPE4)*(TYPE4&lt;&gt;"")+('Dvd Calendar'!$U$1385=SPECIAL_LBL)*(INC_SPECIALS="Y"))=0,"",'Dvd Calendar'!$U$1383)))</f>
        <v/>
      </c>
      <c r="T140" s="161">
        <f>IF(EV140="","",IF(ISNUMBER('Dvd Calendar'!$V$1383)=FALSE,"",IF((('Dvd Calendar'!$V$1385=TYPE1)*(TYPE1&lt;&gt;"")+('Dvd Calendar'!$V$1385=TYPE2)*(TYPE2&lt;&gt;"")+('Dvd Calendar'!$V$1385=TYPE3)*(TYPE3&lt;&gt;"")+('Dvd Calendar'!$V$1385=TYPE4)*(TYPE4&lt;&gt;"")+('Dvd Calendar'!$V$1385=SPECIAL_LBL)*(INC_SPECIALS="Y"))=0,"",'Dvd Calendar'!$V$1383)))</f>
        <v/>
      </c>
      <c r="U140" s="161">
        <f>IF(EW140="","",IF(ISNUMBER('Dvd Calendar'!$W$1383)=FALSE,"",IF((('Dvd Calendar'!$W$1385=TYPE1)*(TYPE1&lt;&gt;"")+('Dvd Calendar'!$W$1385=TYPE2)*(TYPE2&lt;&gt;"")+('Dvd Calendar'!$W$1385=TYPE3)*(TYPE3&lt;&gt;"")+('Dvd Calendar'!$W$1385=TYPE4)*(TYPE4&lt;&gt;"")+('Dvd Calendar'!$W$1385=SPECIAL_LBL)*(INC_SPECIALS="Y"))=0,"",'Dvd Calendar'!$W$1383)))</f>
        <v/>
      </c>
      <c r="V140" s="161">
        <f>IF(EX140="","",IF(ISNUMBER('Dvd Calendar'!$X$1383)=FALSE,"",IF((('Dvd Calendar'!$X$1385=TYPE1)*(TYPE1&lt;&gt;"")+('Dvd Calendar'!$X$1385=TYPE2)*(TYPE2&lt;&gt;"")+('Dvd Calendar'!$X$1385=TYPE3)*(TYPE3&lt;&gt;"")+('Dvd Calendar'!$X$1385=TYPE4)*(TYPE4&lt;&gt;"")+('Dvd Calendar'!$X$1385=SPECIAL_LBL)*(INC_SPECIALS="Y"))=0,"",'Dvd Calendar'!$X$1383)))</f>
        <v/>
      </c>
      <c r="W140" s="161">
        <f>IF(EY140="","",IF(ISNUMBER('Dvd Calendar'!$Y$1383)=FALSE,"",IF((('Dvd Calendar'!$Y$1385=TYPE1)*(TYPE1&lt;&gt;"")+('Dvd Calendar'!$Y$1385=TYPE2)*(TYPE2&lt;&gt;"")+('Dvd Calendar'!$Y$1385=TYPE3)*(TYPE3&lt;&gt;"")+('Dvd Calendar'!$Y$1385=TYPE4)*(TYPE4&lt;&gt;"")+('Dvd Calendar'!$Y$1385=SPECIAL_LBL)*(INC_SPECIALS="Y"))=0,"",'Dvd Calendar'!$Y$1383)))</f>
        <v/>
      </c>
      <c r="X140" s="161">
        <f>IF(EZ140="","",IF(ISNUMBER('Dvd Calendar'!$Z$1383)=FALSE,"",IF((('Dvd Calendar'!$Z$1385=TYPE1)*(TYPE1&lt;&gt;"")+('Dvd Calendar'!$Z$1385=TYPE2)*(TYPE2&lt;&gt;"")+('Dvd Calendar'!$Z$1385=TYPE3)*(TYPE3&lt;&gt;"")+('Dvd Calendar'!$Z$1385=TYPE4)*(TYPE4&lt;&gt;"")+('Dvd Calendar'!$Z$1385=SPECIAL_LBL)*(INC_SPECIALS="Y"))=0,"",'Dvd Calendar'!$Z$1383)))</f>
        <v/>
      </c>
      <c r="Y140" s="161">
        <f>IF(FA140="","",IF(ISNUMBER('Dvd Calendar'!$AA$1383)=FALSE,"",IF((('Dvd Calendar'!$AA$1385=TYPE1)*(TYPE1&lt;&gt;"")+('Dvd Calendar'!$AA$1385=TYPE2)*(TYPE2&lt;&gt;"")+('Dvd Calendar'!$AA$1385=TYPE3)*(TYPE3&lt;&gt;"")+('Dvd Calendar'!$AA$1385=TYPE4)*(TYPE4&lt;&gt;"")+('Dvd Calendar'!$AA$1385=SPECIAL_LBL)*(INC_SPECIALS="Y"))=0,"",'Dvd Calendar'!$AA$1383)))</f>
        <v/>
      </c>
      <c r="Z140" s="161">
        <f>IF(FB140="","",IF(ISNUMBER('Dvd Calendar'!$AB$1383)=FALSE,"",IF((('Dvd Calendar'!$AB$1385=TYPE1)*(TYPE1&lt;&gt;"")+('Dvd Calendar'!$AB$1385=TYPE2)*(TYPE2&lt;&gt;"")+('Dvd Calendar'!$AB$1385=TYPE3)*(TYPE3&lt;&gt;"")+('Dvd Calendar'!$AB$1385=TYPE4)*(TYPE4&lt;&gt;"")+('Dvd Calendar'!$AB$1385=SPECIAL_LBL)*(INC_SPECIALS="Y"))=0,"",'Dvd Calendar'!$AB$1383)))</f>
        <v/>
      </c>
      <c r="AA140" s="161">
        <f>IF(FC140="","",IF(ISNUMBER('Dvd Calendar'!$AC$1383)=FALSE,"",IF((('Dvd Calendar'!$AC$1385=TYPE1)*(TYPE1&lt;&gt;"")+('Dvd Calendar'!$AC$1385=TYPE2)*(TYPE2&lt;&gt;"")+('Dvd Calendar'!$AC$1385=TYPE3)*(TYPE3&lt;&gt;"")+('Dvd Calendar'!$AC$1385=TYPE4)*(TYPE4&lt;&gt;"")+('Dvd Calendar'!$AC$1385=SPECIAL_LBL)*(INC_SPECIALS="Y"))=0,"",'Dvd Calendar'!$AC$1383)))</f>
        <v/>
      </c>
      <c r="AB140" s="161">
        <f>IF(FD140="","",IF(ISNUMBER('Dvd Calendar'!$AD$1383)=FALSE,"",IF((('Dvd Calendar'!$AD$1385=TYPE1)*(TYPE1&lt;&gt;"")+('Dvd Calendar'!$AD$1385=TYPE2)*(TYPE2&lt;&gt;"")+('Dvd Calendar'!$AD$1385=TYPE3)*(TYPE3&lt;&gt;"")+('Dvd Calendar'!$AD$1385=TYPE4)*(TYPE4&lt;&gt;"")+('Dvd Calendar'!$AD$1385=SPECIAL_LBL)*(INC_SPECIALS="Y"))=0,"",'Dvd Calendar'!$AD$1383)))</f>
        <v/>
      </c>
      <c r="AC140" s="161">
        <f>IF(FE140="","",IF(ISNUMBER('Dvd Calendar'!$AE$1383)=FALSE,"",IF((('Dvd Calendar'!$AE$1385=TYPE1)*(TYPE1&lt;&gt;"")+('Dvd Calendar'!$AE$1385=TYPE2)*(TYPE2&lt;&gt;"")+('Dvd Calendar'!$AE$1385=TYPE3)*(TYPE3&lt;&gt;"")+('Dvd Calendar'!$AE$1385=TYPE4)*(TYPE4&lt;&gt;"")+('Dvd Calendar'!$AE$1385=SPECIAL_LBL)*(INC_SPECIALS="Y"))=0,"",'Dvd Calendar'!$AE$1383)))</f>
        <v/>
      </c>
      <c r="AD140" s="161">
        <f>IF(FF140="","",IF(ISNUMBER('Dvd Calendar'!$AF$1383)=FALSE,"",IF((('Dvd Calendar'!$AF$1385=TYPE1)*(TYPE1&lt;&gt;"")+('Dvd Calendar'!$AF$1385=TYPE2)*(TYPE2&lt;&gt;"")+('Dvd Calendar'!$AF$1385=TYPE3)*(TYPE3&lt;&gt;"")+('Dvd Calendar'!$AF$1385=TYPE4)*(TYPE4&lt;&gt;"")+('Dvd Calendar'!$AF$1385=SPECIAL_LBL)*(INC_SPECIALS="Y"))=0,"",'Dvd Calendar'!$AF$1383)))</f>
        <v/>
      </c>
      <c r="AE140" s="161">
        <f>IF(FG140="","",IF(ISNUMBER('Dvd Calendar'!$AG$1383)=FALSE,"",IF((('Dvd Calendar'!$AG$1385=TYPE1)*(TYPE1&lt;&gt;"")+('Dvd Calendar'!$AG$1385=TYPE2)*(TYPE2&lt;&gt;"")+('Dvd Calendar'!$AG$1385=TYPE3)*(TYPE3&lt;&gt;"")+('Dvd Calendar'!$AG$1385=TYPE4)*(TYPE4&lt;&gt;"")+('Dvd Calendar'!$AG$1385=SPECIAL_LBL)*(INC_SPECIALS="Y"))=0,"",'Dvd Calendar'!$AG$1383)))</f>
        <v/>
      </c>
      <c r="AF140" s="161">
        <f>IF(FH140="","",IF(ISNUMBER('Dvd Calendar'!$AH$1383)=FALSE,"",IF((('Dvd Calendar'!$AH$1385=TYPE1)*(TYPE1&lt;&gt;"")+('Dvd Calendar'!$AH$1385=TYPE2)*(TYPE2&lt;&gt;"")+('Dvd Calendar'!$AH$1385=TYPE3)*(TYPE3&lt;&gt;"")+('Dvd Calendar'!$AH$1385=TYPE4)*(TYPE4&lt;&gt;"")+('Dvd Calendar'!$AH$1385=SPECIAL_LBL)*(INC_SPECIALS="Y"))=0,"",'Dvd Calendar'!$AH$1383)))</f>
        <v/>
      </c>
      <c r="AG140" s="161">
        <f>IF(FI140="","",IF(ISNUMBER('Dvd Calendar'!$AI$1383)=FALSE,"",IF((('Dvd Calendar'!$AI$1385=TYPE1)*(TYPE1&lt;&gt;"")+('Dvd Calendar'!$AI$1385=TYPE2)*(TYPE2&lt;&gt;"")+('Dvd Calendar'!$AI$1385=TYPE3)*(TYPE3&lt;&gt;"")+('Dvd Calendar'!$AI$1385=TYPE4)*(TYPE4&lt;&gt;"")+('Dvd Calendar'!$AI$1385=SPECIAL_LBL)*(INC_SPECIALS="Y"))=0,"",'Dvd Calendar'!$AI$1383)))</f>
        <v/>
      </c>
      <c r="AH140" s="161">
        <f>IF(FJ140="","",IF(ISNUMBER('Dvd Calendar'!$AJ$1383)=FALSE,"",IF((('Dvd Calendar'!$AJ$1385=TYPE1)*(TYPE1&lt;&gt;"")+('Dvd Calendar'!$AJ$1385=TYPE2)*(TYPE2&lt;&gt;"")+('Dvd Calendar'!$AJ$1385=TYPE3)*(TYPE3&lt;&gt;"")+('Dvd Calendar'!$AJ$1385=TYPE4)*(TYPE4&lt;&gt;"")+('Dvd Calendar'!$AJ$1385=SPECIAL_LBL)*(INC_SPECIALS="Y"))=0,"",'Dvd Calendar'!$AJ$1383)))</f>
        <v/>
      </c>
      <c r="AI140" s="161">
        <f>IF(FK140="","",IF(ISNUMBER('Dvd Calendar'!$AK$1383)=FALSE,"",IF((('Dvd Calendar'!$AK$1385=TYPE1)*(TYPE1&lt;&gt;"")+('Dvd Calendar'!$AK$1385=TYPE2)*(TYPE2&lt;&gt;"")+('Dvd Calendar'!$AK$1385=TYPE3)*(TYPE3&lt;&gt;"")+('Dvd Calendar'!$AK$1385=TYPE4)*(TYPE4&lt;&gt;"")+('Dvd Calendar'!$AK$1385=SPECIAL_LBL)*(INC_SPECIALS="Y"))=0,"",'Dvd Calendar'!$AK$1383)))</f>
        <v/>
      </c>
      <c r="AJ140" s="161">
        <f>IF(FL140="","",IF(ISNUMBER('Dvd Calendar'!$AL$1383)=FALSE,"",IF((('Dvd Calendar'!$AL$1385=TYPE1)*(TYPE1&lt;&gt;"")+('Dvd Calendar'!$AL$1385=TYPE2)*(TYPE2&lt;&gt;"")+('Dvd Calendar'!$AL$1385=TYPE3)*(TYPE3&lt;&gt;"")+('Dvd Calendar'!$AL$1385=TYPE4)*(TYPE4&lt;&gt;"")+('Dvd Calendar'!$AL$1385=SPECIAL_LBL)*(INC_SPECIALS="Y"))=0,"",'Dvd Calendar'!$AL$1383)))</f>
        <v/>
      </c>
      <c r="AK140" s="161">
        <f>IF(FM140="","",IF(ISNUMBER('Dvd Calendar'!$AM$1383)=FALSE,"",IF((('Dvd Calendar'!$AM$1385=TYPE1)*(TYPE1&lt;&gt;"")+('Dvd Calendar'!$AM$1385=TYPE2)*(TYPE2&lt;&gt;"")+('Dvd Calendar'!$AM$1385=TYPE3)*(TYPE3&lt;&gt;"")+('Dvd Calendar'!$AM$1385=TYPE4)*(TYPE4&lt;&gt;"")+('Dvd Calendar'!$AM$1385=SPECIAL_LBL)*(INC_SPECIALS="Y"))=0,"",'Dvd Calendar'!$AM$1383)))</f>
        <v/>
      </c>
      <c r="AL140" s="161">
        <f>IF(FN140="","",IF(ISNUMBER('Dvd Calendar'!$AN$1383)=FALSE,"",IF((('Dvd Calendar'!$AN$1385=TYPE1)*(TYPE1&lt;&gt;"")+('Dvd Calendar'!$AN$1385=TYPE2)*(TYPE2&lt;&gt;"")+('Dvd Calendar'!$AN$1385=TYPE3)*(TYPE3&lt;&gt;"")+('Dvd Calendar'!$AN$1385=TYPE4)*(TYPE4&lt;&gt;"")+('Dvd Calendar'!$AN$1385=SPECIAL_LBL)*(INC_SPECIALS="Y"))=0,"",'Dvd Calendar'!$AN$1383)))</f>
        <v/>
      </c>
      <c r="AM140" s="161">
        <f>IF(FO140="","",IF(ISNUMBER('Dvd Calendar'!$AO$1383)=FALSE,"",IF((('Dvd Calendar'!$AO$1385=TYPE1)*(TYPE1&lt;&gt;"")+('Dvd Calendar'!$AO$1385=TYPE2)*(TYPE2&lt;&gt;"")+('Dvd Calendar'!$AO$1385=TYPE3)*(TYPE3&lt;&gt;"")+('Dvd Calendar'!$AO$1385=TYPE4)*(TYPE4&lt;&gt;"")+('Dvd Calendar'!$AO$1385=SPECIAL_LBL)*(INC_SPECIALS="Y"))=0,"",'Dvd Calendar'!$AO$1383)))</f>
        <v/>
      </c>
      <c r="AN140" s="161">
        <f>IF(FP140="","",IF(ISNUMBER('Dvd Calendar'!$AP$1383)=FALSE,"",IF((('Dvd Calendar'!$AP$1385=TYPE1)*(TYPE1&lt;&gt;"")+('Dvd Calendar'!$AP$1385=TYPE2)*(TYPE2&lt;&gt;"")+('Dvd Calendar'!$AP$1385=TYPE3)*(TYPE3&lt;&gt;"")+('Dvd Calendar'!$AP$1385=TYPE4)*(TYPE4&lt;&gt;"")+('Dvd Calendar'!$AP$1385=SPECIAL_LBL)*(INC_SPECIALS="Y"))=0,"",'Dvd Calendar'!$AP$1383)))</f>
        <v/>
      </c>
      <c r="AO140" s="161">
        <f>IF(FQ140="","",IF(ISNUMBER('Dvd Calendar'!$AQ$1383)=FALSE,"",IF((('Dvd Calendar'!$AQ$1385=TYPE1)*(TYPE1&lt;&gt;"")+('Dvd Calendar'!$AQ$1385=TYPE2)*(TYPE2&lt;&gt;"")+('Dvd Calendar'!$AQ$1385=TYPE3)*(TYPE3&lt;&gt;"")+('Dvd Calendar'!$AQ$1385=TYPE4)*(TYPE4&lt;&gt;"")+('Dvd Calendar'!$AQ$1385=SPECIAL_LBL)*(INC_SPECIALS="Y"))=0,"",'Dvd Calendar'!$AQ$1383)))</f>
        <v/>
      </c>
      <c r="AP140" s="161">
        <f>IF(FR140="","",IF(ISNUMBER('Dvd Calendar'!$AR$1383)=FALSE,"",IF((('Dvd Calendar'!$AR$1385=TYPE1)*(TYPE1&lt;&gt;"")+('Dvd Calendar'!$AR$1385=TYPE2)*(TYPE2&lt;&gt;"")+('Dvd Calendar'!$AR$1385=TYPE3)*(TYPE3&lt;&gt;"")+('Dvd Calendar'!$AR$1385=TYPE4)*(TYPE4&lt;&gt;"")+('Dvd Calendar'!$AR$1385=SPECIAL_LBL)*(INC_SPECIALS="Y"))=0,"",'Dvd Calendar'!$AR$1383)))</f>
        <v/>
      </c>
      <c r="AQ140" s="161">
        <f>IF(FS140="","",IF(ISNUMBER('Dvd Calendar'!$E$1388)=FALSE,"",'Dvd Calendar'!$E$1388))</f>
        <v/>
      </c>
      <c r="AR140" s="161">
        <f>IF(FT140="","",IF(ISNUMBER('Dvd Calendar'!$F$1388)=FALSE,"",'Dvd Calendar'!$F$1388))</f>
        <v/>
      </c>
      <c r="AS140" s="161">
        <f>IF(FU140="","",IF(ISNUMBER('Dvd Calendar'!$G$1388)=FALSE,"",'Dvd Calendar'!$G$1388))</f>
        <v/>
      </c>
      <c r="AT140" s="161">
        <f>IF(FV140="","",IF(ISNUMBER('Dvd Calendar'!$H$1388)=FALSE,"",'Dvd Calendar'!$H$1388))</f>
        <v/>
      </c>
      <c r="AU140" s="161">
        <f>IF(FW140="","",IF(ISNUMBER('Dvd Calendar'!$I$1388)=FALSE,"",'Dvd Calendar'!$I$1388))</f>
        <v/>
      </c>
      <c r="AV140" s="161">
        <f>IF(FX140="","",IF(ISNUMBER('Dvd Calendar'!$J$1388)=FALSE,"",'Dvd Calendar'!$J$1388))</f>
        <v/>
      </c>
      <c r="AW140" s="161">
        <f>IF(FY140="","",IF(ISNUMBER('Dvd Calendar'!$K$1388)=FALSE,"",'Dvd Calendar'!$K$1388))</f>
        <v/>
      </c>
      <c r="AX140" s="161">
        <f>IF(FZ140="","",IF(ISNUMBER('Dvd Calendar'!$L$1388)=FALSE,"",'Dvd Calendar'!$L$1388))</f>
        <v/>
      </c>
      <c r="AY140" s="161">
        <f>IF(GA140="","",IF(ISNUMBER('Dvd Calendar'!$M$1388)=FALSE,"",'Dvd Calendar'!$M$1388))</f>
        <v/>
      </c>
      <c r="AZ140" s="161">
        <f>IF(GB140="","",IF(ISNUMBER('Dvd Calendar'!$N$1388)=FALSE,"",'Dvd Calendar'!$N$1388))</f>
        <v/>
      </c>
      <c r="BA140" s="161">
        <f>IF(GC140="","",IF(ISNUMBER('Dvd Calendar'!$O$1388)=FALSE,"",'Dvd Calendar'!$O$1388))</f>
        <v/>
      </c>
      <c r="BB140" s="161">
        <f>IF(GD140="","",IF(ISNUMBER('Dvd Calendar'!$P$1388)=FALSE,"",'Dvd Calendar'!$P$1388))</f>
        <v/>
      </c>
      <c r="BC140" s="161">
        <f>IF(GE140="","",IF(ISNUMBER('Dvd Calendar'!$Q$1388)=FALSE,"",'Dvd Calendar'!$Q$1388))</f>
        <v/>
      </c>
      <c r="BD140" s="161">
        <f>IF(GF140="","",IF(ISNUMBER('Dvd Calendar'!$R$1388)=FALSE,"",'Dvd Calendar'!$R$1388))</f>
        <v/>
      </c>
      <c r="BE140" s="161">
        <f>IF(GG140="","",IF(ISNUMBER('Dvd Calendar'!$S$1388)=FALSE,"",'Dvd Calendar'!$S$1388))</f>
        <v/>
      </c>
      <c r="BF140" s="161">
        <f>IF(GH140="","",IF(ISNUMBER('Dvd Calendar'!$T$1388)=FALSE,"",'Dvd Calendar'!$T$1388))</f>
        <v/>
      </c>
      <c r="BG140" s="161">
        <f>IF(GI140="","",IF(ISNUMBER('Dvd Calendar'!$U$1388)=FALSE,"",'Dvd Calendar'!$U$1388))</f>
        <v/>
      </c>
      <c r="BH140" s="161">
        <f>IF(GJ140="","",IF(ISNUMBER('Dvd Calendar'!$V$1388)=FALSE,"",'Dvd Calendar'!$V$1388))</f>
        <v/>
      </c>
      <c r="BI140" s="161">
        <f>IF(GK140="","",IF(ISNUMBER('Dvd Calendar'!$W$1388)=FALSE,"",'Dvd Calendar'!$W$1388))</f>
        <v/>
      </c>
      <c r="BJ140" s="161">
        <f>IF(GL140="","",IF(ISNUMBER('Dvd Calendar'!$X$1388)=FALSE,"",'Dvd Calendar'!$X$1388))</f>
        <v/>
      </c>
      <c r="BK140" s="161">
        <f>IF(GM140="","",IF(ISNUMBER('Dvd Calendar'!$Y$1388)=FALSE,"",'Dvd Calendar'!$Y$1388))</f>
        <v/>
      </c>
      <c r="BL140" s="161">
        <f>IF(GN140="","",IF(ISNUMBER('Dvd Calendar'!$Z$1388)=FALSE,"",'Dvd Calendar'!$Z$1388))</f>
        <v/>
      </c>
      <c r="BM140" s="161">
        <f>IF(GO140="","",IF(ISNUMBER('Dvd Calendar'!$AA$1388)=FALSE,"",'Dvd Calendar'!$AA$1388))</f>
        <v/>
      </c>
      <c r="BN140" s="161">
        <f>IF(GP140="","",IF(ISNUMBER('Dvd Calendar'!$AB$1388)=FALSE,"",'Dvd Calendar'!$AB$1388))</f>
        <v/>
      </c>
      <c r="BO140" s="161">
        <f>IF(GQ140="","",IF(ISNUMBER('Dvd Calendar'!$AC$1388)=FALSE,"",'Dvd Calendar'!$AC$1388))</f>
        <v/>
      </c>
      <c r="BQ140" s="161">
        <f>IF(C140="","",IFERROR(C140*HSTECH!$B$31*HSTECH!$G$31/HSTECH!$B$3,""))</f>
        <v/>
      </c>
      <c r="BR140" s="161">
        <f>IF(D140="","",IFERROR(D140*HSTECH!$B$31*HSTECH!$G$31/HSTECH!$B$3,""))</f>
        <v/>
      </c>
      <c r="BS140" s="161">
        <f>IF(E140="","",IFERROR(E140*HSTECH!$B$31*HSTECH!$G$31/HSTECH!$B$3,""))</f>
        <v/>
      </c>
      <c r="BT140" s="161">
        <f>IF(F140="","",IFERROR(F140*HSTECH!$B$31*HSTECH!$G$31/HSTECH!$B$3,""))</f>
        <v/>
      </c>
      <c r="BU140" s="161">
        <f>IF(G140="","",IFERROR(G140*HSTECH!$B$31*HSTECH!$G$31/HSTECH!$B$3,""))</f>
        <v/>
      </c>
      <c r="BV140" s="161">
        <f>IF(H140="","",IFERROR(H140*HSTECH!$B$31*HSTECH!$G$31/HSTECH!$B$3,""))</f>
        <v/>
      </c>
      <c r="BW140" s="161">
        <f>IF(I140="","",IFERROR(I140*HSTECH!$B$31*HSTECH!$G$31/HSTECH!$B$3,""))</f>
        <v/>
      </c>
      <c r="BX140" s="161">
        <f>IF(J140="","",IFERROR(J140*HSTECH!$B$31*HSTECH!$G$31/HSTECH!$B$3,""))</f>
        <v/>
      </c>
      <c r="BY140" s="161">
        <f>IF(K140="","",IFERROR(K140*HSTECH!$B$31*HSTECH!$G$31/HSTECH!$B$3,""))</f>
        <v/>
      </c>
      <c r="BZ140" s="161">
        <f>IF(L140="","",IFERROR(L140*HSTECH!$B$31*HSTECH!$G$31/HSTECH!$B$3,""))</f>
        <v/>
      </c>
      <c r="CA140" s="161">
        <f>IF(M140="","",IFERROR(M140*HSTECH!$B$31*HSTECH!$G$31/HSTECH!$B$3,""))</f>
        <v/>
      </c>
      <c r="CB140" s="161">
        <f>IF(N140="","",IFERROR(N140*HSTECH!$B$31*HSTECH!$G$31/HSTECH!$B$3,""))</f>
        <v/>
      </c>
      <c r="CC140" s="161">
        <f>IF(O140="","",IFERROR(O140*HSTECH!$B$31*HSTECH!$G$31/HSTECH!$B$3,""))</f>
        <v/>
      </c>
      <c r="CD140" s="161">
        <f>IF(P140="","",IFERROR(P140*HSTECH!$B$31*HSTECH!$G$31/HSTECH!$B$3,""))</f>
        <v/>
      </c>
      <c r="CE140" s="161">
        <f>IF(Q140="","",IFERROR(Q140*HSTECH!$B$31*HSTECH!$G$31/HSTECH!$B$3,""))</f>
        <v/>
      </c>
      <c r="CF140" s="161">
        <f>IF(R140="","",IFERROR(R140*HSTECH!$B$31*HSTECH!$G$31/HSTECH!$B$3,""))</f>
        <v/>
      </c>
      <c r="CG140" s="161">
        <f>IF(S140="","",IFERROR(S140*HSTECH!$B$31*HSTECH!$G$31/HSTECH!$B$3,""))</f>
        <v/>
      </c>
      <c r="CH140" s="161">
        <f>IF(T140="","",IFERROR(T140*HSTECH!$B$31*HSTECH!$G$31/HSTECH!$B$3,""))</f>
        <v/>
      </c>
      <c r="CI140" s="161">
        <f>IF(U140="","",IFERROR(U140*HSTECH!$B$31*HSTECH!$G$31/HSTECH!$B$3,""))</f>
        <v/>
      </c>
      <c r="CJ140" s="161">
        <f>IF(V140="","",IFERROR(V140*HSTECH!$B$31*HSTECH!$G$31/HSTECH!$B$3,""))</f>
        <v/>
      </c>
      <c r="CK140" s="161">
        <f>IF(W140="","",IFERROR(W140*HSTECH!$B$31*HSTECH!$G$31/HSTECH!$B$3,""))</f>
        <v/>
      </c>
      <c r="CL140" s="161">
        <f>IF(X140="","",IFERROR(X140*HSTECH!$B$31*HSTECH!$G$31/HSTECH!$B$3,""))</f>
        <v/>
      </c>
      <c r="CM140" s="161">
        <f>IF(Y140="","",IFERROR(Y140*HSTECH!$B$31*HSTECH!$G$31/HSTECH!$B$3,""))</f>
        <v/>
      </c>
      <c r="CN140" s="161">
        <f>IF(Z140="","",IFERROR(Z140*HSTECH!$B$31*HSTECH!$G$31/HSTECH!$B$3,""))</f>
        <v/>
      </c>
      <c r="CO140" s="161">
        <f>IF(AA140="","",IFERROR(AA140*HSTECH!$B$31*HSTECH!$G$31/HSTECH!$B$3,""))</f>
        <v/>
      </c>
      <c r="CP140" s="161">
        <f>IF(AB140="","",IFERROR(AB140*HSTECH!$B$31*HSTECH!$G$31/HSTECH!$B$3,""))</f>
        <v/>
      </c>
      <c r="CQ140" s="161">
        <f>IF(AC140="","",IFERROR(AC140*HSTECH!$B$31*HSTECH!$G$31/HSTECH!$B$3,""))</f>
        <v/>
      </c>
      <c r="CR140" s="161">
        <f>IF(AD140="","",IFERROR(AD140*HSTECH!$B$31*HSTECH!$G$31/HSTECH!$B$3,""))</f>
        <v/>
      </c>
      <c r="CS140" s="161">
        <f>IF(AE140="","",IFERROR(AE140*HSTECH!$B$31*HSTECH!$G$31/HSTECH!$B$3,""))</f>
        <v/>
      </c>
      <c r="CT140" s="161">
        <f>IF(AF140="","",IFERROR(AF140*HSTECH!$B$31*HSTECH!$G$31/HSTECH!$B$3,""))</f>
        <v/>
      </c>
      <c r="CU140" s="161">
        <f>IF(AG140="","",IFERROR(AG140*HSTECH!$B$31*HSTECH!$G$31/HSTECH!$B$3,""))</f>
        <v/>
      </c>
      <c r="CV140" s="161">
        <f>IF(AH140="","",IFERROR(AH140*HSTECH!$B$31*HSTECH!$G$31/HSTECH!$B$3,""))</f>
        <v/>
      </c>
      <c r="CW140" s="161">
        <f>IF(AI140="","",IFERROR(AI140*HSTECH!$B$31*HSTECH!$G$31/HSTECH!$B$3,""))</f>
        <v/>
      </c>
      <c r="CX140" s="161">
        <f>IF(AJ140="","",IFERROR(AJ140*HSTECH!$B$31*HSTECH!$G$31/HSTECH!$B$3,""))</f>
        <v/>
      </c>
      <c r="CY140" s="161">
        <f>IF(AK140="","",IFERROR(AK140*HSTECH!$B$31*HSTECH!$G$31/HSTECH!$B$3,""))</f>
        <v/>
      </c>
      <c r="CZ140" s="161">
        <f>IF(AL140="","",IFERROR(AL140*HSTECH!$B$31*HSTECH!$G$31/HSTECH!$B$3,""))</f>
        <v/>
      </c>
      <c r="DA140" s="161">
        <f>IF(AM140="","",IFERROR(AM140*HSTECH!$B$31*HSTECH!$G$31/HSTECH!$B$3,""))</f>
        <v/>
      </c>
      <c r="DB140" s="161">
        <f>IF(AN140="","",IFERROR(AN140*HSTECH!$B$31*HSTECH!$G$31/HSTECH!$B$3,""))</f>
        <v/>
      </c>
      <c r="DC140" s="161">
        <f>IF(AO140="","",IFERROR(AO140*HSTECH!$B$31*HSTECH!$G$31/HSTECH!$B$3,""))</f>
        <v/>
      </c>
      <c r="DD140" s="161">
        <f>IF(AP140="","",IFERROR(AP140*HSTECH!$B$31*HSTECH!$G$31/HSTECH!$B$3,""))</f>
        <v/>
      </c>
      <c r="DE140" s="161">
        <f>IF(AQ140="","",IFERROR(AQ140*HSTECH!$B$31*HSTECH!$G$31/HSTECH!$B$3,""))</f>
        <v/>
      </c>
      <c r="DF140" s="161">
        <f>IF(AR140="","",IFERROR(AR140*HSTECH!$B$31*HSTECH!$G$31/HSTECH!$B$3,""))</f>
        <v/>
      </c>
      <c r="DG140" s="161">
        <f>IF(AS140="","",IFERROR(AS140*HSTECH!$B$31*HSTECH!$G$31/HSTECH!$B$3,""))</f>
        <v/>
      </c>
      <c r="DH140" s="161">
        <f>IF(AT140="","",IFERROR(AT140*HSTECH!$B$31*HSTECH!$G$31/HSTECH!$B$3,""))</f>
        <v/>
      </c>
      <c r="DI140" s="161">
        <f>IF(AU140="","",IFERROR(AU140*HSTECH!$B$31*HSTECH!$G$31/HSTECH!$B$3,""))</f>
        <v/>
      </c>
      <c r="DJ140" s="161">
        <f>IF(AV140="","",IFERROR(AV140*HSTECH!$B$31*HSTECH!$G$31/HSTECH!$B$3,""))</f>
        <v/>
      </c>
      <c r="DK140" s="161">
        <f>IF(AW140="","",IFERROR(AW140*HSTECH!$B$31*HSTECH!$G$31/HSTECH!$B$3,""))</f>
        <v/>
      </c>
      <c r="DL140" s="161">
        <f>IF(AX140="","",IFERROR(AX140*HSTECH!$B$31*HSTECH!$G$31/HSTECH!$B$3,""))</f>
        <v/>
      </c>
      <c r="DM140" s="161">
        <f>IF(AY140="","",IFERROR(AY140*HSTECH!$B$31*HSTECH!$G$31/HSTECH!$B$3,""))</f>
        <v/>
      </c>
      <c r="DN140" s="161">
        <f>IF(AZ140="","",IFERROR(AZ140*HSTECH!$B$31*HSTECH!$G$31/HSTECH!$B$3,""))</f>
        <v/>
      </c>
      <c r="DO140" s="161">
        <f>IF(BA140="","",IFERROR(BA140*HSTECH!$B$31*HSTECH!$G$31/HSTECH!$B$3,""))</f>
        <v/>
      </c>
      <c r="DP140" s="161">
        <f>IF(BB140="","",IFERROR(BB140*HSTECH!$B$31*HSTECH!$G$31/HSTECH!$B$3,""))</f>
        <v/>
      </c>
      <c r="DQ140" s="161">
        <f>IF(BC140="","",IFERROR(BC140*HSTECH!$B$31*HSTECH!$G$31/HSTECH!$B$3,""))</f>
        <v/>
      </c>
      <c r="DR140" s="161">
        <f>IF(BD140="","",IFERROR(BD140*HSTECH!$B$31*HSTECH!$G$31/HSTECH!$B$3,""))</f>
        <v/>
      </c>
      <c r="DS140" s="161">
        <f>IF(BE140="","",IFERROR(BE140*HSTECH!$B$31*HSTECH!$G$31/HSTECH!$B$3,""))</f>
        <v/>
      </c>
      <c r="DT140" s="161">
        <f>IF(BF140="","",IFERROR(BF140*HSTECH!$B$31*HSTECH!$G$31/HSTECH!$B$3,""))</f>
        <v/>
      </c>
      <c r="DU140" s="161">
        <f>IF(BG140="","",IFERROR(BG140*HSTECH!$B$31*HSTECH!$G$31/HSTECH!$B$3,""))</f>
        <v/>
      </c>
      <c r="DV140" s="161">
        <f>IF(BH140="","",IFERROR(BH140*HSTECH!$B$31*HSTECH!$G$31/HSTECH!$B$3,""))</f>
        <v/>
      </c>
      <c r="DW140" s="161">
        <f>IF(BI140="","",IFERROR(BI140*HSTECH!$B$31*HSTECH!$G$31/HSTECH!$B$3,""))</f>
        <v/>
      </c>
      <c r="DX140" s="161">
        <f>IF(BJ140="","",IFERROR(BJ140*HSTECH!$B$31*HSTECH!$G$31/HSTECH!$B$3,""))</f>
        <v/>
      </c>
      <c r="DY140" s="161">
        <f>IF(BK140="","",IFERROR(BK140*HSTECH!$B$31*HSTECH!$G$31/HSTECH!$B$3,""))</f>
        <v/>
      </c>
      <c r="DZ140" s="161">
        <f>IF(BL140="","",IFERROR(BL140*HSTECH!$B$31*HSTECH!$G$31/HSTECH!$B$3,""))</f>
        <v/>
      </c>
      <c r="EA140" s="161">
        <f>IF(BM140="","",IFERROR(BM140*HSTECH!$B$31*HSTECH!$G$31/HSTECH!$B$3,""))</f>
        <v/>
      </c>
      <c r="EB140" s="161">
        <f>IF(BN140="","",IFERROR(BN140*HSTECH!$B$31*HSTECH!$G$31/HSTECH!$B$3,""))</f>
        <v/>
      </c>
      <c r="EC140" s="161">
        <f>IF(BO140="","",IFERROR(BO140*HSTECH!$B$31*HSTECH!$G$31/HSTECH!$B$3,""))</f>
        <v/>
      </c>
      <c r="EE140" s="121">
        <f>IF(N('Dvd Calendar'!$E$1380)=0,"",IF(('Dvd Calendar'!$E$1380&gt;=GRID_FROM)*('Dvd Calendar'!$E$1380&lt;=GRID_TO)*((('Dvd Calendar'!$E$1380&lt;=VAL_DATE)+(COUNTIF('Dvd Calendar'!$E$1387:$AR$1387,'Dvd Calendar'!$E$1380)=0))&gt;0)=0,"",'Dvd Calendar'!$E$1380*1000000000+ISNUMBER('Dvd Calendar'!$E$1383)*100000000+('Dvd Calendar'!$E$1385=SPECIAL_LBL)*10000000+(N('Dvd Calendar'!$E$1379)&gt;0)*(N('Dvd Calendar'!$E$1379)&lt;=VAL_SERIAL)*1000000+25*1000+1))</f>
        <v/>
      </c>
      <c r="EF140" s="121">
        <f>IF(N('Dvd Calendar'!$F$1380)=0,"",IF(('Dvd Calendar'!$F$1380&gt;=GRID_FROM)*('Dvd Calendar'!$F$1380&lt;=GRID_TO)*((('Dvd Calendar'!$F$1380&lt;=VAL_DATE)+(COUNTIF('Dvd Calendar'!$E$1387:$AR$1387,'Dvd Calendar'!$F$1380)=0))&gt;0)=0,"",'Dvd Calendar'!$F$1380*1000000000+ISNUMBER('Dvd Calendar'!$F$1383)*100000000+('Dvd Calendar'!$F$1385=SPECIAL_LBL)*10000000+(N('Dvd Calendar'!$F$1379)&gt;0)*(N('Dvd Calendar'!$F$1379)&lt;=VAL_SERIAL)*1000000+25*1000+2))</f>
        <v/>
      </c>
      <c r="EG140" s="121">
        <f>IF(N('Dvd Calendar'!$G$1380)=0,"",IF(('Dvd Calendar'!$G$1380&gt;=GRID_FROM)*('Dvd Calendar'!$G$1380&lt;=GRID_TO)*((('Dvd Calendar'!$G$1380&lt;=VAL_DATE)+(COUNTIF('Dvd Calendar'!$E$1387:$AR$1387,'Dvd Calendar'!$G$1380)=0))&gt;0)=0,"",'Dvd Calendar'!$G$1380*1000000000+ISNUMBER('Dvd Calendar'!$G$1383)*100000000+('Dvd Calendar'!$G$1385=SPECIAL_LBL)*10000000+(N('Dvd Calendar'!$G$1379)&gt;0)*(N('Dvd Calendar'!$G$1379)&lt;=VAL_SERIAL)*1000000+25*1000+3))</f>
        <v/>
      </c>
      <c r="EH140" s="121">
        <f>IF(N('Dvd Calendar'!$H$1380)=0,"",IF(('Dvd Calendar'!$H$1380&gt;=GRID_FROM)*('Dvd Calendar'!$H$1380&lt;=GRID_TO)*((('Dvd Calendar'!$H$1380&lt;=VAL_DATE)+(COUNTIF('Dvd Calendar'!$E$1387:$AR$1387,'Dvd Calendar'!$H$1380)=0))&gt;0)=0,"",'Dvd Calendar'!$H$1380*1000000000+ISNUMBER('Dvd Calendar'!$H$1383)*100000000+('Dvd Calendar'!$H$1385=SPECIAL_LBL)*10000000+(N('Dvd Calendar'!$H$1379)&gt;0)*(N('Dvd Calendar'!$H$1379)&lt;=VAL_SERIAL)*1000000+25*1000+4))</f>
        <v/>
      </c>
      <c r="EI140" s="121">
        <f>IF(N('Dvd Calendar'!$I$1380)=0,"",IF(('Dvd Calendar'!$I$1380&gt;=GRID_FROM)*('Dvd Calendar'!$I$1380&lt;=GRID_TO)*((('Dvd Calendar'!$I$1380&lt;=VAL_DATE)+(COUNTIF('Dvd Calendar'!$E$1387:$AR$1387,'Dvd Calendar'!$I$1380)=0))&gt;0)=0,"",'Dvd Calendar'!$I$1380*1000000000+ISNUMBER('Dvd Calendar'!$I$1383)*100000000+('Dvd Calendar'!$I$1385=SPECIAL_LBL)*10000000+(N('Dvd Calendar'!$I$1379)&gt;0)*(N('Dvd Calendar'!$I$1379)&lt;=VAL_SERIAL)*1000000+25*1000+5))</f>
        <v/>
      </c>
      <c r="EJ140" s="121">
        <f>IF(N('Dvd Calendar'!$J$1380)=0,"",IF(('Dvd Calendar'!$J$1380&gt;=GRID_FROM)*('Dvd Calendar'!$J$1380&lt;=GRID_TO)*((('Dvd Calendar'!$J$1380&lt;=VAL_DATE)+(COUNTIF('Dvd Calendar'!$E$1387:$AR$1387,'Dvd Calendar'!$J$1380)=0))&gt;0)=0,"",'Dvd Calendar'!$J$1380*1000000000+ISNUMBER('Dvd Calendar'!$J$1383)*100000000+('Dvd Calendar'!$J$1385=SPECIAL_LBL)*10000000+(N('Dvd Calendar'!$J$1379)&gt;0)*(N('Dvd Calendar'!$J$1379)&lt;=VAL_SERIAL)*1000000+25*1000+6))</f>
        <v/>
      </c>
      <c r="EK140" s="121">
        <f>IF(N('Dvd Calendar'!$K$1380)=0,"",IF(('Dvd Calendar'!$K$1380&gt;=GRID_FROM)*('Dvd Calendar'!$K$1380&lt;=GRID_TO)*((('Dvd Calendar'!$K$1380&lt;=VAL_DATE)+(COUNTIF('Dvd Calendar'!$E$1387:$AR$1387,'Dvd Calendar'!$K$1380)=0))&gt;0)=0,"",'Dvd Calendar'!$K$1380*1000000000+ISNUMBER('Dvd Calendar'!$K$1383)*100000000+('Dvd Calendar'!$K$1385=SPECIAL_LBL)*10000000+(N('Dvd Calendar'!$K$1379)&gt;0)*(N('Dvd Calendar'!$K$1379)&lt;=VAL_SERIAL)*1000000+25*1000+7))</f>
        <v/>
      </c>
      <c r="EL140" s="121">
        <f>IF(N('Dvd Calendar'!$L$1380)=0,"",IF(('Dvd Calendar'!$L$1380&gt;=GRID_FROM)*('Dvd Calendar'!$L$1380&lt;=GRID_TO)*((('Dvd Calendar'!$L$1380&lt;=VAL_DATE)+(COUNTIF('Dvd Calendar'!$E$1387:$AR$1387,'Dvd Calendar'!$L$1380)=0))&gt;0)=0,"",'Dvd Calendar'!$L$1380*1000000000+ISNUMBER('Dvd Calendar'!$L$1383)*100000000+('Dvd Calendar'!$L$1385=SPECIAL_LBL)*10000000+(N('Dvd Calendar'!$L$1379)&gt;0)*(N('Dvd Calendar'!$L$1379)&lt;=VAL_SERIAL)*1000000+25*1000+8))</f>
        <v/>
      </c>
      <c r="EM140" s="121">
        <f>IF(N('Dvd Calendar'!$M$1380)=0,"",IF(('Dvd Calendar'!$M$1380&gt;=GRID_FROM)*('Dvd Calendar'!$M$1380&lt;=GRID_TO)*((('Dvd Calendar'!$M$1380&lt;=VAL_DATE)+(COUNTIF('Dvd Calendar'!$E$1387:$AR$1387,'Dvd Calendar'!$M$1380)=0))&gt;0)=0,"",'Dvd Calendar'!$M$1380*1000000000+ISNUMBER('Dvd Calendar'!$M$1383)*100000000+('Dvd Calendar'!$M$1385=SPECIAL_LBL)*10000000+(N('Dvd Calendar'!$M$1379)&gt;0)*(N('Dvd Calendar'!$M$1379)&lt;=VAL_SERIAL)*1000000+25*1000+9))</f>
        <v/>
      </c>
      <c r="EN140" s="121">
        <f>IF(N('Dvd Calendar'!$N$1380)=0,"",IF(('Dvd Calendar'!$N$1380&gt;=GRID_FROM)*('Dvd Calendar'!$N$1380&lt;=GRID_TO)*((('Dvd Calendar'!$N$1380&lt;=VAL_DATE)+(COUNTIF('Dvd Calendar'!$E$1387:$AR$1387,'Dvd Calendar'!$N$1380)=0))&gt;0)=0,"",'Dvd Calendar'!$N$1380*1000000000+ISNUMBER('Dvd Calendar'!$N$1383)*100000000+('Dvd Calendar'!$N$1385=SPECIAL_LBL)*10000000+(N('Dvd Calendar'!$N$1379)&gt;0)*(N('Dvd Calendar'!$N$1379)&lt;=VAL_SERIAL)*1000000+25*1000+10))</f>
        <v/>
      </c>
      <c r="EO140" s="121">
        <f>IF(N('Dvd Calendar'!$O$1380)=0,"",IF(('Dvd Calendar'!$O$1380&gt;=GRID_FROM)*('Dvd Calendar'!$O$1380&lt;=GRID_TO)*((('Dvd Calendar'!$O$1380&lt;=VAL_DATE)+(COUNTIF('Dvd Calendar'!$E$1387:$AR$1387,'Dvd Calendar'!$O$1380)=0))&gt;0)=0,"",'Dvd Calendar'!$O$1380*1000000000+ISNUMBER('Dvd Calendar'!$O$1383)*100000000+('Dvd Calendar'!$O$1385=SPECIAL_LBL)*10000000+(N('Dvd Calendar'!$O$1379)&gt;0)*(N('Dvd Calendar'!$O$1379)&lt;=VAL_SERIAL)*1000000+25*1000+11))</f>
        <v/>
      </c>
      <c r="EP140" s="121">
        <f>IF(N('Dvd Calendar'!$P$1380)=0,"",IF(('Dvd Calendar'!$P$1380&gt;=GRID_FROM)*('Dvd Calendar'!$P$1380&lt;=GRID_TO)*((('Dvd Calendar'!$P$1380&lt;=VAL_DATE)+(COUNTIF('Dvd Calendar'!$E$1387:$AR$1387,'Dvd Calendar'!$P$1380)=0))&gt;0)=0,"",'Dvd Calendar'!$P$1380*1000000000+ISNUMBER('Dvd Calendar'!$P$1383)*100000000+('Dvd Calendar'!$P$1385=SPECIAL_LBL)*10000000+(N('Dvd Calendar'!$P$1379)&gt;0)*(N('Dvd Calendar'!$P$1379)&lt;=VAL_SERIAL)*1000000+25*1000+12))</f>
        <v/>
      </c>
      <c r="EQ140" s="121">
        <f>IF(N('Dvd Calendar'!$Q$1380)=0,"",IF(('Dvd Calendar'!$Q$1380&gt;=GRID_FROM)*('Dvd Calendar'!$Q$1380&lt;=GRID_TO)*((('Dvd Calendar'!$Q$1380&lt;=VAL_DATE)+(COUNTIF('Dvd Calendar'!$E$1387:$AR$1387,'Dvd Calendar'!$Q$1380)=0))&gt;0)=0,"",'Dvd Calendar'!$Q$1380*1000000000+ISNUMBER('Dvd Calendar'!$Q$1383)*100000000+('Dvd Calendar'!$Q$1385=SPECIAL_LBL)*10000000+(N('Dvd Calendar'!$Q$1379)&gt;0)*(N('Dvd Calendar'!$Q$1379)&lt;=VAL_SERIAL)*1000000+25*1000+13))</f>
        <v/>
      </c>
      <c r="ER140" s="121">
        <f>IF(N('Dvd Calendar'!$R$1380)=0,"",IF(('Dvd Calendar'!$R$1380&gt;=GRID_FROM)*('Dvd Calendar'!$R$1380&lt;=GRID_TO)*((('Dvd Calendar'!$R$1380&lt;=VAL_DATE)+(COUNTIF('Dvd Calendar'!$E$1387:$AR$1387,'Dvd Calendar'!$R$1380)=0))&gt;0)=0,"",'Dvd Calendar'!$R$1380*1000000000+ISNUMBER('Dvd Calendar'!$R$1383)*100000000+('Dvd Calendar'!$R$1385=SPECIAL_LBL)*10000000+(N('Dvd Calendar'!$R$1379)&gt;0)*(N('Dvd Calendar'!$R$1379)&lt;=VAL_SERIAL)*1000000+25*1000+14))</f>
        <v/>
      </c>
      <c r="ES140" s="121">
        <f>IF(N('Dvd Calendar'!$S$1380)=0,"",IF(('Dvd Calendar'!$S$1380&gt;=GRID_FROM)*('Dvd Calendar'!$S$1380&lt;=GRID_TO)*((('Dvd Calendar'!$S$1380&lt;=VAL_DATE)+(COUNTIF('Dvd Calendar'!$E$1387:$AR$1387,'Dvd Calendar'!$S$1380)=0))&gt;0)=0,"",'Dvd Calendar'!$S$1380*1000000000+ISNUMBER('Dvd Calendar'!$S$1383)*100000000+('Dvd Calendar'!$S$1385=SPECIAL_LBL)*10000000+(N('Dvd Calendar'!$S$1379)&gt;0)*(N('Dvd Calendar'!$S$1379)&lt;=VAL_SERIAL)*1000000+25*1000+15))</f>
        <v/>
      </c>
      <c r="ET140" s="121">
        <f>IF(N('Dvd Calendar'!$T$1380)=0,"",IF(('Dvd Calendar'!$T$1380&gt;=GRID_FROM)*('Dvd Calendar'!$T$1380&lt;=GRID_TO)*((('Dvd Calendar'!$T$1380&lt;=VAL_DATE)+(COUNTIF('Dvd Calendar'!$E$1387:$AR$1387,'Dvd Calendar'!$T$1380)=0))&gt;0)=0,"",'Dvd Calendar'!$T$1380*1000000000+ISNUMBER('Dvd Calendar'!$T$1383)*100000000+('Dvd Calendar'!$T$1385=SPECIAL_LBL)*10000000+(N('Dvd Calendar'!$T$1379)&gt;0)*(N('Dvd Calendar'!$T$1379)&lt;=VAL_SERIAL)*1000000+25*1000+16))</f>
        <v/>
      </c>
      <c r="EU140" s="121">
        <f>IF(N('Dvd Calendar'!$U$1380)=0,"",IF(('Dvd Calendar'!$U$1380&gt;=GRID_FROM)*('Dvd Calendar'!$U$1380&lt;=GRID_TO)*((('Dvd Calendar'!$U$1380&lt;=VAL_DATE)+(COUNTIF('Dvd Calendar'!$E$1387:$AR$1387,'Dvd Calendar'!$U$1380)=0))&gt;0)=0,"",'Dvd Calendar'!$U$1380*1000000000+ISNUMBER('Dvd Calendar'!$U$1383)*100000000+('Dvd Calendar'!$U$1385=SPECIAL_LBL)*10000000+(N('Dvd Calendar'!$U$1379)&gt;0)*(N('Dvd Calendar'!$U$1379)&lt;=VAL_SERIAL)*1000000+25*1000+17))</f>
        <v/>
      </c>
      <c r="EV140" s="121">
        <f>IF(N('Dvd Calendar'!$V$1380)=0,"",IF(('Dvd Calendar'!$V$1380&gt;=GRID_FROM)*('Dvd Calendar'!$V$1380&lt;=GRID_TO)*((('Dvd Calendar'!$V$1380&lt;=VAL_DATE)+(COUNTIF('Dvd Calendar'!$E$1387:$AR$1387,'Dvd Calendar'!$V$1380)=0))&gt;0)=0,"",'Dvd Calendar'!$V$1380*1000000000+ISNUMBER('Dvd Calendar'!$V$1383)*100000000+('Dvd Calendar'!$V$1385=SPECIAL_LBL)*10000000+(N('Dvd Calendar'!$V$1379)&gt;0)*(N('Dvd Calendar'!$V$1379)&lt;=VAL_SERIAL)*1000000+25*1000+18))</f>
        <v/>
      </c>
      <c r="EW140" s="121">
        <f>IF(N('Dvd Calendar'!$W$1380)=0,"",IF(('Dvd Calendar'!$W$1380&gt;=GRID_FROM)*('Dvd Calendar'!$W$1380&lt;=GRID_TO)*((('Dvd Calendar'!$W$1380&lt;=VAL_DATE)+(COUNTIF('Dvd Calendar'!$E$1387:$AR$1387,'Dvd Calendar'!$W$1380)=0))&gt;0)=0,"",'Dvd Calendar'!$W$1380*1000000000+ISNUMBER('Dvd Calendar'!$W$1383)*100000000+('Dvd Calendar'!$W$1385=SPECIAL_LBL)*10000000+(N('Dvd Calendar'!$W$1379)&gt;0)*(N('Dvd Calendar'!$W$1379)&lt;=VAL_SERIAL)*1000000+25*1000+19))</f>
        <v/>
      </c>
      <c r="EX140" s="121">
        <f>IF(N('Dvd Calendar'!$X$1380)=0,"",IF(('Dvd Calendar'!$X$1380&gt;=GRID_FROM)*('Dvd Calendar'!$X$1380&lt;=GRID_TO)*((('Dvd Calendar'!$X$1380&lt;=VAL_DATE)+(COUNTIF('Dvd Calendar'!$E$1387:$AR$1387,'Dvd Calendar'!$X$1380)=0))&gt;0)=0,"",'Dvd Calendar'!$X$1380*1000000000+ISNUMBER('Dvd Calendar'!$X$1383)*100000000+('Dvd Calendar'!$X$1385=SPECIAL_LBL)*10000000+(N('Dvd Calendar'!$X$1379)&gt;0)*(N('Dvd Calendar'!$X$1379)&lt;=VAL_SERIAL)*1000000+25*1000+20))</f>
        <v/>
      </c>
      <c r="EY140" s="121">
        <f>IF(N('Dvd Calendar'!$Y$1380)=0,"",IF(('Dvd Calendar'!$Y$1380&gt;=GRID_FROM)*('Dvd Calendar'!$Y$1380&lt;=GRID_TO)*((('Dvd Calendar'!$Y$1380&lt;=VAL_DATE)+(COUNTIF('Dvd Calendar'!$E$1387:$AR$1387,'Dvd Calendar'!$Y$1380)=0))&gt;0)=0,"",'Dvd Calendar'!$Y$1380*1000000000+ISNUMBER('Dvd Calendar'!$Y$1383)*100000000+('Dvd Calendar'!$Y$1385=SPECIAL_LBL)*10000000+(N('Dvd Calendar'!$Y$1379)&gt;0)*(N('Dvd Calendar'!$Y$1379)&lt;=VAL_SERIAL)*1000000+25*1000+21))</f>
        <v/>
      </c>
      <c r="EZ140" s="121">
        <f>IF(N('Dvd Calendar'!$Z$1380)=0,"",IF(('Dvd Calendar'!$Z$1380&gt;=GRID_FROM)*('Dvd Calendar'!$Z$1380&lt;=GRID_TO)*((('Dvd Calendar'!$Z$1380&lt;=VAL_DATE)+(COUNTIF('Dvd Calendar'!$E$1387:$AR$1387,'Dvd Calendar'!$Z$1380)=0))&gt;0)=0,"",'Dvd Calendar'!$Z$1380*1000000000+ISNUMBER('Dvd Calendar'!$Z$1383)*100000000+('Dvd Calendar'!$Z$1385=SPECIAL_LBL)*10000000+(N('Dvd Calendar'!$Z$1379)&gt;0)*(N('Dvd Calendar'!$Z$1379)&lt;=VAL_SERIAL)*1000000+25*1000+22))</f>
        <v/>
      </c>
      <c r="FA140" s="121">
        <f>IF(N('Dvd Calendar'!$AA$1380)=0,"",IF(('Dvd Calendar'!$AA$1380&gt;=GRID_FROM)*('Dvd Calendar'!$AA$1380&lt;=GRID_TO)*((('Dvd Calendar'!$AA$1380&lt;=VAL_DATE)+(COUNTIF('Dvd Calendar'!$E$1387:$AR$1387,'Dvd Calendar'!$AA$1380)=0))&gt;0)=0,"",'Dvd Calendar'!$AA$1380*1000000000+ISNUMBER('Dvd Calendar'!$AA$1383)*100000000+('Dvd Calendar'!$AA$1385=SPECIAL_LBL)*10000000+(N('Dvd Calendar'!$AA$1379)&gt;0)*(N('Dvd Calendar'!$AA$1379)&lt;=VAL_SERIAL)*1000000+25*1000+23))</f>
        <v/>
      </c>
      <c r="FB140" s="121">
        <f>IF(N('Dvd Calendar'!$AB$1380)=0,"",IF(('Dvd Calendar'!$AB$1380&gt;=GRID_FROM)*('Dvd Calendar'!$AB$1380&lt;=GRID_TO)*((('Dvd Calendar'!$AB$1380&lt;=VAL_DATE)+(COUNTIF('Dvd Calendar'!$E$1387:$AR$1387,'Dvd Calendar'!$AB$1380)=0))&gt;0)=0,"",'Dvd Calendar'!$AB$1380*1000000000+ISNUMBER('Dvd Calendar'!$AB$1383)*100000000+('Dvd Calendar'!$AB$1385=SPECIAL_LBL)*10000000+(N('Dvd Calendar'!$AB$1379)&gt;0)*(N('Dvd Calendar'!$AB$1379)&lt;=VAL_SERIAL)*1000000+25*1000+24))</f>
        <v/>
      </c>
      <c r="FC140" s="121">
        <f>IF(N('Dvd Calendar'!$AC$1380)=0,"",IF(('Dvd Calendar'!$AC$1380&gt;=GRID_FROM)*('Dvd Calendar'!$AC$1380&lt;=GRID_TO)*((('Dvd Calendar'!$AC$1380&lt;=VAL_DATE)+(COUNTIF('Dvd Calendar'!$E$1387:$AR$1387,'Dvd Calendar'!$AC$1380)=0))&gt;0)=0,"",'Dvd Calendar'!$AC$1380*1000000000+ISNUMBER('Dvd Calendar'!$AC$1383)*100000000+('Dvd Calendar'!$AC$1385=SPECIAL_LBL)*10000000+(N('Dvd Calendar'!$AC$1379)&gt;0)*(N('Dvd Calendar'!$AC$1379)&lt;=VAL_SERIAL)*1000000+25*1000+25))</f>
        <v/>
      </c>
      <c r="FD140" s="121">
        <f>IF(N('Dvd Calendar'!$AD$1380)=0,"",IF(('Dvd Calendar'!$AD$1380&gt;=GRID_FROM)*('Dvd Calendar'!$AD$1380&lt;=GRID_TO)*((('Dvd Calendar'!$AD$1380&lt;=VAL_DATE)+(COUNTIF('Dvd Calendar'!$E$1387:$AR$1387,'Dvd Calendar'!$AD$1380)=0))&gt;0)=0,"",'Dvd Calendar'!$AD$1380*1000000000+ISNUMBER('Dvd Calendar'!$AD$1383)*100000000+('Dvd Calendar'!$AD$1385=SPECIAL_LBL)*10000000+(N('Dvd Calendar'!$AD$1379)&gt;0)*(N('Dvd Calendar'!$AD$1379)&lt;=VAL_SERIAL)*1000000+25*1000+26))</f>
        <v/>
      </c>
      <c r="FE140" s="121">
        <f>IF(N('Dvd Calendar'!$AE$1380)=0,"",IF(('Dvd Calendar'!$AE$1380&gt;=GRID_FROM)*('Dvd Calendar'!$AE$1380&lt;=GRID_TO)*((('Dvd Calendar'!$AE$1380&lt;=VAL_DATE)+(COUNTIF('Dvd Calendar'!$E$1387:$AR$1387,'Dvd Calendar'!$AE$1380)=0))&gt;0)=0,"",'Dvd Calendar'!$AE$1380*1000000000+ISNUMBER('Dvd Calendar'!$AE$1383)*100000000+('Dvd Calendar'!$AE$1385=SPECIAL_LBL)*10000000+(N('Dvd Calendar'!$AE$1379)&gt;0)*(N('Dvd Calendar'!$AE$1379)&lt;=VAL_SERIAL)*1000000+25*1000+27))</f>
        <v/>
      </c>
      <c r="FF140" s="121">
        <f>IF(N('Dvd Calendar'!$AF$1380)=0,"",IF(('Dvd Calendar'!$AF$1380&gt;=GRID_FROM)*('Dvd Calendar'!$AF$1380&lt;=GRID_TO)*((('Dvd Calendar'!$AF$1380&lt;=VAL_DATE)+(COUNTIF('Dvd Calendar'!$E$1387:$AR$1387,'Dvd Calendar'!$AF$1380)=0))&gt;0)=0,"",'Dvd Calendar'!$AF$1380*1000000000+ISNUMBER('Dvd Calendar'!$AF$1383)*100000000+('Dvd Calendar'!$AF$1385=SPECIAL_LBL)*10000000+(N('Dvd Calendar'!$AF$1379)&gt;0)*(N('Dvd Calendar'!$AF$1379)&lt;=VAL_SERIAL)*1000000+25*1000+28))</f>
        <v/>
      </c>
      <c r="FG140" s="121">
        <f>IF(N('Dvd Calendar'!$AG$1380)=0,"",IF(('Dvd Calendar'!$AG$1380&gt;=GRID_FROM)*('Dvd Calendar'!$AG$1380&lt;=GRID_TO)*((('Dvd Calendar'!$AG$1380&lt;=VAL_DATE)+(COUNTIF('Dvd Calendar'!$E$1387:$AR$1387,'Dvd Calendar'!$AG$1380)=0))&gt;0)=0,"",'Dvd Calendar'!$AG$1380*1000000000+ISNUMBER('Dvd Calendar'!$AG$1383)*100000000+('Dvd Calendar'!$AG$1385=SPECIAL_LBL)*10000000+(N('Dvd Calendar'!$AG$1379)&gt;0)*(N('Dvd Calendar'!$AG$1379)&lt;=VAL_SERIAL)*1000000+25*1000+29))</f>
        <v/>
      </c>
      <c r="FH140" s="121">
        <f>IF(N('Dvd Calendar'!$AH$1380)=0,"",IF(('Dvd Calendar'!$AH$1380&gt;=GRID_FROM)*('Dvd Calendar'!$AH$1380&lt;=GRID_TO)*((('Dvd Calendar'!$AH$1380&lt;=VAL_DATE)+(COUNTIF('Dvd Calendar'!$E$1387:$AR$1387,'Dvd Calendar'!$AH$1380)=0))&gt;0)=0,"",'Dvd Calendar'!$AH$1380*1000000000+ISNUMBER('Dvd Calendar'!$AH$1383)*100000000+('Dvd Calendar'!$AH$1385=SPECIAL_LBL)*10000000+(N('Dvd Calendar'!$AH$1379)&gt;0)*(N('Dvd Calendar'!$AH$1379)&lt;=VAL_SERIAL)*1000000+25*1000+30))</f>
        <v/>
      </c>
      <c r="FI140" s="121">
        <f>IF(N('Dvd Calendar'!$AI$1380)=0,"",IF(('Dvd Calendar'!$AI$1380&gt;=GRID_FROM)*('Dvd Calendar'!$AI$1380&lt;=GRID_TO)*((('Dvd Calendar'!$AI$1380&lt;=VAL_DATE)+(COUNTIF('Dvd Calendar'!$E$1387:$AR$1387,'Dvd Calendar'!$AI$1380)=0))&gt;0)=0,"",'Dvd Calendar'!$AI$1380*1000000000+ISNUMBER('Dvd Calendar'!$AI$1383)*100000000+('Dvd Calendar'!$AI$1385=SPECIAL_LBL)*10000000+(N('Dvd Calendar'!$AI$1379)&gt;0)*(N('Dvd Calendar'!$AI$1379)&lt;=VAL_SERIAL)*1000000+25*1000+31))</f>
        <v/>
      </c>
      <c r="FJ140" s="121">
        <f>IF(N('Dvd Calendar'!$AJ$1380)=0,"",IF(('Dvd Calendar'!$AJ$1380&gt;=GRID_FROM)*('Dvd Calendar'!$AJ$1380&lt;=GRID_TO)*((('Dvd Calendar'!$AJ$1380&lt;=VAL_DATE)+(COUNTIF('Dvd Calendar'!$E$1387:$AR$1387,'Dvd Calendar'!$AJ$1380)=0))&gt;0)=0,"",'Dvd Calendar'!$AJ$1380*1000000000+ISNUMBER('Dvd Calendar'!$AJ$1383)*100000000+('Dvd Calendar'!$AJ$1385=SPECIAL_LBL)*10000000+(N('Dvd Calendar'!$AJ$1379)&gt;0)*(N('Dvd Calendar'!$AJ$1379)&lt;=VAL_SERIAL)*1000000+25*1000+32))</f>
        <v/>
      </c>
      <c r="FK140" s="121">
        <f>IF(N('Dvd Calendar'!$AK$1380)=0,"",IF(('Dvd Calendar'!$AK$1380&gt;=GRID_FROM)*('Dvd Calendar'!$AK$1380&lt;=GRID_TO)*((('Dvd Calendar'!$AK$1380&lt;=VAL_DATE)+(COUNTIF('Dvd Calendar'!$E$1387:$AR$1387,'Dvd Calendar'!$AK$1380)=0))&gt;0)=0,"",'Dvd Calendar'!$AK$1380*1000000000+ISNUMBER('Dvd Calendar'!$AK$1383)*100000000+('Dvd Calendar'!$AK$1385=SPECIAL_LBL)*10000000+(N('Dvd Calendar'!$AK$1379)&gt;0)*(N('Dvd Calendar'!$AK$1379)&lt;=VAL_SERIAL)*1000000+25*1000+33))</f>
        <v/>
      </c>
      <c r="FL140" s="121">
        <f>IF(N('Dvd Calendar'!$AL$1380)=0,"",IF(('Dvd Calendar'!$AL$1380&gt;=GRID_FROM)*('Dvd Calendar'!$AL$1380&lt;=GRID_TO)*((('Dvd Calendar'!$AL$1380&lt;=VAL_DATE)+(COUNTIF('Dvd Calendar'!$E$1387:$AR$1387,'Dvd Calendar'!$AL$1380)=0))&gt;0)=0,"",'Dvd Calendar'!$AL$1380*1000000000+ISNUMBER('Dvd Calendar'!$AL$1383)*100000000+('Dvd Calendar'!$AL$1385=SPECIAL_LBL)*10000000+(N('Dvd Calendar'!$AL$1379)&gt;0)*(N('Dvd Calendar'!$AL$1379)&lt;=VAL_SERIAL)*1000000+25*1000+34))</f>
        <v/>
      </c>
      <c r="FM140" s="121">
        <f>IF(N('Dvd Calendar'!$AM$1380)=0,"",IF(('Dvd Calendar'!$AM$1380&gt;=GRID_FROM)*('Dvd Calendar'!$AM$1380&lt;=GRID_TO)*((('Dvd Calendar'!$AM$1380&lt;=VAL_DATE)+(COUNTIF('Dvd Calendar'!$E$1387:$AR$1387,'Dvd Calendar'!$AM$1380)=0))&gt;0)=0,"",'Dvd Calendar'!$AM$1380*1000000000+ISNUMBER('Dvd Calendar'!$AM$1383)*100000000+('Dvd Calendar'!$AM$1385=SPECIAL_LBL)*10000000+(N('Dvd Calendar'!$AM$1379)&gt;0)*(N('Dvd Calendar'!$AM$1379)&lt;=VAL_SERIAL)*1000000+25*1000+35))</f>
        <v/>
      </c>
      <c r="FN140" s="121">
        <f>IF(N('Dvd Calendar'!$AN$1380)=0,"",IF(('Dvd Calendar'!$AN$1380&gt;=GRID_FROM)*('Dvd Calendar'!$AN$1380&lt;=GRID_TO)*((('Dvd Calendar'!$AN$1380&lt;=VAL_DATE)+(COUNTIF('Dvd Calendar'!$E$1387:$AR$1387,'Dvd Calendar'!$AN$1380)=0))&gt;0)=0,"",'Dvd Calendar'!$AN$1380*1000000000+ISNUMBER('Dvd Calendar'!$AN$1383)*100000000+('Dvd Calendar'!$AN$1385=SPECIAL_LBL)*10000000+(N('Dvd Calendar'!$AN$1379)&gt;0)*(N('Dvd Calendar'!$AN$1379)&lt;=VAL_SERIAL)*1000000+25*1000+36))</f>
        <v/>
      </c>
      <c r="FO140" s="121">
        <f>IF(N('Dvd Calendar'!$AO$1380)=0,"",IF(('Dvd Calendar'!$AO$1380&gt;=GRID_FROM)*('Dvd Calendar'!$AO$1380&lt;=GRID_TO)*((('Dvd Calendar'!$AO$1380&lt;=VAL_DATE)+(COUNTIF('Dvd Calendar'!$E$1387:$AR$1387,'Dvd Calendar'!$AO$1380)=0))&gt;0)=0,"",'Dvd Calendar'!$AO$1380*1000000000+ISNUMBER('Dvd Calendar'!$AO$1383)*100000000+('Dvd Calendar'!$AO$1385=SPECIAL_LBL)*10000000+(N('Dvd Calendar'!$AO$1379)&gt;0)*(N('Dvd Calendar'!$AO$1379)&lt;=VAL_SERIAL)*1000000+25*1000+37))</f>
        <v/>
      </c>
      <c r="FP140" s="121">
        <f>IF(N('Dvd Calendar'!$AP$1380)=0,"",IF(('Dvd Calendar'!$AP$1380&gt;=GRID_FROM)*('Dvd Calendar'!$AP$1380&lt;=GRID_TO)*((('Dvd Calendar'!$AP$1380&lt;=VAL_DATE)+(COUNTIF('Dvd Calendar'!$E$1387:$AR$1387,'Dvd Calendar'!$AP$1380)=0))&gt;0)=0,"",'Dvd Calendar'!$AP$1380*1000000000+ISNUMBER('Dvd Calendar'!$AP$1383)*100000000+('Dvd Calendar'!$AP$1385=SPECIAL_LBL)*10000000+(N('Dvd Calendar'!$AP$1379)&gt;0)*(N('Dvd Calendar'!$AP$1379)&lt;=VAL_SERIAL)*1000000+25*1000+38))</f>
        <v/>
      </c>
      <c r="FQ140" s="121">
        <f>IF(N('Dvd Calendar'!$AQ$1380)=0,"",IF(('Dvd Calendar'!$AQ$1380&gt;=GRID_FROM)*('Dvd Calendar'!$AQ$1380&lt;=GRID_TO)*((('Dvd Calendar'!$AQ$1380&lt;=VAL_DATE)+(COUNTIF('Dvd Calendar'!$E$1387:$AR$1387,'Dvd Calendar'!$AQ$1380)=0))&gt;0)=0,"",'Dvd Calendar'!$AQ$1380*1000000000+ISNUMBER('Dvd Calendar'!$AQ$1383)*100000000+('Dvd Calendar'!$AQ$1385=SPECIAL_LBL)*10000000+(N('Dvd Calendar'!$AQ$1379)&gt;0)*(N('Dvd Calendar'!$AQ$1379)&lt;=VAL_SERIAL)*1000000+25*1000+39))</f>
        <v/>
      </c>
      <c r="FR140" s="121">
        <f>IF(N('Dvd Calendar'!$AR$1380)=0,"",IF(('Dvd Calendar'!$AR$1380&gt;=GRID_FROM)*('Dvd Calendar'!$AR$1380&lt;=GRID_TO)*((('Dvd Calendar'!$AR$1380&lt;=VAL_DATE)+(COUNTIF('Dvd Calendar'!$E$1387:$AR$1387,'Dvd Calendar'!$AR$1380)=0))&gt;0)=0,"",'Dvd Calendar'!$AR$1380*1000000000+ISNUMBER('Dvd Calendar'!$AR$1383)*100000000+('Dvd Calendar'!$AR$1385=SPECIAL_LBL)*10000000+(N('Dvd Calendar'!$AR$1379)&gt;0)*(N('Dvd Calendar'!$AR$1379)&lt;=VAL_SERIAL)*1000000+25*1000+40))</f>
        <v/>
      </c>
      <c r="FS140" s="121">
        <f>IF(N('Dvd Calendar'!$E$1387)=0,"",IF(('Dvd Calendar'!$E$1387&gt;=GRID_FROM)*('Dvd Calendar'!$E$1387&lt;=GRID_TO)*('Dvd Calendar'!$E$1387&gt;VAL_DATE)=0,"",'Dvd Calendar'!$E$1387*1000000000+ISNUMBER('Dvd Calendar'!$E$1388)*100000000+0*10000000+(N('Dvd Calendar'!$E$1386)&gt;0)*(N('Dvd Calendar'!$E$1386)&lt;=VAL_SERIAL)*1000000+25*1000+41))</f>
        <v/>
      </c>
      <c r="FT140" s="121">
        <f>IF(N('Dvd Calendar'!$F$1387)=0,"",IF(('Dvd Calendar'!$F$1387&gt;=GRID_FROM)*('Dvd Calendar'!$F$1387&lt;=GRID_TO)*('Dvd Calendar'!$F$1387&gt;VAL_DATE)=0,"",'Dvd Calendar'!$F$1387*1000000000+ISNUMBER('Dvd Calendar'!$F$1388)*100000000+0*10000000+(N('Dvd Calendar'!$F$1386)&gt;0)*(N('Dvd Calendar'!$F$1386)&lt;=VAL_SERIAL)*1000000+25*1000+42))</f>
        <v/>
      </c>
      <c r="FU140" s="121">
        <f>IF(N('Dvd Calendar'!$G$1387)=0,"",IF(('Dvd Calendar'!$G$1387&gt;=GRID_FROM)*('Dvd Calendar'!$G$1387&lt;=GRID_TO)*('Dvd Calendar'!$G$1387&gt;VAL_DATE)=0,"",'Dvd Calendar'!$G$1387*1000000000+ISNUMBER('Dvd Calendar'!$G$1388)*100000000+0*10000000+(N('Dvd Calendar'!$G$1386)&gt;0)*(N('Dvd Calendar'!$G$1386)&lt;=VAL_SERIAL)*1000000+25*1000+43))</f>
        <v/>
      </c>
      <c r="FV140" s="121">
        <f>IF(N('Dvd Calendar'!$H$1387)=0,"",IF(('Dvd Calendar'!$H$1387&gt;=GRID_FROM)*('Dvd Calendar'!$H$1387&lt;=GRID_TO)*('Dvd Calendar'!$H$1387&gt;VAL_DATE)=0,"",'Dvd Calendar'!$H$1387*1000000000+ISNUMBER('Dvd Calendar'!$H$1388)*100000000+0*10000000+(N('Dvd Calendar'!$H$1386)&gt;0)*(N('Dvd Calendar'!$H$1386)&lt;=VAL_SERIAL)*1000000+25*1000+44))</f>
        <v/>
      </c>
      <c r="FW140" s="121">
        <f>IF(N('Dvd Calendar'!$I$1387)=0,"",IF(('Dvd Calendar'!$I$1387&gt;=GRID_FROM)*('Dvd Calendar'!$I$1387&lt;=GRID_TO)*('Dvd Calendar'!$I$1387&gt;VAL_DATE)=0,"",'Dvd Calendar'!$I$1387*1000000000+ISNUMBER('Dvd Calendar'!$I$1388)*100000000+0*10000000+(N('Dvd Calendar'!$I$1386)&gt;0)*(N('Dvd Calendar'!$I$1386)&lt;=VAL_SERIAL)*1000000+25*1000+45))</f>
        <v/>
      </c>
      <c r="FX140" s="121">
        <f>IF(N('Dvd Calendar'!$J$1387)=0,"",IF(('Dvd Calendar'!$J$1387&gt;=GRID_FROM)*('Dvd Calendar'!$J$1387&lt;=GRID_TO)*('Dvd Calendar'!$J$1387&gt;VAL_DATE)=0,"",'Dvd Calendar'!$J$1387*1000000000+ISNUMBER('Dvd Calendar'!$J$1388)*100000000+0*10000000+(N('Dvd Calendar'!$J$1386)&gt;0)*(N('Dvd Calendar'!$J$1386)&lt;=VAL_SERIAL)*1000000+25*1000+46))</f>
        <v/>
      </c>
      <c r="FY140" s="121">
        <f>IF(N('Dvd Calendar'!$K$1387)=0,"",IF(('Dvd Calendar'!$K$1387&gt;=GRID_FROM)*('Dvd Calendar'!$K$1387&lt;=GRID_TO)*('Dvd Calendar'!$K$1387&gt;VAL_DATE)=0,"",'Dvd Calendar'!$K$1387*1000000000+ISNUMBER('Dvd Calendar'!$K$1388)*100000000+0*10000000+(N('Dvd Calendar'!$K$1386)&gt;0)*(N('Dvd Calendar'!$K$1386)&lt;=VAL_SERIAL)*1000000+25*1000+47))</f>
        <v/>
      </c>
      <c r="FZ140" s="121">
        <f>IF(N('Dvd Calendar'!$L$1387)=0,"",IF(('Dvd Calendar'!$L$1387&gt;=GRID_FROM)*('Dvd Calendar'!$L$1387&lt;=GRID_TO)*('Dvd Calendar'!$L$1387&gt;VAL_DATE)=0,"",'Dvd Calendar'!$L$1387*1000000000+ISNUMBER('Dvd Calendar'!$L$1388)*100000000+0*10000000+(N('Dvd Calendar'!$L$1386)&gt;0)*(N('Dvd Calendar'!$L$1386)&lt;=VAL_SERIAL)*1000000+25*1000+48))</f>
        <v/>
      </c>
      <c r="GA140" s="121">
        <f>IF(N('Dvd Calendar'!$M$1387)=0,"",IF(('Dvd Calendar'!$M$1387&gt;=GRID_FROM)*('Dvd Calendar'!$M$1387&lt;=GRID_TO)*('Dvd Calendar'!$M$1387&gt;VAL_DATE)=0,"",'Dvd Calendar'!$M$1387*1000000000+ISNUMBER('Dvd Calendar'!$M$1388)*100000000+0*10000000+(N('Dvd Calendar'!$M$1386)&gt;0)*(N('Dvd Calendar'!$M$1386)&lt;=VAL_SERIAL)*1000000+25*1000+49))</f>
        <v/>
      </c>
      <c r="GB140" s="121">
        <f>IF(N('Dvd Calendar'!$N$1387)=0,"",IF(('Dvd Calendar'!$N$1387&gt;=GRID_FROM)*('Dvd Calendar'!$N$1387&lt;=GRID_TO)*('Dvd Calendar'!$N$1387&gt;VAL_DATE)=0,"",'Dvd Calendar'!$N$1387*1000000000+ISNUMBER('Dvd Calendar'!$N$1388)*100000000+0*10000000+(N('Dvd Calendar'!$N$1386)&gt;0)*(N('Dvd Calendar'!$N$1386)&lt;=VAL_SERIAL)*1000000+25*1000+50))</f>
        <v/>
      </c>
      <c r="GC140" s="121">
        <f>IF(N('Dvd Calendar'!$O$1387)=0,"",IF(('Dvd Calendar'!$O$1387&gt;=GRID_FROM)*('Dvd Calendar'!$O$1387&lt;=GRID_TO)*('Dvd Calendar'!$O$1387&gt;VAL_DATE)=0,"",'Dvd Calendar'!$O$1387*1000000000+ISNUMBER('Dvd Calendar'!$O$1388)*100000000+0*10000000+(N('Dvd Calendar'!$O$1386)&gt;0)*(N('Dvd Calendar'!$O$1386)&lt;=VAL_SERIAL)*1000000+25*1000+51))</f>
        <v/>
      </c>
      <c r="GD140" s="121">
        <f>IF(N('Dvd Calendar'!$P$1387)=0,"",IF(('Dvd Calendar'!$P$1387&gt;=GRID_FROM)*('Dvd Calendar'!$P$1387&lt;=GRID_TO)*('Dvd Calendar'!$P$1387&gt;VAL_DATE)=0,"",'Dvd Calendar'!$P$1387*1000000000+ISNUMBER('Dvd Calendar'!$P$1388)*100000000+0*10000000+(N('Dvd Calendar'!$P$1386)&gt;0)*(N('Dvd Calendar'!$P$1386)&lt;=VAL_SERIAL)*1000000+25*1000+52))</f>
        <v/>
      </c>
      <c r="GE140" s="121">
        <f>IF(N('Dvd Calendar'!$Q$1387)=0,"",IF(('Dvd Calendar'!$Q$1387&gt;=GRID_FROM)*('Dvd Calendar'!$Q$1387&lt;=GRID_TO)*('Dvd Calendar'!$Q$1387&gt;VAL_DATE)=0,"",'Dvd Calendar'!$Q$1387*1000000000+ISNUMBER('Dvd Calendar'!$Q$1388)*100000000+0*10000000+(N('Dvd Calendar'!$Q$1386)&gt;0)*(N('Dvd Calendar'!$Q$1386)&lt;=VAL_SERIAL)*1000000+25*1000+53))</f>
        <v/>
      </c>
      <c r="GF140" s="121">
        <f>IF(N('Dvd Calendar'!$R$1387)=0,"",IF(('Dvd Calendar'!$R$1387&gt;=GRID_FROM)*('Dvd Calendar'!$R$1387&lt;=GRID_TO)*('Dvd Calendar'!$R$1387&gt;VAL_DATE)=0,"",'Dvd Calendar'!$R$1387*1000000000+ISNUMBER('Dvd Calendar'!$R$1388)*100000000+0*10000000+(N('Dvd Calendar'!$R$1386)&gt;0)*(N('Dvd Calendar'!$R$1386)&lt;=VAL_SERIAL)*1000000+25*1000+54))</f>
        <v/>
      </c>
      <c r="GG140" s="121">
        <f>IF(N('Dvd Calendar'!$S$1387)=0,"",IF(('Dvd Calendar'!$S$1387&gt;=GRID_FROM)*('Dvd Calendar'!$S$1387&lt;=GRID_TO)*('Dvd Calendar'!$S$1387&gt;VAL_DATE)=0,"",'Dvd Calendar'!$S$1387*1000000000+ISNUMBER('Dvd Calendar'!$S$1388)*100000000+0*10000000+(N('Dvd Calendar'!$S$1386)&gt;0)*(N('Dvd Calendar'!$S$1386)&lt;=VAL_SERIAL)*1000000+25*1000+55))</f>
        <v/>
      </c>
      <c r="GH140" s="121">
        <f>IF(N('Dvd Calendar'!$T$1387)=0,"",IF(('Dvd Calendar'!$T$1387&gt;=GRID_FROM)*('Dvd Calendar'!$T$1387&lt;=GRID_TO)*('Dvd Calendar'!$T$1387&gt;VAL_DATE)=0,"",'Dvd Calendar'!$T$1387*1000000000+ISNUMBER('Dvd Calendar'!$T$1388)*100000000+0*10000000+(N('Dvd Calendar'!$T$1386)&gt;0)*(N('Dvd Calendar'!$T$1386)&lt;=VAL_SERIAL)*1000000+25*1000+56))</f>
        <v/>
      </c>
      <c r="GI140" s="121">
        <f>IF(N('Dvd Calendar'!$U$1387)=0,"",IF(('Dvd Calendar'!$U$1387&gt;=GRID_FROM)*('Dvd Calendar'!$U$1387&lt;=GRID_TO)*('Dvd Calendar'!$U$1387&gt;VAL_DATE)=0,"",'Dvd Calendar'!$U$1387*1000000000+ISNUMBER('Dvd Calendar'!$U$1388)*100000000+0*10000000+(N('Dvd Calendar'!$U$1386)&gt;0)*(N('Dvd Calendar'!$U$1386)&lt;=VAL_SERIAL)*1000000+25*1000+57))</f>
        <v/>
      </c>
      <c r="GJ140" s="121">
        <f>IF(N('Dvd Calendar'!$V$1387)=0,"",IF(('Dvd Calendar'!$V$1387&gt;=GRID_FROM)*('Dvd Calendar'!$V$1387&lt;=GRID_TO)*('Dvd Calendar'!$V$1387&gt;VAL_DATE)=0,"",'Dvd Calendar'!$V$1387*1000000000+ISNUMBER('Dvd Calendar'!$V$1388)*100000000+0*10000000+(N('Dvd Calendar'!$V$1386)&gt;0)*(N('Dvd Calendar'!$V$1386)&lt;=VAL_SERIAL)*1000000+25*1000+58))</f>
        <v/>
      </c>
      <c r="GK140" s="121">
        <f>IF(N('Dvd Calendar'!$W$1387)=0,"",IF(('Dvd Calendar'!$W$1387&gt;=GRID_FROM)*('Dvd Calendar'!$W$1387&lt;=GRID_TO)*('Dvd Calendar'!$W$1387&gt;VAL_DATE)=0,"",'Dvd Calendar'!$W$1387*1000000000+ISNUMBER('Dvd Calendar'!$W$1388)*100000000+0*10000000+(N('Dvd Calendar'!$W$1386)&gt;0)*(N('Dvd Calendar'!$W$1386)&lt;=VAL_SERIAL)*1000000+25*1000+59))</f>
        <v/>
      </c>
      <c r="GL140" s="121">
        <f>IF(N('Dvd Calendar'!$X$1387)=0,"",IF(('Dvd Calendar'!$X$1387&gt;=GRID_FROM)*('Dvd Calendar'!$X$1387&lt;=GRID_TO)*('Dvd Calendar'!$X$1387&gt;VAL_DATE)=0,"",'Dvd Calendar'!$X$1387*1000000000+ISNUMBER('Dvd Calendar'!$X$1388)*100000000+0*10000000+(N('Dvd Calendar'!$X$1386)&gt;0)*(N('Dvd Calendar'!$X$1386)&lt;=VAL_SERIAL)*1000000+25*1000+60))</f>
        <v/>
      </c>
      <c r="GM140" s="121">
        <f>IF(N('Dvd Calendar'!$Y$1387)=0,"",IF(('Dvd Calendar'!$Y$1387&gt;=GRID_FROM)*('Dvd Calendar'!$Y$1387&lt;=GRID_TO)*('Dvd Calendar'!$Y$1387&gt;VAL_DATE)=0,"",'Dvd Calendar'!$Y$1387*1000000000+ISNUMBER('Dvd Calendar'!$Y$1388)*100000000+0*10000000+(N('Dvd Calendar'!$Y$1386)&gt;0)*(N('Dvd Calendar'!$Y$1386)&lt;=VAL_SERIAL)*1000000+25*1000+61))</f>
        <v/>
      </c>
      <c r="GN140" s="121">
        <f>IF(N('Dvd Calendar'!$Z$1387)=0,"",IF(('Dvd Calendar'!$Z$1387&gt;=GRID_FROM)*('Dvd Calendar'!$Z$1387&lt;=GRID_TO)*('Dvd Calendar'!$Z$1387&gt;VAL_DATE)=0,"",'Dvd Calendar'!$Z$1387*1000000000+ISNUMBER('Dvd Calendar'!$Z$1388)*100000000+0*10000000+(N('Dvd Calendar'!$Z$1386)&gt;0)*(N('Dvd Calendar'!$Z$1386)&lt;=VAL_SERIAL)*1000000+25*1000+62))</f>
        <v/>
      </c>
      <c r="GO140" s="121">
        <f>IF(N('Dvd Calendar'!$AA$1387)=0,"",IF(('Dvd Calendar'!$AA$1387&gt;=GRID_FROM)*('Dvd Calendar'!$AA$1387&lt;=GRID_TO)*('Dvd Calendar'!$AA$1387&gt;VAL_DATE)=0,"",'Dvd Calendar'!$AA$1387*1000000000+ISNUMBER('Dvd Calendar'!$AA$1388)*100000000+0*10000000+(N('Dvd Calendar'!$AA$1386)&gt;0)*(N('Dvd Calendar'!$AA$1386)&lt;=VAL_SERIAL)*1000000+25*1000+63))</f>
        <v/>
      </c>
      <c r="GP140" s="121">
        <f>IF(N('Dvd Calendar'!$AB$1387)=0,"",IF(('Dvd Calendar'!$AB$1387&gt;=GRID_FROM)*('Dvd Calendar'!$AB$1387&lt;=GRID_TO)*('Dvd Calendar'!$AB$1387&gt;VAL_DATE)=0,"",'Dvd Calendar'!$AB$1387*1000000000+ISNUMBER('Dvd Calendar'!$AB$1388)*100000000+0*10000000+(N('Dvd Calendar'!$AB$1386)&gt;0)*(N('Dvd Calendar'!$AB$1386)&lt;=VAL_SERIAL)*1000000+25*1000+64))</f>
        <v/>
      </c>
      <c r="GQ140" s="121">
        <f>IF(N('Dvd Calendar'!$AC$1387)=0,"",IF(('Dvd Calendar'!$AC$1387&gt;=GRID_FROM)*('Dvd Calendar'!$AC$1387&lt;=GRID_TO)*('Dvd Calendar'!$AC$1387&gt;VAL_DATE)=0,"",'Dvd Calendar'!$AC$1387*1000000000+ISNUMBER('Dvd Calendar'!$AC$1388)*100000000+0*10000000+(N('Dvd Calendar'!$AC$1386)&gt;0)*(N('Dvd Calendar'!$AC$1386)&lt;=VAL_SERIAL)*1000000+25*1000+65))</f>
        <v/>
      </c>
    </row>
    <row r="141">
      <c r="B141" s="2">
        <f>IF(HSTECH!$C$32="","",HSTECH!$C$32)</f>
        <v/>
      </c>
      <c r="C141" s="161">
        <f>IF(EE141="","",IF(ISNUMBER('Dvd Calendar'!$E$1394)=FALSE,"",IF((('Dvd Calendar'!$E$1396=TYPE1)*(TYPE1&lt;&gt;"")+('Dvd Calendar'!$E$1396=TYPE2)*(TYPE2&lt;&gt;"")+('Dvd Calendar'!$E$1396=TYPE3)*(TYPE3&lt;&gt;"")+('Dvd Calendar'!$E$1396=TYPE4)*(TYPE4&lt;&gt;"")+('Dvd Calendar'!$E$1396=SPECIAL_LBL)*(INC_SPECIALS="Y"))=0,"",'Dvd Calendar'!$E$1394)))</f>
        <v/>
      </c>
      <c r="D141" s="161">
        <f>IF(EF141="","",IF(ISNUMBER('Dvd Calendar'!$F$1394)=FALSE,"",IF((('Dvd Calendar'!$F$1396=TYPE1)*(TYPE1&lt;&gt;"")+('Dvd Calendar'!$F$1396=TYPE2)*(TYPE2&lt;&gt;"")+('Dvd Calendar'!$F$1396=TYPE3)*(TYPE3&lt;&gt;"")+('Dvd Calendar'!$F$1396=TYPE4)*(TYPE4&lt;&gt;"")+('Dvd Calendar'!$F$1396=SPECIAL_LBL)*(INC_SPECIALS="Y"))=0,"",'Dvd Calendar'!$F$1394)))</f>
        <v/>
      </c>
      <c r="E141" s="161">
        <f>IF(EG141="","",IF(ISNUMBER('Dvd Calendar'!$G$1394)=FALSE,"",IF((('Dvd Calendar'!$G$1396=TYPE1)*(TYPE1&lt;&gt;"")+('Dvd Calendar'!$G$1396=TYPE2)*(TYPE2&lt;&gt;"")+('Dvd Calendar'!$G$1396=TYPE3)*(TYPE3&lt;&gt;"")+('Dvd Calendar'!$G$1396=TYPE4)*(TYPE4&lt;&gt;"")+('Dvd Calendar'!$G$1396=SPECIAL_LBL)*(INC_SPECIALS="Y"))=0,"",'Dvd Calendar'!$G$1394)))</f>
        <v/>
      </c>
      <c r="F141" s="161">
        <f>IF(EH141="","",IF(ISNUMBER('Dvd Calendar'!$H$1394)=FALSE,"",IF((('Dvd Calendar'!$H$1396=TYPE1)*(TYPE1&lt;&gt;"")+('Dvd Calendar'!$H$1396=TYPE2)*(TYPE2&lt;&gt;"")+('Dvd Calendar'!$H$1396=TYPE3)*(TYPE3&lt;&gt;"")+('Dvd Calendar'!$H$1396=TYPE4)*(TYPE4&lt;&gt;"")+('Dvd Calendar'!$H$1396=SPECIAL_LBL)*(INC_SPECIALS="Y"))=0,"",'Dvd Calendar'!$H$1394)))</f>
        <v/>
      </c>
      <c r="G141" s="161">
        <f>IF(EI141="","",IF(ISNUMBER('Dvd Calendar'!$I$1394)=FALSE,"",IF((('Dvd Calendar'!$I$1396=TYPE1)*(TYPE1&lt;&gt;"")+('Dvd Calendar'!$I$1396=TYPE2)*(TYPE2&lt;&gt;"")+('Dvd Calendar'!$I$1396=TYPE3)*(TYPE3&lt;&gt;"")+('Dvd Calendar'!$I$1396=TYPE4)*(TYPE4&lt;&gt;"")+('Dvd Calendar'!$I$1396=SPECIAL_LBL)*(INC_SPECIALS="Y"))=0,"",'Dvd Calendar'!$I$1394)))</f>
        <v/>
      </c>
      <c r="H141" s="161">
        <f>IF(EJ141="","",IF(ISNUMBER('Dvd Calendar'!$J$1394)=FALSE,"",IF((('Dvd Calendar'!$J$1396=TYPE1)*(TYPE1&lt;&gt;"")+('Dvd Calendar'!$J$1396=TYPE2)*(TYPE2&lt;&gt;"")+('Dvd Calendar'!$J$1396=TYPE3)*(TYPE3&lt;&gt;"")+('Dvd Calendar'!$J$1396=TYPE4)*(TYPE4&lt;&gt;"")+('Dvd Calendar'!$J$1396=SPECIAL_LBL)*(INC_SPECIALS="Y"))=0,"",'Dvd Calendar'!$J$1394)))</f>
        <v/>
      </c>
      <c r="I141" s="161">
        <f>IF(EK141="","",IF(ISNUMBER('Dvd Calendar'!$K$1394)=FALSE,"",IF((('Dvd Calendar'!$K$1396=TYPE1)*(TYPE1&lt;&gt;"")+('Dvd Calendar'!$K$1396=TYPE2)*(TYPE2&lt;&gt;"")+('Dvd Calendar'!$K$1396=TYPE3)*(TYPE3&lt;&gt;"")+('Dvd Calendar'!$K$1396=TYPE4)*(TYPE4&lt;&gt;"")+('Dvd Calendar'!$K$1396=SPECIAL_LBL)*(INC_SPECIALS="Y"))=0,"",'Dvd Calendar'!$K$1394)))</f>
        <v/>
      </c>
      <c r="J141" s="161">
        <f>IF(EL141="","",IF(ISNUMBER('Dvd Calendar'!$L$1394)=FALSE,"",IF((('Dvd Calendar'!$L$1396=TYPE1)*(TYPE1&lt;&gt;"")+('Dvd Calendar'!$L$1396=TYPE2)*(TYPE2&lt;&gt;"")+('Dvd Calendar'!$L$1396=TYPE3)*(TYPE3&lt;&gt;"")+('Dvd Calendar'!$L$1396=TYPE4)*(TYPE4&lt;&gt;"")+('Dvd Calendar'!$L$1396=SPECIAL_LBL)*(INC_SPECIALS="Y"))=0,"",'Dvd Calendar'!$L$1394)))</f>
        <v/>
      </c>
      <c r="K141" s="161">
        <f>IF(EM141="","",IF(ISNUMBER('Dvd Calendar'!$M$1394)=FALSE,"",IF((('Dvd Calendar'!$M$1396=TYPE1)*(TYPE1&lt;&gt;"")+('Dvd Calendar'!$M$1396=TYPE2)*(TYPE2&lt;&gt;"")+('Dvd Calendar'!$M$1396=TYPE3)*(TYPE3&lt;&gt;"")+('Dvd Calendar'!$M$1396=TYPE4)*(TYPE4&lt;&gt;"")+('Dvd Calendar'!$M$1396=SPECIAL_LBL)*(INC_SPECIALS="Y"))=0,"",'Dvd Calendar'!$M$1394)))</f>
        <v/>
      </c>
      <c r="L141" s="161">
        <f>IF(EN141="","",IF(ISNUMBER('Dvd Calendar'!$N$1394)=FALSE,"",IF((('Dvd Calendar'!$N$1396=TYPE1)*(TYPE1&lt;&gt;"")+('Dvd Calendar'!$N$1396=TYPE2)*(TYPE2&lt;&gt;"")+('Dvd Calendar'!$N$1396=TYPE3)*(TYPE3&lt;&gt;"")+('Dvd Calendar'!$N$1396=TYPE4)*(TYPE4&lt;&gt;"")+('Dvd Calendar'!$N$1396=SPECIAL_LBL)*(INC_SPECIALS="Y"))=0,"",'Dvd Calendar'!$N$1394)))</f>
        <v/>
      </c>
      <c r="M141" s="161">
        <f>IF(EO141="","",IF(ISNUMBER('Dvd Calendar'!$O$1394)=FALSE,"",IF((('Dvd Calendar'!$O$1396=TYPE1)*(TYPE1&lt;&gt;"")+('Dvd Calendar'!$O$1396=TYPE2)*(TYPE2&lt;&gt;"")+('Dvd Calendar'!$O$1396=TYPE3)*(TYPE3&lt;&gt;"")+('Dvd Calendar'!$O$1396=TYPE4)*(TYPE4&lt;&gt;"")+('Dvd Calendar'!$O$1396=SPECIAL_LBL)*(INC_SPECIALS="Y"))=0,"",'Dvd Calendar'!$O$1394)))</f>
        <v/>
      </c>
      <c r="N141" s="161">
        <f>IF(EP141="","",IF(ISNUMBER('Dvd Calendar'!$P$1394)=FALSE,"",IF((('Dvd Calendar'!$P$1396=TYPE1)*(TYPE1&lt;&gt;"")+('Dvd Calendar'!$P$1396=TYPE2)*(TYPE2&lt;&gt;"")+('Dvd Calendar'!$P$1396=TYPE3)*(TYPE3&lt;&gt;"")+('Dvd Calendar'!$P$1396=TYPE4)*(TYPE4&lt;&gt;"")+('Dvd Calendar'!$P$1396=SPECIAL_LBL)*(INC_SPECIALS="Y"))=0,"",'Dvd Calendar'!$P$1394)))</f>
        <v/>
      </c>
      <c r="O141" s="161">
        <f>IF(EQ141="","",IF(ISNUMBER('Dvd Calendar'!$Q$1394)=FALSE,"",IF((('Dvd Calendar'!$Q$1396=TYPE1)*(TYPE1&lt;&gt;"")+('Dvd Calendar'!$Q$1396=TYPE2)*(TYPE2&lt;&gt;"")+('Dvd Calendar'!$Q$1396=TYPE3)*(TYPE3&lt;&gt;"")+('Dvd Calendar'!$Q$1396=TYPE4)*(TYPE4&lt;&gt;"")+('Dvd Calendar'!$Q$1396=SPECIAL_LBL)*(INC_SPECIALS="Y"))=0,"",'Dvd Calendar'!$Q$1394)))</f>
        <v/>
      </c>
      <c r="P141" s="161">
        <f>IF(ER141="","",IF(ISNUMBER('Dvd Calendar'!$R$1394)=FALSE,"",IF((('Dvd Calendar'!$R$1396=TYPE1)*(TYPE1&lt;&gt;"")+('Dvd Calendar'!$R$1396=TYPE2)*(TYPE2&lt;&gt;"")+('Dvd Calendar'!$R$1396=TYPE3)*(TYPE3&lt;&gt;"")+('Dvd Calendar'!$R$1396=TYPE4)*(TYPE4&lt;&gt;"")+('Dvd Calendar'!$R$1396=SPECIAL_LBL)*(INC_SPECIALS="Y"))=0,"",'Dvd Calendar'!$R$1394)))</f>
        <v/>
      </c>
      <c r="Q141" s="161">
        <f>IF(ES141="","",IF(ISNUMBER('Dvd Calendar'!$S$1394)=FALSE,"",IF((('Dvd Calendar'!$S$1396=TYPE1)*(TYPE1&lt;&gt;"")+('Dvd Calendar'!$S$1396=TYPE2)*(TYPE2&lt;&gt;"")+('Dvd Calendar'!$S$1396=TYPE3)*(TYPE3&lt;&gt;"")+('Dvd Calendar'!$S$1396=TYPE4)*(TYPE4&lt;&gt;"")+('Dvd Calendar'!$S$1396=SPECIAL_LBL)*(INC_SPECIALS="Y"))=0,"",'Dvd Calendar'!$S$1394)))</f>
        <v/>
      </c>
      <c r="R141" s="161">
        <f>IF(ET141="","",IF(ISNUMBER('Dvd Calendar'!$T$1394)=FALSE,"",IF((('Dvd Calendar'!$T$1396=TYPE1)*(TYPE1&lt;&gt;"")+('Dvd Calendar'!$T$1396=TYPE2)*(TYPE2&lt;&gt;"")+('Dvd Calendar'!$T$1396=TYPE3)*(TYPE3&lt;&gt;"")+('Dvd Calendar'!$T$1396=TYPE4)*(TYPE4&lt;&gt;"")+('Dvd Calendar'!$T$1396=SPECIAL_LBL)*(INC_SPECIALS="Y"))=0,"",'Dvd Calendar'!$T$1394)))</f>
        <v/>
      </c>
      <c r="S141" s="161">
        <f>IF(EU141="","",IF(ISNUMBER('Dvd Calendar'!$U$1394)=FALSE,"",IF((('Dvd Calendar'!$U$1396=TYPE1)*(TYPE1&lt;&gt;"")+('Dvd Calendar'!$U$1396=TYPE2)*(TYPE2&lt;&gt;"")+('Dvd Calendar'!$U$1396=TYPE3)*(TYPE3&lt;&gt;"")+('Dvd Calendar'!$U$1396=TYPE4)*(TYPE4&lt;&gt;"")+('Dvd Calendar'!$U$1396=SPECIAL_LBL)*(INC_SPECIALS="Y"))=0,"",'Dvd Calendar'!$U$1394)))</f>
        <v/>
      </c>
      <c r="T141" s="161">
        <f>IF(EV141="","",IF(ISNUMBER('Dvd Calendar'!$V$1394)=FALSE,"",IF((('Dvd Calendar'!$V$1396=TYPE1)*(TYPE1&lt;&gt;"")+('Dvd Calendar'!$V$1396=TYPE2)*(TYPE2&lt;&gt;"")+('Dvd Calendar'!$V$1396=TYPE3)*(TYPE3&lt;&gt;"")+('Dvd Calendar'!$V$1396=TYPE4)*(TYPE4&lt;&gt;"")+('Dvd Calendar'!$V$1396=SPECIAL_LBL)*(INC_SPECIALS="Y"))=0,"",'Dvd Calendar'!$V$1394)))</f>
        <v/>
      </c>
      <c r="U141" s="161">
        <f>IF(EW141="","",IF(ISNUMBER('Dvd Calendar'!$W$1394)=FALSE,"",IF((('Dvd Calendar'!$W$1396=TYPE1)*(TYPE1&lt;&gt;"")+('Dvd Calendar'!$W$1396=TYPE2)*(TYPE2&lt;&gt;"")+('Dvd Calendar'!$W$1396=TYPE3)*(TYPE3&lt;&gt;"")+('Dvd Calendar'!$W$1396=TYPE4)*(TYPE4&lt;&gt;"")+('Dvd Calendar'!$W$1396=SPECIAL_LBL)*(INC_SPECIALS="Y"))=0,"",'Dvd Calendar'!$W$1394)))</f>
        <v/>
      </c>
      <c r="V141" s="161">
        <f>IF(EX141="","",IF(ISNUMBER('Dvd Calendar'!$X$1394)=FALSE,"",IF((('Dvd Calendar'!$X$1396=TYPE1)*(TYPE1&lt;&gt;"")+('Dvd Calendar'!$X$1396=TYPE2)*(TYPE2&lt;&gt;"")+('Dvd Calendar'!$X$1396=TYPE3)*(TYPE3&lt;&gt;"")+('Dvd Calendar'!$X$1396=TYPE4)*(TYPE4&lt;&gt;"")+('Dvd Calendar'!$X$1396=SPECIAL_LBL)*(INC_SPECIALS="Y"))=0,"",'Dvd Calendar'!$X$1394)))</f>
        <v/>
      </c>
      <c r="W141" s="161">
        <f>IF(EY141="","",IF(ISNUMBER('Dvd Calendar'!$Y$1394)=FALSE,"",IF((('Dvd Calendar'!$Y$1396=TYPE1)*(TYPE1&lt;&gt;"")+('Dvd Calendar'!$Y$1396=TYPE2)*(TYPE2&lt;&gt;"")+('Dvd Calendar'!$Y$1396=TYPE3)*(TYPE3&lt;&gt;"")+('Dvd Calendar'!$Y$1396=TYPE4)*(TYPE4&lt;&gt;"")+('Dvd Calendar'!$Y$1396=SPECIAL_LBL)*(INC_SPECIALS="Y"))=0,"",'Dvd Calendar'!$Y$1394)))</f>
        <v/>
      </c>
      <c r="X141" s="161">
        <f>IF(EZ141="","",IF(ISNUMBER('Dvd Calendar'!$Z$1394)=FALSE,"",IF((('Dvd Calendar'!$Z$1396=TYPE1)*(TYPE1&lt;&gt;"")+('Dvd Calendar'!$Z$1396=TYPE2)*(TYPE2&lt;&gt;"")+('Dvd Calendar'!$Z$1396=TYPE3)*(TYPE3&lt;&gt;"")+('Dvd Calendar'!$Z$1396=TYPE4)*(TYPE4&lt;&gt;"")+('Dvd Calendar'!$Z$1396=SPECIAL_LBL)*(INC_SPECIALS="Y"))=0,"",'Dvd Calendar'!$Z$1394)))</f>
        <v/>
      </c>
      <c r="Y141" s="161">
        <f>IF(FA141="","",IF(ISNUMBER('Dvd Calendar'!$AA$1394)=FALSE,"",IF((('Dvd Calendar'!$AA$1396=TYPE1)*(TYPE1&lt;&gt;"")+('Dvd Calendar'!$AA$1396=TYPE2)*(TYPE2&lt;&gt;"")+('Dvd Calendar'!$AA$1396=TYPE3)*(TYPE3&lt;&gt;"")+('Dvd Calendar'!$AA$1396=TYPE4)*(TYPE4&lt;&gt;"")+('Dvd Calendar'!$AA$1396=SPECIAL_LBL)*(INC_SPECIALS="Y"))=0,"",'Dvd Calendar'!$AA$1394)))</f>
        <v/>
      </c>
      <c r="Z141" s="161">
        <f>IF(FB141="","",IF(ISNUMBER('Dvd Calendar'!$AB$1394)=FALSE,"",IF((('Dvd Calendar'!$AB$1396=TYPE1)*(TYPE1&lt;&gt;"")+('Dvd Calendar'!$AB$1396=TYPE2)*(TYPE2&lt;&gt;"")+('Dvd Calendar'!$AB$1396=TYPE3)*(TYPE3&lt;&gt;"")+('Dvd Calendar'!$AB$1396=TYPE4)*(TYPE4&lt;&gt;"")+('Dvd Calendar'!$AB$1396=SPECIAL_LBL)*(INC_SPECIALS="Y"))=0,"",'Dvd Calendar'!$AB$1394)))</f>
        <v/>
      </c>
      <c r="AA141" s="161">
        <f>IF(FC141="","",IF(ISNUMBER('Dvd Calendar'!$AC$1394)=FALSE,"",IF((('Dvd Calendar'!$AC$1396=TYPE1)*(TYPE1&lt;&gt;"")+('Dvd Calendar'!$AC$1396=TYPE2)*(TYPE2&lt;&gt;"")+('Dvd Calendar'!$AC$1396=TYPE3)*(TYPE3&lt;&gt;"")+('Dvd Calendar'!$AC$1396=TYPE4)*(TYPE4&lt;&gt;"")+('Dvd Calendar'!$AC$1396=SPECIAL_LBL)*(INC_SPECIALS="Y"))=0,"",'Dvd Calendar'!$AC$1394)))</f>
        <v/>
      </c>
      <c r="AB141" s="161">
        <f>IF(FD141="","",IF(ISNUMBER('Dvd Calendar'!$AD$1394)=FALSE,"",IF((('Dvd Calendar'!$AD$1396=TYPE1)*(TYPE1&lt;&gt;"")+('Dvd Calendar'!$AD$1396=TYPE2)*(TYPE2&lt;&gt;"")+('Dvd Calendar'!$AD$1396=TYPE3)*(TYPE3&lt;&gt;"")+('Dvd Calendar'!$AD$1396=TYPE4)*(TYPE4&lt;&gt;"")+('Dvd Calendar'!$AD$1396=SPECIAL_LBL)*(INC_SPECIALS="Y"))=0,"",'Dvd Calendar'!$AD$1394)))</f>
        <v/>
      </c>
      <c r="AC141" s="161">
        <f>IF(FE141="","",IF(ISNUMBER('Dvd Calendar'!$AE$1394)=FALSE,"",IF((('Dvd Calendar'!$AE$1396=TYPE1)*(TYPE1&lt;&gt;"")+('Dvd Calendar'!$AE$1396=TYPE2)*(TYPE2&lt;&gt;"")+('Dvd Calendar'!$AE$1396=TYPE3)*(TYPE3&lt;&gt;"")+('Dvd Calendar'!$AE$1396=TYPE4)*(TYPE4&lt;&gt;"")+('Dvd Calendar'!$AE$1396=SPECIAL_LBL)*(INC_SPECIALS="Y"))=0,"",'Dvd Calendar'!$AE$1394)))</f>
        <v/>
      </c>
      <c r="AD141" s="161">
        <f>IF(FF141="","",IF(ISNUMBER('Dvd Calendar'!$AF$1394)=FALSE,"",IF((('Dvd Calendar'!$AF$1396=TYPE1)*(TYPE1&lt;&gt;"")+('Dvd Calendar'!$AF$1396=TYPE2)*(TYPE2&lt;&gt;"")+('Dvd Calendar'!$AF$1396=TYPE3)*(TYPE3&lt;&gt;"")+('Dvd Calendar'!$AF$1396=TYPE4)*(TYPE4&lt;&gt;"")+('Dvd Calendar'!$AF$1396=SPECIAL_LBL)*(INC_SPECIALS="Y"))=0,"",'Dvd Calendar'!$AF$1394)))</f>
        <v/>
      </c>
      <c r="AE141" s="161">
        <f>IF(FG141="","",IF(ISNUMBER('Dvd Calendar'!$AG$1394)=FALSE,"",IF((('Dvd Calendar'!$AG$1396=TYPE1)*(TYPE1&lt;&gt;"")+('Dvd Calendar'!$AG$1396=TYPE2)*(TYPE2&lt;&gt;"")+('Dvd Calendar'!$AG$1396=TYPE3)*(TYPE3&lt;&gt;"")+('Dvd Calendar'!$AG$1396=TYPE4)*(TYPE4&lt;&gt;"")+('Dvd Calendar'!$AG$1396=SPECIAL_LBL)*(INC_SPECIALS="Y"))=0,"",'Dvd Calendar'!$AG$1394)))</f>
        <v/>
      </c>
      <c r="AF141" s="161">
        <f>IF(FH141="","",IF(ISNUMBER('Dvd Calendar'!$AH$1394)=FALSE,"",IF((('Dvd Calendar'!$AH$1396=TYPE1)*(TYPE1&lt;&gt;"")+('Dvd Calendar'!$AH$1396=TYPE2)*(TYPE2&lt;&gt;"")+('Dvd Calendar'!$AH$1396=TYPE3)*(TYPE3&lt;&gt;"")+('Dvd Calendar'!$AH$1396=TYPE4)*(TYPE4&lt;&gt;"")+('Dvd Calendar'!$AH$1396=SPECIAL_LBL)*(INC_SPECIALS="Y"))=0,"",'Dvd Calendar'!$AH$1394)))</f>
        <v/>
      </c>
      <c r="AG141" s="161">
        <f>IF(FI141="","",IF(ISNUMBER('Dvd Calendar'!$AI$1394)=FALSE,"",IF((('Dvd Calendar'!$AI$1396=TYPE1)*(TYPE1&lt;&gt;"")+('Dvd Calendar'!$AI$1396=TYPE2)*(TYPE2&lt;&gt;"")+('Dvd Calendar'!$AI$1396=TYPE3)*(TYPE3&lt;&gt;"")+('Dvd Calendar'!$AI$1396=TYPE4)*(TYPE4&lt;&gt;"")+('Dvd Calendar'!$AI$1396=SPECIAL_LBL)*(INC_SPECIALS="Y"))=0,"",'Dvd Calendar'!$AI$1394)))</f>
        <v/>
      </c>
      <c r="AH141" s="161">
        <f>IF(FJ141="","",IF(ISNUMBER('Dvd Calendar'!$AJ$1394)=FALSE,"",IF((('Dvd Calendar'!$AJ$1396=TYPE1)*(TYPE1&lt;&gt;"")+('Dvd Calendar'!$AJ$1396=TYPE2)*(TYPE2&lt;&gt;"")+('Dvd Calendar'!$AJ$1396=TYPE3)*(TYPE3&lt;&gt;"")+('Dvd Calendar'!$AJ$1396=TYPE4)*(TYPE4&lt;&gt;"")+('Dvd Calendar'!$AJ$1396=SPECIAL_LBL)*(INC_SPECIALS="Y"))=0,"",'Dvd Calendar'!$AJ$1394)))</f>
        <v/>
      </c>
      <c r="AI141" s="161">
        <f>IF(FK141="","",IF(ISNUMBER('Dvd Calendar'!$AK$1394)=FALSE,"",IF((('Dvd Calendar'!$AK$1396=TYPE1)*(TYPE1&lt;&gt;"")+('Dvd Calendar'!$AK$1396=TYPE2)*(TYPE2&lt;&gt;"")+('Dvd Calendar'!$AK$1396=TYPE3)*(TYPE3&lt;&gt;"")+('Dvd Calendar'!$AK$1396=TYPE4)*(TYPE4&lt;&gt;"")+('Dvd Calendar'!$AK$1396=SPECIAL_LBL)*(INC_SPECIALS="Y"))=0,"",'Dvd Calendar'!$AK$1394)))</f>
        <v/>
      </c>
      <c r="AJ141" s="161">
        <f>IF(FL141="","",IF(ISNUMBER('Dvd Calendar'!$AL$1394)=FALSE,"",IF((('Dvd Calendar'!$AL$1396=TYPE1)*(TYPE1&lt;&gt;"")+('Dvd Calendar'!$AL$1396=TYPE2)*(TYPE2&lt;&gt;"")+('Dvd Calendar'!$AL$1396=TYPE3)*(TYPE3&lt;&gt;"")+('Dvd Calendar'!$AL$1396=TYPE4)*(TYPE4&lt;&gt;"")+('Dvd Calendar'!$AL$1396=SPECIAL_LBL)*(INC_SPECIALS="Y"))=0,"",'Dvd Calendar'!$AL$1394)))</f>
        <v/>
      </c>
      <c r="AK141" s="161">
        <f>IF(FM141="","",IF(ISNUMBER('Dvd Calendar'!$AM$1394)=FALSE,"",IF((('Dvd Calendar'!$AM$1396=TYPE1)*(TYPE1&lt;&gt;"")+('Dvd Calendar'!$AM$1396=TYPE2)*(TYPE2&lt;&gt;"")+('Dvd Calendar'!$AM$1396=TYPE3)*(TYPE3&lt;&gt;"")+('Dvd Calendar'!$AM$1396=TYPE4)*(TYPE4&lt;&gt;"")+('Dvd Calendar'!$AM$1396=SPECIAL_LBL)*(INC_SPECIALS="Y"))=0,"",'Dvd Calendar'!$AM$1394)))</f>
        <v/>
      </c>
      <c r="AL141" s="161">
        <f>IF(FN141="","",IF(ISNUMBER('Dvd Calendar'!$AN$1394)=FALSE,"",IF((('Dvd Calendar'!$AN$1396=TYPE1)*(TYPE1&lt;&gt;"")+('Dvd Calendar'!$AN$1396=TYPE2)*(TYPE2&lt;&gt;"")+('Dvd Calendar'!$AN$1396=TYPE3)*(TYPE3&lt;&gt;"")+('Dvd Calendar'!$AN$1396=TYPE4)*(TYPE4&lt;&gt;"")+('Dvd Calendar'!$AN$1396=SPECIAL_LBL)*(INC_SPECIALS="Y"))=0,"",'Dvd Calendar'!$AN$1394)))</f>
        <v/>
      </c>
      <c r="AM141" s="161">
        <f>IF(FO141="","",IF(ISNUMBER('Dvd Calendar'!$AO$1394)=FALSE,"",IF((('Dvd Calendar'!$AO$1396=TYPE1)*(TYPE1&lt;&gt;"")+('Dvd Calendar'!$AO$1396=TYPE2)*(TYPE2&lt;&gt;"")+('Dvd Calendar'!$AO$1396=TYPE3)*(TYPE3&lt;&gt;"")+('Dvd Calendar'!$AO$1396=TYPE4)*(TYPE4&lt;&gt;"")+('Dvd Calendar'!$AO$1396=SPECIAL_LBL)*(INC_SPECIALS="Y"))=0,"",'Dvd Calendar'!$AO$1394)))</f>
        <v/>
      </c>
      <c r="AN141" s="161">
        <f>IF(FP141="","",IF(ISNUMBER('Dvd Calendar'!$AP$1394)=FALSE,"",IF((('Dvd Calendar'!$AP$1396=TYPE1)*(TYPE1&lt;&gt;"")+('Dvd Calendar'!$AP$1396=TYPE2)*(TYPE2&lt;&gt;"")+('Dvd Calendar'!$AP$1396=TYPE3)*(TYPE3&lt;&gt;"")+('Dvd Calendar'!$AP$1396=TYPE4)*(TYPE4&lt;&gt;"")+('Dvd Calendar'!$AP$1396=SPECIAL_LBL)*(INC_SPECIALS="Y"))=0,"",'Dvd Calendar'!$AP$1394)))</f>
        <v/>
      </c>
      <c r="AO141" s="161">
        <f>IF(FQ141="","",IF(ISNUMBER('Dvd Calendar'!$AQ$1394)=FALSE,"",IF((('Dvd Calendar'!$AQ$1396=TYPE1)*(TYPE1&lt;&gt;"")+('Dvd Calendar'!$AQ$1396=TYPE2)*(TYPE2&lt;&gt;"")+('Dvd Calendar'!$AQ$1396=TYPE3)*(TYPE3&lt;&gt;"")+('Dvd Calendar'!$AQ$1396=TYPE4)*(TYPE4&lt;&gt;"")+('Dvd Calendar'!$AQ$1396=SPECIAL_LBL)*(INC_SPECIALS="Y"))=0,"",'Dvd Calendar'!$AQ$1394)))</f>
        <v/>
      </c>
      <c r="AP141" s="161">
        <f>IF(FR141="","",IF(ISNUMBER('Dvd Calendar'!$AR$1394)=FALSE,"",IF((('Dvd Calendar'!$AR$1396=TYPE1)*(TYPE1&lt;&gt;"")+('Dvd Calendar'!$AR$1396=TYPE2)*(TYPE2&lt;&gt;"")+('Dvd Calendar'!$AR$1396=TYPE3)*(TYPE3&lt;&gt;"")+('Dvd Calendar'!$AR$1396=TYPE4)*(TYPE4&lt;&gt;"")+('Dvd Calendar'!$AR$1396=SPECIAL_LBL)*(INC_SPECIALS="Y"))=0,"",'Dvd Calendar'!$AR$1394)))</f>
        <v/>
      </c>
      <c r="AQ141" s="161">
        <f>IF(FS141="","",IF(ISNUMBER('Dvd Calendar'!$E$1399)=FALSE,"",'Dvd Calendar'!$E$1399))</f>
        <v/>
      </c>
      <c r="AR141" s="161">
        <f>IF(FT141="","",IF(ISNUMBER('Dvd Calendar'!$F$1399)=FALSE,"",'Dvd Calendar'!$F$1399))</f>
        <v/>
      </c>
      <c r="AS141" s="161">
        <f>IF(FU141="","",IF(ISNUMBER('Dvd Calendar'!$G$1399)=FALSE,"",'Dvd Calendar'!$G$1399))</f>
        <v/>
      </c>
      <c r="AT141" s="161">
        <f>IF(FV141="","",IF(ISNUMBER('Dvd Calendar'!$H$1399)=FALSE,"",'Dvd Calendar'!$H$1399))</f>
        <v/>
      </c>
      <c r="AU141" s="161">
        <f>IF(FW141="","",IF(ISNUMBER('Dvd Calendar'!$I$1399)=FALSE,"",'Dvd Calendar'!$I$1399))</f>
        <v/>
      </c>
      <c r="AV141" s="161">
        <f>IF(FX141="","",IF(ISNUMBER('Dvd Calendar'!$J$1399)=FALSE,"",'Dvd Calendar'!$J$1399))</f>
        <v/>
      </c>
      <c r="AW141" s="161">
        <f>IF(FY141="","",IF(ISNUMBER('Dvd Calendar'!$K$1399)=FALSE,"",'Dvd Calendar'!$K$1399))</f>
        <v/>
      </c>
      <c r="AX141" s="161">
        <f>IF(FZ141="","",IF(ISNUMBER('Dvd Calendar'!$L$1399)=FALSE,"",'Dvd Calendar'!$L$1399))</f>
        <v/>
      </c>
      <c r="AY141" s="161">
        <f>IF(GA141="","",IF(ISNUMBER('Dvd Calendar'!$M$1399)=FALSE,"",'Dvd Calendar'!$M$1399))</f>
        <v/>
      </c>
      <c r="AZ141" s="161">
        <f>IF(GB141="","",IF(ISNUMBER('Dvd Calendar'!$N$1399)=FALSE,"",'Dvd Calendar'!$N$1399))</f>
        <v/>
      </c>
      <c r="BA141" s="161">
        <f>IF(GC141="","",IF(ISNUMBER('Dvd Calendar'!$O$1399)=FALSE,"",'Dvd Calendar'!$O$1399))</f>
        <v/>
      </c>
      <c r="BB141" s="161">
        <f>IF(GD141="","",IF(ISNUMBER('Dvd Calendar'!$P$1399)=FALSE,"",'Dvd Calendar'!$P$1399))</f>
        <v/>
      </c>
      <c r="BC141" s="161">
        <f>IF(GE141="","",IF(ISNUMBER('Dvd Calendar'!$Q$1399)=FALSE,"",'Dvd Calendar'!$Q$1399))</f>
        <v/>
      </c>
      <c r="BD141" s="161">
        <f>IF(GF141="","",IF(ISNUMBER('Dvd Calendar'!$R$1399)=FALSE,"",'Dvd Calendar'!$R$1399))</f>
        <v/>
      </c>
      <c r="BE141" s="161">
        <f>IF(GG141="","",IF(ISNUMBER('Dvd Calendar'!$S$1399)=FALSE,"",'Dvd Calendar'!$S$1399))</f>
        <v/>
      </c>
      <c r="BF141" s="161">
        <f>IF(GH141="","",IF(ISNUMBER('Dvd Calendar'!$T$1399)=FALSE,"",'Dvd Calendar'!$T$1399))</f>
        <v/>
      </c>
      <c r="BG141" s="161">
        <f>IF(GI141="","",IF(ISNUMBER('Dvd Calendar'!$U$1399)=FALSE,"",'Dvd Calendar'!$U$1399))</f>
        <v/>
      </c>
      <c r="BH141" s="161">
        <f>IF(GJ141="","",IF(ISNUMBER('Dvd Calendar'!$V$1399)=FALSE,"",'Dvd Calendar'!$V$1399))</f>
        <v/>
      </c>
      <c r="BI141" s="161">
        <f>IF(GK141="","",IF(ISNUMBER('Dvd Calendar'!$W$1399)=FALSE,"",'Dvd Calendar'!$W$1399))</f>
        <v/>
      </c>
      <c r="BJ141" s="161">
        <f>IF(GL141="","",IF(ISNUMBER('Dvd Calendar'!$X$1399)=FALSE,"",'Dvd Calendar'!$X$1399))</f>
        <v/>
      </c>
      <c r="BK141" s="161">
        <f>IF(GM141="","",IF(ISNUMBER('Dvd Calendar'!$Y$1399)=FALSE,"",'Dvd Calendar'!$Y$1399))</f>
        <v/>
      </c>
      <c r="BL141" s="161">
        <f>IF(GN141="","",IF(ISNUMBER('Dvd Calendar'!$Z$1399)=FALSE,"",'Dvd Calendar'!$Z$1399))</f>
        <v/>
      </c>
      <c r="BM141" s="161">
        <f>IF(GO141="","",IF(ISNUMBER('Dvd Calendar'!$AA$1399)=FALSE,"",'Dvd Calendar'!$AA$1399))</f>
        <v/>
      </c>
      <c r="BN141" s="161">
        <f>IF(GP141="","",IF(ISNUMBER('Dvd Calendar'!$AB$1399)=FALSE,"",'Dvd Calendar'!$AB$1399))</f>
        <v/>
      </c>
      <c r="BO141" s="161">
        <f>IF(GQ141="","",IF(ISNUMBER('Dvd Calendar'!$AC$1399)=FALSE,"",'Dvd Calendar'!$AC$1399))</f>
        <v/>
      </c>
      <c r="BQ141" s="161">
        <f>IF(C141="","",IFERROR(C141*HSTECH!$B$32*HSTECH!$G$32/HSTECH!$B$3,""))</f>
        <v/>
      </c>
      <c r="BR141" s="161">
        <f>IF(D141="","",IFERROR(D141*HSTECH!$B$32*HSTECH!$G$32/HSTECH!$B$3,""))</f>
        <v/>
      </c>
      <c r="BS141" s="161">
        <f>IF(E141="","",IFERROR(E141*HSTECH!$B$32*HSTECH!$G$32/HSTECH!$B$3,""))</f>
        <v/>
      </c>
      <c r="BT141" s="161">
        <f>IF(F141="","",IFERROR(F141*HSTECH!$B$32*HSTECH!$G$32/HSTECH!$B$3,""))</f>
        <v/>
      </c>
      <c r="BU141" s="161">
        <f>IF(G141="","",IFERROR(G141*HSTECH!$B$32*HSTECH!$G$32/HSTECH!$B$3,""))</f>
        <v/>
      </c>
      <c r="BV141" s="161">
        <f>IF(H141="","",IFERROR(H141*HSTECH!$B$32*HSTECH!$G$32/HSTECH!$B$3,""))</f>
        <v/>
      </c>
      <c r="BW141" s="161">
        <f>IF(I141="","",IFERROR(I141*HSTECH!$B$32*HSTECH!$G$32/HSTECH!$B$3,""))</f>
        <v/>
      </c>
      <c r="BX141" s="161">
        <f>IF(J141="","",IFERROR(J141*HSTECH!$B$32*HSTECH!$G$32/HSTECH!$B$3,""))</f>
        <v/>
      </c>
      <c r="BY141" s="161">
        <f>IF(K141="","",IFERROR(K141*HSTECH!$B$32*HSTECH!$G$32/HSTECH!$B$3,""))</f>
        <v/>
      </c>
      <c r="BZ141" s="161">
        <f>IF(L141="","",IFERROR(L141*HSTECH!$B$32*HSTECH!$G$32/HSTECH!$B$3,""))</f>
        <v/>
      </c>
      <c r="CA141" s="161">
        <f>IF(M141="","",IFERROR(M141*HSTECH!$B$32*HSTECH!$G$32/HSTECH!$B$3,""))</f>
        <v/>
      </c>
      <c r="CB141" s="161">
        <f>IF(N141="","",IFERROR(N141*HSTECH!$B$32*HSTECH!$G$32/HSTECH!$B$3,""))</f>
        <v/>
      </c>
      <c r="CC141" s="161">
        <f>IF(O141="","",IFERROR(O141*HSTECH!$B$32*HSTECH!$G$32/HSTECH!$B$3,""))</f>
        <v/>
      </c>
      <c r="CD141" s="161">
        <f>IF(P141="","",IFERROR(P141*HSTECH!$B$32*HSTECH!$G$32/HSTECH!$B$3,""))</f>
        <v/>
      </c>
      <c r="CE141" s="161">
        <f>IF(Q141="","",IFERROR(Q141*HSTECH!$B$32*HSTECH!$G$32/HSTECH!$B$3,""))</f>
        <v/>
      </c>
      <c r="CF141" s="161">
        <f>IF(R141="","",IFERROR(R141*HSTECH!$B$32*HSTECH!$G$32/HSTECH!$B$3,""))</f>
        <v/>
      </c>
      <c r="CG141" s="161">
        <f>IF(S141="","",IFERROR(S141*HSTECH!$B$32*HSTECH!$G$32/HSTECH!$B$3,""))</f>
        <v/>
      </c>
      <c r="CH141" s="161">
        <f>IF(T141="","",IFERROR(T141*HSTECH!$B$32*HSTECH!$G$32/HSTECH!$B$3,""))</f>
        <v/>
      </c>
      <c r="CI141" s="161">
        <f>IF(U141="","",IFERROR(U141*HSTECH!$B$32*HSTECH!$G$32/HSTECH!$B$3,""))</f>
        <v/>
      </c>
      <c r="CJ141" s="161">
        <f>IF(V141="","",IFERROR(V141*HSTECH!$B$32*HSTECH!$G$32/HSTECH!$B$3,""))</f>
        <v/>
      </c>
      <c r="CK141" s="161">
        <f>IF(W141="","",IFERROR(W141*HSTECH!$B$32*HSTECH!$G$32/HSTECH!$B$3,""))</f>
        <v/>
      </c>
      <c r="CL141" s="161">
        <f>IF(X141="","",IFERROR(X141*HSTECH!$B$32*HSTECH!$G$32/HSTECH!$B$3,""))</f>
        <v/>
      </c>
      <c r="CM141" s="161">
        <f>IF(Y141="","",IFERROR(Y141*HSTECH!$B$32*HSTECH!$G$32/HSTECH!$B$3,""))</f>
        <v/>
      </c>
      <c r="CN141" s="161">
        <f>IF(Z141="","",IFERROR(Z141*HSTECH!$B$32*HSTECH!$G$32/HSTECH!$B$3,""))</f>
        <v/>
      </c>
      <c r="CO141" s="161">
        <f>IF(AA141="","",IFERROR(AA141*HSTECH!$B$32*HSTECH!$G$32/HSTECH!$B$3,""))</f>
        <v/>
      </c>
      <c r="CP141" s="161">
        <f>IF(AB141="","",IFERROR(AB141*HSTECH!$B$32*HSTECH!$G$32/HSTECH!$B$3,""))</f>
        <v/>
      </c>
      <c r="CQ141" s="161">
        <f>IF(AC141="","",IFERROR(AC141*HSTECH!$B$32*HSTECH!$G$32/HSTECH!$B$3,""))</f>
        <v/>
      </c>
      <c r="CR141" s="161">
        <f>IF(AD141="","",IFERROR(AD141*HSTECH!$B$32*HSTECH!$G$32/HSTECH!$B$3,""))</f>
        <v/>
      </c>
      <c r="CS141" s="161">
        <f>IF(AE141="","",IFERROR(AE141*HSTECH!$B$32*HSTECH!$G$32/HSTECH!$B$3,""))</f>
        <v/>
      </c>
      <c r="CT141" s="161">
        <f>IF(AF141="","",IFERROR(AF141*HSTECH!$B$32*HSTECH!$G$32/HSTECH!$B$3,""))</f>
        <v/>
      </c>
      <c r="CU141" s="161">
        <f>IF(AG141="","",IFERROR(AG141*HSTECH!$B$32*HSTECH!$G$32/HSTECH!$B$3,""))</f>
        <v/>
      </c>
      <c r="CV141" s="161">
        <f>IF(AH141="","",IFERROR(AH141*HSTECH!$B$32*HSTECH!$G$32/HSTECH!$B$3,""))</f>
        <v/>
      </c>
      <c r="CW141" s="161">
        <f>IF(AI141="","",IFERROR(AI141*HSTECH!$B$32*HSTECH!$G$32/HSTECH!$B$3,""))</f>
        <v/>
      </c>
      <c r="CX141" s="161">
        <f>IF(AJ141="","",IFERROR(AJ141*HSTECH!$B$32*HSTECH!$G$32/HSTECH!$B$3,""))</f>
        <v/>
      </c>
      <c r="CY141" s="161">
        <f>IF(AK141="","",IFERROR(AK141*HSTECH!$B$32*HSTECH!$G$32/HSTECH!$B$3,""))</f>
        <v/>
      </c>
      <c r="CZ141" s="161">
        <f>IF(AL141="","",IFERROR(AL141*HSTECH!$B$32*HSTECH!$G$32/HSTECH!$B$3,""))</f>
        <v/>
      </c>
      <c r="DA141" s="161">
        <f>IF(AM141="","",IFERROR(AM141*HSTECH!$B$32*HSTECH!$G$32/HSTECH!$B$3,""))</f>
        <v/>
      </c>
      <c r="DB141" s="161">
        <f>IF(AN141="","",IFERROR(AN141*HSTECH!$B$32*HSTECH!$G$32/HSTECH!$B$3,""))</f>
        <v/>
      </c>
      <c r="DC141" s="161">
        <f>IF(AO141="","",IFERROR(AO141*HSTECH!$B$32*HSTECH!$G$32/HSTECH!$B$3,""))</f>
        <v/>
      </c>
      <c r="DD141" s="161">
        <f>IF(AP141="","",IFERROR(AP141*HSTECH!$B$32*HSTECH!$G$32/HSTECH!$B$3,""))</f>
        <v/>
      </c>
      <c r="DE141" s="161">
        <f>IF(AQ141="","",IFERROR(AQ141*HSTECH!$B$32*HSTECH!$G$32/HSTECH!$B$3,""))</f>
        <v/>
      </c>
      <c r="DF141" s="161">
        <f>IF(AR141="","",IFERROR(AR141*HSTECH!$B$32*HSTECH!$G$32/HSTECH!$B$3,""))</f>
        <v/>
      </c>
      <c r="DG141" s="161">
        <f>IF(AS141="","",IFERROR(AS141*HSTECH!$B$32*HSTECH!$G$32/HSTECH!$B$3,""))</f>
        <v/>
      </c>
      <c r="DH141" s="161">
        <f>IF(AT141="","",IFERROR(AT141*HSTECH!$B$32*HSTECH!$G$32/HSTECH!$B$3,""))</f>
        <v/>
      </c>
      <c r="DI141" s="161">
        <f>IF(AU141="","",IFERROR(AU141*HSTECH!$B$32*HSTECH!$G$32/HSTECH!$B$3,""))</f>
        <v/>
      </c>
      <c r="DJ141" s="161">
        <f>IF(AV141="","",IFERROR(AV141*HSTECH!$B$32*HSTECH!$G$32/HSTECH!$B$3,""))</f>
        <v/>
      </c>
      <c r="DK141" s="161">
        <f>IF(AW141="","",IFERROR(AW141*HSTECH!$B$32*HSTECH!$G$32/HSTECH!$B$3,""))</f>
        <v/>
      </c>
      <c r="DL141" s="161">
        <f>IF(AX141="","",IFERROR(AX141*HSTECH!$B$32*HSTECH!$G$32/HSTECH!$B$3,""))</f>
        <v/>
      </c>
      <c r="DM141" s="161">
        <f>IF(AY141="","",IFERROR(AY141*HSTECH!$B$32*HSTECH!$G$32/HSTECH!$B$3,""))</f>
        <v/>
      </c>
      <c r="DN141" s="161">
        <f>IF(AZ141="","",IFERROR(AZ141*HSTECH!$B$32*HSTECH!$G$32/HSTECH!$B$3,""))</f>
        <v/>
      </c>
      <c r="DO141" s="161">
        <f>IF(BA141="","",IFERROR(BA141*HSTECH!$B$32*HSTECH!$G$32/HSTECH!$B$3,""))</f>
        <v/>
      </c>
      <c r="DP141" s="161">
        <f>IF(BB141="","",IFERROR(BB141*HSTECH!$B$32*HSTECH!$G$32/HSTECH!$B$3,""))</f>
        <v/>
      </c>
      <c r="DQ141" s="161">
        <f>IF(BC141="","",IFERROR(BC141*HSTECH!$B$32*HSTECH!$G$32/HSTECH!$B$3,""))</f>
        <v/>
      </c>
      <c r="DR141" s="161">
        <f>IF(BD141="","",IFERROR(BD141*HSTECH!$B$32*HSTECH!$G$32/HSTECH!$B$3,""))</f>
        <v/>
      </c>
      <c r="DS141" s="161">
        <f>IF(BE141="","",IFERROR(BE141*HSTECH!$B$32*HSTECH!$G$32/HSTECH!$B$3,""))</f>
        <v/>
      </c>
      <c r="DT141" s="161">
        <f>IF(BF141="","",IFERROR(BF141*HSTECH!$B$32*HSTECH!$G$32/HSTECH!$B$3,""))</f>
        <v/>
      </c>
      <c r="DU141" s="161">
        <f>IF(BG141="","",IFERROR(BG141*HSTECH!$B$32*HSTECH!$G$32/HSTECH!$B$3,""))</f>
        <v/>
      </c>
      <c r="DV141" s="161">
        <f>IF(BH141="","",IFERROR(BH141*HSTECH!$B$32*HSTECH!$G$32/HSTECH!$B$3,""))</f>
        <v/>
      </c>
      <c r="DW141" s="161">
        <f>IF(BI141="","",IFERROR(BI141*HSTECH!$B$32*HSTECH!$G$32/HSTECH!$B$3,""))</f>
        <v/>
      </c>
      <c r="DX141" s="161">
        <f>IF(BJ141="","",IFERROR(BJ141*HSTECH!$B$32*HSTECH!$G$32/HSTECH!$B$3,""))</f>
        <v/>
      </c>
      <c r="DY141" s="161">
        <f>IF(BK141="","",IFERROR(BK141*HSTECH!$B$32*HSTECH!$G$32/HSTECH!$B$3,""))</f>
        <v/>
      </c>
      <c r="DZ141" s="161">
        <f>IF(BL141="","",IFERROR(BL141*HSTECH!$B$32*HSTECH!$G$32/HSTECH!$B$3,""))</f>
        <v/>
      </c>
      <c r="EA141" s="161">
        <f>IF(BM141="","",IFERROR(BM141*HSTECH!$B$32*HSTECH!$G$32/HSTECH!$B$3,""))</f>
        <v/>
      </c>
      <c r="EB141" s="161">
        <f>IF(BN141="","",IFERROR(BN141*HSTECH!$B$32*HSTECH!$G$32/HSTECH!$B$3,""))</f>
        <v/>
      </c>
      <c r="EC141" s="161">
        <f>IF(BO141="","",IFERROR(BO141*HSTECH!$B$32*HSTECH!$G$32/HSTECH!$B$3,""))</f>
        <v/>
      </c>
      <c r="EE141" s="121">
        <f>IF(N('Dvd Calendar'!$E$1391)=0,"",IF(('Dvd Calendar'!$E$1391&gt;=GRID_FROM)*('Dvd Calendar'!$E$1391&lt;=GRID_TO)*((('Dvd Calendar'!$E$1391&lt;=VAL_DATE)+(COUNTIF('Dvd Calendar'!$E$1398:$AR$1398,'Dvd Calendar'!$E$1391)=0))&gt;0)=0,"",'Dvd Calendar'!$E$1391*1000000000+ISNUMBER('Dvd Calendar'!$E$1394)*100000000+('Dvd Calendar'!$E$1396=SPECIAL_LBL)*10000000+(N('Dvd Calendar'!$E$1390)&gt;0)*(N('Dvd Calendar'!$E$1390)&lt;=VAL_SERIAL)*1000000+26*1000+1))</f>
        <v/>
      </c>
      <c r="EF141" s="121">
        <f>IF(N('Dvd Calendar'!$F$1391)=0,"",IF(('Dvd Calendar'!$F$1391&gt;=GRID_FROM)*('Dvd Calendar'!$F$1391&lt;=GRID_TO)*((('Dvd Calendar'!$F$1391&lt;=VAL_DATE)+(COUNTIF('Dvd Calendar'!$E$1398:$AR$1398,'Dvd Calendar'!$F$1391)=0))&gt;0)=0,"",'Dvd Calendar'!$F$1391*1000000000+ISNUMBER('Dvd Calendar'!$F$1394)*100000000+('Dvd Calendar'!$F$1396=SPECIAL_LBL)*10000000+(N('Dvd Calendar'!$F$1390)&gt;0)*(N('Dvd Calendar'!$F$1390)&lt;=VAL_SERIAL)*1000000+26*1000+2))</f>
        <v/>
      </c>
      <c r="EG141" s="121">
        <f>IF(N('Dvd Calendar'!$G$1391)=0,"",IF(('Dvd Calendar'!$G$1391&gt;=GRID_FROM)*('Dvd Calendar'!$G$1391&lt;=GRID_TO)*((('Dvd Calendar'!$G$1391&lt;=VAL_DATE)+(COUNTIF('Dvd Calendar'!$E$1398:$AR$1398,'Dvd Calendar'!$G$1391)=0))&gt;0)=0,"",'Dvd Calendar'!$G$1391*1000000000+ISNUMBER('Dvd Calendar'!$G$1394)*100000000+('Dvd Calendar'!$G$1396=SPECIAL_LBL)*10000000+(N('Dvd Calendar'!$G$1390)&gt;0)*(N('Dvd Calendar'!$G$1390)&lt;=VAL_SERIAL)*1000000+26*1000+3))</f>
        <v/>
      </c>
      <c r="EH141" s="121">
        <f>IF(N('Dvd Calendar'!$H$1391)=0,"",IF(('Dvd Calendar'!$H$1391&gt;=GRID_FROM)*('Dvd Calendar'!$H$1391&lt;=GRID_TO)*((('Dvd Calendar'!$H$1391&lt;=VAL_DATE)+(COUNTIF('Dvd Calendar'!$E$1398:$AR$1398,'Dvd Calendar'!$H$1391)=0))&gt;0)=0,"",'Dvd Calendar'!$H$1391*1000000000+ISNUMBER('Dvd Calendar'!$H$1394)*100000000+('Dvd Calendar'!$H$1396=SPECIAL_LBL)*10000000+(N('Dvd Calendar'!$H$1390)&gt;0)*(N('Dvd Calendar'!$H$1390)&lt;=VAL_SERIAL)*1000000+26*1000+4))</f>
        <v/>
      </c>
      <c r="EI141" s="121">
        <f>IF(N('Dvd Calendar'!$I$1391)=0,"",IF(('Dvd Calendar'!$I$1391&gt;=GRID_FROM)*('Dvd Calendar'!$I$1391&lt;=GRID_TO)*((('Dvd Calendar'!$I$1391&lt;=VAL_DATE)+(COUNTIF('Dvd Calendar'!$E$1398:$AR$1398,'Dvd Calendar'!$I$1391)=0))&gt;0)=0,"",'Dvd Calendar'!$I$1391*1000000000+ISNUMBER('Dvd Calendar'!$I$1394)*100000000+('Dvd Calendar'!$I$1396=SPECIAL_LBL)*10000000+(N('Dvd Calendar'!$I$1390)&gt;0)*(N('Dvd Calendar'!$I$1390)&lt;=VAL_SERIAL)*1000000+26*1000+5))</f>
        <v/>
      </c>
      <c r="EJ141" s="121">
        <f>IF(N('Dvd Calendar'!$J$1391)=0,"",IF(('Dvd Calendar'!$J$1391&gt;=GRID_FROM)*('Dvd Calendar'!$J$1391&lt;=GRID_TO)*((('Dvd Calendar'!$J$1391&lt;=VAL_DATE)+(COUNTIF('Dvd Calendar'!$E$1398:$AR$1398,'Dvd Calendar'!$J$1391)=0))&gt;0)=0,"",'Dvd Calendar'!$J$1391*1000000000+ISNUMBER('Dvd Calendar'!$J$1394)*100000000+('Dvd Calendar'!$J$1396=SPECIAL_LBL)*10000000+(N('Dvd Calendar'!$J$1390)&gt;0)*(N('Dvd Calendar'!$J$1390)&lt;=VAL_SERIAL)*1000000+26*1000+6))</f>
        <v/>
      </c>
      <c r="EK141" s="121">
        <f>IF(N('Dvd Calendar'!$K$1391)=0,"",IF(('Dvd Calendar'!$K$1391&gt;=GRID_FROM)*('Dvd Calendar'!$K$1391&lt;=GRID_TO)*((('Dvd Calendar'!$K$1391&lt;=VAL_DATE)+(COUNTIF('Dvd Calendar'!$E$1398:$AR$1398,'Dvd Calendar'!$K$1391)=0))&gt;0)=0,"",'Dvd Calendar'!$K$1391*1000000000+ISNUMBER('Dvd Calendar'!$K$1394)*100000000+('Dvd Calendar'!$K$1396=SPECIAL_LBL)*10000000+(N('Dvd Calendar'!$K$1390)&gt;0)*(N('Dvd Calendar'!$K$1390)&lt;=VAL_SERIAL)*1000000+26*1000+7))</f>
        <v/>
      </c>
      <c r="EL141" s="121">
        <f>IF(N('Dvd Calendar'!$L$1391)=0,"",IF(('Dvd Calendar'!$L$1391&gt;=GRID_FROM)*('Dvd Calendar'!$L$1391&lt;=GRID_TO)*((('Dvd Calendar'!$L$1391&lt;=VAL_DATE)+(COUNTIF('Dvd Calendar'!$E$1398:$AR$1398,'Dvd Calendar'!$L$1391)=0))&gt;0)=0,"",'Dvd Calendar'!$L$1391*1000000000+ISNUMBER('Dvd Calendar'!$L$1394)*100000000+('Dvd Calendar'!$L$1396=SPECIAL_LBL)*10000000+(N('Dvd Calendar'!$L$1390)&gt;0)*(N('Dvd Calendar'!$L$1390)&lt;=VAL_SERIAL)*1000000+26*1000+8))</f>
        <v/>
      </c>
      <c r="EM141" s="121">
        <f>IF(N('Dvd Calendar'!$M$1391)=0,"",IF(('Dvd Calendar'!$M$1391&gt;=GRID_FROM)*('Dvd Calendar'!$M$1391&lt;=GRID_TO)*((('Dvd Calendar'!$M$1391&lt;=VAL_DATE)+(COUNTIF('Dvd Calendar'!$E$1398:$AR$1398,'Dvd Calendar'!$M$1391)=0))&gt;0)=0,"",'Dvd Calendar'!$M$1391*1000000000+ISNUMBER('Dvd Calendar'!$M$1394)*100000000+('Dvd Calendar'!$M$1396=SPECIAL_LBL)*10000000+(N('Dvd Calendar'!$M$1390)&gt;0)*(N('Dvd Calendar'!$M$1390)&lt;=VAL_SERIAL)*1000000+26*1000+9))</f>
        <v/>
      </c>
      <c r="EN141" s="121">
        <f>IF(N('Dvd Calendar'!$N$1391)=0,"",IF(('Dvd Calendar'!$N$1391&gt;=GRID_FROM)*('Dvd Calendar'!$N$1391&lt;=GRID_TO)*((('Dvd Calendar'!$N$1391&lt;=VAL_DATE)+(COUNTIF('Dvd Calendar'!$E$1398:$AR$1398,'Dvd Calendar'!$N$1391)=0))&gt;0)=0,"",'Dvd Calendar'!$N$1391*1000000000+ISNUMBER('Dvd Calendar'!$N$1394)*100000000+('Dvd Calendar'!$N$1396=SPECIAL_LBL)*10000000+(N('Dvd Calendar'!$N$1390)&gt;0)*(N('Dvd Calendar'!$N$1390)&lt;=VAL_SERIAL)*1000000+26*1000+10))</f>
        <v/>
      </c>
      <c r="EO141" s="121">
        <f>IF(N('Dvd Calendar'!$O$1391)=0,"",IF(('Dvd Calendar'!$O$1391&gt;=GRID_FROM)*('Dvd Calendar'!$O$1391&lt;=GRID_TO)*((('Dvd Calendar'!$O$1391&lt;=VAL_DATE)+(COUNTIF('Dvd Calendar'!$E$1398:$AR$1398,'Dvd Calendar'!$O$1391)=0))&gt;0)=0,"",'Dvd Calendar'!$O$1391*1000000000+ISNUMBER('Dvd Calendar'!$O$1394)*100000000+('Dvd Calendar'!$O$1396=SPECIAL_LBL)*10000000+(N('Dvd Calendar'!$O$1390)&gt;0)*(N('Dvd Calendar'!$O$1390)&lt;=VAL_SERIAL)*1000000+26*1000+11))</f>
        <v/>
      </c>
      <c r="EP141" s="121">
        <f>IF(N('Dvd Calendar'!$P$1391)=0,"",IF(('Dvd Calendar'!$P$1391&gt;=GRID_FROM)*('Dvd Calendar'!$P$1391&lt;=GRID_TO)*((('Dvd Calendar'!$P$1391&lt;=VAL_DATE)+(COUNTIF('Dvd Calendar'!$E$1398:$AR$1398,'Dvd Calendar'!$P$1391)=0))&gt;0)=0,"",'Dvd Calendar'!$P$1391*1000000000+ISNUMBER('Dvd Calendar'!$P$1394)*100000000+('Dvd Calendar'!$P$1396=SPECIAL_LBL)*10000000+(N('Dvd Calendar'!$P$1390)&gt;0)*(N('Dvd Calendar'!$P$1390)&lt;=VAL_SERIAL)*1000000+26*1000+12))</f>
        <v/>
      </c>
      <c r="EQ141" s="121">
        <f>IF(N('Dvd Calendar'!$Q$1391)=0,"",IF(('Dvd Calendar'!$Q$1391&gt;=GRID_FROM)*('Dvd Calendar'!$Q$1391&lt;=GRID_TO)*((('Dvd Calendar'!$Q$1391&lt;=VAL_DATE)+(COUNTIF('Dvd Calendar'!$E$1398:$AR$1398,'Dvd Calendar'!$Q$1391)=0))&gt;0)=0,"",'Dvd Calendar'!$Q$1391*1000000000+ISNUMBER('Dvd Calendar'!$Q$1394)*100000000+('Dvd Calendar'!$Q$1396=SPECIAL_LBL)*10000000+(N('Dvd Calendar'!$Q$1390)&gt;0)*(N('Dvd Calendar'!$Q$1390)&lt;=VAL_SERIAL)*1000000+26*1000+13))</f>
        <v/>
      </c>
      <c r="ER141" s="121">
        <f>IF(N('Dvd Calendar'!$R$1391)=0,"",IF(('Dvd Calendar'!$R$1391&gt;=GRID_FROM)*('Dvd Calendar'!$R$1391&lt;=GRID_TO)*((('Dvd Calendar'!$R$1391&lt;=VAL_DATE)+(COUNTIF('Dvd Calendar'!$E$1398:$AR$1398,'Dvd Calendar'!$R$1391)=0))&gt;0)=0,"",'Dvd Calendar'!$R$1391*1000000000+ISNUMBER('Dvd Calendar'!$R$1394)*100000000+('Dvd Calendar'!$R$1396=SPECIAL_LBL)*10000000+(N('Dvd Calendar'!$R$1390)&gt;0)*(N('Dvd Calendar'!$R$1390)&lt;=VAL_SERIAL)*1000000+26*1000+14))</f>
        <v/>
      </c>
      <c r="ES141" s="121">
        <f>IF(N('Dvd Calendar'!$S$1391)=0,"",IF(('Dvd Calendar'!$S$1391&gt;=GRID_FROM)*('Dvd Calendar'!$S$1391&lt;=GRID_TO)*((('Dvd Calendar'!$S$1391&lt;=VAL_DATE)+(COUNTIF('Dvd Calendar'!$E$1398:$AR$1398,'Dvd Calendar'!$S$1391)=0))&gt;0)=0,"",'Dvd Calendar'!$S$1391*1000000000+ISNUMBER('Dvd Calendar'!$S$1394)*100000000+('Dvd Calendar'!$S$1396=SPECIAL_LBL)*10000000+(N('Dvd Calendar'!$S$1390)&gt;0)*(N('Dvd Calendar'!$S$1390)&lt;=VAL_SERIAL)*1000000+26*1000+15))</f>
        <v/>
      </c>
      <c r="ET141" s="121">
        <f>IF(N('Dvd Calendar'!$T$1391)=0,"",IF(('Dvd Calendar'!$T$1391&gt;=GRID_FROM)*('Dvd Calendar'!$T$1391&lt;=GRID_TO)*((('Dvd Calendar'!$T$1391&lt;=VAL_DATE)+(COUNTIF('Dvd Calendar'!$E$1398:$AR$1398,'Dvd Calendar'!$T$1391)=0))&gt;0)=0,"",'Dvd Calendar'!$T$1391*1000000000+ISNUMBER('Dvd Calendar'!$T$1394)*100000000+('Dvd Calendar'!$T$1396=SPECIAL_LBL)*10000000+(N('Dvd Calendar'!$T$1390)&gt;0)*(N('Dvd Calendar'!$T$1390)&lt;=VAL_SERIAL)*1000000+26*1000+16))</f>
        <v/>
      </c>
      <c r="EU141" s="121">
        <f>IF(N('Dvd Calendar'!$U$1391)=0,"",IF(('Dvd Calendar'!$U$1391&gt;=GRID_FROM)*('Dvd Calendar'!$U$1391&lt;=GRID_TO)*((('Dvd Calendar'!$U$1391&lt;=VAL_DATE)+(COUNTIF('Dvd Calendar'!$E$1398:$AR$1398,'Dvd Calendar'!$U$1391)=0))&gt;0)=0,"",'Dvd Calendar'!$U$1391*1000000000+ISNUMBER('Dvd Calendar'!$U$1394)*100000000+('Dvd Calendar'!$U$1396=SPECIAL_LBL)*10000000+(N('Dvd Calendar'!$U$1390)&gt;0)*(N('Dvd Calendar'!$U$1390)&lt;=VAL_SERIAL)*1000000+26*1000+17))</f>
        <v/>
      </c>
      <c r="EV141" s="121">
        <f>IF(N('Dvd Calendar'!$V$1391)=0,"",IF(('Dvd Calendar'!$V$1391&gt;=GRID_FROM)*('Dvd Calendar'!$V$1391&lt;=GRID_TO)*((('Dvd Calendar'!$V$1391&lt;=VAL_DATE)+(COUNTIF('Dvd Calendar'!$E$1398:$AR$1398,'Dvd Calendar'!$V$1391)=0))&gt;0)=0,"",'Dvd Calendar'!$V$1391*1000000000+ISNUMBER('Dvd Calendar'!$V$1394)*100000000+('Dvd Calendar'!$V$1396=SPECIAL_LBL)*10000000+(N('Dvd Calendar'!$V$1390)&gt;0)*(N('Dvd Calendar'!$V$1390)&lt;=VAL_SERIAL)*1000000+26*1000+18))</f>
        <v/>
      </c>
      <c r="EW141" s="121">
        <f>IF(N('Dvd Calendar'!$W$1391)=0,"",IF(('Dvd Calendar'!$W$1391&gt;=GRID_FROM)*('Dvd Calendar'!$W$1391&lt;=GRID_TO)*((('Dvd Calendar'!$W$1391&lt;=VAL_DATE)+(COUNTIF('Dvd Calendar'!$E$1398:$AR$1398,'Dvd Calendar'!$W$1391)=0))&gt;0)=0,"",'Dvd Calendar'!$W$1391*1000000000+ISNUMBER('Dvd Calendar'!$W$1394)*100000000+('Dvd Calendar'!$W$1396=SPECIAL_LBL)*10000000+(N('Dvd Calendar'!$W$1390)&gt;0)*(N('Dvd Calendar'!$W$1390)&lt;=VAL_SERIAL)*1000000+26*1000+19))</f>
        <v/>
      </c>
      <c r="EX141" s="121">
        <f>IF(N('Dvd Calendar'!$X$1391)=0,"",IF(('Dvd Calendar'!$X$1391&gt;=GRID_FROM)*('Dvd Calendar'!$X$1391&lt;=GRID_TO)*((('Dvd Calendar'!$X$1391&lt;=VAL_DATE)+(COUNTIF('Dvd Calendar'!$E$1398:$AR$1398,'Dvd Calendar'!$X$1391)=0))&gt;0)=0,"",'Dvd Calendar'!$X$1391*1000000000+ISNUMBER('Dvd Calendar'!$X$1394)*100000000+('Dvd Calendar'!$X$1396=SPECIAL_LBL)*10000000+(N('Dvd Calendar'!$X$1390)&gt;0)*(N('Dvd Calendar'!$X$1390)&lt;=VAL_SERIAL)*1000000+26*1000+20))</f>
        <v/>
      </c>
      <c r="EY141" s="121">
        <f>IF(N('Dvd Calendar'!$Y$1391)=0,"",IF(('Dvd Calendar'!$Y$1391&gt;=GRID_FROM)*('Dvd Calendar'!$Y$1391&lt;=GRID_TO)*((('Dvd Calendar'!$Y$1391&lt;=VAL_DATE)+(COUNTIF('Dvd Calendar'!$E$1398:$AR$1398,'Dvd Calendar'!$Y$1391)=0))&gt;0)=0,"",'Dvd Calendar'!$Y$1391*1000000000+ISNUMBER('Dvd Calendar'!$Y$1394)*100000000+('Dvd Calendar'!$Y$1396=SPECIAL_LBL)*10000000+(N('Dvd Calendar'!$Y$1390)&gt;0)*(N('Dvd Calendar'!$Y$1390)&lt;=VAL_SERIAL)*1000000+26*1000+21))</f>
        <v/>
      </c>
      <c r="EZ141" s="121">
        <f>IF(N('Dvd Calendar'!$Z$1391)=0,"",IF(('Dvd Calendar'!$Z$1391&gt;=GRID_FROM)*('Dvd Calendar'!$Z$1391&lt;=GRID_TO)*((('Dvd Calendar'!$Z$1391&lt;=VAL_DATE)+(COUNTIF('Dvd Calendar'!$E$1398:$AR$1398,'Dvd Calendar'!$Z$1391)=0))&gt;0)=0,"",'Dvd Calendar'!$Z$1391*1000000000+ISNUMBER('Dvd Calendar'!$Z$1394)*100000000+('Dvd Calendar'!$Z$1396=SPECIAL_LBL)*10000000+(N('Dvd Calendar'!$Z$1390)&gt;0)*(N('Dvd Calendar'!$Z$1390)&lt;=VAL_SERIAL)*1000000+26*1000+22))</f>
        <v/>
      </c>
      <c r="FA141" s="121">
        <f>IF(N('Dvd Calendar'!$AA$1391)=0,"",IF(('Dvd Calendar'!$AA$1391&gt;=GRID_FROM)*('Dvd Calendar'!$AA$1391&lt;=GRID_TO)*((('Dvd Calendar'!$AA$1391&lt;=VAL_DATE)+(COUNTIF('Dvd Calendar'!$E$1398:$AR$1398,'Dvd Calendar'!$AA$1391)=0))&gt;0)=0,"",'Dvd Calendar'!$AA$1391*1000000000+ISNUMBER('Dvd Calendar'!$AA$1394)*100000000+('Dvd Calendar'!$AA$1396=SPECIAL_LBL)*10000000+(N('Dvd Calendar'!$AA$1390)&gt;0)*(N('Dvd Calendar'!$AA$1390)&lt;=VAL_SERIAL)*1000000+26*1000+23))</f>
        <v/>
      </c>
      <c r="FB141" s="121">
        <f>IF(N('Dvd Calendar'!$AB$1391)=0,"",IF(('Dvd Calendar'!$AB$1391&gt;=GRID_FROM)*('Dvd Calendar'!$AB$1391&lt;=GRID_TO)*((('Dvd Calendar'!$AB$1391&lt;=VAL_DATE)+(COUNTIF('Dvd Calendar'!$E$1398:$AR$1398,'Dvd Calendar'!$AB$1391)=0))&gt;0)=0,"",'Dvd Calendar'!$AB$1391*1000000000+ISNUMBER('Dvd Calendar'!$AB$1394)*100000000+('Dvd Calendar'!$AB$1396=SPECIAL_LBL)*10000000+(N('Dvd Calendar'!$AB$1390)&gt;0)*(N('Dvd Calendar'!$AB$1390)&lt;=VAL_SERIAL)*1000000+26*1000+24))</f>
        <v/>
      </c>
      <c r="FC141" s="121">
        <f>IF(N('Dvd Calendar'!$AC$1391)=0,"",IF(('Dvd Calendar'!$AC$1391&gt;=GRID_FROM)*('Dvd Calendar'!$AC$1391&lt;=GRID_TO)*((('Dvd Calendar'!$AC$1391&lt;=VAL_DATE)+(COUNTIF('Dvd Calendar'!$E$1398:$AR$1398,'Dvd Calendar'!$AC$1391)=0))&gt;0)=0,"",'Dvd Calendar'!$AC$1391*1000000000+ISNUMBER('Dvd Calendar'!$AC$1394)*100000000+('Dvd Calendar'!$AC$1396=SPECIAL_LBL)*10000000+(N('Dvd Calendar'!$AC$1390)&gt;0)*(N('Dvd Calendar'!$AC$1390)&lt;=VAL_SERIAL)*1000000+26*1000+25))</f>
        <v/>
      </c>
      <c r="FD141" s="121">
        <f>IF(N('Dvd Calendar'!$AD$1391)=0,"",IF(('Dvd Calendar'!$AD$1391&gt;=GRID_FROM)*('Dvd Calendar'!$AD$1391&lt;=GRID_TO)*((('Dvd Calendar'!$AD$1391&lt;=VAL_DATE)+(COUNTIF('Dvd Calendar'!$E$1398:$AR$1398,'Dvd Calendar'!$AD$1391)=0))&gt;0)=0,"",'Dvd Calendar'!$AD$1391*1000000000+ISNUMBER('Dvd Calendar'!$AD$1394)*100000000+('Dvd Calendar'!$AD$1396=SPECIAL_LBL)*10000000+(N('Dvd Calendar'!$AD$1390)&gt;0)*(N('Dvd Calendar'!$AD$1390)&lt;=VAL_SERIAL)*1000000+26*1000+26))</f>
        <v/>
      </c>
      <c r="FE141" s="121">
        <f>IF(N('Dvd Calendar'!$AE$1391)=0,"",IF(('Dvd Calendar'!$AE$1391&gt;=GRID_FROM)*('Dvd Calendar'!$AE$1391&lt;=GRID_TO)*((('Dvd Calendar'!$AE$1391&lt;=VAL_DATE)+(COUNTIF('Dvd Calendar'!$E$1398:$AR$1398,'Dvd Calendar'!$AE$1391)=0))&gt;0)=0,"",'Dvd Calendar'!$AE$1391*1000000000+ISNUMBER('Dvd Calendar'!$AE$1394)*100000000+('Dvd Calendar'!$AE$1396=SPECIAL_LBL)*10000000+(N('Dvd Calendar'!$AE$1390)&gt;0)*(N('Dvd Calendar'!$AE$1390)&lt;=VAL_SERIAL)*1000000+26*1000+27))</f>
        <v/>
      </c>
      <c r="FF141" s="121">
        <f>IF(N('Dvd Calendar'!$AF$1391)=0,"",IF(('Dvd Calendar'!$AF$1391&gt;=GRID_FROM)*('Dvd Calendar'!$AF$1391&lt;=GRID_TO)*((('Dvd Calendar'!$AF$1391&lt;=VAL_DATE)+(COUNTIF('Dvd Calendar'!$E$1398:$AR$1398,'Dvd Calendar'!$AF$1391)=0))&gt;0)=0,"",'Dvd Calendar'!$AF$1391*1000000000+ISNUMBER('Dvd Calendar'!$AF$1394)*100000000+('Dvd Calendar'!$AF$1396=SPECIAL_LBL)*10000000+(N('Dvd Calendar'!$AF$1390)&gt;0)*(N('Dvd Calendar'!$AF$1390)&lt;=VAL_SERIAL)*1000000+26*1000+28))</f>
        <v/>
      </c>
      <c r="FG141" s="121">
        <f>IF(N('Dvd Calendar'!$AG$1391)=0,"",IF(('Dvd Calendar'!$AG$1391&gt;=GRID_FROM)*('Dvd Calendar'!$AG$1391&lt;=GRID_TO)*((('Dvd Calendar'!$AG$1391&lt;=VAL_DATE)+(COUNTIF('Dvd Calendar'!$E$1398:$AR$1398,'Dvd Calendar'!$AG$1391)=0))&gt;0)=0,"",'Dvd Calendar'!$AG$1391*1000000000+ISNUMBER('Dvd Calendar'!$AG$1394)*100000000+('Dvd Calendar'!$AG$1396=SPECIAL_LBL)*10000000+(N('Dvd Calendar'!$AG$1390)&gt;0)*(N('Dvd Calendar'!$AG$1390)&lt;=VAL_SERIAL)*1000000+26*1000+29))</f>
        <v/>
      </c>
      <c r="FH141" s="121">
        <f>IF(N('Dvd Calendar'!$AH$1391)=0,"",IF(('Dvd Calendar'!$AH$1391&gt;=GRID_FROM)*('Dvd Calendar'!$AH$1391&lt;=GRID_TO)*((('Dvd Calendar'!$AH$1391&lt;=VAL_DATE)+(COUNTIF('Dvd Calendar'!$E$1398:$AR$1398,'Dvd Calendar'!$AH$1391)=0))&gt;0)=0,"",'Dvd Calendar'!$AH$1391*1000000000+ISNUMBER('Dvd Calendar'!$AH$1394)*100000000+('Dvd Calendar'!$AH$1396=SPECIAL_LBL)*10000000+(N('Dvd Calendar'!$AH$1390)&gt;0)*(N('Dvd Calendar'!$AH$1390)&lt;=VAL_SERIAL)*1000000+26*1000+30))</f>
        <v/>
      </c>
      <c r="FI141" s="121">
        <f>IF(N('Dvd Calendar'!$AI$1391)=0,"",IF(('Dvd Calendar'!$AI$1391&gt;=GRID_FROM)*('Dvd Calendar'!$AI$1391&lt;=GRID_TO)*((('Dvd Calendar'!$AI$1391&lt;=VAL_DATE)+(COUNTIF('Dvd Calendar'!$E$1398:$AR$1398,'Dvd Calendar'!$AI$1391)=0))&gt;0)=0,"",'Dvd Calendar'!$AI$1391*1000000000+ISNUMBER('Dvd Calendar'!$AI$1394)*100000000+('Dvd Calendar'!$AI$1396=SPECIAL_LBL)*10000000+(N('Dvd Calendar'!$AI$1390)&gt;0)*(N('Dvd Calendar'!$AI$1390)&lt;=VAL_SERIAL)*1000000+26*1000+31))</f>
        <v/>
      </c>
      <c r="FJ141" s="121">
        <f>IF(N('Dvd Calendar'!$AJ$1391)=0,"",IF(('Dvd Calendar'!$AJ$1391&gt;=GRID_FROM)*('Dvd Calendar'!$AJ$1391&lt;=GRID_TO)*((('Dvd Calendar'!$AJ$1391&lt;=VAL_DATE)+(COUNTIF('Dvd Calendar'!$E$1398:$AR$1398,'Dvd Calendar'!$AJ$1391)=0))&gt;0)=0,"",'Dvd Calendar'!$AJ$1391*1000000000+ISNUMBER('Dvd Calendar'!$AJ$1394)*100000000+('Dvd Calendar'!$AJ$1396=SPECIAL_LBL)*10000000+(N('Dvd Calendar'!$AJ$1390)&gt;0)*(N('Dvd Calendar'!$AJ$1390)&lt;=VAL_SERIAL)*1000000+26*1000+32))</f>
        <v/>
      </c>
      <c r="FK141" s="121">
        <f>IF(N('Dvd Calendar'!$AK$1391)=0,"",IF(('Dvd Calendar'!$AK$1391&gt;=GRID_FROM)*('Dvd Calendar'!$AK$1391&lt;=GRID_TO)*((('Dvd Calendar'!$AK$1391&lt;=VAL_DATE)+(COUNTIF('Dvd Calendar'!$E$1398:$AR$1398,'Dvd Calendar'!$AK$1391)=0))&gt;0)=0,"",'Dvd Calendar'!$AK$1391*1000000000+ISNUMBER('Dvd Calendar'!$AK$1394)*100000000+('Dvd Calendar'!$AK$1396=SPECIAL_LBL)*10000000+(N('Dvd Calendar'!$AK$1390)&gt;0)*(N('Dvd Calendar'!$AK$1390)&lt;=VAL_SERIAL)*1000000+26*1000+33))</f>
        <v/>
      </c>
      <c r="FL141" s="121">
        <f>IF(N('Dvd Calendar'!$AL$1391)=0,"",IF(('Dvd Calendar'!$AL$1391&gt;=GRID_FROM)*('Dvd Calendar'!$AL$1391&lt;=GRID_TO)*((('Dvd Calendar'!$AL$1391&lt;=VAL_DATE)+(COUNTIF('Dvd Calendar'!$E$1398:$AR$1398,'Dvd Calendar'!$AL$1391)=0))&gt;0)=0,"",'Dvd Calendar'!$AL$1391*1000000000+ISNUMBER('Dvd Calendar'!$AL$1394)*100000000+('Dvd Calendar'!$AL$1396=SPECIAL_LBL)*10000000+(N('Dvd Calendar'!$AL$1390)&gt;0)*(N('Dvd Calendar'!$AL$1390)&lt;=VAL_SERIAL)*1000000+26*1000+34))</f>
        <v/>
      </c>
      <c r="FM141" s="121">
        <f>IF(N('Dvd Calendar'!$AM$1391)=0,"",IF(('Dvd Calendar'!$AM$1391&gt;=GRID_FROM)*('Dvd Calendar'!$AM$1391&lt;=GRID_TO)*((('Dvd Calendar'!$AM$1391&lt;=VAL_DATE)+(COUNTIF('Dvd Calendar'!$E$1398:$AR$1398,'Dvd Calendar'!$AM$1391)=0))&gt;0)=0,"",'Dvd Calendar'!$AM$1391*1000000000+ISNUMBER('Dvd Calendar'!$AM$1394)*100000000+('Dvd Calendar'!$AM$1396=SPECIAL_LBL)*10000000+(N('Dvd Calendar'!$AM$1390)&gt;0)*(N('Dvd Calendar'!$AM$1390)&lt;=VAL_SERIAL)*1000000+26*1000+35))</f>
        <v/>
      </c>
      <c r="FN141" s="121">
        <f>IF(N('Dvd Calendar'!$AN$1391)=0,"",IF(('Dvd Calendar'!$AN$1391&gt;=GRID_FROM)*('Dvd Calendar'!$AN$1391&lt;=GRID_TO)*((('Dvd Calendar'!$AN$1391&lt;=VAL_DATE)+(COUNTIF('Dvd Calendar'!$E$1398:$AR$1398,'Dvd Calendar'!$AN$1391)=0))&gt;0)=0,"",'Dvd Calendar'!$AN$1391*1000000000+ISNUMBER('Dvd Calendar'!$AN$1394)*100000000+('Dvd Calendar'!$AN$1396=SPECIAL_LBL)*10000000+(N('Dvd Calendar'!$AN$1390)&gt;0)*(N('Dvd Calendar'!$AN$1390)&lt;=VAL_SERIAL)*1000000+26*1000+36))</f>
        <v/>
      </c>
      <c r="FO141" s="121">
        <f>IF(N('Dvd Calendar'!$AO$1391)=0,"",IF(('Dvd Calendar'!$AO$1391&gt;=GRID_FROM)*('Dvd Calendar'!$AO$1391&lt;=GRID_TO)*((('Dvd Calendar'!$AO$1391&lt;=VAL_DATE)+(COUNTIF('Dvd Calendar'!$E$1398:$AR$1398,'Dvd Calendar'!$AO$1391)=0))&gt;0)=0,"",'Dvd Calendar'!$AO$1391*1000000000+ISNUMBER('Dvd Calendar'!$AO$1394)*100000000+('Dvd Calendar'!$AO$1396=SPECIAL_LBL)*10000000+(N('Dvd Calendar'!$AO$1390)&gt;0)*(N('Dvd Calendar'!$AO$1390)&lt;=VAL_SERIAL)*1000000+26*1000+37))</f>
        <v/>
      </c>
      <c r="FP141" s="121">
        <f>IF(N('Dvd Calendar'!$AP$1391)=0,"",IF(('Dvd Calendar'!$AP$1391&gt;=GRID_FROM)*('Dvd Calendar'!$AP$1391&lt;=GRID_TO)*((('Dvd Calendar'!$AP$1391&lt;=VAL_DATE)+(COUNTIF('Dvd Calendar'!$E$1398:$AR$1398,'Dvd Calendar'!$AP$1391)=0))&gt;0)=0,"",'Dvd Calendar'!$AP$1391*1000000000+ISNUMBER('Dvd Calendar'!$AP$1394)*100000000+('Dvd Calendar'!$AP$1396=SPECIAL_LBL)*10000000+(N('Dvd Calendar'!$AP$1390)&gt;0)*(N('Dvd Calendar'!$AP$1390)&lt;=VAL_SERIAL)*1000000+26*1000+38))</f>
        <v/>
      </c>
      <c r="FQ141" s="121">
        <f>IF(N('Dvd Calendar'!$AQ$1391)=0,"",IF(('Dvd Calendar'!$AQ$1391&gt;=GRID_FROM)*('Dvd Calendar'!$AQ$1391&lt;=GRID_TO)*((('Dvd Calendar'!$AQ$1391&lt;=VAL_DATE)+(COUNTIF('Dvd Calendar'!$E$1398:$AR$1398,'Dvd Calendar'!$AQ$1391)=0))&gt;0)=0,"",'Dvd Calendar'!$AQ$1391*1000000000+ISNUMBER('Dvd Calendar'!$AQ$1394)*100000000+('Dvd Calendar'!$AQ$1396=SPECIAL_LBL)*10000000+(N('Dvd Calendar'!$AQ$1390)&gt;0)*(N('Dvd Calendar'!$AQ$1390)&lt;=VAL_SERIAL)*1000000+26*1000+39))</f>
        <v/>
      </c>
      <c r="FR141" s="121">
        <f>IF(N('Dvd Calendar'!$AR$1391)=0,"",IF(('Dvd Calendar'!$AR$1391&gt;=GRID_FROM)*('Dvd Calendar'!$AR$1391&lt;=GRID_TO)*((('Dvd Calendar'!$AR$1391&lt;=VAL_DATE)+(COUNTIF('Dvd Calendar'!$E$1398:$AR$1398,'Dvd Calendar'!$AR$1391)=0))&gt;0)=0,"",'Dvd Calendar'!$AR$1391*1000000000+ISNUMBER('Dvd Calendar'!$AR$1394)*100000000+('Dvd Calendar'!$AR$1396=SPECIAL_LBL)*10000000+(N('Dvd Calendar'!$AR$1390)&gt;0)*(N('Dvd Calendar'!$AR$1390)&lt;=VAL_SERIAL)*1000000+26*1000+40))</f>
        <v/>
      </c>
      <c r="FS141" s="121">
        <f>IF(N('Dvd Calendar'!$E$1398)=0,"",IF(('Dvd Calendar'!$E$1398&gt;=GRID_FROM)*('Dvd Calendar'!$E$1398&lt;=GRID_TO)*('Dvd Calendar'!$E$1398&gt;VAL_DATE)=0,"",'Dvd Calendar'!$E$1398*1000000000+ISNUMBER('Dvd Calendar'!$E$1399)*100000000+0*10000000+(N('Dvd Calendar'!$E$1397)&gt;0)*(N('Dvd Calendar'!$E$1397)&lt;=VAL_SERIAL)*1000000+26*1000+41))</f>
        <v/>
      </c>
      <c r="FT141" s="121">
        <f>IF(N('Dvd Calendar'!$F$1398)=0,"",IF(('Dvd Calendar'!$F$1398&gt;=GRID_FROM)*('Dvd Calendar'!$F$1398&lt;=GRID_TO)*('Dvd Calendar'!$F$1398&gt;VAL_DATE)=0,"",'Dvd Calendar'!$F$1398*1000000000+ISNUMBER('Dvd Calendar'!$F$1399)*100000000+0*10000000+(N('Dvd Calendar'!$F$1397)&gt;0)*(N('Dvd Calendar'!$F$1397)&lt;=VAL_SERIAL)*1000000+26*1000+42))</f>
        <v/>
      </c>
      <c r="FU141" s="121">
        <f>IF(N('Dvd Calendar'!$G$1398)=0,"",IF(('Dvd Calendar'!$G$1398&gt;=GRID_FROM)*('Dvd Calendar'!$G$1398&lt;=GRID_TO)*('Dvd Calendar'!$G$1398&gt;VAL_DATE)=0,"",'Dvd Calendar'!$G$1398*1000000000+ISNUMBER('Dvd Calendar'!$G$1399)*100000000+0*10000000+(N('Dvd Calendar'!$G$1397)&gt;0)*(N('Dvd Calendar'!$G$1397)&lt;=VAL_SERIAL)*1000000+26*1000+43))</f>
        <v/>
      </c>
      <c r="FV141" s="121">
        <f>IF(N('Dvd Calendar'!$H$1398)=0,"",IF(('Dvd Calendar'!$H$1398&gt;=GRID_FROM)*('Dvd Calendar'!$H$1398&lt;=GRID_TO)*('Dvd Calendar'!$H$1398&gt;VAL_DATE)=0,"",'Dvd Calendar'!$H$1398*1000000000+ISNUMBER('Dvd Calendar'!$H$1399)*100000000+0*10000000+(N('Dvd Calendar'!$H$1397)&gt;0)*(N('Dvd Calendar'!$H$1397)&lt;=VAL_SERIAL)*1000000+26*1000+44))</f>
        <v/>
      </c>
      <c r="FW141" s="121">
        <f>IF(N('Dvd Calendar'!$I$1398)=0,"",IF(('Dvd Calendar'!$I$1398&gt;=GRID_FROM)*('Dvd Calendar'!$I$1398&lt;=GRID_TO)*('Dvd Calendar'!$I$1398&gt;VAL_DATE)=0,"",'Dvd Calendar'!$I$1398*1000000000+ISNUMBER('Dvd Calendar'!$I$1399)*100000000+0*10000000+(N('Dvd Calendar'!$I$1397)&gt;0)*(N('Dvd Calendar'!$I$1397)&lt;=VAL_SERIAL)*1000000+26*1000+45))</f>
        <v/>
      </c>
      <c r="FX141" s="121">
        <f>IF(N('Dvd Calendar'!$J$1398)=0,"",IF(('Dvd Calendar'!$J$1398&gt;=GRID_FROM)*('Dvd Calendar'!$J$1398&lt;=GRID_TO)*('Dvd Calendar'!$J$1398&gt;VAL_DATE)=0,"",'Dvd Calendar'!$J$1398*1000000000+ISNUMBER('Dvd Calendar'!$J$1399)*100000000+0*10000000+(N('Dvd Calendar'!$J$1397)&gt;0)*(N('Dvd Calendar'!$J$1397)&lt;=VAL_SERIAL)*1000000+26*1000+46))</f>
        <v/>
      </c>
      <c r="FY141" s="121">
        <f>IF(N('Dvd Calendar'!$K$1398)=0,"",IF(('Dvd Calendar'!$K$1398&gt;=GRID_FROM)*('Dvd Calendar'!$K$1398&lt;=GRID_TO)*('Dvd Calendar'!$K$1398&gt;VAL_DATE)=0,"",'Dvd Calendar'!$K$1398*1000000000+ISNUMBER('Dvd Calendar'!$K$1399)*100000000+0*10000000+(N('Dvd Calendar'!$K$1397)&gt;0)*(N('Dvd Calendar'!$K$1397)&lt;=VAL_SERIAL)*1000000+26*1000+47))</f>
        <v/>
      </c>
      <c r="FZ141" s="121">
        <f>IF(N('Dvd Calendar'!$L$1398)=0,"",IF(('Dvd Calendar'!$L$1398&gt;=GRID_FROM)*('Dvd Calendar'!$L$1398&lt;=GRID_TO)*('Dvd Calendar'!$L$1398&gt;VAL_DATE)=0,"",'Dvd Calendar'!$L$1398*1000000000+ISNUMBER('Dvd Calendar'!$L$1399)*100000000+0*10000000+(N('Dvd Calendar'!$L$1397)&gt;0)*(N('Dvd Calendar'!$L$1397)&lt;=VAL_SERIAL)*1000000+26*1000+48))</f>
        <v/>
      </c>
      <c r="GA141" s="121">
        <f>IF(N('Dvd Calendar'!$M$1398)=0,"",IF(('Dvd Calendar'!$M$1398&gt;=GRID_FROM)*('Dvd Calendar'!$M$1398&lt;=GRID_TO)*('Dvd Calendar'!$M$1398&gt;VAL_DATE)=0,"",'Dvd Calendar'!$M$1398*1000000000+ISNUMBER('Dvd Calendar'!$M$1399)*100000000+0*10000000+(N('Dvd Calendar'!$M$1397)&gt;0)*(N('Dvd Calendar'!$M$1397)&lt;=VAL_SERIAL)*1000000+26*1000+49))</f>
        <v/>
      </c>
      <c r="GB141" s="121">
        <f>IF(N('Dvd Calendar'!$N$1398)=0,"",IF(('Dvd Calendar'!$N$1398&gt;=GRID_FROM)*('Dvd Calendar'!$N$1398&lt;=GRID_TO)*('Dvd Calendar'!$N$1398&gt;VAL_DATE)=0,"",'Dvd Calendar'!$N$1398*1000000000+ISNUMBER('Dvd Calendar'!$N$1399)*100000000+0*10000000+(N('Dvd Calendar'!$N$1397)&gt;0)*(N('Dvd Calendar'!$N$1397)&lt;=VAL_SERIAL)*1000000+26*1000+50))</f>
        <v/>
      </c>
      <c r="GC141" s="121">
        <f>IF(N('Dvd Calendar'!$O$1398)=0,"",IF(('Dvd Calendar'!$O$1398&gt;=GRID_FROM)*('Dvd Calendar'!$O$1398&lt;=GRID_TO)*('Dvd Calendar'!$O$1398&gt;VAL_DATE)=0,"",'Dvd Calendar'!$O$1398*1000000000+ISNUMBER('Dvd Calendar'!$O$1399)*100000000+0*10000000+(N('Dvd Calendar'!$O$1397)&gt;0)*(N('Dvd Calendar'!$O$1397)&lt;=VAL_SERIAL)*1000000+26*1000+51))</f>
        <v/>
      </c>
      <c r="GD141" s="121">
        <f>IF(N('Dvd Calendar'!$P$1398)=0,"",IF(('Dvd Calendar'!$P$1398&gt;=GRID_FROM)*('Dvd Calendar'!$P$1398&lt;=GRID_TO)*('Dvd Calendar'!$P$1398&gt;VAL_DATE)=0,"",'Dvd Calendar'!$P$1398*1000000000+ISNUMBER('Dvd Calendar'!$P$1399)*100000000+0*10000000+(N('Dvd Calendar'!$P$1397)&gt;0)*(N('Dvd Calendar'!$P$1397)&lt;=VAL_SERIAL)*1000000+26*1000+52))</f>
        <v/>
      </c>
      <c r="GE141" s="121">
        <f>IF(N('Dvd Calendar'!$Q$1398)=0,"",IF(('Dvd Calendar'!$Q$1398&gt;=GRID_FROM)*('Dvd Calendar'!$Q$1398&lt;=GRID_TO)*('Dvd Calendar'!$Q$1398&gt;VAL_DATE)=0,"",'Dvd Calendar'!$Q$1398*1000000000+ISNUMBER('Dvd Calendar'!$Q$1399)*100000000+0*10000000+(N('Dvd Calendar'!$Q$1397)&gt;0)*(N('Dvd Calendar'!$Q$1397)&lt;=VAL_SERIAL)*1000000+26*1000+53))</f>
        <v/>
      </c>
      <c r="GF141" s="121">
        <f>IF(N('Dvd Calendar'!$R$1398)=0,"",IF(('Dvd Calendar'!$R$1398&gt;=GRID_FROM)*('Dvd Calendar'!$R$1398&lt;=GRID_TO)*('Dvd Calendar'!$R$1398&gt;VAL_DATE)=0,"",'Dvd Calendar'!$R$1398*1000000000+ISNUMBER('Dvd Calendar'!$R$1399)*100000000+0*10000000+(N('Dvd Calendar'!$R$1397)&gt;0)*(N('Dvd Calendar'!$R$1397)&lt;=VAL_SERIAL)*1000000+26*1000+54))</f>
        <v/>
      </c>
      <c r="GG141" s="121">
        <f>IF(N('Dvd Calendar'!$S$1398)=0,"",IF(('Dvd Calendar'!$S$1398&gt;=GRID_FROM)*('Dvd Calendar'!$S$1398&lt;=GRID_TO)*('Dvd Calendar'!$S$1398&gt;VAL_DATE)=0,"",'Dvd Calendar'!$S$1398*1000000000+ISNUMBER('Dvd Calendar'!$S$1399)*100000000+0*10000000+(N('Dvd Calendar'!$S$1397)&gt;0)*(N('Dvd Calendar'!$S$1397)&lt;=VAL_SERIAL)*1000000+26*1000+55))</f>
        <v/>
      </c>
      <c r="GH141" s="121">
        <f>IF(N('Dvd Calendar'!$T$1398)=0,"",IF(('Dvd Calendar'!$T$1398&gt;=GRID_FROM)*('Dvd Calendar'!$T$1398&lt;=GRID_TO)*('Dvd Calendar'!$T$1398&gt;VAL_DATE)=0,"",'Dvd Calendar'!$T$1398*1000000000+ISNUMBER('Dvd Calendar'!$T$1399)*100000000+0*10000000+(N('Dvd Calendar'!$T$1397)&gt;0)*(N('Dvd Calendar'!$T$1397)&lt;=VAL_SERIAL)*1000000+26*1000+56))</f>
        <v/>
      </c>
      <c r="GI141" s="121">
        <f>IF(N('Dvd Calendar'!$U$1398)=0,"",IF(('Dvd Calendar'!$U$1398&gt;=GRID_FROM)*('Dvd Calendar'!$U$1398&lt;=GRID_TO)*('Dvd Calendar'!$U$1398&gt;VAL_DATE)=0,"",'Dvd Calendar'!$U$1398*1000000000+ISNUMBER('Dvd Calendar'!$U$1399)*100000000+0*10000000+(N('Dvd Calendar'!$U$1397)&gt;0)*(N('Dvd Calendar'!$U$1397)&lt;=VAL_SERIAL)*1000000+26*1000+57))</f>
        <v/>
      </c>
      <c r="GJ141" s="121">
        <f>IF(N('Dvd Calendar'!$V$1398)=0,"",IF(('Dvd Calendar'!$V$1398&gt;=GRID_FROM)*('Dvd Calendar'!$V$1398&lt;=GRID_TO)*('Dvd Calendar'!$V$1398&gt;VAL_DATE)=0,"",'Dvd Calendar'!$V$1398*1000000000+ISNUMBER('Dvd Calendar'!$V$1399)*100000000+0*10000000+(N('Dvd Calendar'!$V$1397)&gt;0)*(N('Dvd Calendar'!$V$1397)&lt;=VAL_SERIAL)*1000000+26*1000+58))</f>
        <v/>
      </c>
      <c r="GK141" s="121">
        <f>IF(N('Dvd Calendar'!$W$1398)=0,"",IF(('Dvd Calendar'!$W$1398&gt;=GRID_FROM)*('Dvd Calendar'!$W$1398&lt;=GRID_TO)*('Dvd Calendar'!$W$1398&gt;VAL_DATE)=0,"",'Dvd Calendar'!$W$1398*1000000000+ISNUMBER('Dvd Calendar'!$W$1399)*100000000+0*10000000+(N('Dvd Calendar'!$W$1397)&gt;0)*(N('Dvd Calendar'!$W$1397)&lt;=VAL_SERIAL)*1000000+26*1000+59))</f>
        <v/>
      </c>
      <c r="GL141" s="121">
        <f>IF(N('Dvd Calendar'!$X$1398)=0,"",IF(('Dvd Calendar'!$X$1398&gt;=GRID_FROM)*('Dvd Calendar'!$X$1398&lt;=GRID_TO)*('Dvd Calendar'!$X$1398&gt;VAL_DATE)=0,"",'Dvd Calendar'!$X$1398*1000000000+ISNUMBER('Dvd Calendar'!$X$1399)*100000000+0*10000000+(N('Dvd Calendar'!$X$1397)&gt;0)*(N('Dvd Calendar'!$X$1397)&lt;=VAL_SERIAL)*1000000+26*1000+60))</f>
        <v/>
      </c>
      <c r="GM141" s="121">
        <f>IF(N('Dvd Calendar'!$Y$1398)=0,"",IF(('Dvd Calendar'!$Y$1398&gt;=GRID_FROM)*('Dvd Calendar'!$Y$1398&lt;=GRID_TO)*('Dvd Calendar'!$Y$1398&gt;VAL_DATE)=0,"",'Dvd Calendar'!$Y$1398*1000000000+ISNUMBER('Dvd Calendar'!$Y$1399)*100000000+0*10000000+(N('Dvd Calendar'!$Y$1397)&gt;0)*(N('Dvd Calendar'!$Y$1397)&lt;=VAL_SERIAL)*1000000+26*1000+61))</f>
        <v/>
      </c>
      <c r="GN141" s="121">
        <f>IF(N('Dvd Calendar'!$Z$1398)=0,"",IF(('Dvd Calendar'!$Z$1398&gt;=GRID_FROM)*('Dvd Calendar'!$Z$1398&lt;=GRID_TO)*('Dvd Calendar'!$Z$1398&gt;VAL_DATE)=0,"",'Dvd Calendar'!$Z$1398*1000000000+ISNUMBER('Dvd Calendar'!$Z$1399)*100000000+0*10000000+(N('Dvd Calendar'!$Z$1397)&gt;0)*(N('Dvd Calendar'!$Z$1397)&lt;=VAL_SERIAL)*1000000+26*1000+62))</f>
        <v/>
      </c>
      <c r="GO141" s="121">
        <f>IF(N('Dvd Calendar'!$AA$1398)=0,"",IF(('Dvd Calendar'!$AA$1398&gt;=GRID_FROM)*('Dvd Calendar'!$AA$1398&lt;=GRID_TO)*('Dvd Calendar'!$AA$1398&gt;VAL_DATE)=0,"",'Dvd Calendar'!$AA$1398*1000000000+ISNUMBER('Dvd Calendar'!$AA$1399)*100000000+0*10000000+(N('Dvd Calendar'!$AA$1397)&gt;0)*(N('Dvd Calendar'!$AA$1397)&lt;=VAL_SERIAL)*1000000+26*1000+63))</f>
        <v/>
      </c>
      <c r="GP141" s="121">
        <f>IF(N('Dvd Calendar'!$AB$1398)=0,"",IF(('Dvd Calendar'!$AB$1398&gt;=GRID_FROM)*('Dvd Calendar'!$AB$1398&lt;=GRID_TO)*('Dvd Calendar'!$AB$1398&gt;VAL_DATE)=0,"",'Dvd Calendar'!$AB$1398*1000000000+ISNUMBER('Dvd Calendar'!$AB$1399)*100000000+0*10000000+(N('Dvd Calendar'!$AB$1397)&gt;0)*(N('Dvd Calendar'!$AB$1397)&lt;=VAL_SERIAL)*1000000+26*1000+64))</f>
        <v/>
      </c>
      <c r="GQ141" s="121">
        <f>IF(N('Dvd Calendar'!$AC$1398)=0,"",IF(('Dvd Calendar'!$AC$1398&gt;=GRID_FROM)*('Dvd Calendar'!$AC$1398&lt;=GRID_TO)*('Dvd Calendar'!$AC$1398&gt;VAL_DATE)=0,"",'Dvd Calendar'!$AC$1398*1000000000+ISNUMBER('Dvd Calendar'!$AC$1399)*100000000+0*10000000+(N('Dvd Calendar'!$AC$1397)&gt;0)*(N('Dvd Calendar'!$AC$1397)&lt;=VAL_SERIAL)*1000000+26*1000+65))</f>
        <v/>
      </c>
    </row>
    <row r="142">
      <c r="B142" s="2">
        <f>IF(HSTECH!$C$33="","",HSTECH!$C$33)</f>
        <v/>
      </c>
      <c r="C142" s="161">
        <f>IF(EE142="","",IF(ISNUMBER('Dvd Calendar'!$E$1405)=FALSE,"",IF((('Dvd Calendar'!$E$1407=TYPE1)*(TYPE1&lt;&gt;"")+('Dvd Calendar'!$E$1407=TYPE2)*(TYPE2&lt;&gt;"")+('Dvd Calendar'!$E$1407=TYPE3)*(TYPE3&lt;&gt;"")+('Dvd Calendar'!$E$1407=TYPE4)*(TYPE4&lt;&gt;"")+('Dvd Calendar'!$E$1407=SPECIAL_LBL)*(INC_SPECIALS="Y"))=0,"",'Dvd Calendar'!$E$1405)))</f>
        <v/>
      </c>
      <c r="D142" s="161">
        <f>IF(EF142="","",IF(ISNUMBER('Dvd Calendar'!$F$1405)=FALSE,"",IF((('Dvd Calendar'!$F$1407=TYPE1)*(TYPE1&lt;&gt;"")+('Dvd Calendar'!$F$1407=TYPE2)*(TYPE2&lt;&gt;"")+('Dvd Calendar'!$F$1407=TYPE3)*(TYPE3&lt;&gt;"")+('Dvd Calendar'!$F$1407=TYPE4)*(TYPE4&lt;&gt;"")+('Dvd Calendar'!$F$1407=SPECIAL_LBL)*(INC_SPECIALS="Y"))=0,"",'Dvd Calendar'!$F$1405)))</f>
        <v/>
      </c>
      <c r="E142" s="161">
        <f>IF(EG142="","",IF(ISNUMBER('Dvd Calendar'!$G$1405)=FALSE,"",IF((('Dvd Calendar'!$G$1407=TYPE1)*(TYPE1&lt;&gt;"")+('Dvd Calendar'!$G$1407=TYPE2)*(TYPE2&lt;&gt;"")+('Dvd Calendar'!$G$1407=TYPE3)*(TYPE3&lt;&gt;"")+('Dvd Calendar'!$G$1407=TYPE4)*(TYPE4&lt;&gt;"")+('Dvd Calendar'!$G$1407=SPECIAL_LBL)*(INC_SPECIALS="Y"))=0,"",'Dvd Calendar'!$G$1405)))</f>
        <v/>
      </c>
      <c r="F142" s="161">
        <f>IF(EH142="","",IF(ISNUMBER('Dvd Calendar'!$H$1405)=FALSE,"",IF((('Dvd Calendar'!$H$1407=TYPE1)*(TYPE1&lt;&gt;"")+('Dvd Calendar'!$H$1407=TYPE2)*(TYPE2&lt;&gt;"")+('Dvd Calendar'!$H$1407=TYPE3)*(TYPE3&lt;&gt;"")+('Dvd Calendar'!$H$1407=TYPE4)*(TYPE4&lt;&gt;"")+('Dvd Calendar'!$H$1407=SPECIAL_LBL)*(INC_SPECIALS="Y"))=0,"",'Dvd Calendar'!$H$1405)))</f>
        <v/>
      </c>
      <c r="G142" s="161">
        <f>IF(EI142="","",IF(ISNUMBER('Dvd Calendar'!$I$1405)=FALSE,"",IF((('Dvd Calendar'!$I$1407=TYPE1)*(TYPE1&lt;&gt;"")+('Dvd Calendar'!$I$1407=TYPE2)*(TYPE2&lt;&gt;"")+('Dvd Calendar'!$I$1407=TYPE3)*(TYPE3&lt;&gt;"")+('Dvd Calendar'!$I$1407=TYPE4)*(TYPE4&lt;&gt;"")+('Dvd Calendar'!$I$1407=SPECIAL_LBL)*(INC_SPECIALS="Y"))=0,"",'Dvd Calendar'!$I$1405)))</f>
        <v/>
      </c>
      <c r="H142" s="161">
        <f>IF(EJ142="","",IF(ISNUMBER('Dvd Calendar'!$J$1405)=FALSE,"",IF((('Dvd Calendar'!$J$1407=TYPE1)*(TYPE1&lt;&gt;"")+('Dvd Calendar'!$J$1407=TYPE2)*(TYPE2&lt;&gt;"")+('Dvd Calendar'!$J$1407=TYPE3)*(TYPE3&lt;&gt;"")+('Dvd Calendar'!$J$1407=TYPE4)*(TYPE4&lt;&gt;"")+('Dvd Calendar'!$J$1407=SPECIAL_LBL)*(INC_SPECIALS="Y"))=0,"",'Dvd Calendar'!$J$1405)))</f>
        <v/>
      </c>
      <c r="I142" s="161">
        <f>IF(EK142="","",IF(ISNUMBER('Dvd Calendar'!$K$1405)=FALSE,"",IF((('Dvd Calendar'!$K$1407=TYPE1)*(TYPE1&lt;&gt;"")+('Dvd Calendar'!$K$1407=TYPE2)*(TYPE2&lt;&gt;"")+('Dvd Calendar'!$K$1407=TYPE3)*(TYPE3&lt;&gt;"")+('Dvd Calendar'!$K$1407=TYPE4)*(TYPE4&lt;&gt;"")+('Dvd Calendar'!$K$1407=SPECIAL_LBL)*(INC_SPECIALS="Y"))=0,"",'Dvd Calendar'!$K$1405)))</f>
        <v/>
      </c>
      <c r="J142" s="161">
        <f>IF(EL142="","",IF(ISNUMBER('Dvd Calendar'!$L$1405)=FALSE,"",IF((('Dvd Calendar'!$L$1407=TYPE1)*(TYPE1&lt;&gt;"")+('Dvd Calendar'!$L$1407=TYPE2)*(TYPE2&lt;&gt;"")+('Dvd Calendar'!$L$1407=TYPE3)*(TYPE3&lt;&gt;"")+('Dvd Calendar'!$L$1407=TYPE4)*(TYPE4&lt;&gt;"")+('Dvd Calendar'!$L$1407=SPECIAL_LBL)*(INC_SPECIALS="Y"))=0,"",'Dvd Calendar'!$L$1405)))</f>
        <v/>
      </c>
      <c r="K142" s="161">
        <f>IF(EM142="","",IF(ISNUMBER('Dvd Calendar'!$M$1405)=FALSE,"",IF((('Dvd Calendar'!$M$1407=TYPE1)*(TYPE1&lt;&gt;"")+('Dvd Calendar'!$M$1407=TYPE2)*(TYPE2&lt;&gt;"")+('Dvd Calendar'!$M$1407=TYPE3)*(TYPE3&lt;&gt;"")+('Dvd Calendar'!$M$1407=TYPE4)*(TYPE4&lt;&gt;"")+('Dvd Calendar'!$M$1407=SPECIAL_LBL)*(INC_SPECIALS="Y"))=0,"",'Dvd Calendar'!$M$1405)))</f>
        <v/>
      </c>
      <c r="L142" s="161">
        <f>IF(EN142="","",IF(ISNUMBER('Dvd Calendar'!$N$1405)=FALSE,"",IF((('Dvd Calendar'!$N$1407=TYPE1)*(TYPE1&lt;&gt;"")+('Dvd Calendar'!$N$1407=TYPE2)*(TYPE2&lt;&gt;"")+('Dvd Calendar'!$N$1407=TYPE3)*(TYPE3&lt;&gt;"")+('Dvd Calendar'!$N$1407=TYPE4)*(TYPE4&lt;&gt;"")+('Dvd Calendar'!$N$1407=SPECIAL_LBL)*(INC_SPECIALS="Y"))=0,"",'Dvd Calendar'!$N$1405)))</f>
        <v/>
      </c>
      <c r="M142" s="161">
        <f>IF(EO142="","",IF(ISNUMBER('Dvd Calendar'!$O$1405)=FALSE,"",IF((('Dvd Calendar'!$O$1407=TYPE1)*(TYPE1&lt;&gt;"")+('Dvd Calendar'!$O$1407=TYPE2)*(TYPE2&lt;&gt;"")+('Dvd Calendar'!$O$1407=TYPE3)*(TYPE3&lt;&gt;"")+('Dvd Calendar'!$O$1407=TYPE4)*(TYPE4&lt;&gt;"")+('Dvd Calendar'!$O$1407=SPECIAL_LBL)*(INC_SPECIALS="Y"))=0,"",'Dvd Calendar'!$O$1405)))</f>
        <v/>
      </c>
      <c r="N142" s="161">
        <f>IF(EP142="","",IF(ISNUMBER('Dvd Calendar'!$P$1405)=FALSE,"",IF((('Dvd Calendar'!$P$1407=TYPE1)*(TYPE1&lt;&gt;"")+('Dvd Calendar'!$P$1407=TYPE2)*(TYPE2&lt;&gt;"")+('Dvd Calendar'!$P$1407=TYPE3)*(TYPE3&lt;&gt;"")+('Dvd Calendar'!$P$1407=TYPE4)*(TYPE4&lt;&gt;"")+('Dvd Calendar'!$P$1407=SPECIAL_LBL)*(INC_SPECIALS="Y"))=0,"",'Dvd Calendar'!$P$1405)))</f>
        <v/>
      </c>
      <c r="O142" s="161">
        <f>IF(EQ142="","",IF(ISNUMBER('Dvd Calendar'!$Q$1405)=FALSE,"",IF((('Dvd Calendar'!$Q$1407=TYPE1)*(TYPE1&lt;&gt;"")+('Dvd Calendar'!$Q$1407=TYPE2)*(TYPE2&lt;&gt;"")+('Dvd Calendar'!$Q$1407=TYPE3)*(TYPE3&lt;&gt;"")+('Dvd Calendar'!$Q$1407=TYPE4)*(TYPE4&lt;&gt;"")+('Dvd Calendar'!$Q$1407=SPECIAL_LBL)*(INC_SPECIALS="Y"))=0,"",'Dvd Calendar'!$Q$1405)))</f>
        <v/>
      </c>
      <c r="P142" s="161">
        <f>IF(ER142="","",IF(ISNUMBER('Dvd Calendar'!$R$1405)=FALSE,"",IF((('Dvd Calendar'!$R$1407=TYPE1)*(TYPE1&lt;&gt;"")+('Dvd Calendar'!$R$1407=TYPE2)*(TYPE2&lt;&gt;"")+('Dvd Calendar'!$R$1407=TYPE3)*(TYPE3&lt;&gt;"")+('Dvd Calendar'!$R$1407=TYPE4)*(TYPE4&lt;&gt;"")+('Dvd Calendar'!$R$1407=SPECIAL_LBL)*(INC_SPECIALS="Y"))=0,"",'Dvd Calendar'!$R$1405)))</f>
        <v/>
      </c>
      <c r="Q142" s="161">
        <f>IF(ES142="","",IF(ISNUMBER('Dvd Calendar'!$S$1405)=FALSE,"",IF((('Dvd Calendar'!$S$1407=TYPE1)*(TYPE1&lt;&gt;"")+('Dvd Calendar'!$S$1407=TYPE2)*(TYPE2&lt;&gt;"")+('Dvd Calendar'!$S$1407=TYPE3)*(TYPE3&lt;&gt;"")+('Dvd Calendar'!$S$1407=TYPE4)*(TYPE4&lt;&gt;"")+('Dvd Calendar'!$S$1407=SPECIAL_LBL)*(INC_SPECIALS="Y"))=0,"",'Dvd Calendar'!$S$1405)))</f>
        <v/>
      </c>
      <c r="R142" s="161">
        <f>IF(ET142="","",IF(ISNUMBER('Dvd Calendar'!$T$1405)=FALSE,"",IF((('Dvd Calendar'!$T$1407=TYPE1)*(TYPE1&lt;&gt;"")+('Dvd Calendar'!$T$1407=TYPE2)*(TYPE2&lt;&gt;"")+('Dvd Calendar'!$T$1407=TYPE3)*(TYPE3&lt;&gt;"")+('Dvd Calendar'!$T$1407=TYPE4)*(TYPE4&lt;&gt;"")+('Dvd Calendar'!$T$1407=SPECIAL_LBL)*(INC_SPECIALS="Y"))=0,"",'Dvd Calendar'!$T$1405)))</f>
        <v/>
      </c>
      <c r="S142" s="161">
        <f>IF(EU142="","",IF(ISNUMBER('Dvd Calendar'!$U$1405)=FALSE,"",IF((('Dvd Calendar'!$U$1407=TYPE1)*(TYPE1&lt;&gt;"")+('Dvd Calendar'!$U$1407=TYPE2)*(TYPE2&lt;&gt;"")+('Dvd Calendar'!$U$1407=TYPE3)*(TYPE3&lt;&gt;"")+('Dvd Calendar'!$U$1407=TYPE4)*(TYPE4&lt;&gt;"")+('Dvd Calendar'!$U$1407=SPECIAL_LBL)*(INC_SPECIALS="Y"))=0,"",'Dvd Calendar'!$U$1405)))</f>
        <v/>
      </c>
      <c r="T142" s="161">
        <f>IF(EV142="","",IF(ISNUMBER('Dvd Calendar'!$V$1405)=FALSE,"",IF((('Dvd Calendar'!$V$1407=TYPE1)*(TYPE1&lt;&gt;"")+('Dvd Calendar'!$V$1407=TYPE2)*(TYPE2&lt;&gt;"")+('Dvd Calendar'!$V$1407=TYPE3)*(TYPE3&lt;&gt;"")+('Dvd Calendar'!$V$1407=TYPE4)*(TYPE4&lt;&gt;"")+('Dvd Calendar'!$V$1407=SPECIAL_LBL)*(INC_SPECIALS="Y"))=0,"",'Dvd Calendar'!$V$1405)))</f>
        <v/>
      </c>
      <c r="U142" s="161">
        <f>IF(EW142="","",IF(ISNUMBER('Dvd Calendar'!$W$1405)=FALSE,"",IF((('Dvd Calendar'!$W$1407=TYPE1)*(TYPE1&lt;&gt;"")+('Dvd Calendar'!$W$1407=TYPE2)*(TYPE2&lt;&gt;"")+('Dvd Calendar'!$W$1407=TYPE3)*(TYPE3&lt;&gt;"")+('Dvd Calendar'!$W$1407=TYPE4)*(TYPE4&lt;&gt;"")+('Dvd Calendar'!$W$1407=SPECIAL_LBL)*(INC_SPECIALS="Y"))=0,"",'Dvd Calendar'!$W$1405)))</f>
        <v/>
      </c>
      <c r="V142" s="161">
        <f>IF(EX142="","",IF(ISNUMBER('Dvd Calendar'!$X$1405)=FALSE,"",IF((('Dvd Calendar'!$X$1407=TYPE1)*(TYPE1&lt;&gt;"")+('Dvd Calendar'!$X$1407=TYPE2)*(TYPE2&lt;&gt;"")+('Dvd Calendar'!$X$1407=TYPE3)*(TYPE3&lt;&gt;"")+('Dvd Calendar'!$X$1407=TYPE4)*(TYPE4&lt;&gt;"")+('Dvd Calendar'!$X$1407=SPECIAL_LBL)*(INC_SPECIALS="Y"))=0,"",'Dvd Calendar'!$X$1405)))</f>
        <v/>
      </c>
      <c r="W142" s="161">
        <f>IF(EY142="","",IF(ISNUMBER('Dvd Calendar'!$Y$1405)=FALSE,"",IF((('Dvd Calendar'!$Y$1407=TYPE1)*(TYPE1&lt;&gt;"")+('Dvd Calendar'!$Y$1407=TYPE2)*(TYPE2&lt;&gt;"")+('Dvd Calendar'!$Y$1407=TYPE3)*(TYPE3&lt;&gt;"")+('Dvd Calendar'!$Y$1407=TYPE4)*(TYPE4&lt;&gt;"")+('Dvd Calendar'!$Y$1407=SPECIAL_LBL)*(INC_SPECIALS="Y"))=0,"",'Dvd Calendar'!$Y$1405)))</f>
        <v/>
      </c>
      <c r="X142" s="161">
        <f>IF(EZ142="","",IF(ISNUMBER('Dvd Calendar'!$Z$1405)=FALSE,"",IF((('Dvd Calendar'!$Z$1407=TYPE1)*(TYPE1&lt;&gt;"")+('Dvd Calendar'!$Z$1407=TYPE2)*(TYPE2&lt;&gt;"")+('Dvd Calendar'!$Z$1407=TYPE3)*(TYPE3&lt;&gt;"")+('Dvd Calendar'!$Z$1407=TYPE4)*(TYPE4&lt;&gt;"")+('Dvd Calendar'!$Z$1407=SPECIAL_LBL)*(INC_SPECIALS="Y"))=0,"",'Dvd Calendar'!$Z$1405)))</f>
        <v/>
      </c>
      <c r="Y142" s="161">
        <f>IF(FA142="","",IF(ISNUMBER('Dvd Calendar'!$AA$1405)=FALSE,"",IF((('Dvd Calendar'!$AA$1407=TYPE1)*(TYPE1&lt;&gt;"")+('Dvd Calendar'!$AA$1407=TYPE2)*(TYPE2&lt;&gt;"")+('Dvd Calendar'!$AA$1407=TYPE3)*(TYPE3&lt;&gt;"")+('Dvd Calendar'!$AA$1407=TYPE4)*(TYPE4&lt;&gt;"")+('Dvd Calendar'!$AA$1407=SPECIAL_LBL)*(INC_SPECIALS="Y"))=0,"",'Dvd Calendar'!$AA$1405)))</f>
        <v/>
      </c>
      <c r="Z142" s="161">
        <f>IF(FB142="","",IF(ISNUMBER('Dvd Calendar'!$AB$1405)=FALSE,"",IF((('Dvd Calendar'!$AB$1407=TYPE1)*(TYPE1&lt;&gt;"")+('Dvd Calendar'!$AB$1407=TYPE2)*(TYPE2&lt;&gt;"")+('Dvd Calendar'!$AB$1407=TYPE3)*(TYPE3&lt;&gt;"")+('Dvd Calendar'!$AB$1407=TYPE4)*(TYPE4&lt;&gt;"")+('Dvd Calendar'!$AB$1407=SPECIAL_LBL)*(INC_SPECIALS="Y"))=0,"",'Dvd Calendar'!$AB$1405)))</f>
        <v/>
      </c>
      <c r="AA142" s="161">
        <f>IF(FC142="","",IF(ISNUMBER('Dvd Calendar'!$AC$1405)=FALSE,"",IF((('Dvd Calendar'!$AC$1407=TYPE1)*(TYPE1&lt;&gt;"")+('Dvd Calendar'!$AC$1407=TYPE2)*(TYPE2&lt;&gt;"")+('Dvd Calendar'!$AC$1407=TYPE3)*(TYPE3&lt;&gt;"")+('Dvd Calendar'!$AC$1407=TYPE4)*(TYPE4&lt;&gt;"")+('Dvd Calendar'!$AC$1407=SPECIAL_LBL)*(INC_SPECIALS="Y"))=0,"",'Dvd Calendar'!$AC$1405)))</f>
        <v/>
      </c>
      <c r="AB142" s="161">
        <f>IF(FD142="","",IF(ISNUMBER('Dvd Calendar'!$AD$1405)=FALSE,"",IF((('Dvd Calendar'!$AD$1407=TYPE1)*(TYPE1&lt;&gt;"")+('Dvd Calendar'!$AD$1407=TYPE2)*(TYPE2&lt;&gt;"")+('Dvd Calendar'!$AD$1407=TYPE3)*(TYPE3&lt;&gt;"")+('Dvd Calendar'!$AD$1407=TYPE4)*(TYPE4&lt;&gt;"")+('Dvd Calendar'!$AD$1407=SPECIAL_LBL)*(INC_SPECIALS="Y"))=0,"",'Dvd Calendar'!$AD$1405)))</f>
        <v/>
      </c>
      <c r="AC142" s="161">
        <f>IF(FE142="","",IF(ISNUMBER('Dvd Calendar'!$AE$1405)=FALSE,"",IF((('Dvd Calendar'!$AE$1407=TYPE1)*(TYPE1&lt;&gt;"")+('Dvd Calendar'!$AE$1407=TYPE2)*(TYPE2&lt;&gt;"")+('Dvd Calendar'!$AE$1407=TYPE3)*(TYPE3&lt;&gt;"")+('Dvd Calendar'!$AE$1407=TYPE4)*(TYPE4&lt;&gt;"")+('Dvd Calendar'!$AE$1407=SPECIAL_LBL)*(INC_SPECIALS="Y"))=0,"",'Dvd Calendar'!$AE$1405)))</f>
        <v/>
      </c>
      <c r="AD142" s="161">
        <f>IF(FF142="","",IF(ISNUMBER('Dvd Calendar'!$AF$1405)=FALSE,"",IF((('Dvd Calendar'!$AF$1407=TYPE1)*(TYPE1&lt;&gt;"")+('Dvd Calendar'!$AF$1407=TYPE2)*(TYPE2&lt;&gt;"")+('Dvd Calendar'!$AF$1407=TYPE3)*(TYPE3&lt;&gt;"")+('Dvd Calendar'!$AF$1407=TYPE4)*(TYPE4&lt;&gt;"")+('Dvd Calendar'!$AF$1407=SPECIAL_LBL)*(INC_SPECIALS="Y"))=0,"",'Dvd Calendar'!$AF$1405)))</f>
        <v/>
      </c>
      <c r="AE142" s="161">
        <f>IF(FG142="","",IF(ISNUMBER('Dvd Calendar'!$AG$1405)=FALSE,"",IF((('Dvd Calendar'!$AG$1407=TYPE1)*(TYPE1&lt;&gt;"")+('Dvd Calendar'!$AG$1407=TYPE2)*(TYPE2&lt;&gt;"")+('Dvd Calendar'!$AG$1407=TYPE3)*(TYPE3&lt;&gt;"")+('Dvd Calendar'!$AG$1407=TYPE4)*(TYPE4&lt;&gt;"")+('Dvd Calendar'!$AG$1407=SPECIAL_LBL)*(INC_SPECIALS="Y"))=0,"",'Dvd Calendar'!$AG$1405)))</f>
        <v/>
      </c>
      <c r="AF142" s="161">
        <f>IF(FH142="","",IF(ISNUMBER('Dvd Calendar'!$AH$1405)=FALSE,"",IF((('Dvd Calendar'!$AH$1407=TYPE1)*(TYPE1&lt;&gt;"")+('Dvd Calendar'!$AH$1407=TYPE2)*(TYPE2&lt;&gt;"")+('Dvd Calendar'!$AH$1407=TYPE3)*(TYPE3&lt;&gt;"")+('Dvd Calendar'!$AH$1407=TYPE4)*(TYPE4&lt;&gt;"")+('Dvd Calendar'!$AH$1407=SPECIAL_LBL)*(INC_SPECIALS="Y"))=0,"",'Dvd Calendar'!$AH$1405)))</f>
        <v/>
      </c>
      <c r="AG142" s="161">
        <f>IF(FI142="","",IF(ISNUMBER('Dvd Calendar'!$AI$1405)=FALSE,"",IF((('Dvd Calendar'!$AI$1407=TYPE1)*(TYPE1&lt;&gt;"")+('Dvd Calendar'!$AI$1407=TYPE2)*(TYPE2&lt;&gt;"")+('Dvd Calendar'!$AI$1407=TYPE3)*(TYPE3&lt;&gt;"")+('Dvd Calendar'!$AI$1407=TYPE4)*(TYPE4&lt;&gt;"")+('Dvd Calendar'!$AI$1407=SPECIAL_LBL)*(INC_SPECIALS="Y"))=0,"",'Dvd Calendar'!$AI$1405)))</f>
        <v/>
      </c>
      <c r="AH142" s="161">
        <f>IF(FJ142="","",IF(ISNUMBER('Dvd Calendar'!$AJ$1405)=FALSE,"",IF((('Dvd Calendar'!$AJ$1407=TYPE1)*(TYPE1&lt;&gt;"")+('Dvd Calendar'!$AJ$1407=TYPE2)*(TYPE2&lt;&gt;"")+('Dvd Calendar'!$AJ$1407=TYPE3)*(TYPE3&lt;&gt;"")+('Dvd Calendar'!$AJ$1407=TYPE4)*(TYPE4&lt;&gt;"")+('Dvd Calendar'!$AJ$1407=SPECIAL_LBL)*(INC_SPECIALS="Y"))=0,"",'Dvd Calendar'!$AJ$1405)))</f>
        <v/>
      </c>
      <c r="AI142" s="161">
        <f>IF(FK142="","",IF(ISNUMBER('Dvd Calendar'!$AK$1405)=FALSE,"",IF((('Dvd Calendar'!$AK$1407=TYPE1)*(TYPE1&lt;&gt;"")+('Dvd Calendar'!$AK$1407=TYPE2)*(TYPE2&lt;&gt;"")+('Dvd Calendar'!$AK$1407=TYPE3)*(TYPE3&lt;&gt;"")+('Dvd Calendar'!$AK$1407=TYPE4)*(TYPE4&lt;&gt;"")+('Dvd Calendar'!$AK$1407=SPECIAL_LBL)*(INC_SPECIALS="Y"))=0,"",'Dvd Calendar'!$AK$1405)))</f>
        <v/>
      </c>
      <c r="AJ142" s="161">
        <f>IF(FL142="","",IF(ISNUMBER('Dvd Calendar'!$AL$1405)=FALSE,"",IF((('Dvd Calendar'!$AL$1407=TYPE1)*(TYPE1&lt;&gt;"")+('Dvd Calendar'!$AL$1407=TYPE2)*(TYPE2&lt;&gt;"")+('Dvd Calendar'!$AL$1407=TYPE3)*(TYPE3&lt;&gt;"")+('Dvd Calendar'!$AL$1407=TYPE4)*(TYPE4&lt;&gt;"")+('Dvd Calendar'!$AL$1407=SPECIAL_LBL)*(INC_SPECIALS="Y"))=0,"",'Dvd Calendar'!$AL$1405)))</f>
        <v/>
      </c>
      <c r="AK142" s="161">
        <f>IF(FM142="","",IF(ISNUMBER('Dvd Calendar'!$AM$1405)=FALSE,"",IF((('Dvd Calendar'!$AM$1407=TYPE1)*(TYPE1&lt;&gt;"")+('Dvd Calendar'!$AM$1407=TYPE2)*(TYPE2&lt;&gt;"")+('Dvd Calendar'!$AM$1407=TYPE3)*(TYPE3&lt;&gt;"")+('Dvd Calendar'!$AM$1407=TYPE4)*(TYPE4&lt;&gt;"")+('Dvd Calendar'!$AM$1407=SPECIAL_LBL)*(INC_SPECIALS="Y"))=0,"",'Dvd Calendar'!$AM$1405)))</f>
        <v/>
      </c>
      <c r="AL142" s="161">
        <f>IF(FN142="","",IF(ISNUMBER('Dvd Calendar'!$AN$1405)=FALSE,"",IF((('Dvd Calendar'!$AN$1407=TYPE1)*(TYPE1&lt;&gt;"")+('Dvd Calendar'!$AN$1407=TYPE2)*(TYPE2&lt;&gt;"")+('Dvd Calendar'!$AN$1407=TYPE3)*(TYPE3&lt;&gt;"")+('Dvd Calendar'!$AN$1407=TYPE4)*(TYPE4&lt;&gt;"")+('Dvd Calendar'!$AN$1407=SPECIAL_LBL)*(INC_SPECIALS="Y"))=0,"",'Dvd Calendar'!$AN$1405)))</f>
        <v/>
      </c>
      <c r="AM142" s="161">
        <f>IF(FO142="","",IF(ISNUMBER('Dvd Calendar'!$AO$1405)=FALSE,"",IF((('Dvd Calendar'!$AO$1407=TYPE1)*(TYPE1&lt;&gt;"")+('Dvd Calendar'!$AO$1407=TYPE2)*(TYPE2&lt;&gt;"")+('Dvd Calendar'!$AO$1407=TYPE3)*(TYPE3&lt;&gt;"")+('Dvd Calendar'!$AO$1407=TYPE4)*(TYPE4&lt;&gt;"")+('Dvd Calendar'!$AO$1407=SPECIAL_LBL)*(INC_SPECIALS="Y"))=0,"",'Dvd Calendar'!$AO$1405)))</f>
        <v/>
      </c>
      <c r="AN142" s="161">
        <f>IF(FP142="","",IF(ISNUMBER('Dvd Calendar'!$AP$1405)=FALSE,"",IF((('Dvd Calendar'!$AP$1407=TYPE1)*(TYPE1&lt;&gt;"")+('Dvd Calendar'!$AP$1407=TYPE2)*(TYPE2&lt;&gt;"")+('Dvd Calendar'!$AP$1407=TYPE3)*(TYPE3&lt;&gt;"")+('Dvd Calendar'!$AP$1407=TYPE4)*(TYPE4&lt;&gt;"")+('Dvd Calendar'!$AP$1407=SPECIAL_LBL)*(INC_SPECIALS="Y"))=0,"",'Dvd Calendar'!$AP$1405)))</f>
        <v/>
      </c>
      <c r="AO142" s="161">
        <f>IF(FQ142="","",IF(ISNUMBER('Dvd Calendar'!$AQ$1405)=FALSE,"",IF((('Dvd Calendar'!$AQ$1407=TYPE1)*(TYPE1&lt;&gt;"")+('Dvd Calendar'!$AQ$1407=TYPE2)*(TYPE2&lt;&gt;"")+('Dvd Calendar'!$AQ$1407=TYPE3)*(TYPE3&lt;&gt;"")+('Dvd Calendar'!$AQ$1407=TYPE4)*(TYPE4&lt;&gt;"")+('Dvd Calendar'!$AQ$1407=SPECIAL_LBL)*(INC_SPECIALS="Y"))=0,"",'Dvd Calendar'!$AQ$1405)))</f>
        <v/>
      </c>
      <c r="AP142" s="161">
        <f>IF(FR142="","",IF(ISNUMBER('Dvd Calendar'!$AR$1405)=FALSE,"",IF((('Dvd Calendar'!$AR$1407=TYPE1)*(TYPE1&lt;&gt;"")+('Dvd Calendar'!$AR$1407=TYPE2)*(TYPE2&lt;&gt;"")+('Dvd Calendar'!$AR$1407=TYPE3)*(TYPE3&lt;&gt;"")+('Dvd Calendar'!$AR$1407=TYPE4)*(TYPE4&lt;&gt;"")+('Dvd Calendar'!$AR$1407=SPECIAL_LBL)*(INC_SPECIALS="Y"))=0,"",'Dvd Calendar'!$AR$1405)))</f>
        <v/>
      </c>
      <c r="AQ142" s="161">
        <f>IF(FS142="","",IF(ISNUMBER('Dvd Calendar'!$E$1410)=FALSE,"",'Dvd Calendar'!$E$1410))</f>
        <v/>
      </c>
      <c r="AR142" s="161">
        <f>IF(FT142="","",IF(ISNUMBER('Dvd Calendar'!$F$1410)=FALSE,"",'Dvd Calendar'!$F$1410))</f>
        <v/>
      </c>
      <c r="AS142" s="161">
        <f>IF(FU142="","",IF(ISNUMBER('Dvd Calendar'!$G$1410)=FALSE,"",'Dvd Calendar'!$G$1410))</f>
        <v/>
      </c>
      <c r="AT142" s="161">
        <f>IF(FV142="","",IF(ISNUMBER('Dvd Calendar'!$H$1410)=FALSE,"",'Dvd Calendar'!$H$1410))</f>
        <v/>
      </c>
      <c r="AU142" s="161">
        <f>IF(FW142="","",IF(ISNUMBER('Dvd Calendar'!$I$1410)=FALSE,"",'Dvd Calendar'!$I$1410))</f>
        <v/>
      </c>
      <c r="AV142" s="161">
        <f>IF(FX142="","",IF(ISNUMBER('Dvd Calendar'!$J$1410)=FALSE,"",'Dvd Calendar'!$J$1410))</f>
        <v/>
      </c>
      <c r="AW142" s="161">
        <f>IF(FY142="","",IF(ISNUMBER('Dvd Calendar'!$K$1410)=FALSE,"",'Dvd Calendar'!$K$1410))</f>
        <v/>
      </c>
      <c r="AX142" s="161">
        <f>IF(FZ142="","",IF(ISNUMBER('Dvd Calendar'!$L$1410)=FALSE,"",'Dvd Calendar'!$L$1410))</f>
        <v/>
      </c>
      <c r="AY142" s="161">
        <f>IF(GA142="","",IF(ISNUMBER('Dvd Calendar'!$M$1410)=FALSE,"",'Dvd Calendar'!$M$1410))</f>
        <v/>
      </c>
      <c r="AZ142" s="161">
        <f>IF(GB142="","",IF(ISNUMBER('Dvd Calendar'!$N$1410)=FALSE,"",'Dvd Calendar'!$N$1410))</f>
        <v/>
      </c>
      <c r="BA142" s="161">
        <f>IF(GC142="","",IF(ISNUMBER('Dvd Calendar'!$O$1410)=FALSE,"",'Dvd Calendar'!$O$1410))</f>
        <v/>
      </c>
      <c r="BB142" s="161">
        <f>IF(GD142="","",IF(ISNUMBER('Dvd Calendar'!$P$1410)=FALSE,"",'Dvd Calendar'!$P$1410))</f>
        <v/>
      </c>
      <c r="BC142" s="161">
        <f>IF(GE142="","",IF(ISNUMBER('Dvd Calendar'!$Q$1410)=FALSE,"",'Dvd Calendar'!$Q$1410))</f>
        <v/>
      </c>
      <c r="BD142" s="161">
        <f>IF(GF142="","",IF(ISNUMBER('Dvd Calendar'!$R$1410)=FALSE,"",'Dvd Calendar'!$R$1410))</f>
        <v/>
      </c>
      <c r="BE142" s="161">
        <f>IF(GG142="","",IF(ISNUMBER('Dvd Calendar'!$S$1410)=FALSE,"",'Dvd Calendar'!$S$1410))</f>
        <v/>
      </c>
      <c r="BF142" s="161">
        <f>IF(GH142="","",IF(ISNUMBER('Dvd Calendar'!$T$1410)=FALSE,"",'Dvd Calendar'!$T$1410))</f>
        <v/>
      </c>
      <c r="BG142" s="161">
        <f>IF(GI142="","",IF(ISNUMBER('Dvd Calendar'!$U$1410)=FALSE,"",'Dvd Calendar'!$U$1410))</f>
        <v/>
      </c>
      <c r="BH142" s="161">
        <f>IF(GJ142="","",IF(ISNUMBER('Dvd Calendar'!$V$1410)=FALSE,"",'Dvd Calendar'!$V$1410))</f>
        <v/>
      </c>
      <c r="BI142" s="161">
        <f>IF(GK142="","",IF(ISNUMBER('Dvd Calendar'!$W$1410)=FALSE,"",'Dvd Calendar'!$W$1410))</f>
        <v/>
      </c>
      <c r="BJ142" s="161">
        <f>IF(GL142="","",IF(ISNUMBER('Dvd Calendar'!$X$1410)=FALSE,"",'Dvd Calendar'!$X$1410))</f>
        <v/>
      </c>
      <c r="BK142" s="161">
        <f>IF(GM142="","",IF(ISNUMBER('Dvd Calendar'!$Y$1410)=FALSE,"",'Dvd Calendar'!$Y$1410))</f>
        <v/>
      </c>
      <c r="BL142" s="161">
        <f>IF(GN142="","",IF(ISNUMBER('Dvd Calendar'!$Z$1410)=FALSE,"",'Dvd Calendar'!$Z$1410))</f>
        <v/>
      </c>
      <c r="BM142" s="161">
        <f>IF(GO142="","",IF(ISNUMBER('Dvd Calendar'!$AA$1410)=FALSE,"",'Dvd Calendar'!$AA$1410))</f>
        <v/>
      </c>
      <c r="BN142" s="161">
        <f>IF(GP142="","",IF(ISNUMBER('Dvd Calendar'!$AB$1410)=FALSE,"",'Dvd Calendar'!$AB$1410))</f>
        <v/>
      </c>
      <c r="BO142" s="161">
        <f>IF(GQ142="","",IF(ISNUMBER('Dvd Calendar'!$AC$1410)=FALSE,"",'Dvd Calendar'!$AC$1410))</f>
        <v/>
      </c>
      <c r="BQ142" s="161">
        <f>IF(C142="","",IFERROR(C142*HSTECH!$B$33*HSTECH!$G$33/HSTECH!$B$3,""))</f>
        <v/>
      </c>
      <c r="BR142" s="161">
        <f>IF(D142="","",IFERROR(D142*HSTECH!$B$33*HSTECH!$G$33/HSTECH!$B$3,""))</f>
        <v/>
      </c>
      <c r="BS142" s="161">
        <f>IF(E142="","",IFERROR(E142*HSTECH!$B$33*HSTECH!$G$33/HSTECH!$B$3,""))</f>
        <v/>
      </c>
      <c r="BT142" s="161">
        <f>IF(F142="","",IFERROR(F142*HSTECH!$B$33*HSTECH!$G$33/HSTECH!$B$3,""))</f>
        <v/>
      </c>
      <c r="BU142" s="161">
        <f>IF(G142="","",IFERROR(G142*HSTECH!$B$33*HSTECH!$G$33/HSTECH!$B$3,""))</f>
        <v/>
      </c>
      <c r="BV142" s="161">
        <f>IF(H142="","",IFERROR(H142*HSTECH!$B$33*HSTECH!$G$33/HSTECH!$B$3,""))</f>
        <v/>
      </c>
      <c r="BW142" s="161">
        <f>IF(I142="","",IFERROR(I142*HSTECH!$B$33*HSTECH!$G$33/HSTECH!$B$3,""))</f>
        <v/>
      </c>
      <c r="BX142" s="161">
        <f>IF(J142="","",IFERROR(J142*HSTECH!$B$33*HSTECH!$G$33/HSTECH!$B$3,""))</f>
        <v/>
      </c>
      <c r="BY142" s="161">
        <f>IF(K142="","",IFERROR(K142*HSTECH!$B$33*HSTECH!$G$33/HSTECH!$B$3,""))</f>
        <v/>
      </c>
      <c r="BZ142" s="161">
        <f>IF(L142="","",IFERROR(L142*HSTECH!$B$33*HSTECH!$G$33/HSTECH!$B$3,""))</f>
        <v/>
      </c>
      <c r="CA142" s="161">
        <f>IF(M142="","",IFERROR(M142*HSTECH!$B$33*HSTECH!$G$33/HSTECH!$B$3,""))</f>
        <v/>
      </c>
      <c r="CB142" s="161">
        <f>IF(N142="","",IFERROR(N142*HSTECH!$B$33*HSTECH!$G$33/HSTECH!$B$3,""))</f>
        <v/>
      </c>
      <c r="CC142" s="161">
        <f>IF(O142="","",IFERROR(O142*HSTECH!$B$33*HSTECH!$G$33/HSTECH!$B$3,""))</f>
        <v/>
      </c>
      <c r="CD142" s="161">
        <f>IF(P142="","",IFERROR(P142*HSTECH!$B$33*HSTECH!$G$33/HSTECH!$B$3,""))</f>
        <v/>
      </c>
      <c r="CE142" s="161">
        <f>IF(Q142="","",IFERROR(Q142*HSTECH!$B$33*HSTECH!$G$33/HSTECH!$B$3,""))</f>
        <v/>
      </c>
      <c r="CF142" s="161">
        <f>IF(R142="","",IFERROR(R142*HSTECH!$B$33*HSTECH!$G$33/HSTECH!$B$3,""))</f>
        <v/>
      </c>
      <c r="CG142" s="161">
        <f>IF(S142="","",IFERROR(S142*HSTECH!$B$33*HSTECH!$G$33/HSTECH!$B$3,""))</f>
        <v/>
      </c>
      <c r="CH142" s="161">
        <f>IF(T142="","",IFERROR(T142*HSTECH!$B$33*HSTECH!$G$33/HSTECH!$B$3,""))</f>
        <v/>
      </c>
      <c r="CI142" s="161">
        <f>IF(U142="","",IFERROR(U142*HSTECH!$B$33*HSTECH!$G$33/HSTECH!$B$3,""))</f>
        <v/>
      </c>
      <c r="CJ142" s="161">
        <f>IF(V142="","",IFERROR(V142*HSTECH!$B$33*HSTECH!$G$33/HSTECH!$B$3,""))</f>
        <v/>
      </c>
      <c r="CK142" s="161">
        <f>IF(W142="","",IFERROR(W142*HSTECH!$B$33*HSTECH!$G$33/HSTECH!$B$3,""))</f>
        <v/>
      </c>
      <c r="CL142" s="161">
        <f>IF(X142="","",IFERROR(X142*HSTECH!$B$33*HSTECH!$G$33/HSTECH!$B$3,""))</f>
        <v/>
      </c>
      <c r="CM142" s="161">
        <f>IF(Y142="","",IFERROR(Y142*HSTECH!$B$33*HSTECH!$G$33/HSTECH!$B$3,""))</f>
        <v/>
      </c>
      <c r="CN142" s="161">
        <f>IF(Z142="","",IFERROR(Z142*HSTECH!$B$33*HSTECH!$G$33/HSTECH!$B$3,""))</f>
        <v/>
      </c>
      <c r="CO142" s="161">
        <f>IF(AA142="","",IFERROR(AA142*HSTECH!$B$33*HSTECH!$G$33/HSTECH!$B$3,""))</f>
        <v/>
      </c>
      <c r="CP142" s="161">
        <f>IF(AB142="","",IFERROR(AB142*HSTECH!$B$33*HSTECH!$G$33/HSTECH!$B$3,""))</f>
        <v/>
      </c>
      <c r="CQ142" s="161">
        <f>IF(AC142="","",IFERROR(AC142*HSTECH!$B$33*HSTECH!$G$33/HSTECH!$B$3,""))</f>
        <v/>
      </c>
      <c r="CR142" s="161">
        <f>IF(AD142="","",IFERROR(AD142*HSTECH!$B$33*HSTECH!$G$33/HSTECH!$B$3,""))</f>
        <v/>
      </c>
      <c r="CS142" s="161">
        <f>IF(AE142="","",IFERROR(AE142*HSTECH!$B$33*HSTECH!$G$33/HSTECH!$B$3,""))</f>
        <v/>
      </c>
      <c r="CT142" s="161">
        <f>IF(AF142="","",IFERROR(AF142*HSTECH!$B$33*HSTECH!$G$33/HSTECH!$B$3,""))</f>
        <v/>
      </c>
      <c r="CU142" s="161">
        <f>IF(AG142="","",IFERROR(AG142*HSTECH!$B$33*HSTECH!$G$33/HSTECH!$B$3,""))</f>
        <v/>
      </c>
      <c r="CV142" s="161">
        <f>IF(AH142="","",IFERROR(AH142*HSTECH!$B$33*HSTECH!$G$33/HSTECH!$B$3,""))</f>
        <v/>
      </c>
      <c r="CW142" s="161">
        <f>IF(AI142="","",IFERROR(AI142*HSTECH!$B$33*HSTECH!$G$33/HSTECH!$B$3,""))</f>
        <v/>
      </c>
      <c r="CX142" s="161">
        <f>IF(AJ142="","",IFERROR(AJ142*HSTECH!$B$33*HSTECH!$G$33/HSTECH!$B$3,""))</f>
        <v/>
      </c>
      <c r="CY142" s="161">
        <f>IF(AK142="","",IFERROR(AK142*HSTECH!$B$33*HSTECH!$G$33/HSTECH!$B$3,""))</f>
        <v/>
      </c>
      <c r="CZ142" s="161">
        <f>IF(AL142="","",IFERROR(AL142*HSTECH!$B$33*HSTECH!$G$33/HSTECH!$B$3,""))</f>
        <v/>
      </c>
      <c r="DA142" s="161">
        <f>IF(AM142="","",IFERROR(AM142*HSTECH!$B$33*HSTECH!$G$33/HSTECH!$B$3,""))</f>
        <v/>
      </c>
      <c r="DB142" s="161">
        <f>IF(AN142="","",IFERROR(AN142*HSTECH!$B$33*HSTECH!$G$33/HSTECH!$B$3,""))</f>
        <v/>
      </c>
      <c r="DC142" s="161">
        <f>IF(AO142="","",IFERROR(AO142*HSTECH!$B$33*HSTECH!$G$33/HSTECH!$B$3,""))</f>
        <v/>
      </c>
      <c r="DD142" s="161">
        <f>IF(AP142="","",IFERROR(AP142*HSTECH!$B$33*HSTECH!$G$33/HSTECH!$B$3,""))</f>
        <v/>
      </c>
      <c r="DE142" s="161">
        <f>IF(AQ142="","",IFERROR(AQ142*HSTECH!$B$33*HSTECH!$G$33/HSTECH!$B$3,""))</f>
        <v/>
      </c>
      <c r="DF142" s="161">
        <f>IF(AR142="","",IFERROR(AR142*HSTECH!$B$33*HSTECH!$G$33/HSTECH!$B$3,""))</f>
        <v/>
      </c>
      <c r="DG142" s="161">
        <f>IF(AS142="","",IFERROR(AS142*HSTECH!$B$33*HSTECH!$G$33/HSTECH!$B$3,""))</f>
        <v/>
      </c>
      <c r="DH142" s="161">
        <f>IF(AT142="","",IFERROR(AT142*HSTECH!$B$33*HSTECH!$G$33/HSTECH!$B$3,""))</f>
        <v/>
      </c>
      <c r="DI142" s="161">
        <f>IF(AU142="","",IFERROR(AU142*HSTECH!$B$33*HSTECH!$G$33/HSTECH!$B$3,""))</f>
        <v/>
      </c>
      <c r="DJ142" s="161">
        <f>IF(AV142="","",IFERROR(AV142*HSTECH!$B$33*HSTECH!$G$33/HSTECH!$B$3,""))</f>
        <v/>
      </c>
      <c r="DK142" s="161">
        <f>IF(AW142="","",IFERROR(AW142*HSTECH!$B$33*HSTECH!$G$33/HSTECH!$B$3,""))</f>
        <v/>
      </c>
      <c r="DL142" s="161">
        <f>IF(AX142="","",IFERROR(AX142*HSTECH!$B$33*HSTECH!$G$33/HSTECH!$B$3,""))</f>
        <v/>
      </c>
      <c r="DM142" s="161">
        <f>IF(AY142="","",IFERROR(AY142*HSTECH!$B$33*HSTECH!$G$33/HSTECH!$B$3,""))</f>
        <v/>
      </c>
      <c r="DN142" s="161">
        <f>IF(AZ142="","",IFERROR(AZ142*HSTECH!$B$33*HSTECH!$G$33/HSTECH!$B$3,""))</f>
        <v/>
      </c>
      <c r="DO142" s="161">
        <f>IF(BA142="","",IFERROR(BA142*HSTECH!$B$33*HSTECH!$G$33/HSTECH!$B$3,""))</f>
        <v/>
      </c>
      <c r="DP142" s="161">
        <f>IF(BB142="","",IFERROR(BB142*HSTECH!$B$33*HSTECH!$G$33/HSTECH!$B$3,""))</f>
        <v/>
      </c>
      <c r="DQ142" s="161">
        <f>IF(BC142="","",IFERROR(BC142*HSTECH!$B$33*HSTECH!$G$33/HSTECH!$B$3,""))</f>
        <v/>
      </c>
      <c r="DR142" s="161">
        <f>IF(BD142="","",IFERROR(BD142*HSTECH!$B$33*HSTECH!$G$33/HSTECH!$B$3,""))</f>
        <v/>
      </c>
      <c r="DS142" s="161">
        <f>IF(BE142="","",IFERROR(BE142*HSTECH!$B$33*HSTECH!$G$33/HSTECH!$B$3,""))</f>
        <v/>
      </c>
      <c r="DT142" s="161">
        <f>IF(BF142="","",IFERROR(BF142*HSTECH!$B$33*HSTECH!$G$33/HSTECH!$B$3,""))</f>
        <v/>
      </c>
      <c r="DU142" s="161">
        <f>IF(BG142="","",IFERROR(BG142*HSTECH!$B$33*HSTECH!$G$33/HSTECH!$B$3,""))</f>
        <v/>
      </c>
      <c r="DV142" s="161">
        <f>IF(BH142="","",IFERROR(BH142*HSTECH!$B$33*HSTECH!$G$33/HSTECH!$B$3,""))</f>
        <v/>
      </c>
      <c r="DW142" s="161">
        <f>IF(BI142="","",IFERROR(BI142*HSTECH!$B$33*HSTECH!$G$33/HSTECH!$B$3,""))</f>
        <v/>
      </c>
      <c r="DX142" s="161">
        <f>IF(BJ142="","",IFERROR(BJ142*HSTECH!$B$33*HSTECH!$G$33/HSTECH!$B$3,""))</f>
        <v/>
      </c>
      <c r="DY142" s="161">
        <f>IF(BK142="","",IFERROR(BK142*HSTECH!$B$33*HSTECH!$G$33/HSTECH!$B$3,""))</f>
        <v/>
      </c>
      <c r="DZ142" s="161">
        <f>IF(BL142="","",IFERROR(BL142*HSTECH!$B$33*HSTECH!$G$33/HSTECH!$B$3,""))</f>
        <v/>
      </c>
      <c r="EA142" s="161">
        <f>IF(BM142="","",IFERROR(BM142*HSTECH!$B$33*HSTECH!$G$33/HSTECH!$B$3,""))</f>
        <v/>
      </c>
      <c r="EB142" s="161">
        <f>IF(BN142="","",IFERROR(BN142*HSTECH!$B$33*HSTECH!$G$33/HSTECH!$B$3,""))</f>
        <v/>
      </c>
      <c r="EC142" s="161">
        <f>IF(BO142="","",IFERROR(BO142*HSTECH!$B$33*HSTECH!$G$33/HSTECH!$B$3,""))</f>
        <v/>
      </c>
      <c r="EE142" s="121">
        <f>IF(N('Dvd Calendar'!$E$1402)=0,"",IF(('Dvd Calendar'!$E$1402&gt;=GRID_FROM)*('Dvd Calendar'!$E$1402&lt;=GRID_TO)*((('Dvd Calendar'!$E$1402&lt;=VAL_DATE)+(COUNTIF('Dvd Calendar'!$E$1409:$AR$1409,'Dvd Calendar'!$E$1402)=0))&gt;0)=0,"",'Dvd Calendar'!$E$1402*1000000000+ISNUMBER('Dvd Calendar'!$E$1405)*100000000+('Dvd Calendar'!$E$1407=SPECIAL_LBL)*10000000+(N('Dvd Calendar'!$E$1401)&gt;0)*(N('Dvd Calendar'!$E$1401)&lt;=VAL_SERIAL)*1000000+27*1000+1))</f>
        <v/>
      </c>
      <c r="EF142" s="121">
        <f>IF(N('Dvd Calendar'!$F$1402)=0,"",IF(('Dvd Calendar'!$F$1402&gt;=GRID_FROM)*('Dvd Calendar'!$F$1402&lt;=GRID_TO)*((('Dvd Calendar'!$F$1402&lt;=VAL_DATE)+(COUNTIF('Dvd Calendar'!$E$1409:$AR$1409,'Dvd Calendar'!$F$1402)=0))&gt;0)=0,"",'Dvd Calendar'!$F$1402*1000000000+ISNUMBER('Dvd Calendar'!$F$1405)*100000000+('Dvd Calendar'!$F$1407=SPECIAL_LBL)*10000000+(N('Dvd Calendar'!$F$1401)&gt;0)*(N('Dvd Calendar'!$F$1401)&lt;=VAL_SERIAL)*1000000+27*1000+2))</f>
        <v/>
      </c>
      <c r="EG142" s="121">
        <f>IF(N('Dvd Calendar'!$G$1402)=0,"",IF(('Dvd Calendar'!$G$1402&gt;=GRID_FROM)*('Dvd Calendar'!$G$1402&lt;=GRID_TO)*((('Dvd Calendar'!$G$1402&lt;=VAL_DATE)+(COUNTIF('Dvd Calendar'!$E$1409:$AR$1409,'Dvd Calendar'!$G$1402)=0))&gt;0)=0,"",'Dvd Calendar'!$G$1402*1000000000+ISNUMBER('Dvd Calendar'!$G$1405)*100000000+('Dvd Calendar'!$G$1407=SPECIAL_LBL)*10000000+(N('Dvd Calendar'!$G$1401)&gt;0)*(N('Dvd Calendar'!$G$1401)&lt;=VAL_SERIAL)*1000000+27*1000+3))</f>
        <v/>
      </c>
      <c r="EH142" s="121">
        <f>IF(N('Dvd Calendar'!$H$1402)=0,"",IF(('Dvd Calendar'!$H$1402&gt;=GRID_FROM)*('Dvd Calendar'!$H$1402&lt;=GRID_TO)*((('Dvd Calendar'!$H$1402&lt;=VAL_DATE)+(COUNTIF('Dvd Calendar'!$E$1409:$AR$1409,'Dvd Calendar'!$H$1402)=0))&gt;0)=0,"",'Dvd Calendar'!$H$1402*1000000000+ISNUMBER('Dvd Calendar'!$H$1405)*100000000+('Dvd Calendar'!$H$1407=SPECIAL_LBL)*10000000+(N('Dvd Calendar'!$H$1401)&gt;0)*(N('Dvd Calendar'!$H$1401)&lt;=VAL_SERIAL)*1000000+27*1000+4))</f>
        <v/>
      </c>
      <c r="EI142" s="121">
        <f>IF(N('Dvd Calendar'!$I$1402)=0,"",IF(('Dvd Calendar'!$I$1402&gt;=GRID_FROM)*('Dvd Calendar'!$I$1402&lt;=GRID_TO)*((('Dvd Calendar'!$I$1402&lt;=VAL_DATE)+(COUNTIF('Dvd Calendar'!$E$1409:$AR$1409,'Dvd Calendar'!$I$1402)=0))&gt;0)=0,"",'Dvd Calendar'!$I$1402*1000000000+ISNUMBER('Dvd Calendar'!$I$1405)*100000000+('Dvd Calendar'!$I$1407=SPECIAL_LBL)*10000000+(N('Dvd Calendar'!$I$1401)&gt;0)*(N('Dvd Calendar'!$I$1401)&lt;=VAL_SERIAL)*1000000+27*1000+5))</f>
        <v/>
      </c>
      <c r="EJ142" s="121">
        <f>IF(N('Dvd Calendar'!$J$1402)=0,"",IF(('Dvd Calendar'!$J$1402&gt;=GRID_FROM)*('Dvd Calendar'!$J$1402&lt;=GRID_TO)*((('Dvd Calendar'!$J$1402&lt;=VAL_DATE)+(COUNTIF('Dvd Calendar'!$E$1409:$AR$1409,'Dvd Calendar'!$J$1402)=0))&gt;0)=0,"",'Dvd Calendar'!$J$1402*1000000000+ISNUMBER('Dvd Calendar'!$J$1405)*100000000+('Dvd Calendar'!$J$1407=SPECIAL_LBL)*10000000+(N('Dvd Calendar'!$J$1401)&gt;0)*(N('Dvd Calendar'!$J$1401)&lt;=VAL_SERIAL)*1000000+27*1000+6))</f>
        <v/>
      </c>
      <c r="EK142" s="121">
        <f>IF(N('Dvd Calendar'!$K$1402)=0,"",IF(('Dvd Calendar'!$K$1402&gt;=GRID_FROM)*('Dvd Calendar'!$K$1402&lt;=GRID_TO)*((('Dvd Calendar'!$K$1402&lt;=VAL_DATE)+(COUNTIF('Dvd Calendar'!$E$1409:$AR$1409,'Dvd Calendar'!$K$1402)=0))&gt;0)=0,"",'Dvd Calendar'!$K$1402*1000000000+ISNUMBER('Dvd Calendar'!$K$1405)*100000000+('Dvd Calendar'!$K$1407=SPECIAL_LBL)*10000000+(N('Dvd Calendar'!$K$1401)&gt;0)*(N('Dvd Calendar'!$K$1401)&lt;=VAL_SERIAL)*1000000+27*1000+7))</f>
        <v/>
      </c>
      <c r="EL142" s="121">
        <f>IF(N('Dvd Calendar'!$L$1402)=0,"",IF(('Dvd Calendar'!$L$1402&gt;=GRID_FROM)*('Dvd Calendar'!$L$1402&lt;=GRID_TO)*((('Dvd Calendar'!$L$1402&lt;=VAL_DATE)+(COUNTIF('Dvd Calendar'!$E$1409:$AR$1409,'Dvd Calendar'!$L$1402)=0))&gt;0)=0,"",'Dvd Calendar'!$L$1402*1000000000+ISNUMBER('Dvd Calendar'!$L$1405)*100000000+('Dvd Calendar'!$L$1407=SPECIAL_LBL)*10000000+(N('Dvd Calendar'!$L$1401)&gt;0)*(N('Dvd Calendar'!$L$1401)&lt;=VAL_SERIAL)*1000000+27*1000+8))</f>
        <v/>
      </c>
      <c r="EM142" s="121">
        <f>IF(N('Dvd Calendar'!$M$1402)=0,"",IF(('Dvd Calendar'!$M$1402&gt;=GRID_FROM)*('Dvd Calendar'!$M$1402&lt;=GRID_TO)*((('Dvd Calendar'!$M$1402&lt;=VAL_DATE)+(COUNTIF('Dvd Calendar'!$E$1409:$AR$1409,'Dvd Calendar'!$M$1402)=0))&gt;0)=0,"",'Dvd Calendar'!$M$1402*1000000000+ISNUMBER('Dvd Calendar'!$M$1405)*100000000+('Dvd Calendar'!$M$1407=SPECIAL_LBL)*10000000+(N('Dvd Calendar'!$M$1401)&gt;0)*(N('Dvd Calendar'!$M$1401)&lt;=VAL_SERIAL)*1000000+27*1000+9))</f>
        <v/>
      </c>
      <c r="EN142" s="121">
        <f>IF(N('Dvd Calendar'!$N$1402)=0,"",IF(('Dvd Calendar'!$N$1402&gt;=GRID_FROM)*('Dvd Calendar'!$N$1402&lt;=GRID_TO)*((('Dvd Calendar'!$N$1402&lt;=VAL_DATE)+(COUNTIF('Dvd Calendar'!$E$1409:$AR$1409,'Dvd Calendar'!$N$1402)=0))&gt;0)=0,"",'Dvd Calendar'!$N$1402*1000000000+ISNUMBER('Dvd Calendar'!$N$1405)*100000000+('Dvd Calendar'!$N$1407=SPECIAL_LBL)*10000000+(N('Dvd Calendar'!$N$1401)&gt;0)*(N('Dvd Calendar'!$N$1401)&lt;=VAL_SERIAL)*1000000+27*1000+10))</f>
        <v/>
      </c>
      <c r="EO142" s="121">
        <f>IF(N('Dvd Calendar'!$O$1402)=0,"",IF(('Dvd Calendar'!$O$1402&gt;=GRID_FROM)*('Dvd Calendar'!$O$1402&lt;=GRID_TO)*((('Dvd Calendar'!$O$1402&lt;=VAL_DATE)+(COUNTIF('Dvd Calendar'!$E$1409:$AR$1409,'Dvd Calendar'!$O$1402)=0))&gt;0)=0,"",'Dvd Calendar'!$O$1402*1000000000+ISNUMBER('Dvd Calendar'!$O$1405)*100000000+('Dvd Calendar'!$O$1407=SPECIAL_LBL)*10000000+(N('Dvd Calendar'!$O$1401)&gt;0)*(N('Dvd Calendar'!$O$1401)&lt;=VAL_SERIAL)*1000000+27*1000+11))</f>
        <v/>
      </c>
      <c r="EP142" s="121">
        <f>IF(N('Dvd Calendar'!$P$1402)=0,"",IF(('Dvd Calendar'!$P$1402&gt;=GRID_FROM)*('Dvd Calendar'!$P$1402&lt;=GRID_TO)*((('Dvd Calendar'!$P$1402&lt;=VAL_DATE)+(COUNTIF('Dvd Calendar'!$E$1409:$AR$1409,'Dvd Calendar'!$P$1402)=0))&gt;0)=0,"",'Dvd Calendar'!$P$1402*1000000000+ISNUMBER('Dvd Calendar'!$P$1405)*100000000+('Dvd Calendar'!$P$1407=SPECIAL_LBL)*10000000+(N('Dvd Calendar'!$P$1401)&gt;0)*(N('Dvd Calendar'!$P$1401)&lt;=VAL_SERIAL)*1000000+27*1000+12))</f>
        <v/>
      </c>
      <c r="EQ142" s="121">
        <f>IF(N('Dvd Calendar'!$Q$1402)=0,"",IF(('Dvd Calendar'!$Q$1402&gt;=GRID_FROM)*('Dvd Calendar'!$Q$1402&lt;=GRID_TO)*((('Dvd Calendar'!$Q$1402&lt;=VAL_DATE)+(COUNTIF('Dvd Calendar'!$E$1409:$AR$1409,'Dvd Calendar'!$Q$1402)=0))&gt;0)=0,"",'Dvd Calendar'!$Q$1402*1000000000+ISNUMBER('Dvd Calendar'!$Q$1405)*100000000+('Dvd Calendar'!$Q$1407=SPECIAL_LBL)*10000000+(N('Dvd Calendar'!$Q$1401)&gt;0)*(N('Dvd Calendar'!$Q$1401)&lt;=VAL_SERIAL)*1000000+27*1000+13))</f>
        <v/>
      </c>
      <c r="ER142" s="121">
        <f>IF(N('Dvd Calendar'!$R$1402)=0,"",IF(('Dvd Calendar'!$R$1402&gt;=GRID_FROM)*('Dvd Calendar'!$R$1402&lt;=GRID_TO)*((('Dvd Calendar'!$R$1402&lt;=VAL_DATE)+(COUNTIF('Dvd Calendar'!$E$1409:$AR$1409,'Dvd Calendar'!$R$1402)=0))&gt;0)=0,"",'Dvd Calendar'!$R$1402*1000000000+ISNUMBER('Dvd Calendar'!$R$1405)*100000000+('Dvd Calendar'!$R$1407=SPECIAL_LBL)*10000000+(N('Dvd Calendar'!$R$1401)&gt;0)*(N('Dvd Calendar'!$R$1401)&lt;=VAL_SERIAL)*1000000+27*1000+14))</f>
        <v/>
      </c>
      <c r="ES142" s="121">
        <f>IF(N('Dvd Calendar'!$S$1402)=0,"",IF(('Dvd Calendar'!$S$1402&gt;=GRID_FROM)*('Dvd Calendar'!$S$1402&lt;=GRID_TO)*((('Dvd Calendar'!$S$1402&lt;=VAL_DATE)+(COUNTIF('Dvd Calendar'!$E$1409:$AR$1409,'Dvd Calendar'!$S$1402)=0))&gt;0)=0,"",'Dvd Calendar'!$S$1402*1000000000+ISNUMBER('Dvd Calendar'!$S$1405)*100000000+('Dvd Calendar'!$S$1407=SPECIAL_LBL)*10000000+(N('Dvd Calendar'!$S$1401)&gt;0)*(N('Dvd Calendar'!$S$1401)&lt;=VAL_SERIAL)*1000000+27*1000+15))</f>
        <v/>
      </c>
      <c r="ET142" s="121">
        <f>IF(N('Dvd Calendar'!$T$1402)=0,"",IF(('Dvd Calendar'!$T$1402&gt;=GRID_FROM)*('Dvd Calendar'!$T$1402&lt;=GRID_TO)*((('Dvd Calendar'!$T$1402&lt;=VAL_DATE)+(COUNTIF('Dvd Calendar'!$E$1409:$AR$1409,'Dvd Calendar'!$T$1402)=0))&gt;0)=0,"",'Dvd Calendar'!$T$1402*1000000000+ISNUMBER('Dvd Calendar'!$T$1405)*100000000+('Dvd Calendar'!$T$1407=SPECIAL_LBL)*10000000+(N('Dvd Calendar'!$T$1401)&gt;0)*(N('Dvd Calendar'!$T$1401)&lt;=VAL_SERIAL)*1000000+27*1000+16))</f>
        <v/>
      </c>
      <c r="EU142" s="121">
        <f>IF(N('Dvd Calendar'!$U$1402)=0,"",IF(('Dvd Calendar'!$U$1402&gt;=GRID_FROM)*('Dvd Calendar'!$U$1402&lt;=GRID_TO)*((('Dvd Calendar'!$U$1402&lt;=VAL_DATE)+(COUNTIF('Dvd Calendar'!$E$1409:$AR$1409,'Dvd Calendar'!$U$1402)=0))&gt;0)=0,"",'Dvd Calendar'!$U$1402*1000000000+ISNUMBER('Dvd Calendar'!$U$1405)*100000000+('Dvd Calendar'!$U$1407=SPECIAL_LBL)*10000000+(N('Dvd Calendar'!$U$1401)&gt;0)*(N('Dvd Calendar'!$U$1401)&lt;=VAL_SERIAL)*1000000+27*1000+17))</f>
        <v/>
      </c>
      <c r="EV142" s="121">
        <f>IF(N('Dvd Calendar'!$V$1402)=0,"",IF(('Dvd Calendar'!$V$1402&gt;=GRID_FROM)*('Dvd Calendar'!$V$1402&lt;=GRID_TO)*((('Dvd Calendar'!$V$1402&lt;=VAL_DATE)+(COUNTIF('Dvd Calendar'!$E$1409:$AR$1409,'Dvd Calendar'!$V$1402)=0))&gt;0)=0,"",'Dvd Calendar'!$V$1402*1000000000+ISNUMBER('Dvd Calendar'!$V$1405)*100000000+('Dvd Calendar'!$V$1407=SPECIAL_LBL)*10000000+(N('Dvd Calendar'!$V$1401)&gt;0)*(N('Dvd Calendar'!$V$1401)&lt;=VAL_SERIAL)*1000000+27*1000+18))</f>
        <v/>
      </c>
      <c r="EW142" s="121">
        <f>IF(N('Dvd Calendar'!$W$1402)=0,"",IF(('Dvd Calendar'!$W$1402&gt;=GRID_FROM)*('Dvd Calendar'!$W$1402&lt;=GRID_TO)*((('Dvd Calendar'!$W$1402&lt;=VAL_DATE)+(COUNTIF('Dvd Calendar'!$E$1409:$AR$1409,'Dvd Calendar'!$W$1402)=0))&gt;0)=0,"",'Dvd Calendar'!$W$1402*1000000000+ISNUMBER('Dvd Calendar'!$W$1405)*100000000+('Dvd Calendar'!$W$1407=SPECIAL_LBL)*10000000+(N('Dvd Calendar'!$W$1401)&gt;0)*(N('Dvd Calendar'!$W$1401)&lt;=VAL_SERIAL)*1000000+27*1000+19))</f>
        <v/>
      </c>
      <c r="EX142" s="121">
        <f>IF(N('Dvd Calendar'!$X$1402)=0,"",IF(('Dvd Calendar'!$X$1402&gt;=GRID_FROM)*('Dvd Calendar'!$X$1402&lt;=GRID_TO)*((('Dvd Calendar'!$X$1402&lt;=VAL_DATE)+(COUNTIF('Dvd Calendar'!$E$1409:$AR$1409,'Dvd Calendar'!$X$1402)=0))&gt;0)=0,"",'Dvd Calendar'!$X$1402*1000000000+ISNUMBER('Dvd Calendar'!$X$1405)*100000000+('Dvd Calendar'!$X$1407=SPECIAL_LBL)*10000000+(N('Dvd Calendar'!$X$1401)&gt;0)*(N('Dvd Calendar'!$X$1401)&lt;=VAL_SERIAL)*1000000+27*1000+20))</f>
        <v/>
      </c>
      <c r="EY142" s="121">
        <f>IF(N('Dvd Calendar'!$Y$1402)=0,"",IF(('Dvd Calendar'!$Y$1402&gt;=GRID_FROM)*('Dvd Calendar'!$Y$1402&lt;=GRID_TO)*((('Dvd Calendar'!$Y$1402&lt;=VAL_DATE)+(COUNTIF('Dvd Calendar'!$E$1409:$AR$1409,'Dvd Calendar'!$Y$1402)=0))&gt;0)=0,"",'Dvd Calendar'!$Y$1402*1000000000+ISNUMBER('Dvd Calendar'!$Y$1405)*100000000+('Dvd Calendar'!$Y$1407=SPECIAL_LBL)*10000000+(N('Dvd Calendar'!$Y$1401)&gt;0)*(N('Dvd Calendar'!$Y$1401)&lt;=VAL_SERIAL)*1000000+27*1000+21))</f>
        <v/>
      </c>
      <c r="EZ142" s="121">
        <f>IF(N('Dvd Calendar'!$Z$1402)=0,"",IF(('Dvd Calendar'!$Z$1402&gt;=GRID_FROM)*('Dvd Calendar'!$Z$1402&lt;=GRID_TO)*((('Dvd Calendar'!$Z$1402&lt;=VAL_DATE)+(COUNTIF('Dvd Calendar'!$E$1409:$AR$1409,'Dvd Calendar'!$Z$1402)=0))&gt;0)=0,"",'Dvd Calendar'!$Z$1402*1000000000+ISNUMBER('Dvd Calendar'!$Z$1405)*100000000+('Dvd Calendar'!$Z$1407=SPECIAL_LBL)*10000000+(N('Dvd Calendar'!$Z$1401)&gt;0)*(N('Dvd Calendar'!$Z$1401)&lt;=VAL_SERIAL)*1000000+27*1000+22))</f>
        <v/>
      </c>
      <c r="FA142" s="121">
        <f>IF(N('Dvd Calendar'!$AA$1402)=0,"",IF(('Dvd Calendar'!$AA$1402&gt;=GRID_FROM)*('Dvd Calendar'!$AA$1402&lt;=GRID_TO)*((('Dvd Calendar'!$AA$1402&lt;=VAL_DATE)+(COUNTIF('Dvd Calendar'!$E$1409:$AR$1409,'Dvd Calendar'!$AA$1402)=0))&gt;0)=0,"",'Dvd Calendar'!$AA$1402*1000000000+ISNUMBER('Dvd Calendar'!$AA$1405)*100000000+('Dvd Calendar'!$AA$1407=SPECIAL_LBL)*10000000+(N('Dvd Calendar'!$AA$1401)&gt;0)*(N('Dvd Calendar'!$AA$1401)&lt;=VAL_SERIAL)*1000000+27*1000+23))</f>
        <v/>
      </c>
      <c r="FB142" s="121">
        <f>IF(N('Dvd Calendar'!$AB$1402)=0,"",IF(('Dvd Calendar'!$AB$1402&gt;=GRID_FROM)*('Dvd Calendar'!$AB$1402&lt;=GRID_TO)*((('Dvd Calendar'!$AB$1402&lt;=VAL_DATE)+(COUNTIF('Dvd Calendar'!$E$1409:$AR$1409,'Dvd Calendar'!$AB$1402)=0))&gt;0)=0,"",'Dvd Calendar'!$AB$1402*1000000000+ISNUMBER('Dvd Calendar'!$AB$1405)*100000000+('Dvd Calendar'!$AB$1407=SPECIAL_LBL)*10000000+(N('Dvd Calendar'!$AB$1401)&gt;0)*(N('Dvd Calendar'!$AB$1401)&lt;=VAL_SERIAL)*1000000+27*1000+24))</f>
        <v/>
      </c>
      <c r="FC142" s="121">
        <f>IF(N('Dvd Calendar'!$AC$1402)=0,"",IF(('Dvd Calendar'!$AC$1402&gt;=GRID_FROM)*('Dvd Calendar'!$AC$1402&lt;=GRID_TO)*((('Dvd Calendar'!$AC$1402&lt;=VAL_DATE)+(COUNTIF('Dvd Calendar'!$E$1409:$AR$1409,'Dvd Calendar'!$AC$1402)=0))&gt;0)=0,"",'Dvd Calendar'!$AC$1402*1000000000+ISNUMBER('Dvd Calendar'!$AC$1405)*100000000+('Dvd Calendar'!$AC$1407=SPECIAL_LBL)*10000000+(N('Dvd Calendar'!$AC$1401)&gt;0)*(N('Dvd Calendar'!$AC$1401)&lt;=VAL_SERIAL)*1000000+27*1000+25))</f>
        <v/>
      </c>
      <c r="FD142" s="121">
        <f>IF(N('Dvd Calendar'!$AD$1402)=0,"",IF(('Dvd Calendar'!$AD$1402&gt;=GRID_FROM)*('Dvd Calendar'!$AD$1402&lt;=GRID_TO)*((('Dvd Calendar'!$AD$1402&lt;=VAL_DATE)+(COUNTIF('Dvd Calendar'!$E$1409:$AR$1409,'Dvd Calendar'!$AD$1402)=0))&gt;0)=0,"",'Dvd Calendar'!$AD$1402*1000000000+ISNUMBER('Dvd Calendar'!$AD$1405)*100000000+('Dvd Calendar'!$AD$1407=SPECIAL_LBL)*10000000+(N('Dvd Calendar'!$AD$1401)&gt;0)*(N('Dvd Calendar'!$AD$1401)&lt;=VAL_SERIAL)*1000000+27*1000+26))</f>
        <v/>
      </c>
      <c r="FE142" s="121">
        <f>IF(N('Dvd Calendar'!$AE$1402)=0,"",IF(('Dvd Calendar'!$AE$1402&gt;=GRID_FROM)*('Dvd Calendar'!$AE$1402&lt;=GRID_TO)*((('Dvd Calendar'!$AE$1402&lt;=VAL_DATE)+(COUNTIF('Dvd Calendar'!$E$1409:$AR$1409,'Dvd Calendar'!$AE$1402)=0))&gt;0)=0,"",'Dvd Calendar'!$AE$1402*1000000000+ISNUMBER('Dvd Calendar'!$AE$1405)*100000000+('Dvd Calendar'!$AE$1407=SPECIAL_LBL)*10000000+(N('Dvd Calendar'!$AE$1401)&gt;0)*(N('Dvd Calendar'!$AE$1401)&lt;=VAL_SERIAL)*1000000+27*1000+27))</f>
        <v/>
      </c>
      <c r="FF142" s="121">
        <f>IF(N('Dvd Calendar'!$AF$1402)=0,"",IF(('Dvd Calendar'!$AF$1402&gt;=GRID_FROM)*('Dvd Calendar'!$AF$1402&lt;=GRID_TO)*((('Dvd Calendar'!$AF$1402&lt;=VAL_DATE)+(COUNTIF('Dvd Calendar'!$E$1409:$AR$1409,'Dvd Calendar'!$AF$1402)=0))&gt;0)=0,"",'Dvd Calendar'!$AF$1402*1000000000+ISNUMBER('Dvd Calendar'!$AF$1405)*100000000+('Dvd Calendar'!$AF$1407=SPECIAL_LBL)*10000000+(N('Dvd Calendar'!$AF$1401)&gt;0)*(N('Dvd Calendar'!$AF$1401)&lt;=VAL_SERIAL)*1000000+27*1000+28))</f>
        <v/>
      </c>
      <c r="FG142" s="121">
        <f>IF(N('Dvd Calendar'!$AG$1402)=0,"",IF(('Dvd Calendar'!$AG$1402&gt;=GRID_FROM)*('Dvd Calendar'!$AG$1402&lt;=GRID_TO)*((('Dvd Calendar'!$AG$1402&lt;=VAL_DATE)+(COUNTIF('Dvd Calendar'!$E$1409:$AR$1409,'Dvd Calendar'!$AG$1402)=0))&gt;0)=0,"",'Dvd Calendar'!$AG$1402*1000000000+ISNUMBER('Dvd Calendar'!$AG$1405)*100000000+('Dvd Calendar'!$AG$1407=SPECIAL_LBL)*10000000+(N('Dvd Calendar'!$AG$1401)&gt;0)*(N('Dvd Calendar'!$AG$1401)&lt;=VAL_SERIAL)*1000000+27*1000+29))</f>
        <v/>
      </c>
      <c r="FH142" s="121">
        <f>IF(N('Dvd Calendar'!$AH$1402)=0,"",IF(('Dvd Calendar'!$AH$1402&gt;=GRID_FROM)*('Dvd Calendar'!$AH$1402&lt;=GRID_TO)*((('Dvd Calendar'!$AH$1402&lt;=VAL_DATE)+(COUNTIF('Dvd Calendar'!$E$1409:$AR$1409,'Dvd Calendar'!$AH$1402)=0))&gt;0)=0,"",'Dvd Calendar'!$AH$1402*1000000000+ISNUMBER('Dvd Calendar'!$AH$1405)*100000000+('Dvd Calendar'!$AH$1407=SPECIAL_LBL)*10000000+(N('Dvd Calendar'!$AH$1401)&gt;0)*(N('Dvd Calendar'!$AH$1401)&lt;=VAL_SERIAL)*1000000+27*1000+30))</f>
        <v/>
      </c>
      <c r="FI142" s="121">
        <f>IF(N('Dvd Calendar'!$AI$1402)=0,"",IF(('Dvd Calendar'!$AI$1402&gt;=GRID_FROM)*('Dvd Calendar'!$AI$1402&lt;=GRID_TO)*((('Dvd Calendar'!$AI$1402&lt;=VAL_DATE)+(COUNTIF('Dvd Calendar'!$E$1409:$AR$1409,'Dvd Calendar'!$AI$1402)=0))&gt;0)=0,"",'Dvd Calendar'!$AI$1402*1000000000+ISNUMBER('Dvd Calendar'!$AI$1405)*100000000+('Dvd Calendar'!$AI$1407=SPECIAL_LBL)*10000000+(N('Dvd Calendar'!$AI$1401)&gt;0)*(N('Dvd Calendar'!$AI$1401)&lt;=VAL_SERIAL)*1000000+27*1000+31))</f>
        <v/>
      </c>
      <c r="FJ142" s="121">
        <f>IF(N('Dvd Calendar'!$AJ$1402)=0,"",IF(('Dvd Calendar'!$AJ$1402&gt;=GRID_FROM)*('Dvd Calendar'!$AJ$1402&lt;=GRID_TO)*((('Dvd Calendar'!$AJ$1402&lt;=VAL_DATE)+(COUNTIF('Dvd Calendar'!$E$1409:$AR$1409,'Dvd Calendar'!$AJ$1402)=0))&gt;0)=0,"",'Dvd Calendar'!$AJ$1402*1000000000+ISNUMBER('Dvd Calendar'!$AJ$1405)*100000000+('Dvd Calendar'!$AJ$1407=SPECIAL_LBL)*10000000+(N('Dvd Calendar'!$AJ$1401)&gt;0)*(N('Dvd Calendar'!$AJ$1401)&lt;=VAL_SERIAL)*1000000+27*1000+32))</f>
        <v/>
      </c>
      <c r="FK142" s="121">
        <f>IF(N('Dvd Calendar'!$AK$1402)=0,"",IF(('Dvd Calendar'!$AK$1402&gt;=GRID_FROM)*('Dvd Calendar'!$AK$1402&lt;=GRID_TO)*((('Dvd Calendar'!$AK$1402&lt;=VAL_DATE)+(COUNTIF('Dvd Calendar'!$E$1409:$AR$1409,'Dvd Calendar'!$AK$1402)=0))&gt;0)=0,"",'Dvd Calendar'!$AK$1402*1000000000+ISNUMBER('Dvd Calendar'!$AK$1405)*100000000+('Dvd Calendar'!$AK$1407=SPECIAL_LBL)*10000000+(N('Dvd Calendar'!$AK$1401)&gt;0)*(N('Dvd Calendar'!$AK$1401)&lt;=VAL_SERIAL)*1000000+27*1000+33))</f>
        <v/>
      </c>
      <c r="FL142" s="121">
        <f>IF(N('Dvd Calendar'!$AL$1402)=0,"",IF(('Dvd Calendar'!$AL$1402&gt;=GRID_FROM)*('Dvd Calendar'!$AL$1402&lt;=GRID_TO)*((('Dvd Calendar'!$AL$1402&lt;=VAL_DATE)+(COUNTIF('Dvd Calendar'!$E$1409:$AR$1409,'Dvd Calendar'!$AL$1402)=0))&gt;0)=0,"",'Dvd Calendar'!$AL$1402*1000000000+ISNUMBER('Dvd Calendar'!$AL$1405)*100000000+('Dvd Calendar'!$AL$1407=SPECIAL_LBL)*10000000+(N('Dvd Calendar'!$AL$1401)&gt;0)*(N('Dvd Calendar'!$AL$1401)&lt;=VAL_SERIAL)*1000000+27*1000+34))</f>
        <v/>
      </c>
      <c r="FM142" s="121">
        <f>IF(N('Dvd Calendar'!$AM$1402)=0,"",IF(('Dvd Calendar'!$AM$1402&gt;=GRID_FROM)*('Dvd Calendar'!$AM$1402&lt;=GRID_TO)*((('Dvd Calendar'!$AM$1402&lt;=VAL_DATE)+(COUNTIF('Dvd Calendar'!$E$1409:$AR$1409,'Dvd Calendar'!$AM$1402)=0))&gt;0)=0,"",'Dvd Calendar'!$AM$1402*1000000000+ISNUMBER('Dvd Calendar'!$AM$1405)*100000000+('Dvd Calendar'!$AM$1407=SPECIAL_LBL)*10000000+(N('Dvd Calendar'!$AM$1401)&gt;0)*(N('Dvd Calendar'!$AM$1401)&lt;=VAL_SERIAL)*1000000+27*1000+35))</f>
        <v/>
      </c>
      <c r="FN142" s="121">
        <f>IF(N('Dvd Calendar'!$AN$1402)=0,"",IF(('Dvd Calendar'!$AN$1402&gt;=GRID_FROM)*('Dvd Calendar'!$AN$1402&lt;=GRID_TO)*((('Dvd Calendar'!$AN$1402&lt;=VAL_DATE)+(COUNTIF('Dvd Calendar'!$E$1409:$AR$1409,'Dvd Calendar'!$AN$1402)=0))&gt;0)=0,"",'Dvd Calendar'!$AN$1402*1000000000+ISNUMBER('Dvd Calendar'!$AN$1405)*100000000+('Dvd Calendar'!$AN$1407=SPECIAL_LBL)*10000000+(N('Dvd Calendar'!$AN$1401)&gt;0)*(N('Dvd Calendar'!$AN$1401)&lt;=VAL_SERIAL)*1000000+27*1000+36))</f>
        <v/>
      </c>
      <c r="FO142" s="121">
        <f>IF(N('Dvd Calendar'!$AO$1402)=0,"",IF(('Dvd Calendar'!$AO$1402&gt;=GRID_FROM)*('Dvd Calendar'!$AO$1402&lt;=GRID_TO)*((('Dvd Calendar'!$AO$1402&lt;=VAL_DATE)+(COUNTIF('Dvd Calendar'!$E$1409:$AR$1409,'Dvd Calendar'!$AO$1402)=0))&gt;0)=0,"",'Dvd Calendar'!$AO$1402*1000000000+ISNUMBER('Dvd Calendar'!$AO$1405)*100000000+('Dvd Calendar'!$AO$1407=SPECIAL_LBL)*10000000+(N('Dvd Calendar'!$AO$1401)&gt;0)*(N('Dvd Calendar'!$AO$1401)&lt;=VAL_SERIAL)*1000000+27*1000+37))</f>
        <v/>
      </c>
      <c r="FP142" s="121">
        <f>IF(N('Dvd Calendar'!$AP$1402)=0,"",IF(('Dvd Calendar'!$AP$1402&gt;=GRID_FROM)*('Dvd Calendar'!$AP$1402&lt;=GRID_TO)*((('Dvd Calendar'!$AP$1402&lt;=VAL_DATE)+(COUNTIF('Dvd Calendar'!$E$1409:$AR$1409,'Dvd Calendar'!$AP$1402)=0))&gt;0)=0,"",'Dvd Calendar'!$AP$1402*1000000000+ISNUMBER('Dvd Calendar'!$AP$1405)*100000000+('Dvd Calendar'!$AP$1407=SPECIAL_LBL)*10000000+(N('Dvd Calendar'!$AP$1401)&gt;0)*(N('Dvd Calendar'!$AP$1401)&lt;=VAL_SERIAL)*1000000+27*1000+38))</f>
        <v/>
      </c>
      <c r="FQ142" s="121">
        <f>IF(N('Dvd Calendar'!$AQ$1402)=0,"",IF(('Dvd Calendar'!$AQ$1402&gt;=GRID_FROM)*('Dvd Calendar'!$AQ$1402&lt;=GRID_TO)*((('Dvd Calendar'!$AQ$1402&lt;=VAL_DATE)+(COUNTIF('Dvd Calendar'!$E$1409:$AR$1409,'Dvd Calendar'!$AQ$1402)=0))&gt;0)=0,"",'Dvd Calendar'!$AQ$1402*1000000000+ISNUMBER('Dvd Calendar'!$AQ$1405)*100000000+('Dvd Calendar'!$AQ$1407=SPECIAL_LBL)*10000000+(N('Dvd Calendar'!$AQ$1401)&gt;0)*(N('Dvd Calendar'!$AQ$1401)&lt;=VAL_SERIAL)*1000000+27*1000+39))</f>
        <v/>
      </c>
      <c r="FR142" s="121">
        <f>IF(N('Dvd Calendar'!$AR$1402)=0,"",IF(('Dvd Calendar'!$AR$1402&gt;=GRID_FROM)*('Dvd Calendar'!$AR$1402&lt;=GRID_TO)*((('Dvd Calendar'!$AR$1402&lt;=VAL_DATE)+(COUNTIF('Dvd Calendar'!$E$1409:$AR$1409,'Dvd Calendar'!$AR$1402)=0))&gt;0)=0,"",'Dvd Calendar'!$AR$1402*1000000000+ISNUMBER('Dvd Calendar'!$AR$1405)*100000000+('Dvd Calendar'!$AR$1407=SPECIAL_LBL)*10000000+(N('Dvd Calendar'!$AR$1401)&gt;0)*(N('Dvd Calendar'!$AR$1401)&lt;=VAL_SERIAL)*1000000+27*1000+40))</f>
        <v/>
      </c>
      <c r="FS142" s="121">
        <f>IF(N('Dvd Calendar'!$E$1409)=0,"",IF(('Dvd Calendar'!$E$1409&gt;=GRID_FROM)*('Dvd Calendar'!$E$1409&lt;=GRID_TO)*('Dvd Calendar'!$E$1409&gt;VAL_DATE)=0,"",'Dvd Calendar'!$E$1409*1000000000+ISNUMBER('Dvd Calendar'!$E$1410)*100000000+0*10000000+(N('Dvd Calendar'!$E$1408)&gt;0)*(N('Dvd Calendar'!$E$1408)&lt;=VAL_SERIAL)*1000000+27*1000+41))</f>
        <v/>
      </c>
      <c r="FT142" s="121">
        <f>IF(N('Dvd Calendar'!$F$1409)=0,"",IF(('Dvd Calendar'!$F$1409&gt;=GRID_FROM)*('Dvd Calendar'!$F$1409&lt;=GRID_TO)*('Dvd Calendar'!$F$1409&gt;VAL_DATE)=0,"",'Dvd Calendar'!$F$1409*1000000000+ISNUMBER('Dvd Calendar'!$F$1410)*100000000+0*10000000+(N('Dvd Calendar'!$F$1408)&gt;0)*(N('Dvd Calendar'!$F$1408)&lt;=VAL_SERIAL)*1000000+27*1000+42))</f>
        <v/>
      </c>
      <c r="FU142" s="121">
        <f>IF(N('Dvd Calendar'!$G$1409)=0,"",IF(('Dvd Calendar'!$G$1409&gt;=GRID_FROM)*('Dvd Calendar'!$G$1409&lt;=GRID_TO)*('Dvd Calendar'!$G$1409&gt;VAL_DATE)=0,"",'Dvd Calendar'!$G$1409*1000000000+ISNUMBER('Dvd Calendar'!$G$1410)*100000000+0*10000000+(N('Dvd Calendar'!$G$1408)&gt;0)*(N('Dvd Calendar'!$G$1408)&lt;=VAL_SERIAL)*1000000+27*1000+43))</f>
        <v/>
      </c>
      <c r="FV142" s="121">
        <f>IF(N('Dvd Calendar'!$H$1409)=0,"",IF(('Dvd Calendar'!$H$1409&gt;=GRID_FROM)*('Dvd Calendar'!$H$1409&lt;=GRID_TO)*('Dvd Calendar'!$H$1409&gt;VAL_DATE)=0,"",'Dvd Calendar'!$H$1409*1000000000+ISNUMBER('Dvd Calendar'!$H$1410)*100000000+0*10000000+(N('Dvd Calendar'!$H$1408)&gt;0)*(N('Dvd Calendar'!$H$1408)&lt;=VAL_SERIAL)*1000000+27*1000+44))</f>
        <v/>
      </c>
      <c r="FW142" s="121">
        <f>IF(N('Dvd Calendar'!$I$1409)=0,"",IF(('Dvd Calendar'!$I$1409&gt;=GRID_FROM)*('Dvd Calendar'!$I$1409&lt;=GRID_TO)*('Dvd Calendar'!$I$1409&gt;VAL_DATE)=0,"",'Dvd Calendar'!$I$1409*1000000000+ISNUMBER('Dvd Calendar'!$I$1410)*100000000+0*10000000+(N('Dvd Calendar'!$I$1408)&gt;0)*(N('Dvd Calendar'!$I$1408)&lt;=VAL_SERIAL)*1000000+27*1000+45))</f>
        <v/>
      </c>
      <c r="FX142" s="121">
        <f>IF(N('Dvd Calendar'!$J$1409)=0,"",IF(('Dvd Calendar'!$J$1409&gt;=GRID_FROM)*('Dvd Calendar'!$J$1409&lt;=GRID_TO)*('Dvd Calendar'!$J$1409&gt;VAL_DATE)=0,"",'Dvd Calendar'!$J$1409*1000000000+ISNUMBER('Dvd Calendar'!$J$1410)*100000000+0*10000000+(N('Dvd Calendar'!$J$1408)&gt;0)*(N('Dvd Calendar'!$J$1408)&lt;=VAL_SERIAL)*1000000+27*1000+46))</f>
        <v/>
      </c>
      <c r="FY142" s="121">
        <f>IF(N('Dvd Calendar'!$K$1409)=0,"",IF(('Dvd Calendar'!$K$1409&gt;=GRID_FROM)*('Dvd Calendar'!$K$1409&lt;=GRID_TO)*('Dvd Calendar'!$K$1409&gt;VAL_DATE)=0,"",'Dvd Calendar'!$K$1409*1000000000+ISNUMBER('Dvd Calendar'!$K$1410)*100000000+0*10000000+(N('Dvd Calendar'!$K$1408)&gt;0)*(N('Dvd Calendar'!$K$1408)&lt;=VAL_SERIAL)*1000000+27*1000+47))</f>
        <v/>
      </c>
      <c r="FZ142" s="121">
        <f>IF(N('Dvd Calendar'!$L$1409)=0,"",IF(('Dvd Calendar'!$L$1409&gt;=GRID_FROM)*('Dvd Calendar'!$L$1409&lt;=GRID_TO)*('Dvd Calendar'!$L$1409&gt;VAL_DATE)=0,"",'Dvd Calendar'!$L$1409*1000000000+ISNUMBER('Dvd Calendar'!$L$1410)*100000000+0*10000000+(N('Dvd Calendar'!$L$1408)&gt;0)*(N('Dvd Calendar'!$L$1408)&lt;=VAL_SERIAL)*1000000+27*1000+48))</f>
        <v/>
      </c>
      <c r="GA142" s="121">
        <f>IF(N('Dvd Calendar'!$M$1409)=0,"",IF(('Dvd Calendar'!$M$1409&gt;=GRID_FROM)*('Dvd Calendar'!$M$1409&lt;=GRID_TO)*('Dvd Calendar'!$M$1409&gt;VAL_DATE)=0,"",'Dvd Calendar'!$M$1409*1000000000+ISNUMBER('Dvd Calendar'!$M$1410)*100000000+0*10000000+(N('Dvd Calendar'!$M$1408)&gt;0)*(N('Dvd Calendar'!$M$1408)&lt;=VAL_SERIAL)*1000000+27*1000+49))</f>
        <v/>
      </c>
      <c r="GB142" s="121">
        <f>IF(N('Dvd Calendar'!$N$1409)=0,"",IF(('Dvd Calendar'!$N$1409&gt;=GRID_FROM)*('Dvd Calendar'!$N$1409&lt;=GRID_TO)*('Dvd Calendar'!$N$1409&gt;VAL_DATE)=0,"",'Dvd Calendar'!$N$1409*1000000000+ISNUMBER('Dvd Calendar'!$N$1410)*100000000+0*10000000+(N('Dvd Calendar'!$N$1408)&gt;0)*(N('Dvd Calendar'!$N$1408)&lt;=VAL_SERIAL)*1000000+27*1000+50))</f>
        <v/>
      </c>
      <c r="GC142" s="121">
        <f>IF(N('Dvd Calendar'!$O$1409)=0,"",IF(('Dvd Calendar'!$O$1409&gt;=GRID_FROM)*('Dvd Calendar'!$O$1409&lt;=GRID_TO)*('Dvd Calendar'!$O$1409&gt;VAL_DATE)=0,"",'Dvd Calendar'!$O$1409*1000000000+ISNUMBER('Dvd Calendar'!$O$1410)*100000000+0*10000000+(N('Dvd Calendar'!$O$1408)&gt;0)*(N('Dvd Calendar'!$O$1408)&lt;=VAL_SERIAL)*1000000+27*1000+51))</f>
        <v/>
      </c>
      <c r="GD142" s="121">
        <f>IF(N('Dvd Calendar'!$P$1409)=0,"",IF(('Dvd Calendar'!$P$1409&gt;=GRID_FROM)*('Dvd Calendar'!$P$1409&lt;=GRID_TO)*('Dvd Calendar'!$P$1409&gt;VAL_DATE)=0,"",'Dvd Calendar'!$P$1409*1000000000+ISNUMBER('Dvd Calendar'!$P$1410)*100000000+0*10000000+(N('Dvd Calendar'!$P$1408)&gt;0)*(N('Dvd Calendar'!$P$1408)&lt;=VAL_SERIAL)*1000000+27*1000+52))</f>
        <v/>
      </c>
      <c r="GE142" s="121">
        <f>IF(N('Dvd Calendar'!$Q$1409)=0,"",IF(('Dvd Calendar'!$Q$1409&gt;=GRID_FROM)*('Dvd Calendar'!$Q$1409&lt;=GRID_TO)*('Dvd Calendar'!$Q$1409&gt;VAL_DATE)=0,"",'Dvd Calendar'!$Q$1409*1000000000+ISNUMBER('Dvd Calendar'!$Q$1410)*100000000+0*10000000+(N('Dvd Calendar'!$Q$1408)&gt;0)*(N('Dvd Calendar'!$Q$1408)&lt;=VAL_SERIAL)*1000000+27*1000+53))</f>
        <v/>
      </c>
      <c r="GF142" s="121">
        <f>IF(N('Dvd Calendar'!$R$1409)=0,"",IF(('Dvd Calendar'!$R$1409&gt;=GRID_FROM)*('Dvd Calendar'!$R$1409&lt;=GRID_TO)*('Dvd Calendar'!$R$1409&gt;VAL_DATE)=0,"",'Dvd Calendar'!$R$1409*1000000000+ISNUMBER('Dvd Calendar'!$R$1410)*100000000+0*10000000+(N('Dvd Calendar'!$R$1408)&gt;0)*(N('Dvd Calendar'!$R$1408)&lt;=VAL_SERIAL)*1000000+27*1000+54))</f>
        <v/>
      </c>
      <c r="GG142" s="121">
        <f>IF(N('Dvd Calendar'!$S$1409)=0,"",IF(('Dvd Calendar'!$S$1409&gt;=GRID_FROM)*('Dvd Calendar'!$S$1409&lt;=GRID_TO)*('Dvd Calendar'!$S$1409&gt;VAL_DATE)=0,"",'Dvd Calendar'!$S$1409*1000000000+ISNUMBER('Dvd Calendar'!$S$1410)*100000000+0*10000000+(N('Dvd Calendar'!$S$1408)&gt;0)*(N('Dvd Calendar'!$S$1408)&lt;=VAL_SERIAL)*1000000+27*1000+55))</f>
        <v/>
      </c>
      <c r="GH142" s="121">
        <f>IF(N('Dvd Calendar'!$T$1409)=0,"",IF(('Dvd Calendar'!$T$1409&gt;=GRID_FROM)*('Dvd Calendar'!$T$1409&lt;=GRID_TO)*('Dvd Calendar'!$T$1409&gt;VAL_DATE)=0,"",'Dvd Calendar'!$T$1409*1000000000+ISNUMBER('Dvd Calendar'!$T$1410)*100000000+0*10000000+(N('Dvd Calendar'!$T$1408)&gt;0)*(N('Dvd Calendar'!$T$1408)&lt;=VAL_SERIAL)*1000000+27*1000+56))</f>
        <v/>
      </c>
      <c r="GI142" s="121">
        <f>IF(N('Dvd Calendar'!$U$1409)=0,"",IF(('Dvd Calendar'!$U$1409&gt;=GRID_FROM)*('Dvd Calendar'!$U$1409&lt;=GRID_TO)*('Dvd Calendar'!$U$1409&gt;VAL_DATE)=0,"",'Dvd Calendar'!$U$1409*1000000000+ISNUMBER('Dvd Calendar'!$U$1410)*100000000+0*10000000+(N('Dvd Calendar'!$U$1408)&gt;0)*(N('Dvd Calendar'!$U$1408)&lt;=VAL_SERIAL)*1000000+27*1000+57))</f>
        <v/>
      </c>
      <c r="GJ142" s="121">
        <f>IF(N('Dvd Calendar'!$V$1409)=0,"",IF(('Dvd Calendar'!$V$1409&gt;=GRID_FROM)*('Dvd Calendar'!$V$1409&lt;=GRID_TO)*('Dvd Calendar'!$V$1409&gt;VAL_DATE)=0,"",'Dvd Calendar'!$V$1409*1000000000+ISNUMBER('Dvd Calendar'!$V$1410)*100000000+0*10000000+(N('Dvd Calendar'!$V$1408)&gt;0)*(N('Dvd Calendar'!$V$1408)&lt;=VAL_SERIAL)*1000000+27*1000+58))</f>
        <v/>
      </c>
      <c r="GK142" s="121">
        <f>IF(N('Dvd Calendar'!$W$1409)=0,"",IF(('Dvd Calendar'!$W$1409&gt;=GRID_FROM)*('Dvd Calendar'!$W$1409&lt;=GRID_TO)*('Dvd Calendar'!$W$1409&gt;VAL_DATE)=0,"",'Dvd Calendar'!$W$1409*1000000000+ISNUMBER('Dvd Calendar'!$W$1410)*100000000+0*10000000+(N('Dvd Calendar'!$W$1408)&gt;0)*(N('Dvd Calendar'!$W$1408)&lt;=VAL_SERIAL)*1000000+27*1000+59))</f>
        <v/>
      </c>
      <c r="GL142" s="121">
        <f>IF(N('Dvd Calendar'!$X$1409)=0,"",IF(('Dvd Calendar'!$X$1409&gt;=GRID_FROM)*('Dvd Calendar'!$X$1409&lt;=GRID_TO)*('Dvd Calendar'!$X$1409&gt;VAL_DATE)=0,"",'Dvd Calendar'!$X$1409*1000000000+ISNUMBER('Dvd Calendar'!$X$1410)*100000000+0*10000000+(N('Dvd Calendar'!$X$1408)&gt;0)*(N('Dvd Calendar'!$X$1408)&lt;=VAL_SERIAL)*1000000+27*1000+60))</f>
        <v/>
      </c>
      <c r="GM142" s="121">
        <f>IF(N('Dvd Calendar'!$Y$1409)=0,"",IF(('Dvd Calendar'!$Y$1409&gt;=GRID_FROM)*('Dvd Calendar'!$Y$1409&lt;=GRID_TO)*('Dvd Calendar'!$Y$1409&gt;VAL_DATE)=0,"",'Dvd Calendar'!$Y$1409*1000000000+ISNUMBER('Dvd Calendar'!$Y$1410)*100000000+0*10000000+(N('Dvd Calendar'!$Y$1408)&gt;0)*(N('Dvd Calendar'!$Y$1408)&lt;=VAL_SERIAL)*1000000+27*1000+61))</f>
        <v/>
      </c>
      <c r="GN142" s="121">
        <f>IF(N('Dvd Calendar'!$Z$1409)=0,"",IF(('Dvd Calendar'!$Z$1409&gt;=GRID_FROM)*('Dvd Calendar'!$Z$1409&lt;=GRID_TO)*('Dvd Calendar'!$Z$1409&gt;VAL_DATE)=0,"",'Dvd Calendar'!$Z$1409*1000000000+ISNUMBER('Dvd Calendar'!$Z$1410)*100000000+0*10000000+(N('Dvd Calendar'!$Z$1408)&gt;0)*(N('Dvd Calendar'!$Z$1408)&lt;=VAL_SERIAL)*1000000+27*1000+62))</f>
        <v/>
      </c>
      <c r="GO142" s="121">
        <f>IF(N('Dvd Calendar'!$AA$1409)=0,"",IF(('Dvd Calendar'!$AA$1409&gt;=GRID_FROM)*('Dvd Calendar'!$AA$1409&lt;=GRID_TO)*('Dvd Calendar'!$AA$1409&gt;VAL_DATE)=0,"",'Dvd Calendar'!$AA$1409*1000000000+ISNUMBER('Dvd Calendar'!$AA$1410)*100000000+0*10000000+(N('Dvd Calendar'!$AA$1408)&gt;0)*(N('Dvd Calendar'!$AA$1408)&lt;=VAL_SERIAL)*1000000+27*1000+63))</f>
        <v/>
      </c>
      <c r="GP142" s="121">
        <f>IF(N('Dvd Calendar'!$AB$1409)=0,"",IF(('Dvd Calendar'!$AB$1409&gt;=GRID_FROM)*('Dvd Calendar'!$AB$1409&lt;=GRID_TO)*('Dvd Calendar'!$AB$1409&gt;VAL_DATE)=0,"",'Dvd Calendar'!$AB$1409*1000000000+ISNUMBER('Dvd Calendar'!$AB$1410)*100000000+0*10000000+(N('Dvd Calendar'!$AB$1408)&gt;0)*(N('Dvd Calendar'!$AB$1408)&lt;=VAL_SERIAL)*1000000+27*1000+64))</f>
        <v/>
      </c>
      <c r="GQ142" s="121">
        <f>IF(N('Dvd Calendar'!$AC$1409)=0,"",IF(('Dvd Calendar'!$AC$1409&gt;=GRID_FROM)*('Dvd Calendar'!$AC$1409&lt;=GRID_TO)*('Dvd Calendar'!$AC$1409&gt;VAL_DATE)=0,"",'Dvd Calendar'!$AC$1409*1000000000+ISNUMBER('Dvd Calendar'!$AC$1410)*100000000+0*10000000+(N('Dvd Calendar'!$AC$1408)&gt;0)*(N('Dvd Calendar'!$AC$1408)&lt;=VAL_SERIAL)*1000000+27*1000+65))</f>
        <v/>
      </c>
    </row>
    <row r="143">
      <c r="B143" s="2">
        <f>IF(HSTECH!$C$34="","",HSTECH!$C$34)</f>
        <v/>
      </c>
      <c r="C143" s="161">
        <f>IF(EE143="","",IF(ISNUMBER('Dvd Calendar'!$E$1416)=FALSE,"",IF((('Dvd Calendar'!$E$1418=TYPE1)*(TYPE1&lt;&gt;"")+('Dvd Calendar'!$E$1418=TYPE2)*(TYPE2&lt;&gt;"")+('Dvd Calendar'!$E$1418=TYPE3)*(TYPE3&lt;&gt;"")+('Dvd Calendar'!$E$1418=TYPE4)*(TYPE4&lt;&gt;"")+('Dvd Calendar'!$E$1418=SPECIAL_LBL)*(INC_SPECIALS="Y"))=0,"",'Dvd Calendar'!$E$1416)))</f>
        <v/>
      </c>
      <c r="D143" s="161">
        <f>IF(EF143="","",IF(ISNUMBER('Dvd Calendar'!$F$1416)=FALSE,"",IF((('Dvd Calendar'!$F$1418=TYPE1)*(TYPE1&lt;&gt;"")+('Dvd Calendar'!$F$1418=TYPE2)*(TYPE2&lt;&gt;"")+('Dvd Calendar'!$F$1418=TYPE3)*(TYPE3&lt;&gt;"")+('Dvd Calendar'!$F$1418=TYPE4)*(TYPE4&lt;&gt;"")+('Dvd Calendar'!$F$1418=SPECIAL_LBL)*(INC_SPECIALS="Y"))=0,"",'Dvd Calendar'!$F$1416)))</f>
        <v/>
      </c>
      <c r="E143" s="161">
        <f>IF(EG143="","",IF(ISNUMBER('Dvd Calendar'!$G$1416)=FALSE,"",IF((('Dvd Calendar'!$G$1418=TYPE1)*(TYPE1&lt;&gt;"")+('Dvd Calendar'!$G$1418=TYPE2)*(TYPE2&lt;&gt;"")+('Dvd Calendar'!$G$1418=TYPE3)*(TYPE3&lt;&gt;"")+('Dvd Calendar'!$G$1418=TYPE4)*(TYPE4&lt;&gt;"")+('Dvd Calendar'!$G$1418=SPECIAL_LBL)*(INC_SPECIALS="Y"))=0,"",'Dvd Calendar'!$G$1416)))</f>
        <v/>
      </c>
      <c r="F143" s="161">
        <f>IF(EH143="","",IF(ISNUMBER('Dvd Calendar'!$H$1416)=FALSE,"",IF((('Dvd Calendar'!$H$1418=TYPE1)*(TYPE1&lt;&gt;"")+('Dvd Calendar'!$H$1418=TYPE2)*(TYPE2&lt;&gt;"")+('Dvd Calendar'!$H$1418=TYPE3)*(TYPE3&lt;&gt;"")+('Dvd Calendar'!$H$1418=TYPE4)*(TYPE4&lt;&gt;"")+('Dvd Calendar'!$H$1418=SPECIAL_LBL)*(INC_SPECIALS="Y"))=0,"",'Dvd Calendar'!$H$1416)))</f>
        <v/>
      </c>
      <c r="G143" s="161">
        <f>IF(EI143="","",IF(ISNUMBER('Dvd Calendar'!$I$1416)=FALSE,"",IF((('Dvd Calendar'!$I$1418=TYPE1)*(TYPE1&lt;&gt;"")+('Dvd Calendar'!$I$1418=TYPE2)*(TYPE2&lt;&gt;"")+('Dvd Calendar'!$I$1418=TYPE3)*(TYPE3&lt;&gt;"")+('Dvd Calendar'!$I$1418=TYPE4)*(TYPE4&lt;&gt;"")+('Dvd Calendar'!$I$1418=SPECIAL_LBL)*(INC_SPECIALS="Y"))=0,"",'Dvd Calendar'!$I$1416)))</f>
        <v/>
      </c>
      <c r="H143" s="161">
        <f>IF(EJ143="","",IF(ISNUMBER('Dvd Calendar'!$J$1416)=FALSE,"",IF((('Dvd Calendar'!$J$1418=TYPE1)*(TYPE1&lt;&gt;"")+('Dvd Calendar'!$J$1418=TYPE2)*(TYPE2&lt;&gt;"")+('Dvd Calendar'!$J$1418=TYPE3)*(TYPE3&lt;&gt;"")+('Dvd Calendar'!$J$1418=TYPE4)*(TYPE4&lt;&gt;"")+('Dvd Calendar'!$J$1418=SPECIAL_LBL)*(INC_SPECIALS="Y"))=0,"",'Dvd Calendar'!$J$1416)))</f>
        <v/>
      </c>
      <c r="I143" s="161">
        <f>IF(EK143="","",IF(ISNUMBER('Dvd Calendar'!$K$1416)=FALSE,"",IF((('Dvd Calendar'!$K$1418=TYPE1)*(TYPE1&lt;&gt;"")+('Dvd Calendar'!$K$1418=TYPE2)*(TYPE2&lt;&gt;"")+('Dvd Calendar'!$K$1418=TYPE3)*(TYPE3&lt;&gt;"")+('Dvd Calendar'!$K$1418=TYPE4)*(TYPE4&lt;&gt;"")+('Dvd Calendar'!$K$1418=SPECIAL_LBL)*(INC_SPECIALS="Y"))=0,"",'Dvd Calendar'!$K$1416)))</f>
        <v/>
      </c>
      <c r="J143" s="161">
        <f>IF(EL143="","",IF(ISNUMBER('Dvd Calendar'!$L$1416)=FALSE,"",IF((('Dvd Calendar'!$L$1418=TYPE1)*(TYPE1&lt;&gt;"")+('Dvd Calendar'!$L$1418=TYPE2)*(TYPE2&lt;&gt;"")+('Dvd Calendar'!$L$1418=TYPE3)*(TYPE3&lt;&gt;"")+('Dvd Calendar'!$L$1418=TYPE4)*(TYPE4&lt;&gt;"")+('Dvd Calendar'!$L$1418=SPECIAL_LBL)*(INC_SPECIALS="Y"))=0,"",'Dvd Calendar'!$L$1416)))</f>
        <v/>
      </c>
      <c r="K143" s="161">
        <f>IF(EM143="","",IF(ISNUMBER('Dvd Calendar'!$M$1416)=FALSE,"",IF((('Dvd Calendar'!$M$1418=TYPE1)*(TYPE1&lt;&gt;"")+('Dvd Calendar'!$M$1418=TYPE2)*(TYPE2&lt;&gt;"")+('Dvd Calendar'!$M$1418=TYPE3)*(TYPE3&lt;&gt;"")+('Dvd Calendar'!$M$1418=TYPE4)*(TYPE4&lt;&gt;"")+('Dvd Calendar'!$M$1418=SPECIAL_LBL)*(INC_SPECIALS="Y"))=0,"",'Dvd Calendar'!$M$1416)))</f>
        <v/>
      </c>
      <c r="L143" s="161">
        <f>IF(EN143="","",IF(ISNUMBER('Dvd Calendar'!$N$1416)=FALSE,"",IF((('Dvd Calendar'!$N$1418=TYPE1)*(TYPE1&lt;&gt;"")+('Dvd Calendar'!$N$1418=TYPE2)*(TYPE2&lt;&gt;"")+('Dvd Calendar'!$N$1418=TYPE3)*(TYPE3&lt;&gt;"")+('Dvd Calendar'!$N$1418=TYPE4)*(TYPE4&lt;&gt;"")+('Dvd Calendar'!$N$1418=SPECIAL_LBL)*(INC_SPECIALS="Y"))=0,"",'Dvd Calendar'!$N$1416)))</f>
        <v/>
      </c>
      <c r="M143" s="161">
        <f>IF(EO143="","",IF(ISNUMBER('Dvd Calendar'!$O$1416)=FALSE,"",IF((('Dvd Calendar'!$O$1418=TYPE1)*(TYPE1&lt;&gt;"")+('Dvd Calendar'!$O$1418=TYPE2)*(TYPE2&lt;&gt;"")+('Dvd Calendar'!$O$1418=TYPE3)*(TYPE3&lt;&gt;"")+('Dvd Calendar'!$O$1418=TYPE4)*(TYPE4&lt;&gt;"")+('Dvd Calendar'!$O$1418=SPECIAL_LBL)*(INC_SPECIALS="Y"))=0,"",'Dvd Calendar'!$O$1416)))</f>
        <v/>
      </c>
      <c r="N143" s="161">
        <f>IF(EP143="","",IF(ISNUMBER('Dvd Calendar'!$P$1416)=FALSE,"",IF((('Dvd Calendar'!$P$1418=TYPE1)*(TYPE1&lt;&gt;"")+('Dvd Calendar'!$P$1418=TYPE2)*(TYPE2&lt;&gt;"")+('Dvd Calendar'!$P$1418=TYPE3)*(TYPE3&lt;&gt;"")+('Dvd Calendar'!$P$1418=TYPE4)*(TYPE4&lt;&gt;"")+('Dvd Calendar'!$P$1418=SPECIAL_LBL)*(INC_SPECIALS="Y"))=0,"",'Dvd Calendar'!$P$1416)))</f>
        <v/>
      </c>
      <c r="O143" s="161">
        <f>IF(EQ143="","",IF(ISNUMBER('Dvd Calendar'!$Q$1416)=FALSE,"",IF((('Dvd Calendar'!$Q$1418=TYPE1)*(TYPE1&lt;&gt;"")+('Dvd Calendar'!$Q$1418=TYPE2)*(TYPE2&lt;&gt;"")+('Dvd Calendar'!$Q$1418=TYPE3)*(TYPE3&lt;&gt;"")+('Dvd Calendar'!$Q$1418=TYPE4)*(TYPE4&lt;&gt;"")+('Dvd Calendar'!$Q$1418=SPECIAL_LBL)*(INC_SPECIALS="Y"))=0,"",'Dvd Calendar'!$Q$1416)))</f>
        <v/>
      </c>
      <c r="P143" s="161">
        <f>IF(ER143="","",IF(ISNUMBER('Dvd Calendar'!$R$1416)=FALSE,"",IF((('Dvd Calendar'!$R$1418=TYPE1)*(TYPE1&lt;&gt;"")+('Dvd Calendar'!$R$1418=TYPE2)*(TYPE2&lt;&gt;"")+('Dvd Calendar'!$R$1418=TYPE3)*(TYPE3&lt;&gt;"")+('Dvd Calendar'!$R$1418=TYPE4)*(TYPE4&lt;&gt;"")+('Dvd Calendar'!$R$1418=SPECIAL_LBL)*(INC_SPECIALS="Y"))=0,"",'Dvd Calendar'!$R$1416)))</f>
        <v/>
      </c>
      <c r="Q143" s="161">
        <f>IF(ES143="","",IF(ISNUMBER('Dvd Calendar'!$S$1416)=FALSE,"",IF((('Dvd Calendar'!$S$1418=TYPE1)*(TYPE1&lt;&gt;"")+('Dvd Calendar'!$S$1418=TYPE2)*(TYPE2&lt;&gt;"")+('Dvd Calendar'!$S$1418=TYPE3)*(TYPE3&lt;&gt;"")+('Dvd Calendar'!$S$1418=TYPE4)*(TYPE4&lt;&gt;"")+('Dvd Calendar'!$S$1418=SPECIAL_LBL)*(INC_SPECIALS="Y"))=0,"",'Dvd Calendar'!$S$1416)))</f>
        <v/>
      </c>
      <c r="R143" s="161">
        <f>IF(ET143="","",IF(ISNUMBER('Dvd Calendar'!$T$1416)=FALSE,"",IF((('Dvd Calendar'!$T$1418=TYPE1)*(TYPE1&lt;&gt;"")+('Dvd Calendar'!$T$1418=TYPE2)*(TYPE2&lt;&gt;"")+('Dvd Calendar'!$T$1418=TYPE3)*(TYPE3&lt;&gt;"")+('Dvd Calendar'!$T$1418=TYPE4)*(TYPE4&lt;&gt;"")+('Dvd Calendar'!$T$1418=SPECIAL_LBL)*(INC_SPECIALS="Y"))=0,"",'Dvd Calendar'!$T$1416)))</f>
        <v/>
      </c>
      <c r="S143" s="161">
        <f>IF(EU143="","",IF(ISNUMBER('Dvd Calendar'!$U$1416)=FALSE,"",IF((('Dvd Calendar'!$U$1418=TYPE1)*(TYPE1&lt;&gt;"")+('Dvd Calendar'!$U$1418=TYPE2)*(TYPE2&lt;&gt;"")+('Dvd Calendar'!$U$1418=TYPE3)*(TYPE3&lt;&gt;"")+('Dvd Calendar'!$U$1418=TYPE4)*(TYPE4&lt;&gt;"")+('Dvd Calendar'!$U$1418=SPECIAL_LBL)*(INC_SPECIALS="Y"))=0,"",'Dvd Calendar'!$U$1416)))</f>
        <v/>
      </c>
      <c r="T143" s="161">
        <f>IF(EV143="","",IF(ISNUMBER('Dvd Calendar'!$V$1416)=FALSE,"",IF((('Dvd Calendar'!$V$1418=TYPE1)*(TYPE1&lt;&gt;"")+('Dvd Calendar'!$V$1418=TYPE2)*(TYPE2&lt;&gt;"")+('Dvd Calendar'!$V$1418=TYPE3)*(TYPE3&lt;&gt;"")+('Dvd Calendar'!$V$1418=TYPE4)*(TYPE4&lt;&gt;"")+('Dvd Calendar'!$V$1418=SPECIAL_LBL)*(INC_SPECIALS="Y"))=0,"",'Dvd Calendar'!$V$1416)))</f>
        <v/>
      </c>
      <c r="U143" s="161">
        <f>IF(EW143="","",IF(ISNUMBER('Dvd Calendar'!$W$1416)=FALSE,"",IF((('Dvd Calendar'!$W$1418=TYPE1)*(TYPE1&lt;&gt;"")+('Dvd Calendar'!$W$1418=TYPE2)*(TYPE2&lt;&gt;"")+('Dvd Calendar'!$W$1418=TYPE3)*(TYPE3&lt;&gt;"")+('Dvd Calendar'!$W$1418=TYPE4)*(TYPE4&lt;&gt;"")+('Dvd Calendar'!$W$1418=SPECIAL_LBL)*(INC_SPECIALS="Y"))=0,"",'Dvd Calendar'!$W$1416)))</f>
        <v/>
      </c>
      <c r="V143" s="161">
        <f>IF(EX143="","",IF(ISNUMBER('Dvd Calendar'!$X$1416)=FALSE,"",IF((('Dvd Calendar'!$X$1418=TYPE1)*(TYPE1&lt;&gt;"")+('Dvd Calendar'!$X$1418=TYPE2)*(TYPE2&lt;&gt;"")+('Dvd Calendar'!$X$1418=TYPE3)*(TYPE3&lt;&gt;"")+('Dvd Calendar'!$X$1418=TYPE4)*(TYPE4&lt;&gt;"")+('Dvd Calendar'!$X$1418=SPECIAL_LBL)*(INC_SPECIALS="Y"))=0,"",'Dvd Calendar'!$X$1416)))</f>
        <v/>
      </c>
      <c r="W143" s="161">
        <f>IF(EY143="","",IF(ISNUMBER('Dvd Calendar'!$Y$1416)=FALSE,"",IF((('Dvd Calendar'!$Y$1418=TYPE1)*(TYPE1&lt;&gt;"")+('Dvd Calendar'!$Y$1418=TYPE2)*(TYPE2&lt;&gt;"")+('Dvd Calendar'!$Y$1418=TYPE3)*(TYPE3&lt;&gt;"")+('Dvd Calendar'!$Y$1418=TYPE4)*(TYPE4&lt;&gt;"")+('Dvd Calendar'!$Y$1418=SPECIAL_LBL)*(INC_SPECIALS="Y"))=0,"",'Dvd Calendar'!$Y$1416)))</f>
        <v/>
      </c>
      <c r="X143" s="161">
        <f>IF(EZ143="","",IF(ISNUMBER('Dvd Calendar'!$Z$1416)=FALSE,"",IF((('Dvd Calendar'!$Z$1418=TYPE1)*(TYPE1&lt;&gt;"")+('Dvd Calendar'!$Z$1418=TYPE2)*(TYPE2&lt;&gt;"")+('Dvd Calendar'!$Z$1418=TYPE3)*(TYPE3&lt;&gt;"")+('Dvd Calendar'!$Z$1418=TYPE4)*(TYPE4&lt;&gt;"")+('Dvd Calendar'!$Z$1418=SPECIAL_LBL)*(INC_SPECIALS="Y"))=0,"",'Dvd Calendar'!$Z$1416)))</f>
        <v/>
      </c>
      <c r="Y143" s="161">
        <f>IF(FA143="","",IF(ISNUMBER('Dvd Calendar'!$AA$1416)=FALSE,"",IF((('Dvd Calendar'!$AA$1418=TYPE1)*(TYPE1&lt;&gt;"")+('Dvd Calendar'!$AA$1418=TYPE2)*(TYPE2&lt;&gt;"")+('Dvd Calendar'!$AA$1418=TYPE3)*(TYPE3&lt;&gt;"")+('Dvd Calendar'!$AA$1418=TYPE4)*(TYPE4&lt;&gt;"")+('Dvd Calendar'!$AA$1418=SPECIAL_LBL)*(INC_SPECIALS="Y"))=0,"",'Dvd Calendar'!$AA$1416)))</f>
        <v/>
      </c>
      <c r="Z143" s="161">
        <f>IF(FB143="","",IF(ISNUMBER('Dvd Calendar'!$AB$1416)=FALSE,"",IF((('Dvd Calendar'!$AB$1418=TYPE1)*(TYPE1&lt;&gt;"")+('Dvd Calendar'!$AB$1418=TYPE2)*(TYPE2&lt;&gt;"")+('Dvd Calendar'!$AB$1418=TYPE3)*(TYPE3&lt;&gt;"")+('Dvd Calendar'!$AB$1418=TYPE4)*(TYPE4&lt;&gt;"")+('Dvd Calendar'!$AB$1418=SPECIAL_LBL)*(INC_SPECIALS="Y"))=0,"",'Dvd Calendar'!$AB$1416)))</f>
        <v/>
      </c>
      <c r="AA143" s="161">
        <f>IF(FC143="","",IF(ISNUMBER('Dvd Calendar'!$AC$1416)=FALSE,"",IF((('Dvd Calendar'!$AC$1418=TYPE1)*(TYPE1&lt;&gt;"")+('Dvd Calendar'!$AC$1418=TYPE2)*(TYPE2&lt;&gt;"")+('Dvd Calendar'!$AC$1418=TYPE3)*(TYPE3&lt;&gt;"")+('Dvd Calendar'!$AC$1418=TYPE4)*(TYPE4&lt;&gt;"")+('Dvd Calendar'!$AC$1418=SPECIAL_LBL)*(INC_SPECIALS="Y"))=0,"",'Dvd Calendar'!$AC$1416)))</f>
        <v/>
      </c>
      <c r="AB143" s="161">
        <f>IF(FD143="","",IF(ISNUMBER('Dvd Calendar'!$AD$1416)=FALSE,"",IF((('Dvd Calendar'!$AD$1418=TYPE1)*(TYPE1&lt;&gt;"")+('Dvd Calendar'!$AD$1418=TYPE2)*(TYPE2&lt;&gt;"")+('Dvd Calendar'!$AD$1418=TYPE3)*(TYPE3&lt;&gt;"")+('Dvd Calendar'!$AD$1418=TYPE4)*(TYPE4&lt;&gt;"")+('Dvd Calendar'!$AD$1418=SPECIAL_LBL)*(INC_SPECIALS="Y"))=0,"",'Dvd Calendar'!$AD$1416)))</f>
        <v/>
      </c>
      <c r="AC143" s="161">
        <f>IF(FE143="","",IF(ISNUMBER('Dvd Calendar'!$AE$1416)=FALSE,"",IF((('Dvd Calendar'!$AE$1418=TYPE1)*(TYPE1&lt;&gt;"")+('Dvd Calendar'!$AE$1418=TYPE2)*(TYPE2&lt;&gt;"")+('Dvd Calendar'!$AE$1418=TYPE3)*(TYPE3&lt;&gt;"")+('Dvd Calendar'!$AE$1418=TYPE4)*(TYPE4&lt;&gt;"")+('Dvd Calendar'!$AE$1418=SPECIAL_LBL)*(INC_SPECIALS="Y"))=0,"",'Dvd Calendar'!$AE$1416)))</f>
        <v/>
      </c>
      <c r="AD143" s="161">
        <f>IF(FF143="","",IF(ISNUMBER('Dvd Calendar'!$AF$1416)=FALSE,"",IF((('Dvd Calendar'!$AF$1418=TYPE1)*(TYPE1&lt;&gt;"")+('Dvd Calendar'!$AF$1418=TYPE2)*(TYPE2&lt;&gt;"")+('Dvd Calendar'!$AF$1418=TYPE3)*(TYPE3&lt;&gt;"")+('Dvd Calendar'!$AF$1418=TYPE4)*(TYPE4&lt;&gt;"")+('Dvd Calendar'!$AF$1418=SPECIAL_LBL)*(INC_SPECIALS="Y"))=0,"",'Dvd Calendar'!$AF$1416)))</f>
        <v/>
      </c>
      <c r="AE143" s="161">
        <f>IF(FG143="","",IF(ISNUMBER('Dvd Calendar'!$AG$1416)=FALSE,"",IF((('Dvd Calendar'!$AG$1418=TYPE1)*(TYPE1&lt;&gt;"")+('Dvd Calendar'!$AG$1418=TYPE2)*(TYPE2&lt;&gt;"")+('Dvd Calendar'!$AG$1418=TYPE3)*(TYPE3&lt;&gt;"")+('Dvd Calendar'!$AG$1418=TYPE4)*(TYPE4&lt;&gt;"")+('Dvd Calendar'!$AG$1418=SPECIAL_LBL)*(INC_SPECIALS="Y"))=0,"",'Dvd Calendar'!$AG$1416)))</f>
        <v/>
      </c>
      <c r="AF143" s="161">
        <f>IF(FH143="","",IF(ISNUMBER('Dvd Calendar'!$AH$1416)=FALSE,"",IF((('Dvd Calendar'!$AH$1418=TYPE1)*(TYPE1&lt;&gt;"")+('Dvd Calendar'!$AH$1418=TYPE2)*(TYPE2&lt;&gt;"")+('Dvd Calendar'!$AH$1418=TYPE3)*(TYPE3&lt;&gt;"")+('Dvd Calendar'!$AH$1418=TYPE4)*(TYPE4&lt;&gt;"")+('Dvd Calendar'!$AH$1418=SPECIAL_LBL)*(INC_SPECIALS="Y"))=0,"",'Dvd Calendar'!$AH$1416)))</f>
        <v/>
      </c>
      <c r="AG143" s="161">
        <f>IF(FI143="","",IF(ISNUMBER('Dvd Calendar'!$AI$1416)=FALSE,"",IF((('Dvd Calendar'!$AI$1418=TYPE1)*(TYPE1&lt;&gt;"")+('Dvd Calendar'!$AI$1418=TYPE2)*(TYPE2&lt;&gt;"")+('Dvd Calendar'!$AI$1418=TYPE3)*(TYPE3&lt;&gt;"")+('Dvd Calendar'!$AI$1418=TYPE4)*(TYPE4&lt;&gt;"")+('Dvd Calendar'!$AI$1418=SPECIAL_LBL)*(INC_SPECIALS="Y"))=0,"",'Dvd Calendar'!$AI$1416)))</f>
        <v/>
      </c>
      <c r="AH143" s="161">
        <f>IF(FJ143="","",IF(ISNUMBER('Dvd Calendar'!$AJ$1416)=FALSE,"",IF((('Dvd Calendar'!$AJ$1418=TYPE1)*(TYPE1&lt;&gt;"")+('Dvd Calendar'!$AJ$1418=TYPE2)*(TYPE2&lt;&gt;"")+('Dvd Calendar'!$AJ$1418=TYPE3)*(TYPE3&lt;&gt;"")+('Dvd Calendar'!$AJ$1418=TYPE4)*(TYPE4&lt;&gt;"")+('Dvd Calendar'!$AJ$1418=SPECIAL_LBL)*(INC_SPECIALS="Y"))=0,"",'Dvd Calendar'!$AJ$1416)))</f>
        <v/>
      </c>
      <c r="AI143" s="161">
        <f>IF(FK143="","",IF(ISNUMBER('Dvd Calendar'!$AK$1416)=FALSE,"",IF((('Dvd Calendar'!$AK$1418=TYPE1)*(TYPE1&lt;&gt;"")+('Dvd Calendar'!$AK$1418=TYPE2)*(TYPE2&lt;&gt;"")+('Dvd Calendar'!$AK$1418=TYPE3)*(TYPE3&lt;&gt;"")+('Dvd Calendar'!$AK$1418=TYPE4)*(TYPE4&lt;&gt;"")+('Dvd Calendar'!$AK$1418=SPECIAL_LBL)*(INC_SPECIALS="Y"))=0,"",'Dvd Calendar'!$AK$1416)))</f>
        <v/>
      </c>
      <c r="AJ143" s="161">
        <f>IF(FL143="","",IF(ISNUMBER('Dvd Calendar'!$AL$1416)=FALSE,"",IF((('Dvd Calendar'!$AL$1418=TYPE1)*(TYPE1&lt;&gt;"")+('Dvd Calendar'!$AL$1418=TYPE2)*(TYPE2&lt;&gt;"")+('Dvd Calendar'!$AL$1418=TYPE3)*(TYPE3&lt;&gt;"")+('Dvd Calendar'!$AL$1418=TYPE4)*(TYPE4&lt;&gt;"")+('Dvd Calendar'!$AL$1418=SPECIAL_LBL)*(INC_SPECIALS="Y"))=0,"",'Dvd Calendar'!$AL$1416)))</f>
        <v/>
      </c>
      <c r="AK143" s="161">
        <f>IF(FM143="","",IF(ISNUMBER('Dvd Calendar'!$AM$1416)=FALSE,"",IF((('Dvd Calendar'!$AM$1418=TYPE1)*(TYPE1&lt;&gt;"")+('Dvd Calendar'!$AM$1418=TYPE2)*(TYPE2&lt;&gt;"")+('Dvd Calendar'!$AM$1418=TYPE3)*(TYPE3&lt;&gt;"")+('Dvd Calendar'!$AM$1418=TYPE4)*(TYPE4&lt;&gt;"")+('Dvd Calendar'!$AM$1418=SPECIAL_LBL)*(INC_SPECIALS="Y"))=0,"",'Dvd Calendar'!$AM$1416)))</f>
        <v/>
      </c>
      <c r="AL143" s="161">
        <f>IF(FN143="","",IF(ISNUMBER('Dvd Calendar'!$AN$1416)=FALSE,"",IF((('Dvd Calendar'!$AN$1418=TYPE1)*(TYPE1&lt;&gt;"")+('Dvd Calendar'!$AN$1418=TYPE2)*(TYPE2&lt;&gt;"")+('Dvd Calendar'!$AN$1418=TYPE3)*(TYPE3&lt;&gt;"")+('Dvd Calendar'!$AN$1418=TYPE4)*(TYPE4&lt;&gt;"")+('Dvd Calendar'!$AN$1418=SPECIAL_LBL)*(INC_SPECIALS="Y"))=0,"",'Dvd Calendar'!$AN$1416)))</f>
        <v/>
      </c>
      <c r="AM143" s="161">
        <f>IF(FO143="","",IF(ISNUMBER('Dvd Calendar'!$AO$1416)=FALSE,"",IF((('Dvd Calendar'!$AO$1418=TYPE1)*(TYPE1&lt;&gt;"")+('Dvd Calendar'!$AO$1418=TYPE2)*(TYPE2&lt;&gt;"")+('Dvd Calendar'!$AO$1418=TYPE3)*(TYPE3&lt;&gt;"")+('Dvd Calendar'!$AO$1418=TYPE4)*(TYPE4&lt;&gt;"")+('Dvd Calendar'!$AO$1418=SPECIAL_LBL)*(INC_SPECIALS="Y"))=0,"",'Dvd Calendar'!$AO$1416)))</f>
        <v/>
      </c>
      <c r="AN143" s="161">
        <f>IF(FP143="","",IF(ISNUMBER('Dvd Calendar'!$AP$1416)=FALSE,"",IF((('Dvd Calendar'!$AP$1418=TYPE1)*(TYPE1&lt;&gt;"")+('Dvd Calendar'!$AP$1418=TYPE2)*(TYPE2&lt;&gt;"")+('Dvd Calendar'!$AP$1418=TYPE3)*(TYPE3&lt;&gt;"")+('Dvd Calendar'!$AP$1418=TYPE4)*(TYPE4&lt;&gt;"")+('Dvd Calendar'!$AP$1418=SPECIAL_LBL)*(INC_SPECIALS="Y"))=0,"",'Dvd Calendar'!$AP$1416)))</f>
        <v/>
      </c>
      <c r="AO143" s="161">
        <f>IF(FQ143="","",IF(ISNUMBER('Dvd Calendar'!$AQ$1416)=FALSE,"",IF((('Dvd Calendar'!$AQ$1418=TYPE1)*(TYPE1&lt;&gt;"")+('Dvd Calendar'!$AQ$1418=TYPE2)*(TYPE2&lt;&gt;"")+('Dvd Calendar'!$AQ$1418=TYPE3)*(TYPE3&lt;&gt;"")+('Dvd Calendar'!$AQ$1418=TYPE4)*(TYPE4&lt;&gt;"")+('Dvd Calendar'!$AQ$1418=SPECIAL_LBL)*(INC_SPECIALS="Y"))=0,"",'Dvd Calendar'!$AQ$1416)))</f>
        <v/>
      </c>
      <c r="AP143" s="161">
        <f>IF(FR143="","",IF(ISNUMBER('Dvd Calendar'!$AR$1416)=FALSE,"",IF((('Dvd Calendar'!$AR$1418=TYPE1)*(TYPE1&lt;&gt;"")+('Dvd Calendar'!$AR$1418=TYPE2)*(TYPE2&lt;&gt;"")+('Dvd Calendar'!$AR$1418=TYPE3)*(TYPE3&lt;&gt;"")+('Dvd Calendar'!$AR$1418=TYPE4)*(TYPE4&lt;&gt;"")+('Dvd Calendar'!$AR$1418=SPECIAL_LBL)*(INC_SPECIALS="Y"))=0,"",'Dvd Calendar'!$AR$1416)))</f>
        <v/>
      </c>
      <c r="AQ143" s="161">
        <f>IF(FS143="","",IF(ISNUMBER('Dvd Calendar'!$E$1421)=FALSE,"",'Dvd Calendar'!$E$1421))</f>
        <v/>
      </c>
      <c r="AR143" s="161">
        <f>IF(FT143="","",IF(ISNUMBER('Dvd Calendar'!$F$1421)=FALSE,"",'Dvd Calendar'!$F$1421))</f>
        <v/>
      </c>
      <c r="AS143" s="161">
        <f>IF(FU143="","",IF(ISNUMBER('Dvd Calendar'!$G$1421)=FALSE,"",'Dvd Calendar'!$G$1421))</f>
        <v/>
      </c>
      <c r="AT143" s="161">
        <f>IF(FV143="","",IF(ISNUMBER('Dvd Calendar'!$H$1421)=FALSE,"",'Dvd Calendar'!$H$1421))</f>
        <v/>
      </c>
      <c r="AU143" s="161">
        <f>IF(FW143="","",IF(ISNUMBER('Dvd Calendar'!$I$1421)=FALSE,"",'Dvd Calendar'!$I$1421))</f>
        <v/>
      </c>
      <c r="AV143" s="161">
        <f>IF(FX143="","",IF(ISNUMBER('Dvd Calendar'!$J$1421)=FALSE,"",'Dvd Calendar'!$J$1421))</f>
        <v/>
      </c>
      <c r="AW143" s="161">
        <f>IF(FY143="","",IF(ISNUMBER('Dvd Calendar'!$K$1421)=FALSE,"",'Dvd Calendar'!$K$1421))</f>
        <v/>
      </c>
      <c r="AX143" s="161">
        <f>IF(FZ143="","",IF(ISNUMBER('Dvd Calendar'!$L$1421)=FALSE,"",'Dvd Calendar'!$L$1421))</f>
        <v/>
      </c>
      <c r="AY143" s="161">
        <f>IF(GA143="","",IF(ISNUMBER('Dvd Calendar'!$M$1421)=FALSE,"",'Dvd Calendar'!$M$1421))</f>
        <v/>
      </c>
      <c r="AZ143" s="161">
        <f>IF(GB143="","",IF(ISNUMBER('Dvd Calendar'!$N$1421)=FALSE,"",'Dvd Calendar'!$N$1421))</f>
        <v/>
      </c>
      <c r="BA143" s="161">
        <f>IF(GC143="","",IF(ISNUMBER('Dvd Calendar'!$O$1421)=FALSE,"",'Dvd Calendar'!$O$1421))</f>
        <v/>
      </c>
      <c r="BB143" s="161">
        <f>IF(GD143="","",IF(ISNUMBER('Dvd Calendar'!$P$1421)=FALSE,"",'Dvd Calendar'!$P$1421))</f>
        <v/>
      </c>
      <c r="BC143" s="161">
        <f>IF(GE143="","",IF(ISNUMBER('Dvd Calendar'!$Q$1421)=FALSE,"",'Dvd Calendar'!$Q$1421))</f>
        <v/>
      </c>
      <c r="BD143" s="161">
        <f>IF(GF143="","",IF(ISNUMBER('Dvd Calendar'!$R$1421)=FALSE,"",'Dvd Calendar'!$R$1421))</f>
        <v/>
      </c>
      <c r="BE143" s="161">
        <f>IF(GG143="","",IF(ISNUMBER('Dvd Calendar'!$S$1421)=FALSE,"",'Dvd Calendar'!$S$1421))</f>
        <v/>
      </c>
      <c r="BF143" s="161">
        <f>IF(GH143="","",IF(ISNUMBER('Dvd Calendar'!$T$1421)=FALSE,"",'Dvd Calendar'!$T$1421))</f>
        <v/>
      </c>
      <c r="BG143" s="161">
        <f>IF(GI143="","",IF(ISNUMBER('Dvd Calendar'!$U$1421)=FALSE,"",'Dvd Calendar'!$U$1421))</f>
        <v/>
      </c>
      <c r="BH143" s="161">
        <f>IF(GJ143="","",IF(ISNUMBER('Dvd Calendar'!$V$1421)=FALSE,"",'Dvd Calendar'!$V$1421))</f>
        <v/>
      </c>
      <c r="BI143" s="161">
        <f>IF(GK143="","",IF(ISNUMBER('Dvd Calendar'!$W$1421)=FALSE,"",'Dvd Calendar'!$W$1421))</f>
        <v/>
      </c>
      <c r="BJ143" s="161">
        <f>IF(GL143="","",IF(ISNUMBER('Dvd Calendar'!$X$1421)=FALSE,"",'Dvd Calendar'!$X$1421))</f>
        <v/>
      </c>
      <c r="BK143" s="161">
        <f>IF(GM143="","",IF(ISNUMBER('Dvd Calendar'!$Y$1421)=FALSE,"",'Dvd Calendar'!$Y$1421))</f>
        <v/>
      </c>
      <c r="BL143" s="161">
        <f>IF(GN143="","",IF(ISNUMBER('Dvd Calendar'!$Z$1421)=FALSE,"",'Dvd Calendar'!$Z$1421))</f>
        <v/>
      </c>
      <c r="BM143" s="161">
        <f>IF(GO143="","",IF(ISNUMBER('Dvd Calendar'!$AA$1421)=FALSE,"",'Dvd Calendar'!$AA$1421))</f>
        <v/>
      </c>
      <c r="BN143" s="161">
        <f>IF(GP143="","",IF(ISNUMBER('Dvd Calendar'!$AB$1421)=FALSE,"",'Dvd Calendar'!$AB$1421))</f>
        <v/>
      </c>
      <c r="BO143" s="161">
        <f>IF(GQ143="","",IF(ISNUMBER('Dvd Calendar'!$AC$1421)=FALSE,"",'Dvd Calendar'!$AC$1421))</f>
        <v/>
      </c>
      <c r="BQ143" s="161">
        <f>IF(C143="","",IFERROR(C143*HSTECH!$B$34*HSTECH!$G$34/HSTECH!$B$3,""))</f>
        <v/>
      </c>
      <c r="BR143" s="161">
        <f>IF(D143="","",IFERROR(D143*HSTECH!$B$34*HSTECH!$G$34/HSTECH!$B$3,""))</f>
        <v/>
      </c>
      <c r="BS143" s="161">
        <f>IF(E143="","",IFERROR(E143*HSTECH!$B$34*HSTECH!$G$34/HSTECH!$B$3,""))</f>
        <v/>
      </c>
      <c r="BT143" s="161">
        <f>IF(F143="","",IFERROR(F143*HSTECH!$B$34*HSTECH!$G$34/HSTECH!$B$3,""))</f>
        <v/>
      </c>
      <c r="BU143" s="161">
        <f>IF(G143="","",IFERROR(G143*HSTECH!$B$34*HSTECH!$G$34/HSTECH!$B$3,""))</f>
        <v/>
      </c>
      <c r="BV143" s="161">
        <f>IF(H143="","",IFERROR(H143*HSTECH!$B$34*HSTECH!$G$34/HSTECH!$B$3,""))</f>
        <v/>
      </c>
      <c r="BW143" s="161">
        <f>IF(I143="","",IFERROR(I143*HSTECH!$B$34*HSTECH!$G$34/HSTECH!$B$3,""))</f>
        <v/>
      </c>
      <c r="BX143" s="161">
        <f>IF(J143="","",IFERROR(J143*HSTECH!$B$34*HSTECH!$G$34/HSTECH!$B$3,""))</f>
        <v/>
      </c>
      <c r="BY143" s="161">
        <f>IF(K143="","",IFERROR(K143*HSTECH!$B$34*HSTECH!$G$34/HSTECH!$B$3,""))</f>
        <v/>
      </c>
      <c r="BZ143" s="161">
        <f>IF(L143="","",IFERROR(L143*HSTECH!$B$34*HSTECH!$G$34/HSTECH!$B$3,""))</f>
        <v/>
      </c>
      <c r="CA143" s="161">
        <f>IF(M143="","",IFERROR(M143*HSTECH!$B$34*HSTECH!$G$34/HSTECH!$B$3,""))</f>
        <v/>
      </c>
      <c r="CB143" s="161">
        <f>IF(N143="","",IFERROR(N143*HSTECH!$B$34*HSTECH!$G$34/HSTECH!$B$3,""))</f>
        <v/>
      </c>
      <c r="CC143" s="161">
        <f>IF(O143="","",IFERROR(O143*HSTECH!$B$34*HSTECH!$G$34/HSTECH!$B$3,""))</f>
        <v/>
      </c>
      <c r="CD143" s="161">
        <f>IF(P143="","",IFERROR(P143*HSTECH!$B$34*HSTECH!$G$34/HSTECH!$B$3,""))</f>
        <v/>
      </c>
      <c r="CE143" s="161">
        <f>IF(Q143="","",IFERROR(Q143*HSTECH!$B$34*HSTECH!$G$34/HSTECH!$B$3,""))</f>
        <v/>
      </c>
      <c r="CF143" s="161">
        <f>IF(R143="","",IFERROR(R143*HSTECH!$B$34*HSTECH!$G$34/HSTECH!$B$3,""))</f>
        <v/>
      </c>
      <c r="CG143" s="161">
        <f>IF(S143="","",IFERROR(S143*HSTECH!$B$34*HSTECH!$G$34/HSTECH!$B$3,""))</f>
        <v/>
      </c>
      <c r="CH143" s="161">
        <f>IF(T143="","",IFERROR(T143*HSTECH!$B$34*HSTECH!$G$34/HSTECH!$B$3,""))</f>
        <v/>
      </c>
      <c r="CI143" s="161">
        <f>IF(U143="","",IFERROR(U143*HSTECH!$B$34*HSTECH!$G$34/HSTECH!$B$3,""))</f>
        <v/>
      </c>
      <c r="CJ143" s="161">
        <f>IF(V143="","",IFERROR(V143*HSTECH!$B$34*HSTECH!$G$34/HSTECH!$B$3,""))</f>
        <v/>
      </c>
      <c r="CK143" s="161">
        <f>IF(W143="","",IFERROR(W143*HSTECH!$B$34*HSTECH!$G$34/HSTECH!$B$3,""))</f>
        <v/>
      </c>
      <c r="CL143" s="161">
        <f>IF(X143="","",IFERROR(X143*HSTECH!$B$34*HSTECH!$G$34/HSTECH!$B$3,""))</f>
        <v/>
      </c>
      <c r="CM143" s="161">
        <f>IF(Y143="","",IFERROR(Y143*HSTECH!$B$34*HSTECH!$G$34/HSTECH!$B$3,""))</f>
        <v/>
      </c>
      <c r="CN143" s="161">
        <f>IF(Z143="","",IFERROR(Z143*HSTECH!$B$34*HSTECH!$G$34/HSTECH!$B$3,""))</f>
        <v/>
      </c>
      <c r="CO143" s="161">
        <f>IF(AA143="","",IFERROR(AA143*HSTECH!$B$34*HSTECH!$G$34/HSTECH!$B$3,""))</f>
        <v/>
      </c>
      <c r="CP143" s="161">
        <f>IF(AB143="","",IFERROR(AB143*HSTECH!$B$34*HSTECH!$G$34/HSTECH!$B$3,""))</f>
        <v/>
      </c>
      <c r="CQ143" s="161">
        <f>IF(AC143="","",IFERROR(AC143*HSTECH!$B$34*HSTECH!$G$34/HSTECH!$B$3,""))</f>
        <v/>
      </c>
      <c r="CR143" s="161">
        <f>IF(AD143="","",IFERROR(AD143*HSTECH!$B$34*HSTECH!$G$34/HSTECH!$B$3,""))</f>
        <v/>
      </c>
      <c r="CS143" s="161">
        <f>IF(AE143="","",IFERROR(AE143*HSTECH!$B$34*HSTECH!$G$34/HSTECH!$B$3,""))</f>
        <v/>
      </c>
      <c r="CT143" s="161">
        <f>IF(AF143="","",IFERROR(AF143*HSTECH!$B$34*HSTECH!$G$34/HSTECH!$B$3,""))</f>
        <v/>
      </c>
      <c r="CU143" s="161">
        <f>IF(AG143="","",IFERROR(AG143*HSTECH!$B$34*HSTECH!$G$34/HSTECH!$B$3,""))</f>
        <v/>
      </c>
      <c r="CV143" s="161">
        <f>IF(AH143="","",IFERROR(AH143*HSTECH!$B$34*HSTECH!$G$34/HSTECH!$B$3,""))</f>
        <v/>
      </c>
      <c r="CW143" s="161">
        <f>IF(AI143="","",IFERROR(AI143*HSTECH!$B$34*HSTECH!$G$34/HSTECH!$B$3,""))</f>
        <v/>
      </c>
      <c r="CX143" s="161">
        <f>IF(AJ143="","",IFERROR(AJ143*HSTECH!$B$34*HSTECH!$G$34/HSTECH!$B$3,""))</f>
        <v/>
      </c>
      <c r="CY143" s="161">
        <f>IF(AK143="","",IFERROR(AK143*HSTECH!$B$34*HSTECH!$G$34/HSTECH!$B$3,""))</f>
        <v/>
      </c>
      <c r="CZ143" s="161">
        <f>IF(AL143="","",IFERROR(AL143*HSTECH!$B$34*HSTECH!$G$34/HSTECH!$B$3,""))</f>
        <v/>
      </c>
      <c r="DA143" s="161">
        <f>IF(AM143="","",IFERROR(AM143*HSTECH!$B$34*HSTECH!$G$34/HSTECH!$B$3,""))</f>
        <v/>
      </c>
      <c r="DB143" s="161">
        <f>IF(AN143="","",IFERROR(AN143*HSTECH!$B$34*HSTECH!$G$34/HSTECH!$B$3,""))</f>
        <v/>
      </c>
      <c r="DC143" s="161">
        <f>IF(AO143="","",IFERROR(AO143*HSTECH!$B$34*HSTECH!$G$34/HSTECH!$B$3,""))</f>
        <v/>
      </c>
      <c r="DD143" s="161">
        <f>IF(AP143="","",IFERROR(AP143*HSTECH!$B$34*HSTECH!$G$34/HSTECH!$B$3,""))</f>
        <v/>
      </c>
      <c r="DE143" s="161">
        <f>IF(AQ143="","",IFERROR(AQ143*HSTECH!$B$34*HSTECH!$G$34/HSTECH!$B$3,""))</f>
        <v/>
      </c>
      <c r="DF143" s="161">
        <f>IF(AR143="","",IFERROR(AR143*HSTECH!$B$34*HSTECH!$G$34/HSTECH!$B$3,""))</f>
        <v/>
      </c>
      <c r="DG143" s="161">
        <f>IF(AS143="","",IFERROR(AS143*HSTECH!$B$34*HSTECH!$G$34/HSTECH!$B$3,""))</f>
        <v/>
      </c>
      <c r="DH143" s="161">
        <f>IF(AT143="","",IFERROR(AT143*HSTECH!$B$34*HSTECH!$G$34/HSTECH!$B$3,""))</f>
        <v/>
      </c>
      <c r="DI143" s="161">
        <f>IF(AU143="","",IFERROR(AU143*HSTECH!$B$34*HSTECH!$G$34/HSTECH!$B$3,""))</f>
        <v/>
      </c>
      <c r="DJ143" s="161">
        <f>IF(AV143="","",IFERROR(AV143*HSTECH!$B$34*HSTECH!$G$34/HSTECH!$B$3,""))</f>
        <v/>
      </c>
      <c r="DK143" s="161">
        <f>IF(AW143="","",IFERROR(AW143*HSTECH!$B$34*HSTECH!$G$34/HSTECH!$B$3,""))</f>
        <v/>
      </c>
      <c r="DL143" s="161">
        <f>IF(AX143="","",IFERROR(AX143*HSTECH!$B$34*HSTECH!$G$34/HSTECH!$B$3,""))</f>
        <v/>
      </c>
      <c r="DM143" s="161">
        <f>IF(AY143="","",IFERROR(AY143*HSTECH!$B$34*HSTECH!$G$34/HSTECH!$B$3,""))</f>
        <v/>
      </c>
      <c r="DN143" s="161">
        <f>IF(AZ143="","",IFERROR(AZ143*HSTECH!$B$34*HSTECH!$G$34/HSTECH!$B$3,""))</f>
        <v/>
      </c>
      <c r="DO143" s="161">
        <f>IF(BA143="","",IFERROR(BA143*HSTECH!$B$34*HSTECH!$G$34/HSTECH!$B$3,""))</f>
        <v/>
      </c>
      <c r="DP143" s="161">
        <f>IF(BB143="","",IFERROR(BB143*HSTECH!$B$34*HSTECH!$G$34/HSTECH!$B$3,""))</f>
        <v/>
      </c>
      <c r="DQ143" s="161">
        <f>IF(BC143="","",IFERROR(BC143*HSTECH!$B$34*HSTECH!$G$34/HSTECH!$B$3,""))</f>
        <v/>
      </c>
      <c r="DR143" s="161">
        <f>IF(BD143="","",IFERROR(BD143*HSTECH!$B$34*HSTECH!$G$34/HSTECH!$B$3,""))</f>
        <v/>
      </c>
      <c r="DS143" s="161">
        <f>IF(BE143="","",IFERROR(BE143*HSTECH!$B$34*HSTECH!$G$34/HSTECH!$B$3,""))</f>
        <v/>
      </c>
      <c r="DT143" s="161">
        <f>IF(BF143="","",IFERROR(BF143*HSTECH!$B$34*HSTECH!$G$34/HSTECH!$B$3,""))</f>
        <v/>
      </c>
      <c r="DU143" s="161">
        <f>IF(BG143="","",IFERROR(BG143*HSTECH!$B$34*HSTECH!$G$34/HSTECH!$B$3,""))</f>
        <v/>
      </c>
      <c r="DV143" s="161">
        <f>IF(BH143="","",IFERROR(BH143*HSTECH!$B$34*HSTECH!$G$34/HSTECH!$B$3,""))</f>
        <v/>
      </c>
      <c r="DW143" s="161">
        <f>IF(BI143="","",IFERROR(BI143*HSTECH!$B$34*HSTECH!$G$34/HSTECH!$B$3,""))</f>
        <v/>
      </c>
      <c r="DX143" s="161">
        <f>IF(BJ143="","",IFERROR(BJ143*HSTECH!$B$34*HSTECH!$G$34/HSTECH!$B$3,""))</f>
        <v/>
      </c>
      <c r="DY143" s="161">
        <f>IF(BK143="","",IFERROR(BK143*HSTECH!$B$34*HSTECH!$G$34/HSTECH!$B$3,""))</f>
        <v/>
      </c>
      <c r="DZ143" s="161">
        <f>IF(BL143="","",IFERROR(BL143*HSTECH!$B$34*HSTECH!$G$34/HSTECH!$B$3,""))</f>
        <v/>
      </c>
      <c r="EA143" s="161">
        <f>IF(BM143="","",IFERROR(BM143*HSTECH!$B$34*HSTECH!$G$34/HSTECH!$B$3,""))</f>
        <v/>
      </c>
      <c r="EB143" s="161">
        <f>IF(BN143="","",IFERROR(BN143*HSTECH!$B$34*HSTECH!$G$34/HSTECH!$B$3,""))</f>
        <v/>
      </c>
      <c r="EC143" s="161">
        <f>IF(BO143="","",IFERROR(BO143*HSTECH!$B$34*HSTECH!$G$34/HSTECH!$B$3,""))</f>
        <v/>
      </c>
      <c r="EE143" s="121">
        <f>IF(N('Dvd Calendar'!$E$1413)=0,"",IF(('Dvd Calendar'!$E$1413&gt;=GRID_FROM)*('Dvd Calendar'!$E$1413&lt;=GRID_TO)*((('Dvd Calendar'!$E$1413&lt;=VAL_DATE)+(COUNTIF('Dvd Calendar'!$E$1420:$AR$1420,'Dvd Calendar'!$E$1413)=0))&gt;0)=0,"",'Dvd Calendar'!$E$1413*1000000000+ISNUMBER('Dvd Calendar'!$E$1416)*100000000+('Dvd Calendar'!$E$1418=SPECIAL_LBL)*10000000+(N('Dvd Calendar'!$E$1412)&gt;0)*(N('Dvd Calendar'!$E$1412)&lt;=VAL_SERIAL)*1000000+28*1000+1))</f>
        <v/>
      </c>
      <c r="EF143" s="121">
        <f>IF(N('Dvd Calendar'!$F$1413)=0,"",IF(('Dvd Calendar'!$F$1413&gt;=GRID_FROM)*('Dvd Calendar'!$F$1413&lt;=GRID_TO)*((('Dvd Calendar'!$F$1413&lt;=VAL_DATE)+(COUNTIF('Dvd Calendar'!$E$1420:$AR$1420,'Dvd Calendar'!$F$1413)=0))&gt;0)=0,"",'Dvd Calendar'!$F$1413*1000000000+ISNUMBER('Dvd Calendar'!$F$1416)*100000000+('Dvd Calendar'!$F$1418=SPECIAL_LBL)*10000000+(N('Dvd Calendar'!$F$1412)&gt;0)*(N('Dvd Calendar'!$F$1412)&lt;=VAL_SERIAL)*1000000+28*1000+2))</f>
        <v/>
      </c>
      <c r="EG143" s="121">
        <f>IF(N('Dvd Calendar'!$G$1413)=0,"",IF(('Dvd Calendar'!$G$1413&gt;=GRID_FROM)*('Dvd Calendar'!$G$1413&lt;=GRID_TO)*((('Dvd Calendar'!$G$1413&lt;=VAL_DATE)+(COUNTIF('Dvd Calendar'!$E$1420:$AR$1420,'Dvd Calendar'!$G$1413)=0))&gt;0)=0,"",'Dvd Calendar'!$G$1413*1000000000+ISNUMBER('Dvd Calendar'!$G$1416)*100000000+('Dvd Calendar'!$G$1418=SPECIAL_LBL)*10000000+(N('Dvd Calendar'!$G$1412)&gt;0)*(N('Dvd Calendar'!$G$1412)&lt;=VAL_SERIAL)*1000000+28*1000+3))</f>
        <v/>
      </c>
      <c r="EH143" s="121">
        <f>IF(N('Dvd Calendar'!$H$1413)=0,"",IF(('Dvd Calendar'!$H$1413&gt;=GRID_FROM)*('Dvd Calendar'!$H$1413&lt;=GRID_TO)*((('Dvd Calendar'!$H$1413&lt;=VAL_DATE)+(COUNTIF('Dvd Calendar'!$E$1420:$AR$1420,'Dvd Calendar'!$H$1413)=0))&gt;0)=0,"",'Dvd Calendar'!$H$1413*1000000000+ISNUMBER('Dvd Calendar'!$H$1416)*100000000+('Dvd Calendar'!$H$1418=SPECIAL_LBL)*10000000+(N('Dvd Calendar'!$H$1412)&gt;0)*(N('Dvd Calendar'!$H$1412)&lt;=VAL_SERIAL)*1000000+28*1000+4))</f>
        <v/>
      </c>
      <c r="EI143" s="121">
        <f>IF(N('Dvd Calendar'!$I$1413)=0,"",IF(('Dvd Calendar'!$I$1413&gt;=GRID_FROM)*('Dvd Calendar'!$I$1413&lt;=GRID_TO)*((('Dvd Calendar'!$I$1413&lt;=VAL_DATE)+(COUNTIF('Dvd Calendar'!$E$1420:$AR$1420,'Dvd Calendar'!$I$1413)=0))&gt;0)=0,"",'Dvd Calendar'!$I$1413*1000000000+ISNUMBER('Dvd Calendar'!$I$1416)*100000000+('Dvd Calendar'!$I$1418=SPECIAL_LBL)*10000000+(N('Dvd Calendar'!$I$1412)&gt;0)*(N('Dvd Calendar'!$I$1412)&lt;=VAL_SERIAL)*1000000+28*1000+5))</f>
        <v/>
      </c>
      <c r="EJ143" s="121">
        <f>IF(N('Dvd Calendar'!$J$1413)=0,"",IF(('Dvd Calendar'!$J$1413&gt;=GRID_FROM)*('Dvd Calendar'!$J$1413&lt;=GRID_TO)*((('Dvd Calendar'!$J$1413&lt;=VAL_DATE)+(COUNTIF('Dvd Calendar'!$E$1420:$AR$1420,'Dvd Calendar'!$J$1413)=0))&gt;0)=0,"",'Dvd Calendar'!$J$1413*1000000000+ISNUMBER('Dvd Calendar'!$J$1416)*100000000+('Dvd Calendar'!$J$1418=SPECIAL_LBL)*10000000+(N('Dvd Calendar'!$J$1412)&gt;0)*(N('Dvd Calendar'!$J$1412)&lt;=VAL_SERIAL)*1000000+28*1000+6))</f>
        <v/>
      </c>
      <c r="EK143" s="121">
        <f>IF(N('Dvd Calendar'!$K$1413)=0,"",IF(('Dvd Calendar'!$K$1413&gt;=GRID_FROM)*('Dvd Calendar'!$K$1413&lt;=GRID_TO)*((('Dvd Calendar'!$K$1413&lt;=VAL_DATE)+(COUNTIF('Dvd Calendar'!$E$1420:$AR$1420,'Dvd Calendar'!$K$1413)=0))&gt;0)=0,"",'Dvd Calendar'!$K$1413*1000000000+ISNUMBER('Dvd Calendar'!$K$1416)*100000000+('Dvd Calendar'!$K$1418=SPECIAL_LBL)*10000000+(N('Dvd Calendar'!$K$1412)&gt;0)*(N('Dvd Calendar'!$K$1412)&lt;=VAL_SERIAL)*1000000+28*1000+7))</f>
        <v/>
      </c>
      <c r="EL143" s="121">
        <f>IF(N('Dvd Calendar'!$L$1413)=0,"",IF(('Dvd Calendar'!$L$1413&gt;=GRID_FROM)*('Dvd Calendar'!$L$1413&lt;=GRID_TO)*((('Dvd Calendar'!$L$1413&lt;=VAL_DATE)+(COUNTIF('Dvd Calendar'!$E$1420:$AR$1420,'Dvd Calendar'!$L$1413)=0))&gt;0)=0,"",'Dvd Calendar'!$L$1413*1000000000+ISNUMBER('Dvd Calendar'!$L$1416)*100000000+('Dvd Calendar'!$L$1418=SPECIAL_LBL)*10000000+(N('Dvd Calendar'!$L$1412)&gt;0)*(N('Dvd Calendar'!$L$1412)&lt;=VAL_SERIAL)*1000000+28*1000+8))</f>
        <v/>
      </c>
      <c r="EM143" s="121">
        <f>IF(N('Dvd Calendar'!$M$1413)=0,"",IF(('Dvd Calendar'!$M$1413&gt;=GRID_FROM)*('Dvd Calendar'!$M$1413&lt;=GRID_TO)*((('Dvd Calendar'!$M$1413&lt;=VAL_DATE)+(COUNTIF('Dvd Calendar'!$E$1420:$AR$1420,'Dvd Calendar'!$M$1413)=0))&gt;0)=0,"",'Dvd Calendar'!$M$1413*1000000000+ISNUMBER('Dvd Calendar'!$M$1416)*100000000+('Dvd Calendar'!$M$1418=SPECIAL_LBL)*10000000+(N('Dvd Calendar'!$M$1412)&gt;0)*(N('Dvd Calendar'!$M$1412)&lt;=VAL_SERIAL)*1000000+28*1000+9))</f>
        <v/>
      </c>
      <c r="EN143" s="121">
        <f>IF(N('Dvd Calendar'!$N$1413)=0,"",IF(('Dvd Calendar'!$N$1413&gt;=GRID_FROM)*('Dvd Calendar'!$N$1413&lt;=GRID_TO)*((('Dvd Calendar'!$N$1413&lt;=VAL_DATE)+(COUNTIF('Dvd Calendar'!$E$1420:$AR$1420,'Dvd Calendar'!$N$1413)=0))&gt;0)=0,"",'Dvd Calendar'!$N$1413*1000000000+ISNUMBER('Dvd Calendar'!$N$1416)*100000000+('Dvd Calendar'!$N$1418=SPECIAL_LBL)*10000000+(N('Dvd Calendar'!$N$1412)&gt;0)*(N('Dvd Calendar'!$N$1412)&lt;=VAL_SERIAL)*1000000+28*1000+10))</f>
        <v/>
      </c>
      <c r="EO143" s="121">
        <f>IF(N('Dvd Calendar'!$O$1413)=0,"",IF(('Dvd Calendar'!$O$1413&gt;=GRID_FROM)*('Dvd Calendar'!$O$1413&lt;=GRID_TO)*((('Dvd Calendar'!$O$1413&lt;=VAL_DATE)+(COUNTIF('Dvd Calendar'!$E$1420:$AR$1420,'Dvd Calendar'!$O$1413)=0))&gt;0)=0,"",'Dvd Calendar'!$O$1413*1000000000+ISNUMBER('Dvd Calendar'!$O$1416)*100000000+('Dvd Calendar'!$O$1418=SPECIAL_LBL)*10000000+(N('Dvd Calendar'!$O$1412)&gt;0)*(N('Dvd Calendar'!$O$1412)&lt;=VAL_SERIAL)*1000000+28*1000+11))</f>
        <v/>
      </c>
      <c r="EP143" s="121">
        <f>IF(N('Dvd Calendar'!$P$1413)=0,"",IF(('Dvd Calendar'!$P$1413&gt;=GRID_FROM)*('Dvd Calendar'!$P$1413&lt;=GRID_TO)*((('Dvd Calendar'!$P$1413&lt;=VAL_DATE)+(COUNTIF('Dvd Calendar'!$E$1420:$AR$1420,'Dvd Calendar'!$P$1413)=0))&gt;0)=0,"",'Dvd Calendar'!$P$1413*1000000000+ISNUMBER('Dvd Calendar'!$P$1416)*100000000+('Dvd Calendar'!$P$1418=SPECIAL_LBL)*10000000+(N('Dvd Calendar'!$P$1412)&gt;0)*(N('Dvd Calendar'!$P$1412)&lt;=VAL_SERIAL)*1000000+28*1000+12))</f>
        <v/>
      </c>
      <c r="EQ143" s="121">
        <f>IF(N('Dvd Calendar'!$Q$1413)=0,"",IF(('Dvd Calendar'!$Q$1413&gt;=GRID_FROM)*('Dvd Calendar'!$Q$1413&lt;=GRID_TO)*((('Dvd Calendar'!$Q$1413&lt;=VAL_DATE)+(COUNTIF('Dvd Calendar'!$E$1420:$AR$1420,'Dvd Calendar'!$Q$1413)=0))&gt;0)=0,"",'Dvd Calendar'!$Q$1413*1000000000+ISNUMBER('Dvd Calendar'!$Q$1416)*100000000+('Dvd Calendar'!$Q$1418=SPECIAL_LBL)*10000000+(N('Dvd Calendar'!$Q$1412)&gt;0)*(N('Dvd Calendar'!$Q$1412)&lt;=VAL_SERIAL)*1000000+28*1000+13))</f>
        <v/>
      </c>
      <c r="ER143" s="121">
        <f>IF(N('Dvd Calendar'!$R$1413)=0,"",IF(('Dvd Calendar'!$R$1413&gt;=GRID_FROM)*('Dvd Calendar'!$R$1413&lt;=GRID_TO)*((('Dvd Calendar'!$R$1413&lt;=VAL_DATE)+(COUNTIF('Dvd Calendar'!$E$1420:$AR$1420,'Dvd Calendar'!$R$1413)=0))&gt;0)=0,"",'Dvd Calendar'!$R$1413*1000000000+ISNUMBER('Dvd Calendar'!$R$1416)*100000000+('Dvd Calendar'!$R$1418=SPECIAL_LBL)*10000000+(N('Dvd Calendar'!$R$1412)&gt;0)*(N('Dvd Calendar'!$R$1412)&lt;=VAL_SERIAL)*1000000+28*1000+14))</f>
        <v/>
      </c>
      <c r="ES143" s="121">
        <f>IF(N('Dvd Calendar'!$S$1413)=0,"",IF(('Dvd Calendar'!$S$1413&gt;=GRID_FROM)*('Dvd Calendar'!$S$1413&lt;=GRID_TO)*((('Dvd Calendar'!$S$1413&lt;=VAL_DATE)+(COUNTIF('Dvd Calendar'!$E$1420:$AR$1420,'Dvd Calendar'!$S$1413)=0))&gt;0)=0,"",'Dvd Calendar'!$S$1413*1000000000+ISNUMBER('Dvd Calendar'!$S$1416)*100000000+('Dvd Calendar'!$S$1418=SPECIAL_LBL)*10000000+(N('Dvd Calendar'!$S$1412)&gt;0)*(N('Dvd Calendar'!$S$1412)&lt;=VAL_SERIAL)*1000000+28*1000+15))</f>
        <v/>
      </c>
      <c r="ET143" s="121">
        <f>IF(N('Dvd Calendar'!$T$1413)=0,"",IF(('Dvd Calendar'!$T$1413&gt;=GRID_FROM)*('Dvd Calendar'!$T$1413&lt;=GRID_TO)*((('Dvd Calendar'!$T$1413&lt;=VAL_DATE)+(COUNTIF('Dvd Calendar'!$E$1420:$AR$1420,'Dvd Calendar'!$T$1413)=0))&gt;0)=0,"",'Dvd Calendar'!$T$1413*1000000000+ISNUMBER('Dvd Calendar'!$T$1416)*100000000+('Dvd Calendar'!$T$1418=SPECIAL_LBL)*10000000+(N('Dvd Calendar'!$T$1412)&gt;0)*(N('Dvd Calendar'!$T$1412)&lt;=VAL_SERIAL)*1000000+28*1000+16))</f>
        <v/>
      </c>
      <c r="EU143" s="121">
        <f>IF(N('Dvd Calendar'!$U$1413)=0,"",IF(('Dvd Calendar'!$U$1413&gt;=GRID_FROM)*('Dvd Calendar'!$U$1413&lt;=GRID_TO)*((('Dvd Calendar'!$U$1413&lt;=VAL_DATE)+(COUNTIF('Dvd Calendar'!$E$1420:$AR$1420,'Dvd Calendar'!$U$1413)=0))&gt;0)=0,"",'Dvd Calendar'!$U$1413*1000000000+ISNUMBER('Dvd Calendar'!$U$1416)*100000000+('Dvd Calendar'!$U$1418=SPECIAL_LBL)*10000000+(N('Dvd Calendar'!$U$1412)&gt;0)*(N('Dvd Calendar'!$U$1412)&lt;=VAL_SERIAL)*1000000+28*1000+17))</f>
        <v/>
      </c>
      <c r="EV143" s="121">
        <f>IF(N('Dvd Calendar'!$V$1413)=0,"",IF(('Dvd Calendar'!$V$1413&gt;=GRID_FROM)*('Dvd Calendar'!$V$1413&lt;=GRID_TO)*((('Dvd Calendar'!$V$1413&lt;=VAL_DATE)+(COUNTIF('Dvd Calendar'!$E$1420:$AR$1420,'Dvd Calendar'!$V$1413)=0))&gt;0)=0,"",'Dvd Calendar'!$V$1413*1000000000+ISNUMBER('Dvd Calendar'!$V$1416)*100000000+('Dvd Calendar'!$V$1418=SPECIAL_LBL)*10000000+(N('Dvd Calendar'!$V$1412)&gt;0)*(N('Dvd Calendar'!$V$1412)&lt;=VAL_SERIAL)*1000000+28*1000+18))</f>
        <v/>
      </c>
      <c r="EW143" s="121">
        <f>IF(N('Dvd Calendar'!$W$1413)=0,"",IF(('Dvd Calendar'!$W$1413&gt;=GRID_FROM)*('Dvd Calendar'!$W$1413&lt;=GRID_TO)*((('Dvd Calendar'!$W$1413&lt;=VAL_DATE)+(COUNTIF('Dvd Calendar'!$E$1420:$AR$1420,'Dvd Calendar'!$W$1413)=0))&gt;0)=0,"",'Dvd Calendar'!$W$1413*1000000000+ISNUMBER('Dvd Calendar'!$W$1416)*100000000+('Dvd Calendar'!$W$1418=SPECIAL_LBL)*10000000+(N('Dvd Calendar'!$W$1412)&gt;0)*(N('Dvd Calendar'!$W$1412)&lt;=VAL_SERIAL)*1000000+28*1000+19))</f>
        <v/>
      </c>
      <c r="EX143" s="121">
        <f>IF(N('Dvd Calendar'!$X$1413)=0,"",IF(('Dvd Calendar'!$X$1413&gt;=GRID_FROM)*('Dvd Calendar'!$X$1413&lt;=GRID_TO)*((('Dvd Calendar'!$X$1413&lt;=VAL_DATE)+(COUNTIF('Dvd Calendar'!$E$1420:$AR$1420,'Dvd Calendar'!$X$1413)=0))&gt;0)=0,"",'Dvd Calendar'!$X$1413*1000000000+ISNUMBER('Dvd Calendar'!$X$1416)*100000000+('Dvd Calendar'!$X$1418=SPECIAL_LBL)*10000000+(N('Dvd Calendar'!$X$1412)&gt;0)*(N('Dvd Calendar'!$X$1412)&lt;=VAL_SERIAL)*1000000+28*1000+20))</f>
        <v/>
      </c>
      <c r="EY143" s="121">
        <f>IF(N('Dvd Calendar'!$Y$1413)=0,"",IF(('Dvd Calendar'!$Y$1413&gt;=GRID_FROM)*('Dvd Calendar'!$Y$1413&lt;=GRID_TO)*((('Dvd Calendar'!$Y$1413&lt;=VAL_DATE)+(COUNTIF('Dvd Calendar'!$E$1420:$AR$1420,'Dvd Calendar'!$Y$1413)=0))&gt;0)=0,"",'Dvd Calendar'!$Y$1413*1000000000+ISNUMBER('Dvd Calendar'!$Y$1416)*100000000+('Dvd Calendar'!$Y$1418=SPECIAL_LBL)*10000000+(N('Dvd Calendar'!$Y$1412)&gt;0)*(N('Dvd Calendar'!$Y$1412)&lt;=VAL_SERIAL)*1000000+28*1000+21))</f>
        <v/>
      </c>
      <c r="EZ143" s="121">
        <f>IF(N('Dvd Calendar'!$Z$1413)=0,"",IF(('Dvd Calendar'!$Z$1413&gt;=GRID_FROM)*('Dvd Calendar'!$Z$1413&lt;=GRID_TO)*((('Dvd Calendar'!$Z$1413&lt;=VAL_DATE)+(COUNTIF('Dvd Calendar'!$E$1420:$AR$1420,'Dvd Calendar'!$Z$1413)=0))&gt;0)=0,"",'Dvd Calendar'!$Z$1413*1000000000+ISNUMBER('Dvd Calendar'!$Z$1416)*100000000+('Dvd Calendar'!$Z$1418=SPECIAL_LBL)*10000000+(N('Dvd Calendar'!$Z$1412)&gt;0)*(N('Dvd Calendar'!$Z$1412)&lt;=VAL_SERIAL)*1000000+28*1000+22))</f>
        <v/>
      </c>
      <c r="FA143" s="121">
        <f>IF(N('Dvd Calendar'!$AA$1413)=0,"",IF(('Dvd Calendar'!$AA$1413&gt;=GRID_FROM)*('Dvd Calendar'!$AA$1413&lt;=GRID_TO)*((('Dvd Calendar'!$AA$1413&lt;=VAL_DATE)+(COUNTIF('Dvd Calendar'!$E$1420:$AR$1420,'Dvd Calendar'!$AA$1413)=0))&gt;0)=0,"",'Dvd Calendar'!$AA$1413*1000000000+ISNUMBER('Dvd Calendar'!$AA$1416)*100000000+('Dvd Calendar'!$AA$1418=SPECIAL_LBL)*10000000+(N('Dvd Calendar'!$AA$1412)&gt;0)*(N('Dvd Calendar'!$AA$1412)&lt;=VAL_SERIAL)*1000000+28*1000+23))</f>
        <v/>
      </c>
      <c r="FB143" s="121">
        <f>IF(N('Dvd Calendar'!$AB$1413)=0,"",IF(('Dvd Calendar'!$AB$1413&gt;=GRID_FROM)*('Dvd Calendar'!$AB$1413&lt;=GRID_TO)*((('Dvd Calendar'!$AB$1413&lt;=VAL_DATE)+(COUNTIF('Dvd Calendar'!$E$1420:$AR$1420,'Dvd Calendar'!$AB$1413)=0))&gt;0)=0,"",'Dvd Calendar'!$AB$1413*1000000000+ISNUMBER('Dvd Calendar'!$AB$1416)*100000000+('Dvd Calendar'!$AB$1418=SPECIAL_LBL)*10000000+(N('Dvd Calendar'!$AB$1412)&gt;0)*(N('Dvd Calendar'!$AB$1412)&lt;=VAL_SERIAL)*1000000+28*1000+24))</f>
        <v/>
      </c>
      <c r="FC143" s="121">
        <f>IF(N('Dvd Calendar'!$AC$1413)=0,"",IF(('Dvd Calendar'!$AC$1413&gt;=GRID_FROM)*('Dvd Calendar'!$AC$1413&lt;=GRID_TO)*((('Dvd Calendar'!$AC$1413&lt;=VAL_DATE)+(COUNTIF('Dvd Calendar'!$E$1420:$AR$1420,'Dvd Calendar'!$AC$1413)=0))&gt;0)=0,"",'Dvd Calendar'!$AC$1413*1000000000+ISNUMBER('Dvd Calendar'!$AC$1416)*100000000+('Dvd Calendar'!$AC$1418=SPECIAL_LBL)*10000000+(N('Dvd Calendar'!$AC$1412)&gt;0)*(N('Dvd Calendar'!$AC$1412)&lt;=VAL_SERIAL)*1000000+28*1000+25))</f>
        <v/>
      </c>
      <c r="FD143" s="121">
        <f>IF(N('Dvd Calendar'!$AD$1413)=0,"",IF(('Dvd Calendar'!$AD$1413&gt;=GRID_FROM)*('Dvd Calendar'!$AD$1413&lt;=GRID_TO)*((('Dvd Calendar'!$AD$1413&lt;=VAL_DATE)+(COUNTIF('Dvd Calendar'!$E$1420:$AR$1420,'Dvd Calendar'!$AD$1413)=0))&gt;0)=0,"",'Dvd Calendar'!$AD$1413*1000000000+ISNUMBER('Dvd Calendar'!$AD$1416)*100000000+('Dvd Calendar'!$AD$1418=SPECIAL_LBL)*10000000+(N('Dvd Calendar'!$AD$1412)&gt;0)*(N('Dvd Calendar'!$AD$1412)&lt;=VAL_SERIAL)*1000000+28*1000+26))</f>
        <v/>
      </c>
      <c r="FE143" s="121">
        <f>IF(N('Dvd Calendar'!$AE$1413)=0,"",IF(('Dvd Calendar'!$AE$1413&gt;=GRID_FROM)*('Dvd Calendar'!$AE$1413&lt;=GRID_TO)*((('Dvd Calendar'!$AE$1413&lt;=VAL_DATE)+(COUNTIF('Dvd Calendar'!$E$1420:$AR$1420,'Dvd Calendar'!$AE$1413)=0))&gt;0)=0,"",'Dvd Calendar'!$AE$1413*1000000000+ISNUMBER('Dvd Calendar'!$AE$1416)*100000000+('Dvd Calendar'!$AE$1418=SPECIAL_LBL)*10000000+(N('Dvd Calendar'!$AE$1412)&gt;0)*(N('Dvd Calendar'!$AE$1412)&lt;=VAL_SERIAL)*1000000+28*1000+27))</f>
        <v/>
      </c>
      <c r="FF143" s="121">
        <f>IF(N('Dvd Calendar'!$AF$1413)=0,"",IF(('Dvd Calendar'!$AF$1413&gt;=GRID_FROM)*('Dvd Calendar'!$AF$1413&lt;=GRID_TO)*((('Dvd Calendar'!$AF$1413&lt;=VAL_DATE)+(COUNTIF('Dvd Calendar'!$E$1420:$AR$1420,'Dvd Calendar'!$AF$1413)=0))&gt;0)=0,"",'Dvd Calendar'!$AF$1413*1000000000+ISNUMBER('Dvd Calendar'!$AF$1416)*100000000+('Dvd Calendar'!$AF$1418=SPECIAL_LBL)*10000000+(N('Dvd Calendar'!$AF$1412)&gt;0)*(N('Dvd Calendar'!$AF$1412)&lt;=VAL_SERIAL)*1000000+28*1000+28))</f>
        <v/>
      </c>
      <c r="FG143" s="121">
        <f>IF(N('Dvd Calendar'!$AG$1413)=0,"",IF(('Dvd Calendar'!$AG$1413&gt;=GRID_FROM)*('Dvd Calendar'!$AG$1413&lt;=GRID_TO)*((('Dvd Calendar'!$AG$1413&lt;=VAL_DATE)+(COUNTIF('Dvd Calendar'!$E$1420:$AR$1420,'Dvd Calendar'!$AG$1413)=0))&gt;0)=0,"",'Dvd Calendar'!$AG$1413*1000000000+ISNUMBER('Dvd Calendar'!$AG$1416)*100000000+('Dvd Calendar'!$AG$1418=SPECIAL_LBL)*10000000+(N('Dvd Calendar'!$AG$1412)&gt;0)*(N('Dvd Calendar'!$AG$1412)&lt;=VAL_SERIAL)*1000000+28*1000+29))</f>
        <v/>
      </c>
      <c r="FH143" s="121">
        <f>IF(N('Dvd Calendar'!$AH$1413)=0,"",IF(('Dvd Calendar'!$AH$1413&gt;=GRID_FROM)*('Dvd Calendar'!$AH$1413&lt;=GRID_TO)*((('Dvd Calendar'!$AH$1413&lt;=VAL_DATE)+(COUNTIF('Dvd Calendar'!$E$1420:$AR$1420,'Dvd Calendar'!$AH$1413)=0))&gt;0)=0,"",'Dvd Calendar'!$AH$1413*1000000000+ISNUMBER('Dvd Calendar'!$AH$1416)*100000000+('Dvd Calendar'!$AH$1418=SPECIAL_LBL)*10000000+(N('Dvd Calendar'!$AH$1412)&gt;0)*(N('Dvd Calendar'!$AH$1412)&lt;=VAL_SERIAL)*1000000+28*1000+30))</f>
        <v/>
      </c>
      <c r="FI143" s="121">
        <f>IF(N('Dvd Calendar'!$AI$1413)=0,"",IF(('Dvd Calendar'!$AI$1413&gt;=GRID_FROM)*('Dvd Calendar'!$AI$1413&lt;=GRID_TO)*((('Dvd Calendar'!$AI$1413&lt;=VAL_DATE)+(COUNTIF('Dvd Calendar'!$E$1420:$AR$1420,'Dvd Calendar'!$AI$1413)=0))&gt;0)=0,"",'Dvd Calendar'!$AI$1413*1000000000+ISNUMBER('Dvd Calendar'!$AI$1416)*100000000+('Dvd Calendar'!$AI$1418=SPECIAL_LBL)*10000000+(N('Dvd Calendar'!$AI$1412)&gt;0)*(N('Dvd Calendar'!$AI$1412)&lt;=VAL_SERIAL)*1000000+28*1000+31))</f>
        <v/>
      </c>
      <c r="FJ143" s="121">
        <f>IF(N('Dvd Calendar'!$AJ$1413)=0,"",IF(('Dvd Calendar'!$AJ$1413&gt;=GRID_FROM)*('Dvd Calendar'!$AJ$1413&lt;=GRID_TO)*((('Dvd Calendar'!$AJ$1413&lt;=VAL_DATE)+(COUNTIF('Dvd Calendar'!$E$1420:$AR$1420,'Dvd Calendar'!$AJ$1413)=0))&gt;0)=0,"",'Dvd Calendar'!$AJ$1413*1000000000+ISNUMBER('Dvd Calendar'!$AJ$1416)*100000000+('Dvd Calendar'!$AJ$1418=SPECIAL_LBL)*10000000+(N('Dvd Calendar'!$AJ$1412)&gt;0)*(N('Dvd Calendar'!$AJ$1412)&lt;=VAL_SERIAL)*1000000+28*1000+32))</f>
        <v/>
      </c>
      <c r="FK143" s="121">
        <f>IF(N('Dvd Calendar'!$AK$1413)=0,"",IF(('Dvd Calendar'!$AK$1413&gt;=GRID_FROM)*('Dvd Calendar'!$AK$1413&lt;=GRID_TO)*((('Dvd Calendar'!$AK$1413&lt;=VAL_DATE)+(COUNTIF('Dvd Calendar'!$E$1420:$AR$1420,'Dvd Calendar'!$AK$1413)=0))&gt;0)=0,"",'Dvd Calendar'!$AK$1413*1000000000+ISNUMBER('Dvd Calendar'!$AK$1416)*100000000+('Dvd Calendar'!$AK$1418=SPECIAL_LBL)*10000000+(N('Dvd Calendar'!$AK$1412)&gt;0)*(N('Dvd Calendar'!$AK$1412)&lt;=VAL_SERIAL)*1000000+28*1000+33))</f>
        <v/>
      </c>
      <c r="FL143" s="121">
        <f>IF(N('Dvd Calendar'!$AL$1413)=0,"",IF(('Dvd Calendar'!$AL$1413&gt;=GRID_FROM)*('Dvd Calendar'!$AL$1413&lt;=GRID_TO)*((('Dvd Calendar'!$AL$1413&lt;=VAL_DATE)+(COUNTIF('Dvd Calendar'!$E$1420:$AR$1420,'Dvd Calendar'!$AL$1413)=0))&gt;0)=0,"",'Dvd Calendar'!$AL$1413*1000000000+ISNUMBER('Dvd Calendar'!$AL$1416)*100000000+('Dvd Calendar'!$AL$1418=SPECIAL_LBL)*10000000+(N('Dvd Calendar'!$AL$1412)&gt;0)*(N('Dvd Calendar'!$AL$1412)&lt;=VAL_SERIAL)*1000000+28*1000+34))</f>
        <v/>
      </c>
      <c r="FM143" s="121">
        <f>IF(N('Dvd Calendar'!$AM$1413)=0,"",IF(('Dvd Calendar'!$AM$1413&gt;=GRID_FROM)*('Dvd Calendar'!$AM$1413&lt;=GRID_TO)*((('Dvd Calendar'!$AM$1413&lt;=VAL_DATE)+(COUNTIF('Dvd Calendar'!$E$1420:$AR$1420,'Dvd Calendar'!$AM$1413)=0))&gt;0)=0,"",'Dvd Calendar'!$AM$1413*1000000000+ISNUMBER('Dvd Calendar'!$AM$1416)*100000000+('Dvd Calendar'!$AM$1418=SPECIAL_LBL)*10000000+(N('Dvd Calendar'!$AM$1412)&gt;0)*(N('Dvd Calendar'!$AM$1412)&lt;=VAL_SERIAL)*1000000+28*1000+35))</f>
        <v/>
      </c>
      <c r="FN143" s="121">
        <f>IF(N('Dvd Calendar'!$AN$1413)=0,"",IF(('Dvd Calendar'!$AN$1413&gt;=GRID_FROM)*('Dvd Calendar'!$AN$1413&lt;=GRID_TO)*((('Dvd Calendar'!$AN$1413&lt;=VAL_DATE)+(COUNTIF('Dvd Calendar'!$E$1420:$AR$1420,'Dvd Calendar'!$AN$1413)=0))&gt;0)=0,"",'Dvd Calendar'!$AN$1413*1000000000+ISNUMBER('Dvd Calendar'!$AN$1416)*100000000+('Dvd Calendar'!$AN$1418=SPECIAL_LBL)*10000000+(N('Dvd Calendar'!$AN$1412)&gt;0)*(N('Dvd Calendar'!$AN$1412)&lt;=VAL_SERIAL)*1000000+28*1000+36))</f>
        <v/>
      </c>
      <c r="FO143" s="121">
        <f>IF(N('Dvd Calendar'!$AO$1413)=0,"",IF(('Dvd Calendar'!$AO$1413&gt;=GRID_FROM)*('Dvd Calendar'!$AO$1413&lt;=GRID_TO)*((('Dvd Calendar'!$AO$1413&lt;=VAL_DATE)+(COUNTIF('Dvd Calendar'!$E$1420:$AR$1420,'Dvd Calendar'!$AO$1413)=0))&gt;0)=0,"",'Dvd Calendar'!$AO$1413*1000000000+ISNUMBER('Dvd Calendar'!$AO$1416)*100000000+('Dvd Calendar'!$AO$1418=SPECIAL_LBL)*10000000+(N('Dvd Calendar'!$AO$1412)&gt;0)*(N('Dvd Calendar'!$AO$1412)&lt;=VAL_SERIAL)*1000000+28*1000+37))</f>
        <v/>
      </c>
      <c r="FP143" s="121">
        <f>IF(N('Dvd Calendar'!$AP$1413)=0,"",IF(('Dvd Calendar'!$AP$1413&gt;=GRID_FROM)*('Dvd Calendar'!$AP$1413&lt;=GRID_TO)*((('Dvd Calendar'!$AP$1413&lt;=VAL_DATE)+(COUNTIF('Dvd Calendar'!$E$1420:$AR$1420,'Dvd Calendar'!$AP$1413)=0))&gt;0)=0,"",'Dvd Calendar'!$AP$1413*1000000000+ISNUMBER('Dvd Calendar'!$AP$1416)*100000000+('Dvd Calendar'!$AP$1418=SPECIAL_LBL)*10000000+(N('Dvd Calendar'!$AP$1412)&gt;0)*(N('Dvd Calendar'!$AP$1412)&lt;=VAL_SERIAL)*1000000+28*1000+38))</f>
        <v/>
      </c>
      <c r="FQ143" s="121">
        <f>IF(N('Dvd Calendar'!$AQ$1413)=0,"",IF(('Dvd Calendar'!$AQ$1413&gt;=GRID_FROM)*('Dvd Calendar'!$AQ$1413&lt;=GRID_TO)*((('Dvd Calendar'!$AQ$1413&lt;=VAL_DATE)+(COUNTIF('Dvd Calendar'!$E$1420:$AR$1420,'Dvd Calendar'!$AQ$1413)=0))&gt;0)=0,"",'Dvd Calendar'!$AQ$1413*1000000000+ISNUMBER('Dvd Calendar'!$AQ$1416)*100000000+('Dvd Calendar'!$AQ$1418=SPECIAL_LBL)*10000000+(N('Dvd Calendar'!$AQ$1412)&gt;0)*(N('Dvd Calendar'!$AQ$1412)&lt;=VAL_SERIAL)*1000000+28*1000+39))</f>
        <v/>
      </c>
      <c r="FR143" s="121">
        <f>IF(N('Dvd Calendar'!$AR$1413)=0,"",IF(('Dvd Calendar'!$AR$1413&gt;=GRID_FROM)*('Dvd Calendar'!$AR$1413&lt;=GRID_TO)*((('Dvd Calendar'!$AR$1413&lt;=VAL_DATE)+(COUNTIF('Dvd Calendar'!$E$1420:$AR$1420,'Dvd Calendar'!$AR$1413)=0))&gt;0)=0,"",'Dvd Calendar'!$AR$1413*1000000000+ISNUMBER('Dvd Calendar'!$AR$1416)*100000000+('Dvd Calendar'!$AR$1418=SPECIAL_LBL)*10000000+(N('Dvd Calendar'!$AR$1412)&gt;0)*(N('Dvd Calendar'!$AR$1412)&lt;=VAL_SERIAL)*1000000+28*1000+40))</f>
        <v/>
      </c>
      <c r="FS143" s="121">
        <f>IF(N('Dvd Calendar'!$E$1420)=0,"",IF(('Dvd Calendar'!$E$1420&gt;=GRID_FROM)*('Dvd Calendar'!$E$1420&lt;=GRID_TO)*('Dvd Calendar'!$E$1420&gt;VAL_DATE)=0,"",'Dvd Calendar'!$E$1420*1000000000+ISNUMBER('Dvd Calendar'!$E$1421)*100000000+0*10000000+(N('Dvd Calendar'!$E$1419)&gt;0)*(N('Dvd Calendar'!$E$1419)&lt;=VAL_SERIAL)*1000000+28*1000+41))</f>
        <v/>
      </c>
      <c r="FT143" s="121">
        <f>IF(N('Dvd Calendar'!$F$1420)=0,"",IF(('Dvd Calendar'!$F$1420&gt;=GRID_FROM)*('Dvd Calendar'!$F$1420&lt;=GRID_TO)*('Dvd Calendar'!$F$1420&gt;VAL_DATE)=0,"",'Dvd Calendar'!$F$1420*1000000000+ISNUMBER('Dvd Calendar'!$F$1421)*100000000+0*10000000+(N('Dvd Calendar'!$F$1419)&gt;0)*(N('Dvd Calendar'!$F$1419)&lt;=VAL_SERIAL)*1000000+28*1000+42))</f>
        <v/>
      </c>
      <c r="FU143" s="121">
        <f>IF(N('Dvd Calendar'!$G$1420)=0,"",IF(('Dvd Calendar'!$G$1420&gt;=GRID_FROM)*('Dvd Calendar'!$G$1420&lt;=GRID_TO)*('Dvd Calendar'!$G$1420&gt;VAL_DATE)=0,"",'Dvd Calendar'!$G$1420*1000000000+ISNUMBER('Dvd Calendar'!$G$1421)*100000000+0*10000000+(N('Dvd Calendar'!$G$1419)&gt;0)*(N('Dvd Calendar'!$G$1419)&lt;=VAL_SERIAL)*1000000+28*1000+43))</f>
        <v/>
      </c>
      <c r="FV143" s="121">
        <f>IF(N('Dvd Calendar'!$H$1420)=0,"",IF(('Dvd Calendar'!$H$1420&gt;=GRID_FROM)*('Dvd Calendar'!$H$1420&lt;=GRID_TO)*('Dvd Calendar'!$H$1420&gt;VAL_DATE)=0,"",'Dvd Calendar'!$H$1420*1000000000+ISNUMBER('Dvd Calendar'!$H$1421)*100000000+0*10000000+(N('Dvd Calendar'!$H$1419)&gt;0)*(N('Dvd Calendar'!$H$1419)&lt;=VAL_SERIAL)*1000000+28*1000+44))</f>
        <v/>
      </c>
      <c r="FW143" s="121">
        <f>IF(N('Dvd Calendar'!$I$1420)=0,"",IF(('Dvd Calendar'!$I$1420&gt;=GRID_FROM)*('Dvd Calendar'!$I$1420&lt;=GRID_TO)*('Dvd Calendar'!$I$1420&gt;VAL_DATE)=0,"",'Dvd Calendar'!$I$1420*1000000000+ISNUMBER('Dvd Calendar'!$I$1421)*100000000+0*10000000+(N('Dvd Calendar'!$I$1419)&gt;0)*(N('Dvd Calendar'!$I$1419)&lt;=VAL_SERIAL)*1000000+28*1000+45))</f>
        <v/>
      </c>
      <c r="FX143" s="121">
        <f>IF(N('Dvd Calendar'!$J$1420)=0,"",IF(('Dvd Calendar'!$J$1420&gt;=GRID_FROM)*('Dvd Calendar'!$J$1420&lt;=GRID_TO)*('Dvd Calendar'!$J$1420&gt;VAL_DATE)=0,"",'Dvd Calendar'!$J$1420*1000000000+ISNUMBER('Dvd Calendar'!$J$1421)*100000000+0*10000000+(N('Dvd Calendar'!$J$1419)&gt;0)*(N('Dvd Calendar'!$J$1419)&lt;=VAL_SERIAL)*1000000+28*1000+46))</f>
        <v/>
      </c>
      <c r="FY143" s="121">
        <f>IF(N('Dvd Calendar'!$K$1420)=0,"",IF(('Dvd Calendar'!$K$1420&gt;=GRID_FROM)*('Dvd Calendar'!$K$1420&lt;=GRID_TO)*('Dvd Calendar'!$K$1420&gt;VAL_DATE)=0,"",'Dvd Calendar'!$K$1420*1000000000+ISNUMBER('Dvd Calendar'!$K$1421)*100000000+0*10000000+(N('Dvd Calendar'!$K$1419)&gt;0)*(N('Dvd Calendar'!$K$1419)&lt;=VAL_SERIAL)*1000000+28*1000+47))</f>
        <v/>
      </c>
      <c r="FZ143" s="121">
        <f>IF(N('Dvd Calendar'!$L$1420)=0,"",IF(('Dvd Calendar'!$L$1420&gt;=GRID_FROM)*('Dvd Calendar'!$L$1420&lt;=GRID_TO)*('Dvd Calendar'!$L$1420&gt;VAL_DATE)=0,"",'Dvd Calendar'!$L$1420*1000000000+ISNUMBER('Dvd Calendar'!$L$1421)*100000000+0*10000000+(N('Dvd Calendar'!$L$1419)&gt;0)*(N('Dvd Calendar'!$L$1419)&lt;=VAL_SERIAL)*1000000+28*1000+48))</f>
        <v/>
      </c>
      <c r="GA143" s="121">
        <f>IF(N('Dvd Calendar'!$M$1420)=0,"",IF(('Dvd Calendar'!$M$1420&gt;=GRID_FROM)*('Dvd Calendar'!$M$1420&lt;=GRID_TO)*('Dvd Calendar'!$M$1420&gt;VAL_DATE)=0,"",'Dvd Calendar'!$M$1420*1000000000+ISNUMBER('Dvd Calendar'!$M$1421)*100000000+0*10000000+(N('Dvd Calendar'!$M$1419)&gt;0)*(N('Dvd Calendar'!$M$1419)&lt;=VAL_SERIAL)*1000000+28*1000+49))</f>
        <v/>
      </c>
      <c r="GB143" s="121">
        <f>IF(N('Dvd Calendar'!$N$1420)=0,"",IF(('Dvd Calendar'!$N$1420&gt;=GRID_FROM)*('Dvd Calendar'!$N$1420&lt;=GRID_TO)*('Dvd Calendar'!$N$1420&gt;VAL_DATE)=0,"",'Dvd Calendar'!$N$1420*1000000000+ISNUMBER('Dvd Calendar'!$N$1421)*100000000+0*10000000+(N('Dvd Calendar'!$N$1419)&gt;0)*(N('Dvd Calendar'!$N$1419)&lt;=VAL_SERIAL)*1000000+28*1000+50))</f>
        <v/>
      </c>
      <c r="GC143" s="121">
        <f>IF(N('Dvd Calendar'!$O$1420)=0,"",IF(('Dvd Calendar'!$O$1420&gt;=GRID_FROM)*('Dvd Calendar'!$O$1420&lt;=GRID_TO)*('Dvd Calendar'!$O$1420&gt;VAL_DATE)=0,"",'Dvd Calendar'!$O$1420*1000000000+ISNUMBER('Dvd Calendar'!$O$1421)*100000000+0*10000000+(N('Dvd Calendar'!$O$1419)&gt;0)*(N('Dvd Calendar'!$O$1419)&lt;=VAL_SERIAL)*1000000+28*1000+51))</f>
        <v/>
      </c>
      <c r="GD143" s="121">
        <f>IF(N('Dvd Calendar'!$P$1420)=0,"",IF(('Dvd Calendar'!$P$1420&gt;=GRID_FROM)*('Dvd Calendar'!$P$1420&lt;=GRID_TO)*('Dvd Calendar'!$P$1420&gt;VAL_DATE)=0,"",'Dvd Calendar'!$P$1420*1000000000+ISNUMBER('Dvd Calendar'!$P$1421)*100000000+0*10000000+(N('Dvd Calendar'!$P$1419)&gt;0)*(N('Dvd Calendar'!$P$1419)&lt;=VAL_SERIAL)*1000000+28*1000+52))</f>
        <v/>
      </c>
      <c r="GE143" s="121">
        <f>IF(N('Dvd Calendar'!$Q$1420)=0,"",IF(('Dvd Calendar'!$Q$1420&gt;=GRID_FROM)*('Dvd Calendar'!$Q$1420&lt;=GRID_TO)*('Dvd Calendar'!$Q$1420&gt;VAL_DATE)=0,"",'Dvd Calendar'!$Q$1420*1000000000+ISNUMBER('Dvd Calendar'!$Q$1421)*100000000+0*10000000+(N('Dvd Calendar'!$Q$1419)&gt;0)*(N('Dvd Calendar'!$Q$1419)&lt;=VAL_SERIAL)*1000000+28*1000+53))</f>
        <v/>
      </c>
      <c r="GF143" s="121">
        <f>IF(N('Dvd Calendar'!$R$1420)=0,"",IF(('Dvd Calendar'!$R$1420&gt;=GRID_FROM)*('Dvd Calendar'!$R$1420&lt;=GRID_TO)*('Dvd Calendar'!$R$1420&gt;VAL_DATE)=0,"",'Dvd Calendar'!$R$1420*1000000000+ISNUMBER('Dvd Calendar'!$R$1421)*100000000+0*10000000+(N('Dvd Calendar'!$R$1419)&gt;0)*(N('Dvd Calendar'!$R$1419)&lt;=VAL_SERIAL)*1000000+28*1000+54))</f>
        <v/>
      </c>
      <c r="GG143" s="121">
        <f>IF(N('Dvd Calendar'!$S$1420)=0,"",IF(('Dvd Calendar'!$S$1420&gt;=GRID_FROM)*('Dvd Calendar'!$S$1420&lt;=GRID_TO)*('Dvd Calendar'!$S$1420&gt;VAL_DATE)=0,"",'Dvd Calendar'!$S$1420*1000000000+ISNUMBER('Dvd Calendar'!$S$1421)*100000000+0*10000000+(N('Dvd Calendar'!$S$1419)&gt;0)*(N('Dvd Calendar'!$S$1419)&lt;=VAL_SERIAL)*1000000+28*1000+55))</f>
        <v/>
      </c>
      <c r="GH143" s="121">
        <f>IF(N('Dvd Calendar'!$T$1420)=0,"",IF(('Dvd Calendar'!$T$1420&gt;=GRID_FROM)*('Dvd Calendar'!$T$1420&lt;=GRID_TO)*('Dvd Calendar'!$T$1420&gt;VAL_DATE)=0,"",'Dvd Calendar'!$T$1420*1000000000+ISNUMBER('Dvd Calendar'!$T$1421)*100000000+0*10000000+(N('Dvd Calendar'!$T$1419)&gt;0)*(N('Dvd Calendar'!$T$1419)&lt;=VAL_SERIAL)*1000000+28*1000+56))</f>
        <v/>
      </c>
      <c r="GI143" s="121">
        <f>IF(N('Dvd Calendar'!$U$1420)=0,"",IF(('Dvd Calendar'!$U$1420&gt;=GRID_FROM)*('Dvd Calendar'!$U$1420&lt;=GRID_TO)*('Dvd Calendar'!$U$1420&gt;VAL_DATE)=0,"",'Dvd Calendar'!$U$1420*1000000000+ISNUMBER('Dvd Calendar'!$U$1421)*100000000+0*10000000+(N('Dvd Calendar'!$U$1419)&gt;0)*(N('Dvd Calendar'!$U$1419)&lt;=VAL_SERIAL)*1000000+28*1000+57))</f>
        <v/>
      </c>
      <c r="GJ143" s="121">
        <f>IF(N('Dvd Calendar'!$V$1420)=0,"",IF(('Dvd Calendar'!$V$1420&gt;=GRID_FROM)*('Dvd Calendar'!$V$1420&lt;=GRID_TO)*('Dvd Calendar'!$V$1420&gt;VAL_DATE)=0,"",'Dvd Calendar'!$V$1420*1000000000+ISNUMBER('Dvd Calendar'!$V$1421)*100000000+0*10000000+(N('Dvd Calendar'!$V$1419)&gt;0)*(N('Dvd Calendar'!$V$1419)&lt;=VAL_SERIAL)*1000000+28*1000+58))</f>
        <v/>
      </c>
      <c r="GK143" s="121">
        <f>IF(N('Dvd Calendar'!$W$1420)=0,"",IF(('Dvd Calendar'!$W$1420&gt;=GRID_FROM)*('Dvd Calendar'!$W$1420&lt;=GRID_TO)*('Dvd Calendar'!$W$1420&gt;VAL_DATE)=0,"",'Dvd Calendar'!$W$1420*1000000000+ISNUMBER('Dvd Calendar'!$W$1421)*100000000+0*10000000+(N('Dvd Calendar'!$W$1419)&gt;0)*(N('Dvd Calendar'!$W$1419)&lt;=VAL_SERIAL)*1000000+28*1000+59))</f>
        <v/>
      </c>
      <c r="GL143" s="121">
        <f>IF(N('Dvd Calendar'!$X$1420)=0,"",IF(('Dvd Calendar'!$X$1420&gt;=GRID_FROM)*('Dvd Calendar'!$X$1420&lt;=GRID_TO)*('Dvd Calendar'!$X$1420&gt;VAL_DATE)=0,"",'Dvd Calendar'!$X$1420*1000000000+ISNUMBER('Dvd Calendar'!$X$1421)*100000000+0*10000000+(N('Dvd Calendar'!$X$1419)&gt;0)*(N('Dvd Calendar'!$X$1419)&lt;=VAL_SERIAL)*1000000+28*1000+60))</f>
        <v/>
      </c>
      <c r="GM143" s="121">
        <f>IF(N('Dvd Calendar'!$Y$1420)=0,"",IF(('Dvd Calendar'!$Y$1420&gt;=GRID_FROM)*('Dvd Calendar'!$Y$1420&lt;=GRID_TO)*('Dvd Calendar'!$Y$1420&gt;VAL_DATE)=0,"",'Dvd Calendar'!$Y$1420*1000000000+ISNUMBER('Dvd Calendar'!$Y$1421)*100000000+0*10000000+(N('Dvd Calendar'!$Y$1419)&gt;0)*(N('Dvd Calendar'!$Y$1419)&lt;=VAL_SERIAL)*1000000+28*1000+61))</f>
        <v/>
      </c>
      <c r="GN143" s="121">
        <f>IF(N('Dvd Calendar'!$Z$1420)=0,"",IF(('Dvd Calendar'!$Z$1420&gt;=GRID_FROM)*('Dvd Calendar'!$Z$1420&lt;=GRID_TO)*('Dvd Calendar'!$Z$1420&gt;VAL_DATE)=0,"",'Dvd Calendar'!$Z$1420*1000000000+ISNUMBER('Dvd Calendar'!$Z$1421)*100000000+0*10000000+(N('Dvd Calendar'!$Z$1419)&gt;0)*(N('Dvd Calendar'!$Z$1419)&lt;=VAL_SERIAL)*1000000+28*1000+62))</f>
        <v/>
      </c>
      <c r="GO143" s="121">
        <f>IF(N('Dvd Calendar'!$AA$1420)=0,"",IF(('Dvd Calendar'!$AA$1420&gt;=GRID_FROM)*('Dvd Calendar'!$AA$1420&lt;=GRID_TO)*('Dvd Calendar'!$AA$1420&gt;VAL_DATE)=0,"",'Dvd Calendar'!$AA$1420*1000000000+ISNUMBER('Dvd Calendar'!$AA$1421)*100000000+0*10000000+(N('Dvd Calendar'!$AA$1419)&gt;0)*(N('Dvd Calendar'!$AA$1419)&lt;=VAL_SERIAL)*1000000+28*1000+63))</f>
        <v/>
      </c>
      <c r="GP143" s="121">
        <f>IF(N('Dvd Calendar'!$AB$1420)=0,"",IF(('Dvd Calendar'!$AB$1420&gt;=GRID_FROM)*('Dvd Calendar'!$AB$1420&lt;=GRID_TO)*('Dvd Calendar'!$AB$1420&gt;VAL_DATE)=0,"",'Dvd Calendar'!$AB$1420*1000000000+ISNUMBER('Dvd Calendar'!$AB$1421)*100000000+0*10000000+(N('Dvd Calendar'!$AB$1419)&gt;0)*(N('Dvd Calendar'!$AB$1419)&lt;=VAL_SERIAL)*1000000+28*1000+64))</f>
        <v/>
      </c>
      <c r="GQ143" s="121">
        <f>IF(N('Dvd Calendar'!$AC$1420)=0,"",IF(('Dvd Calendar'!$AC$1420&gt;=GRID_FROM)*('Dvd Calendar'!$AC$1420&lt;=GRID_TO)*('Dvd Calendar'!$AC$1420&gt;VAL_DATE)=0,"",'Dvd Calendar'!$AC$1420*1000000000+ISNUMBER('Dvd Calendar'!$AC$1421)*100000000+0*10000000+(N('Dvd Calendar'!$AC$1419)&gt;0)*(N('Dvd Calendar'!$AC$1419)&lt;=VAL_SERIAL)*1000000+28*1000+65))</f>
        <v/>
      </c>
    </row>
    <row r="144">
      <c r="B144" s="2">
        <f>IF(HSTECH!$C$35="","",HSTECH!$C$35)</f>
        <v/>
      </c>
      <c r="C144" s="161">
        <f>IF(EE144="","",IF(ISNUMBER('Dvd Calendar'!$E$1427)=FALSE,"",IF((('Dvd Calendar'!$E$1429=TYPE1)*(TYPE1&lt;&gt;"")+('Dvd Calendar'!$E$1429=TYPE2)*(TYPE2&lt;&gt;"")+('Dvd Calendar'!$E$1429=TYPE3)*(TYPE3&lt;&gt;"")+('Dvd Calendar'!$E$1429=TYPE4)*(TYPE4&lt;&gt;"")+('Dvd Calendar'!$E$1429=SPECIAL_LBL)*(INC_SPECIALS="Y"))=0,"",'Dvd Calendar'!$E$1427)))</f>
        <v/>
      </c>
      <c r="D144" s="161">
        <f>IF(EF144="","",IF(ISNUMBER('Dvd Calendar'!$F$1427)=FALSE,"",IF((('Dvd Calendar'!$F$1429=TYPE1)*(TYPE1&lt;&gt;"")+('Dvd Calendar'!$F$1429=TYPE2)*(TYPE2&lt;&gt;"")+('Dvd Calendar'!$F$1429=TYPE3)*(TYPE3&lt;&gt;"")+('Dvd Calendar'!$F$1429=TYPE4)*(TYPE4&lt;&gt;"")+('Dvd Calendar'!$F$1429=SPECIAL_LBL)*(INC_SPECIALS="Y"))=0,"",'Dvd Calendar'!$F$1427)))</f>
        <v/>
      </c>
      <c r="E144" s="161">
        <f>IF(EG144="","",IF(ISNUMBER('Dvd Calendar'!$G$1427)=FALSE,"",IF((('Dvd Calendar'!$G$1429=TYPE1)*(TYPE1&lt;&gt;"")+('Dvd Calendar'!$G$1429=TYPE2)*(TYPE2&lt;&gt;"")+('Dvd Calendar'!$G$1429=TYPE3)*(TYPE3&lt;&gt;"")+('Dvd Calendar'!$G$1429=TYPE4)*(TYPE4&lt;&gt;"")+('Dvd Calendar'!$G$1429=SPECIAL_LBL)*(INC_SPECIALS="Y"))=0,"",'Dvd Calendar'!$G$1427)))</f>
        <v/>
      </c>
      <c r="F144" s="161">
        <f>IF(EH144="","",IF(ISNUMBER('Dvd Calendar'!$H$1427)=FALSE,"",IF((('Dvd Calendar'!$H$1429=TYPE1)*(TYPE1&lt;&gt;"")+('Dvd Calendar'!$H$1429=TYPE2)*(TYPE2&lt;&gt;"")+('Dvd Calendar'!$H$1429=TYPE3)*(TYPE3&lt;&gt;"")+('Dvd Calendar'!$H$1429=TYPE4)*(TYPE4&lt;&gt;"")+('Dvd Calendar'!$H$1429=SPECIAL_LBL)*(INC_SPECIALS="Y"))=0,"",'Dvd Calendar'!$H$1427)))</f>
        <v/>
      </c>
      <c r="G144" s="161">
        <f>IF(EI144="","",IF(ISNUMBER('Dvd Calendar'!$I$1427)=FALSE,"",IF((('Dvd Calendar'!$I$1429=TYPE1)*(TYPE1&lt;&gt;"")+('Dvd Calendar'!$I$1429=TYPE2)*(TYPE2&lt;&gt;"")+('Dvd Calendar'!$I$1429=TYPE3)*(TYPE3&lt;&gt;"")+('Dvd Calendar'!$I$1429=TYPE4)*(TYPE4&lt;&gt;"")+('Dvd Calendar'!$I$1429=SPECIAL_LBL)*(INC_SPECIALS="Y"))=0,"",'Dvd Calendar'!$I$1427)))</f>
        <v/>
      </c>
      <c r="H144" s="161">
        <f>IF(EJ144="","",IF(ISNUMBER('Dvd Calendar'!$J$1427)=FALSE,"",IF((('Dvd Calendar'!$J$1429=TYPE1)*(TYPE1&lt;&gt;"")+('Dvd Calendar'!$J$1429=TYPE2)*(TYPE2&lt;&gt;"")+('Dvd Calendar'!$J$1429=TYPE3)*(TYPE3&lt;&gt;"")+('Dvd Calendar'!$J$1429=TYPE4)*(TYPE4&lt;&gt;"")+('Dvd Calendar'!$J$1429=SPECIAL_LBL)*(INC_SPECIALS="Y"))=0,"",'Dvd Calendar'!$J$1427)))</f>
        <v/>
      </c>
      <c r="I144" s="161">
        <f>IF(EK144="","",IF(ISNUMBER('Dvd Calendar'!$K$1427)=FALSE,"",IF((('Dvd Calendar'!$K$1429=TYPE1)*(TYPE1&lt;&gt;"")+('Dvd Calendar'!$K$1429=TYPE2)*(TYPE2&lt;&gt;"")+('Dvd Calendar'!$K$1429=TYPE3)*(TYPE3&lt;&gt;"")+('Dvd Calendar'!$K$1429=TYPE4)*(TYPE4&lt;&gt;"")+('Dvd Calendar'!$K$1429=SPECIAL_LBL)*(INC_SPECIALS="Y"))=0,"",'Dvd Calendar'!$K$1427)))</f>
        <v/>
      </c>
      <c r="J144" s="161">
        <f>IF(EL144="","",IF(ISNUMBER('Dvd Calendar'!$L$1427)=FALSE,"",IF((('Dvd Calendar'!$L$1429=TYPE1)*(TYPE1&lt;&gt;"")+('Dvd Calendar'!$L$1429=TYPE2)*(TYPE2&lt;&gt;"")+('Dvd Calendar'!$L$1429=TYPE3)*(TYPE3&lt;&gt;"")+('Dvd Calendar'!$L$1429=TYPE4)*(TYPE4&lt;&gt;"")+('Dvd Calendar'!$L$1429=SPECIAL_LBL)*(INC_SPECIALS="Y"))=0,"",'Dvd Calendar'!$L$1427)))</f>
        <v/>
      </c>
      <c r="K144" s="161">
        <f>IF(EM144="","",IF(ISNUMBER('Dvd Calendar'!$M$1427)=FALSE,"",IF((('Dvd Calendar'!$M$1429=TYPE1)*(TYPE1&lt;&gt;"")+('Dvd Calendar'!$M$1429=TYPE2)*(TYPE2&lt;&gt;"")+('Dvd Calendar'!$M$1429=TYPE3)*(TYPE3&lt;&gt;"")+('Dvd Calendar'!$M$1429=TYPE4)*(TYPE4&lt;&gt;"")+('Dvd Calendar'!$M$1429=SPECIAL_LBL)*(INC_SPECIALS="Y"))=0,"",'Dvd Calendar'!$M$1427)))</f>
        <v/>
      </c>
      <c r="L144" s="161">
        <f>IF(EN144="","",IF(ISNUMBER('Dvd Calendar'!$N$1427)=FALSE,"",IF((('Dvd Calendar'!$N$1429=TYPE1)*(TYPE1&lt;&gt;"")+('Dvd Calendar'!$N$1429=TYPE2)*(TYPE2&lt;&gt;"")+('Dvd Calendar'!$N$1429=TYPE3)*(TYPE3&lt;&gt;"")+('Dvd Calendar'!$N$1429=TYPE4)*(TYPE4&lt;&gt;"")+('Dvd Calendar'!$N$1429=SPECIAL_LBL)*(INC_SPECIALS="Y"))=0,"",'Dvd Calendar'!$N$1427)))</f>
        <v/>
      </c>
      <c r="M144" s="161">
        <f>IF(EO144="","",IF(ISNUMBER('Dvd Calendar'!$O$1427)=FALSE,"",IF((('Dvd Calendar'!$O$1429=TYPE1)*(TYPE1&lt;&gt;"")+('Dvd Calendar'!$O$1429=TYPE2)*(TYPE2&lt;&gt;"")+('Dvd Calendar'!$O$1429=TYPE3)*(TYPE3&lt;&gt;"")+('Dvd Calendar'!$O$1429=TYPE4)*(TYPE4&lt;&gt;"")+('Dvd Calendar'!$O$1429=SPECIAL_LBL)*(INC_SPECIALS="Y"))=0,"",'Dvd Calendar'!$O$1427)))</f>
        <v/>
      </c>
      <c r="N144" s="161">
        <f>IF(EP144="","",IF(ISNUMBER('Dvd Calendar'!$P$1427)=FALSE,"",IF((('Dvd Calendar'!$P$1429=TYPE1)*(TYPE1&lt;&gt;"")+('Dvd Calendar'!$P$1429=TYPE2)*(TYPE2&lt;&gt;"")+('Dvd Calendar'!$P$1429=TYPE3)*(TYPE3&lt;&gt;"")+('Dvd Calendar'!$P$1429=TYPE4)*(TYPE4&lt;&gt;"")+('Dvd Calendar'!$P$1429=SPECIAL_LBL)*(INC_SPECIALS="Y"))=0,"",'Dvd Calendar'!$P$1427)))</f>
        <v/>
      </c>
      <c r="O144" s="161">
        <f>IF(EQ144="","",IF(ISNUMBER('Dvd Calendar'!$Q$1427)=FALSE,"",IF((('Dvd Calendar'!$Q$1429=TYPE1)*(TYPE1&lt;&gt;"")+('Dvd Calendar'!$Q$1429=TYPE2)*(TYPE2&lt;&gt;"")+('Dvd Calendar'!$Q$1429=TYPE3)*(TYPE3&lt;&gt;"")+('Dvd Calendar'!$Q$1429=TYPE4)*(TYPE4&lt;&gt;"")+('Dvd Calendar'!$Q$1429=SPECIAL_LBL)*(INC_SPECIALS="Y"))=0,"",'Dvd Calendar'!$Q$1427)))</f>
        <v/>
      </c>
      <c r="P144" s="161">
        <f>IF(ER144="","",IF(ISNUMBER('Dvd Calendar'!$R$1427)=FALSE,"",IF((('Dvd Calendar'!$R$1429=TYPE1)*(TYPE1&lt;&gt;"")+('Dvd Calendar'!$R$1429=TYPE2)*(TYPE2&lt;&gt;"")+('Dvd Calendar'!$R$1429=TYPE3)*(TYPE3&lt;&gt;"")+('Dvd Calendar'!$R$1429=TYPE4)*(TYPE4&lt;&gt;"")+('Dvd Calendar'!$R$1429=SPECIAL_LBL)*(INC_SPECIALS="Y"))=0,"",'Dvd Calendar'!$R$1427)))</f>
        <v/>
      </c>
      <c r="Q144" s="161">
        <f>IF(ES144="","",IF(ISNUMBER('Dvd Calendar'!$S$1427)=FALSE,"",IF((('Dvd Calendar'!$S$1429=TYPE1)*(TYPE1&lt;&gt;"")+('Dvd Calendar'!$S$1429=TYPE2)*(TYPE2&lt;&gt;"")+('Dvd Calendar'!$S$1429=TYPE3)*(TYPE3&lt;&gt;"")+('Dvd Calendar'!$S$1429=TYPE4)*(TYPE4&lt;&gt;"")+('Dvd Calendar'!$S$1429=SPECIAL_LBL)*(INC_SPECIALS="Y"))=0,"",'Dvd Calendar'!$S$1427)))</f>
        <v/>
      </c>
      <c r="R144" s="161">
        <f>IF(ET144="","",IF(ISNUMBER('Dvd Calendar'!$T$1427)=FALSE,"",IF((('Dvd Calendar'!$T$1429=TYPE1)*(TYPE1&lt;&gt;"")+('Dvd Calendar'!$T$1429=TYPE2)*(TYPE2&lt;&gt;"")+('Dvd Calendar'!$T$1429=TYPE3)*(TYPE3&lt;&gt;"")+('Dvd Calendar'!$T$1429=TYPE4)*(TYPE4&lt;&gt;"")+('Dvd Calendar'!$T$1429=SPECIAL_LBL)*(INC_SPECIALS="Y"))=0,"",'Dvd Calendar'!$T$1427)))</f>
        <v/>
      </c>
      <c r="S144" s="161">
        <f>IF(EU144="","",IF(ISNUMBER('Dvd Calendar'!$U$1427)=FALSE,"",IF((('Dvd Calendar'!$U$1429=TYPE1)*(TYPE1&lt;&gt;"")+('Dvd Calendar'!$U$1429=TYPE2)*(TYPE2&lt;&gt;"")+('Dvd Calendar'!$U$1429=TYPE3)*(TYPE3&lt;&gt;"")+('Dvd Calendar'!$U$1429=TYPE4)*(TYPE4&lt;&gt;"")+('Dvd Calendar'!$U$1429=SPECIAL_LBL)*(INC_SPECIALS="Y"))=0,"",'Dvd Calendar'!$U$1427)))</f>
        <v/>
      </c>
      <c r="T144" s="161">
        <f>IF(EV144="","",IF(ISNUMBER('Dvd Calendar'!$V$1427)=FALSE,"",IF((('Dvd Calendar'!$V$1429=TYPE1)*(TYPE1&lt;&gt;"")+('Dvd Calendar'!$V$1429=TYPE2)*(TYPE2&lt;&gt;"")+('Dvd Calendar'!$V$1429=TYPE3)*(TYPE3&lt;&gt;"")+('Dvd Calendar'!$V$1429=TYPE4)*(TYPE4&lt;&gt;"")+('Dvd Calendar'!$V$1429=SPECIAL_LBL)*(INC_SPECIALS="Y"))=0,"",'Dvd Calendar'!$V$1427)))</f>
        <v/>
      </c>
      <c r="U144" s="161">
        <f>IF(EW144="","",IF(ISNUMBER('Dvd Calendar'!$W$1427)=FALSE,"",IF((('Dvd Calendar'!$W$1429=TYPE1)*(TYPE1&lt;&gt;"")+('Dvd Calendar'!$W$1429=TYPE2)*(TYPE2&lt;&gt;"")+('Dvd Calendar'!$W$1429=TYPE3)*(TYPE3&lt;&gt;"")+('Dvd Calendar'!$W$1429=TYPE4)*(TYPE4&lt;&gt;"")+('Dvd Calendar'!$W$1429=SPECIAL_LBL)*(INC_SPECIALS="Y"))=0,"",'Dvd Calendar'!$W$1427)))</f>
        <v/>
      </c>
      <c r="V144" s="161">
        <f>IF(EX144="","",IF(ISNUMBER('Dvd Calendar'!$X$1427)=FALSE,"",IF((('Dvd Calendar'!$X$1429=TYPE1)*(TYPE1&lt;&gt;"")+('Dvd Calendar'!$X$1429=TYPE2)*(TYPE2&lt;&gt;"")+('Dvd Calendar'!$X$1429=TYPE3)*(TYPE3&lt;&gt;"")+('Dvd Calendar'!$X$1429=TYPE4)*(TYPE4&lt;&gt;"")+('Dvd Calendar'!$X$1429=SPECIAL_LBL)*(INC_SPECIALS="Y"))=0,"",'Dvd Calendar'!$X$1427)))</f>
        <v/>
      </c>
      <c r="W144" s="161">
        <f>IF(EY144="","",IF(ISNUMBER('Dvd Calendar'!$Y$1427)=FALSE,"",IF((('Dvd Calendar'!$Y$1429=TYPE1)*(TYPE1&lt;&gt;"")+('Dvd Calendar'!$Y$1429=TYPE2)*(TYPE2&lt;&gt;"")+('Dvd Calendar'!$Y$1429=TYPE3)*(TYPE3&lt;&gt;"")+('Dvd Calendar'!$Y$1429=TYPE4)*(TYPE4&lt;&gt;"")+('Dvd Calendar'!$Y$1429=SPECIAL_LBL)*(INC_SPECIALS="Y"))=0,"",'Dvd Calendar'!$Y$1427)))</f>
        <v/>
      </c>
      <c r="X144" s="161">
        <f>IF(EZ144="","",IF(ISNUMBER('Dvd Calendar'!$Z$1427)=FALSE,"",IF((('Dvd Calendar'!$Z$1429=TYPE1)*(TYPE1&lt;&gt;"")+('Dvd Calendar'!$Z$1429=TYPE2)*(TYPE2&lt;&gt;"")+('Dvd Calendar'!$Z$1429=TYPE3)*(TYPE3&lt;&gt;"")+('Dvd Calendar'!$Z$1429=TYPE4)*(TYPE4&lt;&gt;"")+('Dvd Calendar'!$Z$1429=SPECIAL_LBL)*(INC_SPECIALS="Y"))=0,"",'Dvd Calendar'!$Z$1427)))</f>
        <v/>
      </c>
      <c r="Y144" s="161">
        <f>IF(FA144="","",IF(ISNUMBER('Dvd Calendar'!$AA$1427)=FALSE,"",IF((('Dvd Calendar'!$AA$1429=TYPE1)*(TYPE1&lt;&gt;"")+('Dvd Calendar'!$AA$1429=TYPE2)*(TYPE2&lt;&gt;"")+('Dvd Calendar'!$AA$1429=TYPE3)*(TYPE3&lt;&gt;"")+('Dvd Calendar'!$AA$1429=TYPE4)*(TYPE4&lt;&gt;"")+('Dvd Calendar'!$AA$1429=SPECIAL_LBL)*(INC_SPECIALS="Y"))=0,"",'Dvd Calendar'!$AA$1427)))</f>
        <v/>
      </c>
      <c r="Z144" s="161">
        <f>IF(FB144="","",IF(ISNUMBER('Dvd Calendar'!$AB$1427)=FALSE,"",IF((('Dvd Calendar'!$AB$1429=TYPE1)*(TYPE1&lt;&gt;"")+('Dvd Calendar'!$AB$1429=TYPE2)*(TYPE2&lt;&gt;"")+('Dvd Calendar'!$AB$1429=TYPE3)*(TYPE3&lt;&gt;"")+('Dvd Calendar'!$AB$1429=TYPE4)*(TYPE4&lt;&gt;"")+('Dvd Calendar'!$AB$1429=SPECIAL_LBL)*(INC_SPECIALS="Y"))=0,"",'Dvd Calendar'!$AB$1427)))</f>
        <v/>
      </c>
      <c r="AA144" s="161">
        <f>IF(FC144="","",IF(ISNUMBER('Dvd Calendar'!$AC$1427)=FALSE,"",IF((('Dvd Calendar'!$AC$1429=TYPE1)*(TYPE1&lt;&gt;"")+('Dvd Calendar'!$AC$1429=TYPE2)*(TYPE2&lt;&gt;"")+('Dvd Calendar'!$AC$1429=TYPE3)*(TYPE3&lt;&gt;"")+('Dvd Calendar'!$AC$1429=TYPE4)*(TYPE4&lt;&gt;"")+('Dvd Calendar'!$AC$1429=SPECIAL_LBL)*(INC_SPECIALS="Y"))=0,"",'Dvd Calendar'!$AC$1427)))</f>
        <v/>
      </c>
      <c r="AB144" s="161">
        <f>IF(FD144="","",IF(ISNUMBER('Dvd Calendar'!$AD$1427)=FALSE,"",IF((('Dvd Calendar'!$AD$1429=TYPE1)*(TYPE1&lt;&gt;"")+('Dvd Calendar'!$AD$1429=TYPE2)*(TYPE2&lt;&gt;"")+('Dvd Calendar'!$AD$1429=TYPE3)*(TYPE3&lt;&gt;"")+('Dvd Calendar'!$AD$1429=TYPE4)*(TYPE4&lt;&gt;"")+('Dvd Calendar'!$AD$1429=SPECIAL_LBL)*(INC_SPECIALS="Y"))=0,"",'Dvd Calendar'!$AD$1427)))</f>
        <v/>
      </c>
      <c r="AC144" s="161">
        <f>IF(FE144="","",IF(ISNUMBER('Dvd Calendar'!$AE$1427)=FALSE,"",IF((('Dvd Calendar'!$AE$1429=TYPE1)*(TYPE1&lt;&gt;"")+('Dvd Calendar'!$AE$1429=TYPE2)*(TYPE2&lt;&gt;"")+('Dvd Calendar'!$AE$1429=TYPE3)*(TYPE3&lt;&gt;"")+('Dvd Calendar'!$AE$1429=TYPE4)*(TYPE4&lt;&gt;"")+('Dvd Calendar'!$AE$1429=SPECIAL_LBL)*(INC_SPECIALS="Y"))=0,"",'Dvd Calendar'!$AE$1427)))</f>
        <v/>
      </c>
      <c r="AD144" s="161">
        <f>IF(FF144="","",IF(ISNUMBER('Dvd Calendar'!$AF$1427)=FALSE,"",IF((('Dvd Calendar'!$AF$1429=TYPE1)*(TYPE1&lt;&gt;"")+('Dvd Calendar'!$AF$1429=TYPE2)*(TYPE2&lt;&gt;"")+('Dvd Calendar'!$AF$1429=TYPE3)*(TYPE3&lt;&gt;"")+('Dvd Calendar'!$AF$1429=TYPE4)*(TYPE4&lt;&gt;"")+('Dvd Calendar'!$AF$1429=SPECIAL_LBL)*(INC_SPECIALS="Y"))=0,"",'Dvd Calendar'!$AF$1427)))</f>
        <v/>
      </c>
      <c r="AE144" s="161">
        <f>IF(FG144="","",IF(ISNUMBER('Dvd Calendar'!$AG$1427)=FALSE,"",IF((('Dvd Calendar'!$AG$1429=TYPE1)*(TYPE1&lt;&gt;"")+('Dvd Calendar'!$AG$1429=TYPE2)*(TYPE2&lt;&gt;"")+('Dvd Calendar'!$AG$1429=TYPE3)*(TYPE3&lt;&gt;"")+('Dvd Calendar'!$AG$1429=TYPE4)*(TYPE4&lt;&gt;"")+('Dvd Calendar'!$AG$1429=SPECIAL_LBL)*(INC_SPECIALS="Y"))=0,"",'Dvd Calendar'!$AG$1427)))</f>
        <v/>
      </c>
      <c r="AF144" s="161">
        <f>IF(FH144="","",IF(ISNUMBER('Dvd Calendar'!$AH$1427)=FALSE,"",IF((('Dvd Calendar'!$AH$1429=TYPE1)*(TYPE1&lt;&gt;"")+('Dvd Calendar'!$AH$1429=TYPE2)*(TYPE2&lt;&gt;"")+('Dvd Calendar'!$AH$1429=TYPE3)*(TYPE3&lt;&gt;"")+('Dvd Calendar'!$AH$1429=TYPE4)*(TYPE4&lt;&gt;"")+('Dvd Calendar'!$AH$1429=SPECIAL_LBL)*(INC_SPECIALS="Y"))=0,"",'Dvd Calendar'!$AH$1427)))</f>
        <v/>
      </c>
      <c r="AG144" s="161">
        <f>IF(FI144="","",IF(ISNUMBER('Dvd Calendar'!$AI$1427)=FALSE,"",IF((('Dvd Calendar'!$AI$1429=TYPE1)*(TYPE1&lt;&gt;"")+('Dvd Calendar'!$AI$1429=TYPE2)*(TYPE2&lt;&gt;"")+('Dvd Calendar'!$AI$1429=TYPE3)*(TYPE3&lt;&gt;"")+('Dvd Calendar'!$AI$1429=TYPE4)*(TYPE4&lt;&gt;"")+('Dvd Calendar'!$AI$1429=SPECIAL_LBL)*(INC_SPECIALS="Y"))=0,"",'Dvd Calendar'!$AI$1427)))</f>
        <v/>
      </c>
      <c r="AH144" s="161">
        <f>IF(FJ144="","",IF(ISNUMBER('Dvd Calendar'!$AJ$1427)=FALSE,"",IF((('Dvd Calendar'!$AJ$1429=TYPE1)*(TYPE1&lt;&gt;"")+('Dvd Calendar'!$AJ$1429=TYPE2)*(TYPE2&lt;&gt;"")+('Dvd Calendar'!$AJ$1429=TYPE3)*(TYPE3&lt;&gt;"")+('Dvd Calendar'!$AJ$1429=TYPE4)*(TYPE4&lt;&gt;"")+('Dvd Calendar'!$AJ$1429=SPECIAL_LBL)*(INC_SPECIALS="Y"))=0,"",'Dvd Calendar'!$AJ$1427)))</f>
        <v/>
      </c>
      <c r="AI144" s="161">
        <f>IF(FK144="","",IF(ISNUMBER('Dvd Calendar'!$AK$1427)=FALSE,"",IF((('Dvd Calendar'!$AK$1429=TYPE1)*(TYPE1&lt;&gt;"")+('Dvd Calendar'!$AK$1429=TYPE2)*(TYPE2&lt;&gt;"")+('Dvd Calendar'!$AK$1429=TYPE3)*(TYPE3&lt;&gt;"")+('Dvd Calendar'!$AK$1429=TYPE4)*(TYPE4&lt;&gt;"")+('Dvd Calendar'!$AK$1429=SPECIAL_LBL)*(INC_SPECIALS="Y"))=0,"",'Dvd Calendar'!$AK$1427)))</f>
        <v/>
      </c>
      <c r="AJ144" s="161">
        <f>IF(FL144="","",IF(ISNUMBER('Dvd Calendar'!$AL$1427)=FALSE,"",IF((('Dvd Calendar'!$AL$1429=TYPE1)*(TYPE1&lt;&gt;"")+('Dvd Calendar'!$AL$1429=TYPE2)*(TYPE2&lt;&gt;"")+('Dvd Calendar'!$AL$1429=TYPE3)*(TYPE3&lt;&gt;"")+('Dvd Calendar'!$AL$1429=TYPE4)*(TYPE4&lt;&gt;"")+('Dvd Calendar'!$AL$1429=SPECIAL_LBL)*(INC_SPECIALS="Y"))=0,"",'Dvd Calendar'!$AL$1427)))</f>
        <v/>
      </c>
      <c r="AK144" s="161">
        <f>IF(FM144="","",IF(ISNUMBER('Dvd Calendar'!$AM$1427)=FALSE,"",IF((('Dvd Calendar'!$AM$1429=TYPE1)*(TYPE1&lt;&gt;"")+('Dvd Calendar'!$AM$1429=TYPE2)*(TYPE2&lt;&gt;"")+('Dvd Calendar'!$AM$1429=TYPE3)*(TYPE3&lt;&gt;"")+('Dvd Calendar'!$AM$1429=TYPE4)*(TYPE4&lt;&gt;"")+('Dvd Calendar'!$AM$1429=SPECIAL_LBL)*(INC_SPECIALS="Y"))=0,"",'Dvd Calendar'!$AM$1427)))</f>
        <v/>
      </c>
      <c r="AL144" s="161">
        <f>IF(FN144="","",IF(ISNUMBER('Dvd Calendar'!$AN$1427)=FALSE,"",IF((('Dvd Calendar'!$AN$1429=TYPE1)*(TYPE1&lt;&gt;"")+('Dvd Calendar'!$AN$1429=TYPE2)*(TYPE2&lt;&gt;"")+('Dvd Calendar'!$AN$1429=TYPE3)*(TYPE3&lt;&gt;"")+('Dvd Calendar'!$AN$1429=TYPE4)*(TYPE4&lt;&gt;"")+('Dvd Calendar'!$AN$1429=SPECIAL_LBL)*(INC_SPECIALS="Y"))=0,"",'Dvd Calendar'!$AN$1427)))</f>
        <v/>
      </c>
      <c r="AM144" s="161">
        <f>IF(FO144="","",IF(ISNUMBER('Dvd Calendar'!$AO$1427)=FALSE,"",IF((('Dvd Calendar'!$AO$1429=TYPE1)*(TYPE1&lt;&gt;"")+('Dvd Calendar'!$AO$1429=TYPE2)*(TYPE2&lt;&gt;"")+('Dvd Calendar'!$AO$1429=TYPE3)*(TYPE3&lt;&gt;"")+('Dvd Calendar'!$AO$1429=TYPE4)*(TYPE4&lt;&gt;"")+('Dvd Calendar'!$AO$1429=SPECIAL_LBL)*(INC_SPECIALS="Y"))=0,"",'Dvd Calendar'!$AO$1427)))</f>
        <v/>
      </c>
      <c r="AN144" s="161">
        <f>IF(FP144="","",IF(ISNUMBER('Dvd Calendar'!$AP$1427)=FALSE,"",IF((('Dvd Calendar'!$AP$1429=TYPE1)*(TYPE1&lt;&gt;"")+('Dvd Calendar'!$AP$1429=TYPE2)*(TYPE2&lt;&gt;"")+('Dvd Calendar'!$AP$1429=TYPE3)*(TYPE3&lt;&gt;"")+('Dvd Calendar'!$AP$1429=TYPE4)*(TYPE4&lt;&gt;"")+('Dvd Calendar'!$AP$1429=SPECIAL_LBL)*(INC_SPECIALS="Y"))=0,"",'Dvd Calendar'!$AP$1427)))</f>
        <v/>
      </c>
      <c r="AO144" s="161">
        <f>IF(FQ144="","",IF(ISNUMBER('Dvd Calendar'!$AQ$1427)=FALSE,"",IF((('Dvd Calendar'!$AQ$1429=TYPE1)*(TYPE1&lt;&gt;"")+('Dvd Calendar'!$AQ$1429=TYPE2)*(TYPE2&lt;&gt;"")+('Dvd Calendar'!$AQ$1429=TYPE3)*(TYPE3&lt;&gt;"")+('Dvd Calendar'!$AQ$1429=TYPE4)*(TYPE4&lt;&gt;"")+('Dvd Calendar'!$AQ$1429=SPECIAL_LBL)*(INC_SPECIALS="Y"))=0,"",'Dvd Calendar'!$AQ$1427)))</f>
        <v/>
      </c>
      <c r="AP144" s="161">
        <f>IF(FR144="","",IF(ISNUMBER('Dvd Calendar'!$AR$1427)=FALSE,"",IF((('Dvd Calendar'!$AR$1429=TYPE1)*(TYPE1&lt;&gt;"")+('Dvd Calendar'!$AR$1429=TYPE2)*(TYPE2&lt;&gt;"")+('Dvd Calendar'!$AR$1429=TYPE3)*(TYPE3&lt;&gt;"")+('Dvd Calendar'!$AR$1429=TYPE4)*(TYPE4&lt;&gt;"")+('Dvd Calendar'!$AR$1429=SPECIAL_LBL)*(INC_SPECIALS="Y"))=0,"",'Dvd Calendar'!$AR$1427)))</f>
        <v/>
      </c>
      <c r="AQ144" s="161">
        <f>IF(FS144="","",IF(ISNUMBER('Dvd Calendar'!$E$1432)=FALSE,"",'Dvd Calendar'!$E$1432))</f>
        <v/>
      </c>
      <c r="AR144" s="161">
        <f>IF(FT144="","",IF(ISNUMBER('Dvd Calendar'!$F$1432)=FALSE,"",'Dvd Calendar'!$F$1432))</f>
        <v/>
      </c>
      <c r="AS144" s="161">
        <f>IF(FU144="","",IF(ISNUMBER('Dvd Calendar'!$G$1432)=FALSE,"",'Dvd Calendar'!$G$1432))</f>
        <v/>
      </c>
      <c r="AT144" s="161">
        <f>IF(FV144="","",IF(ISNUMBER('Dvd Calendar'!$H$1432)=FALSE,"",'Dvd Calendar'!$H$1432))</f>
        <v/>
      </c>
      <c r="AU144" s="161">
        <f>IF(FW144="","",IF(ISNUMBER('Dvd Calendar'!$I$1432)=FALSE,"",'Dvd Calendar'!$I$1432))</f>
        <v/>
      </c>
      <c r="AV144" s="161">
        <f>IF(FX144="","",IF(ISNUMBER('Dvd Calendar'!$J$1432)=FALSE,"",'Dvd Calendar'!$J$1432))</f>
        <v/>
      </c>
      <c r="AW144" s="161">
        <f>IF(FY144="","",IF(ISNUMBER('Dvd Calendar'!$K$1432)=FALSE,"",'Dvd Calendar'!$K$1432))</f>
        <v/>
      </c>
      <c r="AX144" s="161">
        <f>IF(FZ144="","",IF(ISNUMBER('Dvd Calendar'!$L$1432)=FALSE,"",'Dvd Calendar'!$L$1432))</f>
        <v/>
      </c>
      <c r="AY144" s="161">
        <f>IF(GA144="","",IF(ISNUMBER('Dvd Calendar'!$M$1432)=FALSE,"",'Dvd Calendar'!$M$1432))</f>
        <v/>
      </c>
      <c r="AZ144" s="161">
        <f>IF(GB144="","",IF(ISNUMBER('Dvd Calendar'!$N$1432)=FALSE,"",'Dvd Calendar'!$N$1432))</f>
        <v/>
      </c>
      <c r="BA144" s="161">
        <f>IF(GC144="","",IF(ISNUMBER('Dvd Calendar'!$O$1432)=FALSE,"",'Dvd Calendar'!$O$1432))</f>
        <v/>
      </c>
      <c r="BB144" s="161">
        <f>IF(GD144="","",IF(ISNUMBER('Dvd Calendar'!$P$1432)=FALSE,"",'Dvd Calendar'!$P$1432))</f>
        <v/>
      </c>
      <c r="BC144" s="161">
        <f>IF(GE144="","",IF(ISNUMBER('Dvd Calendar'!$Q$1432)=FALSE,"",'Dvd Calendar'!$Q$1432))</f>
        <v/>
      </c>
      <c r="BD144" s="161">
        <f>IF(GF144="","",IF(ISNUMBER('Dvd Calendar'!$R$1432)=FALSE,"",'Dvd Calendar'!$R$1432))</f>
        <v/>
      </c>
      <c r="BE144" s="161">
        <f>IF(GG144="","",IF(ISNUMBER('Dvd Calendar'!$S$1432)=FALSE,"",'Dvd Calendar'!$S$1432))</f>
        <v/>
      </c>
      <c r="BF144" s="161">
        <f>IF(GH144="","",IF(ISNUMBER('Dvd Calendar'!$T$1432)=FALSE,"",'Dvd Calendar'!$T$1432))</f>
        <v/>
      </c>
      <c r="BG144" s="161">
        <f>IF(GI144="","",IF(ISNUMBER('Dvd Calendar'!$U$1432)=FALSE,"",'Dvd Calendar'!$U$1432))</f>
        <v/>
      </c>
      <c r="BH144" s="161">
        <f>IF(GJ144="","",IF(ISNUMBER('Dvd Calendar'!$V$1432)=FALSE,"",'Dvd Calendar'!$V$1432))</f>
        <v/>
      </c>
      <c r="BI144" s="161">
        <f>IF(GK144="","",IF(ISNUMBER('Dvd Calendar'!$W$1432)=FALSE,"",'Dvd Calendar'!$W$1432))</f>
        <v/>
      </c>
      <c r="BJ144" s="161">
        <f>IF(GL144="","",IF(ISNUMBER('Dvd Calendar'!$X$1432)=FALSE,"",'Dvd Calendar'!$X$1432))</f>
        <v/>
      </c>
      <c r="BK144" s="161">
        <f>IF(GM144="","",IF(ISNUMBER('Dvd Calendar'!$Y$1432)=FALSE,"",'Dvd Calendar'!$Y$1432))</f>
        <v/>
      </c>
      <c r="BL144" s="161">
        <f>IF(GN144="","",IF(ISNUMBER('Dvd Calendar'!$Z$1432)=FALSE,"",'Dvd Calendar'!$Z$1432))</f>
        <v/>
      </c>
      <c r="BM144" s="161">
        <f>IF(GO144="","",IF(ISNUMBER('Dvd Calendar'!$AA$1432)=FALSE,"",'Dvd Calendar'!$AA$1432))</f>
        <v/>
      </c>
      <c r="BN144" s="161">
        <f>IF(GP144="","",IF(ISNUMBER('Dvd Calendar'!$AB$1432)=FALSE,"",'Dvd Calendar'!$AB$1432))</f>
        <v/>
      </c>
      <c r="BO144" s="161">
        <f>IF(GQ144="","",IF(ISNUMBER('Dvd Calendar'!$AC$1432)=FALSE,"",'Dvd Calendar'!$AC$1432))</f>
        <v/>
      </c>
      <c r="BQ144" s="161">
        <f>IF(C144="","",IFERROR(C144*HSTECH!$B$35*HSTECH!$G$35/HSTECH!$B$3,""))</f>
        <v/>
      </c>
      <c r="BR144" s="161">
        <f>IF(D144="","",IFERROR(D144*HSTECH!$B$35*HSTECH!$G$35/HSTECH!$B$3,""))</f>
        <v/>
      </c>
      <c r="BS144" s="161">
        <f>IF(E144="","",IFERROR(E144*HSTECH!$B$35*HSTECH!$G$35/HSTECH!$B$3,""))</f>
        <v/>
      </c>
      <c r="BT144" s="161">
        <f>IF(F144="","",IFERROR(F144*HSTECH!$B$35*HSTECH!$G$35/HSTECH!$B$3,""))</f>
        <v/>
      </c>
      <c r="BU144" s="161">
        <f>IF(G144="","",IFERROR(G144*HSTECH!$B$35*HSTECH!$G$35/HSTECH!$B$3,""))</f>
        <v/>
      </c>
      <c r="BV144" s="161">
        <f>IF(H144="","",IFERROR(H144*HSTECH!$B$35*HSTECH!$G$35/HSTECH!$B$3,""))</f>
        <v/>
      </c>
      <c r="BW144" s="161">
        <f>IF(I144="","",IFERROR(I144*HSTECH!$B$35*HSTECH!$G$35/HSTECH!$B$3,""))</f>
        <v/>
      </c>
      <c r="BX144" s="161">
        <f>IF(J144="","",IFERROR(J144*HSTECH!$B$35*HSTECH!$G$35/HSTECH!$B$3,""))</f>
        <v/>
      </c>
      <c r="BY144" s="161">
        <f>IF(K144="","",IFERROR(K144*HSTECH!$B$35*HSTECH!$G$35/HSTECH!$B$3,""))</f>
        <v/>
      </c>
      <c r="BZ144" s="161">
        <f>IF(L144="","",IFERROR(L144*HSTECH!$B$35*HSTECH!$G$35/HSTECH!$B$3,""))</f>
        <v/>
      </c>
      <c r="CA144" s="161">
        <f>IF(M144="","",IFERROR(M144*HSTECH!$B$35*HSTECH!$G$35/HSTECH!$B$3,""))</f>
        <v/>
      </c>
      <c r="CB144" s="161">
        <f>IF(N144="","",IFERROR(N144*HSTECH!$B$35*HSTECH!$G$35/HSTECH!$B$3,""))</f>
        <v/>
      </c>
      <c r="CC144" s="161">
        <f>IF(O144="","",IFERROR(O144*HSTECH!$B$35*HSTECH!$G$35/HSTECH!$B$3,""))</f>
        <v/>
      </c>
      <c r="CD144" s="161">
        <f>IF(P144="","",IFERROR(P144*HSTECH!$B$35*HSTECH!$G$35/HSTECH!$B$3,""))</f>
        <v/>
      </c>
      <c r="CE144" s="161">
        <f>IF(Q144="","",IFERROR(Q144*HSTECH!$B$35*HSTECH!$G$35/HSTECH!$B$3,""))</f>
        <v/>
      </c>
      <c r="CF144" s="161">
        <f>IF(R144="","",IFERROR(R144*HSTECH!$B$35*HSTECH!$G$35/HSTECH!$B$3,""))</f>
        <v/>
      </c>
      <c r="CG144" s="161">
        <f>IF(S144="","",IFERROR(S144*HSTECH!$B$35*HSTECH!$G$35/HSTECH!$B$3,""))</f>
        <v/>
      </c>
      <c r="CH144" s="161">
        <f>IF(T144="","",IFERROR(T144*HSTECH!$B$35*HSTECH!$G$35/HSTECH!$B$3,""))</f>
        <v/>
      </c>
      <c r="CI144" s="161">
        <f>IF(U144="","",IFERROR(U144*HSTECH!$B$35*HSTECH!$G$35/HSTECH!$B$3,""))</f>
        <v/>
      </c>
      <c r="CJ144" s="161">
        <f>IF(V144="","",IFERROR(V144*HSTECH!$B$35*HSTECH!$G$35/HSTECH!$B$3,""))</f>
        <v/>
      </c>
      <c r="CK144" s="161">
        <f>IF(W144="","",IFERROR(W144*HSTECH!$B$35*HSTECH!$G$35/HSTECH!$B$3,""))</f>
        <v/>
      </c>
      <c r="CL144" s="161">
        <f>IF(X144="","",IFERROR(X144*HSTECH!$B$35*HSTECH!$G$35/HSTECH!$B$3,""))</f>
        <v/>
      </c>
      <c r="CM144" s="161">
        <f>IF(Y144="","",IFERROR(Y144*HSTECH!$B$35*HSTECH!$G$35/HSTECH!$B$3,""))</f>
        <v/>
      </c>
      <c r="CN144" s="161">
        <f>IF(Z144="","",IFERROR(Z144*HSTECH!$B$35*HSTECH!$G$35/HSTECH!$B$3,""))</f>
        <v/>
      </c>
      <c r="CO144" s="161">
        <f>IF(AA144="","",IFERROR(AA144*HSTECH!$B$35*HSTECH!$G$35/HSTECH!$B$3,""))</f>
        <v/>
      </c>
      <c r="CP144" s="161">
        <f>IF(AB144="","",IFERROR(AB144*HSTECH!$B$35*HSTECH!$G$35/HSTECH!$B$3,""))</f>
        <v/>
      </c>
      <c r="CQ144" s="161">
        <f>IF(AC144="","",IFERROR(AC144*HSTECH!$B$35*HSTECH!$G$35/HSTECH!$B$3,""))</f>
        <v/>
      </c>
      <c r="CR144" s="161">
        <f>IF(AD144="","",IFERROR(AD144*HSTECH!$B$35*HSTECH!$G$35/HSTECH!$B$3,""))</f>
        <v/>
      </c>
      <c r="CS144" s="161">
        <f>IF(AE144="","",IFERROR(AE144*HSTECH!$B$35*HSTECH!$G$35/HSTECH!$B$3,""))</f>
        <v/>
      </c>
      <c r="CT144" s="161">
        <f>IF(AF144="","",IFERROR(AF144*HSTECH!$B$35*HSTECH!$G$35/HSTECH!$B$3,""))</f>
        <v/>
      </c>
      <c r="CU144" s="161">
        <f>IF(AG144="","",IFERROR(AG144*HSTECH!$B$35*HSTECH!$G$35/HSTECH!$B$3,""))</f>
        <v/>
      </c>
      <c r="CV144" s="161">
        <f>IF(AH144="","",IFERROR(AH144*HSTECH!$B$35*HSTECH!$G$35/HSTECH!$B$3,""))</f>
        <v/>
      </c>
      <c r="CW144" s="161">
        <f>IF(AI144="","",IFERROR(AI144*HSTECH!$B$35*HSTECH!$G$35/HSTECH!$B$3,""))</f>
        <v/>
      </c>
      <c r="CX144" s="161">
        <f>IF(AJ144="","",IFERROR(AJ144*HSTECH!$B$35*HSTECH!$G$35/HSTECH!$B$3,""))</f>
        <v/>
      </c>
      <c r="CY144" s="161">
        <f>IF(AK144="","",IFERROR(AK144*HSTECH!$B$35*HSTECH!$G$35/HSTECH!$B$3,""))</f>
        <v/>
      </c>
      <c r="CZ144" s="161">
        <f>IF(AL144="","",IFERROR(AL144*HSTECH!$B$35*HSTECH!$G$35/HSTECH!$B$3,""))</f>
        <v/>
      </c>
      <c r="DA144" s="161">
        <f>IF(AM144="","",IFERROR(AM144*HSTECH!$B$35*HSTECH!$G$35/HSTECH!$B$3,""))</f>
        <v/>
      </c>
      <c r="DB144" s="161">
        <f>IF(AN144="","",IFERROR(AN144*HSTECH!$B$35*HSTECH!$G$35/HSTECH!$B$3,""))</f>
        <v/>
      </c>
      <c r="DC144" s="161">
        <f>IF(AO144="","",IFERROR(AO144*HSTECH!$B$35*HSTECH!$G$35/HSTECH!$B$3,""))</f>
        <v/>
      </c>
      <c r="DD144" s="161">
        <f>IF(AP144="","",IFERROR(AP144*HSTECH!$B$35*HSTECH!$G$35/HSTECH!$B$3,""))</f>
        <v/>
      </c>
      <c r="DE144" s="161">
        <f>IF(AQ144="","",IFERROR(AQ144*HSTECH!$B$35*HSTECH!$G$35/HSTECH!$B$3,""))</f>
        <v/>
      </c>
      <c r="DF144" s="161">
        <f>IF(AR144="","",IFERROR(AR144*HSTECH!$B$35*HSTECH!$G$35/HSTECH!$B$3,""))</f>
        <v/>
      </c>
      <c r="DG144" s="161">
        <f>IF(AS144="","",IFERROR(AS144*HSTECH!$B$35*HSTECH!$G$35/HSTECH!$B$3,""))</f>
        <v/>
      </c>
      <c r="DH144" s="161">
        <f>IF(AT144="","",IFERROR(AT144*HSTECH!$B$35*HSTECH!$G$35/HSTECH!$B$3,""))</f>
        <v/>
      </c>
      <c r="DI144" s="161">
        <f>IF(AU144="","",IFERROR(AU144*HSTECH!$B$35*HSTECH!$G$35/HSTECH!$B$3,""))</f>
        <v/>
      </c>
      <c r="DJ144" s="161">
        <f>IF(AV144="","",IFERROR(AV144*HSTECH!$B$35*HSTECH!$G$35/HSTECH!$B$3,""))</f>
        <v/>
      </c>
      <c r="DK144" s="161">
        <f>IF(AW144="","",IFERROR(AW144*HSTECH!$B$35*HSTECH!$G$35/HSTECH!$B$3,""))</f>
        <v/>
      </c>
      <c r="DL144" s="161">
        <f>IF(AX144="","",IFERROR(AX144*HSTECH!$B$35*HSTECH!$G$35/HSTECH!$B$3,""))</f>
        <v/>
      </c>
      <c r="DM144" s="161">
        <f>IF(AY144="","",IFERROR(AY144*HSTECH!$B$35*HSTECH!$G$35/HSTECH!$B$3,""))</f>
        <v/>
      </c>
      <c r="DN144" s="161">
        <f>IF(AZ144="","",IFERROR(AZ144*HSTECH!$B$35*HSTECH!$G$35/HSTECH!$B$3,""))</f>
        <v/>
      </c>
      <c r="DO144" s="161">
        <f>IF(BA144="","",IFERROR(BA144*HSTECH!$B$35*HSTECH!$G$35/HSTECH!$B$3,""))</f>
        <v/>
      </c>
      <c r="DP144" s="161">
        <f>IF(BB144="","",IFERROR(BB144*HSTECH!$B$35*HSTECH!$G$35/HSTECH!$B$3,""))</f>
        <v/>
      </c>
      <c r="DQ144" s="161">
        <f>IF(BC144="","",IFERROR(BC144*HSTECH!$B$35*HSTECH!$G$35/HSTECH!$B$3,""))</f>
        <v/>
      </c>
      <c r="DR144" s="161">
        <f>IF(BD144="","",IFERROR(BD144*HSTECH!$B$35*HSTECH!$G$35/HSTECH!$B$3,""))</f>
        <v/>
      </c>
      <c r="DS144" s="161">
        <f>IF(BE144="","",IFERROR(BE144*HSTECH!$B$35*HSTECH!$G$35/HSTECH!$B$3,""))</f>
        <v/>
      </c>
      <c r="DT144" s="161">
        <f>IF(BF144="","",IFERROR(BF144*HSTECH!$B$35*HSTECH!$G$35/HSTECH!$B$3,""))</f>
        <v/>
      </c>
      <c r="DU144" s="161">
        <f>IF(BG144="","",IFERROR(BG144*HSTECH!$B$35*HSTECH!$G$35/HSTECH!$B$3,""))</f>
        <v/>
      </c>
      <c r="DV144" s="161">
        <f>IF(BH144="","",IFERROR(BH144*HSTECH!$B$35*HSTECH!$G$35/HSTECH!$B$3,""))</f>
        <v/>
      </c>
      <c r="DW144" s="161">
        <f>IF(BI144="","",IFERROR(BI144*HSTECH!$B$35*HSTECH!$G$35/HSTECH!$B$3,""))</f>
        <v/>
      </c>
      <c r="DX144" s="161">
        <f>IF(BJ144="","",IFERROR(BJ144*HSTECH!$B$35*HSTECH!$G$35/HSTECH!$B$3,""))</f>
        <v/>
      </c>
      <c r="DY144" s="161">
        <f>IF(BK144="","",IFERROR(BK144*HSTECH!$B$35*HSTECH!$G$35/HSTECH!$B$3,""))</f>
        <v/>
      </c>
      <c r="DZ144" s="161">
        <f>IF(BL144="","",IFERROR(BL144*HSTECH!$B$35*HSTECH!$G$35/HSTECH!$B$3,""))</f>
        <v/>
      </c>
      <c r="EA144" s="161">
        <f>IF(BM144="","",IFERROR(BM144*HSTECH!$B$35*HSTECH!$G$35/HSTECH!$B$3,""))</f>
        <v/>
      </c>
      <c r="EB144" s="161">
        <f>IF(BN144="","",IFERROR(BN144*HSTECH!$B$35*HSTECH!$G$35/HSTECH!$B$3,""))</f>
        <v/>
      </c>
      <c r="EC144" s="161">
        <f>IF(BO144="","",IFERROR(BO144*HSTECH!$B$35*HSTECH!$G$35/HSTECH!$B$3,""))</f>
        <v/>
      </c>
      <c r="EE144" s="121">
        <f>IF(N('Dvd Calendar'!$E$1424)=0,"",IF(('Dvd Calendar'!$E$1424&gt;=GRID_FROM)*('Dvd Calendar'!$E$1424&lt;=GRID_TO)*((('Dvd Calendar'!$E$1424&lt;=VAL_DATE)+(COUNTIF('Dvd Calendar'!$E$1431:$AR$1431,'Dvd Calendar'!$E$1424)=0))&gt;0)=0,"",'Dvd Calendar'!$E$1424*1000000000+ISNUMBER('Dvd Calendar'!$E$1427)*100000000+('Dvd Calendar'!$E$1429=SPECIAL_LBL)*10000000+(N('Dvd Calendar'!$E$1423)&gt;0)*(N('Dvd Calendar'!$E$1423)&lt;=VAL_SERIAL)*1000000+29*1000+1))</f>
        <v/>
      </c>
      <c r="EF144" s="121">
        <f>IF(N('Dvd Calendar'!$F$1424)=0,"",IF(('Dvd Calendar'!$F$1424&gt;=GRID_FROM)*('Dvd Calendar'!$F$1424&lt;=GRID_TO)*((('Dvd Calendar'!$F$1424&lt;=VAL_DATE)+(COUNTIF('Dvd Calendar'!$E$1431:$AR$1431,'Dvd Calendar'!$F$1424)=0))&gt;0)=0,"",'Dvd Calendar'!$F$1424*1000000000+ISNUMBER('Dvd Calendar'!$F$1427)*100000000+('Dvd Calendar'!$F$1429=SPECIAL_LBL)*10000000+(N('Dvd Calendar'!$F$1423)&gt;0)*(N('Dvd Calendar'!$F$1423)&lt;=VAL_SERIAL)*1000000+29*1000+2))</f>
        <v/>
      </c>
      <c r="EG144" s="121">
        <f>IF(N('Dvd Calendar'!$G$1424)=0,"",IF(('Dvd Calendar'!$G$1424&gt;=GRID_FROM)*('Dvd Calendar'!$G$1424&lt;=GRID_TO)*((('Dvd Calendar'!$G$1424&lt;=VAL_DATE)+(COUNTIF('Dvd Calendar'!$E$1431:$AR$1431,'Dvd Calendar'!$G$1424)=0))&gt;0)=0,"",'Dvd Calendar'!$G$1424*1000000000+ISNUMBER('Dvd Calendar'!$G$1427)*100000000+('Dvd Calendar'!$G$1429=SPECIAL_LBL)*10000000+(N('Dvd Calendar'!$G$1423)&gt;0)*(N('Dvd Calendar'!$G$1423)&lt;=VAL_SERIAL)*1000000+29*1000+3))</f>
        <v/>
      </c>
      <c r="EH144" s="121">
        <f>IF(N('Dvd Calendar'!$H$1424)=0,"",IF(('Dvd Calendar'!$H$1424&gt;=GRID_FROM)*('Dvd Calendar'!$H$1424&lt;=GRID_TO)*((('Dvd Calendar'!$H$1424&lt;=VAL_DATE)+(COUNTIF('Dvd Calendar'!$E$1431:$AR$1431,'Dvd Calendar'!$H$1424)=0))&gt;0)=0,"",'Dvd Calendar'!$H$1424*1000000000+ISNUMBER('Dvd Calendar'!$H$1427)*100000000+('Dvd Calendar'!$H$1429=SPECIAL_LBL)*10000000+(N('Dvd Calendar'!$H$1423)&gt;0)*(N('Dvd Calendar'!$H$1423)&lt;=VAL_SERIAL)*1000000+29*1000+4))</f>
        <v/>
      </c>
      <c r="EI144" s="121">
        <f>IF(N('Dvd Calendar'!$I$1424)=0,"",IF(('Dvd Calendar'!$I$1424&gt;=GRID_FROM)*('Dvd Calendar'!$I$1424&lt;=GRID_TO)*((('Dvd Calendar'!$I$1424&lt;=VAL_DATE)+(COUNTIF('Dvd Calendar'!$E$1431:$AR$1431,'Dvd Calendar'!$I$1424)=0))&gt;0)=0,"",'Dvd Calendar'!$I$1424*1000000000+ISNUMBER('Dvd Calendar'!$I$1427)*100000000+('Dvd Calendar'!$I$1429=SPECIAL_LBL)*10000000+(N('Dvd Calendar'!$I$1423)&gt;0)*(N('Dvd Calendar'!$I$1423)&lt;=VAL_SERIAL)*1000000+29*1000+5))</f>
        <v/>
      </c>
      <c r="EJ144" s="121">
        <f>IF(N('Dvd Calendar'!$J$1424)=0,"",IF(('Dvd Calendar'!$J$1424&gt;=GRID_FROM)*('Dvd Calendar'!$J$1424&lt;=GRID_TO)*((('Dvd Calendar'!$J$1424&lt;=VAL_DATE)+(COUNTIF('Dvd Calendar'!$E$1431:$AR$1431,'Dvd Calendar'!$J$1424)=0))&gt;0)=0,"",'Dvd Calendar'!$J$1424*1000000000+ISNUMBER('Dvd Calendar'!$J$1427)*100000000+('Dvd Calendar'!$J$1429=SPECIAL_LBL)*10000000+(N('Dvd Calendar'!$J$1423)&gt;0)*(N('Dvd Calendar'!$J$1423)&lt;=VAL_SERIAL)*1000000+29*1000+6))</f>
        <v/>
      </c>
      <c r="EK144" s="121">
        <f>IF(N('Dvd Calendar'!$K$1424)=0,"",IF(('Dvd Calendar'!$K$1424&gt;=GRID_FROM)*('Dvd Calendar'!$K$1424&lt;=GRID_TO)*((('Dvd Calendar'!$K$1424&lt;=VAL_DATE)+(COUNTIF('Dvd Calendar'!$E$1431:$AR$1431,'Dvd Calendar'!$K$1424)=0))&gt;0)=0,"",'Dvd Calendar'!$K$1424*1000000000+ISNUMBER('Dvd Calendar'!$K$1427)*100000000+('Dvd Calendar'!$K$1429=SPECIAL_LBL)*10000000+(N('Dvd Calendar'!$K$1423)&gt;0)*(N('Dvd Calendar'!$K$1423)&lt;=VAL_SERIAL)*1000000+29*1000+7))</f>
        <v/>
      </c>
      <c r="EL144" s="121">
        <f>IF(N('Dvd Calendar'!$L$1424)=0,"",IF(('Dvd Calendar'!$L$1424&gt;=GRID_FROM)*('Dvd Calendar'!$L$1424&lt;=GRID_TO)*((('Dvd Calendar'!$L$1424&lt;=VAL_DATE)+(COUNTIF('Dvd Calendar'!$E$1431:$AR$1431,'Dvd Calendar'!$L$1424)=0))&gt;0)=0,"",'Dvd Calendar'!$L$1424*1000000000+ISNUMBER('Dvd Calendar'!$L$1427)*100000000+('Dvd Calendar'!$L$1429=SPECIAL_LBL)*10000000+(N('Dvd Calendar'!$L$1423)&gt;0)*(N('Dvd Calendar'!$L$1423)&lt;=VAL_SERIAL)*1000000+29*1000+8))</f>
        <v/>
      </c>
      <c r="EM144" s="121">
        <f>IF(N('Dvd Calendar'!$M$1424)=0,"",IF(('Dvd Calendar'!$M$1424&gt;=GRID_FROM)*('Dvd Calendar'!$M$1424&lt;=GRID_TO)*((('Dvd Calendar'!$M$1424&lt;=VAL_DATE)+(COUNTIF('Dvd Calendar'!$E$1431:$AR$1431,'Dvd Calendar'!$M$1424)=0))&gt;0)=0,"",'Dvd Calendar'!$M$1424*1000000000+ISNUMBER('Dvd Calendar'!$M$1427)*100000000+('Dvd Calendar'!$M$1429=SPECIAL_LBL)*10000000+(N('Dvd Calendar'!$M$1423)&gt;0)*(N('Dvd Calendar'!$M$1423)&lt;=VAL_SERIAL)*1000000+29*1000+9))</f>
        <v/>
      </c>
      <c r="EN144" s="121">
        <f>IF(N('Dvd Calendar'!$N$1424)=0,"",IF(('Dvd Calendar'!$N$1424&gt;=GRID_FROM)*('Dvd Calendar'!$N$1424&lt;=GRID_TO)*((('Dvd Calendar'!$N$1424&lt;=VAL_DATE)+(COUNTIF('Dvd Calendar'!$E$1431:$AR$1431,'Dvd Calendar'!$N$1424)=0))&gt;0)=0,"",'Dvd Calendar'!$N$1424*1000000000+ISNUMBER('Dvd Calendar'!$N$1427)*100000000+('Dvd Calendar'!$N$1429=SPECIAL_LBL)*10000000+(N('Dvd Calendar'!$N$1423)&gt;0)*(N('Dvd Calendar'!$N$1423)&lt;=VAL_SERIAL)*1000000+29*1000+10))</f>
        <v/>
      </c>
      <c r="EO144" s="121">
        <f>IF(N('Dvd Calendar'!$O$1424)=0,"",IF(('Dvd Calendar'!$O$1424&gt;=GRID_FROM)*('Dvd Calendar'!$O$1424&lt;=GRID_TO)*((('Dvd Calendar'!$O$1424&lt;=VAL_DATE)+(COUNTIF('Dvd Calendar'!$E$1431:$AR$1431,'Dvd Calendar'!$O$1424)=0))&gt;0)=0,"",'Dvd Calendar'!$O$1424*1000000000+ISNUMBER('Dvd Calendar'!$O$1427)*100000000+('Dvd Calendar'!$O$1429=SPECIAL_LBL)*10000000+(N('Dvd Calendar'!$O$1423)&gt;0)*(N('Dvd Calendar'!$O$1423)&lt;=VAL_SERIAL)*1000000+29*1000+11))</f>
        <v/>
      </c>
      <c r="EP144" s="121">
        <f>IF(N('Dvd Calendar'!$P$1424)=0,"",IF(('Dvd Calendar'!$P$1424&gt;=GRID_FROM)*('Dvd Calendar'!$P$1424&lt;=GRID_TO)*((('Dvd Calendar'!$P$1424&lt;=VAL_DATE)+(COUNTIF('Dvd Calendar'!$E$1431:$AR$1431,'Dvd Calendar'!$P$1424)=0))&gt;0)=0,"",'Dvd Calendar'!$P$1424*1000000000+ISNUMBER('Dvd Calendar'!$P$1427)*100000000+('Dvd Calendar'!$P$1429=SPECIAL_LBL)*10000000+(N('Dvd Calendar'!$P$1423)&gt;0)*(N('Dvd Calendar'!$P$1423)&lt;=VAL_SERIAL)*1000000+29*1000+12))</f>
        <v/>
      </c>
      <c r="EQ144" s="121">
        <f>IF(N('Dvd Calendar'!$Q$1424)=0,"",IF(('Dvd Calendar'!$Q$1424&gt;=GRID_FROM)*('Dvd Calendar'!$Q$1424&lt;=GRID_TO)*((('Dvd Calendar'!$Q$1424&lt;=VAL_DATE)+(COUNTIF('Dvd Calendar'!$E$1431:$AR$1431,'Dvd Calendar'!$Q$1424)=0))&gt;0)=0,"",'Dvd Calendar'!$Q$1424*1000000000+ISNUMBER('Dvd Calendar'!$Q$1427)*100000000+('Dvd Calendar'!$Q$1429=SPECIAL_LBL)*10000000+(N('Dvd Calendar'!$Q$1423)&gt;0)*(N('Dvd Calendar'!$Q$1423)&lt;=VAL_SERIAL)*1000000+29*1000+13))</f>
        <v/>
      </c>
      <c r="ER144" s="121">
        <f>IF(N('Dvd Calendar'!$R$1424)=0,"",IF(('Dvd Calendar'!$R$1424&gt;=GRID_FROM)*('Dvd Calendar'!$R$1424&lt;=GRID_TO)*((('Dvd Calendar'!$R$1424&lt;=VAL_DATE)+(COUNTIF('Dvd Calendar'!$E$1431:$AR$1431,'Dvd Calendar'!$R$1424)=0))&gt;0)=0,"",'Dvd Calendar'!$R$1424*1000000000+ISNUMBER('Dvd Calendar'!$R$1427)*100000000+('Dvd Calendar'!$R$1429=SPECIAL_LBL)*10000000+(N('Dvd Calendar'!$R$1423)&gt;0)*(N('Dvd Calendar'!$R$1423)&lt;=VAL_SERIAL)*1000000+29*1000+14))</f>
        <v/>
      </c>
      <c r="ES144" s="121">
        <f>IF(N('Dvd Calendar'!$S$1424)=0,"",IF(('Dvd Calendar'!$S$1424&gt;=GRID_FROM)*('Dvd Calendar'!$S$1424&lt;=GRID_TO)*((('Dvd Calendar'!$S$1424&lt;=VAL_DATE)+(COUNTIF('Dvd Calendar'!$E$1431:$AR$1431,'Dvd Calendar'!$S$1424)=0))&gt;0)=0,"",'Dvd Calendar'!$S$1424*1000000000+ISNUMBER('Dvd Calendar'!$S$1427)*100000000+('Dvd Calendar'!$S$1429=SPECIAL_LBL)*10000000+(N('Dvd Calendar'!$S$1423)&gt;0)*(N('Dvd Calendar'!$S$1423)&lt;=VAL_SERIAL)*1000000+29*1000+15))</f>
        <v/>
      </c>
      <c r="ET144" s="121">
        <f>IF(N('Dvd Calendar'!$T$1424)=0,"",IF(('Dvd Calendar'!$T$1424&gt;=GRID_FROM)*('Dvd Calendar'!$T$1424&lt;=GRID_TO)*((('Dvd Calendar'!$T$1424&lt;=VAL_DATE)+(COUNTIF('Dvd Calendar'!$E$1431:$AR$1431,'Dvd Calendar'!$T$1424)=0))&gt;0)=0,"",'Dvd Calendar'!$T$1424*1000000000+ISNUMBER('Dvd Calendar'!$T$1427)*100000000+('Dvd Calendar'!$T$1429=SPECIAL_LBL)*10000000+(N('Dvd Calendar'!$T$1423)&gt;0)*(N('Dvd Calendar'!$T$1423)&lt;=VAL_SERIAL)*1000000+29*1000+16))</f>
        <v/>
      </c>
      <c r="EU144" s="121">
        <f>IF(N('Dvd Calendar'!$U$1424)=0,"",IF(('Dvd Calendar'!$U$1424&gt;=GRID_FROM)*('Dvd Calendar'!$U$1424&lt;=GRID_TO)*((('Dvd Calendar'!$U$1424&lt;=VAL_DATE)+(COUNTIF('Dvd Calendar'!$E$1431:$AR$1431,'Dvd Calendar'!$U$1424)=0))&gt;0)=0,"",'Dvd Calendar'!$U$1424*1000000000+ISNUMBER('Dvd Calendar'!$U$1427)*100000000+('Dvd Calendar'!$U$1429=SPECIAL_LBL)*10000000+(N('Dvd Calendar'!$U$1423)&gt;0)*(N('Dvd Calendar'!$U$1423)&lt;=VAL_SERIAL)*1000000+29*1000+17))</f>
        <v/>
      </c>
      <c r="EV144" s="121">
        <f>IF(N('Dvd Calendar'!$V$1424)=0,"",IF(('Dvd Calendar'!$V$1424&gt;=GRID_FROM)*('Dvd Calendar'!$V$1424&lt;=GRID_TO)*((('Dvd Calendar'!$V$1424&lt;=VAL_DATE)+(COUNTIF('Dvd Calendar'!$E$1431:$AR$1431,'Dvd Calendar'!$V$1424)=0))&gt;0)=0,"",'Dvd Calendar'!$V$1424*1000000000+ISNUMBER('Dvd Calendar'!$V$1427)*100000000+('Dvd Calendar'!$V$1429=SPECIAL_LBL)*10000000+(N('Dvd Calendar'!$V$1423)&gt;0)*(N('Dvd Calendar'!$V$1423)&lt;=VAL_SERIAL)*1000000+29*1000+18))</f>
        <v/>
      </c>
      <c r="EW144" s="121">
        <f>IF(N('Dvd Calendar'!$W$1424)=0,"",IF(('Dvd Calendar'!$W$1424&gt;=GRID_FROM)*('Dvd Calendar'!$W$1424&lt;=GRID_TO)*((('Dvd Calendar'!$W$1424&lt;=VAL_DATE)+(COUNTIF('Dvd Calendar'!$E$1431:$AR$1431,'Dvd Calendar'!$W$1424)=0))&gt;0)=0,"",'Dvd Calendar'!$W$1424*1000000000+ISNUMBER('Dvd Calendar'!$W$1427)*100000000+('Dvd Calendar'!$W$1429=SPECIAL_LBL)*10000000+(N('Dvd Calendar'!$W$1423)&gt;0)*(N('Dvd Calendar'!$W$1423)&lt;=VAL_SERIAL)*1000000+29*1000+19))</f>
        <v/>
      </c>
      <c r="EX144" s="121">
        <f>IF(N('Dvd Calendar'!$X$1424)=0,"",IF(('Dvd Calendar'!$X$1424&gt;=GRID_FROM)*('Dvd Calendar'!$X$1424&lt;=GRID_TO)*((('Dvd Calendar'!$X$1424&lt;=VAL_DATE)+(COUNTIF('Dvd Calendar'!$E$1431:$AR$1431,'Dvd Calendar'!$X$1424)=0))&gt;0)=0,"",'Dvd Calendar'!$X$1424*1000000000+ISNUMBER('Dvd Calendar'!$X$1427)*100000000+('Dvd Calendar'!$X$1429=SPECIAL_LBL)*10000000+(N('Dvd Calendar'!$X$1423)&gt;0)*(N('Dvd Calendar'!$X$1423)&lt;=VAL_SERIAL)*1000000+29*1000+20))</f>
        <v/>
      </c>
      <c r="EY144" s="121">
        <f>IF(N('Dvd Calendar'!$Y$1424)=0,"",IF(('Dvd Calendar'!$Y$1424&gt;=GRID_FROM)*('Dvd Calendar'!$Y$1424&lt;=GRID_TO)*((('Dvd Calendar'!$Y$1424&lt;=VAL_DATE)+(COUNTIF('Dvd Calendar'!$E$1431:$AR$1431,'Dvd Calendar'!$Y$1424)=0))&gt;0)=0,"",'Dvd Calendar'!$Y$1424*1000000000+ISNUMBER('Dvd Calendar'!$Y$1427)*100000000+('Dvd Calendar'!$Y$1429=SPECIAL_LBL)*10000000+(N('Dvd Calendar'!$Y$1423)&gt;0)*(N('Dvd Calendar'!$Y$1423)&lt;=VAL_SERIAL)*1000000+29*1000+21))</f>
        <v/>
      </c>
      <c r="EZ144" s="121">
        <f>IF(N('Dvd Calendar'!$Z$1424)=0,"",IF(('Dvd Calendar'!$Z$1424&gt;=GRID_FROM)*('Dvd Calendar'!$Z$1424&lt;=GRID_TO)*((('Dvd Calendar'!$Z$1424&lt;=VAL_DATE)+(COUNTIF('Dvd Calendar'!$E$1431:$AR$1431,'Dvd Calendar'!$Z$1424)=0))&gt;0)=0,"",'Dvd Calendar'!$Z$1424*1000000000+ISNUMBER('Dvd Calendar'!$Z$1427)*100000000+('Dvd Calendar'!$Z$1429=SPECIAL_LBL)*10000000+(N('Dvd Calendar'!$Z$1423)&gt;0)*(N('Dvd Calendar'!$Z$1423)&lt;=VAL_SERIAL)*1000000+29*1000+22))</f>
        <v/>
      </c>
      <c r="FA144" s="121">
        <f>IF(N('Dvd Calendar'!$AA$1424)=0,"",IF(('Dvd Calendar'!$AA$1424&gt;=GRID_FROM)*('Dvd Calendar'!$AA$1424&lt;=GRID_TO)*((('Dvd Calendar'!$AA$1424&lt;=VAL_DATE)+(COUNTIF('Dvd Calendar'!$E$1431:$AR$1431,'Dvd Calendar'!$AA$1424)=0))&gt;0)=0,"",'Dvd Calendar'!$AA$1424*1000000000+ISNUMBER('Dvd Calendar'!$AA$1427)*100000000+('Dvd Calendar'!$AA$1429=SPECIAL_LBL)*10000000+(N('Dvd Calendar'!$AA$1423)&gt;0)*(N('Dvd Calendar'!$AA$1423)&lt;=VAL_SERIAL)*1000000+29*1000+23))</f>
        <v/>
      </c>
      <c r="FB144" s="121">
        <f>IF(N('Dvd Calendar'!$AB$1424)=0,"",IF(('Dvd Calendar'!$AB$1424&gt;=GRID_FROM)*('Dvd Calendar'!$AB$1424&lt;=GRID_TO)*((('Dvd Calendar'!$AB$1424&lt;=VAL_DATE)+(COUNTIF('Dvd Calendar'!$E$1431:$AR$1431,'Dvd Calendar'!$AB$1424)=0))&gt;0)=0,"",'Dvd Calendar'!$AB$1424*1000000000+ISNUMBER('Dvd Calendar'!$AB$1427)*100000000+('Dvd Calendar'!$AB$1429=SPECIAL_LBL)*10000000+(N('Dvd Calendar'!$AB$1423)&gt;0)*(N('Dvd Calendar'!$AB$1423)&lt;=VAL_SERIAL)*1000000+29*1000+24))</f>
        <v/>
      </c>
      <c r="FC144" s="121">
        <f>IF(N('Dvd Calendar'!$AC$1424)=0,"",IF(('Dvd Calendar'!$AC$1424&gt;=GRID_FROM)*('Dvd Calendar'!$AC$1424&lt;=GRID_TO)*((('Dvd Calendar'!$AC$1424&lt;=VAL_DATE)+(COUNTIF('Dvd Calendar'!$E$1431:$AR$1431,'Dvd Calendar'!$AC$1424)=0))&gt;0)=0,"",'Dvd Calendar'!$AC$1424*1000000000+ISNUMBER('Dvd Calendar'!$AC$1427)*100000000+('Dvd Calendar'!$AC$1429=SPECIAL_LBL)*10000000+(N('Dvd Calendar'!$AC$1423)&gt;0)*(N('Dvd Calendar'!$AC$1423)&lt;=VAL_SERIAL)*1000000+29*1000+25))</f>
        <v/>
      </c>
      <c r="FD144" s="121">
        <f>IF(N('Dvd Calendar'!$AD$1424)=0,"",IF(('Dvd Calendar'!$AD$1424&gt;=GRID_FROM)*('Dvd Calendar'!$AD$1424&lt;=GRID_TO)*((('Dvd Calendar'!$AD$1424&lt;=VAL_DATE)+(COUNTIF('Dvd Calendar'!$E$1431:$AR$1431,'Dvd Calendar'!$AD$1424)=0))&gt;0)=0,"",'Dvd Calendar'!$AD$1424*1000000000+ISNUMBER('Dvd Calendar'!$AD$1427)*100000000+('Dvd Calendar'!$AD$1429=SPECIAL_LBL)*10000000+(N('Dvd Calendar'!$AD$1423)&gt;0)*(N('Dvd Calendar'!$AD$1423)&lt;=VAL_SERIAL)*1000000+29*1000+26))</f>
        <v/>
      </c>
      <c r="FE144" s="121">
        <f>IF(N('Dvd Calendar'!$AE$1424)=0,"",IF(('Dvd Calendar'!$AE$1424&gt;=GRID_FROM)*('Dvd Calendar'!$AE$1424&lt;=GRID_TO)*((('Dvd Calendar'!$AE$1424&lt;=VAL_DATE)+(COUNTIF('Dvd Calendar'!$E$1431:$AR$1431,'Dvd Calendar'!$AE$1424)=0))&gt;0)=0,"",'Dvd Calendar'!$AE$1424*1000000000+ISNUMBER('Dvd Calendar'!$AE$1427)*100000000+('Dvd Calendar'!$AE$1429=SPECIAL_LBL)*10000000+(N('Dvd Calendar'!$AE$1423)&gt;0)*(N('Dvd Calendar'!$AE$1423)&lt;=VAL_SERIAL)*1000000+29*1000+27))</f>
        <v/>
      </c>
      <c r="FF144" s="121">
        <f>IF(N('Dvd Calendar'!$AF$1424)=0,"",IF(('Dvd Calendar'!$AF$1424&gt;=GRID_FROM)*('Dvd Calendar'!$AF$1424&lt;=GRID_TO)*((('Dvd Calendar'!$AF$1424&lt;=VAL_DATE)+(COUNTIF('Dvd Calendar'!$E$1431:$AR$1431,'Dvd Calendar'!$AF$1424)=0))&gt;0)=0,"",'Dvd Calendar'!$AF$1424*1000000000+ISNUMBER('Dvd Calendar'!$AF$1427)*100000000+('Dvd Calendar'!$AF$1429=SPECIAL_LBL)*10000000+(N('Dvd Calendar'!$AF$1423)&gt;0)*(N('Dvd Calendar'!$AF$1423)&lt;=VAL_SERIAL)*1000000+29*1000+28))</f>
        <v/>
      </c>
      <c r="FG144" s="121">
        <f>IF(N('Dvd Calendar'!$AG$1424)=0,"",IF(('Dvd Calendar'!$AG$1424&gt;=GRID_FROM)*('Dvd Calendar'!$AG$1424&lt;=GRID_TO)*((('Dvd Calendar'!$AG$1424&lt;=VAL_DATE)+(COUNTIF('Dvd Calendar'!$E$1431:$AR$1431,'Dvd Calendar'!$AG$1424)=0))&gt;0)=0,"",'Dvd Calendar'!$AG$1424*1000000000+ISNUMBER('Dvd Calendar'!$AG$1427)*100000000+('Dvd Calendar'!$AG$1429=SPECIAL_LBL)*10000000+(N('Dvd Calendar'!$AG$1423)&gt;0)*(N('Dvd Calendar'!$AG$1423)&lt;=VAL_SERIAL)*1000000+29*1000+29))</f>
        <v/>
      </c>
      <c r="FH144" s="121">
        <f>IF(N('Dvd Calendar'!$AH$1424)=0,"",IF(('Dvd Calendar'!$AH$1424&gt;=GRID_FROM)*('Dvd Calendar'!$AH$1424&lt;=GRID_TO)*((('Dvd Calendar'!$AH$1424&lt;=VAL_DATE)+(COUNTIF('Dvd Calendar'!$E$1431:$AR$1431,'Dvd Calendar'!$AH$1424)=0))&gt;0)=0,"",'Dvd Calendar'!$AH$1424*1000000000+ISNUMBER('Dvd Calendar'!$AH$1427)*100000000+('Dvd Calendar'!$AH$1429=SPECIAL_LBL)*10000000+(N('Dvd Calendar'!$AH$1423)&gt;0)*(N('Dvd Calendar'!$AH$1423)&lt;=VAL_SERIAL)*1000000+29*1000+30))</f>
        <v/>
      </c>
      <c r="FI144" s="121">
        <f>IF(N('Dvd Calendar'!$AI$1424)=0,"",IF(('Dvd Calendar'!$AI$1424&gt;=GRID_FROM)*('Dvd Calendar'!$AI$1424&lt;=GRID_TO)*((('Dvd Calendar'!$AI$1424&lt;=VAL_DATE)+(COUNTIF('Dvd Calendar'!$E$1431:$AR$1431,'Dvd Calendar'!$AI$1424)=0))&gt;0)=0,"",'Dvd Calendar'!$AI$1424*1000000000+ISNUMBER('Dvd Calendar'!$AI$1427)*100000000+('Dvd Calendar'!$AI$1429=SPECIAL_LBL)*10000000+(N('Dvd Calendar'!$AI$1423)&gt;0)*(N('Dvd Calendar'!$AI$1423)&lt;=VAL_SERIAL)*1000000+29*1000+31))</f>
        <v/>
      </c>
      <c r="FJ144" s="121">
        <f>IF(N('Dvd Calendar'!$AJ$1424)=0,"",IF(('Dvd Calendar'!$AJ$1424&gt;=GRID_FROM)*('Dvd Calendar'!$AJ$1424&lt;=GRID_TO)*((('Dvd Calendar'!$AJ$1424&lt;=VAL_DATE)+(COUNTIF('Dvd Calendar'!$E$1431:$AR$1431,'Dvd Calendar'!$AJ$1424)=0))&gt;0)=0,"",'Dvd Calendar'!$AJ$1424*1000000000+ISNUMBER('Dvd Calendar'!$AJ$1427)*100000000+('Dvd Calendar'!$AJ$1429=SPECIAL_LBL)*10000000+(N('Dvd Calendar'!$AJ$1423)&gt;0)*(N('Dvd Calendar'!$AJ$1423)&lt;=VAL_SERIAL)*1000000+29*1000+32))</f>
        <v/>
      </c>
      <c r="FK144" s="121">
        <f>IF(N('Dvd Calendar'!$AK$1424)=0,"",IF(('Dvd Calendar'!$AK$1424&gt;=GRID_FROM)*('Dvd Calendar'!$AK$1424&lt;=GRID_TO)*((('Dvd Calendar'!$AK$1424&lt;=VAL_DATE)+(COUNTIF('Dvd Calendar'!$E$1431:$AR$1431,'Dvd Calendar'!$AK$1424)=0))&gt;0)=0,"",'Dvd Calendar'!$AK$1424*1000000000+ISNUMBER('Dvd Calendar'!$AK$1427)*100000000+('Dvd Calendar'!$AK$1429=SPECIAL_LBL)*10000000+(N('Dvd Calendar'!$AK$1423)&gt;0)*(N('Dvd Calendar'!$AK$1423)&lt;=VAL_SERIAL)*1000000+29*1000+33))</f>
        <v/>
      </c>
      <c r="FL144" s="121">
        <f>IF(N('Dvd Calendar'!$AL$1424)=0,"",IF(('Dvd Calendar'!$AL$1424&gt;=GRID_FROM)*('Dvd Calendar'!$AL$1424&lt;=GRID_TO)*((('Dvd Calendar'!$AL$1424&lt;=VAL_DATE)+(COUNTIF('Dvd Calendar'!$E$1431:$AR$1431,'Dvd Calendar'!$AL$1424)=0))&gt;0)=0,"",'Dvd Calendar'!$AL$1424*1000000000+ISNUMBER('Dvd Calendar'!$AL$1427)*100000000+('Dvd Calendar'!$AL$1429=SPECIAL_LBL)*10000000+(N('Dvd Calendar'!$AL$1423)&gt;0)*(N('Dvd Calendar'!$AL$1423)&lt;=VAL_SERIAL)*1000000+29*1000+34))</f>
        <v/>
      </c>
      <c r="FM144" s="121">
        <f>IF(N('Dvd Calendar'!$AM$1424)=0,"",IF(('Dvd Calendar'!$AM$1424&gt;=GRID_FROM)*('Dvd Calendar'!$AM$1424&lt;=GRID_TO)*((('Dvd Calendar'!$AM$1424&lt;=VAL_DATE)+(COUNTIF('Dvd Calendar'!$E$1431:$AR$1431,'Dvd Calendar'!$AM$1424)=0))&gt;0)=0,"",'Dvd Calendar'!$AM$1424*1000000000+ISNUMBER('Dvd Calendar'!$AM$1427)*100000000+('Dvd Calendar'!$AM$1429=SPECIAL_LBL)*10000000+(N('Dvd Calendar'!$AM$1423)&gt;0)*(N('Dvd Calendar'!$AM$1423)&lt;=VAL_SERIAL)*1000000+29*1000+35))</f>
        <v/>
      </c>
      <c r="FN144" s="121">
        <f>IF(N('Dvd Calendar'!$AN$1424)=0,"",IF(('Dvd Calendar'!$AN$1424&gt;=GRID_FROM)*('Dvd Calendar'!$AN$1424&lt;=GRID_TO)*((('Dvd Calendar'!$AN$1424&lt;=VAL_DATE)+(COUNTIF('Dvd Calendar'!$E$1431:$AR$1431,'Dvd Calendar'!$AN$1424)=0))&gt;0)=0,"",'Dvd Calendar'!$AN$1424*1000000000+ISNUMBER('Dvd Calendar'!$AN$1427)*100000000+('Dvd Calendar'!$AN$1429=SPECIAL_LBL)*10000000+(N('Dvd Calendar'!$AN$1423)&gt;0)*(N('Dvd Calendar'!$AN$1423)&lt;=VAL_SERIAL)*1000000+29*1000+36))</f>
        <v/>
      </c>
      <c r="FO144" s="121">
        <f>IF(N('Dvd Calendar'!$AO$1424)=0,"",IF(('Dvd Calendar'!$AO$1424&gt;=GRID_FROM)*('Dvd Calendar'!$AO$1424&lt;=GRID_TO)*((('Dvd Calendar'!$AO$1424&lt;=VAL_DATE)+(COUNTIF('Dvd Calendar'!$E$1431:$AR$1431,'Dvd Calendar'!$AO$1424)=0))&gt;0)=0,"",'Dvd Calendar'!$AO$1424*1000000000+ISNUMBER('Dvd Calendar'!$AO$1427)*100000000+('Dvd Calendar'!$AO$1429=SPECIAL_LBL)*10000000+(N('Dvd Calendar'!$AO$1423)&gt;0)*(N('Dvd Calendar'!$AO$1423)&lt;=VAL_SERIAL)*1000000+29*1000+37))</f>
        <v/>
      </c>
      <c r="FP144" s="121">
        <f>IF(N('Dvd Calendar'!$AP$1424)=0,"",IF(('Dvd Calendar'!$AP$1424&gt;=GRID_FROM)*('Dvd Calendar'!$AP$1424&lt;=GRID_TO)*((('Dvd Calendar'!$AP$1424&lt;=VAL_DATE)+(COUNTIF('Dvd Calendar'!$E$1431:$AR$1431,'Dvd Calendar'!$AP$1424)=0))&gt;0)=0,"",'Dvd Calendar'!$AP$1424*1000000000+ISNUMBER('Dvd Calendar'!$AP$1427)*100000000+('Dvd Calendar'!$AP$1429=SPECIAL_LBL)*10000000+(N('Dvd Calendar'!$AP$1423)&gt;0)*(N('Dvd Calendar'!$AP$1423)&lt;=VAL_SERIAL)*1000000+29*1000+38))</f>
        <v/>
      </c>
      <c r="FQ144" s="121">
        <f>IF(N('Dvd Calendar'!$AQ$1424)=0,"",IF(('Dvd Calendar'!$AQ$1424&gt;=GRID_FROM)*('Dvd Calendar'!$AQ$1424&lt;=GRID_TO)*((('Dvd Calendar'!$AQ$1424&lt;=VAL_DATE)+(COUNTIF('Dvd Calendar'!$E$1431:$AR$1431,'Dvd Calendar'!$AQ$1424)=0))&gt;0)=0,"",'Dvd Calendar'!$AQ$1424*1000000000+ISNUMBER('Dvd Calendar'!$AQ$1427)*100000000+('Dvd Calendar'!$AQ$1429=SPECIAL_LBL)*10000000+(N('Dvd Calendar'!$AQ$1423)&gt;0)*(N('Dvd Calendar'!$AQ$1423)&lt;=VAL_SERIAL)*1000000+29*1000+39))</f>
        <v/>
      </c>
      <c r="FR144" s="121">
        <f>IF(N('Dvd Calendar'!$AR$1424)=0,"",IF(('Dvd Calendar'!$AR$1424&gt;=GRID_FROM)*('Dvd Calendar'!$AR$1424&lt;=GRID_TO)*((('Dvd Calendar'!$AR$1424&lt;=VAL_DATE)+(COUNTIF('Dvd Calendar'!$E$1431:$AR$1431,'Dvd Calendar'!$AR$1424)=0))&gt;0)=0,"",'Dvd Calendar'!$AR$1424*1000000000+ISNUMBER('Dvd Calendar'!$AR$1427)*100000000+('Dvd Calendar'!$AR$1429=SPECIAL_LBL)*10000000+(N('Dvd Calendar'!$AR$1423)&gt;0)*(N('Dvd Calendar'!$AR$1423)&lt;=VAL_SERIAL)*1000000+29*1000+40))</f>
        <v/>
      </c>
      <c r="FS144" s="121">
        <f>IF(N('Dvd Calendar'!$E$1431)=0,"",IF(('Dvd Calendar'!$E$1431&gt;=GRID_FROM)*('Dvd Calendar'!$E$1431&lt;=GRID_TO)*('Dvd Calendar'!$E$1431&gt;VAL_DATE)=0,"",'Dvd Calendar'!$E$1431*1000000000+ISNUMBER('Dvd Calendar'!$E$1432)*100000000+0*10000000+(N('Dvd Calendar'!$E$1430)&gt;0)*(N('Dvd Calendar'!$E$1430)&lt;=VAL_SERIAL)*1000000+29*1000+41))</f>
        <v/>
      </c>
      <c r="FT144" s="121">
        <f>IF(N('Dvd Calendar'!$F$1431)=0,"",IF(('Dvd Calendar'!$F$1431&gt;=GRID_FROM)*('Dvd Calendar'!$F$1431&lt;=GRID_TO)*('Dvd Calendar'!$F$1431&gt;VAL_DATE)=0,"",'Dvd Calendar'!$F$1431*1000000000+ISNUMBER('Dvd Calendar'!$F$1432)*100000000+0*10000000+(N('Dvd Calendar'!$F$1430)&gt;0)*(N('Dvd Calendar'!$F$1430)&lt;=VAL_SERIAL)*1000000+29*1000+42))</f>
        <v/>
      </c>
      <c r="FU144" s="121">
        <f>IF(N('Dvd Calendar'!$G$1431)=0,"",IF(('Dvd Calendar'!$G$1431&gt;=GRID_FROM)*('Dvd Calendar'!$G$1431&lt;=GRID_TO)*('Dvd Calendar'!$G$1431&gt;VAL_DATE)=0,"",'Dvd Calendar'!$G$1431*1000000000+ISNUMBER('Dvd Calendar'!$G$1432)*100000000+0*10000000+(N('Dvd Calendar'!$G$1430)&gt;0)*(N('Dvd Calendar'!$G$1430)&lt;=VAL_SERIAL)*1000000+29*1000+43))</f>
        <v/>
      </c>
      <c r="FV144" s="121">
        <f>IF(N('Dvd Calendar'!$H$1431)=0,"",IF(('Dvd Calendar'!$H$1431&gt;=GRID_FROM)*('Dvd Calendar'!$H$1431&lt;=GRID_TO)*('Dvd Calendar'!$H$1431&gt;VAL_DATE)=0,"",'Dvd Calendar'!$H$1431*1000000000+ISNUMBER('Dvd Calendar'!$H$1432)*100000000+0*10000000+(N('Dvd Calendar'!$H$1430)&gt;0)*(N('Dvd Calendar'!$H$1430)&lt;=VAL_SERIAL)*1000000+29*1000+44))</f>
        <v/>
      </c>
      <c r="FW144" s="121">
        <f>IF(N('Dvd Calendar'!$I$1431)=0,"",IF(('Dvd Calendar'!$I$1431&gt;=GRID_FROM)*('Dvd Calendar'!$I$1431&lt;=GRID_TO)*('Dvd Calendar'!$I$1431&gt;VAL_DATE)=0,"",'Dvd Calendar'!$I$1431*1000000000+ISNUMBER('Dvd Calendar'!$I$1432)*100000000+0*10000000+(N('Dvd Calendar'!$I$1430)&gt;0)*(N('Dvd Calendar'!$I$1430)&lt;=VAL_SERIAL)*1000000+29*1000+45))</f>
        <v/>
      </c>
      <c r="FX144" s="121">
        <f>IF(N('Dvd Calendar'!$J$1431)=0,"",IF(('Dvd Calendar'!$J$1431&gt;=GRID_FROM)*('Dvd Calendar'!$J$1431&lt;=GRID_TO)*('Dvd Calendar'!$J$1431&gt;VAL_DATE)=0,"",'Dvd Calendar'!$J$1431*1000000000+ISNUMBER('Dvd Calendar'!$J$1432)*100000000+0*10000000+(N('Dvd Calendar'!$J$1430)&gt;0)*(N('Dvd Calendar'!$J$1430)&lt;=VAL_SERIAL)*1000000+29*1000+46))</f>
        <v/>
      </c>
      <c r="FY144" s="121">
        <f>IF(N('Dvd Calendar'!$K$1431)=0,"",IF(('Dvd Calendar'!$K$1431&gt;=GRID_FROM)*('Dvd Calendar'!$K$1431&lt;=GRID_TO)*('Dvd Calendar'!$K$1431&gt;VAL_DATE)=0,"",'Dvd Calendar'!$K$1431*1000000000+ISNUMBER('Dvd Calendar'!$K$1432)*100000000+0*10000000+(N('Dvd Calendar'!$K$1430)&gt;0)*(N('Dvd Calendar'!$K$1430)&lt;=VAL_SERIAL)*1000000+29*1000+47))</f>
        <v/>
      </c>
      <c r="FZ144" s="121">
        <f>IF(N('Dvd Calendar'!$L$1431)=0,"",IF(('Dvd Calendar'!$L$1431&gt;=GRID_FROM)*('Dvd Calendar'!$L$1431&lt;=GRID_TO)*('Dvd Calendar'!$L$1431&gt;VAL_DATE)=0,"",'Dvd Calendar'!$L$1431*1000000000+ISNUMBER('Dvd Calendar'!$L$1432)*100000000+0*10000000+(N('Dvd Calendar'!$L$1430)&gt;0)*(N('Dvd Calendar'!$L$1430)&lt;=VAL_SERIAL)*1000000+29*1000+48))</f>
        <v/>
      </c>
      <c r="GA144" s="121">
        <f>IF(N('Dvd Calendar'!$M$1431)=0,"",IF(('Dvd Calendar'!$M$1431&gt;=GRID_FROM)*('Dvd Calendar'!$M$1431&lt;=GRID_TO)*('Dvd Calendar'!$M$1431&gt;VAL_DATE)=0,"",'Dvd Calendar'!$M$1431*1000000000+ISNUMBER('Dvd Calendar'!$M$1432)*100000000+0*10000000+(N('Dvd Calendar'!$M$1430)&gt;0)*(N('Dvd Calendar'!$M$1430)&lt;=VAL_SERIAL)*1000000+29*1000+49))</f>
        <v/>
      </c>
      <c r="GB144" s="121">
        <f>IF(N('Dvd Calendar'!$N$1431)=0,"",IF(('Dvd Calendar'!$N$1431&gt;=GRID_FROM)*('Dvd Calendar'!$N$1431&lt;=GRID_TO)*('Dvd Calendar'!$N$1431&gt;VAL_DATE)=0,"",'Dvd Calendar'!$N$1431*1000000000+ISNUMBER('Dvd Calendar'!$N$1432)*100000000+0*10000000+(N('Dvd Calendar'!$N$1430)&gt;0)*(N('Dvd Calendar'!$N$1430)&lt;=VAL_SERIAL)*1000000+29*1000+50))</f>
        <v/>
      </c>
      <c r="GC144" s="121">
        <f>IF(N('Dvd Calendar'!$O$1431)=0,"",IF(('Dvd Calendar'!$O$1431&gt;=GRID_FROM)*('Dvd Calendar'!$O$1431&lt;=GRID_TO)*('Dvd Calendar'!$O$1431&gt;VAL_DATE)=0,"",'Dvd Calendar'!$O$1431*1000000000+ISNUMBER('Dvd Calendar'!$O$1432)*100000000+0*10000000+(N('Dvd Calendar'!$O$1430)&gt;0)*(N('Dvd Calendar'!$O$1430)&lt;=VAL_SERIAL)*1000000+29*1000+51))</f>
        <v/>
      </c>
      <c r="GD144" s="121">
        <f>IF(N('Dvd Calendar'!$P$1431)=0,"",IF(('Dvd Calendar'!$P$1431&gt;=GRID_FROM)*('Dvd Calendar'!$P$1431&lt;=GRID_TO)*('Dvd Calendar'!$P$1431&gt;VAL_DATE)=0,"",'Dvd Calendar'!$P$1431*1000000000+ISNUMBER('Dvd Calendar'!$P$1432)*100000000+0*10000000+(N('Dvd Calendar'!$P$1430)&gt;0)*(N('Dvd Calendar'!$P$1430)&lt;=VAL_SERIAL)*1000000+29*1000+52))</f>
        <v/>
      </c>
      <c r="GE144" s="121">
        <f>IF(N('Dvd Calendar'!$Q$1431)=0,"",IF(('Dvd Calendar'!$Q$1431&gt;=GRID_FROM)*('Dvd Calendar'!$Q$1431&lt;=GRID_TO)*('Dvd Calendar'!$Q$1431&gt;VAL_DATE)=0,"",'Dvd Calendar'!$Q$1431*1000000000+ISNUMBER('Dvd Calendar'!$Q$1432)*100000000+0*10000000+(N('Dvd Calendar'!$Q$1430)&gt;0)*(N('Dvd Calendar'!$Q$1430)&lt;=VAL_SERIAL)*1000000+29*1000+53))</f>
        <v/>
      </c>
      <c r="GF144" s="121">
        <f>IF(N('Dvd Calendar'!$R$1431)=0,"",IF(('Dvd Calendar'!$R$1431&gt;=GRID_FROM)*('Dvd Calendar'!$R$1431&lt;=GRID_TO)*('Dvd Calendar'!$R$1431&gt;VAL_DATE)=0,"",'Dvd Calendar'!$R$1431*1000000000+ISNUMBER('Dvd Calendar'!$R$1432)*100000000+0*10000000+(N('Dvd Calendar'!$R$1430)&gt;0)*(N('Dvd Calendar'!$R$1430)&lt;=VAL_SERIAL)*1000000+29*1000+54))</f>
        <v/>
      </c>
      <c r="GG144" s="121">
        <f>IF(N('Dvd Calendar'!$S$1431)=0,"",IF(('Dvd Calendar'!$S$1431&gt;=GRID_FROM)*('Dvd Calendar'!$S$1431&lt;=GRID_TO)*('Dvd Calendar'!$S$1431&gt;VAL_DATE)=0,"",'Dvd Calendar'!$S$1431*1000000000+ISNUMBER('Dvd Calendar'!$S$1432)*100000000+0*10000000+(N('Dvd Calendar'!$S$1430)&gt;0)*(N('Dvd Calendar'!$S$1430)&lt;=VAL_SERIAL)*1000000+29*1000+55))</f>
        <v/>
      </c>
      <c r="GH144" s="121">
        <f>IF(N('Dvd Calendar'!$T$1431)=0,"",IF(('Dvd Calendar'!$T$1431&gt;=GRID_FROM)*('Dvd Calendar'!$T$1431&lt;=GRID_TO)*('Dvd Calendar'!$T$1431&gt;VAL_DATE)=0,"",'Dvd Calendar'!$T$1431*1000000000+ISNUMBER('Dvd Calendar'!$T$1432)*100000000+0*10000000+(N('Dvd Calendar'!$T$1430)&gt;0)*(N('Dvd Calendar'!$T$1430)&lt;=VAL_SERIAL)*1000000+29*1000+56))</f>
        <v/>
      </c>
      <c r="GI144" s="121">
        <f>IF(N('Dvd Calendar'!$U$1431)=0,"",IF(('Dvd Calendar'!$U$1431&gt;=GRID_FROM)*('Dvd Calendar'!$U$1431&lt;=GRID_TO)*('Dvd Calendar'!$U$1431&gt;VAL_DATE)=0,"",'Dvd Calendar'!$U$1431*1000000000+ISNUMBER('Dvd Calendar'!$U$1432)*100000000+0*10000000+(N('Dvd Calendar'!$U$1430)&gt;0)*(N('Dvd Calendar'!$U$1430)&lt;=VAL_SERIAL)*1000000+29*1000+57))</f>
        <v/>
      </c>
      <c r="GJ144" s="121">
        <f>IF(N('Dvd Calendar'!$V$1431)=0,"",IF(('Dvd Calendar'!$V$1431&gt;=GRID_FROM)*('Dvd Calendar'!$V$1431&lt;=GRID_TO)*('Dvd Calendar'!$V$1431&gt;VAL_DATE)=0,"",'Dvd Calendar'!$V$1431*1000000000+ISNUMBER('Dvd Calendar'!$V$1432)*100000000+0*10000000+(N('Dvd Calendar'!$V$1430)&gt;0)*(N('Dvd Calendar'!$V$1430)&lt;=VAL_SERIAL)*1000000+29*1000+58))</f>
        <v/>
      </c>
      <c r="GK144" s="121">
        <f>IF(N('Dvd Calendar'!$W$1431)=0,"",IF(('Dvd Calendar'!$W$1431&gt;=GRID_FROM)*('Dvd Calendar'!$W$1431&lt;=GRID_TO)*('Dvd Calendar'!$W$1431&gt;VAL_DATE)=0,"",'Dvd Calendar'!$W$1431*1000000000+ISNUMBER('Dvd Calendar'!$W$1432)*100000000+0*10000000+(N('Dvd Calendar'!$W$1430)&gt;0)*(N('Dvd Calendar'!$W$1430)&lt;=VAL_SERIAL)*1000000+29*1000+59))</f>
        <v/>
      </c>
      <c r="GL144" s="121">
        <f>IF(N('Dvd Calendar'!$X$1431)=0,"",IF(('Dvd Calendar'!$X$1431&gt;=GRID_FROM)*('Dvd Calendar'!$X$1431&lt;=GRID_TO)*('Dvd Calendar'!$X$1431&gt;VAL_DATE)=0,"",'Dvd Calendar'!$X$1431*1000000000+ISNUMBER('Dvd Calendar'!$X$1432)*100000000+0*10000000+(N('Dvd Calendar'!$X$1430)&gt;0)*(N('Dvd Calendar'!$X$1430)&lt;=VAL_SERIAL)*1000000+29*1000+60))</f>
        <v/>
      </c>
      <c r="GM144" s="121">
        <f>IF(N('Dvd Calendar'!$Y$1431)=0,"",IF(('Dvd Calendar'!$Y$1431&gt;=GRID_FROM)*('Dvd Calendar'!$Y$1431&lt;=GRID_TO)*('Dvd Calendar'!$Y$1431&gt;VAL_DATE)=0,"",'Dvd Calendar'!$Y$1431*1000000000+ISNUMBER('Dvd Calendar'!$Y$1432)*100000000+0*10000000+(N('Dvd Calendar'!$Y$1430)&gt;0)*(N('Dvd Calendar'!$Y$1430)&lt;=VAL_SERIAL)*1000000+29*1000+61))</f>
        <v/>
      </c>
      <c r="GN144" s="121">
        <f>IF(N('Dvd Calendar'!$Z$1431)=0,"",IF(('Dvd Calendar'!$Z$1431&gt;=GRID_FROM)*('Dvd Calendar'!$Z$1431&lt;=GRID_TO)*('Dvd Calendar'!$Z$1431&gt;VAL_DATE)=0,"",'Dvd Calendar'!$Z$1431*1000000000+ISNUMBER('Dvd Calendar'!$Z$1432)*100000000+0*10000000+(N('Dvd Calendar'!$Z$1430)&gt;0)*(N('Dvd Calendar'!$Z$1430)&lt;=VAL_SERIAL)*1000000+29*1000+62))</f>
        <v/>
      </c>
      <c r="GO144" s="121">
        <f>IF(N('Dvd Calendar'!$AA$1431)=0,"",IF(('Dvd Calendar'!$AA$1431&gt;=GRID_FROM)*('Dvd Calendar'!$AA$1431&lt;=GRID_TO)*('Dvd Calendar'!$AA$1431&gt;VAL_DATE)=0,"",'Dvd Calendar'!$AA$1431*1000000000+ISNUMBER('Dvd Calendar'!$AA$1432)*100000000+0*10000000+(N('Dvd Calendar'!$AA$1430)&gt;0)*(N('Dvd Calendar'!$AA$1430)&lt;=VAL_SERIAL)*1000000+29*1000+63))</f>
        <v/>
      </c>
      <c r="GP144" s="121">
        <f>IF(N('Dvd Calendar'!$AB$1431)=0,"",IF(('Dvd Calendar'!$AB$1431&gt;=GRID_FROM)*('Dvd Calendar'!$AB$1431&lt;=GRID_TO)*('Dvd Calendar'!$AB$1431&gt;VAL_DATE)=0,"",'Dvd Calendar'!$AB$1431*1000000000+ISNUMBER('Dvd Calendar'!$AB$1432)*100000000+0*10000000+(N('Dvd Calendar'!$AB$1430)&gt;0)*(N('Dvd Calendar'!$AB$1430)&lt;=VAL_SERIAL)*1000000+29*1000+64))</f>
        <v/>
      </c>
      <c r="GQ144" s="121">
        <f>IF(N('Dvd Calendar'!$AC$1431)=0,"",IF(('Dvd Calendar'!$AC$1431&gt;=GRID_FROM)*('Dvd Calendar'!$AC$1431&lt;=GRID_TO)*('Dvd Calendar'!$AC$1431&gt;VAL_DATE)=0,"",'Dvd Calendar'!$AC$1431*1000000000+ISNUMBER('Dvd Calendar'!$AC$1432)*100000000+0*10000000+(N('Dvd Calendar'!$AC$1430)&gt;0)*(N('Dvd Calendar'!$AC$1430)&lt;=VAL_SERIAL)*1000000+29*1000+65))</f>
        <v/>
      </c>
    </row>
    <row r="145">
      <c r="B145" s="2">
        <f>IF(HSTECH!$C$36="","",HSTECH!$C$36)</f>
        <v/>
      </c>
      <c r="C145" s="161">
        <f>IF(EE145="","",IF(ISNUMBER('Dvd Calendar'!$E$1438)=FALSE,"",IF((('Dvd Calendar'!$E$1440=TYPE1)*(TYPE1&lt;&gt;"")+('Dvd Calendar'!$E$1440=TYPE2)*(TYPE2&lt;&gt;"")+('Dvd Calendar'!$E$1440=TYPE3)*(TYPE3&lt;&gt;"")+('Dvd Calendar'!$E$1440=TYPE4)*(TYPE4&lt;&gt;"")+('Dvd Calendar'!$E$1440=SPECIAL_LBL)*(INC_SPECIALS="Y"))=0,"",'Dvd Calendar'!$E$1438)))</f>
        <v/>
      </c>
      <c r="D145" s="161">
        <f>IF(EF145="","",IF(ISNUMBER('Dvd Calendar'!$F$1438)=FALSE,"",IF((('Dvd Calendar'!$F$1440=TYPE1)*(TYPE1&lt;&gt;"")+('Dvd Calendar'!$F$1440=TYPE2)*(TYPE2&lt;&gt;"")+('Dvd Calendar'!$F$1440=TYPE3)*(TYPE3&lt;&gt;"")+('Dvd Calendar'!$F$1440=TYPE4)*(TYPE4&lt;&gt;"")+('Dvd Calendar'!$F$1440=SPECIAL_LBL)*(INC_SPECIALS="Y"))=0,"",'Dvd Calendar'!$F$1438)))</f>
        <v/>
      </c>
      <c r="E145" s="161">
        <f>IF(EG145="","",IF(ISNUMBER('Dvd Calendar'!$G$1438)=FALSE,"",IF((('Dvd Calendar'!$G$1440=TYPE1)*(TYPE1&lt;&gt;"")+('Dvd Calendar'!$G$1440=TYPE2)*(TYPE2&lt;&gt;"")+('Dvd Calendar'!$G$1440=TYPE3)*(TYPE3&lt;&gt;"")+('Dvd Calendar'!$G$1440=TYPE4)*(TYPE4&lt;&gt;"")+('Dvd Calendar'!$G$1440=SPECIAL_LBL)*(INC_SPECIALS="Y"))=0,"",'Dvd Calendar'!$G$1438)))</f>
        <v/>
      </c>
      <c r="F145" s="161">
        <f>IF(EH145="","",IF(ISNUMBER('Dvd Calendar'!$H$1438)=FALSE,"",IF((('Dvd Calendar'!$H$1440=TYPE1)*(TYPE1&lt;&gt;"")+('Dvd Calendar'!$H$1440=TYPE2)*(TYPE2&lt;&gt;"")+('Dvd Calendar'!$H$1440=TYPE3)*(TYPE3&lt;&gt;"")+('Dvd Calendar'!$H$1440=TYPE4)*(TYPE4&lt;&gt;"")+('Dvd Calendar'!$H$1440=SPECIAL_LBL)*(INC_SPECIALS="Y"))=0,"",'Dvd Calendar'!$H$1438)))</f>
        <v/>
      </c>
      <c r="G145" s="161">
        <f>IF(EI145="","",IF(ISNUMBER('Dvd Calendar'!$I$1438)=FALSE,"",IF((('Dvd Calendar'!$I$1440=TYPE1)*(TYPE1&lt;&gt;"")+('Dvd Calendar'!$I$1440=TYPE2)*(TYPE2&lt;&gt;"")+('Dvd Calendar'!$I$1440=TYPE3)*(TYPE3&lt;&gt;"")+('Dvd Calendar'!$I$1440=TYPE4)*(TYPE4&lt;&gt;"")+('Dvd Calendar'!$I$1440=SPECIAL_LBL)*(INC_SPECIALS="Y"))=0,"",'Dvd Calendar'!$I$1438)))</f>
        <v/>
      </c>
      <c r="H145" s="161">
        <f>IF(EJ145="","",IF(ISNUMBER('Dvd Calendar'!$J$1438)=FALSE,"",IF((('Dvd Calendar'!$J$1440=TYPE1)*(TYPE1&lt;&gt;"")+('Dvd Calendar'!$J$1440=TYPE2)*(TYPE2&lt;&gt;"")+('Dvd Calendar'!$J$1440=TYPE3)*(TYPE3&lt;&gt;"")+('Dvd Calendar'!$J$1440=TYPE4)*(TYPE4&lt;&gt;"")+('Dvd Calendar'!$J$1440=SPECIAL_LBL)*(INC_SPECIALS="Y"))=0,"",'Dvd Calendar'!$J$1438)))</f>
        <v/>
      </c>
      <c r="I145" s="161">
        <f>IF(EK145="","",IF(ISNUMBER('Dvd Calendar'!$K$1438)=FALSE,"",IF((('Dvd Calendar'!$K$1440=TYPE1)*(TYPE1&lt;&gt;"")+('Dvd Calendar'!$K$1440=TYPE2)*(TYPE2&lt;&gt;"")+('Dvd Calendar'!$K$1440=TYPE3)*(TYPE3&lt;&gt;"")+('Dvd Calendar'!$K$1440=TYPE4)*(TYPE4&lt;&gt;"")+('Dvd Calendar'!$K$1440=SPECIAL_LBL)*(INC_SPECIALS="Y"))=0,"",'Dvd Calendar'!$K$1438)))</f>
        <v/>
      </c>
      <c r="J145" s="161">
        <f>IF(EL145="","",IF(ISNUMBER('Dvd Calendar'!$L$1438)=FALSE,"",IF((('Dvd Calendar'!$L$1440=TYPE1)*(TYPE1&lt;&gt;"")+('Dvd Calendar'!$L$1440=TYPE2)*(TYPE2&lt;&gt;"")+('Dvd Calendar'!$L$1440=TYPE3)*(TYPE3&lt;&gt;"")+('Dvd Calendar'!$L$1440=TYPE4)*(TYPE4&lt;&gt;"")+('Dvd Calendar'!$L$1440=SPECIAL_LBL)*(INC_SPECIALS="Y"))=0,"",'Dvd Calendar'!$L$1438)))</f>
        <v/>
      </c>
      <c r="K145" s="161">
        <f>IF(EM145="","",IF(ISNUMBER('Dvd Calendar'!$M$1438)=FALSE,"",IF((('Dvd Calendar'!$M$1440=TYPE1)*(TYPE1&lt;&gt;"")+('Dvd Calendar'!$M$1440=TYPE2)*(TYPE2&lt;&gt;"")+('Dvd Calendar'!$M$1440=TYPE3)*(TYPE3&lt;&gt;"")+('Dvd Calendar'!$M$1440=TYPE4)*(TYPE4&lt;&gt;"")+('Dvd Calendar'!$M$1440=SPECIAL_LBL)*(INC_SPECIALS="Y"))=0,"",'Dvd Calendar'!$M$1438)))</f>
        <v/>
      </c>
      <c r="L145" s="161">
        <f>IF(EN145="","",IF(ISNUMBER('Dvd Calendar'!$N$1438)=FALSE,"",IF((('Dvd Calendar'!$N$1440=TYPE1)*(TYPE1&lt;&gt;"")+('Dvd Calendar'!$N$1440=TYPE2)*(TYPE2&lt;&gt;"")+('Dvd Calendar'!$N$1440=TYPE3)*(TYPE3&lt;&gt;"")+('Dvd Calendar'!$N$1440=TYPE4)*(TYPE4&lt;&gt;"")+('Dvd Calendar'!$N$1440=SPECIAL_LBL)*(INC_SPECIALS="Y"))=0,"",'Dvd Calendar'!$N$1438)))</f>
        <v/>
      </c>
      <c r="M145" s="161">
        <f>IF(EO145="","",IF(ISNUMBER('Dvd Calendar'!$O$1438)=FALSE,"",IF((('Dvd Calendar'!$O$1440=TYPE1)*(TYPE1&lt;&gt;"")+('Dvd Calendar'!$O$1440=TYPE2)*(TYPE2&lt;&gt;"")+('Dvd Calendar'!$O$1440=TYPE3)*(TYPE3&lt;&gt;"")+('Dvd Calendar'!$O$1440=TYPE4)*(TYPE4&lt;&gt;"")+('Dvd Calendar'!$O$1440=SPECIAL_LBL)*(INC_SPECIALS="Y"))=0,"",'Dvd Calendar'!$O$1438)))</f>
        <v/>
      </c>
      <c r="N145" s="161">
        <f>IF(EP145="","",IF(ISNUMBER('Dvd Calendar'!$P$1438)=FALSE,"",IF((('Dvd Calendar'!$P$1440=TYPE1)*(TYPE1&lt;&gt;"")+('Dvd Calendar'!$P$1440=TYPE2)*(TYPE2&lt;&gt;"")+('Dvd Calendar'!$P$1440=TYPE3)*(TYPE3&lt;&gt;"")+('Dvd Calendar'!$P$1440=TYPE4)*(TYPE4&lt;&gt;"")+('Dvd Calendar'!$P$1440=SPECIAL_LBL)*(INC_SPECIALS="Y"))=0,"",'Dvd Calendar'!$P$1438)))</f>
        <v/>
      </c>
      <c r="O145" s="161">
        <f>IF(EQ145="","",IF(ISNUMBER('Dvd Calendar'!$Q$1438)=FALSE,"",IF((('Dvd Calendar'!$Q$1440=TYPE1)*(TYPE1&lt;&gt;"")+('Dvd Calendar'!$Q$1440=TYPE2)*(TYPE2&lt;&gt;"")+('Dvd Calendar'!$Q$1440=TYPE3)*(TYPE3&lt;&gt;"")+('Dvd Calendar'!$Q$1440=TYPE4)*(TYPE4&lt;&gt;"")+('Dvd Calendar'!$Q$1440=SPECIAL_LBL)*(INC_SPECIALS="Y"))=0,"",'Dvd Calendar'!$Q$1438)))</f>
        <v/>
      </c>
      <c r="P145" s="161">
        <f>IF(ER145="","",IF(ISNUMBER('Dvd Calendar'!$R$1438)=FALSE,"",IF((('Dvd Calendar'!$R$1440=TYPE1)*(TYPE1&lt;&gt;"")+('Dvd Calendar'!$R$1440=TYPE2)*(TYPE2&lt;&gt;"")+('Dvd Calendar'!$R$1440=TYPE3)*(TYPE3&lt;&gt;"")+('Dvd Calendar'!$R$1440=TYPE4)*(TYPE4&lt;&gt;"")+('Dvd Calendar'!$R$1440=SPECIAL_LBL)*(INC_SPECIALS="Y"))=0,"",'Dvd Calendar'!$R$1438)))</f>
        <v/>
      </c>
      <c r="Q145" s="161">
        <f>IF(ES145="","",IF(ISNUMBER('Dvd Calendar'!$S$1438)=FALSE,"",IF((('Dvd Calendar'!$S$1440=TYPE1)*(TYPE1&lt;&gt;"")+('Dvd Calendar'!$S$1440=TYPE2)*(TYPE2&lt;&gt;"")+('Dvd Calendar'!$S$1440=TYPE3)*(TYPE3&lt;&gt;"")+('Dvd Calendar'!$S$1440=TYPE4)*(TYPE4&lt;&gt;"")+('Dvd Calendar'!$S$1440=SPECIAL_LBL)*(INC_SPECIALS="Y"))=0,"",'Dvd Calendar'!$S$1438)))</f>
        <v/>
      </c>
      <c r="R145" s="161">
        <f>IF(ET145="","",IF(ISNUMBER('Dvd Calendar'!$T$1438)=FALSE,"",IF((('Dvd Calendar'!$T$1440=TYPE1)*(TYPE1&lt;&gt;"")+('Dvd Calendar'!$T$1440=TYPE2)*(TYPE2&lt;&gt;"")+('Dvd Calendar'!$T$1440=TYPE3)*(TYPE3&lt;&gt;"")+('Dvd Calendar'!$T$1440=TYPE4)*(TYPE4&lt;&gt;"")+('Dvd Calendar'!$T$1440=SPECIAL_LBL)*(INC_SPECIALS="Y"))=0,"",'Dvd Calendar'!$T$1438)))</f>
        <v/>
      </c>
      <c r="S145" s="161">
        <f>IF(EU145="","",IF(ISNUMBER('Dvd Calendar'!$U$1438)=FALSE,"",IF((('Dvd Calendar'!$U$1440=TYPE1)*(TYPE1&lt;&gt;"")+('Dvd Calendar'!$U$1440=TYPE2)*(TYPE2&lt;&gt;"")+('Dvd Calendar'!$U$1440=TYPE3)*(TYPE3&lt;&gt;"")+('Dvd Calendar'!$U$1440=TYPE4)*(TYPE4&lt;&gt;"")+('Dvd Calendar'!$U$1440=SPECIAL_LBL)*(INC_SPECIALS="Y"))=0,"",'Dvd Calendar'!$U$1438)))</f>
        <v/>
      </c>
      <c r="T145" s="161">
        <f>IF(EV145="","",IF(ISNUMBER('Dvd Calendar'!$V$1438)=FALSE,"",IF((('Dvd Calendar'!$V$1440=TYPE1)*(TYPE1&lt;&gt;"")+('Dvd Calendar'!$V$1440=TYPE2)*(TYPE2&lt;&gt;"")+('Dvd Calendar'!$V$1440=TYPE3)*(TYPE3&lt;&gt;"")+('Dvd Calendar'!$V$1440=TYPE4)*(TYPE4&lt;&gt;"")+('Dvd Calendar'!$V$1440=SPECIAL_LBL)*(INC_SPECIALS="Y"))=0,"",'Dvd Calendar'!$V$1438)))</f>
        <v/>
      </c>
      <c r="U145" s="161">
        <f>IF(EW145="","",IF(ISNUMBER('Dvd Calendar'!$W$1438)=FALSE,"",IF((('Dvd Calendar'!$W$1440=TYPE1)*(TYPE1&lt;&gt;"")+('Dvd Calendar'!$W$1440=TYPE2)*(TYPE2&lt;&gt;"")+('Dvd Calendar'!$W$1440=TYPE3)*(TYPE3&lt;&gt;"")+('Dvd Calendar'!$W$1440=TYPE4)*(TYPE4&lt;&gt;"")+('Dvd Calendar'!$W$1440=SPECIAL_LBL)*(INC_SPECIALS="Y"))=0,"",'Dvd Calendar'!$W$1438)))</f>
        <v/>
      </c>
      <c r="V145" s="161">
        <f>IF(EX145="","",IF(ISNUMBER('Dvd Calendar'!$X$1438)=FALSE,"",IF((('Dvd Calendar'!$X$1440=TYPE1)*(TYPE1&lt;&gt;"")+('Dvd Calendar'!$X$1440=TYPE2)*(TYPE2&lt;&gt;"")+('Dvd Calendar'!$X$1440=TYPE3)*(TYPE3&lt;&gt;"")+('Dvd Calendar'!$X$1440=TYPE4)*(TYPE4&lt;&gt;"")+('Dvd Calendar'!$X$1440=SPECIAL_LBL)*(INC_SPECIALS="Y"))=0,"",'Dvd Calendar'!$X$1438)))</f>
        <v/>
      </c>
      <c r="W145" s="161">
        <f>IF(EY145="","",IF(ISNUMBER('Dvd Calendar'!$Y$1438)=FALSE,"",IF((('Dvd Calendar'!$Y$1440=TYPE1)*(TYPE1&lt;&gt;"")+('Dvd Calendar'!$Y$1440=TYPE2)*(TYPE2&lt;&gt;"")+('Dvd Calendar'!$Y$1440=TYPE3)*(TYPE3&lt;&gt;"")+('Dvd Calendar'!$Y$1440=TYPE4)*(TYPE4&lt;&gt;"")+('Dvd Calendar'!$Y$1440=SPECIAL_LBL)*(INC_SPECIALS="Y"))=0,"",'Dvd Calendar'!$Y$1438)))</f>
        <v/>
      </c>
      <c r="X145" s="161">
        <f>IF(EZ145="","",IF(ISNUMBER('Dvd Calendar'!$Z$1438)=FALSE,"",IF((('Dvd Calendar'!$Z$1440=TYPE1)*(TYPE1&lt;&gt;"")+('Dvd Calendar'!$Z$1440=TYPE2)*(TYPE2&lt;&gt;"")+('Dvd Calendar'!$Z$1440=TYPE3)*(TYPE3&lt;&gt;"")+('Dvd Calendar'!$Z$1440=TYPE4)*(TYPE4&lt;&gt;"")+('Dvd Calendar'!$Z$1440=SPECIAL_LBL)*(INC_SPECIALS="Y"))=0,"",'Dvd Calendar'!$Z$1438)))</f>
        <v/>
      </c>
      <c r="Y145" s="161">
        <f>IF(FA145="","",IF(ISNUMBER('Dvd Calendar'!$AA$1438)=FALSE,"",IF((('Dvd Calendar'!$AA$1440=TYPE1)*(TYPE1&lt;&gt;"")+('Dvd Calendar'!$AA$1440=TYPE2)*(TYPE2&lt;&gt;"")+('Dvd Calendar'!$AA$1440=TYPE3)*(TYPE3&lt;&gt;"")+('Dvd Calendar'!$AA$1440=TYPE4)*(TYPE4&lt;&gt;"")+('Dvd Calendar'!$AA$1440=SPECIAL_LBL)*(INC_SPECIALS="Y"))=0,"",'Dvd Calendar'!$AA$1438)))</f>
        <v/>
      </c>
      <c r="Z145" s="161">
        <f>IF(FB145="","",IF(ISNUMBER('Dvd Calendar'!$AB$1438)=FALSE,"",IF((('Dvd Calendar'!$AB$1440=TYPE1)*(TYPE1&lt;&gt;"")+('Dvd Calendar'!$AB$1440=TYPE2)*(TYPE2&lt;&gt;"")+('Dvd Calendar'!$AB$1440=TYPE3)*(TYPE3&lt;&gt;"")+('Dvd Calendar'!$AB$1440=TYPE4)*(TYPE4&lt;&gt;"")+('Dvd Calendar'!$AB$1440=SPECIAL_LBL)*(INC_SPECIALS="Y"))=0,"",'Dvd Calendar'!$AB$1438)))</f>
        <v/>
      </c>
      <c r="AA145" s="161">
        <f>IF(FC145="","",IF(ISNUMBER('Dvd Calendar'!$AC$1438)=FALSE,"",IF((('Dvd Calendar'!$AC$1440=TYPE1)*(TYPE1&lt;&gt;"")+('Dvd Calendar'!$AC$1440=TYPE2)*(TYPE2&lt;&gt;"")+('Dvd Calendar'!$AC$1440=TYPE3)*(TYPE3&lt;&gt;"")+('Dvd Calendar'!$AC$1440=TYPE4)*(TYPE4&lt;&gt;"")+('Dvd Calendar'!$AC$1440=SPECIAL_LBL)*(INC_SPECIALS="Y"))=0,"",'Dvd Calendar'!$AC$1438)))</f>
        <v/>
      </c>
      <c r="AB145" s="161">
        <f>IF(FD145="","",IF(ISNUMBER('Dvd Calendar'!$AD$1438)=FALSE,"",IF((('Dvd Calendar'!$AD$1440=TYPE1)*(TYPE1&lt;&gt;"")+('Dvd Calendar'!$AD$1440=TYPE2)*(TYPE2&lt;&gt;"")+('Dvd Calendar'!$AD$1440=TYPE3)*(TYPE3&lt;&gt;"")+('Dvd Calendar'!$AD$1440=TYPE4)*(TYPE4&lt;&gt;"")+('Dvd Calendar'!$AD$1440=SPECIAL_LBL)*(INC_SPECIALS="Y"))=0,"",'Dvd Calendar'!$AD$1438)))</f>
        <v/>
      </c>
      <c r="AC145" s="161">
        <f>IF(FE145="","",IF(ISNUMBER('Dvd Calendar'!$AE$1438)=FALSE,"",IF((('Dvd Calendar'!$AE$1440=TYPE1)*(TYPE1&lt;&gt;"")+('Dvd Calendar'!$AE$1440=TYPE2)*(TYPE2&lt;&gt;"")+('Dvd Calendar'!$AE$1440=TYPE3)*(TYPE3&lt;&gt;"")+('Dvd Calendar'!$AE$1440=TYPE4)*(TYPE4&lt;&gt;"")+('Dvd Calendar'!$AE$1440=SPECIAL_LBL)*(INC_SPECIALS="Y"))=0,"",'Dvd Calendar'!$AE$1438)))</f>
        <v/>
      </c>
      <c r="AD145" s="161">
        <f>IF(FF145="","",IF(ISNUMBER('Dvd Calendar'!$AF$1438)=FALSE,"",IF((('Dvd Calendar'!$AF$1440=TYPE1)*(TYPE1&lt;&gt;"")+('Dvd Calendar'!$AF$1440=TYPE2)*(TYPE2&lt;&gt;"")+('Dvd Calendar'!$AF$1440=TYPE3)*(TYPE3&lt;&gt;"")+('Dvd Calendar'!$AF$1440=TYPE4)*(TYPE4&lt;&gt;"")+('Dvd Calendar'!$AF$1440=SPECIAL_LBL)*(INC_SPECIALS="Y"))=0,"",'Dvd Calendar'!$AF$1438)))</f>
        <v/>
      </c>
      <c r="AE145" s="161">
        <f>IF(FG145="","",IF(ISNUMBER('Dvd Calendar'!$AG$1438)=FALSE,"",IF((('Dvd Calendar'!$AG$1440=TYPE1)*(TYPE1&lt;&gt;"")+('Dvd Calendar'!$AG$1440=TYPE2)*(TYPE2&lt;&gt;"")+('Dvd Calendar'!$AG$1440=TYPE3)*(TYPE3&lt;&gt;"")+('Dvd Calendar'!$AG$1440=TYPE4)*(TYPE4&lt;&gt;"")+('Dvd Calendar'!$AG$1440=SPECIAL_LBL)*(INC_SPECIALS="Y"))=0,"",'Dvd Calendar'!$AG$1438)))</f>
        <v/>
      </c>
      <c r="AF145" s="161">
        <f>IF(FH145="","",IF(ISNUMBER('Dvd Calendar'!$AH$1438)=FALSE,"",IF((('Dvd Calendar'!$AH$1440=TYPE1)*(TYPE1&lt;&gt;"")+('Dvd Calendar'!$AH$1440=TYPE2)*(TYPE2&lt;&gt;"")+('Dvd Calendar'!$AH$1440=TYPE3)*(TYPE3&lt;&gt;"")+('Dvd Calendar'!$AH$1440=TYPE4)*(TYPE4&lt;&gt;"")+('Dvd Calendar'!$AH$1440=SPECIAL_LBL)*(INC_SPECIALS="Y"))=0,"",'Dvd Calendar'!$AH$1438)))</f>
        <v/>
      </c>
      <c r="AG145" s="161">
        <f>IF(FI145="","",IF(ISNUMBER('Dvd Calendar'!$AI$1438)=FALSE,"",IF((('Dvd Calendar'!$AI$1440=TYPE1)*(TYPE1&lt;&gt;"")+('Dvd Calendar'!$AI$1440=TYPE2)*(TYPE2&lt;&gt;"")+('Dvd Calendar'!$AI$1440=TYPE3)*(TYPE3&lt;&gt;"")+('Dvd Calendar'!$AI$1440=TYPE4)*(TYPE4&lt;&gt;"")+('Dvd Calendar'!$AI$1440=SPECIAL_LBL)*(INC_SPECIALS="Y"))=0,"",'Dvd Calendar'!$AI$1438)))</f>
        <v/>
      </c>
      <c r="AH145" s="161">
        <f>IF(FJ145="","",IF(ISNUMBER('Dvd Calendar'!$AJ$1438)=FALSE,"",IF((('Dvd Calendar'!$AJ$1440=TYPE1)*(TYPE1&lt;&gt;"")+('Dvd Calendar'!$AJ$1440=TYPE2)*(TYPE2&lt;&gt;"")+('Dvd Calendar'!$AJ$1440=TYPE3)*(TYPE3&lt;&gt;"")+('Dvd Calendar'!$AJ$1440=TYPE4)*(TYPE4&lt;&gt;"")+('Dvd Calendar'!$AJ$1440=SPECIAL_LBL)*(INC_SPECIALS="Y"))=0,"",'Dvd Calendar'!$AJ$1438)))</f>
        <v/>
      </c>
      <c r="AI145" s="161">
        <f>IF(FK145="","",IF(ISNUMBER('Dvd Calendar'!$AK$1438)=FALSE,"",IF((('Dvd Calendar'!$AK$1440=TYPE1)*(TYPE1&lt;&gt;"")+('Dvd Calendar'!$AK$1440=TYPE2)*(TYPE2&lt;&gt;"")+('Dvd Calendar'!$AK$1440=TYPE3)*(TYPE3&lt;&gt;"")+('Dvd Calendar'!$AK$1440=TYPE4)*(TYPE4&lt;&gt;"")+('Dvd Calendar'!$AK$1440=SPECIAL_LBL)*(INC_SPECIALS="Y"))=0,"",'Dvd Calendar'!$AK$1438)))</f>
        <v/>
      </c>
      <c r="AJ145" s="161">
        <f>IF(FL145="","",IF(ISNUMBER('Dvd Calendar'!$AL$1438)=FALSE,"",IF((('Dvd Calendar'!$AL$1440=TYPE1)*(TYPE1&lt;&gt;"")+('Dvd Calendar'!$AL$1440=TYPE2)*(TYPE2&lt;&gt;"")+('Dvd Calendar'!$AL$1440=TYPE3)*(TYPE3&lt;&gt;"")+('Dvd Calendar'!$AL$1440=TYPE4)*(TYPE4&lt;&gt;"")+('Dvd Calendar'!$AL$1440=SPECIAL_LBL)*(INC_SPECIALS="Y"))=0,"",'Dvd Calendar'!$AL$1438)))</f>
        <v/>
      </c>
      <c r="AK145" s="161">
        <f>IF(FM145="","",IF(ISNUMBER('Dvd Calendar'!$AM$1438)=FALSE,"",IF((('Dvd Calendar'!$AM$1440=TYPE1)*(TYPE1&lt;&gt;"")+('Dvd Calendar'!$AM$1440=TYPE2)*(TYPE2&lt;&gt;"")+('Dvd Calendar'!$AM$1440=TYPE3)*(TYPE3&lt;&gt;"")+('Dvd Calendar'!$AM$1440=TYPE4)*(TYPE4&lt;&gt;"")+('Dvd Calendar'!$AM$1440=SPECIAL_LBL)*(INC_SPECIALS="Y"))=0,"",'Dvd Calendar'!$AM$1438)))</f>
        <v/>
      </c>
      <c r="AL145" s="161">
        <f>IF(FN145="","",IF(ISNUMBER('Dvd Calendar'!$AN$1438)=FALSE,"",IF((('Dvd Calendar'!$AN$1440=TYPE1)*(TYPE1&lt;&gt;"")+('Dvd Calendar'!$AN$1440=TYPE2)*(TYPE2&lt;&gt;"")+('Dvd Calendar'!$AN$1440=TYPE3)*(TYPE3&lt;&gt;"")+('Dvd Calendar'!$AN$1440=TYPE4)*(TYPE4&lt;&gt;"")+('Dvd Calendar'!$AN$1440=SPECIAL_LBL)*(INC_SPECIALS="Y"))=0,"",'Dvd Calendar'!$AN$1438)))</f>
        <v/>
      </c>
      <c r="AM145" s="161">
        <f>IF(FO145="","",IF(ISNUMBER('Dvd Calendar'!$AO$1438)=FALSE,"",IF((('Dvd Calendar'!$AO$1440=TYPE1)*(TYPE1&lt;&gt;"")+('Dvd Calendar'!$AO$1440=TYPE2)*(TYPE2&lt;&gt;"")+('Dvd Calendar'!$AO$1440=TYPE3)*(TYPE3&lt;&gt;"")+('Dvd Calendar'!$AO$1440=TYPE4)*(TYPE4&lt;&gt;"")+('Dvd Calendar'!$AO$1440=SPECIAL_LBL)*(INC_SPECIALS="Y"))=0,"",'Dvd Calendar'!$AO$1438)))</f>
        <v/>
      </c>
      <c r="AN145" s="161">
        <f>IF(FP145="","",IF(ISNUMBER('Dvd Calendar'!$AP$1438)=FALSE,"",IF((('Dvd Calendar'!$AP$1440=TYPE1)*(TYPE1&lt;&gt;"")+('Dvd Calendar'!$AP$1440=TYPE2)*(TYPE2&lt;&gt;"")+('Dvd Calendar'!$AP$1440=TYPE3)*(TYPE3&lt;&gt;"")+('Dvd Calendar'!$AP$1440=TYPE4)*(TYPE4&lt;&gt;"")+('Dvd Calendar'!$AP$1440=SPECIAL_LBL)*(INC_SPECIALS="Y"))=0,"",'Dvd Calendar'!$AP$1438)))</f>
        <v/>
      </c>
      <c r="AO145" s="161">
        <f>IF(FQ145="","",IF(ISNUMBER('Dvd Calendar'!$AQ$1438)=FALSE,"",IF((('Dvd Calendar'!$AQ$1440=TYPE1)*(TYPE1&lt;&gt;"")+('Dvd Calendar'!$AQ$1440=TYPE2)*(TYPE2&lt;&gt;"")+('Dvd Calendar'!$AQ$1440=TYPE3)*(TYPE3&lt;&gt;"")+('Dvd Calendar'!$AQ$1440=TYPE4)*(TYPE4&lt;&gt;"")+('Dvd Calendar'!$AQ$1440=SPECIAL_LBL)*(INC_SPECIALS="Y"))=0,"",'Dvd Calendar'!$AQ$1438)))</f>
        <v/>
      </c>
      <c r="AP145" s="161">
        <f>IF(FR145="","",IF(ISNUMBER('Dvd Calendar'!$AR$1438)=FALSE,"",IF((('Dvd Calendar'!$AR$1440=TYPE1)*(TYPE1&lt;&gt;"")+('Dvd Calendar'!$AR$1440=TYPE2)*(TYPE2&lt;&gt;"")+('Dvd Calendar'!$AR$1440=TYPE3)*(TYPE3&lt;&gt;"")+('Dvd Calendar'!$AR$1440=TYPE4)*(TYPE4&lt;&gt;"")+('Dvd Calendar'!$AR$1440=SPECIAL_LBL)*(INC_SPECIALS="Y"))=0,"",'Dvd Calendar'!$AR$1438)))</f>
        <v/>
      </c>
      <c r="AQ145" s="161">
        <f>IF(FS145="","",IF(ISNUMBER('Dvd Calendar'!$E$1443)=FALSE,"",'Dvd Calendar'!$E$1443))</f>
        <v/>
      </c>
      <c r="AR145" s="161">
        <f>IF(FT145="","",IF(ISNUMBER('Dvd Calendar'!$F$1443)=FALSE,"",'Dvd Calendar'!$F$1443))</f>
        <v/>
      </c>
      <c r="AS145" s="161">
        <f>IF(FU145="","",IF(ISNUMBER('Dvd Calendar'!$G$1443)=FALSE,"",'Dvd Calendar'!$G$1443))</f>
        <v/>
      </c>
      <c r="AT145" s="161">
        <f>IF(FV145="","",IF(ISNUMBER('Dvd Calendar'!$H$1443)=FALSE,"",'Dvd Calendar'!$H$1443))</f>
        <v/>
      </c>
      <c r="AU145" s="161">
        <f>IF(FW145="","",IF(ISNUMBER('Dvd Calendar'!$I$1443)=FALSE,"",'Dvd Calendar'!$I$1443))</f>
        <v/>
      </c>
      <c r="AV145" s="161">
        <f>IF(FX145="","",IF(ISNUMBER('Dvd Calendar'!$J$1443)=FALSE,"",'Dvd Calendar'!$J$1443))</f>
        <v/>
      </c>
      <c r="AW145" s="161">
        <f>IF(FY145="","",IF(ISNUMBER('Dvd Calendar'!$K$1443)=FALSE,"",'Dvd Calendar'!$K$1443))</f>
        <v/>
      </c>
      <c r="AX145" s="161">
        <f>IF(FZ145="","",IF(ISNUMBER('Dvd Calendar'!$L$1443)=FALSE,"",'Dvd Calendar'!$L$1443))</f>
        <v/>
      </c>
      <c r="AY145" s="161">
        <f>IF(GA145="","",IF(ISNUMBER('Dvd Calendar'!$M$1443)=FALSE,"",'Dvd Calendar'!$M$1443))</f>
        <v/>
      </c>
      <c r="AZ145" s="161">
        <f>IF(GB145="","",IF(ISNUMBER('Dvd Calendar'!$N$1443)=FALSE,"",'Dvd Calendar'!$N$1443))</f>
        <v/>
      </c>
      <c r="BA145" s="161">
        <f>IF(GC145="","",IF(ISNUMBER('Dvd Calendar'!$O$1443)=FALSE,"",'Dvd Calendar'!$O$1443))</f>
        <v/>
      </c>
      <c r="BB145" s="161">
        <f>IF(GD145="","",IF(ISNUMBER('Dvd Calendar'!$P$1443)=FALSE,"",'Dvd Calendar'!$P$1443))</f>
        <v/>
      </c>
      <c r="BC145" s="161">
        <f>IF(GE145="","",IF(ISNUMBER('Dvd Calendar'!$Q$1443)=FALSE,"",'Dvd Calendar'!$Q$1443))</f>
        <v/>
      </c>
      <c r="BD145" s="161">
        <f>IF(GF145="","",IF(ISNUMBER('Dvd Calendar'!$R$1443)=FALSE,"",'Dvd Calendar'!$R$1443))</f>
        <v/>
      </c>
      <c r="BE145" s="161">
        <f>IF(GG145="","",IF(ISNUMBER('Dvd Calendar'!$S$1443)=FALSE,"",'Dvd Calendar'!$S$1443))</f>
        <v/>
      </c>
      <c r="BF145" s="161">
        <f>IF(GH145="","",IF(ISNUMBER('Dvd Calendar'!$T$1443)=FALSE,"",'Dvd Calendar'!$T$1443))</f>
        <v/>
      </c>
      <c r="BG145" s="161">
        <f>IF(GI145="","",IF(ISNUMBER('Dvd Calendar'!$U$1443)=FALSE,"",'Dvd Calendar'!$U$1443))</f>
        <v/>
      </c>
      <c r="BH145" s="161">
        <f>IF(GJ145="","",IF(ISNUMBER('Dvd Calendar'!$V$1443)=FALSE,"",'Dvd Calendar'!$V$1443))</f>
        <v/>
      </c>
      <c r="BI145" s="161">
        <f>IF(GK145="","",IF(ISNUMBER('Dvd Calendar'!$W$1443)=FALSE,"",'Dvd Calendar'!$W$1443))</f>
        <v/>
      </c>
      <c r="BJ145" s="161">
        <f>IF(GL145="","",IF(ISNUMBER('Dvd Calendar'!$X$1443)=FALSE,"",'Dvd Calendar'!$X$1443))</f>
        <v/>
      </c>
      <c r="BK145" s="161">
        <f>IF(GM145="","",IF(ISNUMBER('Dvd Calendar'!$Y$1443)=FALSE,"",'Dvd Calendar'!$Y$1443))</f>
        <v/>
      </c>
      <c r="BL145" s="161">
        <f>IF(GN145="","",IF(ISNUMBER('Dvd Calendar'!$Z$1443)=FALSE,"",'Dvd Calendar'!$Z$1443))</f>
        <v/>
      </c>
      <c r="BM145" s="161">
        <f>IF(GO145="","",IF(ISNUMBER('Dvd Calendar'!$AA$1443)=FALSE,"",'Dvd Calendar'!$AA$1443))</f>
        <v/>
      </c>
      <c r="BN145" s="161">
        <f>IF(GP145="","",IF(ISNUMBER('Dvd Calendar'!$AB$1443)=FALSE,"",'Dvd Calendar'!$AB$1443))</f>
        <v/>
      </c>
      <c r="BO145" s="161">
        <f>IF(GQ145="","",IF(ISNUMBER('Dvd Calendar'!$AC$1443)=FALSE,"",'Dvd Calendar'!$AC$1443))</f>
        <v/>
      </c>
      <c r="BQ145" s="161">
        <f>IF(C145="","",IFERROR(C145*HSTECH!$B$36*HSTECH!$G$36/HSTECH!$B$3,""))</f>
        <v/>
      </c>
      <c r="BR145" s="161">
        <f>IF(D145="","",IFERROR(D145*HSTECH!$B$36*HSTECH!$G$36/HSTECH!$B$3,""))</f>
        <v/>
      </c>
      <c r="BS145" s="161">
        <f>IF(E145="","",IFERROR(E145*HSTECH!$B$36*HSTECH!$G$36/HSTECH!$B$3,""))</f>
        <v/>
      </c>
      <c r="BT145" s="161">
        <f>IF(F145="","",IFERROR(F145*HSTECH!$B$36*HSTECH!$G$36/HSTECH!$B$3,""))</f>
        <v/>
      </c>
      <c r="BU145" s="161">
        <f>IF(G145="","",IFERROR(G145*HSTECH!$B$36*HSTECH!$G$36/HSTECH!$B$3,""))</f>
        <v/>
      </c>
      <c r="BV145" s="161">
        <f>IF(H145="","",IFERROR(H145*HSTECH!$B$36*HSTECH!$G$36/HSTECH!$B$3,""))</f>
        <v/>
      </c>
      <c r="BW145" s="161">
        <f>IF(I145="","",IFERROR(I145*HSTECH!$B$36*HSTECH!$G$36/HSTECH!$B$3,""))</f>
        <v/>
      </c>
      <c r="BX145" s="161">
        <f>IF(J145="","",IFERROR(J145*HSTECH!$B$36*HSTECH!$G$36/HSTECH!$B$3,""))</f>
        <v/>
      </c>
      <c r="BY145" s="161">
        <f>IF(K145="","",IFERROR(K145*HSTECH!$B$36*HSTECH!$G$36/HSTECH!$B$3,""))</f>
        <v/>
      </c>
      <c r="BZ145" s="161">
        <f>IF(L145="","",IFERROR(L145*HSTECH!$B$36*HSTECH!$G$36/HSTECH!$B$3,""))</f>
        <v/>
      </c>
      <c r="CA145" s="161">
        <f>IF(M145="","",IFERROR(M145*HSTECH!$B$36*HSTECH!$G$36/HSTECH!$B$3,""))</f>
        <v/>
      </c>
      <c r="CB145" s="161">
        <f>IF(N145="","",IFERROR(N145*HSTECH!$B$36*HSTECH!$G$36/HSTECH!$B$3,""))</f>
        <v/>
      </c>
      <c r="CC145" s="161">
        <f>IF(O145="","",IFERROR(O145*HSTECH!$B$36*HSTECH!$G$36/HSTECH!$B$3,""))</f>
        <v/>
      </c>
      <c r="CD145" s="161">
        <f>IF(P145="","",IFERROR(P145*HSTECH!$B$36*HSTECH!$G$36/HSTECH!$B$3,""))</f>
        <v/>
      </c>
      <c r="CE145" s="161">
        <f>IF(Q145="","",IFERROR(Q145*HSTECH!$B$36*HSTECH!$G$36/HSTECH!$B$3,""))</f>
        <v/>
      </c>
      <c r="CF145" s="161">
        <f>IF(R145="","",IFERROR(R145*HSTECH!$B$36*HSTECH!$G$36/HSTECH!$B$3,""))</f>
        <v/>
      </c>
      <c r="CG145" s="161">
        <f>IF(S145="","",IFERROR(S145*HSTECH!$B$36*HSTECH!$G$36/HSTECH!$B$3,""))</f>
        <v/>
      </c>
      <c r="CH145" s="161">
        <f>IF(T145="","",IFERROR(T145*HSTECH!$B$36*HSTECH!$G$36/HSTECH!$B$3,""))</f>
        <v/>
      </c>
      <c r="CI145" s="161">
        <f>IF(U145="","",IFERROR(U145*HSTECH!$B$36*HSTECH!$G$36/HSTECH!$B$3,""))</f>
        <v/>
      </c>
      <c r="CJ145" s="161">
        <f>IF(V145="","",IFERROR(V145*HSTECH!$B$36*HSTECH!$G$36/HSTECH!$B$3,""))</f>
        <v/>
      </c>
      <c r="CK145" s="161">
        <f>IF(W145="","",IFERROR(W145*HSTECH!$B$36*HSTECH!$G$36/HSTECH!$B$3,""))</f>
        <v/>
      </c>
      <c r="CL145" s="161">
        <f>IF(X145="","",IFERROR(X145*HSTECH!$B$36*HSTECH!$G$36/HSTECH!$B$3,""))</f>
        <v/>
      </c>
      <c r="CM145" s="161">
        <f>IF(Y145="","",IFERROR(Y145*HSTECH!$B$36*HSTECH!$G$36/HSTECH!$B$3,""))</f>
        <v/>
      </c>
      <c r="CN145" s="161">
        <f>IF(Z145="","",IFERROR(Z145*HSTECH!$B$36*HSTECH!$G$36/HSTECH!$B$3,""))</f>
        <v/>
      </c>
      <c r="CO145" s="161">
        <f>IF(AA145="","",IFERROR(AA145*HSTECH!$B$36*HSTECH!$G$36/HSTECH!$B$3,""))</f>
        <v/>
      </c>
      <c r="CP145" s="161">
        <f>IF(AB145="","",IFERROR(AB145*HSTECH!$B$36*HSTECH!$G$36/HSTECH!$B$3,""))</f>
        <v/>
      </c>
      <c r="CQ145" s="161">
        <f>IF(AC145="","",IFERROR(AC145*HSTECH!$B$36*HSTECH!$G$36/HSTECH!$B$3,""))</f>
        <v/>
      </c>
      <c r="CR145" s="161">
        <f>IF(AD145="","",IFERROR(AD145*HSTECH!$B$36*HSTECH!$G$36/HSTECH!$B$3,""))</f>
        <v/>
      </c>
      <c r="CS145" s="161">
        <f>IF(AE145="","",IFERROR(AE145*HSTECH!$B$36*HSTECH!$G$36/HSTECH!$B$3,""))</f>
        <v/>
      </c>
      <c r="CT145" s="161">
        <f>IF(AF145="","",IFERROR(AF145*HSTECH!$B$36*HSTECH!$G$36/HSTECH!$B$3,""))</f>
        <v/>
      </c>
      <c r="CU145" s="161">
        <f>IF(AG145="","",IFERROR(AG145*HSTECH!$B$36*HSTECH!$G$36/HSTECH!$B$3,""))</f>
        <v/>
      </c>
      <c r="CV145" s="161">
        <f>IF(AH145="","",IFERROR(AH145*HSTECH!$B$36*HSTECH!$G$36/HSTECH!$B$3,""))</f>
        <v/>
      </c>
      <c r="CW145" s="161">
        <f>IF(AI145="","",IFERROR(AI145*HSTECH!$B$36*HSTECH!$G$36/HSTECH!$B$3,""))</f>
        <v/>
      </c>
      <c r="CX145" s="161">
        <f>IF(AJ145="","",IFERROR(AJ145*HSTECH!$B$36*HSTECH!$G$36/HSTECH!$B$3,""))</f>
        <v/>
      </c>
      <c r="CY145" s="161">
        <f>IF(AK145="","",IFERROR(AK145*HSTECH!$B$36*HSTECH!$G$36/HSTECH!$B$3,""))</f>
        <v/>
      </c>
      <c r="CZ145" s="161">
        <f>IF(AL145="","",IFERROR(AL145*HSTECH!$B$36*HSTECH!$G$36/HSTECH!$B$3,""))</f>
        <v/>
      </c>
      <c r="DA145" s="161">
        <f>IF(AM145="","",IFERROR(AM145*HSTECH!$B$36*HSTECH!$G$36/HSTECH!$B$3,""))</f>
        <v/>
      </c>
      <c r="DB145" s="161">
        <f>IF(AN145="","",IFERROR(AN145*HSTECH!$B$36*HSTECH!$G$36/HSTECH!$B$3,""))</f>
        <v/>
      </c>
      <c r="DC145" s="161">
        <f>IF(AO145="","",IFERROR(AO145*HSTECH!$B$36*HSTECH!$G$36/HSTECH!$B$3,""))</f>
        <v/>
      </c>
      <c r="DD145" s="161">
        <f>IF(AP145="","",IFERROR(AP145*HSTECH!$B$36*HSTECH!$G$36/HSTECH!$B$3,""))</f>
        <v/>
      </c>
      <c r="DE145" s="161">
        <f>IF(AQ145="","",IFERROR(AQ145*HSTECH!$B$36*HSTECH!$G$36/HSTECH!$B$3,""))</f>
        <v/>
      </c>
      <c r="DF145" s="161">
        <f>IF(AR145="","",IFERROR(AR145*HSTECH!$B$36*HSTECH!$G$36/HSTECH!$B$3,""))</f>
        <v/>
      </c>
      <c r="DG145" s="161">
        <f>IF(AS145="","",IFERROR(AS145*HSTECH!$B$36*HSTECH!$G$36/HSTECH!$B$3,""))</f>
        <v/>
      </c>
      <c r="DH145" s="161">
        <f>IF(AT145="","",IFERROR(AT145*HSTECH!$B$36*HSTECH!$G$36/HSTECH!$B$3,""))</f>
        <v/>
      </c>
      <c r="DI145" s="161">
        <f>IF(AU145="","",IFERROR(AU145*HSTECH!$B$36*HSTECH!$G$36/HSTECH!$B$3,""))</f>
        <v/>
      </c>
      <c r="DJ145" s="161">
        <f>IF(AV145="","",IFERROR(AV145*HSTECH!$B$36*HSTECH!$G$36/HSTECH!$B$3,""))</f>
        <v/>
      </c>
      <c r="DK145" s="161">
        <f>IF(AW145="","",IFERROR(AW145*HSTECH!$B$36*HSTECH!$G$36/HSTECH!$B$3,""))</f>
        <v/>
      </c>
      <c r="DL145" s="161">
        <f>IF(AX145="","",IFERROR(AX145*HSTECH!$B$36*HSTECH!$G$36/HSTECH!$B$3,""))</f>
        <v/>
      </c>
      <c r="DM145" s="161">
        <f>IF(AY145="","",IFERROR(AY145*HSTECH!$B$36*HSTECH!$G$36/HSTECH!$B$3,""))</f>
        <v/>
      </c>
      <c r="DN145" s="161">
        <f>IF(AZ145="","",IFERROR(AZ145*HSTECH!$B$36*HSTECH!$G$36/HSTECH!$B$3,""))</f>
        <v/>
      </c>
      <c r="DO145" s="161">
        <f>IF(BA145="","",IFERROR(BA145*HSTECH!$B$36*HSTECH!$G$36/HSTECH!$B$3,""))</f>
        <v/>
      </c>
      <c r="DP145" s="161">
        <f>IF(BB145="","",IFERROR(BB145*HSTECH!$B$36*HSTECH!$G$36/HSTECH!$B$3,""))</f>
        <v/>
      </c>
      <c r="DQ145" s="161">
        <f>IF(BC145="","",IFERROR(BC145*HSTECH!$B$36*HSTECH!$G$36/HSTECH!$B$3,""))</f>
        <v/>
      </c>
      <c r="DR145" s="161">
        <f>IF(BD145="","",IFERROR(BD145*HSTECH!$B$36*HSTECH!$G$36/HSTECH!$B$3,""))</f>
        <v/>
      </c>
      <c r="DS145" s="161">
        <f>IF(BE145="","",IFERROR(BE145*HSTECH!$B$36*HSTECH!$G$36/HSTECH!$B$3,""))</f>
        <v/>
      </c>
      <c r="DT145" s="161">
        <f>IF(BF145="","",IFERROR(BF145*HSTECH!$B$36*HSTECH!$G$36/HSTECH!$B$3,""))</f>
        <v/>
      </c>
      <c r="DU145" s="161">
        <f>IF(BG145="","",IFERROR(BG145*HSTECH!$B$36*HSTECH!$G$36/HSTECH!$B$3,""))</f>
        <v/>
      </c>
      <c r="DV145" s="161">
        <f>IF(BH145="","",IFERROR(BH145*HSTECH!$B$36*HSTECH!$G$36/HSTECH!$B$3,""))</f>
        <v/>
      </c>
      <c r="DW145" s="161">
        <f>IF(BI145="","",IFERROR(BI145*HSTECH!$B$36*HSTECH!$G$36/HSTECH!$B$3,""))</f>
        <v/>
      </c>
      <c r="DX145" s="161">
        <f>IF(BJ145="","",IFERROR(BJ145*HSTECH!$B$36*HSTECH!$G$36/HSTECH!$B$3,""))</f>
        <v/>
      </c>
      <c r="DY145" s="161">
        <f>IF(BK145="","",IFERROR(BK145*HSTECH!$B$36*HSTECH!$G$36/HSTECH!$B$3,""))</f>
        <v/>
      </c>
      <c r="DZ145" s="161">
        <f>IF(BL145="","",IFERROR(BL145*HSTECH!$B$36*HSTECH!$G$36/HSTECH!$B$3,""))</f>
        <v/>
      </c>
      <c r="EA145" s="161">
        <f>IF(BM145="","",IFERROR(BM145*HSTECH!$B$36*HSTECH!$G$36/HSTECH!$B$3,""))</f>
        <v/>
      </c>
      <c r="EB145" s="161">
        <f>IF(BN145="","",IFERROR(BN145*HSTECH!$B$36*HSTECH!$G$36/HSTECH!$B$3,""))</f>
        <v/>
      </c>
      <c r="EC145" s="161">
        <f>IF(BO145="","",IFERROR(BO145*HSTECH!$B$36*HSTECH!$G$36/HSTECH!$B$3,""))</f>
        <v/>
      </c>
      <c r="EE145" s="121">
        <f>IF(N('Dvd Calendar'!$E$1435)=0,"",IF(('Dvd Calendar'!$E$1435&gt;=GRID_FROM)*('Dvd Calendar'!$E$1435&lt;=GRID_TO)*((('Dvd Calendar'!$E$1435&lt;=VAL_DATE)+(COUNTIF('Dvd Calendar'!$E$1442:$AR$1442,'Dvd Calendar'!$E$1435)=0))&gt;0)=0,"",'Dvd Calendar'!$E$1435*1000000000+ISNUMBER('Dvd Calendar'!$E$1438)*100000000+('Dvd Calendar'!$E$1440=SPECIAL_LBL)*10000000+(N('Dvd Calendar'!$E$1434)&gt;0)*(N('Dvd Calendar'!$E$1434)&lt;=VAL_SERIAL)*1000000+30*1000+1))</f>
        <v/>
      </c>
      <c r="EF145" s="121">
        <f>IF(N('Dvd Calendar'!$F$1435)=0,"",IF(('Dvd Calendar'!$F$1435&gt;=GRID_FROM)*('Dvd Calendar'!$F$1435&lt;=GRID_TO)*((('Dvd Calendar'!$F$1435&lt;=VAL_DATE)+(COUNTIF('Dvd Calendar'!$E$1442:$AR$1442,'Dvd Calendar'!$F$1435)=0))&gt;0)=0,"",'Dvd Calendar'!$F$1435*1000000000+ISNUMBER('Dvd Calendar'!$F$1438)*100000000+('Dvd Calendar'!$F$1440=SPECIAL_LBL)*10000000+(N('Dvd Calendar'!$F$1434)&gt;0)*(N('Dvd Calendar'!$F$1434)&lt;=VAL_SERIAL)*1000000+30*1000+2))</f>
        <v/>
      </c>
      <c r="EG145" s="121">
        <f>IF(N('Dvd Calendar'!$G$1435)=0,"",IF(('Dvd Calendar'!$G$1435&gt;=GRID_FROM)*('Dvd Calendar'!$G$1435&lt;=GRID_TO)*((('Dvd Calendar'!$G$1435&lt;=VAL_DATE)+(COUNTIF('Dvd Calendar'!$E$1442:$AR$1442,'Dvd Calendar'!$G$1435)=0))&gt;0)=0,"",'Dvd Calendar'!$G$1435*1000000000+ISNUMBER('Dvd Calendar'!$G$1438)*100000000+('Dvd Calendar'!$G$1440=SPECIAL_LBL)*10000000+(N('Dvd Calendar'!$G$1434)&gt;0)*(N('Dvd Calendar'!$G$1434)&lt;=VAL_SERIAL)*1000000+30*1000+3))</f>
        <v/>
      </c>
      <c r="EH145" s="121">
        <f>IF(N('Dvd Calendar'!$H$1435)=0,"",IF(('Dvd Calendar'!$H$1435&gt;=GRID_FROM)*('Dvd Calendar'!$H$1435&lt;=GRID_TO)*((('Dvd Calendar'!$H$1435&lt;=VAL_DATE)+(COUNTIF('Dvd Calendar'!$E$1442:$AR$1442,'Dvd Calendar'!$H$1435)=0))&gt;0)=0,"",'Dvd Calendar'!$H$1435*1000000000+ISNUMBER('Dvd Calendar'!$H$1438)*100000000+('Dvd Calendar'!$H$1440=SPECIAL_LBL)*10000000+(N('Dvd Calendar'!$H$1434)&gt;0)*(N('Dvd Calendar'!$H$1434)&lt;=VAL_SERIAL)*1000000+30*1000+4))</f>
        <v/>
      </c>
      <c r="EI145" s="121">
        <f>IF(N('Dvd Calendar'!$I$1435)=0,"",IF(('Dvd Calendar'!$I$1435&gt;=GRID_FROM)*('Dvd Calendar'!$I$1435&lt;=GRID_TO)*((('Dvd Calendar'!$I$1435&lt;=VAL_DATE)+(COUNTIF('Dvd Calendar'!$E$1442:$AR$1442,'Dvd Calendar'!$I$1435)=0))&gt;0)=0,"",'Dvd Calendar'!$I$1435*1000000000+ISNUMBER('Dvd Calendar'!$I$1438)*100000000+('Dvd Calendar'!$I$1440=SPECIAL_LBL)*10000000+(N('Dvd Calendar'!$I$1434)&gt;0)*(N('Dvd Calendar'!$I$1434)&lt;=VAL_SERIAL)*1000000+30*1000+5))</f>
        <v/>
      </c>
      <c r="EJ145" s="121">
        <f>IF(N('Dvd Calendar'!$J$1435)=0,"",IF(('Dvd Calendar'!$J$1435&gt;=GRID_FROM)*('Dvd Calendar'!$J$1435&lt;=GRID_TO)*((('Dvd Calendar'!$J$1435&lt;=VAL_DATE)+(COUNTIF('Dvd Calendar'!$E$1442:$AR$1442,'Dvd Calendar'!$J$1435)=0))&gt;0)=0,"",'Dvd Calendar'!$J$1435*1000000000+ISNUMBER('Dvd Calendar'!$J$1438)*100000000+('Dvd Calendar'!$J$1440=SPECIAL_LBL)*10000000+(N('Dvd Calendar'!$J$1434)&gt;0)*(N('Dvd Calendar'!$J$1434)&lt;=VAL_SERIAL)*1000000+30*1000+6))</f>
        <v/>
      </c>
      <c r="EK145" s="121">
        <f>IF(N('Dvd Calendar'!$K$1435)=0,"",IF(('Dvd Calendar'!$K$1435&gt;=GRID_FROM)*('Dvd Calendar'!$K$1435&lt;=GRID_TO)*((('Dvd Calendar'!$K$1435&lt;=VAL_DATE)+(COUNTIF('Dvd Calendar'!$E$1442:$AR$1442,'Dvd Calendar'!$K$1435)=0))&gt;0)=0,"",'Dvd Calendar'!$K$1435*1000000000+ISNUMBER('Dvd Calendar'!$K$1438)*100000000+('Dvd Calendar'!$K$1440=SPECIAL_LBL)*10000000+(N('Dvd Calendar'!$K$1434)&gt;0)*(N('Dvd Calendar'!$K$1434)&lt;=VAL_SERIAL)*1000000+30*1000+7))</f>
        <v/>
      </c>
      <c r="EL145" s="121">
        <f>IF(N('Dvd Calendar'!$L$1435)=0,"",IF(('Dvd Calendar'!$L$1435&gt;=GRID_FROM)*('Dvd Calendar'!$L$1435&lt;=GRID_TO)*((('Dvd Calendar'!$L$1435&lt;=VAL_DATE)+(COUNTIF('Dvd Calendar'!$E$1442:$AR$1442,'Dvd Calendar'!$L$1435)=0))&gt;0)=0,"",'Dvd Calendar'!$L$1435*1000000000+ISNUMBER('Dvd Calendar'!$L$1438)*100000000+('Dvd Calendar'!$L$1440=SPECIAL_LBL)*10000000+(N('Dvd Calendar'!$L$1434)&gt;0)*(N('Dvd Calendar'!$L$1434)&lt;=VAL_SERIAL)*1000000+30*1000+8))</f>
        <v/>
      </c>
      <c r="EM145" s="121">
        <f>IF(N('Dvd Calendar'!$M$1435)=0,"",IF(('Dvd Calendar'!$M$1435&gt;=GRID_FROM)*('Dvd Calendar'!$M$1435&lt;=GRID_TO)*((('Dvd Calendar'!$M$1435&lt;=VAL_DATE)+(COUNTIF('Dvd Calendar'!$E$1442:$AR$1442,'Dvd Calendar'!$M$1435)=0))&gt;0)=0,"",'Dvd Calendar'!$M$1435*1000000000+ISNUMBER('Dvd Calendar'!$M$1438)*100000000+('Dvd Calendar'!$M$1440=SPECIAL_LBL)*10000000+(N('Dvd Calendar'!$M$1434)&gt;0)*(N('Dvd Calendar'!$M$1434)&lt;=VAL_SERIAL)*1000000+30*1000+9))</f>
        <v/>
      </c>
      <c r="EN145" s="121">
        <f>IF(N('Dvd Calendar'!$N$1435)=0,"",IF(('Dvd Calendar'!$N$1435&gt;=GRID_FROM)*('Dvd Calendar'!$N$1435&lt;=GRID_TO)*((('Dvd Calendar'!$N$1435&lt;=VAL_DATE)+(COUNTIF('Dvd Calendar'!$E$1442:$AR$1442,'Dvd Calendar'!$N$1435)=0))&gt;0)=0,"",'Dvd Calendar'!$N$1435*1000000000+ISNUMBER('Dvd Calendar'!$N$1438)*100000000+('Dvd Calendar'!$N$1440=SPECIAL_LBL)*10000000+(N('Dvd Calendar'!$N$1434)&gt;0)*(N('Dvd Calendar'!$N$1434)&lt;=VAL_SERIAL)*1000000+30*1000+10))</f>
        <v/>
      </c>
      <c r="EO145" s="121">
        <f>IF(N('Dvd Calendar'!$O$1435)=0,"",IF(('Dvd Calendar'!$O$1435&gt;=GRID_FROM)*('Dvd Calendar'!$O$1435&lt;=GRID_TO)*((('Dvd Calendar'!$O$1435&lt;=VAL_DATE)+(COUNTIF('Dvd Calendar'!$E$1442:$AR$1442,'Dvd Calendar'!$O$1435)=0))&gt;0)=0,"",'Dvd Calendar'!$O$1435*1000000000+ISNUMBER('Dvd Calendar'!$O$1438)*100000000+('Dvd Calendar'!$O$1440=SPECIAL_LBL)*10000000+(N('Dvd Calendar'!$O$1434)&gt;0)*(N('Dvd Calendar'!$O$1434)&lt;=VAL_SERIAL)*1000000+30*1000+11))</f>
        <v/>
      </c>
      <c r="EP145" s="121">
        <f>IF(N('Dvd Calendar'!$P$1435)=0,"",IF(('Dvd Calendar'!$P$1435&gt;=GRID_FROM)*('Dvd Calendar'!$P$1435&lt;=GRID_TO)*((('Dvd Calendar'!$P$1435&lt;=VAL_DATE)+(COUNTIF('Dvd Calendar'!$E$1442:$AR$1442,'Dvd Calendar'!$P$1435)=0))&gt;0)=0,"",'Dvd Calendar'!$P$1435*1000000000+ISNUMBER('Dvd Calendar'!$P$1438)*100000000+('Dvd Calendar'!$P$1440=SPECIAL_LBL)*10000000+(N('Dvd Calendar'!$P$1434)&gt;0)*(N('Dvd Calendar'!$P$1434)&lt;=VAL_SERIAL)*1000000+30*1000+12))</f>
        <v/>
      </c>
      <c r="EQ145" s="121">
        <f>IF(N('Dvd Calendar'!$Q$1435)=0,"",IF(('Dvd Calendar'!$Q$1435&gt;=GRID_FROM)*('Dvd Calendar'!$Q$1435&lt;=GRID_TO)*((('Dvd Calendar'!$Q$1435&lt;=VAL_DATE)+(COUNTIF('Dvd Calendar'!$E$1442:$AR$1442,'Dvd Calendar'!$Q$1435)=0))&gt;0)=0,"",'Dvd Calendar'!$Q$1435*1000000000+ISNUMBER('Dvd Calendar'!$Q$1438)*100000000+('Dvd Calendar'!$Q$1440=SPECIAL_LBL)*10000000+(N('Dvd Calendar'!$Q$1434)&gt;0)*(N('Dvd Calendar'!$Q$1434)&lt;=VAL_SERIAL)*1000000+30*1000+13))</f>
        <v/>
      </c>
      <c r="ER145" s="121">
        <f>IF(N('Dvd Calendar'!$R$1435)=0,"",IF(('Dvd Calendar'!$R$1435&gt;=GRID_FROM)*('Dvd Calendar'!$R$1435&lt;=GRID_TO)*((('Dvd Calendar'!$R$1435&lt;=VAL_DATE)+(COUNTIF('Dvd Calendar'!$E$1442:$AR$1442,'Dvd Calendar'!$R$1435)=0))&gt;0)=0,"",'Dvd Calendar'!$R$1435*1000000000+ISNUMBER('Dvd Calendar'!$R$1438)*100000000+('Dvd Calendar'!$R$1440=SPECIAL_LBL)*10000000+(N('Dvd Calendar'!$R$1434)&gt;0)*(N('Dvd Calendar'!$R$1434)&lt;=VAL_SERIAL)*1000000+30*1000+14))</f>
        <v/>
      </c>
      <c r="ES145" s="121">
        <f>IF(N('Dvd Calendar'!$S$1435)=0,"",IF(('Dvd Calendar'!$S$1435&gt;=GRID_FROM)*('Dvd Calendar'!$S$1435&lt;=GRID_TO)*((('Dvd Calendar'!$S$1435&lt;=VAL_DATE)+(COUNTIF('Dvd Calendar'!$E$1442:$AR$1442,'Dvd Calendar'!$S$1435)=0))&gt;0)=0,"",'Dvd Calendar'!$S$1435*1000000000+ISNUMBER('Dvd Calendar'!$S$1438)*100000000+('Dvd Calendar'!$S$1440=SPECIAL_LBL)*10000000+(N('Dvd Calendar'!$S$1434)&gt;0)*(N('Dvd Calendar'!$S$1434)&lt;=VAL_SERIAL)*1000000+30*1000+15))</f>
        <v/>
      </c>
      <c r="ET145" s="121">
        <f>IF(N('Dvd Calendar'!$T$1435)=0,"",IF(('Dvd Calendar'!$T$1435&gt;=GRID_FROM)*('Dvd Calendar'!$T$1435&lt;=GRID_TO)*((('Dvd Calendar'!$T$1435&lt;=VAL_DATE)+(COUNTIF('Dvd Calendar'!$E$1442:$AR$1442,'Dvd Calendar'!$T$1435)=0))&gt;0)=0,"",'Dvd Calendar'!$T$1435*1000000000+ISNUMBER('Dvd Calendar'!$T$1438)*100000000+('Dvd Calendar'!$T$1440=SPECIAL_LBL)*10000000+(N('Dvd Calendar'!$T$1434)&gt;0)*(N('Dvd Calendar'!$T$1434)&lt;=VAL_SERIAL)*1000000+30*1000+16))</f>
        <v/>
      </c>
      <c r="EU145" s="121">
        <f>IF(N('Dvd Calendar'!$U$1435)=0,"",IF(('Dvd Calendar'!$U$1435&gt;=GRID_FROM)*('Dvd Calendar'!$U$1435&lt;=GRID_TO)*((('Dvd Calendar'!$U$1435&lt;=VAL_DATE)+(COUNTIF('Dvd Calendar'!$E$1442:$AR$1442,'Dvd Calendar'!$U$1435)=0))&gt;0)=0,"",'Dvd Calendar'!$U$1435*1000000000+ISNUMBER('Dvd Calendar'!$U$1438)*100000000+('Dvd Calendar'!$U$1440=SPECIAL_LBL)*10000000+(N('Dvd Calendar'!$U$1434)&gt;0)*(N('Dvd Calendar'!$U$1434)&lt;=VAL_SERIAL)*1000000+30*1000+17))</f>
        <v/>
      </c>
      <c r="EV145" s="121">
        <f>IF(N('Dvd Calendar'!$V$1435)=0,"",IF(('Dvd Calendar'!$V$1435&gt;=GRID_FROM)*('Dvd Calendar'!$V$1435&lt;=GRID_TO)*((('Dvd Calendar'!$V$1435&lt;=VAL_DATE)+(COUNTIF('Dvd Calendar'!$E$1442:$AR$1442,'Dvd Calendar'!$V$1435)=0))&gt;0)=0,"",'Dvd Calendar'!$V$1435*1000000000+ISNUMBER('Dvd Calendar'!$V$1438)*100000000+('Dvd Calendar'!$V$1440=SPECIAL_LBL)*10000000+(N('Dvd Calendar'!$V$1434)&gt;0)*(N('Dvd Calendar'!$V$1434)&lt;=VAL_SERIAL)*1000000+30*1000+18))</f>
        <v/>
      </c>
      <c r="EW145" s="121">
        <f>IF(N('Dvd Calendar'!$W$1435)=0,"",IF(('Dvd Calendar'!$W$1435&gt;=GRID_FROM)*('Dvd Calendar'!$W$1435&lt;=GRID_TO)*((('Dvd Calendar'!$W$1435&lt;=VAL_DATE)+(COUNTIF('Dvd Calendar'!$E$1442:$AR$1442,'Dvd Calendar'!$W$1435)=0))&gt;0)=0,"",'Dvd Calendar'!$W$1435*1000000000+ISNUMBER('Dvd Calendar'!$W$1438)*100000000+('Dvd Calendar'!$W$1440=SPECIAL_LBL)*10000000+(N('Dvd Calendar'!$W$1434)&gt;0)*(N('Dvd Calendar'!$W$1434)&lt;=VAL_SERIAL)*1000000+30*1000+19))</f>
        <v/>
      </c>
      <c r="EX145" s="121">
        <f>IF(N('Dvd Calendar'!$X$1435)=0,"",IF(('Dvd Calendar'!$X$1435&gt;=GRID_FROM)*('Dvd Calendar'!$X$1435&lt;=GRID_TO)*((('Dvd Calendar'!$X$1435&lt;=VAL_DATE)+(COUNTIF('Dvd Calendar'!$E$1442:$AR$1442,'Dvd Calendar'!$X$1435)=0))&gt;0)=0,"",'Dvd Calendar'!$X$1435*1000000000+ISNUMBER('Dvd Calendar'!$X$1438)*100000000+('Dvd Calendar'!$X$1440=SPECIAL_LBL)*10000000+(N('Dvd Calendar'!$X$1434)&gt;0)*(N('Dvd Calendar'!$X$1434)&lt;=VAL_SERIAL)*1000000+30*1000+20))</f>
        <v/>
      </c>
      <c r="EY145" s="121">
        <f>IF(N('Dvd Calendar'!$Y$1435)=0,"",IF(('Dvd Calendar'!$Y$1435&gt;=GRID_FROM)*('Dvd Calendar'!$Y$1435&lt;=GRID_TO)*((('Dvd Calendar'!$Y$1435&lt;=VAL_DATE)+(COUNTIF('Dvd Calendar'!$E$1442:$AR$1442,'Dvd Calendar'!$Y$1435)=0))&gt;0)=0,"",'Dvd Calendar'!$Y$1435*1000000000+ISNUMBER('Dvd Calendar'!$Y$1438)*100000000+('Dvd Calendar'!$Y$1440=SPECIAL_LBL)*10000000+(N('Dvd Calendar'!$Y$1434)&gt;0)*(N('Dvd Calendar'!$Y$1434)&lt;=VAL_SERIAL)*1000000+30*1000+21))</f>
        <v/>
      </c>
      <c r="EZ145" s="121">
        <f>IF(N('Dvd Calendar'!$Z$1435)=0,"",IF(('Dvd Calendar'!$Z$1435&gt;=GRID_FROM)*('Dvd Calendar'!$Z$1435&lt;=GRID_TO)*((('Dvd Calendar'!$Z$1435&lt;=VAL_DATE)+(COUNTIF('Dvd Calendar'!$E$1442:$AR$1442,'Dvd Calendar'!$Z$1435)=0))&gt;0)=0,"",'Dvd Calendar'!$Z$1435*1000000000+ISNUMBER('Dvd Calendar'!$Z$1438)*100000000+('Dvd Calendar'!$Z$1440=SPECIAL_LBL)*10000000+(N('Dvd Calendar'!$Z$1434)&gt;0)*(N('Dvd Calendar'!$Z$1434)&lt;=VAL_SERIAL)*1000000+30*1000+22))</f>
        <v/>
      </c>
      <c r="FA145" s="121">
        <f>IF(N('Dvd Calendar'!$AA$1435)=0,"",IF(('Dvd Calendar'!$AA$1435&gt;=GRID_FROM)*('Dvd Calendar'!$AA$1435&lt;=GRID_TO)*((('Dvd Calendar'!$AA$1435&lt;=VAL_DATE)+(COUNTIF('Dvd Calendar'!$E$1442:$AR$1442,'Dvd Calendar'!$AA$1435)=0))&gt;0)=0,"",'Dvd Calendar'!$AA$1435*1000000000+ISNUMBER('Dvd Calendar'!$AA$1438)*100000000+('Dvd Calendar'!$AA$1440=SPECIAL_LBL)*10000000+(N('Dvd Calendar'!$AA$1434)&gt;0)*(N('Dvd Calendar'!$AA$1434)&lt;=VAL_SERIAL)*1000000+30*1000+23))</f>
        <v/>
      </c>
      <c r="FB145" s="121">
        <f>IF(N('Dvd Calendar'!$AB$1435)=0,"",IF(('Dvd Calendar'!$AB$1435&gt;=GRID_FROM)*('Dvd Calendar'!$AB$1435&lt;=GRID_TO)*((('Dvd Calendar'!$AB$1435&lt;=VAL_DATE)+(COUNTIF('Dvd Calendar'!$E$1442:$AR$1442,'Dvd Calendar'!$AB$1435)=0))&gt;0)=0,"",'Dvd Calendar'!$AB$1435*1000000000+ISNUMBER('Dvd Calendar'!$AB$1438)*100000000+('Dvd Calendar'!$AB$1440=SPECIAL_LBL)*10000000+(N('Dvd Calendar'!$AB$1434)&gt;0)*(N('Dvd Calendar'!$AB$1434)&lt;=VAL_SERIAL)*1000000+30*1000+24))</f>
        <v/>
      </c>
      <c r="FC145" s="121">
        <f>IF(N('Dvd Calendar'!$AC$1435)=0,"",IF(('Dvd Calendar'!$AC$1435&gt;=GRID_FROM)*('Dvd Calendar'!$AC$1435&lt;=GRID_TO)*((('Dvd Calendar'!$AC$1435&lt;=VAL_DATE)+(COUNTIF('Dvd Calendar'!$E$1442:$AR$1442,'Dvd Calendar'!$AC$1435)=0))&gt;0)=0,"",'Dvd Calendar'!$AC$1435*1000000000+ISNUMBER('Dvd Calendar'!$AC$1438)*100000000+('Dvd Calendar'!$AC$1440=SPECIAL_LBL)*10000000+(N('Dvd Calendar'!$AC$1434)&gt;0)*(N('Dvd Calendar'!$AC$1434)&lt;=VAL_SERIAL)*1000000+30*1000+25))</f>
        <v/>
      </c>
      <c r="FD145" s="121">
        <f>IF(N('Dvd Calendar'!$AD$1435)=0,"",IF(('Dvd Calendar'!$AD$1435&gt;=GRID_FROM)*('Dvd Calendar'!$AD$1435&lt;=GRID_TO)*((('Dvd Calendar'!$AD$1435&lt;=VAL_DATE)+(COUNTIF('Dvd Calendar'!$E$1442:$AR$1442,'Dvd Calendar'!$AD$1435)=0))&gt;0)=0,"",'Dvd Calendar'!$AD$1435*1000000000+ISNUMBER('Dvd Calendar'!$AD$1438)*100000000+('Dvd Calendar'!$AD$1440=SPECIAL_LBL)*10000000+(N('Dvd Calendar'!$AD$1434)&gt;0)*(N('Dvd Calendar'!$AD$1434)&lt;=VAL_SERIAL)*1000000+30*1000+26))</f>
        <v/>
      </c>
      <c r="FE145" s="121">
        <f>IF(N('Dvd Calendar'!$AE$1435)=0,"",IF(('Dvd Calendar'!$AE$1435&gt;=GRID_FROM)*('Dvd Calendar'!$AE$1435&lt;=GRID_TO)*((('Dvd Calendar'!$AE$1435&lt;=VAL_DATE)+(COUNTIF('Dvd Calendar'!$E$1442:$AR$1442,'Dvd Calendar'!$AE$1435)=0))&gt;0)=0,"",'Dvd Calendar'!$AE$1435*1000000000+ISNUMBER('Dvd Calendar'!$AE$1438)*100000000+('Dvd Calendar'!$AE$1440=SPECIAL_LBL)*10000000+(N('Dvd Calendar'!$AE$1434)&gt;0)*(N('Dvd Calendar'!$AE$1434)&lt;=VAL_SERIAL)*1000000+30*1000+27))</f>
        <v/>
      </c>
      <c r="FF145" s="121">
        <f>IF(N('Dvd Calendar'!$AF$1435)=0,"",IF(('Dvd Calendar'!$AF$1435&gt;=GRID_FROM)*('Dvd Calendar'!$AF$1435&lt;=GRID_TO)*((('Dvd Calendar'!$AF$1435&lt;=VAL_DATE)+(COUNTIF('Dvd Calendar'!$E$1442:$AR$1442,'Dvd Calendar'!$AF$1435)=0))&gt;0)=0,"",'Dvd Calendar'!$AF$1435*1000000000+ISNUMBER('Dvd Calendar'!$AF$1438)*100000000+('Dvd Calendar'!$AF$1440=SPECIAL_LBL)*10000000+(N('Dvd Calendar'!$AF$1434)&gt;0)*(N('Dvd Calendar'!$AF$1434)&lt;=VAL_SERIAL)*1000000+30*1000+28))</f>
        <v/>
      </c>
      <c r="FG145" s="121">
        <f>IF(N('Dvd Calendar'!$AG$1435)=0,"",IF(('Dvd Calendar'!$AG$1435&gt;=GRID_FROM)*('Dvd Calendar'!$AG$1435&lt;=GRID_TO)*((('Dvd Calendar'!$AG$1435&lt;=VAL_DATE)+(COUNTIF('Dvd Calendar'!$E$1442:$AR$1442,'Dvd Calendar'!$AG$1435)=0))&gt;0)=0,"",'Dvd Calendar'!$AG$1435*1000000000+ISNUMBER('Dvd Calendar'!$AG$1438)*100000000+('Dvd Calendar'!$AG$1440=SPECIAL_LBL)*10000000+(N('Dvd Calendar'!$AG$1434)&gt;0)*(N('Dvd Calendar'!$AG$1434)&lt;=VAL_SERIAL)*1000000+30*1000+29))</f>
        <v/>
      </c>
      <c r="FH145" s="121">
        <f>IF(N('Dvd Calendar'!$AH$1435)=0,"",IF(('Dvd Calendar'!$AH$1435&gt;=GRID_FROM)*('Dvd Calendar'!$AH$1435&lt;=GRID_TO)*((('Dvd Calendar'!$AH$1435&lt;=VAL_DATE)+(COUNTIF('Dvd Calendar'!$E$1442:$AR$1442,'Dvd Calendar'!$AH$1435)=0))&gt;0)=0,"",'Dvd Calendar'!$AH$1435*1000000000+ISNUMBER('Dvd Calendar'!$AH$1438)*100000000+('Dvd Calendar'!$AH$1440=SPECIAL_LBL)*10000000+(N('Dvd Calendar'!$AH$1434)&gt;0)*(N('Dvd Calendar'!$AH$1434)&lt;=VAL_SERIAL)*1000000+30*1000+30))</f>
        <v/>
      </c>
      <c r="FI145" s="121">
        <f>IF(N('Dvd Calendar'!$AI$1435)=0,"",IF(('Dvd Calendar'!$AI$1435&gt;=GRID_FROM)*('Dvd Calendar'!$AI$1435&lt;=GRID_TO)*((('Dvd Calendar'!$AI$1435&lt;=VAL_DATE)+(COUNTIF('Dvd Calendar'!$E$1442:$AR$1442,'Dvd Calendar'!$AI$1435)=0))&gt;0)=0,"",'Dvd Calendar'!$AI$1435*1000000000+ISNUMBER('Dvd Calendar'!$AI$1438)*100000000+('Dvd Calendar'!$AI$1440=SPECIAL_LBL)*10000000+(N('Dvd Calendar'!$AI$1434)&gt;0)*(N('Dvd Calendar'!$AI$1434)&lt;=VAL_SERIAL)*1000000+30*1000+31))</f>
        <v/>
      </c>
      <c r="FJ145" s="121">
        <f>IF(N('Dvd Calendar'!$AJ$1435)=0,"",IF(('Dvd Calendar'!$AJ$1435&gt;=GRID_FROM)*('Dvd Calendar'!$AJ$1435&lt;=GRID_TO)*((('Dvd Calendar'!$AJ$1435&lt;=VAL_DATE)+(COUNTIF('Dvd Calendar'!$E$1442:$AR$1442,'Dvd Calendar'!$AJ$1435)=0))&gt;0)=0,"",'Dvd Calendar'!$AJ$1435*1000000000+ISNUMBER('Dvd Calendar'!$AJ$1438)*100000000+('Dvd Calendar'!$AJ$1440=SPECIAL_LBL)*10000000+(N('Dvd Calendar'!$AJ$1434)&gt;0)*(N('Dvd Calendar'!$AJ$1434)&lt;=VAL_SERIAL)*1000000+30*1000+32))</f>
        <v/>
      </c>
      <c r="FK145" s="121">
        <f>IF(N('Dvd Calendar'!$AK$1435)=0,"",IF(('Dvd Calendar'!$AK$1435&gt;=GRID_FROM)*('Dvd Calendar'!$AK$1435&lt;=GRID_TO)*((('Dvd Calendar'!$AK$1435&lt;=VAL_DATE)+(COUNTIF('Dvd Calendar'!$E$1442:$AR$1442,'Dvd Calendar'!$AK$1435)=0))&gt;0)=0,"",'Dvd Calendar'!$AK$1435*1000000000+ISNUMBER('Dvd Calendar'!$AK$1438)*100000000+('Dvd Calendar'!$AK$1440=SPECIAL_LBL)*10000000+(N('Dvd Calendar'!$AK$1434)&gt;0)*(N('Dvd Calendar'!$AK$1434)&lt;=VAL_SERIAL)*1000000+30*1000+33))</f>
        <v/>
      </c>
      <c r="FL145" s="121">
        <f>IF(N('Dvd Calendar'!$AL$1435)=0,"",IF(('Dvd Calendar'!$AL$1435&gt;=GRID_FROM)*('Dvd Calendar'!$AL$1435&lt;=GRID_TO)*((('Dvd Calendar'!$AL$1435&lt;=VAL_DATE)+(COUNTIF('Dvd Calendar'!$E$1442:$AR$1442,'Dvd Calendar'!$AL$1435)=0))&gt;0)=0,"",'Dvd Calendar'!$AL$1435*1000000000+ISNUMBER('Dvd Calendar'!$AL$1438)*100000000+('Dvd Calendar'!$AL$1440=SPECIAL_LBL)*10000000+(N('Dvd Calendar'!$AL$1434)&gt;0)*(N('Dvd Calendar'!$AL$1434)&lt;=VAL_SERIAL)*1000000+30*1000+34))</f>
        <v/>
      </c>
      <c r="FM145" s="121">
        <f>IF(N('Dvd Calendar'!$AM$1435)=0,"",IF(('Dvd Calendar'!$AM$1435&gt;=GRID_FROM)*('Dvd Calendar'!$AM$1435&lt;=GRID_TO)*((('Dvd Calendar'!$AM$1435&lt;=VAL_DATE)+(COUNTIF('Dvd Calendar'!$E$1442:$AR$1442,'Dvd Calendar'!$AM$1435)=0))&gt;0)=0,"",'Dvd Calendar'!$AM$1435*1000000000+ISNUMBER('Dvd Calendar'!$AM$1438)*100000000+('Dvd Calendar'!$AM$1440=SPECIAL_LBL)*10000000+(N('Dvd Calendar'!$AM$1434)&gt;0)*(N('Dvd Calendar'!$AM$1434)&lt;=VAL_SERIAL)*1000000+30*1000+35))</f>
        <v/>
      </c>
      <c r="FN145" s="121">
        <f>IF(N('Dvd Calendar'!$AN$1435)=0,"",IF(('Dvd Calendar'!$AN$1435&gt;=GRID_FROM)*('Dvd Calendar'!$AN$1435&lt;=GRID_TO)*((('Dvd Calendar'!$AN$1435&lt;=VAL_DATE)+(COUNTIF('Dvd Calendar'!$E$1442:$AR$1442,'Dvd Calendar'!$AN$1435)=0))&gt;0)=0,"",'Dvd Calendar'!$AN$1435*1000000000+ISNUMBER('Dvd Calendar'!$AN$1438)*100000000+('Dvd Calendar'!$AN$1440=SPECIAL_LBL)*10000000+(N('Dvd Calendar'!$AN$1434)&gt;0)*(N('Dvd Calendar'!$AN$1434)&lt;=VAL_SERIAL)*1000000+30*1000+36))</f>
        <v/>
      </c>
      <c r="FO145" s="121">
        <f>IF(N('Dvd Calendar'!$AO$1435)=0,"",IF(('Dvd Calendar'!$AO$1435&gt;=GRID_FROM)*('Dvd Calendar'!$AO$1435&lt;=GRID_TO)*((('Dvd Calendar'!$AO$1435&lt;=VAL_DATE)+(COUNTIF('Dvd Calendar'!$E$1442:$AR$1442,'Dvd Calendar'!$AO$1435)=0))&gt;0)=0,"",'Dvd Calendar'!$AO$1435*1000000000+ISNUMBER('Dvd Calendar'!$AO$1438)*100000000+('Dvd Calendar'!$AO$1440=SPECIAL_LBL)*10000000+(N('Dvd Calendar'!$AO$1434)&gt;0)*(N('Dvd Calendar'!$AO$1434)&lt;=VAL_SERIAL)*1000000+30*1000+37))</f>
        <v/>
      </c>
      <c r="FP145" s="121">
        <f>IF(N('Dvd Calendar'!$AP$1435)=0,"",IF(('Dvd Calendar'!$AP$1435&gt;=GRID_FROM)*('Dvd Calendar'!$AP$1435&lt;=GRID_TO)*((('Dvd Calendar'!$AP$1435&lt;=VAL_DATE)+(COUNTIF('Dvd Calendar'!$E$1442:$AR$1442,'Dvd Calendar'!$AP$1435)=0))&gt;0)=0,"",'Dvd Calendar'!$AP$1435*1000000000+ISNUMBER('Dvd Calendar'!$AP$1438)*100000000+('Dvd Calendar'!$AP$1440=SPECIAL_LBL)*10000000+(N('Dvd Calendar'!$AP$1434)&gt;0)*(N('Dvd Calendar'!$AP$1434)&lt;=VAL_SERIAL)*1000000+30*1000+38))</f>
        <v/>
      </c>
      <c r="FQ145" s="121">
        <f>IF(N('Dvd Calendar'!$AQ$1435)=0,"",IF(('Dvd Calendar'!$AQ$1435&gt;=GRID_FROM)*('Dvd Calendar'!$AQ$1435&lt;=GRID_TO)*((('Dvd Calendar'!$AQ$1435&lt;=VAL_DATE)+(COUNTIF('Dvd Calendar'!$E$1442:$AR$1442,'Dvd Calendar'!$AQ$1435)=0))&gt;0)=0,"",'Dvd Calendar'!$AQ$1435*1000000000+ISNUMBER('Dvd Calendar'!$AQ$1438)*100000000+('Dvd Calendar'!$AQ$1440=SPECIAL_LBL)*10000000+(N('Dvd Calendar'!$AQ$1434)&gt;0)*(N('Dvd Calendar'!$AQ$1434)&lt;=VAL_SERIAL)*1000000+30*1000+39))</f>
        <v/>
      </c>
      <c r="FR145" s="121">
        <f>IF(N('Dvd Calendar'!$AR$1435)=0,"",IF(('Dvd Calendar'!$AR$1435&gt;=GRID_FROM)*('Dvd Calendar'!$AR$1435&lt;=GRID_TO)*((('Dvd Calendar'!$AR$1435&lt;=VAL_DATE)+(COUNTIF('Dvd Calendar'!$E$1442:$AR$1442,'Dvd Calendar'!$AR$1435)=0))&gt;0)=0,"",'Dvd Calendar'!$AR$1435*1000000000+ISNUMBER('Dvd Calendar'!$AR$1438)*100000000+('Dvd Calendar'!$AR$1440=SPECIAL_LBL)*10000000+(N('Dvd Calendar'!$AR$1434)&gt;0)*(N('Dvd Calendar'!$AR$1434)&lt;=VAL_SERIAL)*1000000+30*1000+40))</f>
        <v/>
      </c>
      <c r="FS145" s="121">
        <f>IF(N('Dvd Calendar'!$E$1442)=0,"",IF(('Dvd Calendar'!$E$1442&gt;=GRID_FROM)*('Dvd Calendar'!$E$1442&lt;=GRID_TO)*('Dvd Calendar'!$E$1442&gt;VAL_DATE)=0,"",'Dvd Calendar'!$E$1442*1000000000+ISNUMBER('Dvd Calendar'!$E$1443)*100000000+0*10000000+(N('Dvd Calendar'!$E$1441)&gt;0)*(N('Dvd Calendar'!$E$1441)&lt;=VAL_SERIAL)*1000000+30*1000+41))</f>
        <v/>
      </c>
      <c r="FT145" s="121">
        <f>IF(N('Dvd Calendar'!$F$1442)=0,"",IF(('Dvd Calendar'!$F$1442&gt;=GRID_FROM)*('Dvd Calendar'!$F$1442&lt;=GRID_TO)*('Dvd Calendar'!$F$1442&gt;VAL_DATE)=0,"",'Dvd Calendar'!$F$1442*1000000000+ISNUMBER('Dvd Calendar'!$F$1443)*100000000+0*10000000+(N('Dvd Calendar'!$F$1441)&gt;0)*(N('Dvd Calendar'!$F$1441)&lt;=VAL_SERIAL)*1000000+30*1000+42))</f>
        <v/>
      </c>
      <c r="FU145" s="121">
        <f>IF(N('Dvd Calendar'!$G$1442)=0,"",IF(('Dvd Calendar'!$G$1442&gt;=GRID_FROM)*('Dvd Calendar'!$G$1442&lt;=GRID_TO)*('Dvd Calendar'!$G$1442&gt;VAL_DATE)=0,"",'Dvd Calendar'!$G$1442*1000000000+ISNUMBER('Dvd Calendar'!$G$1443)*100000000+0*10000000+(N('Dvd Calendar'!$G$1441)&gt;0)*(N('Dvd Calendar'!$G$1441)&lt;=VAL_SERIAL)*1000000+30*1000+43))</f>
        <v/>
      </c>
      <c r="FV145" s="121">
        <f>IF(N('Dvd Calendar'!$H$1442)=0,"",IF(('Dvd Calendar'!$H$1442&gt;=GRID_FROM)*('Dvd Calendar'!$H$1442&lt;=GRID_TO)*('Dvd Calendar'!$H$1442&gt;VAL_DATE)=0,"",'Dvd Calendar'!$H$1442*1000000000+ISNUMBER('Dvd Calendar'!$H$1443)*100000000+0*10000000+(N('Dvd Calendar'!$H$1441)&gt;0)*(N('Dvd Calendar'!$H$1441)&lt;=VAL_SERIAL)*1000000+30*1000+44))</f>
        <v/>
      </c>
      <c r="FW145" s="121">
        <f>IF(N('Dvd Calendar'!$I$1442)=0,"",IF(('Dvd Calendar'!$I$1442&gt;=GRID_FROM)*('Dvd Calendar'!$I$1442&lt;=GRID_TO)*('Dvd Calendar'!$I$1442&gt;VAL_DATE)=0,"",'Dvd Calendar'!$I$1442*1000000000+ISNUMBER('Dvd Calendar'!$I$1443)*100000000+0*10000000+(N('Dvd Calendar'!$I$1441)&gt;0)*(N('Dvd Calendar'!$I$1441)&lt;=VAL_SERIAL)*1000000+30*1000+45))</f>
        <v/>
      </c>
      <c r="FX145" s="121">
        <f>IF(N('Dvd Calendar'!$J$1442)=0,"",IF(('Dvd Calendar'!$J$1442&gt;=GRID_FROM)*('Dvd Calendar'!$J$1442&lt;=GRID_TO)*('Dvd Calendar'!$J$1442&gt;VAL_DATE)=0,"",'Dvd Calendar'!$J$1442*1000000000+ISNUMBER('Dvd Calendar'!$J$1443)*100000000+0*10000000+(N('Dvd Calendar'!$J$1441)&gt;0)*(N('Dvd Calendar'!$J$1441)&lt;=VAL_SERIAL)*1000000+30*1000+46))</f>
        <v/>
      </c>
      <c r="FY145" s="121">
        <f>IF(N('Dvd Calendar'!$K$1442)=0,"",IF(('Dvd Calendar'!$K$1442&gt;=GRID_FROM)*('Dvd Calendar'!$K$1442&lt;=GRID_TO)*('Dvd Calendar'!$K$1442&gt;VAL_DATE)=0,"",'Dvd Calendar'!$K$1442*1000000000+ISNUMBER('Dvd Calendar'!$K$1443)*100000000+0*10000000+(N('Dvd Calendar'!$K$1441)&gt;0)*(N('Dvd Calendar'!$K$1441)&lt;=VAL_SERIAL)*1000000+30*1000+47))</f>
        <v/>
      </c>
      <c r="FZ145" s="121">
        <f>IF(N('Dvd Calendar'!$L$1442)=0,"",IF(('Dvd Calendar'!$L$1442&gt;=GRID_FROM)*('Dvd Calendar'!$L$1442&lt;=GRID_TO)*('Dvd Calendar'!$L$1442&gt;VAL_DATE)=0,"",'Dvd Calendar'!$L$1442*1000000000+ISNUMBER('Dvd Calendar'!$L$1443)*100000000+0*10000000+(N('Dvd Calendar'!$L$1441)&gt;0)*(N('Dvd Calendar'!$L$1441)&lt;=VAL_SERIAL)*1000000+30*1000+48))</f>
        <v/>
      </c>
      <c r="GA145" s="121">
        <f>IF(N('Dvd Calendar'!$M$1442)=0,"",IF(('Dvd Calendar'!$M$1442&gt;=GRID_FROM)*('Dvd Calendar'!$M$1442&lt;=GRID_TO)*('Dvd Calendar'!$M$1442&gt;VAL_DATE)=0,"",'Dvd Calendar'!$M$1442*1000000000+ISNUMBER('Dvd Calendar'!$M$1443)*100000000+0*10000000+(N('Dvd Calendar'!$M$1441)&gt;0)*(N('Dvd Calendar'!$M$1441)&lt;=VAL_SERIAL)*1000000+30*1000+49))</f>
        <v/>
      </c>
      <c r="GB145" s="121">
        <f>IF(N('Dvd Calendar'!$N$1442)=0,"",IF(('Dvd Calendar'!$N$1442&gt;=GRID_FROM)*('Dvd Calendar'!$N$1442&lt;=GRID_TO)*('Dvd Calendar'!$N$1442&gt;VAL_DATE)=0,"",'Dvd Calendar'!$N$1442*1000000000+ISNUMBER('Dvd Calendar'!$N$1443)*100000000+0*10000000+(N('Dvd Calendar'!$N$1441)&gt;0)*(N('Dvd Calendar'!$N$1441)&lt;=VAL_SERIAL)*1000000+30*1000+50))</f>
        <v/>
      </c>
      <c r="GC145" s="121">
        <f>IF(N('Dvd Calendar'!$O$1442)=0,"",IF(('Dvd Calendar'!$O$1442&gt;=GRID_FROM)*('Dvd Calendar'!$O$1442&lt;=GRID_TO)*('Dvd Calendar'!$O$1442&gt;VAL_DATE)=0,"",'Dvd Calendar'!$O$1442*1000000000+ISNUMBER('Dvd Calendar'!$O$1443)*100000000+0*10000000+(N('Dvd Calendar'!$O$1441)&gt;0)*(N('Dvd Calendar'!$O$1441)&lt;=VAL_SERIAL)*1000000+30*1000+51))</f>
        <v/>
      </c>
      <c r="GD145" s="121">
        <f>IF(N('Dvd Calendar'!$P$1442)=0,"",IF(('Dvd Calendar'!$P$1442&gt;=GRID_FROM)*('Dvd Calendar'!$P$1442&lt;=GRID_TO)*('Dvd Calendar'!$P$1442&gt;VAL_DATE)=0,"",'Dvd Calendar'!$P$1442*1000000000+ISNUMBER('Dvd Calendar'!$P$1443)*100000000+0*10000000+(N('Dvd Calendar'!$P$1441)&gt;0)*(N('Dvd Calendar'!$P$1441)&lt;=VAL_SERIAL)*1000000+30*1000+52))</f>
        <v/>
      </c>
      <c r="GE145" s="121">
        <f>IF(N('Dvd Calendar'!$Q$1442)=0,"",IF(('Dvd Calendar'!$Q$1442&gt;=GRID_FROM)*('Dvd Calendar'!$Q$1442&lt;=GRID_TO)*('Dvd Calendar'!$Q$1442&gt;VAL_DATE)=0,"",'Dvd Calendar'!$Q$1442*1000000000+ISNUMBER('Dvd Calendar'!$Q$1443)*100000000+0*10000000+(N('Dvd Calendar'!$Q$1441)&gt;0)*(N('Dvd Calendar'!$Q$1441)&lt;=VAL_SERIAL)*1000000+30*1000+53))</f>
        <v/>
      </c>
      <c r="GF145" s="121">
        <f>IF(N('Dvd Calendar'!$R$1442)=0,"",IF(('Dvd Calendar'!$R$1442&gt;=GRID_FROM)*('Dvd Calendar'!$R$1442&lt;=GRID_TO)*('Dvd Calendar'!$R$1442&gt;VAL_DATE)=0,"",'Dvd Calendar'!$R$1442*1000000000+ISNUMBER('Dvd Calendar'!$R$1443)*100000000+0*10000000+(N('Dvd Calendar'!$R$1441)&gt;0)*(N('Dvd Calendar'!$R$1441)&lt;=VAL_SERIAL)*1000000+30*1000+54))</f>
        <v/>
      </c>
      <c r="GG145" s="121">
        <f>IF(N('Dvd Calendar'!$S$1442)=0,"",IF(('Dvd Calendar'!$S$1442&gt;=GRID_FROM)*('Dvd Calendar'!$S$1442&lt;=GRID_TO)*('Dvd Calendar'!$S$1442&gt;VAL_DATE)=0,"",'Dvd Calendar'!$S$1442*1000000000+ISNUMBER('Dvd Calendar'!$S$1443)*100000000+0*10000000+(N('Dvd Calendar'!$S$1441)&gt;0)*(N('Dvd Calendar'!$S$1441)&lt;=VAL_SERIAL)*1000000+30*1000+55))</f>
        <v/>
      </c>
      <c r="GH145" s="121">
        <f>IF(N('Dvd Calendar'!$T$1442)=0,"",IF(('Dvd Calendar'!$T$1442&gt;=GRID_FROM)*('Dvd Calendar'!$T$1442&lt;=GRID_TO)*('Dvd Calendar'!$T$1442&gt;VAL_DATE)=0,"",'Dvd Calendar'!$T$1442*1000000000+ISNUMBER('Dvd Calendar'!$T$1443)*100000000+0*10000000+(N('Dvd Calendar'!$T$1441)&gt;0)*(N('Dvd Calendar'!$T$1441)&lt;=VAL_SERIAL)*1000000+30*1000+56))</f>
        <v/>
      </c>
      <c r="GI145" s="121">
        <f>IF(N('Dvd Calendar'!$U$1442)=0,"",IF(('Dvd Calendar'!$U$1442&gt;=GRID_FROM)*('Dvd Calendar'!$U$1442&lt;=GRID_TO)*('Dvd Calendar'!$U$1442&gt;VAL_DATE)=0,"",'Dvd Calendar'!$U$1442*1000000000+ISNUMBER('Dvd Calendar'!$U$1443)*100000000+0*10000000+(N('Dvd Calendar'!$U$1441)&gt;0)*(N('Dvd Calendar'!$U$1441)&lt;=VAL_SERIAL)*1000000+30*1000+57))</f>
        <v/>
      </c>
      <c r="GJ145" s="121">
        <f>IF(N('Dvd Calendar'!$V$1442)=0,"",IF(('Dvd Calendar'!$V$1442&gt;=GRID_FROM)*('Dvd Calendar'!$V$1442&lt;=GRID_TO)*('Dvd Calendar'!$V$1442&gt;VAL_DATE)=0,"",'Dvd Calendar'!$V$1442*1000000000+ISNUMBER('Dvd Calendar'!$V$1443)*100000000+0*10000000+(N('Dvd Calendar'!$V$1441)&gt;0)*(N('Dvd Calendar'!$V$1441)&lt;=VAL_SERIAL)*1000000+30*1000+58))</f>
        <v/>
      </c>
      <c r="GK145" s="121">
        <f>IF(N('Dvd Calendar'!$W$1442)=0,"",IF(('Dvd Calendar'!$W$1442&gt;=GRID_FROM)*('Dvd Calendar'!$W$1442&lt;=GRID_TO)*('Dvd Calendar'!$W$1442&gt;VAL_DATE)=0,"",'Dvd Calendar'!$W$1442*1000000000+ISNUMBER('Dvd Calendar'!$W$1443)*100000000+0*10000000+(N('Dvd Calendar'!$W$1441)&gt;0)*(N('Dvd Calendar'!$W$1441)&lt;=VAL_SERIAL)*1000000+30*1000+59))</f>
        <v/>
      </c>
      <c r="GL145" s="121">
        <f>IF(N('Dvd Calendar'!$X$1442)=0,"",IF(('Dvd Calendar'!$X$1442&gt;=GRID_FROM)*('Dvd Calendar'!$X$1442&lt;=GRID_TO)*('Dvd Calendar'!$X$1442&gt;VAL_DATE)=0,"",'Dvd Calendar'!$X$1442*1000000000+ISNUMBER('Dvd Calendar'!$X$1443)*100000000+0*10000000+(N('Dvd Calendar'!$X$1441)&gt;0)*(N('Dvd Calendar'!$X$1441)&lt;=VAL_SERIAL)*1000000+30*1000+60))</f>
        <v/>
      </c>
      <c r="GM145" s="121">
        <f>IF(N('Dvd Calendar'!$Y$1442)=0,"",IF(('Dvd Calendar'!$Y$1442&gt;=GRID_FROM)*('Dvd Calendar'!$Y$1442&lt;=GRID_TO)*('Dvd Calendar'!$Y$1442&gt;VAL_DATE)=0,"",'Dvd Calendar'!$Y$1442*1000000000+ISNUMBER('Dvd Calendar'!$Y$1443)*100000000+0*10000000+(N('Dvd Calendar'!$Y$1441)&gt;0)*(N('Dvd Calendar'!$Y$1441)&lt;=VAL_SERIAL)*1000000+30*1000+61))</f>
        <v/>
      </c>
      <c r="GN145" s="121">
        <f>IF(N('Dvd Calendar'!$Z$1442)=0,"",IF(('Dvd Calendar'!$Z$1442&gt;=GRID_FROM)*('Dvd Calendar'!$Z$1442&lt;=GRID_TO)*('Dvd Calendar'!$Z$1442&gt;VAL_DATE)=0,"",'Dvd Calendar'!$Z$1442*1000000000+ISNUMBER('Dvd Calendar'!$Z$1443)*100000000+0*10000000+(N('Dvd Calendar'!$Z$1441)&gt;0)*(N('Dvd Calendar'!$Z$1441)&lt;=VAL_SERIAL)*1000000+30*1000+62))</f>
        <v/>
      </c>
      <c r="GO145" s="121">
        <f>IF(N('Dvd Calendar'!$AA$1442)=0,"",IF(('Dvd Calendar'!$AA$1442&gt;=GRID_FROM)*('Dvd Calendar'!$AA$1442&lt;=GRID_TO)*('Dvd Calendar'!$AA$1442&gt;VAL_DATE)=0,"",'Dvd Calendar'!$AA$1442*1000000000+ISNUMBER('Dvd Calendar'!$AA$1443)*100000000+0*10000000+(N('Dvd Calendar'!$AA$1441)&gt;0)*(N('Dvd Calendar'!$AA$1441)&lt;=VAL_SERIAL)*1000000+30*1000+63))</f>
        <v/>
      </c>
      <c r="GP145" s="121">
        <f>IF(N('Dvd Calendar'!$AB$1442)=0,"",IF(('Dvd Calendar'!$AB$1442&gt;=GRID_FROM)*('Dvd Calendar'!$AB$1442&lt;=GRID_TO)*('Dvd Calendar'!$AB$1442&gt;VAL_DATE)=0,"",'Dvd Calendar'!$AB$1442*1000000000+ISNUMBER('Dvd Calendar'!$AB$1443)*100000000+0*10000000+(N('Dvd Calendar'!$AB$1441)&gt;0)*(N('Dvd Calendar'!$AB$1441)&lt;=VAL_SERIAL)*1000000+30*1000+64))</f>
        <v/>
      </c>
      <c r="GQ145" s="121">
        <f>IF(N('Dvd Calendar'!$AC$1442)=0,"",IF(('Dvd Calendar'!$AC$1442&gt;=GRID_FROM)*('Dvd Calendar'!$AC$1442&lt;=GRID_TO)*('Dvd Calendar'!$AC$1442&gt;VAL_DATE)=0,"",'Dvd Calendar'!$AC$1442*1000000000+ISNUMBER('Dvd Calendar'!$AC$1443)*100000000+0*10000000+(N('Dvd Calendar'!$AC$1441)&gt;0)*(N('Dvd Calendar'!$AC$1441)&lt;=VAL_SERIAL)*1000000+30*1000+65))</f>
        <v/>
      </c>
    </row>
    <row r="146">
      <c r="B146" s="2">
        <f>IF(HSTECH!$C$37="","",HSTECH!$C$37)</f>
        <v/>
      </c>
      <c r="C146" s="161">
        <f>IF(EE146="","",IF(ISNUMBER('Dvd Calendar'!$E$1449)=FALSE,"",IF((('Dvd Calendar'!$E$1451=TYPE1)*(TYPE1&lt;&gt;"")+('Dvd Calendar'!$E$1451=TYPE2)*(TYPE2&lt;&gt;"")+('Dvd Calendar'!$E$1451=TYPE3)*(TYPE3&lt;&gt;"")+('Dvd Calendar'!$E$1451=TYPE4)*(TYPE4&lt;&gt;"")+('Dvd Calendar'!$E$1451=SPECIAL_LBL)*(INC_SPECIALS="Y"))=0,"",'Dvd Calendar'!$E$1449)))</f>
        <v/>
      </c>
      <c r="D146" s="161">
        <f>IF(EF146="","",IF(ISNUMBER('Dvd Calendar'!$F$1449)=FALSE,"",IF((('Dvd Calendar'!$F$1451=TYPE1)*(TYPE1&lt;&gt;"")+('Dvd Calendar'!$F$1451=TYPE2)*(TYPE2&lt;&gt;"")+('Dvd Calendar'!$F$1451=TYPE3)*(TYPE3&lt;&gt;"")+('Dvd Calendar'!$F$1451=TYPE4)*(TYPE4&lt;&gt;"")+('Dvd Calendar'!$F$1451=SPECIAL_LBL)*(INC_SPECIALS="Y"))=0,"",'Dvd Calendar'!$F$1449)))</f>
        <v/>
      </c>
      <c r="E146" s="161">
        <f>IF(EG146="","",IF(ISNUMBER('Dvd Calendar'!$G$1449)=FALSE,"",IF((('Dvd Calendar'!$G$1451=TYPE1)*(TYPE1&lt;&gt;"")+('Dvd Calendar'!$G$1451=TYPE2)*(TYPE2&lt;&gt;"")+('Dvd Calendar'!$G$1451=TYPE3)*(TYPE3&lt;&gt;"")+('Dvd Calendar'!$G$1451=TYPE4)*(TYPE4&lt;&gt;"")+('Dvd Calendar'!$G$1451=SPECIAL_LBL)*(INC_SPECIALS="Y"))=0,"",'Dvd Calendar'!$G$1449)))</f>
        <v/>
      </c>
      <c r="F146" s="161">
        <f>IF(EH146="","",IF(ISNUMBER('Dvd Calendar'!$H$1449)=FALSE,"",IF((('Dvd Calendar'!$H$1451=TYPE1)*(TYPE1&lt;&gt;"")+('Dvd Calendar'!$H$1451=TYPE2)*(TYPE2&lt;&gt;"")+('Dvd Calendar'!$H$1451=TYPE3)*(TYPE3&lt;&gt;"")+('Dvd Calendar'!$H$1451=TYPE4)*(TYPE4&lt;&gt;"")+('Dvd Calendar'!$H$1451=SPECIAL_LBL)*(INC_SPECIALS="Y"))=0,"",'Dvd Calendar'!$H$1449)))</f>
        <v/>
      </c>
      <c r="G146" s="161">
        <f>IF(EI146="","",IF(ISNUMBER('Dvd Calendar'!$I$1449)=FALSE,"",IF((('Dvd Calendar'!$I$1451=TYPE1)*(TYPE1&lt;&gt;"")+('Dvd Calendar'!$I$1451=TYPE2)*(TYPE2&lt;&gt;"")+('Dvd Calendar'!$I$1451=TYPE3)*(TYPE3&lt;&gt;"")+('Dvd Calendar'!$I$1451=TYPE4)*(TYPE4&lt;&gt;"")+('Dvd Calendar'!$I$1451=SPECIAL_LBL)*(INC_SPECIALS="Y"))=0,"",'Dvd Calendar'!$I$1449)))</f>
        <v/>
      </c>
      <c r="H146" s="161">
        <f>IF(EJ146="","",IF(ISNUMBER('Dvd Calendar'!$J$1449)=FALSE,"",IF((('Dvd Calendar'!$J$1451=TYPE1)*(TYPE1&lt;&gt;"")+('Dvd Calendar'!$J$1451=TYPE2)*(TYPE2&lt;&gt;"")+('Dvd Calendar'!$J$1451=TYPE3)*(TYPE3&lt;&gt;"")+('Dvd Calendar'!$J$1451=TYPE4)*(TYPE4&lt;&gt;"")+('Dvd Calendar'!$J$1451=SPECIAL_LBL)*(INC_SPECIALS="Y"))=0,"",'Dvd Calendar'!$J$1449)))</f>
        <v/>
      </c>
      <c r="I146" s="161">
        <f>IF(EK146="","",IF(ISNUMBER('Dvd Calendar'!$K$1449)=FALSE,"",IF((('Dvd Calendar'!$K$1451=TYPE1)*(TYPE1&lt;&gt;"")+('Dvd Calendar'!$K$1451=TYPE2)*(TYPE2&lt;&gt;"")+('Dvd Calendar'!$K$1451=TYPE3)*(TYPE3&lt;&gt;"")+('Dvd Calendar'!$K$1451=TYPE4)*(TYPE4&lt;&gt;"")+('Dvd Calendar'!$K$1451=SPECIAL_LBL)*(INC_SPECIALS="Y"))=0,"",'Dvd Calendar'!$K$1449)))</f>
        <v/>
      </c>
      <c r="J146" s="161">
        <f>IF(EL146="","",IF(ISNUMBER('Dvd Calendar'!$L$1449)=FALSE,"",IF((('Dvd Calendar'!$L$1451=TYPE1)*(TYPE1&lt;&gt;"")+('Dvd Calendar'!$L$1451=TYPE2)*(TYPE2&lt;&gt;"")+('Dvd Calendar'!$L$1451=TYPE3)*(TYPE3&lt;&gt;"")+('Dvd Calendar'!$L$1451=TYPE4)*(TYPE4&lt;&gt;"")+('Dvd Calendar'!$L$1451=SPECIAL_LBL)*(INC_SPECIALS="Y"))=0,"",'Dvd Calendar'!$L$1449)))</f>
        <v/>
      </c>
      <c r="K146" s="161">
        <f>IF(EM146="","",IF(ISNUMBER('Dvd Calendar'!$M$1449)=FALSE,"",IF((('Dvd Calendar'!$M$1451=TYPE1)*(TYPE1&lt;&gt;"")+('Dvd Calendar'!$M$1451=TYPE2)*(TYPE2&lt;&gt;"")+('Dvd Calendar'!$M$1451=TYPE3)*(TYPE3&lt;&gt;"")+('Dvd Calendar'!$M$1451=TYPE4)*(TYPE4&lt;&gt;"")+('Dvd Calendar'!$M$1451=SPECIAL_LBL)*(INC_SPECIALS="Y"))=0,"",'Dvd Calendar'!$M$1449)))</f>
        <v/>
      </c>
      <c r="L146" s="161">
        <f>IF(EN146="","",IF(ISNUMBER('Dvd Calendar'!$N$1449)=FALSE,"",IF((('Dvd Calendar'!$N$1451=TYPE1)*(TYPE1&lt;&gt;"")+('Dvd Calendar'!$N$1451=TYPE2)*(TYPE2&lt;&gt;"")+('Dvd Calendar'!$N$1451=TYPE3)*(TYPE3&lt;&gt;"")+('Dvd Calendar'!$N$1451=TYPE4)*(TYPE4&lt;&gt;"")+('Dvd Calendar'!$N$1451=SPECIAL_LBL)*(INC_SPECIALS="Y"))=0,"",'Dvd Calendar'!$N$1449)))</f>
        <v/>
      </c>
      <c r="M146" s="161">
        <f>IF(EO146="","",IF(ISNUMBER('Dvd Calendar'!$O$1449)=FALSE,"",IF((('Dvd Calendar'!$O$1451=TYPE1)*(TYPE1&lt;&gt;"")+('Dvd Calendar'!$O$1451=TYPE2)*(TYPE2&lt;&gt;"")+('Dvd Calendar'!$O$1451=TYPE3)*(TYPE3&lt;&gt;"")+('Dvd Calendar'!$O$1451=TYPE4)*(TYPE4&lt;&gt;"")+('Dvd Calendar'!$O$1451=SPECIAL_LBL)*(INC_SPECIALS="Y"))=0,"",'Dvd Calendar'!$O$1449)))</f>
        <v/>
      </c>
      <c r="N146" s="161">
        <f>IF(EP146="","",IF(ISNUMBER('Dvd Calendar'!$P$1449)=FALSE,"",IF((('Dvd Calendar'!$P$1451=TYPE1)*(TYPE1&lt;&gt;"")+('Dvd Calendar'!$P$1451=TYPE2)*(TYPE2&lt;&gt;"")+('Dvd Calendar'!$P$1451=TYPE3)*(TYPE3&lt;&gt;"")+('Dvd Calendar'!$P$1451=TYPE4)*(TYPE4&lt;&gt;"")+('Dvd Calendar'!$P$1451=SPECIAL_LBL)*(INC_SPECIALS="Y"))=0,"",'Dvd Calendar'!$P$1449)))</f>
        <v/>
      </c>
      <c r="O146" s="161">
        <f>IF(EQ146="","",IF(ISNUMBER('Dvd Calendar'!$Q$1449)=FALSE,"",IF((('Dvd Calendar'!$Q$1451=TYPE1)*(TYPE1&lt;&gt;"")+('Dvd Calendar'!$Q$1451=TYPE2)*(TYPE2&lt;&gt;"")+('Dvd Calendar'!$Q$1451=TYPE3)*(TYPE3&lt;&gt;"")+('Dvd Calendar'!$Q$1451=TYPE4)*(TYPE4&lt;&gt;"")+('Dvd Calendar'!$Q$1451=SPECIAL_LBL)*(INC_SPECIALS="Y"))=0,"",'Dvd Calendar'!$Q$1449)))</f>
        <v/>
      </c>
      <c r="P146" s="161">
        <f>IF(ER146="","",IF(ISNUMBER('Dvd Calendar'!$R$1449)=FALSE,"",IF((('Dvd Calendar'!$R$1451=TYPE1)*(TYPE1&lt;&gt;"")+('Dvd Calendar'!$R$1451=TYPE2)*(TYPE2&lt;&gt;"")+('Dvd Calendar'!$R$1451=TYPE3)*(TYPE3&lt;&gt;"")+('Dvd Calendar'!$R$1451=TYPE4)*(TYPE4&lt;&gt;"")+('Dvd Calendar'!$R$1451=SPECIAL_LBL)*(INC_SPECIALS="Y"))=0,"",'Dvd Calendar'!$R$1449)))</f>
        <v/>
      </c>
      <c r="Q146" s="161">
        <f>IF(ES146="","",IF(ISNUMBER('Dvd Calendar'!$S$1449)=FALSE,"",IF((('Dvd Calendar'!$S$1451=TYPE1)*(TYPE1&lt;&gt;"")+('Dvd Calendar'!$S$1451=TYPE2)*(TYPE2&lt;&gt;"")+('Dvd Calendar'!$S$1451=TYPE3)*(TYPE3&lt;&gt;"")+('Dvd Calendar'!$S$1451=TYPE4)*(TYPE4&lt;&gt;"")+('Dvd Calendar'!$S$1451=SPECIAL_LBL)*(INC_SPECIALS="Y"))=0,"",'Dvd Calendar'!$S$1449)))</f>
        <v/>
      </c>
      <c r="R146" s="161">
        <f>IF(ET146="","",IF(ISNUMBER('Dvd Calendar'!$T$1449)=FALSE,"",IF((('Dvd Calendar'!$T$1451=TYPE1)*(TYPE1&lt;&gt;"")+('Dvd Calendar'!$T$1451=TYPE2)*(TYPE2&lt;&gt;"")+('Dvd Calendar'!$T$1451=TYPE3)*(TYPE3&lt;&gt;"")+('Dvd Calendar'!$T$1451=TYPE4)*(TYPE4&lt;&gt;"")+('Dvd Calendar'!$T$1451=SPECIAL_LBL)*(INC_SPECIALS="Y"))=0,"",'Dvd Calendar'!$T$1449)))</f>
        <v/>
      </c>
      <c r="S146" s="161">
        <f>IF(EU146="","",IF(ISNUMBER('Dvd Calendar'!$U$1449)=FALSE,"",IF((('Dvd Calendar'!$U$1451=TYPE1)*(TYPE1&lt;&gt;"")+('Dvd Calendar'!$U$1451=TYPE2)*(TYPE2&lt;&gt;"")+('Dvd Calendar'!$U$1451=TYPE3)*(TYPE3&lt;&gt;"")+('Dvd Calendar'!$U$1451=TYPE4)*(TYPE4&lt;&gt;"")+('Dvd Calendar'!$U$1451=SPECIAL_LBL)*(INC_SPECIALS="Y"))=0,"",'Dvd Calendar'!$U$1449)))</f>
        <v/>
      </c>
      <c r="T146" s="161">
        <f>IF(EV146="","",IF(ISNUMBER('Dvd Calendar'!$V$1449)=FALSE,"",IF((('Dvd Calendar'!$V$1451=TYPE1)*(TYPE1&lt;&gt;"")+('Dvd Calendar'!$V$1451=TYPE2)*(TYPE2&lt;&gt;"")+('Dvd Calendar'!$V$1451=TYPE3)*(TYPE3&lt;&gt;"")+('Dvd Calendar'!$V$1451=TYPE4)*(TYPE4&lt;&gt;"")+('Dvd Calendar'!$V$1451=SPECIAL_LBL)*(INC_SPECIALS="Y"))=0,"",'Dvd Calendar'!$V$1449)))</f>
        <v/>
      </c>
      <c r="U146" s="161">
        <f>IF(EW146="","",IF(ISNUMBER('Dvd Calendar'!$W$1449)=FALSE,"",IF((('Dvd Calendar'!$W$1451=TYPE1)*(TYPE1&lt;&gt;"")+('Dvd Calendar'!$W$1451=TYPE2)*(TYPE2&lt;&gt;"")+('Dvd Calendar'!$W$1451=TYPE3)*(TYPE3&lt;&gt;"")+('Dvd Calendar'!$W$1451=TYPE4)*(TYPE4&lt;&gt;"")+('Dvd Calendar'!$W$1451=SPECIAL_LBL)*(INC_SPECIALS="Y"))=0,"",'Dvd Calendar'!$W$1449)))</f>
        <v/>
      </c>
      <c r="V146" s="161">
        <f>IF(EX146="","",IF(ISNUMBER('Dvd Calendar'!$X$1449)=FALSE,"",IF((('Dvd Calendar'!$X$1451=TYPE1)*(TYPE1&lt;&gt;"")+('Dvd Calendar'!$X$1451=TYPE2)*(TYPE2&lt;&gt;"")+('Dvd Calendar'!$X$1451=TYPE3)*(TYPE3&lt;&gt;"")+('Dvd Calendar'!$X$1451=TYPE4)*(TYPE4&lt;&gt;"")+('Dvd Calendar'!$X$1451=SPECIAL_LBL)*(INC_SPECIALS="Y"))=0,"",'Dvd Calendar'!$X$1449)))</f>
        <v/>
      </c>
      <c r="W146" s="161">
        <f>IF(EY146="","",IF(ISNUMBER('Dvd Calendar'!$Y$1449)=FALSE,"",IF((('Dvd Calendar'!$Y$1451=TYPE1)*(TYPE1&lt;&gt;"")+('Dvd Calendar'!$Y$1451=TYPE2)*(TYPE2&lt;&gt;"")+('Dvd Calendar'!$Y$1451=TYPE3)*(TYPE3&lt;&gt;"")+('Dvd Calendar'!$Y$1451=TYPE4)*(TYPE4&lt;&gt;"")+('Dvd Calendar'!$Y$1451=SPECIAL_LBL)*(INC_SPECIALS="Y"))=0,"",'Dvd Calendar'!$Y$1449)))</f>
        <v/>
      </c>
      <c r="X146" s="161">
        <f>IF(EZ146="","",IF(ISNUMBER('Dvd Calendar'!$Z$1449)=FALSE,"",IF((('Dvd Calendar'!$Z$1451=TYPE1)*(TYPE1&lt;&gt;"")+('Dvd Calendar'!$Z$1451=TYPE2)*(TYPE2&lt;&gt;"")+('Dvd Calendar'!$Z$1451=TYPE3)*(TYPE3&lt;&gt;"")+('Dvd Calendar'!$Z$1451=TYPE4)*(TYPE4&lt;&gt;"")+('Dvd Calendar'!$Z$1451=SPECIAL_LBL)*(INC_SPECIALS="Y"))=0,"",'Dvd Calendar'!$Z$1449)))</f>
        <v/>
      </c>
      <c r="Y146" s="161">
        <f>IF(FA146="","",IF(ISNUMBER('Dvd Calendar'!$AA$1449)=FALSE,"",IF((('Dvd Calendar'!$AA$1451=TYPE1)*(TYPE1&lt;&gt;"")+('Dvd Calendar'!$AA$1451=TYPE2)*(TYPE2&lt;&gt;"")+('Dvd Calendar'!$AA$1451=TYPE3)*(TYPE3&lt;&gt;"")+('Dvd Calendar'!$AA$1451=TYPE4)*(TYPE4&lt;&gt;"")+('Dvd Calendar'!$AA$1451=SPECIAL_LBL)*(INC_SPECIALS="Y"))=0,"",'Dvd Calendar'!$AA$1449)))</f>
        <v/>
      </c>
      <c r="Z146" s="161">
        <f>IF(FB146="","",IF(ISNUMBER('Dvd Calendar'!$AB$1449)=FALSE,"",IF((('Dvd Calendar'!$AB$1451=TYPE1)*(TYPE1&lt;&gt;"")+('Dvd Calendar'!$AB$1451=TYPE2)*(TYPE2&lt;&gt;"")+('Dvd Calendar'!$AB$1451=TYPE3)*(TYPE3&lt;&gt;"")+('Dvd Calendar'!$AB$1451=TYPE4)*(TYPE4&lt;&gt;"")+('Dvd Calendar'!$AB$1451=SPECIAL_LBL)*(INC_SPECIALS="Y"))=0,"",'Dvd Calendar'!$AB$1449)))</f>
        <v/>
      </c>
      <c r="AA146" s="161">
        <f>IF(FC146="","",IF(ISNUMBER('Dvd Calendar'!$AC$1449)=FALSE,"",IF((('Dvd Calendar'!$AC$1451=TYPE1)*(TYPE1&lt;&gt;"")+('Dvd Calendar'!$AC$1451=TYPE2)*(TYPE2&lt;&gt;"")+('Dvd Calendar'!$AC$1451=TYPE3)*(TYPE3&lt;&gt;"")+('Dvd Calendar'!$AC$1451=TYPE4)*(TYPE4&lt;&gt;"")+('Dvd Calendar'!$AC$1451=SPECIAL_LBL)*(INC_SPECIALS="Y"))=0,"",'Dvd Calendar'!$AC$1449)))</f>
        <v/>
      </c>
      <c r="AB146" s="161">
        <f>IF(FD146="","",IF(ISNUMBER('Dvd Calendar'!$AD$1449)=FALSE,"",IF((('Dvd Calendar'!$AD$1451=TYPE1)*(TYPE1&lt;&gt;"")+('Dvd Calendar'!$AD$1451=TYPE2)*(TYPE2&lt;&gt;"")+('Dvd Calendar'!$AD$1451=TYPE3)*(TYPE3&lt;&gt;"")+('Dvd Calendar'!$AD$1451=TYPE4)*(TYPE4&lt;&gt;"")+('Dvd Calendar'!$AD$1451=SPECIAL_LBL)*(INC_SPECIALS="Y"))=0,"",'Dvd Calendar'!$AD$1449)))</f>
        <v/>
      </c>
      <c r="AC146" s="161">
        <f>IF(FE146="","",IF(ISNUMBER('Dvd Calendar'!$AE$1449)=FALSE,"",IF((('Dvd Calendar'!$AE$1451=TYPE1)*(TYPE1&lt;&gt;"")+('Dvd Calendar'!$AE$1451=TYPE2)*(TYPE2&lt;&gt;"")+('Dvd Calendar'!$AE$1451=TYPE3)*(TYPE3&lt;&gt;"")+('Dvd Calendar'!$AE$1451=TYPE4)*(TYPE4&lt;&gt;"")+('Dvd Calendar'!$AE$1451=SPECIAL_LBL)*(INC_SPECIALS="Y"))=0,"",'Dvd Calendar'!$AE$1449)))</f>
        <v/>
      </c>
      <c r="AD146" s="161">
        <f>IF(FF146="","",IF(ISNUMBER('Dvd Calendar'!$AF$1449)=FALSE,"",IF((('Dvd Calendar'!$AF$1451=TYPE1)*(TYPE1&lt;&gt;"")+('Dvd Calendar'!$AF$1451=TYPE2)*(TYPE2&lt;&gt;"")+('Dvd Calendar'!$AF$1451=TYPE3)*(TYPE3&lt;&gt;"")+('Dvd Calendar'!$AF$1451=TYPE4)*(TYPE4&lt;&gt;"")+('Dvd Calendar'!$AF$1451=SPECIAL_LBL)*(INC_SPECIALS="Y"))=0,"",'Dvd Calendar'!$AF$1449)))</f>
        <v/>
      </c>
      <c r="AE146" s="161">
        <f>IF(FG146="","",IF(ISNUMBER('Dvd Calendar'!$AG$1449)=FALSE,"",IF((('Dvd Calendar'!$AG$1451=TYPE1)*(TYPE1&lt;&gt;"")+('Dvd Calendar'!$AG$1451=TYPE2)*(TYPE2&lt;&gt;"")+('Dvd Calendar'!$AG$1451=TYPE3)*(TYPE3&lt;&gt;"")+('Dvd Calendar'!$AG$1451=TYPE4)*(TYPE4&lt;&gt;"")+('Dvd Calendar'!$AG$1451=SPECIAL_LBL)*(INC_SPECIALS="Y"))=0,"",'Dvd Calendar'!$AG$1449)))</f>
        <v/>
      </c>
      <c r="AF146" s="161">
        <f>IF(FH146="","",IF(ISNUMBER('Dvd Calendar'!$AH$1449)=FALSE,"",IF((('Dvd Calendar'!$AH$1451=TYPE1)*(TYPE1&lt;&gt;"")+('Dvd Calendar'!$AH$1451=TYPE2)*(TYPE2&lt;&gt;"")+('Dvd Calendar'!$AH$1451=TYPE3)*(TYPE3&lt;&gt;"")+('Dvd Calendar'!$AH$1451=TYPE4)*(TYPE4&lt;&gt;"")+('Dvd Calendar'!$AH$1451=SPECIAL_LBL)*(INC_SPECIALS="Y"))=0,"",'Dvd Calendar'!$AH$1449)))</f>
        <v/>
      </c>
      <c r="AG146" s="161">
        <f>IF(FI146="","",IF(ISNUMBER('Dvd Calendar'!$AI$1449)=FALSE,"",IF((('Dvd Calendar'!$AI$1451=TYPE1)*(TYPE1&lt;&gt;"")+('Dvd Calendar'!$AI$1451=TYPE2)*(TYPE2&lt;&gt;"")+('Dvd Calendar'!$AI$1451=TYPE3)*(TYPE3&lt;&gt;"")+('Dvd Calendar'!$AI$1451=TYPE4)*(TYPE4&lt;&gt;"")+('Dvd Calendar'!$AI$1451=SPECIAL_LBL)*(INC_SPECIALS="Y"))=0,"",'Dvd Calendar'!$AI$1449)))</f>
        <v/>
      </c>
      <c r="AH146" s="161">
        <f>IF(FJ146="","",IF(ISNUMBER('Dvd Calendar'!$AJ$1449)=FALSE,"",IF((('Dvd Calendar'!$AJ$1451=TYPE1)*(TYPE1&lt;&gt;"")+('Dvd Calendar'!$AJ$1451=TYPE2)*(TYPE2&lt;&gt;"")+('Dvd Calendar'!$AJ$1451=TYPE3)*(TYPE3&lt;&gt;"")+('Dvd Calendar'!$AJ$1451=TYPE4)*(TYPE4&lt;&gt;"")+('Dvd Calendar'!$AJ$1451=SPECIAL_LBL)*(INC_SPECIALS="Y"))=0,"",'Dvd Calendar'!$AJ$1449)))</f>
        <v/>
      </c>
      <c r="AI146" s="161">
        <f>IF(FK146="","",IF(ISNUMBER('Dvd Calendar'!$AK$1449)=FALSE,"",IF((('Dvd Calendar'!$AK$1451=TYPE1)*(TYPE1&lt;&gt;"")+('Dvd Calendar'!$AK$1451=TYPE2)*(TYPE2&lt;&gt;"")+('Dvd Calendar'!$AK$1451=TYPE3)*(TYPE3&lt;&gt;"")+('Dvd Calendar'!$AK$1451=TYPE4)*(TYPE4&lt;&gt;"")+('Dvd Calendar'!$AK$1451=SPECIAL_LBL)*(INC_SPECIALS="Y"))=0,"",'Dvd Calendar'!$AK$1449)))</f>
        <v/>
      </c>
      <c r="AJ146" s="161">
        <f>IF(FL146="","",IF(ISNUMBER('Dvd Calendar'!$AL$1449)=FALSE,"",IF((('Dvd Calendar'!$AL$1451=TYPE1)*(TYPE1&lt;&gt;"")+('Dvd Calendar'!$AL$1451=TYPE2)*(TYPE2&lt;&gt;"")+('Dvd Calendar'!$AL$1451=TYPE3)*(TYPE3&lt;&gt;"")+('Dvd Calendar'!$AL$1451=TYPE4)*(TYPE4&lt;&gt;"")+('Dvd Calendar'!$AL$1451=SPECIAL_LBL)*(INC_SPECIALS="Y"))=0,"",'Dvd Calendar'!$AL$1449)))</f>
        <v/>
      </c>
      <c r="AK146" s="161">
        <f>IF(FM146="","",IF(ISNUMBER('Dvd Calendar'!$AM$1449)=FALSE,"",IF((('Dvd Calendar'!$AM$1451=TYPE1)*(TYPE1&lt;&gt;"")+('Dvd Calendar'!$AM$1451=TYPE2)*(TYPE2&lt;&gt;"")+('Dvd Calendar'!$AM$1451=TYPE3)*(TYPE3&lt;&gt;"")+('Dvd Calendar'!$AM$1451=TYPE4)*(TYPE4&lt;&gt;"")+('Dvd Calendar'!$AM$1451=SPECIAL_LBL)*(INC_SPECIALS="Y"))=0,"",'Dvd Calendar'!$AM$1449)))</f>
        <v/>
      </c>
      <c r="AL146" s="161">
        <f>IF(FN146="","",IF(ISNUMBER('Dvd Calendar'!$AN$1449)=FALSE,"",IF((('Dvd Calendar'!$AN$1451=TYPE1)*(TYPE1&lt;&gt;"")+('Dvd Calendar'!$AN$1451=TYPE2)*(TYPE2&lt;&gt;"")+('Dvd Calendar'!$AN$1451=TYPE3)*(TYPE3&lt;&gt;"")+('Dvd Calendar'!$AN$1451=TYPE4)*(TYPE4&lt;&gt;"")+('Dvd Calendar'!$AN$1451=SPECIAL_LBL)*(INC_SPECIALS="Y"))=0,"",'Dvd Calendar'!$AN$1449)))</f>
        <v/>
      </c>
      <c r="AM146" s="161">
        <f>IF(FO146="","",IF(ISNUMBER('Dvd Calendar'!$AO$1449)=FALSE,"",IF((('Dvd Calendar'!$AO$1451=TYPE1)*(TYPE1&lt;&gt;"")+('Dvd Calendar'!$AO$1451=TYPE2)*(TYPE2&lt;&gt;"")+('Dvd Calendar'!$AO$1451=TYPE3)*(TYPE3&lt;&gt;"")+('Dvd Calendar'!$AO$1451=TYPE4)*(TYPE4&lt;&gt;"")+('Dvd Calendar'!$AO$1451=SPECIAL_LBL)*(INC_SPECIALS="Y"))=0,"",'Dvd Calendar'!$AO$1449)))</f>
        <v/>
      </c>
      <c r="AN146" s="161">
        <f>IF(FP146="","",IF(ISNUMBER('Dvd Calendar'!$AP$1449)=FALSE,"",IF((('Dvd Calendar'!$AP$1451=TYPE1)*(TYPE1&lt;&gt;"")+('Dvd Calendar'!$AP$1451=TYPE2)*(TYPE2&lt;&gt;"")+('Dvd Calendar'!$AP$1451=TYPE3)*(TYPE3&lt;&gt;"")+('Dvd Calendar'!$AP$1451=TYPE4)*(TYPE4&lt;&gt;"")+('Dvd Calendar'!$AP$1451=SPECIAL_LBL)*(INC_SPECIALS="Y"))=0,"",'Dvd Calendar'!$AP$1449)))</f>
        <v/>
      </c>
      <c r="AO146" s="161">
        <f>IF(FQ146="","",IF(ISNUMBER('Dvd Calendar'!$AQ$1449)=FALSE,"",IF((('Dvd Calendar'!$AQ$1451=TYPE1)*(TYPE1&lt;&gt;"")+('Dvd Calendar'!$AQ$1451=TYPE2)*(TYPE2&lt;&gt;"")+('Dvd Calendar'!$AQ$1451=TYPE3)*(TYPE3&lt;&gt;"")+('Dvd Calendar'!$AQ$1451=TYPE4)*(TYPE4&lt;&gt;"")+('Dvd Calendar'!$AQ$1451=SPECIAL_LBL)*(INC_SPECIALS="Y"))=0,"",'Dvd Calendar'!$AQ$1449)))</f>
        <v/>
      </c>
      <c r="AP146" s="161">
        <f>IF(FR146="","",IF(ISNUMBER('Dvd Calendar'!$AR$1449)=FALSE,"",IF((('Dvd Calendar'!$AR$1451=TYPE1)*(TYPE1&lt;&gt;"")+('Dvd Calendar'!$AR$1451=TYPE2)*(TYPE2&lt;&gt;"")+('Dvd Calendar'!$AR$1451=TYPE3)*(TYPE3&lt;&gt;"")+('Dvd Calendar'!$AR$1451=TYPE4)*(TYPE4&lt;&gt;"")+('Dvd Calendar'!$AR$1451=SPECIAL_LBL)*(INC_SPECIALS="Y"))=0,"",'Dvd Calendar'!$AR$1449)))</f>
        <v/>
      </c>
      <c r="AQ146" s="161">
        <f>IF(FS146="","",IF(ISNUMBER('Dvd Calendar'!$E$1454)=FALSE,"",'Dvd Calendar'!$E$1454))</f>
        <v/>
      </c>
      <c r="AR146" s="161">
        <f>IF(FT146="","",IF(ISNUMBER('Dvd Calendar'!$F$1454)=FALSE,"",'Dvd Calendar'!$F$1454))</f>
        <v/>
      </c>
      <c r="AS146" s="161">
        <f>IF(FU146="","",IF(ISNUMBER('Dvd Calendar'!$G$1454)=FALSE,"",'Dvd Calendar'!$G$1454))</f>
        <v/>
      </c>
      <c r="AT146" s="161">
        <f>IF(FV146="","",IF(ISNUMBER('Dvd Calendar'!$H$1454)=FALSE,"",'Dvd Calendar'!$H$1454))</f>
        <v/>
      </c>
      <c r="AU146" s="161">
        <f>IF(FW146="","",IF(ISNUMBER('Dvd Calendar'!$I$1454)=FALSE,"",'Dvd Calendar'!$I$1454))</f>
        <v/>
      </c>
      <c r="AV146" s="161">
        <f>IF(FX146="","",IF(ISNUMBER('Dvd Calendar'!$J$1454)=FALSE,"",'Dvd Calendar'!$J$1454))</f>
        <v/>
      </c>
      <c r="AW146" s="161">
        <f>IF(FY146="","",IF(ISNUMBER('Dvd Calendar'!$K$1454)=FALSE,"",'Dvd Calendar'!$K$1454))</f>
        <v/>
      </c>
      <c r="AX146" s="161">
        <f>IF(FZ146="","",IF(ISNUMBER('Dvd Calendar'!$L$1454)=FALSE,"",'Dvd Calendar'!$L$1454))</f>
        <v/>
      </c>
      <c r="AY146" s="161">
        <f>IF(GA146="","",IF(ISNUMBER('Dvd Calendar'!$M$1454)=FALSE,"",'Dvd Calendar'!$M$1454))</f>
        <v/>
      </c>
      <c r="AZ146" s="161">
        <f>IF(GB146="","",IF(ISNUMBER('Dvd Calendar'!$N$1454)=FALSE,"",'Dvd Calendar'!$N$1454))</f>
        <v/>
      </c>
      <c r="BA146" s="161">
        <f>IF(GC146="","",IF(ISNUMBER('Dvd Calendar'!$O$1454)=FALSE,"",'Dvd Calendar'!$O$1454))</f>
        <v/>
      </c>
      <c r="BB146" s="161">
        <f>IF(GD146="","",IF(ISNUMBER('Dvd Calendar'!$P$1454)=FALSE,"",'Dvd Calendar'!$P$1454))</f>
        <v/>
      </c>
      <c r="BC146" s="161">
        <f>IF(GE146="","",IF(ISNUMBER('Dvd Calendar'!$Q$1454)=FALSE,"",'Dvd Calendar'!$Q$1454))</f>
        <v/>
      </c>
      <c r="BD146" s="161">
        <f>IF(GF146="","",IF(ISNUMBER('Dvd Calendar'!$R$1454)=FALSE,"",'Dvd Calendar'!$R$1454))</f>
        <v/>
      </c>
      <c r="BE146" s="161">
        <f>IF(GG146="","",IF(ISNUMBER('Dvd Calendar'!$S$1454)=FALSE,"",'Dvd Calendar'!$S$1454))</f>
        <v/>
      </c>
      <c r="BF146" s="161">
        <f>IF(GH146="","",IF(ISNUMBER('Dvd Calendar'!$T$1454)=FALSE,"",'Dvd Calendar'!$T$1454))</f>
        <v/>
      </c>
      <c r="BG146" s="161">
        <f>IF(GI146="","",IF(ISNUMBER('Dvd Calendar'!$U$1454)=FALSE,"",'Dvd Calendar'!$U$1454))</f>
        <v/>
      </c>
      <c r="BH146" s="161">
        <f>IF(GJ146="","",IF(ISNUMBER('Dvd Calendar'!$V$1454)=FALSE,"",'Dvd Calendar'!$V$1454))</f>
        <v/>
      </c>
      <c r="BI146" s="161">
        <f>IF(GK146="","",IF(ISNUMBER('Dvd Calendar'!$W$1454)=FALSE,"",'Dvd Calendar'!$W$1454))</f>
        <v/>
      </c>
      <c r="BJ146" s="161">
        <f>IF(GL146="","",IF(ISNUMBER('Dvd Calendar'!$X$1454)=FALSE,"",'Dvd Calendar'!$X$1454))</f>
        <v/>
      </c>
      <c r="BK146" s="161">
        <f>IF(GM146="","",IF(ISNUMBER('Dvd Calendar'!$Y$1454)=FALSE,"",'Dvd Calendar'!$Y$1454))</f>
        <v/>
      </c>
      <c r="BL146" s="161">
        <f>IF(GN146="","",IF(ISNUMBER('Dvd Calendar'!$Z$1454)=FALSE,"",'Dvd Calendar'!$Z$1454))</f>
        <v/>
      </c>
      <c r="BM146" s="161">
        <f>IF(GO146="","",IF(ISNUMBER('Dvd Calendar'!$AA$1454)=FALSE,"",'Dvd Calendar'!$AA$1454))</f>
        <v/>
      </c>
      <c r="BN146" s="161">
        <f>IF(GP146="","",IF(ISNUMBER('Dvd Calendar'!$AB$1454)=FALSE,"",'Dvd Calendar'!$AB$1454))</f>
        <v/>
      </c>
      <c r="BO146" s="161">
        <f>IF(GQ146="","",IF(ISNUMBER('Dvd Calendar'!$AC$1454)=FALSE,"",'Dvd Calendar'!$AC$1454))</f>
        <v/>
      </c>
      <c r="BQ146" s="161">
        <f>IF(C146="","",IFERROR(C146*HSTECH!$B$37*HSTECH!$G$37/HSTECH!$B$3,""))</f>
        <v/>
      </c>
      <c r="BR146" s="161">
        <f>IF(D146="","",IFERROR(D146*HSTECH!$B$37*HSTECH!$G$37/HSTECH!$B$3,""))</f>
        <v/>
      </c>
      <c r="BS146" s="161">
        <f>IF(E146="","",IFERROR(E146*HSTECH!$B$37*HSTECH!$G$37/HSTECH!$B$3,""))</f>
        <v/>
      </c>
      <c r="BT146" s="161">
        <f>IF(F146="","",IFERROR(F146*HSTECH!$B$37*HSTECH!$G$37/HSTECH!$B$3,""))</f>
        <v/>
      </c>
      <c r="BU146" s="161">
        <f>IF(G146="","",IFERROR(G146*HSTECH!$B$37*HSTECH!$G$37/HSTECH!$B$3,""))</f>
        <v/>
      </c>
      <c r="BV146" s="161">
        <f>IF(H146="","",IFERROR(H146*HSTECH!$B$37*HSTECH!$G$37/HSTECH!$B$3,""))</f>
        <v/>
      </c>
      <c r="BW146" s="161">
        <f>IF(I146="","",IFERROR(I146*HSTECH!$B$37*HSTECH!$G$37/HSTECH!$B$3,""))</f>
        <v/>
      </c>
      <c r="BX146" s="161">
        <f>IF(J146="","",IFERROR(J146*HSTECH!$B$37*HSTECH!$G$37/HSTECH!$B$3,""))</f>
        <v/>
      </c>
      <c r="BY146" s="161">
        <f>IF(K146="","",IFERROR(K146*HSTECH!$B$37*HSTECH!$G$37/HSTECH!$B$3,""))</f>
        <v/>
      </c>
      <c r="BZ146" s="161">
        <f>IF(L146="","",IFERROR(L146*HSTECH!$B$37*HSTECH!$G$37/HSTECH!$B$3,""))</f>
        <v/>
      </c>
      <c r="CA146" s="161">
        <f>IF(M146="","",IFERROR(M146*HSTECH!$B$37*HSTECH!$G$37/HSTECH!$B$3,""))</f>
        <v/>
      </c>
      <c r="CB146" s="161">
        <f>IF(N146="","",IFERROR(N146*HSTECH!$B$37*HSTECH!$G$37/HSTECH!$B$3,""))</f>
        <v/>
      </c>
      <c r="CC146" s="161">
        <f>IF(O146="","",IFERROR(O146*HSTECH!$B$37*HSTECH!$G$37/HSTECH!$B$3,""))</f>
        <v/>
      </c>
      <c r="CD146" s="161">
        <f>IF(P146="","",IFERROR(P146*HSTECH!$B$37*HSTECH!$G$37/HSTECH!$B$3,""))</f>
        <v/>
      </c>
      <c r="CE146" s="161">
        <f>IF(Q146="","",IFERROR(Q146*HSTECH!$B$37*HSTECH!$G$37/HSTECH!$B$3,""))</f>
        <v/>
      </c>
      <c r="CF146" s="161">
        <f>IF(R146="","",IFERROR(R146*HSTECH!$B$37*HSTECH!$G$37/HSTECH!$B$3,""))</f>
        <v/>
      </c>
      <c r="CG146" s="161">
        <f>IF(S146="","",IFERROR(S146*HSTECH!$B$37*HSTECH!$G$37/HSTECH!$B$3,""))</f>
        <v/>
      </c>
      <c r="CH146" s="161">
        <f>IF(T146="","",IFERROR(T146*HSTECH!$B$37*HSTECH!$G$37/HSTECH!$B$3,""))</f>
        <v/>
      </c>
      <c r="CI146" s="161">
        <f>IF(U146="","",IFERROR(U146*HSTECH!$B$37*HSTECH!$G$37/HSTECH!$B$3,""))</f>
        <v/>
      </c>
      <c r="CJ146" s="161">
        <f>IF(V146="","",IFERROR(V146*HSTECH!$B$37*HSTECH!$G$37/HSTECH!$B$3,""))</f>
        <v/>
      </c>
      <c r="CK146" s="161">
        <f>IF(W146="","",IFERROR(W146*HSTECH!$B$37*HSTECH!$G$37/HSTECH!$B$3,""))</f>
        <v/>
      </c>
      <c r="CL146" s="161">
        <f>IF(X146="","",IFERROR(X146*HSTECH!$B$37*HSTECH!$G$37/HSTECH!$B$3,""))</f>
        <v/>
      </c>
      <c r="CM146" s="161">
        <f>IF(Y146="","",IFERROR(Y146*HSTECH!$B$37*HSTECH!$G$37/HSTECH!$B$3,""))</f>
        <v/>
      </c>
      <c r="CN146" s="161">
        <f>IF(Z146="","",IFERROR(Z146*HSTECH!$B$37*HSTECH!$G$37/HSTECH!$B$3,""))</f>
        <v/>
      </c>
      <c r="CO146" s="161">
        <f>IF(AA146="","",IFERROR(AA146*HSTECH!$B$37*HSTECH!$G$37/HSTECH!$B$3,""))</f>
        <v/>
      </c>
      <c r="CP146" s="161">
        <f>IF(AB146="","",IFERROR(AB146*HSTECH!$B$37*HSTECH!$G$37/HSTECH!$B$3,""))</f>
        <v/>
      </c>
      <c r="CQ146" s="161">
        <f>IF(AC146="","",IFERROR(AC146*HSTECH!$B$37*HSTECH!$G$37/HSTECH!$B$3,""))</f>
        <v/>
      </c>
      <c r="CR146" s="161">
        <f>IF(AD146="","",IFERROR(AD146*HSTECH!$B$37*HSTECH!$G$37/HSTECH!$B$3,""))</f>
        <v/>
      </c>
      <c r="CS146" s="161">
        <f>IF(AE146="","",IFERROR(AE146*HSTECH!$B$37*HSTECH!$G$37/HSTECH!$B$3,""))</f>
        <v/>
      </c>
      <c r="CT146" s="161">
        <f>IF(AF146="","",IFERROR(AF146*HSTECH!$B$37*HSTECH!$G$37/HSTECH!$B$3,""))</f>
        <v/>
      </c>
      <c r="CU146" s="161">
        <f>IF(AG146="","",IFERROR(AG146*HSTECH!$B$37*HSTECH!$G$37/HSTECH!$B$3,""))</f>
        <v/>
      </c>
      <c r="CV146" s="161">
        <f>IF(AH146="","",IFERROR(AH146*HSTECH!$B$37*HSTECH!$G$37/HSTECH!$B$3,""))</f>
        <v/>
      </c>
      <c r="CW146" s="161">
        <f>IF(AI146="","",IFERROR(AI146*HSTECH!$B$37*HSTECH!$G$37/HSTECH!$B$3,""))</f>
        <v/>
      </c>
      <c r="CX146" s="161">
        <f>IF(AJ146="","",IFERROR(AJ146*HSTECH!$B$37*HSTECH!$G$37/HSTECH!$B$3,""))</f>
        <v/>
      </c>
      <c r="CY146" s="161">
        <f>IF(AK146="","",IFERROR(AK146*HSTECH!$B$37*HSTECH!$G$37/HSTECH!$B$3,""))</f>
        <v/>
      </c>
      <c r="CZ146" s="161">
        <f>IF(AL146="","",IFERROR(AL146*HSTECH!$B$37*HSTECH!$G$37/HSTECH!$B$3,""))</f>
        <v/>
      </c>
      <c r="DA146" s="161">
        <f>IF(AM146="","",IFERROR(AM146*HSTECH!$B$37*HSTECH!$G$37/HSTECH!$B$3,""))</f>
        <v/>
      </c>
      <c r="DB146" s="161">
        <f>IF(AN146="","",IFERROR(AN146*HSTECH!$B$37*HSTECH!$G$37/HSTECH!$B$3,""))</f>
        <v/>
      </c>
      <c r="DC146" s="161">
        <f>IF(AO146="","",IFERROR(AO146*HSTECH!$B$37*HSTECH!$G$37/HSTECH!$B$3,""))</f>
        <v/>
      </c>
      <c r="DD146" s="161">
        <f>IF(AP146="","",IFERROR(AP146*HSTECH!$B$37*HSTECH!$G$37/HSTECH!$B$3,""))</f>
        <v/>
      </c>
      <c r="DE146" s="161">
        <f>IF(AQ146="","",IFERROR(AQ146*HSTECH!$B$37*HSTECH!$G$37/HSTECH!$B$3,""))</f>
        <v/>
      </c>
      <c r="DF146" s="161">
        <f>IF(AR146="","",IFERROR(AR146*HSTECH!$B$37*HSTECH!$G$37/HSTECH!$B$3,""))</f>
        <v/>
      </c>
      <c r="DG146" s="161">
        <f>IF(AS146="","",IFERROR(AS146*HSTECH!$B$37*HSTECH!$G$37/HSTECH!$B$3,""))</f>
        <v/>
      </c>
      <c r="DH146" s="161">
        <f>IF(AT146="","",IFERROR(AT146*HSTECH!$B$37*HSTECH!$G$37/HSTECH!$B$3,""))</f>
        <v/>
      </c>
      <c r="DI146" s="161">
        <f>IF(AU146="","",IFERROR(AU146*HSTECH!$B$37*HSTECH!$G$37/HSTECH!$B$3,""))</f>
        <v/>
      </c>
      <c r="DJ146" s="161">
        <f>IF(AV146="","",IFERROR(AV146*HSTECH!$B$37*HSTECH!$G$37/HSTECH!$B$3,""))</f>
        <v/>
      </c>
      <c r="DK146" s="161">
        <f>IF(AW146="","",IFERROR(AW146*HSTECH!$B$37*HSTECH!$G$37/HSTECH!$B$3,""))</f>
        <v/>
      </c>
      <c r="DL146" s="161">
        <f>IF(AX146="","",IFERROR(AX146*HSTECH!$B$37*HSTECH!$G$37/HSTECH!$B$3,""))</f>
        <v/>
      </c>
      <c r="DM146" s="161">
        <f>IF(AY146="","",IFERROR(AY146*HSTECH!$B$37*HSTECH!$G$37/HSTECH!$B$3,""))</f>
        <v/>
      </c>
      <c r="DN146" s="161">
        <f>IF(AZ146="","",IFERROR(AZ146*HSTECH!$B$37*HSTECH!$G$37/HSTECH!$B$3,""))</f>
        <v/>
      </c>
      <c r="DO146" s="161">
        <f>IF(BA146="","",IFERROR(BA146*HSTECH!$B$37*HSTECH!$G$37/HSTECH!$B$3,""))</f>
        <v/>
      </c>
      <c r="DP146" s="161">
        <f>IF(BB146="","",IFERROR(BB146*HSTECH!$B$37*HSTECH!$G$37/HSTECH!$B$3,""))</f>
        <v/>
      </c>
      <c r="DQ146" s="161">
        <f>IF(BC146="","",IFERROR(BC146*HSTECH!$B$37*HSTECH!$G$37/HSTECH!$B$3,""))</f>
        <v/>
      </c>
      <c r="DR146" s="161">
        <f>IF(BD146="","",IFERROR(BD146*HSTECH!$B$37*HSTECH!$G$37/HSTECH!$B$3,""))</f>
        <v/>
      </c>
      <c r="DS146" s="161">
        <f>IF(BE146="","",IFERROR(BE146*HSTECH!$B$37*HSTECH!$G$37/HSTECH!$B$3,""))</f>
        <v/>
      </c>
      <c r="DT146" s="161">
        <f>IF(BF146="","",IFERROR(BF146*HSTECH!$B$37*HSTECH!$G$37/HSTECH!$B$3,""))</f>
        <v/>
      </c>
      <c r="DU146" s="161">
        <f>IF(BG146="","",IFERROR(BG146*HSTECH!$B$37*HSTECH!$G$37/HSTECH!$B$3,""))</f>
        <v/>
      </c>
      <c r="DV146" s="161">
        <f>IF(BH146="","",IFERROR(BH146*HSTECH!$B$37*HSTECH!$G$37/HSTECH!$B$3,""))</f>
        <v/>
      </c>
      <c r="DW146" s="161">
        <f>IF(BI146="","",IFERROR(BI146*HSTECH!$B$37*HSTECH!$G$37/HSTECH!$B$3,""))</f>
        <v/>
      </c>
      <c r="DX146" s="161">
        <f>IF(BJ146="","",IFERROR(BJ146*HSTECH!$B$37*HSTECH!$G$37/HSTECH!$B$3,""))</f>
        <v/>
      </c>
      <c r="DY146" s="161">
        <f>IF(BK146="","",IFERROR(BK146*HSTECH!$B$37*HSTECH!$G$37/HSTECH!$B$3,""))</f>
        <v/>
      </c>
      <c r="DZ146" s="161">
        <f>IF(BL146="","",IFERROR(BL146*HSTECH!$B$37*HSTECH!$G$37/HSTECH!$B$3,""))</f>
        <v/>
      </c>
      <c r="EA146" s="161">
        <f>IF(BM146="","",IFERROR(BM146*HSTECH!$B$37*HSTECH!$G$37/HSTECH!$B$3,""))</f>
        <v/>
      </c>
      <c r="EB146" s="161">
        <f>IF(BN146="","",IFERROR(BN146*HSTECH!$B$37*HSTECH!$G$37/HSTECH!$B$3,""))</f>
        <v/>
      </c>
      <c r="EC146" s="161">
        <f>IF(BO146="","",IFERROR(BO146*HSTECH!$B$37*HSTECH!$G$37/HSTECH!$B$3,""))</f>
        <v/>
      </c>
      <c r="EE146" s="121">
        <f>IF(N('Dvd Calendar'!$E$1446)=0,"",IF(('Dvd Calendar'!$E$1446&gt;=GRID_FROM)*('Dvd Calendar'!$E$1446&lt;=GRID_TO)*((('Dvd Calendar'!$E$1446&lt;=VAL_DATE)+(COUNTIF('Dvd Calendar'!$E$1453:$AR$1453,'Dvd Calendar'!$E$1446)=0))&gt;0)=0,"",'Dvd Calendar'!$E$1446*1000000000+ISNUMBER('Dvd Calendar'!$E$1449)*100000000+('Dvd Calendar'!$E$1451=SPECIAL_LBL)*10000000+(N('Dvd Calendar'!$E$1445)&gt;0)*(N('Dvd Calendar'!$E$1445)&lt;=VAL_SERIAL)*1000000+31*1000+1))</f>
        <v/>
      </c>
      <c r="EF146" s="121">
        <f>IF(N('Dvd Calendar'!$F$1446)=0,"",IF(('Dvd Calendar'!$F$1446&gt;=GRID_FROM)*('Dvd Calendar'!$F$1446&lt;=GRID_TO)*((('Dvd Calendar'!$F$1446&lt;=VAL_DATE)+(COUNTIF('Dvd Calendar'!$E$1453:$AR$1453,'Dvd Calendar'!$F$1446)=0))&gt;0)=0,"",'Dvd Calendar'!$F$1446*1000000000+ISNUMBER('Dvd Calendar'!$F$1449)*100000000+('Dvd Calendar'!$F$1451=SPECIAL_LBL)*10000000+(N('Dvd Calendar'!$F$1445)&gt;0)*(N('Dvd Calendar'!$F$1445)&lt;=VAL_SERIAL)*1000000+31*1000+2))</f>
        <v/>
      </c>
      <c r="EG146" s="121">
        <f>IF(N('Dvd Calendar'!$G$1446)=0,"",IF(('Dvd Calendar'!$G$1446&gt;=GRID_FROM)*('Dvd Calendar'!$G$1446&lt;=GRID_TO)*((('Dvd Calendar'!$G$1446&lt;=VAL_DATE)+(COUNTIF('Dvd Calendar'!$E$1453:$AR$1453,'Dvd Calendar'!$G$1446)=0))&gt;0)=0,"",'Dvd Calendar'!$G$1446*1000000000+ISNUMBER('Dvd Calendar'!$G$1449)*100000000+('Dvd Calendar'!$G$1451=SPECIAL_LBL)*10000000+(N('Dvd Calendar'!$G$1445)&gt;0)*(N('Dvd Calendar'!$G$1445)&lt;=VAL_SERIAL)*1000000+31*1000+3))</f>
        <v/>
      </c>
      <c r="EH146" s="121">
        <f>IF(N('Dvd Calendar'!$H$1446)=0,"",IF(('Dvd Calendar'!$H$1446&gt;=GRID_FROM)*('Dvd Calendar'!$H$1446&lt;=GRID_TO)*((('Dvd Calendar'!$H$1446&lt;=VAL_DATE)+(COUNTIF('Dvd Calendar'!$E$1453:$AR$1453,'Dvd Calendar'!$H$1446)=0))&gt;0)=0,"",'Dvd Calendar'!$H$1446*1000000000+ISNUMBER('Dvd Calendar'!$H$1449)*100000000+('Dvd Calendar'!$H$1451=SPECIAL_LBL)*10000000+(N('Dvd Calendar'!$H$1445)&gt;0)*(N('Dvd Calendar'!$H$1445)&lt;=VAL_SERIAL)*1000000+31*1000+4))</f>
        <v/>
      </c>
      <c r="EI146" s="121">
        <f>IF(N('Dvd Calendar'!$I$1446)=0,"",IF(('Dvd Calendar'!$I$1446&gt;=GRID_FROM)*('Dvd Calendar'!$I$1446&lt;=GRID_TO)*((('Dvd Calendar'!$I$1446&lt;=VAL_DATE)+(COUNTIF('Dvd Calendar'!$E$1453:$AR$1453,'Dvd Calendar'!$I$1446)=0))&gt;0)=0,"",'Dvd Calendar'!$I$1446*1000000000+ISNUMBER('Dvd Calendar'!$I$1449)*100000000+('Dvd Calendar'!$I$1451=SPECIAL_LBL)*10000000+(N('Dvd Calendar'!$I$1445)&gt;0)*(N('Dvd Calendar'!$I$1445)&lt;=VAL_SERIAL)*1000000+31*1000+5))</f>
        <v/>
      </c>
      <c r="EJ146" s="121">
        <f>IF(N('Dvd Calendar'!$J$1446)=0,"",IF(('Dvd Calendar'!$J$1446&gt;=GRID_FROM)*('Dvd Calendar'!$J$1446&lt;=GRID_TO)*((('Dvd Calendar'!$J$1446&lt;=VAL_DATE)+(COUNTIF('Dvd Calendar'!$E$1453:$AR$1453,'Dvd Calendar'!$J$1446)=0))&gt;0)=0,"",'Dvd Calendar'!$J$1446*1000000000+ISNUMBER('Dvd Calendar'!$J$1449)*100000000+('Dvd Calendar'!$J$1451=SPECIAL_LBL)*10000000+(N('Dvd Calendar'!$J$1445)&gt;0)*(N('Dvd Calendar'!$J$1445)&lt;=VAL_SERIAL)*1000000+31*1000+6))</f>
        <v/>
      </c>
      <c r="EK146" s="121">
        <f>IF(N('Dvd Calendar'!$K$1446)=0,"",IF(('Dvd Calendar'!$K$1446&gt;=GRID_FROM)*('Dvd Calendar'!$K$1446&lt;=GRID_TO)*((('Dvd Calendar'!$K$1446&lt;=VAL_DATE)+(COUNTIF('Dvd Calendar'!$E$1453:$AR$1453,'Dvd Calendar'!$K$1446)=0))&gt;0)=0,"",'Dvd Calendar'!$K$1446*1000000000+ISNUMBER('Dvd Calendar'!$K$1449)*100000000+('Dvd Calendar'!$K$1451=SPECIAL_LBL)*10000000+(N('Dvd Calendar'!$K$1445)&gt;0)*(N('Dvd Calendar'!$K$1445)&lt;=VAL_SERIAL)*1000000+31*1000+7))</f>
        <v/>
      </c>
      <c r="EL146" s="121">
        <f>IF(N('Dvd Calendar'!$L$1446)=0,"",IF(('Dvd Calendar'!$L$1446&gt;=GRID_FROM)*('Dvd Calendar'!$L$1446&lt;=GRID_TO)*((('Dvd Calendar'!$L$1446&lt;=VAL_DATE)+(COUNTIF('Dvd Calendar'!$E$1453:$AR$1453,'Dvd Calendar'!$L$1446)=0))&gt;0)=0,"",'Dvd Calendar'!$L$1446*1000000000+ISNUMBER('Dvd Calendar'!$L$1449)*100000000+('Dvd Calendar'!$L$1451=SPECIAL_LBL)*10000000+(N('Dvd Calendar'!$L$1445)&gt;0)*(N('Dvd Calendar'!$L$1445)&lt;=VAL_SERIAL)*1000000+31*1000+8))</f>
        <v/>
      </c>
      <c r="EM146" s="121">
        <f>IF(N('Dvd Calendar'!$M$1446)=0,"",IF(('Dvd Calendar'!$M$1446&gt;=GRID_FROM)*('Dvd Calendar'!$M$1446&lt;=GRID_TO)*((('Dvd Calendar'!$M$1446&lt;=VAL_DATE)+(COUNTIF('Dvd Calendar'!$E$1453:$AR$1453,'Dvd Calendar'!$M$1446)=0))&gt;0)=0,"",'Dvd Calendar'!$M$1446*1000000000+ISNUMBER('Dvd Calendar'!$M$1449)*100000000+('Dvd Calendar'!$M$1451=SPECIAL_LBL)*10000000+(N('Dvd Calendar'!$M$1445)&gt;0)*(N('Dvd Calendar'!$M$1445)&lt;=VAL_SERIAL)*1000000+31*1000+9))</f>
        <v/>
      </c>
      <c r="EN146" s="121">
        <f>IF(N('Dvd Calendar'!$N$1446)=0,"",IF(('Dvd Calendar'!$N$1446&gt;=GRID_FROM)*('Dvd Calendar'!$N$1446&lt;=GRID_TO)*((('Dvd Calendar'!$N$1446&lt;=VAL_DATE)+(COUNTIF('Dvd Calendar'!$E$1453:$AR$1453,'Dvd Calendar'!$N$1446)=0))&gt;0)=0,"",'Dvd Calendar'!$N$1446*1000000000+ISNUMBER('Dvd Calendar'!$N$1449)*100000000+('Dvd Calendar'!$N$1451=SPECIAL_LBL)*10000000+(N('Dvd Calendar'!$N$1445)&gt;0)*(N('Dvd Calendar'!$N$1445)&lt;=VAL_SERIAL)*1000000+31*1000+10))</f>
        <v/>
      </c>
      <c r="EO146" s="121">
        <f>IF(N('Dvd Calendar'!$O$1446)=0,"",IF(('Dvd Calendar'!$O$1446&gt;=GRID_FROM)*('Dvd Calendar'!$O$1446&lt;=GRID_TO)*((('Dvd Calendar'!$O$1446&lt;=VAL_DATE)+(COUNTIF('Dvd Calendar'!$E$1453:$AR$1453,'Dvd Calendar'!$O$1446)=0))&gt;0)=0,"",'Dvd Calendar'!$O$1446*1000000000+ISNUMBER('Dvd Calendar'!$O$1449)*100000000+('Dvd Calendar'!$O$1451=SPECIAL_LBL)*10000000+(N('Dvd Calendar'!$O$1445)&gt;0)*(N('Dvd Calendar'!$O$1445)&lt;=VAL_SERIAL)*1000000+31*1000+11))</f>
        <v/>
      </c>
      <c r="EP146" s="121">
        <f>IF(N('Dvd Calendar'!$P$1446)=0,"",IF(('Dvd Calendar'!$P$1446&gt;=GRID_FROM)*('Dvd Calendar'!$P$1446&lt;=GRID_TO)*((('Dvd Calendar'!$P$1446&lt;=VAL_DATE)+(COUNTIF('Dvd Calendar'!$E$1453:$AR$1453,'Dvd Calendar'!$P$1446)=0))&gt;0)=0,"",'Dvd Calendar'!$P$1446*1000000000+ISNUMBER('Dvd Calendar'!$P$1449)*100000000+('Dvd Calendar'!$P$1451=SPECIAL_LBL)*10000000+(N('Dvd Calendar'!$P$1445)&gt;0)*(N('Dvd Calendar'!$P$1445)&lt;=VAL_SERIAL)*1000000+31*1000+12))</f>
        <v/>
      </c>
      <c r="EQ146" s="121">
        <f>IF(N('Dvd Calendar'!$Q$1446)=0,"",IF(('Dvd Calendar'!$Q$1446&gt;=GRID_FROM)*('Dvd Calendar'!$Q$1446&lt;=GRID_TO)*((('Dvd Calendar'!$Q$1446&lt;=VAL_DATE)+(COUNTIF('Dvd Calendar'!$E$1453:$AR$1453,'Dvd Calendar'!$Q$1446)=0))&gt;0)=0,"",'Dvd Calendar'!$Q$1446*1000000000+ISNUMBER('Dvd Calendar'!$Q$1449)*100000000+('Dvd Calendar'!$Q$1451=SPECIAL_LBL)*10000000+(N('Dvd Calendar'!$Q$1445)&gt;0)*(N('Dvd Calendar'!$Q$1445)&lt;=VAL_SERIAL)*1000000+31*1000+13))</f>
        <v/>
      </c>
      <c r="ER146" s="121">
        <f>IF(N('Dvd Calendar'!$R$1446)=0,"",IF(('Dvd Calendar'!$R$1446&gt;=GRID_FROM)*('Dvd Calendar'!$R$1446&lt;=GRID_TO)*((('Dvd Calendar'!$R$1446&lt;=VAL_DATE)+(COUNTIF('Dvd Calendar'!$E$1453:$AR$1453,'Dvd Calendar'!$R$1446)=0))&gt;0)=0,"",'Dvd Calendar'!$R$1446*1000000000+ISNUMBER('Dvd Calendar'!$R$1449)*100000000+('Dvd Calendar'!$R$1451=SPECIAL_LBL)*10000000+(N('Dvd Calendar'!$R$1445)&gt;0)*(N('Dvd Calendar'!$R$1445)&lt;=VAL_SERIAL)*1000000+31*1000+14))</f>
        <v/>
      </c>
      <c r="ES146" s="121">
        <f>IF(N('Dvd Calendar'!$S$1446)=0,"",IF(('Dvd Calendar'!$S$1446&gt;=GRID_FROM)*('Dvd Calendar'!$S$1446&lt;=GRID_TO)*((('Dvd Calendar'!$S$1446&lt;=VAL_DATE)+(COUNTIF('Dvd Calendar'!$E$1453:$AR$1453,'Dvd Calendar'!$S$1446)=0))&gt;0)=0,"",'Dvd Calendar'!$S$1446*1000000000+ISNUMBER('Dvd Calendar'!$S$1449)*100000000+('Dvd Calendar'!$S$1451=SPECIAL_LBL)*10000000+(N('Dvd Calendar'!$S$1445)&gt;0)*(N('Dvd Calendar'!$S$1445)&lt;=VAL_SERIAL)*1000000+31*1000+15))</f>
        <v/>
      </c>
      <c r="ET146" s="121">
        <f>IF(N('Dvd Calendar'!$T$1446)=0,"",IF(('Dvd Calendar'!$T$1446&gt;=GRID_FROM)*('Dvd Calendar'!$T$1446&lt;=GRID_TO)*((('Dvd Calendar'!$T$1446&lt;=VAL_DATE)+(COUNTIF('Dvd Calendar'!$E$1453:$AR$1453,'Dvd Calendar'!$T$1446)=0))&gt;0)=0,"",'Dvd Calendar'!$T$1446*1000000000+ISNUMBER('Dvd Calendar'!$T$1449)*100000000+('Dvd Calendar'!$T$1451=SPECIAL_LBL)*10000000+(N('Dvd Calendar'!$T$1445)&gt;0)*(N('Dvd Calendar'!$T$1445)&lt;=VAL_SERIAL)*1000000+31*1000+16))</f>
        <v/>
      </c>
      <c r="EU146" s="121">
        <f>IF(N('Dvd Calendar'!$U$1446)=0,"",IF(('Dvd Calendar'!$U$1446&gt;=GRID_FROM)*('Dvd Calendar'!$U$1446&lt;=GRID_TO)*((('Dvd Calendar'!$U$1446&lt;=VAL_DATE)+(COUNTIF('Dvd Calendar'!$E$1453:$AR$1453,'Dvd Calendar'!$U$1446)=0))&gt;0)=0,"",'Dvd Calendar'!$U$1446*1000000000+ISNUMBER('Dvd Calendar'!$U$1449)*100000000+('Dvd Calendar'!$U$1451=SPECIAL_LBL)*10000000+(N('Dvd Calendar'!$U$1445)&gt;0)*(N('Dvd Calendar'!$U$1445)&lt;=VAL_SERIAL)*1000000+31*1000+17))</f>
        <v/>
      </c>
      <c r="EV146" s="121">
        <f>IF(N('Dvd Calendar'!$V$1446)=0,"",IF(('Dvd Calendar'!$V$1446&gt;=GRID_FROM)*('Dvd Calendar'!$V$1446&lt;=GRID_TO)*((('Dvd Calendar'!$V$1446&lt;=VAL_DATE)+(COUNTIF('Dvd Calendar'!$E$1453:$AR$1453,'Dvd Calendar'!$V$1446)=0))&gt;0)=0,"",'Dvd Calendar'!$V$1446*1000000000+ISNUMBER('Dvd Calendar'!$V$1449)*100000000+('Dvd Calendar'!$V$1451=SPECIAL_LBL)*10000000+(N('Dvd Calendar'!$V$1445)&gt;0)*(N('Dvd Calendar'!$V$1445)&lt;=VAL_SERIAL)*1000000+31*1000+18))</f>
        <v/>
      </c>
      <c r="EW146" s="121">
        <f>IF(N('Dvd Calendar'!$W$1446)=0,"",IF(('Dvd Calendar'!$W$1446&gt;=GRID_FROM)*('Dvd Calendar'!$W$1446&lt;=GRID_TO)*((('Dvd Calendar'!$W$1446&lt;=VAL_DATE)+(COUNTIF('Dvd Calendar'!$E$1453:$AR$1453,'Dvd Calendar'!$W$1446)=0))&gt;0)=0,"",'Dvd Calendar'!$W$1446*1000000000+ISNUMBER('Dvd Calendar'!$W$1449)*100000000+('Dvd Calendar'!$W$1451=SPECIAL_LBL)*10000000+(N('Dvd Calendar'!$W$1445)&gt;0)*(N('Dvd Calendar'!$W$1445)&lt;=VAL_SERIAL)*1000000+31*1000+19))</f>
        <v/>
      </c>
      <c r="EX146" s="121">
        <f>IF(N('Dvd Calendar'!$X$1446)=0,"",IF(('Dvd Calendar'!$X$1446&gt;=GRID_FROM)*('Dvd Calendar'!$X$1446&lt;=GRID_TO)*((('Dvd Calendar'!$X$1446&lt;=VAL_DATE)+(COUNTIF('Dvd Calendar'!$E$1453:$AR$1453,'Dvd Calendar'!$X$1446)=0))&gt;0)=0,"",'Dvd Calendar'!$X$1446*1000000000+ISNUMBER('Dvd Calendar'!$X$1449)*100000000+('Dvd Calendar'!$X$1451=SPECIAL_LBL)*10000000+(N('Dvd Calendar'!$X$1445)&gt;0)*(N('Dvd Calendar'!$X$1445)&lt;=VAL_SERIAL)*1000000+31*1000+20))</f>
        <v/>
      </c>
      <c r="EY146" s="121">
        <f>IF(N('Dvd Calendar'!$Y$1446)=0,"",IF(('Dvd Calendar'!$Y$1446&gt;=GRID_FROM)*('Dvd Calendar'!$Y$1446&lt;=GRID_TO)*((('Dvd Calendar'!$Y$1446&lt;=VAL_DATE)+(COUNTIF('Dvd Calendar'!$E$1453:$AR$1453,'Dvd Calendar'!$Y$1446)=0))&gt;0)=0,"",'Dvd Calendar'!$Y$1446*1000000000+ISNUMBER('Dvd Calendar'!$Y$1449)*100000000+('Dvd Calendar'!$Y$1451=SPECIAL_LBL)*10000000+(N('Dvd Calendar'!$Y$1445)&gt;0)*(N('Dvd Calendar'!$Y$1445)&lt;=VAL_SERIAL)*1000000+31*1000+21))</f>
        <v/>
      </c>
      <c r="EZ146" s="121">
        <f>IF(N('Dvd Calendar'!$Z$1446)=0,"",IF(('Dvd Calendar'!$Z$1446&gt;=GRID_FROM)*('Dvd Calendar'!$Z$1446&lt;=GRID_TO)*((('Dvd Calendar'!$Z$1446&lt;=VAL_DATE)+(COUNTIF('Dvd Calendar'!$E$1453:$AR$1453,'Dvd Calendar'!$Z$1446)=0))&gt;0)=0,"",'Dvd Calendar'!$Z$1446*1000000000+ISNUMBER('Dvd Calendar'!$Z$1449)*100000000+('Dvd Calendar'!$Z$1451=SPECIAL_LBL)*10000000+(N('Dvd Calendar'!$Z$1445)&gt;0)*(N('Dvd Calendar'!$Z$1445)&lt;=VAL_SERIAL)*1000000+31*1000+22))</f>
        <v/>
      </c>
      <c r="FA146" s="121">
        <f>IF(N('Dvd Calendar'!$AA$1446)=0,"",IF(('Dvd Calendar'!$AA$1446&gt;=GRID_FROM)*('Dvd Calendar'!$AA$1446&lt;=GRID_TO)*((('Dvd Calendar'!$AA$1446&lt;=VAL_DATE)+(COUNTIF('Dvd Calendar'!$E$1453:$AR$1453,'Dvd Calendar'!$AA$1446)=0))&gt;0)=0,"",'Dvd Calendar'!$AA$1446*1000000000+ISNUMBER('Dvd Calendar'!$AA$1449)*100000000+('Dvd Calendar'!$AA$1451=SPECIAL_LBL)*10000000+(N('Dvd Calendar'!$AA$1445)&gt;0)*(N('Dvd Calendar'!$AA$1445)&lt;=VAL_SERIAL)*1000000+31*1000+23))</f>
        <v/>
      </c>
      <c r="FB146" s="121">
        <f>IF(N('Dvd Calendar'!$AB$1446)=0,"",IF(('Dvd Calendar'!$AB$1446&gt;=GRID_FROM)*('Dvd Calendar'!$AB$1446&lt;=GRID_TO)*((('Dvd Calendar'!$AB$1446&lt;=VAL_DATE)+(COUNTIF('Dvd Calendar'!$E$1453:$AR$1453,'Dvd Calendar'!$AB$1446)=0))&gt;0)=0,"",'Dvd Calendar'!$AB$1446*1000000000+ISNUMBER('Dvd Calendar'!$AB$1449)*100000000+('Dvd Calendar'!$AB$1451=SPECIAL_LBL)*10000000+(N('Dvd Calendar'!$AB$1445)&gt;0)*(N('Dvd Calendar'!$AB$1445)&lt;=VAL_SERIAL)*1000000+31*1000+24))</f>
        <v/>
      </c>
      <c r="FC146" s="121">
        <f>IF(N('Dvd Calendar'!$AC$1446)=0,"",IF(('Dvd Calendar'!$AC$1446&gt;=GRID_FROM)*('Dvd Calendar'!$AC$1446&lt;=GRID_TO)*((('Dvd Calendar'!$AC$1446&lt;=VAL_DATE)+(COUNTIF('Dvd Calendar'!$E$1453:$AR$1453,'Dvd Calendar'!$AC$1446)=0))&gt;0)=0,"",'Dvd Calendar'!$AC$1446*1000000000+ISNUMBER('Dvd Calendar'!$AC$1449)*100000000+('Dvd Calendar'!$AC$1451=SPECIAL_LBL)*10000000+(N('Dvd Calendar'!$AC$1445)&gt;0)*(N('Dvd Calendar'!$AC$1445)&lt;=VAL_SERIAL)*1000000+31*1000+25))</f>
        <v/>
      </c>
      <c r="FD146" s="121">
        <f>IF(N('Dvd Calendar'!$AD$1446)=0,"",IF(('Dvd Calendar'!$AD$1446&gt;=GRID_FROM)*('Dvd Calendar'!$AD$1446&lt;=GRID_TO)*((('Dvd Calendar'!$AD$1446&lt;=VAL_DATE)+(COUNTIF('Dvd Calendar'!$E$1453:$AR$1453,'Dvd Calendar'!$AD$1446)=0))&gt;0)=0,"",'Dvd Calendar'!$AD$1446*1000000000+ISNUMBER('Dvd Calendar'!$AD$1449)*100000000+('Dvd Calendar'!$AD$1451=SPECIAL_LBL)*10000000+(N('Dvd Calendar'!$AD$1445)&gt;0)*(N('Dvd Calendar'!$AD$1445)&lt;=VAL_SERIAL)*1000000+31*1000+26))</f>
        <v/>
      </c>
      <c r="FE146" s="121">
        <f>IF(N('Dvd Calendar'!$AE$1446)=0,"",IF(('Dvd Calendar'!$AE$1446&gt;=GRID_FROM)*('Dvd Calendar'!$AE$1446&lt;=GRID_TO)*((('Dvd Calendar'!$AE$1446&lt;=VAL_DATE)+(COUNTIF('Dvd Calendar'!$E$1453:$AR$1453,'Dvd Calendar'!$AE$1446)=0))&gt;0)=0,"",'Dvd Calendar'!$AE$1446*1000000000+ISNUMBER('Dvd Calendar'!$AE$1449)*100000000+('Dvd Calendar'!$AE$1451=SPECIAL_LBL)*10000000+(N('Dvd Calendar'!$AE$1445)&gt;0)*(N('Dvd Calendar'!$AE$1445)&lt;=VAL_SERIAL)*1000000+31*1000+27))</f>
        <v/>
      </c>
      <c r="FF146" s="121">
        <f>IF(N('Dvd Calendar'!$AF$1446)=0,"",IF(('Dvd Calendar'!$AF$1446&gt;=GRID_FROM)*('Dvd Calendar'!$AF$1446&lt;=GRID_TO)*((('Dvd Calendar'!$AF$1446&lt;=VAL_DATE)+(COUNTIF('Dvd Calendar'!$E$1453:$AR$1453,'Dvd Calendar'!$AF$1446)=0))&gt;0)=0,"",'Dvd Calendar'!$AF$1446*1000000000+ISNUMBER('Dvd Calendar'!$AF$1449)*100000000+('Dvd Calendar'!$AF$1451=SPECIAL_LBL)*10000000+(N('Dvd Calendar'!$AF$1445)&gt;0)*(N('Dvd Calendar'!$AF$1445)&lt;=VAL_SERIAL)*1000000+31*1000+28))</f>
        <v/>
      </c>
      <c r="FG146" s="121">
        <f>IF(N('Dvd Calendar'!$AG$1446)=0,"",IF(('Dvd Calendar'!$AG$1446&gt;=GRID_FROM)*('Dvd Calendar'!$AG$1446&lt;=GRID_TO)*((('Dvd Calendar'!$AG$1446&lt;=VAL_DATE)+(COUNTIF('Dvd Calendar'!$E$1453:$AR$1453,'Dvd Calendar'!$AG$1446)=0))&gt;0)=0,"",'Dvd Calendar'!$AG$1446*1000000000+ISNUMBER('Dvd Calendar'!$AG$1449)*100000000+('Dvd Calendar'!$AG$1451=SPECIAL_LBL)*10000000+(N('Dvd Calendar'!$AG$1445)&gt;0)*(N('Dvd Calendar'!$AG$1445)&lt;=VAL_SERIAL)*1000000+31*1000+29))</f>
        <v/>
      </c>
      <c r="FH146" s="121">
        <f>IF(N('Dvd Calendar'!$AH$1446)=0,"",IF(('Dvd Calendar'!$AH$1446&gt;=GRID_FROM)*('Dvd Calendar'!$AH$1446&lt;=GRID_TO)*((('Dvd Calendar'!$AH$1446&lt;=VAL_DATE)+(COUNTIF('Dvd Calendar'!$E$1453:$AR$1453,'Dvd Calendar'!$AH$1446)=0))&gt;0)=0,"",'Dvd Calendar'!$AH$1446*1000000000+ISNUMBER('Dvd Calendar'!$AH$1449)*100000000+('Dvd Calendar'!$AH$1451=SPECIAL_LBL)*10000000+(N('Dvd Calendar'!$AH$1445)&gt;0)*(N('Dvd Calendar'!$AH$1445)&lt;=VAL_SERIAL)*1000000+31*1000+30))</f>
        <v/>
      </c>
      <c r="FI146" s="121">
        <f>IF(N('Dvd Calendar'!$AI$1446)=0,"",IF(('Dvd Calendar'!$AI$1446&gt;=GRID_FROM)*('Dvd Calendar'!$AI$1446&lt;=GRID_TO)*((('Dvd Calendar'!$AI$1446&lt;=VAL_DATE)+(COUNTIF('Dvd Calendar'!$E$1453:$AR$1453,'Dvd Calendar'!$AI$1446)=0))&gt;0)=0,"",'Dvd Calendar'!$AI$1446*1000000000+ISNUMBER('Dvd Calendar'!$AI$1449)*100000000+('Dvd Calendar'!$AI$1451=SPECIAL_LBL)*10000000+(N('Dvd Calendar'!$AI$1445)&gt;0)*(N('Dvd Calendar'!$AI$1445)&lt;=VAL_SERIAL)*1000000+31*1000+31))</f>
        <v/>
      </c>
      <c r="FJ146" s="121">
        <f>IF(N('Dvd Calendar'!$AJ$1446)=0,"",IF(('Dvd Calendar'!$AJ$1446&gt;=GRID_FROM)*('Dvd Calendar'!$AJ$1446&lt;=GRID_TO)*((('Dvd Calendar'!$AJ$1446&lt;=VAL_DATE)+(COUNTIF('Dvd Calendar'!$E$1453:$AR$1453,'Dvd Calendar'!$AJ$1446)=0))&gt;0)=0,"",'Dvd Calendar'!$AJ$1446*1000000000+ISNUMBER('Dvd Calendar'!$AJ$1449)*100000000+('Dvd Calendar'!$AJ$1451=SPECIAL_LBL)*10000000+(N('Dvd Calendar'!$AJ$1445)&gt;0)*(N('Dvd Calendar'!$AJ$1445)&lt;=VAL_SERIAL)*1000000+31*1000+32))</f>
        <v/>
      </c>
      <c r="FK146" s="121">
        <f>IF(N('Dvd Calendar'!$AK$1446)=0,"",IF(('Dvd Calendar'!$AK$1446&gt;=GRID_FROM)*('Dvd Calendar'!$AK$1446&lt;=GRID_TO)*((('Dvd Calendar'!$AK$1446&lt;=VAL_DATE)+(COUNTIF('Dvd Calendar'!$E$1453:$AR$1453,'Dvd Calendar'!$AK$1446)=0))&gt;0)=0,"",'Dvd Calendar'!$AK$1446*1000000000+ISNUMBER('Dvd Calendar'!$AK$1449)*100000000+('Dvd Calendar'!$AK$1451=SPECIAL_LBL)*10000000+(N('Dvd Calendar'!$AK$1445)&gt;0)*(N('Dvd Calendar'!$AK$1445)&lt;=VAL_SERIAL)*1000000+31*1000+33))</f>
        <v/>
      </c>
      <c r="FL146" s="121">
        <f>IF(N('Dvd Calendar'!$AL$1446)=0,"",IF(('Dvd Calendar'!$AL$1446&gt;=GRID_FROM)*('Dvd Calendar'!$AL$1446&lt;=GRID_TO)*((('Dvd Calendar'!$AL$1446&lt;=VAL_DATE)+(COUNTIF('Dvd Calendar'!$E$1453:$AR$1453,'Dvd Calendar'!$AL$1446)=0))&gt;0)=0,"",'Dvd Calendar'!$AL$1446*1000000000+ISNUMBER('Dvd Calendar'!$AL$1449)*100000000+('Dvd Calendar'!$AL$1451=SPECIAL_LBL)*10000000+(N('Dvd Calendar'!$AL$1445)&gt;0)*(N('Dvd Calendar'!$AL$1445)&lt;=VAL_SERIAL)*1000000+31*1000+34))</f>
        <v/>
      </c>
      <c r="FM146" s="121">
        <f>IF(N('Dvd Calendar'!$AM$1446)=0,"",IF(('Dvd Calendar'!$AM$1446&gt;=GRID_FROM)*('Dvd Calendar'!$AM$1446&lt;=GRID_TO)*((('Dvd Calendar'!$AM$1446&lt;=VAL_DATE)+(COUNTIF('Dvd Calendar'!$E$1453:$AR$1453,'Dvd Calendar'!$AM$1446)=0))&gt;0)=0,"",'Dvd Calendar'!$AM$1446*1000000000+ISNUMBER('Dvd Calendar'!$AM$1449)*100000000+('Dvd Calendar'!$AM$1451=SPECIAL_LBL)*10000000+(N('Dvd Calendar'!$AM$1445)&gt;0)*(N('Dvd Calendar'!$AM$1445)&lt;=VAL_SERIAL)*1000000+31*1000+35))</f>
        <v/>
      </c>
      <c r="FN146" s="121">
        <f>IF(N('Dvd Calendar'!$AN$1446)=0,"",IF(('Dvd Calendar'!$AN$1446&gt;=GRID_FROM)*('Dvd Calendar'!$AN$1446&lt;=GRID_TO)*((('Dvd Calendar'!$AN$1446&lt;=VAL_DATE)+(COUNTIF('Dvd Calendar'!$E$1453:$AR$1453,'Dvd Calendar'!$AN$1446)=0))&gt;0)=0,"",'Dvd Calendar'!$AN$1446*1000000000+ISNUMBER('Dvd Calendar'!$AN$1449)*100000000+('Dvd Calendar'!$AN$1451=SPECIAL_LBL)*10000000+(N('Dvd Calendar'!$AN$1445)&gt;0)*(N('Dvd Calendar'!$AN$1445)&lt;=VAL_SERIAL)*1000000+31*1000+36))</f>
        <v/>
      </c>
      <c r="FO146" s="121">
        <f>IF(N('Dvd Calendar'!$AO$1446)=0,"",IF(('Dvd Calendar'!$AO$1446&gt;=GRID_FROM)*('Dvd Calendar'!$AO$1446&lt;=GRID_TO)*((('Dvd Calendar'!$AO$1446&lt;=VAL_DATE)+(COUNTIF('Dvd Calendar'!$E$1453:$AR$1453,'Dvd Calendar'!$AO$1446)=0))&gt;0)=0,"",'Dvd Calendar'!$AO$1446*1000000000+ISNUMBER('Dvd Calendar'!$AO$1449)*100000000+('Dvd Calendar'!$AO$1451=SPECIAL_LBL)*10000000+(N('Dvd Calendar'!$AO$1445)&gt;0)*(N('Dvd Calendar'!$AO$1445)&lt;=VAL_SERIAL)*1000000+31*1000+37))</f>
        <v/>
      </c>
      <c r="FP146" s="121">
        <f>IF(N('Dvd Calendar'!$AP$1446)=0,"",IF(('Dvd Calendar'!$AP$1446&gt;=GRID_FROM)*('Dvd Calendar'!$AP$1446&lt;=GRID_TO)*((('Dvd Calendar'!$AP$1446&lt;=VAL_DATE)+(COUNTIF('Dvd Calendar'!$E$1453:$AR$1453,'Dvd Calendar'!$AP$1446)=0))&gt;0)=0,"",'Dvd Calendar'!$AP$1446*1000000000+ISNUMBER('Dvd Calendar'!$AP$1449)*100000000+('Dvd Calendar'!$AP$1451=SPECIAL_LBL)*10000000+(N('Dvd Calendar'!$AP$1445)&gt;0)*(N('Dvd Calendar'!$AP$1445)&lt;=VAL_SERIAL)*1000000+31*1000+38))</f>
        <v/>
      </c>
      <c r="FQ146" s="121">
        <f>IF(N('Dvd Calendar'!$AQ$1446)=0,"",IF(('Dvd Calendar'!$AQ$1446&gt;=GRID_FROM)*('Dvd Calendar'!$AQ$1446&lt;=GRID_TO)*((('Dvd Calendar'!$AQ$1446&lt;=VAL_DATE)+(COUNTIF('Dvd Calendar'!$E$1453:$AR$1453,'Dvd Calendar'!$AQ$1446)=0))&gt;0)=0,"",'Dvd Calendar'!$AQ$1446*1000000000+ISNUMBER('Dvd Calendar'!$AQ$1449)*100000000+('Dvd Calendar'!$AQ$1451=SPECIAL_LBL)*10000000+(N('Dvd Calendar'!$AQ$1445)&gt;0)*(N('Dvd Calendar'!$AQ$1445)&lt;=VAL_SERIAL)*1000000+31*1000+39))</f>
        <v/>
      </c>
      <c r="FR146" s="121">
        <f>IF(N('Dvd Calendar'!$AR$1446)=0,"",IF(('Dvd Calendar'!$AR$1446&gt;=GRID_FROM)*('Dvd Calendar'!$AR$1446&lt;=GRID_TO)*((('Dvd Calendar'!$AR$1446&lt;=VAL_DATE)+(COUNTIF('Dvd Calendar'!$E$1453:$AR$1453,'Dvd Calendar'!$AR$1446)=0))&gt;0)=0,"",'Dvd Calendar'!$AR$1446*1000000000+ISNUMBER('Dvd Calendar'!$AR$1449)*100000000+('Dvd Calendar'!$AR$1451=SPECIAL_LBL)*10000000+(N('Dvd Calendar'!$AR$1445)&gt;0)*(N('Dvd Calendar'!$AR$1445)&lt;=VAL_SERIAL)*1000000+31*1000+40))</f>
        <v/>
      </c>
      <c r="FS146" s="121">
        <f>IF(N('Dvd Calendar'!$E$1453)=0,"",IF(('Dvd Calendar'!$E$1453&gt;=GRID_FROM)*('Dvd Calendar'!$E$1453&lt;=GRID_TO)*('Dvd Calendar'!$E$1453&gt;VAL_DATE)=0,"",'Dvd Calendar'!$E$1453*1000000000+ISNUMBER('Dvd Calendar'!$E$1454)*100000000+0*10000000+(N('Dvd Calendar'!$E$1452)&gt;0)*(N('Dvd Calendar'!$E$1452)&lt;=VAL_SERIAL)*1000000+31*1000+41))</f>
        <v/>
      </c>
      <c r="FT146" s="121">
        <f>IF(N('Dvd Calendar'!$F$1453)=0,"",IF(('Dvd Calendar'!$F$1453&gt;=GRID_FROM)*('Dvd Calendar'!$F$1453&lt;=GRID_TO)*('Dvd Calendar'!$F$1453&gt;VAL_DATE)=0,"",'Dvd Calendar'!$F$1453*1000000000+ISNUMBER('Dvd Calendar'!$F$1454)*100000000+0*10000000+(N('Dvd Calendar'!$F$1452)&gt;0)*(N('Dvd Calendar'!$F$1452)&lt;=VAL_SERIAL)*1000000+31*1000+42))</f>
        <v/>
      </c>
      <c r="FU146" s="121">
        <f>IF(N('Dvd Calendar'!$G$1453)=0,"",IF(('Dvd Calendar'!$G$1453&gt;=GRID_FROM)*('Dvd Calendar'!$G$1453&lt;=GRID_TO)*('Dvd Calendar'!$G$1453&gt;VAL_DATE)=0,"",'Dvd Calendar'!$G$1453*1000000000+ISNUMBER('Dvd Calendar'!$G$1454)*100000000+0*10000000+(N('Dvd Calendar'!$G$1452)&gt;0)*(N('Dvd Calendar'!$G$1452)&lt;=VAL_SERIAL)*1000000+31*1000+43))</f>
        <v/>
      </c>
      <c r="FV146" s="121">
        <f>IF(N('Dvd Calendar'!$H$1453)=0,"",IF(('Dvd Calendar'!$H$1453&gt;=GRID_FROM)*('Dvd Calendar'!$H$1453&lt;=GRID_TO)*('Dvd Calendar'!$H$1453&gt;VAL_DATE)=0,"",'Dvd Calendar'!$H$1453*1000000000+ISNUMBER('Dvd Calendar'!$H$1454)*100000000+0*10000000+(N('Dvd Calendar'!$H$1452)&gt;0)*(N('Dvd Calendar'!$H$1452)&lt;=VAL_SERIAL)*1000000+31*1000+44))</f>
        <v/>
      </c>
      <c r="FW146" s="121">
        <f>IF(N('Dvd Calendar'!$I$1453)=0,"",IF(('Dvd Calendar'!$I$1453&gt;=GRID_FROM)*('Dvd Calendar'!$I$1453&lt;=GRID_TO)*('Dvd Calendar'!$I$1453&gt;VAL_DATE)=0,"",'Dvd Calendar'!$I$1453*1000000000+ISNUMBER('Dvd Calendar'!$I$1454)*100000000+0*10000000+(N('Dvd Calendar'!$I$1452)&gt;0)*(N('Dvd Calendar'!$I$1452)&lt;=VAL_SERIAL)*1000000+31*1000+45))</f>
        <v/>
      </c>
      <c r="FX146" s="121">
        <f>IF(N('Dvd Calendar'!$J$1453)=0,"",IF(('Dvd Calendar'!$J$1453&gt;=GRID_FROM)*('Dvd Calendar'!$J$1453&lt;=GRID_TO)*('Dvd Calendar'!$J$1453&gt;VAL_DATE)=0,"",'Dvd Calendar'!$J$1453*1000000000+ISNUMBER('Dvd Calendar'!$J$1454)*100000000+0*10000000+(N('Dvd Calendar'!$J$1452)&gt;0)*(N('Dvd Calendar'!$J$1452)&lt;=VAL_SERIAL)*1000000+31*1000+46))</f>
        <v/>
      </c>
      <c r="FY146" s="121">
        <f>IF(N('Dvd Calendar'!$K$1453)=0,"",IF(('Dvd Calendar'!$K$1453&gt;=GRID_FROM)*('Dvd Calendar'!$K$1453&lt;=GRID_TO)*('Dvd Calendar'!$K$1453&gt;VAL_DATE)=0,"",'Dvd Calendar'!$K$1453*1000000000+ISNUMBER('Dvd Calendar'!$K$1454)*100000000+0*10000000+(N('Dvd Calendar'!$K$1452)&gt;0)*(N('Dvd Calendar'!$K$1452)&lt;=VAL_SERIAL)*1000000+31*1000+47))</f>
        <v/>
      </c>
      <c r="FZ146" s="121">
        <f>IF(N('Dvd Calendar'!$L$1453)=0,"",IF(('Dvd Calendar'!$L$1453&gt;=GRID_FROM)*('Dvd Calendar'!$L$1453&lt;=GRID_TO)*('Dvd Calendar'!$L$1453&gt;VAL_DATE)=0,"",'Dvd Calendar'!$L$1453*1000000000+ISNUMBER('Dvd Calendar'!$L$1454)*100000000+0*10000000+(N('Dvd Calendar'!$L$1452)&gt;0)*(N('Dvd Calendar'!$L$1452)&lt;=VAL_SERIAL)*1000000+31*1000+48))</f>
        <v/>
      </c>
      <c r="GA146" s="121">
        <f>IF(N('Dvd Calendar'!$M$1453)=0,"",IF(('Dvd Calendar'!$M$1453&gt;=GRID_FROM)*('Dvd Calendar'!$M$1453&lt;=GRID_TO)*('Dvd Calendar'!$M$1453&gt;VAL_DATE)=0,"",'Dvd Calendar'!$M$1453*1000000000+ISNUMBER('Dvd Calendar'!$M$1454)*100000000+0*10000000+(N('Dvd Calendar'!$M$1452)&gt;0)*(N('Dvd Calendar'!$M$1452)&lt;=VAL_SERIAL)*1000000+31*1000+49))</f>
        <v/>
      </c>
      <c r="GB146" s="121">
        <f>IF(N('Dvd Calendar'!$N$1453)=0,"",IF(('Dvd Calendar'!$N$1453&gt;=GRID_FROM)*('Dvd Calendar'!$N$1453&lt;=GRID_TO)*('Dvd Calendar'!$N$1453&gt;VAL_DATE)=0,"",'Dvd Calendar'!$N$1453*1000000000+ISNUMBER('Dvd Calendar'!$N$1454)*100000000+0*10000000+(N('Dvd Calendar'!$N$1452)&gt;0)*(N('Dvd Calendar'!$N$1452)&lt;=VAL_SERIAL)*1000000+31*1000+50))</f>
        <v/>
      </c>
      <c r="GC146" s="121">
        <f>IF(N('Dvd Calendar'!$O$1453)=0,"",IF(('Dvd Calendar'!$O$1453&gt;=GRID_FROM)*('Dvd Calendar'!$O$1453&lt;=GRID_TO)*('Dvd Calendar'!$O$1453&gt;VAL_DATE)=0,"",'Dvd Calendar'!$O$1453*1000000000+ISNUMBER('Dvd Calendar'!$O$1454)*100000000+0*10000000+(N('Dvd Calendar'!$O$1452)&gt;0)*(N('Dvd Calendar'!$O$1452)&lt;=VAL_SERIAL)*1000000+31*1000+51))</f>
        <v/>
      </c>
      <c r="GD146" s="121">
        <f>IF(N('Dvd Calendar'!$P$1453)=0,"",IF(('Dvd Calendar'!$P$1453&gt;=GRID_FROM)*('Dvd Calendar'!$P$1453&lt;=GRID_TO)*('Dvd Calendar'!$P$1453&gt;VAL_DATE)=0,"",'Dvd Calendar'!$P$1453*1000000000+ISNUMBER('Dvd Calendar'!$P$1454)*100000000+0*10000000+(N('Dvd Calendar'!$P$1452)&gt;0)*(N('Dvd Calendar'!$P$1452)&lt;=VAL_SERIAL)*1000000+31*1000+52))</f>
        <v/>
      </c>
      <c r="GE146" s="121">
        <f>IF(N('Dvd Calendar'!$Q$1453)=0,"",IF(('Dvd Calendar'!$Q$1453&gt;=GRID_FROM)*('Dvd Calendar'!$Q$1453&lt;=GRID_TO)*('Dvd Calendar'!$Q$1453&gt;VAL_DATE)=0,"",'Dvd Calendar'!$Q$1453*1000000000+ISNUMBER('Dvd Calendar'!$Q$1454)*100000000+0*10000000+(N('Dvd Calendar'!$Q$1452)&gt;0)*(N('Dvd Calendar'!$Q$1452)&lt;=VAL_SERIAL)*1000000+31*1000+53))</f>
        <v/>
      </c>
      <c r="GF146" s="121">
        <f>IF(N('Dvd Calendar'!$R$1453)=0,"",IF(('Dvd Calendar'!$R$1453&gt;=GRID_FROM)*('Dvd Calendar'!$R$1453&lt;=GRID_TO)*('Dvd Calendar'!$R$1453&gt;VAL_DATE)=0,"",'Dvd Calendar'!$R$1453*1000000000+ISNUMBER('Dvd Calendar'!$R$1454)*100000000+0*10000000+(N('Dvd Calendar'!$R$1452)&gt;0)*(N('Dvd Calendar'!$R$1452)&lt;=VAL_SERIAL)*1000000+31*1000+54))</f>
        <v/>
      </c>
      <c r="GG146" s="121">
        <f>IF(N('Dvd Calendar'!$S$1453)=0,"",IF(('Dvd Calendar'!$S$1453&gt;=GRID_FROM)*('Dvd Calendar'!$S$1453&lt;=GRID_TO)*('Dvd Calendar'!$S$1453&gt;VAL_DATE)=0,"",'Dvd Calendar'!$S$1453*1000000000+ISNUMBER('Dvd Calendar'!$S$1454)*100000000+0*10000000+(N('Dvd Calendar'!$S$1452)&gt;0)*(N('Dvd Calendar'!$S$1452)&lt;=VAL_SERIAL)*1000000+31*1000+55))</f>
        <v/>
      </c>
      <c r="GH146" s="121">
        <f>IF(N('Dvd Calendar'!$T$1453)=0,"",IF(('Dvd Calendar'!$T$1453&gt;=GRID_FROM)*('Dvd Calendar'!$T$1453&lt;=GRID_TO)*('Dvd Calendar'!$T$1453&gt;VAL_DATE)=0,"",'Dvd Calendar'!$T$1453*1000000000+ISNUMBER('Dvd Calendar'!$T$1454)*100000000+0*10000000+(N('Dvd Calendar'!$T$1452)&gt;0)*(N('Dvd Calendar'!$T$1452)&lt;=VAL_SERIAL)*1000000+31*1000+56))</f>
        <v/>
      </c>
      <c r="GI146" s="121">
        <f>IF(N('Dvd Calendar'!$U$1453)=0,"",IF(('Dvd Calendar'!$U$1453&gt;=GRID_FROM)*('Dvd Calendar'!$U$1453&lt;=GRID_TO)*('Dvd Calendar'!$U$1453&gt;VAL_DATE)=0,"",'Dvd Calendar'!$U$1453*1000000000+ISNUMBER('Dvd Calendar'!$U$1454)*100000000+0*10000000+(N('Dvd Calendar'!$U$1452)&gt;0)*(N('Dvd Calendar'!$U$1452)&lt;=VAL_SERIAL)*1000000+31*1000+57))</f>
        <v/>
      </c>
      <c r="GJ146" s="121">
        <f>IF(N('Dvd Calendar'!$V$1453)=0,"",IF(('Dvd Calendar'!$V$1453&gt;=GRID_FROM)*('Dvd Calendar'!$V$1453&lt;=GRID_TO)*('Dvd Calendar'!$V$1453&gt;VAL_DATE)=0,"",'Dvd Calendar'!$V$1453*1000000000+ISNUMBER('Dvd Calendar'!$V$1454)*100000000+0*10000000+(N('Dvd Calendar'!$V$1452)&gt;0)*(N('Dvd Calendar'!$V$1452)&lt;=VAL_SERIAL)*1000000+31*1000+58))</f>
        <v/>
      </c>
      <c r="GK146" s="121">
        <f>IF(N('Dvd Calendar'!$W$1453)=0,"",IF(('Dvd Calendar'!$W$1453&gt;=GRID_FROM)*('Dvd Calendar'!$W$1453&lt;=GRID_TO)*('Dvd Calendar'!$W$1453&gt;VAL_DATE)=0,"",'Dvd Calendar'!$W$1453*1000000000+ISNUMBER('Dvd Calendar'!$W$1454)*100000000+0*10000000+(N('Dvd Calendar'!$W$1452)&gt;0)*(N('Dvd Calendar'!$W$1452)&lt;=VAL_SERIAL)*1000000+31*1000+59))</f>
        <v/>
      </c>
      <c r="GL146" s="121">
        <f>IF(N('Dvd Calendar'!$X$1453)=0,"",IF(('Dvd Calendar'!$X$1453&gt;=GRID_FROM)*('Dvd Calendar'!$X$1453&lt;=GRID_TO)*('Dvd Calendar'!$X$1453&gt;VAL_DATE)=0,"",'Dvd Calendar'!$X$1453*1000000000+ISNUMBER('Dvd Calendar'!$X$1454)*100000000+0*10000000+(N('Dvd Calendar'!$X$1452)&gt;0)*(N('Dvd Calendar'!$X$1452)&lt;=VAL_SERIAL)*1000000+31*1000+60))</f>
        <v/>
      </c>
      <c r="GM146" s="121">
        <f>IF(N('Dvd Calendar'!$Y$1453)=0,"",IF(('Dvd Calendar'!$Y$1453&gt;=GRID_FROM)*('Dvd Calendar'!$Y$1453&lt;=GRID_TO)*('Dvd Calendar'!$Y$1453&gt;VAL_DATE)=0,"",'Dvd Calendar'!$Y$1453*1000000000+ISNUMBER('Dvd Calendar'!$Y$1454)*100000000+0*10000000+(N('Dvd Calendar'!$Y$1452)&gt;0)*(N('Dvd Calendar'!$Y$1452)&lt;=VAL_SERIAL)*1000000+31*1000+61))</f>
        <v/>
      </c>
      <c r="GN146" s="121">
        <f>IF(N('Dvd Calendar'!$Z$1453)=0,"",IF(('Dvd Calendar'!$Z$1453&gt;=GRID_FROM)*('Dvd Calendar'!$Z$1453&lt;=GRID_TO)*('Dvd Calendar'!$Z$1453&gt;VAL_DATE)=0,"",'Dvd Calendar'!$Z$1453*1000000000+ISNUMBER('Dvd Calendar'!$Z$1454)*100000000+0*10000000+(N('Dvd Calendar'!$Z$1452)&gt;0)*(N('Dvd Calendar'!$Z$1452)&lt;=VAL_SERIAL)*1000000+31*1000+62))</f>
        <v/>
      </c>
      <c r="GO146" s="121">
        <f>IF(N('Dvd Calendar'!$AA$1453)=0,"",IF(('Dvd Calendar'!$AA$1453&gt;=GRID_FROM)*('Dvd Calendar'!$AA$1453&lt;=GRID_TO)*('Dvd Calendar'!$AA$1453&gt;VAL_DATE)=0,"",'Dvd Calendar'!$AA$1453*1000000000+ISNUMBER('Dvd Calendar'!$AA$1454)*100000000+0*10000000+(N('Dvd Calendar'!$AA$1452)&gt;0)*(N('Dvd Calendar'!$AA$1452)&lt;=VAL_SERIAL)*1000000+31*1000+63))</f>
        <v/>
      </c>
      <c r="GP146" s="121">
        <f>IF(N('Dvd Calendar'!$AB$1453)=0,"",IF(('Dvd Calendar'!$AB$1453&gt;=GRID_FROM)*('Dvd Calendar'!$AB$1453&lt;=GRID_TO)*('Dvd Calendar'!$AB$1453&gt;VAL_DATE)=0,"",'Dvd Calendar'!$AB$1453*1000000000+ISNUMBER('Dvd Calendar'!$AB$1454)*100000000+0*10000000+(N('Dvd Calendar'!$AB$1452)&gt;0)*(N('Dvd Calendar'!$AB$1452)&lt;=VAL_SERIAL)*1000000+31*1000+64))</f>
        <v/>
      </c>
      <c r="GQ146" s="121">
        <f>IF(N('Dvd Calendar'!$AC$1453)=0,"",IF(('Dvd Calendar'!$AC$1453&gt;=GRID_FROM)*('Dvd Calendar'!$AC$1453&lt;=GRID_TO)*('Dvd Calendar'!$AC$1453&gt;VAL_DATE)=0,"",'Dvd Calendar'!$AC$1453*1000000000+ISNUMBER('Dvd Calendar'!$AC$1454)*100000000+0*10000000+(N('Dvd Calendar'!$AC$1452)&gt;0)*(N('Dvd Calendar'!$AC$1452)&lt;=VAL_SERIAL)*1000000+31*1000+65))</f>
        <v/>
      </c>
    </row>
    <row r="147">
      <c r="B147" s="2">
        <f>IF(HSTECH!$C$38="","",HSTECH!$C$38)</f>
        <v/>
      </c>
      <c r="C147" s="161">
        <f>IF(EE147="","",IF(ISNUMBER('Dvd Calendar'!$E$1460)=FALSE,"",IF((('Dvd Calendar'!$E$1462=TYPE1)*(TYPE1&lt;&gt;"")+('Dvd Calendar'!$E$1462=TYPE2)*(TYPE2&lt;&gt;"")+('Dvd Calendar'!$E$1462=TYPE3)*(TYPE3&lt;&gt;"")+('Dvd Calendar'!$E$1462=TYPE4)*(TYPE4&lt;&gt;"")+('Dvd Calendar'!$E$1462=SPECIAL_LBL)*(INC_SPECIALS="Y"))=0,"",'Dvd Calendar'!$E$1460)))</f>
        <v/>
      </c>
      <c r="D147" s="161">
        <f>IF(EF147="","",IF(ISNUMBER('Dvd Calendar'!$F$1460)=FALSE,"",IF((('Dvd Calendar'!$F$1462=TYPE1)*(TYPE1&lt;&gt;"")+('Dvd Calendar'!$F$1462=TYPE2)*(TYPE2&lt;&gt;"")+('Dvd Calendar'!$F$1462=TYPE3)*(TYPE3&lt;&gt;"")+('Dvd Calendar'!$F$1462=TYPE4)*(TYPE4&lt;&gt;"")+('Dvd Calendar'!$F$1462=SPECIAL_LBL)*(INC_SPECIALS="Y"))=0,"",'Dvd Calendar'!$F$1460)))</f>
        <v/>
      </c>
      <c r="E147" s="161">
        <f>IF(EG147="","",IF(ISNUMBER('Dvd Calendar'!$G$1460)=FALSE,"",IF((('Dvd Calendar'!$G$1462=TYPE1)*(TYPE1&lt;&gt;"")+('Dvd Calendar'!$G$1462=TYPE2)*(TYPE2&lt;&gt;"")+('Dvd Calendar'!$G$1462=TYPE3)*(TYPE3&lt;&gt;"")+('Dvd Calendar'!$G$1462=TYPE4)*(TYPE4&lt;&gt;"")+('Dvd Calendar'!$G$1462=SPECIAL_LBL)*(INC_SPECIALS="Y"))=0,"",'Dvd Calendar'!$G$1460)))</f>
        <v/>
      </c>
      <c r="F147" s="161">
        <f>IF(EH147="","",IF(ISNUMBER('Dvd Calendar'!$H$1460)=FALSE,"",IF((('Dvd Calendar'!$H$1462=TYPE1)*(TYPE1&lt;&gt;"")+('Dvd Calendar'!$H$1462=TYPE2)*(TYPE2&lt;&gt;"")+('Dvd Calendar'!$H$1462=TYPE3)*(TYPE3&lt;&gt;"")+('Dvd Calendar'!$H$1462=TYPE4)*(TYPE4&lt;&gt;"")+('Dvd Calendar'!$H$1462=SPECIAL_LBL)*(INC_SPECIALS="Y"))=0,"",'Dvd Calendar'!$H$1460)))</f>
        <v/>
      </c>
      <c r="G147" s="161">
        <f>IF(EI147="","",IF(ISNUMBER('Dvd Calendar'!$I$1460)=FALSE,"",IF((('Dvd Calendar'!$I$1462=TYPE1)*(TYPE1&lt;&gt;"")+('Dvd Calendar'!$I$1462=TYPE2)*(TYPE2&lt;&gt;"")+('Dvd Calendar'!$I$1462=TYPE3)*(TYPE3&lt;&gt;"")+('Dvd Calendar'!$I$1462=TYPE4)*(TYPE4&lt;&gt;"")+('Dvd Calendar'!$I$1462=SPECIAL_LBL)*(INC_SPECIALS="Y"))=0,"",'Dvd Calendar'!$I$1460)))</f>
        <v/>
      </c>
      <c r="H147" s="161">
        <f>IF(EJ147="","",IF(ISNUMBER('Dvd Calendar'!$J$1460)=FALSE,"",IF((('Dvd Calendar'!$J$1462=TYPE1)*(TYPE1&lt;&gt;"")+('Dvd Calendar'!$J$1462=TYPE2)*(TYPE2&lt;&gt;"")+('Dvd Calendar'!$J$1462=TYPE3)*(TYPE3&lt;&gt;"")+('Dvd Calendar'!$J$1462=TYPE4)*(TYPE4&lt;&gt;"")+('Dvd Calendar'!$J$1462=SPECIAL_LBL)*(INC_SPECIALS="Y"))=0,"",'Dvd Calendar'!$J$1460)))</f>
        <v/>
      </c>
      <c r="I147" s="161">
        <f>IF(EK147="","",IF(ISNUMBER('Dvd Calendar'!$K$1460)=FALSE,"",IF((('Dvd Calendar'!$K$1462=TYPE1)*(TYPE1&lt;&gt;"")+('Dvd Calendar'!$K$1462=TYPE2)*(TYPE2&lt;&gt;"")+('Dvd Calendar'!$K$1462=TYPE3)*(TYPE3&lt;&gt;"")+('Dvd Calendar'!$K$1462=TYPE4)*(TYPE4&lt;&gt;"")+('Dvd Calendar'!$K$1462=SPECIAL_LBL)*(INC_SPECIALS="Y"))=0,"",'Dvd Calendar'!$K$1460)))</f>
        <v/>
      </c>
      <c r="J147" s="161">
        <f>IF(EL147="","",IF(ISNUMBER('Dvd Calendar'!$L$1460)=FALSE,"",IF((('Dvd Calendar'!$L$1462=TYPE1)*(TYPE1&lt;&gt;"")+('Dvd Calendar'!$L$1462=TYPE2)*(TYPE2&lt;&gt;"")+('Dvd Calendar'!$L$1462=TYPE3)*(TYPE3&lt;&gt;"")+('Dvd Calendar'!$L$1462=TYPE4)*(TYPE4&lt;&gt;"")+('Dvd Calendar'!$L$1462=SPECIAL_LBL)*(INC_SPECIALS="Y"))=0,"",'Dvd Calendar'!$L$1460)))</f>
        <v/>
      </c>
      <c r="K147" s="161">
        <f>IF(EM147="","",IF(ISNUMBER('Dvd Calendar'!$M$1460)=FALSE,"",IF((('Dvd Calendar'!$M$1462=TYPE1)*(TYPE1&lt;&gt;"")+('Dvd Calendar'!$M$1462=TYPE2)*(TYPE2&lt;&gt;"")+('Dvd Calendar'!$M$1462=TYPE3)*(TYPE3&lt;&gt;"")+('Dvd Calendar'!$M$1462=TYPE4)*(TYPE4&lt;&gt;"")+('Dvd Calendar'!$M$1462=SPECIAL_LBL)*(INC_SPECIALS="Y"))=0,"",'Dvd Calendar'!$M$1460)))</f>
        <v/>
      </c>
      <c r="L147" s="161">
        <f>IF(EN147="","",IF(ISNUMBER('Dvd Calendar'!$N$1460)=FALSE,"",IF((('Dvd Calendar'!$N$1462=TYPE1)*(TYPE1&lt;&gt;"")+('Dvd Calendar'!$N$1462=TYPE2)*(TYPE2&lt;&gt;"")+('Dvd Calendar'!$N$1462=TYPE3)*(TYPE3&lt;&gt;"")+('Dvd Calendar'!$N$1462=TYPE4)*(TYPE4&lt;&gt;"")+('Dvd Calendar'!$N$1462=SPECIAL_LBL)*(INC_SPECIALS="Y"))=0,"",'Dvd Calendar'!$N$1460)))</f>
        <v/>
      </c>
      <c r="M147" s="161">
        <f>IF(EO147="","",IF(ISNUMBER('Dvd Calendar'!$O$1460)=FALSE,"",IF((('Dvd Calendar'!$O$1462=TYPE1)*(TYPE1&lt;&gt;"")+('Dvd Calendar'!$O$1462=TYPE2)*(TYPE2&lt;&gt;"")+('Dvd Calendar'!$O$1462=TYPE3)*(TYPE3&lt;&gt;"")+('Dvd Calendar'!$O$1462=TYPE4)*(TYPE4&lt;&gt;"")+('Dvd Calendar'!$O$1462=SPECIAL_LBL)*(INC_SPECIALS="Y"))=0,"",'Dvd Calendar'!$O$1460)))</f>
        <v/>
      </c>
      <c r="N147" s="161">
        <f>IF(EP147="","",IF(ISNUMBER('Dvd Calendar'!$P$1460)=FALSE,"",IF((('Dvd Calendar'!$P$1462=TYPE1)*(TYPE1&lt;&gt;"")+('Dvd Calendar'!$P$1462=TYPE2)*(TYPE2&lt;&gt;"")+('Dvd Calendar'!$P$1462=TYPE3)*(TYPE3&lt;&gt;"")+('Dvd Calendar'!$P$1462=TYPE4)*(TYPE4&lt;&gt;"")+('Dvd Calendar'!$P$1462=SPECIAL_LBL)*(INC_SPECIALS="Y"))=0,"",'Dvd Calendar'!$P$1460)))</f>
        <v/>
      </c>
      <c r="O147" s="161">
        <f>IF(EQ147="","",IF(ISNUMBER('Dvd Calendar'!$Q$1460)=FALSE,"",IF((('Dvd Calendar'!$Q$1462=TYPE1)*(TYPE1&lt;&gt;"")+('Dvd Calendar'!$Q$1462=TYPE2)*(TYPE2&lt;&gt;"")+('Dvd Calendar'!$Q$1462=TYPE3)*(TYPE3&lt;&gt;"")+('Dvd Calendar'!$Q$1462=TYPE4)*(TYPE4&lt;&gt;"")+('Dvd Calendar'!$Q$1462=SPECIAL_LBL)*(INC_SPECIALS="Y"))=0,"",'Dvd Calendar'!$Q$1460)))</f>
        <v/>
      </c>
      <c r="P147" s="161">
        <f>IF(ER147="","",IF(ISNUMBER('Dvd Calendar'!$R$1460)=FALSE,"",IF((('Dvd Calendar'!$R$1462=TYPE1)*(TYPE1&lt;&gt;"")+('Dvd Calendar'!$R$1462=TYPE2)*(TYPE2&lt;&gt;"")+('Dvd Calendar'!$R$1462=TYPE3)*(TYPE3&lt;&gt;"")+('Dvd Calendar'!$R$1462=TYPE4)*(TYPE4&lt;&gt;"")+('Dvd Calendar'!$R$1462=SPECIAL_LBL)*(INC_SPECIALS="Y"))=0,"",'Dvd Calendar'!$R$1460)))</f>
        <v/>
      </c>
      <c r="Q147" s="161">
        <f>IF(ES147="","",IF(ISNUMBER('Dvd Calendar'!$S$1460)=FALSE,"",IF((('Dvd Calendar'!$S$1462=TYPE1)*(TYPE1&lt;&gt;"")+('Dvd Calendar'!$S$1462=TYPE2)*(TYPE2&lt;&gt;"")+('Dvd Calendar'!$S$1462=TYPE3)*(TYPE3&lt;&gt;"")+('Dvd Calendar'!$S$1462=TYPE4)*(TYPE4&lt;&gt;"")+('Dvd Calendar'!$S$1462=SPECIAL_LBL)*(INC_SPECIALS="Y"))=0,"",'Dvd Calendar'!$S$1460)))</f>
        <v/>
      </c>
      <c r="R147" s="161">
        <f>IF(ET147="","",IF(ISNUMBER('Dvd Calendar'!$T$1460)=FALSE,"",IF((('Dvd Calendar'!$T$1462=TYPE1)*(TYPE1&lt;&gt;"")+('Dvd Calendar'!$T$1462=TYPE2)*(TYPE2&lt;&gt;"")+('Dvd Calendar'!$T$1462=TYPE3)*(TYPE3&lt;&gt;"")+('Dvd Calendar'!$T$1462=TYPE4)*(TYPE4&lt;&gt;"")+('Dvd Calendar'!$T$1462=SPECIAL_LBL)*(INC_SPECIALS="Y"))=0,"",'Dvd Calendar'!$T$1460)))</f>
        <v/>
      </c>
      <c r="S147" s="161">
        <f>IF(EU147="","",IF(ISNUMBER('Dvd Calendar'!$U$1460)=FALSE,"",IF((('Dvd Calendar'!$U$1462=TYPE1)*(TYPE1&lt;&gt;"")+('Dvd Calendar'!$U$1462=TYPE2)*(TYPE2&lt;&gt;"")+('Dvd Calendar'!$U$1462=TYPE3)*(TYPE3&lt;&gt;"")+('Dvd Calendar'!$U$1462=TYPE4)*(TYPE4&lt;&gt;"")+('Dvd Calendar'!$U$1462=SPECIAL_LBL)*(INC_SPECIALS="Y"))=0,"",'Dvd Calendar'!$U$1460)))</f>
        <v/>
      </c>
      <c r="T147" s="161">
        <f>IF(EV147="","",IF(ISNUMBER('Dvd Calendar'!$V$1460)=FALSE,"",IF((('Dvd Calendar'!$V$1462=TYPE1)*(TYPE1&lt;&gt;"")+('Dvd Calendar'!$V$1462=TYPE2)*(TYPE2&lt;&gt;"")+('Dvd Calendar'!$V$1462=TYPE3)*(TYPE3&lt;&gt;"")+('Dvd Calendar'!$V$1462=TYPE4)*(TYPE4&lt;&gt;"")+('Dvd Calendar'!$V$1462=SPECIAL_LBL)*(INC_SPECIALS="Y"))=0,"",'Dvd Calendar'!$V$1460)))</f>
        <v/>
      </c>
      <c r="U147" s="161">
        <f>IF(EW147="","",IF(ISNUMBER('Dvd Calendar'!$W$1460)=FALSE,"",IF((('Dvd Calendar'!$W$1462=TYPE1)*(TYPE1&lt;&gt;"")+('Dvd Calendar'!$W$1462=TYPE2)*(TYPE2&lt;&gt;"")+('Dvd Calendar'!$W$1462=TYPE3)*(TYPE3&lt;&gt;"")+('Dvd Calendar'!$W$1462=TYPE4)*(TYPE4&lt;&gt;"")+('Dvd Calendar'!$W$1462=SPECIAL_LBL)*(INC_SPECIALS="Y"))=0,"",'Dvd Calendar'!$W$1460)))</f>
        <v/>
      </c>
      <c r="V147" s="161">
        <f>IF(EX147="","",IF(ISNUMBER('Dvd Calendar'!$X$1460)=FALSE,"",IF((('Dvd Calendar'!$X$1462=TYPE1)*(TYPE1&lt;&gt;"")+('Dvd Calendar'!$X$1462=TYPE2)*(TYPE2&lt;&gt;"")+('Dvd Calendar'!$X$1462=TYPE3)*(TYPE3&lt;&gt;"")+('Dvd Calendar'!$X$1462=TYPE4)*(TYPE4&lt;&gt;"")+('Dvd Calendar'!$X$1462=SPECIAL_LBL)*(INC_SPECIALS="Y"))=0,"",'Dvd Calendar'!$X$1460)))</f>
        <v/>
      </c>
      <c r="W147" s="161">
        <f>IF(EY147="","",IF(ISNUMBER('Dvd Calendar'!$Y$1460)=FALSE,"",IF((('Dvd Calendar'!$Y$1462=TYPE1)*(TYPE1&lt;&gt;"")+('Dvd Calendar'!$Y$1462=TYPE2)*(TYPE2&lt;&gt;"")+('Dvd Calendar'!$Y$1462=TYPE3)*(TYPE3&lt;&gt;"")+('Dvd Calendar'!$Y$1462=TYPE4)*(TYPE4&lt;&gt;"")+('Dvd Calendar'!$Y$1462=SPECIAL_LBL)*(INC_SPECIALS="Y"))=0,"",'Dvd Calendar'!$Y$1460)))</f>
        <v/>
      </c>
      <c r="X147" s="161">
        <f>IF(EZ147="","",IF(ISNUMBER('Dvd Calendar'!$Z$1460)=FALSE,"",IF((('Dvd Calendar'!$Z$1462=TYPE1)*(TYPE1&lt;&gt;"")+('Dvd Calendar'!$Z$1462=TYPE2)*(TYPE2&lt;&gt;"")+('Dvd Calendar'!$Z$1462=TYPE3)*(TYPE3&lt;&gt;"")+('Dvd Calendar'!$Z$1462=TYPE4)*(TYPE4&lt;&gt;"")+('Dvd Calendar'!$Z$1462=SPECIAL_LBL)*(INC_SPECIALS="Y"))=0,"",'Dvd Calendar'!$Z$1460)))</f>
        <v/>
      </c>
      <c r="Y147" s="161">
        <f>IF(FA147="","",IF(ISNUMBER('Dvd Calendar'!$AA$1460)=FALSE,"",IF((('Dvd Calendar'!$AA$1462=TYPE1)*(TYPE1&lt;&gt;"")+('Dvd Calendar'!$AA$1462=TYPE2)*(TYPE2&lt;&gt;"")+('Dvd Calendar'!$AA$1462=TYPE3)*(TYPE3&lt;&gt;"")+('Dvd Calendar'!$AA$1462=TYPE4)*(TYPE4&lt;&gt;"")+('Dvd Calendar'!$AA$1462=SPECIAL_LBL)*(INC_SPECIALS="Y"))=0,"",'Dvd Calendar'!$AA$1460)))</f>
        <v/>
      </c>
      <c r="Z147" s="161">
        <f>IF(FB147="","",IF(ISNUMBER('Dvd Calendar'!$AB$1460)=FALSE,"",IF((('Dvd Calendar'!$AB$1462=TYPE1)*(TYPE1&lt;&gt;"")+('Dvd Calendar'!$AB$1462=TYPE2)*(TYPE2&lt;&gt;"")+('Dvd Calendar'!$AB$1462=TYPE3)*(TYPE3&lt;&gt;"")+('Dvd Calendar'!$AB$1462=TYPE4)*(TYPE4&lt;&gt;"")+('Dvd Calendar'!$AB$1462=SPECIAL_LBL)*(INC_SPECIALS="Y"))=0,"",'Dvd Calendar'!$AB$1460)))</f>
        <v/>
      </c>
      <c r="AA147" s="161">
        <f>IF(FC147="","",IF(ISNUMBER('Dvd Calendar'!$AC$1460)=FALSE,"",IF((('Dvd Calendar'!$AC$1462=TYPE1)*(TYPE1&lt;&gt;"")+('Dvd Calendar'!$AC$1462=TYPE2)*(TYPE2&lt;&gt;"")+('Dvd Calendar'!$AC$1462=TYPE3)*(TYPE3&lt;&gt;"")+('Dvd Calendar'!$AC$1462=TYPE4)*(TYPE4&lt;&gt;"")+('Dvd Calendar'!$AC$1462=SPECIAL_LBL)*(INC_SPECIALS="Y"))=0,"",'Dvd Calendar'!$AC$1460)))</f>
        <v/>
      </c>
      <c r="AB147" s="161">
        <f>IF(FD147="","",IF(ISNUMBER('Dvd Calendar'!$AD$1460)=FALSE,"",IF((('Dvd Calendar'!$AD$1462=TYPE1)*(TYPE1&lt;&gt;"")+('Dvd Calendar'!$AD$1462=TYPE2)*(TYPE2&lt;&gt;"")+('Dvd Calendar'!$AD$1462=TYPE3)*(TYPE3&lt;&gt;"")+('Dvd Calendar'!$AD$1462=TYPE4)*(TYPE4&lt;&gt;"")+('Dvd Calendar'!$AD$1462=SPECIAL_LBL)*(INC_SPECIALS="Y"))=0,"",'Dvd Calendar'!$AD$1460)))</f>
        <v/>
      </c>
      <c r="AC147" s="161">
        <f>IF(FE147="","",IF(ISNUMBER('Dvd Calendar'!$AE$1460)=FALSE,"",IF((('Dvd Calendar'!$AE$1462=TYPE1)*(TYPE1&lt;&gt;"")+('Dvd Calendar'!$AE$1462=TYPE2)*(TYPE2&lt;&gt;"")+('Dvd Calendar'!$AE$1462=TYPE3)*(TYPE3&lt;&gt;"")+('Dvd Calendar'!$AE$1462=TYPE4)*(TYPE4&lt;&gt;"")+('Dvd Calendar'!$AE$1462=SPECIAL_LBL)*(INC_SPECIALS="Y"))=0,"",'Dvd Calendar'!$AE$1460)))</f>
        <v/>
      </c>
      <c r="AD147" s="161">
        <f>IF(FF147="","",IF(ISNUMBER('Dvd Calendar'!$AF$1460)=FALSE,"",IF((('Dvd Calendar'!$AF$1462=TYPE1)*(TYPE1&lt;&gt;"")+('Dvd Calendar'!$AF$1462=TYPE2)*(TYPE2&lt;&gt;"")+('Dvd Calendar'!$AF$1462=TYPE3)*(TYPE3&lt;&gt;"")+('Dvd Calendar'!$AF$1462=TYPE4)*(TYPE4&lt;&gt;"")+('Dvd Calendar'!$AF$1462=SPECIAL_LBL)*(INC_SPECIALS="Y"))=0,"",'Dvd Calendar'!$AF$1460)))</f>
        <v/>
      </c>
      <c r="AE147" s="161">
        <f>IF(FG147="","",IF(ISNUMBER('Dvd Calendar'!$AG$1460)=FALSE,"",IF((('Dvd Calendar'!$AG$1462=TYPE1)*(TYPE1&lt;&gt;"")+('Dvd Calendar'!$AG$1462=TYPE2)*(TYPE2&lt;&gt;"")+('Dvd Calendar'!$AG$1462=TYPE3)*(TYPE3&lt;&gt;"")+('Dvd Calendar'!$AG$1462=TYPE4)*(TYPE4&lt;&gt;"")+('Dvd Calendar'!$AG$1462=SPECIAL_LBL)*(INC_SPECIALS="Y"))=0,"",'Dvd Calendar'!$AG$1460)))</f>
        <v/>
      </c>
      <c r="AF147" s="161">
        <f>IF(FH147="","",IF(ISNUMBER('Dvd Calendar'!$AH$1460)=FALSE,"",IF((('Dvd Calendar'!$AH$1462=TYPE1)*(TYPE1&lt;&gt;"")+('Dvd Calendar'!$AH$1462=TYPE2)*(TYPE2&lt;&gt;"")+('Dvd Calendar'!$AH$1462=TYPE3)*(TYPE3&lt;&gt;"")+('Dvd Calendar'!$AH$1462=TYPE4)*(TYPE4&lt;&gt;"")+('Dvd Calendar'!$AH$1462=SPECIAL_LBL)*(INC_SPECIALS="Y"))=0,"",'Dvd Calendar'!$AH$1460)))</f>
        <v/>
      </c>
      <c r="AG147" s="161">
        <f>IF(FI147="","",IF(ISNUMBER('Dvd Calendar'!$AI$1460)=FALSE,"",IF((('Dvd Calendar'!$AI$1462=TYPE1)*(TYPE1&lt;&gt;"")+('Dvd Calendar'!$AI$1462=TYPE2)*(TYPE2&lt;&gt;"")+('Dvd Calendar'!$AI$1462=TYPE3)*(TYPE3&lt;&gt;"")+('Dvd Calendar'!$AI$1462=TYPE4)*(TYPE4&lt;&gt;"")+('Dvd Calendar'!$AI$1462=SPECIAL_LBL)*(INC_SPECIALS="Y"))=0,"",'Dvd Calendar'!$AI$1460)))</f>
        <v/>
      </c>
      <c r="AH147" s="161">
        <f>IF(FJ147="","",IF(ISNUMBER('Dvd Calendar'!$AJ$1460)=FALSE,"",IF((('Dvd Calendar'!$AJ$1462=TYPE1)*(TYPE1&lt;&gt;"")+('Dvd Calendar'!$AJ$1462=TYPE2)*(TYPE2&lt;&gt;"")+('Dvd Calendar'!$AJ$1462=TYPE3)*(TYPE3&lt;&gt;"")+('Dvd Calendar'!$AJ$1462=TYPE4)*(TYPE4&lt;&gt;"")+('Dvd Calendar'!$AJ$1462=SPECIAL_LBL)*(INC_SPECIALS="Y"))=0,"",'Dvd Calendar'!$AJ$1460)))</f>
        <v/>
      </c>
      <c r="AI147" s="161">
        <f>IF(FK147="","",IF(ISNUMBER('Dvd Calendar'!$AK$1460)=FALSE,"",IF((('Dvd Calendar'!$AK$1462=TYPE1)*(TYPE1&lt;&gt;"")+('Dvd Calendar'!$AK$1462=TYPE2)*(TYPE2&lt;&gt;"")+('Dvd Calendar'!$AK$1462=TYPE3)*(TYPE3&lt;&gt;"")+('Dvd Calendar'!$AK$1462=TYPE4)*(TYPE4&lt;&gt;"")+('Dvd Calendar'!$AK$1462=SPECIAL_LBL)*(INC_SPECIALS="Y"))=0,"",'Dvd Calendar'!$AK$1460)))</f>
        <v/>
      </c>
      <c r="AJ147" s="161">
        <f>IF(FL147="","",IF(ISNUMBER('Dvd Calendar'!$AL$1460)=FALSE,"",IF((('Dvd Calendar'!$AL$1462=TYPE1)*(TYPE1&lt;&gt;"")+('Dvd Calendar'!$AL$1462=TYPE2)*(TYPE2&lt;&gt;"")+('Dvd Calendar'!$AL$1462=TYPE3)*(TYPE3&lt;&gt;"")+('Dvd Calendar'!$AL$1462=TYPE4)*(TYPE4&lt;&gt;"")+('Dvd Calendar'!$AL$1462=SPECIAL_LBL)*(INC_SPECIALS="Y"))=0,"",'Dvd Calendar'!$AL$1460)))</f>
        <v/>
      </c>
      <c r="AK147" s="161">
        <f>IF(FM147="","",IF(ISNUMBER('Dvd Calendar'!$AM$1460)=FALSE,"",IF((('Dvd Calendar'!$AM$1462=TYPE1)*(TYPE1&lt;&gt;"")+('Dvd Calendar'!$AM$1462=TYPE2)*(TYPE2&lt;&gt;"")+('Dvd Calendar'!$AM$1462=TYPE3)*(TYPE3&lt;&gt;"")+('Dvd Calendar'!$AM$1462=TYPE4)*(TYPE4&lt;&gt;"")+('Dvd Calendar'!$AM$1462=SPECIAL_LBL)*(INC_SPECIALS="Y"))=0,"",'Dvd Calendar'!$AM$1460)))</f>
        <v/>
      </c>
      <c r="AL147" s="161">
        <f>IF(FN147="","",IF(ISNUMBER('Dvd Calendar'!$AN$1460)=FALSE,"",IF((('Dvd Calendar'!$AN$1462=TYPE1)*(TYPE1&lt;&gt;"")+('Dvd Calendar'!$AN$1462=TYPE2)*(TYPE2&lt;&gt;"")+('Dvd Calendar'!$AN$1462=TYPE3)*(TYPE3&lt;&gt;"")+('Dvd Calendar'!$AN$1462=TYPE4)*(TYPE4&lt;&gt;"")+('Dvd Calendar'!$AN$1462=SPECIAL_LBL)*(INC_SPECIALS="Y"))=0,"",'Dvd Calendar'!$AN$1460)))</f>
        <v/>
      </c>
      <c r="AM147" s="161">
        <f>IF(FO147="","",IF(ISNUMBER('Dvd Calendar'!$AO$1460)=FALSE,"",IF((('Dvd Calendar'!$AO$1462=TYPE1)*(TYPE1&lt;&gt;"")+('Dvd Calendar'!$AO$1462=TYPE2)*(TYPE2&lt;&gt;"")+('Dvd Calendar'!$AO$1462=TYPE3)*(TYPE3&lt;&gt;"")+('Dvd Calendar'!$AO$1462=TYPE4)*(TYPE4&lt;&gt;"")+('Dvd Calendar'!$AO$1462=SPECIAL_LBL)*(INC_SPECIALS="Y"))=0,"",'Dvd Calendar'!$AO$1460)))</f>
        <v/>
      </c>
      <c r="AN147" s="161">
        <f>IF(FP147="","",IF(ISNUMBER('Dvd Calendar'!$AP$1460)=FALSE,"",IF((('Dvd Calendar'!$AP$1462=TYPE1)*(TYPE1&lt;&gt;"")+('Dvd Calendar'!$AP$1462=TYPE2)*(TYPE2&lt;&gt;"")+('Dvd Calendar'!$AP$1462=TYPE3)*(TYPE3&lt;&gt;"")+('Dvd Calendar'!$AP$1462=TYPE4)*(TYPE4&lt;&gt;"")+('Dvd Calendar'!$AP$1462=SPECIAL_LBL)*(INC_SPECIALS="Y"))=0,"",'Dvd Calendar'!$AP$1460)))</f>
        <v/>
      </c>
      <c r="AO147" s="161">
        <f>IF(FQ147="","",IF(ISNUMBER('Dvd Calendar'!$AQ$1460)=FALSE,"",IF((('Dvd Calendar'!$AQ$1462=TYPE1)*(TYPE1&lt;&gt;"")+('Dvd Calendar'!$AQ$1462=TYPE2)*(TYPE2&lt;&gt;"")+('Dvd Calendar'!$AQ$1462=TYPE3)*(TYPE3&lt;&gt;"")+('Dvd Calendar'!$AQ$1462=TYPE4)*(TYPE4&lt;&gt;"")+('Dvd Calendar'!$AQ$1462=SPECIAL_LBL)*(INC_SPECIALS="Y"))=0,"",'Dvd Calendar'!$AQ$1460)))</f>
        <v/>
      </c>
      <c r="AP147" s="161">
        <f>IF(FR147="","",IF(ISNUMBER('Dvd Calendar'!$AR$1460)=FALSE,"",IF((('Dvd Calendar'!$AR$1462=TYPE1)*(TYPE1&lt;&gt;"")+('Dvd Calendar'!$AR$1462=TYPE2)*(TYPE2&lt;&gt;"")+('Dvd Calendar'!$AR$1462=TYPE3)*(TYPE3&lt;&gt;"")+('Dvd Calendar'!$AR$1462=TYPE4)*(TYPE4&lt;&gt;"")+('Dvd Calendar'!$AR$1462=SPECIAL_LBL)*(INC_SPECIALS="Y"))=0,"",'Dvd Calendar'!$AR$1460)))</f>
        <v/>
      </c>
      <c r="AQ147" s="161">
        <f>IF(FS147="","",IF(ISNUMBER('Dvd Calendar'!$E$1465)=FALSE,"",'Dvd Calendar'!$E$1465))</f>
        <v/>
      </c>
      <c r="AR147" s="161">
        <f>IF(FT147="","",IF(ISNUMBER('Dvd Calendar'!$F$1465)=FALSE,"",'Dvd Calendar'!$F$1465))</f>
        <v/>
      </c>
      <c r="AS147" s="161">
        <f>IF(FU147="","",IF(ISNUMBER('Dvd Calendar'!$G$1465)=FALSE,"",'Dvd Calendar'!$G$1465))</f>
        <v/>
      </c>
      <c r="AT147" s="161">
        <f>IF(FV147="","",IF(ISNUMBER('Dvd Calendar'!$H$1465)=FALSE,"",'Dvd Calendar'!$H$1465))</f>
        <v/>
      </c>
      <c r="AU147" s="161">
        <f>IF(FW147="","",IF(ISNUMBER('Dvd Calendar'!$I$1465)=FALSE,"",'Dvd Calendar'!$I$1465))</f>
        <v/>
      </c>
      <c r="AV147" s="161">
        <f>IF(FX147="","",IF(ISNUMBER('Dvd Calendar'!$J$1465)=FALSE,"",'Dvd Calendar'!$J$1465))</f>
        <v/>
      </c>
      <c r="AW147" s="161">
        <f>IF(FY147="","",IF(ISNUMBER('Dvd Calendar'!$K$1465)=FALSE,"",'Dvd Calendar'!$K$1465))</f>
        <v/>
      </c>
      <c r="AX147" s="161">
        <f>IF(FZ147="","",IF(ISNUMBER('Dvd Calendar'!$L$1465)=FALSE,"",'Dvd Calendar'!$L$1465))</f>
        <v/>
      </c>
      <c r="AY147" s="161">
        <f>IF(GA147="","",IF(ISNUMBER('Dvd Calendar'!$M$1465)=FALSE,"",'Dvd Calendar'!$M$1465))</f>
        <v/>
      </c>
      <c r="AZ147" s="161">
        <f>IF(GB147="","",IF(ISNUMBER('Dvd Calendar'!$N$1465)=FALSE,"",'Dvd Calendar'!$N$1465))</f>
        <v/>
      </c>
      <c r="BA147" s="161">
        <f>IF(GC147="","",IF(ISNUMBER('Dvd Calendar'!$O$1465)=FALSE,"",'Dvd Calendar'!$O$1465))</f>
        <v/>
      </c>
      <c r="BB147" s="161">
        <f>IF(GD147="","",IF(ISNUMBER('Dvd Calendar'!$P$1465)=FALSE,"",'Dvd Calendar'!$P$1465))</f>
        <v/>
      </c>
      <c r="BC147" s="161">
        <f>IF(GE147="","",IF(ISNUMBER('Dvd Calendar'!$Q$1465)=FALSE,"",'Dvd Calendar'!$Q$1465))</f>
        <v/>
      </c>
      <c r="BD147" s="161">
        <f>IF(GF147="","",IF(ISNUMBER('Dvd Calendar'!$R$1465)=FALSE,"",'Dvd Calendar'!$R$1465))</f>
        <v/>
      </c>
      <c r="BE147" s="161">
        <f>IF(GG147="","",IF(ISNUMBER('Dvd Calendar'!$S$1465)=FALSE,"",'Dvd Calendar'!$S$1465))</f>
        <v/>
      </c>
      <c r="BF147" s="161">
        <f>IF(GH147="","",IF(ISNUMBER('Dvd Calendar'!$T$1465)=FALSE,"",'Dvd Calendar'!$T$1465))</f>
        <v/>
      </c>
      <c r="BG147" s="161">
        <f>IF(GI147="","",IF(ISNUMBER('Dvd Calendar'!$U$1465)=FALSE,"",'Dvd Calendar'!$U$1465))</f>
        <v/>
      </c>
      <c r="BH147" s="161">
        <f>IF(GJ147="","",IF(ISNUMBER('Dvd Calendar'!$V$1465)=FALSE,"",'Dvd Calendar'!$V$1465))</f>
        <v/>
      </c>
      <c r="BI147" s="161">
        <f>IF(GK147="","",IF(ISNUMBER('Dvd Calendar'!$W$1465)=FALSE,"",'Dvd Calendar'!$W$1465))</f>
        <v/>
      </c>
      <c r="BJ147" s="161">
        <f>IF(GL147="","",IF(ISNUMBER('Dvd Calendar'!$X$1465)=FALSE,"",'Dvd Calendar'!$X$1465))</f>
        <v/>
      </c>
      <c r="BK147" s="161">
        <f>IF(GM147="","",IF(ISNUMBER('Dvd Calendar'!$Y$1465)=FALSE,"",'Dvd Calendar'!$Y$1465))</f>
        <v/>
      </c>
      <c r="BL147" s="161">
        <f>IF(GN147="","",IF(ISNUMBER('Dvd Calendar'!$Z$1465)=FALSE,"",'Dvd Calendar'!$Z$1465))</f>
        <v/>
      </c>
      <c r="BM147" s="161">
        <f>IF(GO147="","",IF(ISNUMBER('Dvd Calendar'!$AA$1465)=FALSE,"",'Dvd Calendar'!$AA$1465))</f>
        <v/>
      </c>
      <c r="BN147" s="161">
        <f>IF(GP147="","",IF(ISNUMBER('Dvd Calendar'!$AB$1465)=FALSE,"",'Dvd Calendar'!$AB$1465))</f>
        <v/>
      </c>
      <c r="BO147" s="161">
        <f>IF(GQ147="","",IF(ISNUMBER('Dvd Calendar'!$AC$1465)=FALSE,"",'Dvd Calendar'!$AC$1465))</f>
        <v/>
      </c>
      <c r="BQ147" s="161">
        <f>IF(C147="","",IFERROR(C147*HSTECH!$B$38*HSTECH!$G$38/HSTECH!$B$3,""))</f>
        <v/>
      </c>
      <c r="BR147" s="161">
        <f>IF(D147="","",IFERROR(D147*HSTECH!$B$38*HSTECH!$G$38/HSTECH!$B$3,""))</f>
        <v/>
      </c>
      <c r="BS147" s="161">
        <f>IF(E147="","",IFERROR(E147*HSTECH!$B$38*HSTECH!$G$38/HSTECH!$B$3,""))</f>
        <v/>
      </c>
      <c r="BT147" s="161">
        <f>IF(F147="","",IFERROR(F147*HSTECH!$B$38*HSTECH!$G$38/HSTECH!$B$3,""))</f>
        <v/>
      </c>
      <c r="BU147" s="161">
        <f>IF(G147="","",IFERROR(G147*HSTECH!$B$38*HSTECH!$G$38/HSTECH!$B$3,""))</f>
        <v/>
      </c>
      <c r="BV147" s="161">
        <f>IF(H147="","",IFERROR(H147*HSTECH!$B$38*HSTECH!$G$38/HSTECH!$B$3,""))</f>
        <v/>
      </c>
      <c r="BW147" s="161">
        <f>IF(I147="","",IFERROR(I147*HSTECH!$B$38*HSTECH!$G$38/HSTECH!$B$3,""))</f>
        <v/>
      </c>
      <c r="BX147" s="161">
        <f>IF(J147="","",IFERROR(J147*HSTECH!$B$38*HSTECH!$G$38/HSTECH!$B$3,""))</f>
        <v/>
      </c>
      <c r="BY147" s="161">
        <f>IF(K147="","",IFERROR(K147*HSTECH!$B$38*HSTECH!$G$38/HSTECH!$B$3,""))</f>
        <v/>
      </c>
      <c r="BZ147" s="161">
        <f>IF(L147="","",IFERROR(L147*HSTECH!$B$38*HSTECH!$G$38/HSTECH!$B$3,""))</f>
        <v/>
      </c>
      <c r="CA147" s="161">
        <f>IF(M147="","",IFERROR(M147*HSTECH!$B$38*HSTECH!$G$38/HSTECH!$B$3,""))</f>
        <v/>
      </c>
      <c r="CB147" s="161">
        <f>IF(N147="","",IFERROR(N147*HSTECH!$B$38*HSTECH!$G$38/HSTECH!$B$3,""))</f>
        <v/>
      </c>
      <c r="CC147" s="161">
        <f>IF(O147="","",IFERROR(O147*HSTECH!$B$38*HSTECH!$G$38/HSTECH!$B$3,""))</f>
        <v/>
      </c>
      <c r="CD147" s="161">
        <f>IF(P147="","",IFERROR(P147*HSTECH!$B$38*HSTECH!$G$38/HSTECH!$B$3,""))</f>
        <v/>
      </c>
      <c r="CE147" s="161">
        <f>IF(Q147="","",IFERROR(Q147*HSTECH!$B$38*HSTECH!$G$38/HSTECH!$B$3,""))</f>
        <v/>
      </c>
      <c r="CF147" s="161">
        <f>IF(R147="","",IFERROR(R147*HSTECH!$B$38*HSTECH!$G$38/HSTECH!$B$3,""))</f>
        <v/>
      </c>
      <c r="CG147" s="161">
        <f>IF(S147="","",IFERROR(S147*HSTECH!$B$38*HSTECH!$G$38/HSTECH!$B$3,""))</f>
        <v/>
      </c>
      <c r="CH147" s="161">
        <f>IF(T147="","",IFERROR(T147*HSTECH!$B$38*HSTECH!$G$38/HSTECH!$B$3,""))</f>
        <v/>
      </c>
      <c r="CI147" s="161">
        <f>IF(U147="","",IFERROR(U147*HSTECH!$B$38*HSTECH!$G$38/HSTECH!$B$3,""))</f>
        <v/>
      </c>
      <c r="CJ147" s="161">
        <f>IF(V147="","",IFERROR(V147*HSTECH!$B$38*HSTECH!$G$38/HSTECH!$B$3,""))</f>
        <v/>
      </c>
      <c r="CK147" s="161">
        <f>IF(W147="","",IFERROR(W147*HSTECH!$B$38*HSTECH!$G$38/HSTECH!$B$3,""))</f>
        <v/>
      </c>
      <c r="CL147" s="161">
        <f>IF(X147="","",IFERROR(X147*HSTECH!$B$38*HSTECH!$G$38/HSTECH!$B$3,""))</f>
        <v/>
      </c>
      <c r="CM147" s="161">
        <f>IF(Y147="","",IFERROR(Y147*HSTECH!$B$38*HSTECH!$G$38/HSTECH!$B$3,""))</f>
        <v/>
      </c>
      <c r="CN147" s="161">
        <f>IF(Z147="","",IFERROR(Z147*HSTECH!$B$38*HSTECH!$G$38/HSTECH!$B$3,""))</f>
        <v/>
      </c>
      <c r="CO147" s="161">
        <f>IF(AA147="","",IFERROR(AA147*HSTECH!$B$38*HSTECH!$G$38/HSTECH!$B$3,""))</f>
        <v/>
      </c>
      <c r="CP147" s="161">
        <f>IF(AB147="","",IFERROR(AB147*HSTECH!$B$38*HSTECH!$G$38/HSTECH!$B$3,""))</f>
        <v/>
      </c>
      <c r="CQ147" s="161">
        <f>IF(AC147="","",IFERROR(AC147*HSTECH!$B$38*HSTECH!$G$38/HSTECH!$B$3,""))</f>
        <v/>
      </c>
      <c r="CR147" s="161">
        <f>IF(AD147="","",IFERROR(AD147*HSTECH!$B$38*HSTECH!$G$38/HSTECH!$B$3,""))</f>
        <v/>
      </c>
      <c r="CS147" s="161">
        <f>IF(AE147="","",IFERROR(AE147*HSTECH!$B$38*HSTECH!$G$38/HSTECH!$B$3,""))</f>
        <v/>
      </c>
      <c r="CT147" s="161">
        <f>IF(AF147="","",IFERROR(AF147*HSTECH!$B$38*HSTECH!$G$38/HSTECH!$B$3,""))</f>
        <v/>
      </c>
      <c r="CU147" s="161">
        <f>IF(AG147="","",IFERROR(AG147*HSTECH!$B$38*HSTECH!$G$38/HSTECH!$B$3,""))</f>
        <v/>
      </c>
      <c r="CV147" s="161">
        <f>IF(AH147="","",IFERROR(AH147*HSTECH!$B$38*HSTECH!$G$38/HSTECH!$B$3,""))</f>
        <v/>
      </c>
      <c r="CW147" s="161">
        <f>IF(AI147="","",IFERROR(AI147*HSTECH!$B$38*HSTECH!$G$38/HSTECH!$B$3,""))</f>
        <v/>
      </c>
      <c r="CX147" s="161">
        <f>IF(AJ147="","",IFERROR(AJ147*HSTECH!$B$38*HSTECH!$G$38/HSTECH!$B$3,""))</f>
        <v/>
      </c>
      <c r="CY147" s="161">
        <f>IF(AK147="","",IFERROR(AK147*HSTECH!$B$38*HSTECH!$G$38/HSTECH!$B$3,""))</f>
        <v/>
      </c>
      <c r="CZ147" s="161">
        <f>IF(AL147="","",IFERROR(AL147*HSTECH!$B$38*HSTECH!$G$38/HSTECH!$B$3,""))</f>
        <v/>
      </c>
      <c r="DA147" s="161">
        <f>IF(AM147="","",IFERROR(AM147*HSTECH!$B$38*HSTECH!$G$38/HSTECH!$B$3,""))</f>
        <v/>
      </c>
      <c r="DB147" s="161">
        <f>IF(AN147="","",IFERROR(AN147*HSTECH!$B$38*HSTECH!$G$38/HSTECH!$B$3,""))</f>
        <v/>
      </c>
      <c r="DC147" s="161">
        <f>IF(AO147="","",IFERROR(AO147*HSTECH!$B$38*HSTECH!$G$38/HSTECH!$B$3,""))</f>
        <v/>
      </c>
      <c r="DD147" s="161">
        <f>IF(AP147="","",IFERROR(AP147*HSTECH!$B$38*HSTECH!$G$38/HSTECH!$B$3,""))</f>
        <v/>
      </c>
      <c r="DE147" s="161">
        <f>IF(AQ147="","",IFERROR(AQ147*HSTECH!$B$38*HSTECH!$G$38/HSTECH!$B$3,""))</f>
        <v/>
      </c>
      <c r="DF147" s="161">
        <f>IF(AR147="","",IFERROR(AR147*HSTECH!$B$38*HSTECH!$G$38/HSTECH!$B$3,""))</f>
        <v/>
      </c>
      <c r="DG147" s="161">
        <f>IF(AS147="","",IFERROR(AS147*HSTECH!$B$38*HSTECH!$G$38/HSTECH!$B$3,""))</f>
        <v/>
      </c>
      <c r="DH147" s="161">
        <f>IF(AT147="","",IFERROR(AT147*HSTECH!$B$38*HSTECH!$G$38/HSTECH!$B$3,""))</f>
        <v/>
      </c>
      <c r="DI147" s="161">
        <f>IF(AU147="","",IFERROR(AU147*HSTECH!$B$38*HSTECH!$G$38/HSTECH!$B$3,""))</f>
        <v/>
      </c>
      <c r="DJ147" s="161">
        <f>IF(AV147="","",IFERROR(AV147*HSTECH!$B$38*HSTECH!$G$38/HSTECH!$B$3,""))</f>
        <v/>
      </c>
      <c r="DK147" s="161">
        <f>IF(AW147="","",IFERROR(AW147*HSTECH!$B$38*HSTECH!$G$38/HSTECH!$B$3,""))</f>
        <v/>
      </c>
      <c r="DL147" s="161">
        <f>IF(AX147="","",IFERROR(AX147*HSTECH!$B$38*HSTECH!$G$38/HSTECH!$B$3,""))</f>
        <v/>
      </c>
      <c r="DM147" s="161">
        <f>IF(AY147="","",IFERROR(AY147*HSTECH!$B$38*HSTECH!$G$38/HSTECH!$B$3,""))</f>
        <v/>
      </c>
      <c r="DN147" s="161">
        <f>IF(AZ147="","",IFERROR(AZ147*HSTECH!$B$38*HSTECH!$G$38/HSTECH!$B$3,""))</f>
        <v/>
      </c>
      <c r="DO147" s="161">
        <f>IF(BA147="","",IFERROR(BA147*HSTECH!$B$38*HSTECH!$G$38/HSTECH!$B$3,""))</f>
        <v/>
      </c>
      <c r="DP147" s="161">
        <f>IF(BB147="","",IFERROR(BB147*HSTECH!$B$38*HSTECH!$G$38/HSTECH!$B$3,""))</f>
        <v/>
      </c>
      <c r="DQ147" s="161">
        <f>IF(BC147="","",IFERROR(BC147*HSTECH!$B$38*HSTECH!$G$38/HSTECH!$B$3,""))</f>
        <v/>
      </c>
      <c r="DR147" s="161">
        <f>IF(BD147="","",IFERROR(BD147*HSTECH!$B$38*HSTECH!$G$38/HSTECH!$B$3,""))</f>
        <v/>
      </c>
      <c r="DS147" s="161">
        <f>IF(BE147="","",IFERROR(BE147*HSTECH!$B$38*HSTECH!$G$38/HSTECH!$B$3,""))</f>
        <v/>
      </c>
      <c r="DT147" s="161">
        <f>IF(BF147="","",IFERROR(BF147*HSTECH!$B$38*HSTECH!$G$38/HSTECH!$B$3,""))</f>
        <v/>
      </c>
      <c r="DU147" s="161">
        <f>IF(BG147="","",IFERROR(BG147*HSTECH!$B$38*HSTECH!$G$38/HSTECH!$B$3,""))</f>
        <v/>
      </c>
      <c r="DV147" s="161">
        <f>IF(BH147="","",IFERROR(BH147*HSTECH!$B$38*HSTECH!$G$38/HSTECH!$B$3,""))</f>
        <v/>
      </c>
      <c r="DW147" s="161">
        <f>IF(BI147="","",IFERROR(BI147*HSTECH!$B$38*HSTECH!$G$38/HSTECH!$B$3,""))</f>
        <v/>
      </c>
      <c r="DX147" s="161">
        <f>IF(BJ147="","",IFERROR(BJ147*HSTECH!$B$38*HSTECH!$G$38/HSTECH!$B$3,""))</f>
        <v/>
      </c>
      <c r="DY147" s="161">
        <f>IF(BK147="","",IFERROR(BK147*HSTECH!$B$38*HSTECH!$G$38/HSTECH!$B$3,""))</f>
        <v/>
      </c>
      <c r="DZ147" s="161">
        <f>IF(BL147="","",IFERROR(BL147*HSTECH!$B$38*HSTECH!$G$38/HSTECH!$B$3,""))</f>
        <v/>
      </c>
      <c r="EA147" s="161">
        <f>IF(BM147="","",IFERROR(BM147*HSTECH!$B$38*HSTECH!$G$38/HSTECH!$B$3,""))</f>
        <v/>
      </c>
      <c r="EB147" s="161">
        <f>IF(BN147="","",IFERROR(BN147*HSTECH!$B$38*HSTECH!$G$38/HSTECH!$B$3,""))</f>
        <v/>
      </c>
      <c r="EC147" s="161">
        <f>IF(BO147="","",IFERROR(BO147*HSTECH!$B$38*HSTECH!$G$38/HSTECH!$B$3,""))</f>
        <v/>
      </c>
      <c r="EE147" s="121">
        <f>IF(N('Dvd Calendar'!$E$1457)=0,"",IF(('Dvd Calendar'!$E$1457&gt;=GRID_FROM)*('Dvd Calendar'!$E$1457&lt;=GRID_TO)*((('Dvd Calendar'!$E$1457&lt;=VAL_DATE)+(COUNTIF('Dvd Calendar'!$E$1464:$AR$1464,'Dvd Calendar'!$E$1457)=0))&gt;0)=0,"",'Dvd Calendar'!$E$1457*1000000000+ISNUMBER('Dvd Calendar'!$E$1460)*100000000+('Dvd Calendar'!$E$1462=SPECIAL_LBL)*10000000+(N('Dvd Calendar'!$E$1456)&gt;0)*(N('Dvd Calendar'!$E$1456)&lt;=VAL_SERIAL)*1000000+32*1000+1))</f>
        <v/>
      </c>
      <c r="EF147" s="121">
        <f>IF(N('Dvd Calendar'!$F$1457)=0,"",IF(('Dvd Calendar'!$F$1457&gt;=GRID_FROM)*('Dvd Calendar'!$F$1457&lt;=GRID_TO)*((('Dvd Calendar'!$F$1457&lt;=VAL_DATE)+(COUNTIF('Dvd Calendar'!$E$1464:$AR$1464,'Dvd Calendar'!$F$1457)=0))&gt;0)=0,"",'Dvd Calendar'!$F$1457*1000000000+ISNUMBER('Dvd Calendar'!$F$1460)*100000000+('Dvd Calendar'!$F$1462=SPECIAL_LBL)*10000000+(N('Dvd Calendar'!$F$1456)&gt;0)*(N('Dvd Calendar'!$F$1456)&lt;=VAL_SERIAL)*1000000+32*1000+2))</f>
        <v/>
      </c>
      <c r="EG147" s="121">
        <f>IF(N('Dvd Calendar'!$G$1457)=0,"",IF(('Dvd Calendar'!$G$1457&gt;=GRID_FROM)*('Dvd Calendar'!$G$1457&lt;=GRID_TO)*((('Dvd Calendar'!$G$1457&lt;=VAL_DATE)+(COUNTIF('Dvd Calendar'!$E$1464:$AR$1464,'Dvd Calendar'!$G$1457)=0))&gt;0)=0,"",'Dvd Calendar'!$G$1457*1000000000+ISNUMBER('Dvd Calendar'!$G$1460)*100000000+('Dvd Calendar'!$G$1462=SPECIAL_LBL)*10000000+(N('Dvd Calendar'!$G$1456)&gt;0)*(N('Dvd Calendar'!$G$1456)&lt;=VAL_SERIAL)*1000000+32*1000+3))</f>
        <v/>
      </c>
      <c r="EH147" s="121">
        <f>IF(N('Dvd Calendar'!$H$1457)=0,"",IF(('Dvd Calendar'!$H$1457&gt;=GRID_FROM)*('Dvd Calendar'!$H$1457&lt;=GRID_TO)*((('Dvd Calendar'!$H$1457&lt;=VAL_DATE)+(COUNTIF('Dvd Calendar'!$E$1464:$AR$1464,'Dvd Calendar'!$H$1457)=0))&gt;0)=0,"",'Dvd Calendar'!$H$1457*1000000000+ISNUMBER('Dvd Calendar'!$H$1460)*100000000+('Dvd Calendar'!$H$1462=SPECIAL_LBL)*10000000+(N('Dvd Calendar'!$H$1456)&gt;0)*(N('Dvd Calendar'!$H$1456)&lt;=VAL_SERIAL)*1000000+32*1000+4))</f>
        <v/>
      </c>
      <c r="EI147" s="121">
        <f>IF(N('Dvd Calendar'!$I$1457)=0,"",IF(('Dvd Calendar'!$I$1457&gt;=GRID_FROM)*('Dvd Calendar'!$I$1457&lt;=GRID_TO)*((('Dvd Calendar'!$I$1457&lt;=VAL_DATE)+(COUNTIF('Dvd Calendar'!$E$1464:$AR$1464,'Dvd Calendar'!$I$1457)=0))&gt;0)=0,"",'Dvd Calendar'!$I$1457*1000000000+ISNUMBER('Dvd Calendar'!$I$1460)*100000000+('Dvd Calendar'!$I$1462=SPECIAL_LBL)*10000000+(N('Dvd Calendar'!$I$1456)&gt;0)*(N('Dvd Calendar'!$I$1456)&lt;=VAL_SERIAL)*1000000+32*1000+5))</f>
        <v/>
      </c>
      <c r="EJ147" s="121">
        <f>IF(N('Dvd Calendar'!$J$1457)=0,"",IF(('Dvd Calendar'!$J$1457&gt;=GRID_FROM)*('Dvd Calendar'!$J$1457&lt;=GRID_TO)*((('Dvd Calendar'!$J$1457&lt;=VAL_DATE)+(COUNTIF('Dvd Calendar'!$E$1464:$AR$1464,'Dvd Calendar'!$J$1457)=0))&gt;0)=0,"",'Dvd Calendar'!$J$1457*1000000000+ISNUMBER('Dvd Calendar'!$J$1460)*100000000+('Dvd Calendar'!$J$1462=SPECIAL_LBL)*10000000+(N('Dvd Calendar'!$J$1456)&gt;0)*(N('Dvd Calendar'!$J$1456)&lt;=VAL_SERIAL)*1000000+32*1000+6))</f>
        <v/>
      </c>
      <c r="EK147" s="121">
        <f>IF(N('Dvd Calendar'!$K$1457)=0,"",IF(('Dvd Calendar'!$K$1457&gt;=GRID_FROM)*('Dvd Calendar'!$K$1457&lt;=GRID_TO)*((('Dvd Calendar'!$K$1457&lt;=VAL_DATE)+(COUNTIF('Dvd Calendar'!$E$1464:$AR$1464,'Dvd Calendar'!$K$1457)=0))&gt;0)=0,"",'Dvd Calendar'!$K$1457*1000000000+ISNUMBER('Dvd Calendar'!$K$1460)*100000000+('Dvd Calendar'!$K$1462=SPECIAL_LBL)*10000000+(N('Dvd Calendar'!$K$1456)&gt;0)*(N('Dvd Calendar'!$K$1456)&lt;=VAL_SERIAL)*1000000+32*1000+7))</f>
        <v/>
      </c>
      <c r="EL147" s="121">
        <f>IF(N('Dvd Calendar'!$L$1457)=0,"",IF(('Dvd Calendar'!$L$1457&gt;=GRID_FROM)*('Dvd Calendar'!$L$1457&lt;=GRID_TO)*((('Dvd Calendar'!$L$1457&lt;=VAL_DATE)+(COUNTIF('Dvd Calendar'!$E$1464:$AR$1464,'Dvd Calendar'!$L$1457)=0))&gt;0)=0,"",'Dvd Calendar'!$L$1457*1000000000+ISNUMBER('Dvd Calendar'!$L$1460)*100000000+('Dvd Calendar'!$L$1462=SPECIAL_LBL)*10000000+(N('Dvd Calendar'!$L$1456)&gt;0)*(N('Dvd Calendar'!$L$1456)&lt;=VAL_SERIAL)*1000000+32*1000+8))</f>
        <v/>
      </c>
      <c r="EM147" s="121">
        <f>IF(N('Dvd Calendar'!$M$1457)=0,"",IF(('Dvd Calendar'!$M$1457&gt;=GRID_FROM)*('Dvd Calendar'!$M$1457&lt;=GRID_TO)*((('Dvd Calendar'!$M$1457&lt;=VAL_DATE)+(COUNTIF('Dvd Calendar'!$E$1464:$AR$1464,'Dvd Calendar'!$M$1457)=0))&gt;0)=0,"",'Dvd Calendar'!$M$1457*1000000000+ISNUMBER('Dvd Calendar'!$M$1460)*100000000+('Dvd Calendar'!$M$1462=SPECIAL_LBL)*10000000+(N('Dvd Calendar'!$M$1456)&gt;0)*(N('Dvd Calendar'!$M$1456)&lt;=VAL_SERIAL)*1000000+32*1000+9))</f>
        <v/>
      </c>
      <c r="EN147" s="121">
        <f>IF(N('Dvd Calendar'!$N$1457)=0,"",IF(('Dvd Calendar'!$N$1457&gt;=GRID_FROM)*('Dvd Calendar'!$N$1457&lt;=GRID_TO)*((('Dvd Calendar'!$N$1457&lt;=VAL_DATE)+(COUNTIF('Dvd Calendar'!$E$1464:$AR$1464,'Dvd Calendar'!$N$1457)=0))&gt;0)=0,"",'Dvd Calendar'!$N$1457*1000000000+ISNUMBER('Dvd Calendar'!$N$1460)*100000000+('Dvd Calendar'!$N$1462=SPECIAL_LBL)*10000000+(N('Dvd Calendar'!$N$1456)&gt;0)*(N('Dvd Calendar'!$N$1456)&lt;=VAL_SERIAL)*1000000+32*1000+10))</f>
        <v/>
      </c>
      <c r="EO147" s="121">
        <f>IF(N('Dvd Calendar'!$O$1457)=0,"",IF(('Dvd Calendar'!$O$1457&gt;=GRID_FROM)*('Dvd Calendar'!$O$1457&lt;=GRID_TO)*((('Dvd Calendar'!$O$1457&lt;=VAL_DATE)+(COUNTIF('Dvd Calendar'!$E$1464:$AR$1464,'Dvd Calendar'!$O$1457)=0))&gt;0)=0,"",'Dvd Calendar'!$O$1457*1000000000+ISNUMBER('Dvd Calendar'!$O$1460)*100000000+('Dvd Calendar'!$O$1462=SPECIAL_LBL)*10000000+(N('Dvd Calendar'!$O$1456)&gt;0)*(N('Dvd Calendar'!$O$1456)&lt;=VAL_SERIAL)*1000000+32*1000+11))</f>
        <v/>
      </c>
      <c r="EP147" s="121">
        <f>IF(N('Dvd Calendar'!$P$1457)=0,"",IF(('Dvd Calendar'!$P$1457&gt;=GRID_FROM)*('Dvd Calendar'!$P$1457&lt;=GRID_TO)*((('Dvd Calendar'!$P$1457&lt;=VAL_DATE)+(COUNTIF('Dvd Calendar'!$E$1464:$AR$1464,'Dvd Calendar'!$P$1457)=0))&gt;0)=0,"",'Dvd Calendar'!$P$1457*1000000000+ISNUMBER('Dvd Calendar'!$P$1460)*100000000+('Dvd Calendar'!$P$1462=SPECIAL_LBL)*10000000+(N('Dvd Calendar'!$P$1456)&gt;0)*(N('Dvd Calendar'!$P$1456)&lt;=VAL_SERIAL)*1000000+32*1000+12))</f>
        <v/>
      </c>
      <c r="EQ147" s="121">
        <f>IF(N('Dvd Calendar'!$Q$1457)=0,"",IF(('Dvd Calendar'!$Q$1457&gt;=GRID_FROM)*('Dvd Calendar'!$Q$1457&lt;=GRID_TO)*((('Dvd Calendar'!$Q$1457&lt;=VAL_DATE)+(COUNTIF('Dvd Calendar'!$E$1464:$AR$1464,'Dvd Calendar'!$Q$1457)=0))&gt;0)=0,"",'Dvd Calendar'!$Q$1457*1000000000+ISNUMBER('Dvd Calendar'!$Q$1460)*100000000+('Dvd Calendar'!$Q$1462=SPECIAL_LBL)*10000000+(N('Dvd Calendar'!$Q$1456)&gt;0)*(N('Dvd Calendar'!$Q$1456)&lt;=VAL_SERIAL)*1000000+32*1000+13))</f>
        <v/>
      </c>
      <c r="ER147" s="121">
        <f>IF(N('Dvd Calendar'!$R$1457)=0,"",IF(('Dvd Calendar'!$R$1457&gt;=GRID_FROM)*('Dvd Calendar'!$R$1457&lt;=GRID_TO)*((('Dvd Calendar'!$R$1457&lt;=VAL_DATE)+(COUNTIF('Dvd Calendar'!$E$1464:$AR$1464,'Dvd Calendar'!$R$1457)=0))&gt;0)=0,"",'Dvd Calendar'!$R$1457*1000000000+ISNUMBER('Dvd Calendar'!$R$1460)*100000000+('Dvd Calendar'!$R$1462=SPECIAL_LBL)*10000000+(N('Dvd Calendar'!$R$1456)&gt;0)*(N('Dvd Calendar'!$R$1456)&lt;=VAL_SERIAL)*1000000+32*1000+14))</f>
        <v/>
      </c>
      <c r="ES147" s="121">
        <f>IF(N('Dvd Calendar'!$S$1457)=0,"",IF(('Dvd Calendar'!$S$1457&gt;=GRID_FROM)*('Dvd Calendar'!$S$1457&lt;=GRID_TO)*((('Dvd Calendar'!$S$1457&lt;=VAL_DATE)+(COUNTIF('Dvd Calendar'!$E$1464:$AR$1464,'Dvd Calendar'!$S$1457)=0))&gt;0)=0,"",'Dvd Calendar'!$S$1457*1000000000+ISNUMBER('Dvd Calendar'!$S$1460)*100000000+('Dvd Calendar'!$S$1462=SPECIAL_LBL)*10000000+(N('Dvd Calendar'!$S$1456)&gt;0)*(N('Dvd Calendar'!$S$1456)&lt;=VAL_SERIAL)*1000000+32*1000+15))</f>
        <v/>
      </c>
      <c r="ET147" s="121">
        <f>IF(N('Dvd Calendar'!$T$1457)=0,"",IF(('Dvd Calendar'!$T$1457&gt;=GRID_FROM)*('Dvd Calendar'!$T$1457&lt;=GRID_TO)*((('Dvd Calendar'!$T$1457&lt;=VAL_DATE)+(COUNTIF('Dvd Calendar'!$E$1464:$AR$1464,'Dvd Calendar'!$T$1457)=0))&gt;0)=0,"",'Dvd Calendar'!$T$1457*1000000000+ISNUMBER('Dvd Calendar'!$T$1460)*100000000+('Dvd Calendar'!$T$1462=SPECIAL_LBL)*10000000+(N('Dvd Calendar'!$T$1456)&gt;0)*(N('Dvd Calendar'!$T$1456)&lt;=VAL_SERIAL)*1000000+32*1000+16))</f>
        <v/>
      </c>
      <c r="EU147" s="121">
        <f>IF(N('Dvd Calendar'!$U$1457)=0,"",IF(('Dvd Calendar'!$U$1457&gt;=GRID_FROM)*('Dvd Calendar'!$U$1457&lt;=GRID_TO)*((('Dvd Calendar'!$U$1457&lt;=VAL_DATE)+(COUNTIF('Dvd Calendar'!$E$1464:$AR$1464,'Dvd Calendar'!$U$1457)=0))&gt;0)=0,"",'Dvd Calendar'!$U$1457*1000000000+ISNUMBER('Dvd Calendar'!$U$1460)*100000000+('Dvd Calendar'!$U$1462=SPECIAL_LBL)*10000000+(N('Dvd Calendar'!$U$1456)&gt;0)*(N('Dvd Calendar'!$U$1456)&lt;=VAL_SERIAL)*1000000+32*1000+17))</f>
        <v/>
      </c>
      <c r="EV147" s="121">
        <f>IF(N('Dvd Calendar'!$V$1457)=0,"",IF(('Dvd Calendar'!$V$1457&gt;=GRID_FROM)*('Dvd Calendar'!$V$1457&lt;=GRID_TO)*((('Dvd Calendar'!$V$1457&lt;=VAL_DATE)+(COUNTIF('Dvd Calendar'!$E$1464:$AR$1464,'Dvd Calendar'!$V$1457)=0))&gt;0)=0,"",'Dvd Calendar'!$V$1457*1000000000+ISNUMBER('Dvd Calendar'!$V$1460)*100000000+('Dvd Calendar'!$V$1462=SPECIAL_LBL)*10000000+(N('Dvd Calendar'!$V$1456)&gt;0)*(N('Dvd Calendar'!$V$1456)&lt;=VAL_SERIAL)*1000000+32*1000+18))</f>
        <v/>
      </c>
      <c r="EW147" s="121">
        <f>IF(N('Dvd Calendar'!$W$1457)=0,"",IF(('Dvd Calendar'!$W$1457&gt;=GRID_FROM)*('Dvd Calendar'!$W$1457&lt;=GRID_TO)*((('Dvd Calendar'!$W$1457&lt;=VAL_DATE)+(COUNTIF('Dvd Calendar'!$E$1464:$AR$1464,'Dvd Calendar'!$W$1457)=0))&gt;0)=0,"",'Dvd Calendar'!$W$1457*1000000000+ISNUMBER('Dvd Calendar'!$W$1460)*100000000+('Dvd Calendar'!$W$1462=SPECIAL_LBL)*10000000+(N('Dvd Calendar'!$W$1456)&gt;0)*(N('Dvd Calendar'!$W$1456)&lt;=VAL_SERIAL)*1000000+32*1000+19))</f>
        <v/>
      </c>
      <c r="EX147" s="121">
        <f>IF(N('Dvd Calendar'!$X$1457)=0,"",IF(('Dvd Calendar'!$X$1457&gt;=GRID_FROM)*('Dvd Calendar'!$X$1457&lt;=GRID_TO)*((('Dvd Calendar'!$X$1457&lt;=VAL_DATE)+(COUNTIF('Dvd Calendar'!$E$1464:$AR$1464,'Dvd Calendar'!$X$1457)=0))&gt;0)=0,"",'Dvd Calendar'!$X$1457*1000000000+ISNUMBER('Dvd Calendar'!$X$1460)*100000000+('Dvd Calendar'!$X$1462=SPECIAL_LBL)*10000000+(N('Dvd Calendar'!$X$1456)&gt;0)*(N('Dvd Calendar'!$X$1456)&lt;=VAL_SERIAL)*1000000+32*1000+20))</f>
        <v/>
      </c>
      <c r="EY147" s="121">
        <f>IF(N('Dvd Calendar'!$Y$1457)=0,"",IF(('Dvd Calendar'!$Y$1457&gt;=GRID_FROM)*('Dvd Calendar'!$Y$1457&lt;=GRID_TO)*((('Dvd Calendar'!$Y$1457&lt;=VAL_DATE)+(COUNTIF('Dvd Calendar'!$E$1464:$AR$1464,'Dvd Calendar'!$Y$1457)=0))&gt;0)=0,"",'Dvd Calendar'!$Y$1457*1000000000+ISNUMBER('Dvd Calendar'!$Y$1460)*100000000+('Dvd Calendar'!$Y$1462=SPECIAL_LBL)*10000000+(N('Dvd Calendar'!$Y$1456)&gt;0)*(N('Dvd Calendar'!$Y$1456)&lt;=VAL_SERIAL)*1000000+32*1000+21))</f>
        <v/>
      </c>
      <c r="EZ147" s="121">
        <f>IF(N('Dvd Calendar'!$Z$1457)=0,"",IF(('Dvd Calendar'!$Z$1457&gt;=GRID_FROM)*('Dvd Calendar'!$Z$1457&lt;=GRID_TO)*((('Dvd Calendar'!$Z$1457&lt;=VAL_DATE)+(COUNTIF('Dvd Calendar'!$E$1464:$AR$1464,'Dvd Calendar'!$Z$1457)=0))&gt;0)=0,"",'Dvd Calendar'!$Z$1457*1000000000+ISNUMBER('Dvd Calendar'!$Z$1460)*100000000+('Dvd Calendar'!$Z$1462=SPECIAL_LBL)*10000000+(N('Dvd Calendar'!$Z$1456)&gt;0)*(N('Dvd Calendar'!$Z$1456)&lt;=VAL_SERIAL)*1000000+32*1000+22))</f>
        <v/>
      </c>
      <c r="FA147" s="121">
        <f>IF(N('Dvd Calendar'!$AA$1457)=0,"",IF(('Dvd Calendar'!$AA$1457&gt;=GRID_FROM)*('Dvd Calendar'!$AA$1457&lt;=GRID_TO)*((('Dvd Calendar'!$AA$1457&lt;=VAL_DATE)+(COUNTIF('Dvd Calendar'!$E$1464:$AR$1464,'Dvd Calendar'!$AA$1457)=0))&gt;0)=0,"",'Dvd Calendar'!$AA$1457*1000000000+ISNUMBER('Dvd Calendar'!$AA$1460)*100000000+('Dvd Calendar'!$AA$1462=SPECIAL_LBL)*10000000+(N('Dvd Calendar'!$AA$1456)&gt;0)*(N('Dvd Calendar'!$AA$1456)&lt;=VAL_SERIAL)*1000000+32*1000+23))</f>
        <v/>
      </c>
      <c r="FB147" s="121">
        <f>IF(N('Dvd Calendar'!$AB$1457)=0,"",IF(('Dvd Calendar'!$AB$1457&gt;=GRID_FROM)*('Dvd Calendar'!$AB$1457&lt;=GRID_TO)*((('Dvd Calendar'!$AB$1457&lt;=VAL_DATE)+(COUNTIF('Dvd Calendar'!$E$1464:$AR$1464,'Dvd Calendar'!$AB$1457)=0))&gt;0)=0,"",'Dvd Calendar'!$AB$1457*1000000000+ISNUMBER('Dvd Calendar'!$AB$1460)*100000000+('Dvd Calendar'!$AB$1462=SPECIAL_LBL)*10000000+(N('Dvd Calendar'!$AB$1456)&gt;0)*(N('Dvd Calendar'!$AB$1456)&lt;=VAL_SERIAL)*1000000+32*1000+24))</f>
        <v/>
      </c>
      <c r="FC147" s="121">
        <f>IF(N('Dvd Calendar'!$AC$1457)=0,"",IF(('Dvd Calendar'!$AC$1457&gt;=GRID_FROM)*('Dvd Calendar'!$AC$1457&lt;=GRID_TO)*((('Dvd Calendar'!$AC$1457&lt;=VAL_DATE)+(COUNTIF('Dvd Calendar'!$E$1464:$AR$1464,'Dvd Calendar'!$AC$1457)=0))&gt;0)=0,"",'Dvd Calendar'!$AC$1457*1000000000+ISNUMBER('Dvd Calendar'!$AC$1460)*100000000+('Dvd Calendar'!$AC$1462=SPECIAL_LBL)*10000000+(N('Dvd Calendar'!$AC$1456)&gt;0)*(N('Dvd Calendar'!$AC$1456)&lt;=VAL_SERIAL)*1000000+32*1000+25))</f>
        <v/>
      </c>
      <c r="FD147" s="121">
        <f>IF(N('Dvd Calendar'!$AD$1457)=0,"",IF(('Dvd Calendar'!$AD$1457&gt;=GRID_FROM)*('Dvd Calendar'!$AD$1457&lt;=GRID_TO)*((('Dvd Calendar'!$AD$1457&lt;=VAL_DATE)+(COUNTIF('Dvd Calendar'!$E$1464:$AR$1464,'Dvd Calendar'!$AD$1457)=0))&gt;0)=0,"",'Dvd Calendar'!$AD$1457*1000000000+ISNUMBER('Dvd Calendar'!$AD$1460)*100000000+('Dvd Calendar'!$AD$1462=SPECIAL_LBL)*10000000+(N('Dvd Calendar'!$AD$1456)&gt;0)*(N('Dvd Calendar'!$AD$1456)&lt;=VAL_SERIAL)*1000000+32*1000+26))</f>
        <v/>
      </c>
      <c r="FE147" s="121">
        <f>IF(N('Dvd Calendar'!$AE$1457)=0,"",IF(('Dvd Calendar'!$AE$1457&gt;=GRID_FROM)*('Dvd Calendar'!$AE$1457&lt;=GRID_TO)*((('Dvd Calendar'!$AE$1457&lt;=VAL_DATE)+(COUNTIF('Dvd Calendar'!$E$1464:$AR$1464,'Dvd Calendar'!$AE$1457)=0))&gt;0)=0,"",'Dvd Calendar'!$AE$1457*1000000000+ISNUMBER('Dvd Calendar'!$AE$1460)*100000000+('Dvd Calendar'!$AE$1462=SPECIAL_LBL)*10000000+(N('Dvd Calendar'!$AE$1456)&gt;0)*(N('Dvd Calendar'!$AE$1456)&lt;=VAL_SERIAL)*1000000+32*1000+27))</f>
        <v/>
      </c>
      <c r="FF147" s="121">
        <f>IF(N('Dvd Calendar'!$AF$1457)=0,"",IF(('Dvd Calendar'!$AF$1457&gt;=GRID_FROM)*('Dvd Calendar'!$AF$1457&lt;=GRID_TO)*((('Dvd Calendar'!$AF$1457&lt;=VAL_DATE)+(COUNTIF('Dvd Calendar'!$E$1464:$AR$1464,'Dvd Calendar'!$AF$1457)=0))&gt;0)=0,"",'Dvd Calendar'!$AF$1457*1000000000+ISNUMBER('Dvd Calendar'!$AF$1460)*100000000+('Dvd Calendar'!$AF$1462=SPECIAL_LBL)*10000000+(N('Dvd Calendar'!$AF$1456)&gt;0)*(N('Dvd Calendar'!$AF$1456)&lt;=VAL_SERIAL)*1000000+32*1000+28))</f>
        <v/>
      </c>
      <c r="FG147" s="121">
        <f>IF(N('Dvd Calendar'!$AG$1457)=0,"",IF(('Dvd Calendar'!$AG$1457&gt;=GRID_FROM)*('Dvd Calendar'!$AG$1457&lt;=GRID_TO)*((('Dvd Calendar'!$AG$1457&lt;=VAL_DATE)+(COUNTIF('Dvd Calendar'!$E$1464:$AR$1464,'Dvd Calendar'!$AG$1457)=0))&gt;0)=0,"",'Dvd Calendar'!$AG$1457*1000000000+ISNUMBER('Dvd Calendar'!$AG$1460)*100000000+('Dvd Calendar'!$AG$1462=SPECIAL_LBL)*10000000+(N('Dvd Calendar'!$AG$1456)&gt;0)*(N('Dvd Calendar'!$AG$1456)&lt;=VAL_SERIAL)*1000000+32*1000+29))</f>
        <v/>
      </c>
      <c r="FH147" s="121">
        <f>IF(N('Dvd Calendar'!$AH$1457)=0,"",IF(('Dvd Calendar'!$AH$1457&gt;=GRID_FROM)*('Dvd Calendar'!$AH$1457&lt;=GRID_TO)*((('Dvd Calendar'!$AH$1457&lt;=VAL_DATE)+(COUNTIF('Dvd Calendar'!$E$1464:$AR$1464,'Dvd Calendar'!$AH$1457)=0))&gt;0)=0,"",'Dvd Calendar'!$AH$1457*1000000000+ISNUMBER('Dvd Calendar'!$AH$1460)*100000000+('Dvd Calendar'!$AH$1462=SPECIAL_LBL)*10000000+(N('Dvd Calendar'!$AH$1456)&gt;0)*(N('Dvd Calendar'!$AH$1456)&lt;=VAL_SERIAL)*1000000+32*1000+30))</f>
        <v/>
      </c>
      <c r="FI147" s="121">
        <f>IF(N('Dvd Calendar'!$AI$1457)=0,"",IF(('Dvd Calendar'!$AI$1457&gt;=GRID_FROM)*('Dvd Calendar'!$AI$1457&lt;=GRID_TO)*((('Dvd Calendar'!$AI$1457&lt;=VAL_DATE)+(COUNTIF('Dvd Calendar'!$E$1464:$AR$1464,'Dvd Calendar'!$AI$1457)=0))&gt;0)=0,"",'Dvd Calendar'!$AI$1457*1000000000+ISNUMBER('Dvd Calendar'!$AI$1460)*100000000+('Dvd Calendar'!$AI$1462=SPECIAL_LBL)*10000000+(N('Dvd Calendar'!$AI$1456)&gt;0)*(N('Dvd Calendar'!$AI$1456)&lt;=VAL_SERIAL)*1000000+32*1000+31))</f>
        <v/>
      </c>
      <c r="FJ147" s="121">
        <f>IF(N('Dvd Calendar'!$AJ$1457)=0,"",IF(('Dvd Calendar'!$AJ$1457&gt;=GRID_FROM)*('Dvd Calendar'!$AJ$1457&lt;=GRID_TO)*((('Dvd Calendar'!$AJ$1457&lt;=VAL_DATE)+(COUNTIF('Dvd Calendar'!$E$1464:$AR$1464,'Dvd Calendar'!$AJ$1457)=0))&gt;0)=0,"",'Dvd Calendar'!$AJ$1457*1000000000+ISNUMBER('Dvd Calendar'!$AJ$1460)*100000000+('Dvd Calendar'!$AJ$1462=SPECIAL_LBL)*10000000+(N('Dvd Calendar'!$AJ$1456)&gt;0)*(N('Dvd Calendar'!$AJ$1456)&lt;=VAL_SERIAL)*1000000+32*1000+32))</f>
        <v/>
      </c>
      <c r="FK147" s="121">
        <f>IF(N('Dvd Calendar'!$AK$1457)=0,"",IF(('Dvd Calendar'!$AK$1457&gt;=GRID_FROM)*('Dvd Calendar'!$AK$1457&lt;=GRID_TO)*((('Dvd Calendar'!$AK$1457&lt;=VAL_DATE)+(COUNTIF('Dvd Calendar'!$E$1464:$AR$1464,'Dvd Calendar'!$AK$1457)=0))&gt;0)=0,"",'Dvd Calendar'!$AK$1457*1000000000+ISNUMBER('Dvd Calendar'!$AK$1460)*100000000+('Dvd Calendar'!$AK$1462=SPECIAL_LBL)*10000000+(N('Dvd Calendar'!$AK$1456)&gt;0)*(N('Dvd Calendar'!$AK$1456)&lt;=VAL_SERIAL)*1000000+32*1000+33))</f>
        <v/>
      </c>
      <c r="FL147" s="121">
        <f>IF(N('Dvd Calendar'!$AL$1457)=0,"",IF(('Dvd Calendar'!$AL$1457&gt;=GRID_FROM)*('Dvd Calendar'!$AL$1457&lt;=GRID_TO)*((('Dvd Calendar'!$AL$1457&lt;=VAL_DATE)+(COUNTIF('Dvd Calendar'!$E$1464:$AR$1464,'Dvd Calendar'!$AL$1457)=0))&gt;0)=0,"",'Dvd Calendar'!$AL$1457*1000000000+ISNUMBER('Dvd Calendar'!$AL$1460)*100000000+('Dvd Calendar'!$AL$1462=SPECIAL_LBL)*10000000+(N('Dvd Calendar'!$AL$1456)&gt;0)*(N('Dvd Calendar'!$AL$1456)&lt;=VAL_SERIAL)*1000000+32*1000+34))</f>
        <v/>
      </c>
      <c r="FM147" s="121">
        <f>IF(N('Dvd Calendar'!$AM$1457)=0,"",IF(('Dvd Calendar'!$AM$1457&gt;=GRID_FROM)*('Dvd Calendar'!$AM$1457&lt;=GRID_TO)*((('Dvd Calendar'!$AM$1457&lt;=VAL_DATE)+(COUNTIF('Dvd Calendar'!$E$1464:$AR$1464,'Dvd Calendar'!$AM$1457)=0))&gt;0)=0,"",'Dvd Calendar'!$AM$1457*1000000000+ISNUMBER('Dvd Calendar'!$AM$1460)*100000000+('Dvd Calendar'!$AM$1462=SPECIAL_LBL)*10000000+(N('Dvd Calendar'!$AM$1456)&gt;0)*(N('Dvd Calendar'!$AM$1456)&lt;=VAL_SERIAL)*1000000+32*1000+35))</f>
        <v/>
      </c>
      <c r="FN147" s="121">
        <f>IF(N('Dvd Calendar'!$AN$1457)=0,"",IF(('Dvd Calendar'!$AN$1457&gt;=GRID_FROM)*('Dvd Calendar'!$AN$1457&lt;=GRID_TO)*((('Dvd Calendar'!$AN$1457&lt;=VAL_DATE)+(COUNTIF('Dvd Calendar'!$E$1464:$AR$1464,'Dvd Calendar'!$AN$1457)=0))&gt;0)=0,"",'Dvd Calendar'!$AN$1457*1000000000+ISNUMBER('Dvd Calendar'!$AN$1460)*100000000+('Dvd Calendar'!$AN$1462=SPECIAL_LBL)*10000000+(N('Dvd Calendar'!$AN$1456)&gt;0)*(N('Dvd Calendar'!$AN$1456)&lt;=VAL_SERIAL)*1000000+32*1000+36))</f>
        <v/>
      </c>
      <c r="FO147" s="121">
        <f>IF(N('Dvd Calendar'!$AO$1457)=0,"",IF(('Dvd Calendar'!$AO$1457&gt;=GRID_FROM)*('Dvd Calendar'!$AO$1457&lt;=GRID_TO)*((('Dvd Calendar'!$AO$1457&lt;=VAL_DATE)+(COUNTIF('Dvd Calendar'!$E$1464:$AR$1464,'Dvd Calendar'!$AO$1457)=0))&gt;0)=0,"",'Dvd Calendar'!$AO$1457*1000000000+ISNUMBER('Dvd Calendar'!$AO$1460)*100000000+('Dvd Calendar'!$AO$1462=SPECIAL_LBL)*10000000+(N('Dvd Calendar'!$AO$1456)&gt;0)*(N('Dvd Calendar'!$AO$1456)&lt;=VAL_SERIAL)*1000000+32*1000+37))</f>
        <v/>
      </c>
      <c r="FP147" s="121">
        <f>IF(N('Dvd Calendar'!$AP$1457)=0,"",IF(('Dvd Calendar'!$AP$1457&gt;=GRID_FROM)*('Dvd Calendar'!$AP$1457&lt;=GRID_TO)*((('Dvd Calendar'!$AP$1457&lt;=VAL_DATE)+(COUNTIF('Dvd Calendar'!$E$1464:$AR$1464,'Dvd Calendar'!$AP$1457)=0))&gt;0)=0,"",'Dvd Calendar'!$AP$1457*1000000000+ISNUMBER('Dvd Calendar'!$AP$1460)*100000000+('Dvd Calendar'!$AP$1462=SPECIAL_LBL)*10000000+(N('Dvd Calendar'!$AP$1456)&gt;0)*(N('Dvd Calendar'!$AP$1456)&lt;=VAL_SERIAL)*1000000+32*1000+38))</f>
        <v/>
      </c>
      <c r="FQ147" s="121">
        <f>IF(N('Dvd Calendar'!$AQ$1457)=0,"",IF(('Dvd Calendar'!$AQ$1457&gt;=GRID_FROM)*('Dvd Calendar'!$AQ$1457&lt;=GRID_TO)*((('Dvd Calendar'!$AQ$1457&lt;=VAL_DATE)+(COUNTIF('Dvd Calendar'!$E$1464:$AR$1464,'Dvd Calendar'!$AQ$1457)=0))&gt;0)=0,"",'Dvd Calendar'!$AQ$1457*1000000000+ISNUMBER('Dvd Calendar'!$AQ$1460)*100000000+('Dvd Calendar'!$AQ$1462=SPECIAL_LBL)*10000000+(N('Dvd Calendar'!$AQ$1456)&gt;0)*(N('Dvd Calendar'!$AQ$1456)&lt;=VAL_SERIAL)*1000000+32*1000+39))</f>
        <v/>
      </c>
      <c r="FR147" s="121">
        <f>IF(N('Dvd Calendar'!$AR$1457)=0,"",IF(('Dvd Calendar'!$AR$1457&gt;=GRID_FROM)*('Dvd Calendar'!$AR$1457&lt;=GRID_TO)*((('Dvd Calendar'!$AR$1457&lt;=VAL_DATE)+(COUNTIF('Dvd Calendar'!$E$1464:$AR$1464,'Dvd Calendar'!$AR$1457)=0))&gt;0)=0,"",'Dvd Calendar'!$AR$1457*1000000000+ISNUMBER('Dvd Calendar'!$AR$1460)*100000000+('Dvd Calendar'!$AR$1462=SPECIAL_LBL)*10000000+(N('Dvd Calendar'!$AR$1456)&gt;0)*(N('Dvd Calendar'!$AR$1456)&lt;=VAL_SERIAL)*1000000+32*1000+40))</f>
        <v/>
      </c>
      <c r="FS147" s="121">
        <f>IF(N('Dvd Calendar'!$E$1464)=0,"",IF(('Dvd Calendar'!$E$1464&gt;=GRID_FROM)*('Dvd Calendar'!$E$1464&lt;=GRID_TO)*('Dvd Calendar'!$E$1464&gt;VAL_DATE)=0,"",'Dvd Calendar'!$E$1464*1000000000+ISNUMBER('Dvd Calendar'!$E$1465)*100000000+0*10000000+(N('Dvd Calendar'!$E$1463)&gt;0)*(N('Dvd Calendar'!$E$1463)&lt;=VAL_SERIAL)*1000000+32*1000+41))</f>
        <v/>
      </c>
      <c r="FT147" s="121">
        <f>IF(N('Dvd Calendar'!$F$1464)=0,"",IF(('Dvd Calendar'!$F$1464&gt;=GRID_FROM)*('Dvd Calendar'!$F$1464&lt;=GRID_TO)*('Dvd Calendar'!$F$1464&gt;VAL_DATE)=0,"",'Dvd Calendar'!$F$1464*1000000000+ISNUMBER('Dvd Calendar'!$F$1465)*100000000+0*10000000+(N('Dvd Calendar'!$F$1463)&gt;0)*(N('Dvd Calendar'!$F$1463)&lt;=VAL_SERIAL)*1000000+32*1000+42))</f>
        <v/>
      </c>
      <c r="FU147" s="121">
        <f>IF(N('Dvd Calendar'!$G$1464)=0,"",IF(('Dvd Calendar'!$G$1464&gt;=GRID_FROM)*('Dvd Calendar'!$G$1464&lt;=GRID_TO)*('Dvd Calendar'!$G$1464&gt;VAL_DATE)=0,"",'Dvd Calendar'!$G$1464*1000000000+ISNUMBER('Dvd Calendar'!$G$1465)*100000000+0*10000000+(N('Dvd Calendar'!$G$1463)&gt;0)*(N('Dvd Calendar'!$G$1463)&lt;=VAL_SERIAL)*1000000+32*1000+43))</f>
        <v/>
      </c>
      <c r="FV147" s="121">
        <f>IF(N('Dvd Calendar'!$H$1464)=0,"",IF(('Dvd Calendar'!$H$1464&gt;=GRID_FROM)*('Dvd Calendar'!$H$1464&lt;=GRID_TO)*('Dvd Calendar'!$H$1464&gt;VAL_DATE)=0,"",'Dvd Calendar'!$H$1464*1000000000+ISNUMBER('Dvd Calendar'!$H$1465)*100000000+0*10000000+(N('Dvd Calendar'!$H$1463)&gt;0)*(N('Dvd Calendar'!$H$1463)&lt;=VAL_SERIAL)*1000000+32*1000+44))</f>
        <v/>
      </c>
      <c r="FW147" s="121">
        <f>IF(N('Dvd Calendar'!$I$1464)=0,"",IF(('Dvd Calendar'!$I$1464&gt;=GRID_FROM)*('Dvd Calendar'!$I$1464&lt;=GRID_TO)*('Dvd Calendar'!$I$1464&gt;VAL_DATE)=0,"",'Dvd Calendar'!$I$1464*1000000000+ISNUMBER('Dvd Calendar'!$I$1465)*100000000+0*10000000+(N('Dvd Calendar'!$I$1463)&gt;0)*(N('Dvd Calendar'!$I$1463)&lt;=VAL_SERIAL)*1000000+32*1000+45))</f>
        <v/>
      </c>
      <c r="FX147" s="121">
        <f>IF(N('Dvd Calendar'!$J$1464)=0,"",IF(('Dvd Calendar'!$J$1464&gt;=GRID_FROM)*('Dvd Calendar'!$J$1464&lt;=GRID_TO)*('Dvd Calendar'!$J$1464&gt;VAL_DATE)=0,"",'Dvd Calendar'!$J$1464*1000000000+ISNUMBER('Dvd Calendar'!$J$1465)*100000000+0*10000000+(N('Dvd Calendar'!$J$1463)&gt;0)*(N('Dvd Calendar'!$J$1463)&lt;=VAL_SERIAL)*1000000+32*1000+46))</f>
        <v/>
      </c>
      <c r="FY147" s="121">
        <f>IF(N('Dvd Calendar'!$K$1464)=0,"",IF(('Dvd Calendar'!$K$1464&gt;=GRID_FROM)*('Dvd Calendar'!$K$1464&lt;=GRID_TO)*('Dvd Calendar'!$K$1464&gt;VAL_DATE)=0,"",'Dvd Calendar'!$K$1464*1000000000+ISNUMBER('Dvd Calendar'!$K$1465)*100000000+0*10000000+(N('Dvd Calendar'!$K$1463)&gt;0)*(N('Dvd Calendar'!$K$1463)&lt;=VAL_SERIAL)*1000000+32*1000+47))</f>
        <v/>
      </c>
      <c r="FZ147" s="121">
        <f>IF(N('Dvd Calendar'!$L$1464)=0,"",IF(('Dvd Calendar'!$L$1464&gt;=GRID_FROM)*('Dvd Calendar'!$L$1464&lt;=GRID_TO)*('Dvd Calendar'!$L$1464&gt;VAL_DATE)=0,"",'Dvd Calendar'!$L$1464*1000000000+ISNUMBER('Dvd Calendar'!$L$1465)*100000000+0*10000000+(N('Dvd Calendar'!$L$1463)&gt;0)*(N('Dvd Calendar'!$L$1463)&lt;=VAL_SERIAL)*1000000+32*1000+48))</f>
        <v/>
      </c>
      <c r="GA147" s="121">
        <f>IF(N('Dvd Calendar'!$M$1464)=0,"",IF(('Dvd Calendar'!$M$1464&gt;=GRID_FROM)*('Dvd Calendar'!$M$1464&lt;=GRID_TO)*('Dvd Calendar'!$M$1464&gt;VAL_DATE)=0,"",'Dvd Calendar'!$M$1464*1000000000+ISNUMBER('Dvd Calendar'!$M$1465)*100000000+0*10000000+(N('Dvd Calendar'!$M$1463)&gt;0)*(N('Dvd Calendar'!$M$1463)&lt;=VAL_SERIAL)*1000000+32*1000+49))</f>
        <v/>
      </c>
      <c r="GB147" s="121">
        <f>IF(N('Dvd Calendar'!$N$1464)=0,"",IF(('Dvd Calendar'!$N$1464&gt;=GRID_FROM)*('Dvd Calendar'!$N$1464&lt;=GRID_TO)*('Dvd Calendar'!$N$1464&gt;VAL_DATE)=0,"",'Dvd Calendar'!$N$1464*1000000000+ISNUMBER('Dvd Calendar'!$N$1465)*100000000+0*10000000+(N('Dvd Calendar'!$N$1463)&gt;0)*(N('Dvd Calendar'!$N$1463)&lt;=VAL_SERIAL)*1000000+32*1000+50))</f>
        <v/>
      </c>
      <c r="GC147" s="121">
        <f>IF(N('Dvd Calendar'!$O$1464)=0,"",IF(('Dvd Calendar'!$O$1464&gt;=GRID_FROM)*('Dvd Calendar'!$O$1464&lt;=GRID_TO)*('Dvd Calendar'!$O$1464&gt;VAL_DATE)=0,"",'Dvd Calendar'!$O$1464*1000000000+ISNUMBER('Dvd Calendar'!$O$1465)*100000000+0*10000000+(N('Dvd Calendar'!$O$1463)&gt;0)*(N('Dvd Calendar'!$O$1463)&lt;=VAL_SERIAL)*1000000+32*1000+51))</f>
        <v/>
      </c>
      <c r="GD147" s="121">
        <f>IF(N('Dvd Calendar'!$P$1464)=0,"",IF(('Dvd Calendar'!$P$1464&gt;=GRID_FROM)*('Dvd Calendar'!$P$1464&lt;=GRID_TO)*('Dvd Calendar'!$P$1464&gt;VAL_DATE)=0,"",'Dvd Calendar'!$P$1464*1000000000+ISNUMBER('Dvd Calendar'!$P$1465)*100000000+0*10000000+(N('Dvd Calendar'!$P$1463)&gt;0)*(N('Dvd Calendar'!$P$1463)&lt;=VAL_SERIAL)*1000000+32*1000+52))</f>
        <v/>
      </c>
      <c r="GE147" s="121">
        <f>IF(N('Dvd Calendar'!$Q$1464)=0,"",IF(('Dvd Calendar'!$Q$1464&gt;=GRID_FROM)*('Dvd Calendar'!$Q$1464&lt;=GRID_TO)*('Dvd Calendar'!$Q$1464&gt;VAL_DATE)=0,"",'Dvd Calendar'!$Q$1464*1000000000+ISNUMBER('Dvd Calendar'!$Q$1465)*100000000+0*10000000+(N('Dvd Calendar'!$Q$1463)&gt;0)*(N('Dvd Calendar'!$Q$1463)&lt;=VAL_SERIAL)*1000000+32*1000+53))</f>
        <v/>
      </c>
      <c r="GF147" s="121">
        <f>IF(N('Dvd Calendar'!$R$1464)=0,"",IF(('Dvd Calendar'!$R$1464&gt;=GRID_FROM)*('Dvd Calendar'!$R$1464&lt;=GRID_TO)*('Dvd Calendar'!$R$1464&gt;VAL_DATE)=0,"",'Dvd Calendar'!$R$1464*1000000000+ISNUMBER('Dvd Calendar'!$R$1465)*100000000+0*10000000+(N('Dvd Calendar'!$R$1463)&gt;0)*(N('Dvd Calendar'!$R$1463)&lt;=VAL_SERIAL)*1000000+32*1000+54))</f>
        <v/>
      </c>
      <c r="GG147" s="121">
        <f>IF(N('Dvd Calendar'!$S$1464)=0,"",IF(('Dvd Calendar'!$S$1464&gt;=GRID_FROM)*('Dvd Calendar'!$S$1464&lt;=GRID_TO)*('Dvd Calendar'!$S$1464&gt;VAL_DATE)=0,"",'Dvd Calendar'!$S$1464*1000000000+ISNUMBER('Dvd Calendar'!$S$1465)*100000000+0*10000000+(N('Dvd Calendar'!$S$1463)&gt;0)*(N('Dvd Calendar'!$S$1463)&lt;=VAL_SERIAL)*1000000+32*1000+55))</f>
        <v/>
      </c>
      <c r="GH147" s="121">
        <f>IF(N('Dvd Calendar'!$T$1464)=0,"",IF(('Dvd Calendar'!$T$1464&gt;=GRID_FROM)*('Dvd Calendar'!$T$1464&lt;=GRID_TO)*('Dvd Calendar'!$T$1464&gt;VAL_DATE)=0,"",'Dvd Calendar'!$T$1464*1000000000+ISNUMBER('Dvd Calendar'!$T$1465)*100000000+0*10000000+(N('Dvd Calendar'!$T$1463)&gt;0)*(N('Dvd Calendar'!$T$1463)&lt;=VAL_SERIAL)*1000000+32*1000+56))</f>
        <v/>
      </c>
      <c r="GI147" s="121">
        <f>IF(N('Dvd Calendar'!$U$1464)=0,"",IF(('Dvd Calendar'!$U$1464&gt;=GRID_FROM)*('Dvd Calendar'!$U$1464&lt;=GRID_TO)*('Dvd Calendar'!$U$1464&gt;VAL_DATE)=0,"",'Dvd Calendar'!$U$1464*1000000000+ISNUMBER('Dvd Calendar'!$U$1465)*100000000+0*10000000+(N('Dvd Calendar'!$U$1463)&gt;0)*(N('Dvd Calendar'!$U$1463)&lt;=VAL_SERIAL)*1000000+32*1000+57))</f>
        <v/>
      </c>
      <c r="GJ147" s="121">
        <f>IF(N('Dvd Calendar'!$V$1464)=0,"",IF(('Dvd Calendar'!$V$1464&gt;=GRID_FROM)*('Dvd Calendar'!$V$1464&lt;=GRID_TO)*('Dvd Calendar'!$V$1464&gt;VAL_DATE)=0,"",'Dvd Calendar'!$V$1464*1000000000+ISNUMBER('Dvd Calendar'!$V$1465)*100000000+0*10000000+(N('Dvd Calendar'!$V$1463)&gt;0)*(N('Dvd Calendar'!$V$1463)&lt;=VAL_SERIAL)*1000000+32*1000+58))</f>
        <v/>
      </c>
      <c r="GK147" s="121">
        <f>IF(N('Dvd Calendar'!$W$1464)=0,"",IF(('Dvd Calendar'!$W$1464&gt;=GRID_FROM)*('Dvd Calendar'!$W$1464&lt;=GRID_TO)*('Dvd Calendar'!$W$1464&gt;VAL_DATE)=0,"",'Dvd Calendar'!$W$1464*1000000000+ISNUMBER('Dvd Calendar'!$W$1465)*100000000+0*10000000+(N('Dvd Calendar'!$W$1463)&gt;0)*(N('Dvd Calendar'!$W$1463)&lt;=VAL_SERIAL)*1000000+32*1000+59))</f>
        <v/>
      </c>
      <c r="GL147" s="121">
        <f>IF(N('Dvd Calendar'!$X$1464)=0,"",IF(('Dvd Calendar'!$X$1464&gt;=GRID_FROM)*('Dvd Calendar'!$X$1464&lt;=GRID_TO)*('Dvd Calendar'!$X$1464&gt;VAL_DATE)=0,"",'Dvd Calendar'!$X$1464*1000000000+ISNUMBER('Dvd Calendar'!$X$1465)*100000000+0*10000000+(N('Dvd Calendar'!$X$1463)&gt;0)*(N('Dvd Calendar'!$X$1463)&lt;=VAL_SERIAL)*1000000+32*1000+60))</f>
        <v/>
      </c>
      <c r="GM147" s="121">
        <f>IF(N('Dvd Calendar'!$Y$1464)=0,"",IF(('Dvd Calendar'!$Y$1464&gt;=GRID_FROM)*('Dvd Calendar'!$Y$1464&lt;=GRID_TO)*('Dvd Calendar'!$Y$1464&gt;VAL_DATE)=0,"",'Dvd Calendar'!$Y$1464*1000000000+ISNUMBER('Dvd Calendar'!$Y$1465)*100000000+0*10000000+(N('Dvd Calendar'!$Y$1463)&gt;0)*(N('Dvd Calendar'!$Y$1463)&lt;=VAL_SERIAL)*1000000+32*1000+61))</f>
        <v/>
      </c>
      <c r="GN147" s="121">
        <f>IF(N('Dvd Calendar'!$Z$1464)=0,"",IF(('Dvd Calendar'!$Z$1464&gt;=GRID_FROM)*('Dvd Calendar'!$Z$1464&lt;=GRID_TO)*('Dvd Calendar'!$Z$1464&gt;VAL_DATE)=0,"",'Dvd Calendar'!$Z$1464*1000000000+ISNUMBER('Dvd Calendar'!$Z$1465)*100000000+0*10000000+(N('Dvd Calendar'!$Z$1463)&gt;0)*(N('Dvd Calendar'!$Z$1463)&lt;=VAL_SERIAL)*1000000+32*1000+62))</f>
        <v/>
      </c>
      <c r="GO147" s="121">
        <f>IF(N('Dvd Calendar'!$AA$1464)=0,"",IF(('Dvd Calendar'!$AA$1464&gt;=GRID_FROM)*('Dvd Calendar'!$AA$1464&lt;=GRID_TO)*('Dvd Calendar'!$AA$1464&gt;VAL_DATE)=0,"",'Dvd Calendar'!$AA$1464*1000000000+ISNUMBER('Dvd Calendar'!$AA$1465)*100000000+0*10000000+(N('Dvd Calendar'!$AA$1463)&gt;0)*(N('Dvd Calendar'!$AA$1463)&lt;=VAL_SERIAL)*1000000+32*1000+63))</f>
        <v/>
      </c>
      <c r="GP147" s="121">
        <f>IF(N('Dvd Calendar'!$AB$1464)=0,"",IF(('Dvd Calendar'!$AB$1464&gt;=GRID_FROM)*('Dvd Calendar'!$AB$1464&lt;=GRID_TO)*('Dvd Calendar'!$AB$1464&gt;VAL_DATE)=0,"",'Dvd Calendar'!$AB$1464*1000000000+ISNUMBER('Dvd Calendar'!$AB$1465)*100000000+0*10000000+(N('Dvd Calendar'!$AB$1463)&gt;0)*(N('Dvd Calendar'!$AB$1463)&lt;=VAL_SERIAL)*1000000+32*1000+64))</f>
        <v/>
      </c>
      <c r="GQ147" s="121">
        <f>IF(N('Dvd Calendar'!$AC$1464)=0,"",IF(('Dvd Calendar'!$AC$1464&gt;=GRID_FROM)*('Dvd Calendar'!$AC$1464&lt;=GRID_TO)*('Dvd Calendar'!$AC$1464&gt;VAL_DATE)=0,"",'Dvd Calendar'!$AC$1464*1000000000+ISNUMBER('Dvd Calendar'!$AC$1465)*100000000+0*10000000+(N('Dvd Calendar'!$AC$1463)&gt;0)*(N('Dvd Calendar'!$AC$1463)&lt;=VAL_SERIAL)*1000000+32*1000+65))</f>
        <v/>
      </c>
    </row>
    <row r="148">
      <c r="B148" s="2">
        <f>IF(HSTECH!$C$39="","",HSTECH!$C$39)</f>
        <v/>
      </c>
      <c r="C148" s="161">
        <f>IF(EE148="","",IF(ISNUMBER('Dvd Calendar'!$E$1471)=FALSE,"",IF((('Dvd Calendar'!$E$1473=TYPE1)*(TYPE1&lt;&gt;"")+('Dvd Calendar'!$E$1473=TYPE2)*(TYPE2&lt;&gt;"")+('Dvd Calendar'!$E$1473=TYPE3)*(TYPE3&lt;&gt;"")+('Dvd Calendar'!$E$1473=TYPE4)*(TYPE4&lt;&gt;"")+('Dvd Calendar'!$E$1473=SPECIAL_LBL)*(INC_SPECIALS="Y"))=0,"",'Dvd Calendar'!$E$1471)))</f>
        <v/>
      </c>
      <c r="D148" s="161">
        <f>IF(EF148="","",IF(ISNUMBER('Dvd Calendar'!$F$1471)=FALSE,"",IF((('Dvd Calendar'!$F$1473=TYPE1)*(TYPE1&lt;&gt;"")+('Dvd Calendar'!$F$1473=TYPE2)*(TYPE2&lt;&gt;"")+('Dvd Calendar'!$F$1473=TYPE3)*(TYPE3&lt;&gt;"")+('Dvd Calendar'!$F$1473=TYPE4)*(TYPE4&lt;&gt;"")+('Dvd Calendar'!$F$1473=SPECIAL_LBL)*(INC_SPECIALS="Y"))=0,"",'Dvd Calendar'!$F$1471)))</f>
        <v/>
      </c>
      <c r="E148" s="161">
        <f>IF(EG148="","",IF(ISNUMBER('Dvd Calendar'!$G$1471)=FALSE,"",IF((('Dvd Calendar'!$G$1473=TYPE1)*(TYPE1&lt;&gt;"")+('Dvd Calendar'!$G$1473=TYPE2)*(TYPE2&lt;&gt;"")+('Dvd Calendar'!$G$1473=TYPE3)*(TYPE3&lt;&gt;"")+('Dvd Calendar'!$G$1473=TYPE4)*(TYPE4&lt;&gt;"")+('Dvd Calendar'!$G$1473=SPECIAL_LBL)*(INC_SPECIALS="Y"))=0,"",'Dvd Calendar'!$G$1471)))</f>
        <v/>
      </c>
      <c r="F148" s="161">
        <f>IF(EH148="","",IF(ISNUMBER('Dvd Calendar'!$H$1471)=FALSE,"",IF((('Dvd Calendar'!$H$1473=TYPE1)*(TYPE1&lt;&gt;"")+('Dvd Calendar'!$H$1473=TYPE2)*(TYPE2&lt;&gt;"")+('Dvd Calendar'!$H$1473=TYPE3)*(TYPE3&lt;&gt;"")+('Dvd Calendar'!$H$1473=TYPE4)*(TYPE4&lt;&gt;"")+('Dvd Calendar'!$H$1473=SPECIAL_LBL)*(INC_SPECIALS="Y"))=0,"",'Dvd Calendar'!$H$1471)))</f>
        <v/>
      </c>
      <c r="G148" s="161">
        <f>IF(EI148="","",IF(ISNUMBER('Dvd Calendar'!$I$1471)=FALSE,"",IF((('Dvd Calendar'!$I$1473=TYPE1)*(TYPE1&lt;&gt;"")+('Dvd Calendar'!$I$1473=TYPE2)*(TYPE2&lt;&gt;"")+('Dvd Calendar'!$I$1473=TYPE3)*(TYPE3&lt;&gt;"")+('Dvd Calendar'!$I$1473=TYPE4)*(TYPE4&lt;&gt;"")+('Dvd Calendar'!$I$1473=SPECIAL_LBL)*(INC_SPECIALS="Y"))=0,"",'Dvd Calendar'!$I$1471)))</f>
        <v/>
      </c>
      <c r="H148" s="161">
        <f>IF(EJ148="","",IF(ISNUMBER('Dvd Calendar'!$J$1471)=FALSE,"",IF((('Dvd Calendar'!$J$1473=TYPE1)*(TYPE1&lt;&gt;"")+('Dvd Calendar'!$J$1473=TYPE2)*(TYPE2&lt;&gt;"")+('Dvd Calendar'!$J$1473=TYPE3)*(TYPE3&lt;&gt;"")+('Dvd Calendar'!$J$1473=TYPE4)*(TYPE4&lt;&gt;"")+('Dvd Calendar'!$J$1473=SPECIAL_LBL)*(INC_SPECIALS="Y"))=0,"",'Dvd Calendar'!$J$1471)))</f>
        <v/>
      </c>
      <c r="I148" s="161">
        <f>IF(EK148="","",IF(ISNUMBER('Dvd Calendar'!$K$1471)=FALSE,"",IF((('Dvd Calendar'!$K$1473=TYPE1)*(TYPE1&lt;&gt;"")+('Dvd Calendar'!$K$1473=TYPE2)*(TYPE2&lt;&gt;"")+('Dvd Calendar'!$K$1473=TYPE3)*(TYPE3&lt;&gt;"")+('Dvd Calendar'!$K$1473=TYPE4)*(TYPE4&lt;&gt;"")+('Dvd Calendar'!$K$1473=SPECIAL_LBL)*(INC_SPECIALS="Y"))=0,"",'Dvd Calendar'!$K$1471)))</f>
        <v/>
      </c>
      <c r="J148" s="161">
        <f>IF(EL148="","",IF(ISNUMBER('Dvd Calendar'!$L$1471)=FALSE,"",IF((('Dvd Calendar'!$L$1473=TYPE1)*(TYPE1&lt;&gt;"")+('Dvd Calendar'!$L$1473=TYPE2)*(TYPE2&lt;&gt;"")+('Dvd Calendar'!$L$1473=TYPE3)*(TYPE3&lt;&gt;"")+('Dvd Calendar'!$L$1473=TYPE4)*(TYPE4&lt;&gt;"")+('Dvd Calendar'!$L$1473=SPECIAL_LBL)*(INC_SPECIALS="Y"))=0,"",'Dvd Calendar'!$L$1471)))</f>
        <v/>
      </c>
      <c r="K148" s="161">
        <f>IF(EM148="","",IF(ISNUMBER('Dvd Calendar'!$M$1471)=FALSE,"",IF((('Dvd Calendar'!$M$1473=TYPE1)*(TYPE1&lt;&gt;"")+('Dvd Calendar'!$M$1473=TYPE2)*(TYPE2&lt;&gt;"")+('Dvd Calendar'!$M$1473=TYPE3)*(TYPE3&lt;&gt;"")+('Dvd Calendar'!$M$1473=TYPE4)*(TYPE4&lt;&gt;"")+('Dvd Calendar'!$M$1473=SPECIAL_LBL)*(INC_SPECIALS="Y"))=0,"",'Dvd Calendar'!$M$1471)))</f>
        <v/>
      </c>
      <c r="L148" s="161">
        <f>IF(EN148="","",IF(ISNUMBER('Dvd Calendar'!$N$1471)=FALSE,"",IF((('Dvd Calendar'!$N$1473=TYPE1)*(TYPE1&lt;&gt;"")+('Dvd Calendar'!$N$1473=TYPE2)*(TYPE2&lt;&gt;"")+('Dvd Calendar'!$N$1473=TYPE3)*(TYPE3&lt;&gt;"")+('Dvd Calendar'!$N$1473=TYPE4)*(TYPE4&lt;&gt;"")+('Dvd Calendar'!$N$1473=SPECIAL_LBL)*(INC_SPECIALS="Y"))=0,"",'Dvd Calendar'!$N$1471)))</f>
        <v/>
      </c>
      <c r="M148" s="161">
        <f>IF(EO148="","",IF(ISNUMBER('Dvd Calendar'!$O$1471)=FALSE,"",IF((('Dvd Calendar'!$O$1473=TYPE1)*(TYPE1&lt;&gt;"")+('Dvd Calendar'!$O$1473=TYPE2)*(TYPE2&lt;&gt;"")+('Dvd Calendar'!$O$1473=TYPE3)*(TYPE3&lt;&gt;"")+('Dvd Calendar'!$O$1473=TYPE4)*(TYPE4&lt;&gt;"")+('Dvd Calendar'!$O$1473=SPECIAL_LBL)*(INC_SPECIALS="Y"))=0,"",'Dvd Calendar'!$O$1471)))</f>
        <v/>
      </c>
      <c r="N148" s="161">
        <f>IF(EP148="","",IF(ISNUMBER('Dvd Calendar'!$P$1471)=FALSE,"",IF((('Dvd Calendar'!$P$1473=TYPE1)*(TYPE1&lt;&gt;"")+('Dvd Calendar'!$P$1473=TYPE2)*(TYPE2&lt;&gt;"")+('Dvd Calendar'!$P$1473=TYPE3)*(TYPE3&lt;&gt;"")+('Dvd Calendar'!$P$1473=TYPE4)*(TYPE4&lt;&gt;"")+('Dvd Calendar'!$P$1473=SPECIAL_LBL)*(INC_SPECIALS="Y"))=0,"",'Dvd Calendar'!$P$1471)))</f>
        <v/>
      </c>
      <c r="O148" s="161">
        <f>IF(EQ148="","",IF(ISNUMBER('Dvd Calendar'!$Q$1471)=FALSE,"",IF((('Dvd Calendar'!$Q$1473=TYPE1)*(TYPE1&lt;&gt;"")+('Dvd Calendar'!$Q$1473=TYPE2)*(TYPE2&lt;&gt;"")+('Dvd Calendar'!$Q$1473=TYPE3)*(TYPE3&lt;&gt;"")+('Dvd Calendar'!$Q$1473=TYPE4)*(TYPE4&lt;&gt;"")+('Dvd Calendar'!$Q$1473=SPECIAL_LBL)*(INC_SPECIALS="Y"))=0,"",'Dvd Calendar'!$Q$1471)))</f>
        <v/>
      </c>
      <c r="P148" s="161">
        <f>IF(ER148="","",IF(ISNUMBER('Dvd Calendar'!$R$1471)=FALSE,"",IF((('Dvd Calendar'!$R$1473=TYPE1)*(TYPE1&lt;&gt;"")+('Dvd Calendar'!$R$1473=TYPE2)*(TYPE2&lt;&gt;"")+('Dvd Calendar'!$R$1473=TYPE3)*(TYPE3&lt;&gt;"")+('Dvd Calendar'!$R$1473=TYPE4)*(TYPE4&lt;&gt;"")+('Dvd Calendar'!$R$1473=SPECIAL_LBL)*(INC_SPECIALS="Y"))=0,"",'Dvd Calendar'!$R$1471)))</f>
        <v/>
      </c>
      <c r="Q148" s="161">
        <f>IF(ES148="","",IF(ISNUMBER('Dvd Calendar'!$S$1471)=FALSE,"",IF((('Dvd Calendar'!$S$1473=TYPE1)*(TYPE1&lt;&gt;"")+('Dvd Calendar'!$S$1473=TYPE2)*(TYPE2&lt;&gt;"")+('Dvd Calendar'!$S$1473=TYPE3)*(TYPE3&lt;&gt;"")+('Dvd Calendar'!$S$1473=TYPE4)*(TYPE4&lt;&gt;"")+('Dvd Calendar'!$S$1473=SPECIAL_LBL)*(INC_SPECIALS="Y"))=0,"",'Dvd Calendar'!$S$1471)))</f>
        <v/>
      </c>
      <c r="R148" s="161">
        <f>IF(ET148="","",IF(ISNUMBER('Dvd Calendar'!$T$1471)=FALSE,"",IF((('Dvd Calendar'!$T$1473=TYPE1)*(TYPE1&lt;&gt;"")+('Dvd Calendar'!$T$1473=TYPE2)*(TYPE2&lt;&gt;"")+('Dvd Calendar'!$T$1473=TYPE3)*(TYPE3&lt;&gt;"")+('Dvd Calendar'!$T$1473=TYPE4)*(TYPE4&lt;&gt;"")+('Dvd Calendar'!$T$1473=SPECIAL_LBL)*(INC_SPECIALS="Y"))=0,"",'Dvd Calendar'!$T$1471)))</f>
        <v/>
      </c>
      <c r="S148" s="161">
        <f>IF(EU148="","",IF(ISNUMBER('Dvd Calendar'!$U$1471)=FALSE,"",IF((('Dvd Calendar'!$U$1473=TYPE1)*(TYPE1&lt;&gt;"")+('Dvd Calendar'!$U$1473=TYPE2)*(TYPE2&lt;&gt;"")+('Dvd Calendar'!$U$1473=TYPE3)*(TYPE3&lt;&gt;"")+('Dvd Calendar'!$U$1473=TYPE4)*(TYPE4&lt;&gt;"")+('Dvd Calendar'!$U$1473=SPECIAL_LBL)*(INC_SPECIALS="Y"))=0,"",'Dvd Calendar'!$U$1471)))</f>
        <v/>
      </c>
      <c r="T148" s="161">
        <f>IF(EV148="","",IF(ISNUMBER('Dvd Calendar'!$V$1471)=FALSE,"",IF((('Dvd Calendar'!$V$1473=TYPE1)*(TYPE1&lt;&gt;"")+('Dvd Calendar'!$V$1473=TYPE2)*(TYPE2&lt;&gt;"")+('Dvd Calendar'!$V$1473=TYPE3)*(TYPE3&lt;&gt;"")+('Dvd Calendar'!$V$1473=TYPE4)*(TYPE4&lt;&gt;"")+('Dvd Calendar'!$V$1473=SPECIAL_LBL)*(INC_SPECIALS="Y"))=0,"",'Dvd Calendar'!$V$1471)))</f>
        <v/>
      </c>
      <c r="U148" s="161">
        <f>IF(EW148="","",IF(ISNUMBER('Dvd Calendar'!$W$1471)=FALSE,"",IF((('Dvd Calendar'!$W$1473=TYPE1)*(TYPE1&lt;&gt;"")+('Dvd Calendar'!$W$1473=TYPE2)*(TYPE2&lt;&gt;"")+('Dvd Calendar'!$W$1473=TYPE3)*(TYPE3&lt;&gt;"")+('Dvd Calendar'!$W$1473=TYPE4)*(TYPE4&lt;&gt;"")+('Dvd Calendar'!$W$1473=SPECIAL_LBL)*(INC_SPECIALS="Y"))=0,"",'Dvd Calendar'!$W$1471)))</f>
        <v/>
      </c>
      <c r="V148" s="161">
        <f>IF(EX148="","",IF(ISNUMBER('Dvd Calendar'!$X$1471)=FALSE,"",IF((('Dvd Calendar'!$X$1473=TYPE1)*(TYPE1&lt;&gt;"")+('Dvd Calendar'!$X$1473=TYPE2)*(TYPE2&lt;&gt;"")+('Dvd Calendar'!$X$1473=TYPE3)*(TYPE3&lt;&gt;"")+('Dvd Calendar'!$X$1473=TYPE4)*(TYPE4&lt;&gt;"")+('Dvd Calendar'!$X$1473=SPECIAL_LBL)*(INC_SPECIALS="Y"))=0,"",'Dvd Calendar'!$X$1471)))</f>
        <v/>
      </c>
      <c r="W148" s="161">
        <f>IF(EY148="","",IF(ISNUMBER('Dvd Calendar'!$Y$1471)=FALSE,"",IF((('Dvd Calendar'!$Y$1473=TYPE1)*(TYPE1&lt;&gt;"")+('Dvd Calendar'!$Y$1473=TYPE2)*(TYPE2&lt;&gt;"")+('Dvd Calendar'!$Y$1473=TYPE3)*(TYPE3&lt;&gt;"")+('Dvd Calendar'!$Y$1473=TYPE4)*(TYPE4&lt;&gt;"")+('Dvd Calendar'!$Y$1473=SPECIAL_LBL)*(INC_SPECIALS="Y"))=0,"",'Dvd Calendar'!$Y$1471)))</f>
        <v/>
      </c>
      <c r="X148" s="161">
        <f>IF(EZ148="","",IF(ISNUMBER('Dvd Calendar'!$Z$1471)=FALSE,"",IF((('Dvd Calendar'!$Z$1473=TYPE1)*(TYPE1&lt;&gt;"")+('Dvd Calendar'!$Z$1473=TYPE2)*(TYPE2&lt;&gt;"")+('Dvd Calendar'!$Z$1473=TYPE3)*(TYPE3&lt;&gt;"")+('Dvd Calendar'!$Z$1473=TYPE4)*(TYPE4&lt;&gt;"")+('Dvd Calendar'!$Z$1473=SPECIAL_LBL)*(INC_SPECIALS="Y"))=0,"",'Dvd Calendar'!$Z$1471)))</f>
        <v/>
      </c>
      <c r="Y148" s="161">
        <f>IF(FA148="","",IF(ISNUMBER('Dvd Calendar'!$AA$1471)=FALSE,"",IF((('Dvd Calendar'!$AA$1473=TYPE1)*(TYPE1&lt;&gt;"")+('Dvd Calendar'!$AA$1473=TYPE2)*(TYPE2&lt;&gt;"")+('Dvd Calendar'!$AA$1473=TYPE3)*(TYPE3&lt;&gt;"")+('Dvd Calendar'!$AA$1473=TYPE4)*(TYPE4&lt;&gt;"")+('Dvd Calendar'!$AA$1473=SPECIAL_LBL)*(INC_SPECIALS="Y"))=0,"",'Dvd Calendar'!$AA$1471)))</f>
        <v/>
      </c>
      <c r="Z148" s="161">
        <f>IF(FB148="","",IF(ISNUMBER('Dvd Calendar'!$AB$1471)=FALSE,"",IF((('Dvd Calendar'!$AB$1473=TYPE1)*(TYPE1&lt;&gt;"")+('Dvd Calendar'!$AB$1473=TYPE2)*(TYPE2&lt;&gt;"")+('Dvd Calendar'!$AB$1473=TYPE3)*(TYPE3&lt;&gt;"")+('Dvd Calendar'!$AB$1473=TYPE4)*(TYPE4&lt;&gt;"")+('Dvd Calendar'!$AB$1473=SPECIAL_LBL)*(INC_SPECIALS="Y"))=0,"",'Dvd Calendar'!$AB$1471)))</f>
        <v/>
      </c>
      <c r="AA148" s="161">
        <f>IF(FC148="","",IF(ISNUMBER('Dvd Calendar'!$AC$1471)=FALSE,"",IF((('Dvd Calendar'!$AC$1473=TYPE1)*(TYPE1&lt;&gt;"")+('Dvd Calendar'!$AC$1473=TYPE2)*(TYPE2&lt;&gt;"")+('Dvd Calendar'!$AC$1473=TYPE3)*(TYPE3&lt;&gt;"")+('Dvd Calendar'!$AC$1473=TYPE4)*(TYPE4&lt;&gt;"")+('Dvd Calendar'!$AC$1473=SPECIAL_LBL)*(INC_SPECIALS="Y"))=0,"",'Dvd Calendar'!$AC$1471)))</f>
        <v/>
      </c>
      <c r="AB148" s="161">
        <f>IF(FD148="","",IF(ISNUMBER('Dvd Calendar'!$AD$1471)=FALSE,"",IF((('Dvd Calendar'!$AD$1473=TYPE1)*(TYPE1&lt;&gt;"")+('Dvd Calendar'!$AD$1473=TYPE2)*(TYPE2&lt;&gt;"")+('Dvd Calendar'!$AD$1473=TYPE3)*(TYPE3&lt;&gt;"")+('Dvd Calendar'!$AD$1473=TYPE4)*(TYPE4&lt;&gt;"")+('Dvd Calendar'!$AD$1473=SPECIAL_LBL)*(INC_SPECIALS="Y"))=0,"",'Dvd Calendar'!$AD$1471)))</f>
        <v/>
      </c>
      <c r="AC148" s="161">
        <f>IF(FE148="","",IF(ISNUMBER('Dvd Calendar'!$AE$1471)=FALSE,"",IF((('Dvd Calendar'!$AE$1473=TYPE1)*(TYPE1&lt;&gt;"")+('Dvd Calendar'!$AE$1473=TYPE2)*(TYPE2&lt;&gt;"")+('Dvd Calendar'!$AE$1473=TYPE3)*(TYPE3&lt;&gt;"")+('Dvd Calendar'!$AE$1473=TYPE4)*(TYPE4&lt;&gt;"")+('Dvd Calendar'!$AE$1473=SPECIAL_LBL)*(INC_SPECIALS="Y"))=0,"",'Dvd Calendar'!$AE$1471)))</f>
        <v/>
      </c>
      <c r="AD148" s="161">
        <f>IF(FF148="","",IF(ISNUMBER('Dvd Calendar'!$AF$1471)=FALSE,"",IF((('Dvd Calendar'!$AF$1473=TYPE1)*(TYPE1&lt;&gt;"")+('Dvd Calendar'!$AF$1473=TYPE2)*(TYPE2&lt;&gt;"")+('Dvd Calendar'!$AF$1473=TYPE3)*(TYPE3&lt;&gt;"")+('Dvd Calendar'!$AF$1473=TYPE4)*(TYPE4&lt;&gt;"")+('Dvd Calendar'!$AF$1473=SPECIAL_LBL)*(INC_SPECIALS="Y"))=0,"",'Dvd Calendar'!$AF$1471)))</f>
        <v/>
      </c>
      <c r="AE148" s="161">
        <f>IF(FG148="","",IF(ISNUMBER('Dvd Calendar'!$AG$1471)=FALSE,"",IF((('Dvd Calendar'!$AG$1473=TYPE1)*(TYPE1&lt;&gt;"")+('Dvd Calendar'!$AG$1473=TYPE2)*(TYPE2&lt;&gt;"")+('Dvd Calendar'!$AG$1473=TYPE3)*(TYPE3&lt;&gt;"")+('Dvd Calendar'!$AG$1473=TYPE4)*(TYPE4&lt;&gt;"")+('Dvd Calendar'!$AG$1473=SPECIAL_LBL)*(INC_SPECIALS="Y"))=0,"",'Dvd Calendar'!$AG$1471)))</f>
        <v/>
      </c>
      <c r="AF148" s="161">
        <f>IF(FH148="","",IF(ISNUMBER('Dvd Calendar'!$AH$1471)=FALSE,"",IF((('Dvd Calendar'!$AH$1473=TYPE1)*(TYPE1&lt;&gt;"")+('Dvd Calendar'!$AH$1473=TYPE2)*(TYPE2&lt;&gt;"")+('Dvd Calendar'!$AH$1473=TYPE3)*(TYPE3&lt;&gt;"")+('Dvd Calendar'!$AH$1473=TYPE4)*(TYPE4&lt;&gt;"")+('Dvd Calendar'!$AH$1473=SPECIAL_LBL)*(INC_SPECIALS="Y"))=0,"",'Dvd Calendar'!$AH$1471)))</f>
        <v/>
      </c>
      <c r="AG148" s="161">
        <f>IF(FI148="","",IF(ISNUMBER('Dvd Calendar'!$AI$1471)=FALSE,"",IF((('Dvd Calendar'!$AI$1473=TYPE1)*(TYPE1&lt;&gt;"")+('Dvd Calendar'!$AI$1473=TYPE2)*(TYPE2&lt;&gt;"")+('Dvd Calendar'!$AI$1473=TYPE3)*(TYPE3&lt;&gt;"")+('Dvd Calendar'!$AI$1473=TYPE4)*(TYPE4&lt;&gt;"")+('Dvd Calendar'!$AI$1473=SPECIAL_LBL)*(INC_SPECIALS="Y"))=0,"",'Dvd Calendar'!$AI$1471)))</f>
        <v/>
      </c>
      <c r="AH148" s="161">
        <f>IF(FJ148="","",IF(ISNUMBER('Dvd Calendar'!$AJ$1471)=FALSE,"",IF((('Dvd Calendar'!$AJ$1473=TYPE1)*(TYPE1&lt;&gt;"")+('Dvd Calendar'!$AJ$1473=TYPE2)*(TYPE2&lt;&gt;"")+('Dvd Calendar'!$AJ$1473=TYPE3)*(TYPE3&lt;&gt;"")+('Dvd Calendar'!$AJ$1473=TYPE4)*(TYPE4&lt;&gt;"")+('Dvd Calendar'!$AJ$1473=SPECIAL_LBL)*(INC_SPECIALS="Y"))=0,"",'Dvd Calendar'!$AJ$1471)))</f>
        <v/>
      </c>
      <c r="AI148" s="161">
        <f>IF(FK148="","",IF(ISNUMBER('Dvd Calendar'!$AK$1471)=FALSE,"",IF((('Dvd Calendar'!$AK$1473=TYPE1)*(TYPE1&lt;&gt;"")+('Dvd Calendar'!$AK$1473=TYPE2)*(TYPE2&lt;&gt;"")+('Dvd Calendar'!$AK$1473=TYPE3)*(TYPE3&lt;&gt;"")+('Dvd Calendar'!$AK$1473=TYPE4)*(TYPE4&lt;&gt;"")+('Dvd Calendar'!$AK$1473=SPECIAL_LBL)*(INC_SPECIALS="Y"))=0,"",'Dvd Calendar'!$AK$1471)))</f>
        <v/>
      </c>
      <c r="AJ148" s="161">
        <f>IF(FL148="","",IF(ISNUMBER('Dvd Calendar'!$AL$1471)=FALSE,"",IF((('Dvd Calendar'!$AL$1473=TYPE1)*(TYPE1&lt;&gt;"")+('Dvd Calendar'!$AL$1473=TYPE2)*(TYPE2&lt;&gt;"")+('Dvd Calendar'!$AL$1473=TYPE3)*(TYPE3&lt;&gt;"")+('Dvd Calendar'!$AL$1473=TYPE4)*(TYPE4&lt;&gt;"")+('Dvd Calendar'!$AL$1473=SPECIAL_LBL)*(INC_SPECIALS="Y"))=0,"",'Dvd Calendar'!$AL$1471)))</f>
        <v/>
      </c>
      <c r="AK148" s="161">
        <f>IF(FM148="","",IF(ISNUMBER('Dvd Calendar'!$AM$1471)=FALSE,"",IF((('Dvd Calendar'!$AM$1473=TYPE1)*(TYPE1&lt;&gt;"")+('Dvd Calendar'!$AM$1473=TYPE2)*(TYPE2&lt;&gt;"")+('Dvd Calendar'!$AM$1473=TYPE3)*(TYPE3&lt;&gt;"")+('Dvd Calendar'!$AM$1473=TYPE4)*(TYPE4&lt;&gt;"")+('Dvd Calendar'!$AM$1473=SPECIAL_LBL)*(INC_SPECIALS="Y"))=0,"",'Dvd Calendar'!$AM$1471)))</f>
        <v/>
      </c>
      <c r="AL148" s="161">
        <f>IF(FN148="","",IF(ISNUMBER('Dvd Calendar'!$AN$1471)=FALSE,"",IF((('Dvd Calendar'!$AN$1473=TYPE1)*(TYPE1&lt;&gt;"")+('Dvd Calendar'!$AN$1473=TYPE2)*(TYPE2&lt;&gt;"")+('Dvd Calendar'!$AN$1473=TYPE3)*(TYPE3&lt;&gt;"")+('Dvd Calendar'!$AN$1473=TYPE4)*(TYPE4&lt;&gt;"")+('Dvd Calendar'!$AN$1473=SPECIAL_LBL)*(INC_SPECIALS="Y"))=0,"",'Dvd Calendar'!$AN$1471)))</f>
        <v/>
      </c>
      <c r="AM148" s="161">
        <f>IF(FO148="","",IF(ISNUMBER('Dvd Calendar'!$AO$1471)=FALSE,"",IF((('Dvd Calendar'!$AO$1473=TYPE1)*(TYPE1&lt;&gt;"")+('Dvd Calendar'!$AO$1473=TYPE2)*(TYPE2&lt;&gt;"")+('Dvd Calendar'!$AO$1473=TYPE3)*(TYPE3&lt;&gt;"")+('Dvd Calendar'!$AO$1473=TYPE4)*(TYPE4&lt;&gt;"")+('Dvd Calendar'!$AO$1473=SPECIAL_LBL)*(INC_SPECIALS="Y"))=0,"",'Dvd Calendar'!$AO$1471)))</f>
        <v/>
      </c>
      <c r="AN148" s="161">
        <f>IF(FP148="","",IF(ISNUMBER('Dvd Calendar'!$AP$1471)=FALSE,"",IF((('Dvd Calendar'!$AP$1473=TYPE1)*(TYPE1&lt;&gt;"")+('Dvd Calendar'!$AP$1473=TYPE2)*(TYPE2&lt;&gt;"")+('Dvd Calendar'!$AP$1473=TYPE3)*(TYPE3&lt;&gt;"")+('Dvd Calendar'!$AP$1473=TYPE4)*(TYPE4&lt;&gt;"")+('Dvd Calendar'!$AP$1473=SPECIAL_LBL)*(INC_SPECIALS="Y"))=0,"",'Dvd Calendar'!$AP$1471)))</f>
        <v/>
      </c>
      <c r="AO148" s="161">
        <f>IF(FQ148="","",IF(ISNUMBER('Dvd Calendar'!$AQ$1471)=FALSE,"",IF((('Dvd Calendar'!$AQ$1473=TYPE1)*(TYPE1&lt;&gt;"")+('Dvd Calendar'!$AQ$1473=TYPE2)*(TYPE2&lt;&gt;"")+('Dvd Calendar'!$AQ$1473=TYPE3)*(TYPE3&lt;&gt;"")+('Dvd Calendar'!$AQ$1473=TYPE4)*(TYPE4&lt;&gt;"")+('Dvd Calendar'!$AQ$1473=SPECIAL_LBL)*(INC_SPECIALS="Y"))=0,"",'Dvd Calendar'!$AQ$1471)))</f>
        <v/>
      </c>
      <c r="AP148" s="161">
        <f>IF(FR148="","",IF(ISNUMBER('Dvd Calendar'!$AR$1471)=FALSE,"",IF((('Dvd Calendar'!$AR$1473=TYPE1)*(TYPE1&lt;&gt;"")+('Dvd Calendar'!$AR$1473=TYPE2)*(TYPE2&lt;&gt;"")+('Dvd Calendar'!$AR$1473=TYPE3)*(TYPE3&lt;&gt;"")+('Dvd Calendar'!$AR$1473=TYPE4)*(TYPE4&lt;&gt;"")+('Dvd Calendar'!$AR$1473=SPECIAL_LBL)*(INC_SPECIALS="Y"))=0,"",'Dvd Calendar'!$AR$1471)))</f>
        <v/>
      </c>
      <c r="AQ148" s="161">
        <f>IF(FS148="","",IF(ISNUMBER('Dvd Calendar'!$E$1476)=FALSE,"",'Dvd Calendar'!$E$1476))</f>
        <v/>
      </c>
      <c r="AR148" s="161">
        <f>IF(FT148="","",IF(ISNUMBER('Dvd Calendar'!$F$1476)=FALSE,"",'Dvd Calendar'!$F$1476))</f>
        <v/>
      </c>
      <c r="AS148" s="161">
        <f>IF(FU148="","",IF(ISNUMBER('Dvd Calendar'!$G$1476)=FALSE,"",'Dvd Calendar'!$G$1476))</f>
        <v/>
      </c>
      <c r="AT148" s="161">
        <f>IF(FV148="","",IF(ISNUMBER('Dvd Calendar'!$H$1476)=FALSE,"",'Dvd Calendar'!$H$1476))</f>
        <v/>
      </c>
      <c r="AU148" s="161">
        <f>IF(FW148="","",IF(ISNUMBER('Dvd Calendar'!$I$1476)=FALSE,"",'Dvd Calendar'!$I$1476))</f>
        <v/>
      </c>
      <c r="AV148" s="161">
        <f>IF(FX148="","",IF(ISNUMBER('Dvd Calendar'!$J$1476)=FALSE,"",'Dvd Calendar'!$J$1476))</f>
        <v/>
      </c>
      <c r="AW148" s="161">
        <f>IF(FY148="","",IF(ISNUMBER('Dvd Calendar'!$K$1476)=FALSE,"",'Dvd Calendar'!$K$1476))</f>
        <v/>
      </c>
      <c r="AX148" s="161">
        <f>IF(FZ148="","",IF(ISNUMBER('Dvd Calendar'!$L$1476)=FALSE,"",'Dvd Calendar'!$L$1476))</f>
        <v/>
      </c>
      <c r="AY148" s="161">
        <f>IF(GA148="","",IF(ISNUMBER('Dvd Calendar'!$M$1476)=FALSE,"",'Dvd Calendar'!$M$1476))</f>
        <v/>
      </c>
      <c r="AZ148" s="161">
        <f>IF(GB148="","",IF(ISNUMBER('Dvd Calendar'!$N$1476)=FALSE,"",'Dvd Calendar'!$N$1476))</f>
        <v/>
      </c>
      <c r="BA148" s="161">
        <f>IF(GC148="","",IF(ISNUMBER('Dvd Calendar'!$O$1476)=FALSE,"",'Dvd Calendar'!$O$1476))</f>
        <v/>
      </c>
      <c r="BB148" s="161">
        <f>IF(GD148="","",IF(ISNUMBER('Dvd Calendar'!$P$1476)=FALSE,"",'Dvd Calendar'!$P$1476))</f>
        <v/>
      </c>
      <c r="BC148" s="161">
        <f>IF(GE148="","",IF(ISNUMBER('Dvd Calendar'!$Q$1476)=FALSE,"",'Dvd Calendar'!$Q$1476))</f>
        <v/>
      </c>
      <c r="BD148" s="161">
        <f>IF(GF148="","",IF(ISNUMBER('Dvd Calendar'!$R$1476)=FALSE,"",'Dvd Calendar'!$R$1476))</f>
        <v/>
      </c>
      <c r="BE148" s="161">
        <f>IF(GG148="","",IF(ISNUMBER('Dvd Calendar'!$S$1476)=FALSE,"",'Dvd Calendar'!$S$1476))</f>
        <v/>
      </c>
      <c r="BF148" s="161">
        <f>IF(GH148="","",IF(ISNUMBER('Dvd Calendar'!$T$1476)=FALSE,"",'Dvd Calendar'!$T$1476))</f>
        <v/>
      </c>
      <c r="BG148" s="161">
        <f>IF(GI148="","",IF(ISNUMBER('Dvd Calendar'!$U$1476)=FALSE,"",'Dvd Calendar'!$U$1476))</f>
        <v/>
      </c>
      <c r="BH148" s="161">
        <f>IF(GJ148="","",IF(ISNUMBER('Dvd Calendar'!$V$1476)=FALSE,"",'Dvd Calendar'!$V$1476))</f>
        <v/>
      </c>
      <c r="BI148" s="161">
        <f>IF(GK148="","",IF(ISNUMBER('Dvd Calendar'!$W$1476)=FALSE,"",'Dvd Calendar'!$W$1476))</f>
        <v/>
      </c>
      <c r="BJ148" s="161">
        <f>IF(GL148="","",IF(ISNUMBER('Dvd Calendar'!$X$1476)=FALSE,"",'Dvd Calendar'!$X$1476))</f>
        <v/>
      </c>
      <c r="BK148" s="161">
        <f>IF(GM148="","",IF(ISNUMBER('Dvd Calendar'!$Y$1476)=FALSE,"",'Dvd Calendar'!$Y$1476))</f>
        <v/>
      </c>
      <c r="BL148" s="161">
        <f>IF(GN148="","",IF(ISNUMBER('Dvd Calendar'!$Z$1476)=FALSE,"",'Dvd Calendar'!$Z$1476))</f>
        <v/>
      </c>
      <c r="BM148" s="161">
        <f>IF(GO148="","",IF(ISNUMBER('Dvd Calendar'!$AA$1476)=FALSE,"",'Dvd Calendar'!$AA$1476))</f>
        <v/>
      </c>
      <c r="BN148" s="161">
        <f>IF(GP148="","",IF(ISNUMBER('Dvd Calendar'!$AB$1476)=FALSE,"",'Dvd Calendar'!$AB$1476))</f>
        <v/>
      </c>
      <c r="BO148" s="161">
        <f>IF(GQ148="","",IF(ISNUMBER('Dvd Calendar'!$AC$1476)=FALSE,"",'Dvd Calendar'!$AC$1476))</f>
        <v/>
      </c>
      <c r="BQ148" s="161">
        <f>IF(C148="","",IFERROR(C148*HSTECH!$B$39*HSTECH!$G$39/HSTECH!$B$3,""))</f>
        <v/>
      </c>
      <c r="BR148" s="161">
        <f>IF(D148="","",IFERROR(D148*HSTECH!$B$39*HSTECH!$G$39/HSTECH!$B$3,""))</f>
        <v/>
      </c>
      <c r="BS148" s="161">
        <f>IF(E148="","",IFERROR(E148*HSTECH!$B$39*HSTECH!$G$39/HSTECH!$B$3,""))</f>
        <v/>
      </c>
      <c r="BT148" s="161">
        <f>IF(F148="","",IFERROR(F148*HSTECH!$B$39*HSTECH!$G$39/HSTECH!$B$3,""))</f>
        <v/>
      </c>
      <c r="BU148" s="161">
        <f>IF(G148="","",IFERROR(G148*HSTECH!$B$39*HSTECH!$G$39/HSTECH!$B$3,""))</f>
        <v/>
      </c>
      <c r="BV148" s="161">
        <f>IF(H148="","",IFERROR(H148*HSTECH!$B$39*HSTECH!$G$39/HSTECH!$B$3,""))</f>
        <v/>
      </c>
      <c r="BW148" s="161">
        <f>IF(I148="","",IFERROR(I148*HSTECH!$B$39*HSTECH!$G$39/HSTECH!$B$3,""))</f>
        <v/>
      </c>
      <c r="BX148" s="161">
        <f>IF(J148="","",IFERROR(J148*HSTECH!$B$39*HSTECH!$G$39/HSTECH!$B$3,""))</f>
        <v/>
      </c>
      <c r="BY148" s="161">
        <f>IF(K148="","",IFERROR(K148*HSTECH!$B$39*HSTECH!$G$39/HSTECH!$B$3,""))</f>
        <v/>
      </c>
      <c r="BZ148" s="161">
        <f>IF(L148="","",IFERROR(L148*HSTECH!$B$39*HSTECH!$G$39/HSTECH!$B$3,""))</f>
        <v/>
      </c>
      <c r="CA148" s="161">
        <f>IF(M148="","",IFERROR(M148*HSTECH!$B$39*HSTECH!$G$39/HSTECH!$B$3,""))</f>
        <v/>
      </c>
      <c r="CB148" s="161">
        <f>IF(N148="","",IFERROR(N148*HSTECH!$B$39*HSTECH!$G$39/HSTECH!$B$3,""))</f>
        <v/>
      </c>
      <c r="CC148" s="161">
        <f>IF(O148="","",IFERROR(O148*HSTECH!$B$39*HSTECH!$G$39/HSTECH!$B$3,""))</f>
        <v/>
      </c>
      <c r="CD148" s="161">
        <f>IF(P148="","",IFERROR(P148*HSTECH!$B$39*HSTECH!$G$39/HSTECH!$B$3,""))</f>
        <v/>
      </c>
      <c r="CE148" s="161">
        <f>IF(Q148="","",IFERROR(Q148*HSTECH!$B$39*HSTECH!$G$39/HSTECH!$B$3,""))</f>
        <v/>
      </c>
      <c r="CF148" s="161">
        <f>IF(R148="","",IFERROR(R148*HSTECH!$B$39*HSTECH!$G$39/HSTECH!$B$3,""))</f>
        <v/>
      </c>
      <c r="CG148" s="161">
        <f>IF(S148="","",IFERROR(S148*HSTECH!$B$39*HSTECH!$G$39/HSTECH!$B$3,""))</f>
        <v/>
      </c>
      <c r="CH148" s="161">
        <f>IF(T148="","",IFERROR(T148*HSTECH!$B$39*HSTECH!$G$39/HSTECH!$B$3,""))</f>
        <v/>
      </c>
      <c r="CI148" s="161">
        <f>IF(U148="","",IFERROR(U148*HSTECH!$B$39*HSTECH!$G$39/HSTECH!$B$3,""))</f>
        <v/>
      </c>
      <c r="CJ148" s="161">
        <f>IF(V148="","",IFERROR(V148*HSTECH!$B$39*HSTECH!$G$39/HSTECH!$B$3,""))</f>
        <v/>
      </c>
      <c r="CK148" s="161">
        <f>IF(W148="","",IFERROR(W148*HSTECH!$B$39*HSTECH!$G$39/HSTECH!$B$3,""))</f>
        <v/>
      </c>
      <c r="CL148" s="161">
        <f>IF(X148="","",IFERROR(X148*HSTECH!$B$39*HSTECH!$G$39/HSTECH!$B$3,""))</f>
        <v/>
      </c>
      <c r="CM148" s="161">
        <f>IF(Y148="","",IFERROR(Y148*HSTECH!$B$39*HSTECH!$G$39/HSTECH!$B$3,""))</f>
        <v/>
      </c>
      <c r="CN148" s="161">
        <f>IF(Z148="","",IFERROR(Z148*HSTECH!$B$39*HSTECH!$G$39/HSTECH!$B$3,""))</f>
        <v/>
      </c>
      <c r="CO148" s="161">
        <f>IF(AA148="","",IFERROR(AA148*HSTECH!$B$39*HSTECH!$G$39/HSTECH!$B$3,""))</f>
        <v/>
      </c>
      <c r="CP148" s="161">
        <f>IF(AB148="","",IFERROR(AB148*HSTECH!$B$39*HSTECH!$G$39/HSTECH!$B$3,""))</f>
        <v/>
      </c>
      <c r="CQ148" s="161">
        <f>IF(AC148="","",IFERROR(AC148*HSTECH!$B$39*HSTECH!$G$39/HSTECH!$B$3,""))</f>
        <v/>
      </c>
      <c r="CR148" s="161">
        <f>IF(AD148="","",IFERROR(AD148*HSTECH!$B$39*HSTECH!$G$39/HSTECH!$B$3,""))</f>
        <v/>
      </c>
      <c r="CS148" s="161">
        <f>IF(AE148="","",IFERROR(AE148*HSTECH!$B$39*HSTECH!$G$39/HSTECH!$B$3,""))</f>
        <v/>
      </c>
      <c r="CT148" s="161">
        <f>IF(AF148="","",IFERROR(AF148*HSTECH!$B$39*HSTECH!$G$39/HSTECH!$B$3,""))</f>
        <v/>
      </c>
      <c r="CU148" s="161">
        <f>IF(AG148="","",IFERROR(AG148*HSTECH!$B$39*HSTECH!$G$39/HSTECH!$B$3,""))</f>
        <v/>
      </c>
      <c r="CV148" s="161">
        <f>IF(AH148="","",IFERROR(AH148*HSTECH!$B$39*HSTECH!$G$39/HSTECH!$B$3,""))</f>
        <v/>
      </c>
      <c r="CW148" s="161">
        <f>IF(AI148="","",IFERROR(AI148*HSTECH!$B$39*HSTECH!$G$39/HSTECH!$B$3,""))</f>
        <v/>
      </c>
      <c r="CX148" s="161">
        <f>IF(AJ148="","",IFERROR(AJ148*HSTECH!$B$39*HSTECH!$G$39/HSTECH!$B$3,""))</f>
        <v/>
      </c>
      <c r="CY148" s="161">
        <f>IF(AK148="","",IFERROR(AK148*HSTECH!$B$39*HSTECH!$G$39/HSTECH!$B$3,""))</f>
        <v/>
      </c>
      <c r="CZ148" s="161">
        <f>IF(AL148="","",IFERROR(AL148*HSTECH!$B$39*HSTECH!$G$39/HSTECH!$B$3,""))</f>
        <v/>
      </c>
      <c r="DA148" s="161">
        <f>IF(AM148="","",IFERROR(AM148*HSTECH!$B$39*HSTECH!$G$39/HSTECH!$B$3,""))</f>
        <v/>
      </c>
      <c r="DB148" s="161">
        <f>IF(AN148="","",IFERROR(AN148*HSTECH!$B$39*HSTECH!$G$39/HSTECH!$B$3,""))</f>
        <v/>
      </c>
      <c r="DC148" s="161">
        <f>IF(AO148="","",IFERROR(AO148*HSTECH!$B$39*HSTECH!$G$39/HSTECH!$B$3,""))</f>
        <v/>
      </c>
      <c r="DD148" s="161">
        <f>IF(AP148="","",IFERROR(AP148*HSTECH!$B$39*HSTECH!$G$39/HSTECH!$B$3,""))</f>
        <v/>
      </c>
      <c r="DE148" s="161">
        <f>IF(AQ148="","",IFERROR(AQ148*HSTECH!$B$39*HSTECH!$G$39/HSTECH!$B$3,""))</f>
        <v/>
      </c>
      <c r="DF148" s="161">
        <f>IF(AR148="","",IFERROR(AR148*HSTECH!$B$39*HSTECH!$G$39/HSTECH!$B$3,""))</f>
        <v/>
      </c>
      <c r="DG148" s="161">
        <f>IF(AS148="","",IFERROR(AS148*HSTECH!$B$39*HSTECH!$G$39/HSTECH!$B$3,""))</f>
        <v/>
      </c>
      <c r="DH148" s="161">
        <f>IF(AT148="","",IFERROR(AT148*HSTECH!$B$39*HSTECH!$G$39/HSTECH!$B$3,""))</f>
        <v/>
      </c>
      <c r="DI148" s="161">
        <f>IF(AU148="","",IFERROR(AU148*HSTECH!$B$39*HSTECH!$G$39/HSTECH!$B$3,""))</f>
        <v/>
      </c>
      <c r="DJ148" s="161">
        <f>IF(AV148="","",IFERROR(AV148*HSTECH!$B$39*HSTECH!$G$39/HSTECH!$B$3,""))</f>
        <v/>
      </c>
      <c r="DK148" s="161">
        <f>IF(AW148="","",IFERROR(AW148*HSTECH!$B$39*HSTECH!$G$39/HSTECH!$B$3,""))</f>
        <v/>
      </c>
      <c r="DL148" s="161">
        <f>IF(AX148="","",IFERROR(AX148*HSTECH!$B$39*HSTECH!$G$39/HSTECH!$B$3,""))</f>
        <v/>
      </c>
      <c r="DM148" s="161">
        <f>IF(AY148="","",IFERROR(AY148*HSTECH!$B$39*HSTECH!$G$39/HSTECH!$B$3,""))</f>
        <v/>
      </c>
      <c r="DN148" s="161">
        <f>IF(AZ148="","",IFERROR(AZ148*HSTECH!$B$39*HSTECH!$G$39/HSTECH!$B$3,""))</f>
        <v/>
      </c>
      <c r="DO148" s="161">
        <f>IF(BA148="","",IFERROR(BA148*HSTECH!$B$39*HSTECH!$G$39/HSTECH!$B$3,""))</f>
        <v/>
      </c>
      <c r="DP148" s="161">
        <f>IF(BB148="","",IFERROR(BB148*HSTECH!$B$39*HSTECH!$G$39/HSTECH!$B$3,""))</f>
        <v/>
      </c>
      <c r="DQ148" s="161">
        <f>IF(BC148="","",IFERROR(BC148*HSTECH!$B$39*HSTECH!$G$39/HSTECH!$B$3,""))</f>
        <v/>
      </c>
      <c r="DR148" s="161">
        <f>IF(BD148="","",IFERROR(BD148*HSTECH!$B$39*HSTECH!$G$39/HSTECH!$B$3,""))</f>
        <v/>
      </c>
      <c r="DS148" s="161">
        <f>IF(BE148="","",IFERROR(BE148*HSTECH!$B$39*HSTECH!$G$39/HSTECH!$B$3,""))</f>
        <v/>
      </c>
      <c r="DT148" s="161">
        <f>IF(BF148="","",IFERROR(BF148*HSTECH!$B$39*HSTECH!$G$39/HSTECH!$B$3,""))</f>
        <v/>
      </c>
      <c r="DU148" s="161">
        <f>IF(BG148="","",IFERROR(BG148*HSTECH!$B$39*HSTECH!$G$39/HSTECH!$B$3,""))</f>
        <v/>
      </c>
      <c r="DV148" s="161">
        <f>IF(BH148="","",IFERROR(BH148*HSTECH!$B$39*HSTECH!$G$39/HSTECH!$B$3,""))</f>
        <v/>
      </c>
      <c r="DW148" s="161">
        <f>IF(BI148="","",IFERROR(BI148*HSTECH!$B$39*HSTECH!$G$39/HSTECH!$B$3,""))</f>
        <v/>
      </c>
      <c r="DX148" s="161">
        <f>IF(BJ148="","",IFERROR(BJ148*HSTECH!$B$39*HSTECH!$G$39/HSTECH!$B$3,""))</f>
        <v/>
      </c>
      <c r="DY148" s="161">
        <f>IF(BK148="","",IFERROR(BK148*HSTECH!$B$39*HSTECH!$G$39/HSTECH!$B$3,""))</f>
        <v/>
      </c>
      <c r="DZ148" s="161">
        <f>IF(BL148="","",IFERROR(BL148*HSTECH!$B$39*HSTECH!$G$39/HSTECH!$B$3,""))</f>
        <v/>
      </c>
      <c r="EA148" s="161">
        <f>IF(BM148="","",IFERROR(BM148*HSTECH!$B$39*HSTECH!$G$39/HSTECH!$B$3,""))</f>
        <v/>
      </c>
      <c r="EB148" s="161">
        <f>IF(BN148="","",IFERROR(BN148*HSTECH!$B$39*HSTECH!$G$39/HSTECH!$B$3,""))</f>
        <v/>
      </c>
      <c r="EC148" s="161">
        <f>IF(BO148="","",IFERROR(BO148*HSTECH!$B$39*HSTECH!$G$39/HSTECH!$B$3,""))</f>
        <v/>
      </c>
      <c r="EE148" s="121">
        <f>IF(N('Dvd Calendar'!$E$1468)=0,"",IF(('Dvd Calendar'!$E$1468&gt;=GRID_FROM)*('Dvd Calendar'!$E$1468&lt;=GRID_TO)*((('Dvd Calendar'!$E$1468&lt;=VAL_DATE)+(COUNTIF('Dvd Calendar'!$E$1475:$AR$1475,'Dvd Calendar'!$E$1468)=0))&gt;0)=0,"",'Dvd Calendar'!$E$1468*1000000000+ISNUMBER('Dvd Calendar'!$E$1471)*100000000+('Dvd Calendar'!$E$1473=SPECIAL_LBL)*10000000+(N('Dvd Calendar'!$E$1467)&gt;0)*(N('Dvd Calendar'!$E$1467)&lt;=VAL_SERIAL)*1000000+33*1000+1))</f>
        <v/>
      </c>
      <c r="EF148" s="121">
        <f>IF(N('Dvd Calendar'!$F$1468)=0,"",IF(('Dvd Calendar'!$F$1468&gt;=GRID_FROM)*('Dvd Calendar'!$F$1468&lt;=GRID_TO)*((('Dvd Calendar'!$F$1468&lt;=VAL_DATE)+(COUNTIF('Dvd Calendar'!$E$1475:$AR$1475,'Dvd Calendar'!$F$1468)=0))&gt;0)=0,"",'Dvd Calendar'!$F$1468*1000000000+ISNUMBER('Dvd Calendar'!$F$1471)*100000000+('Dvd Calendar'!$F$1473=SPECIAL_LBL)*10000000+(N('Dvd Calendar'!$F$1467)&gt;0)*(N('Dvd Calendar'!$F$1467)&lt;=VAL_SERIAL)*1000000+33*1000+2))</f>
        <v/>
      </c>
      <c r="EG148" s="121">
        <f>IF(N('Dvd Calendar'!$G$1468)=0,"",IF(('Dvd Calendar'!$G$1468&gt;=GRID_FROM)*('Dvd Calendar'!$G$1468&lt;=GRID_TO)*((('Dvd Calendar'!$G$1468&lt;=VAL_DATE)+(COUNTIF('Dvd Calendar'!$E$1475:$AR$1475,'Dvd Calendar'!$G$1468)=0))&gt;0)=0,"",'Dvd Calendar'!$G$1468*1000000000+ISNUMBER('Dvd Calendar'!$G$1471)*100000000+('Dvd Calendar'!$G$1473=SPECIAL_LBL)*10000000+(N('Dvd Calendar'!$G$1467)&gt;0)*(N('Dvd Calendar'!$G$1467)&lt;=VAL_SERIAL)*1000000+33*1000+3))</f>
        <v/>
      </c>
      <c r="EH148" s="121">
        <f>IF(N('Dvd Calendar'!$H$1468)=0,"",IF(('Dvd Calendar'!$H$1468&gt;=GRID_FROM)*('Dvd Calendar'!$H$1468&lt;=GRID_TO)*((('Dvd Calendar'!$H$1468&lt;=VAL_DATE)+(COUNTIF('Dvd Calendar'!$E$1475:$AR$1475,'Dvd Calendar'!$H$1468)=0))&gt;0)=0,"",'Dvd Calendar'!$H$1468*1000000000+ISNUMBER('Dvd Calendar'!$H$1471)*100000000+('Dvd Calendar'!$H$1473=SPECIAL_LBL)*10000000+(N('Dvd Calendar'!$H$1467)&gt;0)*(N('Dvd Calendar'!$H$1467)&lt;=VAL_SERIAL)*1000000+33*1000+4))</f>
        <v/>
      </c>
      <c r="EI148" s="121">
        <f>IF(N('Dvd Calendar'!$I$1468)=0,"",IF(('Dvd Calendar'!$I$1468&gt;=GRID_FROM)*('Dvd Calendar'!$I$1468&lt;=GRID_TO)*((('Dvd Calendar'!$I$1468&lt;=VAL_DATE)+(COUNTIF('Dvd Calendar'!$E$1475:$AR$1475,'Dvd Calendar'!$I$1468)=0))&gt;0)=0,"",'Dvd Calendar'!$I$1468*1000000000+ISNUMBER('Dvd Calendar'!$I$1471)*100000000+('Dvd Calendar'!$I$1473=SPECIAL_LBL)*10000000+(N('Dvd Calendar'!$I$1467)&gt;0)*(N('Dvd Calendar'!$I$1467)&lt;=VAL_SERIAL)*1000000+33*1000+5))</f>
        <v/>
      </c>
      <c r="EJ148" s="121">
        <f>IF(N('Dvd Calendar'!$J$1468)=0,"",IF(('Dvd Calendar'!$J$1468&gt;=GRID_FROM)*('Dvd Calendar'!$J$1468&lt;=GRID_TO)*((('Dvd Calendar'!$J$1468&lt;=VAL_DATE)+(COUNTIF('Dvd Calendar'!$E$1475:$AR$1475,'Dvd Calendar'!$J$1468)=0))&gt;0)=0,"",'Dvd Calendar'!$J$1468*1000000000+ISNUMBER('Dvd Calendar'!$J$1471)*100000000+('Dvd Calendar'!$J$1473=SPECIAL_LBL)*10000000+(N('Dvd Calendar'!$J$1467)&gt;0)*(N('Dvd Calendar'!$J$1467)&lt;=VAL_SERIAL)*1000000+33*1000+6))</f>
        <v/>
      </c>
      <c r="EK148" s="121">
        <f>IF(N('Dvd Calendar'!$K$1468)=0,"",IF(('Dvd Calendar'!$K$1468&gt;=GRID_FROM)*('Dvd Calendar'!$K$1468&lt;=GRID_TO)*((('Dvd Calendar'!$K$1468&lt;=VAL_DATE)+(COUNTIF('Dvd Calendar'!$E$1475:$AR$1475,'Dvd Calendar'!$K$1468)=0))&gt;0)=0,"",'Dvd Calendar'!$K$1468*1000000000+ISNUMBER('Dvd Calendar'!$K$1471)*100000000+('Dvd Calendar'!$K$1473=SPECIAL_LBL)*10000000+(N('Dvd Calendar'!$K$1467)&gt;0)*(N('Dvd Calendar'!$K$1467)&lt;=VAL_SERIAL)*1000000+33*1000+7))</f>
        <v/>
      </c>
      <c r="EL148" s="121">
        <f>IF(N('Dvd Calendar'!$L$1468)=0,"",IF(('Dvd Calendar'!$L$1468&gt;=GRID_FROM)*('Dvd Calendar'!$L$1468&lt;=GRID_TO)*((('Dvd Calendar'!$L$1468&lt;=VAL_DATE)+(COUNTIF('Dvd Calendar'!$E$1475:$AR$1475,'Dvd Calendar'!$L$1468)=0))&gt;0)=0,"",'Dvd Calendar'!$L$1468*1000000000+ISNUMBER('Dvd Calendar'!$L$1471)*100000000+('Dvd Calendar'!$L$1473=SPECIAL_LBL)*10000000+(N('Dvd Calendar'!$L$1467)&gt;0)*(N('Dvd Calendar'!$L$1467)&lt;=VAL_SERIAL)*1000000+33*1000+8))</f>
        <v/>
      </c>
      <c r="EM148" s="121">
        <f>IF(N('Dvd Calendar'!$M$1468)=0,"",IF(('Dvd Calendar'!$M$1468&gt;=GRID_FROM)*('Dvd Calendar'!$M$1468&lt;=GRID_TO)*((('Dvd Calendar'!$M$1468&lt;=VAL_DATE)+(COUNTIF('Dvd Calendar'!$E$1475:$AR$1475,'Dvd Calendar'!$M$1468)=0))&gt;0)=0,"",'Dvd Calendar'!$M$1468*1000000000+ISNUMBER('Dvd Calendar'!$M$1471)*100000000+('Dvd Calendar'!$M$1473=SPECIAL_LBL)*10000000+(N('Dvd Calendar'!$M$1467)&gt;0)*(N('Dvd Calendar'!$M$1467)&lt;=VAL_SERIAL)*1000000+33*1000+9))</f>
        <v/>
      </c>
      <c r="EN148" s="121">
        <f>IF(N('Dvd Calendar'!$N$1468)=0,"",IF(('Dvd Calendar'!$N$1468&gt;=GRID_FROM)*('Dvd Calendar'!$N$1468&lt;=GRID_TO)*((('Dvd Calendar'!$N$1468&lt;=VAL_DATE)+(COUNTIF('Dvd Calendar'!$E$1475:$AR$1475,'Dvd Calendar'!$N$1468)=0))&gt;0)=0,"",'Dvd Calendar'!$N$1468*1000000000+ISNUMBER('Dvd Calendar'!$N$1471)*100000000+('Dvd Calendar'!$N$1473=SPECIAL_LBL)*10000000+(N('Dvd Calendar'!$N$1467)&gt;0)*(N('Dvd Calendar'!$N$1467)&lt;=VAL_SERIAL)*1000000+33*1000+10))</f>
        <v/>
      </c>
      <c r="EO148" s="121">
        <f>IF(N('Dvd Calendar'!$O$1468)=0,"",IF(('Dvd Calendar'!$O$1468&gt;=GRID_FROM)*('Dvd Calendar'!$O$1468&lt;=GRID_TO)*((('Dvd Calendar'!$O$1468&lt;=VAL_DATE)+(COUNTIF('Dvd Calendar'!$E$1475:$AR$1475,'Dvd Calendar'!$O$1468)=0))&gt;0)=0,"",'Dvd Calendar'!$O$1468*1000000000+ISNUMBER('Dvd Calendar'!$O$1471)*100000000+('Dvd Calendar'!$O$1473=SPECIAL_LBL)*10000000+(N('Dvd Calendar'!$O$1467)&gt;0)*(N('Dvd Calendar'!$O$1467)&lt;=VAL_SERIAL)*1000000+33*1000+11))</f>
        <v/>
      </c>
      <c r="EP148" s="121">
        <f>IF(N('Dvd Calendar'!$P$1468)=0,"",IF(('Dvd Calendar'!$P$1468&gt;=GRID_FROM)*('Dvd Calendar'!$P$1468&lt;=GRID_TO)*((('Dvd Calendar'!$P$1468&lt;=VAL_DATE)+(COUNTIF('Dvd Calendar'!$E$1475:$AR$1475,'Dvd Calendar'!$P$1468)=0))&gt;0)=0,"",'Dvd Calendar'!$P$1468*1000000000+ISNUMBER('Dvd Calendar'!$P$1471)*100000000+('Dvd Calendar'!$P$1473=SPECIAL_LBL)*10000000+(N('Dvd Calendar'!$P$1467)&gt;0)*(N('Dvd Calendar'!$P$1467)&lt;=VAL_SERIAL)*1000000+33*1000+12))</f>
        <v/>
      </c>
      <c r="EQ148" s="121">
        <f>IF(N('Dvd Calendar'!$Q$1468)=0,"",IF(('Dvd Calendar'!$Q$1468&gt;=GRID_FROM)*('Dvd Calendar'!$Q$1468&lt;=GRID_TO)*((('Dvd Calendar'!$Q$1468&lt;=VAL_DATE)+(COUNTIF('Dvd Calendar'!$E$1475:$AR$1475,'Dvd Calendar'!$Q$1468)=0))&gt;0)=0,"",'Dvd Calendar'!$Q$1468*1000000000+ISNUMBER('Dvd Calendar'!$Q$1471)*100000000+('Dvd Calendar'!$Q$1473=SPECIAL_LBL)*10000000+(N('Dvd Calendar'!$Q$1467)&gt;0)*(N('Dvd Calendar'!$Q$1467)&lt;=VAL_SERIAL)*1000000+33*1000+13))</f>
        <v/>
      </c>
      <c r="ER148" s="121">
        <f>IF(N('Dvd Calendar'!$R$1468)=0,"",IF(('Dvd Calendar'!$R$1468&gt;=GRID_FROM)*('Dvd Calendar'!$R$1468&lt;=GRID_TO)*((('Dvd Calendar'!$R$1468&lt;=VAL_DATE)+(COUNTIF('Dvd Calendar'!$E$1475:$AR$1475,'Dvd Calendar'!$R$1468)=0))&gt;0)=0,"",'Dvd Calendar'!$R$1468*1000000000+ISNUMBER('Dvd Calendar'!$R$1471)*100000000+('Dvd Calendar'!$R$1473=SPECIAL_LBL)*10000000+(N('Dvd Calendar'!$R$1467)&gt;0)*(N('Dvd Calendar'!$R$1467)&lt;=VAL_SERIAL)*1000000+33*1000+14))</f>
        <v/>
      </c>
      <c r="ES148" s="121">
        <f>IF(N('Dvd Calendar'!$S$1468)=0,"",IF(('Dvd Calendar'!$S$1468&gt;=GRID_FROM)*('Dvd Calendar'!$S$1468&lt;=GRID_TO)*((('Dvd Calendar'!$S$1468&lt;=VAL_DATE)+(COUNTIF('Dvd Calendar'!$E$1475:$AR$1475,'Dvd Calendar'!$S$1468)=0))&gt;0)=0,"",'Dvd Calendar'!$S$1468*1000000000+ISNUMBER('Dvd Calendar'!$S$1471)*100000000+('Dvd Calendar'!$S$1473=SPECIAL_LBL)*10000000+(N('Dvd Calendar'!$S$1467)&gt;0)*(N('Dvd Calendar'!$S$1467)&lt;=VAL_SERIAL)*1000000+33*1000+15))</f>
        <v/>
      </c>
      <c r="ET148" s="121">
        <f>IF(N('Dvd Calendar'!$T$1468)=0,"",IF(('Dvd Calendar'!$T$1468&gt;=GRID_FROM)*('Dvd Calendar'!$T$1468&lt;=GRID_TO)*((('Dvd Calendar'!$T$1468&lt;=VAL_DATE)+(COUNTIF('Dvd Calendar'!$E$1475:$AR$1475,'Dvd Calendar'!$T$1468)=0))&gt;0)=0,"",'Dvd Calendar'!$T$1468*1000000000+ISNUMBER('Dvd Calendar'!$T$1471)*100000000+('Dvd Calendar'!$T$1473=SPECIAL_LBL)*10000000+(N('Dvd Calendar'!$T$1467)&gt;0)*(N('Dvd Calendar'!$T$1467)&lt;=VAL_SERIAL)*1000000+33*1000+16))</f>
        <v/>
      </c>
      <c r="EU148" s="121">
        <f>IF(N('Dvd Calendar'!$U$1468)=0,"",IF(('Dvd Calendar'!$U$1468&gt;=GRID_FROM)*('Dvd Calendar'!$U$1468&lt;=GRID_TO)*((('Dvd Calendar'!$U$1468&lt;=VAL_DATE)+(COUNTIF('Dvd Calendar'!$E$1475:$AR$1475,'Dvd Calendar'!$U$1468)=0))&gt;0)=0,"",'Dvd Calendar'!$U$1468*1000000000+ISNUMBER('Dvd Calendar'!$U$1471)*100000000+('Dvd Calendar'!$U$1473=SPECIAL_LBL)*10000000+(N('Dvd Calendar'!$U$1467)&gt;0)*(N('Dvd Calendar'!$U$1467)&lt;=VAL_SERIAL)*1000000+33*1000+17))</f>
        <v/>
      </c>
      <c r="EV148" s="121">
        <f>IF(N('Dvd Calendar'!$V$1468)=0,"",IF(('Dvd Calendar'!$V$1468&gt;=GRID_FROM)*('Dvd Calendar'!$V$1468&lt;=GRID_TO)*((('Dvd Calendar'!$V$1468&lt;=VAL_DATE)+(COUNTIF('Dvd Calendar'!$E$1475:$AR$1475,'Dvd Calendar'!$V$1468)=0))&gt;0)=0,"",'Dvd Calendar'!$V$1468*1000000000+ISNUMBER('Dvd Calendar'!$V$1471)*100000000+('Dvd Calendar'!$V$1473=SPECIAL_LBL)*10000000+(N('Dvd Calendar'!$V$1467)&gt;0)*(N('Dvd Calendar'!$V$1467)&lt;=VAL_SERIAL)*1000000+33*1000+18))</f>
        <v/>
      </c>
      <c r="EW148" s="121">
        <f>IF(N('Dvd Calendar'!$W$1468)=0,"",IF(('Dvd Calendar'!$W$1468&gt;=GRID_FROM)*('Dvd Calendar'!$W$1468&lt;=GRID_TO)*((('Dvd Calendar'!$W$1468&lt;=VAL_DATE)+(COUNTIF('Dvd Calendar'!$E$1475:$AR$1475,'Dvd Calendar'!$W$1468)=0))&gt;0)=0,"",'Dvd Calendar'!$W$1468*1000000000+ISNUMBER('Dvd Calendar'!$W$1471)*100000000+('Dvd Calendar'!$W$1473=SPECIAL_LBL)*10000000+(N('Dvd Calendar'!$W$1467)&gt;0)*(N('Dvd Calendar'!$W$1467)&lt;=VAL_SERIAL)*1000000+33*1000+19))</f>
        <v/>
      </c>
      <c r="EX148" s="121">
        <f>IF(N('Dvd Calendar'!$X$1468)=0,"",IF(('Dvd Calendar'!$X$1468&gt;=GRID_FROM)*('Dvd Calendar'!$X$1468&lt;=GRID_TO)*((('Dvd Calendar'!$X$1468&lt;=VAL_DATE)+(COUNTIF('Dvd Calendar'!$E$1475:$AR$1475,'Dvd Calendar'!$X$1468)=0))&gt;0)=0,"",'Dvd Calendar'!$X$1468*1000000000+ISNUMBER('Dvd Calendar'!$X$1471)*100000000+('Dvd Calendar'!$X$1473=SPECIAL_LBL)*10000000+(N('Dvd Calendar'!$X$1467)&gt;0)*(N('Dvd Calendar'!$X$1467)&lt;=VAL_SERIAL)*1000000+33*1000+20))</f>
        <v/>
      </c>
      <c r="EY148" s="121">
        <f>IF(N('Dvd Calendar'!$Y$1468)=0,"",IF(('Dvd Calendar'!$Y$1468&gt;=GRID_FROM)*('Dvd Calendar'!$Y$1468&lt;=GRID_TO)*((('Dvd Calendar'!$Y$1468&lt;=VAL_DATE)+(COUNTIF('Dvd Calendar'!$E$1475:$AR$1475,'Dvd Calendar'!$Y$1468)=0))&gt;0)=0,"",'Dvd Calendar'!$Y$1468*1000000000+ISNUMBER('Dvd Calendar'!$Y$1471)*100000000+('Dvd Calendar'!$Y$1473=SPECIAL_LBL)*10000000+(N('Dvd Calendar'!$Y$1467)&gt;0)*(N('Dvd Calendar'!$Y$1467)&lt;=VAL_SERIAL)*1000000+33*1000+21))</f>
        <v/>
      </c>
      <c r="EZ148" s="121">
        <f>IF(N('Dvd Calendar'!$Z$1468)=0,"",IF(('Dvd Calendar'!$Z$1468&gt;=GRID_FROM)*('Dvd Calendar'!$Z$1468&lt;=GRID_TO)*((('Dvd Calendar'!$Z$1468&lt;=VAL_DATE)+(COUNTIF('Dvd Calendar'!$E$1475:$AR$1475,'Dvd Calendar'!$Z$1468)=0))&gt;0)=0,"",'Dvd Calendar'!$Z$1468*1000000000+ISNUMBER('Dvd Calendar'!$Z$1471)*100000000+('Dvd Calendar'!$Z$1473=SPECIAL_LBL)*10000000+(N('Dvd Calendar'!$Z$1467)&gt;0)*(N('Dvd Calendar'!$Z$1467)&lt;=VAL_SERIAL)*1000000+33*1000+22))</f>
        <v/>
      </c>
      <c r="FA148" s="121">
        <f>IF(N('Dvd Calendar'!$AA$1468)=0,"",IF(('Dvd Calendar'!$AA$1468&gt;=GRID_FROM)*('Dvd Calendar'!$AA$1468&lt;=GRID_TO)*((('Dvd Calendar'!$AA$1468&lt;=VAL_DATE)+(COUNTIF('Dvd Calendar'!$E$1475:$AR$1475,'Dvd Calendar'!$AA$1468)=0))&gt;0)=0,"",'Dvd Calendar'!$AA$1468*1000000000+ISNUMBER('Dvd Calendar'!$AA$1471)*100000000+('Dvd Calendar'!$AA$1473=SPECIAL_LBL)*10000000+(N('Dvd Calendar'!$AA$1467)&gt;0)*(N('Dvd Calendar'!$AA$1467)&lt;=VAL_SERIAL)*1000000+33*1000+23))</f>
        <v/>
      </c>
      <c r="FB148" s="121">
        <f>IF(N('Dvd Calendar'!$AB$1468)=0,"",IF(('Dvd Calendar'!$AB$1468&gt;=GRID_FROM)*('Dvd Calendar'!$AB$1468&lt;=GRID_TO)*((('Dvd Calendar'!$AB$1468&lt;=VAL_DATE)+(COUNTIF('Dvd Calendar'!$E$1475:$AR$1475,'Dvd Calendar'!$AB$1468)=0))&gt;0)=0,"",'Dvd Calendar'!$AB$1468*1000000000+ISNUMBER('Dvd Calendar'!$AB$1471)*100000000+('Dvd Calendar'!$AB$1473=SPECIAL_LBL)*10000000+(N('Dvd Calendar'!$AB$1467)&gt;0)*(N('Dvd Calendar'!$AB$1467)&lt;=VAL_SERIAL)*1000000+33*1000+24))</f>
        <v/>
      </c>
      <c r="FC148" s="121">
        <f>IF(N('Dvd Calendar'!$AC$1468)=0,"",IF(('Dvd Calendar'!$AC$1468&gt;=GRID_FROM)*('Dvd Calendar'!$AC$1468&lt;=GRID_TO)*((('Dvd Calendar'!$AC$1468&lt;=VAL_DATE)+(COUNTIF('Dvd Calendar'!$E$1475:$AR$1475,'Dvd Calendar'!$AC$1468)=0))&gt;0)=0,"",'Dvd Calendar'!$AC$1468*1000000000+ISNUMBER('Dvd Calendar'!$AC$1471)*100000000+('Dvd Calendar'!$AC$1473=SPECIAL_LBL)*10000000+(N('Dvd Calendar'!$AC$1467)&gt;0)*(N('Dvd Calendar'!$AC$1467)&lt;=VAL_SERIAL)*1000000+33*1000+25))</f>
        <v/>
      </c>
      <c r="FD148" s="121">
        <f>IF(N('Dvd Calendar'!$AD$1468)=0,"",IF(('Dvd Calendar'!$AD$1468&gt;=GRID_FROM)*('Dvd Calendar'!$AD$1468&lt;=GRID_TO)*((('Dvd Calendar'!$AD$1468&lt;=VAL_DATE)+(COUNTIF('Dvd Calendar'!$E$1475:$AR$1475,'Dvd Calendar'!$AD$1468)=0))&gt;0)=0,"",'Dvd Calendar'!$AD$1468*1000000000+ISNUMBER('Dvd Calendar'!$AD$1471)*100000000+('Dvd Calendar'!$AD$1473=SPECIAL_LBL)*10000000+(N('Dvd Calendar'!$AD$1467)&gt;0)*(N('Dvd Calendar'!$AD$1467)&lt;=VAL_SERIAL)*1000000+33*1000+26))</f>
        <v/>
      </c>
      <c r="FE148" s="121">
        <f>IF(N('Dvd Calendar'!$AE$1468)=0,"",IF(('Dvd Calendar'!$AE$1468&gt;=GRID_FROM)*('Dvd Calendar'!$AE$1468&lt;=GRID_TO)*((('Dvd Calendar'!$AE$1468&lt;=VAL_DATE)+(COUNTIF('Dvd Calendar'!$E$1475:$AR$1475,'Dvd Calendar'!$AE$1468)=0))&gt;0)=0,"",'Dvd Calendar'!$AE$1468*1000000000+ISNUMBER('Dvd Calendar'!$AE$1471)*100000000+('Dvd Calendar'!$AE$1473=SPECIAL_LBL)*10000000+(N('Dvd Calendar'!$AE$1467)&gt;0)*(N('Dvd Calendar'!$AE$1467)&lt;=VAL_SERIAL)*1000000+33*1000+27))</f>
        <v/>
      </c>
      <c r="FF148" s="121">
        <f>IF(N('Dvd Calendar'!$AF$1468)=0,"",IF(('Dvd Calendar'!$AF$1468&gt;=GRID_FROM)*('Dvd Calendar'!$AF$1468&lt;=GRID_TO)*((('Dvd Calendar'!$AF$1468&lt;=VAL_DATE)+(COUNTIF('Dvd Calendar'!$E$1475:$AR$1475,'Dvd Calendar'!$AF$1468)=0))&gt;0)=0,"",'Dvd Calendar'!$AF$1468*1000000000+ISNUMBER('Dvd Calendar'!$AF$1471)*100000000+('Dvd Calendar'!$AF$1473=SPECIAL_LBL)*10000000+(N('Dvd Calendar'!$AF$1467)&gt;0)*(N('Dvd Calendar'!$AF$1467)&lt;=VAL_SERIAL)*1000000+33*1000+28))</f>
        <v/>
      </c>
      <c r="FG148" s="121">
        <f>IF(N('Dvd Calendar'!$AG$1468)=0,"",IF(('Dvd Calendar'!$AG$1468&gt;=GRID_FROM)*('Dvd Calendar'!$AG$1468&lt;=GRID_TO)*((('Dvd Calendar'!$AG$1468&lt;=VAL_DATE)+(COUNTIF('Dvd Calendar'!$E$1475:$AR$1475,'Dvd Calendar'!$AG$1468)=0))&gt;0)=0,"",'Dvd Calendar'!$AG$1468*1000000000+ISNUMBER('Dvd Calendar'!$AG$1471)*100000000+('Dvd Calendar'!$AG$1473=SPECIAL_LBL)*10000000+(N('Dvd Calendar'!$AG$1467)&gt;0)*(N('Dvd Calendar'!$AG$1467)&lt;=VAL_SERIAL)*1000000+33*1000+29))</f>
        <v/>
      </c>
      <c r="FH148" s="121">
        <f>IF(N('Dvd Calendar'!$AH$1468)=0,"",IF(('Dvd Calendar'!$AH$1468&gt;=GRID_FROM)*('Dvd Calendar'!$AH$1468&lt;=GRID_TO)*((('Dvd Calendar'!$AH$1468&lt;=VAL_DATE)+(COUNTIF('Dvd Calendar'!$E$1475:$AR$1475,'Dvd Calendar'!$AH$1468)=0))&gt;0)=0,"",'Dvd Calendar'!$AH$1468*1000000000+ISNUMBER('Dvd Calendar'!$AH$1471)*100000000+('Dvd Calendar'!$AH$1473=SPECIAL_LBL)*10000000+(N('Dvd Calendar'!$AH$1467)&gt;0)*(N('Dvd Calendar'!$AH$1467)&lt;=VAL_SERIAL)*1000000+33*1000+30))</f>
        <v/>
      </c>
      <c r="FI148" s="121">
        <f>IF(N('Dvd Calendar'!$AI$1468)=0,"",IF(('Dvd Calendar'!$AI$1468&gt;=GRID_FROM)*('Dvd Calendar'!$AI$1468&lt;=GRID_TO)*((('Dvd Calendar'!$AI$1468&lt;=VAL_DATE)+(COUNTIF('Dvd Calendar'!$E$1475:$AR$1475,'Dvd Calendar'!$AI$1468)=0))&gt;0)=0,"",'Dvd Calendar'!$AI$1468*1000000000+ISNUMBER('Dvd Calendar'!$AI$1471)*100000000+('Dvd Calendar'!$AI$1473=SPECIAL_LBL)*10000000+(N('Dvd Calendar'!$AI$1467)&gt;0)*(N('Dvd Calendar'!$AI$1467)&lt;=VAL_SERIAL)*1000000+33*1000+31))</f>
        <v/>
      </c>
      <c r="FJ148" s="121">
        <f>IF(N('Dvd Calendar'!$AJ$1468)=0,"",IF(('Dvd Calendar'!$AJ$1468&gt;=GRID_FROM)*('Dvd Calendar'!$AJ$1468&lt;=GRID_TO)*((('Dvd Calendar'!$AJ$1468&lt;=VAL_DATE)+(COUNTIF('Dvd Calendar'!$E$1475:$AR$1475,'Dvd Calendar'!$AJ$1468)=0))&gt;0)=0,"",'Dvd Calendar'!$AJ$1468*1000000000+ISNUMBER('Dvd Calendar'!$AJ$1471)*100000000+('Dvd Calendar'!$AJ$1473=SPECIAL_LBL)*10000000+(N('Dvd Calendar'!$AJ$1467)&gt;0)*(N('Dvd Calendar'!$AJ$1467)&lt;=VAL_SERIAL)*1000000+33*1000+32))</f>
        <v/>
      </c>
      <c r="FK148" s="121">
        <f>IF(N('Dvd Calendar'!$AK$1468)=0,"",IF(('Dvd Calendar'!$AK$1468&gt;=GRID_FROM)*('Dvd Calendar'!$AK$1468&lt;=GRID_TO)*((('Dvd Calendar'!$AK$1468&lt;=VAL_DATE)+(COUNTIF('Dvd Calendar'!$E$1475:$AR$1475,'Dvd Calendar'!$AK$1468)=0))&gt;0)=0,"",'Dvd Calendar'!$AK$1468*1000000000+ISNUMBER('Dvd Calendar'!$AK$1471)*100000000+('Dvd Calendar'!$AK$1473=SPECIAL_LBL)*10000000+(N('Dvd Calendar'!$AK$1467)&gt;0)*(N('Dvd Calendar'!$AK$1467)&lt;=VAL_SERIAL)*1000000+33*1000+33))</f>
        <v/>
      </c>
      <c r="FL148" s="121">
        <f>IF(N('Dvd Calendar'!$AL$1468)=0,"",IF(('Dvd Calendar'!$AL$1468&gt;=GRID_FROM)*('Dvd Calendar'!$AL$1468&lt;=GRID_TO)*((('Dvd Calendar'!$AL$1468&lt;=VAL_DATE)+(COUNTIF('Dvd Calendar'!$E$1475:$AR$1475,'Dvd Calendar'!$AL$1468)=0))&gt;0)=0,"",'Dvd Calendar'!$AL$1468*1000000000+ISNUMBER('Dvd Calendar'!$AL$1471)*100000000+('Dvd Calendar'!$AL$1473=SPECIAL_LBL)*10000000+(N('Dvd Calendar'!$AL$1467)&gt;0)*(N('Dvd Calendar'!$AL$1467)&lt;=VAL_SERIAL)*1000000+33*1000+34))</f>
        <v/>
      </c>
      <c r="FM148" s="121">
        <f>IF(N('Dvd Calendar'!$AM$1468)=0,"",IF(('Dvd Calendar'!$AM$1468&gt;=GRID_FROM)*('Dvd Calendar'!$AM$1468&lt;=GRID_TO)*((('Dvd Calendar'!$AM$1468&lt;=VAL_DATE)+(COUNTIF('Dvd Calendar'!$E$1475:$AR$1475,'Dvd Calendar'!$AM$1468)=0))&gt;0)=0,"",'Dvd Calendar'!$AM$1468*1000000000+ISNUMBER('Dvd Calendar'!$AM$1471)*100000000+('Dvd Calendar'!$AM$1473=SPECIAL_LBL)*10000000+(N('Dvd Calendar'!$AM$1467)&gt;0)*(N('Dvd Calendar'!$AM$1467)&lt;=VAL_SERIAL)*1000000+33*1000+35))</f>
        <v/>
      </c>
      <c r="FN148" s="121">
        <f>IF(N('Dvd Calendar'!$AN$1468)=0,"",IF(('Dvd Calendar'!$AN$1468&gt;=GRID_FROM)*('Dvd Calendar'!$AN$1468&lt;=GRID_TO)*((('Dvd Calendar'!$AN$1468&lt;=VAL_DATE)+(COUNTIF('Dvd Calendar'!$E$1475:$AR$1475,'Dvd Calendar'!$AN$1468)=0))&gt;0)=0,"",'Dvd Calendar'!$AN$1468*1000000000+ISNUMBER('Dvd Calendar'!$AN$1471)*100000000+('Dvd Calendar'!$AN$1473=SPECIAL_LBL)*10000000+(N('Dvd Calendar'!$AN$1467)&gt;0)*(N('Dvd Calendar'!$AN$1467)&lt;=VAL_SERIAL)*1000000+33*1000+36))</f>
        <v/>
      </c>
      <c r="FO148" s="121">
        <f>IF(N('Dvd Calendar'!$AO$1468)=0,"",IF(('Dvd Calendar'!$AO$1468&gt;=GRID_FROM)*('Dvd Calendar'!$AO$1468&lt;=GRID_TO)*((('Dvd Calendar'!$AO$1468&lt;=VAL_DATE)+(COUNTIF('Dvd Calendar'!$E$1475:$AR$1475,'Dvd Calendar'!$AO$1468)=0))&gt;0)=0,"",'Dvd Calendar'!$AO$1468*1000000000+ISNUMBER('Dvd Calendar'!$AO$1471)*100000000+('Dvd Calendar'!$AO$1473=SPECIAL_LBL)*10000000+(N('Dvd Calendar'!$AO$1467)&gt;0)*(N('Dvd Calendar'!$AO$1467)&lt;=VAL_SERIAL)*1000000+33*1000+37))</f>
        <v/>
      </c>
      <c r="FP148" s="121">
        <f>IF(N('Dvd Calendar'!$AP$1468)=0,"",IF(('Dvd Calendar'!$AP$1468&gt;=GRID_FROM)*('Dvd Calendar'!$AP$1468&lt;=GRID_TO)*((('Dvd Calendar'!$AP$1468&lt;=VAL_DATE)+(COUNTIF('Dvd Calendar'!$E$1475:$AR$1475,'Dvd Calendar'!$AP$1468)=0))&gt;0)=0,"",'Dvd Calendar'!$AP$1468*1000000000+ISNUMBER('Dvd Calendar'!$AP$1471)*100000000+('Dvd Calendar'!$AP$1473=SPECIAL_LBL)*10000000+(N('Dvd Calendar'!$AP$1467)&gt;0)*(N('Dvd Calendar'!$AP$1467)&lt;=VAL_SERIAL)*1000000+33*1000+38))</f>
        <v/>
      </c>
      <c r="FQ148" s="121">
        <f>IF(N('Dvd Calendar'!$AQ$1468)=0,"",IF(('Dvd Calendar'!$AQ$1468&gt;=GRID_FROM)*('Dvd Calendar'!$AQ$1468&lt;=GRID_TO)*((('Dvd Calendar'!$AQ$1468&lt;=VAL_DATE)+(COUNTIF('Dvd Calendar'!$E$1475:$AR$1475,'Dvd Calendar'!$AQ$1468)=0))&gt;0)=0,"",'Dvd Calendar'!$AQ$1468*1000000000+ISNUMBER('Dvd Calendar'!$AQ$1471)*100000000+('Dvd Calendar'!$AQ$1473=SPECIAL_LBL)*10000000+(N('Dvd Calendar'!$AQ$1467)&gt;0)*(N('Dvd Calendar'!$AQ$1467)&lt;=VAL_SERIAL)*1000000+33*1000+39))</f>
        <v/>
      </c>
      <c r="FR148" s="121">
        <f>IF(N('Dvd Calendar'!$AR$1468)=0,"",IF(('Dvd Calendar'!$AR$1468&gt;=GRID_FROM)*('Dvd Calendar'!$AR$1468&lt;=GRID_TO)*((('Dvd Calendar'!$AR$1468&lt;=VAL_DATE)+(COUNTIF('Dvd Calendar'!$E$1475:$AR$1475,'Dvd Calendar'!$AR$1468)=0))&gt;0)=0,"",'Dvd Calendar'!$AR$1468*1000000000+ISNUMBER('Dvd Calendar'!$AR$1471)*100000000+('Dvd Calendar'!$AR$1473=SPECIAL_LBL)*10000000+(N('Dvd Calendar'!$AR$1467)&gt;0)*(N('Dvd Calendar'!$AR$1467)&lt;=VAL_SERIAL)*1000000+33*1000+40))</f>
        <v/>
      </c>
      <c r="FS148" s="121">
        <f>IF(N('Dvd Calendar'!$E$1475)=0,"",IF(('Dvd Calendar'!$E$1475&gt;=GRID_FROM)*('Dvd Calendar'!$E$1475&lt;=GRID_TO)*('Dvd Calendar'!$E$1475&gt;VAL_DATE)=0,"",'Dvd Calendar'!$E$1475*1000000000+ISNUMBER('Dvd Calendar'!$E$1476)*100000000+0*10000000+(N('Dvd Calendar'!$E$1474)&gt;0)*(N('Dvd Calendar'!$E$1474)&lt;=VAL_SERIAL)*1000000+33*1000+41))</f>
        <v/>
      </c>
      <c r="FT148" s="121">
        <f>IF(N('Dvd Calendar'!$F$1475)=0,"",IF(('Dvd Calendar'!$F$1475&gt;=GRID_FROM)*('Dvd Calendar'!$F$1475&lt;=GRID_TO)*('Dvd Calendar'!$F$1475&gt;VAL_DATE)=0,"",'Dvd Calendar'!$F$1475*1000000000+ISNUMBER('Dvd Calendar'!$F$1476)*100000000+0*10000000+(N('Dvd Calendar'!$F$1474)&gt;0)*(N('Dvd Calendar'!$F$1474)&lt;=VAL_SERIAL)*1000000+33*1000+42))</f>
        <v/>
      </c>
      <c r="FU148" s="121">
        <f>IF(N('Dvd Calendar'!$G$1475)=0,"",IF(('Dvd Calendar'!$G$1475&gt;=GRID_FROM)*('Dvd Calendar'!$G$1475&lt;=GRID_TO)*('Dvd Calendar'!$G$1475&gt;VAL_DATE)=0,"",'Dvd Calendar'!$G$1475*1000000000+ISNUMBER('Dvd Calendar'!$G$1476)*100000000+0*10000000+(N('Dvd Calendar'!$G$1474)&gt;0)*(N('Dvd Calendar'!$G$1474)&lt;=VAL_SERIAL)*1000000+33*1000+43))</f>
        <v/>
      </c>
      <c r="FV148" s="121">
        <f>IF(N('Dvd Calendar'!$H$1475)=0,"",IF(('Dvd Calendar'!$H$1475&gt;=GRID_FROM)*('Dvd Calendar'!$H$1475&lt;=GRID_TO)*('Dvd Calendar'!$H$1475&gt;VAL_DATE)=0,"",'Dvd Calendar'!$H$1475*1000000000+ISNUMBER('Dvd Calendar'!$H$1476)*100000000+0*10000000+(N('Dvd Calendar'!$H$1474)&gt;0)*(N('Dvd Calendar'!$H$1474)&lt;=VAL_SERIAL)*1000000+33*1000+44))</f>
        <v/>
      </c>
      <c r="FW148" s="121">
        <f>IF(N('Dvd Calendar'!$I$1475)=0,"",IF(('Dvd Calendar'!$I$1475&gt;=GRID_FROM)*('Dvd Calendar'!$I$1475&lt;=GRID_TO)*('Dvd Calendar'!$I$1475&gt;VAL_DATE)=0,"",'Dvd Calendar'!$I$1475*1000000000+ISNUMBER('Dvd Calendar'!$I$1476)*100000000+0*10000000+(N('Dvd Calendar'!$I$1474)&gt;0)*(N('Dvd Calendar'!$I$1474)&lt;=VAL_SERIAL)*1000000+33*1000+45))</f>
        <v/>
      </c>
      <c r="FX148" s="121">
        <f>IF(N('Dvd Calendar'!$J$1475)=0,"",IF(('Dvd Calendar'!$J$1475&gt;=GRID_FROM)*('Dvd Calendar'!$J$1475&lt;=GRID_TO)*('Dvd Calendar'!$J$1475&gt;VAL_DATE)=0,"",'Dvd Calendar'!$J$1475*1000000000+ISNUMBER('Dvd Calendar'!$J$1476)*100000000+0*10000000+(N('Dvd Calendar'!$J$1474)&gt;0)*(N('Dvd Calendar'!$J$1474)&lt;=VAL_SERIAL)*1000000+33*1000+46))</f>
        <v/>
      </c>
      <c r="FY148" s="121">
        <f>IF(N('Dvd Calendar'!$K$1475)=0,"",IF(('Dvd Calendar'!$K$1475&gt;=GRID_FROM)*('Dvd Calendar'!$K$1475&lt;=GRID_TO)*('Dvd Calendar'!$K$1475&gt;VAL_DATE)=0,"",'Dvd Calendar'!$K$1475*1000000000+ISNUMBER('Dvd Calendar'!$K$1476)*100000000+0*10000000+(N('Dvd Calendar'!$K$1474)&gt;0)*(N('Dvd Calendar'!$K$1474)&lt;=VAL_SERIAL)*1000000+33*1000+47))</f>
        <v/>
      </c>
      <c r="FZ148" s="121">
        <f>IF(N('Dvd Calendar'!$L$1475)=0,"",IF(('Dvd Calendar'!$L$1475&gt;=GRID_FROM)*('Dvd Calendar'!$L$1475&lt;=GRID_TO)*('Dvd Calendar'!$L$1475&gt;VAL_DATE)=0,"",'Dvd Calendar'!$L$1475*1000000000+ISNUMBER('Dvd Calendar'!$L$1476)*100000000+0*10000000+(N('Dvd Calendar'!$L$1474)&gt;0)*(N('Dvd Calendar'!$L$1474)&lt;=VAL_SERIAL)*1000000+33*1000+48))</f>
        <v/>
      </c>
      <c r="GA148" s="121">
        <f>IF(N('Dvd Calendar'!$M$1475)=0,"",IF(('Dvd Calendar'!$M$1475&gt;=GRID_FROM)*('Dvd Calendar'!$M$1475&lt;=GRID_TO)*('Dvd Calendar'!$M$1475&gt;VAL_DATE)=0,"",'Dvd Calendar'!$M$1475*1000000000+ISNUMBER('Dvd Calendar'!$M$1476)*100000000+0*10000000+(N('Dvd Calendar'!$M$1474)&gt;0)*(N('Dvd Calendar'!$M$1474)&lt;=VAL_SERIAL)*1000000+33*1000+49))</f>
        <v/>
      </c>
      <c r="GB148" s="121">
        <f>IF(N('Dvd Calendar'!$N$1475)=0,"",IF(('Dvd Calendar'!$N$1475&gt;=GRID_FROM)*('Dvd Calendar'!$N$1475&lt;=GRID_TO)*('Dvd Calendar'!$N$1475&gt;VAL_DATE)=0,"",'Dvd Calendar'!$N$1475*1000000000+ISNUMBER('Dvd Calendar'!$N$1476)*100000000+0*10000000+(N('Dvd Calendar'!$N$1474)&gt;0)*(N('Dvd Calendar'!$N$1474)&lt;=VAL_SERIAL)*1000000+33*1000+50))</f>
        <v/>
      </c>
      <c r="GC148" s="121">
        <f>IF(N('Dvd Calendar'!$O$1475)=0,"",IF(('Dvd Calendar'!$O$1475&gt;=GRID_FROM)*('Dvd Calendar'!$O$1475&lt;=GRID_TO)*('Dvd Calendar'!$O$1475&gt;VAL_DATE)=0,"",'Dvd Calendar'!$O$1475*1000000000+ISNUMBER('Dvd Calendar'!$O$1476)*100000000+0*10000000+(N('Dvd Calendar'!$O$1474)&gt;0)*(N('Dvd Calendar'!$O$1474)&lt;=VAL_SERIAL)*1000000+33*1000+51))</f>
        <v/>
      </c>
      <c r="GD148" s="121">
        <f>IF(N('Dvd Calendar'!$P$1475)=0,"",IF(('Dvd Calendar'!$P$1475&gt;=GRID_FROM)*('Dvd Calendar'!$P$1475&lt;=GRID_TO)*('Dvd Calendar'!$P$1475&gt;VAL_DATE)=0,"",'Dvd Calendar'!$P$1475*1000000000+ISNUMBER('Dvd Calendar'!$P$1476)*100000000+0*10000000+(N('Dvd Calendar'!$P$1474)&gt;0)*(N('Dvd Calendar'!$P$1474)&lt;=VAL_SERIAL)*1000000+33*1000+52))</f>
        <v/>
      </c>
      <c r="GE148" s="121">
        <f>IF(N('Dvd Calendar'!$Q$1475)=0,"",IF(('Dvd Calendar'!$Q$1475&gt;=GRID_FROM)*('Dvd Calendar'!$Q$1475&lt;=GRID_TO)*('Dvd Calendar'!$Q$1475&gt;VAL_DATE)=0,"",'Dvd Calendar'!$Q$1475*1000000000+ISNUMBER('Dvd Calendar'!$Q$1476)*100000000+0*10000000+(N('Dvd Calendar'!$Q$1474)&gt;0)*(N('Dvd Calendar'!$Q$1474)&lt;=VAL_SERIAL)*1000000+33*1000+53))</f>
        <v/>
      </c>
      <c r="GF148" s="121">
        <f>IF(N('Dvd Calendar'!$R$1475)=0,"",IF(('Dvd Calendar'!$R$1475&gt;=GRID_FROM)*('Dvd Calendar'!$R$1475&lt;=GRID_TO)*('Dvd Calendar'!$R$1475&gt;VAL_DATE)=0,"",'Dvd Calendar'!$R$1475*1000000000+ISNUMBER('Dvd Calendar'!$R$1476)*100000000+0*10000000+(N('Dvd Calendar'!$R$1474)&gt;0)*(N('Dvd Calendar'!$R$1474)&lt;=VAL_SERIAL)*1000000+33*1000+54))</f>
        <v/>
      </c>
      <c r="GG148" s="121">
        <f>IF(N('Dvd Calendar'!$S$1475)=0,"",IF(('Dvd Calendar'!$S$1475&gt;=GRID_FROM)*('Dvd Calendar'!$S$1475&lt;=GRID_TO)*('Dvd Calendar'!$S$1475&gt;VAL_DATE)=0,"",'Dvd Calendar'!$S$1475*1000000000+ISNUMBER('Dvd Calendar'!$S$1476)*100000000+0*10000000+(N('Dvd Calendar'!$S$1474)&gt;0)*(N('Dvd Calendar'!$S$1474)&lt;=VAL_SERIAL)*1000000+33*1000+55))</f>
        <v/>
      </c>
      <c r="GH148" s="121">
        <f>IF(N('Dvd Calendar'!$T$1475)=0,"",IF(('Dvd Calendar'!$T$1475&gt;=GRID_FROM)*('Dvd Calendar'!$T$1475&lt;=GRID_TO)*('Dvd Calendar'!$T$1475&gt;VAL_DATE)=0,"",'Dvd Calendar'!$T$1475*1000000000+ISNUMBER('Dvd Calendar'!$T$1476)*100000000+0*10000000+(N('Dvd Calendar'!$T$1474)&gt;0)*(N('Dvd Calendar'!$T$1474)&lt;=VAL_SERIAL)*1000000+33*1000+56))</f>
        <v/>
      </c>
      <c r="GI148" s="121">
        <f>IF(N('Dvd Calendar'!$U$1475)=0,"",IF(('Dvd Calendar'!$U$1475&gt;=GRID_FROM)*('Dvd Calendar'!$U$1475&lt;=GRID_TO)*('Dvd Calendar'!$U$1475&gt;VAL_DATE)=0,"",'Dvd Calendar'!$U$1475*1000000000+ISNUMBER('Dvd Calendar'!$U$1476)*100000000+0*10000000+(N('Dvd Calendar'!$U$1474)&gt;0)*(N('Dvd Calendar'!$U$1474)&lt;=VAL_SERIAL)*1000000+33*1000+57))</f>
        <v/>
      </c>
      <c r="GJ148" s="121">
        <f>IF(N('Dvd Calendar'!$V$1475)=0,"",IF(('Dvd Calendar'!$V$1475&gt;=GRID_FROM)*('Dvd Calendar'!$V$1475&lt;=GRID_TO)*('Dvd Calendar'!$V$1475&gt;VAL_DATE)=0,"",'Dvd Calendar'!$V$1475*1000000000+ISNUMBER('Dvd Calendar'!$V$1476)*100000000+0*10000000+(N('Dvd Calendar'!$V$1474)&gt;0)*(N('Dvd Calendar'!$V$1474)&lt;=VAL_SERIAL)*1000000+33*1000+58))</f>
        <v/>
      </c>
      <c r="GK148" s="121">
        <f>IF(N('Dvd Calendar'!$W$1475)=0,"",IF(('Dvd Calendar'!$W$1475&gt;=GRID_FROM)*('Dvd Calendar'!$W$1475&lt;=GRID_TO)*('Dvd Calendar'!$W$1475&gt;VAL_DATE)=0,"",'Dvd Calendar'!$W$1475*1000000000+ISNUMBER('Dvd Calendar'!$W$1476)*100000000+0*10000000+(N('Dvd Calendar'!$W$1474)&gt;0)*(N('Dvd Calendar'!$W$1474)&lt;=VAL_SERIAL)*1000000+33*1000+59))</f>
        <v/>
      </c>
      <c r="GL148" s="121">
        <f>IF(N('Dvd Calendar'!$X$1475)=0,"",IF(('Dvd Calendar'!$X$1475&gt;=GRID_FROM)*('Dvd Calendar'!$X$1475&lt;=GRID_TO)*('Dvd Calendar'!$X$1475&gt;VAL_DATE)=0,"",'Dvd Calendar'!$X$1475*1000000000+ISNUMBER('Dvd Calendar'!$X$1476)*100000000+0*10000000+(N('Dvd Calendar'!$X$1474)&gt;0)*(N('Dvd Calendar'!$X$1474)&lt;=VAL_SERIAL)*1000000+33*1000+60))</f>
        <v/>
      </c>
      <c r="GM148" s="121">
        <f>IF(N('Dvd Calendar'!$Y$1475)=0,"",IF(('Dvd Calendar'!$Y$1475&gt;=GRID_FROM)*('Dvd Calendar'!$Y$1475&lt;=GRID_TO)*('Dvd Calendar'!$Y$1475&gt;VAL_DATE)=0,"",'Dvd Calendar'!$Y$1475*1000000000+ISNUMBER('Dvd Calendar'!$Y$1476)*100000000+0*10000000+(N('Dvd Calendar'!$Y$1474)&gt;0)*(N('Dvd Calendar'!$Y$1474)&lt;=VAL_SERIAL)*1000000+33*1000+61))</f>
        <v/>
      </c>
      <c r="GN148" s="121">
        <f>IF(N('Dvd Calendar'!$Z$1475)=0,"",IF(('Dvd Calendar'!$Z$1475&gt;=GRID_FROM)*('Dvd Calendar'!$Z$1475&lt;=GRID_TO)*('Dvd Calendar'!$Z$1475&gt;VAL_DATE)=0,"",'Dvd Calendar'!$Z$1475*1000000000+ISNUMBER('Dvd Calendar'!$Z$1476)*100000000+0*10000000+(N('Dvd Calendar'!$Z$1474)&gt;0)*(N('Dvd Calendar'!$Z$1474)&lt;=VAL_SERIAL)*1000000+33*1000+62))</f>
        <v/>
      </c>
      <c r="GO148" s="121">
        <f>IF(N('Dvd Calendar'!$AA$1475)=0,"",IF(('Dvd Calendar'!$AA$1475&gt;=GRID_FROM)*('Dvd Calendar'!$AA$1475&lt;=GRID_TO)*('Dvd Calendar'!$AA$1475&gt;VAL_DATE)=0,"",'Dvd Calendar'!$AA$1475*1000000000+ISNUMBER('Dvd Calendar'!$AA$1476)*100000000+0*10000000+(N('Dvd Calendar'!$AA$1474)&gt;0)*(N('Dvd Calendar'!$AA$1474)&lt;=VAL_SERIAL)*1000000+33*1000+63))</f>
        <v/>
      </c>
      <c r="GP148" s="121">
        <f>IF(N('Dvd Calendar'!$AB$1475)=0,"",IF(('Dvd Calendar'!$AB$1475&gt;=GRID_FROM)*('Dvd Calendar'!$AB$1475&lt;=GRID_TO)*('Dvd Calendar'!$AB$1475&gt;VAL_DATE)=0,"",'Dvd Calendar'!$AB$1475*1000000000+ISNUMBER('Dvd Calendar'!$AB$1476)*100000000+0*10000000+(N('Dvd Calendar'!$AB$1474)&gt;0)*(N('Dvd Calendar'!$AB$1474)&lt;=VAL_SERIAL)*1000000+33*1000+64))</f>
        <v/>
      </c>
      <c r="GQ148" s="121">
        <f>IF(N('Dvd Calendar'!$AC$1475)=0,"",IF(('Dvd Calendar'!$AC$1475&gt;=GRID_FROM)*('Dvd Calendar'!$AC$1475&lt;=GRID_TO)*('Dvd Calendar'!$AC$1475&gt;VAL_DATE)=0,"",'Dvd Calendar'!$AC$1475*1000000000+ISNUMBER('Dvd Calendar'!$AC$1476)*100000000+0*10000000+(N('Dvd Calendar'!$AC$1474)&gt;0)*(N('Dvd Calendar'!$AC$1474)&lt;=VAL_SERIAL)*1000000+33*1000+65))</f>
        <v/>
      </c>
    </row>
    <row r="149">
      <c r="B149" s="2">
        <f>IF(HSTECH!$C$40="","",HSTECH!$C$40)</f>
        <v/>
      </c>
      <c r="C149" s="161">
        <f>IF(EE149="","",IF(ISNUMBER('Dvd Calendar'!$E$1482)=FALSE,"",IF((('Dvd Calendar'!$E$1484=TYPE1)*(TYPE1&lt;&gt;"")+('Dvd Calendar'!$E$1484=TYPE2)*(TYPE2&lt;&gt;"")+('Dvd Calendar'!$E$1484=TYPE3)*(TYPE3&lt;&gt;"")+('Dvd Calendar'!$E$1484=TYPE4)*(TYPE4&lt;&gt;"")+('Dvd Calendar'!$E$1484=SPECIAL_LBL)*(INC_SPECIALS="Y"))=0,"",'Dvd Calendar'!$E$1482)))</f>
        <v/>
      </c>
      <c r="D149" s="161">
        <f>IF(EF149="","",IF(ISNUMBER('Dvd Calendar'!$F$1482)=FALSE,"",IF((('Dvd Calendar'!$F$1484=TYPE1)*(TYPE1&lt;&gt;"")+('Dvd Calendar'!$F$1484=TYPE2)*(TYPE2&lt;&gt;"")+('Dvd Calendar'!$F$1484=TYPE3)*(TYPE3&lt;&gt;"")+('Dvd Calendar'!$F$1484=TYPE4)*(TYPE4&lt;&gt;"")+('Dvd Calendar'!$F$1484=SPECIAL_LBL)*(INC_SPECIALS="Y"))=0,"",'Dvd Calendar'!$F$1482)))</f>
        <v/>
      </c>
      <c r="E149" s="161">
        <f>IF(EG149="","",IF(ISNUMBER('Dvd Calendar'!$G$1482)=FALSE,"",IF((('Dvd Calendar'!$G$1484=TYPE1)*(TYPE1&lt;&gt;"")+('Dvd Calendar'!$G$1484=TYPE2)*(TYPE2&lt;&gt;"")+('Dvd Calendar'!$G$1484=TYPE3)*(TYPE3&lt;&gt;"")+('Dvd Calendar'!$G$1484=TYPE4)*(TYPE4&lt;&gt;"")+('Dvd Calendar'!$G$1484=SPECIAL_LBL)*(INC_SPECIALS="Y"))=0,"",'Dvd Calendar'!$G$1482)))</f>
        <v/>
      </c>
      <c r="F149" s="161">
        <f>IF(EH149="","",IF(ISNUMBER('Dvd Calendar'!$H$1482)=FALSE,"",IF((('Dvd Calendar'!$H$1484=TYPE1)*(TYPE1&lt;&gt;"")+('Dvd Calendar'!$H$1484=TYPE2)*(TYPE2&lt;&gt;"")+('Dvd Calendar'!$H$1484=TYPE3)*(TYPE3&lt;&gt;"")+('Dvd Calendar'!$H$1484=TYPE4)*(TYPE4&lt;&gt;"")+('Dvd Calendar'!$H$1484=SPECIAL_LBL)*(INC_SPECIALS="Y"))=0,"",'Dvd Calendar'!$H$1482)))</f>
        <v/>
      </c>
      <c r="G149" s="161">
        <f>IF(EI149="","",IF(ISNUMBER('Dvd Calendar'!$I$1482)=FALSE,"",IF((('Dvd Calendar'!$I$1484=TYPE1)*(TYPE1&lt;&gt;"")+('Dvd Calendar'!$I$1484=TYPE2)*(TYPE2&lt;&gt;"")+('Dvd Calendar'!$I$1484=TYPE3)*(TYPE3&lt;&gt;"")+('Dvd Calendar'!$I$1484=TYPE4)*(TYPE4&lt;&gt;"")+('Dvd Calendar'!$I$1484=SPECIAL_LBL)*(INC_SPECIALS="Y"))=0,"",'Dvd Calendar'!$I$1482)))</f>
        <v/>
      </c>
      <c r="H149" s="161">
        <f>IF(EJ149="","",IF(ISNUMBER('Dvd Calendar'!$J$1482)=FALSE,"",IF((('Dvd Calendar'!$J$1484=TYPE1)*(TYPE1&lt;&gt;"")+('Dvd Calendar'!$J$1484=TYPE2)*(TYPE2&lt;&gt;"")+('Dvd Calendar'!$J$1484=TYPE3)*(TYPE3&lt;&gt;"")+('Dvd Calendar'!$J$1484=TYPE4)*(TYPE4&lt;&gt;"")+('Dvd Calendar'!$J$1484=SPECIAL_LBL)*(INC_SPECIALS="Y"))=0,"",'Dvd Calendar'!$J$1482)))</f>
        <v/>
      </c>
      <c r="I149" s="161">
        <f>IF(EK149="","",IF(ISNUMBER('Dvd Calendar'!$K$1482)=FALSE,"",IF((('Dvd Calendar'!$K$1484=TYPE1)*(TYPE1&lt;&gt;"")+('Dvd Calendar'!$K$1484=TYPE2)*(TYPE2&lt;&gt;"")+('Dvd Calendar'!$K$1484=TYPE3)*(TYPE3&lt;&gt;"")+('Dvd Calendar'!$K$1484=TYPE4)*(TYPE4&lt;&gt;"")+('Dvd Calendar'!$K$1484=SPECIAL_LBL)*(INC_SPECIALS="Y"))=0,"",'Dvd Calendar'!$K$1482)))</f>
        <v/>
      </c>
      <c r="J149" s="161">
        <f>IF(EL149="","",IF(ISNUMBER('Dvd Calendar'!$L$1482)=FALSE,"",IF((('Dvd Calendar'!$L$1484=TYPE1)*(TYPE1&lt;&gt;"")+('Dvd Calendar'!$L$1484=TYPE2)*(TYPE2&lt;&gt;"")+('Dvd Calendar'!$L$1484=TYPE3)*(TYPE3&lt;&gt;"")+('Dvd Calendar'!$L$1484=TYPE4)*(TYPE4&lt;&gt;"")+('Dvd Calendar'!$L$1484=SPECIAL_LBL)*(INC_SPECIALS="Y"))=0,"",'Dvd Calendar'!$L$1482)))</f>
        <v/>
      </c>
      <c r="K149" s="161">
        <f>IF(EM149="","",IF(ISNUMBER('Dvd Calendar'!$M$1482)=FALSE,"",IF((('Dvd Calendar'!$M$1484=TYPE1)*(TYPE1&lt;&gt;"")+('Dvd Calendar'!$M$1484=TYPE2)*(TYPE2&lt;&gt;"")+('Dvd Calendar'!$M$1484=TYPE3)*(TYPE3&lt;&gt;"")+('Dvd Calendar'!$M$1484=TYPE4)*(TYPE4&lt;&gt;"")+('Dvd Calendar'!$M$1484=SPECIAL_LBL)*(INC_SPECIALS="Y"))=0,"",'Dvd Calendar'!$M$1482)))</f>
        <v/>
      </c>
      <c r="L149" s="161">
        <f>IF(EN149="","",IF(ISNUMBER('Dvd Calendar'!$N$1482)=FALSE,"",IF((('Dvd Calendar'!$N$1484=TYPE1)*(TYPE1&lt;&gt;"")+('Dvd Calendar'!$N$1484=TYPE2)*(TYPE2&lt;&gt;"")+('Dvd Calendar'!$N$1484=TYPE3)*(TYPE3&lt;&gt;"")+('Dvd Calendar'!$N$1484=TYPE4)*(TYPE4&lt;&gt;"")+('Dvd Calendar'!$N$1484=SPECIAL_LBL)*(INC_SPECIALS="Y"))=0,"",'Dvd Calendar'!$N$1482)))</f>
        <v/>
      </c>
      <c r="M149" s="161">
        <f>IF(EO149="","",IF(ISNUMBER('Dvd Calendar'!$O$1482)=FALSE,"",IF((('Dvd Calendar'!$O$1484=TYPE1)*(TYPE1&lt;&gt;"")+('Dvd Calendar'!$O$1484=TYPE2)*(TYPE2&lt;&gt;"")+('Dvd Calendar'!$O$1484=TYPE3)*(TYPE3&lt;&gt;"")+('Dvd Calendar'!$O$1484=TYPE4)*(TYPE4&lt;&gt;"")+('Dvd Calendar'!$O$1484=SPECIAL_LBL)*(INC_SPECIALS="Y"))=0,"",'Dvd Calendar'!$O$1482)))</f>
        <v/>
      </c>
      <c r="N149" s="161">
        <f>IF(EP149="","",IF(ISNUMBER('Dvd Calendar'!$P$1482)=FALSE,"",IF((('Dvd Calendar'!$P$1484=TYPE1)*(TYPE1&lt;&gt;"")+('Dvd Calendar'!$P$1484=TYPE2)*(TYPE2&lt;&gt;"")+('Dvd Calendar'!$P$1484=TYPE3)*(TYPE3&lt;&gt;"")+('Dvd Calendar'!$P$1484=TYPE4)*(TYPE4&lt;&gt;"")+('Dvd Calendar'!$P$1484=SPECIAL_LBL)*(INC_SPECIALS="Y"))=0,"",'Dvd Calendar'!$P$1482)))</f>
        <v/>
      </c>
      <c r="O149" s="161">
        <f>IF(EQ149="","",IF(ISNUMBER('Dvd Calendar'!$Q$1482)=FALSE,"",IF((('Dvd Calendar'!$Q$1484=TYPE1)*(TYPE1&lt;&gt;"")+('Dvd Calendar'!$Q$1484=TYPE2)*(TYPE2&lt;&gt;"")+('Dvd Calendar'!$Q$1484=TYPE3)*(TYPE3&lt;&gt;"")+('Dvd Calendar'!$Q$1484=TYPE4)*(TYPE4&lt;&gt;"")+('Dvd Calendar'!$Q$1484=SPECIAL_LBL)*(INC_SPECIALS="Y"))=0,"",'Dvd Calendar'!$Q$1482)))</f>
        <v/>
      </c>
      <c r="P149" s="161">
        <f>IF(ER149="","",IF(ISNUMBER('Dvd Calendar'!$R$1482)=FALSE,"",IF((('Dvd Calendar'!$R$1484=TYPE1)*(TYPE1&lt;&gt;"")+('Dvd Calendar'!$R$1484=TYPE2)*(TYPE2&lt;&gt;"")+('Dvd Calendar'!$R$1484=TYPE3)*(TYPE3&lt;&gt;"")+('Dvd Calendar'!$R$1484=TYPE4)*(TYPE4&lt;&gt;"")+('Dvd Calendar'!$R$1484=SPECIAL_LBL)*(INC_SPECIALS="Y"))=0,"",'Dvd Calendar'!$R$1482)))</f>
        <v/>
      </c>
      <c r="Q149" s="161">
        <f>IF(ES149="","",IF(ISNUMBER('Dvd Calendar'!$S$1482)=FALSE,"",IF((('Dvd Calendar'!$S$1484=TYPE1)*(TYPE1&lt;&gt;"")+('Dvd Calendar'!$S$1484=TYPE2)*(TYPE2&lt;&gt;"")+('Dvd Calendar'!$S$1484=TYPE3)*(TYPE3&lt;&gt;"")+('Dvd Calendar'!$S$1484=TYPE4)*(TYPE4&lt;&gt;"")+('Dvd Calendar'!$S$1484=SPECIAL_LBL)*(INC_SPECIALS="Y"))=0,"",'Dvd Calendar'!$S$1482)))</f>
        <v/>
      </c>
      <c r="R149" s="161">
        <f>IF(ET149="","",IF(ISNUMBER('Dvd Calendar'!$T$1482)=FALSE,"",IF((('Dvd Calendar'!$T$1484=TYPE1)*(TYPE1&lt;&gt;"")+('Dvd Calendar'!$T$1484=TYPE2)*(TYPE2&lt;&gt;"")+('Dvd Calendar'!$T$1484=TYPE3)*(TYPE3&lt;&gt;"")+('Dvd Calendar'!$T$1484=TYPE4)*(TYPE4&lt;&gt;"")+('Dvd Calendar'!$T$1484=SPECIAL_LBL)*(INC_SPECIALS="Y"))=0,"",'Dvd Calendar'!$T$1482)))</f>
        <v/>
      </c>
      <c r="S149" s="161">
        <f>IF(EU149="","",IF(ISNUMBER('Dvd Calendar'!$U$1482)=FALSE,"",IF((('Dvd Calendar'!$U$1484=TYPE1)*(TYPE1&lt;&gt;"")+('Dvd Calendar'!$U$1484=TYPE2)*(TYPE2&lt;&gt;"")+('Dvd Calendar'!$U$1484=TYPE3)*(TYPE3&lt;&gt;"")+('Dvd Calendar'!$U$1484=TYPE4)*(TYPE4&lt;&gt;"")+('Dvd Calendar'!$U$1484=SPECIAL_LBL)*(INC_SPECIALS="Y"))=0,"",'Dvd Calendar'!$U$1482)))</f>
        <v/>
      </c>
      <c r="T149" s="161">
        <f>IF(EV149="","",IF(ISNUMBER('Dvd Calendar'!$V$1482)=FALSE,"",IF((('Dvd Calendar'!$V$1484=TYPE1)*(TYPE1&lt;&gt;"")+('Dvd Calendar'!$V$1484=TYPE2)*(TYPE2&lt;&gt;"")+('Dvd Calendar'!$V$1484=TYPE3)*(TYPE3&lt;&gt;"")+('Dvd Calendar'!$V$1484=TYPE4)*(TYPE4&lt;&gt;"")+('Dvd Calendar'!$V$1484=SPECIAL_LBL)*(INC_SPECIALS="Y"))=0,"",'Dvd Calendar'!$V$1482)))</f>
        <v/>
      </c>
      <c r="U149" s="161">
        <f>IF(EW149="","",IF(ISNUMBER('Dvd Calendar'!$W$1482)=FALSE,"",IF((('Dvd Calendar'!$W$1484=TYPE1)*(TYPE1&lt;&gt;"")+('Dvd Calendar'!$W$1484=TYPE2)*(TYPE2&lt;&gt;"")+('Dvd Calendar'!$W$1484=TYPE3)*(TYPE3&lt;&gt;"")+('Dvd Calendar'!$W$1484=TYPE4)*(TYPE4&lt;&gt;"")+('Dvd Calendar'!$W$1484=SPECIAL_LBL)*(INC_SPECIALS="Y"))=0,"",'Dvd Calendar'!$W$1482)))</f>
        <v/>
      </c>
      <c r="V149" s="161">
        <f>IF(EX149="","",IF(ISNUMBER('Dvd Calendar'!$X$1482)=FALSE,"",IF((('Dvd Calendar'!$X$1484=TYPE1)*(TYPE1&lt;&gt;"")+('Dvd Calendar'!$X$1484=TYPE2)*(TYPE2&lt;&gt;"")+('Dvd Calendar'!$X$1484=TYPE3)*(TYPE3&lt;&gt;"")+('Dvd Calendar'!$X$1484=TYPE4)*(TYPE4&lt;&gt;"")+('Dvd Calendar'!$X$1484=SPECIAL_LBL)*(INC_SPECIALS="Y"))=0,"",'Dvd Calendar'!$X$1482)))</f>
        <v/>
      </c>
      <c r="W149" s="161">
        <f>IF(EY149="","",IF(ISNUMBER('Dvd Calendar'!$Y$1482)=FALSE,"",IF((('Dvd Calendar'!$Y$1484=TYPE1)*(TYPE1&lt;&gt;"")+('Dvd Calendar'!$Y$1484=TYPE2)*(TYPE2&lt;&gt;"")+('Dvd Calendar'!$Y$1484=TYPE3)*(TYPE3&lt;&gt;"")+('Dvd Calendar'!$Y$1484=TYPE4)*(TYPE4&lt;&gt;"")+('Dvd Calendar'!$Y$1484=SPECIAL_LBL)*(INC_SPECIALS="Y"))=0,"",'Dvd Calendar'!$Y$1482)))</f>
        <v/>
      </c>
      <c r="X149" s="161">
        <f>IF(EZ149="","",IF(ISNUMBER('Dvd Calendar'!$Z$1482)=FALSE,"",IF((('Dvd Calendar'!$Z$1484=TYPE1)*(TYPE1&lt;&gt;"")+('Dvd Calendar'!$Z$1484=TYPE2)*(TYPE2&lt;&gt;"")+('Dvd Calendar'!$Z$1484=TYPE3)*(TYPE3&lt;&gt;"")+('Dvd Calendar'!$Z$1484=TYPE4)*(TYPE4&lt;&gt;"")+('Dvd Calendar'!$Z$1484=SPECIAL_LBL)*(INC_SPECIALS="Y"))=0,"",'Dvd Calendar'!$Z$1482)))</f>
        <v/>
      </c>
      <c r="Y149" s="161">
        <f>IF(FA149="","",IF(ISNUMBER('Dvd Calendar'!$AA$1482)=FALSE,"",IF((('Dvd Calendar'!$AA$1484=TYPE1)*(TYPE1&lt;&gt;"")+('Dvd Calendar'!$AA$1484=TYPE2)*(TYPE2&lt;&gt;"")+('Dvd Calendar'!$AA$1484=TYPE3)*(TYPE3&lt;&gt;"")+('Dvd Calendar'!$AA$1484=TYPE4)*(TYPE4&lt;&gt;"")+('Dvd Calendar'!$AA$1484=SPECIAL_LBL)*(INC_SPECIALS="Y"))=0,"",'Dvd Calendar'!$AA$1482)))</f>
        <v/>
      </c>
      <c r="Z149" s="161">
        <f>IF(FB149="","",IF(ISNUMBER('Dvd Calendar'!$AB$1482)=FALSE,"",IF((('Dvd Calendar'!$AB$1484=TYPE1)*(TYPE1&lt;&gt;"")+('Dvd Calendar'!$AB$1484=TYPE2)*(TYPE2&lt;&gt;"")+('Dvd Calendar'!$AB$1484=TYPE3)*(TYPE3&lt;&gt;"")+('Dvd Calendar'!$AB$1484=TYPE4)*(TYPE4&lt;&gt;"")+('Dvd Calendar'!$AB$1484=SPECIAL_LBL)*(INC_SPECIALS="Y"))=0,"",'Dvd Calendar'!$AB$1482)))</f>
        <v/>
      </c>
      <c r="AA149" s="161">
        <f>IF(FC149="","",IF(ISNUMBER('Dvd Calendar'!$AC$1482)=FALSE,"",IF((('Dvd Calendar'!$AC$1484=TYPE1)*(TYPE1&lt;&gt;"")+('Dvd Calendar'!$AC$1484=TYPE2)*(TYPE2&lt;&gt;"")+('Dvd Calendar'!$AC$1484=TYPE3)*(TYPE3&lt;&gt;"")+('Dvd Calendar'!$AC$1484=TYPE4)*(TYPE4&lt;&gt;"")+('Dvd Calendar'!$AC$1484=SPECIAL_LBL)*(INC_SPECIALS="Y"))=0,"",'Dvd Calendar'!$AC$1482)))</f>
        <v/>
      </c>
      <c r="AB149" s="161">
        <f>IF(FD149="","",IF(ISNUMBER('Dvd Calendar'!$AD$1482)=FALSE,"",IF((('Dvd Calendar'!$AD$1484=TYPE1)*(TYPE1&lt;&gt;"")+('Dvd Calendar'!$AD$1484=TYPE2)*(TYPE2&lt;&gt;"")+('Dvd Calendar'!$AD$1484=TYPE3)*(TYPE3&lt;&gt;"")+('Dvd Calendar'!$AD$1484=TYPE4)*(TYPE4&lt;&gt;"")+('Dvd Calendar'!$AD$1484=SPECIAL_LBL)*(INC_SPECIALS="Y"))=0,"",'Dvd Calendar'!$AD$1482)))</f>
        <v/>
      </c>
      <c r="AC149" s="161">
        <f>IF(FE149="","",IF(ISNUMBER('Dvd Calendar'!$AE$1482)=FALSE,"",IF((('Dvd Calendar'!$AE$1484=TYPE1)*(TYPE1&lt;&gt;"")+('Dvd Calendar'!$AE$1484=TYPE2)*(TYPE2&lt;&gt;"")+('Dvd Calendar'!$AE$1484=TYPE3)*(TYPE3&lt;&gt;"")+('Dvd Calendar'!$AE$1484=TYPE4)*(TYPE4&lt;&gt;"")+('Dvd Calendar'!$AE$1484=SPECIAL_LBL)*(INC_SPECIALS="Y"))=0,"",'Dvd Calendar'!$AE$1482)))</f>
        <v/>
      </c>
      <c r="AD149" s="161">
        <f>IF(FF149="","",IF(ISNUMBER('Dvd Calendar'!$AF$1482)=FALSE,"",IF((('Dvd Calendar'!$AF$1484=TYPE1)*(TYPE1&lt;&gt;"")+('Dvd Calendar'!$AF$1484=TYPE2)*(TYPE2&lt;&gt;"")+('Dvd Calendar'!$AF$1484=TYPE3)*(TYPE3&lt;&gt;"")+('Dvd Calendar'!$AF$1484=TYPE4)*(TYPE4&lt;&gt;"")+('Dvd Calendar'!$AF$1484=SPECIAL_LBL)*(INC_SPECIALS="Y"))=0,"",'Dvd Calendar'!$AF$1482)))</f>
        <v/>
      </c>
      <c r="AE149" s="161">
        <f>IF(FG149="","",IF(ISNUMBER('Dvd Calendar'!$AG$1482)=FALSE,"",IF((('Dvd Calendar'!$AG$1484=TYPE1)*(TYPE1&lt;&gt;"")+('Dvd Calendar'!$AG$1484=TYPE2)*(TYPE2&lt;&gt;"")+('Dvd Calendar'!$AG$1484=TYPE3)*(TYPE3&lt;&gt;"")+('Dvd Calendar'!$AG$1484=TYPE4)*(TYPE4&lt;&gt;"")+('Dvd Calendar'!$AG$1484=SPECIAL_LBL)*(INC_SPECIALS="Y"))=0,"",'Dvd Calendar'!$AG$1482)))</f>
        <v/>
      </c>
      <c r="AF149" s="161">
        <f>IF(FH149="","",IF(ISNUMBER('Dvd Calendar'!$AH$1482)=FALSE,"",IF((('Dvd Calendar'!$AH$1484=TYPE1)*(TYPE1&lt;&gt;"")+('Dvd Calendar'!$AH$1484=TYPE2)*(TYPE2&lt;&gt;"")+('Dvd Calendar'!$AH$1484=TYPE3)*(TYPE3&lt;&gt;"")+('Dvd Calendar'!$AH$1484=TYPE4)*(TYPE4&lt;&gt;"")+('Dvd Calendar'!$AH$1484=SPECIAL_LBL)*(INC_SPECIALS="Y"))=0,"",'Dvd Calendar'!$AH$1482)))</f>
        <v/>
      </c>
      <c r="AG149" s="161">
        <f>IF(FI149="","",IF(ISNUMBER('Dvd Calendar'!$AI$1482)=FALSE,"",IF((('Dvd Calendar'!$AI$1484=TYPE1)*(TYPE1&lt;&gt;"")+('Dvd Calendar'!$AI$1484=TYPE2)*(TYPE2&lt;&gt;"")+('Dvd Calendar'!$AI$1484=TYPE3)*(TYPE3&lt;&gt;"")+('Dvd Calendar'!$AI$1484=TYPE4)*(TYPE4&lt;&gt;"")+('Dvd Calendar'!$AI$1484=SPECIAL_LBL)*(INC_SPECIALS="Y"))=0,"",'Dvd Calendar'!$AI$1482)))</f>
        <v/>
      </c>
      <c r="AH149" s="161">
        <f>IF(FJ149="","",IF(ISNUMBER('Dvd Calendar'!$AJ$1482)=FALSE,"",IF((('Dvd Calendar'!$AJ$1484=TYPE1)*(TYPE1&lt;&gt;"")+('Dvd Calendar'!$AJ$1484=TYPE2)*(TYPE2&lt;&gt;"")+('Dvd Calendar'!$AJ$1484=TYPE3)*(TYPE3&lt;&gt;"")+('Dvd Calendar'!$AJ$1484=TYPE4)*(TYPE4&lt;&gt;"")+('Dvd Calendar'!$AJ$1484=SPECIAL_LBL)*(INC_SPECIALS="Y"))=0,"",'Dvd Calendar'!$AJ$1482)))</f>
        <v/>
      </c>
      <c r="AI149" s="161">
        <f>IF(FK149="","",IF(ISNUMBER('Dvd Calendar'!$AK$1482)=FALSE,"",IF((('Dvd Calendar'!$AK$1484=TYPE1)*(TYPE1&lt;&gt;"")+('Dvd Calendar'!$AK$1484=TYPE2)*(TYPE2&lt;&gt;"")+('Dvd Calendar'!$AK$1484=TYPE3)*(TYPE3&lt;&gt;"")+('Dvd Calendar'!$AK$1484=TYPE4)*(TYPE4&lt;&gt;"")+('Dvd Calendar'!$AK$1484=SPECIAL_LBL)*(INC_SPECIALS="Y"))=0,"",'Dvd Calendar'!$AK$1482)))</f>
        <v/>
      </c>
      <c r="AJ149" s="161">
        <f>IF(FL149="","",IF(ISNUMBER('Dvd Calendar'!$AL$1482)=FALSE,"",IF((('Dvd Calendar'!$AL$1484=TYPE1)*(TYPE1&lt;&gt;"")+('Dvd Calendar'!$AL$1484=TYPE2)*(TYPE2&lt;&gt;"")+('Dvd Calendar'!$AL$1484=TYPE3)*(TYPE3&lt;&gt;"")+('Dvd Calendar'!$AL$1484=TYPE4)*(TYPE4&lt;&gt;"")+('Dvd Calendar'!$AL$1484=SPECIAL_LBL)*(INC_SPECIALS="Y"))=0,"",'Dvd Calendar'!$AL$1482)))</f>
        <v/>
      </c>
      <c r="AK149" s="161">
        <f>IF(FM149="","",IF(ISNUMBER('Dvd Calendar'!$AM$1482)=FALSE,"",IF((('Dvd Calendar'!$AM$1484=TYPE1)*(TYPE1&lt;&gt;"")+('Dvd Calendar'!$AM$1484=TYPE2)*(TYPE2&lt;&gt;"")+('Dvd Calendar'!$AM$1484=TYPE3)*(TYPE3&lt;&gt;"")+('Dvd Calendar'!$AM$1484=TYPE4)*(TYPE4&lt;&gt;"")+('Dvd Calendar'!$AM$1484=SPECIAL_LBL)*(INC_SPECIALS="Y"))=0,"",'Dvd Calendar'!$AM$1482)))</f>
        <v/>
      </c>
      <c r="AL149" s="161">
        <f>IF(FN149="","",IF(ISNUMBER('Dvd Calendar'!$AN$1482)=FALSE,"",IF((('Dvd Calendar'!$AN$1484=TYPE1)*(TYPE1&lt;&gt;"")+('Dvd Calendar'!$AN$1484=TYPE2)*(TYPE2&lt;&gt;"")+('Dvd Calendar'!$AN$1484=TYPE3)*(TYPE3&lt;&gt;"")+('Dvd Calendar'!$AN$1484=TYPE4)*(TYPE4&lt;&gt;"")+('Dvd Calendar'!$AN$1484=SPECIAL_LBL)*(INC_SPECIALS="Y"))=0,"",'Dvd Calendar'!$AN$1482)))</f>
        <v/>
      </c>
      <c r="AM149" s="161">
        <f>IF(FO149="","",IF(ISNUMBER('Dvd Calendar'!$AO$1482)=FALSE,"",IF((('Dvd Calendar'!$AO$1484=TYPE1)*(TYPE1&lt;&gt;"")+('Dvd Calendar'!$AO$1484=TYPE2)*(TYPE2&lt;&gt;"")+('Dvd Calendar'!$AO$1484=TYPE3)*(TYPE3&lt;&gt;"")+('Dvd Calendar'!$AO$1484=TYPE4)*(TYPE4&lt;&gt;"")+('Dvd Calendar'!$AO$1484=SPECIAL_LBL)*(INC_SPECIALS="Y"))=0,"",'Dvd Calendar'!$AO$1482)))</f>
        <v/>
      </c>
      <c r="AN149" s="161">
        <f>IF(FP149="","",IF(ISNUMBER('Dvd Calendar'!$AP$1482)=FALSE,"",IF((('Dvd Calendar'!$AP$1484=TYPE1)*(TYPE1&lt;&gt;"")+('Dvd Calendar'!$AP$1484=TYPE2)*(TYPE2&lt;&gt;"")+('Dvd Calendar'!$AP$1484=TYPE3)*(TYPE3&lt;&gt;"")+('Dvd Calendar'!$AP$1484=TYPE4)*(TYPE4&lt;&gt;"")+('Dvd Calendar'!$AP$1484=SPECIAL_LBL)*(INC_SPECIALS="Y"))=0,"",'Dvd Calendar'!$AP$1482)))</f>
        <v/>
      </c>
      <c r="AO149" s="161">
        <f>IF(FQ149="","",IF(ISNUMBER('Dvd Calendar'!$AQ$1482)=FALSE,"",IF((('Dvd Calendar'!$AQ$1484=TYPE1)*(TYPE1&lt;&gt;"")+('Dvd Calendar'!$AQ$1484=TYPE2)*(TYPE2&lt;&gt;"")+('Dvd Calendar'!$AQ$1484=TYPE3)*(TYPE3&lt;&gt;"")+('Dvd Calendar'!$AQ$1484=TYPE4)*(TYPE4&lt;&gt;"")+('Dvd Calendar'!$AQ$1484=SPECIAL_LBL)*(INC_SPECIALS="Y"))=0,"",'Dvd Calendar'!$AQ$1482)))</f>
        <v/>
      </c>
      <c r="AP149" s="161">
        <f>IF(FR149="","",IF(ISNUMBER('Dvd Calendar'!$AR$1482)=FALSE,"",IF((('Dvd Calendar'!$AR$1484=TYPE1)*(TYPE1&lt;&gt;"")+('Dvd Calendar'!$AR$1484=TYPE2)*(TYPE2&lt;&gt;"")+('Dvd Calendar'!$AR$1484=TYPE3)*(TYPE3&lt;&gt;"")+('Dvd Calendar'!$AR$1484=TYPE4)*(TYPE4&lt;&gt;"")+('Dvd Calendar'!$AR$1484=SPECIAL_LBL)*(INC_SPECIALS="Y"))=0,"",'Dvd Calendar'!$AR$1482)))</f>
        <v/>
      </c>
      <c r="AQ149" s="161">
        <f>IF(FS149="","",IF(ISNUMBER('Dvd Calendar'!$E$1487)=FALSE,"",'Dvd Calendar'!$E$1487))</f>
        <v/>
      </c>
      <c r="AR149" s="161">
        <f>IF(FT149="","",IF(ISNUMBER('Dvd Calendar'!$F$1487)=FALSE,"",'Dvd Calendar'!$F$1487))</f>
        <v/>
      </c>
      <c r="AS149" s="161">
        <f>IF(FU149="","",IF(ISNUMBER('Dvd Calendar'!$G$1487)=FALSE,"",'Dvd Calendar'!$G$1487))</f>
        <v/>
      </c>
      <c r="AT149" s="161">
        <f>IF(FV149="","",IF(ISNUMBER('Dvd Calendar'!$H$1487)=FALSE,"",'Dvd Calendar'!$H$1487))</f>
        <v/>
      </c>
      <c r="AU149" s="161">
        <f>IF(FW149="","",IF(ISNUMBER('Dvd Calendar'!$I$1487)=FALSE,"",'Dvd Calendar'!$I$1487))</f>
        <v/>
      </c>
      <c r="AV149" s="161">
        <f>IF(FX149="","",IF(ISNUMBER('Dvd Calendar'!$J$1487)=FALSE,"",'Dvd Calendar'!$J$1487))</f>
        <v/>
      </c>
      <c r="AW149" s="161">
        <f>IF(FY149="","",IF(ISNUMBER('Dvd Calendar'!$K$1487)=FALSE,"",'Dvd Calendar'!$K$1487))</f>
        <v/>
      </c>
      <c r="AX149" s="161">
        <f>IF(FZ149="","",IF(ISNUMBER('Dvd Calendar'!$L$1487)=FALSE,"",'Dvd Calendar'!$L$1487))</f>
        <v/>
      </c>
      <c r="AY149" s="161">
        <f>IF(GA149="","",IF(ISNUMBER('Dvd Calendar'!$M$1487)=FALSE,"",'Dvd Calendar'!$M$1487))</f>
        <v/>
      </c>
      <c r="AZ149" s="161">
        <f>IF(GB149="","",IF(ISNUMBER('Dvd Calendar'!$N$1487)=FALSE,"",'Dvd Calendar'!$N$1487))</f>
        <v/>
      </c>
      <c r="BA149" s="161">
        <f>IF(GC149="","",IF(ISNUMBER('Dvd Calendar'!$O$1487)=FALSE,"",'Dvd Calendar'!$O$1487))</f>
        <v/>
      </c>
      <c r="BB149" s="161">
        <f>IF(GD149="","",IF(ISNUMBER('Dvd Calendar'!$P$1487)=FALSE,"",'Dvd Calendar'!$P$1487))</f>
        <v/>
      </c>
      <c r="BC149" s="161">
        <f>IF(GE149="","",IF(ISNUMBER('Dvd Calendar'!$Q$1487)=FALSE,"",'Dvd Calendar'!$Q$1487))</f>
        <v/>
      </c>
      <c r="BD149" s="161">
        <f>IF(GF149="","",IF(ISNUMBER('Dvd Calendar'!$R$1487)=FALSE,"",'Dvd Calendar'!$R$1487))</f>
        <v/>
      </c>
      <c r="BE149" s="161">
        <f>IF(GG149="","",IF(ISNUMBER('Dvd Calendar'!$S$1487)=FALSE,"",'Dvd Calendar'!$S$1487))</f>
        <v/>
      </c>
      <c r="BF149" s="161">
        <f>IF(GH149="","",IF(ISNUMBER('Dvd Calendar'!$T$1487)=FALSE,"",'Dvd Calendar'!$T$1487))</f>
        <v/>
      </c>
      <c r="BG149" s="161">
        <f>IF(GI149="","",IF(ISNUMBER('Dvd Calendar'!$U$1487)=FALSE,"",'Dvd Calendar'!$U$1487))</f>
        <v/>
      </c>
      <c r="BH149" s="161">
        <f>IF(GJ149="","",IF(ISNUMBER('Dvd Calendar'!$V$1487)=FALSE,"",'Dvd Calendar'!$V$1487))</f>
        <v/>
      </c>
      <c r="BI149" s="161">
        <f>IF(GK149="","",IF(ISNUMBER('Dvd Calendar'!$W$1487)=FALSE,"",'Dvd Calendar'!$W$1487))</f>
        <v/>
      </c>
      <c r="BJ149" s="161">
        <f>IF(GL149="","",IF(ISNUMBER('Dvd Calendar'!$X$1487)=FALSE,"",'Dvd Calendar'!$X$1487))</f>
        <v/>
      </c>
      <c r="BK149" s="161">
        <f>IF(GM149="","",IF(ISNUMBER('Dvd Calendar'!$Y$1487)=FALSE,"",'Dvd Calendar'!$Y$1487))</f>
        <v/>
      </c>
      <c r="BL149" s="161">
        <f>IF(GN149="","",IF(ISNUMBER('Dvd Calendar'!$Z$1487)=FALSE,"",'Dvd Calendar'!$Z$1487))</f>
        <v/>
      </c>
      <c r="BM149" s="161">
        <f>IF(GO149="","",IF(ISNUMBER('Dvd Calendar'!$AA$1487)=FALSE,"",'Dvd Calendar'!$AA$1487))</f>
        <v/>
      </c>
      <c r="BN149" s="161">
        <f>IF(GP149="","",IF(ISNUMBER('Dvd Calendar'!$AB$1487)=FALSE,"",'Dvd Calendar'!$AB$1487))</f>
        <v/>
      </c>
      <c r="BO149" s="161">
        <f>IF(GQ149="","",IF(ISNUMBER('Dvd Calendar'!$AC$1487)=FALSE,"",'Dvd Calendar'!$AC$1487))</f>
        <v/>
      </c>
      <c r="BQ149" s="161">
        <f>IF(C149="","",IFERROR(C149*HSTECH!$B$40*HSTECH!$G$40/HSTECH!$B$3,""))</f>
        <v/>
      </c>
      <c r="BR149" s="161">
        <f>IF(D149="","",IFERROR(D149*HSTECH!$B$40*HSTECH!$G$40/HSTECH!$B$3,""))</f>
        <v/>
      </c>
      <c r="BS149" s="161">
        <f>IF(E149="","",IFERROR(E149*HSTECH!$B$40*HSTECH!$G$40/HSTECH!$B$3,""))</f>
        <v/>
      </c>
      <c r="BT149" s="161">
        <f>IF(F149="","",IFERROR(F149*HSTECH!$B$40*HSTECH!$G$40/HSTECH!$B$3,""))</f>
        <v/>
      </c>
      <c r="BU149" s="161">
        <f>IF(G149="","",IFERROR(G149*HSTECH!$B$40*HSTECH!$G$40/HSTECH!$B$3,""))</f>
        <v/>
      </c>
      <c r="BV149" s="161">
        <f>IF(H149="","",IFERROR(H149*HSTECH!$B$40*HSTECH!$G$40/HSTECH!$B$3,""))</f>
        <v/>
      </c>
      <c r="BW149" s="161">
        <f>IF(I149="","",IFERROR(I149*HSTECH!$B$40*HSTECH!$G$40/HSTECH!$B$3,""))</f>
        <v/>
      </c>
      <c r="BX149" s="161">
        <f>IF(J149="","",IFERROR(J149*HSTECH!$B$40*HSTECH!$G$40/HSTECH!$B$3,""))</f>
        <v/>
      </c>
      <c r="BY149" s="161">
        <f>IF(K149="","",IFERROR(K149*HSTECH!$B$40*HSTECH!$G$40/HSTECH!$B$3,""))</f>
        <v/>
      </c>
      <c r="BZ149" s="161">
        <f>IF(L149="","",IFERROR(L149*HSTECH!$B$40*HSTECH!$G$40/HSTECH!$B$3,""))</f>
        <v/>
      </c>
      <c r="CA149" s="161">
        <f>IF(M149="","",IFERROR(M149*HSTECH!$B$40*HSTECH!$G$40/HSTECH!$B$3,""))</f>
        <v/>
      </c>
      <c r="CB149" s="161">
        <f>IF(N149="","",IFERROR(N149*HSTECH!$B$40*HSTECH!$G$40/HSTECH!$B$3,""))</f>
        <v/>
      </c>
      <c r="CC149" s="161">
        <f>IF(O149="","",IFERROR(O149*HSTECH!$B$40*HSTECH!$G$40/HSTECH!$B$3,""))</f>
        <v/>
      </c>
      <c r="CD149" s="161">
        <f>IF(P149="","",IFERROR(P149*HSTECH!$B$40*HSTECH!$G$40/HSTECH!$B$3,""))</f>
        <v/>
      </c>
      <c r="CE149" s="161">
        <f>IF(Q149="","",IFERROR(Q149*HSTECH!$B$40*HSTECH!$G$40/HSTECH!$B$3,""))</f>
        <v/>
      </c>
      <c r="CF149" s="161">
        <f>IF(R149="","",IFERROR(R149*HSTECH!$B$40*HSTECH!$G$40/HSTECH!$B$3,""))</f>
        <v/>
      </c>
      <c r="CG149" s="161">
        <f>IF(S149="","",IFERROR(S149*HSTECH!$B$40*HSTECH!$G$40/HSTECH!$B$3,""))</f>
        <v/>
      </c>
      <c r="CH149" s="161">
        <f>IF(T149="","",IFERROR(T149*HSTECH!$B$40*HSTECH!$G$40/HSTECH!$B$3,""))</f>
        <v/>
      </c>
      <c r="CI149" s="161">
        <f>IF(U149="","",IFERROR(U149*HSTECH!$B$40*HSTECH!$G$40/HSTECH!$B$3,""))</f>
        <v/>
      </c>
      <c r="CJ149" s="161">
        <f>IF(V149="","",IFERROR(V149*HSTECH!$B$40*HSTECH!$G$40/HSTECH!$B$3,""))</f>
        <v/>
      </c>
      <c r="CK149" s="161">
        <f>IF(W149="","",IFERROR(W149*HSTECH!$B$40*HSTECH!$G$40/HSTECH!$B$3,""))</f>
        <v/>
      </c>
      <c r="CL149" s="161">
        <f>IF(X149="","",IFERROR(X149*HSTECH!$B$40*HSTECH!$G$40/HSTECH!$B$3,""))</f>
        <v/>
      </c>
      <c r="CM149" s="161">
        <f>IF(Y149="","",IFERROR(Y149*HSTECH!$B$40*HSTECH!$G$40/HSTECH!$B$3,""))</f>
        <v/>
      </c>
      <c r="CN149" s="161">
        <f>IF(Z149="","",IFERROR(Z149*HSTECH!$B$40*HSTECH!$G$40/HSTECH!$B$3,""))</f>
        <v/>
      </c>
      <c r="CO149" s="161">
        <f>IF(AA149="","",IFERROR(AA149*HSTECH!$B$40*HSTECH!$G$40/HSTECH!$B$3,""))</f>
        <v/>
      </c>
      <c r="CP149" s="161">
        <f>IF(AB149="","",IFERROR(AB149*HSTECH!$B$40*HSTECH!$G$40/HSTECH!$B$3,""))</f>
        <v/>
      </c>
      <c r="CQ149" s="161">
        <f>IF(AC149="","",IFERROR(AC149*HSTECH!$B$40*HSTECH!$G$40/HSTECH!$B$3,""))</f>
        <v/>
      </c>
      <c r="CR149" s="161">
        <f>IF(AD149="","",IFERROR(AD149*HSTECH!$B$40*HSTECH!$G$40/HSTECH!$B$3,""))</f>
        <v/>
      </c>
      <c r="CS149" s="161">
        <f>IF(AE149="","",IFERROR(AE149*HSTECH!$B$40*HSTECH!$G$40/HSTECH!$B$3,""))</f>
        <v/>
      </c>
      <c r="CT149" s="161">
        <f>IF(AF149="","",IFERROR(AF149*HSTECH!$B$40*HSTECH!$G$40/HSTECH!$B$3,""))</f>
        <v/>
      </c>
      <c r="CU149" s="161">
        <f>IF(AG149="","",IFERROR(AG149*HSTECH!$B$40*HSTECH!$G$40/HSTECH!$B$3,""))</f>
        <v/>
      </c>
      <c r="CV149" s="161">
        <f>IF(AH149="","",IFERROR(AH149*HSTECH!$B$40*HSTECH!$G$40/HSTECH!$B$3,""))</f>
        <v/>
      </c>
      <c r="CW149" s="161">
        <f>IF(AI149="","",IFERROR(AI149*HSTECH!$B$40*HSTECH!$G$40/HSTECH!$B$3,""))</f>
        <v/>
      </c>
      <c r="CX149" s="161">
        <f>IF(AJ149="","",IFERROR(AJ149*HSTECH!$B$40*HSTECH!$G$40/HSTECH!$B$3,""))</f>
        <v/>
      </c>
      <c r="CY149" s="161">
        <f>IF(AK149="","",IFERROR(AK149*HSTECH!$B$40*HSTECH!$G$40/HSTECH!$B$3,""))</f>
        <v/>
      </c>
      <c r="CZ149" s="161">
        <f>IF(AL149="","",IFERROR(AL149*HSTECH!$B$40*HSTECH!$G$40/HSTECH!$B$3,""))</f>
        <v/>
      </c>
      <c r="DA149" s="161">
        <f>IF(AM149="","",IFERROR(AM149*HSTECH!$B$40*HSTECH!$G$40/HSTECH!$B$3,""))</f>
        <v/>
      </c>
      <c r="DB149" s="161">
        <f>IF(AN149="","",IFERROR(AN149*HSTECH!$B$40*HSTECH!$G$40/HSTECH!$B$3,""))</f>
        <v/>
      </c>
      <c r="DC149" s="161">
        <f>IF(AO149="","",IFERROR(AO149*HSTECH!$B$40*HSTECH!$G$40/HSTECH!$B$3,""))</f>
        <v/>
      </c>
      <c r="DD149" s="161">
        <f>IF(AP149="","",IFERROR(AP149*HSTECH!$B$40*HSTECH!$G$40/HSTECH!$B$3,""))</f>
        <v/>
      </c>
      <c r="DE149" s="161">
        <f>IF(AQ149="","",IFERROR(AQ149*HSTECH!$B$40*HSTECH!$G$40/HSTECH!$B$3,""))</f>
        <v/>
      </c>
      <c r="DF149" s="161">
        <f>IF(AR149="","",IFERROR(AR149*HSTECH!$B$40*HSTECH!$G$40/HSTECH!$B$3,""))</f>
        <v/>
      </c>
      <c r="DG149" s="161">
        <f>IF(AS149="","",IFERROR(AS149*HSTECH!$B$40*HSTECH!$G$40/HSTECH!$B$3,""))</f>
        <v/>
      </c>
      <c r="DH149" s="161">
        <f>IF(AT149="","",IFERROR(AT149*HSTECH!$B$40*HSTECH!$G$40/HSTECH!$B$3,""))</f>
        <v/>
      </c>
      <c r="DI149" s="161">
        <f>IF(AU149="","",IFERROR(AU149*HSTECH!$B$40*HSTECH!$G$40/HSTECH!$B$3,""))</f>
        <v/>
      </c>
      <c r="DJ149" s="161">
        <f>IF(AV149="","",IFERROR(AV149*HSTECH!$B$40*HSTECH!$G$40/HSTECH!$B$3,""))</f>
        <v/>
      </c>
      <c r="DK149" s="161">
        <f>IF(AW149="","",IFERROR(AW149*HSTECH!$B$40*HSTECH!$G$40/HSTECH!$B$3,""))</f>
        <v/>
      </c>
      <c r="DL149" s="161">
        <f>IF(AX149="","",IFERROR(AX149*HSTECH!$B$40*HSTECH!$G$40/HSTECH!$B$3,""))</f>
        <v/>
      </c>
      <c r="DM149" s="161">
        <f>IF(AY149="","",IFERROR(AY149*HSTECH!$B$40*HSTECH!$G$40/HSTECH!$B$3,""))</f>
        <v/>
      </c>
      <c r="DN149" s="161">
        <f>IF(AZ149="","",IFERROR(AZ149*HSTECH!$B$40*HSTECH!$G$40/HSTECH!$B$3,""))</f>
        <v/>
      </c>
      <c r="DO149" s="161">
        <f>IF(BA149="","",IFERROR(BA149*HSTECH!$B$40*HSTECH!$G$40/HSTECH!$B$3,""))</f>
        <v/>
      </c>
      <c r="DP149" s="161">
        <f>IF(BB149="","",IFERROR(BB149*HSTECH!$B$40*HSTECH!$G$40/HSTECH!$B$3,""))</f>
        <v/>
      </c>
      <c r="DQ149" s="161">
        <f>IF(BC149="","",IFERROR(BC149*HSTECH!$B$40*HSTECH!$G$40/HSTECH!$B$3,""))</f>
        <v/>
      </c>
      <c r="DR149" s="161">
        <f>IF(BD149="","",IFERROR(BD149*HSTECH!$B$40*HSTECH!$G$40/HSTECH!$B$3,""))</f>
        <v/>
      </c>
      <c r="DS149" s="161">
        <f>IF(BE149="","",IFERROR(BE149*HSTECH!$B$40*HSTECH!$G$40/HSTECH!$B$3,""))</f>
        <v/>
      </c>
      <c r="DT149" s="161">
        <f>IF(BF149="","",IFERROR(BF149*HSTECH!$B$40*HSTECH!$G$40/HSTECH!$B$3,""))</f>
        <v/>
      </c>
      <c r="DU149" s="161">
        <f>IF(BG149="","",IFERROR(BG149*HSTECH!$B$40*HSTECH!$G$40/HSTECH!$B$3,""))</f>
        <v/>
      </c>
      <c r="DV149" s="161">
        <f>IF(BH149="","",IFERROR(BH149*HSTECH!$B$40*HSTECH!$G$40/HSTECH!$B$3,""))</f>
        <v/>
      </c>
      <c r="DW149" s="161">
        <f>IF(BI149="","",IFERROR(BI149*HSTECH!$B$40*HSTECH!$G$40/HSTECH!$B$3,""))</f>
        <v/>
      </c>
      <c r="DX149" s="161">
        <f>IF(BJ149="","",IFERROR(BJ149*HSTECH!$B$40*HSTECH!$G$40/HSTECH!$B$3,""))</f>
        <v/>
      </c>
      <c r="DY149" s="161">
        <f>IF(BK149="","",IFERROR(BK149*HSTECH!$B$40*HSTECH!$G$40/HSTECH!$B$3,""))</f>
        <v/>
      </c>
      <c r="DZ149" s="161">
        <f>IF(BL149="","",IFERROR(BL149*HSTECH!$B$40*HSTECH!$G$40/HSTECH!$B$3,""))</f>
        <v/>
      </c>
      <c r="EA149" s="161">
        <f>IF(BM149="","",IFERROR(BM149*HSTECH!$B$40*HSTECH!$G$40/HSTECH!$B$3,""))</f>
        <v/>
      </c>
      <c r="EB149" s="161">
        <f>IF(BN149="","",IFERROR(BN149*HSTECH!$B$40*HSTECH!$G$40/HSTECH!$B$3,""))</f>
        <v/>
      </c>
      <c r="EC149" s="161">
        <f>IF(BO149="","",IFERROR(BO149*HSTECH!$B$40*HSTECH!$G$40/HSTECH!$B$3,""))</f>
        <v/>
      </c>
      <c r="EE149" s="121">
        <f>IF(N('Dvd Calendar'!$E$1479)=0,"",IF(('Dvd Calendar'!$E$1479&gt;=GRID_FROM)*('Dvd Calendar'!$E$1479&lt;=GRID_TO)*((('Dvd Calendar'!$E$1479&lt;=VAL_DATE)+(COUNTIF('Dvd Calendar'!$E$1486:$AR$1486,'Dvd Calendar'!$E$1479)=0))&gt;0)=0,"",'Dvd Calendar'!$E$1479*1000000000+ISNUMBER('Dvd Calendar'!$E$1482)*100000000+('Dvd Calendar'!$E$1484=SPECIAL_LBL)*10000000+(N('Dvd Calendar'!$E$1478)&gt;0)*(N('Dvd Calendar'!$E$1478)&lt;=VAL_SERIAL)*1000000+34*1000+1))</f>
        <v/>
      </c>
      <c r="EF149" s="121">
        <f>IF(N('Dvd Calendar'!$F$1479)=0,"",IF(('Dvd Calendar'!$F$1479&gt;=GRID_FROM)*('Dvd Calendar'!$F$1479&lt;=GRID_TO)*((('Dvd Calendar'!$F$1479&lt;=VAL_DATE)+(COUNTIF('Dvd Calendar'!$E$1486:$AR$1486,'Dvd Calendar'!$F$1479)=0))&gt;0)=0,"",'Dvd Calendar'!$F$1479*1000000000+ISNUMBER('Dvd Calendar'!$F$1482)*100000000+('Dvd Calendar'!$F$1484=SPECIAL_LBL)*10000000+(N('Dvd Calendar'!$F$1478)&gt;0)*(N('Dvd Calendar'!$F$1478)&lt;=VAL_SERIAL)*1000000+34*1000+2))</f>
        <v/>
      </c>
      <c r="EG149" s="121">
        <f>IF(N('Dvd Calendar'!$G$1479)=0,"",IF(('Dvd Calendar'!$G$1479&gt;=GRID_FROM)*('Dvd Calendar'!$G$1479&lt;=GRID_TO)*((('Dvd Calendar'!$G$1479&lt;=VAL_DATE)+(COUNTIF('Dvd Calendar'!$E$1486:$AR$1486,'Dvd Calendar'!$G$1479)=0))&gt;0)=0,"",'Dvd Calendar'!$G$1479*1000000000+ISNUMBER('Dvd Calendar'!$G$1482)*100000000+('Dvd Calendar'!$G$1484=SPECIAL_LBL)*10000000+(N('Dvd Calendar'!$G$1478)&gt;0)*(N('Dvd Calendar'!$G$1478)&lt;=VAL_SERIAL)*1000000+34*1000+3))</f>
        <v/>
      </c>
      <c r="EH149" s="121">
        <f>IF(N('Dvd Calendar'!$H$1479)=0,"",IF(('Dvd Calendar'!$H$1479&gt;=GRID_FROM)*('Dvd Calendar'!$H$1479&lt;=GRID_TO)*((('Dvd Calendar'!$H$1479&lt;=VAL_DATE)+(COUNTIF('Dvd Calendar'!$E$1486:$AR$1486,'Dvd Calendar'!$H$1479)=0))&gt;0)=0,"",'Dvd Calendar'!$H$1479*1000000000+ISNUMBER('Dvd Calendar'!$H$1482)*100000000+('Dvd Calendar'!$H$1484=SPECIAL_LBL)*10000000+(N('Dvd Calendar'!$H$1478)&gt;0)*(N('Dvd Calendar'!$H$1478)&lt;=VAL_SERIAL)*1000000+34*1000+4))</f>
        <v/>
      </c>
      <c r="EI149" s="121">
        <f>IF(N('Dvd Calendar'!$I$1479)=0,"",IF(('Dvd Calendar'!$I$1479&gt;=GRID_FROM)*('Dvd Calendar'!$I$1479&lt;=GRID_TO)*((('Dvd Calendar'!$I$1479&lt;=VAL_DATE)+(COUNTIF('Dvd Calendar'!$E$1486:$AR$1486,'Dvd Calendar'!$I$1479)=0))&gt;0)=0,"",'Dvd Calendar'!$I$1479*1000000000+ISNUMBER('Dvd Calendar'!$I$1482)*100000000+('Dvd Calendar'!$I$1484=SPECIAL_LBL)*10000000+(N('Dvd Calendar'!$I$1478)&gt;0)*(N('Dvd Calendar'!$I$1478)&lt;=VAL_SERIAL)*1000000+34*1000+5))</f>
        <v/>
      </c>
      <c r="EJ149" s="121">
        <f>IF(N('Dvd Calendar'!$J$1479)=0,"",IF(('Dvd Calendar'!$J$1479&gt;=GRID_FROM)*('Dvd Calendar'!$J$1479&lt;=GRID_TO)*((('Dvd Calendar'!$J$1479&lt;=VAL_DATE)+(COUNTIF('Dvd Calendar'!$E$1486:$AR$1486,'Dvd Calendar'!$J$1479)=0))&gt;0)=0,"",'Dvd Calendar'!$J$1479*1000000000+ISNUMBER('Dvd Calendar'!$J$1482)*100000000+('Dvd Calendar'!$J$1484=SPECIAL_LBL)*10000000+(N('Dvd Calendar'!$J$1478)&gt;0)*(N('Dvd Calendar'!$J$1478)&lt;=VAL_SERIAL)*1000000+34*1000+6))</f>
        <v/>
      </c>
      <c r="EK149" s="121">
        <f>IF(N('Dvd Calendar'!$K$1479)=0,"",IF(('Dvd Calendar'!$K$1479&gt;=GRID_FROM)*('Dvd Calendar'!$K$1479&lt;=GRID_TO)*((('Dvd Calendar'!$K$1479&lt;=VAL_DATE)+(COUNTIF('Dvd Calendar'!$E$1486:$AR$1486,'Dvd Calendar'!$K$1479)=0))&gt;0)=0,"",'Dvd Calendar'!$K$1479*1000000000+ISNUMBER('Dvd Calendar'!$K$1482)*100000000+('Dvd Calendar'!$K$1484=SPECIAL_LBL)*10000000+(N('Dvd Calendar'!$K$1478)&gt;0)*(N('Dvd Calendar'!$K$1478)&lt;=VAL_SERIAL)*1000000+34*1000+7))</f>
        <v/>
      </c>
      <c r="EL149" s="121">
        <f>IF(N('Dvd Calendar'!$L$1479)=0,"",IF(('Dvd Calendar'!$L$1479&gt;=GRID_FROM)*('Dvd Calendar'!$L$1479&lt;=GRID_TO)*((('Dvd Calendar'!$L$1479&lt;=VAL_DATE)+(COUNTIF('Dvd Calendar'!$E$1486:$AR$1486,'Dvd Calendar'!$L$1479)=0))&gt;0)=0,"",'Dvd Calendar'!$L$1479*1000000000+ISNUMBER('Dvd Calendar'!$L$1482)*100000000+('Dvd Calendar'!$L$1484=SPECIAL_LBL)*10000000+(N('Dvd Calendar'!$L$1478)&gt;0)*(N('Dvd Calendar'!$L$1478)&lt;=VAL_SERIAL)*1000000+34*1000+8))</f>
        <v/>
      </c>
      <c r="EM149" s="121">
        <f>IF(N('Dvd Calendar'!$M$1479)=0,"",IF(('Dvd Calendar'!$M$1479&gt;=GRID_FROM)*('Dvd Calendar'!$M$1479&lt;=GRID_TO)*((('Dvd Calendar'!$M$1479&lt;=VAL_DATE)+(COUNTIF('Dvd Calendar'!$E$1486:$AR$1486,'Dvd Calendar'!$M$1479)=0))&gt;0)=0,"",'Dvd Calendar'!$M$1479*1000000000+ISNUMBER('Dvd Calendar'!$M$1482)*100000000+('Dvd Calendar'!$M$1484=SPECIAL_LBL)*10000000+(N('Dvd Calendar'!$M$1478)&gt;0)*(N('Dvd Calendar'!$M$1478)&lt;=VAL_SERIAL)*1000000+34*1000+9))</f>
        <v/>
      </c>
      <c r="EN149" s="121">
        <f>IF(N('Dvd Calendar'!$N$1479)=0,"",IF(('Dvd Calendar'!$N$1479&gt;=GRID_FROM)*('Dvd Calendar'!$N$1479&lt;=GRID_TO)*((('Dvd Calendar'!$N$1479&lt;=VAL_DATE)+(COUNTIF('Dvd Calendar'!$E$1486:$AR$1486,'Dvd Calendar'!$N$1479)=0))&gt;0)=0,"",'Dvd Calendar'!$N$1479*1000000000+ISNUMBER('Dvd Calendar'!$N$1482)*100000000+('Dvd Calendar'!$N$1484=SPECIAL_LBL)*10000000+(N('Dvd Calendar'!$N$1478)&gt;0)*(N('Dvd Calendar'!$N$1478)&lt;=VAL_SERIAL)*1000000+34*1000+10))</f>
        <v/>
      </c>
      <c r="EO149" s="121">
        <f>IF(N('Dvd Calendar'!$O$1479)=0,"",IF(('Dvd Calendar'!$O$1479&gt;=GRID_FROM)*('Dvd Calendar'!$O$1479&lt;=GRID_TO)*((('Dvd Calendar'!$O$1479&lt;=VAL_DATE)+(COUNTIF('Dvd Calendar'!$E$1486:$AR$1486,'Dvd Calendar'!$O$1479)=0))&gt;0)=0,"",'Dvd Calendar'!$O$1479*1000000000+ISNUMBER('Dvd Calendar'!$O$1482)*100000000+('Dvd Calendar'!$O$1484=SPECIAL_LBL)*10000000+(N('Dvd Calendar'!$O$1478)&gt;0)*(N('Dvd Calendar'!$O$1478)&lt;=VAL_SERIAL)*1000000+34*1000+11))</f>
        <v/>
      </c>
      <c r="EP149" s="121">
        <f>IF(N('Dvd Calendar'!$P$1479)=0,"",IF(('Dvd Calendar'!$P$1479&gt;=GRID_FROM)*('Dvd Calendar'!$P$1479&lt;=GRID_TO)*((('Dvd Calendar'!$P$1479&lt;=VAL_DATE)+(COUNTIF('Dvd Calendar'!$E$1486:$AR$1486,'Dvd Calendar'!$P$1479)=0))&gt;0)=0,"",'Dvd Calendar'!$P$1479*1000000000+ISNUMBER('Dvd Calendar'!$P$1482)*100000000+('Dvd Calendar'!$P$1484=SPECIAL_LBL)*10000000+(N('Dvd Calendar'!$P$1478)&gt;0)*(N('Dvd Calendar'!$P$1478)&lt;=VAL_SERIAL)*1000000+34*1000+12))</f>
        <v/>
      </c>
      <c r="EQ149" s="121">
        <f>IF(N('Dvd Calendar'!$Q$1479)=0,"",IF(('Dvd Calendar'!$Q$1479&gt;=GRID_FROM)*('Dvd Calendar'!$Q$1479&lt;=GRID_TO)*((('Dvd Calendar'!$Q$1479&lt;=VAL_DATE)+(COUNTIF('Dvd Calendar'!$E$1486:$AR$1486,'Dvd Calendar'!$Q$1479)=0))&gt;0)=0,"",'Dvd Calendar'!$Q$1479*1000000000+ISNUMBER('Dvd Calendar'!$Q$1482)*100000000+('Dvd Calendar'!$Q$1484=SPECIAL_LBL)*10000000+(N('Dvd Calendar'!$Q$1478)&gt;0)*(N('Dvd Calendar'!$Q$1478)&lt;=VAL_SERIAL)*1000000+34*1000+13))</f>
        <v/>
      </c>
      <c r="ER149" s="121">
        <f>IF(N('Dvd Calendar'!$R$1479)=0,"",IF(('Dvd Calendar'!$R$1479&gt;=GRID_FROM)*('Dvd Calendar'!$R$1479&lt;=GRID_TO)*((('Dvd Calendar'!$R$1479&lt;=VAL_DATE)+(COUNTIF('Dvd Calendar'!$E$1486:$AR$1486,'Dvd Calendar'!$R$1479)=0))&gt;0)=0,"",'Dvd Calendar'!$R$1479*1000000000+ISNUMBER('Dvd Calendar'!$R$1482)*100000000+('Dvd Calendar'!$R$1484=SPECIAL_LBL)*10000000+(N('Dvd Calendar'!$R$1478)&gt;0)*(N('Dvd Calendar'!$R$1478)&lt;=VAL_SERIAL)*1000000+34*1000+14))</f>
        <v/>
      </c>
      <c r="ES149" s="121">
        <f>IF(N('Dvd Calendar'!$S$1479)=0,"",IF(('Dvd Calendar'!$S$1479&gt;=GRID_FROM)*('Dvd Calendar'!$S$1479&lt;=GRID_TO)*((('Dvd Calendar'!$S$1479&lt;=VAL_DATE)+(COUNTIF('Dvd Calendar'!$E$1486:$AR$1486,'Dvd Calendar'!$S$1479)=0))&gt;0)=0,"",'Dvd Calendar'!$S$1479*1000000000+ISNUMBER('Dvd Calendar'!$S$1482)*100000000+('Dvd Calendar'!$S$1484=SPECIAL_LBL)*10000000+(N('Dvd Calendar'!$S$1478)&gt;0)*(N('Dvd Calendar'!$S$1478)&lt;=VAL_SERIAL)*1000000+34*1000+15))</f>
        <v/>
      </c>
      <c r="ET149" s="121">
        <f>IF(N('Dvd Calendar'!$T$1479)=0,"",IF(('Dvd Calendar'!$T$1479&gt;=GRID_FROM)*('Dvd Calendar'!$T$1479&lt;=GRID_TO)*((('Dvd Calendar'!$T$1479&lt;=VAL_DATE)+(COUNTIF('Dvd Calendar'!$E$1486:$AR$1486,'Dvd Calendar'!$T$1479)=0))&gt;0)=0,"",'Dvd Calendar'!$T$1479*1000000000+ISNUMBER('Dvd Calendar'!$T$1482)*100000000+('Dvd Calendar'!$T$1484=SPECIAL_LBL)*10000000+(N('Dvd Calendar'!$T$1478)&gt;0)*(N('Dvd Calendar'!$T$1478)&lt;=VAL_SERIAL)*1000000+34*1000+16))</f>
        <v/>
      </c>
      <c r="EU149" s="121">
        <f>IF(N('Dvd Calendar'!$U$1479)=0,"",IF(('Dvd Calendar'!$U$1479&gt;=GRID_FROM)*('Dvd Calendar'!$U$1479&lt;=GRID_TO)*((('Dvd Calendar'!$U$1479&lt;=VAL_DATE)+(COUNTIF('Dvd Calendar'!$E$1486:$AR$1486,'Dvd Calendar'!$U$1479)=0))&gt;0)=0,"",'Dvd Calendar'!$U$1479*1000000000+ISNUMBER('Dvd Calendar'!$U$1482)*100000000+('Dvd Calendar'!$U$1484=SPECIAL_LBL)*10000000+(N('Dvd Calendar'!$U$1478)&gt;0)*(N('Dvd Calendar'!$U$1478)&lt;=VAL_SERIAL)*1000000+34*1000+17))</f>
        <v/>
      </c>
      <c r="EV149" s="121">
        <f>IF(N('Dvd Calendar'!$V$1479)=0,"",IF(('Dvd Calendar'!$V$1479&gt;=GRID_FROM)*('Dvd Calendar'!$V$1479&lt;=GRID_TO)*((('Dvd Calendar'!$V$1479&lt;=VAL_DATE)+(COUNTIF('Dvd Calendar'!$E$1486:$AR$1486,'Dvd Calendar'!$V$1479)=0))&gt;0)=0,"",'Dvd Calendar'!$V$1479*1000000000+ISNUMBER('Dvd Calendar'!$V$1482)*100000000+('Dvd Calendar'!$V$1484=SPECIAL_LBL)*10000000+(N('Dvd Calendar'!$V$1478)&gt;0)*(N('Dvd Calendar'!$V$1478)&lt;=VAL_SERIAL)*1000000+34*1000+18))</f>
        <v/>
      </c>
      <c r="EW149" s="121">
        <f>IF(N('Dvd Calendar'!$W$1479)=0,"",IF(('Dvd Calendar'!$W$1479&gt;=GRID_FROM)*('Dvd Calendar'!$W$1479&lt;=GRID_TO)*((('Dvd Calendar'!$W$1479&lt;=VAL_DATE)+(COUNTIF('Dvd Calendar'!$E$1486:$AR$1486,'Dvd Calendar'!$W$1479)=0))&gt;0)=0,"",'Dvd Calendar'!$W$1479*1000000000+ISNUMBER('Dvd Calendar'!$W$1482)*100000000+('Dvd Calendar'!$W$1484=SPECIAL_LBL)*10000000+(N('Dvd Calendar'!$W$1478)&gt;0)*(N('Dvd Calendar'!$W$1478)&lt;=VAL_SERIAL)*1000000+34*1000+19))</f>
        <v/>
      </c>
      <c r="EX149" s="121">
        <f>IF(N('Dvd Calendar'!$X$1479)=0,"",IF(('Dvd Calendar'!$X$1479&gt;=GRID_FROM)*('Dvd Calendar'!$X$1479&lt;=GRID_TO)*((('Dvd Calendar'!$X$1479&lt;=VAL_DATE)+(COUNTIF('Dvd Calendar'!$E$1486:$AR$1486,'Dvd Calendar'!$X$1479)=0))&gt;0)=0,"",'Dvd Calendar'!$X$1479*1000000000+ISNUMBER('Dvd Calendar'!$X$1482)*100000000+('Dvd Calendar'!$X$1484=SPECIAL_LBL)*10000000+(N('Dvd Calendar'!$X$1478)&gt;0)*(N('Dvd Calendar'!$X$1478)&lt;=VAL_SERIAL)*1000000+34*1000+20))</f>
        <v/>
      </c>
      <c r="EY149" s="121">
        <f>IF(N('Dvd Calendar'!$Y$1479)=0,"",IF(('Dvd Calendar'!$Y$1479&gt;=GRID_FROM)*('Dvd Calendar'!$Y$1479&lt;=GRID_TO)*((('Dvd Calendar'!$Y$1479&lt;=VAL_DATE)+(COUNTIF('Dvd Calendar'!$E$1486:$AR$1486,'Dvd Calendar'!$Y$1479)=0))&gt;0)=0,"",'Dvd Calendar'!$Y$1479*1000000000+ISNUMBER('Dvd Calendar'!$Y$1482)*100000000+('Dvd Calendar'!$Y$1484=SPECIAL_LBL)*10000000+(N('Dvd Calendar'!$Y$1478)&gt;0)*(N('Dvd Calendar'!$Y$1478)&lt;=VAL_SERIAL)*1000000+34*1000+21))</f>
        <v/>
      </c>
      <c r="EZ149" s="121">
        <f>IF(N('Dvd Calendar'!$Z$1479)=0,"",IF(('Dvd Calendar'!$Z$1479&gt;=GRID_FROM)*('Dvd Calendar'!$Z$1479&lt;=GRID_TO)*((('Dvd Calendar'!$Z$1479&lt;=VAL_DATE)+(COUNTIF('Dvd Calendar'!$E$1486:$AR$1486,'Dvd Calendar'!$Z$1479)=0))&gt;0)=0,"",'Dvd Calendar'!$Z$1479*1000000000+ISNUMBER('Dvd Calendar'!$Z$1482)*100000000+('Dvd Calendar'!$Z$1484=SPECIAL_LBL)*10000000+(N('Dvd Calendar'!$Z$1478)&gt;0)*(N('Dvd Calendar'!$Z$1478)&lt;=VAL_SERIAL)*1000000+34*1000+22))</f>
        <v/>
      </c>
      <c r="FA149" s="121">
        <f>IF(N('Dvd Calendar'!$AA$1479)=0,"",IF(('Dvd Calendar'!$AA$1479&gt;=GRID_FROM)*('Dvd Calendar'!$AA$1479&lt;=GRID_TO)*((('Dvd Calendar'!$AA$1479&lt;=VAL_DATE)+(COUNTIF('Dvd Calendar'!$E$1486:$AR$1486,'Dvd Calendar'!$AA$1479)=0))&gt;0)=0,"",'Dvd Calendar'!$AA$1479*1000000000+ISNUMBER('Dvd Calendar'!$AA$1482)*100000000+('Dvd Calendar'!$AA$1484=SPECIAL_LBL)*10000000+(N('Dvd Calendar'!$AA$1478)&gt;0)*(N('Dvd Calendar'!$AA$1478)&lt;=VAL_SERIAL)*1000000+34*1000+23))</f>
        <v/>
      </c>
      <c r="FB149" s="121">
        <f>IF(N('Dvd Calendar'!$AB$1479)=0,"",IF(('Dvd Calendar'!$AB$1479&gt;=GRID_FROM)*('Dvd Calendar'!$AB$1479&lt;=GRID_TO)*((('Dvd Calendar'!$AB$1479&lt;=VAL_DATE)+(COUNTIF('Dvd Calendar'!$E$1486:$AR$1486,'Dvd Calendar'!$AB$1479)=0))&gt;0)=0,"",'Dvd Calendar'!$AB$1479*1000000000+ISNUMBER('Dvd Calendar'!$AB$1482)*100000000+('Dvd Calendar'!$AB$1484=SPECIAL_LBL)*10000000+(N('Dvd Calendar'!$AB$1478)&gt;0)*(N('Dvd Calendar'!$AB$1478)&lt;=VAL_SERIAL)*1000000+34*1000+24))</f>
        <v/>
      </c>
      <c r="FC149" s="121">
        <f>IF(N('Dvd Calendar'!$AC$1479)=0,"",IF(('Dvd Calendar'!$AC$1479&gt;=GRID_FROM)*('Dvd Calendar'!$AC$1479&lt;=GRID_TO)*((('Dvd Calendar'!$AC$1479&lt;=VAL_DATE)+(COUNTIF('Dvd Calendar'!$E$1486:$AR$1486,'Dvd Calendar'!$AC$1479)=0))&gt;0)=0,"",'Dvd Calendar'!$AC$1479*1000000000+ISNUMBER('Dvd Calendar'!$AC$1482)*100000000+('Dvd Calendar'!$AC$1484=SPECIAL_LBL)*10000000+(N('Dvd Calendar'!$AC$1478)&gt;0)*(N('Dvd Calendar'!$AC$1478)&lt;=VAL_SERIAL)*1000000+34*1000+25))</f>
        <v/>
      </c>
      <c r="FD149" s="121">
        <f>IF(N('Dvd Calendar'!$AD$1479)=0,"",IF(('Dvd Calendar'!$AD$1479&gt;=GRID_FROM)*('Dvd Calendar'!$AD$1479&lt;=GRID_TO)*((('Dvd Calendar'!$AD$1479&lt;=VAL_DATE)+(COUNTIF('Dvd Calendar'!$E$1486:$AR$1486,'Dvd Calendar'!$AD$1479)=0))&gt;0)=0,"",'Dvd Calendar'!$AD$1479*1000000000+ISNUMBER('Dvd Calendar'!$AD$1482)*100000000+('Dvd Calendar'!$AD$1484=SPECIAL_LBL)*10000000+(N('Dvd Calendar'!$AD$1478)&gt;0)*(N('Dvd Calendar'!$AD$1478)&lt;=VAL_SERIAL)*1000000+34*1000+26))</f>
        <v/>
      </c>
      <c r="FE149" s="121">
        <f>IF(N('Dvd Calendar'!$AE$1479)=0,"",IF(('Dvd Calendar'!$AE$1479&gt;=GRID_FROM)*('Dvd Calendar'!$AE$1479&lt;=GRID_TO)*((('Dvd Calendar'!$AE$1479&lt;=VAL_DATE)+(COUNTIF('Dvd Calendar'!$E$1486:$AR$1486,'Dvd Calendar'!$AE$1479)=0))&gt;0)=0,"",'Dvd Calendar'!$AE$1479*1000000000+ISNUMBER('Dvd Calendar'!$AE$1482)*100000000+('Dvd Calendar'!$AE$1484=SPECIAL_LBL)*10000000+(N('Dvd Calendar'!$AE$1478)&gt;0)*(N('Dvd Calendar'!$AE$1478)&lt;=VAL_SERIAL)*1000000+34*1000+27))</f>
        <v/>
      </c>
      <c r="FF149" s="121">
        <f>IF(N('Dvd Calendar'!$AF$1479)=0,"",IF(('Dvd Calendar'!$AF$1479&gt;=GRID_FROM)*('Dvd Calendar'!$AF$1479&lt;=GRID_TO)*((('Dvd Calendar'!$AF$1479&lt;=VAL_DATE)+(COUNTIF('Dvd Calendar'!$E$1486:$AR$1486,'Dvd Calendar'!$AF$1479)=0))&gt;0)=0,"",'Dvd Calendar'!$AF$1479*1000000000+ISNUMBER('Dvd Calendar'!$AF$1482)*100000000+('Dvd Calendar'!$AF$1484=SPECIAL_LBL)*10000000+(N('Dvd Calendar'!$AF$1478)&gt;0)*(N('Dvd Calendar'!$AF$1478)&lt;=VAL_SERIAL)*1000000+34*1000+28))</f>
        <v/>
      </c>
      <c r="FG149" s="121">
        <f>IF(N('Dvd Calendar'!$AG$1479)=0,"",IF(('Dvd Calendar'!$AG$1479&gt;=GRID_FROM)*('Dvd Calendar'!$AG$1479&lt;=GRID_TO)*((('Dvd Calendar'!$AG$1479&lt;=VAL_DATE)+(COUNTIF('Dvd Calendar'!$E$1486:$AR$1486,'Dvd Calendar'!$AG$1479)=0))&gt;0)=0,"",'Dvd Calendar'!$AG$1479*1000000000+ISNUMBER('Dvd Calendar'!$AG$1482)*100000000+('Dvd Calendar'!$AG$1484=SPECIAL_LBL)*10000000+(N('Dvd Calendar'!$AG$1478)&gt;0)*(N('Dvd Calendar'!$AG$1478)&lt;=VAL_SERIAL)*1000000+34*1000+29))</f>
        <v/>
      </c>
      <c r="FH149" s="121">
        <f>IF(N('Dvd Calendar'!$AH$1479)=0,"",IF(('Dvd Calendar'!$AH$1479&gt;=GRID_FROM)*('Dvd Calendar'!$AH$1479&lt;=GRID_TO)*((('Dvd Calendar'!$AH$1479&lt;=VAL_DATE)+(COUNTIF('Dvd Calendar'!$E$1486:$AR$1486,'Dvd Calendar'!$AH$1479)=0))&gt;0)=0,"",'Dvd Calendar'!$AH$1479*1000000000+ISNUMBER('Dvd Calendar'!$AH$1482)*100000000+('Dvd Calendar'!$AH$1484=SPECIAL_LBL)*10000000+(N('Dvd Calendar'!$AH$1478)&gt;0)*(N('Dvd Calendar'!$AH$1478)&lt;=VAL_SERIAL)*1000000+34*1000+30))</f>
        <v/>
      </c>
      <c r="FI149" s="121">
        <f>IF(N('Dvd Calendar'!$AI$1479)=0,"",IF(('Dvd Calendar'!$AI$1479&gt;=GRID_FROM)*('Dvd Calendar'!$AI$1479&lt;=GRID_TO)*((('Dvd Calendar'!$AI$1479&lt;=VAL_DATE)+(COUNTIF('Dvd Calendar'!$E$1486:$AR$1486,'Dvd Calendar'!$AI$1479)=0))&gt;0)=0,"",'Dvd Calendar'!$AI$1479*1000000000+ISNUMBER('Dvd Calendar'!$AI$1482)*100000000+('Dvd Calendar'!$AI$1484=SPECIAL_LBL)*10000000+(N('Dvd Calendar'!$AI$1478)&gt;0)*(N('Dvd Calendar'!$AI$1478)&lt;=VAL_SERIAL)*1000000+34*1000+31))</f>
        <v/>
      </c>
      <c r="FJ149" s="121">
        <f>IF(N('Dvd Calendar'!$AJ$1479)=0,"",IF(('Dvd Calendar'!$AJ$1479&gt;=GRID_FROM)*('Dvd Calendar'!$AJ$1479&lt;=GRID_TO)*((('Dvd Calendar'!$AJ$1479&lt;=VAL_DATE)+(COUNTIF('Dvd Calendar'!$E$1486:$AR$1486,'Dvd Calendar'!$AJ$1479)=0))&gt;0)=0,"",'Dvd Calendar'!$AJ$1479*1000000000+ISNUMBER('Dvd Calendar'!$AJ$1482)*100000000+('Dvd Calendar'!$AJ$1484=SPECIAL_LBL)*10000000+(N('Dvd Calendar'!$AJ$1478)&gt;0)*(N('Dvd Calendar'!$AJ$1478)&lt;=VAL_SERIAL)*1000000+34*1000+32))</f>
        <v/>
      </c>
      <c r="FK149" s="121">
        <f>IF(N('Dvd Calendar'!$AK$1479)=0,"",IF(('Dvd Calendar'!$AK$1479&gt;=GRID_FROM)*('Dvd Calendar'!$AK$1479&lt;=GRID_TO)*((('Dvd Calendar'!$AK$1479&lt;=VAL_DATE)+(COUNTIF('Dvd Calendar'!$E$1486:$AR$1486,'Dvd Calendar'!$AK$1479)=0))&gt;0)=0,"",'Dvd Calendar'!$AK$1479*1000000000+ISNUMBER('Dvd Calendar'!$AK$1482)*100000000+('Dvd Calendar'!$AK$1484=SPECIAL_LBL)*10000000+(N('Dvd Calendar'!$AK$1478)&gt;0)*(N('Dvd Calendar'!$AK$1478)&lt;=VAL_SERIAL)*1000000+34*1000+33))</f>
        <v/>
      </c>
      <c r="FL149" s="121">
        <f>IF(N('Dvd Calendar'!$AL$1479)=0,"",IF(('Dvd Calendar'!$AL$1479&gt;=GRID_FROM)*('Dvd Calendar'!$AL$1479&lt;=GRID_TO)*((('Dvd Calendar'!$AL$1479&lt;=VAL_DATE)+(COUNTIF('Dvd Calendar'!$E$1486:$AR$1486,'Dvd Calendar'!$AL$1479)=0))&gt;0)=0,"",'Dvd Calendar'!$AL$1479*1000000000+ISNUMBER('Dvd Calendar'!$AL$1482)*100000000+('Dvd Calendar'!$AL$1484=SPECIAL_LBL)*10000000+(N('Dvd Calendar'!$AL$1478)&gt;0)*(N('Dvd Calendar'!$AL$1478)&lt;=VAL_SERIAL)*1000000+34*1000+34))</f>
        <v/>
      </c>
      <c r="FM149" s="121">
        <f>IF(N('Dvd Calendar'!$AM$1479)=0,"",IF(('Dvd Calendar'!$AM$1479&gt;=GRID_FROM)*('Dvd Calendar'!$AM$1479&lt;=GRID_TO)*((('Dvd Calendar'!$AM$1479&lt;=VAL_DATE)+(COUNTIF('Dvd Calendar'!$E$1486:$AR$1486,'Dvd Calendar'!$AM$1479)=0))&gt;0)=0,"",'Dvd Calendar'!$AM$1479*1000000000+ISNUMBER('Dvd Calendar'!$AM$1482)*100000000+('Dvd Calendar'!$AM$1484=SPECIAL_LBL)*10000000+(N('Dvd Calendar'!$AM$1478)&gt;0)*(N('Dvd Calendar'!$AM$1478)&lt;=VAL_SERIAL)*1000000+34*1000+35))</f>
        <v/>
      </c>
      <c r="FN149" s="121">
        <f>IF(N('Dvd Calendar'!$AN$1479)=0,"",IF(('Dvd Calendar'!$AN$1479&gt;=GRID_FROM)*('Dvd Calendar'!$AN$1479&lt;=GRID_TO)*((('Dvd Calendar'!$AN$1479&lt;=VAL_DATE)+(COUNTIF('Dvd Calendar'!$E$1486:$AR$1486,'Dvd Calendar'!$AN$1479)=0))&gt;0)=0,"",'Dvd Calendar'!$AN$1479*1000000000+ISNUMBER('Dvd Calendar'!$AN$1482)*100000000+('Dvd Calendar'!$AN$1484=SPECIAL_LBL)*10000000+(N('Dvd Calendar'!$AN$1478)&gt;0)*(N('Dvd Calendar'!$AN$1478)&lt;=VAL_SERIAL)*1000000+34*1000+36))</f>
        <v/>
      </c>
      <c r="FO149" s="121">
        <f>IF(N('Dvd Calendar'!$AO$1479)=0,"",IF(('Dvd Calendar'!$AO$1479&gt;=GRID_FROM)*('Dvd Calendar'!$AO$1479&lt;=GRID_TO)*((('Dvd Calendar'!$AO$1479&lt;=VAL_DATE)+(COUNTIF('Dvd Calendar'!$E$1486:$AR$1486,'Dvd Calendar'!$AO$1479)=0))&gt;0)=0,"",'Dvd Calendar'!$AO$1479*1000000000+ISNUMBER('Dvd Calendar'!$AO$1482)*100000000+('Dvd Calendar'!$AO$1484=SPECIAL_LBL)*10000000+(N('Dvd Calendar'!$AO$1478)&gt;0)*(N('Dvd Calendar'!$AO$1478)&lt;=VAL_SERIAL)*1000000+34*1000+37))</f>
        <v/>
      </c>
      <c r="FP149" s="121">
        <f>IF(N('Dvd Calendar'!$AP$1479)=0,"",IF(('Dvd Calendar'!$AP$1479&gt;=GRID_FROM)*('Dvd Calendar'!$AP$1479&lt;=GRID_TO)*((('Dvd Calendar'!$AP$1479&lt;=VAL_DATE)+(COUNTIF('Dvd Calendar'!$E$1486:$AR$1486,'Dvd Calendar'!$AP$1479)=0))&gt;0)=0,"",'Dvd Calendar'!$AP$1479*1000000000+ISNUMBER('Dvd Calendar'!$AP$1482)*100000000+('Dvd Calendar'!$AP$1484=SPECIAL_LBL)*10000000+(N('Dvd Calendar'!$AP$1478)&gt;0)*(N('Dvd Calendar'!$AP$1478)&lt;=VAL_SERIAL)*1000000+34*1000+38))</f>
        <v/>
      </c>
      <c r="FQ149" s="121">
        <f>IF(N('Dvd Calendar'!$AQ$1479)=0,"",IF(('Dvd Calendar'!$AQ$1479&gt;=GRID_FROM)*('Dvd Calendar'!$AQ$1479&lt;=GRID_TO)*((('Dvd Calendar'!$AQ$1479&lt;=VAL_DATE)+(COUNTIF('Dvd Calendar'!$E$1486:$AR$1486,'Dvd Calendar'!$AQ$1479)=0))&gt;0)=0,"",'Dvd Calendar'!$AQ$1479*1000000000+ISNUMBER('Dvd Calendar'!$AQ$1482)*100000000+('Dvd Calendar'!$AQ$1484=SPECIAL_LBL)*10000000+(N('Dvd Calendar'!$AQ$1478)&gt;0)*(N('Dvd Calendar'!$AQ$1478)&lt;=VAL_SERIAL)*1000000+34*1000+39))</f>
        <v/>
      </c>
      <c r="FR149" s="121">
        <f>IF(N('Dvd Calendar'!$AR$1479)=0,"",IF(('Dvd Calendar'!$AR$1479&gt;=GRID_FROM)*('Dvd Calendar'!$AR$1479&lt;=GRID_TO)*((('Dvd Calendar'!$AR$1479&lt;=VAL_DATE)+(COUNTIF('Dvd Calendar'!$E$1486:$AR$1486,'Dvd Calendar'!$AR$1479)=0))&gt;0)=0,"",'Dvd Calendar'!$AR$1479*1000000000+ISNUMBER('Dvd Calendar'!$AR$1482)*100000000+('Dvd Calendar'!$AR$1484=SPECIAL_LBL)*10000000+(N('Dvd Calendar'!$AR$1478)&gt;0)*(N('Dvd Calendar'!$AR$1478)&lt;=VAL_SERIAL)*1000000+34*1000+40))</f>
        <v/>
      </c>
      <c r="FS149" s="121">
        <f>IF(N('Dvd Calendar'!$E$1486)=0,"",IF(('Dvd Calendar'!$E$1486&gt;=GRID_FROM)*('Dvd Calendar'!$E$1486&lt;=GRID_TO)*('Dvd Calendar'!$E$1486&gt;VAL_DATE)=0,"",'Dvd Calendar'!$E$1486*1000000000+ISNUMBER('Dvd Calendar'!$E$1487)*100000000+0*10000000+(N('Dvd Calendar'!$E$1485)&gt;0)*(N('Dvd Calendar'!$E$1485)&lt;=VAL_SERIAL)*1000000+34*1000+41))</f>
        <v/>
      </c>
      <c r="FT149" s="121">
        <f>IF(N('Dvd Calendar'!$F$1486)=0,"",IF(('Dvd Calendar'!$F$1486&gt;=GRID_FROM)*('Dvd Calendar'!$F$1486&lt;=GRID_TO)*('Dvd Calendar'!$F$1486&gt;VAL_DATE)=0,"",'Dvd Calendar'!$F$1486*1000000000+ISNUMBER('Dvd Calendar'!$F$1487)*100000000+0*10000000+(N('Dvd Calendar'!$F$1485)&gt;0)*(N('Dvd Calendar'!$F$1485)&lt;=VAL_SERIAL)*1000000+34*1000+42))</f>
        <v/>
      </c>
      <c r="FU149" s="121">
        <f>IF(N('Dvd Calendar'!$G$1486)=0,"",IF(('Dvd Calendar'!$G$1486&gt;=GRID_FROM)*('Dvd Calendar'!$G$1486&lt;=GRID_TO)*('Dvd Calendar'!$G$1486&gt;VAL_DATE)=0,"",'Dvd Calendar'!$G$1486*1000000000+ISNUMBER('Dvd Calendar'!$G$1487)*100000000+0*10000000+(N('Dvd Calendar'!$G$1485)&gt;0)*(N('Dvd Calendar'!$G$1485)&lt;=VAL_SERIAL)*1000000+34*1000+43))</f>
        <v/>
      </c>
      <c r="FV149" s="121">
        <f>IF(N('Dvd Calendar'!$H$1486)=0,"",IF(('Dvd Calendar'!$H$1486&gt;=GRID_FROM)*('Dvd Calendar'!$H$1486&lt;=GRID_TO)*('Dvd Calendar'!$H$1486&gt;VAL_DATE)=0,"",'Dvd Calendar'!$H$1486*1000000000+ISNUMBER('Dvd Calendar'!$H$1487)*100000000+0*10000000+(N('Dvd Calendar'!$H$1485)&gt;0)*(N('Dvd Calendar'!$H$1485)&lt;=VAL_SERIAL)*1000000+34*1000+44))</f>
        <v/>
      </c>
      <c r="FW149" s="121">
        <f>IF(N('Dvd Calendar'!$I$1486)=0,"",IF(('Dvd Calendar'!$I$1486&gt;=GRID_FROM)*('Dvd Calendar'!$I$1486&lt;=GRID_TO)*('Dvd Calendar'!$I$1486&gt;VAL_DATE)=0,"",'Dvd Calendar'!$I$1486*1000000000+ISNUMBER('Dvd Calendar'!$I$1487)*100000000+0*10000000+(N('Dvd Calendar'!$I$1485)&gt;0)*(N('Dvd Calendar'!$I$1485)&lt;=VAL_SERIAL)*1000000+34*1000+45))</f>
        <v/>
      </c>
      <c r="FX149" s="121">
        <f>IF(N('Dvd Calendar'!$J$1486)=0,"",IF(('Dvd Calendar'!$J$1486&gt;=GRID_FROM)*('Dvd Calendar'!$J$1486&lt;=GRID_TO)*('Dvd Calendar'!$J$1486&gt;VAL_DATE)=0,"",'Dvd Calendar'!$J$1486*1000000000+ISNUMBER('Dvd Calendar'!$J$1487)*100000000+0*10000000+(N('Dvd Calendar'!$J$1485)&gt;0)*(N('Dvd Calendar'!$J$1485)&lt;=VAL_SERIAL)*1000000+34*1000+46))</f>
        <v/>
      </c>
      <c r="FY149" s="121">
        <f>IF(N('Dvd Calendar'!$K$1486)=0,"",IF(('Dvd Calendar'!$K$1486&gt;=GRID_FROM)*('Dvd Calendar'!$K$1486&lt;=GRID_TO)*('Dvd Calendar'!$K$1486&gt;VAL_DATE)=0,"",'Dvd Calendar'!$K$1486*1000000000+ISNUMBER('Dvd Calendar'!$K$1487)*100000000+0*10000000+(N('Dvd Calendar'!$K$1485)&gt;0)*(N('Dvd Calendar'!$K$1485)&lt;=VAL_SERIAL)*1000000+34*1000+47))</f>
        <v/>
      </c>
      <c r="FZ149" s="121">
        <f>IF(N('Dvd Calendar'!$L$1486)=0,"",IF(('Dvd Calendar'!$L$1486&gt;=GRID_FROM)*('Dvd Calendar'!$L$1486&lt;=GRID_TO)*('Dvd Calendar'!$L$1486&gt;VAL_DATE)=0,"",'Dvd Calendar'!$L$1486*1000000000+ISNUMBER('Dvd Calendar'!$L$1487)*100000000+0*10000000+(N('Dvd Calendar'!$L$1485)&gt;0)*(N('Dvd Calendar'!$L$1485)&lt;=VAL_SERIAL)*1000000+34*1000+48))</f>
        <v/>
      </c>
      <c r="GA149" s="121">
        <f>IF(N('Dvd Calendar'!$M$1486)=0,"",IF(('Dvd Calendar'!$M$1486&gt;=GRID_FROM)*('Dvd Calendar'!$M$1486&lt;=GRID_TO)*('Dvd Calendar'!$M$1486&gt;VAL_DATE)=0,"",'Dvd Calendar'!$M$1486*1000000000+ISNUMBER('Dvd Calendar'!$M$1487)*100000000+0*10000000+(N('Dvd Calendar'!$M$1485)&gt;0)*(N('Dvd Calendar'!$M$1485)&lt;=VAL_SERIAL)*1000000+34*1000+49))</f>
        <v/>
      </c>
      <c r="GB149" s="121">
        <f>IF(N('Dvd Calendar'!$N$1486)=0,"",IF(('Dvd Calendar'!$N$1486&gt;=GRID_FROM)*('Dvd Calendar'!$N$1486&lt;=GRID_TO)*('Dvd Calendar'!$N$1486&gt;VAL_DATE)=0,"",'Dvd Calendar'!$N$1486*1000000000+ISNUMBER('Dvd Calendar'!$N$1487)*100000000+0*10000000+(N('Dvd Calendar'!$N$1485)&gt;0)*(N('Dvd Calendar'!$N$1485)&lt;=VAL_SERIAL)*1000000+34*1000+50))</f>
        <v/>
      </c>
      <c r="GC149" s="121">
        <f>IF(N('Dvd Calendar'!$O$1486)=0,"",IF(('Dvd Calendar'!$O$1486&gt;=GRID_FROM)*('Dvd Calendar'!$O$1486&lt;=GRID_TO)*('Dvd Calendar'!$O$1486&gt;VAL_DATE)=0,"",'Dvd Calendar'!$O$1486*1000000000+ISNUMBER('Dvd Calendar'!$O$1487)*100000000+0*10000000+(N('Dvd Calendar'!$O$1485)&gt;0)*(N('Dvd Calendar'!$O$1485)&lt;=VAL_SERIAL)*1000000+34*1000+51))</f>
        <v/>
      </c>
      <c r="GD149" s="121">
        <f>IF(N('Dvd Calendar'!$P$1486)=0,"",IF(('Dvd Calendar'!$P$1486&gt;=GRID_FROM)*('Dvd Calendar'!$P$1486&lt;=GRID_TO)*('Dvd Calendar'!$P$1486&gt;VAL_DATE)=0,"",'Dvd Calendar'!$P$1486*1000000000+ISNUMBER('Dvd Calendar'!$P$1487)*100000000+0*10000000+(N('Dvd Calendar'!$P$1485)&gt;0)*(N('Dvd Calendar'!$P$1485)&lt;=VAL_SERIAL)*1000000+34*1000+52))</f>
        <v/>
      </c>
      <c r="GE149" s="121">
        <f>IF(N('Dvd Calendar'!$Q$1486)=0,"",IF(('Dvd Calendar'!$Q$1486&gt;=GRID_FROM)*('Dvd Calendar'!$Q$1486&lt;=GRID_TO)*('Dvd Calendar'!$Q$1486&gt;VAL_DATE)=0,"",'Dvd Calendar'!$Q$1486*1000000000+ISNUMBER('Dvd Calendar'!$Q$1487)*100000000+0*10000000+(N('Dvd Calendar'!$Q$1485)&gt;0)*(N('Dvd Calendar'!$Q$1485)&lt;=VAL_SERIAL)*1000000+34*1000+53))</f>
        <v/>
      </c>
      <c r="GF149" s="121">
        <f>IF(N('Dvd Calendar'!$R$1486)=0,"",IF(('Dvd Calendar'!$R$1486&gt;=GRID_FROM)*('Dvd Calendar'!$R$1486&lt;=GRID_TO)*('Dvd Calendar'!$R$1486&gt;VAL_DATE)=0,"",'Dvd Calendar'!$R$1486*1000000000+ISNUMBER('Dvd Calendar'!$R$1487)*100000000+0*10000000+(N('Dvd Calendar'!$R$1485)&gt;0)*(N('Dvd Calendar'!$R$1485)&lt;=VAL_SERIAL)*1000000+34*1000+54))</f>
        <v/>
      </c>
      <c r="GG149" s="121">
        <f>IF(N('Dvd Calendar'!$S$1486)=0,"",IF(('Dvd Calendar'!$S$1486&gt;=GRID_FROM)*('Dvd Calendar'!$S$1486&lt;=GRID_TO)*('Dvd Calendar'!$S$1486&gt;VAL_DATE)=0,"",'Dvd Calendar'!$S$1486*1000000000+ISNUMBER('Dvd Calendar'!$S$1487)*100000000+0*10000000+(N('Dvd Calendar'!$S$1485)&gt;0)*(N('Dvd Calendar'!$S$1485)&lt;=VAL_SERIAL)*1000000+34*1000+55))</f>
        <v/>
      </c>
      <c r="GH149" s="121">
        <f>IF(N('Dvd Calendar'!$T$1486)=0,"",IF(('Dvd Calendar'!$T$1486&gt;=GRID_FROM)*('Dvd Calendar'!$T$1486&lt;=GRID_TO)*('Dvd Calendar'!$T$1486&gt;VAL_DATE)=0,"",'Dvd Calendar'!$T$1486*1000000000+ISNUMBER('Dvd Calendar'!$T$1487)*100000000+0*10000000+(N('Dvd Calendar'!$T$1485)&gt;0)*(N('Dvd Calendar'!$T$1485)&lt;=VAL_SERIAL)*1000000+34*1000+56))</f>
        <v/>
      </c>
      <c r="GI149" s="121">
        <f>IF(N('Dvd Calendar'!$U$1486)=0,"",IF(('Dvd Calendar'!$U$1486&gt;=GRID_FROM)*('Dvd Calendar'!$U$1486&lt;=GRID_TO)*('Dvd Calendar'!$U$1486&gt;VAL_DATE)=0,"",'Dvd Calendar'!$U$1486*1000000000+ISNUMBER('Dvd Calendar'!$U$1487)*100000000+0*10000000+(N('Dvd Calendar'!$U$1485)&gt;0)*(N('Dvd Calendar'!$U$1485)&lt;=VAL_SERIAL)*1000000+34*1000+57))</f>
        <v/>
      </c>
      <c r="GJ149" s="121">
        <f>IF(N('Dvd Calendar'!$V$1486)=0,"",IF(('Dvd Calendar'!$V$1486&gt;=GRID_FROM)*('Dvd Calendar'!$V$1486&lt;=GRID_TO)*('Dvd Calendar'!$V$1486&gt;VAL_DATE)=0,"",'Dvd Calendar'!$V$1486*1000000000+ISNUMBER('Dvd Calendar'!$V$1487)*100000000+0*10000000+(N('Dvd Calendar'!$V$1485)&gt;0)*(N('Dvd Calendar'!$V$1485)&lt;=VAL_SERIAL)*1000000+34*1000+58))</f>
        <v/>
      </c>
      <c r="GK149" s="121">
        <f>IF(N('Dvd Calendar'!$W$1486)=0,"",IF(('Dvd Calendar'!$W$1486&gt;=GRID_FROM)*('Dvd Calendar'!$W$1486&lt;=GRID_TO)*('Dvd Calendar'!$W$1486&gt;VAL_DATE)=0,"",'Dvd Calendar'!$W$1486*1000000000+ISNUMBER('Dvd Calendar'!$W$1487)*100000000+0*10000000+(N('Dvd Calendar'!$W$1485)&gt;0)*(N('Dvd Calendar'!$W$1485)&lt;=VAL_SERIAL)*1000000+34*1000+59))</f>
        <v/>
      </c>
      <c r="GL149" s="121">
        <f>IF(N('Dvd Calendar'!$X$1486)=0,"",IF(('Dvd Calendar'!$X$1486&gt;=GRID_FROM)*('Dvd Calendar'!$X$1486&lt;=GRID_TO)*('Dvd Calendar'!$X$1486&gt;VAL_DATE)=0,"",'Dvd Calendar'!$X$1486*1000000000+ISNUMBER('Dvd Calendar'!$X$1487)*100000000+0*10000000+(N('Dvd Calendar'!$X$1485)&gt;0)*(N('Dvd Calendar'!$X$1485)&lt;=VAL_SERIAL)*1000000+34*1000+60))</f>
        <v/>
      </c>
      <c r="GM149" s="121">
        <f>IF(N('Dvd Calendar'!$Y$1486)=0,"",IF(('Dvd Calendar'!$Y$1486&gt;=GRID_FROM)*('Dvd Calendar'!$Y$1486&lt;=GRID_TO)*('Dvd Calendar'!$Y$1486&gt;VAL_DATE)=0,"",'Dvd Calendar'!$Y$1486*1000000000+ISNUMBER('Dvd Calendar'!$Y$1487)*100000000+0*10000000+(N('Dvd Calendar'!$Y$1485)&gt;0)*(N('Dvd Calendar'!$Y$1485)&lt;=VAL_SERIAL)*1000000+34*1000+61))</f>
        <v/>
      </c>
      <c r="GN149" s="121">
        <f>IF(N('Dvd Calendar'!$Z$1486)=0,"",IF(('Dvd Calendar'!$Z$1486&gt;=GRID_FROM)*('Dvd Calendar'!$Z$1486&lt;=GRID_TO)*('Dvd Calendar'!$Z$1486&gt;VAL_DATE)=0,"",'Dvd Calendar'!$Z$1486*1000000000+ISNUMBER('Dvd Calendar'!$Z$1487)*100000000+0*10000000+(N('Dvd Calendar'!$Z$1485)&gt;0)*(N('Dvd Calendar'!$Z$1485)&lt;=VAL_SERIAL)*1000000+34*1000+62))</f>
        <v/>
      </c>
      <c r="GO149" s="121">
        <f>IF(N('Dvd Calendar'!$AA$1486)=0,"",IF(('Dvd Calendar'!$AA$1486&gt;=GRID_FROM)*('Dvd Calendar'!$AA$1486&lt;=GRID_TO)*('Dvd Calendar'!$AA$1486&gt;VAL_DATE)=0,"",'Dvd Calendar'!$AA$1486*1000000000+ISNUMBER('Dvd Calendar'!$AA$1487)*100000000+0*10000000+(N('Dvd Calendar'!$AA$1485)&gt;0)*(N('Dvd Calendar'!$AA$1485)&lt;=VAL_SERIAL)*1000000+34*1000+63))</f>
        <v/>
      </c>
      <c r="GP149" s="121">
        <f>IF(N('Dvd Calendar'!$AB$1486)=0,"",IF(('Dvd Calendar'!$AB$1486&gt;=GRID_FROM)*('Dvd Calendar'!$AB$1486&lt;=GRID_TO)*('Dvd Calendar'!$AB$1486&gt;VAL_DATE)=0,"",'Dvd Calendar'!$AB$1486*1000000000+ISNUMBER('Dvd Calendar'!$AB$1487)*100000000+0*10000000+(N('Dvd Calendar'!$AB$1485)&gt;0)*(N('Dvd Calendar'!$AB$1485)&lt;=VAL_SERIAL)*1000000+34*1000+64))</f>
        <v/>
      </c>
      <c r="GQ149" s="121">
        <f>IF(N('Dvd Calendar'!$AC$1486)=0,"",IF(('Dvd Calendar'!$AC$1486&gt;=GRID_FROM)*('Dvd Calendar'!$AC$1486&lt;=GRID_TO)*('Dvd Calendar'!$AC$1486&gt;VAL_DATE)=0,"",'Dvd Calendar'!$AC$1486*1000000000+ISNUMBER('Dvd Calendar'!$AC$1487)*100000000+0*10000000+(N('Dvd Calendar'!$AC$1485)&gt;0)*(N('Dvd Calendar'!$AC$1485)&lt;=VAL_SERIAL)*1000000+34*1000+65))</f>
        <v/>
      </c>
    </row>
    <row r="150">
      <c r="B150" s="2">
        <f>IF(HSTECH!$C$41="","",HSTECH!$C$41)</f>
        <v/>
      </c>
      <c r="C150" s="161">
        <f>IF(EE150="","",IF(ISNUMBER('Dvd Calendar'!$E$1493)=FALSE,"",IF((('Dvd Calendar'!$E$1495=TYPE1)*(TYPE1&lt;&gt;"")+('Dvd Calendar'!$E$1495=TYPE2)*(TYPE2&lt;&gt;"")+('Dvd Calendar'!$E$1495=TYPE3)*(TYPE3&lt;&gt;"")+('Dvd Calendar'!$E$1495=TYPE4)*(TYPE4&lt;&gt;"")+('Dvd Calendar'!$E$1495=SPECIAL_LBL)*(INC_SPECIALS="Y"))=0,"",'Dvd Calendar'!$E$1493)))</f>
        <v/>
      </c>
      <c r="D150" s="161">
        <f>IF(EF150="","",IF(ISNUMBER('Dvd Calendar'!$F$1493)=FALSE,"",IF((('Dvd Calendar'!$F$1495=TYPE1)*(TYPE1&lt;&gt;"")+('Dvd Calendar'!$F$1495=TYPE2)*(TYPE2&lt;&gt;"")+('Dvd Calendar'!$F$1495=TYPE3)*(TYPE3&lt;&gt;"")+('Dvd Calendar'!$F$1495=TYPE4)*(TYPE4&lt;&gt;"")+('Dvd Calendar'!$F$1495=SPECIAL_LBL)*(INC_SPECIALS="Y"))=0,"",'Dvd Calendar'!$F$1493)))</f>
        <v/>
      </c>
      <c r="E150" s="161">
        <f>IF(EG150="","",IF(ISNUMBER('Dvd Calendar'!$G$1493)=FALSE,"",IF((('Dvd Calendar'!$G$1495=TYPE1)*(TYPE1&lt;&gt;"")+('Dvd Calendar'!$G$1495=TYPE2)*(TYPE2&lt;&gt;"")+('Dvd Calendar'!$G$1495=TYPE3)*(TYPE3&lt;&gt;"")+('Dvd Calendar'!$G$1495=TYPE4)*(TYPE4&lt;&gt;"")+('Dvd Calendar'!$G$1495=SPECIAL_LBL)*(INC_SPECIALS="Y"))=0,"",'Dvd Calendar'!$G$1493)))</f>
        <v/>
      </c>
      <c r="F150" s="161">
        <f>IF(EH150="","",IF(ISNUMBER('Dvd Calendar'!$H$1493)=FALSE,"",IF((('Dvd Calendar'!$H$1495=TYPE1)*(TYPE1&lt;&gt;"")+('Dvd Calendar'!$H$1495=TYPE2)*(TYPE2&lt;&gt;"")+('Dvd Calendar'!$H$1495=TYPE3)*(TYPE3&lt;&gt;"")+('Dvd Calendar'!$H$1495=TYPE4)*(TYPE4&lt;&gt;"")+('Dvd Calendar'!$H$1495=SPECIAL_LBL)*(INC_SPECIALS="Y"))=0,"",'Dvd Calendar'!$H$1493)))</f>
        <v/>
      </c>
      <c r="G150" s="161">
        <f>IF(EI150="","",IF(ISNUMBER('Dvd Calendar'!$I$1493)=FALSE,"",IF((('Dvd Calendar'!$I$1495=TYPE1)*(TYPE1&lt;&gt;"")+('Dvd Calendar'!$I$1495=TYPE2)*(TYPE2&lt;&gt;"")+('Dvd Calendar'!$I$1495=TYPE3)*(TYPE3&lt;&gt;"")+('Dvd Calendar'!$I$1495=TYPE4)*(TYPE4&lt;&gt;"")+('Dvd Calendar'!$I$1495=SPECIAL_LBL)*(INC_SPECIALS="Y"))=0,"",'Dvd Calendar'!$I$1493)))</f>
        <v/>
      </c>
      <c r="H150" s="161">
        <f>IF(EJ150="","",IF(ISNUMBER('Dvd Calendar'!$J$1493)=FALSE,"",IF((('Dvd Calendar'!$J$1495=TYPE1)*(TYPE1&lt;&gt;"")+('Dvd Calendar'!$J$1495=TYPE2)*(TYPE2&lt;&gt;"")+('Dvd Calendar'!$J$1495=TYPE3)*(TYPE3&lt;&gt;"")+('Dvd Calendar'!$J$1495=TYPE4)*(TYPE4&lt;&gt;"")+('Dvd Calendar'!$J$1495=SPECIAL_LBL)*(INC_SPECIALS="Y"))=0,"",'Dvd Calendar'!$J$1493)))</f>
        <v/>
      </c>
      <c r="I150" s="161">
        <f>IF(EK150="","",IF(ISNUMBER('Dvd Calendar'!$K$1493)=FALSE,"",IF((('Dvd Calendar'!$K$1495=TYPE1)*(TYPE1&lt;&gt;"")+('Dvd Calendar'!$K$1495=TYPE2)*(TYPE2&lt;&gt;"")+('Dvd Calendar'!$K$1495=TYPE3)*(TYPE3&lt;&gt;"")+('Dvd Calendar'!$K$1495=TYPE4)*(TYPE4&lt;&gt;"")+('Dvd Calendar'!$K$1495=SPECIAL_LBL)*(INC_SPECIALS="Y"))=0,"",'Dvd Calendar'!$K$1493)))</f>
        <v/>
      </c>
      <c r="J150" s="161">
        <f>IF(EL150="","",IF(ISNUMBER('Dvd Calendar'!$L$1493)=FALSE,"",IF((('Dvd Calendar'!$L$1495=TYPE1)*(TYPE1&lt;&gt;"")+('Dvd Calendar'!$L$1495=TYPE2)*(TYPE2&lt;&gt;"")+('Dvd Calendar'!$L$1495=TYPE3)*(TYPE3&lt;&gt;"")+('Dvd Calendar'!$L$1495=TYPE4)*(TYPE4&lt;&gt;"")+('Dvd Calendar'!$L$1495=SPECIAL_LBL)*(INC_SPECIALS="Y"))=0,"",'Dvd Calendar'!$L$1493)))</f>
        <v/>
      </c>
      <c r="K150" s="161">
        <f>IF(EM150="","",IF(ISNUMBER('Dvd Calendar'!$M$1493)=FALSE,"",IF((('Dvd Calendar'!$M$1495=TYPE1)*(TYPE1&lt;&gt;"")+('Dvd Calendar'!$M$1495=TYPE2)*(TYPE2&lt;&gt;"")+('Dvd Calendar'!$M$1495=TYPE3)*(TYPE3&lt;&gt;"")+('Dvd Calendar'!$M$1495=TYPE4)*(TYPE4&lt;&gt;"")+('Dvd Calendar'!$M$1495=SPECIAL_LBL)*(INC_SPECIALS="Y"))=0,"",'Dvd Calendar'!$M$1493)))</f>
        <v/>
      </c>
      <c r="L150" s="161">
        <f>IF(EN150="","",IF(ISNUMBER('Dvd Calendar'!$N$1493)=FALSE,"",IF((('Dvd Calendar'!$N$1495=TYPE1)*(TYPE1&lt;&gt;"")+('Dvd Calendar'!$N$1495=TYPE2)*(TYPE2&lt;&gt;"")+('Dvd Calendar'!$N$1495=TYPE3)*(TYPE3&lt;&gt;"")+('Dvd Calendar'!$N$1495=TYPE4)*(TYPE4&lt;&gt;"")+('Dvd Calendar'!$N$1495=SPECIAL_LBL)*(INC_SPECIALS="Y"))=0,"",'Dvd Calendar'!$N$1493)))</f>
        <v/>
      </c>
      <c r="M150" s="161">
        <f>IF(EO150="","",IF(ISNUMBER('Dvd Calendar'!$O$1493)=FALSE,"",IF((('Dvd Calendar'!$O$1495=TYPE1)*(TYPE1&lt;&gt;"")+('Dvd Calendar'!$O$1495=TYPE2)*(TYPE2&lt;&gt;"")+('Dvd Calendar'!$O$1495=TYPE3)*(TYPE3&lt;&gt;"")+('Dvd Calendar'!$O$1495=TYPE4)*(TYPE4&lt;&gt;"")+('Dvd Calendar'!$O$1495=SPECIAL_LBL)*(INC_SPECIALS="Y"))=0,"",'Dvd Calendar'!$O$1493)))</f>
        <v/>
      </c>
      <c r="N150" s="161">
        <f>IF(EP150="","",IF(ISNUMBER('Dvd Calendar'!$P$1493)=FALSE,"",IF((('Dvd Calendar'!$P$1495=TYPE1)*(TYPE1&lt;&gt;"")+('Dvd Calendar'!$P$1495=TYPE2)*(TYPE2&lt;&gt;"")+('Dvd Calendar'!$P$1495=TYPE3)*(TYPE3&lt;&gt;"")+('Dvd Calendar'!$P$1495=TYPE4)*(TYPE4&lt;&gt;"")+('Dvd Calendar'!$P$1495=SPECIAL_LBL)*(INC_SPECIALS="Y"))=0,"",'Dvd Calendar'!$P$1493)))</f>
        <v/>
      </c>
      <c r="O150" s="161">
        <f>IF(EQ150="","",IF(ISNUMBER('Dvd Calendar'!$Q$1493)=FALSE,"",IF((('Dvd Calendar'!$Q$1495=TYPE1)*(TYPE1&lt;&gt;"")+('Dvd Calendar'!$Q$1495=TYPE2)*(TYPE2&lt;&gt;"")+('Dvd Calendar'!$Q$1495=TYPE3)*(TYPE3&lt;&gt;"")+('Dvd Calendar'!$Q$1495=TYPE4)*(TYPE4&lt;&gt;"")+('Dvd Calendar'!$Q$1495=SPECIAL_LBL)*(INC_SPECIALS="Y"))=0,"",'Dvd Calendar'!$Q$1493)))</f>
        <v/>
      </c>
      <c r="P150" s="161">
        <f>IF(ER150="","",IF(ISNUMBER('Dvd Calendar'!$R$1493)=FALSE,"",IF((('Dvd Calendar'!$R$1495=TYPE1)*(TYPE1&lt;&gt;"")+('Dvd Calendar'!$R$1495=TYPE2)*(TYPE2&lt;&gt;"")+('Dvd Calendar'!$R$1495=TYPE3)*(TYPE3&lt;&gt;"")+('Dvd Calendar'!$R$1495=TYPE4)*(TYPE4&lt;&gt;"")+('Dvd Calendar'!$R$1495=SPECIAL_LBL)*(INC_SPECIALS="Y"))=0,"",'Dvd Calendar'!$R$1493)))</f>
        <v/>
      </c>
      <c r="Q150" s="161">
        <f>IF(ES150="","",IF(ISNUMBER('Dvd Calendar'!$S$1493)=FALSE,"",IF((('Dvd Calendar'!$S$1495=TYPE1)*(TYPE1&lt;&gt;"")+('Dvd Calendar'!$S$1495=TYPE2)*(TYPE2&lt;&gt;"")+('Dvd Calendar'!$S$1495=TYPE3)*(TYPE3&lt;&gt;"")+('Dvd Calendar'!$S$1495=TYPE4)*(TYPE4&lt;&gt;"")+('Dvd Calendar'!$S$1495=SPECIAL_LBL)*(INC_SPECIALS="Y"))=0,"",'Dvd Calendar'!$S$1493)))</f>
        <v/>
      </c>
      <c r="R150" s="161">
        <f>IF(ET150="","",IF(ISNUMBER('Dvd Calendar'!$T$1493)=FALSE,"",IF((('Dvd Calendar'!$T$1495=TYPE1)*(TYPE1&lt;&gt;"")+('Dvd Calendar'!$T$1495=TYPE2)*(TYPE2&lt;&gt;"")+('Dvd Calendar'!$T$1495=TYPE3)*(TYPE3&lt;&gt;"")+('Dvd Calendar'!$T$1495=TYPE4)*(TYPE4&lt;&gt;"")+('Dvd Calendar'!$T$1495=SPECIAL_LBL)*(INC_SPECIALS="Y"))=0,"",'Dvd Calendar'!$T$1493)))</f>
        <v/>
      </c>
      <c r="S150" s="161">
        <f>IF(EU150="","",IF(ISNUMBER('Dvd Calendar'!$U$1493)=FALSE,"",IF((('Dvd Calendar'!$U$1495=TYPE1)*(TYPE1&lt;&gt;"")+('Dvd Calendar'!$U$1495=TYPE2)*(TYPE2&lt;&gt;"")+('Dvd Calendar'!$U$1495=TYPE3)*(TYPE3&lt;&gt;"")+('Dvd Calendar'!$U$1495=TYPE4)*(TYPE4&lt;&gt;"")+('Dvd Calendar'!$U$1495=SPECIAL_LBL)*(INC_SPECIALS="Y"))=0,"",'Dvd Calendar'!$U$1493)))</f>
        <v/>
      </c>
      <c r="T150" s="161">
        <f>IF(EV150="","",IF(ISNUMBER('Dvd Calendar'!$V$1493)=FALSE,"",IF((('Dvd Calendar'!$V$1495=TYPE1)*(TYPE1&lt;&gt;"")+('Dvd Calendar'!$V$1495=TYPE2)*(TYPE2&lt;&gt;"")+('Dvd Calendar'!$V$1495=TYPE3)*(TYPE3&lt;&gt;"")+('Dvd Calendar'!$V$1495=TYPE4)*(TYPE4&lt;&gt;"")+('Dvd Calendar'!$V$1495=SPECIAL_LBL)*(INC_SPECIALS="Y"))=0,"",'Dvd Calendar'!$V$1493)))</f>
        <v/>
      </c>
      <c r="U150" s="161">
        <f>IF(EW150="","",IF(ISNUMBER('Dvd Calendar'!$W$1493)=FALSE,"",IF((('Dvd Calendar'!$W$1495=TYPE1)*(TYPE1&lt;&gt;"")+('Dvd Calendar'!$W$1495=TYPE2)*(TYPE2&lt;&gt;"")+('Dvd Calendar'!$W$1495=TYPE3)*(TYPE3&lt;&gt;"")+('Dvd Calendar'!$W$1495=TYPE4)*(TYPE4&lt;&gt;"")+('Dvd Calendar'!$W$1495=SPECIAL_LBL)*(INC_SPECIALS="Y"))=0,"",'Dvd Calendar'!$W$1493)))</f>
        <v/>
      </c>
      <c r="V150" s="161">
        <f>IF(EX150="","",IF(ISNUMBER('Dvd Calendar'!$X$1493)=FALSE,"",IF((('Dvd Calendar'!$X$1495=TYPE1)*(TYPE1&lt;&gt;"")+('Dvd Calendar'!$X$1495=TYPE2)*(TYPE2&lt;&gt;"")+('Dvd Calendar'!$X$1495=TYPE3)*(TYPE3&lt;&gt;"")+('Dvd Calendar'!$X$1495=TYPE4)*(TYPE4&lt;&gt;"")+('Dvd Calendar'!$X$1495=SPECIAL_LBL)*(INC_SPECIALS="Y"))=0,"",'Dvd Calendar'!$X$1493)))</f>
        <v/>
      </c>
      <c r="W150" s="161">
        <f>IF(EY150="","",IF(ISNUMBER('Dvd Calendar'!$Y$1493)=FALSE,"",IF((('Dvd Calendar'!$Y$1495=TYPE1)*(TYPE1&lt;&gt;"")+('Dvd Calendar'!$Y$1495=TYPE2)*(TYPE2&lt;&gt;"")+('Dvd Calendar'!$Y$1495=TYPE3)*(TYPE3&lt;&gt;"")+('Dvd Calendar'!$Y$1495=TYPE4)*(TYPE4&lt;&gt;"")+('Dvd Calendar'!$Y$1495=SPECIAL_LBL)*(INC_SPECIALS="Y"))=0,"",'Dvd Calendar'!$Y$1493)))</f>
        <v/>
      </c>
      <c r="X150" s="161">
        <f>IF(EZ150="","",IF(ISNUMBER('Dvd Calendar'!$Z$1493)=FALSE,"",IF((('Dvd Calendar'!$Z$1495=TYPE1)*(TYPE1&lt;&gt;"")+('Dvd Calendar'!$Z$1495=TYPE2)*(TYPE2&lt;&gt;"")+('Dvd Calendar'!$Z$1495=TYPE3)*(TYPE3&lt;&gt;"")+('Dvd Calendar'!$Z$1495=TYPE4)*(TYPE4&lt;&gt;"")+('Dvd Calendar'!$Z$1495=SPECIAL_LBL)*(INC_SPECIALS="Y"))=0,"",'Dvd Calendar'!$Z$1493)))</f>
        <v/>
      </c>
      <c r="Y150" s="161">
        <f>IF(FA150="","",IF(ISNUMBER('Dvd Calendar'!$AA$1493)=FALSE,"",IF((('Dvd Calendar'!$AA$1495=TYPE1)*(TYPE1&lt;&gt;"")+('Dvd Calendar'!$AA$1495=TYPE2)*(TYPE2&lt;&gt;"")+('Dvd Calendar'!$AA$1495=TYPE3)*(TYPE3&lt;&gt;"")+('Dvd Calendar'!$AA$1495=TYPE4)*(TYPE4&lt;&gt;"")+('Dvd Calendar'!$AA$1495=SPECIAL_LBL)*(INC_SPECIALS="Y"))=0,"",'Dvd Calendar'!$AA$1493)))</f>
        <v/>
      </c>
      <c r="Z150" s="161">
        <f>IF(FB150="","",IF(ISNUMBER('Dvd Calendar'!$AB$1493)=FALSE,"",IF((('Dvd Calendar'!$AB$1495=TYPE1)*(TYPE1&lt;&gt;"")+('Dvd Calendar'!$AB$1495=TYPE2)*(TYPE2&lt;&gt;"")+('Dvd Calendar'!$AB$1495=TYPE3)*(TYPE3&lt;&gt;"")+('Dvd Calendar'!$AB$1495=TYPE4)*(TYPE4&lt;&gt;"")+('Dvd Calendar'!$AB$1495=SPECIAL_LBL)*(INC_SPECIALS="Y"))=0,"",'Dvd Calendar'!$AB$1493)))</f>
        <v/>
      </c>
      <c r="AA150" s="161">
        <f>IF(FC150="","",IF(ISNUMBER('Dvd Calendar'!$AC$1493)=FALSE,"",IF((('Dvd Calendar'!$AC$1495=TYPE1)*(TYPE1&lt;&gt;"")+('Dvd Calendar'!$AC$1495=TYPE2)*(TYPE2&lt;&gt;"")+('Dvd Calendar'!$AC$1495=TYPE3)*(TYPE3&lt;&gt;"")+('Dvd Calendar'!$AC$1495=TYPE4)*(TYPE4&lt;&gt;"")+('Dvd Calendar'!$AC$1495=SPECIAL_LBL)*(INC_SPECIALS="Y"))=0,"",'Dvd Calendar'!$AC$1493)))</f>
        <v/>
      </c>
      <c r="AB150" s="161">
        <f>IF(FD150="","",IF(ISNUMBER('Dvd Calendar'!$AD$1493)=FALSE,"",IF((('Dvd Calendar'!$AD$1495=TYPE1)*(TYPE1&lt;&gt;"")+('Dvd Calendar'!$AD$1495=TYPE2)*(TYPE2&lt;&gt;"")+('Dvd Calendar'!$AD$1495=TYPE3)*(TYPE3&lt;&gt;"")+('Dvd Calendar'!$AD$1495=TYPE4)*(TYPE4&lt;&gt;"")+('Dvd Calendar'!$AD$1495=SPECIAL_LBL)*(INC_SPECIALS="Y"))=0,"",'Dvd Calendar'!$AD$1493)))</f>
        <v/>
      </c>
      <c r="AC150" s="161">
        <f>IF(FE150="","",IF(ISNUMBER('Dvd Calendar'!$AE$1493)=FALSE,"",IF((('Dvd Calendar'!$AE$1495=TYPE1)*(TYPE1&lt;&gt;"")+('Dvd Calendar'!$AE$1495=TYPE2)*(TYPE2&lt;&gt;"")+('Dvd Calendar'!$AE$1495=TYPE3)*(TYPE3&lt;&gt;"")+('Dvd Calendar'!$AE$1495=TYPE4)*(TYPE4&lt;&gt;"")+('Dvd Calendar'!$AE$1495=SPECIAL_LBL)*(INC_SPECIALS="Y"))=0,"",'Dvd Calendar'!$AE$1493)))</f>
        <v/>
      </c>
      <c r="AD150" s="161">
        <f>IF(FF150="","",IF(ISNUMBER('Dvd Calendar'!$AF$1493)=FALSE,"",IF((('Dvd Calendar'!$AF$1495=TYPE1)*(TYPE1&lt;&gt;"")+('Dvd Calendar'!$AF$1495=TYPE2)*(TYPE2&lt;&gt;"")+('Dvd Calendar'!$AF$1495=TYPE3)*(TYPE3&lt;&gt;"")+('Dvd Calendar'!$AF$1495=TYPE4)*(TYPE4&lt;&gt;"")+('Dvd Calendar'!$AF$1495=SPECIAL_LBL)*(INC_SPECIALS="Y"))=0,"",'Dvd Calendar'!$AF$1493)))</f>
        <v/>
      </c>
      <c r="AE150" s="161">
        <f>IF(FG150="","",IF(ISNUMBER('Dvd Calendar'!$AG$1493)=FALSE,"",IF((('Dvd Calendar'!$AG$1495=TYPE1)*(TYPE1&lt;&gt;"")+('Dvd Calendar'!$AG$1495=TYPE2)*(TYPE2&lt;&gt;"")+('Dvd Calendar'!$AG$1495=TYPE3)*(TYPE3&lt;&gt;"")+('Dvd Calendar'!$AG$1495=TYPE4)*(TYPE4&lt;&gt;"")+('Dvd Calendar'!$AG$1495=SPECIAL_LBL)*(INC_SPECIALS="Y"))=0,"",'Dvd Calendar'!$AG$1493)))</f>
        <v/>
      </c>
      <c r="AF150" s="161">
        <f>IF(FH150="","",IF(ISNUMBER('Dvd Calendar'!$AH$1493)=FALSE,"",IF((('Dvd Calendar'!$AH$1495=TYPE1)*(TYPE1&lt;&gt;"")+('Dvd Calendar'!$AH$1495=TYPE2)*(TYPE2&lt;&gt;"")+('Dvd Calendar'!$AH$1495=TYPE3)*(TYPE3&lt;&gt;"")+('Dvd Calendar'!$AH$1495=TYPE4)*(TYPE4&lt;&gt;"")+('Dvd Calendar'!$AH$1495=SPECIAL_LBL)*(INC_SPECIALS="Y"))=0,"",'Dvd Calendar'!$AH$1493)))</f>
        <v/>
      </c>
      <c r="AG150" s="161">
        <f>IF(FI150="","",IF(ISNUMBER('Dvd Calendar'!$AI$1493)=FALSE,"",IF((('Dvd Calendar'!$AI$1495=TYPE1)*(TYPE1&lt;&gt;"")+('Dvd Calendar'!$AI$1495=TYPE2)*(TYPE2&lt;&gt;"")+('Dvd Calendar'!$AI$1495=TYPE3)*(TYPE3&lt;&gt;"")+('Dvd Calendar'!$AI$1495=TYPE4)*(TYPE4&lt;&gt;"")+('Dvd Calendar'!$AI$1495=SPECIAL_LBL)*(INC_SPECIALS="Y"))=0,"",'Dvd Calendar'!$AI$1493)))</f>
        <v/>
      </c>
      <c r="AH150" s="161">
        <f>IF(FJ150="","",IF(ISNUMBER('Dvd Calendar'!$AJ$1493)=FALSE,"",IF((('Dvd Calendar'!$AJ$1495=TYPE1)*(TYPE1&lt;&gt;"")+('Dvd Calendar'!$AJ$1495=TYPE2)*(TYPE2&lt;&gt;"")+('Dvd Calendar'!$AJ$1495=TYPE3)*(TYPE3&lt;&gt;"")+('Dvd Calendar'!$AJ$1495=TYPE4)*(TYPE4&lt;&gt;"")+('Dvd Calendar'!$AJ$1495=SPECIAL_LBL)*(INC_SPECIALS="Y"))=0,"",'Dvd Calendar'!$AJ$1493)))</f>
        <v/>
      </c>
      <c r="AI150" s="161">
        <f>IF(FK150="","",IF(ISNUMBER('Dvd Calendar'!$AK$1493)=FALSE,"",IF((('Dvd Calendar'!$AK$1495=TYPE1)*(TYPE1&lt;&gt;"")+('Dvd Calendar'!$AK$1495=TYPE2)*(TYPE2&lt;&gt;"")+('Dvd Calendar'!$AK$1495=TYPE3)*(TYPE3&lt;&gt;"")+('Dvd Calendar'!$AK$1495=TYPE4)*(TYPE4&lt;&gt;"")+('Dvd Calendar'!$AK$1495=SPECIAL_LBL)*(INC_SPECIALS="Y"))=0,"",'Dvd Calendar'!$AK$1493)))</f>
        <v/>
      </c>
      <c r="AJ150" s="161">
        <f>IF(FL150="","",IF(ISNUMBER('Dvd Calendar'!$AL$1493)=FALSE,"",IF((('Dvd Calendar'!$AL$1495=TYPE1)*(TYPE1&lt;&gt;"")+('Dvd Calendar'!$AL$1495=TYPE2)*(TYPE2&lt;&gt;"")+('Dvd Calendar'!$AL$1495=TYPE3)*(TYPE3&lt;&gt;"")+('Dvd Calendar'!$AL$1495=TYPE4)*(TYPE4&lt;&gt;"")+('Dvd Calendar'!$AL$1495=SPECIAL_LBL)*(INC_SPECIALS="Y"))=0,"",'Dvd Calendar'!$AL$1493)))</f>
        <v/>
      </c>
      <c r="AK150" s="161">
        <f>IF(FM150="","",IF(ISNUMBER('Dvd Calendar'!$AM$1493)=FALSE,"",IF((('Dvd Calendar'!$AM$1495=TYPE1)*(TYPE1&lt;&gt;"")+('Dvd Calendar'!$AM$1495=TYPE2)*(TYPE2&lt;&gt;"")+('Dvd Calendar'!$AM$1495=TYPE3)*(TYPE3&lt;&gt;"")+('Dvd Calendar'!$AM$1495=TYPE4)*(TYPE4&lt;&gt;"")+('Dvd Calendar'!$AM$1495=SPECIAL_LBL)*(INC_SPECIALS="Y"))=0,"",'Dvd Calendar'!$AM$1493)))</f>
        <v/>
      </c>
      <c r="AL150" s="161">
        <f>IF(FN150="","",IF(ISNUMBER('Dvd Calendar'!$AN$1493)=FALSE,"",IF((('Dvd Calendar'!$AN$1495=TYPE1)*(TYPE1&lt;&gt;"")+('Dvd Calendar'!$AN$1495=TYPE2)*(TYPE2&lt;&gt;"")+('Dvd Calendar'!$AN$1495=TYPE3)*(TYPE3&lt;&gt;"")+('Dvd Calendar'!$AN$1495=TYPE4)*(TYPE4&lt;&gt;"")+('Dvd Calendar'!$AN$1495=SPECIAL_LBL)*(INC_SPECIALS="Y"))=0,"",'Dvd Calendar'!$AN$1493)))</f>
        <v/>
      </c>
      <c r="AM150" s="161">
        <f>IF(FO150="","",IF(ISNUMBER('Dvd Calendar'!$AO$1493)=FALSE,"",IF((('Dvd Calendar'!$AO$1495=TYPE1)*(TYPE1&lt;&gt;"")+('Dvd Calendar'!$AO$1495=TYPE2)*(TYPE2&lt;&gt;"")+('Dvd Calendar'!$AO$1495=TYPE3)*(TYPE3&lt;&gt;"")+('Dvd Calendar'!$AO$1495=TYPE4)*(TYPE4&lt;&gt;"")+('Dvd Calendar'!$AO$1495=SPECIAL_LBL)*(INC_SPECIALS="Y"))=0,"",'Dvd Calendar'!$AO$1493)))</f>
        <v/>
      </c>
      <c r="AN150" s="161">
        <f>IF(FP150="","",IF(ISNUMBER('Dvd Calendar'!$AP$1493)=FALSE,"",IF((('Dvd Calendar'!$AP$1495=TYPE1)*(TYPE1&lt;&gt;"")+('Dvd Calendar'!$AP$1495=TYPE2)*(TYPE2&lt;&gt;"")+('Dvd Calendar'!$AP$1495=TYPE3)*(TYPE3&lt;&gt;"")+('Dvd Calendar'!$AP$1495=TYPE4)*(TYPE4&lt;&gt;"")+('Dvd Calendar'!$AP$1495=SPECIAL_LBL)*(INC_SPECIALS="Y"))=0,"",'Dvd Calendar'!$AP$1493)))</f>
        <v/>
      </c>
      <c r="AO150" s="161">
        <f>IF(FQ150="","",IF(ISNUMBER('Dvd Calendar'!$AQ$1493)=FALSE,"",IF((('Dvd Calendar'!$AQ$1495=TYPE1)*(TYPE1&lt;&gt;"")+('Dvd Calendar'!$AQ$1495=TYPE2)*(TYPE2&lt;&gt;"")+('Dvd Calendar'!$AQ$1495=TYPE3)*(TYPE3&lt;&gt;"")+('Dvd Calendar'!$AQ$1495=TYPE4)*(TYPE4&lt;&gt;"")+('Dvd Calendar'!$AQ$1495=SPECIAL_LBL)*(INC_SPECIALS="Y"))=0,"",'Dvd Calendar'!$AQ$1493)))</f>
        <v/>
      </c>
      <c r="AP150" s="161">
        <f>IF(FR150="","",IF(ISNUMBER('Dvd Calendar'!$AR$1493)=FALSE,"",IF((('Dvd Calendar'!$AR$1495=TYPE1)*(TYPE1&lt;&gt;"")+('Dvd Calendar'!$AR$1495=TYPE2)*(TYPE2&lt;&gt;"")+('Dvd Calendar'!$AR$1495=TYPE3)*(TYPE3&lt;&gt;"")+('Dvd Calendar'!$AR$1495=TYPE4)*(TYPE4&lt;&gt;"")+('Dvd Calendar'!$AR$1495=SPECIAL_LBL)*(INC_SPECIALS="Y"))=0,"",'Dvd Calendar'!$AR$1493)))</f>
        <v/>
      </c>
      <c r="AQ150" s="161">
        <f>IF(FS150="","",IF(ISNUMBER('Dvd Calendar'!$E$1498)=FALSE,"",'Dvd Calendar'!$E$1498))</f>
        <v/>
      </c>
      <c r="AR150" s="161">
        <f>IF(FT150="","",IF(ISNUMBER('Dvd Calendar'!$F$1498)=FALSE,"",'Dvd Calendar'!$F$1498))</f>
        <v/>
      </c>
      <c r="AS150" s="161">
        <f>IF(FU150="","",IF(ISNUMBER('Dvd Calendar'!$G$1498)=FALSE,"",'Dvd Calendar'!$G$1498))</f>
        <v/>
      </c>
      <c r="AT150" s="161">
        <f>IF(FV150="","",IF(ISNUMBER('Dvd Calendar'!$H$1498)=FALSE,"",'Dvd Calendar'!$H$1498))</f>
        <v/>
      </c>
      <c r="AU150" s="161">
        <f>IF(FW150="","",IF(ISNUMBER('Dvd Calendar'!$I$1498)=FALSE,"",'Dvd Calendar'!$I$1498))</f>
        <v/>
      </c>
      <c r="AV150" s="161">
        <f>IF(FX150="","",IF(ISNUMBER('Dvd Calendar'!$J$1498)=FALSE,"",'Dvd Calendar'!$J$1498))</f>
        <v/>
      </c>
      <c r="AW150" s="161">
        <f>IF(FY150="","",IF(ISNUMBER('Dvd Calendar'!$K$1498)=FALSE,"",'Dvd Calendar'!$K$1498))</f>
        <v/>
      </c>
      <c r="AX150" s="161">
        <f>IF(FZ150="","",IF(ISNUMBER('Dvd Calendar'!$L$1498)=FALSE,"",'Dvd Calendar'!$L$1498))</f>
        <v/>
      </c>
      <c r="AY150" s="161">
        <f>IF(GA150="","",IF(ISNUMBER('Dvd Calendar'!$M$1498)=FALSE,"",'Dvd Calendar'!$M$1498))</f>
        <v/>
      </c>
      <c r="AZ150" s="161">
        <f>IF(GB150="","",IF(ISNUMBER('Dvd Calendar'!$N$1498)=FALSE,"",'Dvd Calendar'!$N$1498))</f>
        <v/>
      </c>
      <c r="BA150" s="161">
        <f>IF(GC150="","",IF(ISNUMBER('Dvd Calendar'!$O$1498)=FALSE,"",'Dvd Calendar'!$O$1498))</f>
        <v/>
      </c>
      <c r="BB150" s="161">
        <f>IF(GD150="","",IF(ISNUMBER('Dvd Calendar'!$P$1498)=FALSE,"",'Dvd Calendar'!$P$1498))</f>
        <v/>
      </c>
      <c r="BC150" s="161">
        <f>IF(GE150="","",IF(ISNUMBER('Dvd Calendar'!$Q$1498)=FALSE,"",'Dvd Calendar'!$Q$1498))</f>
        <v/>
      </c>
      <c r="BD150" s="161">
        <f>IF(GF150="","",IF(ISNUMBER('Dvd Calendar'!$R$1498)=FALSE,"",'Dvd Calendar'!$R$1498))</f>
        <v/>
      </c>
      <c r="BE150" s="161">
        <f>IF(GG150="","",IF(ISNUMBER('Dvd Calendar'!$S$1498)=FALSE,"",'Dvd Calendar'!$S$1498))</f>
        <v/>
      </c>
      <c r="BF150" s="161">
        <f>IF(GH150="","",IF(ISNUMBER('Dvd Calendar'!$T$1498)=FALSE,"",'Dvd Calendar'!$T$1498))</f>
        <v/>
      </c>
      <c r="BG150" s="161">
        <f>IF(GI150="","",IF(ISNUMBER('Dvd Calendar'!$U$1498)=FALSE,"",'Dvd Calendar'!$U$1498))</f>
        <v/>
      </c>
      <c r="BH150" s="161">
        <f>IF(GJ150="","",IF(ISNUMBER('Dvd Calendar'!$V$1498)=FALSE,"",'Dvd Calendar'!$V$1498))</f>
        <v/>
      </c>
      <c r="BI150" s="161">
        <f>IF(GK150="","",IF(ISNUMBER('Dvd Calendar'!$W$1498)=FALSE,"",'Dvd Calendar'!$W$1498))</f>
        <v/>
      </c>
      <c r="BJ150" s="161">
        <f>IF(GL150="","",IF(ISNUMBER('Dvd Calendar'!$X$1498)=FALSE,"",'Dvd Calendar'!$X$1498))</f>
        <v/>
      </c>
      <c r="BK150" s="161">
        <f>IF(GM150="","",IF(ISNUMBER('Dvd Calendar'!$Y$1498)=FALSE,"",'Dvd Calendar'!$Y$1498))</f>
        <v/>
      </c>
      <c r="BL150" s="161">
        <f>IF(GN150="","",IF(ISNUMBER('Dvd Calendar'!$Z$1498)=FALSE,"",'Dvd Calendar'!$Z$1498))</f>
        <v/>
      </c>
      <c r="BM150" s="161">
        <f>IF(GO150="","",IF(ISNUMBER('Dvd Calendar'!$AA$1498)=FALSE,"",'Dvd Calendar'!$AA$1498))</f>
        <v/>
      </c>
      <c r="BN150" s="161">
        <f>IF(GP150="","",IF(ISNUMBER('Dvd Calendar'!$AB$1498)=FALSE,"",'Dvd Calendar'!$AB$1498))</f>
        <v/>
      </c>
      <c r="BO150" s="161">
        <f>IF(GQ150="","",IF(ISNUMBER('Dvd Calendar'!$AC$1498)=FALSE,"",'Dvd Calendar'!$AC$1498))</f>
        <v/>
      </c>
      <c r="BQ150" s="161">
        <f>IF(C150="","",IFERROR(C150*HSTECH!$B$41*HSTECH!$G$41/HSTECH!$B$3,""))</f>
        <v/>
      </c>
      <c r="BR150" s="161">
        <f>IF(D150="","",IFERROR(D150*HSTECH!$B$41*HSTECH!$G$41/HSTECH!$B$3,""))</f>
        <v/>
      </c>
      <c r="BS150" s="161">
        <f>IF(E150="","",IFERROR(E150*HSTECH!$B$41*HSTECH!$G$41/HSTECH!$B$3,""))</f>
        <v/>
      </c>
      <c r="BT150" s="161">
        <f>IF(F150="","",IFERROR(F150*HSTECH!$B$41*HSTECH!$G$41/HSTECH!$B$3,""))</f>
        <v/>
      </c>
      <c r="BU150" s="161">
        <f>IF(G150="","",IFERROR(G150*HSTECH!$B$41*HSTECH!$G$41/HSTECH!$B$3,""))</f>
        <v/>
      </c>
      <c r="BV150" s="161">
        <f>IF(H150="","",IFERROR(H150*HSTECH!$B$41*HSTECH!$G$41/HSTECH!$B$3,""))</f>
        <v/>
      </c>
      <c r="BW150" s="161">
        <f>IF(I150="","",IFERROR(I150*HSTECH!$B$41*HSTECH!$G$41/HSTECH!$B$3,""))</f>
        <v/>
      </c>
      <c r="BX150" s="161">
        <f>IF(J150="","",IFERROR(J150*HSTECH!$B$41*HSTECH!$G$41/HSTECH!$B$3,""))</f>
        <v/>
      </c>
      <c r="BY150" s="161">
        <f>IF(K150="","",IFERROR(K150*HSTECH!$B$41*HSTECH!$G$41/HSTECH!$B$3,""))</f>
        <v/>
      </c>
      <c r="BZ150" s="161">
        <f>IF(L150="","",IFERROR(L150*HSTECH!$B$41*HSTECH!$G$41/HSTECH!$B$3,""))</f>
        <v/>
      </c>
      <c r="CA150" s="161">
        <f>IF(M150="","",IFERROR(M150*HSTECH!$B$41*HSTECH!$G$41/HSTECH!$B$3,""))</f>
        <v/>
      </c>
      <c r="CB150" s="161">
        <f>IF(N150="","",IFERROR(N150*HSTECH!$B$41*HSTECH!$G$41/HSTECH!$B$3,""))</f>
        <v/>
      </c>
      <c r="CC150" s="161">
        <f>IF(O150="","",IFERROR(O150*HSTECH!$B$41*HSTECH!$G$41/HSTECH!$B$3,""))</f>
        <v/>
      </c>
      <c r="CD150" s="161">
        <f>IF(P150="","",IFERROR(P150*HSTECH!$B$41*HSTECH!$G$41/HSTECH!$B$3,""))</f>
        <v/>
      </c>
      <c r="CE150" s="161">
        <f>IF(Q150="","",IFERROR(Q150*HSTECH!$B$41*HSTECH!$G$41/HSTECH!$B$3,""))</f>
        <v/>
      </c>
      <c r="CF150" s="161">
        <f>IF(R150="","",IFERROR(R150*HSTECH!$B$41*HSTECH!$G$41/HSTECH!$B$3,""))</f>
        <v/>
      </c>
      <c r="CG150" s="161">
        <f>IF(S150="","",IFERROR(S150*HSTECH!$B$41*HSTECH!$G$41/HSTECH!$B$3,""))</f>
        <v/>
      </c>
      <c r="CH150" s="161">
        <f>IF(T150="","",IFERROR(T150*HSTECH!$B$41*HSTECH!$G$41/HSTECH!$B$3,""))</f>
        <v/>
      </c>
      <c r="CI150" s="161">
        <f>IF(U150="","",IFERROR(U150*HSTECH!$B$41*HSTECH!$G$41/HSTECH!$B$3,""))</f>
        <v/>
      </c>
      <c r="CJ150" s="161">
        <f>IF(V150="","",IFERROR(V150*HSTECH!$B$41*HSTECH!$G$41/HSTECH!$B$3,""))</f>
        <v/>
      </c>
      <c r="CK150" s="161">
        <f>IF(W150="","",IFERROR(W150*HSTECH!$B$41*HSTECH!$G$41/HSTECH!$B$3,""))</f>
        <v/>
      </c>
      <c r="CL150" s="161">
        <f>IF(X150="","",IFERROR(X150*HSTECH!$B$41*HSTECH!$G$41/HSTECH!$B$3,""))</f>
        <v/>
      </c>
      <c r="CM150" s="161">
        <f>IF(Y150="","",IFERROR(Y150*HSTECH!$B$41*HSTECH!$G$41/HSTECH!$B$3,""))</f>
        <v/>
      </c>
      <c r="CN150" s="161">
        <f>IF(Z150="","",IFERROR(Z150*HSTECH!$B$41*HSTECH!$G$41/HSTECH!$B$3,""))</f>
        <v/>
      </c>
      <c r="CO150" s="161">
        <f>IF(AA150="","",IFERROR(AA150*HSTECH!$B$41*HSTECH!$G$41/HSTECH!$B$3,""))</f>
        <v/>
      </c>
      <c r="CP150" s="161">
        <f>IF(AB150="","",IFERROR(AB150*HSTECH!$B$41*HSTECH!$G$41/HSTECH!$B$3,""))</f>
        <v/>
      </c>
      <c r="CQ150" s="161">
        <f>IF(AC150="","",IFERROR(AC150*HSTECH!$B$41*HSTECH!$G$41/HSTECH!$B$3,""))</f>
        <v/>
      </c>
      <c r="CR150" s="161">
        <f>IF(AD150="","",IFERROR(AD150*HSTECH!$B$41*HSTECH!$G$41/HSTECH!$B$3,""))</f>
        <v/>
      </c>
      <c r="CS150" s="161">
        <f>IF(AE150="","",IFERROR(AE150*HSTECH!$B$41*HSTECH!$G$41/HSTECH!$B$3,""))</f>
        <v/>
      </c>
      <c r="CT150" s="161">
        <f>IF(AF150="","",IFERROR(AF150*HSTECH!$B$41*HSTECH!$G$41/HSTECH!$B$3,""))</f>
        <v/>
      </c>
      <c r="CU150" s="161">
        <f>IF(AG150="","",IFERROR(AG150*HSTECH!$B$41*HSTECH!$G$41/HSTECH!$B$3,""))</f>
        <v/>
      </c>
      <c r="CV150" s="161">
        <f>IF(AH150="","",IFERROR(AH150*HSTECH!$B$41*HSTECH!$G$41/HSTECH!$B$3,""))</f>
        <v/>
      </c>
      <c r="CW150" s="161">
        <f>IF(AI150="","",IFERROR(AI150*HSTECH!$B$41*HSTECH!$G$41/HSTECH!$B$3,""))</f>
        <v/>
      </c>
      <c r="CX150" s="161">
        <f>IF(AJ150="","",IFERROR(AJ150*HSTECH!$B$41*HSTECH!$G$41/HSTECH!$B$3,""))</f>
        <v/>
      </c>
      <c r="CY150" s="161">
        <f>IF(AK150="","",IFERROR(AK150*HSTECH!$B$41*HSTECH!$G$41/HSTECH!$B$3,""))</f>
        <v/>
      </c>
      <c r="CZ150" s="161">
        <f>IF(AL150="","",IFERROR(AL150*HSTECH!$B$41*HSTECH!$G$41/HSTECH!$B$3,""))</f>
        <v/>
      </c>
      <c r="DA150" s="161">
        <f>IF(AM150="","",IFERROR(AM150*HSTECH!$B$41*HSTECH!$G$41/HSTECH!$B$3,""))</f>
        <v/>
      </c>
      <c r="DB150" s="161">
        <f>IF(AN150="","",IFERROR(AN150*HSTECH!$B$41*HSTECH!$G$41/HSTECH!$B$3,""))</f>
        <v/>
      </c>
      <c r="DC150" s="161">
        <f>IF(AO150="","",IFERROR(AO150*HSTECH!$B$41*HSTECH!$G$41/HSTECH!$B$3,""))</f>
        <v/>
      </c>
      <c r="DD150" s="161">
        <f>IF(AP150="","",IFERROR(AP150*HSTECH!$B$41*HSTECH!$G$41/HSTECH!$B$3,""))</f>
        <v/>
      </c>
      <c r="DE150" s="161">
        <f>IF(AQ150="","",IFERROR(AQ150*HSTECH!$B$41*HSTECH!$G$41/HSTECH!$B$3,""))</f>
        <v/>
      </c>
      <c r="DF150" s="161">
        <f>IF(AR150="","",IFERROR(AR150*HSTECH!$B$41*HSTECH!$G$41/HSTECH!$B$3,""))</f>
        <v/>
      </c>
      <c r="DG150" s="161">
        <f>IF(AS150="","",IFERROR(AS150*HSTECH!$B$41*HSTECH!$G$41/HSTECH!$B$3,""))</f>
        <v/>
      </c>
      <c r="DH150" s="161">
        <f>IF(AT150="","",IFERROR(AT150*HSTECH!$B$41*HSTECH!$G$41/HSTECH!$B$3,""))</f>
        <v/>
      </c>
      <c r="DI150" s="161">
        <f>IF(AU150="","",IFERROR(AU150*HSTECH!$B$41*HSTECH!$G$41/HSTECH!$B$3,""))</f>
        <v/>
      </c>
      <c r="DJ150" s="161">
        <f>IF(AV150="","",IFERROR(AV150*HSTECH!$B$41*HSTECH!$G$41/HSTECH!$B$3,""))</f>
        <v/>
      </c>
      <c r="DK150" s="161">
        <f>IF(AW150="","",IFERROR(AW150*HSTECH!$B$41*HSTECH!$G$41/HSTECH!$B$3,""))</f>
        <v/>
      </c>
      <c r="DL150" s="161">
        <f>IF(AX150="","",IFERROR(AX150*HSTECH!$B$41*HSTECH!$G$41/HSTECH!$B$3,""))</f>
        <v/>
      </c>
      <c r="DM150" s="161">
        <f>IF(AY150="","",IFERROR(AY150*HSTECH!$B$41*HSTECH!$G$41/HSTECH!$B$3,""))</f>
        <v/>
      </c>
      <c r="DN150" s="161">
        <f>IF(AZ150="","",IFERROR(AZ150*HSTECH!$B$41*HSTECH!$G$41/HSTECH!$B$3,""))</f>
        <v/>
      </c>
      <c r="DO150" s="161">
        <f>IF(BA150="","",IFERROR(BA150*HSTECH!$B$41*HSTECH!$G$41/HSTECH!$B$3,""))</f>
        <v/>
      </c>
      <c r="DP150" s="161">
        <f>IF(BB150="","",IFERROR(BB150*HSTECH!$B$41*HSTECH!$G$41/HSTECH!$B$3,""))</f>
        <v/>
      </c>
      <c r="DQ150" s="161">
        <f>IF(BC150="","",IFERROR(BC150*HSTECH!$B$41*HSTECH!$G$41/HSTECH!$B$3,""))</f>
        <v/>
      </c>
      <c r="DR150" s="161">
        <f>IF(BD150="","",IFERROR(BD150*HSTECH!$B$41*HSTECH!$G$41/HSTECH!$B$3,""))</f>
        <v/>
      </c>
      <c r="DS150" s="161">
        <f>IF(BE150="","",IFERROR(BE150*HSTECH!$B$41*HSTECH!$G$41/HSTECH!$B$3,""))</f>
        <v/>
      </c>
      <c r="DT150" s="161">
        <f>IF(BF150="","",IFERROR(BF150*HSTECH!$B$41*HSTECH!$G$41/HSTECH!$B$3,""))</f>
        <v/>
      </c>
      <c r="DU150" s="161">
        <f>IF(BG150="","",IFERROR(BG150*HSTECH!$B$41*HSTECH!$G$41/HSTECH!$B$3,""))</f>
        <v/>
      </c>
      <c r="DV150" s="161">
        <f>IF(BH150="","",IFERROR(BH150*HSTECH!$B$41*HSTECH!$G$41/HSTECH!$B$3,""))</f>
        <v/>
      </c>
      <c r="DW150" s="161">
        <f>IF(BI150="","",IFERROR(BI150*HSTECH!$B$41*HSTECH!$G$41/HSTECH!$B$3,""))</f>
        <v/>
      </c>
      <c r="DX150" s="161">
        <f>IF(BJ150="","",IFERROR(BJ150*HSTECH!$B$41*HSTECH!$G$41/HSTECH!$B$3,""))</f>
        <v/>
      </c>
      <c r="DY150" s="161">
        <f>IF(BK150="","",IFERROR(BK150*HSTECH!$B$41*HSTECH!$G$41/HSTECH!$B$3,""))</f>
        <v/>
      </c>
      <c r="DZ150" s="161">
        <f>IF(BL150="","",IFERROR(BL150*HSTECH!$B$41*HSTECH!$G$41/HSTECH!$B$3,""))</f>
        <v/>
      </c>
      <c r="EA150" s="161">
        <f>IF(BM150="","",IFERROR(BM150*HSTECH!$B$41*HSTECH!$G$41/HSTECH!$B$3,""))</f>
        <v/>
      </c>
      <c r="EB150" s="161">
        <f>IF(BN150="","",IFERROR(BN150*HSTECH!$B$41*HSTECH!$G$41/HSTECH!$B$3,""))</f>
        <v/>
      </c>
      <c r="EC150" s="161">
        <f>IF(BO150="","",IFERROR(BO150*HSTECH!$B$41*HSTECH!$G$41/HSTECH!$B$3,""))</f>
        <v/>
      </c>
      <c r="EE150" s="121">
        <f>IF(N('Dvd Calendar'!$E$1490)=0,"",IF(('Dvd Calendar'!$E$1490&gt;=GRID_FROM)*('Dvd Calendar'!$E$1490&lt;=GRID_TO)*((('Dvd Calendar'!$E$1490&lt;=VAL_DATE)+(COUNTIF('Dvd Calendar'!$E$1497:$AR$1497,'Dvd Calendar'!$E$1490)=0))&gt;0)=0,"",'Dvd Calendar'!$E$1490*1000000000+ISNUMBER('Dvd Calendar'!$E$1493)*100000000+('Dvd Calendar'!$E$1495=SPECIAL_LBL)*10000000+(N('Dvd Calendar'!$E$1489)&gt;0)*(N('Dvd Calendar'!$E$1489)&lt;=VAL_SERIAL)*1000000+35*1000+1))</f>
        <v/>
      </c>
      <c r="EF150" s="121">
        <f>IF(N('Dvd Calendar'!$F$1490)=0,"",IF(('Dvd Calendar'!$F$1490&gt;=GRID_FROM)*('Dvd Calendar'!$F$1490&lt;=GRID_TO)*((('Dvd Calendar'!$F$1490&lt;=VAL_DATE)+(COUNTIF('Dvd Calendar'!$E$1497:$AR$1497,'Dvd Calendar'!$F$1490)=0))&gt;0)=0,"",'Dvd Calendar'!$F$1490*1000000000+ISNUMBER('Dvd Calendar'!$F$1493)*100000000+('Dvd Calendar'!$F$1495=SPECIAL_LBL)*10000000+(N('Dvd Calendar'!$F$1489)&gt;0)*(N('Dvd Calendar'!$F$1489)&lt;=VAL_SERIAL)*1000000+35*1000+2))</f>
        <v/>
      </c>
      <c r="EG150" s="121">
        <f>IF(N('Dvd Calendar'!$G$1490)=0,"",IF(('Dvd Calendar'!$G$1490&gt;=GRID_FROM)*('Dvd Calendar'!$G$1490&lt;=GRID_TO)*((('Dvd Calendar'!$G$1490&lt;=VAL_DATE)+(COUNTIF('Dvd Calendar'!$E$1497:$AR$1497,'Dvd Calendar'!$G$1490)=0))&gt;0)=0,"",'Dvd Calendar'!$G$1490*1000000000+ISNUMBER('Dvd Calendar'!$G$1493)*100000000+('Dvd Calendar'!$G$1495=SPECIAL_LBL)*10000000+(N('Dvd Calendar'!$G$1489)&gt;0)*(N('Dvd Calendar'!$G$1489)&lt;=VAL_SERIAL)*1000000+35*1000+3))</f>
        <v/>
      </c>
      <c r="EH150" s="121">
        <f>IF(N('Dvd Calendar'!$H$1490)=0,"",IF(('Dvd Calendar'!$H$1490&gt;=GRID_FROM)*('Dvd Calendar'!$H$1490&lt;=GRID_TO)*((('Dvd Calendar'!$H$1490&lt;=VAL_DATE)+(COUNTIF('Dvd Calendar'!$E$1497:$AR$1497,'Dvd Calendar'!$H$1490)=0))&gt;0)=0,"",'Dvd Calendar'!$H$1490*1000000000+ISNUMBER('Dvd Calendar'!$H$1493)*100000000+('Dvd Calendar'!$H$1495=SPECIAL_LBL)*10000000+(N('Dvd Calendar'!$H$1489)&gt;0)*(N('Dvd Calendar'!$H$1489)&lt;=VAL_SERIAL)*1000000+35*1000+4))</f>
        <v/>
      </c>
      <c r="EI150" s="121">
        <f>IF(N('Dvd Calendar'!$I$1490)=0,"",IF(('Dvd Calendar'!$I$1490&gt;=GRID_FROM)*('Dvd Calendar'!$I$1490&lt;=GRID_TO)*((('Dvd Calendar'!$I$1490&lt;=VAL_DATE)+(COUNTIF('Dvd Calendar'!$E$1497:$AR$1497,'Dvd Calendar'!$I$1490)=0))&gt;0)=0,"",'Dvd Calendar'!$I$1490*1000000000+ISNUMBER('Dvd Calendar'!$I$1493)*100000000+('Dvd Calendar'!$I$1495=SPECIAL_LBL)*10000000+(N('Dvd Calendar'!$I$1489)&gt;0)*(N('Dvd Calendar'!$I$1489)&lt;=VAL_SERIAL)*1000000+35*1000+5))</f>
        <v/>
      </c>
      <c r="EJ150" s="121">
        <f>IF(N('Dvd Calendar'!$J$1490)=0,"",IF(('Dvd Calendar'!$J$1490&gt;=GRID_FROM)*('Dvd Calendar'!$J$1490&lt;=GRID_TO)*((('Dvd Calendar'!$J$1490&lt;=VAL_DATE)+(COUNTIF('Dvd Calendar'!$E$1497:$AR$1497,'Dvd Calendar'!$J$1490)=0))&gt;0)=0,"",'Dvd Calendar'!$J$1490*1000000000+ISNUMBER('Dvd Calendar'!$J$1493)*100000000+('Dvd Calendar'!$J$1495=SPECIAL_LBL)*10000000+(N('Dvd Calendar'!$J$1489)&gt;0)*(N('Dvd Calendar'!$J$1489)&lt;=VAL_SERIAL)*1000000+35*1000+6))</f>
        <v/>
      </c>
      <c r="EK150" s="121">
        <f>IF(N('Dvd Calendar'!$K$1490)=0,"",IF(('Dvd Calendar'!$K$1490&gt;=GRID_FROM)*('Dvd Calendar'!$K$1490&lt;=GRID_TO)*((('Dvd Calendar'!$K$1490&lt;=VAL_DATE)+(COUNTIF('Dvd Calendar'!$E$1497:$AR$1497,'Dvd Calendar'!$K$1490)=0))&gt;0)=0,"",'Dvd Calendar'!$K$1490*1000000000+ISNUMBER('Dvd Calendar'!$K$1493)*100000000+('Dvd Calendar'!$K$1495=SPECIAL_LBL)*10000000+(N('Dvd Calendar'!$K$1489)&gt;0)*(N('Dvd Calendar'!$K$1489)&lt;=VAL_SERIAL)*1000000+35*1000+7))</f>
        <v/>
      </c>
      <c r="EL150" s="121">
        <f>IF(N('Dvd Calendar'!$L$1490)=0,"",IF(('Dvd Calendar'!$L$1490&gt;=GRID_FROM)*('Dvd Calendar'!$L$1490&lt;=GRID_TO)*((('Dvd Calendar'!$L$1490&lt;=VAL_DATE)+(COUNTIF('Dvd Calendar'!$E$1497:$AR$1497,'Dvd Calendar'!$L$1490)=0))&gt;0)=0,"",'Dvd Calendar'!$L$1490*1000000000+ISNUMBER('Dvd Calendar'!$L$1493)*100000000+('Dvd Calendar'!$L$1495=SPECIAL_LBL)*10000000+(N('Dvd Calendar'!$L$1489)&gt;0)*(N('Dvd Calendar'!$L$1489)&lt;=VAL_SERIAL)*1000000+35*1000+8))</f>
        <v/>
      </c>
      <c r="EM150" s="121">
        <f>IF(N('Dvd Calendar'!$M$1490)=0,"",IF(('Dvd Calendar'!$M$1490&gt;=GRID_FROM)*('Dvd Calendar'!$M$1490&lt;=GRID_TO)*((('Dvd Calendar'!$M$1490&lt;=VAL_DATE)+(COUNTIF('Dvd Calendar'!$E$1497:$AR$1497,'Dvd Calendar'!$M$1490)=0))&gt;0)=0,"",'Dvd Calendar'!$M$1490*1000000000+ISNUMBER('Dvd Calendar'!$M$1493)*100000000+('Dvd Calendar'!$M$1495=SPECIAL_LBL)*10000000+(N('Dvd Calendar'!$M$1489)&gt;0)*(N('Dvd Calendar'!$M$1489)&lt;=VAL_SERIAL)*1000000+35*1000+9))</f>
        <v/>
      </c>
      <c r="EN150" s="121">
        <f>IF(N('Dvd Calendar'!$N$1490)=0,"",IF(('Dvd Calendar'!$N$1490&gt;=GRID_FROM)*('Dvd Calendar'!$N$1490&lt;=GRID_TO)*((('Dvd Calendar'!$N$1490&lt;=VAL_DATE)+(COUNTIF('Dvd Calendar'!$E$1497:$AR$1497,'Dvd Calendar'!$N$1490)=0))&gt;0)=0,"",'Dvd Calendar'!$N$1490*1000000000+ISNUMBER('Dvd Calendar'!$N$1493)*100000000+('Dvd Calendar'!$N$1495=SPECIAL_LBL)*10000000+(N('Dvd Calendar'!$N$1489)&gt;0)*(N('Dvd Calendar'!$N$1489)&lt;=VAL_SERIAL)*1000000+35*1000+10))</f>
        <v/>
      </c>
      <c r="EO150" s="121">
        <f>IF(N('Dvd Calendar'!$O$1490)=0,"",IF(('Dvd Calendar'!$O$1490&gt;=GRID_FROM)*('Dvd Calendar'!$O$1490&lt;=GRID_TO)*((('Dvd Calendar'!$O$1490&lt;=VAL_DATE)+(COUNTIF('Dvd Calendar'!$E$1497:$AR$1497,'Dvd Calendar'!$O$1490)=0))&gt;0)=0,"",'Dvd Calendar'!$O$1490*1000000000+ISNUMBER('Dvd Calendar'!$O$1493)*100000000+('Dvd Calendar'!$O$1495=SPECIAL_LBL)*10000000+(N('Dvd Calendar'!$O$1489)&gt;0)*(N('Dvd Calendar'!$O$1489)&lt;=VAL_SERIAL)*1000000+35*1000+11))</f>
        <v/>
      </c>
      <c r="EP150" s="121">
        <f>IF(N('Dvd Calendar'!$P$1490)=0,"",IF(('Dvd Calendar'!$P$1490&gt;=GRID_FROM)*('Dvd Calendar'!$P$1490&lt;=GRID_TO)*((('Dvd Calendar'!$P$1490&lt;=VAL_DATE)+(COUNTIF('Dvd Calendar'!$E$1497:$AR$1497,'Dvd Calendar'!$P$1490)=0))&gt;0)=0,"",'Dvd Calendar'!$P$1490*1000000000+ISNUMBER('Dvd Calendar'!$P$1493)*100000000+('Dvd Calendar'!$P$1495=SPECIAL_LBL)*10000000+(N('Dvd Calendar'!$P$1489)&gt;0)*(N('Dvd Calendar'!$P$1489)&lt;=VAL_SERIAL)*1000000+35*1000+12))</f>
        <v/>
      </c>
      <c r="EQ150" s="121">
        <f>IF(N('Dvd Calendar'!$Q$1490)=0,"",IF(('Dvd Calendar'!$Q$1490&gt;=GRID_FROM)*('Dvd Calendar'!$Q$1490&lt;=GRID_TO)*((('Dvd Calendar'!$Q$1490&lt;=VAL_DATE)+(COUNTIF('Dvd Calendar'!$E$1497:$AR$1497,'Dvd Calendar'!$Q$1490)=0))&gt;0)=0,"",'Dvd Calendar'!$Q$1490*1000000000+ISNUMBER('Dvd Calendar'!$Q$1493)*100000000+('Dvd Calendar'!$Q$1495=SPECIAL_LBL)*10000000+(N('Dvd Calendar'!$Q$1489)&gt;0)*(N('Dvd Calendar'!$Q$1489)&lt;=VAL_SERIAL)*1000000+35*1000+13))</f>
        <v/>
      </c>
      <c r="ER150" s="121">
        <f>IF(N('Dvd Calendar'!$R$1490)=0,"",IF(('Dvd Calendar'!$R$1490&gt;=GRID_FROM)*('Dvd Calendar'!$R$1490&lt;=GRID_TO)*((('Dvd Calendar'!$R$1490&lt;=VAL_DATE)+(COUNTIF('Dvd Calendar'!$E$1497:$AR$1497,'Dvd Calendar'!$R$1490)=0))&gt;0)=0,"",'Dvd Calendar'!$R$1490*1000000000+ISNUMBER('Dvd Calendar'!$R$1493)*100000000+('Dvd Calendar'!$R$1495=SPECIAL_LBL)*10000000+(N('Dvd Calendar'!$R$1489)&gt;0)*(N('Dvd Calendar'!$R$1489)&lt;=VAL_SERIAL)*1000000+35*1000+14))</f>
        <v/>
      </c>
      <c r="ES150" s="121">
        <f>IF(N('Dvd Calendar'!$S$1490)=0,"",IF(('Dvd Calendar'!$S$1490&gt;=GRID_FROM)*('Dvd Calendar'!$S$1490&lt;=GRID_TO)*((('Dvd Calendar'!$S$1490&lt;=VAL_DATE)+(COUNTIF('Dvd Calendar'!$E$1497:$AR$1497,'Dvd Calendar'!$S$1490)=0))&gt;0)=0,"",'Dvd Calendar'!$S$1490*1000000000+ISNUMBER('Dvd Calendar'!$S$1493)*100000000+('Dvd Calendar'!$S$1495=SPECIAL_LBL)*10000000+(N('Dvd Calendar'!$S$1489)&gt;0)*(N('Dvd Calendar'!$S$1489)&lt;=VAL_SERIAL)*1000000+35*1000+15))</f>
        <v/>
      </c>
      <c r="ET150" s="121">
        <f>IF(N('Dvd Calendar'!$T$1490)=0,"",IF(('Dvd Calendar'!$T$1490&gt;=GRID_FROM)*('Dvd Calendar'!$T$1490&lt;=GRID_TO)*((('Dvd Calendar'!$T$1490&lt;=VAL_DATE)+(COUNTIF('Dvd Calendar'!$E$1497:$AR$1497,'Dvd Calendar'!$T$1490)=0))&gt;0)=0,"",'Dvd Calendar'!$T$1490*1000000000+ISNUMBER('Dvd Calendar'!$T$1493)*100000000+('Dvd Calendar'!$T$1495=SPECIAL_LBL)*10000000+(N('Dvd Calendar'!$T$1489)&gt;0)*(N('Dvd Calendar'!$T$1489)&lt;=VAL_SERIAL)*1000000+35*1000+16))</f>
        <v/>
      </c>
      <c r="EU150" s="121">
        <f>IF(N('Dvd Calendar'!$U$1490)=0,"",IF(('Dvd Calendar'!$U$1490&gt;=GRID_FROM)*('Dvd Calendar'!$U$1490&lt;=GRID_TO)*((('Dvd Calendar'!$U$1490&lt;=VAL_DATE)+(COUNTIF('Dvd Calendar'!$E$1497:$AR$1497,'Dvd Calendar'!$U$1490)=0))&gt;0)=0,"",'Dvd Calendar'!$U$1490*1000000000+ISNUMBER('Dvd Calendar'!$U$1493)*100000000+('Dvd Calendar'!$U$1495=SPECIAL_LBL)*10000000+(N('Dvd Calendar'!$U$1489)&gt;0)*(N('Dvd Calendar'!$U$1489)&lt;=VAL_SERIAL)*1000000+35*1000+17))</f>
        <v/>
      </c>
      <c r="EV150" s="121">
        <f>IF(N('Dvd Calendar'!$V$1490)=0,"",IF(('Dvd Calendar'!$V$1490&gt;=GRID_FROM)*('Dvd Calendar'!$V$1490&lt;=GRID_TO)*((('Dvd Calendar'!$V$1490&lt;=VAL_DATE)+(COUNTIF('Dvd Calendar'!$E$1497:$AR$1497,'Dvd Calendar'!$V$1490)=0))&gt;0)=0,"",'Dvd Calendar'!$V$1490*1000000000+ISNUMBER('Dvd Calendar'!$V$1493)*100000000+('Dvd Calendar'!$V$1495=SPECIAL_LBL)*10000000+(N('Dvd Calendar'!$V$1489)&gt;0)*(N('Dvd Calendar'!$V$1489)&lt;=VAL_SERIAL)*1000000+35*1000+18))</f>
        <v/>
      </c>
      <c r="EW150" s="121">
        <f>IF(N('Dvd Calendar'!$W$1490)=0,"",IF(('Dvd Calendar'!$W$1490&gt;=GRID_FROM)*('Dvd Calendar'!$W$1490&lt;=GRID_TO)*((('Dvd Calendar'!$W$1490&lt;=VAL_DATE)+(COUNTIF('Dvd Calendar'!$E$1497:$AR$1497,'Dvd Calendar'!$W$1490)=0))&gt;0)=0,"",'Dvd Calendar'!$W$1490*1000000000+ISNUMBER('Dvd Calendar'!$W$1493)*100000000+('Dvd Calendar'!$W$1495=SPECIAL_LBL)*10000000+(N('Dvd Calendar'!$W$1489)&gt;0)*(N('Dvd Calendar'!$W$1489)&lt;=VAL_SERIAL)*1000000+35*1000+19))</f>
        <v/>
      </c>
      <c r="EX150" s="121">
        <f>IF(N('Dvd Calendar'!$X$1490)=0,"",IF(('Dvd Calendar'!$X$1490&gt;=GRID_FROM)*('Dvd Calendar'!$X$1490&lt;=GRID_TO)*((('Dvd Calendar'!$X$1490&lt;=VAL_DATE)+(COUNTIF('Dvd Calendar'!$E$1497:$AR$1497,'Dvd Calendar'!$X$1490)=0))&gt;0)=0,"",'Dvd Calendar'!$X$1490*1000000000+ISNUMBER('Dvd Calendar'!$X$1493)*100000000+('Dvd Calendar'!$X$1495=SPECIAL_LBL)*10000000+(N('Dvd Calendar'!$X$1489)&gt;0)*(N('Dvd Calendar'!$X$1489)&lt;=VAL_SERIAL)*1000000+35*1000+20))</f>
        <v/>
      </c>
      <c r="EY150" s="121">
        <f>IF(N('Dvd Calendar'!$Y$1490)=0,"",IF(('Dvd Calendar'!$Y$1490&gt;=GRID_FROM)*('Dvd Calendar'!$Y$1490&lt;=GRID_TO)*((('Dvd Calendar'!$Y$1490&lt;=VAL_DATE)+(COUNTIF('Dvd Calendar'!$E$1497:$AR$1497,'Dvd Calendar'!$Y$1490)=0))&gt;0)=0,"",'Dvd Calendar'!$Y$1490*1000000000+ISNUMBER('Dvd Calendar'!$Y$1493)*100000000+('Dvd Calendar'!$Y$1495=SPECIAL_LBL)*10000000+(N('Dvd Calendar'!$Y$1489)&gt;0)*(N('Dvd Calendar'!$Y$1489)&lt;=VAL_SERIAL)*1000000+35*1000+21))</f>
        <v/>
      </c>
      <c r="EZ150" s="121">
        <f>IF(N('Dvd Calendar'!$Z$1490)=0,"",IF(('Dvd Calendar'!$Z$1490&gt;=GRID_FROM)*('Dvd Calendar'!$Z$1490&lt;=GRID_TO)*((('Dvd Calendar'!$Z$1490&lt;=VAL_DATE)+(COUNTIF('Dvd Calendar'!$E$1497:$AR$1497,'Dvd Calendar'!$Z$1490)=0))&gt;0)=0,"",'Dvd Calendar'!$Z$1490*1000000000+ISNUMBER('Dvd Calendar'!$Z$1493)*100000000+('Dvd Calendar'!$Z$1495=SPECIAL_LBL)*10000000+(N('Dvd Calendar'!$Z$1489)&gt;0)*(N('Dvd Calendar'!$Z$1489)&lt;=VAL_SERIAL)*1000000+35*1000+22))</f>
        <v/>
      </c>
      <c r="FA150" s="121">
        <f>IF(N('Dvd Calendar'!$AA$1490)=0,"",IF(('Dvd Calendar'!$AA$1490&gt;=GRID_FROM)*('Dvd Calendar'!$AA$1490&lt;=GRID_TO)*((('Dvd Calendar'!$AA$1490&lt;=VAL_DATE)+(COUNTIF('Dvd Calendar'!$E$1497:$AR$1497,'Dvd Calendar'!$AA$1490)=0))&gt;0)=0,"",'Dvd Calendar'!$AA$1490*1000000000+ISNUMBER('Dvd Calendar'!$AA$1493)*100000000+('Dvd Calendar'!$AA$1495=SPECIAL_LBL)*10000000+(N('Dvd Calendar'!$AA$1489)&gt;0)*(N('Dvd Calendar'!$AA$1489)&lt;=VAL_SERIAL)*1000000+35*1000+23))</f>
        <v/>
      </c>
      <c r="FB150" s="121">
        <f>IF(N('Dvd Calendar'!$AB$1490)=0,"",IF(('Dvd Calendar'!$AB$1490&gt;=GRID_FROM)*('Dvd Calendar'!$AB$1490&lt;=GRID_TO)*((('Dvd Calendar'!$AB$1490&lt;=VAL_DATE)+(COUNTIF('Dvd Calendar'!$E$1497:$AR$1497,'Dvd Calendar'!$AB$1490)=0))&gt;0)=0,"",'Dvd Calendar'!$AB$1490*1000000000+ISNUMBER('Dvd Calendar'!$AB$1493)*100000000+('Dvd Calendar'!$AB$1495=SPECIAL_LBL)*10000000+(N('Dvd Calendar'!$AB$1489)&gt;0)*(N('Dvd Calendar'!$AB$1489)&lt;=VAL_SERIAL)*1000000+35*1000+24))</f>
        <v/>
      </c>
      <c r="FC150" s="121">
        <f>IF(N('Dvd Calendar'!$AC$1490)=0,"",IF(('Dvd Calendar'!$AC$1490&gt;=GRID_FROM)*('Dvd Calendar'!$AC$1490&lt;=GRID_TO)*((('Dvd Calendar'!$AC$1490&lt;=VAL_DATE)+(COUNTIF('Dvd Calendar'!$E$1497:$AR$1497,'Dvd Calendar'!$AC$1490)=0))&gt;0)=0,"",'Dvd Calendar'!$AC$1490*1000000000+ISNUMBER('Dvd Calendar'!$AC$1493)*100000000+('Dvd Calendar'!$AC$1495=SPECIAL_LBL)*10000000+(N('Dvd Calendar'!$AC$1489)&gt;0)*(N('Dvd Calendar'!$AC$1489)&lt;=VAL_SERIAL)*1000000+35*1000+25))</f>
        <v/>
      </c>
      <c r="FD150" s="121">
        <f>IF(N('Dvd Calendar'!$AD$1490)=0,"",IF(('Dvd Calendar'!$AD$1490&gt;=GRID_FROM)*('Dvd Calendar'!$AD$1490&lt;=GRID_TO)*((('Dvd Calendar'!$AD$1490&lt;=VAL_DATE)+(COUNTIF('Dvd Calendar'!$E$1497:$AR$1497,'Dvd Calendar'!$AD$1490)=0))&gt;0)=0,"",'Dvd Calendar'!$AD$1490*1000000000+ISNUMBER('Dvd Calendar'!$AD$1493)*100000000+('Dvd Calendar'!$AD$1495=SPECIAL_LBL)*10000000+(N('Dvd Calendar'!$AD$1489)&gt;0)*(N('Dvd Calendar'!$AD$1489)&lt;=VAL_SERIAL)*1000000+35*1000+26))</f>
        <v/>
      </c>
      <c r="FE150" s="121">
        <f>IF(N('Dvd Calendar'!$AE$1490)=0,"",IF(('Dvd Calendar'!$AE$1490&gt;=GRID_FROM)*('Dvd Calendar'!$AE$1490&lt;=GRID_TO)*((('Dvd Calendar'!$AE$1490&lt;=VAL_DATE)+(COUNTIF('Dvd Calendar'!$E$1497:$AR$1497,'Dvd Calendar'!$AE$1490)=0))&gt;0)=0,"",'Dvd Calendar'!$AE$1490*1000000000+ISNUMBER('Dvd Calendar'!$AE$1493)*100000000+('Dvd Calendar'!$AE$1495=SPECIAL_LBL)*10000000+(N('Dvd Calendar'!$AE$1489)&gt;0)*(N('Dvd Calendar'!$AE$1489)&lt;=VAL_SERIAL)*1000000+35*1000+27))</f>
        <v/>
      </c>
      <c r="FF150" s="121">
        <f>IF(N('Dvd Calendar'!$AF$1490)=0,"",IF(('Dvd Calendar'!$AF$1490&gt;=GRID_FROM)*('Dvd Calendar'!$AF$1490&lt;=GRID_TO)*((('Dvd Calendar'!$AF$1490&lt;=VAL_DATE)+(COUNTIF('Dvd Calendar'!$E$1497:$AR$1497,'Dvd Calendar'!$AF$1490)=0))&gt;0)=0,"",'Dvd Calendar'!$AF$1490*1000000000+ISNUMBER('Dvd Calendar'!$AF$1493)*100000000+('Dvd Calendar'!$AF$1495=SPECIAL_LBL)*10000000+(N('Dvd Calendar'!$AF$1489)&gt;0)*(N('Dvd Calendar'!$AF$1489)&lt;=VAL_SERIAL)*1000000+35*1000+28))</f>
        <v/>
      </c>
      <c r="FG150" s="121">
        <f>IF(N('Dvd Calendar'!$AG$1490)=0,"",IF(('Dvd Calendar'!$AG$1490&gt;=GRID_FROM)*('Dvd Calendar'!$AG$1490&lt;=GRID_TO)*((('Dvd Calendar'!$AG$1490&lt;=VAL_DATE)+(COUNTIF('Dvd Calendar'!$E$1497:$AR$1497,'Dvd Calendar'!$AG$1490)=0))&gt;0)=0,"",'Dvd Calendar'!$AG$1490*1000000000+ISNUMBER('Dvd Calendar'!$AG$1493)*100000000+('Dvd Calendar'!$AG$1495=SPECIAL_LBL)*10000000+(N('Dvd Calendar'!$AG$1489)&gt;0)*(N('Dvd Calendar'!$AG$1489)&lt;=VAL_SERIAL)*1000000+35*1000+29))</f>
        <v/>
      </c>
      <c r="FH150" s="121">
        <f>IF(N('Dvd Calendar'!$AH$1490)=0,"",IF(('Dvd Calendar'!$AH$1490&gt;=GRID_FROM)*('Dvd Calendar'!$AH$1490&lt;=GRID_TO)*((('Dvd Calendar'!$AH$1490&lt;=VAL_DATE)+(COUNTIF('Dvd Calendar'!$E$1497:$AR$1497,'Dvd Calendar'!$AH$1490)=0))&gt;0)=0,"",'Dvd Calendar'!$AH$1490*1000000000+ISNUMBER('Dvd Calendar'!$AH$1493)*100000000+('Dvd Calendar'!$AH$1495=SPECIAL_LBL)*10000000+(N('Dvd Calendar'!$AH$1489)&gt;0)*(N('Dvd Calendar'!$AH$1489)&lt;=VAL_SERIAL)*1000000+35*1000+30))</f>
        <v/>
      </c>
      <c r="FI150" s="121">
        <f>IF(N('Dvd Calendar'!$AI$1490)=0,"",IF(('Dvd Calendar'!$AI$1490&gt;=GRID_FROM)*('Dvd Calendar'!$AI$1490&lt;=GRID_TO)*((('Dvd Calendar'!$AI$1490&lt;=VAL_DATE)+(COUNTIF('Dvd Calendar'!$E$1497:$AR$1497,'Dvd Calendar'!$AI$1490)=0))&gt;0)=0,"",'Dvd Calendar'!$AI$1490*1000000000+ISNUMBER('Dvd Calendar'!$AI$1493)*100000000+('Dvd Calendar'!$AI$1495=SPECIAL_LBL)*10000000+(N('Dvd Calendar'!$AI$1489)&gt;0)*(N('Dvd Calendar'!$AI$1489)&lt;=VAL_SERIAL)*1000000+35*1000+31))</f>
        <v/>
      </c>
      <c r="FJ150" s="121">
        <f>IF(N('Dvd Calendar'!$AJ$1490)=0,"",IF(('Dvd Calendar'!$AJ$1490&gt;=GRID_FROM)*('Dvd Calendar'!$AJ$1490&lt;=GRID_TO)*((('Dvd Calendar'!$AJ$1490&lt;=VAL_DATE)+(COUNTIF('Dvd Calendar'!$E$1497:$AR$1497,'Dvd Calendar'!$AJ$1490)=0))&gt;0)=0,"",'Dvd Calendar'!$AJ$1490*1000000000+ISNUMBER('Dvd Calendar'!$AJ$1493)*100000000+('Dvd Calendar'!$AJ$1495=SPECIAL_LBL)*10000000+(N('Dvd Calendar'!$AJ$1489)&gt;0)*(N('Dvd Calendar'!$AJ$1489)&lt;=VAL_SERIAL)*1000000+35*1000+32))</f>
        <v/>
      </c>
      <c r="FK150" s="121">
        <f>IF(N('Dvd Calendar'!$AK$1490)=0,"",IF(('Dvd Calendar'!$AK$1490&gt;=GRID_FROM)*('Dvd Calendar'!$AK$1490&lt;=GRID_TO)*((('Dvd Calendar'!$AK$1490&lt;=VAL_DATE)+(COUNTIF('Dvd Calendar'!$E$1497:$AR$1497,'Dvd Calendar'!$AK$1490)=0))&gt;0)=0,"",'Dvd Calendar'!$AK$1490*1000000000+ISNUMBER('Dvd Calendar'!$AK$1493)*100000000+('Dvd Calendar'!$AK$1495=SPECIAL_LBL)*10000000+(N('Dvd Calendar'!$AK$1489)&gt;0)*(N('Dvd Calendar'!$AK$1489)&lt;=VAL_SERIAL)*1000000+35*1000+33))</f>
        <v/>
      </c>
      <c r="FL150" s="121">
        <f>IF(N('Dvd Calendar'!$AL$1490)=0,"",IF(('Dvd Calendar'!$AL$1490&gt;=GRID_FROM)*('Dvd Calendar'!$AL$1490&lt;=GRID_TO)*((('Dvd Calendar'!$AL$1490&lt;=VAL_DATE)+(COUNTIF('Dvd Calendar'!$E$1497:$AR$1497,'Dvd Calendar'!$AL$1490)=0))&gt;0)=0,"",'Dvd Calendar'!$AL$1490*1000000000+ISNUMBER('Dvd Calendar'!$AL$1493)*100000000+('Dvd Calendar'!$AL$1495=SPECIAL_LBL)*10000000+(N('Dvd Calendar'!$AL$1489)&gt;0)*(N('Dvd Calendar'!$AL$1489)&lt;=VAL_SERIAL)*1000000+35*1000+34))</f>
        <v/>
      </c>
      <c r="FM150" s="121">
        <f>IF(N('Dvd Calendar'!$AM$1490)=0,"",IF(('Dvd Calendar'!$AM$1490&gt;=GRID_FROM)*('Dvd Calendar'!$AM$1490&lt;=GRID_TO)*((('Dvd Calendar'!$AM$1490&lt;=VAL_DATE)+(COUNTIF('Dvd Calendar'!$E$1497:$AR$1497,'Dvd Calendar'!$AM$1490)=0))&gt;0)=0,"",'Dvd Calendar'!$AM$1490*1000000000+ISNUMBER('Dvd Calendar'!$AM$1493)*100000000+('Dvd Calendar'!$AM$1495=SPECIAL_LBL)*10000000+(N('Dvd Calendar'!$AM$1489)&gt;0)*(N('Dvd Calendar'!$AM$1489)&lt;=VAL_SERIAL)*1000000+35*1000+35))</f>
        <v/>
      </c>
      <c r="FN150" s="121">
        <f>IF(N('Dvd Calendar'!$AN$1490)=0,"",IF(('Dvd Calendar'!$AN$1490&gt;=GRID_FROM)*('Dvd Calendar'!$AN$1490&lt;=GRID_TO)*((('Dvd Calendar'!$AN$1490&lt;=VAL_DATE)+(COUNTIF('Dvd Calendar'!$E$1497:$AR$1497,'Dvd Calendar'!$AN$1490)=0))&gt;0)=0,"",'Dvd Calendar'!$AN$1490*1000000000+ISNUMBER('Dvd Calendar'!$AN$1493)*100000000+('Dvd Calendar'!$AN$1495=SPECIAL_LBL)*10000000+(N('Dvd Calendar'!$AN$1489)&gt;0)*(N('Dvd Calendar'!$AN$1489)&lt;=VAL_SERIAL)*1000000+35*1000+36))</f>
        <v/>
      </c>
      <c r="FO150" s="121">
        <f>IF(N('Dvd Calendar'!$AO$1490)=0,"",IF(('Dvd Calendar'!$AO$1490&gt;=GRID_FROM)*('Dvd Calendar'!$AO$1490&lt;=GRID_TO)*((('Dvd Calendar'!$AO$1490&lt;=VAL_DATE)+(COUNTIF('Dvd Calendar'!$E$1497:$AR$1497,'Dvd Calendar'!$AO$1490)=0))&gt;0)=0,"",'Dvd Calendar'!$AO$1490*1000000000+ISNUMBER('Dvd Calendar'!$AO$1493)*100000000+('Dvd Calendar'!$AO$1495=SPECIAL_LBL)*10000000+(N('Dvd Calendar'!$AO$1489)&gt;0)*(N('Dvd Calendar'!$AO$1489)&lt;=VAL_SERIAL)*1000000+35*1000+37))</f>
        <v/>
      </c>
      <c r="FP150" s="121">
        <f>IF(N('Dvd Calendar'!$AP$1490)=0,"",IF(('Dvd Calendar'!$AP$1490&gt;=GRID_FROM)*('Dvd Calendar'!$AP$1490&lt;=GRID_TO)*((('Dvd Calendar'!$AP$1490&lt;=VAL_DATE)+(COUNTIF('Dvd Calendar'!$E$1497:$AR$1497,'Dvd Calendar'!$AP$1490)=0))&gt;0)=0,"",'Dvd Calendar'!$AP$1490*1000000000+ISNUMBER('Dvd Calendar'!$AP$1493)*100000000+('Dvd Calendar'!$AP$1495=SPECIAL_LBL)*10000000+(N('Dvd Calendar'!$AP$1489)&gt;0)*(N('Dvd Calendar'!$AP$1489)&lt;=VAL_SERIAL)*1000000+35*1000+38))</f>
        <v/>
      </c>
      <c r="FQ150" s="121">
        <f>IF(N('Dvd Calendar'!$AQ$1490)=0,"",IF(('Dvd Calendar'!$AQ$1490&gt;=GRID_FROM)*('Dvd Calendar'!$AQ$1490&lt;=GRID_TO)*((('Dvd Calendar'!$AQ$1490&lt;=VAL_DATE)+(COUNTIF('Dvd Calendar'!$E$1497:$AR$1497,'Dvd Calendar'!$AQ$1490)=0))&gt;0)=0,"",'Dvd Calendar'!$AQ$1490*1000000000+ISNUMBER('Dvd Calendar'!$AQ$1493)*100000000+('Dvd Calendar'!$AQ$1495=SPECIAL_LBL)*10000000+(N('Dvd Calendar'!$AQ$1489)&gt;0)*(N('Dvd Calendar'!$AQ$1489)&lt;=VAL_SERIAL)*1000000+35*1000+39))</f>
        <v/>
      </c>
      <c r="FR150" s="121">
        <f>IF(N('Dvd Calendar'!$AR$1490)=0,"",IF(('Dvd Calendar'!$AR$1490&gt;=GRID_FROM)*('Dvd Calendar'!$AR$1490&lt;=GRID_TO)*((('Dvd Calendar'!$AR$1490&lt;=VAL_DATE)+(COUNTIF('Dvd Calendar'!$E$1497:$AR$1497,'Dvd Calendar'!$AR$1490)=0))&gt;0)=0,"",'Dvd Calendar'!$AR$1490*1000000000+ISNUMBER('Dvd Calendar'!$AR$1493)*100000000+('Dvd Calendar'!$AR$1495=SPECIAL_LBL)*10000000+(N('Dvd Calendar'!$AR$1489)&gt;0)*(N('Dvd Calendar'!$AR$1489)&lt;=VAL_SERIAL)*1000000+35*1000+40))</f>
        <v/>
      </c>
      <c r="FS150" s="121">
        <f>IF(N('Dvd Calendar'!$E$1497)=0,"",IF(('Dvd Calendar'!$E$1497&gt;=GRID_FROM)*('Dvd Calendar'!$E$1497&lt;=GRID_TO)*('Dvd Calendar'!$E$1497&gt;VAL_DATE)=0,"",'Dvd Calendar'!$E$1497*1000000000+ISNUMBER('Dvd Calendar'!$E$1498)*100000000+0*10000000+(N('Dvd Calendar'!$E$1496)&gt;0)*(N('Dvd Calendar'!$E$1496)&lt;=VAL_SERIAL)*1000000+35*1000+41))</f>
        <v/>
      </c>
      <c r="FT150" s="121">
        <f>IF(N('Dvd Calendar'!$F$1497)=0,"",IF(('Dvd Calendar'!$F$1497&gt;=GRID_FROM)*('Dvd Calendar'!$F$1497&lt;=GRID_TO)*('Dvd Calendar'!$F$1497&gt;VAL_DATE)=0,"",'Dvd Calendar'!$F$1497*1000000000+ISNUMBER('Dvd Calendar'!$F$1498)*100000000+0*10000000+(N('Dvd Calendar'!$F$1496)&gt;0)*(N('Dvd Calendar'!$F$1496)&lt;=VAL_SERIAL)*1000000+35*1000+42))</f>
        <v/>
      </c>
      <c r="FU150" s="121">
        <f>IF(N('Dvd Calendar'!$G$1497)=0,"",IF(('Dvd Calendar'!$G$1497&gt;=GRID_FROM)*('Dvd Calendar'!$G$1497&lt;=GRID_TO)*('Dvd Calendar'!$G$1497&gt;VAL_DATE)=0,"",'Dvd Calendar'!$G$1497*1000000000+ISNUMBER('Dvd Calendar'!$G$1498)*100000000+0*10000000+(N('Dvd Calendar'!$G$1496)&gt;0)*(N('Dvd Calendar'!$G$1496)&lt;=VAL_SERIAL)*1000000+35*1000+43))</f>
        <v/>
      </c>
      <c r="FV150" s="121">
        <f>IF(N('Dvd Calendar'!$H$1497)=0,"",IF(('Dvd Calendar'!$H$1497&gt;=GRID_FROM)*('Dvd Calendar'!$H$1497&lt;=GRID_TO)*('Dvd Calendar'!$H$1497&gt;VAL_DATE)=0,"",'Dvd Calendar'!$H$1497*1000000000+ISNUMBER('Dvd Calendar'!$H$1498)*100000000+0*10000000+(N('Dvd Calendar'!$H$1496)&gt;0)*(N('Dvd Calendar'!$H$1496)&lt;=VAL_SERIAL)*1000000+35*1000+44))</f>
        <v/>
      </c>
      <c r="FW150" s="121">
        <f>IF(N('Dvd Calendar'!$I$1497)=0,"",IF(('Dvd Calendar'!$I$1497&gt;=GRID_FROM)*('Dvd Calendar'!$I$1497&lt;=GRID_TO)*('Dvd Calendar'!$I$1497&gt;VAL_DATE)=0,"",'Dvd Calendar'!$I$1497*1000000000+ISNUMBER('Dvd Calendar'!$I$1498)*100000000+0*10000000+(N('Dvd Calendar'!$I$1496)&gt;0)*(N('Dvd Calendar'!$I$1496)&lt;=VAL_SERIAL)*1000000+35*1000+45))</f>
        <v/>
      </c>
      <c r="FX150" s="121">
        <f>IF(N('Dvd Calendar'!$J$1497)=0,"",IF(('Dvd Calendar'!$J$1497&gt;=GRID_FROM)*('Dvd Calendar'!$J$1497&lt;=GRID_TO)*('Dvd Calendar'!$J$1497&gt;VAL_DATE)=0,"",'Dvd Calendar'!$J$1497*1000000000+ISNUMBER('Dvd Calendar'!$J$1498)*100000000+0*10000000+(N('Dvd Calendar'!$J$1496)&gt;0)*(N('Dvd Calendar'!$J$1496)&lt;=VAL_SERIAL)*1000000+35*1000+46))</f>
        <v/>
      </c>
      <c r="FY150" s="121">
        <f>IF(N('Dvd Calendar'!$K$1497)=0,"",IF(('Dvd Calendar'!$K$1497&gt;=GRID_FROM)*('Dvd Calendar'!$K$1497&lt;=GRID_TO)*('Dvd Calendar'!$K$1497&gt;VAL_DATE)=0,"",'Dvd Calendar'!$K$1497*1000000000+ISNUMBER('Dvd Calendar'!$K$1498)*100000000+0*10000000+(N('Dvd Calendar'!$K$1496)&gt;0)*(N('Dvd Calendar'!$K$1496)&lt;=VAL_SERIAL)*1000000+35*1000+47))</f>
        <v/>
      </c>
      <c r="FZ150" s="121">
        <f>IF(N('Dvd Calendar'!$L$1497)=0,"",IF(('Dvd Calendar'!$L$1497&gt;=GRID_FROM)*('Dvd Calendar'!$L$1497&lt;=GRID_TO)*('Dvd Calendar'!$L$1497&gt;VAL_DATE)=0,"",'Dvd Calendar'!$L$1497*1000000000+ISNUMBER('Dvd Calendar'!$L$1498)*100000000+0*10000000+(N('Dvd Calendar'!$L$1496)&gt;0)*(N('Dvd Calendar'!$L$1496)&lt;=VAL_SERIAL)*1000000+35*1000+48))</f>
        <v/>
      </c>
      <c r="GA150" s="121">
        <f>IF(N('Dvd Calendar'!$M$1497)=0,"",IF(('Dvd Calendar'!$M$1497&gt;=GRID_FROM)*('Dvd Calendar'!$M$1497&lt;=GRID_TO)*('Dvd Calendar'!$M$1497&gt;VAL_DATE)=0,"",'Dvd Calendar'!$M$1497*1000000000+ISNUMBER('Dvd Calendar'!$M$1498)*100000000+0*10000000+(N('Dvd Calendar'!$M$1496)&gt;0)*(N('Dvd Calendar'!$M$1496)&lt;=VAL_SERIAL)*1000000+35*1000+49))</f>
        <v/>
      </c>
      <c r="GB150" s="121">
        <f>IF(N('Dvd Calendar'!$N$1497)=0,"",IF(('Dvd Calendar'!$N$1497&gt;=GRID_FROM)*('Dvd Calendar'!$N$1497&lt;=GRID_TO)*('Dvd Calendar'!$N$1497&gt;VAL_DATE)=0,"",'Dvd Calendar'!$N$1497*1000000000+ISNUMBER('Dvd Calendar'!$N$1498)*100000000+0*10000000+(N('Dvd Calendar'!$N$1496)&gt;0)*(N('Dvd Calendar'!$N$1496)&lt;=VAL_SERIAL)*1000000+35*1000+50))</f>
        <v/>
      </c>
      <c r="GC150" s="121">
        <f>IF(N('Dvd Calendar'!$O$1497)=0,"",IF(('Dvd Calendar'!$O$1497&gt;=GRID_FROM)*('Dvd Calendar'!$O$1497&lt;=GRID_TO)*('Dvd Calendar'!$O$1497&gt;VAL_DATE)=0,"",'Dvd Calendar'!$O$1497*1000000000+ISNUMBER('Dvd Calendar'!$O$1498)*100000000+0*10000000+(N('Dvd Calendar'!$O$1496)&gt;0)*(N('Dvd Calendar'!$O$1496)&lt;=VAL_SERIAL)*1000000+35*1000+51))</f>
        <v/>
      </c>
      <c r="GD150" s="121">
        <f>IF(N('Dvd Calendar'!$P$1497)=0,"",IF(('Dvd Calendar'!$P$1497&gt;=GRID_FROM)*('Dvd Calendar'!$P$1497&lt;=GRID_TO)*('Dvd Calendar'!$P$1497&gt;VAL_DATE)=0,"",'Dvd Calendar'!$P$1497*1000000000+ISNUMBER('Dvd Calendar'!$P$1498)*100000000+0*10000000+(N('Dvd Calendar'!$P$1496)&gt;0)*(N('Dvd Calendar'!$P$1496)&lt;=VAL_SERIAL)*1000000+35*1000+52))</f>
        <v/>
      </c>
      <c r="GE150" s="121">
        <f>IF(N('Dvd Calendar'!$Q$1497)=0,"",IF(('Dvd Calendar'!$Q$1497&gt;=GRID_FROM)*('Dvd Calendar'!$Q$1497&lt;=GRID_TO)*('Dvd Calendar'!$Q$1497&gt;VAL_DATE)=0,"",'Dvd Calendar'!$Q$1497*1000000000+ISNUMBER('Dvd Calendar'!$Q$1498)*100000000+0*10000000+(N('Dvd Calendar'!$Q$1496)&gt;0)*(N('Dvd Calendar'!$Q$1496)&lt;=VAL_SERIAL)*1000000+35*1000+53))</f>
        <v/>
      </c>
      <c r="GF150" s="121">
        <f>IF(N('Dvd Calendar'!$R$1497)=0,"",IF(('Dvd Calendar'!$R$1497&gt;=GRID_FROM)*('Dvd Calendar'!$R$1497&lt;=GRID_TO)*('Dvd Calendar'!$R$1497&gt;VAL_DATE)=0,"",'Dvd Calendar'!$R$1497*1000000000+ISNUMBER('Dvd Calendar'!$R$1498)*100000000+0*10000000+(N('Dvd Calendar'!$R$1496)&gt;0)*(N('Dvd Calendar'!$R$1496)&lt;=VAL_SERIAL)*1000000+35*1000+54))</f>
        <v/>
      </c>
      <c r="GG150" s="121">
        <f>IF(N('Dvd Calendar'!$S$1497)=0,"",IF(('Dvd Calendar'!$S$1497&gt;=GRID_FROM)*('Dvd Calendar'!$S$1497&lt;=GRID_TO)*('Dvd Calendar'!$S$1497&gt;VAL_DATE)=0,"",'Dvd Calendar'!$S$1497*1000000000+ISNUMBER('Dvd Calendar'!$S$1498)*100000000+0*10000000+(N('Dvd Calendar'!$S$1496)&gt;0)*(N('Dvd Calendar'!$S$1496)&lt;=VAL_SERIAL)*1000000+35*1000+55))</f>
        <v/>
      </c>
      <c r="GH150" s="121">
        <f>IF(N('Dvd Calendar'!$T$1497)=0,"",IF(('Dvd Calendar'!$T$1497&gt;=GRID_FROM)*('Dvd Calendar'!$T$1497&lt;=GRID_TO)*('Dvd Calendar'!$T$1497&gt;VAL_DATE)=0,"",'Dvd Calendar'!$T$1497*1000000000+ISNUMBER('Dvd Calendar'!$T$1498)*100000000+0*10000000+(N('Dvd Calendar'!$T$1496)&gt;0)*(N('Dvd Calendar'!$T$1496)&lt;=VAL_SERIAL)*1000000+35*1000+56))</f>
        <v/>
      </c>
      <c r="GI150" s="121">
        <f>IF(N('Dvd Calendar'!$U$1497)=0,"",IF(('Dvd Calendar'!$U$1497&gt;=GRID_FROM)*('Dvd Calendar'!$U$1497&lt;=GRID_TO)*('Dvd Calendar'!$U$1497&gt;VAL_DATE)=0,"",'Dvd Calendar'!$U$1497*1000000000+ISNUMBER('Dvd Calendar'!$U$1498)*100000000+0*10000000+(N('Dvd Calendar'!$U$1496)&gt;0)*(N('Dvd Calendar'!$U$1496)&lt;=VAL_SERIAL)*1000000+35*1000+57))</f>
        <v/>
      </c>
      <c r="GJ150" s="121">
        <f>IF(N('Dvd Calendar'!$V$1497)=0,"",IF(('Dvd Calendar'!$V$1497&gt;=GRID_FROM)*('Dvd Calendar'!$V$1497&lt;=GRID_TO)*('Dvd Calendar'!$V$1497&gt;VAL_DATE)=0,"",'Dvd Calendar'!$V$1497*1000000000+ISNUMBER('Dvd Calendar'!$V$1498)*100000000+0*10000000+(N('Dvd Calendar'!$V$1496)&gt;0)*(N('Dvd Calendar'!$V$1496)&lt;=VAL_SERIAL)*1000000+35*1000+58))</f>
        <v/>
      </c>
      <c r="GK150" s="121">
        <f>IF(N('Dvd Calendar'!$W$1497)=0,"",IF(('Dvd Calendar'!$W$1497&gt;=GRID_FROM)*('Dvd Calendar'!$W$1497&lt;=GRID_TO)*('Dvd Calendar'!$W$1497&gt;VAL_DATE)=0,"",'Dvd Calendar'!$W$1497*1000000000+ISNUMBER('Dvd Calendar'!$W$1498)*100000000+0*10000000+(N('Dvd Calendar'!$W$1496)&gt;0)*(N('Dvd Calendar'!$W$1496)&lt;=VAL_SERIAL)*1000000+35*1000+59))</f>
        <v/>
      </c>
      <c r="GL150" s="121">
        <f>IF(N('Dvd Calendar'!$X$1497)=0,"",IF(('Dvd Calendar'!$X$1497&gt;=GRID_FROM)*('Dvd Calendar'!$X$1497&lt;=GRID_TO)*('Dvd Calendar'!$X$1497&gt;VAL_DATE)=0,"",'Dvd Calendar'!$X$1497*1000000000+ISNUMBER('Dvd Calendar'!$X$1498)*100000000+0*10000000+(N('Dvd Calendar'!$X$1496)&gt;0)*(N('Dvd Calendar'!$X$1496)&lt;=VAL_SERIAL)*1000000+35*1000+60))</f>
        <v/>
      </c>
      <c r="GM150" s="121">
        <f>IF(N('Dvd Calendar'!$Y$1497)=0,"",IF(('Dvd Calendar'!$Y$1497&gt;=GRID_FROM)*('Dvd Calendar'!$Y$1497&lt;=GRID_TO)*('Dvd Calendar'!$Y$1497&gt;VAL_DATE)=0,"",'Dvd Calendar'!$Y$1497*1000000000+ISNUMBER('Dvd Calendar'!$Y$1498)*100000000+0*10000000+(N('Dvd Calendar'!$Y$1496)&gt;0)*(N('Dvd Calendar'!$Y$1496)&lt;=VAL_SERIAL)*1000000+35*1000+61))</f>
        <v/>
      </c>
      <c r="GN150" s="121">
        <f>IF(N('Dvd Calendar'!$Z$1497)=0,"",IF(('Dvd Calendar'!$Z$1497&gt;=GRID_FROM)*('Dvd Calendar'!$Z$1497&lt;=GRID_TO)*('Dvd Calendar'!$Z$1497&gt;VAL_DATE)=0,"",'Dvd Calendar'!$Z$1497*1000000000+ISNUMBER('Dvd Calendar'!$Z$1498)*100000000+0*10000000+(N('Dvd Calendar'!$Z$1496)&gt;0)*(N('Dvd Calendar'!$Z$1496)&lt;=VAL_SERIAL)*1000000+35*1000+62))</f>
        <v/>
      </c>
      <c r="GO150" s="121">
        <f>IF(N('Dvd Calendar'!$AA$1497)=0,"",IF(('Dvd Calendar'!$AA$1497&gt;=GRID_FROM)*('Dvd Calendar'!$AA$1497&lt;=GRID_TO)*('Dvd Calendar'!$AA$1497&gt;VAL_DATE)=0,"",'Dvd Calendar'!$AA$1497*1000000000+ISNUMBER('Dvd Calendar'!$AA$1498)*100000000+0*10000000+(N('Dvd Calendar'!$AA$1496)&gt;0)*(N('Dvd Calendar'!$AA$1496)&lt;=VAL_SERIAL)*1000000+35*1000+63))</f>
        <v/>
      </c>
      <c r="GP150" s="121">
        <f>IF(N('Dvd Calendar'!$AB$1497)=0,"",IF(('Dvd Calendar'!$AB$1497&gt;=GRID_FROM)*('Dvd Calendar'!$AB$1497&lt;=GRID_TO)*('Dvd Calendar'!$AB$1497&gt;VAL_DATE)=0,"",'Dvd Calendar'!$AB$1497*1000000000+ISNUMBER('Dvd Calendar'!$AB$1498)*100000000+0*10000000+(N('Dvd Calendar'!$AB$1496)&gt;0)*(N('Dvd Calendar'!$AB$1496)&lt;=VAL_SERIAL)*1000000+35*1000+64))</f>
        <v/>
      </c>
      <c r="GQ150" s="121">
        <f>IF(N('Dvd Calendar'!$AC$1497)=0,"",IF(('Dvd Calendar'!$AC$1497&gt;=GRID_FROM)*('Dvd Calendar'!$AC$1497&lt;=GRID_TO)*('Dvd Calendar'!$AC$1497&gt;VAL_DATE)=0,"",'Dvd Calendar'!$AC$1497*1000000000+ISNUMBER('Dvd Calendar'!$AC$1498)*100000000+0*10000000+(N('Dvd Calendar'!$AC$1496)&gt;0)*(N('Dvd Calendar'!$AC$1496)&lt;=VAL_SERIAL)*1000000+35*1000+65))</f>
        <v/>
      </c>
    </row>
    <row r="151">
      <c r="B151" s="2">
        <f>IF(HSTECH!$C$42="","",HSTECH!$C$42)</f>
        <v/>
      </c>
      <c r="C151" s="161">
        <f>IF(EE151="","",IF(ISNUMBER('Dvd Calendar'!$E$1504)=FALSE,"",IF((('Dvd Calendar'!$E$1506=TYPE1)*(TYPE1&lt;&gt;"")+('Dvd Calendar'!$E$1506=TYPE2)*(TYPE2&lt;&gt;"")+('Dvd Calendar'!$E$1506=TYPE3)*(TYPE3&lt;&gt;"")+('Dvd Calendar'!$E$1506=TYPE4)*(TYPE4&lt;&gt;"")+('Dvd Calendar'!$E$1506=SPECIAL_LBL)*(INC_SPECIALS="Y"))=0,"",'Dvd Calendar'!$E$1504)))</f>
        <v/>
      </c>
      <c r="D151" s="161">
        <f>IF(EF151="","",IF(ISNUMBER('Dvd Calendar'!$F$1504)=FALSE,"",IF((('Dvd Calendar'!$F$1506=TYPE1)*(TYPE1&lt;&gt;"")+('Dvd Calendar'!$F$1506=TYPE2)*(TYPE2&lt;&gt;"")+('Dvd Calendar'!$F$1506=TYPE3)*(TYPE3&lt;&gt;"")+('Dvd Calendar'!$F$1506=TYPE4)*(TYPE4&lt;&gt;"")+('Dvd Calendar'!$F$1506=SPECIAL_LBL)*(INC_SPECIALS="Y"))=0,"",'Dvd Calendar'!$F$1504)))</f>
        <v/>
      </c>
      <c r="E151" s="161">
        <f>IF(EG151="","",IF(ISNUMBER('Dvd Calendar'!$G$1504)=FALSE,"",IF((('Dvd Calendar'!$G$1506=TYPE1)*(TYPE1&lt;&gt;"")+('Dvd Calendar'!$G$1506=TYPE2)*(TYPE2&lt;&gt;"")+('Dvd Calendar'!$G$1506=TYPE3)*(TYPE3&lt;&gt;"")+('Dvd Calendar'!$G$1506=TYPE4)*(TYPE4&lt;&gt;"")+('Dvd Calendar'!$G$1506=SPECIAL_LBL)*(INC_SPECIALS="Y"))=0,"",'Dvd Calendar'!$G$1504)))</f>
        <v/>
      </c>
      <c r="F151" s="161">
        <f>IF(EH151="","",IF(ISNUMBER('Dvd Calendar'!$H$1504)=FALSE,"",IF((('Dvd Calendar'!$H$1506=TYPE1)*(TYPE1&lt;&gt;"")+('Dvd Calendar'!$H$1506=TYPE2)*(TYPE2&lt;&gt;"")+('Dvd Calendar'!$H$1506=TYPE3)*(TYPE3&lt;&gt;"")+('Dvd Calendar'!$H$1506=TYPE4)*(TYPE4&lt;&gt;"")+('Dvd Calendar'!$H$1506=SPECIAL_LBL)*(INC_SPECIALS="Y"))=0,"",'Dvd Calendar'!$H$1504)))</f>
        <v/>
      </c>
      <c r="G151" s="161">
        <f>IF(EI151="","",IF(ISNUMBER('Dvd Calendar'!$I$1504)=FALSE,"",IF((('Dvd Calendar'!$I$1506=TYPE1)*(TYPE1&lt;&gt;"")+('Dvd Calendar'!$I$1506=TYPE2)*(TYPE2&lt;&gt;"")+('Dvd Calendar'!$I$1506=TYPE3)*(TYPE3&lt;&gt;"")+('Dvd Calendar'!$I$1506=TYPE4)*(TYPE4&lt;&gt;"")+('Dvd Calendar'!$I$1506=SPECIAL_LBL)*(INC_SPECIALS="Y"))=0,"",'Dvd Calendar'!$I$1504)))</f>
        <v/>
      </c>
      <c r="H151" s="161">
        <f>IF(EJ151="","",IF(ISNUMBER('Dvd Calendar'!$J$1504)=FALSE,"",IF((('Dvd Calendar'!$J$1506=TYPE1)*(TYPE1&lt;&gt;"")+('Dvd Calendar'!$J$1506=TYPE2)*(TYPE2&lt;&gt;"")+('Dvd Calendar'!$J$1506=TYPE3)*(TYPE3&lt;&gt;"")+('Dvd Calendar'!$J$1506=TYPE4)*(TYPE4&lt;&gt;"")+('Dvd Calendar'!$J$1506=SPECIAL_LBL)*(INC_SPECIALS="Y"))=0,"",'Dvd Calendar'!$J$1504)))</f>
        <v/>
      </c>
      <c r="I151" s="161">
        <f>IF(EK151="","",IF(ISNUMBER('Dvd Calendar'!$K$1504)=FALSE,"",IF((('Dvd Calendar'!$K$1506=TYPE1)*(TYPE1&lt;&gt;"")+('Dvd Calendar'!$K$1506=TYPE2)*(TYPE2&lt;&gt;"")+('Dvd Calendar'!$K$1506=TYPE3)*(TYPE3&lt;&gt;"")+('Dvd Calendar'!$K$1506=TYPE4)*(TYPE4&lt;&gt;"")+('Dvd Calendar'!$K$1506=SPECIAL_LBL)*(INC_SPECIALS="Y"))=0,"",'Dvd Calendar'!$K$1504)))</f>
        <v/>
      </c>
      <c r="J151" s="161">
        <f>IF(EL151="","",IF(ISNUMBER('Dvd Calendar'!$L$1504)=FALSE,"",IF((('Dvd Calendar'!$L$1506=TYPE1)*(TYPE1&lt;&gt;"")+('Dvd Calendar'!$L$1506=TYPE2)*(TYPE2&lt;&gt;"")+('Dvd Calendar'!$L$1506=TYPE3)*(TYPE3&lt;&gt;"")+('Dvd Calendar'!$L$1506=TYPE4)*(TYPE4&lt;&gt;"")+('Dvd Calendar'!$L$1506=SPECIAL_LBL)*(INC_SPECIALS="Y"))=0,"",'Dvd Calendar'!$L$1504)))</f>
        <v/>
      </c>
      <c r="K151" s="161">
        <f>IF(EM151="","",IF(ISNUMBER('Dvd Calendar'!$M$1504)=FALSE,"",IF((('Dvd Calendar'!$M$1506=TYPE1)*(TYPE1&lt;&gt;"")+('Dvd Calendar'!$M$1506=TYPE2)*(TYPE2&lt;&gt;"")+('Dvd Calendar'!$M$1506=TYPE3)*(TYPE3&lt;&gt;"")+('Dvd Calendar'!$M$1506=TYPE4)*(TYPE4&lt;&gt;"")+('Dvd Calendar'!$M$1506=SPECIAL_LBL)*(INC_SPECIALS="Y"))=0,"",'Dvd Calendar'!$M$1504)))</f>
        <v/>
      </c>
      <c r="L151" s="161">
        <f>IF(EN151="","",IF(ISNUMBER('Dvd Calendar'!$N$1504)=FALSE,"",IF((('Dvd Calendar'!$N$1506=TYPE1)*(TYPE1&lt;&gt;"")+('Dvd Calendar'!$N$1506=TYPE2)*(TYPE2&lt;&gt;"")+('Dvd Calendar'!$N$1506=TYPE3)*(TYPE3&lt;&gt;"")+('Dvd Calendar'!$N$1506=TYPE4)*(TYPE4&lt;&gt;"")+('Dvd Calendar'!$N$1506=SPECIAL_LBL)*(INC_SPECIALS="Y"))=0,"",'Dvd Calendar'!$N$1504)))</f>
        <v/>
      </c>
      <c r="M151" s="161">
        <f>IF(EO151="","",IF(ISNUMBER('Dvd Calendar'!$O$1504)=FALSE,"",IF((('Dvd Calendar'!$O$1506=TYPE1)*(TYPE1&lt;&gt;"")+('Dvd Calendar'!$O$1506=TYPE2)*(TYPE2&lt;&gt;"")+('Dvd Calendar'!$O$1506=TYPE3)*(TYPE3&lt;&gt;"")+('Dvd Calendar'!$O$1506=TYPE4)*(TYPE4&lt;&gt;"")+('Dvd Calendar'!$O$1506=SPECIAL_LBL)*(INC_SPECIALS="Y"))=0,"",'Dvd Calendar'!$O$1504)))</f>
        <v/>
      </c>
      <c r="N151" s="161">
        <f>IF(EP151="","",IF(ISNUMBER('Dvd Calendar'!$P$1504)=FALSE,"",IF((('Dvd Calendar'!$P$1506=TYPE1)*(TYPE1&lt;&gt;"")+('Dvd Calendar'!$P$1506=TYPE2)*(TYPE2&lt;&gt;"")+('Dvd Calendar'!$P$1506=TYPE3)*(TYPE3&lt;&gt;"")+('Dvd Calendar'!$P$1506=TYPE4)*(TYPE4&lt;&gt;"")+('Dvd Calendar'!$P$1506=SPECIAL_LBL)*(INC_SPECIALS="Y"))=0,"",'Dvd Calendar'!$P$1504)))</f>
        <v/>
      </c>
      <c r="O151" s="161">
        <f>IF(EQ151="","",IF(ISNUMBER('Dvd Calendar'!$Q$1504)=FALSE,"",IF((('Dvd Calendar'!$Q$1506=TYPE1)*(TYPE1&lt;&gt;"")+('Dvd Calendar'!$Q$1506=TYPE2)*(TYPE2&lt;&gt;"")+('Dvd Calendar'!$Q$1506=TYPE3)*(TYPE3&lt;&gt;"")+('Dvd Calendar'!$Q$1506=TYPE4)*(TYPE4&lt;&gt;"")+('Dvd Calendar'!$Q$1506=SPECIAL_LBL)*(INC_SPECIALS="Y"))=0,"",'Dvd Calendar'!$Q$1504)))</f>
        <v/>
      </c>
      <c r="P151" s="161">
        <f>IF(ER151="","",IF(ISNUMBER('Dvd Calendar'!$R$1504)=FALSE,"",IF((('Dvd Calendar'!$R$1506=TYPE1)*(TYPE1&lt;&gt;"")+('Dvd Calendar'!$R$1506=TYPE2)*(TYPE2&lt;&gt;"")+('Dvd Calendar'!$R$1506=TYPE3)*(TYPE3&lt;&gt;"")+('Dvd Calendar'!$R$1506=TYPE4)*(TYPE4&lt;&gt;"")+('Dvd Calendar'!$R$1506=SPECIAL_LBL)*(INC_SPECIALS="Y"))=0,"",'Dvd Calendar'!$R$1504)))</f>
        <v/>
      </c>
      <c r="Q151" s="161">
        <f>IF(ES151="","",IF(ISNUMBER('Dvd Calendar'!$S$1504)=FALSE,"",IF((('Dvd Calendar'!$S$1506=TYPE1)*(TYPE1&lt;&gt;"")+('Dvd Calendar'!$S$1506=TYPE2)*(TYPE2&lt;&gt;"")+('Dvd Calendar'!$S$1506=TYPE3)*(TYPE3&lt;&gt;"")+('Dvd Calendar'!$S$1506=TYPE4)*(TYPE4&lt;&gt;"")+('Dvd Calendar'!$S$1506=SPECIAL_LBL)*(INC_SPECIALS="Y"))=0,"",'Dvd Calendar'!$S$1504)))</f>
        <v/>
      </c>
      <c r="R151" s="161">
        <f>IF(ET151="","",IF(ISNUMBER('Dvd Calendar'!$T$1504)=FALSE,"",IF((('Dvd Calendar'!$T$1506=TYPE1)*(TYPE1&lt;&gt;"")+('Dvd Calendar'!$T$1506=TYPE2)*(TYPE2&lt;&gt;"")+('Dvd Calendar'!$T$1506=TYPE3)*(TYPE3&lt;&gt;"")+('Dvd Calendar'!$T$1506=TYPE4)*(TYPE4&lt;&gt;"")+('Dvd Calendar'!$T$1506=SPECIAL_LBL)*(INC_SPECIALS="Y"))=0,"",'Dvd Calendar'!$T$1504)))</f>
        <v/>
      </c>
      <c r="S151" s="161">
        <f>IF(EU151="","",IF(ISNUMBER('Dvd Calendar'!$U$1504)=FALSE,"",IF((('Dvd Calendar'!$U$1506=TYPE1)*(TYPE1&lt;&gt;"")+('Dvd Calendar'!$U$1506=TYPE2)*(TYPE2&lt;&gt;"")+('Dvd Calendar'!$U$1506=TYPE3)*(TYPE3&lt;&gt;"")+('Dvd Calendar'!$U$1506=TYPE4)*(TYPE4&lt;&gt;"")+('Dvd Calendar'!$U$1506=SPECIAL_LBL)*(INC_SPECIALS="Y"))=0,"",'Dvd Calendar'!$U$1504)))</f>
        <v/>
      </c>
      <c r="T151" s="161">
        <f>IF(EV151="","",IF(ISNUMBER('Dvd Calendar'!$V$1504)=FALSE,"",IF((('Dvd Calendar'!$V$1506=TYPE1)*(TYPE1&lt;&gt;"")+('Dvd Calendar'!$V$1506=TYPE2)*(TYPE2&lt;&gt;"")+('Dvd Calendar'!$V$1506=TYPE3)*(TYPE3&lt;&gt;"")+('Dvd Calendar'!$V$1506=TYPE4)*(TYPE4&lt;&gt;"")+('Dvd Calendar'!$V$1506=SPECIAL_LBL)*(INC_SPECIALS="Y"))=0,"",'Dvd Calendar'!$V$1504)))</f>
        <v/>
      </c>
      <c r="U151" s="161">
        <f>IF(EW151="","",IF(ISNUMBER('Dvd Calendar'!$W$1504)=FALSE,"",IF((('Dvd Calendar'!$W$1506=TYPE1)*(TYPE1&lt;&gt;"")+('Dvd Calendar'!$W$1506=TYPE2)*(TYPE2&lt;&gt;"")+('Dvd Calendar'!$W$1506=TYPE3)*(TYPE3&lt;&gt;"")+('Dvd Calendar'!$W$1506=TYPE4)*(TYPE4&lt;&gt;"")+('Dvd Calendar'!$W$1506=SPECIAL_LBL)*(INC_SPECIALS="Y"))=0,"",'Dvd Calendar'!$W$1504)))</f>
        <v/>
      </c>
      <c r="V151" s="161">
        <f>IF(EX151="","",IF(ISNUMBER('Dvd Calendar'!$X$1504)=FALSE,"",IF((('Dvd Calendar'!$X$1506=TYPE1)*(TYPE1&lt;&gt;"")+('Dvd Calendar'!$X$1506=TYPE2)*(TYPE2&lt;&gt;"")+('Dvd Calendar'!$X$1506=TYPE3)*(TYPE3&lt;&gt;"")+('Dvd Calendar'!$X$1506=TYPE4)*(TYPE4&lt;&gt;"")+('Dvd Calendar'!$X$1506=SPECIAL_LBL)*(INC_SPECIALS="Y"))=0,"",'Dvd Calendar'!$X$1504)))</f>
        <v/>
      </c>
      <c r="W151" s="161">
        <f>IF(EY151="","",IF(ISNUMBER('Dvd Calendar'!$Y$1504)=FALSE,"",IF((('Dvd Calendar'!$Y$1506=TYPE1)*(TYPE1&lt;&gt;"")+('Dvd Calendar'!$Y$1506=TYPE2)*(TYPE2&lt;&gt;"")+('Dvd Calendar'!$Y$1506=TYPE3)*(TYPE3&lt;&gt;"")+('Dvd Calendar'!$Y$1506=TYPE4)*(TYPE4&lt;&gt;"")+('Dvd Calendar'!$Y$1506=SPECIAL_LBL)*(INC_SPECIALS="Y"))=0,"",'Dvd Calendar'!$Y$1504)))</f>
        <v/>
      </c>
      <c r="X151" s="161">
        <f>IF(EZ151="","",IF(ISNUMBER('Dvd Calendar'!$Z$1504)=FALSE,"",IF((('Dvd Calendar'!$Z$1506=TYPE1)*(TYPE1&lt;&gt;"")+('Dvd Calendar'!$Z$1506=TYPE2)*(TYPE2&lt;&gt;"")+('Dvd Calendar'!$Z$1506=TYPE3)*(TYPE3&lt;&gt;"")+('Dvd Calendar'!$Z$1506=TYPE4)*(TYPE4&lt;&gt;"")+('Dvd Calendar'!$Z$1506=SPECIAL_LBL)*(INC_SPECIALS="Y"))=0,"",'Dvd Calendar'!$Z$1504)))</f>
        <v/>
      </c>
      <c r="Y151" s="161">
        <f>IF(FA151="","",IF(ISNUMBER('Dvd Calendar'!$AA$1504)=FALSE,"",IF((('Dvd Calendar'!$AA$1506=TYPE1)*(TYPE1&lt;&gt;"")+('Dvd Calendar'!$AA$1506=TYPE2)*(TYPE2&lt;&gt;"")+('Dvd Calendar'!$AA$1506=TYPE3)*(TYPE3&lt;&gt;"")+('Dvd Calendar'!$AA$1506=TYPE4)*(TYPE4&lt;&gt;"")+('Dvd Calendar'!$AA$1506=SPECIAL_LBL)*(INC_SPECIALS="Y"))=0,"",'Dvd Calendar'!$AA$1504)))</f>
        <v/>
      </c>
      <c r="Z151" s="161">
        <f>IF(FB151="","",IF(ISNUMBER('Dvd Calendar'!$AB$1504)=FALSE,"",IF((('Dvd Calendar'!$AB$1506=TYPE1)*(TYPE1&lt;&gt;"")+('Dvd Calendar'!$AB$1506=TYPE2)*(TYPE2&lt;&gt;"")+('Dvd Calendar'!$AB$1506=TYPE3)*(TYPE3&lt;&gt;"")+('Dvd Calendar'!$AB$1506=TYPE4)*(TYPE4&lt;&gt;"")+('Dvd Calendar'!$AB$1506=SPECIAL_LBL)*(INC_SPECIALS="Y"))=0,"",'Dvd Calendar'!$AB$1504)))</f>
        <v/>
      </c>
      <c r="AA151" s="161">
        <f>IF(FC151="","",IF(ISNUMBER('Dvd Calendar'!$AC$1504)=FALSE,"",IF((('Dvd Calendar'!$AC$1506=TYPE1)*(TYPE1&lt;&gt;"")+('Dvd Calendar'!$AC$1506=TYPE2)*(TYPE2&lt;&gt;"")+('Dvd Calendar'!$AC$1506=TYPE3)*(TYPE3&lt;&gt;"")+('Dvd Calendar'!$AC$1506=TYPE4)*(TYPE4&lt;&gt;"")+('Dvd Calendar'!$AC$1506=SPECIAL_LBL)*(INC_SPECIALS="Y"))=0,"",'Dvd Calendar'!$AC$1504)))</f>
        <v/>
      </c>
      <c r="AB151" s="161">
        <f>IF(FD151="","",IF(ISNUMBER('Dvd Calendar'!$AD$1504)=FALSE,"",IF((('Dvd Calendar'!$AD$1506=TYPE1)*(TYPE1&lt;&gt;"")+('Dvd Calendar'!$AD$1506=TYPE2)*(TYPE2&lt;&gt;"")+('Dvd Calendar'!$AD$1506=TYPE3)*(TYPE3&lt;&gt;"")+('Dvd Calendar'!$AD$1506=TYPE4)*(TYPE4&lt;&gt;"")+('Dvd Calendar'!$AD$1506=SPECIAL_LBL)*(INC_SPECIALS="Y"))=0,"",'Dvd Calendar'!$AD$1504)))</f>
        <v/>
      </c>
      <c r="AC151" s="161">
        <f>IF(FE151="","",IF(ISNUMBER('Dvd Calendar'!$AE$1504)=FALSE,"",IF((('Dvd Calendar'!$AE$1506=TYPE1)*(TYPE1&lt;&gt;"")+('Dvd Calendar'!$AE$1506=TYPE2)*(TYPE2&lt;&gt;"")+('Dvd Calendar'!$AE$1506=TYPE3)*(TYPE3&lt;&gt;"")+('Dvd Calendar'!$AE$1506=TYPE4)*(TYPE4&lt;&gt;"")+('Dvd Calendar'!$AE$1506=SPECIAL_LBL)*(INC_SPECIALS="Y"))=0,"",'Dvd Calendar'!$AE$1504)))</f>
        <v/>
      </c>
      <c r="AD151" s="161">
        <f>IF(FF151="","",IF(ISNUMBER('Dvd Calendar'!$AF$1504)=FALSE,"",IF((('Dvd Calendar'!$AF$1506=TYPE1)*(TYPE1&lt;&gt;"")+('Dvd Calendar'!$AF$1506=TYPE2)*(TYPE2&lt;&gt;"")+('Dvd Calendar'!$AF$1506=TYPE3)*(TYPE3&lt;&gt;"")+('Dvd Calendar'!$AF$1506=TYPE4)*(TYPE4&lt;&gt;"")+('Dvd Calendar'!$AF$1506=SPECIAL_LBL)*(INC_SPECIALS="Y"))=0,"",'Dvd Calendar'!$AF$1504)))</f>
        <v/>
      </c>
      <c r="AE151" s="161">
        <f>IF(FG151="","",IF(ISNUMBER('Dvd Calendar'!$AG$1504)=FALSE,"",IF((('Dvd Calendar'!$AG$1506=TYPE1)*(TYPE1&lt;&gt;"")+('Dvd Calendar'!$AG$1506=TYPE2)*(TYPE2&lt;&gt;"")+('Dvd Calendar'!$AG$1506=TYPE3)*(TYPE3&lt;&gt;"")+('Dvd Calendar'!$AG$1506=TYPE4)*(TYPE4&lt;&gt;"")+('Dvd Calendar'!$AG$1506=SPECIAL_LBL)*(INC_SPECIALS="Y"))=0,"",'Dvd Calendar'!$AG$1504)))</f>
        <v/>
      </c>
      <c r="AF151" s="161">
        <f>IF(FH151="","",IF(ISNUMBER('Dvd Calendar'!$AH$1504)=FALSE,"",IF((('Dvd Calendar'!$AH$1506=TYPE1)*(TYPE1&lt;&gt;"")+('Dvd Calendar'!$AH$1506=TYPE2)*(TYPE2&lt;&gt;"")+('Dvd Calendar'!$AH$1506=TYPE3)*(TYPE3&lt;&gt;"")+('Dvd Calendar'!$AH$1506=TYPE4)*(TYPE4&lt;&gt;"")+('Dvd Calendar'!$AH$1506=SPECIAL_LBL)*(INC_SPECIALS="Y"))=0,"",'Dvd Calendar'!$AH$1504)))</f>
        <v/>
      </c>
      <c r="AG151" s="161">
        <f>IF(FI151="","",IF(ISNUMBER('Dvd Calendar'!$AI$1504)=FALSE,"",IF((('Dvd Calendar'!$AI$1506=TYPE1)*(TYPE1&lt;&gt;"")+('Dvd Calendar'!$AI$1506=TYPE2)*(TYPE2&lt;&gt;"")+('Dvd Calendar'!$AI$1506=TYPE3)*(TYPE3&lt;&gt;"")+('Dvd Calendar'!$AI$1506=TYPE4)*(TYPE4&lt;&gt;"")+('Dvd Calendar'!$AI$1506=SPECIAL_LBL)*(INC_SPECIALS="Y"))=0,"",'Dvd Calendar'!$AI$1504)))</f>
        <v/>
      </c>
      <c r="AH151" s="161">
        <f>IF(FJ151="","",IF(ISNUMBER('Dvd Calendar'!$AJ$1504)=FALSE,"",IF((('Dvd Calendar'!$AJ$1506=TYPE1)*(TYPE1&lt;&gt;"")+('Dvd Calendar'!$AJ$1506=TYPE2)*(TYPE2&lt;&gt;"")+('Dvd Calendar'!$AJ$1506=TYPE3)*(TYPE3&lt;&gt;"")+('Dvd Calendar'!$AJ$1506=TYPE4)*(TYPE4&lt;&gt;"")+('Dvd Calendar'!$AJ$1506=SPECIAL_LBL)*(INC_SPECIALS="Y"))=0,"",'Dvd Calendar'!$AJ$1504)))</f>
        <v/>
      </c>
      <c r="AI151" s="161">
        <f>IF(FK151="","",IF(ISNUMBER('Dvd Calendar'!$AK$1504)=FALSE,"",IF((('Dvd Calendar'!$AK$1506=TYPE1)*(TYPE1&lt;&gt;"")+('Dvd Calendar'!$AK$1506=TYPE2)*(TYPE2&lt;&gt;"")+('Dvd Calendar'!$AK$1506=TYPE3)*(TYPE3&lt;&gt;"")+('Dvd Calendar'!$AK$1506=TYPE4)*(TYPE4&lt;&gt;"")+('Dvd Calendar'!$AK$1506=SPECIAL_LBL)*(INC_SPECIALS="Y"))=0,"",'Dvd Calendar'!$AK$1504)))</f>
        <v/>
      </c>
      <c r="AJ151" s="161">
        <f>IF(FL151="","",IF(ISNUMBER('Dvd Calendar'!$AL$1504)=FALSE,"",IF((('Dvd Calendar'!$AL$1506=TYPE1)*(TYPE1&lt;&gt;"")+('Dvd Calendar'!$AL$1506=TYPE2)*(TYPE2&lt;&gt;"")+('Dvd Calendar'!$AL$1506=TYPE3)*(TYPE3&lt;&gt;"")+('Dvd Calendar'!$AL$1506=TYPE4)*(TYPE4&lt;&gt;"")+('Dvd Calendar'!$AL$1506=SPECIAL_LBL)*(INC_SPECIALS="Y"))=0,"",'Dvd Calendar'!$AL$1504)))</f>
        <v/>
      </c>
      <c r="AK151" s="161">
        <f>IF(FM151="","",IF(ISNUMBER('Dvd Calendar'!$AM$1504)=FALSE,"",IF((('Dvd Calendar'!$AM$1506=TYPE1)*(TYPE1&lt;&gt;"")+('Dvd Calendar'!$AM$1506=TYPE2)*(TYPE2&lt;&gt;"")+('Dvd Calendar'!$AM$1506=TYPE3)*(TYPE3&lt;&gt;"")+('Dvd Calendar'!$AM$1506=TYPE4)*(TYPE4&lt;&gt;"")+('Dvd Calendar'!$AM$1506=SPECIAL_LBL)*(INC_SPECIALS="Y"))=0,"",'Dvd Calendar'!$AM$1504)))</f>
        <v/>
      </c>
      <c r="AL151" s="161">
        <f>IF(FN151="","",IF(ISNUMBER('Dvd Calendar'!$AN$1504)=FALSE,"",IF((('Dvd Calendar'!$AN$1506=TYPE1)*(TYPE1&lt;&gt;"")+('Dvd Calendar'!$AN$1506=TYPE2)*(TYPE2&lt;&gt;"")+('Dvd Calendar'!$AN$1506=TYPE3)*(TYPE3&lt;&gt;"")+('Dvd Calendar'!$AN$1506=TYPE4)*(TYPE4&lt;&gt;"")+('Dvd Calendar'!$AN$1506=SPECIAL_LBL)*(INC_SPECIALS="Y"))=0,"",'Dvd Calendar'!$AN$1504)))</f>
        <v/>
      </c>
      <c r="AM151" s="161">
        <f>IF(FO151="","",IF(ISNUMBER('Dvd Calendar'!$AO$1504)=FALSE,"",IF((('Dvd Calendar'!$AO$1506=TYPE1)*(TYPE1&lt;&gt;"")+('Dvd Calendar'!$AO$1506=TYPE2)*(TYPE2&lt;&gt;"")+('Dvd Calendar'!$AO$1506=TYPE3)*(TYPE3&lt;&gt;"")+('Dvd Calendar'!$AO$1506=TYPE4)*(TYPE4&lt;&gt;"")+('Dvd Calendar'!$AO$1506=SPECIAL_LBL)*(INC_SPECIALS="Y"))=0,"",'Dvd Calendar'!$AO$1504)))</f>
        <v/>
      </c>
      <c r="AN151" s="161">
        <f>IF(FP151="","",IF(ISNUMBER('Dvd Calendar'!$AP$1504)=FALSE,"",IF((('Dvd Calendar'!$AP$1506=TYPE1)*(TYPE1&lt;&gt;"")+('Dvd Calendar'!$AP$1506=TYPE2)*(TYPE2&lt;&gt;"")+('Dvd Calendar'!$AP$1506=TYPE3)*(TYPE3&lt;&gt;"")+('Dvd Calendar'!$AP$1506=TYPE4)*(TYPE4&lt;&gt;"")+('Dvd Calendar'!$AP$1506=SPECIAL_LBL)*(INC_SPECIALS="Y"))=0,"",'Dvd Calendar'!$AP$1504)))</f>
        <v/>
      </c>
      <c r="AO151" s="161">
        <f>IF(FQ151="","",IF(ISNUMBER('Dvd Calendar'!$AQ$1504)=FALSE,"",IF((('Dvd Calendar'!$AQ$1506=TYPE1)*(TYPE1&lt;&gt;"")+('Dvd Calendar'!$AQ$1506=TYPE2)*(TYPE2&lt;&gt;"")+('Dvd Calendar'!$AQ$1506=TYPE3)*(TYPE3&lt;&gt;"")+('Dvd Calendar'!$AQ$1506=TYPE4)*(TYPE4&lt;&gt;"")+('Dvd Calendar'!$AQ$1506=SPECIAL_LBL)*(INC_SPECIALS="Y"))=0,"",'Dvd Calendar'!$AQ$1504)))</f>
        <v/>
      </c>
      <c r="AP151" s="161">
        <f>IF(FR151="","",IF(ISNUMBER('Dvd Calendar'!$AR$1504)=FALSE,"",IF((('Dvd Calendar'!$AR$1506=TYPE1)*(TYPE1&lt;&gt;"")+('Dvd Calendar'!$AR$1506=TYPE2)*(TYPE2&lt;&gt;"")+('Dvd Calendar'!$AR$1506=TYPE3)*(TYPE3&lt;&gt;"")+('Dvd Calendar'!$AR$1506=TYPE4)*(TYPE4&lt;&gt;"")+('Dvd Calendar'!$AR$1506=SPECIAL_LBL)*(INC_SPECIALS="Y"))=0,"",'Dvd Calendar'!$AR$1504)))</f>
        <v/>
      </c>
      <c r="AQ151" s="161">
        <f>IF(FS151="","",IF(ISNUMBER('Dvd Calendar'!$E$1509)=FALSE,"",'Dvd Calendar'!$E$1509))</f>
        <v/>
      </c>
      <c r="AR151" s="161">
        <f>IF(FT151="","",IF(ISNUMBER('Dvd Calendar'!$F$1509)=FALSE,"",'Dvd Calendar'!$F$1509))</f>
        <v/>
      </c>
      <c r="AS151" s="161">
        <f>IF(FU151="","",IF(ISNUMBER('Dvd Calendar'!$G$1509)=FALSE,"",'Dvd Calendar'!$G$1509))</f>
        <v/>
      </c>
      <c r="AT151" s="161">
        <f>IF(FV151="","",IF(ISNUMBER('Dvd Calendar'!$H$1509)=FALSE,"",'Dvd Calendar'!$H$1509))</f>
        <v/>
      </c>
      <c r="AU151" s="161">
        <f>IF(FW151="","",IF(ISNUMBER('Dvd Calendar'!$I$1509)=FALSE,"",'Dvd Calendar'!$I$1509))</f>
        <v/>
      </c>
      <c r="AV151" s="161">
        <f>IF(FX151="","",IF(ISNUMBER('Dvd Calendar'!$J$1509)=FALSE,"",'Dvd Calendar'!$J$1509))</f>
        <v/>
      </c>
      <c r="AW151" s="161">
        <f>IF(FY151="","",IF(ISNUMBER('Dvd Calendar'!$K$1509)=FALSE,"",'Dvd Calendar'!$K$1509))</f>
        <v/>
      </c>
      <c r="AX151" s="161">
        <f>IF(FZ151="","",IF(ISNUMBER('Dvd Calendar'!$L$1509)=FALSE,"",'Dvd Calendar'!$L$1509))</f>
        <v/>
      </c>
      <c r="AY151" s="161">
        <f>IF(GA151="","",IF(ISNUMBER('Dvd Calendar'!$M$1509)=FALSE,"",'Dvd Calendar'!$M$1509))</f>
        <v/>
      </c>
      <c r="AZ151" s="161">
        <f>IF(GB151="","",IF(ISNUMBER('Dvd Calendar'!$N$1509)=FALSE,"",'Dvd Calendar'!$N$1509))</f>
        <v/>
      </c>
      <c r="BA151" s="161">
        <f>IF(GC151="","",IF(ISNUMBER('Dvd Calendar'!$O$1509)=FALSE,"",'Dvd Calendar'!$O$1509))</f>
        <v/>
      </c>
      <c r="BB151" s="161">
        <f>IF(GD151="","",IF(ISNUMBER('Dvd Calendar'!$P$1509)=FALSE,"",'Dvd Calendar'!$P$1509))</f>
        <v/>
      </c>
      <c r="BC151" s="161">
        <f>IF(GE151="","",IF(ISNUMBER('Dvd Calendar'!$Q$1509)=FALSE,"",'Dvd Calendar'!$Q$1509))</f>
        <v/>
      </c>
      <c r="BD151" s="161">
        <f>IF(GF151="","",IF(ISNUMBER('Dvd Calendar'!$R$1509)=FALSE,"",'Dvd Calendar'!$R$1509))</f>
        <v/>
      </c>
      <c r="BE151" s="161">
        <f>IF(GG151="","",IF(ISNUMBER('Dvd Calendar'!$S$1509)=FALSE,"",'Dvd Calendar'!$S$1509))</f>
        <v/>
      </c>
      <c r="BF151" s="161">
        <f>IF(GH151="","",IF(ISNUMBER('Dvd Calendar'!$T$1509)=FALSE,"",'Dvd Calendar'!$T$1509))</f>
        <v/>
      </c>
      <c r="BG151" s="161">
        <f>IF(GI151="","",IF(ISNUMBER('Dvd Calendar'!$U$1509)=FALSE,"",'Dvd Calendar'!$U$1509))</f>
        <v/>
      </c>
      <c r="BH151" s="161">
        <f>IF(GJ151="","",IF(ISNUMBER('Dvd Calendar'!$V$1509)=FALSE,"",'Dvd Calendar'!$V$1509))</f>
        <v/>
      </c>
      <c r="BI151" s="161">
        <f>IF(GK151="","",IF(ISNUMBER('Dvd Calendar'!$W$1509)=FALSE,"",'Dvd Calendar'!$W$1509))</f>
        <v/>
      </c>
      <c r="BJ151" s="161">
        <f>IF(GL151="","",IF(ISNUMBER('Dvd Calendar'!$X$1509)=FALSE,"",'Dvd Calendar'!$X$1509))</f>
        <v/>
      </c>
      <c r="BK151" s="161">
        <f>IF(GM151="","",IF(ISNUMBER('Dvd Calendar'!$Y$1509)=FALSE,"",'Dvd Calendar'!$Y$1509))</f>
        <v/>
      </c>
      <c r="BL151" s="161">
        <f>IF(GN151="","",IF(ISNUMBER('Dvd Calendar'!$Z$1509)=FALSE,"",'Dvd Calendar'!$Z$1509))</f>
        <v/>
      </c>
      <c r="BM151" s="161">
        <f>IF(GO151="","",IF(ISNUMBER('Dvd Calendar'!$AA$1509)=FALSE,"",'Dvd Calendar'!$AA$1509))</f>
        <v/>
      </c>
      <c r="BN151" s="161">
        <f>IF(GP151="","",IF(ISNUMBER('Dvd Calendar'!$AB$1509)=FALSE,"",'Dvd Calendar'!$AB$1509))</f>
        <v/>
      </c>
      <c r="BO151" s="161">
        <f>IF(GQ151="","",IF(ISNUMBER('Dvd Calendar'!$AC$1509)=FALSE,"",'Dvd Calendar'!$AC$1509))</f>
        <v/>
      </c>
      <c r="BQ151" s="161">
        <f>IF(C151="","",IFERROR(C151*HSTECH!$B$42*HSTECH!$G$42/HSTECH!$B$3,""))</f>
        <v/>
      </c>
      <c r="BR151" s="161">
        <f>IF(D151="","",IFERROR(D151*HSTECH!$B$42*HSTECH!$G$42/HSTECH!$B$3,""))</f>
        <v/>
      </c>
      <c r="BS151" s="161">
        <f>IF(E151="","",IFERROR(E151*HSTECH!$B$42*HSTECH!$G$42/HSTECH!$B$3,""))</f>
        <v/>
      </c>
      <c r="BT151" s="161">
        <f>IF(F151="","",IFERROR(F151*HSTECH!$B$42*HSTECH!$G$42/HSTECH!$B$3,""))</f>
        <v/>
      </c>
      <c r="BU151" s="161">
        <f>IF(G151="","",IFERROR(G151*HSTECH!$B$42*HSTECH!$G$42/HSTECH!$B$3,""))</f>
        <v/>
      </c>
      <c r="BV151" s="161">
        <f>IF(H151="","",IFERROR(H151*HSTECH!$B$42*HSTECH!$G$42/HSTECH!$B$3,""))</f>
        <v/>
      </c>
      <c r="BW151" s="161">
        <f>IF(I151="","",IFERROR(I151*HSTECH!$B$42*HSTECH!$G$42/HSTECH!$B$3,""))</f>
        <v/>
      </c>
      <c r="BX151" s="161">
        <f>IF(J151="","",IFERROR(J151*HSTECH!$B$42*HSTECH!$G$42/HSTECH!$B$3,""))</f>
        <v/>
      </c>
      <c r="BY151" s="161">
        <f>IF(K151="","",IFERROR(K151*HSTECH!$B$42*HSTECH!$G$42/HSTECH!$B$3,""))</f>
        <v/>
      </c>
      <c r="BZ151" s="161">
        <f>IF(L151="","",IFERROR(L151*HSTECH!$B$42*HSTECH!$G$42/HSTECH!$B$3,""))</f>
        <v/>
      </c>
      <c r="CA151" s="161">
        <f>IF(M151="","",IFERROR(M151*HSTECH!$B$42*HSTECH!$G$42/HSTECH!$B$3,""))</f>
        <v/>
      </c>
      <c r="CB151" s="161">
        <f>IF(N151="","",IFERROR(N151*HSTECH!$B$42*HSTECH!$G$42/HSTECH!$B$3,""))</f>
        <v/>
      </c>
      <c r="CC151" s="161">
        <f>IF(O151="","",IFERROR(O151*HSTECH!$B$42*HSTECH!$G$42/HSTECH!$B$3,""))</f>
        <v/>
      </c>
      <c r="CD151" s="161">
        <f>IF(P151="","",IFERROR(P151*HSTECH!$B$42*HSTECH!$G$42/HSTECH!$B$3,""))</f>
        <v/>
      </c>
      <c r="CE151" s="161">
        <f>IF(Q151="","",IFERROR(Q151*HSTECH!$B$42*HSTECH!$G$42/HSTECH!$B$3,""))</f>
        <v/>
      </c>
      <c r="CF151" s="161">
        <f>IF(R151="","",IFERROR(R151*HSTECH!$B$42*HSTECH!$G$42/HSTECH!$B$3,""))</f>
        <v/>
      </c>
      <c r="CG151" s="161">
        <f>IF(S151="","",IFERROR(S151*HSTECH!$B$42*HSTECH!$G$42/HSTECH!$B$3,""))</f>
        <v/>
      </c>
      <c r="CH151" s="161">
        <f>IF(T151="","",IFERROR(T151*HSTECH!$B$42*HSTECH!$G$42/HSTECH!$B$3,""))</f>
        <v/>
      </c>
      <c r="CI151" s="161">
        <f>IF(U151="","",IFERROR(U151*HSTECH!$B$42*HSTECH!$G$42/HSTECH!$B$3,""))</f>
        <v/>
      </c>
      <c r="CJ151" s="161">
        <f>IF(V151="","",IFERROR(V151*HSTECH!$B$42*HSTECH!$G$42/HSTECH!$B$3,""))</f>
        <v/>
      </c>
      <c r="CK151" s="161">
        <f>IF(W151="","",IFERROR(W151*HSTECH!$B$42*HSTECH!$G$42/HSTECH!$B$3,""))</f>
        <v/>
      </c>
      <c r="CL151" s="161">
        <f>IF(X151="","",IFERROR(X151*HSTECH!$B$42*HSTECH!$G$42/HSTECH!$B$3,""))</f>
        <v/>
      </c>
      <c r="CM151" s="161">
        <f>IF(Y151="","",IFERROR(Y151*HSTECH!$B$42*HSTECH!$G$42/HSTECH!$B$3,""))</f>
        <v/>
      </c>
      <c r="CN151" s="161">
        <f>IF(Z151="","",IFERROR(Z151*HSTECH!$B$42*HSTECH!$G$42/HSTECH!$B$3,""))</f>
        <v/>
      </c>
      <c r="CO151" s="161">
        <f>IF(AA151="","",IFERROR(AA151*HSTECH!$B$42*HSTECH!$G$42/HSTECH!$B$3,""))</f>
        <v/>
      </c>
      <c r="CP151" s="161">
        <f>IF(AB151="","",IFERROR(AB151*HSTECH!$B$42*HSTECH!$G$42/HSTECH!$B$3,""))</f>
        <v/>
      </c>
      <c r="CQ151" s="161">
        <f>IF(AC151="","",IFERROR(AC151*HSTECH!$B$42*HSTECH!$G$42/HSTECH!$B$3,""))</f>
        <v/>
      </c>
      <c r="CR151" s="161">
        <f>IF(AD151="","",IFERROR(AD151*HSTECH!$B$42*HSTECH!$G$42/HSTECH!$B$3,""))</f>
        <v/>
      </c>
      <c r="CS151" s="161">
        <f>IF(AE151="","",IFERROR(AE151*HSTECH!$B$42*HSTECH!$G$42/HSTECH!$B$3,""))</f>
        <v/>
      </c>
      <c r="CT151" s="161">
        <f>IF(AF151="","",IFERROR(AF151*HSTECH!$B$42*HSTECH!$G$42/HSTECH!$B$3,""))</f>
        <v/>
      </c>
      <c r="CU151" s="161">
        <f>IF(AG151="","",IFERROR(AG151*HSTECH!$B$42*HSTECH!$G$42/HSTECH!$B$3,""))</f>
        <v/>
      </c>
      <c r="CV151" s="161">
        <f>IF(AH151="","",IFERROR(AH151*HSTECH!$B$42*HSTECH!$G$42/HSTECH!$B$3,""))</f>
        <v/>
      </c>
      <c r="CW151" s="161">
        <f>IF(AI151="","",IFERROR(AI151*HSTECH!$B$42*HSTECH!$G$42/HSTECH!$B$3,""))</f>
        <v/>
      </c>
      <c r="CX151" s="161">
        <f>IF(AJ151="","",IFERROR(AJ151*HSTECH!$B$42*HSTECH!$G$42/HSTECH!$B$3,""))</f>
        <v/>
      </c>
      <c r="CY151" s="161">
        <f>IF(AK151="","",IFERROR(AK151*HSTECH!$B$42*HSTECH!$G$42/HSTECH!$B$3,""))</f>
        <v/>
      </c>
      <c r="CZ151" s="161">
        <f>IF(AL151="","",IFERROR(AL151*HSTECH!$B$42*HSTECH!$G$42/HSTECH!$B$3,""))</f>
        <v/>
      </c>
      <c r="DA151" s="161">
        <f>IF(AM151="","",IFERROR(AM151*HSTECH!$B$42*HSTECH!$G$42/HSTECH!$B$3,""))</f>
        <v/>
      </c>
      <c r="DB151" s="161">
        <f>IF(AN151="","",IFERROR(AN151*HSTECH!$B$42*HSTECH!$G$42/HSTECH!$B$3,""))</f>
        <v/>
      </c>
      <c r="DC151" s="161">
        <f>IF(AO151="","",IFERROR(AO151*HSTECH!$B$42*HSTECH!$G$42/HSTECH!$B$3,""))</f>
        <v/>
      </c>
      <c r="DD151" s="161">
        <f>IF(AP151="","",IFERROR(AP151*HSTECH!$B$42*HSTECH!$G$42/HSTECH!$B$3,""))</f>
        <v/>
      </c>
      <c r="DE151" s="161">
        <f>IF(AQ151="","",IFERROR(AQ151*HSTECH!$B$42*HSTECH!$G$42/HSTECH!$B$3,""))</f>
        <v/>
      </c>
      <c r="DF151" s="161">
        <f>IF(AR151="","",IFERROR(AR151*HSTECH!$B$42*HSTECH!$G$42/HSTECH!$B$3,""))</f>
        <v/>
      </c>
      <c r="DG151" s="161">
        <f>IF(AS151="","",IFERROR(AS151*HSTECH!$B$42*HSTECH!$G$42/HSTECH!$B$3,""))</f>
        <v/>
      </c>
      <c r="DH151" s="161">
        <f>IF(AT151="","",IFERROR(AT151*HSTECH!$B$42*HSTECH!$G$42/HSTECH!$B$3,""))</f>
        <v/>
      </c>
      <c r="DI151" s="161">
        <f>IF(AU151="","",IFERROR(AU151*HSTECH!$B$42*HSTECH!$G$42/HSTECH!$B$3,""))</f>
        <v/>
      </c>
      <c r="DJ151" s="161">
        <f>IF(AV151="","",IFERROR(AV151*HSTECH!$B$42*HSTECH!$G$42/HSTECH!$B$3,""))</f>
        <v/>
      </c>
      <c r="DK151" s="161">
        <f>IF(AW151="","",IFERROR(AW151*HSTECH!$B$42*HSTECH!$G$42/HSTECH!$B$3,""))</f>
        <v/>
      </c>
      <c r="DL151" s="161">
        <f>IF(AX151="","",IFERROR(AX151*HSTECH!$B$42*HSTECH!$G$42/HSTECH!$B$3,""))</f>
        <v/>
      </c>
      <c r="DM151" s="161">
        <f>IF(AY151="","",IFERROR(AY151*HSTECH!$B$42*HSTECH!$G$42/HSTECH!$B$3,""))</f>
        <v/>
      </c>
      <c r="DN151" s="161">
        <f>IF(AZ151="","",IFERROR(AZ151*HSTECH!$B$42*HSTECH!$G$42/HSTECH!$B$3,""))</f>
        <v/>
      </c>
      <c r="DO151" s="161">
        <f>IF(BA151="","",IFERROR(BA151*HSTECH!$B$42*HSTECH!$G$42/HSTECH!$B$3,""))</f>
        <v/>
      </c>
      <c r="DP151" s="161">
        <f>IF(BB151="","",IFERROR(BB151*HSTECH!$B$42*HSTECH!$G$42/HSTECH!$B$3,""))</f>
        <v/>
      </c>
      <c r="DQ151" s="161">
        <f>IF(BC151="","",IFERROR(BC151*HSTECH!$B$42*HSTECH!$G$42/HSTECH!$B$3,""))</f>
        <v/>
      </c>
      <c r="DR151" s="161">
        <f>IF(BD151="","",IFERROR(BD151*HSTECH!$B$42*HSTECH!$G$42/HSTECH!$B$3,""))</f>
        <v/>
      </c>
      <c r="DS151" s="161">
        <f>IF(BE151="","",IFERROR(BE151*HSTECH!$B$42*HSTECH!$G$42/HSTECH!$B$3,""))</f>
        <v/>
      </c>
      <c r="DT151" s="161">
        <f>IF(BF151="","",IFERROR(BF151*HSTECH!$B$42*HSTECH!$G$42/HSTECH!$B$3,""))</f>
        <v/>
      </c>
      <c r="DU151" s="161">
        <f>IF(BG151="","",IFERROR(BG151*HSTECH!$B$42*HSTECH!$G$42/HSTECH!$B$3,""))</f>
        <v/>
      </c>
      <c r="DV151" s="161">
        <f>IF(BH151="","",IFERROR(BH151*HSTECH!$B$42*HSTECH!$G$42/HSTECH!$B$3,""))</f>
        <v/>
      </c>
      <c r="DW151" s="161">
        <f>IF(BI151="","",IFERROR(BI151*HSTECH!$B$42*HSTECH!$G$42/HSTECH!$B$3,""))</f>
        <v/>
      </c>
      <c r="DX151" s="161">
        <f>IF(BJ151="","",IFERROR(BJ151*HSTECH!$B$42*HSTECH!$G$42/HSTECH!$B$3,""))</f>
        <v/>
      </c>
      <c r="DY151" s="161">
        <f>IF(BK151="","",IFERROR(BK151*HSTECH!$B$42*HSTECH!$G$42/HSTECH!$B$3,""))</f>
        <v/>
      </c>
      <c r="DZ151" s="161">
        <f>IF(BL151="","",IFERROR(BL151*HSTECH!$B$42*HSTECH!$G$42/HSTECH!$B$3,""))</f>
        <v/>
      </c>
      <c r="EA151" s="161">
        <f>IF(BM151="","",IFERROR(BM151*HSTECH!$B$42*HSTECH!$G$42/HSTECH!$B$3,""))</f>
        <v/>
      </c>
      <c r="EB151" s="161">
        <f>IF(BN151="","",IFERROR(BN151*HSTECH!$B$42*HSTECH!$G$42/HSTECH!$B$3,""))</f>
        <v/>
      </c>
      <c r="EC151" s="161">
        <f>IF(BO151="","",IFERROR(BO151*HSTECH!$B$42*HSTECH!$G$42/HSTECH!$B$3,""))</f>
        <v/>
      </c>
      <c r="EE151" s="121">
        <f>IF(N('Dvd Calendar'!$E$1501)=0,"",IF(('Dvd Calendar'!$E$1501&gt;=GRID_FROM)*('Dvd Calendar'!$E$1501&lt;=GRID_TO)*((('Dvd Calendar'!$E$1501&lt;=VAL_DATE)+(COUNTIF('Dvd Calendar'!$E$1508:$AR$1508,'Dvd Calendar'!$E$1501)=0))&gt;0)=0,"",'Dvd Calendar'!$E$1501*1000000000+ISNUMBER('Dvd Calendar'!$E$1504)*100000000+('Dvd Calendar'!$E$1506=SPECIAL_LBL)*10000000+(N('Dvd Calendar'!$E$1500)&gt;0)*(N('Dvd Calendar'!$E$1500)&lt;=VAL_SERIAL)*1000000+36*1000+1))</f>
        <v/>
      </c>
      <c r="EF151" s="121">
        <f>IF(N('Dvd Calendar'!$F$1501)=0,"",IF(('Dvd Calendar'!$F$1501&gt;=GRID_FROM)*('Dvd Calendar'!$F$1501&lt;=GRID_TO)*((('Dvd Calendar'!$F$1501&lt;=VAL_DATE)+(COUNTIF('Dvd Calendar'!$E$1508:$AR$1508,'Dvd Calendar'!$F$1501)=0))&gt;0)=0,"",'Dvd Calendar'!$F$1501*1000000000+ISNUMBER('Dvd Calendar'!$F$1504)*100000000+('Dvd Calendar'!$F$1506=SPECIAL_LBL)*10000000+(N('Dvd Calendar'!$F$1500)&gt;0)*(N('Dvd Calendar'!$F$1500)&lt;=VAL_SERIAL)*1000000+36*1000+2))</f>
        <v/>
      </c>
      <c r="EG151" s="121">
        <f>IF(N('Dvd Calendar'!$G$1501)=0,"",IF(('Dvd Calendar'!$G$1501&gt;=GRID_FROM)*('Dvd Calendar'!$G$1501&lt;=GRID_TO)*((('Dvd Calendar'!$G$1501&lt;=VAL_DATE)+(COUNTIF('Dvd Calendar'!$E$1508:$AR$1508,'Dvd Calendar'!$G$1501)=0))&gt;0)=0,"",'Dvd Calendar'!$G$1501*1000000000+ISNUMBER('Dvd Calendar'!$G$1504)*100000000+('Dvd Calendar'!$G$1506=SPECIAL_LBL)*10000000+(N('Dvd Calendar'!$G$1500)&gt;0)*(N('Dvd Calendar'!$G$1500)&lt;=VAL_SERIAL)*1000000+36*1000+3))</f>
        <v/>
      </c>
      <c r="EH151" s="121">
        <f>IF(N('Dvd Calendar'!$H$1501)=0,"",IF(('Dvd Calendar'!$H$1501&gt;=GRID_FROM)*('Dvd Calendar'!$H$1501&lt;=GRID_TO)*((('Dvd Calendar'!$H$1501&lt;=VAL_DATE)+(COUNTIF('Dvd Calendar'!$E$1508:$AR$1508,'Dvd Calendar'!$H$1501)=0))&gt;0)=0,"",'Dvd Calendar'!$H$1501*1000000000+ISNUMBER('Dvd Calendar'!$H$1504)*100000000+('Dvd Calendar'!$H$1506=SPECIAL_LBL)*10000000+(N('Dvd Calendar'!$H$1500)&gt;0)*(N('Dvd Calendar'!$H$1500)&lt;=VAL_SERIAL)*1000000+36*1000+4))</f>
        <v/>
      </c>
      <c r="EI151" s="121">
        <f>IF(N('Dvd Calendar'!$I$1501)=0,"",IF(('Dvd Calendar'!$I$1501&gt;=GRID_FROM)*('Dvd Calendar'!$I$1501&lt;=GRID_TO)*((('Dvd Calendar'!$I$1501&lt;=VAL_DATE)+(COUNTIF('Dvd Calendar'!$E$1508:$AR$1508,'Dvd Calendar'!$I$1501)=0))&gt;0)=0,"",'Dvd Calendar'!$I$1501*1000000000+ISNUMBER('Dvd Calendar'!$I$1504)*100000000+('Dvd Calendar'!$I$1506=SPECIAL_LBL)*10000000+(N('Dvd Calendar'!$I$1500)&gt;0)*(N('Dvd Calendar'!$I$1500)&lt;=VAL_SERIAL)*1000000+36*1000+5))</f>
        <v/>
      </c>
      <c r="EJ151" s="121">
        <f>IF(N('Dvd Calendar'!$J$1501)=0,"",IF(('Dvd Calendar'!$J$1501&gt;=GRID_FROM)*('Dvd Calendar'!$J$1501&lt;=GRID_TO)*((('Dvd Calendar'!$J$1501&lt;=VAL_DATE)+(COUNTIF('Dvd Calendar'!$E$1508:$AR$1508,'Dvd Calendar'!$J$1501)=0))&gt;0)=0,"",'Dvd Calendar'!$J$1501*1000000000+ISNUMBER('Dvd Calendar'!$J$1504)*100000000+('Dvd Calendar'!$J$1506=SPECIAL_LBL)*10000000+(N('Dvd Calendar'!$J$1500)&gt;0)*(N('Dvd Calendar'!$J$1500)&lt;=VAL_SERIAL)*1000000+36*1000+6))</f>
        <v/>
      </c>
      <c r="EK151" s="121">
        <f>IF(N('Dvd Calendar'!$K$1501)=0,"",IF(('Dvd Calendar'!$K$1501&gt;=GRID_FROM)*('Dvd Calendar'!$K$1501&lt;=GRID_TO)*((('Dvd Calendar'!$K$1501&lt;=VAL_DATE)+(COUNTIF('Dvd Calendar'!$E$1508:$AR$1508,'Dvd Calendar'!$K$1501)=0))&gt;0)=0,"",'Dvd Calendar'!$K$1501*1000000000+ISNUMBER('Dvd Calendar'!$K$1504)*100000000+('Dvd Calendar'!$K$1506=SPECIAL_LBL)*10000000+(N('Dvd Calendar'!$K$1500)&gt;0)*(N('Dvd Calendar'!$K$1500)&lt;=VAL_SERIAL)*1000000+36*1000+7))</f>
        <v/>
      </c>
      <c r="EL151" s="121">
        <f>IF(N('Dvd Calendar'!$L$1501)=0,"",IF(('Dvd Calendar'!$L$1501&gt;=GRID_FROM)*('Dvd Calendar'!$L$1501&lt;=GRID_TO)*((('Dvd Calendar'!$L$1501&lt;=VAL_DATE)+(COUNTIF('Dvd Calendar'!$E$1508:$AR$1508,'Dvd Calendar'!$L$1501)=0))&gt;0)=0,"",'Dvd Calendar'!$L$1501*1000000000+ISNUMBER('Dvd Calendar'!$L$1504)*100000000+('Dvd Calendar'!$L$1506=SPECIAL_LBL)*10000000+(N('Dvd Calendar'!$L$1500)&gt;0)*(N('Dvd Calendar'!$L$1500)&lt;=VAL_SERIAL)*1000000+36*1000+8))</f>
        <v/>
      </c>
      <c r="EM151" s="121">
        <f>IF(N('Dvd Calendar'!$M$1501)=0,"",IF(('Dvd Calendar'!$M$1501&gt;=GRID_FROM)*('Dvd Calendar'!$M$1501&lt;=GRID_TO)*((('Dvd Calendar'!$M$1501&lt;=VAL_DATE)+(COUNTIF('Dvd Calendar'!$E$1508:$AR$1508,'Dvd Calendar'!$M$1501)=0))&gt;0)=0,"",'Dvd Calendar'!$M$1501*1000000000+ISNUMBER('Dvd Calendar'!$M$1504)*100000000+('Dvd Calendar'!$M$1506=SPECIAL_LBL)*10000000+(N('Dvd Calendar'!$M$1500)&gt;0)*(N('Dvd Calendar'!$M$1500)&lt;=VAL_SERIAL)*1000000+36*1000+9))</f>
        <v/>
      </c>
      <c r="EN151" s="121">
        <f>IF(N('Dvd Calendar'!$N$1501)=0,"",IF(('Dvd Calendar'!$N$1501&gt;=GRID_FROM)*('Dvd Calendar'!$N$1501&lt;=GRID_TO)*((('Dvd Calendar'!$N$1501&lt;=VAL_DATE)+(COUNTIF('Dvd Calendar'!$E$1508:$AR$1508,'Dvd Calendar'!$N$1501)=0))&gt;0)=0,"",'Dvd Calendar'!$N$1501*1000000000+ISNUMBER('Dvd Calendar'!$N$1504)*100000000+('Dvd Calendar'!$N$1506=SPECIAL_LBL)*10000000+(N('Dvd Calendar'!$N$1500)&gt;0)*(N('Dvd Calendar'!$N$1500)&lt;=VAL_SERIAL)*1000000+36*1000+10))</f>
        <v/>
      </c>
      <c r="EO151" s="121">
        <f>IF(N('Dvd Calendar'!$O$1501)=0,"",IF(('Dvd Calendar'!$O$1501&gt;=GRID_FROM)*('Dvd Calendar'!$O$1501&lt;=GRID_TO)*((('Dvd Calendar'!$O$1501&lt;=VAL_DATE)+(COUNTIF('Dvd Calendar'!$E$1508:$AR$1508,'Dvd Calendar'!$O$1501)=0))&gt;0)=0,"",'Dvd Calendar'!$O$1501*1000000000+ISNUMBER('Dvd Calendar'!$O$1504)*100000000+('Dvd Calendar'!$O$1506=SPECIAL_LBL)*10000000+(N('Dvd Calendar'!$O$1500)&gt;0)*(N('Dvd Calendar'!$O$1500)&lt;=VAL_SERIAL)*1000000+36*1000+11))</f>
        <v/>
      </c>
      <c r="EP151" s="121">
        <f>IF(N('Dvd Calendar'!$P$1501)=0,"",IF(('Dvd Calendar'!$P$1501&gt;=GRID_FROM)*('Dvd Calendar'!$P$1501&lt;=GRID_TO)*((('Dvd Calendar'!$P$1501&lt;=VAL_DATE)+(COUNTIF('Dvd Calendar'!$E$1508:$AR$1508,'Dvd Calendar'!$P$1501)=0))&gt;0)=0,"",'Dvd Calendar'!$P$1501*1000000000+ISNUMBER('Dvd Calendar'!$P$1504)*100000000+('Dvd Calendar'!$P$1506=SPECIAL_LBL)*10000000+(N('Dvd Calendar'!$P$1500)&gt;0)*(N('Dvd Calendar'!$P$1500)&lt;=VAL_SERIAL)*1000000+36*1000+12))</f>
        <v/>
      </c>
      <c r="EQ151" s="121">
        <f>IF(N('Dvd Calendar'!$Q$1501)=0,"",IF(('Dvd Calendar'!$Q$1501&gt;=GRID_FROM)*('Dvd Calendar'!$Q$1501&lt;=GRID_TO)*((('Dvd Calendar'!$Q$1501&lt;=VAL_DATE)+(COUNTIF('Dvd Calendar'!$E$1508:$AR$1508,'Dvd Calendar'!$Q$1501)=0))&gt;0)=0,"",'Dvd Calendar'!$Q$1501*1000000000+ISNUMBER('Dvd Calendar'!$Q$1504)*100000000+('Dvd Calendar'!$Q$1506=SPECIAL_LBL)*10000000+(N('Dvd Calendar'!$Q$1500)&gt;0)*(N('Dvd Calendar'!$Q$1500)&lt;=VAL_SERIAL)*1000000+36*1000+13))</f>
        <v/>
      </c>
      <c r="ER151" s="121">
        <f>IF(N('Dvd Calendar'!$R$1501)=0,"",IF(('Dvd Calendar'!$R$1501&gt;=GRID_FROM)*('Dvd Calendar'!$R$1501&lt;=GRID_TO)*((('Dvd Calendar'!$R$1501&lt;=VAL_DATE)+(COUNTIF('Dvd Calendar'!$E$1508:$AR$1508,'Dvd Calendar'!$R$1501)=0))&gt;0)=0,"",'Dvd Calendar'!$R$1501*1000000000+ISNUMBER('Dvd Calendar'!$R$1504)*100000000+('Dvd Calendar'!$R$1506=SPECIAL_LBL)*10000000+(N('Dvd Calendar'!$R$1500)&gt;0)*(N('Dvd Calendar'!$R$1500)&lt;=VAL_SERIAL)*1000000+36*1000+14))</f>
        <v/>
      </c>
      <c r="ES151" s="121">
        <f>IF(N('Dvd Calendar'!$S$1501)=0,"",IF(('Dvd Calendar'!$S$1501&gt;=GRID_FROM)*('Dvd Calendar'!$S$1501&lt;=GRID_TO)*((('Dvd Calendar'!$S$1501&lt;=VAL_DATE)+(COUNTIF('Dvd Calendar'!$E$1508:$AR$1508,'Dvd Calendar'!$S$1501)=0))&gt;0)=0,"",'Dvd Calendar'!$S$1501*1000000000+ISNUMBER('Dvd Calendar'!$S$1504)*100000000+('Dvd Calendar'!$S$1506=SPECIAL_LBL)*10000000+(N('Dvd Calendar'!$S$1500)&gt;0)*(N('Dvd Calendar'!$S$1500)&lt;=VAL_SERIAL)*1000000+36*1000+15))</f>
        <v/>
      </c>
      <c r="ET151" s="121">
        <f>IF(N('Dvd Calendar'!$T$1501)=0,"",IF(('Dvd Calendar'!$T$1501&gt;=GRID_FROM)*('Dvd Calendar'!$T$1501&lt;=GRID_TO)*((('Dvd Calendar'!$T$1501&lt;=VAL_DATE)+(COUNTIF('Dvd Calendar'!$E$1508:$AR$1508,'Dvd Calendar'!$T$1501)=0))&gt;0)=0,"",'Dvd Calendar'!$T$1501*1000000000+ISNUMBER('Dvd Calendar'!$T$1504)*100000000+('Dvd Calendar'!$T$1506=SPECIAL_LBL)*10000000+(N('Dvd Calendar'!$T$1500)&gt;0)*(N('Dvd Calendar'!$T$1500)&lt;=VAL_SERIAL)*1000000+36*1000+16))</f>
        <v/>
      </c>
      <c r="EU151" s="121">
        <f>IF(N('Dvd Calendar'!$U$1501)=0,"",IF(('Dvd Calendar'!$U$1501&gt;=GRID_FROM)*('Dvd Calendar'!$U$1501&lt;=GRID_TO)*((('Dvd Calendar'!$U$1501&lt;=VAL_DATE)+(COUNTIF('Dvd Calendar'!$E$1508:$AR$1508,'Dvd Calendar'!$U$1501)=0))&gt;0)=0,"",'Dvd Calendar'!$U$1501*1000000000+ISNUMBER('Dvd Calendar'!$U$1504)*100000000+('Dvd Calendar'!$U$1506=SPECIAL_LBL)*10000000+(N('Dvd Calendar'!$U$1500)&gt;0)*(N('Dvd Calendar'!$U$1500)&lt;=VAL_SERIAL)*1000000+36*1000+17))</f>
        <v/>
      </c>
      <c r="EV151" s="121">
        <f>IF(N('Dvd Calendar'!$V$1501)=0,"",IF(('Dvd Calendar'!$V$1501&gt;=GRID_FROM)*('Dvd Calendar'!$V$1501&lt;=GRID_TO)*((('Dvd Calendar'!$V$1501&lt;=VAL_DATE)+(COUNTIF('Dvd Calendar'!$E$1508:$AR$1508,'Dvd Calendar'!$V$1501)=0))&gt;0)=0,"",'Dvd Calendar'!$V$1501*1000000000+ISNUMBER('Dvd Calendar'!$V$1504)*100000000+('Dvd Calendar'!$V$1506=SPECIAL_LBL)*10000000+(N('Dvd Calendar'!$V$1500)&gt;0)*(N('Dvd Calendar'!$V$1500)&lt;=VAL_SERIAL)*1000000+36*1000+18))</f>
        <v/>
      </c>
      <c r="EW151" s="121">
        <f>IF(N('Dvd Calendar'!$W$1501)=0,"",IF(('Dvd Calendar'!$W$1501&gt;=GRID_FROM)*('Dvd Calendar'!$W$1501&lt;=GRID_TO)*((('Dvd Calendar'!$W$1501&lt;=VAL_DATE)+(COUNTIF('Dvd Calendar'!$E$1508:$AR$1508,'Dvd Calendar'!$W$1501)=0))&gt;0)=0,"",'Dvd Calendar'!$W$1501*1000000000+ISNUMBER('Dvd Calendar'!$W$1504)*100000000+('Dvd Calendar'!$W$1506=SPECIAL_LBL)*10000000+(N('Dvd Calendar'!$W$1500)&gt;0)*(N('Dvd Calendar'!$W$1500)&lt;=VAL_SERIAL)*1000000+36*1000+19))</f>
        <v/>
      </c>
      <c r="EX151" s="121">
        <f>IF(N('Dvd Calendar'!$X$1501)=0,"",IF(('Dvd Calendar'!$X$1501&gt;=GRID_FROM)*('Dvd Calendar'!$X$1501&lt;=GRID_TO)*((('Dvd Calendar'!$X$1501&lt;=VAL_DATE)+(COUNTIF('Dvd Calendar'!$E$1508:$AR$1508,'Dvd Calendar'!$X$1501)=0))&gt;0)=0,"",'Dvd Calendar'!$X$1501*1000000000+ISNUMBER('Dvd Calendar'!$X$1504)*100000000+('Dvd Calendar'!$X$1506=SPECIAL_LBL)*10000000+(N('Dvd Calendar'!$X$1500)&gt;0)*(N('Dvd Calendar'!$X$1500)&lt;=VAL_SERIAL)*1000000+36*1000+20))</f>
        <v/>
      </c>
      <c r="EY151" s="121">
        <f>IF(N('Dvd Calendar'!$Y$1501)=0,"",IF(('Dvd Calendar'!$Y$1501&gt;=GRID_FROM)*('Dvd Calendar'!$Y$1501&lt;=GRID_TO)*((('Dvd Calendar'!$Y$1501&lt;=VAL_DATE)+(COUNTIF('Dvd Calendar'!$E$1508:$AR$1508,'Dvd Calendar'!$Y$1501)=0))&gt;0)=0,"",'Dvd Calendar'!$Y$1501*1000000000+ISNUMBER('Dvd Calendar'!$Y$1504)*100000000+('Dvd Calendar'!$Y$1506=SPECIAL_LBL)*10000000+(N('Dvd Calendar'!$Y$1500)&gt;0)*(N('Dvd Calendar'!$Y$1500)&lt;=VAL_SERIAL)*1000000+36*1000+21))</f>
        <v/>
      </c>
      <c r="EZ151" s="121">
        <f>IF(N('Dvd Calendar'!$Z$1501)=0,"",IF(('Dvd Calendar'!$Z$1501&gt;=GRID_FROM)*('Dvd Calendar'!$Z$1501&lt;=GRID_TO)*((('Dvd Calendar'!$Z$1501&lt;=VAL_DATE)+(COUNTIF('Dvd Calendar'!$E$1508:$AR$1508,'Dvd Calendar'!$Z$1501)=0))&gt;0)=0,"",'Dvd Calendar'!$Z$1501*1000000000+ISNUMBER('Dvd Calendar'!$Z$1504)*100000000+('Dvd Calendar'!$Z$1506=SPECIAL_LBL)*10000000+(N('Dvd Calendar'!$Z$1500)&gt;0)*(N('Dvd Calendar'!$Z$1500)&lt;=VAL_SERIAL)*1000000+36*1000+22))</f>
        <v/>
      </c>
      <c r="FA151" s="121">
        <f>IF(N('Dvd Calendar'!$AA$1501)=0,"",IF(('Dvd Calendar'!$AA$1501&gt;=GRID_FROM)*('Dvd Calendar'!$AA$1501&lt;=GRID_TO)*((('Dvd Calendar'!$AA$1501&lt;=VAL_DATE)+(COUNTIF('Dvd Calendar'!$E$1508:$AR$1508,'Dvd Calendar'!$AA$1501)=0))&gt;0)=0,"",'Dvd Calendar'!$AA$1501*1000000000+ISNUMBER('Dvd Calendar'!$AA$1504)*100000000+('Dvd Calendar'!$AA$1506=SPECIAL_LBL)*10000000+(N('Dvd Calendar'!$AA$1500)&gt;0)*(N('Dvd Calendar'!$AA$1500)&lt;=VAL_SERIAL)*1000000+36*1000+23))</f>
        <v/>
      </c>
      <c r="FB151" s="121">
        <f>IF(N('Dvd Calendar'!$AB$1501)=0,"",IF(('Dvd Calendar'!$AB$1501&gt;=GRID_FROM)*('Dvd Calendar'!$AB$1501&lt;=GRID_TO)*((('Dvd Calendar'!$AB$1501&lt;=VAL_DATE)+(COUNTIF('Dvd Calendar'!$E$1508:$AR$1508,'Dvd Calendar'!$AB$1501)=0))&gt;0)=0,"",'Dvd Calendar'!$AB$1501*1000000000+ISNUMBER('Dvd Calendar'!$AB$1504)*100000000+('Dvd Calendar'!$AB$1506=SPECIAL_LBL)*10000000+(N('Dvd Calendar'!$AB$1500)&gt;0)*(N('Dvd Calendar'!$AB$1500)&lt;=VAL_SERIAL)*1000000+36*1000+24))</f>
        <v/>
      </c>
      <c r="FC151" s="121">
        <f>IF(N('Dvd Calendar'!$AC$1501)=0,"",IF(('Dvd Calendar'!$AC$1501&gt;=GRID_FROM)*('Dvd Calendar'!$AC$1501&lt;=GRID_TO)*((('Dvd Calendar'!$AC$1501&lt;=VAL_DATE)+(COUNTIF('Dvd Calendar'!$E$1508:$AR$1508,'Dvd Calendar'!$AC$1501)=0))&gt;0)=0,"",'Dvd Calendar'!$AC$1501*1000000000+ISNUMBER('Dvd Calendar'!$AC$1504)*100000000+('Dvd Calendar'!$AC$1506=SPECIAL_LBL)*10000000+(N('Dvd Calendar'!$AC$1500)&gt;0)*(N('Dvd Calendar'!$AC$1500)&lt;=VAL_SERIAL)*1000000+36*1000+25))</f>
        <v/>
      </c>
      <c r="FD151" s="121">
        <f>IF(N('Dvd Calendar'!$AD$1501)=0,"",IF(('Dvd Calendar'!$AD$1501&gt;=GRID_FROM)*('Dvd Calendar'!$AD$1501&lt;=GRID_TO)*((('Dvd Calendar'!$AD$1501&lt;=VAL_DATE)+(COUNTIF('Dvd Calendar'!$E$1508:$AR$1508,'Dvd Calendar'!$AD$1501)=0))&gt;0)=0,"",'Dvd Calendar'!$AD$1501*1000000000+ISNUMBER('Dvd Calendar'!$AD$1504)*100000000+('Dvd Calendar'!$AD$1506=SPECIAL_LBL)*10000000+(N('Dvd Calendar'!$AD$1500)&gt;0)*(N('Dvd Calendar'!$AD$1500)&lt;=VAL_SERIAL)*1000000+36*1000+26))</f>
        <v/>
      </c>
      <c r="FE151" s="121">
        <f>IF(N('Dvd Calendar'!$AE$1501)=0,"",IF(('Dvd Calendar'!$AE$1501&gt;=GRID_FROM)*('Dvd Calendar'!$AE$1501&lt;=GRID_TO)*((('Dvd Calendar'!$AE$1501&lt;=VAL_DATE)+(COUNTIF('Dvd Calendar'!$E$1508:$AR$1508,'Dvd Calendar'!$AE$1501)=0))&gt;0)=0,"",'Dvd Calendar'!$AE$1501*1000000000+ISNUMBER('Dvd Calendar'!$AE$1504)*100000000+('Dvd Calendar'!$AE$1506=SPECIAL_LBL)*10000000+(N('Dvd Calendar'!$AE$1500)&gt;0)*(N('Dvd Calendar'!$AE$1500)&lt;=VAL_SERIAL)*1000000+36*1000+27))</f>
        <v/>
      </c>
      <c r="FF151" s="121">
        <f>IF(N('Dvd Calendar'!$AF$1501)=0,"",IF(('Dvd Calendar'!$AF$1501&gt;=GRID_FROM)*('Dvd Calendar'!$AF$1501&lt;=GRID_TO)*((('Dvd Calendar'!$AF$1501&lt;=VAL_DATE)+(COUNTIF('Dvd Calendar'!$E$1508:$AR$1508,'Dvd Calendar'!$AF$1501)=0))&gt;0)=0,"",'Dvd Calendar'!$AF$1501*1000000000+ISNUMBER('Dvd Calendar'!$AF$1504)*100000000+('Dvd Calendar'!$AF$1506=SPECIAL_LBL)*10000000+(N('Dvd Calendar'!$AF$1500)&gt;0)*(N('Dvd Calendar'!$AF$1500)&lt;=VAL_SERIAL)*1000000+36*1000+28))</f>
        <v/>
      </c>
      <c r="FG151" s="121">
        <f>IF(N('Dvd Calendar'!$AG$1501)=0,"",IF(('Dvd Calendar'!$AG$1501&gt;=GRID_FROM)*('Dvd Calendar'!$AG$1501&lt;=GRID_TO)*((('Dvd Calendar'!$AG$1501&lt;=VAL_DATE)+(COUNTIF('Dvd Calendar'!$E$1508:$AR$1508,'Dvd Calendar'!$AG$1501)=0))&gt;0)=0,"",'Dvd Calendar'!$AG$1501*1000000000+ISNUMBER('Dvd Calendar'!$AG$1504)*100000000+('Dvd Calendar'!$AG$1506=SPECIAL_LBL)*10000000+(N('Dvd Calendar'!$AG$1500)&gt;0)*(N('Dvd Calendar'!$AG$1500)&lt;=VAL_SERIAL)*1000000+36*1000+29))</f>
        <v/>
      </c>
      <c r="FH151" s="121">
        <f>IF(N('Dvd Calendar'!$AH$1501)=0,"",IF(('Dvd Calendar'!$AH$1501&gt;=GRID_FROM)*('Dvd Calendar'!$AH$1501&lt;=GRID_TO)*((('Dvd Calendar'!$AH$1501&lt;=VAL_DATE)+(COUNTIF('Dvd Calendar'!$E$1508:$AR$1508,'Dvd Calendar'!$AH$1501)=0))&gt;0)=0,"",'Dvd Calendar'!$AH$1501*1000000000+ISNUMBER('Dvd Calendar'!$AH$1504)*100000000+('Dvd Calendar'!$AH$1506=SPECIAL_LBL)*10000000+(N('Dvd Calendar'!$AH$1500)&gt;0)*(N('Dvd Calendar'!$AH$1500)&lt;=VAL_SERIAL)*1000000+36*1000+30))</f>
        <v/>
      </c>
      <c r="FI151" s="121">
        <f>IF(N('Dvd Calendar'!$AI$1501)=0,"",IF(('Dvd Calendar'!$AI$1501&gt;=GRID_FROM)*('Dvd Calendar'!$AI$1501&lt;=GRID_TO)*((('Dvd Calendar'!$AI$1501&lt;=VAL_DATE)+(COUNTIF('Dvd Calendar'!$E$1508:$AR$1508,'Dvd Calendar'!$AI$1501)=0))&gt;0)=0,"",'Dvd Calendar'!$AI$1501*1000000000+ISNUMBER('Dvd Calendar'!$AI$1504)*100000000+('Dvd Calendar'!$AI$1506=SPECIAL_LBL)*10000000+(N('Dvd Calendar'!$AI$1500)&gt;0)*(N('Dvd Calendar'!$AI$1500)&lt;=VAL_SERIAL)*1000000+36*1000+31))</f>
        <v/>
      </c>
      <c r="FJ151" s="121">
        <f>IF(N('Dvd Calendar'!$AJ$1501)=0,"",IF(('Dvd Calendar'!$AJ$1501&gt;=GRID_FROM)*('Dvd Calendar'!$AJ$1501&lt;=GRID_TO)*((('Dvd Calendar'!$AJ$1501&lt;=VAL_DATE)+(COUNTIF('Dvd Calendar'!$E$1508:$AR$1508,'Dvd Calendar'!$AJ$1501)=0))&gt;0)=0,"",'Dvd Calendar'!$AJ$1501*1000000000+ISNUMBER('Dvd Calendar'!$AJ$1504)*100000000+('Dvd Calendar'!$AJ$1506=SPECIAL_LBL)*10000000+(N('Dvd Calendar'!$AJ$1500)&gt;0)*(N('Dvd Calendar'!$AJ$1500)&lt;=VAL_SERIAL)*1000000+36*1000+32))</f>
        <v/>
      </c>
      <c r="FK151" s="121">
        <f>IF(N('Dvd Calendar'!$AK$1501)=0,"",IF(('Dvd Calendar'!$AK$1501&gt;=GRID_FROM)*('Dvd Calendar'!$AK$1501&lt;=GRID_TO)*((('Dvd Calendar'!$AK$1501&lt;=VAL_DATE)+(COUNTIF('Dvd Calendar'!$E$1508:$AR$1508,'Dvd Calendar'!$AK$1501)=0))&gt;0)=0,"",'Dvd Calendar'!$AK$1501*1000000000+ISNUMBER('Dvd Calendar'!$AK$1504)*100000000+('Dvd Calendar'!$AK$1506=SPECIAL_LBL)*10000000+(N('Dvd Calendar'!$AK$1500)&gt;0)*(N('Dvd Calendar'!$AK$1500)&lt;=VAL_SERIAL)*1000000+36*1000+33))</f>
        <v/>
      </c>
      <c r="FL151" s="121">
        <f>IF(N('Dvd Calendar'!$AL$1501)=0,"",IF(('Dvd Calendar'!$AL$1501&gt;=GRID_FROM)*('Dvd Calendar'!$AL$1501&lt;=GRID_TO)*((('Dvd Calendar'!$AL$1501&lt;=VAL_DATE)+(COUNTIF('Dvd Calendar'!$E$1508:$AR$1508,'Dvd Calendar'!$AL$1501)=0))&gt;0)=0,"",'Dvd Calendar'!$AL$1501*1000000000+ISNUMBER('Dvd Calendar'!$AL$1504)*100000000+('Dvd Calendar'!$AL$1506=SPECIAL_LBL)*10000000+(N('Dvd Calendar'!$AL$1500)&gt;0)*(N('Dvd Calendar'!$AL$1500)&lt;=VAL_SERIAL)*1000000+36*1000+34))</f>
        <v/>
      </c>
      <c r="FM151" s="121">
        <f>IF(N('Dvd Calendar'!$AM$1501)=0,"",IF(('Dvd Calendar'!$AM$1501&gt;=GRID_FROM)*('Dvd Calendar'!$AM$1501&lt;=GRID_TO)*((('Dvd Calendar'!$AM$1501&lt;=VAL_DATE)+(COUNTIF('Dvd Calendar'!$E$1508:$AR$1508,'Dvd Calendar'!$AM$1501)=0))&gt;0)=0,"",'Dvd Calendar'!$AM$1501*1000000000+ISNUMBER('Dvd Calendar'!$AM$1504)*100000000+('Dvd Calendar'!$AM$1506=SPECIAL_LBL)*10000000+(N('Dvd Calendar'!$AM$1500)&gt;0)*(N('Dvd Calendar'!$AM$1500)&lt;=VAL_SERIAL)*1000000+36*1000+35))</f>
        <v/>
      </c>
      <c r="FN151" s="121">
        <f>IF(N('Dvd Calendar'!$AN$1501)=0,"",IF(('Dvd Calendar'!$AN$1501&gt;=GRID_FROM)*('Dvd Calendar'!$AN$1501&lt;=GRID_TO)*((('Dvd Calendar'!$AN$1501&lt;=VAL_DATE)+(COUNTIF('Dvd Calendar'!$E$1508:$AR$1508,'Dvd Calendar'!$AN$1501)=0))&gt;0)=0,"",'Dvd Calendar'!$AN$1501*1000000000+ISNUMBER('Dvd Calendar'!$AN$1504)*100000000+('Dvd Calendar'!$AN$1506=SPECIAL_LBL)*10000000+(N('Dvd Calendar'!$AN$1500)&gt;0)*(N('Dvd Calendar'!$AN$1500)&lt;=VAL_SERIAL)*1000000+36*1000+36))</f>
        <v/>
      </c>
      <c r="FO151" s="121">
        <f>IF(N('Dvd Calendar'!$AO$1501)=0,"",IF(('Dvd Calendar'!$AO$1501&gt;=GRID_FROM)*('Dvd Calendar'!$AO$1501&lt;=GRID_TO)*((('Dvd Calendar'!$AO$1501&lt;=VAL_DATE)+(COUNTIF('Dvd Calendar'!$E$1508:$AR$1508,'Dvd Calendar'!$AO$1501)=0))&gt;0)=0,"",'Dvd Calendar'!$AO$1501*1000000000+ISNUMBER('Dvd Calendar'!$AO$1504)*100000000+('Dvd Calendar'!$AO$1506=SPECIAL_LBL)*10000000+(N('Dvd Calendar'!$AO$1500)&gt;0)*(N('Dvd Calendar'!$AO$1500)&lt;=VAL_SERIAL)*1000000+36*1000+37))</f>
        <v/>
      </c>
      <c r="FP151" s="121">
        <f>IF(N('Dvd Calendar'!$AP$1501)=0,"",IF(('Dvd Calendar'!$AP$1501&gt;=GRID_FROM)*('Dvd Calendar'!$AP$1501&lt;=GRID_TO)*((('Dvd Calendar'!$AP$1501&lt;=VAL_DATE)+(COUNTIF('Dvd Calendar'!$E$1508:$AR$1508,'Dvd Calendar'!$AP$1501)=0))&gt;0)=0,"",'Dvd Calendar'!$AP$1501*1000000000+ISNUMBER('Dvd Calendar'!$AP$1504)*100000000+('Dvd Calendar'!$AP$1506=SPECIAL_LBL)*10000000+(N('Dvd Calendar'!$AP$1500)&gt;0)*(N('Dvd Calendar'!$AP$1500)&lt;=VAL_SERIAL)*1000000+36*1000+38))</f>
        <v/>
      </c>
      <c r="FQ151" s="121">
        <f>IF(N('Dvd Calendar'!$AQ$1501)=0,"",IF(('Dvd Calendar'!$AQ$1501&gt;=GRID_FROM)*('Dvd Calendar'!$AQ$1501&lt;=GRID_TO)*((('Dvd Calendar'!$AQ$1501&lt;=VAL_DATE)+(COUNTIF('Dvd Calendar'!$E$1508:$AR$1508,'Dvd Calendar'!$AQ$1501)=0))&gt;0)=0,"",'Dvd Calendar'!$AQ$1501*1000000000+ISNUMBER('Dvd Calendar'!$AQ$1504)*100000000+('Dvd Calendar'!$AQ$1506=SPECIAL_LBL)*10000000+(N('Dvd Calendar'!$AQ$1500)&gt;0)*(N('Dvd Calendar'!$AQ$1500)&lt;=VAL_SERIAL)*1000000+36*1000+39))</f>
        <v/>
      </c>
      <c r="FR151" s="121">
        <f>IF(N('Dvd Calendar'!$AR$1501)=0,"",IF(('Dvd Calendar'!$AR$1501&gt;=GRID_FROM)*('Dvd Calendar'!$AR$1501&lt;=GRID_TO)*((('Dvd Calendar'!$AR$1501&lt;=VAL_DATE)+(COUNTIF('Dvd Calendar'!$E$1508:$AR$1508,'Dvd Calendar'!$AR$1501)=0))&gt;0)=0,"",'Dvd Calendar'!$AR$1501*1000000000+ISNUMBER('Dvd Calendar'!$AR$1504)*100000000+('Dvd Calendar'!$AR$1506=SPECIAL_LBL)*10000000+(N('Dvd Calendar'!$AR$1500)&gt;0)*(N('Dvd Calendar'!$AR$1500)&lt;=VAL_SERIAL)*1000000+36*1000+40))</f>
        <v/>
      </c>
      <c r="FS151" s="121">
        <f>IF(N('Dvd Calendar'!$E$1508)=0,"",IF(('Dvd Calendar'!$E$1508&gt;=GRID_FROM)*('Dvd Calendar'!$E$1508&lt;=GRID_TO)*('Dvd Calendar'!$E$1508&gt;VAL_DATE)=0,"",'Dvd Calendar'!$E$1508*1000000000+ISNUMBER('Dvd Calendar'!$E$1509)*100000000+0*10000000+(N('Dvd Calendar'!$E$1507)&gt;0)*(N('Dvd Calendar'!$E$1507)&lt;=VAL_SERIAL)*1000000+36*1000+41))</f>
        <v/>
      </c>
      <c r="FT151" s="121">
        <f>IF(N('Dvd Calendar'!$F$1508)=0,"",IF(('Dvd Calendar'!$F$1508&gt;=GRID_FROM)*('Dvd Calendar'!$F$1508&lt;=GRID_TO)*('Dvd Calendar'!$F$1508&gt;VAL_DATE)=0,"",'Dvd Calendar'!$F$1508*1000000000+ISNUMBER('Dvd Calendar'!$F$1509)*100000000+0*10000000+(N('Dvd Calendar'!$F$1507)&gt;0)*(N('Dvd Calendar'!$F$1507)&lt;=VAL_SERIAL)*1000000+36*1000+42))</f>
        <v/>
      </c>
      <c r="FU151" s="121">
        <f>IF(N('Dvd Calendar'!$G$1508)=0,"",IF(('Dvd Calendar'!$G$1508&gt;=GRID_FROM)*('Dvd Calendar'!$G$1508&lt;=GRID_TO)*('Dvd Calendar'!$G$1508&gt;VAL_DATE)=0,"",'Dvd Calendar'!$G$1508*1000000000+ISNUMBER('Dvd Calendar'!$G$1509)*100000000+0*10000000+(N('Dvd Calendar'!$G$1507)&gt;0)*(N('Dvd Calendar'!$G$1507)&lt;=VAL_SERIAL)*1000000+36*1000+43))</f>
        <v/>
      </c>
      <c r="FV151" s="121">
        <f>IF(N('Dvd Calendar'!$H$1508)=0,"",IF(('Dvd Calendar'!$H$1508&gt;=GRID_FROM)*('Dvd Calendar'!$H$1508&lt;=GRID_TO)*('Dvd Calendar'!$H$1508&gt;VAL_DATE)=0,"",'Dvd Calendar'!$H$1508*1000000000+ISNUMBER('Dvd Calendar'!$H$1509)*100000000+0*10000000+(N('Dvd Calendar'!$H$1507)&gt;0)*(N('Dvd Calendar'!$H$1507)&lt;=VAL_SERIAL)*1000000+36*1000+44))</f>
        <v/>
      </c>
      <c r="FW151" s="121">
        <f>IF(N('Dvd Calendar'!$I$1508)=0,"",IF(('Dvd Calendar'!$I$1508&gt;=GRID_FROM)*('Dvd Calendar'!$I$1508&lt;=GRID_TO)*('Dvd Calendar'!$I$1508&gt;VAL_DATE)=0,"",'Dvd Calendar'!$I$1508*1000000000+ISNUMBER('Dvd Calendar'!$I$1509)*100000000+0*10000000+(N('Dvd Calendar'!$I$1507)&gt;0)*(N('Dvd Calendar'!$I$1507)&lt;=VAL_SERIAL)*1000000+36*1000+45))</f>
        <v/>
      </c>
      <c r="FX151" s="121">
        <f>IF(N('Dvd Calendar'!$J$1508)=0,"",IF(('Dvd Calendar'!$J$1508&gt;=GRID_FROM)*('Dvd Calendar'!$J$1508&lt;=GRID_TO)*('Dvd Calendar'!$J$1508&gt;VAL_DATE)=0,"",'Dvd Calendar'!$J$1508*1000000000+ISNUMBER('Dvd Calendar'!$J$1509)*100000000+0*10000000+(N('Dvd Calendar'!$J$1507)&gt;0)*(N('Dvd Calendar'!$J$1507)&lt;=VAL_SERIAL)*1000000+36*1000+46))</f>
        <v/>
      </c>
      <c r="FY151" s="121">
        <f>IF(N('Dvd Calendar'!$K$1508)=0,"",IF(('Dvd Calendar'!$K$1508&gt;=GRID_FROM)*('Dvd Calendar'!$K$1508&lt;=GRID_TO)*('Dvd Calendar'!$K$1508&gt;VAL_DATE)=0,"",'Dvd Calendar'!$K$1508*1000000000+ISNUMBER('Dvd Calendar'!$K$1509)*100000000+0*10000000+(N('Dvd Calendar'!$K$1507)&gt;0)*(N('Dvd Calendar'!$K$1507)&lt;=VAL_SERIAL)*1000000+36*1000+47))</f>
        <v/>
      </c>
      <c r="FZ151" s="121">
        <f>IF(N('Dvd Calendar'!$L$1508)=0,"",IF(('Dvd Calendar'!$L$1508&gt;=GRID_FROM)*('Dvd Calendar'!$L$1508&lt;=GRID_TO)*('Dvd Calendar'!$L$1508&gt;VAL_DATE)=0,"",'Dvd Calendar'!$L$1508*1000000000+ISNUMBER('Dvd Calendar'!$L$1509)*100000000+0*10000000+(N('Dvd Calendar'!$L$1507)&gt;0)*(N('Dvd Calendar'!$L$1507)&lt;=VAL_SERIAL)*1000000+36*1000+48))</f>
        <v/>
      </c>
      <c r="GA151" s="121">
        <f>IF(N('Dvd Calendar'!$M$1508)=0,"",IF(('Dvd Calendar'!$M$1508&gt;=GRID_FROM)*('Dvd Calendar'!$M$1508&lt;=GRID_TO)*('Dvd Calendar'!$M$1508&gt;VAL_DATE)=0,"",'Dvd Calendar'!$M$1508*1000000000+ISNUMBER('Dvd Calendar'!$M$1509)*100000000+0*10000000+(N('Dvd Calendar'!$M$1507)&gt;0)*(N('Dvd Calendar'!$M$1507)&lt;=VAL_SERIAL)*1000000+36*1000+49))</f>
        <v/>
      </c>
      <c r="GB151" s="121">
        <f>IF(N('Dvd Calendar'!$N$1508)=0,"",IF(('Dvd Calendar'!$N$1508&gt;=GRID_FROM)*('Dvd Calendar'!$N$1508&lt;=GRID_TO)*('Dvd Calendar'!$N$1508&gt;VAL_DATE)=0,"",'Dvd Calendar'!$N$1508*1000000000+ISNUMBER('Dvd Calendar'!$N$1509)*100000000+0*10000000+(N('Dvd Calendar'!$N$1507)&gt;0)*(N('Dvd Calendar'!$N$1507)&lt;=VAL_SERIAL)*1000000+36*1000+50))</f>
        <v/>
      </c>
      <c r="GC151" s="121">
        <f>IF(N('Dvd Calendar'!$O$1508)=0,"",IF(('Dvd Calendar'!$O$1508&gt;=GRID_FROM)*('Dvd Calendar'!$O$1508&lt;=GRID_TO)*('Dvd Calendar'!$O$1508&gt;VAL_DATE)=0,"",'Dvd Calendar'!$O$1508*1000000000+ISNUMBER('Dvd Calendar'!$O$1509)*100000000+0*10000000+(N('Dvd Calendar'!$O$1507)&gt;0)*(N('Dvd Calendar'!$O$1507)&lt;=VAL_SERIAL)*1000000+36*1000+51))</f>
        <v/>
      </c>
      <c r="GD151" s="121">
        <f>IF(N('Dvd Calendar'!$P$1508)=0,"",IF(('Dvd Calendar'!$P$1508&gt;=GRID_FROM)*('Dvd Calendar'!$P$1508&lt;=GRID_TO)*('Dvd Calendar'!$P$1508&gt;VAL_DATE)=0,"",'Dvd Calendar'!$P$1508*1000000000+ISNUMBER('Dvd Calendar'!$P$1509)*100000000+0*10000000+(N('Dvd Calendar'!$P$1507)&gt;0)*(N('Dvd Calendar'!$P$1507)&lt;=VAL_SERIAL)*1000000+36*1000+52))</f>
        <v/>
      </c>
      <c r="GE151" s="121">
        <f>IF(N('Dvd Calendar'!$Q$1508)=0,"",IF(('Dvd Calendar'!$Q$1508&gt;=GRID_FROM)*('Dvd Calendar'!$Q$1508&lt;=GRID_TO)*('Dvd Calendar'!$Q$1508&gt;VAL_DATE)=0,"",'Dvd Calendar'!$Q$1508*1000000000+ISNUMBER('Dvd Calendar'!$Q$1509)*100000000+0*10000000+(N('Dvd Calendar'!$Q$1507)&gt;0)*(N('Dvd Calendar'!$Q$1507)&lt;=VAL_SERIAL)*1000000+36*1000+53))</f>
        <v/>
      </c>
      <c r="GF151" s="121">
        <f>IF(N('Dvd Calendar'!$R$1508)=0,"",IF(('Dvd Calendar'!$R$1508&gt;=GRID_FROM)*('Dvd Calendar'!$R$1508&lt;=GRID_TO)*('Dvd Calendar'!$R$1508&gt;VAL_DATE)=0,"",'Dvd Calendar'!$R$1508*1000000000+ISNUMBER('Dvd Calendar'!$R$1509)*100000000+0*10000000+(N('Dvd Calendar'!$R$1507)&gt;0)*(N('Dvd Calendar'!$R$1507)&lt;=VAL_SERIAL)*1000000+36*1000+54))</f>
        <v/>
      </c>
      <c r="GG151" s="121">
        <f>IF(N('Dvd Calendar'!$S$1508)=0,"",IF(('Dvd Calendar'!$S$1508&gt;=GRID_FROM)*('Dvd Calendar'!$S$1508&lt;=GRID_TO)*('Dvd Calendar'!$S$1508&gt;VAL_DATE)=0,"",'Dvd Calendar'!$S$1508*1000000000+ISNUMBER('Dvd Calendar'!$S$1509)*100000000+0*10000000+(N('Dvd Calendar'!$S$1507)&gt;0)*(N('Dvd Calendar'!$S$1507)&lt;=VAL_SERIAL)*1000000+36*1000+55))</f>
        <v/>
      </c>
      <c r="GH151" s="121">
        <f>IF(N('Dvd Calendar'!$T$1508)=0,"",IF(('Dvd Calendar'!$T$1508&gt;=GRID_FROM)*('Dvd Calendar'!$T$1508&lt;=GRID_TO)*('Dvd Calendar'!$T$1508&gt;VAL_DATE)=0,"",'Dvd Calendar'!$T$1508*1000000000+ISNUMBER('Dvd Calendar'!$T$1509)*100000000+0*10000000+(N('Dvd Calendar'!$T$1507)&gt;0)*(N('Dvd Calendar'!$T$1507)&lt;=VAL_SERIAL)*1000000+36*1000+56))</f>
        <v/>
      </c>
      <c r="GI151" s="121">
        <f>IF(N('Dvd Calendar'!$U$1508)=0,"",IF(('Dvd Calendar'!$U$1508&gt;=GRID_FROM)*('Dvd Calendar'!$U$1508&lt;=GRID_TO)*('Dvd Calendar'!$U$1508&gt;VAL_DATE)=0,"",'Dvd Calendar'!$U$1508*1000000000+ISNUMBER('Dvd Calendar'!$U$1509)*100000000+0*10000000+(N('Dvd Calendar'!$U$1507)&gt;0)*(N('Dvd Calendar'!$U$1507)&lt;=VAL_SERIAL)*1000000+36*1000+57))</f>
        <v/>
      </c>
      <c r="GJ151" s="121">
        <f>IF(N('Dvd Calendar'!$V$1508)=0,"",IF(('Dvd Calendar'!$V$1508&gt;=GRID_FROM)*('Dvd Calendar'!$V$1508&lt;=GRID_TO)*('Dvd Calendar'!$V$1508&gt;VAL_DATE)=0,"",'Dvd Calendar'!$V$1508*1000000000+ISNUMBER('Dvd Calendar'!$V$1509)*100000000+0*10000000+(N('Dvd Calendar'!$V$1507)&gt;0)*(N('Dvd Calendar'!$V$1507)&lt;=VAL_SERIAL)*1000000+36*1000+58))</f>
        <v/>
      </c>
      <c r="GK151" s="121">
        <f>IF(N('Dvd Calendar'!$W$1508)=0,"",IF(('Dvd Calendar'!$W$1508&gt;=GRID_FROM)*('Dvd Calendar'!$W$1508&lt;=GRID_TO)*('Dvd Calendar'!$W$1508&gt;VAL_DATE)=0,"",'Dvd Calendar'!$W$1508*1000000000+ISNUMBER('Dvd Calendar'!$W$1509)*100000000+0*10000000+(N('Dvd Calendar'!$W$1507)&gt;0)*(N('Dvd Calendar'!$W$1507)&lt;=VAL_SERIAL)*1000000+36*1000+59))</f>
        <v/>
      </c>
      <c r="GL151" s="121">
        <f>IF(N('Dvd Calendar'!$X$1508)=0,"",IF(('Dvd Calendar'!$X$1508&gt;=GRID_FROM)*('Dvd Calendar'!$X$1508&lt;=GRID_TO)*('Dvd Calendar'!$X$1508&gt;VAL_DATE)=0,"",'Dvd Calendar'!$X$1508*1000000000+ISNUMBER('Dvd Calendar'!$X$1509)*100000000+0*10000000+(N('Dvd Calendar'!$X$1507)&gt;0)*(N('Dvd Calendar'!$X$1507)&lt;=VAL_SERIAL)*1000000+36*1000+60))</f>
        <v/>
      </c>
      <c r="GM151" s="121">
        <f>IF(N('Dvd Calendar'!$Y$1508)=0,"",IF(('Dvd Calendar'!$Y$1508&gt;=GRID_FROM)*('Dvd Calendar'!$Y$1508&lt;=GRID_TO)*('Dvd Calendar'!$Y$1508&gt;VAL_DATE)=0,"",'Dvd Calendar'!$Y$1508*1000000000+ISNUMBER('Dvd Calendar'!$Y$1509)*100000000+0*10000000+(N('Dvd Calendar'!$Y$1507)&gt;0)*(N('Dvd Calendar'!$Y$1507)&lt;=VAL_SERIAL)*1000000+36*1000+61))</f>
        <v/>
      </c>
      <c r="GN151" s="121">
        <f>IF(N('Dvd Calendar'!$Z$1508)=0,"",IF(('Dvd Calendar'!$Z$1508&gt;=GRID_FROM)*('Dvd Calendar'!$Z$1508&lt;=GRID_TO)*('Dvd Calendar'!$Z$1508&gt;VAL_DATE)=0,"",'Dvd Calendar'!$Z$1508*1000000000+ISNUMBER('Dvd Calendar'!$Z$1509)*100000000+0*10000000+(N('Dvd Calendar'!$Z$1507)&gt;0)*(N('Dvd Calendar'!$Z$1507)&lt;=VAL_SERIAL)*1000000+36*1000+62))</f>
        <v/>
      </c>
      <c r="GO151" s="121">
        <f>IF(N('Dvd Calendar'!$AA$1508)=0,"",IF(('Dvd Calendar'!$AA$1508&gt;=GRID_FROM)*('Dvd Calendar'!$AA$1508&lt;=GRID_TO)*('Dvd Calendar'!$AA$1508&gt;VAL_DATE)=0,"",'Dvd Calendar'!$AA$1508*1000000000+ISNUMBER('Dvd Calendar'!$AA$1509)*100000000+0*10000000+(N('Dvd Calendar'!$AA$1507)&gt;0)*(N('Dvd Calendar'!$AA$1507)&lt;=VAL_SERIAL)*1000000+36*1000+63))</f>
        <v/>
      </c>
      <c r="GP151" s="121">
        <f>IF(N('Dvd Calendar'!$AB$1508)=0,"",IF(('Dvd Calendar'!$AB$1508&gt;=GRID_FROM)*('Dvd Calendar'!$AB$1508&lt;=GRID_TO)*('Dvd Calendar'!$AB$1508&gt;VAL_DATE)=0,"",'Dvd Calendar'!$AB$1508*1000000000+ISNUMBER('Dvd Calendar'!$AB$1509)*100000000+0*10000000+(N('Dvd Calendar'!$AB$1507)&gt;0)*(N('Dvd Calendar'!$AB$1507)&lt;=VAL_SERIAL)*1000000+36*1000+64))</f>
        <v/>
      </c>
      <c r="GQ151" s="121">
        <f>IF(N('Dvd Calendar'!$AC$1508)=0,"",IF(('Dvd Calendar'!$AC$1508&gt;=GRID_FROM)*('Dvd Calendar'!$AC$1508&lt;=GRID_TO)*('Dvd Calendar'!$AC$1508&gt;VAL_DATE)=0,"",'Dvd Calendar'!$AC$1508*1000000000+ISNUMBER('Dvd Calendar'!$AC$1509)*100000000+0*10000000+(N('Dvd Calendar'!$AC$1507)&gt;0)*(N('Dvd Calendar'!$AC$1507)&lt;=VAL_SERIAL)*1000000+36*1000+65))</f>
        <v/>
      </c>
    </row>
    <row r="152">
      <c r="B152" s="2">
        <f>IF(HSTECH!$C$43="","",HSTECH!$C$43)</f>
        <v/>
      </c>
      <c r="C152" s="161">
        <f>IF(EE152="","",IF(ISNUMBER('Dvd Calendar'!$E$1515)=FALSE,"",IF((('Dvd Calendar'!$E$1517=TYPE1)*(TYPE1&lt;&gt;"")+('Dvd Calendar'!$E$1517=TYPE2)*(TYPE2&lt;&gt;"")+('Dvd Calendar'!$E$1517=TYPE3)*(TYPE3&lt;&gt;"")+('Dvd Calendar'!$E$1517=TYPE4)*(TYPE4&lt;&gt;"")+('Dvd Calendar'!$E$1517=SPECIAL_LBL)*(INC_SPECIALS="Y"))=0,"",'Dvd Calendar'!$E$1515)))</f>
        <v/>
      </c>
      <c r="D152" s="161">
        <f>IF(EF152="","",IF(ISNUMBER('Dvd Calendar'!$F$1515)=FALSE,"",IF((('Dvd Calendar'!$F$1517=TYPE1)*(TYPE1&lt;&gt;"")+('Dvd Calendar'!$F$1517=TYPE2)*(TYPE2&lt;&gt;"")+('Dvd Calendar'!$F$1517=TYPE3)*(TYPE3&lt;&gt;"")+('Dvd Calendar'!$F$1517=TYPE4)*(TYPE4&lt;&gt;"")+('Dvd Calendar'!$F$1517=SPECIAL_LBL)*(INC_SPECIALS="Y"))=0,"",'Dvd Calendar'!$F$1515)))</f>
        <v/>
      </c>
      <c r="E152" s="161">
        <f>IF(EG152="","",IF(ISNUMBER('Dvd Calendar'!$G$1515)=FALSE,"",IF((('Dvd Calendar'!$G$1517=TYPE1)*(TYPE1&lt;&gt;"")+('Dvd Calendar'!$G$1517=TYPE2)*(TYPE2&lt;&gt;"")+('Dvd Calendar'!$G$1517=TYPE3)*(TYPE3&lt;&gt;"")+('Dvd Calendar'!$G$1517=TYPE4)*(TYPE4&lt;&gt;"")+('Dvd Calendar'!$G$1517=SPECIAL_LBL)*(INC_SPECIALS="Y"))=0,"",'Dvd Calendar'!$G$1515)))</f>
        <v/>
      </c>
      <c r="F152" s="161">
        <f>IF(EH152="","",IF(ISNUMBER('Dvd Calendar'!$H$1515)=FALSE,"",IF((('Dvd Calendar'!$H$1517=TYPE1)*(TYPE1&lt;&gt;"")+('Dvd Calendar'!$H$1517=TYPE2)*(TYPE2&lt;&gt;"")+('Dvd Calendar'!$H$1517=TYPE3)*(TYPE3&lt;&gt;"")+('Dvd Calendar'!$H$1517=TYPE4)*(TYPE4&lt;&gt;"")+('Dvd Calendar'!$H$1517=SPECIAL_LBL)*(INC_SPECIALS="Y"))=0,"",'Dvd Calendar'!$H$1515)))</f>
        <v/>
      </c>
      <c r="G152" s="161">
        <f>IF(EI152="","",IF(ISNUMBER('Dvd Calendar'!$I$1515)=FALSE,"",IF((('Dvd Calendar'!$I$1517=TYPE1)*(TYPE1&lt;&gt;"")+('Dvd Calendar'!$I$1517=TYPE2)*(TYPE2&lt;&gt;"")+('Dvd Calendar'!$I$1517=TYPE3)*(TYPE3&lt;&gt;"")+('Dvd Calendar'!$I$1517=TYPE4)*(TYPE4&lt;&gt;"")+('Dvd Calendar'!$I$1517=SPECIAL_LBL)*(INC_SPECIALS="Y"))=0,"",'Dvd Calendar'!$I$1515)))</f>
        <v/>
      </c>
      <c r="H152" s="161">
        <f>IF(EJ152="","",IF(ISNUMBER('Dvd Calendar'!$J$1515)=FALSE,"",IF((('Dvd Calendar'!$J$1517=TYPE1)*(TYPE1&lt;&gt;"")+('Dvd Calendar'!$J$1517=TYPE2)*(TYPE2&lt;&gt;"")+('Dvd Calendar'!$J$1517=TYPE3)*(TYPE3&lt;&gt;"")+('Dvd Calendar'!$J$1517=TYPE4)*(TYPE4&lt;&gt;"")+('Dvd Calendar'!$J$1517=SPECIAL_LBL)*(INC_SPECIALS="Y"))=0,"",'Dvd Calendar'!$J$1515)))</f>
        <v/>
      </c>
      <c r="I152" s="161">
        <f>IF(EK152="","",IF(ISNUMBER('Dvd Calendar'!$K$1515)=FALSE,"",IF((('Dvd Calendar'!$K$1517=TYPE1)*(TYPE1&lt;&gt;"")+('Dvd Calendar'!$K$1517=TYPE2)*(TYPE2&lt;&gt;"")+('Dvd Calendar'!$K$1517=TYPE3)*(TYPE3&lt;&gt;"")+('Dvd Calendar'!$K$1517=TYPE4)*(TYPE4&lt;&gt;"")+('Dvd Calendar'!$K$1517=SPECIAL_LBL)*(INC_SPECIALS="Y"))=0,"",'Dvd Calendar'!$K$1515)))</f>
        <v/>
      </c>
      <c r="J152" s="161">
        <f>IF(EL152="","",IF(ISNUMBER('Dvd Calendar'!$L$1515)=FALSE,"",IF((('Dvd Calendar'!$L$1517=TYPE1)*(TYPE1&lt;&gt;"")+('Dvd Calendar'!$L$1517=TYPE2)*(TYPE2&lt;&gt;"")+('Dvd Calendar'!$L$1517=TYPE3)*(TYPE3&lt;&gt;"")+('Dvd Calendar'!$L$1517=TYPE4)*(TYPE4&lt;&gt;"")+('Dvd Calendar'!$L$1517=SPECIAL_LBL)*(INC_SPECIALS="Y"))=0,"",'Dvd Calendar'!$L$1515)))</f>
        <v/>
      </c>
      <c r="K152" s="161">
        <f>IF(EM152="","",IF(ISNUMBER('Dvd Calendar'!$M$1515)=FALSE,"",IF((('Dvd Calendar'!$M$1517=TYPE1)*(TYPE1&lt;&gt;"")+('Dvd Calendar'!$M$1517=TYPE2)*(TYPE2&lt;&gt;"")+('Dvd Calendar'!$M$1517=TYPE3)*(TYPE3&lt;&gt;"")+('Dvd Calendar'!$M$1517=TYPE4)*(TYPE4&lt;&gt;"")+('Dvd Calendar'!$M$1517=SPECIAL_LBL)*(INC_SPECIALS="Y"))=0,"",'Dvd Calendar'!$M$1515)))</f>
        <v/>
      </c>
      <c r="L152" s="161">
        <f>IF(EN152="","",IF(ISNUMBER('Dvd Calendar'!$N$1515)=FALSE,"",IF((('Dvd Calendar'!$N$1517=TYPE1)*(TYPE1&lt;&gt;"")+('Dvd Calendar'!$N$1517=TYPE2)*(TYPE2&lt;&gt;"")+('Dvd Calendar'!$N$1517=TYPE3)*(TYPE3&lt;&gt;"")+('Dvd Calendar'!$N$1517=TYPE4)*(TYPE4&lt;&gt;"")+('Dvd Calendar'!$N$1517=SPECIAL_LBL)*(INC_SPECIALS="Y"))=0,"",'Dvd Calendar'!$N$1515)))</f>
        <v/>
      </c>
      <c r="M152" s="161">
        <f>IF(EO152="","",IF(ISNUMBER('Dvd Calendar'!$O$1515)=FALSE,"",IF((('Dvd Calendar'!$O$1517=TYPE1)*(TYPE1&lt;&gt;"")+('Dvd Calendar'!$O$1517=TYPE2)*(TYPE2&lt;&gt;"")+('Dvd Calendar'!$O$1517=TYPE3)*(TYPE3&lt;&gt;"")+('Dvd Calendar'!$O$1517=TYPE4)*(TYPE4&lt;&gt;"")+('Dvd Calendar'!$O$1517=SPECIAL_LBL)*(INC_SPECIALS="Y"))=0,"",'Dvd Calendar'!$O$1515)))</f>
        <v/>
      </c>
      <c r="N152" s="161">
        <f>IF(EP152="","",IF(ISNUMBER('Dvd Calendar'!$P$1515)=FALSE,"",IF((('Dvd Calendar'!$P$1517=TYPE1)*(TYPE1&lt;&gt;"")+('Dvd Calendar'!$P$1517=TYPE2)*(TYPE2&lt;&gt;"")+('Dvd Calendar'!$P$1517=TYPE3)*(TYPE3&lt;&gt;"")+('Dvd Calendar'!$P$1517=TYPE4)*(TYPE4&lt;&gt;"")+('Dvd Calendar'!$P$1517=SPECIAL_LBL)*(INC_SPECIALS="Y"))=0,"",'Dvd Calendar'!$P$1515)))</f>
        <v/>
      </c>
      <c r="O152" s="161">
        <f>IF(EQ152="","",IF(ISNUMBER('Dvd Calendar'!$Q$1515)=FALSE,"",IF((('Dvd Calendar'!$Q$1517=TYPE1)*(TYPE1&lt;&gt;"")+('Dvd Calendar'!$Q$1517=TYPE2)*(TYPE2&lt;&gt;"")+('Dvd Calendar'!$Q$1517=TYPE3)*(TYPE3&lt;&gt;"")+('Dvd Calendar'!$Q$1517=TYPE4)*(TYPE4&lt;&gt;"")+('Dvd Calendar'!$Q$1517=SPECIAL_LBL)*(INC_SPECIALS="Y"))=0,"",'Dvd Calendar'!$Q$1515)))</f>
        <v/>
      </c>
      <c r="P152" s="161">
        <f>IF(ER152="","",IF(ISNUMBER('Dvd Calendar'!$R$1515)=FALSE,"",IF((('Dvd Calendar'!$R$1517=TYPE1)*(TYPE1&lt;&gt;"")+('Dvd Calendar'!$R$1517=TYPE2)*(TYPE2&lt;&gt;"")+('Dvd Calendar'!$R$1517=TYPE3)*(TYPE3&lt;&gt;"")+('Dvd Calendar'!$R$1517=TYPE4)*(TYPE4&lt;&gt;"")+('Dvd Calendar'!$R$1517=SPECIAL_LBL)*(INC_SPECIALS="Y"))=0,"",'Dvd Calendar'!$R$1515)))</f>
        <v/>
      </c>
      <c r="Q152" s="161">
        <f>IF(ES152="","",IF(ISNUMBER('Dvd Calendar'!$S$1515)=FALSE,"",IF((('Dvd Calendar'!$S$1517=TYPE1)*(TYPE1&lt;&gt;"")+('Dvd Calendar'!$S$1517=TYPE2)*(TYPE2&lt;&gt;"")+('Dvd Calendar'!$S$1517=TYPE3)*(TYPE3&lt;&gt;"")+('Dvd Calendar'!$S$1517=TYPE4)*(TYPE4&lt;&gt;"")+('Dvd Calendar'!$S$1517=SPECIAL_LBL)*(INC_SPECIALS="Y"))=0,"",'Dvd Calendar'!$S$1515)))</f>
        <v/>
      </c>
      <c r="R152" s="161">
        <f>IF(ET152="","",IF(ISNUMBER('Dvd Calendar'!$T$1515)=FALSE,"",IF((('Dvd Calendar'!$T$1517=TYPE1)*(TYPE1&lt;&gt;"")+('Dvd Calendar'!$T$1517=TYPE2)*(TYPE2&lt;&gt;"")+('Dvd Calendar'!$T$1517=TYPE3)*(TYPE3&lt;&gt;"")+('Dvd Calendar'!$T$1517=TYPE4)*(TYPE4&lt;&gt;"")+('Dvd Calendar'!$T$1517=SPECIAL_LBL)*(INC_SPECIALS="Y"))=0,"",'Dvd Calendar'!$T$1515)))</f>
        <v/>
      </c>
      <c r="S152" s="161">
        <f>IF(EU152="","",IF(ISNUMBER('Dvd Calendar'!$U$1515)=FALSE,"",IF((('Dvd Calendar'!$U$1517=TYPE1)*(TYPE1&lt;&gt;"")+('Dvd Calendar'!$U$1517=TYPE2)*(TYPE2&lt;&gt;"")+('Dvd Calendar'!$U$1517=TYPE3)*(TYPE3&lt;&gt;"")+('Dvd Calendar'!$U$1517=TYPE4)*(TYPE4&lt;&gt;"")+('Dvd Calendar'!$U$1517=SPECIAL_LBL)*(INC_SPECIALS="Y"))=0,"",'Dvd Calendar'!$U$1515)))</f>
        <v/>
      </c>
      <c r="T152" s="161">
        <f>IF(EV152="","",IF(ISNUMBER('Dvd Calendar'!$V$1515)=FALSE,"",IF((('Dvd Calendar'!$V$1517=TYPE1)*(TYPE1&lt;&gt;"")+('Dvd Calendar'!$V$1517=TYPE2)*(TYPE2&lt;&gt;"")+('Dvd Calendar'!$V$1517=TYPE3)*(TYPE3&lt;&gt;"")+('Dvd Calendar'!$V$1517=TYPE4)*(TYPE4&lt;&gt;"")+('Dvd Calendar'!$V$1517=SPECIAL_LBL)*(INC_SPECIALS="Y"))=0,"",'Dvd Calendar'!$V$1515)))</f>
        <v/>
      </c>
      <c r="U152" s="161">
        <f>IF(EW152="","",IF(ISNUMBER('Dvd Calendar'!$W$1515)=FALSE,"",IF((('Dvd Calendar'!$W$1517=TYPE1)*(TYPE1&lt;&gt;"")+('Dvd Calendar'!$W$1517=TYPE2)*(TYPE2&lt;&gt;"")+('Dvd Calendar'!$W$1517=TYPE3)*(TYPE3&lt;&gt;"")+('Dvd Calendar'!$W$1517=TYPE4)*(TYPE4&lt;&gt;"")+('Dvd Calendar'!$W$1517=SPECIAL_LBL)*(INC_SPECIALS="Y"))=0,"",'Dvd Calendar'!$W$1515)))</f>
        <v/>
      </c>
      <c r="V152" s="161">
        <f>IF(EX152="","",IF(ISNUMBER('Dvd Calendar'!$X$1515)=FALSE,"",IF((('Dvd Calendar'!$X$1517=TYPE1)*(TYPE1&lt;&gt;"")+('Dvd Calendar'!$X$1517=TYPE2)*(TYPE2&lt;&gt;"")+('Dvd Calendar'!$X$1517=TYPE3)*(TYPE3&lt;&gt;"")+('Dvd Calendar'!$X$1517=TYPE4)*(TYPE4&lt;&gt;"")+('Dvd Calendar'!$X$1517=SPECIAL_LBL)*(INC_SPECIALS="Y"))=0,"",'Dvd Calendar'!$X$1515)))</f>
        <v/>
      </c>
      <c r="W152" s="161">
        <f>IF(EY152="","",IF(ISNUMBER('Dvd Calendar'!$Y$1515)=FALSE,"",IF((('Dvd Calendar'!$Y$1517=TYPE1)*(TYPE1&lt;&gt;"")+('Dvd Calendar'!$Y$1517=TYPE2)*(TYPE2&lt;&gt;"")+('Dvd Calendar'!$Y$1517=TYPE3)*(TYPE3&lt;&gt;"")+('Dvd Calendar'!$Y$1517=TYPE4)*(TYPE4&lt;&gt;"")+('Dvd Calendar'!$Y$1517=SPECIAL_LBL)*(INC_SPECIALS="Y"))=0,"",'Dvd Calendar'!$Y$1515)))</f>
        <v/>
      </c>
      <c r="X152" s="161">
        <f>IF(EZ152="","",IF(ISNUMBER('Dvd Calendar'!$Z$1515)=FALSE,"",IF((('Dvd Calendar'!$Z$1517=TYPE1)*(TYPE1&lt;&gt;"")+('Dvd Calendar'!$Z$1517=TYPE2)*(TYPE2&lt;&gt;"")+('Dvd Calendar'!$Z$1517=TYPE3)*(TYPE3&lt;&gt;"")+('Dvd Calendar'!$Z$1517=TYPE4)*(TYPE4&lt;&gt;"")+('Dvd Calendar'!$Z$1517=SPECIAL_LBL)*(INC_SPECIALS="Y"))=0,"",'Dvd Calendar'!$Z$1515)))</f>
        <v/>
      </c>
      <c r="Y152" s="161">
        <f>IF(FA152="","",IF(ISNUMBER('Dvd Calendar'!$AA$1515)=FALSE,"",IF((('Dvd Calendar'!$AA$1517=TYPE1)*(TYPE1&lt;&gt;"")+('Dvd Calendar'!$AA$1517=TYPE2)*(TYPE2&lt;&gt;"")+('Dvd Calendar'!$AA$1517=TYPE3)*(TYPE3&lt;&gt;"")+('Dvd Calendar'!$AA$1517=TYPE4)*(TYPE4&lt;&gt;"")+('Dvd Calendar'!$AA$1517=SPECIAL_LBL)*(INC_SPECIALS="Y"))=0,"",'Dvd Calendar'!$AA$1515)))</f>
        <v/>
      </c>
      <c r="Z152" s="161">
        <f>IF(FB152="","",IF(ISNUMBER('Dvd Calendar'!$AB$1515)=FALSE,"",IF((('Dvd Calendar'!$AB$1517=TYPE1)*(TYPE1&lt;&gt;"")+('Dvd Calendar'!$AB$1517=TYPE2)*(TYPE2&lt;&gt;"")+('Dvd Calendar'!$AB$1517=TYPE3)*(TYPE3&lt;&gt;"")+('Dvd Calendar'!$AB$1517=TYPE4)*(TYPE4&lt;&gt;"")+('Dvd Calendar'!$AB$1517=SPECIAL_LBL)*(INC_SPECIALS="Y"))=0,"",'Dvd Calendar'!$AB$1515)))</f>
        <v/>
      </c>
      <c r="AA152" s="161">
        <f>IF(FC152="","",IF(ISNUMBER('Dvd Calendar'!$AC$1515)=FALSE,"",IF((('Dvd Calendar'!$AC$1517=TYPE1)*(TYPE1&lt;&gt;"")+('Dvd Calendar'!$AC$1517=TYPE2)*(TYPE2&lt;&gt;"")+('Dvd Calendar'!$AC$1517=TYPE3)*(TYPE3&lt;&gt;"")+('Dvd Calendar'!$AC$1517=TYPE4)*(TYPE4&lt;&gt;"")+('Dvd Calendar'!$AC$1517=SPECIAL_LBL)*(INC_SPECIALS="Y"))=0,"",'Dvd Calendar'!$AC$1515)))</f>
        <v/>
      </c>
      <c r="AB152" s="161">
        <f>IF(FD152="","",IF(ISNUMBER('Dvd Calendar'!$AD$1515)=FALSE,"",IF((('Dvd Calendar'!$AD$1517=TYPE1)*(TYPE1&lt;&gt;"")+('Dvd Calendar'!$AD$1517=TYPE2)*(TYPE2&lt;&gt;"")+('Dvd Calendar'!$AD$1517=TYPE3)*(TYPE3&lt;&gt;"")+('Dvd Calendar'!$AD$1517=TYPE4)*(TYPE4&lt;&gt;"")+('Dvd Calendar'!$AD$1517=SPECIAL_LBL)*(INC_SPECIALS="Y"))=0,"",'Dvd Calendar'!$AD$1515)))</f>
        <v/>
      </c>
      <c r="AC152" s="161">
        <f>IF(FE152="","",IF(ISNUMBER('Dvd Calendar'!$AE$1515)=FALSE,"",IF((('Dvd Calendar'!$AE$1517=TYPE1)*(TYPE1&lt;&gt;"")+('Dvd Calendar'!$AE$1517=TYPE2)*(TYPE2&lt;&gt;"")+('Dvd Calendar'!$AE$1517=TYPE3)*(TYPE3&lt;&gt;"")+('Dvd Calendar'!$AE$1517=TYPE4)*(TYPE4&lt;&gt;"")+('Dvd Calendar'!$AE$1517=SPECIAL_LBL)*(INC_SPECIALS="Y"))=0,"",'Dvd Calendar'!$AE$1515)))</f>
        <v/>
      </c>
      <c r="AD152" s="161">
        <f>IF(FF152="","",IF(ISNUMBER('Dvd Calendar'!$AF$1515)=FALSE,"",IF((('Dvd Calendar'!$AF$1517=TYPE1)*(TYPE1&lt;&gt;"")+('Dvd Calendar'!$AF$1517=TYPE2)*(TYPE2&lt;&gt;"")+('Dvd Calendar'!$AF$1517=TYPE3)*(TYPE3&lt;&gt;"")+('Dvd Calendar'!$AF$1517=TYPE4)*(TYPE4&lt;&gt;"")+('Dvd Calendar'!$AF$1517=SPECIAL_LBL)*(INC_SPECIALS="Y"))=0,"",'Dvd Calendar'!$AF$1515)))</f>
        <v/>
      </c>
      <c r="AE152" s="161">
        <f>IF(FG152="","",IF(ISNUMBER('Dvd Calendar'!$AG$1515)=FALSE,"",IF((('Dvd Calendar'!$AG$1517=TYPE1)*(TYPE1&lt;&gt;"")+('Dvd Calendar'!$AG$1517=TYPE2)*(TYPE2&lt;&gt;"")+('Dvd Calendar'!$AG$1517=TYPE3)*(TYPE3&lt;&gt;"")+('Dvd Calendar'!$AG$1517=TYPE4)*(TYPE4&lt;&gt;"")+('Dvd Calendar'!$AG$1517=SPECIAL_LBL)*(INC_SPECIALS="Y"))=0,"",'Dvd Calendar'!$AG$1515)))</f>
        <v/>
      </c>
      <c r="AF152" s="161">
        <f>IF(FH152="","",IF(ISNUMBER('Dvd Calendar'!$AH$1515)=FALSE,"",IF((('Dvd Calendar'!$AH$1517=TYPE1)*(TYPE1&lt;&gt;"")+('Dvd Calendar'!$AH$1517=TYPE2)*(TYPE2&lt;&gt;"")+('Dvd Calendar'!$AH$1517=TYPE3)*(TYPE3&lt;&gt;"")+('Dvd Calendar'!$AH$1517=TYPE4)*(TYPE4&lt;&gt;"")+('Dvd Calendar'!$AH$1517=SPECIAL_LBL)*(INC_SPECIALS="Y"))=0,"",'Dvd Calendar'!$AH$1515)))</f>
        <v/>
      </c>
      <c r="AG152" s="161">
        <f>IF(FI152="","",IF(ISNUMBER('Dvd Calendar'!$AI$1515)=FALSE,"",IF((('Dvd Calendar'!$AI$1517=TYPE1)*(TYPE1&lt;&gt;"")+('Dvd Calendar'!$AI$1517=TYPE2)*(TYPE2&lt;&gt;"")+('Dvd Calendar'!$AI$1517=TYPE3)*(TYPE3&lt;&gt;"")+('Dvd Calendar'!$AI$1517=TYPE4)*(TYPE4&lt;&gt;"")+('Dvd Calendar'!$AI$1517=SPECIAL_LBL)*(INC_SPECIALS="Y"))=0,"",'Dvd Calendar'!$AI$1515)))</f>
        <v/>
      </c>
      <c r="AH152" s="161">
        <f>IF(FJ152="","",IF(ISNUMBER('Dvd Calendar'!$AJ$1515)=FALSE,"",IF((('Dvd Calendar'!$AJ$1517=TYPE1)*(TYPE1&lt;&gt;"")+('Dvd Calendar'!$AJ$1517=TYPE2)*(TYPE2&lt;&gt;"")+('Dvd Calendar'!$AJ$1517=TYPE3)*(TYPE3&lt;&gt;"")+('Dvd Calendar'!$AJ$1517=TYPE4)*(TYPE4&lt;&gt;"")+('Dvd Calendar'!$AJ$1517=SPECIAL_LBL)*(INC_SPECIALS="Y"))=0,"",'Dvd Calendar'!$AJ$1515)))</f>
        <v/>
      </c>
      <c r="AI152" s="161">
        <f>IF(FK152="","",IF(ISNUMBER('Dvd Calendar'!$AK$1515)=FALSE,"",IF((('Dvd Calendar'!$AK$1517=TYPE1)*(TYPE1&lt;&gt;"")+('Dvd Calendar'!$AK$1517=TYPE2)*(TYPE2&lt;&gt;"")+('Dvd Calendar'!$AK$1517=TYPE3)*(TYPE3&lt;&gt;"")+('Dvd Calendar'!$AK$1517=TYPE4)*(TYPE4&lt;&gt;"")+('Dvd Calendar'!$AK$1517=SPECIAL_LBL)*(INC_SPECIALS="Y"))=0,"",'Dvd Calendar'!$AK$1515)))</f>
        <v/>
      </c>
      <c r="AJ152" s="161">
        <f>IF(FL152="","",IF(ISNUMBER('Dvd Calendar'!$AL$1515)=FALSE,"",IF((('Dvd Calendar'!$AL$1517=TYPE1)*(TYPE1&lt;&gt;"")+('Dvd Calendar'!$AL$1517=TYPE2)*(TYPE2&lt;&gt;"")+('Dvd Calendar'!$AL$1517=TYPE3)*(TYPE3&lt;&gt;"")+('Dvd Calendar'!$AL$1517=TYPE4)*(TYPE4&lt;&gt;"")+('Dvd Calendar'!$AL$1517=SPECIAL_LBL)*(INC_SPECIALS="Y"))=0,"",'Dvd Calendar'!$AL$1515)))</f>
        <v/>
      </c>
      <c r="AK152" s="161">
        <f>IF(FM152="","",IF(ISNUMBER('Dvd Calendar'!$AM$1515)=FALSE,"",IF((('Dvd Calendar'!$AM$1517=TYPE1)*(TYPE1&lt;&gt;"")+('Dvd Calendar'!$AM$1517=TYPE2)*(TYPE2&lt;&gt;"")+('Dvd Calendar'!$AM$1517=TYPE3)*(TYPE3&lt;&gt;"")+('Dvd Calendar'!$AM$1517=TYPE4)*(TYPE4&lt;&gt;"")+('Dvd Calendar'!$AM$1517=SPECIAL_LBL)*(INC_SPECIALS="Y"))=0,"",'Dvd Calendar'!$AM$1515)))</f>
        <v/>
      </c>
      <c r="AL152" s="161">
        <f>IF(FN152="","",IF(ISNUMBER('Dvd Calendar'!$AN$1515)=FALSE,"",IF((('Dvd Calendar'!$AN$1517=TYPE1)*(TYPE1&lt;&gt;"")+('Dvd Calendar'!$AN$1517=TYPE2)*(TYPE2&lt;&gt;"")+('Dvd Calendar'!$AN$1517=TYPE3)*(TYPE3&lt;&gt;"")+('Dvd Calendar'!$AN$1517=TYPE4)*(TYPE4&lt;&gt;"")+('Dvd Calendar'!$AN$1517=SPECIAL_LBL)*(INC_SPECIALS="Y"))=0,"",'Dvd Calendar'!$AN$1515)))</f>
        <v/>
      </c>
      <c r="AM152" s="161">
        <f>IF(FO152="","",IF(ISNUMBER('Dvd Calendar'!$AO$1515)=FALSE,"",IF((('Dvd Calendar'!$AO$1517=TYPE1)*(TYPE1&lt;&gt;"")+('Dvd Calendar'!$AO$1517=TYPE2)*(TYPE2&lt;&gt;"")+('Dvd Calendar'!$AO$1517=TYPE3)*(TYPE3&lt;&gt;"")+('Dvd Calendar'!$AO$1517=TYPE4)*(TYPE4&lt;&gt;"")+('Dvd Calendar'!$AO$1517=SPECIAL_LBL)*(INC_SPECIALS="Y"))=0,"",'Dvd Calendar'!$AO$1515)))</f>
        <v/>
      </c>
      <c r="AN152" s="161">
        <f>IF(FP152="","",IF(ISNUMBER('Dvd Calendar'!$AP$1515)=FALSE,"",IF((('Dvd Calendar'!$AP$1517=TYPE1)*(TYPE1&lt;&gt;"")+('Dvd Calendar'!$AP$1517=TYPE2)*(TYPE2&lt;&gt;"")+('Dvd Calendar'!$AP$1517=TYPE3)*(TYPE3&lt;&gt;"")+('Dvd Calendar'!$AP$1517=TYPE4)*(TYPE4&lt;&gt;"")+('Dvd Calendar'!$AP$1517=SPECIAL_LBL)*(INC_SPECIALS="Y"))=0,"",'Dvd Calendar'!$AP$1515)))</f>
        <v/>
      </c>
      <c r="AO152" s="161">
        <f>IF(FQ152="","",IF(ISNUMBER('Dvd Calendar'!$AQ$1515)=FALSE,"",IF((('Dvd Calendar'!$AQ$1517=TYPE1)*(TYPE1&lt;&gt;"")+('Dvd Calendar'!$AQ$1517=TYPE2)*(TYPE2&lt;&gt;"")+('Dvd Calendar'!$AQ$1517=TYPE3)*(TYPE3&lt;&gt;"")+('Dvd Calendar'!$AQ$1517=TYPE4)*(TYPE4&lt;&gt;"")+('Dvd Calendar'!$AQ$1517=SPECIAL_LBL)*(INC_SPECIALS="Y"))=0,"",'Dvd Calendar'!$AQ$1515)))</f>
        <v/>
      </c>
      <c r="AP152" s="161">
        <f>IF(FR152="","",IF(ISNUMBER('Dvd Calendar'!$AR$1515)=FALSE,"",IF((('Dvd Calendar'!$AR$1517=TYPE1)*(TYPE1&lt;&gt;"")+('Dvd Calendar'!$AR$1517=TYPE2)*(TYPE2&lt;&gt;"")+('Dvd Calendar'!$AR$1517=TYPE3)*(TYPE3&lt;&gt;"")+('Dvd Calendar'!$AR$1517=TYPE4)*(TYPE4&lt;&gt;"")+('Dvd Calendar'!$AR$1517=SPECIAL_LBL)*(INC_SPECIALS="Y"))=0,"",'Dvd Calendar'!$AR$1515)))</f>
        <v/>
      </c>
      <c r="AQ152" s="161">
        <f>IF(FS152="","",IF(ISNUMBER('Dvd Calendar'!$E$1520)=FALSE,"",'Dvd Calendar'!$E$1520))</f>
        <v/>
      </c>
      <c r="AR152" s="161">
        <f>IF(FT152="","",IF(ISNUMBER('Dvd Calendar'!$F$1520)=FALSE,"",'Dvd Calendar'!$F$1520))</f>
        <v/>
      </c>
      <c r="AS152" s="161">
        <f>IF(FU152="","",IF(ISNUMBER('Dvd Calendar'!$G$1520)=FALSE,"",'Dvd Calendar'!$G$1520))</f>
        <v/>
      </c>
      <c r="AT152" s="161">
        <f>IF(FV152="","",IF(ISNUMBER('Dvd Calendar'!$H$1520)=FALSE,"",'Dvd Calendar'!$H$1520))</f>
        <v/>
      </c>
      <c r="AU152" s="161">
        <f>IF(FW152="","",IF(ISNUMBER('Dvd Calendar'!$I$1520)=FALSE,"",'Dvd Calendar'!$I$1520))</f>
        <v/>
      </c>
      <c r="AV152" s="161">
        <f>IF(FX152="","",IF(ISNUMBER('Dvd Calendar'!$J$1520)=FALSE,"",'Dvd Calendar'!$J$1520))</f>
        <v/>
      </c>
      <c r="AW152" s="161">
        <f>IF(FY152="","",IF(ISNUMBER('Dvd Calendar'!$K$1520)=FALSE,"",'Dvd Calendar'!$K$1520))</f>
        <v/>
      </c>
      <c r="AX152" s="161">
        <f>IF(FZ152="","",IF(ISNUMBER('Dvd Calendar'!$L$1520)=FALSE,"",'Dvd Calendar'!$L$1520))</f>
        <v/>
      </c>
      <c r="AY152" s="161">
        <f>IF(GA152="","",IF(ISNUMBER('Dvd Calendar'!$M$1520)=FALSE,"",'Dvd Calendar'!$M$1520))</f>
        <v/>
      </c>
      <c r="AZ152" s="161">
        <f>IF(GB152="","",IF(ISNUMBER('Dvd Calendar'!$N$1520)=FALSE,"",'Dvd Calendar'!$N$1520))</f>
        <v/>
      </c>
      <c r="BA152" s="161">
        <f>IF(GC152="","",IF(ISNUMBER('Dvd Calendar'!$O$1520)=FALSE,"",'Dvd Calendar'!$O$1520))</f>
        <v/>
      </c>
      <c r="BB152" s="161">
        <f>IF(GD152="","",IF(ISNUMBER('Dvd Calendar'!$P$1520)=FALSE,"",'Dvd Calendar'!$P$1520))</f>
        <v/>
      </c>
      <c r="BC152" s="161">
        <f>IF(GE152="","",IF(ISNUMBER('Dvd Calendar'!$Q$1520)=FALSE,"",'Dvd Calendar'!$Q$1520))</f>
        <v/>
      </c>
      <c r="BD152" s="161">
        <f>IF(GF152="","",IF(ISNUMBER('Dvd Calendar'!$R$1520)=FALSE,"",'Dvd Calendar'!$R$1520))</f>
        <v/>
      </c>
      <c r="BE152" s="161">
        <f>IF(GG152="","",IF(ISNUMBER('Dvd Calendar'!$S$1520)=FALSE,"",'Dvd Calendar'!$S$1520))</f>
        <v/>
      </c>
      <c r="BF152" s="161">
        <f>IF(GH152="","",IF(ISNUMBER('Dvd Calendar'!$T$1520)=FALSE,"",'Dvd Calendar'!$T$1520))</f>
        <v/>
      </c>
      <c r="BG152" s="161">
        <f>IF(GI152="","",IF(ISNUMBER('Dvd Calendar'!$U$1520)=FALSE,"",'Dvd Calendar'!$U$1520))</f>
        <v/>
      </c>
      <c r="BH152" s="161">
        <f>IF(GJ152="","",IF(ISNUMBER('Dvd Calendar'!$V$1520)=FALSE,"",'Dvd Calendar'!$V$1520))</f>
        <v/>
      </c>
      <c r="BI152" s="161">
        <f>IF(GK152="","",IF(ISNUMBER('Dvd Calendar'!$W$1520)=FALSE,"",'Dvd Calendar'!$W$1520))</f>
        <v/>
      </c>
      <c r="BJ152" s="161">
        <f>IF(GL152="","",IF(ISNUMBER('Dvd Calendar'!$X$1520)=FALSE,"",'Dvd Calendar'!$X$1520))</f>
        <v/>
      </c>
      <c r="BK152" s="161">
        <f>IF(GM152="","",IF(ISNUMBER('Dvd Calendar'!$Y$1520)=FALSE,"",'Dvd Calendar'!$Y$1520))</f>
        <v/>
      </c>
      <c r="BL152" s="161">
        <f>IF(GN152="","",IF(ISNUMBER('Dvd Calendar'!$Z$1520)=FALSE,"",'Dvd Calendar'!$Z$1520))</f>
        <v/>
      </c>
      <c r="BM152" s="161">
        <f>IF(GO152="","",IF(ISNUMBER('Dvd Calendar'!$AA$1520)=FALSE,"",'Dvd Calendar'!$AA$1520))</f>
        <v/>
      </c>
      <c r="BN152" s="161">
        <f>IF(GP152="","",IF(ISNUMBER('Dvd Calendar'!$AB$1520)=FALSE,"",'Dvd Calendar'!$AB$1520))</f>
        <v/>
      </c>
      <c r="BO152" s="161">
        <f>IF(GQ152="","",IF(ISNUMBER('Dvd Calendar'!$AC$1520)=FALSE,"",'Dvd Calendar'!$AC$1520))</f>
        <v/>
      </c>
      <c r="BQ152" s="161">
        <f>IF(C152="","",IFERROR(C152*HSTECH!$B$43*HSTECH!$G$43/HSTECH!$B$3,""))</f>
        <v/>
      </c>
      <c r="BR152" s="161">
        <f>IF(D152="","",IFERROR(D152*HSTECH!$B$43*HSTECH!$G$43/HSTECH!$B$3,""))</f>
        <v/>
      </c>
      <c r="BS152" s="161">
        <f>IF(E152="","",IFERROR(E152*HSTECH!$B$43*HSTECH!$G$43/HSTECH!$B$3,""))</f>
        <v/>
      </c>
      <c r="BT152" s="161">
        <f>IF(F152="","",IFERROR(F152*HSTECH!$B$43*HSTECH!$G$43/HSTECH!$B$3,""))</f>
        <v/>
      </c>
      <c r="BU152" s="161">
        <f>IF(G152="","",IFERROR(G152*HSTECH!$B$43*HSTECH!$G$43/HSTECH!$B$3,""))</f>
        <v/>
      </c>
      <c r="BV152" s="161">
        <f>IF(H152="","",IFERROR(H152*HSTECH!$B$43*HSTECH!$G$43/HSTECH!$B$3,""))</f>
        <v/>
      </c>
      <c r="BW152" s="161">
        <f>IF(I152="","",IFERROR(I152*HSTECH!$B$43*HSTECH!$G$43/HSTECH!$B$3,""))</f>
        <v/>
      </c>
      <c r="BX152" s="161">
        <f>IF(J152="","",IFERROR(J152*HSTECH!$B$43*HSTECH!$G$43/HSTECH!$B$3,""))</f>
        <v/>
      </c>
      <c r="BY152" s="161">
        <f>IF(K152="","",IFERROR(K152*HSTECH!$B$43*HSTECH!$G$43/HSTECH!$B$3,""))</f>
        <v/>
      </c>
      <c r="BZ152" s="161">
        <f>IF(L152="","",IFERROR(L152*HSTECH!$B$43*HSTECH!$G$43/HSTECH!$B$3,""))</f>
        <v/>
      </c>
      <c r="CA152" s="161">
        <f>IF(M152="","",IFERROR(M152*HSTECH!$B$43*HSTECH!$G$43/HSTECH!$B$3,""))</f>
        <v/>
      </c>
      <c r="CB152" s="161">
        <f>IF(N152="","",IFERROR(N152*HSTECH!$B$43*HSTECH!$G$43/HSTECH!$B$3,""))</f>
        <v/>
      </c>
      <c r="CC152" s="161">
        <f>IF(O152="","",IFERROR(O152*HSTECH!$B$43*HSTECH!$G$43/HSTECH!$B$3,""))</f>
        <v/>
      </c>
      <c r="CD152" s="161">
        <f>IF(P152="","",IFERROR(P152*HSTECH!$B$43*HSTECH!$G$43/HSTECH!$B$3,""))</f>
        <v/>
      </c>
      <c r="CE152" s="161">
        <f>IF(Q152="","",IFERROR(Q152*HSTECH!$B$43*HSTECH!$G$43/HSTECH!$B$3,""))</f>
        <v/>
      </c>
      <c r="CF152" s="161">
        <f>IF(R152="","",IFERROR(R152*HSTECH!$B$43*HSTECH!$G$43/HSTECH!$B$3,""))</f>
        <v/>
      </c>
      <c r="CG152" s="161">
        <f>IF(S152="","",IFERROR(S152*HSTECH!$B$43*HSTECH!$G$43/HSTECH!$B$3,""))</f>
        <v/>
      </c>
      <c r="CH152" s="161">
        <f>IF(T152="","",IFERROR(T152*HSTECH!$B$43*HSTECH!$G$43/HSTECH!$B$3,""))</f>
        <v/>
      </c>
      <c r="CI152" s="161">
        <f>IF(U152="","",IFERROR(U152*HSTECH!$B$43*HSTECH!$G$43/HSTECH!$B$3,""))</f>
        <v/>
      </c>
      <c r="CJ152" s="161">
        <f>IF(V152="","",IFERROR(V152*HSTECH!$B$43*HSTECH!$G$43/HSTECH!$B$3,""))</f>
        <v/>
      </c>
      <c r="CK152" s="161">
        <f>IF(W152="","",IFERROR(W152*HSTECH!$B$43*HSTECH!$G$43/HSTECH!$B$3,""))</f>
        <v/>
      </c>
      <c r="CL152" s="161">
        <f>IF(X152="","",IFERROR(X152*HSTECH!$B$43*HSTECH!$G$43/HSTECH!$B$3,""))</f>
        <v/>
      </c>
      <c r="CM152" s="161">
        <f>IF(Y152="","",IFERROR(Y152*HSTECH!$B$43*HSTECH!$G$43/HSTECH!$B$3,""))</f>
        <v/>
      </c>
      <c r="CN152" s="161">
        <f>IF(Z152="","",IFERROR(Z152*HSTECH!$B$43*HSTECH!$G$43/HSTECH!$B$3,""))</f>
        <v/>
      </c>
      <c r="CO152" s="161">
        <f>IF(AA152="","",IFERROR(AA152*HSTECH!$B$43*HSTECH!$G$43/HSTECH!$B$3,""))</f>
        <v/>
      </c>
      <c r="CP152" s="161">
        <f>IF(AB152="","",IFERROR(AB152*HSTECH!$B$43*HSTECH!$G$43/HSTECH!$B$3,""))</f>
        <v/>
      </c>
      <c r="CQ152" s="161">
        <f>IF(AC152="","",IFERROR(AC152*HSTECH!$B$43*HSTECH!$G$43/HSTECH!$B$3,""))</f>
        <v/>
      </c>
      <c r="CR152" s="161">
        <f>IF(AD152="","",IFERROR(AD152*HSTECH!$B$43*HSTECH!$G$43/HSTECH!$B$3,""))</f>
        <v/>
      </c>
      <c r="CS152" s="161">
        <f>IF(AE152="","",IFERROR(AE152*HSTECH!$B$43*HSTECH!$G$43/HSTECH!$B$3,""))</f>
        <v/>
      </c>
      <c r="CT152" s="161">
        <f>IF(AF152="","",IFERROR(AF152*HSTECH!$B$43*HSTECH!$G$43/HSTECH!$B$3,""))</f>
        <v/>
      </c>
      <c r="CU152" s="161">
        <f>IF(AG152="","",IFERROR(AG152*HSTECH!$B$43*HSTECH!$G$43/HSTECH!$B$3,""))</f>
        <v/>
      </c>
      <c r="CV152" s="161">
        <f>IF(AH152="","",IFERROR(AH152*HSTECH!$B$43*HSTECH!$G$43/HSTECH!$B$3,""))</f>
        <v/>
      </c>
      <c r="CW152" s="161">
        <f>IF(AI152="","",IFERROR(AI152*HSTECH!$B$43*HSTECH!$G$43/HSTECH!$B$3,""))</f>
        <v/>
      </c>
      <c r="CX152" s="161">
        <f>IF(AJ152="","",IFERROR(AJ152*HSTECH!$B$43*HSTECH!$G$43/HSTECH!$B$3,""))</f>
        <v/>
      </c>
      <c r="CY152" s="161">
        <f>IF(AK152="","",IFERROR(AK152*HSTECH!$B$43*HSTECH!$G$43/HSTECH!$B$3,""))</f>
        <v/>
      </c>
      <c r="CZ152" s="161">
        <f>IF(AL152="","",IFERROR(AL152*HSTECH!$B$43*HSTECH!$G$43/HSTECH!$B$3,""))</f>
        <v/>
      </c>
      <c r="DA152" s="161">
        <f>IF(AM152="","",IFERROR(AM152*HSTECH!$B$43*HSTECH!$G$43/HSTECH!$B$3,""))</f>
        <v/>
      </c>
      <c r="DB152" s="161">
        <f>IF(AN152="","",IFERROR(AN152*HSTECH!$B$43*HSTECH!$G$43/HSTECH!$B$3,""))</f>
        <v/>
      </c>
      <c r="DC152" s="161">
        <f>IF(AO152="","",IFERROR(AO152*HSTECH!$B$43*HSTECH!$G$43/HSTECH!$B$3,""))</f>
        <v/>
      </c>
      <c r="DD152" s="161">
        <f>IF(AP152="","",IFERROR(AP152*HSTECH!$B$43*HSTECH!$G$43/HSTECH!$B$3,""))</f>
        <v/>
      </c>
      <c r="DE152" s="161">
        <f>IF(AQ152="","",IFERROR(AQ152*HSTECH!$B$43*HSTECH!$G$43/HSTECH!$B$3,""))</f>
        <v/>
      </c>
      <c r="DF152" s="161">
        <f>IF(AR152="","",IFERROR(AR152*HSTECH!$B$43*HSTECH!$G$43/HSTECH!$B$3,""))</f>
        <v/>
      </c>
      <c r="DG152" s="161">
        <f>IF(AS152="","",IFERROR(AS152*HSTECH!$B$43*HSTECH!$G$43/HSTECH!$B$3,""))</f>
        <v/>
      </c>
      <c r="DH152" s="161">
        <f>IF(AT152="","",IFERROR(AT152*HSTECH!$B$43*HSTECH!$G$43/HSTECH!$B$3,""))</f>
        <v/>
      </c>
      <c r="DI152" s="161">
        <f>IF(AU152="","",IFERROR(AU152*HSTECH!$B$43*HSTECH!$G$43/HSTECH!$B$3,""))</f>
        <v/>
      </c>
      <c r="DJ152" s="161">
        <f>IF(AV152="","",IFERROR(AV152*HSTECH!$B$43*HSTECH!$G$43/HSTECH!$B$3,""))</f>
        <v/>
      </c>
      <c r="DK152" s="161">
        <f>IF(AW152="","",IFERROR(AW152*HSTECH!$B$43*HSTECH!$G$43/HSTECH!$B$3,""))</f>
        <v/>
      </c>
      <c r="DL152" s="161">
        <f>IF(AX152="","",IFERROR(AX152*HSTECH!$B$43*HSTECH!$G$43/HSTECH!$B$3,""))</f>
        <v/>
      </c>
      <c r="DM152" s="161">
        <f>IF(AY152="","",IFERROR(AY152*HSTECH!$B$43*HSTECH!$G$43/HSTECH!$B$3,""))</f>
        <v/>
      </c>
      <c r="DN152" s="161">
        <f>IF(AZ152="","",IFERROR(AZ152*HSTECH!$B$43*HSTECH!$G$43/HSTECH!$B$3,""))</f>
        <v/>
      </c>
      <c r="DO152" s="161">
        <f>IF(BA152="","",IFERROR(BA152*HSTECH!$B$43*HSTECH!$G$43/HSTECH!$B$3,""))</f>
        <v/>
      </c>
      <c r="DP152" s="161">
        <f>IF(BB152="","",IFERROR(BB152*HSTECH!$B$43*HSTECH!$G$43/HSTECH!$B$3,""))</f>
        <v/>
      </c>
      <c r="DQ152" s="161">
        <f>IF(BC152="","",IFERROR(BC152*HSTECH!$B$43*HSTECH!$G$43/HSTECH!$B$3,""))</f>
        <v/>
      </c>
      <c r="DR152" s="161">
        <f>IF(BD152="","",IFERROR(BD152*HSTECH!$B$43*HSTECH!$G$43/HSTECH!$B$3,""))</f>
        <v/>
      </c>
      <c r="DS152" s="161">
        <f>IF(BE152="","",IFERROR(BE152*HSTECH!$B$43*HSTECH!$G$43/HSTECH!$B$3,""))</f>
        <v/>
      </c>
      <c r="DT152" s="161">
        <f>IF(BF152="","",IFERROR(BF152*HSTECH!$B$43*HSTECH!$G$43/HSTECH!$B$3,""))</f>
        <v/>
      </c>
      <c r="DU152" s="161">
        <f>IF(BG152="","",IFERROR(BG152*HSTECH!$B$43*HSTECH!$G$43/HSTECH!$B$3,""))</f>
        <v/>
      </c>
      <c r="DV152" s="161">
        <f>IF(BH152="","",IFERROR(BH152*HSTECH!$B$43*HSTECH!$G$43/HSTECH!$B$3,""))</f>
        <v/>
      </c>
      <c r="DW152" s="161">
        <f>IF(BI152="","",IFERROR(BI152*HSTECH!$B$43*HSTECH!$G$43/HSTECH!$B$3,""))</f>
        <v/>
      </c>
      <c r="DX152" s="161">
        <f>IF(BJ152="","",IFERROR(BJ152*HSTECH!$B$43*HSTECH!$G$43/HSTECH!$B$3,""))</f>
        <v/>
      </c>
      <c r="DY152" s="161">
        <f>IF(BK152="","",IFERROR(BK152*HSTECH!$B$43*HSTECH!$G$43/HSTECH!$B$3,""))</f>
        <v/>
      </c>
      <c r="DZ152" s="161">
        <f>IF(BL152="","",IFERROR(BL152*HSTECH!$B$43*HSTECH!$G$43/HSTECH!$B$3,""))</f>
        <v/>
      </c>
      <c r="EA152" s="161">
        <f>IF(BM152="","",IFERROR(BM152*HSTECH!$B$43*HSTECH!$G$43/HSTECH!$B$3,""))</f>
        <v/>
      </c>
      <c r="EB152" s="161">
        <f>IF(BN152="","",IFERROR(BN152*HSTECH!$B$43*HSTECH!$G$43/HSTECH!$B$3,""))</f>
        <v/>
      </c>
      <c r="EC152" s="161">
        <f>IF(BO152="","",IFERROR(BO152*HSTECH!$B$43*HSTECH!$G$43/HSTECH!$B$3,""))</f>
        <v/>
      </c>
      <c r="EE152" s="121">
        <f>IF(N('Dvd Calendar'!$E$1512)=0,"",IF(('Dvd Calendar'!$E$1512&gt;=GRID_FROM)*('Dvd Calendar'!$E$1512&lt;=GRID_TO)*((('Dvd Calendar'!$E$1512&lt;=VAL_DATE)+(COUNTIF('Dvd Calendar'!$E$1519:$AR$1519,'Dvd Calendar'!$E$1512)=0))&gt;0)=0,"",'Dvd Calendar'!$E$1512*1000000000+ISNUMBER('Dvd Calendar'!$E$1515)*100000000+('Dvd Calendar'!$E$1517=SPECIAL_LBL)*10000000+(N('Dvd Calendar'!$E$1511)&gt;0)*(N('Dvd Calendar'!$E$1511)&lt;=VAL_SERIAL)*1000000+37*1000+1))</f>
        <v/>
      </c>
      <c r="EF152" s="121">
        <f>IF(N('Dvd Calendar'!$F$1512)=0,"",IF(('Dvd Calendar'!$F$1512&gt;=GRID_FROM)*('Dvd Calendar'!$F$1512&lt;=GRID_TO)*((('Dvd Calendar'!$F$1512&lt;=VAL_DATE)+(COUNTIF('Dvd Calendar'!$E$1519:$AR$1519,'Dvd Calendar'!$F$1512)=0))&gt;0)=0,"",'Dvd Calendar'!$F$1512*1000000000+ISNUMBER('Dvd Calendar'!$F$1515)*100000000+('Dvd Calendar'!$F$1517=SPECIAL_LBL)*10000000+(N('Dvd Calendar'!$F$1511)&gt;0)*(N('Dvd Calendar'!$F$1511)&lt;=VAL_SERIAL)*1000000+37*1000+2))</f>
        <v/>
      </c>
      <c r="EG152" s="121">
        <f>IF(N('Dvd Calendar'!$G$1512)=0,"",IF(('Dvd Calendar'!$G$1512&gt;=GRID_FROM)*('Dvd Calendar'!$G$1512&lt;=GRID_TO)*((('Dvd Calendar'!$G$1512&lt;=VAL_DATE)+(COUNTIF('Dvd Calendar'!$E$1519:$AR$1519,'Dvd Calendar'!$G$1512)=0))&gt;0)=0,"",'Dvd Calendar'!$G$1512*1000000000+ISNUMBER('Dvd Calendar'!$G$1515)*100000000+('Dvd Calendar'!$G$1517=SPECIAL_LBL)*10000000+(N('Dvd Calendar'!$G$1511)&gt;0)*(N('Dvd Calendar'!$G$1511)&lt;=VAL_SERIAL)*1000000+37*1000+3))</f>
        <v/>
      </c>
      <c r="EH152" s="121">
        <f>IF(N('Dvd Calendar'!$H$1512)=0,"",IF(('Dvd Calendar'!$H$1512&gt;=GRID_FROM)*('Dvd Calendar'!$H$1512&lt;=GRID_TO)*((('Dvd Calendar'!$H$1512&lt;=VAL_DATE)+(COUNTIF('Dvd Calendar'!$E$1519:$AR$1519,'Dvd Calendar'!$H$1512)=0))&gt;0)=0,"",'Dvd Calendar'!$H$1512*1000000000+ISNUMBER('Dvd Calendar'!$H$1515)*100000000+('Dvd Calendar'!$H$1517=SPECIAL_LBL)*10000000+(N('Dvd Calendar'!$H$1511)&gt;0)*(N('Dvd Calendar'!$H$1511)&lt;=VAL_SERIAL)*1000000+37*1000+4))</f>
        <v/>
      </c>
      <c r="EI152" s="121">
        <f>IF(N('Dvd Calendar'!$I$1512)=0,"",IF(('Dvd Calendar'!$I$1512&gt;=GRID_FROM)*('Dvd Calendar'!$I$1512&lt;=GRID_TO)*((('Dvd Calendar'!$I$1512&lt;=VAL_DATE)+(COUNTIF('Dvd Calendar'!$E$1519:$AR$1519,'Dvd Calendar'!$I$1512)=0))&gt;0)=0,"",'Dvd Calendar'!$I$1512*1000000000+ISNUMBER('Dvd Calendar'!$I$1515)*100000000+('Dvd Calendar'!$I$1517=SPECIAL_LBL)*10000000+(N('Dvd Calendar'!$I$1511)&gt;0)*(N('Dvd Calendar'!$I$1511)&lt;=VAL_SERIAL)*1000000+37*1000+5))</f>
        <v/>
      </c>
      <c r="EJ152" s="121">
        <f>IF(N('Dvd Calendar'!$J$1512)=0,"",IF(('Dvd Calendar'!$J$1512&gt;=GRID_FROM)*('Dvd Calendar'!$J$1512&lt;=GRID_TO)*((('Dvd Calendar'!$J$1512&lt;=VAL_DATE)+(COUNTIF('Dvd Calendar'!$E$1519:$AR$1519,'Dvd Calendar'!$J$1512)=0))&gt;0)=0,"",'Dvd Calendar'!$J$1512*1000000000+ISNUMBER('Dvd Calendar'!$J$1515)*100000000+('Dvd Calendar'!$J$1517=SPECIAL_LBL)*10000000+(N('Dvd Calendar'!$J$1511)&gt;0)*(N('Dvd Calendar'!$J$1511)&lt;=VAL_SERIAL)*1000000+37*1000+6))</f>
        <v/>
      </c>
      <c r="EK152" s="121">
        <f>IF(N('Dvd Calendar'!$K$1512)=0,"",IF(('Dvd Calendar'!$K$1512&gt;=GRID_FROM)*('Dvd Calendar'!$K$1512&lt;=GRID_TO)*((('Dvd Calendar'!$K$1512&lt;=VAL_DATE)+(COUNTIF('Dvd Calendar'!$E$1519:$AR$1519,'Dvd Calendar'!$K$1512)=0))&gt;0)=0,"",'Dvd Calendar'!$K$1512*1000000000+ISNUMBER('Dvd Calendar'!$K$1515)*100000000+('Dvd Calendar'!$K$1517=SPECIAL_LBL)*10000000+(N('Dvd Calendar'!$K$1511)&gt;0)*(N('Dvd Calendar'!$K$1511)&lt;=VAL_SERIAL)*1000000+37*1000+7))</f>
        <v/>
      </c>
      <c r="EL152" s="121">
        <f>IF(N('Dvd Calendar'!$L$1512)=0,"",IF(('Dvd Calendar'!$L$1512&gt;=GRID_FROM)*('Dvd Calendar'!$L$1512&lt;=GRID_TO)*((('Dvd Calendar'!$L$1512&lt;=VAL_DATE)+(COUNTIF('Dvd Calendar'!$E$1519:$AR$1519,'Dvd Calendar'!$L$1512)=0))&gt;0)=0,"",'Dvd Calendar'!$L$1512*1000000000+ISNUMBER('Dvd Calendar'!$L$1515)*100000000+('Dvd Calendar'!$L$1517=SPECIAL_LBL)*10000000+(N('Dvd Calendar'!$L$1511)&gt;0)*(N('Dvd Calendar'!$L$1511)&lt;=VAL_SERIAL)*1000000+37*1000+8))</f>
        <v/>
      </c>
      <c r="EM152" s="121">
        <f>IF(N('Dvd Calendar'!$M$1512)=0,"",IF(('Dvd Calendar'!$M$1512&gt;=GRID_FROM)*('Dvd Calendar'!$M$1512&lt;=GRID_TO)*((('Dvd Calendar'!$M$1512&lt;=VAL_DATE)+(COUNTIF('Dvd Calendar'!$E$1519:$AR$1519,'Dvd Calendar'!$M$1512)=0))&gt;0)=0,"",'Dvd Calendar'!$M$1512*1000000000+ISNUMBER('Dvd Calendar'!$M$1515)*100000000+('Dvd Calendar'!$M$1517=SPECIAL_LBL)*10000000+(N('Dvd Calendar'!$M$1511)&gt;0)*(N('Dvd Calendar'!$M$1511)&lt;=VAL_SERIAL)*1000000+37*1000+9))</f>
        <v/>
      </c>
      <c r="EN152" s="121">
        <f>IF(N('Dvd Calendar'!$N$1512)=0,"",IF(('Dvd Calendar'!$N$1512&gt;=GRID_FROM)*('Dvd Calendar'!$N$1512&lt;=GRID_TO)*((('Dvd Calendar'!$N$1512&lt;=VAL_DATE)+(COUNTIF('Dvd Calendar'!$E$1519:$AR$1519,'Dvd Calendar'!$N$1512)=0))&gt;0)=0,"",'Dvd Calendar'!$N$1512*1000000000+ISNUMBER('Dvd Calendar'!$N$1515)*100000000+('Dvd Calendar'!$N$1517=SPECIAL_LBL)*10000000+(N('Dvd Calendar'!$N$1511)&gt;0)*(N('Dvd Calendar'!$N$1511)&lt;=VAL_SERIAL)*1000000+37*1000+10))</f>
        <v/>
      </c>
      <c r="EO152" s="121">
        <f>IF(N('Dvd Calendar'!$O$1512)=0,"",IF(('Dvd Calendar'!$O$1512&gt;=GRID_FROM)*('Dvd Calendar'!$O$1512&lt;=GRID_TO)*((('Dvd Calendar'!$O$1512&lt;=VAL_DATE)+(COUNTIF('Dvd Calendar'!$E$1519:$AR$1519,'Dvd Calendar'!$O$1512)=0))&gt;0)=0,"",'Dvd Calendar'!$O$1512*1000000000+ISNUMBER('Dvd Calendar'!$O$1515)*100000000+('Dvd Calendar'!$O$1517=SPECIAL_LBL)*10000000+(N('Dvd Calendar'!$O$1511)&gt;0)*(N('Dvd Calendar'!$O$1511)&lt;=VAL_SERIAL)*1000000+37*1000+11))</f>
        <v/>
      </c>
      <c r="EP152" s="121">
        <f>IF(N('Dvd Calendar'!$P$1512)=0,"",IF(('Dvd Calendar'!$P$1512&gt;=GRID_FROM)*('Dvd Calendar'!$P$1512&lt;=GRID_TO)*((('Dvd Calendar'!$P$1512&lt;=VAL_DATE)+(COUNTIF('Dvd Calendar'!$E$1519:$AR$1519,'Dvd Calendar'!$P$1512)=0))&gt;0)=0,"",'Dvd Calendar'!$P$1512*1000000000+ISNUMBER('Dvd Calendar'!$P$1515)*100000000+('Dvd Calendar'!$P$1517=SPECIAL_LBL)*10000000+(N('Dvd Calendar'!$P$1511)&gt;0)*(N('Dvd Calendar'!$P$1511)&lt;=VAL_SERIAL)*1000000+37*1000+12))</f>
        <v/>
      </c>
      <c r="EQ152" s="121">
        <f>IF(N('Dvd Calendar'!$Q$1512)=0,"",IF(('Dvd Calendar'!$Q$1512&gt;=GRID_FROM)*('Dvd Calendar'!$Q$1512&lt;=GRID_TO)*((('Dvd Calendar'!$Q$1512&lt;=VAL_DATE)+(COUNTIF('Dvd Calendar'!$E$1519:$AR$1519,'Dvd Calendar'!$Q$1512)=0))&gt;0)=0,"",'Dvd Calendar'!$Q$1512*1000000000+ISNUMBER('Dvd Calendar'!$Q$1515)*100000000+('Dvd Calendar'!$Q$1517=SPECIAL_LBL)*10000000+(N('Dvd Calendar'!$Q$1511)&gt;0)*(N('Dvd Calendar'!$Q$1511)&lt;=VAL_SERIAL)*1000000+37*1000+13))</f>
        <v/>
      </c>
      <c r="ER152" s="121">
        <f>IF(N('Dvd Calendar'!$R$1512)=0,"",IF(('Dvd Calendar'!$R$1512&gt;=GRID_FROM)*('Dvd Calendar'!$R$1512&lt;=GRID_TO)*((('Dvd Calendar'!$R$1512&lt;=VAL_DATE)+(COUNTIF('Dvd Calendar'!$E$1519:$AR$1519,'Dvd Calendar'!$R$1512)=0))&gt;0)=0,"",'Dvd Calendar'!$R$1512*1000000000+ISNUMBER('Dvd Calendar'!$R$1515)*100000000+('Dvd Calendar'!$R$1517=SPECIAL_LBL)*10000000+(N('Dvd Calendar'!$R$1511)&gt;0)*(N('Dvd Calendar'!$R$1511)&lt;=VAL_SERIAL)*1000000+37*1000+14))</f>
        <v/>
      </c>
      <c r="ES152" s="121">
        <f>IF(N('Dvd Calendar'!$S$1512)=0,"",IF(('Dvd Calendar'!$S$1512&gt;=GRID_FROM)*('Dvd Calendar'!$S$1512&lt;=GRID_TO)*((('Dvd Calendar'!$S$1512&lt;=VAL_DATE)+(COUNTIF('Dvd Calendar'!$E$1519:$AR$1519,'Dvd Calendar'!$S$1512)=0))&gt;0)=0,"",'Dvd Calendar'!$S$1512*1000000000+ISNUMBER('Dvd Calendar'!$S$1515)*100000000+('Dvd Calendar'!$S$1517=SPECIAL_LBL)*10000000+(N('Dvd Calendar'!$S$1511)&gt;0)*(N('Dvd Calendar'!$S$1511)&lt;=VAL_SERIAL)*1000000+37*1000+15))</f>
        <v/>
      </c>
      <c r="ET152" s="121">
        <f>IF(N('Dvd Calendar'!$T$1512)=0,"",IF(('Dvd Calendar'!$T$1512&gt;=GRID_FROM)*('Dvd Calendar'!$T$1512&lt;=GRID_TO)*((('Dvd Calendar'!$T$1512&lt;=VAL_DATE)+(COUNTIF('Dvd Calendar'!$E$1519:$AR$1519,'Dvd Calendar'!$T$1512)=0))&gt;0)=0,"",'Dvd Calendar'!$T$1512*1000000000+ISNUMBER('Dvd Calendar'!$T$1515)*100000000+('Dvd Calendar'!$T$1517=SPECIAL_LBL)*10000000+(N('Dvd Calendar'!$T$1511)&gt;0)*(N('Dvd Calendar'!$T$1511)&lt;=VAL_SERIAL)*1000000+37*1000+16))</f>
        <v/>
      </c>
      <c r="EU152" s="121">
        <f>IF(N('Dvd Calendar'!$U$1512)=0,"",IF(('Dvd Calendar'!$U$1512&gt;=GRID_FROM)*('Dvd Calendar'!$U$1512&lt;=GRID_TO)*((('Dvd Calendar'!$U$1512&lt;=VAL_DATE)+(COUNTIF('Dvd Calendar'!$E$1519:$AR$1519,'Dvd Calendar'!$U$1512)=0))&gt;0)=0,"",'Dvd Calendar'!$U$1512*1000000000+ISNUMBER('Dvd Calendar'!$U$1515)*100000000+('Dvd Calendar'!$U$1517=SPECIAL_LBL)*10000000+(N('Dvd Calendar'!$U$1511)&gt;0)*(N('Dvd Calendar'!$U$1511)&lt;=VAL_SERIAL)*1000000+37*1000+17))</f>
        <v/>
      </c>
      <c r="EV152" s="121">
        <f>IF(N('Dvd Calendar'!$V$1512)=0,"",IF(('Dvd Calendar'!$V$1512&gt;=GRID_FROM)*('Dvd Calendar'!$V$1512&lt;=GRID_TO)*((('Dvd Calendar'!$V$1512&lt;=VAL_DATE)+(COUNTIF('Dvd Calendar'!$E$1519:$AR$1519,'Dvd Calendar'!$V$1512)=0))&gt;0)=0,"",'Dvd Calendar'!$V$1512*1000000000+ISNUMBER('Dvd Calendar'!$V$1515)*100000000+('Dvd Calendar'!$V$1517=SPECIAL_LBL)*10000000+(N('Dvd Calendar'!$V$1511)&gt;0)*(N('Dvd Calendar'!$V$1511)&lt;=VAL_SERIAL)*1000000+37*1000+18))</f>
        <v/>
      </c>
      <c r="EW152" s="121">
        <f>IF(N('Dvd Calendar'!$W$1512)=0,"",IF(('Dvd Calendar'!$W$1512&gt;=GRID_FROM)*('Dvd Calendar'!$W$1512&lt;=GRID_TO)*((('Dvd Calendar'!$W$1512&lt;=VAL_DATE)+(COUNTIF('Dvd Calendar'!$E$1519:$AR$1519,'Dvd Calendar'!$W$1512)=0))&gt;0)=0,"",'Dvd Calendar'!$W$1512*1000000000+ISNUMBER('Dvd Calendar'!$W$1515)*100000000+('Dvd Calendar'!$W$1517=SPECIAL_LBL)*10000000+(N('Dvd Calendar'!$W$1511)&gt;0)*(N('Dvd Calendar'!$W$1511)&lt;=VAL_SERIAL)*1000000+37*1000+19))</f>
        <v/>
      </c>
      <c r="EX152" s="121">
        <f>IF(N('Dvd Calendar'!$X$1512)=0,"",IF(('Dvd Calendar'!$X$1512&gt;=GRID_FROM)*('Dvd Calendar'!$X$1512&lt;=GRID_TO)*((('Dvd Calendar'!$X$1512&lt;=VAL_DATE)+(COUNTIF('Dvd Calendar'!$E$1519:$AR$1519,'Dvd Calendar'!$X$1512)=0))&gt;0)=0,"",'Dvd Calendar'!$X$1512*1000000000+ISNUMBER('Dvd Calendar'!$X$1515)*100000000+('Dvd Calendar'!$X$1517=SPECIAL_LBL)*10000000+(N('Dvd Calendar'!$X$1511)&gt;0)*(N('Dvd Calendar'!$X$1511)&lt;=VAL_SERIAL)*1000000+37*1000+20))</f>
        <v/>
      </c>
      <c r="EY152" s="121">
        <f>IF(N('Dvd Calendar'!$Y$1512)=0,"",IF(('Dvd Calendar'!$Y$1512&gt;=GRID_FROM)*('Dvd Calendar'!$Y$1512&lt;=GRID_TO)*((('Dvd Calendar'!$Y$1512&lt;=VAL_DATE)+(COUNTIF('Dvd Calendar'!$E$1519:$AR$1519,'Dvd Calendar'!$Y$1512)=0))&gt;0)=0,"",'Dvd Calendar'!$Y$1512*1000000000+ISNUMBER('Dvd Calendar'!$Y$1515)*100000000+('Dvd Calendar'!$Y$1517=SPECIAL_LBL)*10000000+(N('Dvd Calendar'!$Y$1511)&gt;0)*(N('Dvd Calendar'!$Y$1511)&lt;=VAL_SERIAL)*1000000+37*1000+21))</f>
        <v/>
      </c>
      <c r="EZ152" s="121">
        <f>IF(N('Dvd Calendar'!$Z$1512)=0,"",IF(('Dvd Calendar'!$Z$1512&gt;=GRID_FROM)*('Dvd Calendar'!$Z$1512&lt;=GRID_TO)*((('Dvd Calendar'!$Z$1512&lt;=VAL_DATE)+(COUNTIF('Dvd Calendar'!$E$1519:$AR$1519,'Dvd Calendar'!$Z$1512)=0))&gt;0)=0,"",'Dvd Calendar'!$Z$1512*1000000000+ISNUMBER('Dvd Calendar'!$Z$1515)*100000000+('Dvd Calendar'!$Z$1517=SPECIAL_LBL)*10000000+(N('Dvd Calendar'!$Z$1511)&gt;0)*(N('Dvd Calendar'!$Z$1511)&lt;=VAL_SERIAL)*1000000+37*1000+22))</f>
        <v/>
      </c>
      <c r="FA152" s="121">
        <f>IF(N('Dvd Calendar'!$AA$1512)=0,"",IF(('Dvd Calendar'!$AA$1512&gt;=GRID_FROM)*('Dvd Calendar'!$AA$1512&lt;=GRID_TO)*((('Dvd Calendar'!$AA$1512&lt;=VAL_DATE)+(COUNTIF('Dvd Calendar'!$E$1519:$AR$1519,'Dvd Calendar'!$AA$1512)=0))&gt;0)=0,"",'Dvd Calendar'!$AA$1512*1000000000+ISNUMBER('Dvd Calendar'!$AA$1515)*100000000+('Dvd Calendar'!$AA$1517=SPECIAL_LBL)*10000000+(N('Dvd Calendar'!$AA$1511)&gt;0)*(N('Dvd Calendar'!$AA$1511)&lt;=VAL_SERIAL)*1000000+37*1000+23))</f>
        <v/>
      </c>
      <c r="FB152" s="121">
        <f>IF(N('Dvd Calendar'!$AB$1512)=0,"",IF(('Dvd Calendar'!$AB$1512&gt;=GRID_FROM)*('Dvd Calendar'!$AB$1512&lt;=GRID_TO)*((('Dvd Calendar'!$AB$1512&lt;=VAL_DATE)+(COUNTIF('Dvd Calendar'!$E$1519:$AR$1519,'Dvd Calendar'!$AB$1512)=0))&gt;0)=0,"",'Dvd Calendar'!$AB$1512*1000000000+ISNUMBER('Dvd Calendar'!$AB$1515)*100000000+('Dvd Calendar'!$AB$1517=SPECIAL_LBL)*10000000+(N('Dvd Calendar'!$AB$1511)&gt;0)*(N('Dvd Calendar'!$AB$1511)&lt;=VAL_SERIAL)*1000000+37*1000+24))</f>
        <v/>
      </c>
      <c r="FC152" s="121">
        <f>IF(N('Dvd Calendar'!$AC$1512)=0,"",IF(('Dvd Calendar'!$AC$1512&gt;=GRID_FROM)*('Dvd Calendar'!$AC$1512&lt;=GRID_TO)*((('Dvd Calendar'!$AC$1512&lt;=VAL_DATE)+(COUNTIF('Dvd Calendar'!$E$1519:$AR$1519,'Dvd Calendar'!$AC$1512)=0))&gt;0)=0,"",'Dvd Calendar'!$AC$1512*1000000000+ISNUMBER('Dvd Calendar'!$AC$1515)*100000000+('Dvd Calendar'!$AC$1517=SPECIAL_LBL)*10000000+(N('Dvd Calendar'!$AC$1511)&gt;0)*(N('Dvd Calendar'!$AC$1511)&lt;=VAL_SERIAL)*1000000+37*1000+25))</f>
        <v/>
      </c>
      <c r="FD152" s="121">
        <f>IF(N('Dvd Calendar'!$AD$1512)=0,"",IF(('Dvd Calendar'!$AD$1512&gt;=GRID_FROM)*('Dvd Calendar'!$AD$1512&lt;=GRID_TO)*((('Dvd Calendar'!$AD$1512&lt;=VAL_DATE)+(COUNTIF('Dvd Calendar'!$E$1519:$AR$1519,'Dvd Calendar'!$AD$1512)=0))&gt;0)=0,"",'Dvd Calendar'!$AD$1512*1000000000+ISNUMBER('Dvd Calendar'!$AD$1515)*100000000+('Dvd Calendar'!$AD$1517=SPECIAL_LBL)*10000000+(N('Dvd Calendar'!$AD$1511)&gt;0)*(N('Dvd Calendar'!$AD$1511)&lt;=VAL_SERIAL)*1000000+37*1000+26))</f>
        <v/>
      </c>
      <c r="FE152" s="121">
        <f>IF(N('Dvd Calendar'!$AE$1512)=0,"",IF(('Dvd Calendar'!$AE$1512&gt;=GRID_FROM)*('Dvd Calendar'!$AE$1512&lt;=GRID_TO)*((('Dvd Calendar'!$AE$1512&lt;=VAL_DATE)+(COUNTIF('Dvd Calendar'!$E$1519:$AR$1519,'Dvd Calendar'!$AE$1512)=0))&gt;0)=0,"",'Dvd Calendar'!$AE$1512*1000000000+ISNUMBER('Dvd Calendar'!$AE$1515)*100000000+('Dvd Calendar'!$AE$1517=SPECIAL_LBL)*10000000+(N('Dvd Calendar'!$AE$1511)&gt;0)*(N('Dvd Calendar'!$AE$1511)&lt;=VAL_SERIAL)*1000000+37*1000+27))</f>
        <v/>
      </c>
      <c r="FF152" s="121">
        <f>IF(N('Dvd Calendar'!$AF$1512)=0,"",IF(('Dvd Calendar'!$AF$1512&gt;=GRID_FROM)*('Dvd Calendar'!$AF$1512&lt;=GRID_TO)*((('Dvd Calendar'!$AF$1512&lt;=VAL_DATE)+(COUNTIF('Dvd Calendar'!$E$1519:$AR$1519,'Dvd Calendar'!$AF$1512)=0))&gt;0)=0,"",'Dvd Calendar'!$AF$1512*1000000000+ISNUMBER('Dvd Calendar'!$AF$1515)*100000000+('Dvd Calendar'!$AF$1517=SPECIAL_LBL)*10000000+(N('Dvd Calendar'!$AF$1511)&gt;0)*(N('Dvd Calendar'!$AF$1511)&lt;=VAL_SERIAL)*1000000+37*1000+28))</f>
        <v/>
      </c>
      <c r="FG152" s="121">
        <f>IF(N('Dvd Calendar'!$AG$1512)=0,"",IF(('Dvd Calendar'!$AG$1512&gt;=GRID_FROM)*('Dvd Calendar'!$AG$1512&lt;=GRID_TO)*((('Dvd Calendar'!$AG$1512&lt;=VAL_DATE)+(COUNTIF('Dvd Calendar'!$E$1519:$AR$1519,'Dvd Calendar'!$AG$1512)=0))&gt;0)=0,"",'Dvd Calendar'!$AG$1512*1000000000+ISNUMBER('Dvd Calendar'!$AG$1515)*100000000+('Dvd Calendar'!$AG$1517=SPECIAL_LBL)*10000000+(N('Dvd Calendar'!$AG$1511)&gt;0)*(N('Dvd Calendar'!$AG$1511)&lt;=VAL_SERIAL)*1000000+37*1000+29))</f>
        <v/>
      </c>
      <c r="FH152" s="121">
        <f>IF(N('Dvd Calendar'!$AH$1512)=0,"",IF(('Dvd Calendar'!$AH$1512&gt;=GRID_FROM)*('Dvd Calendar'!$AH$1512&lt;=GRID_TO)*((('Dvd Calendar'!$AH$1512&lt;=VAL_DATE)+(COUNTIF('Dvd Calendar'!$E$1519:$AR$1519,'Dvd Calendar'!$AH$1512)=0))&gt;0)=0,"",'Dvd Calendar'!$AH$1512*1000000000+ISNUMBER('Dvd Calendar'!$AH$1515)*100000000+('Dvd Calendar'!$AH$1517=SPECIAL_LBL)*10000000+(N('Dvd Calendar'!$AH$1511)&gt;0)*(N('Dvd Calendar'!$AH$1511)&lt;=VAL_SERIAL)*1000000+37*1000+30))</f>
        <v/>
      </c>
      <c r="FI152" s="121">
        <f>IF(N('Dvd Calendar'!$AI$1512)=0,"",IF(('Dvd Calendar'!$AI$1512&gt;=GRID_FROM)*('Dvd Calendar'!$AI$1512&lt;=GRID_TO)*((('Dvd Calendar'!$AI$1512&lt;=VAL_DATE)+(COUNTIF('Dvd Calendar'!$E$1519:$AR$1519,'Dvd Calendar'!$AI$1512)=0))&gt;0)=0,"",'Dvd Calendar'!$AI$1512*1000000000+ISNUMBER('Dvd Calendar'!$AI$1515)*100000000+('Dvd Calendar'!$AI$1517=SPECIAL_LBL)*10000000+(N('Dvd Calendar'!$AI$1511)&gt;0)*(N('Dvd Calendar'!$AI$1511)&lt;=VAL_SERIAL)*1000000+37*1000+31))</f>
        <v/>
      </c>
      <c r="FJ152" s="121">
        <f>IF(N('Dvd Calendar'!$AJ$1512)=0,"",IF(('Dvd Calendar'!$AJ$1512&gt;=GRID_FROM)*('Dvd Calendar'!$AJ$1512&lt;=GRID_TO)*((('Dvd Calendar'!$AJ$1512&lt;=VAL_DATE)+(COUNTIF('Dvd Calendar'!$E$1519:$AR$1519,'Dvd Calendar'!$AJ$1512)=0))&gt;0)=0,"",'Dvd Calendar'!$AJ$1512*1000000000+ISNUMBER('Dvd Calendar'!$AJ$1515)*100000000+('Dvd Calendar'!$AJ$1517=SPECIAL_LBL)*10000000+(N('Dvd Calendar'!$AJ$1511)&gt;0)*(N('Dvd Calendar'!$AJ$1511)&lt;=VAL_SERIAL)*1000000+37*1000+32))</f>
        <v/>
      </c>
      <c r="FK152" s="121">
        <f>IF(N('Dvd Calendar'!$AK$1512)=0,"",IF(('Dvd Calendar'!$AK$1512&gt;=GRID_FROM)*('Dvd Calendar'!$AK$1512&lt;=GRID_TO)*((('Dvd Calendar'!$AK$1512&lt;=VAL_DATE)+(COUNTIF('Dvd Calendar'!$E$1519:$AR$1519,'Dvd Calendar'!$AK$1512)=0))&gt;0)=0,"",'Dvd Calendar'!$AK$1512*1000000000+ISNUMBER('Dvd Calendar'!$AK$1515)*100000000+('Dvd Calendar'!$AK$1517=SPECIAL_LBL)*10000000+(N('Dvd Calendar'!$AK$1511)&gt;0)*(N('Dvd Calendar'!$AK$1511)&lt;=VAL_SERIAL)*1000000+37*1000+33))</f>
        <v/>
      </c>
      <c r="FL152" s="121">
        <f>IF(N('Dvd Calendar'!$AL$1512)=0,"",IF(('Dvd Calendar'!$AL$1512&gt;=GRID_FROM)*('Dvd Calendar'!$AL$1512&lt;=GRID_TO)*((('Dvd Calendar'!$AL$1512&lt;=VAL_DATE)+(COUNTIF('Dvd Calendar'!$E$1519:$AR$1519,'Dvd Calendar'!$AL$1512)=0))&gt;0)=0,"",'Dvd Calendar'!$AL$1512*1000000000+ISNUMBER('Dvd Calendar'!$AL$1515)*100000000+('Dvd Calendar'!$AL$1517=SPECIAL_LBL)*10000000+(N('Dvd Calendar'!$AL$1511)&gt;0)*(N('Dvd Calendar'!$AL$1511)&lt;=VAL_SERIAL)*1000000+37*1000+34))</f>
        <v/>
      </c>
      <c r="FM152" s="121">
        <f>IF(N('Dvd Calendar'!$AM$1512)=0,"",IF(('Dvd Calendar'!$AM$1512&gt;=GRID_FROM)*('Dvd Calendar'!$AM$1512&lt;=GRID_TO)*((('Dvd Calendar'!$AM$1512&lt;=VAL_DATE)+(COUNTIF('Dvd Calendar'!$E$1519:$AR$1519,'Dvd Calendar'!$AM$1512)=0))&gt;0)=0,"",'Dvd Calendar'!$AM$1512*1000000000+ISNUMBER('Dvd Calendar'!$AM$1515)*100000000+('Dvd Calendar'!$AM$1517=SPECIAL_LBL)*10000000+(N('Dvd Calendar'!$AM$1511)&gt;0)*(N('Dvd Calendar'!$AM$1511)&lt;=VAL_SERIAL)*1000000+37*1000+35))</f>
        <v/>
      </c>
      <c r="FN152" s="121">
        <f>IF(N('Dvd Calendar'!$AN$1512)=0,"",IF(('Dvd Calendar'!$AN$1512&gt;=GRID_FROM)*('Dvd Calendar'!$AN$1512&lt;=GRID_TO)*((('Dvd Calendar'!$AN$1512&lt;=VAL_DATE)+(COUNTIF('Dvd Calendar'!$E$1519:$AR$1519,'Dvd Calendar'!$AN$1512)=0))&gt;0)=0,"",'Dvd Calendar'!$AN$1512*1000000000+ISNUMBER('Dvd Calendar'!$AN$1515)*100000000+('Dvd Calendar'!$AN$1517=SPECIAL_LBL)*10000000+(N('Dvd Calendar'!$AN$1511)&gt;0)*(N('Dvd Calendar'!$AN$1511)&lt;=VAL_SERIAL)*1000000+37*1000+36))</f>
        <v/>
      </c>
      <c r="FO152" s="121">
        <f>IF(N('Dvd Calendar'!$AO$1512)=0,"",IF(('Dvd Calendar'!$AO$1512&gt;=GRID_FROM)*('Dvd Calendar'!$AO$1512&lt;=GRID_TO)*((('Dvd Calendar'!$AO$1512&lt;=VAL_DATE)+(COUNTIF('Dvd Calendar'!$E$1519:$AR$1519,'Dvd Calendar'!$AO$1512)=0))&gt;0)=0,"",'Dvd Calendar'!$AO$1512*1000000000+ISNUMBER('Dvd Calendar'!$AO$1515)*100000000+('Dvd Calendar'!$AO$1517=SPECIAL_LBL)*10000000+(N('Dvd Calendar'!$AO$1511)&gt;0)*(N('Dvd Calendar'!$AO$1511)&lt;=VAL_SERIAL)*1000000+37*1000+37))</f>
        <v/>
      </c>
      <c r="FP152" s="121">
        <f>IF(N('Dvd Calendar'!$AP$1512)=0,"",IF(('Dvd Calendar'!$AP$1512&gt;=GRID_FROM)*('Dvd Calendar'!$AP$1512&lt;=GRID_TO)*((('Dvd Calendar'!$AP$1512&lt;=VAL_DATE)+(COUNTIF('Dvd Calendar'!$E$1519:$AR$1519,'Dvd Calendar'!$AP$1512)=0))&gt;0)=0,"",'Dvd Calendar'!$AP$1512*1000000000+ISNUMBER('Dvd Calendar'!$AP$1515)*100000000+('Dvd Calendar'!$AP$1517=SPECIAL_LBL)*10000000+(N('Dvd Calendar'!$AP$1511)&gt;0)*(N('Dvd Calendar'!$AP$1511)&lt;=VAL_SERIAL)*1000000+37*1000+38))</f>
        <v/>
      </c>
      <c r="FQ152" s="121">
        <f>IF(N('Dvd Calendar'!$AQ$1512)=0,"",IF(('Dvd Calendar'!$AQ$1512&gt;=GRID_FROM)*('Dvd Calendar'!$AQ$1512&lt;=GRID_TO)*((('Dvd Calendar'!$AQ$1512&lt;=VAL_DATE)+(COUNTIF('Dvd Calendar'!$E$1519:$AR$1519,'Dvd Calendar'!$AQ$1512)=0))&gt;0)=0,"",'Dvd Calendar'!$AQ$1512*1000000000+ISNUMBER('Dvd Calendar'!$AQ$1515)*100000000+('Dvd Calendar'!$AQ$1517=SPECIAL_LBL)*10000000+(N('Dvd Calendar'!$AQ$1511)&gt;0)*(N('Dvd Calendar'!$AQ$1511)&lt;=VAL_SERIAL)*1000000+37*1000+39))</f>
        <v/>
      </c>
      <c r="FR152" s="121">
        <f>IF(N('Dvd Calendar'!$AR$1512)=0,"",IF(('Dvd Calendar'!$AR$1512&gt;=GRID_FROM)*('Dvd Calendar'!$AR$1512&lt;=GRID_TO)*((('Dvd Calendar'!$AR$1512&lt;=VAL_DATE)+(COUNTIF('Dvd Calendar'!$E$1519:$AR$1519,'Dvd Calendar'!$AR$1512)=0))&gt;0)=0,"",'Dvd Calendar'!$AR$1512*1000000000+ISNUMBER('Dvd Calendar'!$AR$1515)*100000000+('Dvd Calendar'!$AR$1517=SPECIAL_LBL)*10000000+(N('Dvd Calendar'!$AR$1511)&gt;0)*(N('Dvd Calendar'!$AR$1511)&lt;=VAL_SERIAL)*1000000+37*1000+40))</f>
        <v/>
      </c>
      <c r="FS152" s="121">
        <f>IF(N('Dvd Calendar'!$E$1519)=0,"",IF(('Dvd Calendar'!$E$1519&gt;=GRID_FROM)*('Dvd Calendar'!$E$1519&lt;=GRID_TO)*('Dvd Calendar'!$E$1519&gt;VAL_DATE)=0,"",'Dvd Calendar'!$E$1519*1000000000+ISNUMBER('Dvd Calendar'!$E$1520)*100000000+0*10000000+(N('Dvd Calendar'!$E$1518)&gt;0)*(N('Dvd Calendar'!$E$1518)&lt;=VAL_SERIAL)*1000000+37*1000+41))</f>
        <v/>
      </c>
      <c r="FT152" s="121">
        <f>IF(N('Dvd Calendar'!$F$1519)=0,"",IF(('Dvd Calendar'!$F$1519&gt;=GRID_FROM)*('Dvd Calendar'!$F$1519&lt;=GRID_TO)*('Dvd Calendar'!$F$1519&gt;VAL_DATE)=0,"",'Dvd Calendar'!$F$1519*1000000000+ISNUMBER('Dvd Calendar'!$F$1520)*100000000+0*10000000+(N('Dvd Calendar'!$F$1518)&gt;0)*(N('Dvd Calendar'!$F$1518)&lt;=VAL_SERIAL)*1000000+37*1000+42))</f>
        <v/>
      </c>
      <c r="FU152" s="121">
        <f>IF(N('Dvd Calendar'!$G$1519)=0,"",IF(('Dvd Calendar'!$G$1519&gt;=GRID_FROM)*('Dvd Calendar'!$G$1519&lt;=GRID_TO)*('Dvd Calendar'!$G$1519&gt;VAL_DATE)=0,"",'Dvd Calendar'!$G$1519*1000000000+ISNUMBER('Dvd Calendar'!$G$1520)*100000000+0*10000000+(N('Dvd Calendar'!$G$1518)&gt;0)*(N('Dvd Calendar'!$G$1518)&lt;=VAL_SERIAL)*1000000+37*1000+43))</f>
        <v/>
      </c>
      <c r="FV152" s="121">
        <f>IF(N('Dvd Calendar'!$H$1519)=0,"",IF(('Dvd Calendar'!$H$1519&gt;=GRID_FROM)*('Dvd Calendar'!$H$1519&lt;=GRID_TO)*('Dvd Calendar'!$H$1519&gt;VAL_DATE)=0,"",'Dvd Calendar'!$H$1519*1000000000+ISNUMBER('Dvd Calendar'!$H$1520)*100000000+0*10000000+(N('Dvd Calendar'!$H$1518)&gt;0)*(N('Dvd Calendar'!$H$1518)&lt;=VAL_SERIAL)*1000000+37*1000+44))</f>
        <v/>
      </c>
      <c r="FW152" s="121">
        <f>IF(N('Dvd Calendar'!$I$1519)=0,"",IF(('Dvd Calendar'!$I$1519&gt;=GRID_FROM)*('Dvd Calendar'!$I$1519&lt;=GRID_TO)*('Dvd Calendar'!$I$1519&gt;VAL_DATE)=0,"",'Dvd Calendar'!$I$1519*1000000000+ISNUMBER('Dvd Calendar'!$I$1520)*100000000+0*10000000+(N('Dvd Calendar'!$I$1518)&gt;0)*(N('Dvd Calendar'!$I$1518)&lt;=VAL_SERIAL)*1000000+37*1000+45))</f>
        <v/>
      </c>
      <c r="FX152" s="121">
        <f>IF(N('Dvd Calendar'!$J$1519)=0,"",IF(('Dvd Calendar'!$J$1519&gt;=GRID_FROM)*('Dvd Calendar'!$J$1519&lt;=GRID_TO)*('Dvd Calendar'!$J$1519&gt;VAL_DATE)=0,"",'Dvd Calendar'!$J$1519*1000000000+ISNUMBER('Dvd Calendar'!$J$1520)*100000000+0*10000000+(N('Dvd Calendar'!$J$1518)&gt;0)*(N('Dvd Calendar'!$J$1518)&lt;=VAL_SERIAL)*1000000+37*1000+46))</f>
        <v/>
      </c>
      <c r="FY152" s="121">
        <f>IF(N('Dvd Calendar'!$K$1519)=0,"",IF(('Dvd Calendar'!$K$1519&gt;=GRID_FROM)*('Dvd Calendar'!$K$1519&lt;=GRID_TO)*('Dvd Calendar'!$K$1519&gt;VAL_DATE)=0,"",'Dvd Calendar'!$K$1519*1000000000+ISNUMBER('Dvd Calendar'!$K$1520)*100000000+0*10000000+(N('Dvd Calendar'!$K$1518)&gt;0)*(N('Dvd Calendar'!$K$1518)&lt;=VAL_SERIAL)*1000000+37*1000+47))</f>
        <v/>
      </c>
      <c r="FZ152" s="121">
        <f>IF(N('Dvd Calendar'!$L$1519)=0,"",IF(('Dvd Calendar'!$L$1519&gt;=GRID_FROM)*('Dvd Calendar'!$L$1519&lt;=GRID_TO)*('Dvd Calendar'!$L$1519&gt;VAL_DATE)=0,"",'Dvd Calendar'!$L$1519*1000000000+ISNUMBER('Dvd Calendar'!$L$1520)*100000000+0*10000000+(N('Dvd Calendar'!$L$1518)&gt;0)*(N('Dvd Calendar'!$L$1518)&lt;=VAL_SERIAL)*1000000+37*1000+48))</f>
        <v/>
      </c>
      <c r="GA152" s="121">
        <f>IF(N('Dvd Calendar'!$M$1519)=0,"",IF(('Dvd Calendar'!$M$1519&gt;=GRID_FROM)*('Dvd Calendar'!$M$1519&lt;=GRID_TO)*('Dvd Calendar'!$M$1519&gt;VAL_DATE)=0,"",'Dvd Calendar'!$M$1519*1000000000+ISNUMBER('Dvd Calendar'!$M$1520)*100000000+0*10000000+(N('Dvd Calendar'!$M$1518)&gt;0)*(N('Dvd Calendar'!$M$1518)&lt;=VAL_SERIAL)*1000000+37*1000+49))</f>
        <v/>
      </c>
      <c r="GB152" s="121">
        <f>IF(N('Dvd Calendar'!$N$1519)=0,"",IF(('Dvd Calendar'!$N$1519&gt;=GRID_FROM)*('Dvd Calendar'!$N$1519&lt;=GRID_TO)*('Dvd Calendar'!$N$1519&gt;VAL_DATE)=0,"",'Dvd Calendar'!$N$1519*1000000000+ISNUMBER('Dvd Calendar'!$N$1520)*100000000+0*10000000+(N('Dvd Calendar'!$N$1518)&gt;0)*(N('Dvd Calendar'!$N$1518)&lt;=VAL_SERIAL)*1000000+37*1000+50))</f>
        <v/>
      </c>
      <c r="GC152" s="121">
        <f>IF(N('Dvd Calendar'!$O$1519)=0,"",IF(('Dvd Calendar'!$O$1519&gt;=GRID_FROM)*('Dvd Calendar'!$O$1519&lt;=GRID_TO)*('Dvd Calendar'!$O$1519&gt;VAL_DATE)=0,"",'Dvd Calendar'!$O$1519*1000000000+ISNUMBER('Dvd Calendar'!$O$1520)*100000000+0*10000000+(N('Dvd Calendar'!$O$1518)&gt;0)*(N('Dvd Calendar'!$O$1518)&lt;=VAL_SERIAL)*1000000+37*1000+51))</f>
        <v/>
      </c>
      <c r="GD152" s="121">
        <f>IF(N('Dvd Calendar'!$P$1519)=0,"",IF(('Dvd Calendar'!$P$1519&gt;=GRID_FROM)*('Dvd Calendar'!$P$1519&lt;=GRID_TO)*('Dvd Calendar'!$P$1519&gt;VAL_DATE)=0,"",'Dvd Calendar'!$P$1519*1000000000+ISNUMBER('Dvd Calendar'!$P$1520)*100000000+0*10000000+(N('Dvd Calendar'!$P$1518)&gt;0)*(N('Dvd Calendar'!$P$1518)&lt;=VAL_SERIAL)*1000000+37*1000+52))</f>
        <v/>
      </c>
      <c r="GE152" s="121">
        <f>IF(N('Dvd Calendar'!$Q$1519)=0,"",IF(('Dvd Calendar'!$Q$1519&gt;=GRID_FROM)*('Dvd Calendar'!$Q$1519&lt;=GRID_TO)*('Dvd Calendar'!$Q$1519&gt;VAL_DATE)=0,"",'Dvd Calendar'!$Q$1519*1000000000+ISNUMBER('Dvd Calendar'!$Q$1520)*100000000+0*10000000+(N('Dvd Calendar'!$Q$1518)&gt;0)*(N('Dvd Calendar'!$Q$1518)&lt;=VAL_SERIAL)*1000000+37*1000+53))</f>
        <v/>
      </c>
      <c r="GF152" s="121">
        <f>IF(N('Dvd Calendar'!$R$1519)=0,"",IF(('Dvd Calendar'!$R$1519&gt;=GRID_FROM)*('Dvd Calendar'!$R$1519&lt;=GRID_TO)*('Dvd Calendar'!$R$1519&gt;VAL_DATE)=0,"",'Dvd Calendar'!$R$1519*1000000000+ISNUMBER('Dvd Calendar'!$R$1520)*100000000+0*10000000+(N('Dvd Calendar'!$R$1518)&gt;0)*(N('Dvd Calendar'!$R$1518)&lt;=VAL_SERIAL)*1000000+37*1000+54))</f>
        <v/>
      </c>
      <c r="GG152" s="121">
        <f>IF(N('Dvd Calendar'!$S$1519)=0,"",IF(('Dvd Calendar'!$S$1519&gt;=GRID_FROM)*('Dvd Calendar'!$S$1519&lt;=GRID_TO)*('Dvd Calendar'!$S$1519&gt;VAL_DATE)=0,"",'Dvd Calendar'!$S$1519*1000000000+ISNUMBER('Dvd Calendar'!$S$1520)*100000000+0*10000000+(N('Dvd Calendar'!$S$1518)&gt;0)*(N('Dvd Calendar'!$S$1518)&lt;=VAL_SERIAL)*1000000+37*1000+55))</f>
        <v/>
      </c>
      <c r="GH152" s="121">
        <f>IF(N('Dvd Calendar'!$T$1519)=0,"",IF(('Dvd Calendar'!$T$1519&gt;=GRID_FROM)*('Dvd Calendar'!$T$1519&lt;=GRID_TO)*('Dvd Calendar'!$T$1519&gt;VAL_DATE)=0,"",'Dvd Calendar'!$T$1519*1000000000+ISNUMBER('Dvd Calendar'!$T$1520)*100000000+0*10000000+(N('Dvd Calendar'!$T$1518)&gt;0)*(N('Dvd Calendar'!$T$1518)&lt;=VAL_SERIAL)*1000000+37*1000+56))</f>
        <v/>
      </c>
      <c r="GI152" s="121">
        <f>IF(N('Dvd Calendar'!$U$1519)=0,"",IF(('Dvd Calendar'!$U$1519&gt;=GRID_FROM)*('Dvd Calendar'!$U$1519&lt;=GRID_TO)*('Dvd Calendar'!$U$1519&gt;VAL_DATE)=0,"",'Dvd Calendar'!$U$1519*1000000000+ISNUMBER('Dvd Calendar'!$U$1520)*100000000+0*10000000+(N('Dvd Calendar'!$U$1518)&gt;0)*(N('Dvd Calendar'!$U$1518)&lt;=VAL_SERIAL)*1000000+37*1000+57))</f>
        <v/>
      </c>
      <c r="GJ152" s="121">
        <f>IF(N('Dvd Calendar'!$V$1519)=0,"",IF(('Dvd Calendar'!$V$1519&gt;=GRID_FROM)*('Dvd Calendar'!$V$1519&lt;=GRID_TO)*('Dvd Calendar'!$V$1519&gt;VAL_DATE)=0,"",'Dvd Calendar'!$V$1519*1000000000+ISNUMBER('Dvd Calendar'!$V$1520)*100000000+0*10000000+(N('Dvd Calendar'!$V$1518)&gt;0)*(N('Dvd Calendar'!$V$1518)&lt;=VAL_SERIAL)*1000000+37*1000+58))</f>
        <v/>
      </c>
      <c r="GK152" s="121">
        <f>IF(N('Dvd Calendar'!$W$1519)=0,"",IF(('Dvd Calendar'!$W$1519&gt;=GRID_FROM)*('Dvd Calendar'!$W$1519&lt;=GRID_TO)*('Dvd Calendar'!$W$1519&gt;VAL_DATE)=0,"",'Dvd Calendar'!$W$1519*1000000000+ISNUMBER('Dvd Calendar'!$W$1520)*100000000+0*10000000+(N('Dvd Calendar'!$W$1518)&gt;0)*(N('Dvd Calendar'!$W$1518)&lt;=VAL_SERIAL)*1000000+37*1000+59))</f>
        <v/>
      </c>
      <c r="GL152" s="121">
        <f>IF(N('Dvd Calendar'!$X$1519)=0,"",IF(('Dvd Calendar'!$X$1519&gt;=GRID_FROM)*('Dvd Calendar'!$X$1519&lt;=GRID_TO)*('Dvd Calendar'!$X$1519&gt;VAL_DATE)=0,"",'Dvd Calendar'!$X$1519*1000000000+ISNUMBER('Dvd Calendar'!$X$1520)*100000000+0*10000000+(N('Dvd Calendar'!$X$1518)&gt;0)*(N('Dvd Calendar'!$X$1518)&lt;=VAL_SERIAL)*1000000+37*1000+60))</f>
        <v/>
      </c>
      <c r="GM152" s="121">
        <f>IF(N('Dvd Calendar'!$Y$1519)=0,"",IF(('Dvd Calendar'!$Y$1519&gt;=GRID_FROM)*('Dvd Calendar'!$Y$1519&lt;=GRID_TO)*('Dvd Calendar'!$Y$1519&gt;VAL_DATE)=0,"",'Dvd Calendar'!$Y$1519*1000000000+ISNUMBER('Dvd Calendar'!$Y$1520)*100000000+0*10000000+(N('Dvd Calendar'!$Y$1518)&gt;0)*(N('Dvd Calendar'!$Y$1518)&lt;=VAL_SERIAL)*1000000+37*1000+61))</f>
        <v/>
      </c>
      <c r="GN152" s="121">
        <f>IF(N('Dvd Calendar'!$Z$1519)=0,"",IF(('Dvd Calendar'!$Z$1519&gt;=GRID_FROM)*('Dvd Calendar'!$Z$1519&lt;=GRID_TO)*('Dvd Calendar'!$Z$1519&gt;VAL_DATE)=0,"",'Dvd Calendar'!$Z$1519*1000000000+ISNUMBER('Dvd Calendar'!$Z$1520)*100000000+0*10000000+(N('Dvd Calendar'!$Z$1518)&gt;0)*(N('Dvd Calendar'!$Z$1518)&lt;=VAL_SERIAL)*1000000+37*1000+62))</f>
        <v/>
      </c>
      <c r="GO152" s="121">
        <f>IF(N('Dvd Calendar'!$AA$1519)=0,"",IF(('Dvd Calendar'!$AA$1519&gt;=GRID_FROM)*('Dvd Calendar'!$AA$1519&lt;=GRID_TO)*('Dvd Calendar'!$AA$1519&gt;VAL_DATE)=0,"",'Dvd Calendar'!$AA$1519*1000000000+ISNUMBER('Dvd Calendar'!$AA$1520)*100000000+0*10000000+(N('Dvd Calendar'!$AA$1518)&gt;0)*(N('Dvd Calendar'!$AA$1518)&lt;=VAL_SERIAL)*1000000+37*1000+63))</f>
        <v/>
      </c>
      <c r="GP152" s="121">
        <f>IF(N('Dvd Calendar'!$AB$1519)=0,"",IF(('Dvd Calendar'!$AB$1519&gt;=GRID_FROM)*('Dvd Calendar'!$AB$1519&lt;=GRID_TO)*('Dvd Calendar'!$AB$1519&gt;VAL_DATE)=0,"",'Dvd Calendar'!$AB$1519*1000000000+ISNUMBER('Dvd Calendar'!$AB$1520)*100000000+0*10000000+(N('Dvd Calendar'!$AB$1518)&gt;0)*(N('Dvd Calendar'!$AB$1518)&lt;=VAL_SERIAL)*1000000+37*1000+64))</f>
        <v/>
      </c>
      <c r="GQ152" s="121">
        <f>IF(N('Dvd Calendar'!$AC$1519)=0,"",IF(('Dvd Calendar'!$AC$1519&gt;=GRID_FROM)*('Dvd Calendar'!$AC$1519&lt;=GRID_TO)*('Dvd Calendar'!$AC$1519&gt;VAL_DATE)=0,"",'Dvd Calendar'!$AC$1519*1000000000+ISNUMBER('Dvd Calendar'!$AC$1520)*100000000+0*10000000+(N('Dvd Calendar'!$AC$1518)&gt;0)*(N('Dvd Calendar'!$AC$1518)&lt;=VAL_SERIAL)*1000000+37*1000+65))</f>
        <v/>
      </c>
    </row>
    <row r="153">
      <c r="B153" s="2">
        <f>IF(HSTECH!$C$44="","",HSTECH!$C$44)</f>
        <v/>
      </c>
      <c r="C153" s="161">
        <f>IF(EE153="","",IF(ISNUMBER('Dvd Calendar'!$E$1526)=FALSE,"",IF((('Dvd Calendar'!$E$1528=TYPE1)*(TYPE1&lt;&gt;"")+('Dvd Calendar'!$E$1528=TYPE2)*(TYPE2&lt;&gt;"")+('Dvd Calendar'!$E$1528=TYPE3)*(TYPE3&lt;&gt;"")+('Dvd Calendar'!$E$1528=TYPE4)*(TYPE4&lt;&gt;"")+('Dvd Calendar'!$E$1528=SPECIAL_LBL)*(INC_SPECIALS="Y"))=0,"",'Dvd Calendar'!$E$1526)))</f>
        <v/>
      </c>
      <c r="D153" s="161">
        <f>IF(EF153="","",IF(ISNUMBER('Dvd Calendar'!$F$1526)=FALSE,"",IF((('Dvd Calendar'!$F$1528=TYPE1)*(TYPE1&lt;&gt;"")+('Dvd Calendar'!$F$1528=TYPE2)*(TYPE2&lt;&gt;"")+('Dvd Calendar'!$F$1528=TYPE3)*(TYPE3&lt;&gt;"")+('Dvd Calendar'!$F$1528=TYPE4)*(TYPE4&lt;&gt;"")+('Dvd Calendar'!$F$1528=SPECIAL_LBL)*(INC_SPECIALS="Y"))=0,"",'Dvd Calendar'!$F$1526)))</f>
        <v/>
      </c>
      <c r="E153" s="161">
        <f>IF(EG153="","",IF(ISNUMBER('Dvd Calendar'!$G$1526)=FALSE,"",IF((('Dvd Calendar'!$G$1528=TYPE1)*(TYPE1&lt;&gt;"")+('Dvd Calendar'!$G$1528=TYPE2)*(TYPE2&lt;&gt;"")+('Dvd Calendar'!$G$1528=TYPE3)*(TYPE3&lt;&gt;"")+('Dvd Calendar'!$G$1528=TYPE4)*(TYPE4&lt;&gt;"")+('Dvd Calendar'!$G$1528=SPECIAL_LBL)*(INC_SPECIALS="Y"))=0,"",'Dvd Calendar'!$G$1526)))</f>
        <v/>
      </c>
      <c r="F153" s="161">
        <f>IF(EH153="","",IF(ISNUMBER('Dvd Calendar'!$H$1526)=FALSE,"",IF((('Dvd Calendar'!$H$1528=TYPE1)*(TYPE1&lt;&gt;"")+('Dvd Calendar'!$H$1528=TYPE2)*(TYPE2&lt;&gt;"")+('Dvd Calendar'!$H$1528=TYPE3)*(TYPE3&lt;&gt;"")+('Dvd Calendar'!$H$1528=TYPE4)*(TYPE4&lt;&gt;"")+('Dvd Calendar'!$H$1528=SPECIAL_LBL)*(INC_SPECIALS="Y"))=0,"",'Dvd Calendar'!$H$1526)))</f>
        <v/>
      </c>
      <c r="G153" s="161">
        <f>IF(EI153="","",IF(ISNUMBER('Dvd Calendar'!$I$1526)=FALSE,"",IF((('Dvd Calendar'!$I$1528=TYPE1)*(TYPE1&lt;&gt;"")+('Dvd Calendar'!$I$1528=TYPE2)*(TYPE2&lt;&gt;"")+('Dvd Calendar'!$I$1528=TYPE3)*(TYPE3&lt;&gt;"")+('Dvd Calendar'!$I$1528=TYPE4)*(TYPE4&lt;&gt;"")+('Dvd Calendar'!$I$1528=SPECIAL_LBL)*(INC_SPECIALS="Y"))=0,"",'Dvd Calendar'!$I$1526)))</f>
        <v/>
      </c>
      <c r="H153" s="161">
        <f>IF(EJ153="","",IF(ISNUMBER('Dvd Calendar'!$J$1526)=FALSE,"",IF((('Dvd Calendar'!$J$1528=TYPE1)*(TYPE1&lt;&gt;"")+('Dvd Calendar'!$J$1528=TYPE2)*(TYPE2&lt;&gt;"")+('Dvd Calendar'!$J$1528=TYPE3)*(TYPE3&lt;&gt;"")+('Dvd Calendar'!$J$1528=TYPE4)*(TYPE4&lt;&gt;"")+('Dvd Calendar'!$J$1528=SPECIAL_LBL)*(INC_SPECIALS="Y"))=0,"",'Dvd Calendar'!$J$1526)))</f>
        <v/>
      </c>
      <c r="I153" s="161">
        <f>IF(EK153="","",IF(ISNUMBER('Dvd Calendar'!$K$1526)=FALSE,"",IF((('Dvd Calendar'!$K$1528=TYPE1)*(TYPE1&lt;&gt;"")+('Dvd Calendar'!$K$1528=TYPE2)*(TYPE2&lt;&gt;"")+('Dvd Calendar'!$K$1528=TYPE3)*(TYPE3&lt;&gt;"")+('Dvd Calendar'!$K$1528=TYPE4)*(TYPE4&lt;&gt;"")+('Dvd Calendar'!$K$1528=SPECIAL_LBL)*(INC_SPECIALS="Y"))=0,"",'Dvd Calendar'!$K$1526)))</f>
        <v/>
      </c>
      <c r="J153" s="161">
        <f>IF(EL153="","",IF(ISNUMBER('Dvd Calendar'!$L$1526)=FALSE,"",IF((('Dvd Calendar'!$L$1528=TYPE1)*(TYPE1&lt;&gt;"")+('Dvd Calendar'!$L$1528=TYPE2)*(TYPE2&lt;&gt;"")+('Dvd Calendar'!$L$1528=TYPE3)*(TYPE3&lt;&gt;"")+('Dvd Calendar'!$L$1528=TYPE4)*(TYPE4&lt;&gt;"")+('Dvd Calendar'!$L$1528=SPECIAL_LBL)*(INC_SPECIALS="Y"))=0,"",'Dvd Calendar'!$L$1526)))</f>
        <v/>
      </c>
      <c r="K153" s="161">
        <f>IF(EM153="","",IF(ISNUMBER('Dvd Calendar'!$M$1526)=FALSE,"",IF((('Dvd Calendar'!$M$1528=TYPE1)*(TYPE1&lt;&gt;"")+('Dvd Calendar'!$M$1528=TYPE2)*(TYPE2&lt;&gt;"")+('Dvd Calendar'!$M$1528=TYPE3)*(TYPE3&lt;&gt;"")+('Dvd Calendar'!$M$1528=TYPE4)*(TYPE4&lt;&gt;"")+('Dvd Calendar'!$M$1528=SPECIAL_LBL)*(INC_SPECIALS="Y"))=0,"",'Dvd Calendar'!$M$1526)))</f>
        <v/>
      </c>
      <c r="L153" s="161">
        <f>IF(EN153="","",IF(ISNUMBER('Dvd Calendar'!$N$1526)=FALSE,"",IF((('Dvd Calendar'!$N$1528=TYPE1)*(TYPE1&lt;&gt;"")+('Dvd Calendar'!$N$1528=TYPE2)*(TYPE2&lt;&gt;"")+('Dvd Calendar'!$N$1528=TYPE3)*(TYPE3&lt;&gt;"")+('Dvd Calendar'!$N$1528=TYPE4)*(TYPE4&lt;&gt;"")+('Dvd Calendar'!$N$1528=SPECIAL_LBL)*(INC_SPECIALS="Y"))=0,"",'Dvd Calendar'!$N$1526)))</f>
        <v/>
      </c>
      <c r="M153" s="161">
        <f>IF(EO153="","",IF(ISNUMBER('Dvd Calendar'!$O$1526)=FALSE,"",IF((('Dvd Calendar'!$O$1528=TYPE1)*(TYPE1&lt;&gt;"")+('Dvd Calendar'!$O$1528=TYPE2)*(TYPE2&lt;&gt;"")+('Dvd Calendar'!$O$1528=TYPE3)*(TYPE3&lt;&gt;"")+('Dvd Calendar'!$O$1528=TYPE4)*(TYPE4&lt;&gt;"")+('Dvd Calendar'!$O$1528=SPECIAL_LBL)*(INC_SPECIALS="Y"))=0,"",'Dvd Calendar'!$O$1526)))</f>
        <v/>
      </c>
      <c r="N153" s="161">
        <f>IF(EP153="","",IF(ISNUMBER('Dvd Calendar'!$P$1526)=FALSE,"",IF((('Dvd Calendar'!$P$1528=TYPE1)*(TYPE1&lt;&gt;"")+('Dvd Calendar'!$P$1528=TYPE2)*(TYPE2&lt;&gt;"")+('Dvd Calendar'!$P$1528=TYPE3)*(TYPE3&lt;&gt;"")+('Dvd Calendar'!$P$1528=TYPE4)*(TYPE4&lt;&gt;"")+('Dvd Calendar'!$P$1528=SPECIAL_LBL)*(INC_SPECIALS="Y"))=0,"",'Dvd Calendar'!$P$1526)))</f>
        <v/>
      </c>
      <c r="O153" s="161">
        <f>IF(EQ153="","",IF(ISNUMBER('Dvd Calendar'!$Q$1526)=FALSE,"",IF((('Dvd Calendar'!$Q$1528=TYPE1)*(TYPE1&lt;&gt;"")+('Dvd Calendar'!$Q$1528=TYPE2)*(TYPE2&lt;&gt;"")+('Dvd Calendar'!$Q$1528=TYPE3)*(TYPE3&lt;&gt;"")+('Dvd Calendar'!$Q$1528=TYPE4)*(TYPE4&lt;&gt;"")+('Dvd Calendar'!$Q$1528=SPECIAL_LBL)*(INC_SPECIALS="Y"))=0,"",'Dvd Calendar'!$Q$1526)))</f>
        <v/>
      </c>
      <c r="P153" s="161">
        <f>IF(ER153="","",IF(ISNUMBER('Dvd Calendar'!$R$1526)=FALSE,"",IF((('Dvd Calendar'!$R$1528=TYPE1)*(TYPE1&lt;&gt;"")+('Dvd Calendar'!$R$1528=TYPE2)*(TYPE2&lt;&gt;"")+('Dvd Calendar'!$R$1528=TYPE3)*(TYPE3&lt;&gt;"")+('Dvd Calendar'!$R$1528=TYPE4)*(TYPE4&lt;&gt;"")+('Dvd Calendar'!$R$1528=SPECIAL_LBL)*(INC_SPECIALS="Y"))=0,"",'Dvd Calendar'!$R$1526)))</f>
        <v/>
      </c>
      <c r="Q153" s="161">
        <f>IF(ES153="","",IF(ISNUMBER('Dvd Calendar'!$S$1526)=FALSE,"",IF((('Dvd Calendar'!$S$1528=TYPE1)*(TYPE1&lt;&gt;"")+('Dvd Calendar'!$S$1528=TYPE2)*(TYPE2&lt;&gt;"")+('Dvd Calendar'!$S$1528=TYPE3)*(TYPE3&lt;&gt;"")+('Dvd Calendar'!$S$1528=TYPE4)*(TYPE4&lt;&gt;"")+('Dvd Calendar'!$S$1528=SPECIAL_LBL)*(INC_SPECIALS="Y"))=0,"",'Dvd Calendar'!$S$1526)))</f>
        <v/>
      </c>
      <c r="R153" s="161">
        <f>IF(ET153="","",IF(ISNUMBER('Dvd Calendar'!$T$1526)=FALSE,"",IF((('Dvd Calendar'!$T$1528=TYPE1)*(TYPE1&lt;&gt;"")+('Dvd Calendar'!$T$1528=TYPE2)*(TYPE2&lt;&gt;"")+('Dvd Calendar'!$T$1528=TYPE3)*(TYPE3&lt;&gt;"")+('Dvd Calendar'!$T$1528=TYPE4)*(TYPE4&lt;&gt;"")+('Dvd Calendar'!$T$1528=SPECIAL_LBL)*(INC_SPECIALS="Y"))=0,"",'Dvd Calendar'!$T$1526)))</f>
        <v/>
      </c>
      <c r="S153" s="161">
        <f>IF(EU153="","",IF(ISNUMBER('Dvd Calendar'!$U$1526)=FALSE,"",IF((('Dvd Calendar'!$U$1528=TYPE1)*(TYPE1&lt;&gt;"")+('Dvd Calendar'!$U$1528=TYPE2)*(TYPE2&lt;&gt;"")+('Dvd Calendar'!$U$1528=TYPE3)*(TYPE3&lt;&gt;"")+('Dvd Calendar'!$U$1528=TYPE4)*(TYPE4&lt;&gt;"")+('Dvd Calendar'!$U$1528=SPECIAL_LBL)*(INC_SPECIALS="Y"))=0,"",'Dvd Calendar'!$U$1526)))</f>
        <v/>
      </c>
      <c r="T153" s="161">
        <f>IF(EV153="","",IF(ISNUMBER('Dvd Calendar'!$V$1526)=FALSE,"",IF((('Dvd Calendar'!$V$1528=TYPE1)*(TYPE1&lt;&gt;"")+('Dvd Calendar'!$V$1528=TYPE2)*(TYPE2&lt;&gt;"")+('Dvd Calendar'!$V$1528=TYPE3)*(TYPE3&lt;&gt;"")+('Dvd Calendar'!$V$1528=TYPE4)*(TYPE4&lt;&gt;"")+('Dvd Calendar'!$V$1528=SPECIAL_LBL)*(INC_SPECIALS="Y"))=0,"",'Dvd Calendar'!$V$1526)))</f>
        <v/>
      </c>
      <c r="U153" s="161">
        <f>IF(EW153="","",IF(ISNUMBER('Dvd Calendar'!$W$1526)=FALSE,"",IF((('Dvd Calendar'!$W$1528=TYPE1)*(TYPE1&lt;&gt;"")+('Dvd Calendar'!$W$1528=TYPE2)*(TYPE2&lt;&gt;"")+('Dvd Calendar'!$W$1528=TYPE3)*(TYPE3&lt;&gt;"")+('Dvd Calendar'!$W$1528=TYPE4)*(TYPE4&lt;&gt;"")+('Dvd Calendar'!$W$1528=SPECIAL_LBL)*(INC_SPECIALS="Y"))=0,"",'Dvd Calendar'!$W$1526)))</f>
        <v/>
      </c>
      <c r="V153" s="161">
        <f>IF(EX153="","",IF(ISNUMBER('Dvd Calendar'!$X$1526)=FALSE,"",IF((('Dvd Calendar'!$X$1528=TYPE1)*(TYPE1&lt;&gt;"")+('Dvd Calendar'!$X$1528=TYPE2)*(TYPE2&lt;&gt;"")+('Dvd Calendar'!$X$1528=TYPE3)*(TYPE3&lt;&gt;"")+('Dvd Calendar'!$X$1528=TYPE4)*(TYPE4&lt;&gt;"")+('Dvd Calendar'!$X$1528=SPECIAL_LBL)*(INC_SPECIALS="Y"))=0,"",'Dvd Calendar'!$X$1526)))</f>
        <v/>
      </c>
      <c r="W153" s="161">
        <f>IF(EY153="","",IF(ISNUMBER('Dvd Calendar'!$Y$1526)=FALSE,"",IF((('Dvd Calendar'!$Y$1528=TYPE1)*(TYPE1&lt;&gt;"")+('Dvd Calendar'!$Y$1528=TYPE2)*(TYPE2&lt;&gt;"")+('Dvd Calendar'!$Y$1528=TYPE3)*(TYPE3&lt;&gt;"")+('Dvd Calendar'!$Y$1528=TYPE4)*(TYPE4&lt;&gt;"")+('Dvd Calendar'!$Y$1528=SPECIAL_LBL)*(INC_SPECIALS="Y"))=0,"",'Dvd Calendar'!$Y$1526)))</f>
        <v/>
      </c>
      <c r="X153" s="161">
        <f>IF(EZ153="","",IF(ISNUMBER('Dvd Calendar'!$Z$1526)=FALSE,"",IF((('Dvd Calendar'!$Z$1528=TYPE1)*(TYPE1&lt;&gt;"")+('Dvd Calendar'!$Z$1528=TYPE2)*(TYPE2&lt;&gt;"")+('Dvd Calendar'!$Z$1528=TYPE3)*(TYPE3&lt;&gt;"")+('Dvd Calendar'!$Z$1528=TYPE4)*(TYPE4&lt;&gt;"")+('Dvd Calendar'!$Z$1528=SPECIAL_LBL)*(INC_SPECIALS="Y"))=0,"",'Dvd Calendar'!$Z$1526)))</f>
        <v/>
      </c>
      <c r="Y153" s="161">
        <f>IF(FA153="","",IF(ISNUMBER('Dvd Calendar'!$AA$1526)=FALSE,"",IF((('Dvd Calendar'!$AA$1528=TYPE1)*(TYPE1&lt;&gt;"")+('Dvd Calendar'!$AA$1528=TYPE2)*(TYPE2&lt;&gt;"")+('Dvd Calendar'!$AA$1528=TYPE3)*(TYPE3&lt;&gt;"")+('Dvd Calendar'!$AA$1528=TYPE4)*(TYPE4&lt;&gt;"")+('Dvd Calendar'!$AA$1528=SPECIAL_LBL)*(INC_SPECIALS="Y"))=0,"",'Dvd Calendar'!$AA$1526)))</f>
        <v/>
      </c>
      <c r="Z153" s="161">
        <f>IF(FB153="","",IF(ISNUMBER('Dvd Calendar'!$AB$1526)=FALSE,"",IF((('Dvd Calendar'!$AB$1528=TYPE1)*(TYPE1&lt;&gt;"")+('Dvd Calendar'!$AB$1528=TYPE2)*(TYPE2&lt;&gt;"")+('Dvd Calendar'!$AB$1528=TYPE3)*(TYPE3&lt;&gt;"")+('Dvd Calendar'!$AB$1528=TYPE4)*(TYPE4&lt;&gt;"")+('Dvd Calendar'!$AB$1528=SPECIAL_LBL)*(INC_SPECIALS="Y"))=0,"",'Dvd Calendar'!$AB$1526)))</f>
        <v/>
      </c>
      <c r="AA153" s="161">
        <f>IF(FC153="","",IF(ISNUMBER('Dvd Calendar'!$AC$1526)=FALSE,"",IF((('Dvd Calendar'!$AC$1528=TYPE1)*(TYPE1&lt;&gt;"")+('Dvd Calendar'!$AC$1528=TYPE2)*(TYPE2&lt;&gt;"")+('Dvd Calendar'!$AC$1528=TYPE3)*(TYPE3&lt;&gt;"")+('Dvd Calendar'!$AC$1528=TYPE4)*(TYPE4&lt;&gt;"")+('Dvd Calendar'!$AC$1528=SPECIAL_LBL)*(INC_SPECIALS="Y"))=0,"",'Dvd Calendar'!$AC$1526)))</f>
        <v/>
      </c>
      <c r="AB153" s="161">
        <f>IF(FD153="","",IF(ISNUMBER('Dvd Calendar'!$AD$1526)=FALSE,"",IF((('Dvd Calendar'!$AD$1528=TYPE1)*(TYPE1&lt;&gt;"")+('Dvd Calendar'!$AD$1528=TYPE2)*(TYPE2&lt;&gt;"")+('Dvd Calendar'!$AD$1528=TYPE3)*(TYPE3&lt;&gt;"")+('Dvd Calendar'!$AD$1528=TYPE4)*(TYPE4&lt;&gt;"")+('Dvd Calendar'!$AD$1528=SPECIAL_LBL)*(INC_SPECIALS="Y"))=0,"",'Dvd Calendar'!$AD$1526)))</f>
        <v/>
      </c>
      <c r="AC153" s="161">
        <f>IF(FE153="","",IF(ISNUMBER('Dvd Calendar'!$AE$1526)=FALSE,"",IF((('Dvd Calendar'!$AE$1528=TYPE1)*(TYPE1&lt;&gt;"")+('Dvd Calendar'!$AE$1528=TYPE2)*(TYPE2&lt;&gt;"")+('Dvd Calendar'!$AE$1528=TYPE3)*(TYPE3&lt;&gt;"")+('Dvd Calendar'!$AE$1528=TYPE4)*(TYPE4&lt;&gt;"")+('Dvd Calendar'!$AE$1528=SPECIAL_LBL)*(INC_SPECIALS="Y"))=0,"",'Dvd Calendar'!$AE$1526)))</f>
        <v/>
      </c>
      <c r="AD153" s="161">
        <f>IF(FF153="","",IF(ISNUMBER('Dvd Calendar'!$AF$1526)=FALSE,"",IF((('Dvd Calendar'!$AF$1528=TYPE1)*(TYPE1&lt;&gt;"")+('Dvd Calendar'!$AF$1528=TYPE2)*(TYPE2&lt;&gt;"")+('Dvd Calendar'!$AF$1528=TYPE3)*(TYPE3&lt;&gt;"")+('Dvd Calendar'!$AF$1528=TYPE4)*(TYPE4&lt;&gt;"")+('Dvd Calendar'!$AF$1528=SPECIAL_LBL)*(INC_SPECIALS="Y"))=0,"",'Dvd Calendar'!$AF$1526)))</f>
        <v/>
      </c>
      <c r="AE153" s="161">
        <f>IF(FG153="","",IF(ISNUMBER('Dvd Calendar'!$AG$1526)=FALSE,"",IF((('Dvd Calendar'!$AG$1528=TYPE1)*(TYPE1&lt;&gt;"")+('Dvd Calendar'!$AG$1528=TYPE2)*(TYPE2&lt;&gt;"")+('Dvd Calendar'!$AG$1528=TYPE3)*(TYPE3&lt;&gt;"")+('Dvd Calendar'!$AG$1528=TYPE4)*(TYPE4&lt;&gt;"")+('Dvd Calendar'!$AG$1528=SPECIAL_LBL)*(INC_SPECIALS="Y"))=0,"",'Dvd Calendar'!$AG$1526)))</f>
        <v/>
      </c>
      <c r="AF153" s="161">
        <f>IF(FH153="","",IF(ISNUMBER('Dvd Calendar'!$AH$1526)=FALSE,"",IF((('Dvd Calendar'!$AH$1528=TYPE1)*(TYPE1&lt;&gt;"")+('Dvd Calendar'!$AH$1528=TYPE2)*(TYPE2&lt;&gt;"")+('Dvd Calendar'!$AH$1528=TYPE3)*(TYPE3&lt;&gt;"")+('Dvd Calendar'!$AH$1528=TYPE4)*(TYPE4&lt;&gt;"")+('Dvd Calendar'!$AH$1528=SPECIAL_LBL)*(INC_SPECIALS="Y"))=0,"",'Dvd Calendar'!$AH$1526)))</f>
        <v/>
      </c>
      <c r="AG153" s="161">
        <f>IF(FI153="","",IF(ISNUMBER('Dvd Calendar'!$AI$1526)=FALSE,"",IF((('Dvd Calendar'!$AI$1528=TYPE1)*(TYPE1&lt;&gt;"")+('Dvd Calendar'!$AI$1528=TYPE2)*(TYPE2&lt;&gt;"")+('Dvd Calendar'!$AI$1528=TYPE3)*(TYPE3&lt;&gt;"")+('Dvd Calendar'!$AI$1528=TYPE4)*(TYPE4&lt;&gt;"")+('Dvd Calendar'!$AI$1528=SPECIAL_LBL)*(INC_SPECIALS="Y"))=0,"",'Dvd Calendar'!$AI$1526)))</f>
        <v/>
      </c>
      <c r="AH153" s="161">
        <f>IF(FJ153="","",IF(ISNUMBER('Dvd Calendar'!$AJ$1526)=FALSE,"",IF((('Dvd Calendar'!$AJ$1528=TYPE1)*(TYPE1&lt;&gt;"")+('Dvd Calendar'!$AJ$1528=TYPE2)*(TYPE2&lt;&gt;"")+('Dvd Calendar'!$AJ$1528=TYPE3)*(TYPE3&lt;&gt;"")+('Dvd Calendar'!$AJ$1528=TYPE4)*(TYPE4&lt;&gt;"")+('Dvd Calendar'!$AJ$1528=SPECIAL_LBL)*(INC_SPECIALS="Y"))=0,"",'Dvd Calendar'!$AJ$1526)))</f>
        <v/>
      </c>
      <c r="AI153" s="161">
        <f>IF(FK153="","",IF(ISNUMBER('Dvd Calendar'!$AK$1526)=FALSE,"",IF((('Dvd Calendar'!$AK$1528=TYPE1)*(TYPE1&lt;&gt;"")+('Dvd Calendar'!$AK$1528=TYPE2)*(TYPE2&lt;&gt;"")+('Dvd Calendar'!$AK$1528=TYPE3)*(TYPE3&lt;&gt;"")+('Dvd Calendar'!$AK$1528=TYPE4)*(TYPE4&lt;&gt;"")+('Dvd Calendar'!$AK$1528=SPECIAL_LBL)*(INC_SPECIALS="Y"))=0,"",'Dvd Calendar'!$AK$1526)))</f>
        <v/>
      </c>
      <c r="AJ153" s="161">
        <f>IF(FL153="","",IF(ISNUMBER('Dvd Calendar'!$AL$1526)=FALSE,"",IF((('Dvd Calendar'!$AL$1528=TYPE1)*(TYPE1&lt;&gt;"")+('Dvd Calendar'!$AL$1528=TYPE2)*(TYPE2&lt;&gt;"")+('Dvd Calendar'!$AL$1528=TYPE3)*(TYPE3&lt;&gt;"")+('Dvd Calendar'!$AL$1528=TYPE4)*(TYPE4&lt;&gt;"")+('Dvd Calendar'!$AL$1528=SPECIAL_LBL)*(INC_SPECIALS="Y"))=0,"",'Dvd Calendar'!$AL$1526)))</f>
        <v/>
      </c>
      <c r="AK153" s="161">
        <f>IF(FM153="","",IF(ISNUMBER('Dvd Calendar'!$AM$1526)=FALSE,"",IF((('Dvd Calendar'!$AM$1528=TYPE1)*(TYPE1&lt;&gt;"")+('Dvd Calendar'!$AM$1528=TYPE2)*(TYPE2&lt;&gt;"")+('Dvd Calendar'!$AM$1528=TYPE3)*(TYPE3&lt;&gt;"")+('Dvd Calendar'!$AM$1528=TYPE4)*(TYPE4&lt;&gt;"")+('Dvd Calendar'!$AM$1528=SPECIAL_LBL)*(INC_SPECIALS="Y"))=0,"",'Dvd Calendar'!$AM$1526)))</f>
        <v/>
      </c>
      <c r="AL153" s="161">
        <f>IF(FN153="","",IF(ISNUMBER('Dvd Calendar'!$AN$1526)=FALSE,"",IF((('Dvd Calendar'!$AN$1528=TYPE1)*(TYPE1&lt;&gt;"")+('Dvd Calendar'!$AN$1528=TYPE2)*(TYPE2&lt;&gt;"")+('Dvd Calendar'!$AN$1528=TYPE3)*(TYPE3&lt;&gt;"")+('Dvd Calendar'!$AN$1528=TYPE4)*(TYPE4&lt;&gt;"")+('Dvd Calendar'!$AN$1528=SPECIAL_LBL)*(INC_SPECIALS="Y"))=0,"",'Dvd Calendar'!$AN$1526)))</f>
        <v/>
      </c>
      <c r="AM153" s="161">
        <f>IF(FO153="","",IF(ISNUMBER('Dvd Calendar'!$AO$1526)=FALSE,"",IF((('Dvd Calendar'!$AO$1528=TYPE1)*(TYPE1&lt;&gt;"")+('Dvd Calendar'!$AO$1528=TYPE2)*(TYPE2&lt;&gt;"")+('Dvd Calendar'!$AO$1528=TYPE3)*(TYPE3&lt;&gt;"")+('Dvd Calendar'!$AO$1528=TYPE4)*(TYPE4&lt;&gt;"")+('Dvd Calendar'!$AO$1528=SPECIAL_LBL)*(INC_SPECIALS="Y"))=0,"",'Dvd Calendar'!$AO$1526)))</f>
        <v/>
      </c>
      <c r="AN153" s="161">
        <f>IF(FP153="","",IF(ISNUMBER('Dvd Calendar'!$AP$1526)=FALSE,"",IF((('Dvd Calendar'!$AP$1528=TYPE1)*(TYPE1&lt;&gt;"")+('Dvd Calendar'!$AP$1528=TYPE2)*(TYPE2&lt;&gt;"")+('Dvd Calendar'!$AP$1528=TYPE3)*(TYPE3&lt;&gt;"")+('Dvd Calendar'!$AP$1528=TYPE4)*(TYPE4&lt;&gt;"")+('Dvd Calendar'!$AP$1528=SPECIAL_LBL)*(INC_SPECIALS="Y"))=0,"",'Dvd Calendar'!$AP$1526)))</f>
        <v/>
      </c>
      <c r="AO153" s="161">
        <f>IF(FQ153="","",IF(ISNUMBER('Dvd Calendar'!$AQ$1526)=FALSE,"",IF((('Dvd Calendar'!$AQ$1528=TYPE1)*(TYPE1&lt;&gt;"")+('Dvd Calendar'!$AQ$1528=TYPE2)*(TYPE2&lt;&gt;"")+('Dvd Calendar'!$AQ$1528=TYPE3)*(TYPE3&lt;&gt;"")+('Dvd Calendar'!$AQ$1528=TYPE4)*(TYPE4&lt;&gt;"")+('Dvd Calendar'!$AQ$1528=SPECIAL_LBL)*(INC_SPECIALS="Y"))=0,"",'Dvd Calendar'!$AQ$1526)))</f>
        <v/>
      </c>
      <c r="AP153" s="161">
        <f>IF(FR153="","",IF(ISNUMBER('Dvd Calendar'!$AR$1526)=FALSE,"",IF((('Dvd Calendar'!$AR$1528=TYPE1)*(TYPE1&lt;&gt;"")+('Dvd Calendar'!$AR$1528=TYPE2)*(TYPE2&lt;&gt;"")+('Dvd Calendar'!$AR$1528=TYPE3)*(TYPE3&lt;&gt;"")+('Dvd Calendar'!$AR$1528=TYPE4)*(TYPE4&lt;&gt;"")+('Dvd Calendar'!$AR$1528=SPECIAL_LBL)*(INC_SPECIALS="Y"))=0,"",'Dvd Calendar'!$AR$1526)))</f>
        <v/>
      </c>
      <c r="AQ153" s="161">
        <f>IF(FS153="","",IF(ISNUMBER('Dvd Calendar'!$E$1531)=FALSE,"",'Dvd Calendar'!$E$1531))</f>
        <v/>
      </c>
      <c r="AR153" s="161">
        <f>IF(FT153="","",IF(ISNUMBER('Dvd Calendar'!$F$1531)=FALSE,"",'Dvd Calendar'!$F$1531))</f>
        <v/>
      </c>
      <c r="AS153" s="161">
        <f>IF(FU153="","",IF(ISNUMBER('Dvd Calendar'!$G$1531)=FALSE,"",'Dvd Calendar'!$G$1531))</f>
        <v/>
      </c>
      <c r="AT153" s="161">
        <f>IF(FV153="","",IF(ISNUMBER('Dvd Calendar'!$H$1531)=FALSE,"",'Dvd Calendar'!$H$1531))</f>
        <v/>
      </c>
      <c r="AU153" s="161">
        <f>IF(FW153="","",IF(ISNUMBER('Dvd Calendar'!$I$1531)=FALSE,"",'Dvd Calendar'!$I$1531))</f>
        <v/>
      </c>
      <c r="AV153" s="161">
        <f>IF(FX153="","",IF(ISNUMBER('Dvd Calendar'!$J$1531)=FALSE,"",'Dvd Calendar'!$J$1531))</f>
        <v/>
      </c>
      <c r="AW153" s="161">
        <f>IF(FY153="","",IF(ISNUMBER('Dvd Calendar'!$K$1531)=FALSE,"",'Dvd Calendar'!$K$1531))</f>
        <v/>
      </c>
      <c r="AX153" s="161">
        <f>IF(FZ153="","",IF(ISNUMBER('Dvd Calendar'!$L$1531)=FALSE,"",'Dvd Calendar'!$L$1531))</f>
        <v/>
      </c>
      <c r="AY153" s="161">
        <f>IF(GA153="","",IF(ISNUMBER('Dvd Calendar'!$M$1531)=FALSE,"",'Dvd Calendar'!$M$1531))</f>
        <v/>
      </c>
      <c r="AZ153" s="161">
        <f>IF(GB153="","",IF(ISNUMBER('Dvd Calendar'!$N$1531)=FALSE,"",'Dvd Calendar'!$N$1531))</f>
        <v/>
      </c>
      <c r="BA153" s="161">
        <f>IF(GC153="","",IF(ISNUMBER('Dvd Calendar'!$O$1531)=FALSE,"",'Dvd Calendar'!$O$1531))</f>
        <v/>
      </c>
      <c r="BB153" s="161">
        <f>IF(GD153="","",IF(ISNUMBER('Dvd Calendar'!$P$1531)=FALSE,"",'Dvd Calendar'!$P$1531))</f>
        <v/>
      </c>
      <c r="BC153" s="161">
        <f>IF(GE153="","",IF(ISNUMBER('Dvd Calendar'!$Q$1531)=FALSE,"",'Dvd Calendar'!$Q$1531))</f>
        <v/>
      </c>
      <c r="BD153" s="161">
        <f>IF(GF153="","",IF(ISNUMBER('Dvd Calendar'!$R$1531)=FALSE,"",'Dvd Calendar'!$R$1531))</f>
        <v/>
      </c>
      <c r="BE153" s="161">
        <f>IF(GG153="","",IF(ISNUMBER('Dvd Calendar'!$S$1531)=FALSE,"",'Dvd Calendar'!$S$1531))</f>
        <v/>
      </c>
      <c r="BF153" s="161">
        <f>IF(GH153="","",IF(ISNUMBER('Dvd Calendar'!$T$1531)=FALSE,"",'Dvd Calendar'!$T$1531))</f>
        <v/>
      </c>
      <c r="BG153" s="161">
        <f>IF(GI153="","",IF(ISNUMBER('Dvd Calendar'!$U$1531)=FALSE,"",'Dvd Calendar'!$U$1531))</f>
        <v/>
      </c>
      <c r="BH153" s="161">
        <f>IF(GJ153="","",IF(ISNUMBER('Dvd Calendar'!$V$1531)=FALSE,"",'Dvd Calendar'!$V$1531))</f>
        <v/>
      </c>
      <c r="BI153" s="161">
        <f>IF(GK153="","",IF(ISNUMBER('Dvd Calendar'!$W$1531)=FALSE,"",'Dvd Calendar'!$W$1531))</f>
        <v/>
      </c>
      <c r="BJ153" s="161">
        <f>IF(GL153="","",IF(ISNUMBER('Dvd Calendar'!$X$1531)=FALSE,"",'Dvd Calendar'!$X$1531))</f>
        <v/>
      </c>
      <c r="BK153" s="161">
        <f>IF(GM153="","",IF(ISNUMBER('Dvd Calendar'!$Y$1531)=FALSE,"",'Dvd Calendar'!$Y$1531))</f>
        <v/>
      </c>
      <c r="BL153" s="161">
        <f>IF(GN153="","",IF(ISNUMBER('Dvd Calendar'!$Z$1531)=FALSE,"",'Dvd Calendar'!$Z$1531))</f>
        <v/>
      </c>
      <c r="BM153" s="161">
        <f>IF(GO153="","",IF(ISNUMBER('Dvd Calendar'!$AA$1531)=FALSE,"",'Dvd Calendar'!$AA$1531))</f>
        <v/>
      </c>
      <c r="BN153" s="161">
        <f>IF(GP153="","",IF(ISNUMBER('Dvd Calendar'!$AB$1531)=FALSE,"",'Dvd Calendar'!$AB$1531))</f>
        <v/>
      </c>
      <c r="BO153" s="161">
        <f>IF(GQ153="","",IF(ISNUMBER('Dvd Calendar'!$AC$1531)=FALSE,"",'Dvd Calendar'!$AC$1531))</f>
        <v/>
      </c>
      <c r="BQ153" s="161">
        <f>IF(C153="","",IFERROR(C153*HSTECH!$B$44*HSTECH!$G$44/HSTECH!$B$3,""))</f>
        <v/>
      </c>
      <c r="BR153" s="161">
        <f>IF(D153="","",IFERROR(D153*HSTECH!$B$44*HSTECH!$G$44/HSTECH!$B$3,""))</f>
        <v/>
      </c>
      <c r="BS153" s="161">
        <f>IF(E153="","",IFERROR(E153*HSTECH!$B$44*HSTECH!$G$44/HSTECH!$B$3,""))</f>
        <v/>
      </c>
      <c r="BT153" s="161">
        <f>IF(F153="","",IFERROR(F153*HSTECH!$B$44*HSTECH!$G$44/HSTECH!$B$3,""))</f>
        <v/>
      </c>
      <c r="BU153" s="161">
        <f>IF(G153="","",IFERROR(G153*HSTECH!$B$44*HSTECH!$G$44/HSTECH!$B$3,""))</f>
        <v/>
      </c>
      <c r="BV153" s="161">
        <f>IF(H153="","",IFERROR(H153*HSTECH!$B$44*HSTECH!$G$44/HSTECH!$B$3,""))</f>
        <v/>
      </c>
      <c r="BW153" s="161">
        <f>IF(I153="","",IFERROR(I153*HSTECH!$B$44*HSTECH!$G$44/HSTECH!$B$3,""))</f>
        <v/>
      </c>
      <c r="BX153" s="161">
        <f>IF(J153="","",IFERROR(J153*HSTECH!$B$44*HSTECH!$G$44/HSTECH!$B$3,""))</f>
        <v/>
      </c>
      <c r="BY153" s="161">
        <f>IF(K153="","",IFERROR(K153*HSTECH!$B$44*HSTECH!$G$44/HSTECH!$B$3,""))</f>
        <v/>
      </c>
      <c r="BZ153" s="161">
        <f>IF(L153="","",IFERROR(L153*HSTECH!$B$44*HSTECH!$G$44/HSTECH!$B$3,""))</f>
        <v/>
      </c>
      <c r="CA153" s="161">
        <f>IF(M153="","",IFERROR(M153*HSTECH!$B$44*HSTECH!$G$44/HSTECH!$B$3,""))</f>
        <v/>
      </c>
      <c r="CB153" s="161">
        <f>IF(N153="","",IFERROR(N153*HSTECH!$B$44*HSTECH!$G$44/HSTECH!$B$3,""))</f>
        <v/>
      </c>
      <c r="CC153" s="161">
        <f>IF(O153="","",IFERROR(O153*HSTECH!$B$44*HSTECH!$G$44/HSTECH!$B$3,""))</f>
        <v/>
      </c>
      <c r="CD153" s="161">
        <f>IF(P153="","",IFERROR(P153*HSTECH!$B$44*HSTECH!$G$44/HSTECH!$B$3,""))</f>
        <v/>
      </c>
      <c r="CE153" s="161">
        <f>IF(Q153="","",IFERROR(Q153*HSTECH!$B$44*HSTECH!$G$44/HSTECH!$B$3,""))</f>
        <v/>
      </c>
      <c r="CF153" s="161">
        <f>IF(R153="","",IFERROR(R153*HSTECH!$B$44*HSTECH!$G$44/HSTECH!$B$3,""))</f>
        <v/>
      </c>
      <c r="CG153" s="161">
        <f>IF(S153="","",IFERROR(S153*HSTECH!$B$44*HSTECH!$G$44/HSTECH!$B$3,""))</f>
        <v/>
      </c>
      <c r="CH153" s="161">
        <f>IF(T153="","",IFERROR(T153*HSTECH!$B$44*HSTECH!$G$44/HSTECH!$B$3,""))</f>
        <v/>
      </c>
      <c r="CI153" s="161">
        <f>IF(U153="","",IFERROR(U153*HSTECH!$B$44*HSTECH!$G$44/HSTECH!$B$3,""))</f>
        <v/>
      </c>
      <c r="CJ153" s="161">
        <f>IF(V153="","",IFERROR(V153*HSTECH!$B$44*HSTECH!$G$44/HSTECH!$B$3,""))</f>
        <v/>
      </c>
      <c r="CK153" s="161">
        <f>IF(W153="","",IFERROR(W153*HSTECH!$B$44*HSTECH!$G$44/HSTECH!$B$3,""))</f>
        <v/>
      </c>
      <c r="CL153" s="161">
        <f>IF(X153="","",IFERROR(X153*HSTECH!$B$44*HSTECH!$G$44/HSTECH!$B$3,""))</f>
        <v/>
      </c>
      <c r="CM153" s="161">
        <f>IF(Y153="","",IFERROR(Y153*HSTECH!$B$44*HSTECH!$G$44/HSTECH!$B$3,""))</f>
        <v/>
      </c>
      <c r="CN153" s="161">
        <f>IF(Z153="","",IFERROR(Z153*HSTECH!$B$44*HSTECH!$G$44/HSTECH!$B$3,""))</f>
        <v/>
      </c>
      <c r="CO153" s="161">
        <f>IF(AA153="","",IFERROR(AA153*HSTECH!$B$44*HSTECH!$G$44/HSTECH!$B$3,""))</f>
        <v/>
      </c>
      <c r="CP153" s="161">
        <f>IF(AB153="","",IFERROR(AB153*HSTECH!$B$44*HSTECH!$G$44/HSTECH!$B$3,""))</f>
        <v/>
      </c>
      <c r="CQ153" s="161">
        <f>IF(AC153="","",IFERROR(AC153*HSTECH!$B$44*HSTECH!$G$44/HSTECH!$B$3,""))</f>
        <v/>
      </c>
      <c r="CR153" s="161">
        <f>IF(AD153="","",IFERROR(AD153*HSTECH!$B$44*HSTECH!$G$44/HSTECH!$B$3,""))</f>
        <v/>
      </c>
      <c r="CS153" s="161">
        <f>IF(AE153="","",IFERROR(AE153*HSTECH!$B$44*HSTECH!$G$44/HSTECH!$B$3,""))</f>
        <v/>
      </c>
      <c r="CT153" s="161">
        <f>IF(AF153="","",IFERROR(AF153*HSTECH!$B$44*HSTECH!$G$44/HSTECH!$B$3,""))</f>
        <v/>
      </c>
      <c r="CU153" s="161">
        <f>IF(AG153="","",IFERROR(AG153*HSTECH!$B$44*HSTECH!$G$44/HSTECH!$B$3,""))</f>
        <v/>
      </c>
      <c r="CV153" s="161">
        <f>IF(AH153="","",IFERROR(AH153*HSTECH!$B$44*HSTECH!$G$44/HSTECH!$B$3,""))</f>
        <v/>
      </c>
      <c r="CW153" s="161">
        <f>IF(AI153="","",IFERROR(AI153*HSTECH!$B$44*HSTECH!$G$44/HSTECH!$B$3,""))</f>
        <v/>
      </c>
      <c r="CX153" s="161">
        <f>IF(AJ153="","",IFERROR(AJ153*HSTECH!$B$44*HSTECH!$G$44/HSTECH!$B$3,""))</f>
        <v/>
      </c>
      <c r="CY153" s="161">
        <f>IF(AK153="","",IFERROR(AK153*HSTECH!$B$44*HSTECH!$G$44/HSTECH!$B$3,""))</f>
        <v/>
      </c>
      <c r="CZ153" s="161">
        <f>IF(AL153="","",IFERROR(AL153*HSTECH!$B$44*HSTECH!$G$44/HSTECH!$B$3,""))</f>
        <v/>
      </c>
      <c r="DA153" s="161">
        <f>IF(AM153="","",IFERROR(AM153*HSTECH!$B$44*HSTECH!$G$44/HSTECH!$B$3,""))</f>
        <v/>
      </c>
      <c r="DB153" s="161">
        <f>IF(AN153="","",IFERROR(AN153*HSTECH!$B$44*HSTECH!$G$44/HSTECH!$B$3,""))</f>
        <v/>
      </c>
      <c r="DC153" s="161">
        <f>IF(AO153="","",IFERROR(AO153*HSTECH!$B$44*HSTECH!$G$44/HSTECH!$B$3,""))</f>
        <v/>
      </c>
      <c r="DD153" s="161">
        <f>IF(AP153="","",IFERROR(AP153*HSTECH!$B$44*HSTECH!$G$44/HSTECH!$B$3,""))</f>
        <v/>
      </c>
      <c r="DE153" s="161">
        <f>IF(AQ153="","",IFERROR(AQ153*HSTECH!$B$44*HSTECH!$G$44/HSTECH!$B$3,""))</f>
        <v/>
      </c>
      <c r="DF153" s="161">
        <f>IF(AR153="","",IFERROR(AR153*HSTECH!$B$44*HSTECH!$G$44/HSTECH!$B$3,""))</f>
        <v/>
      </c>
      <c r="DG153" s="161">
        <f>IF(AS153="","",IFERROR(AS153*HSTECH!$B$44*HSTECH!$G$44/HSTECH!$B$3,""))</f>
        <v/>
      </c>
      <c r="DH153" s="161">
        <f>IF(AT153="","",IFERROR(AT153*HSTECH!$B$44*HSTECH!$G$44/HSTECH!$B$3,""))</f>
        <v/>
      </c>
      <c r="DI153" s="161">
        <f>IF(AU153="","",IFERROR(AU153*HSTECH!$B$44*HSTECH!$G$44/HSTECH!$B$3,""))</f>
        <v/>
      </c>
      <c r="DJ153" s="161">
        <f>IF(AV153="","",IFERROR(AV153*HSTECH!$B$44*HSTECH!$G$44/HSTECH!$B$3,""))</f>
        <v/>
      </c>
      <c r="DK153" s="161">
        <f>IF(AW153="","",IFERROR(AW153*HSTECH!$B$44*HSTECH!$G$44/HSTECH!$B$3,""))</f>
        <v/>
      </c>
      <c r="DL153" s="161">
        <f>IF(AX153="","",IFERROR(AX153*HSTECH!$B$44*HSTECH!$G$44/HSTECH!$B$3,""))</f>
        <v/>
      </c>
      <c r="DM153" s="161">
        <f>IF(AY153="","",IFERROR(AY153*HSTECH!$B$44*HSTECH!$G$44/HSTECH!$B$3,""))</f>
        <v/>
      </c>
      <c r="DN153" s="161">
        <f>IF(AZ153="","",IFERROR(AZ153*HSTECH!$B$44*HSTECH!$G$44/HSTECH!$B$3,""))</f>
        <v/>
      </c>
      <c r="DO153" s="161">
        <f>IF(BA153="","",IFERROR(BA153*HSTECH!$B$44*HSTECH!$G$44/HSTECH!$B$3,""))</f>
        <v/>
      </c>
      <c r="DP153" s="161">
        <f>IF(BB153="","",IFERROR(BB153*HSTECH!$B$44*HSTECH!$G$44/HSTECH!$B$3,""))</f>
        <v/>
      </c>
      <c r="DQ153" s="161">
        <f>IF(BC153="","",IFERROR(BC153*HSTECH!$B$44*HSTECH!$G$44/HSTECH!$B$3,""))</f>
        <v/>
      </c>
      <c r="DR153" s="161">
        <f>IF(BD153="","",IFERROR(BD153*HSTECH!$B$44*HSTECH!$G$44/HSTECH!$B$3,""))</f>
        <v/>
      </c>
      <c r="DS153" s="161">
        <f>IF(BE153="","",IFERROR(BE153*HSTECH!$B$44*HSTECH!$G$44/HSTECH!$B$3,""))</f>
        <v/>
      </c>
      <c r="DT153" s="161">
        <f>IF(BF153="","",IFERROR(BF153*HSTECH!$B$44*HSTECH!$G$44/HSTECH!$B$3,""))</f>
        <v/>
      </c>
      <c r="DU153" s="161">
        <f>IF(BG153="","",IFERROR(BG153*HSTECH!$B$44*HSTECH!$G$44/HSTECH!$B$3,""))</f>
        <v/>
      </c>
      <c r="DV153" s="161">
        <f>IF(BH153="","",IFERROR(BH153*HSTECH!$B$44*HSTECH!$G$44/HSTECH!$B$3,""))</f>
        <v/>
      </c>
      <c r="DW153" s="161">
        <f>IF(BI153="","",IFERROR(BI153*HSTECH!$B$44*HSTECH!$G$44/HSTECH!$B$3,""))</f>
        <v/>
      </c>
      <c r="DX153" s="161">
        <f>IF(BJ153="","",IFERROR(BJ153*HSTECH!$B$44*HSTECH!$G$44/HSTECH!$B$3,""))</f>
        <v/>
      </c>
      <c r="DY153" s="161">
        <f>IF(BK153="","",IFERROR(BK153*HSTECH!$B$44*HSTECH!$G$44/HSTECH!$B$3,""))</f>
        <v/>
      </c>
      <c r="DZ153" s="161">
        <f>IF(BL153="","",IFERROR(BL153*HSTECH!$B$44*HSTECH!$G$44/HSTECH!$B$3,""))</f>
        <v/>
      </c>
      <c r="EA153" s="161">
        <f>IF(BM153="","",IFERROR(BM153*HSTECH!$B$44*HSTECH!$G$44/HSTECH!$B$3,""))</f>
        <v/>
      </c>
      <c r="EB153" s="161">
        <f>IF(BN153="","",IFERROR(BN153*HSTECH!$B$44*HSTECH!$G$44/HSTECH!$B$3,""))</f>
        <v/>
      </c>
      <c r="EC153" s="161">
        <f>IF(BO153="","",IFERROR(BO153*HSTECH!$B$44*HSTECH!$G$44/HSTECH!$B$3,""))</f>
        <v/>
      </c>
      <c r="EE153" s="121">
        <f>IF(N('Dvd Calendar'!$E$1523)=0,"",IF(('Dvd Calendar'!$E$1523&gt;=GRID_FROM)*('Dvd Calendar'!$E$1523&lt;=GRID_TO)*((('Dvd Calendar'!$E$1523&lt;=VAL_DATE)+(COUNTIF('Dvd Calendar'!$E$1530:$AR$1530,'Dvd Calendar'!$E$1523)=0))&gt;0)=0,"",'Dvd Calendar'!$E$1523*1000000000+ISNUMBER('Dvd Calendar'!$E$1526)*100000000+('Dvd Calendar'!$E$1528=SPECIAL_LBL)*10000000+(N('Dvd Calendar'!$E$1522)&gt;0)*(N('Dvd Calendar'!$E$1522)&lt;=VAL_SERIAL)*1000000+38*1000+1))</f>
        <v/>
      </c>
      <c r="EF153" s="121">
        <f>IF(N('Dvd Calendar'!$F$1523)=0,"",IF(('Dvd Calendar'!$F$1523&gt;=GRID_FROM)*('Dvd Calendar'!$F$1523&lt;=GRID_TO)*((('Dvd Calendar'!$F$1523&lt;=VAL_DATE)+(COUNTIF('Dvd Calendar'!$E$1530:$AR$1530,'Dvd Calendar'!$F$1523)=0))&gt;0)=0,"",'Dvd Calendar'!$F$1523*1000000000+ISNUMBER('Dvd Calendar'!$F$1526)*100000000+('Dvd Calendar'!$F$1528=SPECIAL_LBL)*10000000+(N('Dvd Calendar'!$F$1522)&gt;0)*(N('Dvd Calendar'!$F$1522)&lt;=VAL_SERIAL)*1000000+38*1000+2))</f>
        <v/>
      </c>
      <c r="EG153" s="121">
        <f>IF(N('Dvd Calendar'!$G$1523)=0,"",IF(('Dvd Calendar'!$G$1523&gt;=GRID_FROM)*('Dvd Calendar'!$G$1523&lt;=GRID_TO)*((('Dvd Calendar'!$G$1523&lt;=VAL_DATE)+(COUNTIF('Dvd Calendar'!$E$1530:$AR$1530,'Dvd Calendar'!$G$1523)=0))&gt;0)=0,"",'Dvd Calendar'!$G$1523*1000000000+ISNUMBER('Dvd Calendar'!$G$1526)*100000000+('Dvd Calendar'!$G$1528=SPECIAL_LBL)*10000000+(N('Dvd Calendar'!$G$1522)&gt;0)*(N('Dvd Calendar'!$G$1522)&lt;=VAL_SERIAL)*1000000+38*1000+3))</f>
        <v/>
      </c>
      <c r="EH153" s="121">
        <f>IF(N('Dvd Calendar'!$H$1523)=0,"",IF(('Dvd Calendar'!$H$1523&gt;=GRID_FROM)*('Dvd Calendar'!$H$1523&lt;=GRID_TO)*((('Dvd Calendar'!$H$1523&lt;=VAL_DATE)+(COUNTIF('Dvd Calendar'!$E$1530:$AR$1530,'Dvd Calendar'!$H$1523)=0))&gt;0)=0,"",'Dvd Calendar'!$H$1523*1000000000+ISNUMBER('Dvd Calendar'!$H$1526)*100000000+('Dvd Calendar'!$H$1528=SPECIAL_LBL)*10000000+(N('Dvd Calendar'!$H$1522)&gt;0)*(N('Dvd Calendar'!$H$1522)&lt;=VAL_SERIAL)*1000000+38*1000+4))</f>
        <v/>
      </c>
      <c r="EI153" s="121">
        <f>IF(N('Dvd Calendar'!$I$1523)=0,"",IF(('Dvd Calendar'!$I$1523&gt;=GRID_FROM)*('Dvd Calendar'!$I$1523&lt;=GRID_TO)*((('Dvd Calendar'!$I$1523&lt;=VAL_DATE)+(COUNTIF('Dvd Calendar'!$E$1530:$AR$1530,'Dvd Calendar'!$I$1523)=0))&gt;0)=0,"",'Dvd Calendar'!$I$1523*1000000000+ISNUMBER('Dvd Calendar'!$I$1526)*100000000+('Dvd Calendar'!$I$1528=SPECIAL_LBL)*10000000+(N('Dvd Calendar'!$I$1522)&gt;0)*(N('Dvd Calendar'!$I$1522)&lt;=VAL_SERIAL)*1000000+38*1000+5))</f>
        <v/>
      </c>
      <c r="EJ153" s="121">
        <f>IF(N('Dvd Calendar'!$J$1523)=0,"",IF(('Dvd Calendar'!$J$1523&gt;=GRID_FROM)*('Dvd Calendar'!$J$1523&lt;=GRID_TO)*((('Dvd Calendar'!$J$1523&lt;=VAL_DATE)+(COUNTIF('Dvd Calendar'!$E$1530:$AR$1530,'Dvd Calendar'!$J$1523)=0))&gt;0)=0,"",'Dvd Calendar'!$J$1523*1000000000+ISNUMBER('Dvd Calendar'!$J$1526)*100000000+('Dvd Calendar'!$J$1528=SPECIAL_LBL)*10000000+(N('Dvd Calendar'!$J$1522)&gt;0)*(N('Dvd Calendar'!$J$1522)&lt;=VAL_SERIAL)*1000000+38*1000+6))</f>
        <v/>
      </c>
      <c r="EK153" s="121">
        <f>IF(N('Dvd Calendar'!$K$1523)=0,"",IF(('Dvd Calendar'!$K$1523&gt;=GRID_FROM)*('Dvd Calendar'!$K$1523&lt;=GRID_TO)*((('Dvd Calendar'!$K$1523&lt;=VAL_DATE)+(COUNTIF('Dvd Calendar'!$E$1530:$AR$1530,'Dvd Calendar'!$K$1523)=0))&gt;0)=0,"",'Dvd Calendar'!$K$1523*1000000000+ISNUMBER('Dvd Calendar'!$K$1526)*100000000+('Dvd Calendar'!$K$1528=SPECIAL_LBL)*10000000+(N('Dvd Calendar'!$K$1522)&gt;0)*(N('Dvd Calendar'!$K$1522)&lt;=VAL_SERIAL)*1000000+38*1000+7))</f>
        <v/>
      </c>
      <c r="EL153" s="121">
        <f>IF(N('Dvd Calendar'!$L$1523)=0,"",IF(('Dvd Calendar'!$L$1523&gt;=GRID_FROM)*('Dvd Calendar'!$L$1523&lt;=GRID_TO)*((('Dvd Calendar'!$L$1523&lt;=VAL_DATE)+(COUNTIF('Dvd Calendar'!$E$1530:$AR$1530,'Dvd Calendar'!$L$1523)=0))&gt;0)=0,"",'Dvd Calendar'!$L$1523*1000000000+ISNUMBER('Dvd Calendar'!$L$1526)*100000000+('Dvd Calendar'!$L$1528=SPECIAL_LBL)*10000000+(N('Dvd Calendar'!$L$1522)&gt;0)*(N('Dvd Calendar'!$L$1522)&lt;=VAL_SERIAL)*1000000+38*1000+8))</f>
        <v/>
      </c>
      <c r="EM153" s="121">
        <f>IF(N('Dvd Calendar'!$M$1523)=0,"",IF(('Dvd Calendar'!$M$1523&gt;=GRID_FROM)*('Dvd Calendar'!$M$1523&lt;=GRID_TO)*((('Dvd Calendar'!$M$1523&lt;=VAL_DATE)+(COUNTIF('Dvd Calendar'!$E$1530:$AR$1530,'Dvd Calendar'!$M$1523)=0))&gt;0)=0,"",'Dvd Calendar'!$M$1523*1000000000+ISNUMBER('Dvd Calendar'!$M$1526)*100000000+('Dvd Calendar'!$M$1528=SPECIAL_LBL)*10000000+(N('Dvd Calendar'!$M$1522)&gt;0)*(N('Dvd Calendar'!$M$1522)&lt;=VAL_SERIAL)*1000000+38*1000+9))</f>
        <v/>
      </c>
      <c r="EN153" s="121">
        <f>IF(N('Dvd Calendar'!$N$1523)=0,"",IF(('Dvd Calendar'!$N$1523&gt;=GRID_FROM)*('Dvd Calendar'!$N$1523&lt;=GRID_TO)*((('Dvd Calendar'!$N$1523&lt;=VAL_DATE)+(COUNTIF('Dvd Calendar'!$E$1530:$AR$1530,'Dvd Calendar'!$N$1523)=0))&gt;0)=0,"",'Dvd Calendar'!$N$1523*1000000000+ISNUMBER('Dvd Calendar'!$N$1526)*100000000+('Dvd Calendar'!$N$1528=SPECIAL_LBL)*10000000+(N('Dvd Calendar'!$N$1522)&gt;0)*(N('Dvd Calendar'!$N$1522)&lt;=VAL_SERIAL)*1000000+38*1000+10))</f>
        <v/>
      </c>
      <c r="EO153" s="121">
        <f>IF(N('Dvd Calendar'!$O$1523)=0,"",IF(('Dvd Calendar'!$O$1523&gt;=GRID_FROM)*('Dvd Calendar'!$O$1523&lt;=GRID_TO)*((('Dvd Calendar'!$O$1523&lt;=VAL_DATE)+(COUNTIF('Dvd Calendar'!$E$1530:$AR$1530,'Dvd Calendar'!$O$1523)=0))&gt;0)=0,"",'Dvd Calendar'!$O$1523*1000000000+ISNUMBER('Dvd Calendar'!$O$1526)*100000000+('Dvd Calendar'!$O$1528=SPECIAL_LBL)*10000000+(N('Dvd Calendar'!$O$1522)&gt;0)*(N('Dvd Calendar'!$O$1522)&lt;=VAL_SERIAL)*1000000+38*1000+11))</f>
        <v/>
      </c>
      <c r="EP153" s="121">
        <f>IF(N('Dvd Calendar'!$P$1523)=0,"",IF(('Dvd Calendar'!$P$1523&gt;=GRID_FROM)*('Dvd Calendar'!$P$1523&lt;=GRID_TO)*((('Dvd Calendar'!$P$1523&lt;=VAL_DATE)+(COUNTIF('Dvd Calendar'!$E$1530:$AR$1530,'Dvd Calendar'!$P$1523)=0))&gt;0)=0,"",'Dvd Calendar'!$P$1523*1000000000+ISNUMBER('Dvd Calendar'!$P$1526)*100000000+('Dvd Calendar'!$P$1528=SPECIAL_LBL)*10000000+(N('Dvd Calendar'!$P$1522)&gt;0)*(N('Dvd Calendar'!$P$1522)&lt;=VAL_SERIAL)*1000000+38*1000+12))</f>
        <v/>
      </c>
      <c r="EQ153" s="121">
        <f>IF(N('Dvd Calendar'!$Q$1523)=0,"",IF(('Dvd Calendar'!$Q$1523&gt;=GRID_FROM)*('Dvd Calendar'!$Q$1523&lt;=GRID_TO)*((('Dvd Calendar'!$Q$1523&lt;=VAL_DATE)+(COUNTIF('Dvd Calendar'!$E$1530:$AR$1530,'Dvd Calendar'!$Q$1523)=0))&gt;0)=0,"",'Dvd Calendar'!$Q$1523*1000000000+ISNUMBER('Dvd Calendar'!$Q$1526)*100000000+('Dvd Calendar'!$Q$1528=SPECIAL_LBL)*10000000+(N('Dvd Calendar'!$Q$1522)&gt;0)*(N('Dvd Calendar'!$Q$1522)&lt;=VAL_SERIAL)*1000000+38*1000+13))</f>
        <v/>
      </c>
      <c r="ER153" s="121">
        <f>IF(N('Dvd Calendar'!$R$1523)=0,"",IF(('Dvd Calendar'!$R$1523&gt;=GRID_FROM)*('Dvd Calendar'!$R$1523&lt;=GRID_TO)*((('Dvd Calendar'!$R$1523&lt;=VAL_DATE)+(COUNTIF('Dvd Calendar'!$E$1530:$AR$1530,'Dvd Calendar'!$R$1523)=0))&gt;0)=0,"",'Dvd Calendar'!$R$1523*1000000000+ISNUMBER('Dvd Calendar'!$R$1526)*100000000+('Dvd Calendar'!$R$1528=SPECIAL_LBL)*10000000+(N('Dvd Calendar'!$R$1522)&gt;0)*(N('Dvd Calendar'!$R$1522)&lt;=VAL_SERIAL)*1000000+38*1000+14))</f>
        <v/>
      </c>
      <c r="ES153" s="121">
        <f>IF(N('Dvd Calendar'!$S$1523)=0,"",IF(('Dvd Calendar'!$S$1523&gt;=GRID_FROM)*('Dvd Calendar'!$S$1523&lt;=GRID_TO)*((('Dvd Calendar'!$S$1523&lt;=VAL_DATE)+(COUNTIF('Dvd Calendar'!$E$1530:$AR$1530,'Dvd Calendar'!$S$1523)=0))&gt;0)=0,"",'Dvd Calendar'!$S$1523*1000000000+ISNUMBER('Dvd Calendar'!$S$1526)*100000000+('Dvd Calendar'!$S$1528=SPECIAL_LBL)*10000000+(N('Dvd Calendar'!$S$1522)&gt;0)*(N('Dvd Calendar'!$S$1522)&lt;=VAL_SERIAL)*1000000+38*1000+15))</f>
        <v/>
      </c>
      <c r="ET153" s="121">
        <f>IF(N('Dvd Calendar'!$T$1523)=0,"",IF(('Dvd Calendar'!$T$1523&gt;=GRID_FROM)*('Dvd Calendar'!$T$1523&lt;=GRID_TO)*((('Dvd Calendar'!$T$1523&lt;=VAL_DATE)+(COUNTIF('Dvd Calendar'!$E$1530:$AR$1530,'Dvd Calendar'!$T$1523)=0))&gt;0)=0,"",'Dvd Calendar'!$T$1523*1000000000+ISNUMBER('Dvd Calendar'!$T$1526)*100000000+('Dvd Calendar'!$T$1528=SPECIAL_LBL)*10000000+(N('Dvd Calendar'!$T$1522)&gt;0)*(N('Dvd Calendar'!$T$1522)&lt;=VAL_SERIAL)*1000000+38*1000+16))</f>
        <v/>
      </c>
      <c r="EU153" s="121">
        <f>IF(N('Dvd Calendar'!$U$1523)=0,"",IF(('Dvd Calendar'!$U$1523&gt;=GRID_FROM)*('Dvd Calendar'!$U$1523&lt;=GRID_TO)*((('Dvd Calendar'!$U$1523&lt;=VAL_DATE)+(COUNTIF('Dvd Calendar'!$E$1530:$AR$1530,'Dvd Calendar'!$U$1523)=0))&gt;0)=0,"",'Dvd Calendar'!$U$1523*1000000000+ISNUMBER('Dvd Calendar'!$U$1526)*100000000+('Dvd Calendar'!$U$1528=SPECIAL_LBL)*10000000+(N('Dvd Calendar'!$U$1522)&gt;0)*(N('Dvd Calendar'!$U$1522)&lt;=VAL_SERIAL)*1000000+38*1000+17))</f>
        <v/>
      </c>
      <c r="EV153" s="121">
        <f>IF(N('Dvd Calendar'!$V$1523)=0,"",IF(('Dvd Calendar'!$V$1523&gt;=GRID_FROM)*('Dvd Calendar'!$V$1523&lt;=GRID_TO)*((('Dvd Calendar'!$V$1523&lt;=VAL_DATE)+(COUNTIF('Dvd Calendar'!$E$1530:$AR$1530,'Dvd Calendar'!$V$1523)=0))&gt;0)=0,"",'Dvd Calendar'!$V$1523*1000000000+ISNUMBER('Dvd Calendar'!$V$1526)*100000000+('Dvd Calendar'!$V$1528=SPECIAL_LBL)*10000000+(N('Dvd Calendar'!$V$1522)&gt;0)*(N('Dvd Calendar'!$V$1522)&lt;=VAL_SERIAL)*1000000+38*1000+18))</f>
        <v/>
      </c>
      <c r="EW153" s="121">
        <f>IF(N('Dvd Calendar'!$W$1523)=0,"",IF(('Dvd Calendar'!$W$1523&gt;=GRID_FROM)*('Dvd Calendar'!$W$1523&lt;=GRID_TO)*((('Dvd Calendar'!$W$1523&lt;=VAL_DATE)+(COUNTIF('Dvd Calendar'!$E$1530:$AR$1530,'Dvd Calendar'!$W$1523)=0))&gt;0)=0,"",'Dvd Calendar'!$W$1523*1000000000+ISNUMBER('Dvd Calendar'!$W$1526)*100000000+('Dvd Calendar'!$W$1528=SPECIAL_LBL)*10000000+(N('Dvd Calendar'!$W$1522)&gt;0)*(N('Dvd Calendar'!$W$1522)&lt;=VAL_SERIAL)*1000000+38*1000+19))</f>
        <v/>
      </c>
      <c r="EX153" s="121">
        <f>IF(N('Dvd Calendar'!$X$1523)=0,"",IF(('Dvd Calendar'!$X$1523&gt;=GRID_FROM)*('Dvd Calendar'!$X$1523&lt;=GRID_TO)*((('Dvd Calendar'!$X$1523&lt;=VAL_DATE)+(COUNTIF('Dvd Calendar'!$E$1530:$AR$1530,'Dvd Calendar'!$X$1523)=0))&gt;0)=0,"",'Dvd Calendar'!$X$1523*1000000000+ISNUMBER('Dvd Calendar'!$X$1526)*100000000+('Dvd Calendar'!$X$1528=SPECIAL_LBL)*10000000+(N('Dvd Calendar'!$X$1522)&gt;0)*(N('Dvd Calendar'!$X$1522)&lt;=VAL_SERIAL)*1000000+38*1000+20))</f>
        <v/>
      </c>
      <c r="EY153" s="121">
        <f>IF(N('Dvd Calendar'!$Y$1523)=0,"",IF(('Dvd Calendar'!$Y$1523&gt;=GRID_FROM)*('Dvd Calendar'!$Y$1523&lt;=GRID_TO)*((('Dvd Calendar'!$Y$1523&lt;=VAL_DATE)+(COUNTIF('Dvd Calendar'!$E$1530:$AR$1530,'Dvd Calendar'!$Y$1523)=0))&gt;0)=0,"",'Dvd Calendar'!$Y$1523*1000000000+ISNUMBER('Dvd Calendar'!$Y$1526)*100000000+('Dvd Calendar'!$Y$1528=SPECIAL_LBL)*10000000+(N('Dvd Calendar'!$Y$1522)&gt;0)*(N('Dvd Calendar'!$Y$1522)&lt;=VAL_SERIAL)*1000000+38*1000+21))</f>
        <v/>
      </c>
      <c r="EZ153" s="121">
        <f>IF(N('Dvd Calendar'!$Z$1523)=0,"",IF(('Dvd Calendar'!$Z$1523&gt;=GRID_FROM)*('Dvd Calendar'!$Z$1523&lt;=GRID_TO)*((('Dvd Calendar'!$Z$1523&lt;=VAL_DATE)+(COUNTIF('Dvd Calendar'!$E$1530:$AR$1530,'Dvd Calendar'!$Z$1523)=0))&gt;0)=0,"",'Dvd Calendar'!$Z$1523*1000000000+ISNUMBER('Dvd Calendar'!$Z$1526)*100000000+('Dvd Calendar'!$Z$1528=SPECIAL_LBL)*10000000+(N('Dvd Calendar'!$Z$1522)&gt;0)*(N('Dvd Calendar'!$Z$1522)&lt;=VAL_SERIAL)*1000000+38*1000+22))</f>
        <v/>
      </c>
      <c r="FA153" s="121">
        <f>IF(N('Dvd Calendar'!$AA$1523)=0,"",IF(('Dvd Calendar'!$AA$1523&gt;=GRID_FROM)*('Dvd Calendar'!$AA$1523&lt;=GRID_TO)*((('Dvd Calendar'!$AA$1523&lt;=VAL_DATE)+(COUNTIF('Dvd Calendar'!$E$1530:$AR$1530,'Dvd Calendar'!$AA$1523)=0))&gt;0)=0,"",'Dvd Calendar'!$AA$1523*1000000000+ISNUMBER('Dvd Calendar'!$AA$1526)*100000000+('Dvd Calendar'!$AA$1528=SPECIAL_LBL)*10000000+(N('Dvd Calendar'!$AA$1522)&gt;0)*(N('Dvd Calendar'!$AA$1522)&lt;=VAL_SERIAL)*1000000+38*1000+23))</f>
        <v/>
      </c>
      <c r="FB153" s="121">
        <f>IF(N('Dvd Calendar'!$AB$1523)=0,"",IF(('Dvd Calendar'!$AB$1523&gt;=GRID_FROM)*('Dvd Calendar'!$AB$1523&lt;=GRID_TO)*((('Dvd Calendar'!$AB$1523&lt;=VAL_DATE)+(COUNTIF('Dvd Calendar'!$E$1530:$AR$1530,'Dvd Calendar'!$AB$1523)=0))&gt;0)=0,"",'Dvd Calendar'!$AB$1523*1000000000+ISNUMBER('Dvd Calendar'!$AB$1526)*100000000+('Dvd Calendar'!$AB$1528=SPECIAL_LBL)*10000000+(N('Dvd Calendar'!$AB$1522)&gt;0)*(N('Dvd Calendar'!$AB$1522)&lt;=VAL_SERIAL)*1000000+38*1000+24))</f>
        <v/>
      </c>
      <c r="FC153" s="121">
        <f>IF(N('Dvd Calendar'!$AC$1523)=0,"",IF(('Dvd Calendar'!$AC$1523&gt;=GRID_FROM)*('Dvd Calendar'!$AC$1523&lt;=GRID_TO)*((('Dvd Calendar'!$AC$1523&lt;=VAL_DATE)+(COUNTIF('Dvd Calendar'!$E$1530:$AR$1530,'Dvd Calendar'!$AC$1523)=0))&gt;0)=0,"",'Dvd Calendar'!$AC$1523*1000000000+ISNUMBER('Dvd Calendar'!$AC$1526)*100000000+('Dvd Calendar'!$AC$1528=SPECIAL_LBL)*10000000+(N('Dvd Calendar'!$AC$1522)&gt;0)*(N('Dvd Calendar'!$AC$1522)&lt;=VAL_SERIAL)*1000000+38*1000+25))</f>
        <v/>
      </c>
      <c r="FD153" s="121">
        <f>IF(N('Dvd Calendar'!$AD$1523)=0,"",IF(('Dvd Calendar'!$AD$1523&gt;=GRID_FROM)*('Dvd Calendar'!$AD$1523&lt;=GRID_TO)*((('Dvd Calendar'!$AD$1523&lt;=VAL_DATE)+(COUNTIF('Dvd Calendar'!$E$1530:$AR$1530,'Dvd Calendar'!$AD$1523)=0))&gt;0)=0,"",'Dvd Calendar'!$AD$1523*1000000000+ISNUMBER('Dvd Calendar'!$AD$1526)*100000000+('Dvd Calendar'!$AD$1528=SPECIAL_LBL)*10000000+(N('Dvd Calendar'!$AD$1522)&gt;0)*(N('Dvd Calendar'!$AD$1522)&lt;=VAL_SERIAL)*1000000+38*1000+26))</f>
        <v/>
      </c>
      <c r="FE153" s="121">
        <f>IF(N('Dvd Calendar'!$AE$1523)=0,"",IF(('Dvd Calendar'!$AE$1523&gt;=GRID_FROM)*('Dvd Calendar'!$AE$1523&lt;=GRID_TO)*((('Dvd Calendar'!$AE$1523&lt;=VAL_DATE)+(COUNTIF('Dvd Calendar'!$E$1530:$AR$1530,'Dvd Calendar'!$AE$1523)=0))&gt;0)=0,"",'Dvd Calendar'!$AE$1523*1000000000+ISNUMBER('Dvd Calendar'!$AE$1526)*100000000+('Dvd Calendar'!$AE$1528=SPECIAL_LBL)*10000000+(N('Dvd Calendar'!$AE$1522)&gt;0)*(N('Dvd Calendar'!$AE$1522)&lt;=VAL_SERIAL)*1000000+38*1000+27))</f>
        <v/>
      </c>
      <c r="FF153" s="121">
        <f>IF(N('Dvd Calendar'!$AF$1523)=0,"",IF(('Dvd Calendar'!$AF$1523&gt;=GRID_FROM)*('Dvd Calendar'!$AF$1523&lt;=GRID_TO)*((('Dvd Calendar'!$AF$1523&lt;=VAL_DATE)+(COUNTIF('Dvd Calendar'!$E$1530:$AR$1530,'Dvd Calendar'!$AF$1523)=0))&gt;0)=0,"",'Dvd Calendar'!$AF$1523*1000000000+ISNUMBER('Dvd Calendar'!$AF$1526)*100000000+('Dvd Calendar'!$AF$1528=SPECIAL_LBL)*10000000+(N('Dvd Calendar'!$AF$1522)&gt;0)*(N('Dvd Calendar'!$AF$1522)&lt;=VAL_SERIAL)*1000000+38*1000+28))</f>
        <v/>
      </c>
      <c r="FG153" s="121">
        <f>IF(N('Dvd Calendar'!$AG$1523)=0,"",IF(('Dvd Calendar'!$AG$1523&gt;=GRID_FROM)*('Dvd Calendar'!$AG$1523&lt;=GRID_TO)*((('Dvd Calendar'!$AG$1523&lt;=VAL_DATE)+(COUNTIF('Dvd Calendar'!$E$1530:$AR$1530,'Dvd Calendar'!$AG$1523)=0))&gt;0)=0,"",'Dvd Calendar'!$AG$1523*1000000000+ISNUMBER('Dvd Calendar'!$AG$1526)*100000000+('Dvd Calendar'!$AG$1528=SPECIAL_LBL)*10000000+(N('Dvd Calendar'!$AG$1522)&gt;0)*(N('Dvd Calendar'!$AG$1522)&lt;=VAL_SERIAL)*1000000+38*1000+29))</f>
        <v/>
      </c>
      <c r="FH153" s="121">
        <f>IF(N('Dvd Calendar'!$AH$1523)=0,"",IF(('Dvd Calendar'!$AH$1523&gt;=GRID_FROM)*('Dvd Calendar'!$AH$1523&lt;=GRID_TO)*((('Dvd Calendar'!$AH$1523&lt;=VAL_DATE)+(COUNTIF('Dvd Calendar'!$E$1530:$AR$1530,'Dvd Calendar'!$AH$1523)=0))&gt;0)=0,"",'Dvd Calendar'!$AH$1523*1000000000+ISNUMBER('Dvd Calendar'!$AH$1526)*100000000+('Dvd Calendar'!$AH$1528=SPECIAL_LBL)*10000000+(N('Dvd Calendar'!$AH$1522)&gt;0)*(N('Dvd Calendar'!$AH$1522)&lt;=VAL_SERIAL)*1000000+38*1000+30))</f>
        <v/>
      </c>
      <c r="FI153" s="121">
        <f>IF(N('Dvd Calendar'!$AI$1523)=0,"",IF(('Dvd Calendar'!$AI$1523&gt;=GRID_FROM)*('Dvd Calendar'!$AI$1523&lt;=GRID_TO)*((('Dvd Calendar'!$AI$1523&lt;=VAL_DATE)+(COUNTIF('Dvd Calendar'!$E$1530:$AR$1530,'Dvd Calendar'!$AI$1523)=0))&gt;0)=0,"",'Dvd Calendar'!$AI$1523*1000000000+ISNUMBER('Dvd Calendar'!$AI$1526)*100000000+('Dvd Calendar'!$AI$1528=SPECIAL_LBL)*10000000+(N('Dvd Calendar'!$AI$1522)&gt;0)*(N('Dvd Calendar'!$AI$1522)&lt;=VAL_SERIAL)*1000000+38*1000+31))</f>
        <v/>
      </c>
      <c r="FJ153" s="121">
        <f>IF(N('Dvd Calendar'!$AJ$1523)=0,"",IF(('Dvd Calendar'!$AJ$1523&gt;=GRID_FROM)*('Dvd Calendar'!$AJ$1523&lt;=GRID_TO)*((('Dvd Calendar'!$AJ$1523&lt;=VAL_DATE)+(COUNTIF('Dvd Calendar'!$E$1530:$AR$1530,'Dvd Calendar'!$AJ$1523)=0))&gt;0)=0,"",'Dvd Calendar'!$AJ$1523*1000000000+ISNUMBER('Dvd Calendar'!$AJ$1526)*100000000+('Dvd Calendar'!$AJ$1528=SPECIAL_LBL)*10000000+(N('Dvd Calendar'!$AJ$1522)&gt;0)*(N('Dvd Calendar'!$AJ$1522)&lt;=VAL_SERIAL)*1000000+38*1000+32))</f>
        <v/>
      </c>
      <c r="FK153" s="121">
        <f>IF(N('Dvd Calendar'!$AK$1523)=0,"",IF(('Dvd Calendar'!$AK$1523&gt;=GRID_FROM)*('Dvd Calendar'!$AK$1523&lt;=GRID_TO)*((('Dvd Calendar'!$AK$1523&lt;=VAL_DATE)+(COUNTIF('Dvd Calendar'!$E$1530:$AR$1530,'Dvd Calendar'!$AK$1523)=0))&gt;0)=0,"",'Dvd Calendar'!$AK$1523*1000000000+ISNUMBER('Dvd Calendar'!$AK$1526)*100000000+('Dvd Calendar'!$AK$1528=SPECIAL_LBL)*10000000+(N('Dvd Calendar'!$AK$1522)&gt;0)*(N('Dvd Calendar'!$AK$1522)&lt;=VAL_SERIAL)*1000000+38*1000+33))</f>
        <v/>
      </c>
      <c r="FL153" s="121">
        <f>IF(N('Dvd Calendar'!$AL$1523)=0,"",IF(('Dvd Calendar'!$AL$1523&gt;=GRID_FROM)*('Dvd Calendar'!$AL$1523&lt;=GRID_TO)*((('Dvd Calendar'!$AL$1523&lt;=VAL_DATE)+(COUNTIF('Dvd Calendar'!$E$1530:$AR$1530,'Dvd Calendar'!$AL$1523)=0))&gt;0)=0,"",'Dvd Calendar'!$AL$1523*1000000000+ISNUMBER('Dvd Calendar'!$AL$1526)*100000000+('Dvd Calendar'!$AL$1528=SPECIAL_LBL)*10000000+(N('Dvd Calendar'!$AL$1522)&gt;0)*(N('Dvd Calendar'!$AL$1522)&lt;=VAL_SERIAL)*1000000+38*1000+34))</f>
        <v/>
      </c>
      <c r="FM153" s="121">
        <f>IF(N('Dvd Calendar'!$AM$1523)=0,"",IF(('Dvd Calendar'!$AM$1523&gt;=GRID_FROM)*('Dvd Calendar'!$AM$1523&lt;=GRID_TO)*((('Dvd Calendar'!$AM$1523&lt;=VAL_DATE)+(COUNTIF('Dvd Calendar'!$E$1530:$AR$1530,'Dvd Calendar'!$AM$1523)=0))&gt;0)=0,"",'Dvd Calendar'!$AM$1523*1000000000+ISNUMBER('Dvd Calendar'!$AM$1526)*100000000+('Dvd Calendar'!$AM$1528=SPECIAL_LBL)*10000000+(N('Dvd Calendar'!$AM$1522)&gt;0)*(N('Dvd Calendar'!$AM$1522)&lt;=VAL_SERIAL)*1000000+38*1000+35))</f>
        <v/>
      </c>
      <c r="FN153" s="121">
        <f>IF(N('Dvd Calendar'!$AN$1523)=0,"",IF(('Dvd Calendar'!$AN$1523&gt;=GRID_FROM)*('Dvd Calendar'!$AN$1523&lt;=GRID_TO)*((('Dvd Calendar'!$AN$1523&lt;=VAL_DATE)+(COUNTIF('Dvd Calendar'!$E$1530:$AR$1530,'Dvd Calendar'!$AN$1523)=0))&gt;0)=0,"",'Dvd Calendar'!$AN$1523*1000000000+ISNUMBER('Dvd Calendar'!$AN$1526)*100000000+('Dvd Calendar'!$AN$1528=SPECIAL_LBL)*10000000+(N('Dvd Calendar'!$AN$1522)&gt;0)*(N('Dvd Calendar'!$AN$1522)&lt;=VAL_SERIAL)*1000000+38*1000+36))</f>
        <v/>
      </c>
      <c r="FO153" s="121">
        <f>IF(N('Dvd Calendar'!$AO$1523)=0,"",IF(('Dvd Calendar'!$AO$1523&gt;=GRID_FROM)*('Dvd Calendar'!$AO$1523&lt;=GRID_TO)*((('Dvd Calendar'!$AO$1523&lt;=VAL_DATE)+(COUNTIF('Dvd Calendar'!$E$1530:$AR$1530,'Dvd Calendar'!$AO$1523)=0))&gt;0)=0,"",'Dvd Calendar'!$AO$1523*1000000000+ISNUMBER('Dvd Calendar'!$AO$1526)*100000000+('Dvd Calendar'!$AO$1528=SPECIAL_LBL)*10000000+(N('Dvd Calendar'!$AO$1522)&gt;0)*(N('Dvd Calendar'!$AO$1522)&lt;=VAL_SERIAL)*1000000+38*1000+37))</f>
        <v/>
      </c>
      <c r="FP153" s="121">
        <f>IF(N('Dvd Calendar'!$AP$1523)=0,"",IF(('Dvd Calendar'!$AP$1523&gt;=GRID_FROM)*('Dvd Calendar'!$AP$1523&lt;=GRID_TO)*((('Dvd Calendar'!$AP$1523&lt;=VAL_DATE)+(COUNTIF('Dvd Calendar'!$E$1530:$AR$1530,'Dvd Calendar'!$AP$1523)=0))&gt;0)=0,"",'Dvd Calendar'!$AP$1523*1000000000+ISNUMBER('Dvd Calendar'!$AP$1526)*100000000+('Dvd Calendar'!$AP$1528=SPECIAL_LBL)*10000000+(N('Dvd Calendar'!$AP$1522)&gt;0)*(N('Dvd Calendar'!$AP$1522)&lt;=VAL_SERIAL)*1000000+38*1000+38))</f>
        <v/>
      </c>
      <c r="FQ153" s="121">
        <f>IF(N('Dvd Calendar'!$AQ$1523)=0,"",IF(('Dvd Calendar'!$AQ$1523&gt;=GRID_FROM)*('Dvd Calendar'!$AQ$1523&lt;=GRID_TO)*((('Dvd Calendar'!$AQ$1523&lt;=VAL_DATE)+(COUNTIF('Dvd Calendar'!$E$1530:$AR$1530,'Dvd Calendar'!$AQ$1523)=0))&gt;0)=0,"",'Dvd Calendar'!$AQ$1523*1000000000+ISNUMBER('Dvd Calendar'!$AQ$1526)*100000000+('Dvd Calendar'!$AQ$1528=SPECIAL_LBL)*10000000+(N('Dvd Calendar'!$AQ$1522)&gt;0)*(N('Dvd Calendar'!$AQ$1522)&lt;=VAL_SERIAL)*1000000+38*1000+39))</f>
        <v/>
      </c>
      <c r="FR153" s="121">
        <f>IF(N('Dvd Calendar'!$AR$1523)=0,"",IF(('Dvd Calendar'!$AR$1523&gt;=GRID_FROM)*('Dvd Calendar'!$AR$1523&lt;=GRID_TO)*((('Dvd Calendar'!$AR$1523&lt;=VAL_DATE)+(COUNTIF('Dvd Calendar'!$E$1530:$AR$1530,'Dvd Calendar'!$AR$1523)=0))&gt;0)=0,"",'Dvd Calendar'!$AR$1523*1000000000+ISNUMBER('Dvd Calendar'!$AR$1526)*100000000+('Dvd Calendar'!$AR$1528=SPECIAL_LBL)*10000000+(N('Dvd Calendar'!$AR$1522)&gt;0)*(N('Dvd Calendar'!$AR$1522)&lt;=VAL_SERIAL)*1000000+38*1000+40))</f>
        <v/>
      </c>
      <c r="FS153" s="121">
        <f>IF(N('Dvd Calendar'!$E$1530)=0,"",IF(('Dvd Calendar'!$E$1530&gt;=GRID_FROM)*('Dvd Calendar'!$E$1530&lt;=GRID_TO)*('Dvd Calendar'!$E$1530&gt;VAL_DATE)=0,"",'Dvd Calendar'!$E$1530*1000000000+ISNUMBER('Dvd Calendar'!$E$1531)*100000000+0*10000000+(N('Dvd Calendar'!$E$1529)&gt;0)*(N('Dvd Calendar'!$E$1529)&lt;=VAL_SERIAL)*1000000+38*1000+41))</f>
        <v/>
      </c>
      <c r="FT153" s="121">
        <f>IF(N('Dvd Calendar'!$F$1530)=0,"",IF(('Dvd Calendar'!$F$1530&gt;=GRID_FROM)*('Dvd Calendar'!$F$1530&lt;=GRID_TO)*('Dvd Calendar'!$F$1530&gt;VAL_DATE)=0,"",'Dvd Calendar'!$F$1530*1000000000+ISNUMBER('Dvd Calendar'!$F$1531)*100000000+0*10000000+(N('Dvd Calendar'!$F$1529)&gt;0)*(N('Dvd Calendar'!$F$1529)&lt;=VAL_SERIAL)*1000000+38*1000+42))</f>
        <v/>
      </c>
      <c r="FU153" s="121">
        <f>IF(N('Dvd Calendar'!$G$1530)=0,"",IF(('Dvd Calendar'!$G$1530&gt;=GRID_FROM)*('Dvd Calendar'!$G$1530&lt;=GRID_TO)*('Dvd Calendar'!$G$1530&gt;VAL_DATE)=0,"",'Dvd Calendar'!$G$1530*1000000000+ISNUMBER('Dvd Calendar'!$G$1531)*100000000+0*10000000+(N('Dvd Calendar'!$G$1529)&gt;0)*(N('Dvd Calendar'!$G$1529)&lt;=VAL_SERIAL)*1000000+38*1000+43))</f>
        <v/>
      </c>
      <c r="FV153" s="121">
        <f>IF(N('Dvd Calendar'!$H$1530)=0,"",IF(('Dvd Calendar'!$H$1530&gt;=GRID_FROM)*('Dvd Calendar'!$H$1530&lt;=GRID_TO)*('Dvd Calendar'!$H$1530&gt;VAL_DATE)=0,"",'Dvd Calendar'!$H$1530*1000000000+ISNUMBER('Dvd Calendar'!$H$1531)*100000000+0*10000000+(N('Dvd Calendar'!$H$1529)&gt;0)*(N('Dvd Calendar'!$H$1529)&lt;=VAL_SERIAL)*1000000+38*1000+44))</f>
        <v/>
      </c>
      <c r="FW153" s="121">
        <f>IF(N('Dvd Calendar'!$I$1530)=0,"",IF(('Dvd Calendar'!$I$1530&gt;=GRID_FROM)*('Dvd Calendar'!$I$1530&lt;=GRID_TO)*('Dvd Calendar'!$I$1530&gt;VAL_DATE)=0,"",'Dvd Calendar'!$I$1530*1000000000+ISNUMBER('Dvd Calendar'!$I$1531)*100000000+0*10000000+(N('Dvd Calendar'!$I$1529)&gt;0)*(N('Dvd Calendar'!$I$1529)&lt;=VAL_SERIAL)*1000000+38*1000+45))</f>
        <v/>
      </c>
      <c r="FX153" s="121">
        <f>IF(N('Dvd Calendar'!$J$1530)=0,"",IF(('Dvd Calendar'!$J$1530&gt;=GRID_FROM)*('Dvd Calendar'!$J$1530&lt;=GRID_TO)*('Dvd Calendar'!$J$1530&gt;VAL_DATE)=0,"",'Dvd Calendar'!$J$1530*1000000000+ISNUMBER('Dvd Calendar'!$J$1531)*100000000+0*10000000+(N('Dvd Calendar'!$J$1529)&gt;0)*(N('Dvd Calendar'!$J$1529)&lt;=VAL_SERIAL)*1000000+38*1000+46))</f>
        <v/>
      </c>
      <c r="FY153" s="121">
        <f>IF(N('Dvd Calendar'!$K$1530)=0,"",IF(('Dvd Calendar'!$K$1530&gt;=GRID_FROM)*('Dvd Calendar'!$K$1530&lt;=GRID_TO)*('Dvd Calendar'!$K$1530&gt;VAL_DATE)=0,"",'Dvd Calendar'!$K$1530*1000000000+ISNUMBER('Dvd Calendar'!$K$1531)*100000000+0*10000000+(N('Dvd Calendar'!$K$1529)&gt;0)*(N('Dvd Calendar'!$K$1529)&lt;=VAL_SERIAL)*1000000+38*1000+47))</f>
        <v/>
      </c>
      <c r="FZ153" s="121">
        <f>IF(N('Dvd Calendar'!$L$1530)=0,"",IF(('Dvd Calendar'!$L$1530&gt;=GRID_FROM)*('Dvd Calendar'!$L$1530&lt;=GRID_TO)*('Dvd Calendar'!$L$1530&gt;VAL_DATE)=0,"",'Dvd Calendar'!$L$1530*1000000000+ISNUMBER('Dvd Calendar'!$L$1531)*100000000+0*10000000+(N('Dvd Calendar'!$L$1529)&gt;0)*(N('Dvd Calendar'!$L$1529)&lt;=VAL_SERIAL)*1000000+38*1000+48))</f>
        <v/>
      </c>
      <c r="GA153" s="121">
        <f>IF(N('Dvd Calendar'!$M$1530)=0,"",IF(('Dvd Calendar'!$M$1530&gt;=GRID_FROM)*('Dvd Calendar'!$M$1530&lt;=GRID_TO)*('Dvd Calendar'!$M$1530&gt;VAL_DATE)=0,"",'Dvd Calendar'!$M$1530*1000000000+ISNUMBER('Dvd Calendar'!$M$1531)*100000000+0*10000000+(N('Dvd Calendar'!$M$1529)&gt;0)*(N('Dvd Calendar'!$M$1529)&lt;=VAL_SERIAL)*1000000+38*1000+49))</f>
        <v/>
      </c>
      <c r="GB153" s="121">
        <f>IF(N('Dvd Calendar'!$N$1530)=0,"",IF(('Dvd Calendar'!$N$1530&gt;=GRID_FROM)*('Dvd Calendar'!$N$1530&lt;=GRID_TO)*('Dvd Calendar'!$N$1530&gt;VAL_DATE)=0,"",'Dvd Calendar'!$N$1530*1000000000+ISNUMBER('Dvd Calendar'!$N$1531)*100000000+0*10000000+(N('Dvd Calendar'!$N$1529)&gt;0)*(N('Dvd Calendar'!$N$1529)&lt;=VAL_SERIAL)*1000000+38*1000+50))</f>
        <v/>
      </c>
      <c r="GC153" s="121">
        <f>IF(N('Dvd Calendar'!$O$1530)=0,"",IF(('Dvd Calendar'!$O$1530&gt;=GRID_FROM)*('Dvd Calendar'!$O$1530&lt;=GRID_TO)*('Dvd Calendar'!$O$1530&gt;VAL_DATE)=0,"",'Dvd Calendar'!$O$1530*1000000000+ISNUMBER('Dvd Calendar'!$O$1531)*100000000+0*10000000+(N('Dvd Calendar'!$O$1529)&gt;0)*(N('Dvd Calendar'!$O$1529)&lt;=VAL_SERIAL)*1000000+38*1000+51))</f>
        <v/>
      </c>
      <c r="GD153" s="121">
        <f>IF(N('Dvd Calendar'!$P$1530)=0,"",IF(('Dvd Calendar'!$P$1530&gt;=GRID_FROM)*('Dvd Calendar'!$P$1530&lt;=GRID_TO)*('Dvd Calendar'!$P$1530&gt;VAL_DATE)=0,"",'Dvd Calendar'!$P$1530*1000000000+ISNUMBER('Dvd Calendar'!$P$1531)*100000000+0*10000000+(N('Dvd Calendar'!$P$1529)&gt;0)*(N('Dvd Calendar'!$P$1529)&lt;=VAL_SERIAL)*1000000+38*1000+52))</f>
        <v/>
      </c>
      <c r="GE153" s="121">
        <f>IF(N('Dvd Calendar'!$Q$1530)=0,"",IF(('Dvd Calendar'!$Q$1530&gt;=GRID_FROM)*('Dvd Calendar'!$Q$1530&lt;=GRID_TO)*('Dvd Calendar'!$Q$1530&gt;VAL_DATE)=0,"",'Dvd Calendar'!$Q$1530*1000000000+ISNUMBER('Dvd Calendar'!$Q$1531)*100000000+0*10000000+(N('Dvd Calendar'!$Q$1529)&gt;0)*(N('Dvd Calendar'!$Q$1529)&lt;=VAL_SERIAL)*1000000+38*1000+53))</f>
        <v/>
      </c>
      <c r="GF153" s="121">
        <f>IF(N('Dvd Calendar'!$R$1530)=0,"",IF(('Dvd Calendar'!$R$1530&gt;=GRID_FROM)*('Dvd Calendar'!$R$1530&lt;=GRID_TO)*('Dvd Calendar'!$R$1530&gt;VAL_DATE)=0,"",'Dvd Calendar'!$R$1530*1000000000+ISNUMBER('Dvd Calendar'!$R$1531)*100000000+0*10000000+(N('Dvd Calendar'!$R$1529)&gt;0)*(N('Dvd Calendar'!$R$1529)&lt;=VAL_SERIAL)*1000000+38*1000+54))</f>
        <v/>
      </c>
      <c r="GG153" s="121">
        <f>IF(N('Dvd Calendar'!$S$1530)=0,"",IF(('Dvd Calendar'!$S$1530&gt;=GRID_FROM)*('Dvd Calendar'!$S$1530&lt;=GRID_TO)*('Dvd Calendar'!$S$1530&gt;VAL_DATE)=0,"",'Dvd Calendar'!$S$1530*1000000000+ISNUMBER('Dvd Calendar'!$S$1531)*100000000+0*10000000+(N('Dvd Calendar'!$S$1529)&gt;0)*(N('Dvd Calendar'!$S$1529)&lt;=VAL_SERIAL)*1000000+38*1000+55))</f>
        <v/>
      </c>
      <c r="GH153" s="121">
        <f>IF(N('Dvd Calendar'!$T$1530)=0,"",IF(('Dvd Calendar'!$T$1530&gt;=GRID_FROM)*('Dvd Calendar'!$T$1530&lt;=GRID_TO)*('Dvd Calendar'!$T$1530&gt;VAL_DATE)=0,"",'Dvd Calendar'!$T$1530*1000000000+ISNUMBER('Dvd Calendar'!$T$1531)*100000000+0*10000000+(N('Dvd Calendar'!$T$1529)&gt;0)*(N('Dvd Calendar'!$T$1529)&lt;=VAL_SERIAL)*1000000+38*1000+56))</f>
        <v/>
      </c>
      <c r="GI153" s="121">
        <f>IF(N('Dvd Calendar'!$U$1530)=0,"",IF(('Dvd Calendar'!$U$1530&gt;=GRID_FROM)*('Dvd Calendar'!$U$1530&lt;=GRID_TO)*('Dvd Calendar'!$U$1530&gt;VAL_DATE)=0,"",'Dvd Calendar'!$U$1530*1000000000+ISNUMBER('Dvd Calendar'!$U$1531)*100000000+0*10000000+(N('Dvd Calendar'!$U$1529)&gt;0)*(N('Dvd Calendar'!$U$1529)&lt;=VAL_SERIAL)*1000000+38*1000+57))</f>
        <v/>
      </c>
      <c r="GJ153" s="121">
        <f>IF(N('Dvd Calendar'!$V$1530)=0,"",IF(('Dvd Calendar'!$V$1530&gt;=GRID_FROM)*('Dvd Calendar'!$V$1530&lt;=GRID_TO)*('Dvd Calendar'!$V$1530&gt;VAL_DATE)=0,"",'Dvd Calendar'!$V$1530*1000000000+ISNUMBER('Dvd Calendar'!$V$1531)*100000000+0*10000000+(N('Dvd Calendar'!$V$1529)&gt;0)*(N('Dvd Calendar'!$V$1529)&lt;=VAL_SERIAL)*1000000+38*1000+58))</f>
        <v/>
      </c>
      <c r="GK153" s="121">
        <f>IF(N('Dvd Calendar'!$W$1530)=0,"",IF(('Dvd Calendar'!$W$1530&gt;=GRID_FROM)*('Dvd Calendar'!$W$1530&lt;=GRID_TO)*('Dvd Calendar'!$W$1530&gt;VAL_DATE)=0,"",'Dvd Calendar'!$W$1530*1000000000+ISNUMBER('Dvd Calendar'!$W$1531)*100000000+0*10000000+(N('Dvd Calendar'!$W$1529)&gt;0)*(N('Dvd Calendar'!$W$1529)&lt;=VAL_SERIAL)*1000000+38*1000+59))</f>
        <v/>
      </c>
      <c r="GL153" s="121">
        <f>IF(N('Dvd Calendar'!$X$1530)=0,"",IF(('Dvd Calendar'!$X$1530&gt;=GRID_FROM)*('Dvd Calendar'!$X$1530&lt;=GRID_TO)*('Dvd Calendar'!$X$1530&gt;VAL_DATE)=0,"",'Dvd Calendar'!$X$1530*1000000000+ISNUMBER('Dvd Calendar'!$X$1531)*100000000+0*10000000+(N('Dvd Calendar'!$X$1529)&gt;0)*(N('Dvd Calendar'!$X$1529)&lt;=VAL_SERIAL)*1000000+38*1000+60))</f>
        <v/>
      </c>
      <c r="GM153" s="121">
        <f>IF(N('Dvd Calendar'!$Y$1530)=0,"",IF(('Dvd Calendar'!$Y$1530&gt;=GRID_FROM)*('Dvd Calendar'!$Y$1530&lt;=GRID_TO)*('Dvd Calendar'!$Y$1530&gt;VAL_DATE)=0,"",'Dvd Calendar'!$Y$1530*1000000000+ISNUMBER('Dvd Calendar'!$Y$1531)*100000000+0*10000000+(N('Dvd Calendar'!$Y$1529)&gt;0)*(N('Dvd Calendar'!$Y$1529)&lt;=VAL_SERIAL)*1000000+38*1000+61))</f>
        <v/>
      </c>
      <c r="GN153" s="121">
        <f>IF(N('Dvd Calendar'!$Z$1530)=0,"",IF(('Dvd Calendar'!$Z$1530&gt;=GRID_FROM)*('Dvd Calendar'!$Z$1530&lt;=GRID_TO)*('Dvd Calendar'!$Z$1530&gt;VAL_DATE)=0,"",'Dvd Calendar'!$Z$1530*1000000000+ISNUMBER('Dvd Calendar'!$Z$1531)*100000000+0*10000000+(N('Dvd Calendar'!$Z$1529)&gt;0)*(N('Dvd Calendar'!$Z$1529)&lt;=VAL_SERIAL)*1000000+38*1000+62))</f>
        <v/>
      </c>
      <c r="GO153" s="121">
        <f>IF(N('Dvd Calendar'!$AA$1530)=0,"",IF(('Dvd Calendar'!$AA$1530&gt;=GRID_FROM)*('Dvd Calendar'!$AA$1530&lt;=GRID_TO)*('Dvd Calendar'!$AA$1530&gt;VAL_DATE)=0,"",'Dvd Calendar'!$AA$1530*1000000000+ISNUMBER('Dvd Calendar'!$AA$1531)*100000000+0*10000000+(N('Dvd Calendar'!$AA$1529)&gt;0)*(N('Dvd Calendar'!$AA$1529)&lt;=VAL_SERIAL)*1000000+38*1000+63))</f>
        <v/>
      </c>
      <c r="GP153" s="121">
        <f>IF(N('Dvd Calendar'!$AB$1530)=0,"",IF(('Dvd Calendar'!$AB$1530&gt;=GRID_FROM)*('Dvd Calendar'!$AB$1530&lt;=GRID_TO)*('Dvd Calendar'!$AB$1530&gt;VAL_DATE)=0,"",'Dvd Calendar'!$AB$1530*1000000000+ISNUMBER('Dvd Calendar'!$AB$1531)*100000000+0*10000000+(N('Dvd Calendar'!$AB$1529)&gt;0)*(N('Dvd Calendar'!$AB$1529)&lt;=VAL_SERIAL)*1000000+38*1000+64))</f>
        <v/>
      </c>
      <c r="GQ153" s="121">
        <f>IF(N('Dvd Calendar'!$AC$1530)=0,"",IF(('Dvd Calendar'!$AC$1530&gt;=GRID_FROM)*('Dvd Calendar'!$AC$1530&lt;=GRID_TO)*('Dvd Calendar'!$AC$1530&gt;VAL_DATE)=0,"",'Dvd Calendar'!$AC$1530*1000000000+ISNUMBER('Dvd Calendar'!$AC$1531)*100000000+0*10000000+(N('Dvd Calendar'!$AC$1529)&gt;0)*(N('Dvd Calendar'!$AC$1529)&lt;=VAL_SERIAL)*1000000+38*1000+65))</f>
        <v/>
      </c>
    </row>
    <row r="154">
      <c r="B154" s="2">
        <f>IF(HSTECH!$C$45="","",HSTECH!$C$45)</f>
        <v/>
      </c>
      <c r="C154" s="161">
        <f>IF(EE154="","",IF(ISNUMBER('Dvd Calendar'!$E$1537)=FALSE,"",IF((('Dvd Calendar'!$E$1539=TYPE1)*(TYPE1&lt;&gt;"")+('Dvd Calendar'!$E$1539=TYPE2)*(TYPE2&lt;&gt;"")+('Dvd Calendar'!$E$1539=TYPE3)*(TYPE3&lt;&gt;"")+('Dvd Calendar'!$E$1539=TYPE4)*(TYPE4&lt;&gt;"")+('Dvd Calendar'!$E$1539=SPECIAL_LBL)*(INC_SPECIALS="Y"))=0,"",'Dvd Calendar'!$E$1537)))</f>
        <v/>
      </c>
      <c r="D154" s="161">
        <f>IF(EF154="","",IF(ISNUMBER('Dvd Calendar'!$F$1537)=FALSE,"",IF((('Dvd Calendar'!$F$1539=TYPE1)*(TYPE1&lt;&gt;"")+('Dvd Calendar'!$F$1539=TYPE2)*(TYPE2&lt;&gt;"")+('Dvd Calendar'!$F$1539=TYPE3)*(TYPE3&lt;&gt;"")+('Dvd Calendar'!$F$1539=TYPE4)*(TYPE4&lt;&gt;"")+('Dvd Calendar'!$F$1539=SPECIAL_LBL)*(INC_SPECIALS="Y"))=0,"",'Dvd Calendar'!$F$1537)))</f>
        <v/>
      </c>
      <c r="E154" s="161">
        <f>IF(EG154="","",IF(ISNUMBER('Dvd Calendar'!$G$1537)=FALSE,"",IF((('Dvd Calendar'!$G$1539=TYPE1)*(TYPE1&lt;&gt;"")+('Dvd Calendar'!$G$1539=TYPE2)*(TYPE2&lt;&gt;"")+('Dvd Calendar'!$G$1539=TYPE3)*(TYPE3&lt;&gt;"")+('Dvd Calendar'!$G$1539=TYPE4)*(TYPE4&lt;&gt;"")+('Dvd Calendar'!$G$1539=SPECIAL_LBL)*(INC_SPECIALS="Y"))=0,"",'Dvd Calendar'!$G$1537)))</f>
        <v/>
      </c>
      <c r="F154" s="161">
        <f>IF(EH154="","",IF(ISNUMBER('Dvd Calendar'!$H$1537)=FALSE,"",IF((('Dvd Calendar'!$H$1539=TYPE1)*(TYPE1&lt;&gt;"")+('Dvd Calendar'!$H$1539=TYPE2)*(TYPE2&lt;&gt;"")+('Dvd Calendar'!$H$1539=TYPE3)*(TYPE3&lt;&gt;"")+('Dvd Calendar'!$H$1539=TYPE4)*(TYPE4&lt;&gt;"")+('Dvd Calendar'!$H$1539=SPECIAL_LBL)*(INC_SPECIALS="Y"))=0,"",'Dvd Calendar'!$H$1537)))</f>
        <v/>
      </c>
      <c r="G154" s="161">
        <f>IF(EI154="","",IF(ISNUMBER('Dvd Calendar'!$I$1537)=FALSE,"",IF((('Dvd Calendar'!$I$1539=TYPE1)*(TYPE1&lt;&gt;"")+('Dvd Calendar'!$I$1539=TYPE2)*(TYPE2&lt;&gt;"")+('Dvd Calendar'!$I$1539=TYPE3)*(TYPE3&lt;&gt;"")+('Dvd Calendar'!$I$1539=TYPE4)*(TYPE4&lt;&gt;"")+('Dvd Calendar'!$I$1539=SPECIAL_LBL)*(INC_SPECIALS="Y"))=0,"",'Dvd Calendar'!$I$1537)))</f>
        <v/>
      </c>
      <c r="H154" s="161">
        <f>IF(EJ154="","",IF(ISNUMBER('Dvd Calendar'!$J$1537)=FALSE,"",IF((('Dvd Calendar'!$J$1539=TYPE1)*(TYPE1&lt;&gt;"")+('Dvd Calendar'!$J$1539=TYPE2)*(TYPE2&lt;&gt;"")+('Dvd Calendar'!$J$1539=TYPE3)*(TYPE3&lt;&gt;"")+('Dvd Calendar'!$J$1539=TYPE4)*(TYPE4&lt;&gt;"")+('Dvd Calendar'!$J$1539=SPECIAL_LBL)*(INC_SPECIALS="Y"))=0,"",'Dvd Calendar'!$J$1537)))</f>
        <v/>
      </c>
      <c r="I154" s="161">
        <f>IF(EK154="","",IF(ISNUMBER('Dvd Calendar'!$K$1537)=FALSE,"",IF((('Dvd Calendar'!$K$1539=TYPE1)*(TYPE1&lt;&gt;"")+('Dvd Calendar'!$K$1539=TYPE2)*(TYPE2&lt;&gt;"")+('Dvd Calendar'!$K$1539=TYPE3)*(TYPE3&lt;&gt;"")+('Dvd Calendar'!$K$1539=TYPE4)*(TYPE4&lt;&gt;"")+('Dvd Calendar'!$K$1539=SPECIAL_LBL)*(INC_SPECIALS="Y"))=0,"",'Dvd Calendar'!$K$1537)))</f>
        <v/>
      </c>
      <c r="J154" s="161">
        <f>IF(EL154="","",IF(ISNUMBER('Dvd Calendar'!$L$1537)=FALSE,"",IF((('Dvd Calendar'!$L$1539=TYPE1)*(TYPE1&lt;&gt;"")+('Dvd Calendar'!$L$1539=TYPE2)*(TYPE2&lt;&gt;"")+('Dvd Calendar'!$L$1539=TYPE3)*(TYPE3&lt;&gt;"")+('Dvd Calendar'!$L$1539=TYPE4)*(TYPE4&lt;&gt;"")+('Dvd Calendar'!$L$1539=SPECIAL_LBL)*(INC_SPECIALS="Y"))=0,"",'Dvd Calendar'!$L$1537)))</f>
        <v/>
      </c>
      <c r="K154" s="161">
        <f>IF(EM154="","",IF(ISNUMBER('Dvd Calendar'!$M$1537)=FALSE,"",IF((('Dvd Calendar'!$M$1539=TYPE1)*(TYPE1&lt;&gt;"")+('Dvd Calendar'!$M$1539=TYPE2)*(TYPE2&lt;&gt;"")+('Dvd Calendar'!$M$1539=TYPE3)*(TYPE3&lt;&gt;"")+('Dvd Calendar'!$M$1539=TYPE4)*(TYPE4&lt;&gt;"")+('Dvd Calendar'!$M$1539=SPECIAL_LBL)*(INC_SPECIALS="Y"))=0,"",'Dvd Calendar'!$M$1537)))</f>
        <v/>
      </c>
      <c r="L154" s="161">
        <f>IF(EN154="","",IF(ISNUMBER('Dvd Calendar'!$N$1537)=FALSE,"",IF((('Dvd Calendar'!$N$1539=TYPE1)*(TYPE1&lt;&gt;"")+('Dvd Calendar'!$N$1539=TYPE2)*(TYPE2&lt;&gt;"")+('Dvd Calendar'!$N$1539=TYPE3)*(TYPE3&lt;&gt;"")+('Dvd Calendar'!$N$1539=TYPE4)*(TYPE4&lt;&gt;"")+('Dvd Calendar'!$N$1539=SPECIAL_LBL)*(INC_SPECIALS="Y"))=0,"",'Dvd Calendar'!$N$1537)))</f>
        <v/>
      </c>
      <c r="M154" s="161">
        <f>IF(EO154="","",IF(ISNUMBER('Dvd Calendar'!$O$1537)=FALSE,"",IF((('Dvd Calendar'!$O$1539=TYPE1)*(TYPE1&lt;&gt;"")+('Dvd Calendar'!$O$1539=TYPE2)*(TYPE2&lt;&gt;"")+('Dvd Calendar'!$O$1539=TYPE3)*(TYPE3&lt;&gt;"")+('Dvd Calendar'!$O$1539=TYPE4)*(TYPE4&lt;&gt;"")+('Dvd Calendar'!$O$1539=SPECIAL_LBL)*(INC_SPECIALS="Y"))=0,"",'Dvd Calendar'!$O$1537)))</f>
        <v/>
      </c>
      <c r="N154" s="161">
        <f>IF(EP154="","",IF(ISNUMBER('Dvd Calendar'!$P$1537)=FALSE,"",IF((('Dvd Calendar'!$P$1539=TYPE1)*(TYPE1&lt;&gt;"")+('Dvd Calendar'!$P$1539=TYPE2)*(TYPE2&lt;&gt;"")+('Dvd Calendar'!$P$1539=TYPE3)*(TYPE3&lt;&gt;"")+('Dvd Calendar'!$P$1539=TYPE4)*(TYPE4&lt;&gt;"")+('Dvd Calendar'!$P$1539=SPECIAL_LBL)*(INC_SPECIALS="Y"))=0,"",'Dvd Calendar'!$P$1537)))</f>
        <v/>
      </c>
      <c r="O154" s="161">
        <f>IF(EQ154="","",IF(ISNUMBER('Dvd Calendar'!$Q$1537)=FALSE,"",IF((('Dvd Calendar'!$Q$1539=TYPE1)*(TYPE1&lt;&gt;"")+('Dvd Calendar'!$Q$1539=TYPE2)*(TYPE2&lt;&gt;"")+('Dvd Calendar'!$Q$1539=TYPE3)*(TYPE3&lt;&gt;"")+('Dvd Calendar'!$Q$1539=TYPE4)*(TYPE4&lt;&gt;"")+('Dvd Calendar'!$Q$1539=SPECIAL_LBL)*(INC_SPECIALS="Y"))=0,"",'Dvd Calendar'!$Q$1537)))</f>
        <v/>
      </c>
      <c r="P154" s="161">
        <f>IF(ER154="","",IF(ISNUMBER('Dvd Calendar'!$R$1537)=FALSE,"",IF((('Dvd Calendar'!$R$1539=TYPE1)*(TYPE1&lt;&gt;"")+('Dvd Calendar'!$R$1539=TYPE2)*(TYPE2&lt;&gt;"")+('Dvd Calendar'!$R$1539=TYPE3)*(TYPE3&lt;&gt;"")+('Dvd Calendar'!$R$1539=TYPE4)*(TYPE4&lt;&gt;"")+('Dvd Calendar'!$R$1539=SPECIAL_LBL)*(INC_SPECIALS="Y"))=0,"",'Dvd Calendar'!$R$1537)))</f>
        <v/>
      </c>
      <c r="Q154" s="161">
        <f>IF(ES154="","",IF(ISNUMBER('Dvd Calendar'!$S$1537)=FALSE,"",IF((('Dvd Calendar'!$S$1539=TYPE1)*(TYPE1&lt;&gt;"")+('Dvd Calendar'!$S$1539=TYPE2)*(TYPE2&lt;&gt;"")+('Dvd Calendar'!$S$1539=TYPE3)*(TYPE3&lt;&gt;"")+('Dvd Calendar'!$S$1539=TYPE4)*(TYPE4&lt;&gt;"")+('Dvd Calendar'!$S$1539=SPECIAL_LBL)*(INC_SPECIALS="Y"))=0,"",'Dvd Calendar'!$S$1537)))</f>
        <v/>
      </c>
      <c r="R154" s="161">
        <f>IF(ET154="","",IF(ISNUMBER('Dvd Calendar'!$T$1537)=FALSE,"",IF((('Dvd Calendar'!$T$1539=TYPE1)*(TYPE1&lt;&gt;"")+('Dvd Calendar'!$T$1539=TYPE2)*(TYPE2&lt;&gt;"")+('Dvd Calendar'!$T$1539=TYPE3)*(TYPE3&lt;&gt;"")+('Dvd Calendar'!$T$1539=TYPE4)*(TYPE4&lt;&gt;"")+('Dvd Calendar'!$T$1539=SPECIAL_LBL)*(INC_SPECIALS="Y"))=0,"",'Dvd Calendar'!$T$1537)))</f>
        <v/>
      </c>
      <c r="S154" s="161">
        <f>IF(EU154="","",IF(ISNUMBER('Dvd Calendar'!$U$1537)=FALSE,"",IF((('Dvd Calendar'!$U$1539=TYPE1)*(TYPE1&lt;&gt;"")+('Dvd Calendar'!$U$1539=TYPE2)*(TYPE2&lt;&gt;"")+('Dvd Calendar'!$U$1539=TYPE3)*(TYPE3&lt;&gt;"")+('Dvd Calendar'!$U$1539=TYPE4)*(TYPE4&lt;&gt;"")+('Dvd Calendar'!$U$1539=SPECIAL_LBL)*(INC_SPECIALS="Y"))=0,"",'Dvd Calendar'!$U$1537)))</f>
        <v/>
      </c>
      <c r="T154" s="161">
        <f>IF(EV154="","",IF(ISNUMBER('Dvd Calendar'!$V$1537)=FALSE,"",IF((('Dvd Calendar'!$V$1539=TYPE1)*(TYPE1&lt;&gt;"")+('Dvd Calendar'!$V$1539=TYPE2)*(TYPE2&lt;&gt;"")+('Dvd Calendar'!$V$1539=TYPE3)*(TYPE3&lt;&gt;"")+('Dvd Calendar'!$V$1539=TYPE4)*(TYPE4&lt;&gt;"")+('Dvd Calendar'!$V$1539=SPECIAL_LBL)*(INC_SPECIALS="Y"))=0,"",'Dvd Calendar'!$V$1537)))</f>
        <v/>
      </c>
      <c r="U154" s="161">
        <f>IF(EW154="","",IF(ISNUMBER('Dvd Calendar'!$W$1537)=FALSE,"",IF((('Dvd Calendar'!$W$1539=TYPE1)*(TYPE1&lt;&gt;"")+('Dvd Calendar'!$W$1539=TYPE2)*(TYPE2&lt;&gt;"")+('Dvd Calendar'!$W$1539=TYPE3)*(TYPE3&lt;&gt;"")+('Dvd Calendar'!$W$1539=TYPE4)*(TYPE4&lt;&gt;"")+('Dvd Calendar'!$W$1539=SPECIAL_LBL)*(INC_SPECIALS="Y"))=0,"",'Dvd Calendar'!$W$1537)))</f>
        <v/>
      </c>
      <c r="V154" s="161">
        <f>IF(EX154="","",IF(ISNUMBER('Dvd Calendar'!$X$1537)=FALSE,"",IF((('Dvd Calendar'!$X$1539=TYPE1)*(TYPE1&lt;&gt;"")+('Dvd Calendar'!$X$1539=TYPE2)*(TYPE2&lt;&gt;"")+('Dvd Calendar'!$X$1539=TYPE3)*(TYPE3&lt;&gt;"")+('Dvd Calendar'!$X$1539=TYPE4)*(TYPE4&lt;&gt;"")+('Dvd Calendar'!$X$1539=SPECIAL_LBL)*(INC_SPECIALS="Y"))=0,"",'Dvd Calendar'!$X$1537)))</f>
        <v/>
      </c>
      <c r="W154" s="161">
        <f>IF(EY154="","",IF(ISNUMBER('Dvd Calendar'!$Y$1537)=FALSE,"",IF((('Dvd Calendar'!$Y$1539=TYPE1)*(TYPE1&lt;&gt;"")+('Dvd Calendar'!$Y$1539=TYPE2)*(TYPE2&lt;&gt;"")+('Dvd Calendar'!$Y$1539=TYPE3)*(TYPE3&lt;&gt;"")+('Dvd Calendar'!$Y$1539=TYPE4)*(TYPE4&lt;&gt;"")+('Dvd Calendar'!$Y$1539=SPECIAL_LBL)*(INC_SPECIALS="Y"))=0,"",'Dvd Calendar'!$Y$1537)))</f>
        <v/>
      </c>
      <c r="X154" s="161">
        <f>IF(EZ154="","",IF(ISNUMBER('Dvd Calendar'!$Z$1537)=FALSE,"",IF((('Dvd Calendar'!$Z$1539=TYPE1)*(TYPE1&lt;&gt;"")+('Dvd Calendar'!$Z$1539=TYPE2)*(TYPE2&lt;&gt;"")+('Dvd Calendar'!$Z$1539=TYPE3)*(TYPE3&lt;&gt;"")+('Dvd Calendar'!$Z$1539=TYPE4)*(TYPE4&lt;&gt;"")+('Dvd Calendar'!$Z$1539=SPECIAL_LBL)*(INC_SPECIALS="Y"))=0,"",'Dvd Calendar'!$Z$1537)))</f>
        <v/>
      </c>
      <c r="Y154" s="161">
        <f>IF(FA154="","",IF(ISNUMBER('Dvd Calendar'!$AA$1537)=FALSE,"",IF((('Dvd Calendar'!$AA$1539=TYPE1)*(TYPE1&lt;&gt;"")+('Dvd Calendar'!$AA$1539=TYPE2)*(TYPE2&lt;&gt;"")+('Dvd Calendar'!$AA$1539=TYPE3)*(TYPE3&lt;&gt;"")+('Dvd Calendar'!$AA$1539=TYPE4)*(TYPE4&lt;&gt;"")+('Dvd Calendar'!$AA$1539=SPECIAL_LBL)*(INC_SPECIALS="Y"))=0,"",'Dvd Calendar'!$AA$1537)))</f>
        <v/>
      </c>
      <c r="Z154" s="161">
        <f>IF(FB154="","",IF(ISNUMBER('Dvd Calendar'!$AB$1537)=FALSE,"",IF((('Dvd Calendar'!$AB$1539=TYPE1)*(TYPE1&lt;&gt;"")+('Dvd Calendar'!$AB$1539=TYPE2)*(TYPE2&lt;&gt;"")+('Dvd Calendar'!$AB$1539=TYPE3)*(TYPE3&lt;&gt;"")+('Dvd Calendar'!$AB$1539=TYPE4)*(TYPE4&lt;&gt;"")+('Dvd Calendar'!$AB$1539=SPECIAL_LBL)*(INC_SPECIALS="Y"))=0,"",'Dvd Calendar'!$AB$1537)))</f>
        <v/>
      </c>
      <c r="AA154" s="161">
        <f>IF(FC154="","",IF(ISNUMBER('Dvd Calendar'!$AC$1537)=FALSE,"",IF((('Dvd Calendar'!$AC$1539=TYPE1)*(TYPE1&lt;&gt;"")+('Dvd Calendar'!$AC$1539=TYPE2)*(TYPE2&lt;&gt;"")+('Dvd Calendar'!$AC$1539=TYPE3)*(TYPE3&lt;&gt;"")+('Dvd Calendar'!$AC$1539=TYPE4)*(TYPE4&lt;&gt;"")+('Dvd Calendar'!$AC$1539=SPECIAL_LBL)*(INC_SPECIALS="Y"))=0,"",'Dvd Calendar'!$AC$1537)))</f>
        <v/>
      </c>
      <c r="AB154" s="161">
        <f>IF(FD154="","",IF(ISNUMBER('Dvd Calendar'!$AD$1537)=FALSE,"",IF((('Dvd Calendar'!$AD$1539=TYPE1)*(TYPE1&lt;&gt;"")+('Dvd Calendar'!$AD$1539=TYPE2)*(TYPE2&lt;&gt;"")+('Dvd Calendar'!$AD$1539=TYPE3)*(TYPE3&lt;&gt;"")+('Dvd Calendar'!$AD$1539=TYPE4)*(TYPE4&lt;&gt;"")+('Dvd Calendar'!$AD$1539=SPECIAL_LBL)*(INC_SPECIALS="Y"))=0,"",'Dvd Calendar'!$AD$1537)))</f>
        <v/>
      </c>
      <c r="AC154" s="161">
        <f>IF(FE154="","",IF(ISNUMBER('Dvd Calendar'!$AE$1537)=FALSE,"",IF((('Dvd Calendar'!$AE$1539=TYPE1)*(TYPE1&lt;&gt;"")+('Dvd Calendar'!$AE$1539=TYPE2)*(TYPE2&lt;&gt;"")+('Dvd Calendar'!$AE$1539=TYPE3)*(TYPE3&lt;&gt;"")+('Dvd Calendar'!$AE$1539=TYPE4)*(TYPE4&lt;&gt;"")+('Dvd Calendar'!$AE$1539=SPECIAL_LBL)*(INC_SPECIALS="Y"))=0,"",'Dvd Calendar'!$AE$1537)))</f>
        <v/>
      </c>
      <c r="AD154" s="161">
        <f>IF(FF154="","",IF(ISNUMBER('Dvd Calendar'!$AF$1537)=FALSE,"",IF((('Dvd Calendar'!$AF$1539=TYPE1)*(TYPE1&lt;&gt;"")+('Dvd Calendar'!$AF$1539=TYPE2)*(TYPE2&lt;&gt;"")+('Dvd Calendar'!$AF$1539=TYPE3)*(TYPE3&lt;&gt;"")+('Dvd Calendar'!$AF$1539=TYPE4)*(TYPE4&lt;&gt;"")+('Dvd Calendar'!$AF$1539=SPECIAL_LBL)*(INC_SPECIALS="Y"))=0,"",'Dvd Calendar'!$AF$1537)))</f>
        <v/>
      </c>
      <c r="AE154" s="161">
        <f>IF(FG154="","",IF(ISNUMBER('Dvd Calendar'!$AG$1537)=FALSE,"",IF((('Dvd Calendar'!$AG$1539=TYPE1)*(TYPE1&lt;&gt;"")+('Dvd Calendar'!$AG$1539=TYPE2)*(TYPE2&lt;&gt;"")+('Dvd Calendar'!$AG$1539=TYPE3)*(TYPE3&lt;&gt;"")+('Dvd Calendar'!$AG$1539=TYPE4)*(TYPE4&lt;&gt;"")+('Dvd Calendar'!$AG$1539=SPECIAL_LBL)*(INC_SPECIALS="Y"))=0,"",'Dvd Calendar'!$AG$1537)))</f>
        <v/>
      </c>
      <c r="AF154" s="161">
        <f>IF(FH154="","",IF(ISNUMBER('Dvd Calendar'!$AH$1537)=FALSE,"",IF((('Dvd Calendar'!$AH$1539=TYPE1)*(TYPE1&lt;&gt;"")+('Dvd Calendar'!$AH$1539=TYPE2)*(TYPE2&lt;&gt;"")+('Dvd Calendar'!$AH$1539=TYPE3)*(TYPE3&lt;&gt;"")+('Dvd Calendar'!$AH$1539=TYPE4)*(TYPE4&lt;&gt;"")+('Dvd Calendar'!$AH$1539=SPECIAL_LBL)*(INC_SPECIALS="Y"))=0,"",'Dvd Calendar'!$AH$1537)))</f>
        <v/>
      </c>
      <c r="AG154" s="161">
        <f>IF(FI154="","",IF(ISNUMBER('Dvd Calendar'!$AI$1537)=FALSE,"",IF((('Dvd Calendar'!$AI$1539=TYPE1)*(TYPE1&lt;&gt;"")+('Dvd Calendar'!$AI$1539=TYPE2)*(TYPE2&lt;&gt;"")+('Dvd Calendar'!$AI$1539=TYPE3)*(TYPE3&lt;&gt;"")+('Dvd Calendar'!$AI$1539=TYPE4)*(TYPE4&lt;&gt;"")+('Dvd Calendar'!$AI$1539=SPECIAL_LBL)*(INC_SPECIALS="Y"))=0,"",'Dvd Calendar'!$AI$1537)))</f>
        <v/>
      </c>
      <c r="AH154" s="161">
        <f>IF(FJ154="","",IF(ISNUMBER('Dvd Calendar'!$AJ$1537)=FALSE,"",IF((('Dvd Calendar'!$AJ$1539=TYPE1)*(TYPE1&lt;&gt;"")+('Dvd Calendar'!$AJ$1539=TYPE2)*(TYPE2&lt;&gt;"")+('Dvd Calendar'!$AJ$1539=TYPE3)*(TYPE3&lt;&gt;"")+('Dvd Calendar'!$AJ$1539=TYPE4)*(TYPE4&lt;&gt;"")+('Dvd Calendar'!$AJ$1539=SPECIAL_LBL)*(INC_SPECIALS="Y"))=0,"",'Dvd Calendar'!$AJ$1537)))</f>
        <v/>
      </c>
      <c r="AI154" s="161">
        <f>IF(FK154="","",IF(ISNUMBER('Dvd Calendar'!$AK$1537)=FALSE,"",IF((('Dvd Calendar'!$AK$1539=TYPE1)*(TYPE1&lt;&gt;"")+('Dvd Calendar'!$AK$1539=TYPE2)*(TYPE2&lt;&gt;"")+('Dvd Calendar'!$AK$1539=TYPE3)*(TYPE3&lt;&gt;"")+('Dvd Calendar'!$AK$1539=TYPE4)*(TYPE4&lt;&gt;"")+('Dvd Calendar'!$AK$1539=SPECIAL_LBL)*(INC_SPECIALS="Y"))=0,"",'Dvd Calendar'!$AK$1537)))</f>
        <v/>
      </c>
      <c r="AJ154" s="161">
        <f>IF(FL154="","",IF(ISNUMBER('Dvd Calendar'!$AL$1537)=FALSE,"",IF((('Dvd Calendar'!$AL$1539=TYPE1)*(TYPE1&lt;&gt;"")+('Dvd Calendar'!$AL$1539=TYPE2)*(TYPE2&lt;&gt;"")+('Dvd Calendar'!$AL$1539=TYPE3)*(TYPE3&lt;&gt;"")+('Dvd Calendar'!$AL$1539=TYPE4)*(TYPE4&lt;&gt;"")+('Dvd Calendar'!$AL$1539=SPECIAL_LBL)*(INC_SPECIALS="Y"))=0,"",'Dvd Calendar'!$AL$1537)))</f>
        <v/>
      </c>
      <c r="AK154" s="161">
        <f>IF(FM154="","",IF(ISNUMBER('Dvd Calendar'!$AM$1537)=FALSE,"",IF((('Dvd Calendar'!$AM$1539=TYPE1)*(TYPE1&lt;&gt;"")+('Dvd Calendar'!$AM$1539=TYPE2)*(TYPE2&lt;&gt;"")+('Dvd Calendar'!$AM$1539=TYPE3)*(TYPE3&lt;&gt;"")+('Dvd Calendar'!$AM$1539=TYPE4)*(TYPE4&lt;&gt;"")+('Dvd Calendar'!$AM$1539=SPECIAL_LBL)*(INC_SPECIALS="Y"))=0,"",'Dvd Calendar'!$AM$1537)))</f>
        <v/>
      </c>
      <c r="AL154" s="161">
        <f>IF(FN154="","",IF(ISNUMBER('Dvd Calendar'!$AN$1537)=FALSE,"",IF((('Dvd Calendar'!$AN$1539=TYPE1)*(TYPE1&lt;&gt;"")+('Dvd Calendar'!$AN$1539=TYPE2)*(TYPE2&lt;&gt;"")+('Dvd Calendar'!$AN$1539=TYPE3)*(TYPE3&lt;&gt;"")+('Dvd Calendar'!$AN$1539=TYPE4)*(TYPE4&lt;&gt;"")+('Dvd Calendar'!$AN$1539=SPECIAL_LBL)*(INC_SPECIALS="Y"))=0,"",'Dvd Calendar'!$AN$1537)))</f>
        <v/>
      </c>
      <c r="AM154" s="161">
        <f>IF(FO154="","",IF(ISNUMBER('Dvd Calendar'!$AO$1537)=FALSE,"",IF((('Dvd Calendar'!$AO$1539=TYPE1)*(TYPE1&lt;&gt;"")+('Dvd Calendar'!$AO$1539=TYPE2)*(TYPE2&lt;&gt;"")+('Dvd Calendar'!$AO$1539=TYPE3)*(TYPE3&lt;&gt;"")+('Dvd Calendar'!$AO$1539=TYPE4)*(TYPE4&lt;&gt;"")+('Dvd Calendar'!$AO$1539=SPECIAL_LBL)*(INC_SPECIALS="Y"))=0,"",'Dvd Calendar'!$AO$1537)))</f>
        <v/>
      </c>
      <c r="AN154" s="161">
        <f>IF(FP154="","",IF(ISNUMBER('Dvd Calendar'!$AP$1537)=FALSE,"",IF((('Dvd Calendar'!$AP$1539=TYPE1)*(TYPE1&lt;&gt;"")+('Dvd Calendar'!$AP$1539=TYPE2)*(TYPE2&lt;&gt;"")+('Dvd Calendar'!$AP$1539=TYPE3)*(TYPE3&lt;&gt;"")+('Dvd Calendar'!$AP$1539=TYPE4)*(TYPE4&lt;&gt;"")+('Dvd Calendar'!$AP$1539=SPECIAL_LBL)*(INC_SPECIALS="Y"))=0,"",'Dvd Calendar'!$AP$1537)))</f>
        <v/>
      </c>
      <c r="AO154" s="161">
        <f>IF(FQ154="","",IF(ISNUMBER('Dvd Calendar'!$AQ$1537)=FALSE,"",IF((('Dvd Calendar'!$AQ$1539=TYPE1)*(TYPE1&lt;&gt;"")+('Dvd Calendar'!$AQ$1539=TYPE2)*(TYPE2&lt;&gt;"")+('Dvd Calendar'!$AQ$1539=TYPE3)*(TYPE3&lt;&gt;"")+('Dvd Calendar'!$AQ$1539=TYPE4)*(TYPE4&lt;&gt;"")+('Dvd Calendar'!$AQ$1539=SPECIAL_LBL)*(INC_SPECIALS="Y"))=0,"",'Dvd Calendar'!$AQ$1537)))</f>
        <v/>
      </c>
      <c r="AP154" s="161">
        <f>IF(FR154="","",IF(ISNUMBER('Dvd Calendar'!$AR$1537)=FALSE,"",IF((('Dvd Calendar'!$AR$1539=TYPE1)*(TYPE1&lt;&gt;"")+('Dvd Calendar'!$AR$1539=TYPE2)*(TYPE2&lt;&gt;"")+('Dvd Calendar'!$AR$1539=TYPE3)*(TYPE3&lt;&gt;"")+('Dvd Calendar'!$AR$1539=TYPE4)*(TYPE4&lt;&gt;"")+('Dvd Calendar'!$AR$1539=SPECIAL_LBL)*(INC_SPECIALS="Y"))=0,"",'Dvd Calendar'!$AR$1537)))</f>
        <v/>
      </c>
      <c r="AQ154" s="161">
        <f>IF(FS154="","",IF(ISNUMBER('Dvd Calendar'!$E$1542)=FALSE,"",'Dvd Calendar'!$E$1542))</f>
        <v/>
      </c>
      <c r="AR154" s="161">
        <f>IF(FT154="","",IF(ISNUMBER('Dvd Calendar'!$F$1542)=FALSE,"",'Dvd Calendar'!$F$1542))</f>
        <v/>
      </c>
      <c r="AS154" s="161">
        <f>IF(FU154="","",IF(ISNUMBER('Dvd Calendar'!$G$1542)=FALSE,"",'Dvd Calendar'!$G$1542))</f>
        <v/>
      </c>
      <c r="AT154" s="161">
        <f>IF(FV154="","",IF(ISNUMBER('Dvd Calendar'!$H$1542)=FALSE,"",'Dvd Calendar'!$H$1542))</f>
        <v/>
      </c>
      <c r="AU154" s="161">
        <f>IF(FW154="","",IF(ISNUMBER('Dvd Calendar'!$I$1542)=FALSE,"",'Dvd Calendar'!$I$1542))</f>
        <v/>
      </c>
      <c r="AV154" s="161">
        <f>IF(FX154="","",IF(ISNUMBER('Dvd Calendar'!$J$1542)=FALSE,"",'Dvd Calendar'!$J$1542))</f>
        <v/>
      </c>
      <c r="AW154" s="161">
        <f>IF(FY154="","",IF(ISNUMBER('Dvd Calendar'!$K$1542)=FALSE,"",'Dvd Calendar'!$K$1542))</f>
        <v/>
      </c>
      <c r="AX154" s="161">
        <f>IF(FZ154="","",IF(ISNUMBER('Dvd Calendar'!$L$1542)=FALSE,"",'Dvd Calendar'!$L$1542))</f>
        <v/>
      </c>
      <c r="AY154" s="161">
        <f>IF(GA154="","",IF(ISNUMBER('Dvd Calendar'!$M$1542)=FALSE,"",'Dvd Calendar'!$M$1542))</f>
        <v/>
      </c>
      <c r="AZ154" s="161">
        <f>IF(GB154="","",IF(ISNUMBER('Dvd Calendar'!$N$1542)=FALSE,"",'Dvd Calendar'!$N$1542))</f>
        <v/>
      </c>
      <c r="BA154" s="161">
        <f>IF(GC154="","",IF(ISNUMBER('Dvd Calendar'!$O$1542)=FALSE,"",'Dvd Calendar'!$O$1542))</f>
        <v/>
      </c>
      <c r="BB154" s="161">
        <f>IF(GD154="","",IF(ISNUMBER('Dvd Calendar'!$P$1542)=FALSE,"",'Dvd Calendar'!$P$1542))</f>
        <v/>
      </c>
      <c r="BC154" s="161">
        <f>IF(GE154="","",IF(ISNUMBER('Dvd Calendar'!$Q$1542)=FALSE,"",'Dvd Calendar'!$Q$1542))</f>
        <v/>
      </c>
      <c r="BD154" s="161">
        <f>IF(GF154="","",IF(ISNUMBER('Dvd Calendar'!$R$1542)=FALSE,"",'Dvd Calendar'!$R$1542))</f>
        <v/>
      </c>
      <c r="BE154" s="161">
        <f>IF(GG154="","",IF(ISNUMBER('Dvd Calendar'!$S$1542)=FALSE,"",'Dvd Calendar'!$S$1542))</f>
        <v/>
      </c>
      <c r="BF154" s="161">
        <f>IF(GH154="","",IF(ISNUMBER('Dvd Calendar'!$T$1542)=FALSE,"",'Dvd Calendar'!$T$1542))</f>
        <v/>
      </c>
      <c r="BG154" s="161">
        <f>IF(GI154="","",IF(ISNUMBER('Dvd Calendar'!$U$1542)=FALSE,"",'Dvd Calendar'!$U$1542))</f>
        <v/>
      </c>
      <c r="BH154" s="161">
        <f>IF(GJ154="","",IF(ISNUMBER('Dvd Calendar'!$V$1542)=FALSE,"",'Dvd Calendar'!$V$1542))</f>
        <v/>
      </c>
      <c r="BI154" s="161">
        <f>IF(GK154="","",IF(ISNUMBER('Dvd Calendar'!$W$1542)=FALSE,"",'Dvd Calendar'!$W$1542))</f>
        <v/>
      </c>
      <c r="BJ154" s="161">
        <f>IF(GL154="","",IF(ISNUMBER('Dvd Calendar'!$X$1542)=FALSE,"",'Dvd Calendar'!$X$1542))</f>
        <v/>
      </c>
      <c r="BK154" s="161">
        <f>IF(GM154="","",IF(ISNUMBER('Dvd Calendar'!$Y$1542)=FALSE,"",'Dvd Calendar'!$Y$1542))</f>
        <v/>
      </c>
      <c r="BL154" s="161">
        <f>IF(GN154="","",IF(ISNUMBER('Dvd Calendar'!$Z$1542)=FALSE,"",'Dvd Calendar'!$Z$1542))</f>
        <v/>
      </c>
      <c r="BM154" s="161">
        <f>IF(GO154="","",IF(ISNUMBER('Dvd Calendar'!$AA$1542)=FALSE,"",'Dvd Calendar'!$AA$1542))</f>
        <v/>
      </c>
      <c r="BN154" s="161">
        <f>IF(GP154="","",IF(ISNUMBER('Dvd Calendar'!$AB$1542)=FALSE,"",'Dvd Calendar'!$AB$1542))</f>
        <v/>
      </c>
      <c r="BO154" s="161">
        <f>IF(GQ154="","",IF(ISNUMBER('Dvd Calendar'!$AC$1542)=FALSE,"",'Dvd Calendar'!$AC$1542))</f>
        <v/>
      </c>
      <c r="BQ154" s="161">
        <f>IF(C154="","",IFERROR(C154*HSTECH!$B$45*HSTECH!$G$45/HSTECH!$B$3,""))</f>
        <v/>
      </c>
      <c r="BR154" s="161">
        <f>IF(D154="","",IFERROR(D154*HSTECH!$B$45*HSTECH!$G$45/HSTECH!$B$3,""))</f>
        <v/>
      </c>
      <c r="BS154" s="161">
        <f>IF(E154="","",IFERROR(E154*HSTECH!$B$45*HSTECH!$G$45/HSTECH!$B$3,""))</f>
        <v/>
      </c>
      <c r="BT154" s="161">
        <f>IF(F154="","",IFERROR(F154*HSTECH!$B$45*HSTECH!$G$45/HSTECH!$B$3,""))</f>
        <v/>
      </c>
      <c r="BU154" s="161">
        <f>IF(G154="","",IFERROR(G154*HSTECH!$B$45*HSTECH!$G$45/HSTECH!$B$3,""))</f>
        <v/>
      </c>
      <c r="BV154" s="161">
        <f>IF(H154="","",IFERROR(H154*HSTECH!$B$45*HSTECH!$G$45/HSTECH!$B$3,""))</f>
        <v/>
      </c>
      <c r="BW154" s="161">
        <f>IF(I154="","",IFERROR(I154*HSTECH!$B$45*HSTECH!$G$45/HSTECH!$B$3,""))</f>
        <v/>
      </c>
      <c r="BX154" s="161">
        <f>IF(J154="","",IFERROR(J154*HSTECH!$B$45*HSTECH!$G$45/HSTECH!$B$3,""))</f>
        <v/>
      </c>
      <c r="BY154" s="161">
        <f>IF(K154="","",IFERROR(K154*HSTECH!$B$45*HSTECH!$G$45/HSTECH!$B$3,""))</f>
        <v/>
      </c>
      <c r="BZ154" s="161">
        <f>IF(L154="","",IFERROR(L154*HSTECH!$B$45*HSTECH!$G$45/HSTECH!$B$3,""))</f>
        <v/>
      </c>
      <c r="CA154" s="161">
        <f>IF(M154="","",IFERROR(M154*HSTECH!$B$45*HSTECH!$G$45/HSTECH!$B$3,""))</f>
        <v/>
      </c>
      <c r="CB154" s="161">
        <f>IF(N154="","",IFERROR(N154*HSTECH!$B$45*HSTECH!$G$45/HSTECH!$B$3,""))</f>
        <v/>
      </c>
      <c r="CC154" s="161">
        <f>IF(O154="","",IFERROR(O154*HSTECH!$B$45*HSTECH!$G$45/HSTECH!$B$3,""))</f>
        <v/>
      </c>
      <c r="CD154" s="161">
        <f>IF(P154="","",IFERROR(P154*HSTECH!$B$45*HSTECH!$G$45/HSTECH!$B$3,""))</f>
        <v/>
      </c>
      <c r="CE154" s="161">
        <f>IF(Q154="","",IFERROR(Q154*HSTECH!$B$45*HSTECH!$G$45/HSTECH!$B$3,""))</f>
        <v/>
      </c>
      <c r="CF154" s="161">
        <f>IF(R154="","",IFERROR(R154*HSTECH!$B$45*HSTECH!$G$45/HSTECH!$B$3,""))</f>
        <v/>
      </c>
      <c r="CG154" s="161">
        <f>IF(S154="","",IFERROR(S154*HSTECH!$B$45*HSTECH!$G$45/HSTECH!$B$3,""))</f>
        <v/>
      </c>
      <c r="CH154" s="161">
        <f>IF(T154="","",IFERROR(T154*HSTECH!$B$45*HSTECH!$G$45/HSTECH!$B$3,""))</f>
        <v/>
      </c>
      <c r="CI154" s="161">
        <f>IF(U154="","",IFERROR(U154*HSTECH!$B$45*HSTECH!$G$45/HSTECH!$B$3,""))</f>
        <v/>
      </c>
      <c r="CJ154" s="161">
        <f>IF(V154="","",IFERROR(V154*HSTECH!$B$45*HSTECH!$G$45/HSTECH!$B$3,""))</f>
        <v/>
      </c>
      <c r="CK154" s="161">
        <f>IF(W154="","",IFERROR(W154*HSTECH!$B$45*HSTECH!$G$45/HSTECH!$B$3,""))</f>
        <v/>
      </c>
      <c r="CL154" s="161">
        <f>IF(X154="","",IFERROR(X154*HSTECH!$B$45*HSTECH!$G$45/HSTECH!$B$3,""))</f>
        <v/>
      </c>
      <c r="CM154" s="161">
        <f>IF(Y154="","",IFERROR(Y154*HSTECH!$B$45*HSTECH!$G$45/HSTECH!$B$3,""))</f>
        <v/>
      </c>
      <c r="CN154" s="161">
        <f>IF(Z154="","",IFERROR(Z154*HSTECH!$B$45*HSTECH!$G$45/HSTECH!$B$3,""))</f>
        <v/>
      </c>
      <c r="CO154" s="161">
        <f>IF(AA154="","",IFERROR(AA154*HSTECH!$B$45*HSTECH!$G$45/HSTECH!$B$3,""))</f>
        <v/>
      </c>
      <c r="CP154" s="161">
        <f>IF(AB154="","",IFERROR(AB154*HSTECH!$B$45*HSTECH!$G$45/HSTECH!$B$3,""))</f>
        <v/>
      </c>
      <c r="CQ154" s="161">
        <f>IF(AC154="","",IFERROR(AC154*HSTECH!$B$45*HSTECH!$G$45/HSTECH!$B$3,""))</f>
        <v/>
      </c>
      <c r="CR154" s="161">
        <f>IF(AD154="","",IFERROR(AD154*HSTECH!$B$45*HSTECH!$G$45/HSTECH!$B$3,""))</f>
        <v/>
      </c>
      <c r="CS154" s="161">
        <f>IF(AE154="","",IFERROR(AE154*HSTECH!$B$45*HSTECH!$G$45/HSTECH!$B$3,""))</f>
        <v/>
      </c>
      <c r="CT154" s="161">
        <f>IF(AF154="","",IFERROR(AF154*HSTECH!$B$45*HSTECH!$G$45/HSTECH!$B$3,""))</f>
        <v/>
      </c>
      <c r="CU154" s="161">
        <f>IF(AG154="","",IFERROR(AG154*HSTECH!$B$45*HSTECH!$G$45/HSTECH!$B$3,""))</f>
        <v/>
      </c>
      <c r="CV154" s="161">
        <f>IF(AH154="","",IFERROR(AH154*HSTECH!$B$45*HSTECH!$G$45/HSTECH!$B$3,""))</f>
        <v/>
      </c>
      <c r="CW154" s="161">
        <f>IF(AI154="","",IFERROR(AI154*HSTECH!$B$45*HSTECH!$G$45/HSTECH!$B$3,""))</f>
        <v/>
      </c>
      <c r="CX154" s="161">
        <f>IF(AJ154="","",IFERROR(AJ154*HSTECH!$B$45*HSTECH!$G$45/HSTECH!$B$3,""))</f>
        <v/>
      </c>
      <c r="CY154" s="161">
        <f>IF(AK154="","",IFERROR(AK154*HSTECH!$B$45*HSTECH!$G$45/HSTECH!$B$3,""))</f>
        <v/>
      </c>
      <c r="CZ154" s="161">
        <f>IF(AL154="","",IFERROR(AL154*HSTECH!$B$45*HSTECH!$G$45/HSTECH!$B$3,""))</f>
        <v/>
      </c>
      <c r="DA154" s="161">
        <f>IF(AM154="","",IFERROR(AM154*HSTECH!$B$45*HSTECH!$G$45/HSTECH!$B$3,""))</f>
        <v/>
      </c>
      <c r="DB154" s="161">
        <f>IF(AN154="","",IFERROR(AN154*HSTECH!$B$45*HSTECH!$G$45/HSTECH!$B$3,""))</f>
        <v/>
      </c>
      <c r="DC154" s="161">
        <f>IF(AO154="","",IFERROR(AO154*HSTECH!$B$45*HSTECH!$G$45/HSTECH!$B$3,""))</f>
        <v/>
      </c>
      <c r="DD154" s="161">
        <f>IF(AP154="","",IFERROR(AP154*HSTECH!$B$45*HSTECH!$G$45/HSTECH!$B$3,""))</f>
        <v/>
      </c>
      <c r="DE154" s="161">
        <f>IF(AQ154="","",IFERROR(AQ154*HSTECH!$B$45*HSTECH!$G$45/HSTECH!$B$3,""))</f>
        <v/>
      </c>
      <c r="DF154" s="161">
        <f>IF(AR154="","",IFERROR(AR154*HSTECH!$B$45*HSTECH!$G$45/HSTECH!$B$3,""))</f>
        <v/>
      </c>
      <c r="DG154" s="161">
        <f>IF(AS154="","",IFERROR(AS154*HSTECH!$B$45*HSTECH!$G$45/HSTECH!$B$3,""))</f>
        <v/>
      </c>
      <c r="DH154" s="161">
        <f>IF(AT154="","",IFERROR(AT154*HSTECH!$B$45*HSTECH!$G$45/HSTECH!$B$3,""))</f>
        <v/>
      </c>
      <c r="DI154" s="161">
        <f>IF(AU154="","",IFERROR(AU154*HSTECH!$B$45*HSTECH!$G$45/HSTECH!$B$3,""))</f>
        <v/>
      </c>
      <c r="DJ154" s="161">
        <f>IF(AV154="","",IFERROR(AV154*HSTECH!$B$45*HSTECH!$G$45/HSTECH!$B$3,""))</f>
        <v/>
      </c>
      <c r="DK154" s="161">
        <f>IF(AW154="","",IFERROR(AW154*HSTECH!$B$45*HSTECH!$G$45/HSTECH!$B$3,""))</f>
        <v/>
      </c>
      <c r="DL154" s="161">
        <f>IF(AX154="","",IFERROR(AX154*HSTECH!$B$45*HSTECH!$G$45/HSTECH!$B$3,""))</f>
        <v/>
      </c>
      <c r="DM154" s="161">
        <f>IF(AY154="","",IFERROR(AY154*HSTECH!$B$45*HSTECH!$G$45/HSTECH!$B$3,""))</f>
        <v/>
      </c>
      <c r="DN154" s="161">
        <f>IF(AZ154="","",IFERROR(AZ154*HSTECH!$B$45*HSTECH!$G$45/HSTECH!$B$3,""))</f>
        <v/>
      </c>
      <c r="DO154" s="161">
        <f>IF(BA154="","",IFERROR(BA154*HSTECH!$B$45*HSTECH!$G$45/HSTECH!$B$3,""))</f>
        <v/>
      </c>
      <c r="DP154" s="161">
        <f>IF(BB154="","",IFERROR(BB154*HSTECH!$B$45*HSTECH!$G$45/HSTECH!$B$3,""))</f>
        <v/>
      </c>
      <c r="DQ154" s="161">
        <f>IF(BC154="","",IFERROR(BC154*HSTECH!$B$45*HSTECH!$G$45/HSTECH!$B$3,""))</f>
        <v/>
      </c>
      <c r="DR154" s="161">
        <f>IF(BD154="","",IFERROR(BD154*HSTECH!$B$45*HSTECH!$G$45/HSTECH!$B$3,""))</f>
        <v/>
      </c>
      <c r="DS154" s="161">
        <f>IF(BE154="","",IFERROR(BE154*HSTECH!$B$45*HSTECH!$G$45/HSTECH!$B$3,""))</f>
        <v/>
      </c>
      <c r="DT154" s="161">
        <f>IF(BF154="","",IFERROR(BF154*HSTECH!$B$45*HSTECH!$G$45/HSTECH!$B$3,""))</f>
        <v/>
      </c>
      <c r="DU154" s="161">
        <f>IF(BG154="","",IFERROR(BG154*HSTECH!$B$45*HSTECH!$G$45/HSTECH!$B$3,""))</f>
        <v/>
      </c>
      <c r="DV154" s="161">
        <f>IF(BH154="","",IFERROR(BH154*HSTECH!$B$45*HSTECH!$G$45/HSTECH!$B$3,""))</f>
        <v/>
      </c>
      <c r="DW154" s="161">
        <f>IF(BI154="","",IFERROR(BI154*HSTECH!$B$45*HSTECH!$G$45/HSTECH!$B$3,""))</f>
        <v/>
      </c>
      <c r="DX154" s="161">
        <f>IF(BJ154="","",IFERROR(BJ154*HSTECH!$B$45*HSTECH!$G$45/HSTECH!$B$3,""))</f>
        <v/>
      </c>
      <c r="DY154" s="161">
        <f>IF(BK154="","",IFERROR(BK154*HSTECH!$B$45*HSTECH!$G$45/HSTECH!$B$3,""))</f>
        <v/>
      </c>
      <c r="DZ154" s="161">
        <f>IF(BL154="","",IFERROR(BL154*HSTECH!$B$45*HSTECH!$G$45/HSTECH!$B$3,""))</f>
        <v/>
      </c>
      <c r="EA154" s="161">
        <f>IF(BM154="","",IFERROR(BM154*HSTECH!$B$45*HSTECH!$G$45/HSTECH!$B$3,""))</f>
        <v/>
      </c>
      <c r="EB154" s="161">
        <f>IF(BN154="","",IFERROR(BN154*HSTECH!$B$45*HSTECH!$G$45/HSTECH!$B$3,""))</f>
        <v/>
      </c>
      <c r="EC154" s="161">
        <f>IF(BO154="","",IFERROR(BO154*HSTECH!$B$45*HSTECH!$G$45/HSTECH!$B$3,""))</f>
        <v/>
      </c>
      <c r="EE154" s="121">
        <f>IF(N('Dvd Calendar'!$E$1534)=0,"",IF(('Dvd Calendar'!$E$1534&gt;=GRID_FROM)*('Dvd Calendar'!$E$1534&lt;=GRID_TO)*((('Dvd Calendar'!$E$1534&lt;=VAL_DATE)+(COUNTIF('Dvd Calendar'!$E$1541:$AR$1541,'Dvd Calendar'!$E$1534)=0))&gt;0)=0,"",'Dvd Calendar'!$E$1534*1000000000+ISNUMBER('Dvd Calendar'!$E$1537)*100000000+('Dvd Calendar'!$E$1539=SPECIAL_LBL)*10000000+(N('Dvd Calendar'!$E$1533)&gt;0)*(N('Dvd Calendar'!$E$1533)&lt;=VAL_SERIAL)*1000000+39*1000+1))</f>
        <v/>
      </c>
      <c r="EF154" s="121">
        <f>IF(N('Dvd Calendar'!$F$1534)=0,"",IF(('Dvd Calendar'!$F$1534&gt;=GRID_FROM)*('Dvd Calendar'!$F$1534&lt;=GRID_TO)*((('Dvd Calendar'!$F$1534&lt;=VAL_DATE)+(COUNTIF('Dvd Calendar'!$E$1541:$AR$1541,'Dvd Calendar'!$F$1534)=0))&gt;0)=0,"",'Dvd Calendar'!$F$1534*1000000000+ISNUMBER('Dvd Calendar'!$F$1537)*100000000+('Dvd Calendar'!$F$1539=SPECIAL_LBL)*10000000+(N('Dvd Calendar'!$F$1533)&gt;0)*(N('Dvd Calendar'!$F$1533)&lt;=VAL_SERIAL)*1000000+39*1000+2))</f>
        <v/>
      </c>
      <c r="EG154" s="121">
        <f>IF(N('Dvd Calendar'!$G$1534)=0,"",IF(('Dvd Calendar'!$G$1534&gt;=GRID_FROM)*('Dvd Calendar'!$G$1534&lt;=GRID_TO)*((('Dvd Calendar'!$G$1534&lt;=VAL_DATE)+(COUNTIF('Dvd Calendar'!$E$1541:$AR$1541,'Dvd Calendar'!$G$1534)=0))&gt;0)=0,"",'Dvd Calendar'!$G$1534*1000000000+ISNUMBER('Dvd Calendar'!$G$1537)*100000000+('Dvd Calendar'!$G$1539=SPECIAL_LBL)*10000000+(N('Dvd Calendar'!$G$1533)&gt;0)*(N('Dvd Calendar'!$G$1533)&lt;=VAL_SERIAL)*1000000+39*1000+3))</f>
        <v/>
      </c>
      <c r="EH154" s="121">
        <f>IF(N('Dvd Calendar'!$H$1534)=0,"",IF(('Dvd Calendar'!$H$1534&gt;=GRID_FROM)*('Dvd Calendar'!$H$1534&lt;=GRID_TO)*((('Dvd Calendar'!$H$1534&lt;=VAL_DATE)+(COUNTIF('Dvd Calendar'!$E$1541:$AR$1541,'Dvd Calendar'!$H$1534)=0))&gt;0)=0,"",'Dvd Calendar'!$H$1534*1000000000+ISNUMBER('Dvd Calendar'!$H$1537)*100000000+('Dvd Calendar'!$H$1539=SPECIAL_LBL)*10000000+(N('Dvd Calendar'!$H$1533)&gt;0)*(N('Dvd Calendar'!$H$1533)&lt;=VAL_SERIAL)*1000000+39*1000+4))</f>
        <v/>
      </c>
      <c r="EI154" s="121">
        <f>IF(N('Dvd Calendar'!$I$1534)=0,"",IF(('Dvd Calendar'!$I$1534&gt;=GRID_FROM)*('Dvd Calendar'!$I$1534&lt;=GRID_TO)*((('Dvd Calendar'!$I$1534&lt;=VAL_DATE)+(COUNTIF('Dvd Calendar'!$E$1541:$AR$1541,'Dvd Calendar'!$I$1534)=0))&gt;0)=0,"",'Dvd Calendar'!$I$1534*1000000000+ISNUMBER('Dvd Calendar'!$I$1537)*100000000+('Dvd Calendar'!$I$1539=SPECIAL_LBL)*10000000+(N('Dvd Calendar'!$I$1533)&gt;0)*(N('Dvd Calendar'!$I$1533)&lt;=VAL_SERIAL)*1000000+39*1000+5))</f>
        <v/>
      </c>
      <c r="EJ154" s="121">
        <f>IF(N('Dvd Calendar'!$J$1534)=0,"",IF(('Dvd Calendar'!$J$1534&gt;=GRID_FROM)*('Dvd Calendar'!$J$1534&lt;=GRID_TO)*((('Dvd Calendar'!$J$1534&lt;=VAL_DATE)+(COUNTIF('Dvd Calendar'!$E$1541:$AR$1541,'Dvd Calendar'!$J$1534)=0))&gt;0)=0,"",'Dvd Calendar'!$J$1534*1000000000+ISNUMBER('Dvd Calendar'!$J$1537)*100000000+('Dvd Calendar'!$J$1539=SPECIAL_LBL)*10000000+(N('Dvd Calendar'!$J$1533)&gt;0)*(N('Dvd Calendar'!$J$1533)&lt;=VAL_SERIAL)*1000000+39*1000+6))</f>
        <v/>
      </c>
      <c r="EK154" s="121">
        <f>IF(N('Dvd Calendar'!$K$1534)=0,"",IF(('Dvd Calendar'!$K$1534&gt;=GRID_FROM)*('Dvd Calendar'!$K$1534&lt;=GRID_TO)*((('Dvd Calendar'!$K$1534&lt;=VAL_DATE)+(COUNTIF('Dvd Calendar'!$E$1541:$AR$1541,'Dvd Calendar'!$K$1534)=0))&gt;0)=0,"",'Dvd Calendar'!$K$1534*1000000000+ISNUMBER('Dvd Calendar'!$K$1537)*100000000+('Dvd Calendar'!$K$1539=SPECIAL_LBL)*10000000+(N('Dvd Calendar'!$K$1533)&gt;0)*(N('Dvd Calendar'!$K$1533)&lt;=VAL_SERIAL)*1000000+39*1000+7))</f>
        <v/>
      </c>
      <c r="EL154" s="121">
        <f>IF(N('Dvd Calendar'!$L$1534)=0,"",IF(('Dvd Calendar'!$L$1534&gt;=GRID_FROM)*('Dvd Calendar'!$L$1534&lt;=GRID_TO)*((('Dvd Calendar'!$L$1534&lt;=VAL_DATE)+(COUNTIF('Dvd Calendar'!$E$1541:$AR$1541,'Dvd Calendar'!$L$1534)=0))&gt;0)=0,"",'Dvd Calendar'!$L$1534*1000000000+ISNUMBER('Dvd Calendar'!$L$1537)*100000000+('Dvd Calendar'!$L$1539=SPECIAL_LBL)*10000000+(N('Dvd Calendar'!$L$1533)&gt;0)*(N('Dvd Calendar'!$L$1533)&lt;=VAL_SERIAL)*1000000+39*1000+8))</f>
        <v/>
      </c>
      <c r="EM154" s="121">
        <f>IF(N('Dvd Calendar'!$M$1534)=0,"",IF(('Dvd Calendar'!$M$1534&gt;=GRID_FROM)*('Dvd Calendar'!$M$1534&lt;=GRID_TO)*((('Dvd Calendar'!$M$1534&lt;=VAL_DATE)+(COUNTIF('Dvd Calendar'!$E$1541:$AR$1541,'Dvd Calendar'!$M$1534)=0))&gt;0)=0,"",'Dvd Calendar'!$M$1534*1000000000+ISNUMBER('Dvd Calendar'!$M$1537)*100000000+('Dvd Calendar'!$M$1539=SPECIAL_LBL)*10000000+(N('Dvd Calendar'!$M$1533)&gt;0)*(N('Dvd Calendar'!$M$1533)&lt;=VAL_SERIAL)*1000000+39*1000+9))</f>
        <v/>
      </c>
      <c r="EN154" s="121">
        <f>IF(N('Dvd Calendar'!$N$1534)=0,"",IF(('Dvd Calendar'!$N$1534&gt;=GRID_FROM)*('Dvd Calendar'!$N$1534&lt;=GRID_TO)*((('Dvd Calendar'!$N$1534&lt;=VAL_DATE)+(COUNTIF('Dvd Calendar'!$E$1541:$AR$1541,'Dvd Calendar'!$N$1534)=0))&gt;0)=0,"",'Dvd Calendar'!$N$1534*1000000000+ISNUMBER('Dvd Calendar'!$N$1537)*100000000+('Dvd Calendar'!$N$1539=SPECIAL_LBL)*10000000+(N('Dvd Calendar'!$N$1533)&gt;0)*(N('Dvd Calendar'!$N$1533)&lt;=VAL_SERIAL)*1000000+39*1000+10))</f>
        <v/>
      </c>
      <c r="EO154" s="121">
        <f>IF(N('Dvd Calendar'!$O$1534)=0,"",IF(('Dvd Calendar'!$O$1534&gt;=GRID_FROM)*('Dvd Calendar'!$O$1534&lt;=GRID_TO)*((('Dvd Calendar'!$O$1534&lt;=VAL_DATE)+(COUNTIF('Dvd Calendar'!$E$1541:$AR$1541,'Dvd Calendar'!$O$1534)=0))&gt;0)=0,"",'Dvd Calendar'!$O$1534*1000000000+ISNUMBER('Dvd Calendar'!$O$1537)*100000000+('Dvd Calendar'!$O$1539=SPECIAL_LBL)*10000000+(N('Dvd Calendar'!$O$1533)&gt;0)*(N('Dvd Calendar'!$O$1533)&lt;=VAL_SERIAL)*1000000+39*1000+11))</f>
        <v/>
      </c>
      <c r="EP154" s="121">
        <f>IF(N('Dvd Calendar'!$P$1534)=0,"",IF(('Dvd Calendar'!$P$1534&gt;=GRID_FROM)*('Dvd Calendar'!$P$1534&lt;=GRID_TO)*((('Dvd Calendar'!$P$1534&lt;=VAL_DATE)+(COUNTIF('Dvd Calendar'!$E$1541:$AR$1541,'Dvd Calendar'!$P$1534)=0))&gt;0)=0,"",'Dvd Calendar'!$P$1534*1000000000+ISNUMBER('Dvd Calendar'!$P$1537)*100000000+('Dvd Calendar'!$P$1539=SPECIAL_LBL)*10000000+(N('Dvd Calendar'!$P$1533)&gt;0)*(N('Dvd Calendar'!$P$1533)&lt;=VAL_SERIAL)*1000000+39*1000+12))</f>
        <v/>
      </c>
      <c r="EQ154" s="121">
        <f>IF(N('Dvd Calendar'!$Q$1534)=0,"",IF(('Dvd Calendar'!$Q$1534&gt;=GRID_FROM)*('Dvd Calendar'!$Q$1534&lt;=GRID_TO)*((('Dvd Calendar'!$Q$1534&lt;=VAL_DATE)+(COUNTIF('Dvd Calendar'!$E$1541:$AR$1541,'Dvd Calendar'!$Q$1534)=0))&gt;0)=0,"",'Dvd Calendar'!$Q$1534*1000000000+ISNUMBER('Dvd Calendar'!$Q$1537)*100000000+('Dvd Calendar'!$Q$1539=SPECIAL_LBL)*10000000+(N('Dvd Calendar'!$Q$1533)&gt;0)*(N('Dvd Calendar'!$Q$1533)&lt;=VAL_SERIAL)*1000000+39*1000+13))</f>
        <v/>
      </c>
      <c r="ER154" s="121">
        <f>IF(N('Dvd Calendar'!$R$1534)=0,"",IF(('Dvd Calendar'!$R$1534&gt;=GRID_FROM)*('Dvd Calendar'!$R$1534&lt;=GRID_TO)*((('Dvd Calendar'!$R$1534&lt;=VAL_DATE)+(COUNTIF('Dvd Calendar'!$E$1541:$AR$1541,'Dvd Calendar'!$R$1534)=0))&gt;0)=0,"",'Dvd Calendar'!$R$1534*1000000000+ISNUMBER('Dvd Calendar'!$R$1537)*100000000+('Dvd Calendar'!$R$1539=SPECIAL_LBL)*10000000+(N('Dvd Calendar'!$R$1533)&gt;0)*(N('Dvd Calendar'!$R$1533)&lt;=VAL_SERIAL)*1000000+39*1000+14))</f>
        <v/>
      </c>
      <c r="ES154" s="121">
        <f>IF(N('Dvd Calendar'!$S$1534)=0,"",IF(('Dvd Calendar'!$S$1534&gt;=GRID_FROM)*('Dvd Calendar'!$S$1534&lt;=GRID_TO)*((('Dvd Calendar'!$S$1534&lt;=VAL_DATE)+(COUNTIF('Dvd Calendar'!$E$1541:$AR$1541,'Dvd Calendar'!$S$1534)=0))&gt;0)=0,"",'Dvd Calendar'!$S$1534*1000000000+ISNUMBER('Dvd Calendar'!$S$1537)*100000000+('Dvd Calendar'!$S$1539=SPECIAL_LBL)*10000000+(N('Dvd Calendar'!$S$1533)&gt;0)*(N('Dvd Calendar'!$S$1533)&lt;=VAL_SERIAL)*1000000+39*1000+15))</f>
        <v/>
      </c>
      <c r="ET154" s="121">
        <f>IF(N('Dvd Calendar'!$T$1534)=0,"",IF(('Dvd Calendar'!$T$1534&gt;=GRID_FROM)*('Dvd Calendar'!$T$1534&lt;=GRID_TO)*((('Dvd Calendar'!$T$1534&lt;=VAL_DATE)+(COUNTIF('Dvd Calendar'!$E$1541:$AR$1541,'Dvd Calendar'!$T$1534)=0))&gt;0)=0,"",'Dvd Calendar'!$T$1534*1000000000+ISNUMBER('Dvd Calendar'!$T$1537)*100000000+('Dvd Calendar'!$T$1539=SPECIAL_LBL)*10000000+(N('Dvd Calendar'!$T$1533)&gt;0)*(N('Dvd Calendar'!$T$1533)&lt;=VAL_SERIAL)*1000000+39*1000+16))</f>
        <v/>
      </c>
      <c r="EU154" s="121">
        <f>IF(N('Dvd Calendar'!$U$1534)=0,"",IF(('Dvd Calendar'!$U$1534&gt;=GRID_FROM)*('Dvd Calendar'!$U$1534&lt;=GRID_TO)*((('Dvd Calendar'!$U$1534&lt;=VAL_DATE)+(COUNTIF('Dvd Calendar'!$E$1541:$AR$1541,'Dvd Calendar'!$U$1534)=0))&gt;0)=0,"",'Dvd Calendar'!$U$1534*1000000000+ISNUMBER('Dvd Calendar'!$U$1537)*100000000+('Dvd Calendar'!$U$1539=SPECIAL_LBL)*10000000+(N('Dvd Calendar'!$U$1533)&gt;0)*(N('Dvd Calendar'!$U$1533)&lt;=VAL_SERIAL)*1000000+39*1000+17))</f>
        <v/>
      </c>
      <c r="EV154" s="121">
        <f>IF(N('Dvd Calendar'!$V$1534)=0,"",IF(('Dvd Calendar'!$V$1534&gt;=GRID_FROM)*('Dvd Calendar'!$V$1534&lt;=GRID_TO)*((('Dvd Calendar'!$V$1534&lt;=VAL_DATE)+(COUNTIF('Dvd Calendar'!$E$1541:$AR$1541,'Dvd Calendar'!$V$1534)=0))&gt;0)=0,"",'Dvd Calendar'!$V$1534*1000000000+ISNUMBER('Dvd Calendar'!$V$1537)*100000000+('Dvd Calendar'!$V$1539=SPECIAL_LBL)*10000000+(N('Dvd Calendar'!$V$1533)&gt;0)*(N('Dvd Calendar'!$V$1533)&lt;=VAL_SERIAL)*1000000+39*1000+18))</f>
        <v/>
      </c>
      <c r="EW154" s="121">
        <f>IF(N('Dvd Calendar'!$W$1534)=0,"",IF(('Dvd Calendar'!$W$1534&gt;=GRID_FROM)*('Dvd Calendar'!$W$1534&lt;=GRID_TO)*((('Dvd Calendar'!$W$1534&lt;=VAL_DATE)+(COUNTIF('Dvd Calendar'!$E$1541:$AR$1541,'Dvd Calendar'!$W$1534)=0))&gt;0)=0,"",'Dvd Calendar'!$W$1534*1000000000+ISNUMBER('Dvd Calendar'!$W$1537)*100000000+('Dvd Calendar'!$W$1539=SPECIAL_LBL)*10000000+(N('Dvd Calendar'!$W$1533)&gt;0)*(N('Dvd Calendar'!$W$1533)&lt;=VAL_SERIAL)*1000000+39*1000+19))</f>
        <v/>
      </c>
      <c r="EX154" s="121">
        <f>IF(N('Dvd Calendar'!$X$1534)=0,"",IF(('Dvd Calendar'!$X$1534&gt;=GRID_FROM)*('Dvd Calendar'!$X$1534&lt;=GRID_TO)*((('Dvd Calendar'!$X$1534&lt;=VAL_DATE)+(COUNTIF('Dvd Calendar'!$E$1541:$AR$1541,'Dvd Calendar'!$X$1534)=0))&gt;0)=0,"",'Dvd Calendar'!$X$1534*1000000000+ISNUMBER('Dvd Calendar'!$X$1537)*100000000+('Dvd Calendar'!$X$1539=SPECIAL_LBL)*10000000+(N('Dvd Calendar'!$X$1533)&gt;0)*(N('Dvd Calendar'!$X$1533)&lt;=VAL_SERIAL)*1000000+39*1000+20))</f>
        <v/>
      </c>
      <c r="EY154" s="121">
        <f>IF(N('Dvd Calendar'!$Y$1534)=0,"",IF(('Dvd Calendar'!$Y$1534&gt;=GRID_FROM)*('Dvd Calendar'!$Y$1534&lt;=GRID_TO)*((('Dvd Calendar'!$Y$1534&lt;=VAL_DATE)+(COUNTIF('Dvd Calendar'!$E$1541:$AR$1541,'Dvd Calendar'!$Y$1534)=0))&gt;0)=0,"",'Dvd Calendar'!$Y$1534*1000000000+ISNUMBER('Dvd Calendar'!$Y$1537)*100000000+('Dvd Calendar'!$Y$1539=SPECIAL_LBL)*10000000+(N('Dvd Calendar'!$Y$1533)&gt;0)*(N('Dvd Calendar'!$Y$1533)&lt;=VAL_SERIAL)*1000000+39*1000+21))</f>
        <v/>
      </c>
      <c r="EZ154" s="121">
        <f>IF(N('Dvd Calendar'!$Z$1534)=0,"",IF(('Dvd Calendar'!$Z$1534&gt;=GRID_FROM)*('Dvd Calendar'!$Z$1534&lt;=GRID_TO)*((('Dvd Calendar'!$Z$1534&lt;=VAL_DATE)+(COUNTIF('Dvd Calendar'!$E$1541:$AR$1541,'Dvd Calendar'!$Z$1534)=0))&gt;0)=0,"",'Dvd Calendar'!$Z$1534*1000000000+ISNUMBER('Dvd Calendar'!$Z$1537)*100000000+('Dvd Calendar'!$Z$1539=SPECIAL_LBL)*10000000+(N('Dvd Calendar'!$Z$1533)&gt;0)*(N('Dvd Calendar'!$Z$1533)&lt;=VAL_SERIAL)*1000000+39*1000+22))</f>
        <v/>
      </c>
      <c r="FA154" s="121">
        <f>IF(N('Dvd Calendar'!$AA$1534)=0,"",IF(('Dvd Calendar'!$AA$1534&gt;=GRID_FROM)*('Dvd Calendar'!$AA$1534&lt;=GRID_TO)*((('Dvd Calendar'!$AA$1534&lt;=VAL_DATE)+(COUNTIF('Dvd Calendar'!$E$1541:$AR$1541,'Dvd Calendar'!$AA$1534)=0))&gt;0)=0,"",'Dvd Calendar'!$AA$1534*1000000000+ISNUMBER('Dvd Calendar'!$AA$1537)*100000000+('Dvd Calendar'!$AA$1539=SPECIAL_LBL)*10000000+(N('Dvd Calendar'!$AA$1533)&gt;0)*(N('Dvd Calendar'!$AA$1533)&lt;=VAL_SERIAL)*1000000+39*1000+23))</f>
        <v/>
      </c>
      <c r="FB154" s="121">
        <f>IF(N('Dvd Calendar'!$AB$1534)=0,"",IF(('Dvd Calendar'!$AB$1534&gt;=GRID_FROM)*('Dvd Calendar'!$AB$1534&lt;=GRID_TO)*((('Dvd Calendar'!$AB$1534&lt;=VAL_DATE)+(COUNTIF('Dvd Calendar'!$E$1541:$AR$1541,'Dvd Calendar'!$AB$1534)=0))&gt;0)=0,"",'Dvd Calendar'!$AB$1534*1000000000+ISNUMBER('Dvd Calendar'!$AB$1537)*100000000+('Dvd Calendar'!$AB$1539=SPECIAL_LBL)*10000000+(N('Dvd Calendar'!$AB$1533)&gt;0)*(N('Dvd Calendar'!$AB$1533)&lt;=VAL_SERIAL)*1000000+39*1000+24))</f>
        <v/>
      </c>
      <c r="FC154" s="121">
        <f>IF(N('Dvd Calendar'!$AC$1534)=0,"",IF(('Dvd Calendar'!$AC$1534&gt;=GRID_FROM)*('Dvd Calendar'!$AC$1534&lt;=GRID_TO)*((('Dvd Calendar'!$AC$1534&lt;=VAL_DATE)+(COUNTIF('Dvd Calendar'!$E$1541:$AR$1541,'Dvd Calendar'!$AC$1534)=0))&gt;0)=0,"",'Dvd Calendar'!$AC$1534*1000000000+ISNUMBER('Dvd Calendar'!$AC$1537)*100000000+('Dvd Calendar'!$AC$1539=SPECIAL_LBL)*10000000+(N('Dvd Calendar'!$AC$1533)&gt;0)*(N('Dvd Calendar'!$AC$1533)&lt;=VAL_SERIAL)*1000000+39*1000+25))</f>
        <v/>
      </c>
      <c r="FD154" s="121">
        <f>IF(N('Dvd Calendar'!$AD$1534)=0,"",IF(('Dvd Calendar'!$AD$1534&gt;=GRID_FROM)*('Dvd Calendar'!$AD$1534&lt;=GRID_TO)*((('Dvd Calendar'!$AD$1534&lt;=VAL_DATE)+(COUNTIF('Dvd Calendar'!$E$1541:$AR$1541,'Dvd Calendar'!$AD$1534)=0))&gt;0)=0,"",'Dvd Calendar'!$AD$1534*1000000000+ISNUMBER('Dvd Calendar'!$AD$1537)*100000000+('Dvd Calendar'!$AD$1539=SPECIAL_LBL)*10000000+(N('Dvd Calendar'!$AD$1533)&gt;0)*(N('Dvd Calendar'!$AD$1533)&lt;=VAL_SERIAL)*1000000+39*1000+26))</f>
        <v/>
      </c>
      <c r="FE154" s="121">
        <f>IF(N('Dvd Calendar'!$AE$1534)=0,"",IF(('Dvd Calendar'!$AE$1534&gt;=GRID_FROM)*('Dvd Calendar'!$AE$1534&lt;=GRID_TO)*((('Dvd Calendar'!$AE$1534&lt;=VAL_DATE)+(COUNTIF('Dvd Calendar'!$E$1541:$AR$1541,'Dvd Calendar'!$AE$1534)=0))&gt;0)=0,"",'Dvd Calendar'!$AE$1534*1000000000+ISNUMBER('Dvd Calendar'!$AE$1537)*100000000+('Dvd Calendar'!$AE$1539=SPECIAL_LBL)*10000000+(N('Dvd Calendar'!$AE$1533)&gt;0)*(N('Dvd Calendar'!$AE$1533)&lt;=VAL_SERIAL)*1000000+39*1000+27))</f>
        <v/>
      </c>
      <c r="FF154" s="121">
        <f>IF(N('Dvd Calendar'!$AF$1534)=0,"",IF(('Dvd Calendar'!$AF$1534&gt;=GRID_FROM)*('Dvd Calendar'!$AF$1534&lt;=GRID_TO)*((('Dvd Calendar'!$AF$1534&lt;=VAL_DATE)+(COUNTIF('Dvd Calendar'!$E$1541:$AR$1541,'Dvd Calendar'!$AF$1534)=0))&gt;0)=0,"",'Dvd Calendar'!$AF$1534*1000000000+ISNUMBER('Dvd Calendar'!$AF$1537)*100000000+('Dvd Calendar'!$AF$1539=SPECIAL_LBL)*10000000+(N('Dvd Calendar'!$AF$1533)&gt;0)*(N('Dvd Calendar'!$AF$1533)&lt;=VAL_SERIAL)*1000000+39*1000+28))</f>
        <v/>
      </c>
      <c r="FG154" s="121">
        <f>IF(N('Dvd Calendar'!$AG$1534)=0,"",IF(('Dvd Calendar'!$AG$1534&gt;=GRID_FROM)*('Dvd Calendar'!$AG$1534&lt;=GRID_TO)*((('Dvd Calendar'!$AG$1534&lt;=VAL_DATE)+(COUNTIF('Dvd Calendar'!$E$1541:$AR$1541,'Dvd Calendar'!$AG$1534)=0))&gt;0)=0,"",'Dvd Calendar'!$AG$1534*1000000000+ISNUMBER('Dvd Calendar'!$AG$1537)*100000000+('Dvd Calendar'!$AG$1539=SPECIAL_LBL)*10000000+(N('Dvd Calendar'!$AG$1533)&gt;0)*(N('Dvd Calendar'!$AG$1533)&lt;=VAL_SERIAL)*1000000+39*1000+29))</f>
        <v/>
      </c>
      <c r="FH154" s="121">
        <f>IF(N('Dvd Calendar'!$AH$1534)=0,"",IF(('Dvd Calendar'!$AH$1534&gt;=GRID_FROM)*('Dvd Calendar'!$AH$1534&lt;=GRID_TO)*((('Dvd Calendar'!$AH$1534&lt;=VAL_DATE)+(COUNTIF('Dvd Calendar'!$E$1541:$AR$1541,'Dvd Calendar'!$AH$1534)=0))&gt;0)=0,"",'Dvd Calendar'!$AH$1534*1000000000+ISNUMBER('Dvd Calendar'!$AH$1537)*100000000+('Dvd Calendar'!$AH$1539=SPECIAL_LBL)*10000000+(N('Dvd Calendar'!$AH$1533)&gt;0)*(N('Dvd Calendar'!$AH$1533)&lt;=VAL_SERIAL)*1000000+39*1000+30))</f>
        <v/>
      </c>
      <c r="FI154" s="121">
        <f>IF(N('Dvd Calendar'!$AI$1534)=0,"",IF(('Dvd Calendar'!$AI$1534&gt;=GRID_FROM)*('Dvd Calendar'!$AI$1534&lt;=GRID_TO)*((('Dvd Calendar'!$AI$1534&lt;=VAL_DATE)+(COUNTIF('Dvd Calendar'!$E$1541:$AR$1541,'Dvd Calendar'!$AI$1534)=0))&gt;0)=0,"",'Dvd Calendar'!$AI$1534*1000000000+ISNUMBER('Dvd Calendar'!$AI$1537)*100000000+('Dvd Calendar'!$AI$1539=SPECIAL_LBL)*10000000+(N('Dvd Calendar'!$AI$1533)&gt;0)*(N('Dvd Calendar'!$AI$1533)&lt;=VAL_SERIAL)*1000000+39*1000+31))</f>
        <v/>
      </c>
      <c r="FJ154" s="121">
        <f>IF(N('Dvd Calendar'!$AJ$1534)=0,"",IF(('Dvd Calendar'!$AJ$1534&gt;=GRID_FROM)*('Dvd Calendar'!$AJ$1534&lt;=GRID_TO)*((('Dvd Calendar'!$AJ$1534&lt;=VAL_DATE)+(COUNTIF('Dvd Calendar'!$E$1541:$AR$1541,'Dvd Calendar'!$AJ$1534)=0))&gt;0)=0,"",'Dvd Calendar'!$AJ$1534*1000000000+ISNUMBER('Dvd Calendar'!$AJ$1537)*100000000+('Dvd Calendar'!$AJ$1539=SPECIAL_LBL)*10000000+(N('Dvd Calendar'!$AJ$1533)&gt;0)*(N('Dvd Calendar'!$AJ$1533)&lt;=VAL_SERIAL)*1000000+39*1000+32))</f>
        <v/>
      </c>
      <c r="FK154" s="121">
        <f>IF(N('Dvd Calendar'!$AK$1534)=0,"",IF(('Dvd Calendar'!$AK$1534&gt;=GRID_FROM)*('Dvd Calendar'!$AK$1534&lt;=GRID_TO)*((('Dvd Calendar'!$AK$1534&lt;=VAL_DATE)+(COUNTIF('Dvd Calendar'!$E$1541:$AR$1541,'Dvd Calendar'!$AK$1534)=0))&gt;0)=0,"",'Dvd Calendar'!$AK$1534*1000000000+ISNUMBER('Dvd Calendar'!$AK$1537)*100000000+('Dvd Calendar'!$AK$1539=SPECIAL_LBL)*10000000+(N('Dvd Calendar'!$AK$1533)&gt;0)*(N('Dvd Calendar'!$AK$1533)&lt;=VAL_SERIAL)*1000000+39*1000+33))</f>
        <v/>
      </c>
      <c r="FL154" s="121">
        <f>IF(N('Dvd Calendar'!$AL$1534)=0,"",IF(('Dvd Calendar'!$AL$1534&gt;=GRID_FROM)*('Dvd Calendar'!$AL$1534&lt;=GRID_TO)*((('Dvd Calendar'!$AL$1534&lt;=VAL_DATE)+(COUNTIF('Dvd Calendar'!$E$1541:$AR$1541,'Dvd Calendar'!$AL$1534)=0))&gt;0)=0,"",'Dvd Calendar'!$AL$1534*1000000000+ISNUMBER('Dvd Calendar'!$AL$1537)*100000000+('Dvd Calendar'!$AL$1539=SPECIAL_LBL)*10000000+(N('Dvd Calendar'!$AL$1533)&gt;0)*(N('Dvd Calendar'!$AL$1533)&lt;=VAL_SERIAL)*1000000+39*1000+34))</f>
        <v/>
      </c>
      <c r="FM154" s="121">
        <f>IF(N('Dvd Calendar'!$AM$1534)=0,"",IF(('Dvd Calendar'!$AM$1534&gt;=GRID_FROM)*('Dvd Calendar'!$AM$1534&lt;=GRID_TO)*((('Dvd Calendar'!$AM$1534&lt;=VAL_DATE)+(COUNTIF('Dvd Calendar'!$E$1541:$AR$1541,'Dvd Calendar'!$AM$1534)=0))&gt;0)=0,"",'Dvd Calendar'!$AM$1534*1000000000+ISNUMBER('Dvd Calendar'!$AM$1537)*100000000+('Dvd Calendar'!$AM$1539=SPECIAL_LBL)*10000000+(N('Dvd Calendar'!$AM$1533)&gt;0)*(N('Dvd Calendar'!$AM$1533)&lt;=VAL_SERIAL)*1000000+39*1000+35))</f>
        <v/>
      </c>
      <c r="FN154" s="121">
        <f>IF(N('Dvd Calendar'!$AN$1534)=0,"",IF(('Dvd Calendar'!$AN$1534&gt;=GRID_FROM)*('Dvd Calendar'!$AN$1534&lt;=GRID_TO)*((('Dvd Calendar'!$AN$1534&lt;=VAL_DATE)+(COUNTIF('Dvd Calendar'!$E$1541:$AR$1541,'Dvd Calendar'!$AN$1534)=0))&gt;0)=0,"",'Dvd Calendar'!$AN$1534*1000000000+ISNUMBER('Dvd Calendar'!$AN$1537)*100000000+('Dvd Calendar'!$AN$1539=SPECIAL_LBL)*10000000+(N('Dvd Calendar'!$AN$1533)&gt;0)*(N('Dvd Calendar'!$AN$1533)&lt;=VAL_SERIAL)*1000000+39*1000+36))</f>
        <v/>
      </c>
      <c r="FO154" s="121">
        <f>IF(N('Dvd Calendar'!$AO$1534)=0,"",IF(('Dvd Calendar'!$AO$1534&gt;=GRID_FROM)*('Dvd Calendar'!$AO$1534&lt;=GRID_TO)*((('Dvd Calendar'!$AO$1534&lt;=VAL_DATE)+(COUNTIF('Dvd Calendar'!$E$1541:$AR$1541,'Dvd Calendar'!$AO$1534)=0))&gt;0)=0,"",'Dvd Calendar'!$AO$1534*1000000000+ISNUMBER('Dvd Calendar'!$AO$1537)*100000000+('Dvd Calendar'!$AO$1539=SPECIAL_LBL)*10000000+(N('Dvd Calendar'!$AO$1533)&gt;0)*(N('Dvd Calendar'!$AO$1533)&lt;=VAL_SERIAL)*1000000+39*1000+37))</f>
        <v/>
      </c>
      <c r="FP154" s="121">
        <f>IF(N('Dvd Calendar'!$AP$1534)=0,"",IF(('Dvd Calendar'!$AP$1534&gt;=GRID_FROM)*('Dvd Calendar'!$AP$1534&lt;=GRID_TO)*((('Dvd Calendar'!$AP$1534&lt;=VAL_DATE)+(COUNTIF('Dvd Calendar'!$E$1541:$AR$1541,'Dvd Calendar'!$AP$1534)=0))&gt;0)=0,"",'Dvd Calendar'!$AP$1534*1000000000+ISNUMBER('Dvd Calendar'!$AP$1537)*100000000+('Dvd Calendar'!$AP$1539=SPECIAL_LBL)*10000000+(N('Dvd Calendar'!$AP$1533)&gt;0)*(N('Dvd Calendar'!$AP$1533)&lt;=VAL_SERIAL)*1000000+39*1000+38))</f>
        <v/>
      </c>
      <c r="FQ154" s="121">
        <f>IF(N('Dvd Calendar'!$AQ$1534)=0,"",IF(('Dvd Calendar'!$AQ$1534&gt;=GRID_FROM)*('Dvd Calendar'!$AQ$1534&lt;=GRID_TO)*((('Dvd Calendar'!$AQ$1534&lt;=VAL_DATE)+(COUNTIF('Dvd Calendar'!$E$1541:$AR$1541,'Dvd Calendar'!$AQ$1534)=0))&gt;0)=0,"",'Dvd Calendar'!$AQ$1534*1000000000+ISNUMBER('Dvd Calendar'!$AQ$1537)*100000000+('Dvd Calendar'!$AQ$1539=SPECIAL_LBL)*10000000+(N('Dvd Calendar'!$AQ$1533)&gt;0)*(N('Dvd Calendar'!$AQ$1533)&lt;=VAL_SERIAL)*1000000+39*1000+39))</f>
        <v/>
      </c>
      <c r="FR154" s="121">
        <f>IF(N('Dvd Calendar'!$AR$1534)=0,"",IF(('Dvd Calendar'!$AR$1534&gt;=GRID_FROM)*('Dvd Calendar'!$AR$1534&lt;=GRID_TO)*((('Dvd Calendar'!$AR$1534&lt;=VAL_DATE)+(COUNTIF('Dvd Calendar'!$E$1541:$AR$1541,'Dvd Calendar'!$AR$1534)=0))&gt;0)=0,"",'Dvd Calendar'!$AR$1534*1000000000+ISNUMBER('Dvd Calendar'!$AR$1537)*100000000+('Dvd Calendar'!$AR$1539=SPECIAL_LBL)*10000000+(N('Dvd Calendar'!$AR$1533)&gt;0)*(N('Dvd Calendar'!$AR$1533)&lt;=VAL_SERIAL)*1000000+39*1000+40))</f>
        <v/>
      </c>
      <c r="FS154" s="121">
        <f>IF(N('Dvd Calendar'!$E$1541)=0,"",IF(('Dvd Calendar'!$E$1541&gt;=GRID_FROM)*('Dvd Calendar'!$E$1541&lt;=GRID_TO)*('Dvd Calendar'!$E$1541&gt;VAL_DATE)=0,"",'Dvd Calendar'!$E$1541*1000000000+ISNUMBER('Dvd Calendar'!$E$1542)*100000000+0*10000000+(N('Dvd Calendar'!$E$1540)&gt;0)*(N('Dvd Calendar'!$E$1540)&lt;=VAL_SERIAL)*1000000+39*1000+41))</f>
        <v/>
      </c>
      <c r="FT154" s="121">
        <f>IF(N('Dvd Calendar'!$F$1541)=0,"",IF(('Dvd Calendar'!$F$1541&gt;=GRID_FROM)*('Dvd Calendar'!$F$1541&lt;=GRID_TO)*('Dvd Calendar'!$F$1541&gt;VAL_DATE)=0,"",'Dvd Calendar'!$F$1541*1000000000+ISNUMBER('Dvd Calendar'!$F$1542)*100000000+0*10000000+(N('Dvd Calendar'!$F$1540)&gt;0)*(N('Dvd Calendar'!$F$1540)&lt;=VAL_SERIAL)*1000000+39*1000+42))</f>
        <v/>
      </c>
      <c r="FU154" s="121">
        <f>IF(N('Dvd Calendar'!$G$1541)=0,"",IF(('Dvd Calendar'!$G$1541&gt;=GRID_FROM)*('Dvd Calendar'!$G$1541&lt;=GRID_TO)*('Dvd Calendar'!$G$1541&gt;VAL_DATE)=0,"",'Dvd Calendar'!$G$1541*1000000000+ISNUMBER('Dvd Calendar'!$G$1542)*100000000+0*10000000+(N('Dvd Calendar'!$G$1540)&gt;0)*(N('Dvd Calendar'!$G$1540)&lt;=VAL_SERIAL)*1000000+39*1000+43))</f>
        <v/>
      </c>
      <c r="FV154" s="121">
        <f>IF(N('Dvd Calendar'!$H$1541)=0,"",IF(('Dvd Calendar'!$H$1541&gt;=GRID_FROM)*('Dvd Calendar'!$H$1541&lt;=GRID_TO)*('Dvd Calendar'!$H$1541&gt;VAL_DATE)=0,"",'Dvd Calendar'!$H$1541*1000000000+ISNUMBER('Dvd Calendar'!$H$1542)*100000000+0*10000000+(N('Dvd Calendar'!$H$1540)&gt;0)*(N('Dvd Calendar'!$H$1540)&lt;=VAL_SERIAL)*1000000+39*1000+44))</f>
        <v/>
      </c>
      <c r="FW154" s="121">
        <f>IF(N('Dvd Calendar'!$I$1541)=0,"",IF(('Dvd Calendar'!$I$1541&gt;=GRID_FROM)*('Dvd Calendar'!$I$1541&lt;=GRID_TO)*('Dvd Calendar'!$I$1541&gt;VAL_DATE)=0,"",'Dvd Calendar'!$I$1541*1000000000+ISNUMBER('Dvd Calendar'!$I$1542)*100000000+0*10000000+(N('Dvd Calendar'!$I$1540)&gt;0)*(N('Dvd Calendar'!$I$1540)&lt;=VAL_SERIAL)*1000000+39*1000+45))</f>
        <v/>
      </c>
      <c r="FX154" s="121">
        <f>IF(N('Dvd Calendar'!$J$1541)=0,"",IF(('Dvd Calendar'!$J$1541&gt;=GRID_FROM)*('Dvd Calendar'!$J$1541&lt;=GRID_TO)*('Dvd Calendar'!$J$1541&gt;VAL_DATE)=0,"",'Dvd Calendar'!$J$1541*1000000000+ISNUMBER('Dvd Calendar'!$J$1542)*100000000+0*10000000+(N('Dvd Calendar'!$J$1540)&gt;0)*(N('Dvd Calendar'!$J$1540)&lt;=VAL_SERIAL)*1000000+39*1000+46))</f>
        <v/>
      </c>
      <c r="FY154" s="121">
        <f>IF(N('Dvd Calendar'!$K$1541)=0,"",IF(('Dvd Calendar'!$K$1541&gt;=GRID_FROM)*('Dvd Calendar'!$K$1541&lt;=GRID_TO)*('Dvd Calendar'!$K$1541&gt;VAL_DATE)=0,"",'Dvd Calendar'!$K$1541*1000000000+ISNUMBER('Dvd Calendar'!$K$1542)*100000000+0*10000000+(N('Dvd Calendar'!$K$1540)&gt;0)*(N('Dvd Calendar'!$K$1540)&lt;=VAL_SERIAL)*1000000+39*1000+47))</f>
        <v/>
      </c>
      <c r="FZ154" s="121">
        <f>IF(N('Dvd Calendar'!$L$1541)=0,"",IF(('Dvd Calendar'!$L$1541&gt;=GRID_FROM)*('Dvd Calendar'!$L$1541&lt;=GRID_TO)*('Dvd Calendar'!$L$1541&gt;VAL_DATE)=0,"",'Dvd Calendar'!$L$1541*1000000000+ISNUMBER('Dvd Calendar'!$L$1542)*100000000+0*10000000+(N('Dvd Calendar'!$L$1540)&gt;0)*(N('Dvd Calendar'!$L$1540)&lt;=VAL_SERIAL)*1000000+39*1000+48))</f>
        <v/>
      </c>
      <c r="GA154" s="121">
        <f>IF(N('Dvd Calendar'!$M$1541)=0,"",IF(('Dvd Calendar'!$M$1541&gt;=GRID_FROM)*('Dvd Calendar'!$M$1541&lt;=GRID_TO)*('Dvd Calendar'!$M$1541&gt;VAL_DATE)=0,"",'Dvd Calendar'!$M$1541*1000000000+ISNUMBER('Dvd Calendar'!$M$1542)*100000000+0*10000000+(N('Dvd Calendar'!$M$1540)&gt;0)*(N('Dvd Calendar'!$M$1540)&lt;=VAL_SERIAL)*1000000+39*1000+49))</f>
        <v/>
      </c>
      <c r="GB154" s="121">
        <f>IF(N('Dvd Calendar'!$N$1541)=0,"",IF(('Dvd Calendar'!$N$1541&gt;=GRID_FROM)*('Dvd Calendar'!$N$1541&lt;=GRID_TO)*('Dvd Calendar'!$N$1541&gt;VAL_DATE)=0,"",'Dvd Calendar'!$N$1541*1000000000+ISNUMBER('Dvd Calendar'!$N$1542)*100000000+0*10000000+(N('Dvd Calendar'!$N$1540)&gt;0)*(N('Dvd Calendar'!$N$1540)&lt;=VAL_SERIAL)*1000000+39*1000+50))</f>
        <v/>
      </c>
      <c r="GC154" s="121">
        <f>IF(N('Dvd Calendar'!$O$1541)=0,"",IF(('Dvd Calendar'!$O$1541&gt;=GRID_FROM)*('Dvd Calendar'!$O$1541&lt;=GRID_TO)*('Dvd Calendar'!$O$1541&gt;VAL_DATE)=0,"",'Dvd Calendar'!$O$1541*1000000000+ISNUMBER('Dvd Calendar'!$O$1542)*100000000+0*10000000+(N('Dvd Calendar'!$O$1540)&gt;0)*(N('Dvd Calendar'!$O$1540)&lt;=VAL_SERIAL)*1000000+39*1000+51))</f>
        <v/>
      </c>
      <c r="GD154" s="121">
        <f>IF(N('Dvd Calendar'!$P$1541)=0,"",IF(('Dvd Calendar'!$P$1541&gt;=GRID_FROM)*('Dvd Calendar'!$P$1541&lt;=GRID_TO)*('Dvd Calendar'!$P$1541&gt;VAL_DATE)=0,"",'Dvd Calendar'!$P$1541*1000000000+ISNUMBER('Dvd Calendar'!$P$1542)*100000000+0*10000000+(N('Dvd Calendar'!$P$1540)&gt;0)*(N('Dvd Calendar'!$P$1540)&lt;=VAL_SERIAL)*1000000+39*1000+52))</f>
        <v/>
      </c>
      <c r="GE154" s="121">
        <f>IF(N('Dvd Calendar'!$Q$1541)=0,"",IF(('Dvd Calendar'!$Q$1541&gt;=GRID_FROM)*('Dvd Calendar'!$Q$1541&lt;=GRID_TO)*('Dvd Calendar'!$Q$1541&gt;VAL_DATE)=0,"",'Dvd Calendar'!$Q$1541*1000000000+ISNUMBER('Dvd Calendar'!$Q$1542)*100000000+0*10000000+(N('Dvd Calendar'!$Q$1540)&gt;0)*(N('Dvd Calendar'!$Q$1540)&lt;=VAL_SERIAL)*1000000+39*1000+53))</f>
        <v/>
      </c>
      <c r="GF154" s="121">
        <f>IF(N('Dvd Calendar'!$R$1541)=0,"",IF(('Dvd Calendar'!$R$1541&gt;=GRID_FROM)*('Dvd Calendar'!$R$1541&lt;=GRID_TO)*('Dvd Calendar'!$R$1541&gt;VAL_DATE)=0,"",'Dvd Calendar'!$R$1541*1000000000+ISNUMBER('Dvd Calendar'!$R$1542)*100000000+0*10000000+(N('Dvd Calendar'!$R$1540)&gt;0)*(N('Dvd Calendar'!$R$1540)&lt;=VAL_SERIAL)*1000000+39*1000+54))</f>
        <v/>
      </c>
      <c r="GG154" s="121">
        <f>IF(N('Dvd Calendar'!$S$1541)=0,"",IF(('Dvd Calendar'!$S$1541&gt;=GRID_FROM)*('Dvd Calendar'!$S$1541&lt;=GRID_TO)*('Dvd Calendar'!$S$1541&gt;VAL_DATE)=0,"",'Dvd Calendar'!$S$1541*1000000000+ISNUMBER('Dvd Calendar'!$S$1542)*100000000+0*10000000+(N('Dvd Calendar'!$S$1540)&gt;0)*(N('Dvd Calendar'!$S$1540)&lt;=VAL_SERIAL)*1000000+39*1000+55))</f>
        <v/>
      </c>
      <c r="GH154" s="121">
        <f>IF(N('Dvd Calendar'!$T$1541)=0,"",IF(('Dvd Calendar'!$T$1541&gt;=GRID_FROM)*('Dvd Calendar'!$T$1541&lt;=GRID_TO)*('Dvd Calendar'!$T$1541&gt;VAL_DATE)=0,"",'Dvd Calendar'!$T$1541*1000000000+ISNUMBER('Dvd Calendar'!$T$1542)*100000000+0*10000000+(N('Dvd Calendar'!$T$1540)&gt;0)*(N('Dvd Calendar'!$T$1540)&lt;=VAL_SERIAL)*1000000+39*1000+56))</f>
        <v/>
      </c>
      <c r="GI154" s="121">
        <f>IF(N('Dvd Calendar'!$U$1541)=0,"",IF(('Dvd Calendar'!$U$1541&gt;=GRID_FROM)*('Dvd Calendar'!$U$1541&lt;=GRID_TO)*('Dvd Calendar'!$U$1541&gt;VAL_DATE)=0,"",'Dvd Calendar'!$U$1541*1000000000+ISNUMBER('Dvd Calendar'!$U$1542)*100000000+0*10000000+(N('Dvd Calendar'!$U$1540)&gt;0)*(N('Dvd Calendar'!$U$1540)&lt;=VAL_SERIAL)*1000000+39*1000+57))</f>
        <v/>
      </c>
      <c r="GJ154" s="121">
        <f>IF(N('Dvd Calendar'!$V$1541)=0,"",IF(('Dvd Calendar'!$V$1541&gt;=GRID_FROM)*('Dvd Calendar'!$V$1541&lt;=GRID_TO)*('Dvd Calendar'!$V$1541&gt;VAL_DATE)=0,"",'Dvd Calendar'!$V$1541*1000000000+ISNUMBER('Dvd Calendar'!$V$1542)*100000000+0*10000000+(N('Dvd Calendar'!$V$1540)&gt;0)*(N('Dvd Calendar'!$V$1540)&lt;=VAL_SERIAL)*1000000+39*1000+58))</f>
        <v/>
      </c>
      <c r="GK154" s="121">
        <f>IF(N('Dvd Calendar'!$W$1541)=0,"",IF(('Dvd Calendar'!$W$1541&gt;=GRID_FROM)*('Dvd Calendar'!$W$1541&lt;=GRID_TO)*('Dvd Calendar'!$W$1541&gt;VAL_DATE)=0,"",'Dvd Calendar'!$W$1541*1000000000+ISNUMBER('Dvd Calendar'!$W$1542)*100000000+0*10000000+(N('Dvd Calendar'!$W$1540)&gt;0)*(N('Dvd Calendar'!$W$1540)&lt;=VAL_SERIAL)*1000000+39*1000+59))</f>
        <v/>
      </c>
      <c r="GL154" s="121">
        <f>IF(N('Dvd Calendar'!$X$1541)=0,"",IF(('Dvd Calendar'!$X$1541&gt;=GRID_FROM)*('Dvd Calendar'!$X$1541&lt;=GRID_TO)*('Dvd Calendar'!$X$1541&gt;VAL_DATE)=0,"",'Dvd Calendar'!$X$1541*1000000000+ISNUMBER('Dvd Calendar'!$X$1542)*100000000+0*10000000+(N('Dvd Calendar'!$X$1540)&gt;0)*(N('Dvd Calendar'!$X$1540)&lt;=VAL_SERIAL)*1000000+39*1000+60))</f>
        <v/>
      </c>
      <c r="GM154" s="121">
        <f>IF(N('Dvd Calendar'!$Y$1541)=0,"",IF(('Dvd Calendar'!$Y$1541&gt;=GRID_FROM)*('Dvd Calendar'!$Y$1541&lt;=GRID_TO)*('Dvd Calendar'!$Y$1541&gt;VAL_DATE)=0,"",'Dvd Calendar'!$Y$1541*1000000000+ISNUMBER('Dvd Calendar'!$Y$1542)*100000000+0*10000000+(N('Dvd Calendar'!$Y$1540)&gt;0)*(N('Dvd Calendar'!$Y$1540)&lt;=VAL_SERIAL)*1000000+39*1000+61))</f>
        <v/>
      </c>
      <c r="GN154" s="121">
        <f>IF(N('Dvd Calendar'!$Z$1541)=0,"",IF(('Dvd Calendar'!$Z$1541&gt;=GRID_FROM)*('Dvd Calendar'!$Z$1541&lt;=GRID_TO)*('Dvd Calendar'!$Z$1541&gt;VAL_DATE)=0,"",'Dvd Calendar'!$Z$1541*1000000000+ISNUMBER('Dvd Calendar'!$Z$1542)*100000000+0*10000000+(N('Dvd Calendar'!$Z$1540)&gt;0)*(N('Dvd Calendar'!$Z$1540)&lt;=VAL_SERIAL)*1000000+39*1000+62))</f>
        <v/>
      </c>
      <c r="GO154" s="121">
        <f>IF(N('Dvd Calendar'!$AA$1541)=0,"",IF(('Dvd Calendar'!$AA$1541&gt;=GRID_FROM)*('Dvd Calendar'!$AA$1541&lt;=GRID_TO)*('Dvd Calendar'!$AA$1541&gt;VAL_DATE)=0,"",'Dvd Calendar'!$AA$1541*1000000000+ISNUMBER('Dvd Calendar'!$AA$1542)*100000000+0*10000000+(N('Dvd Calendar'!$AA$1540)&gt;0)*(N('Dvd Calendar'!$AA$1540)&lt;=VAL_SERIAL)*1000000+39*1000+63))</f>
        <v/>
      </c>
      <c r="GP154" s="121">
        <f>IF(N('Dvd Calendar'!$AB$1541)=0,"",IF(('Dvd Calendar'!$AB$1541&gt;=GRID_FROM)*('Dvd Calendar'!$AB$1541&lt;=GRID_TO)*('Dvd Calendar'!$AB$1541&gt;VAL_DATE)=0,"",'Dvd Calendar'!$AB$1541*1000000000+ISNUMBER('Dvd Calendar'!$AB$1542)*100000000+0*10000000+(N('Dvd Calendar'!$AB$1540)&gt;0)*(N('Dvd Calendar'!$AB$1540)&lt;=VAL_SERIAL)*1000000+39*1000+64))</f>
        <v/>
      </c>
      <c r="GQ154" s="121">
        <f>IF(N('Dvd Calendar'!$AC$1541)=0,"",IF(('Dvd Calendar'!$AC$1541&gt;=GRID_FROM)*('Dvd Calendar'!$AC$1541&lt;=GRID_TO)*('Dvd Calendar'!$AC$1541&gt;VAL_DATE)=0,"",'Dvd Calendar'!$AC$1541*1000000000+ISNUMBER('Dvd Calendar'!$AC$1542)*100000000+0*10000000+(N('Dvd Calendar'!$AC$1540)&gt;0)*(N('Dvd Calendar'!$AC$1540)&lt;=VAL_SERIAL)*1000000+39*1000+65))</f>
        <v/>
      </c>
    </row>
    <row r="155">
      <c r="B155" s="2">
        <f>IF(HSTECH!$C$46="","",HSTECH!$C$46)</f>
        <v/>
      </c>
      <c r="C155" s="161">
        <f>IF(EE155="","",IF(ISNUMBER('Dvd Calendar'!$E$1548)=FALSE,"",IF((('Dvd Calendar'!$E$1550=TYPE1)*(TYPE1&lt;&gt;"")+('Dvd Calendar'!$E$1550=TYPE2)*(TYPE2&lt;&gt;"")+('Dvd Calendar'!$E$1550=TYPE3)*(TYPE3&lt;&gt;"")+('Dvd Calendar'!$E$1550=TYPE4)*(TYPE4&lt;&gt;"")+('Dvd Calendar'!$E$1550=SPECIAL_LBL)*(INC_SPECIALS="Y"))=0,"",'Dvd Calendar'!$E$1548)))</f>
        <v/>
      </c>
      <c r="D155" s="161">
        <f>IF(EF155="","",IF(ISNUMBER('Dvd Calendar'!$F$1548)=FALSE,"",IF((('Dvd Calendar'!$F$1550=TYPE1)*(TYPE1&lt;&gt;"")+('Dvd Calendar'!$F$1550=TYPE2)*(TYPE2&lt;&gt;"")+('Dvd Calendar'!$F$1550=TYPE3)*(TYPE3&lt;&gt;"")+('Dvd Calendar'!$F$1550=TYPE4)*(TYPE4&lt;&gt;"")+('Dvd Calendar'!$F$1550=SPECIAL_LBL)*(INC_SPECIALS="Y"))=0,"",'Dvd Calendar'!$F$1548)))</f>
        <v/>
      </c>
      <c r="E155" s="161">
        <f>IF(EG155="","",IF(ISNUMBER('Dvd Calendar'!$G$1548)=FALSE,"",IF((('Dvd Calendar'!$G$1550=TYPE1)*(TYPE1&lt;&gt;"")+('Dvd Calendar'!$G$1550=TYPE2)*(TYPE2&lt;&gt;"")+('Dvd Calendar'!$G$1550=TYPE3)*(TYPE3&lt;&gt;"")+('Dvd Calendar'!$G$1550=TYPE4)*(TYPE4&lt;&gt;"")+('Dvd Calendar'!$G$1550=SPECIAL_LBL)*(INC_SPECIALS="Y"))=0,"",'Dvd Calendar'!$G$1548)))</f>
        <v/>
      </c>
      <c r="F155" s="161">
        <f>IF(EH155="","",IF(ISNUMBER('Dvd Calendar'!$H$1548)=FALSE,"",IF((('Dvd Calendar'!$H$1550=TYPE1)*(TYPE1&lt;&gt;"")+('Dvd Calendar'!$H$1550=TYPE2)*(TYPE2&lt;&gt;"")+('Dvd Calendar'!$H$1550=TYPE3)*(TYPE3&lt;&gt;"")+('Dvd Calendar'!$H$1550=TYPE4)*(TYPE4&lt;&gt;"")+('Dvd Calendar'!$H$1550=SPECIAL_LBL)*(INC_SPECIALS="Y"))=0,"",'Dvd Calendar'!$H$1548)))</f>
        <v/>
      </c>
      <c r="G155" s="161">
        <f>IF(EI155="","",IF(ISNUMBER('Dvd Calendar'!$I$1548)=FALSE,"",IF((('Dvd Calendar'!$I$1550=TYPE1)*(TYPE1&lt;&gt;"")+('Dvd Calendar'!$I$1550=TYPE2)*(TYPE2&lt;&gt;"")+('Dvd Calendar'!$I$1550=TYPE3)*(TYPE3&lt;&gt;"")+('Dvd Calendar'!$I$1550=TYPE4)*(TYPE4&lt;&gt;"")+('Dvd Calendar'!$I$1550=SPECIAL_LBL)*(INC_SPECIALS="Y"))=0,"",'Dvd Calendar'!$I$1548)))</f>
        <v/>
      </c>
      <c r="H155" s="161">
        <f>IF(EJ155="","",IF(ISNUMBER('Dvd Calendar'!$J$1548)=FALSE,"",IF((('Dvd Calendar'!$J$1550=TYPE1)*(TYPE1&lt;&gt;"")+('Dvd Calendar'!$J$1550=TYPE2)*(TYPE2&lt;&gt;"")+('Dvd Calendar'!$J$1550=TYPE3)*(TYPE3&lt;&gt;"")+('Dvd Calendar'!$J$1550=TYPE4)*(TYPE4&lt;&gt;"")+('Dvd Calendar'!$J$1550=SPECIAL_LBL)*(INC_SPECIALS="Y"))=0,"",'Dvd Calendar'!$J$1548)))</f>
        <v/>
      </c>
      <c r="I155" s="161">
        <f>IF(EK155="","",IF(ISNUMBER('Dvd Calendar'!$K$1548)=FALSE,"",IF((('Dvd Calendar'!$K$1550=TYPE1)*(TYPE1&lt;&gt;"")+('Dvd Calendar'!$K$1550=TYPE2)*(TYPE2&lt;&gt;"")+('Dvd Calendar'!$K$1550=TYPE3)*(TYPE3&lt;&gt;"")+('Dvd Calendar'!$K$1550=TYPE4)*(TYPE4&lt;&gt;"")+('Dvd Calendar'!$K$1550=SPECIAL_LBL)*(INC_SPECIALS="Y"))=0,"",'Dvd Calendar'!$K$1548)))</f>
        <v/>
      </c>
      <c r="J155" s="161">
        <f>IF(EL155="","",IF(ISNUMBER('Dvd Calendar'!$L$1548)=FALSE,"",IF((('Dvd Calendar'!$L$1550=TYPE1)*(TYPE1&lt;&gt;"")+('Dvd Calendar'!$L$1550=TYPE2)*(TYPE2&lt;&gt;"")+('Dvd Calendar'!$L$1550=TYPE3)*(TYPE3&lt;&gt;"")+('Dvd Calendar'!$L$1550=TYPE4)*(TYPE4&lt;&gt;"")+('Dvd Calendar'!$L$1550=SPECIAL_LBL)*(INC_SPECIALS="Y"))=0,"",'Dvd Calendar'!$L$1548)))</f>
        <v/>
      </c>
      <c r="K155" s="161">
        <f>IF(EM155="","",IF(ISNUMBER('Dvd Calendar'!$M$1548)=FALSE,"",IF((('Dvd Calendar'!$M$1550=TYPE1)*(TYPE1&lt;&gt;"")+('Dvd Calendar'!$M$1550=TYPE2)*(TYPE2&lt;&gt;"")+('Dvd Calendar'!$M$1550=TYPE3)*(TYPE3&lt;&gt;"")+('Dvd Calendar'!$M$1550=TYPE4)*(TYPE4&lt;&gt;"")+('Dvd Calendar'!$M$1550=SPECIAL_LBL)*(INC_SPECIALS="Y"))=0,"",'Dvd Calendar'!$M$1548)))</f>
        <v/>
      </c>
      <c r="L155" s="161">
        <f>IF(EN155="","",IF(ISNUMBER('Dvd Calendar'!$N$1548)=FALSE,"",IF((('Dvd Calendar'!$N$1550=TYPE1)*(TYPE1&lt;&gt;"")+('Dvd Calendar'!$N$1550=TYPE2)*(TYPE2&lt;&gt;"")+('Dvd Calendar'!$N$1550=TYPE3)*(TYPE3&lt;&gt;"")+('Dvd Calendar'!$N$1550=TYPE4)*(TYPE4&lt;&gt;"")+('Dvd Calendar'!$N$1550=SPECIAL_LBL)*(INC_SPECIALS="Y"))=0,"",'Dvd Calendar'!$N$1548)))</f>
        <v/>
      </c>
      <c r="M155" s="161">
        <f>IF(EO155="","",IF(ISNUMBER('Dvd Calendar'!$O$1548)=FALSE,"",IF((('Dvd Calendar'!$O$1550=TYPE1)*(TYPE1&lt;&gt;"")+('Dvd Calendar'!$O$1550=TYPE2)*(TYPE2&lt;&gt;"")+('Dvd Calendar'!$O$1550=TYPE3)*(TYPE3&lt;&gt;"")+('Dvd Calendar'!$O$1550=TYPE4)*(TYPE4&lt;&gt;"")+('Dvd Calendar'!$O$1550=SPECIAL_LBL)*(INC_SPECIALS="Y"))=0,"",'Dvd Calendar'!$O$1548)))</f>
        <v/>
      </c>
      <c r="N155" s="161">
        <f>IF(EP155="","",IF(ISNUMBER('Dvd Calendar'!$P$1548)=FALSE,"",IF((('Dvd Calendar'!$P$1550=TYPE1)*(TYPE1&lt;&gt;"")+('Dvd Calendar'!$P$1550=TYPE2)*(TYPE2&lt;&gt;"")+('Dvd Calendar'!$P$1550=TYPE3)*(TYPE3&lt;&gt;"")+('Dvd Calendar'!$P$1550=TYPE4)*(TYPE4&lt;&gt;"")+('Dvd Calendar'!$P$1550=SPECIAL_LBL)*(INC_SPECIALS="Y"))=0,"",'Dvd Calendar'!$P$1548)))</f>
        <v/>
      </c>
      <c r="O155" s="161">
        <f>IF(EQ155="","",IF(ISNUMBER('Dvd Calendar'!$Q$1548)=FALSE,"",IF((('Dvd Calendar'!$Q$1550=TYPE1)*(TYPE1&lt;&gt;"")+('Dvd Calendar'!$Q$1550=TYPE2)*(TYPE2&lt;&gt;"")+('Dvd Calendar'!$Q$1550=TYPE3)*(TYPE3&lt;&gt;"")+('Dvd Calendar'!$Q$1550=TYPE4)*(TYPE4&lt;&gt;"")+('Dvd Calendar'!$Q$1550=SPECIAL_LBL)*(INC_SPECIALS="Y"))=0,"",'Dvd Calendar'!$Q$1548)))</f>
        <v/>
      </c>
      <c r="P155" s="161">
        <f>IF(ER155="","",IF(ISNUMBER('Dvd Calendar'!$R$1548)=FALSE,"",IF((('Dvd Calendar'!$R$1550=TYPE1)*(TYPE1&lt;&gt;"")+('Dvd Calendar'!$R$1550=TYPE2)*(TYPE2&lt;&gt;"")+('Dvd Calendar'!$R$1550=TYPE3)*(TYPE3&lt;&gt;"")+('Dvd Calendar'!$R$1550=TYPE4)*(TYPE4&lt;&gt;"")+('Dvd Calendar'!$R$1550=SPECIAL_LBL)*(INC_SPECIALS="Y"))=0,"",'Dvd Calendar'!$R$1548)))</f>
        <v/>
      </c>
      <c r="Q155" s="161">
        <f>IF(ES155="","",IF(ISNUMBER('Dvd Calendar'!$S$1548)=FALSE,"",IF((('Dvd Calendar'!$S$1550=TYPE1)*(TYPE1&lt;&gt;"")+('Dvd Calendar'!$S$1550=TYPE2)*(TYPE2&lt;&gt;"")+('Dvd Calendar'!$S$1550=TYPE3)*(TYPE3&lt;&gt;"")+('Dvd Calendar'!$S$1550=TYPE4)*(TYPE4&lt;&gt;"")+('Dvd Calendar'!$S$1550=SPECIAL_LBL)*(INC_SPECIALS="Y"))=0,"",'Dvd Calendar'!$S$1548)))</f>
        <v/>
      </c>
      <c r="R155" s="161">
        <f>IF(ET155="","",IF(ISNUMBER('Dvd Calendar'!$T$1548)=FALSE,"",IF((('Dvd Calendar'!$T$1550=TYPE1)*(TYPE1&lt;&gt;"")+('Dvd Calendar'!$T$1550=TYPE2)*(TYPE2&lt;&gt;"")+('Dvd Calendar'!$T$1550=TYPE3)*(TYPE3&lt;&gt;"")+('Dvd Calendar'!$T$1550=TYPE4)*(TYPE4&lt;&gt;"")+('Dvd Calendar'!$T$1550=SPECIAL_LBL)*(INC_SPECIALS="Y"))=0,"",'Dvd Calendar'!$T$1548)))</f>
        <v/>
      </c>
      <c r="S155" s="161">
        <f>IF(EU155="","",IF(ISNUMBER('Dvd Calendar'!$U$1548)=FALSE,"",IF((('Dvd Calendar'!$U$1550=TYPE1)*(TYPE1&lt;&gt;"")+('Dvd Calendar'!$U$1550=TYPE2)*(TYPE2&lt;&gt;"")+('Dvd Calendar'!$U$1550=TYPE3)*(TYPE3&lt;&gt;"")+('Dvd Calendar'!$U$1550=TYPE4)*(TYPE4&lt;&gt;"")+('Dvd Calendar'!$U$1550=SPECIAL_LBL)*(INC_SPECIALS="Y"))=0,"",'Dvd Calendar'!$U$1548)))</f>
        <v/>
      </c>
      <c r="T155" s="161">
        <f>IF(EV155="","",IF(ISNUMBER('Dvd Calendar'!$V$1548)=FALSE,"",IF((('Dvd Calendar'!$V$1550=TYPE1)*(TYPE1&lt;&gt;"")+('Dvd Calendar'!$V$1550=TYPE2)*(TYPE2&lt;&gt;"")+('Dvd Calendar'!$V$1550=TYPE3)*(TYPE3&lt;&gt;"")+('Dvd Calendar'!$V$1550=TYPE4)*(TYPE4&lt;&gt;"")+('Dvd Calendar'!$V$1550=SPECIAL_LBL)*(INC_SPECIALS="Y"))=0,"",'Dvd Calendar'!$V$1548)))</f>
        <v/>
      </c>
      <c r="U155" s="161">
        <f>IF(EW155="","",IF(ISNUMBER('Dvd Calendar'!$W$1548)=FALSE,"",IF((('Dvd Calendar'!$W$1550=TYPE1)*(TYPE1&lt;&gt;"")+('Dvd Calendar'!$W$1550=TYPE2)*(TYPE2&lt;&gt;"")+('Dvd Calendar'!$W$1550=TYPE3)*(TYPE3&lt;&gt;"")+('Dvd Calendar'!$W$1550=TYPE4)*(TYPE4&lt;&gt;"")+('Dvd Calendar'!$W$1550=SPECIAL_LBL)*(INC_SPECIALS="Y"))=0,"",'Dvd Calendar'!$W$1548)))</f>
        <v/>
      </c>
      <c r="V155" s="161">
        <f>IF(EX155="","",IF(ISNUMBER('Dvd Calendar'!$X$1548)=FALSE,"",IF((('Dvd Calendar'!$X$1550=TYPE1)*(TYPE1&lt;&gt;"")+('Dvd Calendar'!$X$1550=TYPE2)*(TYPE2&lt;&gt;"")+('Dvd Calendar'!$X$1550=TYPE3)*(TYPE3&lt;&gt;"")+('Dvd Calendar'!$X$1550=TYPE4)*(TYPE4&lt;&gt;"")+('Dvd Calendar'!$X$1550=SPECIAL_LBL)*(INC_SPECIALS="Y"))=0,"",'Dvd Calendar'!$X$1548)))</f>
        <v/>
      </c>
      <c r="W155" s="161">
        <f>IF(EY155="","",IF(ISNUMBER('Dvd Calendar'!$Y$1548)=FALSE,"",IF((('Dvd Calendar'!$Y$1550=TYPE1)*(TYPE1&lt;&gt;"")+('Dvd Calendar'!$Y$1550=TYPE2)*(TYPE2&lt;&gt;"")+('Dvd Calendar'!$Y$1550=TYPE3)*(TYPE3&lt;&gt;"")+('Dvd Calendar'!$Y$1550=TYPE4)*(TYPE4&lt;&gt;"")+('Dvd Calendar'!$Y$1550=SPECIAL_LBL)*(INC_SPECIALS="Y"))=0,"",'Dvd Calendar'!$Y$1548)))</f>
        <v/>
      </c>
      <c r="X155" s="161">
        <f>IF(EZ155="","",IF(ISNUMBER('Dvd Calendar'!$Z$1548)=FALSE,"",IF((('Dvd Calendar'!$Z$1550=TYPE1)*(TYPE1&lt;&gt;"")+('Dvd Calendar'!$Z$1550=TYPE2)*(TYPE2&lt;&gt;"")+('Dvd Calendar'!$Z$1550=TYPE3)*(TYPE3&lt;&gt;"")+('Dvd Calendar'!$Z$1550=TYPE4)*(TYPE4&lt;&gt;"")+('Dvd Calendar'!$Z$1550=SPECIAL_LBL)*(INC_SPECIALS="Y"))=0,"",'Dvd Calendar'!$Z$1548)))</f>
        <v/>
      </c>
      <c r="Y155" s="161">
        <f>IF(FA155="","",IF(ISNUMBER('Dvd Calendar'!$AA$1548)=FALSE,"",IF((('Dvd Calendar'!$AA$1550=TYPE1)*(TYPE1&lt;&gt;"")+('Dvd Calendar'!$AA$1550=TYPE2)*(TYPE2&lt;&gt;"")+('Dvd Calendar'!$AA$1550=TYPE3)*(TYPE3&lt;&gt;"")+('Dvd Calendar'!$AA$1550=TYPE4)*(TYPE4&lt;&gt;"")+('Dvd Calendar'!$AA$1550=SPECIAL_LBL)*(INC_SPECIALS="Y"))=0,"",'Dvd Calendar'!$AA$1548)))</f>
        <v/>
      </c>
      <c r="Z155" s="161">
        <f>IF(FB155="","",IF(ISNUMBER('Dvd Calendar'!$AB$1548)=FALSE,"",IF((('Dvd Calendar'!$AB$1550=TYPE1)*(TYPE1&lt;&gt;"")+('Dvd Calendar'!$AB$1550=TYPE2)*(TYPE2&lt;&gt;"")+('Dvd Calendar'!$AB$1550=TYPE3)*(TYPE3&lt;&gt;"")+('Dvd Calendar'!$AB$1550=TYPE4)*(TYPE4&lt;&gt;"")+('Dvd Calendar'!$AB$1550=SPECIAL_LBL)*(INC_SPECIALS="Y"))=0,"",'Dvd Calendar'!$AB$1548)))</f>
        <v/>
      </c>
      <c r="AA155" s="161">
        <f>IF(FC155="","",IF(ISNUMBER('Dvd Calendar'!$AC$1548)=FALSE,"",IF((('Dvd Calendar'!$AC$1550=TYPE1)*(TYPE1&lt;&gt;"")+('Dvd Calendar'!$AC$1550=TYPE2)*(TYPE2&lt;&gt;"")+('Dvd Calendar'!$AC$1550=TYPE3)*(TYPE3&lt;&gt;"")+('Dvd Calendar'!$AC$1550=TYPE4)*(TYPE4&lt;&gt;"")+('Dvd Calendar'!$AC$1550=SPECIAL_LBL)*(INC_SPECIALS="Y"))=0,"",'Dvd Calendar'!$AC$1548)))</f>
        <v/>
      </c>
      <c r="AB155" s="161">
        <f>IF(FD155="","",IF(ISNUMBER('Dvd Calendar'!$AD$1548)=FALSE,"",IF((('Dvd Calendar'!$AD$1550=TYPE1)*(TYPE1&lt;&gt;"")+('Dvd Calendar'!$AD$1550=TYPE2)*(TYPE2&lt;&gt;"")+('Dvd Calendar'!$AD$1550=TYPE3)*(TYPE3&lt;&gt;"")+('Dvd Calendar'!$AD$1550=TYPE4)*(TYPE4&lt;&gt;"")+('Dvd Calendar'!$AD$1550=SPECIAL_LBL)*(INC_SPECIALS="Y"))=0,"",'Dvd Calendar'!$AD$1548)))</f>
        <v/>
      </c>
      <c r="AC155" s="161">
        <f>IF(FE155="","",IF(ISNUMBER('Dvd Calendar'!$AE$1548)=FALSE,"",IF((('Dvd Calendar'!$AE$1550=TYPE1)*(TYPE1&lt;&gt;"")+('Dvd Calendar'!$AE$1550=TYPE2)*(TYPE2&lt;&gt;"")+('Dvd Calendar'!$AE$1550=TYPE3)*(TYPE3&lt;&gt;"")+('Dvd Calendar'!$AE$1550=TYPE4)*(TYPE4&lt;&gt;"")+('Dvd Calendar'!$AE$1550=SPECIAL_LBL)*(INC_SPECIALS="Y"))=0,"",'Dvd Calendar'!$AE$1548)))</f>
        <v/>
      </c>
      <c r="AD155" s="161">
        <f>IF(FF155="","",IF(ISNUMBER('Dvd Calendar'!$AF$1548)=FALSE,"",IF((('Dvd Calendar'!$AF$1550=TYPE1)*(TYPE1&lt;&gt;"")+('Dvd Calendar'!$AF$1550=TYPE2)*(TYPE2&lt;&gt;"")+('Dvd Calendar'!$AF$1550=TYPE3)*(TYPE3&lt;&gt;"")+('Dvd Calendar'!$AF$1550=TYPE4)*(TYPE4&lt;&gt;"")+('Dvd Calendar'!$AF$1550=SPECIAL_LBL)*(INC_SPECIALS="Y"))=0,"",'Dvd Calendar'!$AF$1548)))</f>
        <v/>
      </c>
      <c r="AE155" s="161">
        <f>IF(FG155="","",IF(ISNUMBER('Dvd Calendar'!$AG$1548)=FALSE,"",IF((('Dvd Calendar'!$AG$1550=TYPE1)*(TYPE1&lt;&gt;"")+('Dvd Calendar'!$AG$1550=TYPE2)*(TYPE2&lt;&gt;"")+('Dvd Calendar'!$AG$1550=TYPE3)*(TYPE3&lt;&gt;"")+('Dvd Calendar'!$AG$1550=TYPE4)*(TYPE4&lt;&gt;"")+('Dvd Calendar'!$AG$1550=SPECIAL_LBL)*(INC_SPECIALS="Y"))=0,"",'Dvd Calendar'!$AG$1548)))</f>
        <v/>
      </c>
      <c r="AF155" s="161">
        <f>IF(FH155="","",IF(ISNUMBER('Dvd Calendar'!$AH$1548)=FALSE,"",IF((('Dvd Calendar'!$AH$1550=TYPE1)*(TYPE1&lt;&gt;"")+('Dvd Calendar'!$AH$1550=TYPE2)*(TYPE2&lt;&gt;"")+('Dvd Calendar'!$AH$1550=TYPE3)*(TYPE3&lt;&gt;"")+('Dvd Calendar'!$AH$1550=TYPE4)*(TYPE4&lt;&gt;"")+('Dvd Calendar'!$AH$1550=SPECIAL_LBL)*(INC_SPECIALS="Y"))=0,"",'Dvd Calendar'!$AH$1548)))</f>
        <v/>
      </c>
      <c r="AG155" s="161">
        <f>IF(FI155="","",IF(ISNUMBER('Dvd Calendar'!$AI$1548)=FALSE,"",IF((('Dvd Calendar'!$AI$1550=TYPE1)*(TYPE1&lt;&gt;"")+('Dvd Calendar'!$AI$1550=TYPE2)*(TYPE2&lt;&gt;"")+('Dvd Calendar'!$AI$1550=TYPE3)*(TYPE3&lt;&gt;"")+('Dvd Calendar'!$AI$1550=TYPE4)*(TYPE4&lt;&gt;"")+('Dvd Calendar'!$AI$1550=SPECIAL_LBL)*(INC_SPECIALS="Y"))=0,"",'Dvd Calendar'!$AI$1548)))</f>
        <v/>
      </c>
      <c r="AH155" s="161">
        <f>IF(FJ155="","",IF(ISNUMBER('Dvd Calendar'!$AJ$1548)=FALSE,"",IF((('Dvd Calendar'!$AJ$1550=TYPE1)*(TYPE1&lt;&gt;"")+('Dvd Calendar'!$AJ$1550=TYPE2)*(TYPE2&lt;&gt;"")+('Dvd Calendar'!$AJ$1550=TYPE3)*(TYPE3&lt;&gt;"")+('Dvd Calendar'!$AJ$1550=TYPE4)*(TYPE4&lt;&gt;"")+('Dvd Calendar'!$AJ$1550=SPECIAL_LBL)*(INC_SPECIALS="Y"))=0,"",'Dvd Calendar'!$AJ$1548)))</f>
        <v/>
      </c>
      <c r="AI155" s="161">
        <f>IF(FK155="","",IF(ISNUMBER('Dvd Calendar'!$AK$1548)=FALSE,"",IF((('Dvd Calendar'!$AK$1550=TYPE1)*(TYPE1&lt;&gt;"")+('Dvd Calendar'!$AK$1550=TYPE2)*(TYPE2&lt;&gt;"")+('Dvd Calendar'!$AK$1550=TYPE3)*(TYPE3&lt;&gt;"")+('Dvd Calendar'!$AK$1550=TYPE4)*(TYPE4&lt;&gt;"")+('Dvd Calendar'!$AK$1550=SPECIAL_LBL)*(INC_SPECIALS="Y"))=0,"",'Dvd Calendar'!$AK$1548)))</f>
        <v/>
      </c>
      <c r="AJ155" s="161">
        <f>IF(FL155="","",IF(ISNUMBER('Dvd Calendar'!$AL$1548)=FALSE,"",IF((('Dvd Calendar'!$AL$1550=TYPE1)*(TYPE1&lt;&gt;"")+('Dvd Calendar'!$AL$1550=TYPE2)*(TYPE2&lt;&gt;"")+('Dvd Calendar'!$AL$1550=TYPE3)*(TYPE3&lt;&gt;"")+('Dvd Calendar'!$AL$1550=TYPE4)*(TYPE4&lt;&gt;"")+('Dvd Calendar'!$AL$1550=SPECIAL_LBL)*(INC_SPECIALS="Y"))=0,"",'Dvd Calendar'!$AL$1548)))</f>
        <v/>
      </c>
      <c r="AK155" s="161">
        <f>IF(FM155="","",IF(ISNUMBER('Dvd Calendar'!$AM$1548)=FALSE,"",IF((('Dvd Calendar'!$AM$1550=TYPE1)*(TYPE1&lt;&gt;"")+('Dvd Calendar'!$AM$1550=TYPE2)*(TYPE2&lt;&gt;"")+('Dvd Calendar'!$AM$1550=TYPE3)*(TYPE3&lt;&gt;"")+('Dvd Calendar'!$AM$1550=TYPE4)*(TYPE4&lt;&gt;"")+('Dvd Calendar'!$AM$1550=SPECIAL_LBL)*(INC_SPECIALS="Y"))=0,"",'Dvd Calendar'!$AM$1548)))</f>
        <v/>
      </c>
      <c r="AL155" s="161">
        <f>IF(FN155="","",IF(ISNUMBER('Dvd Calendar'!$AN$1548)=FALSE,"",IF((('Dvd Calendar'!$AN$1550=TYPE1)*(TYPE1&lt;&gt;"")+('Dvd Calendar'!$AN$1550=TYPE2)*(TYPE2&lt;&gt;"")+('Dvd Calendar'!$AN$1550=TYPE3)*(TYPE3&lt;&gt;"")+('Dvd Calendar'!$AN$1550=TYPE4)*(TYPE4&lt;&gt;"")+('Dvd Calendar'!$AN$1550=SPECIAL_LBL)*(INC_SPECIALS="Y"))=0,"",'Dvd Calendar'!$AN$1548)))</f>
        <v/>
      </c>
      <c r="AM155" s="161">
        <f>IF(FO155="","",IF(ISNUMBER('Dvd Calendar'!$AO$1548)=FALSE,"",IF((('Dvd Calendar'!$AO$1550=TYPE1)*(TYPE1&lt;&gt;"")+('Dvd Calendar'!$AO$1550=TYPE2)*(TYPE2&lt;&gt;"")+('Dvd Calendar'!$AO$1550=TYPE3)*(TYPE3&lt;&gt;"")+('Dvd Calendar'!$AO$1550=TYPE4)*(TYPE4&lt;&gt;"")+('Dvd Calendar'!$AO$1550=SPECIAL_LBL)*(INC_SPECIALS="Y"))=0,"",'Dvd Calendar'!$AO$1548)))</f>
        <v/>
      </c>
      <c r="AN155" s="161">
        <f>IF(FP155="","",IF(ISNUMBER('Dvd Calendar'!$AP$1548)=FALSE,"",IF((('Dvd Calendar'!$AP$1550=TYPE1)*(TYPE1&lt;&gt;"")+('Dvd Calendar'!$AP$1550=TYPE2)*(TYPE2&lt;&gt;"")+('Dvd Calendar'!$AP$1550=TYPE3)*(TYPE3&lt;&gt;"")+('Dvd Calendar'!$AP$1550=TYPE4)*(TYPE4&lt;&gt;"")+('Dvd Calendar'!$AP$1550=SPECIAL_LBL)*(INC_SPECIALS="Y"))=0,"",'Dvd Calendar'!$AP$1548)))</f>
        <v/>
      </c>
      <c r="AO155" s="161">
        <f>IF(FQ155="","",IF(ISNUMBER('Dvd Calendar'!$AQ$1548)=FALSE,"",IF((('Dvd Calendar'!$AQ$1550=TYPE1)*(TYPE1&lt;&gt;"")+('Dvd Calendar'!$AQ$1550=TYPE2)*(TYPE2&lt;&gt;"")+('Dvd Calendar'!$AQ$1550=TYPE3)*(TYPE3&lt;&gt;"")+('Dvd Calendar'!$AQ$1550=TYPE4)*(TYPE4&lt;&gt;"")+('Dvd Calendar'!$AQ$1550=SPECIAL_LBL)*(INC_SPECIALS="Y"))=0,"",'Dvd Calendar'!$AQ$1548)))</f>
        <v/>
      </c>
      <c r="AP155" s="161">
        <f>IF(FR155="","",IF(ISNUMBER('Dvd Calendar'!$AR$1548)=FALSE,"",IF((('Dvd Calendar'!$AR$1550=TYPE1)*(TYPE1&lt;&gt;"")+('Dvd Calendar'!$AR$1550=TYPE2)*(TYPE2&lt;&gt;"")+('Dvd Calendar'!$AR$1550=TYPE3)*(TYPE3&lt;&gt;"")+('Dvd Calendar'!$AR$1550=TYPE4)*(TYPE4&lt;&gt;"")+('Dvd Calendar'!$AR$1550=SPECIAL_LBL)*(INC_SPECIALS="Y"))=0,"",'Dvd Calendar'!$AR$1548)))</f>
        <v/>
      </c>
      <c r="AQ155" s="161">
        <f>IF(FS155="","",IF(ISNUMBER('Dvd Calendar'!$E$1553)=FALSE,"",'Dvd Calendar'!$E$1553))</f>
        <v/>
      </c>
      <c r="AR155" s="161">
        <f>IF(FT155="","",IF(ISNUMBER('Dvd Calendar'!$F$1553)=FALSE,"",'Dvd Calendar'!$F$1553))</f>
        <v/>
      </c>
      <c r="AS155" s="161">
        <f>IF(FU155="","",IF(ISNUMBER('Dvd Calendar'!$G$1553)=FALSE,"",'Dvd Calendar'!$G$1553))</f>
        <v/>
      </c>
      <c r="AT155" s="161">
        <f>IF(FV155="","",IF(ISNUMBER('Dvd Calendar'!$H$1553)=FALSE,"",'Dvd Calendar'!$H$1553))</f>
        <v/>
      </c>
      <c r="AU155" s="161">
        <f>IF(FW155="","",IF(ISNUMBER('Dvd Calendar'!$I$1553)=FALSE,"",'Dvd Calendar'!$I$1553))</f>
        <v/>
      </c>
      <c r="AV155" s="161">
        <f>IF(FX155="","",IF(ISNUMBER('Dvd Calendar'!$J$1553)=FALSE,"",'Dvd Calendar'!$J$1553))</f>
        <v/>
      </c>
      <c r="AW155" s="161">
        <f>IF(FY155="","",IF(ISNUMBER('Dvd Calendar'!$K$1553)=FALSE,"",'Dvd Calendar'!$K$1553))</f>
        <v/>
      </c>
      <c r="AX155" s="161">
        <f>IF(FZ155="","",IF(ISNUMBER('Dvd Calendar'!$L$1553)=FALSE,"",'Dvd Calendar'!$L$1553))</f>
        <v/>
      </c>
      <c r="AY155" s="161">
        <f>IF(GA155="","",IF(ISNUMBER('Dvd Calendar'!$M$1553)=FALSE,"",'Dvd Calendar'!$M$1553))</f>
        <v/>
      </c>
      <c r="AZ155" s="161">
        <f>IF(GB155="","",IF(ISNUMBER('Dvd Calendar'!$N$1553)=FALSE,"",'Dvd Calendar'!$N$1553))</f>
        <v/>
      </c>
      <c r="BA155" s="161">
        <f>IF(GC155="","",IF(ISNUMBER('Dvd Calendar'!$O$1553)=FALSE,"",'Dvd Calendar'!$O$1553))</f>
        <v/>
      </c>
      <c r="BB155" s="161">
        <f>IF(GD155="","",IF(ISNUMBER('Dvd Calendar'!$P$1553)=FALSE,"",'Dvd Calendar'!$P$1553))</f>
        <v/>
      </c>
      <c r="BC155" s="161">
        <f>IF(GE155="","",IF(ISNUMBER('Dvd Calendar'!$Q$1553)=FALSE,"",'Dvd Calendar'!$Q$1553))</f>
        <v/>
      </c>
      <c r="BD155" s="161">
        <f>IF(GF155="","",IF(ISNUMBER('Dvd Calendar'!$R$1553)=FALSE,"",'Dvd Calendar'!$R$1553))</f>
        <v/>
      </c>
      <c r="BE155" s="161">
        <f>IF(GG155="","",IF(ISNUMBER('Dvd Calendar'!$S$1553)=FALSE,"",'Dvd Calendar'!$S$1553))</f>
        <v/>
      </c>
      <c r="BF155" s="161">
        <f>IF(GH155="","",IF(ISNUMBER('Dvd Calendar'!$T$1553)=FALSE,"",'Dvd Calendar'!$T$1553))</f>
        <v/>
      </c>
      <c r="BG155" s="161">
        <f>IF(GI155="","",IF(ISNUMBER('Dvd Calendar'!$U$1553)=FALSE,"",'Dvd Calendar'!$U$1553))</f>
        <v/>
      </c>
      <c r="BH155" s="161">
        <f>IF(GJ155="","",IF(ISNUMBER('Dvd Calendar'!$V$1553)=FALSE,"",'Dvd Calendar'!$V$1553))</f>
        <v/>
      </c>
      <c r="BI155" s="161">
        <f>IF(GK155="","",IF(ISNUMBER('Dvd Calendar'!$W$1553)=FALSE,"",'Dvd Calendar'!$W$1553))</f>
        <v/>
      </c>
      <c r="BJ155" s="161">
        <f>IF(GL155="","",IF(ISNUMBER('Dvd Calendar'!$X$1553)=FALSE,"",'Dvd Calendar'!$X$1553))</f>
        <v/>
      </c>
      <c r="BK155" s="161">
        <f>IF(GM155="","",IF(ISNUMBER('Dvd Calendar'!$Y$1553)=FALSE,"",'Dvd Calendar'!$Y$1553))</f>
        <v/>
      </c>
      <c r="BL155" s="161">
        <f>IF(GN155="","",IF(ISNUMBER('Dvd Calendar'!$Z$1553)=FALSE,"",'Dvd Calendar'!$Z$1553))</f>
        <v/>
      </c>
      <c r="BM155" s="161">
        <f>IF(GO155="","",IF(ISNUMBER('Dvd Calendar'!$AA$1553)=FALSE,"",'Dvd Calendar'!$AA$1553))</f>
        <v/>
      </c>
      <c r="BN155" s="161">
        <f>IF(GP155="","",IF(ISNUMBER('Dvd Calendar'!$AB$1553)=FALSE,"",'Dvd Calendar'!$AB$1553))</f>
        <v/>
      </c>
      <c r="BO155" s="161">
        <f>IF(GQ155="","",IF(ISNUMBER('Dvd Calendar'!$AC$1553)=FALSE,"",'Dvd Calendar'!$AC$1553))</f>
        <v/>
      </c>
      <c r="BQ155" s="161">
        <f>IF(C155="","",IFERROR(C155*HSTECH!$B$46*HSTECH!$G$46/HSTECH!$B$3,""))</f>
        <v/>
      </c>
      <c r="BR155" s="161">
        <f>IF(D155="","",IFERROR(D155*HSTECH!$B$46*HSTECH!$G$46/HSTECH!$B$3,""))</f>
        <v/>
      </c>
      <c r="BS155" s="161">
        <f>IF(E155="","",IFERROR(E155*HSTECH!$B$46*HSTECH!$G$46/HSTECH!$B$3,""))</f>
        <v/>
      </c>
      <c r="BT155" s="161">
        <f>IF(F155="","",IFERROR(F155*HSTECH!$B$46*HSTECH!$G$46/HSTECH!$B$3,""))</f>
        <v/>
      </c>
      <c r="BU155" s="161">
        <f>IF(G155="","",IFERROR(G155*HSTECH!$B$46*HSTECH!$G$46/HSTECH!$B$3,""))</f>
        <v/>
      </c>
      <c r="BV155" s="161">
        <f>IF(H155="","",IFERROR(H155*HSTECH!$B$46*HSTECH!$G$46/HSTECH!$B$3,""))</f>
        <v/>
      </c>
      <c r="BW155" s="161">
        <f>IF(I155="","",IFERROR(I155*HSTECH!$B$46*HSTECH!$G$46/HSTECH!$B$3,""))</f>
        <v/>
      </c>
      <c r="BX155" s="161">
        <f>IF(J155="","",IFERROR(J155*HSTECH!$B$46*HSTECH!$G$46/HSTECH!$B$3,""))</f>
        <v/>
      </c>
      <c r="BY155" s="161">
        <f>IF(K155="","",IFERROR(K155*HSTECH!$B$46*HSTECH!$G$46/HSTECH!$B$3,""))</f>
        <v/>
      </c>
      <c r="BZ155" s="161">
        <f>IF(L155="","",IFERROR(L155*HSTECH!$B$46*HSTECH!$G$46/HSTECH!$B$3,""))</f>
        <v/>
      </c>
      <c r="CA155" s="161">
        <f>IF(M155="","",IFERROR(M155*HSTECH!$B$46*HSTECH!$G$46/HSTECH!$B$3,""))</f>
        <v/>
      </c>
      <c r="CB155" s="161">
        <f>IF(N155="","",IFERROR(N155*HSTECH!$B$46*HSTECH!$G$46/HSTECH!$B$3,""))</f>
        <v/>
      </c>
      <c r="CC155" s="161">
        <f>IF(O155="","",IFERROR(O155*HSTECH!$B$46*HSTECH!$G$46/HSTECH!$B$3,""))</f>
        <v/>
      </c>
      <c r="CD155" s="161">
        <f>IF(P155="","",IFERROR(P155*HSTECH!$B$46*HSTECH!$G$46/HSTECH!$B$3,""))</f>
        <v/>
      </c>
      <c r="CE155" s="161">
        <f>IF(Q155="","",IFERROR(Q155*HSTECH!$B$46*HSTECH!$G$46/HSTECH!$B$3,""))</f>
        <v/>
      </c>
      <c r="CF155" s="161">
        <f>IF(R155="","",IFERROR(R155*HSTECH!$B$46*HSTECH!$G$46/HSTECH!$B$3,""))</f>
        <v/>
      </c>
      <c r="CG155" s="161">
        <f>IF(S155="","",IFERROR(S155*HSTECH!$B$46*HSTECH!$G$46/HSTECH!$B$3,""))</f>
        <v/>
      </c>
      <c r="CH155" s="161">
        <f>IF(T155="","",IFERROR(T155*HSTECH!$B$46*HSTECH!$G$46/HSTECH!$B$3,""))</f>
        <v/>
      </c>
      <c r="CI155" s="161">
        <f>IF(U155="","",IFERROR(U155*HSTECH!$B$46*HSTECH!$G$46/HSTECH!$B$3,""))</f>
        <v/>
      </c>
      <c r="CJ155" s="161">
        <f>IF(V155="","",IFERROR(V155*HSTECH!$B$46*HSTECH!$G$46/HSTECH!$B$3,""))</f>
        <v/>
      </c>
      <c r="CK155" s="161">
        <f>IF(W155="","",IFERROR(W155*HSTECH!$B$46*HSTECH!$G$46/HSTECH!$B$3,""))</f>
        <v/>
      </c>
      <c r="CL155" s="161">
        <f>IF(X155="","",IFERROR(X155*HSTECH!$B$46*HSTECH!$G$46/HSTECH!$B$3,""))</f>
        <v/>
      </c>
      <c r="CM155" s="161">
        <f>IF(Y155="","",IFERROR(Y155*HSTECH!$B$46*HSTECH!$G$46/HSTECH!$B$3,""))</f>
        <v/>
      </c>
      <c r="CN155" s="161">
        <f>IF(Z155="","",IFERROR(Z155*HSTECH!$B$46*HSTECH!$G$46/HSTECH!$B$3,""))</f>
        <v/>
      </c>
      <c r="CO155" s="161">
        <f>IF(AA155="","",IFERROR(AA155*HSTECH!$B$46*HSTECH!$G$46/HSTECH!$B$3,""))</f>
        <v/>
      </c>
      <c r="CP155" s="161">
        <f>IF(AB155="","",IFERROR(AB155*HSTECH!$B$46*HSTECH!$G$46/HSTECH!$B$3,""))</f>
        <v/>
      </c>
      <c r="CQ155" s="161">
        <f>IF(AC155="","",IFERROR(AC155*HSTECH!$B$46*HSTECH!$G$46/HSTECH!$B$3,""))</f>
        <v/>
      </c>
      <c r="CR155" s="161">
        <f>IF(AD155="","",IFERROR(AD155*HSTECH!$B$46*HSTECH!$G$46/HSTECH!$B$3,""))</f>
        <v/>
      </c>
      <c r="CS155" s="161">
        <f>IF(AE155="","",IFERROR(AE155*HSTECH!$B$46*HSTECH!$G$46/HSTECH!$B$3,""))</f>
        <v/>
      </c>
      <c r="CT155" s="161">
        <f>IF(AF155="","",IFERROR(AF155*HSTECH!$B$46*HSTECH!$G$46/HSTECH!$B$3,""))</f>
        <v/>
      </c>
      <c r="CU155" s="161">
        <f>IF(AG155="","",IFERROR(AG155*HSTECH!$B$46*HSTECH!$G$46/HSTECH!$B$3,""))</f>
        <v/>
      </c>
      <c r="CV155" s="161">
        <f>IF(AH155="","",IFERROR(AH155*HSTECH!$B$46*HSTECH!$G$46/HSTECH!$B$3,""))</f>
        <v/>
      </c>
      <c r="CW155" s="161">
        <f>IF(AI155="","",IFERROR(AI155*HSTECH!$B$46*HSTECH!$G$46/HSTECH!$B$3,""))</f>
        <v/>
      </c>
      <c r="CX155" s="161">
        <f>IF(AJ155="","",IFERROR(AJ155*HSTECH!$B$46*HSTECH!$G$46/HSTECH!$B$3,""))</f>
        <v/>
      </c>
      <c r="CY155" s="161">
        <f>IF(AK155="","",IFERROR(AK155*HSTECH!$B$46*HSTECH!$G$46/HSTECH!$B$3,""))</f>
        <v/>
      </c>
      <c r="CZ155" s="161">
        <f>IF(AL155="","",IFERROR(AL155*HSTECH!$B$46*HSTECH!$G$46/HSTECH!$B$3,""))</f>
        <v/>
      </c>
      <c r="DA155" s="161">
        <f>IF(AM155="","",IFERROR(AM155*HSTECH!$B$46*HSTECH!$G$46/HSTECH!$B$3,""))</f>
        <v/>
      </c>
      <c r="DB155" s="161">
        <f>IF(AN155="","",IFERROR(AN155*HSTECH!$B$46*HSTECH!$G$46/HSTECH!$B$3,""))</f>
        <v/>
      </c>
      <c r="DC155" s="161">
        <f>IF(AO155="","",IFERROR(AO155*HSTECH!$B$46*HSTECH!$G$46/HSTECH!$B$3,""))</f>
        <v/>
      </c>
      <c r="DD155" s="161">
        <f>IF(AP155="","",IFERROR(AP155*HSTECH!$B$46*HSTECH!$G$46/HSTECH!$B$3,""))</f>
        <v/>
      </c>
      <c r="DE155" s="161">
        <f>IF(AQ155="","",IFERROR(AQ155*HSTECH!$B$46*HSTECH!$G$46/HSTECH!$B$3,""))</f>
        <v/>
      </c>
      <c r="DF155" s="161">
        <f>IF(AR155="","",IFERROR(AR155*HSTECH!$B$46*HSTECH!$G$46/HSTECH!$B$3,""))</f>
        <v/>
      </c>
      <c r="DG155" s="161">
        <f>IF(AS155="","",IFERROR(AS155*HSTECH!$B$46*HSTECH!$G$46/HSTECH!$B$3,""))</f>
        <v/>
      </c>
      <c r="DH155" s="161">
        <f>IF(AT155="","",IFERROR(AT155*HSTECH!$B$46*HSTECH!$G$46/HSTECH!$B$3,""))</f>
        <v/>
      </c>
      <c r="DI155" s="161">
        <f>IF(AU155="","",IFERROR(AU155*HSTECH!$B$46*HSTECH!$G$46/HSTECH!$B$3,""))</f>
        <v/>
      </c>
      <c r="DJ155" s="161">
        <f>IF(AV155="","",IFERROR(AV155*HSTECH!$B$46*HSTECH!$G$46/HSTECH!$B$3,""))</f>
        <v/>
      </c>
      <c r="DK155" s="161">
        <f>IF(AW155="","",IFERROR(AW155*HSTECH!$B$46*HSTECH!$G$46/HSTECH!$B$3,""))</f>
        <v/>
      </c>
      <c r="DL155" s="161">
        <f>IF(AX155="","",IFERROR(AX155*HSTECH!$B$46*HSTECH!$G$46/HSTECH!$B$3,""))</f>
        <v/>
      </c>
      <c r="DM155" s="161">
        <f>IF(AY155="","",IFERROR(AY155*HSTECH!$B$46*HSTECH!$G$46/HSTECH!$B$3,""))</f>
        <v/>
      </c>
      <c r="DN155" s="161">
        <f>IF(AZ155="","",IFERROR(AZ155*HSTECH!$B$46*HSTECH!$G$46/HSTECH!$B$3,""))</f>
        <v/>
      </c>
      <c r="DO155" s="161">
        <f>IF(BA155="","",IFERROR(BA155*HSTECH!$B$46*HSTECH!$G$46/HSTECH!$B$3,""))</f>
        <v/>
      </c>
      <c r="DP155" s="161">
        <f>IF(BB155="","",IFERROR(BB155*HSTECH!$B$46*HSTECH!$G$46/HSTECH!$B$3,""))</f>
        <v/>
      </c>
      <c r="DQ155" s="161">
        <f>IF(BC155="","",IFERROR(BC155*HSTECH!$B$46*HSTECH!$G$46/HSTECH!$B$3,""))</f>
        <v/>
      </c>
      <c r="DR155" s="161">
        <f>IF(BD155="","",IFERROR(BD155*HSTECH!$B$46*HSTECH!$G$46/HSTECH!$B$3,""))</f>
        <v/>
      </c>
      <c r="DS155" s="161">
        <f>IF(BE155="","",IFERROR(BE155*HSTECH!$B$46*HSTECH!$G$46/HSTECH!$B$3,""))</f>
        <v/>
      </c>
      <c r="DT155" s="161">
        <f>IF(BF155="","",IFERROR(BF155*HSTECH!$B$46*HSTECH!$G$46/HSTECH!$B$3,""))</f>
        <v/>
      </c>
      <c r="DU155" s="161">
        <f>IF(BG155="","",IFERROR(BG155*HSTECH!$B$46*HSTECH!$G$46/HSTECH!$B$3,""))</f>
        <v/>
      </c>
      <c r="DV155" s="161">
        <f>IF(BH155="","",IFERROR(BH155*HSTECH!$B$46*HSTECH!$G$46/HSTECH!$B$3,""))</f>
        <v/>
      </c>
      <c r="DW155" s="161">
        <f>IF(BI155="","",IFERROR(BI155*HSTECH!$B$46*HSTECH!$G$46/HSTECH!$B$3,""))</f>
        <v/>
      </c>
      <c r="DX155" s="161">
        <f>IF(BJ155="","",IFERROR(BJ155*HSTECH!$B$46*HSTECH!$G$46/HSTECH!$B$3,""))</f>
        <v/>
      </c>
      <c r="DY155" s="161">
        <f>IF(BK155="","",IFERROR(BK155*HSTECH!$B$46*HSTECH!$G$46/HSTECH!$B$3,""))</f>
        <v/>
      </c>
      <c r="DZ155" s="161">
        <f>IF(BL155="","",IFERROR(BL155*HSTECH!$B$46*HSTECH!$G$46/HSTECH!$B$3,""))</f>
        <v/>
      </c>
      <c r="EA155" s="161">
        <f>IF(BM155="","",IFERROR(BM155*HSTECH!$B$46*HSTECH!$G$46/HSTECH!$B$3,""))</f>
        <v/>
      </c>
      <c r="EB155" s="161">
        <f>IF(BN155="","",IFERROR(BN155*HSTECH!$B$46*HSTECH!$G$46/HSTECH!$B$3,""))</f>
        <v/>
      </c>
      <c r="EC155" s="161">
        <f>IF(BO155="","",IFERROR(BO155*HSTECH!$B$46*HSTECH!$G$46/HSTECH!$B$3,""))</f>
        <v/>
      </c>
      <c r="EE155" s="121">
        <f>IF(N('Dvd Calendar'!$E$1545)=0,"",IF(('Dvd Calendar'!$E$1545&gt;=GRID_FROM)*('Dvd Calendar'!$E$1545&lt;=GRID_TO)*((('Dvd Calendar'!$E$1545&lt;=VAL_DATE)+(COUNTIF('Dvd Calendar'!$E$1552:$AR$1552,'Dvd Calendar'!$E$1545)=0))&gt;0)=0,"",'Dvd Calendar'!$E$1545*1000000000+ISNUMBER('Dvd Calendar'!$E$1548)*100000000+('Dvd Calendar'!$E$1550=SPECIAL_LBL)*10000000+(N('Dvd Calendar'!$E$1544)&gt;0)*(N('Dvd Calendar'!$E$1544)&lt;=VAL_SERIAL)*1000000+40*1000+1))</f>
        <v/>
      </c>
      <c r="EF155" s="121">
        <f>IF(N('Dvd Calendar'!$F$1545)=0,"",IF(('Dvd Calendar'!$F$1545&gt;=GRID_FROM)*('Dvd Calendar'!$F$1545&lt;=GRID_TO)*((('Dvd Calendar'!$F$1545&lt;=VAL_DATE)+(COUNTIF('Dvd Calendar'!$E$1552:$AR$1552,'Dvd Calendar'!$F$1545)=0))&gt;0)=0,"",'Dvd Calendar'!$F$1545*1000000000+ISNUMBER('Dvd Calendar'!$F$1548)*100000000+('Dvd Calendar'!$F$1550=SPECIAL_LBL)*10000000+(N('Dvd Calendar'!$F$1544)&gt;0)*(N('Dvd Calendar'!$F$1544)&lt;=VAL_SERIAL)*1000000+40*1000+2))</f>
        <v/>
      </c>
      <c r="EG155" s="121">
        <f>IF(N('Dvd Calendar'!$G$1545)=0,"",IF(('Dvd Calendar'!$G$1545&gt;=GRID_FROM)*('Dvd Calendar'!$G$1545&lt;=GRID_TO)*((('Dvd Calendar'!$G$1545&lt;=VAL_DATE)+(COUNTIF('Dvd Calendar'!$E$1552:$AR$1552,'Dvd Calendar'!$G$1545)=0))&gt;0)=0,"",'Dvd Calendar'!$G$1545*1000000000+ISNUMBER('Dvd Calendar'!$G$1548)*100000000+('Dvd Calendar'!$G$1550=SPECIAL_LBL)*10000000+(N('Dvd Calendar'!$G$1544)&gt;0)*(N('Dvd Calendar'!$G$1544)&lt;=VAL_SERIAL)*1000000+40*1000+3))</f>
        <v/>
      </c>
      <c r="EH155" s="121">
        <f>IF(N('Dvd Calendar'!$H$1545)=0,"",IF(('Dvd Calendar'!$H$1545&gt;=GRID_FROM)*('Dvd Calendar'!$H$1545&lt;=GRID_TO)*((('Dvd Calendar'!$H$1545&lt;=VAL_DATE)+(COUNTIF('Dvd Calendar'!$E$1552:$AR$1552,'Dvd Calendar'!$H$1545)=0))&gt;0)=0,"",'Dvd Calendar'!$H$1545*1000000000+ISNUMBER('Dvd Calendar'!$H$1548)*100000000+('Dvd Calendar'!$H$1550=SPECIAL_LBL)*10000000+(N('Dvd Calendar'!$H$1544)&gt;0)*(N('Dvd Calendar'!$H$1544)&lt;=VAL_SERIAL)*1000000+40*1000+4))</f>
        <v/>
      </c>
      <c r="EI155" s="121">
        <f>IF(N('Dvd Calendar'!$I$1545)=0,"",IF(('Dvd Calendar'!$I$1545&gt;=GRID_FROM)*('Dvd Calendar'!$I$1545&lt;=GRID_TO)*((('Dvd Calendar'!$I$1545&lt;=VAL_DATE)+(COUNTIF('Dvd Calendar'!$E$1552:$AR$1552,'Dvd Calendar'!$I$1545)=0))&gt;0)=0,"",'Dvd Calendar'!$I$1545*1000000000+ISNUMBER('Dvd Calendar'!$I$1548)*100000000+('Dvd Calendar'!$I$1550=SPECIAL_LBL)*10000000+(N('Dvd Calendar'!$I$1544)&gt;0)*(N('Dvd Calendar'!$I$1544)&lt;=VAL_SERIAL)*1000000+40*1000+5))</f>
        <v/>
      </c>
      <c r="EJ155" s="121">
        <f>IF(N('Dvd Calendar'!$J$1545)=0,"",IF(('Dvd Calendar'!$J$1545&gt;=GRID_FROM)*('Dvd Calendar'!$J$1545&lt;=GRID_TO)*((('Dvd Calendar'!$J$1545&lt;=VAL_DATE)+(COUNTIF('Dvd Calendar'!$E$1552:$AR$1552,'Dvd Calendar'!$J$1545)=0))&gt;0)=0,"",'Dvd Calendar'!$J$1545*1000000000+ISNUMBER('Dvd Calendar'!$J$1548)*100000000+('Dvd Calendar'!$J$1550=SPECIAL_LBL)*10000000+(N('Dvd Calendar'!$J$1544)&gt;0)*(N('Dvd Calendar'!$J$1544)&lt;=VAL_SERIAL)*1000000+40*1000+6))</f>
        <v/>
      </c>
      <c r="EK155" s="121">
        <f>IF(N('Dvd Calendar'!$K$1545)=0,"",IF(('Dvd Calendar'!$K$1545&gt;=GRID_FROM)*('Dvd Calendar'!$K$1545&lt;=GRID_TO)*((('Dvd Calendar'!$K$1545&lt;=VAL_DATE)+(COUNTIF('Dvd Calendar'!$E$1552:$AR$1552,'Dvd Calendar'!$K$1545)=0))&gt;0)=0,"",'Dvd Calendar'!$K$1545*1000000000+ISNUMBER('Dvd Calendar'!$K$1548)*100000000+('Dvd Calendar'!$K$1550=SPECIAL_LBL)*10000000+(N('Dvd Calendar'!$K$1544)&gt;0)*(N('Dvd Calendar'!$K$1544)&lt;=VAL_SERIAL)*1000000+40*1000+7))</f>
        <v/>
      </c>
      <c r="EL155" s="121">
        <f>IF(N('Dvd Calendar'!$L$1545)=0,"",IF(('Dvd Calendar'!$L$1545&gt;=GRID_FROM)*('Dvd Calendar'!$L$1545&lt;=GRID_TO)*((('Dvd Calendar'!$L$1545&lt;=VAL_DATE)+(COUNTIF('Dvd Calendar'!$E$1552:$AR$1552,'Dvd Calendar'!$L$1545)=0))&gt;0)=0,"",'Dvd Calendar'!$L$1545*1000000000+ISNUMBER('Dvd Calendar'!$L$1548)*100000000+('Dvd Calendar'!$L$1550=SPECIAL_LBL)*10000000+(N('Dvd Calendar'!$L$1544)&gt;0)*(N('Dvd Calendar'!$L$1544)&lt;=VAL_SERIAL)*1000000+40*1000+8))</f>
        <v/>
      </c>
      <c r="EM155" s="121">
        <f>IF(N('Dvd Calendar'!$M$1545)=0,"",IF(('Dvd Calendar'!$M$1545&gt;=GRID_FROM)*('Dvd Calendar'!$M$1545&lt;=GRID_TO)*((('Dvd Calendar'!$M$1545&lt;=VAL_DATE)+(COUNTIF('Dvd Calendar'!$E$1552:$AR$1552,'Dvd Calendar'!$M$1545)=0))&gt;0)=0,"",'Dvd Calendar'!$M$1545*1000000000+ISNUMBER('Dvd Calendar'!$M$1548)*100000000+('Dvd Calendar'!$M$1550=SPECIAL_LBL)*10000000+(N('Dvd Calendar'!$M$1544)&gt;0)*(N('Dvd Calendar'!$M$1544)&lt;=VAL_SERIAL)*1000000+40*1000+9))</f>
        <v/>
      </c>
      <c r="EN155" s="121">
        <f>IF(N('Dvd Calendar'!$N$1545)=0,"",IF(('Dvd Calendar'!$N$1545&gt;=GRID_FROM)*('Dvd Calendar'!$N$1545&lt;=GRID_TO)*((('Dvd Calendar'!$N$1545&lt;=VAL_DATE)+(COUNTIF('Dvd Calendar'!$E$1552:$AR$1552,'Dvd Calendar'!$N$1545)=0))&gt;0)=0,"",'Dvd Calendar'!$N$1545*1000000000+ISNUMBER('Dvd Calendar'!$N$1548)*100000000+('Dvd Calendar'!$N$1550=SPECIAL_LBL)*10000000+(N('Dvd Calendar'!$N$1544)&gt;0)*(N('Dvd Calendar'!$N$1544)&lt;=VAL_SERIAL)*1000000+40*1000+10))</f>
        <v/>
      </c>
      <c r="EO155" s="121">
        <f>IF(N('Dvd Calendar'!$O$1545)=0,"",IF(('Dvd Calendar'!$O$1545&gt;=GRID_FROM)*('Dvd Calendar'!$O$1545&lt;=GRID_TO)*((('Dvd Calendar'!$O$1545&lt;=VAL_DATE)+(COUNTIF('Dvd Calendar'!$E$1552:$AR$1552,'Dvd Calendar'!$O$1545)=0))&gt;0)=0,"",'Dvd Calendar'!$O$1545*1000000000+ISNUMBER('Dvd Calendar'!$O$1548)*100000000+('Dvd Calendar'!$O$1550=SPECIAL_LBL)*10000000+(N('Dvd Calendar'!$O$1544)&gt;0)*(N('Dvd Calendar'!$O$1544)&lt;=VAL_SERIAL)*1000000+40*1000+11))</f>
        <v/>
      </c>
      <c r="EP155" s="121">
        <f>IF(N('Dvd Calendar'!$P$1545)=0,"",IF(('Dvd Calendar'!$P$1545&gt;=GRID_FROM)*('Dvd Calendar'!$P$1545&lt;=GRID_TO)*((('Dvd Calendar'!$P$1545&lt;=VAL_DATE)+(COUNTIF('Dvd Calendar'!$E$1552:$AR$1552,'Dvd Calendar'!$P$1545)=0))&gt;0)=0,"",'Dvd Calendar'!$P$1545*1000000000+ISNUMBER('Dvd Calendar'!$P$1548)*100000000+('Dvd Calendar'!$P$1550=SPECIAL_LBL)*10000000+(N('Dvd Calendar'!$P$1544)&gt;0)*(N('Dvd Calendar'!$P$1544)&lt;=VAL_SERIAL)*1000000+40*1000+12))</f>
        <v/>
      </c>
      <c r="EQ155" s="121">
        <f>IF(N('Dvd Calendar'!$Q$1545)=0,"",IF(('Dvd Calendar'!$Q$1545&gt;=GRID_FROM)*('Dvd Calendar'!$Q$1545&lt;=GRID_TO)*((('Dvd Calendar'!$Q$1545&lt;=VAL_DATE)+(COUNTIF('Dvd Calendar'!$E$1552:$AR$1552,'Dvd Calendar'!$Q$1545)=0))&gt;0)=0,"",'Dvd Calendar'!$Q$1545*1000000000+ISNUMBER('Dvd Calendar'!$Q$1548)*100000000+('Dvd Calendar'!$Q$1550=SPECIAL_LBL)*10000000+(N('Dvd Calendar'!$Q$1544)&gt;0)*(N('Dvd Calendar'!$Q$1544)&lt;=VAL_SERIAL)*1000000+40*1000+13))</f>
        <v/>
      </c>
      <c r="ER155" s="121">
        <f>IF(N('Dvd Calendar'!$R$1545)=0,"",IF(('Dvd Calendar'!$R$1545&gt;=GRID_FROM)*('Dvd Calendar'!$R$1545&lt;=GRID_TO)*((('Dvd Calendar'!$R$1545&lt;=VAL_DATE)+(COUNTIF('Dvd Calendar'!$E$1552:$AR$1552,'Dvd Calendar'!$R$1545)=0))&gt;0)=0,"",'Dvd Calendar'!$R$1545*1000000000+ISNUMBER('Dvd Calendar'!$R$1548)*100000000+('Dvd Calendar'!$R$1550=SPECIAL_LBL)*10000000+(N('Dvd Calendar'!$R$1544)&gt;0)*(N('Dvd Calendar'!$R$1544)&lt;=VAL_SERIAL)*1000000+40*1000+14))</f>
        <v/>
      </c>
      <c r="ES155" s="121">
        <f>IF(N('Dvd Calendar'!$S$1545)=0,"",IF(('Dvd Calendar'!$S$1545&gt;=GRID_FROM)*('Dvd Calendar'!$S$1545&lt;=GRID_TO)*((('Dvd Calendar'!$S$1545&lt;=VAL_DATE)+(COUNTIF('Dvd Calendar'!$E$1552:$AR$1552,'Dvd Calendar'!$S$1545)=0))&gt;0)=0,"",'Dvd Calendar'!$S$1545*1000000000+ISNUMBER('Dvd Calendar'!$S$1548)*100000000+('Dvd Calendar'!$S$1550=SPECIAL_LBL)*10000000+(N('Dvd Calendar'!$S$1544)&gt;0)*(N('Dvd Calendar'!$S$1544)&lt;=VAL_SERIAL)*1000000+40*1000+15))</f>
        <v/>
      </c>
      <c r="ET155" s="121">
        <f>IF(N('Dvd Calendar'!$T$1545)=0,"",IF(('Dvd Calendar'!$T$1545&gt;=GRID_FROM)*('Dvd Calendar'!$T$1545&lt;=GRID_TO)*((('Dvd Calendar'!$T$1545&lt;=VAL_DATE)+(COUNTIF('Dvd Calendar'!$E$1552:$AR$1552,'Dvd Calendar'!$T$1545)=0))&gt;0)=0,"",'Dvd Calendar'!$T$1545*1000000000+ISNUMBER('Dvd Calendar'!$T$1548)*100000000+('Dvd Calendar'!$T$1550=SPECIAL_LBL)*10000000+(N('Dvd Calendar'!$T$1544)&gt;0)*(N('Dvd Calendar'!$T$1544)&lt;=VAL_SERIAL)*1000000+40*1000+16))</f>
        <v/>
      </c>
      <c r="EU155" s="121">
        <f>IF(N('Dvd Calendar'!$U$1545)=0,"",IF(('Dvd Calendar'!$U$1545&gt;=GRID_FROM)*('Dvd Calendar'!$U$1545&lt;=GRID_TO)*((('Dvd Calendar'!$U$1545&lt;=VAL_DATE)+(COUNTIF('Dvd Calendar'!$E$1552:$AR$1552,'Dvd Calendar'!$U$1545)=0))&gt;0)=0,"",'Dvd Calendar'!$U$1545*1000000000+ISNUMBER('Dvd Calendar'!$U$1548)*100000000+('Dvd Calendar'!$U$1550=SPECIAL_LBL)*10000000+(N('Dvd Calendar'!$U$1544)&gt;0)*(N('Dvd Calendar'!$U$1544)&lt;=VAL_SERIAL)*1000000+40*1000+17))</f>
        <v/>
      </c>
      <c r="EV155" s="121">
        <f>IF(N('Dvd Calendar'!$V$1545)=0,"",IF(('Dvd Calendar'!$V$1545&gt;=GRID_FROM)*('Dvd Calendar'!$V$1545&lt;=GRID_TO)*((('Dvd Calendar'!$V$1545&lt;=VAL_DATE)+(COUNTIF('Dvd Calendar'!$E$1552:$AR$1552,'Dvd Calendar'!$V$1545)=0))&gt;0)=0,"",'Dvd Calendar'!$V$1545*1000000000+ISNUMBER('Dvd Calendar'!$V$1548)*100000000+('Dvd Calendar'!$V$1550=SPECIAL_LBL)*10000000+(N('Dvd Calendar'!$V$1544)&gt;0)*(N('Dvd Calendar'!$V$1544)&lt;=VAL_SERIAL)*1000000+40*1000+18))</f>
        <v/>
      </c>
      <c r="EW155" s="121">
        <f>IF(N('Dvd Calendar'!$W$1545)=0,"",IF(('Dvd Calendar'!$W$1545&gt;=GRID_FROM)*('Dvd Calendar'!$W$1545&lt;=GRID_TO)*((('Dvd Calendar'!$W$1545&lt;=VAL_DATE)+(COUNTIF('Dvd Calendar'!$E$1552:$AR$1552,'Dvd Calendar'!$W$1545)=0))&gt;0)=0,"",'Dvd Calendar'!$W$1545*1000000000+ISNUMBER('Dvd Calendar'!$W$1548)*100000000+('Dvd Calendar'!$W$1550=SPECIAL_LBL)*10000000+(N('Dvd Calendar'!$W$1544)&gt;0)*(N('Dvd Calendar'!$W$1544)&lt;=VAL_SERIAL)*1000000+40*1000+19))</f>
        <v/>
      </c>
      <c r="EX155" s="121">
        <f>IF(N('Dvd Calendar'!$X$1545)=0,"",IF(('Dvd Calendar'!$X$1545&gt;=GRID_FROM)*('Dvd Calendar'!$X$1545&lt;=GRID_TO)*((('Dvd Calendar'!$X$1545&lt;=VAL_DATE)+(COUNTIF('Dvd Calendar'!$E$1552:$AR$1552,'Dvd Calendar'!$X$1545)=0))&gt;0)=0,"",'Dvd Calendar'!$X$1545*1000000000+ISNUMBER('Dvd Calendar'!$X$1548)*100000000+('Dvd Calendar'!$X$1550=SPECIAL_LBL)*10000000+(N('Dvd Calendar'!$X$1544)&gt;0)*(N('Dvd Calendar'!$X$1544)&lt;=VAL_SERIAL)*1000000+40*1000+20))</f>
        <v/>
      </c>
      <c r="EY155" s="121">
        <f>IF(N('Dvd Calendar'!$Y$1545)=0,"",IF(('Dvd Calendar'!$Y$1545&gt;=GRID_FROM)*('Dvd Calendar'!$Y$1545&lt;=GRID_TO)*((('Dvd Calendar'!$Y$1545&lt;=VAL_DATE)+(COUNTIF('Dvd Calendar'!$E$1552:$AR$1552,'Dvd Calendar'!$Y$1545)=0))&gt;0)=0,"",'Dvd Calendar'!$Y$1545*1000000000+ISNUMBER('Dvd Calendar'!$Y$1548)*100000000+('Dvd Calendar'!$Y$1550=SPECIAL_LBL)*10000000+(N('Dvd Calendar'!$Y$1544)&gt;0)*(N('Dvd Calendar'!$Y$1544)&lt;=VAL_SERIAL)*1000000+40*1000+21))</f>
        <v/>
      </c>
      <c r="EZ155" s="121">
        <f>IF(N('Dvd Calendar'!$Z$1545)=0,"",IF(('Dvd Calendar'!$Z$1545&gt;=GRID_FROM)*('Dvd Calendar'!$Z$1545&lt;=GRID_TO)*((('Dvd Calendar'!$Z$1545&lt;=VAL_DATE)+(COUNTIF('Dvd Calendar'!$E$1552:$AR$1552,'Dvd Calendar'!$Z$1545)=0))&gt;0)=0,"",'Dvd Calendar'!$Z$1545*1000000000+ISNUMBER('Dvd Calendar'!$Z$1548)*100000000+('Dvd Calendar'!$Z$1550=SPECIAL_LBL)*10000000+(N('Dvd Calendar'!$Z$1544)&gt;0)*(N('Dvd Calendar'!$Z$1544)&lt;=VAL_SERIAL)*1000000+40*1000+22))</f>
        <v/>
      </c>
      <c r="FA155" s="121">
        <f>IF(N('Dvd Calendar'!$AA$1545)=0,"",IF(('Dvd Calendar'!$AA$1545&gt;=GRID_FROM)*('Dvd Calendar'!$AA$1545&lt;=GRID_TO)*((('Dvd Calendar'!$AA$1545&lt;=VAL_DATE)+(COUNTIF('Dvd Calendar'!$E$1552:$AR$1552,'Dvd Calendar'!$AA$1545)=0))&gt;0)=0,"",'Dvd Calendar'!$AA$1545*1000000000+ISNUMBER('Dvd Calendar'!$AA$1548)*100000000+('Dvd Calendar'!$AA$1550=SPECIAL_LBL)*10000000+(N('Dvd Calendar'!$AA$1544)&gt;0)*(N('Dvd Calendar'!$AA$1544)&lt;=VAL_SERIAL)*1000000+40*1000+23))</f>
        <v/>
      </c>
      <c r="FB155" s="121">
        <f>IF(N('Dvd Calendar'!$AB$1545)=0,"",IF(('Dvd Calendar'!$AB$1545&gt;=GRID_FROM)*('Dvd Calendar'!$AB$1545&lt;=GRID_TO)*((('Dvd Calendar'!$AB$1545&lt;=VAL_DATE)+(COUNTIF('Dvd Calendar'!$E$1552:$AR$1552,'Dvd Calendar'!$AB$1545)=0))&gt;0)=0,"",'Dvd Calendar'!$AB$1545*1000000000+ISNUMBER('Dvd Calendar'!$AB$1548)*100000000+('Dvd Calendar'!$AB$1550=SPECIAL_LBL)*10000000+(N('Dvd Calendar'!$AB$1544)&gt;0)*(N('Dvd Calendar'!$AB$1544)&lt;=VAL_SERIAL)*1000000+40*1000+24))</f>
        <v/>
      </c>
      <c r="FC155" s="121">
        <f>IF(N('Dvd Calendar'!$AC$1545)=0,"",IF(('Dvd Calendar'!$AC$1545&gt;=GRID_FROM)*('Dvd Calendar'!$AC$1545&lt;=GRID_TO)*((('Dvd Calendar'!$AC$1545&lt;=VAL_DATE)+(COUNTIF('Dvd Calendar'!$E$1552:$AR$1552,'Dvd Calendar'!$AC$1545)=0))&gt;0)=0,"",'Dvd Calendar'!$AC$1545*1000000000+ISNUMBER('Dvd Calendar'!$AC$1548)*100000000+('Dvd Calendar'!$AC$1550=SPECIAL_LBL)*10000000+(N('Dvd Calendar'!$AC$1544)&gt;0)*(N('Dvd Calendar'!$AC$1544)&lt;=VAL_SERIAL)*1000000+40*1000+25))</f>
        <v/>
      </c>
      <c r="FD155" s="121">
        <f>IF(N('Dvd Calendar'!$AD$1545)=0,"",IF(('Dvd Calendar'!$AD$1545&gt;=GRID_FROM)*('Dvd Calendar'!$AD$1545&lt;=GRID_TO)*((('Dvd Calendar'!$AD$1545&lt;=VAL_DATE)+(COUNTIF('Dvd Calendar'!$E$1552:$AR$1552,'Dvd Calendar'!$AD$1545)=0))&gt;0)=0,"",'Dvd Calendar'!$AD$1545*1000000000+ISNUMBER('Dvd Calendar'!$AD$1548)*100000000+('Dvd Calendar'!$AD$1550=SPECIAL_LBL)*10000000+(N('Dvd Calendar'!$AD$1544)&gt;0)*(N('Dvd Calendar'!$AD$1544)&lt;=VAL_SERIAL)*1000000+40*1000+26))</f>
        <v/>
      </c>
      <c r="FE155" s="121">
        <f>IF(N('Dvd Calendar'!$AE$1545)=0,"",IF(('Dvd Calendar'!$AE$1545&gt;=GRID_FROM)*('Dvd Calendar'!$AE$1545&lt;=GRID_TO)*((('Dvd Calendar'!$AE$1545&lt;=VAL_DATE)+(COUNTIF('Dvd Calendar'!$E$1552:$AR$1552,'Dvd Calendar'!$AE$1545)=0))&gt;0)=0,"",'Dvd Calendar'!$AE$1545*1000000000+ISNUMBER('Dvd Calendar'!$AE$1548)*100000000+('Dvd Calendar'!$AE$1550=SPECIAL_LBL)*10000000+(N('Dvd Calendar'!$AE$1544)&gt;0)*(N('Dvd Calendar'!$AE$1544)&lt;=VAL_SERIAL)*1000000+40*1000+27))</f>
        <v/>
      </c>
      <c r="FF155" s="121">
        <f>IF(N('Dvd Calendar'!$AF$1545)=0,"",IF(('Dvd Calendar'!$AF$1545&gt;=GRID_FROM)*('Dvd Calendar'!$AF$1545&lt;=GRID_TO)*((('Dvd Calendar'!$AF$1545&lt;=VAL_DATE)+(COUNTIF('Dvd Calendar'!$E$1552:$AR$1552,'Dvd Calendar'!$AF$1545)=0))&gt;0)=0,"",'Dvd Calendar'!$AF$1545*1000000000+ISNUMBER('Dvd Calendar'!$AF$1548)*100000000+('Dvd Calendar'!$AF$1550=SPECIAL_LBL)*10000000+(N('Dvd Calendar'!$AF$1544)&gt;0)*(N('Dvd Calendar'!$AF$1544)&lt;=VAL_SERIAL)*1000000+40*1000+28))</f>
        <v/>
      </c>
      <c r="FG155" s="121">
        <f>IF(N('Dvd Calendar'!$AG$1545)=0,"",IF(('Dvd Calendar'!$AG$1545&gt;=GRID_FROM)*('Dvd Calendar'!$AG$1545&lt;=GRID_TO)*((('Dvd Calendar'!$AG$1545&lt;=VAL_DATE)+(COUNTIF('Dvd Calendar'!$E$1552:$AR$1552,'Dvd Calendar'!$AG$1545)=0))&gt;0)=0,"",'Dvd Calendar'!$AG$1545*1000000000+ISNUMBER('Dvd Calendar'!$AG$1548)*100000000+('Dvd Calendar'!$AG$1550=SPECIAL_LBL)*10000000+(N('Dvd Calendar'!$AG$1544)&gt;0)*(N('Dvd Calendar'!$AG$1544)&lt;=VAL_SERIAL)*1000000+40*1000+29))</f>
        <v/>
      </c>
      <c r="FH155" s="121">
        <f>IF(N('Dvd Calendar'!$AH$1545)=0,"",IF(('Dvd Calendar'!$AH$1545&gt;=GRID_FROM)*('Dvd Calendar'!$AH$1545&lt;=GRID_TO)*((('Dvd Calendar'!$AH$1545&lt;=VAL_DATE)+(COUNTIF('Dvd Calendar'!$E$1552:$AR$1552,'Dvd Calendar'!$AH$1545)=0))&gt;0)=0,"",'Dvd Calendar'!$AH$1545*1000000000+ISNUMBER('Dvd Calendar'!$AH$1548)*100000000+('Dvd Calendar'!$AH$1550=SPECIAL_LBL)*10000000+(N('Dvd Calendar'!$AH$1544)&gt;0)*(N('Dvd Calendar'!$AH$1544)&lt;=VAL_SERIAL)*1000000+40*1000+30))</f>
        <v/>
      </c>
      <c r="FI155" s="121">
        <f>IF(N('Dvd Calendar'!$AI$1545)=0,"",IF(('Dvd Calendar'!$AI$1545&gt;=GRID_FROM)*('Dvd Calendar'!$AI$1545&lt;=GRID_TO)*((('Dvd Calendar'!$AI$1545&lt;=VAL_DATE)+(COUNTIF('Dvd Calendar'!$E$1552:$AR$1552,'Dvd Calendar'!$AI$1545)=0))&gt;0)=0,"",'Dvd Calendar'!$AI$1545*1000000000+ISNUMBER('Dvd Calendar'!$AI$1548)*100000000+('Dvd Calendar'!$AI$1550=SPECIAL_LBL)*10000000+(N('Dvd Calendar'!$AI$1544)&gt;0)*(N('Dvd Calendar'!$AI$1544)&lt;=VAL_SERIAL)*1000000+40*1000+31))</f>
        <v/>
      </c>
      <c r="FJ155" s="121">
        <f>IF(N('Dvd Calendar'!$AJ$1545)=0,"",IF(('Dvd Calendar'!$AJ$1545&gt;=GRID_FROM)*('Dvd Calendar'!$AJ$1545&lt;=GRID_TO)*((('Dvd Calendar'!$AJ$1545&lt;=VAL_DATE)+(COUNTIF('Dvd Calendar'!$E$1552:$AR$1552,'Dvd Calendar'!$AJ$1545)=0))&gt;0)=0,"",'Dvd Calendar'!$AJ$1545*1000000000+ISNUMBER('Dvd Calendar'!$AJ$1548)*100000000+('Dvd Calendar'!$AJ$1550=SPECIAL_LBL)*10000000+(N('Dvd Calendar'!$AJ$1544)&gt;0)*(N('Dvd Calendar'!$AJ$1544)&lt;=VAL_SERIAL)*1000000+40*1000+32))</f>
        <v/>
      </c>
      <c r="FK155" s="121">
        <f>IF(N('Dvd Calendar'!$AK$1545)=0,"",IF(('Dvd Calendar'!$AK$1545&gt;=GRID_FROM)*('Dvd Calendar'!$AK$1545&lt;=GRID_TO)*((('Dvd Calendar'!$AK$1545&lt;=VAL_DATE)+(COUNTIF('Dvd Calendar'!$E$1552:$AR$1552,'Dvd Calendar'!$AK$1545)=0))&gt;0)=0,"",'Dvd Calendar'!$AK$1545*1000000000+ISNUMBER('Dvd Calendar'!$AK$1548)*100000000+('Dvd Calendar'!$AK$1550=SPECIAL_LBL)*10000000+(N('Dvd Calendar'!$AK$1544)&gt;0)*(N('Dvd Calendar'!$AK$1544)&lt;=VAL_SERIAL)*1000000+40*1000+33))</f>
        <v/>
      </c>
      <c r="FL155" s="121">
        <f>IF(N('Dvd Calendar'!$AL$1545)=0,"",IF(('Dvd Calendar'!$AL$1545&gt;=GRID_FROM)*('Dvd Calendar'!$AL$1545&lt;=GRID_TO)*((('Dvd Calendar'!$AL$1545&lt;=VAL_DATE)+(COUNTIF('Dvd Calendar'!$E$1552:$AR$1552,'Dvd Calendar'!$AL$1545)=0))&gt;0)=0,"",'Dvd Calendar'!$AL$1545*1000000000+ISNUMBER('Dvd Calendar'!$AL$1548)*100000000+('Dvd Calendar'!$AL$1550=SPECIAL_LBL)*10000000+(N('Dvd Calendar'!$AL$1544)&gt;0)*(N('Dvd Calendar'!$AL$1544)&lt;=VAL_SERIAL)*1000000+40*1000+34))</f>
        <v/>
      </c>
      <c r="FM155" s="121">
        <f>IF(N('Dvd Calendar'!$AM$1545)=0,"",IF(('Dvd Calendar'!$AM$1545&gt;=GRID_FROM)*('Dvd Calendar'!$AM$1545&lt;=GRID_TO)*((('Dvd Calendar'!$AM$1545&lt;=VAL_DATE)+(COUNTIF('Dvd Calendar'!$E$1552:$AR$1552,'Dvd Calendar'!$AM$1545)=0))&gt;0)=0,"",'Dvd Calendar'!$AM$1545*1000000000+ISNUMBER('Dvd Calendar'!$AM$1548)*100000000+('Dvd Calendar'!$AM$1550=SPECIAL_LBL)*10000000+(N('Dvd Calendar'!$AM$1544)&gt;0)*(N('Dvd Calendar'!$AM$1544)&lt;=VAL_SERIAL)*1000000+40*1000+35))</f>
        <v/>
      </c>
      <c r="FN155" s="121">
        <f>IF(N('Dvd Calendar'!$AN$1545)=0,"",IF(('Dvd Calendar'!$AN$1545&gt;=GRID_FROM)*('Dvd Calendar'!$AN$1545&lt;=GRID_TO)*((('Dvd Calendar'!$AN$1545&lt;=VAL_DATE)+(COUNTIF('Dvd Calendar'!$E$1552:$AR$1552,'Dvd Calendar'!$AN$1545)=0))&gt;0)=0,"",'Dvd Calendar'!$AN$1545*1000000000+ISNUMBER('Dvd Calendar'!$AN$1548)*100000000+('Dvd Calendar'!$AN$1550=SPECIAL_LBL)*10000000+(N('Dvd Calendar'!$AN$1544)&gt;0)*(N('Dvd Calendar'!$AN$1544)&lt;=VAL_SERIAL)*1000000+40*1000+36))</f>
        <v/>
      </c>
      <c r="FO155" s="121">
        <f>IF(N('Dvd Calendar'!$AO$1545)=0,"",IF(('Dvd Calendar'!$AO$1545&gt;=GRID_FROM)*('Dvd Calendar'!$AO$1545&lt;=GRID_TO)*((('Dvd Calendar'!$AO$1545&lt;=VAL_DATE)+(COUNTIF('Dvd Calendar'!$E$1552:$AR$1552,'Dvd Calendar'!$AO$1545)=0))&gt;0)=0,"",'Dvd Calendar'!$AO$1545*1000000000+ISNUMBER('Dvd Calendar'!$AO$1548)*100000000+('Dvd Calendar'!$AO$1550=SPECIAL_LBL)*10000000+(N('Dvd Calendar'!$AO$1544)&gt;0)*(N('Dvd Calendar'!$AO$1544)&lt;=VAL_SERIAL)*1000000+40*1000+37))</f>
        <v/>
      </c>
      <c r="FP155" s="121">
        <f>IF(N('Dvd Calendar'!$AP$1545)=0,"",IF(('Dvd Calendar'!$AP$1545&gt;=GRID_FROM)*('Dvd Calendar'!$AP$1545&lt;=GRID_TO)*((('Dvd Calendar'!$AP$1545&lt;=VAL_DATE)+(COUNTIF('Dvd Calendar'!$E$1552:$AR$1552,'Dvd Calendar'!$AP$1545)=0))&gt;0)=0,"",'Dvd Calendar'!$AP$1545*1000000000+ISNUMBER('Dvd Calendar'!$AP$1548)*100000000+('Dvd Calendar'!$AP$1550=SPECIAL_LBL)*10000000+(N('Dvd Calendar'!$AP$1544)&gt;0)*(N('Dvd Calendar'!$AP$1544)&lt;=VAL_SERIAL)*1000000+40*1000+38))</f>
        <v/>
      </c>
      <c r="FQ155" s="121">
        <f>IF(N('Dvd Calendar'!$AQ$1545)=0,"",IF(('Dvd Calendar'!$AQ$1545&gt;=GRID_FROM)*('Dvd Calendar'!$AQ$1545&lt;=GRID_TO)*((('Dvd Calendar'!$AQ$1545&lt;=VAL_DATE)+(COUNTIF('Dvd Calendar'!$E$1552:$AR$1552,'Dvd Calendar'!$AQ$1545)=0))&gt;0)=0,"",'Dvd Calendar'!$AQ$1545*1000000000+ISNUMBER('Dvd Calendar'!$AQ$1548)*100000000+('Dvd Calendar'!$AQ$1550=SPECIAL_LBL)*10000000+(N('Dvd Calendar'!$AQ$1544)&gt;0)*(N('Dvd Calendar'!$AQ$1544)&lt;=VAL_SERIAL)*1000000+40*1000+39))</f>
        <v/>
      </c>
      <c r="FR155" s="121">
        <f>IF(N('Dvd Calendar'!$AR$1545)=0,"",IF(('Dvd Calendar'!$AR$1545&gt;=GRID_FROM)*('Dvd Calendar'!$AR$1545&lt;=GRID_TO)*((('Dvd Calendar'!$AR$1545&lt;=VAL_DATE)+(COUNTIF('Dvd Calendar'!$E$1552:$AR$1552,'Dvd Calendar'!$AR$1545)=0))&gt;0)=0,"",'Dvd Calendar'!$AR$1545*1000000000+ISNUMBER('Dvd Calendar'!$AR$1548)*100000000+('Dvd Calendar'!$AR$1550=SPECIAL_LBL)*10000000+(N('Dvd Calendar'!$AR$1544)&gt;0)*(N('Dvd Calendar'!$AR$1544)&lt;=VAL_SERIAL)*1000000+40*1000+40))</f>
        <v/>
      </c>
      <c r="FS155" s="121">
        <f>IF(N('Dvd Calendar'!$E$1552)=0,"",IF(('Dvd Calendar'!$E$1552&gt;=GRID_FROM)*('Dvd Calendar'!$E$1552&lt;=GRID_TO)*('Dvd Calendar'!$E$1552&gt;VAL_DATE)=0,"",'Dvd Calendar'!$E$1552*1000000000+ISNUMBER('Dvd Calendar'!$E$1553)*100000000+0*10000000+(N('Dvd Calendar'!$E$1551)&gt;0)*(N('Dvd Calendar'!$E$1551)&lt;=VAL_SERIAL)*1000000+40*1000+41))</f>
        <v/>
      </c>
      <c r="FT155" s="121">
        <f>IF(N('Dvd Calendar'!$F$1552)=0,"",IF(('Dvd Calendar'!$F$1552&gt;=GRID_FROM)*('Dvd Calendar'!$F$1552&lt;=GRID_TO)*('Dvd Calendar'!$F$1552&gt;VAL_DATE)=0,"",'Dvd Calendar'!$F$1552*1000000000+ISNUMBER('Dvd Calendar'!$F$1553)*100000000+0*10000000+(N('Dvd Calendar'!$F$1551)&gt;0)*(N('Dvd Calendar'!$F$1551)&lt;=VAL_SERIAL)*1000000+40*1000+42))</f>
        <v/>
      </c>
      <c r="FU155" s="121">
        <f>IF(N('Dvd Calendar'!$G$1552)=0,"",IF(('Dvd Calendar'!$G$1552&gt;=GRID_FROM)*('Dvd Calendar'!$G$1552&lt;=GRID_TO)*('Dvd Calendar'!$G$1552&gt;VAL_DATE)=0,"",'Dvd Calendar'!$G$1552*1000000000+ISNUMBER('Dvd Calendar'!$G$1553)*100000000+0*10000000+(N('Dvd Calendar'!$G$1551)&gt;0)*(N('Dvd Calendar'!$G$1551)&lt;=VAL_SERIAL)*1000000+40*1000+43))</f>
        <v/>
      </c>
      <c r="FV155" s="121">
        <f>IF(N('Dvd Calendar'!$H$1552)=0,"",IF(('Dvd Calendar'!$H$1552&gt;=GRID_FROM)*('Dvd Calendar'!$H$1552&lt;=GRID_TO)*('Dvd Calendar'!$H$1552&gt;VAL_DATE)=0,"",'Dvd Calendar'!$H$1552*1000000000+ISNUMBER('Dvd Calendar'!$H$1553)*100000000+0*10000000+(N('Dvd Calendar'!$H$1551)&gt;0)*(N('Dvd Calendar'!$H$1551)&lt;=VAL_SERIAL)*1000000+40*1000+44))</f>
        <v/>
      </c>
      <c r="FW155" s="121">
        <f>IF(N('Dvd Calendar'!$I$1552)=0,"",IF(('Dvd Calendar'!$I$1552&gt;=GRID_FROM)*('Dvd Calendar'!$I$1552&lt;=GRID_TO)*('Dvd Calendar'!$I$1552&gt;VAL_DATE)=0,"",'Dvd Calendar'!$I$1552*1000000000+ISNUMBER('Dvd Calendar'!$I$1553)*100000000+0*10000000+(N('Dvd Calendar'!$I$1551)&gt;0)*(N('Dvd Calendar'!$I$1551)&lt;=VAL_SERIAL)*1000000+40*1000+45))</f>
        <v/>
      </c>
      <c r="FX155" s="121">
        <f>IF(N('Dvd Calendar'!$J$1552)=0,"",IF(('Dvd Calendar'!$J$1552&gt;=GRID_FROM)*('Dvd Calendar'!$J$1552&lt;=GRID_TO)*('Dvd Calendar'!$J$1552&gt;VAL_DATE)=0,"",'Dvd Calendar'!$J$1552*1000000000+ISNUMBER('Dvd Calendar'!$J$1553)*100000000+0*10000000+(N('Dvd Calendar'!$J$1551)&gt;0)*(N('Dvd Calendar'!$J$1551)&lt;=VAL_SERIAL)*1000000+40*1000+46))</f>
        <v/>
      </c>
      <c r="FY155" s="121">
        <f>IF(N('Dvd Calendar'!$K$1552)=0,"",IF(('Dvd Calendar'!$K$1552&gt;=GRID_FROM)*('Dvd Calendar'!$K$1552&lt;=GRID_TO)*('Dvd Calendar'!$K$1552&gt;VAL_DATE)=0,"",'Dvd Calendar'!$K$1552*1000000000+ISNUMBER('Dvd Calendar'!$K$1553)*100000000+0*10000000+(N('Dvd Calendar'!$K$1551)&gt;0)*(N('Dvd Calendar'!$K$1551)&lt;=VAL_SERIAL)*1000000+40*1000+47))</f>
        <v/>
      </c>
      <c r="FZ155" s="121">
        <f>IF(N('Dvd Calendar'!$L$1552)=0,"",IF(('Dvd Calendar'!$L$1552&gt;=GRID_FROM)*('Dvd Calendar'!$L$1552&lt;=GRID_TO)*('Dvd Calendar'!$L$1552&gt;VAL_DATE)=0,"",'Dvd Calendar'!$L$1552*1000000000+ISNUMBER('Dvd Calendar'!$L$1553)*100000000+0*10000000+(N('Dvd Calendar'!$L$1551)&gt;0)*(N('Dvd Calendar'!$L$1551)&lt;=VAL_SERIAL)*1000000+40*1000+48))</f>
        <v/>
      </c>
      <c r="GA155" s="121">
        <f>IF(N('Dvd Calendar'!$M$1552)=0,"",IF(('Dvd Calendar'!$M$1552&gt;=GRID_FROM)*('Dvd Calendar'!$M$1552&lt;=GRID_TO)*('Dvd Calendar'!$M$1552&gt;VAL_DATE)=0,"",'Dvd Calendar'!$M$1552*1000000000+ISNUMBER('Dvd Calendar'!$M$1553)*100000000+0*10000000+(N('Dvd Calendar'!$M$1551)&gt;0)*(N('Dvd Calendar'!$M$1551)&lt;=VAL_SERIAL)*1000000+40*1000+49))</f>
        <v/>
      </c>
      <c r="GB155" s="121">
        <f>IF(N('Dvd Calendar'!$N$1552)=0,"",IF(('Dvd Calendar'!$N$1552&gt;=GRID_FROM)*('Dvd Calendar'!$N$1552&lt;=GRID_TO)*('Dvd Calendar'!$N$1552&gt;VAL_DATE)=0,"",'Dvd Calendar'!$N$1552*1000000000+ISNUMBER('Dvd Calendar'!$N$1553)*100000000+0*10000000+(N('Dvd Calendar'!$N$1551)&gt;0)*(N('Dvd Calendar'!$N$1551)&lt;=VAL_SERIAL)*1000000+40*1000+50))</f>
        <v/>
      </c>
      <c r="GC155" s="121">
        <f>IF(N('Dvd Calendar'!$O$1552)=0,"",IF(('Dvd Calendar'!$O$1552&gt;=GRID_FROM)*('Dvd Calendar'!$O$1552&lt;=GRID_TO)*('Dvd Calendar'!$O$1552&gt;VAL_DATE)=0,"",'Dvd Calendar'!$O$1552*1000000000+ISNUMBER('Dvd Calendar'!$O$1553)*100000000+0*10000000+(N('Dvd Calendar'!$O$1551)&gt;0)*(N('Dvd Calendar'!$O$1551)&lt;=VAL_SERIAL)*1000000+40*1000+51))</f>
        <v/>
      </c>
      <c r="GD155" s="121">
        <f>IF(N('Dvd Calendar'!$P$1552)=0,"",IF(('Dvd Calendar'!$P$1552&gt;=GRID_FROM)*('Dvd Calendar'!$P$1552&lt;=GRID_TO)*('Dvd Calendar'!$P$1552&gt;VAL_DATE)=0,"",'Dvd Calendar'!$P$1552*1000000000+ISNUMBER('Dvd Calendar'!$P$1553)*100000000+0*10000000+(N('Dvd Calendar'!$P$1551)&gt;0)*(N('Dvd Calendar'!$P$1551)&lt;=VAL_SERIAL)*1000000+40*1000+52))</f>
        <v/>
      </c>
      <c r="GE155" s="121">
        <f>IF(N('Dvd Calendar'!$Q$1552)=0,"",IF(('Dvd Calendar'!$Q$1552&gt;=GRID_FROM)*('Dvd Calendar'!$Q$1552&lt;=GRID_TO)*('Dvd Calendar'!$Q$1552&gt;VAL_DATE)=0,"",'Dvd Calendar'!$Q$1552*1000000000+ISNUMBER('Dvd Calendar'!$Q$1553)*100000000+0*10000000+(N('Dvd Calendar'!$Q$1551)&gt;0)*(N('Dvd Calendar'!$Q$1551)&lt;=VAL_SERIAL)*1000000+40*1000+53))</f>
        <v/>
      </c>
      <c r="GF155" s="121">
        <f>IF(N('Dvd Calendar'!$R$1552)=0,"",IF(('Dvd Calendar'!$R$1552&gt;=GRID_FROM)*('Dvd Calendar'!$R$1552&lt;=GRID_TO)*('Dvd Calendar'!$R$1552&gt;VAL_DATE)=0,"",'Dvd Calendar'!$R$1552*1000000000+ISNUMBER('Dvd Calendar'!$R$1553)*100000000+0*10000000+(N('Dvd Calendar'!$R$1551)&gt;0)*(N('Dvd Calendar'!$R$1551)&lt;=VAL_SERIAL)*1000000+40*1000+54))</f>
        <v/>
      </c>
      <c r="GG155" s="121">
        <f>IF(N('Dvd Calendar'!$S$1552)=0,"",IF(('Dvd Calendar'!$S$1552&gt;=GRID_FROM)*('Dvd Calendar'!$S$1552&lt;=GRID_TO)*('Dvd Calendar'!$S$1552&gt;VAL_DATE)=0,"",'Dvd Calendar'!$S$1552*1000000000+ISNUMBER('Dvd Calendar'!$S$1553)*100000000+0*10000000+(N('Dvd Calendar'!$S$1551)&gt;0)*(N('Dvd Calendar'!$S$1551)&lt;=VAL_SERIAL)*1000000+40*1000+55))</f>
        <v/>
      </c>
      <c r="GH155" s="121">
        <f>IF(N('Dvd Calendar'!$T$1552)=0,"",IF(('Dvd Calendar'!$T$1552&gt;=GRID_FROM)*('Dvd Calendar'!$T$1552&lt;=GRID_TO)*('Dvd Calendar'!$T$1552&gt;VAL_DATE)=0,"",'Dvd Calendar'!$T$1552*1000000000+ISNUMBER('Dvd Calendar'!$T$1553)*100000000+0*10000000+(N('Dvd Calendar'!$T$1551)&gt;0)*(N('Dvd Calendar'!$T$1551)&lt;=VAL_SERIAL)*1000000+40*1000+56))</f>
        <v/>
      </c>
      <c r="GI155" s="121">
        <f>IF(N('Dvd Calendar'!$U$1552)=0,"",IF(('Dvd Calendar'!$U$1552&gt;=GRID_FROM)*('Dvd Calendar'!$U$1552&lt;=GRID_TO)*('Dvd Calendar'!$U$1552&gt;VAL_DATE)=0,"",'Dvd Calendar'!$U$1552*1000000000+ISNUMBER('Dvd Calendar'!$U$1553)*100000000+0*10000000+(N('Dvd Calendar'!$U$1551)&gt;0)*(N('Dvd Calendar'!$U$1551)&lt;=VAL_SERIAL)*1000000+40*1000+57))</f>
        <v/>
      </c>
      <c r="GJ155" s="121">
        <f>IF(N('Dvd Calendar'!$V$1552)=0,"",IF(('Dvd Calendar'!$V$1552&gt;=GRID_FROM)*('Dvd Calendar'!$V$1552&lt;=GRID_TO)*('Dvd Calendar'!$V$1552&gt;VAL_DATE)=0,"",'Dvd Calendar'!$V$1552*1000000000+ISNUMBER('Dvd Calendar'!$V$1553)*100000000+0*10000000+(N('Dvd Calendar'!$V$1551)&gt;0)*(N('Dvd Calendar'!$V$1551)&lt;=VAL_SERIAL)*1000000+40*1000+58))</f>
        <v/>
      </c>
      <c r="GK155" s="121">
        <f>IF(N('Dvd Calendar'!$W$1552)=0,"",IF(('Dvd Calendar'!$W$1552&gt;=GRID_FROM)*('Dvd Calendar'!$W$1552&lt;=GRID_TO)*('Dvd Calendar'!$W$1552&gt;VAL_DATE)=0,"",'Dvd Calendar'!$W$1552*1000000000+ISNUMBER('Dvd Calendar'!$W$1553)*100000000+0*10000000+(N('Dvd Calendar'!$W$1551)&gt;0)*(N('Dvd Calendar'!$W$1551)&lt;=VAL_SERIAL)*1000000+40*1000+59))</f>
        <v/>
      </c>
      <c r="GL155" s="121">
        <f>IF(N('Dvd Calendar'!$X$1552)=0,"",IF(('Dvd Calendar'!$X$1552&gt;=GRID_FROM)*('Dvd Calendar'!$X$1552&lt;=GRID_TO)*('Dvd Calendar'!$X$1552&gt;VAL_DATE)=0,"",'Dvd Calendar'!$X$1552*1000000000+ISNUMBER('Dvd Calendar'!$X$1553)*100000000+0*10000000+(N('Dvd Calendar'!$X$1551)&gt;0)*(N('Dvd Calendar'!$X$1551)&lt;=VAL_SERIAL)*1000000+40*1000+60))</f>
        <v/>
      </c>
      <c r="GM155" s="121">
        <f>IF(N('Dvd Calendar'!$Y$1552)=0,"",IF(('Dvd Calendar'!$Y$1552&gt;=GRID_FROM)*('Dvd Calendar'!$Y$1552&lt;=GRID_TO)*('Dvd Calendar'!$Y$1552&gt;VAL_DATE)=0,"",'Dvd Calendar'!$Y$1552*1000000000+ISNUMBER('Dvd Calendar'!$Y$1553)*100000000+0*10000000+(N('Dvd Calendar'!$Y$1551)&gt;0)*(N('Dvd Calendar'!$Y$1551)&lt;=VAL_SERIAL)*1000000+40*1000+61))</f>
        <v/>
      </c>
      <c r="GN155" s="121">
        <f>IF(N('Dvd Calendar'!$Z$1552)=0,"",IF(('Dvd Calendar'!$Z$1552&gt;=GRID_FROM)*('Dvd Calendar'!$Z$1552&lt;=GRID_TO)*('Dvd Calendar'!$Z$1552&gt;VAL_DATE)=0,"",'Dvd Calendar'!$Z$1552*1000000000+ISNUMBER('Dvd Calendar'!$Z$1553)*100000000+0*10000000+(N('Dvd Calendar'!$Z$1551)&gt;0)*(N('Dvd Calendar'!$Z$1551)&lt;=VAL_SERIAL)*1000000+40*1000+62))</f>
        <v/>
      </c>
      <c r="GO155" s="121">
        <f>IF(N('Dvd Calendar'!$AA$1552)=0,"",IF(('Dvd Calendar'!$AA$1552&gt;=GRID_FROM)*('Dvd Calendar'!$AA$1552&lt;=GRID_TO)*('Dvd Calendar'!$AA$1552&gt;VAL_DATE)=0,"",'Dvd Calendar'!$AA$1552*1000000000+ISNUMBER('Dvd Calendar'!$AA$1553)*100000000+0*10000000+(N('Dvd Calendar'!$AA$1551)&gt;0)*(N('Dvd Calendar'!$AA$1551)&lt;=VAL_SERIAL)*1000000+40*1000+63))</f>
        <v/>
      </c>
      <c r="GP155" s="121">
        <f>IF(N('Dvd Calendar'!$AB$1552)=0,"",IF(('Dvd Calendar'!$AB$1552&gt;=GRID_FROM)*('Dvd Calendar'!$AB$1552&lt;=GRID_TO)*('Dvd Calendar'!$AB$1552&gt;VAL_DATE)=0,"",'Dvd Calendar'!$AB$1552*1000000000+ISNUMBER('Dvd Calendar'!$AB$1553)*100000000+0*10000000+(N('Dvd Calendar'!$AB$1551)&gt;0)*(N('Dvd Calendar'!$AB$1551)&lt;=VAL_SERIAL)*1000000+40*1000+64))</f>
        <v/>
      </c>
      <c r="GQ155" s="121">
        <f>IF(N('Dvd Calendar'!$AC$1552)=0,"",IF(('Dvd Calendar'!$AC$1552&gt;=GRID_FROM)*('Dvd Calendar'!$AC$1552&lt;=GRID_TO)*('Dvd Calendar'!$AC$1552&gt;VAL_DATE)=0,"",'Dvd Calendar'!$AC$1552*1000000000+ISNUMBER('Dvd Calendar'!$AC$1553)*100000000+0*10000000+(N('Dvd Calendar'!$AC$1551)&gt;0)*(N('Dvd Calendar'!$AC$1551)&lt;=VAL_SERIAL)*1000000+40*1000+65))</f>
        <v/>
      </c>
    </row>
    <row r="158">
      <c r="B158" s="6" t="inlineStr">
        <is>
          <t>Hang Seng China Enterprises (HSCEI)  -  DPS per event  (slots 1-40 history, 41-65 projections)</t>
        </is>
      </c>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c r="AF158" s="7" t="n"/>
      <c r="AG158" s="7" t="n"/>
      <c r="AH158" s="7" t="n"/>
      <c r="AI158" s="7" t="n"/>
      <c r="AJ158" s="7" t="n"/>
      <c r="AK158" s="7" t="n"/>
      <c r="AL158" s="7" t="n"/>
      <c r="AM158" s="7" t="n"/>
      <c r="AN158" s="7" t="n"/>
      <c r="AO158" s="7" t="n"/>
      <c r="AP158" s="7" t="n"/>
      <c r="AQ158" s="7" t="n"/>
      <c r="AR158" s="7" t="n"/>
      <c r="AS158" s="7" t="n"/>
      <c r="AT158" s="7" t="n"/>
      <c r="AU158" s="7" t="n"/>
      <c r="AV158" s="7" t="n"/>
      <c r="AW158" s="7" t="n"/>
      <c r="AX158" s="7" t="n"/>
      <c r="AY158" s="7" t="n"/>
      <c r="AZ158" s="7" t="n"/>
      <c r="BA158" s="7" t="n"/>
      <c r="BB158" s="7" t="n"/>
      <c r="BC158" s="7" t="n"/>
      <c r="BD158" s="7" t="n"/>
      <c r="BE158" s="7" t="n"/>
      <c r="BF158" s="7" t="n"/>
      <c r="BG158" s="7" t="n"/>
      <c r="BH158" s="7" t="n"/>
      <c r="BI158" s="7" t="n"/>
      <c r="BJ158" s="7" t="n"/>
      <c r="BK158" s="7" t="n"/>
      <c r="BL158" s="7" t="n"/>
      <c r="BM158" s="7" t="n"/>
      <c r="BN158" s="7" t="n"/>
      <c r="BO158" s="7" t="n"/>
      <c r="BQ158" s="6" t="inlineStr">
        <is>
          <t>index points per event</t>
        </is>
      </c>
      <c r="BR158" s="7" t="n"/>
      <c r="BS158" s="7" t="n"/>
      <c r="BT158" s="7" t="n"/>
      <c r="BU158" s="7" t="n"/>
      <c r="BV158" s="7" t="n"/>
      <c r="BW158" s="7" t="n"/>
      <c r="BX158" s="7" t="n"/>
      <c r="BY158" s="7" t="n"/>
      <c r="BZ158" s="7" t="n"/>
      <c r="CA158" s="7" t="n"/>
      <c r="CB158" s="7" t="n"/>
      <c r="CC158" s="7" t="n"/>
      <c r="CD158" s="7" t="n"/>
      <c r="CE158" s="7" t="n"/>
      <c r="CF158" s="7" t="n"/>
      <c r="CG158" s="7" t="n"/>
      <c r="CH158" s="7" t="n"/>
      <c r="CI158" s="7" t="n"/>
      <c r="CJ158" s="7" t="n"/>
      <c r="CK158" s="7" t="n"/>
      <c r="CL158" s="7" t="n"/>
      <c r="CM158" s="7" t="n"/>
      <c r="CN158" s="7" t="n"/>
      <c r="CO158" s="7" t="n"/>
      <c r="CP158" s="7" t="n"/>
      <c r="CQ158" s="7" t="n"/>
      <c r="CR158" s="7" t="n"/>
      <c r="CS158" s="7" t="n"/>
      <c r="CT158" s="7" t="n"/>
      <c r="CU158" s="7" t="n"/>
      <c r="CV158" s="7" t="n"/>
      <c r="CW158" s="7" t="n"/>
      <c r="CX158" s="7" t="n"/>
      <c r="CY158" s="7" t="n"/>
      <c r="CZ158" s="7" t="n"/>
      <c r="DA158" s="7" t="n"/>
      <c r="DB158" s="7" t="n"/>
      <c r="DC158" s="7" t="n"/>
      <c r="DD158" s="7" t="n"/>
      <c r="DE158" s="7" t="n"/>
      <c r="DF158" s="7" t="n"/>
      <c r="DG158" s="7" t="n"/>
      <c r="DH158" s="7" t="n"/>
      <c r="DI158" s="7" t="n"/>
      <c r="DJ158" s="7" t="n"/>
      <c r="DK158" s="7" t="n"/>
      <c r="DL158" s="7" t="n"/>
      <c r="DM158" s="7" t="n"/>
      <c r="DN158" s="7" t="n"/>
      <c r="DO158" s="7" t="n"/>
      <c r="DP158" s="7" t="n"/>
      <c r="DQ158" s="7" t="n"/>
      <c r="DR158" s="7" t="n"/>
      <c r="DS158" s="7" t="n"/>
      <c r="DT158" s="7" t="n"/>
      <c r="DU158" s="7" t="n"/>
      <c r="DV158" s="7" t="n"/>
      <c r="DW158" s="7" t="n"/>
      <c r="DX158" s="7" t="n"/>
      <c r="DY158" s="7" t="n"/>
      <c r="DZ158" s="7" t="n"/>
      <c r="EA158" s="7" t="n"/>
      <c r="EB158" s="7" t="n"/>
      <c r="EC158" s="7" t="n"/>
      <c r="EE158" s="6" t="inlineStr">
        <is>
          <t>packed codes (blank on purpose - use the decoder)</t>
        </is>
      </c>
      <c r="EF158" s="7" t="n"/>
      <c r="EG158" s="7" t="n"/>
      <c r="EH158" s="7" t="n"/>
      <c r="EI158" s="7" t="n"/>
      <c r="EJ158" s="7" t="n"/>
      <c r="EK158" s="7" t="n"/>
      <c r="EL158" s="7" t="n"/>
      <c r="EM158" s="7" t="n"/>
      <c r="EN158" s="7" t="n"/>
      <c r="EO158" s="7" t="n"/>
      <c r="EP158" s="7" t="n"/>
      <c r="EQ158" s="7" t="n"/>
      <c r="ER158" s="7" t="n"/>
      <c r="ES158" s="7" t="n"/>
      <c r="ET158" s="7" t="n"/>
      <c r="EU158" s="7" t="n"/>
      <c r="EV158" s="7" t="n"/>
      <c r="EW158" s="7" t="n"/>
      <c r="EX158" s="7" t="n"/>
      <c r="EY158" s="7" t="n"/>
      <c r="EZ158" s="7" t="n"/>
      <c r="FA158" s="7" t="n"/>
      <c r="FB158" s="7" t="n"/>
      <c r="FC158" s="7" t="n"/>
      <c r="FD158" s="7" t="n"/>
      <c r="FE158" s="7" t="n"/>
      <c r="FF158" s="7" t="n"/>
      <c r="FG158" s="7" t="n"/>
      <c r="FH158" s="7" t="n"/>
      <c r="FI158" s="7" t="n"/>
      <c r="FJ158" s="7" t="n"/>
      <c r="FK158" s="7" t="n"/>
      <c r="FL158" s="7" t="n"/>
      <c r="FM158" s="7" t="n"/>
      <c r="FN158" s="7" t="n"/>
      <c r="FO158" s="7" t="n"/>
      <c r="FP158" s="7" t="n"/>
      <c r="FQ158" s="7" t="n"/>
      <c r="FR158" s="7" t="n"/>
      <c r="FS158" s="7" t="n"/>
      <c r="FT158" s="7" t="n"/>
      <c r="FU158" s="7" t="n"/>
      <c r="FV158" s="7" t="n"/>
      <c r="FW158" s="7" t="n"/>
      <c r="FX158" s="7" t="n"/>
      <c r="FY158" s="7" t="n"/>
      <c r="FZ158" s="7" t="n"/>
      <c r="GA158" s="7" t="n"/>
      <c r="GB158" s="7" t="n"/>
      <c r="GC158" s="7" t="n"/>
      <c r="GD158" s="7" t="n"/>
      <c r="GE158" s="7" t="n"/>
      <c r="GF158" s="7" t="n"/>
      <c r="GG158" s="7" t="n"/>
      <c r="GH158" s="7" t="n"/>
      <c r="GI158" s="7" t="n"/>
      <c r="GJ158" s="7" t="n"/>
      <c r="GK158" s="7" t="n"/>
      <c r="GL158" s="7" t="n"/>
      <c r="GM158" s="7" t="n"/>
      <c r="GN158" s="7" t="n"/>
      <c r="GO158" s="7" t="n"/>
      <c r="GP158" s="7" t="n"/>
      <c r="GQ158" s="7" t="n"/>
    </row>
    <row r="160">
      <c r="B160" s="2">
        <f>IF(HSCEI!$C$7="","",HSCEI!$C$7)</f>
        <v/>
      </c>
      <c r="C160" s="161">
        <f>IF(EE160="","",IF(ISNUMBER('Dvd Calendar'!$E$1564)=FALSE,"",IF((('Dvd Calendar'!$E$1566=TYPE1)*(TYPE1&lt;&gt;"")+('Dvd Calendar'!$E$1566=TYPE2)*(TYPE2&lt;&gt;"")+('Dvd Calendar'!$E$1566=TYPE3)*(TYPE3&lt;&gt;"")+('Dvd Calendar'!$E$1566=TYPE4)*(TYPE4&lt;&gt;"")+('Dvd Calendar'!$E$1566=SPECIAL_LBL)*(INC_SPECIALS="Y"))=0,"",'Dvd Calendar'!$E$1564)))</f>
        <v/>
      </c>
      <c r="D160" s="161">
        <f>IF(EF160="","",IF(ISNUMBER('Dvd Calendar'!$F$1564)=FALSE,"",IF((('Dvd Calendar'!$F$1566=TYPE1)*(TYPE1&lt;&gt;"")+('Dvd Calendar'!$F$1566=TYPE2)*(TYPE2&lt;&gt;"")+('Dvd Calendar'!$F$1566=TYPE3)*(TYPE3&lt;&gt;"")+('Dvd Calendar'!$F$1566=TYPE4)*(TYPE4&lt;&gt;"")+('Dvd Calendar'!$F$1566=SPECIAL_LBL)*(INC_SPECIALS="Y"))=0,"",'Dvd Calendar'!$F$1564)))</f>
        <v/>
      </c>
      <c r="E160" s="161">
        <f>IF(EG160="","",IF(ISNUMBER('Dvd Calendar'!$G$1564)=FALSE,"",IF((('Dvd Calendar'!$G$1566=TYPE1)*(TYPE1&lt;&gt;"")+('Dvd Calendar'!$G$1566=TYPE2)*(TYPE2&lt;&gt;"")+('Dvd Calendar'!$G$1566=TYPE3)*(TYPE3&lt;&gt;"")+('Dvd Calendar'!$G$1566=TYPE4)*(TYPE4&lt;&gt;"")+('Dvd Calendar'!$G$1566=SPECIAL_LBL)*(INC_SPECIALS="Y"))=0,"",'Dvd Calendar'!$G$1564)))</f>
        <v/>
      </c>
      <c r="F160" s="161">
        <f>IF(EH160="","",IF(ISNUMBER('Dvd Calendar'!$H$1564)=FALSE,"",IF((('Dvd Calendar'!$H$1566=TYPE1)*(TYPE1&lt;&gt;"")+('Dvd Calendar'!$H$1566=TYPE2)*(TYPE2&lt;&gt;"")+('Dvd Calendar'!$H$1566=TYPE3)*(TYPE3&lt;&gt;"")+('Dvd Calendar'!$H$1566=TYPE4)*(TYPE4&lt;&gt;"")+('Dvd Calendar'!$H$1566=SPECIAL_LBL)*(INC_SPECIALS="Y"))=0,"",'Dvd Calendar'!$H$1564)))</f>
        <v/>
      </c>
      <c r="G160" s="161">
        <f>IF(EI160="","",IF(ISNUMBER('Dvd Calendar'!$I$1564)=FALSE,"",IF((('Dvd Calendar'!$I$1566=TYPE1)*(TYPE1&lt;&gt;"")+('Dvd Calendar'!$I$1566=TYPE2)*(TYPE2&lt;&gt;"")+('Dvd Calendar'!$I$1566=TYPE3)*(TYPE3&lt;&gt;"")+('Dvd Calendar'!$I$1566=TYPE4)*(TYPE4&lt;&gt;"")+('Dvd Calendar'!$I$1566=SPECIAL_LBL)*(INC_SPECIALS="Y"))=0,"",'Dvd Calendar'!$I$1564)))</f>
        <v/>
      </c>
      <c r="H160" s="161">
        <f>IF(EJ160="","",IF(ISNUMBER('Dvd Calendar'!$J$1564)=FALSE,"",IF((('Dvd Calendar'!$J$1566=TYPE1)*(TYPE1&lt;&gt;"")+('Dvd Calendar'!$J$1566=TYPE2)*(TYPE2&lt;&gt;"")+('Dvd Calendar'!$J$1566=TYPE3)*(TYPE3&lt;&gt;"")+('Dvd Calendar'!$J$1566=TYPE4)*(TYPE4&lt;&gt;"")+('Dvd Calendar'!$J$1566=SPECIAL_LBL)*(INC_SPECIALS="Y"))=0,"",'Dvd Calendar'!$J$1564)))</f>
        <v/>
      </c>
      <c r="I160" s="161">
        <f>IF(EK160="","",IF(ISNUMBER('Dvd Calendar'!$K$1564)=FALSE,"",IF((('Dvd Calendar'!$K$1566=TYPE1)*(TYPE1&lt;&gt;"")+('Dvd Calendar'!$K$1566=TYPE2)*(TYPE2&lt;&gt;"")+('Dvd Calendar'!$K$1566=TYPE3)*(TYPE3&lt;&gt;"")+('Dvd Calendar'!$K$1566=TYPE4)*(TYPE4&lt;&gt;"")+('Dvd Calendar'!$K$1566=SPECIAL_LBL)*(INC_SPECIALS="Y"))=0,"",'Dvd Calendar'!$K$1564)))</f>
        <v/>
      </c>
      <c r="J160" s="161">
        <f>IF(EL160="","",IF(ISNUMBER('Dvd Calendar'!$L$1564)=FALSE,"",IF((('Dvd Calendar'!$L$1566=TYPE1)*(TYPE1&lt;&gt;"")+('Dvd Calendar'!$L$1566=TYPE2)*(TYPE2&lt;&gt;"")+('Dvd Calendar'!$L$1566=TYPE3)*(TYPE3&lt;&gt;"")+('Dvd Calendar'!$L$1566=TYPE4)*(TYPE4&lt;&gt;"")+('Dvd Calendar'!$L$1566=SPECIAL_LBL)*(INC_SPECIALS="Y"))=0,"",'Dvd Calendar'!$L$1564)))</f>
        <v/>
      </c>
      <c r="K160" s="161">
        <f>IF(EM160="","",IF(ISNUMBER('Dvd Calendar'!$M$1564)=FALSE,"",IF((('Dvd Calendar'!$M$1566=TYPE1)*(TYPE1&lt;&gt;"")+('Dvd Calendar'!$M$1566=TYPE2)*(TYPE2&lt;&gt;"")+('Dvd Calendar'!$M$1566=TYPE3)*(TYPE3&lt;&gt;"")+('Dvd Calendar'!$M$1566=TYPE4)*(TYPE4&lt;&gt;"")+('Dvd Calendar'!$M$1566=SPECIAL_LBL)*(INC_SPECIALS="Y"))=0,"",'Dvd Calendar'!$M$1564)))</f>
        <v/>
      </c>
      <c r="L160" s="161">
        <f>IF(EN160="","",IF(ISNUMBER('Dvd Calendar'!$N$1564)=FALSE,"",IF((('Dvd Calendar'!$N$1566=TYPE1)*(TYPE1&lt;&gt;"")+('Dvd Calendar'!$N$1566=TYPE2)*(TYPE2&lt;&gt;"")+('Dvd Calendar'!$N$1566=TYPE3)*(TYPE3&lt;&gt;"")+('Dvd Calendar'!$N$1566=TYPE4)*(TYPE4&lt;&gt;"")+('Dvd Calendar'!$N$1566=SPECIAL_LBL)*(INC_SPECIALS="Y"))=0,"",'Dvd Calendar'!$N$1564)))</f>
        <v/>
      </c>
      <c r="M160" s="161">
        <f>IF(EO160="","",IF(ISNUMBER('Dvd Calendar'!$O$1564)=FALSE,"",IF((('Dvd Calendar'!$O$1566=TYPE1)*(TYPE1&lt;&gt;"")+('Dvd Calendar'!$O$1566=TYPE2)*(TYPE2&lt;&gt;"")+('Dvd Calendar'!$O$1566=TYPE3)*(TYPE3&lt;&gt;"")+('Dvd Calendar'!$O$1566=TYPE4)*(TYPE4&lt;&gt;"")+('Dvd Calendar'!$O$1566=SPECIAL_LBL)*(INC_SPECIALS="Y"))=0,"",'Dvd Calendar'!$O$1564)))</f>
        <v/>
      </c>
      <c r="N160" s="161">
        <f>IF(EP160="","",IF(ISNUMBER('Dvd Calendar'!$P$1564)=FALSE,"",IF((('Dvd Calendar'!$P$1566=TYPE1)*(TYPE1&lt;&gt;"")+('Dvd Calendar'!$P$1566=TYPE2)*(TYPE2&lt;&gt;"")+('Dvd Calendar'!$P$1566=TYPE3)*(TYPE3&lt;&gt;"")+('Dvd Calendar'!$P$1566=TYPE4)*(TYPE4&lt;&gt;"")+('Dvd Calendar'!$P$1566=SPECIAL_LBL)*(INC_SPECIALS="Y"))=0,"",'Dvd Calendar'!$P$1564)))</f>
        <v/>
      </c>
      <c r="O160" s="161">
        <f>IF(EQ160="","",IF(ISNUMBER('Dvd Calendar'!$Q$1564)=FALSE,"",IF((('Dvd Calendar'!$Q$1566=TYPE1)*(TYPE1&lt;&gt;"")+('Dvd Calendar'!$Q$1566=TYPE2)*(TYPE2&lt;&gt;"")+('Dvd Calendar'!$Q$1566=TYPE3)*(TYPE3&lt;&gt;"")+('Dvd Calendar'!$Q$1566=TYPE4)*(TYPE4&lt;&gt;"")+('Dvd Calendar'!$Q$1566=SPECIAL_LBL)*(INC_SPECIALS="Y"))=0,"",'Dvd Calendar'!$Q$1564)))</f>
        <v/>
      </c>
      <c r="P160" s="161">
        <f>IF(ER160="","",IF(ISNUMBER('Dvd Calendar'!$R$1564)=FALSE,"",IF((('Dvd Calendar'!$R$1566=TYPE1)*(TYPE1&lt;&gt;"")+('Dvd Calendar'!$R$1566=TYPE2)*(TYPE2&lt;&gt;"")+('Dvd Calendar'!$R$1566=TYPE3)*(TYPE3&lt;&gt;"")+('Dvd Calendar'!$R$1566=TYPE4)*(TYPE4&lt;&gt;"")+('Dvd Calendar'!$R$1566=SPECIAL_LBL)*(INC_SPECIALS="Y"))=0,"",'Dvd Calendar'!$R$1564)))</f>
        <v/>
      </c>
      <c r="Q160" s="161">
        <f>IF(ES160="","",IF(ISNUMBER('Dvd Calendar'!$S$1564)=FALSE,"",IF((('Dvd Calendar'!$S$1566=TYPE1)*(TYPE1&lt;&gt;"")+('Dvd Calendar'!$S$1566=TYPE2)*(TYPE2&lt;&gt;"")+('Dvd Calendar'!$S$1566=TYPE3)*(TYPE3&lt;&gt;"")+('Dvd Calendar'!$S$1566=TYPE4)*(TYPE4&lt;&gt;"")+('Dvd Calendar'!$S$1566=SPECIAL_LBL)*(INC_SPECIALS="Y"))=0,"",'Dvd Calendar'!$S$1564)))</f>
        <v/>
      </c>
      <c r="R160" s="161">
        <f>IF(ET160="","",IF(ISNUMBER('Dvd Calendar'!$T$1564)=FALSE,"",IF((('Dvd Calendar'!$T$1566=TYPE1)*(TYPE1&lt;&gt;"")+('Dvd Calendar'!$T$1566=TYPE2)*(TYPE2&lt;&gt;"")+('Dvd Calendar'!$T$1566=TYPE3)*(TYPE3&lt;&gt;"")+('Dvd Calendar'!$T$1566=TYPE4)*(TYPE4&lt;&gt;"")+('Dvd Calendar'!$T$1566=SPECIAL_LBL)*(INC_SPECIALS="Y"))=0,"",'Dvd Calendar'!$T$1564)))</f>
        <v/>
      </c>
      <c r="S160" s="161">
        <f>IF(EU160="","",IF(ISNUMBER('Dvd Calendar'!$U$1564)=FALSE,"",IF((('Dvd Calendar'!$U$1566=TYPE1)*(TYPE1&lt;&gt;"")+('Dvd Calendar'!$U$1566=TYPE2)*(TYPE2&lt;&gt;"")+('Dvd Calendar'!$U$1566=TYPE3)*(TYPE3&lt;&gt;"")+('Dvd Calendar'!$U$1566=TYPE4)*(TYPE4&lt;&gt;"")+('Dvd Calendar'!$U$1566=SPECIAL_LBL)*(INC_SPECIALS="Y"))=0,"",'Dvd Calendar'!$U$1564)))</f>
        <v/>
      </c>
      <c r="T160" s="161">
        <f>IF(EV160="","",IF(ISNUMBER('Dvd Calendar'!$V$1564)=FALSE,"",IF((('Dvd Calendar'!$V$1566=TYPE1)*(TYPE1&lt;&gt;"")+('Dvd Calendar'!$V$1566=TYPE2)*(TYPE2&lt;&gt;"")+('Dvd Calendar'!$V$1566=TYPE3)*(TYPE3&lt;&gt;"")+('Dvd Calendar'!$V$1566=TYPE4)*(TYPE4&lt;&gt;"")+('Dvd Calendar'!$V$1566=SPECIAL_LBL)*(INC_SPECIALS="Y"))=0,"",'Dvd Calendar'!$V$1564)))</f>
        <v/>
      </c>
      <c r="U160" s="161">
        <f>IF(EW160="","",IF(ISNUMBER('Dvd Calendar'!$W$1564)=FALSE,"",IF((('Dvd Calendar'!$W$1566=TYPE1)*(TYPE1&lt;&gt;"")+('Dvd Calendar'!$W$1566=TYPE2)*(TYPE2&lt;&gt;"")+('Dvd Calendar'!$W$1566=TYPE3)*(TYPE3&lt;&gt;"")+('Dvd Calendar'!$W$1566=TYPE4)*(TYPE4&lt;&gt;"")+('Dvd Calendar'!$W$1566=SPECIAL_LBL)*(INC_SPECIALS="Y"))=0,"",'Dvd Calendar'!$W$1564)))</f>
        <v/>
      </c>
      <c r="V160" s="161">
        <f>IF(EX160="","",IF(ISNUMBER('Dvd Calendar'!$X$1564)=FALSE,"",IF((('Dvd Calendar'!$X$1566=TYPE1)*(TYPE1&lt;&gt;"")+('Dvd Calendar'!$X$1566=TYPE2)*(TYPE2&lt;&gt;"")+('Dvd Calendar'!$X$1566=TYPE3)*(TYPE3&lt;&gt;"")+('Dvd Calendar'!$X$1566=TYPE4)*(TYPE4&lt;&gt;"")+('Dvd Calendar'!$X$1566=SPECIAL_LBL)*(INC_SPECIALS="Y"))=0,"",'Dvd Calendar'!$X$1564)))</f>
        <v/>
      </c>
      <c r="W160" s="161">
        <f>IF(EY160="","",IF(ISNUMBER('Dvd Calendar'!$Y$1564)=FALSE,"",IF((('Dvd Calendar'!$Y$1566=TYPE1)*(TYPE1&lt;&gt;"")+('Dvd Calendar'!$Y$1566=TYPE2)*(TYPE2&lt;&gt;"")+('Dvd Calendar'!$Y$1566=TYPE3)*(TYPE3&lt;&gt;"")+('Dvd Calendar'!$Y$1566=TYPE4)*(TYPE4&lt;&gt;"")+('Dvd Calendar'!$Y$1566=SPECIAL_LBL)*(INC_SPECIALS="Y"))=0,"",'Dvd Calendar'!$Y$1564)))</f>
        <v/>
      </c>
      <c r="X160" s="161">
        <f>IF(EZ160="","",IF(ISNUMBER('Dvd Calendar'!$Z$1564)=FALSE,"",IF((('Dvd Calendar'!$Z$1566=TYPE1)*(TYPE1&lt;&gt;"")+('Dvd Calendar'!$Z$1566=TYPE2)*(TYPE2&lt;&gt;"")+('Dvd Calendar'!$Z$1566=TYPE3)*(TYPE3&lt;&gt;"")+('Dvd Calendar'!$Z$1566=TYPE4)*(TYPE4&lt;&gt;"")+('Dvd Calendar'!$Z$1566=SPECIAL_LBL)*(INC_SPECIALS="Y"))=0,"",'Dvd Calendar'!$Z$1564)))</f>
        <v/>
      </c>
      <c r="Y160" s="161">
        <f>IF(FA160="","",IF(ISNUMBER('Dvd Calendar'!$AA$1564)=FALSE,"",IF((('Dvd Calendar'!$AA$1566=TYPE1)*(TYPE1&lt;&gt;"")+('Dvd Calendar'!$AA$1566=TYPE2)*(TYPE2&lt;&gt;"")+('Dvd Calendar'!$AA$1566=TYPE3)*(TYPE3&lt;&gt;"")+('Dvd Calendar'!$AA$1566=TYPE4)*(TYPE4&lt;&gt;"")+('Dvd Calendar'!$AA$1566=SPECIAL_LBL)*(INC_SPECIALS="Y"))=0,"",'Dvd Calendar'!$AA$1564)))</f>
        <v/>
      </c>
      <c r="Z160" s="161">
        <f>IF(FB160="","",IF(ISNUMBER('Dvd Calendar'!$AB$1564)=FALSE,"",IF((('Dvd Calendar'!$AB$1566=TYPE1)*(TYPE1&lt;&gt;"")+('Dvd Calendar'!$AB$1566=TYPE2)*(TYPE2&lt;&gt;"")+('Dvd Calendar'!$AB$1566=TYPE3)*(TYPE3&lt;&gt;"")+('Dvd Calendar'!$AB$1566=TYPE4)*(TYPE4&lt;&gt;"")+('Dvd Calendar'!$AB$1566=SPECIAL_LBL)*(INC_SPECIALS="Y"))=0,"",'Dvd Calendar'!$AB$1564)))</f>
        <v/>
      </c>
      <c r="AA160" s="161">
        <f>IF(FC160="","",IF(ISNUMBER('Dvd Calendar'!$AC$1564)=FALSE,"",IF((('Dvd Calendar'!$AC$1566=TYPE1)*(TYPE1&lt;&gt;"")+('Dvd Calendar'!$AC$1566=TYPE2)*(TYPE2&lt;&gt;"")+('Dvd Calendar'!$AC$1566=TYPE3)*(TYPE3&lt;&gt;"")+('Dvd Calendar'!$AC$1566=TYPE4)*(TYPE4&lt;&gt;"")+('Dvd Calendar'!$AC$1566=SPECIAL_LBL)*(INC_SPECIALS="Y"))=0,"",'Dvd Calendar'!$AC$1564)))</f>
        <v/>
      </c>
      <c r="AB160" s="161">
        <f>IF(FD160="","",IF(ISNUMBER('Dvd Calendar'!$AD$1564)=FALSE,"",IF((('Dvd Calendar'!$AD$1566=TYPE1)*(TYPE1&lt;&gt;"")+('Dvd Calendar'!$AD$1566=TYPE2)*(TYPE2&lt;&gt;"")+('Dvd Calendar'!$AD$1566=TYPE3)*(TYPE3&lt;&gt;"")+('Dvd Calendar'!$AD$1566=TYPE4)*(TYPE4&lt;&gt;"")+('Dvd Calendar'!$AD$1566=SPECIAL_LBL)*(INC_SPECIALS="Y"))=0,"",'Dvd Calendar'!$AD$1564)))</f>
        <v/>
      </c>
      <c r="AC160" s="161">
        <f>IF(FE160="","",IF(ISNUMBER('Dvd Calendar'!$AE$1564)=FALSE,"",IF((('Dvd Calendar'!$AE$1566=TYPE1)*(TYPE1&lt;&gt;"")+('Dvd Calendar'!$AE$1566=TYPE2)*(TYPE2&lt;&gt;"")+('Dvd Calendar'!$AE$1566=TYPE3)*(TYPE3&lt;&gt;"")+('Dvd Calendar'!$AE$1566=TYPE4)*(TYPE4&lt;&gt;"")+('Dvd Calendar'!$AE$1566=SPECIAL_LBL)*(INC_SPECIALS="Y"))=0,"",'Dvd Calendar'!$AE$1564)))</f>
        <v/>
      </c>
      <c r="AD160" s="161">
        <f>IF(FF160="","",IF(ISNUMBER('Dvd Calendar'!$AF$1564)=FALSE,"",IF((('Dvd Calendar'!$AF$1566=TYPE1)*(TYPE1&lt;&gt;"")+('Dvd Calendar'!$AF$1566=TYPE2)*(TYPE2&lt;&gt;"")+('Dvd Calendar'!$AF$1566=TYPE3)*(TYPE3&lt;&gt;"")+('Dvd Calendar'!$AF$1566=TYPE4)*(TYPE4&lt;&gt;"")+('Dvd Calendar'!$AF$1566=SPECIAL_LBL)*(INC_SPECIALS="Y"))=0,"",'Dvd Calendar'!$AF$1564)))</f>
        <v/>
      </c>
      <c r="AE160" s="161">
        <f>IF(FG160="","",IF(ISNUMBER('Dvd Calendar'!$AG$1564)=FALSE,"",IF((('Dvd Calendar'!$AG$1566=TYPE1)*(TYPE1&lt;&gt;"")+('Dvd Calendar'!$AG$1566=TYPE2)*(TYPE2&lt;&gt;"")+('Dvd Calendar'!$AG$1566=TYPE3)*(TYPE3&lt;&gt;"")+('Dvd Calendar'!$AG$1566=TYPE4)*(TYPE4&lt;&gt;"")+('Dvd Calendar'!$AG$1566=SPECIAL_LBL)*(INC_SPECIALS="Y"))=0,"",'Dvd Calendar'!$AG$1564)))</f>
        <v/>
      </c>
      <c r="AF160" s="161">
        <f>IF(FH160="","",IF(ISNUMBER('Dvd Calendar'!$AH$1564)=FALSE,"",IF((('Dvd Calendar'!$AH$1566=TYPE1)*(TYPE1&lt;&gt;"")+('Dvd Calendar'!$AH$1566=TYPE2)*(TYPE2&lt;&gt;"")+('Dvd Calendar'!$AH$1566=TYPE3)*(TYPE3&lt;&gt;"")+('Dvd Calendar'!$AH$1566=TYPE4)*(TYPE4&lt;&gt;"")+('Dvd Calendar'!$AH$1566=SPECIAL_LBL)*(INC_SPECIALS="Y"))=0,"",'Dvd Calendar'!$AH$1564)))</f>
        <v/>
      </c>
      <c r="AG160" s="161">
        <f>IF(FI160="","",IF(ISNUMBER('Dvd Calendar'!$AI$1564)=FALSE,"",IF((('Dvd Calendar'!$AI$1566=TYPE1)*(TYPE1&lt;&gt;"")+('Dvd Calendar'!$AI$1566=TYPE2)*(TYPE2&lt;&gt;"")+('Dvd Calendar'!$AI$1566=TYPE3)*(TYPE3&lt;&gt;"")+('Dvd Calendar'!$AI$1566=TYPE4)*(TYPE4&lt;&gt;"")+('Dvd Calendar'!$AI$1566=SPECIAL_LBL)*(INC_SPECIALS="Y"))=0,"",'Dvd Calendar'!$AI$1564)))</f>
        <v/>
      </c>
      <c r="AH160" s="161">
        <f>IF(FJ160="","",IF(ISNUMBER('Dvd Calendar'!$AJ$1564)=FALSE,"",IF((('Dvd Calendar'!$AJ$1566=TYPE1)*(TYPE1&lt;&gt;"")+('Dvd Calendar'!$AJ$1566=TYPE2)*(TYPE2&lt;&gt;"")+('Dvd Calendar'!$AJ$1566=TYPE3)*(TYPE3&lt;&gt;"")+('Dvd Calendar'!$AJ$1566=TYPE4)*(TYPE4&lt;&gt;"")+('Dvd Calendar'!$AJ$1566=SPECIAL_LBL)*(INC_SPECIALS="Y"))=0,"",'Dvd Calendar'!$AJ$1564)))</f>
        <v/>
      </c>
      <c r="AI160" s="161">
        <f>IF(FK160="","",IF(ISNUMBER('Dvd Calendar'!$AK$1564)=FALSE,"",IF((('Dvd Calendar'!$AK$1566=TYPE1)*(TYPE1&lt;&gt;"")+('Dvd Calendar'!$AK$1566=TYPE2)*(TYPE2&lt;&gt;"")+('Dvd Calendar'!$AK$1566=TYPE3)*(TYPE3&lt;&gt;"")+('Dvd Calendar'!$AK$1566=TYPE4)*(TYPE4&lt;&gt;"")+('Dvd Calendar'!$AK$1566=SPECIAL_LBL)*(INC_SPECIALS="Y"))=0,"",'Dvd Calendar'!$AK$1564)))</f>
        <v/>
      </c>
      <c r="AJ160" s="161">
        <f>IF(FL160="","",IF(ISNUMBER('Dvd Calendar'!$AL$1564)=FALSE,"",IF((('Dvd Calendar'!$AL$1566=TYPE1)*(TYPE1&lt;&gt;"")+('Dvd Calendar'!$AL$1566=TYPE2)*(TYPE2&lt;&gt;"")+('Dvd Calendar'!$AL$1566=TYPE3)*(TYPE3&lt;&gt;"")+('Dvd Calendar'!$AL$1566=TYPE4)*(TYPE4&lt;&gt;"")+('Dvd Calendar'!$AL$1566=SPECIAL_LBL)*(INC_SPECIALS="Y"))=0,"",'Dvd Calendar'!$AL$1564)))</f>
        <v/>
      </c>
      <c r="AK160" s="161">
        <f>IF(FM160="","",IF(ISNUMBER('Dvd Calendar'!$AM$1564)=FALSE,"",IF((('Dvd Calendar'!$AM$1566=TYPE1)*(TYPE1&lt;&gt;"")+('Dvd Calendar'!$AM$1566=TYPE2)*(TYPE2&lt;&gt;"")+('Dvd Calendar'!$AM$1566=TYPE3)*(TYPE3&lt;&gt;"")+('Dvd Calendar'!$AM$1566=TYPE4)*(TYPE4&lt;&gt;"")+('Dvd Calendar'!$AM$1566=SPECIAL_LBL)*(INC_SPECIALS="Y"))=0,"",'Dvd Calendar'!$AM$1564)))</f>
        <v/>
      </c>
      <c r="AL160" s="161">
        <f>IF(FN160="","",IF(ISNUMBER('Dvd Calendar'!$AN$1564)=FALSE,"",IF((('Dvd Calendar'!$AN$1566=TYPE1)*(TYPE1&lt;&gt;"")+('Dvd Calendar'!$AN$1566=TYPE2)*(TYPE2&lt;&gt;"")+('Dvd Calendar'!$AN$1566=TYPE3)*(TYPE3&lt;&gt;"")+('Dvd Calendar'!$AN$1566=TYPE4)*(TYPE4&lt;&gt;"")+('Dvd Calendar'!$AN$1566=SPECIAL_LBL)*(INC_SPECIALS="Y"))=0,"",'Dvd Calendar'!$AN$1564)))</f>
        <v/>
      </c>
      <c r="AM160" s="161">
        <f>IF(FO160="","",IF(ISNUMBER('Dvd Calendar'!$AO$1564)=FALSE,"",IF((('Dvd Calendar'!$AO$1566=TYPE1)*(TYPE1&lt;&gt;"")+('Dvd Calendar'!$AO$1566=TYPE2)*(TYPE2&lt;&gt;"")+('Dvd Calendar'!$AO$1566=TYPE3)*(TYPE3&lt;&gt;"")+('Dvd Calendar'!$AO$1566=TYPE4)*(TYPE4&lt;&gt;"")+('Dvd Calendar'!$AO$1566=SPECIAL_LBL)*(INC_SPECIALS="Y"))=0,"",'Dvd Calendar'!$AO$1564)))</f>
        <v/>
      </c>
      <c r="AN160" s="161">
        <f>IF(FP160="","",IF(ISNUMBER('Dvd Calendar'!$AP$1564)=FALSE,"",IF((('Dvd Calendar'!$AP$1566=TYPE1)*(TYPE1&lt;&gt;"")+('Dvd Calendar'!$AP$1566=TYPE2)*(TYPE2&lt;&gt;"")+('Dvd Calendar'!$AP$1566=TYPE3)*(TYPE3&lt;&gt;"")+('Dvd Calendar'!$AP$1566=TYPE4)*(TYPE4&lt;&gt;"")+('Dvd Calendar'!$AP$1566=SPECIAL_LBL)*(INC_SPECIALS="Y"))=0,"",'Dvd Calendar'!$AP$1564)))</f>
        <v/>
      </c>
      <c r="AO160" s="161">
        <f>IF(FQ160="","",IF(ISNUMBER('Dvd Calendar'!$AQ$1564)=FALSE,"",IF((('Dvd Calendar'!$AQ$1566=TYPE1)*(TYPE1&lt;&gt;"")+('Dvd Calendar'!$AQ$1566=TYPE2)*(TYPE2&lt;&gt;"")+('Dvd Calendar'!$AQ$1566=TYPE3)*(TYPE3&lt;&gt;"")+('Dvd Calendar'!$AQ$1566=TYPE4)*(TYPE4&lt;&gt;"")+('Dvd Calendar'!$AQ$1566=SPECIAL_LBL)*(INC_SPECIALS="Y"))=0,"",'Dvd Calendar'!$AQ$1564)))</f>
        <v/>
      </c>
      <c r="AP160" s="161">
        <f>IF(FR160="","",IF(ISNUMBER('Dvd Calendar'!$AR$1564)=FALSE,"",IF((('Dvd Calendar'!$AR$1566=TYPE1)*(TYPE1&lt;&gt;"")+('Dvd Calendar'!$AR$1566=TYPE2)*(TYPE2&lt;&gt;"")+('Dvd Calendar'!$AR$1566=TYPE3)*(TYPE3&lt;&gt;"")+('Dvd Calendar'!$AR$1566=TYPE4)*(TYPE4&lt;&gt;"")+('Dvd Calendar'!$AR$1566=SPECIAL_LBL)*(INC_SPECIALS="Y"))=0,"",'Dvd Calendar'!$AR$1564)))</f>
        <v/>
      </c>
      <c r="AQ160" s="161">
        <f>IF(FS160="","",IF(ISNUMBER('Dvd Calendar'!$E$1569)=FALSE,"",'Dvd Calendar'!$E$1569))</f>
        <v/>
      </c>
      <c r="AR160" s="161">
        <f>IF(FT160="","",IF(ISNUMBER('Dvd Calendar'!$F$1569)=FALSE,"",'Dvd Calendar'!$F$1569))</f>
        <v/>
      </c>
      <c r="AS160" s="161">
        <f>IF(FU160="","",IF(ISNUMBER('Dvd Calendar'!$G$1569)=FALSE,"",'Dvd Calendar'!$G$1569))</f>
        <v/>
      </c>
      <c r="AT160" s="161">
        <f>IF(FV160="","",IF(ISNUMBER('Dvd Calendar'!$H$1569)=FALSE,"",'Dvd Calendar'!$H$1569))</f>
        <v/>
      </c>
      <c r="AU160" s="161">
        <f>IF(FW160="","",IF(ISNUMBER('Dvd Calendar'!$I$1569)=FALSE,"",'Dvd Calendar'!$I$1569))</f>
        <v/>
      </c>
      <c r="AV160" s="161">
        <f>IF(FX160="","",IF(ISNUMBER('Dvd Calendar'!$J$1569)=FALSE,"",'Dvd Calendar'!$J$1569))</f>
        <v/>
      </c>
      <c r="AW160" s="161">
        <f>IF(FY160="","",IF(ISNUMBER('Dvd Calendar'!$K$1569)=FALSE,"",'Dvd Calendar'!$K$1569))</f>
        <v/>
      </c>
      <c r="AX160" s="161">
        <f>IF(FZ160="","",IF(ISNUMBER('Dvd Calendar'!$L$1569)=FALSE,"",'Dvd Calendar'!$L$1569))</f>
        <v/>
      </c>
      <c r="AY160" s="161">
        <f>IF(GA160="","",IF(ISNUMBER('Dvd Calendar'!$M$1569)=FALSE,"",'Dvd Calendar'!$M$1569))</f>
        <v/>
      </c>
      <c r="AZ160" s="161">
        <f>IF(GB160="","",IF(ISNUMBER('Dvd Calendar'!$N$1569)=FALSE,"",'Dvd Calendar'!$N$1569))</f>
        <v/>
      </c>
      <c r="BA160" s="161">
        <f>IF(GC160="","",IF(ISNUMBER('Dvd Calendar'!$O$1569)=FALSE,"",'Dvd Calendar'!$O$1569))</f>
        <v/>
      </c>
      <c r="BB160" s="161">
        <f>IF(GD160="","",IF(ISNUMBER('Dvd Calendar'!$P$1569)=FALSE,"",'Dvd Calendar'!$P$1569))</f>
        <v/>
      </c>
      <c r="BC160" s="161">
        <f>IF(GE160="","",IF(ISNUMBER('Dvd Calendar'!$Q$1569)=FALSE,"",'Dvd Calendar'!$Q$1569))</f>
        <v/>
      </c>
      <c r="BD160" s="161">
        <f>IF(GF160="","",IF(ISNUMBER('Dvd Calendar'!$R$1569)=FALSE,"",'Dvd Calendar'!$R$1569))</f>
        <v/>
      </c>
      <c r="BE160" s="161">
        <f>IF(GG160="","",IF(ISNUMBER('Dvd Calendar'!$S$1569)=FALSE,"",'Dvd Calendar'!$S$1569))</f>
        <v/>
      </c>
      <c r="BF160" s="161">
        <f>IF(GH160="","",IF(ISNUMBER('Dvd Calendar'!$T$1569)=FALSE,"",'Dvd Calendar'!$T$1569))</f>
        <v/>
      </c>
      <c r="BG160" s="161">
        <f>IF(GI160="","",IF(ISNUMBER('Dvd Calendar'!$U$1569)=FALSE,"",'Dvd Calendar'!$U$1569))</f>
        <v/>
      </c>
      <c r="BH160" s="161">
        <f>IF(GJ160="","",IF(ISNUMBER('Dvd Calendar'!$V$1569)=FALSE,"",'Dvd Calendar'!$V$1569))</f>
        <v/>
      </c>
      <c r="BI160" s="161">
        <f>IF(GK160="","",IF(ISNUMBER('Dvd Calendar'!$W$1569)=FALSE,"",'Dvd Calendar'!$W$1569))</f>
        <v/>
      </c>
      <c r="BJ160" s="161">
        <f>IF(GL160="","",IF(ISNUMBER('Dvd Calendar'!$X$1569)=FALSE,"",'Dvd Calendar'!$X$1569))</f>
        <v/>
      </c>
      <c r="BK160" s="161">
        <f>IF(GM160="","",IF(ISNUMBER('Dvd Calendar'!$Y$1569)=FALSE,"",'Dvd Calendar'!$Y$1569))</f>
        <v/>
      </c>
      <c r="BL160" s="161">
        <f>IF(GN160="","",IF(ISNUMBER('Dvd Calendar'!$Z$1569)=FALSE,"",'Dvd Calendar'!$Z$1569))</f>
        <v/>
      </c>
      <c r="BM160" s="161">
        <f>IF(GO160="","",IF(ISNUMBER('Dvd Calendar'!$AA$1569)=FALSE,"",'Dvd Calendar'!$AA$1569))</f>
        <v/>
      </c>
      <c r="BN160" s="161">
        <f>IF(GP160="","",IF(ISNUMBER('Dvd Calendar'!$AB$1569)=FALSE,"",'Dvd Calendar'!$AB$1569))</f>
        <v/>
      </c>
      <c r="BO160" s="161">
        <f>IF(GQ160="","",IF(ISNUMBER('Dvd Calendar'!$AC$1569)=FALSE,"",'Dvd Calendar'!$AC$1569))</f>
        <v/>
      </c>
      <c r="BQ160" s="161">
        <f>IF(C160="","",IFERROR(C160*HSCEI!$B$7*HSCEI!$G$7/HSCEI!$B$3,""))</f>
        <v/>
      </c>
      <c r="BR160" s="161">
        <f>IF(D160="","",IFERROR(D160*HSCEI!$B$7*HSCEI!$G$7/HSCEI!$B$3,""))</f>
        <v/>
      </c>
      <c r="BS160" s="161">
        <f>IF(E160="","",IFERROR(E160*HSCEI!$B$7*HSCEI!$G$7/HSCEI!$B$3,""))</f>
        <v/>
      </c>
      <c r="BT160" s="161">
        <f>IF(F160="","",IFERROR(F160*HSCEI!$B$7*HSCEI!$G$7/HSCEI!$B$3,""))</f>
        <v/>
      </c>
      <c r="BU160" s="161">
        <f>IF(G160="","",IFERROR(G160*HSCEI!$B$7*HSCEI!$G$7/HSCEI!$B$3,""))</f>
        <v/>
      </c>
      <c r="BV160" s="161">
        <f>IF(H160="","",IFERROR(H160*HSCEI!$B$7*HSCEI!$G$7/HSCEI!$B$3,""))</f>
        <v/>
      </c>
      <c r="BW160" s="161">
        <f>IF(I160="","",IFERROR(I160*HSCEI!$B$7*HSCEI!$G$7/HSCEI!$B$3,""))</f>
        <v/>
      </c>
      <c r="BX160" s="161">
        <f>IF(J160="","",IFERROR(J160*HSCEI!$B$7*HSCEI!$G$7/HSCEI!$B$3,""))</f>
        <v/>
      </c>
      <c r="BY160" s="161">
        <f>IF(K160="","",IFERROR(K160*HSCEI!$B$7*HSCEI!$G$7/HSCEI!$B$3,""))</f>
        <v/>
      </c>
      <c r="BZ160" s="161">
        <f>IF(L160="","",IFERROR(L160*HSCEI!$B$7*HSCEI!$G$7/HSCEI!$B$3,""))</f>
        <v/>
      </c>
      <c r="CA160" s="161">
        <f>IF(M160="","",IFERROR(M160*HSCEI!$B$7*HSCEI!$G$7/HSCEI!$B$3,""))</f>
        <v/>
      </c>
      <c r="CB160" s="161">
        <f>IF(N160="","",IFERROR(N160*HSCEI!$B$7*HSCEI!$G$7/HSCEI!$B$3,""))</f>
        <v/>
      </c>
      <c r="CC160" s="161">
        <f>IF(O160="","",IFERROR(O160*HSCEI!$B$7*HSCEI!$G$7/HSCEI!$B$3,""))</f>
        <v/>
      </c>
      <c r="CD160" s="161">
        <f>IF(P160="","",IFERROR(P160*HSCEI!$B$7*HSCEI!$G$7/HSCEI!$B$3,""))</f>
        <v/>
      </c>
      <c r="CE160" s="161">
        <f>IF(Q160="","",IFERROR(Q160*HSCEI!$B$7*HSCEI!$G$7/HSCEI!$B$3,""))</f>
        <v/>
      </c>
      <c r="CF160" s="161">
        <f>IF(R160="","",IFERROR(R160*HSCEI!$B$7*HSCEI!$G$7/HSCEI!$B$3,""))</f>
        <v/>
      </c>
      <c r="CG160" s="161">
        <f>IF(S160="","",IFERROR(S160*HSCEI!$B$7*HSCEI!$G$7/HSCEI!$B$3,""))</f>
        <v/>
      </c>
      <c r="CH160" s="161">
        <f>IF(T160="","",IFERROR(T160*HSCEI!$B$7*HSCEI!$G$7/HSCEI!$B$3,""))</f>
        <v/>
      </c>
      <c r="CI160" s="161">
        <f>IF(U160="","",IFERROR(U160*HSCEI!$B$7*HSCEI!$G$7/HSCEI!$B$3,""))</f>
        <v/>
      </c>
      <c r="CJ160" s="161">
        <f>IF(V160="","",IFERROR(V160*HSCEI!$B$7*HSCEI!$G$7/HSCEI!$B$3,""))</f>
        <v/>
      </c>
      <c r="CK160" s="161">
        <f>IF(W160="","",IFERROR(W160*HSCEI!$B$7*HSCEI!$G$7/HSCEI!$B$3,""))</f>
        <v/>
      </c>
      <c r="CL160" s="161">
        <f>IF(X160="","",IFERROR(X160*HSCEI!$B$7*HSCEI!$G$7/HSCEI!$B$3,""))</f>
        <v/>
      </c>
      <c r="CM160" s="161">
        <f>IF(Y160="","",IFERROR(Y160*HSCEI!$B$7*HSCEI!$G$7/HSCEI!$B$3,""))</f>
        <v/>
      </c>
      <c r="CN160" s="161">
        <f>IF(Z160="","",IFERROR(Z160*HSCEI!$B$7*HSCEI!$G$7/HSCEI!$B$3,""))</f>
        <v/>
      </c>
      <c r="CO160" s="161">
        <f>IF(AA160="","",IFERROR(AA160*HSCEI!$B$7*HSCEI!$G$7/HSCEI!$B$3,""))</f>
        <v/>
      </c>
      <c r="CP160" s="161">
        <f>IF(AB160="","",IFERROR(AB160*HSCEI!$B$7*HSCEI!$G$7/HSCEI!$B$3,""))</f>
        <v/>
      </c>
      <c r="CQ160" s="161">
        <f>IF(AC160="","",IFERROR(AC160*HSCEI!$B$7*HSCEI!$G$7/HSCEI!$B$3,""))</f>
        <v/>
      </c>
      <c r="CR160" s="161">
        <f>IF(AD160="","",IFERROR(AD160*HSCEI!$B$7*HSCEI!$G$7/HSCEI!$B$3,""))</f>
        <v/>
      </c>
      <c r="CS160" s="161">
        <f>IF(AE160="","",IFERROR(AE160*HSCEI!$B$7*HSCEI!$G$7/HSCEI!$B$3,""))</f>
        <v/>
      </c>
      <c r="CT160" s="161">
        <f>IF(AF160="","",IFERROR(AF160*HSCEI!$B$7*HSCEI!$G$7/HSCEI!$B$3,""))</f>
        <v/>
      </c>
      <c r="CU160" s="161">
        <f>IF(AG160="","",IFERROR(AG160*HSCEI!$B$7*HSCEI!$G$7/HSCEI!$B$3,""))</f>
        <v/>
      </c>
      <c r="CV160" s="161">
        <f>IF(AH160="","",IFERROR(AH160*HSCEI!$B$7*HSCEI!$G$7/HSCEI!$B$3,""))</f>
        <v/>
      </c>
      <c r="CW160" s="161">
        <f>IF(AI160="","",IFERROR(AI160*HSCEI!$B$7*HSCEI!$G$7/HSCEI!$B$3,""))</f>
        <v/>
      </c>
      <c r="CX160" s="161">
        <f>IF(AJ160="","",IFERROR(AJ160*HSCEI!$B$7*HSCEI!$G$7/HSCEI!$B$3,""))</f>
        <v/>
      </c>
      <c r="CY160" s="161">
        <f>IF(AK160="","",IFERROR(AK160*HSCEI!$B$7*HSCEI!$G$7/HSCEI!$B$3,""))</f>
        <v/>
      </c>
      <c r="CZ160" s="161">
        <f>IF(AL160="","",IFERROR(AL160*HSCEI!$B$7*HSCEI!$G$7/HSCEI!$B$3,""))</f>
        <v/>
      </c>
      <c r="DA160" s="161">
        <f>IF(AM160="","",IFERROR(AM160*HSCEI!$B$7*HSCEI!$G$7/HSCEI!$B$3,""))</f>
        <v/>
      </c>
      <c r="DB160" s="161">
        <f>IF(AN160="","",IFERROR(AN160*HSCEI!$B$7*HSCEI!$G$7/HSCEI!$B$3,""))</f>
        <v/>
      </c>
      <c r="DC160" s="161">
        <f>IF(AO160="","",IFERROR(AO160*HSCEI!$B$7*HSCEI!$G$7/HSCEI!$B$3,""))</f>
        <v/>
      </c>
      <c r="DD160" s="161">
        <f>IF(AP160="","",IFERROR(AP160*HSCEI!$B$7*HSCEI!$G$7/HSCEI!$B$3,""))</f>
        <v/>
      </c>
      <c r="DE160" s="161">
        <f>IF(AQ160="","",IFERROR(AQ160*HSCEI!$B$7*HSCEI!$G$7/HSCEI!$B$3,""))</f>
        <v/>
      </c>
      <c r="DF160" s="161">
        <f>IF(AR160="","",IFERROR(AR160*HSCEI!$B$7*HSCEI!$G$7/HSCEI!$B$3,""))</f>
        <v/>
      </c>
      <c r="DG160" s="161">
        <f>IF(AS160="","",IFERROR(AS160*HSCEI!$B$7*HSCEI!$G$7/HSCEI!$B$3,""))</f>
        <v/>
      </c>
      <c r="DH160" s="161">
        <f>IF(AT160="","",IFERROR(AT160*HSCEI!$B$7*HSCEI!$G$7/HSCEI!$B$3,""))</f>
        <v/>
      </c>
      <c r="DI160" s="161">
        <f>IF(AU160="","",IFERROR(AU160*HSCEI!$B$7*HSCEI!$G$7/HSCEI!$B$3,""))</f>
        <v/>
      </c>
      <c r="DJ160" s="161">
        <f>IF(AV160="","",IFERROR(AV160*HSCEI!$B$7*HSCEI!$G$7/HSCEI!$B$3,""))</f>
        <v/>
      </c>
      <c r="DK160" s="161">
        <f>IF(AW160="","",IFERROR(AW160*HSCEI!$B$7*HSCEI!$G$7/HSCEI!$B$3,""))</f>
        <v/>
      </c>
      <c r="DL160" s="161">
        <f>IF(AX160="","",IFERROR(AX160*HSCEI!$B$7*HSCEI!$G$7/HSCEI!$B$3,""))</f>
        <v/>
      </c>
      <c r="DM160" s="161">
        <f>IF(AY160="","",IFERROR(AY160*HSCEI!$B$7*HSCEI!$G$7/HSCEI!$B$3,""))</f>
        <v/>
      </c>
      <c r="DN160" s="161">
        <f>IF(AZ160="","",IFERROR(AZ160*HSCEI!$B$7*HSCEI!$G$7/HSCEI!$B$3,""))</f>
        <v/>
      </c>
      <c r="DO160" s="161">
        <f>IF(BA160="","",IFERROR(BA160*HSCEI!$B$7*HSCEI!$G$7/HSCEI!$B$3,""))</f>
        <v/>
      </c>
      <c r="DP160" s="161">
        <f>IF(BB160="","",IFERROR(BB160*HSCEI!$B$7*HSCEI!$G$7/HSCEI!$B$3,""))</f>
        <v/>
      </c>
      <c r="DQ160" s="161">
        <f>IF(BC160="","",IFERROR(BC160*HSCEI!$B$7*HSCEI!$G$7/HSCEI!$B$3,""))</f>
        <v/>
      </c>
      <c r="DR160" s="161">
        <f>IF(BD160="","",IFERROR(BD160*HSCEI!$B$7*HSCEI!$G$7/HSCEI!$B$3,""))</f>
        <v/>
      </c>
      <c r="DS160" s="161">
        <f>IF(BE160="","",IFERROR(BE160*HSCEI!$B$7*HSCEI!$G$7/HSCEI!$B$3,""))</f>
        <v/>
      </c>
      <c r="DT160" s="161">
        <f>IF(BF160="","",IFERROR(BF160*HSCEI!$B$7*HSCEI!$G$7/HSCEI!$B$3,""))</f>
        <v/>
      </c>
      <c r="DU160" s="161">
        <f>IF(BG160="","",IFERROR(BG160*HSCEI!$B$7*HSCEI!$G$7/HSCEI!$B$3,""))</f>
        <v/>
      </c>
      <c r="DV160" s="161">
        <f>IF(BH160="","",IFERROR(BH160*HSCEI!$B$7*HSCEI!$G$7/HSCEI!$B$3,""))</f>
        <v/>
      </c>
      <c r="DW160" s="161">
        <f>IF(BI160="","",IFERROR(BI160*HSCEI!$B$7*HSCEI!$G$7/HSCEI!$B$3,""))</f>
        <v/>
      </c>
      <c r="DX160" s="161">
        <f>IF(BJ160="","",IFERROR(BJ160*HSCEI!$B$7*HSCEI!$G$7/HSCEI!$B$3,""))</f>
        <v/>
      </c>
      <c r="DY160" s="161">
        <f>IF(BK160="","",IFERROR(BK160*HSCEI!$B$7*HSCEI!$G$7/HSCEI!$B$3,""))</f>
        <v/>
      </c>
      <c r="DZ160" s="161">
        <f>IF(BL160="","",IFERROR(BL160*HSCEI!$B$7*HSCEI!$G$7/HSCEI!$B$3,""))</f>
        <v/>
      </c>
      <c r="EA160" s="161">
        <f>IF(BM160="","",IFERROR(BM160*HSCEI!$B$7*HSCEI!$G$7/HSCEI!$B$3,""))</f>
        <v/>
      </c>
      <c r="EB160" s="161">
        <f>IF(BN160="","",IFERROR(BN160*HSCEI!$B$7*HSCEI!$G$7/HSCEI!$B$3,""))</f>
        <v/>
      </c>
      <c r="EC160" s="161">
        <f>IF(BO160="","",IFERROR(BO160*HSCEI!$B$7*HSCEI!$G$7/HSCEI!$B$3,""))</f>
        <v/>
      </c>
      <c r="EE160" s="121">
        <f>IF(N('Dvd Calendar'!$E$1561)=0,"",IF(('Dvd Calendar'!$E$1561&gt;=GRID_FROM)*('Dvd Calendar'!$E$1561&lt;=GRID_TO)*((('Dvd Calendar'!$E$1561&lt;=VAL_DATE)+(COUNTIF('Dvd Calendar'!$E$1568:$AR$1568,'Dvd Calendar'!$E$1561)=0))&gt;0)=0,"",'Dvd Calendar'!$E$1561*1000000000+ISNUMBER('Dvd Calendar'!$E$1564)*100000000+('Dvd Calendar'!$E$1566=SPECIAL_LBL)*10000000+(N('Dvd Calendar'!$E$1560)&gt;0)*(N('Dvd Calendar'!$E$1560)&lt;=VAL_SERIAL)*1000000+1*1000+1))</f>
        <v/>
      </c>
      <c r="EF160" s="121">
        <f>IF(N('Dvd Calendar'!$F$1561)=0,"",IF(('Dvd Calendar'!$F$1561&gt;=GRID_FROM)*('Dvd Calendar'!$F$1561&lt;=GRID_TO)*((('Dvd Calendar'!$F$1561&lt;=VAL_DATE)+(COUNTIF('Dvd Calendar'!$E$1568:$AR$1568,'Dvd Calendar'!$F$1561)=0))&gt;0)=0,"",'Dvd Calendar'!$F$1561*1000000000+ISNUMBER('Dvd Calendar'!$F$1564)*100000000+('Dvd Calendar'!$F$1566=SPECIAL_LBL)*10000000+(N('Dvd Calendar'!$F$1560)&gt;0)*(N('Dvd Calendar'!$F$1560)&lt;=VAL_SERIAL)*1000000+1*1000+2))</f>
        <v/>
      </c>
      <c r="EG160" s="121">
        <f>IF(N('Dvd Calendar'!$G$1561)=0,"",IF(('Dvd Calendar'!$G$1561&gt;=GRID_FROM)*('Dvd Calendar'!$G$1561&lt;=GRID_TO)*((('Dvd Calendar'!$G$1561&lt;=VAL_DATE)+(COUNTIF('Dvd Calendar'!$E$1568:$AR$1568,'Dvd Calendar'!$G$1561)=0))&gt;0)=0,"",'Dvd Calendar'!$G$1561*1000000000+ISNUMBER('Dvd Calendar'!$G$1564)*100000000+('Dvd Calendar'!$G$1566=SPECIAL_LBL)*10000000+(N('Dvd Calendar'!$G$1560)&gt;0)*(N('Dvd Calendar'!$G$1560)&lt;=VAL_SERIAL)*1000000+1*1000+3))</f>
        <v/>
      </c>
      <c r="EH160" s="121">
        <f>IF(N('Dvd Calendar'!$H$1561)=0,"",IF(('Dvd Calendar'!$H$1561&gt;=GRID_FROM)*('Dvd Calendar'!$H$1561&lt;=GRID_TO)*((('Dvd Calendar'!$H$1561&lt;=VAL_DATE)+(COUNTIF('Dvd Calendar'!$E$1568:$AR$1568,'Dvd Calendar'!$H$1561)=0))&gt;0)=0,"",'Dvd Calendar'!$H$1561*1000000000+ISNUMBER('Dvd Calendar'!$H$1564)*100000000+('Dvd Calendar'!$H$1566=SPECIAL_LBL)*10000000+(N('Dvd Calendar'!$H$1560)&gt;0)*(N('Dvd Calendar'!$H$1560)&lt;=VAL_SERIAL)*1000000+1*1000+4))</f>
        <v/>
      </c>
      <c r="EI160" s="121">
        <f>IF(N('Dvd Calendar'!$I$1561)=0,"",IF(('Dvd Calendar'!$I$1561&gt;=GRID_FROM)*('Dvd Calendar'!$I$1561&lt;=GRID_TO)*((('Dvd Calendar'!$I$1561&lt;=VAL_DATE)+(COUNTIF('Dvd Calendar'!$E$1568:$AR$1568,'Dvd Calendar'!$I$1561)=0))&gt;0)=0,"",'Dvd Calendar'!$I$1561*1000000000+ISNUMBER('Dvd Calendar'!$I$1564)*100000000+('Dvd Calendar'!$I$1566=SPECIAL_LBL)*10000000+(N('Dvd Calendar'!$I$1560)&gt;0)*(N('Dvd Calendar'!$I$1560)&lt;=VAL_SERIAL)*1000000+1*1000+5))</f>
        <v/>
      </c>
      <c r="EJ160" s="121">
        <f>IF(N('Dvd Calendar'!$J$1561)=0,"",IF(('Dvd Calendar'!$J$1561&gt;=GRID_FROM)*('Dvd Calendar'!$J$1561&lt;=GRID_TO)*((('Dvd Calendar'!$J$1561&lt;=VAL_DATE)+(COUNTIF('Dvd Calendar'!$E$1568:$AR$1568,'Dvd Calendar'!$J$1561)=0))&gt;0)=0,"",'Dvd Calendar'!$J$1561*1000000000+ISNUMBER('Dvd Calendar'!$J$1564)*100000000+('Dvd Calendar'!$J$1566=SPECIAL_LBL)*10000000+(N('Dvd Calendar'!$J$1560)&gt;0)*(N('Dvd Calendar'!$J$1560)&lt;=VAL_SERIAL)*1000000+1*1000+6))</f>
        <v/>
      </c>
      <c r="EK160" s="121">
        <f>IF(N('Dvd Calendar'!$K$1561)=0,"",IF(('Dvd Calendar'!$K$1561&gt;=GRID_FROM)*('Dvd Calendar'!$K$1561&lt;=GRID_TO)*((('Dvd Calendar'!$K$1561&lt;=VAL_DATE)+(COUNTIF('Dvd Calendar'!$E$1568:$AR$1568,'Dvd Calendar'!$K$1561)=0))&gt;0)=0,"",'Dvd Calendar'!$K$1561*1000000000+ISNUMBER('Dvd Calendar'!$K$1564)*100000000+('Dvd Calendar'!$K$1566=SPECIAL_LBL)*10000000+(N('Dvd Calendar'!$K$1560)&gt;0)*(N('Dvd Calendar'!$K$1560)&lt;=VAL_SERIAL)*1000000+1*1000+7))</f>
        <v/>
      </c>
      <c r="EL160" s="121">
        <f>IF(N('Dvd Calendar'!$L$1561)=0,"",IF(('Dvd Calendar'!$L$1561&gt;=GRID_FROM)*('Dvd Calendar'!$L$1561&lt;=GRID_TO)*((('Dvd Calendar'!$L$1561&lt;=VAL_DATE)+(COUNTIF('Dvd Calendar'!$E$1568:$AR$1568,'Dvd Calendar'!$L$1561)=0))&gt;0)=0,"",'Dvd Calendar'!$L$1561*1000000000+ISNUMBER('Dvd Calendar'!$L$1564)*100000000+('Dvd Calendar'!$L$1566=SPECIAL_LBL)*10000000+(N('Dvd Calendar'!$L$1560)&gt;0)*(N('Dvd Calendar'!$L$1560)&lt;=VAL_SERIAL)*1000000+1*1000+8))</f>
        <v/>
      </c>
      <c r="EM160" s="121">
        <f>IF(N('Dvd Calendar'!$M$1561)=0,"",IF(('Dvd Calendar'!$M$1561&gt;=GRID_FROM)*('Dvd Calendar'!$M$1561&lt;=GRID_TO)*((('Dvd Calendar'!$M$1561&lt;=VAL_DATE)+(COUNTIF('Dvd Calendar'!$E$1568:$AR$1568,'Dvd Calendar'!$M$1561)=0))&gt;0)=0,"",'Dvd Calendar'!$M$1561*1000000000+ISNUMBER('Dvd Calendar'!$M$1564)*100000000+('Dvd Calendar'!$M$1566=SPECIAL_LBL)*10000000+(N('Dvd Calendar'!$M$1560)&gt;0)*(N('Dvd Calendar'!$M$1560)&lt;=VAL_SERIAL)*1000000+1*1000+9))</f>
        <v/>
      </c>
      <c r="EN160" s="121">
        <f>IF(N('Dvd Calendar'!$N$1561)=0,"",IF(('Dvd Calendar'!$N$1561&gt;=GRID_FROM)*('Dvd Calendar'!$N$1561&lt;=GRID_TO)*((('Dvd Calendar'!$N$1561&lt;=VAL_DATE)+(COUNTIF('Dvd Calendar'!$E$1568:$AR$1568,'Dvd Calendar'!$N$1561)=0))&gt;0)=0,"",'Dvd Calendar'!$N$1561*1000000000+ISNUMBER('Dvd Calendar'!$N$1564)*100000000+('Dvd Calendar'!$N$1566=SPECIAL_LBL)*10000000+(N('Dvd Calendar'!$N$1560)&gt;0)*(N('Dvd Calendar'!$N$1560)&lt;=VAL_SERIAL)*1000000+1*1000+10))</f>
        <v/>
      </c>
      <c r="EO160" s="121">
        <f>IF(N('Dvd Calendar'!$O$1561)=0,"",IF(('Dvd Calendar'!$O$1561&gt;=GRID_FROM)*('Dvd Calendar'!$O$1561&lt;=GRID_TO)*((('Dvd Calendar'!$O$1561&lt;=VAL_DATE)+(COUNTIF('Dvd Calendar'!$E$1568:$AR$1568,'Dvd Calendar'!$O$1561)=0))&gt;0)=0,"",'Dvd Calendar'!$O$1561*1000000000+ISNUMBER('Dvd Calendar'!$O$1564)*100000000+('Dvd Calendar'!$O$1566=SPECIAL_LBL)*10000000+(N('Dvd Calendar'!$O$1560)&gt;0)*(N('Dvd Calendar'!$O$1560)&lt;=VAL_SERIAL)*1000000+1*1000+11))</f>
        <v/>
      </c>
      <c r="EP160" s="121">
        <f>IF(N('Dvd Calendar'!$P$1561)=0,"",IF(('Dvd Calendar'!$P$1561&gt;=GRID_FROM)*('Dvd Calendar'!$P$1561&lt;=GRID_TO)*((('Dvd Calendar'!$P$1561&lt;=VAL_DATE)+(COUNTIF('Dvd Calendar'!$E$1568:$AR$1568,'Dvd Calendar'!$P$1561)=0))&gt;0)=0,"",'Dvd Calendar'!$P$1561*1000000000+ISNUMBER('Dvd Calendar'!$P$1564)*100000000+('Dvd Calendar'!$P$1566=SPECIAL_LBL)*10000000+(N('Dvd Calendar'!$P$1560)&gt;0)*(N('Dvd Calendar'!$P$1560)&lt;=VAL_SERIAL)*1000000+1*1000+12))</f>
        <v/>
      </c>
      <c r="EQ160" s="121">
        <f>IF(N('Dvd Calendar'!$Q$1561)=0,"",IF(('Dvd Calendar'!$Q$1561&gt;=GRID_FROM)*('Dvd Calendar'!$Q$1561&lt;=GRID_TO)*((('Dvd Calendar'!$Q$1561&lt;=VAL_DATE)+(COUNTIF('Dvd Calendar'!$E$1568:$AR$1568,'Dvd Calendar'!$Q$1561)=0))&gt;0)=0,"",'Dvd Calendar'!$Q$1561*1000000000+ISNUMBER('Dvd Calendar'!$Q$1564)*100000000+('Dvd Calendar'!$Q$1566=SPECIAL_LBL)*10000000+(N('Dvd Calendar'!$Q$1560)&gt;0)*(N('Dvd Calendar'!$Q$1560)&lt;=VAL_SERIAL)*1000000+1*1000+13))</f>
        <v/>
      </c>
      <c r="ER160" s="121">
        <f>IF(N('Dvd Calendar'!$R$1561)=0,"",IF(('Dvd Calendar'!$R$1561&gt;=GRID_FROM)*('Dvd Calendar'!$R$1561&lt;=GRID_TO)*((('Dvd Calendar'!$R$1561&lt;=VAL_DATE)+(COUNTIF('Dvd Calendar'!$E$1568:$AR$1568,'Dvd Calendar'!$R$1561)=0))&gt;0)=0,"",'Dvd Calendar'!$R$1561*1000000000+ISNUMBER('Dvd Calendar'!$R$1564)*100000000+('Dvd Calendar'!$R$1566=SPECIAL_LBL)*10000000+(N('Dvd Calendar'!$R$1560)&gt;0)*(N('Dvd Calendar'!$R$1560)&lt;=VAL_SERIAL)*1000000+1*1000+14))</f>
        <v/>
      </c>
      <c r="ES160" s="121">
        <f>IF(N('Dvd Calendar'!$S$1561)=0,"",IF(('Dvd Calendar'!$S$1561&gt;=GRID_FROM)*('Dvd Calendar'!$S$1561&lt;=GRID_TO)*((('Dvd Calendar'!$S$1561&lt;=VAL_DATE)+(COUNTIF('Dvd Calendar'!$E$1568:$AR$1568,'Dvd Calendar'!$S$1561)=0))&gt;0)=0,"",'Dvd Calendar'!$S$1561*1000000000+ISNUMBER('Dvd Calendar'!$S$1564)*100000000+('Dvd Calendar'!$S$1566=SPECIAL_LBL)*10000000+(N('Dvd Calendar'!$S$1560)&gt;0)*(N('Dvd Calendar'!$S$1560)&lt;=VAL_SERIAL)*1000000+1*1000+15))</f>
        <v/>
      </c>
      <c r="ET160" s="121">
        <f>IF(N('Dvd Calendar'!$T$1561)=0,"",IF(('Dvd Calendar'!$T$1561&gt;=GRID_FROM)*('Dvd Calendar'!$T$1561&lt;=GRID_TO)*((('Dvd Calendar'!$T$1561&lt;=VAL_DATE)+(COUNTIF('Dvd Calendar'!$E$1568:$AR$1568,'Dvd Calendar'!$T$1561)=0))&gt;0)=0,"",'Dvd Calendar'!$T$1561*1000000000+ISNUMBER('Dvd Calendar'!$T$1564)*100000000+('Dvd Calendar'!$T$1566=SPECIAL_LBL)*10000000+(N('Dvd Calendar'!$T$1560)&gt;0)*(N('Dvd Calendar'!$T$1560)&lt;=VAL_SERIAL)*1000000+1*1000+16))</f>
        <v/>
      </c>
      <c r="EU160" s="121">
        <f>IF(N('Dvd Calendar'!$U$1561)=0,"",IF(('Dvd Calendar'!$U$1561&gt;=GRID_FROM)*('Dvd Calendar'!$U$1561&lt;=GRID_TO)*((('Dvd Calendar'!$U$1561&lt;=VAL_DATE)+(COUNTIF('Dvd Calendar'!$E$1568:$AR$1568,'Dvd Calendar'!$U$1561)=0))&gt;0)=0,"",'Dvd Calendar'!$U$1561*1000000000+ISNUMBER('Dvd Calendar'!$U$1564)*100000000+('Dvd Calendar'!$U$1566=SPECIAL_LBL)*10000000+(N('Dvd Calendar'!$U$1560)&gt;0)*(N('Dvd Calendar'!$U$1560)&lt;=VAL_SERIAL)*1000000+1*1000+17))</f>
        <v/>
      </c>
      <c r="EV160" s="121">
        <f>IF(N('Dvd Calendar'!$V$1561)=0,"",IF(('Dvd Calendar'!$V$1561&gt;=GRID_FROM)*('Dvd Calendar'!$V$1561&lt;=GRID_TO)*((('Dvd Calendar'!$V$1561&lt;=VAL_DATE)+(COUNTIF('Dvd Calendar'!$E$1568:$AR$1568,'Dvd Calendar'!$V$1561)=0))&gt;0)=0,"",'Dvd Calendar'!$V$1561*1000000000+ISNUMBER('Dvd Calendar'!$V$1564)*100000000+('Dvd Calendar'!$V$1566=SPECIAL_LBL)*10000000+(N('Dvd Calendar'!$V$1560)&gt;0)*(N('Dvd Calendar'!$V$1560)&lt;=VAL_SERIAL)*1000000+1*1000+18))</f>
        <v/>
      </c>
      <c r="EW160" s="121">
        <f>IF(N('Dvd Calendar'!$W$1561)=0,"",IF(('Dvd Calendar'!$W$1561&gt;=GRID_FROM)*('Dvd Calendar'!$W$1561&lt;=GRID_TO)*((('Dvd Calendar'!$W$1561&lt;=VAL_DATE)+(COUNTIF('Dvd Calendar'!$E$1568:$AR$1568,'Dvd Calendar'!$W$1561)=0))&gt;0)=0,"",'Dvd Calendar'!$W$1561*1000000000+ISNUMBER('Dvd Calendar'!$W$1564)*100000000+('Dvd Calendar'!$W$1566=SPECIAL_LBL)*10000000+(N('Dvd Calendar'!$W$1560)&gt;0)*(N('Dvd Calendar'!$W$1560)&lt;=VAL_SERIAL)*1000000+1*1000+19))</f>
        <v/>
      </c>
      <c r="EX160" s="121">
        <f>IF(N('Dvd Calendar'!$X$1561)=0,"",IF(('Dvd Calendar'!$X$1561&gt;=GRID_FROM)*('Dvd Calendar'!$X$1561&lt;=GRID_TO)*((('Dvd Calendar'!$X$1561&lt;=VAL_DATE)+(COUNTIF('Dvd Calendar'!$E$1568:$AR$1568,'Dvd Calendar'!$X$1561)=0))&gt;0)=0,"",'Dvd Calendar'!$X$1561*1000000000+ISNUMBER('Dvd Calendar'!$X$1564)*100000000+('Dvd Calendar'!$X$1566=SPECIAL_LBL)*10000000+(N('Dvd Calendar'!$X$1560)&gt;0)*(N('Dvd Calendar'!$X$1560)&lt;=VAL_SERIAL)*1000000+1*1000+20))</f>
        <v/>
      </c>
      <c r="EY160" s="121">
        <f>IF(N('Dvd Calendar'!$Y$1561)=0,"",IF(('Dvd Calendar'!$Y$1561&gt;=GRID_FROM)*('Dvd Calendar'!$Y$1561&lt;=GRID_TO)*((('Dvd Calendar'!$Y$1561&lt;=VAL_DATE)+(COUNTIF('Dvd Calendar'!$E$1568:$AR$1568,'Dvd Calendar'!$Y$1561)=0))&gt;0)=0,"",'Dvd Calendar'!$Y$1561*1000000000+ISNUMBER('Dvd Calendar'!$Y$1564)*100000000+('Dvd Calendar'!$Y$1566=SPECIAL_LBL)*10000000+(N('Dvd Calendar'!$Y$1560)&gt;0)*(N('Dvd Calendar'!$Y$1560)&lt;=VAL_SERIAL)*1000000+1*1000+21))</f>
        <v/>
      </c>
      <c r="EZ160" s="121">
        <f>IF(N('Dvd Calendar'!$Z$1561)=0,"",IF(('Dvd Calendar'!$Z$1561&gt;=GRID_FROM)*('Dvd Calendar'!$Z$1561&lt;=GRID_TO)*((('Dvd Calendar'!$Z$1561&lt;=VAL_DATE)+(COUNTIF('Dvd Calendar'!$E$1568:$AR$1568,'Dvd Calendar'!$Z$1561)=0))&gt;0)=0,"",'Dvd Calendar'!$Z$1561*1000000000+ISNUMBER('Dvd Calendar'!$Z$1564)*100000000+('Dvd Calendar'!$Z$1566=SPECIAL_LBL)*10000000+(N('Dvd Calendar'!$Z$1560)&gt;0)*(N('Dvd Calendar'!$Z$1560)&lt;=VAL_SERIAL)*1000000+1*1000+22))</f>
        <v/>
      </c>
      <c r="FA160" s="121">
        <f>IF(N('Dvd Calendar'!$AA$1561)=0,"",IF(('Dvd Calendar'!$AA$1561&gt;=GRID_FROM)*('Dvd Calendar'!$AA$1561&lt;=GRID_TO)*((('Dvd Calendar'!$AA$1561&lt;=VAL_DATE)+(COUNTIF('Dvd Calendar'!$E$1568:$AR$1568,'Dvd Calendar'!$AA$1561)=0))&gt;0)=0,"",'Dvd Calendar'!$AA$1561*1000000000+ISNUMBER('Dvd Calendar'!$AA$1564)*100000000+('Dvd Calendar'!$AA$1566=SPECIAL_LBL)*10000000+(N('Dvd Calendar'!$AA$1560)&gt;0)*(N('Dvd Calendar'!$AA$1560)&lt;=VAL_SERIAL)*1000000+1*1000+23))</f>
        <v/>
      </c>
      <c r="FB160" s="121">
        <f>IF(N('Dvd Calendar'!$AB$1561)=0,"",IF(('Dvd Calendar'!$AB$1561&gt;=GRID_FROM)*('Dvd Calendar'!$AB$1561&lt;=GRID_TO)*((('Dvd Calendar'!$AB$1561&lt;=VAL_DATE)+(COUNTIF('Dvd Calendar'!$E$1568:$AR$1568,'Dvd Calendar'!$AB$1561)=0))&gt;0)=0,"",'Dvd Calendar'!$AB$1561*1000000000+ISNUMBER('Dvd Calendar'!$AB$1564)*100000000+('Dvd Calendar'!$AB$1566=SPECIAL_LBL)*10000000+(N('Dvd Calendar'!$AB$1560)&gt;0)*(N('Dvd Calendar'!$AB$1560)&lt;=VAL_SERIAL)*1000000+1*1000+24))</f>
        <v/>
      </c>
      <c r="FC160" s="121">
        <f>IF(N('Dvd Calendar'!$AC$1561)=0,"",IF(('Dvd Calendar'!$AC$1561&gt;=GRID_FROM)*('Dvd Calendar'!$AC$1561&lt;=GRID_TO)*((('Dvd Calendar'!$AC$1561&lt;=VAL_DATE)+(COUNTIF('Dvd Calendar'!$E$1568:$AR$1568,'Dvd Calendar'!$AC$1561)=0))&gt;0)=0,"",'Dvd Calendar'!$AC$1561*1000000000+ISNUMBER('Dvd Calendar'!$AC$1564)*100000000+('Dvd Calendar'!$AC$1566=SPECIAL_LBL)*10000000+(N('Dvd Calendar'!$AC$1560)&gt;0)*(N('Dvd Calendar'!$AC$1560)&lt;=VAL_SERIAL)*1000000+1*1000+25))</f>
        <v/>
      </c>
      <c r="FD160" s="121">
        <f>IF(N('Dvd Calendar'!$AD$1561)=0,"",IF(('Dvd Calendar'!$AD$1561&gt;=GRID_FROM)*('Dvd Calendar'!$AD$1561&lt;=GRID_TO)*((('Dvd Calendar'!$AD$1561&lt;=VAL_DATE)+(COUNTIF('Dvd Calendar'!$E$1568:$AR$1568,'Dvd Calendar'!$AD$1561)=0))&gt;0)=0,"",'Dvd Calendar'!$AD$1561*1000000000+ISNUMBER('Dvd Calendar'!$AD$1564)*100000000+('Dvd Calendar'!$AD$1566=SPECIAL_LBL)*10000000+(N('Dvd Calendar'!$AD$1560)&gt;0)*(N('Dvd Calendar'!$AD$1560)&lt;=VAL_SERIAL)*1000000+1*1000+26))</f>
        <v/>
      </c>
      <c r="FE160" s="121">
        <f>IF(N('Dvd Calendar'!$AE$1561)=0,"",IF(('Dvd Calendar'!$AE$1561&gt;=GRID_FROM)*('Dvd Calendar'!$AE$1561&lt;=GRID_TO)*((('Dvd Calendar'!$AE$1561&lt;=VAL_DATE)+(COUNTIF('Dvd Calendar'!$E$1568:$AR$1568,'Dvd Calendar'!$AE$1561)=0))&gt;0)=0,"",'Dvd Calendar'!$AE$1561*1000000000+ISNUMBER('Dvd Calendar'!$AE$1564)*100000000+('Dvd Calendar'!$AE$1566=SPECIAL_LBL)*10000000+(N('Dvd Calendar'!$AE$1560)&gt;0)*(N('Dvd Calendar'!$AE$1560)&lt;=VAL_SERIAL)*1000000+1*1000+27))</f>
        <v/>
      </c>
      <c r="FF160" s="121">
        <f>IF(N('Dvd Calendar'!$AF$1561)=0,"",IF(('Dvd Calendar'!$AF$1561&gt;=GRID_FROM)*('Dvd Calendar'!$AF$1561&lt;=GRID_TO)*((('Dvd Calendar'!$AF$1561&lt;=VAL_DATE)+(COUNTIF('Dvd Calendar'!$E$1568:$AR$1568,'Dvd Calendar'!$AF$1561)=0))&gt;0)=0,"",'Dvd Calendar'!$AF$1561*1000000000+ISNUMBER('Dvd Calendar'!$AF$1564)*100000000+('Dvd Calendar'!$AF$1566=SPECIAL_LBL)*10000000+(N('Dvd Calendar'!$AF$1560)&gt;0)*(N('Dvd Calendar'!$AF$1560)&lt;=VAL_SERIAL)*1000000+1*1000+28))</f>
        <v/>
      </c>
      <c r="FG160" s="121">
        <f>IF(N('Dvd Calendar'!$AG$1561)=0,"",IF(('Dvd Calendar'!$AG$1561&gt;=GRID_FROM)*('Dvd Calendar'!$AG$1561&lt;=GRID_TO)*((('Dvd Calendar'!$AG$1561&lt;=VAL_DATE)+(COUNTIF('Dvd Calendar'!$E$1568:$AR$1568,'Dvd Calendar'!$AG$1561)=0))&gt;0)=0,"",'Dvd Calendar'!$AG$1561*1000000000+ISNUMBER('Dvd Calendar'!$AG$1564)*100000000+('Dvd Calendar'!$AG$1566=SPECIAL_LBL)*10000000+(N('Dvd Calendar'!$AG$1560)&gt;0)*(N('Dvd Calendar'!$AG$1560)&lt;=VAL_SERIAL)*1000000+1*1000+29))</f>
        <v/>
      </c>
      <c r="FH160" s="121">
        <f>IF(N('Dvd Calendar'!$AH$1561)=0,"",IF(('Dvd Calendar'!$AH$1561&gt;=GRID_FROM)*('Dvd Calendar'!$AH$1561&lt;=GRID_TO)*((('Dvd Calendar'!$AH$1561&lt;=VAL_DATE)+(COUNTIF('Dvd Calendar'!$E$1568:$AR$1568,'Dvd Calendar'!$AH$1561)=0))&gt;0)=0,"",'Dvd Calendar'!$AH$1561*1000000000+ISNUMBER('Dvd Calendar'!$AH$1564)*100000000+('Dvd Calendar'!$AH$1566=SPECIAL_LBL)*10000000+(N('Dvd Calendar'!$AH$1560)&gt;0)*(N('Dvd Calendar'!$AH$1560)&lt;=VAL_SERIAL)*1000000+1*1000+30))</f>
        <v/>
      </c>
      <c r="FI160" s="121">
        <f>IF(N('Dvd Calendar'!$AI$1561)=0,"",IF(('Dvd Calendar'!$AI$1561&gt;=GRID_FROM)*('Dvd Calendar'!$AI$1561&lt;=GRID_TO)*((('Dvd Calendar'!$AI$1561&lt;=VAL_DATE)+(COUNTIF('Dvd Calendar'!$E$1568:$AR$1568,'Dvd Calendar'!$AI$1561)=0))&gt;0)=0,"",'Dvd Calendar'!$AI$1561*1000000000+ISNUMBER('Dvd Calendar'!$AI$1564)*100000000+('Dvd Calendar'!$AI$1566=SPECIAL_LBL)*10000000+(N('Dvd Calendar'!$AI$1560)&gt;0)*(N('Dvd Calendar'!$AI$1560)&lt;=VAL_SERIAL)*1000000+1*1000+31))</f>
        <v/>
      </c>
      <c r="FJ160" s="121">
        <f>IF(N('Dvd Calendar'!$AJ$1561)=0,"",IF(('Dvd Calendar'!$AJ$1561&gt;=GRID_FROM)*('Dvd Calendar'!$AJ$1561&lt;=GRID_TO)*((('Dvd Calendar'!$AJ$1561&lt;=VAL_DATE)+(COUNTIF('Dvd Calendar'!$E$1568:$AR$1568,'Dvd Calendar'!$AJ$1561)=0))&gt;0)=0,"",'Dvd Calendar'!$AJ$1561*1000000000+ISNUMBER('Dvd Calendar'!$AJ$1564)*100000000+('Dvd Calendar'!$AJ$1566=SPECIAL_LBL)*10000000+(N('Dvd Calendar'!$AJ$1560)&gt;0)*(N('Dvd Calendar'!$AJ$1560)&lt;=VAL_SERIAL)*1000000+1*1000+32))</f>
        <v/>
      </c>
      <c r="FK160" s="121">
        <f>IF(N('Dvd Calendar'!$AK$1561)=0,"",IF(('Dvd Calendar'!$AK$1561&gt;=GRID_FROM)*('Dvd Calendar'!$AK$1561&lt;=GRID_TO)*((('Dvd Calendar'!$AK$1561&lt;=VAL_DATE)+(COUNTIF('Dvd Calendar'!$E$1568:$AR$1568,'Dvd Calendar'!$AK$1561)=0))&gt;0)=0,"",'Dvd Calendar'!$AK$1561*1000000000+ISNUMBER('Dvd Calendar'!$AK$1564)*100000000+('Dvd Calendar'!$AK$1566=SPECIAL_LBL)*10000000+(N('Dvd Calendar'!$AK$1560)&gt;0)*(N('Dvd Calendar'!$AK$1560)&lt;=VAL_SERIAL)*1000000+1*1000+33))</f>
        <v/>
      </c>
      <c r="FL160" s="121">
        <f>IF(N('Dvd Calendar'!$AL$1561)=0,"",IF(('Dvd Calendar'!$AL$1561&gt;=GRID_FROM)*('Dvd Calendar'!$AL$1561&lt;=GRID_TO)*((('Dvd Calendar'!$AL$1561&lt;=VAL_DATE)+(COUNTIF('Dvd Calendar'!$E$1568:$AR$1568,'Dvd Calendar'!$AL$1561)=0))&gt;0)=0,"",'Dvd Calendar'!$AL$1561*1000000000+ISNUMBER('Dvd Calendar'!$AL$1564)*100000000+('Dvd Calendar'!$AL$1566=SPECIAL_LBL)*10000000+(N('Dvd Calendar'!$AL$1560)&gt;0)*(N('Dvd Calendar'!$AL$1560)&lt;=VAL_SERIAL)*1000000+1*1000+34))</f>
        <v/>
      </c>
      <c r="FM160" s="121">
        <f>IF(N('Dvd Calendar'!$AM$1561)=0,"",IF(('Dvd Calendar'!$AM$1561&gt;=GRID_FROM)*('Dvd Calendar'!$AM$1561&lt;=GRID_TO)*((('Dvd Calendar'!$AM$1561&lt;=VAL_DATE)+(COUNTIF('Dvd Calendar'!$E$1568:$AR$1568,'Dvd Calendar'!$AM$1561)=0))&gt;0)=0,"",'Dvd Calendar'!$AM$1561*1000000000+ISNUMBER('Dvd Calendar'!$AM$1564)*100000000+('Dvd Calendar'!$AM$1566=SPECIAL_LBL)*10000000+(N('Dvd Calendar'!$AM$1560)&gt;0)*(N('Dvd Calendar'!$AM$1560)&lt;=VAL_SERIAL)*1000000+1*1000+35))</f>
        <v/>
      </c>
      <c r="FN160" s="121">
        <f>IF(N('Dvd Calendar'!$AN$1561)=0,"",IF(('Dvd Calendar'!$AN$1561&gt;=GRID_FROM)*('Dvd Calendar'!$AN$1561&lt;=GRID_TO)*((('Dvd Calendar'!$AN$1561&lt;=VAL_DATE)+(COUNTIF('Dvd Calendar'!$E$1568:$AR$1568,'Dvd Calendar'!$AN$1561)=0))&gt;0)=0,"",'Dvd Calendar'!$AN$1561*1000000000+ISNUMBER('Dvd Calendar'!$AN$1564)*100000000+('Dvd Calendar'!$AN$1566=SPECIAL_LBL)*10000000+(N('Dvd Calendar'!$AN$1560)&gt;0)*(N('Dvd Calendar'!$AN$1560)&lt;=VAL_SERIAL)*1000000+1*1000+36))</f>
        <v/>
      </c>
      <c r="FO160" s="121">
        <f>IF(N('Dvd Calendar'!$AO$1561)=0,"",IF(('Dvd Calendar'!$AO$1561&gt;=GRID_FROM)*('Dvd Calendar'!$AO$1561&lt;=GRID_TO)*((('Dvd Calendar'!$AO$1561&lt;=VAL_DATE)+(COUNTIF('Dvd Calendar'!$E$1568:$AR$1568,'Dvd Calendar'!$AO$1561)=0))&gt;0)=0,"",'Dvd Calendar'!$AO$1561*1000000000+ISNUMBER('Dvd Calendar'!$AO$1564)*100000000+('Dvd Calendar'!$AO$1566=SPECIAL_LBL)*10000000+(N('Dvd Calendar'!$AO$1560)&gt;0)*(N('Dvd Calendar'!$AO$1560)&lt;=VAL_SERIAL)*1000000+1*1000+37))</f>
        <v/>
      </c>
      <c r="FP160" s="121">
        <f>IF(N('Dvd Calendar'!$AP$1561)=0,"",IF(('Dvd Calendar'!$AP$1561&gt;=GRID_FROM)*('Dvd Calendar'!$AP$1561&lt;=GRID_TO)*((('Dvd Calendar'!$AP$1561&lt;=VAL_DATE)+(COUNTIF('Dvd Calendar'!$E$1568:$AR$1568,'Dvd Calendar'!$AP$1561)=0))&gt;0)=0,"",'Dvd Calendar'!$AP$1561*1000000000+ISNUMBER('Dvd Calendar'!$AP$1564)*100000000+('Dvd Calendar'!$AP$1566=SPECIAL_LBL)*10000000+(N('Dvd Calendar'!$AP$1560)&gt;0)*(N('Dvd Calendar'!$AP$1560)&lt;=VAL_SERIAL)*1000000+1*1000+38))</f>
        <v/>
      </c>
      <c r="FQ160" s="121">
        <f>IF(N('Dvd Calendar'!$AQ$1561)=0,"",IF(('Dvd Calendar'!$AQ$1561&gt;=GRID_FROM)*('Dvd Calendar'!$AQ$1561&lt;=GRID_TO)*((('Dvd Calendar'!$AQ$1561&lt;=VAL_DATE)+(COUNTIF('Dvd Calendar'!$E$1568:$AR$1568,'Dvd Calendar'!$AQ$1561)=0))&gt;0)=0,"",'Dvd Calendar'!$AQ$1561*1000000000+ISNUMBER('Dvd Calendar'!$AQ$1564)*100000000+('Dvd Calendar'!$AQ$1566=SPECIAL_LBL)*10000000+(N('Dvd Calendar'!$AQ$1560)&gt;0)*(N('Dvd Calendar'!$AQ$1560)&lt;=VAL_SERIAL)*1000000+1*1000+39))</f>
        <v/>
      </c>
      <c r="FR160" s="121">
        <f>IF(N('Dvd Calendar'!$AR$1561)=0,"",IF(('Dvd Calendar'!$AR$1561&gt;=GRID_FROM)*('Dvd Calendar'!$AR$1561&lt;=GRID_TO)*((('Dvd Calendar'!$AR$1561&lt;=VAL_DATE)+(COUNTIF('Dvd Calendar'!$E$1568:$AR$1568,'Dvd Calendar'!$AR$1561)=0))&gt;0)=0,"",'Dvd Calendar'!$AR$1561*1000000000+ISNUMBER('Dvd Calendar'!$AR$1564)*100000000+('Dvd Calendar'!$AR$1566=SPECIAL_LBL)*10000000+(N('Dvd Calendar'!$AR$1560)&gt;0)*(N('Dvd Calendar'!$AR$1560)&lt;=VAL_SERIAL)*1000000+1*1000+40))</f>
        <v/>
      </c>
      <c r="FS160" s="121">
        <f>IF(N('Dvd Calendar'!$E$1568)=0,"",IF(('Dvd Calendar'!$E$1568&gt;=GRID_FROM)*('Dvd Calendar'!$E$1568&lt;=GRID_TO)*('Dvd Calendar'!$E$1568&gt;VAL_DATE)=0,"",'Dvd Calendar'!$E$1568*1000000000+ISNUMBER('Dvd Calendar'!$E$1569)*100000000+0*10000000+(N('Dvd Calendar'!$E$1567)&gt;0)*(N('Dvd Calendar'!$E$1567)&lt;=VAL_SERIAL)*1000000+1*1000+41))</f>
        <v/>
      </c>
      <c r="FT160" s="121">
        <f>IF(N('Dvd Calendar'!$F$1568)=0,"",IF(('Dvd Calendar'!$F$1568&gt;=GRID_FROM)*('Dvd Calendar'!$F$1568&lt;=GRID_TO)*('Dvd Calendar'!$F$1568&gt;VAL_DATE)=0,"",'Dvd Calendar'!$F$1568*1000000000+ISNUMBER('Dvd Calendar'!$F$1569)*100000000+0*10000000+(N('Dvd Calendar'!$F$1567)&gt;0)*(N('Dvd Calendar'!$F$1567)&lt;=VAL_SERIAL)*1000000+1*1000+42))</f>
        <v/>
      </c>
      <c r="FU160" s="121">
        <f>IF(N('Dvd Calendar'!$G$1568)=0,"",IF(('Dvd Calendar'!$G$1568&gt;=GRID_FROM)*('Dvd Calendar'!$G$1568&lt;=GRID_TO)*('Dvd Calendar'!$G$1568&gt;VAL_DATE)=0,"",'Dvd Calendar'!$G$1568*1000000000+ISNUMBER('Dvd Calendar'!$G$1569)*100000000+0*10000000+(N('Dvd Calendar'!$G$1567)&gt;0)*(N('Dvd Calendar'!$G$1567)&lt;=VAL_SERIAL)*1000000+1*1000+43))</f>
        <v/>
      </c>
      <c r="FV160" s="121">
        <f>IF(N('Dvd Calendar'!$H$1568)=0,"",IF(('Dvd Calendar'!$H$1568&gt;=GRID_FROM)*('Dvd Calendar'!$H$1568&lt;=GRID_TO)*('Dvd Calendar'!$H$1568&gt;VAL_DATE)=0,"",'Dvd Calendar'!$H$1568*1000000000+ISNUMBER('Dvd Calendar'!$H$1569)*100000000+0*10000000+(N('Dvd Calendar'!$H$1567)&gt;0)*(N('Dvd Calendar'!$H$1567)&lt;=VAL_SERIAL)*1000000+1*1000+44))</f>
        <v/>
      </c>
      <c r="FW160" s="121">
        <f>IF(N('Dvd Calendar'!$I$1568)=0,"",IF(('Dvd Calendar'!$I$1568&gt;=GRID_FROM)*('Dvd Calendar'!$I$1568&lt;=GRID_TO)*('Dvd Calendar'!$I$1568&gt;VAL_DATE)=0,"",'Dvd Calendar'!$I$1568*1000000000+ISNUMBER('Dvd Calendar'!$I$1569)*100000000+0*10000000+(N('Dvd Calendar'!$I$1567)&gt;0)*(N('Dvd Calendar'!$I$1567)&lt;=VAL_SERIAL)*1000000+1*1000+45))</f>
        <v/>
      </c>
      <c r="FX160" s="121">
        <f>IF(N('Dvd Calendar'!$J$1568)=0,"",IF(('Dvd Calendar'!$J$1568&gt;=GRID_FROM)*('Dvd Calendar'!$J$1568&lt;=GRID_TO)*('Dvd Calendar'!$J$1568&gt;VAL_DATE)=0,"",'Dvd Calendar'!$J$1568*1000000000+ISNUMBER('Dvd Calendar'!$J$1569)*100000000+0*10000000+(N('Dvd Calendar'!$J$1567)&gt;0)*(N('Dvd Calendar'!$J$1567)&lt;=VAL_SERIAL)*1000000+1*1000+46))</f>
        <v/>
      </c>
      <c r="FY160" s="121">
        <f>IF(N('Dvd Calendar'!$K$1568)=0,"",IF(('Dvd Calendar'!$K$1568&gt;=GRID_FROM)*('Dvd Calendar'!$K$1568&lt;=GRID_TO)*('Dvd Calendar'!$K$1568&gt;VAL_DATE)=0,"",'Dvd Calendar'!$K$1568*1000000000+ISNUMBER('Dvd Calendar'!$K$1569)*100000000+0*10000000+(N('Dvd Calendar'!$K$1567)&gt;0)*(N('Dvd Calendar'!$K$1567)&lt;=VAL_SERIAL)*1000000+1*1000+47))</f>
        <v/>
      </c>
      <c r="FZ160" s="121">
        <f>IF(N('Dvd Calendar'!$L$1568)=0,"",IF(('Dvd Calendar'!$L$1568&gt;=GRID_FROM)*('Dvd Calendar'!$L$1568&lt;=GRID_TO)*('Dvd Calendar'!$L$1568&gt;VAL_DATE)=0,"",'Dvd Calendar'!$L$1568*1000000000+ISNUMBER('Dvd Calendar'!$L$1569)*100000000+0*10000000+(N('Dvd Calendar'!$L$1567)&gt;0)*(N('Dvd Calendar'!$L$1567)&lt;=VAL_SERIAL)*1000000+1*1000+48))</f>
        <v/>
      </c>
      <c r="GA160" s="121">
        <f>IF(N('Dvd Calendar'!$M$1568)=0,"",IF(('Dvd Calendar'!$M$1568&gt;=GRID_FROM)*('Dvd Calendar'!$M$1568&lt;=GRID_TO)*('Dvd Calendar'!$M$1568&gt;VAL_DATE)=0,"",'Dvd Calendar'!$M$1568*1000000000+ISNUMBER('Dvd Calendar'!$M$1569)*100000000+0*10000000+(N('Dvd Calendar'!$M$1567)&gt;0)*(N('Dvd Calendar'!$M$1567)&lt;=VAL_SERIAL)*1000000+1*1000+49))</f>
        <v/>
      </c>
      <c r="GB160" s="121">
        <f>IF(N('Dvd Calendar'!$N$1568)=0,"",IF(('Dvd Calendar'!$N$1568&gt;=GRID_FROM)*('Dvd Calendar'!$N$1568&lt;=GRID_TO)*('Dvd Calendar'!$N$1568&gt;VAL_DATE)=0,"",'Dvd Calendar'!$N$1568*1000000000+ISNUMBER('Dvd Calendar'!$N$1569)*100000000+0*10000000+(N('Dvd Calendar'!$N$1567)&gt;0)*(N('Dvd Calendar'!$N$1567)&lt;=VAL_SERIAL)*1000000+1*1000+50))</f>
        <v/>
      </c>
      <c r="GC160" s="121">
        <f>IF(N('Dvd Calendar'!$O$1568)=0,"",IF(('Dvd Calendar'!$O$1568&gt;=GRID_FROM)*('Dvd Calendar'!$O$1568&lt;=GRID_TO)*('Dvd Calendar'!$O$1568&gt;VAL_DATE)=0,"",'Dvd Calendar'!$O$1568*1000000000+ISNUMBER('Dvd Calendar'!$O$1569)*100000000+0*10000000+(N('Dvd Calendar'!$O$1567)&gt;0)*(N('Dvd Calendar'!$O$1567)&lt;=VAL_SERIAL)*1000000+1*1000+51))</f>
        <v/>
      </c>
      <c r="GD160" s="121">
        <f>IF(N('Dvd Calendar'!$P$1568)=0,"",IF(('Dvd Calendar'!$P$1568&gt;=GRID_FROM)*('Dvd Calendar'!$P$1568&lt;=GRID_TO)*('Dvd Calendar'!$P$1568&gt;VAL_DATE)=0,"",'Dvd Calendar'!$P$1568*1000000000+ISNUMBER('Dvd Calendar'!$P$1569)*100000000+0*10000000+(N('Dvd Calendar'!$P$1567)&gt;0)*(N('Dvd Calendar'!$P$1567)&lt;=VAL_SERIAL)*1000000+1*1000+52))</f>
        <v/>
      </c>
      <c r="GE160" s="121">
        <f>IF(N('Dvd Calendar'!$Q$1568)=0,"",IF(('Dvd Calendar'!$Q$1568&gt;=GRID_FROM)*('Dvd Calendar'!$Q$1568&lt;=GRID_TO)*('Dvd Calendar'!$Q$1568&gt;VAL_DATE)=0,"",'Dvd Calendar'!$Q$1568*1000000000+ISNUMBER('Dvd Calendar'!$Q$1569)*100000000+0*10000000+(N('Dvd Calendar'!$Q$1567)&gt;0)*(N('Dvd Calendar'!$Q$1567)&lt;=VAL_SERIAL)*1000000+1*1000+53))</f>
        <v/>
      </c>
      <c r="GF160" s="121">
        <f>IF(N('Dvd Calendar'!$R$1568)=0,"",IF(('Dvd Calendar'!$R$1568&gt;=GRID_FROM)*('Dvd Calendar'!$R$1568&lt;=GRID_TO)*('Dvd Calendar'!$R$1568&gt;VAL_DATE)=0,"",'Dvd Calendar'!$R$1568*1000000000+ISNUMBER('Dvd Calendar'!$R$1569)*100000000+0*10000000+(N('Dvd Calendar'!$R$1567)&gt;0)*(N('Dvd Calendar'!$R$1567)&lt;=VAL_SERIAL)*1000000+1*1000+54))</f>
        <v/>
      </c>
      <c r="GG160" s="121">
        <f>IF(N('Dvd Calendar'!$S$1568)=0,"",IF(('Dvd Calendar'!$S$1568&gt;=GRID_FROM)*('Dvd Calendar'!$S$1568&lt;=GRID_TO)*('Dvd Calendar'!$S$1568&gt;VAL_DATE)=0,"",'Dvd Calendar'!$S$1568*1000000000+ISNUMBER('Dvd Calendar'!$S$1569)*100000000+0*10000000+(N('Dvd Calendar'!$S$1567)&gt;0)*(N('Dvd Calendar'!$S$1567)&lt;=VAL_SERIAL)*1000000+1*1000+55))</f>
        <v/>
      </c>
      <c r="GH160" s="121">
        <f>IF(N('Dvd Calendar'!$T$1568)=0,"",IF(('Dvd Calendar'!$T$1568&gt;=GRID_FROM)*('Dvd Calendar'!$T$1568&lt;=GRID_TO)*('Dvd Calendar'!$T$1568&gt;VAL_DATE)=0,"",'Dvd Calendar'!$T$1568*1000000000+ISNUMBER('Dvd Calendar'!$T$1569)*100000000+0*10000000+(N('Dvd Calendar'!$T$1567)&gt;0)*(N('Dvd Calendar'!$T$1567)&lt;=VAL_SERIAL)*1000000+1*1000+56))</f>
        <v/>
      </c>
      <c r="GI160" s="121">
        <f>IF(N('Dvd Calendar'!$U$1568)=0,"",IF(('Dvd Calendar'!$U$1568&gt;=GRID_FROM)*('Dvd Calendar'!$U$1568&lt;=GRID_TO)*('Dvd Calendar'!$U$1568&gt;VAL_DATE)=0,"",'Dvd Calendar'!$U$1568*1000000000+ISNUMBER('Dvd Calendar'!$U$1569)*100000000+0*10000000+(N('Dvd Calendar'!$U$1567)&gt;0)*(N('Dvd Calendar'!$U$1567)&lt;=VAL_SERIAL)*1000000+1*1000+57))</f>
        <v/>
      </c>
      <c r="GJ160" s="121">
        <f>IF(N('Dvd Calendar'!$V$1568)=0,"",IF(('Dvd Calendar'!$V$1568&gt;=GRID_FROM)*('Dvd Calendar'!$V$1568&lt;=GRID_TO)*('Dvd Calendar'!$V$1568&gt;VAL_DATE)=0,"",'Dvd Calendar'!$V$1568*1000000000+ISNUMBER('Dvd Calendar'!$V$1569)*100000000+0*10000000+(N('Dvd Calendar'!$V$1567)&gt;0)*(N('Dvd Calendar'!$V$1567)&lt;=VAL_SERIAL)*1000000+1*1000+58))</f>
        <v/>
      </c>
      <c r="GK160" s="121">
        <f>IF(N('Dvd Calendar'!$W$1568)=0,"",IF(('Dvd Calendar'!$W$1568&gt;=GRID_FROM)*('Dvd Calendar'!$W$1568&lt;=GRID_TO)*('Dvd Calendar'!$W$1568&gt;VAL_DATE)=0,"",'Dvd Calendar'!$W$1568*1000000000+ISNUMBER('Dvd Calendar'!$W$1569)*100000000+0*10000000+(N('Dvd Calendar'!$W$1567)&gt;0)*(N('Dvd Calendar'!$W$1567)&lt;=VAL_SERIAL)*1000000+1*1000+59))</f>
        <v/>
      </c>
      <c r="GL160" s="121">
        <f>IF(N('Dvd Calendar'!$X$1568)=0,"",IF(('Dvd Calendar'!$X$1568&gt;=GRID_FROM)*('Dvd Calendar'!$X$1568&lt;=GRID_TO)*('Dvd Calendar'!$X$1568&gt;VAL_DATE)=0,"",'Dvd Calendar'!$X$1568*1000000000+ISNUMBER('Dvd Calendar'!$X$1569)*100000000+0*10000000+(N('Dvd Calendar'!$X$1567)&gt;0)*(N('Dvd Calendar'!$X$1567)&lt;=VAL_SERIAL)*1000000+1*1000+60))</f>
        <v/>
      </c>
      <c r="GM160" s="121">
        <f>IF(N('Dvd Calendar'!$Y$1568)=0,"",IF(('Dvd Calendar'!$Y$1568&gt;=GRID_FROM)*('Dvd Calendar'!$Y$1568&lt;=GRID_TO)*('Dvd Calendar'!$Y$1568&gt;VAL_DATE)=0,"",'Dvd Calendar'!$Y$1568*1000000000+ISNUMBER('Dvd Calendar'!$Y$1569)*100000000+0*10000000+(N('Dvd Calendar'!$Y$1567)&gt;0)*(N('Dvd Calendar'!$Y$1567)&lt;=VAL_SERIAL)*1000000+1*1000+61))</f>
        <v/>
      </c>
      <c r="GN160" s="121">
        <f>IF(N('Dvd Calendar'!$Z$1568)=0,"",IF(('Dvd Calendar'!$Z$1568&gt;=GRID_FROM)*('Dvd Calendar'!$Z$1568&lt;=GRID_TO)*('Dvd Calendar'!$Z$1568&gt;VAL_DATE)=0,"",'Dvd Calendar'!$Z$1568*1000000000+ISNUMBER('Dvd Calendar'!$Z$1569)*100000000+0*10000000+(N('Dvd Calendar'!$Z$1567)&gt;0)*(N('Dvd Calendar'!$Z$1567)&lt;=VAL_SERIAL)*1000000+1*1000+62))</f>
        <v/>
      </c>
      <c r="GO160" s="121">
        <f>IF(N('Dvd Calendar'!$AA$1568)=0,"",IF(('Dvd Calendar'!$AA$1568&gt;=GRID_FROM)*('Dvd Calendar'!$AA$1568&lt;=GRID_TO)*('Dvd Calendar'!$AA$1568&gt;VAL_DATE)=0,"",'Dvd Calendar'!$AA$1568*1000000000+ISNUMBER('Dvd Calendar'!$AA$1569)*100000000+0*10000000+(N('Dvd Calendar'!$AA$1567)&gt;0)*(N('Dvd Calendar'!$AA$1567)&lt;=VAL_SERIAL)*1000000+1*1000+63))</f>
        <v/>
      </c>
      <c r="GP160" s="121">
        <f>IF(N('Dvd Calendar'!$AB$1568)=0,"",IF(('Dvd Calendar'!$AB$1568&gt;=GRID_FROM)*('Dvd Calendar'!$AB$1568&lt;=GRID_TO)*('Dvd Calendar'!$AB$1568&gt;VAL_DATE)=0,"",'Dvd Calendar'!$AB$1568*1000000000+ISNUMBER('Dvd Calendar'!$AB$1569)*100000000+0*10000000+(N('Dvd Calendar'!$AB$1567)&gt;0)*(N('Dvd Calendar'!$AB$1567)&lt;=VAL_SERIAL)*1000000+1*1000+64))</f>
        <v/>
      </c>
      <c r="GQ160" s="121">
        <f>IF(N('Dvd Calendar'!$AC$1568)=0,"",IF(('Dvd Calendar'!$AC$1568&gt;=GRID_FROM)*('Dvd Calendar'!$AC$1568&lt;=GRID_TO)*('Dvd Calendar'!$AC$1568&gt;VAL_DATE)=0,"",'Dvd Calendar'!$AC$1568*1000000000+ISNUMBER('Dvd Calendar'!$AC$1569)*100000000+0*10000000+(N('Dvd Calendar'!$AC$1567)&gt;0)*(N('Dvd Calendar'!$AC$1567)&lt;=VAL_SERIAL)*1000000+1*1000+65))</f>
        <v/>
      </c>
    </row>
    <row r="161">
      <c r="B161" s="2">
        <f>IF(HSCEI!$C$8="","",HSCEI!$C$8)</f>
        <v/>
      </c>
      <c r="C161" s="161">
        <f>IF(EE161="","",IF(ISNUMBER('Dvd Calendar'!$E$1575)=FALSE,"",IF((('Dvd Calendar'!$E$1577=TYPE1)*(TYPE1&lt;&gt;"")+('Dvd Calendar'!$E$1577=TYPE2)*(TYPE2&lt;&gt;"")+('Dvd Calendar'!$E$1577=TYPE3)*(TYPE3&lt;&gt;"")+('Dvd Calendar'!$E$1577=TYPE4)*(TYPE4&lt;&gt;"")+('Dvd Calendar'!$E$1577=SPECIAL_LBL)*(INC_SPECIALS="Y"))=0,"",'Dvd Calendar'!$E$1575)))</f>
        <v/>
      </c>
      <c r="D161" s="161">
        <f>IF(EF161="","",IF(ISNUMBER('Dvd Calendar'!$F$1575)=FALSE,"",IF((('Dvd Calendar'!$F$1577=TYPE1)*(TYPE1&lt;&gt;"")+('Dvd Calendar'!$F$1577=TYPE2)*(TYPE2&lt;&gt;"")+('Dvd Calendar'!$F$1577=TYPE3)*(TYPE3&lt;&gt;"")+('Dvd Calendar'!$F$1577=TYPE4)*(TYPE4&lt;&gt;"")+('Dvd Calendar'!$F$1577=SPECIAL_LBL)*(INC_SPECIALS="Y"))=0,"",'Dvd Calendar'!$F$1575)))</f>
        <v/>
      </c>
      <c r="E161" s="161">
        <f>IF(EG161="","",IF(ISNUMBER('Dvd Calendar'!$G$1575)=FALSE,"",IF((('Dvd Calendar'!$G$1577=TYPE1)*(TYPE1&lt;&gt;"")+('Dvd Calendar'!$G$1577=TYPE2)*(TYPE2&lt;&gt;"")+('Dvd Calendar'!$G$1577=TYPE3)*(TYPE3&lt;&gt;"")+('Dvd Calendar'!$G$1577=TYPE4)*(TYPE4&lt;&gt;"")+('Dvd Calendar'!$G$1577=SPECIAL_LBL)*(INC_SPECIALS="Y"))=0,"",'Dvd Calendar'!$G$1575)))</f>
        <v/>
      </c>
      <c r="F161" s="161">
        <f>IF(EH161="","",IF(ISNUMBER('Dvd Calendar'!$H$1575)=FALSE,"",IF((('Dvd Calendar'!$H$1577=TYPE1)*(TYPE1&lt;&gt;"")+('Dvd Calendar'!$H$1577=TYPE2)*(TYPE2&lt;&gt;"")+('Dvd Calendar'!$H$1577=TYPE3)*(TYPE3&lt;&gt;"")+('Dvd Calendar'!$H$1577=TYPE4)*(TYPE4&lt;&gt;"")+('Dvd Calendar'!$H$1577=SPECIAL_LBL)*(INC_SPECIALS="Y"))=0,"",'Dvd Calendar'!$H$1575)))</f>
        <v/>
      </c>
      <c r="G161" s="161">
        <f>IF(EI161="","",IF(ISNUMBER('Dvd Calendar'!$I$1575)=FALSE,"",IF((('Dvd Calendar'!$I$1577=TYPE1)*(TYPE1&lt;&gt;"")+('Dvd Calendar'!$I$1577=TYPE2)*(TYPE2&lt;&gt;"")+('Dvd Calendar'!$I$1577=TYPE3)*(TYPE3&lt;&gt;"")+('Dvd Calendar'!$I$1577=TYPE4)*(TYPE4&lt;&gt;"")+('Dvd Calendar'!$I$1577=SPECIAL_LBL)*(INC_SPECIALS="Y"))=0,"",'Dvd Calendar'!$I$1575)))</f>
        <v/>
      </c>
      <c r="H161" s="161">
        <f>IF(EJ161="","",IF(ISNUMBER('Dvd Calendar'!$J$1575)=FALSE,"",IF((('Dvd Calendar'!$J$1577=TYPE1)*(TYPE1&lt;&gt;"")+('Dvd Calendar'!$J$1577=TYPE2)*(TYPE2&lt;&gt;"")+('Dvd Calendar'!$J$1577=TYPE3)*(TYPE3&lt;&gt;"")+('Dvd Calendar'!$J$1577=TYPE4)*(TYPE4&lt;&gt;"")+('Dvd Calendar'!$J$1577=SPECIAL_LBL)*(INC_SPECIALS="Y"))=0,"",'Dvd Calendar'!$J$1575)))</f>
        <v/>
      </c>
      <c r="I161" s="161">
        <f>IF(EK161="","",IF(ISNUMBER('Dvd Calendar'!$K$1575)=FALSE,"",IF((('Dvd Calendar'!$K$1577=TYPE1)*(TYPE1&lt;&gt;"")+('Dvd Calendar'!$K$1577=TYPE2)*(TYPE2&lt;&gt;"")+('Dvd Calendar'!$K$1577=TYPE3)*(TYPE3&lt;&gt;"")+('Dvd Calendar'!$K$1577=TYPE4)*(TYPE4&lt;&gt;"")+('Dvd Calendar'!$K$1577=SPECIAL_LBL)*(INC_SPECIALS="Y"))=0,"",'Dvd Calendar'!$K$1575)))</f>
        <v/>
      </c>
      <c r="J161" s="161">
        <f>IF(EL161="","",IF(ISNUMBER('Dvd Calendar'!$L$1575)=FALSE,"",IF((('Dvd Calendar'!$L$1577=TYPE1)*(TYPE1&lt;&gt;"")+('Dvd Calendar'!$L$1577=TYPE2)*(TYPE2&lt;&gt;"")+('Dvd Calendar'!$L$1577=TYPE3)*(TYPE3&lt;&gt;"")+('Dvd Calendar'!$L$1577=TYPE4)*(TYPE4&lt;&gt;"")+('Dvd Calendar'!$L$1577=SPECIAL_LBL)*(INC_SPECIALS="Y"))=0,"",'Dvd Calendar'!$L$1575)))</f>
        <v/>
      </c>
      <c r="K161" s="161">
        <f>IF(EM161="","",IF(ISNUMBER('Dvd Calendar'!$M$1575)=FALSE,"",IF((('Dvd Calendar'!$M$1577=TYPE1)*(TYPE1&lt;&gt;"")+('Dvd Calendar'!$M$1577=TYPE2)*(TYPE2&lt;&gt;"")+('Dvd Calendar'!$M$1577=TYPE3)*(TYPE3&lt;&gt;"")+('Dvd Calendar'!$M$1577=TYPE4)*(TYPE4&lt;&gt;"")+('Dvd Calendar'!$M$1577=SPECIAL_LBL)*(INC_SPECIALS="Y"))=0,"",'Dvd Calendar'!$M$1575)))</f>
        <v/>
      </c>
      <c r="L161" s="161">
        <f>IF(EN161="","",IF(ISNUMBER('Dvd Calendar'!$N$1575)=FALSE,"",IF((('Dvd Calendar'!$N$1577=TYPE1)*(TYPE1&lt;&gt;"")+('Dvd Calendar'!$N$1577=TYPE2)*(TYPE2&lt;&gt;"")+('Dvd Calendar'!$N$1577=TYPE3)*(TYPE3&lt;&gt;"")+('Dvd Calendar'!$N$1577=TYPE4)*(TYPE4&lt;&gt;"")+('Dvd Calendar'!$N$1577=SPECIAL_LBL)*(INC_SPECIALS="Y"))=0,"",'Dvd Calendar'!$N$1575)))</f>
        <v/>
      </c>
      <c r="M161" s="161">
        <f>IF(EO161="","",IF(ISNUMBER('Dvd Calendar'!$O$1575)=FALSE,"",IF((('Dvd Calendar'!$O$1577=TYPE1)*(TYPE1&lt;&gt;"")+('Dvd Calendar'!$O$1577=TYPE2)*(TYPE2&lt;&gt;"")+('Dvd Calendar'!$O$1577=TYPE3)*(TYPE3&lt;&gt;"")+('Dvd Calendar'!$O$1577=TYPE4)*(TYPE4&lt;&gt;"")+('Dvd Calendar'!$O$1577=SPECIAL_LBL)*(INC_SPECIALS="Y"))=0,"",'Dvd Calendar'!$O$1575)))</f>
        <v/>
      </c>
      <c r="N161" s="161">
        <f>IF(EP161="","",IF(ISNUMBER('Dvd Calendar'!$P$1575)=FALSE,"",IF((('Dvd Calendar'!$P$1577=TYPE1)*(TYPE1&lt;&gt;"")+('Dvd Calendar'!$P$1577=TYPE2)*(TYPE2&lt;&gt;"")+('Dvd Calendar'!$P$1577=TYPE3)*(TYPE3&lt;&gt;"")+('Dvd Calendar'!$P$1577=TYPE4)*(TYPE4&lt;&gt;"")+('Dvd Calendar'!$P$1577=SPECIAL_LBL)*(INC_SPECIALS="Y"))=0,"",'Dvd Calendar'!$P$1575)))</f>
        <v/>
      </c>
      <c r="O161" s="161">
        <f>IF(EQ161="","",IF(ISNUMBER('Dvd Calendar'!$Q$1575)=FALSE,"",IF((('Dvd Calendar'!$Q$1577=TYPE1)*(TYPE1&lt;&gt;"")+('Dvd Calendar'!$Q$1577=TYPE2)*(TYPE2&lt;&gt;"")+('Dvd Calendar'!$Q$1577=TYPE3)*(TYPE3&lt;&gt;"")+('Dvd Calendar'!$Q$1577=TYPE4)*(TYPE4&lt;&gt;"")+('Dvd Calendar'!$Q$1577=SPECIAL_LBL)*(INC_SPECIALS="Y"))=0,"",'Dvd Calendar'!$Q$1575)))</f>
        <v/>
      </c>
      <c r="P161" s="161">
        <f>IF(ER161="","",IF(ISNUMBER('Dvd Calendar'!$R$1575)=FALSE,"",IF((('Dvd Calendar'!$R$1577=TYPE1)*(TYPE1&lt;&gt;"")+('Dvd Calendar'!$R$1577=TYPE2)*(TYPE2&lt;&gt;"")+('Dvd Calendar'!$R$1577=TYPE3)*(TYPE3&lt;&gt;"")+('Dvd Calendar'!$R$1577=TYPE4)*(TYPE4&lt;&gt;"")+('Dvd Calendar'!$R$1577=SPECIAL_LBL)*(INC_SPECIALS="Y"))=0,"",'Dvd Calendar'!$R$1575)))</f>
        <v/>
      </c>
      <c r="Q161" s="161">
        <f>IF(ES161="","",IF(ISNUMBER('Dvd Calendar'!$S$1575)=FALSE,"",IF((('Dvd Calendar'!$S$1577=TYPE1)*(TYPE1&lt;&gt;"")+('Dvd Calendar'!$S$1577=TYPE2)*(TYPE2&lt;&gt;"")+('Dvd Calendar'!$S$1577=TYPE3)*(TYPE3&lt;&gt;"")+('Dvd Calendar'!$S$1577=TYPE4)*(TYPE4&lt;&gt;"")+('Dvd Calendar'!$S$1577=SPECIAL_LBL)*(INC_SPECIALS="Y"))=0,"",'Dvd Calendar'!$S$1575)))</f>
        <v/>
      </c>
      <c r="R161" s="161">
        <f>IF(ET161="","",IF(ISNUMBER('Dvd Calendar'!$T$1575)=FALSE,"",IF((('Dvd Calendar'!$T$1577=TYPE1)*(TYPE1&lt;&gt;"")+('Dvd Calendar'!$T$1577=TYPE2)*(TYPE2&lt;&gt;"")+('Dvd Calendar'!$T$1577=TYPE3)*(TYPE3&lt;&gt;"")+('Dvd Calendar'!$T$1577=TYPE4)*(TYPE4&lt;&gt;"")+('Dvd Calendar'!$T$1577=SPECIAL_LBL)*(INC_SPECIALS="Y"))=0,"",'Dvd Calendar'!$T$1575)))</f>
        <v/>
      </c>
      <c r="S161" s="161">
        <f>IF(EU161="","",IF(ISNUMBER('Dvd Calendar'!$U$1575)=FALSE,"",IF((('Dvd Calendar'!$U$1577=TYPE1)*(TYPE1&lt;&gt;"")+('Dvd Calendar'!$U$1577=TYPE2)*(TYPE2&lt;&gt;"")+('Dvd Calendar'!$U$1577=TYPE3)*(TYPE3&lt;&gt;"")+('Dvd Calendar'!$U$1577=TYPE4)*(TYPE4&lt;&gt;"")+('Dvd Calendar'!$U$1577=SPECIAL_LBL)*(INC_SPECIALS="Y"))=0,"",'Dvd Calendar'!$U$1575)))</f>
        <v/>
      </c>
      <c r="T161" s="161">
        <f>IF(EV161="","",IF(ISNUMBER('Dvd Calendar'!$V$1575)=FALSE,"",IF((('Dvd Calendar'!$V$1577=TYPE1)*(TYPE1&lt;&gt;"")+('Dvd Calendar'!$V$1577=TYPE2)*(TYPE2&lt;&gt;"")+('Dvd Calendar'!$V$1577=TYPE3)*(TYPE3&lt;&gt;"")+('Dvd Calendar'!$V$1577=TYPE4)*(TYPE4&lt;&gt;"")+('Dvd Calendar'!$V$1577=SPECIAL_LBL)*(INC_SPECIALS="Y"))=0,"",'Dvd Calendar'!$V$1575)))</f>
        <v/>
      </c>
      <c r="U161" s="161">
        <f>IF(EW161="","",IF(ISNUMBER('Dvd Calendar'!$W$1575)=FALSE,"",IF((('Dvd Calendar'!$W$1577=TYPE1)*(TYPE1&lt;&gt;"")+('Dvd Calendar'!$W$1577=TYPE2)*(TYPE2&lt;&gt;"")+('Dvd Calendar'!$W$1577=TYPE3)*(TYPE3&lt;&gt;"")+('Dvd Calendar'!$W$1577=TYPE4)*(TYPE4&lt;&gt;"")+('Dvd Calendar'!$W$1577=SPECIAL_LBL)*(INC_SPECIALS="Y"))=0,"",'Dvd Calendar'!$W$1575)))</f>
        <v/>
      </c>
      <c r="V161" s="161">
        <f>IF(EX161="","",IF(ISNUMBER('Dvd Calendar'!$X$1575)=FALSE,"",IF((('Dvd Calendar'!$X$1577=TYPE1)*(TYPE1&lt;&gt;"")+('Dvd Calendar'!$X$1577=TYPE2)*(TYPE2&lt;&gt;"")+('Dvd Calendar'!$X$1577=TYPE3)*(TYPE3&lt;&gt;"")+('Dvd Calendar'!$X$1577=TYPE4)*(TYPE4&lt;&gt;"")+('Dvd Calendar'!$X$1577=SPECIAL_LBL)*(INC_SPECIALS="Y"))=0,"",'Dvd Calendar'!$X$1575)))</f>
        <v/>
      </c>
      <c r="W161" s="161">
        <f>IF(EY161="","",IF(ISNUMBER('Dvd Calendar'!$Y$1575)=FALSE,"",IF((('Dvd Calendar'!$Y$1577=TYPE1)*(TYPE1&lt;&gt;"")+('Dvd Calendar'!$Y$1577=TYPE2)*(TYPE2&lt;&gt;"")+('Dvd Calendar'!$Y$1577=TYPE3)*(TYPE3&lt;&gt;"")+('Dvd Calendar'!$Y$1577=TYPE4)*(TYPE4&lt;&gt;"")+('Dvd Calendar'!$Y$1577=SPECIAL_LBL)*(INC_SPECIALS="Y"))=0,"",'Dvd Calendar'!$Y$1575)))</f>
        <v/>
      </c>
      <c r="X161" s="161">
        <f>IF(EZ161="","",IF(ISNUMBER('Dvd Calendar'!$Z$1575)=FALSE,"",IF((('Dvd Calendar'!$Z$1577=TYPE1)*(TYPE1&lt;&gt;"")+('Dvd Calendar'!$Z$1577=TYPE2)*(TYPE2&lt;&gt;"")+('Dvd Calendar'!$Z$1577=TYPE3)*(TYPE3&lt;&gt;"")+('Dvd Calendar'!$Z$1577=TYPE4)*(TYPE4&lt;&gt;"")+('Dvd Calendar'!$Z$1577=SPECIAL_LBL)*(INC_SPECIALS="Y"))=0,"",'Dvd Calendar'!$Z$1575)))</f>
        <v/>
      </c>
      <c r="Y161" s="161">
        <f>IF(FA161="","",IF(ISNUMBER('Dvd Calendar'!$AA$1575)=FALSE,"",IF((('Dvd Calendar'!$AA$1577=TYPE1)*(TYPE1&lt;&gt;"")+('Dvd Calendar'!$AA$1577=TYPE2)*(TYPE2&lt;&gt;"")+('Dvd Calendar'!$AA$1577=TYPE3)*(TYPE3&lt;&gt;"")+('Dvd Calendar'!$AA$1577=TYPE4)*(TYPE4&lt;&gt;"")+('Dvd Calendar'!$AA$1577=SPECIAL_LBL)*(INC_SPECIALS="Y"))=0,"",'Dvd Calendar'!$AA$1575)))</f>
        <v/>
      </c>
      <c r="Z161" s="161">
        <f>IF(FB161="","",IF(ISNUMBER('Dvd Calendar'!$AB$1575)=FALSE,"",IF((('Dvd Calendar'!$AB$1577=TYPE1)*(TYPE1&lt;&gt;"")+('Dvd Calendar'!$AB$1577=TYPE2)*(TYPE2&lt;&gt;"")+('Dvd Calendar'!$AB$1577=TYPE3)*(TYPE3&lt;&gt;"")+('Dvd Calendar'!$AB$1577=TYPE4)*(TYPE4&lt;&gt;"")+('Dvd Calendar'!$AB$1577=SPECIAL_LBL)*(INC_SPECIALS="Y"))=0,"",'Dvd Calendar'!$AB$1575)))</f>
        <v/>
      </c>
      <c r="AA161" s="161">
        <f>IF(FC161="","",IF(ISNUMBER('Dvd Calendar'!$AC$1575)=FALSE,"",IF((('Dvd Calendar'!$AC$1577=TYPE1)*(TYPE1&lt;&gt;"")+('Dvd Calendar'!$AC$1577=TYPE2)*(TYPE2&lt;&gt;"")+('Dvd Calendar'!$AC$1577=TYPE3)*(TYPE3&lt;&gt;"")+('Dvd Calendar'!$AC$1577=TYPE4)*(TYPE4&lt;&gt;"")+('Dvd Calendar'!$AC$1577=SPECIAL_LBL)*(INC_SPECIALS="Y"))=0,"",'Dvd Calendar'!$AC$1575)))</f>
        <v/>
      </c>
      <c r="AB161" s="161">
        <f>IF(FD161="","",IF(ISNUMBER('Dvd Calendar'!$AD$1575)=FALSE,"",IF((('Dvd Calendar'!$AD$1577=TYPE1)*(TYPE1&lt;&gt;"")+('Dvd Calendar'!$AD$1577=TYPE2)*(TYPE2&lt;&gt;"")+('Dvd Calendar'!$AD$1577=TYPE3)*(TYPE3&lt;&gt;"")+('Dvd Calendar'!$AD$1577=TYPE4)*(TYPE4&lt;&gt;"")+('Dvd Calendar'!$AD$1577=SPECIAL_LBL)*(INC_SPECIALS="Y"))=0,"",'Dvd Calendar'!$AD$1575)))</f>
        <v/>
      </c>
      <c r="AC161" s="161">
        <f>IF(FE161="","",IF(ISNUMBER('Dvd Calendar'!$AE$1575)=FALSE,"",IF((('Dvd Calendar'!$AE$1577=TYPE1)*(TYPE1&lt;&gt;"")+('Dvd Calendar'!$AE$1577=TYPE2)*(TYPE2&lt;&gt;"")+('Dvd Calendar'!$AE$1577=TYPE3)*(TYPE3&lt;&gt;"")+('Dvd Calendar'!$AE$1577=TYPE4)*(TYPE4&lt;&gt;"")+('Dvd Calendar'!$AE$1577=SPECIAL_LBL)*(INC_SPECIALS="Y"))=0,"",'Dvd Calendar'!$AE$1575)))</f>
        <v/>
      </c>
      <c r="AD161" s="161">
        <f>IF(FF161="","",IF(ISNUMBER('Dvd Calendar'!$AF$1575)=FALSE,"",IF((('Dvd Calendar'!$AF$1577=TYPE1)*(TYPE1&lt;&gt;"")+('Dvd Calendar'!$AF$1577=TYPE2)*(TYPE2&lt;&gt;"")+('Dvd Calendar'!$AF$1577=TYPE3)*(TYPE3&lt;&gt;"")+('Dvd Calendar'!$AF$1577=TYPE4)*(TYPE4&lt;&gt;"")+('Dvd Calendar'!$AF$1577=SPECIAL_LBL)*(INC_SPECIALS="Y"))=0,"",'Dvd Calendar'!$AF$1575)))</f>
        <v/>
      </c>
      <c r="AE161" s="161">
        <f>IF(FG161="","",IF(ISNUMBER('Dvd Calendar'!$AG$1575)=FALSE,"",IF((('Dvd Calendar'!$AG$1577=TYPE1)*(TYPE1&lt;&gt;"")+('Dvd Calendar'!$AG$1577=TYPE2)*(TYPE2&lt;&gt;"")+('Dvd Calendar'!$AG$1577=TYPE3)*(TYPE3&lt;&gt;"")+('Dvd Calendar'!$AG$1577=TYPE4)*(TYPE4&lt;&gt;"")+('Dvd Calendar'!$AG$1577=SPECIAL_LBL)*(INC_SPECIALS="Y"))=0,"",'Dvd Calendar'!$AG$1575)))</f>
        <v/>
      </c>
      <c r="AF161" s="161">
        <f>IF(FH161="","",IF(ISNUMBER('Dvd Calendar'!$AH$1575)=FALSE,"",IF((('Dvd Calendar'!$AH$1577=TYPE1)*(TYPE1&lt;&gt;"")+('Dvd Calendar'!$AH$1577=TYPE2)*(TYPE2&lt;&gt;"")+('Dvd Calendar'!$AH$1577=TYPE3)*(TYPE3&lt;&gt;"")+('Dvd Calendar'!$AH$1577=TYPE4)*(TYPE4&lt;&gt;"")+('Dvd Calendar'!$AH$1577=SPECIAL_LBL)*(INC_SPECIALS="Y"))=0,"",'Dvd Calendar'!$AH$1575)))</f>
        <v/>
      </c>
      <c r="AG161" s="161">
        <f>IF(FI161="","",IF(ISNUMBER('Dvd Calendar'!$AI$1575)=FALSE,"",IF((('Dvd Calendar'!$AI$1577=TYPE1)*(TYPE1&lt;&gt;"")+('Dvd Calendar'!$AI$1577=TYPE2)*(TYPE2&lt;&gt;"")+('Dvd Calendar'!$AI$1577=TYPE3)*(TYPE3&lt;&gt;"")+('Dvd Calendar'!$AI$1577=TYPE4)*(TYPE4&lt;&gt;"")+('Dvd Calendar'!$AI$1577=SPECIAL_LBL)*(INC_SPECIALS="Y"))=0,"",'Dvd Calendar'!$AI$1575)))</f>
        <v/>
      </c>
      <c r="AH161" s="161">
        <f>IF(FJ161="","",IF(ISNUMBER('Dvd Calendar'!$AJ$1575)=FALSE,"",IF((('Dvd Calendar'!$AJ$1577=TYPE1)*(TYPE1&lt;&gt;"")+('Dvd Calendar'!$AJ$1577=TYPE2)*(TYPE2&lt;&gt;"")+('Dvd Calendar'!$AJ$1577=TYPE3)*(TYPE3&lt;&gt;"")+('Dvd Calendar'!$AJ$1577=TYPE4)*(TYPE4&lt;&gt;"")+('Dvd Calendar'!$AJ$1577=SPECIAL_LBL)*(INC_SPECIALS="Y"))=0,"",'Dvd Calendar'!$AJ$1575)))</f>
        <v/>
      </c>
      <c r="AI161" s="161">
        <f>IF(FK161="","",IF(ISNUMBER('Dvd Calendar'!$AK$1575)=FALSE,"",IF((('Dvd Calendar'!$AK$1577=TYPE1)*(TYPE1&lt;&gt;"")+('Dvd Calendar'!$AK$1577=TYPE2)*(TYPE2&lt;&gt;"")+('Dvd Calendar'!$AK$1577=TYPE3)*(TYPE3&lt;&gt;"")+('Dvd Calendar'!$AK$1577=TYPE4)*(TYPE4&lt;&gt;"")+('Dvd Calendar'!$AK$1577=SPECIAL_LBL)*(INC_SPECIALS="Y"))=0,"",'Dvd Calendar'!$AK$1575)))</f>
        <v/>
      </c>
      <c r="AJ161" s="161">
        <f>IF(FL161="","",IF(ISNUMBER('Dvd Calendar'!$AL$1575)=FALSE,"",IF((('Dvd Calendar'!$AL$1577=TYPE1)*(TYPE1&lt;&gt;"")+('Dvd Calendar'!$AL$1577=TYPE2)*(TYPE2&lt;&gt;"")+('Dvd Calendar'!$AL$1577=TYPE3)*(TYPE3&lt;&gt;"")+('Dvd Calendar'!$AL$1577=TYPE4)*(TYPE4&lt;&gt;"")+('Dvd Calendar'!$AL$1577=SPECIAL_LBL)*(INC_SPECIALS="Y"))=0,"",'Dvd Calendar'!$AL$1575)))</f>
        <v/>
      </c>
      <c r="AK161" s="161">
        <f>IF(FM161="","",IF(ISNUMBER('Dvd Calendar'!$AM$1575)=FALSE,"",IF((('Dvd Calendar'!$AM$1577=TYPE1)*(TYPE1&lt;&gt;"")+('Dvd Calendar'!$AM$1577=TYPE2)*(TYPE2&lt;&gt;"")+('Dvd Calendar'!$AM$1577=TYPE3)*(TYPE3&lt;&gt;"")+('Dvd Calendar'!$AM$1577=TYPE4)*(TYPE4&lt;&gt;"")+('Dvd Calendar'!$AM$1577=SPECIAL_LBL)*(INC_SPECIALS="Y"))=0,"",'Dvd Calendar'!$AM$1575)))</f>
        <v/>
      </c>
      <c r="AL161" s="161">
        <f>IF(FN161="","",IF(ISNUMBER('Dvd Calendar'!$AN$1575)=FALSE,"",IF((('Dvd Calendar'!$AN$1577=TYPE1)*(TYPE1&lt;&gt;"")+('Dvd Calendar'!$AN$1577=TYPE2)*(TYPE2&lt;&gt;"")+('Dvd Calendar'!$AN$1577=TYPE3)*(TYPE3&lt;&gt;"")+('Dvd Calendar'!$AN$1577=TYPE4)*(TYPE4&lt;&gt;"")+('Dvd Calendar'!$AN$1577=SPECIAL_LBL)*(INC_SPECIALS="Y"))=0,"",'Dvd Calendar'!$AN$1575)))</f>
        <v/>
      </c>
      <c r="AM161" s="161">
        <f>IF(FO161="","",IF(ISNUMBER('Dvd Calendar'!$AO$1575)=FALSE,"",IF((('Dvd Calendar'!$AO$1577=TYPE1)*(TYPE1&lt;&gt;"")+('Dvd Calendar'!$AO$1577=TYPE2)*(TYPE2&lt;&gt;"")+('Dvd Calendar'!$AO$1577=TYPE3)*(TYPE3&lt;&gt;"")+('Dvd Calendar'!$AO$1577=TYPE4)*(TYPE4&lt;&gt;"")+('Dvd Calendar'!$AO$1577=SPECIAL_LBL)*(INC_SPECIALS="Y"))=0,"",'Dvd Calendar'!$AO$1575)))</f>
        <v/>
      </c>
      <c r="AN161" s="161">
        <f>IF(FP161="","",IF(ISNUMBER('Dvd Calendar'!$AP$1575)=FALSE,"",IF((('Dvd Calendar'!$AP$1577=TYPE1)*(TYPE1&lt;&gt;"")+('Dvd Calendar'!$AP$1577=TYPE2)*(TYPE2&lt;&gt;"")+('Dvd Calendar'!$AP$1577=TYPE3)*(TYPE3&lt;&gt;"")+('Dvd Calendar'!$AP$1577=TYPE4)*(TYPE4&lt;&gt;"")+('Dvd Calendar'!$AP$1577=SPECIAL_LBL)*(INC_SPECIALS="Y"))=0,"",'Dvd Calendar'!$AP$1575)))</f>
        <v/>
      </c>
      <c r="AO161" s="161">
        <f>IF(FQ161="","",IF(ISNUMBER('Dvd Calendar'!$AQ$1575)=FALSE,"",IF((('Dvd Calendar'!$AQ$1577=TYPE1)*(TYPE1&lt;&gt;"")+('Dvd Calendar'!$AQ$1577=TYPE2)*(TYPE2&lt;&gt;"")+('Dvd Calendar'!$AQ$1577=TYPE3)*(TYPE3&lt;&gt;"")+('Dvd Calendar'!$AQ$1577=TYPE4)*(TYPE4&lt;&gt;"")+('Dvd Calendar'!$AQ$1577=SPECIAL_LBL)*(INC_SPECIALS="Y"))=0,"",'Dvd Calendar'!$AQ$1575)))</f>
        <v/>
      </c>
      <c r="AP161" s="161">
        <f>IF(FR161="","",IF(ISNUMBER('Dvd Calendar'!$AR$1575)=FALSE,"",IF((('Dvd Calendar'!$AR$1577=TYPE1)*(TYPE1&lt;&gt;"")+('Dvd Calendar'!$AR$1577=TYPE2)*(TYPE2&lt;&gt;"")+('Dvd Calendar'!$AR$1577=TYPE3)*(TYPE3&lt;&gt;"")+('Dvd Calendar'!$AR$1577=TYPE4)*(TYPE4&lt;&gt;"")+('Dvd Calendar'!$AR$1577=SPECIAL_LBL)*(INC_SPECIALS="Y"))=0,"",'Dvd Calendar'!$AR$1575)))</f>
        <v/>
      </c>
      <c r="AQ161" s="161">
        <f>IF(FS161="","",IF(ISNUMBER('Dvd Calendar'!$E$1580)=FALSE,"",'Dvd Calendar'!$E$1580))</f>
        <v/>
      </c>
      <c r="AR161" s="161">
        <f>IF(FT161="","",IF(ISNUMBER('Dvd Calendar'!$F$1580)=FALSE,"",'Dvd Calendar'!$F$1580))</f>
        <v/>
      </c>
      <c r="AS161" s="161">
        <f>IF(FU161="","",IF(ISNUMBER('Dvd Calendar'!$G$1580)=FALSE,"",'Dvd Calendar'!$G$1580))</f>
        <v/>
      </c>
      <c r="AT161" s="161">
        <f>IF(FV161="","",IF(ISNUMBER('Dvd Calendar'!$H$1580)=FALSE,"",'Dvd Calendar'!$H$1580))</f>
        <v/>
      </c>
      <c r="AU161" s="161">
        <f>IF(FW161="","",IF(ISNUMBER('Dvd Calendar'!$I$1580)=FALSE,"",'Dvd Calendar'!$I$1580))</f>
        <v/>
      </c>
      <c r="AV161" s="161">
        <f>IF(FX161="","",IF(ISNUMBER('Dvd Calendar'!$J$1580)=FALSE,"",'Dvd Calendar'!$J$1580))</f>
        <v/>
      </c>
      <c r="AW161" s="161">
        <f>IF(FY161="","",IF(ISNUMBER('Dvd Calendar'!$K$1580)=FALSE,"",'Dvd Calendar'!$K$1580))</f>
        <v/>
      </c>
      <c r="AX161" s="161">
        <f>IF(FZ161="","",IF(ISNUMBER('Dvd Calendar'!$L$1580)=FALSE,"",'Dvd Calendar'!$L$1580))</f>
        <v/>
      </c>
      <c r="AY161" s="161">
        <f>IF(GA161="","",IF(ISNUMBER('Dvd Calendar'!$M$1580)=FALSE,"",'Dvd Calendar'!$M$1580))</f>
        <v/>
      </c>
      <c r="AZ161" s="161">
        <f>IF(GB161="","",IF(ISNUMBER('Dvd Calendar'!$N$1580)=FALSE,"",'Dvd Calendar'!$N$1580))</f>
        <v/>
      </c>
      <c r="BA161" s="161">
        <f>IF(GC161="","",IF(ISNUMBER('Dvd Calendar'!$O$1580)=FALSE,"",'Dvd Calendar'!$O$1580))</f>
        <v/>
      </c>
      <c r="BB161" s="161">
        <f>IF(GD161="","",IF(ISNUMBER('Dvd Calendar'!$P$1580)=FALSE,"",'Dvd Calendar'!$P$1580))</f>
        <v/>
      </c>
      <c r="BC161" s="161">
        <f>IF(GE161="","",IF(ISNUMBER('Dvd Calendar'!$Q$1580)=FALSE,"",'Dvd Calendar'!$Q$1580))</f>
        <v/>
      </c>
      <c r="BD161" s="161">
        <f>IF(GF161="","",IF(ISNUMBER('Dvd Calendar'!$R$1580)=FALSE,"",'Dvd Calendar'!$R$1580))</f>
        <v/>
      </c>
      <c r="BE161" s="161">
        <f>IF(GG161="","",IF(ISNUMBER('Dvd Calendar'!$S$1580)=FALSE,"",'Dvd Calendar'!$S$1580))</f>
        <v/>
      </c>
      <c r="BF161" s="161">
        <f>IF(GH161="","",IF(ISNUMBER('Dvd Calendar'!$T$1580)=FALSE,"",'Dvd Calendar'!$T$1580))</f>
        <v/>
      </c>
      <c r="BG161" s="161">
        <f>IF(GI161="","",IF(ISNUMBER('Dvd Calendar'!$U$1580)=FALSE,"",'Dvd Calendar'!$U$1580))</f>
        <v/>
      </c>
      <c r="BH161" s="161">
        <f>IF(GJ161="","",IF(ISNUMBER('Dvd Calendar'!$V$1580)=FALSE,"",'Dvd Calendar'!$V$1580))</f>
        <v/>
      </c>
      <c r="BI161" s="161">
        <f>IF(GK161="","",IF(ISNUMBER('Dvd Calendar'!$W$1580)=FALSE,"",'Dvd Calendar'!$W$1580))</f>
        <v/>
      </c>
      <c r="BJ161" s="161">
        <f>IF(GL161="","",IF(ISNUMBER('Dvd Calendar'!$X$1580)=FALSE,"",'Dvd Calendar'!$X$1580))</f>
        <v/>
      </c>
      <c r="BK161" s="161">
        <f>IF(GM161="","",IF(ISNUMBER('Dvd Calendar'!$Y$1580)=FALSE,"",'Dvd Calendar'!$Y$1580))</f>
        <v/>
      </c>
      <c r="BL161" s="161">
        <f>IF(GN161="","",IF(ISNUMBER('Dvd Calendar'!$Z$1580)=FALSE,"",'Dvd Calendar'!$Z$1580))</f>
        <v/>
      </c>
      <c r="BM161" s="161">
        <f>IF(GO161="","",IF(ISNUMBER('Dvd Calendar'!$AA$1580)=FALSE,"",'Dvd Calendar'!$AA$1580))</f>
        <v/>
      </c>
      <c r="BN161" s="161">
        <f>IF(GP161="","",IF(ISNUMBER('Dvd Calendar'!$AB$1580)=FALSE,"",'Dvd Calendar'!$AB$1580))</f>
        <v/>
      </c>
      <c r="BO161" s="161">
        <f>IF(GQ161="","",IF(ISNUMBER('Dvd Calendar'!$AC$1580)=FALSE,"",'Dvd Calendar'!$AC$1580))</f>
        <v/>
      </c>
      <c r="BQ161" s="161">
        <f>IF(C161="","",IFERROR(C161*HSCEI!$B$8*HSCEI!$G$8/HSCEI!$B$3,""))</f>
        <v/>
      </c>
      <c r="BR161" s="161">
        <f>IF(D161="","",IFERROR(D161*HSCEI!$B$8*HSCEI!$G$8/HSCEI!$B$3,""))</f>
        <v/>
      </c>
      <c r="BS161" s="161">
        <f>IF(E161="","",IFERROR(E161*HSCEI!$B$8*HSCEI!$G$8/HSCEI!$B$3,""))</f>
        <v/>
      </c>
      <c r="BT161" s="161">
        <f>IF(F161="","",IFERROR(F161*HSCEI!$B$8*HSCEI!$G$8/HSCEI!$B$3,""))</f>
        <v/>
      </c>
      <c r="BU161" s="161">
        <f>IF(G161="","",IFERROR(G161*HSCEI!$B$8*HSCEI!$G$8/HSCEI!$B$3,""))</f>
        <v/>
      </c>
      <c r="BV161" s="161">
        <f>IF(H161="","",IFERROR(H161*HSCEI!$B$8*HSCEI!$G$8/HSCEI!$B$3,""))</f>
        <v/>
      </c>
      <c r="BW161" s="161">
        <f>IF(I161="","",IFERROR(I161*HSCEI!$B$8*HSCEI!$G$8/HSCEI!$B$3,""))</f>
        <v/>
      </c>
      <c r="BX161" s="161">
        <f>IF(J161="","",IFERROR(J161*HSCEI!$B$8*HSCEI!$G$8/HSCEI!$B$3,""))</f>
        <v/>
      </c>
      <c r="BY161" s="161">
        <f>IF(K161="","",IFERROR(K161*HSCEI!$B$8*HSCEI!$G$8/HSCEI!$B$3,""))</f>
        <v/>
      </c>
      <c r="BZ161" s="161">
        <f>IF(L161="","",IFERROR(L161*HSCEI!$B$8*HSCEI!$G$8/HSCEI!$B$3,""))</f>
        <v/>
      </c>
      <c r="CA161" s="161">
        <f>IF(M161="","",IFERROR(M161*HSCEI!$B$8*HSCEI!$G$8/HSCEI!$B$3,""))</f>
        <v/>
      </c>
      <c r="CB161" s="161">
        <f>IF(N161="","",IFERROR(N161*HSCEI!$B$8*HSCEI!$G$8/HSCEI!$B$3,""))</f>
        <v/>
      </c>
      <c r="CC161" s="161">
        <f>IF(O161="","",IFERROR(O161*HSCEI!$B$8*HSCEI!$G$8/HSCEI!$B$3,""))</f>
        <v/>
      </c>
      <c r="CD161" s="161">
        <f>IF(P161="","",IFERROR(P161*HSCEI!$B$8*HSCEI!$G$8/HSCEI!$B$3,""))</f>
        <v/>
      </c>
      <c r="CE161" s="161">
        <f>IF(Q161="","",IFERROR(Q161*HSCEI!$B$8*HSCEI!$G$8/HSCEI!$B$3,""))</f>
        <v/>
      </c>
      <c r="CF161" s="161">
        <f>IF(R161="","",IFERROR(R161*HSCEI!$B$8*HSCEI!$G$8/HSCEI!$B$3,""))</f>
        <v/>
      </c>
      <c r="CG161" s="161">
        <f>IF(S161="","",IFERROR(S161*HSCEI!$B$8*HSCEI!$G$8/HSCEI!$B$3,""))</f>
        <v/>
      </c>
      <c r="CH161" s="161">
        <f>IF(T161="","",IFERROR(T161*HSCEI!$B$8*HSCEI!$G$8/HSCEI!$B$3,""))</f>
        <v/>
      </c>
      <c r="CI161" s="161">
        <f>IF(U161="","",IFERROR(U161*HSCEI!$B$8*HSCEI!$G$8/HSCEI!$B$3,""))</f>
        <v/>
      </c>
      <c r="CJ161" s="161">
        <f>IF(V161="","",IFERROR(V161*HSCEI!$B$8*HSCEI!$G$8/HSCEI!$B$3,""))</f>
        <v/>
      </c>
      <c r="CK161" s="161">
        <f>IF(W161="","",IFERROR(W161*HSCEI!$B$8*HSCEI!$G$8/HSCEI!$B$3,""))</f>
        <v/>
      </c>
      <c r="CL161" s="161">
        <f>IF(X161="","",IFERROR(X161*HSCEI!$B$8*HSCEI!$G$8/HSCEI!$B$3,""))</f>
        <v/>
      </c>
      <c r="CM161" s="161">
        <f>IF(Y161="","",IFERROR(Y161*HSCEI!$B$8*HSCEI!$G$8/HSCEI!$B$3,""))</f>
        <v/>
      </c>
      <c r="CN161" s="161">
        <f>IF(Z161="","",IFERROR(Z161*HSCEI!$B$8*HSCEI!$G$8/HSCEI!$B$3,""))</f>
        <v/>
      </c>
      <c r="CO161" s="161">
        <f>IF(AA161="","",IFERROR(AA161*HSCEI!$B$8*HSCEI!$G$8/HSCEI!$B$3,""))</f>
        <v/>
      </c>
      <c r="CP161" s="161">
        <f>IF(AB161="","",IFERROR(AB161*HSCEI!$B$8*HSCEI!$G$8/HSCEI!$B$3,""))</f>
        <v/>
      </c>
      <c r="CQ161" s="161">
        <f>IF(AC161="","",IFERROR(AC161*HSCEI!$B$8*HSCEI!$G$8/HSCEI!$B$3,""))</f>
        <v/>
      </c>
      <c r="CR161" s="161">
        <f>IF(AD161="","",IFERROR(AD161*HSCEI!$B$8*HSCEI!$G$8/HSCEI!$B$3,""))</f>
        <v/>
      </c>
      <c r="CS161" s="161">
        <f>IF(AE161="","",IFERROR(AE161*HSCEI!$B$8*HSCEI!$G$8/HSCEI!$B$3,""))</f>
        <v/>
      </c>
      <c r="CT161" s="161">
        <f>IF(AF161="","",IFERROR(AF161*HSCEI!$B$8*HSCEI!$G$8/HSCEI!$B$3,""))</f>
        <v/>
      </c>
      <c r="CU161" s="161">
        <f>IF(AG161="","",IFERROR(AG161*HSCEI!$B$8*HSCEI!$G$8/HSCEI!$B$3,""))</f>
        <v/>
      </c>
      <c r="CV161" s="161">
        <f>IF(AH161="","",IFERROR(AH161*HSCEI!$B$8*HSCEI!$G$8/HSCEI!$B$3,""))</f>
        <v/>
      </c>
      <c r="CW161" s="161">
        <f>IF(AI161="","",IFERROR(AI161*HSCEI!$B$8*HSCEI!$G$8/HSCEI!$B$3,""))</f>
        <v/>
      </c>
      <c r="CX161" s="161">
        <f>IF(AJ161="","",IFERROR(AJ161*HSCEI!$B$8*HSCEI!$G$8/HSCEI!$B$3,""))</f>
        <v/>
      </c>
      <c r="CY161" s="161">
        <f>IF(AK161="","",IFERROR(AK161*HSCEI!$B$8*HSCEI!$G$8/HSCEI!$B$3,""))</f>
        <v/>
      </c>
      <c r="CZ161" s="161">
        <f>IF(AL161="","",IFERROR(AL161*HSCEI!$B$8*HSCEI!$G$8/HSCEI!$B$3,""))</f>
        <v/>
      </c>
      <c r="DA161" s="161">
        <f>IF(AM161="","",IFERROR(AM161*HSCEI!$B$8*HSCEI!$G$8/HSCEI!$B$3,""))</f>
        <v/>
      </c>
      <c r="DB161" s="161">
        <f>IF(AN161="","",IFERROR(AN161*HSCEI!$B$8*HSCEI!$G$8/HSCEI!$B$3,""))</f>
        <v/>
      </c>
      <c r="DC161" s="161">
        <f>IF(AO161="","",IFERROR(AO161*HSCEI!$B$8*HSCEI!$G$8/HSCEI!$B$3,""))</f>
        <v/>
      </c>
      <c r="DD161" s="161">
        <f>IF(AP161="","",IFERROR(AP161*HSCEI!$B$8*HSCEI!$G$8/HSCEI!$B$3,""))</f>
        <v/>
      </c>
      <c r="DE161" s="161">
        <f>IF(AQ161="","",IFERROR(AQ161*HSCEI!$B$8*HSCEI!$G$8/HSCEI!$B$3,""))</f>
        <v/>
      </c>
      <c r="DF161" s="161">
        <f>IF(AR161="","",IFERROR(AR161*HSCEI!$B$8*HSCEI!$G$8/HSCEI!$B$3,""))</f>
        <v/>
      </c>
      <c r="DG161" s="161">
        <f>IF(AS161="","",IFERROR(AS161*HSCEI!$B$8*HSCEI!$G$8/HSCEI!$B$3,""))</f>
        <v/>
      </c>
      <c r="DH161" s="161">
        <f>IF(AT161="","",IFERROR(AT161*HSCEI!$B$8*HSCEI!$G$8/HSCEI!$B$3,""))</f>
        <v/>
      </c>
      <c r="DI161" s="161">
        <f>IF(AU161="","",IFERROR(AU161*HSCEI!$B$8*HSCEI!$G$8/HSCEI!$B$3,""))</f>
        <v/>
      </c>
      <c r="DJ161" s="161">
        <f>IF(AV161="","",IFERROR(AV161*HSCEI!$B$8*HSCEI!$G$8/HSCEI!$B$3,""))</f>
        <v/>
      </c>
      <c r="DK161" s="161">
        <f>IF(AW161="","",IFERROR(AW161*HSCEI!$B$8*HSCEI!$G$8/HSCEI!$B$3,""))</f>
        <v/>
      </c>
      <c r="DL161" s="161">
        <f>IF(AX161="","",IFERROR(AX161*HSCEI!$B$8*HSCEI!$G$8/HSCEI!$B$3,""))</f>
        <v/>
      </c>
      <c r="DM161" s="161">
        <f>IF(AY161="","",IFERROR(AY161*HSCEI!$B$8*HSCEI!$G$8/HSCEI!$B$3,""))</f>
        <v/>
      </c>
      <c r="DN161" s="161">
        <f>IF(AZ161="","",IFERROR(AZ161*HSCEI!$B$8*HSCEI!$G$8/HSCEI!$B$3,""))</f>
        <v/>
      </c>
      <c r="DO161" s="161">
        <f>IF(BA161="","",IFERROR(BA161*HSCEI!$B$8*HSCEI!$G$8/HSCEI!$B$3,""))</f>
        <v/>
      </c>
      <c r="DP161" s="161">
        <f>IF(BB161="","",IFERROR(BB161*HSCEI!$B$8*HSCEI!$G$8/HSCEI!$B$3,""))</f>
        <v/>
      </c>
      <c r="DQ161" s="161">
        <f>IF(BC161="","",IFERROR(BC161*HSCEI!$B$8*HSCEI!$G$8/HSCEI!$B$3,""))</f>
        <v/>
      </c>
      <c r="DR161" s="161">
        <f>IF(BD161="","",IFERROR(BD161*HSCEI!$B$8*HSCEI!$G$8/HSCEI!$B$3,""))</f>
        <v/>
      </c>
      <c r="DS161" s="161">
        <f>IF(BE161="","",IFERROR(BE161*HSCEI!$B$8*HSCEI!$G$8/HSCEI!$B$3,""))</f>
        <v/>
      </c>
      <c r="DT161" s="161">
        <f>IF(BF161="","",IFERROR(BF161*HSCEI!$B$8*HSCEI!$G$8/HSCEI!$B$3,""))</f>
        <v/>
      </c>
      <c r="DU161" s="161">
        <f>IF(BG161="","",IFERROR(BG161*HSCEI!$B$8*HSCEI!$G$8/HSCEI!$B$3,""))</f>
        <v/>
      </c>
      <c r="DV161" s="161">
        <f>IF(BH161="","",IFERROR(BH161*HSCEI!$B$8*HSCEI!$G$8/HSCEI!$B$3,""))</f>
        <v/>
      </c>
      <c r="DW161" s="161">
        <f>IF(BI161="","",IFERROR(BI161*HSCEI!$B$8*HSCEI!$G$8/HSCEI!$B$3,""))</f>
        <v/>
      </c>
      <c r="DX161" s="161">
        <f>IF(BJ161="","",IFERROR(BJ161*HSCEI!$B$8*HSCEI!$G$8/HSCEI!$B$3,""))</f>
        <v/>
      </c>
      <c r="DY161" s="161">
        <f>IF(BK161="","",IFERROR(BK161*HSCEI!$B$8*HSCEI!$G$8/HSCEI!$B$3,""))</f>
        <v/>
      </c>
      <c r="DZ161" s="161">
        <f>IF(BL161="","",IFERROR(BL161*HSCEI!$B$8*HSCEI!$G$8/HSCEI!$B$3,""))</f>
        <v/>
      </c>
      <c r="EA161" s="161">
        <f>IF(BM161="","",IFERROR(BM161*HSCEI!$B$8*HSCEI!$G$8/HSCEI!$B$3,""))</f>
        <v/>
      </c>
      <c r="EB161" s="161">
        <f>IF(BN161="","",IFERROR(BN161*HSCEI!$B$8*HSCEI!$G$8/HSCEI!$B$3,""))</f>
        <v/>
      </c>
      <c r="EC161" s="161">
        <f>IF(BO161="","",IFERROR(BO161*HSCEI!$B$8*HSCEI!$G$8/HSCEI!$B$3,""))</f>
        <v/>
      </c>
      <c r="EE161" s="121">
        <f>IF(N('Dvd Calendar'!$E$1572)=0,"",IF(('Dvd Calendar'!$E$1572&gt;=GRID_FROM)*('Dvd Calendar'!$E$1572&lt;=GRID_TO)*((('Dvd Calendar'!$E$1572&lt;=VAL_DATE)+(COUNTIF('Dvd Calendar'!$E$1579:$AR$1579,'Dvd Calendar'!$E$1572)=0))&gt;0)=0,"",'Dvd Calendar'!$E$1572*1000000000+ISNUMBER('Dvd Calendar'!$E$1575)*100000000+('Dvd Calendar'!$E$1577=SPECIAL_LBL)*10000000+(N('Dvd Calendar'!$E$1571)&gt;0)*(N('Dvd Calendar'!$E$1571)&lt;=VAL_SERIAL)*1000000+2*1000+1))</f>
        <v/>
      </c>
      <c r="EF161" s="121">
        <f>IF(N('Dvd Calendar'!$F$1572)=0,"",IF(('Dvd Calendar'!$F$1572&gt;=GRID_FROM)*('Dvd Calendar'!$F$1572&lt;=GRID_TO)*((('Dvd Calendar'!$F$1572&lt;=VAL_DATE)+(COUNTIF('Dvd Calendar'!$E$1579:$AR$1579,'Dvd Calendar'!$F$1572)=0))&gt;0)=0,"",'Dvd Calendar'!$F$1572*1000000000+ISNUMBER('Dvd Calendar'!$F$1575)*100000000+('Dvd Calendar'!$F$1577=SPECIAL_LBL)*10000000+(N('Dvd Calendar'!$F$1571)&gt;0)*(N('Dvd Calendar'!$F$1571)&lt;=VAL_SERIAL)*1000000+2*1000+2))</f>
        <v/>
      </c>
      <c r="EG161" s="121">
        <f>IF(N('Dvd Calendar'!$G$1572)=0,"",IF(('Dvd Calendar'!$G$1572&gt;=GRID_FROM)*('Dvd Calendar'!$G$1572&lt;=GRID_TO)*((('Dvd Calendar'!$G$1572&lt;=VAL_DATE)+(COUNTIF('Dvd Calendar'!$E$1579:$AR$1579,'Dvd Calendar'!$G$1572)=0))&gt;0)=0,"",'Dvd Calendar'!$G$1572*1000000000+ISNUMBER('Dvd Calendar'!$G$1575)*100000000+('Dvd Calendar'!$G$1577=SPECIAL_LBL)*10000000+(N('Dvd Calendar'!$G$1571)&gt;0)*(N('Dvd Calendar'!$G$1571)&lt;=VAL_SERIAL)*1000000+2*1000+3))</f>
        <v/>
      </c>
      <c r="EH161" s="121">
        <f>IF(N('Dvd Calendar'!$H$1572)=0,"",IF(('Dvd Calendar'!$H$1572&gt;=GRID_FROM)*('Dvd Calendar'!$H$1572&lt;=GRID_TO)*((('Dvd Calendar'!$H$1572&lt;=VAL_DATE)+(COUNTIF('Dvd Calendar'!$E$1579:$AR$1579,'Dvd Calendar'!$H$1572)=0))&gt;0)=0,"",'Dvd Calendar'!$H$1572*1000000000+ISNUMBER('Dvd Calendar'!$H$1575)*100000000+('Dvd Calendar'!$H$1577=SPECIAL_LBL)*10000000+(N('Dvd Calendar'!$H$1571)&gt;0)*(N('Dvd Calendar'!$H$1571)&lt;=VAL_SERIAL)*1000000+2*1000+4))</f>
        <v/>
      </c>
      <c r="EI161" s="121">
        <f>IF(N('Dvd Calendar'!$I$1572)=0,"",IF(('Dvd Calendar'!$I$1572&gt;=GRID_FROM)*('Dvd Calendar'!$I$1572&lt;=GRID_TO)*((('Dvd Calendar'!$I$1572&lt;=VAL_DATE)+(COUNTIF('Dvd Calendar'!$E$1579:$AR$1579,'Dvd Calendar'!$I$1572)=0))&gt;0)=0,"",'Dvd Calendar'!$I$1572*1000000000+ISNUMBER('Dvd Calendar'!$I$1575)*100000000+('Dvd Calendar'!$I$1577=SPECIAL_LBL)*10000000+(N('Dvd Calendar'!$I$1571)&gt;0)*(N('Dvd Calendar'!$I$1571)&lt;=VAL_SERIAL)*1000000+2*1000+5))</f>
        <v/>
      </c>
      <c r="EJ161" s="121">
        <f>IF(N('Dvd Calendar'!$J$1572)=0,"",IF(('Dvd Calendar'!$J$1572&gt;=GRID_FROM)*('Dvd Calendar'!$J$1572&lt;=GRID_TO)*((('Dvd Calendar'!$J$1572&lt;=VAL_DATE)+(COUNTIF('Dvd Calendar'!$E$1579:$AR$1579,'Dvd Calendar'!$J$1572)=0))&gt;0)=0,"",'Dvd Calendar'!$J$1572*1000000000+ISNUMBER('Dvd Calendar'!$J$1575)*100000000+('Dvd Calendar'!$J$1577=SPECIAL_LBL)*10000000+(N('Dvd Calendar'!$J$1571)&gt;0)*(N('Dvd Calendar'!$J$1571)&lt;=VAL_SERIAL)*1000000+2*1000+6))</f>
        <v/>
      </c>
      <c r="EK161" s="121">
        <f>IF(N('Dvd Calendar'!$K$1572)=0,"",IF(('Dvd Calendar'!$K$1572&gt;=GRID_FROM)*('Dvd Calendar'!$K$1572&lt;=GRID_TO)*((('Dvd Calendar'!$K$1572&lt;=VAL_DATE)+(COUNTIF('Dvd Calendar'!$E$1579:$AR$1579,'Dvd Calendar'!$K$1572)=0))&gt;0)=0,"",'Dvd Calendar'!$K$1572*1000000000+ISNUMBER('Dvd Calendar'!$K$1575)*100000000+('Dvd Calendar'!$K$1577=SPECIAL_LBL)*10000000+(N('Dvd Calendar'!$K$1571)&gt;0)*(N('Dvd Calendar'!$K$1571)&lt;=VAL_SERIAL)*1000000+2*1000+7))</f>
        <v/>
      </c>
      <c r="EL161" s="121">
        <f>IF(N('Dvd Calendar'!$L$1572)=0,"",IF(('Dvd Calendar'!$L$1572&gt;=GRID_FROM)*('Dvd Calendar'!$L$1572&lt;=GRID_TO)*((('Dvd Calendar'!$L$1572&lt;=VAL_DATE)+(COUNTIF('Dvd Calendar'!$E$1579:$AR$1579,'Dvd Calendar'!$L$1572)=0))&gt;0)=0,"",'Dvd Calendar'!$L$1572*1000000000+ISNUMBER('Dvd Calendar'!$L$1575)*100000000+('Dvd Calendar'!$L$1577=SPECIAL_LBL)*10000000+(N('Dvd Calendar'!$L$1571)&gt;0)*(N('Dvd Calendar'!$L$1571)&lt;=VAL_SERIAL)*1000000+2*1000+8))</f>
        <v/>
      </c>
      <c r="EM161" s="121">
        <f>IF(N('Dvd Calendar'!$M$1572)=0,"",IF(('Dvd Calendar'!$M$1572&gt;=GRID_FROM)*('Dvd Calendar'!$M$1572&lt;=GRID_TO)*((('Dvd Calendar'!$M$1572&lt;=VAL_DATE)+(COUNTIF('Dvd Calendar'!$E$1579:$AR$1579,'Dvd Calendar'!$M$1572)=0))&gt;0)=0,"",'Dvd Calendar'!$M$1572*1000000000+ISNUMBER('Dvd Calendar'!$M$1575)*100000000+('Dvd Calendar'!$M$1577=SPECIAL_LBL)*10000000+(N('Dvd Calendar'!$M$1571)&gt;0)*(N('Dvd Calendar'!$M$1571)&lt;=VAL_SERIAL)*1000000+2*1000+9))</f>
        <v/>
      </c>
      <c r="EN161" s="121">
        <f>IF(N('Dvd Calendar'!$N$1572)=0,"",IF(('Dvd Calendar'!$N$1572&gt;=GRID_FROM)*('Dvd Calendar'!$N$1572&lt;=GRID_TO)*((('Dvd Calendar'!$N$1572&lt;=VAL_DATE)+(COUNTIF('Dvd Calendar'!$E$1579:$AR$1579,'Dvd Calendar'!$N$1572)=0))&gt;0)=0,"",'Dvd Calendar'!$N$1572*1000000000+ISNUMBER('Dvd Calendar'!$N$1575)*100000000+('Dvd Calendar'!$N$1577=SPECIAL_LBL)*10000000+(N('Dvd Calendar'!$N$1571)&gt;0)*(N('Dvd Calendar'!$N$1571)&lt;=VAL_SERIAL)*1000000+2*1000+10))</f>
        <v/>
      </c>
      <c r="EO161" s="121">
        <f>IF(N('Dvd Calendar'!$O$1572)=0,"",IF(('Dvd Calendar'!$O$1572&gt;=GRID_FROM)*('Dvd Calendar'!$O$1572&lt;=GRID_TO)*((('Dvd Calendar'!$O$1572&lt;=VAL_DATE)+(COUNTIF('Dvd Calendar'!$E$1579:$AR$1579,'Dvd Calendar'!$O$1572)=0))&gt;0)=0,"",'Dvd Calendar'!$O$1572*1000000000+ISNUMBER('Dvd Calendar'!$O$1575)*100000000+('Dvd Calendar'!$O$1577=SPECIAL_LBL)*10000000+(N('Dvd Calendar'!$O$1571)&gt;0)*(N('Dvd Calendar'!$O$1571)&lt;=VAL_SERIAL)*1000000+2*1000+11))</f>
        <v/>
      </c>
      <c r="EP161" s="121">
        <f>IF(N('Dvd Calendar'!$P$1572)=0,"",IF(('Dvd Calendar'!$P$1572&gt;=GRID_FROM)*('Dvd Calendar'!$P$1572&lt;=GRID_TO)*((('Dvd Calendar'!$P$1572&lt;=VAL_DATE)+(COUNTIF('Dvd Calendar'!$E$1579:$AR$1579,'Dvd Calendar'!$P$1572)=0))&gt;0)=0,"",'Dvd Calendar'!$P$1572*1000000000+ISNUMBER('Dvd Calendar'!$P$1575)*100000000+('Dvd Calendar'!$P$1577=SPECIAL_LBL)*10000000+(N('Dvd Calendar'!$P$1571)&gt;0)*(N('Dvd Calendar'!$P$1571)&lt;=VAL_SERIAL)*1000000+2*1000+12))</f>
        <v/>
      </c>
      <c r="EQ161" s="121">
        <f>IF(N('Dvd Calendar'!$Q$1572)=0,"",IF(('Dvd Calendar'!$Q$1572&gt;=GRID_FROM)*('Dvd Calendar'!$Q$1572&lt;=GRID_TO)*((('Dvd Calendar'!$Q$1572&lt;=VAL_DATE)+(COUNTIF('Dvd Calendar'!$E$1579:$AR$1579,'Dvd Calendar'!$Q$1572)=0))&gt;0)=0,"",'Dvd Calendar'!$Q$1572*1000000000+ISNUMBER('Dvd Calendar'!$Q$1575)*100000000+('Dvd Calendar'!$Q$1577=SPECIAL_LBL)*10000000+(N('Dvd Calendar'!$Q$1571)&gt;0)*(N('Dvd Calendar'!$Q$1571)&lt;=VAL_SERIAL)*1000000+2*1000+13))</f>
        <v/>
      </c>
      <c r="ER161" s="121">
        <f>IF(N('Dvd Calendar'!$R$1572)=0,"",IF(('Dvd Calendar'!$R$1572&gt;=GRID_FROM)*('Dvd Calendar'!$R$1572&lt;=GRID_TO)*((('Dvd Calendar'!$R$1572&lt;=VAL_DATE)+(COUNTIF('Dvd Calendar'!$E$1579:$AR$1579,'Dvd Calendar'!$R$1572)=0))&gt;0)=0,"",'Dvd Calendar'!$R$1572*1000000000+ISNUMBER('Dvd Calendar'!$R$1575)*100000000+('Dvd Calendar'!$R$1577=SPECIAL_LBL)*10000000+(N('Dvd Calendar'!$R$1571)&gt;0)*(N('Dvd Calendar'!$R$1571)&lt;=VAL_SERIAL)*1000000+2*1000+14))</f>
        <v/>
      </c>
      <c r="ES161" s="121">
        <f>IF(N('Dvd Calendar'!$S$1572)=0,"",IF(('Dvd Calendar'!$S$1572&gt;=GRID_FROM)*('Dvd Calendar'!$S$1572&lt;=GRID_TO)*((('Dvd Calendar'!$S$1572&lt;=VAL_DATE)+(COUNTIF('Dvd Calendar'!$E$1579:$AR$1579,'Dvd Calendar'!$S$1572)=0))&gt;0)=0,"",'Dvd Calendar'!$S$1572*1000000000+ISNUMBER('Dvd Calendar'!$S$1575)*100000000+('Dvd Calendar'!$S$1577=SPECIAL_LBL)*10000000+(N('Dvd Calendar'!$S$1571)&gt;0)*(N('Dvd Calendar'!$S$1571)&lt;=VAL_SERIAL)*1000000+2*1000+15))</f>
        <v/>
      </c>
      <c r="ET161" s="121">
        <f>IF(N('Dvd Calendar'!$T$1572)=0,"",IF(('Dvd Calendar'!$T$1572&gt;=GRID_FROM)*('Dvd Calendar'!$T$1572&lt;=GRID_TO)*((('Dvd Calendar'!$T$1572&lt;=VAL_DATE)+(COUNTIF('Dvd Calendar'!$E$1579:$AR$1579,'Dvd Calendar'!$T$1572)=0))&gt;0)=0,"",'Dvd Calendar'!$T$1572*1000000000+ISNUMBER('Dvd Calendar'!$T$1575)*100000000+('Dvd Calendar'!$T$1577=SPECIAL_LBL)*10000000+(N('Dvd Calendar'!$T$1571)&gt;0)*(N('Dvd Calendar'!$T$1571)&lt;=VAL_SERIAL)*1000000+2*1000+16))</f>
        <v/>
      </c>
      <c r="EU161" s="121">
        <f>IF(N('Dvd Calendar'!$U$1572)=0,"",IF(('Dvd Calendar'!$U$1572&gt;=GRID_FROM)*('Dvd Calendar'!$U$1572&lt;=GRID_TO)*((('Dvd Calendar'!$U$1572&lt;=VAL_DATE)+(COUNTIF('Dvd Calendar'!$E$1579:$AR$1579,'Dvd Calendar'!$U$1572)=0))&gt;0)=0,"",'Dvd Calendar'!$U$1572*1000000000+ISNUMBER('Dvd Calendar'!$U$1575)*100000000+('Dvd Calendar'!$U$1577=SPECIAL_LBL)*10000000+(N('Dvd Calendar'!$U$1571)&gt;0)*(N('Dvd Calendar'!$U$1571)&lt;=VAL_SERIAL)*1000000+2*1000+17))</f>
        <v/>
      </c>
      <c r="EV161" s="121">
        <f>IF(N('Dvd Calendar'!$V$1572)=0,"",IF(('Dvd Calendar'!$V$1572&gt;=GRID_FROM)*('Dvd Calendar'!$V$1572&lt;=GRID_TO)*((('Dvd Calendar'!$V$1572&lt;=VAL_DATE)+(COUNTIF('Dvd Calendar'!$E$1579:$AR$1579,'Dvd Calendar'!$V$1572)=0))&gt;0)=0,"",'Dvd Calendar'!$V$1572*1000000000+ISNUMBER('Dvd Calendar'!$V$1575)*100000000+('Dvd Calendar'!$V$1577=SPECIAL_LBL)*10000000+(N('Dvd Calendar'!$V$1571)&gt;0)*(N('Dvd Calendar'!$V$1571)&lt;=VAL_SERIAL)*1000000+2*1000+18))</f>
        <v/>
      </c>
      <c r="EW161" s="121">
        <f>IF(N('Dvd Calendar'!$W$1572)=0,"",IF(('Dvd Calendar'!$W$1572&gt;=GRID_FROM)*('Dvd Calendar'!$W$1572&lt;=GRID_TO)*((('Dvd Calendar'!$W$1572&lt;=VAL_DATE)+(COUNTIF('Dvd Calendar'!$E$1579:$AR$1579,'Dvd Calendar'!$W$1572)=0))&gt;0)=0,"",'Dvd Calendar'!$W$1572*1000000000+ISNUMBER('Dvd Calendar'!$W$1575)*100000000+('Dvd Calendar'!$W$1577=SPECIAL_LBL)*10000000+(N('Dvd Calendar'!$W$1571)&gt;0)*(N('Dvd Calendar'!$W$1571)&lt;=VAL_SERIAL)*1000000+2*1000+19))</f>
        <v/>
      </c>
      <c r="EX161" s="121">
        <f>IF(N('Dvd Calendar'!$X$1572)=0,"",IF(('Dvd Calendar'!$X$1572&gt;=GRID_FROM)*('Dvd Calendar'!$X$1572&lt;=GRID_TO)*((('Dvd Calendar'!$X$1572&lt;=VAL_DATE)+(COUNTIF('Dvd Calendar'!$E$1579:$AR$1579,'Dvd Calendar'!$X$1572)=0))&gt;0)=0,"",'Dvd Calendar'!$X$1572*1000000000+ISNUMBER('Dvd Calendar'!$X$1575)*100000000+('Dvd Calendar'!$X$1577=SPECIAL_LBL)*10000000+(N('Dvd Calendar'!$X$1571)&gt;0)*(N('Dvd Calendar'!$X$1571)&lt;=VAL_SERIAL)*1000000+2*1000+20))</f>
        <v/>
      </c>
      <c r="EY161" s="121">
        <f>IF(N('Dvd Calendar'!$Y$1572)=0,"",IF(('Dvd Calendar'!$Y$1572&gt;=GRID_FROM)*('Dvd Calendar'!$Y$1572&lt;=GRID_TO)*((('Dvd Calendar'!$Y$1572&lt;=VAL_DATE)+(COUNTIF('Dvd Calendar'!$E$1579:$AR$1579,'Dvd Calendar'!$Y$1572)=0))&gt;0)=0,"",'Dvd Calendar'!$Y$1572*1000000000+ISNUMBER('Dvd Calendar'!$Y$1575)*100000000+('Dvd Calendar'!$Y$1577=SPECIAL_LBL)*10000000+(N('Dvd Calendar'!$Y$1571)&gt;0)*(N('Dvd Calendar'!$Y$1571)&lt;=VAL_SERIAL)*1000000+2*1000+21))</f>
        <v/>
      </c>
      <c r="EZ161" s="121">
        <f>IF(N('Dvd Calendar'!$Z$1572)=0,"",IF(('Dvd Calendar'!$Z$1572&gt;=GRID_FROM)*('Dvd Calendar'!$Z$1572&lt;=GRID_TO)*((('Dvd Calendar'!$Z$1572&lt;=VAL_DATE)+(COUNTIF('Dvd Calendar'!$E$1579:$AR$1579,'Dvd Calendar'!$Z$1572)=0))&gt;0)=0,"",'Dvd Calendar'!$Z$1572*1000000000+ISNUMBER('Dvd Calendar'!$Z$1575)*100000000+('Dvd Calendar'!$Z$1577=SPECIAL_LBL)*10000000+(N('Dvd Calendar'!$Z$1571)&gt;0)*(N('Dvd Calendar'!$Z$1571)&lt;=VAL_SERIAL)*1000000+2*1000+22))</f>
        <v/>
      </c>
      <c r="FA161" s="121">
        <f>IF(N('Dvd Calendar'!$AA$1572)=0,"",IF(('Dvd Calendar'!$AA$1572&gt;=GRID_FROM)*('Dvd Calendar'!$AA$1572&lt;=GRID_TO)*((('Dvd Calendar'!$AA$1572&lt;=VAL_DATE)+(COUNTIF('Dvd Calendar'!$E$1579:$AR$1579,'Dvd Calendar'!$AA$1572)=0))&gt;0)=0,"",'Dvd Calendar'!$AA$1572*1000000000+ISNUMBER('Dvd Calendar'!$AA$1575)*100000000+('Dvd Calendar'!$AA$1577=SPECIAL_LBL)*10000000+(N('Dvd Calendar'!$AA$1571)&gt;0)*(N('Dvd Calendar'!$AA$1571)&lt;=VAL_SERIAL)*1000000+2*1000+23))</f>
        <v/>
      </c>
      <c r="FB161" s="121">
        <f>IF(N('Dvd Calendar'!$AB$1572)=0,"",IF(('Dvd Calendar'!$AB$1572&gt;=GRID_FROM)*('Dvd Calendar'!$AB$1572&lt;=GRID_TO)*((('Dvd Calendar'!$AB$1572&lt;=VAL_DATE)+(COUNTIF('Dvd Calendar'!$E$1579:$AR$1579,'Dvd Calendar'!$AB$1572)=0))&gt;0)=0,"",'Dvd Calendar'!$AB$1572*1000000000+ISNUMBER('Dvd Calendar'!$AB$1575)*100000000+('Dvd Calendar'!$AB$1577=SPECIAL_LBL)*10000000+(N('Dvd Calendar'!$AB$1571)&gt;0)*(N('Dvd Calendar'!$AB$1571)&lt;=VAL_SERIAL)*1000000+2*1000+24))</f>
        <v/>
      </c>
      <c r="FC161" s="121">
        <f>IF(N('Dvd Calendar'!$AC$1572)=0,"",IF(('Dvd Calendar'!$AC$1572&gt;=GRID_FROM)*('Dvd Calendar'!$AC$1572&lt;=GRID_TO)*((('Dvd Calendar'!$AC$1572&lt;=VAL_DATE)+(COUNTIF('Dvd Calendar'!$E$1579:$AR$1579,'Dvd Calendar'!$AC$1572)=0))&gt;0)=0,"",'Dvd Calendar'!$AC$1572*1000000000+ISNUMBER('Dvd Calendar'!$AC$1575)*100000000+('Dvd Calendar'!$AC$1577=SPECIAL_LBL)*10000000+(N('Dvd Calendar'!$AC$1571)&gt;0)*(N('Dvd Calendar'!$AC$1571)&lt;=VAL_SERIAL)*1000000+2*1000+25))</f>
        <v/>
      </c>
      <c r="FD161" s="121">
        <f>IF(N('Dvd Calendar'!$AD$1572)=0,"",IF(('Dvd Calendar'!$AD$1572&gt;=GRID_FROM)*('Dvd Calendar'!$AD$1572&lt;=GRID_TO)*((('Dvd Calendar'!$AD$1572&lt;=VAL_DATE)+(COUNTIF('Dvd Calendar'!$E$1579:$AR$1579,'Dvd Calendar'!$AD$1572)=0))&gt;0)=0,"",'Dvd Calendar'!$AD$1572*1000000000+ISNUMBER('Dvd Calendar'!$AD$1575)*100000000+('Dvd Calendar'!$AD$1577=SPECIAL_LBL)*10000000+(N('Dvd Calendar'!$AD$1571)&gt;0)*(N('Dvd Calendar'!$AD$1571)&lt;=VAL_SERIAL)*1000000+2*1000+26))</f>
        <v/>
      </c>
      <c r="FE161" s="121">
        <f>IF(N('Dvd Calendar'!$AE$1572)=0,"",IF(('Dvd Calendar'!$AE$1572&gt;=GRID_FROM)*('Dvd Calendar'!$AE$1572&lt;=GRID_TO)*((('Dvd Calendar'!$AE$1572&lt;=VAL_DATE)+(COUNTIF('Dvd Calendar'!$E$1579:$AR$1579,'Dvd Calendar'!$AE$1572)=0))&gt;0)=0,"",'Dvd Calendar'!$AE$1572*1000000000+ISNUMBER('Dvd Calendar'!$AE$1575)*100000000+('Dvd Calendar'!$AE$1577=SPECIAL_LBL)*10000000+(N('Dvd Calendar'!$AE$1571)&gt;0)*(N('Dvd Calendar'!$AE$1571)&lt;=VAL_SERIAL)*1000000+2*1000+27))</f>
        <v/>
      </c>
      <c r="FF161" s="121">
        <f>IF(N('Dvd Calendar'!$AF$1572)=0,"",IF(('Dvd Calendar'!$AF$1572&gt;=GRID_FROM)*('Dvd Calendar'!$AF$1572&lt;=GRID_TO)*((('Dvd Calendar'!$AF$1572&lt;=VAL_DATE)+(COUNTIF('Dvd Calendar'!$E$1579:$AR$1579,'Dvd Calendar'!$AF$1572)=0))&gt;0)=0,"",'Dvd Calendar'!$AF$1572*1000000000+ISNUMBER('Dvd Calendar'!$AF$1575)*100000000+('Dvd Calendar'!$AF$1577=SPECIAL_LBL)*10000000+(N('Dvd Calendar'!$AF$1571)&gt;0)*(N('Dvd Calendar'!$AF$1571)&lt;=VAL_SERIAL)*1000000+2*1000+28))</f>
        <v/>
      </c>
      <c r="FG161" s="121">
        <f>IF(N('Dvd Calendar'!$AG$1572)=0,"",IF(('Dvd Calendar'!$AG$1572&gt;=GRID_FROM)*('Dvd Calendar'!$AG$1572&lt;=GRID_TO)*((('Dvd Calendar'!$AG$1572&lt;=VAL_DATE)+(COUNTIF('Dvd Calendar'!$E$1579:$AR$1579,'Dvd Calendar'!$AG$1572)=0))&gt;0)=0,"",'Dvd Calendar'!$AG$1572*1000000000+ISNUMBER('Dvd Calendar'!$AG$1575)*100000000+('Dvd Calendar'!$AG$1577=SPECIAL_LBL)*10000000+(N('Dvd Calendar'!$AG$1571)&gt;0)*(N('Dvd Calendar'!$AG$1571)&lt;=VAL_SERIAL)*1000000+2*1000+29))</f>
        <v/>
      </c>
      <c r="FH161" s="121">
        <f>IF(N('Dvd Calendar'!$AH$1572)=0,"",IF(('Dvd Calendar'!$AH$1572&gt;=GRID_FROM)*('Dvd Calendar'!$AH$1572&lt;=GRID_TO)*((('Dvd Calendar'!$AH$1572&lt;=VAL_DATE)+(COUNTIF('Dvd Calendar'!$E$1579:$AR$1579,'Dvd Calendar'!$AH$1572)=0))&gt;0)=0,"",'Dvd Calendar'!$AH$1572*1000000000+ISNUMBER('Dvd Calendar'!$AH$1575)*100000000+('Dvd Calendar'!$AH$1577=SPECIAL_LBL)*10000000+(N('Dvd Calendar'!$AH$1571)&gt;0)*(N('Dvd Calendar'!$AH$1571)&lt;=VAL_SERIAL)*1000000+2*1000+30))</f>
        <v/>
      </c>
      <c r="FI161" s="121">
        <f>IF(N('Dvd Calendar'!$AI$1572)=0,"",IF(('Dvd Calendar'!$AI$1572&gt;=GRID_FROM)*('Dvd Calendar'!$AI$1572&lt;=GRID_TO)*((('Dvd Calendar'!$AI$1572&lt;=VAL_DATE)+(COUNTIF('Dvd Calendar'!$E$1579:$AR$1579,'Dvd Calendar'!$AI$1572)=0))&gt;0)=0,"",'Dvd Calendar'!$AI$1572*1000000000+ISNUMBER('Dvd Calendar'!$AI$1575)*100000000+('Dvd Calendar'!$AI$1577=SPECIAL_LBL)*10000000+(N('Dvd Calendar'!$AI$1571)&gt;0)*(N('Dvd Calendar'!$AI$1571)&lt;=VAL_SERIAL)*1000000+2*1000+31))</f>
        <v/>
      </c>
      <c r="FJ161" s="121">
        <f>IF(N('Dvd Calendar'!$AJ$1572)=0,"",IF(('Dvd Calendar'!$AJ$1572&gt;=GRID_FROM)*('Dvd Calendar'!$AJ$1572&lt;=GRID_TO)*((('Dvd Calendar'!$AJ$1572&lt;=VAL_DATE)+(COUNTIF('Dvd Calendar'!$E$1579:$AR$1579,'Dvd Calendar'!$AJ$1572)=0))&gt;0)=0,"",'Dvd Calendar'!$AJ$1572*1000000000+ISNUMBER('Dvd Calendar'!$AJ$1575)*100000000+('Dvd Calendar'!$AJ$1577=SPECIAL_LBL)*10000000+(N('Dvd Calendar'!$AJ$1571)&gt;0)*(N('Dvd Calendar'!$AJ$1571)&lt;=VAL_SERIAL)*1000000+2*1000+32))</f>
        <v/>
      </c>
      <c r="FK161" s="121">
        <f>IF(N('Dvd Calendar'!$AK$1572)=0,"",IF(('Dvd Calendar'!$AK$1572&gt;=GRID_FROM)*('Dvd Calendar'!$AK$1572&lt;=GRID_TO)*((('Dvd Calendar'!$AK$1572&lt;=VAL_DATE)+(COUNTIF('Dvd Calendar'!$E$1579:$AR$1579,'Dvd Calendar'!$AK$1572)=0))&gt;0)=0,"",'Dvd Calendar'!$AK$1572*1000000000+ISNUMBER('Dvd Calendar'!$AK$1575)*100000000+('Dvd Calendar'!$AK$1577=SPECIAL_LBL)*10000000+(N('Dvd Calendar'!$AK$1571)&gt;0)*(N('Dvd Calendar'!$AK$1571)&lt;=VAL_SERIAL)*1000000+2*1000+33))</f>
        <v/>
      </c>
      <c r="FL161" s="121">
        <f>IF(N('Dvd Calendar'!$AL$1572)=0,"",IF(('Dvd Calendar'!$AL$1572&gt;=GRID_FROM)*('Dvd Calendar'!$AL$1572&lt;=GRID_TO)*((('Dvd Calendar'!$AL$1572&lt;=VAL_DATE)+(COUNTIF('Dvd Calendar'!$E$1579:$AR$1579,'Dvd Calendar'!$AL$1572)=0))&gt;0)=0,"",'Dvd Calendar'!$AL$1572*1000000000+ISNUMBER('Dvd Calendar'!$AL$1575)*100000000+('Dvd Calendar'!$AL$1577=SPECIAL_LBL)*10000000+(N('Dvd Calendar'!$AL$1571)&gt;0)*(N('Dvd Calendar'!$AL$1571)&lt;=VAL_SERIAL)*1000000+2*1000+34))</f>
        <v/>
      </c>
      <c r="FM161" s="121">
        <f>IF(N('Dvd Calendar'!$AM$1572)=0,"",IF(('Dvd Calendar'!$AM$1572&gt;=GRID_FROM)*('Dvd Calendar'!$AM$1572&lt;=GRID_TO)*((('Dvd Calendar'!$AM$1572&lt;=VAL_DATE)+(COUNTIF('Dvd Calendar'!$E$1579:$AR$1579,'Dvd Calendar'!$AM$1572)=0))&gt;0)=0,"",'Dvd Calendar'!$AM$1572*1000000000+ISNUMBER('Dvd Calendar'!$AM$1575)*100000000+('Dvd Calendar'!$AM$1577=SPECIAL_LBL)*10000000+(N('Dvd Calendar'!$AM$1571)&gt;0)*(N('Dvd Calendar'!$AM$1571)&lt;=VAL_SERIAL)*1000000+2*1000+35))</f>
        <v/>
      </c>
      <c r="FN161" s="121">
        <f>IF(N('Dvd Calendar'!$AN$1572)=0,"",IF(('Dvd Calendar'!$AN$1572&gt;=GRID_FROM)*('Dvd Calendar'!$AN$1572&lt;=GRID_TO)*((('Dvd Calendar'!$AN$1572&lt;=VAL_DATE)+(COUNTIF('Dvd Calendar'!$E$1579:$AR$1579,'Dvd Calendar'!$AN$1572)=0))&gt;0)=0,"",'Dvd Calendar'!$AN$1572*1000000000+ISNUMBER('Dvd Calendar'!$AN$1575)*100000000+('Dvd Calendar'!$AN$1577=SPECIAL_LBL)*10000000+(N('Dvd Calendar'!$AN$1571)&gt;0)*(N('Dvd Calendar'!$AN$1571)&lt;=VAL_SERIAL)*1000000+2*1000+36))</f>
        <v/>
      </c>
      <c r="FO161" s="121">
        <f>IF(N('Dvd Calendar'!$AO$1572)=0,"",IF(('Dvd Calendar'!$AO$1572&gt;=GRID_FROM)*('Dvd Calendar'!$AO$1572&lt;=GRID_TO)*((('Dvd Calendar'!$AO$1572&lt;=VAL_DATE)+(COUNTIF('Dvd Calendar'!$E$1579:$AR$1579,'Dvd Calendar'!$AO$1572)=0))&gt;0)=0,"",'Dvd Calendar'!$AO$1572*1000000000+ISNUMBER('Dvd Calendar'!$AO$1575)*100000000+('Dvd Calendar'!$AO$1577=SPECIAL_LBL)*10000000+(N('Dvd Calendar'!$AO$1571)&gt;0)*(N('Dvd Calendar'!$AO$1571)&lt;=VAL_SERIAL)*1000000+2*1000+37))</f>
        <v/>
      </c>
      <c r="FP161" s="121">
        <f>IF(N('Dvd Calendar'!$AP$1572)=0,"",IF(('Dvd Calendar'!$AP$1572&gt;=GRID_FROM)*('Dvd Calendar'!$AP$1572&lt;=GRID_TO)*((('Dvd Calendar'!$AP$1572&lt;=VAL_DATE)+(COUNTIF('Dvd Calendar'!$E$1579:$AR$1579,'Dvd Calendar'!$AP$1572)=0))&gt;0)=0,"",'Dvd Calendar'!$AP$1572*1000000000+ISNUMBER('Dvd Calendar'!$AP$1575)*100000000+('Dvd Calendar'!$AP$1577=SPECIAL_LBL)*10000000+(N('Dvd Calendar'!$AP$1571)&gt;0)*(N('Dvd Calendar'!$AP$1571)&lt;=VAL_SERIAL)*1000000+2*1000+38))</f>
        <v/>
      </c>
      <c r="FQ161" s="121">
        <f>IF(N('Dvd Calendar'!$AQ$1572)=0,"",IF(('Dvd Calendar'!$AQ$1572&gt;=GRID_FROM)*('Dvd Calendar'!$AQ$1572&lt;=GRID_TO)*((('Dvd Calendar'!$AQ$1572&lt;=VAL_DATE)+(COUNTIF('Dvd Calendar'!$E$1579:$AR$1579,'Dvd Calendar'!$AQ$1572)=0))&gt;0)=0,"",'Dvd Calendar'!$AQ$1572*1000000000+ISNUMBER('Dvd Calendar'!$AQ$1575)*100000000+('Dvd Calendar'!$AQ$1577=SPECIAL_LBL)*10000000+(N('Dvd Calendar'!$AQ$1571)&gt;0)*(N('Dvd Calendar'!$AQ$1571)&lt;=VAL_SERIAL)*1000000+2*1000+39))</f>
        <v/>
      </c>
      <c r="FR161" s="121">
        <f>IF(N('Dvd Calendar'!$AR$1572)=0,"",IF(('Dvd Calendar'!$AR$1572&gt;=GRID_FROM)*('Dvd Calendar'!$AR$1572&lt;=GRID_TO)*((('Dvd Calendar'!$AR$1572&lt;=VAL_DATE)+(COUNTIF('Dvd Calendar'!$E$1579:$AR$1579,'Dvd Calendar'!$AR$1572)=0))&gt;0)=0,"",'Dvd Calendar'!$AR$1572*1000000000+ISNUMBER('Dvd Calendar'!$AR$1575)*100000000+('Dvd Calendar'!$AR$1577=SPECIAL_LBL)*10000000+(N('Dvd Calendar'!$AR$1571)&gt;0)*(N('Dvd Calendar'!$AR$1571)&lt;=VAL_SERIAL)*1000000+2*1000+40))</f>
        <v/>
      </c>
      <c r="FS161" s="121">
        <f>IF(N('Dvd Calendar'!$E$1579)=0,"",IF(('Dvd Calendar'!$E$1579&gt;=GRID_FROM)*('Dvd Calendar'!$E$1579&lt;=GRID_TO)*('Dvd Calendar'!$E$1579&gt;VAL_DATE)=0,"",'Dvd Calendar'!$E$1579*1000000000+ISNUMBER('Dvd Calendar'!$E$1580)*100000000+0*10000000+(N('Dvd Calendar'!$E$1578)&gt;0)*(N('Dvd Calendar'!$E$1578)&lt;=VAL_SERIAL)*1000000+2*1000+41))</f>
        <v/>
      </c>
      <c r="FT161" s="121">
        <f>IF(N('Dvd Calendar'!$F$1579)=0,"",IF(('Dvd Calendar'!$F$1579&gt;=GRID_FROM)*('Dvd Calendar'!$F$1579&lt;=GRID_TO)*('Dvd Calendar'!$F$1579&gt;VAL_DATE)=0,"",'Dvd Calendar'!$F$1579*1000000000+ISNUMBER('Dvd Calendar'!$F$1580)*100000000+0*10000000+(N('Dvd Calendar'!$F$1578)&gt;0)*(N('Dvd Calendar'!$F$1578)&lt;=VAL_SERIAL)*1000000+2*1000+42))</f>
        <v/>
      </c>
      <c r="FU161" s="121">
        <f>IF(N('Dvd Calendar'!$G$1579)=0,"",IF(('Dvd Calendar'!$G$1579&gt;=GRID_FROM)*('Dvd Calendar'!$G$1579&lt;=GRID_TO)*('Dvd Calendar'!$G$1579&gt;VAL_DATE)=0,"",'Dvd Calendar'!$G$1579*1000000000+ISNUMBER('Dvd Calendar'!$G$1580)*100000000+0*10000000+(N('Dvd Calendar'!$G$1578)&gt;0)*(N('Dvd Calendar'!$G$1578)&lt;=VAL_SERIAL)*1000000+2*1000+43))</f>
        <v/>
      </c>
      <c r="FV161" s="121">
        <f>IF(N('Dvd Calendar'!$H$1579)=0,"",IF(('Dvd Calendar'!$H$1579&gt;=GRID_FROM)*('Dvd Calendar'!$H$1579&lt;=GRID_TO)*('Dvd Calendar'!$H$1579&gt;VAL_DATE)=0,"",'Dvd Calendar'!$H$1579*1000000000+ISNUMBER('Dvd Calendar'!$H$1580)*100000000+0*10000000+(N('Dvd Calendar'!$H$1578)&gt;0)*(N('Dvd Calendar'!$H$1578)&lt;=VAL_SERIAL)*1000000+2*1000+44))</f>
        <v/>
      </c>
      <c r="FW161" s="121">
        <f>IF(N('Dvd Calendar'!$I$1579)=0,"",IF(('Dvd Calendar'!$I$1579&gt;=GRID_FROM)*('Dvd Calendar'!$I$1579&lt;=GRID_TO)*('Dvd Calendar'!$I$1579&gt;VAL_DATE)=0,"",'Dvd Calendar'!$I$1579*1000000000+ISNUMBER('Dvd Calendar'!$I$1580)*100000000+0*10000000+(N('Dvd Calendar'!$I$1578)&gt;0)*(N('Dvd Calendar'!$I$1578)&lt;=VAL_SERIAL)*1000000+2*1000+45))</f>
        <v/>
      </c>
      <c r="FX161" s="121">
        <f>IF(N('Dvd Calendar'!$J$1579)=0,"",IF(('Dvd Calendar'!$J$1579&gt;=GRID_FROM)*('Dvd Calendar'!$J$1579&lt;=GRID_TO)*('Dvd Calendar'!$J$1579&gt;VAL_DATE)=0,"",'Dvd Calendar'!$J$1579*1000000000+ISNUMBER('Dvd Calendar'!$J$1580)*100000000+0*10000000+(N('Dvd Calendar'!$J$1578)&gt;0)*(N('Dvd Calendar'!$J$1578)&lt;=VAL_SERIAL)*1000000+2*1000+46))</f>
        <v/>
      </c>
      <c r="FY161" s="121">
        <f>IF(N('Dvd Calendar'!$K$1579)=0,"",IF(('Dvd Calendar'!$K$1579&gt;=GRID_FROM)*('Dvd Calendar'!$K$1579&lt;=GRID_TO)*('Dvd Calendar'!$K$1579&gt;VAL_DATE)=0,"",'Dvd Calendar'!$K$1579*1000000000+ISNUMBER('Dvd Calendar'!$K$1580)*100000000+0*10000000+(N('Dvd Calendar'!$K$1578)&gt;0)*(N('Dvd Calendar'!$K$1578)&lt;=VAL_SERIAL)*1000000+2*1000+47))</f>
        <v/>
      </c>
      <c r="FZ161" s="121">
        <f>IF(N('Dvd Calendar'!$L$1579)=0,"",IF(('Dvd Calendar'!$L$1579&gt;=GRID_FROM)*('Dvd Calendar'!$L$1579&lt;=GRID_TO)*('Dvd Calendar'!$L$1579&gt;VAL_DATE)=0,"",'Dvd Calendar'!$L$1579*1000000000+ISNUMBER('Dvd Calendar'!$L$1580)*100000000+0*10000000+(N('Dvd Calendar'!$L$1578)&gt;0)*(N('Dvd Calendar'!$L$1578)&lt;=VAL_SERIAL)*1000000+2*1000+48))</f>
        <v/>
      </c>
      <c r="GA161" s="121">
        <f>IF(N('Dvd Calendar'!$M$1579)=0,"",IF(('Dvd Calendar'!$M$1579&gt;=GRID_FROM)*('Dvd Calendar'!$M$1579&lt;=GRID_TO)*('Dvd Calendar'!$M$1579&gt;VAL_DATE)=0,"",'Dvd Calendar'!$M$1579*1000000000+ISNUMBER('Dvd Calendar'!$M$1580)*100000000+0*10000000+(N('Dvd Calendar'!$M$1578)&gt;0)*(N('Dvd Calendar'!$M$1578)&lt;=VAL_SERIAL)*1000000+2*1000+49))</f>
        <v/>
      </c>
      <c r="GB161" s="121">
        <f>IF(N('Dvd Calendar'!$N$1579)=0,"",IF(('Dvd Calendar'!$N$1579&gt;=GRID_FROM)*('Dvd Calendar'!$N$1579&lt;=GRID_TO)*('Dvd Calendar'!$N$1579&gt;VAL_DATE)=0,"",'Dvd Calendar'!$N$1579*1000000000+ISNUMBER('Dvd Calendar'!$N$1580)*100000000+0*10000000+(N('Dvd Calendar'!$N$1578)&gt;0)*(N('Dvd Calendar'!$N$1578)&lt;=VAL_SERIAL)*1000000+2*1000+50))</f>
        <v/>
      </c>
      <c r="GC161" s="121">
        <f>IF(N('Dvd Calendar'!$O$1579)=0,"",IF(('Dvd Calendar'!$O$1579&gt;=GRID_FROM)*('Dvd Calendar'!$O$1579&lt;=GRID_TO)*('Dvd Calendar'!$O$1579&gt;VAL_DATE)=0,"",'Dvd Calendar'!$O$1579*1000000000+ISNUMBER('Dvd Calendar'!$O$1580)*100000000+0*10000000+(N('Dvd Calendar'!$O$1578)&gt;0)*(N('Dvd Calendar'!$O$1578)&lt;=VAL_SERIAL)*1000000+2*1000+51))</f>
        <v/>
      </c>
      <c r="GD161" s="121">
        <f>IF(N('Dvd Calendar'!$P$1579)=0,"",IF(('Dvd Calendar'!$P$1579&gt;=GRID_FROM)*('Dvd Calendar'!$P$1579&lt;=GRID_TO)*('Dvd Calendar'!$P$1579&gt;VAL_DATE)=0,"",'Dvd Calendar'!$P$1579*1000000000+ISNUMBER('Dvd Calendar'!$P$1580)*100000000+0*10000000+(N('Dvd Calendar'!$P$1578)&gt;0)*(N('Dvd Calendar'!$P$1578)&lt;=VAL_SERIAL)*1000000+2*1000+52))</f>
        <v/>
      </c>
      <c r="GE161" s="121">
        <f>IF(N('Dvd Calendar'!$Q$1579)=0,"",IF(('Dvd Calendar'!$Q$1579&gt;=GRID_FROM)*('Dvd Calendar'!$Q$1579&lt;=GRID_TO)*('Dvd Calendar'!$Q$1579&gt;VAL_DATE)=0,"",'Dvd Calendar'!$Q$1579*1000000000+ISNUMBER('Dvd Calendar'!$Q$1580)*100000000+0*10000000+(N('Dvd Calendar'!$Q$1578)&gt;0)*(N('Dvd Calendar'!$Q$1578)&lt;=VAL_SERIAL)*1000000+2*1000+53))</f>
        <v/>
      </c>
      <c r="GF161" s="121">
        <f>IF(N('Dvd Calendar'!$R$1579)=0,"",IF(('Dvd Calendar'!$R$1579&gt;=GRID_FROM)*('Dvd Calendar'!$R$1579&lt;=GRID_TO)*('Dvd Calendar'!$R$1579&gt;VAL_DATE)=0,"",'Dvd Calendar'!$R$1579*1000000000+ISNUMBER('Dvd Calendar'!$R$1580)*100000000+0*10000000+(N('Dvd Calendar'!$R$1578)&gt;0)*(N('Dvd Calendar'!$R$1578)&lt;=VAL_SERIAL)*1000000+2*1000+54))</f>
        <v/>
      </c>
      <c r="GG161" s="121">
        <f>IF(N('Dvd Calendar'!$S$1579)=0,"",IF(('Dvd Calendar'!$S$1579&gt;=GRID_FROM)*('Dvd Calendar'!$S$1579&lt;=GRID_TO)*('Dvd Calendar'!$S$1579&gt;VAL_DATE)=0,"",'Dvd Calendar'!$S$1579*1000000000+ISNUMBER('Dvd Calendar'!$S$1580)*100000000+0*10000000+(N('Dvd Calendar'!$S$1578)&gt;0)*(N('Dvd Calendar'!$S$1578)&lt;=VAL_SERIAL)*1000000+2*1000+55))</f>
        <v/>
      </c>
      <c r="GH161" s="121">
        <f>IF(N('Dvd Calendar'!$T$1579)=0,"",IF(('Dvd Calendar'!$T$1579&gt;=GRID_FROM)*('Dvd Calendar'!$T$1579&lt;=GRID_TO)*('Dvd Calendar'!$T$1579&gt;VAL_DATE)=0,"",'Dvd Calendar'!$T$1579*1000000000+ISNUMBER('Dvd Calendar'!$T$1580)*100000000+0*10000000+(N('Dvd Calendar'!$T$1578)&gt;0)*(N('Dvd Calendar'!$T$1578)&lt;=VAL_SERIAL)*1000000+2*1000+56))</f>
        <v/>
      </c>
      <c r="GI161" s="121">
        <f>IF(N('Dvd Calendar'!$U$1579)=0,"",IF(('Dvd Calendar'!$U$1579&gt;=GRID_FROM)*('Dvd Calendar'!$U$1579&lt;=GRID_TO)*('Dvd Calendar'!$U$1579&gt;VAL_DATE)=0,"",'Dvd Calendar'!$U$1579*1000000000+ISNUMBER('Dvd Calendar'!$U$1580)*100000000+0*10000000+(N('Dvd Calendar'!$U$1578)&gt;0)*(N('Dvd Calendar'!$U$1578)&lt;=VAL_SERIAL)*1000000+2*1000+57))</f>
        <v/>
      </c>
      <c r="GJ161" s="121">
        <f>IF(N('Dvd Calendar'!$V$1579)=0,"",IF(('Dvd Calendar'!$V$1579&gt;=GRID_FROM)*('Dvd Calendar'!$V$1579&lt;=GRID_TO)*('Dvd Calendar'!$V$1579&gt;VAL_DATE)=0,"",'Dvd Calendar'!$V$1579*1000000000+ISNUMBER('Dvd Calendar'!$V$1580)*100000000+0*10000000+(N('Dvd Calendar'!$V$1578)&gt;0)*(N('Dvd Calendar'!$V$1578)&lt;=VAL_SERIAL)*1000000+2*1000+58))</f>
        <v/>
      </c>
      <c r="GK161" s="121">
        <f>IF(N('Dvd Calendar'!$W$1579)=0,"",IF(('Dvd Calendar'!$W$1579&gt;=GRID_FROM)*('Dvd Calendar'!$W$1579&lt;=GRID_TO)*('Dvd Calendar'!$W$1579&gt;VAL_DATE)=0,"",'Dvd Calendar'!$W$1579*1000000000+ISNUMBER('Dvd Calendar'!$W$1580)*100000000+0*10000000+(N('Dvd Calendar'!$W$1578)&gt;0)*(N('Dvd Calendar'!$W$1578)&lt;=VAL_SERIAL)*1000000+2*1000+59))</f>
        <v/>
      </c>
      <c r="GL161" s="121">
        <f>IF(N('Dvd Calendar'!$X$1579)=0,"",IF(('Dvd Calendar'!$X$1579&gt;=GRID_FROM)*('Dvd Calendar'!$X$1579&lt;=GRID_TO)*('Dvd Calendar'!$X$1579&gt;VAL_DATE)=0,"",'Dvd Calendar'!$X$1579*1000000000+ISNUMBER('Dvd Calendar'!$X$1580)*100000000+0*10000000+(N('Dvd Calendar'!$X$1578)&gt;0)*(N('Dvd Calendar'!$X$1578)&lt;=VAL_SERIAL)*1000000+2*1000+60))</f>
        <v/>
      </c>
      <c r="GM161" s="121">
        <f>IF(N('Dvd Calendar'!$Y$1579)=0,"",IF(('Dvd Calendar'!$Y$1579&gt;=GRID_FROM)*('Dvd Calendar'!$Y$1579&lt;=GRID_TO)*('Dvd Calendar'!$Y$1579&gt;VAL_DATE)=0,"",'Dvd Calendar'!$Y$1579*1000000000+ISNUMBER('Dvd Calendar'!$Y$1580)*100000000+0*10000000+(N('Dvd Calendar'!$Y$1578)&gt;0)*(N('Dvd Calendar'!$Y$1578)&lt;=VAL_SERIAL)*1000000+2*1000+61))</f>
        <v/>
      </c>
      <c r="GN161" s="121">
        <f>IF(N('Dvd Calendar'!$Z$1579)=0,"",IF(('Dvd Calendar'!$Z$1579&gt;=GRID_FROM)*('Dvd Calendar'!$Z$1579&lt;=GRID_TO)*('Dvd Calendar'!$Z$1579&gt;VAL_DATE)=0,"",'Dvd Calendar'!$Z$1579*1000000000+ISNUMBER('Dvd Calendar'!$Z$1580)*100000000+0*10000000+(N('Dvd Calendar'!$Z$1578)&gt;0)*(N('Dvd Calendar'!$Z$1578)&lt;=VAL_SERIAL)*1000000+2*1000+62))</f>
        <v/>
      </c>
      <c r="GO161" s="121">
        <f>IF(N('Dvd Calendar'!$AA$1579)=0,"",IF(('Dvd Calendar'!$AA$1579&gt;=GRID_FROM)*('Dvd Calendar'!$AA$1579&lt;=GRID_TO)*('Dvd Calendar'!$AA$1579&gt;VAL_DATE)=0,"",'Dvd Calendar'!$AA$1579*1000000000+ISNUMBER('Dvd Calendar'!$AA$1580)*100000000+0*10000000+(N('Dvd Calendar'!$AA$1578)&gt;0)*(N('Dvd Calendar'!$AA$1578)&lt;=VAL_SERIAL)*1000000+2*1000+63))</f>
        <v/>
      </c>
      <c r="GP161" s="121">
        <f>IF(N('Dvd Calendar'!$AB$1579)=0,"",IF(('Dvd Calendar'!$AB$1579&gt;=GRID_FROM)*('Dvd Calendar'!$AB$1579&lt;=GRID_TO)*('Dvd Calendar'!$AB$1579&gt;VAL_DATE)=0,"",'Dvd Calendar'!$AB$1579*1000000000+ISNUMBER('Dvd Calendar'!$AB$1580)*100000000+0*10000000+(N('Dvd Calendar'!$AB$1578)&gt;0)*(N('Dvd Calendar'!$AB$1578)&lt;=VAL_SERIAL)*1000000+2*1000+64))</f>
        <v/>
      </c>
      <c r="GQ161" s="121">
        <f>IF(N('Dvd Calendar'!$AC$1579)=0,"",IF(('Dvd Calendar'!$AC$1579&gt;=GRID_FROM)*('Dvd Calendar'!$AC$1579&lt;=GRID_TO)*('Dvd Calendar'!$AC$1579&gt;VAL_DATE)=0,"",'Dvd Calendar'!$AC$1579*1000000000+ISNUMBER('Dvd Calendar'!$AC$1580)*100000000+0*10000000+(N('Dvd Calendar'!$AC$1578)&gt;0)*(N('Dvd Calendar'!$AC$1578)&lt;=VAL_SERIAL)*1000000+2*1000+65))</f>
        <v/>
      </c>
    </row>
    <row r="162">
      <c r="B162" s="2">
        <f>IF(HSCEI!$C$9="","",HSCEI!$C$9)</f>
        <v/>
      </c>
      <c r="C162" s="161">
        <f>IF(EE162="","",IF(ISNUMBER('Dvd Calendar'!$E$1586)=FALSE,"",IF((('Dvd Calendar'!$E$1588=TYPE1)*(TYPE1&lt;&gt;"")+('Dvd Calendar'!$E$1588=TYPE2)*(TYPE2&lt;&gt;"")+('Dvd Calendar'!$E$1588=TYPE3)*(TYPE3&lt;&gt;"")+('Dvd Calendar'!$E$1588=TYPE4)*(TYPE4&lt;&gt;"")+('Dvd Calendar'!$E$1588=SPECIAL_LBL)*(INC_SPECIALS="Y"))=0,"",'Dvd Calendar'!$E$1586)))</f>
        <v/>
      </c>
      <c r="D162" s="161">
        <f>IF(EF162="","",IF(ISNUMBER('Dvd Calendar'!$F$1586)=FALSE,"",IF((('Dvd Calendar'!$F$1588=TYPE1)*(TYPE1&lt;&gt;"")+('Dvd Calendar'!$F$1588=TYPE2)*(TYPE2&lt;&gt;"")+('Dvd Calendar'!$F$1588=TYPE3)*(TYPE3&lt;&gt;"")+('Dvd Calendar'!$F$1588=TYPE4)*(TYPE4&lt;&gt;"")+('Dvd Calendar'!$F$1588=SPECIAL_LBL)*(INC_SPECIALS="Y"))=0,"",'Dvd Calendar'!$F$1586)))</f>
        <v/>
      </c>
      <c r="E162" s="161">
        <f>IF(EG162="","",IF(ISNUMBER('Dvd Calendar'!$G$1586)=FALSE,"",IF((('Dvd Calendar'!$G$1588=TYPE1)*(TYPE1&lt;&gt;"")+('Dvd Calendar'!$G$1588=TYPE2)*(TYPE2&lt;&gt;"")+('Dvd Calendar'!$G$1588=TYPE3)*(TYPE3&lt;&gt;"")+('Dvd Calendar'!$G$1588=TYPE4)*(TYPE4&lt;&gt;"")+('Dvd Calendar'!$G$1588=SPECIAL_LBL)*(INC_SPECIALS="Y"))=0,"",'Dvd Calendar'!$G$1586)))</f>
        <v/>
      </c>
      <c r="F162" s="161">
        <f>IF(EH162="","",IF(ISNUMBER('Dvd Calendar'!$H$1586)=FALSE,"",IF((('Dvd Calendar'!$H$1588=TYPE1)*(TYPE1&lt;&gt;"")+('Dvd Calendar'!$H$1588=TYPE2)*(TYPE2&lt;&gt;"")+('Dvd Calendar'!$H$1588=TYPE3)*(TYPE3&lt;&gt;"")+('Dvd Calendar'!$H$1588=TYPE4)*(TYPE4&lt;&gt;"")+('Dvd Calendar'!$H$1588=SPECIAL_LBL)*(INC_SPECIALS="Y"))=0,"",'Dvd Calendar'!$H$1586)))</f>
        <v/>
      </c>
      <c r="G162" s="161">
        <f>IF(EI162="","",IF(ISNUMBER('Dvd Calendar'!$I$1586)=FALSE,"",IF((('Dvd Calendar'!$I$1588=TYPE1)*(TYPE1&lt;&gt;"")+('Dvd Calendar'!$I$1588=TYPE2)*(TYPE2&lt;&gt;"")+('Dvd Calendar'!$I$1588=TYPE3)*(TYPE3&lt;&gt;"")+('Dvd Calendar'!$I$1588=TYPE4)*(TYPE4&lt;&gt;"")+('Dvd Calendar'!$I$1588=SPECIAL_LBL)*(INC_SPECIALS="Y"))=0,"",'Dvd Calendar'!$I$1586)))</f>
        <v/>
      </c>
      <c r="H162" s="161">
        <f>IF(EJ162="","",IF(ISNUMBER('Dvd Calendar'!$J$1586)=FALSE,"",IF((('Dvd Calendar'!$J$1588=TYPE1)*(TYPE1&lt;&gt;"")+('Dvd Calendar'!$J$1588=TYPE2)*(TYPE2&lt;&gt;"")+('Dvd Calendar'!$J$1588=TYPE3)*(TYPE3&lt;&gt;"")+('Dvd Calendar'!$J$1588=TYPE4)*(TYPE4&lt;&gt;"")+('Dvd Calendar'!$J$1588=SPECIAL_LBL)*(INC_SPECIALS="Y"))=0,"",'Dvd Calendar'!$J$1586)))</f>
        <v/>
      </c>
      <c r="I162" s="161">
        <f>IF(EK162="","",IF(ISNUMBER('Dvd Calendar'!$K$1586)=FALSE,"",IF((('Dvd Calendar'!$K$1588=TYPE1)*(TYPE1&lt;&gt;"")+('Dvd Calendar'!$K$1588=TYPE2)*(TYPE2&lt;&gt;"")+('Dvd Calendar'!$K$1588=TYPE3)*(TYPE3&lt;&gt;"")+('Dvd Calendar'!$K$1588=TYPE4)*(TYPE4&lt;&gt;"")+('Dvd Calendar'!$K$1588=SPECIAL_LBL)*(INC_SPECIALS="Y"))=0,"",'Dvd Calendar'!$K$1586)))</f>
        <v/>
      </c>
      <c r="J162" s="161">
        <f>IF(EL162="","",IF(ISNUMBER('Dvd Calendar'!$L$1586)=FALSE,"",IF((('Dvd Calendar'!$L$1588=TYPE1)*(TYPE1&lt;&gt;"")+('Dvd Calendar'!$L$1588=TYPE2)*(TYPE2&lt;&gt;"")+('Dvd Calendar'!$L$1588=TYPE3)*(TYPE3&lt;&gt;"")+('Dvd Calendar'!$L$1588=TYPE4)*(TYPE4&lt;&gt;"")+('Dvd Calendar'!$L$1588=SPECIAL_LBL)*(INC_SPECIALS="Y"))=0,"",'Dvd Calendar'!$L$1586)))</f>
        <v/>
      </c>
      <c r="K162" s="161">
        <f>IF(EM162="","",IF(ISNUMBER('Dvd Calendar'!$M$1586)=FALSE,"",IF((('Dvd Calendar'!$M$1588=TYPE1)*(TYPE1&lt;&gt;"")+('Dvd Calendar'!$M$1588=TYPE2)*(TYPE2&lt;&gt;"")+('Dvd Calendar'!$M$1588=TYPE3)*(TYPE3&lt;&gt;"")+('Dvd Calendar'!$M$1588=TYPE4)*(TYPE4&lt;&gt;"")+('Dvd Calendar'!$M$1588=SPECIAL_LBL)*(INC_SPECIALS="Y"))=0,"",'Dvd Calendar'!$M$1586)))</f>
        <v/>
      </c>
      <c r="L162" s="161">
        <f>IF(EN162="","",IF(ISNUMBER('Dvd Calendar'!$N$1586)=FALSE,"",IF((('Dvd Calendar'!$N$1588=TYPE1)*(TYPE1&lt;&gt;"")+('Dvd Calendar'!$N$1588=TYPE2)*(TYPE2&lt;&gt;"")+('Dvd Calendar'!$N$1588=TYPE3)*(TYPE3&lt;&gt;"")+('Dvd Calendar'!$N$1588=TYPE4)*(TYPE4&lt;&gt;"")+('Dvd Calendar'!$N$1588=SPECIAL_LBL)*(INC_SPECIALS="Y"))=0,"",'Dvd Calendar'!$N$1586)))</f>
        <v/>
      </c>
      <c r="M162" s="161">
        <f>IF(EO162="","",IF(ISNUMBER('Dvd Calendar'!$O$1586)=FALSE,"",IF((('Dvd Calendar'!$O$1588=TYPE1)*(TYPE1&lt;&gt;"")+('Dvd Calendar'!$O$1588=TYPE2)*(TYPE2&lt;&gt;"")+('Dvd Calendar'!$O$1588=TYPE3)*(TYPE3&lt;&gt;"")+('Dvd Calendar'!$O$1588=TYPE4)*(TYPE4&lt;&gt;"")+('Dvd Calendar'!$O$1588=SPECIAL_LBL)*(INC_SPECIALS="Y"))=0,"",'Dvd Calendar'!$O$1586)))</f>
        <v/>
      </c>
      <c r="N162" s="161">
        <f>IF(EP162="","",IF(ISNUMBER('Dvd Calendar'!$P$1586)=FALSE,"",IF((('Dvd Calendar'!$P$1588=TYPE1)*(TYPE1&lt;&gt;"")+('Dvd Calendar'!$P$1588=TYPE2)*(TYPE2&lt;&gt;"")+('Dvd Calendar'!$P$1588=TYPE3)*(TYPE3&lt;&gt;"")+('Dvd Calendar'!$P$1588=TYPE4)*(TYPE4&lt;&gt;"")+('Dvd Calendar'!$P$1588=SPECIAL_LBL)*(INC_SPECIALS="Y"))=0,"",'Dvd Calendar'!$P$1586)))</f>
        <v/>
      </c>
      <c r="O162" s="161">
        <f>IF(EQ162="","",IF(ISNUMBER('Dvd Calendar'!$Q$1586)=FALSE,"",IF((('Dvd Calendar'!$Q$1588=TYPE1)*(TYPE1&lt;&gt;"")+('Dvd Calendar'!$Q$1588=TYPE2)*(TYPE2&lt;&gt;"")+('Dvd Calendar'!$Q$1588=TYPE3)*(TYPE3&lt;&gt;"")+('Dvd Calendar'!$Q$1588=TYPE4)*(TYPE4&lt;&gt;"")+('Dvd Calendar'!$Q$1588=SPECIAL_LBL)*(INC_SPECIALS="Y"))=0,"",'Dvd Calendar'!$Q$1586)))</f>
        <v/>
      </c>
      <c r="P162" s="161">
        <f>IF(ER162="","",IF(ISNUMBER('Dvd Calendar'!$R$1586)=FALSE,"",IF((('Dvd Calendar'!$R$1588=TYPE1)*(TYPE1&lt;&gt;"")+('Dvd Calendar'!$R$1588=TYPE2)*(TYPE2&lt;&gt;"")+('Dvd Calendar'!$R$1588=TYPE3)*(TYPE3&lt;&gt;"")+('Dvd Calendar'!$R$1588=TYPE4)*(TYPE4&lt;&gt;"")+('Dvd Calendar'!$R$1588=SPECIAL_LBL)*(INC_SPECIALS="Y"))=0,"",'Dvd Calendar'!$R$1586)))</f>
        <v/>
      </c>
      <c r="Q162" s="161">
        <f>IF(ES162="","",IF(ISNUMBER('Dvd Calendar'!$S$1586)=FALSE,"",IF((('Dvd Calendar'!$S$1588=TYPE1)*(TYPE1&lt;&gt;"")+('Dvd Calendar'!$S$1588=TYPE2)*(TYPE2&lt;&gt;"")+('Dvd Calendar'!$S$1588=TYPE3)*(TYPE3&lt;&gt;"")+('Dvd Calendar'!$S$1588=TYPE4)*(TYPE4&lt;&gt;"")+('Dvd Calendar'!$S$1588=SPECIAL_LBL)*(INC_SPECIALS="Y"))=0,"",'Dvd Calendar'!$S$1586)))</f>
        <v/>
      </c>
      <c r="R162" s="161">
        <f>IF(ET162="","",IF(ISNUMBER('Dvd Calendar'!$T$1586)=FALSE,"",IF((('Dvd Calendar'!$T$1588=TYPE1)*(TYPE1&lt;&gt;"")+('Dvd Calendar'!$T$1588=TYPE2)*(TYPE2&lt;&gt;"")+('Dvd Calendar'!$T$1588=TYPE3)*(TYPE3&lt;&gt;"")+('Dvd Calendar'!$T$1588=TYPE4)*(TYPE4&lt;&gt;"")+('Dvd Calendar'!$T$1588=SPECIAL_LBL)*(INC_SPECIALS="Y"))=0,"",'Dvd Calendar'!$T$1586)))</f>
        <v/>
      </c>
      <c r="S162" s="161">
        <f>IF(EU162="","",IF(ISNUMBER('Dvd Calendar'!$U$1586)=FALSE,"",IF((('Dvd Calendar'!$U$1588=TYPE1)*(TYPE1&lt;&gt;"")+('Dvd Calendar'!$U$1588=TYPE2)*(TYPE2&lt;&gt;"")+('Dvd Calendar'!$U$1588=TYPE3)*(TYPE3&lt;&gt;"")+('Dvd Calendar'!$U$1588=TYPE4)*(TYPE4&lt;&gt;"")+('Dvd Calendar'!$U$1588=SPECIAL_LBL)*(INC_SPECIALS="Y"))=0,"",'Dvd Calendar'!$U$1586)))</f>
        <v/>
      </c>
      <c r="T162" s="161">
        <f>IF(EV162="","",IF(ISNUMBER('Dvd Calendar'!$V$1586)=FALSE,"",IF((('Dvd Calendar'!$V$1588=TYPE1)*(TYPE1&lt;&gt;"")+('Dvd Calendar'!$V$1588=TYPE2)*(TYPE2&lt;&gt;"")+('Dvd Calendar'!$V$1588=TYPE3)*(TYPE3&lt;&gt;"")+('Dvd Calendar'!$V$1588=TYPE4)*(TYPE4&lt;&gt;"")+('Dvd Calendar'!$V$1588=SPECIAL_LBL)*(INC_SPECIALS="Y"))=0,"",'Dvd Calendar'!$V$1586)))</f>
        <v/>
      </c>
      <c r="U162" s="161">
        <f>IF(EW162="","",IF(ISNUMBER('Dvd Calendar'!$W$1586)=FALSE,"",IF((('Dvd Calendar'!$W$1588=TYPE1)*(TYPE1&lt;&gt;"")+('Dvd Calendar'!$W$1588=TYPE2)*(TYPE2&lt;&gt;"")+('Dvd Calendar'!$W$1588=TYPE3)*(TYPE3&lt;&gt;"")+('Dvd Calendar'!$W$1588=TYPE4)*(TYPE4&lt;&gt;"")+('Dvd Calendar'!$W$1588=SPECIAL_LBL)*(INC_SPECIALS="Y"))=0,"",'Dvd Calendar'!$W$1586)))</f>
        <v/>
      </c>
      <c r="V162" s="161">
        <f>IF(EX162="","",IF(ISNUMBER('Dvd Calendar'!$X$1586)=FALSE,"",IF((('Dvd Calendar'!$X$1588=TYPE1)*(TYPE1&lt;&gt;"")+('Dvd Calendar'!$X$1588=TYPE2)*(TYPE2&lt;&gt;"")+('Dvd Calendar'!$X$1588=TYPE3)*(TYPE3&lt;&gt;"")+('Dvd Calendar'!$X$1588=TYPE4)*(TYPE4&lt;&gt;"")+('Dvd Calendar'!$X$1588=SPECIAL_LBL)*(INC_SPECIALS="Y"))=0,"",'Dvd Calendar'!$X$1586)))</f>
        <v/>
      </c>
      <c r="W162" s="161">
        <f>IF(EY162="","",IF(ISNUMBER('Dvd Calendar'!$Y$1586)=FALSE,"",IF((('Dvd Calendar'!$Y$1588=TYPE1)*(TYPE1&lt;&gt;"")+('Dvd Calendar'!$Y$1588=TYPE2)*(TYPE2&lt;&gt;"")+('Dvd Calendar'!$Y$1588=TYPE3)*(TYPE3&lt;&gt;"")+('Dvd Calendar'!$Y$1588=TYPE4)*(TYPE4&lt;&gt;"")+('Dvd Calendar'!$Y$1588=SPECIAL_LBL)*(INC_SPECIALS="Y"))=0,"",'Dvd Calendar'!$Y$1586)))</f>
        <v/>
      </c>
      <c r="X162" s="161">
        <f>IF(EZ162="","",IF(ISNUMBER('Dvd Calendar'!$Z$1586)=FALSE,"",IF((('Dvd Calendar'!$Z$1588=TYPE1)*(TYPE1&lt;&gt;"")+('Dvd Calendar'!$Z$1588=TYPE2)*(TYPE2&lt;&gt;"")+('Dvd Calendar'!$Z$1588=TYPE3)*(TYPE3&lt;&gt;"")+('Dvd Calendar'!$Z$1588=TYPE4)*(TYPE4&lt;&gt;"")+('Dvd Calendar'!$Z$1588=SPECIAL_LBL)*(INC_SPECIALS="Y"))=0,"",'Dvd Calendar'!$Z$1586)))</f>
        <v/>
      </c>
      <c r="Y162" s="161">
        <f>IF(FA162="","",IF(ISNUMBER('Dvd Calendar'!$AA$1586)=FALSE,"",IF((('Dvd Calendar'!$AA$1588=TYPE1)*(TYPE1&lt;&gt;"")+('Dvd Calendar'!$AA$1588=TYPE2)*(TYPE2&lt;&gt;"")+('Dvd Calendar'!$AA$1588=TYPE3)*(TYPE3&lt;&gt;"")+('Dvd Calendar'!$AA$1588=TYPE4)*(TYPE4&lt;&gt;"")+('Dvd Calendar'!$AA$1588=SPECIAL_LBL)*(INC_SPECIALS="Y"))=0,"",'Dvd Calendar'!$AA$1586)))</f>
        <v/>
      </c>
      <c r="Z162" s="161">
        <f>IF(FB162="","",IF(ISNUMBER('Dvd Calendar'!$AB$1586)=FALSE,"",IF((('Dvd Calendar'!$AB$1588=TYPE1)*(TYPE1&lt;&gt;"")+('Dvd Calendar'!$AB$1588=TYPE2)*(TYPE2&lt;&gt;"")+('Dvd Calendar'!$AB$1588=TYPE3)*(TYPE3&lt;&gt;"")+('Dvd Calendar'!$AB$1588=TYPE4)*(TYPE4&lt;&gt;"")+('Dvd Calendar'!$AB$1588=SPECIAL_LBL)*(INC_SPECIALS="Y"))=0,"",'Dvd Calendar'!$AB$1586)))</f>
        <v/>
      </c>
      <c r="AA162" s="161">
        <f>IF(FC162="","",IF(ISNUMBER('Dvd Calendar'!$AC$1586)=FALSE,"",IF((('Dvd Calendar'!$AC$1588=TYPE1)*(TYPE1&lt;&gt;"")+('Dvd Calendar'!$AC$1588=TYPE2)*(TYPE2&lt;&gt;"")+('Dvd Calendar'!$AC$1588=TYPE3)*(TYPE3&lt;&gt;"")+('Dvd Calendar'!$AC$1588=TYPE4)*(TYPE4&lt;&gt;"")+('Dvd Calendar'!$AC$1588=SPECIAL_LBL)*(INC_SPECIALS="Y"))=0,"",'Dvd Calendar'!$AC$1586)))</f>
        <v/>
      </c>
      <c r="AB162" s="161">
        <f>IF(FD162="","",IF(ISNUMBER('Dvd Calendar'!$AD$1586)=FALSE,"",IF((('Dvd Calendar'!$AD$1588=TYPE1)*(TYPE1&lt;&gt;"")+('Dvd Calendar'!$AD$1588=TYPE2)*(TYPE2&lt;&gt;"")+('Dvd Calendar'!$AD$1588=TYPE3)*(TYPE3&lt;&gt;"")+('Dvd Calendar'!$AD$1588=TYPE4)*(TYPE4&lt;&gt;"")+('Dvd Calendar'!$AD$1588=SPECIAL_LBL)*(INC_SPECIALS="Y"))=0,"",'Dvd Calendar'!$AD$1586)))</f>
        <v/>
      </c>
      <c r="AC162" s="161">
        <f>IF(FE162="","",IF(ISNUMBER('Dvd Calendar'!$AE$1586)=FALSE,"",IF((('Dvd Calendar'!$AE$1588=TYPE1)*(TYPE1&lt;&gt;"")+('Dvd Calendar'!$AE$1588=TYPE2)*(TYPE2&lt;&gt;"")+('Dvd Calendar'!$AE$1588=TYPE3)*(TYPE3&lt;&gt;"")+('Dvd Calendar'!$AE$1588=TYPE4)*(TYPE4&lt;&gt;"")+('Dvd Calendar'!$AE$1588=SPECIAL_LBL)*(INC_SPECIALS="Y"))=0,"",'Dvd Calendar'!$AE$1586)))</f>
        <v/>
      </c>
      <c r="AD162" s="161">
        <f>IF(FF162="","",IF(ISNUMBER('Dvd Calendar'!$AF$1586)=FALSE,"",IF((('Dvd Calendar'!$AF$1588=TYPE1)*(TYPE1&lt;&gt;"")+('Dvd Calendar'!$AF$1588=TYPE2)*(TYPE2&lt;&gt;"")+('Dvd Calendar'!$AF$1588=TYPE3)*(TYPE3&lt;&gt;"")+('Dvd Calendar'!$AF$1588=TYPE4)*(TYPE4&lt;&gt;"")+('Dvd Calendar'!$AF$1588=SPECIAL_LBL)*(INC_SPECIALS="Y"))=0,"",'Dvd Calendar'!$AF$1586)))</f>
        <v/>
      </c>
      <c r="AE162" s="161">
        <f>IF(FG162="","",IF(ISNUMBER('Dvd Calendar'!$AG$1586)=FALSE,"",IF((('Dvd Calendar'!$AG$1588=TYPE1)*(TYPE1&lt;&gt;"")+('Dvd Calendar'!$AG$1588=TYPE2)*(TYPE2&lt;&gt;"")+('Dvd Calendar'!$AG$1588=TYPE3)*(TYPE3&lt;&gt;"")+('Dvd Calendar'!$AG$1588=TYPE4)*(TYPE4&lt;&gt;"")+('Dvd Calendar'!$AG$1588=SPECIAL_LBL)*(INC_SPECIALS="Y"))=0,"",'Dvd Calendar'!$AG$1586)))</f>
        <v/>
      </c>
      <c r="AF162" s="161">
        <f>IF(FH162="","",IF(ISNUMBER('Dvd Calendar'!$AH$1586)=FALSE,"",IF((('Dvd Calendar'!$AH$1588=TYPE1)*(TYPE1&lt;&gt;"")+('Dvd Calendar'!$AH$1588=TYPE2)*(TYPE2&lt;&gt;"")+('Dvd Calendar'!$AH$1588=TYPE3)*(TYPE3&lt;&gt;"")+('Dvd Calendar'!$AH$1588=TYPE4)*(TYPE4&lt;&gt;"")+('Dvd Calendar'!$AH$1588=SPECIAL_LBL)*(INC_SPECIALS="Y"))=0,"",'Dvd Calendar'!$AH$1586)))</f>
        <v/>
      </c>
      <c r="AG162" s="161">
        <f>IF(FI162="","",IF(ISNUMBER('Dvd Calendar'!$AI$1586)=FALSE,"",IF((('Dvd Calendar'!$AI$1588=TYPE1)*(TYPE1&lt;&gt;"")+('Dvd Calendar'!$AI$1588=TYPE2)*(TYPE2&lt;&gt;"")+('Dvd Calendar'!$AI$1588=TYPE3)*(TYPE3&lt;&gt;"")+('Dvd Calendar'!$AI$1588=TYPE4)*(TYPE4&lt;&gt;"")+('Dvd Calendar'!$AI$1588=SPECIAL_LBL)*(INC_SPECIALS="Y"))=0,"",'Dvd Calendar'!$AI$1586)))</f>
        <v/>
      </c>
      <c r="AH162" s="161">
        <f>IF(FJ162="","",IF(ISNUMBER('Dvd Calendar'!$AJ$1586)=FALSE,"",IF((('Dvd Calendar'!$AJ$1588=TYPE1)*(TYPE1&lt;&gt;"")+('Dvd Calendar'!$AJ$1588=TYPE2)*(TYPE2&lt;&gt;"")+('Dvd Calendar'!$AJ$1588=TYPE3)*(TYPE3&lt;&gt;"")+('Dvd Calendar'!$AJ$1588=TYPE4)*(TYPE4&lt;&gt;"")+('Dvd Calendar'!$AJ$1588=SPECIAL_LBL)*(INC_SPECIALS="Y"))=0,"",'Dvd Calendar'!$AJ$1586)))</f>
        <v/>
      </c>
      <c r="AI162" s="161">
        <f>IF(FK162="","",IF(ISNUMBER('Dvd Calendar'!$AK$1586)=FALSE,"",IF((('Dvd Calendar'!$AK$1588=TYPE1)*(TYPE1&lt;&gt;"")+('Dvd Calendar'!$AK$1588=TYPE2)*(TYPE2&lt;&gt;"")+('Dvd Calendar'!$AK$1588=TYPE3)*(TYPE3&lt;&gt;"")+('Dvd Calendar'!$AK$1588=TYPE4)*(TYPE4&lt;&gt;"")+('Dvd Calendar'!$AK$1588=SPECIAL_LBL)*(INC_SPECIALS="Y"))=0,"",'Dvd Calendar'!$AK$1586)))</f>
        <v/>
      </c>
      <c r="AJ162" s="161">
        <f>IF(FL162="","",IF(ISNUMBER('Dvd Calendar'!$AL$1586)=FALSE,"",IF((('Dvd Calendar'!$AL$1588=TYPE1)*(TYPE1&lt;&gt;"")+('Dvd Calendar'!$AL$1588=TYPE2)*(TYPE2&lt;&gt;"")+('Dvd Calendar'!$AL$1588=TYPE3)*(TYPE3&lt;&gt;"")+('Dvd Calendar'!$AL$1588=TYPE4)*(TYPE4&lt;&gt;"")+('Dvd Calendar'!$AL$1588=SPECIAL_LBL)*(INC_SPECIALS="Y"))=0,"",'Dvd Calendar'!$AL$1586)))</f>
        <v/>
      </c>
      <c r="AK162" s="161">
        <f>IF(FM162="","",IF(ISNUMBER('Dvd Calendar'!$AM$1586)=FALSE,"",IF((('Dvd Calendar'!$AM$1588=TYPE1)*(TYPE1&lt;&gt;"")+('Dvd Calendar'!$AM$1588=TYPE2)*(TYPE2&lt;&gt;"")+('Dvd Calendar'!$AM$1588=TYPE3)*(TYPE3&lt;&gt;"")+('Dvd Calendar'!$AM$1588=TYPE4)*(TYPE4&lt;&gt;"")+('Dvd Calendar'!$AM$1588=SPECIAL_LBL)*(INC_SPECIALS="Y"))=0,"",'Dvd Calendar'!$AM$1586)))</f>
        <v/>
      </c>
      <c r="AL162" s="161">
        <f>IF(FN162="","",IF(ISNUMBER('Dvd Calendar'!$AN$1586)=FALSE,"",IF((('Dvd Calendar'!$AN$1588=TYPE1)*(TYPE1&lt;&gt;"")+('Dvd Calendar'!$AN$1588=TYPE2)*(TYPE2&lt;&gt;"")+('Dvd Calendar'!$AN$1588=TYPE3)*(TYPE3&lt;&gt;"")+('Dvd Calendar'!$AN$1588=TYPE4)*(TYPE4&lt;&gt;"")+('Dvd Calendar'!$AN$1588=SPECIAL_LBL)*(INC_SPECIALS="Y"))=0,"",'Dvd Calendar'!$AN$1586)))</f>
        <v/>
      </c>
      <c r="AM162" s="161">
        <f>IF(FO162="","",IF(ISNUMBER('Dvd Calendar'!$AO$1586)=FALSE,"",IF((('Dvd Calendar'!$AO$1588=TYPE1)*(TYPE1&lt;&gt;"")+('Dvd Calendar'!$AO$1588=TYPE2)*(TYPE2&lt;&gt;"")+('Dvd Calendar'!$AO$1588=TYPE3)*(TYPE3&lt;&gt;"")+('Dvd Calendar'!$AO$1588=TYPE4)*(TYPE4&lt;&gt;"")+('Dvd Calendar'!$AO$1588=SPECIAL_LBL)*(INC_SPECIALS="Y"))=0,"",'Dvd Calendar'!$AO$1586)))</f>
        <v/>
      </c>
      <c r="AN162" s="161">
        <f>IF(FP162="","",IF(ISNUMBER('Dvd Calendar'!$AP$1586)=FALSE,"",IF((('Dvd Calendar'!$AP$1588=TYPE1)*(TYPE1&lt;&gt;"")+('Dvd Calendar'!$AP$1588=TYPE2)*(TYPE2&lt;&gt;"")+('Dvd Calendar'!$AP$1588=TYPE3)*(TYPE3&lt;&gt;"")+('Dvd Calendar'!$AP$1588=TYPE4)*(TYPE4&lt;&gt;"")+('Dvd Calendar'!$AP$1588=SPECIAL_LBL)*(INC_SPECIALS="Y"))=0,"",'Dvd Calendar'!$AP$1586)))</f>
        <v/>
      </c>
      <c r="AO162" s="161">
        <f>IF(FQ162="","",IF(ISNUMBER('Dvd Calendar'!$AQ$1586)=FALSE,"",IF((('Dvd Calendar'!$AQ$1588=TYPE1)*(TYPE1&lt;&gt;"")+('Dvd Calendar'!$AQ$1588=TYPE2)*(TYPE2&lt;&gt;"")+('Dvd Calendar'!$AQ$1588=TYPE3)*(TYPE3&lt;&gt;"")+('Dvd Calendar'!$AQ$1588=TYPE4)*(TYPE4&lt;&gt;"")+('Dvd Calendar'!$AQ$1588=SPECIAL_LBL)*(INC_SPECIALS="Y"))=0,"",'Dvd Calendar'!$AQ$1586)))</f>
        <v/>
      </c>
      <c r="AP162" s="161">
        <f>IF(FR162="","",IF(ISNUMBER('Dvd Calendar'!$AR$1586)=FALSE,"",IF((('Dvd Calendar'!$AR$1588=TYPE1)*(TYPE1&lt;&gt;"")+('Dvd Calendar'!$AR$1588=TYPE2)*(TYPE2&lt;&gt;"")+('Dvd Calendar'!$AR$1588=TYPE3)*(TYPE3&lt;&gt;"")+('Dvd Calendar'!$AR$1588=TYPE4)*(TYPE4&lt;&gt;"")+('Dvd Calendar'!$AR$1588=SPECIAL_LBL)*(INC_SPECIALS="Y"))=0,"",'Dvd Calendar'!$AR$1586)))</f>
        <v/>
      </c>
      <c r="AQ162" s="161">
        <f>IF(FS162="","",IF(ISNUMBER('Dvd Calendar'!$E$1591)=FALSE,"",'Dvd Calendar'!$E$1591))</f>
        <v/>
      </c>
      <c r="AR162" s="161">
        <f>IF(FT162="","",IF(ISNUMBER('Dvd Calendar'!$F$1591)=FALSE,"",'Dvd Calendar'!$F$1591))</f>
        <v/>
      </c>
      <c r="AS162" s="161">
        <f>IF(FU162="","",IF(ISNUMBER('Dvd Calendar'!$G$1591)=FALSE,"",'Dvd Calendar'!$G$1591))</f>
        <v/>
      </c>
      <c r="AT162" s="161">
        <f>IF(FV162="","",IF(ISNUMBER('Dvd Calendar'!$H$1591)=FALSE,"",'Dvd Calendar'!$H$1591))</f>
        <v/>
      </c>
      <c r="AU162" s="161">
        <f>IF(FW162="","",IF(ISNUMBER('Dvd Calendar'!$I$1591)=FALSE,"",'Dvd Calendar'!$I$1591))</f>
        <v/>
      </c>
      <c r="AV162" s="161">
        <f>IF(FX162="","",IF(ISNUMBER('Dvd Calendar'!$J$1591)=FALSE,"",'Dvd Calendar'!$J$1591))</f>
        <v/>
      </c>
      <c r="AW162" s="161">
        <f>IF(FY162="","",IF(ISNUMBER('Dvd Calendar'!$K$1591)=FALSE,"",'Dvd Calendar'!$K$1591))</f>
        <v/>
      </c>
      <c r="AX162" s="161">
        <f>IF(FZ162="","",IF(ISNUMBER('Dvd Calendar'!$L$1591)=FALSE,"",'Dvd Calendar'!$L$1591))</f>
        <v/>
      </c>
      <c r="AY162" s="161">
        <f>IF(GA162="","",IF(ISNUMBER('Dvd Calendar'!$M$1591)=FALSE,"",'Dvd Calendar'!$M$1591))</f>
        <v/>
      </c>
      <c r="AZ162" s="161">
        <f>IF(GB162="","",IF(ISNUMBER('Dvd Calendar'!$N$1591)=FALSE,"",'Dvd Calendar'!$N$1591))</f>
        <v/>
      </c>
      <c r="BA162" s="161">
        <f>IF(GC162="","",IF(ISNUMBER('Dvd Calendar'!$O$1591)=FALSE,"",'Dvd Calendar'!$O$1591))</f>
        <v/>
      </c>
      <c r="BB162" s="161">
        <f>IF(GD162="","",IF(ISNUMBER('Dvd Calendar'!$P$1591)=FALSE,"",'Dvd Calendar'!$P$1591))</f>
        <v/>
      </c>
      <c r="BC162" s="161">
        <f>IF(GE162="","",IF(ISNUMBER('Dvd Calendar'!$Q$1591)=FALSE,"",'Dvd Calendar'!$Q$1591))</f>
        <v/>
      </c>
      <c r="BD162" s="161">
        <f>IF(GF162="","",IF(ISNUMBER('Dvd Calendar'!$R$1591)=FALSE,"",'Dvd Calendar'!$R$1591))</f>
        <v/>
      </c>
      <c r="BE162" s="161">
        <f>IF(GG162="","",IF(ISNUMBER('Dvd Calendar'!$S$1591)=FALSE,"",'Dvd Calendar'!$S$1591))</f>
        <v/>
      </c>
      <c r="BF162" s="161">
        <f>IF(GH162="","",IF(ISNUMBER('Dvd Calendar'!$T$1591)=FALSE,"",'Dvd Calendar'!$T$1591))</f>
        <v/>
      </c>
      <c r="BG162" s="161">
        <f>IF(GI162="","",IF(ISNUMBER('Dvd Calendar'!$U$1591)=FALSE,"",'Dvd Calendar'!$U$1591))</f>
        <v/>
      </c>
      <c r="BH162" s="161">
        <f>IF(GJ162="","",IF(ISNUMBER('Dvd Calendar'!$V$1591)=FALSE,"",'Dvd Calendar'!$V$1591))</f>
        <v/>
      </c>
      <c r="BI162" s="161">
        <f>IF(GK162="","",IF(ISNUMBER('Dvd Calendar'!$W$1591)=FALSE,"",'Dvd Calendar'!$W$1591))</f>
        <v/>
      </c>
      <c r="BJ162" s="161">
        <f>IF(GL162="","",IF(ISNUMBER('Dvd Calendar'!$X$1591)=FALSE,"",'Dvd Calendar'!$X$1591))</f>
        <v/>
      </c>
      <c r="BK162" s="161">
        <f>IF(GM162="","",IF(ISNUMBER('Dvd Calendar'!$Y$1591)=FALSE,"",'Dvd Calendar'!$Y$1591))</f>
        <v/>
      </c>
      <c r="BL162" s="161">
        <f>IF(GN162="","",IF(ISNUMBER('Dvd Calendar'!$Z$1591)=FALSE,"",'Dvd Calendar'!$Z$1591))</f>
        <v/>
      </c>
      <c r="BM162" s="161">
        <f>IF(GO162="","",IF(ISNUMBER('Dvd Calendar'!$AA$1591)=FALSE,"",'Dvd Calendar'!$AA$1591))</f>
        <v/>
      </c>
      <c r="BN162" s="161">
        <f>IF(GP162="","",IF(ISNUMBER('Dvd Calendar'!$AB$1591)=FALSE,"",'Dvd Calendar'!$AB$1591))</f>
        <v/>
      </c>
      <c r="BO162" s="161">
        <f>IF(GQ162="","",IF(ISNUMBER('Dvd Calendar'!$AC$1591)=FALSE,"",'Dvd Calendar'!$AC$1591))</f>
        <v/>
      </c>
      <c r="BQ162" s="161">
        <f>IF(C162="","",IFERROR(C162*HSCEI!$B$9*HSCEI!$G$9/HSCEI!$B$3,""))</f>
        <v/>
      </c>
      <c r="BR162" s="161">
        <f>IF(D162="","",IFERROR(D162*HSCEI!$B$9*HSCEI!$G$9/HSCEI!$B$3,""))</f>
        <v/>
      </c>
      <c r="BS162" s="161">
        <f>IF(E162="","",IFERROR(E162*HSCEI!$B$9*HSCEI!$G$9/HSCEI!$B$3,""))</f>
        <v/>
      </c>
      <c r="BT162" s="161">
        <f>IF(F162="","",IFERROR(F162*HSCEI!$B$9*HSCEI!$G$9/HSCEI!$B$3,""))</f>
        <v/>
      </c>
      <c r="BU162" s="161">
        <f>IF(G162="","",IFERROR(G162*HSCEI!$B$9*HSCEI!$G$9/HSCEI!$B$3,""))</f>
        <v/>
      </c>
      <c r="BV162" s="161">
        <f>IF(H162="","",IFERROR(H162*HSCEI!$B$9*HSCEI!$G$9/HSCEI!$B$3,""))</f>
        <v/>
      </c>
      <c r="BW162" s="161">
        <f>IF(I162="","",IFERROR(I162*HSCEI!$B$9*HSCEI!$G$9/HSCEI!$B$3,""))</f>
        <v/>
      </c>
      <c r="BX162" s="161">
        <f>IF(J162="","",IFERROR(J162*HSCEI!$B$9*HSCEI!$G$9/HSCEI!$B$3,""))</f>
        <v/>
      </c>
      <c r="BY162" s="161">
        <f>IF(K162="","",IFERROR(K162*HSCEI!$B$9*HSCEI!$G$9/HSCEI!$B$3,""))</f>
        <v/>
      </c>
      <c r="BZ162" s="161">
        <f>IF(L162="","",IFERROR(L162*HSCEI!$B$9*HSCEI!$G$9/HSCEI!$B$3,""))</f>
        <v/>
      </c>
      <c r="CA162" s="161">
        <f>IF(M162="","",IFERROR(M162*HSCEI!$B$9*HSCEI!$G$9/HSCEI!$B$3,""))</f>
        <v/>
      </c>
      <c r="CB162" s="161">
        <f>IF(N162="","",IFERROR(N162*HSCEI!$B$9*HSCEI!$G$9/HSCEI!$B$3,""))</f>
        <v/>
      </c>
      <c r="CC162" s="161">
        <f>IF(O162="","",IFERROR(O162*HSCEI!$B$9*HSCEI!$G$9/HSCEI!$B$3,""))</f>
        <v/>
      </c>
      <c r="CD162" s="161">
        <f>IF(P162="","",IFERROR(P162*HSCEI!$B$9*HSCEI!$G$9/HSCEI!$B$3,""))</f>
        <v/>
      </c>
      <c r="CE162" s="161">
        <f>IF(Q162="","",IFERROR(Q162*HSCEI!$B$9*HSCEI!$G$9/HSCEI!$B$3,""))</f>
        <v/>
      </c>
      <c r="CF162" s="161">
        <f>IF(R162="","",IFERROR(R162*HSCEI!$B$9*HSCEI!$G$9/HSCEI!$B$3,""))</f>
        <v/>
      </c>
      <c r="CG162" s="161">
        <f>IF(S162="","",IFERROR(S162*HSCEI!$B$9*HSCEI!$G$9/HSCEI!$B$3,""))</f>
        <v/>
      </c>
      <c r="CH162" s="161">
        <f>IF(T162="","",IFERROR(T162*HSCEI!$B$9*HSCEI!$G$9/HSCEI!$B$3,""))</f>
        <v/>
      </c>
      <c r="CI162" s="161">
        <f>IF(U162="","",IFERROR(U162*HSCEI!$B$9*HSCEI!$G$9/HSCEI!$B$3,""))</f>
        <v/>
      </c>
      <c r="CJ162" s="161">
        <f>IF(V162="","",IFERROR(V162*HSCEI!$B$9*HSCEI!$G$9/HSCEI!$B$3,""))</f>
        <v/>
      </c>
      <c r="CK162" s="161">
        <f>IF(W162="","",IFERROR(W162*HSCEI!$B$9*HSCEI!$G$9/HSCEI!$B$3,""))</f>
        <v/>
      </c>
      <c r="CL162" s="161">
        <f>IF(X162="","",IFERROR(X162*HSCEI!$B$9*HSCEI!$G$9/HSCEI!$B$3,""))</f>
        <v/>
      </c>
      <c r="CM162" s="161">
        <f>IF(Y162="","",IFERROR(Y162*HSCEI!$B$9*HSCEI!$G$9/HSCEI!$B$3,""))</f>
        <v/>
      </c>
      <c r="CN162" s="161">
        <f>IF(Z162="","",IFERROR(Z162*HSCEI!$B$9*HSCEI!$G$9/HSCEI!$B$3,""))</f>
        <v/>
      </c>
      <c r="CO162" s="161">
        <f>IF(AA162="","",IFERROR(AA162*HSCEI!$B$9*HSCEI!$G$9/HSCEI!$B$3,""))</f>
        <v/>
      </c>
      <c r="CP162" s="161">
        <f>IF(AB162="","",IFERROR(AB162*HSCEI!$B$9*HSCEI!$G$9/HSCEI!$B$3,""))</f>
        <v/>
      </c>
      <c r="CQ162" s="161">
        <f>IF(AC162="","",IFERROR(AC162*HSCEI!$B$9*HSCEI!$G$9/HSCEI!$B$3,""))</f>
        <v/>
      </c>
      <c r="CR162" s="161">
        <f>IF(AD162="","",IFERROR(AD162*HSCEI!$B$9*HSCEI!$G$9/HSCEI!$B$3,""))</f>
        <v/>
      </c>
      <c r="CS162" s="161">
        <f>IF(AE162="","",IFERROR(AE162*HSCEI!$B$9*HSCEI!$G$9/HSCEI!$B$3,""))</f>
        <v/>
      </c>
      <c r="CT162" s="161">
        <f>IF(AF162="","",IFERROR(AF162*HSCEI!$B$9*HSCEI!$G$9/HSCEI!$B$3,""))</f>
        <v/>
      </c>
      <c r="CU162" s="161">
        <f>IF(AG162="","",IFERROR(AG162*HSCEI!$B$9*HSCEI!$G$9/HSCEI!$B$3,""))</f>
        <v/>
      </c>
      <c r="CV162" s="161">
        <f>IF(AH162="","",IFERROR(AH162*HSCEI!$B$9*HSCEI!$G$9/HSCEI!$B$3,""))</f>
        <v/>
      </c>
      <c r="CW162" s="161">
        <f>IF(AI162="","",IFERROR(AI162*HSCEI!$B$9*HSCEI!$G$9/HSCEI!$B$3,""))</f>
        <v/>
      </c>
      <c r="CX162" s="161">
        <f>IF(AJ162="","",IFERROR(AJ162*HSCEI!$B$9*HSCEI!$G$9/HSCEI!$B$3,""))</f>
        <v/>
      </c>
      <c r="CY162" s="161">
        <f>IF(AK162="","",IFERROR(AK162*HSCEI!$B$9*HSCEI!$G$9/HSCEI!$B$3,""))</f>
        <v/>
      </c>
      <c r="CZ162" s="161">
        <f>IF(AL162="","",IFERROR(AL162*HSCEI!$B$9*HSCEI!$G$9/HSCEI!$B$3,""))</f>
        <v/>
      </c>
      <c r="DA162" s="161">
        <f>IF(AM162="","",IFERROR(AM162*HSCEI!$B$9*HSCEI!$G$9/HSCEI!$B$3,""))</f>
        <v/>
      </c>
      <c r="DB162" s="161">
        <f>IF(AN162="","",IFERROR(AN162*HSCEI!$B$9*HSCEI!$G$9/HSCEI!$B$3,""))</f>
        <v/>
      </c>
      <c r="DC162" s="161">
        <f>IF(AO162="","",IFERROR(AO162*HSCEI!$B$9*HSCEI!$G$9/HSCEI!$B$3,""))</f>
        <v/>
      </c>
      <c r="DD162" s="161">
        <f>IF(AP162="","",IFERROR(AP162*HSCEI!$B$9*HSCEI!$G$9/HSCEI!$B$3,""))</f>
        <v/>
      </c>
      <c r="DE162" s="161">
        <f>IF(AQ162="","",IFERROR(AQ162*HSCEI!$B$9*HSCEI!$G$9/HSCEI!$B$3,""))</f>
        <v/>
      </c>
      <c r="DF162" s="161">
        <f>IF(AR162="","",IFERROR(AR162*HSCEI!$B$9*HSCEI!$G$9/HSCEI!$B$3,""))</f>
        <v/>
      </c>
      <c r="DG162" s="161">
        <f>IF(AS162="","",IFERROR(AS162*HSCEI!$B$9*HSCEI!$G$9/HSCEI!$B$3,""))</f>
        <v/>
      </c>
      <c r="DH162" s="161">
        <f>IF(AT162="","",IFERROR(AT162*HSCEI!$B$9*HSCEI!$G$9/HSCEI!$B$3,""))</f>
        <v/>
      </c>
      <c r="DI162" s="161">
        <f>IF(AU162="","",IFERROR(AU162*HSCEI!$B$9*HSCEI!$G$9/HSCEI!$B$3,""))</f>
        <v/>
      </c>
      <c r="DJ162" s="161">
        <f>IF(AV162="","",IFERROR(AV162*HSCEI!$B$9*HSCEI!$G$9/HSCEI!$B$3,""))</f>
        <v/>
      </c>
      <c r="DK162" s="161">
        <f>IF(AW162="","",IFERROR(AW162*HSCEI!$B$9*HSCEI!$G$9/HSCEI!$B$3,""))</f>
        <v/>
      </c>
      <c r="DL162" s="161">
        <f>IF(AX162="","",IFERROR(AX162*HSCEI!$B$9*HSCEI!$G$9/HSCEI!$B$3,""))</f>
        <v/>
      </c>
      <c r="DM162" s="161">
        <f>IF(AY162="","",IFERROR(AY162*HSCEI!$B$9*HSCEI!$G$9/HSCEI!$B$3,""))</f>
        <v/>
      </c>
      <c r="DN162" s="161">
        <f>IF(AZ162="","",IFERROR(AZ162*HSCEI!$B$9*HSCEI!$G$9/HSCEI!$B$3,""))</f>
        <v/>
      </c>
      <c r="DO162" s="161">
        <f>IF(BA162="","",IFERROR(BA162*HSCEI!$B$9*HSCEI!$G$9/HSCEI!$B$3,""))</f>
        <v/>
      </c>
      <c r="DP162" s="161">
        <f>IF(BB162="","",IFERROR(BB162*HSCEI!$B$9*HSCEI!$G$9/HSCEI!$B$3,""))</f>
        <v/>
      </c>
      <c r="DQ162" s="161">
        <f>IF(BC162="","",IFERROR(BC162*HSCEI!$B$9*HSCEI!$G$9/HSCEI!$B$3,""))</f>
        <v/>
      </c>
      <c r="DR162" s="161">
        <f>IF(BD162="","",IFERROR(BD162*HSCEI!$B$9*HSCEI!$G$9/HSCEI!$B$3,""))</f>
        <v/>
      </c>
      <c r="DS162" s="161">
        <f>IF(BE162="","",IFERROR(BE162*HSCEI!$B$9*HSCEI!$G$9/HSCEI!$B$3,""))</f>
        <v/>
      </c>
      <c r="DT162" s="161">
        <f>IF(BF162="","",IFERROR(BF162*HSCEI!$B$9*HSCEI!$G$9/HSCEI!$B$3,""))</f>
        <v/>
      </c>
      <c r="DU162" s="161">
        <f>IF(BG162="","",IFERROR(BG162*HSCEI!$B$9*HSCEI!$G$9/HSCEI!$B$3,""))</f>
        <v/>
      </c>
      <c r="DV162" s="161">
        <f>IF(BH162="","",IFERROR(BH162*HSCEI!$B$9*HSCEI!$G$9/HSCEI!$B$3,""))</f>
        <v/>
      </c>
      <c r="DW162" s="161">
        <f>IF(BI162="","",IFERROR(BI162*HSCEI!$B$9*HSCEI!$G$9/HSCEI!$B$3,""))</f>
        <v/>
      </c>
      <c r="DX162" s="161">
        <f>IF(BJ162="","",IFERROR(BJ162*HSCEI!$B$9*HSCEI!$G$9/HSCEI!$B$3,""))</f>
        <v/>
      </c>
      <c r="DY162" s="161">
        <f>IF(BK162="","",IFERROR(BK162*HSCEI!$B$9*HSCEI!$G$9/HSCEI!$B$3,""))</f>
        <v/>
      </c>
      <c r="DZ162" s="161">
        <f>IF(BL162="","",IFERROR(BL162*HSCEI!$B$9*HSCEI!$G$9/HSCEI!$B$3,""))</f>
        <v/>
      </c>
      <c r="EA162" s="161">
        <f>IF(BM162="","",IFERROR(BM162*HSCEI!$B$9*HSCEI!$G$9/HSCEI!$B$3,""))</f>
        <v/>
      </c>
      <c r="EB162" s="161">
        <f>IF(BN162="","",IFERROR(BN162*HSCEI!$B$9*HSCEI!$G$9/HSCEI!$B$3,""))</f>
        <v/>
      </c>
      <c r="EC162" s="161">
        <f>IF(BO162="","",IFERROR(BO162*HSCEI!$B$9*HSCEI!$G$9/HSCEI!$B$3,""))</f>
        <v/>
      </c>
      <c r="EE162" s="121">
        <f>IF(N('Dvd Calendar'!$E$1583)=0,"",IF(('Dvd Calendar'!$E$1583&gt;=GRID_FROM)*('Dvd Calendar'!$E$1583&lt;=GRID_TO)*((('Dvd Calendar'!$E$1583&lt;=VAL_DATE)+(COUNTIF('Dvd Calendar'!$E$1590:$AR$1590,'Dvd Calendar'!$E$1583)=0))&gt;0)=0,"",'Dvd Calendar'!$E$1583*1000000000+ISNUMBER('Dvd Calendar'!$E$1586)*100000000+('Dvd Calendar'!$E$1588=SPECIAL_LBL)*10000000+(N('Dvd Calendar'!$E$1582)&gt;0)*(N('Dvd Calendar'!$E$1582)&lt;=VAL_SERIAL)*1000000+3*1000+1))</f>
        <v/>
      </c>
      <c r="EF162" s="121">
        <f>IF(N('Dvd Calendar'!$F$1583)=0,"",IF(('Dvd Calendar'!$F$1583&gt;=GRID_FROM)*('Dvd Calendar'!$F$1583&lt;=GRID_TO)*((('Dvd Calendar'!$F$1583&lt;=VAL_DATE)+(COUNTIF('Dvd Calendar'!$E$1590:$AR$1590,'Dvd Calendar'!$F$1583)=0))&gt;0)=0,"",'Dvd Calendar'!$F$1583*1000000000+ISNUMBER('Dvd Calendar'!$F$1586)*100000000+('Dvd Calendar'!$F$1588=SPECIAL_LBL)*10000000+(N('Dvd Calendar'!$F$1582)&gt;0)*(N('Dvd Calendar'!$F$1582)&lt;=VAL_SERIAL)*1000000+3*1000+2))</f>
        <v/>
      </c>
      <c r="EG162" s="121">
        <f>IF(N('Dvd Calendar'!$G$1583)=0,"",IF(('Dvd Calendar'!$G$1583&gt;=GRID_FROM)*('Dvd Calendar'!$G$1583&lt;=GRID_TO)*((('Dvd Calendar'!$G$1583&lt;=VAL_DATE)+(COUNTIF('Dvd Calendar'!$E$1590:$AR$1590,'Dvd Calendar'!$G$1583)=0))&gt;0)=0,"",'Dvd Calendar'!$G$1583*1000000000+ISNUMBER('Dvd Calendar'!$G$1586)*100000000+('Dvd Calendar'!$G$1588=SPECIAL_LBL)*10000000+(N('Dvd Calendar'!$G$1582)&gt;0)*(N('Dvd Calendar'!$G$1582)&lt;=VAL_SERIAL)*1000000+3*1000+3))</f>
        <v/>
      </c>
      <c r="EH162" s="121">
        <f>IF(N('Dvd Calendar'!$H$1583)=0,"",IF(('Dvd Calendar'!$H$1583&gt;=GRID_FROM)*('Dvd Calendar'!$H$1583&lt;=GRID_TO)*((('Dvd Calendar'!$H$1583&lt;=VAL_DATE)+(COUNTIF('Dvd Calendar'!$E$1590:$AR$1590,'Dvd Calendar'!$H$1583)=0))&gt;0)=0,"",'Dvd Calendar'!$H$1583*1000000000+ISNUMBER('Dvd Calendar'!$H$1586)*100000000+('Dvd Calendar'!$H$1588=SPECIAL_LBL)*10000000+(N('Dvd Calendar'!$H$1582)&gt;0)*(N('Dvd Calendar'!$H$1582)&lt;=VAL_SERIAL)*1000000+3*1000+4))</f>
        <v/>
      </c>
      <c r="EI162" s="121">
        <f>IF(N('Dvd Calendar'!$I$1583)=0,"",IF(('Dvd Calendar'!$I$1583&gt;=GRID_FROM)*('Dvd Calendar'!$I$1583&lt;=GRID_TO)*((('Dvd Calendar'!$I$1583&lt;=VAL_DATE)+(COUNTIF('Dvd Calendar'!$E$1590:$AR$1590,'Dvd Calendar'!$I$1583)=0))&gt;0)=0,"",'Dvd Calendar'!$I$1583*1000000000+ISNUMBER('Dvd Calendar'!$I$1586)*100000000+('Dvd Calendar'!$I$1588=SPECIAL_LBL)*10000000+(N('Dvd Calendar'!$I$1582)&gt;0)*(N('Dvd Calendar'!$I$1582)&lt;=VAL_SERIAL)*1000000+3*1000+5))</f>
        <v/>
      </c>
      <c r="EJ162" s="121">
        <f>IF(N('Dvd Calendar'!$J$1583)=0,"",IF(('Dvd Calendar'!$J$1583&gt;=GRID_FROM)*('Dvd Calendar'!$J$1583&lt;=GRID_TO)*((('Dvd Calendar'!$J$1583&lt;=VAL_DATE)+(COUNTIF('Dvd Calendar'!$E$1590:$AR$1590,'Dvd Calendar'!$J$1583)=0))&gt;0)=0,"",'Dvd Calendar'!$J$1583*1000000000+ISNUMBER('Dvd Calendar'!$J$1586)*100000000+('Dvd Calendar'!$J$1588=SPECIAL_LBL)*10000000+(N('Dvd Calendar'!$J$1582)&gt;0)*(N('Dvd Calendar'!$J$1582)&lt;=VAL_SERIAL)*1000000+3*1000+6))</f>
        <v/>
      </c>
      <c r="EK162" s="121">
        <f>IF(N('Dvd Calendar'!$K$1583)=0,"",IF(('Dvd Calendar'!$K$1583&gt;=GRID_FROM)*('Dvd Calendar'!$K$1583&lt;=GRID_TO)*((('Dvd Calendar'!$K$1583&lt;=VAL_DATE)+(COUNTIF('Dvd Calendar'!$E$1590:$AR$1590,'Dvd Calendar'!$K$1583)=0))&gt;0)=0,"",'Dvd Calendar'!$K$1583*1000000000+ISNUMBER('Dvd Calendar'!$K$1586)*100000000+('Dvd Calendar'!$K$1588=SPECIAL_LBL)*10000000+(N('Dvd Calendar'!$K$1582)&gt;0)*(N('Dvd Calendar'!$K$1582)&lt;=VAL_SERIAL)*1000000+3*1000+7))</f>
        <v/>
      </c>
      <c r="EL162" s="121">
        <f>IF(N('Dvd Calendar'!$L$1583)=0,"",IF(('Dvd Calendar'!$L$1583&gt;=GRID_FROM)*('Dvd Calendar'!$L$1583&lt;=GRID_TO)*((('Dvd Calendar'!$L$1583&lt;=VAL_DATE)+(COUNTIF('Dvd Calendar'!$E$1590:$AR$1590,'Dvd Calendar'!$L$1583)=0))&gt;0)=0,"",'Dvd Calendar'!$L$1583*1000000000+ISNUMBER('Dvd Calendar'!$L$1586)*100000000+('Dvd Calendar'!$L$1588=SPECIAL_LBL)*10000000+(N('Dvd Calendar'!$L$1582)&gt;0)*(N('Dvd Calendar'!$L$1582)&lt;=VAL_SERIAL)*1000000+3*1000+8))</f>
        <v/>
      </c>
      <c r="EM162" s="121">
        <f>IF(N('Dvd Calendar'!$M$1583)=0,"",IF(('Dvd Calendar'!$M$1583&gt;=GRID_FROM)*('Dvd Calendar'!$M$1583&lt;=GRID_TO)*((('Dvd Calendar'!$M$1583&lt;=VAL_DATE)+(COUNTIF('Dvd Calendar'!$E$1590:$AR$1590,'Dvd Calendar'!$M$1583)=0))&gt;0)=0,"",'Dvd Calendar'!$M$1583*1000000000+ISNUMBER('Dvd Calendar'!$M$1586)*100000000+('Dvd Calendar'!$M$1588=SPECIAL_LBL)*10000000+(N('Dvd Calendar'!$M$1582)&gt;0)*(N('Dvd Calendar'!$M$1582)&lt;=VAL_SERIAL)*1000000+3*1000+9))</f>
        <v/>
      </c>
      <c r="EN162" s="121">
        <f>IF(N('Dvd Calendar'!$N$1583)=0,"",IF(('Dvd Calendar'!$N$1583&gt;=GRID_FROM)*('Dvd Calendar'!$N$1583&lt;=GRID_TO)*((('Dvd Calendar'!$N$1583&lt;=VAL_DATE)+(COUNTIF('Dvd Calendar'!$E$1590:$AR$1590,'Dvd Calendar'!$N$1583)=0))&gt;0)=0,"",'Dvd Calendar'!$N$1583*1000000000+ISNUMBER('Dvd Calendar'!$N$1586)*100000000+('Dvd Calendar'!$N$1588=SPECIAL_LBL)*10000000+(N('Dvd Calendar'!$N$1582)&gt;0)*(N('Dvd Calendar'!$N$1582)&lt;=VAL_SERIAL)*1000000+3*1000+10))</f>
        <v/>
      </c>
      <c r="EO162" s="121">
        <f>IF(N('Dvd Calendar'!$O$1583)=0,"",IF(('Dvd Calendar'!$O$1583&gt;=GRID_FROM)*('Dvd Calendar'!$O$1583&lt;=GRID_TO)*((('Dvd Calendar'!$O$1583&lt;=VAL_DATE)+(COUNTIF('Dvd Calendar'!$E$1590:$AR$1590,'Dvd Calendar'!$O$1583)=0))&gt;0)=0,"",'Dvd Calendar'!$O$1583*1000000000+ISNUMBER('Dvd Calendar'!$O$1586)*100000000+('Dvd Calendar'!$O$1588=SPECIAL_LBL)*10000000+(N('Dvd Calendar'!$O$1582)&gt;0)*(N('Dvd Calendar'!$O$1582)&lt;=VAL_SERIAL)*1000000+3*1000+11))</f>
        <v/>
      </c>
      <c r="EP162" s="121">
        <f>IF(N('Dvd Calendar'!$P$1583)=0,"",IF(('Dvd Calendar'!$P$1583&gt;=GRID_FROM)*('Dvd Calendar'!$P$1583&lt;=GRID_TO)*((('Dvd Calendar'!$P$1583&lt;=VAL_DATE)+(COUNTIF('Dvd Calendar'!$E$1590:$AR$1590,'Dvd Calendar'!$P$1583)=0))&gt;0)=0,"",'Dvd Calendar'!$P$1583*1000000000+ISNUMBER('Dvd Calendar'!$P$1586)*100000000+('Dvd Calendar'!$P$1588=SPECIAL_LBL)*10000000+(N('Dvd Calendar'!$P$1582)&gt;0)*(N('Dvd Calendar'!$P$1582)&lt;=VAL_SERIAL)*1000000+3*1000+12))</f>
        <v/>
      </c>
      <c r="EQ162" s="121">
        <f>IF(N('Dvd Calendar'!$Q$1583)=0,"",IF(('Dvd Calendar'!$Q$1583&gt;=GRID_FROM)*('Dvd Calendar'!$Q$1583&lt;=GRID_TO)*((('Dvd Calendar'!$Q$1583&lt;=VAL_DATE)+(COUNTIF('Dvd Calendar'!$E$1590:$AR$1590,'Dvd Calendar'!$Q$1583)=0))&gt;0)=0,"",'Dvd Calendar'!$Q$1583*1000000000+ISNUMBER('Dvd Calendar'!$Q$1586)*100000000+('Dvd Calendar'!$Q$1588=SPECIAL_LBL)*10000000+(N('Dvd Calendar'!$Q$1582)&gt;0)*(N('Dvd Calendar'!$Q$1582)&lt;=VAL_SERIAL)*1000000+3*1000+13))</f>
        <v/>
      </c>
      <c r="ER162" s="121">
        <f>IF(N('Dvd Calendar'!$R$1583)=0,"",IF(('Dvd Calendar'!$R$1583&gt;=GRID_FROM)*('Dvd Calendar'!$R$1583&lt;=GRID_TO)*((('Dvd Calendar'!$R$1583&lt;=VAL_DATE)+(COUNTIF('Dvd Calendar'!$E$1590:$AR$1590,'Dvd Calendar'!$R$1583)=0))&gt;0)=0,"",'Dvd Calendar'!$R$1583*1000000000+ISNUMBER('Dvd Calendar'!$R$1586)*100000000+('Dvd Calendar'!$R$1588=SPECIAL_LBL)*10000000+(N('Dvd Calendar'!$R$1582)&gt;0)*(N('Dvd Calendar'!$R$1582)&lt;=VAL_SERIAL)*1000000+3*1000+14))</f>
        <v/>
      </c>
      <c r="ES162" s="121">
        <f>IF(N('Dvd Calendar'!$S$1583)=0,"",IF(('Dvd Calendar'!$S$1583&gt;=GRID_FROM)*('Dvd Calendar'!$S$1583&lt;=GRID_TO)*((('Dvd Calendar'!$S$1583&lt;=VAL_DATE)+(COUNTIF('Dvd Calendar'!$E$1590:$AR$1590,'Dvd Calendar'!$S$1583)=0))&gt;0)=0,"",'Dvd Calendar'!$S$1583*1000000000+ISNUMBER('Dvd Calendar'!$S$1586)*100000000+('Dvd Calendar'!$S$1588=SPECIAL_LBL)*10000000+(N('Dvd Calendar'!$S$1582)&gt;0)*(N('Dvd Calendar'!$S$1582)&lt;=VAL_SERIAL)*1000000+3*1000+15))</f>
        <v/>
      </c>
      <c r="ET162" s="121">
        <f>IF(N('Dvd Calendar'!$T$1583)=0,"",IF(('Dvd Calendar'!$T$1583&gt;=GRID_FROM)*('Dvd Calendar'!$T$1583&lt;=GRID_TO)*((('Dvd Calendar'!$T$1583&lt;=VAL_DATE)+(COUNTIF('Dvd Calendar'!$E$1590:$AR$1590,'Dvd Calendar'!$T$1583)=0))&gt;0)=0,"",'Dvd Calendar'!$T$1583*1000000000+ISNUMBER('Dvd Calendar'!$T$1586)*100000000+('Dvd Calendar'!$T$1588=SPECIAL_LBL)*10000000+(N('Dvd Calendar'!$T$1582)&gt;0)*(N('Dvd Calendar'!$T$1582)&lt;=VAL_SERIAL)*1000000+3*1000+16))</f>
        <v/>
      </c>
      <c r="EU162" s="121">
        <f>IF(N('Dvd Calendar'!$U$1583)=0,"",IF(('Dvd Calendar'!$U$1583&gt;=GRID_FROM)*('Dvd Calendar'!$U$1583&lt;=GRID_TO)*((('Dvd Calendar'!$U$1583&lt;=VAL_DATE)+(COUNTIF('Dvd Calendar'!$E$1590:$AR$1590,'Dvd Calendar'!$U$1583)=0))&gt;0)=0,"",'Dvd Calendar'!$U$1583*1000000000+ISNUMBER('Dvd Calendar'!$U$1586)*100000000+('Dvd Calendar'!$U$1588=SPECIAL_LBL)*10000000+(N('Dvd Calendar'!$U$1582)&gt;0)*(N('Dvd Calendar'!$U$1582)&lt;=VAL_SERIAL)*1000000+3*1000+17))</f>
        <v/>
      </c>
      <c r="EV162" s="121">
        <f>IF(N('Dvd Calendar'!$V$1583)=0,"",IF(('Dvd Calendar'!$V$1583&gt;=GRID_FROM)*('Dvd Calendar'!$V$1583&lt;=GRID_TO)*((('Dvd Calendar'!$V$1583&lt;=VAL_DATE)+(COUNTIF('Dvd Calendar'!$E$1590:$AR$1590,'Dvd Calendar'!$V$1583)=0))&gt;0)=0,"",'Dvd Calendar'!$V$1583*1000000000+ISNUMBER('Dvd Calendar'!$V$1586)*100000000+('Dvd Calendar'!$V$1588=SPECIAL_LBL)*10000000+(N('Dvd Calendar'!$V$1582)&gt;0)*(N('Dvd Calendar'!$V$1582)&lt;=VAL_SERIAL)*1000000+3*1000+18))</f>
        <v/>
      </c>
      <c r="EW162" s="121">
        <f>IF(N('Dvd Calendar'!$W$1583)=0,"",IF(('Dvd Calendar'!$W$1583&gt;=GRID_FROM)*('Dvd Calendar'!$W$1583&lt;=GRID_TO)*((('Dvd Calendar'!$W$1583&lt;=VAL_DATE)+(COUNTIF('Dvd Calendar'!$E$1590:$AR$1590,'Dvd Calendar'!$W$1583)=0))&gt;0)=0,"",'Dvd Calendar'!$W$1583*1000000000+ISNUMBER('Dvd Calendar'!$W$1586)*100000000+('Dvd Calendar'!$W$1588=SPECIAL_LBL)*10000000+(N('Dvd Calendar'!$W$1582)&gt;0)*(N('Dvd Calendar'!$W$1582)&lt;=VAL_SERIAL)*1000000+3*1000+19))</f>
        <v/>
      </c>
      <c r="EX162" s="121">
        <f>IF(N('Dvd Calendar'!$X$1583)=0,"",IF(('Dvd Calendar'!$X$1583&gt;=GRID_FROM)*('Dvd Calendar'!$X$1583&lt;=GRID_TO)*((('Dvd Calendar'!$X$1583&lt;=VAL_DATE)+(COUNTIF('Dvd Calendar'!$E$1590:$AR$1590,'Dvd Calendar'!$X$1583)=0))&gt;0)=0,"",'Dvd Calendar'!$X$1583*1000000000+ISNUMBER('Dvd Calendar'!$X$1586)*100000000+('Dvd Calendar'!$X$1588=SPECIAL_LBL)*10000000+(N('Dvd Calendar'!$X$1582)&gt;0)*(N('Dvd Calendar'!$X$1582)&lt;=VAL_SERIAL)*1000000+3*1000+20))</f>
        <v/>
      </c>
      <c r="EY162" s="121">
        <f>IF(N('Dvd Calendar'!$Y$1583)=0,"",IF(('Dvd Calendar'!$Y$1583&gt;=GRID_FROM)*('Dvd Calendar'!$Y$1583&lt;=GRID_TO)*((('Dvd Calendar'!$Y$1583&lt;=VAL_DATE)+(COUNTIF('Dvd Calendar'!$E$1590:$AR$1590,'Dvd Calendar'!$Y$1583)=0))&gt;0)=0,"",'Dvd Calendar'!$Y$1583*1000000000+ISNUMBER('Dvd Calendar'!$Y$1586)*100000000+('Dvd Calendar'!$Y$1588=SPECIAL_LBL)*10000000+(N('Dvd Calendar'!$Y$1582)&gt;0)*(N('Dvd Calendar'!$Y$1582)&lt;=VAL_SERIAL)*1000000+3*1000+21))</f>
        <v/>
      </c>
      <c r="EZ162" s="121">
        <f>IF(N('Dvd Calendar'!$Z$1583)=0,"",IF(('Dvd Calendar'!$Z$1583&gt;=GRID_FROM)*('Dvd Calendar'!$Z$1583&lt;=GRID_TO)*((('Dvd Calendar'!$Z$1583&lt;=VAL_DATE)+(COUNTIF('Dvd Calendar'!$E$1590:$AR$1590,'Dvd Calendar'!$Z$1583)=0))&gt;0)=0,"",'Dvd Calendar'!$Z$1583*1000000000+ISNUMBER('Dvd Calendar'!$Z$1586)*100000000+('Dvd Calendar'!$Z$1588=SPECIAL_LBL)*10000000+(N('Dvd Calendar'!$Z$1582)&gt;0)*(N('Dvd Calendar'!$Z$1582)&lt;=VAL_SERIAL)*1000000+3*1000+22))</f>
        <v/>
      </c>
      <c r="FA162" s="121">
        <f>IF(N('Dvd Calendar'!$AA$1583)=0,"",IF(('Dvd Calendar'!$AA$1583&gt;=GRID_FROM)*('Dvd Calendar'!$AA$1583&lt;=GRID_TO)*((('Dvd Calendar'!$AA$1583&lt;=VAL_DATE)+(COUNTIF('Dvd Calendar'!$E$1590:$AR$1590,'Dvd Calendar'!$AA$1583)=0))&gt;0)=0,"",'Dvd Calendar'!$AA$1583*1000000000+ISNUMBER('Dvd Calendar'!$AA$1586)*100000000+('Dvd Calendar'!$AA$1588=SPECIAL_LBL)*10000000+(N('Dvd Calendar'!$AA$1582)&gt;0)*(N('Dvd Calendar'!$AA$1582)&lt;=VAL_SERIAL)*1000000+3*1000+23))</f>
        <v/>
      </c>
      <c r="FB162" s="121">
        <f>IF(N('Dvd Calendar'!$AB$1583)=0,"",IF(('Dvd Calendar'!$AB$1583&gt;=GRID_FROM)*('Dvd Calendar'!$AB$1583&lt;=GRID_TO)*((('Dvd Calendar'!$AB$1583&lt;=VAL_DATE)+(COUNTIF('Dvd Calendar'!$E$1590:$AR$1590,'Dvd Calendar'!$AB$1583)=0))&gt;0)=0,"",'Dvd Calendar'!$AB$1583*1000000000+ISNUMBER('Dvd Calendar'!$AB$1586)*100000000+('Dvd Calendar'!$AB$1588=SPECIAL_LBL)*10000000+(N('Dvd Calendar'!$AB$1582)&gt;0)*(N('Dvd Calendar'!$AB$1582)&lt;=VAL_SERIAL)*1000000+3*1000+24))</f>
        <v/>
      </c>
      <c r="FC162" s="121">
        <f>IF(N('Dvd Calendar'!$AC$1583)=0,"",IF(('Dvd Calendar'!$AC$1583&gt;=GRID_FROM)*('Dvd Calendar'!$AC$1583&lt;=GRID_TO)*((('Dvd Calendar'!$AC$1583&lt;=VAL_DATE)+(COUNTIF('Dvd Calendar'!$E$1590:$AR$1590,'Dvd Calendar'!$AC$1583)=0))&gt;0)=0,"",'Dvd Calendar'!$AC$1583*1000000000+ISNUMBER('Dvd Calendar'!$AC$1586)*100000000+('Dvd Calendar'!$AC$1588=SPECIAL_LBL)*10000000+(N('Dvd Calendar'!$AC$1582)&gt;0)*(N('Dvd Calendar'!$AC$1582)&lt;=VAL_SERIAL)*1000000+3*1000+25))</f>
        <v/>
      </c>
      <c r="FD162" s="121">
        <f>IF(N('Dvd Calendar'!$AD$1583)=0,"",IF(('Dvd Calendar'!$AD$1583&gt;=GRID_FROM)*('Dvd Calendar'!$AD$1583&lt;=GRID_TO)*((('Dvd Calendar'!$AD$1583&lt;=VAL_DATE)+(COUNTIF('Dvd Calendar'!$E$1590:$AR$1590,'Dvd Calendar'!$AD$1583)=0))&gt;0)=0,"",'Dvd Calendar'!$AD$1583*1000000000+ISNUMBER('Dvd Calendar'!$AD$1586)*100000000+('Dvd Calendar'!$AD$1588=SPECIAL_LBL)*10000000+(N('Dvd Calendar'!$AD$1582)&gt;0)*(N('Dvd Calendar'!$AD$1582)&lt;=VAL_SERIAL)*1000000+3*1000+26))</f>
        <v/>
      </c>
      <c r="FE162" s="121">
        <f>IF(N('Dvd Calendar'!$AE$1583)=0,"",IF(('Dvd Calendar'!$AE$1583&gt;=GRID_FROM)*('Dvd Calendar'!$AE$1583&lt;=GRID_TO)*((('Dvd Calendar'!$AE$1583&lt;=VAL_DATE)+(COUNTIF('Dvd Calendar'!$E$1590:$AR$1590,'Dvd Calendar'!$AE$1583)=0))&gt;0)=0,"",'Dvd Calendar'!$AE$1583*1000000000+ISNUMBER('Dvd Calendar'!$AE$1586)*100000000+('Dvd Calendar'!$AE$1588=SPECIAL_LBL)*10000000+(N('Dvd Calendar'!$AE$1582)&gt;0)*(N('Dvd Calendar'!$AE$1582)&lt;=VAL_SERIAL)*1000000+3*1000+27))</f>
        <v/>
      </c>
      <c r="FF162" s="121">
        <f>IF(N('Dvd Calendar'!$AF$1583)=0,"",IF(('Dvd Calendar'!$AF$1583&gt;=GRID_FROM)*('Dvd Calendar'!$AF$1583&lt;=GRID_TO)*((('Dvd Calendar'!$AF$1583&lt;=VAL_DATE)+(COUNTIF('Dvd Calendar'!$E$1590:$AR$1590,'Dvd Calendar'!$AF$1583)=0))&gt;0)=0,"",'Dvd Calendar'!$AF$1583*1000000000+ISNUMBER('Dvd Calendar'!$AF$1586)*100000000+('Dvd Calendar'!$AF$1588=SPECIAL_LBL)*10000000+(N('Dvd Calendar'!$AF$1582)&gt;0)*(N('Dvd Calendar'!$AF$1582)&lt;=VAL_SERIAL)*1000000+3*1000+28))</f>
        <v/>
      </c>
      <c r="FG162" s="121">
        <f>IF(N('Dvd Calendar'!$AG$1583)=0,"",IF(('Dvd Calendar'!$AG$1583&gt;=GRID_FROM)*('Dvd Calendar'!$AG$1583&lt;=GRID_TO)*((('Dvd Calendar'!$AG$1583&lt;=VAL_DATE)+(COUNTIF('Dvd Calendar'!$E$1590:$AR$1590,'Dvd Calendar'!$AG$1583)=0))&gt;0)=0,"",'Dvd Calendar'!$AG$1583*1000000000+ISNUMBER('Dvd Calendar'!$AG$1586)*100000000+('Dvd Calendar'!$AG$1588=SPECIAL_LBL)*10000000+(N('Dvd Calendar'!$AG$1582)&gt;0)*(N('Dvd Calendar'!$AG$1582)&lt;=VAL_SERIAL)*1000000+3*1000+29))</f>
        <v/>
      </c>
      <c r="FH162" s="121">
        <f>IF(N('Dvd Calendar'!$AH$1583)=0,"",IF(('Dvd Calendar'!$AH$1583&gt;=GRID_FROM)*('Dvd Calendar'!$AH$1583&lt;=GRID_TO)*((('Dvd Calendar'!$AH$1583&lt;=VAL_DATE)+(COUNTIF('Dvd Calendar'!$E$1590:$AR$1590,'Dvd Calendar'!$AH$1583)=0))&gt;0)=0,"",'Dvd Calendar'!$AH$1583*1000000000+ISNUMBER('Dvd Calendar'!$AH$1586)*100000000+('Dvd Calendar'!$AH$1588=SPECIAL_LBL)*10000000+(N('Dvd Calendar'!$AH$1582)&gt;0)*(N('Dvd Calendar'!$AH$1582)&lt;=VAL_SERIAL)*1000000+3*1000+30))</f>
        <v/>
      </c>
      <c r="FI162" s="121">
        <f>IF(N('Dvd Calendar'!$AI$1583)=0,"",IF(('Dvd Calendar'!$AI$1583&gt;=GRID_FROM)*('Dvd Calendar'!$AI$1583&lt;=GRID_TO)*((('Dvd Calendar'!$AI$1583&lt;=VAL_DATE)+(COUNTIF('Dvd Calendar'!$E$1590:$AR$1590,'Dvd Calendar'!$AI$1583)=0))&gt;0)=0,"",'Dvd Calendar'!$AI$1583*1000000000+ISNUMBER('Dvd Calendar'!$AI$1586)*100000000+('Dvd Calendar'!$AI$1588=SPECIAL_LBL)*10000000+(N('Dvd Calendar'!$AI$1582)&gt;0)*(N('Dvd Calendar'!$AI$1582)&lt;=VAL_SERIAL)*1000000+3*1000+31))</f>
        <v/>
      </c>
      <c r="FJ162" s="121">
        <f>IF(N('Dvd Calendar'!$AJ$1583)=0,"",IF(('Dvd Calendar'!$AJ$1583&gt;=GRID_FROM)*('Dvd Calendar'!$AJ$1583&lt;=GRID_TO)*((('Dvd Calendar'!$AJ$1583&lt;=VAL_DATE)+(COUNTIF('Dvd Calendar'!$E$1590:$AR$1590,'Dvd Calendar'!$AJ$1583)=0))&gt;0)=0,"",'Dvd Calendar'!$AJ$1583*1000000000+ISNUMBER('Dvd Calendar'!$AJ$1586)*100000000+('Dvd Calendar'!$AJ$1588=SPECIAL_LBL)*10000000+(N('Dvd Calendar'!$AJ$1582)&gt;0)*(N('Dvd Calendar'!$AJ$1582)&lt;=VAL_SERIAL)*1000000+3*1000+32))</f>
        <v/>
      </c>
      <c r="FK162" s="121">
        <f>IF(N('Dvd Calendar'!$AK$1583)=0,"",IF(('Dvd Calendar'!$AK$1583&gt;=GRID_FROM)*('Dvd Calendar'!$AK$1583&lt;=GRID_TO)*((('Dvd Calendar'!$AK$1583&lt;=VAL_DATE)+(COUNTIF('Dvd Calendar'!$E$1590:$AR$1590,'Dvd Calendar'!$AK$1583)=0))&gt;0)=0,"",'Dvd Calendar'!$AK$1583*1000000000+ISNUMBER('Dvd Calendar'!$AK$1586)*100000000+('Dvd Calendar'!$AK$1588=SPECIAL_LBL)*10000000+(N('Dvd Calendar'!$AK$1582)&gt;0)*(N('Dvd Calendar'!$AK$1582)&lt;=VAL_SERIAL)*1000000+3*1000+33))</f>
        <v/>
      </c>
      <c r="FL162" s="121">
        <f>IF(N('Dvd Calendar'!$AL$1583)=0,"",IF(('Dvd Calendar'!$AL$1583&gt;=GRID_FROM)*('Dvd Calendar'!$AL$1583&lt;=GRID_TO)*((('Dvd Calendar'!$AL$1583&lt;=VAL_DATE)+(COUNTIF('Dvd Calendar'!$E$1590:$AR$1590,'Dvd Calendar'!$AL$1583)=0))&gt;0)=0,"",'Dvd Calendar'!$AL$1583*1000000000+ISNUMBER('Dvd Calendar'!$AL$1586)*100000000+('Dvd Calendar'!$AL$1588=SPECIAL_LBL)*10000000+(N('Dvd Calendar'!$AL$1582)&gt;0)*(N('Dvd Calendar'!$AL$1582)&lt;=VAL_SERIAL)*1000000+3*1000+34))</f>
        <v/>
      </c>
      <c r="FM162" s="121">
        <f>IF(N('Dvd Calendar'!$AM$1583)=0,"",IF(('Dvd Calendar'!$AM$1583&gt;=GRID_FROM)*('Dvd Calendar'!$AM$1583&lt;=GRID_TO)*((('Dvd Calendar'!$AM$1583&lt;=VAL_DATE)+(COUNTIF('Dvd Calendar'!$E$1590:$AR$1590,'Dvd Calendar'!$AM$1583)=0))&gt;0)=0,"",'Dvd Calendar'!$AM$1583*1000000000+ISNUMBER('Dvd Calendar'!$AM$1586)*100000000+('Dvd Calendar'!$AM$1588=SPECIAL_LBL)*10000000+(N('Dvd Calendar'!$AM$1582)&gt;0)*(N('Dvd Calendar'!$AM$1582)&lt;=VAL_SERIAL)*1000000+3*1000+35))</f>
        <v/>
      </c>
      <c r="FN162" s="121">
        <f>IF(N('Dvd Calendar'!$AN$1583)=0,"",IF(('Dvd Calendar'!$AN$1583&gt;=GRID_FROM)*('Dvd Calendar'!$AN$1583&lt;=GRID_TO)*((('Dvd Calendar'!$AN$1583&lt;=VAL_DATE)+(COUNTIF('Dvd Calendar'!$E$1590:$AR$1590,'Dvd Calendar'!$AN$1583)=0))&gt;0)=0,"",'Dvd Calendar'!$AN$1583*1000000000+ISNUMBER('Dvd Calendar'!$AN$1586)*100000000+('Dvd Calendar'!$AN$1588=SPECIAL_LBL)*10000000+(N('Dvd Calendar'!$AN$1582)&gt;0)*(N('Dvd Calendar'!$AN$1582)&lt;=VAL_SERIAL)*1000000+3*1000+36))</f>
        <v/>
      </c>
      <c r="FO162" s="121">
        <f>IF(N('Dvd Calendar'!$AO$1583)=0,"",IF(('Dvd Calendar'!$AO$1583&gt;=GRID_FROM)*('Dvd Calendar'!$AO$1583&lt;=GRID_TO)*((('Dvd Calendar'!$AO$1583&lt;=VAL_DATE)+(COUNTIF('Dvd Calendar'!$E$1590:$AR$1590,'Dvd Calendar'!$AO$1583)=0))&gt;0)=0,"",'Dvd Calendar'!$AO$1583*1000000000+ISNUMBER('Dvd Calendar'!$AO$1586)*100000000+('Dvd Calendar'!$AO$1588=SPECIAL_LBL)*10000000+(N('Dvd Calendar'!$AO$1582)&gt;0)*(N('Dvd Calendar'!$AO$1582)&lt;=VAL_SERIAL)*1000000+3*1000+37))</f>
        <v/>
      </c>
      <c r="FP162" s="121">
        <f>IF(N('Dvd Calendar'!$AP$1583)=0,"",IF(('Dvd Calendar'!$AP$1583&gt;=GRID_FROM)*('Dvd Calendar'!$AP$1583&lt;=GRID_TO)*((('Dvd Calendar'!$AP$1583&lt;=VAL_DATE)+(COUNTIF('Dvd Calendar'!$E$1590:$AR$1590,'Dvd Calendar'!$AP$1583)=0))&gt;0)=0,"",'Dvd Calendar'!$AP$1583*1000000000+ISNUMBER('Dvd Calendar'!$AP$1586)*100000000+('Dvd Calendar'!$AP$1588=SPECIAL_LBL)*10000000+(N('Dvd Calendar'!$AP$1582)&gt;0)*(N('Dvd Calendar'!$AP$1582)&lt;=VAL_SERIAL)*1000000+3*1000+38))</f>
        <v/>
      </c>
      <c r="FQ162" s="121">
        <f>IF(N('Dvd Calendar'!$AQ$1583)=0,"",IF(('Dvd Calendar'!$AQ$1583&gt;=GRID_FROM)*('Dvd Calendar'!$AQ$1583&lt;=GRID_TO)*((('Dvd Calendar'!$AQ$1583&lt;=VAL_DATE)+(COUNTIF('Dvd Calendar'!$E$1590:$AR$1590,'Dvd Calendar'!$AQ$1583)=0))&gt;0)=0,"",'Dvd Calendar'!$AQ$1583*1000000000+ISNUMBER('Dvd Calendar'!$AQ$1586)*100000000+('Dvd Calendar'!$AQ$1588=SPECIAL_LBL)*10000000+(N('Dvd Calendar'!$AQ$1582)&gt;0)*(N('Dvd Calendar'!$AQ$1582)&lt;=VAL_SERIAL)*1000000+3*1000+39))</f>
        <v/>
      </c>
      <c r="FR162" s="121">
        <f>IF(N('Dvd Calendar'!$AR$1583)=0,"",IF(('Dvd Calendar'!$AR$1583&gt;=GRID_FROM)*('Dvd Calendar'!$AR$1583&lt;=GRID_TO)*((('Dvd Calendar'!$AR$1583&lt;=VAL_DATE)+(COUNTIF('Dvd Calendar'!$E$1590:$AR$1590,'Dvd Calendar'!$AR$1583)=0))&gt;0)=0,"",'Dvd Calendar'!$AR$1583*1000000000+ISNUMBER('Dvd Calendar'!$AR$1586)*100000000+('Dvd Calendar'!$AR$1588=SPECIAL_LBL)*10000000+(N('Dvd Calendar'!$AR$1582)&gt;0)*(N('Dvd Calendar'!$AR$1582)&lt;=VAL_SERIAL)*1000000+3*1000+40))</f>
        <v/>
      </c>
      <c r="FS162" s="121">
        <f>IF(N('Dvd Calendar'!$E$1590)=0,"",IF(('Dvd Calendar'!$E$1590&gt;=GRID_FROM)*('Dvd Calendar'!$E$1590&lt;=GRID_TO)*('Dvd Calendar'!$E$1590&gt;VAL_DATE)=0,"",'Dvd Calendar'!$E$1590*1000000000+ISNUMBER('Dvd Calendar'!$E$1591)*100000000+0*10000000+(N('Dvd Calendar'!$E$1589)&gt;0)*(N('Dvd Calendar'!$E$1589)&lt;=VAL_SERIAL)*1000000+3*1000+41))</f>
        <v/>
      </c>
      <c r="FT162" s="121">
        <f>IF(N('Dvd Calendar'!$F$1590)=0,"",IF(('Dvd Calendar'!$F$1590&gt;=GRID_FROM)*('Dvd Calendar'!$F$1590&lt;=GRID_TO)*('Dvd Calendar'!$F$1590&gt;VAL_DATE)=0,"",'Dvd Calendar'!$F$1590*1000000000+ISNUMBER('Dvd Calendar'!$F$1591)*100000000+0*10000000+(N('Dvd Calendar'!$F$1589)&gt;0)*(N('Dvd Calendar'!$F$1589)&lt;=VAL_SERIAL)*1000000+3*1000+42))</f>
        <v/>
      </c>
      <c r="FU162" s="121">
        <f>IF(N('Dvd Calendar'!$G$1590)=0,"",IF(('Dvd Calendar'!$G$1590&gt;=GRID_FROM)*('Dvd Calendar'!$G$1590&lt;=GRID_TO)*('Dvd Calendar'!$G$1590&gt;VAL_DATE)=0,"",'Dvd Calendar'!$G$1590*1000000000+ISNUMBER('Dvd Calendar'!$G$1591)*100000000+0*10000000+(N('Dvd Calendar'!$G$1589)&gt;0)*(N('Dvd Calendar'!$G$1589)&lt;=VAL_SERIAL)*1000000+3*1000+43))</f>
        <v/>
      </c>
      <c r="FV162" s="121">
        <f>IF(N('Dvd Calendar'!$H$1590)=0,"",IF(('Dvd Calendar'!$H$1590&gt;=GRID_FROM)*('Dvd Calendar'!$H$1590&lt;=GRID_TO)*('Dvd Calendar'!$H$1590&gt;VAL_DATE)=0,"",'Dvd Calendar'!$H$1590*1000000000+ISNUMBER('Dvd Calendar'!$H$1591)*100000000+0*10000000+(N('Dvd Calendar'!$H$1589)&gt;0)*(N('Dvd Calendar'!$H$1589)&lt;=VAL_SERIAL)*1000000+3*1000+44))</f>
        <v/>
      </c>
      <c r="FW162" s="121">
        <f>IF(N('Dvd Calendar'!$I$1590)=0,"",IF(('Dvd Calendar'!$I$1590&gt;=GRID_FROM)*('Dvd Calendar'!$I$1590&lt;=GRID_TO)*('Dvd Calendar'!$I$1590&gt;VAL_DATE)=0,"",'Dvd Calendar'!$I$1590*1000000000+ISNUMBER('Dvd Calendar'!$I$1591)*100000000+0*10000000+(N('Dvd Calendar'!$I$1589)&gt;0)*(N('Dvd Calendar'!$I$1589)&lt;=VAL_SERIAL)*1000000+3*1000+45))</f>
        <v/>
      </c>
      <c r="FX162" s="121">
        <f>IF(N('Dvd Calendar'!$J$1590)=0,"",IF(('Dvd Calendar'!$J$1590&gt;=GRID_FROM)*('Dvd Calendar'!$J$1590&lt;=GRID_TO)*('Dvd Calendar'!$J$1590&gt;VAL_DATE)=0,"",'Dvd Calendar'!$J$1590*1000000000+ISNUMBER('Dvd Calendar'!$J$1591)*100000000+0*10000000+(N('Dvd Calendar'!$J$1589)&gt;0)*(N('Dvd Calendar'!$J$1589)&lt;=VAL_SERIAL)*1000000+3*1000+46))</f>
        <v/>
      </c>
      <c r="FY162" s="121">
        <f>IF(N('Dvd Calendar'!$K$1590)=0,"",IF(('Dvd Calendar'!$K$1590&gt;=GRID_FROM)*('Dvd Calendar'!$K$1590&lt;=GRID_TO)*('Dvd Calendar'!$K$1590&gt;VAL_DATE)=0,"",'Dvd Calendar'!$K$1590*1000000000+ISNUMBER('Dvd Calendar'!$K$1591)*100000000+0*10000000+(N('Dvd Calendar'!$K$1589)&gt;0)*(N('Dvd Calendar'!$K$1589)&lt;=VAL_SERIAL)*1000000+3*1000+47))</f>
        <v/>
      </c>
      <c r="FZ162" s="121">
        <f>IF(N('Dvd Calendar'!$L$1590)=0,"",IF(('Dvd Calendar'!$L$1590&gt;=GRID_FROM)*('Dvd Calendar'!$L$1590&lt;=GRID_TO)*('Dvd Calendar'!$L$1590&gt;VAL_DATE)=0,"",'Dvd Calendar'!$L$1590*1000000000+ISNUMBER('Dvd Calendar'!$L$1591)*100000000+0*10000000+(N('Dvd Calendar'!$L$1589)&gt;0)*(N('Dvd Calendar'!$L$1589)&lt;=VAL_SERIAL)*1000000+3*1000+48))</f>
        <v/>
      </c>
      <c r="GA162" s="121">
        <f>IF(N('Dvd Calendar'!$M$1590)=0,"",IF(('Dvd Calendar'!$M$1590&gt;=GRID_FROM)*('Dvd Calendar'!$M$1590&lt;=GRID_TO)*('Dvd Calendar'!$M$1590&gt;VAL_DATE)=0,"",'Dvd Calendar'!$M$1590*1000000000+ISNUMBER('Dvd Calendar'!$M$1591)*100000000+0*10000000+(N('Dvd Calendar'!$M$1589)&gt;0)*(N('Dvd Calendar'!$M$1589)&lt;=VAL_SERIAL)*1000000+3*1000+49))</f>
        <v/>
      </c>
      <c r="GB162" s="121">
        <f>IF(N('Dvd Calendar'!$N$1590)=0,"",IF(('Dvd Calendar'!$N$1590&gt;=GRID_FROM)*('Dvd Calendar'!$N$1590&lt;=GRID_TO)*('Dvd Calendar'!$N$1590&gt;VAL_DATE)=0,"",'Dvd Calendar'!$N$1590*1000000000+ISNUMBER('Dvd Calendar'!$N$1591)*100000000+0*10000000+(N('Dvd Calendar'!$N$1589)&gt;0)*(N('Dvd Calendar'!$N$1589)&lt;=VAL_SERIAL)*1000000+3*1000+50))</f>
        <v/>
      </c>
      <c r="GC162" s="121">
        <f>IF(N('Dvd Calendar'!$O$1590)=0,"",IF(('Dvd Calendar'!$O$1590&gt;=GRID_FROM)*('Dvd Calendar'!$O$1590&lt;=GRID_TO)*('Dvd Calendar'!$O$1590&gt;VAL_DATE)=0,"",'Dvd Calendar'!$O$1590*1000000000+ISNUMBER('Dvd Calendar'!$O$1591)*100000000+0*10000000+(N('Dvd Calendar'!$O$1589)&gt;0)*(N('Dvd Calendar'!$O$1589)&lt;=VAL_SERIAL)*1000000+3*1000+51))</f>
        <v/>
      </c>
      <c r="GD162" s="121">
        <f>IF(N('Dvd Calendar'!$P$1590)=0,"",IF(('Dvd Calendar'!$P$1590&gt;=GRID_FROM)*('Dvd Calendar'!$P$1590&lt;=GRID_TO)*('Dvd Calendar'!$P$1590&gt;VAL_DATE)=0,"",'Dvd Calendar'!$P$1590*1000000000+ISNUMBER('Dvd Calendar'!$P$1591)*100000000+0*10000000+(N('Dvd Calendar'!$P$1589)&gt;0)*(N('Dvd Calendar'!$P$1589)&lt;=VAL_SERIAL)*1000000+3*1000+52))</f>
        <v/>
      </c>
      <c r="GE162" s="121">
        <f>IF(N('Dvd Calendar'!$Q$1590)=0,"",IF(('Dvd Calendar'!$Q$1590&gt;=GRID_FROM)*('Dvd Calendar'!$Q$1590&lt;=GRID_TO)*('Dvd Calendar'!$Q$1590&gt;VAL_DATE)=0,"",'Dvd Calendar'!$Q$1590*1000000000+ISNUMBER('Dvd Calendar'!$Q$1591)*100000000+0*10000000+(N('Dvd Calendar'!$Q$1589)&gt;0)*(N('Dvd Calendar'!$Q$1589)&lt;=VAL_SERIAL)*1000000+3*1000+53))</f>
        <v/>
      </c>
      <c r="GF162" s="121">
        <f>IF(N('Dvd Calendar'!$R$1590)=0,"",IF(('Dvd Calendar'!$R$1590&gt;=GRID_FROM)*('Dvd Calendar'!$R$1590&lt;=GRID_TO)*('Dvd Calendar'!$R$1590&gt;VAL_DATE)=0,"",'Dvd Calendar'!$R$1590*1000000000+ISNUMBER('Dvd Calendar'!$R$1591)*100000000+0*10000000+(N('Dvd Calendar'!$R$1589)&gt;0)*(N('Dvd Calendar'!$R$1589)&lt;=VAL_SERIAL)*1000000+3*1000+54))</f>
        <v/>
      </c>
      <c r="GG162" s="121">
        <f>IF(N('Dvd Calendar'!$S$1590)=0,"",IF(('Dvd Calendar'!$S$1590&gt;=GRID_FROM)*('Dvd Calendar'!$S$1590&lt;=GRID_TO)*('Dvd Calendar'!$S$1590&gt;VAL_DATE)=0,"",'Dvd Calendar'!$S$1590*1000000000+ISNUMBER('Dvd Calendar'!$S$1591)*100000000+0*10000000+(N('Dvd Calendar'!$S$1589)&gt;0)*(N('Dvd Calendar'!$S$1589)&lt;=VAL_SERIAL)*1000000+3*1000+55))</f>
        <v/>
      </c>
      <c r="GH162" s="121">
        <f>IF(N('Dvd Calendar'!$T$1590)=0,"",IF(('Dvd Calendar'!$T$1590&gt;=GRID_FROM)*('Dvd Calendar'!$T$1590&lt;=GRID_TO)*('Dvd Calendar'!$T$1590&gt;VAL_DATE)=0,"",'Dvd Calendar'!$T$1590*1000000000+ISNUMBER('Dvd Calendar'!$T$1591)*100000000+0*10000000+(N('Dvd Calendar'!$T$1589)&gt;0)*(N('Dvd Calendar'!$T$1589)&lt;=VAL_SERIAL)*1000000+3*1000+56))</f>
        <v/>
      </c>
      <c r="GI162" s="121">
        <f>IF(N('Dvd Calendar'!$U$1590)=0,"",IF(('Dvd Calendar'!$U$1590&gt;=GRID_FROM)*('Dvd Calendar'!$U$1590&lt;=GRID_TO)*('Dvd Calendar'!$U$1590&gt;VAL_DATE)=0,"",'Dvd Calendar'!$U$1590*1000000000+ISNUMBER('Dvd Calendar'!$U$1591)*100000000+0*10000000+(N('Dvd Calendar'!$U$1589)&gt;0)*(N('Dvd Calendar'!$U$1589)&lt;=VAL_SERIAL)*1000000+3*1000+57))</f>
        <v/>
      </c>
      <c r="GJ162" s="121">
        <f>IF(N('Dvd Calendar'!$V$1590)=0,"",IF(('Dvd Calendar'!$V$1590&gt;=GRID_FROM)*('Dvd Calendar'!$V$1590&lt;=GRID_TO)*('Dvd Calendar'!$V$1590&gt;VAL_DATE)=0,"",'Dvd Calendar'!$V$1590*1000000000+ISNUMBER('Dvd Calendar'!$V$1591)*100000000+0*10000000+(N('Dvd Calendar'!$V$1589)&gt;0)*(N('Dvd Calendar'!$V$1589)&lt;=VAL_SERIAL)*1000000+3*1000+58))</f>
        <v/>
      </c>
      <c r="GK162" s="121">
        <f>IF(N('Dvd Calendar'!$W$1590)=0,"",IF(('Dvd Calendar'!$W$1590&gt;=GRID_FROM)*('Dvd Calendar'!$W$1590&lt;=GRID_TO)*('Dvd Calendar'!$W$1590&gt;VAL_DATE)=0,"",'Dvd Calendar'!$W$1590*1000000000+ISNUMBER('Dvd Calendar'!$W$1591)*100000000+0*10000000+(N('Dvd Calendar'!$W$1589)&gt;0)*(N('Dvd Calendar'!$W$1589)&lt;=VAL_SERIAL)*1000000+3*1000+59))</f>
        <v/>
      </c>
      <c r="GL162" s="121">
        <f>IF(N('Dvd Calendar'!$X$1590)=0,"",IF(('Dvd Calendar'!$X$1590&gt;=GRID_FROM)*('Dvd Calendar'!$X$1590&lt;=GRID_TO)*('Dvd Calendar'!$X$1590&gt;VAL_DATE)=0,"",'Dvd Calendar'!$X$1590*1000000000+ISNUMBER('Dvd Calendar'!$X$1591)*100000000+0*10000000+(N('Dvd Calendar'!$X$1589)&gt;0)*(N('Dvd Calendar'!$X$1589)&lt;=VAL_SERIAL)*1000000+3*1000+60))</f>
        <v/>
      </c>
      <c r="GM162" s="121">
        <f>IF(N('Dvd Calendar'!$Y$1590)=0,"",IF(('Dvd Calendar'!$Y$1590&gt;=GRID_FROM)*('Dvd Calendar'!$Y$1590&lt;=GRID_TO)*('Dvd Calendar'!$Y$1590&gt;VAL_DATE)=0,"",'Dvd Calendar'!$Y$1590*1000000000+ISNUMBER('Dvd Calendar'!$Y$1591)*100000000+0*10000000+(N('Dvd Calendar'!$Y$1589)&gt;0)*(N('Dvd Calendar'!$Y$1589)&lt;=VAL_SERIAL)*1000000+3*1000+61))</f>
        <v/>
      </c>
      <c r="GN162" s="121">
        <f>IF(N('Dvd Calendar'!$Z$1590)=0,"",IF(('Dvd Calendar'!$Z$1590&gt;=GRID_FROM)*('Dvd Calendar'!$Z$1590&lt;=GRID_TO)*('Dvd Calendar'!$Z$1590&gt;VAL_DATE)=0,"",'Dvd Calendar'!$Z$1590*1000000000+ISNUMBER('Dvd Calendar'!$Z$1591)*100000000+0*10000000+(N('Dvd Calendar'!$Z$1589)&gt;0)*(N('Dvd Calendar'!$Z$1589)&lt;=VAL_SERIAL)*1000000+3*1000+62))</f>
        <v/>
      </c>
      <c r="GO162" s="121">
        <f>IF(N('Dvd Calendar'!$AA$1590)=0,"",IF(('Dvd Calendar'!$AA$1590&gt;=GRID_FROM)*('Dvd Calendar'!$AA$1590&lt;=GRID_TO)*('Dvd Calendar'!$AA$1590&gt;VAL_DATE)=0,"",'Dvd Calendar'!$AA$1590*1000000000+ISNUMBER('Dvd Calendar'!$AA$1591)*100000000+0*10000000+(N('Dvd Calendar'!$AA$1589)&gt;0)*(N('Dvd Calendar'!$AA$1589)&lt;=VAL_SERIAL)*1000000+3*1000+63))</f>
        <v/>
      </c>
      <c r="GP162" s="121">
        <f>IF(N('Dvd Calendar'!$AB$1590)=0,"",IF(('Dvd Calendar'!$AB$1590&gt;=GRID_FROM)*('Dvd Calendar'!$AB$1590&lt;=GRID_TO)*('Dvd Calendar'!$AB$1590&gt;VAL_DATE)=0,"",'Dvd Calendar'!$AB$1590*1000000000+ISNUMBER('Dvd Calendar'!$AB$1591)*100000000+0*10000000+(N('Dvd Calendar'!$AB$1589)&gt;0)*(N('Dvd Calendar'!$AB$1589)&lt;=VAL_SERIAL)*1000000+3*1000+64))</f>
        <v/>
      </c>
      <c r="GQ162" s="121">
        <f>IF(N('Dvd Calendar'!$AC$1590)=0,"",IF(('Dvd Calendar'!$AC$1590&gt;=GRID_FROM)*('Dvd Calendar'!$AC$1590&lt;=GRID_TO)*('Dvd Calendar'!$AC$1590&gt;VAL_DATE)=0,"",'Dvd Calendar'!$AC$1590*1000000000+ISNUMBER('Dvd Calendar'!$AC$1591)*100000000+0*10000000+(N('Dvd Calendar'!$AC$1589)&gt;0)*(N('Dvd Calendar'!$AC$1589)&lt;=VAL_SERIAL)*1000000+3*1000+65))</f>
        <v/>
      </c>
    </row>
    <row r="163">
      <c r="B163" s="2">
        <f>IF(HSCEI!$C$10="","",HSCEI!$C$10)</f>
        <v/>
      </c>
      <c r="C163" s="161">
        <f>IF(EE163="","",IF(ISNUMBER('Dvd Calendar'!$E$1597)=FALSE,"",IF((('Dvd Calendar'!$E$1599=TYPE1)*(TYPE1&lt;&gt;"")+('Dvd Calendar'!$E$1599=TYPE2)*(TYPE2&lt;&gt;"")+('Dvd Calendar'!$E$1599=TYPE3)*(TYPE3&lt;&gt;"")+('Dvd Calendar'!$E$1599=TYPE4)*(TYPE4&lt;&gt;"")+('Dvd Calendar'!$E$1599=SPECIAL_LBL)*(INC_SPECIALS="Y"))=0,"",'Dvd Calendar'!$E$1597)))</f>
        <v/>
      </c>
      <c r="D163" s="161">
        <f>IF(EF163="","",IF(ISNUMBER('Dvd Calendar'!$F$1597)=FALSE,"",IF((('Dvd Calendar'!$F$1599=TYPE1)*(TYPE1&lt;&gt;"")+('Dvd Calendar'!$F$1599=TYPE2)*(TYPE2&lt;&gt;"")+('Dvd Calendar'!$F$1599=TYPE3)*(TYPE3&lt;&gt;"")+('Dvd Calendar'!$F$1599=TYPE4)*(TYPE4&lt;&gt;"")+('Dvd Calendar'!$F$1599=SPECIAL_LBL)*(INC_SPECIALS="Y"))=0,"",'Dvd Calendar'!$F$1597)))</f>
        <v/>
      </c>
      <c r="E163" s="161">
        <f>IF(EG163="","",IF(ISNUMBER('Dvd Calendar'!$G$1597)=FALSE,"",IF((('Dvd Calendar'!$G$1599=TYPE1)*(TYPE1&lt;&gt;"")+('Dvd Calendar'!$G$1599=TYPE2)*(TYPE2&lt;&gt;"")+('Dvd Calendar'!$G$1599=TYPE3)*(TYPE3&lt;&gt;"")+('Dvd Calendar'!$G$1599=TYPE4)*(TYPE4&lt;&gt;"")+('Dvd Calendar'!$G$1599=SPECIAL_LBL)*(INC_SPECIALS="Y"))=0,"",'Dvd Calendar'!$G$1597)))</f>
        <v/>
      </c>
      <c r="F163" s="161">
        <f>IF(EH163="","",IF(ISNUMBER('Dvd Calendar'!$H$1597)=FALSE,"",IF((('Dvd Calendar'!$H$1599=TYPE1)*(TYPE1&lt;&gt;"")+('Dvd Calendar'!$H$1599=TYPE2)*(TYPE2&lt;&gt;"")+('Dvd Calendar'!$H$1599=TYPE3)*(TYPE3&lt;&gt;"")+('Dvd Calendar'!$H$1599=TYPE4)*(TYPE4&lt;&gt;"")+('Dvd Calendar'!$H$1599=SPECIAL_LBL)*(INC_SPECIALS="Y"))=0,"",'Dvd Calendar'!$H$1597)))</f>
        <v/>
      </c>
      <c r="G163" s="161">
        <f>IF(EI163="","",IF(ISNUMBER('Dvd Calendar'!$I$1597)=FALSE,"",IF((('Dvd Calendar'!$I$1599=TYPE1)*(TYPE1&lt;&gt;"")+('Dvd Calendar'!$I$1599=TYPE2)*(TYPE2&lt;&gt;"")+('Dvd Calendar'!$I$1599=TYPE3)*(TYPE3&lt;&gt;"")+('Dvd Calendar'!$I$1599=TYPE4)*(TYPE4&lt;&gt;"")+('Dvd Calendar'!$I$1599=SPECIAL_LBL)*(INC_SPECIALS="Y"))=0,"",'Dvd Calendar'!$I$1597)))</f>
        <v/>
      </c>
      <c r="H163" s="161">
        <f>IF(EJ163="","",IF(ISNUMBER('Dvd Calendar'!$J$1597)=FALSE,"",IF((('Dvd Calendar'!$J$1599=TYPE1)*(TYPE1&lt;&gt;"")+('Dvd Calendar'!$J$1599=TYPE2)*(TYPE2&lt;&gt;"")+('Dvd Calendar'!$J$1599=TYPE3)*(TYPE3&lt;&gt;"")+('Dvd Calendar'!$J$1599=TYPE4)*(TYPE4&lt;&gt;"")+('Dvd Calendar'!$J$1599=SPECIAL_LBL)*(INC_SPECIALS="Y"))=0,"",'Dvd Calendar'!$J$1597)))</f>
        <v/>
      </c>
      <c r="I163" s="161">
        <f>IF(EK163="","",IF(ISNUMBER('Dvd Calendar'!$K$1597)=FALSE,"",IF((('Dvd Calendar'!$K$1599=TYPE1)*(TYPE1&lt;&gt;"")+('Dvd Calendar'!$K$1599=TYPE2)*(TYPE2&lt;&gt;"")+('Dvd Calendar'!$K$1599=TYPE3)*(TYPE3&lt;&gt;"")+('Dvd Calendar'!$K$1599=TYPE4)*(TYPE4&lt;&gt;"")+('Dvd Calendar'!$K$1599=SPECIAL_LBL)*(INC_SPECIALS="Y"))=0,"",'Dvd Calendar'!$K$1597)))</f>
        <v/>
      </c>
      <c r="J163" s="161">
        <f>IF(EL163="","",IF(ISNUMBER('Dvd Calendar'!$L$1597)=FALSE,"",IF((('Dvd Calendar'!$L$1599=TYPE1)*(TYPE1&lt;&gt;"")+('Dvd Calendar'!$L$1599=TYPE2)*(TYPE2&lt;&gt;"")+('Dvd Calendar'!$L$1599=TYPE3)*(TYPE3&lt;&gt;"")+('Dvd Calendar'!$L$1599=TYPE4)*(TYPE4&lt;&gt;"")+('Dvd Calendar'!$L$1599=SPECIAL_LBL)*(INC_SPECIALS="Y"))=0,"",'Dvd Calendar'!$L$1597)))</f>
        <v/>
      </c>
      <c r="K163" s="161">
        <f>IF(EM163="","",IF(ISNUMBER('Dvd Calendar'!$M$1597)=FALSE,"",IF((('Dvd Calendar'!$M$1599=TYPE1)*(TYPE1&lt;&gt;"")+('Dvd Calendar'!$M$1599=TYPE2)*(TYPE2&lt;&gt;"")+('Dvd Calendar'!$M$1599=TYPE3)*(TYPE3&lt;&gt;"")+('Dvd Calendar'!$M$1599=TYPE4)*(TYPE4&lt;&gt;"")+('Dvd Calendar'!$M$1599=SPECIAL_LBL)*(INC_SPECIALS="Y"))=0,"",'Dvd Calendar'!$M$1597)))</f>
        <v/>
      </c>
      <c r="L163" s="161">
        <f>IF(EN163="","",IF(ISNUMBER('Dvd Calendar'!$N$1597)=FALSE,"",IF((('Dvd Calendar'!$N$1599=TYPE1)*(TYPE1&lt;&gt;"")+('Dvd Calendar'!$N$1599=TYPE2)*(TYPE2&lt;&gt;"")+('Dvd Calendar'!$N$1599=TYPE3)*(TYPE3&lt;&gt;"")+('Dvd Calendar'!$N$1599=TYPE4)*(TYPE4&lt;&gt;"")+('Dvd Calendar'!$N$1599=SPECIAL_LBL)*(INC_SPECIALS="Y"))=0,"",'Dvd Calendar'!$N$1597)))</f>
        <v/>
      </c>
      <c r="M163" s="161">
        <f>IF(EO163="","",IF(ISNUMBER('Dvd Calendar'!$O$1597)=FALSE,"",IF((('Dvd Calendar'!$O$1599=TYPE1)*(TYPE1&lt;&gt;"")+('Dvd Calendar'!$O$1599=TYPE2)*(TYPE2&lt;&gt;"")+('Dvd Calendar'!$O$1599=TYPE3)*(TYPE3&lt;&gt;"")+('Dvd Calendar'!$O$1599=TYPE4)*(TYPE4&lt;&gt;"")+('Dvd Calendar'!$O$1599=SPECIAL_LBL)*(INC_SPECIALS="Y"))=0,"",'Dvd Calendar'!$O$1597)))</f>
        <v/>
      </c>
      <c r="N163" s="161">
        <f>IF(EP163="","",IF(ISNUMBER('Dvd Calendar'!$P$1597)=FALSE,"",IF((('Dvd Calendar'!$P$1599=TYPE1)*(TYPE1&lt;&gt;"")+('Dvd Calendar'!$P$1599=TYPE2)*(TYPE2&lt;&gt;"")+('Dvd Calendar'!$P$1599=TYPE3)*(TYPE3&lt;&gt;"")+('Dvd Calendar'!$P$1599=TYPE4)*(TYPE4&lt;&gt;"")+('Dvd Calendar'!$P$1599=SPECIAL_LBL)*(INC_SPECIALS="Y"))=0,"",'Dvd Calendar'!$P$1597)))</f>
        <v/>
      </c>
      <c r="O163" s="161">
        <f>IF(EQ163="","",IF(ISNUMBER('Dvd Calendar'!$Q$1597)=FALSE,"",IF((('Dvd Calendar'!$Q$1599=TYPE1)*(TYPE1&lt;&gt;"")+('Dvd Calendar'!$Q$1599=TYPE2)*(TYPE2&lt;&gt;"")+('Dvd Calendar'!$Q$1599=TYPE3)*(TYPE3&lt;&gt;"")+('Dvd Calendar'!$Q$1599=TYPE4)*(TYPE4&lt;&gt;"")+('Dvd Calendar'!$Q$1599=SPECIAL_LBL)*(INC_SPECIALS="Y"))=0,"",'Dvd Calendar'!$Q$1597)))</f>
        <v/>
      </c>
      <c r="P163" s="161">
        <f>IF(ER163="","",IF(ISNUMBER('Dvd Calendar'!$R$1597)=FALSE,"",IF((('Dvd Calendar'!$R$1599=TYPE1)*(TYPE1&lt;&gt;"")+('Dvd Calendar'!$R$1599=TYPE2)*(TYPE2&lt;&gt;"")+('Dvd Calendar'!$R$1599=TYPE3)*(TYPE3&lt;&gt;"")+('Dvd Calendar'!$R$1599=TYPE4)*(TYPE4&lt;&gt;"")+('Dvd Calendar'!$R$1599=SPECIAL_LBL)*(INC_SPECIALS="Y"))=0,"",'Dvd Calendar'!$R$1597)))</f>
        <v/>
      </c>
      <c r="Q163" s="161">
        <f>IF(ES163="","",IF(ISNUMBER('Dvd Calendar'!$S$1597)=FALSE,"",IF((('Dvd Calendar'!$S$1599=TYPE1)*(TYPE1&lt;&gt;"")+('Dvd Calendar'!$S$1599=TYPE2)*(TYPE2&lt;&gt;"")+('Dvd Calendar'!$S$1599=TYPE3)*(TYPE3&lt;&gt;"")+('Dvd Calendar'!$S$1599=TYPE4)*(TYPE4&lt;&gt;"")+('Dvd Calendar'!$S$1599=SPECIAL_LBL)*(INC_SPECIALS="Y"))=0,"",'Dvd Calendar'!$S$1597)))</f>
        <v/>
      </c>
      <c r="R163" s="161">
        <f>IF(ET163="","",IF(ISNUMBER('Dvd Calendar'!$T$1597)=FALSE,"",IF((('Dvd Calendar'!$T$1599=TYPE1)*(TYPE1&lt;&gt;"")+('Dvd Calendar'!$T$1599=TYPE2)*(TYPE2&lt;&gt;"")+('Dvd Calendar'!$T$1599=TYPE3)*(TYPE3&lt;&gt;"")+('Dvd Calendar'!$T$1599=TYPE4)*(TYPE4&lt;&gt;"")+('Dvd Calendar'!$T$1599=SPECIAL_LBL)*(INC_SPECIALS="Y"))=0,"",'Dvd Calendar'!$T$1597)))</f>
        <v/>
      </c>
      <c r="S163" s="161">
        <f>IF(EU163="","",IF(ISNUMBER('Dvd Calendar'!$U$1597)=FALSE,"",IF((('Dvd Calendar'!$U$1599=TYPE1)*(TYPE1&lt;&gt;"")+('Dvd Calendar'!$U$1599=TYPE2)*(TYPE2&lt;&gt;"")+('Dvd Calendar'!$U$1599=TYPE3)*(TYPE3&lt;&gt;"")+('Dvd Calendar'!$U$1599=TYPE4)*(TYPE4&lt;&gt;"")+('Dvd Calendar'!$U$1599=SPECIAL_LBL)*(INC_SPECIALS="Y"))=0,"",'Dvd Calendar'!$U$1597)))</f>
        <v/>
      </c>
      <c r="T163" s="161">
        <f>IF(EV163="","",IF(ISNUMBER('Dvd Calendar'!$V$1597)=FALSE,"",IF((('Dvd Calendar'!$V$1599=TYPE1)*(TYPE1&lt;&gt;"")+('Dvd Calendar'!$V$1599=TYPE2)*(TYPE2&lt;&gt;"")+('Dvd Calendar'!$V$1599=TYPE3)*(TYPE3&lt;&gt;"")+('Dvd Calendar'!$V$1599=TYPE4)*(TYPE4&lt;&gt;"")+('Dvd Calendar'!$V$1599=SPECIAL_LBL)*(INC_SPECIALS="Y"))=0,"",'Dvd Calendar'!$V$1597)))</f>
        <v/>
      </c>
      <c r="U163" s="161">
        <f>IF(EW163="","",IF(ISNUMBER('Dvd Calendar'!$W$1597)=FALSE,"",IF((('Dvd Calendar'!$W$1599=TYPE1)*(TYPE1&lt;&gt;"")+('Dvd Calendar'!$W$1599=TYPE2)*(TYPE2&lt;&gt;"")+('Dvd Calendar'!$W$1599=TYPE3)*(TYPE3&lt;&gt;"")+('Dvd Calendar'!$W$1599=TYPE4)*(TYPE4&lt;&gt;"")+('Dvd Calendar'!$W$1599=SPECIAL_LBL)*(INC_SPECIALS="Y"))=0,"",'Dvd Calendar'!$W$1597)))</f>
        <v/>
      </c>
      <c r="V163" s="161">
        <f>IF(EX163="","",IF(ISNUMBER('Dvd Calendar'!$X$1597)=FALSE,"",IF((('Dvd Calendar'!$X$1599=TYPE1)*(TYPE1&lt;&gt;"")+('Dvd Calendar'!$X$1599=TYPE2)*(TYPE2&lt;&gt;"")+('Dvd Calendar'!$X$1599=TYPE3)*(TYPE3&lt;&gt;"")+('Dvd Calendar'!$X$1599=TYPE4)*(TYPE4&lt;&gt;"")+('Dvd Calendar'!$X$1599=SPECIAL_LBL)*(INC_SPECIALS="Y"))=0,"",'Dvd Calendar'!$X$1597)))</f>
        <v/>
      </c>
      <c r="W163" s="161">
        <f>IF(EY163="","",IF(ISNUMBER('Dvd Calendar'!$Y$1597)=FALSE,"",IF((('Dvd Calendar'!$Y$1599=TYPE1)*(TYPE1&lt;&gt;"")+('Dvd Calendar'!$Y$1599=TYPE2)*(TYPE2&lt;&gt;"")+('Dvd Calendar'!$Y$1599=TYPE3)*(TYPE3&lt;&gt;"")+('Dvd Calendar'!$Y$1599=TYPE4)*(TYPE4&lt;&gt;"")+('Dvd Calendar'!$Y$1599=SPECIAL_LBL)*(INC_SPECIALS="Y"))=0,"",'Dvd Calendar'!$Y$1597)))</f>
        <v/>
      </c>
      <c r="X163" s="161">
        <f>IF(EZ163="","",IF(ISNUMBER('Dvd Calendar'!$Z$1597)=FALSE,"",IF((('Dvd Calendar'!$Z$1599=TYPE1)*(TYPE1&lt;&gt;"")+('Dvd Calendar'!$Z$1599=TYPE2)*(TYPE2&lt;&gt;"")+('Dvd Calendar'!$Z$1599=TYPE3)*(TYPE3&lt;&gt;"")+('Dvd Calendar'!$Z$1599=TYPE4)*(TYPE4&lt;&gt;"")+('Dvd Calendar'!$Z$1599=SPECIAL_LBL)*(INC_SPECIALS="Y"))=0,"",'Dvd Calendar'!$Z$1597)))</f>
        <v/>
      </c>
      <c r="Y163" s="161">
        <f>IF(FA163="","",IF(ISNUMBER('Dvd Calendar'!$AA$1597)=FALSE,"",IF((('Dvd Calendar'!$AA$1599=TYPE1)*(TYPE1&lt;&gt;"")+('Dvd Calendar'!$AA$1599=TYPE2)*(TYPE2&lt;&gt;"")+('Dvd Calendar'!$AA$1599=TYPE3)*(TYPE3&lt;&gt;"")+('Dvd Calendar'!$AA$1599=TYPE4)*(TYPE4&lt;&gt;"")+('Dvd Calendar'!$AA$1599=SPECIAL_LBL)*(INC_SPECIALS="Y"))=0,"",'Dvd Calendar'!$AA$1597)))</f>
        <v/>
      </c>
      <c r="Z163" s="161">
        <f>IF(FB163="","",IF(ISNUMBER('Dvd Calendar'!$AB$1597)=FALSE,"",IF((('Dvd Calendar'!$AB$1599=TYPE1)*(TYPE1&lt;&gt;"")+('Dvd Calendar'!$AB$1599=TYPE2)*(TYPE2&lt;&gt;"")+('Dvd Calendar'!$AB$1599=TYPE3)*(TYPE3&lt;&gt;"")+('Dvd Calendar'!$AB$1599=TYPE4)*(TYPE4&lt;&gt;"")+('Dvd Calendar'!$AB$1599=SPECIAL_LBL)*(INC_SPECIALS="Y"))=0,"",'Dvd Calendar'!$AB$1597)))</f>
        <v/>
      </c>
      <c r="AA163" s="161">
        <f>IF(FC163="","",IF(ISNUMBER('Dvd Calendar'!$AC$1597)=FALSE,"",IF((('Dvd Calendar'!$AC$1599=TYPE1)*(TYPE1&lt;&gt;"")+('Dvd Calendar'!$AC$1599=TYPE2)*(TYPE2&lt;&gt;"")+('Dvd Calendar'!$AC$1599=TYPE3)*(TYPE3&lt;&gt;"")+('Dvd Calendar'!$AC$1599=TYPE4)*(TYPE4&lt;&gt;"")+('Dvd Calendar'!$AC$1599=SPECIAL_LBL)*(INC_SPECIALS="Y"))=0,"",'Dvd Calendar'!$AC$1597)))</f>
        <v/>
      </c>
      <c r="AB163" s="161">
        <f>IF(FD163="","",IF(ISNUMBER('Dvd Calendar'!$AD$1597)=FALSE,"",IF((('Dvd Calendar'!$AD$1599=TYPE1)*(TYPE1&lt;&gt;"")+('Dvd Calendar'!$AD$1599=TYPE2)*(TYPE2&lt;&gt;"")+('Dvd Calendar'!$AD$1599=TYPE3)*(TYPE3&lt;&gt;"")+('Dvd Calendar'!$AD$1599=TYPE4)*(TYPE4&lt;&gt;"")+('Dvd Calendar'!$AD$1599=SPECIAL_LBL)*(INC_SPECIALS="Y"))=0,"",'Dvd Calendar'!$AD$1597)))</f>
        <v/>
      </c>
      <c r="AC163" s="161">
        <f>IF(FE163="","",IF(ISNUMBER('Dvd Calendar'!$AE$1597)=FALSE,"",IF((('Dvd Calendar'!$AE$1599=TYPE1)*(TYPE1&lt;&gt;"")+('Dvd Calendar'!$AE$1599=TYPE2)*(TYPE2&lt;&gt;"")+('Dvd Calendar'!$AE$1599=TYPE3)*(TYPE3&lt;&gt;"")+('Dvd Calendar'!$AE$1599=TYPE4)*(TYPE4&lt;&gt;"")+('Dvd Calendar'!$AE$1599=SPECIAL_LBL)*(INC_SPECIALS="Y"))=0,"",'Dvd Calendar'!$AE$1597)))</f>
        <v/>
      </c>
      <c r="AD163" s="161">
        <f>IF(FF163="","",IF(ISNUMBER('Dvd Calendar'!$AF$1597)=FALSE,"",IF((('Dvd Calendar'!$AF$1599=TYPE1)*(TYPE1&lt;&gt;"")+('Dvd Calendar'!$AF$1599=TYPE2)*(TYPE2&lt;&gt;"")+('Dvd Calendar'!$AF$1599=TYPE3)*(TYPE3&lt;&gt;"")+('Dvd Calendar'!$AF$1599=TYPE4)*(TYPE4&lt;&gt;"")+('Dvd Calendar'!$AF$1599=SPECIAL_LBL)*(INC_SPECIALS="Y"))=0,"",'Dvd Calendar'!$AF$1597)))</f>
        <v/>
      </c>
      <c r="AE163" s="161">
        <f>IF(FG163="","",IF(ISNUMBER('Dvd Calendar'!$AG$1597)=FALSE,"",IF((('Dvd Calendar'!$AG$1599=TYPE1)*(TYPE1&lt;&gt;"")+('Dvd Calendar'!$AG$1599=TYPE2)*(TYPE2&lt;&gt;"")+('Dvd Calendar'!$AG$1599=TYPE3)*(TYPE3&lt;&gt;"")+('Dvd Calendar'!$AG$1599=TYPE4)*(TYPE4&lt;&gt;"")+('Dvd Calendar'!$AG$1599=SPECIAL_LBL)*(INC_SPECIALS="Y"))=0,"",'Dvd Calendar'!$AG$1597)))</f>
        <v/>
      </c>
      <c r="AF163" s="161">
        <f>IF(FH163="","",IF(ISNUMBER('Dvd Calendar'!$AH$1597)=FALSE,"",IF((('Dvd Calendar'!$AH$1599=TYPE1)*(TYPE1&lt;&gt;"")+('Dvd Calendar'!$AH$1599=TYPE2)*(TYPE2&lt;&gt;"")+('Dvd Calendar'!$AH$1599=TYPE3)*(TYPE3&lt;&gt;"")+('Dvd Calendar'!$AH$1599=TYPE4)*(TYPE4&lt;&gt;"")+('Dvd Calendar'!$AH$1599=SPECIAL_LBL)*(INC_SPECIALS="Y"))=0,"",'Dvd Calendar'!$AH$1597)))</f>
        <v/>
      </c>
      <c r="AG163" s="161">
        <f>IF(FI163="","",IF(ISNUMBER('Dvd Calendar'!$AI$1597)=FALSE,"",IF((('Dvd Calendar'!$AI$1599=TYPE1)*(TYPE1&lt;&gt;"")+('Dvd Calendar'!$AI$1599=TYPE2)*(TYPE2&lt;&gt;"")+('Dvd Calendar'!$AI$1599=TYPE3)*(TYPE3&lt;&gt;"")+('Dvd Calendar'!$AI$1599=TYPE4)*(TYPE4&lt;&gt;"")+('Dvd Calendar'!$AI$1599=SPECIAL_LBL)*(INC_SPECIALS="Y"))=0,"",'Dvd Calendar'!$AI$1597)))</f>
        <v/>
      </c>
      <c r="AH163" s="161">
        <f>IF(FJ163="","",IF(ISNUMBER('Dvd Calendar'!$AJ$1597)=FALSE,"",IF((('Dvd Calendar'!$AJ$1599=TYPE1)*(TYPE1&lt;&gt;"")+('Dvd Calendar'!$AJ$1599=TYPE2)*(TYPE2&lt;&gt;"")+('Dvd Calendar'!$AJ$1599=TYPE3)*(TYPE3&lt;&gt;"")+('Dvd Calendar'!$AJ$1599=TYPE4)*(TYPE4&lt;&gt;"")+('Dvd Calendar'!$AJ$1599=SPECIAL_LBL)*(INC_SPECIALS="Y"))=0,"",'Dvd Calendar'!$AJ$1597)))</f>
        <v/>
      </c>
      <c r="AI163" s="161">
        <f>IF(FK163="","",IF(ISNUMBER('Dvd Calendar'!$AK$1597)=FALSE,"",IF((('Dvd Calendar'!$AK$1599=TYPE1)*(TYPE1&lt;&gt;"")+('Dvd Calendar'!$AK$1599=TYPE2)*(TYPE2&lt;&gt;"")+('Dvd Calendar'!$AK$1599=TYPE3)*(TYPE3&lt;&gt;"")+('Dvd Calendar'!$AK$1599=TYPE4)*(TYPE4&lt;&gt;"")+('Dvd Calendar'!$AK$1599=SPECIAL_LBL)*(INC_SPECIALS="Y"))=0,"",'Dvd Calendar'!$AK$1597)))</f>
        <v/>
      </c>
      <c r="AJ163" s="161">
        <f>IF(FL163="","",IF(ISNUMBER('Dvd Calendar'!$AL$1597)=FALSE,"",IF((('Dvd Calendar'!$AL$1599=TYPE1)*(TYPE1&lt;&gt;"")+('Dvd Calendar'!$AL$1599=TYPE2)*(TYPE2&lt;&gt;"")+('Dvd Calendar'!$AL$1599=TYPE3)*(TYPE3&lt;&gt;"")+('Dvd Calendar'!$AL$1599=TYPE4)*(TYPE4&lt;&gt;"")+('Dvd Calendar'!$AL$1599=SPECIAL_LBL)*(INC_SPECIALS="Y"))=0,"",'Dvd Calendar'!$AL$1597)))</f>
        <v/>
      </c>
      <c r="AK163" s="161">
        <f>IF(FM163="","",IF(ISNUMBER('Dvd Calendar'!$AM$1597)=FALSE,"",IF((('Dvd Calendar'!$AM$1599=TYPE1)*(TYPE1&lt;&gt;"")+('Dvd Calendar'!$AM$1599=TYPE2)*(TYPE2&lt;&gt;"")+('Dvd Calendar'!$AM$1599=TYPE3)*(TYPE3&lt;&gt;"")+('Dvd Calendar'!$AM$1599=TYPE4)*(TYPE4&lt;&gt;"")+('Dvd Calendar'!$AM$1599=SPECIAL_LBL)*(INC_SPECIALS="Y"))=0,"",'Dvd Calendar'!$AM$1597)))</f>
        <v/>
      </c>
      <c r="AL163" s="161">
        <f>IF(FN163="","",IF(ISNUMBER('Dvd Calendar'!$AN$1597)=FALSE,"",IF((('Dvd Calendar'!$AN$1599=TYPE1)*(TYPE1&lt;&gt;"")+('Dvd Calendar'!$AN$1599=TYPE2)*(TYPE2&lt;&gt;"")+('Dvd Calendar'!$AN$1599=TYPE3)*(TYPE3&lt;&gt;"")+('Dvd Calendar'!$AN$1599=TYPE4)*(TYPE4&lt;&gt;"")+('Dvd Calendar'!$AN$1599=SPECIAL_LBL)*(INC_SPECIALS="Y"))=0,"",'Dvd Calendar'!$AN$1597)))</f>
        <v/>
      </c>
      <c r="AM163" s="161">
        <f>IF(FO163="","",IF(ISNUMBER('Dvd Calendar'!$AO$1597)=FALSE,"",IF((('Dvd Calendar'!$AO$1599=TYPE1)*(TYPE1&lt;&gt;"")+('Dvd Calendar'!$AO$1599=TYPE2)*(TYPE2&lt;&gt;"")+('Dvd Calendar'!$AO$1599=TYPE3)*(TYPE3&lt;&gt;"")+('Dvd Calendar'!$AO$1599=TYPE4)*(TYPE4&lt;&gt;"")+('Dvd Calendar'!$AO$1599=SPECIAL_LBL)*(INC_SPECIALS="Y"))=0,"",'Dvd Calendar'!$AO$1597)))</f>
        <v/>
      </c>
      <c r="AN163" s="161">
        <f>IF(FP163="","",IF(ISNUMBER('Dvd Calendar'!$AP$1597)=FALSE,"",IF((('Dvd Calendar'!$AP$1599=TYPE1)*(TYPE1&lt;&gt;"")+('Dvd Calendar'!$AP$1599=TYPE2)*(TYPE2&lt;&gt;"")+('Dvd Calendar'!$AP$1599=TYPE3)*(TYPE3&lt;&gt;"")+('Dvd Calendar'!$AP$1599=TYPE4)*(TYPE4&lt;&gt;"")+('Dvd Calendar'!$AP$1599=SPECIAL_LBL)*(INC_SPECIALS="Y"))=0,"",'Dvd Calendar'!$AP$1597)))</f>
        <v/>
      </c>
      <c r="AO163" s="161">
        <f>IF(FQ163="","",IF(ISNUMBER('Dvd Calendar'!$AQ$1597)=FALSE,"",IF((('Dvd Calendar'!$AQ$1599=TYPE1)*(TYPE1&lt;&gt;"")+('Dvd Calendar'!$AQ$1599=TYPE2)*(TYPE2&lt;&gt;"")+('Dvd Calendar'!$AQ$1599=TYPE3)*(TYPE3&lt;&gt;"")+('Dvd Calendar'!$AQ$1599=TYPE4)*(TYPE4&lt;&gt;"")+('Dvd Calendar'!$AQ$1599=SPECIAL_LBL)*(INC_SPECIALS="Y"))=0,"",'Dvd Calendar'!$AQ$1597)))</f>
        <v/>
      </c>
      <c r="AP163" s="161">
        <f>IF(FR163="","",IF(ISNUMBER('Dvd Calendar'!$AR$1597)=FALSE,"",IF((('Dvd Calendar'!$AR$1599=TYPE1)*(TYPE1&lt;&gt;"")+('Dvd Calendar'!$AR$1599=TYPE2)*(TYPE2&lt;&gt;"")+('Dvd Calendar'!$AR$1599=TYPE3)*(TYPE3&lt;&gt;"")+('Dvd Calendar'!$AR$1599=TYPE4)*(TYPE4&lt;&gt;"")+('Dvd Calendar'!$AR$1599=SPECIAL_LBL)*(INC_SPECIALS="Y"))=0,"",'Dvd Calendar'!$AR$1597)))</f>
        <v/>
      </c>
      <c r="AQ163" s="161">
        <f>IF(FS163="","",IF(ISNUMBER('Dvd Calendar'!$E$1602)=FALSE,"",'Dvd Calendar'!$E$1602))</f>
        <v/>
      </c>
      <c r="AR163" s="161">
        <f>IF(FT163="","",IF(ISNUMBER('Dvd Calendar'!$F$1602)=FALSE,"",'Dvd Calendar'!$F$1602))</f>
        <v/>
      </c>
      <c r="AS163" s="161">
        <f>IF(FU163="","",IF(ISNUMBER('Dvd Calendar'!$G$1602)=FALSE,"",'Dvd Calendar'!$G$1602))</f>
        <v/>
      </c>
      <c r="AT163" s="161">
        <f>IF(FV163="","",IF(ISNUMBER('Dvd Calendar'!$H$1602)=FALSE,"",'Dvd Calendar'!$H$1602))</f>
        <v/>
      </c>
      <c r="AU163" s="161">
        <f>IF(FW163="","",IF(ISNUMBER('Dvd Calendar'!$I$1602)=FALSE,"",'Dvd Calendar'!$I$1602))</f>
        <v/>
      </c>
      <c r="AV163" s="161">
        <f>IF(FX163="","",IF(ISNUMBER('Dvd Calendar'!$J$1602)=FALSE,"",'Dvd Calendar'!$J$1602))</f>
        <v/>
      </c>
      <c r="AW163" s="161">
        <f>IF(FY163="","",IF(ISNUMBER('Dvd Calendar'!$K$1602)=FALSE,"",'Dvd Calendar'!$K$1602))</f>
        <v/>
      </c>
      <c r="AX163" s="161">
        <f>IF(FZ163="","",IF(ISNUMBER('Dvd Calendar'!$L$1602)=FALSE,"",'Dvd Calendar'!$L$1602))</f>
        <v/>
      </c>
      <c r="AY163" s="161">
        <f>IF(GA163="","",IF(ISNUMBER('Dvd Calendar'!$M$1602)=FALSE,"",'Dvd Calendar'!$M$1602))</f>
        <v/>
      </c>
      <c r="AZ163" s="161">
        <f>IF(GB163="","",IF(ISNUMBER('Dvd Calendar'!$N$1602)=FALSE,"",'Dvd Calendar'!$N$1602))</f>
        <v/>
      </c>
      <c r="BA163" s="161">
        <f>IF(GC163="","",IF(ISNUMBER('Dvd Calendar'!$O$1602)=FALSE,"",'Dvd Calendar'!$O$1602))</f>
        <v/>
      </c>
      <c r="BB163" s="161">
        <f>IF(GD163="","",IF(ISNUMBER('Dvd Calendar'!$P$1602)=FALSE,"",'Dvd Calendar'!$P$1602))</f>
        <v/>
      </c>
      <c r="BC163" s="161">
        <f>IF(GE163="","",IF(ISNUMBER('Dvd Calendar'!$Q$1602)=FALSE,"",'Dvd Calendar'!$Q$1602))</f>
        <v/>
      </c>
      <c r="BD163" s="161">
        <f>IF(GF163="","",IF(ISNUMBER('Dvd Calendar'!$R$1602)=FALSE,"",'Dvd Calendar'!$R$1602))</f>
        <v/>
      </c>
      <c r="BE163" s="161">
        <f>IF(GG163="","",IF(ISNUMBER('Dvd Calendar'!$S$1602)=FALSE,"",'Dvd Calendar'!$S$1602))</f>
        <v/>
      </c>
      <c r="BF163" s="161">
        <f>IF(GH163="","",IF(ISNUMBER('Dvd Calendar'!$T$1602)=FALSE,"",'Dvd Calendar'!$T$1602))</f>
        <v/>
      </c>
      <c r="BG163" s="161">
        <f>IF(GI163="","",IF(ISNUMBER('Dvd Calendar'!$U$1602)=FALSE,"",'Dvd Calendar'!$U$1602))</f>
        <v/>
      </c>
      <c r="BH163" s="161">
        <f>IF(GJ163="","",IF(ISNUMBER('Dvd Calendar'!$V$1602)=FALSE,"",'Dvd Calendar'!$V$1602))</f>
        <v/>
      </c>
      <c r="BI163" s="161">
        <f>IF(GK163="","",IF(ISNUMBER('Dvd Calendar'!$W$1602)=FALSE,"",'Dvd Calendar'!$W$1602))</f>
        <v/>
      </c>
      <c r="BJ163" s="161">
        <f>IF(GL163="","",IF(ISNUMBER('Dvd Calendar'!$X$1602)=FALSE,"",'Dvd Calendar'!$X$1602))</f>
        <v/>
      </c>
      <c r="BK163" s="161">
        <f>IF(GM163="","",IF(ISNUMBER('Dvd Calendar'!$Y$1602)=FALSE,"",'Dvd Calendar'!$Y$1602))</f>
        <v/>
      </c>
      <c r="BL163" s="161">
        <f>IF(GN163="","",IF(ISNUMBER('Dvd Calendar'!$Z$1602)=FALSE,"",'Dvd Calendar'!$Z$1602))</f>
        <v/>
      </c>
      <c r="BM163" s="161">
        <f>IF(GO163="","",IF(ISNUMBER('Dvd Calendar'!$AA$1602)=FALSE,"",'Dvd Calendar'!$AA$1602))</f>
        <v/>
      </c>
      <c r="BN163" s="161">
        <f>IF(GP163="","",IF(ISNUMBER('Dvd Calendar'!$AB$1602)=FALSE,"",'Dvd Calendar'!$AB$1602))</f>
        <v/>
      </c>
      <c r="BO163" s="161">
        <f>IF(GQ163="","",IF(ISNUMBER('Dvd Calendar'!$AC$1602)=FALSE,"",'Dvd Calendar'!$AC$1602))</f>
        <v/>
      </c>
      <c r="BQ163" s="161">
        <f>IF(C163="","",IFERROR(C163*HSCEI!$B$10*HSCEI!$G$10/HSCEI!$B$3,""))</f>
        <v/>
      </c>
      <c r="BR163" s="161">
        <f>IF(D163="","",IFERROR(D163*HSCEI!$B$10*HSCEI!$G$10/HSCEI!$B$3,""))</f>
        <v/>
      </c>
      <c r="BS163" s="161">
        <f>IF(E163="","",IFERROR(E163*HSCEI!$B$10*HSCEI!$G$10/HSCEI!$B$3,""))</f>
        <v/>
      </c>
      <c r="BT163" s="161">
        <f>IF(F163="","",IFERROR(F163*HSCEI!$B$10*HSCEI!$G$10/HSCEI!$B$3,""))</f>
        <v/>
      </c>
      <c r="BU163" s="161">
        <f>IF(G163="","",IFERROR(G163*HSCEI!$B$10*HSCEI!$G$10/HSCEI!$B$3,""))</f>
        <v/>
      </c>
      <c r="BV163" s="161">
        <f>IF(H163="","",IFERROR(H163*HSCEI!$B$10*HSCEI!$G$10/HSCEI!$B$3,""))</f>
        <v/>
      </c>
      <c r="BW163" s="161">
        <f>IF(I163="","",IFERROR(I163*HSCEI!$B$10*HSCEI!$G$10/HSCEI!$B$3,""))</f>
        <v/>
      </c>
      <c r="BX163" s="161">
        <f>IF(J163="","",IFERROR(J163*HSCEI!$B$10*HSCEI!$G$10/HSCEI!$B$3,""))</f>
        <v/>
      </c>
      <c r="BY163" s="161">
        <f>IF(K163="","",IFERROR(K163*HSCEI!$B$10*HSCEI!$G$10/HSCEI!$B$3,""))</f>
        <v/>
      </c>
      <c r="BZ163" s="161">
        <f>IF(L163="","",IFERROR(L163*HSCEI!$B$10*HSCEI!$G$10/HSCEI!$B$3,""))</f>
        <v/>
      </c>
      <c r="CA163" s="161">
        <f>IF(M163="","",IFERROR(M163*HSCEI!$B$10*HSCEI!$G$10/HSCEI!$B$3,""))</f>
        <v/>
      </c>
      <c r="CB163" s="161">
        <f>IF(N163="","",IFERROR(N163*HSCEI!$B$10*HSCEI!$G$10/HSCEI!$B$3,""))</f>
        <v/>
      </c>
      <c r="CC163" s="161">
        <f>IF(O163="","",IFERROR(O163*HSCEI!$B$10*HSCEI!$G$10/HSCEI!$B$3,""))</f>
        <v/>
      </c>
      <c r="CD163" s="161">
        <f>IF(P163="","",IFERROR(P163*HSCEI!$B$10*HSCEI!$G$10/HSCEI!$B$3,""))</f>
        <v/>
      </c>
      <c r="CE163" s="161">
        <f>IF(Q163="","",IFERROR(Q163*HSCEI!$B$10*HSCEI!$G$10/HSCEI!$B$3,""))</f>
        <v/>
      </c>
      <c r="CF163" s="161">
        <f>IF(R163="","",IFERROR(R163*HSCEI!$B$10*HSCEI!$G$10/HSCEI!$B$3,""))</f>
        <v/>
      </c>
      <c r="CG163" s="161">
        <f>IF(S163="","",IFERROR(S163*HSCEI!$B$10*HSCEI!$G$10/HSCEI!$B$3,""))</f>
        <v/>
      </c>
      <c r="CH163" s="161">
        <f>IF(T163="","",IFERROR(T163*HSCEI!$B$10*HSCEI!$G$10/HSCEI!$B$3,""))</f>
        <v/>
      </c>
      <c r="CI163" s="161">
        <f>IF(U163="","",IFERROR(U163*HSCEI!$B$10*HSCEI!$G$10/HSCEI!$B$3,""))</f>
        <v/>
      </c>
      <c r="CJ163" s="161">
        <f>IF(V163="","",IFERROR(V163*HSCEI!$B$10*HSCEI!$G$10/HSCEI!$B$3,""))</f>
        <v/>
      </c>
      <c r="CK163" s="161">
        <f>IF(W163="","",IFERROR(W163*HSCEI!$B$10*HSCEI!$G$10/HSCEI!$B$3,""))</f>
        <v/>
      </c>
      <c r="CL163" s="161">
        <f>IF(X163="","",IFERROR(X163*HSCEI!$B$10*HSCEI!$G$10/HSCEI!$B$3,""))</f>
        <v/>
      </c>
      <c r="CM163" s="161">
        <f>IF(Y163="","",IFERROR(Y163*HSCEI!$B$10*HSCEI!$G$10/HSCEI!$B$3,""))</f>
        <v/>
      </c>
      <c r="CN163" s="161">
        <f>IF(Z163="","",IFERROR(Z163*HSCEI!$B$10*HSCEI!$G$10/HSCEI!$B$3,""))</f>
        <v/>
      </c>
      <c r="CO163" s="161">
        <f>IF(AA163="","",IFERROR(AA163*HSCEI!$B$10*HSCEI!$G$10/HSCEI!$B$3,""))</f>
        <v/>
      </c>
      <c r="CP163" s="161">
        <f>IF(AB163="","",IFERROR(AB163*HSCEI!$B$10*HSCEI!$G$10/HSCEI!$B$3,""))</f>
        <v/>
      </c>
      <c r="CQ163" s="161">
        <f>IF(AC163="","",IFERROR(AC163*HSCEI!$B$10*HSCEI!$G$10/HSCEI!$B$3,""))</f>
        <v/>
      </c>
      <c r="CR163" s="161">
        <f>IF(AD163="","",IFERROR(AD163*HSCEI!$B$10*HSCEI!$G$10/HSCEI!$B$3,""))</f>
        <v/>
      </c>
      <c r="CS163" s="161">
        <f>IF(AE163="","",IFERROR(AE163*HSCEI!$B$10*HSCEI!$G$10/HSCEI!$B$3,""))</f>
        <v/>
      </c>
      <c r="CT163" s="161">
        <f>IF(AF163="","",IFERROR(AF163*HSCEI!$B$10*HSCEI!$G$10/HSCEI!$B$3,""))</f>
        <v/>
      </c>
      <c r="CU163" s="161">
        <f>IF(AG163="","",IFERROR(AG163*HSCEI!$B$10*HSCEI!$G$10/HSCEI!$B$3,""))</f>
        <v/>
      </c>
      <c r="CV163" s="161">
        <f>IF(AH163="","",IFERROR(AH163*HSCEI!$B$10*HSCEI!$G$10/HSCEI!$B$3,""))</f>
        <v/>
      </c>
      <c r="CW163" s="161">
        <f>IF(AI163="","",IFERROR(AI163*HSCEI!$B$10*HSCEI!$G$10/HSCEI!$B$3,""))</f>
        <v/>
      </c>
      <c r="CX163" s="161">
        <f>IF(AJ163="","",IFERROR(AJ163*HSCEI!$B$10*HSCEI!$G$10/HSCEI!$B$3,""))</f>
        <v/>
      </c>
      <c r="CY163" s="161">
        <f>IF(AK163="","",IFERROR(AK163*HSCEI!$B$10*HSCEI!$G$10/HSCEI!$B$3,""))</f>
        <v/>
      </c>
      <c r="CZ163" s="161">
        <f>IF(AL163="","",IFERROR(AL163*HSCEI!$B$10*HSCEI!$G$10/HSCEI!$B$3,""))</f>
        <v/>
      </c>
      <c r="DA163" s="161">
        <f>IF(AM163="","",IFERROR(AM163*HSCEI!$B$10*HSCEI!$G$10/HSCEI!$B$3,""))</f>
        <v/>
      </c>
      <c r="DB163" s="161">
        <f>IF(AN163="","",IFERROR(AN163*HSCEI!$B$10*HSCEI!$G$10/HSCEI!$B$3,""))</f>
        <v/>
      </c>
      <c r="DC163" s="161">
        <f>IF(AO163="","",IFERROR(AO163*HSCEI!$B$10*HSCEI!$G$10/HSCEI!$B$3,""))</f>
        <v/>
      </c>
      <c r="DD163" s="161">
        <f>IF(AP163="","",IFERROR(AP163*HSCEI!$B$10*HSCEI!$G$10/HSCEI!$B$3,""))</f>
        <v/>
      </c>
      <c r="DE163" s="161">
        <f>IF(AQ163="","",IFERROR(AQ163*HSCEI!$B$10*HSCEI!$G$10/HSCEI!$B$3,""))</f>
        <v/>
      </c>
      <c r="DF163" s="161">
        <f>IF(AR163="","",IFERROR(AR163*HSCEI!$B$10*HSCEI!$G$10/HSCEI!$B$3,""))</f>
        <v/>
      </c>
      <c r="DG163" s="161">
        <f>IF(AS163="","",IFERROR(AS163*HSCEI!$B$10*HSCEI!$G$10/HSCEI!$B$3,""))</f>
        <v/>
      </c>
      <c r="DH163" s="161">
        <f>IF(AT163="","",IFERROR(AT163*HSCEI!$B$10*HSCEI!$G$10/HSCEI!$B$3,""))</f>
        <v/>
      </c>
      <c r="DI163" s="161">
        <f>IF(AU163="","",IFERROR(AU163*HSCEI!$B$10*HSCEI!$G$10/HSCEI!$B$3,""))</f>
        <v/>
      </c>
      <c r="DJ163" s="161">
        <f>IF(AV163="","",IFERROR(AV163*HSCEI!$B$10*HSCEI!$G$10/HSCEI!$B$3,""))</f>
        <v/>
      </c>
      <c r="DK163" s="161">
        <f>IF(AW163="","",IFERROR(AW163*HSCEI!$B$10*HSCEI!$G$10/HSCEI!$B$3,""))</f>
        <v/>
      </c>
      <c r="DL163" s="161">
        <f>IF(AX163="","",IFERROR(AX163*HSCEI!$B$10*HSCEI!$G$10/HSCEI!$B$3,""))</f>
        <v/>
      </c>
      <c r="DM163" s="161">
        <f>IF(AY163="","",IFERROR(AY163*HSCEI!$B$10*HSCEI!$G$10/HSCEI!$B$3,""))</f>
        <v/>
      </c>
      <c r="DN163" s="161">
        <f>IF(AZ163="","",IFERROR(AZ163*HSCEI!$B$10*HSCEI!$G$10/HSCEI!$B$3,""))</f>
        <v/>
      </c>
      <c r="DO163" s="161">
        <f>IF(BA163="","",IFERROR(BA163*HSCEI!$B$10*HSCEI!$G$10/HSCEI!$B$3,""))</f>
        <v/>
      </c>
      <c r="DP163" s="161">
        <f>IF(BB163="","",IFERROR(BB163*HSCEI!$B$10*HSCEI!$G$10/HSCEI!$B$3,""))</f>
        <v/>
      </c>
      <c r="DQ163" s="161">
        <f>IF(BC163="","",IFERROR(BC163*HSCEI!$B$10*HSCEI!$G$10/HSCEI!$B$3,""))</f>
        <v/>
      </c>
      <c r="DR163" s="161">
        <f>IF(BD163="","",IFERROR(BD163*HSCEI!$B$10*HSCEI!$G$10/HSCEI!$B$3,""))</f>
        <v/>
      </c>
      <c r="DS163" s="161">
        <f>IF(BE163="","",IFERROR(BE163*HSCEI!$B$10*HSCEI!$G$10/HSCEI!$B$3,""))</f>
        <v/>
      </c>
      <c r="DT163" s="161">
        <f>IF(BF163="","",IFERROR(BF163*HSCEI!$B$10*HSCEI!$G$10/HSCEI!$B$3,""))</f>
        <v/>
      </c>
      <c r="DU163" s="161">
        <f>IF(BG163="","",IFERROR(BG163*HSCEI!$B$10*HSCEI!$G$10/HSCEI!$B$3,""))</f>
        <v/>
      </c>
      <c r="DV163" s="161">
        <f>IF(BH163="","",IFERROR(BH163*HSCEI!$B$10*HSCEI!$G$10/HSCEI!$B$3,""))</f>
        <v/>
      </c>
      <c r="DW163" s="161">
        <f>IF(BI163="","",IFERROR(BI163*HSCEI!$B$10*HSCEI!$G$10/HSCEI!$B$3,""))</f>
        <v/>
      </c>
      <c r="DX163" s="161">
        <f>IF(BJ163="","",IFERROR(BJ163*HSCEI!$B$10*HSCEI!$G$10/HSCEI!$B$3,""))</f>
        <v/>
      </c>
      <c r="DY163" s="161">
        <f>IF(BK163="","",IFERROR(BK163*HSCEI!$B$10*HSCEI!$G$10/HSCEI!$B$3,""))</f>
        <v/>
      </c>
      <c r="DZ163" s="161">
        <f>IF(BL163="","",IFERROR(BL163*HSCEI!$B$10*HSCEI!$G$10/HSCEI!$B$3,""))</f>
        <v/>
      </c>
      <c r="EA163" s="161">
        <f>IF(BM163="","",IFERROR(BM163*HSCEI!$B$10*HSCEI!$G$10/HSCEI!$B$3,""))</f>
        <v/>
      </c>
      <c r="EB163" s="161">
        <f>IF(BN163="","",IFERROR(BN163*HSCEI!$B$10*HSCEI!$G$10/HSCEI!$B$3,""))</f>
        <v/>
      </c>
      <c r="EC163" s="161">
        <f>IF(BO163="","",IFERROR(BO163*HSCEI!$B$10*HSCEI!$G$10/HSCEI!$B$3,""))</f>
        <v/>
      </c>
      <c r="EE163" s="121">
        <f>IF(N('Dvd Calendar'!$E$1594)=0,"",IF(('Dvd Calendar'!$E$1594&gt;=GRID_FROM)*('Dvd Calendar'!$E$1594&lt;=GRID_TO)*((('Dvd Calendar'!$E$1594&lt;=VAL_DATE)+(COUNTIF('Dvd Calendar'!$E$1601:$AR$1601,'Dvd Calendar'!$E$1594)=0))&gt;0)=0,"",'Dvd Calendar'!$E$1594*1000000000+ISNUMBER('Dvd Calendar'!$E$1597)*100000000+('Dvd Calendar'!$E$1599=SPECIAL_LBL)*10000000+(N('Dvd Calendar'!$E$1593)&gt;0)*(N('Dvd Calendar'!$E$1593)&lt;=VAL_SERIAL)*1000000+4*1000+1))</f>
        <v/>
      </c>
      <c r="EF163" s="121">
        <f>IF(N('Dvd Calendar'!$F$1594)=0,"",IF(('Dvd Calendar'!$F$1594&gt;=GRID_FROM)*('Dvd Calendar'!$F$1594&lt;=GRID_TO)*((('Dvd Calendar'!$F$1594&lt;=VAL_DATE)+(COUNTIF('Dvd Calendar'!$E$1601:$AR$1601,'Dvd Calendar'!$F$1594)=0))&gt;0)=0,"",'Dvd Calendar'!$F$1594*1000000000+ISNUMBER('Dvd Calendar'!$F$1597)*100000000+('Dvd Calendar'!$F$1599=SPECIAL_LBL)*10000000+(N('Dvd Calendar'!$F$1593)&gt;0)*(N('Dvd Calendar'!$F$1593)&lt;=VAL_SERIAL)*1000000+4*1000+2))</f>
        <v/>
      </c>
      <c r="EG163" s="121">
        <f>IF(N('Dvd Calendar'!$G$1594)=0,"",IF(('Dvd Calendar'!$G$1594&gt;=GRID_FROM)*('Dvd Calendar'!$G$1594&lt;=GRID_TO)*((('Dvd Calendar'!$G$1594&lt;=VAL_DATE)+(COUNTIF('Dvd Calendar'!$E$1601:$AR$1601,'Dvd Calendar'!$G$1594)=0))&gt;0)=0,"",'Dvd Calendar'!$G$1594*1000000000+ISNUMBER('Dvd Calendar'!$G$1597)*100000000+('Dvd Calendar'!$G$1599=SPECIAL_LBL)*10000000+(N('Dvd Calendar'!$G$1593)&gt;0)*(N('Dvd Calendar'!$G$1593)&lt;=VAL_SERIAL)*1000000+4*1000+3))</f>
        <v/>
      </c>
      <c r="EH163" s="121">
        <f>IF(N('Dvd Calendar'!$H$1594)=0,"",IF(('Dvd Calendar'!$H$1594&gt;=GRID_FROM)*('Dvd Calendar'!$H$1594&lt;=GRID_TO)*((('Dvd Calendar'!$H$1594&lt;=VAL_DATE)+(COUNTIF('Dvd Calendar'!$E$1601:$AR$1601,'Dvd Calendar'!$H$1594)=0))&gt;0)=0,"",'Dvd Calendar'!$H$1594*1000000000+ISNUMBER('Dvd Calendar'!$H$1597)*100000000+('Dvd Calendar'!$H$1599=SPECIAL_LBL)*10000000+(N('Dvd Calendar'!$H$1593)&gt;0)*(N('Dvd Calendar'!$H$1593)&lt;=VAL_SERIAL)*1000000+4*1000+4))</f>
        <v/>
      </c>
      <c r="EI163" s="121">
        <f>IF(N('Dvd Calendar'!$I$1594)=0,"",IF(('Dvd Calendar'!$I$1594&gt;=GRID_FROM)*('Dvd Calendar'!$I$1594&lt;=GRID_TO)*((('Dvd Calendar'!$I$1594&lt;=VAL_DATE)+(COUNTIF('Dvd Calendar'!$E$1601:$AR$1601,'Dvd Calendar'!$I$1594)=0))&gt;0)=0,"",'Dvd Calendar'!$I$1594*1000000000+ISNUMBER('Dvd Calendar'!$I$1597)*100000000+('Dvd Calendar'!$I$1599=SPECIAL_LBL)*10000000+(N('Dvd Calendar'!$I$1593)&gt;0)*(N('Dvd Calendar'!$I$1593)&lt;=VAL_SERIAL)*1000000+4*1000+5))</f>
        <v/>
      </c>
      <c r="EJ163" s="121">
        <f>IF(N('Dvd Calendar'!$J$1594)=0,"",IF(('Dvd Calendar'!$J$1594&gt;=GRID_FROM)*('Dvd Calendar'!$J$1594&lt;=GRID_TO)*((('Dvd Calendar'!$J$1594&lt;=VAL_DATE)+(COUNTIF('Dvd Calendar'!$E$1601:$AR$1601,'Dvd Calendar'!$J$1594)=0))&gt;0)=0,"",'Dvd Calendar'!$J$1594*1000000000+ISNUMBER('Dvd Calendar'!$J$1597)*100000000+('Dvd Calendar'!$J$1599=SPECIAL_LBL)*10000000+(N('Dvd Calendar'!$J$1593)&gt;0)*(N('Dvd Calendar'!$J$1593)&lt;=VAL_SERIAL)*1000000+4*1000+6))</f>
        <v/>
      </c>
      <c r="EK163" s="121">
        <f>IF(N('Dvd Calendar'!$K$1594)=0,"",IF(('Dvd Calendar'!$K$1594&gt;=GRID_FROM)*('Dvd Calendar'!$K$1594&lt;=GRID_TO)*((('Dvd Calendar'!$K$1594&lt;=VAL_DATE)+(COUNTIF('Dvd Calendar'!$E$1601:$AR$1601,'Dvd Calendar'!$K$1594)=0))&gt;0)=0,"",'Dvd Calendar'!$K$1594*1000000000+ISNUMBER('Dvd Calendar'!$K$1597)*100000000+('Dvd Calendar'!$K$1599=SPECIAL_LBL)*10000000+(N('Dvd Calendar'!$K$1593)&gt;0)*(N('Dvd Calendar'!$K$1593)&lt;=VAL_SERIAL)*1000000+4*1000+7))</f>
        <v/>
      </c>
      <c r="EL163" s="121">
        <f>IF(N('Dvd Calendar'!$L$1594)=0,"",IF(('Dvd Calendar'!$L$1594&gt;=GRID_FROM)*('Dvd Calendar'!$L$1594&lt;=GRID_TO)*((('Dvd Calendar'!$L$1594&lt;=VAL_DATE)+(COUNTIF('Dvd Calendar'!$E$1601:$AR$1601,'Dvd Calendar'!$L$1594)=0))&gt;0)=0,"",'Dvd Calendar'!$L$1594*1000000000+ISNUMBER('Dvd Calendar'!$L$1597)*100000000+('Dvd Calendar'!$L$1599=SPECIAL_LBL)*10000000+(N('Dvd Calendar'!$L$1593)&gt;0)*(N('Dvd Calendar'!$L$1593)&lt;=VAL_SERIAL)*1000000+4*1000+8))</f>
        <v/>
      </c>
      <c r="EM163" s="121">
        <f>IF(N('Dvd Calendar'!$M$1594)=0,"",IF(('Dvd Calendar'!$M$1594&gt;=GRID_FROM)*('Dvd Calendar'!$M$1594&lt;=GRID_TO)*((('Dvd Calendar'!$M$1594&lt;=VAL_DATE)+(COUNTIF('Dvd Calendar'!$E$1601:$AR$1601,'Dvd Calendar'!$M$1594)=0))&gt;0)=0,"",'Dvd Calendar'!$M$1594*1000000000+ISNUMBER('Dvd Calendar'!$M$1597)*100000000+('Dvd Calendar'!$M$1599=SPECIAL_LBL)*10000000+(N('Dvd Calendar'!$M$1593)&gt;0)*(N('Dvd Calendar'!$M$1593)&lt;=VAL_SERIAL)*1000000+4*1000+9))</f>
        <v/>
      </c>
      <c r="EN163" s="121">
        <f>IF(N('Dvd Calendar'!$N$1594)=0,"",IF(('Dvd Calendar'!$N$1594&gt;=GRID_FROM)*('Dvd Calendar'!$N$1594&lt;=GRID_TO)*((('Dvd Calendar'!$N$1594&lt;=VAL_DATE)+(COUNTIF('Dvd Calendar'!$E$1601:$AR$1601,'Dvd Calendar'!$N$1594)=0))&gt;0)=0,"",'Dvd Calendar'!$N$1594*1000000000+ISNUMBER('Dvd Calendar'!$N$1597)*100000000+('Dvd Calendar'!$N$1599=SPECIAL_LBL)*10000000+(N('Dvd Calendar'!$N$1593)&gt;0)*(N('Dvd Calendar'!$N$1593)&lt;=VAL_SERIAL)*1000000+4*1000+10))</f>
        <v/>
      </c>
      <c r="EO163" s="121">
        <f>IF(N('Dvd Calendar'!$O$1594)=0,"",IF(('Dvd Calendar'!$O$1594&gt;=GRID_FROM)*('Dvd Calendar'!$O$1594&lt;=GRID_TO)*((('Dvd Calendar'!$O$1594&lt;=VAL_DATE)+(COUNTIF('Dvd Calendar'!$E$1601:$AR$1601,'Dvd Calendar'!$O$1594)=0))&gt;0)=0,"",'Dvd Calendar'!$O$1594*1000000000+ISNUMBER('Dvd Calendar'!$O$1597)*100000000+('Dvd Calendar'!$O$1599=SPECIAL_LBL)*10000000+(N('Dvd Calendar'!$O$1593)&gt;0)*(N('Dvd Calendar'!$O$1593)&lt;=VAL_SERIAL)*1000000+4*1000+11))</f>
        <v/>
      </c>
      <c r="EP163" s="121">
        <f>IF(N('Dvd Calendar'!$P$1594)=0,"",IF(('Dvd Calendar'!$P$1594&gt;=GRID_FROM)*('Dvd Calendar'!$P$1594&lt;=GRID_TO)*((('Dvd Calendar'!$P$1594&lt;=VAL_DATE)+(COUNTIF('Dvd Calendar'!$E$1601:$AR$1601,'Dvd Calendar'!$P$1594)=0))&gt;0)=0,"",'Dvd Calendar'!$P$1594*1000000000+ISNUMBER('Dvd Calendar'!$P$1597)*100000000+('Dvd Calendar'!$P$1599=SPECIAL_LBL)*10000000+(N('Dvd Calendar'!$P$1593)&gt;0)*(N('Dvd Calendar'!$P$1593)&lt;=VAL_SERIAL)*1000000+4*1000+12))</f>
        <v/>
      </c>
      <c r="EQ163" s="121">
        <f>IF(N('Dvd Calendar'!$Q$1594)=0,"",IF(('Dvd Calendar'!$Q$1594&gt;=GRID_FROM)*('Dvd Calendar'!$Q$1594&lt;=GRID_TO)*((('Dvd Calendar'!$Q$1594&lt;=VAL_DATE)+(COUNTIF('Dvd Calendar'!$E$1601:$AR$1601,'Dvd Calendar'!$Q$1594)=0))&gt;0)=0,"",'Dvd Calendar'!$Q$1594*1000000000+ISNUMBER('Dvd Calendar'!$Q$1597)*100000000+('Dvd Calendar'!$Q$1599=SPECIAL_LBL)*10000000+(N('Dvd Calendar'!$Q$1593)&gt;0)*(N('Dvd Calendar'!$Q$1593)&lt;=VAL_SERIAL)*1000000+4*1000+13))</f>
        <v/>
      </c>
      <c r="ER163" s="121">
        <f>IF(N('Dvd Calendar'!$R$1594)=0,"",IF(('Dvd Calendar'!$R$1594&gt;=GRID_FROM)*('Dvd Calendar'!$R$1594&lt;=GRID_TO)*((('Dvd Calendar'!$R$1594&lt;=VAL_DATE)+(COUNTIF('Dvd Calendar'!$E$1601:$AR$1601,'Dvd Calendar'!$R$1594)=0))&gt;0)=0,"",'Dvd Calendar'!$R$1594*1000000000+ISNUMBER('Dvd Calendar'!$R$1597)*100000000+('Dvd Calendar'!$R$1599=SPECIAL_LBL)*10000000+(N('Dvd Calendar'!$R$1593)&gt;0)*(N('Dvd Calendar'!$R$1593)&lt;=VAL_SERIAL)*1000000+4*1000+14))</f>
        <v/>
      </c>
      <c r="ES163" s="121">
        <f>IF(N('Dvd Calendar'!$S$1594)=0,"",IF(('Dvd Calendar'!$S$1594&gt;=GRID_FROM)*('Dvd Calendar'!$S$1594&lt;=GRID_TO)*((('Dvd Calendar'!$S$1594&lt;=VAL_DATE)+(COUNTIF('Dvd Calendar'!$E$1601:$AR$1601,'Dvd Calendar'!$S$1594)=0))&gt;0)=0,"",'Dvd Calendar'!$S$1594*1000000000+ISNUMBER('Dvd Calendar'!$S$1597)*100000000+('Dvd Calendar'!$S$1599=SPECIAL_LBL)*10000000+(N('Dvd Calendar'!$S$1593)&gt;0)*(N('Dvd Calendar'!$S$1593)&lt;=VAL_SERIAL)*1000000+4*1000+15))</f>
        <v/>
      </c>
      <c r="ET163" s="121">
        <f>IF(N('Dvd Calendar'!$T$1594)=0,"",IF(('Dvd Calendar'!$T$1594&gt;=GRID_FROM)*('Dvd Calendar'!$T$1594&lt;=GRID_TO)*((('Dvd Calendar'!$T$1594&lt;=VAL_DATE)+(COUNTIF('Dvd Calendar'!$E$1601:$AR$1601,'Dvd Calendar'!$T$1594)=0))&gt;0)=0,"",'Dvd Calendar'!$T$1594*1000000000+ISNUMBER('Dvd Calendar'!$T$1597)*100000000+('Dvd Calendar'!$T$1599=SPECIAL_LBL)*10000000+(N('Dvd Calendar'!$T$1593)&gt;0)*(N('Dvd Calendar'!$T$1593)&lt;=VAL_SERIAL)*1000000+4*1000+16))</f>
        <v/>
      </c>
      <c r="EU163" s="121">
        <f>IF(N('Dvd Calendar'!$U$1594)=0,"",IF(('Dvd Calendar'!$U$1594&gt;=GRID_FROM)*('Dvd Calendar'!$U$1594&lt;=GRID_TO)*((('Dvd Calendar'!$U$1594&lt;=VAL_DATE)+(COUNTIF('Dvd Calendar'!$E$1601:$AR$1601,'Dvd Calendar'!$U$1594)=0))&gt;0)=0,"",'Dvd Calendar'!$U$1594*1000000000+ISNUMBER('Dvd Calendar'!$U$1597)*100000000+('Dvd Calendar'!$U$1599=SPECIAL_LBL)*10000000+(N('Dvd Calendar'!$U$1593)&gt;0)*(N('Dvd Calendar'!$U$1593)&lt;=VAL_SERIAL)*1000000+4*1000+17))</f>
        <v/>
      </c>
      <c r="EV163" s="121">
        <f>IF(N('Dvd Calendar'!$V$1594)=0,"",IF(('Dvd Calendar'!$V$1594&gt;=GRID_FROM)*('Dvd Calendar'!$V$1594&lt;=GRID_TO)*((('Dvd Calendar'!$V$1594&lt;=VAL_DATE)+(COUNTIF('Dvd Calendar'!$E$1601:$AR$1601,'Dvd Calendar'!$V$1594)=0))&gt;0)=0,"",'Dvd Calendar'!$V$1594*1000000000+ISNUMBER('Dvd Calendar'!$V$1597)*100000000+('Dvd Calendar'!$V$1599=SPECIAL_LBL)*10000000+(N('Dvd Calendar'!$V$1593)&gt;0)*(N('Dvd Calendar'!$V$1593)&lt;=VAL_SERIAL)*1000000+4*1000+18))</f>
        <v/>
      </c>
      <c r="EW163" s="121">
        <f>IF(N('Dvd Calendar'!$W$1594)=0,"",IF(('Dvd Calendar'!$W$1594&gt;=GRID_FROM)*('Dvd Calendar'!$W$1594&lt;=GRID_TO)*((('Dvd Calendar'!$W$1594&lt;=VAL_DATE)+(COUNTIF('Dvd Calendar'!$E$1601:$AR$1601,'Dvd Calendar'!$W$1594)=0))&gt;0)=0,"",'Dvd Calendar'!$W$1594*1000000000+ISNUMBER('Dvd Calendar'!$W$1597)*100000000+('Dvd Calendar'!$W$1599=SPECIAL_LBL)*10000000+(N('Dvd Calendar'!$W$1593)&gt;0)*(N('Dvd Calendar'!$W$1593)&lt;=VAL_SERIAL)*1000000+4*1000+19))</f>
        <v/>
      </c>
      <c r="EX163" s="121">
        <f>IF(N('Dvd Calendar'!$X$1594)=0,"",IF(('Dvd Calendar'!$X$1594&gt;=GRID_FROM)*('Dvd Calendar'!$X$1594&lt;=GRID_TO)*((('Dvd Calendar'!$X$1594&lt;=VAL_DATE)+(COUNTIF('Dvd Calendar'!$E$1601:$AR$1601,'Dvd Calendar'!$X$1594)=0))&gt;0)=0,"",'Dvd Calendar'!$X$1594*1000000000+ISNUMBER('Dvd Calendar'!$X$1597)*100000000+('Dvd Calendar'!$X$1599=SPECIAL_LBL)*10000000+(N('Dvd Calendar'!$X$1593)&gt;0)*(N('Dvd Calendar'!$X$1593)&lt;=VAL_SERIAL)*1000000+4*1000+20))</f>
        <v/>
      </c>
      <c r="EY163" s="121">
        <f>IF(N('Dvd Calendar'!$Y$1594)=0,"",IF(('Dvd Calendar'!$Y$1594&gt;=GRID_FROM)*('Dvd Calendar'!$Y$1594&lt;=GRID_TO)*((('Dvd Calendar'!$Y$1594&lt;=VAL_DATE)+(COUNTIF('Dvd Calendar'!$E$1601:$AR$1601,'Dvd Calendar'!$Y$1594)=0))&gt;0)=0,"",'Dvd Calendar'!$Y$1594*1000000000+ISNUMBER('Dvd Calendar'!$Y$1597)*100000000+('Dvd Calendar'!$Y$1599=SPECIAL_LBL)*10000000+(N('Dvd Calendar'!$Y$1593)&gt;0)*(N('Dvd Calendar'!$Y$1593)&lt;=VAL_SERIAL)*1000000+4*1000+21))</f>
        <v/>
      </c>
      <c r="EZ163" s="121">
        <f>IF(N('Dvd Calendar'!$Z$1594)=0,"",IF(('Dvd Calendar'!$Z$1594&gt;=GRID_FROM)*('Dvd Calendar'!$Z$1594&lt;=GRID_TO)*((('Dvd Calendar'!$Z$1594&lt;=VAL_DATE)+(COUNTIF('Dvd Calendar'!$E$1601:$AR$1601,'Dvd Calendar'!$Z$1594)=0))&gt;0)=0,"",'Dvd Calendar'!$Z$1594*1000000000+ISNUMBER('Dvd Calendar'!$Z$1597)*100000000+('Dvd Calendar'!$Z$1599=SPECIAL_LBL)*10000000+(N('Dvd Calendar'!$Z$1593)&gt;0)*(N('Dvd Calendar'!$Z$1593)&lt;=VAL_SERIAL)*1000000+4*1000+22))</f>
        <v/>
      </c>
      <c r="FA163" s="121">
        <f>IF(N('Dvd Calendar'!$AA$1594)=0,"",IF(('Dvd Calendar'!$AA$1594&gt;=GRID_FROM)*('Dvd Calendar'!$AA$1594&lt;=GRID_TO)*((('Dvd Calendar'!$AA$1594&lt;=VAL_DATE)+(COUNTIF('Dvd Calendar'!$E$1601:$AR$1601,'Dvd Calendar'!$AA$1594)=0))&gt;0)=0,"",'Dvd Calendar'!$AA$1594*1000000000+ISNUMBER('Dvd Calendar'!$AA$1597)*100000000+('Dvd Calendar'!$AA$1599=SPECIAL_LBL)*10000000+(N('Dvd Calendar'!$AA$1593)&gt;0)*(N('Dvd Calendar'!$AA$1593)&lt;=VAL_SERIAL)*1000000+4*1000+23))</f>
        <v/>
      </c>
      <c r="FB163" s="121">
        <f>IF(N('Dvd Calendar'!$AB$1594)=0,"",IF(('Dvd Calendar'!$AB$1594&gt;=GRID_FROM)*('Dvd Calendar'!$AB$1594&lt;=GRID_TO)*((('Dvd Calendar'!$AB$1594&lt;=VAL_DATE)+(COUNTIF('Dvd Calendar'!$E$1601:$AR$1601,'Dvd Calendar'!$AB$1594)=0))&gt;0)=0,"",'Dvd Calendar'!$AB$1594*1000000000+ISNUMBER('Dvd Calendar'!$AB$1597)*100000000+('Dvd Calendar'!$AB$1599=SPECIAL_LBL)*10000000+(N('Dvd Calendar'!$AB$1593)&gt;0)*(N('Dvd Calendar'!$AB$1593)&lt;=VAL_SERIAL)*1000000+4*1000+24))</f>
        <v/>
      </c>
      <c r="FC163" s="121">
        <f>IF(N('Dvd Calendar'!$AC$1594)=0,"",IF(('Dvd Calendar'!$AC$1594&gt;=GRID_FROM)*('Dvd Calendar'!$AC$1594&lt;=GRID_TO)*((('Dvd Calendar'!$AC$1594&lt;=VAL_DATE)+(COUNTIF('Dvd Calendar'!$E$1601:$AR$1601,'Dvd Calendar'!$AC$1594)=0))&gt;0)=0,"",'Dvd Calendar'!$AC$1594*1000000000+ISNUMBER('Dvd Calendar'!$AC$1597)*100000000+('Dvd Calendar'!$AC$1599=SPECIAL_LBL)*10000000+(N('Dvd Calendar'!$AC$1593)&gt;0)*(N('Dvd Calendar'!$AC$1593)&lt;=VAL_SERIAL)*1000000+4*1000+25))</f>
        <v/>
      </c>
      <c r="FD163" s="121">
        <f>IF(N('Dvd Calendar'!$AD$1594)=0,"",IF(('Dvd Calendar'!$AD$1594&gt;=GRID_FROM)*('Dvd Calendar'!$AD$1594&lt;=GRID_TO)*((('Dvd Calendar'!$AD$1594&lt;=VAL_DATE)+(COUNTIF('Dvd Calendar'!$E$1601:$AR$1601,'Dvd Calendar'!$AD$1594)=0))&gt;0)=0,"",'Dvd Calendar'!$AD$1594*1000000000+ISNUMBER('Dvd Calendar'!$AD$1597)*100000000+('Dvd Calendar'!$AD$1599=SPECIAL_LBL)*10000000+(N('Dvd Calendar'!$AD$1593)&gt;0)*(N('Dvd Calendar'!$AD$1593)&lt;=VAL_SERIAL)*1000000+4*1000+26))</f>
        <v/>
      </c>
      <c r="FE163" s="121">
        <f>IF(N('Dvd Calendar'!$AE$1594)=0,"",IF(('Dvd Calendar'!$AE$1594&gt;=GRID_FROM)*('Dvd Calendar'!$AE$1594&lt;=GRID_TO)*((('Dvd Calendar'!$AE$1594&lt;=VAL_DATE)+(COUNTIF('Dvd Calendar'!$E$1601:$AR$1601,'Dvd Calendar'!$AE$1594)=0))&gt;0)=0,"",'Dvd Calendar'!$AE$1594*1000000000+ISNUMBER('Dvd Calendar'!$AE$1597)*100000000+('Dvd Calendar'!$AE$1599=SPECIAL_LBL)*10000000+(N('Dvd Calendar'!$AE$1593)&gt;0)*(N('Dvd Calendar'!$AE$1593)&lt;=VAL_SERIAL)*1000000+4*1000+27))</f>
        <v/>
      </c>
      <c r="FF163" s="121">
        <f>IF(N('Dvd Calendar'!$AF$1594)=0,"",IF(('Dvd Calendar'!$AF$1594&gt;=GRID_FROM)*('Dvd Calendar'!$AF$1594&lt;=GRID_TO)*((('Dvd Calendar'!$AF$1594&lt;=VAL_DATE)+(COUNTIF('Dvd Calendar'!$E$1601:$AR$1601,'Dvd Calendar'!$AF$1594)=0))&gt;0)=0,"",'Dvd Calendar'!$AF$1594*1000000000+ISNUMBER('Dvd Calendar'!$AF$1597)*100000000+('Dvd Calendar'!$AF$1599=SPECIAL_LBL)*10000000+(N('Dvd Calendar'!$AF$1593)&gt;0)*(N('Dvd Calendar'!$AF$1593)&lt;=VAL_SERIAL)*1000000+4*1000+28))</f>
        <v/>
      </c>
      <c r="FG163" s="121">
        <f>IF(N('Dvd Calendar'!$AG$1594)=0,"",IF(('Dvd Calendar'!$AG$1594&gt;=GRID_FROM)*('Dvd Calendar'!$AG$1594&lt;=GRID_TO)*((('Dvd Calendar'!$AG$1594&lt;=VAL_DATE)+(COUNTIF('Dvd Calendar'!$E$1601:$AR$1601,'Dvd Calendar'!$AG$1594)=0))&gt;0)=0,"",'Dvd Calendar'!$AG$1594*1000000000+ISNUMBER('Dvd Calendar'!$AG$1597)*100000000+('Dvd Calendar'!$AG$1599=SPECIAL_LBL)*10000000+(N('Dvd Calendar'!$AG$1593)&gt;0)*(N('Dvd Calendar'!$AG$1593)&lt;=VAL_SERIAL)*1000000+4*1000+29))</f>
        <v/>
      </c>
      <c r="FH163" s="121">
        <f>IF(N('Dvd Calendar'!$AH$1594)=0,"",IF(('Dvd Calendar'!$AH$1594&gt;=GRID_FROM)*('Dvd Calendar'!$AH$1594&lt;=GRID_TO)*((('Dvd Calendar'!$AH$1594&lt;=VAL_DATE)+(COUNTIF('Dvd Calendar'!$E$1601:$AR$1601,'Dvd Calendar'!$AH$1594)=0))&gt;0)=0,"",'Dvd Calendar'!$AH$1594*1000000000+ISNUMBER('Dvd Calendar'!$AH$1597)*100000000+('Dvd Calendar'!$AH$1599=SPECIAL_LBL)*10000000+(N('Dvd Calendar'!$AH$1593)&gt;0)*(N('Dvd Calendar'!$AH$1593)&lt;=VAL_SERIAL)*1000000+4*1000+30))</f>
        <v/>
      </c>
      <c r="FI163" s="121">
        <f>IF(N('Dvd Calendar'!$AI$1594)=0,"",IF(('Dvd Calendar'!$AI$1594&gt;=GRID_FROM)*('Dvd Calendar'!$AI$1594&lt;=GRID_TO)*((('Dvd Calendar'!$AI$1594&lt;=VAL_DATE)+(COUNTIF('Dvd Calendar'!$E$1601:$AR$1601,'Dvd Calendar'!$AI$1594)=0))&gt;0)=0,"",'Dvd Calendar'!$AI$1594*1000000000+ISNUMBER('Dvd Calendar'!$AI$1597)*100000000+('Dvd Calendar'!$AI$1599=SPECIAL_LBL)*10000000+(N('Dvd Calendar'!$AI$1593)&gt;0)*(N('Dvd Calendar'!$AI$1593)&lt;=VAL_SERIAL)*1000000+4*1000+31))</f>
        <v/>
      </c>
      <c r="FJ163" s="121">
        <f>IF(N('Dvd Calendar'!$AJ$1594)=0,"",IF(('Dvd Calendar'!$AJ$1594&gt;=GRID_FROM)*('Dvd Calendar'!$AJ$1594&lt;=GRID_TO)*((('Dvd Calendar'!$AJ$1594&lt;=VAL_DATE)+(COUNTIF('Dvd Calendar'!$E$1601:$AR$1601,'Dvd Calendar'!$AJ$1594)=0))&gt;0)=0,"",'Dvd Calendar'!$AJ$1594*1000000000+ISNUMBER('Dvd Calendar'!$AJ$1597)*100000000+('Dvd Calendar'!$AJ$1599=SPECIAL_LBL)*10000000+(N('Dvd Calendar'!$AJ$1593)&gt;0)*(N('Dvd Calendar'!$AJ$1593)&lt;=VAL_SERIAL)*1000000+4*1000+32))</f>
        <v/>
      </c>
      <c r="FK163" s="121">
        <f>IF(N('Dvd Calendar'!$AK$1594)=0,"",IF(('Dvd Calendar'!$AK$1594&gt;=GRID_FROM)*('Dvd Calendar'!$AK$1594&lt;=GRID_TO)*((('Dvd Calendar'!$AK$1594&lt;=VAL_DATE)+(COUNTIF('Dvd Calendar'!$E$1601:$AR$1601,'Dvd Calendar'!$AK$1594)=0))&gt;0)=0,"",'Dvd Calendar'!$AK$1594*1000000000+ISNUMBER('Dvd Calendar'!$AK$1597)*100000000+('Dvd Calendar'!$AK$1599=SPECIAL_LBL)*10000000+(N('Dvd Calendar'!$AK$1593)&gt;0)*(N('Dvd Calendar'!$AK$1593)&lt;=VAL_SERIAL)*1000000+4*1000+33))</f>
        <v/>
      </c>
      <c r="FL163" s="121">
        <f>IF(N('Dvd Calendar'!$AL$1594)=0,"",IF(('Dvd Calendar'!$AL$1594&gt;=GRID_FROM)*('Dvd Calendar'!$AL$1594&lt;=GRID_TO)*((('Dvd Calendar'!$AL$1594&lt;=VAL_DATE)+(COUNTIF('Dvd Calendar'!$E$1601:$AR$1601,'Dvd Calendar'!$AL$1594)=0))&gt;0)=0,"",'Dvd Calendar'!$AL$1594*1000000000+ISNUMBER('Dvd Calendar'!$AL$1597)*100000000+('Dvd Calendar'!$AL$1599=SPECIAL_LBL)*10000000+(N('Dvd Calendar'!$AL$1593)&gt;0)*(N('Dvd Calendar'!$AL$1593)&lt;=VAL_SERIAL)*1000000+4*1000+34))</f>
        <v/>
      </c>
      <c r="FM163" s="121">
        <f>IF(N('Dvd Calendar'!$AM$1594)=0,"",IF(('Dvd Calendar'!$AM$1594&gt;=GRID_FROM)*('Dvd Calendar'!$AM$1594&lt;=GRID_TO)*((('Dvd Calendar'!$AM$1594&lt;=VAL_DATE)+(COUNTIF('Dvd Calendar'!$E$1601:$AR$1601,'Dvd Calendar'!$AM$1594)=0))&gt;0)=0,"",'Dvd Calendar'!$AM$1594*1000000000+ISNUMBER('Dvd Calendar'!$AM$1597)*100000000+('Dvd Calendar'!$AM$1599=SPECIAL_LBL)*10000000+(N('Dvd Calendar'!$AM$1593)&gt;0)*(N('Dvd Calendar'!$AM$1593)&lt;=VAL_SERIAL)*1000000+4*1000+35))</f>
        <v/>
      </c>
      <c r="FN163" s="121">
        <f>IF(N('Dvd Calendar'!$AN$1594)=0,"",IF(('Dvd Calendar'!$AN$1594&gt;=GRID_FROM)*('Dvd Calendar'!$AN$1594&lt;=GRID_TO)*((('Dvd Calendar'!$AN$1594&lt;=VAL_DATE)+(COUNTIF('Dvd Calendar'!$E$1601:$AR$1601,'Dvd Calendar'!$AN$1594)=0))&gt;0)=0,"",'Dvd Calendar'!$AN$1594*1000000000+ISNUMBER('Dvd Calendar'!$AN$1597)*100000000+('Dvd Calendar'!$AN$1599=SPECIAL_LBL)*10000000+(N('Dvd Calendar'!$AN$1593)&gt;0)*(N('Dvd Calendar'!$AN$1593)&lt;=VAL_SERIAL)*1000000+4*1000+36))</f>
        <v/>
      </c>
      <c r="FO163" s="121">
        <f>IF(N('Dvd Calendar'!$AO$1594)=0,"",IF(('Dvd Calendar'!$AO$1594&gt;=GRID_FROM)*('Dvd Calendar'!$AO$1594&lt;=GRID_TO)*((('Dvd Calendar'!$AO$1594&lt;=VAL_DATE)+(COUNTIF('Dvd Calendar'!$E$1601:$AR$1601,'Dvd Calendar'!$AO$1594)=0))&gt;0)=0,"",'Dvd Calendar'!$AO$1594*1000000000+ISNUMBER('Dvd Calendar'!$AO$1597)*100000000+('Dvd Calendar'!$AO$1599=SPECIAL_LBL)*10000000+(N('Dvd Calendar'!$AO$1593)&gt;0)*(N('Dvd Calendar'!$AO$1593)&lt;=VAL_SERIAL)*1000000+4*1000+37))</f>
        <v/>
      </c>
      <c r="FP163" s="121">
        <f>IF(N('Dvd Calendar'!$AP$1594)=0,"",IF(('Dvd Calendar'!$AP$1594&gt;=GRID_FROM)*('Dvd Calendar'!$AP$1594&lt;=GRID_TO)*((('Dvd Calendar'!$AP$1594&lt;=VAL_DATE)+(COUNTIF('Dvd Calendar'!$E$1601:$AR$1601,'Dvd Calendar'!$AP$1594)=0))&gt;0)=0,"",'Dvd Calendar'!$AP$1594*1000000000+ISNUMBER('Dvd Calendar'!$AP$1597)*100000000+('Dvd Calendar'!$AP$1599=SPECIAL_LBL)*10000000+(N('Dvd Calendar'!$AP$1593)&gt;0)*(N('Dvd Calendar'!$AP$1593)&lt;=VAL_SERIAL)*1000000+4*1000+38))</f>
        <v/>
      </c>
      <c r="FQ163" s="121">
        <f>IF(N('Dvd Calendar'!$AQ$1594)=0,"",IF(('Dvd Calendar'!$AQ$1594&gt;=GRID_FROM)*('Dvd Calendar'!$AQ$1594&lt;=GRID_TO)*((('Dvd Calendar'!$AQ$1594&lt;=VAL_DATE)+(COUNTIF('Dvd Calendar'!$E$1601:$AR$1601,'Dvd Calendar'!$AQ$1594)=0))&gt;0)=0,"",'Dvd Calendar'!$AQ$1594*1000000000+ISNUMBER('Dvd Calendar'!$AQ$1597)*100000000+('Dvd Calendar'!$AQ$1599=SPECIAL_LBL)*10000000+(N('Dvd Calendar'!$AQ$1593)&gt;0)*(N('Dvd Calendar'!$AQ$1593)&lt;=VAL_SERIAL)*1000000+4*1000+39))</f>
        <v/>
      </c>
      <c r="FR163" s="121">
        <f>IF(N('Dvd Calendar'!$AR$1594)=0,"",IF(('Dvd Calendar'!$AR$1594&gt;=GRID_FROM)*('Dvd Calendar'!$AR$1594&lt;=GRID_TO)*((('Dvd Calendar'!$AR$1594&lt;=VAL_DATE)+(COUNTIF('Dvd Calendar'!$E$1601:$AR$1601,'Dvd Calendar'!$AR$1594)=0))&gt;0)=0,"",'Dvd Calendar'!$AR$1594*1000000000+ISNUMBER('Dvd Calendar'!$AR$1597)*100000000+('Dvd Calendar'!$AR$1599=SPECIAL_LBL)*10000000+(N('Dvd Calendar'!$AR$1593)&gt;0)*(N('Dvd Calendar'!$AR$1593)&lt;=VAL_SERIAL)*1000000+4*1000+40))</f>
        <v/>
      </c>
      <c r="FS163" s="121">
        <f>IF(N('Dvd Calendar'!$E$1601)=0,"",IF(('Dvd Calendar'!$E$1601&gt;=GRID_FROM)*('Dvd Calendar'!$E$1601&lt;=GRID_TO)*('Dvd Calendar'!$E$1601&gt;VAL_DATE)=0,"",'Dvd Calendar'!$E$1601*1000000000+ISNUMBER('Dvd Calendar'!$E$1602)*100000000+0*10000000+(N('Dvd Calendar'!$E$1600)&gt;0)*(N('Dvd Calendar'!$E$1600)&lt;=VAL_SERIAL)*1000000+4*1000+41))</f>
        <v/>
      </c>
      <c r="FT163" s="121">
        <f>IF(N('Dvd Calendar'!$F$1601)=0,"",IF(('Dvd Calendar'!$F$1601&gt;=GRID_FROM)*('Dvd Calendar'!$F$1601&lt;=GRID_TO)*('Dvd Calendar'!$F$1601&gt;VAL_DATE)=0,"",'Dvd Calendar'!$F$1601*1000000000+ISNUMBER('Dvd Calendar'!$F$1602)*100000000+0*10000000+(N('Dvd Calendar'!$F$1600)&gt;0)*(N('Dvd Calendar'!$F$1600)&lt;=VAL_SERIAL)*1000000+4*1000+42))</f>
        <v/>
      </c>
      <c r="FU163" s="121">
        <f>IF(N('Dvd Calendar'!$G$1601)=0,"",IF(('Dvd Calendar'!$G$1601&gt;=GRID_FROM)*('Dvd Calendar'!$G$1601&lt;=GRID_TO)*('Dvd Calendar'!$G$1601&gt;VAL_DATE)=0,"",'Dvd Calendar'!$G$1601*1000000000+ISNUMBER('Dvd Calendar'!$G$1602)*100000000+0*10000000+(N('Dvd Calendar'!$G$1600)&gt;0)*(N('Dvd Calendar'!$G$1600)&lt;=VAL_SERIAL)*1000000+4*1000+43))</f>
        <v/>
      </c>
      <c r="FV163" s="121">
        <f>IF(N('Dvd Calendar'!$H$1601)=0,"",IF(('Dvd Calendar'!$H$1601&gt;=GRID_FROM)*('Dvd Calendar'!$H$1601&lt;=GRID_TO)*('Dvd Calendar'!$H$1601&gt;VAL_DATE)=0,"",'Dvd Calendar'!$H$1601*1000000000+ISNUMBER('Dvd Calendar'!$H$1602)*100000000+0*10000000+(N('Dvd Calendar'!$H$1600)&gt;0)*(N('Dvd Calendar'!$H$1600)&lt;=VAL_SERIAL)*1000000+4*1000+44))</f>
        <v/>
      </c>
      <c r="FW163" s="121">
        <f>IF(N('Dvd Calendar'!$I$1601)=0,"",IF(('Dvd Calendar'!$I$1601&gt;=GRID_FROM)*('Dvd Calendar'!$I$1601&lt;=GRID_TO)*('Dvd Calendar'!$I$1601&gt;VAL_DATE)=0,"",'Dvd Calendar'!$I$1601*1000000000+ISNUMBER('Dvd Calendar'!$I$1602)*100000000+0*10000000+(N('Dvd Calendar'!$I$1600)&gt;0)*(N('Dvd Calendar'!$I$1600)&lt;=VAL_SERIAL)*1000000+4*1000+45))</f>
        <v/>
      </c>
      <c r="FX163" s="121">
        <f>IF(N('Dvd Calendar'!$J$1601)=0,"",IF(('Dvd Calendar'!$J$1601&gt;=GRID_FROM)*('Dvd Calendar'!$J$1601&lt;=GRID_TO)*('Dvd Calendar'!$J$1601&gt;VAL_DATE)=0,"",'Dvd Calendar'!$J$1601*1000000000+ISNUMBER('Dvd Calendar'!$J$1602)*100000000+0*10000000+(N('Dvd Calendar'!$J$1600)&gt;0)*(N('Dvd Calendar'!$J$1600)&lt;=VAL_SERIAL)*1000000+4*1000+46))</f>
        <v/>
      </c>
      <c r="FY163" s="121">
        <f>IF(N('Dvd Calendar'!$K$1601)=0,"",IF(('Dvd Calendar'!$K$1601&gt;=GRID_FROM)*('Dvd Calendar'!$K$1601&lt;=GRID_TO)*('Dvd Calendar'!$K$1601&gt;VAL_DATE)=0,"",'Dvd Calendar'!$K$1601*1000000000+ISNUMBER('Dvd Calendar'!$K$1602)*100000000+0*10000000+(N('Dvd Calendar'!$K$1600)&gt;0)*(N('Dvd Calendar'!$K$1600)&lt;=VAL_SERIAL)*1000000+4*1000+47))</f>
        <v/>
      </c>
      <c r="FZ163" s="121">
        <f>IF(N('Dvd Calendar'!$L$1601)=0,"",IF(('Dvd Calendar'!$L$1601&gt;=GRID_FROM)*('Dvd Calendar'!$L$1601&lt;=GRID_TO)*('Dvd Calendar'!$L$1601&gt;VAL_DATE)=0,"",'Dvd Calendar'!$L$1601*1000000000+ISNUMBER('Dvd Calendar'!$L$1602)*100000000+0*10000000+(N('Dvd Calendar'!$L$1600)&gt;0)*(N('Dvd Calendar'!$L$1600)&lt;=VAL_SERIAL)*1000000+4*1000+48))</f>
        <v/>
      </c>
      <c r="GA163" s="121">
        <f>IF(N('Dvd Calendar'!$M$1601)=0,"",IF(('Dvd Calendar'!$M$1601&gt;=GRID_FROM)*('Dvd Calendar'!$M$1601&lt;=GRID_TO)*('Dvd Calendar'!$M$1601&gt;VAL_DATE)=0,"",'Dvd Calendar'!$M$1601*1000000000+ISNUMBER('Dvd Calendar'!$M$1602)*100000000+0*10000000+(N('Dvd Calendar'!$M$1600)&gt;0)*(N('Dvd Calendar'!$M$1600)&lt;=VAL_SERIAL)*1000000+4*1000+49))</f>
        <v/>
      </c>
      <c r="GB163" s="121">
        <f>IF(N('Dvd Calendar'!$N$1601)=0,"",IF(('Dvd Calendar'!$N$1601&gt;=GRID_FROM)*('Dvd Calendar'!$N$1601&lt;=GRID_TO)*('Dvd Calendar'!$N$1601&gt;VAL_DATE)=0,"",'Dvd Calendar'!$N$1601*1000000000+ISNUMBER('Dvd Calendar'!$N$1602)*100000000+0*10000000+(N('Dvd Calendar'!$N$1600)&gt;0)*(N('Dvd Calendar'!$N$1600)&lt;=VAL_SERIAL)*1000000+4*1000+50))</f>
        <v/>
      </c>
      <c r="GC163" s="121">
        <f>IF(N('Dvd Calendar'!$O$1601)=0,"",IF(('Dvd Calendar'!$O$1601&gt;=GRID_FROM)*('Dvd Calendar'!$O$1601&lt;=GRID_TO)*('Dvd Calendar'!$O$1601&gt;VAL_DATE)=0,"",'Dvd Calendar'!$O$1601*1000000000+ISNUMBER('Dvd Calendar'!$O$1602)*100000000+0*10000000+(N('Dvd Calendar'!$O$1600)&gt;0)*(N('Dvd Calendar'!$O$1600)&lt;=VAL_SERIAL)*1000000+4*1000+51))</f>
        <v/>
      </c>
      <c r="GD163" s="121">
        <f>IF(N('Dvd Calendar'!$P$1601)=0,"",IF(('Dvd Calendar'!$P$1601&gt;=GRID_FROM)*('Dvd Calendar'!$P$1601&lt;=GRID_TO)*('Dvd Calendar'!$P$1601&gt;VAL_DATE)=0,"",'Dvd Calendar'!$P$1601*1000000000+ISNUMBER('Dvd Calendar'!$P$1602)*100000000+0*10000000+(N('Dvd Calendar'!$P$1600)&gt;0)*(N('Dvd Calendar'!$P$1600)&lt;=VAL_SERIAL)*1000000+4*1000+52))</f>
        <v/>
      </c>
      <c r="GE163" s="121">
        <f>IF(N('Dvd Calendar'!$Q$1601)=0,"",IF(('Dvd Calendar'!$Q$1601&gt;=GRID_FROM)*('Dvd Calendar'!$Q$1601&lt;=GRID_TO)*('Dvd Calendar'!$Q$1601&gt;VAL_DATE)=0,"",'Dvd Calendar'!$Q$1601*1000000000+ISNUMBER('Dvd Calendar'!$Q$1602)*100000000+0*10000000+(N('Dvd Calendar'!$Q$1600)&gt;0)*(N('Dvd Calendar'!$Q$1600)&lt;=VAL_SERIAL)*1000000+4*1000+53))</f>
        <v/>
      </c>
      <c r="GF163" s="121">
        <f>IF(N('Dvd Calendar'!$R$1601)=0,"",IF(('Dvd Calendar'!$R$1601&gt;=GRID_FROM)*('Dvd Calendar'!$R$1601&lt;=GRID_TO)*('Dvd Calendar'!$R$1601&gt;VAL_DATE)=0,"",'Dvd Calendar'!$R$1601*1000000000+ISNUMBER('Dvd Calendar'!$R$1602)*100000000+0*10000000+(N('Dvd Calendar'!$R$1600)&gt;0)*(N('Dvd Calendar'!$R$1600)&lt;=VAL_SERIAL)*1000000+4*1000+54))</f>
        <v/>
      </c>
      <c r="GG163" s="121">
        <f>IF(N('Dvd Calendar'!$S$1601)=0,"",IF(('Dvd Calendar'!$S$1601&gt;=GRID_FROM)*('Dvd Calendar'!$S$1601&lt;=GRID_TO)*('Dvd Calendar'!$S$1601&gt;VAL_DATE)=0,"",'Dvd Calendar'!$S$1601*1000000000+ISNUMBER('Dvd Calendar'!$S$1602)*100000000+0*10000000+(N('Dvd Calendar'!$S$1600)&gt;0)*(N('Dvd Calendar'!$S$1600)&lt;=VAL_SERIAL)*1000000+4*1000+55))</f>
        <v/>
      </c>
      <c r="GH163" s="121">
        <f>IF(N('Dvd Calendar'!$T$1601)=0,"",IF(('Dvd Calendar'!$T$1601&gt;=GRID_FROM)*('Dvd Calendar'!$T$1601&lt;=GRID_TO)*('Dvd Calendar'!$T$1601&gt;VAL_DATE)=0,"",'Dvd Calendar'!$T$1601*1000000000+ISNUMBER('Dvd Calendar'!$T$1602)*100000000+0*10000000+(N('Dvd Calendar'!$T$1600)&gt;0)*(N('Dvd Calendar'!$T$1600)&lt;=VAL_SERIAL)*1000000+4*1000+56))</f>
        <v/>
      </c>
      <c r="GI163" s="121">
        <f>IF(N('Dvd Calendar'!$U$1601)=0,"",IF(('Dvd Calendar'!$U$1601&gt;=GRID_FROM)*('Dvd Calendar'!$U$1601&lt;=GRID_TO)*('Dvd Calendar'!$U$1601&gt;VAL_DATE)=0,"",'Dvd Calendar'!$U$1601*1000000000+ISNUMBER('Dvd Calendar'!$U$1602)*100000000+0*10000000+(N('Dvd Calendar'!$U$1600)&gt;0)*(N('Dvd Calendar'!$U$1600)&lt;=VAL_SERIAL)*1000000+4*1000+57))</f>
        <v/>
      </c>
      <c r="GJ163" s="121">
        <f>IF(N('Dvd Calendar'!$V$1601)=0,"",IF(('Dvd Calendar'!$V$1601&gt;=GRID_FROM)*('Dvd Calendar'!$V$1601&lt;=GRID_TO)*('Dvd Calendar'!$V$1601&gt;VAL_DATE)=0,"",'Dvd Calendar'!$V$1601*1000000000+ISNUMBER('Dvd Calendar'!$V$1602)*100000000+0*10000000+(N('Dvd Calendar'!$V$1600)&gt;0)*(N('Dvd Calendar'!$V$1600)&lt;=VAL_SERIAL)*1000000+4*1000+58))</f>
        <v/>
      </c>
      <c r="GK163" s="121">
        <f>IF(N('Dvd Calendar'!$W$1601)=0,"",IF(('Dvd Calendar'!$W$1601&gt;=GRID_FROM)*('Dvd Calendar'!$W$1601&lt;=GRID_TO)*('Dvd Calendar'!$W$1601&gt;VAL_DATE)=0,"",'Dvd Calendar'!$W$1601*1000000000+ISNUMBER('Dvd Calendar'!$W$1602)*100000000+0*10000000+(N('Dvd Calendar'!$W$1600)&gt;0)*(N('Dvd Calendar'!$W$1600)&lt;=VAL_SERIAL)*1000000+4*1000+59))</f>
        <v/>
      </c>
      <c r="GL163" s="121">
        <f>IF(N('Dvd Calendar'!$X$1601)=0,"",IF(('Dvd Calendar'!$X$1601&gt;=GRID_FROM)*('Dvd Calendar'!$X$1601&lt;=GRID_TO)*('Dvd Calendar'!$X$1601&gt;VAL_DATE)=0,"",'Dvd Calendar'!$X$1601*1000000000+ISNUMBER('Dvd Calendar'!$X$1602)*100000000+0*10000000+(N('Dvd Calendar'!$X$1600)&gt;0)*(N('Dvd Calendar'!$X$1600)&lt;=VAL_SERIAL)*1000000+4*1000+60))</f>
        <v/>
      </c>
      <c r="GM163" s="121">
        <f>IF(N('Dvd Calendar'!$Y$1601)=0,"",IF(('Dvd Calendar'!$Y$1601&gt;=GRID_FROM)*('Dvd Calendar'!$Y$1601&lt;=GRID_TO)*('Dvd Calendar'!$Y$1601&gt;VAL_DATE)=0,"",'Dvd Calendar'!$Y$1601*1000000000+ISNUMBER('Dvd Calendar'!$Y$1602)*100000000+0*10000000+(N('Dvd Calendar'!$Y$1600)&gt;0)*(N('Dvd Calendar'!$Y$1600)&lt;=VAL_SERIAL)*1000000+4*1000+61))</f>
        <v/>
      </c>
      <c r="GN163" s="121">
        <f>IF(N('Dvd Calendar'!$Z$1601)=0,"",IF(('Dvd Calendar'!$Z$1601&gt;=GRID_FROM)*('Dvd Calendar'!$Z$1601&lt;=GRID_TO)*('Dvd Calendar'!$Z$1601&gt;VAL_DATE)=0,"",'Dvd Calendar'!$Z$1601*1000000000+ISNUMBER('Dvd Calendar'!$Z$1602)*100000000+0*10000000+(N('Dvd Calendar'!$Z$1600)&gt;0)*(N('Dvd Calendar'!$Z$1600)&lt;=VAL_SERIAL)*1000000+4*1000+62))</f>
        <v/>
      </c>
      <c r="GO163" s="121">
        <f>IF(N('Dvd Calendar'!$AA$1601)=0,"",IF(('Dvd Calendar'!$AA$1601&gt;=GRID_FROM)*('Dvd Calendar'!$AA$1601&lt;=GRID_TO)*('Dvd Calendar'!$AA$1601&gt;VAL_DATE)=0,"",'Dvd Calendar'!$AA$1601*1000000000+ISNUMBER('Dvd Calendar'!$AA$1602)*100000000+0*10000000+(N('Dvd Calendar'!$AA$1600)&gt;0)*(N('Dvd Calendar'!$AA$1600)&lt;=VAL_SERIAL)*1000000+4*1000+63))</f>
        <v/>
      </c>
      <c r="GP163" s="121">
        <f>IF(N('Dvd Calendar'!$AB$1601)=0,"",IF(('Dvd Calendar'!$AB$1601&gt;=GRID_FROM)*('Dvd Calendar'!$AB$1601&lt;=GRID_TO)*('Dvd Calendar'!$AB$1601&gt;VAL_DATE)=0,"",'Dvd Calendar'!$AB$1601*1000000000+ISNUMBER('Dvd Calendar'!$AB$1602)*100000000+0*10000000+(N('Dvd Calendar'!$AB$1600)&gt;0)*(N('Dvd Calendar'!$AB$1600)&lt;=VAL_SERIAL)*1000000+4*1000+64))</f>
        <v/>
      </c>
      <c r="GQ163" s="121">
        <f>IF(N('Dvd Calendar'!$AC$1601)=0,"",IF(('Dvd Calendar'!$AC$1601&gt;=GRID_FROM)*('Dvd Calendar'!$AC$1601&lt;=GRID_TO)*('Dvd Calendar'!$AC$1601&gt;VAL_DATE)=0,"",'Dvd Calendar'!$AC$1601*1000000000+ISNUMBER('Dvd Calendar'!$AC$1602)*100000000+0*10000000+(N('Dvd Calendar'!$AC$1600)&gt;0)*(N('Dvd Calendar'!$AC$1600)&lt;=VAL_SERIAL)*1000000+4*1000+65))</f>
        <v/>
      </c>
    </row>
    <row r="164">
      <c r="B164" s="2">
        <f>IF(HSCEI!$C$11="","",HSCEI!$C$11)</f>
        <v/>
      </c>
      <c r="C164" s="161">
        <f>IF(EE164="","",IF(ISNUMBER('Dvd Calendar'!$E$1608)=FALSE,"",IF((('Dvd Calendar'!$E$1610=TYPE1)*(TYPE1&lt;&gt;"")+('Dvd Calendar'!$E$1610=TYPE2)*(TYPE2&lt;&gt;"")+('Dvd Calendar'!$E$1610=TYPE3)*(TYPE3&lt;&gt;"")+('Dvd Calendar'!$E$1610=TYPE4)*(TYPE4&lt;&gt;"")+('Dvd Calendar'!$E$1610=SPECIAL_LBL)*(INC_SPECIALS="Y"))=0,"",'Dvd Calendar'!$E$1608)))</f>
        <v/>
      </c>
      <c r="D164" s="161">
        <f>IF(EF164="","",IF(ISNUMBER('Dvd Calendar'!$F$1608)=FALSE,"",IF((('Dvd Calendar'!$F$1610=TYPE1)*(TYPE1&lt;&gt;"")+('Dvd Calendar'!$F$1610=TYPE2)*(TYPE2&lt;&gt;"")+('Dvd Calendar'!$F$1610=TYPE3)*(TYPE3&lt;&gt;"")+('Dvd Calendar'!$F$1610=TYPE4)*(TYPE4&lt;&gt;"")+('Dvd Calendar'!$F$1610=SPECIAL_LBL)*(INC_SPECIALS="Y"))=0,"",'Dvd Calendar'!$F$1608)))</f>
        <v/>
      </c>
      <c r="E164" s="161">
        <f>IF(EG164="","",IF(ISNUMBER('Dvd Calendar'!$G$1608)=FALSE,"",IF((('Dvd Calendar'!$G$1610=TYPE1)*(TYPE1&lt;&gt;"")+('Dvd Calendar'!$G$1610=TYPE2)*(TYPE2&lt;&gt;"")+('Dvd Calendar'!$G$1610=TYPE3)*(TYPE3&lt;&gt;"")+('Dvd Calendar'!$G$1610=TYPE4)*(TYPE4&lt;&gt;"")+('Dvd Calendar'!$G$1610=SPECIAL_LBL)*(INC_SPECIALS="Y"))=0,"",'Dvd Calendar'!$G$1608)))</f>
        <v/>
      </c>
      <c r="F164" s="161">
        <f>IF(EH164="","",IF(ISNUMBER('Dvd Calendar'!$H$1608)=FALSE,"",IF((('Dvd Calendar'!$H$1610=TYPE1)*(TYPE1&lt;&gt;"")+('Dvd Calendar'!$H$1610=TYPE2)*(TYPE2&lt;&gt;"")+('Dvd Calendar'!$H$1610=TYPE3)*(TYPE3&lt;&gt;"")+('Dvd Calendar'!$H$1610=TYPE4)*(TYPE4&lt;&gt;"")+('Dvd Calendar'!$H$1610=SPECIAL_LBL)*(INC_SPECIALS="Y"))=0,"",'Dvd Calendar'!$H$1608)))</f>
        <v/>
      </c>
      <c r="G164" s="161">
        <f>IF(EI164="","",IF(ISNUMBER('Dvd Calendar'!$I$1608)=FALSE,"",IF((('Dvd Calendar'!$I$1610=TYPE1)*(TYPE1&lt;&gt;"")+('Dvd Calendar'!$I$1610=TYPE2)*(TYPE2&lt;&gt;"")+('Dvd Calendar'!$I$1610=TYPE3)*(TYPE3&lt;&gt;"")+('Dvd Calendar'!$I$1610=TYPE4)*(TYPE4&lt;&gt;"")+('Dvd Calendar'!$I$1610=SPECIAL_LBL)*(INC_SPECIALS="Y"))=0,"",'Dvd Calendar'!$I$1608)))</f>
        <v/>
      </c>
      <c r="H164" s="161">
        <f>IF(EJ164="","",IF(ISNUMBER('Dvd Calendar'!$J$1608)=FALSE,"",IF((('Dvd Calendar'!$J$1610=TYPE1)*(TYPE1&lt;&gt;"")+('Dvd Calendar'!$J$1610=TYPE2)*(TYPE2&lt;&gt;"")+('Dvd Calendar'!$J$1610=TYPE3)*(TYPE3&lt;&gt;"")+('Dvd Calendar'!$J$1610=TYPE4)*(TYPE4&lt;&gt;"")+('Dvd Calendar'!$J$1610=SPECIAL_LBL)*(INC_SPECIALS="Y"))=0,"",'Dvd Calendar'!$J$1608)))</f>
        <v/>
      </c>
      <c r="I164" s="161">
        <f>IF(EK164="","",IF(ISNUMBER('Dvd Calendar'!$K$1608)=FALSE,"",IF((('Dvd Calendar'!$K$1610=TYPE1)*(TYPE1&lt;&gt;"")+('Dvd Calendar'!$K$1610=TYPE2)*(TYPE2&lt;&gt;"")+('Dvd Calendar'!$K$1610=TYPE3)*(TYPE3&lt;&gt;"")+('Dvd Calendar'!$K$1610=TYPE4)*(TYPE4&lt;&gt;"")+('Dvd Calendar'!$K$1610=SPECIAL_LBL)*(INC_SPECIALS="Y"))=0,"",'Dvd Calendar'!$K$1608)))</f>
        <v/>
      </c>
      <c r="J164" s="161">
        <f>IF(EL164="","",IF(ISNUMBER('Dvd Calendar'!$L$1608)=FALSE,"",IF((('Dvd Calendar'!$L$1610=TYPE1)*(TYPE1&lt;&gt;"")+('Dvd Calendar'!$L$1610=TYPE2)*(TYPE2&lt;&gt;"")+('Dvd Calendar'!$L$1610=TYPE3)*(TYPE3&lt;&gt;"")+('Dvd Calendar'!$L$1610=TYPE4)*(TYPE4&lt;&gt;"")+('Dvd Calendar'!$L$1610=SPECIAL_LBL)*(INC_SPECIALS="Y"))=0,"",'Dvd Calendar'!$L$1608)))</f>
        <v/>
      </c>
      <c r="K164" s="161">
        <f>IF(EM164="","",IF(ISNUMBER('Dvd Calendar'!$M$1608)=FALSE,"",IF((('Dvd Calendar'!$M$1610=TYPE1)*(TYPE1&lt;&gt;"")+('Dvd Calendar'!$M$1610=TYPE2)*(TYPE2&lt;&gt;"")+('Dvd Calendar'!$M$1610=TYPE3)*(TYPE3&lt;&gt;"")+('Dvd Calendar'!$M$1610=TYPE4)*(TYPE4&lt;&gt;"")+('Dvd Calendar'!$M$1610=SPECIAL_LBL)*(INC_SPECIALS="Y"))=0,"",'Dvd Calendar'!$M$1608)))</f>
        <v/>
      </c>
      <c r="L164" s="161">
        <f>IF(EN164="","",IF(ISNUMBER('Dvd Calendar'!$N$1608)=FALSE,"",IF((('Dvd Calendar'!$N$1610=TYPE1)*(TYPE1&lt;&gt;"")+('Dvd Calendar'!$N$1610=TYPE2)*(TYPE2&lt;&gt;"")+('Dvd Calendar'!$N$1610=TYPE3)*(TYPE3&lt;&gt;"")+('Dvd Calendar'!$N$1610=TYPE4)*(TYPE4&lt;&gt;"")+('Dvd Calendar'!$N$1610=SPECIAL_LBL)*(INC_SPECIALS="Y"))=0,"",'Dvd Calendar'!$N$1608)))</f>
        <v/>
      </c>
      <c r="M164" s="161">
        <f>IF(EO164="","",IF(ISNUMBER('Dvd Calendar'!$O$1608)=FALSE,"",IF((('Dvd Calendar'!$O$1610=TYPE1)*(TYPE1&lt;&gt;"")+('Dvd Calendar'!$O$1610=TYPE2)*(TYPE2&lt;&gt;"")+('Dvd Calendar'!$O$1610=TYPE3)*(TYPE3&lt;&gt;"")+('Dvd Calendar'!$O$1610=TYPE4)*(TYPE4&lt;&gt;"")+('Dvd Calendar'!$O$1610=SPECIAL_LBL)*(INC_SPECIALS="Y"))=0,"",'Dvd Calendar'!$O$1608)))</f>
        <v/>
      </c>
      <c r="N164" s="161">
        <f>IF(EP164="","",IF(ISNUMBER('Dvd Calendar'!$P$1608)=FALSE,"",IF((('Dvd Calendar'!$P$1610=TYPE1)*(TYPE1&lt;&gt;"")+('Dvd Calendar'!$P$1610=TYPE2)*(TYPE2&lt;&gt;"")+('Dvd Calendar'!$P$1610=TYPE3)*(TYPE3&lt;&gt;"")+('Dvd Calendar'!$P$1610=TYPE4)*(TYPE4&lt;&gt;"")+('Dvd Calendar'!$P$1610=SPECIAL_LBL)*(INC_SPECIALS="Y"))=0,"",'Dvd Calendar'!$P$1608)))</f>
        <v/>
      </c>
      <c r="O164" s="161">
        <f>IF(EQ164="","",IF(ISNUMBER('Dvd Calendar'!$Q$1608)=FALSE,"",IF((('Dvd Calendar'!$Q$1610=TYPE1)*(TYPE1&lt;&gt;"")+('Dvd Calendar'!$Q$1610=TYPE2)*(TYPE2&lt;&gt;"")+('Dvd Calendar'!$Q$1610=TYPE3)*(TYPE3&lt;&gt;"")+('Dvd Calendar'!$Q$1610=TYPE4)*(TYPE4&lt;&gt;"")+('Dvd Calendar'!$Q$1610=SPECIAL_LBL)*(INC_SPECIALS="Y"))=0,"",'Dvd Calendar'!$Q$1608)))</f>
        <v/>
      </c>
      <c r="P164" s="161">
        <f>IF(ER164="","",IF(ISNUMBER('Dvd Calendar'!$R$1608)=FALSE,"",IF((('Dvd Calendar'!$R$1610=TYPE1)*(TYPE1&lt;&gt;"")+('Dvd Calendar'!$R$1610=TYPE2)*(TYPE2&lt;&gt;"")+('Dvd Calendar'!$R$1610=TYPE3)*(TYPE3&lt;&gt;"")+('Dvd Calendar'!$R$1610=TYPE4)*(TYPE4&lt;&gt;"")+('Dvd Calendar'!$R$1610=SPECIAL_LBL)*(INC_SPECIALS="Y"))=0,"",'Dvd Calendar'!$R$1608)))</f>
        <v/>
      </c>
      <c r="Q164" s="161">
        <f>IF(ES164="","",IF(ISNUMBER('Dvd Calendar'!$S$1608)=FALSE,"",IF((('Dvd Calendar'!$S$1610=TYPE1)*(TYPE1&lt;&gt;"")+('Dvd Calendar'!$S$1610=TYPE2)*(TYPE2&lt;&gt;"")+('Dvd Calendar'!$S$1610=TYPE3)*(TYPE3&lt;&gt;"")+('Dvd Calendar'!$S$1610=TYPE4)*(TYPE4&lt;&gt;"")+('Dvd Calendar'!$S$1610=SPECIAL_LBL)*(INC_SPECIALS="Y"))=0,"",'Dvd Calendar'!$S$1608)))</f>
        <v/>
      </c>
      <c r="R164" s="161">
        <f>IF(ET164="","",IF(ISNUMBER('Dvd Calendar'!$T$1608)=FALSE,"",IF((('Dvd Calendar'!$T$1610=TYPE1)*(TYPE1&lt;&gt;"")+('Dvd Calendar'!$T$1610=TYPE2)*(TYPE2&lt;&gt;"")+('Dvd Calendar'!$T$1610=TYPE3)*(TYPE3&lt;&gt;"")+('Dvd Calendar'!$T$1610=TYPE4)*(TYPE4&lt;&gt;"")+('Dvd Calendar'!$T$1610=SPECIAL_LBL)*(INC_SPECIALS="Y"))=0,"",'Dvd Calendar'!$T$1608)))</f>
        <v/>
      </c>
      <c r="S164" s="161">
        <f>IF(EU164="","",IF(ISNUMBER('Dvd Calendar'!$U$1608)=FALSE,"",IF((('Dvd Calendar'!$U$1610=TYPE1)*(TYPE1&lt;&gt;"")+('Dvd Calendar'!$U$1610=TYPE2)*(TYPE2&lt;&gt;"")+('Dvd Calendar'!$U$1610=TYPE3)*(TYPE3&lt;&gt;"")+('Dvd Calendar'!$U$1610=TYPE4)*(TYPE4&lt;&gt;"")+('Dvd Calendar'!$U$1610=SPECIAL_LBL)*(INC_SPECIALS="Y"))=0,"",'Dvd Calendar'!$U$1608)))</f>
        <v/>
      </c>
      <c r="T164" s="161">
        <f>IF(EV164="","",IF(ISNUMBER('Dvd Calendar'!$V$1608)=FALSE,"",IF((('Dvd Calendar'!$V$1610=TYPE1)*(TYPE1&lt;&gt;"")+('Dvd Calendar'!$V$1610=TYPE2)*(TYPE2&lt;&gt;"")+('Dvd Calendar'!$V$1610=TYPE3)*(TYPE3&lt;&gt;"")+('Dvd Calendar'!$V$1610=TYPE4)*(TYPE4&lt;&gt;"")+('Dvd Calendar'!$V$1610=SPECIAL_LBL)*(INC_SPECIALS="Y"))=0,"",'Dvd Calendar'!$V$1608)))</f>
        <v/>
      </c>
      <c r="U164" s="161">
        <f>IF(EW164="","",IF(ISNUMBER('Dvd Calendar'!$W$1608)=FALSE,"",IF((('Dvd Calendar'!$W$1610=TYPE1)*(TYPE1&lt;&gt;"")+('Dvd Calendar'!$W$1610=TYPE2)*(TYPE2&lt;&gt;"")+('Dvd Calendar'!$W$1610=TYPE3)*(TYPE3&lt;&gt;"")+('Dvd Calendar'!$W$1610=TYPE4)*(TYPE4&lt;&gt;"")+('Dvd Calendar'!$W$1610=SPECIAL_LBL)*(INC_SPECIALS="Y"))=0,"",'Dvd Calendar'!$W$1608)))</f>
        <v/>
      </c>
      <c r="V164" s="161">
        <f>IF(EX164="","",IF(ISNUMBER('Dvd Calendar'!$X$1608)=FALSE,"",IF((('Dvd Calendar'!$X$1610=TYPE1)*(TYPE1&lt;&gt;"")+('Dvd Calendar'!$X$1610=TYPE2)*(TYPE2&lt;&gt;"")+('Dvd Calendar'!$X$1610=TYPE3)*(TYPE3&lt;&gt;"")+('Dvd Calendar'!$X$1610=TYPE4)*(TYPE4&lt;&gt;"")+('Dvd Calendar'!$X$1610=SPECIAL_LBL)*(INC_SPECIALS="Y"))=0,"",'Dvd Calendar'!$X$1608)))</f>
        <v/>
      </c>
      <c r="W164" s="161">
        <f>IF(EY164="","",IF(ISNUMBER('Dvd Calendar'!$Y$1608)=FALSE,"",IF((('Dvd Calendar'!$Y$1610=TYPE1)*(TYPE1&lt;&gt;"")+('Dvd Calendar'!$Y$1610=TYPE2)*(TYPE2&lt;&gt;"")+('Dvd Calendar'!$Y$1610=TYPE3)*(TYPE3&lt;&gt;"")+('Dvd Calendar'!$Y$1610=TYPE4)*(TYPE4&lt;&gt;"")+('Dvd Calendar'!$Y$1610=SPECIAL_LBL)*(INC_SPECIALS="Y"))=0,"",'Dvd Calendar'!$Y$1608)))</f>
        <v/>
      </c>
      <c r="X164" s="161">
        <f>IF(EZ164="","",IF(ISNUMBER('Dvd Calendar'!$Z$1608)=FALSE,"",IF((('Dvd Calendar'!$Z$1610=TYPE1)*(TYPE1&lt;&gt;"")+('Dvd Calendar'!$Z$1610=TYPE2)*(TYPE2&lt;&gt;"")+('Dvd Calendar'!$Z$1610=TYPE3)*(TYPE3&lt;&gt;"")+('Dvd Calendar'!$Z$1610=TYPE4)*(TYPE4&lt;&gt;"")+('Dvd Calendar'!$Z$1610=SPECIAL_LBL)*(INC_SPECIALS="Y"))=0,"",'Dvd Calendar'!$Z$1608)))</f>
        <v/>
      </c>
      <c r="Y164" s="161">
        <f>IF(FA164="","",IF(ISNUMBER('Dvd Calendar'!$AA$1608)=FALSE,"",IF((('Dvd Calendar'!$AA$1610=TYPE1)*(TYPE1&lt;&gt;"")+('Dvd Calendar'!$AA$1610=TYPE2)*(TYPE2&lt;&gt;"")+('Dvd Calendar'!$AA$1610=TYPE3)*(TYPE3&lt;&gt;"")+('Dvd Calendar'!$AA$1610=TYPE4)*(TYPE4&lt;&gt;"")+('Dvd Calendar'!$AA$1610=SPECIAL_LBL)*(INC_SPECIALS="Y"))=0,"",'Dvd Calendar'!$AA$1608)))</f>
        <v/>
      </c>
      <c r="Z164" s="161">
        <f>IF(FB164="","",IF(ISNUMBER('Dvd Calendar'!$AB$1608)=FALSE,"",IF((('Dvd Calendar'!$AB$1610=TYPE1)*(TYPE1&lt;&gt;"")+('Dvd Calendar'!$AB$1610=TYPE2)*(TYPE2&lt;&gt;"")+('Dvd Calendar'!$AB$1610=TYPE3)*(TYPE3&lt;&gt;"")+('Dvd Calendar'!$AB$1610=TYPE4)*(TYPE4&lt;&gt;"")+('Dvd Calendar'!$AB$1610=SPECIAL_LBL)*(INC_SPECIALS="Y"))=0,"",'Dvd Calendar'!$AB$1608)))</f>
        <v/>
      </c>
      <c r="AA164" s="161">
        <f>IF(FC164="","",IF(ISNUMBER('Dvd Calendar'!$AC$1608)=FALSE,"",IF((('Dvd Calendar'!$AC$1610=TYPE1)*(TYPE1&lt;&gt;"")+('Dvd Calendar'!$AC$1610=TYPE2)*(TYPE2&lt;&gt;"")+('Dvd Calendar'!$AC$1610=TYPE3)*(TYPE3&lt;&gt;"")+('Dvd Calendar'!$AC$1610=TYPE4)*(TYPE4&lt;&gt;"")+('Dvd Calendar'!$AC$1610=SPECIAL_LBL)*(INC_SPECIALS="Y"))=0,"",'Dvd Calendar'!$AC$1608)))</f>
        <v/>
      </c>
      <c r="AB164" s="161">
        <f>IF(FD164="","",IF(ISNUMBER('Dvd Calendar'!$AD$1608)=FALSE,"",IF((('Dvd Calendar'!$AD$1610=TYPE1)*(TYPE1&lt;&gt;"")+('Dvd Calendar'!$AD$1610=TYPE2)*(TYPE2&lt;&gt;"")+('Dvd Calendar'!$AD$1610=TYPE3)*(TYPE3&lt;&gt;"")+('Dvd Calendar'!$AD$1610=TYPE4)*(TYPE4&lt;&gt;"")+('Dvd Calendar'!$AD$1610=SPECIAL_LBL)*(INC_SPECIALS="Y"))=0,"",'Dvd Calendar'!$AD$1608)))</f>
        <v/>
      </c>
      <c r="AC164" s="161">
        <f>IF(FE164="","",IF(ISNUMBER('Dvd Calendar'!$AE$1608)=FALSE,"",IF((('Dvd Calendar'!$AE$1610=TYPE1)*(TYPE1&lt;&gt;"")+('Dvd Calendar'!$AE$1610=TYPE2)*(TYPE2&lt;&gt;"")+('Dvd Calendar'!$AE$1610=TYPE3)*(TYPE3&lt;&gt;"")+('Dvd Calendar'!$AE$1610=TYPE4)*(TYPE4&lt;&gt;"")+('Dvd Calendar'!$AE$1610=SPECIAL_LBL)*(INC_SPECIALS="Y"))=0,"",'Dvd Calendar'!$AE$1608)))</f>
        <v/>
      </c>
      <c r="AD164" s="161">
        <f>IF(FF164="","",IF(ISNUMBER('Dvd Calendar'!$AF$1608)=FALSE,"",IF((('Dvd Calendar'!$AF$1610=TYPE1)*(TYPE1&lt;&gt;"")+('Dvd Calendar'!$AF$1610=TYPE2)*(TYPE2&lt;&gt;"")+('Dvd Calendar'!$AF$1610=TYPE3)*(TYPE3&lt;&gt;"")+('Dvd Calendar'!$AF$1610=TYPE4)*(TYPE4&lt;&gt;"")+('Dvd Calendar'!$AF$1610=SPECIAL_LBL)*(INC_SPECIALS="Y"))=0,"",'Dvd Calendar'!$AF$1608)))</f>
        <v/>
      </c>
      <c r="AE164" s="161">
        <f>IF(FG164="","",IF(ISNUMBER('Dvd Calendar'!$AG$1608)=FALSE,"",IF((('Dvd Calendar'!$AG$1610=TYPE1)*(TYPE1&lt;&gt;"")+('Dvd Calendar'!$AG$1610=TYPE2)*(TYPE2&lt;&gt;"")+('Dvd Calendar'!$AG$1610=TYPE3)*(TYPE3&lt;&gt;"")+('Dvd Calendar'!$AG$1610=TYPE4)*(TYPE4&lt;&gt;"")+('Dvd Calendar'!$AG$1610=SPECIAL_LBL)*(INC_SPECIALS="Y"))=0,"",'Dvd Calendar'!$AG$1608)))</f>
        <v/>
      </c>
      <c r="AF164" s="161">
        <f>IF(FH164="","",IF(ISNUMBER('Dvd Calendar'!$AH$1608)=FALSE,"",IF((('Dvd Calendar'!$AH$1610=TYPE1)*(TYPE1&lt;&gt;"")+('Dvd Calendar'!$AH$1610=TYPE2)*(TYPE2&lt;&gt;"")+('Dvd Calendar'!$AH$1610=TYPE3)*(TYPE3&lt;&gt;"")+('Dvd Calendar'!$AH$1610=TYPE4)*(TYPE4&lt;&gt;"")+('Dvd Calendar'!$AH$1610=SPECIAL_LBL)*(INC_SPECIALS="Y"))=0,"",'Dvd Calendar'!$AH$1608)))</f>
        <v/>
      </c>
      <c r="AG164" s="161">
        <f>IF(FI164="","",IF(ISNUMBER('Dvd Calendar'!$AI$1608)=FALSE,"",IF((('Dvd Calendar'!$AI$1610=TYPE1)*(TYPE1&lt;&gt;"")+('Dvd Calendar'!$AI$1610=TYPE2)*(TYPE2&lt;&gt;"")+('Dvd Calendar'!$AI$1610=TYPE3)*(TYPE3&lt;&gt;"")+('Dvd Calendar'!$AI$1610=TYPE4)*(TYPE4&lt;&gt;"")+('Dvd Calendar'!$AI$1610=SPECIAL_LBL)*(INC_SPECIALS="Y"))=0,"",'Dvd Calendar'!$AI$1608)))</f>
        <v/>
      </c>
      <c r="AH164" s="161">
        <f>IF(FJ164="","",IF(ISNUMBER('Dvd Calendar'!$AJ$1608)=FALSE,"",IF((('Dvd Calendar'!$AJ$1610=TYPE1)*(TYPE1&lt;&gt;"")+('Dvd Calendar'!$AJ$1610=TYPE2)*(TYPE2&lt;&gt;"")+('Dvd Calendar'!$AJ$1610=TYPE3)*(TYPE3&lt;&gt;"")+('Dvd Calendar'!$AJ$1610=TYPE4)*(TYPE4&lt;&gt;"")+('Dvd Calendar'!$AJ$1610=SPECIAL_LBL)*(INC_SPECIALS="Y"))=0,"",'Dvd Calendar'!$AJ$1608)))</f>
        <v/>
      </c>
      <c r="AI164" s="161">
        <f>IF(FK164="","",IF(ISNUMBER('Dvd Calendar'!$AK$1608)=FALSE,"",IF((('Dvd Calendar'!$AK$1610=TYPE1)*(TYPE1&lt;&gt;"")+('Dvd Calendar'!$AK$1610=TYPE2)*(TYPE2&lt;&gt;"")+('Dvd Calendar'!$AK$1610=TYPE3)*(TYPE3&lt;&gt;"")+('Dvd Calendar'!$AK$1610=TYPE4)*(TYPE4&lt;&gt;"")+('Dvd Calendar'!$AK$1610=SPECIAL_LBL)*(INC_SPECIALS="Y"))=0,"",'Dvd Calendar'!$AK$1608)))</f>
        <v/>
      </c>
      <c r="AJ164" s="161">
        <f>IF(FL164="","",IF(ISNUMBER('Dvd Calendar'!$AL$1608)=FALSE,"",IF((('Dvd Calendar'!$AL$1610=TYPE1)*(TYPE1&lt;&gt;"")+('Dvd Calendar'!$AL$1610=TYPE2)*(TYPE2&lt;&gt;"")+('Dvd Calendar'!$AL$1610=TYPE3)*(TYPE3&lt;&gt;"")+('Dvd Calendar'!$AL$1610=TYPE4)*(TYPE4&lt;&gt;"")+('Dvd Calendar'!$AL$1610=SPECIAL_LBL)*(INC_SPECIALS="Y"))=0,"",'Dvd Calendar'!$AL$1608)))</f>
        <v/>
      </c>
      <c r="AK164" s="161">
        <f>IF(FM164="","",IF(ISNUMBER('Dvd Calendar'!$AM$1608)=FALSE,"",IF((('Dvd Calendar'!$AM$1610=TYPE1)*(TYPE1&lt;&gt;"")+('Dvd Calendar'!$AM$1610=TYPE2)*(TYPE2&lt;&gt;"")+('Dvd Calendar'!$AM$1610=TYPE3)*(TYPE3&lt;&gt;"")+('Dvd Calendar'!$AM$1610=TYPE4)*(TYPE4&lt;&gt;"")+('Dvd Calendar'!$AM$1610=SPECIAL_LBL)*(INC_SPECIALS="Y"))=0,"",'Dvd Calendar'!$AM$1608)))</f>
        <v/>
      </c>
      <c r="AL164" s="161">
        <f>IF(FN164="","",IF(ISNUMBER('Dvd Calendar'!$AN$1608)=FALSE,"",IF((('Dvd Calendar'!$AN$1610=TYPE1)*(TYPE1&lt;&gt;"")+('Dvd Calendar'!$AN$1610=TYPE2)*(TYPE2&lt;&gt;"")+('Dvd Calendar'!$AN$1610=TYPE3)*(TYPE3&lt;&gt;"")+('Dvd Calendar'!$AN$1610=TYPE4)*(TYPE4&lt;&gt;"")+('Dvd Calendar'!$AN$1610=SPECIAL_LBL)*(INC_SPECIALS="Y"))=0,"",'Dvd Calendar'!$AN$1608)))</f>
        <v/>
      </c>
      <c r="AM164" s="161">
        <f>IF(FO164="","",IF(ISNUMBER('Dvd Calendar'!$AO$1608)=FALSE,"",IF((('Dvd Calendar'!$AO$1610=TYPE1)*(TYPE1&lt;&gt;"")+('Dvd Calendar'!$AO$1610=TYPE2)*(TYPE2&lt;&gt;"")+('Dvd Calendar'!$AO$1610=TYPE3)*(TYPE3&lt;&gt;"")+('Dvd Calendar'!$AO$1610=TYPE4)*(TYPE4&lt;&gt;"")+('Dvd Calendar'!$AO$1610=SPECIAL_LBL)*(INC_SPECIALS="Y"))=0,"",'Dvd Calendar'!$AO$1608)))</f>
        <v/>
      </c>
      <c r="AN164" s="161">
        <f>IF(FP164="","",IF(ISNUMBER('Dvd Calendar'!$AP$1608)=FALSE,"",IF((('Dvd Calendar'!$AP$1610=TYPE1)*(TYPE1&lt;&gt;"")+('Dvd Calendar'!$AP$1610=TYPE2)*(TYPE2&lt;&gt;"")+('Dvd Calendar'!$AP$1610=TYPE3)*(TYPE3&lt;&gt;"")+('Dvd Calendar'!$AP$1610=TYPE4)*(TYPE4&lt;&gt;"")+('Dvd Calendar'!$AP$1610=SPECIAL_LBL)*(INC_SPECIALS="Y"))=0,"",'Dvd Calendar'!$AP$1608)))</f>
        <v/>
      </c>
      <c r="AO164" s="161">
        <f>IF(FQ164="","",IF(ISNUMBER('Dvd Calendar'!$AQ$1608)=FALSE,"",IF((('Dvd Calendar'!$AQ$1610=TYPE1)*(TYPE1&lt;&gt;"")+('Dvd Calendar'!$AQ$1610=TYPE2)*(TYPE2&lt;&gt;"")+('Dvd Calendar'!$AQ$1610=TYPE3)*(TYPE3&lt;&gt;"")+('Dvd Calendar'!$AQ$1610=TYPE4)*(TYPE4&lt;&gt;"")+('Dvd Calendar'!$AQ$1610=SPECIAL_LBL)*(INC_SPECIALS="Y"))=0,"",'Dvd Calendar'!$AQ$1608)))</f>
        <v/>
      </c>
      <c r="AP164" s="161">
        <f>IF(FR164="","",IF(ISNUMBER('Dvd Calendar'!$AR$1608)=FALSE,"",IF((('Dvd Calendar'!$AR$1610=TYPE1)*(TYPE1&lt;&gt;"")+('Dvd Calendar'!$AR$1610=TYPE2)*(TYPE2&lt;&gt;"")+('Dvd Calendar'!$AR$1610=TYPE3)*(TYPE3&lt;&gt;"")+('Dvd Calendar'!$AR$1610=TYPE4)*(TYPE4&lt;&gt;"")+('Dvd Calendar'!$AR$1610=SPECIAL_LBL)*(INC_SPECIALS="Y"))=0,"",'Dvd Calendar'!$AR$1608)))</f>
        <v/>
      </c>
      <c r="AQ164" s="161">
        <f>IF(FS164="","",IF(ISNUMBER('Dvd Calendar'!$E$1613)=FALSE,"",'Dvd Calendar'!$E$1613))</f>
        <v/>
      </c>
      <c r="AR164" s="161">
        <f>IF(FT164="","",IF(ISNUMBER('Dvd Calendar'!$F$1613)=FALSE,"",'Dvd Calendar'!$F$1613))</f>
        <v/>
      </c>
      <c r="AS164" s="161">
        <f>IF(FU164="","",IF(ISNUMBER('Dvd Calendar'!$G$1613)=FALSE,"",'Dvd Calendar'!$G$1613))</f>
        <v/>
      </c>
      <c r="AT164" s="161">
        <f>IF(FV164="","",IF(ISNUMBER('Dvd Calendar'!$H$1613)=FALSE,"",'Dvd Calendar'!$H$1613))</f>
        <v/>
      </c>
      <c r="AU164" s="161">
        <f>IF(FW164="","",IF(ISNUMBER('Dvd Calendar'!$I$1613)=FALSE,"",'Dvd Calendar'!$I$1613))</f>
        <v/>
      </c>
      <c r="AV164" s="161">
        <f>IF(FX164="","",IF(ISNUMBER('Dvd Calendar'!$J$1613)=FALSE,"",'Dvd Calendar'!$J$1613))</f>
        <v/>
      </c>
      <c r="AW164" s="161">
        <f>IF(FY164="","",IF(ISNUMBER('Dvd Calendar'!$K$1613)=FALSE,"",'Dvd Calendar'!$K$1613))</f>
        <v/>
      </c>
      <c r="AX164" s="161">
        <f>IF(FZ164="","",IF(ISNUMBER('Dvd Calendar'!$L$1613)=FALSE,"",'Dvd Calendar'!$L$1613))</f>
        <v/>
      </c>
      <c r="AY164" s="161">
        <f>IF(GA164="","",IF(ISNUMBER('Dvd Calendar'!$M$1613)=FALSE,"",'Dvd Calendar'!$M$1613))</f>
        <v/>
      </c>
      <c r="AZ164" s="161">
        <f>IF(GB164="","",IF(ISNUMBER('Dvd Calendar'!$N$1613)=FALSE,"",'Dvd Calendar'!$N$1613))</f>
        <v/>
      </c>
      <c r="BA164" s="161">
        <f>IF(GC164="","",IF(ISNUMBER('Dvd Calendar'!$O$1613)=FALSE,"",'Dvd Calendar'!$O$1613))</f>
        <v/>
      </c>
      <c r="BB164" s="161">
        <f>IF(GD164="","",IF(ISNUMBER('Dvd Calendar'!$P$1613)=FALSE,"",'Dvd Calendar'!$P$1613))</f>
        <v/>
      </c>
      <c r="BC164" s="161">
        <f>IF(GE164="","",IF(ISNUMBER('Dvd Calendar'!$Q$1613)=FALSE,"",'Dvd Calendar'!$Q$1613))</f>
        <v/>
      </c>
      <c r="BD164" s="161">
        <f>IF(GF164="","",IF(ISNUMBER('Dvd Calendar'!$R$1613)=FALSE,"",'Dvd Calendar'!$R$1613))</f>
        <v/>
      </c>
      <c r="BE164" s="161">
        <f>IF(GG164="","",IF(ISNUMBER('Dvd Calendar'!$S$1613)=FALSE,"",'Dvd Calendar'!$S$1613))</f>
        <v/>
      </c>
      <c r="BF164" s="161">
        <f>IF(GH164="","",IF(ISNUMBER('Dvd Calendar'!$T$1613)=FALSE,"",'Dvd Calendar'!$T$1613))</f>
        <v/>
      </c>
      <c r="BG164" s="161">
        <f>IF(GI164="","",IF(ISNUMBER('Dvd Calendar'!$U$1613)=FALSE,"",'Dvd Calendar'!$U$1613))</f>
        <v/>
      </c>
      <c r="BH164" s="161">
        <f>IF(GJ164="","",IF(ISNUMBER('Dvd Calendar'!$V$1613)=FALSE,"",'Dvd Calendar'!$V$1613))</f>
        <v/>
      </c>
      <c r="BI164" s="161">
        <f>IF(GK164="","",IF(ISNUMBER('Dvd Calendar'!$W$1613)=FALSE,"",'Dvd Calendar'!$W$1613))</f>
        <v/>
      </c>
      <c r="BJ164" s="161">
        <f>IF(GL164="","",IF(ISNUMBER('Dvd Calendar'!$X$1613)=FALSE,"",'Dvd Calendar'!$X$1613))</f>
        <v/>
      </c>
      <c r="BK164" s="161">
        <f>IF(GM164="","",IF(ISNUMBER('Dvd Calendar'!$Y$1613)=FALSE,"",'Dvd Calendar'!$Y$1613))</f>
        <v/>
      </c>
      <c r="BL164" s="161">
        <f>IF(GN164="","",IF(ISNUMBER('Dvd Calendar'!$Z$1613)=FALSE,"",'Dvd Calendar'!$Z$1613))</f>
        <v/>
      </c>
      <c r="BM164" s="161">
        <f>IF(GO164="","",IF(ISNUMBER('Dvd Calendar'!$AA$1613)=FALSE,"",'Dvd Calendar'!$AA$1613))</f>
        <v/>
      </c>
      <c r="BN164" s="161">
        <f>IF(GP164="","",IF(ISNUMBER('Dvd Calendar'!$AB$1613)=FALSE,"",'Dvd Calendar'!$AB$1613))</f>
        <v/>
      </c>
      <c r="BO164" s="161">
        <f>IF(GQ164="","",IF(ISNUMBER('Dvd Calendar'!$AC$1613)=FALSE,"",'Dvd Calendar'!$AC$1613))</f>
        <v/>
      </c>
      <c r="BQ164" s="161">
        <f>IF(C164="","",IFERROR(C164*HSCEI!$B$11*HSCEI!$G$11/HSCEI!$B$3,""))</f>
        <v/>
      </c>
      <c r="BR164" s="161">
        <f>IF(D164="","",IFERROR(D164*HSCEI!$B$11*HSCEI!$G$11/HSCEI!$B$3,""))</f>
        <v/>
      </c>
      <c r="BS164" s="161">
        <f>IF(E164="","",IFERROR(E164*HSCEI!$B$11*HSCEI!$G$11/HSCEI!$B$3,""))</f>
        <v/>
      </c>
      <c r="BT164" s="161">
        <f>IF(F164="","",IFERROR(F164*HSCEI!$B$11*HSCEI!$G$11/HSCEI!$B$3,""))</f>
        <v/>
      </c>
      <c r="BU164" s="161">
        <f>IF(G164="","",IFERROR(G164*HSCEI!$B$11*HSCEI!$G$11/HSCEI!$B$3,""))</f>
        <v/>
      </c>
      <c r="BV164" s="161">
        <f>IF(H164="","",IFERROR(H164*HSCEI!$B$11*HSCEI!$G$11/HSCEI!$B$3,""))</f>
        <v/>
      </c>
      <c r="BW164" s="161">
        <f>IF(I164="","",IFERROR(I164*HSCEI!$B$11*HSCEI!$G$11/HSCEI!$B$3,""))</f>
        <v/>
      </c>
      <c r="BX164" s="161">
        <f>IF(J164="","",IFERROR(J164*HSCEI!$B$11*HSCEI!$G$11/HSCEI!$B$3,""))</f>
        <v/>
      </c>
      <c r="BY164" s="161">
        <f>IF(K164="","",IFERROR(K164*HSCEI!$B$11*HSCEI!$G$11/HSCEI!$B$3,""))</f>
        <v/>
      </c>
      <c r="BZ164" s="161">
        <f>IF(L164="","",IFERROR(L164*HSCEI!$B$11*HSCEI!$G$11/HSCEI!$B$3,""))</f>
        <v/>
      </c>
      <c r="CA164" s="161">
        <f>IF(M164="","",IFERROR(M164*HSCEI!$B$11*HSCEI!$G$11/HSCEI!$B$3,""))</f>
        <v/>
      </c>
      <c r="CB164" s="161">
        <f>IF(N164="","",IFERROR(N164*HSCEI!$B$11*HSCEI!$G$11/HSCEI!$B$3,""))</f>
        <v/>
      </c>
      <c r="CC164" s="161">
        <f>IF(O164="","",IFERROR(O164*HSCEI!$B$11*HSCEI!$G$11/HSCEI!$B$3,""))</f>
        <v/>
      </c>
      <c r="CD164" s="161">
        <f>IF(P164="","",IFERROR(P164*HSCEI!$B$11*HSCEI!$G$11/HSCEI!$B$3,""))</f>
        <v/>
      </c>
      <c r="CE164" s="161">
        <f>IF(Q164="","",IFERROR(Q164*HSCEI!$B$11*HSCEI!$G$11/HSCEI!$B$3,""))</f>
        <v/>
      </c>
      <c r="CF164" s="161">
        <f>IF(R164="","",IFERROR(R164*HSCEI!$B$11*HSCEI!$G$11/HSCEI!$B$3,""))</f>
        <v/>
      </c>
      <c r="CG164" s="161">
        <f>IF(S164="","",IFERROR(S164*HSCEI!$B$11*HSCEI!$G$11/HSCEI!$B$3,""))</f>
        <v/>
      </c>
      <c r="CH164" s="161">
        <f>IF(T164="","",IFERROR(T164*HSCEI!$B$11*HSCEI!$G$11/HSCEI!$B$3,""))</f>
        <v/>
      </c>
      <c r="CI164" s="161">
        <f>IF(U164="","",IFERROR(U164*HSCEI!$B$11*HSCEI!$G$11/HSCEI!$B$3,""))</f>
        <v/>
      </c>
      <c r="CJ164" s="161">
        <f>IF(V164="","",IFERROR(V164*HSCEI!$B$11*HSCEI!$G$11/HSCEI!$B$3,""))</f>
        <v/>
      </c>
      <c r="CK164" s="161">
        <f>IF(W164="","",IFERROR(W164*HSCEI!$B$11*HSCEI!$G$11/HSCEI!$B$3,""))</f>
        <v/>
      </c>
      <c r="CL164" s="161">
        <f>IF(X164="","",IFERROR(X164*HSCEI!$B$11*HSCEI!$G$11/HSCEI!$B$3,""))</f>
        <v/>
      </c>
      <c r="CM164" s="161">
        <f>IF(Y164="","",IFERROR(Y164*HSCEI!$B$11*HSCEI!$G$11/HSCEI!$B$3,""))</f>
        <v/>
      </c>
      <c r="CN164" s="161">
        <f>IF(Z164="","",IFERROR(Z164*HSCEI!$B$11*HSCEI!$G$11/HSCEI!$B$3,""))</f>
        <v/>
      </c>
      <c r="CO164" s="161">
        <f>IF(AA164="","",IFERROR(AA164*HSCEI!$B$11*HSCEI!$G$11/HSCEI!$B$3,""))</f>
        <v/>
      </c>
      <c r="CP164" s="161">
        <f>IF(AB164="","",IFERROR(AB164*HSCEI!$B$11*HSCEI!$G$11/HSCEI!$B$3,""))</f>
        <v/>
      </c>
      <c r="CQ164" s="161">
        <f>IF(AC164="","",IFERROR(AC164*HSCEI!$B$11*HSCEI!$G$11/HSCEI!$B$3,""))</f>
        <v/>
      </c>
      <c r="CR164" s="161">
        <f>IF(AD164="","",IFERROR(AD164*HSCEI!$B$11*HSCEI!$G$11/HSCEI!$B$3,""))</f>
        <v/>
      </c>
      <c r="CS164" s="161">
        <f>IF(AE164="","",IFERROR(AE164*HSCEI!$B$11*HSCEI!$G$11/HSCEI!$B$3,""))</f>
        <v/>
      </c>
      <c r="CT164" s="161">
        <f>IF(AF164="","",IFERROR(AF164*HSCEI!$B$11*HSCEI!$G$11/HSCEI!$B$3,""))</f>
        <v/>
      </c>
      <c r="CU164" s="161">
        <f>IF(AG164="","",IFERROR(AG164*HSCEI!$B$11*HSCEI!$G$11/HSCEI!$B$3,""))</f>
        <v/>
      </c>
      <c r="CV164" s="161">
        <f>IF(AH164="","",IFERROR(AH164*HSCEI!$B$11*HSCEI!$G$11/HSCEI!$B$3,""))</f>
        <v/>
      </c>
      <c r="CW164" s="161">
        <f>IF(AI164="","",IFERROR(AI164*HSCEI!$B$11*HSCEI!$G$11/HSCEI!$B$3,""))</f>
        <v/>
      </c>
      <c r="CX164" s="161">
        <f>IF(AJ164="","",IFERROR(AJ164*HSCEI!$B$11*HSCEI!$G$11/HSCEI!$B$3,""))</f>
        <v/>
      </c>
      <c r="CY164" s="161">
        <f>IF(AK164="","",IFERROR(AK164*HSCEI!$B$11*HSCEI!$G$11/HSCEI!$B$3,""))</f>
        <v/>
      </c>
      <c r="CZ164" s="161">
        <f>IF(AL164="","",IFERROR(AL164*HSCEI!$B$11*HSCEI!$G$11/HSCEI!$B$3,""))</f>
        <v/>
      </c>
      <c r="DA164" s="161">
        <f>IF(AM164="","",IFERROR(AM164*HSCEI!$B$11*HSCEI!$G$11/HSCEI!$B$3,""))</f>
        <v/>
      </c>
      <c r="DB164" s="161">
        <f>IF(AN164="","",IFERROR(AN164*HSCEI!$B$11*HSCEI!$G$11/HSCEI!$B$3,""))</f>
        <v/>
      </c>
      <c r="DC164" s="161">
        <f>IF(AO164="","",IFERROR(AO164*HSCEI!$B$11*HSCEI!$G$11/HSCEI!$B$3,""))</f>
        <v/>
      </c>
      <c r="DD164" s="161">
        <f>IF(AP164="","",IFERROR(AP164*HSCEI!$B$11*HSCEI!$G$11/HSCEI!$B$3,""))</f>
        <v/>
      </c>
      <c r="DE164" s="161">
        <f>IF(AQ164="","",IFERROR(AQ164*HSCEI!$B$11*HSCEI!$G$11/HSCEI!$B$3,""))</f>
        <v/>
      </c>
      <c r="DF164" s="161">
        <f>IF(AR164="","",IFERROR(AR164*HSCEI!$B$11*HSCEI!$G$11/HSCEI!$B$3,""))</f>
        <v/>
      </c>
      <c r="DG164" s="161">
        <f>IF(AS164="","",IFERROR(AS164*HSCEI!$B$11*HSCEI!$G$11/HSCEI!$B$3,""))</f>
        <v/>
      </c>
      <c r="DH164" s="161">
        <f>IF(AT164="","",IFERROR(AT164*HSCEI!$B$11*HSCEI!$G$11/HSCEI!$B$3,""))</f>
        <v/>
      </c>
      <c r="DI164" s="161">
        <f>IF(AU164="","",IFERROR(AU164*HSCEI!$B$11*HSCEI!$G$11/HSCEI!$B$3,""))</f>
        <v/>
      </c>
      <c r="DJ164" s="161">
        <f>IF(AV164="","",IFERROR(AV164*HSCEI!$B$11*HSCEI!$G$11/HSCEI!$B$3,""))</f>
        <v/>
      </c>
      <c r="DK164" s="161">
        <f>IF(AW164="","",IFERROR(AW164*HSCEI!$B$11*HSCEI!$G$11/HSCEI!$B$3,""))</f>
        <v/>
      </c>
      <c r="DL164" s="161">
        <f>IF(AX164="","",IFERROR(AX164*HSCEI!$B$11*HSCEI!$G$11/HSCEI!$B$3,""))</f>
        <v/>
      </c>
      <c r="DM164" s="161">
        <f>IF(AY164="","",IFERROR(AY164*HSCEI!$B$11*HSCEI!$G$11/HSCEI!$B$3,""))</f>
        <v/>
      </c>
      <c r="DN164" s="161">
        <f>IF(AZ164="","",IFERROR(AZ164*HSCEI!$B$11*HSCEI!$G$11/HSCEI!$B$3,""))</f>
        <v/>
      </c>
      <c r="DO164" s="161">
        <f>IF(BA164="","",IFERROR(BA164*HSCEI!$B$11*HSCEI!$G$11/HSCEI!$B$3,""))</f>
        <v/>
      </c>
      <c r="DP164" s="161">
        <f>IF(BB164="","",IFERROR(BB164*HSCEI!$B$11*HSCEI!$G$11/HSCEI!$B$3,""))</f>
        <v/>
      </c>
      <c r="DQ164" s="161">
        <f>IF(BC164="","",IFERROR(BC164*HSCEI!$B$11*HSCEI!$G$11/HSCEI!$B$3,""))</f>
        <v/>
      </c>
      <c r="DR164" s="161">
        <f>IF(BD164="","",IFERROR(BD164*HSCEI!$B$11*HSCEI!$G$11/HSCEI!$B$3,""))</f>
        <v/>
      </c>
      <c r="DS164" s="161">
        <f>IF(BE164="","",IFERROR(BE164*HSCEI!$B$11*HSCEI!$G$11/HSCEI!$B$3,""))</f>
        <v/>
      </c>
      <c r="DT164" s="161">
        <f>IF(BF164="","",IFERROR(BF164*HSCEI!$B$11*HSCEI!$G$11/HSCEI!$B$3,""))</f>
        <v/>
      </c>
      <c r="DU164" s="161">
        <f>IF(BG164="","",IFERROR(BG164*HSCEI!$B$11*HSCEI!$G$11/HSCEI!$B$3,""))</f>
        <v/>
      </c>
      <c r="DV164" s="161">
        <f>IF(BH164="","",IFERROR(BH164*HSCEI!$B$11*HSCEI!$G$11/HSCEI!$B$3,""))</f>
        <v/>
      </c>
      <c r="DW164" s="161">
        <f>IF(BI164="","",IFERROR(BI164*HSCEI!$B$11*HSCEI!$G$11/HSCEI!$B$3,""))</f>
        <v/>
      </c>
      <c r="DX164" s="161">
        <f>IF(BJ164="","",IFERROR(BJ164*HSCEI!$B$11*HSCEI!$G$11/HSCEI!$B$3,""))</f>
        <v/>
      </c>
      <c r="DY164" s="161">
        <f>IF(BK164="","",IFERROR(BK164*HSCEI!$B$11*HSCEI!$G$11/HSCEI!$B$3,""))</f>
        <v/>
      </c>
      <c r="DZ164" s="161">
        <f>IF(BL164="","",IFERROR(BL164*HSCEI!$B$11*HSCEI!$G$11/HSCEI!$B$3,""))</f>
        <v/>
      </c>
      <c r="EA164" s="161">
        <f>IF(BM164="","",IFERROR(BM164*HSCEI!$B$11*HSCEI!$G$11/HSCEI!$B$3,""))</f>
        <v/>
      </c>
      <c r="EB164" s="161">
        <f>IF(BN164="","",IFERROR(BN164*HSCEI!$B$11*HSCEI!$G$11/HSCEI!$B$3,""))</f>
        <v/>
      </c>
      <c r="EC164" s="161">
        <f>IF(BO164="","",IFERROR(BO164*HSCEI!$B$11*HSCEI!$G$11/HSCEI!$B$3,""))</f>
        <v/>
      </c>
      <c r="EE164" s="121">
        <f>IF(N('Dvd Calendar'!$E$1605)=0,"",IF(('Dvd Calendar'!$E$1605&gt;=GRID_FROM)*('Dvd Calendar'!$E$1605&lt;=GRID_TO)*((('Dvd Calendar'!$E$1605&lt;=VAL_DATE)+(COUNTIF('Dvd Calendar'!$E$1612:$AR$1612,'Dvd Calendar'!$E$1605)=0))&gt;0)=0,"",'Dvd Calendar'!$E$1605*1000000000+ISNUMBER('Dvd Calendar'!$E$1608)*100000000+('Dvd Calendar'!$E$1610=SPECIAL_LBL)*10000000+(N('Dvd Calendar'!$E$1604)&gt;0)*(N('Dvd Calendar'!$E$1604)&lt;=VAL_SERIAL)*1000000+5*1000+1))</f>
        <v/>
      </c>
      <c r="EF164" s="121">
        <f>IF(N('Dvd Calendar'!$F$1605)=0,"",IF(('Dvd Calendar'!$F$1605&gt;=GRID_FROM)*('Dvd Calendar'!$F$1605&lt;=GRID_TO)*((('Dvd Calendar'!$F$1605&lt;=VAL_DATE)+(COUNTIF('Dvd Calendar'!$E$1612:$AR$1612,'Dvd Calendar'!$F$1605)=0))&gt;0)=0,"",'Dvd Calendar'!$F$1605*1000000000+ISNUMBER('Dvd Calendar'!$F$1608)*100000000+('Dvd Calendar'!$F$1610=SPECIAL_LBL)*10000000+(N('Dvd Calendar'!$F$1604)&gt;0)*(N('Dvd Calendar'!$F$1604)&lt;=VAL_SERIAL)*1000000+5*1000+2))</f>
        <v/>
      </c>
      <c r="EG164" s="121">
        <f>IF(N('Dvd Calendar'!$G$1605)=0,"",IF(('Dvd Calendar'!$G$1605&gt;=GRID_FROM)*('Dvd Calendar'!$G$1605&lt;=GRID_TO)*((('Dvd Calendar'!$G$1605&lt;=VAL_DATE)+(COUNTIF('Dvd Calendar'!$E$1612:$AR$1612,'Dvd Calendar'!$G$1605)=0))&gt;0)=0,"",'Dvd Calendar'!$G$1605*1000000000+ISNUMBER('Dvd Calendar'!$G$1608)*100000000+('Dvd Calendar'!$G$1610=SPECIAL_LBL)*10000000+(N('Dvd Calendar'!$G$1604)&gt;0)*(N('Dvd Calendar'!$G$1604)&lt;=VAL_SERIAL)*1000000+5*1000+3))</f>
        <v/>
      </c>
      <c r="EH164" s="121">
        <f>IF(N('Dvd Calendar'!$H$1605)=0,"",IF(('Dvd Calendar'!$H$1605&gt;=GRID_FROM)*('Dvd Calendar'!$H$1605&lt;=GRID_TO)*((('Dvd Calendar'!$H$1605&lt;=VAL_DATE)+(COUNTIF('Dvd Calendar'!$E$1612:$AR$1612,'Dvd Calendar'!$H$1605)=0))&gt;0)=0,"",'Dvd Calendar'!$H$1605*1000000000+ISNUMBER('Dvd Calendar'!$H$1608)*100000000+('Dvd Calendar'!$H$1610=SPECIAL_LBL)*10000000+(N('Dvd Calendar'!$H$1604)&gt;0)*(N('Dvd Calendar'!$H$1604)&lt;=VAL_SERIAL)*1000000+5*1000+4))</f>
        <v/>
      </c>
      <c r="EI164" s="121">
        <f>IF(N('Dvd Calendar'!$I$1605)=0,"",IF(('Dvd Calendar'!$I$1605&gt;=GRID_FROM)*('Dvd Calendar'!$I$1605&lt;=GRID_TO)*((('Dvd Calendar'!$I$1605&lt;=VAL_DATE)+(COUNTIF('Dvd Calendar'!$E$1612:$AR$1612,'Dvd Calendar'!$I$1605)=0))&gt;0)=0,"",'Dvd Calendar'!$I$1605*1000000000+ISNUMBER('Dvd Calendar'!$I$1608)*100000000+('Dvd Calendar'!$I$1610=SPECIAL_LBL)*10000000+(N('Dvd Calendar'!$I$1604)&gt;0)*(N('Dvd Calendar'!$I$1604)&lt;=VAL_SERIAL)*1000000+5*1000+5))</f>
        <v/>
      </c>
      <c r="EJ164" s="121">
        <f>IF(N('Dvd Calendar'!$J$1605)=0,"",IF(('Dvd Calendar'!$J$1605&gt;=GRID_FROM)*('Dvd Calendar'!$J$1605&lt;=GRID_TO)*((('Dvd Calendar'!$J$1605&lt;=VAL_DATE)+(COUNTIF('Dvd Calendar'!$E$1612:$AR$1612,'Dvd Calendar'!$J$1605)=0))&gt;0)=0,"",'Dvd Calendar'!$J$1605*1000000000+ISNUMBER('Dvd Calendar'!$J$1608)*100000000+('Dvd Calendar'!$J$1610=SPECIAL_LBL)*10000000+(N('Dvd Calendar'!$J$1604)&gt;0)*(N('Dvd Calendar'!$J$1604)&lt;=VAL_SERIAL)*1000000+5*1000+6))</f>
        <v/>
      </c>
      <c r="EK164" s="121">
        <f>IF(N('Dvd Calendar'!$K$1605)=0,"",IF(('Dvd Calendar'!$K$1605&gt;=GRID_FROM)*('Dvd Calendar'!$K$1605&lt;=GRID_TO)*((('Dvd Calendar'!$K$1605&lt;=VAL_DATE)+(COUNTIF('Dvd Calendar'!$E$1612:$AR$1612,'Dvd Calendar'!$K$1605)=0))&gt;0)=0,"",'Dvd Calendar'!$K$1605*1000000000+ISNUMBER('Dvd Calendar'!$K$1608)*100000000+('Dvd Calendar'!$K$1610=SPECIAL_LBL)*10000000+(N('Dvd Calendar'!$K$1604)&gt;0)*(N('Dvd Calendar'!$K$1604)&lt;=VAL_SERIAL)*1000000+5*1000+7))</f>
        <v/>
      </c>
      <c r="EL164" s="121">
        <f>IF(N('Dvd Calendar'!$L$1605)=0,"",IF(('Dvd Calendar'!$L$1605&gt;=GRID_FROM)*('Dvd Calendar'!$L$1605&lt;=GRID_TO)*((('Dvd Calendar'!$L$1605&lt;=VAL_DATE)+(COUNTIF('Dvd Calendar'!$E$1612:$AR$1612,'Dvd Calendar'!$L$1605)=0))&gt;0)=0,"",'Dvd Calendar'!$L$1605*1000000000+ISNUMBER('Dvd Calendar'!$L$1608)*100000000+('Dvd Calendar'!$L$1610=SPECIAL_LBL)*10000000+(N('Dvd Calendar'!$L$1604)&gt;0)*(N('Dvd Calendar'!$L$1604)&lt;=VAL_SERIAL)*1000000+5*1000+8))</f>
        <v/>
      </c>
      <c r="EM164" s="121">
        <f>IF(N('Dvd Calendar'!$M$1605)=0,"",IF(('Dvd Calendar'!$M$1605&gt;=GRID_FROM)*('Dvd Calendar'!$M$1605&lt;=GRID_TO)*((('Dvd Calendar'!$M$1605&lt;=VAL_DATE)+(COUNTIF('Dvd Calendar'!$E$1612:$AR$1612,'Dvd Calendar'!$M$1605)=0))&gt;0)=0,"",'Dvd Calendar'!$M$1605*1000000000+ISNUMBER('Dvd Calendar'!$M$1608)*100000000+('Dvd Calendar'!$M$1610=SPECIAL_LBL)*10000000+(N('Dvd Calendar'!$M$1604)&gt;0)*(N('Dvd Calendar'!$M$1604)&lt;=VAL_SERIAL)*1000000+5*1000+9))</f>
        <v/>
      </c>
      <c r="EN164" s="121">
        <f>IF(N('Dvd Calendar'!$N$1605)=0,"",IF(('Dvd Calendar'!$N$1605&gt;=GRID_FROM)*('Dvd Calendar'!$N$1605&lt;=GRID_TO)*((('Dvd Calendar'!$N$1605&lt;=VAL_DATE)+(COUNTIF('Dvd Calendar'!$E$1612:$AR$1612,'Dvd Calendar'!$N$1605)=0))&gt;0)=0,"",'Dvd Calendar'!$N$1605*1000000000+ISNUMBER('Dvd Calendar'!$N$1608)*100000000+('Dvd Calendar'!$N$1610=SPECIAL_LBL)*10000000+(N('Dvd Calendar'!$N$1604)&gt;0)*(N('Dvd Calendar'!$N$1604)&lt;=VAL_SERIAL)*1000000+5*1000+10))</f>
        <v/>
      </c>
      <c r="EO164" s="121">
        <f>IF(N('Dvd Calendar'!$O$1605)=0,"",IF(('Dvd Calendar'!$O$1605&gt;=GRID_FROM)*('Dvd Calendar'!$O$1605&lt;=GRID_TO)*((('Dvd Calendar'!$O$1605&lt;=VAL_DATE)+(COUNTIF('Dvd Calendar'!$E$1612:$AR$1612,'Dvd Calendar'!$O$1605)=0))&gt;0)=0,"",'Dvd Calendar'!$O$1605*1000000000+ISNUMBER('Dvd Calendar'!$O$1608)*100000000+('Dvd Calendar'!$O$1610=SPECIAL_LBL)*10000000+(N('Dvd Calendar'!$O$1604)&gt;0)*(N('Dvd Calendar'!$O$1604)&lt;=VAL_SERIAL)*1000000+5*1000+11))</f>
        <v/>
      </c>
      <c r="EP164" s="121">
        <f>IF(N('Dvd Calendar'!$P$1605)=0,"",IF(('Dvd Calendar'!$P$1605&gt;=GRID_FROM)*('Dvd Calendar'!$P$1605&lt;=GRID_TO)*((('Dvd Calendar'!$P$1605&lt;=VAL_DATE)+(COUNTIF('Dvd Calendar'!$E$1612:$AR$1612,'Dvd Calendar'!$P$1605)=0))&gt;0)=0,"",'Dvd Calendar'!$P$1605*1000000000+ISNUMBER('Dvd Calendar'!$P$1608)*100000000+('Dvd Calendar'!$P$1610=SPECIAL_LBL)*10000000+(N('Dvd Calendar'!$P$1604)&gt;0)*(N('Dvd Calendar'!$P$1604)&lt;=VAL_SERIAL)*1000000+5*1000+12))</f>
        <v/>
      </c>
      <c r="EQ164" s="121">
        <f>IF(N('Dvd Calendar'!$Q$1605)=0,"",IF(('Dvd Calendar'!$Q$1605&gt;=GRID_FROM)*('Dvd Calendar'!$Q$1605&lt;=GRID_TO)*((('Dvd Calendar'!$Q$1605&lt;=VAL_DATE)+(COUNTIF('Dvd Calendar'!$E$1612:$AR$1612,'Dvd Calendar'!$Q$1605)=0))&gt;0)=0,"",'Dvd Calendar'!$Q$1605*1000000000+ISNUMBER('Dvd Calendar'!$Q$1608)*100000000+('Dvd Calendar'!$Q$1610=SPECIAL_LBL)*10000000+(N('Dvd Calendar'!$Q$1604)&gt;0)*(N('Dvd Calendar'!$Q$1604)&lt;=VAL_SERIAL)*1000000+5*1000+13))</f>
        <v/>
      </c>
      <c r="ER164" s="121">
        <f>IF(N('Dvd Calendar'!$R$1605)=0,"",IF(('Dvd Calendar'!$R$1605&gt;=GRID_FROM)*('Dvd Calendar'!$R$1605&lt;=GRID_TO)*((('Dvd Calendar'!$R$1605&lt;=VAL_DATE)+(COUNTIF('Dvd Calendar'!$E$1612:$AR$1612,'Dvd Calendar'!$R$1605)=0))&gt;0)=0,"",'Dvd Calendar'!$R$1605*1000000000+ISNUMBER('Dvd Calendar'!$R$1608)*100000000+('Dvd Calendar'!$R$1610=SPECIAL_LBL)*10000000+(N('Dvd Calendar'!$R$1604)&gt;0)*(N('Dvd Calendar'!$R$1604)&lt;=VAL_SERIAL)*1000000+5*1000+14))</f>
        <v/>
      </c>
      <c r="ES164" s="121">
        <f>IF(N('Dvd Calendar'!$S$1605)=0,"",IF(('Dvd Calendar'!$S$1605&gt;=GRID_FROM)*('Dvd Calendar'!$S$1605&lt;=GRID_TO)*((('Dvd Calendar'!$S$1605&lt;=VAL_DATE)+(COUNTIF('Dvd Calendar'!$E$1612:$AR$1612,'Dvd Calendar'!$S$1605)=0))&gt;0)=0,"",'Dvd Calendar'!$S$1605*1000000000+ISNUMBER('Dvd Calendar'!$S$1608)*100000000+('Dvd Calendar'!$S$1610=SPECIAL_LBL)*10000000+(N('Dvd Calendar'!$S$1604)&gt;0)*(N('Dvd Calendar'!$S$1604)&lt;=VAL_SERIAL)*1000000+5*1000+15))</f>
        <v/>
      </c>
      <c r="ET164" s="121">
        <f>IF(N('Dvd Calendar'!$T$1605)=0,"",IF(('Dvd Calendar'!$T$1605&gt;=GRID_FROM)*('Dvd Calendar'!$T$1605&lt;=GRID_TO)*((('Dvd Calendar'!$T$1605&lt;=VAL_DATE)+(COUNTIF('Dvd Calendar'!$E$1612:$AR$1612,'Dvd Calendar'!$T$1605)=0))&gt;0)=0,"",'Dvd Calendar'!$T$1605*1000000000+ISNUMBER('Dvd Calendar'!$T$1608)*100000000+('Dvd Calendar'!$T$1610=SPECIAL_LBL)*10000000+(N('Dvd Calendar'!$T$1604)&gt;0)*(N('Dvd Calendar'!$T$1604)&lt;=VAL_SERIAL)*1000000+5*1000+16))</f>
        <v/>
      </c>
      <c r="EU164" s="121">
        <f>IF(N('Dvd Calendar'!$U$1605)=0,"",IF(('Dvd Calendar'!$U$1605&gt;=GRID_FROM)*('Dvd Calendar'!$U$1605&lt;=GRID_TO)*((('Dvd Calendar'!$U$1605&lt;=VAL_DATE)+(COUNTIF('Dvd Calendar'!$E$1612:$AR$1612,'Dvd Calendar'!$U$1605)=0))&gt;0)=0,"",'Dvd Calendar'!$U$1605*1000000000+ISNUMBER('Dvd Calendar'!$U$1608)*100000000+('Dvd Calendar'!$U$1610=SPECIAL_LBL)*10000000+(N('Dvd Calendar'!$U$1604)&gt;0)*(N('Dvd Calendar'!$U$1604)&lt;=VAL_SERIAL)*1000000+5*1000+17))</f>
        <v/>
      </c>
      <c r="EV164" s="121">
        <f>IF(N('Dvd Calendar'!$V$1605)=0,"",IF(('Dvd Calendar'!$V$1605&gt;=GRID_FROM)*('Dvd Calendar'!$V$1605&lt;=GRID_TO)*((('Dvd Calendar'!$V$1605&lt;=VAL_DATE)+(COUNTIF('Dvd Calendar'!$E$1612:$AR$1612,'Dvd Calendar'!$V$1605)=0))&gt;0)=0,"",'Dvd Calendar'!$V$1605*1000000000+ISNUMBER('Dvd Calendar'!$V$1608)*100000000+('Dvd Calendar'!$V$1610=SPECIAL_LBL)*10000000+(N('Dvd Calendar'!$V$1604)&gt;0)*(N('Dvd Calendar'!$V$1604)&lt;=VAL_SERIAL)*1000000+5*1000+18))</f>
        <v/>
      </c>
      <c r="EW164" s="121">
        <f>IF(N('Dvd Calendar'!$W$1605)=0,"",IF(('Dvd Calendar'!$W$1605&gt;=GRID_FROM)*('Dvd Calendar'!$W$1605&lt;=GRID_TO)*((('Dvd Calendar'!$W$1605&lt;=VAL_DATE)+(COUNTIF('Dvd Calendar'!$E$1612:$AR$1612,'Dvd Calendar'!$W$1605)=0))&gt;0)=0,"",'Dvd Calendar'!$W$1605*1000000000+ISNUMBER('Dvd Calendar'!$W$1608)*100000000+('Dvd Calendar'!$W$1610=SPECIAL_LBL)*10000000+(N('Dvd Calendar'!$W$1604)&gt;0)*(N('Dvd Calendar'!$W$1604)&lt;=VAL_SERIAL)*1000000+5*1000+19))</f>
        <v/>
      </c>
      <c r="EX164" s="121">
        <f>IF(N('Dvd Calendar'!$X$1605)=0,"",IF(('Dvd Calendar'!$X$1605&gt;=GRID_FROM)*('Dvd Calendar'!$X$1605&lt;=GRID_TO)*((('Dvd Calendar'!$X$1605&lt;=VAL_DATE)+(COUNTIF('Dvd Calendar'!$E$1612:$AR$1612,'Dvd Calendar'!$X$1605)=0))&gt;0)=0,"",'Dvd Calendar'!$X$1605*1000000000+ISNUMBER('Dvd Calendar'!$X$1608)*100000000+('Dvd Calendar'!$X$1610=SPECIAL_LBL)*10000000+(N('Dvd Calendar'!$X$1604)&gt;0)*(N('Dvd Calendar'!$X$1604)&lt;=VAL_SERIAL)*1000000+5*1000+20))</f>
        <v/>
      </c>
      <c r="EY164" s="121">
        <f>IF(N('Dvd Calendar'!$Y$1605)=0,"",IF(('Dvd Calendar'!$Y$1605&gt;=GRID_FROM)*('Dvd Calendar'!$Y$1605&lt;=GRID_TO)*((('Dvd Calendar'!$Y$1605&lt;=VAL_DATE)+(COUNTIF('Dvd Calendar'!$E$1612:$AR$1612,'Dvd Calendar'!$Y$1605)=0))&gt;0)=0,"",'Dvd Calendar'!$Y$1605*1000000000+ISNUMBER('Dvd Calendar'!$Y$1608)*100000000+('Dvd Calendar'!$Y$1610=SPECIAL_LBL)*10000000+(N('Dvd Calendar'!$Y$1604)&gt;0)*(N('Dvd Calendar'!$Y$1604)&lt;=VAL_SERIAL)*1000000+5*1000+21))</f>
        <v/>
      </c>
      <c r="EZ164" s="121">
        <f>IF(N('Dvd Calendar'!$Z$1605)=0,"",IF(('Dvd Calendar'!$Z$1605&gt;=GRID_FROM)*('Dvd Calendar'!$Z$1605&lt;=GRID_TO)*((('Dvd Calendar'!$Z$1605&lt;=VAL_DATE)+(COUNTIF('Dvd Calendar'!$E$1612:$AR$1612,'Dvd Calendar'!$Z$1605)=0))&gt;0)=0,"",'Dvd Calendar'!$Z$1605*1000000000+ISNUMBER('Dvd Calendar'!$Z$1608)*100000000+('Dvd Calendar'!$Z$1610=SPECIAL_LBL)*10000000+(N('Dvd Calendar'!$Z$1604)&gt;0)*(N('Dvd Calendar'!$Z$1604)&lt;=VAL_SERIAL)*1000000+5*1000+22))</f>
        <v/>
      </c>
      <c r="FA164" s="121">
        <f>IF(N('Dvd Calendar'!$AA$1605)=0,"",IF(('Dvd Calendar'!$AA$1605&gt;=GRID_FROM)*('Dvd Calendar'!$AA$1605&lt;=GRID_TO)*((('Dvd Calendar'!$AA$1605&lt;=VAL_DATE)+(COUNTIF('Dvd Calendar'!$E$1612:$AR$1612,'Dvd Calendar'!$AA$1605)=0))&gt;0)=0,"",'Dvd Calendar'!$AA$1605*1000000000+ISNUMBER('Dvd Calendar'!$AA$1608)*100000000+('Dvd Calendar'!$AA$1610=SPECIAL_LBL)*10000000+(N('Dvd Calendar'!$AA$1604)&gt;0)*(N('Dvd Calendar'!$AA$1604)&lt;=VAL_SERIAL)*1000000+5*1000+23))</f>
        <v/>
      </c>
      <c r="FB164" s="121">
        <f>IF(N('Dvd Calendar'!$AB$1605)=0,"",IF(('Dvd Calendar'!$AB$1605&gt;=GRID_FROM)*('Dvd Calendar'!$AB$1605&lt;=GRID_TO)*((('Dvd Calendar'!$AB$1605&lt;=VAL_DATE)+(COUNTIF('Dvd Calendar'!$E$1612:$AR$1612,'Dvd Calendar'!$AB$1605)=0))&gt;0)=0,"",'Dvd Calendar'!$AB$1605*1000000000+ISNUMBER('Dvd Calendar'!$AB$1608)*100000000+('Dvd Calendar'!$AB$1610=SPECIAL_LBL)*10000000+(N('Dvd Calendar'!$AB$1604)&gt;0)*(N('Dvd Calendar'!$AB$1604)&lt;=VAL_SERIAL)*1000000+5*1000+24))</f>
        <v/>
      </c>
      <c r="FC164" s="121">
        <f>IF(N('Dvd Calendar'!$AC$1605)=0,"",IF(('Dvd Calendar'!$AC$1605&gt;=GRID_FROM)*('Dvd Calendar'!$AC$1605&lt;=GRID_TO)*((('Dvd Calendar'!$AC$1605&lt;=VAL_DATE)+(COUNTIF('Dvd Calendar'!$E$1612:$AR$1612,'Dvd Calendar'!$AC$1605)=0))&gt;0)=0,"",'Dvd Calendar'!$AC$1605*1000000000+ISNUMBER('Dvd Calendar'!$AC$1608)*100000000+('Dvd Calendar'!$AC$1610=SPECIAL_LBL)*10000000+(N('Dvd Calendar'!$AC$1604)&gt;0)*(N('Dvd Calendar'!$AC$1604)&lt;=VAL_SERIAL)*1000000+5*1000+25))</f>
        <v/>
      </c>
      <c r="FD164" s="121">
        <f>IF(N('Dvd Calendar'!$AD$1605)=0,"",IF(('Dvd Calendar'!$AD$1605&gt;=GRID_FROM)*('Dvd Calendar'!$AD$1605&lt;=GRID_TO)*((('Dvd Calendar'!$AD$1605&lt;=VAL_DATE)+(COUNTIF('Dvd Calendar'!$E$1612:$AR$1612,'Dvd Calendar'!$AD$1605)=0))&gt;0)=0,"",'Dvd Calendar'!$AD$1605*1000000000+ISNUMBER('Dvd Calendar'!$AD$1608)*100000000+('Dvd Calendar'!$AD$1610=SPECIAL_LBL)*10000000+(N('Dvd Calendar'!$AD$1604)&gt;0)*(N('Dvd Calendar'!$AD$1604)&lt;=VAL_SERIAL)*1000000+5*1000+26))</f>
        <v/>
      </c>
      <c r="FE164" s="121">
        <f>IF(N('Dvd Calendar'!$AE$1605)=0,"",IF(('Dvd Calendar'!$AE$1605&gt;=GRID_FROM)*('Dvd Calendar'!$AE$1605&lt;=GRID_TO)*((('Dvd Calendar'!$AE$1605&lt;=VAL_DATE)+(COUNTIF('Dvd Calendar'!$E$1612:$AR$1612,'Dvd Calendar'!$AE$1605)=0))&gt;0)=0,"",'Dvd Calendar'!$AE$1605*1000000000+ISNUMBER('Dvd Calendar'!$AE$1608)*100000000+('Dvd Calendar'!$AE$1610=SPECIAL_LBL)*10000000+(N('Dvd Calendar'!$AE$1604)&gt;0)*(N('Dvd Calendar'!$AE$1604)&lt;=VAL_SERIAL)*1000000+5*1000+27))</f>
        <v/>
      </c>
      <c r="FF164" s="121">
        <f>IF(N('Dvd Calendar'!$AF$1605)=0,"",IF(('Dvd Calendar'!$AF$1605&gt;=GRID_FROM)*('Dvd Calendar'!$AF$1605&lt;=GRID_TO)*((('Dvd Calendar'!$AF$1605&lt;=VAL_DATE)+(COUNTIF('Dvd Calendar'!$E$1612:$AR$1612,'Dvd Calendar'!$AF$1605)=0))&gt;0)=0,"",'Dvd Calendar'!$AF$1605*1000000000+ISNUMBER('Dvd Calendar'!$AF$1608)*100000000+('Dvd Calendar'!$AF$1610=SPECIAL_LBL)*10000000+(N('Dvd Calendar'!$AF$1604)&gt;0)*(N('Dvd Calendar'!$AF$1604)&lt;=VAL_SERIAL)*1000000+5*1000+28))</f>
        <v/>
      </c>
      <c r="FG164" s="121">
        <f>IF(N('Dvd Calendar'!$AG$1605)=0,"",IF(('Dvd Calendar'!$AG$1605&gt;=GRID_FROM)*('Dvd Calendar'!$AG$1605&lt;=GRID_TO)*((('Dvd Calendar'!$AG$1605&lt;=VAL_DATE)+(COUNTIF('Dvd Calendar'!$E$1612:$AR$1612,'Dvd Calendar'!$AG$1605)=0))&gt;0)=0,"",'Dvd Calendar'!$AG$1605*1000000000+ISNUMBER('Dvd Calendar'!$AG$1608)*100000000+('Dvd Calendar'!$AG$1610=SPECIAL_LBL)*10000000+(N('Dvd Calendar'!$AG$1604)&gt;0)*(N('Dvd Calendar'!$AG$1604)&lt;=VAL_SERIAL)*1000000+5*1000+29))</f>
        <v/>
      </c>
      <c r="FH164" s="121">
        <f>IF(N('Dvd Calendar'!$AH$1605)=0,"",IF(('Dvd Calendar'!$AH$1605&gt;=GRID_FROM)*('Dvd Calendar'!$AH$1605&lt;=GRID_TO)*((('Dvd Calendar'!$AH$1605&lt;=VAL_DATE)+(COUNTIF('Dvd Calendar'!$E$1612:$AR$1612,'Dvd Calendar'!$AH$1605)=0))&gt;0)=0,"",'Dvd Calendar'!$AH$1605*1000000000+ISNUMBER('Dvd Calendar'!$AH$1608)*100000000+('Dvd Calendar'!$AH$1610=SPECIAL_LBL)*10000000+(N('Dvd Calendar'!$AH$1604)&gt;0)*(N('Dvd Calendar'!$AH$1604)&lt;=VAL_SERIAL)*1000000+5*1000+30))</f>
        <v/>
      </c>
      <c r="FI164" s="121">
        <f>IF(N('Dvd Calendar'!$AI$1605)=0,"",IF(('Dvd Calendar'!$AI$1605&gt;=GRID_FROM)*('Dvd Calendar'!$AI$1605&lt;=GRID_TO)*((('Dvd Calendar'!$AI$1605&lt;=VAL_DATE)+(COUNTIF('Dvd Calendar'!$E$1612:$AR$1612,'Dvd Calendar'!$AI$1605)=0))&gt;0)=0,"",'Dvd Calendar'!$AI$1605*1000000000+ISNUMBER('Dvd Calendar'!$AI$1608)*100000000+('Dvd Calendar'!$AI$1610=SPECIAL_LBL)*10000000+(N('Dvd Calendar'!$AI$1604)&gt;0)*(N('Dvd Calendar'!$AI$1604)&lt;=VAL_SERIAL)*1000000+5*1000+31))</f>
        <v/>
      </c>
      <c r="FJ164" s="121">
        <f>IF(N('Dvd Calendar'!$AJ$1605)=0,"",IF(('Dvd Calendar'!$AJ$1605&gt;=GRID_FROM)*('Dvd Calendar'!$AJ$1605&lt;=GRID_TO)*((('Dvd Calendar'!$AJ$1605&lt;=VAL_DATE)+(COUNTIF('Dvd Calendar'!$E$1612:$AR$1612,'Dvd Calendar'!$AJ$1605)=0))&gt;0)=0,"",'Dvd Calendar'!$AJ$1605*1000000000+ISNUMBER('Dvd Calendar'!$AJ$1608)*100000000+('Dvd Calendar'!$AJ$1610=SPECIAL_LBL)*10000000+(N('Dvd Calendar'!$AJ$1604)&gt;0)*(N('Dvd Calendar'!$AJ$1604)&lt;=VAL_SERIAL)*1000000+5*1000+32))</f>
        <v/>
      </c>
      <c r="FK164" s="121">
        <f>IF(N('Dvd Calendar'!$AK$1605)=0,"",IF(('Dvd Calendar'!$AK$1605&gt;=GRID_FROM)*('Dvd Calendar'!$AK$1605&lt;=GRID_TO)*((('Dvd Calendar'!$AK$1605&lt;=VAL_DATE)+(COUNTIF('Dvd Calendar'!$E$1612:$AR$1612,'Dvd Calendar'!$AK$1605)=0))&gt;0)=0,"",'Dvd Calendar'!$AK$1605*1000000000+ISNUMBER('Dvd Calendar'!$AK$1608)*100000000+('Dvd Calendar'!$AK$1610=SPECIAL_LBL)*10000000+(N('Dvd Calendar'!$AK$1604)&gt;0)*(N('Dvd Calendar'!$AK$1604)&lt;=VAL_SERIAL)*1000000+5*1000+33))</f>
        <v/>
      </c>
      <c r="FL164" s="121">
        <f>IF(N('Dvd Calendar'!$AL$1605)=0,"",IF(('Dvd Calendar'!$AL$1605&gt;=GRID_FROM)*('Dvd Calendar'!$AL$1605&lt;=GRID_TO)*((('Dvd Calendar'!$AL$1605&lt;=VAL_DATE)+(COUNTIF('Dvd Calendar'!$E$1612:$AR$1612,'Dvd Calendar'!$AL$1605)=0))&gt;0)=0,"",'Dvd Calendar'!$AL$1605*1000000000+ISNUMBER('Dvd Calendar'!$AL$1608)*100000000+('Dvd Calendar'!$AL$1610=SPECIAL_LBL)*10000000+(N('Dvd Calendar'!$AL$1604)&gt;0)*(N('Dvd Calendar'!$AL$1604)&lt;=VAL_SERIAL)*1000000+5*1000+34))</f>
        <v/>
      </c>
      <c r="FM164" s="121">
        <f>IF(N('Dvd Calendar'!$AM$1605)=0,"",IF(('Dvd Calendar'!$AM$1605&gt;=GRID_FROM)*('Dvd Calendar'!$AM$1605&lt;=GRID_TO)*((('Dvd Calendar'!$AM$1605&lt;=VAL_DATE)+(COUNTIF('Dvd Calendar'!$E$1612:$AR$1612,'Dvd Calendar'!$AM$1605)=0))&gt;0)=0,"",'Dvd Calendar'!$AM$1605*1000000000+ISNUMBER('Dvd Calendar'!$AM$1608)*100000000+('Dvd Calendar'!$AM$1610=SPECIAL_LBL)*10000000+(N('Dvd Calendar'!$AM$1604)&gt;0)*(N('Dvd Calendar'!$AM$1604)&lt;=VAL_SERIAL)*1000000+5*1000+35))</f>
        <v/>
      </c>
      <c r="FN164" s="121">
        <f>IF(N('Dvd Calendar'!$AN$1605)=0,"",IF(('Dvd Calendar'!$AN$1605&gt;=GRID_FROM)*('Dvd Calendar'!$AN$1605&lt;=GRID_TO)*((('Dvd Calendar'!$AN$1605&lt;=VAL_DATE)+(COUNTIF('Dvd Calendar'!$E$1612:$AR$1612,'Dvd Calendar'!$AN$1605)=0))&gt;0)=0,"",'Dvd Calendar'!$AN$1605*1000000000+ISNUMBER('Dvd Calendar'!$AN$1608)*100000000+('Dvd Calendar'!$AN$1610=SPECIAL_LBL)*10000000+(N('Dvd Calendar'!$AN$1604)&gt;0)*(N('Dvd Calendar'!$AN$1604)&lt;=VAL_SERIAL)*1000000+5*1000+36))</f>
        <v/>
      </c>
      <c r="FO164" s="121">
        <f>IF(N('Dvd Calendar'!$AO$1605)=0,"",IF(('Dvd Calendar'!$AO$1605&gt;=GRID_FROM)*('Dvd Calendar'!$AO$1605&lt;=GRID_TO)*((('Dvd Calendar'!$AO$1605&lt;=VAL_DATE)+(COUNTIF('Dvd Calendar'!$E$1612:$AR$1612,'Dvd Calendar'!$AO$1605)=0))&gt;0)=0,"",'Dvd Calendar'!$AO$1605*1000000000+ISNUMBER('Dvd Calendar'!$AO$1608)*100000000+('Dvd Calendar'!$AO$1610=SPECIAL_LBL)*10000000+(N('Dvd Calendar'!$AO$1604)&gt;0)*(N('Dvd Calendar'!$AO$1604)&lt;=VAL_SERIAL)*1000000+5*1000+37))</f>
        <v/>
      </c>
      <c r="FP164" s="121">
        <f>IF(N('Dvd Calendar'!$AP$1605)=0,"",IF(('Dvd Calendar'!$AP$1605&gt;=GRID_FROM)*('Dvd Calendar'!$AP$1605&lt;=GRID_TO)*((('Dvd Calendar'!$AP$1605&lt;=VAL_DATE)+(COUNTIF('Dvd Calendar'!$E$1612:$AR$1612,'Dvd Calendar'!$AP$1605)=0))&gt;0)=0,"",'Dvd Calendar'!$AP$1605*1000000000+ISNUMBER('Dvd Calendar'!$AP$1608)*100000000+('Dvd Calendar'!$AP$1610=SPECIAL_LBL)*10000000+(N('Dvd Calendar'!$AP$1604)&gt;0)*(N('Dvd Calendar'!$AP$1604)&lt;=VAL_SERIAL)*1000000+5*1000+38))</f>
        <v/>
      </c>
      <c r="FQ164" s="121">
        <f>IF(N('Dvd Calendar'!$AQ$1605)=0,"",IF(('Dvd Calendar'!$AQ$1605&gt;=GRID_FROM)*('Dvd Calendar'!$AQ$1605&lt;=GRID_TO)*((('Dvd Calendar'!$AQ$1605&lt;=VAL_DATE)+(COUNTIF('Dvd Calendar'!$E$1612:$AR$1612,'Dvd Calendar'!$AQ$1605)=0))&gt;0)=0,"",'Dvd Calendar'!$AQ$1605*1000000000+ISNUMBER('Dvd Calendar'!$AQ$1608)*100000000+('Dvd Calendar'!$AQ$1610=SPECIAL_LBL)*10000000+(N('Dvd Calendar'!$AQ$1604)&gt;0)*(N('Dvd Calendar'!$AQ$1604)&lt;=VAL_SERIAL)*1000000+5*1000+39))</f>
        <v/>
      </c>
      <c r="FR164" s="121">
        <f>IF(N('Dvd Calendar'!$AR$1605)=0,"",IF(('Dvd Calendar'!$AR$1605&gt;=GRID_FROM)*('Dvd Calendar'!$AR$1605&lt;=GRID_TO)*((('Dvd Calendar'!$AR$1605&lt;=VAL_DATE)+(COUNTIF('Dvd Calendar'!$E$1612:$AR$1612,'Dvd Calendar'!$AR$1605)=0))&gt;0)=0,"",'Dvd Calendar'!$AR$1605*1000000000+ISNUMBER('Dvd Calendar'!$AR$1608)*100000000+('Dvd Calendar'!$AR$1610=SPECIAL_LBL)*10000000+(N('Dvd Calendar'!$AR$1604)&gt;0)*(N('Dvd Calendar'!$AR$1604)&lt;=VAL_SERIAL)*1000000+5*1000+40))</f>
        <v/>
      </c>
      <c r="FS164" s="121">
        <f>IF(N('Dvd Calendar'!$E$1612)=0,"",IF(('Dvd Calendar'!$E$1612&gt;=GRID_FROM)*('Dvd Calendar'!$E$1612&lt;=GRID_TO)*('Dvd Calendar'!$E$1612&gt;VAL_DATE)=0,"",'Dvd Calendar'!$E$1612*1000000000+ISNUMBER('Dvd Calendar'!$E$1613)*100000000+0*10000000+(N('Dvd Calendar'!$E$1611)&gt;0)*(N('Dvd Calendar'!$E$1611)&lt;=VAL_SERIAL)*1000000+5*1000+41))</f>
        <v/>
      </c>
      <c r="FT164" s="121">
        <f>IF(N('Dvd Calendar'!$F$1612)=0,"",IF(('Dvd Calendar'!$F$1612&gt;=GRID_FROM)*('Dvd Calendar'!$F$1612&lt;=GRID_TO)*('Dvd Calendar'!$F$1612&gt;VAL_DATE)=0,"",'Dvd Calendar'!$F$1612*1000000000+ISNUMBER('Dvd Calendar'!$F$1613)*100000000+0*10000000+(N('Dvd Calendar'!$F$1611)&gt;0)*(N('Dvd Calendar'!$F$1611)&lt;=VAL_SERIAL)*1000000+5*1000+42))</f>
        <v/>
      </c>
      <c r="FU164" s="121">
        <f>IF(N('Dvd Calendar'!$G$1612)=0,"",IF(('Dvd Calendar'!$G$1612&gt;=GRID_FROM)*('Dvd Calendar'!$G$1612&lt;=GRID_TO)*('Dvd Calendar'!$G$1612&gt;VAL_DATE)=0,"",'Dvd Calendar'!$G$1612*1000000000+ISNUMBER('Dvd Calendar'!$G$1613)*100000000+0*10000000+(N('Dvd Calendar'!$G$1611)&gt;0)*(N('Dvd Calendar'!$G$1611)&lt;=VAL_SERIAL)*1000000+5*1000+43))</f>
        <v/>
      </c>
      <c r="FV164" s="121">
        <f>IF(N('Dvd Calendar'!$H$1612)=0,"",IF(('Dvd Calendar'!$H$1612&gt;=GRID_FROM)*('Dvd Calendar'!$H$1612&lt;=GRID_TO)*('Dvd Calendar'!$H$1612&gt;VAL_DATE)=0,"",'Dvd Calendar'!$H$1612*1000000000+ISNUMBER('Dvd Calendar'!$H$1613)*100000000+0*10000000+(N('Dvd Calendar'!$H$1611)&gt;0)*(N('Dvd Calendar'!$H$1611)&lt;=VAL_SERIAL)*1000000+5*1000+44))</f>
        <v/>
      </c>
      <c r="FW164" s="121">
        <f>IF(N('Dvd Calendar'!$I$1612)=0,"",IF(('Dvd Calendar'!$I$1612&gt;=GRID_FROM)*('Dvd Calendar'!$I$1612&lt;=GRID_TO)*('Dvd Calendar'!$I$1612&gt;VAL_DATE)=0,"",'Dvd Calendar'!$I$1612*1000000000+ISNUMBER('Dvd Calendar'!$I$1613)*100000000+0*10000000+(N('Dvd Calendar'!$I$1611)&gt;0)*(N('Dvd Calendar'!$I$1611)&lt;=VAL_SERIAL)*1000000+5*1000+45))</f>
        <v/>
      </c>
      <c r="FX164" s="121">
        <f>IF(N('Dvd Calendar'!$J$1612)=0,"",IF(('Dvd Calendar'!$J$1612&gt;=GRID_FROM)*('Dvd Calendar'!$J$1612&lt;=GRID_TO)*('Dvd Calendar'!$J$1612&gt;VAL_DATE)=0,"",'Dvd Calendar'!$J$1612*1000000000+ISNUMBER('Dvd Calendar'!$J$1613)*100000000+0*10000000+(N('Dvd Calendar'!$J$1611)&gt;0)*(N('Dvd Calendar'!$J$1611)&lt;=VAL_SERIAL)*1000000+5*1000+46))</f>
        <v/>
      </c>
      <c r="FY164" s="121">
        <f>IF(N('Dvd Calendar'!$K$1612)=0,"",IF(('Dvd Calendar'!$K$1612&gt;=GRID_FROM)*('Dvd Calendar'!$K$1612&lt;=GRID_TO)*('Dvd Calendar'!$K$1612&gt;VAL_DATE)=0,"",'Dvd Calendar'!$K$1612*1000000000+ISNUMBER('Dvd Calendar'!$K$1613)*100000000+0*10000000+(N('Dvd Calendar'!$K$1611)&gt;0)*(N('Dvd Calendar'!$K$1611)&lt;=VAL_SERIAL)*1000000+5*1000+47))</f>
        <v/>
      </c>
      <c r="FZ164" s="121">
        <f>IF(N('Dvd Calendar'!$L$1612)=0,"",IF(('Dvd Calendar'!$L$1612&gt;=GRID_FROM)*('Dvd Calendar'!$L$1612&lt;=GRID_TO)*('Dvd Calendar'!$L$1612&gt;VAL_DATE)=0,"",'Dvd Calendar'!$L$1612*1000000000+ISNUMBER('Dvd Calendar'!$L$1613)*100000000+0*10000000+(N('Dvd Calendar'!$L$1611)&gt;0)*(N('Dvd Calendar'!$L$1611)&lt;=VAL_SERIAL)*1000000+5*1000+48))</f>
        <v/>
      </c>
      <c r="GA164" s="121">
        <f>IF(N('Dvd Calendar'!$M$1612)=0,"",IF(('Dvd Calendar'!$M$1612&gt;=GRID_FROM)*('Dvd Calendar'!$M$1612&lt;=GRID_TO)*('Dvd Calendar'!$M$1612&gt;VAL_DATE)=0,"",'Dvd Calendar'!$M$1612*1000000000+ISNUMBER('Dvd Calendar'!$M$1613)*100000000+0*10000000+(N('Dvd Calendar'!$M$1611)&gt;0)*(N('Dvd Calendar'!$M$1611)&lt;=VAL_SERIAL)*1000000+5*1000+49))</f>
        <v/>
      </c>
      <c r="GB164" s="121">
        <f>IF(N('Dvd Calendar'!$N$1612)=0,"",IF(('Dvd Calendar'!$N$1612&gt;=GRID_FROM)*('Dvd Calendar'!$N$1612&lt;=GRID_TO)*('Dvd Calendar'!$N$1612&gt;VAL_DATE)=0,"",'Dvd Calendar'!$N$1612*1000000000+ISNUMBER('Dvd Calendar'!$N$1613)*100000000+0*10000000+(N('Dvd Calendar'!$N$1611)&gt;0)*(N('Dvd Calendar'!$N$1611)&lt;=VAL_SERIAL)*1000000+5*1000+50))</f>
        <v/>
      </c>
      <c r="GC164" s="121">
        <f>IF(N('Dvd Calendar'!$O$1612)=0,"",IF(('Dvd Calendar'!$O$1612&gt;=GRID_FROM)*('Dvd Calendar'!$O$1612&lt;=GRID_TO)*('Dvd Calendar'!$O$1612&gt;VAL_DATE)=0,"",'Dvd Calendar'!$O$1612*1000000000+ISNUMBER('Dvd Calendar'!$O$1613)*100000000+0*10000000+(N('Dvd Calendar'!$O$1611)&gt;0)*(N('Dvd Calendar'!$O$1611)&lt;=VAL_SERIAL)*1000000+5*1000+51))</f>
        <v/>
      </c>
      <c r="GD164" s="121">
        <f>IF(N('Dvd Calendar'!$P$1612)=0,"",IF(('Dvd Calendar'!$P$1612&gt;=GRID_FROM)*('Dvd Calendar'!$P$1612&lt;=GRID_TO)*('Dvd Calendar'!$P$1612&gt;VAL_DATE)=0,"",'Dvd Calendar'!$P$1612*1000000000+ISNUMBER('Dvd Calendar'!$P$1613)*100000000+0*10000000+(N('Dvd Calendar'!$P$1611)&gt;0)*(N('Dvd Calendar'!$P$1611)&lt;=VAL_SERIAL)*1000000+5*1000+52))</f>
        <v/>
      </c>
      <c r="GE164" s="121">
        <f>IF(N('Dvd Calendar'!$Q$1612)=0,"",IF(('Dvd Calendar'!$Q$1612&gt;=GRID_FROM)*('Dvd Calendar'!$Q$1612&lt;=GRID_TO)*('Dvd Calendar'!$Q$1612&gt;VAL_DATE)=0,"",'Dvd Calendar'!$Q$1612*1000000000+ISNUMBER('Dvd Calendar'!$Q$1613)*100000000+0*10000000+(N('Dvd Calendar'!$Q$1611)&gt;0)*(N('Dvd Calendar'!$Q$1611)&lt;=VAL_SERIAL)*1000000+5*1000+53))</f>
        <v/>
      </c>
      <c r="GF164" s="121">
        <f>IF(N('Dvd Calendar'!$R$1612)=0,"",IF(('Dvd Calendar'!$R$1612&gt;=GRID_FROM)*('Dvd Calendar'!$R$1612&lt;=GRID_TO)*('Dvd Calendar'!$R$1612&gt;VAL_DATE)=0,"",'Dvd Calendar'!$R$1612*1000000000+ISNUMBER('Dvd Calendar'!$R$1613)*100000000+0*10000000+(N('Dvd Calendar'!$R$1611)&gt;0)*(N('Dvd Calendar'!$R$1611)&lt;=VAL_SERIAL)*1000000+5*1000+54))</f>
        <v/>
      </c>
      <c r="GG164" s="121">
        <f>IF(N('Dvd Calendar'!$S$1612)=0,"",IF(('Dvd Calendar'!$S$1612&gt;=GRID_FROM)*('Dvd Calendar'!$S$1612&lt;=GRID_TO)*('Dvd Calendar'!$S$1612&gt;VAL_DATE)=0,"",'Dvd Calendar'!$S$1612*1000000000+ISNUMBER('Dvd Calendar'!$S$1613)*100000000+0*10000000+(N('Dvd Calendar'!$S$1611)&gt;0)*(N('Dvd Calendar'!$S$1611)&lt;=VAL_SERIAL)*1000000+5*1000+55))</f>
        <v/>
      </c>
      <c r="GH164" s="121">
        <f>IF(N('Dvd Calendar'!$T$1612)=0,"",IF(('Dvd Calendar'!$T$1612&gt;=GRID_FROM)*('Dvd Calendar'!$T$1612&lt;=GRID_TO)*('Dvd Calendar'!$T$1612&gt;VAL_DATE)=0,"",'Dvd Calendar'!$T$1612*1000000000+ISNUMBER('Dvd Calendar'!$T$1613)*100000000+0*10000000+(N('Dvd Calendar'!$T$1611)&gt;0)*(N('Dvd Calendar'!$T$1611)&lt;=VAL_SERIAL)*1000000+5*1000+56))</f>
        <v/>
      </c>
      <c r="GI164" s="121">
        <f>IF(N('Dvd Calendar'!$U$1612)=0,"",IF(('Dvd Calendar'!$U$1612&gt;=GRID_FROM)*('Dvd Calendar'!$U$1612&lt;=GRID_TO)*('Dvd Calendar'!$U$1612&gt;VAL_DATE)=0,"",'Dvd Calendar'!$U$1612*1000000000+ISNUMBER('Dvd Calendar'!$U$1613)*100000000+0*10000000+(N('Dvd Calendar'!$U$1611)&gt;0)*(N('Dvd Calendar'!$U$1611)&lt;=VAL_SERIAL)*1000000+5*1000+57))</f>
        <v/>
      </c>
      <c r="GJ164" s="121">
        <f>IF(N('Dvd Calendar'!$V$1612)=0,"",IF(('Dvd Calendar'!$V$1612&gt;=GRID_FROM)*('Dvd Calendar'!$V$1612&lt;=GRID_TO)*('Dvd Calendar'!$V$1612&gt;VAL_DATE)=0,"",'Dvd Calendar'!$V$1612*1000000000+ISNUMBER('Dvd Calendar'!$V$1613)*100000000+0*10000000+(N('Dvd Calendar'!$V$1611)&gt;0)*(N('Dvd Calendar'!$V$1611)&lt;=VAL_SERIAL)*1000000+5*1000+58))</f>
        <v/>
      </c>
      <c r="GK164" s="121">
        <f>IF(N('Dvd Calendar'!$W$1612)=0,"",IF(('Dvd Calendar'!$W$1612&gt;=GRID_FROM)*('Dvd Calendar'!$W$1612&lt;=GRID_TO)*('Dvd Calendar'!$W$1612&gt;VAL_DATE)=0,"",'Dvd Calendar'!$W$1612*1000000000+ISNUMBER('Dvd Calendar'!$W$1613)*100000000+0*10000000+(N('Dvd Calendar'!$W$1611)&gt;0)*(N('Dvd Calendar'!$W$1611)&lt;=VAL_SERIAL)*1000000+5*1000+59))</f>
        <v/>
      </c>
      <c r="GL164" s="121">
        <f>IF(N('Dvd Calendar'!$X$1612)=0,"",IF(('Dvd Calendar'!$X$1612&gt;=GRID_FROM)*('Dvd Calendar'!$X$1612&lt;=GRID_TO)*('Dvd Calendar'!$X$1612&gt;VAL_DATE)=0,"",'Dvd Calendar'!$X$1612*1000000000+ISNUMBER('Dvd Calendar'!$X$1613)*100000000+0*10000000+(N('Dvd Calendar'!$X$1611)&gt;0)*(N('Dvd Calendar'!$X$1611)&lt;=VAL_SERIAL)*1000000+5*1000+60))</f>
        <v/>
      </c>
      <c r="GM164" s="121">
        <f>IF(N('Dvd Calendar'!$Y$1612)=0,"",IF(('Dvd Calendar'!$Y$1612&gt;=GRID_FROM)*('Dvd Calendar'!$Y$1612&lt;=GRID_TO)*('Dvd Calendar'!$Y$1612&gt;VAL_DATE)=0,"",'Dvd Calendar'!$Y$1612*1000000000+ISNUMBER('Dvd Calendar'!$Y$1613)*100000000+0*10000000+(N('Dvd Calendar'!$Y$1611)&gt;0)*(N('Dvd Calendar'!$Y$1611)&lt;=VAL_SERIAL)*1000000+5*1000+61))</f>
        <v/>
      </c>
      <c r="GN164" s="121">
        <f>IF(N('Dvd Calendar'!$Z$1612)=0,"",IF(('Dvd Calendar'!$Z$1612&gt;=GRID_FROM)*('Dvd Calendar'!$Z$1612&lt;=GRID_TO)*('Dvd Calendar'!$Z$1612&gt;VAL_DATE)=0,"",'Dvd Calendar'!$Z$1612*1000000000+ISNUMBER('Dvd Calendar'!$Z$1613)*100000000+0*10000000+(N('Dvd Calendar'!$Z$1611)&gt;0)*(N('Dvd Calendar'!$Z$1611)&lt;=VAL_SERIAL)*1000000+5*1000+62))</f>
        <v/>
      </c>
      <c r="GO164" s="121">
        <f>IF(N('Dvd Calendar'!$AA$1612)=0,"",IF(('Dvd Calendar'!$AA$1612&gt;=GRID_FROM)*('Dvd Calendar'!$AA$1612&lt;=GRID_TO)*('Dvd Calendar'!$AA$1612&gt;VAL_DATE)=0,"",'Dvd Calendar'!$AA$1612*1000000000+ISNUMBER('Dvd Calendar'!$AA$1613)*100000000+0*10000000+(N('Dvd Calendar'!$AA$1611)&gt;0)*(N('Dvd Calendar'!$AA$1611)&lt;=VAL_SERIAL)*1000000+5*1000+63))</f>
        <v/>
      </c>
      <c r="GP164" s="121">
        <f>IF(N('Dvd Calendar'!$AB$1612)=0,"",IF(('Dvd Calendar'!$AB$1612&gt;=GRID_FROM)*('Dvd Calendar'!$AB$1612&lt;=GRID_TO)*('Dvd Calendar'!$AB$1612&gt;VAL_DATE)=0,"",'Dvd Calendar'!$AB$1612*1000000000+ISNUMBER('Dvd Calendar'!$AB$1613)*100000000+0*10000000+(N('Dvd Calendar'!$AB$1611)&gt;0)*(N('Dvd Calendar'!$AB$1611)&lt;=VAL_SERIAL)*1000000+5*1000+64))</f>
        <v/>
      </c>
      <c r="GQ164" s="121">
        <f>IF(N('Dvd Calendar'!$AC$1612)=0,"",IF(('Dvd Calendar'!$AC$1612&gt;=GRID_FROM)*('Dvd Calendar'!$AC$1612&lt;=GRID_TO)*('Dvd Calendar'!$AC$1612&gt;VAL_DATE)=0,"",'Dvd Calendar'!$AC$1612*1000000000+ISNUMBER('Dvd Calendar'!$AC$1613)*100000000+0*10000000+(N('Dvd Calendar'!$AC$1611)&gt;0)*(N('Dvd Calendar'!$AC$1611)&lt;=VAL_SERIAL)*1000000+5*1000+65))</f>
        <v/>
      </c>
    </row>
    <row r="165">
      <c r="B165" s="2">
        <f>IF(HSCEI!$C$12="","",HSCEI!$C$12)</f>
        <v/>
      </c>
      <c r="C165" s="161">
        <f>IF(EE165="","",IF(ISNUMBER('Dvd Calendar'!$E$1619)=FALSE,"",IF((('Dvd Calendar'!$E$1621=TYPE1)*(TYPE1&lt;&gt;"")+('Dvd Calendar'!$E$1621=TYPE2)*(TYPE2&lt;&gt;"")+('Dvd Calendar'!$E$1621=TYPE3)*(TYPE3&lt;&gt;"")+('Dvd Calendar'!$E$1621=TYPE4)*(TYPE4&lt;&gt;"")+('Dvd Calendar'!$E$1621=SPECIAL_LBL)*(INC_SPECIALS="Y"))=0,"",'Dvd Calendar'!$E$1619)))</f>
        <v/>
      </c>
      <c r="D165" s="161">
        <f>IF(EF165="","",IF(ISNUMBER('Dvd Calendar'!$F$1619)=FALSE,"",IF((('Dvd Calendar'!$F$1621=TYPE1)*(TYPE1&lt;&gt;"")+('Dvd Calendar'!$F$1621=TYPE2)*(TYPE2&lt;&gt;"")+('Dvd Calendar'!$F$1621=TYPE3)*(TYPE3&lt;&gt;"")+('Dvd Calendar'!$F$1621=TYPE4)*(TYPE4&lt;&gt;"")+('Dvd Calendar'!$F$1621=SPECIAL_LBL)*(INC_SPECIALS="Y"))=0,"",'Dvd Calendar'!$F$1619)))</f>
        <v/>
      </c>
      <c r="E165" s="161">
        <f>IF(EG165="","",IF(ISNUMBER('Dvd Calendar'!$G$1619)=FALSE,"",IF((('Dvd Calendar'!$G$1621=TYPE1)*(TYPE1&lt;&gt;"")+('Dvd Calendar'!$G$1621=TYPE2)*(TYPE2&lt;&gt;"")+('Dvd Calendar'!$G$1621=TYPE3)*(TYPE3&lt;&gt;"")+('Dvd Calendar'!$G$1621=TYPE4)*(TYPE4&lt;&gt;"")+('Dvd Calendar'!$G$1621=SPECIAL_LBL)*(INC_SPECIALS="Y"))=0,"",'Dvd Calendar'!$G$1619)))</f>
        <v/>
      </c>
      <c r="F165" s="161">
        <f>IF(EH165="","",IF(ISNUMBER('Dvd Calendar'!$H$1619)=FALSE,"",IF((('Dvd Calendar'!$H$1621=TYPE1)*(TYPE1&lt;&gt;"")+('Dvd Calendar'!$H$1621=TYPE2)*(TYPE2&lt;&gt;"")+('Dvd Calendar'!$H$1621=TYPE3)*(TYPE3&lt;&gt;"")+('Dvd Calendar'!$H$1621=TYPE4)*(TYPE4&lt;&gt;"")+('Dvd Calendar'!$H$1621=SPECIAL_LBL)*(INC_SPECIALS="Y"))=0,"",'Dvd Calendar'!$H$1619)))</f>
        <v/>
      </c>
      <c r="G165" s="161">
        <f>IF(EI165="","",IF(ISNUMBER('Dvd Calendar'!$I$1619)=FALSE,"",IF((('Dvd Calendar'!$I$1621=TYPE1)*(TYPE1&lt;&gt;"")+('Dvd Calendar'!$I$1621=TYPE2)*(TYPE2&lt;&gt;"")+('Dvd Calendar'!$I$1621=TYPE3)*(TYPE3&lt;&gt;"")+('Dvd Calendar'!$I$1621=TYPE4)*(TYPE4&lt;&gt;"")+('Dvd Calendar'!$I$1621=SPECIAL_LBL)*(INC_SPECIALS="Y"))=0,"",'Dvd Calendar'!$I$1619)))</f>
        <v/>
      </c>
      <c r="H165" s="161">
        <f>IF(EJ165="","",IF(ISNUMBER('Dvd Calendar'!$J$1619)=FALSE,"",IF((('Dvd Calendar'!$J$1621=TYPE1)*(TYPE1&lt;&gt;"")+('Dvd Calendar'!$J$1621=TYPE2)*(TYPE2&lt;&gt;"")+('Dvd Calendar'!$J$1621=TYPE3)*(TYPE3&lt;&gt;"")+('Dvd Calendar'!$J$1621=TYPE4)*(TYPE4&lt;&gt;"")+('Dvd Calendar'!$J$1621=SPECIAL_LBL)*(INC_SPECIALS="Y"))=0,"",'Dvd Calendar'!$J$1619)))</f>
        <v/>
      </c>
      <c r="I165" s="161">
        <f>IF(EK165="","",IF(ISNUMBER('Dvd Calendar'!$K$1619)=FALSE,"",IF((('Dvd Calendar'!$K$1621=TYPE1)*(TYPE1&lt;&gt;"")+('Dvd Calendar'!$K$1621=TYPE2)*(TYPE2&lt;&gt;"")+('Dvd Calendar'!$K$1621=TYPE3)*(TYPE3&lt;&gt;"")+('Dvd Calendar'!$K$1621=TYPE4)*(TYPE4&lt;&gt;"")+('Dvd Calendar'!$K$1621=SPECIAL_LBL)*(INC_SPECIALS="Y"))=0,"",'Dvd Calendar'!$K$1619)))</f>
        <v/>
      </c>
      <c r="J165" s="161">
        <f>IF(EL165="","",IF(ISNUMBER('Dvd Calendar'!$L$1619)=FALSE,"",IF((('Dvd Calendar'!$L$1621=TYPE1)*(TYPE1&lt;&gt;"")+('Dvd Calendar'!$L$1621=TYPE2)*(TYPE2&lt;&gt;"")+('Dvd Calendar'!$L$1621=TYPE3)*(TYPE3&lt;&gt;"")+('Dvd Calendar'!$L$1621=TYPE4)*(TYPE4&lt;&gt;"")+('Dvd Calendar'!$L$1621=SPECIAL_LBL)*(INC_SPECIALS="Y"))=0,"",'Dvd Calendar'!$L$1619)))</f>
        <v/>
      </c>
      <c r="K165" s="161">
        <f>IF(EM165="","",IF(ISNUMBER('Dvd Calendar'!$M$1619)=FALSE,"",IF((('Dvd Calendar'!$M$1621=TYPE1)*(TYPE1&lt;&gt;"")+('Dvd Calendar'!$M$1621=TYPE2)*(TYPE2&lt;&gt;"")+('Dvd Calendar'!$M$1621=TYPE3)*(TYPE3&lt;&gt;"")+('Dvd Calendar'!$M$1621=TYPE4)*(TYPE4&lt;&gt;"")+('Dvd Calendar'!$M$1621=SPECIAL_LBL)*(INC_SPECIALS="Y"))=0,"",'Dvd Calendar'!$M$1619)))</f>
        <v/>
      </c>
      <c r="L165" s="161">
        <f>IF(EN165="","",IF(ISNUMBER('Dvd Calendar'!$N$1619)=FALSE,"",IF((('Dvd Calendar'!$N$1621=TYPE1)*(TYPE1&lt;&gt;"")+('Dvd Calendar'!$N$1621=TYPE2)*(TYPE2&lt;&gt;"")+('Dvd Calendar'!$N$1621=TYPE3)*(TYPE3&lt;&gt;"")+('Dvd Calendar'!$N$1621=TYPE4)*(TYPE4&lt;&gt;"")+('Dvd Calendar'!$N$1621=SPECIAL_LBL)*(INC_SPECIALS="Y"))=0,"",'Dvd Calendar'!$N$1619)))</f>
        <v/>
      </c>
      <c r="M165" s="161">
        <f>IF(EO165="","",IF(ISNUMBER('Dvd Calendar'!$O$1619)=FALSE,"",IF((('Dvd Calendar'!$O$1621=TYPE1)*(TYPE1&lt;&gt;"")+('Dvd Calendar'!$O$1621=TYPE2)*(TYPE2&lt;&gt;"")+('Dvd Calendar'!$O$1621=TYPE3)*(TYPE3&lt;&gt;"")+('Dvd Calendar'!$O$1621=TYPE4)*(TYPE4&lt;&gt;"")+('Dvd Calendar'!$O$1621=SPECIAL_LBL)*(INC_SPECIALS="Y"))=0,"",'Dvd Calendar'!$O$1619)))</f>
        <v/>
      </c>
      <c r="N165" s="161">
        <f>IF(EP165="","",IF(ISNUMBER('Dvd Calendar'!$P$1619)=FALSE,"",IF((('Dvd Calendar'!$P$1621=TYPE1)*(TYPE1&lt;&gt;"")+('Dvd Calendar'!$P$1621=TYPE2)*(TYPE2&lt;&gt;"")+('Dvd Calendar'!$P$1621=TYPE3)*(TYPE3&lt;&gt;"")+('Dvd Calendar'!$P$1621=TYPE4)*(TYPE4&lt;&gt;"")+('Dvd Calendar'!$P$1621=SPECIAL_LBL)*(INC_SPECIALS="Y"))=0,"",'Dvd Calendar'!$P$1619)))</f>
        <v/>
      </c>
      <c r="O165" s="161">
        <f>IF(EQ165="","",IF(ISNUMBER('Dvd Calendar'!$Q$1619)=FALSE,"",IF((('Dvd Calendar'!$Q$1621=TYPE1)*(TYPE1&lt;&gt;"")+('Dvd Calendar'!$Q$1621=TYPE2)*(TYPE2&lt;&gt;"")+('Dvd Calendar'!$Q$1621=TYPE3)*(TYPE3&lt;&gt;"")+('Dvd Calendar'!$Q$1621=TYPE4)*(TYPE4&lt;&gt;"")+('Dvd Calendar'!$Q$1621=SPECIAL_LBL)*(INC_SPECIALS="Y"))=0,"",'Dvd Calendar'!$Q$1619)))</f>
        <v/>
      </c>
      <c r="P165" s="161">
        <f>IF(ER165="","",IF(ISNUMBER('Dvd Calendar'!$R$1619)=FALSE,"",IF((('Dvd Calendar'!$R$1621=TYPE1)*(TYPE1&lt;&gt;"")+('Dvd Calendar'!$R$1621=TYPE2)*(TYPE2&lt;&gt;"")+('Dvd Calendar'!$R$1621=TYPE3)*(TYPE3&lt;&gt;"")+('Dvd Calendar'!$R$1621=TYPE4)*(TYPE4&lt;&gt;"")+('Dvd Calendar'!$R$1621=SPECIAL_LBL)*(INC_SPECIALS="Y"))=0,"",'Dvd Calendar'!$R$1619)))</f>
        <v/>
      </c>
      <c r="Q165" s="161">
        <f>IF(ES165="","",IF(ISNUMBER('Dvd Calendar'!$S$1619)=FALSE,"",IF((('Dvd Calendar'!$S$1621=TYPE1)*(TYPE1&lt;&gt;"")+('Dvd Calendar'!$S$1621=TYPE2)*(TYPE2&lt;&gt;"")+('Dvd Calendar'!$S$1621=TYPE3)*(TYPE3&lt;&gt;"")+('Dvd Calendar'!$S$1621=TYPE4)*(TYPE4&lt;&gt;"")+('Dvd Calendar'!$S$1621=SPECIAL_LBL)*(INC_SPECIALS="Y"))=0,"",'Dvd Calendar'!$S$1619)))</f>
        <v/>
      </c>
      <c r="R165" s="161">
        <f>IF(ET165="","",IF(ISNUMBER('Dvd Calendar'!$T$1619)=FALSE,"",IF((('Dvd Calendar'!$T$1621=TYPE1)*(TYPE1&lt;&gt;"")+('Dvd Calendar'!$T$1621=TYPE2)*(TYPE2&lt;&gt;"")+('Dvd Calendar'!$T$1621=TYPE3)*(TYPE3&lt;&gt;"")+('Dvd Calendar'!$T$1621=TYPE4)*(TYPE4&lt;&gt;"")+('Dvd Calendar'!$T$1621=SPECIAL_LBL)*(INC_SPECIALS="Y"))=0,"",'Dvd Calendar'!$T$1619)))</f>
        <v/>
      </c>
      <c r="S165" s="161">
        <f>IF(EU165="","",IF(ISNUMBER('Dvd Calendar'!$U$1619)=FALSE,"",IF((('Dvd Calendar'!$U$1621=TYPE1)*(TYPE1&lt;&gt;"")+('Dvd Calendar'!$U$1621=TYPE2)*(TYPE2&lt;&gt;"")+('Dvd Calendar'!$U$1621=TYPE3)*(TYPE3&lt;&gt;"")+('Dvd Calendar'!$U$1621=TYPE4)*(TYPE4&lt;&gt;"")+('Dvd Calendar'!$U$1621=SPECIAL_LBL)*(INC_SPECIALS="Y"))=0,"",'Dvd Calendar'!$U$1619)))</f>
        <v/>
      </c>
      <c r="T165" s="161">
        <f>IF(EV165="","",IF(ISNUMBER('Dvd Calendar'!$V$1619)=FALSE,"",IF((('Dvd Calendar'!$V$1621=TYPE1)*(TYPE1&lt;&gt;"")+('Dvd Calendar'!$V$1621=TYPE2)*(TYPE2&lt;&gt;"")+('Dvd Calendar'!$V$1621=TYPE3)*(TYPE3&lt;&gt;"")+('Dvd Calendar'!$V$1621=TYPE4)*(TYPE4&lt;&gt;"")+('Dvd Calendar'!$V$1621=SPECIAL_LBL)*(INC_SPECIALS="Y"))=0,"",'Dvd Calendar'!$V$1619)))</f>
        <v/>
      </c>
      <c r="U165" s="161">
        <f>IF(EW165="","",IF(ISNUMBER('Dvd Calendar'!$W$1619)=FALSE,"",IF((('Dvd Calendar'!$W$1621=TYPE1)*(TYPE1&lt;&gt;"")+('Dvd Calendar'!$W$1621=TYPE2)*(TYPE2&lt;&gt;"")+('Dvd Calendar'!$W$1621=TYPE3)*(TYPE3&lt;&gt;"")+('Dvd Calendar'!$W$1621=TYPE4)*(TYPE4&lt;&gt;"")+('Dvd Calendar'!$W$1621=SPECIAL_LBL)*(INC_SPECIALS="Y"))=0,"",'Dvd Calendar'!$W$1619)))</f>
        <v/>
      </c>
      <c r="V165" s="161">
        <f>IF(EX165="","",IF(ISNUMBER('Dvd Calendar'!$X$1619)=FALSE,"",IF((('Dvd Calendar'!$X$1621=TYPE1)*(TYPE1&lt;&gt;"")+('Dvd Calendar'!$X$1621=TYPE2)*(TYPE2&lt;&gt;"")+('Dvd Calendar'!$X$1621=TYPE3)*(TYPE3&lt;&gt;"")+('Dvd Calendar'!$X$1621=TYPE4)*(TYPE4&lt;&gt;"")+('Dvd Calendar'!$X$1621=SPECIAL_LBL)*(INC_SPECIALS="Y"))=0,"",'Dvd Calendar'!$X$1619)))</f>
        <v/>
      </c>
      <c r="W165" s="161">
        <f>IF(EY165="","",IF(ISNUMBER('Dvd Calendar'!$Y$1619)=FALSE,"",IF((('Dvd Calendar'!$Y$1621=TYPE1)*(TYPE1&lt;&gt;"")+('Dvd Calendar'!$Y$1621=TYPE2)*(TYPE2&lt;&gt;"")+('Dvd Calendar'!$Y$1621=TYPE3)*(TYPE3&lt;&gt;"")+('Dvd Calendar'!$Y$1621=TYPE4)*(TYPE4&lt;&gt;"")+('Dvd Calendar'!$Y$1621=SPECIAL_LBL)*(INC_SPECIALS="Y"))=0,"",'Dvd Calendar'!$Y$1619)))</f>
        <v/>
      </c>
      <c r="X165" s="161">
        <f>IF(EZ165="","",IF(ISNUMBER('Dvd Calendar'!$Z$1619)=FALSE,"",IF((('Dvd Calendar'!$Z$1621=TYPE1)*(TYPE1&lt;&gt;"")+('Dvd Calendar'!$Z$1621=TYPE2)*(TYPE2&lt;&gt;"")+('Dvd Calendar'!$Z$1621=TYPE3)*(TYPE3&lt;&gt;"")+('Dvd Calendar'!$Z$1621=TYPE4)*(TYPE4&lt;&gt;"")+('Dvd Calendar'!$Z$1621=SPECIAL_LBL)*(INC_SPECIALS="Y"))=0,"",'Dvd Calendar'!$Z$1619)))</f>
        <v/>
      </c>
      <c r="Y165" s="161">
        <f>IF(FA165="","",IF(ISNUMBER('Dvd Calendar'!$AA$1619)=FALSE,"",IF((('Dvd Calendar'!$AA$1621=TYPE1)*(TYPE1&lt;&gt;"")+('Dvd Calendar'!$AA$1621=TYPE2)*(TYPE2&lt;&gt;"")+('Dvd Calendar'!$AA$1621=TYPE3)*(TYPE3&lt;&gt;"")+('Dvd Calendar'!$AA$1621=TYPE4)*(TYPE4&lt;&gt;"")+('Dvd Calendar'!$AA$1621=SPECIAL_LBL)*(INC_SPECIALS="Y"))=0,"",'Dvd Calendar'!$AA$1619)))</f>
        <v/>
      </c>
      <c r="Z165" s="161">
        <f>IF(FB165="","",IF(ISNUMBER('Dvd Calendar'!$AB$1619)=FALSE,"",IF((('Dvd Calendar'!$AB$1621=TYPE1)*(TYPE1&lt;&gt;"")+('Dvd Calendar'!$AB$1621=TYPE2)*(TYPE2&lt;&gt;"")+('Dvd Calendar'!$AB$1621=TYPE3)*(TYPE3&lt;&gt;"")+('Dvd Calendar'!$AB$1621=TYPE4)*(TYPE4&lt;&gt;"")+('Dvd Calendar'!$AB$1621=SPECIAL_LBL)*(INC_SPECIALS="Y"))=0,"",'Dvd Calendar'!$AB$1619)))</f>
        <v/>
      </c>
      <c r="AA165" s="161">
        <f>IF(FC165="","",IF(ISNUMBER('Dvd Calendar'!$AC$1619)=FALSE,"",IF((('Dvd Calendar'!$AC$1621=TYPE1)*(TYPE1&lt;&gt;"")+('Dvd Calendar'!$AC$1621=TYPE2)*(TYPE2&lt;&gt;"")+('Dvd Calendar'!$AC$1621=TYPE3)*(TYPE3&lt;&gt;"")+('Dvd Calendar'!$AC$1621=TYPE4)*(TYPE4&lt;&gt;"")+('Dvd Calendar'!$AC$1621=SPECIAL_LBL)*(INC_SPECIALS="Y"))=0,"",'Dvd Calendar'!$AC$1619)))</f>
        <v/>
      </c>
      <c r="AB165" s="161">
        <f>IF(FD165="","",IF(ISNUMBER('Dvd Calendar'!$AD$1619)=FALSE,"",IF((('Dvd Calendar'!$AD$1621=TYPE1)*(TYPE1&lt;&gt;"")+('Dvd Calendar'!$AD$1621=TYPE2)*(TYPE2&lt;&gt;"")+('Dvd Calendar'!$AD$1621=TYPE3)*(TYPE3&lt;&gt;"")+('Dvd Calendar'!$AD$1621=TYPE4)*(TYPE4&lt;&gt;"")+('Dvd Calendar'!$AD$1621=SPECIAL_LBL)*(INC_SPECIALS="Y"))=0,"",'Dvd Calendar'!$AD$1619)))</f>
        <v/>
      </c>
      <c r="AC165" s="161">
        <f>IF(FE165="","",IF(ISNUMBER('Dvd Calendar'!$AE$1619)=FALSE,"",IF((('Dvd Calendar'!$AE$1621=TYPE1)*(TYPE1&lt;&gt;"")+('Dvd Calendar'!$AE$1621=TYPE2)*(TYPE2&lt;&gt;"")+('Dvd Calendar'!$AE$1621=TYPE3)*(TYPE3&lt;&gt;"")+('Dvd Calendar'!$AE$1621=TYPE4)*(TYPE4&lt;&gt;"")+('Dvd Calendar'!$AE$1621=SPECIAL_LBL)*(INC_SPECIALS="Y"))=0,"",'Dvd Calendar'!$AE$1619)))</f>
        <v/>
      </c>
      <c r="AD165" s="161">
        <f>IF(FF165="","",IF(ISNUMBER('Dvd Calendar'!$AF$1619)=FALSE,"",IF((('Dvd Calendar'!$AF$1621=TYPE1)*(TYPE1&lt;&gt;"")+('Dvd Calendar'!$AF$1621=TYPE2)*(TYPE2&lt;&gt;"")+('Dvd Calendar'!$AF$1621=TYPE3)*(TYPE3&lt;&gt;"")+('Dvd Calendar'!$AF$1621=TYPE4)*(TYPE4&lt;&gt;"")+('Dvd Calendar'!$AF$1621=SPECIAL_LBL)*(INC_SPECIALS="Y"))=0,"",'Dvd Calendar'!$AF$1619)))</f>
        <v/>
      </c>
      <c r="AE165" s="161">
        <f>IF(FG165="","",IF(ISNUMBER('Dvd Calendar'!$AG$1619)=FALSE,"",IF((('Dvd Calendar'!$AG$1621=TYPE1)*(TYPE1&lt;&gt;"")+('Dvd Calendar'!$AG$1621=TYPE2)*(TYPE2&lt;&gt;"")+('Dvd Calendar'!$AG$1621=TYPE3)*(TYPE3&lt;&gt;"")+('Dvd Calendar'!$AG$1621=TYPE4)*(TYPE4&lt;&gt;"")+('Dvd Calendar'!$AG$1621=SPECIAL_LBL)*(INC_SPECIALS="Y"))=0,"",'Dvd Calendar'!$AG$1619)))</f>
        <v/>
      </c>
      <c r="AF165" s="161">
        <f>IF(FH165="","",IF(ISNUMBER('Dvd Calendar'!$AH$1619)=FALSE,"",IF((('Dvd Calendar'!$AH$1621=TYPE1)*(TYPE1&lt;&gt;"")+('Dvd Calendar'!$AH$1621=TYPE2)*(TYPE2&lt;&gt;"")+('Dvd Calendar'!$AH$1621=TYPE3)*(TYPE3&lt;&gt;"")+('Dvd Calendar'!$AH$1621=TYPE4)*(TYPE4&lt;&gt;"")+('Dvd Calendar'!$AH$1621=SPECIAL_LBL)*(INC_SPECIALS="Y"))=0,"",'Dvd Calendar'!$AH$1619)))</f>
        <v/>
      </c>
      <c r="AG165" s="161">
        <f>IF(FI165="","",IF(ISNUMBER('Dvd Calendar'!$AI$1619)=FALSE,"",IF((('Dvd Calendar'!$AI$1621=TYPE1)*(TYPE1&lt;&gt;"")+('Dvd Calendar'!$AI$1621=TYPE2)*(TYPE2&lt;&gt;"")+('Dvd Calendar'!$AI$1621=TYPE3)*(TYPE3&lt;&gt;"")+('Dvd Calendar'!$AI$1621=TYPE4)*(TYPE4&lt;&gt;"")+('Dvd Calendar'!$AI$1621=SPECIAL_LBL)*(INC_SPECIALS="Y"))=0,"",'Dvd Calendar'!$AI$1619)))</f>
        <v/>
      </c>
      <c r="AH165" s="161">
        <f>IF(FJ165="","",IF(ISNUMBER('Dvd Calendar'!$AJ$1619)=FALSE,"",IF((('Dvd Calendar'!$AJ$1621=TYPE1)*(TYPE1&lt;&gt;"")+('Dvd Calendar'!$AJ$1621=TYPE2)*(TYPE2&lt;&gt;"")+('Dvd Calendar'!$AJ$1621=TYPE3)*(TYPE3&lt;&gt;"")+('Dvd Calendar'!$AJ$1621=TYPE4)*(TYPE4&lt;&gt;"")+('Dvd Calendar'!$AJ$1621=SPECIAL_LBL)*(INC_SPECIALS="Y"))=0,"",'Dvd Calendar'!$AJ$1619)))</f>
        <v/>
      </c>
      <c r="AI165" s="161">
        <f>IF(FK165="","",IF(ISNUMBER('Dvd Calendar'!$AK$1619)=FALSE,"",IF((('Dvd Calendar'!$AK$1621=TYPE1)*(TYPE1&lt;&gt;"")+('Dvd Calendar'!$AK$1621=TYPE2)*(TYPE2&lt;&gt;"")+('Dvd Calendar'!$AK$1621=TYPE3)*(TYPE3&lt;&gt;"")+('Dvd Calendar'!$AK$1621=TYPE4)*(TYPE4&lt;&gt;"")+('Dvd Calendar'!$AK$1621=SPECIAL_LBL)*(INC_SPECIALS="Y"))=0,"",'Dvd Calendar'!$AK$1619)))</f>
        <v/>
      </c>
      <c r="AJ165" s="161">
        <f>IF(FL165="","",IF(ISNUMBER('Dvd Calendar'!$AL$1619)=FALSE,"",IF((('Dvd Calendar'!$AL$1621=TYPE1)*(TYPE1&lt;&gt;"")+('Dvd Calendar'!$AL$1621=TYPE2)*(TYPE2&lt;&gt;"")+('Dvd Calendar'!$AL$1621=TYPE3)*(TYPE3&lt;&gt;"")+('Dvd Calendar'!$AL$1621=TYPE4)*(TYPE4&lt;&gt;"")+('Dvd Calendar'!$AL$1621=SPECIAL_LBL)*(INC_SPECIALS="Y"))=0,"",'Dvd Calendar'!$AL$1619)))</f>
        <v/>
      </c>
      <c r="AK165" s="161">
        <f>IF(FM165="","",IF(ISNUMBER('Dvd Calendar'!$AM$1619)=FALSE,"",IF((('Dvd Calendar'!$AM$1621=TYPE1)*(TYPE1&lt;&gt;"")+('Dvd Calendar'!$AM$1621=TYPE2)*(TYPE2&lt;&gt;"")+('Dvd Calendar'!$AM$1621=TYPE3)*(TYPE3&lt;&gt;"")+('Dvd Calendar'!$AM$1621=TYPE4)*(TYPE4&lt;&gt;"")+('Dvd Calendar'!$AM$1621=SPECIAL_LBL)*(INC_SPECIALS="Y"))=0,"",'Dvd Calendar'!$AM$1619)))</f>
        <v/>
      </c>
      <c r="AL165" s="161">
        <f>IF(FN165="","",IF(ISNUMBER('Dvd Calendar'!$AN$1619)=FALSE,"",IF((('Dvd Calendar'!$AN$1621=TYPE1)*(TYPE1&lt;&gt;"")+('Dvd Calendar'!$AN$1621=TYPE2)*(TYPE2&lt;&gt;"")+('Dvd Calendar'!$AN$1621=TYPE3)*(TYPE3&lt;&gt;"")+('Dvd Calendar'!$AN$1621=TYPE4)*(TYPE4&lt;&gt;"")+('Dvd Calendar'!$AN$1621=SPECIAL_LBL)*(INC_SPECIALS="Y"))=0,"",'Dvd Calendar'!$AN$1619)))</f>
        <v/>
      </c>
      <c r="AM165" s="161">
        <f>IF(FO165="","",IF(ISNUMBER('Dvd Calendar'!$AO$1619)=FALSE,"",IF((('Dvd Calendar'!$AO$1621=TYPE1)*(TYPE1&lt;&gt;"")+('Dvd Calendar'!$AO$1621=TYPE2)*(TYPE2&lt;&gt;"")+('Dvd Calendar'!$AO$1621=TYPE3)*(TYPE3&lt;&gt;"")+('Dvd Calendar'!$AO$1621=TYPE4)*(TYPE4&lt;&gt;"")+('Dvd Calendar'!$AO$1621=SPECIAL_LBL)*(INC_SPECIALS="Y"))=0,"",'Dvd Calendar'!$AO$1619)))</f>
        <v/>
      </c>
      <c r="AN165" s="161">
        <f>IF(FP165="","",IF(ISNUMBER('Dvd Calendar'!$AP$1619)=FALSE,"",IF((('Dvd Calendar'!$AP$1621=TYPE1)*(TYPE1&lt;&gt;"")+('Dvd Calendar'!$AP$1621=TYPE2)*(TYPE2&lt;&gt;"")+('Dvd Calendar'!$AP$1621=TYPE3)*(TYPE3&lt;&gt;"")+('Dvd Calendar'!$AP$1621=TYPE4)*(TYPE4&lt;&gt;"")+('Dvd Calendar'!$AP$1621=SPECIAL_LBL)*(INC_SPECIALS="Y"))=0,"",'Dvd Calendar'!$AP$1619)))</f>
        <v/>
      </c>
      <c r="AO165" s="161">
        <f>IF(FQ165="","",IF(ISNUMBER('Dvd Calendar'!$AQ$1619)=FALSE,"",IF((('Dvd Calendar'!$AQ$1621=TYPE1)*(TYPE1&lt;&gt;"")+('Dvd Calendar'!$AQ$1621=TYPE2)*(TYPE2&lt;&gt;"")+('Dvd Calendar'!$AQ$1621=TYPE3)*(TYPE3&lt;&gt;"")+('Dvd Calendar'!$AQ$1621=TYPE4)*(TYPE4&lt;&gt;"")+('Dvd Calendar'!$AQ$1621=SPECIAL_LBL)*(INC_SPECIALS="Y"))=0,"",'Dvd Calendar'!$AQ$1619)))</f>
        <v/>
      </c>
      <c r="AP165" s="161">
        <f>IF(FR165="","",IF(ISNUMBER('Dvd Calendar'!$AR$1619)=FALSE,"",IF((('Dvd Calendar'!$AR$1621=TYPE1)*(TYPE1&lt;&gt;"")+('Dvd Calendar'!$AR$1621=TYPE2)*(TYPE2&lt;&gt;"")+('Dvd Calendar'!$AR$1621=TYPE3)*(TYPE3&lt;&gt;"")+('Dvd Calendar'!$AR$1621=TYPE4)*(TYPE4&lt;&gt;"")+('Dvd Calendar'!$AR$1621=SPECIAL_LBL)*(INC_SPECIALS="Y"))=0,"",'Dvd Calendar'!$AR$1619)))</f>
        <v/>
      </c>
      <c r="AQ165" s="161">
        <f>IF(FS165="","",IF(ISNUMBER('Dvd Calendar'!$E$1624)=FALSE,"",'Dvd Calendar'!$E$1624))</f>
        <v/>
      </c>
      <c r="AR165" s="161">
        <f>IF(FT165="","",IF(ISNUMBER('Dvd Calendar'!$F$1624)=FALSE,"",'Dvd Calendar'!$F$1624))</f>
        <v/>
      </c>
      <c r="AS165" s="161">
        <f>IF(FU165="","",IF(ISNUMBER('Dvd Calendar'!$G$1624)=FALSE,"",'Dvd Calendar'!$G$1624))</f>
        <v/>
      </c>
      <c r="AT165" s="161">
        <f>IF(FV165="","",IF(ISNUMBER('Dvd Calendar'!$H$1624)=FALSE,"",'Dvd Calendar'!$H$1624))</f>
        <v/>
      </c>
      <c r="AU165" s="161">
        <f>IF(FW165="","",IF(ISNUMBER('Dvd Calendar'!$I$1624)=FALSE,"",'Dvd Calendar'!$I$1624))</f>
        <v/>
      </c>
      <c r="AV165" s="161">
        <f>IF(FX165="","",IF(ISNUMBER('Dvd Calendar'!$J$1624)=FALSE,"",'Dvd Calendar'!$J$1624))</f>
        <v/>
      </c>
      <c r="AW165" s="161">
        <f>IF(FY165="","",IF(ISNUMBER('Dvd Calendar'!$K$1624)=FALSE,"",'Dvd Calendar'!$K$1624))</f>
        <v/>
      </c>
      <c r="AX165" s="161">
        <f>IF(FZ165="","",IF(ISNUMBER('Dvd Calendar'!$L$1624)=FALSE,"",'Dvd Calendar'!$L$1624))</f>
        <v/>
      </c>
      <c r="AY165" s="161">
        <f>IF(GA165="","",IF(ISNUMBER('Dvd Calendar'!$M$1624)=FALSE,"",'Dvd Calendar'!$M$1624))</f>
        <v/>
      </c>
      <c r="AZ165" s="161">
        <f>IF(GB165="","",IF(ISNUMBER('Dvd Calendar'!$N$1624)=FALSE,"",'Dvd Calendar'!$N$1624))</f>
        <v/>
      </c>
      <c r="BA165" s="161">
        <f>IF(GC165="","",IF(ISNUMBER('Dvd Calendar'!$O$1624)=FALSE,"",'Dvd Calendar'!$O$1624))</f>
        <v/>
      </c>
      <c r="BB165" s="161">
        <f>IF(GD165="","",IF(ISNUMBER('Dvd Calendar'!$P$1624)=FALSE,"",'Dvd Calendar'!$P$1624))</f>
        <v/>
      </c>
      <c r="BC165" s="161">
        <f>IF(GE165="","",IF(ISNUMBER('Dvd Calendar'!$Q$1624)=FALSE,"",'Dvd Calendar'!$Q$1624))</f>
        <v/>
      </c>
      <c r="BD165" s="161">
        <f>IF(GF165="","",IF(ISNUMBER('Dvd Calendar'!$R$1624)=FALSE,"",'Dvd Calendar'!$R$1624))</f>
        <v/>
      </c>
      <c r="BE165" s="161">
        <f>IF(GG165="","",IF(ISNUMBER('Dvd Calendar'!$S$1624)=FALSE,"",'Dvd Calendar'!$S$1624))</f>
        <v/>
      </c>
      <c r="BF165" s="161">
        <f>IF(GH165="","",IF(ISNUMBER('Dvd Calendar'!$T$1624)=FALSE,"",'Dvd Calendar'!$T$1624))</f>
        <v/>
      </c>
      <c r="BG165" s="161">
        <f>IF(GI165="","",IF(ISNUMBER('Dvd Calendar'!$U$1624)=FALSE,"",'Dvd Calendar'!$U$1624))</f>
        <v/>
      </c>
      <c r="BH165" s="161">
        <f>IF(GJ165="","",IF(ISNUMBER('Dvd Calendar'!$V$1624)=FALSE,"",'Dvd Calendar'!$V$1624))</f>
        <v/>
      </c>
      <c r="BI165" s="161">
        <f>IF(GK165="","",IF(ISNUMBER('Dvd Calendar'!$W$1624)=FALSE,"",'Dvd Calendar'!$W$1624))</f>
        <v/>
      </c>
      <c r="BJ165" s="161">
        <f>IF(GL165="","",IF(ISNUMBER('Dvd Calendar'!$X$1624)=FALSE,"",'Dvd Calendar'!$X$1624))</f>
        <v/>
      </c>
      <c r="BK165" s="161">
        <f>IF(GM165="","",IF(ISNUMBER('Dvd Calendar'!$Y$1624)=FALSE,"",'Dvd Calendar'!$Y$1624))</f>
        <v/>
      </c>
      <c r="BL165" s="161">
        <f>IF(GN165="","",IF(ISNUMBER('Dvd Calendar'!$Z$1624)=FALSE,"",'Dvd Calendar'!$Z$1624))</f>
        <v/>
      </c>
      <c r="BM165" s="161">
        <f>IF(GO165="","",IF(ISNUMBER('Dvd Calendar'!$AA$1624)=FALSE,"",'Dvd Calendar'!$AA$1624))</f>
        <v/>
      </c>
      <c r="BN165" s="161">
        <f>IF(GP165="","",IF(ISNUMBER('Dvd Calendar'!$AB$1624)=FALSE,"",'Dvd Calendar'!$AB$1624))</f>
        <v/>
      </c>
      <c r="BO165" s="161">
        <f>IF(GQ165="","",IF(ISNUMBER('Dvd Calendar'!$AC$1624)=FALSE,"",'Dvd Calendar'!$AC$1624))</f>
        <v/>
      </c>
      <c r="BQ165" s="161">
        <f>IF(C165="","",IFERROR(C165*HSCEI!$B$12*HSCEI!$G$12/HSCEI!$B$3,""))</f>
        <v/>
      </c>
      <c r="BR165" s="161">
        <f>IF(D165="","",IFERROR(D165*HSCEI!$B$12*HSCEI!$G$12/HSCEI!$B$3,""))</f>
        <v/>
      </c>
      <c r="BS165" s="161">
        <f>IF(E165="","",IFERROR(E165*HSCEI!$B$12*HSCEI!$G$12/HSCEI!$B$3,""))</f>
        <v/>
      </c>
      <c r="BT165" s="161">
        <f>IF(F165="","",IFERROR(F165*HSCEI!$B$12*HSCEI!$G$12/HSCEI!$B$3,""))</f>
        <v/>
      </c>
      <c r="BU165" s="161">
        <f>IF(G165="","",IFERROR(G165*HSCEI!$B$12*HSCEI!$G$12/HSCEI!$B$3,""))</f>
        <v/>
      </c>
      <c r="BV165" s="161">
        <f>IF(H165="","",IFERROR(H165*HSCEI!$B$12*HSCEI!$G$12/HSCEI!$B$3,""))</f>
        <v/>
      </c>
      <c r="BW165" s="161">
        <f>IF(I165="","",IFERROR(I165*HSCEI!$B$12*HSCEI!$G$12/HSCEI!$B$3,""))</f>
        <v/>
      </c>
      <c r="BX165" s="161">
        <f>IF(J165="","",IFERROR(J165*HSCEI!$B$12*HSCEI!$G$12/HSCEI!$B$3,""))</f>
        <v/>
      </c>
      <c r="BY165" s="161">
        <f>IF(K165="","",IFERROR(K165*HSCEI!$B$12*HSCEI!$G$12/HSCEI!$B$3,""))</f>
        <v/>
      </c>
      <c r="BZ165" s="161">
        <f>IF(L165="","",IFERROR(L165*HSCEI!$B$12*HSCEI!$G$12/HSCEI!$B$3,""))</f>
        <v/>
      </c>
      <c r="CA165" s="161">
        <f>IF(M165="","",IFERROR(M165*HSCEI!$B$12*HSCEI!$G$12/HSCEI!$B$3,""))</f>
        <v/>
      </c>
      <c r="CB165" s="161">
        <f>IF(N165="","",IFERROR(N165*HSCEI!$B$12*HSCEI!$G$12/HSCEI!$B$3,""))</f>
        <v/>
      </c>
      <c r="CC165" s="161">
        <f>IF(O165="","",IFERROR(O165*HSCEI!$B$12*HSCEI!$G$12/HSCEI!$B$3,""))</f>
        <v/>
      </c>
      <c r="CD165" s="161">
        <f>IF(P165="","",IFERROR(P165*HSCEI!$B$12*HSCEI!$G$12/HSCEI!$B$3,""))</f>
        <v/>
      </c>
      <c r="CE165" s="161">
        <f>IF(Q165="","",IFERROR(Q165*HSCEI!$B$12*HSCEI!$G$12/HSCEI!$B$3,""))</f>
        <v/>
      </c>
      <c r="CF165" s="161">
        <f>IF(R165="","",IFERROR(R165*HSCEI!$B$12*HSCEI!$G$12/HSCEI!$B$3,""))</f>
        <v/>
      </c>
      <c r="CG165" s="161">
        <f>IF(S165="","",IFERROR(S165*HSCEI!$B$12*HSCEI!$G$12/HSCEI!$B$3,""))</f>
        <v/>
      </c>
      <c r="CH165" s="161">
        <f>IF(T165="","",IFERROR(T165*HSCEI!$B$12*HSCEI!$G$12/HSCEI!$B$3,""))</f>
        <v/>
      </c>
      <c r="CI165" s="161">
        <f>IF(U165="","",IFERROR(U165*HSCEI!$B$12*HSCEI!$G$12/HSCEI!$B$3,""))</f>
        <v/>
      </c>
      <c r="CJ165" s="161">
        <f>IF(V165="","",IFERROR(V165*HSCEI!$B$12*HSCEI!$G$12/HSCEI!$B$3,""))</f>
        <v/>
      </c>
      <c r="CK165" s="161">
        <f>IF(W165="","",IFERROR(W165*HSCEI!$B$12*HSCEI!$G$12/HSCEI!$B$3,""))</f>
        <v/>
      </c>
      <c r="CL165" s="161">
        <f>IF(X165="","",IFERROR(X165*HSCEI!$B$12*HSCEI!$G$12/HSCEI!$B$3,""))</f>
        <v/>
      </c>
      <c r="CM165" s="161">
        <f>IF(Y165="","",IFERROR(Y165*HSCEI!$B$12*HSCEI!$G$12/HSCEI!$B$3,""))</f>
        <v/>
      </c>
      <c r="CN165" s="161">
        <f>IF(Z165="","",IFERROR(Z165*HSCEI!$B$12*HSCEI!$G$12/HSCEI!$B$3,""))</f>
        <v/>
      </c>
      <c r="CO165" s="161">
        <f>IF(AA165="","",IFERROR(AA165*HSCEI!$B$12*HSCEI!$G$12/HSCEI!$B$3,""))</f>
        <v/>
      </c>
      <c r="CP165" s="161">
        <f>IF(AB165="","",IFERROR(AB165*HSCEI!$B$12*HSCEI!$G$12/HSCEI!$B$3,""))</f>
        <v/>
      </c>
      <c r="CQ165" s="161">
        <f>IF(AC165="","",IFERROR(AC165*HSCEI!$B$12*HSCEI!$G$12/HSCEI!$B$3,""))</f>
        <v/>
      </c>
      <c r="CR165" s="161">
        <f>IF(AD165="","",IFERROR(AD165*HSCEI!$B$12*HSCEI!$G$12/HSCEI!$B$3,""))</f>
        <v/>
      </c>
      <c r="CS165" s="161">
        <f>IF(AE165="","",IFERROR(AE165*HSCEI!$B$12*HSCEI!$G$12/HSCEI!$B$3,""))</f>
        <v/>
      </c>
      <c r="CT165" s="161">
        <f>IF(AF165="","",IFERROR(AF165*HSCEI!$B$12*HSCEI!$G$12/HSCEI!$B$3,""))</f>
        <v/>
      </c>
      <c r="CU165" s="161">
        <f>IF(AG165="","",IFERROR(AG165*HSCEI!$B$12*HSCEI!$G$12/HSCEI!$B$3,""))</f>
        <v/>
      </c>
      <c r="CV165" s="161">
        <f>IF(AH165="","",IFERROR(AH165*HSCEI!$B$12*HSCEI!$G$12/HSCEI!$B$3,""))</f>
        <v/>
      </c>
      <c r="CW165" s="161">
        <f>IF(AI165="","",IFERROR(AI165*HSCEI!$B$12*HSCEI!$G$12/HSCEI!$B$3,""))</f>
        <v/>
      </c>
      <c r="CX165" s="161">
        <f>IF(AJ165="","",IFERROR(AJ165*HSCEI!$B$12*HSCEI!$G$12/HSCEI!$B$3,""))</f>
        <v/>
      </c>
      <c r="CY165" s="161">
        <f>IF(AK165="","",IFERROR(AK165*HSCEI!$B$12*HSCEI!$G$12/HSCEI!$B$3,""))</f>
        <v/>
      </c>
      <c r="CZ165" s="161">
        <f>IF(AL165="","",IFERROR(AL165*HSCEI!$B$12*HSCEI!$G$12/HSCEI!$B$3,""))</f>
        <v/>
      </c>
      <c r="DA165" s="161">
        <f>IF(AM165="","",IFERROR(AM165*HSCEI!$B$12*HSCEI!$G$12/HSCEI!$B$3,""))</f>
        <v/>
      </c>
      <c r="DB165" s="161">
        <f>IF(AN165="","",IFERROR(AN165*HSCEI!$B$12*HSCEI!$G$12/HSCEI!$B$3,""))</f>
        <v/>
      </c>
      <c r="DC165" s="161">
        <f>IF(AO165="","",IFERROR(AO165*HSCEI!$B$12*HSCEI!$G$12/HSCEI!$B$3,""))</f>
        <v/>
      </c>
      <c r="DD165" s="161">
        <f>IF(AP165="","",IFERROR(AP165*HSCEI!$B$12*HSCEI!$G$12/HSCEI!$B$3,""))</f>
        <v/>
      </c>
      <c r="DE165" s="161">
        <f>IF(AQ165="","",IFERROR(AQ165*HSCEI!$B$12*HSCEI!$G$12/HSCEI!$B$3,""))</f>
        <v/>
      </c>
      <c r="DF165" s="161">
        <f>IF(AR165="","",IFERROR(AR165*HSCEI!$B$12*HSCEI!$G$12/HSCEI!$B$3,""))</f>
        <v/>
      </c>
      <c r="DG165" s="161">
        <f>IF(AS165="","",IFERROR(AS165*HSCEI!$B$12*HSCEI!$G$12/HSCEI!$B$3,""))</f>
        <v/>
      </c>
      <c r="DH165" s="161">
        <f>IF(AT165="","",IFERROR(AT165*HSCEI!$B$12*HSCEI!$G$12/HSCEI!$B$3,""))</f>
        <v/>
      </c>
      <c r="DI165" s="161">
        <f>IF(AU165="","",IFERROR(AU165*HSCEI!$B$12*HSCEI!$G$12/HSCEI!$B$3,""))</f>
        <v/>
      </c>
      <c r="DJ165" s="161">
        <f>IF(AV165="","",IFERROR(AV165*HSCEI!$B$12*HSCEI!$G$12/HSCEI!$B$3,""))</f>
        <v/>
      </c>
      <c r="DK165" s="161">
        <f>IF(AW165="","",IFERROR(AW165*HSCEI!$B$12*HSCEI!$G$12/HSCEI!$B$3,""))</f>
        <v/>
      </c>
      <c r="DL165" s="161">
        <f>IF(AX165="","",IFERROR(AX165*HSCEI!$B$12*HSCEI!$G$12/HSCEI!$B$3,""))</f>
        <v/>
      </c>
      <c r="DM165" s="161">
        <f>IF(AY165="","",IFERROR(AY165*HSCEI!$B$12*HSCEI!$G$12/HSCEI!$B$3,""))</f>
        <v/>
      </c>
      <c r="DN165" s="161">
        <f>IF(AZ165="","",IFERROR(AZ165*HSCEI!$B$12*HSCEI!$G$12/HSCEI!$B$3,""))</f>
        <v/>
      </c>
      <c r="DO165" s="161">
        <f>IF(BA165="","",IFERROR(BA165*HSCEI!$B$12*HSCEI!$G$12/HSCEI!$B$3,""))</f>
        <v/>
      </c>
      <c r="DP165" s="161">
        <f>IF(BB165="","",IFERROR(BB165*HSCEI!$B$12*HSCEI!$G$12/HSCEI!$B$3,""))</f>
        <v/>
      </c>
      <c r="DQ165" s="161">
        <f>IF(BC165="","",IFERROR(BC165*HSCEI!$B$12*HSCEI!$G$12/HSCEI!$B$3,""))</f>
        <v/>
      </c>
      <c r="DR165" s="161">
        <f>IF(BD165="","",IFERROR(BD165*HSCEI!$B$12*HSCEI!$G$12/HSCEI!$B$3,""))</f>
        <v/>
      </c>
      <c r="DS165" s="161">
        <f>IF(BE165="","",IFERROR(BE165*HSCEI!$B$12*HSCEI!$G$12/HSCEI!$B$3,""))</f>
        <v/>
      </c>
      <c r="DT165" s="161">
        <f>IF(BF165="","",IFERROR(BF165*HSCEI!$B$12*HSCEI!$G$12/HSCEI!$B$3,""))</f>
        <v/>
      </c>
      <c r="DU165" s="161">
        <f>IF(BG165="","",IFERROR(BG165*HSCEI!$B$12*HSCEI!$G$12/HSCEI!$B$3,""))</f>
        <v/>
      </c>
      <c r="DV165" s="161">
        <f>IF(BH165="","",IFERROR(BH165*HSCEI!$B$12*HSCEI!$G$12/HSCEI!$B$3,""))</f>
        <v/>
      </c>
      <c r="DW165" s="161">
        <f>IF(BI165="","",IFERROR(BI165*HSCEI!$B$12*HSCEI!$G$12/HSCEI!$B$3,""))</f>
        <v/>
      </c>
      <c r="DX165" s="161">
        <f>IF(BJ165="","",IFERROR(BJ165*HSCEI!$B$12*HSCEI!$G$12/HSCEI!$B$3,""))</f>
        <v/>
      </c>
      <c r="DY165" s="161">
        <f>IF(BK165="","",IFERROR(BK165*HSCEI!$B$12*HSCEI!$G$12/HSCEI!$B$3,""))</f>
        <v/>
      </c>
      <c r="DZ165" s="161">
        <f>IF(BL165="","",IFERROR(BL165*HSCEI!$B$12*HSCEI!$G$12/HSCEI!$B$3,""))</f>
        <v/>
      </c>
      <c r="EA165" s="161">
        <f>IF(BM165="","",IFERROR(BM165*HSCEI!$B$12*HSCEI!$G$12/HSCEI!$B$3,""))</f>
        <v/>
      </c>
      <c r="EB165" s="161">
        <f>IF(BN165="","",IFERROR(BN165*HSCEI!$B$12*HSCEI!$G$12/HSCEI!$B$3,""))</f>
        <v/>
      </c>
      <c r="EC165" s="161">
        <f>IF(BO165="","",IFERROR(BO165*HSCEI!$B$12*HSCEI!$G$12/HSCEI!$B$3,""))</f>
        <v/>
      </c>
      <c r="EE165" s="121">
        <f>IF(N('Dvd Calendar'!$E$1616)=0,"",IF(('Dvd Calendar'!$E$1616&gt;=GRID_FROM)*('Dvd Calendar'!$E$1616&lt;=GRID_TO)*((('Dvd Calendar'!$E$1616&lt;=VAL_DATE)+(COUNTIF('Dvd Calendar'!$E$1623:$AR$1623,'Dvd Calendar'!$E$1616)=0))&gt;0)=0,"",'Dvd Calendar'!$E$1616*1000000000+ISNUMBER('Dvd Calendar'!$E$1619)*100000000+('Dvd Calendar'!$E$1621=SPECIAL_LBL)*10000000+(N('Dvd Calendar'!$E$1615)&gt;0)*(N('Dvd Calendar'!$E$1615)&lt;=VAL_SERIAL)*1000000+6*1000+1))</f>
        <v/>
      </c>
      <c r="EF165" s="121">
        <f>IF(N('Dvd Calendar'!$F$1616)=0,"",IF(('Dvd Calendar'!$F$1616&gt;=GRID_FROM)*('Dvd Calendar'!$F$1616&lt;=GRID_TO)*((('Dvd Calendar'!$F$1616&lt;=VAL_DATE)+(COUNTIF('Dvd Calendar'!$E$1623:$AR$1623,'Dvd Calendar'!$F$1616)=0))&gt;0)=0,"",'Dvd Calendar'!$F$1616*1000000000+ISNUMBER('Dvd Calendar'!$F$1619)*100000000+('Dvd Calendar'!$F$1621=SPECIAL_LBL)*10000000+(N('Dvd Calendar'!$F$1615)&gt;0)*(N('Dvd Calendar'!$F$1615)&lt;=VAL_SERIAL)*1000000+6*1000+2))</f>
        <v/>
      </c>
      <c r="EG165" s="121">
        <f>IF(N('Dvd Calendar'!$G$1616)=0,"",IF(('Dvd Calendar'!$G$1616&gt;=GRID_FROM)*('Dvd Calendar'!$G$1616&lt;=GRID_TO)*((('Dvd Calendar'!$G$1616&lt;=VAL_DATE)+(COUNTIF('Dvd Calendar'!$E$1623:$AR$1623,'Dvd Calendar'!$G$1616)=0))&gt;0)=0,"",'Dvd Calendar'!$G$1616*1000000000+ISNUMBER('Dvd Calendar'!$G$1619)*100000000+('Dvd Calendar'!$G$1621=SPECIAL_LBL)*10000000+(N('Dvd Calendar'!$G$1615)&gt;0)*(N('Dvd Calendar'!$G$1615)&lt;=VAL_SERIAL)*1000000+6*1000+3))</f>
        <v/>
      </c>
      <c r="EH165" s="121">
        <f>IF(N('Dvd Calendar'!$H$1616)=0,"",IF(('Dvd Calendar'!$H$1616&gt;=GRID_FROM)*('Dvd Calendar'!$H$1616&lt;=GRID_TO)*((('Dvd Calendar'!$H$1616&lt;=VAL_DATE)+(COUNTIF('Dvd Calendar'!$E$1623:$AR$1623,'Dvd Calendar'!$H$1616)=0))&gt;0)=0,"",'Dvd Calendar'!$H$1616*1000000000+ISNUMBER('Dvd Calendar'!$H$1619)*100000000+('Dvd Calendar'!$H$1621=SPECIAL_LBL)*10000000+(N('Dvd Calendar'!$H$1615)&gt;0)*(N('Dvd Calendar'!$H$1615)&lt;=VAL_SERIAL)*1000000+6*1000+4))</f>
        <v/>
      </c>
      <c r="EI165" s="121">
        <f>IF(N('Dvd Calendar'!$I$1616)=0,"",IF(('Dvd Calendar'!$I$1616&gt;=GRID_FROM)*('Dvd Calendar'!$I$1616&lt;=GRID_TO)*((('Dvd Calendar'!$I$1616&lt;=VAL_DATE)+(COUNTIF('Dvd Calendar'!$E$1623:$AR$1623,'Dvd Calendar'!$I$1616)=0))&gt;0)=0,"",'Dvd Calendar'!$I$1616*1000000000+ISNUMBER('Dvd Calendar'!$I$1619)*100000000+('Dvd Calendar'!$I$1621=SPECIAL_LBL)*10000000+(N('Dvd Calendar'!$I$1615)&gt;0)*(N('Dvd Calendar'!$I$1615)&lt;=VAL_SERIAL)*1000000+6*1000+5))</f>
        <v/>
      </c>
      <c r="EJ165" s="121">
        <f>IF(N('Dvd Calendar'!$J$1616)=0,"",IF(('Dvd Calendar'!$J$1616&gt;=GRID_FROM)*('Dvd Calendar'!$J$1616&lt;=GRID_TO)*((('Dvd Calendar'!$J$1616&lt;=VAL_DATE)+(COUNTIF('Dvd Calendar'!$E$1623:$AR$1623,'Dvd Calendar'!$J$1616)=0))&gt;0)=0,"",'Dvd Calendar'!$J$1616*1000000000+ISNUMBER('Dvd Calendar'!$J$1619)*100000000+('Dvd Calendar'!$J$1621=SPECIAL_LBL)*10000000+(N('Dvd Calendar'!$J$1615)&gt;0)*(N('Dvd Calendar'!$J$1615)&lt;=VAL_SERIAL)*1000000+6*1000+6))</f>
        <v/>
      </c>
      <c r="EK165" s="121">
        <f>IF(N('Dvd Calendar'!$K$1616)=0,"",IF(('Dvd Calendar'!$K$1616&gt;=GRID_FROM)*('Dvd Calendar'!$K$1616&lt;=GRID_TO)*((('Dvd Calendar'!$K$1616&lt;=VAL_DATE)+(COUNTIF('Dvd Calendar'!$E$1623:$AR$1623,'Dvd Calendar'!$K$1616)=0))&gt;0)=0,"",'Dvd Calendar'!$K$1616*1000000000+ISNUMBER('Dvd Calendar'!$K$1619)*100000000+('Dvd Calendar'!$K$1621=SPECIAL_LBL)*10000000+(N('Dvd Calendar'!$K$1615)&gt;0)*(N('Dvd Calendar'!$K$1615)&lt;=VAL_SERIAL)*1000000+6*1000+7))</f>
        <v/>
      </c>
      <c r="EL165" s="121">
        <f>IF(N('Dvd Calendar'!$L$1616)=0,"",IF(('Dvd Calendar'!$L$1616&gt;=GRID_FROM)*('Dvd Calendar'!$L$1616&lt;=GRID_TO)*((('Dvd Calendar'!$L$1616&lt;=VAL_DATE)+(COUNTIF('Dvd Calendar'!$E$1623:$AR$1623,'Dvd Calendar'!$L$1616)=0))&gt;0)=0,"",'Dvd Calendar'!$L$1616*1000000000+ISNUMBER('Dvd Calendar'!$L$1619)*100000000+('Dvd Calendar'!$L$1621=SPECIAL_LBL)*10000000+(N('Dvd Calendar'!$L$1615)&gt;0)*(N('Dvd Calendar'!$L$1615)&lt;=VAL_SERIAL)*1000000+6*1000+8))</f>
        <v/>
      </c>
      <c r="EM165" s="121">
        <f>IF(N('Dvd Calendar'!$M$1616)=0,"",IF(('Dvd Calendar'!$M$1616&gt;=GRID_FROM)*('Dvd Calendar'!$M$1616&lt;=GRID_TO)*((('Dvd Calendar'!$M$1616&lt;=VAL_DATE)+(COUNTIF('Dvd Calendar'!$E$1623:$AR$1623,'Dvd Calendar'!$M$1616)=0))&gt;0)=0,"",'Dvd Calendar'!$M$1616*1000000000+ISNUMBER('Dvd Calendar'!$M$1619)*100000000+('Dvd Calendar'!$M$1621=SPECIAL_LBL)*10000000+(N('Dvd Calendar'!$M$1615)&gt;0)*(N('Dvd Calendar'!$M$1615)&lt;=VAL_SERIAL)*1000000+6*1000+9))</f>
        <v/>
      </c>
      <c r="EN165" s="121">
        <f>IF(N('Dvd Calendar'!$N$1616)=0,"",IF(('Dvd Calendar'!$N$1616&gt;=GRID_FROM)*('Dvd Calendar'!$N$1616&lt;=GRID_TO)*((('Dvd Calendar'!$N$1616&lt;=VAL_DATE)+(COUNTIF('Dvd Calendar'!$E$1623:$AR$1623,'Dvd Calendar'!$N$1616)=0))&gt;0)=0,"",'Dvd Calendar'!$N$1616*1000000000+ISNUMBER('Dvd Calendar'!$N$1619)*100000000+('Dvd Calendar'!$N$1621=SPECIAL_LBL)*10000000+(N('Dvd Calendar'!$N$1615)&gt;0)*(N('Dvd Calendar'!$N$1615)&lt;=VAL_SERIAL)*1000000+6*1000+10))</f>
        <v/>
      </c>
      <c r="EO165" s="121">
        <f>IF(N('Dvd Calendar'!$O$1616)=0,"",IF(('Dvd Calendar'!$O$1616&gt;=GRID_FROM)*('Dvd Calendar'!$O$1616&lt;=GRID_TO)*((('Dvd Calendar'!$O$1616&lt;=VAL_DATE)+(COUNTIF('Dvd Calendar'!$E$1623:$AR$1623,'Dvd Calendar'!$O$1616)=0))&gt;0)=0,"",'Dvd Calendar'!$O$1616*1000000000+ISNUMBER('Dvd Calendar'!$O$1619)*100000000+('Dvd Calendar'!$O$1621=SPECIAL_LBL)*10000000+(N('Dvd Calendar'!$O$1615)&gt;0)*(N('Dvd Calendar'!$O$1615)&lt;=VAL_SERIAL)*1000000+6*1000+11))</f>
        <v/>
      </c>
      <c r="EP165" s="121">
        <f>IF(N('Dvd Calendar'!$P$1616)=0,"",IF(('Dvd Calendar'!$P$1616&gt;=GRID_FROM)*('Dvd Calendar'!$P$1616&lt;=GRID_TO)*((('Dvd Calendar'!$P$1616&lt;=VAL_DATE)+(COUNTIF('Dvd Calendar'!$E$1623:$AR$1623,'Dvd Calendar'!$P$1616)=0))&gt;0)=0,"",'Dvd Calendar'!$P$1616*1000000000+ISNUMBER('Dvd Calendar'!$P$1619)*100000000+('Dvd Calendar'!$P$1621=SPECIAL_LBL)*10000000+(N('Dvd Calendar'!$P$1615)&gt;0)*(N('Dvd Calendar'!$P$1615)&lt;=VAL_SERIAL)*1000000+6*1000+12))</f>
        <v/>
      </c>
      <c r="EQ165" s="121">
        <f>IF(N('Dvd Calendar'!$Q$1616)=0,"",IF(('Dvd Calendar'!$Q$1616&gt;=GRID_FROM)*('Dvd Calendar'!$Q$1616&lt;=GRID_TO)*((('Dvd Calendar'!$Q$1616&lt;=VAL_DATE)+(COUNTIF('Dvd Calendar'!$E$1623:$AR$1623,'Dvd Calendar'!$Q$1616)=0))&gt;0)=0,"",'Dvd Calendar'!$Q$1616*1000000000+ISNUMBER('Dvd Calendar'!$Q$1619)*100000000+('Dvd Calendar'!$Q$1621=SPECIAL_LBL)*10000000+(N('Dvd Calendar'!$Q$1615)&gt;0)*(N('Dvd Calendar'!$Q$1615)&lt;=VAL_SERIAL)*1000000+6*1000+13))</f>
        <v/>
      </c>
      <c r="ER165" s="121">
        <f>IF(N('Dvd Calendar'!$R$1616)=0,"",IF(('Dvd Calendar'!$R$1616&gt;=GRID_FROM)*('Dvd Calendar'!$R$1616&lt;=GRID_TO)*((('Dvd Calendar'!$R$1616&lt;=VAL_DATE)+(COUNTIF('Dvd Calendar'!$E$1623:$AR$1623,'Dvd Calendar'!$R$1616)=0))&gt;0)=0,"",'Dvd Calendar'!$R$1616*1000000000+ISNUMBER('Dvd Calendar'!$R$1619)*100000000+('Dvd Calendar'!$R$1621=SPECIAL_LBL)*10000000+(N('Dvd Calendar'!$R$1615)&gt;0)*(N('Dvd Calendar'!$R$1615)&lt;=VAL_SERIAL)*1000000+6*1000+14))</f>
        <v/>
      </c>
      <c r="ES165" s="121">
        <f>IF(N('Dvd Calendar'!$S$1616)=0,"",IF(('Dvd Calendar'!$S$1616&gt;=GRID_FROM)*('Dvd Calendar'!$S$1616&lt;=GRID_TO)*((('Dvd Calendar'!$S$1616&lt;=VAL_DATE)+(COUNTIF('Dvd Calendar'!$E$1623:$AR$1623,'Dvd Calendar'!$S$1616)=0))&gt;0)=0,"",'Dvd Calendar'!$S$1616*1000000000+ISNUMBER('Dvd Calendar'!$S$1619)*100000000+('Dvd Calendar'!$S$1621=SPECIAL_LBL)*10000000+(N('Dvd Calendar'!$S$1615)&gt;0)*(N('Dvd Calendar'!$S$1615)&lt;=VAL_SERIAL)*1000000+6*1000+15))</f>
        <v/>
      </c>
      <c r="ET165" s="121">
        <f>IF(N('Dvd Calendar'!$T$1616)=0,"",IF(('Dvd Calendar'!$T$1616&gt;=GRID_FROM)*('Dvd Calendar'!$T$1616&lt;=GRID_TO)*((('Dvd Calendar'!$T$1616&lt;=VAL_DATE)+(COUNTIF('Dvd Calendar'!$E$1623:$AR$1623,'Dvd Calendar'!$T$1616)=0))&gt;0)=0,"",'Dvd Calendar'!$T$1616*1000000000+ISNUMBER('Dvd Calendar'!$T$1619)*100000000+('Dvd Calendar'!$T$1621=SPECIAL_LBL)*10000000+(N('Dvd Calendar'!$T$1615)&gt;0)*(N('Dvd Calendar'!$T$1615)&lt;=VAL_SERIAL)*1000000+6*1000+16))</f>
        <v/>
      </c>
      <c r="EU165" s="121">
        <f>IF(N('Dvd Calendar'!$U$1616)=0,"",IF(('Dvd Calendar'!$U$1616&gt;=GRID_FROM)*('Dvd Calendar'!$U$1616&lt;=GRID_TO)*((('Dvd Calendar'!$U$1616&lt;=VAL_DATE)+(COUNTIF('Dvd Calendar'!$E$1623:$AR$1623,'Dvd Calendar'!$U$1616)=0))&gt;0)=0,"",'Dvd Calendar'!$U$1616*1000000000+ISNUMBER('Dvd Calendar'!$U$1619)*100000000+('Dvd Calendar'!$U$1621=SPECIAL_LBL)*10000000+(N('Dvd Calendar'!$U$1615)&gt;0)*(N('Dvd Calendar'!$U$1615)&lt;=VAL_SERIAL)*1000000+6*1000+17))</f>
        <v/>
      </c>
      <c r="EV165" s="121">
        <f>IF(N('Dvd Calendar'!$V$1616)=0,"",IF(('Dvd Calendar'!$V$1616&gt;=GRID_FROM)*('Dvd Calendar'!$V$1616&lt;=GRID_TO)*((('Dvd Calendar'!$V$1616&lt;=VAL_DATE)+(COUNTIF('Dvd Calendar'!$E$1623:$AR$1623,'Dvd Calendar'!$V$1616)=0))&gt;0)=0,"",'Dvd Calendar'!$V$1616*1000000000+ISNUMBER('Dvd Calendar'!$V$1619)*100000000+('Dvd Calendar'!$V$1621=SPECIAL_LBL)*10000000+(N('Dvd Calendar'!$V$1615)&gt;0)*(N('Dvd Calendar'!$V$1615)&lt;=VAL_SERIAL)*1000000+6*1000+18))</f>
        <v/>
      </c>
      <c r="EW165" s="121">
        <f>IF(N('Dvd Calendar'!$W$1616)=0,"",IF(('Dvd Calendar'!$W$1616&gt;=GRID_FROM)*('Dvd Calendar'!$W$1616&lt;=GRID_TO)*((('Dvd Calendar'!$W$1616&lt;=VAL_DATE)+(COUNTIF('Dvd Calendar'!$E$1623:$AR$1623,'Dvd Calendar'!$W$1616)=0))&gt;0)=0,"",'Dvd Calendar'!$W$1616*1000000000+ISNUMBER('Dvd Calendar'!$W$1619)*100000000+('Dvd Calendar'!$W$1621=SPECIAL_LBL)*10000000+(N('Dvd Calendar'!$W$1615)&gt;0)*(N('Dvd Calendar'!$W$1615)&lt;=VAL_SERIAL)*1000000+6*1000+19))</f>
        <v/>
      </c>
      <c r="EX165" s="121">
        <f>IF(N('Dvd Calendar'!$X$1616)=0,"",IF(('Dvd Calendar'!$X$1616&gt;=GRID_FROM)*('Dvd Calendar'!$X$1616&lt;=GRID_TO)*((('Dvd Calendar'!$X$1616&lt;=VAL_DATE)+(COUNTIF('Dvd Calendar'!$E$1623:$AR$1623,'Dvd Calendar'!$X$1616)=0))&gt;0)=0,"",'Dvd Calendar'!$X$1616*1000000000+ISNUMBER('Dvd Calendar'!$X$1619)*100000000+('Dvd Calendar'!$X$1621=SPECIAL_LBL)*10000000+(N('Dvd Calendar'!$X$1615)&gt;0)*(N('Dvd Calendar'!$X$1615)&lt;=VAL_SERIAL)*1000000+6*1000+20))</f>
        <v/>
      </c>
      <c r="EY165" s="121">
        <f>IF(N('Dvd Calendar'!$Y$1616)=0,"",IF(('Dvd Calendar'!$Y$1616&gt;=GRID_FROM)*('Dvd Calendar'!$Y$1616&lt;=GRID_TO)*((('Dvd Calendar'!$Y$1616&lt;=VAL_DATE)+(COUNTIF('Dvd Calendar'!$E$1623:$AR$1623,'Dvd Calendar'!$Y$1616)=0))&gt;0)=0,"",'Dvd Calendar'!$Y$1616*1000000000+ISNUMBER('Dvd Calendar'!$Y$1619)*100000000+('Dvd Calendar'!$Y$1621=SPECIAL_LBL)*10000000+(N('Dvd Calendar'!$Y$1615)&gt;0)*(N('Dvd Calendar'!$Y$1615)&lt;=VAL_SERIAL)*1000000+6*1000+21))</f>
        <v/>
      </c>
      <c r="EZ165" s="121">
        <f>IF(N('Dvd Calendar'!$Z$1616)=0,"",IF(('Dvd Calendar'!$Z$1616&gt;=GRID_FROM)*('Dvd Calendar'!$Z$1616&lt;=GRID_TO)*((('Dvd Calendar'!$Z$1616&lt;=VAL_DATE)+(COUNTIF('Dvd Calendar'!$E$1623:$AR$1623,'Dvd Calendar'!$Z$1616)=0))&gt;0)=0,"",'Dvd Calendar'!$Z$1616*1000000000+ISNUMBER('Dvd Calendar'!$Z$1619)*100000000+('Dvd Calendar'!$Z$1621=SPECIAL_LBL)*10000000+(N('Dvd Calendar'!$Z$1615)&gt;0)*(N('Dvd Calendar'!$Z$1615)&lt;=VAL_SERIAL)*1000000+6*1000+22))</f>
        <v/>
      </c>
      <c r="FA165" s="121">
        <f>IF(N('Dvd Calendar'!$AA$1616)=0,"",IF(('Dvd Calendar'!$AA$1616&gt;=GRID_FROM)*('Dvd Calendar'!$AA$1616&lt;=GRID_TO)*((('Dvd Calendar'!$AA$1616&lt;=VAL_DATE)+(COUNTIF('Dvd Calendar'!$E$1623:$AR$1623,'Dvd Calendar'!$AA$1616)=0))&gt;0)=0,"",'Dvd Calendar'!$AA$1616*1000000000+ISNUMBER('Dvd Calendar'!$AA$1619)*100000000+('Dvd Calendar'!$AA$1621=SPECIAL_LBL)*10000000+(N('Dvd Calendar'!$AA$1615)&gt;0)*(N('Dvd Calendar'!$AA$1615)&lt;=VAL_SERIAL)*1000000+6*1000+23))</f>
        <v/>
      </c>
      <c r="FB165" s="121">
        <f>IF(N('Dvd Calendar'!$AB$1616)=0,"",IF(('Dvd Calendar'!$AB$1616&gt;=GRID_FROM)*('Dvd Calendar'!$AB$1616&lt;=GRID_TO)*((('Dvd Calendar'!$AB$1616&lt;=VAL_DATE)+(COUNTIF('Dvd Calendar'!$E$1623:$AR$1623,'Dvd Calendar'!$AB$1616)=0))&gt;0)=0,"",'Dvd Calendar'!$AB$1616*1000000000+ISNUMBER('Dvd Calendar'!$AB$1619)*100000000+('Dvd Calendar'!$AB$1621=SPECIAL_LBL)*10000000+(N('Dvd Calendar'!$AB$1615)&gt;0)*(N('Dvd Calendar'!$AB$1615)&lt;=VAL_SERIAL)*1000000+6*1000+24))</f>
        <v/>
      </c>
      <c r="FC165" s="121">
        <f>IF(N('Dvd Calendar'!$AC$1616)=0,"",IF(('Dvd Calendar'!$AC$1616&gt;=GRID_FROM)*('Dvd Calendar'!$AC$1616&lt;=GRID_TO)*((('Dvd Calendar'!$AC$1616&lt;=VAL_DATE)+(COUNTIF('Dvd Calendar'!$E$1623:$AR$1623,'Dvd Calendar'!$AC$1616)=0))&gt;0)=0,"",'Dvd Calendar'!$AC$1616*1000000000+ISNUMBER('Dvd Calendar'!$AC$1619)*100000000+('Dvd Calendar'!$AC$1621=SPECIAL_LBL)*10000000+(N('Dvd Calendar'!$AC$1615)&gt;0)*(N('Dvd Calendar'!$AC$1615)&lt;=VAL_SERIAL)*1000000+6*1000+25))</f>
        <v/>
      </c>
      <c r="FD165" s="121">
        <f>IF(N('Dvd Calendar'!$AD$1616)=0,"",IF(('Dvd Calendar'!$AD$1616&gt;=GRID_FROM)*('Dvd Calendar'!$AD$1616&lt;=GRID_TO)*((('Dvd Calendar'!$AD$1616&lt;=VAL_DATE)+(COUNTIF('Dvd Calendar'!$E$1623:$AR$1623,'Dvd Calendar'!$AD$1616)=0))&gt;0)=0,"",'Dvd Calendar'!$AD$1616*1000000000+ISNUMBER('Dvd Calendar'!$AD$1619)*100000000+('Dvd Calendar'!$AD$1621=SPECIAL_LBL)*10000000+(N('Dvd Calendar'!$AD$1615)&gt;0)*(N('Dvd Calendar'!$AD$1615)&lt;=VAL_SERIAL)*1000000+6*1000+26))</f>
        <v/>
      </c>
      <c r="FE165" s="121">
        <f>IF(N('Dvd Calendar'!$AE$1616)=0,"",IF(('Dvd Calendar'!$AE$1616&gt;=GRID_FROM)*('Dvd Calendar'!$AE$1616&lt;=GRID_TO)*((('Dvd Calendar'!$AE$1616&lt;=VAL_DATE)+(COUNTIF('Dvd Calendar'!$E$1623:$AR$1623,'Dvd Calendar'!$AE$1616)=0))&gt;0)=0,"",'Dvd Calendar'!$AE$1616*1000000000+ISNUMBER('Dvd Calendar'!$AE$1619)*100000000+('Dvd Calendar'!$AE$1621=SPECIAL_LBL)*10000000+(N('Dvd Calendar'!$AE$1615)&gt;0)*(N('Dvd Calendar'!$AE$1615)&lt;=VAL_SERIAL)*1000000+6*1000+27))</f>
        <v/>
      </c>
      <c r="FF165" s="121">
        <f>IF(N('Dvd Calendar'!$AF$1616)=0,"",IF(('Dvd Calendar'!$AF$1616&gt;=GRID_FROM)*('Dvd Calendar'!$AF$1616&lt;=GRID_TO)*((('Dvd Calendar'!$AF$1616&lt;=VAL_DATE)+(COUNTIF('Dvd Calendar'!$E$1623:$AR$1623,'Dvd Calendar'!$AF$1616)=0))&gt;0)=0,"",'Dvd Calendar'!$AF$1616*1000000000+ISNUMBER('Dvd Calendar'!$AF$1619)*100000000+('Dvd Calendar'!$AF$1621=SPECIAL_LBL)*10000000+(N('Dvd Calendar'!$AF$1615)&gt;0)*(N('Dvd Calendar'!$AF$1615)&lt;=VAL_SERIAL)*1000000+6*1000+28))</f>
        <v/>
      </c>
      <c r="FG165" s="121">
        <f>IF(N('Dvd Calendar'!$AG$1616)=0,"",IF(('Dvd Calendar'!$AG$1616&gt;=GRID_FROM)*('Dvd Calendar'!$AG$1616&lt;=GRID_TO)*((('Dvd Calendar'!$AG$1616&lt;=VAL_DATE)+(COUNTIF('Dvd Calendar'!$E$1623:$AR$1623,'Dvd Calendar'!$AG$1616)=0))&gt;0)=0,"",'Dvd Calendar'!$AG$1616*1000000000+ISNUMBER('Dvd Calendar'!$AG$1619)*100000000+('Dvd Calendar'!$AG$1621=SPECIAL_LBL)*10000000+(N('Dvd Calendar'!$AG$1615)&gt;0)*(N('Dvd Calendar'!$AG$1615)&lt;=VAL_SERIAL)*1000000+6*1000+29))</f>
        <v/>
      </c>
      <c r="FH165" s="121">
        <f>IF(N('Dvd Calendar'!$AH$1616)=0,"",IF(('Dvd Calendar'!$AH$1616&gt;=GRID_FROM)*('Dvd Calendar'!$AH$1616&lt;=GRID_TO)*((('Dvd Calendar'!$AH$1616&lt;=VAL_DATE)+(COUNTIF('Dvd Calendar'!$E$1623:$AR$1623,'Dvd Calendar'!$AH$1616)=0))&gt;0)=0,"",'Dvd Calendar'!$AH$1616*1000000000+ISNUMBER('Dvd Calendar'!$AH$1619)*100000000+('Dvd Calendar'!$AH$1621=SPECIAL_LBL)*10000000+(N('Dvd Calendar'!$AH$1615)&gt;0)*(N('Dvd Calendar'!$AH$1615)&lt;=VAL_SERIAL)*1000000+6*1000+30))</f>
        <v/>
      </c>
      <c r="FI165" s="121">
        <f>IF(N('Dvd Calendar'!$AI$1616)=0,"",IF(('Dvd Calendar'!$AI$1616&gt;=GRID_FROM)*('Dvd Calendar'!$AI$1616&lt;=GRID_TO)*((('Dvd Calendar'!$AI$1616&lt;=VAL_DATE)+(COUNTIF('Dvd Calendar'!$E$1623:$AR$1623,'Dvd Calendar'!$AI$1616)=0))&gt;0)=0,"",'Dvd Calendar'!$AI$1616*1000000000+ISNUMBER('Dvd Calendar'!$AI$1619)*100000000+('Dvd Calendar'!$AI$1621=SPECIAL_LBL)*10000000+(N('Dvd Calendar'!$AI$1615)&gt;0)*(N('Dvd Calendar'!$AI$1615)&lt;=VAL_SERIAL)*1000000+6*1000+31))</f>
        <v/>
      </c>
      <c r="FJ165" s="121">
        <f>IF(N('Dvd Calendar'!$AJ$1616)=0,"",IF(('Dvd Calendar'!$AJ$1616&gt;=GRID_FROM)*('Dvd Calendar'!$AJ$1616&lt;=GRID_TO)*((('Dvd Calendar'!$AJ$1616&lt;=VAL_DATE)+(COUNTIF('Dvd Calendar'!$E$1623:$AR$1623,'Dvd Calendar'!$AJ$1616)=0))&gt;0)=0,"",'Dvd Calendar'!$AJ$1616*1000000000+ISNUMBER('Dvd Calendar'!$AJ$1619)*100000000+('Dvd Calendar'!$AJ$1621=SPECIAL_LBL)*10000000+(N('Dvd Calendar'!$AJ$1615)&gt;0)*(N('Dvd Calendar'!$AJ$1615)&lt;=VAL_SERIAL)*1000000+6*1000+32))</f>
        <v/>
      </c>
      <c r="FK165" s="121">
        <f>IF(N('Dvd Calendar'!$AK$1616)=0,"",IF(('Dvd Calendar'!$AK$1616&gt;=GRID_FROM)*('Dvd Calendar'!$AK$1616&lt;=GRID_TO)*((('Dvd Calendar'!$AK$1616&lt;=VAL_DATE)+(COUNTIF('Dvd Calendar'!$E$1623:$AR$1623,'Dvd Calendar'!$AK$1616)=0))&gt;0)=0,"",'Dvd Calendar'!$AK$1616*1000000000+ISNUMBER('Dvd Calendar'!$AK$1619)*100000000+('Dvd Calendar'!$AK$1621=SPECIAL_LBL)*10000000+(N('Dvd Calendar'!$AK$1615)&gt;0)*(N('Dvd Calendar'!$AK$1615)&lt;=VAL_SERIAL)*1000000+6*1000+33))</f>
        <v/>
      </c>
      <c r="FL165" s="121">
        <f>IF(N('Dvd Calendar'!$AL$1616)=0,"",IF(('Dvd Calendar'!$AL$1616&gt;=GRID_FROM)*('Dvd Calendar'!$AL$1616&lt;=GRID_TO)*((('Dvd Calendar'!$AL$1616&lt;=VAL_DATE)+(COUNTIF('Dvd Calendar'!$E$1623:$AR$1623,'Dvd Calendar'!$AL$1616)=0))&gt;0)=0,"",'Dvd Calendar'!$AL$1616*1000000000+ISNUMBER('Dvd Calendar'!$AL$1619)*100000000+('Dvd Calendar'!$AL$1621=SPECIAL_LBL)*10000000+(N('Dvd Calendar'!$AL$1615)&gt;0)*(N('Dvd Calendar'!$AL$1615)&lt;=VAL_SERIAL)*1000000+6*1000+34))</f>
        <v/>
      </c>
      <c r="FM165" s="121">
        <f>IF(N('Dvd Calendar'!$AM$1616)=0,"",IF(('Dvd Calendar'!$AM$1616&gt;=GRID_FROM)*('Dvd Calendar'!$AM$1616&lt;=GRID_TO)*((('Dvd Calendar'!$AM$1616&lt;=VAL_DATE)+(COUNTIF('Dvd Calendar'!$E$1623:$AR$1623,'Dvd Calendar'!$AM$1616)=0))&gt;0)=0,"",'Dvd Calendar'!$AM$1616*1000000000+ISNUMBER('Dvd Calendar'!$AM$1619)*100000000+('Dvd Calendar'!$AM$1621=SPECIAL_LBL)*10000000+(N('Dvd Calendar'!$AM$1615)&gt;0)*(N('Dvd Calendar'!$AM$1615)&lt;=VAL_SERIAL)*1000000+6*1000+35))</f>
        <v/>
      </c>
      <c r="FN165" s="121">
        <f>IF(N('Dvd Calendar'!$AN$1616)=0,"",IF(('Dvd Calendar'!$AN$1616&gt;=GRID_FROM)*('Dvd Calendar'!$AN$1616&lt;=GRID_TO)*((('Dvd Calendar'!$AN$1616&lt;=VAL_DATE)+(COUNTIF('Dvd Calendar'!$E$1623:$AR$1623,'Dvd Calendar'!$AN$1616)=0))&gt;0)=0,"",'Dvd Calendar'!$AN$1616*1000000000+ISNUMBER('Dvd Calendar'!$AN$1619)*100000000+('Dvd Calendar'!$AN$1621=SPECIAL_LBL)*10000000+(N('Dvd Calendar'!$AN$1615)&gt;0)*(N('Dvd Calendar'!$AN$1615)&lt;=VAL_SERIAL)*1000000+6*1000+36))</f>
        <v/>
      </c>
      <c r="FO165" s="121">
        <f>IF(N('Dvd Calendar'!$AO$1616)=0,"",IF(('Dvd Calendar'!$AO$1616&gt;=GRID_FROM)*('Dvd Calendar'!$AO$1616&lt;=GRID_TO)*((('Dvd Calendar'!$AO$1616&lt;=VAL_DATE)+(COUNTIF('Dvd Calendar'!$E$1623:$AR$1623,'Dvd Calendar'!$AO$1616)=0))&gt;0)=0,"",'Dvd Calendar'!$AO$1616*1000000000+ISNUMBER('Dvd Calendar'!$AO$1619)*100000000+('Dvd Calendar'!$AO$1621=SPECIAL_LBL)*10000000+(N('Dvd Calendar'!$AO$1615)&gt;0)*(N('Dvd Calendar'!$AO$1615)&lt;=VAL_SERIAL)*1000000+6*1000+37))</f>
        <v/>
      </c>
      <c r="FP165" s="121">
        <f>IF(N('Dvd Calendar'!$AP$1616)=0,"",IF(('Dvd Calendar'!$AP$1616&gt;=GRID_FROM)*('Dvd Calendar'!$AP$1616&lt;=GRID_TO)*((('Dvd Calendar'!$AP$1616&lt;=VAL_DATE)+(COUNTIF('Dvd Calendar'!$E$1623:$AR$1623,'Dvd Calendar'!$AP$1616)=0))&gt;0)=0,"",'Dvd Calendar'!$AP$1616*1000000000+ISNUMBER('Dvd Calendar'!$AP$1619)*100000000+('Dvd Calendar'!$AP$1621=SPECIAL_LBL)*10000000+(N('Dvd Calendar'!$AP$1615)&gt;0)*(N('Dvd Calendar'!$AP$1615)&lt;=VAL_SERIAL)*1000000+6*1000+38))</f>
        <v/>
      </c>
      <c r="FQ165" s="121">
        <f>IF(N('Dvd Calendar'!$AQ$1616)=0,"",IF(('Dvd Calendar'!$AQ$1616&gt;=GRID_FROM)*('Dvd Calendar'!$AQ$1616&lt;=GRID_TO)*((('Dvd Calendar'!$AQ$1616&lt;=VAL_DATE)+(COUNTIF('Dvd Calendar'!$E$1623:$AR$1623,'Dvd Calendar'!$AQ$1616)=0))&gt;0)=0,"",'Dvd Calendar'!$AQ$1616*1000000000+ISNUMBER('Dvd Calendar'!$AQ$1619)*100000000+('Dvd Calendar'!$AQ$1621=SPECIAL_LBL)*10000000+(N('Dvd Calendar'!$AQ$1615)&gt;0)*(N('Dvd Calendar'!$AQ$1615)&lt;=VAL_SERIAL)*1000000+6*1000+39))</f>
        <v/>
      </c>
      <c r="FR165" s="121">
        <f>IF(N('Dvd Calendar'!$AR$1616)=0,"",IF(('Dvd Calendar'!$AR$1616&gt;=GRID_FROM)*('Dvd Calendar'!$AR$1616&lt;=GRID_TO)*((('Dvd Calendar'!$AR$1616&lt;=VAL_DATE)+(COUNTIF('Dvd Calendar'!$E$1623:$AR$1623,'Dvd Calendar'!$AR$1616)=0))&gt;0)=0,"",'Dvd Calendar'!$AR$1616*1000000000+ISNUMBER('Dvd Calendar'!$AR$1619)*100000000+('Dvd Calendar'!$AR$1621=SPECIAL_LBL)*10000000+(N('Dvd Calendar'!$AR$1615)&gt;0)*(N('Dvd Calendar'!$AR$1615)&lt;=VAL_SERIAL)*1000000+6*1000+40))</f>
        <v/>
      </c>
      <c r="FS165" s="121">
        <f>IF(N('Dvd Calendar'!$E$1623)=0,"",IF(('Dvd Calendar'!$E$1623&gt;=GRID_FROM)*('Dvd Calendar'!$E$1623&lt;=GRID_TO)*('Dvd Calendar'!$E$1623&gt;VAL_DATE)=0,"",'Dvd Calendar'!$E$1623*1000000000+ISNUMBER('Dvd Calendar'!$E$1624)*100000000+0*10000000+(N('Dvd Calendar'!$E$1622)&gt;0)*(N('Dvd Calendar'!$E$1622)&lt;=VAL_SERIAL)*1000000+6*1000+41))</f>
        <v/>
      </c>
      <c r="FT165" s="121">
        <f>IF(N('Dvd Calendar'!$F$1623)=0,"",IF(('Dvd Calendar'!$F$1623&gt;=GRID_FROM)*('Dvd Calendar'!$F$1623&lt;=GRID_TO)*('Dvd Calendar'!$F$1623&gt;VAL_DATE)=0,"",'Dvd Calendar'!$F$1623*1000000000+ISNUMBER('Dvd Calendar'!$F$1624)*100000000+0*10000000+(N('Dvd Calendar'!$F$1622)&gt;0)*(N('Dvd Calendar'!$F$1622)&lt;=VAL_SERIAL)*1000000+6*1000+42))</f>
        <v/>
      </c>
      <c r="FU165" s="121">
        <f>IF(N('Dvd Calendar'!$G$1623)=0,"",IF(('Dvd Calendar'!$G$1623&gt;=GRID_FROM)*('Dvd Calendar'!$G$1623&lt;=GRID_TO)*('Dvd Calendar'!$G$1623&gt;VAL_DATE)=0,"",'Dvd Calendar'!$G$1623*1000000000+ISNUMBER('Dvd Calendar'!$G$1624)*100000000+0*10000000+(N('Dvd Calendar'!$G$1622)&gt;0)*(N('Dvd Calendar'!$G$1622)&lt;=VAL_SERIAL)*1000000+6*1000+43))</f>
        <v/>
      </c>
      <c r="FV165" s="121">
        <f>IF(N('Dvd Calendar'!$H$1623)=0,"",IF(('Dvd Calendar'!$H$1623&gt;=GRID_FROM)*('Dvd Calendar'!$H$1623&lt;=GRID_TO)*('Dvd Calendar'!$H$1623&gt;VAL_DATE)=0,"",'Dvd Calendar'!$H$1623*1000000000+ISNUMBER('Dvd Calendar'!$H$1624)*100000000+0*10000000+(N('Dvd Calendar'!$H$1622)&gt;0)*(N('Dvd Calendar'!$H$1622)&lt;=VAL_SERIAL)*1000000+6*1000+44))</f>
        <v/>
      </c>
      <c r="FW165" s="121">
        <f>IF(N('Dvd Calendar'!$I$1623)=0,"",IF(('Dvd Calendar'!$I$1623&gt;=GRID_FROM)*('Dvd Calendar'!$I$1623&lt;=GRID_TO)*('Dvd Calendar'!$I$1623&gt;VAL_DATE)=0,"",'Dvd Calendar'!$I$1623*1000000000+ISNUMBER('Dvd Calendar'!$I$1624)*100000000+0*10000000+(N('Dvd Calendar'!$I$1622)&gt;0)*(N('Dvd Calendar'!$I$1622)&lt;=VAL_SERIAL)*1000000+6*1000+45))</f>
        <v/>
      </c>
      <c r="FX165" s="121">
        <f>IF(N('Dvd Calendar'!$J$1623)=0,"",IF(('Dvd Calendar'!$J$1623&gt;=GRID_FROM)*('Dvd Calendar'!$J$1623&lt;=GRID_TO)*('Dvd Calendar'!$J$1623&gt;VAL_DATE)=0,"",'Dvd Calendar'!$J$1623*1000000000+ISNUMBER('Dvd Calendar'!$J$1624)*100000000+0*10000000+(N('Dvd Calendar'!$J$1622)&gt;0)*(N('Dvd Calendar'!$J$1622)&lt;=VAL_SERIAL)*1000000+6*1000+46))</f>
        <v/>
      </c>
      <c r="FY165" s="121">
        <f>IF(N('Dvd Calendar'!$K$1623)=0,"",IF(('Dvd Calendar'!$K$1623&gt;=GRID_FROM)*('Dvd Calendar'!$K$1623&lt;=GRID_TO)*('Dvd Calendar'!$K$1623&gt;VAL_DATE)=0,"",'Dvd Calendar'!$K$1623*1000000000+ISNUMBER('Dvd Calendar'!$K$1624)*100000000+0*10000000+(N('Dvd Calendar'!$K$1622)&gt;0)*(N('Dvd Calendar'!$K$1622)&lt;=VAL_SERIAL)*1000000+6*1000+47))</f>
        <v/>
      </c>
      <c r="FZ165" s="121">
        <f>IF(N('Dvd Calendar'!$L$1623)=0,"",IF(('Dvd Calendar'!$L$1623&gt;=GRID_FROM)*('Dvd Calendar'!$L$1623&lt;=GRID_TO)*('Dvd Calendar'!$L$1623&gt;VAL_DATE)=0,"",'Dvd Calendar'!$L$1623*1000000000+ISNUMBER('Dvd Calendar'!$L$1624)*100000000+0*10000000+(N('Dvd Calendar'!$L$1622)&gt;0)*(N('Dvd Calendar'!$L$1622)&lt;=VAL_SERIAL)*1000000+6*1000+48))</f>
        <v/>
      </c>
      <c r="GA165" s="121">
        <f>IF(N('Dvd Calendar'!$M$1623)=0,"",IF(('Dvd Calendar'!$M$1623&gt;=GRID_FROM)*('Dvd Calendar'!$M$1623&lt;=GRID_TO)*('Dvd Calendar'!$M$1623&gt;VAL_DATE)=0,"",'Dvd Calendar'!$M$1623*1000000000+ISNUMBER('Dvd Calendar'!$M$1624)*100000000+0*10000000+(N('Dvd Calendar'!$M$1622)&gt;0)*(N('Dvd Calendar'!$M$1622)&lt;=VAL_SERIAL)*1000000+6*1000+49))</f>
        <v/>
      </c>
      <c r="GB165" s="121">
        <f>IF(N('Dvd Calendar'!$N$1623)=0,"",IF(('Dvd Calendar'!$N$1623&gt;=GRID_FROM)*('Dvd Calendar'!$N$1623&lt;=GRID_TO)*('Dvd Calendar'!$N$1623&gt;VAL_DATE)=0,"",'Dvd Calendar'!$N$1623*1000000000+ISNUMBER('Dvd Calendar'!$N$1624)*100000000+0*10000000+(N('Dvd Calendar'!$N$1622)&gt;0)*(N('Dvd Calendar'!$N$1622)&lt;=VAL_SERIAL)*1000000+6*1000+50))</f>
        <v/>
      </c>
      <c r="GC165" s="121">
        <f>IF(N('Dvd Calendar'!$O$1623)=0,"",IF(('Dvd Calendar'!$O$1623&gt;=GRID_FROM)*('Dvd Calendar'!$O$1623&lt;=GRID_TO)*('Dvd Calendar'!$O$1623&gt;VAL_DATE)=0,"",'Dvd Calendar'!$O$1623*1000000000+ISNUMBER('Dvd Calendar'!$O$1624)*100000000+0*10000000+(N('Dvd Calendar'!$O$1622)&gt;0)*(N('Dvd Calendar'!$O$1622)&lt;=VAL_SERIAL)*1000000+6*1000+51))</f>
        <v/>
      </c>
      <c r="GD165" s="121">
        <f>IF(N('Dvd Calendar'!$P$1623)=0,"",IF(('Dvd Calendar'!$P$1623&gt;=GRID_FROM)*('Dvd Calendar'!$P$1623&lt;=GRID_TO)*('Dvd Calendar'!$P$1623&gt;VAL_DATE)=0,"",'Dvd Calendar'!$P$1623*1000000000+ISNUMBER('Dvd Calendar'!$P$1624)*100000000+0*10000000+(N('Dvd Calendar'!$P$1622)&gt;0)*(N('Dvd Calendar'!$P$1622)&lt;=VAL_SERIAL)*1000000+6*1000+52))</f>
        <v/>
      </c>
      <c r="GE165" s="121">
        <f>IF(N('Dvd Calendar'!$Q$1623)=0,"",IF(('Dvd Calendar'!$Q$1623&gt;=GRID_FROM)*('Dvd Calendar'!$Q$1623&lt;=GRID_TO)*('Dvd Calendar'!$Q$1623&gt;VAL_DATE)=0,"",'Dvd Calendar'!$Q$1623*1000000000+ISNUMBER('Dvd Calendar'!$Q$1624)*100000000+0*10000000+(N('Dvd Calendar'!$Q$1622)&gt;0)*(N('Dvd Calendar'!$Q$1622)&lt;=VAL_SERIAL)*1000000+6*1000+53))</f>
        <v/>
      </c>
      <c r="GF165" s="121">
        <f>IF(N('Dvd Calendar'!$R$1623)=0,"",IF(('Dvd Calendar'!$R$1623&gt;=GRID_FROM)*('Dvd Calendar'!$R$1623&lt;=GRID_TO)*('Dvd Calendar'!$R$1623&gt;VAL_DATE)=0,"",'Dvd Calendar'!$R$1623*1000000000+ISNUMBER('Dvd Calendar'!$R$1624)*100000000+0*10000000+(N('Dvd Calendar'!$R$1622)&gt;0)*(N('Dvd Calendar'!$R$1622)&lt;=VAL_SERIAL)*1000000+6*1000+54))</f>
        <v/>
      </c>
      <c r="GG165" s="121">
        <f>IF(N('Dvd Calendar'!$S$1623)=0,"",IF(('Dvd Calendar'!$S$1623&gt;=GRID_FROM)*('Dvd Calendar'!$S$1623&lt;=GRID_TO)*('Dvd Calendar'!$S$1623&gt;VAL_DATE)=0,"",'Dvd Calendar'!$S$1623*1000000000+ISNUMBER('Dvd Calendar'!$S$1624)*100000000+0*10000000+(N('Dvd Calendar'!$S$1622)&gt;0)*(N('Dvd Calendar'!$S$1622)&lt;=VAL_SERIAL)*1000000+6*1000+55))</f>
        <v/>
      </c>
      <c r="GH165" s="121">
        <f>IF(N('Dvd Calendar'!$T$1623)=0,"",IF(('Dvd Calendar'!$T$1623&gt;=GRID_FROM)*('Dvd Calendar'!$T$1623&lt;=GRID_TO)*('Dvd Calendar'!$T$1623&gt;VAL_DATE)=0,"",'Dvd Calendar'!$T$1623*1000000000+ISNUMBER('Dvd Calendar'!$T$1624)*100000000+0*10000000+(N('Dvd Calendar'!$T$1622)&gt;0)*(N('Dvd Calendar'!$T$1622)&lt;=VAL_SERIAL)*1000000+6*1000+56))</f>
        <v/>
      </c>
      <c r="GI165" s="121">
        <f>IF(N('Dvd Calendar'!$U$1623)=0,"",IF(('Dvd Calendar'!$U$1623&gt;=GRID_FROM)*('Dvd Calendar'!$U$1623&lt;=GRID_TO)*('Dvd Calendar'!$U$1623&gt;VAL_DATE)=0,"",'Dvd Calendar'!$U$1623*1000000000+ISNUMBER('Dvd Calendar'!$U$1624)*100000000+0*10000000+(N('Dvd Calendar'!$U$1622)&gt;0)*(N('Dvd Calendar'!$U$1622)&lt;=VAL_SERIAL)*1000000+6*1000+57))</f>
        <v/>
      </c>
      <c r="GJ165" s="121">
        <f>IF(N('Dvd Calendar'!$V$1623)=0,"",IF(('Dvd Calendar'!$V$1623&gt;=GRID_FROM)*('Dvd Calendar'!$V$1623&lt;=GRID_TO)*('Dvd Calendar'!$V$1623&gt;VAL_DATE)=0,"",'Dvd Calendar'!$V$1623*1000000000+ISNUMBER('Dvd Calendar'!$V$1624)*100000000+0*10000000+(N('Dvd Calendar'!$V$1622)&gt;0)*(N('Dvd Calendar'!$V$1622)&lt;=VAL_SERIAL)*1000000+6*1000+58))</f>
        <v/>
      </c>
      <c r="GK165" s="121">
        <f>IF(N('Dvd Calendar'!$W$1623)=0,"",IF(('Dvd Calendar'!$W$1623&gt;=GRID_FROM)*('Dvd Calendar'!$W$1623&lt;=GRID_TO)*('Dvd Calendar'!$W$1623&gt;VAL_DATE)=0,"",'Dvd Calendar'!$W$1623*1000000000+ISNUMBER('Dvd Calendar'!$W$1624)*100000000+0*10000000+(N('Dvd Calendar'!$W$1622)&gt;0)*(N('Dvd Calendar'!$W$1622)&lt;=VAL_SERIAL)*1000000+6*1000+59))</f>
        <v/>
      </c>
      <c r="GL165" s="121">
        <f>IF(N('Dvd Calendar'!$X$1623)=0,"",IF(('Dvd Calendar'!$X$1623&gt;=GRID_FROM)*('Dvd Calendar'!$X$1623&lt;=GRID_TO)*('Dvd Calendar'!$X$1623&gt;VAL_DATE)=0,"",'Dvd Calendar'!$X$1623*1000000000+ISNUMBER('Dvd Calendar'!$X$1624)*100000000+0*10000000+(N('Dvd Calendar'!$X$1622)&gt;0)*(N('Dvd Calendar'!$X$1622)&lt;=VAL_SERIAL)*1000000+6*1000+60))</f>
        <v/>
      </c>
      <c r="GM165" s="121">
        <f>IF(N('Dvd Calendar'!$Y$1623)=0,"",IF(('Dvd Calendar'!$Y$1623&gt;=GRID_FROM)*('Dvd Calendar'!$Y$1623&lt;=GRID_TO)*('Dvd Calendar'!$Y$1623&gt;VAL_DATE)=0,"",'Dvd Calendar'!$Y$1623*1000000000+ISNUMBER('Dvd Calendar'!$Y$1624)*100000000+0*10000000+(N('Dvd Calendar'!$Y$1622)&gt;0)*(N('Dvd Calendar'!$Y$1622)&lt;=VAL_SERIAL)*1000000+6*1000+61))</f>
        <v/>
      </c>
      <c r="GN165" s="121">
        <f>IF(N('Dvd Calendar'!$Z$1623)=0,"",IF(('Dvd Calendar'!$Z$1623&gt;=GRID_FROM)*('Dvd Calendar'!$Z$1623&lt;=GRID_TO)*('Dvd Calendar'!$Z$1623&gt;VAL_DATE)=0,"",'Dvd Calendar'!$Z$1623*1000000000+ISNUMBER('Dvd Calendar'!$Z$1624)*100000000+0*10000000+(N('Dvd Calendar'!$Z$1622)&gt;0)*(N('Dvd Calendar'!$Z$1622)&lt;=VAL_SERIAL)*1000000+6*1000+62))</f>
        <v/>
      </c>
      <c r="GO165" s="121">
        <f>IF(N('Dvd Calendar'!$AA$1623)=0,"",IF(('Dvd Calendar'!$AA$1623&gt;=GRID_FROM)*('Dvd Calendar'!$AA$1623&lt;=GRID_TO)*('Dvd Calendar'!$AA$1623&gt;VAL_DATE)=0,"",'Dvd Calendar'!$AA$1623*1000000000+ISNUMBER('Dvd Calendar'!$AA$1624)*100000000+0*10000000+(N('Dvd Calendar'!$AA$1622)&gt;0)*(N('Dvd Calendar'!$AA$1622)&lt;=VAL_SERIAL)*1000000+6*1000+63))</f>
        <v/>
      </c>
      <c r="GP165" s="121">
        <f>IF(N('Dvd Calendar'!$AB$1623)=0,"",IF(('Dvd Calendar'!$AB$1623&gt;=GRID_FROM)*('Dvd Calendar'!$AB$1623&lt;=GRID_TO)*('Dvd Calendar'!$AB$1623&gt;VAL_DATE)=0,"",'Dvd Calendar'!$AB$1623*1000000000+ISNUMBER('Dvd Calendar'!$AB$1624)*100000000+0*10000000+(N('Dvd Calendar'!$AB$1622)&gt;0)*(N('Dvd Calendar'!$AB$1622)&lt;=VAL_SERIAL)*1000000+6*1000+64))</f>
        <v/>
      </c>
      <c r="GQ165" s="121">
        <f>IF(N('Dvd Calendar'!$AC$1623)=0,"",IF(('Dvd Calendar'!$AC$1623&gt;=GRID_FROM)*('Dvd Calendar'!$AC$1623&lt;=GRID_TO)*('Dvd Calendar'!$AC$1623&gt;VAL_DATE)=0,"",'Dvd Calendar'!$AC$1623*1000000000+ISNUMBER('Dvd Calendar'!$AC$1624)*100000000+0*10000000+(N('Dvd Calendar'!$AC$1622)&gt;0)*(N('Dvd Calendar'!$AC$1622)&lt;=VAL_SERIAL)*1000000+6*1000+65))</f>
        <v/>
      </c>
    </row>
    <row r="166">
      <c r="B166" s="2">
        <f>IF(HSCEI!$C$13="","",HSCEI!$C$13)</f>
        <v/>
      </c>
      <c r="C166" s="161">
        <f>IF(EE166="","",IF(ISNUMBER('Dvd Calendar'!$E$1630)=FALSE,"",IF((('Dvd Calendar'!$E$1632=TYPE1)*(TYPE1&lt;&gt;"")+('Dvd Calendar'!$E$1632=TYPE2)*(TYPE2&lt;&gt;"")+('Dvd Calendar'!$E$1632=TYPE3)*(TYPE3&lt;&gt;"")+('Dvd Calendar'!$E$1632=TYPE4)*(TYPE4&lt;&gt;"")+('Dvd Calendar'!$E$1632=SPECIAL_LBL)*(INC_SPECIALS="Y"))=0,"",'Dvd Calendar'!$E$1630)))</f>
        <v/>
      </c>
      <c r="D166" s="161">
        <f>IF(EF166="","",IF(ISNUMBER('Dvd Calendar'!$F$1630)=FALSE,"",IF((('Dvd Calendar'!$F$1632=TYPE1)*(TYPE1&lt;&gt;"")+('Dvd Calendar'!$F$1632=TYPE2)*(TYPE2&lt;&gt;"")+('Dvd Calendar'!$F$1632=TYPE3)*(TYPE3&lt;&gt;"")+('Dvd Calendar'!$F$1632=TYPE4)*(TYPE4&lt;&gt;"")+('Dvd Calendar'!$F$1632=SPECIAL_LBL)*(INC_SPECIALS="Y"))=0,"",'Dvd Calendar'!$F$1630)))</f>
        <v/>
      </c>
      <c r="E166" s="161">
        <f>IF(EG166="","",IF(ISNUMBER('Dvd Calendar'!$G$1630)=FALSE,"",IF((('Dvd Calendar'!$G$1632=TYPE1)*(TYPE1&lt;&gt;"")+('Dvd Calendar'!$G$1632=TYPE2)*(TYPE2&lt;&gt;"")+('Dvd Calendar'!$G$1632=TYPE3)*(TYPE3&lt;&gt;"")+('Dvd Calendar'!$G$1632=TYPE4)*(TYPE4&lt;&gt;"")+('Dvd Calendar'!$G$1632=SPECIAL_LBL)*(INC_SPECIALS="Y"))=0,"",'Dvd Calendar'!$G$1630)))</f>
        <v/>
      </c>
      <c r="F166" s="161">
        <f>IF(EH166="","",IF(ISNUMBER('Dvd Calendar'!$H$1630)=FALSE,"",IF((('Dvd Calendar'!$H$1632=TYPE1)*(TYPE1&lt;&gt;"")+('Dvd Calendar'!$H$1632=TYPE2)*(TYPE2&lt;&gt;"")+('Dvd Calendar'!$H$1632=TYPE3)*(TYPE3&lt;&gt;"")+('Dvd Calendar'!$H$1632=TYPE4)*(TYPE4&lt;&gt;"")+('Dvd Calendar'!$H$1632=SPECIAL_LBL)*(INC_SPECIALS="Y"))=0,"",'Dvd Calendar'!$H$1630)))</f>
        <v/>
      </c>
      <c r="G166" s="161">
        <f>IF(EI166="","",IF(ISNUMBER('Dvd Calendar'!$I$1630)=FALSE,"",IF((('Dvd Calendar'!$I$1632=TYPE1)*(TYPE1&lt;&gt;"")+('Dvd Calendar'!$I$1632=TYPE2)*(TYPE2&lt;&gt;"")+('Dvd Calendar'!$I$1632=TYPE3)*(TYPE3&lt;&gt;"")+('Dvd Calendar'!$I$1632=TYPE4)*(TYPE4&lt;&gt;"")+('Dvd Calendar'!$I$1632=SPECIAL_LBL)*(INC_SPECIALS="Y"))=0,"",'Dvd Calendar'!$I$1630)))</f>
        <v/>
      </c>
      <c r="H166" s="161">
        <f>IF(EJ166="","",IF(ISNUMBER('Dvd Calendar'!$J$1630)=FALSE,"",IF((('Dvd Calendar'!$J$1632=TYPE1)*(TYPE1&lt;&gt;"")+('Dvd Calendar'!$J$1632=TYPE2)*(TYPE2&lt;&gt;"")+('Dvd Calendar'!$J$1632=TYPE3)*(TYPE3&lt;&gt;"")+('Dvd Calendar'!$J$1632=TYPE4)*(TYPE4&lt;&gt;"")+('Dvd Calendar'!$J$1632=SPECIAL_LBL)*(INC_SPECIALS="Y"))=0,"",'Dvd Calendar'!$J$1630)))</f>
        <v/>
      </c>
      <c r="I166" s="161">
        <f>IF(EK166="","",IF(ISNUMBER('Dvd Calendar'!$K$1630)=FALSE,"",IF((('Dvd Calendar'!$K$1632=TYPE1)*(TYPE1&lt;&gt;"")+('Dvd Calendar'!$K$1632=TYPE2)*(TYPE2&lt;&gt;"")+('Dvd Calendar'!$K$1632=TYPE3)*(TYPE3&lt;&gt;"")+('Dvd Calendar'!$K$1632=TYPE4)*(TYPE4&lt;&gt;"")+('Dvd Calendar'!$K$1632=SPECIAL_LBL)*(INC_SPECIALS="Y"))=0,"",'Dvd Calendar'!$K$1630)))</f>
        <v/>
      </c>
      <c r="J166" s="161">
        <f>IF(EL166="","",IF(ISNUMBER('Dvd Calendar'!$L$1630)=FALSE,"",IF((('Dvd Calendar'!$L$1632=TYPE1)*(TYPE1&lt;&gt;"")+('Dvd Calendar'!$L$1632=TYPE2)*(TYPE2&lt;&gt;"")+('Dvd Calendar'!$L$1632=TYPE3)*(TYPE3&lt;&gt;"")+('Dvd Calendar'!$L$1632=TYPE4)*(TYPE4&lt;&gt;"")+('Dvd Calendar'!$L$1632=SPECIAL_LBL)*(INC_SPECIALS="Y"))=0,"",'Dvd Calendar'!$L$1630)))</f>
        <v/>
      </c>
      <c r="K166" s="161">
        <f>IF(EM166="","",IF(ISNUMBER('Dvd Calendar'!$M$1630)=FALSE,"",IF((('Dvd Calendar'!$M$1632=TYPE1)*(TYPE1&lt;&gt;"")+('Dvd Calendar'!$M$1632=TYPE2)*(TYPE2&lt;&gt;"")+('Dvd Calendar'!$M$1632=TYPE3)*(TYPE3&lt;&gt;"")+('Dvd Calendar'!$M$1632=TYPE4)*(TYPE4&lt;&gt;"")+('Dvd Calendar'!$M$1632=SPECIAL_LBL)*(INC_SPECIALS="Y"))=0,"",'Dvd Calendar'!$M$1630)))</f>
        <v/>
      </c>
      <c r="L166" s="161">
        <f>IF(EN166="","",IF(ISNUMBER('Dvd Calendar'!$N$1630)=FALSE,"",IF((('Dvd Calendar'!$N$1632=TYPE1)*(TYPE1&lt;&gt;"")+('Dvd Calendar'!$N$1632=TYPE2)*(TYPE2&lt;&gt;"")+('Dvd Calendar'!$N$1632=TYPE3)*(TYPE3&lt;&gt;"")+('Dvd Calendar'!$N$1632=TYPE4)*(TYPE4&lt;&gt;"")+('Dvd Calendar'!$N$1632=SPECIAL_LBL)*(INC_SPECIALS="Y"))=0,"",'Dvd Calendar'!$N$1630)))</f>
        <v/>
      </c>
      <c r="M166" s="161">
        <f>IF(EO166="","",IF(ISNUMBER('Dvd Calendar'!$O$1630)=FALSE,"",IF((('Dvd Calendar'!$O$1632=TYPE1)*(TYPE1&lt;&gt;"")+('Dvd Calendar'!$O$1632=TYPE2)*(TYPE2&lt;&gt;"")+('Dvd Calendar'!$O$1632=TYPE3)*(TYPE3&lt;&gt;"")+('Dvd Calendar'!$O$1632=TYPE4)*(TYPE4&lt;&gt;"")+('Dvd Calendar'!$O$1632=SPECIAL_LBL)*(INC_SPECIALS="Y"))=0,"",'Dvd Calendar'!$O$1630)))</f>
        <v/>
      </c>
      <c r="N166" s="161">
        <f>IF(EP166="","",IF(ISNUMBER('Dvd Calendar'!$P$1630)=FALSE,"",IF((('Dvd Calendar'!$P$1632=TYPE1)*(TYPE1&lt;&gt;"")+('Dvd Calendar'!$P$1632=TYPE2)*(TYPE2&lt;&gt;"")+('Dvd Calendar'!$P$1632=TYPE3)*(TYPE3&lt;&gt;"")+('Dvd Calendar'!$P$1632=TYPE4)*(TYPE4&lt;&gt;"")+('Dvd Calendar'!$P$1632=SPECIAL_LBL)*(INC_SPECIALS="Y"))=0,"",'Dvd Calendar'!$P$1630)))</f>
        <v/>
      </c>
      <c r="O166" s="161">
        <f>IF(EQ166="","",IF(ISNUMBER('Dvd Calendar'!$Q$1630)=FALSE,"",IF((('Dvd Calendar'!$Q$1632=TYPE1)*(TYPE1&lt;&gt;"")+('Dvd Calendar'!$Q$1632=TYPE2)*(TYPE2&lt;&gt;"")+('Dvd Calendar'!$Q$1632=TYPE3)*(TYPE3&lt;&gt;"")+('Dvd Calendar'!$Q$1632=TYPE4)*(TYPE4&lt;&gt;"")+('Dvd Calendar'!$Q$1632=SPECIAL_LBL)*(INC_SPECIALS="Y"))=0,"",'Dvd Calendar'!$Q$1630)))</f>
        <v/>
      </c>
      <c r="P166" s="161">
        <f>IF(ER166="","",IF(ISNUMBER('Dvd Calendar'!$R$1630)=FALSE,"",IF((('Dvd Calendar'!$R$1632=TYPE1)*(TYPE1&lt;&gt;"")+('Dvd Calendar'!$R$1632=TYPE2)*(TYPE2&lt;&gt;"")+('Dvd Calendar'!$R$1632=TYPE3)*(TYPE3&lt;&gt;"")+('Dvd Calendar'!$R$1632=TYPE4)*(TYPE4&lt;&gt;"")+('Dvd Calendar'!$R$1632=SPECIAL_LBL)*(INC_SPECIALS="Y"))=0,"",'Dvd Calendar'!$R$1630)))</f>
        <v/>
      </c>
      <c r="Q166" s="161">
        <f>IF(ES166="","",IF(ISNUMBER('Dvd Calendar'!$S$1630)=FALSE,"",IF((('Dvd Calendar'!$S$1632=TYPE1)*(TYPE1&lt;&gt;"")+('Dvd Calendar'!$S$1632=TYPE2)*(TYPE2&lt;&gt;"")+('Dvd Calendar'!$S$1632=TYPE3)*(TYPE3&lt;&gt;"")+('Dvd Calendar'!$S$1632=TYPE4)*(TYPE4&lt;&gt;"")+('Dvd Calendar'!$S$1632=SPECIAL_LBL)*(INC_SPECIALS="Y"))=0,"",'Dvd Calendar'!$S$1630)))</f>
        <v/>
      </c>
      <c r="R166" s="161">
        <f>IF(ET166="","",IF(ISNUMBER('Dvd Calendar'!$T$1630)=FALSE,"",IF((('Dvd Calendar'!$T$1632=TYPE1)*(TYPE1&lt;&gt;"")+('Dvd Calendar'!$T$1632=TYPE2)*(TYPE2&lt;&gt;"")+('Dvd Calendar'!$T$1632=TYPE3)*(TYPE3&lt;&gt;"")+('Dvd Calendar'!$T$1632=TYPE4)*(TYPE4&lt;&gt;"")+('Dvd Calendar'!$T$1632=SPECIAL_LBL)*(INC_SPECIALS="Y"))=0,"",'Dvd Calendar'!$T$1630)))</f>
        <v/>
      </c>
      <c r="S166" s="161">
        <f>IF(EU166="","",IF(ISNUMBER('Dvd Calendar'!$U$1630)=FALSE,"",IF((('Dvd Calendar'!$U$1632=TYPE1)*(TYPE1&lt;&gt;"")+('Dvd Calendar'!$U$1632=TYPE2)*(TYPE2&lt;&gt;"")+('Dvd Calendar'!$U$1632=TYPE3)*(TYPE3&lt;&gt;"")+('Dvd Calendar'!$U$1632=TYPE4)*(TYPE4&lt;&gt;"")+('Dvd Calendar'!$U$1632=SPECIAL_LBL)*(INC_SPECIALS="Y"))=0,"",'Dvd Calendar'!$U$1630)))</f>
        <v/>
      </c>
      <c r="T166" s="161">
        <f>IF(EV166="","",IF(ISNUMBER('Dvd Calendar'!$V$1630)=FALSE,"",IF((('Dvd Calendar'!$V$1632=TYPE1)*(TYPE1&lt;&gt;"")+('Dvd Calendar'!$V$1632=TYPE2)*(TYPE2&lt;&gt;"")+('Dvd Calendar'!$V$1632=TYPE3)*(TYPE3&lt;&gt;"")+('Dvd Calendar'!$V$1632=TYPE4)*(TYPE4&lt;&gt;"")+('Dvd Calendar'!$V$1632=SPECIAL_LBL)*(INC_SPECIALS="Y"))=0,"",'Dvd Calendar'!$V$1630)))</f>
        <v/>
      </c>
      <c r="U166" s="161">
        <f>IF(EW166="","",IF(ISNUMBER('Dvd Calendar'!$W$1630)=FALSE,"",IF((('Dvd Calendar'!$W$1632=TYPE1)*(TYPE1&lt;&gt;"")+('Dvd Calendar'!$W$1632=TYPE2)*(TYPE2&lt;&gt;"")+('Dvd Calendar'!$W$1632=TYPE3)*(TYPE3&lt;&gt;"")+('Dvd Calendar'!$W$1632=TYPE4)*(TYPE4&lt;&gt;"")+('Dvd Calendar'!$W$1632=SPECIAL_LBL)*(INC_SPECIALS="Y"))=0,"",'Dvd Calendar'!$W$1630)))</f>
        <v/>
      </c>
      <c r="V166" s="161">
        <f>IF(EX166="","",IF(ISNUMBER('Dvd Calendar'!$X$1630)=FALSE,"",IF((('Dvd Calendar'!$X$1632=TYPE1)*(TYPE1&lt;&gt;"")+('Dvd Calendar'!$X$1632=TYPE2)*(TYPE2&lt;&gt;"")+('Dvd Calendar'!$X$1632=TYPE3)*(TYPE3&lt;&gt;"")+('Dvd Calendar'!$X$1632=TYPE4)*(TYPE4&lt;&gt;"")+('Dvd Calendar'!$X$1632=SPECIAL_LBL)*(INC_SPECIALS="Y"))=0,"",'Dvd Calendar'!$X$1630)))</f>
        <v/>
      </c>
      <c r="W166" s="161">
        <f>IF(EY166="","",IF(ISNUMBER('Dvd Calendar'!$Y$1630)=FALSE,"",IF((('Dvd Calendar'!$Y$1632=TYPE1)*(TYPE1&lt;&gt;"")+('Dvd Calendar'!$Y$1632=TYPE2)*(TYPE2&lt;&gt;"")+('Dvd Calendar'!$Y$1632=TYPE3)*(TYPE3&lt;&gt;"")+('Dvd Calendar'!$Y$1632=TYPE4)*(TYPE4&lt;&gt;"")+('Dvd Calendar'!$Y$1632=SPECIAL_LBL)*(INC_SPECIALS="Y"))=0,"",'Dvd Calendar'!$Y$1630)))</f>
        <v/>
      </c>
      <c r="X166" s="161">
        <f>IF(EZ166="","",IF(ISNUMBER('Dvd Calendar'!$Z$1630)=FALSE,"",IF((('Dvd Calendar'!$Z$1632=TYPE1)*(TYPE1&lt;&gt;"")+('Dvd Calendar'!$Z$1632=TYPE2)*(TYPE2&lt;&gt;"")+('Dvd Calendar'!$Z$1632=TYPE3)*(TYPE3&lt;&gt;"")+('Dvd Calendar'!$Z$1632=TYPE4)*(TYPE4&lt;&gt;"")+('Dvd Calendar'!$Z$1632=SPECIAL_LBL)*(INC_SPECIALS="Y"))=0,"",'Dvd Calendar'!$Z$1630)))</f>
        <v/>
      </c>
      <c r="Y166" s="161">
        <f>IF(FA166="","",IF(ISNUMBER('Dvd Calendar'!$AA$1630)=FALSE,"",IF((('Dvd Calendar'!$AA$1632=TYPE1)*(TYPE1&lt;&gt;"")+('Dvd Calendar'!$AA$1632=TYPE2)*(TYPE2&lt;&gt;"")+('Dvd Calendar'!$AA$1632=TYPE3)*(TYPE3&lt;&gt;"")+('Dvd Calendar'!$AA$1632=TYPE4)*(TYPE4&lt;&gt;"")+('Dvd Calendar'!$AA$1632=SPECIAL_LBL)*(INC_SPECIALS="Y"))=0,"",'Dvd Calendar'!$AA$1630)))</f>
        <v/>
      </c>
      <c r="Z166" s="161">
        <f>IF(FB166="","",IF(ISNUMBER('Dvd Calendar'!$AB$1630)=FALSE,"",IF((('Dvd Calendar'!$AB$1632=TYPE1)*(TYPE1&lt;&gt;"")+('Dvd Calendar'!$AB$1632=TYPE2)*(TYPE2&lt;&gt;"")+('Dvd Calendar'!$AB$1632=TYPE3)*(TYPE3&lt;&gt;"")+('Dvd Calendar'!$AB$1632=TYPE4)*(TYPE4&lt;&gt;"")+('Dvd Calendar'!$AB$1632=SPECIAL_LBL)*(INC_SPECIALS="Y"))=0,"",'Dvd Calendar'!$AB$1630)))</f>
        <v/>
      </c>
      <c r="AA166" s="161">
        <f>IF(FC166="","",IF(ISNUMBER('Dvd Calendar'!$AC$1630)=FALSE,"",IF((('Dvd Calendar'!$AC$1632=TYPE1)*(TYPE1&lt;&gt;"")+('Dvd Calendar'!$AC$1632=TYPE2)*(TYPE2&lt;&gt;"")+('Dvd Calendar'!$AC$1632=TYPE3)*(TYPE3&lt;&gt;"")+('Dvd Calendar'!$AC$1632=TYPE4)*(TYPE4&lt;&gt;"")+('Dvd Calendar'!$AC$1632=SPECIAL_LBL)*(INC_SPECIALS="Y"))=0,"",'Dvd Calendar'!$AC$1630)))</f>
        <v/>
      </c>
      <c r="AB166" s="161">
        <f>IF(FD166="","",IF(ISNUMBER('Dvd Calendar'!$AD$1630)=FALSE,"",IF((('Dvd Calendar'!$AD$1632=TYPE1)*(TYPE1&lt;&gt;"")+('Dvd Calendar'!$AD$1632=TYPE2)*(TYPE2&lt;&gt;"")+('Dvd Calendar'!$AD$1632=TYPE3)*(TYPE3&lt;&gt;"")+('Dvd Calendar'!$AD$1632=TYPE4)*(TYPE4&lt;&gt;"")+('Dvd Calendar'!$AD$1632=SPECIAL_LBL)*(INC_SPECIALS="Y"))=0,"",'Dvd Calendar'!$AD$1630)))</f>
        <v/>
      </c>
      <c r="AC166" s="161">
        <f>IF(FE166="","",IF(ISNUMBER('Dvd Calendar'!$AE$1630)=FALSE,"",IF((('Dvd Calendar'!$AE$1632=TYPE1)*(TYPE1&lt;&gt;"")+('Dvd Calendar'!$AE$1632=TYPE2)*(TYPE2&lt;&gt;"")+('Dvd Calendar'!$AE$1632=TYPE3)*(TYPE3&lt;&gt;"")+('Dvd Calendar'!$AE$1632=TYPE4)*(TYPE4&lt;&gt;"")+('Dvd Calendar'!$AE$1632=SPECIAL_LBL)*(INC_SPECIALS="Y"))=0,"",'Dvd Calendar'!$AE$1630)))</f>
        <v/>
      </c>
      <c r="AD166" s="161">
        <f>IF(FF166="","",IF(ISNUMBER('Dvd Calendar'!$AF$1630)=FALSE,"",IF((('Dvd Calendar'!$AF$1632=TYPE1)*(TYPE1&lt;&gt;"")+('Dvd Calendar'!$AF$1632=TYPE2)*(TYPE2&lt;&gt;"")+('Dvd Calendar'!$AF$1632=TYPE3)*(TYPE3&lt;&gt;"")+('Dvd Calendar'!$AF$1632=TYPE4)*(TYPE4&lt;&gt;"")+('Dvd Calendar'!$AF$1632=SPECIAL_LBL)*(INC_SPECIALS="Y"))=0,"",'Dvd Calendar'!$AF$1630)))</f>
        <v/>
      </c>
      <c r="AE166" s="161">
        <f>IF(FG166="","",IF(ISNUMBER('Dvd Calendar'!$AG$1630)=FALSE,"",IF((('Dvd Calendar'!$AG$1632=TYPE1)*(TYPE1&lt;&gt;"")+('Dvd Calendar'!$AG$1632=TYPE2)*(TYPE2&lt;&gt;"")+('Dvd Calendar'!$AG$1632=TYPE3)*(TYPE3&lt;&gt;"")+('Dvd Calendar'!$AG$1632=TYPE4)*(TYPE4&lt;&gt;"")+('Dvd Calendar'!$AG$1632=SPECIAL_LBL)*(INC_SPECIALS="Y"))=0,"",'Dvd Calendar'!$AG$1630)))</f>
        <v/>
      </c>
      <c r="AF166" s="161">
        <f>IF(FH166="","",IF(ISNUMBER('Dvd Calendar'!$AH$1630)=FALSE,"",IF((('Dvd Calendar'!$AH$1632=TYPE1)*(TYPE1&lt;&gt;"")+('Dvd Calendar'!$AH$1632=TYPE2)*(TYPE2&lt;&gt;"")+('Dvd Calendar'!$AH$1632=TYPE3)*(TYPE3&lt;&gt;"")+('Dvd Calendar'!$AH$1632=TYPE4)*(TYPE4&lt;&gt;"")+('Dvd Calendar'!$AH$1632=SPECIAL_LBL)*(INC_SPECIALS="Y"))=0,"",'Dvd Calendar'!$AH$1630)))</f>
        <v/>
      </c>
      <c r="AG166" s="161">
        <f>IF(FI166="","",IF(ISNUMBER('Dvd Calendar'!$AI$1630)=FALSE,"",IF((('Dvd Calendar'!$AI$1632=TYPE1)*(TYPE1&lt;&gt;"")+('Dvd Calendar'!$AI$1632=TYPE2)*(TYPE2&lt;&gt;"")+('Dvd Calendar'!$AI$1632=TYPE3)*(TYPE3&lt;&gt;"")+('Dvd Calendar'!$AI$1632=TYPE4)*(TYPE4&lt;&gt;"")+('Dvd Calendar'!$AI$1632=SPECIAL_LBL)*(INC_SPECIALS="Y"))=0,"",'Dvd Calendar'!$AI$1630)))</f>
        <v/>
      </c>
      <c r="AH166" s="161">
        <f>IF(FJ166="","",IF(ISNUMBER('Dvd Calendar'!$AJ$1630)=FALSE,"",IF((('Dvd Calendar'!$AJ$1632=TYPE1)*(TYPE1&lt;&gt;"")+('Dvd Calendar'!$AJ$1632=TYPE2)*(TYPE2&lt;&gt;"")+('Dvd Calendar'!$AJ$1632=TYPE3)*(TYPE3&lt;&gt;"")+('Dvd Calendar'!$AJ$1632=TYPE4)*(TYPE4&lt;&gt;"")+('Dvd Calendar'!$AJ$1632=SPECIAL_LBL)*(INC_SPECIALS="Y"))=0,"",'Dvd Calendar'!$AJ$1630)))</f>
        <v/>
      </c>
      <c r="AI166" s="161">
        <f>IF(FK166="","",IF(ISNUMBER('Dvd Calendar'!$AK$1630)=FALSE,"",IF((('Dvd Calendar'!$AK$1632=TYPE1)*(TYPE1&lt;&gt;"")+('Dvd Calendar'!$AK$1632=TYPE2)*(TYPE2&lt;&gt;"")+('Dvd Calendar'!$AK$1632=TYPE3)*(TYPE3&lt;&gt;"")+('Dvd Calendar'!$AK$1632=TYPE4)*(TYPE4&lt;&gt;"")+('Dvd Calendar'!$AK$1632=SPECIAL_LBL)*(INC_SPECIALS="Y"))=0,"",'Dvd Calendar'!$AK$1630)))</f>
        <v/>
      </c>
      <c r="AJ166" s="161">
        <f>IF(FL166="","",IF(ISNUMBER('Dvd Calendar'!$AL$1630)=FALSE,"",IF((('Dvd Calendar'!$AL$1632=TYPE1)*(TYPE1&lt;&gt;"")+('Dvd Calendar'!$AL$1632=TYPE2)*(TYPE2&lt;&gt;"")+('Dvd Calendar'!$AL$1632=TYPE3)*(TYPE3&lt;&gt;"")+('Dvd Calendar'!$AL$1632=TYPE4)*(TYPE4&lt;&gt;"")+('Dvd Calendar'!$AL$1632=SPECIAL_LBL)*(INC_SPECIALS="Y"))=0,"",'Dvd Calendar'!$AL$1630)))</f>
        <v/>
      </c>
      <c r="AK166" s="161">
        <f>IF(FM166="","",IF(ISNUMBER('Dvd Calendar'!$AM$1630)=FALSE,"",IF((('Dvd Calendar'!$AM$1632=TYPE1)*(TYPE1&lt;&gt;"")+('Dvd Calendar'!$AM$1632=TYPE2)*(TYPE2&lt;&gt;"")+('Dvd Calendar'!$AM$1632=TYPE3)*(TYPE3&lt;&gt;"")+('Dvd Calendar'!$AM$1632=TYPE4)*(TYPE4&lt;&gt;"")+('Dvd Calendar'!$AM$1632=SPECIAL_LBL)*(INC_SPECIALS="Y"))=0,"",'Dvd Calendar'!$AM$1630)))</f>
        <v/>
      </c>
      <c r="AL166" s="161">
        <f>IF(FN166="","",IF(ISNUMBER('Dvd Calendar'!$AN$1630)=FALSE,"",IF((('Dvd Calendar'!$AN$1632=TYPE1)*(TYPE1&lt;&gt;"")+('Dvd Calendar'!$AN$1632=TYPE2)*(TYPE2&lt;&gt;"")+('Dvd Calendar'!$AN$1632=TYPE3)*(TYPE3&lt;&gt;"")+('Dvd Calendar'!$AN$1632=TYPE4)*(TYPE4&lt;&gt;"")+('Dvd Calendar'!$AN$1632=SPECIAL_LBL)*(INC_SPECIALS="Y"))=0,"",'Dvd Calendar'!$AN$1630)))</f>
        <v/>
      </c>
      <c r="AM166" s="161">
        <f>IF(FO166="","",IF(ISNUMBER('Dvd Calendar'!$AO$1630)=FALSE,"",IF((('Dvd Calendar'!$AO$1632=TYPE1)*(TYPE1&lt;&gt;"")+('Dvd Calendar'!$AO$1632=TYPE2)*(TYPE2&lt;&gt;"")+('Dvd Calendar'!$AO$1632=TYPE3)*(TYPE3&lt;&gt;"")+('Dvd Calendar'!$AO$1632=TYPE4)*(TYPE4&lt;&gt;"")+('Dvd Calendar'!$AO$1632=SPECIAL_LBL)*(INC_SPECIALS="Y"))=0,"",'Dvd Calendar'!$AO$1630)))</f>
        <v/>
      </c>
      <c r="AN166" s="161">
        <f>IF(FP166="","",IF(ISNUMBER('Dvd Calendar'!$AP$1630)=FALSE,"",IF((('Dvd Calendar'!$AP$1632=TYPE1)*(TYPE1&lt;&gt;"")+('Dvd Calendar'!$AP$1632=TYPE2)*(TYPE2&lt;&gt;"")+('Dvd Calendar'!$AP$1632=TYPE3)*(TYPE3&lt;&gt;"")+('Dvd Calendar'!$AP$1632=TYPE4)*(TYPE4&lt;&gt;"")+('Dvd Calendar'!$AP$1632=SPECIAL_LBL)*(INC_SPECIALS="Y"))=0,"",'Dvd Calendar'!$AP$1630)))</f>
        <v/>
      </c>
      <c r="AO166" s="161">
        <f>IF(FQ166="","",IF(ISNUMBER('Dvd Calendar'!$AQ$1630)=FALSE,"",IF((('Dvd Calendar'!$AQ$1632=TYPE1)*(TYPE1&lt;&gt;"")+('Dvd Calendar'!$AQ$1632=TYPE2)*(TYPE2&lt;&gt;"")+('Dvd Calendar'!$AQ$1632=TYPE3)*(TYPE3&lt;&gt;"")+('Dvd Calendar'!$AQ$1632=TYPE4)*(TYPE4&lt;&gt;"")+('Dvd Calendar'!$AQ$1632=SPECIAL_LBL)*(INC_SPECIALS="Y"))=0,"",'Dvd Calendar'!$AQ$1630)))</f>
        <v/>
      </c>
      <c r="AP166" s="161">
        <f>IF(FR166="","",IF(ISNUMBER('Dvd Calendar'!$AR$1630)=FALSE,"",IF((('Dvd Calendar'!$AR$1632=TYPE1)*(TYPE1&lt;&gt;"")+('Dvd Calendar'!$AR$1632=TYPE2)*(TYPE2&lt;&gt;"")+('Dvd Calendar'!$AR$1632=TYPE3)*(TYPE3&lt;&gt;"")+('Dvd Calendar'!$AR$1632=TYPE4)*(TYPE4&lt;&gt;"")+('Dvd Calendar'!$AR$1632=SPECIAL_LBL)*(INC_SPECIALS="Y"))=0,"",'Dvd Calendar'!$AR$1630)))</f>
        <v/>
      </c>
      <c r="AQ166" s="161">
        <f>IF(FS166="","",IF(ISNUMBER('Dvd Calendar'!$E$1635)=FALSE,"",'Dvd Calendar'!$E$1635))</f>
        <v/>
      </c>
      <c r="AR166" s="161">
        <f>IF(FT166="","",IF(ISNUMBER('Dvd Calendar'!$F$1635)=FALSE,"",'Dvd Calendar'!$F$1635))</f>
        <v/>
      </c>
      <c r="AS166" s="161">
        <f>IF(FU166="","",IF(ISNUMBER('Dvd Calendar'!$G$1635)=FALSE,"",'Dvd Calendar'!$G$1635))</f>
        <v/>
      </c>
      <c r="AT166" s="161">
        <f>IF(FV166="","",IF(ISNUMBER('Dvd Calendar'!$H$1635)=FALSE,"",'Dvd Calendar'!$H$1635))</f>
        <v/>
      </c>
      <c r="AU166" s="161">
        <f>IF(FW166="","",IF(ISNUMBER('Dvd Calendar'!$I$1635)=FALSE,"",'Dvd Calendar'!$I$1635))</f>
        <v/>
      </c>
      <c r="AV166" s="161">
        <f>IF(FX166="","",IF(ISNUMBER('Dvd Calendar'!$J$1635)=FALSE,"",'Dvd Calendar'!$J$1635))</f>
        <v/>
      </c>
      <c r="AW166" s="161">
        <f>IF(FY166="","",IF(ISNUMBER('Dvd Calendar'!$K$1635)=FALSE,"",'Dvd Calendar'!$K$1635))</f>
        <v/>
      </c>
      <c r="AX166" s="161">
        <f>IF(FZ166="","",IF(ISNUMBER('Dvd Calendar'!$L$1635)=FALSE,"",'Dvd Calendar'!$L$1635))</f>
        <v/>
      </c>
      <c r="AY166" s="161">
        <f>IF(GA166="","",IF(ISNUMBER('Dvd Calendar'!$M$1635)=FALSE,"",'Dvd Calendar'!$M$1635))</f>
        <v/>
      </c>
      <c r="AZ166" s="161">
        <f>IF(GB166="","",IF(ISNUMBER('Dvd Calendar'!$N$1635)=FALSE,"",'Dvd Calendar'!$N$1635))</f>
        <v/>
      </c>
      <c r="BA166" s="161">
        <f>IF(GC166="","",IF(ISNUMBER('Dvd Calendar'!$O$1635)=FALSE,"",'Dvd Calendar'!$O$1635))</f>
        <v/>
      </c>
      <c r="BB166" s="161">
        <f>IF(GD166="","",IF(ISNUMBER('Dvd Calendar'!$P$1635)=FALSE,"",'Dvd Calendar'!$P$1635))</f>
        <v/>
      </c>
      <c r="BC166" s="161">
        <f>IF(GE166="","",IF(ISNUMBER('Dvd Calendar'!$Q$1635)=FALSE,"",'Dvd Calendar'!$Q$1635))</f>
        <v/>
      </c>
      <c r="BD166" s="161">
        <f>IF(GF166="","",IF(ISNUMBER('Dvd Calendar'!$R$1635)=FALSE,"",'Dvd Calendar'!$R$1635))</f>
        <v/>
      </c>
      <c r="BE166" s="161">
        <f>IF(GG166="","",IF(ISNUMBER('Dvd Calendar'!$S$1635)=FALSE,"",'Dvd Calendar'!$S$1635))</f>
        <v/>
      </c>
      <c r="BF166" s="161">
        <f>IF(GH166="","",IF(ISNUMBER('Dvd Calendar'!$T$1635)=FALSE,"",'Dvd Calendar'!$T$1635))</f>
        <v/>
      </c>
      <c r="BG166" s="161">
        <f>IF(GI166="","",IF(ISNUMBER('Dvd Calendar'!$U$1635)=FALSE,"",'Dvd Calendar'!$U$1635))</f>
        <v/>
      </c>
      <c r="BH166" s="161">
        <f>IF(GJ166="","",IF(ISNUMBER('Dvd Calendar'!$V$1635)=FALSE,"",'Dvd Calendar'!$V$1635))</f>
        <v/>
      </c>
      <c r="BI166" s="161">
        <f>IF(GK166="","",IF(ISNUMBER('Dvd Calendar'!$W$1635)=FALSE,"",'Dvd Calendar'!$W$1635))</f>
        <v/>
      </c>
      <c r="BJ166" s="161">
        <f>IF(GL166="","",IF(ISNUMBER('Dvd Calendar'!$X$1635)=FALSE,"",'Dvd Calendar'!$X$1635))</f>
        <v/>
      </c>
      <c r="BK166" s="161">
        <f>IF(GM166="","",IF(ISNUMBER('Dvd Calendar'!$Y$1635)=FALSE,"",'Dvd Calendar'!$Y$1635))</f>
        <v/>
      </c>
      <c r="BL166" s="161">
        <f>IF(GN166="","",IF(ISNUMBER('Dvd Calendar'!$Z$1635)=FALSE,"",'Dvd Calendar'!$Z$1635))</f>
        <v/>
      </c>
      <c r="BM166" s="161">
        <f>IF(GO166="","",IF(ISNUMBER('Dvd Calendar'!$AA$1635)=FALSE,"",'Dvd Calendar'!$AA$1635))</f>
        <v/>
      </c>
      <c r="BN166" s="161">
        <f>IF(GP166="","",IF(ISNUMBER('Dvd Calendar'!$AB$1635)=FALSE,"",'Dvd Calendar'!$AB$1635))</f>
        <v/>
      </c>
      <c r="BO166" s="161">
        <f>IF(GQ166="","",IF(ISNUMBER('Dvd Calendar'!$AC$1635)=FALSE,"",'Dvd Calendar'!$AC$1635))</f>
        <v/>
      </c>
      <c r="BQ166" s="161">
        <f>IF(C166="","",IFERROR(C166*HSCEI!$B$13*HSCEI!$G$13/HSCEI!$B$3,""))</f>
        <v/>
      </c>
      <c r="BR166" s="161">
        <f>IF(D166="","",IFERROR(D166*HSCEI!$B$13*HSCEI!$G$13/HSCEI!$B$3,""))</f>
        <v/>
      </c>
      <c r="BS166" s="161">
        <f>IF(E166="","",IFERROR(E166*HSCEI!$B$13*HSCEI!$G$13/HSCEI!$B$3,""))</f>
        <v/>
      </c>
      <c r="BT166" s="161">
        <f>IF(F166="","",IFERROR(F166*HSCEI!$B$13*HSCEI!$G$13/HSCEI!$B$3,""))</f>
        <v/>
      </c>
      <c r="BU166" s="161">
        <f>IF(G166="","",IFERROR(G166*HSCEI!$B$13*HSCEI!$G$13/HSCEI!$B$3,""))</f>
        <v/>
      </c>
      <c r="BV166" s="161">
        <f>IF(H166="","",IFERROR(H166*HSCEI!$B$13*HSCEI!$G$13/HSCEI!$B$3,""))</f>
        <v/>
      </c>
      <c r="BW166" s="161">
        <f>IF(I166="","",IFERROR(I166*HSCEI!$B$13*HSCEI!$G$13/HSCEI!$B$3,""))</f>
        <v/>
      </c>
      <c r="BX166" s="161">
        <f>IF(J166="","",IFERROR(J166*HSCEI!$B$13*HSCEI!$G$13/HSCEI!$B$3,""))</f>
        <v/>
      </c>
      <c r="BY166" s="161">
        <f>IF(K166="","",IFERROR(K166*HSCEI!$B$13*HSCEI!$G$13/HSCEI!$B$3,""))</f>
        <v/>
      </c>
      <c r="BZ166" s="161">
        <f>IF(L166="","",IFERROR(L166*HSCEI!$B$13*HSCEI!$G$13/HSCEI!$B$3,""))</f>
        <v/>
      </c>
      <c r="CA166" s="161">
        <f>IF(M166="","",IFERROR(M166*HSCEI!$B$13*HSCEI!$G$13/HSCEI!$B$3,""))</f>
        <v/>
      </c>
      <c r="CB166" s="161">
        <f>IF(N166="","",IFERROR(N166*HSCEI!$B$13*HSCEI!$G$13/HSCEI!$B$3,""))</f>
        <v/>
      </c>
      <c r="CC166" s="161">
        <f>IF(O166="","",IFERROR(O166*HSCEI!$B$13*HSCEI!$G$13/HSCEI!$B$3,""))</f>
        <v/>
      </c>
      <c r="CD166" s="161">
        <f>IF(P166="","",IFERROR(P166*HSCEI!$B$13*HSCEI!$G$13/HSCEI!$B$3,""))</f>
        <v/>
      </c>
      <c r="CE166" s="161">
        <f>IF(Q166="","",IFERROR(Q166*HSCEI!$B$13*HSCEI!$G$13/HSCEI!$B$3,""))</f>
        <v/>
      </c>
      <c r="CF166" s="161">
        <f>IF(R166="","",IFERROR(R166*HSCEI!$B$13*HSCEI!$G$13/HSCEI!$B$3,""))</f>
        <v/>
      </c>
      <c r="CG166" s="161">
        <f>IF(S166="","",IFERROR(S166*HSCEI!$B$13*HSCEI!$G$13/HSCEI!$B$3,""))</f>
        <v/>
      </c>
      <c r="CH166" s="161">
        <f>IF(T166="","",IFERROR(T166*HSCEI!$B$13*HSCEI!$G$13/HSCEI!$B$3,""))</f>
        <v/>
      </c>
      <c r="CI166" s="161">
        <f>IF(U166="","",IFERROR(U166*HSCEI!$B$13*HSCEI!$G$13/HSCEI!$B$3,""))</f>
        <v/>
      </c>
      <c r="CJ166" s="161">
        <f>IF(V166="","",IFERROR(V166*HSCEI!$B$13*HSCEI!$G$13/HSCEI!$B$3,""))</f>
        <v/>
      </c>
      <c r="CK166" s="161">
        <f>IF(W166="","",IFERROR(W166*HSCEI!$B$13*HSCEI!$G$13/HSCEI!$B$3,""))</f>
        <v/>
      </c>
      <c r="CL166" s="161">
        <f>IF(X166="","",IFERROR(X166*HSCEI!$B$13*HSCEI!$G$13/HSCEI!$B$3,""))</f>
        <v/>
      </c>
      <c r="CM166" s="161">
        <f>IF(Y166="","",IFERROR(Y166*HSCEI!$B$13*HSCEI!$G$13/HSCEI!$B$3,""))</f>
        <v/>
      </c>
      <c r="CN166" s="161">
        <f>IF(Z166="","",IFERROR(Z166*HSCEI!$B$13*HSCEI!$G$13/HSCEI!$B$3,""))</f>
        <v/>
      </c>
      <c r="CO166" s="161">
        <f>IF(AA166="","",IFERROR(AA166*HSCEI!$B$13*HSCEI!$G$13/HSCEI!$B$3,""))</f>
        <v/>
      </c>
      <c r="CP166" s="161">
        <f>IF(AB166="","",IFERROR(AB166*HSCEI!$B$13*HSCEI!$G$13/HSCEI!$B$3,""))</f>
        <v/>
      </c>
      <c r="CQ166" s="161">
        <f>IF(AC166="","",IFERROR(AC166*HSCEI!$B$13*HSCEI!$G$13/HSCEI!$B$3,""))</f>
        <v/>
      </c>
      <c r="CR166" s="161">
        <f>IF(AD166="","",IFERROR(AD166*HSCEI!$B$13*HSCEI!$G$13/HSCEI!$B$3,""))</f>
        <v/>
      </c>
      <c r="CS166" s="161">
        <f>IF(AE166="","",IFERROR(AE166*HSCEI!$B$13*HSCEI!$G$13/HSCEI!$B$3,""))</f>
        <v/>
      </c>
      <c r="CT166" s="161">
        <f>IF(AF166="","",IFERROR(AF166*HSCEI!$B$13*HSCEI!$G$13/HSCEI!$B$3,""))</f>
        <v/>
      </c>
      <c r="CU166" s="161">
        <f>IF(AG166="","",IFERROR(AG166*HSCEI!$B$13*HSCEI!$G$13/HSCEI!$B$3,""))</f>
        <v/>
      </c>
      <c r="CV166" s="161">
        <f>IF(AH166="","",IFERROR(AH166*HSCEI!$B$13*HSCEI!$G$13/HSCEI!$B$3,""))</f>
        <v/>
      </c>
      <c r="CW166" s="161">
        <f>IF(AI166="","",IFERROR(AI166*HSCEI!$B$13*HSCEI!$G$13/HSCEI!$B$3,""))</f>
        <v/>
      </c>
      <c r="CX166" s="161">
        <f>IF(AJ166="","",IFERROR(AJ166*HSCEI!$B$13*HSCEI!$G$13/HSCEI!$B$3,""))</f>
        <v/>
      </c>
      <c r="CY166" s="161">
        <f>IF(AK166="","",IFERROR(AK166*HSCEI!$B$13*HSCEI!$G$13/HSCEI!$B$3,""))</f>
        <v/>
      </c>
      <c r="CZ166" s="161">
        <f>IF(AL166="","",IFERROR(AL166*HSCEI!$B$13*HSCEI!$G$13/HSCEI!$B$3,""))</f>
        <v/>
      </c>
      <c r="DA166" s="161">
        <f>IF(AM166="","",IFERROR(AM166*HSCEI!$B$13*HSCEI!$G$13/HSCEI!$B$3,""))</f>
        <v/>
      </c>
      <c r="DB166" s="161">
        <f>IF(AN166="","",IFERROR(AN166*HSCEI!$B$13*HSCEI!$G$13/HSCEI!$B$3,""))</f>
        <v/>
      </c>
      <c r="DC166" s="161">
        <f>IF(AO166="","",IFERROR(AO166*HSCEI!$B$13*HSCEI!$G$13/HSCEI!$B$3,""))</f>
        <v/>
      </c>
      <c r="DD166" s="161">
        <f>IF(AP166="","",IFERROR(AP166*HSCEI!$B$13*HSCEI!$G$13/HSCEI!$B$3,""))</f>
        <v/>
      </c>
      <c r="DE166" s="161">
        <f>IF(AQ166="","",IFERROR(AQ166*HSCEI!$B$13*HSCEI!$G$13/HSCEI!$B$3,""))</f>
        <v/>
      </c>
      <c r="DF166" s="161">
        <f>IF(AR166="","",IFERROR(AR166*HSCEI!$B$13*HSCEI!$G$13/HSCEI!$B$3,""))</f>
        <v/>
      </c>
      <c r="DG166" s="161">
        <f>IF(AS166="","",IFERROR(AS166*HSCEI!$B$13*HSCEI!$G$13/HSCEI!$B$3,""))</f>
        <v/>
      </c>
      <c r="DH166" s="161">
        <f>IF(AT166="","",IFERROR(AT166*HSCEI!$B$13*HSCEI!$G$13/HSCEI!$B$3,""))</f>
        <v/>
      </c>
      <c r="DI166" s="161">
        <f>IF(AU166="","",IFERROR(AU166*HSCEI!$B$13*HSCEI!$G$13/HSCEI!$B$3,""))</f>
        <v/>
      </c>
      <c r="DJ166" s="161">
        <f>IF(AV166="","",IFERROR(AV166*HSCEI!$B$13*HSCEI!$G$13/HSCEI!$B$3,""))</f>
        <v/>
      </c>
      <c r="DK166" s="161">
        <f>IF(AW166="","",IFERROR(AW166*HSCEI!$B$13*HSCEI!$G$13/HSCEI!$B$3,""))</f>
        <v/>
      </c>
      <c r="DL166" s="161">
        <f>IF(AX166="","",IFERROR(AX166*HSCEI!$B$13*HSCEI!$G$13/HSCEI!$B$3,""))</f>
        <v/>
      </c>
      <c r="DM166" s="161">
        <f>IF(AY166="","",IFERROR(AY166*HSCEI!$B$13*HSCEI!$G$13/HSCEI!$B$3,""))</f>
        <v/>
      </c>
      <c r="DN166" s="161">
        <f>IF(AZ166="","",IFERROR(AZ166*HSCEI!$B$13*HSCEI!$G$13/HSCEI!$B$3,""))</f>
        <v/>
      </c>
      <c r="DO166" s="161">
        <f>IF(BA166="","",IFERROR(BA166*HSCEI!$B$13*HSCEI!$G$13/HSCEI!$B$3,""))</f>
        <v/>
      </c>
      <c r="DP166" s="161">
        <f>IF(BB166="","",IFERROR(BB166*HSCEI!$B$13*HSCEI!$G$13/HSCEI!$B$3,""))</f>
        <v/>
      </c>
      <c r="DQ166" s="161">
        <f>IF(BC166="","",IFERROR(BC166*HSCEI!$B$13*HSCEI!$G$13/HSCEI!$B$3,""))</f>
        <v/>
      </c>
      <c r="DR166" s="161">
        <f>IF(BD166="","",IFERROR(BD166*HSCEI!$B$13*HSCEI!$G$13/HSCEI!$B$3,""))</f>
        <v/>
      </c>
      <c r="DS166" s="161">
        <f>IF(BE166="","",IFERROR(BE166*HSCEI!$B$13*HSCEI!$G$13/HSCEI!$B$3,""))</f>
        <v/>
      </c>
      <c r="DT166" s="161">
        <f>IF(BF166="","",IFERROR(BF166*HSCEI!$B$13*HSCEI!$G$13/HSCEI!$B$3,""))</f>
        <v/>
      </c>
      <c r="DU166" s="161">
        <f>IF(BG166="","",IFERROR(BG166*HSCEI!$B$13*HSCEI!$G$13/HSCEI!$B$3,""))</f>
        <v/>
      </c>
      <c r="DV166" s="161">
        <f>IF(BH166="","",IFERROR(BH166*HSCEI!$B$13*HSCEI!$G$13/HSCEI!$B$3,""))</f>
        <v/>
      </c>
      <c r="DW166" s="161">
        <f>IF(BI166="","",IFERROR(BI166*HSCEI!$B$13*HSCEI!$G$13/HSCEI!$B$3,""))</f>
        <v/>
      </c>
      <c r="DX166" s="161">
        <f>IF(BJ166="","",IFERROR(BJ166*HSCEI!$B$13*HSCEI!$G$13/HSCEI!$B$3,""))</f>
        <v/>
      </c>
      <c r="DY166" s="161">
        <f>IF(BK166="","",IFERROR(BK166*HSCEI!$B$13*HSCEI!$G$13/HSCEI!$B$3,""))</f>
        <v/>
      </c>
      <c r="DZ166" s="161">
        <f>IF(BL166="","",IFERROR(BL166*HSCEI!$B$13*HSCEI!$G$13/HSCEI!$B$3,""))</f>
        <v/>
      </c>
      <c r="EA166" s="161">
        <f>IF(BM166="","",IFERROR(BM166*HSCEI!$B$13*HSCEI!$G$13/HSCEI!$B$3,""))</f>
        <v/>
      </c>
      <c r="EB166" s="161">
        <f>IF(BN166="","",IFERROR(BN166*HSCEI!$B$13*HSCEI!$G$13/HSCEI!$B$3,""))</f>
        <v/>
      </c>
      <c r="EC166" s="161">
        <f>IF(BO166="","",IFERROR(BO166*HSCEI!$B$13*HSCEI!$G$13/HSCEI!$B$3,""))</f>
        <v/>
      </c>
      <c r="EE166" s="121">
        <f>IF(N('Dvd Calendar'!$E$1627)=0,"",IF(('Dvd Calendar'!$E$1627&gt;=GRID_FROM)*('Dvd Calendar'!$E$1627&lt;=GRID_TO)*((('Dvd Calendar'!$E$1627&lt;=VAL_DATE)+(COUNTIF('Dvd Calendar'!$E$1634:$AR$1634,'Dvd Calendar'!$E$1627)=0))&gt;0)=0,"",'Dvd Calendar'!$E$1627*1000000000+ISNUMBER('Dvd Calendar'!$E$1630)*100000000+('Dvd Calendar'!$E$1632=SPECIAL_LBL)*10000000+(N('Dvd Calendar'!$E$1626)&gt;0)*(N('Dvd Calendar'!$E$1626)&lt;=VAL_SERIAL)*1000000+7*1000+1))</f>
        <v/>
      </c>
      <c r="EF166" s="121">
        <f>IF(N('Dvd Calendar'!$F$1627)=0,"",IF(('Dvd Calendar'!$F$1627&gt;=GRID_FROM)*('Dvd Calendar'!$F$1627&lt;=GRID_TO)*((('Dvd Calendar'!$F$1627&lt;=VAL_DATE)+(COUNTIF('Dvd Calendar'!$E$1634:$AR$1634,'Dvd Calendar'!$F$1627)=0))&gt;0)=0,"",'Dvd Calendar'!$F$1627*1000000000+ISNUMBER('Dvd Calendar'!$F$1630)*100000000+('Dvd Calendar'!$F$1632=SPECIAL_LBL)*10000000+(N('Dvd Calendar'!$F$1626)&gt;0)*(N('Dvd Calendar'!$F$1626)&lt;=VAL_SERIAL)*1000000+7*1000+2))</f>
        <v/>
      </c>
      <c r="EG166" s="121">
        <f>IF(N('Dvd Calendar'!$G$1627)=0,"",IF(('Dvd Calendar'!$G$1627&gt;=GRID_FROM)*('Dvd Calendar'!$G$1627&lt;=GRID_TO)*((('Dvd Calendar'!$G$1627&lt;=VAL_DATE)+(COUNTIF('Dvd Calendar'!$E$1634:$AR$1634,'Dvd Calendar'!$G$1627)=0))&gt;0)=0,"",'Dvd Calendar'!$G$1627*1000000000+ISNUMBER('Dvd Calendar'!$G$1630)*100000000+('Dvd Calendar'!$G$1632=SPECIAL_LBL)*10000000+(N('Dvd Calendar'!$G$1626)&gt;0)*(N('Dvd Calendar'!$G$1626)&lt;=VAL_SERIAL)*1000000+7*1000+3))</f>
        <v/>
      </c>
      <c r="EH166" s="121">
        <f>IF(N('Dvd Calendar'!$H$1627)=0,"",IF(('Dvd Calendar'!$H$1627&gt;=GRID_FROM)*('Dvd Calendar'!$H$1627&lt;=GRID_TO)*((('Dvd Calendar'!$H$1627&lt;=VAL_DATE)+(COUNTIF('Dvd Calendar'!$E$1634:$AR$1634,'Dvd Calendar'!$H$1627)=0))&gt;0)=0,"",'Dvd Calendar'!$H$1627*1000000000+ISNUMBER('Dvd Calendar'!$H$1630)*100000000+('Dvd Calendar'!$H$1632=SPECIAL_LBL)*10000000+(N('Dvd Calendar'!$H$1626)&gt;0)*(N('Dvd Calendar'!$H$1626)&lt;=VAL_SERIAL)*1000000+7*1000+4))</f>
        <v/>
      </c>
      <c r="EI166" s="121">
        <f>IF(N('Dvd Calendar'!$I$1627)=0,"",IF(('Dvd Calendar'!$I$1627&gt;=GRID_FROM)*('Dvd Calendar'!$I$1627&lt;=GRID_TO)*((('Dvd Calendar'!$I$1627&lt;=VAL_DATE)+(COUNTIF('Dvd Calendar'!$E$1634:$AR$1634,'Dvd Calendar'!$I$1627)=0))&gt;0)=0,"",'Dvd Calendar'!$I$1627*1000000000+ISNUMBER('Dvd Calendar'!$I$1630)*100000000+('Dvd Calendar'!$I$1632=SPECIAL_LBL)*10000000+(N('Dvd Calendar'!$I$1626)&gt;0)*(N('Dvd Calendar'!$I$1626)&lt;=VAL_SERIAL)*1000000+7*1000+5))</f>
        <v/>
      </c>
      <c r="EJ166" s="121">
        <f>IF(N('Dvd Calendar'!$J$1627)=0,"",IF(('Dvd Calendar'!$J$1627&gt;=GRID_FROM)*('Dvd Calendar'!$J$1627&lt;=GRID_TO)*((('Dvd Calendar'!$J$1627&lt;=VAL_DATE)+(COUNTIF('Dvd Calendar'!$E$1634:$AR$1634,'Dvd Calendar'!$J$1627)=0))&gt;0)=0,"",'Dvd Calendar'!$J$1627*1000000000+ISNUMBER('Dvd Calendar'!$J$1630)*100000000+('Dvd Calendar'!$J$1632=SPECIAL_LBL)*10000000+(N('Dvd Calendar'!$J$1626)&gt;0)*(N('Dvd Calendar'!$J$1626)&lt;=VAL_SERIAL)*1000000+7*1000+6))</f>
        <v/>
      </c>
      <c r="EK166" s="121">
        <f>IF(N('Dvd Calendar'!$K$1627)=0,"",IF(('Dvd Calendar'!$K$1627&gt;=GRID_FROM)*('Dvd Calendar'!$K$1627&lt;=GRID_TO)*((('Dvd Calendar'!$K$1627&lt;=VAL_DATE)+(COUNTIF('Dvd Calendar'!$E$1634:$AR$1634,'Dvd Calendar'!$K$1627)=0))&gt;0)=0,"",'Dvd Calendar'!$K$1627*1000000000+ISNUMBER('Dvd Calendar'!$K$1630)*100000000+('Dvd Calendar'!$K$1632=SPECIAL_LBL)*10000000+(N('Dvd Calendar'!$K$1626)&gt;0)*(N('Dvd Calendar'!$K$1626)&lt;=VAL_SERIAL)*1000000+7*1000+7))</f>
        <v/>
      </c>
      <c r="EL166" s="121">
        <f>IF(N('Dvd Calendar'!$L$1627)=0,"",IF(('Dvd Calendar'!$L$1627&gt;=GRID_FROM)*('Dvd Calendar'!$L$1627&lt;=GRID_TO)*((('Dvd Calendar'!$L$1627&lt;=VAL_DATE)+(COUNTIF('Dvd Calendar'!$E$1634:$AR$1634,'Dvd Calendar'!$L$1627)=0))&gt;0)=0,"",'Dvd Calendar'!$L$1627*1000000000+ISNUMBER('Dvd Calendar'!$L$1630)*100000000+('Dvd Calendar'!$L$1632=SPECIAL_LBL)*10000000+(N('Dvd Calendar'!$L$1626)&gt;0)*(N('Dvd Calendar'!$L$1626)&lt;=VAL_SERIAL)*1000000+7*1000+8))</f>
        <v/>
      </c>
      <c r="EM166" s="121">
        <f>IF(N('Dvd Calendar'!$M$1627)=0,"",IF(('Dvd Calendar'!$M$1627&gt;=GRID_FROM)*('Dvd Calendar'!$M$1627&lt;=GRID_TO)*((('Dvd Calendar'!$M$1627&lt;=VAL_DATE)+(COUNTIF('Dvd Calendar'!$E$1634:$AR$1634,'Dvd Calendar'!$M$1627)=0))&gt;0)=0,"",'Dvd Calendar'!$M$1627*1000000000+ISNUMBER('Dvd Calendar'!$M$1630)*100000000+('Dvd Calendar'!$M$1632=SPECIAL_LBL)*10000000+(N('Dvd Calendar'!$M$1626)&gt;0)*(N('Dvd Calendar'!$M$1626)&lt;=VAL_SERIAL)*1000000+7*1000+9))</f>
        <v/>
      </c>
      <c r="EN166" s="121">
        <f>IF(N('Dvd Calendar'!$N$1627)=0,"",IF(('Dvd Calendar'!$N$1627&gt;=GRID_FROM)*('Dvd Calendar'!$N$1627&lt;=GRID_TO)*((('Dvd Calendar'!$N$1627&lt;=VAL_DATE)+(COUNTIF('Dvd Calendar'!$E$1634:$AR$1634,'Dvd Calendar'!$N$1627)=0))&gt;0)=0,"",'Dvd Calendar'!$N$1627*1000000000+ISNUMBER('Dvd Calendar'!$N$1630)*100000000+('Dvd Calendar'!$N$1632=SPECIAL_LBL)*10000000+(N('Dvd Calendar'!$N$1626)&gt;0)*(N('Dvd Calendar'!$N$1626)&lt;=VAL_SERIAL)*1000000+7*1000+10))</f>
        <v/>
      </c>
      <c r="EO166" s="121">
        <f>IF(N('Dvd Calendar'!$O$1627)=0,"",IF(('Dvd Calendar'!$O$1627&gt;=GRID_FROM)*('Dvd Calendar'!$O$1627&lt;=GRID_TO)*((('Dvd Calendar'!$O$1627&lt;=VAL_DATE)+(COUNTIF('Dvd Calendar'!$E$1634:$AR$1634,'Dvd Calendar'!$O$1627)=0))&gt;0)=0,"",'Dvd Calendar'!$O$1627*1000000000+ISNUMBER('Dvd Calendar'!$O$1630)*100000000+('Dvd Calendar'!$O$1632=SPECIAL_LBL)*10000000+(N('Dvd Calendar'!$O$1626)&gt;0)*(N('Dvd Calendar'!$O$1626)&lt;=VAL_SERIAL)*1000000+7*1000+11))</f>
        <v/>
      </c>
      <c r="EP166" s="121">
        <f>IF(N('Dvd Calendar'!$P$1627)=0,"",IF(('Dvd Calendar'!$P$1627&gt;=GRID_FROM)*('Dvd Calendar'!$P$1627&lt;=GRID_TO)*((('Dvd Calendar'!$P$1627&lt;=VAL_DATE)+(COUNTIF('Dvd Calendar'!$E$1634:$AR$1634,'Dvd Calendar'!$P$1627)=0))&gt;0)=0,"",'Dvd Calendar'!$P$1627*1000000000+ISNUMBER('Dvd Calendar'!$P$1630)*100000000+('Dvd Calendar'!$P$1632=SPECIAL_LBL)*10000000+(N('Dvd Calendar'!$P$1626)&gt;0)*(N('Dvd Calendar'!$P$1626)&lt;=VAL_SERIAL)*1000000+7*1000+12))</f>
        <v/>
      </c>
      <c r="EQ166" s="121">
        <f>IF(N('Dvd Calendar'!$Q$1627)=0,"",IF(('Dvd Calendar'!$Q$1627&gt;=GRID_FROM)*('Dvd Calendar'!$Q$1627&lt;=GRID_TO)*((('Dvd Calendar'!$Q$1627&lt;=VAL_DATE)+(COUNTIF('Dvd Calendar'!$E$1634:$AR$1634,'Dvd Calendar'!$Q$1627)=0))&gt;0)=0,"",'Dvd Calendar'!$Q$1627*1000000000+ISNUMBER('Dvd Calendar'!$Q$1630)*100000000+('Dvd Calendar'!$Q$1632=SPECIAL_LBL)*10000000+(N('Dvd Calendar'!$Q$1626)&gt;0)*(N('Dvd Calendar'!$Q$1626)&lt;=VAL_SERIAL)*1000000+7*1000+13))</f>
        <v/>
      </c>
      <c r="ER166" s="121">
        <f>IF(N('Dvd Calendar'!$R$1627)=0,"",IF(('Dvd Calendar'!$R$1627&gt;=GRID_FROM)*('Dvd Calendar'!$R$1627&lt;=GRID_TO)*((('Dvd Calendar'!$R$1627&lt;=VAL_DATE)+(COUNTIF('Dvd Calendar'!$E$1634:$AR$1634,'Dvd Calendar'!$R$1627)=0))&gt;0)=0,"",'Dvd Calendar'!$R$1627*1000000000+ISNUMBER('Dvd Calendar'!$R$1630)*100000000+('Dvd Calendar'!$R$1632=SPECIAL_LBL)*10000000+(N('Dvd Calendar'!$R$1626)&gt;0)*(N('Dvd Calendar'!$R$1626)&lt;=VAL_SERIAL)*1000000+7*1000+14))</f>
        <v/>
      </c>
      <c r="ES166" s="121">
        <f>IF(N('Dvd Calendar'!$S$1627)=0,"",IF(('Dvd Calendar'!$S$1627&gt;=GRID_FROM)*('Dvd Calendar'!$S$1627&lt;=GRID_TO)*((('Dvd Calendar'!$S$1627&lt;=VAL_DATE)+(COUNTIF('Dvd Calendar'!$E$1634:$AR$1634,'Dvd Calendar'!$S$1627)=0))&gt;0)=0,"",'Dvd Calendar'!$S$1627*1000000000+ISNUMBER('Dvd Calendar'!$S$1630)*100000000+('Dvd Calendar'!$S$1632=SPECIAL_LBL)*10000000+(N('Dvd Calendar'!$S$1626)&gt;0)*(N('Dvd Calendar'!$S$1626)&lt;=VAL_SERIAL)*1000000+7*1000+15))</f>
        <v/>
      </c>
      <c r="ET166" s="121">
        <f>IF(N('Dvd Calendar'!$T$1627)=0,"",IF(('Dvd Calendar'!$T$1627&gt;=GRID_FROM)*('Dvd Calendar'!$T$1627&lt;=GRID_TO)*((('Dvd Calendar'!$T$1627&lt;=VAL_DATE)+(COUNTIF('Dvd Calendar'!$E$1634:$AR$1634,'Dvd Calendar'!$T$1627)=0))&gt;0)=0,"",'Dvd Calendar'!$T$1627*1000000000+ISNUMBER('Dvd Calendar'!$T$1630)*100000000+('Dvd Calendar'!$T$1632=SPECIAL_LBL)*10000000+(N('Dvd Calendar'!$T$1626)&gt;0)*(N('Dvd Calendar'!$T$1626)&lt;=VAL_SERIAL)*1000000+7*1000+16))</f>
        <v/>
      </c>
      <c r="EU166" s="121">
        <f>IF(N('Dvd Calendar'!$U$1627)=0,"",IF(('Dvd Calendar'!$U$1627&gt;=GRID_FROM)*('Dvd Calendar'!$U$1627&lt;=GRID_TO)*((('Dvd Calendar'!$U$1627&lt;=VAL_DATE)+(COUNTIF('Dvd Calendar'!$E$1634:$AR$1634,'Dvd Calendar'!$U$1627)=0))&gt;0)=0,"",'Dvd Calendar'!$U$1627*1000000000+ISNUMBER('Dvd Calendar'!$U$1630)*100000000+('Dvd Calendar'!$U$1632=SPECIAL_LBL)*10000000+(N('Dvd Calendar'!$U$1626)&gt;0)*(N('Dvd Calendar'!$U$1626)&lt;=VAL_SERIAL)*1000000+7*1000+17))</f>
        <v/>
      </c>
      <c r="EV166" s="121">
        <f>IF(N('Dvd Calendar'!$V$1627)=0,"",IF(('Dvd Calendar'!$V$1627&gt;=GRID_FROM)*('Dvd Calendar'!$V$1627&lt;=GRID_TO)*((('Dvd Calendar'!$V$1627&lt;=VAL_DATE)+(COUNTIF('Dvd Calendar'!$E$1634:$AR$1634,'Dvd Calendar'!$V$1627)=0))&gt;0)=0,"",'Dvd Calendar'!$V$1627*1000000000+ISNUMBER('Dvd Calendar'!$V$1630)*100000000+('Dvd Calendar'!$V$1632=SPECIAL_LBL)*10000000+(N('Dvd Calendar'!$V$1626)&gt;0)*(N('Dvd Calendar'!$V$1626)&lt;=VAL_SERIAL)*1000000+7*1000+18))</f>
        <v/>
      </c>
      <c r="EW166" s="121">
        <f>IF(N('Dvd Calendar'!$W$1627)=0,"",IF(('Dvd Calendar'!$W$1627&gt;=GRID_FROM)*('Dvd Calendar'!$W$1627&lt;=GRID_TO)*((('Dvd Calendar'!$W$1627&lt;=VAL_DATE)+(COUNTIF('Dvd Calendar'!$E$1634:$AR$1634,'Dvd Calendar'!$W$1627)=0))&gt;0)=0,"",'Dvd Calendar'!$W$1627*1000000000+ISNUMBER('Dvd Calendar'!$W$1630)*100000000+('Dvd Calendar'!$W$1632=SPECIAL_LBL)*10000000+(N('Dvd Calendar'!$W$1626)&gt;0)*(N('Dvd Calendar'!$W$1626)&lt;=VAL_SERIAL)*1000000+7*1000+19))</f>
        <v/>
      </c>
      <c r="EX166" s="121">
        <f>IF(N('Dvd Calendar'!$X$1627)=0,"",IF(('Dvd Calendar'!$X$1627&gt;=GRID_FROM)*('Dvd Calendar'!$X$1627&lt;=GRID_TO)*((('Dvd Calendar'!$X$1627&lt;=VAL_DATE)+(COUNTIF('Dvd Calendar'!$E$1634:$AR$1634,'Dvd Calendar'!$X$1627)=0))&gt;0)=0,"",'Dvd Calendar'!$X$1627*1000000000+ISNUMBER('Dvd Calendar'!$X$1630)*100000000+('Dvd Calendar'!$X$1632=SPECIAL_LBL)*10000000+(N('Dvd Calendar'!$X$1626)&gt;0)*(N('Dvd Calendar'!$X$1626)&lt;=VAL_SERIAL)*1000000+7*1000+20))</f>
        <v/>
      </c>
      <c r="EY166" s="121">
        <f>IF(N('Dvd Calendar'!$Y$1627)=0,"",IF(('Dvd Calendar'!$Y$1627&gt;=GRID_FROM)*('Dvd Calendar'!$Y$1627&lt;=GRID_TO)*((('Dvd Calendar'!$Y$1627&lt;=VAL_DATE)+(COUNTIF('Dvd Calendar'!$E$1634:$AR$1634,'Dvd Calendar'!$Y$1627)=0))&gt;0)=0,"",'Dvd Calendar'!$Y$1627*1000000000+ISNUMBER('Dvd Calendar'!$Y$1630)*100000000+('Dvd Calendar'!$Y$1632=SPECIAL_LBL)*10000000+(N('Dvd Calendar'!$Y$1626)&gt;0)*(N('Dvd Calendar'!$Y$1626)&lt;=VAL_SERIAL)*1000000+7*1000+21))</f>
        <v/>
      </c>
      <c r="EZ166" s="121">
        <f>IF(N('Dvd Calendar'!$Z$1627)=0,"",IF(('Dvd Calendar'!$Z$1627&gt;=GRID_FROM)*('Dvd Calendar'!$Z$1627&lt;=GRID_TO)*((('Dvd Calendar'!$Z$1627&lt;=VAL_DATE)+(COUNTIF('Dvd Calendar'!$E$1634:$AR$1634,'Dvd Calendar'!$Z$1627)=0))&gt;0)=0,"",'Dvd Calendar'!$Z$1627*1000000000+ISNUMBER('Dvd Calendar'!$Z$1630)*100000000+('Dvd Calendar'!$Z$1632=SPECIAL_LBL)*10000000+(N('Dvd Calendar'!$Z$1626)&gt;0)*(N('Dvd Calendar'!$Z$1626)&lt;=VAL_SERIAL)*1000000+7*1000+22))</f>
        <v/>
      </c>
      <c r="FA166" s="121">
        <f>IF(N('Dvd Calendar'!$AA$1627)=0,"",IF(('Dvd Calendar'!$AA$1627&gt;=GRID_FROM)*('Dvd Calendar'!$AA$1627&lt;=GRID_TO)*((('Dvd Calendar'!$AA$1627&lt;=VAL_DATE)+(COUNTIF('Dvd Calendar'!$E$1634:$AR$1634,'Dvd Calendar'!$AA$1627)=0))&gt;0)=0,"",'Dvd Calendar'!$AA$1627*1000000000+ISNUMBER('Dvd Calendar'!$AA$1630)*100000000+('Dvd Calendar'!$AA$1632=SPECIAL_LBL)*10000000+(N('Dvd Calendar'!$AA$1626)&gt;0)*(N('Dvd Calendar'!$AA$1626)&lt;=VAL_SERIAL)*1000000+7*1000+23))</f>
        <v/>
      </c>
      <c r="FB166" s="121">
        <f>IF(N('Dvd Calendar'!$AB$1627)=0,"",IF(('Dvd Calendar'!$AB$1627&gt;=GRID_FROM)*('Dvd Calendar'!$AB$1627&lt;=GRID_TO)*((('Dvd Calendar'!$AB$1627&lt;=VAL_DATE)+(COUNTIF('Dvd Calendar'!$E$1634:$AR$1634,'Dvd Calendar'!$AB$1627)=0))&gt;0)=0,"",'Dvd Calendar'!$AB$1627*1000000000+ISNUMBER('Dvd Calendar'!$AB$1630)*100000000+('Dvd Calendar'!$AB$1632=SPECIAL_LBL)*10000000+(N('Dvd Calendar'!$AB$1626)&gt;0)*(N('Dvd Calendar'!$AB$1626)&lt;=VAL_SERIAL)*1000000+7*1000+24))</f>
        <v/>
      </c>
      <c r="FC166" s="121">
        <f>IF(N('Dvd Calendar'!$AC$1627)=0,"",IF(('Dvd Calendar'!$AC$1627&gt;=GRID_FROM)*('Dvd Calendar'!$AC$1627&lt;=GRID_TO)*((('Dvd Calendar'!$AC$1627&lt;=VAL_DATE)+(COUNTIF('Dvd Calendar'!$E$1634:$AR$1634,'Dvd Calendar'!$AC$1627)=0))&gt;0)=0,"",'Dvd Calendar'!$AC$1627*1000000000+ISNUMBER('Dvd Calendar'!$AC$1630)*100000000+('Dvd Calendar'!$AC$1632=SPECIAL_LBL)*10000000+(N('Dvd Calendar'!$AC$1626)&gt;0)*(N('Dvd Calendar'!$AC$1626)&lt;=VAL_SERIAL)*1000000+7*1000+25))</f>
        <v/>
      </c>
      <c r="FD166" s="121">
        <f>IF(N('Dvd Calendar'!$AD$1627)=0,"",IF(('Dvd Calendar'!$AD$1627&gt;=GRID_FROM)*('Dvd Calendar'!$AD$1627&lt;=GRID_TO)*((('Dvd Calendar'!$AD$1627&lt;=VAL_DATE)+(COUNTIF('Dvd Calendar'!$E$1634:$AR$1634,'Dvd Calendar'!$AD$1627)=0))&gt;0)=0,"",'Dvd Calendar'!$AD$1627*1000000000+ISNUMBER('Dvd Calendar'!$AD$1630)*100000000+('Dvd Calendar'!$AD$1632=SPECIAL_LBL)*10000000+(N('Dvd Calendar'!$AD$1626)&gt;0)*(N('Dvd Calendar'!$AD$1626)&lt;=VAL_SERIAL)*1000000+7*1000+26))</f>
        <v/>
      </c>
      <c r="FE166" s="121">
        <f>IF(N('Dvd Calendar'!$AE$1627)=0,"",IF(('Dvd Calendar'!$AE$1627&gt;=GRID_FROM)*('Dvd Calendar'!$AE$1627&lt;=GRID_TO)*((('Dvd Calendar'!$AE$1627&lt;=VAL_DATE)+(COUNTIF('Dvd Calendar'!$E$1634:$AR$1634,'Dvd Calendar'!$AE$1627)=0))&gt;0)=0,"",'Dvd Calendar'!$AE$1627*1000000000+ISNUMBER('Dvd Calendar'!$AE$1630)*100000000+('Dvd Calendar'!$AE$1632=SPECIAL_LBL)*10000000+(N('Dvd Calendar'!$AE$1626)&gt;0)*(N('Dvd Calendar'!$AE$1626)&lt;=VAL_SERIAL)*1000000+7*1000+27))</f>
        <v/>
      </c>
      <c r="FF166" s="121">
        <f>IF(N('Dvd Calendar'!$AF$1627)=0,"",IF(('Dvd Calendar'!$AF$1627&gt;=GRID_FROM)*('Dvd Calendar'!$AF$1627&lt;=GRID_TO)*((('Dvd Calendar'!$AF$1627&lt;=VAL_DATE)+(COUNTIF('Dvd Calendar'!$E$1634:$AR$1634,'Dvd Calendar'!$AF$1627)=0))&gt;0)=0,"",'Dvd Calendar'!$AF$1627*1000000000+ISNUMBER('Dvd Calendar'!$AF$1630)*100000000+('Dvd Calendar'!$AF$1632=SPECIAL_LBL)*10000000+(N('Dvd Calendar'!$AF$1626)&gt;0)*(N('Dvd Calendar'!$AF$1626)&lt;=VAL_SERIAL)*1000000+7*1000+28))</f>
        <v/>
      </c>
      <c r="FG166" s="121">
        <f>IF(N('Dvd Calendar'!$AG$1627)=0,"",IF(('Dvd Calendar'!$AG$1627&gt;=GRID_FROM)*('Dvd Calendar'!$AG$1627&lt;=GRID_TO)*((('Dvd Calendar'!$AG$1627&lt;=VAL_DATE)+(COUNTIF('Dvd Calendar'!$E$1634:$AR$1634,'Dvd Calendar'!$AG$1627)=0))&gt;0)=0,"",'Dvd Calendar'!$AG$1627*1000000000+ISNUMBER('Dvd Calendar'!$AG$1630)*100000000+('Dvd Calendar'!$AG$1632=SPECIAL_LBL)*10000000+(N('Dvd Calendar'!$AG$1626)&gt;0)*(N('Dvd Calendar'!$AG$1626)&lt;=VAL_SERIAL)*1000000+7*1000+29))</f>
        <v/>
      </c>
      <c r="FH166" s="121">
        <f>IF(N('Dvd Calendar'!$AH$1627)=0,"",IF(('Dvd Calendar'!$AH$1627&gt;=GRID_FROM)*('Dvd Calendar'!$AH$1627&lt;=GRID_TO)*((('Dvd Calendar'!$AH$1627&lt;=VAL_DATE)+(COUNTIF('Dvd Calendar'!$E$1634:$AR$1634,'Dvd Calendar'!$AH$1627)=0))&gt;0)=0,"",'Dvd Calendar'!$AH$1627*1000000000+ISNUMBER('Dvd Calendar'!$AH$1630)*100000000+('Dvd Calendar'!$AH$1632=SPECIAL_LBL)*10000000+(N('Dvd Calendar'!$AH$1626)&gt;0)*(N('Dvd Calendar'!$AH$1626)&lt;=VAL_SERIAL)*1000000+7*1000+30))</f>
        <v/>
      </c>
      <c r="FI166" s="121">
        <f>IF(N('Dvd Calendar'!$AI$1627)=0,"",IF(('Dvd Calendar'!$AI$1627&gt;=GRID_FROM)*('Dvd Calendar'!$AI$1627&lt;=GRID_TO)*((('Dvd Calendar'!$AI$1627&lt;=VAL_DATE)+(COUNTIF('Dvd Calendar'!$E$1634:$AR$1634,'Dvd Calendar'!$AI$1627)=0))&gt;0)=0,"",'Dvd Calendar'!$AI$1627*1000000000+ISNUMBER('Dvd Calendar'!$AI$1630)*100000000+('Dvd Calendar'!$AI$1632=SPECIAL_LBL)*10000000+(N('Dvd Calendar'!$AI$1626)&gt;0)*(N('Dvd Calendar'!$AI$1626)&lt;=VAL_SERIAL)*1000000+7*1000+31))</f>
        <v/>
      </c>
      <c r="FJ166" s="121">
        <f>IF(N('Dvd Calendar'!$AJ$1627)=0,"",IF(('Dvd Calendar'!$AJ$1627&gt;=GRID_FROM)*('Dvd Calendar'!$AJ$1627&lt;=GRID_TO)*((('Dvd Calendar'!$AJ$1627&lt;=VAL_DATE)+(COUNTIF('Dvd Calendar'!$E$1634:$AR$1634,'Dvd Calendar'!$AJ$1627)=0))&gt;0)=0,"",'Dvd Calendar'!$AJ$1627*1000000000+ISNUMBER('Dvd Calendar'!$AJ$1630)*100000000+('Dvd Calendar'!$AJ$1632=SPECIAL_LBL)*10000000+(N('Dvd Calendar'!$AJ$1626)&gt;0)*(N('Dvd Calendar'!$AJ$1626)&lt;=VAL_SERIAL)*1000000+7*1000+32))</f>
        <v/>
      </c>
      <c r="FK166" s="121">
        <f>IF(N('Dvd Calendar'!$AK$1627)=0,"",IF(('Dvd Calendar'!$AK$1627&gt;=GRID_FROM)*('Dvd Calendar'!$AK$1627&lt;=GRID_TO)*((('Dvd Calendar'!$AK$1627&lt;=VAL_DATE)+(COUNTIF('Dvd Calendar'!$E$1634:$AR$1634,'Dvd Calendar'!$AK$1627)=0))&gt;0)=0,"",'Dvd Calendar'!$AK$1627*1000000000+ISNUMBER('Dvd Calendar'!$AK$1630)*100000000+('Dvd Calendar'!$AK$1632=SPECIAL_LBL)*10000000+(N('Dvd Calendar'!$AK$1626)&gt;0)*(N('Dvd Calendar'!$AK$1626)&lt;=VAL_SERIAL)*1000000+7*1000+33))</f>
        <v/>
      </c>
      <c r="FL166" s="121">
        <f>IF(N('Dvd Calendar'!$AL$1627)=0,"",IF(('Dvd Calendar'!$AL$1627&gt;=GRID_FROM)*('Dvd Calendar'!$AL$1627&lt;=GRID_TO)*((('Dvd Calendar'!$AL$1627&lt;=VAL_DATE)+(COUNTIF('Dvd Calendar'!$E$1634:$AR$1634,'Dvd Calendar'!$AL$1627)=0))&gt;0)=0,"",'Dvd Calendar'!$AL$1627*1000000000+ISNUMBER('Dvd Calendar'!$AL$1630)*100000000+('Dvd Calendar'!$AL$1632=SPECIAL_LBL)*10000000+(N('Dvd Calendar'!$AL$1626)&gt;0)*(N('Dvd Calendar'!$AL$1626)&lt;=VAL_SERIAL)*1000000+7*1000+34))</f>
        <v/>
      </c>
      <c r="FM166" s="121">
        <f>IF(N('Dvd Calendar'!$AM$1627)=0,"",IF(('Dvd Calendar'!$AM$1627&gt;=GRID_FROM)*('Dvd Calendar'!$AM$1627&lt;=GRID_TO)*((('Dvd Calendar'!$AM$1627&lt;=VAL_DATE)+(COUNTIF('Dvd Calendar'!$E$1634:$AR$1634,'Dvd Calendar'!$AM$1627)=0))&gt;0)=0,"",'Dvd Calendar'!$AM$1627*1000000000+ISNUMBER('Dvd Calendar'!$AM$1630)*100000000+('Dvd Calendar'!$AM$1632=SPECIAL_LBL)*10000000+(N('Dvd Calendar'!$AM$1626)&gt;0)*(N('Dvd Calendar'!$AM$1626)&lt;=VAL_SERIAL)*1000000+7*1000+35))</f>
        <v/>
      </c>
      <c r="FN166" s="121">
        <f>IF(N('Dvd Calendar'!$AN$1627)=0,"",IF(('Dvd Calendar'!$AN$1627&gt;=GRID_FROM)*('Dvd Calendar'!$AN$1627&lt;=GRID_TO)*((('Dvd Calendar'!$AN$1627&lt;=VAL_DATE)+(COUNTIF('Dvd Calendar'!$E$1634:$AR$1634,'Dvd Calendar'!$AN$1627)=0))&gt;0)=0,"",'Dvd Calendar'!$AN$1627*1000000000+ISNUMBER('Dvd Calendar'!$AN$1630)*100000000+('Dvd Calendar'!$AN$1632=SPECIAL_LBL)*10000000+(N('Dvd Calendar'!$AN$1626)&gt;0)*(N('Dvd Calendar'!$AN$1626)&lt;=VAL_SERIAL)*1000000+7*1000+36))</f>
        <v/>
      </c>
      <c r="FO166" s="121">
        <f>IF(N('Dvd Calendar'!$AO$1627)=0,"",IF(('Dvd Calendar'!$AO$1627&gt;=GRID_FROM)*('Dvd Calendar'!$AO$1627&lt;=GRID_TO)*((('Dvd Calendar'!$AO$1627&lt;=VAL_DATE)+(COUNTIF('Dvd Calendar'!$E$1634:$AR$1634,'Dvd Calendar'!$AO$1627)=0))&gt;0)=0,"",'Dvd Calendar'!$AO$1627*1000000000+ISNUMBER('Dvd Calendar'!$AO$1630)*100000000+('Dvd Calendar'!$AO$1632=SPECIAL_LBL)*10000000+(N('Dvd Calendar'!$AO$1626)&gt;0)*(N('Dvd Calendar'!$AO$1626)&lt;=VAL_SERIAL)*1000000+7*1000+37))</f>
        <v/>
      </c>
      <c r="FP166" s="121">
        <f>IF(N('Dvd Calendar'!$AP$1627)=0,"",IF(('Dvd Calendar'!$AP$1627&gt;=GRID_FROM)*('Dvd Calendar'!$AP$1627&lt;=GRID_TO)*((('Dvd Calendar'!$AP$1627&lt;=VAL_DATE)+(COUNTIF('Dvd Calendar'!$E$1634:$AR$1634,'Dvd Calendar'!$AP$1627)=0))&gt;0)=0,"",'Dvd Calendar'!$AP$1627*1000000000+ISNUMBER('Dvd Calendar'!$AP$1630)*100000000+('Dvd Calendar'!$AP$1632=SPECIAL_LBL)*10000000+(N('Dvd Calendar'!$AP$1626)&gt;0)*(N('Dvd Calendar'!$AP$1626)&lt;=VAL_SERIAL)*1000000+7*1000+38))</f>
        <v/>
      </c>
      <c r="FQ166" s="121">
        <f>IF(N('Dvd Calendar'!$AQ$1627)=0,"",IF(('Dvd Calendar'!$AQ$1627&gt;=GRID_FROM)*('Dvd Calendar'!$AQ$1627&lt;=GRID_TO)*((('Dvd Calendar'!$AQ$1627&lt;=VAL_DATE)+(COUNTIF('Dvd Calendar'!$E$1634:$AR$1634,'Dvd Calendar'!$AQ$1627)=0))&gt;0)=0,"",'Dvd Calendar'!$AQ$1627*1000000000+ISNUMBER('Dvd Calendar'!$AQ$1630)*100000000+('Dvd Calendar'!$AQ$1632=SPECIAL_LBL)*10000000+(N('Dvd Calendar'!$AQ$1626)&gt;0)*(N('Dvd Calendar'!$AQ$1626)&lt;=VAL_SERIAL)*1000000+7*1000+39))</f>
        <v/>
      </c>
      <c r="FR166" s="121">
        <f>IF(N('Dvd Calendar'!$AR$1627)=0,"",IF(('Dvd Calendar'!$AR$1627&gt;=GRID_FROM)*('Dvd Calendar'!$AR$1627&lt;=GRID_TO)*((('Dvd Calendar'!$AR$1627&lt;=VAL_DATE)+(COUNTIF('Dvd Calendar'!$E$1634:$AR$1634,'Dvd Calendar'!$AR$1627)=0))&gt;0)=0,"",'Dvd Calendar'!$AR$1627*1000000000+ISNUMBER('Dvd Calendar'!$AR$1630)*100000000+('Dvd Calendar'!$AR$1632=SPECIAL_LBL)*10000000+(N('Dvd Calendar'!$AR$1626)&gt;0)*(N('Dvd Calendar'!$AR$1626)&lt;=VAL_SERIAL)*1000000+7*1000+40))</f>
        <v/>
      </c>
      <c r="FS166" s="121">
        <f>IF(N('Dvd Calendar'!$E$1634)=0,"",IF(('Dvd Calendar'!$E$1634&gt;=GRID_FROM)*('Dvd Calendar'!$E$1634&lt;=GRID_TO)*('Dvd Calendar'!$E$1634&gt;VAL_DATE)=0,"",'Dvd Calendar'!$E$1634*1000000000+ISNUMBER('Dvd Calendar'!$E$1635)*100000000+0*10000000+(N('Dvd Calendar'!$E$1633)&gt;0)*(N('Dvd Calendar'!$E$1633)&lt;=VAL_SERIAL)*1000000+7*1000+41))</f>
        <v/>
      </c>
      <c r="FT166" s="121">
        <f>IF(N('Dvd Calendar'!$F$1634)=0,"",IF(('Dvd Calendar'!$F$1634&gt;=GRID_FROM)*('Dvd Calendar'!$F$1634&lt;=GRID_TO)*('Dvd Calendar'!$F$1634&gt;VAL_DATE)=0,"",'Dvd Calendar'!$F$1634*1000000000+ISNUMBER('Dvd Calendar'!$F$1635)*100000000+0*10000000+(N('Dvd Calendar'!$F$1633)&gt;0)*(N('Dvd Calendar'!$F$1633)&lt;=VAL_SERIAL)*1000000+7*1000+42))</f>
        <v/>
      </c>
      <c r="FU166" s="121">
        <f>IF(N('Dvd Calendar'!$G$1634)=0,"",IF(('Dvd Calendar'!$G$1634&gt;=GRID_FROM)*('Dvd Calendar'!$G$1634&lt;=GRID_TO)*('Dvd Calendar'!$G$1634&gt;VAL_DATE)=0,"",'Dvd Calendar'!$G$1634*1000000000+ISNUMBER('Dvd Calendar'!$G$1635)*100000000+0*10000000+(N('Dvd Calendar'!$G$1633)&gt;0)*(N('Dvd Calendar'!$G$1633)&lt;=VAL_SERIAL)*1000000+7*1000+43))</f>
        <v/>
      </c>
      <c r="FV166" s="121">
        <f>IF(N('Dvd Calendar'!$H$1634)=0,"",IF(('Dvd Calendar'!$H$1634&gt;=GRID_FROM)*('Dvd Calendar'!$H$1634&lt;=GRID_TO)*('Dvd Calendar'!$H$1634&gt;VAL_DATE)=0,"",'Dvd Calendar'!$H$1634*1000000000+ISNUMBER('Dvd Calendar'!$H$1635)*100000000+0*10000000+(N('Dvd Calendar'!$H$1633)&gt;0)*(N('Dvd Calendar'!$H$1633)&lt;=VAL_SERIAL)*1000000+7*1000+44))</f>
        <v/>
      </c>
      <c r="FW166" s="121">
        <f>IF(N('Dvd Calendar'!$I$1634)=0,"",IF(('Dvd Calendar'!$I$1634&gt;=GRID_FROM)*('Dvd Calendar'!$I$1634&lt;=GRID_TO)*('Dvd Calendar'!$I$1634&gt;VAL_DATE)=0,"",'Dvd Calendar'!$I$1634*1000000000+ISNUMBER('Dvd Calendar'!$I$1635)*100000000+0*10000000+(N('Dvd Calendar'!$I$1633)&gt;0)*(N('Dvd Calendar'!$I$1633)&lt;=VAL_SERIAL)*1000000+7*1000+45))</f>
        <v/>
      </c>
      <c r="FX166" s="121">
        <f>IF(N('Dvd Calendar'!$J$1634)=0,"",IF(('Dvd Calendar'!$J$1634&gt;=GRID_FROM)*('Dvd Calendar'!$J$1634&lt;=GRID_TO)*('Dvd Calendar'!$J$1634&gt;VAL_DATE)=0,"",'Dvd Calendar'!$J$1634*1000000000+ISNUMBER('Dvd Calendar'!$J$1635)*100000000+0*10000000+(N('Dvd Calendar'!$J$1633)&gt;0)*(N('Dvd Calendar'!$J$1633)&lt;=VAL_SERIAL)*1000000+7*1000+46))</f>
        <v/>
      </c>
      <c r="FY166" s="121">
        <f>IF(N('Dvd Calendar'!$K$1634)=0,"",IF(('Dvd Calendar'!$K$1634&gt;=GRID_FROM)*('Dvd Calendar'!$K$1634&lt;=GRID_TO)*('Dvd Calendar'!$K$1634&gt;VAL_DATE)=0,"",'Dvd Calendar'!$K$1634*1000000000+ISNUMBER('Dvd Calendar'!$K$1635)*100000000+0*10000000+(N('Dvd Calendar'!$K$1633)&gt;0)*(N('Dvd Calendar'!$K$1633)&lt;=VAL_SERIAL)*1000000+7*1000+47))</f>
        <v/>
      </c>
      <c r="FZ166" s="121">
        <f>IF(N('Dvd Calendar'!$L$1634)=0,"",IF(('Dvd Calendar'!$L$1634&gt;=GRID_FROM)*('Dvd Calendar'!$L$1634&lt;=GRID_TO)*('Dvd Calendar'!$L$1634&gt;VAL_DATE)=0,"",'Dvd Calendar'!$L$1634*1000000000+ISNUMBER('Dvd Calendar'!$L$1635)*100000000+0*10000000+(N('Dvd Calendar'!$L$1633)&gt;0)*(N('Dvd Calendar'!$L$1633)&lt;=VAL_SERIAL)*1000000+7*1000+48))</f>
        <v/>
      </c>
      <c r="GA166" s="121">
        <f>IF(N('Dvd Calendar'!$M$1634)=0,"",IF(('Dvd Calendar'!$M$1634&gt;=GRID_FROM)*('Dvd Calendar'!$M$1634&lt;=GRID_TO)*('Dvd Calendar'!$M$1634&gt;VAL_DATE)=0,"",'Dvd Calendar'!$M$1634*1000000000+ISNUMBER('Dvd Calendar'!$M$1635)*100000000+0*10000000+(N('Dvd Calendar'!$M$1633)&gt;0)*(N('Dvd Calendar'!$M$1633)&lt;=VAL_SERIAL)*1000000+7*1000+49))</f>
        <v/>
      </c>
      <c r="GB166" s="121">
        <f>IF(N('Dvd Calendar'!$N$1634)=0,"",IF(('Dvd Calendar'!$N$1634&gt;=GRID_FROM)*('Dvd Calendar'!$N$1634&lt;=GRID_TO)*('Dvd Calendar'!$N$1634&gt;VAL_DATE)=0,"",'Dvd Calendar'!$N$1634*1000000000+ISNUMBER('Dvd Calendar'!$N$1635)*100000000+0*10000000+(N('Dvd Calendar'!$N$1633)&gt;0)*(N('Dvd Calendar'!$N$1633)&lt;=VAL_SERIAL)*1000000+7*1000+50))</f>
        <v/>
      </c>
      <c r="GC166" s="121">
        <f>IF(N('Dvd Calendar'!$O$1634)=0,"",IF(('Dvd Calendar'!$O$1634&gt;=GRID_FROM)*('Dvd Calendar'!$O$1634&lt;=GRID_TO)*('Dvd Calendar'!$O$1634&gt;VAL_DATE)=0,"",'Dvd Calendar'!$O$1634*1000000000+ISNUMBER('Dvd Calendar'!$O$1635)*100000000+0*10000000+(N('Dvd Calendar'!$O$1633)&gt;0)*(N('Dvd Calendar'!$O$1633)&lt;=VAL_SERIAL)*1000000+7*1000+51))</f>
        <v/>
      </c>
      <c r="GD166" s="121">
        <f>IF(N('Dvd Calendar'!$P$1634)=0,"",IF(('Dvd Calendar'!$P$1634&gt;=GRID_FROM)*('Dvd Calendar'!$P$1634&lt;=GRID_TO)*('Dvd Calendar'!$P$1634&gt;VAL_DATE)=0,"",'Dvd Calendar'!$P$1634*1000000000+ISNUMBER('Dvd Calendar'!$P$1635)*100000000+0*10000000+(N('Dvd Calendar'!$P$1633)&gt;0)*(N('Dvd Calendar'!$P$1633)&lt;=VAL_SERIAL)*1000000+7*1000+52))</f>
        <v/>
      </c>
      <c r="GE166" s="121">
        <f>IF(N('Dvd Calendar'!$Q$1634)=0,"",IF(('Dvd Calendar'!$Q$1634&gt;=GRID_FROM)*('Dvd Calendar'!$Q$1634&lt;=GRID_TO)*('Dvd Calendar'!$Q$1634&gt;VAL_DATE)=0,"",'Dvd Calendar'!$Q$1634*1000000000+ISNUMBER('Dvd Calendar'!$Q$1635)*100000000+0*10000000+(N('Dvd Calendar'!$Q$1633)&gt;0)*(N('Dvd Calendar'!$Q$1633)&lt;=VAL_SERIAL)*1000000+7*1000+53))</f>
        <v/>
      </c>
      <c r="GF166" s="121">
        <f>IF(N('Dvd Calendar'!$R$1634)=0,"",IF(('Dvd Calendar'!$R$1634&gt;=GRID_FROM)*('Dvd Calendar'!$R$1634&lt;=GRID_TO)*('Dvd Calendar'!$R$1634&gt;VAL_DATE)=0,"",'Dvd Calendar'!$R$1634*1000000000+ISNUMBER('Dvd Calendar'!$R$1635)*100000000+0*10000000+(N('Dvd Calendar'!$R$1633)&gt;0)*(N('Dvd Calendar'!$R$1633)&lt;=VAL_SERIAL)*1000000+7*1000+54))</f>
        <v/>
      </c>
      <c r="GG166" s="121">
        <f>IF(N('Dvd Calendar'!$S$1634)=0,"",IF(('Dvd Calendar'!$S$1634&gt;=GRID_FROM)*('Dvd Calendar'!$S$1634&lt;=GRID_TO)*('Dvd Calendar'!$S$1634&gt;VAL_DATE)=0,"",'Dvd Calendar'!$S$1634*1000000000+ISNUMBER('Dvd Calendar'!$S$1635)*100000000+0*10000000+(N('Dvd Calendar'!$S$1633)&gt;0)*(N('Dvd Calendar'!$S$1633)&lt;=VAL_SERIAL)*1000000+7*1000+55))</f>
        <v/>
      </c>
      <c r="GH166" s="121">
        <f>IF(N('Dvd Calendar'!$T$1634)=0,"",IF(('Dvd Calendar'!$T$1634&gt;=GRID_FROM)*('Dvd Calendar'!$T$1634&lt;=GRID_TO)*('Dvd Calendar'!$T$1634&gt;VAL_DATE)=0,"",'Dvd Calendar'!$T$1634*1000000000+ISNUMBER('Dvd Calendar'!$T$1635)*100000000+0*10000000+(N('Dvd Calendar'!$T$1633)&gt;0)*(N('Dvd Calendar'!$T$1633)&lt;=VAL_SERIAL)*1000000+7*1000+56))</f>
        <v/>
      </c>
      <c r="GI166" s="121">
        <f>IF(N('Dvd Calendar'!$U$1634)=0,"",IF(('Dvd Calendar'!$U$1634&gt;=GRID_FROM)*('Dvd Calendar'!$U$1634&lt;=GRID_TO)*('Dvd Calendar'!$U$1634&gt;VAL_DATE)=0,"",'Dvd Calendar'!$U$1634*1000000000+ISNUMBER('Dvd Calendar'!$U$1635)*100000000+0*10000000+(N('Dvd Calendar'!$U$1633)&gt;0)*(N('Dvd Calendar'!$U$1633)&lt;=VAL_SERIAL)*1000000+7*1000+57))</f>
        <v/>
      </c>
      <c r="GJ166" s="121">
        <f>IF(N('Dvd Calendar'!$V$1634)=0,"",IF(('Dvd Calendar'!$V$1634&gt;=GRID_FROM)*('Dvd Calendar'!$V$1634&lt;=GRID_TO)*('Dvd Calendar'!$V$1634&gt;VAL_DATE)=0,"",'Dvd Calendar'!$V$1634*1000000000+ISNUMBER('Dvd Calendar'!$V$1635)*100000000+0*10000000+(N('Dvd Calendar'!$V$1633)&gt;0)*(N('Dvd Calendar'!$V$1633)&lt;=VAL_SERIAL)*1000000+7*1000+58))</f>
        <v/>
      </c>
      <c r="GK166" s="121">
        <f>IF(N('Dvd Calendar'!$W$1634)=0,"",IF(('Dvd Calendar'!$W$1634&gt;=GRID_FROM)*('Dvd Calendar'!$W$1634&lt;=GRID_TO)*('Dvd Calendar'!$W$1634&gt;VAL_DATE)=0,"",'Dvd Calendar'!$W$1634*1000000000+ISNUMBER('Dvd Calendar'!$W$1635)*100000000+0*10000000+(N('Dvd Calendar'!$W$1633)&gt;0)*(N('Dvd Calendar'!$W$1633)&lt;=VAL_SERIAL)*1000000+7*1000+59))</f>
        <v/>
      </c>
      <c r="GL166" s="121">
        <f>IF(N('Dvd Calendar'!$X$1634)=0,"",IF(('Dvd Calendar'!$X$1634&gt;=GRID_FROM)*('Dvd Calendar'!$X$1634&lt;=GRID_TO)*('Dvd Calendar'!$X$1634&gt;VAL_DATE)=0,"",'Dvd Calendar'!$X$1634*1000000000+ISNUMBER('Dvd Calendar'!$X$1635)*100000000+0*10000000+(N('Dvd Calendar'!$X$1633)&gt;0)*(N('Dvd Calendar'!$X$1633)&lt;=VAL_SERIAL)*1000000+7*1000+60))</f>
        <v/>
      </c>
      <c r="GM166" s="121">
        <f>IF(N('Dvd Calendar'!$Y$1634)=0,"",IF(('Dvd Calendar'!$Y$1634&gt;=GRID_FROM)*('Dvd Calendar'!$Y$1634&lt;=GRID_TO)*('Dvd Calendar'!$Y$1634&gt;VAL_DATE)=0,"",'Dvd Calendar'!$Y$1634*1000000000+ISNUMBER('Dvd Calendar'!$Y$1635)*100000000+0*10000000+(N('Dvd Calendar'!$Y$1633)&gt;0)*(N('Dvd Calendar'!$Y$1633)&lt;=VAL_SERIAL)*1000000+7*1000+61))</f>
        <v/>
      </c>
      <c r="GN166" s="121">
        <f>IF(N('Dvd Calendar'!$Z$1634)=0,"",IF(('Dvd Calendar'!$Z$1634&gt;=GRID_FROM)*('Dvd Calendar'!$Z$1634&lt;=GRID_TO)*('Dvd Calendar'!$Z$1634&gt;VAL_DATE)=0,"",'Dvd Calendar'!$Z$1634*1000000000+ISNUMBER('Dvd Calendar'!$Z$1635)*100000000+0*10000000+(N('Dvd Calendar'!$Z$1633)&gt;0)*(N('Dvd Calendar'!$Z$1633)&lt;=VAL_SERIAL)*1000000+7*1000+62))</f>
        <v/>
      </c>
      <c r="GO166" s="121">
        <f>IF(N('Dvd Calendar'!$AA$1634)=0,"",IF(('Dvd Calendar'!$AA$1634&gt;=GRID_FROM)*('Dvd Calendar'!$AA$1634&lt;=GRID_TO)*('Dvd Calendar'!$AA$1634&gt;VAL_DATE)=0,"",'Dvd Calendar'!$AA$1634*1000000000+ISNUMBER('Dvd Calendar'!$AA$1635)*100000000+0*10000000+(N('Dvd Calendar'!$AA$1633)&gt;0)*(N('Dvd Calendar'!$AA$1633)&lt;=VAL_SERIAL)*1000000+7*1000+63))</f>
        <v/>
      </c>
      <c r="GP166" s="121">
        <f>IF(N('Dvd Calendar'!$AB$1634)=0,"",IF(('Dvd Calendar'!$AB$1634&gt;=GRID_FROM)*('Dvd Calendar'!$AB$1634&lt;=GRID_TO)*('Dvd Calendar'!$AB$1634&gt;VAL_DATE)=0,"",'Dvd Calendar'!$AB$1634*1000000000+ISNUMBER('Dvd Calendar'!$AB$1635)*100000000+0*10000000+(N('Dvd Calendar'!$AB$1633)&gt;0)*(N('Dvd Calendar'!$AB$1633)&lt;=VAL_SERIAL)*1000000+7*1000+64))</f>
        <v/>
      </c>
      <c r="GQ166" s="121">
        <f>IF(N('Dvd Calendar'!$AC$1634)=0,"",IF(('Dvd Calendar'!$AC$1634&gt;=GRID_FROM)*('Dvd Calendar'!$AC$1634&lt;=GRID_TO)*('Dvd Calendar'!$AC$1634&gt;VAL_DATE)=0,"",'Dvd Calendar'!$AC$1634*1000000000+ISNUMBER('Dvd Calendar'!$AC$1635)*100000000+0*10000000+(N('Dvd Calendar'!$AC$1633)&gt;0)*(N('Dvd Calendar'!$AC$1633)&lt;=VAL_SERIAL)*1000000+7*1000+65))</f>
        <v/>
      </c>
    </row>
    <row r="167">
      <c r="B167" s="2">
        <f>IF(HSCEI!$C$14="","",HSCEI!$C$14)</f>
        <v/>
      </c>
      <c r="C167" s="161">
        <f>IF(EE167="","",IF(ISNUMBER('Dvd Calendar'!$E$1641)=FALSE,"",IF((('Dvd Calendar'!$E$1643=TYPE1)*(TYPE1&lt;&gt;"")+('Dvd Calendar'!$E$1643=TYPE2)*(TYPE2&lt;&gt;"")+('Dvd Calendar'!$E$1643=TYPE3)*(TYPE3&lt;&gt;"")+('Dvd Calendar'!$E$1643=TYPE4)*(TYPE4&lt;&gt;"")+('Dvd Calendar'!$E$1643=SPECIAL_LBL)*(INC_SPECIALS="Y"))=0,"",'Dvd Calendar'!$E$1641)))</f>
        <v/>
      </c>
      <c r="D167" s="161">
        <f>IF(EF167="","",IF(ISNUMBER('Dvd Calendar'!$F$1641)=FALSE,"",IF((('Dvd Calendar'!$F$1643=TYPE1)*(TYPE1&lt;&gt;"")+('Dvd Calendar'!$F$1643=TYPE2)*(TYPE2&lt;&gt;"")+('Dvd Calendar'!$F$1643=TYPE3)*(TYPE3&lt;&gt;"")+('Dvd Calendar'!$F$1643=TYPE4)*(TYPE4&lt;&gt;"")+('Dvd Calendar'!$F$1643=SPECIAL_LBL)*(INC_SPECIALS="Y"))=0,"",'Dvd Calendar'!$F$1641)))</f>
        <v/>
      </c>
      <c r="E167" s="161">
        <f>IF(EG167="","",IF(ISNUMBER('Dvd Calendar'!$G$1641)=FALSE,"",IF((('Dvd Calendar'!$G$1643=TYPE1)*(TYPE1&lt;&gt;"")+('Dvd Calendar'!$G$1643=TYPE2)*(TYPE2&lt;&gt;"")+('Dvd Calendar'!$G$1643=TYPE3)*(TYPE3&lt;&gt;"")+('Dvd Calendar'!$G$1643=TYPE4)*(TYPE4&lt;&gt;"")+('Dvd Calendar'!$G$1643=SPECIAL_LBL)*(INC_SPECIALS="Y"))=0,"",'Dvd Calendar'!$G$1641)))</f>
        <v/>
      </c>
      <c r="F167" s="161">
        <f>IF(EH167="","",IF(ISNUMBER('Dvd Calendar'!$H$1641)=FALSE,"",IF((('Dvd Calendar'!$H$1643=TYPE1)*(TYPE1&lt;&gt;"")+('Dvd Calendar'!$H$1643=TYPE2)*(TYPE2&lt;&gt;"")+('Dvd Calendar'!$H$1643=TYPE3)*(TYPE3&lt;&gt;"")+('Dvd Calendar'!$H$1643=TYPE4)*(TYPE4&lt;&gt;"")+('Dvd Calendar'!$H$1643=SPECIAL_LBL)*(INC_SPECIALS="Y"))=0,"",'Dvd Calendar'!$H$1641)))</f>
        <v/>
      </c>
      <c r="G167" s="161">
        <f>IF(EI167="","",IF(ISNUMBER('Dvd Calendar'!$I$1641)=FALSE,"",IF((('Dvd Calendar'!$I$1643=TYPE1)*(TYPE1&lt;&gt;"")+('Dvd Calendar'!$I$1643=TYPE2)*(TYPE2&lt;&gt;"")+('Dvd Calendar'!$I$1643=TYPE3)*(TYPE3&lt;&gt;"")+('Dvd Calendar'!$I$1643=TYPE4)*(TYPE4&lt;&gt;"")+('Dvd Calendar'!$I$1643=SPECIAL_LBL)*(INC_SPECIALS="Y"))=0,"",'Dvd Calendar'!$I$1641)))</f>
        <v/>
      </c>
      <c r="H167" s="161">
        <f>IF(EJ167="","",IF(ISNUMBER('Dvd Calendar'!$J$1641)=FALSE,"",IF((('Dvd Calendar'!$J$1643=TYPE1)*(TYPE1&lt;&gt;"")+('Dvd Calendar'!$J$1643=TYPE2)*(TYPE2&lt;&gt;"")+('Dvd Calendar'!$J$1643=TYPE3)*(TYPE3&lt;&gt;"")+('Dvd Calendar'!$J$1643=TYPE4)*(TYPE4&lt;&gt;"")+('Dvd Calendar'!$J$1643=SPECIAL_LBL)*(INC_SPECIALS="Y"))=0,"",'Dvd Calendar'!$J$1641)))</f>
        <v/>
      </c>
      <c r="I167" s="161">
        <f>IF(EK167="","",IF(ISNUMBER('Dvd Calendar'!$K$1641)=FALSE,"",IF((('Dvd Calendar'!$K$1643=TYPE1)*(TYPE1&lt;&gt;"")+('Dvd Calendar'!$K$1643=TYPE2)*(TYPE2&lt;&gt;"")+('Dvd Calendar'!$K$1643=TYPE3)*(TYPE3&lt;&gt;"")+('Dvd Calendar'!$K$1643=TYPE4)*(TYPE4&lt;&gt;"")+('Dvd Calendar'!$K$1643=SPECIAL_LBL)*(INC_SPECIALS="Y"))=0,"",'Dvd Calendar'!$K$1641)))</f>
        <v/>
      </c>
      <c r="J167" s="161">
        <f>IF(EL167="","",IF(ISNUMBER('Dvd Calendar'!$L$1641)=FALSE,"",IF((('Dvd Calendar'!$L$1643=TYPE1)*(TYPE1&lt;&gt;"")+('Dvd Calendar'!$L$1643=TYPE2)*(TYPE2&lt;&gt;"")+('Dvd Calendar'!$L$1643=TYPE3)*(TYPE3&lt;&gt;"")+('Dvd Calendar'!$L$1643=TYPE4)*(TYPE4&lt;&gt;"")+('Dvd Calendar'!$L$1643=SPECIAL_LBL)*(INC_SPECIALS="Y"))=0,"",'Dvd Calendar'!$L$1641)))</f>
        <v/>
      </c>
      <c r="K167" s="161">
        <f>IF(EM167="","",IF(ISNUMBER('Dvd Calendar'!$M$1641)=FALSE,"",IF((('Dvd Calendar'!$M$1643=TYPE1)*(TYPE1&lt;&gt;"")+('Dvd Calendar'!$M$1643=TYPE2)*(TYPE2&lt;&gt;"")+('Dvd Calendar'!$M$1643=TYPE3)*(TYPE3&lt;&gt;"")+('Dvd Calendar'!$M$1643=TYPE4)*(TYPE4&lt;&gt;"")+('Dvd Calendar'!$M$1643=SPECIAL_LBL)*(INC_SPECIALS="Y"))=0,"",'Dvd Calendar'!$M$1641)))</f>
        <v/>
      </c>
      <c r="L167" s="161">
        <f>IF(EN167="","",IF(ISNUMBER('Dvd Calendar'!$N$1641)=FALSE,"",IF((('Dvd Calendar'!$N$1643=TYPE1)*(TYPE1&lt;&gt;"")+('Dvd Calendar'!$N$1643=TYPE2)*(TYPE2&lt;&gt;"")+('Dvd Calendar'!$N$1643=TYPE3)*(TYPE3&lt;&gt;"")+('Dvd Calendar'!$N$1643=TYPE4)*(TYPE4&lt;&gt;"")+('Dvd Calendar'!$N$1643=SPECIAL_LBL)*(INC_SPECIALS="Y"))=0,"",'Dvd Calendar'!$N$1641)))</f>
        <v/>
      </c>
      <c r="M167" s="161">
        <f>IF(EO167="","",IF(ISNUMBER('Dvd Calendar'!$O$1641)=FALSE,"",IF((('Dvd Calendar'!$O$1643=TYPE1)*(TYPE1&lt;&gt;"")+('Dvd Calendar'!$O$1643=TYPE2)*(TYPE2&lt;&gt;"")+('Dvd Calendar'!$O$1643=TYPE3)*(TYPE3&lt;&gt;"")+('Dvd Calendar'!$O$1643=TYPE4)*(TYPE4&lt;&gt;"")+('Dvd Calendar'!$O$1643=SPECIAL_LBL)*(INC_SPECIALS="Y"))=0,"",'Dvd Calendar'!$O$1641)))</f>
        <v/>
      </c>
      <c r="N167" s="161">
        <f>IF(EP167="","",IF(ISNUMBER('Dvd Calendar'!$P$1641)=FALSE,"",IF((('Dvd Calendar'!$P$1643=TYPE1)*(TYPE1&lt;&gt;"")+('Dvd Calendar'!$P$1643=TYPE2)*(TYPE2&lt;&gt;"")+('Dvd Calendar'!$P$1643=TYPE3)*(TYPE3&lt;&gt;"")+('Dvd Calendar'!$P$1643=TYPE4)*(TYPE4&lt;&gt;"")+('Dvd Calendar'!$P$1643=SPECIAL_LBL)*(INC_SPECIALS="Y"))=0,"",'Dvd Calendar'!$P$1641)))</f>
        <v/>
      </c>
      <c r="O167" s="161">
        <f>IF(EQ167="","",IF(ISNUMBER('Dvd Calendar'!$Q$1641)=FALSE,"",IF((('Dvd Calendar'!$Q$1643=TYPE1)*(TYPE1&lt;&gt;"")+('Dvd Calendar'!$Q$1643=TYPE2)*(TYPE2&lt;&gt;"")+('Dvd Calendar'!$Q$1643=TYPE3)*(TYPE3&lt;&gt;"")+('Dvd Calendar'!$Q$1643=TYPE4)*(TYPE4&lt;&gt;"")+('Dvd Calendar'!$Q$1643=SPECIAL_LBL)*(INC_SPECIALS="Y"))=0,"",'Dvd Calendar'!$Q$1641)))</f>
        <v/>
      </c>
      <c r="P167" s="161">
        <f>IF(ER167="","",IF(ISNUMBER('Dvd Calendar'!$R$1641)=FALSE,"",IF((('Dvd Calendar'!$R$1643=TYPE1)*(TYPE1&lt;&gt;"")+('Dvd Calendar'!$R$1643=TYPE2)*(TYPE2&lt;&gt;"")+('Dvd Calendar'!$R$1643=TYPE3)*(TYPE3&lt;&gt;"")+('Dvd Calendar'!$R$1643=TYPE4)*(TYPE4&lt;&gt;"")+('Dvd Calendar'!$R$1643=SPECIAL_LBL)*(INC_SPECIALS="Y"))=0,"",'Dvd Calendar'!$R$1641)))</f>
        <v/>
      </c>
      <c r="Q167" s="161">
        <f>IF(ES167="","",IF(ISNUMBER('Dvd Calendar'!$S$1641)=FALSE,"",IF((('Dvd Calendar'!$S$1643=TYPE1)*(TYPE1&lt;&gt;"")+('Dvd Calendar'!$S$1643=TYPE2)*(TYPE2&lt;&gt;"")+('Dvd Calendar'!$S$1643=TYPE3)*(TYPE3&lt;&gt;"")+('Dvd Calendar'!$S$1643=TYPE4)*(TYPE4&lt;&gt;"")+('Dvd Calendar'!$S$1643=SPECIAL_LBL)*(INC_SPECIALS="Y"))=0,"",'Dvd Calendar'!$S$1641)))</f>
        <v/>
      </c>
      <c r="R167" s="161">
        <f>IF(ET167="","",IF(ISNUMBER('Dvd Calendar'!$T$1641)=FALSE,"",IF((('Dvd Calendar'!$T$1643=TYPE1)*(TYPE1&lt;&gt;"")+('Dvd Calendar'!$T$1643=TYPE2)*(TYPE2&lt;&gt;"")+('Dvd Calendar'!$T$1643=TYPE3)*(TYPE3&lt;&gt;"")+('Dvd Calendar'!$T$1643=TYPE4)*(TYPE4&lt;&gt;"")+('Dvd Calendar'!$T$1643=SPECIAL_LBL)*(INC_SPECIALS="Y"))=0,"",'Dvd Calendar'!$T$1641)))</f>
        <v/>
      </c>
      <c r="S167" s="161">
        <f>IF(EU167="","",IF(ISNUMBER('Dvd Calendar'!$U$1641)=FALSE,"",IF((('Dvd Calendar'!$U$1643=TYPE1)*(TYPE1&lt;&gt;"")+('Dvd Calendar'!$U$1643=TYPE2)*(TYPE2&lt;&gt;"")+('Dvd Calendar'!$U$1643=TYPE3)*(TYPE3&lt;&gt;"")+('Dvd Calendar'!$U$1643=TYPE4)*(TYPE4&lt;&gt;"")+('Dvd Calendar'!$U$1643=SPECIAL_LBL)*(INC_SPECIALS="Y"))=0,"",'Dvd Calendar'!$U$1641)))</f>
        <v/>
      </c>
      <c r="T167" s="161">
        <f>IF(EV167="","",IF(ISNUMBER('Dvd Calendar'!$V$1641)=FALSE,"",IF((('Dvd Calendar'!$V$1643=TYPE1)*(TYPE1&lt;&gt;"")+('Dvd Calendar'!$V$1643=TYPE2)*(TYPE2&lt;&gt;"")+('Dvd Calendar'!$V$1643=TYPE3)*(TYPE3&lt;&gt;"")+('Dvd Calendar'!$V$1643=TYPE4)*(TYPE4&lt;&gt;"")+('Dvd Calendar'!$V$1643=SPECIAL_LBL)*(INC_SPECIALS="Y"))=0,"",'Dvd Calendar'!$V$1641)))</f>
        <v/>
      </c>
      <c r="U167" s="161">
        <f>IF(EW167="","",IF(ISNUMBER('Dvd Calendar'!$W$1641)=FALSE,"",IF((('Dvd Calendar'!$W$1643=TYPE1)*(TYPE1&lt;&gt;"")+('Dvd Calendar'!$W$1643=TYPE2)*(TYPE2&lt;&gt;"")+('Dvd Calendar'!$W$1643=TYPE3)*(TYPE3&lt;&gt;"")+('Dvd Calendar'!$W$1643=TYPE4)*(TYPE4&lt;&gt;"")+('Dvd Calendar'!$W$1643=SPECIAL_LBL)*(INC_SPECIALS="Y"))=0,"",'Dvd Calendar'!$W$1641)))</f>
        <v/>
      </c>
      <c r="V167" s="161">
        <f>IF(EX167="","",IF(ISNUMBER('Dvd Calendar'!$X$1641)=FALSE,"",IF((('Dvd Calendar'!$X$1643=TYPE1)*(TYPE1&lt;&gt;"")+('Dvd Calendar'!$X$1643=TYPE2)*(TYPE2&lt;&gt;"")+('Dvd Calendar'!$X$1643=TYPE3)*(TYPE3&lt;&gt;"")+('Dvd Calendar'!$X$1643=TYPE4)*(TYPE4&lt;&gt;"")+('Dvd Calendar'!$X$1643=SPECIAL_LBL)*(INC_SPECIALS="Y"))=0,"",'Dvd Calendar'!$X$1641)))</f>
        <v/>
      </c>
      <c r="W167" s="161">
        <f>IF(EY167="","",IF(ISNUMBER('Dvd Calendar'!$Y$1641)=FALSE,"",IF((('Dvd Calendar'!$Y$1643=TYPE1)*(TYPE1&lt;&gt;"")+('Dvd Calendar'!$Y$1643=TYPE2)*(TYPE2&lt;&gt;"")+('Dvd Calendar'!$Y$1643=TYPE3)*(TYPE3&lt;&gt;"")+('Dvd Calendar'!$Y$1643=TYPE4)*(TYPE4&lt;&gt;"")+('Dvd Calendar'!$Y$1643=SPECIAL_LBL)*(INC_SPECIALS="Y"))=0,"",'Dvd Calendar'!$Y$1641)))</f>
        <v/>
      </c>
      <c r="X167" s="161">
        <f>IF(EZ167="","",IF(ISNUMBER('Dvd Calendar'!$Z$1641)=FALSE,"",IF((('Dvd Calendar'!$Z$1643=TYPE1)*(TYPE1&lt;&gt;"")+('Dvd Calendar'!$Z$1643=TYPE2)*(TYPE2&lt;&gt;"")+('Dvd Calendar'!$Z$1643=TYPE3)*(TYPE3&lt;&gt;"")+('Dvd Calendar'!$Z$1643=TYPE4)*(TYPE4&lt;&gt;"")+('Dvd Calendar'!$Z$1643=SPECIAL_LBL)*(INC_SPECIALS="Y"))=0,"",'Dvd Calendar'!$Z$1641)))</f>
        <v/>
      </c>
      <c r="Y167" s="161">
        <f>IF(FA167="","",IF(ISNUMBER('Dvd Calendar'!$AA$1641)=FALSE,"",IF((('Dvd Calendar'!$AA$1643=TYPE1)*(TYPE1&lt;&gt;"")+('Dvd Calendar'!$AA$1643=TYPE2)*(TYPE2&lt;&gt;"")+('Dvd Calendar'!$AA$1643=TYPE3)*(TYPE3&lt;&gt;"")+('Dvd Calendar'!$AA$1643=TYPE4)*(TYPE4&lt;&gt;"")+('Dvd Calendar'!$AA$1643=SPECIAL_LBL)*(INC_SPECIALS="Y"))=0,"",'Dvd Calendar'!$AA$1641)))</f>
        <v/>
      </c>
      <c r="Z167" s="161">
        <f>IF(FB167="","",IF(ISNUMBER('Dvd Calendar'!$AB$1641)=FALSE,"",IF((('Dvd Calendar'!$AB$1643=TYPE1)*(TYPE1&lt;&gt;"")+('Dvd Calendar'!$AB$1643=TYPE2)*(TYPE2&lt;&gt;"")+('Dvd Calendar'!$AB$1643=TYPE3)*(TYPE3&lt;&gt;"")+('Dvd Calendar'!$AB$1643=TYPE4)*(TYPE4&lt;&gt;"")+('Dvd Calendar'!$AB$1643=SPECIAL_LBL)*(INC_SPECIALS="Y"))=0,"",'Dvd Calendar'!$AB$1641)))</f>
        <v/>
      </c>
      <c r="AA167" s="161">
        <f>IF(FC167="","",IF(ISNUMBER('Dvd Calendar'!$AC$1641)=FALSE,"",IF((('Dvd Calendar'!$AC$1643=TYPE1)*(TYPE1&lt;&gt;"")+('Dvd Calendar'!$AC$1643=TYPE2)*(TYPE2&lt;&gt;"")+('Dvd Calendar'!$AC$1643=TYPE3)*(TYPE3&lt;&gt;"")+('Dvd Calendar'!$AC$1643=TYPE4)*(TYPE4&lt;&gt;"")+('Dvd Calendar'!$AC$1643=SPECIAL_LBL)*(INC_SPECIALS="Y"))=0,"",'Dvd Calendar'!$AC$1641)))</f>
        <v/>
      </c>
      <c r="AB167" s="161">
        <f>IF(FD167="","",IF(ISNUMBER('Dvd Calendar'!$AD$1641)=FALSE,"",IF((('Dvd Calendar'!$AD$1643=TYPE1)*(TYPE1&lt;&gt;"")+('Dvd Calendar'!$AD$1643=TYPE2)*(TYPE2&lt;&gt;"")+('Dvd Calendar'!$AD$1643=TYPE3)*(TYPE3&lt;&gt;"")+('Dvd Calendar'!$AD$1643=TYPE4)*(TYPE4&lt;&gt;"")+('Dvd Calendar'!$AD$1643=SPECIAL_LBL)*(INC_SPECIALS="Y"))=0,"",'Dvd Calendar'!$AD$1641)))</f>
        <v/>
      </c>
      <c r="AC167" s="161">
        <f>IF(FE167="","",IF(ISNUMBER('Dvd Calendar'!$AE$1641)=FALSE,"",IF((('Dvd Calendar'!$AE$1643=TYPE1)*(TYPE1&lt;&gt;"")+('Dvd Calendar'!$AE$1643=TYPE2)*(TYPE2&lt;&gt;"")+('Dvd Calendar'!$AE$1643=TYPE3)*(TYPE3&lt;&gt;"")+('Dvd Calendar'!$AE$1643=TYPE4)*(TYPE4&lt;&gt;"")+('Dvd Calendar'!$AE$1643=SPECIAL_LBL)*(INC_SPECIALS="Y"))=0,"",'Dvd Calendar'!$AE$1641)))</f>
        <v/>
      </c>
      <c r="AD167" s="161">
        <f>IF(FF167="","",IF(ISNUMBER('Dvd Calendar'!$AF$1641)=FALSE,"",IF((('Dvd Calendar'!$AF$1643=TYPE1)*(TYPE1&lt;&gt;"")+('Dvd Calendar'!$AF$1643=TYPE2)*(TYPE2&lt;&gt;"")+('Dvd Calendar'!$AF$1643=TYPE3)*(TYPE3&lt;&gt;"")+('Dvd Calendar'!$AF$1643=TYPE4)*(TYPE4&lt;&gt;"")+('Dvd Calendar'!$AF$1643=SPECIAL_LBL)*(INC_SPECIALS="Y"))=0,"",'Dvd Calendar'!$AF$1641)))</f>
        <v/>
      </c>
      <c r="AE167" s="161">
        <f>IF(FG167="","",IF(ISNUMBER('Dvd Calendar'!$AG$1641)=FALSE,"",IF((('Dvd Calendar'!$AG$1643=TYPE1)*(TYPE1&lt;&gt;"")+('Dvd Calendar'!$AG$1643=TYPE2)*(TYPE2&lt;&gt;"")+('Dvd Calendar'!$AG$1643=TYPE3)*(TYPE3&lt;&gt;"")+('Dvd Calendar'!$AG$1643=TYPE4)*(TYPE4&lt;&gt;"")+('Dvd Calendar'!$AG$1643=SPECIAL_LBL)*(INC_SPECIALS="Y"))=0,"",'Dvd Calendar'!$AG$1641)))</f>
        <v/>
      </c>
      <c r="AF167" s="161">
        <f>IF(FH167="","",IF(ISNUMBER('Dvd Calendar'!$AH$1641)=FALSE,"",IF((('Dvd Calendar'!$AH$1643=TYPE1)*(TYPE1&lt;&gt;"")+('Dvd Calendar'!$AH$1643=TYPE2)*(TYPE2&lt;&gt;"")+('Dvd Calendar'!$AH$1643=TYPE3)*(TYPE3&lt;&gt;"")+('Dvd Calendar'!$AH$1643=TYPE4)*(TYPE4&lt;&gt;"")+('Dvd Calendar'!$AH$1643=SPECIAL_LBL)*(INC_SPECIALS="Y"))=0,"",'Dvd Calendar'!$AH$1641)))</f>
        <v/>
      </c>
      <c r="AG167" s="161">
        <f>IF(FI167="","",IF(ISNUMBER('Dvd Calendar'!$AI$1641)=FALSE,"",IF((('Dvd Calendar'!$AI$1643=TYPE1)*(TYPE1&lt;&gt;"")+('Dvd Calendar'!$AI$1643=TYPE2)*(TYPE2&lt;&gt;"")+('Dvd Calendar'!$AI$1643=TYPE3)*(TYPE3&lt;&gt;"")+('Dvd Calendar'!$AI$1643=TYPE4)*(TYPE4&lt;&gt;"")+('Dvd Calendar'!$AI$1643=SPECIAL_LBL)*(INC_SPECIALS="Y"))=0,"",'Dvd Calendar'!$AI$1641)))</f>
        <v/>
      </c>
      <c r="AH167" s="161">
        <f>IF(FJ167="","",IF(ISNUMBER('Dvd Calendar'!$AJ$1641)=FALSE,"",IF((('Dvd Calendar'!$AJ$1643=TYPE1)*(TYPE1&lt;&gt;"")+('Dvd Calendar'!$AJ$1643=TYPE2)*(TYPE2&lt;&gt;"")+('Dvd Calendar'!$AJ$1643=TYPE3)*(TYPE3&lt;&gt;"")+('Dvd Calendar'!$AJ$1643=TYPE4)*(TYPE4&lt;&gt;"")+('Dvd Calendar'!$AJ$1643=SPECIAL_LBL)*(INC_SPECIALS="Y"))=0,"",'Dvd Calendar'!$AJ$1641)))</f>
        <v/>
      </c>
      <c r="AI167" s="161">
        <f>IF(FK167="","",IF(ISNUMBER('Dvd Calendar'!$AK$1641)=FALSE,"",IF((('Dvd Calendar'!$AK$1643=TYPE1)*(TYPE1&lt;&gt;"")+('Dvd Calendar'!$AK$1643=TYPE2)*(TYPE2&lt;&gt;"")+('Dvd Calendar'!$AK$1643=TYPE3)*(TYPE3&lt;&gt;"")+('Dvd Calendar'!$AK$1643=TYPE4)*(TYPE4&lt;&gt;"")+('Dvd Calendar'!$AK$1643=SPECIAL_LBL)*(INC_SPECIALS="Y"))=0,"",'Dvd Calendar'!$AK$1641)))</f>
        <v/>
      </c>
      <c r="AJ167" s="161">
        <f>IF(FL167="","",IF(ISNUMBER('Dvd Calendar'!$AL$1641)=FALSE,"",IF((('Dvd Calendar'!$AL$1643=TYPE1)*(TYPE1&lt;&gt;"")+('Dvd Calendar'!$AL$1643=TYPE2)*(TYPE2&lt;&gt;"")+('Dvd Calendar'!$AL$1643=TYPE3)*(TYPE3&lt;&gt;"")+('Dvd Calendar'!$AL$1643=TYPE4)*(TYPE4&lt;&gt;"")+('Dvd Calendar'!$AL$1643=SPECIAL_LBL)*(INC_SPECIALS="Y"))=0,"",'Dvd Calendar'!$AL$1641)))</f>
        <v/>
      </c>
      <c r="AK167" s="161">
        <f>IF(FM167="","",IF(ISNUMBER('Dvd Calendar'!$AM$1641)=FALSE,"",IF((('Dvd Calendar'!$AM$1643=TYPE1)*(TYPE1&lt;&gt;"")+('Dvd Calendar'!$AM$1643=TYPE2)*(TYPE2&lt;&gt;"")+('Dvd Calendar'!$AM$1643=TYPE3)*(TYPE3&lt;&gt;"")+('Dvd Calendar'!$AM$1643=TYPE4)*(TYPE4&lt;&gt;"")+('Dvd Calendar'!$AM$1643=SPECIAL_LBL)*(INC_SPECIALS="Y"))=0,"",'Dvd Calendar'!$AM$1641)))</f>
        <v/>
      </c>
      <c r="AL167" s="161">
        <f>IF(FN167="","",IF(ISNUMBER('Dvd Calendar'!$AN$1641)=FALSE,"",IF((('Dvd Calendar'!$AN$1643=TYPE1)*(TYPE1&lt;&gt;"")+('Dvd Calendar'!$AN$1643=TYPE2)*(TYPE2&lt;&gt;"")+('Dvd Calendar'!$AN$1643=TYPE3)*(TYPE3&lt;&gt;"")+('Dvd Calendar'!$AN$1643=TYPE4)*(TYPE4&lt;&gt;"")+('Dvd Calendar'!$AN$1643=SPECIAL_LBL)*(INC_SPECIALS="Y"))=0,"",'Dvd Calendar'!$AN$1641)))</f>
        <v/>
      </c>
      <c r="AM167" s="161">
        <f>IF(FO167="","",IF(ISNUMBER('Dvd Calendar'!$AO$1641)=FALSE,"",IF((('Dvd Calendar'!$AO$1643=TYPE1)*(TYPE1&lt;&gt;"")+('Dvd Calendar'!$AO$1643=TYPE2)*(TYPE2&lt;&gt;"")+('Dvd Calendar'!$AO$1643=TYPE3)*(TYPE3&lt;&gt;"")+('Dvd Calendar'!$AO$1643=TYPE4)*(TYPE4&lt;&gt;"")+('Dvd Calendar'!$AO$1643=SPECIAL_LBL)*(INC_SPECIALS="Y"))=0,"",'Dvd Calendar'!$AO$1641)))</f>
        <v/>
      </c>
      <c r="AN167" s="161">
        <f>IF(FP167="","",IF(ISNUMBER('Dvd Calendar'!$AP$1641)=FALSE,"",IF((('Dvd Calendar'!$AP$1643=TYPE1)*(TYPE1&lt;&gt;"")+('Dvd Calendar'!$AP$1643=TYPE2)*(TYPE2&lt;&gt;"")+('Dvd Calendar'!$AP$1643=TYPE3)*(TYPE3&lt;&gt;"")+('Dvd Calendar'!$AP$1643=TYPE4)*(TYPE4&lt;&gt;"")+('Dvd Calendar'!$AP$1643=SPECIAL_LBL)*(INC_SPECIALS="Y"))=0,"",'Dvd Calendar'!$AP$1641)))</f>
        <v/>
      </c>
      <c r="AO167" s="161">
        <f>IF(FQ167="","",IF(ISNUMBER('Dvd Calendar'!$AQ$1641)=FALSE,"",IF((('Dvd Calendar'!$AQ$1643=TYPE1)*(TYPE1&lt;&gt;"")+('Dvd Calendar'!$AQ$1643=TYPE2)*(TYPE2&lt;&gt;"")+('Dvd Calendar'!$AQ$1643=TYPE3)*(TYPE3&lt;&gt;"")+('Dvd Calendar'!$AQ$1643=TYPE4)*(TYPE4&lt;&gt;"")+('Dvd Calendar'!$AQ$1643=SPECIAL_LBL)*(INC_SPECIALS="Y"))=0,"",'Dvd Calendar'!$AQ$1641)))</f>
        <v/>
      </c>
      <c r="AP167" s="161">
        <f>IF(FR167="","",IF(ISNUMBER('Dvd Calendar'!$AR$1641)=FALSE,"",IF((('Dvd Calendar'!$AR$1643=TYPE1)*(TYPE1&lt;&gt;"")+('Dvd Calendar'!$AR$1643=TYPE2)*(TYPE2&lt;&gt;"")+('Dvd Calendar'!$AR$1643=TYPE3)*(TYPE3&lt;&gt;"")+('Dvd Calendar'!$AR$1643=TYPE4)*(TYPE4&lt;&gt;"")+('Dvd Calendar'!$AR$1643=SPECIAL_LBL)*(INC_SPECIALS="Y"))=0,"",'Dvd Calendar'!$AR$1641)))</f>
        <v/>
      </c>
      <c r="AQ167" s="161">
        <f>IF(FS167="","",IF(ISNUMBER('Dvd Calendar'!$E$1646)=FALSE,"",'Dvd Calendar'!$E$1646))</f>
        <v/>
      </c>
      <c r="AR167" s="161">
        <f>IF(FT167="","",IF(ISNUMBER('Dvd Calendar'!$F$1646)=FALSE,"",'Dvd Calendar'!$F$1646))</f>
        <v/>
      </c>
      <c r="AS167" s="161">
        <f>IF(FU167="","",IF(ISNUMBER('Dvd Calendar'!$G$1646)=FALSE,"",'Dvd Calendar'!$G$1646))</f>
        <v/>
      </c>
      <c r="AT167" s="161">
        <f>IF(FV167="","",IF(ISNUMBER('Dvd Calendar'!$H$1646)=FALSE,"",'Dvd Calendar'!$H$1646))</f>
        <v/>
      </c>
      <c r="AU167" s="161">
        <f>IF(FW167="","",IF(ISNUMBER('Dvd Calendar'!$I$1646)=FALSE,"",'Dvd Calendar'!$I$1646))</f>
        <v/>
      </c>
      <c r="AV167" s="161">
        <f>IF(FX167="","",IF(ISNUMBER('Dvd Calendar'!$J$1646)=FALSE,"",'Dvd Calendar'!$J$1646))</f>
        <v/>
      </c>
      <c r="AW167" s="161">
        <f>IF(FY167="","",IF(ISNUMBER('Dvd Calendar'!$K$1646)=FALSE,"",'Dvd Calendar'!$K$1646))</f>
        <v/>
      </c>
      <c r="AX167" s="161">
        <f>IF(FZ167="","",IF(ISNUMBER('Dvd Calendar'!$L$1646)=FALSE,"",'Dvd Calendar'!$L$1646))</f>
        <v/>
      </c>
      <c r="AY167" s="161">
        <f>IF(GA167="","",IF(ISNUMBER('Dvd Calendar'!$M$1646)=FALSE,"",'Dvd Calendar'!$M$1646))</f>
        <v/>
      </c>
      <c r="AZ167" s="161">
        <f>IF(GB167="","",IF(ISNUMBER('Dvd Calendar'!$N$1646)=FALSE,"",'Dvd Calendar'!$N$1646))</f>
        <v/>
      </c>
      <c r="BA167" s="161">
        <f>IF(GC167="","",IF(ISNUMBER('Dvd Calendar'!$O$1646)=FALSE,"",'Dvd Calendar'!$O$1646))</f>
        <v/>
      </c>
      <c r="BB167" s="161">
        <f>IF(GD167="","",IF(ISNUMBER('Dvd Calendar'!$P$1646)=FALSE,"",'Dvd Calendar'!$P$1646))</f>
        <v/>
      </c>
      <c r="BC167" s="161">
        <f>IF(GE167="","",IF(ISNUMBER('Dvd Calendar'!$Q$1646)=FALSE,"",'Dvd Calendar'!$Q$1646))</f>
        <v/>
      </c>
      <c r="BD167" s="161">
        <f>IF(GF167="","",IF(ISNUMBER('Dvd Calendar'!$R$1646)=FALSE,"",'Dvd Calendar'!$R$1646))</f>
        <v/>
      </c>
      <c r="BE167" s="161">
        <f>IF(GG167="","",IF(ISNUMBER('Dvd Calendar'!$S$1646)=FALSE,"",'Dvd Calendar'!$S$1646))</f>
        <v/>
      </c>
      <c r="BF167" s="161">
        <f>IF(GH167="","",IF(ISNUMBER('Dvd Calendar'!$T$1646)=FALSE,"",'Dvd Calendar'!$T$1646))</f>
        <v/>
      </c>
      <c r="BG167" s="161">
        <f>IF(GI167="","",IF(ISNUMBER('Dvd Calendar'!$U$1646)=FALSE,"",'Dvd Calendar'!$U$1646))</f>
        <v/>
      </c>
      <c r="BH167" s="161">
        <f>IF(GJ167="","",IF(ISNUMBER('Dvd Calendar'!$V$1646)=FALSE,"",'Dvd Calendar'!$V$1646))</f>
        <v/>
      </c>
      <c r="BI167" s="161">
        <f>IF(GK167="","",IF(ISNUMBER('Dvd Calendar'!$W$1646)=FALSE,"",'Dvd Calendar'!$W$1646))</f>
        <v/>
      </c>
      <c r="BJ167" s="161">
        <f>IF(GL167="","",IF(ISNUMBER('Dvd Calendar'!$X$1646)=FALSE,"",'Dvd Calendar'!$X$1646))</f>
        <v/>
      </c>
      <c r="BK167" s="161">
        <f>IF(GM167="","",IF(ISNUMBER('Dvd Calendar'!$Y$1646)=FALSE,"",'Dvd Calendar'!$Y$1646))</f>
        <v/>
      </c>
      <c r="BL167" s="161">
        <f>IF(GN167="","",IF(ISNUMBER('Dvd Calendar'!$Z$1646)=FALSE,"",'Dvd Calendar'!$Z$1646))</f>
        <v/>
      </c>
      <c r="BM167" s="161">
        <f>IF(GO167="","",IF(ISNUMBER('Dvd Calendar'!$AA$1646)=FALSE,"",'Dvd Calendar'!$AA$1646))</f>
        <v/>
      </c>
      <c r="BN167" s="161">
        <f>IF(GP167="","",IF(ISNUMBER('Dvd Calendar'!$AB$1646)=FALSE,"",'Dvd Calendar'!$AB$1646))</f>
        <v/>
      </c>
      <c r="BO167" s="161">
        <f>IF(GQ167="","",IF(ISNUMBER('Dvd Calendar'!$AC$1646)=FALSE,"",'Dvd Calendar'!$AC$1646))</f>
        <v/>
      </c>
      <c r="BQ167" s="161">
        <f>IF(C167="","",IFERROR(C167*HSCEI!$B$14*HSCEI!$G$14/HSCEI!$B$3,""))</f>
        <v/>
      </c>
      <c r="BR167" s="161">
        <f>IF(D167="","",IFERROR(D167*HSCEI!$B$14*HSCEI!$G$14/HSCEI!$B$3,""))</f>
        <v/>
      </c>
      <c r="BS167" s="161">
        <f>IF(E167="","",IFERROR(E167*HSCEI!$B$14*HSCEI!$G$14/HSCEI!$B$3,""))</f>
        <v/>
      </c>
      <c r="BT167" s="161">
        <f>IF(F167="","",IFERROR(F167*HSCEI!$B$14*HSCEI!$G$14/HSCEI!$B$3,""))</f>
        <v/>
      </c>
      <c r="BU167" s="161">
        <f>IF(G167="","",IFERROR(G167*HSCEI!$B$14*HSCEI!$G$14/HSCEI!$B$3,""))</f>
        <v/>
      </c>
      <c r="BV167" s="161">
        <f>IF(H167="","",IFERROR(H167*HSCEI!$B$14*HSCEI!$G$14/HSCEI!$B$3,""))</f>
        <v/>
      </c>
      <c r="BW167" s="161">
        <f>IF(I167="","",IFERROR(I167*HSCEI!$B$14*HSCEI!$G$14/HSCEI!$B$3,""))</f>
        <v/>
      </c>
      <c r="BX167" s="161">
        <f>IF(J167="","",IFERROR(J167*HSCEI!$B$14*HSCEI!$G$14/HSCEI!$B$3,""))</f>
        <v/>
      </c>
      <c r="BY167" s="161">
        <f>IF(K167="","",IFERROR(K167*HSCEI!$B$14*HSCEI!$G$14/HSCEI!$B$3,""))</f>
        <v/>
      </c>
      <c r="BZ167" s="161">
        <f>IF(L167="","",IFERROR(L167*HSCEI!$B$14*HSCEI!$G$14/HSCEI!$B$3,""))</f>
        <v/>
      </c>
      <c r="CA167" s="161">
        <f>IF(M167="","",IFERROR(M167*HSCEI!$B$14*HSCEI!$G$14/HSCEI!$B$3,""))</f>
        <v/>
      </c>
      <c r="CB167" s="161">
        <f>IF(N167="","",IFERROR(N167*HSCEI!$B$14*HSCEI!$G$14/HSCEI!$B$3,""))</f>
        <v/>
      </c>
      <c r="CC167" s="161">
        <f>IF(O167="","",IFERROR(O167*HSCEI!$B$14*HSCEI!$G$14/HSCEI!$B$3,""))</f>
        <v/>
      </c>
      <c r="CD167" s="161">
        <f>IF(P167="","",IFERROR(P167*HSCEI!$B$14*HSCEI!$G$14/HSCEI!$B$3,""))</f>
        <v/>
      </c>
      <c r="CE167" s="161">
        <f>IF(Q167="","",IFERROR(Q167*HSCEI!$B$14*HSCEI!$G$14/HSCEI!$B$3,""))</f>
        <v/>
      </c>
      <c r="CF167" s="161">
        <f>IF(R167="","",IFERROR(R167*HSCEI!$B$14*HSCEI!$G$14/HSCEI!$B$3,""))</f>
        <v/>
      </c>
      <c r="CG167" s="161">
        <f>IF(S167="","",IFERROR(S167*HSCEI!$B$14*HSCEI!$G$14/HSCEI!$B$3,""))</f>
        <v/>
      </c>
      <c r="CH167" s="161">
        <f>IF(T167="","",IFERROR(T167*HSCEI!$B$14*HSCEI!$G$14/HSCEI!$B$3,""))</f>
        <v/>
      </c>
      <c r="CI167" s="161">
        <f>IF(U167="","",IFERROR(U167*HSCEI!$B$14*HSCEI!$G$14/HSCEI!$B$3,""))</f>
        <v/>
      </c>
      <c r="CJ167" s="161">
        <f>IF(V167="","",IFERROR(V167*HSCEI!$B$14*HSCEI!$G$14/HSCEI!$B$3,""))</f>
        <v/>
      </c>
      <c r="CK167" s="161">
        <f>IF(W167="","",IFERROR(W167*HSCEI!$B$14*HSCEI!$G$14/HSCEI!$B$3,""))</f>
        <v/>
      </c>
      <c r="CL167" s="161">
        <f>IF(X167="","",IFERROR(X167*HSCEI!$B$14*HSCEI!$G$14/HSCEI!$B$3,""))</f>
        <v/>
      </c>
      <c r="CM167" s="161">
        <f>IF(Y167="","",IFERROR(Y167*HSCEI!$B$14*HSCEI!$G$14/HSCEI!$B$3,""))</f>
        <v/>
      </c>
      <c r="CN167" s="161">
        <f>IF(Z167="","",IFERROR(Z167*HSCEI!$B$14*HSCEI!$G$14/HSCEI!$B$3,""))</f>
        <v/>
      </c>
      <c r="CO167" s="161">
        <f>IF(AA167="","",IFERROR(AA167*HSCEI!$B$14*HSCEI!$G$14/HSCEI!$B$3,""))</f>
        <v/>
      </c>
      <c r="CP167" s="161">
        <f>IF(AB167="","",IFERROR(AB167*HSCEI!$B$14*HSCEI!$G$14/HSCEI!$B$3,""))</f>
        <v/>
      </c>
      <c r="CQ167" s="161">
        <f>IF(AC167="","",IFERROR(AC167*HSCEI!$B$14*HSCEI!$G$14/HSCEI!$B$3,""))</f>
        <v/>
      </c>
      <c r="CR167" s="161">
        <f>IF(AD167="","",IFERROR(AD167*HSCEI!$B$14*HSCEI!$G$14/HSCEI!$B$3,""))</f>
        <v/>
      </c>
      <c r="CS167" s="161">
        <f>IF(AE167="","",IFERROR(AE167*HSCEI!$B$14*HSCEI!$G$14/HSCEI!$B$3,""))</f>
        <v/>
      </c>
      <c r="CT167" s="161">
        <f>IF(AF167="","",IFERROR(AF167*HSCEI!$B$14*HSCEI!$G$14/HSCEI!$B$3,""))</f>
        <v/>
      </c>
      <c r="CU167" s="161">
        <f>IF(AG167="","",IFERROR(AG167*HSCEI!$B$14*HSCEI!$G$14/HSCEI!$B$3,""))</f>
        <v/>
      </c>
      <c r="CV167" s="161">
        <f>IF(AH167="","",IFERROR(AH167*HSCEI!$B$14*HSCEI!$G$14/HSCEI!$B$3,""))</f>
        <v/>
      </c>
      <c r="CW167" s="161">
        <f>IF(AI167="","",IFERROR(AI167*HSCEI!$B$14*HSCEI!$G$14/HSCEI!$B$3,""))</f>
        <v/>
      </c>
      <c r="CX167" s="161">
        <f>IF(AJ167="","",IFERROR(AJ167*HSCEI!$B$14*HSCEI!$G$14/HSCEI!$B$3,""))</f>
        <v/>
      </c>
      <c r="CY167" s="161">
        <f>IF(AK167="","",IFERROR(AK167*HSCEI!$B$14*HSCEI!$G$14/HSCEI!$B$3,""))</f>
        <v/>
      </c>
      <c r="CZ167" s="161">
        <f>IF(AL167="","",IFERROR(AL167*HSCEI!$B$14*HSCEI!$G$14/HSCEI!$B$3,""))</f>
        <v/>
      </c>
      <c r="DA167" s="161">
        <f>IF(AM167="","",IFERROR(AM167*HSCEI!$B$14*HSCEI!$G$14/HSCEI!$B$3,""))</f>
        <v/>
      </c>
      <c r="DB167" s="161">
        <f>IF(AN167="","",IFERROR(AN167*HSCEI!$B$14*HSCEI!$G$14/HSCEI!$B$3,""))</f>
        <v/>
      </c>
      <c r="DC167" s="161">
        <f>IF(AO167="","",IFERROR(AO167*HSCEI!$B$14*HSCEI!$G$14/HSCEI!$B$3,""))</f>
        <v/>
      </c>
      <c r="DD167" s="161">
        <f>IF(AP167="","",IFERROR(AP167*HSCEI!$B$14*HSCEI!$G$14/HSCEI!$B$3,""))</f>
        <v/>
      </c>
      <c r="DE167" s="161">
        <f>IF(AQ167="","",IFERROR(AQ167*HSCEI!$B$14*HSCEI!$G$14/HSCEI!$B$3,""))</f>
        <v/>
      </c>
      <c r="DF167" s="161">
        <f>IF(AR167="","",IFERROR(AR167*HSCEI!$B$14*HSCEI!$G$14/HSCEI!$B$3,""))</f>
        <v/>
      </c>
      <c r="DG167" s="161">
        <f>IF(AS167="","",IFERROR(AS167*HSCEI!$B$14*HSCEI!$G$14/HSCEI!$B$3,""))</f>
        <v/>
      </c>
      <c r="DH167" s="161">
        <f>IF(AT167="","",IFERROR(AT167*HSCEI!$B$14*HSCEI!$G$14/HSCEI!$B$3,""))</f>
        <v/>
      </c>
      <c r="DI167" s="161">
        <f>IF(AU167="","",IFERROR(AU167*HSCEI!$B$14*HSCEI!$G$14/HSCEI!$B$3,""))</f>
        <v/>
      </c>
      <c r="DJ167" s="161">
        <f>IF(AV167="","",IFERROR(AV167*HSCEI!$B$14*HSCEI!$G$14/HSCEI!$B$3,""))</f>
        <v/>
      </c>
      <c r="DK167" s="161">
        <f>IF(AW167="","",IFERROR(AW167*HSCEI!$B$14*HSCEI!$G$14/HSCEI!$B$3,""))</f>
        <v/>
      </c>
      <c r="DL167" s="161">
        <f>IF(AX167="","",IFERROR(AX167*HSCEI!$B$14*HSCEI!$G$14/HSCEI!$B$3,""))</f>
        <v/>
      </c>
      <c r="DM167" s="161">
        <f>IF(AY167="","",IFERROR(AY167*HSCEI!$B$14*HSCEI!$G$14/HSCEI!$B$3,""))</f>
        <v/>
      </c>
      <c r="DN167" s="161">
        <f>IF(AZ167="","",IFERROR(AZ167*HSCEI!$B$14*HSCEI!$G$14/HSCEI!$B$3,""))</f>
        <v/>
      </c>
      <c r="DO167" s="161">
        <f>IF(BA167="","",IFERROR(BA167*HSCEI!$B$14*HSCEI!$G$14/HSCEI!$B$3,""))</f>
        <v/>
      </c>
      <c r="DP167" s="161">
        <f>IF(BB167="","",IFERROR(BB167*HSCEI!$B$14*HSCEI!$G$14/HSCEI!$B$3,""))</f>
        <v/>
      </c>
      <c r="DQ167" s="161">
        <f>IF(BC167="","",IFERROR(BC167*HSCEI!$B$14*HSCEI!$G$14/HSCEI!$B$3,""))</f>
        <v/>
      </c>
      <c r="DR167" s="161">
        <f>IF(BD167="","",IFERROR(BD167*HSCEI!$B$14*HSCEI!$G$14/HSCEI!$B$3,""))</f>
        <v/>
      </c>
      <c r="DS167" s="161">
        <f>IF(BE167="","",IFERROR(BE167*HSCEI!$B$14*HSCEI!$G$14/HSCEI!$B$3,""))</f>
        <v/>
      </c>
      <c r="DT167" s="161">
        <f>IF(BF167="","",IFERROR(BF167*HSCEI!$B$14*HSCEI!$G$14/HSCEI!$B$3,""))</f>
        <v/>
      </c>
      <c r="DU167" s="161">
        <f>IF(BG167="","",IFERROR(BG167*HSCEI!$B$14*HSCEI!$G$14/HSCEI!$B$3,""))</f>
        <v/>
      </c>
      <c r="DV167" s="161">
        <f>IF(BH167="","",IFERROR(BH167*HSCEI!$B$14*HSCEI!$G$14/HSCEI!$B$3,""))</f>
        <v/>
      </c>
      <c r="DW167" s="161">
        <f>IF(BI167="","",IFERROR(BI167*HSCEI!$B$14*HSCEI!$G$14/HSCEI!$B$3,""))</f>
        <v/>
      </c>
      <c r="DX167" s="161">
        <f>IF(BJ167="","",IFERROR(BJ167*HSCEI!$B$14*HSCEI!$G$14/HSCEI!$B$3,""))</f>
        <v/>
      </c>
      <c r="DY167" s="161">
        <f>IF(BK167="","",IFERROR(BK167*HSCEI!$B$14*HSCEI!$G$14/HSCEI!$B$3,""))</f>
        <v/>
      </c>
      <c r="DZ167" s="161">
        <f>IF(BL167="","",IFERROR(BL167*HSCEI!$B$14*HSCEI!$G$14/HSCEI!$B$3,""))</f>
        <v/>
      </c>
      <c r="EA167" s="161">
        <f>IF(BM167="","",IFERROR(BM167*HSCEI!$B$14*HSCEI!$G$14/HSCEI!$B$3,""))</f>
        <v/>
      </c>
      <c r="EB167" s="161">
        <f>IF(BN167="","",IFERROR(BN167*HSCEI!$B$14*HSCEI!$G$14/HSCEI!$B$3,""))</f>
        <v/>
      </c>
      <c r="EC167" s="161">
        <f>IF(BO167="","",IFERROR(BO167*HSCEI!$B$14*HSCEI!$G$14/HSCEI!$B$3,""))</f>
        <v/>
      </c>
      <c r="EE167" s="121">
        <f>IF(N('Dvd Calendar'!$E$1638)=0,"",IF(('Dvd Calendar'!$E$1638&gt;=GRID_FROM)*('Dvd Calendar'!$E$1638&lt;=GRID_TO)*((('Dvd Calendar'!$E$1638&lt;=VAL_DATE)+(COUNTIF('Dvd Calendar'!$E$1645:$AR$1645,'Dvd Calendar'!$E$1638)=0))&gt;0)=0,"",'Dvd Calendar'!$E$1638*1000000000+ISNUMBER('Dvd Calendar'!$E$1641)*100000000+('Dvd Calendar'!$E$1643=SPECIAL_LBL)*10000000+(N('Dvd Calendar'!$E$1637)&gt;0)*(N('Dvd Calendar'!$E$1637)&lt;=VAL_SERIAL)*1000000+8*1000+1))</f>
        <v/>
      </c>
      <c r="EF167" s="121">
        <f>IF(N('Dvd Calendar'!$F$1638)=0,"",IF(('Dvd Calendar'!$F$1638&gt;=GRID_FROM)*('Dvd Calendar'!$F$1638&lt;=GRID_TO)*((('Dvd Calendar'!$F$1638&lt;=VAL_DATE)+(COUNTIF('Dvd Calendar'!$E$1645:$AR$1645,'Dvd Calendar'!$F$1638)=0))&gt;0)=0,"",'Dvd Calendar'!$F$1638*1000000000+ISNUMBER('Dvd Calendar'!$F$1641)*100000000+('Dvd Calendar'!$F$1643=SPECIAL_LBL)*10000000+(N('Dvd Calendar'!$F$1637)&gt;0)*(N('Dvd Calendar'!$F$1637)&lt;=VAL_SERIAL)*1000000+8*1000+2))</f>
        <v/>
      </c>
      <c r="EG167" s="121">
        <f>IF(N('Dvd Calendar'!$G$1638)=0,"",IF(('Dvd Calendar'!$G$1638&gt;=GRID_FROM)*('Dvd Calendar'!$G$1638&lt;=GRID_TO)*((('Dvd Calendar'!$G$1638&lt;=VAL_DATE)+(COUNTIF('Dvd Calendar'!$E$1645:$AR$1645,'Dvd Calendar'!$G$1638)=0))&gt;0)=0,"",'Dvd Calendar'!$G$1638*1000000000+ISNUMBER('Dvd Calendar'!$G$1641)*100000000+('Dvd Calendar'!$G$1643=SPECIAL_LBL)*10000000+(N('Dvd Calendar'!$G$1637)&gt;0)*(N('Dvd Calendar'!$G$1637)&lt;=VAL_SERIAL)*1000000+8*1000+3))</f>
        <v/>
      </c>
      <c r="EH167" s="121">
        <f>IF(N('Dvd Calendar'!$H$1638)=0,"",IF(('Dvd Calendar'!$H$1638&gt;=GRID_FROM)*('Dvd Calendar'!$H$1638&lt;=GRID_TO)*((('Dvd Calendar'!$H$1638&lt;=VAL_DATE)+(COUNTIF('Dvd Calendar'!$E$1645:$AR$1645,'Dvd Calendar'!$H$1638)=0))&gt;0)=0,"",'Dvd Calendar'!$H$1638*1000000000+ISNUMBER('Dvd Calendar'!$H$1641)*100000000+('Dvd Calendar'!$H$1643=SPECIAL_LBL)*10000000+(N('Dvd Calendar'!$H$1637)&gt;0)*(N('Dvd Calendar'!$H$1637)&lt;=VAL_SERIAL)*1000000+8*1000+4))</f>
        <v/>
      </c>
      <c r="EI167" s="121">
        <f>IF(N('Dvd Calendar'!$I$1638)=0,"",IF(('Dvd Calendar'!$I$1638&gt;=GRID_FROM)*('Dvd Calendar'!$I$1638&lt;=GRID_TO)*((('Dvd Calendar'!$I$1638&lt;=VAL_DATE)+(COUNTIF('Dvd Calendar'!$E$1645:$AR$1645,'Dvd Calendar'!$I$1638)=0))&gt;0)=0,"",'Dvd Calendar'!$I$1638*1000000000+ISNUMBER('Dvd Calendar'!$I$1641)*100000000+('Dvd Calendar'!$I$1643=SPECIAL_LBL)*10000000+(N('Dvd Calendar'!$I$1637)&gt;0)*(N('Dvd Calendar'!$I$1637)&lt;=VAL_SERIAL)*1000000+8*1000+5))</f>
        <v/>
      </c>
      <c r="EJ167" s="121">
        <f>IF(N('Dvd Calendar'!$J$1638)=0,"",IF(('Dvd Calendar'!$J$1638&gt;=GRID_FROM)*('Dvd Calendar'!$J$1638&lt;=GRID_TO)*((('Dvd Calendar'!$J$1638&lt;=VAL_DATE)+(COUNTIF('Dvd Calendar'!$E$1645:$AR$1645,'Dvd Calendar'!$J$1638)=0))&gt;0)=0,"",'Dvd Calendar'!$J$1638*1000000000+ISNUMBER('Dvd Calendar'!$J$1641)*100000000+('Dvd Calendar'!$J$1643=SPECIAL_LBL)*10000000+(N('Dvd Calendar'!$J$1637)&gt;0)*(N('Dvd Calendar'!$J$1637)&lt;=VAL_SERIAL)*1000000+8*1000+6))</f>
        <v/>
      </c>
      <c r="EK167" s="121">
        <f>IF(N('Dvd Calendar'!$K$1638)=0,"",IF(('Dvd Calendar'!$K$1638&gt;=GRID_FROM)*('Dvd Calendar'!$K$1638&lt;=GRID_TO)*((('Dvd Calendar'!$K$1638&lt;=VAL_DATE)+(COUNTIF('Dvd Calendar'!$E$1645:$AR$1645,'Dvd Calendar'!$K$1638)=0))&gt;0)=0,"",'Dvd Calendar'!$K$1638*1000000000+ISNUMBER('Dvd Calendar'!$K$1641)*100000000+('Dvd Calendar'!$K$1643=SPECIAL_LBL)*10000000+(N('Dvd Calendar'!$K$1637)&gt;0)*(N('Dvd Calendar'!$K$1637)&lt;=VAL_SERIAL)*1000000+8*1000+7))</f>
        <v/>
      </c>
      <c r="EL167" s="121">
        <f>IF(N('Dvd Calendar'!$L$1638)=0,"",IF(('Dvd Calendar'!$L$1638&gt;=GRID_FROM)*('Dvd Calendar'!$L$1638&lt;=GRID_TO)*((('Dvd Calendar'!$L$1638&lt;=VAL_DATE)+(COUNTIF('Dvd Calendar'!$E$1645:$AR$1645,'Dvd Calendar'!$L$1638)=0))&gt;0)=0,"",'Dvd Calendar'!$L$1638*1000000000+ISNUMBER('Dvd Calendar'!$L$1641)*100000000+('Dvd Calendar'!$L$1643=SPECIAL_LBL)*10000000+(N('Dvd Calendar'!$L$1637)&gt;0)*(N('Dvd Calendar'!$L$1637)&lt;=VAL_SERIAL)*1000000+8*1000+8))</f>
        <v/>
      </c>
      <c r="EM167" s="121">
        <f>IF(N('Dvd Calendar'!$M$1638)=0,"",IF(('Dvd Calendar'!$M$1638&gt;=GRID_FROM)*('Dvd Calendar'!$M$1638&lt;=GRID_TO)*((('Dvd Calendar'!$M$1638&lt;=VAL_DATE)+(COUNTIF('Dvd Calendar'!$E$1645:$AR$1645,'Dvd Calendar'!$M$1638)=0))&gt;0)=0,"",'Dvd Calendar'!$M$1638*1000000000+ISNUMBER('Dvd Calendar'!$M$1641)*100000000+('Dvd Calendar'!$M$1643=SPECIAL_LBL)*10000000+(N('Dvd Calendar'!$M$1637)&gt;0)*(N('Dvd Calendar'!$M$1637)&lt;=VAL_SERIAL)*1000000+8*1000+9))</f>
        <v/>
      </c>
      <c r="EN167" s="121">
        <f>IF(N('Dvd Calendar'!$N$1638)=0,"",IF(('Dvd Calendar'!$N$1638&gt;=GRID_FROM)*('Dvd Calendar'!$N$1638&lt;=GRID_TO)*((('Dvd Calendar'!$N$1638&lt;=VAL_DATE)+(COUNTIF('Dvd Calendar'!$E$1645:$AR$1645,'Dvd Calendar'!$N$1638)=0))&gt;0)=0,"",'Dvd Calendar'!$N$1638*1000000000+ISNUMBER('Dvd Calendar'!$N$1641)*100000000+('Dvd Calendar'!$N$1643=SPECIAL_LBL)*10000000+(N('Dvd Calendar'!$N$1637)&gt;0)*(N('Dvd Calendar'!$N$1637)&lt;=VAL_SERIAL)*1000000+8*1000+10))</f>
        <v/>
      </c>
      <c r="EO167" s="121">
        <f>IF(N('Dvd Calendar'!$O$1638)=0,"",IF(('Dvd Calendar'!$O$1638&gt;=GRID_FROM)*('Dvd Calendar'!$O$1638&lt;=GRID_TO)*((('Dvd Calendar'!$O$1638&lt;=VAL_DATE)+(COUNTIF('Dvd Calendar'!$E$1645:$AR$1645,'Dvd Calendar'!$O$1638)=0))&gt;0)=0,"",'Dvd Calendar'!$O$1638*1000000000+ISNUMBER('Dvd Calendar'!$O$1641)*100000000+('Dvd Calendar'!$O$1643=SPECIAL_LBL)*10000000+(N('Dvd Calendar'!$O$1637)&gt;0)*(N('Dvd Calendar'!$O$1637)&lt;=VAL_SERIAL)*1000000+8*1000+11))</f>
        <v/>
      </c>
      <c r="EP167" s="121">
        <f>IF(N('Dvd Calendar'!$P$1638)=0,"",IF(('Dvd Calendar'!$P$1638&gt;=GRID_FROM)*('Dvd Calendar'!$P$1638&lt;=GRID_TO)*((('Dvd Calendar'!$P$1638&lt;=VAL_DATE)+(COUNTIF('Dvd Calendar'!$E$1645:$AR$1645,'Dvd Calendar'!$P$1638)=0))&gt;0)=0,"",'Dvd Calendar'!$P$1638*1000000000+ISNUMBER('Dvd Calendar'!$P$1641)*100000000+('Dvd Calendar'!$P$1643=SPECIAL_LBL)*10000000+(N('Dvd Calendar'!$P$1637)&gt;0)*(N('Dvd Calendar'!$P$1637)&lt;=VAL_SERIAL)*1000000+8*1000+12))</f>
        <v/>
      </c>
      <c r="EQ167" s="121">
        <f>IF(N('Dvd Calendar'!$Q$1638)=0,"",IF(('Dvd Calendar'!$Q$1638&gt;=GRID_FROM)*('Dvd Calendar'!$Q$1638&lt;=GRID_TO)*((('Dvd Calendar'!$Q$1638&lt;=VAL_DATE)+(COUNTIF('Dvd Calendar'!$E$1645:$AR$1645,'Dvd Calendar'!$Q$1638)=0))&gt;0)=0,"",'Dvd Calendar'!$Q$1638*1000000000+ISNUMBER('Dvd Calendar'!$Q$1641)*100000000+('Dvd Calendar'!$Q$1643=SPECIAL_LBL)*10000000+(N('Dvd Calendar'!$Q$1637)&gt;0)*(N('Dvd Calendar'!$Q$1637)&lt;=VAL_SERIAL)*1000000+8*1000+13))</f>
        <v/>
      </c>
      <c r="ER167" s="121">
        <f>IF(N('Dvd Calendar'!$R$1638)=0,"",IF(('Dvd Calendar'!$R$1638&gt;=GRID_FROM)*('Dvd Calendar'!$R$1638&lt;=GRID_TO)*((('Dvd Calendar'!$R$1638&lt;=VAL_DATE)+(COUNTIF('Dvd Calendar'!$E$1645:$AR$1645,'Dvd Calendar'!$R$1638)=0))&gt;0)=0,"",'Dvd Calendar'!$R$1638*1000000000+ISNUMBER('Dvd Calendar'!$R$1641)*100000000+('Dvd Calendar'!$R$1643=SPECIAL_LBL)*10000000+(N('Dvd Calendar'!$R$1637)&gt;0)*(N('Dvd Calendar'!$R$1637)&lt;=VAL_SERIAL)*1000000+8*1000+14))</f>
        <v/>
      </c>
      <c r="ES167" s="121">
        <f>IF(N('Dvd Calendar'!$S$1638)=0,"",IF(('Dvd Calendar'!$S$1638&gt;=GRID_FROM)*('Dvd Calendar'!$S$1638&lt;=GRID_TO)*((('Dvd Calendar'!$S$1638&lt;=VAL_DATE)+(COUNTIF('Dvd Calendar'!$E$1645:$AR$1645,'Dvd Calendar'!$S$1638)=0))&gt;0)=0,"",'Dvd Calendar'!$S$1638*1000000000+ISNUMBER('Dvd Calendar'!$S$1641)*100000000+('Dvd Calendar'!$S$1643=SPECIAL_LBL)*10000000+(N('Dvd Calendar'!$S$1637)&gt;0)*(N('Dvd Calendar'!$S$1637)&lt;=VAL_SERIAL)*1000000+8*1000+15))</f>
        <v/>
      </c>
      <c r="ET167" s="121">
        <f>IF(N('Dvd Calendar'!$T$1638)=0,"",IF(('Dvd Calendar'!$T$1638&gt;=GRID_FROM)*('Dvd Calendar'!$T$1638&lt;=GRID_TO)*((('Dvd Calendar'!$T$1638&lt;=VAL_DATE)+(COUNTIF('Dvd Calendar'!$E$1645:$AR$1645,'Dvd Calendar'!$T$1638)=0))&gt;0)=0,"",'Dvd Calendar'!$T$1638*1000000000+ISNUMBER('Dvd Calendar'!$T$1641)*100000000+('Dvd Calendar'!$T$1643=SPECIAL_LBL)*10000000+(N('Dvd Calendar'!$T$1637)&gt;0)*(N('Dvd Calendar'!$T$1637)&lt;=VAL_SERIAL)*1000000+8*1000+16))</f>
        <v/>
      </c>
      <c r="EU167" s="121">
        <f>IF(N('Dvd Calendar'!$U$1638)=0,"",IF(('Dvd Calendar'!$U$1638&gt;=GRID_FROM)*('Dvd Calendar'!$U$1638&lt;=GRID_TO)*((('Dvd Calendar'!$U$1638&lt;=VAL_DATE)+(COUNTIF('Dvd Calendar'!$E$1645:$AR$1645,'Dvd Calendar'!$U$1638)=0))&gt;0)=0,"",'Dvd Calendar'!$U$1638*1000000000+ISNUMBER('Dvd Calendar'!$U$1641)*100000000+('Dvd Calendar'!$U$1643=SPECIAL_LBL)*10000000+(N('Dvd Calendar'!$U$1637)&gt;0)*(N('Dvd Calendar'!$U$1637)&lt;=VAL_SERIAL)*1000000+8*1000+17))</f>
        <v/>
      </c>
      <c r="EV167" s="121">
        <f>IF(N('Dvd Calendar'!$V$1638)=0,"",IF(('Dvd Calendar'!$V$1638&gt;=GRID_FROM)*('Dvd Calendar'!$V$1638&lt;=GRID_TO)*((('Dvd Calendar'!$V$1638&lt;=VAL_DATE)+(COUNTIF('Dvd Calendar'!$E$1645:$AR$1645,'Dvd Calendar'!$V$1638)=0))&gt;0)=0,"",'Dvd Calendar'!$V$1638*1000000000+ISNUMBER('Dvd Calendar'!$V$1641)*100000000+('Dvd Calendar'!$V$1643=SPECIAL_LBL)*10000000+(N('Dvd Calendar'!$V$1637)&gt;0)*(N('Dvd Calendar'!$V$1637)&lt;=VAL_SERIAL)*1000000+8*1000+18))</f>
        <v/>
      </c>
      <c r="EW167" s="121">
        <f>IF(N('Dvd Calendar'!$W$1638)=0,"",IF(('Dvd Calendar'!$W$1638&gt;=GRID_FROM)*('Dvd Calendar'!$W$1638&lt;=GRID_TO)*((('Dvd Calendar'!$W$1638&lt;=VAL_DATE)+(COUNTIF('Dvd Calendar'!$E$1645:$AR$1645,'Dvd Calendar'!$W$1638)=0))&gt;0)=0,"",'Dvd Calendar'!$W$1638*1000000000+ISNUMBER('Dvd Calendar'!$W$1641)*100000000+('Dvd Calendar'!$W$1643=SPECIAL_LBL)*10000000+(N('Dvd Calendar'!$W$1637)&gt;0)*(N('Dvd Calendar'!$W$1637)&lt;=VAL_SERIAL)*1000000+8*1000+19))</f>
        <v/>
      </c>
      <c r="EX167" s="121">
        <f>IF(N('Dvd Calendar'!$X$1638)=0,"",IF(('Dvd Calendar'!$X$1638&gt;=GRID_FROM)*('Dvd Calendar'!$X$1638&lt;=GRID_TO)*((('Dvd Calendar'!$X$1638&lt;=VAL_DATE)+(COUNTIF('Dvd Calendar'!$E$1645:$AR$1645,'Dvd Calendar'!$X$1638)=0))&gt;0)=0,"",'Dvd Calendar'!$X$1638*1000000000+ISNUMBER('Dvd Calendar'!$X$1641)*100000000+('Dvd Calendar'!$X$1643=SPECIAL_LBL)*10000000+(N('Dvd Calendar'!$X$1637)&gt;0)*(N('Dvd Calendar'!$X$1637)&lt;=VAL_SERIAL)*1000000+8*1000+20))</f>
        <v/>
      </c>
      <c r="EY167" s="121">
        <f>IF(N('Dvd Calendar'!$Y$1638)=0,"",IF(('Dvd Calendar'!$Y$1638&gt;=GRID_FROM)*('Dvd Calendar'!$Y$1638&lt;=GRID_TO)*((('Dvd Calendar'!$Y$1638&lt;=VAL_DATE)+(COUNTIF('Dvd Calendar'!$E$1645:$AR$1645,'Dvd Calendar'!$Y$1638)=0))&gt;0)=0,"",'Dvd Calendar'!$Y$1638*1000000000+ISNUMBER('Dvd Calendar'!$Y$1641)*100000000+('Dvd Calendar'!$Y$1643=SPECIAL_LBL)*10000000+(N('Dvd Calendar'!$Y$1637)&gt;0)*(N('Dvd Calendar'!$Y$1637)&lt;=VAL_SERIAL)*1000000+8*1000+21))</f>
        <v/>
      </c>
      <c r="EZ167" s="121">
        <f>IF(N('Dvd Calendar'!$Z$1638)=0,"",IF(('Dvd Calendar'!$Z$1638&gt;=GRID_FROM)*('Dvd Calendar'!$Z$1638&lt;=GRID_TO)*((('Dvd Calendar'!$Z$1638&lt;=VAL_DATE)+(COUNTIF('Dvd Calendar'!$E$1645:$AR$1645,'Dvd Calendar'!$Z$1638)=0))&gt;0)=0,"",'Dvd Calendar'!$Z$1638*1000000000+ISNUMBER('Dvd Calendar'!$Z$1641)*100000000+('Dvd Calendar'!$Z$1643=SPECIAL_LBL)*10000000+(N('Dvd Calendar'!$Z$1637)&gt;0)*(N('Dvd Calendar'!$Z$1637)&lt;=VAL_SERIAL)*1000000+8*1000+22))</f>
        <v/>
      </c>
      <c r="FA167" s="121">
        <f>IF(N('Dvd Calendar'!$AA$1638)=0,"",IF(('Dvd Calendar'!$AA$1638&gt;=GRID_FROM)*('Dvd Calendar'!$AA$1638&lt;=GRID_TO)*((('Dvd Calendar'!$AA$1638&lt;=VAL_DATE)+(COUNTIF('Dvd Calendar'!$E$1645:$AR$1645,'Dvd Calendar'!$AA$1638)=0))&gt;0)=0,"",'Dvd Calendar'!$AA$1638*1000000000+ISNUMBER('Dvd Calendar'!$AA$1641)*100000000+('Dvd Calendar'!$AA$1643=SPECIAL_LBL)*10000000+(N('Dvd Calendar'!$AA$1637)&gt;0)*(N('Dvd Calendar'!$AA$1637)&lt;=VAL_SERIAL)*1000000+8*1000+23))</f>
        <v/>
      </c>
      <c r="FB167" s="121">
        <f>IF(N('Dvd Calendar'!$AB$1638)=0,"",IF(('Dvd Calendar'!$AB$1638&gt;=GRID_FROM)*('Dvd Calendar'!$AB$1638&lt;=GRID_TO)*((('Dvd Calendar'!$AB$1638&lt;=VAL_DATE)+(COUNTIF('Dvd Calendar'!$E$1645:$AR$1645,'Dvd Calendar'!$AB$1638)=0))&gt;0)=0,"",'Dvd Calendar'!$AB$1638*1000000000+ISNUMBER('Dvd Calendar'!$AB$1641)*100000000+('Dvd Calendar'!$AB$1643=SPECIAL_LBL)*10000000+(N('Dvd Calendar'!$AB$1637)&gt;0)*(N('Dvd Calendar'!$AB$1637)&lt;=VAL_SERIAL)*1000000+8*1000+24))</f>
        <v/>
      </c>
      <c r="FC167" s="121">
        <f>IF(N('Dvd Calendar'!$AC$1638)=0,"",IF(('Dvd Calendar'!$AC$1638&gt;=GRID_FROM)*('Dvd Calendar'!$AC$1638&lt;=GRID_TO)*((('Dvd Calendar'!$AC$1638&lt;=VAL_DATE)+(COUNTIF('Dvd Calendar'!$E$1645:$AR$1645,'Dvd Calendar'!$AC$1638)=0))&gt;0)=0,"",'Dvd Calendar'!$AC$1638*1000000000+ISNUMBER('Dvd Calendar'!$AC$1641)*100000000+('Dvd Calendar'!$AC$1643=SPECIAL_LBL)*10000000+(N('Dvd Calendar'!$AC$1637)&gt;0)*(N('Dvd Calendar'!$AC$1637)&lt;=VAL_SERIAL)*1000000+8*1000+25))</f>
        <v/>
      </c>
      <c r="FD167" s="121">
        <f>IF(N('Dvd Calendar'!$AD$1638)=0,"",IF(('Dvd Calendar'!$AD$1638&gt;=GRID_FROM)*('Dvd Calendar'!$AD$1638&lt;=GRID_TO)*((('Dvd Calendar'!$AD$1638&lt;=VAL_DATE)+(COUNTIF('Dvd Calendar'!$E$1645:$AR$1645,'Dvd Calendar'!$AD$1638)=0))&gt;0)=0,"",'Dvd Calendar'!$AD$1638*1000000000+ISNUMBER('Dvd Calendar'!$AD$1641)*100000000+('Dvd Calendar'!$AD$1643=SPECIAL_LBL)*10000000+(N('Dvd Calendar'!$AD$1637)&gt;0)*(N('Dvd Calendar'!$AD$1637)&lt;=VAL_SERIAL)*1000000+8*1000+26))</f>
        <v/>
      </c>
      <c r="FE167" s="121">
        <f>IF(N('Dvd Calendar'!$AE$1638)=0,"",IF(('Dvd Calendar'!$AE$1638&gt;=GRID_FROM)*('Dvd Calendar'!$AE$1638&lt;=GRID_TO)*((('Dvd Calendar'!$AE$1638&lt;=VAL_DATE)+(COUNTIF('Dvd Calendar'!$E$1645:$AR$1645,'Dvd Calendar'!$AE$1638)=0))&gt;0)=0,"",'Dvd Calendar'!$AE$1638*1000000000+ISNUMBER('Dvd Calendar'!$AE$1641)*100000000+('Dvd Calendar'!$AE$1643=SPECIAL_LBL)*10000000+(N('Dvd Calendar'!$AE$1637)&gt;0)*(N('Dvd Calendar'!$AE$1637)&lt;=VAL_SERIAL)*1000000+8*1000+27))</f>
        <v/>
      </c>
      <c r="FF167" s="121">
        <f>IF(N('Dvd Calendar'!$AF$1638)=0,"",IF(('Dvd Calendar'!$AF$1638&gt;=GRID_FROM)*('Dvd Calendar'!$AF$1638&lt;=GRID_TO)*((('Dvd Calendar'!$AF$1638&lt;=VAL_DATE)+(COUNTIF('Dvd Calendar'!$E$1645:$AR$1645,'Dvd Calendar'!$AF$1638)=0))&gt;0)=0,"",'Dvd Calendar'!$AF$1638*1000000000+ISNUMBER('Dvd Calendar'!$AF$1641)*100000000+('Dvd Calendar'!$AF$1643=SPECIAL_LBL)*10000000+(N('Dvd Calendar'!$AF$1637)&gt;0)*(N('Dvd Calendar'!$AF$1637)&lt;=VAL_SERIAL)*1000000+8*1000+28))</f>
        <v/>
      </c>
      <c r="FG167" s="121">
        <f>IF(N('Dvd Calendar'!$AG$1638)=0,"",IF(('Dvd Calendar'!$AG$1638&gt;=GRID_FROM)*('Dvd Calendar'!$AG$1638&lt;=GRID_TO)*((('Dvd Calendar'!$AG$1638&lt;=VAL_DATE)+(COUNTIF('Dvd Calendar'!$E$1645:$AR$1645,'Dvd Calendar'!$AG$1638)=0))&gt;0)=0,"",'Dvd Calendar'!$AG$1638*1000000000+ISNUMBER('Dvd Calendar'!$AG$1641)*100000000+('Dvd Calendar'!$AG$1643=SPECIAL_LBL)*10000000+(N('Dvd Calendar'!$AG$1637)&gt;0)*(N('Dvd Calendar'!$AG$1637)&lt;=VAL_SERIAL)*1000000+8*1000+29))</f>
        <v/>
      </c>
      <c r="FH167" s="121">
        <f>IF(N('Dvd Calendar'!$AH$1638)=0,"",IF(('Dvd Calendar'!$AH$1638&gt;=GRID_FROM)*('Dvd Calendar'!$AH$1638&lt;=GRID_TO)*((('Dvd Calendar'!$AH$1638&lt;=VAL_DATE)+(COUNTIF('Dvd Calendar'!$E$1645:$AR$1645,'Dvd Calendar'!$AH$1638)=0))&gt;0)=0,"",'Dvd Calendar'!$AH$1638*1000000000+ISNUMBER('Dvd Calendar'!$AH$1641)*100000000+('Dvd Calendar'!$AH$1643=SPECIAL_LBL)*10000000+(N('Dvd Calendar'!$AH$1637)&gt;0)*(N('Dvd Calendar'!$AH$1637)&lt;=VAL_SERIAL)*1000000+8*1000+30))</f>
        <v/>
      </c>
      <c r="FI167" s="121">
        <f>IF(N('Dvd Calendar'!$AI$1638)=0,"",IF(('Dvd Calendar'!$AI$1638&gt;=GRID_FROM)*('Dvd Calendar'!$AI$1638&lt;=GRID_TO)*((('Dvd Calendar'!$AI$1638&lt;=VAL_DATE)+(COUNTIF('Dvd Calendar'!$E$1645:$AR$1645,'Dvd Calendar'!$AI$1638)=0))&gt;0)=0,"",'Dvd Calendar'!$AI$1638*1000000000+ISNUMBER('Dvd Calendar'!$AI$1641)*100000000+('Dvd Calendar'!$AI$1643=SPECIAL_LBL)*10000000+(N('Dvd Calendar'!$AI$1637)&gt;0)*(N('Dvd Calendar'!$AI$1637)&lt;=VAL_SERIAL)*1000000+8*1000+31))</f>
        <v/>
      </c>
      <c r="FJ167" s="121">
        <f>IF(N('Dvd Calendar'!$AJ$1638)=0,"",IF(('Dvd Calendar'!$AJ$1638&gt;=GRID_FROM)*('Dvd Calendar'!$AJ$1638&lt;=GRID_TO)*((('Dvd Calendar'!$AJ$1638&lt;=VAL_DATE)+(COUNTIF('Dvd Calendar'!$E$1645:$AR$1645,'Dvd Calendar'!$AJ$1638)=0))&gt;0)=0,"",'Dvd Calendar'!$AJ$1638*1000000000+ISNUMBER('Dvd Calendar'!$AJ$1641)*100000000+('Dvd Calendar'!$AJ$1643=SPECIAL_LBL)*10000000+(N('Dvd Calendar'!$AJ$1637)&gt;0)*(N('Dvd Calendar'!$AJ$1637)&lt;=VAL_SERIAL)*1000000+8*1000+32))</f>
        <v/>
      </c>
      <c r="FK167" s="121">
        <f>IF(N('Dvd Calendar'!$AK$1638)=0,"",IF(('Dvd Calendar'!$AK$1638&gt;=GRID_FROM)*('Dvd Calendar'!$AK$1638&lt;=GRID_TO)*((('Dvd Calendar'!$AK$1638&lt;=VAL_DATE)+(COUNTIF('Dvd Calendar'!$E$1645:$AR$1645,'Dvd Calendar'!$AK$1638)=0))&gt;0)=0,"",'Dvd Calendar'!$AK$1638*1000000000+ISNUMBER('Dvd Calendar'!$AK$1641)*100000000+('Dvd Calendar'!$AK$1643=SPECIAL_LBL)*10000000+(N('Dvd Calendar'!$AK$1637)&gt;0)*(N('Dvd Calendar'!$AK$1637)&lt;=VAL_SERIAL)*1000000+8*1000+33))</f>
        <v/>
      </c>
      <c r="FL167" s="121">
        <f>IF(N('Dvd Calendar'!$AL$1638)=0,"",IF(('Dvd Calendar'!$AL$1638&gt;=GRID_FROM)*('Dvd Calendar'!$AL$1638&lt;=GRID_TO)*((('Dvd Calendar'!$AL$1638&lt;=VAL_DATE)+(COUNTIF('Dvd Calendar'!$E$1645:$AR$1645,'Dvd Calendar'!$AL$1638)=0))&gt;0)=0,"",'Dvd Calendar'!$AL$1638*1000000000+ISNUMBER('Dvd Calendar'!$AL$1641)*100000000+('Dvd Calendar'!$AL$1643=SPECIAL_LBL)*10000000+(N('Dvd Calendar'!$AL$1637)&gt;0)*(N('Dvd Calendar'!$AL$1637)&lt;=VAL_SERIAL)*1000000+8*1000+34))</f>
        <v/>
      </c>
      <c r="FM167" s="121">
        <f>IF(N('Dvd Calendar'!$AM$1638)=0,"",IF(('Dvd Calendar'!$AM$1638&gt;=GRID_FROM)*('Dvd Calendar'!$AM$1638&lt;=GRID_TO)*((('Dvd Calendar'!$AM$1638&lt;=VAL_DATE)+(COUNTIF('Dvd Calendar'!$E$1645:$AR$1645,'Dvd Calendar'!$AM$1638)=0))&gt;0)=0,"",'Dvd Calendar'!$AM$1638*1000000000+ISNUMBER('Dvd Calendar'!$AM$1641)*100000000+('Dvd Calendar'!$AM$1643=SPECIAL_LBL)*10000000+(N('Dvd Calendar'!$AM$1637)&gt;0)*(N('Dvd Calendar'!$AM$1637)&lt;=VAL_SERIAL)*1000000+8*1000+35))</f>
        <v/>
      </c>
      <c r="FN167" s="121">
        <f>IF(N('Dvd Calendar'!$AN$1638)=0,"",IF(('Dvd Calendar'!$AN$1638&gt;=GRID_FROM)*('Dvd Calendar'!$AN$1638&lt;=GRID_TO)*((('Dvd Calendar'!$AN$1638&lt;=VAL_DATE)+(COUNTIF('Dvd Calendar'!$E$1645:$AR$1645,'Dvd Calendar'!$AN$1638)=0))&gt;0)=0,"",'Dvd Calendar'!$AN$1638*1000000000+ISNUMBER('Dvd Calendar'!$AN$1641)*100000000+('Dvd Calendar'!$AN$1643=SPECIAL_LBL)*10000000+(N('Dvd Calendar'!$AN$1637)&gt;0)*(N('Dvd Calendar'!$AN$1637)&lt;=VAL_SERIAL)*1000000+8*1000+36))</f>
        <v/>
      </c>
      <c r="FO167" s="121">
        <f>IF(N('Dvd Calendar'!$AO$1638)=0,"",IF(('Dvd Calendar'!$AO$1638&gt;=GRID_FROM)*('Dvd Calendar'!$AO$1638&lt;=GRID_TO)*((('Dvd Calendar'!$AO$1638&lt;=VAL_DATE)+(COUNTIF('Dvd Calendar'!$E$1645:$AR$1645,'Dvd Calendar'!$AO$1638)=0))&gt;0)=0,"",'Dvd Calendar'!$AO$1638*1000000000+ISNUMBER('Dvd Calendar'!$AO$1641)*100000000+('Dvd Calendar'!$AO$1643=SPECIAL_LBL)*10000000+(N('Dvd Calendar'!$AO$1637)&gt;0)*(N('Dvd Calendar'!$AO$1637)&lt;=VAL_SERIAL)*1000000+8*1000+37))</f>
        <v/>
      </c>
      <c r="FP167" s="121">
        <f>IF(N('Dvd Calendar'!$AP$1638)=0,"",IF(('Dvd Calendar'!$AP$1638&gt;=GRID_FROM)*('Dvd Calendar'!$AP$1638&lt;=GRID_TO)*((('Dvd Calendar'!$AP$1638&lt;=VAL_DATE)+(COUNTIF('Dvd Calendar'!$E$1645:$AR$1645,'Dvd Calendar'!$AP$1638)=0))&gt;0)=0,"",'Dvd Calendar'!$AP$1638*1000000000+ISNUMBER('Dvd Calendar'!$AP$1641)*100000000+('Dvd Calendar'!$AP$1643=SPECIAL_LBL)*10000000+(N('Dvd Calendar'!$AP$1637)&gt;0)*(N('Dvd Calendar'!$AP$1637)&lt;=VAL_SERIAL)*1000000+8*1000+38))</f>
        <v/>
      </c>
      <c r="FQ167" s="121">
        <f>IF(N('Dvd Calendar'!$AQ$1638)=0,"",IF(('Dvd Calendar'!$AQ$1638&gt;=GRID_FROM)*('Dvd Calendar'!$AQ$1638&lt;=GRID_TO)*((('Dvd Calendar'!$AQ$1638&lt;=VAL_DATE)+(COUNTIF('Dvd Calendar'!$E$1645:$AR$1645,'Dvd Calendar'!$AQ$1638)=0))&gt;0)=0,"",'Dvd Calendar'!$AQ$1638*1000000000+ISNUMBER('Dvd Calendar'!$AQ$1641)*100000000+('Dvd Calendar'!$AQ$1643=SPECIAL_LBL)*10000000+(N('Dvd Calendar'!$AQ$1637)&gt;0)*(N('Dvd Calendar'!$AQ$1637)&lt;=VAL_SERIAL)*1000000+8*1000+39))</f>
        <v/>
      </c>
      <c r="FR167" s="121">
        <f>IF(N('Dvd Calendar'!$AR$1638)=0,"",IF(('Dvd Calendar'!$AR$1638&gt;=GRID_FROM)*('Dvd Calendar'!$AR$1638&lt;=GRID_TO)*((('Dvd Calendar'!$AR$1638&lt;=VAL_DATE)+(COUNTIF('Dvd Calendar'!$E$1645:$AR$1645,'Dvd Calendar'!$AR$1638)=0))&gt;0)=0,"",'Dvd Calendar'!$AR$1638*1000000000+ISNUMBER('Dvd Calendar'!$AR$1641)*100000000+('Dvd Calendar'!$AR$1643=SPECIAL_LBL)*10000000+(N('Dvd Calendar'!$AR$1637)&gt;0)*(N('Dvd Calendar'!$AR$1637)&lt;=VAL_SERIAL)*1000000+8*1000+40))</f>
        <v/>
      </c>
      <c r="FS167" s="121">
        <f>IF(N('Dvd Calendar'!$E$1645)=0,"",IF(('Dvd Calendar'!$E$1645&gt;=GRID_FROM)*('Dvd Calendar'!$E$1645&lt;=GRID_TO)*('Dvd Calendar'!$E$1645&gt;VAL_DATE)=0,"",'Dvd Calendar'!$E$1645*1000000000+ISNUMBER('Dvd Calendar'!$E$1646)*100000000+0*10000000+(N('Dvd Calendar'!$E$1644)&gt;0)*(N('Dvd Calendar'!$E$1644)&lt;=VAL_SERIAL)*1000000+8*1000+41))</f>
        <v/>
      </c>
      <c r="FT167" s="121">
        <f>IF(N('Dvd Calendar'!$F$1645)=0,"",IF(('Dvd Calendar'!$F$1645&gt;=GRID_FROM)*('Dvd Calendar'!$F$1645&lt;=GRID_TO)*('Dvd Calendar'!$F$1645&gt;VAL_DATE)=0,"",'Dvd Calendar'!$F$1645*1000000000+ISNUMBER('Dvd Calendar'!$F$1646)*100000000+0*10000000+(N('Dvd Calendar'!$F$1644)&gt;0)*(N('Dvd Calendar'!$F$1644)&lt;=VAL_SERIAL)*1000000+8*1000+42))</f>
        <v/>
      </c>
      <c r="FU167" s="121">
        <f>IF(N('Dvd Calendar'!$G$1645)=0,"",IF(('Dvd Calendar'!$G$1645&gt;=GRID_FROM)*('Dvd Calendar'!$G$1645&lt;=GRID_TO)*('Dvd Calendar'!$G$1645&gt;VAL_DATE)=0,"",'Dvd Calendar'!$G$1645*1000000000+ISNUMBER('Dvd Calendar'!$G$1646)*100000000+0*10000000+(N('Dvd Calendar'!$G$1644)&gt;0)*(N('Dvd Calendar'!$G$1644)&lt;=VAL_SERIAL)*1000000+8*1000+43))</f>
        <v/>
      </c>
      <c r="FV167" s="121">
        <f>IF(N('Dvd Calendar'!$H$1645)=0,"",IF(('Dvd Calendar'!$H$1645&gt;=GRID_FROM)*('Dvd Calendar'!$H$1645&lt;=GRID_TO)*('Dvd Calendar'!$H$1645&gt;VAL_DATE)=0,"",'Dvd Calendar'!$H$1645*1000000000+ISNUMBER('Dvd Calendar'!$H$1646)*100000000+0*10000000+(N('Dvd Calendar'!$H$1644)&gt;0)*(N('Dvd Calendar'!$H$1644)&lt;=VAL_SERIAL)*1000000+8*1000+44))</f>
        <v/>
      </c>
      <c r="FW167" s="121">
        <f>IF(N('Dvd Calendar'!$I$1645)=0,"",IF(('Dvd Calendar'!$I$1645&gt;=GRID_FROM)*('Dvd Calendar'!$I$1645&lt;=GRID_TO)*('Dvd Calendar'!$I$1645&gt;VAL_DATE)=0,"",'Dvd Calendar'!$I$1645*1000000000+ISNUMBER('Dvd Calendar'!$I$1646)*100000000+0*10000000+(N('Dvd Calendar'!$I$1644)&gt;0)*(N('Dvd Calendar'!$I$1644)&lt;=VAL_SERIAL)*1000000+8*1000+45))</f>
        <v/>
      </c>
      <c r="FX167" s="121">
        <f>IF(N('Dvd Calendar'!$J$1645)=0,"",IF(('Dvd Calendar'!$J$1645&gt;=GRID_FROM)*('Dvd Calendar'!$J$1645&lt;=GRID_TO)*('Dvd Calendar'!$J$1645&gt;VAL_DATE)=0,"",'Dvd Calendar'!$J$1645*1000000000+ISNUMBER('Dvd Calendar'!$J$1646)*100000000+0*10000000+(N('Dvd Calendar'!$J$1644)&gt;0)*(N('Dvd Calendar'!$J$1644)&lt;=VAL_SERIAL)*1000000+8*1000+46))</f>
        <v/>
      </c>
      <c r="FY167" s="121">
        <f>IF(N('Dvd Calendar'!$K$1645)=0,"",IF(('Dvd Calendar'!$K$1645&gt;=GRID_FROM)*('Dvd Calendar'!$K$1645&lt;=GRID_TO)*('Dvd Calendar'!$K$1645&gt;VAL_DATE)=0,"",'Dvd Calendar'!$K$1645*1000000000+ISNUMBER('Dvd Calendar'!$K$1646)*100000000+0*10000000+(N('Dvd Calendar'!$K$1644)&gt;0)*(N('Dvd Calendar'!$K$1644)&lt;=VAL_SERIAL)*1000000+8*1000+47))</f>
        <v/>
      </c>
      <c r="FZ167" s="121">
        <f>IF(N('Dvd Calendar'!$L$1645)=0,"",IF(('Dvd Calendar'!$L$1645&gt;=GRID_FROM)*('Dvd Calendar'!$L$1645&lt;=GRID_TO)*('Dvd Calendar'!$L$1645&gt;VAL_DATE)=0,"",'Dvd Calendar'!$L$1645*1000000000+ISNUMBER('Dvd Calendar'!$L$1646)*100000000+0*10000000+(N('Dvd Calendar'!$L$1644)&gt;0)*(N('Dvd Calendar'!$L$1644)&lt;=VAL_SERIAL)*1000000+8*1000+48))</f>
        <v/>
      </c>
      <c r="GA167" s="121">
        <f>IF(N('Dvd Calendar'!$M$1645)=0,"",IF(('Dvd Calendar'!$M$1645&gt;=GRID_FROM)*('Dvd Calendar'!$M$1645&lt;=GRID_TO)*('Dvd Calendar'!$M$1645&gt;VAL_DATE)=0,"",'Dvd Calendar'!$M$1645*1000000000+ISNUMBER('Dvd Calendar'!$M$1646)*100000000+0*10000000+(N('Dvd Calendar'!$M$1644)&gt;0)*(N('Dvd Calendar'!$M$1644)&lt;=VAL_SERIAL)*1000000+8*1000+49))</f>
        <v/>
      </c>
      <c r="GB167" s="121">
        <f>IF(N('Dvd Calendar'!$N$1645)=0,"",IF(('Dvd Calendar'!$N$1645&gt;=GRID_FROM)*('Dvd Calendar'!$N$1645&lt;=GRID_TO)*('Dvd Calendar'!$N$1645&gt;VAL_DATE)=0,"",'Dvd Calendar'!$N$1645*1000000000+ISNUMBER('Dvd Calendar'!$N$1646)*100000000+0*10000000+(N('Dvd Calendar'!$N$1644)&gt;0)*(N('Dvd Calendar'!$N$1644)&lt;=VAL_SERIAL)*1000000+8*1000+50))</f>
        <v/>
      </c>
      <c r="GC167" s="121">
        <f>IF(N('Dvd Calendar'!$O$1645)=0,"",IF(('Dvd Calendar'!$O$1645&gt;=GRID_FROM)*('Dvd Calendar'!$O$1645&lt;=GRID_TO)*('Dvd Calendar'!$O$1645&gt;VAL_DATE)=0,"",'Dvd Calendar'!$O$1645*1000000000+ISNUMBER('Dvd Calendar'!$O$1646)*100000000+0*10000000+(N('Dvd Calendar'!$O$1644)&gt;0)*(N('Dvd Calendar'!$O$1644)&lt;=VAL_SERIAL)*1000000+8*1000+51))</f>
        <v/>
      </c>
      <c r="GD167" s="121">
        <f>IF(N('Dvd Calendar'!$P$1645)=0,"",IF(('Dvd Calendar'!$P$1645&gt;=GRID_FROM)*('Dvd Calendar'!$P$1645&lt;=GRID_TO)*('Dvd Calendar'!$P$1645&gt;VAL_DATE)=0,"",'Dvd Calendar'!$P$1645*1000000000+ISNUMBER('Dvd Calendar'!$P$1646)*100000000+0*10000000+(N('Dvd Calendar'!$P$1644)&gt;0)*(N('Dvd Calendar'!$P$1644)&lt;=VAL_SERIAL)*1000000+8*1000+52))</f>
        <v/>
      </c>
      <c r="GE167" s="121">
        <f>IF(N('Dvd Calendar'!$Q$1645)=0,"",IF(('Dvd Calendar'!$Q$1645&gt;=GRID_FROM)*('Dvd Calendar'!$Q$1645&lt;=GRID_TO)*('Dvd Calendar'!$Q$1645&gt;VAL_DATE)=0,"",'Dvd Calendar'!$Q$1645*1000000000+ISNUMBER('Dvd Calendar'!$Q$1646)*100000000+0*10000000+(N('Dvd Calendar'!$Q$1644)&gt;0)*(N('Dvd Calendar'!$Q$1644)&lt;=VAL_SERIAL)*1000000+8*1000+53))</f>
        <v/>
      </c>
      <c r="GF167" s="121">
        <f>IF(N('Dvd Calendar'!$R$1645)=0,"",IF(('Dvd Calendar'!$R$1645&gt;=GRID_FROM)*('Dvd Calendar'!$R$1645&lt;=GRID_TO)*('Dvd Calendar'!$R$1645&gt;VAL_DATE)=0,"",'Dvd Calendar'!$R$1645*1000000000+ISNUMBER('Dvd Calendar'!$R$1646)*100000000+0*10000000+(N('Dvd Calendar'!$R$1644)&gt;0)*(N('Dvd Calendar'!$R$1644)&lt;=VAL_SERIAL)*1000000+8*1000+54))</f>
        <v/>
      </c>
      <c r="GG167" s="121">
        <f>IF(N('Dvd Calendar'!$S$1645)=0,"",IF(('Dvd Calendar'!$S$1645&gt;=GRID_FROM)*('Dvd Calendar'!$S$1645&lt;=GRID_TO)*('Dvd Calendar'!$S$1645&gt;VAL_DATE)=0,"",'Dvd Calendar'!$S$1645*1000000000+ISNUMBER('Dvd Calendar'!$S$1646)*100000000+0*10000000+(N('Dvd Calendar'!$S$1644)&gt;0)*(N('Dvd Calendar'!$S$1644)&lt;=VAL_SERIAL)*1000000+8*1000+55))</f>
        <v/>
      </c>
      <c r="GH167" s="121">
        <f>IF(N('Dvd Calendar'!$T$1645)=0,"",IF(('Dvd Calendar'!$T$1645&gt;=GRID_FROM)*('Dvd Calendar'!$T$1645&lt;=GRID_TO)*('Dvd Calendar'!$T$1645&gt;VAL_DATE)=0,"",'Dvd Calendar'!$T$1645*1000000000+ISNUMBER('Dvd Calendar'!$T$1646)*100000000+0*10000000+(N('Dvd Calendar'!$T$1644)&gt;0)*(N('Dvd Calendar'!$T$1644)&lt;=VAL_SERIAL)*1000000+8*1000+56))</f>
        <v/>
      </c>
      <c r="GI167" s="121">
        <f>IF(N('Dvd Calendar'!$U$1645)=0,"",IF(('Dvd Calendar'!$U$1645&gt;=GRID_FROM)*('Dvd Calendar'!$U$1645&lt;=GRID_TO)*('Dvd Calendar'!$U$1645&gt;VAL_DATE)=0,"",'Dvd Calendar'!$U$1645*1000000000+ISNUMBER('Dvd Calendar'!$U$1646)*100000000+0*10000000+(N('Dvd Calendar'!$U$1644)&gt;0)*(N('Dvd Calendar'!$U$1644)&lt;=VAL_SERIAL)*1000000+8*1000+57))</f>
        <v/>
      </c>
      <c r="GJ167" s="121">
        <f>IF(N('Dvd Calendar'!$V$1645)=0,"",IF(('Dvd Calendar'!$V$1645&gt;=GRID_FROM)*('Dvd Calendar'!$V$1645&lt;=GRID_TO)*('Dvd Calendar'!$V$1645&gt;VAL_DATE)=0,"",'Dvd Calendar'!$V$1645*1000000000+ISNUMBER('Dvd Calendar'!$V$1646)*100000000+0*10000000+(N('Dvd Calendar'!$V$1644)&gt;0)*(N('Dvd Calendar'!$V$1644)&lt;=VAL_SERIAL)*1000000+8*1000+58))</f>
        <v/>
      </c>
      <c r="GK167" s="121">
        <f>IF(N('Dvd Calendar'!$W$1645)=0,"",IF(('Dvd Calendar'!$W$1645&gt;=GRID_FROM)*('Dvd Calendar'!$W$1645&lt;=GRID_TO)*('Dvd Calendar'!$W$1645&gt;VAL_DATE)=0,"",'Dvd Calendar'!$W$1645*1000000000+ISNUMBER('Dvd Calendar'!$W$1646)*100000000+0*10000000+(N('Dvd Calendar'!$W$1644)&gt;0)*(N('Dvd Calendar'!$W$1644)&lt;=VAL_SERIAL)*1000000+8*1000+59))</f>
        <v/>
      </c>
      <c r="GL167" s="121">
        <f>IF(N('Dvd Calendar'!$X$1645)=0,"",IF(('Dvd Calendar'!$X$1645&gt;=GRID_FROM)*('Dvd Calendar'!$X$1645&lt;=GRID_TO)*('Dvd Calendar'!$X$1645&gt;VAL_DATE)=0,"",'Dvd Calendar'!$X$1645*1000000000+ISNUMBER('Dvd Calendar'!$X$1646)*100000000+0*10000000+(N('Dvd Calendar'!$X$1644)&gt;0)*(N('Dvd Calendar'!$X$1644)&lt;=VAL_SERIAL)*1000000+8*1000+60))</f>
        <v/>
      </c>
      <c r="GM167" s="121">
        <f>IF(N('Dvd Calendar'!$Y$1645)=0,"",IF(('Dvd Calendar'!$Y$1645&gt;=GRID_FROM)*('Dvd Calendar'!$Y$1645&lt;=GRID_TO)*('Dvd Calendar'!$Y$1645&gt;VAL_DATE)=0,"",'Dvd Calendar'!$Y$1645*1000000000+ISNUMBER('Dvd Calendar'!$Y$1646)*100000000+0*10000000+(N('Dvd Calendar'!$Y$1644)&gt;0)*(N('Dvd Calendar'!$Y$1644)&lt;=VAL_SERIAL)*1000000+8*1000+61))</f>
        <v/>
      </c>
      <c r="GN167" s="121">
        <f>IF(N('Dvd Calendar'!$Z$1645)=0,"",IF(('Dvd Calendar'!$Z$1645&gt;=GRID_FROM)*('Dvd Calendar'!$Z$1645&lt;=GRID_TO)*('Dvd Calendar'!$Z$1645&gt;VAL_DATE)=0,"",'Dvd Calendar'!$Z$1645*1000000000+ISNUMBER('Dvd Calendar'!$Z$1646)*100000000+0*10000000+(N('Dvd Calendar'!$Z$1644)&gt;0)*(N('Dvd Calendar'!$Z$1644)&lt;=VAL_SERIAL)*1000000+8*1000+62))</f>
        <v/>
      </c>
      <c r="GO167" s="121">
        <f>IF(N('Dvd Calendar'!$AA$1645)=0,"",IF(('Dvd Calendar'!$AA$1645&gt;=GRID_FROM)*('Dvd Calendar'!$AA$1645&lt;=GRID_TO)*('Dvd Calendar'!$AA$1645&gt;VAL_DATE)=0,"",'Dvd Calendar'!$AA$1645*1000000000+ISNUMBER('Dvd Calendar'!$AA$1646)*100000000+0*10000000+(N('Dvd Calendar'!$AA$1644)&gt;0)*(N('Dvd Calendar'!$AA$1644)&lt;=VAL_SERIAL)*1000000+8*1000+63))</f>
        <v/>
      </c>
      <c r="GP167" s="121">
        <f>IF(N('Dvd Calendar'!$AB$1645)=0,"",IF(('Dvd Calendar'!$AB$1645&gt;=GRID_FROM)*('Dvd Calendar'!$AB$1645&lt;=GRID_TO)*('Dvd Calendar'!$AB$1645&gt;VAL_DATE)=0,"",'Dvd Calendar'!$AB$1645*1000000000+ISNUMBER('Dvd Calendar'!$AB$1646)*100000000+0*10000000+(N('Dvd Calendar'!$AB$1644)&gt;0)*(N('Dvd Calendar'!$AB$1644)&lt;=VAL_SERIAL)*1000000+8*1000+64))</f>
        <v/>
      </c>
      <c r="GQ167" s="121">
        <f>IF(N('Dvd Calendar'!$AC$1645)=0,"",IF(('Dvd Calendar'!$AC$1645&gt;=GRID_FROM)*('Dvd Calendar'!$AC$1645&lt;=GRID_TO)*('Dvd Calendar'!$AC$1645&gt;VAL_DATE)=0,"",'Dvd Calendar'!$AC$1645*1000000000+ISNUMBER('Dvd Calendar'!$AC$1646)*100000000+0*10000000+(N('Dvd Calendar'!$AC$1644)&gt;0)*(N('Dvd Calendar'!$AC$1644)&lt;=VAL_SERIAL)*1000000+8*1000+65))</f>
        <v/>
      </c>
    </row>
    <row r="168">
      <c r="B168" s="2">
        <f>IF(HSCEI!$C$15="","",HSCEI!$C$15)</f>
        <v/>
      </c>
      <c r="C168" s="161">
        <f>IF(EE168="","",IF(ISNUMBER('Dvd Calendar'!$E$1652)=FALSE,"",IF((('Dvd Calendar'!$E$1654=TYPE1)*(TYPE1&lt;&gt;"")+('Dvd Calendar'!$E$1654=TYPE2)*(TYPE2&lt;&gt;"")+('Dvd Calendar'!$E$1654=TYPE3)*(TYPE3&lt;&gt;"")+('Dvd Calendar'!$E$1654=TYPE4)*(TYPE4&lt;&gt;"")+('Dvd Calendar'!$E$1654=SPECIAL_LBL)*(INC_SPECIALS="Y"))=0,"",'Dvd Calendar'!$E$1652)))</f>
        <v/>
      </c>
      <c r="D168" s="161">
        <f>IF(EF168="","",IF(ISNUMBER('Dvd Calendar'!$F$1652)=FALSE,"",IF((('Dvd Calendar'!$F$1654=TYPE1)*(TYPE1&lt;&gt;"")+('Dvd Calendar'!$F$1654=TYPE2)*(TYPE2&lt;&gt;"")+('Dvd Calendar'!$F$1654=TYPE3)*(TYPE3&lt;&gt;"")+('Dvd Calendar'!$F$1654=TYPE4)*(TYPE4&lt;&gt;"")+('Dvd Calendar'!$F$1654=SPECIAL_LBL)*(INC_SPECIALS="Y"))=0,"",'Dvd Calendar'!$F$1652)))</f>
        <v/>
      </c>
      <c r="E168" s="161">
        <f>IF(EG168="","",IF(ISNUMBER('Dvd Calendar'!$G$1652)=FALSE,"",IF((('Dvd Calendar'!$G$1654=TYPE1)*(TYPE1&lt;&gt;"")+('Dvd Calendar'!$G$1654=TYPE2)*(TYPE2&lt;&gt;"")+('Dvd Calendar'!$G$1654=TYPE3)*(TYPE3&lt;&gt;"")+('Dvd Calendar'!$G$1654=TYPE4)*(TYPE4&lt;&gt;"")+('Dvd Calendar'!$G$1654=SPECIAL_LBL)*(INC_SPECIALS="Y"))=0,"",'Dvd Calendar'!$G$1652)))</f>
        <v/>
      </c>
      <c r="F168" s="161">
        <f>IF(EH168="","",IF(ISNUMBER('Dvd Calendar'!$H$1652)=FALSE,"",IF((('Dvd Calendar'!$H$1654=TYPE1)*(TYPE1&lt;&gt;"")+('Dvd Calendar'!$H$1654=TYPE2)*(TYPE2&lt;&gt;"")+('Dvd Calendar'!$H$1654=TYPE3)*(TYPE3&lt;&gt;"")+('Dvd Calendar'!$H$1654=TYPE4)*(TYPE4&lt;&gt;"")+('Dvd Calendar'!$H$1654=SPECIAL_LBL)*(INC_SPECIALS="Y"))=0,"",'Dvd Calendar'!$H$1652)))</f>
        <v/>
      </c>
      <c r="G168" s="161">
        <f>IF(EI168="","",IF(ISNUMBER('Dvd Calendar'!$I$1652)=FALSE,"",IF((('Dvd Calendar'!$I$1654=TYPE1)*(TYPE1&lt;&gt;"")+('Dvd Calendar'!$I$1654=TYPE2)*(TYPE2&lt;&gt;"")+('Dvd Calendar'!$I$1654=TYPE3)*(TYPE3&lt;&gt;"")+('Dvd Calendar'!$I$1654=TYPE4)*(TYPE4&lt;&gt;"")+('Dvd Calendar'!$I$1654=SPECIAL_LBL)*(INC_SPECIALS="Y"))=0,"",'Dvd Calendar'!$I$1652)))</f>
        <v/>
      </c>
      <c r="H168" s="161">
        <f>IF(EJ168="","",IF(ISNUMBER('Dvd Calendar'!$J$1652)=FALSE,"",IF((('Dvd Calendar'!$J$1654=TYPE1)*(TYPE1&lt;&gt;"")+('Dvd Calendar'!$J$1654=TYPE2)*(TYPE2&lt;&gt;"")+('Dvd Calendar'!$J$1654=TYPE3)*(TYPE3&lt;&gt;"")+('Dvd Calendar'!$J$1654=TYPE4)*(TYPE4&lt;&gt;"")+('Dvd Calendar'!$J$1654=SPECIAL_LBL)*(INC_SPECIALS="Y"))=0,"",'Dvd Calendar'!$J$1652)))</f>
        <v/>
      </c>
      <c r="I168" s="161">
        <f>IF(EK168="","",IF(ISNUMBER('Dvd Calendar'!$K$1652)=FALSE,"",IF((('Dvd Calendar'!$K$1654=TYPE1)*(TYPE1&lt;&gt;"")+('Dvd Calendar'!$K$1654=TYPE2)*(TYPE2&lt;&gt;"")+('Dvd Calendar'!$K$1654=TYPE3)*(TYPE3&lt;&gt;"")+('Dvd Calendar'!$K$1654=TYPE4)*(TYPE4&lt;&gt;"")+('Dvd Calendar'!$K$1654=SPECIAL_LBL)*(INC_SPECIALS="Y"))=0,"",'Dvd Calendar'!$K$1652)))</f>
        <v/>
      </c>
      <c r="J168" s="161">
        <f>IF(EL168="","",IF(ISNUMBER('Dvd Calendar'!$L$1652)=FALSE,"",IF((('Dvd Calendar'!$L$1654=TYPE1)*(TYPE1&lt;&gt;"")+('Dvd Calendar'!$L$1654=TYPE2)*(TYPE2&lt;&gt;"")+('Dvd Calendar'!$L$1654=TYPE3)*(TYPE3&lt;&gt;"")+('Dvd Calendar'!$L$1654=TYPE4)*(TYPE4&lt;&gt;"")+('Dvd Calendar'!$L$1654=SPECIAL_LBL)*(INC_SPECIALS="Y"))=0,"",'Dvd Calendar'!$L$1652)))</f>
        <v/>
      </c>
      <c r="K168" s="161">
        <f>IF(EM168="","",IF(ISNUMBER('Dvd Calendar'!$M$1652)=FALSE,"",IF((('Dvd Calendar'!$M$1654=TYPE1)*(TYPE1&lt;&gt;"")+('Dvd Calendar'!$M$1654=TYPE2)*(TYPE2&lt;&gt;"")+('Dvd Calendar'!$M$1654=TYPE3)*(TYPE3&lt;&gt;"")+('Dvd Calendar'!$M$1654=TYPE4)*(TYPE4&lt;&gt;"")+('Dvd Calendar'!$M$1654=SPECIAL_LBL)*(INC_SPECIALS="Y"))=0,"",'Dvd Calendar'!$M$1652)))</f>
        <v/>
      </c>
      <c r="L168" s="161">
        <f>IF(EN168="","",IF(ISNUMBER('Dvd Calendar'!$N$1652)=FALSE,"",IF((('Dvd Calendar'!$N$1654=TYPE1)*(TYPE1&lt;&gt;"")+('Dvd Calendar'!$N$1654=TYPE2)*(TYPE2&lt;&gt;"")+('Dvd Calendar'!$N$1654=TYPE3)*(TYPE3&lt;&gt;"")+('Dvd Calendar'!$N$1654=TYPE4)*(TYPE4&lt;&gt;"")+('Dvd Calendar'!$N$1654=SPECIAL_LBL)*(INC_SPECIALS="Y"))=0,"",'Dvd Calendar'!$N$1652)))</f>
        <v/>
      </c>
      <c r="M168" s="161">
        <f>IF(EO168="","",IF(ISNUMBER('Dvd Calendar'!$O$1652)=FALSE,"",IF((('Dvd Calendar'!$O$1654=TYPE1)*(TYPE1&lt;&gt;"")+('Dvd Calendar'!$O$1654=TYPE2)*(TYPE2&lt;&gt;"")+('Dvd Calendar'!$O$1654=TYPE3)*(TYPE3&lt;&gt;"")+('Dvd Calendar'!$O$1654=TYPE4)*(TYPE4&lt;&gt;"")+('Dvd Calendar'!$O$1654=SPECIAL_LBL)*(INC_SPECIALS="Y"))=0,"",'Dvd Calendar'!$O$1652)))</f>
        <v/>
      </c>
      <c r="N168" s="161">
        <f>IF(EP168="","",IF(ISNUMBER('Dvd Calendar'!$P$1652)=FALSE,"",IF((('Dvd Calendar'!$P$1654=TYPE1)*(TYPE1&lt;&gt;"")+('Dvd Calendar'!$P$1654=TYPE2)*(TYPE2&lt;&gt;"")+('Dvd Calendar'!$P$1654=TYPE3)*(TYPE3&lt;&gt;"")+('Dvd Calendar'!$P$1654=TYPE4)*(TYPE4&lt;&gt;"")+('Dvd Calendar'!$P$1654=SPECIAL_LBL)*(INC_SPECIALS="Y"))=0,"",'Dvd Calendar'!$P$1652)))</f>
        <v/>
      </c>
      <c r="O168" s="161">
        <f>IF(EQ168="","",IF(ISNUMBER('Dvd Calendar'!$Q$1652)=FALSE,"",IF((('Dvd Calendar'!$Q$1654=TYPE1)*(TYPE1&lt;&gt;"")+('Dvd Calendar'!$Q$1654=TYPE2)*(TYPE2&lt;&gt;"")+('Dvd Calendar'!$Q$1654=TYPE3)*(TYPE3&lt;&gt;"")+('Dvd Calendar'!$Q$1654=TYPE4)*(TYPE4&lt;&gt;"")+('Dvd Calendar'!$Q$1654=SPECIAL_LBL)*(INC_SPECIALS="Y"))=0,"",'Dvd Calendar'!$Q$1652)))</f>
        <v/>
      </c>
      <c r="P168" s="161">
        <f>IF(ER168="","",IF(ISNUMBER('Dvd Calendar'!$R$1652)=FALSE,"",IF((('Dvd Calendar'!$R$1654=TYPE1)*(TYPE1&lt;&gt;"")+('Dvd Calendar'!$R$1654=TYPE2)*(TYPE2&lt;&gt;"")+('Dvd Calendar'!$R$1654=TYPE3)*(TYPE3&lt;&gt;"")+('Dvd Calendar'!$R$1654=TYPE4)*(TYPE4&lt;&gt;"")+('Dvd Calendar'!$R$1654=SPECIAL_LBL)*(INC_SPECIALS="Y"))=0,"",'Dvd Calendar'!$R$1652)))</f>
        <v/>
      </c>
      <c r="Q168" s="161">
        <f>IF(ES168="","",IF(ISNUMBER('Dvd Calendar'!$S$1652)=FALSE,"",IF((('Dvd Calendar'!$S$1654=TYPE1)*(TYPE1&lt;&gt;"")+('Dvd Calendar'!$S$1654=TYPE2)*(TYPE2&lt;&gt;"")+('Dvd Calendar'!$S$1654=TYPE3)*(TYPE3&lt;&gt;"")+('Dvd Calendar'!$S$1654=TYPE4)*(TYPE4&lt;&gt;"")+('Dvd Calendar'!$S$1654=SPECIAL_LBL)*(INC_SPECIALS="Y"))=0,"",'Dvd Calendar'!$S$1652)))</f>
        <v/>
      </c>
      <c r="R168" s="161">
        <f>IF(ET168="","",IF(ISNUMBER('Dvd Calendar'!$T$1652)=FALSE,"",IF((('Dvd Calendar'!$T$1654=TYPE1)*(TYPE1&lt;&gt;"")+('Dvd Calendar'!$T$1654=TYPE2)*(TYPE2&lt;&gt;"")+('Dvd Calendar'!$T$1654=TYPE3)*(TYPE3&lt;&gt;"")+('Dvd Calendar'!$T$1654=TYPE4)*(TYPE4&lt;&gt;"")+('Dvd Calendar'!$T$1654=SPECIAL_LBL)*(INC_SPECIALS="Y"))=0,"",'Dvd Calendar'!$T$1652)))</f>
        <v/>
      </c>
      <c r="S168" s="161">
        <f>IF(EU168="","",IF(ISNUMBER('Dvd Calendar'!$U$1652)=FALSE,"",IF((('Dvd Calendar'!$U$1654=TYPE1)*(TYPE1&lt;&gt;"")+('Dvd Calendar'!$U$1654=TYPE2)*(TYPE2&lt;&gt;"")+('Dvd Calendar'!$U$1654=TYPE3)*(TYPE3&lt;&gt;"")+('Dvd Calendar'!$U$1654=TYPE4)*(TYPE4&lt;&gt;"")+('Dvd Calendar'!$U$1654=SPECIAL_LBL)*(INC_SPECIALS="Y"))=0,"",'Dvd Calendar'!$U$1652)))</f>
        <v/>
      </c>
      <c r="T168" s="161">
        <f>IF(EV168="","",IF(ISNUMBER('Dvd Calendar'!$V$1652)=FALSE,"",IF((('Dvd Calendar'!$V$1654=TYPE1)*(TYPE1&lt;&gt;"")+('Dvd Calendar'!$V$1654=TYPE2)*(TYPE2&lt;&gt;"")+('Dvd Calendar'!$V$1654=TYPE3)*(TYPE3&lt;&gt;"")+('Dvd Calendar'!$V$1654=TYPE4)*(TYPE4&lt;&gt;"")+('Dvd Calendar'!$V$1654=SPECIAL_LBL)*(INC_SPECIALS="Y"))=0,"",'Dvd Calendar'!$V$1652)))</f>
        <v/>
      </c>
      <c r="U168" s="161">
        <f>IF(EW168="","",IF(ISNUMBER('Dvd Calendar'!$W$1652)=FALSE,"",IF((('Dvd Calendar'!$W$1654=TYPE1)*(TYPE1&lt;&gt;"")+('Dvd Calendar'!$W$1654=TYPE2)*(TYPE2&lt;&gt;"")+('Dvd Calendar'!$W$1654=TYPE3)*(TYPE3&lt;&gt;"")+('Dvd Calendar'!$W$1654=TYPE4)*(TYPE4&lt;&gt;"")+('Dvd Calendar'!$W$1654=SPECIAL_LBL)*(INC_SPECIALS="Y"))=0,"",'Dvd Calendar'!$W$1652)))</f>
        <v/>
      </c>
      <c r="V168" s="161">
        <f>IF(EX168="","",IF(ISNUMBER('Dvd Calendar'!$X$1652)=FALSE,"",IF((('Dvd Calendar'!$X$1654=TYPE1)*(TYPE1&lt;&gt;"")+('Dvd Calendar'!$X$1654=TYPE2)*(TYPE2&lt;&gt;"")+('Dvd Calendar'!$X$1654=TYPE3)*(TYPE3&lt;&gt;"")+('Dvd Calendar'!$X$1654=TYPE4)*(TYPE4&lt;&gt;"")+('Dvd Calendar'!$X$1654=SPECIAL_LBL)*(INC_SPECIALS="Y"))=0,"",'Dvd Calendar'!$X$1652)))</f>
        <v/>
      </c>
      <c r="W168" s="161">
        <f>IF(EY168="","",IF(ISNUMBER('Dvd Calendar'!$Y$1652)=FALSE,"",IF((('Dvd Calendar'!$Y$1654=TYPE1)*(TYPE1&lt;&gt;"")+('Dvd Calendar'!$Y$1654=TYPE2)*(TYPE2&lt;&gt;"")+('Dvd Calendar'!$Y$1654=TYPE3)*(TYPE3&lt;&gt;"")+('Dvd Calendar'!$Y$1654=TYPE4)*(TYPE4&lt;&gt;"")+('Dvd Calendar'!$Y$1654=SPECIAL_LBL)*(INC_SPECIALS="Y"))=0,"",'Dvd Calendar'!$Y$1652)))</f>
        <v/>
      </c>
      <c r="X168" s="161">
        <f>IF(EZ168="","",IF(ISNUMBER('Dvd Calendar'!$Z$1652)=FALSE,"",IF((('Dvd Calendar'!$Z$1654=TYPE1)*(TYPE1&lt;&gt;"")+('Dvd Calendar'!$Z$1654=TYPE2)*(TYPE2&lt;&gt;"")+('Dvd Calendar'!$Z$1654=TYPE3)*(TYPE3&lt;&gt;"")+('Dvd Calendar'!$Z$1654=TYPE4)*(TYPE4&lt;&gt;"")+('Dvd Calendar'!$Z$1654=SPECIAL_LBL)*(INC_SPECIALS="Y"))=0,"",'Dvd Calendar'!$Z$1652)))</f>
        <v/>
      </c>
      <c r="Y168" s="161">
        <f>IF(FA168="","",IF(ISNUMBER('Dvd Calendar'!$AA$1652)=FALSE,"",IF((('Dvd Calendar'!$AA$1654=TYPE1)*(TYPE1&lt;&gt;"")+('Dvd Calendar'!$AA$1654=TYPE2)*(TYPE2&lt;&gt;"")+('Dvd Calendar'!$AA$1654=TYPE3)*(TYPE3&lt;&gt;"")+('Dvd Calendar'!$AA$1654=TYPE4)*(TYPE4&lt;&gt;"")+('Dvd Calendar'!$AA$1654=SPECIAL_LBL)*(INC_SPECIALS="Y"))=0,"",'Dvd Calendar'!$AA$1652)))</f>
        <v/>
      </c>
      <c r="Z168" s="161">
        <f>IF(FB168="","",IF(ISNUMBER('Dvd Calendar'!$AB$1652)=FALSE,"",IF((('Dvd Calendar'!$AB$1654=TYPE1)*(TYPE1&lt;&gt;"")+('Dvd Calendar'!$AB$1654=TYPE2)*(TYPE2&lt;&gt;"")+('Dvd Calendar'!$AB$1654=TYPE3)*(TYPE3&lt;&gt;"")+('Dvd Calendar'!$AB$1654=TYPE4)*(TYPE4&lt;&gt;"")+('Dvd Calendar'!$AB$1654=SPECIAL_LBL)*(INC_SPECIALS="Y"))=0,"",'Dvd Calendar'!$AB$1652)))</f>
        <v/>
      </c>
      <c r="AA168" s="161">
        <f>IF(FC168="","",IF(ISNUMBER('Dvd Calendar'!$AC$1652)=FALSE,"",IF((('Dvd Calendar'!$AC$1654=TYPE1)*(TYPE1&lt;&gt;"")+('Dvd Calendar'!$AC$1654=TYPE2)*(TYPE2&lt;&gt;"")+('Dvd Calendar'!$AC$1654=TYPE3)*(TYPE3&lt;&gt;"")+('Dvd Calendar'!$AC$1654=TYPE4)*(TYPE4&lt;&gt;"")+('Dvd Calendar'!$AC$1654=SPECIAL_LBL)*(INC_SPECIALS="Y"))=0,"",'Dvd Calendar'!$AC$1652)))</f>
        <v/>
      </c>
      <c r="AB168" s="161">
        <f>IF(FD168="","",IF(ISNUMBER('Dvd Calendar'!$AD$1652)=FALSE,"",IF((('Dvd Calendar'!$AD$1654=TYPE1)*(TYPE1&lt;&gt;"")+('Dvd Calendar'!$AD$1654=TYPE2)*(TYPE2&lt;&gt;"")+('Dvd Calendar'!$AD$1654=TYPE3)*(TYPE3&lt;&gt;"")+('Dvd Calendar'!$AD$1654=TYPE4)*(TYPE4&lt;&gt;"")+('Dvd Calendar'!$AD$1654=SPECIAL_LBL)*(INC_SPECIALS="Y"))=0,"",'Dvd Calendar'!$AD$1652)))</f>
        <v/>
      </c>
      <c r="AC168" s="161">
        <f>IF(FE168="","",IF(ISNUMBER('Dvd Calendar'!$AE$1652)=FALSE,"",IF((('Dvd Calendar'!$AE$1654=TYPE1)*(TYPE1&lt;&gt;"")+('Dvd Calendar'!$AE$1654=TYPE2)*(TYPE2&lt;&gt;"")+('Dvd Calendar'!$AE$1654=TYPE3)*(TYPE3&lt;&gt;"")+('Dvd Calendar'!$AE$1654=TYPE4)*(TYPE4&lt;&gt;"")+('Dvd Calendar'!$AE$1654=SPECIAL_LBL)*(INC_SPECIALS="Y"))=0,"",'Dvd Calendar'!$AE$1652)))</f>
        <v/>
      </c>
      <c r="AD168" s="161">
        <f>IF(FF168="","",IF(ISNUMBER('Dvd Calendar'!$AF$1652)=FALSE,"",IF((('Dvd Calendar'!$AF$1654=TYPE1)*(TYPE1&lt;&gt;"")+('Dvd Calendar'!$AF$1654=TYPE2)*(TYPE2&lt;&gt;"")+('Dvd Calendar'!$AF$1654=TYPE3)*(TYPE3&lt;&gt;"")+('Dvd Calendar'!$AF$1654=TYPE4)*(TYPE4&lt;&gt;"")+('Dvd Calendar'!$AF$1654=SPECIAL_LBL)*(INC_SPECIALS="Y"))=0,"",'Dvd Calendar'!$AF$1652)))</f>
        <v/>
      </c>
      <c r="AE168" s="161">
        <f>IF(FG168="","",IF(ISNUMBER('Dvd Calendar'!$AG$1652)=FALSE,"",IF((('Dvd Calendar'!$AG$1654=TYPE1)*(TYPE1&lt;&gt;"")+('Dvd Calendar'!$AG$1654=TYPE2)*(TYPE2&lt;&gt;"")+('Dvd Calendar'!$AG$1654=TYPE3)*(TYPE3&lt;&gt;"")+('Dvd Calendar'!$AG$1654=TYPE4)*(TYPE4&lt;&gt;"")+('Dvd Calendar'!$AG$1654=SPECIAL_LBL)*(INC_SPECIALS="Y"))=0,"",'Dvd Calendar'!$AG$1652)))</f>
        <v/>
      </c>
      <c r="AF168" s="161">
        <f>IF(FH168="","",IF(ISNUMBER('Dvd Calendar'!$AH$1652)=FALSE,"",IF((('Dvd Calendar'!$AH$1654=TYPE1)*(TYPE1&lt;&gt;"")+('Dvd Calendar'!$AH$1654=TYPE2)*(TYPE2&lt;&gt;"")+('Dvd Calendar'!$AH$1654=TYPE3)*(TYPE3&lt;&gt;"")+('Dvd Calendar'!$AH$1654=TYPE4)*(TYPE4&lt;&gt;"")+('Dvd Calendar'!$AH$1654=SPECIAL_LBL)*(INC_SPECIALS="Y"))=0,"",'Dvd Calendar'!$AH$1652)))</f>
        <v/>
      </c>
      <c r="AG168" s="161">
        <f>IF(FI168="","",IF(ISNUMBER('Dvd Calendar'!$AI$1652)=FALSE,"",IF((('Dvd Calendar'!$AI$1654=TYPE1)*(TYPE1&lt;&gt;"")+('Dvd Calendar'!$AI$1654=TYPE2)*(TYPE2&lt;&gt;"")+('Dvd Calendar'!$AI$1654=TYPE3)*(TYPE3&lt;&gt;"")+('Dvd Calendar'!$AI$1654=TYPE4)*(TYPE4&lt;&gt;"")+('Dvd Calendar'!$AI$1654=SPECIAL_LBL)*(INC_SPECIALS="Y"))=0,"",'Dvd Calendar'!$AI$1652)))</f>
        <v/>
      </c>
      <c r="AH168" s="161">
        <f>IF(FJ168="","",IF(ISNUMBER('Dvd Calendar'!$AJ$1652)=FALSE,"",IF((('Dvd Calendar'!$AJ$1654=TYPE1)*(TYPE1&lt;&gt;"")+('Dvd Calendar'!$AJ$1654=TYPE2)*(TYPE2&lt;&gt;"")+('Dvd Calendar'!$AJ$1654=TYPE3)*(TYPE3&lt;&gt;"")+('Dvd Calendar'!$AJ$1654=TYPE4)*(TYPE4&lt;&gt;"")+('Dvd Calendar'!$AJ$1654=SPECIAL_LBL)*(INC_SPECIALS="Y"))=0,"",'Dvd Calendar'!$AJ$1652)))</f>
        <v/>
      </c>
      <c r="AI168" s="161">
        <f>IF(FK168="","",IF(ISNUMBER('Dvd Calendar'!$AK$1652)=FALSE,"",IF((('Dvd Calendar'!$AK$1654=TYPE1)*(TYPE1&lt;&gt;"")+('Dvd Calendar'!$AK$1654=TYPE2)*(TYPE2&lt;&gt;"")+('Dvd Calendar'!$AK$1654=TYPE3)*(TYPE3&lt;&gt;"")+('Dvd Calendar'!$AK$1654=TYPE4)*(TYPE4&lt;&gt;"")+('Dvd Calendar'!$AK$1654=SPECIAL_LBL)*(INC_SPECIALS="Y"))=0,"",'Dvd Calendar'!$AK$1652)))</f>
        <v/>
      </c>
      <c r="AJ168" s="161">
        <f>IF(FL168="","",IF(ISNUMBER('Dvd Calendar'!$AL$1652)=FALSE,"",IF((('Dvd Calendar'!$AL$1654=TYPE1)*(TYPE1&lt;&gt;"")+('Dvd Calendar'!$AL$1654=TYPE2)*(TYPE2&lt;&gt;"")+('Dvd Calendar'!$AL$1654=TYPE3)*(TYPE3&lt;&gt;"")+('Dvd Calendar'!$AL$1654=TYPE4)*(TYPE4&lt;&gt;"")+('Dvd Calendar'!$AL$1654=SPECIAL_LBL)*(INC_SPECIALS="Y"))=0,"",'Dvd Calendar'!$AL$1652)))</f>
        <v/>
      </c>
      <c r="AK168" s="161">
        <f>IF(FM168="","",IF(ISNUMBER('Dvd Calendar'!$AM$1652)=FALSE,"",IF((('Dvd Calendar'!$AM$1654=TYPE1)*(TYPE1&lt;&gt;"")+('Dvd Calendar'!$AM$1654=TYPE2)*(TYPE2&lt;&gt;"")+('Dvd Calendar'!$AM$1654=TYPE3)*(TYPE3&lt;&gt;"")+('Dvd Calendar'!$AM$1654=TYPE4)*(TYPE4&lt;&gt;"")+('Dvd Calendar'!$AM$1654=SPECIAL_LBL)*(INC_SPECIALS="Y"))=0,"",'Dvd Calendar'!$AM$1652)))</f>
        <v/>
      </c>
      <c r="AL168" s="161">
        <f>IF(FN168="","",IF(ISNUMBER('Dvd Calendar'!$AN$1652)=FALSE,"",IF((('Dvd Calendar'!$AN$1654=TYPE1)*(TYPE1&lt;&gt;"")+('Dvd Calendar'!$AN$1654=TYPE2)*(TYPE2&lt;&gt;"")+('Dvd Calendar'!$AN$1654=TYPE3)*(TYPE3&lt;&gt;"")+('Dvd Calendar'!$AN$1654=TYPE4)*(TYPE4&lt;&gt;"")+('Dvd Calendar'!$AN$1654=SPECIAL_LBL)*(INC_SPECIALS="Y"))=0,"",'Dvd Calendar'!$AN$1652)))</f>
        <v/>
      </c>
      <c r="AM168" s="161">
        <f>IF(FO168="","",IF(ISNUMBER('Dvd Calendar'!$AO$1652)=FALSE,"",IF((('Dvd Calendar'!$AO$1654=TYPE1)*(TYPE1&lt;&gt;"")+('Dvd Calendar'!$AO$1654=TYPE2)*(TYPE2&lt;&gt;"")+('Dvd Calendar'!$AO$1654=TYPE3)*(TYPE3&lt;&gt;"")+('Dvd Calendar'!$AO$1654=TYPE4)*(TYPE4&lt;&gt;"")+('Dvd Calendar'!$AO$1654=SPECIAL_LBL)*(INC_SPECIALS="Y"))=0,"",'Dvd Calendar'!$AO$1652)))</f>
        <v/>
      </c>
      <c r="AN168" s="161">
        <f>IF(FP168="","",IF(ISNUMBER('Dvd Calendar'!$AP$1652)=FALSE,"",IF((('Dvd Calendar'!$AP$1654=TYPE1)*(TYPE1&lt;&gt;"")+('Dvd Calendar'!$AP$1654=TYPE2)*(TYPE2&lt;&gt;"")+('Dvd Calendar'!$AP$1654=TYPE3)*(TYPE3&lt;&gt;"")+('Dvd Calendar'!$AP$1654=TYPE4)*(TYPE4&lt;&gt;"")+('Dvd Calendar'!$AP$1654=SPECIAL_LBL)*(INC_SPECIALS="Y"))=0,"",'Dvd Calendar'!$AP$1652)))</f>
        <v/>
      </c>
      <c r="AO168" s="161">
        <f>IF(FQ168="","",IF(ISNUMBER('Dvd Calendar'!$AQ$1652)=FALSE,"",IF((('Dvd Calendar'!$AQ$1654=TYPE1)*(TYPE1&lt;&gt;"")+('Dvd Calendar'!$AQ$1654=TYPE2)*(TYPE2&lt;&gt;"")+('Dvd Calendar'!$AQ$1654=TYPE3)*(TYPE3&lt;&gt;"")+('Dvd Calendar'!$AQ$1654=TYPE4)*(TYPE4&lt;&gt;"")+('Dvd Calendar'!$AQ$1654=SPECIAL_LBL)*(INC_SPECIALS="Y"))=0,"",'Dvd Calendar'!$AQ$1652)))</f>
        <v/>
      </c>
      <c r="AP168" s="161">
        <f>IF(FR168="","",IF(ISNUMBER('Dvd Calendar'!$AR$1652)=FALSE,"",IF((('Dvd Calendar'!$AR$1654=TYPE1)*(TYPE1&lt;&gt;"")+('Dvd Calendar'!$AR$1654=TYPE2)*(TYPE2&lt;&gt;"")+('Dvd Calendar'!$AR$1654=TYPE3)*(TYPE3&lt;&gt;"")+('Dvd Calendar'!$AR$1654=TYPE4)*(TYPE4&lt;&gt;"")+('Dvd Calendar'!$AR$1654=SPECIAL_LBL)*(INC_SPECIALS="Y"))=0,"",'Dvd Calendar'!$AR$1652)))</f>
        <v/>
      </c>
      <c r="AQ168" s="161">
        <f>IF(FS168="","",IF(ISNUMBER('Dvd Calendar'!$E$1657)=FALSE,"",'Dvd Calendar'!$E$1657))</f>
        <v/>
      </c>
      <c r="AR168" s="161">
        <f>IF(FT168="","",IF(ISNUMBER('Dvd Calendar'!$F$1657)=FALSE,"",'Dvd Calendar'!$F$1657))</f>
        <v/>
      </c>
      <c r="AS168" s="161">
        <f>IF(FU168="","",IF(ISNUMBER('Dvd Calendar'!$G$1657)=FALSE,"",'Dvd Calendar'!$G$1657))</f>
        <v/>
      </c>
      <c r="AT168" s="161">
        <f>IF(FV168="","",IF(ISNUMBER('Dvd Calendar'!$H$1657)=FALSE,"",'Dvd Calendar'!$H$1657))</f>
        <v/>
      </c>
      <c r="AU168" s="161">
        <f>IF(FW168="","",IF(ISNUMBER('Dvd Calendar'!$I$1657)=FALSE,"",'Dvd Calendar'!$I$1657))</f>
        <v/>
      </c>
      <c r="AV168" s="161">
        <f>IF(FX168="","",IF(ISNUMBER('Dvd Calendar'!$J$1657)=FALSE,"",'Dvd Calendar'!$J$1657))</f>
        <v/>
      </c>
      <c r="AW168" s="161">
        <f>IF(FY168="","",IF(ISNUMBER('Dvd Calendar'!$K$1657)=FALSE,"",'Dvd Calendar'!$K$1657))</f>
        <v/>
      </c>
      <c r="AX168" s="161">
        <f>IF(FZ168="","",IF(ISNUMBER('Dvd Calendar'!$L$1657)=FALSE,"",'Dvd Calendar'!$L$1657))</f>
        <v/>
      </c>
      <c r="AY168" s="161">
        <f>IF(GA168="","",IF(ISNUMBER('Dvd Calendar'!$M$1657)=FALSE,"",'Dvd Calendar'!$M$1657))</f>
        <v/>
      </c>
      <c r="AZ168" s="161">
        <f>IF(GB168="","",IF(ISNUMBER('Dvd Calendar'!$N$1657)=FALSE,"",'Dvd Calendar'!$N$1657))</f>
        <v/>
      </c>
      <c r="BA168" s="161">
        <f>IF(GC168="","",IF(ISNUMBER('Dvd Calendar'!$O$1657)=FALSE,"",'Dvd Calendar'!$O$1657))</f>
        <v/>
      </c>
      <c r="BB168" s="161">
        <f>IF(GD168="","",IF(ISNUMBER('Dvd Calendar'!$P$1657)=FALSE,"",'Dvd Calendar'!$P$1657))</f>
        <v/>
      </c>
      <c r="BC168" s="161">
        <f>IF(GE168="","",IF(ISNUMBER('Dvd Calendar'!$Q$1657)=FALSE,"",'Dvd Calendar'!$Q$1657))</f>
        <v/>
      </c>
      <c r="BD168" s="161">
        <f>IF(GF168="","",IF(ISNUMBER('Dvd Calendar'!$R$1657)=FALSE,"",'Dvd Calendar'!$R$1657))</f>
        <v/>
      </c>
      <c r="BE168" s="161">
        <f>IF(GG168="","",IF(ISNUMBER('Dvd Calendar'!$S$1657)=FALSE,"",'Dvd Calendar'!$S$1657))</f>
        <v/>
      </c>
      <c r="BF168" s="161">
        <f>IF(GH168="","",IF(ISNUMBER('Dvd Calendar'!$T$1657)=FALSE,"",'Dvd Calendar'!$T$1657))</f>
        <v/>
      </c>
      <c r="BG168" s="161">
        <f>IF(GI168="","",IF(ISNUMBER('Dvd Calendar'!$U$1657)=FALSE,"",'Dvd Calendar'!$U$1657))</f>
        <v/>
      </c>
      <c r="BH168" s="161">
        <f>IF(GJ168="","",IF(ISNUMBER('Dvd Calendar'!$V$1657)=FALSE,"",'Dvd Calendar'!$V$1657))</f>
        <v/>
      </c>
      <c r="BI168" s="161">
        <f>IF(GK168="","",IF(ISNUMBER('Dvd Calendar'!$W$1657)=FALSE,"",'Dvd Calendar'!$W$1657))</f>
        <v/>
      </c>
      <c r="BJ168" s="161">
        <f>IF(GL168="","",IF(ISNUMBER('Dvd Calendar'!$X$1657)=FALSE,"",'Dvd Calendar'!$X$1657))</f>
        <v/>
      </c>
      <c r="BK168" s="161">
        <f>IF(GM168="","",IF(ISNUMBER('Dvd Calendar'!$Y$1657)=FALSE,"",'Dvd Calendar'!$Y$1657))</f>
        <v/>
      </c>
      <c r="BL168" s="161">
        <f>IF(GN168="","",IF(ISNUMBER('Dvd Calendar'!$Z$1657)=FALSE,"",'Dvd Calendar'!$Z$1657))</f>
        <v/>
      </c>
      <c r="BM168" s="161">
        <f>IF(GO168="","",IF(ISNUMBER('Dvd Calendar'!$AA$1657)=FALSE,"",'Dvd Calendar'!$AA$1657))</f>
        <v/>
      </c>
      <c r="BN168" s="161">
        <f>IF(GP168="","",IF(ISNUMBER('Dvd Calendar'!$AB$1657)=FALSE,"",'Dvd Calendar'!$AB$1657))</f>
        <v/>
      </c>
      <c r="BO168" s="161">
        <f>IF(GQ168="","",IF(ISNUMBER('Dvd Calendar'!$AC$1657)=FALSE,"",'Dvd Calendar'!$AC$1657))</f>
        <v/>
      </c>
      <c r="BQ168" s="161">
        <f>IF(C168="","",IFERROR(C168*HSCEI!$B$15*HSCEI!$G$15/HSCEI!$B$3,""))</f>
        <v/>
      </c>
      <c r="BR168" s="161">
        <f>IF(D168="","",IFERROR(D168*HSCEI!$B$15*HSCEI!$G$15/HSCEI!$B$3,""))</f>
        <v/>
      </c>
      <c r="BS168" s="161">
        <f>IF(E168="","",IFERROR(E168*HSCEI!$B$15*HSCEI!$G$15/HSCEI!$B$3,""))</f>
        <v/>
      </c>
      <c r="BT168" s="161">
        <f>IF(F168="","",IFERROR(F168*HSCEI!$B$15*HSCEI!$G$15/HSCEI!$B$3,""))</f>
        <v/>
      </c>
      <c r="BU168" s="161">
        <f>IF(G168="","",IFERROR(G168*HSCEI!$B$15*HSCEI!$G$15/HSCEI!$B$3,""))</f>
        <v/>
      </c>
      <c r="BV168" s="161">
        <f>IF(H168="","",IFERROR(H168*HSCEI!$B$15*HSCEI!$G$15/HSCEI!$B$3,""))</f>
        <v/>
      </c>
      <c r="BW168" s="161">
        <f>IF(I168="","",IFERROR(I168*HSCEI!$B$15*HSCEI!$G$15/HSCEI!$B$3,""))</f>
        <v/>
      </c>
      <c r="BX168" s="161">
        <f>IF(J168="","",IFERROR(J168*HSCEI!$B$15*HSCEI!$G$15/HSCEI!$B$3,""))</f>
        <v/>
      </c>
      <c r="BY168" s="161">
        <f>IF(K168="","",IFERROR(K168*HSCEI!$B$15*HSCEI!$G$15/HSCEI!$B$3,""))</f>
        <v/>
      </c>
      <c r="BZ168" s="161">
        <f>IF(L168="","",IFERROR(L168*HSCEI!$B$15*HSCEI!$G$15/HSCEI!$B$3,""))</f>
        <v/>
      </c>
      <c r="CA168" s="161">
        <f>IF(M168="","",IFERROR(M168*HSCEI!$B$15*HSCEI!$G$15/HSCEI!$B$3,""))</f>
        <v/>
      </c>
      <c r="CB168" s="161">
        <f>IF(N168="","",IFERROR(N168*HSCEI!$B$15*HSCEI!$G$15/HSCEI!$B$3,""))</f>
        <v/>
      </c>
      <c r="CC168" s="161">
        <f>IF(O168="","",IFERROR(O168*HSCEI!$B$15*HSCEI!$G$15/HSCEI!$B$3,""))</f>
        <v/>
      </c>
      <c r="CD168" s="161">
        <f>IF(P168="","",IFERROR(P168*HSCEI!$B$15*HSCEI!$G$15/HSCEI!$B$3,""))</f>
        <v/>
      </c>
      <c r="CE168" s="161">
        <f>IF(Q168="","",IFERROR(Q168*HSCEI!$B$15*HSCEI!$G$15/HSCEI!$B$3,""))</f>
        <v/>
      </c>
      <c r="CF168" s="161">
        <f>IF(R168="","",IFERROR(R168*HSCEI!$B$15*HSCEI!$G$15/HSCEI!$B$3,""))</f>
        <v/>
      </c>
      <c r="CG168" s="161">
        <f>IF(S168="","",IFERROR(S168*HSCEI!$B$15*HSCEI!$G$15/HSCEI!$B$3,""))</f>
        <v/>
      </c>
      <c r="CH168" s="161">
        <f>IF(T168="","",IFERROR(T168*HSCEI!$B$15*HSCEI!$G$15/HSCEI!$B$3,""))</f>
        <v/>
      </c>
      <c r="CI168" s="161">
        <f>IF(U168="","",IFERROR(U168*HSCEI!$B$15*HSCEI!$G$15/HSCEI!$B$3,""))</f>
        <v/>
      </c>
      <c r="CJ168" s="161">
        <f>IF(V168="","",IFERROR(V168*HSCEI!$B$15*HSCEI!$G$15/HSCEI!$B$3,""))</f>
        <v/>
      </c>
      <c r="CK168" s="161">
        <f>IF(W168="","",IFERROR(W168*HSCEI!$B$15*HSCEI!$G$15/HSCEI!$B$3,""))</f>
        <v/>
      </c>
      <c r="CL168" s="161">
        <f>IF(X168="","",IFERROR(X168*HSCEI!$B$15*HSCEI!$G$15/HSCEI!$B$3,""))</f>
        <v/>
      </c>
      <c r="CM168" s="161">
        <f>IF(Y168="","",IFERROR(Y168*HSCEI!$B$15*HSCEI!$G$15/HSCEI!$B$3,""))</f>
        <v/>
      </c>
      <c r="CN168" s="161">
        <f>IF(Z168="","",IFERROR(Z168*HSCEI!$B$15*HSCEI!$G$15/HSCEI!$B$3,""))</f>
        <v/>
      </c>
      <c r="CO168" s="161">
        <f>IF(AA168="","",IFERROR(AA168*HSCEI!$B$15*HSCEI!$G$15/HSCEI!$B$3,""))</f>
        <v/>
      </c>
      <c r="CP168" s="161">
        <f>IF(AB168="","",IFERROR(AB168*HSCEI!$B$15*HSCEI!$G$15/HSCEI!$B$3,""))</f>
        <v/>
      </c>
      <c r="CQ168" s="161">
        <f>IF(AC168="","",IFERROR(AC168*HSCEI!$B$15*HSCEI!$G$15/HSCEI!$B$3,""))</f>
        <v/>
      </c>
      <c r="CR168" s="161">
        <f>IF(AD168="","",IFERROR(AD168*HSCEI!$B$15*HSCEI!$G$15/HSCEI!$B$3,""))</f>
        <v/>
      </c>
      <c r="CS168" s="161">
        <f>IF(AE168="","",IFERROR(AE168*HSCEI!$B$15*HSCEI!$G$15/HSCEI!$B$3,""))</f>
        <v/>
      </c>
      <c r="CT168" s="161">
        <f>IF(AF168="","",IFERROR(AF168*HSCEI!$B$15*HSCEI!$G$15/HSCEI!$B$3,""))</f>
        <v/>
      </c>
      <c r="CU168" s="161">
        <f>IF(AG168="","",IFERROR(AG168*HSCEI!$B$15*HSCEI!$G$15/HSCEI!$B$3,""))</f>
        <v/>
      </c>
      <c r="CV168" s="161">
        <f>IF(AH168="","",IFERROR(AH168*HSCEI!$B$15*HSCEI!$G$15/HSCEI!$B$3,""))</f>
        <v/>
      </c>
      <c r="CW168" s="161">
        <f>IF(AI168="","",IFERROR(AI168*HSCEI!$B$15*HSCEI!$G$15/HSCEI!$B$3,""))</f>
        <v/>
      </c>
      <c r="CX168" s="161">
        <f>IF(AJ168="","",IFERROR(AJ168*HSCEI!$B$15*HSCEI!$G$15/HSCEI!$B$3,""))</f>
        <v/>
      </c>
      <c r="CY168" s="161">
        <f>IF(AK168="","",IFERROR(AK168*HSCEI!$B$15*HSCEI!$G$15/HSCEI!$B$3,""))</f>
        <v/>
      </c>
      <c r="CZ168" s="161">
        <f>IF(AL168="","",IFERROR(AL168*HSCEI!$B$15*HSCEI!$G$15/HSCEI!$B$3,""))</f>
        <v/>
      </c>
      <c r="DA168" s="161">
        <f>IF(AM168="","",IFERROR(AM168*HSCEI!$B$15*HSCEI!$G$15/HSCEI!$B$3,""))</f>
        <v/>
      </c>
      <c r="DB168" s="161">
        <f>IF(AN168="","",IFERROR(AN168*HSCEI!$B$15*HSCEI!$G$15/HSCEI!$B$3,""))</f>
        <v/>
      </c>
      <c r="DC168" s="161">
        <f>IF(AO168="","",IFERROR(AO168*HSCEI!$B$15*HSCEI!$G$15/HSCEI!$B$3,""))</f>
        <v/>
      </c>
      <c r="DD168" s="161">
        <f>IF(AP168="","",IFERROR(AP168*HSCEI!$B$15*HSCEI!$G$15/HSCEI!$B$3,""))</f>
        <v/>
      </c>
      <c r="DE168" s="161">
        <f>IF(AQ168="","",IFERROR(AQ168*HSCEI!$B$15*HSCEI!$G$15/HSCEI!$B$3,""))</f>
        <v/>
      </c>
      <c r="DF168" s="161">
        <f>IF(AR168="","",IFERROR(AR168*HSCEI!$B$15*HSCEI!$G$15/HSCEI!$B$3,""))</f>
        <v/>
      </c>
      <c r="DG168" s="161">
        <f>IF(AS168="","",IFERROR(AS168*HSCEI!$B$15*HSCEI!$G$15/HSCEI!$B$3,""))</f>
        <v/>
      </c>
      <c r="DH168" s="161">
        <f>IF(AT168="","",IFERROR(AT168*HSCEI!$B$15*HSCEI!$G$15/HSCEI!$B$3,""))</f>
        <v/>
      </c>
      <c r="DI168" s="161">
        <f>IF(AU168="","",IFERROR(AU168*HSCEI!$B$15*HSCEI!$G$15/HSCEI!$B$3,""))</f>
        <v/>
      </c>
      <c r="DJ168" s="161">
        <f>IF(AV168="","",IFERROR(AV168*HSCEI!$B$15*HSCEI!$G$15/HSCEI!$B$3,""))</f>
        <v/>
      </c>
      <c r="DK168" s="161">
        <f>IF(AW168="","",IFERROR(AW168*HSCEI!$B$15*HSCEI!$G$15/HSCEI!$B$3,""))</f>
        <v/>
      </c>
      <c r="DL168" s="161">
        <f>IF(AX168="","",IFERROR(AX168*HSCEI!$B$15*HSCEI!$G$15/HSCEI!$B$3,""))</f>
        <v/>
      </c>
      <c r="DM168" s="161">
        <f>IF(AY168="","",IFERROR(AY168*HSCEI!$B$15*HSCEI!$G$15/HSCEI!$B$3,""))</f>
        <v/>
      </c>
      <c r="DN168" s="161">
        <f>IF(AZ168="","",IFERROR(AZ168*HSCEI!$B$15*HSCEI!$G$15/HSCEI!$B$3,""))</f>
        <v/>
      </c>
      <c r="DO168" s="161">
        <f>IF(BA168="","",IFERROR(BA168*HSCEI!$B$15*HSCEI!$G$15/HSCEI!$B$3,""))</f>
        <v/>
      </c>
      <c r="DP168" s="161">
        <f>IF(BB168="","",IFERROR(BB168*HSCEI!$B$15*HSCEI!$G$15/HSCEI!$B$3,""))</f>
        <v/>
      </c>
      <c r="DQ168" s="161">
        <f>IF(BC168="","",IFERROR(BC168*HSCEI!$B$15*HSCEI!$G$15/HSCEI!$B$3,""))</f>
        <v/>
      </c>
      <c r="DR168" s="161">
        <f>IF(BD168="","",IFERROR(BD168*HSCEI!$B$15*HSCEI!$G$15/HSCEI!$B$3,""))</f>
        <v/>
      </c>
      <c r="DS168" s="161">
        <f>IF(BE168="","",IFERROR(BE168*HSCEI!$B$15*HSCEI!$G$15/HSCEI!$B$3,""))</f>
        <v/>
      </c>
      <c r="DT168" s="161">
        <f>IF(BF168="","",IFERROR(BF168*HSCEI!$B$15*HSCEI!$G$15/HSCEI!$B$3,""))</f>
        <v/>
      </c>
      <c r="DU168" s="161">
        <f>IF(BG168="","",IFERROR(BG168*HSCEI!$B$15*HSCEI!$G$15/HSCEI!$B$3,""))</f>
        <v/>
      </c>
      <c r="DV168" s="161">
        <f>IF(BH168="","",IFERROR(BH168*HSCEI!$B$15*HSCEI!$G$15/HSCEI!$B$3,""))</f>
        <v/>
      </c>
      <c r="DW168" s="161">
        <f>IF(BI168="","",IFERROR(BI168*HSCEI!$B$15*HSCEI!$G$15/HSCEI!$B$3,""))</f>
        <v/>
      </c>
      <c r="DX168" s="161">
        <f>IF(BJ168="","",IFERROR(BJ168*HSCEI!$B$15*HSCEI!$G$15/HSCEI!$B$3,""))</f>
        <v/>
      </c>
      <c r="DY168" s="161">
        <f>IF(BK168="","",IFERROR(BK168*HSCEI!$B$15*HSCEI!$G$15/HSCEI!$B$3,""))</f>
        <v/>
      </c>
      <c r="DZ168" s="161">
        <f>IF(BL168="","",IFERROR(BL168*HSCEI!$B$15*HSCEI!$G$15/HSCEI!$B$3,""))</f>
        <v/>
      </c>
      <c r="EA168" s="161">
        <f>IF(BM168="","",IFERROR(BM168*HSCEI!$B$15*HSCEI!$G$15/HSCEI!$B$3,""))</f>
        <v/>
      </c>
      <c r="EB168" s="161">
        <f>IF(BN168="","",IFERROR(BN168*HSCEI!$B$15*HSCEI!$G$15/HSCEI!$B$3,""))</f>
        <v/>
      </c>
      <c r="EC168" s="161">
        <f>IF(BO168="","",IFERROR(BO168*HSCEI!$B$15*HSCEI!$G$15/HSCEI!$B$3,""))</f>
        <v/>
      </c>
      <c r="EE168" s="121">
        <f>IF(N('Dvd Calendar'!$E$1649)=0,"",IF(('Dvd Calendar'!$E$1649&gt;=GRID_FROM)*('Dvd Calendar'!$E$1649&lt;=GRID_TO)*((('Dvd Calendar'!$E$1649&lt;=VAL_DATE)+(COUNTIF('Dvd Calendar'!$E$1656:$AR$1656,'Dvd Calendar'!$E$1649)=0))&gt;0)=0,"",'Dvd Calendar'!$E$1649*1000000000+ISNUMBER('Dvd Calendar'!$E$1652)*100000000+('Dvd Calendar'!$E$1654=SPECIAL_LBL)*10000000+(N('Dvd Calendar'!$E$1648)&gt;0)*(N('Dvd Calendar'!$E$1648)&lt;=VAL_SERIAL)*1000000+9*1000+1))</f>
        <v/>
      </c>
      <c r="EF168" s="121">
        <f>IF(N('Dvd Calendar'!$F$1649)=0,"",IF(('Dvd Calendar'!$F$1649&gt;=GRID_FROM)*('Dvd Calendar'!$F$1649&lt;=GRID_TO)*((('Dvd Calendar'!$F$1649&lt;=VAL_DATE)+(COUNTIF('Dvd Calendar'!$E$1656:$AR$1656,'Dvd Calendar'!$F$1649)=0))&gt;0)=0,"",'Dvd Calendar'!$F$1649*1000000000+ISNUMBER('Dvd Calendar'!$F$1652)*100000000+('Dvd Calendar'!$F$1654=SPECIAL_LBL)*10000000+(N('Dvd Calendar'!$F$1648)&gt;0)*(N('Dvd Calendar'!$F$1648)&lt;=VAL_SERIAL)*1000000+9*1000+2))</f>
        <v/>
      </c>
      <c r="EG168" s="121">
        <f>IF(N('Dvd Calendar'!$G$1649)=0,"",IF(('Dvd Calendar'!$G$1649&gt;=GRID_FROM)*('Dvd Calendar'!$G$1649&lt;=GRID_TO)*((('Dvd Calendar'!$G$1649&lt;=VAL_DATE)+(COUNTIF('Dvd Calendar'!$E$1656:$AR$1656,'Dvd Calendar'!$G$1649)=0))&gt;0)=0,"",'Dvd Calendar'!$G$1649*1000000000+ISNUMBER('Dvd Calendar'!$G$1652)*100000000+('Dvd Calendar'!$G$1654=SPECIAL_LBL)*10000000+(N('Dvd Calendar'!$G$1648)&gt;0)*(N('Dvd Calendar'!$G$1648)&lt;=VAL_SERIAL)*1000000+9*1000+3))</f>
        <v/>
      </c>
      <c r="EH168" s="121">
        <f>IF(N('Dvd Calendar'!$H$1649)=0,"",IF(('Dvd Calendar'!$H$1649&gt;=GRID_FROM)*('Dvd Calendar'!$H$1649&lt;=GRID_TO)*((('Dvd Calendar'!$H$1649&lt;=VAL_DATE)+(COUNTIF('Dvd Calendar'!$E$1656:$AR$1656,'Dvd Calendar'!$H$1649)=0))&gt;0)=0,"",'Dvd Calendar'!$H$1649*1000000000+ISNUMBER('Dvd Calendar'!$H$1652)*100000000+('Dvd Calendar'!$H$1654=SPECIAL_LBL)*10000000+(N('Dvd Calendar'!$H$1648)&gt;0)*(N('Dvd Calendar'!$H$1648)&lt;=VAL_SERIAL)*1000000+9*1000+4))</f>
        <v/>
      </c>
      <c r="EI168" s="121">
        <f>IF(N('Dvd Calendar'!$I$1649)=0,"",IF(('Dvd Calendar'!$I$1649&gt;=GRID_FROM)*('Dvd Calendar'!$I$1649&lt;=GRID_TO)*((('Dvd Calendar'!$I$1649&lt;=VAL_DATE)+(COUNTIF('Dvd Calendar'!$E$1656:$AR$1656,'Dvd Calendar'!$I$1649)=0))&gt;0)=0,"",'Dvd Calendar'!$I$1649*1000000000+ISNUMBER('Dvd Calendar'!$I$1652)*100000000+('Dvd Calendar'!$I$1654=SPECIAL_LBL)*10000000+(N('Dvd Calendar'!$I$1648)&gt;0)*(N('Dvd Calendar'!$I$1648)&lt;=VAL_SERIAL)*1000000+9*1000+5))</f>
        <v/>
      </c>
      <c r="EJ168" s="121">
        <f>IF(N('Dvd Calendar'!$J$1649)=0,"",IF(('Dvd Calendar'!$J$1649&gt;=GRID_FROM)*('Dvd Calendar'!$J$1649&lt;=GRID_TO)*((('Dvd Calendar'!$J$1649&lt;=VAL_DATE)+(COUNTIF('Dvd Calendar'!$E$1656:$AR$1656,'Dvd Calendar'!$J$1649)=0))&gt;0)=0,"",'Dvd Calendar'!$J$1649*1000000000+ISNUMBER('Dvd Calendar'!$J$1652)*100000000+('Dvd Calendar'!$J$1654=SPECIAL_LBL)*10000000+(N('Dvd Calendar'!$J$1648)&gt;0)*(N('Dvd Calendar'!$J$1648)&lt;=VAL_SERIAL)*1000000+9*1000+6))</f>
        <v/>
      </c>
      <c r="EK168" s="121">
        <f>IF(N('Dvd Calendar'!$K$1649)=0,"",IF(('Dvd Calendar'!$K$1649&gt;=GRID_FROM)*('Dvd Calendar'!$K$1649&lt;=GRID_TO)*((('Dvd Calendar'!$K$1649&lt;=VAL_DATE)+(COUNTIF('Dvd Calendar'!$E$1656:$AR$1656,'Dvd Calendar'!$K$1649)=0))&gt;0)=0,"",'Dvd Calendar'!$K$1649*1000000000+ISNUMBER('Dvd Calendar'!$K$1652)*100000000+('Dvd Calendar'!$K$1654=SPECIAL_LBL)*10000000+(N('Dvd Calendar'!$K$1648)&gt;0)*(N('Dvd Calendar'!$K$1648)&lt;=VAL_SERIAL)*1000000+9*1000+7))</f>
        <v/>
      </c>
      <c r="EL168" s="121">
        <f>IF(N('Dvd Calendar'!$L$1649)=0,"",IF(('Dvd Calendar'!$L$1649&gt;=GRID_FROM)*('Dvd Calendar'!$L$1649&lt;=GRID_TO)*((('Dvd Calendar'!$L$1649&lt;=VAL_DATE)+(COUNTIF('Dvd Calendar'!$E$1656:$AR$1656,'Dvd Calendar'!$L$1649)=0))&gt;0)=0,"",'Dvd Calendar'!$L$1649*1000000000+ISNUMBER('Dvd Calendar'!$L$1652)*100000000+('Dvd Calendar'!$L$1654=SPECIAL_LBL)*10000000+(N('Dvd Calendar'!$L$1648)&gt;0)*(N('Dvd Calendar'!$L$1648)&lt;=VAL_SERIAL)*1000000+9*1000+8))</f>
        <v/>
      </c>
      <c r="EM168" s="121">
        <f>IF(N('Dvd Calendar'!$M$1649)=0,"",IF(('Dvd Calendar'!$M$1649&gt;=GRID_FROM)*('Dvd Calendar'!$M$1649&lt;=GRID_TO)*((('Dvd Calendar'!$M$1649&lt;=VAL_DATE)+(COUNTIF('Dvd Calendar'!$E$1656:$AR$1656,'Dvd Calendar'!$M$1649)=0))&gt;0)=0,"",'Dvd Calendar'!$M$1649*1000000000+ISNUMBER('Dvd Calendar'!$M$1652)*100000000+('Dvd Calendar'!$M$1654=SPECIAL_LBL)*10000000+(N('Dvd Calendar'!$M$1648)&gt;0)*(N('Dvd Calendar'!$M$1648)&lt;=VAL_SERIAL)*1000000+9*1000+9))</f>
        <v/>
      </c>
      <c r="EN168" s="121">
        <f>IF(N('Dvd Calendar'!$N$1649)=0,"",IF(('Dvd Calendar'!$N$1649&gt;=GRID_FROM)*('Dvd Calendar'!$N$1649&lt;=GRID_TO)*((('Dvd Calendar'!$N$1649&lt;=VAL_DATE)+(COUNTIF('Dvd Calendar'!$E$1656:$AR$1656,'Dvd Calendar'!$N$1649)=0))&gt;0)=0,"",'Dvd Calendar'!$N$1649*1000000000+ISNUMBER('Dvd Calendar'!$N$1652)*100000000+('Dvd Calendar'!$N$1654=SPECIAL_LBL)*10000000+(N('Dvd Calendar'!$N$1648)&gt;0)*(N('Dvd Calendar'!$N$1648)&lt;=VAL_SERIAL)*1000000+9*1000+10))</f>
        <v/>
      </c>
      <c r="EO168" s="121">
        <f>IF(N('Dvd Calendar'!$O$1649)=0,"",IF(('Dvd Calendar'!$O$1649&gt;=GRID_FROM)*('Dvd Calendar'!$O$1649&lt;=GRID_TO)*((('Dvd Calendar'!$O$1649&lt;=VAL_DATE)+(COUNTIF('Dvd Calendar'!$E$1656:$AR$1656,'Dvd Calendar'!$O$1649)=0))&gt;0)=0,"",'Dvd Calendar'!$O$1649*1000000000+ISNUMBER('Dvd Calendar'!$O$1652)*100000000+('Dvd Calendar'!$O$1654=SPECIAL_LBL)*10000000+(N('Dvd Calendar'!$O$1648)&gt;0)*(N('Dvd Calendar'!$O$1648)&lt;=VAL_SERIAL)*1000000+9*1000+11))</f>
        <v/>
      </c>
      <c r="EP168" s="121">
        <f>IF(N('Dvd Calendar'!$P$1649)=0,"",IF(('Dvd Calendar'!$P$1649&gt;=GRID_FROM)*('Dvd Calendar'!$P$1649&lt;=GRID_TO)*((('Dvd Calendar'!$P$1649&lt;=VAL_DATE)+(COUNTIF('Dvd Calendar'!$E$1656:$AR$1656,'Dvd Calendar'!$P$1649)=0))&gt;0)=0,"",'Dvd Calendar'!$P$1649*1000000000+ISNUMBER('Dvd Calendar'!$P$1652)*100000000+('Dvd Calendar'!$P$1654=SPECIAL_LBL)*10000000+(N('Dvd Calendar'!$P$1648)&gt;0)*(N('Dvd Calendar'!$P$1648)&lt;=VAL_SERIAL)*1000000+9*1000+12))</f>
        <v/>
      </c>
      <c r="EQ168" s="121">
        <f>IF(N('Dvd Calendar'!$Q$1649)=0,"",IF(('Dvd Calendar'!$Q$1649&gt;=GRID_FROM)*('Dvd Calendar'!$Q$1649&lt;=GRID_TO)*((('Dvd Calendar'!$Q$1649&lt;=VAL_DATE)+(COUNTIF('Dvd Calendar'!$E$1656:$AR$1656,'Dvd Calendar'!$Q$1649)=0))&gt;0)=0,"",'Dvd Calendar'!$Q$1649*1000000000+ISNUMBER('Dvd Calendar'!$Q$1652)*100000000+('Dvd Calendar'!$Q$1654=SPECIAL_LBL)*10000000+(N('Dvd Calendar'!$Q$1648)&gt;0)*(N('Dvd Calendar'!$Q$1648)&lt;=VAL_SERIAL)*1000000+9*1000+13))</f>
        <v/>
      </c>
      <c r="ER168" s="121">
        <f>IF(N('Dvd Calendar'!$R$1649)=0,"",IF(('Dvd Calendar'!$R$1649&gt;=GRID_FROM)*('Dvd Calendar'!$R$1649&lt;=GRID_TO)*((('Dvd Calendar'!$R$1649&lt;=VAL_DATE)+(COUNTIF('Dvd Calendar'!$E$1656:$AR$1656,'Dvd Calendar'!$R$1649)=0))&gt;0)=0,"",'Dvd Calendar'!$R$1649*1000000000+ISNUMBER('Dvd Calendar'!$R$1652)*100000000+('Dvd Calendar'!$R$1654=SPECIAL_LBL)*10000000+(N('Dvd Calendar'!$R$1648)&gt;0)*(N('Dvd Calendar'!$R$1648)&lt;=VAL_SERIAL)*1000000+9*1000+14))</f>
        <v/>
      </c>
      <c r="ES168" s="121">
        <f>IF(N('Dvd Calendar'!$S$1649)=0,"",IF(('Dvd Calendar'!$S$1649&gt;=GRID_FROM)*('Dvd Calendar'!$S$1649&lt;=GRID_TO)*((('Dvd Calendar'!$S$1649&lt;=VAL_DATE)+(COUNTIF('Dvd Calendar'!$E$1656:$AR$1656,'Dvd Calendar'!$S$1649)=0))&gt;0)=0,"",'Dvd Calendar'!$S$1649*1000000000+ISNUMBER('Dvd Calendar'!$S$1652)*100000000+('Dvd Calendar'!$S$1654=SPECIAL_LBL)*10000000+(N('Dvd Calendar'!$S$1648)&gt;0)*(N('Dvd Calendar'!$S$1648)&lt;=VAL_SERIAL)*1000000+9*1000+15))</f>
        <v/>
      </c>
      <c r="ET168" s="121">
        <f>IF(N('Dvd Calendar'!$T$1649)=0,"",IF(('Dvd Calendar'!$T$1649&gt;=GRID_FROM)*('Dvd Calendar'!$T$1649&lt;=GRID_TO)*((('Dvd Calendar'!$T$1649&lt;=VAL_DATE)+(COUNTIF('Dvd Calendar'!$E$1656:$AR$1656,'Dvd Calendar'!$T$1649)=0))&gt;0)=0,"",'Dvd Calendar'!$T$1649*1000000000+ISNUMBER('Dvd Calendar'!$T$1652)*100000000+('Dvd Calendar'!$T$1654=SPECIAL_LBL)*10000000+(N('Dvd Calendar'!$T$1648)&gt;0)*(N('Dvd Calendar'!$T$1648)&lt;=VAL_SERIAL)*1000000+9*1000+16))</f>
        <v/>
      </c>
      <c r="EU168" s="121">
        <f>IF(N('Dvd Calendar'!$U$1649)=0,"",IF(('Dvd Calendar'!$U$1649&gt;=GRID_FROM)*('Dvd Calendar'!$U$1649&lt;=GRID_TO)*((('Dvd Calendar'!$U$1649&lt;=VAL_DATE)+(COUNTIF('Dvd Calendar'!$E$1656:$AR$1656,'Dvd Calendar'!$U$1649)=0))&gt;0)=0,"",'Dvd Calendar'!$U$1649*1000000000+ISNUMBER('Dvd Calendar'!$U$1652)*100000000+('Dvd Calendar'!$U$1654=SPECIAL_LBL)*10000000+(N('Dvd Calendar'!$U$1648)&gt;0)*(N('Dvd Calendar'!$U$1648)&lt;=VAL_SERIAL)*1000000+9*1000+17))</f>
        <v/>
      </c>
      <c r="EV168" s="121">
        <f>IF(N('Dvd Calendar'!$V$1649)=0,"",IF(('Dvd Calendar'!$V$1649&gt;=GRID_FROM)*('Dvd Calendar'!$V$1649&lt;=GRID_TO)*((('Dvd Calendar'!$V$1649&lt;=VAL_DATE)+(COUNTIF('Dvd Calendar'!$E$1656:$AR$1656,'Dvd Calendar'!$V$1649)=0))&gt;0)=0,"",'Dvd Calendar'!$V$1649*1000000000+ISNUMBER('Dvd Calendar'!$V$1652)*100000000+('Dvd Calendar'!$V$1654=SPECIAL_LBL)*10000000+(N('Dvd Calendar'!$V$1648)&gt;0)*(N('Dvd Calendar'!$V$1648)&lt;=VAL_SERIAL)*1000000+9*1000+18))</f>
        <v/>
      </c>
      <c r="EW168" s="121">
        <f>IF(N('Dvd Calendar'!$W$1649)=0,"",IF(('Dvd Calendar'!$W$1649&gt;=GRID_FROM)*('Dvd Calendar'!$W$1649&lt;=GRID_TO)*((('Dvd Calendar'!$W$1649&lt;=VAL_DATE)+(COUNTIF('Dvd Calendar'!$E$1656:$AR$1656,'Dvd Calendar'!$W$1649)=0))&gt;0)=0,"",'Dvd Calendar'!$W$1649*1000000000+ISNUMBER('Dvd Calendar'!$W$1652)*100000000+('Dvd Calendar'!$W$1654=SPECIAL_LBL)*10000000+(N('Dvd Calendar'!$W$1648)&gt;0)*(N('Dvd Calendar'!$W$1648)&lt;=VAL_SERIAL)*1000000+9*1000+19))</f>
        <v/>
      </c>
      <c r="EX168" s="121">
        <f>IF(N('Dvd Calendar'!$X$1649)=0,"",IF(('Dvd Calendar'!$X$1649&gt;=GRID_FROM)*('Dvd Calendar'!$X$1649&lt;=GRID_TO)*((('Dvd Calendar'!$X$1649&lt;=VAL_DATE)+(COUNTIF('Dvd Calendar'!$E$1656:$AR$1656,'Dvd Calendar'!$X$1649)=0))&gt;0)=0,"",'Dvd Calendar'!$X$1649*1000000000+ISNUMBER('Dvd Calendar'!$X$1652)*100000000+('Dvd Calendar'!$X$1654=SPECIAL_LBL)*10000000+(N('Dvd Calendar'!$X$1648)&gt;0)*(N('Dvd Calendar'!$X$1648)&lt;=VAL_SERIAL)*1000000+9*1000+20))</f>
        <v/>
      </c>
      <c r="EY168" s="121">
        <f>IF(N('Dvd Calendar'!$Y$1649)=0,"",IF(('Dvd Calendar'!$Y$1649&gt;=GRID_FROM)*('Dvd Calendar'!$Y$1649&lt;=GRID_TO)*((('Dvd Calendar'!$Y$1649&lt;=VAL_DATE)+(COUNTIF('Dvd Calendar'!$E$1656:$AR$1656,'Dvd Calendar'!$Y$1649)=0))&gt;0)=0,"",'Dvd Calendar'!$Y$1649*1000000000+ISNUMBER('Dvd Calendar'!$Y$1652)*100000000+('Dvd Calendar'!$Y$1654=SPECIAL_LBL)*10000000+(N('Dvd Calendar'!$Y$1648)&gt;0)*(N('Dvd Calendar'!$Y$1648)&lt;=VAL_SERIAL)*1000000+9*1000+21))</f>
        <v/>
      </c>
      <c r="EZ168" s="121">
        <f>IF(N('Dvd Calendar'!$Z$1649)=0,"",IF(('Dvd Calendar'!$Z$1649&gt;=GRID_FROM)*('Dvd Calendar'!$Z$1649&lt;=GRID_TO)*((('Dvd Calendar'!$Z$1649&lt;=VAL_DATE)+(COUNTIF('Dvd Calendar'!$E$1656:$AR$1656,'Dvd Calendar'!$Z$1649)=0))&gt;0)=0,"",'Dvd Calendar'!$Z$1649*1000000000+ISNUMBER('Dvd Calendar'!$Z$1652)*100000000+('Dvd Calendar'!$Z$1654=SPECIAL_LBL)*10000000+(N('Dvd Calendar'!$Z$1648)&gt;0)*(N('Dvd Calendar'!$Z$1648)&lt;=VAL_SERIAL)*1000000+9*1000+22))</f>
        <v/>
      </c>
      <c r="FA168" s="121">
        <f>IF(N('Dvd Calendar'!$AA$1649)=0,"",IF(('Dvd Calendar'!$AA$1649&gt;=GRID_FROM)*('Dvd Calendar'!$AA$1649&lt;=GRID_TO)*((('Dvd Calendar'!$AA$1649&lt;=VAL_DATE)+(COUNTIF('Dvd Calendar'!$E$1656:$AR$1656,'Dvd Calendar'!$AA$1649)=0))&gt;0)=0,"",'Dvd Calendar'!$AA$1649*1000000000+ISNUMBER('Dvd Calendar'!$AA$1652)*100000000+('Dvd Calendar'!$AA$1654=SPECIAL_LBL)*10000000+(N('Dvd Calendar'!$AA$1648)&gt;0)*(N('Dvd Calendar'!$AA$1648)&lt;=VAL_SERIAL)*1000000+9*1000+23))</f>
        <v/>
      </c>
      <c r="FB168" s="121">
        <f>IF(N('Dvd Calendar'!$AB$1649)=0,"",IF(('Dvd Calendar'!$AB$1649&gt;=GRID_FROM)*('Dvd Calendar'!$AB$1649&lt;=GRID_TO)*((('Dvd Calendar'!$AB$1649&lt;=VAL_DATE)+(COUNTIF('Dvd Calendar'!$E$1656:$AR$1656,'Dvd Calendar'!$AB$1649)=0))&gt;0)=0,"",'Dvd Calendar'!$AB$1649*1000000000+ISNUMBER('Dvd Calendar'!$AB$1652)*100000000+('Dvd Calendar'!$AB$1654=SPECIAL_LBL)*10000000+(N('Dvd Calendar'!$AB$1648)&gt;0)*(N('Dvd Calendar'!$AB$1648)&lt;=VAL_SERIAL)*1000000+9*1000+24))</f>
        <v/>
      </c>
      <c r="FC168" s="121">
        <f>IF(N('Dvd Calendar'!$AC$1649)=0,"",IF(('Dvd Calendar'!$AC$1649&gt;=GRID_FROM)*('Dvd Calendar'!$AC$1649&lt;=GRID_TO)*((('Dvd Calendar'!$AC$1649&lt;=VAL_DATE)+(COUNTIF('Dvd Calendar'!$E$1656:$AR$1656,'Dvd Calendar'!$AC$1649)=0))&gt;0)=0,"",'Dvd Calendar'!$AC$1649*1000000000+ISNUMBER('Dvd Calendar'!$AC$1652)*100000000+('Dvd Calendar'!$AC$1654=SPECIAL_LBL)*10000000+(N('Dvd Calendar'!$AC$1648)&gt;0)*(N('Dvd Calendar'!$AC$1648)&lt;=VAL_SERIAL)*1000000+9*1000+25))</f>
        <v/>
      </c>
      <c r="FD168" s="121">
        <f>IF(N('Dvd Calendar'!$AD$1649)=0,"",IF(('Dvd Calendar'!$AD$1649&gt;=GRID_FROM)*('Dvd Calendar'!$AD$1649&lt;=GRID_TO)*((('Dvd Calendar'!$AD$1649&lt;=VAL_DATE)+(COUNTIF('Dvd Calendar'!$E$1656:$AR$1656,'Dvd Calendar'!$AD$1649)=0))&gt;0)=0,"",'Dvd Calendar'!$AD$1649*1000000000+ISNUMBER('Dvd Calendar'!$AD$1652)*100000000+('Dvd Calendar'!$AD$1654=SPECIAL_LBL)*10000000+(N('Dvd Calendar'!$AD$1648)&gt;0)*(N('Dvd Calendar'!$AD$1648)&lt;=VAL_SERIAL)*1000000+9*1000+26))</f>
        <v/>
      </c>
      <c r="FE168" s="121">
        <f>IF(N('Dvd Calendar'!$AE$1649)=0,"",IF(('Dvd Calendar'!$AE$1649&gt;=GRID_FROM)*('Dvd Calendar'!$AE$1649&lt;=GRID_TO)*((('Dvd Calendar'!$AE$1649&lt;=VAL_DATE)+(COUNTIF('Dvd Calendar'!$E$1656:$AR$1656,'Dvd Calendar'!$AE$1649)=0))&gt;0)=0,"",'Dvd Calendar'!$AE$1649*1000000000+ISNUMBER('Dvd Calendar'!$AE$1652)*100000000+('Dvd Calendar'!$AE$1654=SPECIAL_LBL)*10000000+(N('Dvd Calendar'!$AE$1648)&gt;0)*(N('Dvd Calendar'!$AE$1648)&lt;=VAL_SERIAL)*1000000+9*1000+27))</f>
        <v/>
      </c>
      <c r="FF168" s="121">
        <f>IF(N('Dvd Calendar'!$AF$1649)=0,"",IF(('Dvd Calendar'!$AF$1649&gt;=GRID_FROM)*('Dvd Calendar'!$AF$1649&lt;=GRID_TO)*((('Dvd Calendar'!$AF$1649&lt;=VAL_DATE)+(COUNTIF('Dvd Calendar'!$E$1656:$AR$1656,'Dvd Calendar'!$AF$1649)=0))&gt;0)=0,"",'Dvd Calendar'!$AF$1649*1000000000+ISNUMBER('Dvd Calendar'!$AF$1652)*100000000+('Dvd Calendar'!$AF$1654=SPECIAL_LBL)*10000000+(N('Dvd Calendar'!$AF$1648)&gt;0)*(N('Dvd Calendar'!$AF$1648)&lt;=VAL_SERIAL)*1000000+9*1000+28))</f>
        <v/>
      </c>
      <c r="FG168" s="121">
        <f>IF(N('Dvd Calendar'!$AG$1649)=0,"",IF(('Dvd Calendar'!$AG$1649&gt;=GRID_FROM)*('Dvd Calendar'!$AG$1649&lt;=GRID_TO)*((('Dvd Calendar'!$AG$1649&lt;=VAL_DATE)+(COUNTIF('Dvd Calendar'!$E$1656:$AR$1656,'Dvd Calendar'!$AG$1649)=0))&gt;0)=0,"",'Dvd Calendar'!$AG$1649*1000000000+ISNUMBER('Dvd Calendar'!$AG$1652)*100000000+('Dvd Calendar'!$AG$1654=SPECIAL_LBL)*10000000+(N('Dvd Calendar'!$AG$1648)&gt;0)*(N('Dvd Calendar'!$AG$1648)&lt;=VAL_SERIAL)*1000000+9*1000+29))</f>
        <v/>
      </c>
      <c r="FH168" s="121">
        <f>IF(N('Dvd Calendar'!$AH$1649)=0,"",IF(('Dvd Calendar'!$AH$1649&gt;=GRID_FROM)*('Dvd Calendar'!$AH$1649&lt;=GRID_TO)*((('Dvd Calendar'!$AH$1649&lt;=VAL_DATE)+(COUNTIF('Dvd Calendar'!$E$1656:$AR$1656,'Dvd Calendar'!$AH$1649)=0))&gt;0)=0,"",'Dvd Calendar'!$AH$1649*1000000000+ISNUMBER('Dvd Calendar'!$AH$1652)*100000000+('Dvd Calendar'!$AH$1654=SPECIAL_LBL)*10000000+(N('Dvd Calendar'!$AH$1648)&gt;0)*(N('Dvd Calendar'!$AH$1648)&lt;=VAL_SERIAL)*1000000+9*1000+30))</f>
        <v/>
      </c>
      <c r="FI168" s="121">
        <f>IF(N('Dvd Calendar'!$AI$1649)=0,"",IF(('Dvd Calendar'!$AI$1649&gt;=GRID_FROM)*('Dvd Calendar'!$AI$1649&lt;=GRID_TO)*((('Dvd Calendar'!$AI$1649&lt;=VAL_DATE)+(COUNTIF('Dvd Calendar'!$E$1656:$AR$1656,'Dvd Calendar'!$AI$1649)=0))&gt;0)=0,"",'Dvd Calendar'!$AI$1649*1000000000+ISNUMBER('Dvd Calendar'!$AI$1652)*100000000+('Dvd Calendar'!$AI$1654=SPECIAL_LBL)*10000000+(N('Dvd Calendar'!$AI$1648)&gt;0)*(N('Dvd Calendar'!$AI$1648)&lt;=VAL_SERIAL)*1000000+9*1000+31))</f>
        <v/>
      </c>
      <c r="FJ168" s="121">
        <f>IF(N('Dvd Calendar'!$AJ$1649)=0,"",IF(('Dvd Calendar'!$AJ$1649&gt;=GRID_FROM)*('Dvd Calendar'!$AJ$1649&lt;=GRID_TO)*((('Dvd Calendar'!$AJ$1649&lt;=VAL_DATE)+(COUNTIF('Dvd Calendar'!$E$1656:$AR$1656,'Dvd Calendar'!$AJ$1649)=0))&gt;0)=0,"",'Dvd Calendar'!$AJ$1649*1000000000+ISNUMBER('Dvd Calendar'!$AJ$1652)*100000000+('Dvd Calendar'!$AJ$1654=SPECIAL_LBL)*10000000+(N('Dvd Calendar'!$AJ$1648)&gt;0)*(N('Dvd Calendar'!$AJ$1648)&lt;=VAL_SERIAL)*1000000+9*1000+32))</f>
        <v/>
      </c>
      <c r="FK168" s="121">
        <f>IF(N('Dvd Calendar'!$AK$1649)=0,"",IF(('Dvd Calendar'!$AK$1649&gt;=GRID_FROM)*('Dvd Calendar'!$AK$1649&lt;=GRID_TO)*((('Dvd Calendar'!$AK$1649&lt;=VAL_DATE)+(COUNTIF('Dvd Calendar'!$E$1656:$AR$1656,'Dvd Calendar'!$AK$1649)=0))&gt;0)=0,"",'Dvd Calendar'!$AK$1649*1000000000+ISNUMBER('Dvd Calendar'!$AK$1652)*100000000+('Dvd Calendar'!$AK$1654=SPECIAL_LBL)*10000000+(N('Dvd Calendar'!$AK$1648)&gt;0)*(N('Dvd Calendar'!$AK$1648)&lt;=VAL_SERIAL)*1000000+9*1000+33))</f>
        <v/>
      </c>
      <c r="FL168" s="121">
        <f>IF(N('Dvd Calendar'!$AL$1649)=0,"",IF(('Dvd Calendar'!$AL$1649&gt;=GRID_FROM)*('Dvd Calendar'!$AL$1649&lt;=GRID_TO)*((('Dvd Calendar'!$AL$1649&lt;=VAL_DATE)+(COUNTIF('Dvd Calendar'!$E$1656:$AR$1656,'Dvd Calendar'!$AL$1649)=0))&gt;0)=0,"",'Dvd Calendar'!$AL$1649*1000000000+ISNUMBER('Dvd Calendar'!$AL$1652)*100000000+('Dvd Calendar'!$AL$1654=SPECIAL_LBL)*10000000+(N('Dvd Calendar'!$AL$1648)&gt;0)*(N('Dvd Calendar'!$AL$1648)&lt;=VAL_SERIAL)*1000000+9*1000+34))</f>
        <v/>
      </c>
      <c r="FM168" s="121">
        <f>IF(N('Dvd Calendar'!$AM$1649)=0,"",IF(('Dvd Calendar'!$AM$1649&gt;=GRID_FROM)*('Dvd Calendar'!$AM$1649&lt;=GRID_TO)*((('Dvd Calendar'!$AM$1649&lt;=VAL_DATE)+(COUNTIF('Dvd Calendar'!$E$1656:$AR$1656,'Dvd Calendar'!$AM$1649)=0))&gt;0)=0,"",'Dvd Calendar'!$AM$1649*1000000000+ISNUMBER('Dvd Calendar'!$AM$1652)*100000000+('Dvd Calendar'!$AM$1654=SPECIAL_LBL)*10000000+(N('Dvd Calendar'!$AM$1648)&gt;0)*(N('Dvd Calendar'!$AM$1648)&lt;=VAL_SERIAL)*1000000+9*1000+35))</f>
        <v/>
      </c>
      <c r="FN168" s="121">
        <f>IF(N('Dvd Calendar'!$AN$1649)=0,"",IF(('Dvd Calendar'!$AN$1649&gt;=GRID_FROM)*('Dvd Calendar'!$AN$1649&lt;=GRID_TO)*((('Dvd Calendar'!$AN$1649&lt;=VAL_DATE)+(COUNTIF('Dvd Calendar'!$E$1656:$AR$1656,'Dvd Calendar'!$AN$1649)=0))&gt;0)=0,"",'Dvd Calendar'!$AN$1649*1000000000+ISNUMBER('Dvd Calendar'!$AN$1652)*100000000+('Dvd Calendar'!$AN$1654=SPECIAL_LBL)*10000000+(N('Dvd Calendar'!$AN$1648)&gt;0)*(N('Dvd Calendar'!$AN$1648)&lt;=VAL_SERIAL)*1000000+9*1000+36))</f>
        <v/>
      </c>
      <c r="FO168" s="121">
        <f>IF(N('Dvd Calendar'!$AO$1649)=0,"",IF(('Dvd Calendar'!$AO$1649&gt;=GRID_FROM)*('Dvd Calendar'!$AO$1649&lt;=GRID_TO)*((('Dvd Calendar'!$AO$1649&lt;=VAL_DATE)+(COUNTIF('Dvd Calendar'!$E$1656:$AR$1656,'Dvd Calendar'!$AO$1649)=0))&gt;0)=0,"",'Dvd Calendar'!$AO$1649*1000000000+ISNUMBER('Dvd Calendar'!$AO$1652)*100000000+('Dvd Calendar'!$AO$1654=SPECIAL_LBL)*10000000+(N('Dvd Calendar'!$AO$1648)&gt;0)*(N('Dvd Calendar'!$AO$1648)&lt;=VAL_SERIAL)*1000000+9*1000+37))</f>
        <v/>
      </c>
      <c r="FP168" s="121">
        <f>IF(N('Dvd Calendar'!$AP$1649)=0,"",IF(('Dvd Calendar'!$AP$1649&gt;=GRID_FROM)*('Dvd Calendar'!$AP$1649&lt;=GRID_TO)*((('Dvd Calendar'!$AP$1649&lt;=VAL_DATE)+(COUNTIF('Dvd Calendar'!$E$1656:$AR$1656,'Dvd Calendar'!$AP$1649)=0))&gt;0)=0,"",'Dvd Calendar'!$AP$1649*1000000000+ISNUMBER('Dvd Calendar'!$AP$1652)*100000000+('Dvd Calendar'!$AP$1654=SPECIAL_LBL)*10000000+(N('Dvd Calendar'!$AP$1648)&gt;0)*(N('Dvd Calendar'!$AP$1648)&lt;=VAL_SERIAL)*1000000+9*1000+38))</f>
        <v/>
      </c>
      <c r="FQ168" s="121">
        <f>IF(N('Dvd Calendar'!$AQ$1649)=0,"",IF(('Dvd Calendar'!$AQ$1649&gt;=GRID_FROM)*('Dvd Calendar'!$AQ$1649&lt;=GRID_TO)*((('Dvd Calendar'!$AQ$1649&lt;=VAL_DATE)+(COUNTIF('Dvd Calendar'!$E$1656:$AR$1656,'Dvd Calendar'!$AQ$1649)=0))&gt;0)=0,"",'Dvd Calendar'!$AQ$1649*1000000000+ISNUMBER('Dvd Calendar'!$AQ$1652)*100000000+('Dvd Calendar'!$AQ$1654=SPECIAL_LBL)*10000000+(N('Dvd Calendar'!$AQ$1648)&gt;0)*(N('Dvd Calendar'!$AQ$1648)&lt;=VAL_SERIAL)*1000000+9*1000+39))</f>
        <v/>
      </c>
      <c r="FR168" s="121">
        <f>IF(N('Dvd Calendar'!$AR$1649)=0,"",IF(('Dvd Calendar'!$AR$1649&gt;=GRID_FROM)*('Dvd Calendar'!$AR$1649&lt;=GRID_TO)*((('Dvd Calendar'!$AR$1649&lt;=VAL_DATE)+(COUNTIF('Dvd Calendar'!$E$1656:$AR$1656,'Dvd Calendar'!$AR$1649)=0))&gt;0)=0,"",'Dvd Calendar'!$AR$1649*1000000000+ISNUMBER('Dvd Calendar'!$AR$1652)*100000000+('Dvd Calendar'!$AR$1654=SPECIAL_LBL)*10000000+(N('Dvd Calendar'!$AR$1648)&gt;0)*(N('Dvd Calendar'!$AR$1648)&lt;=VAL_SERIAL)*1000000+9*1000+40))</f>
        <v/>
      </c>
      <c r="FS168" s="121">
        <f>IF(N('Dvd Calendar'!$E$1656)=0,"",IF(('Dvd Calendar'!$E$1656&gt;=GRID_FROM)*('Dvd Calendar'!$E$1656&lt;=GRID_TO)*('Dvd Calendar'!$E$1656&gt;VAL_DATE)=0,"",'Dvd Calendar'!$E$1656*1000000000+ISNUMBER('Dvd Calendar'!$E$1657)*100000000+0*10000000+(N('Dvd Calendar'!$E$1655)&gt;0)*(N('Dvd Calendar'!$E$1655)&lt;=VAL_SERIAL)*1000000+9*1000+41))</f>
        <v/>
      </c>
      <c r="FT168" s="121">
        <f>IF(N('Dvd Calendar'!$F$1656)=0,"",IF(('Dvd Calendar'!$F$1656&gt;=GRID_FROM)*('Dvd Calendar'!$F$1656&lt;=GRID_TO)*('Dvd Calendar'!$F$1656&gt;VAL_DATE)=0,"",'Dvd Calendar'!$F$1656*1000000000+ISNUMBER('Dvd Calendar'!$F$1657)*100000000+0*10000000+(N('Dvd Calendar'!$F$1655)&gt;0)*(N('Dvd Calendar'!$F$1655)&lt;=VAL_SERIAL)*1000000+9*1000+42))</f>
        <v/>
      </c>
      <c r="FU168" s="121">
        <f>IF(N('Dvd Calendar'!$G$1656)=0,"",IF(('Dvd Calendar'!$G$1656&gt;=GRID_FROM)*('Dvd Calendar'!$G$1656&lt;=GRID_TO)*('Dvd Calendar'!$G$1656&gt;VAL_DATE)=0,"",'Dvd Calendar'!$G$1656*1000000000+ISNUMBER('Dvd Calendar'!$G$1657)*100000000+0*10000000+(N('Dvd Calendar'!$G$1655)&gt;0)*(N('Dvd Calendar'!$G$1655)&lt;=VAL_SERIAL)*1000000+9*1000+43))</f>
        <v/>
      </c>
      <c r="FV168" s="121">
        <f>IF(N('Dvd Calendar'!$H$1656)=0,"",IF(('Dvd Calendar'!$H$1656&gt;=GRID_FROM)*('Dvd Calendar'!$H$1656&lt;=GRID_TO)*('Dvd Calendar'!$H$1656&gt;VAL_DATE)=0,"",'Dvd Calendar'!$H$1656*1000000000+ISNUMBER('Dvd Calendar'!$H$1657)*100000000+0*10000000+(N('Dvd Calendar'!$H$1655)&gt;0)*(N('Dvd Calendar'!$H$1655)&lt;=VAL_SERIAL)*1000000+9*1000+44))</f>
        <v/>
      </c>
      <c r="FW168" s="121">
        <f>IF(N('Dvd Calendar'!$I$1656)=0,"",IF(('Dvd Calendar'!$I$1656&gt;=GRID_FROM)*('Dvd Calendar'!$I$1656&lt;=GRID_TO)*('Dvd Calendar'!$I$1656&gt;VAL_DATE)=0,"",'Dvd Calendar'!$I$1656*1000000000+ISNUMBER('Dvd Calendar'!$I$1657)*100000000+0*10000000+(N('Dvd Calendar'!$I$1655)&gt;0)*(N('Dvd Calendar'!$I$1655)&lt;=VAL_SERIAL)*1000000+9*1000+45))</f>
        <v/>
      </c>
      <c r="FX168" s="121">
        <f>IF(N('Dvd Calendar'!$J$1656)=0,"",IF(('Dvd Calendar'!$J$1656&gt;=GRID_FROM)*('Dvd Calendar'!$J$1656&lt;=GRID_TO)*('Dvd Calendar'!$J$1656&gt;VAL_DATE)=0,"",'Dvd Calendar'!$J$1656*1000000000+ISNUMBER('Dvd Calendar'!$J$1657)*100000000+0*10000000+(N('Dvd Calendar'!$J$1655)&gt;0)*(N('Dvd Calendar'!$J$1655)&lt;=VAL_SERIAL)*1000000+9*1000+46))</f>
        <v/>
      </c>
      <c r="FY168" s="121">
        <f>IF(N('Dvd Calendar'!$K$1656)=0,"",IF(('Dvd Calendar'!$K$1656&gt;=GRID_FROM)*('Dvd Calendar'!$K$1656&lt;=GRID_TO)*('Dvd Calendar'!$K$1656&gt;VAL_DATE)=0,"",'Dvd Calendar'!$K$1656*1000000000+ISNUMBER('Dvd Calendar'!$K$1657)*100000000+0*10000000+(N('Dvd Calendar'!$K$1655)&gt;0)*(N('Dvd Calendar'!$K$1655)&lt;=VAL_SERIAL)*1000000+9*1000+47))</f>
        <v/>
      </c>
      <c r="FZ168" s="121">
        <f>IF(N('Dvd Calendar'!$L$1656)=0,"",IF(('Dvd Calendar'!$L$1656&gt;=GRID_FROM)*('Dvd Calendar'!$L$1656&lt;=GRID_TO)*('Dvd Calendar'!$L$1656&gt;VAL_DATE)=0,"",'Dvd Calendar'!$L$1656*1000000000+ISNUMBER('Dvd Calendar'!$L$1657)*100000000+0*10000000+(N('Dvd Calendar'!$L$1655)&gt;0)*(N('Dvd Calendar'!$L$1655)&lt;=VAL_SERIAL)*1000000+9*1000+48))</f>
        <v/>
      </c>
      <c r="GA168" s="121">
        <f>IF(N('Dvd Calendar'!$M$1656)=0,"",IF(('Dvd Calendar'!$M$1656&gt;=GRID_FROM)*('Dvd Calendar'!$M$1656&lt;=GRID_TO)*('Dvd Calendar'!$M$1656&gt;VAL_DATE)=0,"",'Dvd Calendar'!$M$1656*1000000000+ISNUMBER('Dvd Calendar'!$M$1657)*100000000+0*10000000+(N('Dvd Calendar'!$M$1655)&gt;0)*(N('Dvd Calendar'!$M$1655)&lt;=VAL_SERIAL)*1000000+9*1000+49))</f>
        <v/>
      </c>
      <c r="GB168" s="121">
        <f>IF(N('Dvd Calendar'!$N$1656)=0,"",IF(('Dvd Calendar'!$N$1656&gt;=GRID_FROM)*('Dvd Calendar'!$N$1656&lt;=GRID_TO)*('Dvd Calendar'!$N$1656&gt;VAL_DATE)=0,"",'Dvd Calendar'!$N$1656*1000000000+ISNUMBER('Dvd Calendar'!$N$1657)*100000000+0*10000000+(N('Dvd Calendar'!$N$1655)&gt;0)*(N('Dvd Calendar'!$N$1655)&lt;=VAL_SERIAL)*1000000+9*1000+50))</f>
        <v/>
      </c>
      <c r="GC168" s="121">
        <f>IF(N('Dvd Calendar'!$O$1656)=0,"",IF(('Dvd Calendar'!$O$1656&gt;=GRID_FROM)*('Dvd Calendar'!$O$1656&lt;=GRID_TO)*('Dvd Calendar'!$O$1656&gt;VAL_DATE)=0,"",'Dvd Calendar'!$O$1656*1000000000+ISNUMBER('Dvd Calendar'!$O$1657)*100000000+0*10000000+(N('Dvd Calendar'!$O$1655)&gt;0)*(N('Dvd Calendar'!$O$1655)&lt;=VAL_SERIAL)*1000000+9*1000+51))</f>
        <v/>
      </c>
      <c r="GD168" s="121">
        <f>IF(N('Dvd Calendar'!$P$1656)=0,"",IF(('Dvd Calendar'!$P$1656&gt;=GRID_FROM)*('Dvd Calendar'!$P$1656&lt;=GRID_TO)*('Dvd Calendar'!$P$1656&gt;VAL_DATE)=0,"",'Dvd Calendar'!$P$1656*1000000000+ISNUMBER('Dvd Calendar'!$P$1657)*100000000+0*10000000+(N('Dvd Calendar'!$P$1655)&gt;0)*(N('Dvd Calendar'!$P$1655)&lt;=VAL_SERIAL)*1000000+9*1000+52))</f>
        <v/>
      </c>
      <c r="GE168" s="121">
        <f>IF(N('Dvd Calendar'!$Q$1656)=0,"",IF(('Dvd Calendar'!$Q$1656&gt;=GRID_FROM)*('Dvd Calendar'!$Q$1656&lt;=GRID_TO)*('Dvd Calendar'!$Q$1656&gt;VAL_DATE)=0,"",'Dvd Calendar'!$Q$1656*1000000000+ISNUMBER('Dvd Calendar'!$Q$1657)*100000000+0*10000000+(N('Dvd Calendar'!$Q$1655)&gt;0)*(N('Dvd Calendar'!$Q$1655)&lt;=VAL_SERIAL)*1000000+9*1000+53))</f>
        <v/>
      </c>
      <c r="GF168" s="121">
        <f>IF(N('Dvd Calendar'!$R$1656)=0,"",IF(('Dvd Calendar'!$R$1656&gt;=GRID_FROM)*('Dvd Calendar'!$R$1656&lt;=GRID_TO)*('Dvd Calendar'!$R$1656&gt;VAL_DATE)=0,"",'Dvd Calendar'!$R$1656*1000000000+ISNUMBER('Dvd Calendar'!$R$1657)*100000000+0*10000000+(N('Dvd Calendar'!$R$1655)&gt;0)*(N('Dvd Calendar'!$R$1655)&lt;=VAL_SERIAL)*1000000+9*1000+54))</f>
        <v/>
      </c>
      <c r="GG168" s="121">
        <f>IF(N('Dvd Calendar'!$S$1656)=0,"",IF(('Dvd Calendar'!$S$1656&gt;=GRID_FROM)*('Dvd Calendar'!$S$1656&lt;=GRID_TO)*('Dvd Calendar'!$S$1656&gt;VAL_DATE)=0,"",'Dvd Calendar'!$S$1656*1000000000+ISNUMBER('Dvd Calendar'!$S$1657)*100000000+0*10000000+(N('Dvd Calendar'!$S$1655)&gt;0)*(N('Dvd Calendar'!$S$1655)&lt;=VAL_SERIAL)*1000000+9*1000+55))</f>
        <v/>
      </c>
      <c r="GH168" s="121">
        <f>IF(N('Dvd Calendar'!$T$1656)=0,"",IF(('Dvd Calendar'!$T$1656&gt;=GRID_FROM)*('Dvd Calendar'!$T$1656&lt;=GRID_TO)*('Dvd Calendar'!$T$1656&gt;VAL_DATE)=0,"",'Dvd Calendar'!$T$1656*1000000000+ISNUMBER('Dvd Calendar'!$T$1657)*100000000+0*10000000+(N('Dvd Calendar'!$T$1655)&gt;0)*(N('Dvd Calendar'!$T$1655)&lt;=VAL_SERIAL)*1000000+9*1000+56))</f>
        <v/>
      </c>
      <c r="GI168" s="121">
        <f>IF(N('Dvd Calendar'!$U$1656)=0,"",IF(('Dvd Calendar'!$U$1656&gt;=GRID_FROM)*('Dvd Calendar'!$U$1656&lt;=GRID_TO)*('Dvd Calendar'!$U$1656&gt;VAL_DATE)=0,"",'Dvd Calendar'!$U$1656*1000000000+ISNUMBER('Dvd Calendar'!$U$1657)*100000000+0*10000000+(N('Dvd Calendar'!$U$1655)&gt;0)*(N('Dvd Calendar'!$U$1655)&lt;=VAL_SERIAL)*1000000+9*1000+57))</f>
        <v/>
      </c>
      <c r="GJ168" s="121">
        <f>IF(N('Dvd Calendar'!$V$1656)=0,"",IF(('Dvd Calendar'!$V$1656&gt;=GRID_FROM)*('Dvd Calendar'!$V$1656&lt;=GRID_TO)*('Dvd Calendar'!$V$1656&gt;VAL_DATE)=0,"",'Dvd Calendar'!$V$1656*1000000000+ISNUMBER('Dvd Calendar'!$V$1657)*100000000+0*10000000+(N('Dvd Calendar'!$V$1655)&gt;0)*(N('Dvd Calendar'!$V$1655)&lt;=VAL_SERIAL)*1000000+9*1000+58))</f>
        <v/>
      </c>
      <c r="GK168" s="121">
        <f>IF(N('Dvd Calendar'!$W$1656)=0,"",IF(('Dvd Calendar'!$W$1656&gt;=GRID_FROM)*('Dvd Calendar'!$W$1656&lt;=GRID_TO)*('Dvd Calendar'!$W$1656&gt;VAL_DATE)=0,"",'Dvd Calendar'!$W$1656*1000000000+ISNUMBER('Dvd Calendar'!$W$1657)*100000000+0*10000000+(N('Dvd Calendar'!$W$1655)&gt;0)*(N('Dvd Calendar'!$W$1655)&lt;=VAL_SERIAL)*1000000+9*1000+59))</f>
        <v/>
      </c>
      <c r="GL168" s="121">
        <f>IF(N('Dvd Calendar'!$X$1656)=0,"",IF(('Dvd Calendar'!$X$1656&gt;=GRID_FROM)*('Dvd Calendar'!$X$1656&lt;=GRID_TO)*('Dvd Calendar'!$X$1656&gt;VAL_DATE)=0,"",'Dvd Calendar'!$X$1656*1000000000+ISNUMBER('Dvd Calendar'!$X$1657)*100000000+0*10000000+(N('Dvd Calendar'!$X$1655)&gt;0)*(N('Dvd Calendar'!$X$1655)&lt;=VAL_SERIAL)*1000000+9*1000+60))</f>
        <v/>
      </c>
      <c r="GM168" s="121">
        <f>IF(N('Dvd Calendar'!$Y$1656)=0,"",IF(('Dvd Calendar'!$Y$1656&gt;=GRID_FROM)*('Dvd Calendar'!$Y$1656&lt;=GRID_TO)*('Dvd Calendar'!$Y$1656&gt;VAL_DATE)=0,"",'Dvd Calendar'!$Y$1656*1000000000+ISNUMBER('Dvd Calendar'!$Y$1657)*100000000+0*10000000+(N('Dvd Calendar'!$Y$1655)&gt;0)*(N('Dvd Calendar'!$Y$1655)&lt;=VAL_SERIAL)*1000000+9*1000+61))</f>
        <v/>
      </c>
      <c r="GN168" s="121">
        <f>IF(N('Dvd Calendar'!$Z$1656)=0,"",IF(('Dvd Calendar'!$Z$1656&gt;=GRID_FROM)*('Dvd Calendar'!$Z$1656&lt;=GRID_TO)*('Dvd Calendar'!$Z$1656&gt;VAL_DATE)=0,"",'Dvd Calendar'!$Z$1656*1000000000+ISNUMBER('Dvd Calendar'!$Z$1657)*100000000+0*10000000+(N('Dvd Calendar'!$Z$1655)&gt;0)*(N('Dvd Calendar'!$Z$1655)&lt;=VAL_SERIAL)*1000000+9*1000+62))</f>
        <v/>
      </c>
      <c r="GO168" s="121">
        <f>IF(N('Dvd Calendar'!$AA$1656)=0,"",IF(('Dvd Calendar'!$AA$1656&gt;=GRID_FROM)*('Dvd Calendar'!$AA$1656&lt;=GRID_TO)*('Dvd Calendar'!$AA$1656&gt;VAL_DATE)=0,"",'Dvd Calendar'!$AA$1656*1000000000+ISNUMBER('Dvd Calendar'!$AA$1657)*100000000+0*10000000+(N('Dvd Calendar'!$AA$1655)&gt;0)*(N('Dvd Calendar'!$AA$1655)&lt;=VAL_SERIAL)*1000000+9*1000+63))</f>
        <v/>
      </c>
      <c r="GP168" s="121">
        <f>IF(N('Dvd Calendar'!$AB$1656)=0,"",IF(('Dvd Calendar'!$AB$1656&gt;=GRID_FROM)*('Dvd Calendar'!$AB$1656&lt;=GRID_TO)*('Dvd Calendar'!$AB$1656&gt;VAL_DATE)=0,"",'Dvd Calendar'!$AB$1656*1000000000+ISNUMBER('Dvd Calendar'!$AB$1657)*100000000+0*10000000+(N('Dvd Calendar'!$AB$1655)&gt;0)*(N('Dvd Calendar'!$AB$1655)&lt;=VAL_SERIAL)*1000000+9*1000+64))</f>
        <v/>
      </c>
      <c r="GQ168" s="121">
        <f>IF(N('Dvd Calendar'!$AC$1656)=0,"",IF(('Dvd Calendar'!$AC$1656&gt;=GRID_FROM)*('Dvd Calendar'!$AC$1656&lt;=GRID_TO)*('Dvd Calendar'!$AC$1656&gt;VAL_DATE)=0,"",'Dvd Calendar'!$AC$1656*1000000000+ISNUMBER('Dvd Calendar'!$AC$1657)*100000000+0*10000000+(N('Dvd Calendar'!$AC$1655)&gt;0)*(N('Dvd Calendar'!$AC$1655)&lt;=VAL_SERIAL)*1000000+9*1000+65))</f>
        <v/>
      </c>
    </row>
    <row r="169">
      <c r="B169" s="2">
        <f>IF(HSCEI!$C$16="","",HSCEI!$C$16)</f>
        <v/>
      </c>
      <c r="C169" s="161">
        <f>IF(EE169="","",IF(ISNUMBER('Dvd Calendar'!$E$1663)=FALSE,"",IF((('Dvd Calendar'!$E$1665=TYPE1)*(TYPE1&lt;&gt;"")+('Dvd Calendar'!$E$1665=TYPE2)*(TYPE2&lt;&gt;"")+('Dvd Calendar'!$E$1665=TYPE3)*(TYPE3&lt;&gt;"")+('Dvd Calendar'!$E$1665=TYPE4)*(TYPE4&lt;&gt;"")+('Dvd Calendar'!$E$1665=SPECIAL_LBL)*(INC_SPECIALS="Y"))=0,"",'Dvd Calendar'!$E$1663)))</f>
        <v/>
      </c>
      <c r="D169" s="161">
        <f>IF(EF169="","",IF(ISNUMBER('Dvd Calendar'!$F$1663)=FALSE,"",IF((('Dvd Calendar'!$F$1665=TYPE1)*(TYPE1&lt;&gt;"")+('Dvd Calendar'!$F$1665=TYPE2)*(TYPE2&lt;&gt;"")+('Dvd Calendar'!$F$1665=TYPE3)*(TYPE3&lt;&gt;"")+('Dvd Calendar'!$F$1665=TYPE4)*(TYPE4&lt;&gt;"")+('Dvd Calendar'!$F$1665=SPECIAL_LBL)*(INC_SPECIALS="Y"))=0,"",'Dvd Calendar'!$F$1663)))</f>
        <v/>
      </c>
      <c r="E169" s="161">
        <f>IF(EG169="","",IF(ISNUMBER('Dvd Calendar'!$G$1663)=FALSE,"",IF((('Dvd Calendar'!$G$1665=TYPE1)*(TYPE1&lt;&gt;"")+('Dvd Calendar'!$G$1665=TYPE2)*(TYPE2&lt;&gt;"")+('Dvd Calendar'!$G$1665=TYPE3)*(TYPE3&lt;&gt;"")+('Dvd Calendar'!$G$1665=TYPE4)*(TYPE4&lt;&gt;"")+('Dvd Calendar'!$G$1665=SPECIAL_LBL)*(INC_SPECIALS="Y"))=0,"",'Dvd Calendar'!$G$1663)))</f>
        <v/>
      </c>
      <c r="F169" s="161">
        <f>IF(EH169="","",IF(ISNUMBER('Dvd Calendar'!$H$1663)=FALSE,"",IF((('Dvd Calendar'!$H$1665=TYPE1)*(TYPE1&lt;&gt;"")+('Dvd Calendar'!$H$1665=TYPE2)*(TYPE2&lt;&gt;"")+('Dvd Calendar'!$H$1665=TYPE3)*(TYPE3&lt;&gt;"")+('Dvd Calendar'!$H$1665=TYPE4)*(TYPE4&lt;&gt;"")+('Dvd Calendar'!$H$1665=SPECIAL_LBL)*(INC_SPECIALS="Y"))=0,"",'Dvd Calendar'!$H$1663)))</f>
        <v/>
      </c>
      <c r="G169" s="161">
        <f>IF(EI169="","",IF(ISNUMBER('Dvd Calendar'!$I$1663)=FALSE,"",IF((('Dvd Calendar'!$I$1665=TYPE1)*(TYPE1&lt;&gt;"")+('Dvd Calendar'!$I$1665=TYPE2)*(TYPE2&lt;&gt;"")+('Dvd Calendar'!$I$1665=TYPE3)*(TYPE3&lt;&gt;"")+('Dvd Calendar'!$I$1665=TYPE4)*(TYPE4&lt;&gt;"")+('Dvd Calendar'!$I$1665=SPECIAL_LBL)*(INC_SPECIALS="Y"))=0,"",'Dvd Calendar'!$I$1663)))</f>
        <v/>
      </c>
      <c r="H169" s="161">
        <f>IF(EJ169="","",IF(ISNUMBER('Dvd Calendar'!$J$1663)=FALSE,"",IF((('Dvd Calendar'!$J$1665=TYPE1)*(TYPE1&lt;&gt;"")+('Dvd Calendar'!$J$1665=TYPE2)*(TYPE2&lt;&gt;"")+('Dvd Calendar'!$J$1665=TYPE3)*(TYPE3&lt;&gt;"")+('Dvd Calendar'!$J$1665=TYPE4)*(TYPE4&lt;&gt;"")+('Dvd Calendar'!$J$1665=SPECIAL_LBL)*(INC_SPECIALS="Y"))=0,"",'Dvd Calendar'!$J$1663)))</f>
        <v/>
      </c>
      <c r="I169" s="161">
        <f>IF(EK169="","",IF(ISNUMBER('Dvd Calendar'!$K$1663)=FALSE,"",IF((('Dvd Calendar'!$K$1665=TYPE1)*(TYPE1&lt;&gt;"")+('Dvd Calendar'!$K$1665=TYPE2)*(TYPE2&lt;&gt;"")+('Dvd Calendar'!$K$1665=TYPE3)*(TYPE3&lt;&gt;"")+('Dvd Calendar'!$K$1665=TYPE4)*(TYPE4&lt;&gt;"")+('Dvd Calendar'!$K$1665=SPECIAL_LBL)*(INC_SPECIALS="Y"))=0,"",'Dvd Calendar'!$K$1663)))</f>
        <v/>
      </c>
      <c r="J169" s="161">
        <f>IF(EL169="","",IF(ISNUMBER('Dvd Calendar'!$L$1663)=FALSE,"",IF((('Dvd Calendar'!$L$1665=TYPE1)*(TYPE1&lt;&gt;"")+('Dvd Calendar'!$L$1665=TYPE2)*(TYPE2&lt;&gt;"")+('Dvd Calendar'!$L$1665=TYPE3)*(TYPE3&lt;&gt;"")+('Dvd Calendar'!$L$1665=TYPE4)*(TYPE4&lt;&gt;"")+('Dvd Calendar'!$L$1665=SPECIAL_LBL)*(INC_SPECIALS="Y"))=0,"",'Dvd Calendar'!$L$1663)))</f>
        <v/>
      </c>
      <c r="K169" s="161">
        <f>IF(EM169="","",IF(ISNUMBER('Dvd Calendar'!$M$1663)=FALSE,"",IF((('Dvd Calendar'!$M$1665=TYPE1)*(TYPE1&lt;&gt;"")+('Dvd Calendar'!$M$1665=TYPE2)*(TYPE2&lt;&gt;"")+('Dvd Calendar'!$M$1665=TYPE3)*(TYPE3&lt;&gt;"")+('Dvd Calendar'!$M$1665=TYPE4)*(TYPE4&lt;&gt;"")+('Dvd Calendar'!$M$1665=SPECIAL_LBL)*(INC_SPECIALS="Y"))=0,"",'Dvd Calendar'!$M$1663)))</f>
        <v/>
      </c>
      <c r="L169" s="161">
        <f>IF(EN169="","",IF(ISNUMBER('Dvd Calendar'!$N$1663)=FALSE,"",IF((('Dvd Calendar'!$N$1665=TYPE1)*(TYPE1&lt;&gt;"")+('Dvd Calendar'!$N$1665=TYPE2)*(TYPE2&lt;&gt;"")+('Dvd Calendar'!$N$1665=TYPE3)*(TYPE3&lt;&gt;"")+('Dvd Calendar'!$N$1665=TYPE4)*(TYPE4&lt;&gt;"")+('Dvd Calendar'!$N$1665=SPECIAL_LBL)*(INC_SPECIALS="Y"))=0,"",'Dvd Calendar'!$N$1663)))</f>
        <v/>
      </c>
      <c r="M169" s="161">
        <f>IF(EO169="","",IF(ISNUMBER('Dvd Calendar'!$O$1663)=FALSE,"",IF((('Dvd Calendar'!$O$1665=TYPE1)*(TYPE1&lt;&gt;"")+('Dvd Calendar'!$O$1665=TYPE2)*(TYPE2&lt;&gt;"")+('Dvd Calendar'!$O$1665=TYPE3)*(TYPE3&lt;&gt;"")+('Dvd Calendar'!$O$1665=TYPE4)*(TYPE4&lt;&gt;"")+('Dvd Calendar'!$O$1665=SPECIAL_LBL)*(INC_SPECIALS="Y"))=0,"",'Dvd Calendar'!$O$1663)))</f>
        <v/>
      </c>
      <c r="N169" s="161">
        <f>IF(EP169="","",IF(ISNUMBER('Dvd Calendar'!$P$1663)=FALSE,"",IF((('Dvd Calendar'!$P$1665=TYPE1)*(TYPE1&lt;&gt;"")+('Dvd Calendar'!$P$1665=TYPE2)*(TYPE2&lt;&gt;"")+('Dvd Calendar'!$P$1665=TYPE3)*(TYPE3&lt;&gt;"")+('Dvd Calendar'!$P$1665=TYPE4)*(TYPE4&lt;&gt;"")+('Dvd Calendar'!$P$1665=SPECIAL_LBL)*(INC_SPECIALS="Y"))=0,"",'Dvd Calendar'!$P$1663)))</f>
        <v/>
      </c>
      <c r="O169" s="161">
        <f>IF(EQ169="","",IF(ISNUMBER('Dvd Calendar'!$Q$1663)=FALSE,"",IF((('Dvd Calendar'!$Q$1665=TYPE1)*(TYPE1&lt;&gt;"")+('Dvd Calendar'!$Q$1665=TYPE2)*(TYPE2&lt;&gt;"")+('Dvd Calendar'!$Q$1665=TYPE3)*(TYPE3&lt;&gt;"")+('Dvd Calendar'!$Q$1665=TYPE4)*(TYPE4&lt;&gt;"")+('Dvd Calendar'!$Q$1665=SPECIAL_LBL)*(INC_SPECIALS="Y"))=0,"",'Dvd Calendar'!$Q$1663)))</f>
        <v/>
      </c>
      <c r="P169" s="161">
        <f>IF(ER169="","",IF(ISNUMBER('Dvd Calendar'!$R$1663)=FALSE,"",IF((('Dvd Calendar'!$R$1665=TYPE1)*(TYPE1&lt;&gt;"")+('Dvd Calendar'!$R$1665=TYPE2)*(TYPE2&lt;&gt;"")+('Dvd Calendar'!$R$1665=TYPE3)*(TYPE3&lt;&gt;"")+('Dvd Calendar'!$R$1665=TYPE4)*(TYPE4&lt;&gt;"")+('Dvd Calendar'!$R$1665=SPECIAL_LBL)*(INC_SPECIALS="Y"))=0,"",'Dvd Calendar'!$R$1663)))</f>
        <v/>
      </c>
      <c r="Q169" s="161">
        <f>IF(ES169="","",IF(ISNUMBER('Dvd Calendar'!$S$1663)=FALSE,"",IF((('Dvd Calendar'!$S$1665=TYPE1)*(TYPE1&lt;&gt;"")+('Dvd Calendar'!$S$1665=TYPE2)*(TYPE2&lt;&gt;"")+('Dvd Calendar'!$S$1665=TYPE3)*(TYPE3&lt;&gt;"")+('Dvd Calendar'!$S$1665=TYPE4)*(TYPE4&lt;&gt;"")+('Dvd Calendar'!$S$1665=SPECIAL_LBL)*(INC_SPECIALS="Y"))=0,"",'Dvd Calendar'!$S$1663)))</f>
        <v/>
      </c>
      <c r="R169" s="161">
        <f>IF(ET169="","",IF(ISNUMBER('Dvd Calendar'!$T$1663)=FALSE,"",IF((('Dvd Calendar'!$T$1665=TYPE1)*(TYPE1&lt;&gt;"")+('Dvd Calendar'!$T$1665=TYPE2)*(TYPE2&lt;&gt;"")+('Dvd Calendar'!$T$1665=TYPE3)*(TYPE3&lt;&gt;"")+('Dvd Calendar'!$T$1665=TYPE4)*(TYPE4&lt;&gt;"")+('Dvd Calendar'!$T$1665=SPECIAL_LBL)*(INC_SPECIALS="Y"))=0,"",'Dvd Calendar'!$T$1663)))</f>
        <v/>
      </c>
      <c r="S169" s="161">
        <f>IF(EU169="","",IF(ISNUMBER('Dvd Calendar'!$U$1663)=FALSE,"",IF((('Dvd Calendar'!$U$1665=TYPE1)*(TYPE1&lt;&gt;"")+('Dvd Calendar'!$U$1665=TYPE2)*(TYPE2&lt;&gt;"")+('Dvd Calendar'!$U$1665=TYPE3)*(TYPE3&lt;&gt;"")+('Dvd Calendar'!$U$1665=TYPE4)*(TYPE4&lt;&gt;"")+('Dvd Calendar'!$U$1665=SPECIAL_LBL)*(INC_SPECIALS="Y"))=0,"",'Dvd Calendar'!$U$1663)))</f>
        <v/>
      </c>
      <c r="T169" s="161">
        <f>IF(EV169="","",IF(ISNUMBER('Dvd Calendar'!$V$1663)=FALSE,"",IF((('Dvd Calendar'!$V$1665=TYPE1)*(TYPE1&lt;&gt;"")+('Dvd Calendar'!$V$1665=TYPE2)*(TYPE2&lt;&gt;"")+('Dvd Calendar'!$V$1665=TYPE3)*(TYPE3&lt;&gt;"")+('Dvd Calendar'!$V$1665=TYPE4)*(TYPE4&lt;&gt;"")+('Dvd Calendar'!$V$1665=SPECIAL_LBL)*(INC_SPECIALS="Y"))=0,"",'Dvd Calendar'!$V$1663)))</f>
        <v/>
      </c>
      <c r="U169" s="161">
        <f>IF(EW169="","",IF(ISNUMBER('Dvd Calendar'!$W$1663)=FALSE,"",IF((('Dvd Calendar'!$W$1665=TYPE1)*(TYPE1&lt;&gt;"")+('Dvd Calendar'!$W$1665=TYPE2)*(TYPE2&lt;&gt;"")+('Dvd Calendar'!$W$1665=TYPE3)*(TYPE3&lt;&gt;"")+('Dvd Calendar'!$W$1665=TYPE4)*(TYPE4&lt;&gt;"")+('Dvd Calendar'!$W$1665=SPECIAL_LBL)*(INC_SPECIALS="Y"))=0,"",'Dvd Calendar'!$W$1663)))</f>
        <v/>
      </c>
      <c r="V169" s="161">
        <f>IF(EX169="","",IF(ISNUMBER('Dvd Calendar'!$X$1663)=FALSE,"",IF((('Dvd Calendar'!$X$1665=TYPE1)*(TYPE1&lt;&gt;"")+('Dvd Calendar'!$X$1665=TYPE2)*(TYPE2&lt;&gt;"")+('Dvd Calendar'!$X$1665=TYPE3)*(TYPE3&lt;&gt;"")+('Dvd Calendar'!$X$1665=TYPE4)*(TYPE4&lt;&gt;"")+('Dvd Calendar'!$X$1665=SPECIAL_LBL)*(INC_SPECIALS="Y"))=0,"",'Dvd Calendar'!$X$1663)))</f>
        <v/>
      </c>
      <c r="W169" s="161">
        <f>IF(EY169="","",IF(ISNUMBER('Dvd Calendar'!$Y$1663)=FALSE,"",IF((('Dvd Calendar'!$Y$1665=TYPE1)*(TYPE1&lt;&gt;"")+('Dvd Calendar'!$Y$1665=TYPE2)*(TYPE2&lt;&gt;"")+('Dvd Calendar'!$Y$1665=TYPE3)*(TYPE3&lt;&gt;"")+('Dvd Calendar'!$Y$1665=TYPE4)*(TYPE4&lt;&gt;"")+('Dvd Calendar'!$Y$1665=SPECIAL_LBL)*(INC_SPECIALS="Y"))=0,"",'Dvd Calendar'!$Y$1663)))</f>
        <v/>
      </c>
      <c r="X169" s="161">
        <f>IF(EZ169="","",IF(ISNUMBER('Dvd Calendar'!$Z$1663)=FALSE,"",IF((('Dvd Calendar'!$Z$1665=TYPE1)*(TYPE1&lt;&gt;"")+('Dvd Calendar'!$Z$1665=TYPE2)*(TYPE2&lt;&gt;"")+('Dvd Calendar'!$Z$1665=TYPE3)*(TYPE3&lt;&gt;"")+('Dvd Calendar'!$Z$1665=TYPE4)*(TYPE4&lt;&gt;"")+('Dvd Calendar'!$Z$1665=SPECIAL_LBL)*(INC_SPECIALS="Y"))=0,"",'Dvd Calendar'!$Z$1663)))</f>
        <v/>
      </c>
      <c r="Y169" s="161">
        <f>IF(FA169="","",IF(ISNUMBER('Dvd Calendar'!$AA$1663)=FALSE,"",IF((('Dvd Calendar'!$AA$1665=TYPE1)*(TYPE1&lt;&gt;"")+('Dvd Calendar'!$AA$1665=TYPE2)*(TYPE2&lt;&gt;"")+('Dvd Calendar'!$AA$1665=TYPE3)*(TYPE3&lt;&gt;"")+('Dvd Calendar'!$AA$1665=TYPE4)*(TYPE4&lt;&gt;"")+('Dvd Calendar'!$AA$1665=SPECIAL_LBL)*(INC_SPECIALS="Y"))=0,"",'Dvd Calendar'!$AA$1663)))</f>
        <v/>
      </c>
      <c r="Z169" s="161">
        <f>IF(FB169="","",IF(ISNUMBER('Dvd Calendar'!$AB$1663)=FALSE,"",IF((('Dvd Calendar'!$AB$1665=TYPE1)*(TYPE1&lt;&gt;"")+('Dvd Calendar'!$AB$1665=TYPE2)*(TYPE2&lt;&gt;"")+('Dvd Calendar'!$AB$1665=TYPE3)*(TYPE3&lt;&gt;"")+('Dvd Calendar'!$AB$1665=TYPE4)*(TYPE4&lt;&gt;"")+('Dvd Calendar'!$AB$1665=SPECIAL_LBL)*(INC_SPECIALS="Y"))=0,"",'Dvd Calendar'!$AB$1663)))</f>
        <v/>
      </c>
      <c r="AA169" s="161">
        <f>IF(FC169="","",IF(ISNUMBER('Dvd Calendar'!$AC$1663)=FALSE,"",IF((('Dvd Calendar'!$AC$1665=TYPE1)*(TYPE1&lt;&gt;"")+('Dvd Calendar'!$AC$1665=TYPE2)*(TYPE2&lt;&gt;"")+('Dvd Calendar'!$AC$1665=TYPE3)*(TYPE3&lt;&gt;"")+('Dvd Calendar'!$AC$1665=TYPE4)*(TYPE4&lt;&gt;"")+('Dvd Calendar'!$AC$1665=SPECIAL_LBL)*(INC_SPECIALS="Y"))=0,"",'Dvd Calendar'!$AC$1663)))</f>
        <v/>
      </c>
      <c r="AB169" s="161">
        <f>IF(FD169="","",IF(ISNUMBER('Dvd Calendar'!$AD$1663)=FALSE,"",IF((('Dvd Calendar'!$AD$1665=TYPE1)*(TYPE1&lt;&gt;"")+('Dvd Calendar'!$AD$1665=TYPE2)*(TYPE2&lt;&gt;"")+('Dvd Calendar'!$AD$1665=TYPE3)*(TYPE3&lt;&gt;"")+('Dvd Calendar'!$AD$1665=TYPE4)*(TYPE4&lt;&gt;"")+('Dvd Calendar'!$AD$1665=SPECIAL_LBL)*(INC_SPECIALS="Y"))=0,"",'Dvd Calendar'!$AD$1663)))</f>
        <v/>
      </c>
      <c r="AC169" s="161">
        <f>IF(FE169="","",IF(ISNUMBER('Dvd Calendar'!$AE$1663)=FALSE,"",IF((('Dvd Calendar'!$AE$1665=TYPE1)*(TYPE1&lt;&gt;"")+('Dvd Calendar'!$AE$1665=TYPE2)*(TYPE2&lt;&gt;"")+('Dvd Calendar'!$AE$1665=TYPE3)*(TYPE3&lt;&gt;"")+('Dvd Calendar'!$AE$1665=TYPE4)*(TYPE4&lt;&gt;"")+('Dvd Calendar'!$AE$1665=SPECIAL_LBL)*(INC_SPECIALS="Y"))=0,"",'Dvd Calendar'!$AE$1663)))</f>
        <v/>
      </c>
      <c r="AD169" s="161">
        <f>IF(FF169="","",IF(ISNUMBER('Dvd Calendar'!$AF$1663)=FALSE,"",IF((('Dvd Calendar'!$AF$1665=TYPE1)*(TYPE1&lt;&gt;"")+('Dvd Calendar'!$AF$1665=TYPE2)*(TYPE2&lt;&gt;"")+('Dvd Calendar'!$AF$1665=TYPE3)*(TYPE3&lt;&gt;"")+('Dvd Calendar'!$AF$1665=TYPE4)*(TYPE4&lt;&gt;"")+('Dvd Calendar'!$AF$1665=SPECIAL_LBL)*(INC_SPECIALS="Y"))=0,"",'Dvd Calendar'!$AF$1663)))</f>
        <v/>
      </c>
      <c r="AE169" s="161">
        <f>IF(FG169="","",IF(ISNUMBER('Dvd Calendar'!$AG$1663)=FALSE,"",IF((('Dvd Calendar'!$AG$1665=TYPE1)*(TYPE1&lt;&gt;"")+('Dvd Calendar'!$AG$1665=TYPE2)*(TYPE2&lt;&gt;"")+('Dvd Calendar'!$AG$1665=TYPE3)*(TYPE3&lt;&gt;"")+('Dvd Calendar'!$AG$1665=TYPE4)*(TYPE4&lt;&gt;"")+('Dvd Calendar'!$AG$1665=SPECIAL_LBL)*(INC_SPECIALS="Y"))=0,"",'Dvd Calendar'!$AG$1663)))</f>
        <v/>
      </c>
      <c r="AF169" s="161">
        <f>IF(FH169="","",IF(ISNUMBER('Dvd Calendar'!$AH$1663)=FALSE,"",IF((('Dvd Calendar'!$AH$1665=TYPE1)*(TYPE1&lt;&gt;"")+('Dvd Calendar'!$AH$1665=TYPE2)*(TYPE2&lt;&gt;"")+('Dvd Calendar'!$AH$1665=TYPE3)*(TYPE3&lt;&gt;"")+('Dvd Calendar'!$AH$1665=TYPE4)*(TYPE4&lt;&gt;"")+('Dvd Calendar'!$AH$1665=SPECIAL_LBL)*(INC_SPECIALS="Y"))=0,"",'Dvd Calendar'!$AH$1663)))</f>
        <v/>
      </c>
      <c r="AG169" s="161">
        <f>IF(FI169="","",IF(ISNUMBER('Dvd Calendar'!$AI$1663)=FALSE,"",IF((('Dvd Calendar'!$AI$1665=TYPE1)*(TYPE1&lt;&gt;"")+('Dvd Calendar'!$AI$1665=TYPE2)*(TYPE2&lt;&gt;"")+('Dvd Calendar'!$AI$1665=TYPE3)*(TYPE3&lt;&gt;"")+('Dvd Calendar'!$AI$1665=TYPE4)*(TYPE4&lt;&gt;"")+('Dvd Calendar'!$AI$1665=SPECIAL_LBL)*(INC_SPECIALS="Y"))=0,"",'Dvd Calendar'!$AI$1663)))</f>
        <v/>
      </c>
      <c r="AH169" s="161">
        <f>IF(FJ169="","",IF(ISNUMBER('Dvd Calendar'!$AJ$1663)=FALSE,"",IF((('Dvd Calendar'!$AJ$1665=TYPE1)*(TYPE1&lt;&gt;"")+('Dvd Calendar'!$AJ$1665=TYPE2)*(TYPE2&lt;&gt;"")+('Dvd Calendar'!$AJ$1665=TYPE3)*(TYPE3&lt;&gt;"")+('Dvd Calendar'!$AJ$1665=TYPE4)*(TYPE4&lt;&gt;"")+('Dvd Calendar'!$AJ$1665=SPECIAL_LBL)*(INC_SPECIALS="Y"))=0,"",'Dvd Calendar'!$AJ$1663)))</f>
        <v/>
      </c>
      <c r="AI169" s="161">
        <f>IF(FK169="","",IF(ISNUMBER('Dvd Calendar'!$AK$1663)=FALSE,"",IF((('Dvd Calendar'!$AK$1665=TYPE1)*(TYPE1&lt;&gt;"")+('Dvd Calendar'!$AK$1665=TYPE2)*(TYPE2&lt;&gt;"")+('Dvd Calendar'!$AK$1665=TYPE3)*(TYPE3&lt;&gt;"")+('Dvd Calendar'!$AK$1665=TYPE4)*(TYPE4&lt;&gt;"")+('Dvd Calendar'!$AK$1665=SPECIAL_LBL)*(INC_SPECIALS="Y"))=0,"",'Dvd Calendar'!$AK$1663)))</f>
        <v/>
      </c>
      <c r="AJ169" s="161">
        <f>IF(FL169="","",IF(ISNUMBER('Dvd Calendar'!$AL$1663)=FALSE,"",IF((('Dvd Calendar'!$AL$1665=TYPE1)*(TYPE1&lt;&gt;"")+('Dvd Calendar'!$AL$1665=TYPE2)*(TYPE2&lt;&gt;"")+('Dvd Calendar'!$AL$1665=TYPE3)*(TYPE3&lt;&gt;"")+('Dvd Calendar'!$AL$1665=TYPE4)*(TYPE4&lt;&gt;"")+('Dvd Calendar'!$AL$1665=SPECIAL_LBL)*(INC_SPECIALS="Y"))=0,"",'Dvd Calendar'!$AL$1663)))</f>
        <v/>
      </c>
      <c r="AK169" s="161">
        <f>IF(FM169="","",IF(ISNUMBER('Dvd Calendar'!$AM$1663)=FALSE,"",IF((('Dvd Calendar'!$AM$1665=TYPE1)*(TYPE1&lt;&gt;"")+('Dvd Calendar'!$AM$1665=TYPE2)*(TYPE2&lt;&gt;"")+('Dvd Calendar'!$AM$1665=TYPE3)*(TYPE3&lt;&gt;"")+('Dvd Calendar'!$AM$1665=TYPE4)*(TYPE4&lt;&gt;"")+('Dvd Calendar'!$AM$1665=SPECIAL_LBL)*(INC_SPECIALS="Y"))=0,"",'Dvd Calendar'!$AM$1663)))</f>
        <v/>
      </c>
      <c r="AL169" s="161">
        <f>IF(FN169="","",IF(ISNUMBER('Dvd Calendar'!$AN$1663)=FALSE,"",IF((('Dvd Calendar'!$AN$1665=TYPE1)*(TYPE1&lt;&gt;"")+('Dvd Calendar'!$AN$1665=TYPE2)*(TYPE2&lt;&gt;"")+('Dvd Calendar'!$AN$1665=TYPE3)*(TYPE3&lt;&gt;"")+('Dvd Calendar'!$AN$1665=TYPE4)*(TYPE4&lt;&gt;"")+('Dvd Calendar'!$AN$1665=SPECIAL_LBL)*(INC_SPECIALS="Y"))=0,"",'Dvd Calendar'!$AN$1663)))</f>
        <v/>
      </c>
      <c r="AM169" s="161">
        <f>IF(FO169="","",IF(ISNUMBER('Dvd Calendar'!$AO$1663)=FALSE,"",IF((('Dvd Calendar'!$AO$1665=TYPE1)*(TYPE1&lt;&gt;"")+('Dvd Calendar'!$AO$1665=TYPE2)*(TYPE2&lt;&gt;"")+('Dvd Calendar'!$AO$1665=TYPE3)*(TYPE3&lt;&gt;"")+('Dvd Calendar'!$AO$1665=TYPE4)*(TYPE4&lt;&gt;"")+('Dvd Calendar'!$AO$1665=SPECIAL_LBL)*(INC_SPECIALS="Y"))=0,"",'Dvd Calendar'!$AO$1663)))</f>
        <v/>
      </c>
      <c r="AN169" s="161">
        <f>IF(FP169="","",IF(ISNUMBER('Dvd Calendar'!$AP$1663)=FALSE,"",IF((('Dvd Calendar'!$AP$1665=TYPE1)*(TYPE1&lt;&gt;"")+('Dvd Calendar'!$AP$1665=TYPE2)*(TYPE2&lt;&gt;"")+('Dvd Calendar'!$AP$1665=TYPE3)*(TYPE3&lt;&gt;"")+('Dvd Calendar'!$AP$1665=TYPE4)*(TYPE4&lt;&gt;"")+('Dvd Calendar'!$AP$1665=SPECIAL_LBL)*(INC_SPECIALS="Y"))=0,"",'Dvd Calendar'!$AP$1663)))</f>
        <v/>
      </c>
      <c r="AO169" s="161">
        <f>IF(FQ169="","",IF(ISNUMBER('Dvd Calendar'!$AQ$1663)=FALSE,"",IF((('Dvd Calendar'!$AQ$1665=TYPE1)*(TYPE1&lt;&gt;"")+('Dvd Calendar'!$AQ$1665=TYPE2)*(TYPE2&lt;&gt;"")+('Dvd Calendar'!$AQ$1665=TYPE3)*(TYPE3&lt;&gt;"")+('Dvd Calendar'!$AQ$1665=TYPE4)*(TYPE4&lt;&gt;"")+('Dvd Calendar'!$AQ$1665=SPECIAL_LBL)*(INC_SPECIALS="Y"))=0,"",'Dvd Calendar'!$AQ$1663)))</f>
        <v/>
      </c>
      <c r="AP169" s="161">
        <f>IF(FR169="","",IF(ISNUMBER('Dvd Calendar'!$AR$1663)=FALSE,"",IF((('Dvd Calendar'!$AR$1665=TYPE1)*(TYPE1&lt;&gt;"")+('Dvd Calendar'!$AR$1665=TYPE2)*(TYPE2&lt;&gt;"")+('Dvd Calendar'!$AR$1665=TYPE3)*(TYPE3&lt;&gt;"")+('Dvd Calendar'!$AR$1665=TYPE4)*(TYPE4&lt;&gt;"")+('Dvd Calendar'!$AR$1665=SPECIAL_LBL)*(INC_SPECIALS="Y"))=0,"",'Dvd Calendar'!$AR$1663)))</f>
        <v/>
      </c>
      <c r="AQ169" s="161">
        <f>IF(FS169="","",IF(ISNUMBER('Dvd Calendar'!$E$1668)=FALSE,"",'Dvd Calendar'!$E$1668))</f>
        <v/>
      </c>
      <c r="AR169" s="161">
        <f>IF(FT169="","",IF(ISNUMBER('Dvd Calendar'!$F$1668)=FALSE,"",'Dvd Calendar'!$F$1668))</f>
        <v/>
      </c>
      <c r="AS169" s="161">
        <f>IF(FU169="","",IF(ISNUMBER('Dvd Calendar'!$G$1668)=FALSE,"",'Dvd Calendar'!$G$1668))</f>
        <v/>
      </c>
      <c r="AT169" s="161">
        <f>IF(FV169="","",IF(ISNUMBER('Dvd Calendar'!$H$1668)=FALSE,"",'Dvd Calendar'!$H$1668))</f>
        <v/>
      </c>
      <c r="AU169" s="161">
        <f>IF(FW169="","",IF(ISNUMBER('Dvd Calendar'!$I$1668)=FALSE,"",'Dvd Calendar'!$I$1668))</f>
        <v/>
      </c>
      <c r="AV169" s="161">
        <f>IF(FX169="","",IF(ISNUMBER('Dvd Calendar'!$J$1668)=FALSE,"",'Dvd Calendar'!$J$1668))</f>
        <v/>
      </c>
      <c r="AW169" s="161">
        <f>IF(FY169="","",IF(ISNUMBER('Dvd Calendar'!$K$1668)=FALSE,"",'Dvd Calendar'!$K$1668))</f>
        <v/>
      </c>
      <c r="AX169" s="161">
        <f>IF(FZ169="","",IF(ISNUMBER('Dvd Calendar'!$L$1668)=FALSE,"",'Dvd Calendar'!$L$1668))</f>
        <v/>
      </c>
      <c r="AY169" s="161">
        <f>IF(GA169="","",IF(ISNUMBER('Dvd Calendar'!$M$1668)=FALSE,"",'Dvd Calendar'!$M$1668))</f>
        <v/>
      </c>
      <c r="AZ169" s="161">
        <f>IF(GB169="","",IF(ISNUMBER('Dvd Calendar'!$N$1668)=FALSE,"",'Dvd Calendar'!$N$1668))</f>
        <v/>
      </c>
      <c r="BA169" s="161">
        <f>IF(GC169="","",IF(ISNUMBER('Dvd Calendar'!$O$1668)=FALSE,"",'Dvd Calendar'!$O$1668))</f>
        <v/>
      </c>
      <c r="BB169" s="161">
        <f>IF(GD169="","",IF(ISNUMBER('Dvd Calendar'!$P$1668)=FALSE,"",'Dvd Calendar'!$P$1668))</f>
        <v/>
      </c>
      <c r="BC169" s="161">
        <f>IF(GE169="","",IF(ISNUMBER('Dvd Calendar'!$Q$1668)=FALSE,"",'Dvd Calendar'!$Q$1668))</f>
        <v/>
      </c>
      <c r="BD169" s="161">
        <f>IF(GF169="","",IF(ISNUMBER('Dvd Calendar'!$R$1668)=FALSE,"",'Dvd Calendar'!$R$1668))</f>
        <v/>
      </c>
      <c r="BE169" s="161">
        <f>IF(GG169="","",IF(ISNUMBER('Dvd Calendar'!$S$1668)=FALSE,"",'Dvd Calendar'!$S$1668))</f>
        <v/>
      </c>
      <c r="BF169" s="161">
        <f>IF(GH169="","",IF(ISNUMBER('Dvd Calendar'!$T$1668)=FALSE,"",'Dvd Calendar'!$T$1668))</f>
        <v/>
      </c>
      <c r="BG169" s="161">
        <f>IF(GI169="","",IF(ISNUMBER('Dvd Calendar'!$U$1668)=FALSE,"",'Dvd Calendar'!$U$1668))</f>
        <v/>
      </c>
      <c r="BH169" s="161">
        <f>IF(GJ169="","",IF(ISNUMBER('Dvd Calendar'!$V$1668)=FALSE,"",'Dvd Calendar'!$V$1668))</f>
        <v/>
      </c>
      <c r="BI169" s="161">
        <f>IF(GK169="","",IF(ISNUMBER('Dvd Calendar'!$W$1668)=FALSE,"",'Dvd Calendar'!$W$1668))</f>
        <v/>
      </c>
      <c r="BJ169" s="161">
        <f>IF(GL169="","",IF(ISNUMBER('Dvd Calendar'!$X$1668)=FALSE,"",'Dvd Calendar'!$X$1668))</f>
        <v/>
      </c>
      <c r="BK169" s="161">
        <f>IF(GM169="","",IF(ISNUMBER('Dvd Calendar'!$Y$1668)=FALSE,"",'Dvd Calendar'!$Y$1668))</f>
        <v/>
      </c>
      <c r="BL169" s="161">
        <f>IF(GN169="","",IF(ISNUMBER('Dvd Calendar'!$Z$1668)=FALSE,"",'Dvd Calendar'!$Z$1668))</f>
        <v/>
      </c>
      <c r="BM169" s="161">
        <f>IF(GO169="","",IF(ISNUMBER('Dvd Calendar'!$AA$1668)=FALSE,"",'Dvd Calendar'!$AA$1668))</f>
        <v/>
      </c>
      <c r="BN169" s="161">
        <f>IF(GP169="","",IF(ISNUMBER('Dvd Calendar'!$AB$1668)=FALSE,"",'Dvd Calendar'!$AB$1668))</f>
        <v/>
      </c>
      <c r="BO169" s="161">
        <f>IF(GQ169="","",IF(ISNUMBER('Dvd Calendar'!$AC$1668)=FALSE,"",'Dvd Calendar'!$AC$1668))</f>
        <v/>
      </c>
      <c r="BQ169" s="161">
        <f>IF(C169="","",IFERROR(C169*HSCEI!$B$16*HSCEI!$G$16/HSCEI!$B$3,""))</f>
        <v/>
      </c>
      <c r="BR169" s="161">
        <f>IF(D169="","",IFERROR(D169*HSCEI!$B$16*HSCEI!$G$16/HSCEI!$B$3,""))</f>
        <v/>
      </c>
      <c r="BS169" s="161">
        <f>IF(E169="","",IFERROR(E169*HSCEI!$B$16*HSCEI!$G$16/HSCEI!$B$3,""))</f>
        <v/>
      </c>
      <c r="BT169" s="161">
        <f>IF(F169="","",IFERROR(F169*HSCEI!$B$16*HSCEI!$G$16/HSCEI!$B$3,""))</f>
        <v/>
      </c>
      <c r="BU169" s="161">
        <f>IF(G169="","",IFERROR(G169*HSCEI!$B$16*HSCEI!$G$16/HSCEI!$B$3,""))</f>
        <v/>
      </c>
      <c r="BV169" s="161">
        <f>IF(H169="","",IFERROR(H169*HSCEI!$B$16*HSCEI!$G$16/HSCEI!$B$3,""))</f>
        <v/>
      </c>
      <c r="BW169" s="161">
        <f>IF(I169="","",IFERROR(I169*HSCEI!$B$16*HSCEI!$G$16/HSCEI!$B$3,""))</f>
        <v/>
      </c>
      <c r="BX169" s="161">
        <f>IF(J169="","",IFERROR(J169*HSCEI!$B$16*HSCEI!$G$16/HSCEI!$B$3,""))</f>
        <v/>
      </c>
      <c r="BY169" s="161">
        <f>IF(K169="","",IFERROR(K169*HSCEI!$B$16*HSCEI!$G$16/HSCEI!$B$3,""))</f>
        <v/>
      </c>
      <c r="BZ169" s="161">
        <f>IF(L169="","",IFERROR(L169*HSCEI!$B$16*HSCEI!$G$16/HSCEI!$B$3,""))</f>
        <v/>
      </c>
      <c r="CA169" s="161">
        <f>IF(M169="","",IFERROR(M169*HSCEI!$B$16*HSCEI!$G$16/HSCEI!$B$3,""))</f>
        <v/>
      </c>
      <c r="CB169" s="161">
        <f>IF(N169="","",IFERROR(N169*HSCEI!$B$16*HSCEI!$G$16/HSCEI!$B$3,""))</f>
        <v/>
      </c>
      <c r="CC169" s="161">
        <f>IF(O169="","",IFERROR(O169*HSCEI!$B$16*HSCEI!$G$16/HSCEI!$B$3,""))</f>
        <v/>
      </c>
      <c r="CD169" s="161">
        <f>IF(P169="","",IFERROR(P169*HSCEI!$B$16*HSCEI!$G$16/HSCEI!$B$3,""))</f>
        <v/>
      </c>
      <c r="CE169" s="161">
        <f>IF(Q169="","",IFERROR(Q169*HSCEI!$B$16*HSCEI!$G$16/HSCEI!$B$3,""))</f>
        <v/>
      </c>
      <c r="CF169" s="161">
        <f>IF(R169="","",IFERROR(R169*HSCEI!$B$16*HSCEI!$G$16/HSCEI!$B$3,""))</f>
        <v/>
      </c>
      <c r="CG169" s="161">
        <f>IF(S169="","",IFERROR(S169*HSCEI!$B$16*HSCEI!$G$16/HSCEI!$B$3,""))</f>
        <v/>
      </c>
      <c r="CH169" s="161">
        <f>IF(T169="","",IFERROR(T169*HSCEI!$B$16*HSCEI!$G$16/HSCEI!$B$3,""))</f>
        <v/>
      </c>
      <c r="CI169" s="161">
        <f>IF(U169="","",IFERROR(U169*HSCEI!$B$16*HSCEI!$G$16/HSCEI!$B$3,""))</f>
        <v/>
      </c>
      <c r="CJ169" s="161">
        <f>IF(V169="","",IFERROR(V169*HSCEI!$B$16*HSCEI!$G$16/HSCEI!$B$3,""))</f>
        <v/>
      </c>
      <c r="CK169" s="161">
        <f>IF(W169="","",IFERROR(W169*HSCEI!$B$16*HSCEI!$G$16/HSCEI!$B$3,""))</f>
        <v/>
      </c>
      <c r="CL169" s="161">
        <f>IF(X169="","",IFERROR(X169*HSCEI!$B$16*HSCEI!$G$16/HSCEI!$B$3,""))</f>
        <v/>
      </c>
      <c r="CM169" s="161">
        <f>IF(Y169="","",IFERROR(Y169*HSCEI!$B$16*HSCEI!$G$16/HSCEI!$B$3,""))</f>
        <v/>
      </c>
      <c r="CN169" s="161">
        <f>IF(Z169="","",IFERROR(Z169*HSCEI!$B$16*HSCEI!$G$16/HSCEI!$B$3,""))</f>
        <v/>
      </c>
      <c r="CO169" s="161">
        <f>IF(AA169="","",IFERROR(AA169*HSCEI!$B$16*HSCEI!$G$16/HSCEI!$B$3,""))</f>
        <v/>
      </c>
      <c r="CP169" s="161">
        <f>IF(AB169="","",IFERROR(AB169*HSCEI!$B$16*HSCEI!$G$16/HSCEI!$B$3,""))</f>
        <v/>
      </c>
      <c r="CQ169" s="161">
        <f>IF(AC169="","",IFERROR(AC169*HSCEI!$B$16*HSCEI!$G$16/HSCEI!$B$3,""))</f>
        <v/>
      </c>
      <c r="CR169" s="161">
        <f>IF(AD169="","",IFERROR(AD169*HSCEI!$B$16*HSCEI!$G$16/HSCEI!$B$3,""))</f>
        <v/>
      </c>
      <c r="CS169" s="161">
        <f>IF(AE169="","",IFERROR(AE169*HSCEI!$B$16*HSCEI!$G$16/HSCEI!$B$3,""))</f>
        <v/>
      </c>
      <c r="CT169" s="161">
        <f>IF(AF169="","",IFERROR(AF169*HSCEI!$B$16*HSCEI!$G$16/HSCEI!$B$3,""))</f>
        <v/>
      </c>
      <c r="CU169" s="161">
        <f>IF(AG169="","",IFERROR(AG169*HSCEI!$B$16*HSCEI!$G$16/HSCEI!$B$3,""))</f>
        <v/>
      </c>
      <c r="CV169" s="161">
        <f>IF(AH169="","",IFERROR(AH169*HSCEI!$B$16*HSCEI!$G$16/HSCEI!$B$3,""))</f>
        <v/>
      </c>
      <c r="CW169" s="161">
        <f>IF(AI169="","",IFERROR(AI169*HSCEI!$B$16*HSCEI!$G$16/HSCEI!$B$3,""))</f>
        <v/>
      </c>
      <c r="CX169" s="161">
        <f>IF(AJ169="","",IFERROR(AJ169*HSCEI!$B$16*HSCEI!$G$16/HSCEI!$B$3,""))</f>
        <v/>
      </c>
      <c r="CY169" s="161">
        <f>IF(AK169="","",IFERROR(AK169*HSCEI!$B$16*HSCEI!$G$16/HSCEI!$B$3,""))</f>
        <v/>
      </c>
      <c r="CZ169" s="161">
        <f>IF(AL169="","",IFERROR(AL169*HSCEI!$B$16*HSCEI!$G$16/HSCEI!$B$3,""))</f>
        <v/>
      </c>
      <c r="DA169" s="161">
        <f>IF(AM169="","",IFERROR(AM169*HSCEI!$B$16*HSCEI!$G$16/HSCEI!$B$3,""))</f>
        <v/>
      </c>
      <c r="DB169" s="161">
        <f>IF(AN169="","",IFERROR(AN169*HSCEI!$B$16*HSCEI!$G$16/HSCEI!$B$3,""))</f>
        <v/>
      </c>
      <c r="DC169" s="161">
        <f>IF(AO169="","",IFERROR(AO169*HSCEI!$B$16*HSCEI!$G$16/HSCEI!$B$3,""))</f>
        <v/>
      </c>
      <c r="DD169" s="161">
        <f>IF(AP169="","",IFERROR(AP169*HSCEI!$B$16*HSCEI!$G$16/HSCEI!$B$3,""))</f>
        <v/>
      </c>
      <c r="DE169" s="161">
        <f>IF(AQ169="","",IFERROR(AQ169*HSCEI!$B$16*HSCEI!$G$16/HSCEI!$B$3,""))</f>
        <v/>
      </c>
      <c r="DF169" s="161">
        <f>IF(AR169="","",IFERROR(AR169*HSCEI!$B$16*HSCEI!$G$16/HSCEI!$B$3,""))</f>
        <v/>
      </c>
      <c r="DG169" s="161">
        <f>IF(AS169="","",IFERROR(AS169*HSCEI!$B$16*HSCEI!$G$16/HSCEI!$B$3,""))</f>
        <v/>
      </c>
      <c r="DH169" s="161">
        <f>IF(AT169="","",IFERROR(AT169*HSCEI!$B$16*HSCEI!$G$16/HSCEI!$B$3,""))</f>
        <v/>
      </c>
      <c r="DI169" s="161">
        <f>IF(AU169="","",IFERROR(AU169*HSCEI!$B$16*HSCEI!$G$16/HSCEI!$B$3,""))</f>
        <v/>
      </c>
      <c r="DJ169" s="161">
        <f>IF(AV169="","",IFERROR(AV169*HSCEI!$B$16*HSCEI!$G$16/HSCEI!$B$3,""))</f>
        <v/>
      </c>
      <c r="DK169" s="161">
        <f>IF(AW169="","",IFERROR(AW169*HSCEI!$B$16*HSCEI!$G$16/HSCEI!$B$3,""))</f>
        <v/>
      </c>
      <c r="DL169" s="161">
        <f>IF(AX169="","",IFERROR(AX169*HSCEI!$B$16*HSCEI!$G$16/HSCEI!$B$3,""))</f>
        <v/>
      </c>
      <c r="DM169" s="161">
        <f>IF(AY169="","",IFERROR(AY169*HSCEI!$B$16*HSCEI!$G$16/HSCEI!$B$3,""))</f>
        <v/>
      </c>
      <c r="DN169" s="161">
        <f>IF(AZ169="","",IFERROR(AZ169*HSCEI!$B$16*HSCEI!$G$16/HSCEI!$B$3,""))</f>
        <v/>
      </c>
      <c r="DO169" s="161">
        <f>IF(BA169="","",IFERROR(BA169*HSCEI!$B$16*HSCEI!$G$16/HSCEI!$B$3,""))</f>
        <v/>
      </c>
      <c r="DP169" s="161">
        <f>IF(BB169="","",IFERROR(BB169*HSCEI!$B$16*HSCEI!$G$16/HSCEI!$B$3,""))</f>
        <v/>
      </c>
      <c r="DQ169" s="161">
        <f>IF(BC169="","",IFERROR(BC169*HSCEI!$B$16*HSCEI!$G$16/HSCEI!$B$3,""))</f>
        <v/>
      </c>
      <c r="DR169" s="161">
        <f>IF(BD169="","",IFERROR(BD169*HSCEI!$B$16*HSCEI!$G$16/HSCEI!$B$3,""))</f>
        <v/>
      </c>
      <c r="DS169" s="161">
        <f>IF(BE169="","",IFERROR(BE169*HSCEI!$B$16*HSCEI!$G$16/HSCEI!$B$3,""))</f>
        <v/>
      </c>
      <c r="DT169" s="161">
        <f>IF(BF169="","",IFERROR(BF169*HSCEI!$B$16*HSCEI!$G$16/HSCEI!$B$3,""))</f>
        <v/>
      </c>
      <c r="DU169" s="161">
        <f>IF(BG169="","",IFERROR(BG169*HSCEI!$B$16*HSCEI!$G$16/HSCEI!$B$3,""))</f>
        <v/>
      </c>
      <c r="DV169" s="161">
        <f>IF(BH169="","",IFERROR(BH169*HSCEI!$B$16*HSCEI!$G$16/HSCEI!$B$3,""))</f>
        <v/>
      </c>
      <c r="DW169" s="161">
        <f>IF(BI169="","",IFERROR(BI169*HSCEI!$B$16*HSCEI!$G$16/HSCEI!$B$3,""))</f>
        <v/>
      </c>
      <c r="DX169" s="161">
        <f>IF(BJ169="","",IFERROR(BJ169*HSCEI!$B$16*HSCEI!$G$16/HSCEI!$B$3,""))</f>
        <v/>
      </c>
      <c r="DY169" s="161">
        <f>IF(BK169="","",IFERROR(BK169*HSCEI!$B$16*HSCEI!$G$16/HSCEI!$B$3,""))</f>
        <v/>
      </c>
      <c r="DZ169" s="161">
        <f>IF(BL169="","",IFERROR(BL169*HSCEI!$B$16*HSCEI!$G$16/HSCEI!$B$3,""))</f>
        <v/>
      </c>
      <c r="EA169" s="161">
        <f>IF(BM169="","",IFERROR(BM169*HSCEI!$B$16*HSCEI!$G$16/HSCEI!$B$3,""))</f>
        <v/>
      </c>
      <c r="EB169" s="161">
        <f>IF(BN169="","",IFERROR(BN169*HSCEI!$B$16*HSCEI!$G$16/HSCEI!$B$3,""))</f>
        <v/>
      </c>
      <c r="EC169" s="161">
        <f>IF(BO169="","",IFERROR(BO169*HSCEI!$B$16*HSCEI!$G$16/HSCEI!$B$3,""))</f>
        <v/>
      </c>
      <c r="EE169" s="121">
        <f>IF(N('Dvd Calendar'!$E$1660)=0,"",IF(('Dvd Calendar'!$E$1660&gt;=GRID_FROM)*('Dvd Calendar'!$E$1660&lt;=GRID_TO)*((('Dvd Calendar'!$E$1660&lt;=VAL_DATE)+(COUNTIF('Dvd Calendar'!$E$1667:$AR$1667,'Dvd Calendar'!$E$1660)=0))&gt;0)=0,"",'Dvd Calendar'!$E$1660*1000000000+ISNUMBER('Dvd Calendar'!$E$1663)*100000000+('Dvd Calendar'!$E$1665=SPECIAL_LBL)*10000000+(N('Dvd Calendar'!$E$1659)&gt;0)*(N('Dvd Calendar'!$E$1659)&lt;=VAL_SERIAL)*1000000+10*1000+1))</f>
        <v/>
      </c>
      <c r="EF169" s="121">
        <f>IF(N('Dvd Calendar'!$F$1660)=0,"",IF(('Dvd Calendar'!$F$1660&gt;=GRID_FROM)*('Dvd Calendar'!$F$1660&lt;=GRID_TO)*((('Dvd Calendar'!$F$1660&lt;=VAL_DATE)+(COUNTIF('Dvd Calendar'!$E$1667:$AR$1667,'Dvd Calendar'!$F$1660)=0))&gt;0)=0,"",'Dvd Calendar'!$F$1660*1000000000+ISNUMBER('Dvd Calendar'!$F$1663)*100000000+('Dvd Calendar'!$F$1665=SPECIAL_LBL)*10000000+(N('Dvd Calendar'!$F$1659)&gt;0)*(N('Dvd Calendar'!$F$1659)&lt;=VAL_SERIAL)*1000000+10*1000+2))</f>
        <v/>
      </c>
      <c r="EG169" s="121">
        <f>IF(N('Dvd Calendar'!$G$1660)=0,"",IF(('Dvd Calendar'!$G$1660&gt;=GRID_FROM)*('Dvd Calendar'!$G$1660&lt;=GRID_TO)*((('Dvd Calendar'!$G$1660&lt;=VAL_DATE)+(COUNTIF('Dvd Calendar'!$E$1667:$AR$1667,'Dvd Calendar'!$G$1660)=0))&gt;0)=0,"",'Dvd Calendar'!$G$1660*1000000000+ISNUMBER('Dvd Calendar'!$G$1663)*100000000+('Dvd Calendar'!$G$1665=SPECIAL_LBL)*10000000+(N('Dvd Calendar'!$G$1659)&gt;0)*(N('Dvd Calendar'!$G$1659)&lt;=VAL_SERIAL)*1000000+10*1000+3))</f>
        <v/>
      </c>
      <c r="EH169" s="121">
        <f>IF(N('Dvd Calendar'!$H$1660)=0,"",IF(('Dvd Calendar'!$H$1660&gt;=GRID_FROM)*('Dvd Calendar'!$H$1660&lt;=GRID_TO)*((('Dvd Calendar'!$H$1660&lt;=VAL_DATE)+(COUNTIF('Dvd Calendar'!$E$1667:$AR$1667,'Dvd Calendar'!$H$1660)=0))&gt;0)=0,"",'Dvd Calendar'!$H$1660*1000000000+ISNUMBER('Dvd Calendar'!$H$1663)*100000000+('Dvd Calendar'!$H$1665=SPECIAL_LBL)*10000000+(N('Dvd Calendar'!$H$1659)&gt;0)*(N('Dvd Calendar'!$H$1659)&lt;=VAL_SERIAL)*1000000+10*1000+4))</f>
        <v/>
      </c>
      <c r="EI169" s="121">
        <f>IF(N('Dvd Calendar'!$I$1660)=0,"",IF(('Dvd Calendar'!$I$1660&gt;=GRID_FROM)*('Dvd Calendar'!$I$1660&lt;=GRID_TO)*((('Dvd Calendar'!$I$1660&lt;=VAL_DATE)+(COUNTIF('Dvd Calendar'!$E$1667:$AR$1667,'Dvd Calendar'!$I$1660)=0))&gt;0)=0,"",'Dvd Calendar'!$I$1660*1000000000+ISNUMBER('Dvd Calendar'!$I$1663)*100000000+('Dvd Calendar'!$I$1665=SPECIAL_LBL)*10000000+(N('Dvd Calendar'!$I$1659)&gt;0)*(N('Dvd Calendar'!$I$1659)&lt;=VAL_SERIAL)*1000000+10*1000+5))</f>
        <v/>
      </c>
      <c r="EJ169" s="121">
        <f>IF(N('Dvd Calendar'!$J$1660)=0,"",IF(('Dvd Calendar'!$J$1660&gt;=GRID_FROM)*('Dvd Calendar'!$J$1660&lt;=GRID_TO)*((('Dvd Calendar'!$J$1660&lt;=VAL_DATE)+(COUNTIF('Dvd Calendar'!$E$1667:$AR$1667,'Dvd Calendar'!$J$1660)=0))&gt;0)=0,"",'Dvd Calendar'!$J$1660*1000000000+ISNUMBER('Dvd Calendar'!$J$1663)*100000000+('Dvd Calendar'!$J$1665=SPECIAL_LBL)*10000000+(N('Dvd Calendar'!$J$1659)&gt;0)*(N('Dvd Calendar'!$J$1659)&lt;=VAL_SERIAL)*1000000+10*1000+6))</f>
        <v/>
      </c>
      <c r="EK169" s="121">
        <f>IF(N('Dvd Calendar'!$K$1660)=0,"",IF(('Dvd Calendar'!$K$1660&gt;=GRID_FROM)*('Dvd Calendar'!$K$1660&lt;=GRID_TO)*((('Dvd Calendar'!$K$1660&lt;=VAL_DATE)+(COUNTIF('Dvd Calendar'!$E$1667:$AR$1667,'Dvd Calendar'!$K$1660)=0))&gt;0)=0,"",'Dvd Calendar'!$K$1660*1000000000+ISNUMBER('Dvd Calendar'!$K$1663)*100000000+('Dvd Calendar'!$K$1665=SPECIAL_LBL)*10000000+(N('Dvd Calendar'!$K$1659)&gt;0)*(N('Dvd Calendar'!$K$1659)&lt;=VAL_SERIAL)*1000000+10*1000+7))</f>
        <v/>
      </c>
      <c r="EL169" s="121">
        <f>IF(N('Dvd Calendar'!$L$1660)=0,"",IF(('Dvd Calendar'!$L$1660&gt;=GRID_FROM)*('Dvd Calendar'!$L$1660&lt;=GRID_TO)*((('Dvd Calendar'!$L$1660&lt;=VAL_DATE)+(COUNTIF('Dvd Calendar'!$E$1667:$AR$1667,'Dvd Calendar'!$L$1660)=0))&gt;0)=0,"",'Dvd Calendar'!$L$1660*1000000000+ISNUMBER('Dvd Calendar'!$L$1663)*100000000+('Dvd Calendar'!$L$1665=SPECIAL_LBL)*10000000+(N('Dvd Calendar'!$L$1659)&gt;0)*(N('Dvd Calendar'!$L$1659)&lt;=VAL_SERIAL)*1000000+10*1000+8))</f>
        <v/>
      </c>
      <c r="EM169" s="121">
        <f>IF(N('Dvd Calendar'!$M$1660)=0,"",IF(('Dvd Calendar'!$M$1660&gt;=GRID_FROM)*('Dvd Calendar'!$M$1660&lt;=GRID_TO)*((('Dvd Calendar'!$M$1660&lt;=VAL_DATE)+(COUNTIF('Dvd Calendar'!$E$1667:$AR$1667,'Dvd Calendar'!$M$1660)=0))&gt;0)=0,"",'Dvd Calendar'!$M$1660*1000000000+ISNUMBER('Dvd Calendar'!$M$1663)*100000000+('Dvd Calendar'!$M$1665=SPECIAL_LBL)*10000000+(N('Dvd Calendar'!$M$1659)&gt;0)*(N('Dvd Calendar'!$M$1659)&lt;=VAL_SERIAL)*1000000+10*1000+9))</f>
        <v/>
      </c>
      <c r="EN169" s="121">
        <f>IF(N('Dvd Calendar'!$N$1660)=0,"",IF(('Dvd Calendar'!$N$1660&gt;=GRID_FROM)*('Dvd Calendar'!$N$1660&lt;=GRID_TO)*((('Dvd Calendar'!$N$1660&lt;=VAL_DATE)+(COUNTIF('Dvd Calendar'!$E$1667:$AR$1667,'Dvd Calendar'!$N$1660)=0))&gt;0)=0,"",'Dvd Calendar'!$N$1660*1000000000+ISNUMBER('Dvd Calendar'!$N$1663)*100000000+('Dvd Calendar'!$N$1665=SPECIAL_LBL)*10000000+(N('Dvd Calendar'!$N$1659)&gt;0)*(N('Dvd Calendar'!$N$1659)&lt;=VAL_SERIAL)*1000000+10*1000+10))</f>
        <v/>
      </c>
      <c r="EO169" s="121">
        <f>IF(N('Dvd Calendar'!$O$1660)=0,"",IF(('Dvd Calendar'!$O$1660&gt;=GRID_FROM)*('Dvd Calendar'!$O$1660&lt;=GRID_TO)*((('Dvd Calendar'!$O$1660&lt;=VAL_DATE)+(COUNTIF('Dvd Calendar'!$E$1667:$AR$1667,'Dvd Calendar'!$O$1660)=0))&gt;0)=0,"",'Dvd Calendar'!$O$1660*1000000000+ISNUMBER('Dvd Calendar'!$O$1663)*100000000+('Dvd Calendar'!$O$1665=SPECIAL_LBL)*10000000+(N('Dvd Calendar'!$O$1659)&gt;0)*(N('Dvd Calendar'!$O$1659)&lt;=VAL_SERIAL)*1000000+10*1000+11))</f>
        <v/>
      </c>
      <c r="EP169" s="121">
        <f>IF(N('Dvd Calendar'!$P$1660)=0,"",IF(('Dvd Calendar'!$P$1660&gt;=GRID_FROM)*('Dvd Calendar'!$P$1660&lt;=GRID_TO)*((('Dvd Calendar'!$P$1660&lt;=VAL_DATE)+(COUNTIF('Dvd Calendar'!$E$1667:$AR$1667,'Dvd Calendar'!$P$1660)=0))&gt;0)=0,"",'Dvd Calendar'!$P$1660*1000000000+ISNUMBER('Dvd Calendar'!$P$1663)*100000000+('Dvd Calendar'!$P$1665=SPECIAL_LBL)*10000000+(N('Dvd Calendar'!$P$1659)&gt;0)*(N('Dvd Calendar'!$P$1659)&lt;=VAL_SERIAL)*1000000+10*1000+12))</f>
        <v/>
      </c>
      <c r="EQ169" s="121">
        <f>IF(N('Dvd Calendar'!$Q$1660)=0,"",IF(('Dvd Calendar'!$Q$1660&gt;=GRID_FROM)*('Dvd Calendar'!$Q$1660&lt;=GRID_TO)*((('Dvd Calendar'!$Q$1660&lt;=VAL_DATE)+(COUNTIF('Dvd Calendar'!$E$1667:$AR$1667,'Dvd Calendar'!$Q$1660)=0))&gt;0)=0,"",'Dvd Calendar'!$Q$1660*1000000000+ISNUMBER('Dvd Calendar'!$Q$1663)*100000000+('Dvd Calendar'!$Q$1665=SPECIAL_LBL)*10000000+(N('Dvd Calendar'!$Q$1659)&gt;0)*(N('Dvd Calendar'!$Q$1659)&lt;=VAL_SERIAL)*1000000+10*1000+13))</f>
        <v/>
      </c>
      <c r="ER169" s="121">
        <f>IF(N('Dvd Calendar'!$R$1660)=0,"",IF(('Dvd Calendar'!$R$1660&gt;=GRID_FROM)*('Dvd Calendar'!$R$1660&lt;=GRID_TO)*((('Dvd Calendar'!$R$1660&lt;=VAL_DATE)+(COUNTIF('Dvd Calendar'!$E$1667:$AR$1667,'Dvd Calendar'!$R$1660)=0))&gt;0)=0,"",'Dvd Calendar'!$R$1660*1000000000+ISNUMBER('Dvd Calendar'!$R$1663)*100000000+('Dvd Calendar'!$R$1665=SPECIAL_LBL)*10000000+(N('Dvd Calendar'!$R$1659)&gt;0)*(N('Dvd Calendar'!$R$1659)&lt;=VAL_SERIAL)*1000000+10*1000+14))</f>
        <v/>
      </c>
      <c r="ES169" s="121">
        <f>IF(N('Dvd Calendar'!$S$1660)=0,"",IF(('Dvd Calendar'!$S$1660&gt;=GRID_FROM)*('Dvd Calendar'!$S$1660&lt;=GRID_TO)*((('Dvd Calendar'!$S$1660&lt;=VAL_DATE)+(COUNTIF('Dvd Calendar'!$E$1667:$AR$1667,'Dvd Calendar'!$S$1660)=0))&gt;0)=0,"",'Dvd Calendar'!$S$1660*1000000000+ISNUMBER('Dvd Calendar'!$S$1663)*100000000+('Dvd Calendar'!$S$1665=SPECIAL_LBL)*10000000+(N('Dvd Calendar'!$S$1659)&gt;0)*(N('Dvd Calendar'!$S$1659)&lt;=VAL_SERIAL)*1000000+10*1000+15))</f>
        <v/>
      </c>
      <c r="ET169" s="121">
        <f>IF(N('Dvd Calendar'!$T$1660)=0,"",IF(('Dvd Calendar'!$T$1660&gt;=GRID_FROM)*('Dvd Calendar'!$T$1660&lt;=GRID_TO)*((('Dvd Calendar'!$T$1660&lt;=VAL_DATE)+(COUNTIF('Dvd Calendar'!$E$1667:$AR$1667,'Dvd Calendar'!$T$1660)=0))&gt;0)=0,"",'Dvd Calendar'!$T$1660*1000000000+ISNUMBER('Dvd Calendar'!$T$1663)*100000000+('Dvd Calendar'!$T$1665=SPECIAL_LBL)*10000000+(N('Dvd Calendar'!$T$1659)&gt;0)*(N('Dvd Calendar'!$T$1659)&lt;=VAL_SERIAL)*1000000+10*1000+16))</f>
        <v/>
      </c>
      <c r="EU169" s="121">
        <f>IF(N('Dvd Calendar'!$U$1660)=0,"",IF(('Dvd Calendar'!$U$1660&gt;=GRID_FROM)*('Dvd Calendar'!$U$1660&lt;=GRID_TO)*((('Dvd Calendar'!$U$1660&lt;=VAL_DATE)+(COUNTIF('Dvd Calendar'!$E$1667:$AR$1667,'Dvd Calendar'!$U$1660)=0))&gt;0)=0,"",'Dvd Calendar'!$U$1660*1000000000+ISNUMBER('Dvd Calendar'!$U$1663)*100000000+('Dvd Calendar'!$U$1665=SPECIAL_LBL)*10000000+(N('Dvd Calendar'!$U$1659)&gt;0)*(N('Dvd Calendar'!$U$1659)&lt;=VAL_SERIAL)*1000000+10*1000+17))</f>
        <v/>
      </c>
      <c r="EV169" s="121">
        <f>IF(N('Dvd Calendar'!$V$1660)=0,"",IF(('Dvd Calendar'!$V$1660&gt;=GRID_FROM)*('Dvd Calendar'!$V$1660&lt;=GRID_TO)*((('Dvd Calendar'!$V$1660&lt;=VAL_DATE)+(COUNTIF('Dvd Calendar'!$E$1667:$AR$1667,'Dvd Calendar'!$V$1660)=0))&gt;0)=0,"",'Dvd Calendar'!$V$1660*1000000000+ISNUMBER('Dvd Calendar'!$V$1663)*100000000+('Dvd Calendar'!$V$1665=SPECIAL_LBL)*10000000+(N('Dvd Calendar'!$V$1659)&gt;0)*(N('Dvd Calendar'!$V$1659)&lt;=VAL_SERIAL)*1000000+10*1000+18))</f>
        <v/>
      </c>
      <c r="EW169" s="121">
        <f>IF(N('Dvd Calendar'!$W$1660)=0,"",IF(('Dvd Calendar'!$W$1660&gt;=GRID_FROM)*('Dvd Calendar'!$W$1660&lt;=GRID_TO)*((('Dvd Calendar'!$W$1660&lt;=VAL_DATE)+(COUNTIF('Dvd Calendar'!$E$1667:$AR$1667,'Dvd Calendar'!$W$1660)=0))&gt;0)=0,"",'Dvd Calendar'!$W$1660*1000000000+ISNUMBER('Dvd Calendar'!$W$1663)*100000000+('Dvd Calendar'!$W$1665=SPECIAL_LBL)*10000000+(N('Dvd Calendar'!$W$1659)&gt;0)*(N('Dvd Calendar'!$W$1659)&lt;=VAL_SERIAL)*1000000+10*1000+19))</f>
        <v/>
      </c>
      <c r="EX169" s="121">
        <f>IF(N('Dvd Calendar'!$X$1660)=0,"",IF(('Dvd Calendar'!$X$1660&gt;=GRID_FROM)*('Dvd Calendar'!$X$1660&lt;=GRID_TO)*((('Dvd Calendar'!$X$1660&lt;=VAL_DATE)+(COUNTIF('Dvd Calendar'!$E$1667:$AR$1667,'Dvd Calendar'!$X$1660)=0))&gt;0)=0,"",'Dvd Calendar'!$X$1660*1000000000+ISNUMBER('Dvd Calendar'!$X$1663)*100000000+('Dvd Calendar'!$X$1665=SPECIAL_LBL)*10000000+(N('Dvd Calendar'!$X$1659)&gt;0)*(N('Dvd Calendar'!$X$1659)&lt;=VAL_SERIAL)*1000000+10*1000+20))</f>
        <v/>
      </c>
      <c r="EY169" s="121">
        <f>IF(N('Dvd Calendar'!$Y$1660)=0,"",IF(('Dvd Calendar'!$Y$1660&gt;=GRID_FROM)*('Dvd Calendar'!$Y$1660&lt;=GRID_TO)*((('Dvd Calendar'!$Y$1660&lt;=VAL_DATE)+(COUNTIF('Dvd Calendar'!$E$1667:$AR$1667,'Dvd Calendar'!$Y$1660)=0))&gt;0)=0,"",'Dvd Calendar'!$Y$1660*1000000000+ISNUMBER('Dvd Calendar'!$Y$1663)*100000000+('Dvd Calendar'!$Y$1665=SPECIAL_LBL)*10000000+(N('Dvd Calendar'!$Y$1659)&gt;0)*(N('Dvd Calendar'!$Y$1659)&lt;=VAL_SERIAL)*1000000+10*1000+21))</f>
        <v/>
      </c>
      <c r="EZ169" s="121">
        <f>IF(N('Dvd Calendar'!$Z$1660)=0,"",IF(('Dvd Calendar'!$Z$1660&gt;=GRID_FROM)*('Dvd Calendar'!$Z$1660&lt;=GRID_TO)*((('Dvd Calendar'!$Z$1660&lt;=VAL_DATE)+(COUNTIF('Dvd Calendar'!$E$1667:$AR$1667,'Dvd Calendar'!$Z$1660)=0))&gt;0)=0,"",'Dvd Calendar'!$Z$1660*1000000000+ISNUMBER('Dvd Calendar'!$Z$1663)*100000000+('Dvd Calendar'!$Z$1665=SPECIAL_LBL)*10000000+(N('Dvd Calendar'!$Z$1659)&gt;0)*(N('Dvd Calendar'!$Z$1659)&lt;=VAL_SERIAL)*1000000+10*1000+22))</f>
        <v/>
      </c>
      <c r="FA169" s="121">
        <f>IF(N('Dvd Calendar'!$AA$1660)=0,"",IF(('Dvd Calendar'!$AA$1660&gt;=GRID_FROM)*('Dvd Calendar'!$AA$1660&lt;=GRID_TO)*((('Dvd Calendar'!$AA$1660&lt;=VAL_DATE)+(COUNTIF('Dvd Calendar'!$E$1667:$AR$1667,'Dvd Calendar'!$AA$1660)=0))&gt;0)=0,"",'Dvd Calendar'!$AA$1660*1000000000+ISNUMBER('Dvd Calendar'!$AA$1663)*100000000+('Dvd Calendar'!$AA$1665=SPECIAL_LBL)*10000000+(N('Dvd Calendar'!$AA$1659)&gt;0)*(N('Dvd Calendar'!$AA$1659)&lt;=VAL_SERIAL)*1000000+10*1000+23))</f>
        <v/>
      </c>
      <c r="FB169" s="121">
        <f>IF(N('Dvd Calendar'!$AB$1660)=0,"",IF(('Dvd Calendar'!$AB$1660&gt;=GRID_FROM)*('Dvd Calendar'!$AB$1660&lt;=GRID_TO)*((('Dvd Calendar'!$AB$1660&lt;=VAL_DATE)+(COUNTIF('Dvd Calendar'!$E$1667:$AR$1667,'Dvd Calendar'!$AB$1660)=0))&gt;0)=0,"",'Dvd Calendar'!$AB$1660*1000000000+ISNUMBER('Dvd Calendar'!$AB$1663)*100000000+('Dvd Calendar'!$AB$1665=SPECIAL_LBL)*10000000+(N('Dvd Calendar'!$AB$1659)&gt;0)*(N('Dvd Calendar'!$AB$1659)&lt;=VAL_SERIAL)*1000000+10*1000+24))</f>
        <v/>
      </c>
      <c r="FC169" s="121">
        <f>IF(N('Dvd Calendar'!$AC$1660)=0,"",IF(('Dvd Calendar'!$AC$1660&gt;=GRID_FROM)*('Dvd Calendar'!$AC$1660&lt;=GRID_TO)*((('Dvd Calendar'!$AC$1660&lt;=VAL_DATE)+(COUNTIF('Dvd Calendar'!$E$1667:$AR$1667,'Dvd Calendar'!$AC$1660)=0))&gt;0)=0,"",'Dvd Calendar'!$AC$1660*1000000000+ISNUMBER('Dvd Calendar'!$AC$1663)*100000000+('Dvd Calendar'!$AC$1665=SPECIAL_LBL)*10000000+(N('Dvd Calendar'!$AC$1659)&gt;0)*(N('Dvd Calendar'!$AC$1659)&lt;=VAL_SERIAL)*1000000+10*1000+25))</f>
        <v/>
      </c>
      <c r="FD169" s="121">
        <f>IF(N('Dvd Calendar'!$AD$1660)=0,"",IF(('Dvd Calendar'!$AD$1660&gt;=GRID_FROM)*('Dvd Calendar'!$AD$1660&lt;=GRID_TO)*((('Dvd Calendar'!$AD$1660&lt;=VAL_DATE)+(COUNTIF('Dvd Calendar'!$E$1667:$AR$1667,'Dvd Calendar'!$AD$1660)=0))&gt;0)=0,"",'Dvd Calendar'!$AD$1660*1000000000+ISNUMBER('Dvd Calendar'!$AD$1663)*100000000+('Dvd Calendar'!$AD$1665=SPECIAL_LBL)*10000000+(N('Dvd Calendar'!$AD$1659)&gt;0)*(N('Dvd Calendar'!$AD$1659)&lt;=VAL_SERIAL)*1000000+10*1000+26))</f>
        <v/>
      </c>
      <c r="FE169" s="121">
        <f>IF(N('Dvd Calendar'!$AE$1660)=0,"",IF(('Dvd Calendar'!$AE$1660&gt;=GRID_FROM)*('Dvd Calendar'!$AE$1660&lt;=GRID_TO)*((('Dvd Calendar'!$AE$1660&lt;=VAL_DATE)+(COUNTIF('Dvd Calendar'!$E$1667:$AR$1667,'Dvd Calendar'!$AE$1660)=0))&gt;0)=0,"",'Dvd Calendar'!$AE$1660*1000000000+ISNUMBER('Dvd Calendar'!$AE$1663)*100000000+('Dvd Calendar'!$AE$1665=SPECIAL_LBL)*10000000+(N('Dvd Calendar'!$AE$1659)&gt;0)*(N('Dvd Calendar'!$AE$1659)&lt;=VAL_SERIAL)*1000000+10*1000+27))</f>
        <v/>
      </c>
      <c r="FF169" s="121">
        <f>IF(N('Dvd Calendar'!$AF$1660)=0,"",IF(('Dvd Calendar'!$AF$1660&gt;=GRID_FROM)*('Dvd Calendar'!$AF$1660&lt;=GRID_TO)*((('Dvd Calendar'!$AF$1660&lt;=VAL_DATE)+(COUNTIF('Dvd Calendar'!$E$1667:$AR$1667,'Dvd Calendar'!$AF$1660)=0))&gt;0)=0,"",'Dvd Calendar'!$AF$1660*1000000000+ISNUMBER('Dvd Calendar'!$AF$1663)*100000000+('Dvd Calendar'!$AF$1665=SPECIAL_LBL)*10000000+(N('Dvd Calendar'!$AF$1659)&gt;0)*(N('Dvd Calendar'!$AF$1659)&lt;=VAL_SERIAL)*1000000+10*1000+28))</f>
        <v/>
      </c>
      <c r="FG169" s="121">
        <f>IF(N('Dvd Calendar'!$AG$1660)=0,"",IF(('Dvd Calendar'!$AG$1660&gt;=GRID_FROM)*('Dvd Calendar'!$AG$1660&lt;=GRID_TO)*((('Dvd Calendar'!$AG$1660&lt;=VAL_DATE)+(COUNTIF('Dvd Calendar'!$E$1667:$AR$1667,'Dvd Calendar'!$AG$1660)=0))&gt;0)=0,"",'Dvd Calendar'!$AG$1660*1000000000+ISNUMBER('Dvd Calendar'!$AG$1663)*100000000+('Dvd Calendar'!$AG$1665=SPECIAL_LBL)*10000000+(N('Dvd Calendar'!$AG$1659)&gt;0)*(N('Dvd Calendar'!$AG$1659)&lt;=VAL_SERIAL)*1000000+10*1000+29))</f>
        <v/>
      </c>
      <c r="FH169" s="121">
        <f>IF(N('Dvd Calendar'!$AH$1660)=0,"",IF(('Dvd Calendar'!$AH$1660&gt;=GRID_FROM)*('Dvd Calendar'!$AH$1660&lt;=GRID_TO)*((('Dvd Calendar'!$AH$1660&lt;=VAL_DATE)+(COUNTIF('Dvd Calendar'!$E$1667:$AR$1667,'Dvd Calendar'!$AH$1660)=0))&gt;0)=0,"",'Dvd Calendar'!$AH$1660*1000000000+ISNUMBER('Dvd Calendar'!$AH$1663)*100000000+('Dvd Calendar'!$AH$1665=SPECIAL_LBL)*10000000+(N('Dvd Calendar'!$AH$1659)&gt;0)*(N('Dvd Calendar'!$AH$1659)&lt;=VAL_SERIAL)*1000000+10*1000+30))</f>
        <v/>
      </c>
      <c r="FI169" s="121">
        <f>IF(N('Dvd Calendar'!$AI$1660)=0,"",IF(('Dvd Calendar'!$AI$1660&gt;=GRID_FROM)*('Dvd Calendar'!$AI$1660&lt;=GRID_TO)*((('Dvd Calendar'!$AI$1660&lt;=VAL_DATE)+(COUNTIF('Dvd Calendar'!$E$1667:$AR$1667,'Dvd Calendar'!$AI$1660)=0))&gt;0)=0,"",'Dvd Calendar'!$AI$1660*1000000000+ISNUMBER('Dvd Calendar'!$AI$1663)*100000000+('Dvd Calendar'!$AI$1665=SPECIAL_LBL)*10000000+(N('Dvd Calendar'!$AI$1659)&gt;0)*(N('Dvd Calendar'!$AI$1659)&lt;=VAL_SERIAL)*1000000+10*1000+31))</f>
        <v/>
      </c>
      <c r="FJ169" s="121">
        <f>IF(N('Dvd Calendar'!$AJ$1660)=0,"",IF(('Dvd Calendar'!$AJ$1660&gt;=GRID_FROM)*('Dvd Calendar'!$AJ$1660&lt;=GRID_TO)*((('Dvd Calendar'!$AJ$1660&lt;=VAL_DATE)+(COUNTIF('Dvd Calendar'!$E$1667:$AR$1667,'Dvd Calendar'!$AJ$1660)=0))&gt;0)=0,"",'Dvd Calendar'!$AJ$1660*1000000000+ISNUMBER('Dvd Calendar'!$AJ$1663)*100000000+('Dvd Calendar'!$AJ$1665=SPECIAL_LBL)*10000000+(N('Dvd Calendar'!$AJ$1659)&gt;0)*(N('Dvd Calendar'!$AJ$1659)&lt;=VAL_SERIAL)*1000000+10*1000+32))</f>
        <v/>
      </c>
      <c r="FK169" s="121">
        <f>IF(N('Dvd Calendar'!$AK$1660)=0,"",IF(('Dvd Calendar'!$AK$1660&gt;=GRID_FROM)*('Dvd Calendar'!$AK$1660&lt;=GRID_TO)*((('Dvd Calendar'!$AK$1660&lt;=VAL_DATE)+(COUNTIF('Dvd Calendar'!$E$1667:$AR$1667,'Dvd Calendar'!$AK$1660)=0))&gt;0)=0,"",'Dvd Calendar'!$AK$1660*1000000000+ISNUMBER('Dvd Calendar'!$AK$1663)*100000000+('Dvd Calendar'!$AK$1665=SPECIAL_LBL)*10000000+(N('Dvd Calendar'!$AK$1659)&gt;0)*(N('Dvd Calendar'!$AK$1659)&lt;=VAL_SERIAL)*1000000+10*1000+33))</f>
        <v/>
      </c>
      <c r="FL169" s="121">
        <f>IF(N('Dvd Calendar'!$AL$1660)=0,"",IF(('Dvd Calendar'!$AL$1660&gt;=GRID_FROM)*('Dvd Calendar'!$AL$1660&lt;=GRID_TO)*((('Dvd Calendar'!$AL$1660&lt;=VAL_DATE)+(COUNTIF('Dvd Calendar'!$E$1667:$AR$1667,'Dvd Calendar'!$AL$1660)=0))&gt;0)=0,"",'Dvd Calendar'!$AL$1660*1000000000+ISNUMBER('Dvd Calendar'!$AL$1663)*100000000+('Dvd Calendar'!$AL$1665=SPECIAL_LBL)*10000000+(N('Dvd Calendar'!$AL$1659)&gt;0)*(N('Dvd Calendar'!$AL$1659)&lt;=VAL_SERIAL)*1000000+10*1000+34))</f>
        <v/>
      </c>
      <c r="FM169" s="121">
        <f>IF(N('Dvd Calendar'!$AM$1660)=0,"",IF(('Dvd Calendar'!$AM$1660&gt;=GRID_FROM)*('Dvd Calendar'!$AM$1660&lt;=GRID_TO)*((('Dvd Calendar'!$AM$1660&lt;=VAL_DATE)+(COUNTIF('Dvd Calendar'!$E$1667:$AR$1667,'Dvd Calendar'!$AM$1660)=0))&gt;0)=0,"",'Dvd Calendar'!$AM$1660*1000000000+ISNUMBER('Dvd Calendar'!$AM$1663)*100000000+('Dvd Calendar'!$AM$1665=SPECIAL_LBL)*10000000+(N('Dvd Calendar'!$AM$1659)&gt;0)*(N('Dvd Calendar'!$AM$1659)&lt;=VAL_SERIAL)*1000000+10*1000+35))</f>
        <v/>
      </c>
      <c r="FN169" s="121">
        <f>IF(N('Dvd Calendar'!$AN$1660)=0,"",IF(('Dvd Calendar'!$AN$1660&gt;=GRID_FROM)*('Dvd Calendar'!$AN$1660&lt;=GRID_TO)*((('Dvd Calendar'!$AN$1660&lt;=VAL_DATE)+(COUNTIF('Dvd Calendar'!$E$1667:$AR$1667,'Dvd Calendar'!$AN$1660)=0))&gt;0)=0,"",'Dvd Calendar'!$AN$1660*1000000000+ISNUMBER('Dvd Calendar'!$AN$1663)*100000000+('Dvd Calendar'!$AN$1665=SPECIAL_LBL)*10000000+(N('Dvd Calendar'!$AN$1659)&gt;0)*(N('Dvd Calendar'!$AN$1659)&lt;=VAL_SERIAL)*1000000+10*1000+36))</f>
        <v/>
      </c>
      <c r="FO169" s="121">
        <f>IF(N('Dvd Calendar'!$AO$1660)=0,"",IF(('Dvd Calendar'!$AO$1660&gt;=GRID_FROM)*('Dvd Calendar'!$AO$1660&lt;=GRID_TO)*((('Dvd Calendar'!$AO$1660&lt;=VAL_DATE)+(COUNTIF('Dvd Calendar'!$E$1667:$AR$1667,'Dvd Calendar'!$AO$1660)=0))&gt;0)=0,"",'Dvd Calendar'!$AO$1660*1000000000+ISNUMBER('Dvd Calendar'!$AO$1663)*100000000+('Dvd Calendar'!$AO$1665=SPECIAL_LBL)*10000000+(N('Dvd Calendar'!$AO$1659)&gt;0)*(N('Dvd Calendar'!$AO$1659)&lt;=VAL_SERIAL)*1000000+10*1000+37))</f>
        <v/>
      </c>
      <c r="FP169" s="121">
        <f>IF(N('Dvd Calendar'!$AP$1660)=0,"",IF(('Dvd Calendar'!$AP$1660&gt;=GRID_FROM)*('Dvd Calendar'!$AP$1660&lt;=GRID_TO)*((('Dvd Calendar'!$AP$1660&lt;=VAL_DATE)+(COUNTIF('Dvd Calendar'!$E$1667:$AR$1667,'Dvd Calendar'!$AP$1660)=0))&gt;0)=0,"",'Dvd Calendar'!$AP$1660*1000000000+ISNUMBER('Dvd Calendar'!$AP$1663)*100000000+('Dvd Calendar'!$AP$1665=SPECIAL_LBL)*10000000+(N('Dvd Calendar'!$AP$1659)&gt;0)*(N('Dvd Calendar'!$AP$1659)&lt;=VAL_SERIAL)*1000000+10*1000+38))</f>
        <v/>
      </c>
      <c r="FQ169" s="121">
        <f>IF(N('Dvd Calendar'!$AQ$1660)=0,"",IF(('Dvd Calendar'!$AQ$1660&gt;=GRID_FROM)*('Dvd Calendar'!$AQ$1660&lt;=GRID_TO)*((('Dvd Calendar'!$AQ$1660&lt;=VAL_DATE)+(COUNTIF('Dvd Calendar'!$E$1667:$AR$1667,'Dvd Calendar'!$AQ$1660)=0))&gt;0)=0,"",'Dvd Calendar'!$AQ$1660*1000000000+ISNUMBER('Dvd Calendar'!$AQ$1663)*100000000+('Dvd Calendar'!$AQ$1665=SPECIAL_LBL)*10000000+(N('Dvd Calendar'!$AQ$1659)&gt;0)*(N('Dvd Calendar'!$AQ$1659)&lt;=VAL_SERIAL)*1000000+10*1000+39))</f>
        <v/>
      </c>
      <c r="FR169" s="121">
        <f>IF(N('Dvd Calendar'!$AR$1660)=0,"",IF(('Dvd Calendar'!$AR$1660&gt;=GRID_FROM)*('Dvd Calendar'!$AR$1660&lt;=GRID_TO)*((('Dvd Calendar'!$AR$1660&lt;=VAL_DATE)+(COUNTIF('Dvd Calendar'!$E$1667:$AR$1667,'Dvd Calendar'!$AR$1660)=0))&gt;0)=0,"",'Dvd Calendar'!$AR$1660*1000000000+ISNUMBER('Dvd Calendar'!$AR$1663)*100000000+('Dvd Calendar'!$AR$1665=SPECIAL_LBL)*10000000+(N('Dvd Calendar'!$AR$1659)&gt;0)*(N('Dvd Calendar'!$AR$1659)&lt;=VAL_SERIAL)*1000000+10*1000+40))</f>
        <v/>
      </c>
      <c r="FS169" s="121">
        <f>IF(N('Dvd Calendar'!$E$1667)=0,"",IF(('Dvd Calendar'!$E$1667&gt;=GRID_FROM)*('Dvd Calendar'!$E$1667&lt;=GRID_TO)*('Dvd Calendar'!$E$1667&gt;VAL_DATE)=0,"",'Dvd Calendar'!$E$1667*1000000000+ISNUMBER('Dvd Calendar'!$E$1668)*100000000+0*10000000+(N('Dvd Calendar'!$E$1666)&gt;0)*(N('Dvd Calendar'!$E$1666)&lt;=VAL_SERIAL)*1000000+10*1000+41))</f>
        <v/>
      </c>
      <c r="FT169" s="121">
        <f>IF(N('Dvd Calendar'!$F$1667)=0,"",IF(('Dvd Calendar'!$F$1667&gt;=GRID_FROM)*('Dvd Calendar'!$F$1667&lt;=GRID_TO)*('Dvd Calendar'!$F$1667&gt;VAL_DATE)=0,"",'Dvd Calendar'!$F$1667*1000000000+ISNUMBER('Dvd Calendar'!$F$1668)*100000000+0*10000000+(N('Dvd Calendar'!$F$1666)&gt;0)*(N('Dvd Calendar'!$F$1666)&lt;=VAL_SERIAL)*1000000+10*1000+42))</f>
        <v/>
      </c>
      <c r="FU169" s="121">
        <f>IF(N('Dvd Calendar'!$G$1667)=0,"",IF(('Dvd Calendar'!$G$1667&gt;=GRID_FROM)*('Dvd Calendar'!$G$1667&lt;=GRID_TO)*('Dvd Calendar'!$G$1667&gt;VAL_DATE)=0,"",'Dvd Calendar'!$G$1667*1000000000+ISNUMBER('Dvd Calendar'!$G$1668)*100000000+0*10000000+(N('Dvd Calendar'!$G$1666)&gt;0)*(N('Dvd Calendar'!$G$1666)&lt;=VAL_SERIAL)*1000000+10*1000+43))</f>
        <v/>
      </c>
      <c r="FV169" s="121">
        <f>IF(N('Dvd Calendar'!$H$1667)=0,"",IF(('Dvd Calendar'!$H$1667&gt;=GRID_FROM)*('Dvd Calendar'!$H$1667&lt;=GRID_TO)*('Dvd Calendar'!$H$1667&gt;VAL_DATE)=0,"",'Dvd Calendar'!$H$1667*1000000000+ISNUMBER('Dvd Calendar'!$H$1668)*100000000+0*10000000+(N('Dvd Calendar'!$H$1666)&gt;0)*(N('Dvd Calendar'!$H$1666)&lt;=VAL_SERIAL)*1000000+10*1000+44))</f>
        <v/>
      </c>
      <c r="FW169" s="121">
        <f>IF(N('Dvd Calendar'!$I$1667)=0,"",IF(('Dvd Calendar'!$I$1667&gt;=GRID_FROM)*('Dvd Calendar'!$I$1667&lt;=GRID_TO)*('Dvd Calendar'!$I$1667&gt;VAL_DATE)=0,"",'Dvd Calendar'!$I$1667*1000000000+ISNUMBER('Dvd Calendar'!$I$1668)*100000000+0*10000000+(N('Dvd Calendar'!$I$1666)&gt;0)*(N('Dvd Calendar'!$I$1666)&lt;=VAL_SERIAL)*1000000+10*1000+45))</f>
        <v/>
      </c>
      <c r="FX169" s="121">
        <f>IF(N('Dvd Calendar'!$J$1667)=0,"",IF(('Dvd Calendar'!$J$1667&gt;=GRID_FROM)*('Dvd Calendar'!$J$1667&lt;=GRID_TO)*('Dvd Calendar'!$J$1667&gt;VAL_DATE)=0,"",'Dvd Calendar'!$J$1667*1000000000+ISNUMBER('Dvd Calendar'!$J$1668)*100000000+0*10000000+(N('Dvd Calendar'!$J$1666)&gt;0)*(N('Dvd Calendar'!$J$1666)&lt;=VAL_SERIAL)*1000000+10*1000+46))</f>
        <v/>
      </c>
      <c r="FY169" s="121">
        <f>IF(N('Dvd Calendar'!$K$1667)=0,"",IF(('Dvd Calendar'!$K$1667&gt;=GRID_FROM)*('Dvd Calendar'!$K$1667&lt;=GRID_TO)*('Dvd Calendar'!$K$1667&gt;VAL_DATE)=0,"",'Dvd Calendar'!$K$1667*1000000000+ISNUMBER('Dvd Calendar'!$K$1668)*100000000+0*10000000+(N('Dvd Calendar'!$K$1666)&gt;0)*(N('Dvd Calendar'!$K$1666)&lt;=VAL_SERIAL)*1000000+10*1000+47))</f>
        <v/>
      </c>
      <c r="FZ169" s="121">
        <f>IF(N('Dvd Calendar'!$L$1667)=0,"",IF(('Dvd Calendar'!$L$1667&gt;=GRID_FROM)*('Dvd Calendar'!$L$1667&lt;=GRID_TO)*('Dvd Calendar'!$L$1667&gt;VAL_DATE)=0,"",'Dvd Calendar'!$L$1667*1000000000+ISNUMBER('Dvd Calendar'!$L$1668)*100000000+0*10000000+(N('Dvd Calendar'!$L$1666)&gt;0)*(N('Dvd Calendar'!$L$1666)&lt;=VAL_SERIAL)*1000000+10*1000+48))</f>
        <v/>
      </c>
      <c r="GA169" s="121">
        <f>IF(N('Dvd Calendar'!$M$1667)=0,"",IF(('Dvd Calendar'!$M$1667&gt;=GRID_FROM)*('Dvd Calendar'!$M$1667&lt;=GRID_TO)*('Dvd Calendar'!$M$1667&gt;VAL_DATE)=0,"",'Dvd Calendar'!$M$1667*1000000000+ISNUMBER('Dvd Calendar'!$M$1668)*100000000+0*10000000+(N('Dvd Calendar'!$M$1666)&gt;0)*(N('Dvd Calendar'!$M$1666)&lt;=VAL_SERIAL)*1000000+10*1000+49))</f>
        <v/>
      </c>
      <c r="GB169" s="121">
        <f>IF(N('Dvd Calendar'!$N$1667)=0,"",IF(('Dvd Calendar'!$N$1667&gt;=GRID_FROM)*('Dvd Calendar'!$N$1667&lt;=GRID_TO)*('Dvd Calendar'!$N$1667&gt;VAL_DATE)=0,"",'Dvd Calendar'!$N$1667*1000000000+ISNUMBER('Dvd Calendar'!$N$1668)*100000000+0*10000000+(N('Dvd Calendar'!$N$1666)&gt;0)*(N('Dvd Calendar'!$N$1666)&lt;=VAL_SERIAL)*1000000+10*1000+50))</f>
        <v/>
      </c>
      <c r="GC169" s="121">
        <f>IF(N('Dvd Calendar'!$O$1667)=0,"",IF(('Dvd Calendar'!$O$1667&gt;=GRID_FROM)*('Dvd Calendar'!$O$1667&lt;=GRID_TO)*('Dvd Calendar'!$O$1667&gt;VAL_DATE)=0,"",'Dvd Calendar'!$O$1667*1000000000+ISNUMBER('Dvd Calendar'!$O$1668)*100000000+0*10000000+(N('Dvd Calendar'!$O$1666)&gt;0)*(N('Dvd Calendar'!$O$1666)&lt;=VAL_SERIAL)*1000000+10*1000+51))</f>
        <v/>
      </c>
      <c r="GD169" s="121">
        <f>IF(N('Dvd Calendar'!$P$1667)=0,"",IF(('Dvd Calendar'!$P$1667&gt;=GRID_FROM)*('Dvd Calendar'!$P$1667&lt;=GRID_TO)*('Dvd Calendar'!$P$1667&gt;VAL_DATE)=0,"",'Dvd Calendar'!$P$1667*1000000000+ISNUMBER('Dvd Calendar'!$P$1668)*100000000+0*10000000+(N('Dvd Calendar'!$P$1666)&gt;0)*(N('Dvd Calendar'!$P$1666)&lt;=VAL_SERIAL)*1000000+10*1000+52))</f>
        <v/>
      </c>
      <c r="GE169" s="121">
        <f>IF(N('Dvd Calendar'!$Q$1667)=0,"",IF(('Dvd Calendar'!$Q$1667&gt;=GRID_FROM)*('Dvd Calendar'!$Q$1667&lt;=GRID_TO)*('Dvd Calendar'!$Q$1667&gt;VAL_DATE)=0,"",'Dvd Calendar'!$Q$1667*1000000000+ISNUMBER('Dvd Calendar'!$Q$1668)*100000000+0*10000000+(N('Dvd Calendar'!$Q$1666)&gt;0)*(N('Dvd Calendar'!$Q$1666)&lt;=VAL_SERIAL)*1000000+10*1000+53))</f>
        <v/>
      </c>
      <c r="GF169" s="121">
        <f>IF(N('Dvd Calendar'!$R$1667)=0,"",IF(('Dvd Calendar'!$R$1667&gt;=GRID_FROM)*('Dvd Calendar'!$R$1667&lt;=GRID_TO)*('Dvd Calendar'!$R$1667&gt;VAL_DATE)=0,"",'Dvd Calendar'!$R$1667*1000000000+ISNUMBER('Dvd Calendar'!$R$1668)*100000000+0*10000000+(N('Dvd Calendar'!$R$1666)&gt;0)*(N('Dvd Calendar'!$R$1666)&lt;=VAL_SERIAL)*1000000+10*1000+54))</f>
        <v/>
      </c>
      <c r="GG169" s="121">
        <f>IF(N('Dvd Calendar'!$S$1667)=0,"",IF(('Dvd Calendar'!$S$1667&gt;=GRID_FROM)*('Dvd Calendar'!$S$1667&lt;=GRID_TO)*('Dvd Calendar'!$S$1667&gt;VAL_DATE)=0,"",'Dvd Calendar'!$S$1667*1000000000+ISNUMBER('Dvd Calendar'!$S$1668)*100000000+0*10000000+(N('Dvd Calendar'!$S$1666)&gt;0)*(N('Dvd Calendar'!$S$1666)&lt;=VAL_SERIAL)*1000000+10*1000+55))</f>
        <v/>
      </c>
      <c r="GH169" s="121">
        <f>IF(N('Dvd Calendar'!$T$1667)=0,"",IF(('Dvd Calendar'!$T$1667&gt;=GRID_FROM)*('Dvd Calendar'!$T$1667&lt;=GRID_TO)*('Dvd Calendar'!$T$1667&gt;VAL_DATE)=0,"",'Dvd Calendar'!$T$1667*1000000000+ISNUMBER('Dvd Calendar'!$T$1668)*100000000+0*10000000+(N('Dvd Calendar'!$T$1666)&gt;0)*(N('Dvd Calendar'!$T$1666)&lt;=VAL_SERIAL)*1000000+10*1000+56))</f>
        <v/>
      </c>
      <c r="GI169" s="121">
        <f>IF(N('Dvd Calendar'!$U$1667)=0,"",IF(('Dvd Calendar'!$U$1667&gt;=GRID_FROM)*('Dvd Calendar'!$U$1667&lt;=GRID_TO)*('Dvd Calendar'!$U$1667&gt;VAL_DATE)=0,"",'Dvd Calendar'!$U$1667*1000000000+ISNUMBER('Dvd Calendar'!$U$1668)*100000000+0*10000000+(N('Dvd Calendar'!$U$1666)&gt;0)*(N('Dvd Calendar'!$U$1666)&lt;=VAL_SERIAL)*1000000+10*1000+57))</f>
        <v/>
      </c>
      <c r="GJ169" s="121">
        <f>IF(N('Dvd Calendar'!$V$1667)=0,"",IF(('Dvd Calendar'!$V$1667&gt;=GRID_FROM)*('Dvd Calendar'!$V$1667&lt;=GRID_TO)*('Dvd Calendar'!$V$1667&gt;VAL_DATE)=0,"",'Dvd Calendar'!$V$1667*1000000000+ISNUMBER('Dvd Calendar'!$V$1668)*100000000+0*10000000+(N('Dvd Calendar'!$V$1666)&gt;0)*(N('Dvd Calendar'!$V$1666)&lt;=VAL_SERIAL)*1000000+10*1000+58))</f>
        <v/>
      </c>
      <c r="GK169" s="121">
        <f>IF(N('Dvd Calendar'!$W$1667)=0,"",IF(('Dvd Calendar'!$W$1667&gt;=GRID_FROM)*('Dvd Calendar'!$W$1667&lt;=GRID_TO)*('Dvd Calendar'!$W$1667&gt;VAL_DATE)=0,"",'Dvd Calendar'!$W$1667*1000000000+ISNUMBER('Dvd Calendar'!$W$1668)*100000000+0*10000000+(N('Dvd Calendar'!$W$1666)&gt;0)*(N('Dvd Calendar'!$W$1666)&lt;=VAL_SERIAL)*1000000+10*1000+59))</f>
        <v/>
      </c>
      <c r="GL169" s="121">
        <f>IF(N('Dvd Calendar'!$X$1667)=0,"",IF(('Dvd Calendar'!$X$1667&gt;=GRID_FROM)*('Dvd Calendar'!$X$1667&lt;=GRID_TO)*('Dvd Calendar'!$X$1667&gt;VAL_DATE)=0,"",'Dvd Calendar'!$X$1667*1000000000+ISNUMBER('Dvd Calendar'!$X$1668)*100000000+0*10000000+(N('Dvd Calendar'!$X$1666)&gt;0)*(N('Dvd Calendar'!$X$1666)&lt;=VAL_SERIAL)*1000000+10*1000+60))</f>
        <v/>
      </c>
      <c r="GM169" s="121">
        <f>IF(N('Dvd Calendar'!$Y$1667)=0,"",IF(('Dvd Calendar'!$Y$1667&gt;=GRID_FROM)*('Dvd Calendar'!$Y$1667&lt;=GRID_TO)*('Dvd Calendar'!$Y$1667&gt;VAL_DATE)=0,"",'Dvd Calendar'!$Y$1667*1000000000+ISNUMBER('Dvd Calendar'!$Y$1668)*100000000+0*10000000+(N('Dvd Calendar'!$Y$1666)&gt;0)*(N('Dvd Calendar'!$Y$1666)&lt;=VAL_SERIAL)*1000000+10*1000+61))</f>
        <v/>
      </c>
      <c r="GN169" s="121">
        <f>IF(N('Dvd Calendar'!$Z$1667)=0,"",IF(('Dvd Calendar'!$Z$1667&gt;=GRID_FROM)*('Dvd Calendar'!$Z$1667&lt;=GRID_TO)*('Dvd Calendar'!$Z$1667&gt;VAL_DATE)=0,"",'Dvd Calendar'!$Z$1667*1000000000+ISNUMBER('Dvd Calendar'!$Z$1668)*100000000+0*10000000+(N('Dvd Calendar'!$Z$1666)&gt;0)*(N('Dvd Calendar'!$Z$1666)&lt;=VAL_SERIAL)*1000000+10*1000+62))</f>
        <v/>
      </c>
      <c r="GO169" s="121">
        <f>IF(N('Dvd Calendar'!$AA$1667)=0,"",IF(('Dvd Calendar'!$AA$1667&gt;=GRID_FROM)*('Dvd Calendar'!$AA$1667&lt;=GRID_TO)*('Dvd Calendar'!$AA$1667&gt;VAL_DATE)=0,"",'Dvd Calendar'!$AA$1667*1000000000+ISNUMBER('Dvd Calendar'!$AA$1668)*100000000+0*10000000+(N('Dvd Calendar'!$AA$1666)&gt;0)*(N('Dvd Calendar'!$AA$1666)&lt;=VAL_SERIAL)*1000000+10*1000+63))</f>
        <v/>
      </c>
      <c r="GP169" s="121">
        <f>IF(N('Dvd Calendar'!$AB$1667)=0,"",IF(('Dvd Calendar'!$AB$1667&gt;=GRID_FROM)*('Dvd Calendar'!$AB$1667&lt;=GRID_TO)*('Dvd Calendar'!$AB$1667&gt;VAL_DATE)=0,"",'Dvd Calendar'!$AB$1667*1000000000+ISNUMBER('Dvd Calendar'!$AB$1668)*100000000+0*10000000+(N('Dvd Calendar'!$AB$1666)&gt;0)*(N('Dvd Calendar'!$AB$1666)&lt;=VAL_SERIAL)*1000000+10*1000+64))</f>
        <v/>
      </c>
      <c r="GQ169" s="121">
        <f>IF(N('Dvd Calendar'!$AC$1667)=0,"",IF(('Dvd Calendar'!$AC$1667&gt;=GRID_FROM)*('Dvd Calendar'!$AC$1667&lt;=GRID_TO)*('Dvd Calendar'!$AC$1667&gt;VAL_DATE)=0,"",'Dvd Calendar'!$AC$1667*1000000000+ISNUMBER('Dvd Calendar'!$AC$1668)*100000000+0*10000000+(N('Dvd Calendar'!$AC$1666)&gt;0)*(N('Dvd Calendar'!$AC$1666)&lt;=VAL_SERIAL)*1000000+10*1000+65))</f>
        <v/>
      </c>
    </row>
    <row r="170">
      <c r="B170" s="2">
        <f>IF(HSCEI!$C$17="","",HSCEI!$C$17)</f>
        <v/>
      </c>
      <c r="C170" s="161">
        <f>IF(EE170="","",IF(ISNUMBER('Dvd Calendar'!$E$1674)=FALSE,"",IF((('Dvd Calendar'!$E$1676=TYPE1)*(TYPE1&lt;&gt;"")+('Dvd Calendar'!$E$1676=TYPE2)*(TYPE2&lt;&gt;"")+('Dvd Calendar'!$E$1676=TYPE3)*(TYPE3&lt;&gt;"")+('Dvd Calendar'!$E$1676=TYPE4)*(TYPE4&lt;&gt;"")+('Dvd Calendar'!$E$1676=SPECIAL_LBL)*(INC_SPECIALS="Y"))=0,"",'Dvd Calendar'!$E$1674)))</f>
        <v/>
      </c>
      <c r="D170" s="161">
        <f>IF(EF170="","",IF(ISNUMBER('Dvd Calendar'!$F$1674)=FALSE,"",IF((('Dvd Calendar'!$F$1676=TYPE1)*(TYPE1&lt;&gt;"")+('Dvd Calendar'!$F$1676=TYPE2)*(TYPE2&lt;&gt;"")+('Dvd Calendar'!$F$1676=TYPE3)*(TYPE3&lt;&gt;"")+('Dvd Calendar'!$F$1676=TYPE4)*(TYPE4&lt;&gt;"")+('Dvd Calendar'!$F$1676=SPECIAL_LBL)*(INC_SPECIALS="Y"))=0,"",'Dvd Calendar'!$F$1674)))</f>
        <v/>
      </c>
      <c r="E170" s="161">
        <f>IF(EG170="","",IF(ISNUMBER('Dvd Calendar'!$G$1674)=FALSE,"",IF((('Dvd Calendar'!$G$1676=TYPE1)*(TYPE1&lt;&gt;"")+('Dvd Calendar'!$G$1676=TYPE2)*(TYPE2&lt;&gt;"")+('Dvd Calendar'!$G$1676=TYPE3)*(TYPE3&lt;&gt;"")+('Dvd Calendar'!$G$1676=TYPE4)*(TYPE4&lt;&gt;"")+('Dvd Calendar'!$G$1676=SPECIAL_LBL)*(INC_SPECIALS="Y"))=0,"",'Dvd Calendar'!$G$1674)))</f>
        <v/>
      </c>
      <c r="F170" s="161">
        <f>IF(EH170="","",IF(ISNUMBER('Dvd Calendar'!$H$1674)=FALSE,"",IF((('Dvd Calendar'!$H$1676=TYPE1)*(TYPE1&lt;&gt;"")+('Dvd Calendar'!$H$1676=TYPE2)*(TYPE2&lt;&gt;"")+('Dvd Calendar'!$H$1676=TYPE3)*(TYPE3&lt;&gt;"")+('Dvd Calendar'!$H$1676=TYPE4)*(TYPE4&lt;&gt;"")+('Dvd Calendar'!$H$1676=SPECIAL_LBL)*(INC_SPECIALS="Y"))=0,"",'Dvd Calendar'!$H$1674)))</f>
        <v/>
      </c>
      <c r="G170" s="161">
        <f>IF(EI170="","",IF(ISNUMBER('Dvd Calendar'!$I$1674)=FALSE,"",IF((('Dvd Calendar'!$I$1676=TYPE1)*(TYPE1&lt;&gt;"")+('Dvd Calendar'!$I$1676=TYPE2)*(TYPE2&lt;&gt;"")+('Dvd Calendar'!$I$1676=TYPE3)*(TYPE3&lt;&gt;"")+('Dvd Calendar'!$I$1676=TYPE4)*(TYPE4&lt;&gt;"")+('Dvd Calendar'!$I$1676=SPECIAL_LBL)*(INC_SPECIALS="Y"))=0,"",'Dvd Calendar'!$I$1674)))</f>
        <v/>
      </c>
      <c r="H170" s="161">
        <f>IF(EJ170="","",IF(ISNUMBER('Dvd Calendar'!$J$1674)=FALSE,"",IF((('Dvd Calendar'!$J$1676=TYPE1)*(TYPE1&lt;&gt;"")+('Dvd Calendar'!$J$1676=TYPE2)*(TYPE2&lt;&gt;"")+('Dvd Calendar'!$J$1676=TYPE3)*(TYPE3&lt;&gt;"")+('Dvd Calendar'!$J$1676=TYPE4)*(TYPE4&lt;&gt;"")+('Dvd Calendar'!$J$1676=SPECIAL_LBL)*(INC_SPECIALS="Y"))=0,"",'Dvd Calendar'!$J$1674)))</f>
        <v/>
      </c>
      <c r="I170" s="161">
        <f>IF(EK170="","",IF(ISNUMBER('Dvd Calendar'!$K$1674)=FALSE,"",IF((('Dvd Calendar'!$K$1676=TYPE1)*(TYPE1&lt;&gt;"")+('Dvd Calendar'!$K$1676=TYPE2)*(TYPE2&lt;&gt;"")+('Dvd Calendar'!$K$1676=TYPE3)*(TYPE3&lt;&gt;"")+('Dvd Calendar'!$K$1676=TYPE4)*(TYPE4&lt;&gt;"")+('Dvd Calendar'!$K$1676=SPECIAL_LBL)*(INC_SPECIALS="Y"))=0,"",'Dvd Calendar'!$K$1674)))</f>
        <v/>
      </c>
      <c r="J170" s="161">
        <f>IF(EL170="","",IF(ISNUMBER('Dvd Calendar'!$L$1674)=FALSE,"",IF((('Dvd Calendar'!$L$1676=TYPE1)*(TYPE1&lt;&gt;"")+('Dvd Calendar'!$L$1676=TYPE2)*(TYPE2&lt;&gt;"")+('Dvd Calendar'!$L$1676=TYPE3)*(TYPE3&lt;&gt;"")+('Dvd Calendar'!$L$1676=TYPE4)*(TYPE4&lt;&gt;"")+('Dvd Calendar'!$L$1676=SPECIAL_LBL)*(INC_SPECIALS="Y"))=0,"",'Dvd Calendar'!$L$1674)))</f>
        <v/>
      </c>
      <c r="K170" s="161">
        <f>IF(EM170="","",IF(ISNUMBER('Dvd Calendar'!$M$1674)=FALSE,"",IF((('Dvd Calendar'!$M$1676=TYPE1)*(TYPE1&lt;&gt;"")+('Dvd Calendar'!$M$1676=TYPE2)*(TYPE2&lt;&gt;"")+('Dvd Calendar'!$M$1676=TYPE3)*(TYPE3&lt;&gt;"")+('Dvd Calendar'!$M$1676=TYPE4)*(TYPE4&lt;&gt;"")+('Dvd Calendar'!$M$1676=SPECIAL_LBL)*(INC_SPECIALS="Y"))=0,"",'Dvd Calendar'!$M$1674)))</f>
        <v/>
      </c>
      <c r="L170" s="161">
        <f>IF(EN170="","",IF(ISNUMBER('Dvd Calendar'!$N$1674)=FALSE,"",IF((('Dvd Calendar'!$N$1676=TYPE1)*(TYPE1&lt;&gt;"")+('Dvd Calendar'!$N$1676=TYPE2)*(TYPE2&lt;&gt;"")+('Dvd Calendar'!$N$1676=TYPE3)*(TYPE3&lt;&gt;"")+('Dvd Calendar'!$N$1676=TYPE4)*(TYPE4&lt;&gt;"")+('Dvd Calendar'!$N$1676=SPECIAL_LBL)*(INC_SPECIALS="Y"))=0,"",'Dvd Calendar'!$N$1674)))</f>
        <v/>
      </c>
      <c r="M170" s="161">
        <f>IF(EO170="","",IF(ISNUMBER('Dvd Calendar'!$O$1674)=FALSE,"",IF((('Dvd Calendar'!$O$1676=TYPE1)*(TYPE1&lt;&gt;"")+('Dvd Calendar'!$O$1676=TYPE2)*(TYPE2&lt;&gt;"")+('Dvd Calendar'!$O$1676=TYPE3)*(TYPE3&lt;&gt;"")+('Dvd Calendar'!$O$1676=TYPE4)*(TYPE4&lt;&gt;"")+('Dvd Calendar'!$O$1676=SPECIAL_LBL)*(INC_SPECIALS="Y"))=0,"",'Dvd Calendar'!$O$1674)))</f>
        <v/>
      </c>
      <c r="N170" s="161">
        <f>IF(EP170="","",IF(ISNUMBER('Dvd Calendar'!$P$1674)=FALSE,"",IF((('Dvd Calendar'!$P$1676=TYPE1)*(TYPE1&lt;&gt;"")+('Dvd Calendar'!$P$1676=TYPE2)*(TYPE2&lt;&gt;"")+('Dvd Calendar'!$P$1676=TYPE3)*(TYPE3&lt;&gt;"")+('Dvd Calendar'!$P$1676=TYPE4)*(TYPE4&lt;&gt;"")+('Dvd Calendar'!$P$1676=SPECIAL_LBL)*(INC_SPECIALS="Y"))=0,"",'Dvd Calendar'!$P$1674)))</f>
        <v/>
      </c>
      <c r="O170" s="161">
        <f>IF(EQ170="","",IF(ISNUMBER('Dvd Calendar'!$Q$1674)=FALSE,"",IF((('Dvd Calendar'!$Q$1676=TYPE1)*(TYPE1&lt;&gt;"")+('Dvd Calendar'!$Q$1676=TYPE2)*(TYPE2&lt;&gt;"")+('Dvd Calendar'!$Q$1676=TYPE3)*(TYPE3&lt;&gt;"")+('Dvd Calendar'!$Q$1676=TYPE4)*(TYPE4&lt;&gt;"")+('Dvd Calendar'!$Q$1676=SPECIAL_LBL)*(INC_SPECIALS="Y"))=0,"",'Dvd Calendar'!$Q$1674)))</f>
        <v/>
      </c>
      <c r="P170" s="161">
        <f>IF(ER170="","",IF(ISNUMBER('Dvd Calendar'!$R$1674)=FALSE,"",IF((('Dvd Calendar'!$R$1676=TYPE1)*(TYPE1&lt;&gt;"")+('Dvd Calendar'!$R$1676=TYPE2)*(TYPE2&lt;&gt;"")+('Dvd Calendar'!$R$1676=TYPE3)*(TYPE3&lt;&gt;"")+('Dvd Calendar'!$R$1676=TYPE4)*(TYPE4&lt;&gt;"")+('Dvd Calendar'!$R$1676=SPECIAL_LBL)*(INC_SPECIALS="Y"))=0,"",'Dvd Calendar'!$R$1674)))</f>
        <v/>
      </c>
      <c r="Q170" s="161">
        <f>IF(ES170="","",IF(ISNUMBER('Dvd Calendar'!$S$1674)=FALSE,"",IF((('Dvd Calendar'!$S$1676=TYPE1)*(TYPE1&lt;&gt;"")+('Dvd Calendar'!$S$1676=TYPE2)*(TYPE2&lt;&gt;"")+('Dvd Calendar'!$S$1676=TYPE3)*(TYPE3&lt;&gt;"")+('Dvd Calendar'!$S$1676=TYPE4)*(TYPE4&lt;&gt;"")+('Dvd Calendar'!$S$1676=SPECIAL_LBL)*(INC_SPECIALS="Y"))=0,"",'Dvd Calendar'!$S$1674)))</f>
        <v/>
      </c>
      <c r="R170" s="161">
        <f>IF(ET170="","",IF(ISNUMBER('Dvd Calendar'!$T$1674)=FALSE,"",IF((('Dvd Calendar'!$T$1676=TYPE1)*(TYPE1&lt;&gt;"")+('Dvd Calendar'!$T$1676=TYPE2)*(TYPE2&lt;&gt;"")+('Dvd Calendar'!$T$1676=TYPE3)*(TYPE3&lt;&gt;"")+('Dvd Calendar'!$T$1676=TYPE4)*(TYPE4&lt;&gt;"")+('Dvd Calendar'!$T$1676=SPECIAL_LBL)*(INC_SPECIALS="Y"))=0,"",'Dvd Calendar'!$T$1674)))</f>
        <v/>
      </c>
      <c r="S170" s="161">
        <f>IF(EU170="","",IF(ISNUMBER('Dvd Calendar'!$U$1674)=FALSE,"",IF((('Dvd Calendar'!$U$1676=TYPE1)*(TYPE1&lt;&gt;"")+('Dvd Calendar'!$U$1676=TYPE2)*(TYPE2&lt;&gt;"")+('Dvd Calendar'!$U$1676=TYPE3)*(TYPE3&lt;&gt;"")+('Dvd Calendar'!$U$1676=TYPE4)*(TYPE4&lt;&gt;"")+('Dvd Calendar'!$U$1676=SPECIAL_LBL)*(INC_SPECIALS="Y"))=0,"",'Dvd Calendar'!$U$1674)))</f>
        <v/>
      </c>
      <c r="T170" s="161">
        <f>IF(EV170="","",IF(ISNUMBER('Dvd Calendar'!$V$1674)=FALSE,"",IF((('Dvd Calendar'!$V$1676=TYPE1)*(TYPE1&lt;&gt;"")+('Dvd Calendar'!$V$1676=TYPE2)*(TYPE2&lt;&gt;"")+('Dvd Calendar'!$V$1676=TYPE3)*(TYPE3&lt;&gt;"")+('Dvd Calendar'!$V$1676=TYPE4)*(TYPE4&lt;&gt;"")+('Dvd Calendar'!$V$1676=SPECIAL_LBL)*(INC_SPECIALS="Y"))=0,"",'Dvd Calendar'!$V$1674)))</f>
        <v/>
      </c>
      <c r="U170" s="161">
        <f>IF(EW170="","",IF(ISNUMBER('Dvd Calendar'!$W$1674)=FALSE,"",IF((('Dvd Calendar'!$W$1676=TYPE1)*(TYPE1&lt;&gt;"")+('Dvd Calendar'!$W$1676=TYPE2)*(TYPE2&lt;&gt;"")+('Dvd Calendar'!$W$1676=TYPE3)*(TYPE3&lt;&gt;"")+('Dvd Calendar'!$W$1676=TYPE4)*(TYPE4&lt;&gt;"")+('Dvd Calendar'!$W$1676=SPECIAL_LBL)*(INC_SPECIALS="Y"))=0,"",'Dvd Calendar'!$W$1674)))</f>
        <v/>
      </c>
      <c r="V170" s="161">
        <f>IF(EX170="","",IF(ISNUMBER('Dvd Calendar'!$X$1674)=FALSE,"",IF((('Dvd Calendar'!$X$1676=TYPE1)*(TYPE1&lt;&gt;"")+('Dvd Calendar'!$X$1676=TYPE2)*(TYPE2&lt;&gt;"")+('Dvd Calendar'!$X$1676=TYPE3)*(TYPE3&lt;&gt;"")+('Dvd Calendar'!$X$1676=TYPE4)*(TYPE4&lt;&gt;"")+('Dvd Calendar'!$X$1676=SPECIAL_LBL)*(INC_SPECIALS="Y"))=0,"",'Dvd Calendar'!$X$1674)))</f>
        <v/>
      </c>
      <c r="W170" s="161">
        <f>IF(EY170="","",IF(ISNUMBER('Dvd Calendar'!$Y$1674)=FALSE,"",IF((('Dvd Calendar'!$Y$1676=TYPE1)*(TYPE1&lt;&gt;"")+('Dvd Calendar'!$Y$1676=TYPE2)*(TYPE2&lt;&gt;"")+('Dvd Calendar'!$Y$1676=TYPE3)*(TYPE3&lt;&gt;"")+('Dvd Calendar'!$Y$1676=TYPE4)*(TYPE4&lt;&gt;"")+('Dvd Calendar'!$Y$1676=SPECIAL_LBL)*(INC_SPECIALS="Y"))=0,"",'Dvd Calendar'!$Y$1674)))</f>
        <v/>
      </c>
      <c r="X170" s="161">
        <f>IF(EZ170="","",IF(ISNUMBER('Dvd Calendar'!$Z$1674)=FALSE,"",IF((('Dvd Calendar'!$Z$1676=TYPE1)*(TYPE1&lt;&gt;"")+('Dvd Calendar'!$Z$1676=TYPE2)*(TYPE2&lt;&gt;"")+('Dvd Calendar'!$Z$1676=TYPE3)*(TYPE3&lt;&gt;"")+('Dvd Calendar'!$Z$1676=TYPE4)*(TYPE4&lt;&gt;"")+('Dvd Calendar'!$Z$1676=SPECIAL_LBL)*(INC_SPECIALS="Y"))=0,"",'Dvd Calendar'!$Z$1674)))</f>
        <v/>
      </c>
      <c r="Y170" s="161">
        <f>IF(FA170="","",IF(ISNUMBER('Dvd Calendar'!$AA$1674)=FALSE,"",IF((('Dvd Calendar'!$AA$1676=TYPE1)*(TYPE1&lt;&gt;"")+('Dvd Calendar'!$AA$1676=TYPE2)*(TYPE2&lt;&gt;"")+('Dvd Calendar'!$AA$1676=TYPE3)*(TYPE3&lt;&gt;"")+('Dvd Calendar'!$AA$1676=TYPE4)*(TYPE4&lt;&gt;"")+('Dvd Calendar'!$AA$1676=SPECIAL_LBL)*(INC_SPECIALS="Y"))=0,"",'Dvd Calendar'!$AA$1674)))</f>
        <v/>
      </c>
      <c r="Z170" s="161">
        <f>IF(FB170="","",IF(ISNUMBER('Dvd Calendar'!$AB$1674)=FALSE,"",IF((('Dvd Calendar'!$AB$1676=TYPE1)*(TYPE1&lt;&gt;"")+('Dvd Calendar'!$AB$1676=TYPE2)*(TYPE2&lt;&gt;"")+('Dvd Calendar'!$AB$1676=TYPE3)*(TYPE3&lt;&gt;"")+('Dvd Calendar'!$AB$1676=TYPE4)*(TYPE4&lt;&gt;"")+('Dvd Calendar'!$AB$1676=SPECIAL_LBL)*(INC_SPECIALS="Y"))=0,"",'Dvd Calendar'!$AB$1674)))</f>
        <v/>
      </c>
      <c r="AA170" s="161">
        <f>IF(FC170="","",IF(ISNUMBER('Dvd Calendar'!$AC$1674)=FALSE,"",IF((('Dvd Calendar'!$AC$1676=TYPE1)*(TYPE1&lt;&gt;"")+('Dvd Calendar'!$AC$1676=TYPE2)*(TYPE2&lt;&gt;"")+('Dvd Calendar'!$AC$1676=TYPE3)*(TYPE3&lt;&gt;"")+('Dvd Calendar'!$AC$1676=TYPE4)*(TYPE4&lt;&gt;"")+('Dvd Calendar'!$AC$1676=SPECIAL_LBL)*(INC_SPECIALS="Y"))=0,"",'Dvd Calendar'!$AC$1674)))</f>
        <v/>
      </c>
      <c r="AB170" s="161">
        <f>IF(FD170="","",IF(ISNUMBER('Dvd Calendar'!$AD$1674)=FALSE,"",IF((('Dvd Calendar'!$AD$1676=TYPE1)*(TYPE1&lt;&gt;"")+('Dvd Calendar'!$AD$1676=TYPE2)*(TYPE2&lt;&gt;"")+('Dvd Calendar'!$AD$1676=TYPE3)*(TYPE3&lt;&gt;"")+('Dvd Calendar'!$AD$1676=TYPE4)*(TYPE4&lt;&gt;"")+('Dvd Calendar'!$AD$1676=SPECIAL_LBL)*(INC_SPECIALS="Y"))=0,"",'Dvd Calendar'!$AD$1674)))</f>
        <v/>
      </c>
      <c r="AC170" s="161">
        <f>IF(FE170="","",IF(ISNUMBER('Dvd Calendar'!$AE$1674)=FALSE,"",IF((('Dvd Calendar'!$AE$1676=TYPE1)*(TYPE1&lt;&gt;"")+('Dvd Calendar'!$AE$1676=TYPE2)*(TYPE2&lt;&gt;"")+('Dvd Calendar'!$AE$1676=TYPE3)*(TYPE3&lt;&gt;"")+('Dvd Calendar'!$AE$1676=TYPE4)*(TYPE4&lt;&gt;"")+('Dvd Calendar'!$AE$1676=SPECIAL_LBL)*(INC_SPECIALS="Y"))=0,"",'Dvd Calendar'!$AE$1674)))</f>
        <v/>
      </c>
      <c r="AD170" s="161">
        <f>IF(FF170="","",IF(ISNUMBER('Dvd Calendar'!$AF$1674)=FALSE,"",IF((('Dvd Calendar'!$AF$1676=TYPE1)*(TYPE1&lt;&gt;"")+('Dvd Calendar'!$AF$1676=TYPE2)*(TYPE2&lt;&gt;"")+('Dvd Calendar'!$AF$1676=TYPE3)*(TYPE3&lt;&gt;"")+('Dvd Calendar'!$AF$1676=TYPE4)*(TYPE4&lt;&gt;"")+('Dvd Calendar'!$AF$1676=SPECIAL_LBL)*(INC_SPECIALS="Y"))=0,"",'Dvd Calendar'!$AF$1674)))</f>
        <v/>
      </c>
      <c r="AE170" s="161">
        <f>IF(FG170="","",IF(ISNUMBER('Dvd Calendar'!$AG$1674)=FALSE,"",IF((('Dvd Calendar'!$AG$1676=TYPE1)*(TYPE1&lt;&gt;"")+('Dvd Calendar'!$AG$1676=TYPE2)*(TYPE2&lt;&gt;"")+('Dvd Calendar'!$AG$1676=TYPE3)*(TYPE3&lt;&gt;"")+('Dvd Calendar'!$AG$1676=TYPE4)*(TYPE4&lt;&gt;"")+('Dvd Calendar'!$AG$1676=SPECIAL_LBL)*(INC_SPECIALS="Y"))=0,"",'Dvd Calendar'!$AG$1674)))</f>
        <v/>
      </c>
      <c r="AF170" s="161">
        <f>IF(FH170="","",IF(ISNUMBER('Dvd Calendar'!$AH$1674)=FALSE,"",IF((('Dvd Calendar'!$AH$1676=TYPE1)*(TYPE1&lt;&gt;"")+('Dvd Calendar'!$AH$1676=TYPE2)*(TYPE2&lt;&gt;"")+('Dvd Calendar'!$AH$1676=TYPE3)*(TYPE3&lt;&gt;"")+('Dvd Calendar'!$AH$1676=TYPE4)*(TYPE4&lt;&gt;"")+('Dvd Calendar'!$AH$1676=SPECIAL_LBL)*(INC_SPECIALS="Y"))=0,"",'Dvd Calendar'!$AH$1674)))</f>
        <v/>
      </c>
      <c r="AG170" s="161">
        <f>IF(FI170="","",IF(ISNUMBER('Dvd Calendar'!$AI$1674)=FALSE,"",IF((('Dvd Calendar'!$AI$1676=TYPE1)*(TYPE1&lt;&gt;"")+('Dvd Calendar'!$AI$1676=TYPE2)*(TYPE2&lt;&gt;"")+('Dvd Calendar'!$AI$1676=TYPE3)*(TYPE3&lt;&gt;"")+('Dvd Calendar'!$AI$1676=TYPE4)*(TYPE4&lt;&gt;"")+('Dvd Calendar'!$AI$1676=SPECIAL_LBL)*(INC_SPECIALS="Y"))=0,"",'Dvd Calendar'!$AI$1674)))</f>
        <v/>
      </c>
      <c r="AH170" s="161">
        <f>IF(FJ170="","",IF(ISNUMBER('Dvd Calendar'!$AJ$1674)=FALSE,"",IF((('Dvd Calendar'!$AJ$1676=TYPE1)*(TYPE1&lt;&gt;"")+('Dvd Calendar'!$AJ$1676=TYPE2)*(TYPE2&lt;&gt;"")+('Dvd Calendar'!$AJ$1676=TYPE3)*(TYPE3&lt;&gt;"")+('Dvd Calendar'!$AJ$1676=TYPE4)*(TYPE4&lt;&gt;"")+('Dvd Calendar'!$AJ$1676=SPECIAL_LBL)*(INC_SPECIALS="Y"))=0,"",'Dvd Calendar'!$AJ$1674)))</f>
        <v/>
      </c>
      <c r="AI170" s="161">
        <f>IF(FK170="","",IF(ISNUMBER('Dvd Calendar'!$AK$1674)=FALSE,"",IF((('Dvd Calendar'!$AK$1676=TYPE1)*(TYPE1&lt;&gt;"")+('Dvd Calendar'!$AK$1676=TYPE2)*(TYPE2&lt;&gt;"")+('Dvd Calendar'!$AK$1676=TYPE3)*(TYPE3&lt;&gt;"")+('Dvd Calendar'!$AK$1676=TYPE4)*(TYPE4&lt;&gt;"")+('Dvd Calendar'!$AK$1676=SPECIAL_LBL)*(INC_SPECIALS="Y"))=0,"",'Dvd Calendar'!$AK$1674)))</f>
        <v/>
      </c>
      <c r="AJ170" s="161">
        <f>IF(FL170="","",IF(ISNUMBER('Dvd Calendar'!$AL$1674)=FALSE,"",IF((('Dvd Calendar'!$AL$1676=TYPE1)*(TYPE1&lt;&gt;"")+('Dvd Calendar'!$AL$1676=TYPE2)*(TYPE2&lt;&gt;"")+('Dvd Calendar'!$AL$1676=TYPE3)*(TYPE3&lt;&gt;"")+('Dvd Calendar'!$AL$1676=TYPE4)*(TYPE4&lt;&gt;"")+('Dvd Calendar'!$AL$1676=SPECIAL_LBL)*(INC_SPECIALS="Y"))=0,"",'Dvd Calendar'!$AL$1674)))</f>
        <v/>
      </c>
      <c r="AK170" s="161">
        <f>IF(FM170="","",IF(ISNUMBER('Dvd Calendar'!$AM$1674)=FALSE,"",IF((('Dvd Calendar'!$AM$1676=TYPE1)*(TYPE1&lt;&gt;"")+('Dvd Calendar'!$AM$1676=TYPE2)*(TYPE2&lt;&gt;"")+('Dvd Calendar'!$AM$1676=TYPE3)*(TYPE3&lt;&gt;"")+('Dvd Calendar'!$AM$1676=TYPE4)*(TYPE4&lt;&gt;"")+('Dvd Calendar'!$AM$1676=SPECIAL_LBL)*(INC_SPECIALS="Y"))=0,"",'Dvd Calendar'!$AM$1674)))</f>
        <v/>
      </c>
      <c r="AL170" s="161">
        <f>IF(FN170="","",IF(ISNUMBER('Dvd Calendar'!$AN$1674)=FALSE,"",IF((('Dvd Calendar'!$AN$1676=TYPE1)*(TYPE1&lt;&gt;"")+('Dvd Calendar'!$AN$1676=TYPE2)*(TYPE2&lt;&gt;"")+('Dvd Calendar'!$AN$1676=TYPE3)*(TYPE3&lt;&gt;"")+('Dvd Calendar'!$AN$1676=TYPE4)*(TYPE4&lt;&gt;"")+('Dvd Calendar'!$AN$1676=SPECIAL_LBL)*(INC_SPECIALS="Y"))=0,"",'Dvd Calendar'!$AN$1674)))</f>
        <v/>
      </c>
      <c r="AM170" s="161">
        <f>IF(FO170="","",IF(ISNUMBER('Dvd Calendar'!$AO$1674)=FALSE,"",IF((('Dvd Calendar'!$AO$1676=TYPE1)*(TYPE1&lt;&gt;"")+('Dvd Calendar'!$AO$1676=TYPE2)*(TYPE2&lt;&gt;"")+('Dvd Calendar'!$AO$1676=TYPE3)*(TYPE3&lt;&gt;"")+('Dvd Calendar'!$AO$1676=TYPE4)*(TYPE4&lt;&gt;"")+('Dvd Calendar'!$AO$1676=SPECIAL_LBL)*(INC_SPECIALS="Y"))=0,"",'Dvd Calendar'!$AO$1674)))</f>
        <v/>
      </c>
      <c r="AN170" s="161">
        <f>IF(FP170="","",IF(ISNUMBER('Dvd Calendar'!$AP$1674)=FALSE,"",IF((('Dvd Calendar'!$AP$1676=TYPE1)*(TYPE1&lt;&gt;"")+('Dvd Calendar'!$AP$1676=TYPE2)*(TYPE2&lt;&gt;"")+('Dvd Calendar'!$AP$1676=TYPE3)*(TYPE3&lt;&gt;"")+('Dvd Calendar'!$AP$1676=TYPE4)*(TYPE4&lt;&gt;"")+('Dvd Calendar'!$AP$1676=SPECIAL_LBL)*(INC_SPECIALS="Y"))=0,"",'Dvd Calendar'!$AP$1674)))</f>
        <v/>
      </c>
      <c r="AO170" s="161">
        <f>IF(FQ170="","",IF(ISNUMBER('Dvd Calendar'!$AQ$1674)=FALSE,"",IF((('Dvd Calendar'!$AQ$1676=TYPE1)*(TYPE1&lt;&gt;"")+('Dvd Calendar'!$AQ$1676=TYPE2)*(TYPE2&lt;&gt;"")+('Dvd Calendar'!$AQ$1676=TYPE3)*(TYPE3&lt;&gt;"")+('Dvd Calendar'!$AQ$1676=TYPE4)*(TYPE4&lt;&gt;"")+('Dvd Calendar'!$AQ$1676=SPECIAL_LBL)*(INC_SPECIALS="Y"))=0,"",'Dvd Calendar'!$AQ$1674)))</f>
        <v/>
      </c>
      <c r="AP170" s="161">
        <f>IF(FR170="","",IF(ISNUMBER('Dvd Calendar'!$AR$1674)=FALSE,"",IF((('Dvd Calendar'!$AR$1676=TYPE1)*(TYPE1&lt;&gt;"")+('Dvd Calendar'!$AR$1676=TYPE2)*(TYPE2&lt;&gt;"")+('Dvd Calendar'!$AR$1676=TYPE3)*(TYPE3&lt;&gt;"")+('Dvd Calendar'!$AR$1676=TYPE4)*(TYPE4&lt;&gt;"")+('Dvd Calendar'!$AR$1676=SPECIAL_LBL)*(INC_SPECIALS="Y"))=0,"",'Dvd Calendar'!$AR$1674)))</f>
        <v/>
      </c>
      <c r="AQ170" s="161">
        <f>IF(FS170="","",IF(ISNUMBER('Dvd Calendar'!$E$1679)=FALSE,"",'Dvd Calendar'!$E$1679))</f>
        <v/>
      </c>
      <c r="AR170" s="161">
        <f>IF(FT170="","",IF(ISNUMBER('Dvd Calendar'!$F$1679)=FALSE,"",'Dvd Calendar'!$F$1679))</f>
        <v/>
      </c>
      <c r="AS170" s="161">
        <f>IF(FU170="","",IF(ISNUMBER('Dvd Calendar'!$G$1679)=FALSE,"",'Dvd Calendar'!$G$1679))</f>
        <v/>
      </c>
      <c r="AT170" s="161">
        <f>IF(FV170="","",IF(ISNUMBER('Dvd Calendar'!$H$1679)=FALSE,"",'Dvd Calendar'!$H$1679))</f>
        <v/>
      </c>
      <c r="AU170" s="161">
        <f>IF(FW170="","",IF(ISNUMBER('Dvd Calendar'!$I$1679)=FALSE,"",'Dvd Calendar'!$I$1679))</f>
        <v/>
      </c>
      <c r="AV170" s="161">
        <f>IF(FX170="","",IF(ISNUMBER('Dvd Calendar'!$J$1679)=FALSE,"",'Dvd Calendar'!$J$1679))</f>
        <v/>
      </c>
      <c r="AW170" s="161">
        <f>IF(FY170="","",IF(ISNUMBER('Dvd Calendar'!$K$1679)=FALSE,"",'Dvd Calendar'!$K$1679))</f>
        <v/>
      </c>
      <c r="AX170" s="161">
        <f>IF(FZ170="","",IF(ISNUMBER('Dvd Calendar'!$L$1679)=FALSE,"",'Dvd Calendar'!$L$1679))</f>
        <v/>
      </c>
      <c r="AY170" s="161">
        <f>IF(GA170="","",IF(ISNUMBER('Dvd Calendar'!$M$1679)=FALSE,"",'Dvd Calendar'!$M$1679))</f>
        <v/>
      </c>
      <c r="AZ170" s="161">
        <f>IF(GB170="","",IF(ISNUMBER('Dvd Calendar'!$N$1679)=FALSE,"",'Dvd Calendar'!$N$1679))</f>
        <v/>
      </c>
      <c r="BA170" s="161">
        <f>IF(GC170="","",IF(ISNUMBER('Dvd Calendar'!$O$1679)=FALSE,"",'Dvd Calendar'!$O$1679))</f>
        <v/>
      </c>
      <c r="BB170" s="161">
        <f>IF(GD170="","",IF(ISNUMBER('Dvd Calendar'!$P$1679)=FALSE,"",'Dvd Calendar'!$P$1679))</f>
        <v/>
      </c>
      <c r="BC170" s="161">
        <f>IF(GE170="","",IF(ISNUMBER('Dvd Calendar'!$Q$1679)=FALSE,"",'Dvd Calendar'!$Q$1679))</f>
        <v/>
      </c>
      <c r="BD170" s="161">
        <f>IF(GF170="","",IF(ISNUMBER('Dvd Calendar'!$R$1679)=FALSE,"",'Dvd Calendar'!$R$1679))</f>
        <v/>
      </c>
      <c r="BE170" s="161">
        <f>IF(GG170="","",IF(ISNUMBER('Dvd Calendar'!$S$1679)=FALSE,"",'Dvd Calendar'!$S$1679))</f>
        <v/>
      </c>
      <c r="BF170" s="161">
        <f>IF(GH170="","",IF(ISNUMBER('Dvd Calendar'!$T$1679)=FALSE,"",'Dvd Calendar'!$T$1679))</f>
        <v/>
      </c>
      <c r="BG170" s="161">
        <f>IF(GI170="","",IF(ISNUMBER('Dvd Calendar'!$U$1679)=FALSE,"",'Dvd Calendar'!$U$1679))</f>
        <v/>
      </c>
      <c r="BH170" s="161">
        <f>IF(GJ170="","",IF(ISNUMBER('Dvd Calendar'!$V$1679)=FALSE,"",'Dvd Calendar'!$V$1679))</f>
        <v/>
      </c>
      <c r="BI170" s="161">
        <f>IF(GK170="","",IF(ISNUMBER('Dvd Calendar'!$W$1679)=FALSE,"",'Dvd Calendar'!$W$1679))</f>
        <v/>
      </c>
      <c r="BJ170" s="161">
        <f>IF(GL170="","",IF(ISNUMBER('Dvd Calendar'!$X$1679)=FALSE,"",'Dvd Calendar'!$X$1679))</f>
        <v/>
      </c>
      <c r="BK170" s="161">
        <f>IF(GM170="","",IF(ISNUMBER('Dvd Calendar'!$Y$1679)=FALSE,"",'Dvd Calendar'!$Y$1679))</f>
        <v/>
      </c>
      <c r="BL170" s="161">
        <f>IF(GN170="","",IF(ISNUMBER('Dvd Calendar'!$Z$1679)=FALSE,"",'Dvd Calendar'!$Z$1679))</f>
        <v/>
      </c>
      <c r="BM170" s="161">
        <f>IF(GO170="","",IF(ISNUMBER('Dvd Calendar'!$AA$1679)=FALSE,"",'Dvd Calendar'!$AA$1679))</f>
        <v/>
      </c>
      <c r="BN170" s="161">
        <f>IF(GP170="","",IF(ISNUMBER('Dvd Calendar'!$AB$1679)=FALSE,"",'Dvd Calendar'!$AB$1679))</f>
        <v/>
      </c>
      <c r="BO170" s="161">
        <f>IF(GQ170="","",IF(ISNUMBER('Dvd Calendar'!$AC$1679)=FALSE,"",'Dvd Calendar'!$AC$1679))</f>
        <v/>
      </c>
      <c r="BQ170" s="161">
        <f>IF(C170="","",IFERROR(C170*HSCEI!$B$17*HSCEI!$G$17/HSCEI!$B$3,""))</f>
        <v/>
      </c>
      <c r="BR170" s="161">
        <f>IF(D170="","",IFERROR(D170*HSCEI!$B$17*HSCEI!$G$17/HSCEI!$B$3,""))</f>
        <v/>
      </c>
      <c r="BS170" s="161">
        <f>IF(E170="","",IFERROR(E170*HSCEI!$B$17*HSCEI!$G$17/HSCEI!$B$3,""))</f>
        <v/>
      </c>
      <c r="BT170" s="161">
        <f>IF(F170="","",IFERROR(F170*HSCEI!$B$17*HSCEI!$G$17/HSCEI!$B$3,""))</f>
        <v/>
      </c>
      <c r="BU170" s="161">
        <f>IF(G170="","",IFERROR(G170*HSCEI!$B$17*HSCEI!$G$17/HSCEI!$B$3,""))</f>
        <v/>
      </c>
      <c r="BV170" s="161">
        <f>IF(H170="","",IFERROR(H170*HSCEI!$B$17*HSCEI!$G$17/HSCEI!$B$3,""))</f>
        <v/>
      </c>
      <c r="BW170" s="161">
        <f>IF(I170="","",IFERROR(I170*HSCEI!$B$17*HSCEI!$G$17/HSCEI!$B$3,""))</f>
        <v/>
      </c>
      <c r="BX170" s="161">
        <f>IF(J170="","",IFERROR(J170*HSCEI!$B$17*HSCEI!$G$17/HSCEI!$B$3,""))</f>
        <v/>
      </c>
      <c r="BY170" s="161">
        <f>IF(K170="","",IFERROR(K170*HSCEI!$B$17*HSCEI!$G$17/HSCEI!$B$3,""))</f>
        <v/>
      </c>
      <c r="BZ170" s="161">
        <f>IF(L170="","",IFERROR(L170*HSCEI!$B$17*HSCEI!$G$17/HSCEI!$B$3,""))</f>
        <v/>
      </c>
      <c r="CA170" s="161">
        <f>IF(M170="","",IFERROR(M170*HSCEI!$B$17*HSCEI!$G$17/HSCEI!$B$3,""))</f>
        <v/>
      </c>
      <c r="CB170" s="161">
        <f>IF(N170="","",IFERROR(N170*HSCEI!$B$17*HSCEI!$G$17/HSCEI!$B$3,""))</f>
        <v/>
      </c>
      <c r="CC170" s="161">
        <f>IF(O170="","",IFERROR(O170*HSCEI!$B$17*HSCEI!$G$17/HSCEI!$B$3,""))</f>
        <v/>
      </c>
      <c r="CD170" s="161">
        <f>IF(P170="","",IFERROR(P170*HSCEI!$B$17*HSCEI!$G$17/HSCEI!$B$3,""))</f>
        <v/>
      </c>
      <c r="CE170" s="161">
        <f>IF(Q170="","",IFERROR(Q170*HSCEI!$B$17*HSCEI!$G$17/HSCEI!$B$3,""))</f>
        <v/>
      </c>
      <c r="CF170" s="161">
        <f>IF(R170="","",IFERROR(R170*HSCEI!$B$17*HSCEI!$G$17/HSCEI!$B$3,""))</f>
        <v/>
      </c>
      <c r="CG170" s="161">
        <f>IF(S170="","",IFERROR(S170*HSCEI!$B$17*HSCEI!$G$17/HSCEI!$B$3,""))</f>
        <v/>
      </c>
      <c r="CH170" s="161">
        <f>IF(T170="","",IFERROR(T170*HSCEI!$B$17*HSCEI!$G$17/HSCEI!$B$3,""))</f>
        <v/>
      </c>
      <c r="CI170" s="161">
        <f>IF(U170="","",IFERROR(U170*HSCEI!$B$17*HSCEI!$G$17/HSCEI!$B$3,""))</f>
        <v/>
      </c>
      <c r="CJ170" s="161">
        <f>IF(V170="","",IFERROR(V170*HSCEI!$B$17*HSCEI!$G$17/HSCEI!$B$3,""))</f>
        <v/>
      </c>
      <c r="CK170" s="161">
        <f>IF(W170="","",IFERROR(W170*HSCEI!$B$17*HSCEI!$G$17/HSCEI!$B$3,""))</f>
        <v/>
      </c>
      <c r="CL170" s="161">
        <f>IF(X170="","",IFERROR(X170*HSCEI!$B$17*HSCEI!$G$17/HSCEI!$B$3,""))</f>
        <v/>
      </c>
      <c r="CM170" s="161">
        <f>IF(Y170="","",IFERROR(Y170*HSCEI!$B$17*HSCEI!$G$17/HSCEI!$B$3,""))</f>
        <v/>
      </c>
      <c r="CN170" s="161">
        <f>IF(Z170="","",IFERROR(Z170*HSCEI!$B$17*HSCEI!$G$17/HSCEI!$B$3,""))</f>
        <v/>
      </c>
      <c r="CO170" s="161">
        <f>IF(AA170="","",IFERROR(AA170*HSCEI!$B$17*HSCEI!$G$17/HSCEI!$B$3,""))</f>
        <v/>
      </c>
      <c r="CP170" s="161">
        <f>IF(AB170="","",IFERROR(AB170*HSCEI!$B$17*HSCEI!$G$17/HSCEI!$B$3,""))</f>
        <v/>
      </c>
      <c r="CQ170" s="161">
        <f>IF(AC170="","",IFERROR(AC170*HSCEI!$B$17*HSCEI!$G$17/HSCEI!$B$3,""))</f>
        <v/>
      </c>
      <c r="CR170" s="161">
        <f>IF(AD170="","",IFERROR(AD170*HSCEI!$B$17*HSCEI!$G$17/HSCEI!$B$3,""))</f>
        <v/>
      </c>
      <c r="CS170" s="161">
        <f>IF(AE170="","",IFERROR(AE170*HSCEI!$B$17*HSCEI!$G$17/HSCEI!$B$3,""))</f>
        <v/>
      </c>
      <c r="CT170" s="161">
        <f>IF(AF170="","",IFERROR(AF170*HSCEI!$B$17*HSCEI!$G$17/HSCEI!$B$3,""))</f>
        <v/>
      </c>
      <c r="CU170" s="161">
        <f>IF(AG170="","",IFERROR(AG170*HSCEI!$B$17*HSCEI!$G$17/HSCEI!$B$3,""))</f>
        <v/>
      </c>
      <c r="CV170" s="161">
        <f>IF(AH170="","",IFERROR(AH170*HSCEI!$B$17*HSCEI!$G$17/HSCEI!$B$3,""))</f>
        <v/>
      </c>
      <c r="CW170" s="161">
        <f>IF(AI170="","",IFERROR(AI170*HSCEI!$B$17*HSCEI!$G$17/HSCEI!$B$3,""))</f>
        <v/>
      </c>
      <c r="CX170" s="161">
        <f>IF(AJ170="","",IFERROR(AJ170*HSCEI!$B$17*HSCEI!$G$17/HSCEI!$B$3,""))</f>
        <v/>
      </c>
      <c r="CY170" s="161">
        <f>IF(AK170="","",IFERROR(AK170*HSCEI!$B$17*HSCEI!$G$17/HSCEI!$B$3,""))</f>
        <v/>
      </c>
      <c r="CZ170" s="161">
        <f>IF(AL170="","",IFERROR(AL170*HSCEI!$B$17*HSCEI!$G$17/HSCEI!$B$3,""))</f>
        <v/>
      </c>
      <c r="DA170" s="161">
        <f>IF(AM170="","",IFERROR(AM170*HSCEI!$B$17*HSCEI!$G$17/HSCEI!$B$3,""))</f>
        <v/>
      </c>
      <c r="DB170" s="161">
        <f>IF(AN170="","",IFERROR(AN170*HSCEI!$B$17*HSCEI!$G$17/HSCEI!$B$3,""))</f>
        <v/>
      </c>
      <c r="DC170" s="161">
        <f>IF(AO170="","",IFERROR(AO170*HSCEI!$B$17*HSCEI!$G$17/HSCEI!$B$3,""))</f>
        <v/>
      </c>
      <c r="DD170" s="161">
        <f>IF(AP170="","",IFERROR(AP170*HSCEI!$B$17*HSCEI!$G$17/HSCEI!$B$3,""))</f>
        <v/>
      </c>
      <c r="DE170" s="161">
        <f>IF(AQ170="","",IFERROR(AQ170*HSCEI!$B$17*HSCEI!$G$17/HSCEI!$B$3,""))</f>
        <v/>
      </c>
      <c r="DF170" s="161">
        <f>IF(AR170="","",IFERROR(AR170*HSCEI!$B$17*HSCEI!$G$17/HSCEI!$B$3,""))</f>
        <v/>
      </c>
      <c r="DG170" s="161">
        <f>IF(AS170="","",IFERROR(AS170*HSCEI!$B$17*HSCEI!$G$17/HSCEI!$B$3,""))</f>
        <v/>
      </c>
      <c r="DH170" s="161">
        <f>IF(AT170="","",IFERROR(AT170*HSCEI!$B$17*HSCEI!$G$17/HSCEI!$B$3,""))</f>
        <v/>
      </c>
      <c r="DI170" s="161">
        <f>IF(AU170="","",IFERROR(AU170*HSCEI!$B$17*HSCEI!$G$17/HSCEI!$B$3,""))</f>
        <v/>
      </c>
      <c r="DJ170" s="161">
        <f>IF(AV170="","",IFERROR(AV170*HSCEI!$B$17*HSCEI!$G$17/HSCEI!$B$3,""))</f>
        <v/>
      </c>
      <c r="DK170" s="161">
        <f>IF(AW170="","",IFERROR(AW170*HSCEI!$B$17*HSCEI!$G$17/HSCEI!$B$3,""))</f>
        <v/>
      </c>
      <c r="DL170" s="161">
        <f>IF(AX170="","",IFERROR(AX170*HSCEI!$B$17*HSCEI!$G$17/HSCEI!$B$3,""))</f>
        <v/>
      </c>
      <c r="DM170" s="161">
        <f>IF(AY170="","",IFERROR(AY170*HSCEI!$B$17*HSCEI!$G$17/HSCEI!$B$3,""))</f>
        <v/>
      </c>
      <c r="DN170" s="161">
        <f>IF(AZ170="","",IFERROR(AZ170*HSCEI!$B$17*HSCEI!$G$17/HSCEI!$B$3,""))</f>
        <v/>
      </c>
      <c r="DO170" s="161">
        <f>IF(BA170="","",IFERROR(BA170*HSCEI!$B$17*HSCEI!$G$17/HSCEI!$B$3,""))</f>
        <v/>
      </c>
      <c r="DP170" s="161">
        <f>IF(BB170="","",IFERROR(BB170*HSCEI!$B$17*HSCEI!$G$17/HSCEI!$B$3,""))</f>
        <v/>
      </c>
      <c r="DQ170" s="161">
        <f>IF(BC170="","",IFERROR(BC170*HSCEI!$B$17*HSCEI!$G$17/HSCEI!$B$3,""))</f>
        <v/>
      </c>
      <c r="DR170" s="161">
        <f>IF(BD170="","",IFERROR(BD170*HSCEI!$B$17*HSCEI!$G$17/HSCEI!$B$3,""))</f>
        <v/>
      </c>
      <c r="DS170" s="161">
        <f>IF(BE170="","",IFERROR(BE170*HSCEI!$B$17*HSCEI!$G$17/HSCEI!$B$3,""))</f>
        <v/>
      </c>
      <c r="DT170" s="161">
        <f>IF(BF170="","",IFERROR(BF170*HSCEI!$B$17*HSCEI!$G$17/HSCEI!$B$3,""))</f>
        <v/>
      </c>
      <c r="DU170" s="161">
        <f>IF(BG170="","",IFERROR(BG170*HSCEI!$B$17*HSCEI!$G$17/HSCEI!$B$3,""))</f>
        <v/>
      </c>
      <c r="DV170" s="161">
        <f>IF(BH170="","",IFERROR(BH170*HSCEI!$B$17*HSCEI!$G$17/HSCEI!$B$3,""))</f>
        <v/>
      </c>
      <c r="DW170" s="161">
        <f>IF(BI170="","",IFERROR(BI170*HSCEI!$B$17*HSCEI!$G$17/HSCEI!$B$3,""))</f>
        <v/>
      </c>
      <c r="DX170" s="161">
        <f>IF(BJ170="","",IFERROR(BJ170*HSCEI!$B$17*HSCEI!$G$17/HSCEI!$B$3,""))</f>
        <v/>
      </c>
      <c r="DY170" s="161">
        <f>IF(BK170="","",IFERROR(BK170*HSCEI!$B$17*HSCEI!$G$17/HSCEI!$B$3,""))</f>
        <v/>
      </c>
      <c r="DZ170" s="161">
        <f>IF(BL170="","",IFERROR(BL170*HSCEI!$B$17*HSCEI!$G$17/HSCEI!$B$3,""))</f>
        <v/>
      </c>
      <c r="EA170" s="161">
        <f>IF(BM170="","",IFERROR(BM170*HSCEI!$B$17*HSCEI!$G$17/HSCEI!$B$3,""))</f>
        <v/>
      </c>
      <c r="EB170" s="161">
        <f>IF(BN170="","",IFERROR(BN170*HSCEI!$B$17*HSCEI!$G$17/HSCEI!$B$3,""))</f>
        <v/>
      </c>
      <c r="EC170" s="161">
        <f>IF(BO170="","",IFERROR(BO170*HSCEI!$B$17*HSCEI!$G$17/HSCEI!$B$3,""))</f>
        <v/>
      </c>
      <c r="EE170" s="121">
        <f>IF(N('Dvd Calendar'!$E$1671)=0,"",IF(('Dvd Calendar'!$E$1671&gt;=GRID_FROM)*('Dvd Calendar'!$E$1671&lt;=GRID_TO)*((('Dvd Calendar'!$E$1671&lt;=VAL_DATE)+(COUNTIF('Dvd Calendar'!$E$1678:$AR$1678,'Dvd Calendar'!$E$1671)=0))&gt;0)=0,"",'Dvd Calendar'!$E$1671*1000000000+ISNUMBER('Dvd Calendar'!$E$1674)*100000000+('Dvd Calendar'!$E$1676=SPECIAL_LBL)*10000000+(N('Dvd Calendar'!$E$1670)&gt;0)*(N('Dvd Calendar'!$E$1670)&lt;=VAL_SERIAL)*1000000+11*1000+1))</f>
        <v/>
      </c>
      <c r="EF170" s="121">
        <f>IF(N('Dvd Calendar'!$F$1671)=0,"",IF(('Dvd Calendar'!$F$1671&gt;=GRID_FROM)*('Dvd Calendar'!$F$1671&lt;=GRID_TO)*((('Dvd Calendar'!$F$1671&lt;=VAL_DATE)+(COUNTIF('Dvd Calendar'!$E$1678:$AR$1678,'Dvd Calendar'!$F$1671)=0))&gt;0)=0,"",'Dvd Calendar'!$F$1671*1000000000+ISNUMBER('Dvd Calendar'!$F$1674)*100000000+('Dvd Calendar'!$F$1676=SPECIAL_LBL)*10000000+(N('Dvd Calendar'!$F$1670)&gt;0)*(N('Dvd Calendar'!$F$1670)&lt;=VAL_SERIAL)*1000000+11*1000+2))</f>
        <v/>
      </c>
      <c r="EG170" s="121">
        <f>IF(N('Dvd Calendar'!$G$1671)=0,"",IF(('Dvd Calendar'!$G$1671&gt;=GRID_FROM)*('Dvd Calendar'!$G$1671&lt;=GRID_TO)*((('Dvd Calendar'!$G$1671&lt;=VAL_DATE)+(COUNTIF('Dvd Calendar'!$E$1678:$AR$1678,'Dvd Calendar'!$G$1671)=0))&gt;0)=0,"",'Dvd Calendar'!$G$1671*1000000000+ISNUMBER('Dvd Calendar'!$G$1674)*100000000+('Dvd Calendar'!$G$1676=SPECIAL_LBL)*10000000+(N('Dvd Calendar'!$G$1670)&gt;0)*(N('Dvd Calendar'!$G$1670)&lt;=VAL_SERIAL)*1000000+11*1000+3))</f>
        <v/>
      </c>
      <c r="EH170" s="121">
        <f>IF(N('Dvd Calendar'!$H$1671)=0,"",IF(('Dvd Calendar'!$H$1671&gt;=GRID_FROM)*('Dvd Calendar'!$H$1671&lt;=GRID_TO)*((('Dvd Calendar'!$H$1671&lt;=VAL_DATE)+(COUNTIF('Dvd Calendar'!$E$1678:$AR$1678,'Dvd Calendar'!$H$1671)=0))&gt;0)=0,"",'Dvd Calendar'!$H$1671*1000000000+ISNUMBER('Dvd Calendar'!$H$1674)*100000000+('Dvd Calendar'!$H$1676=SPECIAL_LBL)*10000000+(N('Dvd Calendar'!$H$1670)&gt;0)*(N('Dvd Calendar'!$H$1670)&lt;=VAL_SERIAL)*1000000+11*1000+4))</f>
        <v/>
      </c>
      <c r="EI170" s="121">
        <f>IF(N('Dvd Calendar'!$I$1671)=0,"",IF(('Dvd Calendar'!$I$1671&gt;=GRID_FROM)*('Dvd Calendar'!$I$1671&lt;=GRID_TO)*((('Dvd Calendar'!$I$1671&lt;=VAL_DATE)+(COUNTIF('Dvd Calendar'!$E$1678:$AR$1678,'Dvd Calendar'!$I$1671)=0))&gt;0)=0,"",'Dvd Calendar'!$I$1671*1000000000+ISNUMBER('Dvd Calendar'!$I$1674)*100000000+('Dvd Calendar'!$I$1676=SPECIAL_LBL)*10000000+(N('Dvd Calendar'!$I$1670)&gt;0)*(N('Dvd Calendar'!$I$1670)&lt;=VAL_SERIAL)*1000000+11*1000+5))</f>
        <v/>
      </c>
      <c r="EJ170" s="121">
        <f>IF(N('Dvd Calendar'!$J$1671)=0,"",IF(('Dvd Calendar'!$J$1671&gt;=GRID_FROM)*('Dvd Calendar'!$J$1671&lt;=GRID_TO)*((('Dvd Calendar'!$J$1671&lt;=VAL_DATE)+(COUNTIF('Dvd Calendar'!$E$1678:$AR$1678,'Dvd Calendar'!$J$1671)=0))&gt;0)=0,"",'Dvd Calendar'!$J$1671*1000000000+ISNUMBER('Dvd Calendar'!$J$1674)*100000000+('Dvd Calendar'!$J$1676=SPECIAL_LBL)*10000000+(N('Dvd Calendar'!$J$1670)&gt;0)*(N('Dvd Calendar'!$J$1670)&lt;=VAL_SERIAL)*1000000+11*1000+6))</f>
        <v/>
      </c>
      <c r="EK170" s="121">
        <f>IF(N('Dvd Calendar'!$K$1671)=0,"",IF(('Dvd Calendar'!$K$1671&gt;=GRID_FROM)*('Dvd Calendar'!$K$1671&lt;=GRID_TO)*((('Dvd Calendar'!$K$1671&lt;=VAL_DATE)+(COUNTIF('Dvd Calendar'!$E$1678:$AR$1678,'Dvd Calendar'!$K$1671)=0))&gt;0)=0,"",'Dvd Calendar'!$K$1671*1000000000+ISNUMBER('Dvd Calendar'!$K$1674)*100000000+('Dvd Calendar'!$K$1676=SPECIAL_LBL)*10000000+(N('Dvd Calendar'!$K$1670)&gt;0)*(N('Dvd Calendar'!$K$1670)&lt;=VAL_SERIAL)*1000000+11*1000+7))</f>
        <v/>
      </c>
      <c r="EL170" s="121">
        <f>IF(N('Dvd Calendar'!$L$1671)=0,"",IF(('Dvd Calendar'!$L$1671&gt;=GRID_FROM)*('Dvd Calendar'!$L$1671&lt;=GRID_TO)*((('Dvd Calendar'!$L$1671&lt;=VAL_DATE)+(COUNTIF('Dvd Calendar'!$E$1678:$AR$1678,'Dvd Calendar'!$L$1671)=0))&gt;0)=0,"",'Dvd Calendar'!$L$1671*1000000000+ISNUMBER('Dvd Calendar'!$L$1674)*100000000+('Dvd Calendar'!$L$1676=SPECIAL_LBL)*10000000+(N('Dvd Calendar'!$L$1670)&gt;0)*(N('Dvd Calendar'!$L$1670)&lt;=VAL_SERIAL)*1000000+11*1000+8))</f>
        <v/>
      </c>
      <c r="EM170" s="121">
        <f>IF(N('Dvd Calendar'!$M$1671)=0,"",IF(('Dvd Calendar'!$M$1671&gt;=GRID_FROM)*('Dvd Calendar'!$M$1671&lt;=GRID_TO)*((('Dvd Calendar'!$M$1671&lt;=VAL_DATE)+(COUNTIF('Dvd Calendar'!$E$1678:$AR$1678,'Dvd Calendar'!$M$1671)=0))&gt;0)=0,"",'Dvd Calendar'!$M$1671*1000000000+ISNUMBER('Dvd Calendar'!$M$1674)*100000000+('Dvd Calendar'!$M$1676=SPECIAL_LBL)*10000000+(N('Dvd Calendar'!$M$1670)&gt;0)*(N('Dvd Calendar'!$M$1670)&lt;=VAL_SERIAL)*1000000+11*1000+9))</f>
        <v/>
      </c>
      <c r="EN170" s="121">
        <f>IF(N('Dvd Calendar'!$N$1671)=0,"",IF(('Dvd Calendar'!$N$1671&gt;=GRID_FROM)*('Dvd Calendar'!$N$1671&lt;=GRID_TO)*((('Dvd Calendar'!$N$1671&lt;=VAL_DATE)+(COUNTIF('Dvd Calendar'!$E$1678:$AR$1678,'Dvd Calendar'!$N$1671)=0))&gt;0)=0,"",'Dvd Calendar'!$N$1671*1000000000+ISNUMBER('Dvd Calendar'!$N$1674)*100000000+('Dvd Calendar'!$N$1676=SPECIAL_LBL)*10000000+(N('Dvd Calendar'!$N$1670)&gt;0)*(N('Dvd Calendar'!$N$1670)&lt;=VAL_SERIAL)*1000000+11*1000+10))</f>
        <v/>
      </c>
      <c r="EO170" s="121">
        <f>IF(N('Dvd Calendar'!$O$1671)=0,"",IF(('Dvd Calendar'!$O$1671&gt;=GRID_FROM)*('Dvd Calendar'!$O$1671&lt;=GRID_TO)*((('Dvd Calendar'!$O$1671&lt;=VAL_DATE)+(COUNTIF('Dvd Calendar'!$E$1678:$AR$1678,'Dvd Calendar'!$O$1671)=0))&gt;0)=0,"",'Dvd Calendar'!$O$1671*1000000000+ISNUMBER('Dvd Calendar'!$O$1674)*100000000+('Dvd Calendar'!$O$1676=SPECIAL_LBL)*10000000+(N('Dvd Calendar'!$O$1670)&gt;0)*(N('Dvd Calendar'!$O$1670)&lt;=VAL_SERIAL)*1000000+11*1000+11))</f>
        <v/>
      </c>
      <c r="EP170" s="121">
        <f>IF(N('Dvd Calendar'!$P$1671)=0,"",IF(('Dvd Calendar'!$P$1671&gt;=GRID_FROM)*('Dvd Calendar'!$P$1671&lt;=GRID_TO)*((('Dvd Calendar'!$P$1671&lt;=VAL_DATE)+(COUNTIF('Dvd Calendar'!$E$1678:$AR$1678,'Dvd Calendar'!$P$1671)=0))&gt;0)=0,"",'Dvd Calendar'!$P$1671*1000000000+ISNUMBER('Dvd Calendar'!$P$1674)*100000000+('Dvd Calendar'!$P$1676=SPECIAL_LBL)*10000000+(N('Dvd Calendar'!$P$1670)&gt;0)*(N('Dvd Calendar'!$P$1670)&lt;=VAL_SERIAL)*1000000+11*1000+12))</f>
        <v/>
      </c>
      <c r="EQ170" s="121">
        <f>IF(N('Dvd Calendar'!$Q$1671)=0,"",IF(('Dvd Calendar'!$Q$1671&gt;=GRID_FROM)*('Dvd Calendar'!$Q$1671&lt;=GRID_TO)*((('Dvd Calendar'!$Q$1671&lt;=VAL_DATE)+(COUNTIF('Dvd Calendar'!$E$1678:$AR$1678,'Dvd Calendar'!$Q$1671)=0))&gt;0)=0,"",'Dvd Calendar'!$Q$1671*1000000000+ISNUMBER('Dvd Calendar'!$Q$1674)*100000000+('Dvd Calendar'!$Q$1676=SPECIAL_LBL)*10000000+(N('Dvd Calendar'!$Q$1670)&gt;0)*(N('Dvd Calendar'!$Q$1670)&lt;=VAL_SERIAL)*1000000+11*1000+13))</f>
        <v/>
      </c>
      <c r="ER170" s="121">
        <f>IF(N('Dvd Calendar'!$R$1671)=0,"",IF(('Dvd Calendar'!$R$1671&gt;=GRID_FROM)*('Dvd Calendar'!$R$1671&lt;=GRID_TO)*((('Dvd Calendar'!$R$1671&lt;=VAL_DATE)+(COUNTIF('Dvd Calendar'!$E$1678:$AR$1678,'Dvd Calendar'!$R$1671)=0))&gt;0)=0,"",'Dvd Calendar'!$R$1671*1000000000+ISNUMBER('Dvd Calendar'!$R$1674)*100000000+('Dvd Calendar'!$R$1676=SPECIAL_LBL)*10000000+(N('Dvd Calendar'!$R$1670)&gt;0)*(N('Dvd Calendar'!$R$1670)&lt;=VAL_SERIAL)*1000000+11*1000+14))</f>
        <v/>
      </c>
      <c r="ES170" s="121">
        <f>IF(N('Dvd Calendar'!$S$1671)=0,"",IF(('Dvd Calendar'!$S$1671&gt;=GRID_FROM)*('Dvd Calendar'!$S$1671&lt;=GRID_TO)*((('Dvd Calendar'!$S$1671&lt;=VAL_DATE)+(COUNTIF('Dvd Calendar'!$E$1678:$AR$1678,'Dvd Calendar'!$S$1671)=0))&gt;0)=0,"",'Dvd Calendar'!$S$1671*1000000000+ISNUMBER('Dvd Calendar'!$S$1674)*100000000+('Dvd Calendar'!$S$1676=SPECIAL_LBL)*10000000+(N('Dvd Calendar'!$S$1670)&gt;0)*(N('Dvd Calendar'!$S$1670)&lt;=VAL_SERIAL)*1000000+11*1000+15))</f>
        <v/>
      </c>
      <c r="ET170" s="121">
        <f>IF(N('Dvd Calendar'!$T$1671)=0,"",IF(('Dvd Calendar'!$T$1671&gt;=GRID_FROM)*('Dvd Calendar'!$T$1671&lt;=GRID_TO)*((('Dvd Calendar'!$T$1671&lt;=VAL_DATE)+(COUNTIF('Dvd Calendar'!$E$1678:$AR$1678,'Dvd Calendar'!$T$1671)=0))&gt;0)=0,"",'Dvd Calendar'!$T$1671*1000000000+ISNUMBER('Dvd Calendar'!$T$1674)*100000000+('Dvd Calendar'!$T$1676=SPECIAL_LBL)*10000000+(N('Dvd Calendar'!$T$1670)&gt;0)*(N('Dvd Calendar'!$T$1670)&lt;=VAL_SERIAL)*1000000+11*1000+16))</f>
        <v/>
      </c>
      <c r="EU170" s="121">
        <f>IF(N('Dvd Calendar'!$U$1671)=0,"",IF(('Dvd Calendar'!$U$1671&gt;=GRID_FROM)*('Dvd Calendar'!$U$1671&lt;=GRID_TO)*((('Dvd Calendar'!$U$1671&lt;=VAL_DATE)+(COUNTIF('Dvd Calendar'!$E$1678:$AR$1678,'Dvd Calendar'!$U$1671)=0))&gt;0)=0,"",'Dvd Calendar'!$U$1671*1000000000+ISNUMBER('Dvd Calendar'!$U$1674)*100000000+('Dvd Calendar'!$U$1676=SPECIAL_LBL)*10000000+(N('Dvd Calendar'!$U$1670)&gt;0)*(N('Dvd Calendar'!$U$1670)&lt;=VAL_SERIAL)*1000000+11*1000+17))</f>
        <v/>
      </c>
      <c r="EV170" s="121">
        <f>IF(N('Dvd Calendar'!$V$1671)=0,"",IF(('Dvd Calendar'!$V$1671&gt;=GRID_FROM)*('Dvd Calendar'!$V$1671&lt;=GRID_TO)*((('Dvd Calendar'!$V$1671&lt;=VAL_DATE)+(COUNTIF('Dvd Calendar'!$E$1678:$AR$1678,'Dvd Calendar'!$V$1671)=0))&gt;0)=0,"",'Dvd Calendar'!$V$1671*1000000000+ISNUMBER('Dvd Calendar'!$V$1674)*100000000+('Dvd Calendar'!$V$1676=SPECIAL_LBL)*10000000+(N('Dvd Calendar'!$V$1670)&gt;0)*(N('Dvd Calendar'!$V$1670)&lt;=VAL_SERIAL)*1000000+11*1000+18))</f>
        <v/>
      </c>
      <c r="EW170" s="121">
        <f>IF(N('Dvd Calendar'!$W$1671)=0,"",IF(('Dvd Calendar'!$W$1671&gt;=GRID_FROM)*('Dvd Calendar'!$W$1671&lt;=GRID_TO)*((('Dvd Calendar'!$W$1671&lt;=VAL_DATE)+(COUNTIF('Dvd Calendar'!$E$1678:$AR$1678,'Dvd Calendar'!$W$1671)=0))&gt;0)=0,"",'Dvd Calendar'!$W$1671*1000000000+ISNUMBER('Dvd Calendar'!$W$1674)*100000000+('Dvd Calendar'!$W$1676=SPECIAL_LBL)*10000000+(N('Dvd Calendar'!$W$1670)&gt;0)*(N('Dvd Calendar'!$W$1670)&lt;=VAL_SERIAL)*1000000+11*1000+19))</f>
        <v/>
      </c>
      <c r="EX170" s="121">
        <f>IF(N('Dvd Calendar'!$X$1671)=0,"",IF(('Dvd Calendar'!$X$1671&gt;=GRID_FROM)*('Dvd Calendar'!$X$1671&lt;=GRID_TO)*((('Dvd Calendar'!$X$1671&lt;=VAL_DATE)+(COUNTIF('Dvd Calendar'!$E$1678:$AR$1678,'Dvd Calendar'!$X$1671)=0))&gt;0)=0,"",'Dvd Calendar'!$X$1671*1000000000+ISNUMBER('Dvd Calendar'!$X$1674)*100000000+('Dvd Calendar'!$X$1676=SPECIAL_LBL)*10000000+(N('Dvd Calendar'!$X$1670)&gt;0)*(N('Dvd Calendar'!$X$1670)&lt;=VAL_SERIAL)*1000000+11*1000+20))</f>
        <v/>
      </c>
      <c r="EY170" s="121">
        <f>IF(N('Dvd Calendar'!$Y$1671)=0,"",IF(('Dvd Calendar'!$Y$1671&gt;=GRID_FROM)*('Dvd Calendar'!$Y$1671&lt;=GRID_TO)*((('Dvd Calendar'!$Y$1671&lt;=VAL_DATE)+(COUNTIF('Dvd Calendar'!$E$1678:$AR$1678,'Dvd Calendar'!$Y$1671)=0))&gt;0)=0,"",'Dvd Calendar'!$Y$1671*1000000000+ISNUMBER('Dvd Calendar'!$Y$1674)*100000000+('Dvd Calendar'!$Y$1676=SPECIAL_LBL)*10000000+(N('Dvd Calendar'!$Y$1670)&gt;0)*(N('Dvd Calendar'!$Y$1670)&lt;=VAL_SERIAL)*1000000+11*1000+21))</f>
        <v/>
      </c>
      <c r="EZ170" s="121">
        <f>IF(N('Dvd Calendar'!$Z$1671)=0,"",IF(('Dvd Calendar'!$Z$1671&gt;=GRID_FROM)*('Dvd Calendar'!$Z$1671&lt;=GRID_TO)*((('Dvd Calendar'!$Z$1671&lt;=VAL_DATE)+(COUNTIF('Dvd Calendar'!$E$1678:$AR$1678,'Dvd Calendar'!$Z$1671)=0))&gt;0)=0,"",'Dvd Calendar'!$Z$1671*1000000000+ISNUMBER('Dvd Calendar'!$Z$1674)*100000000+('Dvd Calendar'!$Z$1676=SPECIAL_LBL)*10000000+(N('Dvd Calendar'!$Z$1670)&gt;0)*(N('Dvd Calendar'!$Z$1670)&lt;=VAL_SERIAL)*1000000+11*1000+22))</f>
        <v/>
      </c>
      <c r="FA170" s="121">
        <f>IF(N('Dvd Calendar'!$AA$1671)=0,"",IF(('Dvd Calendar'!$AA$1671&gt;=GRID_FROM)*('Dvd Calendar'!$AA$1671&lt;=GRID_TO)*((('Dvd Calendar'!$AA$1671&lt;=VAL_DATE)+(COUNTIF('Dvd Calendar'!$E$1678:$AR$1678,'Dvd Calendar'!$AA$1671)=0))&gt;0)=0,"",'Dvd Calendar'!$AA$1671*1000000000+ISNUMBER('Dvd Calendar'!$AA$1674)*100000000+('Dvd Calendar'!$AA$1676=SPECIAL_LBL)*10000000+(N('Dvd Calendar'!$AA$1670)&gt;0)*(N('Dvd Calendar'!$AA$1670)&lt;=VAL_SERIAL)*1000000+11*1000+23))</f>
        <v/>
      </c>
      <c r="FB170" s="121">
        <f>IF(N('Dvd Calendar'!$AB$1671)=0,"",IF(('Dvd Calendar'!$AB$1671&gt;=GRID_FROM)*('Dvd Calendar'!$AB$1671&lt;=GRID_TO)*((('Dvd Calendar'!$AB$1671&lt;=VAL_DATE)+(COUNTIF('Dvd Calendar'!$E$1678:$AR$1678,'Dvd Calendar'!$AB$1671)=0))&gt;0)=0,"",'Dvd Calendar'!$AB$1671*1000000000+ISNUMBER('Dvd Calendar'!$AB$1674)*100000000+('Dvd Calendar'!$AB$1676=SPECIAL_LBL)*10000000+(N('Dvd Calendar'!$AB$1670)&gt;0)*(N('Dvd Calendar'!$AB$1670)&lt;=VAL_SERIAL)*1000000+11*1000+24))</f>
        <v/>
      </c>
      <c r="FC170" s="121">
        <f>IF(N('Dvd Calendar'!$AC$1671)=0,"",IF(('Dvd Calendar'!$AC$1671&gt;=GRID_FROM)*('Dvd Calendar'!$AC$1671&lt;=GRID_TO)*((('Dvd Calendar'!$AC$1671&lt;=VAL_DATE)+(COUNTIF('Dvd Calendar'!$E$1678:$AR$1678,'Dvd Calendar'!$AC$1671)=0))&gt;0)=0,"",'Dvd Calendar'!$AC$1671*1000000000+ISNUMBER('Dvd Calendar'!$AC$1674)*100000000+('Dvd Calendar'!$AC$1676=SPECIAL_LBL)*10000000+(N('Dvd Calendar'!$AC$1670)&gt;0)*(N('Dvd Calendar'!$AC$1670)&lt;=VAL_SERIAL)*1000000+11*1000+25))</f>
        <v/>
      </c>
      <c r="FD170" s="121">
        <f>IF(N('Dvd Calendar'!$AD$1671)=0,"",IF(('Dvd Calendar'!$AD$1671&gt;=GRID_FROM)*('Dvd Calendar'!$AD$1671&lt;=GRID_TO)*((('Dvd Calendar'!$AD$1671&lt;=VAL_DATE)+(COUNTIF('Dvd Calendar'!$E$1678:$AR$1678,'Dvd Calendar'!$AD$1671)=0))&gt;0)=0,"",'Dvd Calendar'!$AD$1671*1000000000+ISNUMBER('Dvd Calendar'!$AD$1674)*100000000+('Dvd Calendar'!$AD$1676=SPECIAL_LBL)*10000000+(N('Dvd Calendar'!$AD$1670)&gt;0)*(N('Dvd Calendar'!$AD$1670)&lt;=VAL_SERIAL)*1000000+11*1000+26))</f>
        <v/>
      </c>
      <c r="FE170" s="121">
        <f>IF(N('Dvd Calendar'!$AE$1671)=0,"",IF(('Dvd Calendar'!$AE$1671&gt;=GRID_FROM)*('Dvd Calendar'!$AE$1671&lt;=GRID_TO)*((('Dvd Calendar'!$AE$1671&lt;=VAL_DATE)+(COUNTIF('Dvd Calendar'!$E$1678:$AR$1678,'Dvd Calendar'!$AE$1671)=0))&gt;0)=0,"",'Dvd Calendar'!$AE$1671*1000000000+ISNUMBER('Dvd Calendar'!$AE$1674)*100000000+('Dvd Calendar'!$AE$1676=SPECIAL_LBL)*10000000+(N('Dvd Calendar'!$AE$1670)&gt;0)*(N('Dvd Calendar'!$AE$1670)&lt;=VAL_SERIAL)*1000000+11*1000+27))</f>
        <v/>
      </c>
      <c r="FF170" s="121">
        <f>IF(N('Dvd Calendar'!$AF$1671)=0,"",IF(('Dvd Calendar'!$AF$1671&gt;=GRID_FROM)*('Dvd Calendar'!$AF$1671&lt;=GRID_TO)*((('Dvd Calendar'!$AF$1671&lt;=VAL_DATE)+(COUNTIF('Dvd Calendar'!$E$1678:$AR$1678,'Dvd Calendar'!$AF$1671)=0))&gt;0)=0,"",'Dvd Calendar'!$AF$1671*1000000000+ISNUMBER('Dvd Calendar'!$AF$1674)*100000000+('Dvd Calendar'!$AF$1676=SPECIAL_LBL)*10000000+(N('Dvd Calendar'!$AF$1670)&gt;0)*(N('Dvd Calendar'!$AF$1670)&lt;=VAL_SERIAL)*1000000+11*1000+28))</f>
        <v/>
      </c>
      <c r="FG170" s="121">
        <f>IF(N('Dvd Calendar'!$AG$1671)=0,"",IF(('Dvd Calendar'!$AG$1671&gt;=GRID_FROM)*('Dvd Calendar'!$AG$1671&lt;=GRID_TO)*((('Dvd Calendar'!$AG$1671&lt;=VAL_DATE)+(COUNTIF('Dvd Calendar'!$E$1678:$AR$1678,'Dvd Calendar'!$AG$1671)=0))&gt;0)=0,"",'Dvd Calendar'!$AG$1671*1000000000+ISNUMBER('Dvd Calendar'!$AG$1674)*100000000+('Dvd Calendar'!$AG$1676=SPECIAL_LBL)*10000000+(N('Dvd Calendar'!$AG$1670)&gt;0)*(N('Dvd Calendar'!$AG$1670)&lt;=VAL_SERIAL)*1000000+11*1000+29))</f>
        <v/>
      </c>
      <c r="FH170" s="121">
        <f>IF(N('Dvd Calendar'!$AH$1671)=0,"",IF(('Dvd Calendar'!$AH$1671&gt;=GRID_FROM)*('Dvd Calendar'!$AH$1671&lt;=GRID_TO)*((('Dvd Calendar'!$AH$1671&lt;=VAL_DATE)+(COUNTIF('Dvd Calendar'!$E$1678:$AR$1678,'Dvd Calendar'!$AH$1671)=0))&gt;0)=0,"",'Dvd Calendar'!$AH$1671*1000000000+ISNUMBER('Dvd Calendar'!$AH$1674)*100000000+('Dvd Calendar'!$AH$1676=SPECIAL_LBL)*10000000+(N('Dvd Calendar'!$AH$1670)&gt;0)*(N('Dvd Calendar'!$AH$1670)&lt;=VAL_SERIAL)*1000000+11*1000+30))</f>
        <v/>
      </c>
      <c r="FI170" s="121">
        <f>IF(N('Dvd Calendar'!$AI$1671)=0,"",IF(('Dvd Calendar'!$AI$1671&gt;=GRID_FROM)*('Dvd Calendar'!$AI$1671&lt;=GRID_TO)*((('Dvd Calendar'!$AI$1671&lt;=VAL_DATE)+(COUNTIF('Dvd Calendar'!$E$1678:$AR$1678,'Dvd Calendar'!$AI$1671)=0))&gt;0)=0,"",'Dvd Calendar'!$AI$1671*1000000000+ISNUMBER('Dvd Calendar'!$AI$1674)*100000000+('Dvd Calendar'!$AI$1676=SPECIAL_LBL)*10000000+(N('Dvd Calendar'!$AI$1670)&gt;0)*(N('Dvd Calendar'!$AI$1670)&lt;=VAL_SERIAL)*1000000+11*1000+31))</f>
        <v/>
      </c>
      <c r="FJ170" s="121">
        <f>IF(N('Dvd Calendar'!$AJ$1671)=0,"",IF(('Dvd Calendar'!$AJ$1671&gt;=GRID_FROM)*('Dvd Calendar'!$AJ$1671&lt;=GRID_TO)*((('Dvd Calendar'!$AJ$1671&lt;=VAL_DATE)+(COUNTIF('Dvd Calendar'!$E$1678:$AR$1678,'Dvd Calendar'!$AJ$1671)=0))&gt;0)=0,"",'Dvd Calendar'!$AJ$1671*1000000000+ISNUMBER('Dvd Calendar'!$AJ$1674)*100000000+('Dvd Calendar'!$AJ$1676=SPECIAL_LBL)*10000000+(N('Dvd Calendar'!$AJ$1670)&gt;0)*(N('Dvd Calendar'!$AJ$1670)&lt;=VAL_SERIAL)*1000000+11*1000+32))</f>
        <v/>
      </c>
      <c r="FK170" s="121">
        <f>IF(N('Dvd Calendar'!$AK$1671)=0,"",IF(('Dvd Calendar'!$AK$1671&gt;=GRID_FROM)*('Dvd Calendar'!$AK$1671&lt;=GRID_TO)*((('Dvd Calendar'!$AK$1671&lt;=VAL_DATE)+(COUNTIF('Dvd Calendar'!$E$1678:$AR$1678,'Dvd Calendar'!$AK$1671)=0))&gt;0)=0,"",'Dvd Calendar'!$AK$1671*1000000000+ISNUMBER('Dvd Calendar'!$AK$1674)*100000000+('Dvd Calendar'!$AK$1676=SPECIAL_LBL)*10000000+(N('Dvd Calendar'!$AK$1670)&gt;0)*(N('Dvd Calendar'!$AK$1670)&lt;=VAL_SERIAL)*1000000+11*1000+33))</f>
        <v/>
      </c>
      <c r="FL170" s="121">
        <f>IF(N('Dvd Calendar'!$AL$1671)=0,"",IF(('Dvd Calendar'!$AL$1671&gt;=GRID_FROM)*('Dvd Calendar'!$AL$1671&lt;=GRID_TO)*((('Dvd Calendar'!$AL$1671&lt;=VAL_DATE)+(COUNTIF('Dvd Calendar'!$E$1678:$AR$1678,'Dvd Calendar'!$AL$1671)=0))&gt;0)=0,"",'Dvd Calendar'!$AL$1671*1000000000+ISNUMBER('Dvd Calendar'!$AL$1674)*100000000+('Dvd Calendar'!$AL$1676=SPECIAL_LBL)*10000000+(N('Dvd Calendar'!$AL$1670)&gt;0)*(N('Dvd Calendar'!$AL$1670)&lt;=VAL_SERIAL)*1000000+11*1000+34))</f>
        <v/>
      </c>
      <c r="FM170" s="121">
        <f>IF(N('Dvd Calendar'!$AM$1671)=0,"",IF(('Dvd Calendar'!$AM$1671&gt;=GRID_FROM)*('Dvd Calendar'!$AM$1671&lt;=GRID_TO)*((('Dvd Calendar'!$AM$1671&lt;=VAL_DATE)+(COUNTIF('Dvd Calendar'!$E$1678:$AR$1678,'Dvd Calendar'!$AM$1671)=0))&gt;0)=0,"",'Dvd Calendar'!$AM$1671*1000000000+ISNUMBER('Dvd Calendar'!$AM$1674)*100000000+('Dvd Calendar'!$AM$1676=SPECIAL_LBL)*10000000+(N('Dvd Calendar'!$AM$1670)&gt;0)*(N('Dvd Calendar'!$AM$1670)&lt;=VAL_SERIAL)*1000000+11*1000+35))</f>
        <v/>
      </c>
      <c r="FN170" s="121">
        <f>IF(N('Dvd Calendar'!$AN$1671)=0,"",IF(('Dvd Calendar'!$AN$1671&gt;=GRID_FROM)*('Dvd Calendar'!$AN$1671&lt;=GRID_TO)*((('Dvd Calendar'!$AN$1671&lt;=VAL_DATE)+(COUNTIF('Dvd Calendar'!$E$1678:$AR$1678,'Dvd Calendar'!$AN$1671)=0))&gt;0)=0,"",'Dvd Calendar'!$AN$1671*1000000000+ISNUMBER('Dvd Calendar'!$AN$1674)*100000000+('Dvd Calendar'!$AN$1676=SPECIAL_LBL)*10000000+(N('Dvd Calendar'!$AN$1670)&gt;0)*(N('Dvd Calendar'!$AN$1670)&lt;=VAL_SERIAL)*1000000+11*1000+36))</f>
        <v/>
      </c>
      <c r="FO170" s="121">
        <f>IF(N('Dvd Calendar'!$AO$1671)=0,"",IF(('Dvd Calendar'!$AO$1671&gt;=GRID_FROM)*('Dvd Calendar'!$AO$1671&lt;=GRID_TO)*((('Dvd Calendar'!$AO$1671&lt;=VAL_DATE)+(COUNTIF('Dvd Calendar'!$E$1678:$AR$1678,'Dvd Calendar'!$AO$1671)=0))&gt;0)=0,"",'Dvd Calendar'!$AO$1671*1000000000+ISNUMBER('Dvd Calendar'!$AO$1674)*100000000+('Dvd Calendar'!$AO$1676=SPECIAL_LBL)*10000000+(N('Dvd Calendar'!$AO$1670)&gt;0)*(N('Dvd Calendar'!$AO$1670)&lt;=VAL_SERIAL)*1000000+11*1000+37))</f>
        <v/>
      </c>
      <c r="FP170" s="121">
        <f>IF(N('Dvd Calendar'!$AP$1671)=0,"",IF(('Dvd Calendar'!$AP$1671&gt;=GRID_FROM)*('Dvd Calendar'!$AP$1671&lt;=GRID_TO)*((('Dvd Calendar'!$AP$1671&lt;=VAL_DATE)+(COUNTIF('Dvd Calendar'!$E$1678:$AR$1678,'Dvd Calendar'!$AP$1671)=0))&gt;0)=0,"",'Dvd Calendar'!$AP$1671*1000000000+ISNUMBER('Dvd Calendar'!$AP$1674)*100000000+('Dvd Calendar'!$AP$1676=SPECIAL_LBL)*10000000+(N('Dvd Calendar'!$AP$1670)&gt;0)*(N('Dvd Calendar'!$AP$1670)&lt;=VAL_SERIAL)*1000000+11*1000+38))</f>
        <v/>
      </c>
      <c r="FQ170" s="121">
        <f>IF(N('Dvd Calendar'!$AQ$1671)=0,"",IF(('Dvd Calendar'!$AQ$1671&gt;=GRID_FROM)*('Dvd Calendar'!$AQ$1671&lt;=GRID_TO)*((('Dvd Calendar'!$AQ$1671&lt;=VAL_DATE)+(COUNTIF('Dvd Calendar'!$E$1678:$AR$1678,'Dvd Calendar'!$AQ$1671)=0))&gt;0)=0,"",'Dvd Calendar'!$AQ$1671*1000000000+ISNUMBER('Dvd Calendar'!$AQ$1674)*100000000+('Dvd Calendar'!$AQ$1676=SPECIAL_LBL)*10000000+(N('Dvd Calendar'!$AQ$1670)&gt;0)*(N('Dvd Calendar'!$AQ$1670)&lt;=VAL_SERIAL)*1000000+11*1000+39))</f>
        <v/>
      </c>
      <c r="FR170" s="121">
        <f>IF(N('Dvd Calendar'!$AR$1671)=0,"",IF(('Dvd Calendar'!$AR$1671&gt;=GRID_FROM)*('Dvd Calendar'!$AR$1671&lt;=GRID_TO)*((('Dvd Calendar'!$AR$1671&lt;=VAL_DATE)+(COUNTIF('Dvd Calendar'!$E$1678:$AR$1678,'Dvd Calendar'!$AR$1671)=0))&gt;0)=0,"",'Dvd Calendar'!$AR$1671*1000000000+ISNUMBER('Dvd Calendar'!$AR$1674)*100000000+('Dvd Calendar'!$AR$1676=SPECIAL_LBL)*10000000+(N('Dvd Calendar'!$AR$1670)&gt;0)*(N('Dvd Calendar'!$AR$1670)&lt;=VAL_SERIAL)*1000000+11*1000+40))</f>
        <v/>
      </c>
      <c r="FS170" s="121">
        <f>IF(N('Dvd Calendar'!$E$1678)=0,"",IF(('Dvd Calendar'!$E$1678&gt;=GRID_FROM)*('Dvd Calendar'!$E$1678&lt;=GRID_TO)*('Dvd Calendar'!$E$1678&gt;VAL_DATE)=0,"",'Dvd Calendar'!$E$1678*1000000000+ISNUMBER('Dvd Calendar'!$E$1679)*100000000+0*10000000+(N('Dvd Calendar'!$E$1677)&gt;0)*(N('Dvd Calendar'!$E$1677)&lt;=VAL_SERIAL)*1000000+11*1000+41))</f>
        <v/>
      </c>
      <c r="FT170" s="121">
        <f>IF(N('Dvd Calendar'!$F$1678)=0,"",IF(('Dvd Calendar'!$F$1678&gt;=GRID_FROM)*('Dvd Calendar'!$F$1678&lt;=GRID_TO)*('Dvd Calendar'!$F$1678&gt;VAL_DATE)=0,"",'Dvd Calendar'!$F$1678*1000000000+ISNUMBER('Dvd Calendar'!$F$1679)*100000000+0*10000000+(N('Dvd Calendar'!$F$1677)&gt;0)*(N('Dvd Calendar'!$F$1677)&lt;=VAL_SERIAL)*1000000+11*1000+42))</f>
        <v/>
      </c>
      <c r="FU170" s="121">
        <f>IF(N('Dvd Calendar'!$G$1678)=0,"",IF(('Dvd Calendar'!$G$1678&gt;=GRID_FROM)*('Dvd Calendar'!$G$1678&lt;=GRID_TO)*('Dvd Calendar'!$G$1678&gt;VAL_DATE)=0,"",'Dvd Calendar'!$G$1678*1000000000+ISNUMBER('Dvd Calendar'!$G$1679)*100000000+0*10000000+(N('Dvd Calendar'!$G$1677)&gt;0)*(N('Dvd Calendar'!$G$1677)&lt;=VAL_SERIAL)*1000000+11*1000+43))</f>
        <v/>
      </c>
      <c r="FV170" s="121">
        <f>IF(N('Dvd Calendar'!$H$1678)=0,"",IF(('Dvd Calendar'!$H$1678&gt;=GRID_FROM)*('Dvd Calendar'!$H$1678&lt;=GRID_TO)*('Dvd Calendar'!$H$1678&gt;VAL_DATE)=0,"",'Dvd Calendar'!$H$1678*1000000000+ISNUMBER('Dvd Calendar'!$H$1679)*100000000+0*10000000+(N('Dvd Calendar'!$H$1677)&gt;0)*(N('Dvd Calendar'!$H$1677)&lt;=VAL_SERIAL)*1000000+11*1000+44))</f>
        <v/>
      </c>
      <c r="FW170" s="121">
        <f>IF(N('Dvd Calendar'!$I$1678)=0,"",IF(('Dvd Calendar'!$I$1678&gt;=GRID_FROM)*('Dvd Calendar'!$I$1678&lt;=GRID_TO)*('Dvd Calendar'!$I$1678&gt;VAL_DATE)=0,"",'Dvd Calendar'!$I$1678*1000000000+ISNUMBER('Dvd Calendar'!$I$1679)*100000000+0*10000000+(N('Dvd Calendar'!$I$1677)&gt;0)*(N('Dvd Calendar'!$I$1677)&lt;=VAL_SERIAL)*1000000+11*1000+45))</f>
        <v/>
      </c>
      <c r="FX170" s="121">
        <f>IF(N('Dvd Calendar'!$J$1678)=0,"",IF(('Dvd Calendar'!$J$1678&gt;=GRID_FROM)*('Dvd Calendar'!$J$1678&lt;=GRID_TO)*('Dvd Calendar'!$J$1678&gt;VAL_DATE)=0,"",'Dvd Calendar'!$J$1678*1000000000+ISNUMBER('Dvd Calendar'!$J$1679)*100000000+0*10000000+(N('Dvd Calendar'!$J$1677)&gt;0)*(N('Dvd Calendar'!$J$1677)&lt;=VAL_SERIAL)*1000000+11*1000+46))</f>
        <v/>
      </c>
      <c r="FY170" s="121">
        <f>IF(N('Dvd Calendar'!$K$1678)=0,"",IF(('Dvd Calendar'!$K$1678&gt;=GRID_FROM)*('Dvd Calendar'!$K$1678&lt;=GRID_TO)*('Dvd Calendar'!$K$1678&gt;VAL_DATE)=0,"",'Dvd Calendar'!$K$1678*1000000000+ISNUMBER('Dvd Calendar'!$K$1679)*100000000+0*10000000+(N('Dvd Calendar'!$K$1677)&gt;0)*(N('Dvd Calendar'!$K$1677)&lt;=VAL_SERIAL)*1000000+11*1000+47))</f>
        <v/>
      </c>
      <c r="FZ170" s="121">
        <f>IF(N('Dvd Calendar'!$L$1678)=0,"",IF(('Dvd Calendar'!$L$1678&gt;=GRID_FROM)*('Dvd Calendar'!$L$1678&lt;=GRID_TO)*('Dvd Calendar'!$L$1678&gt;VAL_DATE)=0,"",'Dvd Calendar'!$L$1678*1000000000+ISNUMBER('Dvd Calendar'!$L$1679)*100000000+0*10000000+(N('Dvd Calendar'!$L$1677)&gt;0)*(N('Dvd Calendar'!$L$1677)&lt;=VAL_SERIAL)*1000000+11*1000+48))</f>
        <v/>
      </c>
      <c r="GA170" s="121">
        <f>IF(N('Dvd Calendar'!$M$1678)=0,"",IF(('Dvd Calendar'!$M$1678&gt;=GRID_FROM)*('Dvd Calendar'!$M$1678&lt;=GRID_TO)*('Dvd Calendar'!$M$1678&gt;VAL_DATE)=0,"",'Dvd Calendar'!$M$1678*1000000000+ISNUMBER('Dvd Calendar'!$M$1679)*100000000+0*10000000+(N('Dvd Calendar'!$M$1677)&gt;0)*(N('Dvd Calendar'!$M$1677)&lt;=VAL_SERIAL)*1000000+11*1000+49))</f>
        <v/>
      </c>
      <c r="GB170" s="121">
        <f>IF(N('Dvd Calendar'!$N$1678)=0,"",IF(('Dvd Calendar'!$N$1678&gt;=GRID_FROM)*('Dvd Calendar'!$N$1678&lt;=GRID_TO)*('Dvd Calendar'!$N$1678&gt;VAL_DATE)=0,"",'Dvd Calendar'!$N$1678*1000000000+ISNUMBER('Dvd Calendar'!$N$1679)*100000000+0*10000000+(N('Dvd Calendar'!$N$1677)&gt;0)*(N('Dvd Calendar'!$N$1677)&lt;=VAL_SERIAL)*1000000+11*1000+50))</f>
        <v/>
      </c>
      <c r="GC170" s="121">
        <f>IF(N('Dvd Calendar'!$O$1678)=0,"",IF(('Dvd Calendar'!$O$1678&gt;=GRID_FROM)*('Dvd Calendar'!$O$1678&lt;=GRID_TO)*('Dvd Calendar'!$O$1678&gt;VAL_DATE)=0,"",'Dvd Calendar'!$O$1678*1000000000+ISNUMBER('Dvd Calendar'!$O$1679)*100000000+0*10000000+(N('Dvd Calendar'!$O$1677)&gt;0)*(N('Dvd Calendar'!$O$1677)&lt;=VAL_SERIAL)*1000000+11*1000+51))</f>
        <v/>
      </c>
      <c r="GD170" s="121">
        <f>IF(N('Dvd Calendar'!$P$1678)=0,"",IF(('Dvd Calendar'!$P$1678&gt;=GRID_FROM)*('Dvd Calendar'!$P$1678&lt;=GRID_TO)*('Dvd Calendar'!$P$1678&gt;VAL_DATE)=0,"",'Dvd Calendar'!$P$1678*1000000000+ISNUMBER('Dvd Calendar'!$P$1679)*100000000+0*10000000+(N('Dvd Calendar'!$P$1677)&gt;0)*(N('Dvd Calendar'!$P$1677)&lt;=VAL_SERIAL)*1000000+11*1000+52))</f>
        <v/>
      </c>
      <c r="GE170" s="121">
        <f>IF(N('Dvd Calendar'!$Q$1678)=0,"",IF(('Dvd Calendar'!$Q$1678&gt;=GRID_FROM)*('Dvd Calendar'!$Q$1678&lt;=GRID_TO)*('Dvd Calendar'!$Q$1678&gt;VAL_DATE)=0,"",'Dvd Calendar'!$Q$1678*1000000000+ISNUMBER('Dvd Calendar'!$Q$1679)*100000000+0*10000000+(N('Dvd Calendar'!$Q$1677)&gt;0)*(N('Dvd Calendar'!$Q$1677)&lt;=VAL_SERIAL)*1000000+11*1000+53))</f>
        <v/>
      </c>
      <c r="GF170" s="121">
        <f>IF(N('Dvd Calendar'!$R$1678)=0,"",IF(('Dvd Calendar'!$R$1678&gt;=GRID_FROM)*('Dvd Calendar'!$R$1678&lt;=GRID_TO)*('Dvd Calendar'!$R$1678&gt;VAL_DATE)=0,"",'Dvd Calendar'!$R$1678*1000000000+ISNUMBER('Dvd Calendar'!$R$1679)*100000000+0*10000000+(N('Dvd Calendar'!$R$1677)&gt;0)*(N('Dvd Calendar'!$R$1677)&lt;=VAL_SERIAL)*1000000+11*1000+54))</f>
        <v/>
      </c>
      <c r="GG170" s="121">
        <f>IF(N('Dvd Calendar'!$S$1678)=0,"",IF(('Dvd Calendar'!$S$1678&gt;=GRID_FROM)*('Dvd Calendar'!$S$1678&lt;=GRID_TO)*('Dvd Calendar'!$S$1678&gt;VAL_DATE)=0,"",'Dvd Calendar'!$S$1678*1000000000+ISNUMBER('Dvd Calendar'!$S$1679)*100000000+0*10000000+(N('Dvd Calendar'!$S$1677)&gt;0)*(N('Dvd Calendar'!$S$1677)&lt;=VAL_SERIAL)*1000000+11*1000+55))</f>
        <v/>
      </c>
      <c r="GH170" s="121">
        <f>IF(N('Dvd Calendar'!$T$1678)=0,"",IF(('Dvd Calendar'!$T$1678&gt;=GRID_FROM)*('Dvd Calendar'!$T$1678&lt;=GRID_TO)*('Dvd Calendar'!$T$1678&gt;VAL_DATE)=0,"",'Dvd Calendar'!$T$1678*1000000000+ISNUMBER('Dvd Calendar'!$T$1679)*100000000+0*10000000+(N('Dvd Calendar'!$T$1677)&gt;0)*(N('Dvd Calendar'!$T$1677)&lt;=VAL_SERIAL)*1000000+11*1000+56))</f>
        <v/>
      </c>
      <c r="GI170" s="121">
        <f>IF(N('Dvd Calendar'!$U$1678)=0,"",IF(('Dvd Calendar'!$U$1678&gt;=GRID_FROM)*('Dvd Calendar'!$U$1678&lt;=GRID_TO)*('Dvd Calendar'!$U$1678&gt;VAL_DATE)=0,"",'Dvd Calendar'!$U$1678*1000000000+ISNUMBER('Dvd Calendar'!$U$1679)*100000000+0*10000000+(N('Dvd Calendar'!$U$1677)&gt;0)*(N('Dvd Calendar'!$U$1677)&lt;=VAL_SERIAL)*1000000+11*1000+57))</f>
        <v/>
      </c>
      <c r="GJ170" s="121">
        <f>IF(N('Dvd Calendar'!$V$1678)=0,"",IF(('Dvd Calendar'!$V$1678&gt;=GRID_FROM)*('Dvd Calendar'!$V$1678&lt;=GRID_TO)*('Dvd Calendar'!$V$1678&gt;VAL_DATE)=0,"",'Dvd Calendar'!$V$1678*1000000000+ISNUMBER('Dvd Calendar'!$V$1679)*100000000+0*10000000+(N('Dvd Calendar'!$V$1677)&gt;0)*(N('Dvd Calendar'!$V$1677)&lt;=VAL_SERIAL)*1000000+11*1000+58))</f>
        <v/>
      </c>
      <c r="GK170" s="121">
        <f>IF(N('Dvd Calendar'!$W$1678)=0,"",IF(('Dvd Calendar'!$W$1678&gt;=GRID_FROM)*('Dvd Calendar'!$W$1678&lt;=GRID_TO)*('Dvd Calendar'!$W$1678&gt;VAL_DATE)=0,"",'Dvd Calendar'!$W$1678*1000000000+ISNUMBER('Dvd Calendar'!$W$1679)*100000000+0*10000000+(N('Dvd Calendar'!$W$1677)&gt;0)*(N('Dvd Calendar'!$W$1677)&lt;=VAL_SERIAL)*1000000+11*1000+59))</f>
        <v/>
      </c>
      <c r="GL170" s="121">
        <f>IF(N('Dvd Calendar'!$X$1678)=0,"",IF(('Dvd Calendar'!$X$1678&gt;=GRID_FROM)*('Dvd Calendar'!$X$1678&lt;=GRID_TO)*('Dvd Calendar'!$X$1678&gt;VAL_DATE)=0,"",'Dvd Calendar'!$X$1678*1000000000+ISNUMBER('Dvd Calendar'!$X$1679)*100000000+0*10000000+(N('Dvd Calendar'!$X$1677)&gt;0)*(N('Dvd Calendar'!$X$1677)&lt;=VAL_SERIAL)*1000000+11*1000+60))</f>
        <v/>
      </c>
      <c r="GM170" s="121">
        <f>IF(N('Dvd Calendar'!$Y$1678)=0,"",IF(('Dvd Calendar'!$Y$1678&gt;=GRID_FROM)*('Dvd Calendar'!$Y$1678&lt;=GRID_TO)*('Dvd Calendar'!$Y$1678&gt;VAL_DATE)=0,"",'Dvd Calendar'!$Y$1678*1000000000+ISNUMBER('Dvd Calendar'!$Y$1679)*100000000+0*10000000+(N('Dvd Calendar'!$Y$1677)&gt;0)*(N('Dvd Calendar'!$Y$1677)&lt;=VAL_SERIAL)*1000000+11*1000+61))</f>
        <v/>
      </c>
      <c r="GN170" s="121">
        <f>IF(N('Dvd Calendar'!$Z$1678)=0,"",IF(('Dvd Calendar'!$Z$1678&gt;=GRID_FROM)*('Dvd Calendar'!$Z$1678&lt;=GRID_TO)*('Dvd Calendar'!$Z$1678&gt;VAL_DATE)=0,"",'Dvd Calendar'!$Z$1678*1000000000+ISNUMBER('Dvd Calendar'!$Z$1679)*100000000+0*10000000+(N('Dvd Calendar'!$Z$1677)&gt;0)*(N('Dvd Calendar'!$Z$1677)&lt;=VAL_SERIAL)*1000000+11*1000+62))</f>
        <v/>
      </c>
      <c r="GO170" s="121">
        <f>IF(N('Dvd Calendar'!$AA$1678)=0,"",IF(('Dvd Calendar'!$AA$1678&gt;=GRID_FROM)*('Dvd Calendar'!$AA$1678&lt;=GRID_TO)*('Dvd Calendar'!$AA$1678&gt;VAL_DATE)=0,"",'Dvd Calendar'!$AA$1678*1000000000+ISNUMBER('Dvd Calendar'!$AA$1679)*100000000+0*10000000+(N('Dvd Calendar'!$AA$1677)&gt;0)*(N('Dvd Calendar'!$AA$1677)&lt;=VAL_SERIAL)*1000000+11*1000+63))</f>
        <v/>
      </c>
      <c r="GP170" s="121">
        <f>IF(N('Dvd Calendar'!$AB$1678)=0,"",IF(('Dvd Calendar'!$AB$1678&gt;=GRID_FROM)*('Dvd Calendar'!$AB$1678&lt;=GRID_TO)*('Dvd Calendar'!$AB$1678&gt;VAL_DATE)=0,"",'Dvd Calendar'!$AB$1678*1000000000+ISNUMBER('Dvd Calendar'!$AB$1679)*100000000+0*10000000+(N('Dvd Calendar'!$AB$1677)&gt;0)*(N('Dvd Calendar'!$AB$1677)&lt;=VAL_SERIAL)*1000000+11*1000+64))</f>
        <v/>
      </c>
      <c r="GQ170" s="121">
        <f>IF(N('Dvd Calendar'!$AC$1678)=0,"",IF(('Dvd Calendar'!$AC$1678&gt;=GRID_FROM)*('Dvd Calendar'!$AC$1678&lt;=GRID_TO)*('Dvd Calendar'!$AC$1678&gt;VAL_DATE)=0,"",'Dvd Calendar'!$AC$1678*1000000000+ISNUMBER('Dvd Calendar'!$AC$1679)*100000000+0*10000000+(N('Dvd Calendar'!$AC$1677)&gt;0)*(N('Dvd Calendar'!$AC$1677)&lt;=VAL_SERIAL)*1000000+11*1000+65))</f>
        <v/>
      </c>
    </row>
    <row r="171">
      <c r="B171" s="2">
        <f>IF(HSCEI!$C$18="","",HSCEI!$C$18)</f>
        <v/>
      </c>
      <c r="C171" s="161">
        <f>IF(EE171="","",IF(ISNUMBER('Dvd Calendar'!$E$1685)=FALSE,"",IF((('Dvd Calendar'!$E$1687=TYPE1)*(TYPE1&lt;&gt;"")+('Dvd Calendar'!$E$1687=TYPE2)*(TYPE2&lt;&gt;"")+('Dvd Calendar'!$E$1687=TYPE3)*(TYPE3&lt;&gt;"")+('Dvd Calendar'!$E$1687=TYPE4)*(TYPE4&lt;&gt;"")+('Dvd Calendar'!$E$1687=SPECIAL_LBL)*(INC_SPECIALS="Y"))=0,"",'Dvd Calendar'!$E$1685)))</f>
        <v/>
      </c>
      <c r="D171" s="161">
        <f>IF(EF171="","",IF(ISNUMBER('Dvd Calendar'!$F$1685)=FALSE,"",IF((('Dvd Calendar'!$F$1687=TYPE1)*(TYPE1&lt;&gt;"")+('Dvd Calendar'!$F$1687=TYPE2)*(TYPE2&lt;&gt;"")+('Dvd Calendar'!$F$1687=TYPE3)*(TYPE3&lt;&gt;"")+('Dvd Calendar'!$F$1687=TYPE4)*(TYPE4&lt;&gt;"")+('Dvd Calendar'!$F$1687=SPECIAL_LBL)*(INC_SPECIALS="Y"))=0,"",'Dvd Calendar'!$F$1685)))</f>
        <v/>
      </c>
      <c r="E171" s="161">
        <f>IF(EG171="","",IF(ISNUMBER('Dvd Calendar'!$G$1685)=FALSE,"",IF((('Dvd Calendar'!$G$1687=TYPE1)*(TYPE1&lt;&gt;"")+('Dvd Calendar'!$G$1687=TYPE2)*(TYPE2&lt;&gt;"")+('Dvd Calendar'!$G$1687=TYPE3)*(TYPE3&lt;&gt;"")+('Dvd Calendar'!$G$1687=TYPE4)*(TYPE4&lt;&gt;"")+('Dvd Calendar'!$G$1687=SPECIAL_LBL)*(INC_SPECIALS="Y"))=0,"",'Dvd Calendar'!$G$1685)))</f>
        <v/>
      </c>
      <c r="F171" s="161">
        <f>IF(EH171="","",IF(ISNUMBER('Dvd Calendar'!$H$1685)=FALSE,"",IF((('Dvd Calendar'!$H$1687=TYPE1)*(TYPE1&lt;&gt;"")+('Dvd Calendar'!$H$1687=TYPE2)*(TYPE2&lt;&gt;"")+('Dvd Calendar'!$H$1687=TYPE3)*(TYPE3&lt;&gt;"")+('Dvd Calendar'!$H$1687=TYPE4)*(TYPE4&lt;&gt;"")+('Dvd Calendar'!$H$1687=SPECIAL_LBL)*(INC_SPECIALS="Y"))=0,"",'Dvd Calendar'!$H$1685)))</f>
        <v/>
      </c>
      <c r="G171" s="161">
        <f>IF(EI171="","",IF(ISNUMBER('Dvd Calendar'!$I$1685)=FALSE,"",IF((('Dvd Calendar'!$I$1687=TYPE1)*(TYPE1&lt;&gt;"")+('Dvd Calendar'!$I$1687=TYPE2)*(TYPE2&lt;&gt;"")+('Dvd Calendar'!$I$1687=TYPE3)*(TYPE3&lt;&gt;"")+('Dvd Calendar'!$I$1687=TYPE4)*(TYPE4&lt;&gt;"")+('Dvd Calendar'!$I$1687=SPECIAL_LBL)*(INC_SPECIALS="Y"))=0,"",'Dvd Calendar'!$I$1685)))</f>
        <v/>
      </c>
      <c r="H171" s="161">
        <f>IF(EJ171="","",IF(ISNUMBER('Dvd Calendar'!$J$1685)=FALSE,"",IF((('Dvd Calendar'!$J$1687=TYPE1)*(TYPE1&lt;&gt;"")+('Dvd Calendar'!$J$1687=TYPE2)*(TYPE2&lt;&gt;"")+('Dvd Calendar'!$J$1687=TYPE3)*(TYPE3&lt;&gt;"")+('Dvd Calendar'!$J$1687=TYPE4)*(TYPE4&lt;&gt;"")+('Dvd Calendar'!$J$1687=SPECIAL_LBL)*(INC_SPECIALS="Y"))=0,"",'Dvd Calendar'!$J$1685)))</f>
        <v/>
      </c>
      <c r="I171" s="161">
        <f>IF(EK171="","",IF(ISNUMBER('Dvd Calendar'!$K$1685)=FALSE,"",IF((('Dvd Calendar'!$K$1687=TYPE1)*(TYPE1&lt;&gt;"")+('Dvd Calendar'!$K$1687=TYPE2)*(TYPE2&lt;&gt;"")+('Dvd Calendar'!$K$1687=TYPE3)*(TYPE3&lt;&gt;"")+('Dvd Calendar'!$K$1687=TYPE4)*(TYPE4&lt;&gt;"")+('Dvd Calendar'!$K$1687=SPECIAL_LBL)*(INC_SPECIALS="Y"))=0,"",'Dvd Calendar'!$K$1685)))</f>
        <v/>
      </c>
      <c r="J171" s="161">
        <f>IF(EL171="","",IF(ISNUMBER('Dvd Calendar'!$L$1685)=FALSE,"",IF((('Dvd Calendar'!$L$1687=TYPE1)*(TYPE1&lt;&gt;"")+('Dvd Calendar'!$L$1687=TYPE2)*(TYPE2&lt;&gt;"")+('Dvd Calendar'!$L$1687=TYPE3)*(TYPE3&lt;&gt;"")+('Dvd Calendar'!$L$1687=TYPE4)*(TYPE4&lt;&gt;"")+('Dvd Calendar'!$L$1687=SPECIAL_LBL)*(INC_SPECIALS="Y"))=0,"",'Dvd Calendar'!$L$1685)))</f>
        <v/>
      </c>
      <c r="K171" s="161">
        <f>IF(EM171="","",IF(ISNUMBER('Dvd Calendar'!$M$1685)=FALSE,"",IF((('Dvd Calendar'!$M$1687=TYPE1)*(TYPE1&lt;&gt;"")+('Dvd Calendar'!$M$1687=TYPE2)*(TYPE2&lt;&gt;"")+('Dvd Calendar'!$M$1687=TYPE3)*(TYPE3&lt;&gt;"")+('Dvd Calendar'!$M$1687=TYPE4)*(TYPE4&lt;&gt;"")+('Dvd Calendar'!$M$1687=SPECIAL_LBL)*(INC_SPECIALS="Y"))=0,"",'Dvd Calendar'!$M$1685)))</f>
        <v/>
      </c>
      <c r="L171" s="161">
        <f>IF(EN171="","",IF(ISNUMBER('Dvd Calendar'!$N$1685)=FALSE,"",IF((('Dvd Calendar'!$N$1687=TYPE1)*(TYPE1&lt;&gt;"")+('Dvd Calendar'!$N$1687=TYPE2)*(TYPE2&lt;&gt;"")+('Dvd Calendar'!$N$1687=TYPE3)*(TYPE3&lt;&gt;"")+('Dvd Calendar'!$N$1687=TYPE4)*(TYPE4&lt;&gt;"")+('Dvd Calendar'!$N$1687=SPECIAL_LBL)*(INC_SPECIALS="Y"))=0,"",'Dvd Calendar'!$N$1685)))</f>
        <v/>
      </c>
      <c r="M171" s="161">
        <f>IF(EO171="","",IF(ISNUMBER('Dvd Calendar'!$O$1685)=FALSE,"",IF((('Dvd Calendar'!$O$1687=TYPE1)*(TYPE1&lt;&gt;"")+('Dvd Calendar'!$O$1687=TYPE2)*(TYPE2&lt;&gt;"")+('Dvd Calendar'!$O$1687=TYPE3)*(TYPE3&lt;&gt;"")+('Dvd Calendar'!$O$1687=TYPE4)*(TYPE4&lt;&gt;"")+('Dvd Calendar'!$O$1687=SPECIAL_LBL)*(INC_SPECIALS="Y"))=0,"",'Dvd Calendar'!$O$1685)))</f>
        <v/>
      </c>
      <c r="N171" s="161">
        <f>IF(EP171="","",IF(ISNUMBER('Dvd Calendar'!$P$1685)=FALSE,"",IF((('Dvd Calendar'!$P$1687=TYPE1)*(TYPE1&lt;&gt;"")+('Dvd Calendar'!$P$1687=TYPE2)*(TYPE2&lt;&gt;"")+('Dvd Calendar'!$P$1687=TYPE3)*(TYPE3&lt;&gt;"")+('Dvd Calendar'!$P$1687=TYPE4)*(TYPE4&lt;&gt;"")+('Dvd Calendar'!$P$1687=SPECIAL_LBL)*(INC_SPECIALS="Y"))=0,"",'Dvd Calendar'!$P$1685)))</f>
        <v/>
      </c>
      <c r="O171" s="161">
        <f>IF(EQ171="","",IF(ISNUMBER('Dvd Calendar'!$Q$1685)=FALSE,"",IF((('Dvd Calendar'!$Q$1687=TYPE1)*(TYPE1&lt;&gt;"")+('Dvd Calendar'!$Q$1687=TYPE2)*(TYPE2&lt;&gt;"")+('Dvd Calendar'!$Q$1687=TYPE3)*(TYPE3&lt;&gt;"")+('Dvd Calendar'!$Q$1687=TYPE4)*(TYPE4&lt;&gt;"")+('Dvd Calendar'!$Q$1687=SPECIAL_LBL)*(INC_SPECIALS="Y"))=0,"",'Dvd Calendar'!$Q$1685)))</f>
        <v/>
      </c>
      <c r="P171" s="161">
        <f>IF(ER171="","",IF(ISNUMBER('Dvd Calendar'!$R$1685)=FALSE,"",IF((('Dvd Calendar'!$R$1687=TYPE1)*(TYPE1&lt;&gt;"")+('Dvd Calendar'!$R$1687=TYPE2)*(TYPE2&lt;&gt;"")+('Dvd Calendar'!$R$1687=TYPE3)*(TYPE3&lt;&gt;"")+('Dvd Calendar'!$R$1687=TYPE4)*(TYPE4&lt;&gt;"")+('Dvd Calendar'!$R$1687=SPECIAL_LBL)*(INC_SPECIALS="Y"))=0,"",'Dvd Calendar'!$R$1685)))</f>
        <v/>
      </c>
      <c r="Q171" s="161">
        <f>IF(ES171="","",IF(ISNUMBER('Dvd Calendar'!$S$1685)=FALSE,"",IF((('Dvd Calendar'!$S$1687=TYPE1)*(TYPE1&lt;&gt;"")+('Dvd Calendar'!$S$1687=TYPE2)*(TYPE2&lt;&gt;"")+('Dvd Calendar'!$S$1687=TYPE3)*(TYPE3&lt;&gt;"")+('Dvd Calendar'!$S$1687=TYPE4)*(TYPE4&lt;&gt;"")+('Dvd Calendar'!$S$1687=SPECIAL_LBL)*(INC_SPECIALS="Y"))=0,"",'Dvd Calendar'!$S$1685)))</f>
        <v/>
      </c>
      <c r="R171" s="161">
        <f>IF(ET171="","",IF(ISNUMBER('Dvd Calendar'!$T$1685)=FALSE,"",IF((('Dvd Calendar'!$T$1687=TYPE1)*(TYPE1&lt;&gt;"")+('Dvd Calendar'!$T$1687=TYPE2)*(TYPE2&lt;&gt;"")+('Dvd Calendar'!$T$1687=TYPE3)*(TYPE3&lt;&gt;"")+('Dvd Calendar'!$T$1687=TYPE4)*(TYPE4&lt;&gt;"")+('Dvd Calendar'!$T$1687=SPECIAL_LBL)*(INC_SPECIALS="Y"))=0,"",'Dvd Calendar'!$T$1685)))</f>
        <v/>
      </c>
      <c r="S171" s="161">
        <f>IF(EU171="","",IF(ISNUMBER('Dvd Calendar'!$U$1685)=FALSE,"",IF((('Dvd Calendar'!$U$1687=TYPE1)*(TYPE1&lt;&gt;"")+('Dvd Calendar'!$U$1687=TYPE2)*(TYPE2&lt;&gt;"")+('Dvd Calendar'!$U$1687=TYPE3)*(TYPE3&lt;&gt;"")+('Dvd Calendar'!$U$1687=TYPE4)*(TYPE4&lt;&gt;"")+('Dvd Calendar'!$U$1687=SPECIAL_LBL)*(INC_SPECIALS="Y"))=0,"",'Dvd Calendar'!$U$1685)))</f>
        <v/>
      </c>
      <c r="T171" s="161">
        <f>IF(EV171="","",IF(ISNUMBER('Dvd Calendar'!$V$1685)=FALSE,"",IF((('Dvd Calendar'!$V$1687=TYPE1)*(TYPE1&lt;&gt;"")+('Dvd Calendar'!$V$1687=TYPE2)*(TYPE2&lt;&gt;"")+('Dvd Calendar'!$V$1687=TYPE3)*(TYPE3&lt;&gt;"")+('Dvd Calendar'!$V$1687=TYPE4)*(TYPE4&lt;&gt;"")+('Dvd Calendar'!$V$1687=SPECIAL_LBL)*(INC_SPECIALS="Y"))=0,"",'Dvd Calendar'!$V$1685)))</f>
        <v/>
      </c>
      <c r="U171" s="161">
        <f>IF(EW171="","",IF(ISNUMBER('Dvd Calendar'!$W$1685)=FALSE,"",IF((('Dvd Calendar'!$W$1687=TYPE1)*(TYPE1&lt;&gt;"")+('Dvd Calendar'!$W$1687=TYPE2)*(TYPE2&lt;&gt;"")+('Dvd Calendar'!$W$1687=TYPE3)*(TYPE3&lt;&gt;"")+('Dvd Calendar'!$W$1687=TYPE4)*(TYPE4&lt;&gt;"")+('Dvd Calendar'!$W$1687=SPECIAL_LBL)*(INC_SPECIALS="Y"))=0,"",'Dvd Calendar'!$W$1685)))</f>
        <v/>
      </c>
      <c r="V171" s="161">
        <f>IF(EX171="","",IF(ISNUMBER('Dvd Calendar'!$X$1685)=FALSE,"",IF((('Dvd Calendar'!$X$1687=TYPE1)*(TYPE1&lt;&gt;"")+('Dvd Calendar'!$X$1687=TYPE2)*(TYPE2&lt;&gt;"")+('Dvd Calendar'!$X$1687=TYPE3)*(TYPE3&lt;&gt;"")+('Dvd Calendar'!$X$1687=TYPE4)*(TYPE4&lt;&gt;"")+('Dvd Calendar'!$X$1687=SPECIAL_LBL)*(INC_SPECIALS="Y"))=0,"",'Dvd Calendar'!$X$1685)))</f>
        <v/>
      </c>
      <c r="W171" s="161">
        <f>IF(EY171="","",IF(ISNUMBER('Dvd Calendar'!$Y$1685)=FALSE,"",IF((('Dvd Calendar'!$Y$1687=TYPE1)*(TYPE1&lt;&gt;"")+('Dvd Calendar'!$Y$1687=TYPE2)*(TYPE2&lt;&gt;"")+('Dvd Calendar'!$Y$1687=TYPE3)*(TYPE3&lt;&gt;"")+('Dvd Calendar'!$Y$1687=TYPE4)*(TYPE4&lt;&gt;"")+('Dvd Calendar'!$Y$1687=SPECIAL_LBL)*(INC_SPECIALS="Y"))=0,"",'Dvd Calendar'!$Y$1685)))</f>
        <v/>
      </c>
      <c r="X171" s="161">
        <f>IF(EZ171="","",IF(ISNUMBER('Dvd Calendar'!$Z$1685)=FALSE,"",IF((('Dvd Calendar'!$Z$1687=TYPE1)*(TYPE1&lt;&gt;"")+('Dvd Calendar'!$Z$1687=TYPE2)*(TYPE2&lt;&gt;"")+('Dvd Calendar'!$Z$1687=TYPE3)*(TYPE3&lt;&gt;"")+('Dvd Calendar'!$Z$1687=TYPE4)*(TYPE4&lt;&gt;"")+('Dvd Calendar'!$Z$1687=SPECIAL_LBL)*(INC_SPECIALS="Y"))=0,"",'Dvd Calendar'!$Z$1685)))</f>
        <v/>
      </c>
      <c r="Y171" s="161">
        <f>IF(FA171="","",IF(ISNUMBER('Dvd Calendar'!$AA$1685)=FALSE,"",IF((('Dvd Calendar'!$AA$1687=TYPE1)*(TYPE1&lt;&gt;"")+('Dvd Calendar'!$AA$1687=TYPE2)*(TYPE2&lt;&gt;"")+('Dvd Calendar'!$AA$1687=TYPE3)*(TYPE3&lt;&gt;"")+('Dvd Calendar'!$AA$1687=TYPE4)*(TYPE4&lt;&gt;"")+('Dvd Calendar'!$AA$1687=SPECIAL_LBL)*(INC_SPECIALS="Y"))=0,"",'Dvd Calendar'!$AA$1685)))</f>
        <v/>
      </c>
      <c r="Z171" s="161">
        <f>IF(FB171="","",IF(ISNUMBER('Dvd Calendar'!$AB$1685)=FALSE,"",IF((('Dvd Calendar'!$AB$1687=TYPE1)*(TYPE1&lt;&gt;"")+('Dvd Calendar'!$AB$1687=TYPE2)*(TYPE2&lt;&gt;"")+('Dvd Calendar'!$AB$1687=TYPE3)*(TYPE3&lt;&gt;"")+('Dvd Calendar'!$AB$1687=TYPE4)*(TYPE4&lt;&gt;"")+('Dvd Calendar'!$AB$1687=SPECIAL_LBL)*(INC_SPECIALS="Y"))=0,"",'Dvd Calendar'!$AB$1685)))</f>
        <v/>
      </c>
      <c r="AA171" s="161">
        <f>IF(FC171="","",IF(ISNUMBER('Dvd Calendar'!$AC$1685)=FALSE,"",IF((('Dvd Calendar'!$AC$1687=TYPE1)*(TYPE1&lt;&gt;"")+('Dvd Calendar'!$AC$1687=TYPE2)*(TYPE2&lt;&gt;"")+('Dvd Calendar'!$AC$1687=TYPE3)*(TYPE3&lt;&gt;"")+('Dvd Calendar'!$AC$1687=TYPE4)*(TYPE4&lt;&gt;"")+('Dvd Calendar'!$AC$1687=SPECIAL_LBL)*(INC_SPECIALS="Y"))=0,"",'Dvd Calendar'!$AC$1685)))</f>
        <v/>
      </c>
      <c r="AB171" s="161">
        <f>IF(FD171="","",IF(ISNUMBER('Dvd Calendar'!$AD$1685)=FALSE,"",IF((('Dvd Calendar'!$AD$1687=TYPE1)*(TYPE1&lt;&gt;"")+('Dvd Calendar'!$AD$1687=TYPE2)*(TYPE2&lt;&gt;"")+('Dvd Calendar'!$AD$1687=TYPE3)*(TYPE3&lt;&gt;"")+('Dvd Calendar'!$AD$1687=TYPE4)*(TYPE4&lt;&gt;"")+('Dvd Calendar'!$AD$1687=SPECIAL_LBL)*(INC_SPECIALS="Y"))=0,"",'Dvd Calendar'!$AD$1685)))</f>
        <v/>
      </c>
      <c r="AC171" s="161">
        <f>IF(FE171="","",IF(ISNUMBER('Dvd Calendar'!$AE$1685)=FALSE,"",IF((('Dvd Calendar'!$AE$1687=TYPE1)*(TYPE1&lt;&gt;"")+('Dvd Calendar'!$AE$1687=TYPE2)*(TYPE2&lt;&gt;"")+('Dvd Calendar'!$AE$1687=TYPE3)*(TYPE3&lt;&gt;"")+('Dvd Calendar'!$AE$1687=TYPE4)*(TYPE4&lt;&gt;"")+('Dvd Calendar'!$AE$1687=SPECIAL_LBL)*(INC_SPECIALS="Y"))=0,"",'Dvd Calendar'!$AE$1685)))</f>
        <v/>
      </c>
      <c r="AD171" s="161">
        <f>IF(FF171="","",IF(ISNUMBER('Dvd Calendar'!$AF$1685)=FALSE,"",IF((('Dvd Calendar'!$AF$1687=TYPE1)*(TYPE1&lt;&gt;"")+('Dvd Calendar'!$AF$1687=TYPE2)*(TYPE2&lt;&gt;"")+('Dvd Calendar'!$AF$1687=TYPE3)*(TYPE3&lt;&gt;"")+('Dvd Calendar'!$AF$1687=TYPE4)*(TYPE4&lt;&gt;"")+('Dvd Calendar'!$AF$1687=SPECIAL_LBL)*(INC_SPECIALS="Y"))=0,"",'Dvd Calendar'!$AF$1685)))</f>
        <v/>
      </c>
      <c r="AE171" s="161">
        <f>IF(FG171="","",IF(ISNUMBER('Dvd Calendar'!$AG$1685)=FALSE,"",IF((('Dvd Calendar'!$AG$1687=TYPE1)*(TYPE1&lt;&gt;"")+('Dvd Calendar'!$AG$1687=TYPE2)*(TYPE2&lt;&gt;"")+('Dvd Calendar'!$AG$1687=TYPE3)*(TYPE3&lt;&gt;"")+('Dvd Calendar'!$AG$1687=TYPE4)*(TYPE4&lt;&gt;"")+('Dvd Calendar'!$AG$1687=SPECIAL_LBL)*(INC_SPECIALS="Y"))=0,"",'Dvd Calendar'!$AG$1685)))</f>
        <v/>
      </c>
      <c r="AF171" s="161">
        <f>IF(FH171="","",IF(ISNUMBER('Dvd Calendar'!$AH$1685)=FALSE,"",IF((('Dvd Calendar'!$AH$1687=TYPE1)*(TYPE1&lt;&gt;"")+('Dvd Calendar'!$AH$1687=TYPE2)*(TYPE2&lt;&gt;"")+('Dvd Calendar'!$AH$1687=TYPE3)*(TYPE3&lt;&gt;"")+('Dvd Calendar'!$AH$1687=TYPE4)*(TYPE4&lt;&gt;"")+('Dvd Calendar'!$AH$1687=SPECIAL_LBL)*(INC_SPECIALS="Y"))=0,"",'Dvd Calendar'!$AH$1685)))</f>
        <v/>
      </c>
      <c r="AG171" s="161">
        <f>IF(FI171="","",IF(ISNUMBER('Dvd Calendar'!$AI$1685)=FALSE,"",IF((('Dvd Calendar'!$AI$1687=TYPE1)*(TYPE1&lt;&gt;"")+('Dvd Calendar'!$AI$1687=TYPE2)*(TYPE2&lt;&gt;"")+('Dvd Calendar'!$AI$1687=TYPE3)*(TYPE3&lt;&gt;"")+('Dvd Calendar'!$AI$1687=TYPE4)*(TYPE4&lt;&gt;"")+('Dvd Calendar'!$AI$1687=SPECIAL_LBL)*(INC_SPECIALS="Y"))=0,"",'Dvd Calendar'!$AI$1685)))</f>
        <v/>
      </c>
      <c r="AH171" s="161">
        <f>IF(FJ171="","",IF(ISNUMBER('Dvd Calendar'!$AJ$1685)=FALSE,"",IF((('Dvd Calendar'!$AJ$1687=TYPE1)*(TYPE1&lt;&gt;"")+('Dvd Calendar'!$AJ$1687=TYPE2)*(TYPE2&lt;&gt;"")+('Dvd Calendar'!$AJ$1687=TYPE3)*(TYPE3&lt;&gt;"")+('Dvd Calendar'!$AJ$1687=TYPE4)*(TYPE4&lt;&gt;"")+('Dvd Calendar'!$AJ$1687=SPECIAL_LBL)*(INC_SPECIALS="Y"))=0,"",'Dvd Calendar'!$AJ$1685)))</f>
        <v/>
      </c>
      <c r="AI171" s="161">
        <f>IF(FK171="","",IF(ISNUMBER('Dvd Calendar'!$AK$1685)=FALSE,"",IF((('Dvd Calendar'!$AK$1687=TYPE1)*(TYPE1&lt;&gt;"")+('Dvd Calendar'!$AK$1687=TYPE2)*(TYPE2&lt;&gt;"")+('Dvd Calendar'!$AK$1687=TYPE3)*(TYPE3&lt;&gt;"")+('Dvd Calendar'!$AK$1687=TYPE4)*(TYPE4&lt;&gt;"")+('Dvd Calendar'!$AK$1687=SPECIAL_LBL)*(INC_SPECIALS="Y"))=0,"",'Dvd Calendar'!$AK$1685)))</f>
        <v/>
      </c>
      <c r="AJ171" s="161">
        <f>IF(FL171="","",IF(ISNUMBER('Dvd Calendar'!$AL$1685)=FALSE,"",IF((('Dvd Calendar'!$AL$1687=TYPE1)*(TYPE1&lt;&gt;"")+('Dvd Calendar'!$AL$1687=TYPE2)*(TYPE2&lt;&gt;"")+('Dvd Calendar'!$AL$1687=TYPE3)*(TYPE3&lt;&gt;"")+('Dvd Calendar'!$AL$1687=TYPE4)*(TYPE4&lt;&gt;"")+('Dvd Calendar'!$AL$1687=SPECIAL_LBL)*(INC_SPECIALS="Y"))=0,"",'Dvd Calendar'!$AL$1685)))</f>
        <v/>
      </c>
      <c r="AK171" s="161">
        <f>IF(FM171="","",IF(ISNUMBER('Dvd Calendar'!$AM$1685)=FALSE,"",IF((('Dvd Calendar'!$AM$1687=TYPE1)*(TYPE1&lt;&gt;"")+('Dvd Calendar'!$AM$1687=TYPE2)*(TYPE2&lt;&gt;"")+('Dvd Calendar'!$AM$1687=TYPE3)*(TYPE3&lt;&gt;"")+('Dvd Calendar'!$AM$1687=TYPE4)*(TYPE4&lt;&gt;"")+('Dvd Calendar'!$AM$1687=SPECIAL_LBL)*(INC_SPECIALS="Y"))=0,"",'Dvd Calendar'!$AM$1685)))</f>
        <v/>
      </c>
      <c r="AL171" s="161">
        <f>IF(FN171="","",IF(ISNUMBER('Dvd Calendar'!$AN$1685)=FALSE,"",IF((('Dvd Calendar'!$AN$1687=TYPE1)*(TYPE1&lt;&gt;"")+('Dvd Calendar'!$AN$1687=TYPE2)*(TYPE2&lt;&gt;"")+('Dvd Calendar'!$AN$1687=TYPE3)*(TYPE3&lt;&gt;"")+('Dvd Calendar'!$AN$1687=TYPE4)*(TYPE4&lt;&gt;"")+('Dvd Calendar'!$AN$1687=SPECIAL_LBL)*(INC_SPECIALS="Y"))=0,"",'Dvd Calendar'!$AN$1685)))</f>
        <v/>
      </c>
      <c r="AM171" s="161">
        <f>IF(FO171="","",IF(ISNUMBER('Dvd Calendar'!$AO$1685)=FALSE,"",IF((('Dvd Calendar'!$AO$1687=TYPE1)*(TYPE1&lt;&gt;"")+('Dvd Calendar'!$AO$1687=TYPE2)*(TYPE2&lt;&gt;"")+('Dvd Calendar'!$AO$1687=TYPE3)*(TYPE3&lt;&gt;"")+('Dvd Calendar'!$AO$1687=TYPE4)*(TYPE4&lt;&gt;"")+('Dvd Calendar'!$AO$1687=SPECIAL_LBL)*(INC_SPECIALS="Y"))=0,"",'Dvd Calendar'!$AO$1685)))</f>
        <v/>
      </c>
      <c r="AN171" s="161">
        <f>IF(FP171="","",IF(ISNUMBER('Dvd Calendar'!$AP$1685)=FALSE,"",IF((('Dvd Calendar'!$AP$1687=TYPE1)*(TYPE1&lt;&gt;"")+('Dvd Calendar'!$AP$1687=TYPE2)*(TYPE2&lt;&gt;"")+('Dvd Calendar'!$AP$1687=TYPE3)*(TYPE3&lt;&gt;"")+('Dvd Calendar'!$AP$1687=TYPE4)*(TYPE4&lt;&gt;"")+('Dvd Calendar'!$AP$1687=SPECIAL_LBL)*(INC_SPECIALS="Y"))=0,"",'Dvd Calendar'!$AP$1685)))</f>
        <v/>
      </c>
      <c r="AO171" s="161">
        <f>IF(FQ171="","",IF(ISNUMBER('Dvd Calendar'!$AQ$1685)=FALSE,"",IF((('Dvd Calendar'!$AQ$1687=TYPE1)*(TYPE1&lt;&gt;"")+('Dvd Calendar'!$AQ$1687=TYPE2)*(TYPE2&lt;&gt;"")+('Dvd Calendar'!$AQ$1687=TYPE3)*(TYPE3&lt;&gt;"")+('Dvd Calendar'!$AQ$1687=TYPE4)*(TYPE4&lt;&gt;"")+('Dvd Calendar'!$AQ$1687=SPECIAL_LBL)*(INC_SPECIALS="Y"))=0,"",'Dvd Calendar'!$AQ$1685)))</f>
        <v/>
      </c>
      <c r="AP171" s="161">
        <f>IF(FR171="","",IF(ISNUMBER('Dvd Calendar'!$AR$1685)=FALSE,"",IF((('Dvd Calendar'!$AR$1687=TYPE1)*(TYPE1&lt;&gt;"")+('Dvd Calendar'!$AR$1687=TYPE2)*(TYPE2&lt;&gt;"")+('Dvd Calendar'!$AR$1687=TYPE3)*(TYPE3&lt;&gt;"")+('Dvd Calendar'!$AR$1687=TYPE4)*(TYPE4&lt;&gt;"")+('Dvd Calendar'!$AR$1687=SPECIAL_LBL)*(INC_SPECIALS="Y"))=0,"",'Dvd Calendar'!$AR$1685)))</f>
        <v/>
      </c>
      <c r="AQ171" s="161">
        <f>IF(FS171="","",IF(ISNUMBER('Dvd Calendar'!$E$1690)=FALSE,"",'Dvd Calendar'!$E$1690))</f>
        <v/>
      </c>
      <c r="AR171" s="161">
        <f>IF(FT171="","",IF(ISNUMBER('Dvd Calendar'!$F$1690)=FALSE,"",'Dvd Calendar'!$F$1690))</f>
        <v/>
      </c>
      <c r="AS171" s="161">
        <f>IF(FU171="","",IF(ISNUMBER('Dvd Calendar'!$G$1690)=FALSE,"",'Dvd Calendar'!$G$1690))</f>
        <v/>
      </c>
      <c r="AT171" s="161">
        <f>IF(FV171="","",IF(ISNUMBER('Dvd Calendar'!$H$1690)=FALSE,"",'Dvd Calendar'!$H$1690))</f>
        <v/>
      </c>
      <c r="AU171" s="161">
        <f>IF(FW171="","",IF(ISNUMBER('Dvd Calendar'!$I$1690)=FALSE,"",'Dvd Calendar'!$I$1690))</f>
        <v/>
      </c>
      <c r="AV171" s="161">
        <f>IF(FX171="","",IF(ISNUMBER('Dvd Calendar'!$J$1690)=FALSE,"",'Dvd Calendar'!$J$1690))</f>
        <v/>
      </c>
      <c r="AW171" s="161">
        <f>IF(FY171="","",IF(ISNUMBER('Dvd Calendar'!$K$1690)=FALSE,"",'Dvd Calendar'!$K$1690))</f>
        <v/>
      </c>
      <c r="AX171" s="161">
        <f>IF(FZ171="","",IF(ISNUMBER('Dvd Calendar'!$L$1690)=FALSE,"",'Dvd Calendar'!$L$1690))</f>
        <v/>
      </c>
      <c r="AY171" s="161">
        <f>IF(GA171="","",IF(ISNUMBER('Dvd Calendar'!$M$1690)=FALSE,"",'Dvd Calendar'!$M$1690))</f>
        <v/>
      </c>
      <c r="AZ171" s="161">
        <f>IF(GB171="","",IF(ISNUMBER('Dvd Calendar'!$N$1690)=FALSE,"",'Dvd Calendar'!$N$1690))</f>
        <v/>
      </c>
      <c r="BA171" s="161">
        <f>IF(GC171="","",IF(ISNUMBER('Dvd Calendar'!$O$1690)=FALSE,"",'Dvd Calendar'!$O$1690))</f>
        <v/>
      </c>
      <c r="BB171" s="161">
        <f>IF(GD171="","",IF(ISNUMBER('Dvd Calendar'!$P$1690)=FALSE,"",'Dvd Calendar'!$P$1690))</f>
        <v/>
      </c>
      <c r="BC171" s="161">
        <f>IF(GE171="","",IF(ISNUMBER('Dvd Calendar'!$Q$1690)=FALSE,"",'Dvd Calendar'!$Q$1690))</f>
        <v/>
      </c>
      <c r="BD171" s="161">
        <f>IF(GF171="","",IF(ISNUMBER('Dvd Calendar'!$R$1690)=FALSE,"",'Dvd Calendar'!$R$1690))</f>
        <v/>
      </c>
      <c r="BE171" s="161">
        <f>IF(GG171="","",IF(ISNUMBER('Dvd Calendar'!$S$1690)=FALSE,"",'Dvd Calendar'!$S$1690))</f>
        <v/>
      </c>
      <c r="BF171" s="161">
        <f>IF(GH171="","",IF(ISNUMBER('Dvd Calendar'!$T$1690)=FALSE,"",'Dvd Calendar'!$T$1690))</f>
        <v/>
      </c>
      <c r="BG171" s="161">
        <f>IF(GI171="","",IF(ISNUMBER('Dvd Calendar'!$U$1690)=FALSE,"",'Dvd Calendar'!$U$1690))</f>
        <v/>
      </c>
      <c r="BH171" s="161">
        <f>IF(GJ171="","",IF(ISNUMBER('Dvd Calendar'!$V$1690)=FALSE,"",'Dvd Calendar'!$V$1690))</f>
        <v/>
      </c>
      <c r="BI171" s="161">
        <f>IF(GK171="","",IF(ISNUMBER('Dvd Calendar'!$W$1690)=FALSE,"",'Dvd Calendar'!$W$1690))</f>
        <v/>
      </c>
      <c r="BJ171" s="161">
        <f>IF(GL171="","",IF(ISNUMBER('Dvd Calendar'!$X$1690)=FALSE,"",'Dvd Calendar'!$X$1690))</f>
        <v/>
      </c>
      <c r="BK171" s="161">
        <f>IF(GM171="","",IF(ISNUMBER('Dvd Calendar'!$Y$1690)=FALSE,"",'Dvd Calendar'!$Y$1690))</f>
        <v/>
      </c>
      <c r="BL171" s="161">
        <f>IF(GN171="","",IF(ISNUMBER('Dvd Calendar'!$Z$1690)=FALSE,"",'Dvd Calendar'!$Z$1690))</f>
        <v/>
      </c>
      <c r="BM171" s="161">
        <f>IF(GO171="","",IF(ISNUMBER('Dvd Calendar'!$AA$1690)=FALSE,"",'Dvd Calendar'!$AA$1690))</f>
        <v/>
      </c>
      <c r="BN171" s="161">
        <f>IF(GP171="","",IF(ISNUMBER('Dvd Calendar'!$AB$1690)=FALSE,"",'Dvd Calendar'!$AB$1690))</f>
        <v/>
      </c>
      <c r="BO171" s="161">
        <f>IF(GQ171="","",IF(ISNUMBER('Dvd Calendar'!$AC$1690)=FALSE,"",'Dvd Calendar'!$AC$1690))</f>
        <v/>
      </c>
      <c r="BQ171" s="161">
        <f>IF(C171="","",IFERROR(C171*HSCEI!$B$18*HSCEI!$G$18/HSCEI!$B$3,""))</f>
        <v/>
      </c>
      <c r="BR171" s="161">
        <f>IF(D171="","",IFERROR(D171*HSCEI!$B$18*HSCEI!$G$18/HSCEI!$B$3,""))</f>
        <v/>
      </c>
      <c r="BS171" s="161">
        <f>IF(E171="","",IFERROR(E171*HSCEI!$B$18*HSCEI!$G$18/HSCEI!$B$3,""))</f>
        <v/>
      </c>
      <c r="BT171" s="161">
        <f>IF(F171="","",IFERROR(F171*HSCEI!$B$18*HSCEI!$G$18/HSCEI!$B$3,""))</f>
        <v/>
      </c>
      <c r="BU171" s="161">
        <f>IF(G171="","",IFERROR(G171*HSCEI!$B$18*HSCEI!$G$18/HSCEI!$B$3,""))</f>
        <v/>
      </c>
      <c r="BV171" s="161">
        <f>IF(H171="","",IFERROR(H171*HSCEI!$B$18*HSCEI!$G$18/HSCEI!$B$3,""))</f>
        <v/>
      </c>
      <c r="BW171" s="161">
        <f>IF(I171="","",IFERROR(I171*HSCEI!$B$18*HSCEI!$G$18/HSCEI!$B$3,""))</f>
        <v/>
      </c>
      <c r="BX171" s="161">
        <f>IF(J171="","",IFERROR(J171*HSCEI!$B$18*HSCEI!$G$18/HSCEI!$B$3,""))</f>
        <v/>
      </c>
      <c r="BY171" s="161">
        <f>IF(K171="","",IFERROR(K171*HSCEI!$B$18*HSCEI!$G$18/HSCEI!$B$3,""))</f>
        <v/>
      </c>
      <c r="BZ171" s="161">
        <f>IF(L171="","",IFERROR(L171*HSCEI!$B$18*HSCEI!$G$18/HSCEI!$B$3,""))</f>
        <v/>
      </c>
      <c r="CA171" s="161">
        <f>IF(M171="","",IFERROR(M171*HSCEI!$B$18*HSCEI!$G$18/HSCEI!$B$3,""))</f>
        <v/>
      </c>
      <c r="CB171" s="161">
        <f>IF(N171="","",IFERROR(N171*HSCEI!$B$18*HSCEI!$G$18/HSCEI!$B$3,""))</f>
        <v/>
      </c>
      <c r="CC171" s="161">
        <f>IF(O171="","",IFERROR(O171*HSCEI!$B$18*HSCEI!$G$18/HSCEI!$B$3,""))</f>
        <v/>
      </c>
      <c r="CD171" s="161">
        <f>IF(P171="","",IFERROR(P171*HSCEI!$B$18*HSCEI!$G$18/HSCEI!$B$3,""))</f>
        <v/>
      </c>
      <c r="CE171" s="161">
        <f>IF(Q171="","",IFERROR(Q171*HSCEI!$B$18*HSCEI!$G$18/HSCEI!$B$3,""))</f>
        <v/>
      </c>
      <c r="CF171" s="161">
        <f>IF(R171="","",IFERROR(R171*HSCEI!$B$18*HSCEI!$G$18/HSCEI!$B$3,""))</f>
        <v/>
      </c>
      <c r="CG171" s="161">
        <f>IF(S171="","",IFERROR(S171*HSCEI!$B$18*HSCEI!$G$18/HSCEI!$B$3,""))</f>
        <v/>
      </c>
      <c r="CH171" s="161">
        <f>IF(T171="","",IFERROR(T171*HSCEI!$B$18*HSCEI!$G$18/HSCEI!$B$3,""))</f>
        <v/>
      </c>
      <c r="CI171" s="161">
        <f>IF(U171="","",IFERROR(U171*HSCEI!$B$18*HSCEI!$G$18/HSCEI!$B$3,""))</f>
        <v/>
      </c>
      <c r="CJ171" s="161">
        <f>IF(V171="","",IFERROR(V171*HSCEI!$B$18*HSCEI!$G$18/HSCEI!$B$3,""))</f>
        <v/>
      </c>
      <c r="CK171" s="161">
        <f>IF(W171="","",IFERROR(W171*HSCEI!$B$18*HSCEI!$G$18/HSCEI!$B$3,""))</f>
        <v/>
      </c>
      <c r="CL171" s="161">
        <f>IF(X171="","",IFERROR(X171*HSCEI!$B$18*HSCEI!$G$18/HSCEI!$B$3,""))</f>
        <v/>
      </c>
      <c r="CM171" s="161">
        <f>IF(Y171="","",IFERROR(Y171*HSCEI!$B$18*HSCEI!$G$18/HSCEI!$B$3,""))</f>
        <v/>
      </c>
      <c r="CN171" s="161">
        <f>IF(Z171="","",IFERROR(Z171*HSCEI!$B$18*HSCEI!$G$18/HSCEI!$B$3,""))</f>
        <v/>
      </c>
      <c r="CO171" s="161">
        <f>IF(AA171="","",IFERROR(AA171*HSCEI!$B$18*HSCEI!$G$18/HSCEI!$B$3,""))</f>
        <v/>
      </c>
      <c r="CP171" s="161">
        <f>IF(AB171="","",IFERROR(AB171*HSCEI!$B$18*HSCEI!$G$18/HSCEI!$B$3,""))</f>
        <v/>
      </c>
      <c r="CQ171" s="161">
        <f>IF(AC171="","",IFERROR(AC171*HSCEI!$B$18*HSCEI!$G$18/HSCEI!$B$3,""))</f>
        <v/>
      </c>
      <c r="CR171" s="161">
        <f>IF(AD171="","",IFERROR(AD171*HSCEI!$B$18*HSCEI!$G$18/HSCEI!$B$3,""))</f>
        <v/>
      </c>
      <c r="CS171" s="161">
        <f>IF(AE171="","",IFERROR(AE171*HSCEI!$B$18*HSCEI!$G$18/HSCEI!$B$3,""))</f>
        <v/>
      </c>
      <c r="CT171" s="161">
        <f>IF(AF171="","",IFERROR(AF171*HSCEI!$B$18*HSCEI!$G$18/HSCEI!$B$3,""))</f>
        <v/>
      </c>
      <c r="CU171" s="161">
        <f>IF(AG171="","",IFERROR(AG171*HSCEI!$B$18*HSCEI!$G$18/HSCEI!$B$3,""))</f>
        <v/>
      </c>
      <c r="CV171" s="161">
        <f>IF(AH171="","",IFERROR(AH171*HSCEI!$B$18*HSCEI!$G$18/HSCEI!$B$3,""))</f>
        <v/>
      </c>
      <c r="CW171" s="161">
        <f>IF(AI171="","",IFERROR(AI171*HSCEI!$B$18*HSCEI!$G$18/HSCEI!$B$3,""))</f>
        <v/>
      </c>
      <c r="CX171" s="161">
        <f>IF(AJ171="","",IFERROR(AJ171*HSCEI!$B$18*HSCEI!$G$18/HSCEI!$B$3,""))</f>
        <v/>
      </c>
      <c r="CY171" s="161">
        <f>IF(AK171="","",IFERROR(AK171*HSCEI!$B$18*HSCEI!$G$18/HSCEI!$B$3,""))</f>
        <v/>
      </c>
      <c r="CZ171" s="161">
        <f>IF(AL171="","",IFERROR(AL171*HSCEI!$B$18*HSCEI!$G$18/HSCEI!$B$3,""))</f>
        <v/>
      </c>
      <c r="DA171" s="161">
        <f>IF(AM171="","",IFERROR(AM171*HSCEI!$B$18*HSCEI!$G$18/HSCEI!$B$3,""))</f>
        <v/>
      </c>
      <c r="DB171" s="161">
        <f>IF(AN171="","",IFERROR(AN171*HSCEI!$B$18*HSCEI!$G$18/HSCEI!$B$3,""))</f>
        <v/>
      </c>
      <c r="DC171" s="161">
        <f>IF(AO171="","",IFERROR(AO171*HSCEI!$B$18*HSCEI!$G$18/HSCEI!$B$3,""))</f>
        <v/>
      </c>
      <c r="DD171" s="161">
        <f>IF(AP171="","",IFERROR(AP171*HSCEI!$B$18*HSCEI!$G$18/HSCEI!$B$3,""))</f>
        <v/>
      </c>
      <c r="DE171" s="161">
        <f>IF(AQ171="","",IFERROR(AQ171*HSCEI!$B$18*HSCEI!$G$18/HSCEI!$B$3,""))</f>
        <v/>
      </c>
      <c r="DF171" s="161">
        <f>IF(AR171="","",IFERROR(AR171*HSCEI!$B$18*HSCEI!$G$18/HSCEI!$B$3,""))</f>
        <v/>
      </c>
      <c r="DG171" s="161">
        <f>IF(AS171="","",IFERROR(AS171*HSCEI!$B$18*HSCEI!$G$18/HSCEI!$B$3,""))</f>
        <v/>
      </c>
      <c r="DH171" s="161">
        <f>IF(AT171="","",IFERROR(AT171*HSCEI!$B$18*HSCEI!$G$18/HSCEI!$B$3,""))</f>
        <v/>
      </c>
      <c r="DI171" s="161">
        <f>IF(AU171="","",IFERROR(AU171*HSCEI!$B$18*HSCEI!$G$18/HSCEI!$B$3,""))</f>
        <v/>
      </c>
      <c r="DJ171" s="161">
        <f>IF(AV171="","",IFERROR(AV171*HSCEI!$B$18*HSCEI!$G$18/HSCEI!$B$3,""))</f>
        <v/>
      </c>
      <c r="DK171" s="161">
        <f>IF(AW171="","",IFERROR(AW171*HSCEI!$B$18*HSCEI!$G$18/HSCEI!$B$3,""))</f>
        <v/>
      </c>
      <c r="DL171" s="161">
        <f>IF(AX171="","",IFERROR(AX171*HSCEI!$B$18*HSCEI!$G$18/HSCEI!$B$3,""))</f>
        <v/>
      </c>
      <c r="DM171" s="161">
        <f>IF(AY171="","",IFERROR(AY171*HSCEI!$B$18*HSCEI!$G$18/HSCEI!$B$3,""))</f>
        <v/>
      </c>
      <c r="DN171" s="161">
        <f>IF(AZ171="","",IFERROR(AZ171*HSCEI!$B$18*HSCEI!$G$18/HSCEI!$B$3,""))</f>
        <v/>
      </c>
      <c r="DO171" s="161">
        <f>IF(BA171="","",IFERROR(BA171*HSCEI!$B$18*HSCEI!$G$18/HSCEI!$B$3,""))</f>
        <v/>
      </c>
      <c r="DP171" s="161">
        <f>IF(BB171="","",IFERROR(BB171*HSCEI!$B$18*HSCEI!$G$18/HSCEI!$B$3,""))</f>
        <v/>
      </c>
      <c r="DQ171" s="161">
        <f>IF(BC171="","",IFERROR(BC171*HSCEI!$B$18*HSCEI!$G$18/HSCEI!$B$3,""))</f>
        <v/>
      </c>
      <c r="DR171" s="161">
        <f>IF(BD171="","",IFERROR(BD171*HSCEI!$B$18*HSCEI!$G$18/HSCEI!$B$3,""))</f>
        <v/>
      </c>
      <c r="DS171" s="161">
        <f>IF(BE171="","",IFERROR(BE171*HSCEI!$B$18*HSCEI!$G$18/HSCEI!$B$3,""))</f>
        <v/>
      </c>
      <c r="DT171" s="161">
        <f>IF(BF171="","",IFERROR(BF171*HSCEI!$B$18*HSCEI!$G$18/HSCEI!$B$3,""))</f>
        <v/>
      </c>
      <c r="DU171" s="161">
        <f>IF(BG171="","",IFERROR(BG171*HSCEI!$B$18*HSCEI!$G$18/HSCEI!$B$3,""))</f>
        <v/>
      </c>
      <c r="DV171" s="161">
        <f>IF(BH171="","",IFERROR(BH171*HSCEI!$B$18*HSCEI!$G$18/HSCEI!$B$3,""))</f>
        <v/>
      </c>
      <c r="DW171" s="161">
        <f>IF(BI171="","",IFERROR(BI171*HSCEI!$B$18*HSCEI!$G$18/HSCEI!$B$3,""))</f>
        <v/>
      </c>
      <c r="DX171" s="161">
        <f>IF(BJ171="","",IFERROR(BJ171*HSCEI!$B$18*HSCEI!$G$18/HSCEI!$B$3,""))</f>
        <v/>
      </c>
      <c r="DY171" s="161">
        <f>IF(BK171="","",IFERROR(BK171*HSCEI!$B$18*HSCEI!$G$18/HSCEI!$B$3,""))</f>
        <v/>
      </c>
      <c r="DZ171" s="161">
        <f>IF(BL171="","",IFERROR(BL171*HSCEI!$B$18*HSCEI!$G$18/HSCEI!$B$3,""))</f>
        <v/>
      </c>
      <c r="EA171" s="161">
        <f>IF(BM171="","",IFERROR(BM171*HSCEI!$B$18*HSCEI!$G$18/HSCEI!$B$3,""))</f>
        <v/>
      </c>
      <c r="EB171" s="161">
        <f>IF(BN171="","",IFERROR(BN171*HSCEI!$B$18*HSCEI!$G$18/HSCEI!$B$3,""))</f>
        <v/>
      </c>
      <c r="EC171" s="161">
        <f>IF(BO171="","",IFERROR(BO171*HSCEI!$B$18*HSCEI!$G$18/HSCEI!$B$3,""))</f>
        <v/>
      </c>
      <c r="EE171" s="121">
        <f>IF(N('Dvd Calendar'!$E$1682)=0,"",IF(('Dvd Calendar'!$E$1682&gt;=GRID_FROM)*('Dvd Calendar'!$E$1682&lt;=GRID_TO)*((('Dvd Calendar'!$E$1682&lt;=VAL_DATE)+(COUNTIF('Dvd Calendar'!$E$1689:$AR$1689,'Dvd Calendar'!$E$1682)=0))&gt;0)=0,"",'Dvd Calendar'!$E$1682*1000000000+ISNUMBER('Dvd Calendar'!$E$1685)*100000000+('Dvd Calendar'!$E$1687=SPECIAL_LBL)*10000000+(N('Dvd Calendar'!$E$1681)&gt;0)*(N('Dvd Calendar'!$E$1681)&lt;=VAL_SERIAL)*1000000+12*1000+1))</f>
        <v/>
      </c>
      <c r="EF171" s="121">
        <f>IF(N('Dvd Calendar'!$F$1682)=0,"",IF(('Dvd Calendar'!$F$1682&gt;=GRID_FROM)*('Dvd Calendar'!$F$1682&lt;=GRID_TO)*((('Dvd Calendar'!$F$1682&lt;=VAL_DATE)+(COUNTIF('Dvd Calendar'!$E$1689:$AR$1689,'Dvd Calendar'!$F$1682)=0))&gt;0)=0,"",'Dvd Calendar'!$F$1682*1000000000+ISNUMBER('Dvd Calendar'!$F$1685)*100000000+('Dvd Calendar'!$F$1687=SPECIAL_LBL)*10000000+(N('Dvd Calendar'!$F$1681)&gt;0)*(N('Dvd Calendar'!$F$1681)&lt;=VAL_SERIAL)*1000000+12*1000+2))</f>
        <v/>
      </c>
      <c r="EG171" s="121">
        <f>IF(N('Dvd Calendar'!$G$1682)=0,"",IF(('Dvd Calendar'!$G$1682&gt;=GRID_FROM)*('Dvd Calendar'!$G$1682&lt;=GRID_TO)*((('Dvd Calendar'!$G$1682&lt;=VAL_DATE)+(COUNTIF('Dvd Calendar'!$E$1689:$AR$1689,'Dvd Calendar'!$G$1682)=0))&gt;0)=0,"",'Dvd Calendar'!$G$1682*1000000000+ISNUMBER('Dvd Calendar'!$G$1685)*100000000+('Dvd Calendar'!$G$1687=SPECIAL_LBL)*10000000+(N('Dvd Calendar'!$G$1681)&gt;0)*(N('Dvd Calendar'!$G$1681)&lt;=VAL_SERIAL)*1000000+12*1000+3))</f>
        <v/>
      </c>
      <c r="EH171" s="121">
        <f>IF(N('Dvd Calendar'!$H$1682)=0,"",IF(('Dvd Calendar'!$H$1682&gt;=GRID_FROM)*('Dvd Calendar'!$H$1682&lt;=GRID_TO)*((('Dvd Calendar'!$H$1682&lt;=VAL_DATE)+(COUNTIF('Dvd Calendar'!$E$1689:$AR$1689,'Dvd Calendar'!$H$1682)=0))&gt;0)=0,"",'Dvd Calendar'!$H$1682*1000000000+ISNUMBER('Dvd Calendar'!$H$1685)*100000000+('Dvd Calendar'!$H$1687=SPECIAL_LBL)*10000000+(N('Dvd Calendar'!$H$1681)&gt;0)*(N('Dvd Calendar'!$H$1681)&lt;=VAL_SERIAL)*1000000+12*1000+4))</f>
        <v/>
      </c>
      <c r="EI171" s="121">
        <f>IF(N('Dvd Calendar'!$I$1682)=0,"",IF(('Dvd Calendar'!$I$1682&gt;=GRID_FROM)*('Dvd Calendar'!$I$1682&lt;=GRID_TO)*((('Dvd Calendar'!$I$1682&lt;=VAL_DATE)+(COUNTIF('Dvd Calendar'!$E$1689:$AR$1689,'Dvd Calendar'!$I$1682)=0))&gt;0)=0,"",'Dvd Calendar'!$I$1682*1000000000+ISNUMBER('Dvd Calendar'!$I$1685)*100000000+('Dvd Calendar'!$I$1687=SPECIAL_LBL)*10000000+(N('Dvd Calendar'!$I$1681)&gt;0)*(N('Dvd Calendar'!$I$1681)&lt;=VAL_SERIAL)*1000000+12*1000+5))</f>
        <v/>
      </c>
      <c r="EJ171" s="121">
        <f>IF(N('Dvd Calendar'!$J$1682)=0,"",IF(('Dvd Calendar'!$J$1682&gt;=GRID_FROM)*('Dvd Calendar'!$J$1682&lt;=GRID_TO)*((('Dvd Calendar'!$J$1682&lt;=VAL_DATE)+(COUNTIF('Dvd Calendar'!$E$1689:$AR$1689,'Dvd Calendar'!$J$1682)=0))&gt;0)=0,"",'Dvd Calendar'!$J$1682*1000000000+ISNUMBER('Dvd Calendar'!$J$1685)*100000000+('Dvd Calendar'!$J$1687=SPECIAL_LBL)*10000000+(N('Dvd Calendar'!$J$1681)&gt;0)*(N('Dvd Calendar'!$J$1681)&lt;=VAL_SERIAL)*1000000+12*1000+6))</f>
        <v/>
      </c>
      <c r="EK171" s="121">
        <f>IF(N('Dvd Calendar'!$K$1682)=0,"",IF(('Dvd Calendar'!$K$1682&gt;=GRID_FROM)*('Dvd Calendar'!$K$1682&lt;=GRID_TO)*((('Dvd Calendar'!$K$1682&lt;=VAL_DATE)+(COUNTIF('Dvd Calendar'!$E$1689:$AR$1689,'Dvd Calendar'!$K$1682)=0))&gt;0)=0,"",'Dvd Calendar'!$K$1682*1000000000+ISNUMBER('Dvd Calendar'!$K$1685)*100000000+('Dvd Calendar'!$K$1687=SPECIAL_LBL)*10000000+(N('Dvd Calendar'!$K$1681)&gt;0)*(N('Dvd Calendar'!$K$1681)&lt;=VAL_SERIAL)*1000000+12*1000+7))</f>
        <v/>
      </c>
      <c r="EL171" s="121">
        <f>IF(N('Dvd Calendar'!$L$1682)=0,"",IF(('Dvd Calendar'!$L$1682&gt;=GRID_FROM)*('Dvd Calendar'!$L$1682&lt;=GRID_TO)*((('Dvd Calendar'!$L$1682&lt;=VAL_DATE)+(COUNTIF('Dvd Calendar'!$E$1689:$AR$1689,'Dvd Calendar'!$L$1682)=0))&gt;0)=0,"",'Dvd Calendar'!$L$1682*1000000000+ISNUMBER('Dvd Calendar'!$L$1685)*100000000+('Dvd Calendar'!$L$1687=SPECIAL_LBL)*10000000+(N('Dvd Calendar'!$L$1681)&gt;0)*(N('Dvd Calendar'!$L$1681)&lt;=VAL_SERIAL)*1000000+12*1000+8))</f>
        <v/>
      </c>
      <c r="EM171" s="121">
        <f>IF(N('Dvd Calendar'!$M$1682)=0,"",IF(('Dvd Calendar'!$M$1682&gt;=GRID_FROM)*('Dvd Calendar'!$M$1682&lt;=GRID_TO)*((('Dvd Calendar'!$M$1682&lt;=VAL_DATE)+(COUNTIF('Dvd Calendar'!$E$1689:$AR$1689,'Dvd Calendar'!$M$1682)=0))&gt;0)=0,"",'Dvd Calendar'!$M$1682*1000000000+ISNUMBER('Dvd Calendar'!$M$1685)*100000000+('Dvd Calendar'!$M$1687=SPECIAL_LBL)*10000000+(N('Dvd Calendar'!$M$1681)&gt;0)*(N('Dvd Calendar'!$M$1681)&lt;=VAL_SERIAL)*1000000+12*1000+9))</f>
        <v/>
      </c>
      <c r="EN171" s="121">
        <f>IF(N('Dvd Calendar'!$N$1682)=0,"",IF(('Dvd Calendar'!$N$1682&gt;=GRID_FROM)*('Dvd Calendar'!$N$1682&lt;=GRID_TO)*((('Dvd Calendar'!$N$1682&lt;=VAL_DATE)+(COUNTIF('Dvd Calendar'!$E$1689:$AR$1689,'Dvd Calendar'!$N$1682)=0))&gt;0)=0,"",'Dvd Calendar'!$N$1682*1000000000+ISNUMBER('Dvd Calendar'!$N$1685)*100000000+('Dvd Calendar'!$N$1687=SPECIAL_LBL)*10000000+(N('Dvd Calendar'!$N$1681)&gt;0)*(N('Dvd Calendar'!$N$1681)&lt;=VAL_SERIAL)*1000000+12*1000+10))</f>
        <v/>
      </c>
      <c r="EO171" s="121">
        <f>IF(N('Dvd Calendar'!$O$1682)=0,"",IF(('Dvd Calendar'!$O$1682&gt;=GRID_FROM)*('Dvd Calendar'!$O$1682&lt;=GRID_TO)*((('Dvd Calendar'!$O$1682&lt;=VAL_DATE)+(COUNTIF('Dvd Calendar'!$E$1689:$AR$1689,'Dvd Calendar'!$O$1682)=0))&gt;0)=0,"",'Dvd Calendar'!$O$1682*1000000000+ISNUMBER('Dvd Calendar'!$O$1685)*100000000+('Dvd Calendar'!$O$1687=SPECIAL_LBL)*10000000+(N('Dvd Calendar'!$O$1681)&gt;0)*(N('Dvd Calendar'!$O$1681)&lt;=VAL_SERIAL)*1000000+12*1000+11))</f>
        <v/>
      </c>
      <c r="EP171" s="121">
        <f>IF(N('Dvd Calendar'!$P$1682)=0,"",IF(('Dvd Calendar'!$P$1682&gt;=GRID_FROM)*('Dvd Calendar'!$P$1682&lt;=GRID_TO)*((('Dvd Calendar'!$P$1682&lt;=VAL_DATE)+(COUNTIF('Dvd Calendar'!$E$1689:$AR$1689,'Dvd Calendar'!$P$1682)=0))&gt;0)=0,"",'Dvd Calendar'!$P$1682*1000000000+ISNUMBER('Dvd Calendar'!$P$1685)*100000000+('Dvd Calendar'!$P$1687=SPECIAL_LBL)*10000000+(N('Dvd Calendar'!$P$1681)&gt;0)*(N('Dvd Calendar'!$P$1681)&lt;=VAL_SERIAL)*1000000+12*1000+12))</f>
        <v/>
      </c>
      <c r="EQ171" s="121">
        <f>IF(N('Dvd Calendar'!$Q$1682)=0,"",IF(('Dvd Calendar'!$Q$1682&gt;=GRID_FROM)*('Dvd Calendar'!$Q$1682&lt;=GRID_TO)*((('Dvd Calendar'!$Q$1682&lt;=VAL_DATE)+(COUNTIF('Dvd Calendar'!$E$1689:$AR$1689,'Dvd Calendar'!$Q$1682)=0))&gt;0)=0,"",'Dvd Calendar'!$Q$1682*1000000000+ISNUMBER('Dvd Calendar'!$Q$1685)*100000000+('Dvd Calendar'!$Q$1687=SPECIAL_LBL)*10000000+(N('Dvd Calendar'!$Q$1681)&gt;0)*(N('Dvd Calendar'!$Q$1681)&lt;=VAL_SERIAL)*1000000+12*1000+13))</f>
        <v/>
      </c>
      <c r="ER171" s="121">
        <f>IF(N('Dvd Calendar'!$R$1682)=0,"",IF(('Dvd Calendar'!$R$1682&gt;=GRID_FROM)*('Dvd Calendar'!$R$1682&lt;=GRID_TO)*((('Dvd Calendar'!$R$1682&lt;=VAL_DATE)+(COUNTIF('Dvd Calendar'!$E$1689:$AR$1689,'Dvd Calendar'!$R$1682)=0))&gt;0)=0,"",'Dvd Calendar'!$R$1682*1000000000+ISNUMBER('Dvd Calendar'!$R$1685)*100000000+('Dvd Calendar'!$R$1687=SPECIAL_LBL)*10000000+(N('Dvd Calendar'!$R$1681)&gt;0)*(N('Dvd Calendar'!$R$1681)&lt;=VAL_SERIAL)*1000000+12*1000+14))</f>
        <v/>
      </c>
      <c r="ES171" s="121">
        <f>IF(N('Dvd Calendar'!$S$1682)=0,"",IF(('Dvd Calendar'!$S$1682&gt;=GRID_FROM)*('Dvd Calendar'!$S$1682&lt;=GRID_TO)*((('Dvd Calendar'!$S$1682&lt;=VAL_DATE)+(COUNTIF('Dvd Calendar'!$E$1689:$AR$1689,'Dvd Calendar'!$S$1682)=0))&gt;0)=0,"",'Dvd Calendar'!$S$1682*1000000000+ISNUMBER('Dvd Calendar'!$S$1685)*100000000+('Dvd Calendar'!$S$1687=SPECIAL_LBL)*10000000+(N('Dvd Calendar'!$S$1681)&gt;0)*(N('Dvd Calendar'!$S$1681)&lt;=VAL_SERIAL)*1000000+12*1000+15))</f>
        <v/>
      </c>
      <c r="ET171" s="121">
        <f>IF(N('Dvd Calendar'!$T$1682)=0,"",IF(('Dvd Calendar'!$T$1682&gt;=GRID_FROM)*('Dvd Calendar'!$T$1682&lt;=GRID_TO)*((('Dvd Calendar'!$T$1682&lt;=VAL_DATE)+(COUNTIF('Dvd Calendar'!$E$1689:$AR$1689,'Dvd Calendar'!$T$1682)=0))&gt;0)=0,"",'Dvd Calendar'!$T$1682*1000000000+ISNUMBER('Dvd Calendar'!$T$1685)*100000000+('Dvd Calendar'!$T$1687=SPECIAL_LBL)*10000000+(N('Dvd Calendar'!$T$1681)&gt;0)*(N('Dvd Calendar'!$T$1681)&lt;=VAL_SERIAL)*1000000+12*1000+16))</f>
        <v/>
      </c>
      <c r="EU171" s="121">
        <f>IF(N('Dvd Calendar'!$U$1682)=0,"",IF(('Dvd Calendar'!$U$1682&gt;=GRID_FROM)*('Dvd Calendar'!$U$1682&lt;=GRID_TO)*((('Dvd Calendar'!$U$1682&lt;=VAL_DATE)+(COUNTIF('Dvd Calendar'!$E$1689:$AR$1689,'Dvd Calendar'!$U$1682)=0))&gt;0)=0,"",'Dvd Calendar'!$U$1682*1000000000+ISNUMBER('Dvd Calendar'!$U$1685)*100000000+('Dvd Calendar'!$U$1687=SPECIAL_LBL)*10000000+(N('Dvd Calendar'!$U$1681)&gt;0)*(N('Dvd Calendar'!$U$1681)&lt;=VAL_SERIAL)*1000000+12*1000+17))</f>
        <v/>
      </c>
      <c r="EV171" s="121">
        <f>IF(N('Dvd Calendar'!$V$1682)=0,"",IF(('Dvd Calendar'!$V$1682&gt;=GRID_FROM)*('Dvd Calendar'!$V$1682&lt;=GRID_TO)*((('Dvd Calendar'!$V$1682&lt;=VAL_DATE)+(COUNTIF('Dvd Calendar'!$E$1689:$AR$1689,'Dvd Calendar'!$V$1682)=0))&gt;0)=0,"",'Dvd Calendar'!$V$1682*1000000000+ISNUMBER('Dvd Calendar'!$V$1685)*100000000+('Dvd Calendar'!$V$1687=SPECIAL_LBL)*10000000+(N('Dvd Calendar'!$V$1681)&gt;0)*(N('Dvd Calendar'!$V$1681)&lt;=VAL_SERIAL)*1000000+12*1000+18))</f>
        <v/>
      </c>
      <c r="EW171" s="121">
        <f>IF(N('Dvd Calendar'!$W$1682)=0,"",IF(('Dvd Calendar'!$W$1682&gt;=GRID_FROM)*('Dvd Calendar'!$W$1682&lt;=GRID_TO)*((('Dvd Calendar'!$W$1682&lt;=VAL_DATE)+(COUNTIF('Dvd Calendar'!$E$1689:$AR$1689,'Dvd Calendar'!$W$1682)=0))&gt;0)=0,"",'Dvd Calendar'!$W$1682*1000000000+ISNUMBER('Dvd Calendar'!$W$1685)*100000000+('Dvd Calendar'!$W$1687=SPECIAL_LBL)*10000000+(N('Dvd Calendar'!$W$1681)&gt;0)*(N('Dvd Calendar'!$W$1681)&lt;=VAL_SERIAL)*1000000+12*1000+19))</f>
        <v/>
      </c>
      <c r="EX171" s="121">
        <f>IF(N('Dvd Calendar'!$X$1682)=0,"",IF(('Dvd Calendar'!$X$1682&gt;=GRID_FROM)*('Dvd Calendar'!$X$1682&lt;=GRID_TO)*((('Dvd Calendar'!$X$1682&lt;=VAL_DATE)+(COUNTIF('Dvd Calendar'!$E$1689:$AR$1689,'Dvd Calendar'!$X$1682)=0))&gt;0)=0,"",'Dvd Calendar'!$X$1682*1000000000+ISNUMBER('Dvd Calendar'!$X$1685)*100000000+('Dvd Calendar'!$X$1687=SPECIAL_LBL)*10000000+(N('Dvd Calendar'!$X$1681)&gt;0)*(N('Dvd Calendar'!$X$1681)&lt;=VAL_SERIAL)*1000000+12*1000+20))</f>
        <v/>
      </c>
      <c r="EY171" s="121">
        <f>IF(N('Dvd Calendar'!$Y$1682)=0,"",IF(('Dvd Calendar'!$Y$1682&gt;=GRID_FROM)*('Dvd Calendar'!$Y$1682&lt;=GRID_TO)*((('Dvd Calendar'!$Y$1682&lt;=VAL_DATE)+(COUNTIF('Dvd Calendar'!$E$1689:$AR$1689,'Dvd Calendar'!$Y$1682)=0))&gt;0)=0,"",'Dvd Calendar'!$Y$1682*1000000000+ISNUMBER('Dvd Calendar'!$Y$1685)*100000000+('Dvd Calendar'!$Y$1687=SPECIAL_LBL)*10000000+(N('Dvd Calendar'!$Y$1681)&gt;0)*(N('Dvd Calendar'!$Y$1681)&lt;=VAL_SERIAL)*1000000+12*1000+21))</f>
        <v/>
      </c>
      <c r="EZ171" s="121">
        <f>IF(N('Dvd Calendar'!$Z$1682)=0,"",IF(('Dvd Calendar'!$Z$1682&gt;=GRID_FROM)*('Dvd Calendar'!$Z$1682&lt;=GRID_TO)*((('Dvd Calendar'!$Z$1682&lt;=VAL_DATE)+(COUNTIF('Dvd Calendar'!$E$1689:$AR$1689,'Dvd Calendar'!$Z$1682)=0))&gt;0)=0,"",'Dvd Calendar'!$Z$1682*1000000000+ISNUMBER('Dvd Calendar'!$Z$1685)*100000000+('Dvd Calendar'!$Z$1687=SPECIAL_LBL)*10000000+(N('Dvd Calendar'!$Z$1681)&gt;0)*(N('Dvd Calendar'!$Z$1681)&lt;=VAL_SERIAL)*1000000+12*1000+22))</f>
        <v/>
      </c>
      <c r="FA171" s="121">
        <f>IF(N('Dvd Calendar'!$AA$1682)=0,"",IF(('Dvd Calendar'!$AA$1682&gt;=GRID_FROM)*('Dvd Calendar'!$AA$1682&lt;=GRID_TO)*((('Dvd Calendar'!$AA$1682&lt;=VAL_DATE)+(COUNTIF('Dvd Calendar'!$E$1689:$AR$1689,'Dvd Calendar'!$AA$1682)=0))&gt;0)=0,"",'Dvd Calendar'!$AA$1682*1000000000+ISNUMBER('Dvd Calendar'!$AA$1685)*100000000+('Dvd Calendar'!$AA$1687=SPECIAL_LBL)*10000000+(N('Dvd Calendar'!$AA$1681)&gt;0)*(N('Dvd Calendar'!$AA$1681)&lt;=VAL_SERIAL)*1000000+12*1000+23))</f>
        <v/>
      </c>
      <c r="FB171" s="121">
        <f>IF(N('Dvd Calendar'!$AB$1682)=0,"",IF(('Dvd Calendar'!$AB$1682&gt;=GRID_FROM)*('Dvd Calendar'!$AB$1682&lt;=GRID_TO)*((('Dvd Calendar'!$AB$1682&lt;=VAL_DATE)+(COUNTIF('Dvd Calendar'!$E$1689:$AR$1689,'Dvd Calendar'!$AB$1682)=0))&gt;0)=0,"",'Dvd Calendar'!$AB$1682*1000000000+ISNUMBER('Dvd Calendar'!$AB$1685)*100000000+('Dvd Calendar'!$AB$1687=SPECIAL_LBL)*10000000+(N('Dvd Calendar'!$AB$1681)&gt;0)*(N('Dvd Calendar'!$AB$1681)&lt;=VAL_SERIAL)*1000000+12*1000+24))</f>
        <v/>
      </c>
      <c r="FC171" s="121">
        <f>IF(N('Dvd Calendar'!$AC$1682)=0,"",IF(('Dvd Calendar'!$AC$1682&gt;=GRID_FROM)*('Dvd Calendar'!$AC$1682&lt;=GRID_TO)*((('Dvd Calendar'!$AC$1682&lt;=VAL_DATE)+(COUNTIF('Dvd Calendar'!$E$1689:$AR$1689,'Dvd Calendar'!$AC$1682)=0))&gt;0)=0,"",'Dvd Calendar'!$AC$1682*1000000000+ISNUMBER('Dvd Calendar'!$AC$1685)*100000000+('Dvd Calendar'!$AC$1687=SPECIAL_LBL)*10000000+(N('Dvd Calendar'!$AC$1681)&gt;0)*(N('Dvd Calendar'!$AC$1681)&lt;=VAL_SERIAL)*1000000+12*1000+25))</f>
        <v/>
      </c>
      <c r="FD171" s="121">
        <f>IF(N('Dvd Calendar'!$AD$1682)=0,"",IF(('Dvd Calendar'!$AD$1682&gt;=GRID_FROM)*('Dvd Calendar'!$AD$1682&lt;=GRID_TO)*((('Dvd Calendar'!$AD$1682&lt;=VAL_DATE)+(COUNTIF('Dvd Calendar'!$E$1689:$AR$1689,'Dvd Calendar'!$AD$1682)=0))&gt;0)=0,"",'Dvd Calendar'!$AD$1682*1000000000+ISNUMBER('Dvd Calendar'!$AD$1685)*100000000+('Dvd Calendar'!$AD$1687=SPECIAL_LBL)*10000000+(N('Dvd Calendar'!$AD$1681)&gt;0)*(N('Dvd Calendar'!$AD$1681)&lt;=VAL_SERIAL)*1000000+12*1000+26))</f>
        <v/>
      </c>
      <c r="FE171" s="121">
        <f>IF(N('Dvd Calendar'!$AE$1682)=0,"",IF(('Dvd Calendar'!$AE$1682&gt;=GRID_FROM)*('Dvd Calendar'!$AE$1682&lt;=GRID_TO)*((('Dvd Calendar'!$AE$1682&lt;=VAL_DATE)+(COUNTIF('Dvd Calendar'!$E$1689:$AR$1689,'Dvd Calendar'!$AE$1682)=0))&gt;0)=0,"",'Dvd Calendar'!$AE$1682*1000000000+ISNUMBER('Dvd Calendar'!$AE$1685)*100000000+('Dvd Calendar'!$AE$1687=SPECIAL_LBL)*10000000+(N('Dvd Calendar'!$AE$1681)&gt;0)*(N('Dvd Calendar'!$AE$1681)&lt;=VAL_SERIAL)*1000000+12*1000+27))</f>
        <v/>
      </c>
      <c r="FF171" s="121">
        <f>IF(N('Dvd Calendar'!$AF$1682)=0,"",IF(('Dvd Calendar'!$AF$1682&gt;=GRID_FROM)*('Dvd Calendar'!$AF$1682&lt;=GRID_TO)*((('Dvd Calendar'!$AF$1682&lt;=VAL_DATE)+(COUNTIF('Dvd Calendar'!$E$1689:$AR$1689,'Dvd Calendar'!$AF$1682)=0))&gt;0)=0,"",'Dvd Calendar'!$AF$1682*1000000000+ISNUMBER('Dvd Calendar'!$AF$1685)*100000000+('Dvd Calendar'!$AF$1687=SPECIAL_LBL)*10000000+(N('Dvd Calendar'!$AF$1681)&gt;0)*(N('Dvd Calendar'!$AF$1681)&lt;=VAL_SERIAL)*1000000+12*1000+28))</f>
        <v/>
      </c>
      <c r="FG171" s="121">
        <f>IF(N('Dvd Calendar'!$AG$1682)=0,"",IF(('Dvd Calendar'!$AG$1682&gt;=GRID_FROM)*('Dvd Calendar'!$AG$1682&lt;=GRID_TO)*((('Dvd Calendar'!$AG$1682&lt;=VAL_DATE)+(COUNTIF('Dvd Calendar'!$E$1689:$AR$1689,'Dvd Calendar'!$AG$1682)=0))&gt;0)=0,"",'Dvd Calendar'!$AG$1682*1000000000+ISNUMBER('Dvd Calendar'!$AG$1685)*100000000+('Dvd Calendar'!$AG$1687=SPECIAL_LBL)*10000000+(N('Dvd Calendar'!$AG$1681)&gt;0)*(N('Dvd Calendar'!$AG$1681)&lt;=VAL_SERIAL)*1000000+12*1000+29))</f>
        <v/>
      </c>
      <c r="FH171" s="121">
        <f>IF(N('Dvd Calendar'!$AH$1682)=0,"",IF(('Dvd Calendar'!$AH$1682&gt;=GRID_FROM)*('Dvd Calendar'!$AH$1682&lt;=GRID_TO)*((('Dvd Calendar'!$AH$1682&lt;=VAL_DATE)+(COUNTIF('Dvd Calendar'!$E$1689:$AR$1689,'Dvd Calendar'!$AH$1682)=0))&gt;0)=0,"",'Dvd Calendar'!$AH$1682*1000000000+ISNUMBER('Dvd Calendar'!$AH$1685)*100000000+('Dvd Calendar'!$AH$1687=SPECIAL_LBL)*10000000+(N('Dvd Calendar'!$AH$1681)&gt;0)*(N('Dvd Calendar'!$AH$1681)&lt;=VAL_SERIAL)*1000000+12*1000+30))</f>
        <v/>
      </c>
      <c r="FI171" s="121">
        <f>IF(N('Dvd Calendar'!$AI$1682)=0,"",IF(('Dvd Calendar'!$AI$1682&gt;=GRID_FROM)*('Dvd Calendar'!$AI$1682&lt;=GRID_TO)*((('Dvd Calendar'!$AI$1682&lt;=VAL_DATE)+(COUNTIF('Dvd Calendar'!$E$1689:$AR$1689,'Dvd Calendar'!$AI$1682)=0))&gt;0)=0,"",'Dvd Calendar'!$AI$1682*1000000000+ISNUMBER('Dvd Calendar'!$AI$1685)*100000000+('Dvd Calendar'!$AI$1687=SPECIAL_LBL)*10000000+(N('Dvd Calendar'!$AI$1681)&gt;0)*(N('Dvd Calendar'!$AI$1681)&lt;=VAL_SERIAL)*1000000+12*1000+31))</f>
        <v/>
      </c>
      <c r="FJ171" s="121">
        <f>IF(N('Dvd Calendar'!$AJ$1682)=0,"",IF(('Dvd Calendar'!$AJ$1682&gt;=GRID_FROM)*('Dvd Calendar'!$AJ$1682&lt;=GRID_TO)*((('Dvd Calendar'!$AJ$1682&lt;=VAL_DATE)+(COUNTIF('Dvd Calendar'!$E$1689:$AR$1689,'Dvd Calendar'!$AJ$1682)=0))&gt;0)=0,"",'Dvd Calendar'!$AJ$1682*1000000000+ISNUMBER('Dvd Calendar'!$AJ$1685)*100000000+('Dvd Calendar'!$AJ$1687=SPECIAL_LBL)*10000000+(N('Dvd Calendar'!$AJ$1681)&gt;0)*(N('Dvd Calendar'!$AJ$1681)&lt;=VAL_SERIAL)*1000000+12*1000+32))</f>
        <v/>
      </c>
      <c r="FK171" s="121">
        <f>IF(N('Dvd Calendar'!$AK$1682)=0,"",IF(('Dvd Calendar'!$AK$1682&gt;=GRID_FROM)*('Dvd Calendar'!$AK$1682&lt;=GRID_TO)*((('Dvd Calendar'!$AK$1682&lt;=VAL_DATE)+(COUNTIF('Dvd Calendar'!$E$1689:$AR$1689,'Dvd Calendar'!$AK$1682)=0))&gt;0)=0,"",'Dvd Calendar'!$AK$1682*1000000000+ISNUMBER('Dvd Calendar'!$AK$1685)*100000000+('Dvd Calendar'!$AK$1687=SPECIAL_LBL)*10000000+(N('Dvd Calendar'!$AK$1681)&gt;0)*(N('Dvd Calendar'!$AK$1681)&lt;=VAL_SERIAL)*1000000+12*1000+33))</f>
        <v/>
      </c>
      <c r="FL171" s="121">
        <f>IF(N('Dvd Calendar'!$AL$1682)=0,"",IF(('Dvd Calendar'!$AL$1682&gt;=GRID_FROM)*('Dvd Calendar'!$AL$1682&lt;=GRID_TO)*((('Dvd Calendar'!$AL$1682&lt;=VAL_DATE)+(COUNTIF('Dvd Calendar'!$E$1689:$AR$1689,'Dvd Calendar'!$AL$1682)=0))&gt;0)=0,"",'Dvd Calendar'!$AL$1682*1000000000+ISNUMBER('Dvd Calendar'!$AL$1685)*100000000+('Dvd Calendar'!$AL$1687=SPECIAL_LBL)*10000000+(N('Dvd Calendar'!$AL$1681)&gt;0)*(N('Dvd Calendar'!$AL$1681)&lt;=VAL_SERIAL)*1000000+12*1000+34))</f>
        <v/>
      </c>
      <c r="FM171" s="121">
        <f>IF(N('Dvd Calendar'!$AM$1682)=0,"",IF(('Dvd Calendar'!$AM$1682&gt;=GRID_FROM)*('Dvd Calendar'!$AM$1682&lt;=GRID_TO)*((('Dvd Calendar'!$AM$1682&lt;=VAL_DATE)+(COUNTIF('Dvd Calendar'!$E$1689:$AR$1689,'Dvd Calendar'!$AM$1682)=0))&gt;0)=0,"",'Dvd Calendar'!$AM$1682*1000000000+ISNUMBER('Dvd Calendar'!$AM$1685)*100000000+('Dvd Calendar'!$AM$1687=SPECIAL_LBL)*10000000+(N('Dvd Calendar'!$AM$1681)&gt;0)*(N('Dvd Calendar'!$AM$1681)&lt;=VAL_SERIAL)*1000000+12*1000+35))</f>
        <v/>
      </c>
      <c r="FN171" s="121">
        <f>IF(N('Dvd Calendar'!$AN$1682)=0,"",IF(('Dvd Calendar'!$AN$1682&gt;=GRID_FROM)*('Dvd Calendar'!$AN$1682&lt;=GRID_TO)*((('Dvd Calendar'!$AN$1682&lt;=VAL_DATE)+(COUNTIF('Dvd Calendar'!$E$1689:$AR$1689,'Dvd Calendar'!$AN$1682)=0))&gt;0)=0,"",'Dvd Calendar'!$AN$1682*1000000000+ISNUMBER('Dvd Calendar'!$AN$1685)*100000000+('Dvd Calendar'!$AN$1687=SPECIAL_LBL)*10000000+(N('Dvd Calendar'!$AN$1681)&gt;0)*(N('Dvd Calendar'!$AN$1681)&lt;=VAL_SERIAL)*1000000+12*1000+36))</f>
        <v/>
      </c>
      <c r="FO171" s="121">
        <f>IF(N('Dvd Calendar'!$AO$1682)=0,"",IF(('Dvd Calendar'!$AO$1682&gt;=GRID_FROM)*('Dvd Calendar'!$AO$1682&lt;=GRID_TO)*((('Dvd Calendar'!$AO$1682&lt;=VAL_DATE)+(COUNTIF('Dvd Calendar'!$E$1689:$AR$1689,'Dvd Calendar'!$AO$1682)=0))&gt;0)=0,"",'Dvd Calendar'!$AO$1682*1000000000+ISNUMBER('Dvd Calendar'!$AO$1685)*100000000+('Dvd Calendar'!$AO$1687=SPECIAL_LBL)*10000000+(N('Dvd Calendar'!$AO$1681)&gt;0)*(N('Dvd Calendar'!$AO$1681)&lt;=VAL_SERIAL)*1000000+12*1000+37))</f>
        <v/>
      </c>
      <c r="FP171" s="121">
        <f>IF(N('Dvd Calendar'!$AP$1682)=0,"",IF(('Dvd Calendar'!$AP$1682&gt;=GRID_FROM)*('Dvd Calendar'!$AP$1682&lt;=GRID_TO)*((('Dvd Calendar'!$AP$1682&lt;=VAL_DATE)+(COUNTIF('Dvd Calendar'!$E$1689:$AR$1689,'Dvd Calendar'!$AP$1682)=0))&gt;0)=0,"",'Dvd Calendar'!$AP$1682*1000000000+ISNUMBER('Dvd Calendar'!$AP$1685)*100000000+('Dvd Calendar'!$AP$1687=SPECIAL_LBL)*10000000+(N('Dvd Calendar'!$AP$1681)&gt;0)*(N('Dvd Calendar'!$AP$1681)&lt;=VAL_SERIAL)*1000000+12*1000+38))</f>
        <v/>
      </c>
      <c r="FQ171" s="121">
        <f>IF(N('Dvd Calendar'!$AQ$1682)=0,"",IF(('Dvd Calendar'!$AQ$1682&gt;=GRID_FROM)*('Dvd Calendar'!$AQ$1682&lt;=GRID_TO)*((('Dvd Calendar'!$AQ$1682&lt;=VAL_DATE)+(COUNTIF('Dvd Calendar'!$E$1689:$AR$1689,'Dvd Calendar'!$AQ$1682)=0))&gt;0)=0,"",'Dvd Calendar'!$AQ$1682*1000000000+ISNUMBER('Dvd Calendar'!$AQ$1685)*100000000+('Dvd Calendar'!$AQ$1687=SPECIAL_LBL)*10000000+(N('Dvd Calendar'!$AQ$1681)&gt;0)*(N('Dvd Calendar'!$AQ$1681)&lt;=VAL_SERIAL)*1000000+12*1000+39))</f>
        <v/>
      </c>
      <c r="FR171" s="121">
        <f>IF(N('Dvd Calendar'!$AR$1682)=0,"",IF(('Dvd Calendar'!$AR$1682&gt;=GRID_FROM)*('Dvd Calendar'!$AR$1682&lt;=GRID_TO)*((('Dvd Calendar'!$AR$1682&lt;=VAL_DATE)+(COUNTIF('Dvd Calendar'!$E$1689:$AR$1689,'Dvd Calendar'!$AR$1682)=0))&gt;0)=0,"",'Dvd Calendar'!$AR$1682*1000000000+ISNUMBER('Dvd Calendar'!$AR$1685)*100000000+('Dvd Calendar'!$AR$1687=SPECIAL_LBL)*10000000+(N('Dvd Calendar'!$AR$1681)&gt;0)*(N('Dvd Calendar'!$AR$1681)&lt;=VAL_SERIAL)*1000000+12*1000+40))</f>
        <v/>
      </c>
      <c r="FS171" s="121">
        <f>IF(N('Dvd Calendar'!$E$1689)=0,"",IF(('Dvd Calendar'!$E$1689&gt;=GRID_FROM)*('Dvd Calendar'!$E$1689&lt;=GRID_TO)*('Dvd Calendar'!$E$1689&gt;VAL_DATE)=0,"",'Dvd Calendar'!$E$1689*1000000000+ISNUMBER('Dvd Calendar'!$E$1690)*100000000+0*10000000+(N('Dvd Calendar'!$E$1688)&gt;0)*(N('Dvd Calendar'!$E$1688)&lt;=VAL_SERIAL)*1000000+12*1000+41))</f>
        <v/>
      </c>
      <c r="FT171" s="121">
        <f>IF(N('Dvd Calendar'!$F$1689)=0,"",IF(('Dvd Calendar'!$F$1689&gt;=GRID_FROM)*('Dvd Calendar'!$F$1689&lt;=GRID_TO)*('Dvd Calendar'!$F$1689&gt;VAL_DATE)=0,"",'Dvd Calendar'!$F$1689*1000000000+ISNUMBER('Dvd Calendar'!$F$1690)*100000000+0*10000000+(N('Dvd Calendar'!$F$1688)&gt;0)*(N('Dvd Calendar'!$F$1688)&lt;=VAL_SERIAL)*1000000+12*1000+42))</f>
        <v/>
      </c>
      <c r="FU171" s="121">
        <f>IF(N('Dvd Calendar'!$G$1689)=0,"",IF(('Dvd Calendar'!$G$1689&gt;=GRID_FROM)*('Dvd Calendar'!$G$1689&lt;=GRID_TO)*('Dvd Calendar'!$G$1689&gt;VAL_DATE)=0,"",'Dvd Calendar'!$G$1689*1000000000+ISNUMBER('Dvd Calendar'!$G$1690)*100000000+0*10000000+(N('Dvd Calendar'!$G$1688)&gt;0)*(N('Dvd Calendar'!$G$1688)&lt;=VAL_SERIAL)*1000000+12*1000+43))</f>
        <v/>
      </c>
      <c r="FV171" s="121">
        <f>IF(N('Dvd Calendar'!$H$1689)=0,"",IF(('Dvd Calendar'!$H$1689&gt;=GRID_FROM)*('Dvd Calendar'!$H$1689&lt;=GRID_TO)*('Dvd Calendar'!$H$1689&gt;VAL_DATE)=0,"",'Dvd Calendar'!$H$1689*1000000000+ISNUMBER('Dvd Calendar'!$H$1690)*100000000+0*10000000+(N('Dvd Calendar'!$H$1688)&gt;0)*(N('Dvd Calendar'!$H$1688)&lt;=VAL_SERIAL)*1000000+12*1000+44))</f>
        <v/>
      </c>
      <c r="FW171" s="121">
        <f>IF(N('Dvd Calendar'!$I$1689)=0,"",IF(('Dvd Calendar'!$I$1689&gt;=GRID_FROM)*('Dvd Calendar'!$I$1689&lt;=GRID_TO)*('Dvd Calendar'!$I$1689&gt;VAL_DATE)=0,"",'Dvd Calendar'!$I$1689*1000000000+ISNUMBER('Dvd Calendar'!$I$1690)*100000000+0*10000000+(N('Dvd Calendar'!$I$1688)&gt;0)*(N('Dvd Calendar'!$I$1688)&lt;=VAL_SERIAL)*1000000+12*1000+45))</f>
        <v/>
      </c>
      <c r="FX171" s="121">
        <f>IF(N('Dvd Calendar'!$J$1689)=0,"",IF(('Dvd Calendar'!$J$1689&gt;=GRID_FROM)*('Dvd Calendar'!$J$1689&lt;=GRID_TO)*('Dvd Calendar'!$J$1689&gt;VAL_DATE)=0,"",'Dvd Calendar'!$J$1689*1000000000+ISNUMBER('Dvd Calendar'!$J$1690)*100000000+0*10000000+(N('Dvd Calendar'!$J$1688)&gt;0)*(N('Dvd Calendar'!$J$1688)&lt;=VAL_SERIAL)*1000000+12*1000+46))</f>
        <v/>
      </c>
      <c r="FY171" s="121">
        <f>IF(N('Dvd Calendar'!$K$1689)=0,"",IF(('Dvd Calendar'!$K$1689&gt;=GRID_FROM)*('Dvd Calendar'!$K$1689&lt;=GRID_TO)*('Dvd Calendar'!$K$1689&gt;VAL_DATE)=0,"",'Dvd Calendar'!$K$1689*1000000000+ISNUMBER('Dvd Calendar'!$K$1690)*100000000+0*10000000+(N('Dvd Calendar'!$K$1688)&gt;0)*(N('Dvd Calendar'!$K$1688)&lt;=VAL_SERIAL)*1000000+12*1000+47))</f>
        <v/>
      </c>
      <c r="FZ171" s="121">
        <f>IF(N('Dvd Calendar'!$L$1689)=0,"",IF(('Dvd Calendar'!$L$1689&gt;=GRID_FROM)*('Dvd Calendar'!$L$1689&lt;=GRID_TO)*('Dvd Calendar'!$L$1689&gt;VAL_DATE)=0,"",'Dvd Calendar'!$L$1689*1000000000+ISNUMBER('Dvd Calendar'!$L$1690)*100000000+0*10000000+(N('Dvd Calendar'!$L$1688)&gt;0)*(N('Dvd Calendar'!$L$1688)&lt;=VAL_SERIAL)*1000000+12*1000+48))</f>
        <v/>
      </c>
      <c r="GA171" s="121">
        <f>IF(N('Dvd Calendar'!$M$1689)=0,"",IF(('Dvd Calendar'!$M$1689&gt;=GRID_FROM)*('Dvd Calendar'!$M$1689&lt;=GRID_TO)*('Dvd Calendar'!$M$1689&gt;VAL_DATE)=0,"",'Dvd Calendar'!$M$1689*1000000000+ISNUMBER('Dvd Calendar'!$M$1690)*100000000+0*10000000+(N('Dvd Calendar'!$M$1688)&gt;0)*(N('Dvd Calendar'!$M$1688)&lt;=VAL_SERIAL)*1000000+12*1000+49))</f>
        <v/>
      </c>
      <c r="GB171" s="121">
        <f>IF(N('Dvd Calendar'!$N$1689)=0,"",IF(('Dvd Calendar'!$N$1689&gt;=GRID_FROM)*('Dvd Calendar'!$N$1689&lt;=GRID_TO)*('Dvd Calendar'!$N$1689&gt;VAL_DATE)=0,"",'Dvd Calendar'!$N$1689*1000000000+ISNUMBER('Dvd Calendar'!$N$1690)*100000000+0*10000000+(N('Dvd Calendar'!$N$1688)&gt;0)*(N('Dvd Calendar'!$N$1688)&lt;=VAL_SERIAL)*1000000+12*1000+50))</f>
        <v/>
      </c>
      <c r="GC171" s="121">
        <f>IF(N('Dvd Calendar'!$O$1689)=0,"",IF(('Dvd Calendar'!$O$1689&gt;=GRID_FROM)*('Dvd Calendar'!$O$1689&lt;=GRID_TO)*('Dvd Calendar'!$O$1689&gt;VAL_DATE)=0,"",'Dvd Calendar'!$O$1689*1000000000+ISNUMBER('Dvd Calendar'!$O$1690)*100000000+0*10000000+(N('Dvd Calendar'!$O$1688)&gt;0)*(N('Dvd Calendar'!$O$1688)&lt;=VAL_SERIAL)*1000000+12*1000+51))</f>
        <v/>
      </c>
      <c r="GD171" s="121">
        <f>IF(N('Dvd Calendar'!$P$1689)=0,"",IF(('Dvd Calendar'!$P$1689&gt;=GRID_FROM)*('Dvd Calendar'!$P$1689&lt;=GRID_TO)*('Dvd Calendar'!$P$1689&gt;VAL_DATE)=0,"",'Dvd Calendar'!$P$1689*1000000000+ISNUMBER('Dvd Calendar'!$P$1690)*100000000+0*10000000+(N('Dvd Calendar'!$P$1688)&gt;0)*(N('Dvd Calendar'!$P$1688)&lt;=VAL_SERIAL)*1000000+12*1000+52))</f>
        <v/>
      </c>
      <c r="GE171" s="121">
        <f>IF(N('Dvd Calendar'!$Q$1689)=0,"",IF(('Dvd Calendar'!$Q$1689&gt;=GRID_FROM)*('Dvd Calendar'!$Q$1689&lt;=GRID_TO)*('Dvd Calendar'!$Q$1689&gt;VAL_DATE)=0,"",'Dvd Calendar'!$Q$1689*1000000000+ISNUMBER('Dvd Calendar'!$Q$1690)*100000000+0*10000000+(N('Dvd Calendar'!$Q$1688)&gt;0)*(N('Dvd Calendar'!$Q$1688)&lt;=VAL_SERIAL)*1000000+12*1000+53))</f>
        <v/>
      </c>
      <c r="GF171" s="121">
        <f>IF(N('Dvd Calendar'!$R$1689)=0,"",IF(('Dvd Calendar'!$R$1689&gt;=GRID_FROM)*('Dvd Calendar'!$R$1689&lt;=GRID_TO)*('Dvd Calendar'!$R$1689&gt;VAL_DATE)=0,"",'Dvd Calendar'!$R$1689*1000000000+ISNUMBER('Dvd Calendar'!$R$1690)*100000000+0*10000000+(N('Dvd Calendar'!$R$1688)&gt;0)*(N('Dvd Calendar'!$R$1688)&lt;=VAL_SERIAL)*1000000+12*1000+54))</f>
        <v/>
      </c>
      <c r="GG171" s="121">
        <f>IF(N('Dvd Calendar'!$S$1689)=0,"",IF(('Dvd Calendar'!$S$1689&gt;=GRID_FROM)*('Dvd Calendar'!$S$1689&lt;=GRID_TO)*('Dvd Calendar'!$S$1689&gt;VAL_DATE)=0,"",'Dvd Calendar'!$S$1689*1000000000+ISNUMBER('Dvd Calendar'!$S$1690)*100000000+0*10000000+(N('Dvd Calendar'!$S$1688)&gt;0)*(N('Dvd Calendar'!$S$1688)&lt;=VAL_SERIAL)*1000000+12*1000+55))</f>
        <v/>
      </c>
      <c r="GH171" s="121">
        <f>IF(N('Dvd Calendar'!$T$1689)=0,"",IF(('Dvd Calendar'!$T$1689&gt;=GRID_FROM)*('Dvd Calendar'!$T$1689&lt;=GRID_TO)*('Dvd Calendar'!$T$1689&gt;VAL_DATE)=0,"",'Dvd Calendar'!$T$1689*1000000000+ISNUMBER('Dvd Calendar'!$T$1690)*100000000+0*10000000+(N('Dvd Calendar'!$T$1688)&gt;0)*(N('Dvd Calendar'!$T$1688)&lt;=VAL_SERIAL)*1000000+12*1000+56))</f>
        <v/>
      </c>
      <c r="GI171" s="121">
        <f>IF(N('Dvd Calendar'!$U$1689)=0,"",IF(('Dvd Calendar'!$U$1689&gt;=GRID_FROM)*('Dvd Calendar'!$U$1689&lt;=GRID_TO)*('Dvd Calendar'!$U$1689&gt;VAL_DATE)=0,"",'Dvd Calendar'!$U$1689*1000000000+ISNUMBER('Dvd Calendar'!$U$1690)*100000000+0*10000000+(N('Dvd Calendar'!$U$1688)&gt;0)*(N('Dvd Calendar'!$U$1688)&lt;=VAL_SERIAL)*1000000+12*1000+57))</f>
        <v/>
      </c>
      <c r="GJ171" s="121">
        <f>IF(N('Dvd Calendar'!$V$1689)=0,"",IF(('Dvd Calendar'!$V$1689&gt;=GRID_FROM)*('Dvd Calendar'!$V$1689&lt;=GRID_TO)*('Dvd Calendar'!$V$1689&gt;VAL_DATE)=0,"",'Dvd Calendar'!$V$1689*1000000000+ISNUMBER('Dvd Calendar'!$V$1690)*100000000+0*10000000+(N('Dvd Calendar'!$V$1688)&gt;0)*(N('Dvd Calendar'!$V$1688)&lt;=VAL_SERIAL)*1000000+12*1000+58))</f>
        <v/>
      </c>
      <c r="GK171" s="121">
        <f>IF(N('Dvd Calendar'!$W$1689)=0,"",IF(('Dvd Calendar'!$W$1689&gt;=GRID_FROM)*('Dvd Calendar'!$W$1689&lt;=GRID_TO)*('Dvd Calendar'!$W$1689&gt;VAL_DATE)=0,"",'Dvd Calendar'!$W$1689*1000000000+ISNUMBER('Dvd Calendar'!$W$1690)*100000000+0*10000000+(N('Dvd Calendar'!$W$1688)&gt;0)*(N('Dvd Calendar'!$W$1688)&lt;=VAL_SERIAL)*1000000+12*1000+59))</f>
        <v/>
      </c>
      <c r="GL171" s="121">
        <f>IF(N('Dvd Calendar'!$X$1689)=0,"",IF(('Dvd Calendar'!$X$1689&gt;=GRID_FROM)*('Dvd Calendar'!$X$1689&lt;=GRID_TO)*('Dvd Calendar'!$X$1689&gt;VAL_DATE)=0,"",'Dvd Calendar'!$X$1689*1000000000+ISNUMBER('Dvd Calendar'!$X$1690)*100000000+0*10000000+(N('Dvd Calendar'!$X$1688)&gt;0)*(N('Dvd Calendar'!$X$1688)&lt;=VAL_SERIAL)*1000000+12*1000+60))</f>
        <v/>
      </c>
      <c r="GM171" s="121">
        <f>IF(N('Dvd Calendar'!$Y$1689)=0,"",IF(('Dvd Calendar'!$Y$1689&gt;=GRID_FROM)*('Dvd Calendar'!$Y$1689&lt;=GRID_TO)*('Dvd Calendar'!$Y$1689&gt;VAL_DATE)=0,"",'Dvd Calendar'!$Y$1689*1000000000+ISNUMBER('Dvd Calendar'!$Y$1690)*100000000+0*10000000+(N('Dvd Calendar'!$Y$1688)&gt;0)*(N('Dvd Calendar'!$Y$1688)&lt;=VAL_SERIAL)*1000000+12*1000+61))</f>
        <v/>
      </c>
      <c r="GN171" s="121">
        <f>IF(N('Dvd Calendar'!$Z$1689)=0,"",IF(('Dvd Calendar'!$Z$1689&gt;=GRID_FROM)*('Dvd Calendar'!$Z$1689&lt;=GRID_TO)*('Dvd Calendar'!$Z$1689&gt;VAL_DATE)=0,"",'Dvd Calendar'!$Z$1689*1000000000+ISNUMBER('Dvd Calendar'!$Z$1690)*100000000+0*10000000+(N('Dvd Calendar'!$Z$1688)&gt;0)*(N('Dvd Calendar'!$Z$1688)&lt;=VAL_SERIAL)*1000000+12*1000+62))</f>
        <v/>
      </c>
      <c r="GO171" s="121">
        <f>IF(N('Dvd Calendar'!$AA$1689)=0,"",IF(('Dvd Calendar'!$AA$1689&gt;=GRID_FROM)*('Dvd Calendar'!$AA$1689&lt;=GRID_TO)*('Dvd Calendar'!$AA$1689&gt;VAL_DATE)=0,"",'Dvd Calendar'!$AA$1689*1000000000+ISNUMBER('Dvd Calendar'!$AA$1690)*100000000+0*10000000+(N('Dvd Calendar'!$AA$1688)&gt;0)*(N('Dvd Calendar'!$AA$1688)&lt;=VAL_SERIAL)*1000000+12*1000+63))</f>
        <v/>
      </c>
      <c r="GP171" s="121">
        <f>IF(N('Dvd Calendar'!$AB$1689)=0,"",IF(('Dvd Calendar'!$AB$1689&gt;=GRID_FROM)*('Dvd Calendar'!$AB$1689&lt;=GRID_TO)*('Dvd Calendar'!$AB$1689&gt;VAL_DATE)=0,"",'Dvd Calendar'!$AB$1689*1000000000+ISNUMBER('Dvd Calendar'!$AB$1690)*100000000+0*10000000+(N('Dvd Calendar'!$AB$1688)&gt;0)*(N('Dvd Calendar'!$AB$1688)&lt;=VAL_SERIAL)*1000000+12*1000+64))</f>
        <v/>
      </c>
      <c r="GQ171" s="121">
        <f>IF(N('Dvd Calendar'!$AC$1689)=0,"",IF(('Dvd Calendar'!$AC$1689&gt;=GRID_FROM)*('Dvd Calendar'!$AC$1689&lt;=GRID_TO)*('Dvd Calendar'!$AC$1689&gt;VAL_DATE)=0,"",'Dvd Calendar'!$AC$1689*1000000000+ISNUMBER('Dvd Calendar'!$AC$1690)*100000000+0*10000000+(N('Dvd Calendar'!$AC$1688)&gt;0)*(N('Dvd Calendar'!$AC$1688)&lt;=VAL_SERIAL)*1000000+12*1000+65))</f>
        <v/>
      </c>
    </row>
    <row r="172">
      <c r="B172" s="2">
        <f>IF(HSCEI!$C$19="","",HSCEI!$C$19)</f>
        <v/>
      </c>
      <c r="C172" s="161">
        <f>IF(EE172="","",IF(ISNUMBER('Dvd Calendar'!$E$1696)=FALSE,"",IF((('Dvd Calendar'!$E$1698=TYPE1)*(TYPE1&lt;&gt;"")+('Dvd Calendar'!$E$1698=TYPE2)*(TYPE2&lt;&gt;"")+('Dvd Calendar'!$E$1698=TYPE3)*(TYPE3&lt;&gt;"")+('Dvd Calendar'!$E$1698=TYPE4)*(TYPE4&lt;&gt;"")+('Dvd Calendar'!$E$1698=SPECIAL_LBL)*(INC_SPECIALS="Y"))=0,"",'Dvd Calendar'!$E$1696)))</f>
        <v/>
      </c>
      <c r="D172" s="161">
        <f>IF(EF172="","",IF(ISNUMBER('Dvd Calendar'!$F$1696)=FALSE,"",IF((('Dvd Calendar'!$F$1698=TYPE1)*(TYPE1&lt;&gt;"")+('Dvd Calendar'!$F$1698=TYPE2)*(TYPE2&lt;&gt;"")+('Dvd Calendar'!$F$1698=TYPE3)*(TYPE3&lt;&gt;"")+('Dvd Calendar'!$F$1698=TYPE4)*(TYPE4&lt;&gt;"")+('Dvd Calendar'!$F$1698=SPECIAL_LBL)*(INC_SPECIALS="Y"))=0,"",'Dvd Calendar'!$F$1696)))</f>
        <v/>
      </c>
      <c r="E172" s="161">
        <f>IF(EG172="","",IF(ISNUMBER('Dvd Calendar'!$G$1696)=FALSE,"",IF((('Dvd Calendar'!$G$1698=TYPE1)*(TYPE1&lt;&gt;"")+('Dvd Calendar'!$G$1698=TYPE2)*(TYPE2&lt;&gt;"")+('Dvd Calendar'!$G$1698=TYPE3)*(TYPE3&lt;&gt;"")+('Dvd Calendar'!$G$1698=TYPE4)*(TYPE4&lt;&gt;"")+('Dvd Calendar'!$G$1698=SPECIAL_LBL)*(INC_SPECIALS="Y"))=0,"",'Dvd Calendar'!$G$1696)))</f>
        <v/>
      </c>
      <c r="F172" s="161">
        <f>IF(EH172="","",IF(ISNUMBER('Dvd Calendar'!$H$1696)=FALSE,"",IF((('Dvd Calendar'!$H$1698=TYPE1)*(TYPE1&lt;&gt;"")+('Dvd Calendar'!$H$1698=TYPE2)*(TYPE2&lt;&gt;"")+('Dvd Calendar'!$H$1698=TYPE3)*(TYPE3&lt;&gt;"")+('Dvd Calendar'!$H$1698=TYPE4)*(TYPE4&lt;&gt;"")+('Dvd Calendar'!$H$1698=SPECIAL_LBL)*(INC_SPECIALS="Y"))=0,"",'Dvd Calendar'!$H$1696)))</f>
        <v/>
      </c>
      <c r="G172" s="161">
        <f>IF(EI172="","",IF(ISNUMBER('Dvd Calendar'!$I$1696)=FALSE,"",IF((('Dvd Calendar'!$I$1698=TYPE1)*(TYPE1&lt;&gt;"")+('Dvd Calendar'!$I$1698=TYPE2)*(TYPE2&lt;&gt;"")+('Dvd Calendar'!$I$1698=TYPE3)*(TYPE3&lt;&gt;"")+('Dvd Calendar'!$I$1698=TYPE4)*(TYPE4&lt;&gt;"")+('Dvd Calendar'!$I$1698=SPECIAL_LBL)*(INC_SPECIALS="Y"))=0,"",'Dvd Calendar'!$I$1696)))</f>
        <v/>
      </c>
      <c r="H172" s="161">
        <f>IF(EJ172="","",IF(ISNUMBER('Dvd Calendar'!$J$1696)=FALSE,"",IF((('Dvd Calendar'!$J$1698=TYPE1)*(TYPE1&lt;&gt;"")+('Dvd Calendar'!$J$1698=TYPE2)*(TYPE2&lt;&gt;"")+('Dvd Calendar'!$J$1698=TYPE3)*(TYPE3&lt;&gt;"")+('Dvd Calendar'!$J$1698=TYPE4)*(TYPE4&lt;&gt;"")+('Dvd Calendar'!$J$1698=SPECIAL_LBL)*(INC_SPECIALS="Y"))=0,"",'Dvd Calendar'!$J$1696)))</f>
        <v/>
      </c>
      <c r="I172" s="161">
        <f>IF(EK172="","",IF(ISNUMBER('Dvd Calendar'!$K$1696)=FALSE,"",IF((('Dvd Calendar'!$K$1698=TYPE1)*(TYPE1&lt;&gt;"")+('Dvd Calendar'!$K$1698=TYPE2)*(TYPE2&lt;&gt;"")+('Dvd Calendar'!$K$1698=TYPE3)*(TYPE3&lt;&gt;"")+('Dvd Calendar'!$K$1698=TYPE4)*(TYPE4&lt;&gt;"")+('Dvd Calendar'!$K$1698=SPECIAL_LBL)*(INC_SPECIALS="Y"))=0,"",'Dvd Calendar'!$K$1696)))</f>
        <v/>
      </c>
      <c r="J172" s="161">
        <f>IF(EL172="","",IF(ISNUMBER('Dvd Calendar'!$L$1696)=FALSE,"",IF((('Dvd Calendar'!$L$1698=TYPE1)*(TYPE1&lt;&gt;"")+('Dvd Calendar'!$L$1698=TYPE2)*(TYPE2&lt;&gt;"")+('Dvd Calendar'!$L$1698=TYPE3)*(TYPE3&lt;&gt;"")+('Dvd Calendar'!$L$1698=TYPE4)*(TYPE4&lt;&gt;"")+('Dvd Calendar'!$L$1698=SPECIAL_LBL)*(INC_SPECIALS="Y"))=0,"",'Dvd Calendar'!$L$1696)))</f>
        <v/>
      </c>
      <c r="K172" s="161">
        <f>IF(EM172="","",IF(ISNUMBER('Dvd Calendar'!$M$1696)=FALSE,"",IF((('Dvd Calendar'!$M$1698=TYPE1)*(TYPE1&lt;&gt;"")+('Dvd Calendar'!$M$1698=TYPE2)*(TYPE2&lt;&gt;"")+('Dvd Calendar'!$M$1698=TYPE3)*(TYPE3&lt;&gt;"")+('Dvd Calendar'!$M$1698=TYPE4)*(TYPE4&lt;&gt;"")+('Dvd Calendar'!$M$1698=SPECIAL_LBL)*(INC_SPECIALS="Y"))=0,"",'Dvd Calendar'!$M$1696)))</f>
        <v/>
      </c>
      <c r="L172" s="161">
        <f>IF(EN172="","",IF(ISNUMBER('Dvd Calendar'!$N$1696)=FALSE,"",IF((('Dvd Calendar'!$N$1698=TYPE1)*(TYPE1&lt;&gt;"")+('Dvd Calendar'!$N$1698=TYPE2)*(TYPE2&lt;&gt;"")+('Dvd Calendar'!$N$1698=TYPE3)*(TYPE3&lt;&gt;"")+('Dvd Calendar'!$N$1698=TYPE4)*(TYPE4&lt;&gt;"")+('Dvd Calendar'!$N$1698=SPECIAL_LBL)*(INC_SPECIALS="Y"))=0,"",'Dvd Calendar'!$N$1696)))</f>
        <v/>
      </c>
      <c r="M172" s="161">
        <f>IF(EO172="","",IF(ISNUMBER('Dvd Calendar'!$O$1696)=FALSE,"",IF((('Dvd Calendar'!$O$1698=TYPE1)*(TYPE1&lt;&gt;"")+('Dvd Calendar'!$O$1698=TYPE2)*(TYPE2&lt;&gt;"")+('Dvd Calendar'!$O$1698=TYPE3)*(TYPE3&lt;&gt;"")+('Dvd Calendar'!$O$1698=TYPE4)*(TYPE4&lt;&gt;"")+('Dvd Calendar'!$O$1698=SPECIAL_LBL)*(INC_SPECIALS="Y"))=0,"",'Dvd Calendar'!$O$1696)))</f>
        <v/>
      </c>
      <c r="N172" s="161">
        <f>IF(EP172="","",IF(ISNUMBER('Dvd Calendar'!$P$1696)=FALSE,"",IF((('Dvd Calendar'!$P$1698=TYPE1)*(TYPE1&lt;&gt;"")+('Dvd Calendar'!$P$1698=TYPE2)*(TYPE2&lt;&gt;"")+('Dvd Calendar'!$P$1698=TYPE3)*(TYPE3&lt;&gt;"")+('Dvd Calendar'!$P$1698=TYPE4)*(TYPE4&lt;&gt;"")+('Dvd Calendar'!$P$1698=SPECIAL_LBL)*(INC_SPECIALS="Y"))=0,"",'Dvd Calendar'!$P$1696)))</f>
        <v/>
      </c>
      <c r="O172" s="161">
        <f>IF(EQ172="","",IF(ISNUMBER('Dvd Calendar'!$Q$1696)=FALSE,"",IF((('Dvd Calendar'!$Q$1698=TYPE1)*(TYPE1&lt;&gt;"")+('Dvd Calendar'!$Q$1698=TYPE2)*(TYPE2&lt;&gt;"")+('Dvd Calendar'!$Q$1698=TYPE3)*(TYPE3&lt;&gt;"")+('Dvd Calendar'!$Q$1698=TYPE4)*(TYPE4&lt;&gt;"")+('Dvd Calendar'!$Q$1698=SPECIAL_LBL)*(INC_SPECIALS="Y"))=0,"",'Dvd Calendar'!$Q$1696)))</f>
        <v/>
      </c>
      <c r="P172" s="161">
        <f>IF(ER172="","",IF(ISNUMBER('Dvd Calendar'!$R$1696)=FALSE,"",IF((('Dvd Calendar'!$R$1698=TYPE1)*(TYPE1&lt;&gt;"")+('Dvd Calendar'!$R$1698=TYPE2)*(TYPE2&lt;&gt;"")+('Dvd Calendar'!$R$1698=TYPE3)*(TYPE3&lt;&gt;"")+('Dvd Calendar'!$R$1698=TYPE4)*(TYPE4&lt;&gt;"")+('Dvd Calendar'!$R$1698=SPECIAL_LBL)*(INC_SPECIALS="Y"))=0,"",'Dvd Calendar'!$R$1696)))</f>
        <v/>
      </c>
      <c r="Q172" s="161">
        <f>IF(ES172="","",IF(ISNUMBER('Dvd Calendar'!$S$1696)=FALSE,"",IF((('Dvd Calendar'!$S$1698=TYPE1)*(TYPE1&lt;&gt;"")+('Dvd Calendar'!$S$1698=TYPE2)*(TYPE2&lt;&gt;"")+('Dvd Calendar'!$S$1698=TYPE3)*(TYPE3&lt;&gt;"")+('Dvd Calendar'!$S$1698=TYPE4)*(TYPE4&lt;&gt;"")+('Dvd Calendar'!$S$1698=SPECIAL_LBL)*(INC_SPECIALS="Y"))=0,"",'Dvd Calendar'!$S$1696)))</f>
        <v/>
      </c>
      <c r="R172" s="161">
        <f>IF(ET172="","",IF(ISNUMBER('Dvd Calendar'!$T$1696)=FALSE,"",IF((('Dvd Calendar'!$T$1698=TYPE1)*(TYPE1&lt;&gt;"")+('Dvd Calendar'!$T$1698=TYPE2)*(TYPE2&lt;&gt;"")+('Dvd Calendar'!$T$1698=TYPE3)*(TYPE3&lt;&gt;"")+('Dvd Calendar'!$T$1698=TYPE4)*(TYPE4&lt;&gt;"")+('Dvd Calendar'!$T$1698=SPECIAL_LBL)*(INC_SPECIALS="Y"))=0,"",'Dvd Calendar'!$T$1696)))</f>
        <v/>
      </c>
      <c r="S172" s="161">
        <f>IF(EU172="","",IF(ISNUMBER('Dvd Calendar'!$U$1696)=FALSE,"",IF((('Dvd Calendar'!$U$1698=TYPE1)*(TYPE1&lt;&gt;"")+('Dvd Calendar'!$U$1698=TYPE2)*(TYPE2&lt;&gt;"")+('Dvd Calendar'!$U$1698=TYPE3)*(TYPE3&lt;&gt;"")+('Dvd Calendar'!$U$1698=TYPE4)*(TYPE4&lt;&gt;"")+('Dvd Calendar'!$U$1698=SPECIAL_LBL)*(INC_SPECIALS="Y"))=0,"",'Dvd Calendar'!$U$1696)))</f>
        <v/>
      </c>
      <c r="T172" s="161">
        <f>IF(EV172="","",IF(ISNUMBER('Dvd Calendar'!$V$1696)=FALSE,"",IF((('Dvd Calendar'!$V$1698=TYPE1)*(TYPE1&lt;&gt;"")+('Dvd Calendar'!$V$1698=TYPE2)*(TYPE2&lt;&gt;"")+('Dvd Calendar'!$V$1698=TYPE3)*(TYPE3&lt;&gt;"")+('Dvd Calendar'!$V$1698=TYPE4)*(TYPE4&lt;&gt;"")+('Dvd Calendar'!$V$1698=SPECIAL_LBL)*(INC_SPECIALS="Y"))=0,"",'Dvd Calendar'!$V$1696)))</f>
        <v/>
      </c>
      <c r="U172" s="161">
        <f>IF(EW172="","",IF(ISNUMBER('Dvd Calendar'!$W$1696)=FALSE,"",IF((('Dvd Calendar'!$W$1698=TYPE1)*(TYPE1&lt;&gt;"")+('Dvd Calendar'!$W$1698=TYPE2)*(TYPE2&lt;&gt;"")+('Dvd Calendar'!$W$1698=TYPE3)*(TYPE3&lt;&gt;"")+('Dvd Calendar'!$W$1698=TYPE4)*(TYPE4&lt;&gt;"")+('Dvd Calendar'!$W$1698=SPECIAL_LBL)*(INC_SPECIALS="Y"))=0,"",'Dvd Calendar'!$W$1696)))</f>
        <v/>
      </c>
      <c r="V172" s="161">
        <f>IF(EX172="","",IF(ISNUMBER('Dvd Calendar'!$X$1696)=FALSE,"",IF((('Dvd Calendar'!$X$1698=TYPE1)*(TYPE1&lt;&gt;"")+('Dvd Calendar'!$X$1698=TYPE2)*(TYPE2&lt;&gt;"")+('Dvd Calendar'!$X$1698=TYPE3)*(TYPE3&lt;&gt;"")+('Dvd Calendar'!$X$1698=TYPE4)*(TYPE4&lt;&gt;"")+('Dvd Calendar'!$X$1698=SPECIAL_LBL)*(INC_SPECIALS="Y"))=0,"",'Dvd Calendar'!$X$1696)))</f>
        <v/>
      </c>
      <c r="W172" s="161">
        <f>IF(EY172="","",IF(ISNUMBER('Dvd Calendar'!$Y$1696)=FALSE,"",IF((('Dvd Calendar'!$Y$1698=TYPE1)*(TYPE1&lt;&gt;"")+('Dvd Calendar'!$Y$1698=TYPE2)*(TYPE2&lt;&gt;"")+('Dvd Calendar'!$Y$1698=TYPE3)*(TYPE3&lt;&gt;"")+('Dvd Calendar'!$Y$1698=TYPE4)*(TYPE4&lt;&gt;"")+('Dvd Calendar'!$Y$1698=SPECIAL_LBL)*(INC_SPECIALS="Y"))=0,"",'Dvd Calendar'!$Y$1696)))</f>
        <v/>
      </c>
      <c r="X172" s="161">
        <f>IF(EZ172="","",IF(ISNUMBER('Dvd Calendar'!$Z$1696)=FALSE,"",IF((('Dvd Calendar'!$Z$1698=TYPE1)*(TYPE1&lt;&gt;"")+('Dvd Calendar'!$Z$1698=TYPE2)*(TYPE2&lt;&gt;"")+('Dvd Calendar'!$Z$1698=TYPE3)*(TYPE3&lt;&gt;"")+('Dvd Calendar'!$Z$1698=TYPE4)*(TYPE4&lt;&gt;"")+('Dvd Calendar'!$Z$1698=SPECIAL_LBL)*(INC_SPECIALS="Y"))=0,"",'Dvd Calendar'!$Z$1696)))</f>
        <v/>
      </c>
      <c r="Y172" s="161">
        <f>IF(FA172="","",IF(ISNUMBER('Dvd Calendar'!$AA$1696)=FALSE,"",IF((('Dvd Calendar'!$AA$1698=TYPE1)*(TYPE1&lt;&gt;"")+('Dvd Calendar'!$AA$1698=TYPE2)*(TYPE2&lt;&gt;"")+('Dvd Calendar'!$AA$1698=TYPE3)*(TYPE3&lt;&gt;"")+('Dvd Calendar'!$AA$1698=TYPE4)*(TYPE4&lt;&gt;"")+('Dvd Calendar'!$AA$1698=SPECIAL_LBL)*(INC_SPECIALS="Y"))=0,"",'Dvd Calendar'!$AA$1696)))</f>
        <v/>
      </c>
      <c r="Z172" s="161">
        <f>IF(FB172="","",IF(ISNUMBER('Dvd Calendar'!$AB$1696)=FALSE,"",IF((('Dvd Calendar'!$AB$1698=TYPE1)*(TYPE1&lt;&gt;"")+('Dvd Calendar'!$AB$1698=TYPE2)*(TYPE2&lt;&gt;"")+('Dvd Calendar'!$AB$1698=TYPE3)*(TYPE3&lt;&gt;"")+('Dvd Calendar'!$AB$1698=TYPE4)*(TYPE4&lt;&gt;"")+('Dvd Calendar'!$AB$1698=SPECIAL_LBL)*(INC_SPECIALS="Y"))=0,"",'Dvd Calendar'!$AB$1696)))</f>
        <v/>
      </c>
      <c r="AA172" s="161">
        <f>IF(FC172="","",IF(ISNUMBER('Dvd Calendar'!$AC$1696)=FALSE,"",IF((('Dvd Calendar'!$AC$1698=TYPE1)*(TYPE1&lt;&gt;"")+('Dvd Calendar'!$AC$1698=TYPE2)*(TYPE2&lt;&gt;"")+('Dvd Calendar'!$AC$1698=TYPE3)*(TYPE3&lt;&gt;"")+('Dvd Calendar'!$AC$1698=TYPE4)*(TYPE4&lt;&gt;"")+('Dvd Calendar'!$AC$1698=SPECIAL_LBL)*(INC_SPECIALS="Y"))=0,"",'Dvd Calendar'!$AC$1696)))</f>
        <v/>
      </c>
      <c r="AB172" s="161">
        <f>IF(FD172="","",IF(ISNUMBER('Dvd Calendar'!$AD$1696)=FALSE,"",IF((('Dvd Calendar'!$AD$1698=TYPE1)*(TYPE1&lt;&gt;"")+('Dvd Calendar'!$AD$1698=TYPE2)*(TYPE2&lt;&gt;"")+('Dvd Calendar'!$AD$1698=TYPE3)*(TYPE3&lt;&gt;"")+('Dvd Calendar'!$AD$1698=TYPE4)*(TYPE4&lt;&gt;"")+('Dvd Calendar'!$AD$1698=SPECIAL_LBL)*(INC_SPECIALS="Y"))=0,"",'Dvd Calendar'!$AD$1696)))</f>
        <v/>
      </c>
      <c r="AC172" s="161">
        <f>IF(FE172="","",IF(ISNUMBER('Dvd Calendar'!$AE$1696)=FALSE,"",IF((('Dvd Calendar'!$AE$1698=TYPE1)*(TYPE1&lt;&gt;"")+('Dvd Calendar'!$AE$1698=TYPE2)*(TYPE2&lt;&gt;"")+('Dvd Calendar'!$AE$1698=TYPE3)*(TYPE3&lt;&gt;"")+('Dvd Calendar'!$AE$1698=TYPE4)*(TYPE4&lt;&gt;"")+('Dvd Calendar'!$AE$1698=SPECIAL_LBL)*(INC_SPECIALS="Y"))=0,"",'Dvd Calendar'!$AE$1696)))</f>
        <v/>
      </c>
      <c r="AD172" s="161">
        <f>IF(FF172="","",IF(ISNUMBER('Dvd Calendar'!$AF$1696)=FALSE,"",IF((('Dvd Calendar'!$AF$1698=TYPE1)*(TYPE1&lt;&gt;"")+('Dvd Calendar'!$AF$1698=TYPE2)*(TYPE2&lt;&gt;"")+('Dvd Calendar'!$AF$1698=TYPE3)*(TYPE3&lt;&gt;"")+('Dvd Calendar'!$AF$1698=TYPE4)*(TYPE4&lt;&gt;"")+('Dvd Calendar'!$AF$1698=SPECIAL_LBL)*(INC_SPECIALS="Y"))=0,"",'Dvd Calendar'!$AF$1696)))</f>
        <v/>
      </c>
      <c r="AE172" s="161">
        <f>IF(FG172="","",IF(ISNUMBER('Dvd Calendar'!$AG$1696)=FALSE,"",IF((('Dvd Calendar'!$AG$1698=TYPE1)*(TYPE1&lt;&gt;"")+('Dvd Calendar'!$AG$1698=TYPE2)*(TYPE2&lt;&gt;"")+('Dvd Calendar'!$AG$1698=TYPE3)*(TYPE3&lt;&gt;"")+('Dvd Calendar'!$AG$1698=TYPE4)*(TYPE4&lt;&gt;"")+('Dvd Calendar'!$AG$1698=SPECIAL_LBL)*(INC_SPECIALS="Y"))=0,"",'Dvd Calendar'!$AG$1696)))</f>
        <v/>
      </c>
      <c r="AF172" s="161">
        <f>IF(FH172="","",IF(ISNUMBER('Dvd Calendar'!$AH$1696)=FALSE,"",IF((('Dvd Calendar'!$AH$1698=TYPE1)*(TYPE1&lt;&gt;"")+('Dvd Calendar'!$AH$1698=TYPE2)*(TYPE2&lt;&gt;"")+('Dvd Calendar'!$AH$1698=TYPE3)*(TYPE3&lt;&gt;"")+('Dvd Calendar'!$AH$1698=TYPE4)*(TYPE4&lt;&gt;"")+('Dvd Calendar'!$AH$1698=SPECIAL_LBL)*(INC_SPECIALS="Y"))=0,"",'Dvd Calendar'!$AH$1696)))</f>
        <v/>
      </c>
      <c r="AG172" s="161">
        <f>IF(FI172="","",IF(ISNUMBER('Dvd Calendar'!$AI$1696)=FALSE,"",IF((('Dvd Calendar'!$AI$1698=TYPE1)*(TYPE1&lt;&gt;"")+('Dvd Calendar'!$AI$1698=TYPE2)*(TYPE2&lt;&gt;"")+('Dvd Calendar'!$AI$1698=TYPE3)*(TYPE3&lt;&gt;"")+('Dvd Calendar'!$AI$1698=TYPE4)*(TYPE4&lt;&gt;"")+('Dvd Calendar'!$AI$1698=SPECIAL_LBL)*(INC_SPECIALS="Y"))=0,"",'Dvd Calendar'!$AI$1696)))</f>
        <v/>
      </c>
      <c r="AH172" s="161">
        <f>IF(FJ172="","",IF(ISNUMBER('Dvd Calendar'!$AJ$1696)=FALSE,"",IF((('Dvd Calendar'!$AJ$1698=TYPE1)*(TYPE1&lt;&gt;"")+('Dvd Calendar'!$AJ$1698=TYPE2)*(TYPE2&lt;&gt;"")+('Dvd Calendar'!$AJ$1698=TYPE3)*(TYPE3&lt;&gt;"")+('Dvd Calendar'!$AJ$1698=TYPE4)*(TYPE4&lt;&gt;"")+('Dvd Calendar'!$AJ$1698=SPECIAL_LBL)*(INC_SPECIALS="Y"))=0,"",'Dvd Calendar'!$AJ$1696)))</f>
        <v/>
      </c>
      <c r="AI172" s="161">
        <f>IF(FK172="","",IF(ISNUMBER('Dvd Calendar'!$AK$1696)=FALSE,"",IF((('Dvd Calendar'!$AK$1698=TYPE1)*(TYPE1&lt;&gt;"")+('Dvd Calendar'!$AK$1698=TYPE2)*(TYPE2&lt;&gt;"")+('Dvd Calendar'!$AK$1698=TYPE3)*(TYPE3&lt;&gt;"")+('Dvd Calendar'!$AK$1698=TYPE4)*(TYPE4&lt;&gt;"")+('Dvd Calendar'!$AK$1698=SPECIAL_LBL)*(INC_SPECIALS="Y"))=0,"",'Dvd Calendar'!$AK$1696)))</f>
        <v/>
      </c>
      <c r="AJ172" s="161">
        <f>IF(FL172="","",IF(ISNUMBER('Dvd Calendar'!$AL$1696)=FALSE,"",IF((('Dvd Calendar'!$AL$1698=TYPE1)*(TYPE1&lt;&gt;"")+('Dvd Calendar'!$AL$1698=TYPE2)*(TYPE2&lt;&gt;"")+('Dvd Calendar'!$AL$1698=TYPE3)*(TYPE3&lt;&gt;"")+('Dvd Calendar'!$AL$1698=TYPE4)*(TYPE4&lt;&gt;"")+('Dvd Calendar'!$AL$1698=SPECIAL_LBL)*(INC_SPECIALS="Y"))=0,"",'Dvd Calendar'!$AL$1696)))</f>
        <v/>
      </c>
      <c r="AK172" s="161">
        <f>IF(FM172="","",IF(ISNUMBER('Dvd Calendar'!$AM$1696)=FALSE,"",IF((('Dvd Calendar'!$AM$1698=TYPE1)*(TYPE1&lt;&gt;"")+('Dvd Calendar'!$AM$1698=TYPE2)*(TYPE2&lt;&gt;"")+('Dvd Calendar'!$AM$1698=TYPE3)*(TYPE3&lt;&gt;"")+('Dvd Calendar'!$AM$1698=TYPE4)*(TYPE4&lt;&gt;"")+('Dvd Calendar'!$AM$1698=SPECIAL_LBL)*(INC_SPECIALS="Y"))=0,"",'Dvd Calendar'!$AM$1696)))</f>
        <v/>
      </c>
      <c r="AL172" s="161">
        <f>IF(FN172="","",IF(ISNUMBER('Dvd Calendar'!$AN$1696)=FALSE,"",IF((('Dvd Calendar'!$AN$1698=TYPE1)*(TYPE1&lt;&gt;"")+('Dvd Calendar'!$AN$1698=TYPE2)*(TYPE2&lt;&gt;"")+('Dvd Calendar'!$AN$1698=TYPE3)*(TYPE3&lt;&gt;"")+('Dvd Calendar'!$AN$1698=TYPE4)*(TYPE4&lt;&gt;"")+('Dvd Calendar'!$AN$1698=SPECIAL_LBL)*(INC_SPECIALS="Y"))=0,"",'Dvd Calendar'!$AN$1696)))</f>
        <v/>
      </c>
      <c r="AM172" s="161">
        <f>IF(FO172="","",IF(ISNUMBER('Dvd Calendar'!$AO$1696)=FALSE,"",IF((('Dvd Calendar'!$AO$1698=TYPE1)*(TYPE1&lt;&gt;"")+('Dvd Calendar'!$AO$1698=TYPE2)*(TYPE2&lt;&gt;"")+('Dvd Calendar'!$AO$1698=TYPE3)*(TYPE3&lt;&gt;"")+('Dvd Calendar'!$AO$1698=TYPE4)*(TYPE4&lt;&gt;"")+('Dvd Calendar'!$AO$1698=SPECIAL_LBL)*(INC_SPECIALS="Y"))=0,"",'Dvd Calendar'!$AO$1696)))</f>
        <v/>
      </c>
      <c r="AN172" s="161">
        <f>IF(FP172="","",IF(ISNUMBER('Dvd Calendar'!$AP$1696)=FALSE,"",IF((('Dvd Calendar'!$AP$1698=TYPE1)*(TYPE1&lt;&gt;"")+('Dvd Calendar'!$AP$1698=TYPE2)*(TYPE2&lt;&gt;"")+('Dvd Calendar'!$AP$1698=TYPE3)*(TYPE3&lt;&gt;"")+('Dvd Calendar'!$AP$1698=TYPE4)*(TYPE4&lt;&gt;"")+('Dvd Calendar'!$AP$1698=SPECIAL_LBL)*(INC_SPECIALS="Y"))=0,"",'Dvd Calendar'!$AP$1696)))</f>
        <v/>
      </c>
      <c r="AO172" s="161">
        <f>IF(FQ172="","",IF(ISNUMBER('Dvd Calendar'!$AQ$1696)=FALSE,"",IF((('Dvd Calendar'!$AQ$1698=TYPE1)*(TYPE1&lt;&gt;"")+('Dvd Calendar'!$AQ$1698=TYPE2)*(TYPE2&lt;&gt;"")+('Dvd Calendar'!$AQ$1698=TYPE3)*(TYPE3&lt;&gt;"")+('Dvd Calendar'!$AQ$1698=TYPE4)*(TYPE4&lt;&gt;"")+('Dvd Calendar'!$AQ$1698=SPECIAL_LBL)*(INC_SPECIALS="Y"))=0,"",'Dvd Calendar'!$AQ$1696)))</f>
        <v/>
      </c>
      <c r="AP172" s="161">
        <f>IF(FR172="","",IF(ISNUMBER('Dvd Calendar'!$AR$1696)=FALSE,"",IF((('Dvd Calendar'!$AR$1698=TYPE1)*(TYPE1&lt;&gt;"")+('Dvd Calendar'!$AR$1698=TYPE2)*(TYPE2&lt;&gt;"")+('Dvd Calendar'!$AR$1698=TYPE3)*(TYPE3&lt;&gt;"")+('Dvd Calendar'!$AR$1698=TYPE4)*(TYPE4&lt;&gt;"")+('Dvd Calendar'!$AR$1698=SPECIAL_LBL)*(INC_SPECIALS="Y"))=0,"",'Dvd Calendar'!$AR$1696)))</f>
        <v/>
      </c>
      <c r="AQ172" s="161">
        <f>IF(FS172="","",IF(ISNUMBER('Dvd Calendar'!$E$1701)=FALSE,"",'Dvd Calendar'!$E$1701))</f>
        <v/>
      </c>
      <c r="AR172" s="161">
        <f>IF(FT172="","",IF(ISNUMBER('Dvd Calendar'!$F$1701)=FALSE,"",'Dvd Calendar'!$F$1701))</f>
        <v/>
      </c>
      <c r="AS172" s="161">
        <f>IF(FU172="","",IF(ISNUMBER('Dvd Calendar'!$G$1701)=FALSE,"",'Dvd Calendar'!$G$1701))</f>
        <v/>
      </c>
      <c r="AT172" s="161">
        <f>IF(FV172="","",IF(ISNUMBER('Dvd Calendar'!$H$1701)=FALSE,"",'Dvd Calendar'!$H$1701))</f>
        <v/>
      </c>
      <c r="AU172" s="161">
        <f>IF(FW172="","",IF(ISNUMBER('Dvd Calendar'!$I$1701)=FALSE,"",'Dvd Calendar'!$I$1701))</f>
        <v/>
      </c>
      <c r="AV172" s="161">
        <f>IF(FX172="","",IF(ISNUMBER('Dvd Calendar'!$J$1701)=FALSE,"",'Dvd Calendar'!$J$1701))</f>
        <v/>
      </c>
      <c r="AW172" s="161">
        <f>IF(FY172="","",IF(ISNUMBER('Dvd Calendar'!$K$1701)=FALSE,"",'Dvd Calendar'!$K$1701))</f>
        <v/>
      </c>
      <c r="AX172" s="161">
        <f>IF(FZ172="","",IF(ISNUMBER('Dvd Calendar'!$L$1701)=FALSE,"",'Dvd Calendar'!$L$1701))</f>
        <v/>
      </c>
      <c r="AY172" s="161">
        <f>IF(GA172="","",IF(ISNUMBER('Dvd Calendar'!$M$1701)=FALSE,"",'Dvd Calendar'!$M$1701))</f>
        <v/>
      </c>
      <c r="AZ172" s="161">
        <f>IF(GB172="","",IF(ISNUMBER('Dvd Calendar'!$N$1701)=FALSE,"",'Dvd Calendar'!$N$1701))</f>
        <v/>
      </c>
      <c r="BA172" s="161">
        <f>IF(GC172="","",IF(ISNUMBER('Dvd Calendar'!$O$1701)=FALSE,"",'Dvd Calendar'!$O$1701))</f>
        <v/>
      </c>
      <c r="BB172" s="161">
        <f>IF(GD172="","",IF(ISNUMBER('Dvd Calendar'!$P$1701)=FALSE,"",'Dvd Calendar'!$P$1701))</f>
        <v/>
      </c>
      <c r="BC172" s="161">
        <f>IF(GE172="","",IF(ISNUMBER('Dvd Calendar'!$Q$1701)=FALSE,"",'Dvd Calendar'!$Q$1701))</f>
        <v/>
      </c>
      <c r="BD172" s="161">
        <f>IF(GF172="","",IF(ISNUMBER('Dvd Calendar'!$R$1701)=FALSE,"",'Dvd Calendar'!$R$1701))</f>
        <v/>
      </c>
      <c r="BE172" s="161">
        <f>IF(GG172="","",IF(ISNUMBER('Dvd Calendar'!$S$1701)=FALSE,"",'Dvd Calendar'!$S$1701))</f>
        <v/>
      </c>
      <c r="BF172" s="161">
        <f>IF(GH172="","",IF(ISNUMBER('Dvd Calendar'!$T$1701)=FALSE,"",'Dvd Calendar'!$T$1701))</f>
        <v/>
      </c>
      <c r="BG172" s="161">
        <f>IF(GI172="","",IF(ISNUMBER('Dvd Calendar'!$U$1701)=FALSE,"",'Dvd Calendar'!$U$1701))</f>
        <v/>
      </c>
      <c r="BH172" s="161">
        <f>IF(GJ172="","",IF(ISNUMBER('Dvd Calendar'!$V$1701)=FALSE,"",'Dvd Calendar'!$V$1701))</f>
        <v/>
      </c>
      <c r="BI172" s="161">
        <f>IF(GK172="","",IF(ISNUMBER('Dvd Calendar'!$W$1701)=FALSE,"",'Dvd Calendar'!$W$1701))</f>
        <v/>
      </c>
      <c r="BJ172" s="161">
        <f>IF(GL172="","",IF(ISNUMBER('Dvd Calendar'!$X$1701)=FALSE,"",'Dvd Calendar'!$X$1701))</f>
        <v/>
      </c>
      <c r="BK172" s="161">
        <f>IF(GM172="","",IF(ISNUMBER('Dvd Calendar'!$Y$1701)=FALSE,"",'Dvd Calendar'!$Y$1701))</f>
        <v/>
      </c>
      <c r="BL172" s="161">
        <f>IF(GN172="","",IF(ISNUMBER('Dvd Calendar'!$Z$1701)=FALSE,"",'Dvd Calendar'!$Z$1701))</f>
        <v/>
      </c>
      <c r="BM172" s="161">
        <f>IF(GO172="","",IF(ISNUMBER('Dvd Calendar'!$AA$1701)=FALSE,"",'Dvd Calendar'!$AA$1701))</f>
        <v/>
      </c>
      <c r="BN172" s="161">
        <f>IF(GP172="","",IF(ISNUMBER('Dvd Calendar'!$AB$1701)=FALSE,"",'Dvd Calendar'!$AB$1701))</f>
        <v/>
      </c>
      <c r="BO172" s="161">
        <f>IF(GQ172="","",IF(ISNUMBER('Dvd Calendar'!$AC$1701)=FALSE,"",'Dvd Calendar'!$AC$1701))</f>
        <v/>
      </c>
      <c r="BQ172" s="161">
        <f>IF(C172="","",IFERROR(C172*HSCEI!$B$19*HSCEI!$G$19/HSCEI!$B$3,""))</f>
        <v/>
      </c>
      <c r="BR172" s="161">
        <f>IF(D172="","",IFERROR(D172*HSCEI!$B$19*HSCEI!$G$19/HSCEI!$B$3,""))</f>
        <v/>
      </c>
      <c r="BS172" s="161">
        <f>IF(E172="","",IFERROR(E172*HSCEI!$B$19*HSCEI!$G$19/HSCEI!$B$3,""))</f>
        <v/>
      </c>
      <c r="BT172" s="161">
        <f>IF(F172="","",IFERROR(F172*HSCEI!$B$19*HSCEI!$G$19/HSCEI!$B$3,""))</f>
        <v/>
      </c>
      <c r="BU172" s="161">
        <f>IF(G172="","",IFERROR(G172*HSCEI!$B$19*HSCEI!$G$19/HSCEI!$B$3,""))</f>
        <v/>
      </c>
      <c r="BV172" s="161">
        <f>IF(H172="","",IFERROR(H172*HSCEI!$B$19*HSCEI!$G$19/HSCEI!$B$3,""))</f>
        <v/>
      </c>
      <c r="BW172" s="161">
        <f>IF(I172="","",IFERROR(I172*HSCEI!$B$19*HSCEI!$G$19/HSCEI!$B$3,""))</f>
        <v/>
      </c>
      <c r="BX172" s="161">
        <f>IF(J172="","",IFERROR(J172*HSCEI!$B$19*HSCEI!$G$19/HSCEI!$B$3,""))</f>
        <v/>
      </c>
      <c r="BY172" s="161">
        <f>IF(K172="","",IFERROR(K172*HSCEI!$B$19*HSCEI!$G$19/HSCEI!$B$3,""))</f>
        <v/>
      </c>
      <c r="BZ172" s="161">
        <f>IF(L172="","",IFERROR(L172*HSCEI!$B$19*HSCEI!$G$19/HSCEI!$B$3,""))</f>
        <v/>
      </c>
      <c r="CA172" s="161">
        <f>IF(M172="","",IFERROR(M172*HSCEI!$B$19*HSCEI!$G$19/HSCEI!$B$3,""))</f>
        <v/>
      </c>
      <c r="CB172" s="161">
        <f>IF(N172="","",IFERROR(N172*HSCEI!$B$19*HSCEI!$G$19/HSCEI!$B$3,""))</f>
        <v/>
      </c>
      <c r="CC172" s="161">
        <f>IF(O172="","",IFERROR(O172*HSCEI!$B$19*HSCEI!$G$19/HSCEI!$B$3,""))</f>
        <v/>
      </c>
      <c r="CD172" s="161">
        <f>IF(P172="","",IFERROR(P172*HSCEI!$B$19*HSCEI!$G$19/HSCEI!$B$3,""))</f>
        <v/>
      </c>
      <c r="CE172" s="161">
        <f>IF(Q172="","",IFERROR(Q172*HSCEI!$B$19*HSCEI!$G$19/HSCEI!$B$3,""))</f>
        <v/>
      </c>
      <c r="CF172" s="161">
        <f>IF(R172="","",IFERROR(R172*HSCEI!$B$19*HSCEI!$G$19/HSCEI!$B$3,""))</f>
        <v/>
      </c>
      <c r="CG172" s="161">
        <f>IF(S172="","",IFERROR(S172*HSCEI!$B$19*HSCEI!$G$19/HSCEI!$B$3,""))</f>
        <v/>
      </c>
      <c r="CH172" s="161">
        <f>IF(T172="","",IFERROR(T172*HSCEI!$B$19*HSCEI!$G$19/HSCEI!$B$3,""))</f>
        <v/>
      </c>
      <c r="CI172" s="161">
        <f>IF(U172="","",IFERROR(U172*HSCEI!$B$19*HSCEI!$G$19/HSCEI!$B$3,""))</f>
        <v/>
      </c>
      <c r="CJ172" s="161">
        <f>IF(V172="","",IFERROR(V172*HSCEI!$B$19*HSCEI!$G$19/HSCEI!$B$3,""))</f>
        <v/>
      </c>
      <c r="CK172" s="161">
        <f>IF(W172="","",IFERROR(W172*HSCEI!$B$19*HSCEI!$G$19/HSCEI!$B$3,""))</f>
        <v/>
      </c>
      <c r="CL172" s="161">
        <f>IF(X172="","",IFERROR(X172*HSCEI!$B$19*HSCEI!$G$19/HSCEI!$B$3,""))</f>
        <v/>
      </c>
      <c r="CM172" s="161">
        <f>IF(Y172="","",IFERROR(Y172*HSCEI!$B$19*HSCEI!$G$19/HSCEI!$B$3,""))</f>
        <v/>
      </c>
      <c r="CN172" s="161">
        <f>IF(Z172="","",IFERROR(Z172*HSCEI!$B$19*HSCEI!$G$19/HSCEI!$B$3,""))</f>
        <v/>
      </c>
      <c r="CO172" s="161">
        <f>IF(AA172="","",IFERROR(AA172*HSCEI!$B$19*HSCEI!$G$19/HSCEI!$B$3,""))</f>
        <v/>
      </c>
      <c r="CP172" s="161">
        <f>IF(AB172="","",IFERROR(AB172*HSCEI!$B$19*HSCEI!$G$19/HSCEI!$B$3,""))</f>
        <v/>
      </c>
      <c r="CQ172" s="161">
        <f>IF(AC172="","",IFERROR(AC172*HSCEI!$B$19*HSCEI!$G$19/HSCEI!$B$3,""))</f>
        <v/>
      </c>
      <c r="CR172" s="161">
        <f>IF(AD172="","",IFERROR(AD172*HSCEI!$B$19*HSCEI!$G$19/HSCEI!$B$3,""))</f>
        <v/>
      </c>
      <c r="CS172" s="161">
        <f>IF(AE172="","",IFERROR(AE172*HSCEI!$B$19*HSCEI!$G$19/HSCEI!$B$3,""))</f>
        <v/>
      </c>
      <c r="CT172" s="161">
        <f>IF(AF172="","",IFERROR(AF172*HSCEI!$B$19*HSCEI!$G$19/HSCEI!$B$3,""))</f>
        <v/>
      </c>
      <c r="CU172" s="161">
        <f>IF(AG172="","",IFERROR(AG172*HSCEI!$B$19*HSCEI!$G$19/HSCEI!$B$3,""))</f>
        <v/>
      </c>
      <c r="CV172" s="161">
        <f>IF(AH172="","",IFERROR(AH172*HSCEI!$B$19*HSCEI!$G$19/HSCEI!$B$3,""))</f>
        <v/>
      </c>
      <c r="CW172" s="161">
        <f>IF(AI172="","",IFERROR(AI172*HSCEI!$B$19*HSCEI!$G$19/HSCEI!$B$3,""))</f>
        <v/>
      </c>
      <c r="CX172" s="161">
        <f>IF(AJ172="","",IFERROR(AJ172*HSCEI!$B$19*HSCEI!$G$19/HSCEI!$B$3,""))</f>
        <v/>
      </c>
      <c r="CY172" s="161">
        <f>IF(AK172="","",IFERROR(AK172*HSCEI!$B$19*HSCEI!$G$19/HSCEI!$B$3,""))</f>
        <v/>
      </c>
      <c r="CZ172" s="161">
        <f>IF(AL172="","",IFERROR(AL172*HSCEI!$B$19*HSCEI!$G$19/HSCEI!$B$3,""))</f>
        <v/>
      </c>
      <c r="DA172" s="161">
        <f>IF(AM172="","",IFERROR(AM172*HSCEI!$B$19*HSCEI!$G$19/HSCEI!$B$3,""))</f>
        <v/>
      </c>
      <c r="DB172" s="161">
        <f>IF(AN172="","",IFERROR(AN172*HSCEI!$B$19*HSCEI!$G$19/HSCEI!$B$3,""))</f>
        <v/>
      </c>
      <c r="DC172" s="161">
        <f>IF(AO172="","",IFERROR(AO172*HSCEI!$B$19*HSCEI!$G$19/HSCEI!$B$3,""))</f>
        <v/>
      </c>
      <c r="DD172" s="161">
        <f>IF(AP172="","",IFERROR(AP172*HSCEI!$B$19*HSCEI!$G$19/HSCEI!$B$3,""))</f>
        <v/>
      </c>
      <c r="DE172" s="161">
        <f>IF(AQ172="","",IFERROR(AQ172*HSCEI!$B$19*HSCEI!$G$19/HSCEI!$B$3,""))</f>
        <v/>
      </c>
      <c r="DF172" s="161">
        <f>IF(AR172="","",IFERROR(AR172*HSCEI!$B$19*HSCEI!$G$19/HSCEI!$B$3,""))</f>
        <v/>
      </c>
      <c r="DG172" s="161">
        <f>IF(AS172="","",IFERROR(AS172*HSCEI!$B$19*HSCEI!$G$19/HSCEI!$B$3,""))</f>
        <v/>
      </c>
      <c r="DH172" s="161">
        <f>IF(AT172="","",IFERROR(AT172*HSCEI!$B$19*HSCEI!$G$19/HSCEI!$B$3,""))</f>
        <v/>
      </c>
      <c r="DI172" s="161">
        <f>IF(AU172="","",IFERROR(AU172*HSCEI!$B$19*HSCEI!$G$19/HSCEI!$B$3,""))</f>
        <v/>
      </c>
      <c r="DJ172" s="161">
        <f>IF(AV172="","",IFERROR(AV172*HSCEI!$B$19*HSCEI!$G$19/HSCEI!$B$3,""))</f>
        <v/>
      </c>
      <c r="DK172" s="161">
        <f>IF(AW172="","",IFERROR(AW172*HSCEI!$B$19*HSCEI!$G$19/HSCEI!$B$3,""))</f>
        <v/>
      </c>
      <c r="DL172" s="161">
        <f>IF(AX172="","",IFERROR(AX172*HSCEI!$B$19*HSCEI!$G$19/HSCEI!$B$3,""))</f>
        <v/>
      </c>
      <c r="DM172" s="161">
        <f>IF(AY172="","",IFERROR(AY172*HSCEI!$B$19*HSCEI!$G$19/HSCEI!$B$3,""))</f>
        <v/>
      </c>
      <c r="DN172" s="161">
        <f>IF(AZ172="","",IFERROR(AZ172*HSCEI!$B$19*HSCEI!$G$19/HSCEI!$B$3,""))</f>
        <v/>
      </c>
      <c r="DO172" s="161">
        <f>IF(BA172="","",IFERROR(BA172*HSCEI!$B$19*HSCEI!$G$19/HSCEI!$B$3,""))</f>
        <v/>
      </c>
      <c r="DP172" s="161">
        <f>IF(BB172="","",IFERROR(BB172*HSCEI!$B$19*HSCEI!$G$19/HSCEI!$B$3,""))</f>
        <v/>
      </c>
      <c r="DQ172" s="161">
        <f>IF(BC172="","",IFERROR(BC172*HSCEI!$B$19*HSCEI!$G$19/HSCEI!$B$3,""))</f>
        <v/>
      </c>
      <c r="DR172" s="161">
        <f>IF(BD172="","",IFERROR(BD172*HSCEI!$B$19*HSCEI!$G$19/HSCEI!$B$3,""))</f>
        <v/>
      </c>
      <c r="DS172" s="161">
        <f>IF(BE172="","",IFERROR(BE172*HSCEI!$B$19*HSCEI!$G$19/HSCEI!$B$3,""))</f>
        <v/>
      </c>
      <c r="DT172" s="161">
        <f>IF(BF172="","",IFERROR(BF172*HSCEI!$B$19*HSCEI!$G$19/HSCEI!$B$3,""))</f>
        <v/>
      </c>
      <c r="DU172" s="161">
        <f>IF(BG172="","",IFERROR(BG172*HSCEI!$B$19*HSCEI!$G$19/HSCEI!$B$3,""))</f>
        <v/>
      </c>
      <c r="DV172" s="161">
        <f>IF(BH172="","",IFERROR(BH172*HSCEI!$B$19*HSCEI!$G$19/HSCEI!$B$3,""))</f>
        <v/>
      </c>
      <c r="DW172" s="161">
        <f>IF(BI172="","",IFERROR(BI172*HSCEI!$B$19*HSCEI!$G$19/HSCEI!$B$3,""))</f>
        <v/>
      </c>
      <c r="DX172" s="161">
        <f>IF(BJ172="","",IFERROR(BJ172*HSCEI!$B$19*HSCEI!$G$19/HSCEI!$B$3,""))</f>
        <v/>
      </c>
      <c r="DY172" s="161">
        <f>IF(BK172="","",IFERROR(BK172*HSCEI!$B$19*HSCEI!$G$19/HSCEI!$B$3,""))</f>
        <v/>
      </c>
      <c r="DZ172" s="161">
        <f>IF(BL172="","",IFERROR(BL172*HSCEI!$B$19*HSCEI!$G$19/HSCEI!$B$3,""))</f>
        <v/>
      </c>
      <c r="EA172" s="161">
        <f>IF(BM172="","",IFERROR(BM172*HSCEI!$B$19*HSCEI!$G$19/HSCEI!$B$3,""))</f>
        <v/>
      </c>
      <c r="EB172" s="161">
        <f>IF(BN172="","",IFERROR(BN172*HSCEI!$B$19*HSCEI!$G$19/HSCEI!$B$3,""))</f>
        <v/>
      </c>
      <c r="EC172" s="161">
        <f>IF(BO172="","",IFERROR(BO172*HSCEI!$B$19*HSCEI!$G$19/HSCEI!$B$3,""))</f>
        <v/>
      </c>
      <c r="EE172" s="121">
        <f>IF(N('Dvd Calendar'!$E$1693)=0,"",IF(('Dvd Calendar'!$E$1693&gt;=GRID_FROM)*('Dvd Calendar'!$E$1693&lt;=GRID_TO)*((('Dvd Calendar'!$E$1693&lt;=VAL_DATE)+(COUNTIF('Dvd Calendar'!$E$1700:$AR$1700,'Dvd Calendar'!$E$1693)=0))&gt;0)=0,"",'Dvd Calendar'!$E$1693*1000000000+ISNUMBER('Dvd Calendar'!$E$1696)*100000000+('Dvd Calendar'!$E$1698=SPECIAL_LBL)*10000000+(N('Dvd Calendar'!$E$1692)&gt;0)*(N('Dvd Calendar'!$E$1692)&lt;=VAL_SERIAL)*1000000+13*1000+1))</f>
        <v/>
      </c>
      <c r="EF172" s="121">
        <f>IF(N('Dvd Calendar'!$F$1693)=0,"",IF(('Dvd Calendar'!$F$1693&gt;=GRID_FROM)*('Dvd Calendar'!$F$1693&lt;=GRID_TO)*((('Dvd Calendar'!$F$1693&lt;=VAL_DATE)+(COUNTIF('Dvd Calendar'!$E$1700:$AR$1700,'Dvd Calendar'!$F$1693)=0))&gt;0)=0,"",'Dvd Calendar'!$F$1693*1000000000+ISNUMBER('Dvd Calendar'!$F$1696)*100000000+('Dvd Calendar'!$F$1698=SPECIAL_LBL)*10000000+(N('Dvd Calendar'!$F$1692)&gt;0)*(N('Dvd Calendar'!$F$1692)&lt;=VAL_SERIAL)*1000000+13*1000+2))</f>
        <v/>
      </c>
      <c r="EG172" s="121">
        <f>IF(N('Dvd Calendar'!$G$1693)=0,"",IF(('Dvd Calendar'!$G$1693&gt;=GRID_FROM)*('Dvd Calendar'!$G$1693&lt;=GRID_TO)*((('Dvd Calendar'!$G$1693&lt;=VAL_DATE)+(COUNTIF('Dvd Calendar'!$E$1700:$AR$1700,'Dvd Calendar'!$G$1693)=0))&gt;0)=0,"",'Dvd Calendar'!$G$1693*1000000000+ISNUMBER('Dvd Calendar'!$G$1696)*100000000+('Dvd Calendar'!$G$1698=SPECIAL_LBL)*10000000+(N('Dvd Calendar'!$G$1692)&gt;0)*(N('Dvd Calendar'!$G$1692)&lt;=VAL_SERIAL)*1000000+13*1000+3))</f>
        <v/>
      </c>
      <c r="EH172" s="121">
        <f>IF(N('Dvd Calendar'!$H$1693)=0,"",IF(('Dvd Calendar'!$H$1693&gt;=GRID_FROM)*('Dvd Calendar'!$H$1693&lt;=GRID_TO)*((('Dvd Calendar'!$H$1693&lt;=VAL_DATE)+(COUNTIF('Dvd Calendar'!$E$1700:$AR$1700,'Dvd Calendar'!$H$1693)=0))&gt;0)=0,"",'Dvd Calendar'!$H$1693*1000000000+ISNUMBER('Dvd Calendar'!$H$1696)*100000000+('Dvd Calendar'!$H$1698=SPECIAL_LBL)*10000000+(N('Dvd Calendar'!$H$1692)&gt;0)*(N('Dvd Calendar'!$H$1692)&lt;=VAL_SERIAL)*1000000+13*1000+4))</f>
        <v/>
      </c>
      <c r="EI172" s="121">
        <f>IF(N('Dvd Calendar'!$I$1693)=0,"",IF(('Dvd Calendar'!$I$1693&gt;=GRID_FROM)*('Dvd Calendar'!$I$1693&lt;=GRID_TO)*((('Dvd Calendar'!$I$1693&lt;=VAL_DATE)+(COUNTIF('Dvd Calendar'!$E$1700:$AR$1700,'Dvd Calendar'!$I$1693)=0))&gt;0)=0,"",'Dvd Calendar'!$I$1693*1000000000+ISNUMBER('Dvd Calendar'!$I$1696)*100000000+('Dvd Calendar'!$I$1698=SPECIAL_LBL)*10000000+(N('Dvd Calendar'!$I$1692)&gt;0)*(N('Dvd Calendar'!$I$1692)&lt;=VAL_SERIAL)*1000000+13*1000+5))</f>
        <v/>
      </c>
      <c r="EJ172" s="121">
        <f>IF(N('Dvd Calendar'!$J$1693)=0,"",IF(('Dvd Calendar'!$J$1693&gt;=GRID_FROM)*('Dvd Calendar'!$J$1693&lt;=GRID_TO)*((('Dvd Calendar'!$J$1693&lt;=VAL_DATE)+(COUNTIF('Dvd Calendar'!$E$1700:$AR$1700,'Dvd Calendar'!$J$1693)=0))&gt;0)=0,"",'Dvd Calendar'!$J$1693*1000000000+ISNUMBER('Dvd Calendar'!$J$1696)*100000000+('Dvd Calendar'!$J$1698=SPECIAL_LBL)*10000000+(N('Dvd Calendar'!$J$1692)&gt;0)*(N('Dvd Calendar'!$J$1692)&lt;=VAL_SERIAL)*1000000+13*1000+6))</f>
        <v/>
      </c>
      <c r="EK172" s="121">
        <f>IF(N('Dvd Calendar'!$K$1693)=0,"",IF(('Dvd Calendar'!$K$1693&gt;=GRID_FROM)*('Dvd Calendar'!$K$1693&lt;=GRID_TO)*((('Dvd Calendar'!$K$1693&lt;=VAL_DATE)+(COUNTIF('Dvd Calendar'!$E$1700:$AR$1700,'Dvd Calendar'!$K$1693)=0))&gt;0)=0,"",'Dvd Calendar'!$K$1693*1000000000+ISNUMBER('Dvd Calendar'!$K$1696)*100000000+('Dvd Calendar'!$K$1698=SPECIAL_LBL)*10000000+(N('Dvd Calendar'!$K$1692)&gt;0)*(N('Dvd Calendar'!$K$1692)&lt;=VAL_SERIAL)*1000000+13*1000+7))</f>
        <v/>
      </c>
      <c r="EL172" s="121">
        <f>IF(N('Dvd Calendar'!$L$1693)=0,"",IF(('Dvd Calendar'!$L$1693&gt;=GRID_FROM)*('Dvd Calendar'!$L$1693&lt;=GRID_TO)*((('Dvd Calendar'!$L$1693&lt;=VAL_DATE)+(COUNTIF('Dvd Calendar'!$E$1700:$AR$1700,'Dvd Calendar'!$L$1693)=0))&gt;0)=0,"",'Dvd Calendar'!$L$1693*1000000000+ISNUMBER('Dvd Calendar'!$L$1696)*100000000+('Dvd Calendar'!$L$1698=SPECIAL_LBL)*10000000+(N('Dvd Calendar'!$L$1692)&gt;0)*(N('Dvd Calendar'!$L$1692)&lt;=VAL_SERIAL)*1000000+13*1000+8))</f>
        <v/>
      </c>
      <c r="EM172" s="121">
        <f>IF(N('Dvd Calendar'!$M$1693)=0,"",IF(('Dvd Calendar'!$M$1693&gt;=GRID_FROM)*('Dvd Calendar'!$M$1693&lt;=GRID_TO)*((('Dvd Calendar'!$M$1693&lt;=VAL_DATE)+(COUNTIF('Dvd Calendar'!$E$1700:$AR$1700,'Dvd Calendar'!$M$1693)=0))&gt;0)=0,"",'Dvd Calendar'!$M$1693*1000000000+ISNUMBER('Dvd Calendar'!$M$1696)*100000000+('Dvd Calendar'!$M$1698=SPECIAL_LBL)*10000000+(N('Dvd Calendar'!$M$1692)&gt;0)*(N('Dvd Calendar'!$M$1692)&lt;=VAL_SERIAL)*1000000+13*1000+9))</f>
        <v/>
      </c>
      <c r="EN172" s="121">
        <f>IF(N('Dvd Calendar'!$N$1693)=0,"",IF(('Dvd Calendar'!$N$1693&gt;=GRID_FROM)*('Dvd Calendar'!$N$1693&lt;=GRID_TO)*((('Dvd Calendar'!$N$1693&lt;=VAL_DATE)+(COUNTIF('Dvd Calendar'!$E$1700:$AR$1700,'Dvd Calendar'!$N$1693)=0))&gt;0)=0,"",'Dvd Calendar'!$N$1693*1000000000+ISNUMBER('Dvd Calendar'!$N$1696)*100000000+('Dvd Calendar'!$N$1698=SPECIAL_LBL)*10000000+(N('Dvd Calendar'!$N$1692)&gt;0)*(N('Dvd Calendar'!$N$1692)&lt;=VAL_SERIAL)*1000000+13*1000+10))</f>
        <v/>
      </c>
      <c r="EO172" s="121">
        <f>IF(N('Dvd Calendar'!$O$1693)=0,"",IF(('Dvd Calendar'!$O$1693&gt;=GRID_FROM)*('Dvd Calendar'!$O$1693&lt;=GRID_TO)*((('Dvd Calendar'!$O$1693&lt;=VAL_DATE)+(COUNTIF('Dvd Calendar'!$E$1700:$AR$1700,'Dvd Calendar'!$O$1693)=0))&gt;0)=0,"",'Dvd Calendar'!$O$1693*1000000000+ISNUMBER('Dvd Calendar'!$O$1696)*100000000+('Dvd Calendar'!$O$1698=SPECIAL_LBL)*10000000+(N('Dvd Calendar'!$O$1692)&gt;0)*(N('Dvd Calendar'!$O$1692)&lt;=VAL_SERIAL)*1000000+13*1000+11))</f>
        <v/>
      </c>
      <c r="EP172" s="121">
        <f>IF(N('Dvd Calendar'!$P$1693)=0,"",IF(('Dvd Calendar'!$P$1693&gt;=GRID_FROM)*('Dvd Calendar'!$P$1693&lt;=GRID_TO)*((('Dvd Calendar'!$P$1693&lt;=VAL_DATE)+(COUNTIF('Dvd Calendar'!$E$1700:$AR$1700,'Dvd Calendar'!$P$1693)=0))&gt;0)=0,"",'Dvd Calendar'!$P$1693*1000000000+ISNUMBER('Dvd Calendar'!$P$1696)*100000000+('Dvd Calendar'!$P$1698=SPECIAL_LBL)*10000000+(N('Dvd Calendar'!$P$1692)&gt;0)*(N('Dvd Calendar'!$P$1692)&lt;=VAL_SERIAL)*1000000+13*1000+12))</f>
        <v/>
      </c>
      <c r="EQ172" s="121">
        <f>IF(N('Dvd Calendar'!$Q$1693)=0,"",IF(('Dvd Calendar'!$Q$1693&gt;=GRID_FROM)*('Dvd Calendar'!$Q$1693&lt;=GRID_TO)*((('Dvd Calendar'!$Q$1693&lt;=VAL_DATE)+(COUNTIF('Dvd Calendar'!$E$1700:$AR$1700,'Dvd Calendar'!$Q$1693)=0))&gt;0)=0,"",'Dvd Calendar'!$Q$1693*1000000000+ISNUMBER('Dvd Calendar'!$Q$1696)*100000000+('Dvd Calendar'!$Q$1698=SPECIAL_LBL)*10000000+(N('Dvd Calendar'!$Q$1692)&gt;0)*(N('Dvd Calendar'!$Q$1692)&lt;=VAL_SERIAL)*1000000+13*1000+13))</f>
        <v/>
      </c>
      <c r="ER172" s="121">
        <f>IF(N('Dvd Calendar'!$R$1693)=0,"",IF(('Dvd Calendar'!$R$1693&gt;=GRID_FROM)*('Dvd Calendar'!$R$1693&lt;=GRID_TO)*((('Dvd Calendar'!$R$1693&lt;=VAL_DATE)+(COUNTIF('Dvd Calendar'!$E$1700:$AR$1700,'Dvd Calendar'!$R$1693)=0))&gt;0)=0,"",'Dvd Calendar'!$R$1693*1000000000+ISNUMBER('Dvd Calendar'!$R$1696)*100000000+('Dvd Calendar'!$R$1698=SPECIAL_LBL)*10000000+(N('Dvd Calendar'!$R$1692)&gt;0)*(N('Dvd Calendar'!$R$1692)&lt;=VAL_SERIAL)*1000000+13*1000+14))</f>
        <v/>
      </c>
      <c r="ES172" s="121">
        <f>IF(N('Dvd Calendar'!$S$1693)=0,"",IF(('Dvd Calendar'!$S$1693&gt;=GRID_FROM)*('Dvd Calendar'!$S$1693&lt;=GRID_TO)*((('Dvd Calendar'!$S$1693&lt;=VAL_DATE)+(COUNTIF('Dvd Calendar'!$E$1700:$AR$1700,'Dvd Calendar'!$S$1693)=0))&gt;0)=0,"",'Dvd Calendar'!$S$1693*1000000000+ISNUMBER('Dvd Calendar'!$S$1696)*100000000+('Dvd Calendar'!$S$1698=SPECIAL_LBL)*10000000+(N('Dvd Calendar'!$S$1692)&gt;0)*(N('Dvd Calendar'!$S$1692)&lt;=VAL_SERIAL)*1000000+13*1000+15))</f>
        <v/>
      </c>
      <c r="ET172" s="121">
        <f>IF(N('Dvd Calendar'!$T$1693)=0,"",IF(('Dvd Calendar'!$T$1693&gt;=GRID_FROM)*('Dvd Calendar'!$T$1693&lt;=GRID_TO)*((('Dvd Calendar'!$T$1693&lt;=VAL_DATE)+(COUNTIF('Dvd Calendar'!$E$1700:$AR$1700,'Dvd Calendar'!$T$1693)=0))&gt;0)=0,"",'Dvd Calendar'!$T$1693*1000000000+ISNUMBER('Dvd Calendar'!$T$1696)*100000000+('Dvd Calendar'!$T$1698=SPECIAL_LBL)*10000000+(N('Dvd Calendar'!$T$1692)&gt;0)*(N('Dvd Calendar'!$T$1692)&lt;=VAL_SERIAL)*1000000+13*1000+16))</f>
        <v/>
      </c>
      <c r="EU172" s="121">
        <f>IF(N('Dvd Calendar'!$U$1693)=0,"",IF(('Dvd Calendar'!$U$1693&gt;=GRID_FROM)*('Dvd Calendar'!$U$1693&lt;=GRID_TO)*((('Dvd Calendar'!$U$1693&lt;=VAL_DATE)+(COUNTIF('Dvd Calendar'!$E$1700:$AR$1700,'Dvd Calendar'!$U$1693)=0))&gt;0)=0,"",'Dvd Calendar'!$U$1693*1000000000+ISNUMBER('Dvd Calendar'!$U$1696)*100000000+('Dvd Calendar'!$U$1698=SPECIAL_LBL)*10000000+(N('Dvd Calendar'!$U$1692)&gt;0)*(N('Dvd Calendar'!$U$1692)&lt;=VAL_SERIAL)*1000000+13*1000+17))</f>
        <v/>
      </c>
      <c r="EV172" s="121">
        <f>IF(N('Dvd Calendar'!$V$1693)=0,"",IF(('Dvd Calendar'!$V$1693&gt;=GRID_FROM)*('Dvd Calendar'!$V$1693&lt;=GRID_TO)*((('Dvd Calendar'!$V$1693&lt;=VAL_DATE)+(COUNTIF('Dvd Calendar'!$E$1700:$AR$1700,'Dvd Calendar'!$V$1693)=0))&gt;0)=0,"",'Dvd Calendar'!$V$1693*1000000000+ISNUMBER('Dvd Calendar'!$V$1696)*100000000+('Dvd Calendar'!$V$1698=SPECIAL_LBL)*10000000+(N('Dvd Calendar'!$V$1692)&gt;0)*(N('Dvd Calendar'!$V$1692)&lt;=VAL_SERIAL)*1000000+13*1000+18))</f>
        <v/>
      </c>
      <c r="EW172" s="121">
        <f>IF(N('Dvd Calendar'!$W$1693)=0,"",IF(('Dvd Calendar'!$W$1693&gt;=GRID_FROM)*('Dvd Calendar'!$W$1693&lt;=GRID_TO)*((('Dvd Calendar'!$W$1693&lt;=VAL_DATE)+(COUNTIF('Dvd Calendar'!$E$1700:$AR$1700,'Dvd Calendar'!$W$1693)=0))&gt;0)=0,"",'Dvd Calendar'!$W$1693*1000000000+ISNUMBER('Dvd Calendar'!$W$1696)*100000000+('Dvd Calendar'!$W$1698=SPECIAL_LBL)*10000000+(N('Dvd Calendar'!$W$1692)&gt;0)*(N('Dvd Calendar'!$W$1692)&lt;=VAL_SERIAL)*1000000+13*1000+19))</f>
        <v/>
      </c>
      <c r="EX172" s="121">
        <f>IF(N('Dvd Calendar'!$X$1693)=0,"",IF(('Dvd Calendar'!$X$1693&gt;=GRID_FROM)*('Dvd Calendar'!$X$1693&lt;=GRID_TO)*((('Dvd Calendar'!$X$1693&lt;=VAL_DATE)+(COUNTIF('Dvd Calendar'!$E$1700:$AR$1700,'Dvd Calendar'!$X$1693)=0))&gt;0)=0,"",'Dvd Calendar'!$X$1693*1000000000+ISNUMBER('Dvd Calendar'!$X$1696)*100000000+('Dvd Calendar'!$X$1698=SPECIAL_LBL)*10000000+(N('Dvd Calendar'!$X$1692)&gt;0)*(N('Dvd Calendar'!$X$1692)&lt;=VAL_SERIAL)*1000000+13*1000+20))</f>
        <v/>
      </c>
      <c r="EY172" s="121">
        <f>IF(N('Dvd Calendar'!$Y$1693)=0,"",IF(('Dvd Calendar'!$Y$1693&gt;=GRID_FROM)*('Dvd Calendar'!$Y$1693&lt;=GRID_TO)*((('Dvd Calendar'!$Y$1693&lt;=VAL_DATE)+(COUNTIF('Dvd Calendar'!$E$1700:$AR$1700,'Dvd Calendar'!$Y$1693)=0))&gt;0)=0,"",'Dvd Calendar'!$Y$1693*1000000000+ISNUMBER('Dvd Calendar'!$Y$1696)*100000000+('Dvd Calendar'!$Y$1698=SPECIAL_LBL)*10000000+(N('Dvd Calendar'!$Y$1692)&gt;0)*(N('Dvd Calendar'!$Y$1692)&lt;=VAL_SERIAL)*1000000+13*1000+21))</f>
        <v/>
      </c>
      <c r="EZ172" s="121">
        <f>IF(N('Dvd Calendar'!$Z$1693)=0,"",IF(('Dvd Calendar'!$Z$1693&gt;=GRID_FROM)*('Dvd Calendar'!$Z$1693&lt;=GRID_TO)*((('Dvd Calendar'!$Z$1693&lt;=VAL_DATE)+(COUNTIF('Dvd Calendar'!$E$1700:$AR$1700,'Dvd Calendar'!$Z$1693)=0))&gt;0)=0,"",'Dvd Calendar'!$Z$1693*1000000000+ISNUMBER('Dvd Calendar'!$Z$1696)*100000000+('Dvd Calendar'!$Z$1698=SPECIAL_LBL)*10000000+(N('Dvd Calendar'!$Z$1692)&gt;0)*(N('Dvd Calendar'!$Z$1692)&lt;=VAL_SERIAL)*1000000+13*1000+22))</f>
        <v/>
      </c>
      <c r="FA172" s="121">
        <f>IF(N('Dvd Calendar'!$AA$1693)=0,"",IF(('Dvd Calendar'!$AA$1693&gt;=GRID_FROM)*('Dvd Calendar'!$AA$1693&lt;=GRID_TO)*((('Dvd Calendar'!$AA$1693&lt;=VAL_DATE)+(COUNTIF('Dvd Calendar'!$E$1700:$AR$1700,'Dvd Calendar'!$AA$1693)=0))&gt;0)=0,"",'Dvd Calendar'!$AA$1693*1000000000+ISNUMBER('Dvd Calendar'!$AA$1696)*100000000+('Dvd Calendar'!$AA$1698=SPECIAL_LBL)*10000000+(N('Dvd Calendar'!$AA$1692)&gt;0)*(N('Dvd Calendar'!$AA$1692)&lt;=VAL_SERIAL)*1000000+13*1000+23))</f>
        <v/>
      </c>
      <c r="FB172" s="121">
        <f>IF(N('Dvd Calendar'!$AB$1693)=0,"",IF(('Dvd Calendar'!$AB$1693&gt;=GRID_FROM)*('Dvd Calendar'!$AB$1693&lt;=GRID_TO)*((('Dvd Calendar'!$AB$1693&lt;=VAL_DATE)+(COUNTIF('Dvd Calendar'!$E$1700:$AR$1700,'Dvd Calendar'!$AB$1693)=0))&gt;0)=0,"",'Dvd Calendar'!$AB$1693*1000000000+ISNUMBER('Dvd Calendar'!$AB$1696)*100000000+('Dvd Calendar'!$AB$1698=SPECIAL_LBL)*10000000+(N('Dvd Calendar'!$AB$1692)&gt;0)*(N('Dvd Calendar'!$AB$1692)&lt;=VAL_SERIAL)*1000000+13*1000+24))</f>
        <v/>
      </c>
      <c r="FC172" s="121">
        <f>IF(N('Dvd Calendar'!$AC$1693)=0,"",IF(('Dvd Calendar'!$AC$1693&gt;=GRID_FROM)*('Dvd Calendar'!$AC$1693&lt;=GRID_TO)*((('Dvd Calendar'!$AC$1693&lt;=VAL_DATE)+(COUNTIF('Dvd Calendar'!$E$1700:$AR$1700,'Dvd Calendar'!$AC$1693)=0))&gt;0)=0,"",'Dvd Calendar'!$AC$1693*1000000000+ISNUMBER('Dvd Calendar'!$AC$1696)*100000000+('Dvd Calendar'!$AC$1698=SPECIAL_LBL)*10000000+(N('Dvd Calendar'!$AC$1692)&gt;0)*(N('Dvd Calendar'!$AC$1692)&lt;=VAL_SERIAL)*1000000+13*1000+25))</f>
        <v/>
      </c>
      <c r="FD172" s="121">
        <f>IF(N('Dvd Calendar'!$AD$1693)=0,"",IF(('Dvd Calendar'!$AD$1693&gt;=GRID_FROM)*('Dvd Calendar'!$AD$1693&lt;=GRID_TO)*((('Dvd Calendar'!$AD$1693&lt;=VAL_DATE)+(COUNTIF('Dvd Calendar'!$E$1700:$AR$1700,'Dvd Calendar'!$AD$1693)=0))&gt;0)=0,"",'Dvd Calendar'!$AD$1693*1000000000+ISNUMBER('Dvd Calendar'!$AD$1696)*100000000+('Dvd Calendar'!$AD$1698=SPECIAL_LBL)*10000000+(N('Dvd Calendar'!$AD$1692)&gt;0)*(N('Dvd Calendar'!$AD$1692)&lt;=VAL_SERIAL)*1000000+13*1000+26))</f>
        <v/>
      </c>
      <c r="FE172" s="121">
        <f>IF(N('Dvd Calendar'!$AE$1693)=0,"",IF(('Dvd Calendar'!$AE$1693&gt;=GRID_FROM)*('Dvd Calendar'!$AE$1693&lt;=GRID_TO)*((('Dvd Calendar'!$AE$1693&lt;=VAL_DATE)+(COUNTIF('Dvd Calendar'!$E$1700:$AR$1700,'Dvd Calendar'!$AE$1693)=0))&gt;0)=0,"",'Dvd Calendar'!$AE$1693*1000000000+ISNUMBER('Dvd Calendar'!$AE$1696)*100000000+('Dvd Calendar'!$AE$1698=SPECIAL_LBL)*10000000+(N('Dvd Calendar'!$AE$1692)&gt;0)*(N('Dvd Calendar'!$AE$1692)&lt;=VAL_SERIAL)*1000000+13*1000+27))</f>
        <v/>
      </c>
      <c r="FF172" s="121">
        <f>IF(N('Dvd Calendar'!$AF$1693)=0,"",IF(('Dvd Calendar'!$AF$1693&gt;=GRID_FROM)*('Dvd Calendar'!$AF$1693&lt;=GRID_TO)*((('Dvd Calendar'!$AF$1693&lt;=VAL_DATE)+(COUNTIF('Dvd Calendar'!$E$1700:$AR$1700,'Dvd Calendar'!$AF$1693)=0))&gt;0)=0,"",'Dvd Calendar'!$AF$1693*1000000000+ISNUMBER('Dvd Calendar'!$AF$1696)*100000000+('Dvd Calendar'!$AF$1698=SPECIAL_LBL)*10000000+(N('Dvd Calendar'!$AF$1692)&gt;0)*(N('Dvd Calendar'!$AF$1692)&lt;=VAL_SERIAL)*1000000+13*1000+28))</f>
        <v/>
      </c>
      <c r="FG172" s="121">
        <f>IF(N('Dvd Calendar'!$AG$1693)=0,"",IF(('Dvd Calendar'!$AG$1693&gt;=GRID_FROM)*('Dvd Calendar'!$AG$1693&lt;=GRID_TO)*((('Dvd Calendar'!$AG$1693&lt;=VAL_DATE)+(COUNTIF('Dvd Calendar'!$E$1700:$AR$1700,'Dvd Calendar'!$AG$1693)=0))&gt;0)=0,"",'Dvd Calendar'!$AG$1693*1000000000+ISNUMBER('Dvd Calendar'!$AG$1696)*100000000+('Dvd Calendar'!$AG$1698=SPECIAL_LBL)*10000000+(N('Dvd Calendar'!$AG$1692)&gt;0)*(N('Dvd Calendar'!$AG$1692)&lt;=VAL_SERIAL)*1000000+13*1000+29))</f>
        <v/>
      </c>
      <c r="FH172" s="121">
        <f>IF(N('Dvd Calendar'!$AH$1693)=0,"",IF(('Dvd Calendar'!$AH$1693&gt;=GRID_FROM)*('Dvd Calendar'!$AH$1693&lt;=GRID_TO)*((('Dvd Calendar'!$AH$1693&lt;=VAL_DATE)+(COUNTIF('Dvd Calendar'!$E$1700:$AR$1700,'Dvd Calendar'!$AH$1693)=0))&gt;0)=0,"",'Dvd Calendar'!$AH$1693*1000000000+ISNUMBER('Dvd Calendar'!$AH$1696)*100000000+('Dvd Calendar'!$AH$1698=SPECIAL_LBL)*10000000+(N('Dvd Calendar'!$AH$1692)&gt;0)*(N('Dvd Calendar'!$AH$1692)&lt;=VAL_SERIAL)*1000000+13*1000+30))</f>
        <v/>
      </c>
      <c r="FI172" s="121">
        <f>IF(N('Dvd Calendar'!$AI$1693)=0,"",IF(('Dvd Calendar'!$AI$1693&gt;=GRID_FROM)*('Dvd Calendar'!$AI$1693&lt;=GRID_TO)*((('Dvd Calendar'!$AI$1693&lt;=VAL_DATE)+(COUNTIF('Dvd Calendar'!$E$1700:$AR$1700,'Dvd Calendar'!$AI$1693)=0))&gt;0)=0,"",'Dvd Calendar'!$AI$1693*1000000000+ISNUMBER('Dvd Calendar'!$AI$1696)*100000000+('Dvd Calendar'!$AI$1698=SPECIAL_LBL)*10000000+(N('Dvd Calendar'!$AI$1692)&gt;0)*(N('Dvd Calendar'!$AI$1692)&lt;=VAL_SERIAL)*1000000+13*1000+31))</f>
        <v/>
      </c>
      <c r="FJ172" s="121">
        <f>IF(N('Dvd Calendar'!$AJ$1693)=0,"",IF(('Dvd Calendar'!$AJ$1693&gt;=GRID_FROM)*('Dvd Calendar'!$AJ$1693&lt;=GRID_TO)*((('Dvd Calendar'!$AJ$1693&lt;=VAL_DATE)+(COUNTIF('Dvd Calendar'!$E$1700:$AR$1700,'Dvd Calendar'!$AJ$1693)=0))&gt;0)=0,"",'Dvd Calendar'!$AJ$1693*1000000000+ISNUMBER('Dvd Calendar'!$AJ$1696)*100000000+('Dvd Calendar'!$AJ$1698=SPECIAL_LBL)*10000000+(N('Dvd Calendar'!$AJ$1692)&gt;0)*(N('Dvd Calendar'!$AJ$1692)&lt;=VAL_SERIAL)*1000000+13*1000+32))</f>
        <v/>
      </c>
      <c r="FK172" s="121">
        <f>IF(N('Dvd Calendar'!$AK$1693)=0,"",IF(('Dvd Calendar'!$AK$1693&gt;=GRID_FROM)*('Dvd Calendar'!$AK$1693&lt;=GRID_TO)*((('Dvd Calendar'!$AK$1693&lt;=VAL_DATE)+(COUNTIF('Dvd Calendar'!$E$1700:$AR$1700,'Dvd Calendar'!$AK$1693)=0))&gt;0)=0,"",'Dvd Calendar'!$AK$1693*1000000000+ISNUMBER('Dvd Calendar'!$AK$1696)*100000000+('Dvd Calendar'!$AK$1698=SPECIAL_LBL)*10000000+(N('Dvd Calendar'!$AK$1692)&gt;0)*(N('Dvd Calendar'!$AK$1692)&lt;=VAL_SERIAL)*1000000+13*1000+33))</f>
        <v/>
      </c>
      <c r="FL172" s="121">
        <f>IF(N('Dvd Calendar'!$AL$1693)=0,"",IF(('Dvd Calendar'!$AL$1693&gt;=GRID_FROM)*('Dvd Calendar'!$AL$1693&lt;=GRID_TO)*((('Dvd Calendar'!$AL$1693&lt;=VAL_DATE)+(COUNTIF('Dvd Calendar'!$E$1700:$AR$1700,'Dvd Calendar'!$AL$1693)=0))&gt;0)=0,"",'Dvd Calendar'!$AL$1693*1000000000+ISNUMBER('Dvd Calendar'!$AL$1696)*100000000+('Dvd Calendar'!$AL$1698=SPECIAL_LBL)*10000000+(N('Dvd Calendar'!$AL$1692)&gt;0)*(N('Dvd Calendar'!$AL$1692)&lt;=VAL_SERIAL)*1000000+13*1000+34))</f>
        <v/>
      </c>
      <c r="FM172" s="121">
        <f>IF(N('Dvd Calendar'!$AM$1693)=0,"",IF(('Dvd Calendar'!$AM$1693&gt;=GRID_FROM)*('Dvd Calendar'!$AM$1693&lt;=GRID_TO)*((('Dvd Calendar'!$AM$1693&lt;=VAL_DATE)+(COUNTIF('Dvd Calendar'!$E$1700:$AR$1700,'Dvd Calendar'!$AM$1693)=0))&gt;0)=0,"",'Dvd Calendar'!$AM$1693*1000000000+ISNUMBER('Dvd Calendar'!$AM$1696)*100000000+('Dvd Calendar'!$AM$1698=SPECIAL_LBL)*10000000+(N('Dvd Calendar'!$AM$1692)&gt;0)*(N('Dvd Calendar'!$AM$1692)&lt;=VAL_SERIAL)*1000000+13*1000+35))</f>
        <v/>
      </c>
      <c r="FN172" s="121">
        <f>IF(N('Dvd Calendar'!$AN$1693)=0,"",IF(('Dvd Calendar'!$AN$1693&gt;=GRID_FROM)*('Dvd Calendar'!$AN$1693&lt;=GRID_TO)*((('Dvd Calendar'!$AN$1693&lt;=VAL_DATE)+(COUNTIF('Dvd Calendar'!$E$1700:$AR$1700,'Dvd Calendar'!$AN$1693)=0))&gt;0)=0,"",'Dvd Calendar'!$AN$1693*1000000000+ISNUMBER('Dvd Calendar'!$AN$1696)*100000000+('Dvd Calendar'!$AN$1698=SPECIAL_LBL)*10000000+(N('Dvd Calendar'!$AN$1692)&gt;0)*(N('Dvd Calendar'!$AN$1692)&lt;=VAL_SERIAL)*1000000+13*1000+36))</f>
        <v/>
      </c>
      <c r="FO172" s="121">
        <f>IF(N('Dvd Calendar'!$AO$1693)=0,"",IF(('Dvd Calendar'!$AO$1693&gt;=GRID_FROM)*('Dvd Calendar'!$AO$1693&lt;=GRID_TO)*((('Dvd Calendar'!$AO$1693&lt;=VAL_DATE)+(COUNTIF('Dvd Calendar'!$E$1700:$AR$1700,'Dvd Calendar'!$AO$1693)=0))&gt;0)=0,"",'Dvd Calendar'!$AO$1693*1000000000+ISNUMBER('Dvd Calendar'!$AO$1696)*100000000+('Dvd Calendar'!$AO$1698=SPECIAL_LBL)*10000000+(N('Dvd Calendar'!$AO$1692)&gt;0)*(N('Dvd Calendar'!$AO$1692)&lt;=VAL_SERIAL)*1000000+13*1000+37))</f>
        <v/>
      </c>
      <c r="FP172" s="121">
        <f>IF(N('Dvd Calendar'!$AP$1693)=0,"",IF(('Dvd Calendar'!$AP$1693&gt;=GRID_FROM)*('Dvd Calendar'!$AP$1693&lt;=GRID_TO)*((('Dvd Calendar'!$AP$1693&lt;=VAL_DATE)+(COUNTIF('Dvd Calendar'!$E$1700:$AR$1700,'Dvd Calendar'!$AP$1693)=0))&gt;0)=0,"",'Dvd Calendar'!$AP$1693*1000000000+ISNUMBER('Dvd Calendar'!$AP$1696)*100000000+('Dvd Calendar'!$AP$1698=SPECIAL_LBL)*10000000+(N('Dvd Calendar'!$AP$1692)&gt;0)*(N('Dvd Calendar'!$AP$1692)&lt;=VAL_SERIAL)*1000000+13*1000+38))</f>
        <v/>
      </c>
      <c r="FQ172" s="121">
        <f>IF(N('Dvd Calendar'!$AQ$1693)=0,"",IF(('Dvd Calendar'!$AQ$1693&gt;=GRID_FROM)*('Dvd Calendar'!$AQ$1693&lt;=GRID_TO)*((('Dvd Calendar'!$AQ$1693&lt;=VAL_DATE)+(COUNTIF('Dvd Calendar'!$E$1700:$AR$1700,'Dvd Calendar'!$AQ$1693)=0))&gt;0)=0,"",'Dvd Calendar'!$AQ$1693*1000000000+ISNUMBER('Dvd Calendar'!$AQ$1696)*100000000+('Dvd Calendar'!$AQ$1698=SPECIAL_LBL)*10000000+(N('Dvd Calendar'!$AQ$1692)&gt;0)*(N('Dvd Calendar'!$AQ$1692)&lt;=VAL_SERIAL)*1000000+13*1000+39))</f>
        <v/>
      </c>
      <c r="FR172" s="121">
        <f>IF(N('Dvd Calendar'!$AR$1693)=0,"",IF(('Dvd Calendar'!$AR$1693&gt;=GRID_FROM)*('Dvd Calendar'!$AR$1693&lt;=GRID_TO)*((('Dvd Calendar'!$AR$1693&lt;=VAL_DATE)+(COUNTIF('Dvd Calendar'!$E$1700:$AR$1700,'Dvd Calendar'!$AR$1693)=0))&gt;0)=0,"",'Dvd Calendar'!$AR$1693*1000000000+ISNUMBER('Dvd Calendar'!$AR$1696)*100000000+('Dvd Calendar'!$AR$1698=SPECIAL_LBL)*10000000+(N('Dvd Calendar'!$AR$1692)&gt;0)*(N('Dvd Calendar'!$AR$1692)&lt;=VAL_SERIAL)*1000000+13*1000+40))</f>
        <v/>
      </c>
      <c r="FS172" s="121">
        <f>IF(N('Dvd Calendar'!$E$1700)=0,"",IF(('Dvd Calendar'!$E$1700&gt;=GRID_FROM)*('Dvd Calendar'!$E$1700&lt;=GRID_TO)*('Dvd Calendar'!$E$1700&gt;VAL_DATE)=0,"",'Dvd Calendar'!$E$1700*1000000000+ISNUMBER('Dvd Calendar'!$E$1701)*100000000+0*10000000+(N('Dvd Calendar'!$E$1699)&gt;0)*(N('Dvd Calendar'!$E$1699)&lt;=VAL_SERIAL)*1000000+13*1000+41))</f>
        <v/>
      </c>
      <c r="FT172" s="121">
        <f>IF(N('Dvd Calendar'!$F$1700)=0,"",IF(('Dvd Calendar'!$F$1700&gt;=GRID_FROM)*('Dvd Calendar'!$F$1700&lt;=GRID_TO)*('Dvd Calendar'!$F$1700&gt;VAL_DATE)=0,"",'Dvd Calendar'!$F$1700*1000000000+ISNUMBER('Dvd Calendar'!$F$1701)*100000000+0*10000000+(N('Dvd Calendar'!$F$1699)&gt;0)*(N('Dvd Calendar'!$F$1699)&lt;=VAL_SERIAL)*1000000+13*1000+42))</f>
        <v/>
      </c>
      <c r="FU172" s="121">
        <f>IF(N('Dvd Calendar'!$G$1700)=0,"",IF(('Dvd Calendar'!$G$1700&gt;=GRID_FROM)*('Dvd Calendar'!$G$1700&lt;=GRID_TO)*('Dvd Calendar'!$G$1700&gt;VAL_DATE)=0,"",'Dvd Calendar'!$G$1700*1000000000+ISNUMBER('Dvd Calendar'!$G$1701)*100000000+0*10000000+(N('Dvd Calendar'!$G$1699)&gt;0)*(N('Dvd Calendar'!$G$1699)&lt;=VAL_SERIAL)*1000000+13*1000+43))</f>
        <v/>
      </c>
      <c r="FV172" s="121">
        <f>IF(N('Dvd Calendar'!$H$1700)=0,"",IF(('Dvd Calendar'!$H$1700&gt;=GRID_FROM)*('Dvd Calendar'!$H$1700&lt;=GRID_TO)*('Dvd Calendar'!$H$1700&gt;VAL_DATE)=0,"",'Dvd Calendar'!$H$1700*1000000000+ISNUMBER('Dvd Calendar'!$H$1701)*100000000+0*10000000+(N('Dvd Calendar'!$H$1699)&gt;0)*(N('Dvd Calendar'!$H$1699)&lt;=VAL_SERIAL)*1000000+13*1000+44))</f>
        <v/>
      </c>
      <c r="FW172" s="121">
        <f>IF(N('Dvd Calendar'!$I$1700)=0,"",IF(('Dvd Calendar'!$I$1700&gt;=GRID_FROM)*('Dvd Calendar'!$I$1700&lt;=GRID_TO)*('Dvd Calendar'!$I$1700&gt;VAL_DATE)=0,"",'Dvd Calendar'!$I$1700*1000000000+ISNUMBER('Dvd Calendar'!$I$1701)*100000000+0*10000000+(N('Dvd Calendar'!$I$1699)&gt;0)*(N('Dvd Calendar'!$I$1699)&lt;=VAL_SERIAL)*1000000+13*1000+45))</f>
        <v/>
      </c>
      <c r="FX172" s="121">
        <f>IF(N('Dvd Calendar'!$J$1700)=0,"",IF(('Dvd Calendar'!$J$1700&gt;=GRID_FROM)*('Dvd Calendar'!$J$1700&lt;=GRID_TO)*('Dvd Calendar'!$J$1700&gt;VAL_DATE)=0,"",'Dvd Calendar'!$J$1700*1000000000+ISNUMBER('Dvd Calendar'!$J$1701)*100000000+0*10000000+(N('Dvd Calendar'!$J$1699)&gt;0)*(N('Dvd Calendar'!$J$1699)&lt;=VAL_SERIAL)*1000000+13*1000+46))</f>
        <v/>
      </c>
      <c r="FY172" s="121">
        <f>IF(N('Dvd Calendar'!$K$1700)=0,"",IF(('Dvd Calendar'!$K$1700&gt;=GRID_FROM)*('Dvd Calendar'!$K$1700&lt;=GRID_TO)*('Dvd Calendar'!$K$1700&gt;VAL_DATE)=0,"",'Dvd Calendar'!$K$1700*1000000000+ISNUMBER('Dvd Calendar'!$K$1701)*100000000+0*10000000+(N('Dvd Calendar'!$K$1699)&gt;0)*(N('Dvd Calendar'!$K$1699)&lt;=VAL_SERIAL)*1000000+13*1000+47))</f>
        <v/>
      </c>
      <c r="FZ172" s="121">
        <f>IF(N('Dvd Calendar'!$L$1700)=0,"",IF(('Dvd Calendar'!$L$1700&gt;=GRID_FROM)*('Dvd Calendar'!$L$1700&lt;=GRID_TO)*('Dvd Calendar'!$L$1700&gt;VAL_DATE)=0,"",'Dvd Calendar'!$L$1700*1000000000+ISNUMBER('Dvd Calendar'!$L$1701)*100000000+0*10000000+(N('Dvd Calendar'!$L$1699)&gt;0)*(N('Dvd Calendar'!$L$1699)&lt;=VAL_SERIAL)*1000000+13*1000+48))</f>
        <v/>
      </c>
      <c r="GA172" s="121">
        <f>IF(N('Dvd Calendar'!$M$1700)=0,"",IF(('Dvd Calendar'!$M$1700&gt;=GRID_FROM)*('Dvd Calendar'!$M$1700&lt;=GRID_TO)*('Dvd Calendar'!$M$1700&gt;VAL_DATE)=0,"",'Dvd Calendar'!$M$1700*1000000000+ISNUMBER('Dvd Calendar'!$M$1701)*100000000+0*10000000+(N('Dvd Calendar'!$M$1699)&gt;0)*(N('Dvd Calendar'!$M$1699)&lt;=VAL_SERIAL)*1000000+13*1000+49))</f>
        <v/>
      </c>
      <c r="GB172" s="121">
        <f>IF(N('Dvd Calendar'!$N$1700)=0,"",IF(('Dvd Calendar'!$N$1700&gt;=GRID_FROM)*('Dvd Calendar'!$N$1700&lt;=GRID_TO)*('Dvd Calendar'!$N$1700&gt;VAL_DATE)=0,"",'Dvd Calendar'!$N$1700*1000000000+ISNUMBER('Dvd Calendar'!$N$1701)*100000000+0*10000000+(N('Dvd Calendar'!$N$1699)&gt;0)*(N('Dvd Calendar'!$N$1699)&lt;=VAL_SERIAL)*1000000+13*1000+50))</f>
        <v/>
      </c>
      <c r="GC172" s="121">
        <f>IF(N('Dvd Calendar'!$O$1700)=0,"",IF(('Dvd Calendar'!$O$1700&gt;=GRID_FROM)*('Dvd Calendar'!$O$1700&lt;=GRID_TO)*('Dvd Calendar'!$O$1700&gt;VAL_DATE)=0,"",'Dvd Calendar'!$O$1700*1000000000+ISNUMBER('Dvd Calendar'!$O$1701)*100000000+0*10000000+(N('Dvd Calendar'!$O$1699)&gt;0)*(N('Dvd Calendar'!$O$1699)&lt;=VAL_SERIAL)*1000000+13*1000+51))</f>
        <v/>
      </c>
      <c r="GD172" s="121">
        <f>IF(N('Dvd Calendar'!$P$1700)=0,"",IF(('Dvd Calendar'!$P$1700&gt;=GRID_FROM)*('Dvd Calendar'!$P$1700&lt;=GRID_TO)*('Dvd Calendar'!$P$1700&gt;VAL_DATE)=0,"",'Dvd Calendar'!$P$1700*1000000000+ISNUMBER('Dvd Calendar'!$P$1701)*100000000+0*10000000+(N('Dvd Calendar'!$P$1699)&gt;0)*(N('Dvd Calendar'!$P$1699)&lt;=VAL_SERIAL)*1000000+13*1000+52))</f>
        <v/>
      </c>
      <c r="GE172" s="121">
        <f>IF(N('Dvd Calendar'!$Q$1700)=0,"",IF(('Dvd Calendar'!$Q$1700&gt;=GRID_FROM)*('Dvd Calendar'!$Q$1700&lt;=GRID_TO)*('Dvd Calendar'!$Q$1700&gt;VAL_DATE)=0,"",'Dvd Calendar'!$Q$1700*1000000000+ISNUMBER('Dvd Calendar'!$Q$1701)*100000000+0*10000000+(N('Dvd Calendar'!$Q$1699)&gt;0)*(N('Dvd Calendar'!$Q$1699)&lt;=VAL_SERIAL)*1000000+13*1000+53))</f>
        <v/>
      </c>
      <c r="GF172" s="121">
        <f>IF(N('Dvd Calendar'!$R$1700)=0,"",IF(('Dvd Calendar'!$R$1700&gt;=GRID_FROM)*('Dvd Calendar'!$R$1700&lt;=GRID_TO)*('Dvd Calendar'!$R$1700&gt;VAL_DATE)=0,"",'Dvd Calendar'!$R$1700*1000000000+ISNUMBER('Dvd Calendar'!$R$1701)*100000000+0*10000000+(N('Dvd Calendar'!$R$1699)&gt;0)*(N('Dvd Calendar'!$R$1699)&lt;=VAL_SERIAL)*1000000+13*1000+54))</f>
        <v/>
      </c>
      <c r="GG172" s="121">
        <f>IF(N('Dvd Calendar'!$S$1700)=0,"",IF(('Dvd Calendar'!$S$1700&gt;=GRID_FROM)*('Dvd Calendar'!$S$1700&lt;=GRID_TO)*('Dvd Calendar'!$S$1700&gt;VAL_DATE)=0,"",'Dvd Calendar'!$S$1700*1000000000+ISNUMBER('Dvd Calendar'!$S$1701)*100000000+0*10000000+(N('Dvd Calendar'!$S$1699)&gt;0)*(N('Dvd Calendar'!$S$1699)&lt;=VAL_SERIAL)*1000000+13*1000+55))</f>
        <v/>
      </c>
      <c r="GH172" s="121">
        <f>IF(N('Dvd Calendar'!$T$1700)=0,"",IF(('Dvd Calendar'!$T$1700&gt;=GRID_FROM)*('Dvd Calendar'!$T$1700&lt;=GRID_TO)*('Dvd Calendar'!$T$1700&gt;VAL_DATE)=0,"",'Dvd Calendar'!$T$1700*1000000000+ISNUMBER('Dvd Calendar'!$T$1701)*100000000+0*10000000+(N('Dvd Calendar'!$T$1699)&gt;0)*(N('Dvd Calendar'!$T$1699)&lt;=VAL_SERIAL)*1000000+13*1000+56))</f>
        <v/>
      </c>
      <c r="GI172" s="121">
        <f>IF(N('Dvd Calendar'!$U$1700)=0,"",IF(('Dvd Calendar'!$U$1700&gt;=GRID_FROM)*('Dvd Calendar'!$U$1700&lt;=GRID_TO)*('Dvd Calendar'!$U$1700&gt;VAL_DATE)=0,"",'Dvd Calendar'!$U$1700*1000000000+ISNUMBER('Dvd Calendar'!$U$1701)*100000000+0*10000000+(N('Dvd Calendar'!$U$1699)&gt;0)*(N('Dvd Calendar'!$U$1699)&lt;=VAL_SERIAL)*1000000+13*1000+57))</f>
        <v/>
      </c>
      <c r="GJ172" s="121">
        <f>IF(N('Dvd Calendar'!$V$1700)=0,"",IF(('Dvd Calendar'!$V$1700&gt;=GRID_FROM)*('Dvd Calendar'!$V$1700&lt;=GRID_TO)*('Dvd Calendar'!$V$1700&gt;VAL_DATE)=0,"",'Dvd Calendar'!$V$1700*1000000000+ISNUMBER('Dvd Calendar'!$V$1701)*100000000+0*10000000+(N('Dvd Calendar'!$V$1699)&gt;0)*(N('Dvd Calendar'!$V$1699)&lt;=VAL_SERIAL)*1000000+13*1000+58))</f>
        <v/>
      </c>
      <c r="GK172" s="121">
        <f>IF(N('Dvd Calendar'!$W$1700)=0,"",IF(('Dvd Calendar'!$W$1700&gt;=GRID_FROM)*('Dvd Calendar'!$W$1700&lt;=GRID_TO)*('Dvd Calendar'!$W$1700&gt;VAL_DATE)=0,"",'Dvd Calendar'!$W$1700*1000000000+ISNUMBER('Dvd Calendar'!$W$1701)*100000000+0*10000000+(N('Dvd Calendar'!$W$1699)&gt;0)*(N('Dvd Calendar'!$W$1699)&lt;=VAL_SERIAL)*1000000+13*1000+59))</f>
        <v/>
      </c>
      <c r="GL172" s="121">
        <f>IF(N('Dvd Calendar'!$X$1700)=0,"",IF(('Dvd Calendar'!$X$1700&gt;=GRID_FROM)*('Dvd Calendar'!$X$1700&lt;=GRID_TO)*('Dvd Calendar'!$X$1700&gt;VAL_DATE)=0,"",'Dvd Calendar'!$X$1700*1000000000+ISNUMBER('Dvd Calendar'!$X$1701)*100000000+0*10000000+(N('Dvd Calendar'!$X$1699)&gt;0)*(N('Dvd Calendar'!$X$1699)&lt;=VAL_SERIAL)*1000000+13*1000+60))</f>
        <v/>
      </c>
      <c r="GM172" s="121">
        <f>IF(N('Dvd Calendar'!$Y$1700)=0,"",IF(('Dvd Calendar'!$Y$1700&gt;=GRID_FROM)*('Dvd Calendar'!$Y$1700&lt;=GRID_TO)*('Dvd Calendar'!$Y$1700&gt;VAL_DATE)=0,"",'Dvd Calendar'!$Y$1700*1000000000+ISNUMBER('Dvd Calendar'!$Y$1701)*100000000+0*10000000+(N('Dvd Calendar'!$Y$1699)&gt;0)*(N('Dvd Calendar'!$Y$1699)&lt;=VAL_SERIAL)*1000000+13*1000+61))</f>
        <v/>
      </c>
      <c r="GN172" s="121">
        <f>IF(N('Dvd Calendar'!$Z$1700)=0,"",IF(('Dvd Calendar'!$Z$1700&gt;=GRID_FROM)*('Dvd Calendar'!$Z$1700&lt;=GRID_TO)*('Dvd Calendar'!$Z$1700&gt;VAL_DATE)=0,"",'Dvd Calendar'!$Z$1700*1000000000+ISNUMBER('Dvd Calendar'!$Z$1701)*100000000+0*10000000+(N('Dvd Calendar'!$Z$1699)&gt;0)*(N('Dvd Calendar'!$Z$1699)&lt;=VAL_SERIAL)*1000000+13*1000+62))</f>
        <v/>
      </c>
      <c r="GO172" s="121">
        <f>IF(N('Dvd Calendar'!$AA$1700)=0,"",IF(('Dvd Calendar'!$AA$1700&gt;=GRID_FROM)*('Dvd Calendar'!$AA$1700&lt;=GRID_TO)*('Dvd Calendar'!$AA$1700&gt;VAL_DATE)=0,"",'Dvd Calendar'!$AA$1700*1000000000+ISNUMBER('Dvd Calendar'!$AA$1701)*100000000+0*10000000+(N('Dvd Calendar'!$AA$1699)&gt;0)*(N('Dvd Calendar'!$AA$1699)&lt;=VAL_SERIAL)*1000000+13*1000+63))</f>
        <v/>
      </c>
      <c r="GP172" s="121">
        <f>IF(N('Dvd Calendar'!$AB$1700)=0,"",IF(('Dvd Calendar'!$AB$1700&gt;=GRID_FROM)*('Dvd Calendar'!$AB$1700&lt;=GRID_TO)*('Dvd Calendar'!$AB$1700&gt;VAL_DATE)=0,"",'Dvd Calendar'!$AB$1700*1000000000+ISNUMBER('Dvd Calendar'!$AB$1701)*100000000+0*10000000+(N('Dvd Calendar'!$AB$1699)&gt;0)*(N('Dvd Calendar'!$AB$1699)&lt;=VAL_SERIAL)*1000000+13*1000+64))</f>
        <v/>
      </c>
      <c r="GQ172" s="121">
        <f>IF(N('Dvd Calendar'!$AC$1700)=0,"",IF(('Dvd Calendar'!$AC$1700&gt;=GRID_FROM)*('Dvd Calendar'!$AC$1700&lt;=GRID_TO)*('Dvd Calendar'!$AC$1700&gt;VAL_DATE)=0,"",'Dvd Calendar'!$AC$1700*1000000000+ISNUMBER('Dvd Calendar'!$AC$1701)*100000000+0*10000000+(N('Dvd Calendar'!$AC$1699)&gt;0)*(N('Dvd Calendar'!$AC$1699)&lt;=VAL_SERIAL)*1000000+13*1000+65))</f>
        <v/>
      </c>
    </row>
    <row r="173">
      <c r="B173" s="2">
        <f>IF(HSCEI!$C$20="","",HSCEI!$C$20)</f>
        <v/>
      </c>
      <c r="C173" s="161">
        <f>IF(EE173="","",IF(ISNUMBER('Dvd Calendar'!$E$1707)=FALSE,"",IF((('Dvd Calendar'!$E$1709=TYPE1)*(TYPE1&lt;&gt;"")+('Dvd Calendar'!$E$1709=TYPE2)*(TYPE2&lt;&gt;"")+('Dvd Calendar'!$E$1709=TYPE3)*(TYPE3&lt;&gt;"")+('Dvd Calendar'!$E$1709=TYPE4)*(TYPE4&lt;&gt;"")+('Dvd Calendar'!$E$1709=SPECIAL_LBL)*(INC_SPECIALS="Y"))=0,"",'Dvd Calendar'!$E$1707)))</f>
        <v/>
      </c>
      <c r="D173" s="161">
        <f>IF(EF173="","",IF(ISNUMBER('Dvd Calendar'!$F$1707)=FALSE,"",IF((('Dvd Calendar'!$F$1709=TYPE1)*(TYPE1&lt;&gt;"")+('Dvd Calendar'!$F$1709=TYPE2)*(TYPE2&lt;&gt;"")+('Dvd Calendar'!$F$1709=TYPE3)*(TYPE3&lt;&gt;"")+('Dvd Calendar'!$F$1709=TYPE4)*(TYPE4&lt;&gt;"")+('Dvd Calendar'!$F$1709=SPECIAL_LBL)*(INC_SPECIALS="Y"))=0,"",'Dvd Calendar'!$F$1707)))</f>
        <v/>
      </c>
      <c r="E173" s="161">
        <f>IF(EG173="","",IF(ISNUMBER('Dvd Calendar'!$G$1707)=FALSE,"",IF((('Dvd Calendar'!$G$1709=TYPE1)*(TYPE1&lt;&gt;"")+('Dvd Calendar'!$G$1709=TYPE2)*(TYPE2&lt;&gt;"")+('Dvd Calendar'!$G$1709=TYPE3)*(TYPE3&lt;&gt;"")+('Dvd Calendar'!$G$1709=TYPE4)*(TYPE4&lt;&gt;"")+('Dvd Calendar'!$G$1709=SPECIAL_LBL)*(INC_SPECIALS="Y"))=0,"",'Dvd Calendar'!$G$1707)))</f>
        <v/>
      </c>
      <c r="F173" s="161">
        <f>IF(EH173="","",IF(ISNUMBER('Dvd Calendar'!$H$1707)=FALSE,"",IF((('Dvd Calendar'!$H$1709=TYPE1)*(TYPE1&lt;&gt;"")+('Dvd Calendar'!$H$1709=TYPE2)*(TYPE2&lt;&gt;"")+('Dvd Calendar'!$H$1709=TYPE3)*(TYPE3&lt;&gt;"")+('Dvd Calendar'!$H$1709=TYPE4)*(TYPE4&lt;&gt;"")+('Dvd Calendar'!$H$1709=SPECIAL_LBL)*(INC_SPECIALS="Y"))=0,"",'Dvd Calendar'!$H$1707)))</f>
        <v/>
      </c>
      <c r="G173" s="161">
        <f>IF(EI173="","",IF(ISNUMBER('Dvd Calendar'!$I$1707)=FALSE,"",IF((('Dvd Calendar'!$I$1709=TYPE1)*(TYPE1&lt;&gt;"")+('Dvd Calendar'!$I$1709=TYPE2)*(TYPE2&lt;&gt;"")+('Dvd Calendar'!$I$1709=TYPE3)*(TYPE3&lt;&gt;"")+('Dvd Calendar'!$I$1709=TYPE4)*(TYPE4&lt;&gt;"")+('Dvd Calendar'!$I$1709=SPECIAL_LBL)*(INC_SPECIALS="Y"))=0,"",'Dvd Calendar'!$I$1707)))</f>
        <v/>
      </c>
      <c r="H173" s="161">
        <f>IF(EJ173="","",IF(ISNUMBER('Dvd Calendar'!$J$1707)=FALSE,"",IF((('Dvd Calendar'!$J$1709=TYPE1)*(TYPE1&lt;&gt;"")+('Dvd Calendar'!$J$1709=TYPE2)*(TYPE2&lt;&gt;"")+('Dvd Calendar'!$J$1709=TYPE3)*(TYPE3&lt;&gt;"")+('Dvd Calendar'!$J$1709=TYPE4)*(TYPE4&lt;&gt;"")+('Dvd Calendar'!$J$1709=SPECIAL_LBL)*(INC_SPECIALS="Y"))=0,"",'Dvd Calendar'!$J$1707)))</f>
        <v/>
      </c>
      <c r="I173" s="161">
        <f>IF(EK173="","",IF(ISNUMBER('Dvd Calendar'!$K$1707)=FALSE,"",IF((('Dvd Calendar'!$K$1709=TYPE1)*(TYPE1&lt;&gt;"")+('Dvd Calendar'!$K$1709=TYPE2)*(TYPE2&lt;&gt;"")+('Dvd Calendar'!$K$1709=TYPE3)*(TYPE3&lt;&gt;"")+('Dvd Calendar'!$K$1709=TYPE4)*(TYPE4&lt;&gt;"")+('Dvd Calendar'!$K$1709=SPECIAL_LBL)*(INC_SPECIALS="Y"))=0,"",'Dvd Calendar'!$K$1707)))</f>
        <v/>
      </c>
      <c r="J173" s="161">
        <f>IF(EL173="","",IF(ISNUMBER('Dvd Calendar'!$L$1707)=FALSE,"",IF((('Dvd Calendar'!$L$1709=TYPE1)*(TYPE1&lt;&gt;"")+('Dvd Calendar'!$L$1709=TYPE2)*(TYPE2&lt;&gt;"")+('Dvd Calendar'!$L$1709=TYPE3)*(TYPE3&lt;&gt;"")+('Dvd Calendar'!$L$1709=TYPE4)*(TYPE4&lt;&gt;"")+('Dvd Calendar'!$L$1709=SPECIAL_LBL)*(INC_SPECIALS="Y"))=0,"",'Dvd Calendar'!$L$1707)))</f>
        <v/>
      </c>
      <c r="K173" s="161">
        <f>IF(EM173="","",IF(ISNUMBER('Dvd Calendar'!$M$1707)=FALSE,"",IF((('Dvd Calendar'!$M$1709=TYPE1)*(TYPE1&lt;&gt;"")+('Dvd Calendar'!$M$1709=TYPE2)*(TYPE2&lt;&gt;"")+('Dvd Calendar'!$M$1709=TYPE3)*(TYPE3&lt;&gt;"")+('Dvd Calendar'!$M$1709=TYPE4)*(TYPE4&lt;&gt;"")+('Dvd Calendar'!$M$1709=SPECIAL_LBL)*(INC_SPECIALS="Y"))=0,"",'Dvd Calendar'!$M$1707)))</f>
        <v/>
      </c>
      <c r="L173" s="161">
        <f>IF(EN173="","",IF(ISNUMBER('Dvd Calendar'!$N$1707)=FALSE,"",IF((('Dvd Calendar'!$N$1709=TYPE1)*(TYPE1&lt;&gt;"")+('Dvd Calendar'!$N$1709=TYPE2)*(TYPE2&lt;&gt;"")+('Dvd Calendar'!$N$1709=TYPE3)*(TYPE3&lt;&gt;"")+('Dvd Calendar'!$N$1709=TYPE4)*(TYPE4&lt;&gt;"")+('Dvd Calendar'!$N$1709=SPECIAL_LBL)*(INC_SPECIALS="Y"))=0,"",'Dvd Calendar'!$N$1707)))</f>
        <v/>
      </c>
      <c r="M173" s="161">
        <f>IF(EO173="","",IF(ISNUMBER('Dvd Calendar'!$O$1707)=FALSE,"",IF((('Dvd Calendar'!$O$1709=TYPE1)*(TYPE1&lt;&gt;"")+('Dvd Calendar'!$O$1709=TYPE2)*(TYPE2&lt;&gt;"")+('Dvd Calendar'!$O$1709=TYPE3)*(TYPE3&lt;&gt;"")+('Dvd Calendar'!$O$1709=TYPE4)*(TYPE4&lt;&gt;"")+('Dvd Calendar'!$O$1709=SPECIAL_LBL)*(INC_SPECIALS="Y"))=0,"",'Dvd Calendar'!$O$1707)))</f>
        <v/>
      </c>
      <c r="N173" s="161">
        <f>IF(EP173="","",IF(ISNUMBER('Dvd Calendar'!$P$1707)=FALSE,"",IF((('Dvd Calendar'!$P$1709=TYPE1)*(TYPE1&lt;&gt;"")+('Dvd Calendar'!$P$1709=TYPE2)*(TYPE2&lt;&gt;"")+('Dvd Calendar'!$P$1709=TYPE3)*(TYPE3&lt;&gt;"")+('Dvd Calendar'!$P$1709=TYPE4)*(TYPE4&lt;&gt;"")+('Dvd Calendar'!$P$1709=SPECIAL_LBL)*(INC_SPECIALS="Y"))=0,"",'Dvd Calendar'!$P$1707)))</f>
        <v/>
      </c>
      <c r="O173" s="161">
        <f>IF(EQ173="","",IF(ISNUMBER('Dvd Calendar'!$Q$1707)=FALSE,"",IF((('Dvd Calendar'!$Q$1709=TYPE1)*(TYPE1&lt;&gt;"")+('Dvd Calendar'!$Q$1709=TYPE2)*(TYPE2&lt;&gt;"")+('Dvd Calendar'!$Q$1709=TYPE3)*(TYPE3&lt;&gt;"")+('Dvd Calendar'!$Q$1709=TYPE4)*(TYPE4&lt;&gt;"")+('Dvd Calendar'!$Q$1709=SPECIAL_LBL)*(INC_SPECIALS="Y"))=0,"",'Dvd Calendar'!$Q$1707)))</f>
        <v/>
      </c>
      <c r="P173" s="161">
        <f>IF(ER173="","",IF(ISNUMBER('Dvd Calendar'!$R$1707)=FALSE,"",IF((('Dvd Calendar'!$R$1709=TYPE1)*(TYPE1&lt;&gt;"")+('Dvd Calendar'!$R$1709=TYPE2)*(TYPE2&lt;&gt;"")+('Dvd Calendar'!$R$1709=TYPE3)*(TYPE3&lt;&gt;"")+('Dvd Calendar'!$R$1709=TYPE4)*(TYPE4&lt;&gt;"")+('Dvd Calendar'!$R$1709=SPECIAL_LBL)*(INC_SPECIALS="Y"))=0,"",'Dvd Calendar'!$R$1707)))</f>
        <v/>
      </c>
      <c r="Q173" s="161">
        <f>IF(ES173="","",IF(ISNUMBER('Dvd Calendar'!$S$1707)=FALSE,"",IF((('Dvd Calendar'!$S$1709=TYPE1)*(TYPE1&lt;&gt;"")+('Dvd Calendar'!$S$1709=TYPE2)*(TYPE2&lt;&gt;"")+('Dvd Calendar'!$S$1709=TYPE3)*(TYPE3&lt;&gt;"")+('Dvd Calendar'!$S$1709=TYPE4)*(TYPE4&lt;&gt;"")+('Dvd Calendar'!$S$1709=SPECIAL_LBL)*(INC_SPECIALS="Y"))=0,"",'Dvd Calendar'!$S$1707)))</f>
        <v/>
      </c>
      <c r="R173" s="161">
        <f>IF(ET173="","",IF(ISNUMBER('Dvd Calendar'!$T$1707)=FALSE,"",IF((('Dvd Calendar'!$T$1709=TYPE1)*(TYPE1&lt;&gt;"")+('Dvd Calendar'!$T$1709=TYPE2)*(TYPE2&lt;&gt;"")+('Dvd Calendar'!$T$1709=TYPE3)*(TYPE3&lt;&gt;"")+('Dvd Calendar'!$T$1709=TYPE4)*(TYPE4&lt;&gt;"")+('Dvd Calendar'!$T$1709=SPECIAL_LBL)*(INC_SPECIALS="Y"))=0,"",'Dvd Calendar'!$T$1707)))</f>
        <v/>
      </c>
      <c r="S173" s="161">
        <f>IF(EU173="","",IF(ISNUMBER('Dvd Calendar'!$U$1707)=FALSE,"",IF((('Dvd Calendar'!$U$1709=TYPE1)*(TYPE1&lt;&gt;"")+('Dvd Calendar'!$U$1709=TYPE2)*(TYPE2&lt;&gt;"")+('Dvd Calendar'!$U$1709=TYPE3)*(TYPE3&lt;&gt;"")+('Dvd Calendar'!$U$1709=TYPE4)*(TYPE4&lt;&gt;"")+('Dvd Calendar'!$U$1709=SPECIAL_LBL)*(INC_SPECIALS="Y"))=0,"",'Dvd Calendar'!$U$1707)))</f>
        <v/>
      </c>
      <c r="T173" s="161">
        <f>IF(EV173="","",IF(ISNUMBER('Dvd Calendar'!$V$1707)=FALSE,"",IF((('Dvd Calendar'!$V$1709=TYPE1)*(TYPE1&lt;&gt;"")+('Dvd Calendar'!$V$1709=TYPE2)*(TYPE2&lt;&gt;"")+('Dvd Calendar'!$V$1709=TYPE3)*(TYPE3&lt;&gt;"")+('Dvd Calendar'!$V$1709=TYPE4)*(TYPE4&lt;&gt;"")+('Dvd Calendar'!$V$1709=SPECIAL_LBL)*(INC_SPECIALS="Y"))=0,"",'Dvd Calendar'!$V$1707)))</f>
        <v/>
      </c>
      <c r="U173" s="161">
        <f>IF(EW173="","",IF(ISNUMBER('Dvd Calendar'!$W$1707)=FALSE,"",IF((('Dvd Calendar'!$W$1709=TYPE1)*(TYPE1&lt;&gt;"")+('Dvd Calendar'!$W$1709=TYPE2)*(TYPE2&lt;&gt;"")+('Dvd Calendar'!$W$1709=TYPE3)*(TYPE3&lt;&gt;"")+('Dvd Calendar'!$W$1709=TYPE4)*(TYPE4&lt;&gt;"")+('Dvd Calendar'!$W$1709=SPECIAL_LBL)*(INC_SPECIALS="Y"))=0,"",'Dvd Calendar'!$W$1707)))</f>
        <v/>
      </c>
      <c r="V173" s="161">
        <f>IF(EX173="","",IF(ISNUMBER('Dvd Calendar'!$X$1707)=FALSE,"",IF((('Dvd Calendar'!$X$1709=TYPE1)*(TYPE1&lt;&gt;"")+('Dvd Calendar'!$X$1709=TYPE2)*(TYPE2&lt;&gt;"")+('Dvd Calendar'!$X$1709=TYPE3)*(TYPE3&lt;&gt;"")+('Dvd Calendar'!$X$1709=TYPE4)*(TYPE4&lt;&gt;"")+('Dvd Calendar'!$X$1709=SPECIAL_LBL)*(INC_SPECIALS="Y"))=0,"",'Dvd Calendar'!$X$1707)))</f>
        <v/>
      </c>
      <c r="W173" s="161">
        <f>IF(EY173="","",IF(ISNUMBER('Dvd Calendar'!$Y$1707)=FALSE,"",IF((('Dvd Calendar'!$Y$1709=TYPE1)*(TYPE1&lt;&gt;"")+('Dvd Calendar'!$Y$1709=TYPE2)*(TYPE2&lt;&gt;"")+('Dvd Calendar'!$Y$1709=TYPE3)*(TYPE3&lt;&gt;"")+('Dvd Calendar'!$Y$1709=TYPE4)*(TYPE4&lt;&gt;"")+('Dvd Calendar'!$Y$1709=SPECIAL_LBL)*(INC_SPECIALS="Y"))=0,"",'Dvd Calendar'!$Y$1707)))</f>
        <v/>
      </c>
      <c r="X173" s="161">
        <f>IF(EZ173="","",IF(ISNUMBER('Dvd Calendar'!$Z$1707)=FALSE,"",IF((('Dvd Calendar'!$Z$1709=TYPE1)*(TYPE1&lt;&gt;"")+('Dvd Calendar'!$Z$1709=TYPE2)*(TYPE2&lt;&gt;"")+('Dvd Calendar'!$Z$1709=TYPE3)*(TYPE3&lt;&gt;"")+('Dvd Calendar'!$Z$1709=TYPE4)*(TYPE4&lt;&gt;"")+('Dvd Calendar'!$Z$1709=SPECIAL_LBL)*(INC_SPECIALS="Y"))=0,"",'Dvd Calendar'!$Z$1707)))</f>
        <v/>
      </c>
      <c r="Y173" s="161">
        <f>IF(FA173="","",IF(ISNUMBER('Dvd Calendar'!$AA$1707)=FALSE,"",IF((('Dvd Calendar'!$AA$1709=TYPE1)*(TYPE1&lt;&gt;"")+('Dvd Calendar'!$AA$1709=TYPE2)*(TYPE2&lt;&gt;"")+('Dvd Calendar'!$AA$1709=TYPE3)*(TYPE3&lt;&gt;"")+('Dvd Calendar'!$AA$1709=TYPE4)*(TYPE4&lt;&gt;"")+('Dvd Calendar'!$AA$1709=SPECIAL_LBL)*(INC_SPECIALS="Y"))=0,"",'Dvd Calendar'!$AA$1707)))</f>
        <v/>
      </c>
      <c r="Z173" s="161">
        <f>IF(FB173="","",IF(ISNUMBER('Dvd Calendar'!$AB$1707)=FALSE,"",IF((('Dvd Calendar'!$AB$1709=TYPE1)*(TYPE1&lt;&gt;"")+('Dvd Calendar'!$AB$1709=TYPE2)*(TYPE2&lt;&gt;"")+('Dvd Calendar'!$AB$1709=TYPE3)*(TYPE3&lt;&gt;"")+('Dvd Calendar'!$AB$1709=TYPE4)*(TYPE4&lt;&gt;"")+('Dvd Calendar'!$AB$1709=SPECIAL_LBL)*(INC_SPECIALS="Y"))=0,"",'Dvd Calendar'!$AB$1707)))</f>
        <v/>
      </c>
      <c r="AA173" s="161">
        <f>IF(FC173="","",IF(ISNUMBER('Dvd Calendar'!$AC$1707)=FALSE,"",IF((('Dvd Calendar'!$AC$1709=TYPE1)*(TYPE1&lt;&gt;"")+('Dvd Calendar'!$AC$1709=TYPE2)*(TYPE2&lt;&gt;"")+('Dvd Calendar'!$AC$1709=TYPE3)*(TYPE3&lt;&gt;"")+('Dvd Calendar'!$AC$1709=TYPE4)*(TYPE4&lt;&gt;"")+('Dvd Calendar'!$AC$1709=SPECIAL_LBL)*(INC_SPECIALS="Y"))=0,"",'Dvd Calendar'!$AC$1707)))</f>
        <v/>
      </c>
      <c r="AB173" s="161">
        <f>IF(FD173="","",IF(ISNUMBER('Dvd Calendar'!$AD$1707)=FALSE,"",IF((('Dvd Calendar'!$AD$1709=TYPE1)*(TYPE1&lt;&gt;"")+('Dvd Calendar'!$AD$1709=TYPE2)*(TYPE2&lt;&gt;"")+('Dvd Calendar'!$AD$1709=TYPE3)*(TYPE3&lt;&gt;"")+('Dvd Calendar'!$AD$1709=TYPE4)*(TYPE4&lt;&gt;"")+('Dvd Calendar'!$AD$1709=SPECIAL_LBL)*(INC_SPECIALS="Y"))=0,"",'Dvd Calendar'!$AD$1707)))</f>
        <v/>
      </c>
      <c r="AC173" s="161">
        <f>IF(FE173="","",IF(ISNUMBER('Dvd Calendar'!$AE$1707)=FALSE,"",IF((('Dvd Calendar'!$AE$1709=TYPE1)*(TYPE1&lt;&gt;"")+('Dvd Calendar'!$AE$1709=TYPE2)*(TYPE2&lt;&gt;"")+('Dvd Calendar'!$AE$1709=TYPE3)*(TYPE3&lt;&gt;"")+('Dvd Calendar'!$AE$1709=TYPE4)*(TYPE4&lt;&gt;"")+('Dvd Calendar'!$AE$1709=SPECIAL_LBL)*(INC_SPECIALS="Y"))=0,"",'Dvd Calendar'!$AE$1707)))</f>
        <v/>
      </c>
      <c r="AD173" s="161">
        <f>IF(FF173="","",IF(ISNUMBER('Dvd Calendar'!$AF$1707)=FALSE,"",IF((('Dvd Calendar'!$AF$1709=TYPE1)*(TYPE1&lt;&gt;"")+('Dvd Calendar'!$AF$1709=TYPE2)*(TYPE2&lt;&gt;"")+('Dvd Calendar'!$AF$1709=TYPE3)*(TYPE3&lt;&gt;"")+('Dvd Calendar'!$AF$1709=TYPE4)*(TYPE4&lt;&gt;"")+('Dvd Calendar'!$AF$1709=SPECIAL_LBL)*(INC_SPECIALS="Y"))=0,"",'Dvd Calendar'!$AF$1707)))</f>
        <v/>
      </c>
      <c r="AE173" s="161">
        <f>IF(FG173="","",IF(ISNUMBER('Dvd Calendar'!$AG$1707)=FALSE,"",IF((('Dvd Calendar'!$AG$1709=TYPE1)*(TYPE1&lt;&gt;"")+('Dvd Calendar'!$AG$1709=TYPE2)*(TYPE2&lt;&gt;"")+('Dvd Calendar'!$AG$1709=TYPE3)*(TYPE3&lt;&gt;"")+('Dvd Calendar'!$AG$1709=TYPE4)*(TYPE4&lt;&gt;"")+('Dvd Calendar'!$AG$1709=SPECIAL_LBL)*(INC_SPECIALS="Y"))=0,"",'Dvd Calendar'!$AG$1707)))</f>
        <v/>
      </c>
      <c r="AF173" s="161">
        <f>IF(FH173="","",IF(ISNUMBER('Dvd Calendar'!$AH$1707)=FALSE,"",IF((('Dvd Calendar'!$AH$1709=TYPE1)*(TYPE1&lt;&gt;"")+('Dvd Calendar'!$AH$1709=TYPE2)*(TYPE2&lt;&gt;"")+('Dvd Calendar'!$AH$1709=TYPE3)*(TYPE3&lt;&gt;"")+('Dvd Calendar'!$AH$1709=TYPE4)*(TYPE4&lt;&gt;"")+('Dvd Calendar'!$AH$1709=SPECIAL_LBL)*(INC_SPECIALS="Y"))=0,"",'Dvd Calendar'!$AH$1707)))</f>
        <v/>
      </c>
      <c r="AG173" s="161">
        <f>IF(FI173="","",IF(ISNUMBER('Dvd Calendar'!$AI$1707)=FALSE,"",IF((('Dvd Calendar'!$AI$1709=TYPE1)*(TYPE1&lt;&gt;"")+('Dvd Calendar'!$AI$1709=TYPE2)*(TYPE2&lt;&gt;"")+('Dvd Calendar'!$AI$1709=TYPE3)*(TYPE3&lt;&gt;"")+('Dvd Calendar'!$AI$1709=TYPE4)*(TYPE4&lt;&gt;"")+('Dvd Calendar'!$AI$1709=SPECIAL_LBL)*(INC_SPECIALS="Y"))=0,"",'Dvd Calendar'!$AI$1707)))</f>
        <v/>
      </c>
      <c r="AH173" s="161">
        <f>IF(FJ173="","",IF(ISNUMBER('Dvd Calendar'!$AJ$1707)=FALSE,"",IF((('Dvd Calendar'!$AJ$1709=TYPE1)*(TYPE1&lt;&gt;"")+('Dvd Calendar'!$AJ$1709=TYPE2)*(TYPE2&lt;&gt;"")+('Dvd Calendar'!$AJ$1709=TYPE3)*(TYPE3&lt;&gt;"")+('Dvd Calendar'!$AJ$1709=TYPE4)*(TYPE4&lt;&gt;"")+('Dvd Calendar'!$AJ$1709=SPECIAL_LBL)*(INC_SPECIALS="Y"))=0,"",'Dvd Calendar'!$AJ$1707)))</f>
        <v/>
      </c>
      <c r="AI173" s="161">
        <f>IF(FK173="","",IF(ISNUMBER('Dvd Calendar'!$AK$1707)=FALSE,"",IF((('Dvd Calendar'!$AK$1709=TYPE1)*(TYPE1&lt;&gt;"")+('Dvd Calendar'!$AK$1709=TYPE2)*(TYPE2&lt;&gt;"")+('Dvd Calendar'!$AK$1709=TYPE3)*(TYPE3&lt;&gt;"")+('Dvd Calendar'!$AK$1709=TYPE4)*(TYPE4&lt;&gt;"")+('Dvd Calendar'!$AK$1709=SPECIAL_LBL)*(INC_SPECIALS="Y"))=0,"",'Dvd Calendar'!$AK$1707)))</f>
        <v/>
      </c>
      <c r="AJ173" s="161">
        <f>IF(FL173="","",IF(ISNUMBER('Dvd Calendar'!$AL$1707)=FALSE,"",IF((('Dvd Calendar'!$AL$1709=TYPE1)*(TYPE1&lt;&gt;"")+('Dvd Calendar'!$AL$1709=TYPE2)*(TYPE2&lt;&gt;"")+('Dvd Calendar'!$AL$1709=TYPE3)*(TYPE3&lt;&gt;"")+('Dvd Calendar'!$AL$1709=TYPE4)*(TYPE4&lt;&gt;"")+('Dvd Calendar'!$AL$1709=SPECIAL_LBL)*(INC_SPECIALS="Y"))=0,"",'Dvd Calendar'!$AL$1707)))</f>
        <v/>
      </c>
      <c r="AK173" s="161">
        <f>IF(FM173="","",IF(ISNUMBER('Dvd Calendar'!$AM$1707)=FALSE,"",IF((('Dvd Calendar'!$AM$1709=TYPE1)*(TYPE1&lt;&gt;"")+('Dvd Calendar'!$AM$1709=TYPE2)*(TYPE2&lt;&gt;"")+('Dvd Calendar'!$AM$1709=TYPE3)*(TYPE3&lt;&gt;"")+('Dvd Calendar'!$AM$1709=TYPE4)*(TYPE4&lt;&gt;"")+('Dvd Calendar'!$AM$1709=SPECIAL_LBL)*(INC_SPECIALS="Y"))=0,"",'Dvd Calendar'!$AM$1707)))</f>
        <v/>
      </c>
      <c r="AL173" s="161">
        <f>IF(FN173="","",IF(ISNUMBER('Dvd Calendar'!$AN$1707)=FALSE,"",IF((('Dvd Calendar'!$AN$1709=TYPE1)*(TYPE1&lt;&gt;"")+('Dvd Calendar'!$AN$1709=TYPE2)*(TYPE2&lt;&gt;"")+('Dvd Calendar'!$AN$1709=TYPE3)*(TYPE3&lt;&gt;"")+('Dvd Calendar'!$AN$1709=TYPE4)*(TYPE4&lt;&gt;"")+('Dvd Calendar'!$AN$1709=SPECIAL_LBL)*(INC_SPECIALS="Y"))=0,"",'Dvd Calendar'!$AN$1707)))</f>
        <v/>
      </c>
      <c r="AM173" s="161">
        <f>IF(FO173="","",IF(ISNUMBER('Dvd Calendar'!$AO$1707)=FALSE,"",IF((('Dvd Calendar'!$AO$1709=TYPE1)*(TYPE1&lt;&gt;"")+('Dvd Calendar'!$AO$1709=TYPE2)*(TYPE2&lt;&gt;"")+('Dvd Calendar'!$AO$1709=TYPE3)*(TYPE3&lt;&gt;"")+('Dvd Calendar'!$AO$1709=TYPE4)*(TYPE4&lt;&gt;"")+('Dvd Calendar'!$AO$1709=SPECIAL_LBL)*(INC_SPECIALS="Y"))=0,"",'Dvd Calendar'!$AO$1707)))</f>
        <v/>
      </c>
      <c r="AN173" s="161">
        <f>IF(FP173="","",IF(ISNUMBER('Dvd Calendar'!$AP$1707)=FALSE,"",IF((('Dvd Calendar'!$AP$1709=TYPE1)*(TYPE1&lt;&gt;"")+('Dvd Calendar'!$AP$1709=TYPE2)*(TYPE2&lt;&gt;"")+('Dvd Calendar'!$AP$1709=TYPE3)*(TYPE3&lt;&gt;"")+('Dvd Calendar'!$AP$1709=TYPE4)*(TYPE4&lt;&gt;"")+('Dvd Calendar'!$AP$1709=SPECIAL_LBL)*(INC_SPECIALS="Y"))=0,"",'Dvd Calendar'!$AP$1707)))</f>
        <v/>
      </c>
      <c r="AO173" s="161">
        <f>IF(FQ173="","",IF(ISNUMBER('Dvd Calendar'!$AQ$1707)=FALSE,"",IF((('Dvd Calendar'!$AQ$1709=TYPE1)*(TYPE1&lt;&gt;"")+('Dvd Calendar'!$AQ$1709=TYPE2)*(TYPE2&lt;&gt;"")+('Dvd Calendar'!$AQ$1709=TYPE3)*(TYPE3&lt;&gt;"")+('Dvd Calendar'!$AQ$1709=TYPE4)*(TYPE4&lt;&gt;"")+('Dvd Calendar'!$AQ$1709=SPECIAL_LBL)*(INC_SPECIALS="Y"))=0,"",'Dvd Calendar'!$AQ$1707)))</f>
        <v/>
      </c>
      <c r="AP173" s="161">
        <f>IF(FR173="","",IF(ISNUMBER('Dvd Calendar'!$AR$1707)=FALSE,"",IF((('Dvd Calendar'!$AR$1709=TYPE1)*(TYPE1&lt;&gt;"")+('Dvd Calendar'!$AR$1709=TYPE2)*(TYPE2&lt;&gt;"")+('Dvd Calendar'!$AR$1709=TYPE3)*(TYPE3&lt;&gt;"")+('Dvd Calendar'!$AR$1709=TYPE4)*(TYPE4&lt;&gt;"")+('Dvd Calendar'!$AR$1709=SPECIAL_LBL)*(INC_SPECIALS="Y"))=0,"",'Dvd Calendar'!$AR$1707)))</f>
        <v/>
      </c>
      <c r="AQ173" s="161">
        <f>IF(FS173="","",IF(ISNUMBER('Dvd Calendar'!$E$1712)=FALSE,"",'Dvd Calendar'!$E$1712))</f>
        <v/>
      </c>
      <c r="AR173" s="161">
        <f>IF(FT173="","",IF(ISNUMBER('Dvd Calendar'!$F$1712)=FALSE,"",'Dvd Calendar'!$F$1712))</f>
        <v/>
      </c>
      <c r="AS173" s="161">
        <f>IF(FU173="","",IF(ISNUMBER('Dvd Calendar'!$G$1712)=FALSE,"",'Dvd Calendar'!$G$1712))</f>
        <v/>
      </c>
      <c r="AT173" s="161">
        <f>IF(FV173="","",IF(ISNUMBER('Dvd Calendar'!$H$1712)=FALSE,"",'Dvd Calendar'!$H$1712))</f>
        <v/>
      </c>
      <c r="AU173" s="161">
        <f>IF(FW173="","",IF(ISNUMBER('Dvd Calendar'!$I$1712)=FALSE,"",'Dvd Calendar'!$I$1712))</f>
        <v/>
      </c>
      <c r="AV173" s="161">
        <f>IF(FX173="","",IF(ISNUMBER('Dvd Calendar'!$J$1712)=FALSE,"",'Dvd Calendar'!$J$1712))</f>
        <v/>
      </c>
      <c r="AW173" s="161">
        <f>IF(FY173="","",IF(ISNUMBER('Dvd Calendar'!$K$1712)=FALSE,"",'Dvd Calendar'!$K$1712))</f>
        <v/>
      </c>
      <c r="AX173" s="161">
        <f>IF(FZ173="","",IF(ISNUMBER('Dvd Calendar'!$L$1712)=FALSE,"",'Dvd Calendar'!$L$1712))</f>
        <v/>
      </c>
      <c r="AY173" s="161">
        <f>IF(GA173="","",IF(ISNUMBER('Dvd Calendar'!$M$1712)=FALSE,"",'Dvd Calendar'!$M$1712))</f>
        <v/>
      </c>
      <c r="AZ173" s="161">
        <f>IF(GB173="","",IF(ISNUMBER('Dvd Calendar'!$N$1712)=FALSE,"",'Dvd Calendar'!$N$1712))</f>
        <v/>
      </c>
      <c r="BA173" s="161">
        <f>IF(GC173="","",IF(ISNUMBER('Dvd Calendar'!$O$1712)=FALSE,"",'Dvd Calendar'!$O$1712))</f>
        <v/>
      </c>
      <c r="BB173" s="161">
        <f>IF(GD173="","",IF(ISNUMBER('Dvd Calendar'!$P$1712)=FALSE,"",'Dvd Calendar'!$P$1712))</f>
        <v/>
      </c>
      <c r="BC173" s="161">
        <f>IF(GE173="","",IF(ISNUMBER('Dvd Calendar'!$Q$1712)=FALSE,"",'Dvd Calendar'!$Q$1712))</f>
        <v/>
      </c>
      <c r="BD173" s="161">
        <f>IF(GF173="","",IF(ISNUMBER('Dvd Calendar'!$R$1712)=FALSE,"",'Dvd Calendar'!$R$1712))</f>
        <v/>
      </c>
      <c r="BE173" s="161">
        <f>IF(GG173="","",IF(ISNUMBER('Dvd Calendar'!$S$1712)=FALSE,"",'Dvd Calendar'!$S$1712))</f>
        <v/>
      </c>
      <c r="BF173" s="161">
        <f>IF(GH173="","",IF(ISNUMBER('Dvd Calendar'!$T$1712)=FALSE,"",'Dvd Calendar'!$T$1712))</f>
        <v/>
      </c>
      <c r="BG173" s="161">
        <f>IF(GI173="","",IF(ISNUMBER('Dvd Calendar'!$U$1712)=FALSE,"",'Dvd Calendar'!$U$1712))</f>
        <v/>
      </c>
      <c r="BH173" s="161">
        <f>IF(GJ173="","",IF(ISNUMBER('Dvd Calendar'!$V$1712)=FALSE,"",'Dvd Calendar'!$V$1712))</f>
        <v/>
      </c>
      <c r="BI173" s="161">
        <f>IF(GK173="","",IF(ISNUMBER('Dvd Calendar'!$W$1712)=FALSE,"",'Dvd Calendar'!$W$1712))</f>
        <v/>
      </c>
      <c r="BJ173" s="161">
        <f>IF(GL173="","",IF(ISNUMBER('Dvd Calendar'!$X$1712)=FALSE,"",'Dvd Calendar'!$X$1712))</f>
        <v/>
      </c>
      <c r="BK173" s="161">
        <f>IF(GM173="","",IF(ISNUMBER('Dvd Calendar'!$Y$1712)=FALSE,"",'Dvd Calendar'!$Y$1712))</f>
        <v/>
      </c>
      <c r="BL173" s="161">
        <f>IF(GN173="","",IF(ISNUMBER('Dvd Calendar'!$Z$1712)=FALSE,"",'Dvd Calendar'!$Z$1712))</f>
        <v/>
      </c>
      <c r="BM173" s="161">
        <f>IF(GO173="","",IF(ISNUMBER('Dvd Calendar'!$AA$1712)=FALSE,"",'Dvd Calendar'!$AA$1712))</f>
        <v/>
      </c>
      <c r="BN173" s="161">
        <f>IF(GP173="","",IF(ISNUMBER('Dvd Calendar'!$AB$1712)=FALSE,"",'Dvd Calendar'!$AB$1712))</f>
        <v/>
      </c>
      <c r="BO173" s="161">
        <f>IF(GQ173="","",IF(ISNUMBER('Dvd Calendar'!$AC$1712)=FALSE,"",'Dvd Calendar'!$AC$1712))</f>
        <v/>
      </c>
      <c r="BQ173" s="161">
        <f>IF(C173="","",IFERROR(C173*HSCEI!$B$20*HSCEI!$G$20/HSCEI!$B$3,""))</f>
        <v/>
      </c>
      <c r="BR173" s="161">
        <f>IF(D173="","",IFERROR(D173*HSCEI!$B$20*HSCEI!$G$20/HSCEI!$B$3,""))</f>
        <v/>
      </c>
      <c r="BS173" s="161">
        <f>IF(E173="","",IFERROR(E173*HSCEI!$B$20*HSCEI!$G$20/HSCEI!$B$3,""))</f>
        <v/>
      </c>
      <c r="BT173" s="161">
        <f>IF(F173="","",IFERROR(F173*HSCEI!$B$20*HSCEI!$G$20/HSCEI!$B$3,""))</f>
        <v/>
      </c>
      <c r="BU173" s="161">
        <f>IF(G173="","",IFERROR(G173*HSCEI!$B$20*HSCEI!$G$20/HSCEI!$B$3,""))</f>
        <v/>
      </c>
      <c r="BV173" s="161">
        <f>IF(H173="","",IFERROR(H173*HSCEI!$B$20*HSCEI!$G$20/HSCEI!$B$3,""))</f>
        <v/>
      </c>
      <c r="BW173" s="161">
        <f>IF(I173="","",IFERROR(I173*HSCEI!$B$20*HSCEI!$G$20/HSCEI!$B$3,""))</f>
        <v/>
      </c>
      <c r="BX173" s="161">
        <f>IF(J173="","",IFERROR(J173*HSCEI!$B$20*HSCEI!$G$20/HSCEI!$B$3,""))</f>
        <v/>
      </c>
      <c r="BY173" s="161">
        <f>IF(K173="","",IFERROR(K173*HSCEI!$B$20*HSCEI!$G$20/HSCEI!$B$3,""))</f>
        <v/>
      </c>
      <c r="BZ173" s="161">
        <f>IF(L173="","",IFERROR(L173*HSCEI!$B$20*HSCEI!$G$20/HSCEI!$B$3,""))</f>
        <v/>
      </c>
      <c r="CA173" s="161">
        <f>IF(M173="","",IFERROR(M173*HSCEI!$B$20*HSCEI!$G$20/HSCEI!$B$3,""))</f>
        <v/>
      </c>
      <c r="CB173" s="161">
        <f>IF(N173="","",IFERROR(N173*HSCEI!$B$20*HSCEI!$G$20/HSCEI!$B$3,""))</f>
        <v/>
      </c>
      <c r="CC173" s="161">
        <f>IF(O173="","",IFERROR(O173*HSCEI!$B$20*HSCEI!$G$20/HSCEI!$B$3,""))</f>
        <v/>
      </c>
      <c r="CD173" s="161">
        <f>IF(P173="","",IFERROR(P173*HSCEI!$B$20*HSCEI!$G$20/HSCEI!$B$3,""))</f>
        <v/>
      </c>
      <c r="CE173" s="161">
        <f>IF(Q173="","",IFERROR(Q173*HSCEI!$B$20*HSCEI!$G$20/HSCEI!$B$3,""))</f>
        <v/>
      </c>
      <c r="CF173" s="161">
        <f>IF(R173="","",IFERROR(R173*HSCEI!$B$20*HSCEI!$G$20/HSCEI!$B$3,""))</f>
        <v/>
      </c>
      <c r="CG173" s="161">
        <f>IF(S173="","",IFERROR(S173*HSCEI!$B$20*HSCEI!$G$20/HSCEI!$B$3,""))</f>
        <v/>
      </c>
      <c r="CH173" s="161">
        <f>IF(T173="","",IFERROR(T173*HSCEI!$B$20*HSCEI!$G$20/HSCEI!$B$3,""))</f>
        <v/>
      </c>
      <c r="CI173" s="161">
        <f>IF(U173="","",IFERROR(U173*HSCEI!$B$20*HSCEI!$G$20/HSCEI!$B$3,""))</f>
        <v/>
      </c>
      <c r="CJ173" s="161">
        <f>IF(V173="","",IFERROR(V173*HSCEI!$B$20*HSCEI!$G$20/HSCEI!$B$3,""))</f>
        <v/>
      </c>
      <c r="CK173" s="161">
        <f>IF(W173="","",IFERROR(W173*HSCEI!$B$20*HSCEI!$G$20/HSCEI!$B$3,""))</f>
        <v/>
      </c>
      <c r="CL173" s="161">
        <f>IF(X173="","",IFERROR(X173*HSCEI!$B$20*HSCEI!$G$20/HSCEI!$B$3,""))</f>
        <v/>
      </c>
      <c r="CM173" s="161">
        <f>IF(Y173="","",IFERROR(Y173*HSCEI!$B$20*HSCEI!$G$20/HSCEI!$B$3,""))</f>
        <v/>
      </c>
      <c r="CN173" s="161">
        <f>IF(Z173="","",IFERROR(Z173*HSCEI!$B$20*HSCEI!$G$20/HSCEI!$B$3,""))</f>
        <v/>
      </c>
      <c r="CO173" s="161">
        <f>IF(AA173="","",IFERROR(AA173*HSCEI!$B$20*HSCEI!$G$20/HSCEI!$B$3,""))</f>
        <v/>
      </c>
      <c r="CP173" s="161">
        <f>IF(AB173="","",IFERROR(AB173*HSCEI!$B$20*HSCEI!$G$20/HSCEI!$B$3,""))</f>
        <v/>
      </c>
      <c r="CQ173" s="161">
        <f>IF(AC173="","",IFERROR(AC173*HSCEI!$B$20*HSCEI!$G$20/HSCEI!$B$3,""))</f>
        <v/>
      </c>
      <c r="CR173" s="161">
        <f>IF(AD173="","",IFERROR(AD173*HSCEI!$B$20*HSCEI!$G$20/HSCEI!$B$3,""))</f>
        <v/>
      </c>
      <c r="CS173" s="161">
        <f>IF(AE173="","",IFERROR(AE173*HSCEI!$B$20*HSCEI!$G$20/HSCEI!$B$3,""))</f>
        <v/>
      </c>
      <c r="CT173" s="161">
        <f>IF(AF173="","",IFERROR(AF173*HSCEI!$B$20*HSCEI!$G$20/HSCEI!$B$3,""))</f>
        <v/>
      </c>
      <c r="CU173" s="161">
        <f>IF(AG173="","",IFERROR(AG173*HSCEI!$B$20*HSCEI!$G$20/HSCEI!$B$3,""))</f>
        <v/>
      </c>
      <c r="CV173" s="161">
        <f>IF(AH173="","",IFERROR(AH173*HSCEI!$B$20*HSCEI!$G$20/HSCEI!$B$3,""))</f>
        <v/>
      </c>
      <c r="CW173" s="161">
        <f>IF(AI173="","",IFERROR(AI173*HSCEI!$B$20*HSCEI!$G$20/HSCEI!$B$3,""))</f>
        <v/>
      </c>
      <c r="CX173" s="161">
        <f>IF(AJ173="","",IFERROR(AJ173*HSCEI!$B$20*HSCEI!$G$20/HSCEI!$B$3,""))</f>
        <v/>
      </c>
      <c r="CY173" s="161">
        <f>IF(AK173="","",IFERROR(AK173*HSCEI!$B$20*HSCEI!$G$20/HSCEI!$B$3,""))</f>
        <v/>
      </c>
      <c r="CZ173" s="161">
        <f>IF(AL173="","",IFERROR(AL173*HSCEI!$B$20*HSCEI!$G$20/HSCEI!$B$3,""))</f>
        <v/>
      </c>
      <c r="DA173" s="161">
        <f>IF(AM173="","",IFERROR(AM173*HSCEI!$B$20*HSCEI!$G$20/HSCEI!$B$3,""))</f>
        <v/>
      </c>
      <c r="DB173" s="161">
        <f>IF(AN173="","",IFERROR(AN173*HSCEI!$B$20*HSCEI!$G$20/HSCEI!$B$3,""))</f>
        <v/>
      </c>
      <c r="DC173" s="161">
        <f>IF(AO173="","",IFERROR(AO173*HSCEI!$B$20*HSCEI!$G$20/HSCEI!$B$3,""))</f>
        <v/>
      </c>
      <c r="DD173" s="161">
        <f>IF(AP173="","",IFERROR(AP173*HSCEI!$B$20*HSCEI!$G$20/HSCEI!$B$3,""))</f>
        <v/>
      </c>
      <c r="DE173" s="161">
        <f>IF(AQ173="","",IFERROR(AQ173*HSCEI!$B$20*HSCEI!$G$20/HSCEI!$B$3,""))</f>
        <v/>
      </c>
      <c r="DF173" s="161">
        <f>IF(AR173="","",IFERROR(AR173*HSCEI!$B$20*HSCEI!$G$20/HSCEI!$B$3,""))</f>
        <v/>
      </c>
      <c r="DG173" s="161">
        <f>IF(AS173="","",IFERROR(AS173*HSCEI!$B$20*HSCEI!$G$20/HSCEI!$B$3,""))</f>
        <v/>
      </c>
      <c r="DH173" s="161">
        <f>IF(AT173="","",IFERROR(AT173*HSCEI!$B$20*HSCEI!$G$20/HSCEI!$B$3,""))</f>
        <v/>
      </c>
      <c r="DI173" s="161">
        <f>IF(AU173="","",IFERROR(AU173*HSCEI!$B$20*HSCEI!$G$20/HSCEI!$B$3,""))</f>
        <v/>
      </c>
      <c r="DJ173" s="161">
        <f>IF(AV173="","",IFERROR(AV173*HSCEI!$B$20*HSCEI!$G$20/HSCEI!$B$3,""))</f>
        <v/>
      </c>
      <c r="DK173" s="161">
        <f>IF(AW173="","",IFERROR(AW173*HSCEI!$B$20*HSCEI!$G$20/HSCEI!$B$3,""))</f>
        <v/>
      </c>
      <c r="DL173" s="161">
        <f>IF(AX173="","",IFERROR(AX173*HSCEI!$B$20*HSCEI!$G$20/HSCEI!$B$3,""))</f>
        <v/>
      </c>
      <c r="DM173" s="161">
        <f>IF(AY173="","",IFERROR(AY173*HSCEI!$B$20*HSCEI!$G$20/HSCEI!$B$3,""))</f>
        <v/>
      </c>
      <c r="DN173" s="161">
        <f>IF(AZ173="","",IFERROR(AZ173*HSCEI!$B$20*HSCEI!$G$20/HSCEI!$B$3,""))</f>
        <v/>
      </c>
      <c r="DO173" s="161">
        <f>IF(BA173="","",IFERROR(BA173*HSCEI!$B$20*HSCEI!$G$20/HSCEI!$B$3,""))</f>
        <v/>
      </c>
      <c r="DP173" s="161">
        <f>IF(BB173="","",IFERROR(BB173*HSCEI!$B$20*HSCEI!$G$20/HSCEI!$B$3,""))</f>
        <v/>
      </c>
      <c r="DQ173" s="161">
        <f>IF(BC173="","",IFERROR(BC173*HSCEI!$B$20*HSCEI!$G$20/HSCEI!$B$3,""))</f>
        <v/>
      </c>
      <c r="DR173" s="161">
        <f>IF(BD173="","",IFERROR(BD173*HSCEI!$B$20*HSCEI!$G$20/HSCEI!$B$3,""))</f>
        <v/>
      </c>
      <c r="DS173" s="161">
        <f>IF(BE173="","",IFERROR(BE173*HSCEI!$B$20*HSCEI!$G$20/HSCEI!$B$3,""))</f>
        <v/>
      </c>
      <c r="DT173" s="161">
        <f>IF(BF173="","",IFERROR(BF173*HSCEI!$B$20*HSCEI!$G$20/HSCEI!$B$3,""))</f>
        <v/>
      </c>
      <c r="DU173" s="161">
        <f>IF(BG173="","",IFERROR(BG173*HSCEI!$B$20*HSCEI!$G$20/HSCEI!$B$3,""))</f>
        <v/>
      </c>
      <c r="DV173" s="161">
        <f>IF(BH173="","",IFERROR(BH173*HSCEI!$B$20*HSCEI!$G$20/HSCEI!$B$3,""))</f>
        <v/>
      </c>
      <c r="DW173" s="161">
        <f>IF(BI173="","",IFERROR(BI173*HSCEI!$B$20*HSCEI!$G$20/HSCEI!$B$3,""))</f>
        <v/>
      </c>
      <c r="DX173" s="161">
        <f>IF(BJ173="","",IFERROR(BJ173*HSCEI!$B$20*HSCEI!$G$20/HSCEI!$B$3,""))</f>
        <v/>
      </c>
      <c r="DY173" s="161">
        <f>IF(BK173="","",IFERROR(BK173*HSCEI!$B$20*HSCEI!$G$20/HSCEI!$B$3,""))</f>
        <v/>
      </c>
      <c r="DZ173" s="161">
        <f>IF(BL173="","",IFERROR(BL173*HSCEI!$B$20*HSCEI!$G$20/HSCEI!$B$3,""))</f>
        <v/>
      </c>
      <c r="EA173" s="161">
        <f>IF(BM173="","",IFERROR(BM173*HSCEI!$B$20*HSCEI!$G$20/HSCEI!$B$3,""))</f>
        <v/>
      </c>
      <c r="EB173" s="161">
        <f>IF(BN173="","",IFERROR(BN173*HSCEI!$B$20*HSCEI!$G$20/HSCEI!$B$3,""))</f>
        <v/>
      </c>
      <c r="EC173" s="161">
        <f>IF(BO173="","",IFERROR(BO173*HSCEI!$B$20*HSCEI!$G$20/HSCEI!$B$3,""))</f>
        <v/>
      </c>
      <c r="EE173" s="121">
        <f>IF(N('Dvd Calendar'!$E$1704)=0,"",IF(('Dvd Calendar'!$E$1704&gt;=GRID_FROM)*('Dvd Calendar'!$E$1704&lt;=GRID_TO)*((('Dvd Calendar'!$E$1704&lt;=VAL_DATE)+(COUNTIF('Dvd Calendar'!$E$1711:$AR$1711,'Dvd Calendar'!$E$1704)=0))&gt;0)=0,"",'Dvd Calendar'!$E$1704*1000000000+ISNUMBER('Dvd Calendar'!$E$1707)*100000000+('Dvd Calendar'!$E$1709=SPECIAL_LBL)*10000000+(N('Dvd Calendar'!$E$1703)&gt;0)*(N('Dvd Calendar'!$E$1703)&lt;=VAL_SERIAL)*1000000+14*1000+1))</f>
        <v/>
      </c>
      <c r="EF173" s="121">
        <f>IF(N('Dvd Calendar'!$F$1704)=0,"",IF(('Dvd Calendar'!$F$1704&gt;=GRID_FROM)*('Dvd Calendar'!$F$1704&lt;=GRID_TO)*((('Dvd Calendar'!$F$1704&lt;=VAL_DATE)+(COUNTIF('Dvd Calendar'!$E$1711:$AR$1711,'Dvd Calendar'!$F$1704)=0))&gt;0)=0,"",'Dvd Calendar'!$F$1704*1000000000+ISNUMBER('Dvd Calendar'!$F$1707)*100000000+('Dvd Calendar'!$F$1709=SPECIAL_LBL)*10000000+(N('Dvd Calendar'!$F$1703)&gt;0)*(N('Dvd Calendar'!$F$1703)&lt;=VAL_SERIAL)*1000000+14*1000+2))</f>
        <v/>
      </c>
      <c r="EG173" s="121">
        <f>IF(N('Dvd Calendar'!$G$1704)=0,"",IF(('Dvd Calendar'!$G$1704&gt;=GRID_FROM)*('Dvd Calendar'!$G$1704&lt;=GRID_TO)*((('Dvd Calendar'!$G$1704&lt;=VAL_DATE)+(COUNTIF('Dvd Calendar'!$E$1711:$AR$1711,'Dvd Calendar'!$G$1704)=0))&gt;0)=0,"",'Dvd Calendar'!$G$1704*1000000000+ISNUMBER('Dvd Calendar'!$G$1707)*100000000+('Dvd Calendar'!$G$1709=SPECIAL_LBL)*10000000+(N('Dvd Calendar'!$G$1703)&gt;0)*(N('Dvd Calendar'!$G$1703)&lt;=VAL_SERIAL)*1000000+14*1000+3))</f>
        <v/>
      </c>
      <c r="EH173" s="121">
        <f>IF(N('Dvd Calendar'!$H$1704)=0,"",IF(('Dvd Calendar'!$H$1704&gt;=GRID_FROM)*('Dvd Calendar'!$H$1704&lt;=GRID_TO)*((('Dvd Calendar'!$H$1704&lt;=VAL_DATE)+(COUNTIF('Dvd Calendar'!$E$1711:$AR$1711,'Dvd Calendar'!$H$1704)=0))&gt;0)=0,"",'Dvd Calendar'!$H$1704*1000000000+ISNUMBER('Dvd Calendar'!$H$1707)*100000000+('Dvd Calendar'!$H$1709=SPECIAL_LBL)*10000000+(N('Dvd Calendar'!$H$1703)&gt;0)*(N('Dvd Calendar'!$H$1703)&lt;=VAL_SERIAL)*1000000+14*1000+4))</f>
        <v/>
      </c>
      <c r="EI173" s="121">
        <f>IF(N('Dvd Calendar'!$I$1704)=0,"",IF(('Dvd Calendar'!$I$1704&gt;=GRID_FROM)*('Dvd Calendar'!$I$1704&lt;=GRID_TO)*((('Dvd Calendar'!$I$1704&lt;=VAL_DATE)+(COUNTIF('Dvd Calendar'!$E$1711:$AR$1711,'Dvd Calendar'!$I$1704)=0))&gt;0)=0,"",'Dvd Calendar'!$I$1704*1000000000+ISNUMBER('Dvd Calendar'!$I$1707)*100000000+('Dvd Calendar'!$I$1709=SPECIAL_LBL)*10000000+(N('Dvd Calendar'!$I$1703)&gt;0)*(N('Dvd Calendar'!$I$1703)&lt;=VAL_SERIAL)*1000000+14*1000+5))</f>
        <v/>
      </c>
      <c r="EJ173" s="121">
        <f>IF(N('Dvd Calendar'!$J$1704)=0,"",IF(('Dvd Calendar'!$J$1704&gt;=GRID_FROM)*('Dvd Calendar'!$J$1704&lt;=GRID_TO)*((('Dvd Calendar'!$J$1704&lt;=VAL_DATE)+(COUNTIF('Dvd Calendar'!$E$1711:$AR$1711,'Dvd Calendar'!$J$1704)=0))&gt;0)=0,"",'Dvd Calendar'!$J$1704*1000000000+ISNUMBER('Dvd Calendar'!$J$1707)*100000000+('Dvd Calendar'!$J$1709=SPECIAL_LBL)*10000000+(N('Dvd Calendar'!$J$1703)&gt;0)*(N('Dvd Calendar'!$J$1703)&lt;=VAL_SERIAL)*1000000+14*1000+6))</f>
        <v/>
      </c>
      <c r="EK173" s="121">
        <f>IF(N('Dvd Calendar'!$K$1704)=0,"",IF(('Dvd Calendar'!$K$1704&gt;=GRID_FROM)*('Dvd Calendar'!$K$1704&lt;=GRID_TO)*((('Dvd Calendar'!$K$1704&lt;=VAL_DATE)+(COUNTIF('Dvd Calendar'!$E$1711:$AR$1711,'Dvd Calendar'!$K$1704)=0))&gt;0)=0,"",'Dvd Calendar'!$K$1704*1000000000+ISNUMBER('Dvd Calendar'!$K$1707)*100000000+('Dvd Calendar'!$K$1709=SPECIAL_LBL)*10000000+(N('Dvd Calendar'!$K$1703)&gt;0)*(N('Dvd Calendar'!$K$1703)&lt;=VAL_SERIAL)*1000000+14*1000+7))</f>
        <v/>
      </c>
      <c r="EL173" s="121">
        <f>IF(N('Dvd Calendar'!$L$1704)=0,"",IF(('Dvd Calendar'!$L$1704&gt;=GRID_FROM)*('Dvd Calendar'!$L$1704&lt;=GRID_TO)*((('Dvd Calendar'!$L$1704&lt;=VAL_DATE)+(COUNTIF('Dvd Calendar'!$E$1711:$AR$1711,'Dvd Calendar'!$L$1704)=0))&gt;0)=0,"",'Dvd Calendar'!$L$1704*1000000000+ISNUMBER('Dvd Calendar'!$L$1707)*100000000+('Dvd Calendar'!$L$1709=SPECIAL_LBL)*10000000+(N('Dvd Calendar'!$L$1703)&gt;0)*(N('Dvd Calendar'!$L$1703)&lt;=VAL_SERIAL)*1000000+14*1000+8))</f>
        <v/>
      </c>
      <c r="EM173" s="121">
        <f>IF(N('Dvd Calendar'!$M$1704)=0,"",IF(('Dvd Calendar'!$M$1704&gt;=GRID_FROM)*('Dvd Calendar'!$M$1704&lt;=GRID_TO)*((('Dvd Calendar'!$M$1704&lt;=VAL_DATE)+(COUNTIF('Dvd Calendar'!$E$1711:$AR$1711,'Dvd Calendar'!$M$1704)=0))&gt;0)=0,"",'Dvd Calendar'!$M$1704*1000000000+ISNUMBER('Dvd Calendar'!$M$1707)*100000000+('Dvd Calendar'!$M$1709=SPECIAL_LBL)*10000000+(N('Dvd Calendar'!$M$1703)&gt;0)*(N('Dvd Calendar'!$M$1703)&lt;=VAL_SERIAL)*1000000+14*1000+9))</f>
        <v/>
      </c>
      <c r="EN173" s="121">
        <f>IF(N('Dvd Calendar'!$N$1704)=0,"",IF(('Dvd Calendar'!$N$1704&gt;=GRID_FROM)*('Dvd Calendar'!$N$1704&lt;=GRID_TO)*((('Dvd Calendar'!$N$1704&lt;=VAL_DATE)+(COUNTIF('Dvd Calendar'!$E$1711:$AR$1711,'Dvd Calendar'!$N$1704)=0))&gt;0)=0,"",'Dvd Calendar'!$N$1704*1000000000+ISNUMBER('Dvd Calendar'!$N$1707)*100000000+('Dvd Calendar'!$N$1709=SPECIAL_LBL)*10000000+(N('Dvd Calendar'!$N$1703)&gt;0)*(N('Dvd Calendar'!$N$1703)&lt;=VAL_SERIAL)*1000000+14*1000+10))</f>
        <v/>
      </c>
      <c r="EO173" s="121">
        <f>IF(N('Dvd Calendar'!$O$1704)=0,"",IF(('Dvd Calendar'!$O$1704&gt;=GRID_FROM)*('Dvd Calendar'!$O$1704&lt;=GRID_TO)*((('Dvd Calendar'!$O$1704&lt;=VAL_DATE)+(COUNTIF('Dvd Calendar'!$E$1711:$AR$1711,'Dvd Calendar'!$O$1704)=0))&gt;0)=0,"",'Dvd Calendar'!$O$1704*1000000000+ISNUMBER('Dvd Calendar'!$O$1707)*100000000+('Dvd Calendar'!$O$1709=SPECIAL_LBL)*10000000+(N('Dvd Calendar'!$O$1703)&gt;0)*(N('Dvd Calendar'!$O$1703)&lt;=VAL_SERIAL)*1000000+14*1000+11))</f>
        <v/>
      </c>
      <c r="EP173" s="121">
        <f>IF(N('Dvd Calendar'!$P$1704)=0,"",IF(('Dvd Calendar'!$P$1704&gt;=GRID_FROM)*('Dvd Calendar'!$P$1704&lt;=GRID_TO)*((('Dvd Calendar'!$P$1704&lt;=VAL_DATE)+(COUNTIF('Dvd Calendar'!$E$1711:$AR$1711,'Dvd Calendar'!$P$1704)=0))&gt;0)=0,"",'Dvd Calendar'!$P$1704*1000000000+ISNUMBER('Dvd Calendar'!$P$1707)*100000000+('Dvd Calendar'!$P$1709=SPECIAL_LBL)*10000000+(N('Dvd Calendar'!$P$1703)&gt;0)*(N('Dvd Calendar'!$P$1703)&lt;=VAL_SERIAL)*1000000+14*1000+12))</f>
        <v/>
      </c>
      <c r="EQ173" s="121">
        <f>IF(N('Dvd Calendar'!$Q$1704)=0,"",IF(('Dvd Calendar'!$Q$1704&gt;=GRID_FROM)*('Dvd Calendar'!$Q$1704&lt;=GRID_TO)*((('Dvd Calendar'!$Q$1704&lt;=VAL_DATE)+(COUNTIF('Dvd Calendar'!$E$1711:$AR$1711,'Dvd Calendar'!$Q$1704)=0))&gt;0)=0,"",'Dvd Calendar'!$Q$1704*1000000000+ISNUMBER('Dvd Calendar'!$Q$1707)*100000000+('Dvd Calendar'!$Q$1709=SPECIAL_LBL)*10000000+(N('Dvd Calendar'!$Q$1703)&gt;0)*(N('Dvd Calendar'!$Q$1703)&lt;=VAL_SERIAL)*1000000+14*1000+13))</f>
        <v/>
      </c>
      <c r="ER173" s="121">
        <f>IF(N('Dvd Calendar'!$R$1704)=0,"",IF(('Dvd Calendar'!$R$1704&gt;=GRID_FROM)*('Dvd Calendar'!$R$1704&lt;=GRID_TO)*((('Dvd Calendar'!$R$1704&lt;=VAL_DATE)+(COUNTIF('Dvd Calendar'!$E$1711:$AR$1711,'Dvd Calendar'!$R$1704)=0))&gt;0)=0,"",'Dvd Calendar'!$R$1704*1000000000+ISNUMBER('Dvd Calendar'!$R$1707)*100000000+('Dvd Calendar'!$R$1709=SPECIAL_LBL)*10000000+(N('Dvd Calendar'!$R$1703)&gt;0)*(N('Dvd Calendar'!$R$1703)&lt;=VAL_SERIAL)*1000000+14*1000+14))</f>
        <v/>
      </c>
      <c r="ES173" s="121">
        <f>IF(N('Dvd Calendar'!$S$1704)=0,"",IF(('Dvd Calendar'!$S$1704&gt;=GRID_FROM)*('Dvd Calendar'!$S$1704&lt;=GRID_TO)*((('Dvd Calendar'!$S$1704&lt;=VAL_DATE)+(COUNTIF('Dvd Calendar'!$E$1711:$AR$1711,'Dvd Calendar'!$S$1704)=0))&gt;0)=0,"",'Dvd Calendar'!$S$1704*1000000000+ISNUMBER('Dvd Calendar'!$S$1707)*100000000+('Dvd Calendar'!$S$1709=SPECIAL_LBL)*10000000+(N('Dvd Calendar'!$S$1703)&gt;0)*(N('Dvd Calendar'!$S$1703)&lt;=VAL_SERIAL)*1000000+14*1000+15))</f>
        <v/>
      </c>
      <c r="ET173" s="121">
        <f>IF(N('Dvd Calendar'!$T$1704)=0,"",IF(('Dvd Calendar'!$T$1704&gt;=GRID_FROM)*('Dvd Calendar'!$T$1704&lt;=GRID_TO)*((('Dvd Calendar'!$T$1704&lt;=VAL_DATE)+(COUNTIF('Dvd Calendar'!$E$1711:$AR$1711,'Dvd Calendar'!$T$1704)=0))&gt;0)=0,"",'Dvd Calendar'!$T$1704*1000000000+ISNUMBER('Dvd Calendar'!$T$1707)*100000000+('Dvd Calendar'!$T$1709=SPECIAL_LBL)*10000000+(N('Dvd Calendar'!$T$1703)&gt;0)*(N('Dvd Calendar'!$T$1703)&lt;=VAL_SERIAL)*1000000+14*1000+16))</f>
        <v/>
      </c>
      <c r="EU173" s="121">
        <f>IF(N('Dvd Calendar'!$U$1704)=0,"",IF(('Dvd Calendar'!$U$1704&gt;=GRID_FROM)*('Dvd Calendar'!$U$1704&lt;=GRID_TO)*((('Dvd Calendar'!$U$1704&lt;=VAL_DATE)+(COUNTIF('Dvd Calendar'!$E$1711:$AR$1711,'Dvd Calendar'!$U$1704)=0))&gt;0)=0,"",'Dvd Calendar'!$U$1704*1000000000+ISNUMBER('Dvd Calendar'!$U$1707)*100000000+('Dvd Calendar'!$U$1709=SPECIAL_LBL)*10000000+(N('Dvd Calendar'!$U$1703)&gt;0)*(N('Dvd Calendar'!$U$1703)&lt;=VAL_SERIAL)*1000000+14*1000+17))</f>
        <v/>
      </c>
      <c r="EV173" s="121">
        <f>IF(N('Dvd Calendar'!$V$1704)=0,"",IF(('Dvd Calendar'!$V$1704&gt;=GRID_FROM)*('Dvd Calendar'!$V$1704&lt;=GRID_TO)*((('Dvd Calendar'!$V$1704&lt;=VAL_DATE)+(COUNTIF('Dvd Calendar'!$E$1711:$AR$1711,'Dvd Calendar'!$V$1704)=0))&gt;0)=0,"",'Dvd Calendar'!$V$1704*1000000000+ISNUMBER('Dvd Calendar'!$V$1707)*100000000+('Dvd Calendar'!$V$1709=SPECIAL_LBL)*10000000+(N('Dvd Calendar'!$V$1703)&gt;0)*(N('Dvd Calendar'!$V$1703)&lt;=VAL_SERIAL)*1000000+14*1000+18))</f>
        <v/>
      </c>
      <c r="EW173" s="121">
        <f>IF(N('Dvd Calendar'!$W$1704)=0,"",IF(('Dvd Calendar'!$W$1704&gt;=GRID_FROM)*('Dvd Calendar'!$W$1704&lt;=GRID_TO)*((('Dvd Calendar'!$W$1704&lt;=VAL_DATE)+(COUNTIF('Dvd Calendar'!$E$1711:$AR$1711,'Dvd Calendar'!$W$1704)=0))&gt;0)=0,"",'Dvd Calendar'!$W$1704*1000000000+ISNUMBER('Dvd Calendar'!$W$1707)*100000000+('Dvd Calendar'!$W$1709=SPECIAL_LBL)*10000000+(N('Dvd Calendar'!$W$1703)&gt;0)*(N('Dvd Calendar'!$W$1703)&lt;=VAL_SERIAL)*1000000+14*1000+19))</f>
        <v/>
      </c>
      <c r="EX173" s="121">
        <f>IF(N('Dvd Calendar'!$X$1704)=0,"",IF(('Dvd Calendar'!$X$1704&gt;=GRID_FROM)*('Dvd Calendar'!$X$1704&lt;=GRID_TO)*((('Dvd Calendar'!$X$1704&lt;=VAL_DATE)+(COUNTIF('Dvd Calendar'!$E$1711:$AR$1711,'Dvd Calendar'!$X$1704)=0))&gt;0)=0,"",'Dvd Calendar'!$X$1704*1000000000+ISNUMBER('Dvd Calendar'!$X$1707)*100000000+('Dvd Calendar'!$X$1709=SPECIAL_LBL)*10000000+(N('Dvd Calendar'!$X$1703)&gt;0)*(N('Dvd Calendar'!$X$1703)&lt;=VAL_SERIAL)*1000000+14*1000+20))</f>
        <v/>
      </c>
      <c r="EY173" s="121">
        <f>IF(N('Dvd Calendar'!$Y$1704)=0,"",IF(('Dvd Calendar'!$Y$1704&gt;=GRID_FROM)*('Dvd Calendar'!$Y$1704&lt;=GRID_TO)*((('Dvd Calendar'!$Y$1704&lt;=VAL_DATE)+(COUNTIF('Dvd Calendar'!$E$1711:$AR$1711,'Dvd Calendar'!$Y$1704)=0))&gt;0)=0,"",'Dvd Calendar'!$Y$1704*1000000000+ISNUMBER('Dvd Calendar'!$Y$1707)*100000000+('Dvd Calendar'!$Y$1709=SPECIAL_LBL)*10000000+(N('Dvd Calendar'!$Y$1703)&gt;0)*(N('Dvd Calendar'!$Y$1703)&lt;=VAL_SERIAL)*1000000+14*1000+21))</f>
        <v/>
      </c>
      <c r="EZ173" s="121">
        <f>IF(N('Dvd Calendar'!$Z$1704)=0,"",IF(('Dvd Calendar'!$Z$1704&gt;=GRID_FROM)*('Dvd Calendar'!$Z$1704&lt;=GRID_TO)*((('Dvd Calendar'!$Z$1704&lt;=VAL_DATE)+(COUNTIF('Dvd Calendar'!$E$1711:$AR$1711,'Dvd Calendar'!$Z$1704)=0))&gt;0)=0,"",'Dvd Calendar'!$Z$1704*1000000000+ISNUMBER('Dvd Calendar'!$Z$1707)*100000000+('Dvd Calendar'!$Z$1709=SPECIAL_LBL)*10000000+(N('Dvd Calendar'!$Z$1703)&gt;0)*(N('Dvd Calendar'!$Z$1703)&lt;=VAL_SERIAL)*1000000+14*1000+22))</f>
        <v/>
      </c>
      <c r="FA173" s="121">
        <f>IF(N('Dvd Calendar'!$AA$1704)=0,"",IF(('Dvd Calendar'!$AA$1704&gt;=GRID_FROM)*('Dvd Calendar'!$AA$1704&lt;=GRID_TO)*((('Dvd Calendar'!$AA$1704&lt;=VAL_DATE)+(COUNTIF('Dvd Calendar'!$E$1711:$AR$1711,'Dvd Calendar'!$AA$1704)=0))&gt;0)=0,"",'Dvd Calendar'!$AA$1704*1000000000+ISNUMBER('Dvd Calendar'!$AA$1707)*100000000+('Dvd Calendar'!$AA$1709=SPECIAL_LBL)*10000000+(N('Dvd Calendar'!$AA$1703)&gt;0)*(N('Dvd Calendar'!$AA$1703)&lt;=VAL_SERIAL)*1000000+14*1000+23))</f>
        <v/>
      </c>
      <c r="FB173" s="121">
        <f>IF(N('Dvd Calendar'!$AB$1704)=0,"",IF(('Dvd Calendar'!$AB$1704&gt;=GRID_FROM)*('Dvd Calendar'!$AB$1704&lt;=GRID_TO)*((('Dvd Calendar'!$AB$1704&lt;=VAL_DATE)+(COUNTIF('Dvd Calendar'!$E$1711:$AR$1711,'Dvd Calendar'!$AB$1704)=0))&gt;0)=0,"",'Dvd Calendar'!$AB$1704*1000000000+ISNUMBER('Dvd Calendar'!$AB$1707)*100000000+('Dvd Calendar'!$AB$1709=SPECIAL_LBL)*10000000+(N('Dvd Calendar'!$AB$1703)&gt;0)*(N('Dvd Calendar'!$AB$1703)&lt;=VAL_SERIAL)*1000000+14*1000+24))</f>
        <v/>
      </c>
      <c r="FC173" s="121">
        <f>IF(N('Dvd Calendar'!$AC$1704)=0,"",IF(('Dvd Calendar'!$AC$1704&gt;=GRID_FROM)*('Dvd Calendar'!$AC$1704&lt;=GRID_TO)*((('Dvd Calendar'!$AC$1704&lt;=VAL_DATE)+(COUNTIF('Dvd Calendar'!$E$1711:$AR$1711,'Dvd Calendar'!$AC$1704)=0))&gt;0)=0,"",'Dvd Calendar'!$AC$1704*1000000000+ISNUMBER('Dvd Calendar'!$AC$1707)*100000000+('Dvd Calendar'!$AC$1709=SPECIAL_LBL)*10000000+(N('Dvd Calendar'!$AC$1703)&gt;0)*(N('Dvd Calendar'!$AC$1703)&lt;=VAL_SERIAL)*1000000+14*1000+25))</f>
        <v/>
      </c>
      <c r="FD173" s="121">
        <f>IF(N('Dvd Calendar'!$AD$1704)=0,"",IF(('Dvd Calendar'!$AD$1704&gt;=GRID_FROM)*('Dvd Calendar'!$AD$1704&lt;=GRID_TO)*((('Dvd Calendar'!$AD$1704&lt;=VAL_DATE)+(COUNTIF('Dvd Calendar'!$E$1711:$AR$1711,'Dvd Calendar'!$AD$1704)=0))&gt;0)=0,"",'Dvd Calendar'!$AD$1704*1000000000+ISNUMBER('Dvd Calendar'!$AD$1707)*100000000+('Dvd Calendar'!$AD$1709=SPECIAL_LBL)*10000000+(N('Dvd Calendar'!$AD$1703)&gt;0)*(N('Dvd Calendar'!$AD$1703)&lt;=VAL_SERIAL)*1000000+14*1000+26))</f>
        <v/>
      </c>
      <c r="FE173" s="121">
        <f>IF(N('Dvd Calendar'!$AE$1704)=0,"",IF(('Dvd Calendar'!$AE$1704&gt;=GRID_FROM)*('Dvd Calendar'!$AE$1704&lt;=GRID_TO)*((('Dvd Calendar'!$AE$1704&lt;=VAL_DATE)+(COUNTIF('Dvd Calendar'!$E$1711:$AR$1711,'Dvd Calendar'!$AE$1704)=0))&gt;0)=0,"",'Dvd Calendar'!$AE$1704*1000000000+ISNUMBER('Dvd Calendar'!$AE$1707)*100000000+('Dvd Calendar'!$AE$1709=SPECIAL_LBL)*10000000+(N('Dvd Calendar'!$AE$1703)&gt;0)*(N('Dvd Calendar'!$AE$1703)&lt;=VAL_SERIAL)*1000000+14*1000+27))</f>
        <v/>
      </c>
      <c r="FF173" s="121">
        <f>IF(N('Dvd Calendar'!$AF$1704)=0,"",IF(('Dvd Calendar'!$AF$1704&gt;=GRID_FROM)*('Dvd Calendar'!$AF$1704&lt;=GRID_TO)*((('Dvd Calendar'!$AF$1704&lt;=VAL_DATE)+(COUNTIF('Dvd Calendar'!$E$1711:$AR$1711,'Dvd Calendar'!$AF$1704)=0))&gt;0)=0,"",'Dvd Calendar'!$AF$1704*1000000000+ISNUMBER('Dvd Calendar'!$AF$1707)*100000000+('Dvd Calendar'!$AF$1709=SPECIAL_LBL)*10000000+(N('Dvd Calendar'!$AF$1703)&gt;0)*(N('Dvd Calendar'!$AF$1703)&lt;=VAL_SERIAL)*1000000+14*1000+28))</f>
        <v/>
      </c>
      <c r="FG173" s="121">
        <f>IF(N('Dvd Calendar'!$AG$1704)=0,"",IF(('Dvd Calendar'!$AG$1704&gt;=GRID_FROM)*('Dvd Calendar'!$AG$1704&lt;=GRID_TO)*((('Dvd Calendar'!$AG$1704&lt;=VAL_DATE)+(COUNTIF('Dvd Calendar'!$E$1711:$AR$1711,'Dvd Calendar'!$AG$1704)=0))&gt;0)=0,"",'Dvd Calendar'!$AG$1704*1000000000+ISNUMBER('Dvd Calendar'!$AG$1707)*100000000+('Dvd Calendar'!$AG$1709=SPECIAL_LBL)*10000000+(N('Dvd Calendar'!$AG$1703)&gt;0)*(N('Dvd Calendar'!$AG$1703)&lt;=VAL_SERIAL)*1000000+14*1000+29))</f>
        <v/>
      </c>
      <c r="FH173" s="121">
        <f>IF(N('Dvd Calendar'!$AH$1704)=0,"",IF(('Dvd Calendar'!$AH$1704&gt;=GRID_FROM)*('Dvd Calendar'!$AH$1704&lt;=GRID_TO)*((('Dvd Calendar'!$AH$1704&lt;=VAL_DATE)+(COUNTIF('Dvd Calendar'!$E$1711:$AR$1711,'Dvd Calendar'!$AH$1704)=0))&gt;0)=0,"",'Dvd Calendar'!$AH$1704*1000000000+ISNUMBER('Dvd Calendar'!$AH$1707)*100000000+('Dvd Calendar'!$AH$1709=SPECIAL_LBL)*10000000+(N('Dvd Calendar'!$AH$1703)&gt;0)*(N('Dvd Calendar'!$AH$1703)&lt;=VAL_SERIAL)*1000000+14*1000+30))</f>
        <v/>
      </c>
      <c r="FI173" s="121">
        <f>IF(N('Dvd Calendar'!$AI$1704)=0,"",IF(('Dvd Calendar'!$AI$1704&gt;=GRID_FROM)*('Dvd Calendar'!$AI$1704&lt;=GRID_TO)*((('Dvd Calendar'!$AI$1704&lt;=VAL_DATE)+(COUNTIF('Dvd Calendar'!$E$1711:$AR$1711,'Dvd Calendar'!$AI$1704)=0))&gt;0)=0,"",'Dvd Calendar'!$AI$1704*1000000000+ISNUMBER('Dvd Calendar'!$AI$1707)*100000000+('Dvd Calendar'!$AI$1709=SPECIAL_LBL)*10000000+(N('Dvd Calendar'!$AI$1703)&gt;0)*(N('Dvd Calendar'!$AI$1703)&lt;=VAL_SERIAL)*1000000+14*1000+31))</f>
        <v/>
      </c>
      <c r="FJ173" s="121">
        <f>IF(N('Dvd Calendar'!$AJ$1704)=0,"",IF(('Dvd Calendar'!$AJ$1704&gt;=GRID_FROM)*('Dvd Calendar'!$AJ$1704&lt;=GRID_TO)*((('Dvd Calendar'!$AJ$1704&lt;=VAL_DATE)+(COUNTIF('Dvd Calendar'!$E$1711:$AR$1711,'Dvd Calendar'!$AJ$1704)=0))&gt;0)=0,"",'Dvd Calendar'!$AJ$1704*1000000000+ISNUMBER('Dvd Calendar'!$AJ$1707)*100000000+('Dvd Calendar'!$AJ$1709=SPECIAL_LBL)*10000000+(N('Dvd Calendar'!$AJ$1703)&gt;0)*(N('Dvd Calendar'!$AJ$1703)&lt;=VAL_SERIAL)*1000000+14*1000+32))</f>
        <v/>
      </c>
      <c r="FK173" s="121">
        <f>IF(N('Dvd Calendar'!$AK$1704)=0,"",IF(('Dvd Calendar'!$AK$1704&gt;=GRID_FROM)*('Dvd Calendar'!$AK$1704&lt;=GRID_TO)*((('Dvd Calendar'!$AK$1704&lt;=VAL_DATE)+(COUNTIF('Dvd Calendar'!$E$1711:$AR$1711,'Dvd Calendar'!$AK$1704)=0))&gt;0)=0,"",'Dvd Calendar'!$AK$1704*1000000000+ISNUMBER('Dvd Calendar'!$AK$1707)*100000000+('Dvd Calendar'!$AK$1709=SPECIAL_LBL)*10000000+(N('Dvd Calendar'!$AK$1703)&gt;0)*(N('Dvd Calendar'!$AK$1703)&lt;=VAL_SERIAL)*1000000+14*1000+33))</f>
        <v/>
      </c>
      <c r="FL173" s="121">
        <f>IF(N('Dvd Calendar'!$AL$1704)=0,"",IF(('Dvd Calendar'!$AL$1704&gt;=GRID_FROM)*('Dvd Calendar'!$AL$1704&lt;=GRID_TO)*((('Dvd Calendar'!$AL$1704&lt;=VAL_DATE)+(COUNTIF('Dvd Calendar'!$E$1711:$AR$1711,'Dvd Calendar'!$AL$1704)=0))&gt;0)=0,"",'Dvd Calendar'!$AL$1704*1000000000+ISNUMBER('Dvd Calendar'!$AL$1707)*100000000+('Dvd Calendar'!$AL$1709=SPECIAL_LBL)*10000000+(N('Dvd Calendar'!$AL$1703)&gt;0)*(N('Dvd Calendar'!$AL$1703)&lt;=VAL_SERIAL)*1000000+14*1000+34))</f>
        <v/>
      </c>
      <c r="FM173" s="121">
        <f>IF(N('Dvd Calendar'!$AM$1704)=0,"",IF(('Dvd Calendar'!$AM$1704&gt;=GRID_FROM)*('Dvd Calendar'!$AM$1704&lt;=GRID_TO)*((('Dvd Calendar'!$AM$1704&lt;=VAL_DATE)+(COUNTIF('Dvd Calendar'!$E$1711:$AR$1711,'Dvd Calendar'!$AM$1704)=0))&gt;0)=0,"",'Dvd Calendar'!$AM$1704*1000000000+ISNUMBER('Dvd Calendar'!$AM$1707)*100000000+('Dvd Calendar'!$AM$1709=SPECIAL_LBL)*10000000+(N('Dvd Calendar'!$AM$1703)&gt;0)*(N('Dvd Calendar'!$AM$1703)&lt;=VAL_SERIAL)*1000000+14*1000+35))</f>
        <v/>
      </c>
      <c r="FN173" s="121">
        <f>IF(N('Dvd Calendar'!$AN$1704)=0,"",IF(('Dvd Calendar'!$AN$1704&gt;=GRID_FROM)*('Dvd Calendar'!$AN$1704&lt;=GRID_TO)*((('Dvd Calendar'!$AN$1704&lt;=VAL_DATE)+(COUNTIF('Dvd Calendar'!$E$1711:$AR$1711,'Dvd Calendar'!$AN$1704)=0))&gt;0)=0,"",'Dvd Calendar'!$AN$1704*1000000000+ISNUMBER('Dvd Calendar'!$AN$1707)*100000000+('Dvd Calendar'!$AN$1709=SPECIAL_LBL)*10000000+(N('Dvd Calendar'!$AN$1703)&gt;0)*(N('Dvd Calendar'!$AN$1703)&lt;=VAL_SERIAL)*1000000+14*1000+36))</f>
        <v/>
      </c>
      <c r="FO173" s="121">
        <f>IF(N('Dvd Calendar'!$AO$1704)=0,"",IF(('Dvd Calendar'!$AO$1704&gt;=GRID_FROM)*('Dvd Calendar'!$AO$1704&lt;=GRID_TO)*((('Dvd Calendar'!$AO$1704&lt;=VAL_DATE)+(COUNTIF('Dvd Calendar'!$E$1711:$AR$1711,'Dvd Calendar'!$AO$1704)=0))&gt;0)=0,"",'Dvd Calendar'!$AO$1704*1000000000+ISNUMBER('Dvd Calendar'!$AO$1707)*100000000+('Dvd Calendar'!$AO$1709=SPECIAL_LBL)*10000000+(N('Dvd Calendar'!$AO$1703)&gt;0)*(N('Dvd Calendar'!$AO$1703)&lt;=VAL_SERIAL)*1000000+14*1000+37))</f>
        <v/>
      </c>
      <c r="FP173" s="121">
        <f>IF(N('Dvd Calendar'!$AP$1704)=0,"",IF(('Dvd Calendar'!$AP$1704&gt;=GRID_FROM)*('Dvd Calendar'!$AP$1704&lt;=GRID_TO)*((('Dvd Calendar'!$AP$1704&lt;=VAL_DATE)+(COUNTIF('Dvd Calendar'!$E$1711:$AR$1711,'Dvd Calendar'!$AP$1704)=0))&gt;0)=0,"",'Dvd Calendar'!$AP$1704*1000000000+ISNUMBER('Dvd Calendar'!$AP$1707)*100000000+('Dvd Calendar'!$AP$1709=SPECIAL_LBL)*10000000+(N('Dvd Calendar'!$AP$1703)&gt;0)*(N('Dvd Calendar'!$AP$1703)&lt;=VAL_SERIAL)*1000000+14*1000+38))</f>
        <v/>
      </c>
      <c r="FQ173" s="121">
        <f>IF(N('Dvd Calendar'!$AQ$1704)=0,"",IF(('Dvd Calendar'!$AQ$1704&gt;=GRID_FROM)*('Dvd Calendar'!$AQ$1704&lt;=GRID_TO)*((('Dvd Calendar'!$AQ$1704&lt;=VAL_DATE)+(COUNTIF('Dvd Calendar'!$E$1711:$AR$1711,'Dvd Calendar'!$AQ$1704)=0))&gt;0)=0,"",'Dvd Calendar'!$AQ$1704*1000000000+ISNUMBER('Dvd Calendar'!$AQ$1707)*100000000+('Dvd Calendar'!$AQ$1709=SPECIAL_LBL)*10000000+(N('Dvd Calendar'!$AQ$1703)&gt;0)*(N('Dvd Calendar'!$AQ$1703)&lt;=VAL_SERIAL)*1000000+14*1000+39))</f>
        <v/>
      </c>
      <c r="FR173" s="121">
        <f>IF(N('Dvd Calendar'!$AR$1704)=0,"",IF(('Dvd Calendar'!$AR$1704&gt;=GRID_FROM)*('Dvd Calendar'!$AR$1704&lt;=GRID_TO)*((('Dvd Calendar'!$AR$1704&lt;=VAL_DATE)+(COUNTIF('Dvd Calendar'!$E$1711:$AR$1711,'Dvd Calendar'!$AR$1704)=0))&gt;0)=0,"",'Dvd Calendar'!$AR$1704*1000000000+ISNUMBER('Dvd Calendar'!$AR$1707)*100000000+('Dvd Calendar'!$AR$1709=SPECIAL_LBL)*10000000+(N('Dvd Calendar'!$AR$1703)&gt;0)*(N('Dvd Calendar'!$AR$1703)&lt;=VAL_SERIAL)*1000000+14*1000+40))</f>
        <v/>
      </c>
      <c r="FS173" s="121">
        <f>IF(N('Dvd Calendar'!$E$1711)=0,"",IF(('Dvd Calendar'!$E$1711&gt;=GRID_FROM)*('Dvd Calendar'!$E$1711&lt;=GRID_TO)*('Dvd Calendar'!$E$1711&gt;VAL_DATE)=0,"",'Dvd Calendar'!$E$1711*1000000000+ISNUMBER('Dvd Calendar'!$E$1712)*100000000+0*10000000+(N('Dvd Calendar'!$E$1710)&gt;0)*(N('Dvd Calendar'!$E$1710)&lt;=VAL_SERIAL)*1000000+14*1000+41))</f>
        <v/>
      </c>
      <c r="FT173" s="121">
        <f>IF(N('Dvd Calendar'!$F$1711)=0,"",IF(('Dvd Calendar'!$F$1711&gt;=GRID_FROM)*('Dvd Calendar'!$F$1711&lt;=GRID_TO)*('Dvd Calendar'!$F$1711&gt;VAL_DATE)=0,"",'Dvd Calendar'!$F$1711*1000000000+ISNUMBER('Dvd Calendar'!$F$1712)*100000000+0*10000000+(N('Dvd Calendar'!$F$1710)&gt;0)*(N('Dvd Calendar'!$F$1710)&lt;=VAL_SERIAL)*1000000+14*1000+42))</f>
        <v/>
      </c>
      <c r="FU173" s="121">
        <f>IF(N('Dvd Calendar'!$G$1711)=0,"",IF(('Dvd Calendar'!$G$1711&gt;=GRID_FROM)*('Dvd Calendar'!$G$1711&lt;=GRID_TO)*('Dvd Calendar'!$G$1711&gt;VAL_DATE)=0,"",'Dvd Calendar'!$G$1711*1000000000+ISNUMBER('Dvd Calendar'!$G$1712)*100000000+0*10000000+(N('Dvd Calendar'!$G$1710)&gt;0)*(N('Dvd Calendar'!$G$1710)&lt;=VAL_SERIAL)*1000000+14*1000+43))</f>
        <v/>
      </c>
      <c r="FV173" s="121">
        <f>IF(N('Dvd Calendar'!$H$1711)=0,"",IF(('Dvd Calendar'!$H$1711&gt;=GRID_FROM)*('Dvd Calendar'!$H$1711&lt;=GRID_TO)*('Dvd Calendar'!$H$1711&gt;VAL_DATE)=0,"",'Dvd Calendar'!$H$1711*1000000000+ISNUMBER('Dvd Calendar'!$H$1712)*100000000+0*10000000+(N('Dvd Calendar'!$H$1710)&gt;0)*(N('Dvd Calendar'!$H$1710)&lt;=VAL_SERIAL)*1000000+14*1000+44))</f>
        <v/>
      </c>
      <c r="FW173" s="121">
        <f>IF(N('Dvd Calendar'!$I$1711)=0,"",IF(('Dvd Calendar'!$I$1711&gt;=GRID_FROM)*('Dvd Calendar'!$I$1711&lt;=GRID_TO)*('Dvd Calendar'!$I$1711&gt;VAL_DATE)=0,"",'Dvd Calendar'!$I$1711*1000000000+ISNUMBER('Dvd Calendar'!$I$1712)*100000000+0*10000000+(N('Dvd Calendar'!$I$1710)&gt;0)*(N('Dvd Calendar'!$I$1710)&lt;=VAL_SERIAL)*1000000+14*1000+45))</f>
        <v/>
      </c>
      <c r="FX173" s="121">
        <f>IF(N('Dvd Calendar'!$J$1711)=0,"",IF(('Dvd Calendar'!$J$1711&gt;=GRID_FROM)*('Dvd Calendar'!$J$1711&lt;=GRID_TO)*('Dvd Calendar'!$J$1711&gt;VAL_DATE)=0,"",'Dvd Calendar'!$J$1711*1000000000+ISNUMBER('Dvd Calendar'!$J$1712)*100000000+0*10000000+(N('Dvd Calendar'!$J$1710)&gt;0)*(N('Dvd Calendar'!$J$1710)&lt;=VAL_SERIAL)*1000000+14*1000+46))</f>
        <v/>
      </c>
      <c r="FY173" s="121">
        <f>IF(N('Dvd Calendar'!$K$1711)=0,"",IF(('Dvd Calendar'!$K$1711&gt;=GRID_FROM)*('Dvd Calendar'!$K$1711&lt;=GRID_TO)*('Dvd Calendar'!$K$1711&gt;VAL_DATE)=0,"",'Dvd Calendar'!$K$1711*1000000000+ISNUMBER('Dvd Calendar'!$K$1712)*100000000+0*10000000+(N('Dvd Calendar'!$K$1710)&gt;0)*(N('Dvd Calendar'!$K$1710)&lt;=VAL_SERIAL)*1000000+14*1000+47))</f>
        <v/>
      </c>
      <c r="FZ173" s="121">
        <f>IF(N('Dvd Calendar'!$L$1711)=0,"",IF(('Dvd Calendar'!$L$1711&gt;=GRID_FROM)*('Dvd Calendar'!$L$1711&lt;=GRID_TO)*('Dvd Calendar'!$L$1711&gt;VAL_DATE)=0,"",'Dvd Calendar'!$L$1711*1000000000+ISNUMBER('Dvd Calendar'!$L$1712)*100000000+0*10000000+(N('Dvd Calendar'!$L$1710)&gt;0)*(N('Dvd Calendar'!$L$1710)&lt;=VAL_SERIAL)*1000000+14*1000+48))</f>
        <v/>
      </c>
      <c r="GA173" s="121">
        <f>IF(N('Dvd Calendar'!$M$1711)=0,"",IF(('Dvd Calendar'!$M$1711&gt;=GRID_FROM)*('Dvd Calendar'!$M$1711&lt;=GRID_TO)*('Dvd Calendar'!$M$1711&gt;VAL_DATE)=0,"",'Dvd Calendar'!$M$1711*1000000000+ISNUMBER('Dvd Calendar'!$M$1712)*100000000+0*10000000+(N('Dvd Calendar'!$M$1710)&gt;0)*(N('Dvd Calendar'!$M$1710)&lt;=VAL_SERIAL)*1000000+14*1000+49))</f>
        <v/>
      </c>
      <c r="GB173" s="121">
        <f>IF(N('Dvd Calendar'!$N$1711)=0,"",IF(('Dvd Calendar'!$N$1711&gt;=GRID_FROM)*('Dvd Calendar'!$N$1711&lt;=GRID_TO)*('Dvd Calendar'!$N$1711&gt;VAL_DATE)=0,"",'Dvd Calendar'!$N$1711*1000000000+ISNUMBER('Dvd Calendar'!$N$1712)*100000000+0*10000000+(N('Dvd Calendar'!$N$1710)&gt;0)*(N('Dvd Calendar'!$N$1710)&lt;=VAL_SERIAL)*1000000+14*1000+50))</f>
        <v/>
      </c>
      <c r="GC173" s="121">
        <f>IF(N('Dvd Calendar'!$O$1711)=0,"",IF(('Dvd Calendar'!$O$1711&gt;=GRID_FROM)*('Dvd Calendar'!$O$1711&lt;=GRID_TO)*('Dvd Calendar'!$O$1711&gt;VAL_DATE)=0,"",'Dvd Calendar'!$O$1711*1000000000+ISNUMBER('Dvd Calendar'!$O$1712)*100000000+0*10000000+(N('Dvd Calendar'!$O$1710)&gt;0)*(N('Dvd Calendar'!$O$1710)&lt;=VAL_SERIAL)*1000000+14*1000+51))</f>
        <v/>
      </c>
      <c r="GD173" s="121">
        <f>IF(N('Dvd Calendar'!$P$1711)=0,"",IF(('Dvd Calendar'!$P$1711&gt;=GRID_FROM)*('Dvd Calendar'!$P$1711&lt;=GRID_TO)*('Dvd Calendar'!$P$1711&gt;VAL_DATE)=0,"",'Dvd Calendar'!$P$1711*1000000000+ISNUMBER('Dvd Calendar'!$P$1712)*100000000+0*10000000+(N('Dvd Calendar'!$P$1710)&gt;0)*(N('Dvd Calendar'!$P$1710)&lt;=VAL_SERIAL)*1000000+14*1000+52))</f>
        <v/>
      </c>
      <c r="GE173" s="121">
        <f>IF(N('Dvd Calendar'!$Q$1711)=0,"",IF(('Dvd Calendar'!$Q$1711&gt;=GRID_FROM)*('Dvd Calendar'!$Q$1711&lt;=GRID_TO)*('Dvd Calendar'!$Q$1711&gt;VAL_DATE)=0,"",'Dvd Calendar'!$Q$1711*1000000000+ISNUMBER('Dvd Calendar'!$Q$1712)*100000000+0*10000000+(N('Dvd Calendar'!$Q$1710)&gt;0)*(N('Dvd Calendar'!$Q$1710)&lt;=VAL_SERIAL)*1000000+14*1000+53))</f>
        <v/>
      </c>
      <c r="GF173" s="121">
        <f>IF(N('Dvd Calendar'!$R$1711)=0,"",IF(('Dvd Calendar'!$R$1711&gt;=GRID_FROM)*('Dvd Calendar'!$R$1711&lt;=GRID_TO)*('Dvd Calendar'!$R$1711&gt;VAL_DATE)=0,"",'Dvd Calendar'!$R$1711*1000000000+ISNUMBER('Dvd Calendar'!$R$1712)*100000000+0*10000000+(N('Dvd Calendar'!$R$1710)&gt;0)*(N('Dvd Calendar'!$R$1710)&lt;=VAL_SERIAL)*1000000+14*1000+54))</f>
        <v/>
      </c>
      <c r="GG173" s="121">
        <f>IF(N('Dvd Calendar'!$S$1711)=0,"",IF(('Dvd Calendar'!$S$1711&gt;=GRID_FROM)*('Dvd Calendar'!$S$1711&lt;=GRID_TO)*('Dvd Calendar'!$S$1711&gt;VAL_DATE)=0,"",'Dvd Calendar'!$S$1711*1000000000+ISNUMBER('Dvd Calendar'!$S$1712)*100000000+0*10000000+(N('Dvd Calendar'!$S$1710)&gt;0)*(N('Dvd Calendar'!$S$1710)&lt;=VAL_SERIAL)*1000000+14*1000+55))</f>
        <v/>
      </c>
      <c r="GH173" s="121">
        <f>IF(N('Dvd Calendar'!$T$1711)=0,"",IF(('Dvd Calendar'!$T$1711&gt;=GRID_FROM)*('Dvd Calendar'!$T$1711&lt;=GRID_TO)*('Dvd Calendar'!$T$1711&gt;VAL_DATE)=0,"",'Dvd Calendar'!$T$1711*1000000000+ISNUMBER('Dvd Calendar'!$T$1712)*100000000+0*10000000+(N('Dvd Calendar'!$T$1710)&gt;0)*(N('Dvd Calendar'!$T$1710)&lt;=VAL_SERIAL)*1000000+14*1000+56))</f>
        <v/>
      </c>
      <c r="GI173" s="121">
        <f>IF(N('Dvd Calendar'!$U$1711)=0,"",IF(('Dvd Calendar'!$U$1711&gt;=GRID_FROM)*('Dvd Calendar'!$U$1711&lt;=GRID_TO)*('Dvd Calendar'!$U$1711&gt;VAL_DATE)=0,"",'Dvd Calendar'!$U$1711*1000000000+ISNUMBER('Dvd Calendar'!$U$1712)*100000000+0*10000000+(N('Dvd Calendar'!$U$1710)&gt;0)*(N('Dvd Calendar'!$U$1710)&lt;=VAL_SERIAL)*1000000+14*1000+57))</f>
        <v/>
      </c>
      <c r="GJ173" s="121">
        <f>IF(N('Dvd Calendar'!$V$1711)=0,"",IF(('Dvd Calendar'!$V$1711&gt;=GRID_FROM)*('Dvd Calendar'!$V$1711&lt;=GRID_TO)*('Dvd Calendar'!$V$1711&gt;VAL_DATE)=0,"",'Dvd Calendar'!$V$1711*1000000000+ISNUMBER('Dvd Calendar'!$V$1712)*100000000+0*10000000+(N('Dvd Calendar'!$V$1710)&gt;0)*(N('Dvd Calendar'!$V$1710)&lt;=VAL_SERIAL)*1000000+14*1000+58))</f>
        <v/>
      </c>
      <c r="GK173" s="121">
        <f>IF(N('Dvd Calendar'!$W$1711)=0,"",IF(('Dvd Calendar'!$W$1711&gt;=GRID_FROM)*('Dvd Calendar'!$W$1711&lt;=GRID_TO)*('Dvd Calendar'!$W$1711&gt;VAL_DATE)=0,"",'Dvd Calendar'!$W$1711*1000000000+ISNUMBER('Dvd Calendar'!$W$1712)*100000000+0*10000000+(N('Dvd Calendar'!$W$1710)&gt;0)*(N('Dvd Calendar'!$W$1710)&lt;=VAL_SERIAL)*1000000+14*1000+59))</f>
        <v/>
      </c>
      <c r="GL173" s="121">
        <f>IF(N('Dvd Calendar'!$X$1711)=0,"",IF(('Dvd Calendar'!$X$1711&gt;=GRID_FROM)*('Dvd Calendar'!$X$1711&lt;=GRID_TO)*('Dvd Calendar'!$X$1711&gt;VAL_DATE)=0,"",'Dvd Calendar'!$X$1711*1000000000+ISNUMBER('Dvd Calendar'!$X$1712)*100000000+0*10000000+(N('Dvd Calendar'!$X$1710)&gt;0)*(N('Dvd Calendar'!$X$1710)&lt;=VAL_SERIAL)*1000000+14*1000+60))</f>
        <v/>
      </c>
      <c r="GM173" s="121">
        <f>IF(N('Dvd Calendar'!$Y$1711)=0,"",IF(('Dvd Calendar'!$Y$1711&gt;=GRID_FROM)*('Dvd Calendar'!$Y$1711&lt;=GRID_TO)*('Dvd Calendar'!$Y$1711&gt;VAL_DATE)=0,"",'Dvd Calendar'!$Y$1711*1000000000+ISNUMBER('Dvd Calendar'!$Y$1712)*100000000+0*10000000+(N('Dvd Calendar'!$Y$1710)&gt;0)*(N('Dvd Calendar'!$Y$1710)&lt;=VAL_SERIAL)*1000000+14*1000+61))</f>
        <v/>
      </c>
      <c r="GN173" s="121">
        <f>IF(N('Dvd Calendar'!$Z$1711)=0,"",IF(('Dvd Calendar'!$Z$1711&gt;=GRID_FROM)*('Dvd Calendar'!$Z$1711&lt;=GRID_TO)*('Dvd Calendar'!$Z$1711&gt;VAL_DATE)=0,"",'Dvd Calendar'!$Z$1711*1000000000+ISNUMBER('Dvd Calendar'!$Z$1712)*100000000+0*10000000+(N('Dvd Calendar'!$Z$1710)&gt;0)*(N('Dvd Calendar'!$Z$1710)&lt;=VAL_SERIAL)*1000000+14*1000+62))</f>
        <v/>
      </c>
      <c r="GO173" s="121">
        <f>IF(N('Dvd Calendar'!$AA$1711)=0,"",IF(('Dvd Calendar'!$AA$1711&gt;=GRID_FROM)*('Dvd Calendar'!$AA$1711&lt;=GRID_TO)*('Dvd Calendar'!$AA$1711&gt;VAL_DATE)=0,"",'Dvd Calendar'!$AA$1711*1000000000+ISNUMBER('Dvd Calendar'!$AA$1712)*100000000+0*10000000+(N('Dvd Calendar'!$AA$1710)&gt;0)*(N('Dvd Calendar'!$AA$1710)&lt;=VAL_SERIAL)*1000000+14*1000+63))</f>
        <v/>
      </c>
      <c r="GP173" s="121">
        <f>IF(N('Dvd Calendar'!$AB$1711)=0,"",IF(('Dvd Calendar'!$AB$1711&gt;=GRID_FROM)*('Dvd Calendar'!$AB$1711&lt;=GRID_TO)*('Dvd Calendar'!$AB$1711&gt;VAL_DATE)=0,"",'Dvd Calendar'!$AB$1711*1000000000+ISNUMBER('Dvd Calendar'!$AB$1712)*100000000+0*10000000+(N('Dvd Calendar'!$AB$1710)&gt;0)*(N('Dvd Calendar'!$AB$1710)&lt;=VAL_SERIAL)*1000000+14*1000+64))</f>
        <v/>
      </c>
      <c r="GQ173" s="121">
        <f>IF(N('Dvd Calendar'!$AC$1711)=0,"",IF(('Dvd Calendar'!$AC$1711&gt;=GRID_FROM)*('Dvd Calendar'!$AC$1711&lt;=GRID_TO)*('Dvd Calendar'!$AC$1711&gt;VAL_DATE)=0,"",'Dvd Calendar'!$AC$1711*1000000000+ISNUMBER('Dvd Calendar'!$AC$1712)*100000000+0*10000000+(N('Dvd Calendar'!$AC$1710)&gt;0)*(N('Dvd Calendar'!$AC$1710)&lt;=VAL_SERIAL)*1000000+14*1000+65))</f>
        <v/>
      </c>
    </row>
    <row r="174">
      <c r="B174" s="2">
        <f>IF(HSCEI!$C$21="","",HSCEI!$C$21)</f>
        <v/>
      </c>
      <c r="C174" s="161">
        <f>IF(EE174="","",IF(ISNUMBER('Dvd Calendar'!$E$1718)=FALSE,"",IF((('Dvd Calendar'!$E$1720=TYPE1)*(TYPE1&lt;&gt;"")+('Dvd Calendar'!$E$1720=TYPE2)*(TYPE2&lt;&gt;"")+('Dvd Calendar'!$E$1720=TYPE3)*(TYPE3&lt;&gt;"")+('Dvd Calendar'!$E$1720=TYPE4)*(TYPE4&lt;&gt;"")+('Dvd Calendar'!$E$1720=SPECIAL_LBL)*(INC_SPECIALS="Y"))=0,"",'Dvd Calendar'!$E$1718)))</f>
        <v/>
      </c>
      <c r="D174" s="161">
        <f>IF(EF174="","",IF(ISNUMBER('Dvd Calendar'!$F$1718)=FALSE,"",IF((('Dvd Calendar'!$F$1720=TYPE1)*(TYPE1&lt;&gt;"")+('Dvd Calendar'!$F$1720=TYPE2)*(TYPE2&lt;&gt;"")+('Dvd Calendar'!$F$1720=TYPE3)*(TYPE3&lt;&gt;"")+('Dvd Calendar'!$F$1720=TYPE4)*(TYPE4&lt;&gt;"")+('Dvd Calendar'!$F$1720=SPECIAL_LBL)*(INC_SPECIALS="Y"))=0,"",'Dvd Calendar'!$F$1718)))</f>
        <v/>
      </c>
      <c r="E174" s="161">
        <f>IF(EG174="","",IF(ISNUMBER('Dvd Calendar'!$G$1718)=FALSE,"",IF((('Dvd Calendar'!$G$1720=TYPE1)*(TYPE1&lt;&gt;"")+('Dvd Calendar'!$G$1720=TYPE2)*(TYPE2&lt;&gt;"")+('Dvd Calendar'!$G$1720=TYPE3)*(TYPE3&lt;&gt;"")+('Dvd Calendar'!$G$1720=TYPE4)*(TYPE4&lt;&gt;"")+('Dvd Calendar'!$G$1720=SPECIAL_LBL)*(INC_SPECIALS="Y"))=0,"",'Dvd Calendar'!$G$1718)))</f>
        <v/>
      </c>
      <c r="F174" s="161">
        <f>IF(EH174="","",IF(ISNUMBER('Dvd Calendar'!$H$1718)=FALSE,"",IF((('Dvd Calendar'!$H$1720=TYPE1)*(TYPE1&lt;&gt;"")+('Dvd Calendar'!$H$1720=TYPE2)*(TYPE2&lt;&gt;"")+('Dvd Calendar'!$H$1720=TYPE3)*(TYPE3&lt;&gt;"")+('Dvd Calendar'!$H$1720=TYPE4)*(TYPE4&lt;&gt;"")+('Dvd Calendar'!$H$1720=SPECIAL_LBL)*(INC_SPECIALS="Y"))=0,"",'Dvd Calendar'!$H$1718)))</f>
        <v/>
      </c>
      <c r="G174" s="161">
        <f>IF(EI174="","",IF(ISNUMBER('Dvd Calendar'!$I$1718)=FALSE,"",IF((('Dvd Calendar'!$I$1720=TYPE1)*(TYPE1&lt;&gt;"")+('Dvd Calendar'!$I$1720=TYPE2)*(TYPE2&lt;&gt;"")+('Dvd Calendar'!$I$1720=TYPE3)*(TYPE3&lt;&gt;"")+('Dvd Calendar'!$I$1720=TYPE4)*(TYPE4&lt;&gt;"")+('Dvd Calendar'!$I$1720=SPECIAL_LBL)*(INC_SPECIALS="Y"))=0,"",'Dvd Calendar'!$I$1718)))</f>
        <v/>
      </c>
      <c r="H174" s="161">
        <f>IF(EJ174="","",IF(ISNUMBER('Dvd Calendar'!$J$1718)=FALSE,"",IF((('Dvd Calendar'!$J$1720=TYPE1)*(TYPE1&lt;&gt;"")+('Dvd Calendar'!$J$1720=TYPE2)*(TYPE2&lt;&gt;"")+('Dvd Calendar'!$J$1720=TYPE3)*(TYPE3&lt;&gt;"")+('Dvd Calendar'!$J$1720=TYPE4)*(TYPE4&lt;&gt;"")+('Dvd Calendar'!$J$1720=SPECIAL_LBL)*(INC_SPECIALS="Y"))=0,"",'Dvd Calendar'!$J$1718)))</f>
        <v/>
      </c>
      <c r="I174" s="161">
        <f>IF(EK174="","",IF(ISNUMBER('Dvd Calendar'!$K$1718)=FALSE,"",IF((('Dvd Calendar'!$K$1720=TYPE1)*(TYPE1&lt;&gt;"")+('Dvd Calendar'!$K$1720=TYPE2)*(TYPE2&lt;&gt;"")+('Dvd Calendar'!$K$1720=TYPE3)*(TYPE3&lt;&gt;"")+('Dvd Calendar'!$K$1720=TYPE4)*(TYPE4&lt;&gt;"")+('Dvd Calendar'!$K$1720=SPECIAL_LBL)*(INC_SPECIALS="Y"))=0,"",'Dvd Calendar'!$K$1718)))</f>
        <v/>
      </c>
      <c r="J174" s="161">
        <f>IF(EL174="","",IF(ISNUMBER('Dvd Calendar'!$L$1718)=FALSE,"",IF((('Dvd Calendar'!$L$1720=TYPE1)*(TYPE1&lt;&gt;"")+('Dvd Calendar'!$L$1720=TYPE2)*(TYPE2&lt;&gt;"")+('Dvd Calendar'!$L$1720=TYPE3)*(TYPE3&lt;&gt;"")+('Dvd Calendar'!$L$1720=TYPE4)*(TYPE4&lt;&gt;"")+('Dvd Calendar'!$L$1720=SPECIAL_LBL)*(INC_SPECIALS="Y"))=0,"",'Dvd Calendar'!$L$1718)))</f>
        <v/>
      </c>
      <c r="K174" s="161">
        <f>IF(EM174="","",IF(ISNUMBER('Dvd Calendar'!$M$1718)=FALSE,"",IF((('Dvd Calendar'!$M$1720=TYPE1)*(TYPE1&lt;&gt;"")+('Dvd Calendar'!$M$1720=TYPE2)*(TYPE2&lt;&gt;"")+('Dvd Calendar'!$M$1720=TYPE3)*(TYPE3&lt;&gt;"")+('Dvd Calendar'!$M$1720=TYPE4)*(TYPE4&lt;&gt;"")+('Dvd Calendar'!$M$1720=SPECIAL_LBL)*(INC_SPECIALS="Y"))=0,"",'Dvd Calendar'!$M$1718)))</f>
        <v/>
      </c>
      <c r="L174" s="161">
        <f>IF(EN174="","",IF(ISNUMBER('Dvd Calendar'!$N$1718)=FALSE,"",IF((('Dvd Calendar'!$N$1720=TYPE1)*(TYPE1&lt;&gt;"")+('Dvd Calendar'!$N$1720=TYPE2)*(TYPE2&lt;&gt;"")+('Dvd Calendar'!$N$1720=TYPE3)*(TYPE3&lt;&gt;"")+('Dvd Calendar'!$N$1720=TYPE4)*(TYPE4&lt;&gt;"")+('Dvd Calendar'!$N$1720=SPECIAL_LBL)*(INC_SPECIALS="Y"))=0,"",'Dvd Calendar'!$N$1718)))</f>
        <v/>
      </c>
      <c r="M174" s="161">
        <f>IF(EO174="","",IF(ISNUMBER('Dvd Calendar'!$O$1718)=FALSE,"",IF((('Dvd Calendar'!$O$1720=TYPE1)*(TYPE1&lt;&gt;"")+('Dvd Calendar'!$O$1720=TYPE2)*(TYPE2&lt;&gt;"")+('Dvd Calendar'!$O$1720=TYPE3)*(TYPE3&lt;&gt;"")+('Dvd Calendar'!$O$1720=TYPE4)*(TYPE4&lt;&gt;"")+('Dvd Calendar'!$O$1720=SPECIAL_LBL)*(INC_SPECIALS="Y"))=0,"",'Dvd Calendar'!$O$1718)))</f>
        <v/>
      </c>
      <c r="N174" s="161">
        <f>IF(EP174="","",IF(ISNUMBER('Dvd Calendar'!$P$1718)=FALSE,"",IF((('Dvd Calendar'!$P$1720=TYPE1)*(TYPE1&lt;&gt;"")+('Dvd Calendar'!$P$1720=TYPE2)*(TYPE2&lt;&gt;"")+('Dvd Calendar'!$P$1720=TYPE3)*(TYPE3&lt;&gt;"")+('Dvd Calendar'!$P$1720=TYPE4)*(TYPE4&lt;&gt;"")+('Dvd Calendar'!$P$1720=SPECIAL_LBL)*(INC_SPECIALS="Y"))=0,"",'Dvd Calendar'!$P$1718)))</f>
        <v/>
      </c>
      <c r="O174" s="161">
        <f>IF(EQ174="","",IF(ISNUMBER('Dvd Calendar'!$Q$1718)=FALSE,"",IF((('Dvd Calendar'!$Q$1720=TYPE1)*(TYPE1&lt;&gt;"")+('Dvd Calendar'!$Q$1720=TYPE2)*(TYPE2&lt;&gt;"")+('Dvd Calendar'!$Q$1720=TYPE3)*(TYPE3&lt;&gt;"")+('Dvd Calendar'!$Q$1720=TYPE4)*(TYPE4&lt;&gt;"")+('Dvd Calendar'!$Q$1720=SPECIAL_LBL)*(INC_SPECIALS="Y"))=0,"",'Dvd Calendar'!$Q$1718)))</f>
        <v/>
      </c>
      <c r="P174" s="161">
        <f>IF(ER174="","",IF(ISNUMBER('Dvd Calendar'!$R$1718)=FALSE,"",IF((('Dvd Calendar'!$R$1720=TYPE1)*(TYPE1&lt;&gt;"")+('Dvd Calendar'!$R$1720=TYPE2)*(TYPE2&lt;&gt;"")+('Dvd Calendar'!$R$1720=TYPE3)*(TYPE3&lt;&gt;"")+('Dvd Calendar'!$R$1720=TYPE4)*(TYPE4&lt;&gt;"")+('Dvd Calendar'!$R$1720=SPECIAL_LBL)*(INC_SPECIALS="Y"))=0,"",'Dvd Calendar'!$R$1718)))</f>
        <v/>
      </c>
      <c r="Q174" s="161">
        <f>IF(ES174="","",IF(ISNUMBER('Dvd Calendar'!$S$1718)=FALSE,"",IF((('Dvd Calendar'!$S$1720=TYPE1)*(TYPE1&lt;&gt;"")+('Dvd Calendar'!$S$1720=TYPE2)*(TYPE2&lt;&gt;"")+('Dvd Calendar'!$S$1720=TYPE3)*(TYPE3&lt;&gt;"")+('Dvd Calendar'!$S$1720=TYPE4)*(TYPE4&lt;&gt;"")+('Dvd Calendar'!$S$1720=SPECIAL_LBL)*(INC_SPECIALS="Y"))=0,"",'Dvd Calendar'!$S$1718)))</f>
        <v/>
      </c>
      <c r="R174" s="161">
        <f>IF(ET174="","",IF(ISNUMBER('Dvd Calendar'!$T$1718)=FALSE,"",IF((('Dvd Calendar'!$T$1720=TYPE1)*(TYPE1&lt;&gt;"")+('Dvd Calendar'!$T$1720=TYPE2)*(TYPE2&lt;&gt;"")+('Dvd Calendar'!$T$1720=TYPE3)*(TYPE3&lt;&gt;"")+('Dvd Calendar'!$T$1720=TYPE4)*(TYPE4&lt;&gt;"")+('Dvd Calendar'!$T$1720=SPECIAL_LBL)*(INC_SPECIALS="Y"))=0,"",'Dvd Calendar'!$T$1718)))</f>
        <v/>
      </c>
      <c r="S174" s="161">
        <f>IF(EU174="","",IF(ISNUMBER('Dvd Calendar'!$U$1718)=FALSE,"",IF((('Dvd Calendar'!$U$1720=TYPE1)*(TYPE1&lt;&gt;"")+('Dvd Calendar'!$U$1720=TYPE2)*(TYPE2&lt;&gt;"")+('Dvd Calendar'!$U$1720=TYPE3)*(TYPE3&lt;&gt;"")+('Dvd Calendar'!$U$1720=TYPE4)*(TYPE4&lt;&gt;"")+('Dvd Calendar'!$U$1720=SPECIAL_LBL)*(INC_SPECIALS="Y"))=0,"",'Dvd Calendar'!$U$1718)))</f>
        <v/>
      </c>
      <c r="T174" s="161">
        <f>IF(EV174="","",IF(ISNUMBER('Dvd Calendar'!$V$1718)=FALSE,"",IF((('Dvd Calendar'!$V$1720=TYPE1)*(TYPE1&lt;&gt;"")+('Dvd Calendar'!$V$1720=TYPE2)*(TYPE2&lt;&gt;"")+('Dvd Calendar'!$V$1720=TYPE3)*(TYPE3&lt;&gt;"")+('Dvd Calendar'!$V$1720=TYPE4)*(TYPE4&lt;&gt;"")+('Dvd Calendar'!$V$1720=SPECIAL_LBL)*(INC_SPECIALS="Y"))=0,"",'Dvd Calendar'!$V$1718)))</f>
        <v/>
      </c>
      <c r="U174" s="161">
        <f>IF(EW174="","",IF(ISNUMBER('Dvd Calendar'!$W$1718)=FALSE,"",IF((('Dvd Calendar'!$W$1720=TYPE1)*(TYPE1&lt;&gt;"")+('Dvd Calendar'!$W$1720=TYPE2)*(TYPE2&lt;&gt;"")+('Dvd Calendar'!$W$1720=TYPE3)*(TYPE3&lt;&gt;"")+('Dvd Calendar'!$W$1720=TYPE4)*(TYPE4&lt;&gt;"")+('Dvd Calendar'!$W$1720=SPECIAL_LBL)*(INC_SPECIALS="Y"))=0,"",'Dvd Calendar'!$W$1718)))</f>
        <v/>
      </c>
      <c r="V174" s="161">
        <f>IF(EX174="","",IF(ISNUMBER('Dvd Calendar'!$X$1718)=FALSE,"",IF((('Dvd Calendar'!$X$1720=TYPE1)*(TYPE1&lt;&gt;"")+('Dvd Calendar'!$X$1720=TYPE2)*(TYPE2&lt;&gt;"")+('Dvd Calendar'!$X$1720=TYPE3)*(TYPE3&lt;&gt;"")+('Dvd Calendar'!$X$1720=TYPE4)*(TYPE4&lt;&gt;"")+('Dvd Calendar'!$X$1720=SPECIAL_LBL)*(INC_SPECIALS="Y"))=0,"",'Dvd Calendar'!$X$1718)))</f>
        <v/>
      </c>
      <c r="W174" s="161">
        <f>IF(EY174="","",IF(ISNUMBER('Dvd Calendar'!$Y$1718)=FALSE,"",IF((('Dvd Calendar'!$Y$1720=TYPE1)*(TYPE1&lt;&gt;"")+('Dvd Calendar'!$Y$1720=TYPE2)*(TYPE2&lt;&gt;"")+('Dvd Calendar'!$Y$1720=TYPE3)*(TYPE3&lt;&gt;"")+('Dvd Calendar'!$Y$1720=TYPE4)*(TYPE4&lt;&gt;"")+('Dvd Calendar'!$Y$1720=SPECIAL_LBL)*(INC_SPECIALS="Y"))=0,"",'Dvd Calendar'!$Y$1718)))</f>
        <v/>
      </c>
      <c r="X174" s="161">
        <f>IF(EZ174="","",IF(ISNUMBER('Dvd Calendar'!$Z$1718)=FALSE,"",IF((('Dvd Calendar'!$Z$1720=TYPE1)*(TYPE1&lt;&gt;"")+('Dvd Calendar'!$Z$1720=TYPE2)*(TYPE2&lt;&gt;"")+('Dvd Calendar'!$Z$1720=TYPE3)*(TYPE3&lt;&gt;"")+('Dvd Calendar'!$Z$1720=TYPE4)*(TYPE4&lt;&gt;"")+('Dvd Calendar'!$Z$1720=SPECIAL_LBL)*(INC_SPECIALS="Y"))=0,"",'Dvd Calendar'!$Z$1718)))</f>
        <v/>
      </c>
      <c r="Y174" s="161">
        <f>IF(FA174="","",IF(ISNUMBER('Dvd Calendar'!$AA$1718)=FALSE,"",IF((('Dvd Calendar'!$AA$1720=TYPE1)*(TYPE1&lt;&gt;"")+('Dvd Calendar'!$AA$1720=TYPE2)*(TYPE2&lt;&gt;"")+('Dvd Calendar'!$AA$1720=TYPE3)*(TYPE3&lt;&gt;"")+('Dvd Calendar'!$AA$1720=TYPE4)*(TYPE4&lt;&gt;"")+('Dvd Calendar'!$AA$1720=SPECIAL_LBL)*(INC_SPECIALS="Y"))=0,"",'Dvd Calendar'!$AA$1718)))</f>
        <v/>
      </c>
      <c r="Z174" s="161">
        <f>IF(FB174="","",IF(ISNUMBER('Dvd Calendar'!$AB$1718)=FALSE,"",IF((('Dvd Calendar'!$AB$1720=TYPE1)*(TYPE1&lt;&gt;"")+('Dvd Calendar'!$AB$1720=TYPE2)*(TYPE2&lt;&gt;"")+('Dvd Calendar'!$AB$1720=TYPE3)*(TYPE3&lt;&gt;"")+('Dvd Calendar'!$AB$1720=TYPE4)*(TYPE4&lt;&gt;"")+('Dvd Calendar'!$AB$1720=SPECIAL_LBL)*(INC_SPECIALS="Y"))=0,"",'Dvd Calendar'!$AB$1718)))</f>
        <v/>
      </c>
      <c r="AA174" s="161">
        <f>IF(FC174="","",IF(ISNUMBER('Dvd Calendar'!$AC$1718)=FALSE,"",IF((('Dvd Calendar'!$AC$1720=TYPE1)*(TYPE1&lt;&gt;"")+('Dvd Calendar'!$AC$1720=TYPE2)*(TYPE2&lt;&gt;"")+('Dvd Calendar'!$AC$1720=TYPE3)*(TYPE3&lt;&gt;"")+('Dvd Calendar'!$AC$1720=TYPE4)*(TYPE4&lt;&gt;"")+('Dvd Calendar'!$AC$1720=SPECIAL_LBL)*(INC_SPECIALS="Y"))=0,"",'Dvd Calendar'!$AC$1718)))</f>
        <v/>
      </c>
      <c r="AB174" s="161">
        <f>IF(FD174="","",IF(ISNUMBER('Dvd Calendar'!$AD$1718)=FALSE,"",IF((('Dvd Calendar'!$AD$1720=TYPE1)*(TYPE1&lt;&gt;"")+('Dvd Calendar'!$AD$1720=TYPE2)*(TYPE2&lt;&gt;"")+('Dvd Calendar'!$AD$1720=TYPE3)*(TYPE3&lt;&gt;"")+('Dvd Calendar'!$AD$1720=TYPE4)*(TYPE4&lt;&gt;"")+('Dvd Calendar'!$AD$1720=SPECIAL_LBL)*(INC_SPECIALS="Y"))=0,"",'Dvd Calendar'!$AD$1718)))</f>
        <v/>
      </c>
      <c r="AC174" s="161">
        <f>IF(FE174="","",IF(ISNUMBER('Dvd Calendar'!$AE$1718)=FALSE,"",IF((('Dvd Calendar'!$AE$1720=TYPE1)*(TYPE1&lt;&gt;"")+('Dvd Calendar'!$AE$1720=TYPE2)*(TYPE2&lt;&gt;"")+('Dvd Calendar'!$AE$1720=TYPE3)*(TYPE3&lt;&gt;"")+('Dvd Calendar'!$AE$1720=TYPE4)*(TYPE4&lt;&gt;"")+('Dvd Calendar'!$AE$1720=SPECIAL_LBL)*(INC_SPECIALS="Y"))=0,"",'Dvd Calendar'!$AE$1718)))</f>
        <v/>
      </c>
      <c r="AD174" s="161">
        <f>IF(FF174="","",IF(ISNUMBER('Dvd Calendar'!$AF$1718)=FALSE,"",IF((('Dvd Calendar'!$AF$1720=TYPE1)*(TYPE1&lt;&gt;"")+('Dvd Calendar'!$AF$1720=TYPE2)*(TYPE2&lt;&gt;"")+('Dvd Calendar'!$AF$1720=TYPE3)*(TYPE3&lt;&gt;"")+('Dvd Calendar'!$AF$1720=TYPE4)*(TYPE4&lt;&gt;"")+('Dvd Calendar'!$AF$1720=SPECIAL_LBL)*(INC_SPECIALS="Y"))=0,"",'Dvd Calendar'!$AF$1718)))</f>
        <v/>
      </c>
      <c r="AE174" s="161">
        <f>IF(FG174="","",IF(ISNUMBER('Dvd Calendar'!$AG$1718)=FALSE,"",IF((('Dvd Calendar'!$AG$1720=TYPE1)*(TYPE1&lt;&gt;"")+('Dvd Calendar'!$AG$1720=TYPE2)*(TYPE2&lt;&gt;"")+('Dvd Calendar'!$AG$1720=TYPE3)*(TYPE3&lt;&gt;"")+('Dvd Calendar'!$AG$1720=TYPE4)*(TYPE4&lt;&gt;"")+('Dvd Calendar'!$AG$1720=SPECIAL_LBL)*(INC_SPECIALS="Y"))=0,"",'Dvd Calendar'!$AG$1718)))</f>
        <v/>
      </c>
      <c r="AF174" s="161">
        <f>IF(FH174="","",IF(ISNUMBER('Dvd Calendar'!$AH$1718)=FALSE,"",IF((('Dvd Calendar'!$AH$1720=TYPE1)*(TYPE1&lt;&gt;"")+('Dvd Calendar'!$AH$1720=TYPE2)*(TYPE2&lt;&gt;"")+('Dvd Calendar'!$AH$1720=TYPE3)*(TYPE3&lt;&gt;"")+('Dvd Calendar'!$AH$1720=TYPE4)*(TYPE4&lt;&gt;"")+('Dvd Calendar'!$AH$1720=SPECIAL_LBL)*(INC_SPECIALS="Y"))=0,"",'Dvd Calendar'!$AH$1718)))</f>
        <v/>
      </c>
      <c r="AG174" s="161">
        <f>IF(FI174="","",IF(ISNUMBER('Dvd Calendar'!$AI$1718)=FALSE,"",IF((('Dvd Calendar'!$AI$1720=TYPE1)*(TYPE1&lt;&gt;"")+('Dvd Calendar'!$AI$1720=TYPE2)*(TYPE2&lt;&gt;"")+('Dvd Calendar'!$AI$1720=TYPE3)*(TYPE3&lt;&gt;"")+('Dvd Calendar'!$AI$1720=TYPE4)*(TYPE4&lt;&gt;"")+('Dvd Calendar'!$AI$1720=SPECIAL_LBL)*(INC_SPECIALS="Y"))=0,"",'Dvd Calendar'!$AI$1718)))</f>
        <v/>
      </c>
      <c r="AH174" s="161">
        <f>IF(FJ174="","",IF(ISNUMBER('Dvd Calendar'!$AJ$1718)=FALSE,"",IF((('Dvd Calendar'!$AJ$1720=TYPE1)*(TYPE1&lt;&gt;"")+('Dvd Calendar'!$AJ$1720=TYPE2)*(TYPE2&lt;&gt;"")+('Dvd Calendar'!$AJ$1720=TYPE3)*(TYPE3&lt;&gt;"")+('Dvd Calendar'!$AJ$1720=TYPE4)*(TYPE4&lt;&gt;"")+('Dvd Calendar'!$AJ$1720=SPECIAL_LBL)*(INC_SPECIALS="Y"))=0,"",'Dvd Calendar'!$AJ$1718)))</f>
        <v/>
      </c>
      <c r="AI174" s="161">
        <f>IF(FK174="","",IF(ISNUMBER('Dvd Calendar'!$AK$1718)=FALSE,"",IF((('Dvd Calendar'!$AK$1720=TYPE1)*(TYPE1&lt;&gt;"")+('Dvd Calendar'!$AK$1720=TYPE2)*(TYPE2&lt;&gt;"")+('Dvd Calendar'!$AK$1720=TYPE3)*(TYPE3&lt;&gt;"")+('Dvd Calendar'!$AK$1720=TYPE4)*(TYPE4&lt;&gt;"")+('Dvd Calendar'!$AK$1720=SPECIAL_LBL)*(INC_SPECIALS="Y"))=0,"",'Dvd Calendar'!$AK$1718)))</f>
        <v/>
      </c>
      <c r="AJ174" s="161">
        <f>IF(FL174="","",IF(ISNUMBER('Dvd Calendar'!$AL$1718)=FALSE,"",IF((('Dvd Calendar'!$AL$1720=TYPE1)*(TYPE1&lt;&gt;"")+('Dvd Calendar'!$AL$1720=TYPE2)*(TYPE2&lt;&gt;"")+('Dvd Calendar'!$AL$1720=TYPE3)*(TYPE3&lt;&gt;"")+('Dvd Calendar'!$AL$1720=TYPE4)*(TYPE4&lt;&gt;"")+('Dvd Calendar'!$AL$1720=SPECIAL_LBL)*(INC_SPECIALS="Y"))=0,"",'Dvd Calendar'!$AL$1718)))</f>
        <v/>
      </c>
      <c r="AK174" s="161">
        <f>IF(FM174="","",IF(ISNUMBER('Dvd Calendar'!$AM$1718)=FALSE,"",IF((('Dvd Calendar'!$AM$1720=TYPE1)*(TYPE1&lt;&gt;"")+('Dvd Calendar'!$AM$1720=TYPE2)*(TYPE2&lt;&gt;"")+('Dvd Calendar'!$AM$1720=TYPE3)*(TYPE3&lt;&gt;"")+('Dvd Calendar'!$AM$1720=TYPE4)*(TYPE4&lt;&gt;"")+('Dvd Calendar'!$AM$1720=SPECIAL_LBL)*(INC_SPECIALS="Y"))=0,"",'Dvd Calendar'!$AM$1718)))</f>
        <v/>
      </c>
      <c r="AL174" s="161">
        <f>IF(FN174="","",IF(ISNUMBER('Dvd Calendar'!$AN$1718)=FALSE,"",IF((('Dvd Calendar'!$AN$1720=TYPE1)*(TYPE1&lt;&gt;"")+('Dvd Calendar'!$AN$1720=TYPE2)*(TYPE2&lt;&gt;"")+('Dvd Calendar'!$AN$1720=TYPE3)*(TYPE3&lt;&gt;"")+('Dvd Calendar'!$AN$1720=TYPE4)*(TYPE4&lt;&gt;"")+('Dvd Calendar'!$AN$1720=SPECIAL_LBL)*(INC_SPECIALS="Y"))=0,"",'Dvd Calendar'!$AN$1718)))</f>
        <v/>
      </c>
      <c r="AM174" s="161">
        <f>IF(FO174="","",IF(ISNUMBER('Dvd Calendar'!$AO$1718)=FALSE,"",IF((('Dvd Calendar'!$AO$1720=TYPE1)*(TYPE1&lt;&gt;"")+('Dvd Calendar'!$AO$1720=TYPE2)*(TYPE2&lt;&gt;"")+('Dvd Calendar'!$AO$1720=TYPE3)*(TYPE3&lt;&gt;"")+('Dvd Calendar'!$AO$1720=TYPE4)*(TYPE4&lt;&gt;"")+('Dvd Calendar'!$AO$1720=SPECIAL_LBL)*(INC_SPECIALS="Y"))=0,"",'Dvd Calendar'!$AO$1718)))</f>
        <v/>
      </c>
      <c r="AN174" s="161">
        <f>IF(FP174="","",IF(ISNUMBER('Dvd Calendar'!$AP$1718)=FALSE,"",IF((('Dvd Calendar'!$AP$1720=TYPE1)*(TYPE1&lt;&gt;"")+('Dvd Calendar'!$AP$1720=TYPE2)*(TYPE2&lt;&gt;"")+('Dvd Calendar'!$AP$1720=TYPE3)*(TYPE3&lt;&gt;"")+('Dvd Calendar'!$AP$1720=TYPE4)*(TYPE4&lt;&gt;"")+('Dvd Calendar'!$AP$1720=SPECIAL_LBL)*(INC_SPECIALS="Y"))=0,"",'Dvd Calendar'!$AP$1718)))</f>
        <v/>
      </c>
      <c r="AO174" s="161">
        <f>IF(FQ174="","",IF(ISNUMBER('Dvd Calendar'!$AQ$1718)=FALSE,"",IF((('Dvd Calendar'!$AQ$1720=TYPE1)*(TYPE1&lt;&gt;"")+('Dvd Calendar'!$AQ$1720=TYPE2)*(TYPE2&lt;&gt;"")+('Dvd Calendar'!$AQ$1720=TYPE3)*(TYPE3&lt;&gt;"")+('Dvd Calendar'!$AQ$1720=TYPE4)*(TYPE4&lt;&gt;"")+('Dvd Calendar'!$AQ$1720=SPECIAL_LBL)*(INC_SPECIALS="Y"))=0,"",'Dvd Calendar'!$AQ$1718)))</f>
        <v/>
      </c>
      <c r="AP174" s="161">
        <f>IF(FR174="","",IF(ISNUMBER('Dvd Calendar'!$AR$1718)=FALSE,"",IF((('Dvd Calendar'!$AR$1720=TYPE1)*(TYPE1&lt;&gt;"")+('Dvd Calendar'!$AR$1720=TYPE2)*(TYPE2&lt;&gt;"")+('Dvd Calendar'!$AR$1720=TYPE3)*(TYPE3&lt;&gt;"")+('Dvd Calendar'!$AR$1720=TYPE4)*(TYPE4&lt;&gt;"")+('Dvd Calendar'!$AR$1720=SPECIAL_LBL)*(INC_SPECIALS="Y"))=0,"",'Dvd Calendar'!$AR$1718)))</f>
        <v/>
      </c>
      <c r="AQ174" s="161">
        <f>IF(FS174="","",IF(ISNUMBER('Dvd Calendar'!$E$1723)=FALSE,"",'Dvd Calendar'!$E$1723))</f>
        <v/>
      </c>
      <c r="AR174" s="161">
        <f>IF(FT174="","",IF(ISNUMBER('Dvd Calendar'!$F$1723)=FALSE,"",'Dvd Calendar'!$F$1723))</f>
        <v/>
      </c>
      <c r="AS174" s="161">
        <f>IF(FU174="","",IF(ISNUMBER('Dvd Calendar'!$G$1723)=FALSE,"",'Dvd Calendar'!$G$1723))</f>
        <v/>
      </c>
      <c r="AT174" s="161">
        <f>IF(FV174="","",IF(ISNUMBER('Dvd Calendar'!$H$1723)=FALSE,"",'Dvd Calendar'!$H$1723))</f>
        <v/>
      </c>
      <c r="AU174" s="161">
        <f>IF(FW174="","",IF(ISNUMBER('Dvd Calendar'!$I$1723)=FALSE,"",'Dvd Calendar'!$I$1723))</f>
        <v/>
      </c>
      <c r="AV174" s="161">
        <f>IF(FX174="","",IF(ISNUMBER('Dvd Calendar'!$J$1723)=FALSE,"",'Dvd Calendar'!$J$1723))</f>
        <v/>
      </c>
      <c r="AW174" s="161">
        <f>IF(FY174="","",IF(ISNUMBER('Dvd Calendar'!$K$1723)=FALSE,"",'Dvd Calendar'!$K$1723))</f>
        <v/>
      </c>
      <c r="AX174" s="161">
        <f>IF(FZ174="","",IF(ISNUMBER('Dvd Calendar'!$L$1723)=FALSE,"",'Dvd Calendar'!$L$1723))</f>
        <v/>
      </c>
      <c r="AY174" s="161">
        <f>IF(GA174="","",IF(ISNUMBER('Dvd Calendar'!$M$1723)=FALSE,"",'Dvd Calendar'!$M$1723))</f>
        <v/>
      </c>
      <c r="AZ174" s="161">
        <f>IF(GB174="","",IF(ISNUMBER('Dvd Calendar'!$N$1723)=FALSE,"",'Dvd Calendar'!$N$1723))</f>
        <v/>
      </c>
      <c r="BA174" s="161">
        <f>IF(GC174="","",IF(ISNUMBER('Dvd Calendar'!$O$1723)=FALSE,"",'Dvd Calendar'!$O$1723))</f>
        <v/>
      </c>
      <c r="BB174" s="161">
        <f>IF(GD174="","",IF(ISNUMBER('Dvd Calendar'!$P$1723)=FALSE,"",'Dvd Calendar'!$P$1723))</f>
        <v/>
      </c>
      <c r="BC174" s="161">
        <f>IF(GE174="","",IF(ISNUMBER('Dvd Calendar'!$Q$1723)=FALSE,"",'Dvd Calendar'!$Q$1723))</f>
        <v/>
      </c>
      <c r="BD174" s="161">
        <f>IF(GF174="","",IF(ISNUMBER('Dvd Calendar'!$R$1723)=FALSE,"",'Dvd Calendar'!$R$1723))</f>
        <v/>
      </c>
      <c r="BE174" s="161">
        <f>IF(GG174="","",IF(ISNUMBER('Dvd Calendar'!$S$1723)=FALSE,"",'Dvd Calendar'!$S$1723))</f>
        <v/>
      </c>
      <c r="BF174" s="161">
        <f>IF(GH174="","",IF(ISNUMBER('Dvd Calendar'!$T$1723)=FALSE,"",'Dvd Calendar'!$T$1723))</f>
        <v/>
      </c>
      <c r="BG174" s="161">
        <f>IF(GI174="","",IF(ISNUMBER('Dvd Calendar'!$U$1723)=FALSE,"",'Dvd Calendar'!$U$1723))</f>
        <v/>
      </c>
      <c r="BH174" s="161">
        <f>IF(GJ174="","",IF(ISNUMBER('Dvd Calendar'!$V$1723)=FALSE,"",'Dvd Calendar'!$V$1723))</f>
        <v/>
      </c>
      <c r="BI174" s="161">
        <f>IF(GK174="","",IF(ISNUMBER('Dvd Calendar'!$W$1723)=FALSE,"",'Dvd Calendar'!$W$1723))</f>
        <v/>
      </c>
      <c r="BJ174" s="161">
        <f>IF(GL174="","",IF(ISNUMBER('Dvd Calendar'!$X$1723)=FALSE,"",'Dvd Calendar'!$X$1723))</f>
        <v/>
      </c>
      <c r="BK174" s="161">
        <f>IF(GM174="","",IF(ISNUMBER('Dvd Calendar'!$Y$1723)=FALSE,"",'Dvd Calendar'!$Y$1723))</f>
        <v/>
      </c>
      <c r="BL174" s="161">
        <f>IF(GN174="","",IF(ISNUMBER('Dvd Calendar'!$Z$1723)=FALSE,"",'Dvd Calendar'!$Z$1723))</f>
        <v/>
      </c>
      <c r="BM174" s="161">
        <f>IF(GO174="","",IF(ISNUMBER('Dvd Calendar'!$AA$1723)=FALSE,"",'Dvd Calendar'!$AA$1723))</f>
        <v/>
      </c>
      <c r="BN174" s="161">
        <f>IF(GP174="","",IF(ISNUMBER('Dvd Calendar'!$AB$1723)=FALSE,"",'Dvd Calendar'!$AB$1723))</f>
        <v/>
      </c>
      <c r="BO174" s="161">
        <f>IF(GQ174="","",IF(ISNUMBER('Dvd Calendar'!$AC$1723)=FALSE,"",'Dvd Calendar'!$AC$1723))</f>
        <v/>
      </c>
      <c r="BQ174" s="161">
        <f>IF(C174="","",IFERROR(C174*HSCEI!$B$21*HSCEI!$G$21/HSCEI!$B$3,""))</f>
        <v/>
      </c>
      <c r="BR174" s="161">
        <f>IF(D174="","",IFERROR(D174*HSCEI!$B$21*HSCEI!$G$21/HSCEI!$B$3,""))</f>
        <v/>
      </c>
      <c r="BS174" s="161">
        <f>IF(E174="","",IFERROR(E174*HSCEI!$B$21*HSCEI!$G$21/HSCEI!$B$3,""))</f>
        <v/>
      </c>
      <c r="BT174" s="161">
        <f>IF(F174="","",IFERROR(F174*HSCEI!$B$21*HSCEI!$G$21/HSCEI!$B$3,""))</f>
        <v/>
      </c>
      <c r="BU174" s="161">
        <f>IF(G174="","",IFERROR(G174*HSCEI!$B$21*HSCEI!$G$21/HSCEI!$B$3,""))</f>
        <v/>
      </c>
      <c r="BV174" s="161">
        <f>IF(H174="","",IFERROR(H174*HSCEI!$B$21*HSCEI!$G$21/HSCEI!$B$3,""))</f>
        <v/>
      </c>
      <c r="BW174" s="161">
        <f>IF(I174="","",IFERROR(I174*HSCEI!$B$21*HSCEI!$G$21/HSCEI!$B$3,""))</f>
        <v/>
      </c>
      <c r="BX174" s="161">
        <f>IF(J174="","",IFERROR(J174*HSCEI!$B$21*HSCEI!$G$21/HSCEI!$B$3,""))</f>
        <v/>
      </c>
      <c r="BY174" s="161">
        <f>IF(K174="","",IFERROR(K174*HSCEI!$B$21*HSCEI!$G$21/HSCEI!$B$3,""))</f>
        <v/>
      </c>
      <c r="BZ174" s="161">
        <f>IF(L174="","",IFERROR(L174*HSCEI!$B$21*HSCEI!$G$21/HSCEI!$B$3,""))</f>
        <v/>
      </c>
      <c r="CA174" s="161">
        <f>IF(M174="","",IFERROR(M174*HSCEI!$B$21*HSCEI!$G$21/HSCEI!$B$3,""))</f>
        <v/>
      </c>
      <c r="CB174" s="161">
        <f>IF(N174="","",IFERROR(N174*HSCEI!$B$21*HSCEI!$G$21/HSCEI!$B$3,""))</f>
        <v/>
      </c>
      <c r="CC174" s="161">
        <f>IF(O174="","",IFERROR(O174*HSCEI!$B$21*HSCEI!$G$21/HSCEI!$B$3,""))</f>
        <v/>
      </c>
      <c r="CD174" s="161">
        <f>IF(P174="","",IFERROR(P174*HSCEI!$B$21*HSCEI!$G$21/HSCEI!$B$3,""))</f>
        <v/>
      </c>
      <c r="CE174" s="161">
        <f>IF(Q174="","",IFERROR(Q174*HSCEI!$B$21*HSCEI!$G$21/HSCEI!$B$3,""))</f>
        <v/>
      </c>
      <c r="CF174" s="161">
        <f>IF(R174="","",IFERROR(R174*HSCEI!$B$21*HSCEI!$G$21/HSCEI!$B$3,""))</f>
        <v/>
      </c>
      <c r="CG174" s="161">
        <f>IF(S174="","",IFERROR(S174*HSCEI!$B$21*HSCEI!$G$21/HSCEI!$B$3,""))</f>
        <v/>
      </c>
      <c r="CH174" s="161">
        <f>IF(T174="","",IFERROR(T174*HSCEI!$B$21*HSCEI!$G$21/HSCEI!$B$3,""))</f>
        <v/>
      </c>
      <c r="CI174" s="161">
        <f>IF(U174="","",IFERROR(U174*HSCEI!$B$21*HSCEI!$G$21/HSCEI!$B$3,""))</f>
        <v/>
      </c>
      <c r="CJ174" s="161">
        <f>IF(V174="","",IFERROR(V174*HSCEI!$B$21*HSCEI!$G$21/HSCEI!$B$3,""))</f>
        <v/>
      </c>
      <c r="CK174" s="161">
        <f>IF(W174="","",IFERROR(W174*HSCEI!$B$21*HSCEI!$G$21/HSCEI!$B$3,""))</f>
        <v/>
      </c>
      <c r="CL174" s="161">
        <f>IF(X174="","",IFERROR(X174*HSCEI!$B$21*HSCEI!$G$21/HSCEI!$B$3,""))</f>
        <v/>
      </c>
      <c r="CM174" s="161">
        <f>IF(Y174="","",IFERROR(Y174*HSCEI!$B$21*HSCEI!$G$21/HSCEI!$B$3,""))</f>
        <v/>
      </c>
      <c r="CN174" s="161">
        <f>IF(Z174="","",IFERROR(Z174*HSCEI!$B$21*HSCEI!$G$21/HSCEI!$B$3,""))</f>
        <v/>
      </c>
      <c r="CO174" s="161">
        <f>IF(AA174="","",IFERROR(AA174*HSCEI!$B$21*HSCEI!$G$21/HSCEI!$B$3,""))</f>
        <v/>
      </c>
      <c r="CP174" s="161">
        <f>IF(AB174="","",IFERROR(AB174*HSCEI!$B$21*HSCEI!$G$21/HSCEI!$B$3,""))</f>
        <v/>
      </c>
      <c r="CQ174" s="161">
        <f>IF(AC174="","",IFERROR(AC174*HSCEI!$B$21*HSCEI!$G$21/HSCEI!$B$3,""))</f>
        <v/>
      </c>
      <c r="CR174" s="161">
        <f>IF(AD174="","",IFERROR(AD174*HSCEI!$B$21*HSCEI!$G$21/HSCEI!$B$3,""))</f>
        <v/>
      </c>
      <c r="CS174" s="161">
        <f>IF(AE174="","",IFERROR(AE174*HSCEI!$B$21*HSCEI!$G$21/HSCEI!$B$3,""))</f>
        <v/>
      </c>
      <c r="CT174" s="161">
        <f>IF(AF174="","",IFERROR(AF174*HSCEI!$B$21*HSCEI!$G$21/HSCEI!$B$3,""))</f>
        <v/>
      </c>
      <c r="CU174" s="161">
        <f>IF(AG174="","",IFERROR(AG174*HSCEI!$B$21*HSCEI!$G$21/HSCEI!$B$3,""))</f>
        <v/>
      </c>
      <c r="CV174" s="161">
        <f>IF(AH174="","",IFERROR(AH174*HSCEI!$B$21*HSCEI!$G$21/HSCEI!$B$3,""))</f>
        <v/>
      </c>
      <c r="CW174" s="161">
        <f>IF(AI174="","",IFERROR(AI174*HSCEI!$B$21*HSCEI!$G$21/HSCEI!$B$3,""))</f>
        <v/>
      </c>
      <c r="CX174" s="161">
        <f>IF(AJ174="","",IFERROR(AJ174*HSCEI!$B$21*HSCEI!$G$21/HSCEI!$B$3,""))</f>
        <v/>
      </c>
      <c r="CY174" s="161">
        <f>IF(AK174="","",IFERROR(AK174*HSCEI!$B$21*HSCEI!$G$21/HSCEI!$B$3,""))</f>
        <v/>
      </c>
      <c r="CZ174" s="161">
        <f>IF(AL174="","",IFERROR(AL174*HSCEI!$B$21*HSCEI!$G$21/HSCEI!$B$3,""))</f>
        <v/>
      </c>
      <c r="DA174" s="161">
        <f>IF(AM174="","",IFERROR(AM174*HSCEI!$B$21*HSCEI!$G$21/HSCEI!$B$3,""))</f>
        <v/>
      </c>
      <c r="DB174" s="161">
        <f>IF(AN174="","",IFERROR(AN174*HSCEI!$B$21*HSCEI!$G$21/HSCEI!$B$3,""))</f>
        <v/>
      </c>
      <c r="DC174" s="161">
        <f>IF(AO174="","",IFERROR(AO174*HSCEI!$B$21*HSCEI!$G$21/HSCEI!$B$3,""))</f>
        <v/>
      </c>
      <c r="DD174" s="161">
        <f>IF(AP174="","",IFERROR(AP174*HSCEI!$B$21*HSCEI!$G$21/HSCEI!$B$3,""))</f>
        <v/>
      </c>
      <c r="DE174" s="161">
        <f>IF(AQ174="","",IFERROR(AQ174*HSCEI!$B$21*HSCEI!$G$21/HSCEI!$B$3,""))</f>
        <v/>
      </c>
      <c r="DF174" s="161">
        <f>IF(AR174="","",IFERROR(AR174*HSCEI!$B$21*HSCEI!$G$21/HSCEI!$B$3,""))</f>
        <v/>
      </c>
      <c r="DG174" s="161">
        <f>IF(AS174="","",IFERROR(AS174*HSCEI!$B$21*HSCEI!$G$21/HSCEI!$B$3,""))</f>
        <v/>
      </c>
      <c r="DH174" s="161">
        <f>IF(AT174="","",IFERROR(AT174*HSCEI!$B$21*HSCEI!$G$21/HSCEI!$B$3,""))</f>
        <v/>
      </c>
      <c r="DI174" s="161">
        <f>IF(AU174="","",IFERROR(AU174*HSCEI!$B$21*HSCEI!$G$21/HSCEI!$B$3,""))</f>
        <v/>
      </c>
      <c r="DJ174" s="161">
        <f>IF(AV174="","",IFERROR(AV174*HSCEI!$B$21*HSCEI!$G$21/HSCEI!$B$3,""))</f>
        <v/>
      </c>
      <c r="DK174" s="161">
        <f>IF(AW174="","",IFERROR(AW174*HSCEI!$B$21*HSCEI!$G$21/HSCEI!$B$3,""))</f>
        <v/>
      </c>
      <c r="DL174" s="161">
        <f>IF(AX174="","",IFERROR(AX174*HSCEI!$B$21*HSCEI!$G$21/HSCEI!$B$3,""))</f>
        <v/>
      </c>
      <c r="DM174" s="161">
        <f>IF(AY174="","",IFERROR(AY174*HSCEI!$B$21*HSCEI!$G$21/HSCEI!$B$3,""))</f>
        <v/>
      </c>
      <c r="DN174" s="161">
        <f>IF(AZ174="","",IFERROR(AZ174*HSCEI!$B$21*HSCEI!$G$21/HSCEI!$B$3,""))</f>
        <v/>
      </c>
      <c r="DO174" s="161">
        <f>IF(BA174="","",IFERROR(BA174*HSCEI!$B$21*HSCEI!$G$21/HSCEI!$B$3,""))</f>
        <v/>
      </c>
      <c r="DP174" s="161">
        <f>IF(BB174="","",IFERROR(BB174*HSCEI!$B$21*HSCEI!$G$21/HSCEI!$B$3,""))</f>
        <v/>
      </c>
      <c r="DQ174" s="161">
        <f>IF(BC174="","",IFERROR(BC174*HSCEI!$B$21*HSCEI!$G$21/HSCEI!$B$3,""))</f>
        <v/>
      </c>
      <c r="DR174" s="161">
        <f>IF(BD174="","",IFERROR(BD174*HSCEI!$B$21*HSCEI!$G$21/HSCEI!$B$3,""))</f>
        <v/>
      </c>
      <c r="DS174" s="161">
        <f>IF(BE174="","",IFERROR(BE174*HSCEI!$B$21*HSCEI!$G$21/HSCEI!$B$3,""))</f>
        <v/>
      </c>
      <c r="DT174" s="161">
        <f>IF(BF174="","",IFERROR(BF174*HSCEI!$B$21*HSCEI!$G$21/HSCEI!$B$3,""))</f>
        <v/>
      </c>
      <c r="DU174" s="161">
        <f>IF(BG174="","",IFERROR(BG174*HSCEI!$B$21*HSCEI!$G$21/HSCEI!$B$3,""))</f>
        <v/>
      </c>
      <c r="DV174" s="161">
        <f>IF(BH174="","",IFERROR(BH174*HSCEI!$B$21*HSCEI!$G$21/HSCEI!$B$3,""))</f>
        <v/>
      </c>
      <c r="DW174" s="161">
        <f>IF(BI174="","",IFERROR(BI174*HSCEI!$B$21*HSCEI!$G$21/HSCEI!$B$3,""))</f>
        <v/>
      </c>
      <c r="DX174" s="161">
        <f>IF(BJ174="","",IFERROR(BJ174*HSCEI!$B$21*HSCEI!$G$21/HSCEI!$B$3,""))</f>
        <v/>
      </c>
      <c r="DY174" s="161">
        <f>IF(BK174="","",IFERROR(BK174*HSCEI!$B$21*HSCEI!$G$21/HSCEI!$B$3,""))</f>
        <v/>
      </c>
      <c r="DZ174" s="161">
        <f>IF(BL174="","",IFERROR(BL174*HSCEI!$B$21*HSCEI!$G$21/HSCEI!$B$3,""))</f>
        <v/>
      </c>
      <c r="EA174" s="161">
        <f>IF(BM174="","",IFERROR(BM174*HSCEI!$B$21*HSCEI!$G$21/HSCEI!$B$3,""))</f>
        <v/>
      </c>
      <c r="EB174" s="161">
        <f>IF(BN174="","",IFERROR(BN174*HSCEI!$B$21*HSCEI!$G$21/HSCEI!$B$3,""))</f>
        <v/>
      </c>
      <c r="EC174" s="161">
        <f>IF(BO174="","",IFERROR(BO174*HSCEI!$B$21*HSCEI!$G$21/HSCEI!$B$3,""))</f>
        <v/>
      </c>
      <c r="EE174" s="121">
        <f>IF(N('Dvd Calendar'!$E$1715)=0,"",IF(('Dvd Calendar'!$E$1715&gt;=GRID_FROM)*('Dvd Calendar'!$E$1715&lt;=GRID_TO)*((('Dvd Calendar'!$E$1715&lt;=VAL_DATE)+(COUNTIF('Dvd Calendar'!$E$1722:$AR$1722,'Dvd Calendar'!$E$1715)=0))&gt;0)=0,"",'Dvd Calendar'!$E$1715*1000000000+ISNUMBER('Dvd Calendar'!$E$1718)*100000000+('Dvd Calendar'!$E$1720=SPECIAL_LBL)*10000000+(N('Dvd Calendar'!$E$1714)&gt;0)*(N('Dvd Calendar'!$E$1714)&lt;=VAL_SERIAL)*1000000+15*1000+1))</f>
        <v/>
      </c>
      <c r="EF174" s="121">
        <f>IF(N('Dvd Calendar'!$F$1715)=0,"",IF(('Dvd Calendar'!$F$1715&gt;=GRID_FROM)*('Dvd Calendar'!$F$1715&lt;=GRID_TO)*((('Dvd Calendar'!$F$1715&lt;=VAL_DATE)+(COUNTIF('Dvd Calendar'!$E$1722:$AR$1722,'Dvd Calendar'!$F$1715)=0))&gt;0)=0,"",'Dvd Calendar'!$F$1715*1000000000+ISNUMBER('Dvd Calendar'!$F$1718)*100000000+('Dvd Calendar'!$F$1720=SPECIAL_LBL)*10000000+(N('Dvd Calendar'!$F$1714)&gt;0)*(N('Dvd Calendar'!$F$1714)&lt;=VAL_SERIAL)*1000000+15*1000+2))</f>
        <v/>
      </c>
      <c r="EG174" s="121">
        <f>IF(N('Dvd Calendar'!$G$1715)=0,"",IF(('Dvd Calendar'!$G$1715&gt;=GRID_FROM)*('Dvd Calendar'!$G$1715&lt;=GRID_TO)*((('Dvd Calendar'!$G$1715&lt;=VAL_DATE)+(COUNTIF('Dvd Calendar'!$E$1722:$AR$1722,'Dvd Calendar'!$G$1715)=0))&gt;0)=0,"",'Dvd Calendar'!$G$1715*1000000000+ISNUMBER('Dvd Calendar'!$G$1718)*100000000+('Dvd Calendar'!$G$1720=SPECIAL_LBL)*10000000+(N('Dvd Calendar'!$G$1714)&gt;0)*(N('Dvd Calendar'!$G$1714)&lt;=VAL_SERIAL)*1000000+15*1000+3))</f>
        <v/>
      </c>
      <c r="EH174" s="121">
        <f>IF(N('Dvd Calendar'!$H$1715)=0,"",IF(('Dvd Calendar'!$H$1715&gt;=GRID_FROM)*('Dvd Calendar'!$H$1715&lt;=GRID_TO)*((('Dvd Calendar'!$H$1715&lt;=VAL_DATE)+(COUNTIF('Dvd Calendar'!$E$1722:$AR$1722,'Dvd Calendar'!$H$1715)=0))&gt;0)=0,"",'Dvd Calendar'!$H$1715*1000000000+ISNUMBER('Dvd Calendar'!$H$1718)*100000000+('Dvd Calendar'!$H$1720=SPECIAL_LBL)*10000000+(N('Dvd Calendar'!$H$1714)&gt;0)*(N('Dvd Calendar'!$H$1714)&lt;=VAL_SERIAL)*1000000+15*1000+4))</f>
        <v/>
      </c>
      <c r="EI174" s="121">
        <f>IF(N('Dvd Calendar'!$I$1715)=0,"",IF(('Dvd Calendar'!$I$1715&gt;=GRID_FROM)*('Dvd Calendar'!$I$1715&lt;=GRID_TO)*((('Dvd Calendar'!$I$1715&lt;=VAL_DATE)+(COUNTIF('Dvd Calendar'!$E$1722:$AR$1722,'Dvd Calendar'!$I$1715)=0))&gt;0)=0,"",'Dvd Calendar'!$I$1715*1000000000+ISNUMBER('Dvd Calendar'!$I$1718)*100000000+('Dvd Calendar'!$I$1720=SPECIAL_LBL)*10000000+(N('Dvd Calendar'!$I$1714)&gt;0)*(N('Dvd Calendar'!$I$1714)&lt;=VAL_SERIAL)*1000000+15*1000+5))</f>
        <v/>
      </c>
      <c r="EJ174" s="121">
        <f>IF(N('Dvd Calendar'!$J$1715)=0,"",IF(('Dvd Calendar'!$J$1715&gt;=GRID_FROM)*('Dvd Calendar'!$J$1715&lt;=GRID_TO)*((('Dvd Calendar'!$J$1715&lt;=VAL_DATE)+(COUNTIF('Dvd Calendar'!$E$1722:$AR$1722,'Dvd Calendar'!$J$1715)=0))&gt;0)=0,"",'Dvd Calendar'!$J$1715*1000000000+ISNUMBER('Dvd Calendar'!$J$1718)*100000000+('Dvd Calendar'!$J$1720=SPECIAL_LBL)*10000000+(N('Dvd Calendar'!$J$1714)&gt;0)*(N('Dvd Calendar'!$J$1714)&lt;=VAL_SERIAL)*1000000+15*1000+6))</f>
        <v/>
      </c>
      <c r="EK174" s="121">
        <f>IF(N('Dvd Calendar'!$K$1715)=0,"",IF(('Dvd Calendar'!$K$1715&gt;=GRID_FROM)*('Dvd Calendar'!$K$1715&lt;=GRID_TO)*((('Dvd Calendar'!$K$1715&lt;=VAL_DATE)+(COUNTIF('Dvd Calendar'!$E$1722:$AR$1722,'Dvd Calendar'!$K$1715)=0))&gt;0)=0,"",'Dvd Calendar'!$K$1715*1000000000+ISNUMBER('Dvd Calendar'!$K$1718)*100000000+('Dvd Calendar'!$K$1720=SPECIAL_LBL)*10000000+(N('Dvd Calendar'!$K$1714)&gt;0)*(N('Dvd Calendar'!$K$1714)&lt;=VAL_SERIAL)*1000000+15*1000+7))</f>
        <v/>
      </c>
      <c r="EL174" s="121">
        <f>IF(N('Dvd Calendar'!$L$1715)=0,"",IF(('Dvd Calendar'!$L$1715&gt;=GRID_FROM)*('Dvd Calendar'!$L$1715&lt;=GRID_TO)*((('Dvd Calendar'!$L$1715&lt;=VAL_DATE)+(COUNTIF('Dvd Calendar'!$E$1722:$AR$1722,'Dvd Calendar'!$L$1715)=0))&gt;0)=0,"",'Dvd Calendar'!$L$1715*1000000000+ISNUMBER('Dvd Calendar'!$L$1718)*100000000+('Dvd Calendar'!$L$1720=SPECIAL_LBL)*10000000+(N('Dvd Calendar'!$L$1714)&gt;0)*(N('Dvd Calendar'!$L$1714)&lt;=VAL_SERIAL)*1000000+15*1000+8))</f>
        <v/>
      </c>
      <c r="EM174" s="121">
        <f>IF(N('Dvd Calendar'!$M$1715)=0,"",IF(('Dvd Calendar'!$M$1715&gt;=GRID_FROM)*('Dvd Calendar'!$M$1715&lt;=GRID_TO)*((('Dvd Calendar'!$M$1715&lt;=VAL_DATE)+(COUNTIF('Dvd Calendar'!$E$1722:$AR$1722,'Dvd Calendar'!$M$1715)=0))&gt;0)=0,"",'Dvd Calendar'!$M$1715*1000000000+ISNUMBER('Dvd Calendar'!$M$1718)*100000000+('Dvd Calendar'!$M$1720=SPECIAL_LBL)*10000000+(N('Dvd Calendar'!$M$1714)&gt;0)*(N('Dvd Calendar'!$M$1714)&lt;=VAL_SERIAL)*1000000+15*1000+9))</f>
        <v/>
      </c>
      <c r="EN174" s="121">
        <f>IF(N('Dvd Calendar'!$N$1715)=0,"",IF(('Dvd Calendar'!$N$1715&gt;=GRID_FROM)*('Dvd Calendar'!$N$1715&lt;=GRID_TO)*((('Dvd Calendar'!$N$1715&lt;=VAL_DATE)+(COUNTIF('Dvd Calendar'!$E$1722:$AR$1722,'Dvd Calendar'!$N$1715)=0))&gt;0)=0,"",'Dvd Calendar'!$N$1715*1000000000+ISNUMBER('Dvd Calendar'!$N$1718)*100000000+('Dvd Calendar'!$N$1720=SPECIAL_LBL)*10000000+(N('Dvd Calendar'!$N$1714)&gt;0)*(N('Dvd Calendar'!$N$1714)&lt;=VAL_SERIAL)*1000000+15*1000+10))</f>
        <v/>
      </c>
      <c r="EO174" s="121">
        <f>IF(N('Dvd Calendar'!$O$1715)=0,"",IF(('Dvd Calendar'!$O$1715&gt;=GRID_FROM)*('Dvd Calendar'!$O$1715&lt;=GRID_TO)*((('Dvd Calendar'!$O$1715&lt;=VAL_DATE)+(COUNTIF('Dvd Calendar'!$E$1722:$AR$1722,'Dvd Calendar'!$O$1715)=0))&gt;0)=0,"",'Dvd Calendar'!$O$1715*1000000000+ISNUMBER('Dvd Calendar'!$O$1718)*100000000+('Dvd Calendar'!$O$1720=SPECIAL_LBL)*10000000+(N('Dvd Calendar'!$O$1714)&gt;0)*(N('Dvd Calendar'!$O$1714)&lt;=VAL_SERIAL)*1000000+15*1000+11))</f>
        <v/>
      </c>
      <c r="EP174" s="121">
        <f>IF(N('Dvd Calendar'!$P$1715)=0,"",IF(('Dvd Calendar'!$P$1715&gt;=GRID_FROM)*('Dvd Calendar'!$P$1715&lt;=GRID_TO)*((('Dvd Calendar'!$P$1715&lt;=VAL_DATE)+(COUNTIF('Dvd Calendar'!$E$1722:$AR$1722,'Dvd Calendar'!$P$1715)=0))&gt;0)=0,"",'Dvd Calendar'!$P$1715*1000000000+ISNUMBER('Dvd Calendar'!$P$1718)*100000000+('Dvd Calendar'!$P$1720=SPECIAL_LBL)*10000000+(N('Dvd Calendar'!$P$1714)&gt;0)*(N('Dvd Calendar'!$P$1714)&lt;=VAL_SERIAL)*1000000+15*1000+12))</f>
        <v/>
      </c>
      <c r="EQ174" s="121">
        <f>IF(N('Dvd Calendar'!$Q$1715)=0,"",IF(('Dvd Calendar'!$Q$1715&gt;=GRID_FROM)*('Dvd Calendar'!$Q$1715&lt;=GRID_TO)*((('Dvd Calendar'!$Q$1715&lt;=VAL_DATE)+(COUNTIF('Dvd Calendar'!$E$1722:$AR$1722,'Dvd Calendar'!$Q$1715)=0))&gt;0)=0,"",'Dvd Calendar'!$Q$1715*1000000000+ISNUMBER('Dvd Calendar'!$Q$1718)*100000000+('Dvd Calendar'!$Q$1720=SPECIAL_LBL)*10000000+(N('Dvd Calendar'!$Q$1714)&gt;0)*(N('Dvd Calendar'!$Q$1714)&lt;=VAL_SERIAL)*1000000+15*1000+13))</f>
        <v/>
      </c>
      <c r="ER174" s="121">
        <f>IF(N('Dvd Calendar'!$R$1715)=0,"",IF(('Dvd Calendar'!$R$1715&gt;=GRID_FROM)*('Dvd Calendar'!$R$1715&lt;=GRID_TO)*((('Dvd Calendar'!$R$1715&lt;=VAL_DATE)+(COUNTIF('Dvd Calendar'!$E$1722:$AR$1722,'Dvd Calendar'!$R$1715)=0))&gt;0)=0,"",'Dvd Calendar'!$R$1715*1000000000+ISNUMBER('Dvd Calendar'!$R$1718)*100000000+('Dvd Calendar'!$R$1720=SPECIAL_LBL)*10000000+(N('Dvd Calendar'!$R$1714)&gt;0)*(N('Dvd Calendar'!$R$1714)&lt;=VAL_SERIAL)*1000000+15*1000+14))</f>
        <v/>
      </c>
      <c r="ES174" s="121">
        <f>IF(N('Dvd Calendar'!$S$1715)=0,"",IF(('Dvd Calendar'!$S$1715&gt;=GRID_FROM)*('Dvd Calendar'!$S$1715&lt;=GRID_TO)*((('Dvd Calendar'!$S$1715&lt;=VAL_DATE)+(COUNTIF('Dvd Calendar'!$E$1722:$AR$1722,'Dvd Calendar'!$S$1715)=0))&gt;0)=0,"",'Dvd Calendar'!$S$1715*1000000000+ISNUMBER('Dvd Calendar'!$S$1718)*100000000+('Dvd Calendar'!$S$1720=SPECIAL_LBL)*10000000+(N('Dvd Calendar'!$S$1714)&gt;0)*(N('Dvd Calendar'!$S$1714)&lt;=VAL_SERIAL)*1000000+15*1000+15))</f>
        <v/>
      </c>
      <c r="ET174" s="121">
        <f>IF(N('Dvd Calendar'!$T$1715)=0,"",IF(('Dvd Calendar'!$T$1715&gt;=GRID_FROM)*('Dvd Calendar'!$T$1715&lt;=GRID_TO)*((('Dvd Calendar'!$T$1715&lt;=VAL_DATE)+(COUNTIF('Dvd Calendar'!$E$1722:$AR$1722,'Dvd Calendar'!$T$1715)=0))&gt;0)=0,"",'Dvd Calendar'!$T$1715*1000000000+ISNUMBER('Dvd Calendar'!$T$1718)*100000000+('Dvd Calendar'!$T$1720=SPECIAL_LBL)*10000000+(N('Dvd Calendar'!$T$1714)&gt;0)*(N('Dvd Calendar'!$T$1714)&lt;=VAL_SERIAL)*1000000+15*1000+16))</f>
        <v/>
      </c>
      <c r="EU174" s="121">
        <f>IF(N('Dvd Calendar'!$U$1715)=0,"",IF(('Dvd Calendar'!$U$1715&gt;=GRID_FROM)*('Dvd Calendar'!$U$1715&lt;=GRID_TO)*((('Dvd Calendar'!$U$1715&lt;=VAL_DATE)+(COUNTIF('Dvd Calendar'!$E$1722:$AR$1722,'Dvd Calendar'!$U$1715)=0))&gt;0)=0,"",'Dvd Calendar'!$U$1715*1000000000+ISNUMBER('Dvd Calendar'!$U$1718)*100000000+('Dvd Calendar'!$U$1720=SPECIAL_LBL)*10000000+(N('Dvd Calendar'!$U$1714)&gt;0)*(N('Dvd Calendar'!$U$1714)&lt;=VAL_SERIAL)*1000000+15*1000+17))</f>
        <v/>
      </c>
      <c r="EV174" s="121">
        <f>IF(N('Dvd Calendar'!$V$1715)=0,"",IF(('Dvd Calendar'!$V$1715&gt;=GRID_FROM)*('Dvd Calendar'!$V$1715&lt;=GRID_TO)*((('Dvd Calendar'!$V$1715&lt;=VAL_DATE)+(COUNTIF('Dvd Calendar'!$E$1722:$AR$1722,'Dvd Calendar'!$V$1715)=0))&gt;0)=0,"",'Dvd Calendar'!$V$1715*1000000000+ISNUMBER('Dvd Calendar'!$V$1718)*100000000+('Dvd Calendar'!$V$1720=SPECIAL_LBL)*10000000+(N('Dvd Calendar'!$V$1714)&gt;0)*(N('Dvd Calendar'!$V$1714)&lt;=VAL_SERIAL)*1000000+15*1000+18))</f>
        <v/>
      </c>
      <c r="EW174" s="121">
        <f>IF(N('Dvd Calendar'!$W$1715)=0,"",IF(('Dvd Calendar'!$W$1715&gt;=GRID_FROM)*('Dvd Calendar'!$W$1715&lt;=GRID_TO)*((('Dvd Calendar'!$W$1715&lt;=VAL_DATE)+(COUNTIF('Dvd Calendar'!$E$1722:$AR$1722,'Dvd Calendar'!$W$1715)=0))&gt;0)=0,"",'Dvd Calendar'!$W$1715*1000000000+ISNUMBER('Dvd Calendar'!$W$1718)*100000000+('Dvd Calendar'!$W$1720=SPECIAL_LBL)*10000000+(N('Dvd Calendar'!$W$1714)&gt;0)*(N('Dvd Calendar'!$W$1714)&lt;=VAL_SERIAL)*1000000+15*1000+19))</f>
        <v/>
      </c>
      <c r="EX174" s="121">
        <f>IF(N('Dvd Calendar'!$X$1715)=0,"",IF(('Dvd Calendar'!$X$1715&gt;=GRID_FROM)*('Dvd Calendar'!$X$1715&lt;=GRID_TO)*((('Dvd Calendar'!$X$1715&lt;=VAL_DATE)+(COUNTIF('Dvd Calendar'!$E$1722:$AR$1722,'Dvd Calendar'!$X$1715)=0))&gt;0)=0,"",'Dvd Calendar'!$X$1715*1000000000+ISNUMBER('Dvd Calendar'!$X$1718)*100000000+('Dvd Calendar'!$X$1720=SPECIAL_LBL)*10000000+(N('Dvd Calendar'!$X$1714)&gt;0)*(N('Dvd Calendar'!$X$1714)&lt;=VAL_SERIAL)*1000000+15*1000+20))</f>
        <v/>
      </c>
      <c r="EY174" s="121">
        <f>IF(N('Dvd Calendar'!$Y$1715)=0,"",IF(('Dvd Calendar'!$Y$1715&gt;=GRID_FROM)*('Dvd Calendar'!$Y$1715&lt;=GRID_TO)*((('Dvd Calendar'!$Y$1715&lt;=VAL_DATE)+(COUNTIF('Dvd Calendar'!$E$1722:$AR$1722,'Dvd Calendar'!$Y$1715)=0))&gt;0)=0,"",'Dvd Calendar'!$Y$1715*1000000000+ISNUMBER('Dvd Calendar'!$Y$1718)*100000000+('Dvd Calendar'!$Y$1720=SPECIAL_LBL)*10000000+(N('Dvd Calendar'!$Y$1714)&gt;0)*(N('Dvd Calendar'!$Y$1714)&lt;=VAL_SERIAL)*1000000+15*1000+21))</f>
        <v/>
      </c>
      <c r="EZ174" s="121">
        <f>IF(N('Dvd Calendar'!$Z$1715)=0,"",IF(('Dvd Calendar'!$Z$1715&gt;=GRID_FROM)*('Dvd Calendar'!$Z$1715&lt;=GRID_TO)*((('Dvd Calendar'!$Z$1715&lt;=VAL_DATE)+(COUNTIF('Dvd Calendar'!$E$1722:$AR$1722,'Dvd Calendar'!$Z$1715)=0))&gt;0)=0,"",'Dvd Calendar'!$Z$1715*1000000000+ISNUMBER('Dvd Calendar'!$Z$1718)*100000000+('Dvd Calendar'!$Z$1720=SPECIAL_LBL)*10000000+(N('Dvd Calendar'!$Z$1714)&gt;0)*(N('Dvd Calendar'!$Z$1714)&lt;=VAL_SERIAL)*1000000+15*1000+22))</f>
        <v/>
      </c>
      <c r="FA174" s="121">
        <f>IF(N('Dvd Calendar'!$AA$1715)=0,"",IF(('Dvd Calendar'!$AA$1715&gt;=GRID_FROM)*('Dvd Calendar'!$AA$1715&lt;=GRID_TO)*((('Dvd Calendar'!$AA$1715&lt;=VAL_DATE)+(COUNTIF('Dvd Calendar'!$E$1722:$AR$1722,'Dvd Calendar'!$AA$1715)=0))&gt;0)=0,"",'Dvd Calendar'!$AA$1715*1000000000+ISNUMBER('Dvd Calendar'!$AA$1718)*100000000+('Dvd Calendar'!$AA$1720=SPECIAL_LBL)*10000000+(N('Dvd Calendar'!$AA$1714)&gt;0)*(N('Dvd Calendar'!$AA$1714)&lt;=VAL_SERIAL)*1000000+15*1000+23))</f>
        <v/>
      </c>
      <c r="FB174" s="121">
        <f>IF(N('Dvd Calendar'!$AB$1715)=0,"",IF(('Dvd Calendar'!$AB$1715&gt;=GRID_FROM)*('Dvd Calendar'!$AB$1715&lt;=GRID_TO)*((('Dvd Calendar'!$AB$1715&lt;=VAL_DATE)+(COUNTIF('Dvd Calendar'!$E$1722:$AR$1722,'Dvd Calendar'!$AB$1715)=0))&gt;0)=0,"",'Dvd Calendar'!$AB$1715*1000000000+ISNUMBER('Dvd Calendar'!$AB$1718)*100000000+('Dvd Calendar'!$AB$1720=SPECIAL_LBL)*10000000+(N('Dvd Calendar'!$AB$1714)&gt;0)*(N('Dvd Calendar'!$AB$1714)&lt;=VAL_SERIAL)*1000000+15*1000+24))</f>
        <v/>
      </c>
      <c r="FC174" s="121">
        <f>IF(N('Dvd Calendar'!$AC$1715)=0,"",IF(('Dvd Calendar'!$AC$1715&gt;=GRID_FROM)*('Dvd Calendar'!$AC$1715&lt;=GRID_TO)*((('Dvd Calendar'!$AC$1715&lt;=VAL_DATE)+(COUNTIF('Dvd Calendar'!$E$1722:$AR$1722,'Dvd Calendar'!$AC$1715)=0))&gt;0)=0,"",'Dvd Calendar'!$AC$1715*1000000000+ISNUMBER('Dvd Calendar'!$AC$1718)*100000000+('Dvd Calendar'!$AC$1720=SPECIAL_LBL)*10000000+(N('Dvd Calendar'!$AC$1714)&gt;0)*(N('Dvd Calendar'!$AC$1714)&lt;=VAL_SERIAL)*1000000+15*1000+25))</f>
        <v/>
      </c>
      <c r="FD174" s="121">
        <f>IF(N('Dvd Calendar'!$AD$1715)=0,"",IF(('Dvd Calendar'!$AD$1715&gt;=GRID_FROM)*('Dvd Calendar'!$AD$1715&lt;=GRID_TO)*((('Dvd Calendar'!$AD$1715&lt;=VAL_DATE)+(COUNTIF('Dvd Calendar'!$E$1722:$AR$1722,'Dvd Calendar'!$AD$1715)=0))&gt;0)=0,"",'Dvd Calendar'!$AD$1715*1000000000+ISNUMBER('Dvd Calendar'!$AD$1718)*100000000+('Dvd Calendar'!$AD$1720=SPECIAL_LBL)*10000000+(N('Dvd Calendar'!$AD$1714)&gt;0)*(N('Dvd Calendar'!$AD$1714)&lt;=VAL_SERIAL)*1000000+15*1000+26))</f>
        <v/>
      </c>
      <c r="FE174" s="121">
        <f>IF(N('Dvd Calendar'!$AE$1715)=0,"",IF(('Dvd Calendar'!$AE$1715&gt;=GRID_FROM)*('Dvd Calendar'!$AE$1715&lt;=GRID_TO)*((('Dvd Calendar'!$AE$1715&lt;=VAL_DATE)+(COUNTIF('Dvd Calendar'!$E$1722:$AR$1722,'Dvd Calendar'!$AE$1715)=0))&gt;0)=0,"",'Dvd Calendar'!$AE$1715*1000000000+ISNUMBER('Dvd Calendar'!$AE$1718)*100000000+('Dvd Calendar'!$AE$1720=SPECIAL_LBL)*10000000+(N('Dvd Calendar'!$AE$1714)&gt;0)*(N('Dvd Calendar'!$AE$1714)&lt;=VAL_SERIAL)*1000000+15*1000+27))</f>
        <v/>
      </c>
      <c r="FF174" s="121">
        <f>IF(N('Dvd Calendar'!$AF$1715)=0,"",IF(('Dvd Calendar'!$AF$1715&gt;=GRID_FROM)*('Dvd Calendar'!$AF$1715&lt;=GRID_TO)*((('Dvd Calendar'!$AF$1715&lt;=VAL_DATE)+(COUNTIF('Dvd Calendar'!$E$1722:$AR$1722,'Dvd Calendar'!$AF$1715)=0))&gt;0)=0,"",'Dvd Calendar'!$AF$1715*1000000000+ISNUMBER('Dvd Calendar'!$AF$1718)*100000000+('Dvd Calendar'!$AF$1720=SPECIAL_LBL)*10000000+(N('Dvd Calendar'!$AF$1714)&gt;0)*(N('Dvd Calendar'!$AF$1714)&lt;=VAL_SERIAL)*1000000+15*1000+28))</f>
        <v/>
      </c>
      <c r="FG174" s="121">
        <f>IF(N('Dvd Calendar'!$AG$1715)=0,"",IF(('Dvd Calendar'!$AG$1715&gt;=GRID_FROM)*('Dvd Calendar'!$AG$1715&lt;=GRID_TO)*((('Dvd Calendar'!$AG$1715&lt;=VAL_DATE)+(COUNTIF('Dvd Calendar'!$E$1722:$AR$1722,'Dvd Calendar'!$AG$1715)=0))&gt;0)=0,"",'Dvd Calendar'!$AG$1715*1000000000+ISNUMBER('Dvd Calendar'!$AG$1718)*100000000+('Dvd Calendar'!$AG$1720=SPECIAL_LBL)*10000000+(N('Dvd Calendar'!$AG$1714)&gt;0)*(N('Dvd Calendar'!$AG$1714)&lt;=VAL_SERIAL)*1000000+15*1000+29))</f>
        <v/>
      </c>
      <c r="FH174" s="121">
        <f>IF(N('Dvd Calendar'!$AH$1715)=0,"",IF(('Dvd Calendar'!$AH$1715&gt;=GRID_FROM)*('Dvd Calendar'!$AH$1715&lt;=GRID_TO)*((('Dvd Calendar'!$AH$1715&lt;=VAL_DATE)+(COUNTIF('Dvd Calendar'!$E$1722:$AR$1722,'Dvd Calendar'!$AH$1715)=0))&gt;0)=0,"",'Dvd Calendar'!$AH$1715*1000000000+ISNUMBER('Dvd Calendar'!$AH$1718)*100000000+('Dvd Calendar'!$AH$1720=SPECIAL_LBL)*10000000+(N('Dvd Calendar'!$AH$1714)&gt;0)*(N('Dvd Calendar'!$AH$1714)&lt;=VAL_SERIAL)*1000000+15*1000+30))</f>
        <v/>
      </c>
      <c r="FI174" s="121">
        <f>IF(N('Dvd Calendar'!$AI$1715)=0,"",IF(('Dvd Calendar'!$AI$1715&gt;=GRID_FROM)*('Dvd Calendar'!$AI$1715&lt;=GRID_TO)*((('Dvd Calendar'!$AI$1715&lt;=VAL_DATE)+(COUNTIF('Dvd Calendar'!$E$1722:$AR$1722,'Dvd Calendar'!$AI$1715)=0))&gt;0)=0,"",'Dvd Calendar'!$AI$1715*1000000000+ISNUMBER('Dvd Calendar'!$AI$1718)*100000000+('Dvd Calendar'!$AI$1720=SPECIAL_LBL)*10000000+(N('Dvd Calendar'!$AI$1714)&gt;0)*(N('Dvd Calendar'!$AI$1714)&lt;=VAL_SERIAL)*1000000+15*1000+31))</f>
        <v/>
      </c>
      <c r="FJ174" s="121">
        <f>IF(N('Dvd Calendar'!$AJ$1715)=0,"",IF(('Dvd Calendar'!$AJ$1715&gt;=GRID_FROM)*('Dvd Calendar'!$AJ$1715&lt;=GRID_TO)*((('Dvd Calendar'!$AJ$1715&lt;=VAL_DATE)+(COUNTIF('Dvd Calendar'!$E$1722:$AR$1722,'Dvd Calendar'!$AJ$1715)=0))&gt;0)=0,"",'Dvd Calendar'!$AJ$1715*1000000000+ISNUMBER('Dvd Calendar'!$AJ$1718)*100000000+('Dvd Calendar'!$AJ$1720=SPECIAL_LBL)*10000000+(N('Dvd Calendar'!$AJ$1714)&gt;0)*(N('Dvd Calendar'!$AJ$1714)&lt;=VAL_SERIAL)*1000000+15*1000+32))</f>
        <v/>
      </c>
      <c r="FK174" s="121">
        <f>IF(N('Dvd Calendar'!$AK$1715)=0,"",IF(('Dvd Calendar'!$AK$1715&gt;=GRID_FROM)*('Dvd Calendar'!$AK$1715&lt;=GRID_TO)*((('Dvd Calendar'!$AK$1715&lt;=VAL_DATE)+(COUNTIF('Dvd Calendar'!$E$1722:$AR$1722,'Dvd Calendar'!$AK$1715)=0))&gt;0)=0,"",'Dvd Calendar'!$AK$1715*1000000000+ISNUMBER('Dvd Calendar'!$AK$1718)*100000000+('Dvd Calendar'!$AK$1720=SPECIAL_LBL)*10000000+(N('Dvd Calendar'!$AK$1714)&gt;0)*(N('Dvd Calendar'!$AK$1714)&lt;=VAL_SERIAL)*1000000+15*1000+33))</f>
        <v/>
      </c>
      <c r="FL174" s="121">
        <f>IF(N('Dvd Calendar'!$AL$1715)=0,"",IF(('Dvd Calendar'!$AL$1715&gt;=GRID_FROM)*('Dvd Calendar'!$AL$1715&lt;=GRID_TO)*((('Dvd Calendar'!$AL$1715&lt;=VAL_DATE)+(COUNTIF('Dvd Calendar'!$E$1722:$AR$1722,'Dvd Calendar'!$AL$1715)=0))&gt;0)=0,"",'Dvd Calendar'!$AL$1715*1000000000+ISNUMBER('Dvd Calendar'!$AL$1718)*100000000+('Dvd Calendar'!$AL$1720=SPECIAL_LBL)*10000000+(N('Dvd Calendar'!$AL$1714)&gt;0)*(N('Dvd Calendar'!$AL$1714)&lt;=VAL_SERIAL)*1000000+15*1000+34))</f>
        <v/>
      </c>
      <c r="FM174" s="121">
        <f>IF(N('Dvd Calendar'!$AM$1715)=0,"",IF(('Dvd Calendar'!$AM$1715&gt;=GRID_FROM)*('Dvd Calendar'!$AM$1715&lt;=GRID_TO)*((('Dvd Calendar'!$AM$1715&lt;=VAL_DATE)+(COUNTIF('Dvd Calendar'!$E$1722:$AR$1722,'Dvd Calendar'!$AM$1715)=0))&gt;0)=0,"",'Dvd Calendar'!$AM$1715*1000000000+ISNUMBER('Dvd Calendar'!$AM$1718)*100000000+('Dvd Calendar'!$AM$1720=SPECIAL_LBL)*10000000+(N('Dvd Calendar'!$AM$1714)&gt;0)*(N('Dvd Calendar'!$AM$1714)&lt;=VAL_SERIAL)*1000000+15*1000+35))</f>
        <v/>
      </c>
      <c r="FN174" s="121">
        <f>IF(N('Dvd Calendar'!$AN$1715)=0,"",IF(('Dvd Calendar'!$AN$1715&gt;=GRID_FROM)*('Dvd Calendar'!$AN$1715&lt;=GRID_TO)*((('Dvd Calendar'!$AN$1715&lt;=VAL_DATE)+(COUNTIF('Dvd Calendar'!$E$1722:$AR$1722,'Dvd Calendar'!$AN$1715)=0))&gt;0)=0,"",'Dvd Calendar'!$AN$1715*1000000000+ISNUMBER('Dvd Calendar'!$AN$1718)*100000000+('Dvd Calendar'!$AN$1720=SPECIAL_LBL)*10000000+(N('Dvd Calendar'!$AN$1714)&gt;0)*(N('Dvd Calendar'!$AN$1714)&lt;=VAL_SERIAL)*1000000+15*1000+36))</f>
        <v/>
      </c>
      <c r="FO174" s="121">
        <f>IF(N('Dvd Calendar'!$AO$1715)=0,"",IF(('Dvd Calendar'!$AO$1715&gt;=GRID_FROM)*('Dvd Calendar'!$AO$1715&lt;=GRID_TO)*((('Dvd Calendar'!$AO$1715&lt;=VAL_DATE)+(COUNTIF('Dvd Calendar'!$E$1722:$AR$1722,'Dvd Calendar'!$AO$1715)=0))&gt;0)=0,"",'Dvd Calendar'!$AO$1715*1000000000+ISNUMBER('Dvd Calendar'!$AO$1718)*100000000+('Dvd Calendar'!$AO$1720=SPECIAL_LBL)*10000000+(N('Dvd Calendar'!$AO$1714)&gt;0)*(N('Dvd Calendar'!$AO$1714)&lt;=VAL_SERIAL)*1000000+15*1000+37))</f>
        <v/>
      </c>
      <c r="FP174" s="121">
        <f>IF(N('Dvd Calendar'!$AP$1715)=0,"",IF(('Dvd Calendar'!$AP$1715&gt;=GRID_FROM)*('Dvd Calendar'!$AP$1715&lt;=GRID_TO)*((('Dvd Calendar'!$AP$1715&lt;=VAL_DATE)+(COUNTIF('Dvd Calendar'!$E$1722:$AR$1722,'Dvd Calendar'!$AP$1715)=0))&gt;0)=0,"",'Dvd Calendar'!$AP$1715*1000000000+ISNUMBER('Dvd Calendar'!$AP$1718)*100000000+('Dvd Calendar'!$AP$1720=SPECIAL_LBL)*10000000+(N('Dvd Calendar'!$AP$1714)&gt;0)*(N('Dvd Calendar'!$AP$1714)&lt;=VAL_SERIAL)*1000000+15*1000+38))</f>
        <v/>
      </c>
      <c r="FQ174" s="121">
        <f>IF(N('Dvd Calendar'!$AQ$1715)=0,"",IF(('Dvd Calendar'!$AQ$1715&gt;=GRID_FROM)*('Dvd Calendar'!$AQ$1715&lt;=GRID_TO)*((('Dvd Calendar'!$AQ$1715&lt;=VAL_DATE)+(COUNTIF('Dvd Calendar'!$E$1722:$AR$1722,'Dvd Calendar'!$AQ$1715)=0))&gt;0)=0,"",'Dvd Calendar'!$AQ$1715*1000000000+ISNUMBER('Dvd Calendar'!$AQ$1718)*100000000+('Dvd Calendar'!$AQ$1720=SPECIAL_LBL)*10000000+(N('Dvd Calendar'!$AQ$1714)&gt;0)*(N('Dvd Calendar'!$AQ$1714)&lt;=VAL_SERIAL)*1000000+15*1000+39))</f>
        <v/>
      </c>
      <c r="FR174" s="121">
        <f>IF(N('Dvd Calendar'!$AR$1715)=0,"",IF(('Dvd Calendar'!$AR$1715&gt;=GRID_FROM)*('Dvd Calendar'!$AR$1715&lt;=GRID_TO)*((('Dvd Calendar'!$AR$1715&lt;=VAL_DATE)+(COUNTIF('Dvd Calendar'!$E$1722:$AR$1722,'Dvd Calendar'!$AR$1715)=0))&gt;0)=0,"",'Dvd Calendar'!$AR$1715*1000000000+ISNUMBER('Dvd Calendar'!$AR$1718)*100000000+('Dvd Calendar'!$AR$1720=SPECIAL_LBL)*10000000+(N('Dvd Calendar'!$AR$1714)&gt;0)*(N('Dvd Calendar'!$AR$1714)&lt;=VAL_SERIAL)*1000000+15*1000+40))</f>
        <v/>
      </c>
      <c r="FS174" s="121">
        <f>IF(N('Dvd Calendar'!$E$1722)=0,"",IF(('Dvd Calendar'!$E$1722&gt;=GRID_FROM)*('Dvd Calendar'!$E$1722&lt;=GRID_TO)*('Dvd Calendar'!$E$1722&gt;VAL_DATE)=0,"",'Dvd Calendar'!$E$1722*1000000000+ISNUMBER('Dvd Calendar'!$E$1723)*100000000+0*10000000+(N('Dvd Calendar'!$E$1721)&gt;0)*(N('Dvd Calendar'!$E$1721)&lt;=VAL_SERIAL)*1000000+15*1000+41))</f>
        <v/>
      </c>
      <c r="FT174" s="121">
        <f>IF(N('Dvd Calendar'!$F$1722)=0,"",IF(('Dvd Calendar'!$F$1722&gt;=GRID_FROM)*('Dvd Calendar'!$F$1722&lt;=GRID_TO)*('Dvd Calendar'!$F$1722&gt;VAL_DATE)=0,"",'Dvd Calendar'!$F$1722*1000000000+ISNUMBER('Dvd Calendar'!$F$1723)*100000000+0*10000000+(N('Dvd Calendar'!$F$1721)&gt;0)*(N('Dvd Calendar'!$F$1721)&lt;=VAL_SERIAL)*1000000+15*1000+42))</f>
        <v/>
      </c>
      <c r="FU174" s="121">
        <f>IF(N('Dvd Calendar'!$G$1722)=0,"",IF(('Dvd Calendar'!$G$1722&gt;=GRID_FROM)*('Dvd Calendar'!$G$1722&lt;=GRID_TO)*('Dvd Calendar'!$G$1722&gt;VAL_DATE)=0,"",'Dvd Calendar'!$G$1722*1000000000+ISNUMBER('Dvd Calendar'!$G$1723)*100000000+0*10000000+(N('Dvd Calendar'!$G$1721)&gt;0)*(N('Dvd Calendar'!$G$1721)&lt;=VAL_SERIAL)*1000000+15*1000+43))</f>
        <v/>
      </c>
      <c r="FV174" s="121">
        <f>IF(N('Dvd Calendar'!$H$1722)=0,"",IF(('Dvd Calendar'!$H$1722&gt;=GRID_FROM)*('Dvd Calendar'!$H$1722&lt;=GRID_TO)*('Dvd Calendar'!$H$1722&gt;VAL_DATE)=0,"",'Dvd Calendar'!$H$1722*1000000000+ISNUMBER('Dvd Calendar'!$H$1723)*100000000+0*10000000+(N('Dvd Calendar'!$H$1721)&gt;0)*(N('Dvd Calendar'!$H$1721)&lt;=VAL_SERIAL)*1000000+15*1000+44))</f>
        <v/>
      </c>
      <c r="FW174" s="121">
        <f>IF(N('Dvd Calendar'!$I$1722)=0,"",IF(('Dvd Calendar'!$I$1722&gt;=GRID_FROM)*('Dvd Calendar'!$I$1722&lt;=GRID_TO)*('Dvd Calendar'!$I$1722&gt;VAL_DATE)=0,"",'Dvd Calendar'!$I$1722*1000000000+ISNUMBER('Dvd Calendar'!$I$1723)*100000000+0*10000000+(N('Dvd Calendar'!$I$1721)&gt;0)*(N('Dvd Calendar'!$I$1721)&lt;=VAL_SERIAL)*1000000+15*1000+45))</f>
        <v/>
      </c>
      <c r="FX174" s="121">
        <f>IF(N('Dvd Calendar'!$J$1722)=0,"",IF(('Dvd Calendar'!$J$1722&gt;=GRID_FROM)*('Dvd Calendar'!$J$1722&lt;=GRID_TO)*('Dvd Calendar'!$J$1722&gt;VAL_DATE)=0,"",'Dvd Calendar'!$J$1722*1000000000+ISNUMBER('Dvd Calendar'!$J$1723)*100000000+0*10000000+(N('Dvd Calendar'!$J$1721)&gt;0)*(N('Dvd Calendar'!$J$1721)&lt;=VAL_SERIAL)*1000000+15*1000+46))</f>
        <v/>
      </c>
      <c r="FY174" s="121">
        <f>IF(N('Dvd Calendar'!$K$1722)=0,"",IF(('Dvd Calendar'!$K$1722&gt;=GRID_FROM)*('Dvd Calendar'!$K$1722&lt;=GRID_TO)*('Dvd Calendar'!$K$1722&gt;VAL_DATE)=0,"",'Dvd Calendar'!$K$1722*1000000000+ISNUMBER('Dvd Calendar'!$K$1723)*100000000+0*10000000+(N('Dvd Calendar'!$K$1721)&gt;0)*(N('Dvd Calendar'!$K$1721)&lt;=VAL_SERIAL)*1000000+15*1000+47))</f>
        <v/>
      </c>
      <c r="FZ174" s="121">
        <f>IF(N('Dvd Calendar'!$L$1722)=0,"",IF(('Dvd Calendar'!$L$1722&gt;=GRID_FROM)*('Dvd Calendar'!$L$1722&lt;=GRID_TO)*('Dvd Calendar'!$L$1722&gt;VAL_DATE)=0,"",'Dvd Calendar'!$L$1722*1000000000+ISNUMBER('Dvd Calendar'!$L$1723)*100000000+0*10000000+(N('Dvd Calendar'!$L$1721)&gt;0)*(N('Dvd Calendar'!$L$1721)&lt;=VAL_SERIAL)*1000000+15*1000+48))</f>
        <v/>
      </c>
      <c r="GA174" s="121">
        <f>IF(N('Dvd Calendar'!$M$1722)=0,"",IF(('Dvd Calendar'!$M$1722&gt;=GRID_FROM)*('Dvd Calendar'!$M$1722&lt;=GRID_TO)*('Dvd Calendar'!$M$1722&gt;VAL_DATE)=0,"",'Dvd Calendar'!$M$1722*1000000000+ISNUMBER('Dvd Calendar'!$M$1723)*100000000+0*10000000+(N('Dvd Calendar'!$M$1721)&gt;0)*(N('Dvd Calendar'!$M$1721)&lt;=VAL_SERIAL)*1000000+15*1000+49))</f>
        <v/>
      </c>
      <c r="GB174" s="121">
        <f>IF(N('Dvd Calendar'!$N$1722)=0,"",IF(('Dvd Calendar'!$N$1722&gt;=GRID_FROM)*('Dvd Calendar'!$N$1722&lt;=GRID_TO)*('Dvd Calendar'!$N$1722&gt;VAL_DATE)=0,"",'Dvd Calendar'!$N$1722*1000000000+ISNUMBER('Dvd Calendar'!$N$1723)*100000000+0*10000000+(N('Dvd Calendar'!$N$1721)&gt;0)*(N('Dvd Calendar'!$N$1721)&lt;=VAL_SERIAL)*1000000+15*1000+50))</f>
        <v/>
      </c>
      <c r="GC174" s="121">
        <f>IF(N('Dvd Calendar'!$O$1722)=0,"",IF(('Dvd Calendar'!$O$1722&gt;=GRID_FROM)*('Dvd Calendar'!$O$1722&lt;=GRID_TO)*('Dvd Calendar'!$O$1722&gt;VAL_DATE)=0,"",'Dvd Calendar'!$O$1722*1000000000+ISNUMBER('Dvd Calendar'!$O$1723)*100000000+0*10000000+(N('Dvd Calendar'!$O$1721)&gt;0)*(N('Dvd Calendar'!$O$1721)&lt;=VAL_SERIAL)*1000000+15*1000+51))</f>
        <v/>
      </c>
      <c r="GD174" s="121">
        <f>IF(N('Dvd Calendar'!$P$1722)=0,"",IF(('Dvd Calendar'!$P$1722&gt;=GRID_FROM)*('Dvd Calendar'!$P$1722&lt;=GRID_TO)*('Dvd Calendar'!$P$1722&gt;VAL_DATE)=0,"",'Dvd Calendar'!$P$1722*1000000000+ISNUMBER('Dvd Calendar'!$P$1723)*100000000+0*10000000+(N('Dvd Calendar'!$P$1721)&gt;0)*(N('Dvd Calendar'!$P$1721)&lt;=VAL_SERIAL)*1000000+15*1000+52))</f>
        <v/>
      </c>
      <c r="GE174" s="121">
        <f>IF(N('Dvd Calendar'!$Q$1722)=0,"",IF(('Dvd Calendar'!$Q$1722&gt;=GRID_FROM)*('Dvd Calendar'!$Q$1722&lt;=GRID_TO)*('Dvd Calendar'!$Q$1722&gt;VAL_DATE)=0,"",'Dvd Calendar'!$Q$1722*1000000000+ISNUMBER('Dvd Calendar'!$Q$1723)*100000000+0*10000000+(N('Dvd Calendar'!$Q$1721)&gt;0)*(N('Dvd Calendar'!$Q$1721)&lt;=VAL_SERIAL)*1000000+15*1000+53))</f>
        <v/>
      </c>
      <c r="GF174" s="121">
        <f>IF(N('Dvd Calendar'!$R$1722)=0,"",IF(('Dvd Calendar'!$R$1722&gt;=GRID_FROM)*('Dvd Calendar'!$R$1722&lt;=GRID_TO)*('Dvd Calendar'!$R$1722&gt;VAL_DATE)=0,"",'Dvd Calendar'!$R$1722*1000000000+ISNUMBER('Dvd Calendar'!$R$1723)*100000000+0*10000000+(N('Dvd Calendar'!$R$1721)&gt;0)*(N('Dvd Calendar'!$R$1721)&lt;=VAL_SERIAL)*1000000+15*1000+54))</f>
        <v/>
      </c>
      <c r="GG174" s="121">
        <f>IF(N('Dvd Calendar'!$S$1722)=0,"",IF(('Dvd Calendar'!$S$1722&gt;=GRID_FROM)*('Dvd Calendar'!$S$1722&lt;=GRID_TO)*('Dvd Calendar'!$S$1722&gt;VAL_DATE)=0,"",'Dvd Calendar'!$S$1722*1000000000+ISNUMBER('Dvd Calendar'!$S$1723)*100000000+0*10000000+(N('Dvd Calendar'!$S$1721)&gt;0)*(N('Dvd Calendar'!$S$1721)&lt;=VAL_SERIAL)*1000000+15*1000+55))</f>
        <v/>
      </c>
      <c r="GH174" s="121">
        <f>IF(N('Dvd Calendar'!$T$1722)=0,"",IF(('Dvd Calendar'!$T$1722&gt;=GRID_FROM)*('Dvd Calendar'!$T$1722&lt;=GRID_TO)*('Dvd Calendar'!$T$1722&gt;VAL_DATE)=0,"",'Dvd Calendar'!$T$1722*1000000000+ISNUMBER('Dvd Calendar'!$T$1723)*100000000+0*10000000+(N('Dvd Calendar'!$T$1721)&gt;0)*(N('Dvd Calendar'!$T$1721)&lt;=VAL_SERIAL)*1000000+15*1000+56))</f>
        <v/>
      </c>
      <c r="GI174" s="121">
        <f>IF(N('Dvd Calendar'!$U$1722)=0,"",IF(('Dvd Calendar'!$U$1722&gt;=GRID_FROM)*('Dvd Calendar'!$U$1722&lt;=GRID_TO)*('Dvd Calendar'!$U$1722&gt;VAL_DATE)=0,"",'Dvd Calendar'!$U$1722*1000000000+ISNUMBER('Dvd Calendar'!$U$1723)*100000000+0*10000000+(N('Dvd Calendar'!$U$1721)&gt;0)*(N('Dvd Calendar'!$U$1721)&lt;=VAL_SERIAL)*1000000+15*1000+57))</f>
        <v/>
      </c>
      <c r="GJ174" s="121">
        <f>IF(N('Dvd Calendar'!$V$1722)=0,"",IF(('Dvd Calendar'!$V$1722&gt;=GRID_FROM)*('Dvd Calendar'!$V$1722&lt;=GRID_TO)*('Dvd Calendar'!$V$1722&gt;VAL_DATE)=0,"",'Dvd Calendar'!$V$1722*1000000000+ISNUMBER('Dvd Calendar'!$V$1723)*100000000+0*10000000+(N('Dvd Calendar'!$V$1721)&gt;0)*(N('Dvd Calendar'!$V$1721)&lt;=VAL_SERIAL)*1000000+15*1000+58))</f>
        <v/>
      </c>
      <c r="GK174" s="121">
        <f>IF(N('Dvd Calendar'!$W$1722)=0,"",IF(('Dvd Calendar'!$W$1722&gt;=GRID_FROM)*('Dvd Calendar'!$W$1722&lt;=GRID_TO)*('Dvd Calendar'!$W$1722&gt;VAL_DATE)=0,"",'Dvd Calendar'!$W$1722*1000000000+ISNUMBER('Dvd Calendar'!$W$1723)*100000000+0*10000000+(N('Dvd Calendar'!$W$1721)&gt;0)*(N('Dvd Calendar'!$W$1721)&lt;=VAL_SERIAL)*1000000+15*1000+59))</f>
        <v/>
      </c>
      <c r="GL174" s="121">
        <f>IF(N('Dvd Calendar'!$X$1722)=0,"",IF(('Dvd Calendar'!$X$1722&gt;=GRID_FROM)*('Dvd Calendar'!$X$1722&lt;=GRID_TO)*('Dvd Calendar'!$X$1722&gt;VAL_DATE)=0,"",'Dvd Calendar'!$X$1722*1000000000+ISNUMBER('Dvd Calendar'!$X$1723)*100000000+0*10000000+(N('Dvd Calendar'!$X$1721)&gt;0)*(N('Dvd Calendar'!$X$1721)&lt;=VAL_SERIAL)*1000000+15*1000+60))</f>
        <v/>
      </c>
      <c r="GM174" s="121">
        <f>IF(N('Dvd Calendar'!$Y$1722)=0,"",IF(('Dvd Calendar'!$Y$1722&gt;=GRID_FROM)*('Dvd Calendar'!$Y$1722&lt;=GRID_TO)*('Dvd Calendar'!$Y$1722&gt;VAL_DATE)=0,"",'Dvd Calendar'!$Y$1722*1000000000+ISNUMBER('Dvd Calendar'!$Y$1723)*100000000+0*10000000+(N('Dvd Calendar'!$Y$1721)&gt;0)*(N('Dvd Calendar'!$Y$1721)&lt;=VAL_SERIAL)*1000000+15*1000+61))</f>
        <v/>
      </c>
      <c r="GN174" s="121">
        <f>IF(N('Dvd Calendar'!$Z$1722)=0,"",IF(('Dvd Calendar'!$Z$1722&gt;=GRID_FROM)*('Dvd Calendar'!$Z$1722&lt;=GRID_TO)*('Dvd Calendar'!$Z$1722&gt;VAL_DATE)=0,"",'Dvd Calendar'!$Z$1722*1000000000+ISNUMBER('Dvd Calendar'!$Z$1723)*100000000+0*10000000+(N('Dvd Calendar'!$Z$1721)&gt;0)*(N('Dvd Calendar'!$Z$1721)&lt;=VAL_SERIAL)*1000000+15*1000+62))</f>
        <v/>
      </c>
      <c r="GO174" s="121">
        <f>IF(N('Dvd Calendar'!$AA$1722)=0,"",IF(('Dvd Calendar'!$AA$1722&gt;=GRID_FROM)*('Dvd Calendar'!$AA$1722&lt;=GRID_TO)*('Dvd Calendar'!$AA$1722&gt;VAL_DATE)=0,"",'Dvd Calendar'!$AA$1722*1000000000+ISNUMBER('Dvd Calendar'!$AA$1723)*100000000+0*10000000+(N('Dvd Calendar'!$AA$1721)&gt;0)*(N('Dvd Calendar'!$AA$1721)&lt;=VAL_SERIAL)*1000000+15*1000+63))</f>
        <v/>
      </c>
      <c r="GP174" s="121">
        <f>IF(N('Dvd Calendar'!$AB$1722)=0,"",IF(('Dvd Calendar'!$AB$1722&gt;=GRID_FROM)*('Dvd Calendar'!$AB$1722&lt;=GRID_TO)*('Dvd Calendar'!$AB$1722&gt;VAL_DATE)=0,"",'Dvd Calendar'!$AB$1722*1000000000+ISNUMBER('Dvd Calendar'!$AB$1723)*100000000+0*10000000+(N('Dvd Calendar'!$AB$1721)&gt;0)*(N('Dvd Calendar'!$AB$1721)&lt;=VAL_SERIAL)*1000000+15*1000+64))</f>
        <v/>
      </c>
      <c r="GQ174" s="121">
        <f>IF(N('Dvd Calendar'!$AC$1722)=0,"",IF(('Dvd Calendar'!$AC$1722&gt;=GRID_FROM)*('Dvd Calendar'!$AC$1722&lt;=GRID_TO)*('Dvd Calendar'!$AC$1722&gt;VAL_DATE)=0,"",'Dvd Calendar'!$AC$1722*1000000000+ISNUMBER('Dvd Calendar'!$AC$1723)*100000000+0*10000000+(N('Dvd Calendar'!$AC$1721)&gt;0)*(N('Dvd Calendar'!$AC$1721)&lt;=VAL_SERIAL)*1000000+15*1000+65))</f>
        <v/>
      </c>
    </row>
    <row r="175">
      <c r="B175" s="2">
        <f>IF(HSCEI!$C$22="","",HSCEI!$C$22)</f>
        <v/>
      </c>
      <c r="C175" s="161">
        <f>IF(EE175="","",IF(ISNUMBER('Dvd Calendar'!$E$1729)=FALSE,"",IF((('Dvd Calendar'!$E$1731=TYPE1)*(TYPE1&lt;&gt;"")+('Dvd Calendar'!$E$1731=TYPE2)*(TYPE2&lt;&gt;"")+('Dvd Calendar'!$E$1731=TYPE3)*(TYPE3&lt;&gt;"")+('Dvd Calendar'!$E$1731=TYPE4)*(TYPE4&lt;&gt;"")+('Dvd Calendar'!$E$1731=SPECIAL_LBL)*(INC_SPECIALS="Y"))=0,"",'Dvd Calendar'!$E$1729)))</f>
        <v/>
      </c>
      <c r="D175" s="161">
        <f>IF(EF175="","",IF(ISNUMBER('Dvd Calendar'!$F$1729)=FALSE,"",IF((('Dvd Calendar'!$F$1731=TYPE1)*(TYPE1&lt;&gt;"")+('Dvd Calendar'!$F$1731=TYPE2)*(TYPE2&lt;&gt;"")+('Dvd Calendar'!$F$1731=TYPE3)*(TYPE3&lt;&gt;"")+('Dvd Calendar'!$F$1731=TYPE4)*(TYPE4&lt;&gt;"")+('Dvd Calendar'!$F$1731=SPECIAL_LBL)*(INC_SPECIALS="Y"))=0,"",'Dvd Calendar'!$F$1729)))</f>
        <v/>
      </c>
      <c r="E175" s="161">
        <f>IF(EG175="","",IF(ISNUMBER('Dvd Calendar'!$G$1729)=FALSE,"",IF((('Dvd Calendar'!$G$1731=TYPE1)*(TYPE1&lt;&gt;"")+('Dvd Calendar'!$G$1731=TYPE2)*(TYPE2&lt;&gt;"")+('Dvd Calendar'!$G$1731=TYPE3)*(TYPE3&lt;&gt;"")+('Dvd Calendar'!$G$1731=TYPE4)*(TYPE4&lt;&gt;"")+('Dvd Calendar'!$G$1731=SPECIAL_LBL)*(INC_SPECIALS="Y"))=0,"",'Dvd Calendar'!$G$1729)))</f>
        <v/>
      </c>
      <c r="F175" s="161">
        <f>IF(EH175="","",IF(ISNUMBER('Dvd Calendar'!$H$1729)=FALSE,"",IF((('Dvd Calendar'!$H$1731=TYPE1)*(TYPE1&lt;&gt;"")+('Dvd Calendar'!$H$1731=TYPE2)*(TYPE2&lt;&gt;"")+('Dvd Calendar'!$H$1731=TYPE3)*(TYPE3&lt;&gt;"")+('Dvd Calendar'!$H$1731=TYPE4)*(TYPE4&lt;&gt;"")+('Dvd Calendar'!$H$1731=SPECIAL_LBL)*(INC_SPECIALS="Y"))=0,"",'Dvd Calendar'!$H$1729)))</f>
        <v/>
      </c>
      <c r="G175" s="161">
        <f>IF(EI175="","",IF(ISNUMBER('Dvd Calendar'!$I$1729)=FALSE,"",IF((('Dvd Calendar'!$I$1731=TYPE1)*(TYPE1&lt;&gt;"")+('Dvd Calendar'!$I$1731=TYPE2)*(TYPE2&lt;&gt;"")+('Dvd Calendar'!$I$1731=TYPE3)*(TYPE3&lt;&gt;"")+('Dvd Calendar'!$I$1731=TYPE4)*(TYPE4&lt;&gt;"")+('Dvd Calendar'!$I$1731=SPECIAL_LBL)*(INC_SPECIALS="Y"))=0,"",'Dvd Calendar'!$I$1729)))</f>
        <v/>
      </c>
      <c r="H175" s="161">
        <f>IF(EJ175="","",IF(ISNUMBER('Dvd Calendar'!$J$1729)=FALSE,"",IF((('Dvd Calendar'!$J$1731=TYPE1)*(TYPE1&lt;&gt;"")+('Dvd Calendar'!$J$1731=TYPE2)*(TYPE2&lt;&gt;"")+('Dvd Calendar'!$J$1731=TYPE3)*(TYPE3&lt;&gt;"")+('Dvd Calendar'!$J$1731=TYPE4)*(TYPE4&lt;&gt;"")+('Dvd Calendar'!$J$1731=SPECIAL_LBL)*(INC_SPECIALS="Y"))=0,"",'Dvd Calendar'!$J$1729)))</f>
        <v/>
      </c>
      <c r="I175" s="161">
        <f>IF(EK175="","",IF(ISNUMBER('Dvd Calendar'!$K$1729)=FALSE,"",IF((('Dvd Calendar'!$K$1731=TYPE1)*(TYPE1&lt;&gt;"")+('Dvd Calendar'!$K$1731=TYPE2)*(TYPE2&lt;&gt;"")+('Dvd Calendar'!$K$1731=TYPE3)*(TYPE3&lt;&gt;"")+('Dvd Calendar'!$K$1731=TYPE4)*(TYPE4&lt;&gt;"")+('Dvd Calendar'!$K$1731=SPECIAL_LBL)*(INC_SPECIALS="Y"))=0,"",'Dvd Calendar'!$K$1729)))</f>
        <v/>
      </c>
      <c r="J175" s="161">
        <f>IF(EL175="","",IF(ISNUMBER('Dvd Calendar'!$L$1729)=FALSE,"",IF((('Dvd Calendar'!$L$1731=TYPE1)*(TYPE1&lt;&gt;"")+('Dvd Calendar'!$L$1731=TYPE2)*(TYPE2&lt;&gt;"")+('Dvd Calendar'!$L$1731=TYPE3)*(TYPE3&lt;&gt;"")+('Dvd Calendar'!$L$1731=TYPE4)*(TYPE4&lt;&gt;"")+('Dvd Calendar'!$L$1731=SPECIAL_LBL)*(INC_SPECIALS="Y"))=0,"",'Dvd Calendar'!$L$1729)))</f>
        <v/>
      </c>
      <c r="K175" s="161">
        <f>IF(EM175="","",IF(ISNUMBER('Dvd Calendar'!$M$1729)=FALSE,"",IF((('Dvd Calendar'!$M$1731=TYPE1)*(TYPE1&lt;&gt;"")+('Dvd Calendar'!$M$1731=TYPE2)*(TYPE2&lt;&gt;"")+('Dvd Calendar'!$M$1731=TYPE3)*(TYPE3&lt;&gt;"")+('Dvd Calendar'!$M$1731=TYPE4)*(TYPE4&lt;&gt;"")+('Dvd Calendar'!$M$1731=SPECIAL_LBL)*(INC_SPECIALS="Y"))=0,"",'Dvd Calendar'!$M$1729)))</f>
        <v/>
      </c>
      <c r="L175" s="161">
        <f>IF(EN175="","",IF(ISNUMBER('Dvd Calendar'!$N$1729)=FALSE,"",IF((('Dvd Calendar'!$N$1731=TYPE1)*(TYPE1&lt;&gt;"")+('Dvd Calendar'!$N$1731=TYPE2)*(TYPE2&lt;&gt;"")+('Dvd Calendar'!$N$1731=TYPE3)*(TYPE3&lt;&gt;"")+('Dvd Calendar'!$N$1731=TYPE4)*(TYPE4&lt;&gt;"")+('Dvd Calendar'!$N$1731=SPECIAL_LBL)*(INC_SPECIALS="Y"))=0,"",'Dvd Calendar'!$N$1729)))</f>
        <v/>
      </c>
      <c r="M175" s="161">
        <f>IF(EO175="","",IF(ISNUMBER('Dvd Calendar'!$O$1729)=FALSE,"",IF((('Dvd Calendar'!$O$1731=TYPE1)*(TYPE1&lt;&gt;"")+('Dvd Calendar'!$O$1731=TYPE2)*(TYPE2&lt;&gt;"")+('Dvd Calendar'!$O$1731=TYPE3)*(TYPE3&lt;&gt;"")+('Dvd Calendar'!$O$1731=TYPE4)*(TYPE4&lt;&gt;"")+('Dvd Calendar'!$O$1731=SPECIAL_LBL)*(INC_SPECIALS="Y"))=0,"",'Dvd Calendar'!$O$1729)))</f>
        <v/>
      </c>
      <c r="N175" s="161">
        <f>IF(EP175="","",IF(ISNUMBER('Dvd Calendar'!$P$1729)=FALSE,"",IF((('Dvd Calendar'!$P$1731=TYPE1)*(TYPE1&lt;&gt;"")+('Dvd Calendar'!$P$1731=TYPE2)*(TYPE2&lt;&gt;"")+('Dvd Calendar'!$P$1731=TYPE3)*(TYPE3&lt;&gt;"")+('Dvd Calendar'!$P$1731=TYPE4)*(TYPE4&lt;&gt;"")+('Dvd Calendar'!$P$1731=SPECIAL_LBL)*(INC_SPECIALS="Y"))=0,"",'Dvd Calendar'!$P$1729)))</f>
        <v/>
      </c>
      <c r="O175" s="161">
        <f>IF(EQ175="","",IF(ISNUMBER('Dvd Calendar'!$Q$1729)=FALSE,"",IF((('Dvd Calendar'!$Q$1731=TYPE1)*(TYPE1&lt;&gt;"")+('Dvd Calendar'!$Q$1731=TYPE2)*(TYPE2&lt;&gt;"")+('Dvd Calendar'!$Q$1731=TYPE3)*(TYPE3&lt;&gt;"")+('Dvd Calendar'!$Q$1731=TYPE4)*(TYPE4&lt;&gt;"")+('Dvd Calendar'!$Q$1731=SPECIAL_LBL)*(INC_SPECIALS="Y"))=0,"",'Dvd Calendar'!$Q$1729)))</f>
        <v/>
      </c>
      <c r="P175" s="161">
        <f>IF(ER175="","",IF(ISNUMBER('Dvd Calendar'!$R$1729)=FALSE,"",IF((('Dvd Calendar'!$R$1731=TYPE1)*(TYPE1&lt;&gt;"")+('Dvd Calendar'!$R$1731=TYPE2)*(TYPE2&lt;&gt;"")+('Dvd Calendar'!$R$1731=TYPE3)*(TYPE3&lt;&gt;"")+('Dvd Calendar'!$R$1731=TYPE4)*(TYPE4&lt;&gt;"")+('Dvd Calendar'!$R$1731=SPECIAL_LBL)*(INC_SPECIALS="Y"))=0,"",'Dvd Calendar'!$R$1729)))</f>
        <v/>
      </c>
      <c r="Q175" s="161">
        <f>IF(ES175="","",IF(ISNUMBER('Dvd Calendar'!$S$1729)=FALSE,"",IF((('Dvd Calendar'!$S$1731=TYPE1)*(TYPE1&lt;&gt;"")+('Dvd Calendar'!$S$1731=TYPE2)*(TYPE2&lt;&gt;"")+('Dvd Calendar'!$S$1731=TYPE3)*(TYPE3&lt;&gt;"")+('Dvd Calendar'!$S$1731=TYPE4)*(TYPE4&lt;&gt;"")+('Dvd Calendar'!$S$1731=SPECIAL_LBL)*(INC_SPECIALS="Y"))=0,"",'Dvd Calendar'!$S$1729)))</f>
        <v/>
      </c>
      <c r="R175" s="161">
        <f>IF(ET175="","",IF(ISNUMBER('Dvd Calendar'!$T$1729)=FALSE,"",IF((('Dvd Calendar'!$T$1731=TYPE1)*(TYPE1&lt;&gt;"")+('Dvd Calendar'!$T$1731=TYPE2)*(TYPE2&lt;&gt;"")+('Dvd Calendar'!$T$1731=TYPE3)*(TYPE3&lt;&gt;"")+('Dvd Calendar'!$T$1731=TYPE4)*(TYPE4&lt;&gt;"")+('Dvd Calendar'!$T$1731=SPECIAL_LBL)*(INC_SPECIALS="Y"))=0,"",'Dvd Calendar'!$T$1729)))</f>
        <v/>
      </c>
      <c r="S175" s="161">
        <f>IF(EU175="","",IF(ISNUMBER('Dvd Calendar'!$U$1729)=FALSE,"",IF((('Dvd Calendar'!$U$1731=TYPE1)*(TYPE1&lt;&gt;"")+('Dvd Calendar'!$U$1731=TYPE2)*(TYPE2&lt;&gt;"")+('Dvd Calendar'!$U$1731=TYPE3)*(TYPE3&lt;&gt;"")+('Dvd Calendar'!$U$1731=TYPE4)*(TYPE4&lt;&gt;"")+('Dvd Calendar'!$U$1731=SPECIAL_LBL)*(INC_SPECIALS="Y"))=0,"",'Dvd Calendar'!$U$1729)))</f>
        <v/>
      </c>
      <c r="T175" s="161">
        <f>IF(EV175="","",IF(ISNUMBER('Dvd Calendar'!$V$1729)=FALSE,"",IF((('Dvd Calendar'!$V$1731=TYPE1)*(TYPE1&lt;&gt;"")+('Dvd Calendar'!$V$1731=TYPE2)*(TYPE2&lt;&gt;"")+('Dvd Calendar'!$V$1731=TYPE3)*(TYPE3&lt;&gt;"")+('Dvd Calendar'!$V$1731=TYPE4)*(TYPE4&lt;&gt;"")+('Dvd Calendar'!$V$1731=SPECIAL_LBL)*(INC_SPECIALS="Y"))=0,"",'Dvd Calendar'!$V$1729)))</f>
        <v/>
      </c>
      <c r="U175" s="161">
        <f>IF(EW175="","",IF(ISNUMBER('Dvd Calendar'!$W$1729)=FALSE,"",IF((('Dvd Calendar'!$W$1731=TYPE1)*(TYPE1&lt;&gt;"")+('Dvd Calendar'!$W$1731=TYPE2)*(TYPE2&lt;&gt;"")+('Dvd Calendar'!$W$1731=TYPE3)*(TYPE3&lt;&gt;"")+('Dvd Calendar'!$W$1731=TYPE4)*(TYPE4&lt;&gt;"")+('Dvd Calendar'!$W$1731=SPECIAL_LBL)*(INC_SPECIALS="Y"))=0,"",'Dvd Calendar'!$W$1729)))</f>
        <v/>
      </c>
      <c r="V175" s="161">
        <f>IF(EX175="","",IF(ISNUMBER('Dvd Calendar'!$X$1729)=FALSE,"",IF((('Dvd Calendar'!$X$1731=TYPE1)*(TYPE1&lt;&gt;"")+('Dvd Calendar'!$X$1731=TYPE2)*(TYPE2&lt;&gt;"")+('Dvd Calendar'!$X$1731=TYPE3)*(TYPE3&lt;&gt;"")+('Dvd Calendar'!$X$1731=TYPE4)*(TYPE4&lt;&gt;"")+('Dvd Calendar'!$X$1731=SPECIAL_LBL)*(INC_SPECIALS="Y"))=0,"",'Dvd Calendar'!$X$1729)))</f>
        <v/>
      </c>
      <c r="W175" s="161">
        <f>IF(EY175="","",IF(ISNUMBER('Dvd Calendar'!$Y$1729)=FALSE,"",IF((('Dvd Calendar'!$Y$1731=TYPE1)*(TYPE1&lt;&gt;"")+('Dvd Calendar'!$Y$1731=TYPE2)*(TYPE2&lt;&gt;"")+('Dvd Calendar'!$Y$1731=TYPE3)*(TYPE3&lt;&gt;"")+('Dvd Calendar'!$Y$1731=TYPE4)*(TYPE4&lt;&gt;"")+('Dvd Calendar'!$Y$1731=SPECIAL_LBL)*(INC_SPECIALS="Y"))=0,"",'Dvd Calendar'!$Y$1729)))</f>
        <v/>
      </c>
      <c r="X175" s="161">
        <f>IF(EZ175="","",IF(ISNUMBER('Dvd Calendar'!$Z$1729)=FALSE,"",IF((('Dvd Calendar'!$Z$1731=TYPE1)*(TYPE1&lt;&gt;"")+('Dvd Calendar'!$Z$1731=TYPE2)*(TYPE2&lt;&gt;"")+('Dvd Calendar'!$Z$1731=TYPE3)*(TYPE3&lt;&gt;"")+('Dvd Calendar'!$Z$1731=TYPE4)*(TYPE4&lt;&gt;"")+('Dvd Calendar'!$Z$1731=SPECIAL_LBL)*(INC_SPECIALS="Y"))=0,"",'Dvd Calendar'!$Z$1729)))</f>
        <v/>
      </c>
      <c r="Y175" s="161">
        <f>IF(FA175="","",IF(ISNUMBER('Dvd Calendar'!$AA$1729)=FALSE,"",IF((('Dvd Calendar'!$AA$1731=TYPE1)*(TYPE1&lt;&gt;"")+('Dvd Calendar'!$AA$1731=TYPE2)*(TYPE2&lt;&gt;"")+('Dvd Calendar'!$AA$1731=TYPE3)*(TYPE3&lt;&gt;"")+('Dvd Calendar'!$AA$1731=TYPE4)*(TYPE4&lt;&gt;"")+('Dvd Calendar'!$AA$1731=SPECIAL_LBL)*(INC_SPECIALS="Y"))=0,"",'Dvd Calendar'!$AA$1729)))</f>
        <v/>
      </c>
      <c r="Z175" s="161">
        <f>IF(FB175="","",IF(ISNUMBER('Dvd Calendar'!$AB$1729)=FALSE,"",IF((('Dvd Calendar'!$AB$1731=TYPE1)*(TYPE1&lt;&gt;"")+('Dvd Calendar'!$AB$1731=TYPE2)*(TYPE2&lt;&gt;"")+('Dvd Calendar'!$AB$1731=TYPE3)*(TYPE3&lt;&gt;"")+('Dvd Calendar'!$AB$1731=TYPE4)*(TYPE4&lt;&gt;"")+('Dvd Calendar'!$AB$1731=SPECIAL_LBL)*(INC_SPECIALS="Y"))=0,"",'Dvd Calendar'!$AB$1729)))</f>
        <v/>
      </c>
      <c r="AA175" s="161">
        <f>IF(FC175="","",IF(ISNUMBER('Dvd Calendar'!$AC$1729)=FALSE,"",IF((('Dvd Calendar'!$AC$1731=TYPE1)*(TYPE1&lt;&gt;"")+('Dvd Calendar'!$AC$1731=TYPE2)*(TYPE2&lt;&gt;"")+('Dvd Calendar'!$AC$1731=TYPE3)*(TYPE3&lt;&gt;"")+('Dvd Calendar'!$AC$1731=TYPE4)*(TYPE4&lt;&gt;"")+('Dvd Calendar'!$AC$1731=SPECIAL_LBL)*(INC_SPECIALS="Y"))=0,"",'Dvd Calendar'!$AC$1729)))</f>
        <v/>
      </c>
      <c r="AB175" s="161">
        <f>IF(FD175="","",IF(ISNUMBER('Dvd Calendar'!$AD$1729)=FALSE,"",IF((('Dvd Calendar'!$AD$1731=TYPE1)*(TYPE1&lt;&gt;"")+('Dvd Calendar'!$AD$1731=TYPE2)*(TYPE2&lt;&gt;"")+('Dvd Calendar'!$AD$1731=TYPE3)*(TYPE3&lt;&gt;"")+('Dvd Calendar'!$AD$1731=TYPE4)*(TYPE4&lt;&gt;"")+('Dvd Calendar'!$AD$1731=SPECIAL_LBL)*(INC_SPECIALS="Y"))=0,"",'Dvd Calendar'!$AD$1729)))</f>
        <v/>
      </c>
      <c r="AC175" s="161">
        <f>IF(FE175="","",IF(ISNUMBER('Dvd Calendar'!$AE$1729)=FALSE,"",IF((('Dvd Calendar'!$AE$1731=TYPE1)*(TYPE1&lt;&gt;"")+('Dvd Calendar'!$AE$1731=TYPE2)*(TYPE2&lt;&gt;"")+('Dvd Calendar'!$AE$1731=TYPE3)*(TYPE3&lt;&gt;"")+('Dvd Calendar'!$AE$1731=TYPE4)*(TYPE4&lt;&gt;"")+('Dvd Calendar'!$AE$1731=SPECIAL_LBL)*(INC_SPECIALS="Y"))=0,"",'Dvd Calendar'!$AE$1729)))</f>
        <v/>
      </c>
      <c r="AD175" s="161">
        <f>IF(FF175="","",IF(ISNUMBER('Dvd Calendar'!$AF$1729)=FALSE,"",IF((('Dvd Calendar'!$AF$1731=TYPE1)*(TYPE1&lt;&gt;"")+('Dvd Calendar'!$AF$1731=TYPE2)*(TYPE2&lt;&gt;"")+('Dvd Calendar'!$AF$1731=TYPE3)*(TYPE3&lt;&gt;"")+('Dvd Calendar'!$AF$1731=TYPE4)*(TYPE4&lt;&gt;"")+('Dvd Calendar'!$AF$1731=SPECIAL_LBL)*(INC_SPECIALS="Y"))=0,"",'Dvd Calendar'!$AF$1729)))</f>
        <v/>
      </c>
      <c r="AE175" s="161">
        <f>IF(FG175="","",IF(ISNUMBER('Dvd Calendar'!$AG$1729)=FALSE,"",IF((('Dvd Calendar'!$AG$1731=TYPE1)*(TYPE1&lt;&gt;"")+('Dvd Calendar'!$AG$1731=TYPE2)*(TYPE2&lt;&gt;"")+('Dvd Calendar'!$AG$1731=TYPE3)*(TYPE3&lt;&gt;"")+('Dvd Calendar'!$AG$1731=TYPE4)*(TYPE4&lt;&gt;"")+('Dvd Calendar'!$AG$1731=SPECIAL_LBL)*(INC_SPECIALS="Y"))=0,"",'Dvd Calendar'!$AG$1729)))</f>
        <v/>
      </c>
      <c r="AF175" s="161">
        <f>IF(FH175="","",IF(ISNUMBER('Dvd Calendar'!$AH$1729)=FALSE,"",IF((('Dvd Calendar'!$AH$1731=TYPE1)*(TYPE1&lt;&gt;"")+('Dvd Calendar'!$AH$1731=TYPE2)*(TYPE2&lt;&gt;"")+('Dvd Calendar'!$AH$1731=TYPE3)*(TYPE3&lt;&gt;"")+('Dvd Calendar'!$AH$1731=TYPE4)*(TYPE4&lt;&gt;"")+('Dvd Calendar'!$AH$1731=SPECIAL_LBL)*(INC_SPECIALS="Y"))=0,"",'Dvd Calendar'!$AH$1729)))</f>
        <v/>
      </c>
      <c r="AG175" s="161">
        <f>IF(FI175="","",IF(ISNUMBER('Dvd Calendar'!$AI$1729)=FALSE,"",IF((('Dvd Calendar'!$AI$1731=TYPE1)*(TYPE1&lt;&gt;"")+('Dvd Calendar'!$AI$1731=TYPE2)*(TYPE2&lt;&gt;"")+('Dvd Calendar'!$AI$1731=TYPE3)*(TYPE3&lt;&gt;"")+('Dvd Calendar'!$AI$1731=TYPE4)*(TYPE4&lt;&gt;"")+('Dvd Calendar'!$AI$1731=SPECIAL_LBL)*(INC_SPECIALS="Y"))=0,"",'Dvd Calendar'!$AI$1729)))</f>
        <v/>
      </c>
      <c r="AH175" s="161">
        <f>IF(FJ175="","",IF(ISNUMBER('Dvd Calendar'!$AJ$1729)=FALSE,"",IF((('Dvd Calendar'!$AJ$1731=TYPE1)*(TYPE1&lt;&gt;"")+('Dvd Calendar'!$AJ$1731=TYPE2)*(TYPE2&lt;&gt;"")+('Dvd Calendar'!$AJ$1731=TYPE3)*(TYPE3&lt;&gt;"")+('Dvd Calendar'!$AJ$1731=TYPE4)*(TYPE4&lt;&gt;"")+('Dvd Calendar'!$AJ$1731=SPECIAL_LBL)*(INC_SPECIALS="Y"))=0,"",'Dvd Calendar'!$AJ$1729)))</f>
        <v/>
      </c>
      <c r="AI175" s="161">
        <f>IF(FK175="","",IF(ISNUMBER('Dvd Calendar'!$AK$1729)=FALSE,"",IF((('Dvd Calendar'!$AK$1731=TYPE1)*(TYPE1&lt;&gt;"")+('Dvd Calendar'!$AK$1731=TYPE2)*(TYPE2&lt;&gt;"")+('Dvd Calendar'!$AK$1731=TYPE3)*(TYPE3&lt;&gt;"")+('Dvd Calendar'!$AK$1731=TYPE4)*(TYPE4&lt;&gt;"")+('Dvd Calendar'!$AK$1731=SPECIAL_LBL)*(INC_SPECIALS="Y"))=0,"",'Dvd Calendar'!$AK$1729)))</f>
        <v/>
      </c>
      <c r="AJ175" s="161">
        <f>IF(FL175="","",IF(ISNUMBER('Dvd Calendar'!$AL$1729)=FALSE,"",IF((('Dvd Calendar'!$AL$1731=TYPE1)*(TYPE1&lt;&gt;"")+('Dvd Calendar'!$AL$1731=TYPE2)*(TYPE2&lt;&gt;"")+('Dvd Calendar'!$AL$1731=TYPE3)*(TYPE3&lt;&gt;"")+('Dvd Calendar'!$AL$1731=TYPE4)*(TYPE4&lt;&gt;"")+('Dvd Calendar'!$AL$1731=SPECIAL_LBL)*(INC_SPECIALS="Y"))=0,"",'Dvd Calendar'!$AL$1729)))</f>
        <v/>
      </c>
      <c r="AK175" s="161">
        <f>IF(FM175="","",IF(ISNUMBER('Dvd Calendar'!$AM$1729)=FALSE,"",IF((('Dvd Calendar'!$AM$1731=TYPE1)*(TYPE1&lt;&gt;"")+('Dvd Calendar'!$AM$1731=TYPE2)*(TYPE2&lt;&gt;"")+('Dvd Calendar'!$AM$1731=TYPE3)*(TYPE3&lt;&gt;"")+('Dvd Calendar'!$AM$1731=TYPE4)*(TYPE4&lt;&gt;"")+('Dvd Calendar'!$AM$1731=SPECIAL_LBL)*(INC_SPECIALS="Y"))=0,"",'Dvd Calendar'!$AM$1729)))</f>
        <v/>
      </c>
      <c r="AL175" s="161">
        <f>IF(FN175="","",IF(ISNUMBER('Dvd Calendar'!$AN$1729)=FALSE,"",IF((('Dvd Calendar'!$AN$1731=TYPE1)*(TYPE1&lt;&gt;"")+('Dvd Calendar'!$AN$1731=TYPE2)*(TYPE2&lt;&gt;"")+('Dvd Calendar'!$AN$1731=TYPE3)*(TYPE3&lt;&gt;"")+('Dvd Calendar'!$AN$1731=TYPE4)*(TYPE4&lt;&gt;"")+('Dvd Calendar'!$AN$1731=SPECIAL_LBL)*(INC_SPECIALS="Y"))=0,"",'Dvd Calendar'!$AN$1729)))</f>
        <v/>
      </c>
      <c r="AM175" s="161">
        <f>IF(FO175="","",IF(ISNUMBER('Dvd Calendar'!$AO$1729)=FALSE,"",IF((('Dvd Calendar'!$AO$1731=TYPE1)*(TYPE1&lt;&gt;"")+('Dvd Calendar'!$AO$1731=TYPE2)*(TYPE2&lt;&gt;"")+('Dvd Calendar'!$AO$1731=TYPE3)*(TYPE3&lt;&gt;"")+('Dvd Calendar'!$AO$1731=TYPE4)*(TYPE4&lt;&gt;"")+('Dvd Calendar'!$AO$1731=SPECIAL_LBL)*(INC_SPECIALS="Y"))=0,"",'Dvd Calendar'!$AO$1729)))</f>
        <v/>
      </c>
      <c r="AN175" s="161">
        <f>IF(FP175="","",IF(ISNUMBER('Dvd Calendar'!$AP$1729)=FALSE,"",IF((('Dvd Calendar'!$AP$1731=TYPE1)*(TYPE1&lt;&gt;"")+('Dvd Calendar'!$AP$1731=TYPE2)*(TYPE2&lt;&gt;"")+('Dvd Calendar'!$AP$1731=TYPE3)*(TYPE3&lt;&gt;"")+('Dvd Calendar'!$AP$1731=TYPE4)*(TYPE4&lt;&gt;"")+('Dvd Calendar'!$AP$1731=SPECIAL_LBL)*(INC_SPECIALS="Y"))=0,"",'Dvd Calendar'!$AP$1729)))</f>
        <v/>
      </c>
      <c r="AO175" s="161">
        <f>IF(FQ175="","",IF(ISNUMBER('Dvd Calendar'!$AQ$1729)=FALSE,"",IF((('Dvd Calendar'!$AQ$1731=TYPE1)*(TYPE1&lt;&gt;"")+('Dvd Calendar'!$AQ$1731=TYPE2)*(TYPE2&lt;&gt;"")+('Dvd Calendar'!$AQ$1731=TYPE3)*(TYPE3&lt;&gt;"")+('Dvd Calendar'!$AQ$1731=TYPE4)*(TYPE4&lt;&gt;"")+('Dvd Calendar'!$AQ$1731=SPECIAL_LBL)*(INC_SPECIALS="Y"))=0,"",'Dvd Calendar'!$AQ$1729)))</f>
        <v/>
      </c>
      <c r="AP175" s="161">
        <f>IF(FR175="","",IF(ISNUMBER('Dvd Calendar'!$AR$1729)=FALSE,"",IF((('Dvd Calendar'!$AR$1731=TYPE1)*(TYPE1&lt;&gt;"")+('Dvd Calendar'!$AR$1731=TYPE2)*(TYPE2&lt;&gt;"")+('Dvd Calendar'!$AR$1731=TYPE3)*(TYPE3&lt;&gt;"")+('Dvd Calendar'!$AR$1731=TYPE4)*(TYPE4&lt;&gt;"")+('Dvd Calendar'!$AR$1731=SPECIAL_LBL)*(INC_SPECIALS="Y"))=0,"",'Dvd Calendar'!$AR$1729)))</f>
        <v/>
      </c>
      <c r="AQ175" s="161">
        <f>IF(FS175="","",IF(ISNUMBER('Dvd Calendar'!$E$1734)=FALSE,"",'Dvd Calendar'!$E$1734))</f>
        <v/>
      </c>
      <c r="AR175" s="161">
        <f>IF(FT175="","",IF(ISNUMBER('Dvd Calendar'!$F$1734)=FALSE,"",'Dvd Calendar'!$F$1734))</f>
        <v/>
      </c>
      <c r="AS175" s="161">
        <f>IF(FU175="","",IF(ISNUMBER('Dvd Calendar'!$G$1734)=FALSE,"",'Dvd Calendar'!$G$1734))</f>
        <v/>
      </c>
      <c r="AT175" s="161">
        <f>IF(FV175="","",IF(ISNUMBER('Dvd Calendar'!$H$1734)=FALSE,"",'Dvd Calendar'!$H$1734))</f>
        <v/>
      </c>
      <c r="AU175" s="161">
        <f>IF(FW175="","",IF(ISNUMBER('Dvd Calendar'!$I$1734)=FALSE,"",'Dvd Calendar'!$I$1734))</f>
        <v/>
      </c>
      <c r="AV175" s="161">
        <f>IF(FX175="","",IF(ISNUMBER('Dvd Calendar'!$J$1734)=FALSE,"",'Dvd Calendar'!$J$1734))</f>
        <v/>
      </c>
      <c r="AW175" s="161">
        <f>IF(FY175="","",IF(ISNUMBER('Dvd Calendar'!$K$1734)=FALSE,"",'Dvd Calendar'!$K$1734))</f>
        <v/>
      </c>
      <c r="AX175" s="161">
        <f>IF(FZ175="","",IF(ISNUMBER('Dvd Calendar'!$L$1734)=FALSE,"",'Dvd Calendar'!$L$1734))</f>
        <v/>
      </c>
      <c r="AY175" s="161">
        <f>IF(GA175="","",IF(ISNUMBER('Dvd Calendar'!$M$1734)=FALSE,"",'Dvd Calendar'!$M$1734))</f>
        <v/>
      </c>
      <c r="AZ175" s="161">
        <f>IF(GB175="","",IF(ISNUMBER('Dvd Calendar'!$N$1734)=FALSE,"",'Dvd Calendar'!$N$1734))</f>
        <v/>
      </c>
      <c r="BA175" s="161">
        <f>IF(GC175="","",IF(ISNUMBER('Dvd Calendar'!$O$1734)=FALSE,"",'Dvd Calendar'!$O$1734))</f>
        <v/>
      </c>
      <c r="BB175" s="161">
        <f>IF(GD175="","",IF(ISNUMBER('Dvd Calendar'!$P$1734)=FALSE,"",'Dvd Calendar'!$P$1734))</f>
        <v/>
      </c>
      <c r="BC175" s="161">
        <f>IF(GE175="","",IF(ISNUMBER('Dvd Calendar'!$Q$1734)=FALSE,"",'Dvd Calendar'!$Q$1734))</f>
        <v/>
      </c>
      <c r="BD175" s="161">
        <f>IF(GF175="","",IF(ISNUMBER('Dvd Calendar'!$R$1734)=FALSE,"",'Dvd Calendar'!$R$1734))</f>
        <v/>
      </c>
      <c r="BE175" s="161">
        <f>IF(GG175="","",IF(ISNUMBER('Dvd Calendar'!$S$1734)=FALSE,"",'Dvd Calendar'!$S$1734))</f>
        <v/>
      </c>
      <c r="BF175" s="161">
        <f>IF(GH175="","",IF(ISNUMBER('Dvd Calendar'!$T$1734)=FALSE,"",'Dvd Calendar'!$T$1734))</f>
        <v/>
      </c>
      <c r="BG175" s="161">
        <f>IF(GI175="","",IF(ISNUMBER('Dvd Calendar'!$U$1734)=FALSE,"",'Dvd Calendar'!$U$1734))</f>
        <v/>
      </c>
      <c r="BH175" s="161">
        <f>IF(GJ175="","",IF(ISNUMBER('Dvd Calendar'!$V$1734)=FALSE,"",'Dvd Calendar'!$V$1734))</f>
        <v/>
      </c>
      <c r="BI175" s="161">
        <f>IF(GK175="","",IF(ISNUMBER('Dvd Calendar'!$W$1734)=FALSE,"",'Dvd Calendar'!$W$1734))</f>
        <v/>
      </c>
      <c r="BJ175" s="161">
        <f>IF(GL175="","",IF(ISNUMBER('Dvd Calendar'!$X$1734)=FALSE,"",'Dvd Calendar'!$X$1734))</f>
        <v/>
      </c>
      <c r="BK175" s="161">
        <f>IF(GM175="","",IF(ISNUMBER('Dvd Calendar'!$Y$1734)=FALSE,"",'Dvd Calendar'!$Y$1734))</f>
        <v/>
      </c>
      <c r="BL175" s="161">
        <f>IF(GN175="","",IF(ISNUMBER('Dvd Calendar'!$Z$1734)=FALSE,"",'Dvd Calendar'!$Z$1734))</f>
        <v/>
      </c>
      <c r="BM175" s="161">
        <f>IF(GO175="","",IF(ISNUMBER('Dvd Calendar'!$AA$1734)=FALSE,"",'Dvd Calendar'!$AA$1734))</f>
        <v/>
      </c>
      <c r="BN175" s="161">
        <f>IF(GP175="","",IF(ISNUMBER('Dvd Calendar'!$AB$1734)=FALSE,"",'Dvd Calendar'!$AB$1734))</f>
        <v/>
      </c>
      <c r="BO175" s="161">
        <f>IF(GQ175="","",IF(ISNUMBER('Dvd Calendar'!$AC$1734)=FALSE,"",'Dvd Calendar'!$AC$1734))</f>
        <v/>
      </c>
      <c r="BQ175" s="161">
        <f>IF(C175="","",IFERROR(C175*HSCEI!$B$22*HSCEI!$G$22/HSCEI!$B$3,""))</f>
        <v/>
      </c>
      <c r="BR175" s="161">
        <f>IF(D175="","",IFERROR(D175*HSCEI!$B$22*HSCEI!$G$22/HSCEI!$B$3,""))</f>
        <v/>
      </c>
      <c r="BS175" s="161">
        <f>IF(E175="","",IFERROR(E175*HSCEI!$B$22*HSCEI!$G$22/HSCEI!$B$3,""))</f>
        <v/>
      </c>
      <c r="BT175" s="161">
        <f>IF(F175="","",IFERROR(F175*HSCEI!$B$22*HSCEI!$G$22/HSCEI!$B$3,""))</f>
        <v/>
      </c>
      <c r="BU175" s="161">
        <f>IF(G175="","",IFERROR(G175*HSCEI!$B$22*HSCEI!$G$22/HSCEI!$B$3,""))</f>
        <v/>
      </c>
      <c r="BV175" s="161">
        <f>IF(H175="","",IFERROR(H175*HSCEI!$B$22*HSCEI!$G$22/HSCEI!$B$3,""))</f>
        <v/>
      </c>
      <c r="BW175" s="161">
        <f>IF(I175="","",IFERROR(I175*HSCEI!$B$22*HSCEI!$G$22/HSCEI!$B$3,""))</f>
        <v/>
      </c>
      <c r="BX175" s="161">
        <f>IF(J175="","",IFERROR(J175*HSCEI!$B$22*HSCEI!$G$22/HSCEI!$B$3,""))</f>
        <v/>
      </c>
      <c r="BY175" s="161">
        <f>IF(K175="","",IFERROR(K175*HSCEI!$B$22*HSCEI!$G$22/HSCEI!$B$3,""))</f>
        <v/>
      </c>
      <c r="BZ175" s="161">
        <f>IF(L175="","",IFERROR(L175*HSCEI!$B$22*HSCEI!$G$22/HSCEI!$B$3,""))</f>
        <v/>
      </c>
      <c r="CA175" s="161">
        <f>IF(M175="","",IFERROR(M175*HSCEI!$B$22*HSCEI!$G$22/HSCEI!$B$3,""))</f>
        <v/>
      </c>
      <c r="CB175" s="161">
        <f>IF(N175="","",IFERROR(N175*HSCEI!$B$22*HSCEI!$G$22/HSCEI!$B$3,""))</f>
        <v/>
      </c>
      <c r="CC175" s="161">
        <f>IF(O175="","",IFERROR(O175*HSCEI!$B$22*HSCEI!$G$22/HSCEI!$B$3,""))</f>
        <v/>
      </c>
      <c r="CD175" s="161">
        <f>IF(P175="","",IFERROR(P175*HSCEI!$B$22*HSCEI!$G$22/HSCEI!$B$3,""))</f>
        <v/>
      </c>
      <c r="CE175" s="161">
        <f>IF(Q175="","",IFERROR(Q175*HSCEI!$B$22*HSCEI!$G$22/HSCEI!$B$3,""))</f>
        <v/>
      </c>
      <c r="CF175" s="161">
        <f>IF(R175="","",IFERROR(R175*HSCEI!$B$22*HSCEI!$G$22/HSCEI!$B$3,""))</f>
        <v/>
      </c>
      <c r="CG175" s="161">
        <f>IF(S175="","",IFERROR(S175*HSCEI!$B$22*HSCEI!$G$22/HSCEI!$B$3,""))</f>
        <v/>
      </c>
      <c r="CH175" s="161">
        <f>IF(T175="","",IFERROR(T175*HSCEI!$B$22*HSCEI!$G$22/HSCEI!$B$3,""))</f>
        <v/>
      </c>
      <c r="CI175" s="161">
        <f>IF(U175="","",IFERROR(U175*HSCEI!$B$22*HSCEI!$G$22/HSCEI!$B$3,""))</f>
        <v/>
      </c>
      <c r="CJ175" s="161">
        <f>IF(V175="","",IFERROR(V175*HSCEI!$B$22*HSCEI!$G$22/HSCEI!$B$3,""))</f>
        <v/>
      </c>
      <c r="CK175" s="161">
        <f>IF(W175="","",IFERROR(W175*HSCEI!$B$22*HSCEI!$G$22/HSCEI!$B$3,""))</f>
        <v/>
      </c>
      <c r="CL175" s="161">
        <f>IF(X175="","",IFERROR(X175*HSCEI!$B$22*HSCEI!$G$22/HSCEI!$B$3,""))</f>
        <v/>
      </c>
      <c r="CM175" s="161">
        <f>IF(Y175="","",IFERROR(Y175*HSCEI!$B$22*HSCEI!$G$22/HSCEI!$B$3,""))</f>
        <v/>
      </c>
      <c r="CN175" s="161">
        <f>IF(Z175="","",IFERROR(Z175*HSCEI!$B$22*HSCEI!$G$22/HSCEI!$B$3,""))</f>
        <v/>
      </c>
      <c r="CO175" s="161">
        <f>IF(AA175="","",IFERROR(AA175*HSCEI!$B$22*HSCEI!$G$22/HSCEI!$B$3,""))</f>
        <v/>
      </c>
      <c r="CP175" s="161">
        <f>IF(AB175="","",IFERROR(AB175*HSCEI!$B$22*HSCEI!$G$22/HSCEI!$B$3,""))</f>
        <v/>
      </c>
      <c r="CQ175" s="161">
        <f>IF(AC175="","",IFERROR(AC175*HSCEI!$B$22*HSCEI!$G$22/HSCEI!$B$3,""))</f>
        <v/>
      </c>
      <c r="CR175" s="161">
        <f>IF(AD175="","",IFERROR(AD175*HSCEI!$B$22*HSCEI!$G$22/HSCEI!$B$3,""))</f>
        <v/>
      </c>
      <c r="CS175" s="161">
        <f>IF(AE175="","",IFERROR(AE175*HSCEI!$B$22*HSCEI!$G$22/HSCEI!$B$3,""))</f>
        <v/>
      </c>
      <c r="CT175" s="161">
        <f>IF(AF175="","",IFERROR(AF175*HSCEI!$B$22*HSCEI!$G$22/HSCEI!$B$3,""))</f>
        <v/>
      </c>
      <c r="CU175" s="161">
        <f>IF(AG175="","",IFERROR(AG175*HSCEI!$B$22*HSCEI!$G$22/HSCEI!$B$3,""))</f>
        <v/>
      </c>
      <c r="CV175" s="161">
        <f>IF(AH175="","",IFERROR(AH175*HSCEI!$B$22*HSCEI!$G$22/HSCEI!$B$3,""))</f>
        <v/>
      </c>
      <c r="CW175" s="161">
        <f>IF(AI175="","",IFERROR(AI175*HSCEI!$B$22*HSCEI!$G$22/HSCEI!$B$3,""))</f>
        <v/>
      </c>
      <c r="CX175" s="161">
        <f>IF(AJ175="","",IFERROR(AJ175*HSCEI!$B$22*HSCEI!$G$22/HSCEI!$B$3,""))</f>
        <v/>
      </c>
      <c r="CY175" s="161">
        <f>IF(AK175="","",IFERROR(AK175*HSCEI!$B$22*HSCEI!$G$22/HSCEI!$B$3,""))</f>
        <v/>
      </c>
      <c r="CZ175" s="161">
        <f>IF(AL175="","",IFERROR(AL175*HSCEI!$B$22*HSCEI!$G$22/HSCEI!$B$3,""))</f>
        <v/>
      </c>
      <c r="DA175" s="161">
        <f>IF(AM175="","",IFERROR(AM175*HSCEI!$B$22*HSCEI!$G$22/HSCEI!$B$3,""))</f>
        <v/>
      </c>
      <c r="DB175" s="161">
        <f>IF(AN175="","",IFERROR(AN175*HSCEI!$B$22*HSCEI!$G$22/HSCEI!$B$3,""))</f>
        <v/>
      </c>
      <c r="DC175" s="161">
        <f>IF(AO175="","",IFERROR(AO175*HSCEI!$B$22*HSCEI!$G$22/HSCEI!$B$3,""))</f>
        <v/>
      </c>
      <c r="DD175" s="161">
        <f>IF(AP175="","",IFERROR(AP175*HSCEI!$B$22*HSCEI!$G$22/HSCEI!$B$3,""))</f>
        <v/>
      </c>
      <c r="DE175" s="161">
        <f>IF(AQ175="","",IFERROR(AQ175*HSCEI!$B$22*HSCEI!$G$22/HSCEI!$B$3,""))</f>
        <v/>
      </c>
      <c r="DF175" s="161">
        <f>IF(AR175="","",IFERROR(AR175*HSCEI!$B$22*HSCEI!$G$22/HSCEI!$B$3,""))</f>
        <v/>
      </c>
      <c r="DG175" s="161">
        <f>IF(AS175="","",IFERROR(AS175*HSCEI!$B$22*HSCEI!$G$22/HSCEI!$B$3,""))</f>
        <v/>
      </c>
      <c r="DH175" s="161">
        <f>IF(AT175="","",IFERROR(AT175*HSCEI!$B$22*HSCEI!$G$22/HSCEI!$B$3,""))</f>
        <v/>
      </c>
      <c r="DI175" s="161">
        <f>IF(AU175="","",IFERROR(AU175*HSCEI!$B$22*HSCEI!$G$22/HSCEI!$B$3,""))</f>
        <v/>
      </c>
      <c r="DJ175" s="161">
        <f>IF(AV175="","",IFERROR(AV175*HSCEI!$B$22*HSCEI!$G$22/HSCEI!$B$3,""))</f>
        <v/>
      </c>
      <c r="DK175" s="161">
        <f>IF(AW175="","",IFERROR(AW175*HSCEI!$B$22*HSCEI!$G$22/HSCEI!$B$3,""))</f>
        <v/>
      </c>
      <c r="DL175" s="161">
        <f>IF(AX175="","",IFERROR(AX175*HSCEI!$B$22*HSCEI!$G$22/HSCEI!$B$3,""))</f>
        <v/>
      </c>
      <c r="DM175" s="161">
        <f>IF(AY175="","",IFERROR(AY175*HSCEI!$B$22*HSCEI!$G$22/HSCEI!$B$3,""))</f>
        <v/>
      </c>
      <c r="DN175" s="161">
        <f>IF(AZ175="","",IFERROR(AZ175*HSCEI!$B$22*HSCEI!$G$22/HSCEI!$B$3,""))</f>
        <v/>
      </c>
      <c r="DO175" s="161">
        <f>IF(BA175="","",IFERROR(BA175*HSCEI!$B$22*HSCEI!$G$22/HSCEI!$B$3,""))</f>
        <v/>
      </c>
      <c r="DP175" s="161">
        <f>IF(BB175="","",IFERROR(BB175*HSCEI!$B$22*HSCEI!$G$22/HSCEI!$B$3,""))</f>
        <v/>
      </c>
      <c r="DQ175" s="161">
        <f>IF(BC175="","",IFERROR(BC175*HSCEI!$B$22*HSCEI!$G$22/HSCEI!$B$3,""))</f>
        <v/>
      </c>
      <c r="DR175" s="161">
        <f>IF(BD175="","",IFERROR(BD175*HSCEI!$B$22*HSCEI!$G$22/HSCEI!$B$3,""))</f>
        <v/>
      </c>
      <c r="DS175" s="161">
        <f>IF(BE175="","",IFERROR(BE175*HSCEI!$B$22*HSCEI!$G$22/HSCEI!$B$3,""))</f>
        <v/>
      </c>
      <c r="DT175" s="161">
        <f>IF(BF175="","",IFERROR(BF175*HSCEI!$B$22*HSCEI!$G$22/HSCEI!$B$3,""))</f>
        <v/>
      </c>
      <c r="DU175" s="161">
        <f>IF(BG175="","",IFERROR(BG175*HSCEI!$B$22*HSCEI!$G$22/HSCEI!$B$3,""))</f>
        <v/>
      </c>
      <c r="DV175" s="161">
        <f>IF(BH175="","",IFERROR(BH175*HSCEI!$B$22*HSCEI!$G$22/HSCEI!$B$3,""))</f>
        <v/>
      </c>
      <c r="DW175" s="161">
        <f>IF(BI175="","",IFERROR(BI175*HSCEI!$B$22*HSCEI!$G$22/HSCEI!$B$3,""))</f>
        <v/>
      </c>
      <c r="DX175" s="161">
        <f>IF(BJ175="","",IFERROR(BJ175*HSCEI!$B$22*HSCEI!$G$22/HSCEI!$B$3,""))</f>
        <v/>
      </c>
      <c r="DY175" s="161">
        <f>IF(BK175="","",IFERROR(BK175*HSCEI!$B$22*HSCEI!$G$22/HSCEI!$B$3,""))</f>
        <v/>
      </c>
      <c r="DZ175" s="161">
        <f>IF(BL175="","",IFERROR(BL175*HSCEI!$B$22*HSCEI!$G$22/HSCEI!$B$3,""))</f>
        <v/>
      </c>
      <c r="EA175" s="161">
        <f>IF(BM175="","",IFERROR(BM175*HSCEI!$B$22*HSCEI!$G$22/HSCEI!$B$3,""))</f>
        <v/>
      </c>
      <c r="EB175" s="161">
        <f>IF(BN175="","",IFERROR(BN175*HSCEI!$B$22*HSCEI!$G$22/HSCEI!$B$3,""))</f>
        <v/>
      </c>
      <c r="EC175" s="161">
        <f>IF(BO175="","",IFERROR(BO175*HSCEI!$B$22*HSCEI!$G$22/HSCEI!$B$3,""))</f>
        <v/>
      </c>
      <c r="EE175" s="121">
        <f>IF(N('Dvd Calendar'!$E$1726)=0,"",IF(('Dvd Calendar'!$E$1726&gt;=GRID_FROM)*('Dvd Calendar'!$E$1726&lt;=GRID_TO)*((('Dvd Calendar'!$E$1726&lt;=VAL_DATE)+(COUNTIF('Dvd Calendar'!$E$1733:$AR$1733,'Dvd Calendar'!$E$1726)=0))&gt;0)=0,"",'Dvd Calendar'!$E$1726*1000000000+ISNUMBER('Dvd Calendar'!$E$1729)*100000000+('Dvd Calendar'!$E$1731=SPECIAL_LBL)*10000000+(N('Dvd Calendar'!$E$1725)&gt;0)*(N('Dvd Calendar'!$E$1725)&lt;=VAL_SERIAL)*1000000+16*1000+1))</f>
        <v/>
      </c>
      <c r="EF175" s="121">
        <f>IF(N('Dvd Calendar'!$F$1726)=0,"",IF(('Dvd Calendar'!$F$1726&gt;=GRID_FROM)*('Dvd Calendar'!$F$1726&lt;=GRID_TO)*((('Dvd Calendar'!$F$1726&lt;=VAL_DATE)+(COUNTIF('Dvd Calendar'!$E$1733:$AR$1733,'Dvd Calendar'!$F$1726)=0))&gt;0)=0,"",'Dvd Calendar'!$F$1726*1000000000+ISNUMBER('Dvd Calendar'!$F$1729)*100000000+('Dvd Calendar'!$F$1731=SPECIAL_LBL)*10000000+(N('Dvd Calendar'!$F$1725)&gt;0)*(N('Dvd Calendar'!$F$1725)&lt;=VAL_SERIAL)*1000000+16*1000+2))</f>
        <v/>
      </c>
      <c r="EG175" s="121">
        <f>IF(N('Dvd Calendar'!$G$1726)=0,"",IF(('Dvd Calendar'!$G$1726&gt;=GRID_FROM)*('Dvd Calendar'!$G$1726&lt;=GRID_TO)*((('Dvd Calendar'!$G$1726&lt;=VAL_DATE)+(COUNTIF('Dvd Calendar'!$E$1733:$AR$1733,'Dvd Calendar'!$G$1726)=0))&gt;0)=0,"",'Dvd Calendar'!$G$1726*1000000000+ISNUMBER('Dvd Calendar'!$G$1729)*100000000+('Dvd Calendar'!$G$1731=SPECIAL_LBL)*10000000+(N('Dvd Calendar'!$G$1725)&gt;0)*(N('Dvd Calendar'!$G$1725)&lt;=VAL_SERIAL)*1000000+16*1000+3))</f>
        <v/>
      </c>
      <c r="EH175" s="121">
        <f>IF(N('Dvd Calendar'!$H$1726)=0,"",IF(('Dvd Calendar'!$H$1726&gt;=GRID_FROM)*('Dvd Calendar'!$H$1726&lt;=GRID_TO)*((('Dvd Calendar'!$H$1726&lt;=VAL_DATE)+(COUNTIF('Dvd Calendar'!$E$1733:$AR$1733,'Dvd Calendar'!$H$1726)=0))&gt;0)=0,"",'Dvd Calendar'!$H$1726*1000000000+ISNUMBER('Dvd Calendar'!$H$1729)*100000000+('Dvd Calendar'!$H$1731=SPECIAL_LBL)*10000000+(N('Dvd Calendar'!$H$1725)&gt;0)*(N('Dvd Calendar'!$H$1725)&lt;=VAL_SERIAL)*1000000+16*1000+4))</f>
        <v/>
      </c>
      <c r="EI175" s="121">
        <f>IF(N('Dvd Calendar'!$I$1726)=0,"",IF(('Dvd Calendar'!$I$1726&gt;=GRID_FROM)*('Dvd Calendar'!$I$1726&lt;=GRID_TO)*((('Dvd Calendar'!$I$1726&lt;=VAL_DATE)+(COUNTIF('Dvd Calendar'!$E$1733:$AR$1733,'Dvd Calendar'!$I$1726)=0))&gt;0)=0,"",'Dvd Calendar'!$I$1726*1000000000+ISNUMBER('Dvd Calendar'!$I$1729)*100000000+('Dvd Calendar'!$I$1731=SPECIAL_LBL)*10000000+(N('Dvd Calendar'!$I$1725)&gt;0)*(N('Dvd Calendar'!$I$1725)&lt;=VAL_SERIAL)*1000000+16*1000+5))</f>
        <v/>
      </c>
      <c r="EJ175" s="121">
        <f>IF(N('Dvd Calendar'!$J$1726)=0,"",IF(('Dvd Calendar'!$J$1726&gt;=GRID_FROM)*('Dvd Calendar'!$J$1726&lt;=GRID_TO)*((('Dvd Calendar'!$J$1726&lt;=VAL_DATE)+(COUNTIF('Dvd Calendar'!$E$1733:$AR$1733,'Dvd Calendar'!$J$1726)=0))&gt;0)=0,"",'Dvd Calendar'!$J$1726*1000000000+ISNUMBER('Dvd Calendar'!$J$1729)*100000000+('Dvd Calendar'!$J$1731=SPECIAL_LBL)*10000000+(N('Dvd Calendar'!$J$1725)&gt;0)*(N('Dvd Calendar'!$J$1725)&lt;=VAL_SERIAL)*1000000+16*1000+6))</f>
        <v/>
      </c>
      <c r="EK175" s="121">
        <f>IF(N('Dvd Calendar'!$K$1726)=0,"",IF(('Dvd Calendar'!$K$1726&gt;=GRID_FROM)*('Dvd Calendar'!$K$1726&lt;=GRID_TO)*((('Dvd Calendar'!$K$1726&lt;=VAL_DATE)+(COUNTIF('Dvd Calendar'!$E$1733:$AR$1733,'Dvd Calendar'!$K$1726)=0))&gt;0)=0,"",'Dvd Calendar'!$K$1726*1000000000+ISNUMBER('Dvd Calendar'!$K$1729)*100000000+('Dvd Calendar'!$K$1731=SPECIAL_LBL)*10000000+(N('Dvd Calendar'!$K$1725)&gt;0)*(N('Dvd Calendar'!$K$1725)&lt;=VAL_SERIAL)*1000000+16*1000+7))</f>
        <v/>
      </c>
      <c r="EL175" s="121">
        <f>IF(N('Dvd Calendar'!$L$1726)=0,"",IF(('Dvd Calendar'!$L$1726&gt;=GRID_FROM)*('Dvd Calendar'!$L$1726&lt;=GRID_TO)*((('Dvd Calendar'!$L$1726&lt;=VAL_DATE)+(COUNTIF('Dvd Calendar'!$E$1733:$AR$1733,'Dvd Calendar'!$L$1726)=0))&gt;0)=0,"",'Dvd Calendar'!$L$1726*1000000000+ISNUMBER('Dvd Calendar'!$L$1729)*100000000+('Dvd Calendar'!$L$1731=SPECIAL_LBL)*10000000+(N('Dvd Calendar'!$L$1725)&gt;0)*(N('Dvd Calendar'!$L$1725)&lt;=VAL_SERIAL)*1000000+16*1000+8))</f>
        <v/>
      </c>
      <c r="EM175" s="121">
        <f>IF(N('Dvd Calendar'!$M$1726)=0,"",IF(('Dvd Calendar'!$M$1726&gt;=GRID_FROM)*('Dvd Calendar'!$M$1726&lt;=GRID_TO)*((('Dvd Calendar'!$M$1726&lt;=VAL_DATE)+(COUNTIF('Dvd Calendar'!$E$1733:$AR$1733,'Dvd Calendar'!$M$1726)=0))&gt;0)=0,"",'Dvd Calendar'!$M$1726*1000000000+ISNUMBER('Dvd Calendar'!$M$1729)*100000000+('Dvd Calendar'!$M$1731=SPECIAL_LBL)*10000000+(N('Dvd Calendar'!$M$1725)&gt;0)*(N('Dvd Calendar'!$M$1725)&lt;=VAL_SERIAL)*1000000+16*1000+9))</f>
        <v/>
      </c>
      <c r="EN175" s="121">
        <f>IF(N('Dvd Calendar'!$N$1726)=0,"",IF(('Dvd Calendar'!$N$1726&gt;=GRID_FROM)*('Dvd Calendar'!$N$1726&lt;=GRID_TO)*((('Dvd Calendar'!$N$1726&lt;=VAL_DATE)+(COUNTIF('Dvd Calendar'!$E$1733:$AR$1733,'Dvd Calendar'!$N$1726)=0))&gt;0)=0,"",'Dvd Calendar'!$N$1726*1000000000+ISNUMBER('Dvd Calendar'!$N$1729)*100000000+('Dvd Calendar'!$N$1731=SPECIAL_LBL)*10000000+(N('Dvd Calendar'!$N$1725)&gt;0)*(N('Dvd Calendar'!$N$1725)&lt;=VAL_SERIAL)*1000000+16*1000+10))</f>
        <v/>
      </c>
      <c r="EO175" s="121">
        <f>IF(N('Dvd Calendar'!$O$1726)=0,"",IF(('Dvd Calendar'!$O$1726&gt;=GRID_FROM)*('Dvd Calendar'!$O$1726&lt;=GRID_TO)*((('Dvd Calendar'!$O$1726&lt;=VAL_DATE)+(COUNTIF('Dvd Calendar'!$E$1733:$AR$1733,'Dvd Calendar'!$O$1726)=0))&gt;0)=0,"",'Dvd Calendar'!$O$1726*1000000000+ISNUMBER('Dvd Calendar'!$O$1729)*100000000+('Dvd Calendar'!$O$1731=SPECIAL_LBL)*10000000+(N('Dvd Calendar'!$O$1725)&gt;0)*(N('Dvd Calendar'!$O$1725)&lt;=VAL_SERIAL)*1000000+16*1000+11))</f>
        <v/>
      </c>
      <c r="EP175" s="121">
        <f>IF(N('Dvd Calendar'!$P$1726)=0,"",IF(('Dvd Calendar'!$P$1726&gt;=GRID_FROM)*('Dvd Calendar'!$P$1726&lt;=GRID_TO)*((('Dvd Calendar'!$P$1726&lt;=VAL_DATE)+(COUNTIF('Dvd Calendar'!$E$1733:$AR$1733,'Dvd Calendar'!$P$1726)=0))&gt;0)=0,"",'Dvd Calendar'!$P$1726*1000000000+ISNUMBER('Dvd Calendar'!$P$1729)*100000000+('Dvd Calendar'!$P$1731=SPECIAL_LBL)*10000000+(N('Dvd Calendar'!$P$1725)&gt;0)*(N('Dvd Calendar'!$P$1725)&lt;=VAL_SERIAL)*1000000+16*1000+12))</f>
        <v/>
      </c>
      <c r="EQ175" s="121">
        <f>IF(N('Dvd Calendar'!$Q$1726)=0,"",IF(('Dvd Calendar'!$Q$1726&gt;=GRID_FROM)*('Dvd Calendar'!$Q$1726&lt;=GRID_TO)*((('Dvd Calendar'!$Q$1726&lt;=VAL_DATE)+(COUNTIF('Dvd Calendar'!$E$1733:$AR$1733,'Dvd Calendar'!$Q$1726)=0))&gt;0)=0,"",'Dvd Calendar'!$Q$1726*1000000000+ISNUMBER('Dvd Calendar'!$Q$1729)*100000000+('Dvd Calendar'!$Q$1731=SPECIAL_LBL)*10000000+(N('Dvd Calendar'!$Q$1725)&gt;0)*(N('Dvd Calendar'!$Q$1725)&lt;=VAL_SERIAL)*1000000+16*1000+13))</f>
        <v/>
      </c>
      <c r="ER175" s="121">
        <f>IF(N('Dvd Calendar'!$R$1726)=0,"",IF(('Dvd Calendar'!$R$1726&gt;=GRID_FROM)*('Dvd Calendar'!$R$1726&lt;=GRID_TO)*((('Dvd Calendar'!$R$1726&lt;=VAL_DATE)+(COUNTIF('Dvd Calendar'!$E$1733:$AR$1733,'Dvd Calendar'!$R$1726)=0))&gt;0)=0,"",'Dvd Calendar'!$R$1726*1000000000+ISNUMBER('Dvd Calendar'!$R$1729)*100000000+('Dvd Calendar'!$R$1731=SPECIAL_LBL)*10000000+(N('Dvd Calendar'!$R$1725)&gt;0)*(N('Dvd Calendar'!$R$1725)&lt;=VAL_SERIAL)*1000000+16*1000+14))</f>
        <v/>
      </c>
      <c r="ES175" s="121">
        <f>IF(N('Dvd Calendar'!$S$1726)=0,"",IF(('Dvd Calendar'!$S$1726&gt;=GRID_FROM)*('Dvd Calendar'!$S$1726&lt;=GRID_TO)*((('Dvd Calendar'!$S$1726&lt;=VAL_DATE)+(COUNTIF('Dvd Calendar'!$E$1733:$AR$1733,'Dvd Calendar'!$S$1726)=0))&gt;0)=0,"",'Dvd Calendar'!$S$1726*1000000000+ISNUMBER('Dvd Calendar'!$S$1729)*100000000+('Dvd Calendar'!$S$1731=SPECIAL_LBL)*10000000+(N('Dvd Calendar'!$S$1725)&gt;0)*(N('Dvd Calendar'!$S$1725)&lt;=VAL_SERIAL)*1000000+16*1000+15))</f>
        <v/>
      </c>
      <c r="ET175" s="121">
        <f>IF(N('Dvd Calendar'!$T$1726)=0,"",IF(('Dvd Calendar'!$T$1726&gt;=GRID_FROM)*('Dvd Calendar'!$T$1726&lt;=GRID_TO)*((('Dvd Calendar'!$T$1726&lt;=VAL_DATE)+(COUNTIF('Dvd Calendar'!$E$1733:$AR$1733,'Dvd Calendar'!$T$1726)=0))&gt;0)=0,"",'Dvd Calendar'!$T$1726*1000000000+ISNUMBER('Dvd Calendar'!$T$1729)*100000000+('Dvd Calendar'!$T$1731=SPECIAL_LBL)*10000000+(N('Dvd Calendar'!$T$1725)&gt;0)*(N('Dvd Calendar'!$T$1725)&lt;=VAL_SERIAL)*1000000+16*1000+16))</f>
        <v/>
      </c>
      <c r="EU175" s="121">
        <f>IF(N('Dvd Calendar'!$U$1726)=0,"",IF(('Dvd Calendar'!$U$1726&gt;=GRID_FROM)*('Dvd Calendar'!$U$1726&lt;=GRID_TO)*((('Dvd Calendar'!$U$1726&lt;=VAL_DATE)+(COUNTIF('Dvd Calendar'!$E$1733:$AR$1733,'Dvd Calendar'!$U$1726)=0))&gt;0)=0,"",'Dvd Calendar'!$U$1726*1000000000+ISNUMBER('Dvd Calendar'!$U$1729)*100000000+('Dvd Calendar'!$U$1731=SPECIAL_LBL)*10000000+(N('Dvd Calendar'!$U$1725)&gt;0)*(N('Dvd Calendar'!$U$1725)&lt;=VAL_SERIAL)*1000000+16*1000+17))</f>
        <v/>
      </c>
      <c r="EV175" s="121">
        <f>IF(N('Dvd Calendar'!$V$1726)=0,"",IF(('Dvd Calendar'!$V$1726&gt;=GRID_FROM)*('Dvd Calendar'!$V$1726&lt;=GRID_TO)*((('Dvd Calendar'!$V$1726&lt;=VAL_DATE)+(COUNTIF('Dvd Calendar'!$E$1733:$AR$1733,'Dvd Calendar'!$V$1726)=0))&gt;0)=0,"",'Dvd Calendar'!$V$1726*1000000000+ISNUMBER('Dvd Calendar'!$V$1729)*100000000+('Dvd Calendar'!$V$1731=SPECIAL_LBL)*10000000+(N('Dvd Calendar'!$V$1725)&gt;0)*(N('Dvd Calendar'!$V$1725)&lt;=VAL_SERIAL)*1000000+16*1000+18))</f>
        <v/>
      </c>
      <c r="EW175" s="121">
        <f>IF(N('Dvd Calendar'!$W$1726)=0,"",IF(('Dvd Calendar'!$W$1726&gt;=GRID_FROM)*('Dvd Calendar'!$W$1726&lt;=GRID_TO)*((('Dvd Calendar'!$W$1726&lt;=VAL_DATE)+(COUNTIF('Dvd Calendar'!$E$1733:$AR$1733,'Dvd Calendar'!$W$1726)=0))&gt;0)=0,"",'Dvd Calendar'!$W$1726*1000000000+ISNUMBER('Dvd Calendar'!$W$1729)*100000000+('Dvd Calendar'!$W$1731=SPECIAL_LBL)*10000000+(N('Dvd Calendar'!$W$1725)&gt;0)*(N('Dvd Calendar'!$W$1725)&lt;=VAL_SERIAL)*1000000+16*1000+19))</f>
        <v/>
      </c>
      <c r="EX175" s="121">
        <f>IF(N('Dvd Calendar'!$X$1726)=0,"",IF(('Dvd Calendar'!$X$1726&gt;=GRID_FROM)*('Dvd Calendar'!$X$1726&lt;=GRID_TO)*((('Dvd Calendar'!$X$1726&lt;=VAL_DATE)+(COUNTIF('Dvd Calendar'!$E$1733:$AR$1733,'Dvd Calendar'!$X$1726)=0))&gt;0)=0,"",'Dvd Calendar'!$X$1726*1000000000+ISNUMBER('Dvd Calendar'!$X$1729)*100000000+('Dvd Calendar'!$X$1731=SPECIAL_LBL)*10000000+(N('Dvd Calendar'!$X$1725)&gt;0)*(N('Dvd Calendar'!$X$1725)&lt;=VAL_SERIAL)*1000000+16*1000+20))</f>
        <v/>
      </c>
      <c r="EY175" s="121">
        <f>IF(N('Dvd Calendar'!$Y$1726)=0,"",IF(('Dvd Calendar'!$Y$1726&gt;=GRID_FROM)*('Dvd Calendar'!$Y$1726&lt;=GRID_TO)*((('Dvd Calendar'!$Y$1726&lt;=VAL_DATE)+(COUNTIF('Dvd Calendar'!$E$1733:$AR$1733,'Dvd Calendar'!$Y$1726)=0))&gt;0)=0,"",'Dvd Calendar'!$Y$1726*1000000000+ISNUMBER('Dvd Calendar'!$Y$1729)*100000000+('Dvd Calendar'!$Y$1731=SPECIAL_LBL)*10000000+(N('Dvd Calendar'!$Y$1725)&gt;0)*(N('Dvd Calendar'!$Y$1725)&lt;=VAL_SERIAL)*1000000+16*1000+21))</f>
        <v/>
      </c>
      <c r="EZ175" s="121">
        <f>IF(N('Dvd Calendar'!$Z$1726)=0,"",IF(('Dvd Calendar'!$Z$1726&gt;=GRID_FROM)*('Dvd Calendar'!$Z$1726&lt;=GRID_TO)*((('Dvd Calendar'!$Z$1726&lt;=VAL_DATE)+(COUNTIF('Dvd Calendar'!$E$1733:$AR$1733,'Dvd Calendar'!$Z$1726)=0))&gt;0)=0,"",'Dvd Calendar'!$Z$1726*1000000000+ISNUMBER('Dvd Calendar'!$Z$1729)*100000000+('Dvd Calendar'!$Z$1731=SPECIAL_LBL)*10000000+(N('Dvd Calendar'!$Z$1725)&gt;0)*(N('Dvd Calendar'!$Z$1725)&lt;=VAL_SERIAL)*1000000+16*1000+22))</f>
        <v/>
      </c>
      <c r="FA175" s="121">
        <f>IF(N('Dvd Calendar'!$AA$1726)=0,"",IF(('Dvd Calendar'!$AA$1726&gt;=GRID_FROM)*('Dvd Calendar'!$AA$1726&lt;=GRID_TO)*((('Dvd Calendar'!$AA$1726&lt;=VAL_DATE)+(COUNTIF('Dvd Calendar'!$E$1733:$AR$1733,'Dvd Calendar'!$AA$1726)=0))&gt;0)=0,"",'Dvd Calendar'!$AA$1726*1000000000+ISNUMBER('Dvd Calendar'!$AA$1729)*100000000+('Dvd Calendar'!$AA$1731=SPECIAL_LBL)*10000000+(N('Dvd Calendar'!$AA$1725)&gt;0)*(N('Dvd Calendar'!$AA$1725)&lt;=VAL_SERIAL)*1000000+16*1000+23))</f>
        <v/>
      </c>
      <c r="FB175" s="121">
        <f>IF(N('Dvd Calendar'!$AB$1726)=0,"",IF(('Dvd Calendar'!$AB$1726&gt;=GRID_FROM)*('Dvd Calendar'!$AB$1726&lt;=GRID_TO)*((('Dvd Calendar'!$AB$1726&lt;=VAL_DATE)+(COUNTIF('Dvd Calendar'!$E$1733:$AR$1733,'Dvd Calendar'!$AB$1726)=0))&gt;0)=0,"",'Dvd Calendar'!$AB$1726*1000000000+ISNUMBER('Dvd Calendar'!$AB$1729)*100000000+('Dvd Calendar'!$AB$1731=SPECIAL_LBL)*10000000+(N('Dvd Calendar'!$AB$1725)&gt;0)*(N('Dvd Calendar'!$AB$1725)&lt;=VAL_SERIAL)*1000000+16*1000+24))</f>
        <v/>
      </c>
      <c r="FC175" s="121">
        <f>IF(N('Dvd Calendar'!$AC$1726)=0,"",IF(('Dvd Calendar'!$AC$1726&gt;=GRID_FROM)*('Dvd Calendar'!$AC$1726&lt;=GRID_TO)*((('Dvd Calendar'!$AC$1726&lt;=VAL_DATE)+(COUNTIF('Dvd Calendar'!$E$1733:$AR$1733,'Dvd Calendar'!$AC$1726)=0))&gt;0)=0,"",'Dvd Calendar'!$AC$1726*1000000000+ISNUMBER('Dvd Calendar'!$AC$1729)*100000000+('Dvd Calendar'!$AC$1731=SPECIAL_LBL)*10000000+(N('Dvd Calendar'!$AC$1725)&gt;0)*(N('Dvd Calendar'!$AC$1725)&lt;=VAL_SERIAL)*1000000+16*1000+25))</f>
        <v/>
      </c>
      <c r="FD175" s="121">
        <f>IF(N('Dvd Calendar'!$AD$1726)=0,"",IF(('Dvd Calendar'!$AD$1726&gt;=GRID_FROM)*('Dvd Calendar'!$AD$1726&lt;=GRID_TO)*((('Dvd Calendar'!$AD$1726&lt;=VAL_DATE)+(COUNTIF('Dvd Calendar'!$E$1733:$AR$1733,'Dvd Calendar'!$AD$1726)=0))&gt;0)=0,"",'Dvd Calendar'!$AD$1726*1000000000+ISNUMBER('Dvd Calendar'!$AD$1729)*100000000+('Dvd Calendar'!$AD$1731=SPECIAL_LBL)*10000000+(N('Dvd Calendar'!$AD$1725)&gt;0)*(N('Dvd Calendar'!$AD$1725)&lt;=VAL_SERIAL)*1000000+16*1000+26))</f>
        <v/>
      </c>
      <c r="FE175" s="121">
        <f>IF(N('Dvd Calendar'!$AE$1726)=0,"",IF(('Dvd Calendar'!$AE$1726&gt;=GRID_FROM)*('Dvd Calendar'!$AE$1726&lt;=GRID_TO)*((('Dvd Calendar'!$AE$1726&lt;=VAL_DATE)+(COUNTIF('Dvd Calendar'!$E$1733:$AR$1733,'Dvd Calendar'!$AE$1726)=0))&gt;0)=0,"",'Dvd Calendar'!$AE$1726*1000000000+ISNUMBER('Dvd Calendar'!$AE$1729)*100000000+('Dvd Calendar'!$AE$1731=SPECIAL_LBL)*10000000+(N('Dvd Calendar'!$AE$1725)&gt;0)*(N('Dvd Calendar'!$AE$1725)&lt;=VAL_SERIAL)*1000000+16*1000+27))</f>
        <v/>
      </c>
      <c r="FF175" s="121">
        <f>IF(N('Dvd Calendar'!$AF$1726)=0,"",IF(('Dvd Calendar'!$AF$1726&gt;=GRID_FROM)*('Dvd Calendar'!$AF$1726&lt;=GRID_TO)*((('Dvd Calendar'!$AF$1726&lt;=VAL_DATE)+(COUNTIF('Dvd Calendar'!$E$1733:$AR$1733,'Dvd Calendar'!$AF$1726)=0))&gt;0)=0,"",'Dvd Calendar'!$AF$1726*1000000000+ISNUMBER('Dvd Calendar'!$AF$1729)*100000000+('Dvd Calendar'!$AF$1731=SPECIAL_LBL)*10000000+(N('Dvd Calendar'!$AF$1725)&gt;0)*(N('Dvd Calendar'!$AF$1725)&lt;=VAL_SERIAL)*1000000+16*1000+28))</f>
        <v/>
      </c>
      <c r="FG175" s="121">
        <f>IF(N('Dvd Calendar'!$AG$1726)=0,"",IF(('Dvd Calendar'!$AG$1726&gt;=GRID_FROM)*('Dvd Calendar'!$AG$1726&lt;=GRID_TO)*((('Dvd Calendar'!$AG$1726&lt;=VAL_DATE)+(COUNTIF('Dvd Calendar'!$E$1733:$AR$1733,'Dvd Calendar'!$AG$1726)=0))&gt;0)=0,"",'Dvd Calendar'!$AG$1726*1000000000+ISNUMBER('Dvd Calendar'!$AG$1729)*100000000+('Dvd Calendar'!$AG$1731=SPECIAL_LBL)*10000000+(N('Dvd Calendar'!$AG$1725)&gt;0)*(N('Dvd Calendar'!$AG$1725)&lt;=VAL_SERIAL)*1000000+16*1000+29))</f>
        <v/>
      </c>
      <c r="FH175" s="121">
        <f>IF(N('Dvd Calendar'!$AH$1726)=0,"",IF(('Dvd Calendar'!$AH$1726&gt;=GRID_FROM)*('Dvd Calendar'!$AH$1726&lt;=GRID_TO)*((('Dvd Calendar'!$AH$1726&lt;=VAL_DATE)+(COUNTIF('Dvd Calendar'!$E$1733:$AR$1733,'Dvd Calendar'!$AH$1726)=0))&gt;0)=0,"",'Dvd Calendar'!$AH$1726*1000000000+ISNUMBER('Dvd Calendar'!$AH$1729)*100000000+('Dvd Calendar'!$AH$1731=SPECIAL_LBL)*10000000+(N('Dvd Calendar'!$AH$1725)&gt;0)*(N('Dvd Calendar'!$AH$1725)&lt;=VAL_SERIAL)*1000000+16*1000+30))</f>
        <v/>
      </c>
      <c r="FI175" s="121">
        <f>IF(N('Dvd Calendar'!$AI$1726)=0,"",IF(('Dvd Calendar'!$AI$1726&gt;=GRID_FROM)*('Dvd Calendar'!$AI$1726&lt;=GRID_TO)*((('Dvd Calendar'!$AI$1726&lt;=VAL_DATE)+(COUNTIF('Dvd Calendar'!$E$1733:$AR$1733,'Dvd Calendar'!$AI$1726)=0))&gt;0)=0,"",'Dvd Calendar'!$AI$1726*1000000000+ISNUMBER('Dvd Calendar'!$AI$1729)*100000000+('Dvd Calendar'!$AI$1731=SPECIAL_LBL)*10000000+(N('Dvd Calendar'!$AI$1725)&gt;0)*(N('Dvd Calendar'!$AI$1725)&lt;=VAL_SERIAL)*1000000+16*1000+31))</f>
        <v/>
      </c>
      <c r="FJ175" s="121">
        <f>IF(N('Dvd Calendar'!$AJ$1726)=0,"",IF(('Dvd Calendar'!$AJ$1726&gt;=GRID_FROM)*('Dvd Calendar'!$AJ$1726&lt;=GRID_TO)*((('Dvd Calendar'!$AJ$1726&lt;=VAL_DATE)+(COUNTIF('Dvd Calendar'!$E$1733:$AR$1733,'Dvd Calendar'!$AJ$1726)=0))&gt;0)=0,"",'Dvd Calendar'!$AJ$1726*1000000000+ISNUMBER('Dvd Calendar'!$AJ$1729)*100000000+('Dvd Calendar'!$AJ$1731=SPECIAL_LBL)*10000000+(N('Dvd Calendar'!$AJ$1725)&gt;0)*(N('Dvd Calendar'!$AJ$1725)&lt;=VAL_SERIAL)*1000000+16*1000+32))</f>
        <v/>
      </c>
      <c r="FK175" s="121">
        <f>IF(N('Dvd Calendar'!$AK$1726)=0,"",IF(('Dvd Calendar'!$AK$1726&gt;=GRID_FROM)*('Dvd Calendar'!$AK$1726&lt;=GRID_TO)*((('Dvd Calendar'!$AK$1726&lt;=VAL_DATE)+(COUNTIF('Dvd Calendar'!$E$1733:$AR$1733,'Dvd Calendar'!$AK$1726)=0))&gt;0)=0,"",'Dvd Calendar'!$AK$1726*1000000000+ISNUMBER('Dvd Calendar'!$AK$1729)*100000000+('Dvd Calendar'!$AK$1731=SPECIAL_LBL)*10000000+(N('Dvd Calendar'!$AK$1725)&gt;0)*(N('Dvd Calendar'!$AK$1725)&lt;=VAL_SERIAL)*1000000+16*1000+33))</f>
        <v/>
      </c>
      <c r="FL175" s="121">
        <f>IF(N('Dvd Calendar'!$AL$1726)=0,"",IF(('Dvd Calendar'!$AL$1726&gt;=GRID_FROM)*('Dvd Calendar'!$AL$1726&lt;=GRID_TO)*((('Dvd Calendar'!$AL$1726&lt;=VAL_DATE)+(COUNTIF('Dvd Calendar'!$E$1733:$AR$1733,'Dvd Calendar'!$AL$1726)=0))&gt;0)=0,"",'Dvd Calendar'!$AL$1726*1000000000+ISNUMBER('Dvd Calendar'!$AL$1729)*100000000+('Dvd Calendar'!$AL$1731=SPECIAL_LBL)*10000000+(N('Dvd Calendar'!$AL$1725)&gt;0)*(N('Dvd Calendar'!$AL$1725)&lt;=VAL_SERIAL)*1000000+16*1000+34))</f>
        <v/>
      </c>
      <c r="FM175" s="121">
        <f>IF(N('Dvd Calendar'!$AM$1726)=0,"",IF(('Dvd Calendar'!$AM$1726&gt;=GRID_FROM)*('Dvd Calendar'!$AM$1726&lt;=GRID_TO)*((('Dvd Calendar'!$AM$1726&lt;=VAL_DATE)+(COUNTIF('Dvd Calendar'!$E$1733:$AR$1733,'Dvd Calendar'!$AM$1726)=0))&gt;0)=0,"",'Dvd Calendar'!$AM$1726*1000000000+ISNUMBER('Dvd Calendar'!$AM$1729)*100000000+('Dvd Calendar'!$AM$1731=SPECIAL_LBL)*10000000+(N('Dvd Calendar'!$AM$1725)&gt;0)*(N('Dvd Calendar'!$AM$1725)&lt;=VAL_SERIAL)*1000000+16*1000+35))</f>
        <v/>
      </c>
      <c r="FN175" s="121">
        <f>IF(N('Dvd Calendar'!$AN$1726)=0,"",IF(('Dvd Calendar'!$AN$1726&gt;=GRID_FROM)*('Dvd Calendar'!$AN$1726&lt;=GRID_TO)*((('Dvd Calendar'!$AN$1726&lt;=VAL_DATE)+(COUNTIF('Dvd Calendar'!$E$1733:$AR$1733,'Dvd Calendar'!$AN$1726)=0))&gt;0)=0,"",'Dvd Calendar'!$AN$1726*1000000000+ISNUMBER('Dvd Calendar'!$AN$1729)*100000000+('Dvd Calendar'!$AN$1731=SPECIAL_LBL)*10000000+(N('Dvd Calendar'!$AN$1725)&gt;0)*(N('Dvd Calendar'!$AN$1725)&lt;=VAL_SERIAL)*1000000+16*1000+36))</f>
        <v/>
      </c>
      <c r="FO175" s="121">
        <f>IF(N('Dvd Calendar'!$AO$1726)=0,"",IF(('Dvd Calendar'!$AO$1726&gt;=GRID_FROM)*('Dvd Calendar'!$AO$1726&lt;=GRID_TO)*((('Dvd Calendar'!$AO$1726&lt;=VAL_DATE)+(COUNTIF('Dvd Calendar'!$E$1733:$AR$1733,'Dvd Calendar'!$AO$1726)=0))&gt;0)=0,"",'Dvd Calendar'!$AO$1726*1000000000+ISNUMBER('Dvd Calendar'!$AO$1729)*100000000+('Dvd Calendar'!$AO$1731=SPECIAL_LBL)*10000000+(N('Dvd Calendar'!$AO$1725)&gt;0)*(N('Dvd Calendar'!$AO$1725)&lt;=VAL_SERIAL)*1000000+16*1000+37))</f>
        <v/>
      </c>
      <c r="FP175" s="121">
        <f>IF(N('Dvd Calendar'!$AP$1726)=0,"",IF(('Dvd Calendar'!$AP$1726&gt;=GRID_FROM)*('Dvd Calendar'!$AP$1726&lt;=GRID_TO)*((('Dvd Calendar'!$AP$1726&lt;=VAL_DATE)+(COUNTIF('Dvd Calendar'!$E$1733:$AR$1733,'Dvd Calendar'!$AP$1726)=0))&gt;0)=0,"",'Dvd Calendar'!$AP$1726*1000000000+ISNUMBER('Dvd Calendar'!$AP$1729)*100000000+('Dvd Calendar'!$AP$1731=SPECIAL_LBL)*10000000+(N('Dvd Calendar'!$AP$1725)&gt;0)*(N('Dvd Calendar'!$AP$1725)&lt;=VAL_SERIAL)*1000000+16*1000+38))</f>
        <v/>
      </c>
      <c r="FQ175" s="121">
        <f>IF(N('Dvd Calendar'!$AQ$1726)=0,"",IF(('Dvd Calendar'!$AQ$1726&gt;=GRID_FROM)*('Dvd Calendar'!$AQ$1726&lt;=GRID_TO)*((('Dvd Calendar'!$AQ$1726&lt;=VAL_DATE)+(COUNTIF('Dvd Calendar'!$E$1733:$AR$1733,'Dvd Calendar'!$AQ$1726)=0))&gt;0)=0,"",'Dvd Calendar'!$AQ$1726*1000000000+ISNUMBER('Dvd Calendar'!$AQ$1729)*100000000+('Dvd Calendar'!$AQ$1731=SPECIAL_LBL)*10000000+(N('Dvd Calendar'!$AQ$1725)&gt;0)*(N('Dvd Calendar'!$AQ$1725)&lt;=VAL_SERIAL)*1000000+16*1000+39))</f>
        <v/>
      </c>
      <c r="FR175" s="121">
        <f>IF(N('Dvd Calendar'!$AR$1726)=0,"",IF(('Dvd Calendar'!$AR$1726&gt;=GRID_FROM)*('Dvd Calendar'!$AR$1726&lt;=GRID_TO)*((('Dvd Calendar'!$AR$1726&lt;=VAL_DATE)+(COUNTIF('Dvd Calendar'!$E$1733:$AR$1733,'Dvd Calendar'!$AR$1726)=0))&gt;0)=0,"",'Dvd Calendar'!$AR$1726*1000000000+ISNUMBER('Dvd Calendar'!$AR$1729)*100000000+('Dvd Calendar'!$AR$1731=SPECIAL_LBL)*10000000+(N('Dvd Calendar'!$AR$1725)&gt;0)*(N('Dvd Calendar'!$AR$1725)&lt;=VAL_SERIAL)*1000000+16*1000+40))</f>
        <v/>
      </c>
      <c r="FS175" s="121">
        <f>IF(N('Dvd Calendar'!$E$1733)=0,"",IF(('Dvd Calendar'!$E$1733&gt;=GRID_FROM)*('Dvd Calendar'!$E$1733&lt;=GRID_TO)*('Dvd Calendar'!$E$1733&gt;VAL_DATE)=0,"",'Dvd Calendar'!$E$1733*1000000000+ISNUMBER('Dvd Calendar'!$E$1734)*100000000+0*10000000+(N('Dvd Calendar'!$E$1732)&gt;0)*(N('Dvd Calendar'!$E$1732)&lt;=VAL_SERIAL)*1000000+16*1000+41))</f>
        <v/>
      </c>
      <c r="FT175" s="121">
        <f>IF(N('Dvd Calendar'!$F$1733)=0,"",IF(('Dvd Calendar'!$F$1733&gt;=GRID_FROM)*('Dvd Calendar'!$F$1733&lt;=GRID_TO)*('Dvd Calendar'!$F$1733&gt;VAL_DATE)=0,"",'Dvd Calendar'!$F$1733*1000000000+ISNUMBER('Dvd Calendar'!$F$1734)*100000000+0*10000000+(N('Dvd Calendar'!$F$1732)&gt;0)*(N('Dvd Calendar'!$F$1732)&lt;=VAL_SERIAL)*1000000+16*1000+42))</f>
        <v/>
      </c>
      <c r="FU175" s="121">
        <f>IF(N('Dvd Calendar'!$G$1733)=0,"",IF(('Dvd Calendar'!$G$1733&gt;=GRID_FROM)*('Dvd Calendar'!$G$1733&lt;=GRID_TO)*('Dvd Calendar'!$G$1733&gt;VAL_DATE)=0,"",'Dvd Calendar'!$G$1733*1000000000+ISNUMBER('Dvd Calendar'!$G$1734)*100000000+0*10000000+(N('Dvd Calendar'!$G$1732)&gt;0)*(N('Dvd Calendar'!$G$1732)&lt;=VAL_SERIAL)*1000000+16*1000+43))</f>
        <v/>
      </c>
      <c r="FV175" s="121">
        <f>IF(N('Dvd Calendar'!$H$1733)=0,"",IF(('Dvd Calendar'!$H$1733&gt;=GRID_FROM)*('Dvd Calendar'!$H$1733&lt;=GRID_TO)*('Dvd Calendar'!$H$1733&gt;VAL_DATE)=0,"",'Dvd Calendar'!$H$1733*1000000000+ISNUMBER('Dvd Calendar'!$H$1734)*100000000+0*10000000+(N('Dvd Calendar'!$H$1732)&gt;0)*(N('Dvd Calendar'!$H$1732)&lt;=VAL_SERIAL)*1000000+16*1000+44))</f>
        <v/>
      </c>
      <c r="FW175" s="121">
        <f>IF(N('Dvd Calendar'!$I$1733)=0,"",IF(('Dvd Calendar'!$I$1733&gt;=GRID_FROM)*('Dvd Calendar'!$I$1733&lt;=GRID_TO)*('Dvd Calendar'!$I$1733&gt;VAL_DATE)=0,"",'Dvd Calendar'!$I$1733*1000000000+ISNUMBER('Dvd Calendar'!$I$1734)*100000000+0*10000000+(N('Dvd Calendar'!$I$1732)&gt;0)*(N('Dvd Calendar'!$I$1732)&lt;=VAL_SERIAL)*1000000+16*1000+45))</f>
        <v/>
      </c>
      <c r="FX175" s="121">
        <f>IF(N('Dvd Calendar'!$J$1733)=0,"",IF(('Dvd Calendar'!$J$1733&gt;=GRID_FROM)*('Dvd Calendar'!$J$1733&lt;=GRID_TO)*('Dvd Calendar'!$J$1733&gt;VAL_DATE)=0,"",'Dvd Calendar'!$J$1733*1000000000+ISNUMBER('Dvd Calendar'!$J$1734)*100000000+0*10000000+(N('Dvd Calendar'!$J$1732)&gt;0)*(N('Dvd Calendar'!$J$1732)&lt;=VAL_SERIAL)*1000000+16*1000+46))</f>
        <v/>
      </c>
      <c r="FY175" s="121">
        <f>IF(N('Dvd Calendar'!$K$1733)=0,"",IF(('Dvd Calendar'!$K$1733&gt;=GRID_FROM)*('Dvd Calendar'!$K$1733&lt;=GRID_TO)*('Dvd Calendar'!$K$1733&gt;VAL_DATE)=0,"",'Dvd Calendar'!$K$1733*1000000000+ISNUMBER('Dvd Calendar'!$K$1734)*100000000+0*10000000+(N('Dvd Calendar'!$K$1732)&gt;0)*(N('Dvd Calendar'!$K$1732)&lt;=VAL_SERIAL)*1000000+16*1000+47))</f>
        <v/>
      </c>
      <c r="FZ175" s="121">
        <f>IF(N('Dvd Calendar'!$L$1733)=0,"",IF(('Dvd Calendar'!$L$1733&gt;=GRID_FROM)*('Dvd Calendar'!$L$1733&lt;=GRID_TO)*('Dvd Calendar'!$L$1733&gt;VAL_DATE)=0,"",'Dvd Calendar'!$L$1733*1000000000+ISNUMBER('Dvd Calendar'!$L$1734)*100000000+0*10000000+(N('Dvd Calendar'!$L$1732)&gt;0)*(N('Dvd Calendar'!$L$1732)&lt;=VAL_SERIAL)*1000000+16*1000+48))</f>
        <v/>
      </c>
      <c r="GA175" s="121">
        <f>IF(N('Dvd Calendar'!$M$1733)=0,"",IF(('Dvd Calendar'!$M$1733&gt;=GRID_FROM)*('Dvd Calendar'!$M$1733&lt;=GRID_TO)*('Dvd Calendar'!$M$1733&gt;VAL_DATE)=0,"",'Dvd Calendar'!$M$1733*1000000000+ISNUMBER('Dvd Calendar'!$M$1734)*100000000+0*10000000+(N('Dvd Calendar'!$M$1732)&gt;0)*(N('Dvd Calendar'!$M$1732)&lt;=VAL_SERIAL)*1000000+16*1000+49))</f>
        <v/>
      </c>
      <c r="GB175" s="121">
        <f>IF(N('Dvd Calendar'!$N$1733)=0,"",IF(('Dvd Calendar'!$N$1733&gt;=GRID_FROM)*('Dvd Calendar'!$N$1733&lt;=GRID_TO)*('Dvd Calendar'!$N$1733&gt;VAL_DATE)=0,"",'Dvd Calendar'!$N$1733*1000000000+ISNUMBER('Dvd Calendar'!$N$1734)*100000000+0*10000000+(N('Dvd Calendar'!$N$1732)&gt;0)*(N('Dvd Calendar'!$N$1732)&lt;=VAL_SERIAL)*1000000+16*1000+50))</f>
        <v/>
      </c>
      <c r="GC175" s="121">
        <f>IF(N('Dvd Calendar'!$O$1733)=0,"",IF(('Dvd Calendar'!$O$1733&gt;=GRID_FROM)*('Dvd Calendar'!$O$1733&lt;=GRID_TO)*('Dvd Calendar'!$O$1733&gt;VAL_DATE)=0,"",'Dvd Calendar'!$O$1733*1000000000+ISNUMBER('Dvd Calendar'!$O$1734)*100000000+0*10000000+(N('Dvd Calendar'!$O$1732)&gt;0)*(N('Dvd Calendar'!$O$1732)&lt;=VAL_SERIAL)*1000000+16*1000+51))</f>
        <v/>
      </c>
      <c r="GD175" s="121">
        <f>IF(N('Dvd Calendar'!$P$1733)=0,"",IF(('Dvd Calendar'!$P$1733&gt;=GRID_FROM)*('Dvd Calendar'!$P$1733&lt;=GRID_TO)*('Dvd Calendar'!$P$1733&gt;VAL_DATE)=0,"",'Dvd Calendar'!$P$1733*1000000000+ISNUMBER('Dvd Calendar'!$P$1734)*100000000+0*10000000+(N('Dvd Calendar'!$P$1732)&gt;0)*(N('Dvd Calendar'!$P$1732)&lt;=VAL_SERIAL)*1000000+16*1000+52))</f>
        <v/>
      </c>
      <c r="GE175" s="121">
        <f>IF(N('Dvd Calendar'!$Q$1733)=0,"",IF(('Dvd Calendar'!$Q$1733&gt;=GRID_FROM)*('Dvd Calendar'!$Q$1733&lt;=GRID_TO)*('Dvd Calendar'!$Q$1733&gt;VAL_DATE)=0,"",'Dvd Calendar'!$Q$1733*1000000000+ISNUMBER('Dvd Calendar'!$Q$1734)*100000000+0*10000000+(N('Dvd Calendar'!$Q$1732)&gt;0)*(N('Dvd Calendar'!$Q$1732)&lt;=VAL_SERIAL)*1000000+16*1000+53))</f>
        <v/>
      </c>
      <c r="GF175" s="121">
        <f>IF(N('Dvd Calendar'!$R$1733)=0,"",IF(('Dvd Calendar'!$R$1733&gt;=GRID_FROM)*('Dvd Calendar'!$R$1733&lt;=GRID_TO)*('Dvd Calendar'!$R$1733&gt;VAL_DATE)=0,"",'Dvd Calendar'!$R$1733*1000000000+ISNUMBER('Dvd Calendar'!$R$1734)*100000000+0*10000000+(N('Dvd Calendar'!$R$1732)&gt;0)*(N('Dvd Calendar'!$R$1732)&lt;=VAL_SERIAL)*1000000+16*1000+54))</f>
        <v/>
      </c>
      <c r="GG175" s="121">
        <f>IF(N('Dvd Calendar'!$S$1733)=0,"",IF(('Dvd Calendar'!$S$1733&gt;=GRID_FROM)*('Dvd Calendar'!$S$1733&lt;=GRID_TO)*('Dvd Calendar'!$S$1733&gt;VAL_DATE)=0,"",'Dvd Calendar'!$S$1733*1000000000+ISNUMBER('Dvd Calendar'!$S$1734)*100000000+0*10000000+(N('Dvd Calendar'!$S$1732)&gt;0)*(N('Dvd Calendar'!$S$1732)&lt;=VAL_SERIAL)*1000000+16*1000+55))</f>
        <v/>
      </c>
      <c r="GH175" s="121">
        <f>IF(N('Dvd Calendar'!$T$1733)=0,"",IF(('Dvd Calendar'!$T$1733&gt;=GRID_FROM)*('Dvd Calendar'!$T$1733&lt;=GRID_TO)*('Dvd Calendar'!$T$1733&gt;VAL_DATE)=0,"",'Dvd Calendar'!$T$1733*1000000000+ISNUMBER('Dvd Calendar'!$T$1734)*100000000+0*10000000+(N('Dvd Calendar'!$T$1732)&gt;0)*(N('Dvd Calendar'!$T$1732)&lt;=VAL_SERIAL)*1000000+16*1000+56))</f>
        <v/>
      </c>
      <c r="GI175" s="121">
        <f>IF(N('Dvd Calendar'!$U$1733)=0,"",IF(('Dvd Calendar'!$U$1733&gt;=GRID_FROM)*('Dvd Calendar'!$U$1733&lt;=GRID_TO)*('Dvd Calendar'!$U$1733&gt;VAL_DATE)=0,"",'Dvd Calendar'!$U$1733*1000000000+ISNUMBER('Dvd Calendar'!$U$1734)*100000000+0*10000000+(N('Dvd Calendar'!$U$1732)&gt;0)*(N('Dvd Calendar'!$U$1732)&lt;=VAL_SERIAL)*1000000+16*1000+57))</f>
        <v/>
      </c>
      <c r="GJ175" s="121">
        <f>IF(N('Dvd Calendar'!$V$1733)=0,"",IF(('Dvd Calendar'!$V$1733&gt;=GRID_FROM)*('Dvd Calendar'!$V$1733&lt;=GRID_TO)*('Dvd Calendar'!$V$1733&gt;VAL_DATE)=0,"",'Dvd Calendar'!$V$1733*1000000000+ISNUMBER('Dvd Calendar'!$V$1734)*100000000+0*10000000+(N('Dvd Calendar'!$V$1732)&gt;0)*(N('Dvd Calendar'!$V$1732)&lt;=VAL_SERIAL)*1000000+16*1000+58))</f>
        <v/>
      </c>
      <c r="GK175" s="121">
        <f>IF(N('Dvd Calendar'!$W$1733)=0,"",IF(('Dvd Calendar'!$W$1733&gt;=GRID_FROM)*('Dvd Calendar'!$W$1733&lt;=GRID_TO)*('Dvd Calendar'!$W$1733&gt;VAL_DATE)=0,"",'Dvd Calendar'!$W$1733*1000000000+ISNUMBER('Dvd Calendar'!$W$1734)*100000000+0*10000000+(N('Dvd Calendar'!$W$1732)&gt;0)*(N('Dvd Calendar'!$W$1732)&lt;=VAL_SERIAL)*1000000+16*1000+59))</f>
        <v/>
      </c>
      <c r="GL175" s="121">
        <f>IF(N('Dvd Calendar'!$X$1733)=0,"",IF(('Dvd Calendar'!$X$1733&gt;=GRID_FROM)*('Dvd Calendar'!$X$1733&lt;=GRID_TO)*('Dvd Calendar'!$X$1733&gt;VAL_DATE)=0,"",'Dvd Calendar'!$X$1733*1000000000+ISNUMBER('Dvd Calendar'!$X$1734)*100000000+0*10000000+(N('Dvd Calendar'!$X$1732)&gt;0)*(N('Dvd Calendar'!$X$1732)&lt;=VAL_SERIAL)*1000000+16*1000+60))</f>
        <v/>
      </c>
      <c r="GM175" s="121">
        <f>IF(N('Dvd Calendar'!$Y$1733)=0,"",IF(('Dvd Calendar'!$Y$1733&gt;=GRID_FROM)*('Dvd Calendar'!$Y$1733&lt;=GRID_TO)*('Dvd Calendar'!$Y$1733&gt;VAL_DATE)=0,"",'Dvd Calendar'!$Y$1733*1000000000+ISNUMBER('Dvd Calendar'!$Y$1734)*100000000+0*10000000+(N('Dvd Calendar'!$Y$1732)&gt;0)*(N('Dvd Calendar'!$Y$1732)&lt;=VAL_SERIAL)*1000000+16*1000+61))</f>
        <v/>
      </c>
      <c r="GN175" s="121">
        <f>IF(N('Dvd Calendar'!$Z$1733)=0,"",IF(('Dvd Calendar'!$Z$1733&gt;=GRID_FROM)*('Dvd Calendar'!$Z$1733&lt;=GRID_TO)*('Dvd Calendar'!$Z$1733&gt;VAL_DATE)=0,"",'Dvd Calendar'!$Z$1733*1000000000+ISNUMBER('Dvd Calendar'!$Z$1734)*100000000+0*10000000+(N('Dvd Calendar'!$Z$1732)&gt;0)*(N('Dvd Calendar'!$Z$1732)&lt;=VAL_SERIAL)*1000000+16*1000+62))</f>
        <v/>
      </c>
      <c r="GO175" s="121">
        <f>IF(N('Dvd Calendar'!$AA$1733)=0,"",IF(('Dvd Calendar'!$AA$1733&gt;=GRID_FROM)*('Dvd Calendar'!$AA$1733&lt;=GRID_TO)*('Dvd Calendar'!$AA$1733&gt;VAL_DATE)=0,"",'Dvd Calendar'!$AA$1733*1000000000+ISNUMBER('Dvd Calendar'!$AA$1734)*100000000+0*10000000+(N('Dvd Calendar'!$AA$1732)&gt;0)*(N('Dvd Calendar'!$AA$1732)&lt;=VAL_SERIAL)*1000000+16*1000+63))</f>
        <v/>
      </c>
      <c r="GP175" s="121">
        <f>IF(N('Dvd Calendar'!$AB$1733)=0,"",IF(('Dvd Calendar'!$AB$1733&gt;=GRID_FROM)*('Dvd Calendar'!$AB$1733&lt;=GRID_TO)*('Dvd Calendar'!$AB$1733&gt;VAL_DATE)=0,"",'Dvd Calendar'!$AB$1733*1000000000+ISNUMBER('Dvd Calendar'!$AB$1734)*100000000+0*10000000+(N('Dvd Calendar'!$AB$1732)&gt;0)*(N('Dvd Calendar'!$AB$1732)&lt;=VAL_SERIAL)*1000000+16*1000+64))</f>
        <v/>
      </c>
      <c r="GQ175" s="121">
        <f>IF(N('Dvd Calendar'!$AC$1733)=0,"",IF(('Dvd Calendar'!$AC$1733&gt;=GRID_FROM)*('Dvd Calendar'!$AC$1733&lt;=GRID_TO)*('Dvd Calendar'!$AC$1733&gt;VAL_DATE)=0,"",'Dvd Calendar'!$AC$1733*1000000000+ISNUMBER('Dvd Calendar'!$AC$1734)*100000000+0*10000000+(N('Dvd Calendar'!$AC$1732)&gt;0)*(N('Dvd Calendar'!$AC$1732)&lt;=VAL_SERIAL)*1000000+16*1000+65))</f>
        <v/>
      </c>
    </row>
    <row r="176">
      <c r="B176" s="2">
        <f>IF(HSCEI!$C$23="","",HSCEI!$C$23)</f>
        <v/>
      </c>
      <c r="C176" s="161">
        <f>IF(EE176="","",IF(ISNUMBER('Dvd Calendar'!$E$1740)=FALSE,"",IF((('Dvd Calendar'!$E$1742=TYPE1)*(TYPE1&lt;&gt;"")+('Dvd Calendar'!$E$1742=TYPE2)*(TYPE2&lt;&gt;"")+('Dvd Calendar'!$E$1742=TYPE3)*(TYPE3&lt;&gt;"")+('Dvd Calendar'!$E$1742=TYPE4)*(TYPE4&lt;&gt;"")+('Dvd Calendar'!$E$1742=SPECIAL_LBL)*(INC_SPECIALS="Y"))=0,"",'Dvd Calendar'!$E$1740)))</f>
        <v/>
      </c>
      <c r="D176" s="161">
        <f>IF(EF176="","",IF(ISNUMBER('Dvd Calendar'!$F$1740)=FALSE,"",IF((('Dvd Calendar'!$F$1742=TYPE1)*(TYPE1&lt;&gt;"")+('Dvd Calendar'!$F$1742=TYPE2)*(TYPE2&lt;&gt;"")+('Dvd Calendar'!$F$1742=TYPE3)*(TYPE3&lt;&gt;"")+('Dvd Calendar'!$F$1742=TYPE4)*(TYPE4&lt;&gt;"")+('Dvd Calendar'!$F$1742=SPECIAL_LBL)*(INC_SPECIALS="Y"))=0,"",'Dvd Calendar'!$F$1740)))</f>
        <v/>
      </c>
      <c r="E176" s="161">
        <f>IF(EG176="","",IF(ISNUMBER('Dvd Calendar'!$G$1740)=FALSE,"",IF((('Dvd Calendar'!$G$1742=TYPE1)*(TYPE1&lt;&gt;"")+('Dvd Calendar'!$G$1742=TYPE2)*(TYPE2&lt;&gt;"")+('Dvd Calendar'!$G$1742=TYPE3)*(TYPE3&lt;&gt;"")+('Dvd Calendar'!$G$1742=TYPE4)*(TYPE4&lt;&gt;"")+('Dvd Calendar'!$G$1742=SPECIAL_LBL)*(INC_SPECIALS="Y"))=0,"",'Dvd Calendar'!$G$1740)))</f>
        <v/>
      </c>
      <c r="F176" s="161">
        <f>IF(EH176="","",IF(ISNUMBER('Dvd Calendar'!$H$1740)=FALSE,"",IF((('Dvd Calendar'!$H$1742=TYPE1)*(TYPE1&lt;&gt;"")+('Dvd Calendar'!$H$1742=TYPE2)*(TYPE2&lt;&gt;"")+('Dvd Calendar'!$H$1742=TYPE3)*(TYPE3&lt;&gt;"")+('Dvd Calendar'!$H$1742=TYPE4)*(TYPE4&lt;&gt;"")+('Dvd Calendar'!$H$1742=SPECIAL_LBL)*(INC_SPECIALS="Y"))=0,"",'Dvd Calendar'!$H$1740)))</f>
        <v/>
      </c>
      <c r="G176" s="161">
        <f>IF(EI176="","",IF(ISNUMBER('Dvd Calendar'!$I$1740)=FALSE,"",IF((('Dvd Calendar'!$I$1742=TYPE1)*(TYPE1&lt;&gt;"")+('Dvd Calendar'!$I$1742=TYPE2)*(TYPE2&lt;&gt;"")+('Dvd Calendar'!$I$1742=TYPE3)*(TYPE3&lt;&gt;"")+('Dvd Calendar'!$I$1742=TYPE4)*(TYPE4&lt;&gt;"")+('Dvd Calendar'!$I$1742=SPECIAL_LBL)*(INC_SPECIALS="Y"))=0,"",'Dvd Calendar'!$I$1740)))</f>
        <v/>
      </c>
      <c r="H176" s="161">
        <f>IF(EJ176="","",IF(ISNUMBER('Dvd Calendar'!$J$1740)=FALSE,"",IF((('Dvd Calendar'!$J$1742=TYPE1)*(TYPE1&lt;&gt;"")+('Dvd Calendar'!$J$1742=TYPE2)*(TYPE2&lt;&gt;"")+('Dvd Calendar'!$J$1742=TYPE3)*(TYPE3&lt;&gt;"")+('Dvd Calendar'!$J$1742=TYPE4)*(TYPE4&lt;&gt;"")+('Dvd Calendar'!$J$1742=SPECIAL_LBL)*(INC_SPECIALS="Y"))=0,"",'Dvd Calendar'!$J$1740)))</f>
        <v/>
      </c>
      <c r="I176" s="161">
        <f>IF(EK176="","",IF(ISNUMBER('Dvd Calendar'!$K$1740)=FALSE,"",IF((('Dvd Calendar'!$K$1742=TYPE1)*(TYPE1&lt;&gt;"")+('Dvd Calendar'!$K$1742=TYPE2)*(TYPE2&lt;&gt;"")+('Dvd Calendar'!$K$1742=TYPE3)*(TYPE3&lt;&gt;"")+('Dvd Calendar'!$K$1742=TYPE4)*(TYPE4&lt;&gt;"")+('Dvd Calendar'!$K$1742=SPECIAL_LBL)*(INC_SPECIALS="Y"))=0,"",'Dvd Calendar'!$K$1740)))</f>
        <v/>
      </c>
      <c r="J176" s="161">
        <f>IF(EL176="","",IF(ISNUMBER('Dvd Calendar'!$L$1740)=FALSE,"",IF((('Dvd Calendar'!$L$1742=TYPE1)*(TYPE1&lt;&gt;"")+('Dvd Calendar'!$L$1742=TYPE2)*(TYPE2&lt;&gt;"")+('Dvd Calendar'!$L$1742=TYPE3)*(TYPE3&lt;&gt;"")+('Dvd Calendar'!$L$1742=TYPE4)*(TYPE4&lt;&gt;"")+('Dvd Calendar'!$L$1742=SPECIAL_LBL)*(INC_SPECIALS="Y"))=0,"",'Dvd Calendar'!$L$1740)))</f>
        <v/>
      </c>
      <c r="K176" s="161">
        <f>IF(EM176="","",IF(ISNUMBER('Dvd Calendar'!$M$1740)=FALSE,"",IF((('Dvd Calendar'!$M$1742=TYPE1)*(TYPE1&lt;&gt;"")+('Dvd Calendar'!$M$1742=TYPE2)*(TYPE2&lt;&gt;"")+('Dvd Calendar'!$M$1742=TYPE3)*(TYPE3&lt;&gt;"")+('Dvd Calendar'!$M$1742=TYPE4)*(TYPE4&lt;&gt;"")+('Dvd Calendar'!$M$1742=SPECIAL_LBL)*(INC_SPECIALS="Y"))=0,"",'Dvd Calendar'!$M$1740)))</f>
        <v/>
      </c>
      <c r="L176" s="161">
        <f>IF(EN176="","",IF(ISNUMBER('Dvd Calendar'!$N$1740)=FALSE,"",IF((('Dvd Calendar'!$N$1742=TYPE1)*(TYPE1&lt;&gt;"")+('Dvd Calendar'!$N$1742=TYPE2)*(TYPE2&lt;&gt;"")+('Dvd Calendar'!$N$1742=TYPE3)*(TYPE3&lt;&gt;"")+('Dvd Calendar'!$N$1742=TYPE4)*(TYPE4&lt;&gt;"")+('Dvd Calendar'!$N$1742=SPECIAL_LBL)*(INC_SPECIALS="Y"))=0,"",'Dvd Calendar'!$N$1740)))</f>
        <v/>
      </c>
      <c r="M176" s="161">
        <f>IF(EO176="","",IF(ISNUMBER('Dvd Calendar'!$O$1740)=FALSE,"",IF((('Dvd Calendar'!$O$1742=TYPE1)*(TYPE1&lt;&gt;"")+('Dvd Calendar'!$O$1742=TYPE2)*(TYPE2&lt;&gt;"")+('Dvd Calendar'!$O$1742=TYPE3)*(TYPE3&lt;&gt;"")+('Dvd Calendar'!$O$1742=TYPE4)*(TYPE4&lt;&gt;"")+('Dvd Calendar'!$O$1742=SPECIAL_LBL)*(INC_SPECIALS="Y"))=0,"",'Dvd Calendar'!$O$1740)))</f>
        <v/>
      </c>
      <c r="N176" s="161">
        <f>IF(EP176="","",IF(ISNUMBER('Dvd Calendar'!$P$1740)=FALSE,"",IF((('Dvd Calendar'!$P$1742=TYPE1)*(TYPE1&lt;&gt;"")+('Dvd Calendar'!$P$1742=TYPE2)*(TYPE2&lt;&gt;"")+('Dvd Calendar'!$P$1742=TYPE3)*(TYPE3&lt;&gt;"")+('Dvd Calendar'!$P$1742=TYPE4)*(TYPE4&lt;&gt;"")+('Dvd Calendar'!$P$1742=SPECIAL_LBL)*(INC_SPECIALS="Y"))=0,"",'Dvd Calendar'!$P$1740)))</f>
        <v/>
      </c>
      <c r="O176" s="161">
        <f>IF(EQ176="","",IF(ISNUMBER('Dvd Calendar'!$Q$1740)=FALSE,"",IF((('Dvd Calendar'!$Q$1742=TYPE1)*(TYPE1&lt;&gt;"")+('Dvd Calendar'!$Q$1742=TYPE2)*(TYPE2&lt;&gt;"")+('Dvd Calendar'!$Q$1742=TYPE3)*(TYPE3&lt;&gt;"")+('Dvd Calendar'!$Q$1742=TYPE4)*(TYPE4&lt;&gt;"")+('Dvd Calendar'!$Q$1742=SPECIAL_LBL)*(INC_SPECIALS="Y"))=0,"",'Dvd Calendar'!$Q$1740)))</f>
        <v/>
      </c>
      <c r="P176" s="161">
        <f>IF(ER176="","",IF(ISNUMBER('Dvd Calendar'!$R$1740)=FALSE,"",IF((('Dvd Calendar'!$R$1742=TYPE1)*(TYPE1&lt;&gt;"")+('Dvd Calendar'!$R$1742=TYPE2)*(TYPE2&lt;&gt;"")+('Dvd Calendar'!$R$1742=TYPE3)*(TYPE3&lt;&gt;"")+('Dvd Calendar'!$R$1742=TYPE4)*(TYPE4&lt;&gt;"")+('Dvd Calendar'!$R$1742=SPECIAL_LBL)*(INC_SPECIALS="Y"))=0,"",'Dvd Calendar'!$R$1740)))</f>
        <v/>
      </c>
      <c r="Q176" s="161">
        <f>IF(ES176="","",IF(ISNUMBER('Dvd Calendar'!$S$1740)=FALSE,"",IF((('Dvd Calendar'!$S$1742=TYPE1)*(TYPE1&lt;&gt;"")+('Dvd Calendar'!$S$1742=TYPE2)*(TYPE2&lt;&gt;"")+('Dvd Calendar'!$S$1742=TYPE3)*(TYPE3&lt;&gt;"")+('Dvd Calendar'!$S$1742=TYPE4)*(TYPE4&lt;&gt;"")+('Dvd Calendar'!$S$1742=SPECIAL_LBL)*(INC_SPECIALS="Y"))=0,"",'Dvd Calendar'!$S$1740)))</f>
        <v/>
      </c>
      <c r="R176" s="161">
        <f>IF(ET176="","",IF(ISNUMBER('Dvd Calendar'!$T$1740)=FALSE,"",IF((('Dvd Calendar'!$T$1742=TYPE1)*(TYPE1&lt;&gt;"")+('Dvd Calendar'!$T$1742=TYPE2)*(TYPE2&lt;&gt;"")+('Dvd Calendar'!$T$1742=TYPE3)*(TYPE3&lt;&gt;"")+('Dvd Calendar'!$T$1742=TYPE4)*(TYPE4&lt;&gt;"")+('Dvd Calendar'!$T$1742=SPECIAL_LBL)*(INC_SPECIALS="Y"))=0,"",'Dvd Calendar'!$T$1740)))</f>
        <v/>
      </c>
      <c r="S176" s="161">
        <f>IF(EU176="","",IF(ISNUMBER('Dvd Calendar'!$U$1740)=FALSE,"",IF((('Dvd Calendar'!$U$1742=TYPE1)*(TYPE1&lt;&gt;"")+('Dvd Calendar'!$U$1742=TYPE2)*(TYPE2&lt;&gt;"")+('Dvd Calendar'!$U$1742=TYPE3)*(TYPE3&lt;&gt;"")+('Dvd Calendar'!$U$1742=TYPE4)*(TYPE4&lt;&gt;"")+('Dvd Calendar'!$U$1742=SPECIAL_LBL)*(INC_SPECIALS="Y"))=0,"",'Dvd Calendar'!$U$1740)))</f>
        <v/>
      </c>
      <c r="T176" s="161">
        <f>IF(EV176="","",IF(ISNUMBER('Dvd Calendar'!$V$1740)=FALSE,"",IF((('Dvd Calendar'!$V$1742=TYPE1)*(TYPE1&lt;&gt;"")+('Dvd Calendar'!$V$1742=TYPE2)*(TYPE2&lt;&gt;"")+('Dvd Calendar'!$V$1742=TYPE3)*(TYPE3&lt;&gt;"")+('Dvd Calendar'!$V$1742=TYPE4)*(TYPE4&lt;&gt;"")+('Dvd Calendar'!$V$1742=SPECIAL_LBL)*(INC_SPECIALS="Y"))=0,"",'Dvd Calendar'!$V$1740)))</f>
        <v/>
      </c>
      <c r="U176" s="161">
        <f>IF(EW176="","",IF(ISNUMBER('Dvd Calendar'!$W$1740)=FALSE,"",IF((('Dvd Calendar'!$W$1742=TYPE1)*(TYPE1&lt;&gt;"")+('Dvd Calendar'!$W$1742=TYPE2)*(TYPE2&lt;&gt;"")+('Dvd Calendar'!$W$1742=TYPE3)*(TYPE3&lt;&gt;"")+('Dvd Calendar'!$W$1742=TYPE4)*(TYPE4&lt;&gt;"")+('Dvd Calendar'!$W$1742=SPECIAL_LBL)*(INC_SPECIALS="Y"))=0,"",'Dvd Calendar'!$W$1740)))</f>
        <v/>
      </c>
      <c r="V176" s="161">
        <f>IF(EX176="","",IF(ISNUMBER('Dvd Calendar'!$X$1740)=FALSE,"",IF((('Dvd Calendar'!$X$1742=TYPE1)*(TYPE1&lt;&gt;"")+('Dvd Calendar'!$X$1742=TYPE2)*(TYPE2&lt;&gt;"")+('Dvd Calendar'!$X$1742=TYPE3)*(TYPE3&lt;&gt;"")+('Dvd Calendar'!$X$1742=TYPE4)*(TYPE4&lt;&gt;"")+('Dvd Calendar'!$X$1742=SPECIAL_LBL)*(INC_SPECIALS="Y"))=0,"",'Dvd Calendar'!$X$1740)))</f>
        <v/>
      </c>
      <c r="W176" s="161">
        <f>IF(EY176="","",IF(ISNUMBER('Dvd Calendar'!$Y$1740)=FALSE,"",IF((('Dvd Calendar'!$Y$1742=TYPE1)*(TYPE1&lt;&gt;"")+('Dvd Calendar'!$Y$1742=TYPE2)*(TYPE2&lt;&gt;"")+('Dvd Calendar'!$Y$1742=TYPE3)*(TYPE3&lt;&gt;"")+('Dvd Calendar'!$Y$1742=TYPE4)*(TYPE4&lt;&gt;"")+('Dvd Calendar'!$Y$1742=SPECIAL_LBL)*(INC_SPECIALS="Y"))=0,"",'Dvd Calendar'!$Y$1740)))</f>
        <v/>
      </c>
      <c r="X176" s="161">
        <f>IF(EZ176="","",IF(ISNUMBER('Dvd Calendar'!$Z$1740)=FALSE,"",IF((('Dvd Calendar'!$Z$1742=TYPE1)*(TYPE1&lt;&gt;"")+('Dvd Calendar'!$Z$1742=TYPE2)*(TYPE2&lt;&gt;"")+('Dvd Calendar'!$Z$1742=TYPE3)*(TYPE3&lt;&gt;"")+('Dvd Calendar'!$Z$1742=TYPE4)*(TYPE4&lt;&gt;"")+('Dvd Calendar'!$Z$1742=SPECIAL_LBL)*(INC_SPECIALS="Y"))=0,"",'Dvd Calendar'!$Z$1740)))</f>
        <v/>
      </c>
      <c r="Y176" s="161">
        <f>IF(FA176="","",IF(ISNUMBER('Dvd Calendar'!$AA$1740)=FALSE,"",IF((('Dvd Calendar'!$AA$1742=TYPE1)*(TYPE1&lt;&gt;"")+('Dvd Calendar'!$AA$1742=TYPE2)*(TYPE2&lt;&gt;"")+('Dvd Calendar'!$AA$1742=TYPE3)*(TYPE3&lt;&gt;"")+('Dvd Calendar'!$AA$1742=TYPE4)*(TYPE4&lt;&gt;"")+('Dvd Calendar'!$AA$1742=SPECIAL_LBL)*(INC_SPECIALS="Y"))=0,"",'Dvd Calendar'!$AA$1740)))</f>
        <v/>
      </c>
      <c r="Z176" s="161">
        <f>IF(FB176="","",IF(ISNUMBER('Dvd Calendar'!$AB$1740)=FALSE,"",IF((('Dvd Calendar'!$AB$1742=TYPE1)*(TYPE1&lt;&gt;"")+('Dvd Calendar'!$AB$1742=TYPE2)*(TYPE2&lt;&gt;"")+('Dvd Calendar'!$AB$1742=TYPE3)*(TYPE3&lt;&gt;"")+('Dvd Calendar'!$AB$1742=TYPE4)*(TYPE4&lt;&gt;"")+('Dvd Calendar'!$AB$1742=SPECIAL_LBL)*(INC_SPECIALS="Y"))=0,"",'Dvd Calendar'!$AB$1740)))</f>
        <v/>
      </c>
      <c r="AA176" s="161">
        <f>IF(FC176="","",IF(ISNUMBER('Dvd Calendar'!$AC$1740)=FALSE,"",IF((('Dvd Calendar'!$AC$1742=TYPE1)*(TYPE1&lt;&gt;"")+('Dvd Calendar'!$AC$1742=TYPE2)*(TYPE2&lt;&gt;"")+('Dvd Calendar'!$AC$1742=TYPE3)*(TYPE3&lt;&gt;"")+('Dvd Calendar'!$AC$1742=TYPE4)*(TYPE4&lt;&gt;"")+('Dvd Calendar'!$AC$1742=SPECIAL_LBL)*(INC_SPECIALS="Y"))=0,"",'Dvd Calendar'!$AC$1740)))</f>
        <v/>
      </c>
      <c r="AB176" s="161">
        <f>IF(FD176="","",IF(ISNUMBER('Dvd Calendar'!$AD$1740)=FALSE,"",IF((('Dvd Calendar'!$AD$1742=TYPE1)*(TYPE1&lt;&gt;"")+('Dvd Calendar'!$AD$1742=TYPE2)*(TYPE2&lt;&gt;"")+('Dvd Calendar'!$AD$1742=TYPE3)*(TYPE3&lt;&gt;"")+('Dvd Calendar'!$AD$1742=TYPE4)*(TYPE4&lt;&gt;"")+('Dvd Calendar'!$AD$1742=SPECIAL_LBL)*(INC_SPECIALS="Y"))=0,"",'Dvd Calendar'!$AD$1740)))</f>
        <v/>
      </c>
      <c r="AC176" s="161">
        <f>IF(FE176="","",IF(ISNUMBER('Dvd Calendar'!$AE$1740)=FALSE,"",IF((('Dvd Calendar'!$AE$1742=TYPE1)*(TYPE1&lt;&gt;"")+('Dvd Calendar'!$AE$1742=TYPE2)*(TYPE2&lt;&gt;"")+('Dvd Calendar'!$AE$1742=TYPE3)*(TYPE3&lt;&gt;"")+('Dvd Calendar'!$AE$1742=TYPE4)*(TYPE4&lt;&gt;"")+('Dvd Calendar'!$AE$1742=SPECIAL_LBL)*(INC_SPECIALS="Y"))=0,"",'Dvd Calendar'!$AE$1740)))</f>
        <v/>
      </c>
      <c r="AD176" s="161">
        <f>IF(FF176="","",IF(ISNUMBER('Dvd Calendar'!$AF$1740)=FALSE,"",IF((('Dvd Calendar'!$AF$1742=TYPE1)*(TYPE1&lt;&gt;"")+('Dvd Calendar'!$AF$1742=TYPE2)*(TYPE2&lt;&gt;"")+('Dvd Calendar'!$AF$1742=TYPE3)*(TYPE3&lt;&gt;"")+('Dvd Calendar'!$AF$1742=TYPE4)*(TYPE4&lt;&gt;"")+('Dvd Calendar'!$AF$1742=SPECIAL_LBL)*(INC_SPECIALS="Y"))=0,"",'Dvd Calendar'!$AF$1740)))</f>
        <v/>
      </c>
      <c r="AE176" s="161">
        <f>IF(FG176="","",IF(ISNUMBER('Dvd Calendar'!$AG$1740)=FALSE,"",IF((('Dvd Calendar'!$AG$1742=TYPE1)*(TYPE1&lt;&gt;"")+('Dvd Calendar'!$AG$1742=TYPE2)*(TYPE2&lt;&gt;"")+('Dvd Calendar'!$AG$1742=TYPE3)*(TYPE3&lt;&gt;"")+('Dvd Calendar'!$AG$1742=TYPE4)*(TYPE4&lt;&gt;"")+('Dvd Calendar'!$AG$1742=SPECIAL_LBL)*(INC_SPECIALS="Y"))=0,"",'Dvd Calendar'!$AG$1740)))</f>
        <v/>
      </c>
      <c r="AF176" s="161">
        <f>IF(FH176="","",IF(ISNUMBER('Dvd Calendar'!$AH$1740)=FALSE,"",IF((('Dvd Calendar'!$AH$1742=TYPE1)*(TYPE1&lt;&gt;"")+('Dvd Calendar'!$AH$1742=TYPE2)*(TYPE2&lt;&gt;"")+('Dvd Calendar'!$AH$1742=TYPE3)*(TYPE3&lt;&gt;"")+('Dvd Calendar'!$AH$1742=TYPE4)*(TYPE4&lt;&gt;"")+('Dvd Calendar'!$AH$1742=SPECIAL_LBL)*(INC_SPECIALS="Y"))=0,"",'Dvd Calendar'!$AH$1740)))</f>
        <v/>
      </c>
      <c r="AG176" s="161">
        <f>IF(FI176="","",IF(ISNUMBER('Dvd Calendar'!$AI$1740)=FALSE,"",IF((('Dvd Calendar'!$AI$1742=TYPE1)*(TYPE1&lt;&gt;"")+('Dvd Calendar'!$AI$1742=TYPE2)*(TYPE2&lt;&gt;"")+('Dvd Calendar'!$AI$1742=TYPE3)*(TYPE3&lt;&gt;"")+('Dvd Calendar'!$AI$1742=TYPE4)*(TYPE4&lt;&gt;"")+('Dvd Calendar'!$AI$1742=SPECIAL_LBL)*(INC_SPECIALS="Y"))=0,"",'Dvd Calendar'!$AI$1740)))</f>
        <v/>
      </c>
      <c r="AH176" s="161">
        <f>IF(FJ176="","",IF(ISNUMBER('Dvd Calendar'!$AJ$1740)=FALSE,"",IF((('Dvd Calendar'!$AJ$1742=TYPE1)*(TYPE1&lt;&gt;"")+('Dvd Calendar'!$AJ$1742=TYPE2)*(TYPE2&lt;&gt;"")+('Dvd Calendar'!$AJ$1742=TYPE3)*(TYPE3&lt;&gt;"")+('Dvd Calendar'!$AJ$1742=TYPE4)*(TYPE4&lt;&gt;"")+('Dvd Calendar'!$AJ$1742=SPECIAL_LBL)*(INC_SPECIALS="Y"))=0,"",'Dvd Calendar'!$AJ$1740)))</f>
        <v/>
      </c>
      <c r="AI176" s="161">
        <f>IF(FK176="","",IF(ISNUMBER('Dvd Calendar'!$AK$1740)=FALSE,"",IF((('Dvd Calendar'!$AK$1742=TYPE1)*(TYPE1&lt;&gt;"")+('Dvd Calendar'!$AK$1742=TYPE2)*(TYPE2&lt;&gt;"")+('Dvd Calendar'!$AK$1742=TYPE3)*(TYPE3&lt;&gt;"")+('Dvd Calendar'!$AK$1742=TYPE4)*(TYPE4&lt;&gt;"")+('Dvd Calendar'!$AK$1742=SPECIAL_LBL)*(INC_SPECIALS="Y"))=0,"",'Dvd Calendar'!$AK$1740)))</f>
        <v/>
      </c>
      <c r="AJ176" s="161">
        <f>IF(FL176="","",IF(ISNUMBER('Dvd Calendar'!$AL$1740)=FALSE,"",IF((('Dvd Calendar'!$AL$1742=TYPE1)*(TYPE1&lt;&gt;"")+('Dvd Calendar'!$AL$1742=TYPE2)*(TYPE2&lt;&gt;"")+('Dvd Calendar'!$AL$1742=TYPE3)*(TYPE3&lt;&gt;"")+('Dvd Calendar'!$AL$1742=TYPE4)*(TYPE4&lt;&gt;"")+('Dvd Calendar'!$AL$1742=SPECIAL_LBL)*(INC_SPECIALS="Y"))=0,"",'Dvd Calendar'!$AL$1740)))</f>
        <v/>
      </c>
      <c r="AK176" s="161">
        <f>IF(FM176="","",IF(ISNUMBER('Dvd Calendar'!$AM$1740)=FALSE,"",IF((('Dvd Calendar'!$AM$1742=TYPE1)*(TYPE1&lt;&gt;"")+('Dvd Calendar'!$AM$1742=TYPE2)*(TYPE2&lt;&gt;"")+('Dvd Calendar'!$AM$1742=TYPE3)*(TYPE3&lt;&gt;"")+('Dvd Calendar'!$AM$1742=TYPE4)*(TYPE4&lt;&gt;"")+('Dvd Calendar'!$AM$1742=SPECIAL_LBL)*(INC_SPECIALS="Y"))=0,"",'Dvd Calendar'!$AM$1740)))</f>
        <v/>
      </c>
      <c r="AL176" s="161">
        <f>IF(FN176="","",IF(ISNUMBER('Dvd Calendar'!$AN$1740)=FALSE,"",IF((('Dvd Calendar'!$AN$1742=TYPE1)*(TYPE1&lt;&gt;"")+('Dvd Calendar'!$AN$1742=TYPE2)*(TYPE2&lt;&gt;"")+('Dvd Calendar'!$AN$1742=TYPE3)*(TYPE3&lt;&gt;"")+('Dvd Calendar'!$AN$1742=TYPE4)*(TYPE4&lt;&gt;"")+('Dvd Calendar'!$AN$1742=SPECIAL_LBL)*(INC_SPECIALS="Y"))=0,"",'Dvd Calendar'!$AN$1740)))</f>
        <v/>
      </c>
      <c r="AM176" s="161">
        <f>IF(FO176="","",IF(ISNUMBER('Dvd Calendar'!$AO$1740)=FALSE,"",IF((('Dvd Calendar'!$AO$1742=TYPE1)*(TYPE1&lt;&gt;"")+('Dvd Calendar'!$AO$1742=TYPE2)*(TYPE2&lt;&gt;"")+('Dvd Calendar'!$AO$1742=TYPE3)*(TYPE3&lt;&gt;"")+('Dvd Calendar'!$AO$1742=TYPE4)*(TYPE4&lt;&gt;"")+('Dvd Calendar'!$AO$1742=SPECIAL_LBL)*(INC_SPECIALS="Y"))=0,"",'Dvd Calendar'!$AO$1740)))</f>
        <v/>
      </c>
      <c r="AN176" s="161">
        <f>IF(FP176="","",IF(ISNUMBER('Dvd Calendar'!$AP$1740)=FALSE,"",IF((('Dvd Calendar'!$AP$1742=TYPE1)*(TYPE1&lt;&gt;"")+('Dvd Calendar'!$AP$1742=TYPE2)*(TYPE2&lt;&gt;"")+('Dvd Calendar'!$AP$1742=TYPE3)*(TYPE3&lt;&gt;"")+('Dvd Calendar'!$AP$1742=TYPE4)*(TYPE4&lt;&gt;"")+('Dvd Calendar'!$AP$1742=SPECIAL_LBL)*(INC_SPECIALS="Y"))=0,"",'Dvd Calendar'!$AP$1740)))</f>
        <v/>
      </c>
      <c r="AO176" s="161">
        <f>IF(FQ176="","",IF(ISNUMBER('Dvd Calendar'!$AQ$1740)=FALSE,"",IF((('Dvd Calendar'!$AQ$1742=TYPE1)*(TYPE1&lt;&gt;"")+('Dvd Calendar'!$AQ$1742=TYPE2)*(TYPE2&lt;&gt;"")+('Dvd Calendar'!$AQ$1742=TYPE3)*(TYPE3&lt;&gt;"")+('Dvd Calendar'!$AQ$1742=TYPE4)*(TYPE4&lt;&gt;"")+('Dvd Calendar'!$AQ$1742=SPECIAL_LBL)*(INC_SPECIALS="Y"))=0,"",'Dvd Calendar'!$AQ$1740)))</f>
        <v/>
      </c>
      <c r="AP176" s="161">
        <f>IF(FR176="","",IF(ISNUMBER('Dvd Calendar'!$AR$1740)=FALSE,"",IF((('Dvd Calendar'!$AR$1742=TYPE1)*(TYPE1&lt;&gt;"")+('Dvd Calendar'!$AR$1742=TYPE2)*(TYPE2&lt;&gt;"")+('Dvd Calendar'!$AR$1742=TYPE3)*(TYPE3&lt;&gt;"")+('Dvd Calendar'!$AR$1742=TYPE4)*(TYPE4&lt;&gt;"")+('Dvd Calendar'!$AR$1742=SPECIAL_LBL)*(INC_SPECIALS="Y"))=0,"",'Dvd Calendar'!$AR$1740)))</f>
        <v/>
      </c>
      <c r="AQ176" s="161">
        <f>IF(FS176="","",IF(ISNUMBER('Dvd Calendar'!$E$1745)=FALSE,"",'Dvd Calendar'!$E$1745))</f>
        <v/>
      </c>
      <c r="AR176" s="161">
        <f>IF(FT176="","",IF(ISNUMBER('Dvd Calendar'!$F$1745)=FALSE,"",'Dvd Calendar'!$F$1745))</f>
        <v/>
      </c>
      <c r="AS176" s="161">
        <f>IF(FU176="","",IF(ISNUMBER('Dvd Calendar'!$G$1745)=FALSE,"",'Dvd Calendar'!$G$1745))</f>
        <v/>
      </c>
      <c r="AT176" s="161">
        <f>IF(FV176="","",IF(ISNUMBER('Dvd Calendar'!$H$1745)=FALSE,"",'Dvd Calendar'!$H$1745))</f>
        <v/>
      </c>
      <c r="AU176" s="161">
        <f>IF(FW176="","",IF(ISNUMBER('Dvd Calendar'!$I$1745)=FALSE,"",'Dvd Calendar'!$I$1745))</f>
        <v/>
      </c>
      <c r="AV176" s="161">
        <f>IF(FX176="","",IF(ISNUMBER('Dvd Calendar'!$J$1745)=FALSE,"",'Dvd Calendar'!$J$1745))</f>
        <v/>
      </c>
      <c r="AW176" s="161">
        <f>IF(FY176="","",IF(ISNUMBER('Dvd Calendar'!$K$1745)=FALSE,"",'Dvd Calendar'!$K$1745))</f>
        <v/>
      </c>
      <c r="AX176" s="161">
        <f>IF(FZ176="","",IF(ISNUMBER('Dvd Calendar'!$L$1745)=FALSE,"",'Dvd Calendar'!$L$1745))</f>
        <v/>
      </c>
      <c r="AY176" s="161">
        <f>IF(GA176="","",IF(ISNUMBER('Dvd Calendar'!$M$1745)=FALSE,"",'Dvd Calendar'!$M$1745))</f>
        <v/>
      </c>
      <c r="AZ176" s="161">
        <f>IF(GB176="","",IF(ISNUMBER('Dvd Calendar'!$N$1745)=FALSE,"",'Dvd Calendar'!$N$1745))</f>
        <v/>
      </c>
      <c r="BA176" s="161">
        <f>IF(GC176="","",IF(ISNUMBER('Dvd Calendar'!$O$1745)=FALSE,"",'Dvd Calendar'!$O$1745))</f>
        <v/>
      </c>
      <c r="BB176" s="161">
        <f>IF(GD176="","",IF(ISNUMBER('Dvd Calendar'!$P$1745)=FALSE,"",'Dvd Calendar'!$P$1745))</f>
        <v/>
      </c>
      <c r="BC176" s="161">
        <f>IF(GE176="","",IF(ISNUMBER('Dvd Calendar'!$Q$1745)=FALSE,"",'Dvd Calendar'!$Q$1745))</f>
        <v/>
      </c>
      <c r="BD176" s="161">
        <f>IF(GF176="","",IF(ISNUMBER('Dvd Calendar'!$R$1745)=FALSE,"",'Dvd Calendar'!$R$1745))</f>
        <v/>
      </c>
      <c r="BE176" s="161">
        <f>IF(GG176="","",IF(ISNUMBER('Dvd Calendar'!$S$1745)=FALSE,"",'Dvd Calendar'!$S$1745))</f>
        <v/>
      </c>
      <c r="BF176" s="161">
        <f>IF(GH176="","",IF(ISNUMBER('Dvd Calendar'!$T$1745)=FALSE,"",'Dvd Calendar'!$T$1745))</f>
        <v/>
      </c>
      <c r="BG176" s="161">
        <f>IF(GI176="","",IF(ISNUMBER('Dvd Calendar'!$U$1745)=FALSE,"",'Dvd Calendar'!$U$1745))</f>
        <v/>
      </c>
      <c r="BH176" s="161">
        <f>IF(GJ176="","",IF(ISNUMBER('Dvd Calendar'!$V$1745)=FALSE,"",'Dvd Calendar'!$V$1745))</f>
        <v/>
      </c>
      <c r="BI176" s="161">
        <f>IF(GK176="","",IF(ISNUMBER('Dvd Calendar'!$W$1745)=FALSE,"",'Dvd Calendar'!$W$1745))</f>
        <v/>
      </c>
      <c r="BJ176" s="161">
        <f>IF(GL176="","",IF(ISNUMBER('Dvd Calendar'!$X$1745)=FALSE,"",'Dvd Calendar'!$X$1745))</f>
        <v/>
      </c>
      <c r="BK176" s="161">
        <f>IF(GM176="","",IF(ISNUMBER('Dvd Calendar'!$Y$1745)=FALSE,"",'Dvd Calendar'!$Y$1745))</f>
        <v/>
      </c>
      <c r="BL176" s="161">
        <f>IF(GN176="","",IF(ISNUMBER('Dvd Calendar'!$Z$1745)=FALSE,"",'Dvd Calendar'!$Z$1745))</f>
        <v/>
      </c>
      <c r="BM176" s="161">
        <f>IF(GO176="","",IF(ISNUMBER('Dvd Calendar'!$AA$1745)=FALSE,"",'Dvd Calendar'!$AA$1745))</f>
        <v/>
      </c>
      <c r="BN176" s="161">
        <f>IF(GP176="","",IF(ISNUMBER('Dvd Calendar'!$AB$1745)=FALSE,"",'Dvd Calendar'!$AB$1745))</f>
        <v/>
      </c>
      <c r="BO176" s="161">
        <f>IF(GQ176="","",IF(ISNUMBER('Dvd Calendar'!$AC$1745)=FALSE,"",'Dvd Calendar'!$AC$1745))</f>
        <v/>
      </c>
      <c r="BQ176" s="161">
        <f>IF(C176="","",IFERROR(C176*HSCEI!$B$23*HSCEI!$G$23/HSCEI!$B$3,""))</f>
        <v/>
      </c>
      <c r="BR176" s="161">
        <f>IF(D176="","",IFERROR(D176*HSCEI!$B$23*HSCEI!$G$23/HSCEI!$B$3,""))</f>
        <v/>
      </c>
      <c r="BS176" s="161">
        <f>IF(E176="","",IFERROR(E176*HSCEI!$B$23*HSCEI!$G$23/HSCEI!$B$3,""))</f>
        <v/>
      </c>
      <c r="BT176" s="161">
        <f>IF(F176="","",IFERROR(F176*HSCEI!$B$23*HSCEI!$G$23/HSCEI!$B$3,""))</f>
        <v/>
      </c>
      <c r="BU176" s="161">
        <f>IF(G176="","",IFERROR(G176*HSCEI!$B$23*HSCEI!$G$23/HSCEI!$B$3,""))</f>
        <v/>
      </c>
      <c r="BV176" s="161">
        <f>IF(H176="","",IFERROR(H176*HSCEI!$B$23*HSCEI!$G$23/HSCEI!$B$3,""))</f>
        <v/>
      </c>
      <c r="BW176" s="161">
        <f>IF(I176="","",IFERROR(I176*HSCEI!$B$23*HSCEI!$G$23/HSCEI!$B$3,""))</f>
        <v/>
      </c>
      <c r="BX176" s="161">
        <f>IF(J176="","",IFERROR(J176*HSCEI!$B$23*HSCEI!$G$23/HSCEI!$B$3,""))</f>
        <v/>
      </c>
      <c r="BY176" s="161">
        <f>IF(K176="","",IFERROR(K176*HSCEI!$B$23*HSCEI!$G$23/HSCEI!$B$3,""))</f>
        <v/>
      </c>
      <c r="BZ176" s="161">
        <f>IF(L176="","",IFERROR(L176*HSCEI!$B$23*HSCEI!$G$23/HSCEI!$B$3,""))</f>
        <v/>
      </c>
      <c r="CA176" s="161">
        <f>IF(M176="","",IFERROR(M176*HSCEI!$B$23*HSCEI!$G$23/HSCEI!$B$3,""))</f>
        <v/>
      </c>
      <c r="CB176" s="161">
        <f>IF(N176="","",IFERROR(N176*HSCEI!$B$23*HSCEI!$G$23/HSCEI!$B$3,""))</f>
        <v/>
      </c>
      <c r="CC176" s="161">
        <f>IF(O176="","",IFERROR(O176*HSCEI!$B$23*HSCEI!$G$23/HSCEI!$B$3,""))</f>
        <v/>
      </c>
      <c r="CD176" s="161">
        <f>IF(P176="","",IFERROR(P176*HSCEI!$B$23*HSCEI!$G$23/HSCEI!$B$3,""))</f>
        <v/>
      </c>
      <c r="CE176" s="161">
        <f>IF(Q176="","",IFERROR(Q176*HSCEI!$B$23*HSCEI!$G$23/HSCEI!$B$3,""))</f>
        <v/>
      </c>
      <c r="CF176" s="161">
        <f>IF(R176="","",IFERROR(R176*HSCEI!$B$23*HSCEI!$G$23/HSCEI!$B$3,""))</f>
        <v/>
      </c>
      <c r="CG176" s="161">
        <f>IF(S176="","",IFERROR(S176*HSCEI!$B$23*HSCEI!$G$23/HSCEI!$B$3,""))</f>
        <v/>
      </c>
      <c r="CH176" s="161">
        <f>IF(T176="","",IFERROR(T176*HSCEI!$B$23*HSCEI!$G$23/HSCEI!$B$3,""))</f>
        <v/>
      </c>
      <c r="CI176" s="161">
        <f>IF(U176="","",IFERROR(U176*HSCEI!$B$23*HSCEI!$G$23/HSCEI!$B$3,""))</f>
        <v/>
      </c>
      <c r="CJ176" s="161">
        <f>IF(V176="","",IFERROR(V176*HSCEI!$B$23*HSCEI!$G$23/HSCEI!$B$3,""))</f>
        <v/>
      </c>
      <c r="CK176" s="161">
        <f>IF(W176="","",IFERROR(W176*HSCEI!$B$23*HSCEI!$G$23/HSCEI!$B$3,""))</f>
        <v/>
      </c>
      <c r="CL176" s="161">
        <f>IF(X176="","",IFERROR(X176*HSCEI!$B$23*HSCEI!$G$23/HSCEI!$B$3,""))</f>
        <v/>
      </c>
      <c r="CM176" s="161">
        <f>IF(Y176="","",IFERROR(Y176*HSCEI!$B$23*HSCEI!$G$23/HSCEI!$B$3,""))</f>
        <v/>
      </c>
      <c r="CN176" s="161">
        <f>IF(Z176="","",IFERROR(Z176*HSCEI!$B$23*HSCEI!$G$23/HSCEI!$B$3,""))</f>
        <v/>
      </c>
      <c r="CO176" s="161">
        <f>IF(AA176="","",IFERROR(AA176*HSCEI!$B$23*HSCEI!$G$23/HSCEI!$B$3,""))</f>
        <v/>
      </c>
      <c r="CP176" s="161">
        <f>IF(AB176="","",IFERROR(AB176*HSCEI!$B$23*HSCEI!$G$23/HSCEI!$B$3,""))</f>
        <v/>
      </c>
      <c r="CQ176" s="161">
        <f>IF(AC176="","",IFERROR(AC176*HSCEI!$B$23*HSCEI!$G$23/HSCEI!$B$3,""))</f>
        <v/>
      </c>
      <c r="CR176" s="161">
        <f>IF(AD176="","",IFERROR(AD176*HSCEI!$B$23*HSCEI!$G$23/HSCEI!$B$3,""))</f>
        <v/>
      </c>
      <c r="CS176" s="161">
        <f>IF(AE176="","",IFERROR(AE176*HSCEI!$B$23*HSCEI!$G$23/HSCEI!$B$3,""))</f>
        <v/>
      </c>
      <c r="CT176" s="161">
        <f>IF(AF176="","",IFERROR(AF176*HSCEI!$B$23*HSCEI!$G$23/HSCEI!$B$3,""))</f>
        <v/>
      </c>
      <c r="CU176" s="161">
        <f>IF(AG176="","",IFERROR(AG176*HSCEI!$B$23*HSCEI!$G$23/HSCEI!$B$3,""))</f>
        <v/>
      </c>
      <c r="CV176" s="161">
        <f>IF(AH176="","",IFERROR(AH176*HSCEI!$B$23*HSCEI!$G$23/HSCEI!$B$3,""))</f>
        <v/>
      </c>
      <c r="CW176" s="161">
        <f>IF(AI176="","",IFERROR(AI176*HSCEI!$B$23*HSCEI!$G$23/HSCEI!$B$3,""))</f>
        <v/>
      </c>
      <c r="CX176" s="161">
        <f>IF(AJ176="","",IFERROR(AJ176*HSCEI!$B$23*HSCEI!$G$23/HSCEI!$B$3,""))</f>
        <v/>
      </c>
      <c r="CY176" s="161">
        <f>IF(AK176="","",IFERROR(AK176*HSCEI!$B$23*HSCEI!$G$23/HSCEI!$B$3,""))</f>
        <v/>
      </c>
      <c r="CZ176" s="161">
        <f>IF(AL176="","",IFERROR(AL176*HSCEI!$B$23*HSCEI!$G$23/HSCEI!$B$3,""))</f>
        <v/>
      </c>
      <c r="DA176" s="161">
        <f>IF(AM176="","",IFERROR(AM176*HSCEI!$B$23*HSCEI!$G$23/HSCEI!$B$3,""))</f>
        <v/>
      </c>
      <c r="DB176" s="161">
        <f>IF(AN176="","",IFERROR(AN176*HSCEI!$B$23*HSCEI!$G$23/HSCEI!$B$3,""))</f>
        <v/>
      </c>
      <c r="DC176" s="161">
        <f>IF(AO176="","",IFERROR(AO176*HSCEI!$B$23*HSCEI!$G$23/HSCEI!$B$3,""))</f>
        <v/>
      </c>
      <c r="DD176" s="161">
        <f>IF(AP176="","",IFERROR(AP176*HSCEI!$B$23*HSCEI!$G$23/HSCEI!$B$3,""))</f>
        <v/>
      </c>
      <c r="DE176" s="161">
        <f>IF(AQ176="","",IFERROR(AQ176*HSCEI!$B$23*HSCEI!$G$23/HSCEI!$B$3,""))</f>
        <v/>
      </c>
      <c r="DF176" s="161">
        <f>IF(AR176="","",IFERROR(AR176*HSCEI!$B$23*HSCEI!$G$23/HSCEI!$B$3,""))</f>
        <v/>
      </c>
      <c r="DG176" s="161">
        <f>IF(AS176="","",IFERROR(AS176*HSCEI!$B$23*HSCEI!$G$23/HSCEI!$B$3,""))</f>
        <v/>
      </c>
      <c r="DH176" s="161">
        <f>IF(AT176="","",IFERROR(AT176*HSCEI!$B$23*HSCEI!$G$23/HSCEI!$B$3,""))</f>
        <v/>
      </c>
      <c r="DI176" s="161">
        <f>IF(AU176="","",IFERROR(AU176*HSCEI!$B$23*HSCEI!$G$23/HSCEI!$B$3,""))</f>
        <v/>
      </c>
      <c r="DJ176" s="161">
        <f>IF(AV176="","",IFERROR(AV176*HSCEI!$B$23*HSCEI!$G$23/HSCEI!$B$3,""))</f>
        <v/>
      </c>
      <c r="DK176" s="161">
        <f>IF(AW176="","",IFERROR(AW176*HSCEI!$B$23*HSCEI!$G$23/HSCEI!$B$3,""))</f>
        <v/>
      </c>
      <c r="DL176" s="161">
        <f>IF(AX176="","",IFERROR(AX176*HSCEI!$B$23*HSCEI!$G$23/HSCEI!$B$3,""))</f>
        <v/>
      </c>
      <c r="DM176" s="161">
        <f>IF(AY176="","",IFERROR(AY176*HSCEI!$B$23*HSCEI!$G$23/HSCEI!$B$3,""))</f>
        <v/>
      </c>
      <c r="DN176" s="161">
        <f>IF(AZ176="","",IFERROR(AZ176*HSCEI!$B$23*HSCEI!$G$23/HSCEI!$B$3,""))</f>
        <v/>
      </c>
      <c r="DO176" s="161">
        <f>IF(BA176="","",IFERROR(BA176*HSCEI!$B$23*HSCEI!$G$23/HSCEI!$B$3,""))</f>
        <v/>
      </c>
      <c r="DP176" s="161">
        <f>IF(BB176="","",IFERROR(BB176*HSCEI!$B$23*HSCEI!$G$23/HSCEI!$B$3,""))</f>
        <v/>
      </c>
      <c r="DQ176" s="161">
        <f>IF(BC176="","",IFERROR(BC176*HSCEI!$B$23*HSCEI!$G$23/HSCEI!$B$3,""))</f>
        <v/>
      </c>
      <c r="DR176" s="161">
        <f>IF(BD176="","",IFERROR(BD176*HSCEI!$B$23*HSCEI!$G$23/HSCEI!$B$3,""))</f>
        <v/>
      </c>
      <c r="DS176" s="161">
        <f>IF(BE176="","",IFERROR(BE176*HSCEI!$B$23*HSCEI!$G$23/HSCEI!$B$3,""))</f>
        <v/>
      </c>
      <c r="DT176" s="161">
        <f>IF(BF176="","",IFERROR(BF176*HSCEI!$B$23*HSCEI!$G$23/HSCEI!$B$3,""))</f>
        <v/>
      </c>
      <c r="DU176" s="161">
        <f>IF(BG176="","",IFERROR(BG176*HSCEI!$B$23*HSCEI!$G$23/HSCEI!$B$3,""))</f>
        <v/>
      </c>
      <c r="DV176" s="161">
        <f>IF(BH176="","",IFERROR(BH176*HSCEI!$B$23*HSCEI!$G$23/HSCEI!$B$3,""))</f>
        <v/>
      </c>
      <c r="DW176" s="161">
        <f>IF(BI176="","",IFERROR(BI176*HSCEI!$B$23*HSCEI!$G$23/HSCEI!$B$3,""))</f>
        <v/>
      </c>
      <c r="DX176" s="161">
        <f>IF(BJ176="","",IFERROR(BJ176*HSCEI!$B$23*HSCEI!$G$23/HSCEI!$B$3,""))</f>
        <v/>
      </c>
      <c r="DY176" s="161">
        <f>IF(BK176="","",IFERROR(BK176*HSCEI!$B$23*HSCEI!$G$23/HSCEI!$B$3,""))</f>
        <v/>
      </c>
      <c r="DZ176" s="161">
        <f>IF(BL176="","",IFERROR(BL176*HSCEI!$B$23*HSCEI!$G$23/HSCEI!$B$3,""))</f>
        <v/>
      </c>
      <c r="EA176" s="161">
        <f>IF(BM176="","",IFERROR(BM176*HSCEI!$B$23*HSCEI!$G$23/HSCEI!$B$3,""))</f>
        <v/>
      </c>
      <c r="EB176" s="161">
        <f>IF(BN176="","",IFERROR(BN176*HSCEI!$B$23*HSCEI!$G$23/HSCEI!$B$3,""))</f>
        <v/>
      </c>
      <c r="EC176" s="161">
        <f>IF(BO176="","",IFERROR(BO176*HSCEI!$B$23*HSCEI!$G$23/HSCEI!$B$3,""))</f>
        <v/>
      </c>
      <c r="EE176" s="121">
        <f>IF(N('Dvd Calendar'!$E$1737)=0,"",IF(('Dvd Calendar'!$E$1737&gt;=GRID_FROM)*('Dvd Calendar'!$E$1737&lt;=GRID_TO)*((('Dvd Calendar'!$E$1737&lt;=VAL_DATE)+(COUNTIF('Dvd Calendar'!$E$1744:$AR$1744,'Dvd Calendar'!$E$1737)=0))&gt;0)=0,"",'Dvd Calendar'!$E$1737*1000000000+ISNUMBER('Dvd Calendar'!$E$1740)*100000000+('Dvd Calendar'!$E$1742=SPECIAL_LBL)*10000000+(N('Dvd Calendar'!$E$1736)&gt;0)*(N('Dvd Calendar'!$E$1736)&lt;=VAL_SERIAL)*1000000+17*1000+1))</f>
        <v/>
      </c>
      <c r="EF176" s="121">
        <f>IF(N('Dvd Calendar'!$F$1737)=0,"",IF(('Dvd Calendar'!$F$1737&gt;=GRID_FROM)*('Dvd Calendar'!$F$1737&lt;=GRID_TO)*((('Dvd Calendar'!$F$1737&lt;=VAL_DATE)+(COUNTIF('Dvd Calendar'!$E$1744:$AR$1744,'Dvd Calendar'!$F$1737)=0))&gt;0)=0,"",'Dvd Calendar'!$F$1737*1000000000+ISNUMBER('Dvd Calendar'!$F$1740)*100000000+('Dvd Calendar'!$F$1742=SPECIAL_LBL)*10000000+(N('Dvd Calendar'!$F$1736)&gt;0)*(N('Dvd Calendar'!$F$1736)&lt;=VAL_SERIAL)*1000000+17*1000+2))</f>
        <v/>
      </c>
      <c r="EG176" s="121">
        <f>IF(N('Dvd Calendar'!$G$1737)=0,"",IF(('Dvd Calendar'!$G$1737&gt;=GRID_FROM)*('Dvd Calendar'!$G$1737&lt;=GRID_TO)*((('Dvd Calendar'!$G$1737&lt;=VAL_DATE)+(COUNTIF('Dvd Calendar'!$E$1744:$AR$1744,'Dvd Calendar'!$G$1737)=0))&gt;0)=0,"",'Dvd Calendar'!$G$1737*1000000000+ISNUMBER('Dvd Calendar'!$G$1740)*100000000+('Dvd Calendar'!$G$1742=SPECIAL_LBL)*10000000+(N('Dvd Calendar'!$G$1736)&gt;0)*(N('Dvd Calendar'!$G$1736)&lt;=VAL_SERIAL)*1000000+17*1000+3))</f>
        <v/>
      </c>
      <c r="EH176" s="121">
        <f>IF(N('Dvd Calendar'!$H$1737)=0,"",IF(('Dvd Calendar'!$H$1737&gt;=GRID_FROM)*('Dvd Calendar'!$H$1737&lt;=GRID_TO)*((('Dvd Calendar'!$H$1737&lt;=VAL_DATE)+(COUNTIF('Dvd Calendar'!$E$1744:$AR$1744,'Dvd Calendar'!$H$1737)=0))&gt;0)=0,"",'Dvd Calendar'!$H$1737*1000000000+ISNUMBER('Dvd Calendar'!$H$1740)*100000000+('Dvd Calendar'!$H$1742=SPECIAL_LBL)*10000000+(N('Dvd Calendar'!$H$1736)&gt;0)*(N('Dvd Calendar'!$H$1736)&lt;=VAL_SERIAL)*1000000+17*1000+4))</f>
        <v/>
      </c>
      <c r="EI176" s="121">
        <f>IF(N('Dvd Calendar'!$I$1737)=0,"",IF(('Dvd Calendar'!$I$1737&gt;=GRID_FROM)*('Dvd Calendar'!$I$1737&lt;=GRID_TO)*((('Dvd Calendar'!$I$1737&lt;=VAL_DATE)+(COUNTIF('Dvd Calendar'!$E$1744:$AR$1744,'Dvd Calendar'!$I$1737)=0))&gt;0)=0,"",'Dvd Calendar'!$I$1737*1000000000+ISNUMBER('Dvd Calendar'!$I$1740)*100000000+('Dvd Calendar'!$I$1742=SPECIAL_LBL)*10000000+(N('Dvd Calendar'!$I$1736)&gt;0)*(N('Dvd Calendar'!$I$1736)&lt;=VAL_SERIAL)*1000000+17*1000+5))</f>
        <v/>
      </c>
      <c r="EJ176" s="121">
        <f>IF(N('Dvd Calendar'!$J$1737)=0,"",IF(('Dvd Calendar'!$J$1737&gt;=GRID_FROM)*('Dvd Calendar'!$J$1737&lt;=GRID_TO)*((('Dvd Calendar'!$J$1737&lt;=VAL_DATE)+(COUNTIF('Dvd Calendar'!$E$1744:$AR$1744,'Dvd Calendar'!$J$1737)=0))&gt;0)=0,"",'Dvd Calendar'!$J$1737*1000000000+ISNUMBER('Dvd Calendar'!$J$1740)*100000000+('Dvd Calendar'!$J$1742=SPECIAL_LBL)*10000000+(N('Dvd Calendar'!$J$1736)&gt;0)*(N('Dvd Calendar'!$J$1736)&lt;=VAL_SERIAL)*1000000+17*1000+6))</f>
        <v/>
      </c>
      <c r="EK176" s="121">
        <f>IF(N('Dvd Calendar'!$K$1737)=0,"",IF(('Dvd Calendar'!$K$1737&gt;=GRID_FROM)*('Dvd Calendar'!$K$1737&lt;=GRID_TO)*((('Dvd Calendar'!$K$1737&lt;=VAL_DATE)+(COUNTIF('Dvd Calendar'!$E$1744:$AR$1744,'Dvd Calendar'!$K$1737)=0))&gt;0)=0,"",'Dvd Calendar'!$K$1737*1000000000+ISNUMBER('Dvd Calendar'!$K$1740)*100000000+('Dvd Calendar'!$K$1742=SPECIAL_LBL)*10000000+(N('Dvd Calendar'!$K$1736)&gt;0)*(N('Dvd Calendar'!$K$1736)&lt;=VAL_SERIAL)*1000000+17*1000+7))</f>
        <v/>
      </c>
      <c r="EL176" s="121">
        <f>IF(N('Dvd Calendar'!$L$1737)=0,"",IF(('Dvd Calendar'!$L$1737&gt;=GRID_FROM)*('Dvd Calendar'!$L$1737&lt;=GRID_TO)*((('Dvd Calendar'!$L$1737&lt;=VAL_DATE)+(COUNTIF('Dvd Calendar'!$E$1744:$AR$1744,'Dvd Calendar'!$L$1737)=0))&gt;0)=0,"",'Dvd Calendar'!$L$1737*1000000000+ISNUMBER('Dvd Calendar'!$L$1740)*100000000+('Dvd Calendar'!$L$1742=SPECIAL_LBL)*10000000+(N('Dvd Calendar'!$L$1736)&gt;0)*(N('Dvd Calendar'!$L$1736)&lt;=VAL_SERIAL)*1000000+17*1000+8))</f>
        <v/>
      </c>
      <c r="EM176" s="121">
        <f>IF(N('Dvd Calendar'!$M$1737)=0,"",IF(('Dvd Calendar'!$M$1737&gt;=GRID_FROM)*('Dvd Calendar'!$M$1737&lt;=GRID_TO)*((('Dvd Calendar'!$M$1737&lt;=VAL_DATE)+(COUNTIF('Dvd Calendar'!$E$1744:$AR$1744,'Dvd Calendar'!$M$1737)=0))&gt;0)=0,"",'Dvd Calendar'!$M$1737*1000000000+ISNUMBER('Dvd Calendar'!$M$1740)*100000000+('Dvd Calendar'!$M$1742=SPECIAL_LBL)*10000000+(N('Dvd Calendar'!$M$1736)&gt;0)*(N('Dvd Calendar'!$M$1736)&lt;=VAL_SERIAL)*1000000+17*1000+9))</f>
        <v/>
      </c>
      <c r="EN176" s="121">
        <f>IF(N('Dvd Calendar'!$N$1737)=0,"",IF(('Dvd Calendar'!$N$1737&gt;=GRID_FROM)*('Dvd Calendar'!$N$1737&lt;=GRID_TO)*((('Dvd Calendar'!$N$1737&lt;=VAL_DATE)+(COUNTIF('Dvd Calendar'!$E$1744:$AR$1744,'Dvd Calendar'!$N$1737)=0))&gt;0)=0,"",'Dvd Calendar'!$N$1737*1000000000+ISNUMBER('Dvd Calendar'!$N$1740)*100000000+('Dvd Calendar'!$N$1742=SPECIAL_LBL)*10000000+(N('Dvd Calendar'!$N$1736)&gt;0)*(N('Dvd Calendar'!$N$1736)&lt;=VAL_SERIAL)*1000000+17*1000+10))</f>
        <v/>
      </c>
      <c r="EO176" s="121">
        <f>IF(N('Dvd Calendar'!$O$1737)=0,"",IF(('Dvd Calendar'!$O$1737&gt;=GRID_FROM)*('Dvd Calendar'!$O$1737&lt;=GRID_TO)*((('Dvd Calendar'!$O$1737&lt;=VAL_DATE)+(COUNTIF('Dvd Calendar'!$E$1744:$AR$1744,'Dvd Calendar'!$O$1737)=0))&gt;0)=0,"",'Dvd Calendar'!$O$1737*1000000000+ISNUMBER('Dvd Calendar'!$O$1740)*100000000+('Dvd Calendar'!$O$1742=SPECIAL_LBL)*10000000+(N('Dvd Calendar'!$O$1736)&gt;0)*(N('Dvd Calendar'!$O$1736)&lt;=VAL_SERIAL)*1000000+17*1000+11))</f>
        <v/>
      </c>
      <c r="EP176" s="121">
        <f>IF(N('Dvd Calendar'!$P$1737)=0,"",IF(('Dvd Calendar'!$P$1737&gt;=GRID_FROM)*('Dvd Calendar'!$P$1737&lt;=GRID_TO)*((('Dvd Calendar'!$P$1737&lt;=VAL_DATE)+(COUNTIF('Dvd Calendar'!$E$1744:$AR$1744,'Dvd Calendar'!$P$1737)=0))&gt;0)=0,"",'Dvd Calendar'!$P$1737*1000000000+ISNUMBER('Dvd Calendar'!$P$1740)*100000000+('Dvd Calendar'!$P$1742=SPECIAL_LBL)*10000000+(N('Dvd Calendar'!$P$1736)&gt;0)*(N('Dvd Calendar'!$P$1736)&lt;=VAL_SERIAL)*1000000+17*1000+12))</f>
        <v/>
      </c>
      <c r="EQ176" s="121">
        <f>IF(N('Dvd Calendar'!$Q$1737)=0,"",IF(('Dvd Calendar'!$Q$1737&gt;=GRID_FROM)*('Dvd Calendar'!$Q$1737&lt;=GRID_TO)*((('Dvd Calendar'!$Q$1737&lt;=VAL_DATE)+(COUNTIF('Dvd Calendar'!$E$1744:$AR$1744,'Dvd Calendar'!$Q$1737)=0))&gt;0)=0,"",'Dvd Calendar'!$Q$1737*1000000000+ISNUMBER('Dvd Calendar'!$Q$1740)*100000000+('Dvd Calendar'!$Q$1742=SPECIAL_LBL)*10000000+(N('Dvd Calendar'!$Q$1736)&gt;0)*(N('Dvd Calendar'!$Q$1736)&lt;=VAL_SERIAL)*1000000+17*1000+13))</f>
        <v/>
      </c>
      <c r="ER176" s="121">
        <f>IF(N('Dvd Calendar'!$R$1737)=0,"",IF(('Dvd Calendar'!$R$1737&gt;=GRID_FROM)*('Dvd Calendar'!$R$1737&lt;=GRID_TO)*((('Dvd Calendar'!$R$1737&lt;=VAL_DATE)+(COUNTIF('Dvd Calendar'!$E$1744:$AR$1744,'Dvd Calendar'!$R$1737)=0))&gt;0)=0,"",'Dvd Calendar'!$R$1737*1000000000+ISNUMBER('Dvd Calendar'!$R$1740)*100000000+('Dvd Calendar'!$R$1742=SPECIAL_LBL)*10000000+(N('Dvd Calendar'!$R$1736)&gt;0)*(N('Dvd Calendar'!$R$1736)&lt;=VAL_SERIAL)*1000000+17*1000+14))</f>
        <v/>
      </c>
      <c r="ES176" s="121">
        <f>IF(N('Dvd Calendar'!$S$1737)=0,"",IF(('Dvd Calendar'!$S$1737&gt;=GRID_FROM)*('Dvd Calendar'!$S$1737&lt;=GRID_TO)*((('Dvd Calendar'!$S$1737&lt;=VAL_DATE)+(COUNTIF('Dvd Calendar'!$E$1744:$AR$1744,'Dvd Calendar'!$S$1737)=0))&gt;0)=0,"",'Dvd Calendar'!$S$1737*1000000000+ISNUMBER('Dvd Calendar'!$S$1740)*100000000+('Dvd Calendar'!$S$1742=SPECIAL_LBL)*10000000+(N('Dvd Calendar'!$S$1736)&gt;0)*(N('Dvd Calendar'!$S$1736)&lt;=VAL_SERIAL)*1000000+17*1000+15))</f>
        <v/>
      </c>
      <c r="ET176" s="121">
        <f>IF(N('Dvd Calendar'!$T$1737)=0,"",IF(('Dvd Calendar'!$T$1737&gt;=GRID_FROM)*('Dvd Calendar'!$T$1737&lt;=GRID_TO)*((('Dvd Calendar'!$T$1737&lt;=VAL_DATE)+(COUNTIF('Dvd Calendar'!$E$1744:$AR$1744,'Dvd Calendar'!$T$1737)=0))&gt;0)=0,"",'Dvd Calendar'!$T$1737*1000000000+ISNUMBER('Dvd Calendar'!$T$1740)*100000000+('Dvd Calendar'!$T$1742=SPECIAL_LBL)*10000000+(N('Dvd Calendar'!$T$1736)&gt;0)*(N('Dvd Calendar'!$T$1736)&lt;=VAL_SERIAL)*1000000+17*1000+16))</f>
        <v/>
      </c>
      <c r="EU176" s="121">
        <f>IF(N('Dvd Calendar'!$U$1737)=0,"",IF(('Dvd Calendar'!$U$1737&gt;=GRID_FROM)*('Dvd Calendar'!$U$1737&lt;=GRID_TO)*((('Dvd Calendar'!$U$1737&lt;=VAL_DATE)+(COUNTIF('Dvd Calendar'!$E$1744:$AR$1744,'Dvd Calendar'!$U$1737)=0))&gt;0)=0,"",'Dvd Calendar'!$U$1737*1000000000+ISNUMBER('Dvd Calendar'!$U$1740)*100000000+('Dvd Calendar'!$U$1742=SPECIAL_LBL)*10000000+(N('Dvd Calendar'!$U$1736)&gt;0)*(N('Dvd Calendar'!$U$1736)&lt;=VAL_SERIAL)*1000000+17*1000+17))</f>
        <v/>
      </c>
      <c r="EV176" s="121">
        <f>IF(N('Dvd Calendar'!$V$1737)=0,"",IF(('Dvd Calendar'!$V$1737&gt;=GRID_FROM)*('Dvd Calendar'!$V$1737&lt;=GRID_TO)*((('Dvd Calendar'!$V$1737&lt;=VAL_DATE)+(COUNTIF('Dvd Calendar'!$E$1744:$AR$1744,'Dvd Calendar'!$V$1737)=0))&gt;0)=0,"",'Dvd Calendar'!$V$1737*1000000000+ISNUMBER('Dvd Calendar'!$V$1740)*100000000+('Dvd Calendar'!$V$1742=SPECIAL_LBL)*10000000+(N('Dvd Calendar'!$V$1736)&gt;0)*(N('Dvd Calendar'!$V$1736)&lt;=VAL_SERIAL)*1000000+17*1000+18))</f>
        <v/>
      </c>
      <c r="EW176" s="121">
        <f>IF(N('Dvd Calendar'!$W$1737)=0,"",IF(('Dvd Calendar'!$W$1737&gt;=GRID_FROM)*('Dvd Calendar'!$W$1737&lt;=GRID_TO)*((('Dvd Calendar'!$W$1737&lt;=VAL_DATE)+(COUNTIF('Dvd Calendar'!$E$1744:$AR$1744,'Dvd Calendar'!$W$1737)=0))&gt;0)=0,"",'Dvd Calendar'!$W$1737*1000000000+ISNUMBER('Dvd Calendar'!$W$1740)*100000000+('Dvd Calendar'!$W$1742=SPECIAL_LBL)*10000000+(N('Dvd Calendar'!$W$1736)&gt;0)*(N('Dvd Calendar'!$W$1736)&lt;=VAL_SERIAL)*1000000+17*1000+19))</f>
        <v/>
      </c>
      <c r="EX176" s="121">
        <f>IF(N('Dvd Calendar'!$X$1737)=0,"",IF(('Dvd Calendar'!$X$1737&gt;=GRID_FROM)*('Dvd Calendar'!$X$1737&lt;=GRID_TO)*((('Dvd Calendar'!$X$1737&lt;=VAL_DATE)+(COUNTIF('Dvd Calendar'!$E$1744:$AR$1744,'Dvd Calendar'!$X$1737)=0))&gt;0)=0,"",'Dvd Calendar'!$X$1737*1000000000+ISNUMBER('Dvd Calendar'!$X$1740)*100000000+('Dvd Calendar'!$X$1742=SPECIAL_LBL)*10000000+(N('Dvd Calendar'!$X$1736)&gt;0)*(N('Dvd Calendar'!$X$1736)&lt;=VAL_SERIAL)*1000000+17*1000+20))</f>
        <v/>
      </c>
      <c r="EY176" s="121">
        <f>IF(N('Dvd Calendar'!$Y$1737)=0,"",IF(('Dvd Calendar'!$Y$1737&gt;=GRID_FROM)*('Dvd Calendar'!$Y$1737&lt;=GRID_TO)*((('Dvd Calendar'!$Y$1737&lt;=VAL_DATE)+(COUNTIF('Dvd Calendar'!$E$1744:$AR$1744,'Dvd Calendar'!$Y$1737)=0))&gt;0)=0,"",'Dvd Calendar'!$Y$1737*1000000000+ISNUMBER('Dvd Calendar'!$Y$1740)*100000000+('Dvd Calendar'!$Y$1742=SPECIAL_LBL)*10000000+(N('Dvd Calendar'!$Y$1736)&gt;0)*(N('Dvd Calendar'!$Y$1736)&lt;=VAL_SERIAL)*1000000+17*1000+21))</f>
        <v/>
      </c>
      <c r="EZ176" s="121">
        <f>IF(N('Dvd Calendar'!$Z$1737)=0,"",IF(('Dvd Calendar'!$Z$1737&gt;=GRID_FROM)*('Dvd Calendar'!$Z$1737&lt;=GRID_TO)*((('Dvd Calendar'!$Z$1737&lt;=VAL_DATE)+(COUNTIF('Dvd Calendar'!$E$1744:$AR$1744,'Dvd Calendar'!$Z$1737)=0))&gt;0)=0,"",'Dvd Calendar'!$Z$1737*1000000000+ISNUMBER('Dvd Calendar'!$Z$1740)*100000000+('Dvd Calendar'!$Z$1742=SPECIAL_LBL)*10000000+(N('Dvd Calendar'!$Z$1736)&gt;0)*(N('Dvd Calendar'!$Z$1736)&lt;=VAL_SERIAL)*1000000+17*1000+22))</f>
        <v/>
      </c>
      <c r="FA176" s="121">
        <f>IF(N('Dvd Calendar'!$AA$1737)=0,"",IF(('Dvd Calendar'!$AA$1737&gt;=GRID_FROM)*('Dvd Calendar'!$AA$1737&lt;=GRID_TO)*((('Dvd Calendar'!$AA$1737&lt;=VAL_DATE)+(COUNTIF('Dvd Calendar'!$E$1744:$AR$1744,'Dvd Calendar'!$AA$1737)=0))&gt;0)=0,"",'Dvd Calendar'!$AA$1737*1000000000+ISNUMBER('Dvd Calendar'!$AA$1740)*100000000+('Dvd Calendar'!$AA$1742=SPECIAL_LBL)*10000000+(N('Dvd Calendar'!$AA$1736)&gt;0)*(N('Dvd Calendar'!$AA$1736)&lt;=VAL_SERIAL)*1000000+17*1000+23))</f>
        <v/>
      </c>
      <c r="FB176" s="121">
        <f>IF(N('Dvd Calendar'!$AB$1737)=0,"",IF(('Dvd Calendar'!$AB$1737&gt;=GRID_FROM)*('Dvd Calendar'!$AB$1737&lt;=GRID_TO)*((('Dvd Calendar'!$AB$1737&lt;=VAL_DATE)+(COUNTIF('Dvd Calendar'!$E$1744:$AR$1744,'Dvd Calendar'!$AB$1737)=0))&gt;0)=0,"",'Dvd Calendar'!$AB$1737*1000000000+ISNUMBER('Dvd Calendar'!$AB$1740)*100000000+('Dvd Calendar'!$AB$1742=SPECIAL_LBL)*10000000+(N('Dvd Calendar'!$AB$1736)&gt;0)*(N('Dvd Calendar'!$AB$1736)&lt;=VAL_SERIAL)*1000000+17*1000+24))</f>
        <v/>
      </c>
      <c r="FC176" s="121">
        <f>IF(N('Dvd Calendar'!$AC$1737)=0,"",IF(('Dvd Calendar'!$AC$1737&gt;=GRID_FROM)*('Dvd Calendar'!$AC$1737&lt;=GRID_TO)*((('Dvd Calendar'!$AC$1737&lt;=VAL_DATE)+(COUNTIF('Dvd Calendar'!$E$1744:$AR$1744,'Dvd Calendar'!$AC$1737)=0))&gt;0)=0,"",'Dvd Calendar'!$AC$1737*1000000000+ISNUMBER('Dvd Calendar'!$AC$1740)*100000000+('Dvd Calendar'!$AC$1742=SPECIAL_LBL)*10000000+(N('Dvd Calendar'!$AC$1736)&gt;0)*(N('Dvd Calendar'!$AC$1736)&lt;=VAL_SERIAL)*1000000+17*1000+25))</f>
        <v/>
      </c>
      <c r="FD176" s="121">
        <f>IF(N('Dvd Calendar'!$AD$1737)=0,"",IF(('Dvd Calendar'!$AD$1737&gt;=GRID_FROM)*('Dvd Calendar'!$AD$1737&lt;=GRID_TO)*((('Dvd Calendar'!$AD$1737&lt;=VAL_DATE)+(COUNTIF('Dvd Calendar'!$E$1744:$AR$1744,'Dvd Calendar'!$AD$1737)=0))&gt;0)=0,"",'Dvd Calendar'!$AD$1737*1000000000+ISNUMBER('Dvd Calendar'!$AD$1740)*100000000+('Dvd Calendar'!$AD$1742=SPECIAL_LBL)*10000000+(N('Dvd Calendar'!$AD$1736)&gt;0)*(N('Dvd Calendar'!$AD$1736)&lt;=VAL_SERIAL)*1000000+17*1000+26))</f>
        <v/>
      </c>
      <c r="FE176" s="121">
        <f>IF(N('Dvd Calendar'!$AE$1737)=0,"",IF(('Dvd Calendar'!$AE$1737&gt;=GRID_FROM)*('Dvd Calendar'!$AE$1737&lt;=GRID_TO)*((('Dvd Calendar'!$AE$1737&lt;=VAL_DATE)+(COUNTIF('Dvd Calendar'!$E$1744:$AR$1744,'Dvd Calendar'!$AE$1737)=0))&gt;0)=0,"",'Dvd Calendar'!$AE$1737*1000000000+ISNUMBER('Dvd Calendar'!$AE$1740)*100000000+('Dvd Calendar'!$AE$1742=SPECIAL_LBL)*10000000+(N('Dvd Calendar'!$AE$1736)&gt;0)*(N('Dvd Calendar'!$AE$1736)&lt;=VAL_SERIAL)*1000000+17*1000+27))</f>
        <v/>
      </c>
      <c r="FF176" s="121">
        <f>IF(N('Dvd Calendar'!$AF$1737)=0,"",IF(('Dvd Calendar'!$AF$1737&gt;=GRID_FROM)*('Dvd Calendar'!$AF$1737&lt;=GRID_TO)*((('Dvd Calendar'!$AF$1737&lt;=VAL_DATE)+(COUNTIF('Dvd Calendar'!$E$1744:$AR$1744,'Dvd Calendar'!$AF$1737)=0))&gt;0)=0,"",'Dvd Calendar'!$AF$1737*1000000000+ISNUMBER('Dvd Calendar'!$AF$1740)*100000000+('Dvd Calendar'!$AF$1742=SPECIAL_LBL)*10000000+(N('Dvd Calendar'!$AF$1736)&gt;0)*(N('Dvd Calendar'!$AF$1736)&lt;=VAL_SERIAL)*1000000+17*1000+28))</f>
        <v/>
      </c>
      <c r="FG176" s="121">
        <f>IF(N('Dvd Calendar'!$AG$1737)=0,"",IF(('Dvd Calendar'!$AG$1737&gt;=GRID_FROM)*('Dvd Calendar'!$AG$1737&lt;=GRID_TO)*((('Dvd Calendar'!$AG$1737&lt;=VAL_DATE)+(COUNTIF('Dvd Calendar'!$E$1744:$AR$1744,'Dvd Calendar'!$AG$1737)=0))&gt;0)=0,"",'Dvd Calendar'!$AG$1737*1000000000+ISNUMBER('Dvd Calendar'!$AG$1740)*100000000+('Dvd Calendar'!$AG$1742=SPECIAL_LBL)*10000000+(N('Dvd Calendar'!$AG$1736)&gt;0)*(N('Dvd Calendar'!$AG$1736)&lt;=VAL_SERIAL)*1000000+17*1000+29))</f>
        <v/>
      </c>
      <c r="FH176" s="121">
        <f>IF(N('Dvd Calendar'!$AH$1737)=0,"",IF(('Dvd Calendar'!$AH$1737&gt;=GRID_FROM)*('Dvd Calendar'!$AH$1737&lt;=GRID_TO)*((('Dvd Calendar'!$AH$1737&lt;=VAL_DATE)+(COUNTIF('Dvd Calendar'!$E$1744:$AR$1744,'Dvd Calendar'!$AH$1737)=0))&gt;0)=0,"",'Dvd Calendar'!$AH$1737*1000000000+ISNUMBER('Dvd Calendar'!$AH$1740)*100000000+('Dvd Calendar'!$AH$1742=SPECIAL_LBL)*10000000+(N('Dvd Calendar'!$AH$1736)&gt;0)*(N('Dvd Calendar'!$AH$1736)&lt;=VAL_SERIAL)*1000000+17*1000+30))</f>
        <v/>
      </c>
      <c r="FI176" s="121">
        <f>IF(N('Dvd Calendar'!$AI$1737)=0,"",IF(('Dvd Calendar'!$AI$1737&gt;=GRID_FROM)*('Dvd Calendar'!$AI$1737&lt;=GRID_TO)*((('Dvd Calendar'!$AI$1737&lt;=VAL_DATE)+(COUNTIF('Dvd Calendar'!$E$1744:$AR$1744,'Dvd Calendar'!$AI$1737)=0))&gt;0)=0,"",'Dvd Calendar'!$AI$1737*1000000000+ISNUMBER('Dvd Calendar'!$AI$1740)*100000000+('Dvd Calendar'!$AI$1742=SPECIAL_LBL)*10000000+(N('Dvd Calendar'!$AI$1736)&gt;0)*(N('Dvd Calendar'!$AI$1736)&lt;=VAL_SERIAL)*1000000+17*1000+31))</f>
        <v/>
      </c>
      <c r="FJ176" s="121">
        <f>IF(N('Dvd Calendar'!$AJ$1737)=0,"",IF(('Dvd Calendar'!$AJ$1737&gt;=GRID_FROM)*('Dvd Calendar'!$AJ$1737&lt;=GRID_TO)*((('Dvd Calendar'!$AJ$1737&lt;=VAL_DATE)+(COUNTIF('Dvd Calendar'!$E$1744:$AR$1744,'Dvd Calendar'!$AJ$1737)=0))&gt;0)=0,"",'Dvd Calendar'!$AJ$1737*1000000000+ISNUMBER('Dvd Calendar'!$AJ$1740)*100000000+('Dvd Calendar'!$AJ$1742=SPECIAL_LBL)*10000000+(N('Dvd Calendar'!$AJ$1736)&gt;0)*(N('Dvd Calendar'!$AJ$1736)&lt;=VAL_SERIAL)*1000000+17*1000+32))</f>
        <v/>
      </c>
      <c r="FK176" s="121">
        <f>IF(N('Dvd Calendar'!$AK$1737)=0,"",IF(('Dvd Calendar'!$AK$1737&gt;=GRID_FROM)*('Dvd Calendar'!$AK$1737&lt;=GRID_TO)*((('Dvd Calendar'!$AK$1737&lt;=VAL_DATE)+(COUNTIF('Dvd Calendar'!$E$1744:$AR$1744,'Dvd Calendar'!$AK$1737)=0))&gt;0)=0,"",'Dvd Calendar'!$AK$1737*1000000000+ISNUMBER('Dvd Calendar'!$AK$1740)*100000000+('Dvd Calendar'!$AK$1742=SPECIAL_LBL)*10000000+(N('Dvd Calendar'!$AK$1736)&gt;0)*(N('Dvd Calendar'!$AK$1736)&lt;=VAL_SERIAL)*1000000+17*1000+33))</f>
        <v/>
      </c>
      <c r="FL176" s="121">
        <f>IF(N('Dvd Calendar'!$AL$1737)=0,"",IF(('Dvd Calendar'!$AL$1737&gt;=GRID_FROM)*('Dvd Calendar'!$AL$1737&lt;=GRID_TO)*((('Dvd Calendar'!$AL$1737&lt;=VAL_DATE)+(COUNTIF('Dvd Calendar'!$E$1744:$AR$1744,'Dvd Calendar'!$AL$1737)=0))&gt;0)=0,"",'Dvd Calendar'!$AL$1737*1000000000+ISNUMBER('Dvd Calendar'!$AL$1740)*100000000+('Dvd Calendar'!$AL$1742=SPECIAL_LBL)*10000000+(N('Dvd Calendar'!$AL$1736)&gt;0)*(N('Dvd Calendar'!$AL$1736)&lt;=VAL_SERIAL)*1000000+17*1000+34))</f>
        <v/>
      </c>
      <c r="FM176" s="121">
        <f>IF(N('Dvd Calendar'!$AM$1737)=0,"",IF(('Dvd Calendar'!$AM$1737&gt;=GRID_FROM)*('Dvd Calendar'!$AM$1737&lt;=GRID_TO)*((('Dvd Calendar'!$AM$1737&lt;=VAL_DATE)+(COUNTIF('Dvd Calendar'!$E$1744:$AR$1744,'Dvd Calendar'!$AM$1737)=0))&gt;0)=0,"",'Dvd Calendar'!$AM$1737*1000000000+ISNUMBER('Dvd Calendar'!$AM$1740)*100000000+('Dvd Calendar'!$AM$1742=SPECIAL_LBL)*10000000+(N('Dvd Calendar'!$AM$1736)&gt;0)*(N('Dvd Calendar'!$AM$1736)&lt;=VAL_SERIAL)*1000000+17*1000+35))</f>
        <v/>
      </c>
      <c r="FN176" s="121">
        <f>IF(N('Dvd Calendar'!$AN$1737)=0,"",IF(('Dvd Calendar'!$AN$1737&gt;=GRID_FROM)*('Dvd Calendar'!$AN$1737&lt;=GRID_TO)*((('Dvd Calendar'!$AN$1737&lt;=VAL_DATE)+(COUNTIF('Dvd Calendar'!$E$1744:$AR$1744,'Dvd Calendar'!$AN$1737)=0))&gt;0)=0,"",'Dvd Calendar'!$AN$1737*1000000000+ISNUMBER('Dvd Calendar'!$AN$1740)*100000000+('Dvd Calendar'!$AN$1742=SPECIAL_LBL)*10000000+(N('Dvd Calendar'!$AN$1736)&gt;0)*(N('Dvd Calendar'!$AN$1736)&lt;=VAL_SERIAL)*1000000+17*1000+36))</f>
        <v/>
      </c>
      <c r="FO176" s="121">
        <f>IF(N('Dvd Calendar'!$AO$1737)=0,"",IF(('Dvd Calendar'!$AO$1737&gt;=GRID_FROM)*('Dvd Calendar'!$AO$1737&lt;=GRID_TO)*((('Dvd Calendar'!$AO$1737&lt;=VAL_DATE)+(COUNTIF('Dvd Calendar'!$E$1744:$AR$1744,'Dvd Calendar'!$AO$1737)=0))&gt;0)=0,"",'Dvd Calendar'!$AO$1737*1000000000+ISNUMBER('Dvd Calendar'!$AO$1740)*100000000+('Dvd Calendar'!$AO$1742=SPECIAL_LBL)*10000000+(N('Dvd Calendar'!$AO$1736)&gt;0)*(N('Dvd Calendar'!$AO$1736)&lt;=VAL_SERIAL)*1000000+17*1000+37))</f>
        <v/>
      </c>
      <c r="FP176" s="121">
        <f>IF(N('Dvd Calendar'!$AP$1737)=0,"",IF(('Dvd Calendar'!$AP$1737&gt;=GRID_FROM)*('Dvd Calendar'!$AP$1737&lt;=GRID_TO)*((('Dvd Calendar'!$AP$1737&lt;=VAL_DATE)+(COUNTIF('Dvd Calendar'!$E$1744:$AR$1744,'Dvd Calendar'!$AP$1737)=0))&gt;0)=0,"",'Dvd Calendar'!$AP$1737*1000000000+ISNUMBER('Dvd Calendar'!$AP$1740)*100000000+('Dvd Calendar'!$AP$1742=SPECIAL_LBL)*10000000+(N('Dvd Calendar'!$AP$1736)&gt;0)*(N('Dvd Calendar'!$AP$1736)&lt;=VAL_SERIAL)*1000000+17*1000+38))</f>
        <v/>
      </c>
      <c r="FQ176" s="121">
        <f>IF(N('Dvd Calendar'!$AQ$1737)=0,"",IF(('Dvd Calendar'!$AQ$1737&gt;=GRID_FROM)*('Dvd Calendar'!$AQ$1737&lt;=GRID_TO)*((('Dvd Calendar'!$AQ$1737&lt;=VAL_DATE)+(COUNTIF('Dvd Calendar'!$E$1744:$AR$1744,'Dvd Calendar'!$AQ$1737)=0))&gt;0)=0,"",'Dvd Calendar'!$AQ$1737*1000000000+ISNUMBER('Dvd Calendar'!$AQ$1740)*100000000+('Dvd Calendar'!$AQ$1742=SPECIAL_LBL)*10000000+(N('Dvd Calendar'!$AQ$1736)&gt;0)*(N('Dvd Calendar'!$AQ$1736)&lt;=VAL_SERIAL)*1000000+17*1000+39))</f>
        <v/>
      </c>
      <c r="FR176" s="121">
        <f>IF(N('Dvd Calendar'!$AR$1737)=0,"",IF(('Dvd Calendar'!$AR$1737&gt;=GRID_FROM)*('Dvd Calendar'!$AR$1737&lt;=GRID_TO)*((('Dvd Calendar'!$AR$1737&lt;=VAL_DATE)+(COUNTIF('Dvd Calendar'!$E$1744:$AR$1744,'Dvd Calendar'!$AR$1737)=0))&gt;0)=0,"",'Dvd Calendar'!$AR$1737*1000000000+ISNUMBER('Dvd Calendar'!$AR$1740)*100000000+('Dvd Calendar'!$AR$1742=SPECIAL_LBL)*10000000+(N('Dvd Calendar'!$AR$1736)&gt;0)*(N('Dvd Calendar'!$AR$1736)&lt;=VAL_SERIAL)*1000000+17*1000+40))</f>
        <v/>
      </c>
      <c r="FS176" s="121">
        <f>IF(N('Dvd Calendar'!$E$1744)=0,"",IF(('Dvd Calendar'!$E$1744&gt;=GRID_FROM)*('Dvd Calendar'!$E$1744&lt;=GRID_TO)*('Dvd Calendar'!$E$1744&gt;VAL_DATE)=0,"",'Dvd Calendar'!$E$1744*1000000000+ISNUMBER('Dvd Calendar'!$E$1745)*100000000+0*10000000+(N('Dvd Calendar'!$E$1743)&gt;0)*(N('Dvd Calendar'!$E$1743)&lt;=VAL_SERIAL)*1000000+17*1000+41))</f>
        <v/>
      </c>
      <c r="FT176" s="121">
        <f>IF(N('Dvd Calendar'!$F$1744)=0,"",IF(('Dvd Calendar'!$F$1744&gt;=GRID_FROM)*('Dvd Calendar'!$F$1744&lt;=GRID_TO)*('Dvd Calendar'!$F$1744&gt;VAL_DATE)=0,"",'Dvd Calendar'!$F$1744*1000000000+ISNUMBER('Dvd Calendar'!$F$1745)*100000000+0*10000000+(N('Dvd Calendar'!$F$1743)&gt;0)*(N('Dvd Calendar'!$F$1743)&lt;=VAL_SERIAL)*1000000+17*1000+42))</f>
        <v/>
      </c>
      <c r="FU176" s="121">
        <f>IF(N('Dvd Calendar'!$G$1744)=0,"",IF(('Dvd Calendar'!$G$1744&gt;=GRID_FROM)*('Dvd Calendar'!$G$1744&lt;=GRID_TO)*('Dvd Calendar'!$G$1744&gt;VAL_DATE)=0,"",'Dvd Calendar'!$G$1744*1000000000+ISNUMBER('Dvd Calendar'!$G$1745)*100000000+0*10000000+(N('Dvd Calendar'!$G$1743)&gt;0)*(N('Dvd Calendar'!$G$1743)&lt;=VAL_SERIAL)*1000000+17*1000+43))</f>
        <v/>
      </c>
      <c r="FV176" s="121">
        <f>IF(N('Dvd Calendar'!$H$1744)=0,"",IF(('Dvd Calendar'!$H$1744&gt;=GRID_FROM)*('Dvd Calendar'!$H$1744&lt;=GRID_TO)*('Dvd Calendar'!$H$1744&gt;VAL_DATE)=0,"",'Dvd Calendar'!$H$1744*1000000000+ISNUMBER('Dvd Calendar'!$H$1745)*100000000+0*10000000+(N('Dvd Calendar'!$H$1743)&gt;0)*(N('Dvd Calendar'!$H$1743)&lt;=VAL_SERIAL)*1000000+17*1000+44))</f>
        <v/>
      </c>
      <c r="FW176" s="121">
        <f>IF(N('Dvd Calendar'!$I$1744)=0,"",IF(('Dvd Calendar'!$I$1744&gt;=GRID_FROM)*('Dvd Calendar'!$I$1744&lt;=GRID_TO)*('Dvd Calendar'!$I$1744&gt;VAL_DATE)=0,"",'Dvd Calendar'!$I$1744*1000000000+ISNUMBER('Dvd Calendar'!$I$1745)*100000000+0*10000000+(N('Dvd Calendar'!$I$1743)&gt;0)*(N('Dvd Calendar'!$I$1743)&lt;=VAL_SERIAL)*1000000+17*1000+45))</f>
        <v/>
      </c>
      <c r="FX176" s="121">
        <f>IF(N('Dvd Calendar'!$J$1744)=0,"",IF(('Dvd Calendar'!$J$1744&gt;=GRID_FROM)*('Dvd Calendar'!$J$1744&lt;=GRID_TO)*('Dvd Calendar'!$J$1744&gt;VAL_DATE)=0,"",'Dvd Calendar'!$J$1744*1000000000+ISNUMBER('Dvd Calendar'!$J$1745)*100000000+0*10000000+(N('Dvd Calendar'!$J$1743)&gt;0)*(N('Dvd Calendar'!$J$1743)&lt;=VAL_SERIAL)*1000000+17*1000+46))</f>
        <v/>
      </c>
      <c r="FY176" s="121">
        <f>IF(N('Dvd Calendar'!$K$1744)=0,"",IF(('Dvd Calendar'!$K$1744&gt;=GRID_FROM)*('Dvd Calendar'!$K$1744&lt;=GRID_TO)*('Dvd Calendar'!$K$1744&gt;VAL_DATE)=0,"",'Dvd Calendar'!$K$1744*1000000000+ISNUMBER('Dvd Calendar'!$K$1745)*100000000+0*10000000+(N('Dvd Calendar'!$K$1743)&gt;0)*(N('Dvd Calendar'!$K$1743)&lt;=VAL_SERIAL)*1000000+17*1000+47))</f>
        <v/>
      </c>
      <c r="FZ176" s="121">
        <f>IF(N('Dvd Calendar'!$L$1744)=0,"",IF(('Dvd Calendar'!$L$1744&gt;=GRID_FROM)*('Dvd Calendar'!$L$1744&lt;=GRID_TO)*('Dvd Calendar'!$L$1744&gt;VAL_DATE)=0,"",'Dvd Calendar'!$L$1744*1000000000+ISNUMBER('Dvd Calendar'!$L$1745)*100000000+0*10000000+(N('Dvd Calendar'!$L$1743)&gt;0)*(N('Dvd Calendar'!$L$1743)&lt;=VAL_SERIAL)*1000000+17*1000+48))</f>
        <v/>
      </c>
      <c r="GA176" s="121">
        <f>IF(N('Dvd Calendar'!$M$1744)=0,"",IF(('Dvd Calendar'!$M$1744&gt;=GRID_FROM)*('Dvd Calendar'!$M$1744&lt;=GRID_TO)*('Dvd Calendar'!$M$1744&gt;VAL_DATE)=0,"",'Dvd Calendar'!$M$1744*1000000000+ISNUMBER('Dvd Calendar'!$M$1745)*100000000+0*10000000+(N('Dvd Calendar'!$M$1743)&gt;0)*(N('Dvd Calendar'!$M$1743)&lt;=VAL_SERIAL)*1000000+17*1000+49))</f>
        <v/>
      </c>
      <c r="GB176" s="121">
        <f>IF(N('Dvd Calendar'!$N$1744)=0,"",IF(('Dvd Calendar'!$N$1744&gt;=GRID_FROM)*('Dvd Calendar'!$N$1744&lt;=GRID_TO)*('Dvd Calendar'!$N$1744&gt;VAL_DATE)=0,"",'Dvd Calendar'!$N$1744*1000000000+ISNUMBER('Dvd Calendar'!$N$1745)*100000000+0*10000000+(N('Dvd Calendar'!$N$1743)&gt;0)*(N('Dvd Calendar'!$N$1743)&lt;=VAL_SERIAL)*1000000+17*1000+50))</f>
        <v/>
      </c>
      <c r="GC176" s="121">
        <f>IF(N('Dvd Calendar'!$O$1744)=0,"",IF(('Dvd Calendar'!$O$1744&gt;=GRID_FROM)*('Dvd Calendar'!$O$1744&lt;=GRID_TO)*('Dvd Calendar'!$O$1744&gt;VAL_DATE)=0,"",'Dvd Calendar'!$O$1744*1000000000+ISNUMBER('Dvd Calendar'!$O$1745)*100000000+0*10000000+(N('Dvd Calendar'!$O$1743)&gt;0)*(N('Dvd Calendar'!$O$1743)&lt;=VAL_SERIAL)*1000000+17*1000+51))</f>
        <v/>
      </c>
      <c r="GD176" s="121">
        <f>IF(N('Dvd Calendar'!$P$1744)=0,"",IF(('Dvd Calendar'!$P$1744&gt;=GRID_FROM)*('Dvd Calendar'!$P$1744&lt;=GRID_TO)*('Dvd Calendar'!$P$1744&gt;VAL_DATE)=0,"",'Dvd Calendar'!$P$1744*1000000000+ISNUMBER('Dvd Calendar'!$P$1745)*100000000+0*10000000+(N('Dvd Calendar'!$P$1743)&gt;0)*(N('Dvd Calendar'!$P$1743)&lt;=VAL_SERIAL)*1000000+17*1000+52))</f>
        <v/>
      </c>
      <c r="GE176" s="121">
        <f>IF(N('Dvd Calendar'!$Q$1744)=0,"",IF(('Dvd Calendar'!$Q$1744&gt;=GRID_FROM)*('Dvd Calendar'!$Q$1744&lt;=GRID_TO)*('Dvd Calendar'!$Q$1744&gt;VAL_DATE)=0,"",'Dvd Calendar'!$Q$1744*1000000000+ISNUMBER('Dvd Calendar'!$Q$1745)*100000000+0*10000000+(N('Dvd Calendar'!$Q$1743)&gt;0)*(N('Dvd Calendar'!$Q$1743)&lt;=VAL_SERIAL)*1000000+17*1000+53))</f>
        <v/>
      </c>
      <c r="GF176" s="121">
        <f>IF(N('Dvd Calendar'!$R$1744)=0,"",IF(('Dvd Calendar'!$R$1744&gt;=GRID_FROM)*('Dvd Calendar'!$R$1744&lt;=GRID_TO)*('Dvd Calendar'!$R$1744&gt;VAL_DATE)=0,"",'Dvd Calendar'!$R$1744*1000000000+ISNUMBER('Dvd Calendar'!$R$1745)*100000000+0*10000000+(N('Dvd Calendar'!$R$1743)&gt;0)*(N('Dvd Calendar'!$R$1743)&lt;=VAL_SERIAL)*1000000+17*1000+54))</f>
        <v/>
      </c>
      <c r="GG176" s="121">
        <f>IF(N('Dvd Calendar'!$S$1744)=0,"",IF(('Dvd Calendar'!$S$1744&gt;=GRID_FROM)*('Dvd Calendar'!$S$1744&lt;=GRID_TO)*('Dvd Calendar'!$S$1744&gt;VAL_DATE)=0,"",'Dvd Calendar'!$S$1744*1000000000+ISNUMBER('Dvd Calendar'!$S$1745)*100000000+0*10000000+(N('Dvd Calendar'!$S$1743)&gt;0)*(N('Dvd Calendar'!$S$1743)&lt;=VAL_SERIAL)*1000000+17*1000+55))</f>
        <v/>
      </c>
      <c r="GH176" s="121">
        <f>IF(N('Dvd Calendar'!$T$1744)=0,"",IF(('Dvd Calendar'!$T$1744&gt;=GRID_FROM)*('Dvd Calendar'!$T$1744&lt;=GRID_TO)*('Dvd Calendar'!$T$1744&gt;VAL_DATE)=0,"",'Dvd Calendar'!$T$1744*1000000000+ISNUMBER('Dvd Calendar'!$T$1745)*100000000+0*10000000+(N('Dvd Calendar'!$T$1743)&gt;0)*(N('Dvd Calendar'!$T$1743)&lt;=VAL_SERIAL)*1000000+17*1000+56))</f>
        <v/>
      </c>
      <c r="GI176" s="121">
        <f>IF(N('Dvd Calendar'!$U$1744)=0,"",IF(('Dvd Calendar'!$U$1744&gt;=GRID_FROM)*('Dvd Calendar'!$U$1744&lt;=GRID_TO)*('Dvd Calendar'!$U$1744&gt;VAL_DATE)=0,"",'Dvd Calendar'!$U$1744*1000000000+ISNUMBER('Dvd Calendar'!$U$1745)*100000000+0*10000000+(N('Dvd Calendar'!$U$1743)&gt;0)*(N('Dvd Calendar'!$U$1743)&lt;=VAL_SERIAL)*1000000+17*1000+57))</f>
        <v/>
      </c>
      <c r="GJ176" s="121">
        <f>IF(N('Dvd Calendar'!$V$1744)=0,"",IF(('Dvd Calendar'!$V$1744&gt;=GRID_FROM)*('Dvd Calendar'!$V$1744&lt;=GRID_TO)*('Dvd Calendar'!$V$1744&gt;VAL_DATE)=0,"",'Dvd Calendar'!$V$1744*1000000000+ISNUMBER('Dvd Calendar'!$V$1745)*100000000+0*10000000+(N('Dvd Calendar'!$V$1743)&gt;0)*(N('Dvd Calendar'!$V$1743)&lt;=VAL_SERIAL)*1000000+17*1000+58))</f>
        <v/>
      </c>
      <c r="GK176" s="121">
        <f>IF(N('Dvd Calendar'!$W$1744)=0,"",IF(('Dvd Calendar'!$W$1744&gt;=GRID_FROM)*('Dvd Calendar'!$W$1744&lt;=GRID_TO)*('Dvd Calendar'!$W$1744&gt;VAL_DATE)=0,"",'Dvd Calendar'!$W$1744*1000000000+ISNUMBER('Dvd Calendar'!$W$1745)*100000000+0*10000000+(N('Dvd Calendar'!$W$1743)&gt;0)*(N('Dvd Calendar'!$W$1743)&lt;=VAL_SERIAL)*1000000+17*1000+59))</f>
        <v/>
      </c>
      <c r="GL176" s="121">
        <f>IF(N('Dvd Calendar'!$X$1744)=0,"",IF(('Dvd Calendar'!$X$1744&gt;=GRID_FROM)*('Dvd Calendar'!$X$1744&lt;=GRID_TO)*('Dvd Calendar'!$X$1744&gt;VAL_DATE)=0,"",'Dvd Calendar'!$X$1744*1000000000+ISNUMBER('Dvd Calendar'!$X$1745)*100000000+0*10000000+(N('Dvd Calendar'!$X$1743)&gt;0)*(N('Dvd Calendar'!$X$1743)&lt;=VAL_SERIAL)*1000000+17*1000+60))</f>
        <v/>
      </c>
      <c r="GM176" s="121">
        <f>IF(N('Dvd Calendar'!$Y$1744)=0,"",IF(('Dvd Calendar'!$Y$1744&gt;=GRID_FROM)*('Dvd Calendar'!$Y$1744&lt;=GRID_TO)*('Dvd Calendar'!$Y$1744&gt;VAL_DATE)=0,"",'Dvd Calendar'!$Y$1744*1000000000+ISNUMBER('Dvd Calendar'!$Y$1745)*100000000+0*10000000+(N('Dvd Calendar'!$Y$1743)&gt;0)*(N('Dvd Calendar'!$Y$1743)&lt;=VAL_SERIAL)*1000000+17*1000+61))</f>
        <v/>
      </c>
      <c r="GN176" s="121">
        <f>IF(N('Dvd Calendar'!$Z$1744)=0,"",IF(('Dvd Calendar'!$Z$1744&gt;=GRID_FROM)*('Dvd Calendar'!$Z$1744&lt;=GRID_TO)*('Dvd Calendar'!$Z$1744&gt;VAL_DATE)=0,"",'Dvd Calendar'!$Z$1744*1000000000+ISNUMBER('Dvd Calendar'!$Z$1745)*100000000+0*10000000+(N('Dvd Calendar'!$Z$1743)&gt;0)*(N('Dvd Calendar'!$Z$1743)&lt;=VAL_SERIAL)*1000000+17*1000+62))</f>
        <v/>
      </c>
      <c r="GO176" s="121">
        <f>IF(N('Dvd Calendar'!$AA$1744)=0,"",IF(('Dvd Calendar'!$AA$1744&gt;=GRID_FROM)*('Dvd Calendar'!$AA$1744&lt;=GRID_TO)*('Dvd Calendar'!$AA$1744&gt;VAL_DATE)=0,"",'Dvd Calendar'!$AA$1744*1000000000+ISNUMBER('Dvd Calendar'!$AA$1745)*100000000+0*10000000+(N('Dvd Calendar'!$AA$1743)&gt;0)*(N('Dvd Calendar'!$AA$1743)&lt;=VAL_SERIAL)*1000000+17*1000+63))</f>
        <v/>
      </c>
      <c r="GP176" s="121">
        <f>IF(N('Dvd Calendar'!$AB$1744)=0,"",IF(('Dvd Calendar'!$AB$1744&gt;=GRID_FROM)*('Dvd Calendar'!$AB$1744&lt;=GRID_TO)*('Dvd Calendar'!$AB$1744&gt;VAL_DATE)=0,"",'Dvd Calendar'!$AB$1744*1000000000+ISNUMBER('Dvd Calendar'!$AB$1745)*100000000+0*10000000+(N('Dvd Calendar'!$AB$1743)&gt;0)*(N('Dvd Calendar'!$AB$1743)&lt;=VAL_SERIAL)*1000000+17*1000+64))</f>
        <v/>
      </c>
      <c r="GQ176" s="121">
        <f>IF(N('Dvd Calendar'!$AC$1744)=0,"",IF(('Dvd Calendar'!$AC$1744&gt;=GRID_FROM)*('Dvd Calendar'!$AC$1744&lt;=GRID_TO)*('Dvd Calendar'!$AC$1744&gt;VAL_DATE)=0,"",'Dvd Calendar'!$AC$1744*1000000000+ISNUMBER('Dvd Calendar'!$AC$1745)*100000000+0*10000000+(N('Dvd Calendar'!$AC$1743)&gt;0)*(N('Dvd Calendar'!$AC$1743)&lt;=VAL_SERIAL)*1000000+17*1000+65))</f>
        <v/>
      </c>
    </row>
    <row r="177">
      <c r="B177" s="2">
        <f>IF(HSCEI!$C$24="","",HSCEI!$C$24)</f>
        <v/>
      </c>
      <c r="C177" s="161">
        <f>IF(EE177="","",IF(ISNUMBER('Dvd Calendar'!$E$1751)=FALSE,"",IF((('Dvd Calendar'!$E$1753=TYPE1)*(TYPE1&lt;&gt;"")+('Dvd Calendar'!$E$1753=TYPE2)*(TYPE2&lt;&gt;"")+('Dvd Calendar'!$E$1753=TYPE3)*(TYPE3&lt;&gt;"")+('Dvd Calendar'!$E$1753=TYPE4)*(TYPE4&lt;&gt;"")+('Dvd Calendar'!$E$1753=SPECIAL_LBL)*(INC_SPECIALS="Y"))=0,"",'Dvd Calendar'!$E$1751)))</f>
        <v/>
      </c>
      <c r="D177" s="161">
        <f>IF(EF177="","",IF(ISNUMBER('Dvd Calendar'!$F$1751)=FALSE,"",IF((('Dvd Calendar'!$F$1753=TYPE1)*(TYPE1&lt;&gt;"")+('Dvd Calendar'!$F$1753=TYPE2)*(TYPE2&lt;&gt;"")+('Dvd Calendar'!$F$1753=TYPE3)*(TYPE3&lt;&gt;"")+('Dvd Calendar'!$F$1753=TYPE4)*(TYPE4&lt;&gt;"")+('Dvd Calendar'!$F$1753=SPECIAL_LBL)*(INC_SPECIALS="Y"))=0,"",'Dvd Calendar'!$F$1751)))</f>
        <v/>
      </c>
      <c r="E177" s="161">
        <f>IF(EG177="","",IF(ISNUMBER('Dvd Calendar'!$G$1751)=FALSE,"",IF((('Dvd Calendar'!$G$1753=TYPE1)*(TYPE1&lt;&gt;"")+('Dvd Calendar'!$G$1753=TYPE2)*(TYPE2&lt;&gt;"")+('Dvd Calendar'!$G$1753=TYPE3)*(TYPE3&lt;&gt;"")+('Dvd Calendar'!$G$1753=TYPE4)*(TYPE4&lt;&gt;"")+('Dvd Calendar'!$G$1753=SPECIAL_LBL)*(INC_SPECIALS="Y"))=0,"",'Dvd Calendar'!$G$1751)))</f>
        <v/>
      </c>
      <c r="F177" s="161">
        <f>IF(EH177="","",IF(ISNUMBER('Dvd Calendar'!$H$1751)=FALSE,"",IF((('Dvd Calendar'!$H$1753=TYPE1)*(TYPE1&lt;&gt;"")+('Dvd Calendar'!$H$1753=TYPE2)*(TYPE2&lt;&gt;"")+('Dvd Calendar'!$H$1753=TYPE3)*(TYPE3&lt;&gt;"")+('Dvd Calendar'!$H$1753=TYPE4)*(TYPE4&lt;&gt;"")+('Dvd Calendar'!$H$1753=SPECIAL_LBL)*(INC_SPECIALS="Y"))=0,"",'Dvd Calendar'!$H$1751)))</f>
        <v/>
      </c>
      <c r="G177" s="161">
        <f>IF(EI177="","",IF(ISNUMBER('Dvd Calendar'!$I$1751)=FALSE,"",IF((('Dvd Calendar'!$I$1753=TYPE1)*(TYPE1&lt;&gt;"")+('Dvd Calendar'!$I$1753=TYPE2)*(TYPE2&lt;&gt;"")+('Dvd Calendar'!$I$1753=TYPE3)*(TYPE3&lt;&gt;"")+('Dvd Calendar'!$I$1753=TYPE4)*(TYPE4&lt;&gt;"")+('Dvd Calendar'!$I$1753=SPECIAL_LBL)*(INC_SPECIALS="Y"))=0,"",'Dvd Calendar'!$I$1751)))</f>
        <v/>
      </c>
      <c r="H177" s="161">
        <f>IF(EJ177="","",IF(ISNUMBER('Dvd Calendar'!$J$1751)=FALSE,"",IF((('Dvd Calendar'!$J$1753=TYPE1)*(TYPE1&lt;&gt;"")+('Dvd Calendar'!$J$1753=TYPE2)*(TYPE2&lt;&gt;"")+('Dvd Calendar'!$J$1753=TYPE3)*(TYPE3&lt;&gt;"")+('Dvd Calendar'!$J$1753=TYPE4)*(TYPE4&lt;&gt;"")+('Dvd Calendar'!$J$1753=SPECIAL_LBL)*(INC_SPECIALS="Y"))=0,"",'Dvd Calendar'!$J$1751)))</f>
        <v/>
      </c>
      <c r="I177" s="161">
        <f>IF(EK177="","",IF(ISNUMBER('Dvd Calendar'!$K$1751)=FALSE,"",IF((('Dvd Calendar'!$K$1753=TYPE1)*(TYPE1&lt;&gt;"")+('Dvd Calendar'!$K$1753=TYPE2)*(TYPE2&lt;&gt;"")+('Dvd Calendar'!$K$1753=TYPE3)*(TYPE3&lt;&gt;"")+('Dvd Calendar'!$K$1753=TYPE4)*(TYPE4&lt;&gt;"")+('Dvd Calendar'!$K$1753=SPECIAL_LBL)*(INC_SPECIALS="Y"))=0,"",'Dvd Calendar'!$K$1751)))</f>
        <v/>
      </c>
      <c r="J177" s="161">
        <f>IF(EL177="","",IF(ISNUMBER('Dvd Calendar'!$L$1751)=FALSE,"",IF((('Dvd Calendar'!$L$1753=TYPE1)*(TYPE1&lt;&gt;"")+('Dvd Calendar'!$L$1753=TYPE2)*(TYPE2&lt;&gt;"")+('Dvd Calendar'!$L$1753=TYPE3)*(TYPE3&lt;&gt;"")+('Dvd Calendar'!$L$1753=TYPE4)*(TYPE4&lt;&gt;"")+('Dvd Calendar'!$L$1753=SPECIAL_LBL)*(INC_SPECIALS="Y"))=0,"",'Dvd Calendar'!$L$1751)))</f>
        <v/>
      </c>
      <c r="K177" s="161">
        <f>IF(EM177="","",IF(ISNUMBER('Dvd Calendar'!$M$1751)=FALSE,"",IF((('Dvd Calendar'!$M$1753=TYPE1)*(TYPE1&lt;&gt;"")+('Dvd Calendar'!$M$1753=TYPE2)*(TYPE2&lt;&gt;"")+('Dvd Calendar'!$M$1753=TYPE3)*(TYPE3&lt;&gt;"")+('Dvd Calendar'!$M$1753=TYPE4)*(TYPE4&lt;&gt;"")+('Dvd Calendar'!$M$1753=SPECIAL_LBL)*(INC_SPECIALS="Y"))=0,"",'Dvd Calendar'!$M$1751)))</f>
        <v/>
      </c>
      <c r="L177" s="161">
        <f>IF(EN177="","",IF(ISNUMBER('Dvd Calendar'!$N$1751)=FALSE,"",IF((('Dvd Calendar'!$N$1753=TYPE1)*(TYPE1&lt;&gt;"")+('Dvd Calendar'!$N$1753=TYPE2)*(TYPE2&lt;&gt;"")+('Dvd Calendar'!$N$1753=TYPE3)*(TYPE3&lt;&gt;"")+('Dvd Calendar'!$N$1753=TYPE4)*(TYPE4&lt;&gt;"")+('Dvd Calendar'!$N$1753=SPECIAL_LBL)*(INC_SPECIALS="Y"))=0,"",'Dvd Calendar'!$N$1751)))</f>
        <v/>
      </c>
      <c r="M177" s="161">
        <f>IF(EO177="","",IF(ISNUMBER('Dvd Calendar'!$O$1751)=FALSE,"",IF((('Dvd Calendar'!$O$1753=TYPE1)*(TYPE1&lt;&gt;"")+('Dvd Calendar'!$O$1753=TYPE2)*(TYPE2&lt;&gt;"")+('Dvd Calendar'!$O$1753=TYPE3)*(TYPE3&lt;&gt;"")+('Dvd Calendar'!$O$1753=TYPE4)*(TYPE4&lt;&gt;"")+('Dvd Calendar'!$O$1753=SPECIAL_LBL)*(INC_SPECIALS="Y"))=0,"",'Dvd Calendar'!$O$1751)))</f>
        <v/>
      </c>
      <c r="N177" s="161">
        <f>IF(EP177="","",IF(ISNUMBER('Dvd Calendar'!$P$1751)=FALSE,"",IF((('Dvd Calendar'!$P$1753=TYPE1)*(TYPE1&lt;&gt;"")+('Dvd Calendar'!$P$1753=TYPE2)*(TYPE2&lt;&gt;"")+('Dvd Calendar'!$P$1753=TYPE3)*(TYPE3&lt;&gt;"")+('Dvd Calendar'!$P$1753=TYPE4)*(TYPE4&lt;&gt;"")+('Dvd Calendar'!$P$1753=SPECIAL_LBL)*(INC_SPECIALS="Y"))=0,"",'Dvd Calendar'!$P$1751)))</f>
        <v/>
      </c>
      <c r="O177" s="161">
        <f>IF(EQ177="","",IF(ISNUMBER('Dvd Calendar'!$Q$1751)=FALSE,"",IF((('Dvd Calendar'!$Q$1753=TYPE1)*(TYPE1&lt;&gt;"")+('Dvd Calendar'!$Q$1753=TYPE2)*(TYPE2&lt;&gt;"")+('Dvd Calendar'!$Q$1753=TYPE3)*(TYPE3&lt;&gt;"")+('Dvd Calendar'!$Q$1753=TYPE4)*(TYPE4&lt;&gt;"")+('Dvd Calendar'!$Q$1753=SPECIAL_LBL)*(INC_SPECIALS="Y"))=0,"",'Dvd Calendar'!$Q$1751)))</f>
        <v/>
      </c>
      <c r="P177" s="161">
        <f>IF(ER177="","",IF(ISNUMBER('Dvd Calendar'!$R$1751)=FALSE,"",IF((('Dvd Calendar'!$R$1753=TYPE1)*(TYPE1&lt;&gt;"")+('Dvd Calendar'!$R$1753=TYPE2)*(TYPE2&lt;&gt;"")+('Dvd Calendar'!$R$1753=TYPE3)*(TYPE3&lt;&gt;"")+('Dvd Calendar'!$R$1753=TYPE4)*(TYPE4&lt;&gt;"")+('Dvd Calendar'!$R$1753=SPECIAL_LBL)*(INC_SPECIALS="Y"))=0,"",'Dvd Calendar'!$R$1751)))</f>
        <v/>
      </c>
      <c r="Q177" s="161">
        <f>IF(ES177="","",IF(ISNUMBER('Dvd Calendar'!$S$1751)=FALSE,"",IF((('Dvd Calendar'!$S$1753=TYPE1)*(TYPE1&lt;&gt;"")+('Dvd Calendar'!$S$1753=TYPE2)*(TYPE2&lt;&gt;"")+('Dvd Calendar'!$S$1753=TYPE3)*(TYPE3&lt;&gt;"")+('Dvd Calendar'!$S$1753=TYPE4)*(TYPE4&lt;&gt;"")+('Dvd Calendar'!$S$1753=SPECIAL_LBL)*(INC_SPECIALS="Y"))=0,"",'Dvd Calendar'!$S$1751)))</f>
        <v/>
      </c>
      <c r="R177" s="161">
        <f>IF(ET177="","",IF(ISNUMBER('Dvd Calendar'!$T$1751)=FALSE,"",IF((('Dvd Calendar'!$T$1753=TYPE1)*(TYPE1&lt;&gt;"")+('Dvd Calendar'!$T$1753=TYPE2)*(TYPE2&lt;&gt;"")+('Dvd Calendar'!$T$1753=TYPE3)*(TYPE3&lt;&gt;"")+('Dvd Calendar'!$T$1753=TYPE4)*(TYPE4&lt;&gt;"")+('Dvd Calendar'!$T$1753=SPECIAL_LBL)*(INC_SPECIALS="Y"))=0,"",'Dvd Calendar'!$T$1751)))</f>
        <v/>
      </c>
      <c r="S177" s="161">
        <f>IF(EU177="","",IF(ISNUMBER('Dvd Calendar'!$U$1751)=FALSE,"",IF((('Dvd Calendar'!$U$1753=TYPE1)*(TYPE1&lt;&gt;"")+('Dvd Calendar'!$U$1753=TYPE2)*(TYPE2&lt;&gt;"")+('Dvd Calendar'!$U$1753=TYPE3)*(TYPE3&lt;&gt;"")+('Dvd Calendar'!$U$1753=TYPE4)*(TYPE4&lt;&gt;"")+('Dvd Calendar'!$U$1753=SPECIAL_LBL)*(INC_SPECIALS="Y"))=0,"",'Dvd Calendar'!$U$1751)))</f>
        <v/>
      </c>
      <c r="T177" s="161">
        <f>IF(EV177="","",IF(ISNUMBER('Dvd Calendar'!$V$1751)=FALSE,"",IF((('Dvd Calendar'!$V$1753=TYPE1)*(TYPE1&lt;&gt;"")+('Dvd Calendar'!$V$1753=TYPE2)*(TYPE2&lt;&gt;"")+('Dvd Calendar'!$V$1753=TYPE3)*(TYPE3&lt;&gt;"")+('Dvd Calendar'!$V$1753=TYPE4)*(TYPE4&lt;&gt;"")+('Dvd Calendar'!$V$1753=SPECIAL_LBL)*(INC_SPECIALS="Y"))=0,"",'Dvd Calendar'!$V$1751)))</f>
        <v/>
      </c>
      <c r="U177" s="161">
        <f>IF(EW177="","",IF(ISNUMBER('Dvd Calendar'!$W$1751)=FALSE,"",IF((('Dvd Calendar'!$W$1753=TYPE1)*(TYPE1&lt;&gt;"")+('Dvd Calendar'!$W$1753=TYPE2)*(TYPE2&lt;&gt;"")+('Dvd Calendar'!$W$1753=TYPE3)*(TYPE3&lt;&gt;"")+('Dvd Calendar'!$W$1753=TYPE4)*(TYPE4&lt;&gt;"")+('Dvd Calendar'!$W$1753=SPECIAL_LBL)*(INC_SPECIALS="Y"))=0,"",'Dvd Calendar'!$W$1751)))</f>
        <v/>
      </c>
      <c r="V177" s="161">
        <f>IF(EX177="","",IF(ISNUMBER('Dvd Calendar'!$X$1751)=FALSE,"",IF((('Dvd Calendar'!$X$1753=TYPE1)*(TYPE1&lt;&gt;"")+('Dvd Calendar'!$X$1753=TYPE2)*(TYPE2&lt;&gt;"")+('Dvd Calendar'!$X$1753=TYPE3)*(TYPE3&lt;&gt;"")+('Dvd Calendar'!$X$1753=TYPE4)*(TYPE4&lt;&gt;"")+('Dvd Calendar'!$X$1753=SPECIAL_LBL)*(INC_SPECIALS="Y"))=0,"",'Dvd Calendar'!$X$1751)))</f>
        <v/>
      </c>
      <c r="W177" s="161">
        <f>IF(EY177="","",IF(ISNUMBER('Dvd Calendar'!$Y$1751)=FALSE,"",IF((('Dvd Calendar'!$Y$1753=TYPE1)*(TYPE1&lt;&gt;"")+('Dvd Calendar'!$Y$1753=TYPE2)*(TYPE2&lt;&gt;"")+('Dvd Calendar'!$Y$1753=TYPE3)*(TYPE3&lt;&gt;"")+('Dvd Calendar'!$Y$1753=TYPE4)*(TYPE4&lt;&gt;"")+('Dvd Calendar'!$Y$1753=SPECIAL_LBL)*(INC_SPECIALS="Y"))=0,"",'Dvd Calendar'!$Y$1751)))</f>
        <v/>
      </c>
      <c r="X177" s="161">
        <f>IF(EZ177="","",IF(ISNUMBER('Dvd Calendar'!$Z$1751)=FALSE,"",IF((('Dvd Calendar'!$Z$1753=TYPE1)*(TYPE1&lt;&gt;"")+('Dvd Calendar'!$Z$1753=TYPE2)*(TYPE2&lt;&gt;"")+('Dvd Calendar'!$Z$1753=TYPE3)*(TYPE3&lt;&gt;"")+('Dvd Calendar'!$Z$1753=TYPE4)*(TYPE4&lt;&gt;"")+('Dvd Calendar'!$Z$1753=SPECIAL_LBL)*(INC_SPECIALS="Y"))=0,"",'Dvd Calendar'!$Z$1751)))</f>
        <v/>
      </c>
      <c r="Y177" s="161">
        <f>IF(FA177="","",IF(ISNUMBER('Dvd Calendar'!$AA$1751)=FALSE,"",IF((('Dvd Calendar'!$AA$1753=TYPE1)*(TYPE1&lt;&gt;"")+('Dvd Calendar'!$AA$1753=TYPE2)*(TYPE2&lt;&gt;"")+('Dvd Calendar'!$AA$1753=TYPE3)*(TYPE3&lt;&gt;"")+('Dvd Calendar'!$AA$1753=TYPE4)*(TYPE4&lt;&gt;"")+('Dvd Calendar'!$AA$1753=SPECIAL_LBL)*(INC_SPECIALS="Y"))=0,"",'Dvd Calendar'!$AA$1751)))</f>
        <v/>
      </c>
      <c r="Z177" s="161">
        <f>IF(FB177="","",IF(ISNUMBER('Dvd Calendar'!$AB$1751)=FALSE,"",IF((('Dvd Calendar'!$AB$1753=TYPE1)*(TYPE1&lt;&gt;"")+('Dvd Calendar'!$AB$1753=TYPE2)*(TYPE2&lt;&gt;"")+('Dvd Calendar'!$AB$1753=TYPE3)*(TYPE3&lt;&gt;"")+('Dvd Calendar'!$AB$1753=TYPE4)*(TYPE4&lt;&gt;"")+('Dvd Calendar'!$AB$1753=SPECIAL_LBL)*(INC_SPECIALS="Y"))=0,"",'Dvd Calendar'!$AB$1751)))</f>
        <v/>
      </c>
      <c r="AA177" s="161">
        <f>IF(FC177="","",IF(ISNUMBER('Dvd Calendar'!$AC$1751)=FALSE,"",IF((('Dvd Calendar'!$AC$1753=TYPE1)*(TYPE1&lt;&gt;"")+('Dvd Calendar'!$AC$1753=TYPE2)*(TYPE2&lt;&gt;"")+('Dvd Calendar'!$AC$1753=TYPE3)*(TYPE3&lt;&gt;"")+('Dvd Calendar'!$AC$1753=TYPE4)*(TYPE4&lt;&gt;"")+('Dvd Calendar'!$AC$1753=SPECIAL_LBL)*(INC_SPECIALS="Y"))=0,"",'Dvd Calendar'!$AC$1751)))</f>
        <v/>
      </c>
      <c r="AB177" s="161">
        <f>IF(FD177="","",IF(ISNUMBER('Dvd Calendar'!$AD$1751)=FALSE,"",IF((('Dvd Calendar'!$AD$1753=TYPE1)*(TYPE1&lt;&gt;"")+('Dvd Calendar'!$AD$1753=TYPE2)*(TYPE2&lt;&gt;"")+('Dvd Calendar'!$AD$1753=TYPE3)*(TYPE3&lt;&gt;"")+('Dvd Calendar'!$AD$1753=TYPE4)*(TYPE4&lt;&gt;"")+('Dvd Calendar'!$AD$1753=SPECIAL_LBL)*(INC_SPECIALS="Y"))=0,"",'Dvd Calendar'!$AD$1751)))</f>
        <v/>
      </c>
      <c r="AC177" s="161">
        <f>IF(FE177="","",IF(ISNUMBER('Dvd Calendar'!$AE$1751)=FALSE,"",IF((('Dvd Calendar'!$AE$1753=TYPE1)*(TYPE1&lt;&gt;"")+('Dvd Calendar'!$AE$1753=TYPE2)*(TYPE2&lt;&gt;"")+('Dvd Calendar'!$AE$1753=TYPE3)*(TYPE3&lt;&gt;"")+('Dvd Calendar'!$AE$1753=TYPE4)*(TYPE4&lt;&gt;"")+('Dvd Calendar'!$AE$1753=SPECIAL_LBL)*(INC_SPECIALS="Y"))=0,"",'Dvd Calendar'!$AE$1751)))</f>
        <v/>
      </c>
      <c r="AD177" s="161">
        <f>IF(FF177="","",IF(ISNUMBER('Dvd Calendar'!$AF$1751)=FALSE,"",IF((('Dvd Calendar'!$AF$1753=TYPE1)*(TYPE1&lt;&gt;"")+('Dvd Calendar'!$AF$1753=TYPE2)*(TYPE2&lt;&gt;"")+('Dvd Calendar'!$AF$1753=TYPE3)*(TYPE3&lt;&gt;"")+('Dvd Calendar'!$AF$1753=TYPE4)*(TYPE4&lt;&gt;"")+('Dvd Calendar'!$AF$1753=SPECIAL_LBL)*(INC_SPECIALS="Y"))=0,"",'Dvd Calendar'!$AF$1751)))</f>
        <v/>
      </c>
      <c r="AE177" s="161">
        <f>IF(FG177="","",IF(ISNUMBER('Dvd Calendar'!$AG$1751)=FALSE,"",IF((('Dvd Calendar'!$AG$1753=TYPE1)*(TYPE1&lt;&gt;"")+('Dvd Calendar'!$AG$1753=TYPE2)*(TYPE2&lt;&gt;"")+('Dvd Calendar'!$AG$1753=TYPE3)*(TYPE3&lt;&gt;"")+('Dvd Calendar'!$AG$1753=TYPE4)*(TYPE4&lt;&gt;"")+('Dvd Calendar'!$AG$1753=SPECIAL_LBL)*(INC_SPECIALS="Y"))=0,"",'Dvd Calendar'!$AG$1751)))</f>
        <v/>
      </c>
      <c r="AF177" s="161">
        <f>IF(FH177="","",IF(ISNUMBER('Dvd Calendar'!$AH$1751)=FALSE,"",IF((('Dvd Calendar'!$AH$1753=TYPE1)*(TYPE1&lt;&gt;"")+('Dvd Calendar'!$AH$1753=TYPE2)*(TYPE2&lt;&gt;"")+('Dvd Calendar'!$AH$1753=TYPE3)*(TYPE3&lt;&gt;"")+('Dvd Calendar'!$AH$1753=TYPE4)*(TYPE4&lt;&gt;"")+('Dvd Calendar'!$AH$1753=SPECIAL_LBL)*(INC_SPECIALS="Y"))=0,"",'Dvd Calendar'!$AH$1751)))</f>
        <v/>
      </c>
      <c r="AG177" s="161">
        <f>IF(FI177="","",IF(ISNUMBER('Dvd Calendar'!$AI$1751)=FALSE,"",IF((('Dvd Calendar'!$AI$1753=TYPE1)*(TYPE1&lt;&gt;"")+('Dvd Calendar'!$AI$1753=TYPE2)*(TYPE2&lt;&gt;"")+('Dvd Calendar'!$AI$1753=TYPE3)*(TYPE3&lt;&gt;"")+('Dvd Calendar'!$AI$1753=TYPE4)*(TYPE4&lt;&gt;"")+('Dvd Calendar'!$AI$1753=SPECIAL_LBL)*(INC_SPECIALS="Y"))=0,"",'Dvd Calendar'!$AI$1751)))</f>
        <v/>
      </c>
      <c r="AH177" s="161">
        <f>IF(FJ177="","",IF(ISNUMBER('Dvd Calendar'!$AJ$1751)=FALSE,"",IF((('Dvd Calendar'!$AJ$1753=TYPE1)*(TYPE1&lt;&gt;"")+('Dvd Calendar'!$AJ$1753=TYPE2)*(TYPE2&lt;&gt;"")+('Dvd Calendar'!$AJ$1753=TYPE3)*(TYPE3&lt;&gt;"")+('Dvd Calendar'!$AJ$1753=TYPE4)*(TYPE4&lt;&gt;"")+('Dvd Calendar'!$AJ$1753=SPECIAL_LBL)*(INC_SPECIALS="Y"))=0,"",'Dvd Calendar'!$AJ$1751)))</f>
        <v/>
      </c>
      <c r="AI177" s="161">
        <f>IF(FK177="","",IF(ISNUMBER('Dvd Calendar'!$AK$1751)=FALSE,"",IF((('Dvd Calendar'!$AK$1753=TYPE1)*(TYPE1&lt;&gt;"")+('Dvd Calendar'!$AK$1753=TYPE2)*(TYPE2&lt;&gt;"")+('Dvd Calendar'!$AK$1753=TYPE3)*(TYPE3&lt;&gt;"")+('Dvd Calendar'!$AK$1753=TYPE4)*(TYPE4&lt;&gt;"")+('Dvd Calendar'!$AK$1753=SPECIAL_LBL)*(INC_SPECIALS="Y"))=0,"",'Dvd Calendar'!$AK$1751)))</f>
        <v/>
      </c>
      <c r="AJ177" s="161">
        <f>IF(FL177="","",IF(ISNUMBER('Dvd Calendar'!$AL$1751)=FALSE,"",IF((('Dvd Calendar'!$AL$1753=TYPE1)*(TYPE1&lt;&gt;"")+('Dvd Calendar'!$AL$1753=TYPE2)*(TYPE2&lt;&gt;"")+('Dvd Calendar'!$AL$1753=TYPE3)*(TYPE3&lt;&gt;"")+('Dvd Calendar'!$AL$1753=TYPE4)*(TYPE4&lt;&gt;"")+('Dvd Calendar'!$AL$1753=SPECIAL_LBL)*(INC_SPECIALS="Y"))=0,"",'Dvd Calendar'!$AL$1751)))</f>
        <v/>
      </c>
      <c r="AK177" s="161">
        <f>IF(FM177="","",IF(ISNUMBER('Dvd Calendar'!$AM$1751)=FALSE,"",IF((('Dvd Calendar'!$AM$1753=TYPE1)*(TYPE1&lt;&gt;"")+('Dvd Calendar'!$AM$1753=TYPE2)*(TYPE2&lt;&gt;"")+('Dvd Calendar'!$AM$1753=TYPE3)*(TYPE3&lt;&gt;"")+('Dvd Calendar'!$AM$1753=TYPE4)*(TYPE4&lt;&gt;"")+('Dvd Calendar'!$AM$1753=SPECIAL_LBL)*(INC_SPECIALS="Y"))=0,"",'Dvd Calendar'!$AM$1751)))</f>
        <v/>
      </c>
      <c r="AL177" s="161">
        <f>IF(FN177="","",IF(ISNUMBER('Dvd Calendar'!$AN$1751)=FALSE,"",IF((('Dvd Calendar'!$AN$1753=TYPE1)*(TYPE1&lt;&gt;"")+('Dvd Calendar'!$AN$1753=TYPE2)*(TYPE2&lt;&gt;"")+('Dvd Calendar'!$AN$1753=TYPE3)*(TYPE3&lt;&gt;"")+('Dvd Calendar'!$AN$1753=TYPE4)*(TYPE4&lt;&gt;"")+('Dvd Calendar'!$AN$1753=SPECIAL_LBL)*(INC_SPECIALS="Y"))=0,"",'Dvd Calendar'!$AN$1751)))</f>
        <v/>
      </c>
      <c r="AM177" s="161">
        <f>IF(FO177="","",IF(ISNUMBER('Dvd Calendar'!$AO$1751)=FALSE,"",IF((('Dvd Calendar'!$AO$1753=TYPE1)*(TYPE1&lt;&gt;"")+('Dvd Calendar'!$AO$1753=TYPE2)*(TYPE2&lt;&gt;"")+('Dvd Calendar'!$AO$1753=TYPE3)*(TYPE3&lt;&gt;"")+('Dvd Calendar'!$AO$1753=TYPE4)*(TYPE4&lt;&gt;"")+('Dvd Calendar'!$AO$1753=SPECIAL_LBL)*(INC_SPECIALS="Y"))=0,"",'Dvd Calendar'!$AO$1751)))</f>
        <v/>
      </c>
      <c r="AN177" s="161">
        <f>IF(FP177="","",IF(ISNUMBER('Dvd Calendar'!$AP$1751)=FALSE,"",IF((('Dvd Calendar'!$AP$1753=TYPE1)*(TYPE1&lt;&gt;"")+('Dvd Calendar'!$AP$1753=TYPE2)*(TYPE2&lt;&gt;"")+('Dvd Calendar'!$AP$1753=TYPE3)*(TYPE3&lt;&gt;"")+('Dvd Calendar'!$AP$1753=TYPE4)*(TYPE4&lt;&gt;"")+('Dvd Calendar'!$AP$1753=SPECIAL_LBL)*(INC_SPECIALS="Y"))=0,"",'Dvd Calendar'!$AP$1751)))</f>
        <v/>
      </c>
      <c r="AO177" s="161">
        <f>IF(FQ177="","",IF(ISNUMBER('Dvd Calendar'!$AQ$1751)=FALSE,"",IF((('Dvd Calendar'!$AQ$1753=TYPE1)*(TYPE1&lt;&gt;"")+('Dvd Calendar'!$AQ$1753=TYPE2)*(TYPE2&lt;&gt;"")+('Dvd Calendar'!$AQ$1753=TYPE3)*(TYPE3&lt;&gt;"")+('Dvd Calendar'!$AQ$1753=TYPE4)*(TYPE4&lt;&gt;"")+('Dvd Calendar'!$AQ$1753=SPECIAL_LBL)*(INC_SPECIALS="Y"))=0,"",'Dvd Calendar'!$AQ$1751)))</f>
        <v/>
      </c>
      <c r="AP177" s="161">
        <f>IF(FR177="","",IF(ISNUMBER('Dvd Calendar'!$AR$1751)=FALSE,"",IF((('Dvd Calendar'!$AR$1753=TYPE1)*(TYPE1&lt;&gt;"")+('Dvd Calendar'!$AR$1753=TYPE2)*(TYPE2&lt;&gt;"")+('Dvd Calendar'!$AR$1753=TYPE3)*(TYPE3&lt;&gt;"")+('Dvd Calendar'!$AR$1753=TYPE4)*(TYPE4&lt;&gt;"")+('Dvd Calendar'!$AR$1753=SPECIAL_LBL)*(INC_SPECIALS="Y"))=0,"",'Dvd Calendar'!$AR$1751)))</f>
        <v/>
      </c>
      <c r="AQ177" s="161">
        <f>IF(FS177="","",IF(ISNUMBER('Dvd Calendar'!$E$1756)=FALSE,"",'Dvd Calendar'!$E$1756))</f>
        <v/>
      </c>
      <c r="AR177" s="161">
        <f>IF(FT177="","",IF(ISNUMBER('Dvd Calendar'!$F$1756)=FALSE,"",'Dvd Calendar'!$F$1756))</f>
        <v/>
      </c>
      <c r="AS177" s="161">
        <f>IF(FU177="","",IF(ISNUMBER('Dvd Calendar'!$G$1756)=FALSE,"",'Dvd Calendar'!$G$1756))</f>
        <v/>
      </c>
      <c r="AT177" s="161">
        <f>IF(FV177="","",IF(ISNUMBER('Dvd Calendar'!$H$1756)=FALSE,"",'Dvd Calendar'!$H$1756))</f>
        <v/>
      </c>
      <c r="AU177" s="161">
        <f>IF(FW177="","",IF(ISNUMBER('Dvd Calendar'!$I$1756)=FALSE,"",'Dvd Calendar'!$I$1756))</f>
        <v/>
      </c>
      <c r="AV177" s="161">
        <f>IF(FX177="","",IF(ISNUMBER('Dvd Calendar'!$J$1756)=FALSE,"",'Dvd Calendar'!$J$1756))</f>
        <v/>
      </c>
      <c r="AW177" s="161">
        <f>IF(FY177="","",IF(ISNUMBER('Dvd Calendar'!$K$1756)=FALSE,"",'Dvd Calendar'!$K$1756))</f>
        <v/>
      </c>
      <c r="AX177" s="161">
        <f>IF(FZ177="","",IF(ISNUMBER('Dvd Calendar'!$L$1756)=FALSE,"",'Dvd Calendar'!$L$1756))</f>
        <v/>
      </c>
      <c r="AY177" s="161">
        <f>IF(GA177="","",IF(ISNUMBER('Dvd Calendar'!$M$1756)=FALSE,"",'Dvd Calendar'!$M$1756))</f>
        <v/>
      </c>
      <c r="AZ177" s="161">
        <f>IF(GB177="","",IF(ISNUMBER('Dvd Calendar'!$N$1756)=FALSE,"",'Dvd Calendar'!$N$1756))</f>
        <v/>
      </c>
      <c r="BA177" s="161">
        <f>IF(GC177="","",IF(ISNUMBER('Dvd Calendar'!$O$1756)=FALSE,"",'Dvd Calendar'!$O$1756))</f>
        <v/>
      </c>
      <c r="BB177" s="161">
        <f>IF(GD177="","",IF(ISNUMBER('Dvd Calendar'!$P$1756)=FALSE,"",'Dvd Calendar'!$P$1756))</f>
        <v/>
      </c>
      <c r="BC177" s="161">
        <f>IF(GE177="","",IF(ISNUMBER('Dvd Calendar'!$Q$1756)=FALSE,"",'Dvd Calendar'!$Q$1756))</f>
        <v/>
      </c>
      <c r="BD177" s="161">
        <f>IF(GF177="","",IF(ISNUMBER('Dvd Calendar'!$R$1756)=FALSE,"",'Dvd Calendar'!$R$1756))</f>
        <v/>
      </c>
      <c r="BE177" s="161">
        <f>IF(GG177="","",IF(ISNUMBER('Dvd Calendar'!$S$1756)=FALSE,"",'Dvd Calendar'!$S$1756))</f>
        <v/>
      </c>
      <c r="BF177" s="161">
        <f>IF(GH177="","",IF(ISNUMBER('Dvd Calendar'!$T$1756)=FALSE,"",'Dvd Calendar'!$T$1756))</f>
        <v/>
      </c>
      <c r="BG177" s="161">
        <f>IF(GI177="","",IF(ISNUMBER('Dvd Calendar'!$U$1756)=FALSE,"",'Dvd Calendar'!$U$1756))</f>
        <v/>
      </c>
      <c r="BH177" s="161">
        <f>IF(GJ177="","",IF(ISNUMBER('Dvd Calendar'!$V$1756)=FALSE,"",'Dvd Calendar'!$V$1756))</f>
        <v/>
      </c>
      <c r="BI177" s="161">
        <f>IF(GK177="","",IF(ISNUMBER('Dvd Calendar'!$W$1756)=FALSE,"",'Dvd Calendar'!$W$1756))</f>
        <v/>
      </c>
      <c r="BJ177" s="161">
        <f>IF(GL177="","",IF(ISNUMBER('Dvd Calendar'!$X$1756)=FALSE,"",'Dvd Calendar'!$X$1756))</f>
        <v/>
      </c>
      <c r="BK177" s="161">
        <f>IF(GM177="","",IF(ISNUMBER('Dvd Calendar'!$Y$1756)=FALSE,"",'Dvd Calendar'!$Y$1756))</f>
        <v/>
      </c>
      <c r="BL177" s="161">
        <f>IF(GN177="","",IF(ISNUMBER('Dvd Calendar'!$Z$1756)=FALSE,"",'Dvd Calendar'!$Z$1756))</f>
        <v/>
      </c>
      <c r="BM177" s="161">
        <f>IF(GO177="","",IF(ISNUMBER('Dvd Calendar'!$AA$1756)=FALSE,"",'Dvd Calendar'!$AA$1756))</f>
        <v/>
      </c>
      <c r="BN177" s="161">
        <f>IF(GP177="","",IF(ISNUMBER('Dvd Calendar'!$AB$1756)=FALSE,"",'Dvd Calendar'!$AB$1756))</f>
        <v/>
      </c>
      <c r="BO177" s="161">
        <f>IF(GQ177="","",IF(ISNUMBER('Dvd Calendar'!$AC$1756)=FALSE,"",'Dvd Calendar'!$AC$1756))</f>
        <v/>
      </c>
      <c r="BQ177" s="161">
        <f>IF(C177="","",IFERROR(C177*HSCEI!$B$24*HSCEI!$G$24/HSCEI!$B$3,""))</f>
        <v/>
      </c>
      <c r="BR177" s="161">
        <f>IF(D177="","",IFERROR(D177*HSCEI!$B$24*HSCEI!$G$24/HSCEI!$B$3,""))</f>
        <v/>
      </c>
      <c r="BS177" s="161">
        <f>IF(E177="","",IFERROR(E177*HSCEI!$B$24*HSCEI!$G$24/HSCEI!$B$3,""))</f>
        <v/>
      </c>
      <c r="BT177" s="161">
        <f>IF(F177="","",IFERROR(F177*HSCEI!$B$24*HSCEI!$G$24/HSCEI!$B$3,""))</f>
        <v/>
      </c>
      <c r="BU177" s="161">
        <f>IF(G177="","",IFERROR(G177*HSCEI!$B$24*HSCEI!$G$24/HSCEI!$B$3,""))</f>
        <v/>
      </c>
      <c r="BV177" s="161">
        <f>IF(H177="","",IFERROR(H177*HSCEI!$B$24*HSCEI!$G$24/HSCEI!$B$3,""))</f>
        <v/>
      </c>
      <c r="BW177" s="161">
        <f>IF(I177="","",IFERROR(I177*HSCEI!$B$24*HSCEI!$G$24/HSCEI!$B$3,""))</f>
        <v/>
      </c>
      <c r="BX177" s="161">
        <f>IF(J177="","",IFERROR(J177*HSCEI!$B$24*HSCEI!$G$24/HSCEI!$B$3,""))</f>
        <v/>
      </c>
      <c r="BY177" s="161">
        <f>IF(K177="","",IFERROR(K177*HSCEI!$B$24*HSCEI!$G$24/HSCEI!$B$3,""))</f>
        <v/>
      </c>
      <c r="BZ177" s="161">
        <f>IF(L177="","",IFERROR(L177*HSCEI!$B$24*HSCEI!$G$24/HSCEI!$B$3,""))</f>
        <v/>
      </c>
      <c r="CA177" s="161">
        <f>IF(M177="","",IFERROR(M177*HSCEI!$B$24*HSCEI!$G$24/HSCEI!$B$3,""))</f>
        <v/>
      </c>
      <c r="CB177" s="161">
        <f>IF(N177="","",IFERROR(N177*HSCEI!$B$24*HSCEI!$G$24/HSCEI!$B$3,""))</f>
        <v/>
      </c>
      <c r="CC177" s="161">
        <f>IF(O177="","",IFERROR(O177*HSCEI!$B$24*HSCEI!$G$24/HSCEI!$B$3,""))</f>
        <v/>
      </c>
      <c r="CD177" s="161">
        <f>IF(P177="","",IFERROR(P177*HSCEI!$B$24*HSCEI!$G$24/HSCEI!$B$3,""))</f>
        <v/>
      </c>
      <c r="CE177" s="161">
        <f>IF(Q177="","",IFERROR(Q177*HSCEI!$B$24*HSCEI!$G$24/HSCEI!$B$3,""))</f>
        <v/>
      </c>
      <c r="CF177" s="161">
        <f>IF(R177="","",IFERROR(R177*HSCEI!$B$24*HSCEI!$G$24/HSCEI!$B$3,""))</f>
        <v/>
      </c>
      <c r="CG177" s="161">
        <f>IF(S177="","",IFERROR(S177*HSCEI!$B$24*HSCEI!$G$24/HSCEI!$B$3,""))</f>
        <v/>
      </c>
      <c r="CH177" s="161">
        <f>IF(T177="","",IFERROR(T177*HSCEI!$B$24*HSCEI!$G$24/HSCEI!$B$3,""))</f>
        <v/>
      </c>
      <c r="CI177" s="161">
        <f>IF(U177="","",IFERROR(U177*HSCEI!$B$24*HSCEI!$G$24/HSCEI!$B$3,""))</f>
        <v/>
      </c>
      <c r="CJ177" s="161">
        <f>IF(V177="","",IFERROR(V177*HSCEI!$B$24*HSCEI!$G$24/HSCEI!$B$3,""))</f>
        <v/>
      </c>
      <c r="CK177" s="161">
        <f>IF(W177="","",IFERROR(W177*HSCEI!$B$24*HSCEI!$G$24/HSCEI!$B$3,""))</f>
        <v/>
      </c>
      <c r="CL177" s="161">
        <f>IF(X177="","",IFERROR(X177*HSCEI!$B$24*HSCEI!$G$24/HSCEI!$B$3,""))</f>
        <v/>
      </c>
      <c r="CM177" s="161">
        <f>IF(Y177="","",IFERROR(Y177*HSCEI!$B$24*HSCEI!$G$24/HSCEI!$B$3,""))</f>
        <v/>
      </c>
      <c r="CN177" s="161">
        <f>IF(Z177="","",IFERROR(Z177*HSCEI!$B$24*HSCEI!$G$24/HSCEI!$B$3,""))</f>
        <v/>
      </c>
      <c r="CO177" s="161">
        <f>IF(AA177="","",IFERROR(AA177*HSCEI!$B$24*HSCEI!$G$24/HSCEI!$B$3,""))</f>
        <v/>
      </c>
      <c r="CP177" s="161">
        <f>IF(AB177="","",IFERROR(AB177*HSCEI!$B$24*HSCEI!$G$24/HSCEI!$B$3,""))</f>
        <v/>
      </c>
      <c r="CQ177" s="161">
        <f>IF(AC177="","",IFERROR(AC177*HSCEI!$B$24*HSCEI!$G$24/HSCEI!$B$3,""))</f>
        <v/>
      </c>
      <c r="CR177" s="161">
        <f>IF(AD177="","",IFERROR(AD177*HSCEI!$B$24*HSCEI!$G$24/HSCEI!$B$3,""))</f>
        <v/>
      </c>
      <c r="CS177" s="161">
        <f>IF(AE177="","",IFERROR(AE177*HSCEI!$B$24*HSCEI!$G$24/HSCEI!$B$3,""))</f>
        <v/>
      </c>
      <c r="CT177" s="161">
        <f>IF(AF177="","",IFERROR(AF177*HSCEI!$B$24*HSCEI!$G$24/HSCEI!$B$3,""))</f>
        <v/>
      </c>
      <c r="CU177" s="161">
        <f>IF(AG177="","",IFERROR(AG177*HSCEI!$B$24*HSCEI!$G$24/HSCEI!$B$3,""))</f>
        <v/>
      </c>
      <c r="CV177" s="161">
        <f>IF(AH177="","",IFERROR(AH177*HSCEI!$B$24*HSCEI!$G$24/HSCEI!$B$3,""))</f>
        <v/>
      </c>
      <c r="CW177" s="161">
        <f>IF(AI177="","",IFERROR(AI177*HSCEI!$B$24*HSCEI!$G$24/HSCEI!$B$3,""))</f>
        <v/>
      </c>
      <c r="CX177" s="161">
        <f>IF(AJ177="","",IFERROR(AJ177*HSCEI!$B$24*HSCEI!$G$24/HSCEI!$B$3,""))</f>
        <v/>
      </c>
      <c r="CY177" s="161">
        <f>IF(AK177="","",IFERROR(AK177*HSCEI!$B$24*HSCEI!$G$24/HSCEI!$B$3,""))</f>
        <v/>
      </c>
      <c r="CZ177" s="161">
        <f>IF(AL177="","",IFERROR(AL177*HSCEI!$B$24*HSCEI!$G$24/HSCEI!$B$3,""))</f>
        <v/>
      </c>
      <c r="DA177" s="161">
        <f>IF(AM177="","",IFERROR(AM177*HSCEI!$B$24*HSCEI!$G$24/HSCEI!$B$3,""))</f>
        <v/>
      </c>
      <c r="DB177" s="161">
        <f>IF(AN177="","",IFERROR(AN177*HSCEI!$B$24*HSCEI!$G$24/HSCEI!$B$3,""))</f>
        <v/>
      </c>
      <c r="DC177" s="161">
        <f>IF(AO177="","",IFERROR(AO177*HSCEI!$B$24*HSCEI!$G$24/HSCEI!$B$3,""))</f>
        <v/>
      </c>
      <c r="DD177" s="161">
        <f>IF(AP177="","",IFERROR(AP177*HSCEI!$B$24*HSCEI!$G$24/HSCEI!$B$3,""))</f>
        <v/>
      </c>
      <c r="DE177" s="161">
        <f>IF(AQ177="","",IFERROR(AQ177*HSCEI!$B$24*HSCEI!$G$24/HSCEI!$B$3,""))</f>
        <v/>
      </c>
      <c r="DF177" s="161">
        <f>IF(AR177="","",IFERROR(AR177*HSCEI!$B$24*HSCEI!$G$24/HSCEI!$B$3,""))</f>
        <v/>
      </c>
      <c r="DG177" s="161">
        <f>IF(AS177="","",IFERROR(AS177*HSCEI!$B$24*HSCEI!$G$24/HSCEI!$B$3,""))</f>
        <v/>
      </c>
      <c r="DH177" s="161">
        <f>IF(AT177="","",IFERROR(AT177*HSCEI!$B$24*HSCEI!$G$24/HSCEI!$B$3,""))</f>
        <v/>
      </c>
      <c r="DI177" s="161">
        <f>IF(AU177="","",IFERROR(AU177*HSCEI!$B$24*HSCEI!$G$24/HSCEI!$B$3,""))</f>
        <v/>
      </c>
      <c r="DJ177" s="161">
        <f>IF(AV177="","",IFERROR(AV177*HSCEI!$B$24*HSCEI!$G$24/HSCEI!$B$3,""))</f>
        <v/>
      </c>
      <c r="DK177" s="161">
        <f>IF(AW177="","",IFERROR(AW177*HSCEI!$B$24*HSCEI!$G$24/HSCEI!$B$3,""))</f>
        <v/>
      </c>
      <c r="DL177" s="161">
        <f>IF(AX177="","",IFERROR(AX177*HSCEI!$B$24*HSCEI!$G$24/HSCEI!$B$3,""))</f>
        <v/>
      </c>
      <c r="DM177" s="161">
        <f>IF(AY177="","",IFERROR(AY177*HSCEI!$B$24*HSCEI!$G$24/HSCEI!$B$3,""))</f>
        <v/>
      </c>
      <c r="DN177" s="161">
        <f>IF(AZ177="","",IFERROR(AZ177*HSCEI!$B$24*HSCEI!$G$24/HSCEI!$B$3,""))</f>
        <v/>
      </c>
      <c r="DO177" s="161">
        <f>IF(BA177="","",IFERROR(BA177*HSCEI!$B$24*HSCEI!$G$24/HSCEI!$B$3,""))</f>
        <v/>
      </c>
      <c r="DP177" s="161">
        <f>IF(BB177="","",IFERROR(BB177*HSCEI!$B$24*HSCEI!$G$24/HSCEI!$B$3,""))</f>
        <v/>
      </c>
      <c r="DQ177" s="161">
        <f>IF(BC177="","",IFERROR(BC177*HSCEI!$B$24*HSCEI!$G$24/HSCEI!$B$3,""))</f>
        <v/>
      </c>
      <c r="DR177" s="161">
        <f>IF(BD177="","",IFERROR(BD177*HSCEI!$B$24*HSCEI!$G$24/HSCEI!$B$3,""))</f>
        <v/>
      </c>
      <c r="DS177" s="161">
        <f>IF(BE177="","",IFERROR(BE177*HSCEI!$B$24*HSCEI!$G$24/HSCEI!$B$3,""))</f>
        <v/>
      </c>
      <c r="DT177" s="161">
        <f>IF(BF177="","",IFERROR(BF177*HSCEI!$B$24*HSCEI!$G$24/HSCEI!$B$3,""))</f>
        <v/>
      </c>
      <c r="DU177" s="161">
        <f>IF(BG177="","",IFERROR(BG177*HSCEI!$B$24*HSCEI!$G$24/HSCEI!$B$3,""))</f>
        <v/>
      </c>
      <c r="DV177" s="161">
        <f>IF(BH177="","",IFERROR(BH177*HSCEI!$B$24*HSCEI!$G$24/HSCEI!$B$3,""))</f>
        <v/>
      </c>
      <c r="DW177" s="161">
        <f>IF(BI177="","",IFERROR(BI177*HSCEI!$B$24*HSCEI!$G$24/HSCEI!$B$3,""))</f>
        <v/>
      </c>
      <c r="DX177" s="161">
        <f>IF(BJ177="","",IFERROR(BJ177*HSCEI!$B$24*HSCEI!$G$24/HSCEI!$B$3,""))</f>
        <v/>
      </c>
      <c r="DY177" s="161">
        <f>IF(BK177="","",IFERROR(BK177*HSCEI!$B$24*HSCEI!$G$24/HSCEI!$B$3,""))</f>
        <v/>
      </c>
      <c r="DZ177" s="161">
        <f>IF(BL177="","",IFERROR(BL177*HSCEI!$B$24*HSCEI!$G$24/HSCEI!$B$3,""))</f>
        <v/>
      </c>
      <c r="EA177" s="161">
        <f>IF(BM177="","",IFERROR(BM177*HSCEI!$B$24*HSCEI!$G$24/HSCEI!$B$3,""))</f>
        <v/>
      </c>
      <c r="EB177" s="161">
        <f>IF(BN177="","",IFERROR(BN177*HSCEI!$B$24*HSCEI!$G$24/HSCEI!$B$3,""))</f>
        <v/>
      </c>
      <c r="EC177" s="161">
        <f>IF(BO177="","",IFERROR(BO177*HSCEI!$B$24*HSCEI!$G$24/HSCEI!$B$3,""))</f>
        <v/>
      </c>
      <c r="EE177" s="121">
        <f>IF(N('Dvd Calendar'!$E$1748)=0,"",IF(('Dvd Calendar'!$E$1748&gt;=GRID_FROM)*('Dvd Calendar'!$E$1748&lt;=GRID_TO)*((('Dvd Calendar'!$E$1748&lt;=VAL_DATE)+(COUNTIF('Dvd Calendar'!$E$1755:$AR$1755,'Dvd Calendar'!$E$1748)=0))&gt;0)=0,"",'Dvd Calendar'!$E$1748*1000000000+ISNUMBER('Dvd Calendar'!$E$1751)*100000000+('Dvd Calendar'!$E$1753=SPECIAL_LBL)*10000000+(N('Dvd Calendar'!$E$1747)&gt;0)*(N('Dvd Calendar'!$E$1747)&lt;=VAL_SERIAL)*1000000+18*1000+1))</f>
        <v/>
      </c>
      <c r="EF177" s="121">
        <f>IF(N('Dvd Calendar'!$F$1748)=0,"",IF(('Dvd Calendar'!$F$1748&gt;=GRID_FROM)*('Dvd Calendar'!$F$1748&lt;=GRID_TO)*((('Dvd Calendar'!$F$1748&lt;=VAL_DATE)+(COUNTIF('Dvd Calendar'!$E$1755:$AR$1755,'Dvd Calendar'!$F$1748)=0))&gt;0)=0,"",'Dvd Calendar'!$F$1748*1000000000+ISNUMBER('Dvd Calendar'!$F$1751)*100000000+('Dvd Calendar'!$F$1753=SPECIAL_LBL)*10000000+(N('Dvd Calendar'!$F$1747)&gt;0)*(N('Dvd Calendar'!$F$1747)&lt;=VAL_SERIAL)*1000000+18*1000+2))</f>
        <v/>
      </c>
      <c r="EG177" s="121">
        <f>IF(N('Dvd Calendar'!$G$1748)=0,"",IF(('Dvd Calendar'!$G$1748&gt;=GRID_FROM)*('Dvd Calendar'!$G$1748&lt;=GRID_TO)*((('Dvd Calendar'!$G$1748&lt;=VAL_DATE)+(COUNTIF('Dvd Calendar'!$E$1755:$AR$1755,'Dvd Calendar'!$G$1748)=0))&gt;0)=0,"",'Dvd Calendar'!$G$1748*1000000000+ISNUMBER('Dvd Calendar'!$G$1751)*100000000+('Dvd Calendar'!$G$1753=SPECIAL_LBL)*10000000+(N('Dvd Calendar'!$G$1747)&gt;0)*(N('Dvd Calendar'!$G$1747)&lt;=VAL_SERIAL)*1000000+18*1000+3))</f>
        <v/>
      </c>
      <c r="EH177" s="121">
        <f>IF(N('Dvd Calendar'!$H$1748)=0,"",IF(('Dvd Calendar'!$H$1748&gt;=GRID_FROM)*('Dvd Calendar'!$H$1748&lt;=GRID_TO)*((('Dvd Calendar'!$H$1748&lt;=VAL_DATE)+(COUNTIF('Dvd Calendar'!$E$1755:$AR$1755,'Dvd Calendar'!$H$1748)=0))&gt;0)=0,"",'Dvd Calendar'!$H$1748*1000000000+ISNUMBER('Dvd Calendar'!$H$1751)*100000000+('Dvd Calendar'!$H$1753=SPECIAL_LBL)*10000000+(N('Dvd Calendar'!$H$1747)&gt;0)*(N('Dvd Calendar'!$H$1747)&lt;=VAL_SERIAL)*1000000+18*1000+4))</f>
        <v/>
      </c>
      <c r="EI177" s="121">
        <f>IF(N('Dvd Calendar'!$I$1748)=0,"",IF(('Dvd Calendar'!$I$1748&gt;=GRID_FROM)*('Dvd Calendar'!$I$1748&lt;=GRID_TO)*((('Dvd Calendar'!$I$1748&lt;=VAL_DATE)+(COUNTIF('Dvd Calendar'!$E$1755:$AR$1755,'Dvd Calendar'!$I$1748)=0))&gt;0)=0,"",'Dvd Calendar'!$I$1748*1000000000+ISNUMBER('Dvd Calendar'!$I$1751)*100000000+('Dvd Calendar'!$I$1753=SPECIAL_LBL)*10000000+(N('Dvd Calendar'!$I$1747)&gt;0)*(N('Dvd Calendar'!$I$1747)&lt;=VAL_SERIAL)*1000000+18*1000+5))</f>
        <v/>
      </c>
      <c r="EJ177" s="121">
        <f>IF(N('Dvd Calendar'!$J$1748)=0,"",IF(('Dvd Calendar'!$J$1748&gt;=GRID_FROM)*('Dvd Calendar'!$J$1748&lt;=GRID_TO)*((('Dvd Calendar'!$J$1748&lt;=VAL_DATE)+(COUNTIF('Dvd Calendar'!$E$1755:$AR$1755,'Dvd Calendar'!$J$1748)=0))&gt;0)=0,"",'Dvd Calendar'!$J$1748*1000000000+ISNUMBER('Dvd Calendar'!$J$1751)*100000000+('Dvd Calendar'!$J$1753=SPECIAL_LBL)*10000000+(N('Dvd Calendar'!$J$1747)&gt;0)*(N('Dvd Calendar'!$J$1747)&lt;=VAL_SERIAL)*1000000+18*1000+6))</f>
        <v/>
      </c>
      <c r="EK177" s="121">
        <f>IF(N('Dvd Calendar'!$K$1748)=0,"",IF(('Dvd Calendar'!$K$1748&gt;=GRID_FROM)*('Dvd Calendar'!$K$1748&lt;=GRID_TO)*((('Dvd Calendar'!$K$1748&lt;=VAL_DATE)+(COUNTIF('Dvd Calendar'!$E$1755:$AR$1755,'Dvd Calendar'!$K$1748)=0))&gt;0)=0,"",'Dvd Calendar'!$K$1748*1000000000+ISNUMBER('Dvd Calendar'!$K$1751)*100000000+('Dvd Calendar'!$K$1753=SPECIAL_LBL)*10000000+(N('Dvd Calendar'!$K$1747)&gt;0)*(N('Dvd Calendar'!$K$1747)&lt;=VAL_SERIAL)*1000000+18*1000+7))</f>
        <v/>
      </c>
      <c r="EL177" s="121">
        <f>IF(N('Dvd Calendar'!$L$1748)=0,"",IF(('Dvd Calendar'!$L$1748&gt;=GRID_FROM)*('Dvd Calendar'!$L$1748&lt;=GRID_TO)*((('Dvd Calendar'!$L$1748&lt;=VAL_DATE)+(COUNTIF('Dvd Calendar'!$E$1755:$AR$1755,'Dvd Calendar'!$L$1748)=0))&gt;0)=0,"",'Dvd Calendar'!$L$1748*1000000000+ISNUMBER('Dvd Calendar'!$L$1751)*100000000+('Dvd Calendar'!$L$1753=SPECIAL_LBL)*10000000+(N('Dvd Calendar'!$L$1747)&gt;0)*(N('Dvd Calendar'!$L$1747)&lt;=VAL_SERIAL)*1000000+18*1000+8))</f>
        <v/>
      </c>
      <c r="EM177" s="121">
        <f>IF(N('Dvd Calendar'!$M$1748)=0,"",IF(('Dvd Calendar'!$M$1748&gt;=GRID_FROM)*('Dvd Calendar'!$M$1748&lt;=GRID_TO)*((('Dvd Calendar'!$M$1748&lt;=VAL_DATE)+(COUNTIF('Dvd Calendar'!$E$1755:$AR$1755,'Dvd Calendar'!$M$1748)=0))&gt;0)=0,"",'Dvd Calendar'!$M$1748*1000000000+ISNUMBER('Dvd Calendar'!$M$1751)*100000000+('Dvd Calendar'!$M$1753=SPECIAL_LBL)*10000000+(N('Dvd Calendar'!$M$1747)&gt;0)*(N('Dvd Calendar'!$M$1747)&lt;=VAL_SERIAL)*1000000+18*1000+9))</f>
        <v/>
      </c>
      <c r="EN177" s="121">
        <f>IF(N('Dvd Calendar'!$N$1748)=0,"",IF(('Dvd Calendar'!$N$1748&gt;=GRID_FROM)*('Dvd Calendar'!$N$1748&lt;=GRID_TO)*((('Dvd Calendar'!$N$1748&lt;=VAL_DATE)+(COUNTIF('Dvd Calendar'!$E$1755:$AR$1755,'Dvd Calendar'!$N$1748)=0))&gt;0)=0,"",'Dvd Calendar'!$N$1748*1000000000+ISNUMBER('Dvd Calendar'!$N$1751)*100000000+('Dvd Calendar'!$N$1753=SPECIAL_LBL)*10000000+(N('Dvd Calendar'!$N$1747)&gt;0)*(N('Dvd Calendar'!$N$1747)&lt;=VAL_SERIAL)*1000000+18*1000+10))</f>
        <v/>
      </c>
      <c r="EO177" s="121">
        <f>IF(N('Dvd Calendar'!$O$1748)=0,"",IF(('Dvd Calendar'!$O$1748&gt;=GRID_FROM)*('Dvd Calendar'!$O$1748&lt;=GRID_TO)*((('Dvd Calendar'!$O$1748&lt;=VAL_DATE)+(COUNTIF('Dvd Calendar'!$E$1755:$AR$1755,'Dvd Calendar'!$O$1748)=0))&gt;0)=0,"",'Dvd Calendar'!$O$1748*1000000000+ISNUMBER('Dvd Calendar'!$O$1751)*100000000+('Dvd Calendar'!$O$1753=SPECIAL_LBL)*10000000+(N('Dvd Calendar'!$O$1747)&gt;0)*(N('Dvd Calendar'!$O$1747)&lt;=VAL_SERIAL)*1000000+18*1000+11))</f>
        <v/>
      </c>
      <c r="EP177" s="121">
        <f>IF(N('Dvd Calendar'!$P$1748)=0,"",IF(('Dvd Calendar'!$P$1748&gt;=GRID_FROM)*('Dvd Calendar'!$P$1748&lt;=GRID_TO)*((('Dvd Calendar'!$P$1748&lt;=VAL_DATE)+(COUNTIF('Dvd Calendar'!$E$1755:$AR$1755,'Dvd Calendar'!$P$1748)=0))&gt;0)=0,"",'Dvd Calendar'!$P$1748*1000000000+ISNUMBER('Dvd Calendar'!$P$1751)*100000000+('Dvd Calendar'!$P$1753=SPECIAL_LBL)*10000000+(N('Dvd Calendar'!$P$1747)&gt;0)*(N('Dvd Calendar'!$P$1747)&lt;=VAL_SERIAL)*1000000+18*1000+12))</f>
        <v/>
      </c>
      <c r="EQ177" s="121">
        <f>IF(N('Dvd Calendar'!$Q$1748)=0,"",IF(('Dvd Calendar'!$Q$1748&gt;=GRID_FROM)*('Dvd Calendar'!$Q$1748&lt;=GRID_TO)*((('Dvd Calendar'!$Q$1748&lt;=VAL_DATE)+(COUNTIF('Dvd Calendar'!$E$1755:$AR$1755,'Dvd Calendar'!$Q$1748)=0))&gt;0)=0,"",'Dvd Calendar'!$Q$1748*1000000000+ISNUMBER('Dvd Calendar'!$Q$1751)*100000000+('Dvd Calendar'!$Q$1753=SPECIAL_LBL)*10000000+(N('Dvd Calendar'!$Q$1747)&gt;0)*(N('Dvd Calendar'!$Q$1747)&lt;=VAL_SERIAL)*1000000+18*1000+13))</f>
        <v/>
      </c>
      <c r="ER177" s="121">
        <f>IF(N('Dvd Calendar'!$R$1748)=0,"",IF(('Dvd Calendar'!$R$1748&gt;=GRID_FROM)*('Dvd Calendar'!$R$1748&lt;=GRID_TO)*((('Dvd Calendar'!$R$1748&lt;=VAL_DATE)+(COUNTIF('Dvd Calendar'!$E$1755:$AR$1755,'Dvd Calendar'!$R$1748)=0))&gt;0)=0,"",'Dvd Calendar'!$R$1748*1000000000+ISNUMBER('Dvd Calendar'!$R$1751)*100000000+('Dvd Calendar'!$R$1753=SPECIAL_LBL)*10000000+(N('Dvd Calendar'!$R$1747)&gt;0)*(N('Dvd Calendar'!$R$1747)&lt;=VAL_SERIAL)*1000000+18*1000+14))</f>
        <v/>
      </c>
      <c r="ES177" s="121">
        <f>IF(N('Dvd Calendar'!$S$1748)=0,"",IF(('Dvd Calendar'!$S$1748&gt;=GRID_FROM)*('Dvd Calendar'!$S$1748&lt;=GRID_TO)*((('Dvd Calendar'!$S$1748&lt;=VAL_DATE)+(COUNTIF('Dvd Calendar'!$E$1755:$AR$1755,'Dvd Calendar'!$S$1748)=0))&gt;0)=0,"",'Dvd Calendar'!$S$1748*1000000000+ISNUMBER('Dvd Calendar'!$S$1751)*100000000+('Dvd Calendar'!$S$1753=SPECIAL_LBL)*10000000+(N('Dvd Calendar'!$S$1747)&gt;0)*(N('Dvd Calendar'!$S$1747)&lt;=VAL_SERIAL)*1000000+18*1000+15))</f>
        <v/>
      </c>
      <c r="ET177" s="121">
        <f>IF(N('Dvd Calendar'!$T$1748)=0,"",IF(('Dvd Calendar'!$T$1748&gt;=GRID_FROM)*('Dvd Calendar'!$T$1748&lt;=GRID_TO)*((('Dvd Calendar'!$T$1748&lt;=VAL_DATE)+(COUNTIF('Dvd Calendar'!$E$1755:$AR$1755,'Dvd Calendar'!$T$1748)=0))&gt;0)=0,"",'Dvd Calendar'!$T$1748*1000000000+ISNUMBER('Dvd Calendar'!$T$1751)*100000000+('Dvd Calendar'!$T$1753=SPECIAL_LBL)*10000000+(N('Dvd Calendar'!$T$1747)&gt;0)*(N('Dvd Calendar'!$T$1747)&lt;=VAL_SERIAL)*1000000+18*1000+16))</f>
        <v/>
      </c>
      <c r="EU177" s="121">
        <f>IF(N('Dvd Calendar'!$U$1748)=0,"",IF(('Dvd Calendar'!$U$1748&gt;=GRID_FROM)*('Dvd Calendar'!$U$1748&lt;=GRID_TO)*((('Dvd Calendar'!$U$1748&lt;=VAL_DATE)+(COUNTIF('Dvd Calendar'!$E$1755:$AR$1755,'Dvd Calendar'!$U$1748)=0))&gt;0)=0,"",'Dvd Calendar'!$U$1748*1000000000+ISNUMBER('Dvd Calendar'!$U$1751)*100000000+('Dvd Calendar'!$U$1753=SPECIAL_LBL)*10000000+(N('Dvd Calendar'!$U$1747)&gt;0)*(N('Dvd Calendar'!$U$1747)&lt;=VAL_SERIAL)*1000000+18*1000+17))</f>
        <v/>
      </c>
      <c r="EV177" s="121">
        <f>IF(N('Dvd Calendar'!$V$1748)=0,"",IF(('Dvd Calendar'!$V$1748&gt;=GRID_FROM)*('Dvd Calendar'!$V$1748&lt;=GRID_TO)*((('Dvd Calendar'!$V$1748&lt;=VAL_DATE)+(COUNTIF('Dvd Calendar'!$E$1755:$AR$1755,'Dvd Calendar'!$V$1748)=0))&gt;0)=0,"",'Dvd Calendar'!$V$1748*1000000000+ISNUMBER('Dvd Calendar'!$V$1751)*100000000+('Dvd Calendar'!$V$1753=SPECIAL_LBL)*10000000+(N('Dvd Calendar'!$V$1747)&gt;0)*(N('Dvd Calendar'!$V$1747)&lt;=VAL_SERIAL)*1000000+18*1000+18))</f>
        <v/>
      </c>
      <c r="EW177" s="121">
        <f>IF(N('Dvd Calendar'!$W$1748)=0,"",IF(('Dvd Calendar'!$W$1748&gt;=GRID_FROM)*('Dvd Calendar'!$W$1748&lt;=GRID_TO)*((('Dvd Calendar'!$W$1748&lt;=VAL_DATE)+(COUNTIF('Dvd Calendar'!$E$1755:$AR$1755,'Dvd Calendar'!$W$1748)=0))&gt;0)=0,"",'Dvd Calendar'!$W$1748*1000000000+ISNUMBER('Dvd Calendar'!$W$1751)*100000000+('Dvd Calendar'!$W$1753=SPECIAL_LBL)*10000000+(N('Dvd Calendar'!$W$1747)&gt;0)*(N('Dvd Calendar'!$W$1747)&lt;=VAL_SERIAL)*1000000+18*1000+19))</f>
        <v/>
      </c>
      <c r="EX177" s="121">
        <f>IF(N('Dvd Calendar'!$X$1748)=0,"",IF(('Dvd Calendar'!$X$1748&gt;=GRID_FROM)*('Dvd Calendar'!$X$1748&lt;=GRID_TO)*((('Dvd Calendar'!$X$1748&lt;=VAL_DATE)+(COUNTIF('Dvd Calendar'!$E$1755:$AR$1755,'Dvd Calendar'!$X$1748)=0))&gt;0)=0,"",'Dvd Calendar'!$X$1748*1000000000+ISNUMBER('Dvd Calendar'!$X$1751)*100000000+('Dvd Calendar'!$X$1753=SPECIAL_LBL)*10000000+(N('Dvd Calendar'!$X$1747)&gt;0)*(N('Dvd Calendar'!$X$1747)&lt;=VAL_SERIAL)*1000000+18*1000+20))</f>
        <v/>
      </c>
      <c r="EY177" s="121">
        <f>IF(N('Dvd Calendar'!$Y$1748)=0,"",IF(('Dvd Calendar'!$Y$1748&gt;=GRID_FROM)*('Dvd Calendar'!$Y$1748&lt;=GRID_TO)*((('Dvd Calendar'!$Y$1748&lt;=VAL_DATE)+(COUNTIF('Dvd Calendar'!$E$1755:$AR$1755,'Dvd Calendar'!$Y$1748)=0))&gt;0)=0,"",'Dvd Calendar'!$Y$1748*1000000000+ISNUMBER('Dvd Calendar'!$Y$1751)*100000000+('Dvd Calendar'!$Y$1753=SPECIAL_LBL)*10000000+(N('Dvd Calendar'!$Y$1747)&gt;0)*(N('Dvd Calendar'!$Y$1747)&lt;=VAL_SERIAL)*1000000+18*1000+21))</f>
        <v/>
      </c>
      <c r="EZ177" s="121">
        <f>IF(N('Dvd Calendar'!$Z$1748)=0,"",IF(('Dvd Calendar'!$Z$1748&gt;=GRID_FROM)*('Dvd Calendar'!$Z$1748&lt;=GRID_TO)*((('Dvd Calendar'!$Z$1748&lt;=VAL_DATE)+(COUNTIF('Dvd Calendar'!$E$1755:$AR$1755,'Dvd Calendar'!$Z$1748)=0))&gt;0)=0,"",'Dvd Calendar'!$Z$1748*1000000000+ISNUMBER('Dvd Calendar'!$Z$1751)*100000000+('Dvd Calendar'!$Z$1753=SPECIAL_LBL)*10000000+(N('Dvd Calendar'!$Z$1747)&gt;0)*(N('Dvd Calendar'!$Z$1747)&lt;=VAL_SERIAL)*1000000+18*1000+22))</f>
        <v/>
      </c>
      <c r="FA177" s="121">
        <f>IF(N('Dvd Calendar'!$AA$1748)=0,"",IF(('Dvd Calendar'!$AA$1748&gt;=GRID_FROM)*('Dvd Calendar'!$AA$1748&lt;=GRID_TO)*((('Dvd Calendar'!$AA$1748&lt;=VAL_DATE)+(COUNTIF('Dvd Calendar'!$E$1755:$AR$1755,'Dvd Calendar'!$AA$1748)=0))&gt;0)=0,"",'Dvd Calendar'!$AA$1748*1000000000+ISNUMBER('Dvd Calendar'!$AA$1751)*100000000+('Dvd Calendar'!$AA$1753=SPECIAL_LBL)*10000000+(N('Dvd Calendar'!$AA$1747)&gt;0)*(N('Dvd Calendar'!$AA$1747)&lt;=VAL_SERIAL)*1000000+18*1000+23))</f>
        <v/>
      </c>
      <c r="FB177" s="121">
        <f>IF(N('Dvd Calendar'!$AB$1748)=0,"",IF(('Dvd Calendar'!$AB$1748&gt;=GRID_FROM)*('Dvd Calendar'!$AB$1748&lt;=GRID_TO)*((('Dvd Calendar'!$AB$1748&lt;=VAL_DATE)+(COUNTIF('Dvd Calendar'!$E$1755:$AR$1755,'Dvd Calendar'!$AB$1748)=0))&gt;0)=0,"",'Dvd Calendar'!$AB$1748*1000000000+ISNUMBER('Dvd Calendar'!$AB$1751)*100000000+('Dvd Calendar'!$AB$1753=SPECIAL_LBL)*10000000+(N('Dvd Calendar'!$AB$1747)&gt;0)*(N('Dvd Calendar'!$AB$1747)&lt;=VAL_SERIAL)*1000000+18*1000+24))</f>
        <v/>
      </c>
      <c r="FC177" s="121">
        <f>IF(N('Dvd Calendar'!$AC$1748)=0,"",IF(('Dvd Calendar'!$AC$1748&gt;=GRID_FROM)*('Dvd Calendar'!$AC$1748&lt;=GRID_TO)*((('Dvd Calendar'!$AC$1748&lt;=VAL_DATE)+(COUNTIF('Dvd Calendar'!$E$1755:$AR$1755,'Dvd Calendar'!$AC$1748)=0))&gt;0)=0,"",'Dvd Calendar'!$AC$1748*1000000000+ISNUMBER('Dvd Calendar'!$AC$1751)*100000000+('Dvd Calendar'!$AC$1753=SPECIAL_LBL)*10000000+(N('Dvd Calendar'!$AC$1747)&gt;0)*(N('Dvd Calendar'!$AC$1747)&lt;=VAL_SERIAL)*1000000+18*1000+25))</f>
        <v/>
      </c>
      <c r="FD177" s="121">
        <f>IF(N('Dvd Calendar'!$AD$1748)=0,"",IF(('Dvd Calendar'!$AD$1748&gt;=GRID_FROM)*('Dvd Calendar'!$AD$1748&lt;=GRID_TO)*((('Dvd Calendar'!$AD$1748&lt;=VAL_DATE)+(COUNTIF('Dvd Calendar'!$E$1755:$AR$1755,'Dvd Calendar'!$AD$1748)=0))&gt;0)=0,"",'Dvd Calendar'!$AD$1748*1000000000+ISNUMBER('Dvd Calendar'!$AD$1751)*100000000+('Dvd Calendar'!$AD$1753=SPECIAL_LBL)*10000000+(N('Dvd Calendar'!$AD$1747)&gt;0)*(N('Dvd Calendar'!$AD$1747)&lt;=VAL_SERIAL)*1000000+18*1000+26))</f>
        <v/>
      </c>
      <c r="FE177" s="121">
        <f>IF(N('Dvd Calendar'!$AE$1748)=0,"",IF(('Dvd Calendar'!$AE$1748&gt;=GRID_FROM)*('Dvd Calendar'!$AE$1748&lt;=GRID_TO)*((('Dvd Calendar'!$AE$1748&lt;=VAL_DATE)+(COUNTIF('Dvd Calendar'!$E$1755:$AR$1755,'Dvd Calendar'!$AE$1748)=0))&gt;0)=0,"",'Dvd Calendar'!$AE$1748*1000000000+ISNUMBER('Dvd Calendar'!$AE$1751)*100000000+('Dvd Calendar'!$AE$1753=SPECIAL_LBL)*10000000+(N('Dvd Calendar'!$AE$1747)&gt;0)*(N('Dvd Calendar'!$AE$1747)&lt;=VAL_SERIAL)*1000000+18*1000+27))</f>
        <v/>
      </c>
      <c r="FF177" s="121">
        <f>IF(N('Dvd Calendar'!$AF$1748)=0,"",IF(('Dvd Calendar'!$AF$1748&gt;=GRID_FROM)*('Dvd Calendar'!$AF$1748&lt;=GRID_TO)*((('Dvd Calendar'!$AF$1748&lt;=VAL_DATE)+(COUNTIF('Dvd Calendar'!$E$1755:$AR$1755,'Dvd Calendar'!$AF$1748)=0))&gt;0)=0,"",'Dvd Calendar'!$AF$1748*1000000000+ISNUMBER('Dvd Calendar'!$AF$1751)*100000000+('Dvd Calendar'!$AF$1753=SPECIAL_LBL)*10000000+(N('Dvd Calendar'!$AF$1747)&gt;0)*(N('Dvd Calendar'!$AF$1747)&lt;=VAL_SERIAL)*1000000+18*1000+28))</f>
        <v/>
      </c>
      <c r="FG177" s="121">
        <f>IF(N('Dvd Calendar'!$AG$1748)=0,"",IF(('Dvd Calendar'!$AG$1748&gt;=GRID_FROM)*('Dvd Calendar'!$AG$1748&lt;=GRID_TO)*((('Dvd Calendar'!$AG$1748&lt;=VAL_DATE)+(COUNTIF('Dvd Calendar'!$E$1755:$AR$1755,'Dvd Calendar'!$AG$1748)=0))&gt;0)=0,"",'Dvd Calendar'!$AG$1748*1000000000+ISNUMBER('Dvd Calendar'!$AG$1751)*100000000+('Dvd Calendar'!$AG$1753=SPECIAL_LBL)*10000000+(N('Dvd Calendar'!$AG$1747)&gt;0)*(N('Dvd Calendar'!$AG$1747)&lt;=VAL_SERIAL)*1000000+18*1000+29))</f>
        <v/>
      </c>
      <c r="FH177" s="121">
        <f>IF(N('Dvd Calendar'!$AH$1748)=0,"",IF(('Dvd Calendar'!$AH$1748&gt;=GRID_FROM)*('Dvd Calendar'!$AH$1748&lt;=GRID_TO)*((('Dvd Calendar'!$AH$1748&lt;=VAL_DATE)+(COUNTIF('Dvd Calendar'!$E$1755:$AR$1755,'Dvd Calendar'!$AH$1748)=0))&gt;0)=0,"",'Dvd Calendar'!$AH$1748*1000000000+ISNUMBER('Dvd Calendar'!$AH$1751)*100000000+('Dvd Calendar'!$AH$1753=SPECIAL_LBL)*10000000+(N('Dvd Calendar'!$AH$1747)&gt;0)*(N('Dvd Calendar'!$AH$1747)&lt;=VAL_SERIAL)*1000000+18*1000+30))</f>
        <v/>
      </c>
      <c r="FI177" s="121">
        <f>IF(N('Dvd Calendar'!$AI$1748)=0,"",IF(('Dvd Calendar'!$AI$1748&gt;=GRID_FROM)*('Dvd Calendar'!$AI$1748&lt;=GRID_TO)*((('Dvd Calendar'!$AI$1748&lt;=VAL_DATE)+(COUNTIF('Dvd Calendar'!$E$1755:$AR$1755,'Dvd Calendar'!$AI$1748)=0))&gt;0)=0,"",'Dvd Calendar'!$AI$1748*1000000000+ISNUMBER('Dvd Calendar'!$AI$1751)*100000000+('Dvd Calendar'!$AI$1753=SPECIAL_LBL)*10000000+(N('Dvd Calendar'!$AI$1747)&gt;0)*(N('Dvd Calendar'!$AI$1747)&lt;=VAL_SERIAL)*1000000+18*1000+31))</f>
        <v/>
      </c>
      <c r="FJ177" s="121">
        <f>IF(N('Dvd Calendar'!$AJ$1748)=0,"",IF(('Dvd Calendar'!$AJ$1748&gt;=GRID_FROM)*('Dvd Calendar'!$AJ$1748&lt;=GRID_TO)*((('Dvd Calendar'!$AJ$1748&lt;=VAL_DATE)+(COUNTIF('Dvd Calendar'!$E$1755:$AR$1755,'Dvd Calendar'!$AJ$1748)=0))&gt;0)=0,"",'Dvd Calendar'!$AJ$1748*1000000000+ISNUMBER('Dvd Calendar'!$AJ$1751)*100000000+('Dvd Calendar'!$AJ$1753=SPECIAL_LBL)*10000000+(N('Dvd Calendar'!$AJ$1747)&gt;0)*(N('Dvd Calendar'!$AJ$1747)&lt;=VAL_SERIAL)*1000000+18*1000+32))</f>
        <v/>
      </c>
      <c r="FK177" s="121">
        <f>IF(N('Dvd Calendar'!$AK$1748)=0,"",IF(('Dvd Calendar'!$AK$1748&gt;=GRID_FROM)*('Dvd Calendar'!$AK$1748&lt;=GRID_TO)*((('Dvd Calendar'!$AK$1748&lt;=VAL_DATE)+(COUNTIF('Dvd Calendar'!$E$1755:$AR$1755,'Dvd Calendar'!$AK$1748)=0))&gt;0)=0,"",'Dvd Calendar'!$AK$1748*1000000000+ISNUMBER('Dvd Calendar'!$AK$1751)*100000000+('Dvd Calendar'!$AK$1753=SPECIAL_LBL)*10000000+(N('Dvd Calendar'!$AK$1747)&gt;0)*(N('Dvd Calendar'!$AK$1747)&lt;=VAL_SERIAL)*1000000+18*1000+33))</f>
        <v/>
      </c>
      <c r="FL177" s="121">
        <f>IF(N('Dvd Calendar'!$AL$1748)=0,"",IF(('Dvd Calendar'!$AL$1748&gt;=GRID_FROM)*('Dvd Calendar'!$AL$1748&lt;=GRID_TO)*((('Dvd Calendar'!$AL$1748&lt;=VAL_DATE)+(COUNTIF('Dvd Calendar'!$E$1755:$AR$1755,'Dvd Calendar'!$AL$1748)=0))&gt;0)=0,"",'Dvd Calendar'!$AL$1748*1000000000+ISNUMBER('Dvd Calendar'!$AL$1751)*100000000+('Dvd Calendar'!$AL$1753=SPECIAL_LBL)*10000000+(N('Dvd Calendar'!$AL$1747)&gt;0)*(N('Dvd Calendar'!$AL$1747)&lt;=VAL_SERIAL)*1000000+18*1000+34))</f>
        <v/>
      </c>
      <c r="FM177" s="121">
        <f>IF(N('Dvd Calendar'!$AM$1748)=0,"",IF(('Dvd Calendar'!$AM$1748&gt;=GRID_FROM)*('Dvd Calendar'!$AM$1748&lt;=GRID_TO)*((('Dvd Calendar'!$AM$1748&lt;=VAL_DATE)+(COUNTIF('Dvd Calendar'!$E$1755:$AR$1755,'Dvd Calendar'!$AM$1748)=0))&gt;0)=0,"",'Dvd Calendar'!$AM$1748*1000000000+ISNUMBER('Dvd Calendar'!$AM$1751)*100000000+('Dvd Calendar'!$AM$1753=SPECIAL_LBL)*10000000+(N('Dvd Calendar'!$AM$1747)&gt;0)*(N('Dvd Calendar'!$AM$1747)&lt;=VAL_SERIAL)*1000000+18*1000+35))</f>
        <v/>
      </c>
      <c r="FN177" s="121">
        <f>IF(N('Dvd Calendar'!$AN$1748)=0,"",IF(('Dvd Calendar'!$AN$1748&gt;=GRID_FROM)*('Dvd Calendar'!$AN$1748&lt;=GRID_TO)*((('Dvd Calendar'!$AN$1748&lt;=VAL_DATE)+(COUNTIF('Dvd Calendar'!$E$1755:$AR$1755,'Dvd Calendar'!$AN$1748)=0))&gt;0)=0,"",'Dvd Calendar'!$AN$1748*1000000000+ISNUMBER('Dvd Calendar'!$AN$1751)*100000000+('Dvd Calendar'!$AN$1753=SPECIAL_LBL)*10000000+(N('Dvd Calendar'!$AN$1747)&gt;0)*(N('Dvd Calendar'!$AN$1747)&lt;=VAL_SERIAL)*1000000+18*1000+36))</f>
        <v/>
      </c>
      <c r="FO177" s="121">
        <f>IF(N('Dvd Calendar'!$AO$1748)=0,"",IF(('Dvd Calendar'!$AO$1748&gt;=GRID_FROM)*('Dvd Calendar'!$AO$1748&lt;=GRID_TO)*((('Dvd Calendar'!$AO$1748&lt;=VAL_DATE)+(COUNTIF('Dvd Calendar'!$E$1755:$AR$1755,'Dvd Calendar'!$AO$1748)=0))&gt;0)=0,"",'Dvd Calendar'!$AO$1748*1000000000+ISNUMBER('Dvd Calendar'!$AO$1751)*100000000+('Dvd Calendar'!$AO$1753=SPECIAL_LBL)*10000000+(N('Dvd Calendar'!$AO$1747)&gt;0)*(N('Dvd Calendar'!$AO$1747)&lt;=VAL_SERIAL)*1000000+18*1000+37))</f>
        <v/>
      </c>
      <c r="FP177" s="121">
        <f>IF(N('Dvd Calendar'!$AP$1748)=0,"",IF(('Dvd Calendar'!$AP$1748&gt;=GRID_FROM)*('Dvd Calendar'!$AP$1748&lt;=GRID_TO)*((('Dvd Calendar'!$AP$1748&lt;=VAL_DATE)+(COUNTIF('Dvd Calendar'!$E$1755:$AR$1755,'Dvd Calendar'!$AP$1748)=0))&gt;0)=0,"",'Dvd Calendar'!$AP$1748*1000000000+ISNUMBER('Dvd Calendar'!$AP$1751)*100000000+('Dvd Calendar'!$AP$1753=SPECIAL_LBL)*10000000+(N('Dvd Calendar'!$AP$1747)&gt;0)*(N('Dvd Calendar'!$AP$1747)&lt;=VAL_SERIAL)*1000000+18*1000+38))</f>
        <v/>
      </c>
      <c r="FQ177" s="121">
        <f>IF(N('Dvd Calendar'!$AQ$1748)=0,"",IF(('Dvd Calendar'!$AQ$1748&gt;=GRID_FROM)*('Dvd Calendar'!$AQ$1748&lt;=GRID_TO)*((('Dvd Calendar'!$AQ$1748&lt;=VAL_DATE)+(COUNTIF('Dvd Calendar'!$E$1755:$AR$1755,'Dvd Calendar'!$AQ$1748)=0))&gt;0)=0,"",'Dvd Calendar'!$AQ$1748*1000000000+ISNUMBER('Dvd Calendar'!$AQ$1751)*100000000+('Dvd Calendar'!$AQ$1753=SPECIAL_LBL)*10000000+(N('Dvd Calendar'!$AQ$1747)&gt;0)*(N('Dvd Calendar'!$AQ$1747)&lt;=VAL_SERIAL)*1000000+18*1000+39))</f>
        <v/>
      </c>
      <c r="FR177" s="121">
        <f>IF(N('Dvd Calendar'!$AR$1748)=0,"",IF(('Dvd Calendar'!$AR$1748&gt;=GRID_FROM)*('Dvd Calendar'!$AR$1748&lt;=GRID_TO)*((('Dvd Calendar'!$AR$1748&lt;=VAL_DATE)+(COUNTIF('Dvd Calendar'!$E$1755:$AR$1755,'Dvd Calendar'!$AR$1748)=0))&gt;0)=0,"",'Dvd Calendar'!$AR$1748*1000000000+ISNUMBER('Dvd Calendar'!$AR$1751)*100000000+('Dvd Calendar'!$AR$1753=SPECIAL_LBL)*10000000+(N('Dvd Calendar'!$AR$1747)&gt;0)*(N('Dvd Calendar'!$AR$1747)&lt;=VAL_SERIAL)*1000000+18*1000+40))</f>
        <v/>
      </c>
      <c r="FS177" s="121">
        <f>IF(N('Dvd Calendar'!$E$1755)=0,"",IF(('Dvd Calendar'!$E$1755&gt;=GRID_FROM)*('Dvd Calendar'!$E$1755&lt;=GRID_TO)*('Dvd Calendar'!$E$1755&gt;VAL_DATE)=0,"",'Dvd Calendar'!$E$1755*1000000000+ISNUMBER('Dvd Calendar'!$E$1756)*100000000+0*10000000+(N('Dvd Calendar'!$E$1754)&gt;0)*(N('Dvd Calendar'!$E$1754)&lt;=VAL_SERIAL)*1000000+18*1000+41))</f>
        <v/>
      </c>
      <c r="FT177" s="121">
        <f>IF(N('Dvd Calendar'!$F$1755)=0,"",IF(('Dvd Calendar'!$F$1755&gt;=GRID_FROM)*('Dvd Calendar'!$F$1755&lt;=GRID_TO)*('Dvd Calendar'!$F$1755&gt;VAL_DATE)=0,"",'Dvd Calendar'!$F$1755*1000000000+ISNUMBER('Dvd Calendar'!$F$1756)*100000000+0*10000000+(N('Dvd Calendar'!$F$1754)&gt;0)*(N('Dvd Calendar'!$F$1754)&lt;=VAL_SERIAL)*1000000+18*1000+42))</f>
        <v/>
      </c>
      <c r="FU177" s="121">
        <f>IF(N('Dvd Calendar'!$G$1755)=0,"",IF(('Dvd Calendar'!$G$1755&gt;=GRID_FROM)*('Dvd Calendar'!$G$1755&lt;=GRID_TO)*('Dvd Calendar'!$G$1755&gt;VAL_DATE)=0,"",'Dvd Calendar'!$G$1755*1000000000+ISNUMBER('Dvd Calendar'!$G$1756)*100000000+0*10000000+(N('Dvd Calendar'!$G$1754)&gt;0)*(N('Dvd Calendar'!$G$1754)&lt;=VAL_SERIAL)*1000000+18*1000+43))</f>
        <v/>
      </c>
      <c r="FV177" s="121">
        <f>IF(N('Dvd Calendar'!$H$1755)=0,"",IF(('Dvd Calendar'!$H$1755&gt;=GRID_FROM)*('Dvd Calendar'!$H$1755&lt;=GRID_TO)*('Dvd Calendar'!$H$1755&gt;VAL_DATE)=0,"",'Dvd Calendar'!$H$1755*1000000000+ISNUMBER('Dvd Calendar'!$H$1756)*100000000+0*10000000+(N('Dvd Calendar'!$H$1754)&gt;0)*(N('Dvd Calendar'!$H$1754)&lt;=VAL_SERIAL)*1000000+18*1000+44))</f>
        <v/>
      </c>
      <c r="FW177" s="121">
        <f>IF(N('Dvd Calendar'!$I$1755)=0,"",IF(('Dvd Calendar'!$I$1755&gt;=GRID_FROM)*('Dvd Calendar'!$I$1755&lt;=GRID_TO)*('Dvd Calendar'!$I$1755&gt;VAL_DATE)=0,"",'Dvd Calendar'!$I$1755*1000000000+ISNUMBER('Dvd Calendar'!$I$1756)*100000000+0*10000000+(N('Dvd Calendar'!$I$1754)&gt;0)*(N('Dvd Calendar'!$I$1754)&lt;=VAL_SERIAL)*1000000+18*1000+45))</f>
        <v/>
      </c>
      <c r="FX177" s="121">
        <f>IF(N('Dvd Calendar'!$J$1755)=0,"",IF(('Dvd Calendar'!$J$1755&gt;=GRID_FROM)*('Dvd Calendar'!$J$1755&lt;=GRID_TO)*('Dvd Calendar'!$J$1755&gt;VAL_DATE)=0,"",'Dvd Calendar'!$J$1755*1000000000+ISNUMBER('Dvd Calendar'!$J$1756)*100000000+0*10000000+(N('Dvd Calendar'!$J$1754)&gt;0)*(N('Dvd Calendar'!$J$1754)&lt;=VAL_SERIAL)*1000000+18*1000+46))</f>
        <v/>
      </c>
      <c r="FY177" s="121">
        <f>IF(N('Dvd Calendar'!$K$1755)=0,"",IF(('Dvd Calendar'!$K$1755&gt;=GRID_FROM)*('Dvd Calendar'!$K$1755&lt;=GRID_TO)*('Dvd Calendar'!$K$1755&gt;VAL_DATE)=0,"",'Dvd Calendar'!$K$1755*1000000000+ISNUMBER('Dvd Calendar'!$K$1756)*100000000+0*10000000+(N('Dvd Calendar'!$K$1754)&gt;0)*(N('Dvd Calendar'!$K$1754)&lt;=VAL_SERIAL)*1000000+18*1000+47))</f>
        <v/>
      </c>
      <c r="FZ177" s="121">
        <f>IF(N('Dvd Calendar'!$L$1755)=0,"",IF(('Dvd Calendar'!$L$1755&gt;=GRID_FROM)*('Dvd Calendar'!$L$1755&lt;=GRID_TO)*('Dvd Calendar'!$L$1755&gt;VAL_DATE)=0,"",'Dvd Calendar'!$L$1755*1000000000+ISNUMBER('Dvd Calendar'!$L$1756)*100000000+0*10000000+(N('Dvd Calendar'!$L$1754)&gt;0)*(N('Dvd Calendar'!$L$1754)&lt;=VAL_SERIAL)*1000000+18*1000+48))</f>
        <v/>
      </c>
      <c r="GA177" s="121">
        <f>IF(N('Dvd Calendar'!$M$1755)=0,"",IF(('Dvd Calendar'!$M$1755&gt;=GRID_FROM)*('Dvd Calendar'!$M$1755&lt;=GRID_TO)*('Dvd Calendar'!$M$1755&gt;VAL_DATE)=0,"",'Dvd Calendar'!$M$1755*1000000000+ISNUMBER('Dvd Calendar'!$M$1756)*100000000+0*10000000+(N('Dvd Calendar'!$M$1754)&gt;0)*(N('Dvd Calendar'!$M$1754)&lt;=VAL_SERIAL)*1000000+18*1000+49))</f>
        <v/>
      </c>
      <c r="GB177" s="121">
        <f>IF(N('Dvd Calendar'!$N$1755)=0,"",IF(('Dvd Calendar'!$N$1755&gt;=GRID_FROM)*('Dvd Calendar'!$N$1755&lt;=GRID_TO)*('Dvd Calendar'!$N$1755&gt;VAL_DATE)=0,"",'Dvd Calendar'!$N$1755*1000000000+ISNUMBER('Dvd Calendar'!$N$1756)*100000000+0*10000000+(N('Dvd Calendar'!$N$1754)&gt;0)*(N('Dvd Calendar'!$N$1754)&lt;=VAL_SERIAL)*1000000+18*1000+50))</f>
        <v/>
      </c>
      <c r="GC177" s="121">
        <f>IF(N('Dvd Calendar'!$O$1755)=0,"",IF(('Dvd Calendar'!$O$1755&gt;=GRID_FROM)*('Dvd Calendar'!$O$1755&lt;=GRID_TO)*('Dvd Calendar'!$O$1755&gt;VAL_DATE)=0,"",'Dvd Calendar'!$O$1755*1000000000+ISNUMBER('Dvd Calendar'!$O$1756)*100000000+0*10000000+(N('Dvd Calendar'!$O$1754)&gt;0)*(N('Dvd Calendar'!$O$1754)&lt;=VAL_SERIAL)*1000000+18*1000+51))</f>
        <v/>
      </c>
      <c r="GD177" s="121">
        <f>IF(N('Dvd Calendar'!$P$1755)=0,"",IF(('Dvd Calendar'!$P$1755&gt;=GRID_FROM)*('Dvd Calendar'!$P$1755&lt;=GRID_TO)*('Dvd Calendar'!$P$1755&gt;VAL_DATE)=0,"",'Dvd Calendar'!$P$1755*1000000000+ISNUMBER('Dvd Calendar'!$P$1756)*100000000+0*10000000+(N('Dvd Calendar'!$P$1754)&gt;0)*(N('Dvd Calendar'!$P$1754)&lt;=VAL_SERIAL)*1000000+18*1000+52))</f>
        <v/>
      </c>
      <c r="GE177" s="121">
        <f>IF(N('Dvd Calendar'!$Q$1755)=0,"",IF(('Dvd Calendar'!$Q$1755&gt;=GRID_FROM)*('Dvd Calendar'!$Q$1755&lt;=GRID_TO)*('Dvd Calendar'!$Q$1755&gt;VAL_DATE)=0,"",'Dvd Calendar'!$Q$1755*1000000000+ISNUMBER('Dvd Calendar'!$Q$1756)*100000000+0*10000000+(N('Dvd Calendar'!$Q$1754)&gt;0)*(N('Dvd Calendar'!$Q$1754)&lt;=VAL_SERIAL)*1000000+18*1000+53))</f>
        <v/>
      </c>
      <c r="GF177" s="121">
        <f>IF(N('Dvd Calendar'!$R$1755)=0,"",IF(('Dvd Calendar'!$R$1755&gt;=GRID_FROM)*('Dvd Calendar'!$R$1755&lt;=GRID_TO)*('Dvd Calendar'!$R$1755&gt;VAL_DATE)=0,"",'Dvd Calendar'!$R$1755*1000000000+ISNUMBER('Dvd Calendar'!$R$1756)*100000000+0*10000000+(N('Dvd Calendar'!$R$1754)&gt;0)*(N('Dvd Calendar'!$R$1754)&lt;=VAL_SERIAL)*1000000+18*1000+54))</f>
        <v/>
      </c>
      <c r="GG177" s="121">
        <f>IF(N('Dvd Calendar'!$S$1755)=0,"",IF(('Dvd Calendar'!$S$1755&gt;=GRID_FROM)*('Dvd Calendar'!$S$1755&lt;=GRID_TO)*('Dvd Calendar'!$S$1755&gt;VAL_DATE)=0,"",'Dvd Calendar'!$S$1755*1000000000+ISNUMBER('Dvd Calendar'!$S$1756)*100000000+0*10000000+(N('Dvd Calendar'!$S$1754)&gt;0)*(N('Dvd Calendar'!$S$1754)&lt;=VAL_SERIAL)*1000000+18*1000+55))</f>
        <v/>
      </c>
      <c r="GH177" s="121">
        <f>IF(N('Dvd Calendar'!$T$1755)=0,"",IF(('Dvd Calendar'!$T$1755&gt;=GRID_FROM)*('Dvd Calendar'!$T$1755&lt;=GRID_TO)*('Dvd Calendar'!$T$1755&gt;VAL_DATE)=0,"",'Dvd Calendar'!$T$1755*1000000000+ISNUMBER('Dvd Calendar'!$T$1756)*100000000+0*10000000+(N('Dvd Calendar'!$T$1754)&gt;0)*(N('Dvd Calendar'!$T$1754)&lt;=VAL_SERIAL)*1000000+18*1000+56))</f>
        <v/>
      </c>
      <c r="GI177" s="121">
        <f>IF(N('Dvd Calendar'!$U$1755)=0,"",IF(('Dvd Calendar'!$U$1755&gt;=GRID_FROM)*('Dvd Calendar'!$U$1755&lt;=GRID_TO)*('Dvd Calendar'!$U$1755&gt;VAL_DATE)=0,"",'Dvd Calendar'!$U$1755*1000000000+ISNUMBER('Dvd Calendar'!$U$1756)*100000000+0*10000000+(N('Dvd Calendar'!$U$1754)&gt;0)*(N('Dvd Calendar'!$U$1754)&lt;=VAL_SERIAL)*1000000+18*1000+57))</f>
        <v/>
      </c>
      <c r="GJ177" s="121">
        <f>IF(N('Dvd Calendar'!$V$1755)=0,"",IF(('Dvd Calendar'!$V$1755&gt;=GRID_FROM)*('Dvd Calendar'!$V$1755&lt;=GRID_TO)*('Dvd Calendar'!$V$1755&gt;VAL_DATE)=0,"",'Dvd Calendar'!$V$1755*1000000000+ISNUMBER('Dvd Calendar'!$V$1756)*100000000+0*10000000+(N('Dvd Calendar'!$V$1754)&gt;0)*(N('Dvd Calendar'!$V$1754)&lt;=VAL_SERIAL)*1000000+18*1000+58))</f>
        <v/>
      </c>
      <c r="GK177" s="121">
        <f>IF(N('Dvd Calendar'!$W$1755)=0,"",IF(('Dvd Calendar'!$W$1755&gt;=GRID_FROM)*('Dvd Calendar'!$W$1755&lt;=GRID_TO)*('Dvd Calendar'!$W$1755&gt;VAL_DATE)=0,"",'Dvd Calendar'!$W$1755*1000000000+ISNUMBER('Dvd Calendar'!$W$1756)*100000000+0*10000000+(N('Dvd Calendar'!$W$1754)&gt;0)*(N('Dvd Calendar'!$W$1754)&lt;=VAL_SERIAL)*1000000+18*1000+59))</f>
        <v/>
      </c>
      <c r="GL177" s="121">
        <f>IF(N('Dvd Calendar'!$X$1755)=0,"",IF(('Dvd Calendar'!$X$1755&gt;=GRID_FROM)*('Dvd Calendar'!$X$1755&lt;=GRID_TO)*('Dvd Calendar'!$X$1755&gt;VAL_DATE)=0,"",'Dvd Calendar'!$X$1755*1000000000+ISNUMBER('Dvd Calendar'!$X$1756)*100000000+0*10000000+(N('Dvd Calendar'!$X$1754)&gt;0)*(N('Dvd Calendar'!$X$1754)&lt;=VAL_SERIAL)*1000000+18*1000+60))</f>
        <v/>
      </c>
      <c r="GM177" s="121">
        <f>IF(N('Dvd Calendar'!$Y$1755)=0,"",IF(('Dvd Calendar'!$Y$1755&gt;=GRID_FROM)*('Dvd Calendar'!$Y$1755&lt;=GRID_TO)*('Dvd Calendar'!$Y$1755&gt;VAL_DATE)=0,"",'Dvd Calendar'!$Y$1755*1000000000+ISNUMBER('Dvd Calendar'!$Y$1756)*100000000+0*10000000+(N('Dvd Calendar'!$Y$1754)&gt;0)*(N('Dvd Calendar'!$Y$1754)&lt;=VAL_SERIAL)*1000000+18*1000+61))</f>
        <v/>
      </c>
      <c r="GN177" s="121">
        <f>IF(N('Dvd Calendar'!$Z$1755)=0,"",IF(('Dvd Calendar'!$Z$1755&gt;=GRID_FROM)*('Dvd Calendar'!$Z$1755&lt;=GRID_TO)*('Dvd Calendar'!$Z$1755&gt;VAL_DATE)=0,"",'Dvd Calendar'!$Z$1755*1000000000+ISNUMBER('Dvd Calendar'!$Z$1756)*100000000+0*10000000+(N('Dvd Calendar'!$Z$1754)&gt;0)*(N('Dvd Calendar'!$Z$1754)&lt;=VAL_SERIAL)*1000000+18*1000+62))</f>
        <v/>
      </c>
      <c r="GO177" s="121">
        <f>IF(N('Dvd Calendar'!$AA$1755)=0,"",IF(('Dvd Calendar'!$AA$1755&gt;=GRID_FROM)*('Dvd Calendar'!$AA$1755&lt;=GRID_TO)*('Dvd Calendar'!$AA$1755&gt;VAL_DATE)=0,"",'Dvd Calendar'!$AA$1755*1000000000+ISNUMBER('Dvd Calendar'!$AA$1756)*100000000+0*10000000+(N('Dvd Calendar'!$AA$1754)&gt;0)*(N('Dvd Calendar'!$AA$1754)&lt;=VAL_SERIAL)*1000000+18*1000+63))</f>
        <v/>
      </c>
      <c r="GP177" s="121">
        <f>IF(N('Dvd Calendar'!$AB$1755)=0,"",IF(('Dvd Calendar'!$AB$1755&gt;=GRID_FROM)*('Dvd Calendar'!$AB$1755&lt;=GRID_TO)*('Dvd Calendar'!$AB$1755&gt;VAL_DATE)=0,"",'Dvd Calendar'!$AB$1755*1000000000+ISNUMBER('Dvd Calendar'!$AB$1756)*100000000+0*10000000+(N('Dvd Calendar'!$AB$1754)&gt;0)*(N('Dvd Calendar'!$AB$1754)&lt;=VAL_SERIAL)*1000000+18*1000+64))</f>
        <v/>
      </c>
      <c r="GQ177" s="121">
        <f>IF(N('Dvd Calendar'!$AC$1755)=0,"",IF(('Dvd Calendar'!$AC$1755&gt;=GRID_FROM)*('Dvd Calendar'!$AC$1755&lt;=GRID_TO)*('Dvd Calendar'!$AC$1755&gt;VAL_DATE)=0,"",'Dvd Calendar'!$AC$1755*1000000000+ISNUMBER('Dvd Calendar'!$AC$1756)*100000000+0*10000000+(N('Dvd Calendar'!$AC$1754)&gt;0)*(N('Dvd Calendar'!$AC$1754)&lt;=VAL_SERIAL)*1000000+18*1000+65))</f>
        <v/>
      </c>
    </row>
    <row r="178">
      <c r="B178" s="2">
        <f>IF(HSCEI!$C$25="","",HSCEI!$C$25)</f>
        <v/>
      </c>
      <c r="C178" s="161">
        <f>IF(EE178="","",IF(ISNUMBER('Dvd Calendar'!$E$1762)=FALSE,"",IF((('Dvd Calendar'!$E$1764=TYPE1)*(TYPE1&lt;&gt;"")+('Dvd Calendar'!$E$1764=TYPE2)*(TYPE2&lt;&gt;"")+('Dvd Calendar'!$E$1764=TYPE3)*(TYPE3&lt;&gt;"")+('Dvd Calendar'!$E$1764=TYPE4)*(TYPE4&lt;&gt;"")+('Dvd Calendar'!$E$1764=SPECIAL_LBL)*(INC_SPECIALS="Y"))=0,"",'Dvd Calendar'!$E$1762)))</f>
        <v/>
      </c>
      <c r="D178" s="161">
        <f>IF(EF178="","",IF(ISNUMBER('Dvd Calendar'!$F$1762)=FALSE,"",IF((('Dvd Calendar'!$F$1764=TYPE1)*(TYPE1&lt;&gt;"")+('Dvd Calendar'!$F$1764=TYPE2)*(TYPE2&lt;&gt;"")+('Dvd Calendar'!$F$1764=TYPE3)*(TYPE3&lt;&gt;"")+('Dvd Calendar'!$F$1764=TYPE4)*(TYPE4&lt;&gt;"")+('Dvd Calendar'!$F$1764=SPECIAL_LBL)*(INC_SPECIALS="Y"))=0,"",'Dvd Calendar'!$F$1762)))</f>
        <v/>
      </c>
      <c r="E178" s="161">
        <f>IF(EG178="","",IF(ISNUMBER('Dvd Calendar'!$G$1762)=FALSE,"",IF((('Dvd Calendar'!$G$1764=TYPE1)*(TYPE1&lt;&gt;"")+('Dvd Calendar'!$G$1764=TYPE2)*(TYPE2&lt;&gt;"")+('Dvd Calendar'!$G$1764=TYPE3)*(TYPE3&lt;&gt;"")+('Dvd Calendar'!$G$1764=TYPE4)*(TYPE4&lt;&gt;"")+('Dvd Calendar'!$G$1764=SPECIAL_LBL)*(INC_SPECIALS="Y"))=0,"",'Dvd Calendar'!$G$1762)))</f>
        <v/>
      </c>
      <c r="F178" s="161">
        <f>IF(EH178="","",IF(ISNUMBER('Dvd Calendar'!$H$1762)=FALSE,"",IF((('Dvd Calendar'!$H$1764=TYPE1)*(TYPE1&lt;&gt;"")+('Dvd Calendar'!$H$1764=TYPE2)*(TYPE2&lt;&gt;"")+('Dvd Calendar'!$H$1764=TYPE3)*(TYPE3&lt;&gt;"")+('Dvd Calendar'!$H$1764=TYPE4)*(TYPE4&lt;&gt;"")+('Dvd Calendar'!$H$1764=SPECIAL_LBL)*(INC_SPECIALS="Y"))=0,"",'Dvd Calendar'!$H$1762)))</f>
        <v/>
      </c>
      <c r="G178" s="161">
        <f>IF(EI178="","",IF(ISNUMBER('Dvd Calendar'!$I$1762)=FALSE,"",IF((('Dvd Calendar'!$I$1764=TYPE1)*(TYPE1&lt;&gt;"")+('Dvd Calendar'!$I$1764=TYPE2)*(TYPE2&lt;&gt;"")+('Dvd Calendar'!$I$1764=TYPE3)*(TYPE3&lt;&gt;"")+('Dvd Calendar'!$I$1764=TYPE4)*(TYPE4&lt;&gt;"")+('Dvd Calendar'!$I$1764=SPECIAL_LBL)*(INC_SPECIALS="Y"))=0,"",'Dvd Calendar'!$I$1762)))</f>
        <v/>
      </c>
      <c r="H178" s="161">
        <f>IF(EJ178="","",IF(ISNUMBER('Dvd Calendar'!$J$1762)=FALSE,"",IF((('Dvd Calendar'!$J$1764=TYPE1)*(TYPE1&lt;&gt;"")+('Dvd Calendar'!$J$1764=TYPE2)*(TYPE2&lt;&gt;"")+('Dvd Calendar'!$J$1764=TYPE3)*(TYPE3&lt;&gt;"")+('Dvd Calendar'!$J$1764=TYPE4)*(TYPE4&lt;&gt;"")+('Dvd Calendar'!$J$1764=SPECIAL_LBL)*(INC_SPECIALS="Y"))=0,"",'Dvd Calendar'!$J$1762)))</f>
        <v/>
      </c>
      <c r="I178" s="161">
        <f>IF(EK178="","",IF(ISNUMBER('Dvd Calendar'!$K$1762)=FALSE,"",IF((('Dvd Calendar'!$K$1764=TYPE1)*(TYPE1&lt;&gt;"")+('Dvd Calendar'!$K$1764=TYPE2)*(TYPE2&lt;&gt;"")+('Dvd Calendar'!$K$1764=TYPE3)*(TYPE3&lt;&gt;"")+('Dvd Calendar'!$K$1764=TYPE4)*(TYPE4&lt;&gt;"")+('Dvd Calendar'!$K$1764=SPECIAL_LBL)*(INC_SPECIALS="Y"))=0,"",'Dvd Calendar'!$K$1762)))</f>
        <v/>
      </c>
      <c r="J178" s="161">
        <f>IF(EL178="","",IF(ISNUMBER('Dvd Calendar'!$L$1762)=FALSE,"",IF((('Dvd Calendar'!$L$1764=TYPE1)*(TYPE1&lt;&gt;"")+('Dvd Calendar'!$L$1764=TYPE2)*(TYPE2&lt;&gt;"")+('Dvd Calendar'!$L$1764=TYPE3)*(TYPE3&lt;&gt;"")+('Dvd Calendar'!$L$1764=TYPE4)*(TYPE4&lt;&gt;"")+('Dvd Calendar'!$L$1764=SPECIAL_LBL)*(INC_SPECIALS="Y"))=0,"",'Dvd Calendar'!$L$1762)))</f>
        <v/>
      </c>
      <c r="K178" s="161">
        <f>IF(EM178="","",IF(ISNUMBER('Dvd Calendar'!$M$1762)=FALSE,"",IF((('Dvd Calendar'!$M$1764=TYPE1)*(TYPE1&lt;&gt;"")+('Dvd Calendar'!$M$1764=TYPE2)*(TYPE2&lt;&gt;"")+('Dvd Calendar'!$M$1764=TYPE3)*(TYPE3&lt;&gt;"")+('Dvd Calendar'!$M$1764=TYPE4)*(TYPE4&lt;&gt;"")+('Dvd Calendar'!$M$1764=SPECIAL_LBL)*(INC_SPECIALS="Y"))=0,"",'Dvd Calendar'!$M$1762)))</f>
        <v/>
      </c>
      <c r="L178" s="161">
        <f>IF(EN178="","",IF(ISNUMBER('Dvd Calendar'!$N$1762)=FALSE,"",IF((('Dvd Calendar'!$N$1764=TYPE1)*(TYPE1&lt;&gt;"")+('Dvd Calendar'!$N$1764=TYPE2)*(TYPE2&lt;&gt;"")+('Dvd Calendar'!$N$1764=TYPE3)*(TYPE3&lt;&gt;"")+('Dvd Calendar'!$N$1764=TYPE4)*(TYPE4&lt;&gt;"")+('Dvd Calendar'!$N$1764=SPECIAL_LBL)*(INC_SPECIALS="Y"))=0,"",'Dvd Calendar'!$N$1762)))</f>
        <v/>
      </c>
      <c r="M178" s="161">
        <f>IF(EO178="","",IF(ISNUMBER('Dvd Calendar'!$O$1762)=FALSE,"",IF((('Dvd Calendar'!$O$1764=TYPE1)*(TYPE1&lt;&gt;"")+('Dvd Calendar'!$O$1764=TYPE2)*(TYPE2&lt;&gt;"")+('Dvd Calendar'!$O$1764=TYPE3)*(TYPE3&lt;&gt;"")+('Dvd Calendar'!$O$1764=TYPE4)*(TYPE4&lt;&gt;"")+('Dvd Calendar'!$O$1764=SPECIAL_LBL)*(INC_SPECIALS="Y"))=0,"",'Dvd Calendar'!$O$1762)))</f>
        <v/>
      </c>
      <c r="N178" s="161">
        <f>IF(EP178="","",IF(ISNUMBER('Dvd Calendar'!$P$1762)=FALSE,"",IF((('Dvd Calendar'!$P$1764=TYPE1)*(TYPE1&lt;&gt;"")+('Dvd Calendar'!$P$1764=TYPE2)*(TYPE2&lt;&gt;"")+('Dvd Calendar'!$P$1764=TYPE3)*(TYPE3&lt;&gt;"")+('Dvd Calendar'!$P$1764=TYPE4)*(TYPE4&lt;&gt;"")+('Dvd Calendar'!$P$1764=SPECIAL_LBL)*(INC_SPECIALS="Y"))=0,"",'Dvd Calendar'!$P$1762)))</f>
        <v/>
      </c>
      <c r="O178" s="161">
        <f>IF(EQ178="","",IF(ISNUMBER('Dvd Calendar'!$Q$1762)=FALSE,"",IF((('Dvd Calendar'!$Q$1764=TYPE1)*(TYPE1&lt;&gt;"")+('Dvd Calendar'!$Q$1764=TYPE2)*(TYPE2&lt;&gt;"")+('Dvd Calendar'!$Q$1764=TYPE3)*(TYPE3&lt;&gt;"")+('Dvd Calendar'!$Q$1764=TYPE4)*(TYPE4&lt;&gt;"")+('Dvd Calendar'!$Q$1764=SPECIAL_LBL)*(INC_SPECIALS="Y"))=0,"",'Dvd Calendar'!$Q$1762)))</f>
        <v/>
      </c>
      <c r="P178" s="161">
        <f>IF(ER178="","",IF(ISNUMBER('Dvd Calendar'!$R$1762)=FALSE,"",IF((('Dvd Calendar'!$R$1764=TYPE1)*(TYPE1&lt;&gt;"")+('Dvd Calendar'!$R$1764=TYPE2)*(TYPE2&lt;&gt;"")+('Dvd Calendar'!$R$1764=TYPE3)*(TYPE3&lt;&gt;"")+('Dvd Calendar'!$R$1764=TYPE4)*(TYPE4&lt;&gt;"")+('Dvd Calendar'!$R$1764=SPECIAL_LBL)*(INC_SPECIALS="Y"))=0,"",'Dvd Calendar'!$R$1762)))</f>
        <v/>
      </c>
      <c r="Q178" s="161">
        <f>IF(ES178="","",IF(ISNUMBER('Dvd Calendar'!$S$1762)=FALSE,"",IF((('Dvd Calendar'!$S$1764=TYPE1)*(TYPE1&lt;&gt;"")+('Dvd Calendar'!$S$1764=TYPE2)*(TYPE2&lt;&gt;"")+('Dvd Calendar'!$S$1764=TYPE3)*(TYPE3&lt;&gt;"")+('Dvd Calendar'!$S$1764=TYPE4)*(TYPE4&lt;&gt;"")+('Dvd Calendar'!$S$1764=SPECIAL_LBL)*(INC_SPECIALS="Y"))=0,"",'Dvd Calendar'!$S$1762)))</f>
        <v/>
      </c>
      <c r="R178" s="161">
        <f>IF(ET178="","",IF(ISNUMBER('Dvd Calendar'!$T$1762)=FALSE,"",IF((('Dvd Calendar'!$T$1764=TYPE1)*(TYPE1&lt;&gt;"")+('Dvd Calendar'!$T$1764=TYPE2)*(TYPE2&lt;&gt;"")+('Dvd Calendar'!$T$1764=TYPE3)*(TYPE3&lt;&gt;"")+('Dvd Calendar'!$T$1764=TYPE4)*(TYPE4&lt;&gt;"")+('Dvd Calendar'!$T$1764=SPECIAL_LBL)*(INC_SPECIALS="Y"))=0,"",'Dvd Calendar'!$T$1762)))</f>
        <v/>
      </c>
      <c r="S178" s="161">
        <f>IF(EU178="","",IF(ISNUMBER('Dvd Calendar'!$U$1762)=FALSE,"",IF((('Dvd Calendar'!$U$1764=TYPE1)*(TYPE1&lt;&gt;"")+('Dvd Calendar'!$U$1764=TYPE2)*(TYPE2&lt;&gt;"")+('Dvd Calendar'!$U$1764=TYPE3)*(TYPE3&lt;&gt;"")+('Dvd Calendar'!$U$1764=TYPE4)*(TYPE4&lt;&gt;"")+('Dvd Calendar'!$U$1764=SPECIAL_LBL)*(INC_SPECIALS="Y"))=0,"",'Dvd Calendar'!$U$1762)))</f>
        <v/>
      </c>
      <c r="T178" s="161">
        <f>IF(EV178="","",IF(ISNUMBER('Dvd Calendar'!$V$1762)=FALSE,"",IF((('Dvd Calendar'!$V$1764=TYPE1)*(TYPE1&lt;&gt;"")+('Dvd Calendar'!$V$1764=TYPE2)*(TYPE2&lt;&gt;"")+('Dvd Calendar'!$V$1764=TYPE3)*(TYPE3&lt;&gt;"")+('Dvd Calendar'!$V$1764=TYPE4)*(TYPE4&lt;&gt;"")+('Dvd Calendar'!$V$1764=SPECIAL_LBL)*(INC_SPECIALS="Y"))=0,"",'Dvd Calendar'!$V$1762)))</f>
        <v/>
      </c>
      <c r="U178" s="161">
        <f>IF(EW178="","",IF(ISNUMBER('Dvd Calendar'!$W$1762)=FALSE,"",IF((('Dvd Calendar'!$W$1764=TYPE1)*(TYPE1&lt;&gt;"")+('Dvd Calendar'!$W$1764=TYPE2)*(TYPE2&lt;&gt;"")+('Dvd Calendar'!$W$1764=TYPE3)*(TYPE3&lt;&gt;"")+('Dvd Calendar'!$W$1764=TYPE4)*(TYPE4&lt;&gt;"")+('Dvd Calendar'!$W$1764=SPECIAL_LBL)*(INC_SPECIALS="Y"))=0,"",'Dvd Calendar'!$W$1762)))</f>
        <v/>
      </c>
      <c r="V178" s="161">
        <f>IF(EX178="","",IF(ISNUMBER('Dvd Calendar'!$X$1762)=FALSE,"",IF((('Dvd Calendar'!$X$1764=TYPE1)*(TYPE1&lt;&gt;"")+('Dvd Calendar'!$X$1764=TYPE2)*(TYPE2&lt;&gt;"")+('Dvd Calendar'!$X$1764=TYPE3)*(TYPE3&lt;&gt;"")+('Dvd Calendar'!$X$1764=TYPE4)*(TYPE4&lt;&gt;"")+('Dvd Calendar'!$X$1764=SPECIAL_LBL)*(INC_SPECIALS="Y"))=0,"",'Dvd Calendar'!$X$1762)))</f>
        <v/>
      </c>
      <c r="W178" s="161">
        <f>IF(EY178="","",IF(ISNUMBER('Dvd Calendar'!$Y$1762)=FALSE,"",IF((('Dvd Calendar'!$Y$1764=TYPE1)*(TYPE1&lt;&gt;"")+('Dvd Calendar'!$Y$1764=TYPE2)*(TYPE2&lt;&gt;"")+('Dvd Calendar'!$Y$1764=TYPE3)*(TYPE3&lt;&gt;"")+('Dvd Calendar'!$Y$1764=TYPE4)*(TYPE4&lt;&gt;"")+('Dvd Calendar'!$Y$1764=SPECIAL_LBL)*(INC_SPECIALS="Y"))=0,"",'Dvd Calendar'!$Y$1762)))</f>
        <v/>
      </c>
      <c r="X178" s="161">
        <f>IF(EZ178="","",IF(ISNUMBER('Dvd Calendar'!$Z$1762)=FALSE,"",IF((('Dvd Calendar'!$Z$1764=TYPE1)*(TYPE1&lt;&gt;"")+('Dvd Calendar'!$Z$1764=TYPE2)*(TYPE2&lt;&gt;"")+('Dvd Calendar'!$Z$1764=TYPE3)*(TYPE3&lt;&gt;"")+('Dvd Calendar'!$Z$1764=TYPE4)*(TYPE4&lt;&gt;"")+('Dvd Calendar'!$Z$1764=SPECIAL_LBL)*(INC_SPECIALS="Y"))=0,"",'Dvd Calendar'!$Z$1762)))</f>
        <v/>
      </c>
      <c r="Y178" s="161">
        <f>IF(FA178="","",IF(ISNUMBER('Dvd Calendar'!$AA$1762)=FALSE,"",IF((('Dvd Calendar'!$AA$1764=TYPE1)*(TYPE1&lt;&gt;"")+('Dvd Calendar'!$AA$1764=TYPE2)*(TYPE2&lt;&gt;"")+('Dvd Calendar'!$AA$1764=TYPE3)*(TYPE3&lt;&gt;"")+('Dvd Calendar'!$AA$1764=TYPE4)*(TYPE4&lt;&gt;"")+('Dvd Calendar'!$AA$1764=SPECIAL_LBL)*(INC_SPECIALS="Y"))=0,"",'Dvd Calendar'!$AA$1762)))</f>
        <v/>
      </c>
      <c r="Z178" s="161">
        <f>IF(FB178="","",IF(ISNUMBER('Dvd Calendar'!$AB$1762)=FALSE,"",IF((('Dvd Calendar'!$AB$1764=TYPE1)*(TYPE1&lt;&gt;"")+('Dvd Calendar'!$AB$1764=TYPE2)*(TYPE2&lt;&gt;"")+('Dvd Calendar'!$AB$1764=TYPE3)*(TYPE3&lt;&gt;"")+('Dvd Calendar'!$AB$1764=TYPE4)*(TYPE4&lt;&gt;"")+('Dvd Calendar'!$AB$1764=SPECIAL_LBL)*(INC_SPECIALS="Y"))=0,"",'Dvd Calendar'!$AB$1762)))</f>
        <v/>
      </c>
      <c r="AA178" s="161">
        <f>IF(FC178="","",IF(ISNUMBER('Dvd Calendar'!$AC$1762)=FALSE,"",IF((('Dvd Calendar'!$AC$1764=TYPE1)*(TYPE1&lt;&gt;"")+('Dvd Calendar'!$AC$1764=TYPE2)*(TYPE2&lt;&gt;"")+('Dvd Calendar'!$AC$1764=TYPE3)*(TYPE3&lt;&gt;"")+('Dvd Calendar'!$AC$1764=TYPE4)*(TYPE4&lt;&gt;"")+('Dvd Calendar'!$AC$1764=SPECIAL_LBL)*(INC_SPECIALS="Y"))=0,"",'Dvd Calendar'!$AC$1762)))</f>
        <v/>
      </c>
      <c r="AB178" s="161">
        <f>IF(FD178="","",IF(ISNUMBER('Dvd Calendar'!$AD$1762)=FALSE,"",IF((('Dvd Calendar'!$AD$1764=TYPE1)*(TYPE1&lt;&gt;"")+('Dvd Calendar'!$AD$1764=TYPE2)*(TYPE2&lt;&gt;"")+('Dvd Calendar'!$AD$1764=TYPE3)*(TYPE3&lt;&gt;"")+('Dvd Calendar'!$AD$1764=TYPE4)*(TYPE4&lt;&gt;"")+('Dvd Calendar'!$AD$1764=SPECIAL_LBL)*(INC_SPECIALS="Y"))=0,"",'Dvd Calendar'!$AD$1762)))</f>
        <v/>
      </c>
      <c r="AC178" s="161">
        <f>IF(FE178="","",IF(ISNUMBER('Dvd Calendar'!$AE$1762)=FALSE,"",IF((('Dvd Calendar'!$AE$1764=TYPE1)*(TYPE1&lt;&gt;"")+('Dvd Calendar'!$AE$1764=TYPE2)*(TYPE2&lt;&gt;"")+('Dvd Calendar'!$AE$1764=TYPE3)*(TYPE3&lt;&gt;"")+('Dvd Calendar'!$AE$1764=TYPE4)*(TYPE4&lt;&gt;"")+('Dvd Calendar'!$AE$1764=SPECIAL_LBL)*(INC_SPECIALS="Y"))=0,"",'Dvd Calendar'!$AE$1762)))</f>
        <v/>
      </c>
      <c r="AD178" s="161">
        <f>IF(FF178="","",IF(ISNUMBER('Dvd Calendar'!$AF$1762)=FALSE,"",IF((('Dvd Calendar'!$AF$1764=TYPE1)*(TYPE1&lt;&gt;"")+('Dvd Calendar'!$AF$1764=TYPE2)*(TYPE2&lt;&gt;"")+('Dvd Calendar'!$AF$1764=TYPE3)*(TYPE3&lt;&gt;"")+('Dvd Calendar'!$AF$1764=TYPE4)*(TYPE4&lt;&gt;"")+('Dvd Calendar'!$AF$1764=SPECIAL_LBL)*(INC_SPECIALS="Y"))=0,"",'Dvd Calendar'!$AF$1762)))</f>
        <v/>
      </c>
      <c r="AE178" s="161">
        <f>IF(FG178="","",IF(ISNUMBER('Dvd Calendar'!$AG$1762)=FALSE,"",IF((('Dvd Calendar'!$AG$1764=TYPE1)*(TYPE1&lt;&gt;"")+('Dvd Calendar'!$AG$1764=TYPE2)*(TYPE2&lt;&gt;"")+('Dvd Calendar'!$AG$1764=TYPE3)*(TYPE3&lt;&gt;"")+('Dvd Calendar'!$AG$1764=TYPE4)*(TYPE4&lt;&gt;"")+('Dvd Calendar'!$AG$1764=SPECIAL_LBL)*(INC_SPECIALS="Y"))=0,"",'Dvd Calendar'!$AG$1762)))</f>
        <v/>
      </c>
      <c r="AF178" s="161">
        <f>IF(FH178="","",IF(ISNUMBER('Dvd Calendar'!$AH$1762)=FALSE,"",IF((('Dvd Calendar'!$AH$1764=TYPE1)*(TYPE1&lt;&gt;"")+('Dvd Calendar'!$AH$1764=TYPE2)*(TYPE2&lt;&gt;"")+('Dvd Calendar'!$AH$1764=TYPE3)*(TYPE3&lt;&gt;"")+('Dvd Calendar'!$AH$1764=TYPE4)*(TYPE4&lt;&gt;"")+('Dvd Calendar'!$AH$1764=SPECIAL_LBL)*(INC_SPECIALS="Y"))=0,"",'Dvd Calendar'!$AH$1762)))</f>
        <v/>
      </c>
      <c r="AG178" s="161">
        <f>IF(FI178="","",IF(ISNUMBER('Dvd Calendar'!$AI$1762)=FALSE,"",IF((('Dvd Calendar'!$AI$1764=TYPE1)*(TYPE1&lt;&gt;"")+('Dvd Calendar'!$AI$1764=TYPE2)*(TYPE2&lt;&gt;"")+('Dvd Calendar'!$AI$1764=TYPE3)*(TYPE3&lt;&gt;"")+('Dvd Calendar'!$AI$1764=TYPE4)*(TYPE4&lt;&gt;"")+('Dvd Calendar'!$AI$1764=SPECIAL_LBL)*(INC_SPECIALS="Y"))=0,"",'Dvd Calendar'!$AI$1762)))</f>
        <v/>
      </c>
      <c r="AH178" s="161">
        <f>IF(FJ178="","",IF(ISNUMBER('Dvd Calendar'!$AJ$1762)=FALSE,"",IF((('Dvd Calendar'!$AJ$1764=TYPE1)*(TYPE1&lt;&gt;"")+('Dvd Calendar'!$AJ$1764=TYPE2)*(TYPE2&lt;&gt;"")+('Dvd Calendar'!$AJ$1764=TYPE3)*(TYPE3&lt;&gt;"")+('Dvd Calendar'!$AJ$1764=TYPE4)*(TYPE4&lt;&gt;"")+('Dvd Calendar'!$AJ$1764=SPECIAL_LBL)*(INC_SPECIALS="Y"))=0,"",'Dvd Calendar'!$AJ$1762)))</f>
        <v/>
      </c>
      <c r="AI178" s="161">
        <f>IF(FK178="","",IF(ISNUMBER('Dvd Calendar'!$AK$1762)=FALSE,"",IF((('Dvd Calendar'!$AK$1764=TYPE1)*(TYPE1&lt;&gt;"")+('Dvd Calendar'!$AK$1764=TYPE2)*(TYPE2&lt;&gt;"")+('Dvd Calendar'!$AK$1764=TYPE3)*(TYPE3&lt;&gt;"")+('Dvd Calendar'!$AK$1764=TYPE4)*(TYPE4&lt;&gt;"")+('Dvd Calendar'!$AK$1764=SPECIAL_LBL)*(INC_SPECIALS="Y"))=0,"",'Dvd Calendar'!$AK$1762)))</f>
        <v/>
      </c>
      <c r="AJ178" s="161">
        <f>IF(FL178="","",IF(ISNUMBER('Dvd Calendar'!$AL$1762)=FALSE,"",IF((('Dvd Calendar'!$AL$1764=TYPE1)*(TYPE1&lt;&gt;"")+('Dvd Calendar'!$AL$1764=TYPE2)*(TYPE2&lt;&gt;"")+('Dvd Calendar'!$AL$1764=TYPE3)*(TYPE3&lt;&gt;"")+('Dvd Calendar'!$AL$1764=TYPE4)*(TYPE4&lt;&gt;"")+('Dvd Calendar'!$AL$1764=SPECIAL_LBL)*(INC_SPECIALS="Y"))=0,"",'Dvd Calendar'!$AL$1762)))</f>
        <v/>
      </c>
      <c r="AK178" s="161">
        <f>IF(FM178="","",IF(ISNUMBER('Dvd Calendar'!$AM$1762)=FALSE,"",IF((('Dvd Calendar'!$AM$1764=TYPE1)*(TYPE1&lt;&gt;"")+('Dvd Calendar'!$AM$1764=TYPE2)*(TYPE2&lt;&gt;"")+('Dvd Calendar'!$AM$1764=TYPE3)*(TYPE3&lt;&gt;"")+('Dvd Calendar'!$AM$1764=TYPE4)*(TYPE4&lt;&gt;"")+('Dvd Calendar'!$AM$1764=SPECIAL_LBL)*(INC_SPECIALS="Y"))=0,"",'Dvd Calendar'!$AM$1762)))</f>
        <v/>
      </c>
      <c r="AL178" s="161">
        <f>IF(FN178="","",IF(ISNUMBER('Dvd Calendar'!$AN$1762)=FALSE,"",IF((('Dvd Calendar'!$AN$1764=TYPE1)*(TYPE1&lt;&gt;"")+('Dvd Calendar'!$AN$1764=TYPE2)*(TYPE2&lt;&gt;"")+('Dvd Calendar'!$AN$1764=TYPE3)*(TYPE3&lt;&gt;"")+('Dvd Calendar'!$AN$1764=TYPE4)*(TYPE4&lt;&gt;"")+('Dvd Calendar'!$AN$1764=SPECIAL_LBL)*(INC_SPECIALS="Y"))=0,"",'Dvd Calendar'!$AN$1762)))</f>
        <v/>
      </c>
      <c r="AM178" s="161">
        <f>IF(FO178="","",IF(ISNUMBER('Dvd Calendar'!$AO$1762)=FALSE,"",IF((('Dvd Calendar'!$AO$1764=TYPE1)*(TYPE1&lt;&gt;"")+('Dvd Calendar'!$AO$1764=TYPE2)*(TYPE2&lt;&gt;"")+('Dvd Calendar'!$AO$1764=TYPE3)*(TYPE3&lt;&gt;"")+('Dvd Calendar'!$AO$1764=TYPE4)*(TYPE4&lt;&gt;"")+('Dvd Calendar'!$AO$1764=SPECIAL_LBL)*(INC_SPECIALS="Y"))=0,"",'Dvd Calendar'!$AO$1762)))</f>
        <v/>
      </c>
      <c r="AN178" s="161">
        <f>IF(FP178="","",IF(ISNUMBER('Dvd Calendar'!$AP$1762)=FALSE,"",IF((('Dvd Calendar'!$AP$1764=TYPE1)*(TYPE1&lt;&gt;"")+('Dvd Calendar'!$AP$1764=TYPE2)*(TYPE2&lt;&gt;"")+('Dvd Calendar'!$AP$1764=TYPE3)*(TYPE3&lt;&gt;"")+('Dvd Calendar'!$AP$1764=TYPE4)*(TYPE4&lt;&gt;"")+('Dvd Calendar'!$AP$1764=SPECIAL_LBL)*(INC_SPECIALS="Y"))=0,"",'Dvd Calendar'!$AP$1762)))</f>
        <v/>
      </c>
      <c r="AO178" s="161">
        <f>IF(FQ178="","",IF(ISNUMBER('Dvd Calendar'!$AQ$1762)=FALSE,"",IF((('Dvd Calendar'!$AQ$1764=TYPE1)*(TYPE1&lt;&gt;"")+('Dvd Calendar'!$AQ$1764=TYPE2)*(TYPE2&lt;&gt;"")+('Dvd Calendar'!$AQ$1764=TYPE3)*(TYPE3&lt;&gt;"")+('Dvd Calendar'!$AQ$1764=TYPE4)*(TYPE4&lt;&gt;"")+('Dvd Calendar'!$AQ$1764=SPECIAL_LBL)*(INC_SPECIALS="Y"))=0,"",'Dvd Calendar'!$AQ$1762)))</f>
        <v/>
      </c>
      <c r="AP178" s="161">
        <f>IF(FR178="","",IF(ISNUMBER('Dvd Calendar'!$AR$1762)=FALSE,"",IF((('Dvd Calendar'!$AR$1764=TYPE1)*(TYPE1&lt;&gt;"")+('Dvd Calendar'!$AR$1764=TYPE2)*(TYPE2&lt;&gt;"")+('Dvd Calendar'!$AR$1764=TYPE3)*(TYPE3&lt;&gt;"")+('Dvd Calendar'!$AR$1764=TYPE4)*(TYPE4&lt;&gt;"")+('Dvd Calendar'!$AR$1764=SPECIAL_LBL)*(INC_SPECIALS="Y"))=0,"",'Dvd Calendar'!$AR$1762)))</f>
        <v/>
      </c>
      <c r="AQ178" s="161">
        <f>IF(FS178="","",IF(ISNUMBER('Dvd Calendar'!$E$1767)=FALSE,"",'Dvd Calendar'!$E$1767))</f>
        <v/>
      </c>
      <c r="AR178" s="161">
        <f>IF(FT178="","",IF(ISNUMBER('Dvd Calendar'!$F$1767)=FALSE,"",'Dvd Calendar'!$F$1767))</f>
        <v/>
      </c>
      <c r="AS178" s="161">
        <f>IF(FU178="","",IF(ISNUMBER('Dvd Calendar'!$G$1767)=FALSE,"",'Dvd Calendar'!$G$1767))</f>
        <v/>
      </c>
      <c r="AT178" s="161">
        <f>IF(FV178="","",IF(ISNUMBER('Dvd Calendar'!$H$1767)=FALSE,"",'Dvd Calendar'!$H$1767))</f>
        <v/>
      </c>
      <c r="AU178" s="161">
        <f>IF(FW178="","",IF(ISNUMBER('Dvd Calendar'!$I$1767)=FALSE,"",'Dvd Calendar'!$I$1767))</f>
        <v/>
      </c>
      <c r="AV178" s="161">
        <f>IF(FX178="","",IF(ISNUMBER('Dvd Calendar'!$J$1767)=FALSE,"",'Dvd Calendar'!$J$1767))</f>
        <v/>
      </c>
      <c r="AW178" s="161">
        <f>IF(FY178="","",IF(ISNUMBER('Dvd Calendar'!$K$1767)=FALSE,"",'Dvd Calendar'!$K$1767))</f>
        <v/>
      </c>
      <c r="AX178" s="161">
        <f>IF(FZ178="","",IF(ISNUMBER('Dvd Calendar'!$L$1767)=FALSE,"",'Dvd Calendar'!$L$1767))</f>
        <v/>
      </c>
      <c r="AY178" s="161">
        <f>IF(GA178="","",IF(ISNUMBER('Dvd Calendar'!$M$1767)=FALSE,"",'Dvd Calendar'!$M$1767))</f>
        <v/>
      </c>
      <c r="AZ178" s="161">
        <f>IF(GB178="","",IF(ISNUMBER('Dvd Calendar'!$N$1767)=FALSE,"",'Dvd Calendar'!$N$1767))</f>
        <v/>
      </c>
      <c r="BA178" s="161">
        <f>IF(GC178="","",IF(ISNUMBER('Dvd Calendar'!$O$1767)=FALSE,"",'Dvd Calendar'!$O$1767))</f>
        <v/>
      </c>
      <c r="BB178" s="161">
        <f>IF(GD178="","",IF(ISNUMBER('Dvd Calendar'!$P$1767)=FALSE,"",'Dvd Calendar'!$P$1767))</f>
        <v/>
      </c>
      <c r="BC178" s="161">
        <f>IF(GE178="","",IF(ISNUMBER('Dvd Calendar'!$Q$1767)=FALSE,"",'Dvd Calendar'!$Q$1767))</f>
        <v/>
      </c>
      <c r="BD178" s="161">
        <f>IF(GF178="","",IF(ISNUMBER('Dvd Calendar'!$R$1767)=FALSE,"",'Dvd Calendar'!$R$1767))</f>
        <v/>
      </c>
      <c r="BE178" s="161">
        <f>IF(GG178="","",IF(ISNUMBER('Dvd Calendar'!$S$1767)=FALSE,"",'Dvd Calendar'!$S$1767))</f>
        <v/>
      </c>
      <c r="BF178" s="161">
        <f>IF(GH178="","",IF(ISNUMBER('Dvd Calendar'!$T$1767)=FALSE,"",'Dvd Calendar'!$T$1767))</f>
        <v/>
      </c>
      <c r="BG178" s="161">
        <f>IF(GI178="","",IF(ISNUMBER('Dvd Calendar'!$U$1767)=FALSE,"",'Dvd Calendar'!$U$1767))</f>
        <v/>
      </c>
      <c r="BH178" s="161">
        <f>IF(GJ178="","",IF(ISNUMBER('Dvd Calendar'!$V$1767)=FALSE,"",'Dvd Calendar'!$V$1767))</f>
        <v/>
      </c>
      <c r="BI178" s="161">
        <f>IF(GK178="","",IF(ISNUMBER('Dvd Calendar'!$W$1767)=FALSE,"",'Dvd Calendar'!$W$1767))</f>
        <v/>
      </c>
      <c r="BJ178" s="161">
        <f>IF(GL178="","",IF(ISNUMBER('Dvd Calendar'!$X$1767)=FALSE,"",'Dvd Calendar'!$X$1767))</f>
        <v/>
      </c>
      <c r="BK178" s="161">
        <f>IF(GM178="","",IF(ISNUMBER('Dvd Calendar'!$Y$1767)=FALSE,"",'Dvd Calendar'!$Y$1767))</f>
        <v/>
      </c>
      <c r="BL178" s="161">
        <f>IF(GN178="","",IF(ISNUMBER('Dvd Calendar'!$Z$1767)=FALSE,"",'Dvd Calendar'!$Z$1767))</f>
        <v/>
      </c>
      <c r="BM178" s="161">
        <f>IF(GO178="","",IF(ISNUMBER('Dvd Calendar'!$AA$1767)=FALSE,"",'Dvd Calendar'!$AA$1767))</f>
        <v/>
      </c>
      <c r="BN178" s="161">
        <f>IF(GP178="","",IF(ISNUMBER('Dvd Calendar'!$AB$1767)=FALSE,"",'Dvd Calendar'!$AB$1767))</f>
        <v/>
      </c>
      <c r="BO178" s="161">
        <f>IF(GQ178="","",IF(ISNUMBER('Dvd Calendar'!$AC$1767)=FALSE,"",'Dvd Calendar'!$AC$1767))</f>
        <v/>
      </c>
      <c r="BQ178" s="161">
        <f>IF(C178="","",IFERROR(C178*HSCEI!$B$25*HSCEI!$G$25/HSCEI!$B$3,""))</f>
        <v/>
      </c>
      <c r="BR178" s="161">
        <f>IF(D178="","",IFERROR(D178*HSCEI!$B$25*HSCEI!$G$25/HSCEI!$B$3,""))</f>
        <v/>
      </c>
      <c r="BS178" s="161">
        <f>IF(E178="","",IFERROR(E178*HSCEI!$B$25*HSCEI!$G$25/HSCEI!$B$3,""))</f>
        <v/>
      </c>
      <c r="BT178" s="161">
        <f>IF(F178="","",IFERROR(F178*HSCEI!$B$25*HSCEI!$G$25/HSCEI!$B$3,""))</f>
        <v/>
      </c>
      <c r="BU178" s="161">
        <f>IF(G178="","",IFERROR(G178*HSCEI!$B$25*HSCEI!$G$25/HSCEI!$B$3,""))</f>
        <v/>
      </c>
      <c r="BV178" s="161">
        <f>IF(H178="","",IFERROR(H178*HSCEI!$B$25*HSCEI!$G$25/HSCEI!$B$3,""))</f>
        <v/>
      </c>
      <c r="BW178" s="161">
        <f>IF(I178="","",IFERROR(I178*HSCEI!$B$25*HSCEI!$G$25/HSCEI!$B$3,""))</f>
        <v/>
      </c>
      <c r="BX178" s="161">
        <f>IF(J178="","",IFERROR(J178*HSCEI!$B$25*HSCEI!$G$25/HSCEI!$B$3,""))</f>
        <v/>
      </c>
      <c r="BY178" s="161">
        <f>IF(K178="","",IFERROR(K178*HSCEI!$B$25*HSCEI!$G$25/HSCEI!$B$3,""))</f>
        <v/>
      </c>
      <c r="BZ178" s="161">
        <f>IF(L178="","",IFERROR(L178*HSCEI!$B$25*HSCEI!$G$25/HSCEI!$B$3,""))</f>
        <v/>
      </c>
      <c r="CA178" s="161">
        <f>IF(M178="","",IFERROR(M178*HSCEI!$B$25*HSCEI!$G$25/HSCEI!$B$3,""))</f>
        <v/>
      </c>
      <c r="CB178" s="161">
        <f>IF(N178="","",IFERROR(N178*HSCEI!$B$25*HSCEI!$G$25/HSCEI!$B$3,""))</f>
        <v/>
      </c>
      <c r="CC178" s="161">
        <f>IF(O178="","",IFERROR(O178*HSCEI!$B$25*HSCEI!$G$25/HSCEI!$B$3,""))</f>
        <v/>
      </c>
      <c r="CD178" s="161">
        <f>IF(P178="","",IFERROR(P178*HSCEI!$B$25*HSCEI!$G$25/HSCEI!$B$3,""))</f>
        <v/>
      </c>
      <c r="CE178" s="161">
        <f>IF(Q178="","",IFERROR(Q178*HSCEI!$B$25*HSCEI!$G$25/HSCEI!$B$3,""))</f>
        <v/>
      </c>
      <c r="CF178" s="161">
        <f>IF(R178="","",IFERROR(R178*HSCEI!$B$25*HSCEI!$G$25/HSCEI!$B$3,""))</f>
        <v/>
      </c>
      <c r="CG178" s="161">
        <f>IF(S178="","",IFERROR(S178*HSCEI!$B$25*HSCEI!$G$25/HSCEI!$B$3,""))</f>
        <v/>
      </c>
      <c r="CH178" s="161">
        <f>IF(T178="","",IFERROR(T178*HSCEI!$B$25*HSCEI!$G$25/HSCEI!$B$3,""))</f>
        <v/>
      </c>
      <c r="CI178" s="161">
        <f>IF(U178="","",IFERROR(U178*HSCEI!$B$25*HSCEI!$G$25/HSCEI!$B$3,""))</f>
        <v/>
      </c>
      <c r="CJ178" s="161">
        <f>IF(V178="","",IFERROR(V178*HSCEI!$B$25*HSCEI!$G$25/HSCEI!$B$3,""))</f>
        <v/>
      </c>
      <c r="CK178" s="161">
        <f>IF(W178="","",IFERROR(W178*HSCEI!$B$25*HSCEI!$G$25/HSCEI!$B$3,""))</f>
        <v/>
      </c>
      <c r="CL178" s="161">
        <f>IF(X178="","",IFERROR(X178*HSCEI!$B$25*HSCEI!$G$25/HSCEI!$B$3,""))</f>
        <v/>
      </c>
      <c r="CM178" s="161">
        <f>IF(Y178="","",IFERROR(Y178*HSCEI!$B$25*HSCEI!$G$25/HSCEI!$B$3,""))</f>
        <v/>
      </c>
      <c r="CN178" s="161">
        <f>IF(Z178="","",IFERROR(Z178*HSCEI!$B$25*HSCEI!$G$25/HSCEI!$B$3,""))</f>
        <v/>
      </c>
      <c r="CO178" s="161">
        <f>IF(AA178="","",IFERROR(AA178*HSCEI!$B$25*HSCEI!$G$25/HSCEI!$B$3,""))</f>
        <v/>
      </c>
      <c r="CP178" s="161">
        <f>IF(AB178="","",IFERROR(AB178*HSCEI!$B$25*HSCEI!$G$25/HSCEI!$B$3,""))</f>
        <v/>
      </c>
      <c r="CQ178" s="161">
        <f>IF(AC178="","",IFERROR(AC178*HSCEI!$B$25*HSCEI!$G$25/HSCEI!$B$3,""))</f>
        <v/>
      </c>
      <c r="CR178" s="161">
        <f>IF(AD178="","",IFERROR(AD178*HSCEI!$B$25*HSCEI!$G$25/HSCEI!$B$3,""))</f>
        <v/>
      </c>
      <c r="CS178" s="161">
        <f>IF(AE178="","",IFERROR(AE178*HSCEI!$B$25*HSCEI!$G$25/HSCEI!$B$3,""))</f>
        <v/>
      </c>
      <c r="CT178" s="161">
        <f>IF(AF178="","",IFERROR(AF178*HSCEI!$B$25*HSCEI!$G$25/HSCEI!$B$3,""))</f>
        <v/>
      </c>
      <c r="CU178" s="161">
        <f>IF(AG178="","",IFERROR(AG178*HSCEI!$B$25*HSCEI!$G$25/HSCEI!$B$3,""))</f>
        <v/>
      </c>
      <c r="CV178" s="161">
        <f>IF(AH178="","",IFERROR(AH178*HSCEI!$B$25*HSCEI!$G$25/HSCEI!$B$3,""))</f>
        <v/>
      </c>
      <c r="CW178" s="161">
        <f>IF(AI178="","",IFERROR(AI178*HSCEI!$B$25*HSCEI!$G$25/HSCEI!$B$3,""))</f>
        <v/>
      </c>
      <c r="CX178" s="161">
        <f>IF(AJ178="","",IFERROR(AJ178*HSCEI!$B$25*HSCEI!$G$25/HSCEI!$B$3,""))</f>
        <v/>
      </c>
      <c r="CY178" s="161">
        <f>IF(AK178="","",IFERROR(AK178*HSCEI!$B$25*HSCEI!$G$25/HSCEI!$B$3,""))</f>
        <v/>
      </c>
      <c r="CZ178" s="161">
        <f>IF(AL178="","",IFERROR(AL178*HSCEI!$B$25*HSCEI!$G$25/HSCEI!$B$3,""))</f>
        <v/>
      </c>
      <c r="DA178" s="161">
        <f>IF(AM178="","",IFERROR(AM178*HSCEI!$B$25*HSCEI!$G$25/HSCEI!$B$3,""))</f>
        <v/>
      </c>
      <c r="DB178" s="161">
        <f>IF(AN178="","",IFERROR(AN178*HSCEI!$B$25*HSCEI!$G$25/HSCEI!$B$3,""))</f>
        <v/>
      </c>
      <c r="DC178" s="161">
        <f>IF(AO178="","",IFERROR(AO178*HSCEI!$B$25*HSCEI!$G$25/HSCEI!$B$3,""))</f>
        <v/>
      </c>
      <c r="DD178" s="161">
        <f>IF(AP178="","",IFERROR(AP178*HSCEI!$B$25*HSCEI!$G$25/HSCEI!$B$3,""))</f>
        <v/>
      </c>
      <c r="DE178" s="161">
        <f>IF(AQ178="","",IFERROR(AQ178*HSCEI!$B$25*HSCEI!$G$25/HSCEI!$B$3,""))</f>
        <v/>
      </c>
      <c r="DF178" s="161">
        <f>IF(AR178="","",IFERROR(AR178*HSCEI!$B$25*HSCEI!$G$25/HSCEI!$B$3,""))</f>
        <v/>
      </c>
      <c r="DG178" s="161">
        <f>IF(AS178="","",IFERROR(AS178*HSCEI!$B$25*HSCEI!$G$25/HSCEI!$B$3,""))</f>
        <v/>
      </c>
      <c r="DH178" s="161">
        <f>IF(AT178="","",IFERROR(AT178*HSCEI!$B$25*HSCEI!$G$25/HSCEI!$B$3,""))</f>
        <v/>
      </c>
      <c r="DI178" s="161">
        <f>IF(AU178="","",IFERROR(AU178*HSCEI!$B$25*HSCEI!$G$25/HSCEI!$B$3,""))</f>
        <v/>
      </c>
      <c r="DJ178" s="161">
        <f>IF(AV178="","",IFERROR(AV178*HSCEI!$B$25*HSCEI!$G$25/HSCEI!$B$3,""))</f>
        <v/>
      </c>
      <c r="DK178" s="161">
        <f>IF(AW178="","",IFERROR(AW178*HSCEI!$B$25*HSCEI!$G$25/HSCEI!$B$3,""))</f>
        <v/>
      </c>
      <c r="DL178" s="161">
        <f>IF(AX178="","",IFERROR(AX178*HSCEI!$B$25*HSCEI!$G$25/HSCEI!$B$3,""))</f>
        <v/>
      </c>
      <c r="DM178" s="161">
        <f>IF(AY178="","",IFERROR(AY178*HSCEI!$B$25*HSCEI!$G$25/HSCEI!$B$3,""))</f>
        <v/>
      </c>
      <c r="DN178" s="161">
        <f>IF(AZ178="","",IFERROR(AZ178*HSCEI!$B$25*HSCEI!$G$25/HSCEI!$B$3,""))</f>
        <v/>
      </c>
      <c r="DO178" s="161">
        <f>IF(BA178="","",IFERROR(BA178*HSCEI!$B$25*HSCEI!$G$25/HSCEI!$B$3,""))</f>
        <v/>
      </c>
      <c r="DP178" s="161">
        <f>IF(BB178="","",IFERROR(BB178*HSCEI!$B$25*HSCEI!$G$25/HSCEI!$B$3,""))</f>
        <v/>
      </c>
      <c r="DQ178" s="161">
        <f>IF(BC178="","",IFERROR(BC178*HSCEI!$B$25*HSCEI!$G$25/HSCEI!$B$3,""))</f>
        <v/>
      </c>
      <c r="DR178" s="161">
        <f>IF(BD178="","",IFERROR(BD178*HSCEI!$B$25*HSCEI!$G$25/HSCEI!$B$3,""))</f>
        <v/>
      </c>
      <c r="DS178" s="161">
        <f>IF(BE178="","",IFERROR(BE178*HSCEI!$B$25*HSCEI!$G$25/HSCEI!$B$3,""))</f>
        <v/>
      </c>
      <c r="DT178" s="161">
        <f>IF(BF178="","",IFERROR(BF178*HSCEI!$B$25*HSCEI!$G$25/HSCEI!$B$3,""))</f>
        <v/>
      </c>
      <c r="DU178" s="161">
        <f>IF(BG178="","",IFERROR(BG178*HSCEI!$B$25*HSCEI!$G$25/HSCEI!$B$3,""))</f>
        <v/>
      </c>
      <c r="DV178" s="161">
        <f>IF(BH178="","",IFERROR(BH178*HSCEI!$B$25*HSCEI!$G$25/HSCEI!$B$3,""))</f>
        <v/>
      </c>
      <c r="DW178" s="161">
        <f>IF(BI178="","",IFERROR(BI178*HSCEI!$B$25*HSCEI!$G$25/HSCEI!$B$3,""))</f>
        <v/>
      </c>
      <c r="DX178" s="161">
        <f>IF(BJ178="","",IFERROR(BJ178*HSCEI!$B$25*HSCEI!$G$25/HSCEI!$B$3,""))</f>
        <v/>
      </c>
      <c r="DY178" s="161">
        <f>IF(BK178="","",IFERROR(BK178*HSCEI!$B$25*HSCEI!$G$25/HSCEI!$B$3,""))</f>
        <v/>
      </c>
      <c r="DZ178" s="161">
        <f>IF(BL178="","",IFERROR(BL178*HSCEI!$B$25*HSCEI!$G$25/HSCEI!$B$3,""))</f>
        <v/>
      </c>
      <c r="EA178" s="161">
        <f>IF(BM178="","",IFERROR(BM178*HSCEI!$B$25*HSCEI!$G$25/HSCEI!$B$3,""))</f>
        <v/>
      </c>
      <c r="EB178" s="161">
        <f>IF(BN178="","",IFERROR(BN178*HSCEI!$B$25*HSCEI!$G$25/HSCEI!$B$3,""))</f>
        <v/>
      </c>
      <c r="EC178" s="161">
        <f>IF(BO178="","",IFERROR(BO178*HSCEI!$B$25*HSCEI!$G$25/HSCEI!$B$3,""))</f>
        <v/>
      </c>
      <c r="EE178" s="121">
        <f>IF(N('Dvd Calendar'!$E$1759)=0,"",IF(('Dvd Calendar'!$E$1759&gt;=GRID_FROM)*('Dvd Calendar'!$E$1759&lt;=GRID_TO)*((('Dvd Calendar'!$E$1759&lt;=VAL_DATE)+(COUNTIF('Dvd Calendar'!$E$1766:$AR$1766,'Dvd Calendar'!$E$1759)=0))&gt;0)=0,"",'Dvd Calendar'!$E$1759*1000000000+ISNUMBER('Dvd Calendar'!$E$1762)*100000000+('Dvd Calendar'!$E$1764=SPECIAL_LBL)*10000000+(N('Dvd Calendar'!$E$1758)&gt;0)*(N('Dvd Calendar'!$E$1758)&lt;=VAL_SERIAL)*1000000+19*1000+1))</f>
        <v/>
      </c>
      <c r="EF178" s="121">
        <f>IF(N('Dvd Calendar'!$F$1759)=0,"",IF(('Dvd Calendar'!$F$1759&gt;=GRID_FROM)*('Dvd Calendar'!$F$1759&lt;=GRID_TO)*((('Dvd Calendar'!$F$1759&lt;=VAL_DATE)+(COUNTIF('Dvd Calendar'!$E$1766:$AR$1766,'Dvd Calendar'!$F$1759)=0))&gt;0)=0,"",'Dvd Calendar'!$F$1759*1000000000+ISNUMBER('Dvd Calendar'!$F$1762)*100000000+('Dvd Calendar'!$F$1764=SPECIAL_LBL)*10000000+(N('Dvd Calendar'!$F$1758)&gt;0)*(N('Dvd Calendar'!$F$1758)&lt;=VAL_SERIAL)*1000000+19*1000+2))</f>
        <v/>
      </c>
      <c r="EG178" s="121">
        <f>IF(N('Dvd Calendar'!$G$1759)=0,"",IF(('Dvd Calendar'!$G$1759&gt;=GRID_FROM)*('Dvd Calendar'!$G$1759&lt;=GRID_TO)*((('Dvd Calendar'!$G$1759&lt;=VAL_DATE)+(COUNTIF('Dvd Calendar'!$E$1766:$AR$1766,'Dvd Calendar'!$G$1759)=0))&gt;0)=0,"",'Dvd Calendar'!$G$1759*1000000000+ISNUMBER('Dvd Calendar'!$G$1762)*100000000+('Dvd Calendar'!$G$1764=SPECIAL_LBL)*10000000+(N('Dvd Calendar'!$G$1758)&gt;0)*(N('Dvd Calendar'!$G$1758)&lt;=VAL_SERIAL)*1000000+19*1000+3))</f>
        <v/>
      </c>
      <c r="EH178" s="121">
        <f>IF(N('Dvd Calendar'!$H$1759)=0,"",IF(('Dvd Calendar'!$H$1759&gt;=GRID_FROM)*('Dvd Calendar'!$H$1759&lt;=GRID_TO)*((('Dvd Calendar'!$H$1759&lt;=VAL_DATE)+(COUNTIF('Dvd Calendar'!$E$1766:$AR$1766,'Dvd Calendar'!$H$1759)=0))&gt;0)=0,"",'Dvd Calendar'!$H$1759*1000000000+ISNUMBER('Dvd Calendar'!$H$1762)*100000000+('Dvd Calendar'!$H$1764=SPECIAL_LBL)*10000000+(N('Dvd Calendar'!$H$1758)&gt;0)*(N('Dvd Calendar'!$H$1758)&lt;=VAL_SERIAL)*1000000+19*1000+4))</f>
        <v/>
      </c>
      <c r="EI178" s="121">
        <f>IF(N('Dvd Calendar'!$I$1759)=0,"",IF(('Dvd Calendar'!$I$1759&gt;=GRID_FROM)*('Dvd Calendar'!$I$1759&lt;=GRID_TO)*((('Dvd Calendar'!$I$1759&lt;=VAL_DATE)+(COUNTIF('Dvd Calendar'!$E$1766:$AR$1766,'Dvd Calendar'!$I$1759)=0))&gt;0)=0,"",'Dvd Calendar'!$I$1759*1000000000+ISNUMBER('Dvd Calendar'!$I$1762)*100000000+('Dvd Calendar'!$I$1764=SPECIAL_LBL)*10000000+(N('Dvd Calendar'!$I$1758)&gt;0)*(N('Dvd Calendar'!$I$1758)&lt;=VAL_SERIAL)*1000000+19*1000+5))</f>
        <v/>
      </c>
      <c r="EJ178" s="121">
        <f>IF(N('Dvd Calendar'!$J$1759)=0,"",IF(('Dvd Calendar'!$J$1759&gt;=GRID_FROM)*('Dvd Calendar'!$J$1759&lt;=GRID_TO)*((('Dvd Calendar'!$J$1759&lt;=VAL_DATE)+(COUNTIF('Dvd Calendar'!$E$1766:$AR$1766,'Dvd Calendar'!$J$1759)=0))&gt;0)=0,"",'Dvd Calendar'!$J$1759*1000000000+ISNUMBER('Dvd Calendar'!$J$1762)*100000000+('Dvd Calendar'!$J$1764=SPECIAL_LBL)*10000000+(N('Dvd Calendar'!$J$1758)&gt;0)*(N('Dvd Calendar'!$J$1758)&lt;=VAL_SERIAL)*1000000+19*1000+6))</f>
        <v/>
      </c>
      <c r="EK178" s="121">
        <f>IF(N('Dvd Calendar'!$K$1759)=0,"",IF(('Dvd Calendar'!$K$1759&gt;=GRID_FROM)*('Dvd Calendar'!$K$1759&lt;=GRID_TO)*((('Dvd Calendar'!$K$1759&lt;=VAL_DATE)+(COUNTIF('Dvd Calendar'!$E$1766:$AR$1766,'Dvd Calendar'!$K$1759)=0))&gt;0)=0,"",'Dvd Calendar'!$K$1759*1000000000+ISNUMBER('Dvd Calendar'!$K$1762)*100000000+('Dvd Calendar'!$K$1764=SPECIAL_LBL)*10000000+(N('Dvd Calendar'!$K$1758)&gt;0)*(N('Dvd Calendar'!$K$1758)&lt;=VAL_SERIAL)*1000000+19*1000+7))</f>
        <v/>
      </c>
      <c r="EL178" s="121">
        <f>IF(N('Dvd Calendar'!$L$1759)=0,"",IF(('Dvd Calendar'!$L$1759&gt;=GRID_FROM)*('Dvd Calendar'!$L$1759&lt;=GRID_TO)*((('Dvd Calendar'!$L$1759&lt;=VAL_DATE)+(COUNTIF('Dvd Calendar'!$E$1766:$AR$1766,'Dvd Calendar'!$L$1759)=0))&gt;0)=0,"",'Dvd Calendar'!$L$1759*1000000000+ISNUMBER('Dvd Calendar'!$L$1762)*100000000+('Dvd Calendar'!$L$1764=SPECIAL_LBL)*10000000+(N('Dvd Calendar'!$L$1758)&gt;0)*(N('Dvd Calendar'!$L$1758)&lt;=VAL_SERIAL)*1000000+19*1000+8))</f>
        <v/>
      </c>
      <c r="EM178" s="121">
        <f>IF(N('Dvd Calendar'!$M$1759)=0,"",IF(('Dvd Calendar'!$M$1759&gt;=GRID_FROM)*('Dvd Calendar'!$M$1759&lt;=GRID_TO)*((('Dvd Calendar'!$M$1759&lt;=VAL_DATE)+(COUNTIF('Dvd Calendar'!$E$1766:$AR$1766,'Dvd Calendar'!$M$1759)=0))&gt;0)=0,"",'Dvd Calendar'!$M$1759*1000000000+ISNUMBER('Dvd Calendar'!$M$1762)*100000000+('Dvd Calendar'!$M$1764=SPECIAL_LBL)*10000000+(N('Dvd Calendar'!$M$1758)&gt;0)*(N('Dvd Calendar'!$M$1758)&lt;=VAL_SERIAL)*1000000+19*1000+9))</f>
        <v/>
      </c>
      <c r="EN178" s="121">
        <f>IF(N('Dvd Calendar'!$N$1759)=0,"",IF(('Dvd Calendar'!$N$1759&gt;=GRID_FROM)*('Dvd Calendar'!$N$1759&lt;=GRID_TO)*((('Dvd Calendar'!$N$1759&lt;=VAL_DATE)+(COUNTIF('Dvd Calendar'!$E$1766:$AR$1766,'Dvd Calendar'!$N$1759)=0))&gt;0)=0,"",'Dvd Calendar'!$N$1759*1000000000+ISNUMBER('Dvd Calendar'!$N$1762)*100000000+('Dvd Calendar'!$N$1764=SPECIAL_LBL)*10000000+(N('Dvd Calendar'!$N$1758)&gt;0)*(N('Dvd Calendar'!$N$1758)&lt;=VAL_SERIAL)*1000000+19*1000+10))</f>
        <v/>
      </c>
      <c r="EO178" s="121">
        <f>IF(N('Dvd Calendar'!$O$1759)=0,"",IF(('Dvd Calendar'!$O$1759&gt;=GRID_FROM)*('Dvd Calendar'!$O$1759&lt;=GRID_TO)*((('Dvd Calendar'!$O$1759&lt;=VAL_DATE)+(COUNTIF('Dvd Calendar'!$E$1766:$AR$1766,'Dvd Calendar'!$O$1759)=0))&gt;0)=0,"",'Dvd Calendar'!$O$1759*1000000000+ISNUMBER('Dvd Calendar'!$O$1762)*100000000+('Dvd Calendar'!$O$1764=SPECIAL_LBL)*10000000+(N('Dvd Calendar'!$O$1758)&gt;0)*(N('Dvd Calendar'!$O$1758)&lt;=VAL_SERIAL)*1000000+19*1000+11))</f>
        <v/>
      </c>
      <c r="EP178" s="121">
        <f>IF(N('Dvd Calendar'!$P$1759)=0,"",IF(('Dvd Calendar'!$P$1759&gt;=GRID_FROM)*('Dvd Calendar'!$P$1759&lt;=GRID_TO)*((('Dvd Calendar'!$P$1759&lt;=VAL_DATE)+(COUNTIF('Dvd Calendar'!$E$1766:$AR$1766,'Dvd Calendar'!$P$1759)=0))&gt;0)=0,"",'Dvd Calendar'!$P$1759*1000000000+ISNUMBER('Dvd Calendar'!$P$1762)*100000000+('Dvd Calendar'!$P$1764=SPECIAL_LBL)*10000000+(N('Dvd Calendar'!$P$1758)&gt;0)*(N('Dvd Calendar'!$P$1758)&lt;=VAL_SERIAL)*1000000+19*1000+12))</f>
        <v/>
      </c>
      <c r="EQ178" s="121">
        <f>IF(N('Dvd Calendar'!$Q$1759)=0,"",IF(('Dvd Calendar'!$Q$1759&gt;=GRID_FROM)*('Dvd Calendar'!$Q$1759&lt;=GRID_TO)*((('Dvd Calendar'!$Q$1759&lt;=VAL_DATE)+(COUNTIF('Dvd Calendar'!$E$1766:$AR$1766,'Dvd Calendar'!$Q$1759)=0))&gt;0)=0,"",'Dvd Calendar'!$Q$1759*1000000000+ISNUMBER('Dvd Calendar'!$Q$1762)*100000000+('Dvd Calendar'!$Q$1764=SPECIAL_LBL)*10000000+(N('Dvd Calendar'!$Q$1758)&gt;0)*(N('Dvd Calendar'!$Q$1758)&lt;=VAL_SERIAL)*1000000+19*1000+13))</f>
        <v/>
      </c>
      <c r="ER178" s="121">
        <f>IF(N('Dvd Calendar'!$R$1759)=0,"",IF(('Dvd Calendar'!$R$1759&gt;=GRID_FROM)*('Dvd Calendar'!$R$1759&lt;=GRID_TO)*((('Dvd Calendar'!$R$1759&lt;=VAL_DATE)+(COUNTIF('Dvd Calendar'!$E$1766:$AR$1766,'Dvd Calendar'!$R$1759)=0))&gt;0)=0,"",'Dvd Calendar'!$R$1759*1000000000+ISNUMBER('Dvd Calendar'!$R$1762)*100000000+('Dvd Calendar'!$R$1764=SPECIAL_LBL)*10000000+(N('Dvd Calendar'!$R$1758)&gt;0)*(N('Dvd Calendar'!$R$1758)&lt;=VAL_SERIAL)*1000000+19*1000+14))</f>
        <v/>
      </c>
      <c r="ES178" s="121">
        <f>IF(N('Dvd Calendar'!$S$1759)=0,"",IF(('Dvd Calendar'!$S$1759&gt;=GRID_FROM)*('Dvd Calendar'!$S$1759&lt;=GRID_TO)*((('Dvd Calendar'!$S$1759&lt;=VAL_DATE)+(COUNTIF('Dvd Calendar'!$E$1766:$AR$1766,'Dvd Calendar'!$S$1759)=0))&gt;0)=0,"",'Dvd Calendar'!$S$1759*1000000000+ISNUMBER('Dvd Calendar'!$S$1762)*100000000+('Dvd Calendar'!$S$1764=SPECIAL_LBL)*10000000+(N('Dvd Calendar'!$S$1758)&gt;0)*(N('Dvd Calendar'!$S$1758)&lt;=VAL_SERIAL)*1000000+19*1000+15))</f>
        <v/>
      </c>
      <c r="ET178" s="121">
        <f>IF(N('Dvd Calendar'!$T$1759)=0,"",IF(('Dvd Calendar'!$T$1759&gt;=GRID_FROM)*('Dvd Calendar'!$T$1759&lt;=GRID_TO)*((('Dvd Calendar'!$T$1759&lt;=VAL_DATE)+(COUNTIF('Dvd Calendar'!$E$1766:$AR$1766,'Dvd Calendar'!$T$1759)=0))&gt;0)=0,"",'Dvd Calendar'!$T$1759*1000000000+ISNUMBER('Dvd Calendar'!$T$1762)*100000000+('Dvd Calendar'!$T$1764=SPECIAL_LBL)*10000000+(N('Dvd Calendar'!$T$1758)&gt;0)*(N('Dvd Calendar'!$T$1758)&lt;=VAL_SERIAL)*1000000+19*1000+16))</f>
        <v/>
      </c>
      <c r="EU178" s="121">
        <f>IF(N('Dvd Calendar'!$U$1759)=0,"",IF(('Dvd Calendar'!$U$1759&gt;=GRID_FROM)*('Dvd Calendar'!$U$1759&lt;=GRID_TO)*((('Dvd Calendar'!$U$1759&lt;=VAL_DATE)+(COUNTIF('Dvd Calendar'!$E$1766:$AR$1766,'Dvd Calendar'!$U$1759)=0))&gt;0)=0,"",'Dvd Calendar'!$U$1759*1000000000+ISNUMBER('Dvd Calendar'!$U$1762)*100000000+('Dvd Calendar'!$U$1764=SPECIAL_LBL)*10000000+(N('Dvd Calendar'!$U$1758)&gt;0)*(N('Dvd Calendar'!$U$1758)&lt;=VAL_SERIAL)*1000000+19*1000+17))</f>
        <v/>
      </c>
      <c r="EV178" s="121">
        <f>IF(N('Dvd Calendar'!$V$1759)=0,"",IF(('Dvd Calendar'!$V$1759&gt;=GRID_FROM)*('Dvd Calendar'!$V$1759&lt;=GRID_TO)*((('Dvd Calendar'!$V$1759&lt;=VAL_DATE)+(COUNTIF('Dvd Calendar'!$E$1766:$AR$1766,'Dvd Calendar'!$V$1759)=0))&gt;0)=0,"",'Dvd Calendar'!$V$1759*1000000000+ISNUMBER('Dvd Calendar'!$V$1762)*100000000+('Dvd Calendar'!$V$1764=SPECIAL_LBL)*10000000+(N('Dvd Calendar'!$V$1758)&gt;0)*(N('Dvd Calendar'!$V$1758)&lt;=VAL_SERIAL)*1000000+19*1000+18))</f>
        <v/>
      </c>
      <c r="EW178" s="121">
        <f>IF(N('Dvd Calendar'!$W$1759)=0,"",IF(('Dvd Calendar'!$W$1759&gt;=GRID_FROM)*('Dvd Calendar'!$W$1759&lt;=GRID_TO)*((('Dvd Calendar'!$W$1759&lt;=VAL_DATE)+(COUNTIF('Dvd Calendar'!$E$1766:$AR$1766,'Dvd Calendar'!$W$1759)=0))&gt;0)=0,"",'Dvd Calendar'!$W$1759*1000000000+ISNUMBER('Dvd Calendar'!$W$1762)*100000000+('Dvd Calendar'!$W$1764=SPECIAL_LBL)*10000000+(N('Dvd Calendar'!$W$1758)&gt;0)*(N('Dvd Calendar'!$W$1758)&lt;=VAL_SERIAL)*1000000+19*1000+19))</f>
        <v/>
      </c>
      <c r="EX178" s="121">
        <f>IF(N('Dvd Calendar'!$X$1759)=0,"",IF(('Dvd Calendar'!$X$1759&gt;=GRID_FROM)*('Dvd Calendar'!$X$1759&lt;=GRID_TO)*((('Dvd Calendar'!$X$1759&lt;=VAL_DATE)+(COUNTIF('Dvd Calendar'!$E$1766:$AR$1766,'Dvd Calendar'!$X$1759)=0))&gt;0)=0,"",'Dvd Calendar'!$X$1759*1000000000+ISNUMBER('Dvd Calendar'!$X$1762)*100000000+('Dvd Calendar'!$X$1764=SPECIAL_LBL)*10000000+(N('Dvd Calendar'!$X$1758)&gt;0)*(N('Dvd Calendar'!$X$1758)&lt;=VAL_SERIAL)*1000000+19*1000+20))</f>
        <v/>
      </c>
      <c r="EY178" s="121">
        <f>IF(N('Dvd Calendar'!$Y$1759)=0,"",IF(('Dvd Calendar'!$Y$1759&gt;=GRID_FROM)*('Dvd Calendar'!$Y$1759&lt;=GRID_TO)*((('Dvd Calendar'!$Y$1759&lt;=VAL_DATE)+(COUNTIF('Dvd Calendar'!$E$1766:$AR$1766,'Dvd Calendar'!$Y$1759)=0))&gt;0)=0,"",'Dvd Calendar'!$Y$1759*1000000000+ISNUMBER('Dvd Calendar'!$Y$1762)*100000000+('Dvd Calendar'!$Y$1764=SPECIAL_LBL)*10000000+(N('Dvd Calendar'!$Y$1758)&gt;0)*(N('Dvd Calendar'!$Y$1758)&lt;=VAL_SERIAL)*1000000+19*1000+21))</f>
        <v/>
      </c>
      <c r="EZ178" s="121">
        <f>IF(N('Dvd Calendar'!$Z$1759)=0,"",IF(('Dvd Calendar'!$Z$1759&gt;=GRID_FROM)*('Dvd Calendar'!$Z$1759&lt;=GRID_TO)*((('Dvd Calendar'!$Z$1759&lt;=VAL_DATE)+(COUNTIF('Dvd Calendar'!$E$1766:$AR$1766,'Dvd Calendar'!$Z$1759)=0))&gt;0)=0,"",'Dvd Calendar'!$Z$1759*1000000000+ISNUMBER('Dvd Calendar'!$Z$1762)*100000000+('Dvd Calendar'!$Z$1764=SPECIAL_LBL)*10000000+(N('Dvd Calendar'!$Z$1758)&gt;0)*(N('Dvd Calendar'!$Z$1758)&lt;=VAL_SERIAL)*1000000+19*1000+22))</f>
        <v/>
      </c>
      <c r="FA178" s="121">
        <f>IF(N('Dvd Calendar'!$AA$1759)=0,"",IF(('Dvd Calendar'!$AA$1759&gt;=GRID_FROM)*('Dvd Calendar'!$AA$1759&lt;=GRID_TO)*((('Dvd Calendar'!$AA$1759&lt;=VAL_DATE)+(COUNTIF('Dvd Calendar'!$E$1766:$AR$1766,'Dvd Calendar'!$AA$1759)=0))&gt;0)=0,"",'Dvd Calendar'!$AA$1759*1000000000+ISNUMBER('Dvd Calendar'!$AA$1762)*100000000+('Dvd Calendar'!$AA$1764=SPECIAL_LBL)*10000000+(N('Dvd Calendar'!$AA$1758)&gt;0)*(N('Dvd Calendar'!$AA$1758)&lt;=VAL_SERIAL)*1000000+19*1000+23))</f>
        <v/>
      </c>
      <c r="FB178" s="121">
        <f>IF(N('Dvd Calendar'!$AB$1759)=0,"",IF(('Dvd Calendar'!$AB$1759&gt;=GRID_FROM)*('Dvd Calendar'!$AB$1759&lt;=GRID_TO)*((('Dvd Calendar'!$AB$1759&lt;=VAL_DATE)+(COUNTIF('Dvd Calendar'!$E$1766:$AR$1766,'Dvd Calendar'!$AB$1759)=0))&gt;0)=0,"",'Dvd Calendar'!$AB$1759*1000000000+ISNUMBER('Dvd Calendar'!$AB$1762)*100000000+('Dvd Calendar'!$AB$1764=SPECIAL_LBL)*10000000+(N('Dvd Calendar'!$AB$1758)&gt;0)*(N('Dvd Calendar'!$AB$1758)&lt;=VAL_SERIAL)*1000000+19*1000+24))</f>
        <v/>
      </c>
      <c r="FC178" s="121">
        <f>IF(N('Dvd Calendar'!$AC$1759)=0,"",IF(('Dvd Calendar'!$AC$1759&gt;=GRID_FROM)*('Dvd Calendar'!$AC$1759&lt;=GRID_TO)*((('Dvd Calendar'!$AC$1759&lt;=VAL_DATE)+(COUNTIF('Dvd Calendar'!$E$1766:$AR$1766,'Dvd Calendar'!$AC$1759)=0))&gt;0)=0,"",'Dvd Calendar'!$AC$1759*1000000000+ISNUMBER('Dvd Calendar'!$AC$1762)*100000000+('Dvd Calendar'!$AC$1764=SPECIAL_LBL)*10000000+(N('Dvd Calendar'!$AC$1758)&gt;0)*(N('Dvd Calendar'!$AC$1758)&lt;=VAL_SERIAL)*1000000+19*1000+25))</f>
        <v/>
      </c>
      <c r="FD178" s="121">
        <f>IF(N('Dvd Calendar'!$AD$1759)=0,"",IF(('Dvd Calendar'!$AD$1759&gt;=GRID_FROM)*('Dvd Calendar'!$AD$1759&lt;=GRID_TO)*((('Dvd Calendar'!$AD$1759&lt;=VAL_DATE)+(COUNTIF('Dvd Calendar'!$E$1766:$AR$1766,'Dvd Calendar'!$AD$1759)=0))&gt;0)=0,"",'Dvd Calendar'!$AD$1759*1000000000+ISNUMBER('Dvd Calendar'!$AD$1762)*100000000+('Dvd Calendar'!$AD$1764=SPECIAL_LBL)*10000000+(N('Dvd Calendar'!$AD$1758)&gt;0)*(N('Dvd Calendar'!$AD$1758)&lt;=VAL_SERIAL)*1000000+19*1000+26))</f>
        <v/>
      </c>
      <c r="FE178" s="121">
        <f>IF(N('Dvd Calendar'!$AE$1759)=0,"",IF(('Dvd Calendar'!$AE$1759&gt;=GRID_FROM)*('Dvd Calendar'!$AE$1759&lt;=GRID_TO)*((('Dvd Calendar'!$AE$1759&lt;=VAL_DATE)+(COUNTIF('Dvd Calendar'!$E$1766:$AR$1766,'Dvd Calendar'!$AE$1759)=0))&gt;0)=0,"",'Dvd Calendar'!$AE$1759*1000000000+ISNUMBER('Dvd Calendar'!$AE$1762)*100000000+('Dvd Calendar'!$AE$1764=SPECIAL_LBL)*10000000+(N('Dvd Calendar'!$AE$1758)&gt;0)*(N('Dvd Calendar'!$AE$1758)&lt;=VAL_SERIAL)*1000000+19*1000+27))</f>
        <v/>
      </c>
      <c r="FF178" s="121">
        <f>IF(N('Dvd Calendar'!$AF$1759)=0,"",IF(('Dvd Calendar'!$AF$1759&gt;=GRID_FROM)*('Dvd Calendar'!$AF$1759&lt;=GRID_TO)*((('Dvd Calendar'!$AF$1759&lt;=VAL_DATE)+(COUNTIF('Dvd Calendar'!$E$1766:$AR$1766,'Dvd Calendar'!$AF$1759)=0))&gt;0)=0,"",'Dvd Calendar'!$AF$1759*1000000000+ISNUMBER('Dvd Calendar'!$AF$1762)*100000000+('Dvd Calendar'!$AF$1764=SPECIAL_LBL)*10000000+(N('Dvd Calendar'!$AF$1758)&gt;0)*(N('Dvd Calendar'!$AF$1758)&lt;=VAL_SERIAL)*1000000+19*1000+28))</f>
        <v/>
      </c>
      <c r="FG178" s="121">
        <f>IF(N('Dvd Calendar'!$AG$1759)=0,"",IF(('Dvd Calendar'!$AG$1759&gt;=GRID_FROM)*('Dvd Calendar'!$AG$1759&lt;=GRID_TO)*((('Dvd Calendar'!$AG$1759&lt;=VAL_DATE)+(COUNTIF('Dvd Calendar'!$E$1766:$AR$1766,'Dvd Calendar'!$AG$1759)=0))&gt;0)=0,"",'Dvd Calendar'!$AG$1759*1000000000+ISNUMBER('Dvd Calendar'!$AG$1762)*100000000+('Dvd Calendar'!$AG$1764=SPECIAL_LBL)*10000000+(N('Dvd Calendar'!$AG$1758)&gt;0)*(N('Dvd Calendar'!$AG$1758)&lt;=VAL_SERIAL)*1000000+19*1000+29))</f>
        <v/>
      </c>
      <c r="FH178" s="121">
        <f>IF(N('Dvd Calendar'!$AH$1759)=0,"",IF(('Dvd Calendar'!$AH$1759&gt;=GRID_FROM)*('Dvd Calendar'!$AH$1759&lt;=GRID_TO)*((('Dvd Calendar'!$AH$1759&lt;=VAL_DATE)+(COUNTIF('Dvd Calendar'!$E$1766:$AR$1766,'Dvd Calendar'!$AH$1759)=0))&gt;0)=0,"",'Dvd Calendar'!$AH$1759*1000000000+ISNUMBER('Dvd Calendar'!$AH$1762)*100000000+('Dvd Calendar'!$AH$1764=SPECIAL_LBL)*10000000+(N('Dvd Calendar'!$AH$1758)&gt;0)*(N('Dvd Calendar'!$AH$1758)&lt;=VAL_SERIAL)*1000000+19*1000+30))</f>
        <v/>
      </c>
      <c r="FI178" s="121">
        <f>IF(N('Dvd Calendar'!$AI$1759)=0,"",IF(('Dvd Calendar'!$AI$1759&gt;=GRID_FROM)*('Dvd Calendar'!$AI$1759&lt;=GRID_TO)*((('Dvd Calendar'!$AI$1759&lt;=VAL_DATE)+(COUNTIF('Dvd Calendar'!$E$1766:$AR$1766,'Dvd Calendar'!$AI$1759)=0))&gt;0)=0,"",'Dvd Calendar'!$AI$1759*1000000000+ISNUMBER('Dvd Calendar'!$AI$1762)*100000000+('Dvd Calendar'!$AI$1764=SPECIAL_LBL)*10000000+(N('Dvd Calendar'!$AI$1758)&gt;0)*(N('Dvd Calendar'!$AI$1758)&lt;=VAL_SERIAL)*1000000+19*1000+31))</f>
        <v/>
      </c>
      <c r="FJ178" s="121">
        <f>IF(N('Dvd Calendar'!$AJ$1759)=0,"",IF(('Dvd Calendar'!$AJ$1759&gt;=GRID_FROM)*('Dvd Calendar'!$AJ$1759&lt;=GRID_TO)*((('Dvd Calendar'!$AJ$1759&lt;=VAL_DATE)+(COUNTIF('Dvd Calendar'!$E$1766:$AR$1766,'Dvd Calendar'!$AJ$1759)=0))&gt;0)=0,"",'Dvd Calendar'!$AJ$1759*1000000000+ISNUMBER('Dvd Calendar'!$AJ$1762)*100000000+('Dvd Calendar'!$AJ$1764=SPECIAL_LBL)*10000000+(N('Dvd Calendar'!$AJ$1758)&gt;0)*(N('Dvd Calendar'!$AJ$1758)&lt;=VAL_SERIAL)*1000000+19*1000+32))</f>
        <v/>
      </c>
      <c r="FK178" s="121">
        <f>IF(N('Dvd Calendar'!$AK$1759)=0,"",IF(('Dvd Calendar'!$AK$1759&gt;=GRID_FROM)*('Dvd Calendar'!$AK$1759&lt;=GRID_TO)*((('Dvd Calendar'!$AK$1759&lt;=VAL_DATE)+(COUNTIF('Dvd Calendar'!$E$1766:$AR$1766,'Dvd Calendar'!$AK$1759)=0))&gt;0)=0,"",'Dvd Calendar'!$AK$1759*1000000000+ISNUMBER('Dvd Calendar'!$AK$1762)*100000000+('Dvd Calendar'!$AK$1764=SPECIAL_LBL)*10000000+(N('Dvd Calendar'!$AK$1758)&gt;0)*(N('Dvd Calendar'!$AK$1758)&lt;=VAL_SERIAL)*1000000+19*1000+33))</f>
        <v/>
      </c>
      <c r="FL178" s="121">
        <f>IF(N('Dvd Calendar'!$AL$1759)=0,"",IF(('Dvd Calendar'!$AL$1759&gt;=GRID_FROM)*('Dvd Calendar'!$AL$1759&lt;=GRID_TO)*((('Dvd Calendar'!$AL$1759&lt;=VAL_DATE)+(COUNTIF('Dvd Calendar'!$E$1766:$AR$1766,'Dvd Calendar'!$AL$1759)=0))&gt;0)=0,"",'Dvd Calendar'!$AL$1759*1000000000+ISNUMBER('Dvd Calendar'!$AL$1762)*100000000+('Dvd Calendar'!$AL$1764=SPECIAL_LBL)*10000000+(N('Dvd Calendar'!$AL$1758)&gt;0)*(N('Dvd Calendar'!$AL$1758)&lt;=VAL_SERIAL)*1000000+19*1000+34))</f>
        <v/>
      </c>
      <c r="FM178" s="121">
        <f>IF(N('Dvd Calendar'!$AM$1759)=0,"",IF(('Dvd Calendar'!$AM$1759&gt;=GRID_FROM)*('Dvd Calendar'!$AM$1759&lt;=GRID_TO)*((('Dvd Calendar'!$AM$1759&lt;=VAL_DATE)+(COUNTIF('Dvd Calendar'!$E$1766:$AR$1766,'Dvd Calendar'!$AM$1759)=0))&gt;0)=0,"",'Dvd Calendar'!$AM$1759*1000000000+ISNUMBER('Dvd Calendar'!$AM$1762)*100000000+('Dvd Calendar'!$AM$1764=SPECIAL_LBL)*10000000+(N('Dvd Calendar'!$AM$1758)&gt;0)*(N('Dvd Calendar'!$AM$1758)&lt;=VAL_SERIAL)*1000000+19*1000+35))</f>
        <v/>
      </c>
      <c r="FN178" s="121">
        <f>IF(N('Dvd Calendar'!$AN$1759)=0,"",IF(('Dvd Calendar'!$AN$1759&gt;=GRID_FROM)*('Dvd Calendar'!$AN$1759&lt;=GRID_TO)*((('Dvd Calendar'!$AN$1759&lt;=VAL_DATE)+(COUNTIF('Dvd Calendar'!$E$1766:$AR$1766,'Dvd Calendar'!$AN$1759)=0))&gt;0)=0,"",'Dvd Calendar'!$AN$1759*1000000000+ISNUMBER('Dvd Calendar'!$AN$1762)*100000000+('Dvd Calendar'!$AN$1764=SPECIAL_LBL)*10000000+(N('Dvd Calendar'!$AN$1758)&gt;0)*(N('Dvd Calendar'!$AN$1758)&lt;=VAL_SERIAL)*1000000+19*1000+36))</f>
        <v/>
      </c>
      <c r="FO178" s="121">
        <f>IF(N('Dvd Calendar'!$AO$1759)=0,"",IF(('Dvd Calendar'!$AO$1759&gt;=GRID_FROM)*('Dvd Calendar'!$AO$1759&lt;=GRID_TO)*((('Dvd Calendar'!$AO$1759&lt;=VAL_DATE)+(COUNTIF('Dvd Calendar'!$E$1766:$AR$1766,'Dvd Calendar'!$AO$1759)=0))&gt;0)=0,"",'Dvd Calendar'!$AO$1759*1000000000+ISNUMBER('Dvd Calendar'!$AO$1762)*100000000+('Dvd Calendar'!$AO$1764=SPECIAL_LBL)*10000000+(N('Dvd Calendar'!$AO$1758)&gt;0)*(N('Dvd Calendar'!$AO$1758)&lt;=VAL_SERIAL)*1000000+19*1000+37))</f>
        <v/>
      </c>
      <c r="FP178" s="121">
        <f>IF(N('Dvd Calendar'!$AP$1759)=0,"",IF(('Dvd Calendar'!$AP$1759&gt;=GRID_FROM)*('Dvd Calendar'!$AP$1759&lt;=GRID_TO)*((('Dvd Calendar'!$AP$1759&lt;=VAL_DATE)+(COUNTIF('Dvd Calendar'!$E$1766:$AR$1766,'Dvd Calendar'!$AP$1759)=0))&gt;0)=0,"",'Dvd Calendar'!$AP$1759*1000000000+ISNUMBER('Dvd Calendar'!$AP$1762)*100000000+('Dvd Calendar'!$AP$1764=SPECIAL_LBL)*10000000+(N('Dvd Calendar'!$AP$1758)&gt;0)*(N('Dvd Calendar'!$AP$1758)&lt;=VAL_SERIAL)*1000000+19*1000+38))</f>
        <v/>
      </c>
      <c r="FQ178" s="121">
        <f>IF(N('Dvd Calendar'!$AQ$1759)=0,"",IF(('Dvd Calendar'!$AQ$1759&gt;=GRID_FROM)*('Dvd Calendar'!$AQ$1759&lt;=GRID_TO)*((('Dvd Calendar'!$AQ$1759&lt;=VAL_DATE)+(COUNTIF('Dvd Calendar'!$E$1766:$AR$1766,'Dvd Calendar'!$AQ$1759)=0))&gt;0)=0,"",'Dvd Calendar'!$AQ$1759*1000000000+ISNUMBER('Dvd Calendar'!$AQ$1762)*100000000+('Dvd Calendar'!$AQ$1764=SPECIAL_LBL)*10000000+(N('Dvd Calendar'!$AQ$1758)&gt;0)*(N('Dvd Calendar'!$AQ$1758)&lt;=VAL_SERIAL)*1000000+19*1000+39))</f>
        <v/>
      </c>
      <c r="FR178" s="121">
        <f>IF(N('Dvd Calendar'!$AR$1759)=0,"",IF(('Dvd Calendar'!$AR$1759&gt;=GRID_FROM)*('Dvd Calendar'!$AR$1759&lt;=GRID_TO)*((('Dvd Calendar'!$AR$1759&lt;=VAL_DATE)+(COUNTIF('Dvd Calendar'!$E$1766:$AR$1766,'Dvd Calendar'!$AR$1759)=0))&gt;0)=0,"",'Dvd Calendar'!$AR$1759*1000000000+ISNUMBER('Dvd Calendar'!$AR$1762)*100000000+('Dvd Calendar'!$AR$1764=SPECIAL_LBL)*10000000+(N('Dvd Calendar'!$AR$1758)&gt;0)*(N('Dvd Calendar'!$AR$1758)&lt;=VAL_SERIAL)*1000000+19*1000+40))</f>
        <v/>
      </c>
      <c r="FS178" s="121">
        <f>IF(N('Dvd Calendar'!$E$1766)=0,"",IF(('Dvd Calendar'!$E$1766&gt;=GRID_FROM)*('Dvd Calendar'!$E$1766&lt;=GRID_TO)*('Dvd Calendar'!$E$1766&gt;VAL_DATE)=0,"",'Dvd Calendar'!$E$1766*1000000000+ISNUMBER('Dvd Calendar'!$E$1767)*100000000+0*10000000+(N('Dvd Calendar'!$E$1765)&gt;0)*(N('Dvd Calendar'!$E$1765)&lt;=VAL_SERIAL)*1000000+19*1000+41))</f>
        <v/>
      </c>
      <c r="FT178" s="121">
        <f>IF(N('Dvd Calendar'!$F$1766)=0,"",IF(('Dvd Calendar'!$F$1766&gt;=GRID_FROM)*('Dvd Calendar'!$F$1766&lt;=GRID_TO)*('Dvd Calendar'!$F$1766&gt;VAL_DATE)=0,"",'Dvd Calendar'!$F$1766*1000000000+ISNUMBER('Dvd Calendar'!$F$1767)*100000000+0*10000000+(N('Dvd Calendar'!$F$1765)&gt;0)*(N('Dvd Calendar'!$F$1765)&lt;=VAL_SERIAL)*1000000+19*1000+42))</f>
        <v/>
      </c>
      <c r="FU178" s="121">
        <f>IF(N('Dvd Calendar'!$G$1766)=0,"",IF(('Dvd Calendar'!$G$1766&gt;=GRID_FROM)*('Dvd Calendar'!$G$1766&lt;=GRID_TO)*('Dvd Calendar'!$G$1766&gt;VAL_DATE)=0,"",'Dvd Calendar'!$G$1766*1000000000+ISNUMBER('Dvd Calendar'!$G$1767)*100000000+0*10000000+(N('Dvd Calendar'!$G$1765)&gt;0)*(N('Dvd Calendar'!$G$1765)&lt;=VAL_SERIAL)*1000000+19*1000+43))</f>
        <v/>
      </c>
      <c r="FV178" s="121">
        <f>IF(N('Dvd Calendar'!$H$1766)=0,"",IF(('Dvd Calendar'!$H$1766&gt;=GRID_FROM)*('Dvd Calendar'!$H$1766&lt;=GRID_TO)*('Dvd Calendar'!$H$1766&gt;VAL_DATE)=0,"",'Dvd Calendar'!$H$1766*1000000000+ISNUMBER('Dvd Calendar'!$H$1767)*100000000+0*10000000+(N('Dvd Calendar'!$H$1765)&gt;0)*(N('Dvd Calendar'!$H$1765)&lt;=VAL_SERIAL)*1000000+19*1000+44))</f>
        <v/>
      </c>
      <c r="FW178" s="121">
        <f>IF(N('Dvd Calendar'!$I$1766)=0,"",IF(('Dvd Calendar'!$I$1766&gt;=GRID_FROM)*('Dvd Calendar'!$I$1766&lt;=GRID_TO)*('Dvd Calendar'!$I$1766&gt;VAL_DATE)=0,"",'Dvd Calendar'!$I$1766*1000000000+ISNUMBER('Dvd Calendar'!$I$1767)*100000000+0*10000000+(N('Dvd Calendar'!$I$1765)&gt;0)*(N('Dvd Calendar'!$I$1765)&lt;=VAL_SERIAL)*1000000+19*1000+45))</f>
        <v/>
      </c>
      <c r="FX178" s="121">
        <f>IF(N('Dvd Calendar'!$J$1766)=0,"",IF(('Dvd Calendar'!$J$1766&gt;=GRID_FROM)*('Dvd Calendar'!$J$1766&lt;=GRID_TO)*('Dvd Calendar'!$J$1766&gt;VAL_DATE)=0,"",'Dvd Calendar'!$J$1766*1000000000+ISNUMBER('Dvd Calendar'!$J$1767)*100000000+0*10000000+(N('Dvd Calendar'!$J$1765)&gt;0)*(N('Dvd Calendar'!$J$1765)&lt;=VAL_SERIAL)*1000000+19*1000+46))</f>
        <v/>
      </c>
      <c r="FY178" s="121">
        <f>IF(N('Dvd Calendar'!$K$1766)=0,"",IF(('Dvd Calendar'!$K$1766&gt;=GRID_FROM)*('Dvd Calendar'!$K$1766&lt;=GRID_TO)*('Dvd Calendar'!$K$1766&gt;VAL_DATE)=0,"",'Dvd Calendar'!$K$1766*1000000000+ISNUMBER('Dvd Calendar'!$K$1767)*100000000+0*10000000+(N('Dvd Calendar'!$K$1765)&gt;0)*(N('Dvd Calendar'!$K$1765)&lt;=VAL_SERIAL)*1000000+19*1000+47))</f>
        <v/>
      </c>
      <c r="FZ178" s="121">
        <f>IF(N('Dvd Calendar'!$L$1766)=0,"",IF(('Dvd Calendar'!$L$1766&gt;=GRID_FROM)*('Dvd Calendar'!$L$1766&lt;=GRID_TO)*('Dvd Calendar'!$L$1766&gt;VAL_DATE)=0,"",'Dvd Calendar'!$L$1766*1000000000+ISNUMBER('Dvd Calendar'!$L$1767)*100000000+0*10000000+(N('Dvd Calendar'!$L$1765)&gt;0)*(N('Dvd Calendar'!$L$1765)&lt;=VAL_SERIAL)*1000000+19*1000+48))</f>
        <v/>
      </c>
      <c r="GA178" s="121">
        <f>IF(N('Dvd Calendar'!$M$1766)=0,"",IF(('Dvd Calendar'!$M$1766&gt;=GRID_FROM)*('Dvd Calendar'!$M$1766&lt;=GRID_TO)*('Dvd Calendar'!$M$1766&gt;VAL_DATE)=0,"",'Dvd Calendar'!$M$1766*1000000000+ISNUMBER('Dvd Calendar'!$M$1767)*100000000+0*10000000+(N('Dvd Calendar'!$M$1765)&gt;0)*(N('Dvd Calendar'!$M$1765)&lt;=VAL_SERIAL)*1000000+19*1000+49))</f>
        <v/>
      </c>
      <c r="GB178" s="121">
        <f>IF(N('Dvd Calendar'!$N$1766)=0,"",IF(('Dvd Calendar'!$N$1766&gt;=GRID_FROM)*('Dvd Calendar'!$N$1766&lt;=GRID_TO)*('Dvd Calendar'!$N$1766&gt;VAL_DATE)=0,"",'Dvd Calendar'!$N$1766*1000000000+ISNUMBER('Dvd Calendar'!$N$1767)*100000000+0*10000000+(N('Dvd Calendar'!$N$1765)&gt;0)*(N('Dvd Calendar'!$N$1765)&lt;=VAL_SERIAL)*1000000+19*1000+50))</f>
        <v/>
      </c>
      <c r="GC178" s="121">
        <f>IF(N('Dvd Calendar'!$O$1766)=0,"",IF(('Dvd Calendar'!$O$1766&gt;=GRID_FROM)*('Dvd Calendar'!$O$1766&lt;=GRID_TO)*('Dvd Calendar'!$O$1766&gt;VAL_DATE)=0,"",'Dvd Calendar'!$O$1766*1000000000+ISNUMBER('Dvd Calendar'!$O$1767)*100000000+0*10000000+(N('Dvd Calendar'!$O$1765)&gt;0)*(N('Dvd Calendar'!$O$1765)&lt;=VAL_SERIAL)*1000000+19*1000+51))</f>
        <v/>
      </c>
      <c r="GD178" s="121">
        <f>IF(N('Dvd Calendar'!$P$1766)=0,"",IF(('Dvd Calendar'!$P$1766&gt;=GRID_FROM)*('Dvd Calendar'!$P$1766&lt;=GRID_TO)*('Dvd Calendar'!$P$1766&gt;VAL_DATE)=0,"",'Dvd Calendar'!$P$1766*1000000000+ISNUMBER('Dvd Calendar'!$P$1767)*100000000+0*10000000+(N('Dvd Calendar'!$P$1765)&gt;0)*(N('Dvd Calendar'!$P$1765)&lt;=VAL_SERIAL)*1000000+19*1000+52))</f>
        <v/>
      </c>
      <c r="GE178" s="121">
        <f>IF(N('Dvd Calendar'!$Q$1766)=0,"",IF(('Dvd Calendar'!$Q$1766&gt;=GRID_FROM)*('Dvd Calendar'!$Q$1766&lt;=GRID_TO)*('Dvd Calendar'!$Q$1766&gt;VAL_DATE)=0,"",'Dvd Calendar'!$Q$1766*1000000000+ISNUMBER('Dvd Calendar'!$Q$1767)*100000000+0*10000000+(N('Dvd Calendar'!$Q$1765)&gt;0)*(N('Dvd Calendar'!$Q$1765)&lt;=VAL_SERIAL)*1000000+19*1000+53))</f>
        <v/>
      </c>
      <c r="GF178" s="121">
        <f>IF(N('Dvd Calendar'!$R$1766)=0,"",IF(('Dvd Calendar'!$R$1766&gt;=GRID_FROM)*('Dvd Calendar'!$R$1766&lt;=GRID_TO)*('Dvd Calendar'!$R$1766&gt;VAL_DATE)=0,"",'Dvd Calendar'!$R$1766*1000000000+ISNUMBER('Dvd Calendar'!$R$1767)*100000000+0*10000000+(N('Dvd Calendar'!$R$1765)&gt;0)*(N('Dvd Calendar'!$R$1765)&lt;=VAL_SERIAL)*1000000+19*1000+54))</f>
        <v/>
      </c>
      <c r="GG178" s="121">
        <f>IF(N('Dvd Calendar'!$S$1766)=0,"",IF(('Dvd Calendar'!$S$1766&gt;=GRID_FROM)*('Dvd Calendar'!$S$1766&lt;=GRID_TO)*('Dvd Calendar'!$S$1766&gt;VAL_DATE)=0,"",'Dvd Calendar'!$S$1766*1000000000+ISNUMBER('Dvd Calendar'!$S$1767)*100000000+0*10000000+(N('Dvd Calendar'!$S$1765)&gt;0)*(N('Dvd Calendar'!$S$1765)&lt;=VAL_SERIAL)*1000000+19*1000+55))</f>
        <v/>
      </c>
      <c r="GH178" s="121">
        <f>IF(N('Dvd Calendar'!$T$1766)=0,"",IF(('Dvd Calendar'!$T$1766&gt;=GRID_FROM)*('Dvd Calendar'!$T$1766&lt;=GRID_TO)*('Dvd Calendar'!$T$1766&gt;VAL_DATE)=0,"",'Dvd Calendar'!$T$1766*1000000000+ISNUMBER('Dvd Calendar'!$T$1767)*100000000+0*10000000+(N('Dvd Calendar'!$T$1765)&gt;0)*(N('Dvd Calendar'!$T$1765)&lt;=VAL_SERIAL)*1000000+19*1000+56))</f>
        <v/>
      </c>
      <c r="GI178" s="121">
        <f>IF(N('Dvd Calendar'!$U$1766)=0,"",IF(('Dvd Calendar'!$U$1766&gt;=GRID_FROM)*('Dvd Calendar'!$U$1766&lt;=GRID_TO)*('Dvd Calendar'!$U$1766&gt;VAL_DATE)=0,"",'Dvd Calendar'!$U$1766*1000000000+ISNUMBER('Dvd Calendar'!$U$1767)*100000000+0*10000000+(N('Dvd Calendar'!$U$1765)&gt;0)*(N('Dvd Calendar'!$U$1765)&lt;=VAL_SERIAL)*1000000+19*1000+57))</f>
        <v/>
      </c>
      <c r="GJ178" s="121">
        <f>IF(N('Dvd Calendar'!$V$1766)=0,"",IF(('Dvd Calendar'!$V$1766&gt;=GRID_FROM)*('Dvd Calendar'!$V$1766&lt;=GRID_TO)*('Dvd Calendar'!$V$1766&gt;VAL_DATE)=0,"",'Dvd Calendar'!$V$1766*1000000000+ISNUMBER('Dvd Calendar'!$V$1767)*100000000+0*10000000+(N('Dvd Calendar'!$V$1765)&gt;0)*(N('Dvd Calendar'!$V$1765)&lt;=VAL_SERIAL)*1000000+19*1000+58))</f>
        <v/>
      </c>
      <c r="GK178" s="121">
        <f>IF(N('Dvd Calendar'!$W$1766)=0,"",IF(('Dvd Calendar'!$W$1766&gt;=GRID_FROM)*('Dvd Calendar'!$W$1766&lt;=GRID_TO)*('Dvd Calendar'!$W$1766&gt;VAL_DATE)=0,"",'Dvd Calendar'!$W$1766*1000000000+ISNUMBER('Dvd Calendar'!$W$1767)*100000000+0*10000000+(N('Dvd Calendar'!$W$1765)&gt;0)*(N('Dvd Calendar'!$W$1765)&lt;=VAL_SERIAL)*1000000+19*1000+59))</f>
        <v/>
      </c>
      <c r="GL178" s="121">
        <f>IF(N('Dvd Calendar'!$X$1766)=0,"",IF(('Dvd Calendar'!$X$1766&gt;=GRID_FROM)*('Dvd Calendar'!$X$1766&lt;=GRID_TO)*('Dvd Calendar'!$X$1766&gt;VAL_DATE)=0,"",'Dvd Calendar'!$X$1766*1000000000+ISNUMBER('Dvd Calendar'!$X$1767)*100000000+0*10000000+(N('Dvd Calendar'!$X$1765)&gt;0)*(N('Dvd Calendar'!$X$1765)&lt;=VAL_SERIAL)*1000000+19*1000+60))</f>
        <v/>
      </c>
      <c r="GM178" s="121">
        <f>IF(N('Dvd Calendar'!$Y$1766)=0,"",IF(('Dvd Calendar'!$Y$1766&gt;=GRID_FROM)*('Dvd Calendar'!$Y$1766&lt;=GRID_TO)*('Dvd Calendar'!$Y$1766&gt;VAL_DATE)=0,"",'Dvd Calendar'!$Y$1766*1000000000+ISNUMBER('Dvd Calendar'!$Y$1767)*100000000+0*10000000+(N('Dvd Calendar'!$Y$1765)&gt;0)*(N('Dvd Calendar'!$Y$1765)&lt;=VAL_SERIAL)*1000000+19*1000+61))</f>
        <v/>
      </c>
      <c r="GN178" s="121">
        <f>IF(N('Dvd Calendar'!$Z$1766)=0,"",IF(('Dvd Calendar'!$Z$1766&gt;=GRID_FROM)*('Dvd Calendar'!$Z$1766&lt;=GRID_TO)*('Dvd Calendar'!$Z$1766&gt;VAL_DATE)=0,"",'Dvd Calendar'!$Z$1766*1000000000+ISNUMBER('Dvd Calendar'!$Z$1767)*100000000+0*10000000+(N('Dvd Calendar'!$Z$1765)&gt;0)*(N('Dvd Calendar'!$Z$1765)&lt;=VAL_SERIAL)*1000000+19*1000+62))</f>
        <v/>
      </c>
      <c r="GO178" s="121">
        <f>IF(N('Dvd Calendar'!$AA$1766)=0,"",IF(('Dvd Calendar'!$AA$1766&gt;=GRID_FROM)*('Dvd Calendar'!$AA$1766&lt;=GRID_TO)*('Dvd Calendar'!$AA$1766&gt;VAL_DATE)=0,"",'Dvd Calendar'!$AA$1766*1000000000+ISNUMBER('Dvd Calendar'!$AA$1767)*100000000+0*10000000+(N('Dvd Calendar'!$AA$1765)&gt;0)*(N('Dvd Calendar'!$AA$1765)&lt;=VAL_SERIAL)*1000000+19*1000+63))</f>
        <v/>
      </c>
      <c r="GP178" s="121">
        <f>IF(N('Dvd Calendar'!$AB$1766)=0,"",IF(('Dvd Calendar'!$AB$1766&gt;=GRID_FROM)*('Dvd Calendar'!$AB$1766&lt;=GRID_TO)*('Dvd Calendar'!$AB$1766&gt;VAL_DATE)=0,"",'Dvd Calendar'!$AB$1766*1000000000+ISNUMBER('Dvd Calendar'!$AB$1767)*100000000+0*10000000+(N('Dvd Calendar'!$AB$1765)&gt;0)*(N('Dvd Calendar'!$AB$1765)&lt;=VAL_SERIAL)*1000000+19*1000+64))</f>
        <v/>
      </c>
      <c r="GQ178" s="121">
        <f>IF(N('Dvd Calendar'!$AC$1766)=0,"",IF(('Dvd Calendar'!$AC$1766&gt;=GRID_FROM)*('Dvd Calendar'!$AC$1766&lt;=GRID_TO)*('Dvd Calendar'!$AC$1766&gt;VAL_DATE)=0,"",'Dvd Calendar'!$AC$1766*1000000000+ISNUMBER('Dvd Calendar'!$AC$1767)*100000000+0*10000000+(N('Dvd Calendar'!$AC$1765)&gt;0)*(N('Dvd Calendar'!$AC$1765)&lt;=VAL_SERIAL)*1000000+19*1000+65))</f>
        <v/>
      </c>
    </row>
    <row r="179">
      <c r="B179" s="2">
        <f>IF(HSCEI!$C$26="","",HSCEI!$C$26)</f>
        <v/>
      </c>
      <c r="C179" s="161">
        <f>IF(EE179="","",IF(ISNUMBER('Dvd Calendar'!$E$1773)=FALSE,"",IF((('Dvd Calendar'!$E$1775=TYPE1)*(TYPE1&lt;&gt;"")+('Dvd Calendar'!$E$1775=TYPE2)*(TYPE2&lt;&gt;"")+('Dvd Calendar'!$E$1775=TYPE3)*(TYPE3&lt;&gt;"")+('Dvd Calendar'!$E$1775=TYPE4)*(TYPE4&lt;&gt;"")+('Dvd Calendar'!$E$1775=SPECIAL_LBL)*(INC_SPECIALS="Y"))=0,"",'Dvd Calendar'!$E$1773)))</f>
        <v/>
      </c>
      <c r="D179" s="161">
        <f>IF(EF179="","",IF(ISNUMBER('Dvd Calendar'!$F$1773)=FALSE,"",IF((('Dvd Calendar'!$F$1775=TYPE1)*(TYPE1&lt;&gt;"")+('Dvd Calendar'!$F$1775=TYPE2)*(TYPE2&lt;&gt;"")+('Dvd Calendar'!$F$1775=TYPE3)*(TYPE3&lt;&gt;"")+('Dvd Calendar'!$F$1775=TYPE4)*(TYPE4&lt;&gt;"")+('Dvd Calendar'!$F$1775=SPECIAL_LBL)*(INC_SPECIALS="Y"))=0,"",'Dvd Calendar'!$F$1773)))</f>
        <v/>
      </c>
      <c r="E179" s="161">
        <f>IF(EG179="","",IF(ISNUMBER('Dvd Calendar'!$G$1773)=FALSE,"",IF((('Dvd Calendar'!$G$1775=TYPE1)*(TYPE1&lt;&gt;"")+('Dvd Calendar'!$G$1775=TYPE2)*(TYPE2&lt;&gt;"")+('Dvd Calendar'!$G$1775=TYPE3)*(TYPE3&lt;&gt;"")+('Dvd Calendar'!$G$1775=TYPE4)*(TYPE4&lt;&gt;"")+('Dvd Calendar'!$G$1775=SPECIAL_LBL)*(INC_SPECIALS="Y"))=0,"",'Dvd Calendar'!$G$1773)))</f>
        <v/>
      </c>
      <c r="F179" s="161">
        <f>IF(EH179="","",IF(ISNUMBER('Dvd Calendar'!$H$1773)=FALSE,"",IF((('Dvd Calendar'!$H$1775=TYPE1)*(TYPE1&lt;&gt;"")+('Dvd Calendar'!$H$1775=TYPE2)*(TYPE2&lt;&gt;"")+('Dvd Calendar'!$H$1775=TYPE3)*(TYPE3&lt;&gt;"")+('Dvd Calendar'!$H$1775=TYPE4)*(TYPE4&lt;&gt;"")+('Dvd Calendar'!$H$1775=SPECIAL_LBL)*(INC_SPECIALS="Y"))=0,"",'Dvd Calendar'!$H$1773)))</f>
        <v/>
      </c>
      <c r="G179" s="161">
        <f>IF(EI179="","",IF(ISNUMBER('Dvd Calendar'!$I$1773)=FALSE,"",IF((('Dvd Calendar'!$I$1775=TYPE1)*(TYPE1&lt;&gt;"")+('Dvd Calendar'!$I$1775=TYPE2)*(TYPE2&lt;&gt;"")+('Dvd Calendar'!$I$1775=TYPE3)*(TYPE3&lt;&gt;"")+('Dvd Calendar'!$I$1775=TYPE4)*(TYPE4&lt;&gt;"")+('Dvd Calendar'!$I$1775=SPECIAL_LBL)*(INC_SPECIALS="Y"))=0,"",'Dvd Calendar'!$I$1773)))</f>
        <v/>
      </c>
      <c r="H179" s="161">
        <f>IF(EJ179="","",IF(ISNUMBER('Dvd Calendar'!$J$1773)=FALSE,"",IF((('Dvd Calendar'!$J$1775=TYPE1)*(TYPE1&lt;&gt;"")+('Dvd Calendar'!$J$1775=TYPE2)*(TYPE2&lt;&gt;"")+('Dvd Calendar'!$J$1775=TYPE3)*(TYPE3&lt;&gt;"")+('Dvd Calendar'!$J$1775=TYPE4)*(TYPE4&lt;&gt;"")+('Dvd Calendar'!$J$1775=SPECIAL_LBL)*(INC_SPECIALS="Y"))=0,"",'Dvd Calendar'!$J$1773)))</f>
        <v/>
      </c>
      <c r="I179" s="161">
        <f>IF(EK179="","",IF(ISNUMBER('Dvd Calendar'!$K$1773)=FALSE,"",IF((('Dvd Calendar'!$K$1775=TYPE1)*(TYPE1&lt;&gt;"")+('Dvd Calendar'!$K$1775=TYPE2)*(TYPE2&lt;&gt;"")+('Dvd Calendar'!$K$1775=TYPE3)*(TYPE3&lt;&gt;"")+('Dvd Calendar'!$K$1775=TYPE4)*(TYPE4&lt;&gt;"")+('Dvd Calendar'!$K$1775=SPECIAL_LBL)*(INC_SPECIALS="Y"))=0,"",'Dvd Calendar'!$K$1773)))</f>
        <v/>
      </c>
      <c r="J179" s="161">
        <f>IF(EL179="","",IF(ISNUMBER('Dvd Calendar'!$L$1773)=FALSE,"",IF((('Dvd Calendar'!$L$1775=TYPE1)*(TYPE1&lt;&gt;"")+('Dvd Calendar'!$L$1775=TYPE2)*(TYPE2&lt;&gt;"")+('Dvd Calendar'!$L$1775=TYPE3)*(TYPE3&lt;&gt;"")+('Dvd Calendar'!$L$1775=TYPE4)*(TYPE4&lt;&gt;"")+('Dvd Calendar'!$L$1775=SPECIAL_LBL)*(INC_SPECIALS="Y"))=0,"",'Dvd Calendar'!$L$1773)))</f>
        <v/>
      </c>
      <c r="K179" s="161">
        <f>IF(EM179="","",IF(ISNUMBER('Dvd Calendar'!$M$1773)=FALSE,"",IF((('Dvd Calendar'!$M$1775=TYPE1)*(TYPE1&lt;&gt;"")+('Dvd Calendar'!$M$1775=TYPE2)*(TYPE2&lt;&gt;"")+('Dvd Calendar'!$M$1775=TYPE3)*(TYPE3&lt;&gt;"")+('Dvd Calendar'!$M$1775=TYPE4)*(TYPE4&lt;&gt;"")+('Dvd Calendar'!$M$1775=SPECIAL_LBL)*(INC_SPECIALS="Y"))=0,"",'Dvd Calendar'!$M$1773)))</f>
        <v/>
      </c>
      <c r="L179" s="161">
        <f>IF(EN179="","",IF(ISNUMBER('Dvd Calendar'!$N$1773)=FALSE,"",IF((('Dvd Calendar'!$N$1775=TYPE1)*(TYPE1&lt;&gt;"")+('Dvd Calendar'!$N$1775=TYPE2)*(TYPE2&lt;&gt;"")+('Dvd Calendar'!$N$1775=TYPE3)*(TYPE3&lt;&gt;"")+('Dvd Calendar'!$N$1775=TYPE4)*(TYPE4&lt;&gt;"")+('Dvd Calendar'!$N$1775=SPECIAL_LBL)*(INC_SPECIALS="Y"))=0,"",'Dvd Calendar'!$N$1773)))</f>
        <v/>
      </c>
      <c r="M179" s="161">
        <f>IF(EO179="","",IF(ISNUMBER('Dvd Calendar'!$O$1773)=FALSE,"",IF((('Dvd Calendar'!$O$1775=TYPE1)*(TYPE1&lt;&gt;"")+('Dvd Calendar'!$O$1775=TYPE2)*(TYPE2&lt;&gt;"")+('Dvd Calendar'!$O$1775=TYPE3)*(TYPE3&lt;&gt;"")+('Dvd Calendar'!$O$1775=TYPE4)*(TYPE4&lt;&gt;"")+('Dvd Calendar'!$O$1775=SPECIAL_LBL)*(INC_SPECIALS="Y"))=0,"",'Dvd Calendar'!$O$1773)))</f>
        <v/>
      </c>
      <c r="N179" s="161">
        <f>IF(EP179="","",IF(ISNUMBER('Dvd Calendar'!$P$1773)=FALSE,"",IF((('Dvd Calendar'!$P$1775=TYPE1)*(TYPE1&lt;&gt;"")+('Dvd Calendar'!$P$1775=TYPE2)*(TYPE2&lt;&gt;"")+('Dvd Calendar'!$P$1775=TYPE3)*(TYPE3&lt;&gt;"")+('Dvd Calendar'!$P$1775=TYPE4)*(TYPE4&lt;&gt;"")+('Dvd Calendar'!$P$1775=SPECIAL_LBL)*(INC_SPECIALS="Y"))=0,"",'Dvd Calendar'!$P$1773)))</f>
        <v/>
      </c>
      <c r="O179" s="161">
        <f>IF(EQ179="","",IF(ISNUMBER('Dvd Calendar'!$Q$1773)=FALSE,"",IF((('Dvd Calendar'!$Q$1775=TYPE1)*(TYPE1&lt;&gt;"")+('Dvd Calendar'!$Q$1775=TYPE2)*(TYPE2&lt;&gt;"")+('Dvd Calendar'!$Q$1775=TYPE3)*(TYPE3&lt;&gt;"")+('Dvd Calendar'!$Q$1775=TYPE4)*(TYPE4&lt;&gt;"")+('Dvd Calendar'!$Q$1775=SPECIAL_LBL)*(INC_SPECIALS="Y"))=0,"",'Dvd Calendar'!$Q$1773)))</f>
        <v/>
      </c>
      <c r="P179" s="161">
        <f>IF(ER179="","",IF(ISNUMBER('Dvd Calendar'!$R$1773)=FALSE,"",IF((('Dvd Calendar'!$R$1775=TYPE1)*(TYPE1&lt;&gt;"")+('Dvd Calendar'!$R$1775=TYPE2)*(TYPE2&lt;&gt;"")+('Dvd Calendar'!$R$1775=TYPE3)*(TYPE3&lt;&gt;"")+('Dvd Calendar'!$R$1775=TYPE4)*(TYPE4&lt;&gt;"")+('Dvd Calendar'!$R$1775=SPECIAL_LBL)*(INC_SPECIALS="Y"))=0,"",'Dvd Calendar'!$R$1773)))</f>
        <v/>
      </c>
      <c r="Q179" s="161">
        <f>IF(ES179="","",IF(ISNUMBER('Dvd Calendar'!$S$1773)=FALSE,"",IF((('Dvd Calendar'!$S$1775=TYPE1)*(TYPE1&lt;&gt;"")+('Dvd Calendar'!$S$1775=TYPE2)*(TYPE2&lt;&gt;"")+('Dvd Calendar'!$S$1775=TYPE3)*(TYPE3&lt;&gt;"")+('Dvd Calendar'!$S$1775=TYPE4)*(TYPE4&lt;&gt;"")+('Dvd Calendar'!$S$1775=SPECIAL_LBL)*(INC_SPECIALS="Y"))=0,"",'Dvd Calendar'!$S$1773)))</f>
        <v/>
      </c>
      <c r="R179" s="161">
        <f>IF(ET179="","",IF(ISNUMBER('Dvd Calendar'!$T$1773)=FALSE,"",IF((('Dvd Calendar'!$T$1775=TYPE1)*(TYPE1&lt;&gt;"")+('Dvd Calendar'!$T$1775=TYPE2)*(TYPE2&lt;&gt;"")+('Dvd Calendar'!$T$1775=TYPE3)*(TYPE3&lt;&gt;"")+('Dvd Calendar'!$T$1775=TYPE4)*(TYPE4&lt;&gt;"")+('Dvd Calendar'!$T$1775=SPECIAL_LBL)*(INC_SPECIALS="Y"))=0,"",'Dvd Calendar'!$T$1773)))</f>
        <v/>
      </c>
      <c r="S179" s="161">
        <f>IF(EU179="","",IF(ISNUMBER('Dvd Calendar'!$U$1773)=FALSE,"",IF((('Dvd Calendar'!$U$1775=TYPE1)*(TYPE1&lt;&gt;"")+('Dvd Calendar'!$U$1775=TYPE2)*(TYPE2&lt;&gt;"")+('Dvd Calendar'!$U$1775=TYPE3)*(TYPE3&lt;&gt;"")+('Dvd Calendar'!$U$1775=TYPE4)*(TYPE4&lt;&gt;"")+('Dvd Calendar'!$U$1775=SPECIAL_LBL)*(INC_SPECIALS="Y"))=0,"",'Dvd Calendar'!$U$1773)))</f>
        <v/>
      </c>
      <c r="T179" s="161">
        <f>IF(EV179="","",IF(ISNUMBER('Dvd Calendar'!$V$1773)=FALSE,"",IF((('Dvd Calendar'!$V$1775=TYPE1)*(TYPE1&lt;&gt;"")+('Dvd Calendar'!$V$1775=TYPE2)*(TYPE2&lt;&gt;"")+('Dvd Calendar'!$V$1775=TYPE3)*(TYPE3&lt;&gt;"")+('Dvd Calendar'!$V$1775=TYPE4)*(TYPE4&lt;&gt;"")+('Dvd Calendar'!$V$1775=SPECIAL_LBL)*(INC_SPECIALS="Y"))=0,"",'Dvd Calendar'!$V$1773)))</f>
        <v/>
      </c>
      <c r="U179" s="161">
        <f>IF(EW179="","",IF(ISNUMBER('Dvd Calendar'!$W$1773)=FALSE,"",IF((('Dvd Calendar'!$W$1775=TYPE1)*(TYPE1&lt;&gt;"")+('Dvd Calendar'!$W$1775=TYPE2)*(TYPE2&lt;&gt;"")+('Dvd Calendar'!$W$1775=TYPE3)*(TYPE3&lt;&gt;"")+('Dvd Calendar'!$W$1775=TYPE4)*(TYPE4&lt;&gt;"")+('Dvd Calendar'!$W$1775=SPECIAL_LBL)*(INC_SPECIALS="Y"))=0,"",'Dvd Calendar'!$W$1773)))</f>
        <v/>
      </c>
      <c r="V179" s="161">
        <f>IF(EX179="","",IF(ISNUMBER('Dvd Calendar'!$X$1773)=FALSE,"",IF((('Dvd Calendar'!$X$1775=TYPE1)*(TYPE1&lt;&gt;"")+('Dvd Calendar'!$X$1775=TYPE2)*(TYPE2&lt;&gt;"")+('Dvd Calendar'!$X$1775=TYPE3)*(TYPE3&lt;&gt;"")+('Dvd Calendar'!$X$1775=TYPE4)*(TYPE4&lt;&gt;"")+('Dvd Calendar'!$X$1775=SPECIAL_LBL)*(INC_SPECIALS="Y"))=0,"",'Dvd Calendar'!$X$1773)))</f>
        <v/>
      </c>
      <c r="W179" s="161">
        <f>IF(EY179="","",IF(ISNUMBER('Dvd Calendar'!$Y$1773)=FALSE,"",IF((('Dvd Calendar'!$Y$1775=TYPE1)*(TYPE1&lt;&gt;"")+('Dvd Calendar'!$Y$1775=TYPE2)*(TYPE2&lt;&gt;"")+('Dvd Calendar'!$Y$1775=TYPE3)*(TYPE3&lt;&gt;"")+('Dvd Calendar'!$Y$1775=TYPE4)*(TYPE4&lt;&gt;"")+('Dvd Calendar'!$Y$1775=SPECIAL_LBL)*(INC_SPECIALS="Y"))=0,"",'Dvd Calendar'!$Y$1773)))</f>
        <v/>
      </c>
      <c r="X179" s="161">
        <f>IF(EZ179="","",IF(ISNUMBER('Dvd Calendar'!$Z$1773)=FALSE,"",IF((('Dvd Calendar'!$Z$1775=TYPE1)*(TYPE1&lt;&gt;"")+('Dvd Calendar'!$Z$1775=TYPE2)*(TYPE2&lt;&gt;"")+('Dvd Calendar'!$Z$1775=TYPE3)*(TYPE3&lt;&gt;"")+('Dvd Calendar'!$Z$1775=TYPE4)*(TYPE4&lt;&gt;"")+('Dvd Calendar'!$Z$1775=SPECIAL_LBL)*(INC_SPECIALS="Y"))=0,"",'Dvd Calendar'!$Z$1773)))</f>
        <v/>
      </c>
      <c r="Y179" s="161">
        <f>IF(FA179="","",IF(ISNUMBER('Dvd Calendar'!$AA$1773)=FALSE,"",IF((('Dvd Calendar'!$AA$1775=TYPE1)*(TYPE1&lt;&gt;"")+('Dvd Calendar'!$AA$1775=TYPE2)*(TYPE2&lt;&gt;"")+('Dvd Calendar'!$AA$1775=TYPE3)*(TYPE3&lt;&gt;"")+('Dvd Calendar'!$AA$1775=TYPE4)*(TYPE4&lt;&gt;"")+('Dvd Calendar'!$AA$1775=SPECIAL_LBL)*(INC_SPECIALS="Y"))=0,"",'Dvd Calendar'!$AA$1773)))</f>
        <v/>
      </c>
      <c r="Z179" s="161">
        <f>IF(FB179="","",IF(ISNUMBER('Dvd Calendar'!$AB$1773)=FALSE,"",IF((('Dvd Calendar'!$AB$1775=TYPE1)*(TYPE1&lt;&gt;"")+('Dvd Calendar'!$AB$1775=TYPE2)*(TYPE2&lt;&gt;"")+('Dvd Calendar'!$AB$1775=TYPE3)*(TYPE3&lt;&gt;"")+('Dvd Calendar'!$AB$1775=TYPE4)*(TYPE4&lt;&gt;"")+('Dvd Calendar'!$AB$1775=SPECIAL_LBL)*(INC_SPECIALS="Y"))=0,"",'Dvd Calendar'!$AB$1773)))</f>
        <v/>
      </c>
      <c r="AA179" s="161">
        <f>IF(FC179="","",IF(ISNUMBER('Dvd Calendar'!$AC$1773)=FALSE,"",IF((('Dvd Calendar'!$AC$1775=TYPE1)*(TYPE1&lt;&gt;"")+('Dvd Calendar'!$AC$1775=TYPE2)*(TYPE2&lt;&gt;"")+('Dvd Calendar'!$AC$1775=TYPE3)*(TYPE3&lt;&gt;"")+('Dvd Calendar'!$AC$1775=TYPE4)*(TYPE4&lt;&gt;"")+('Dvd Calendar'!$AC$1775=SPECIAL_LBL)*(INC_SPECIALS="Y"))=0,"",'Dvd Calendar'!$AC$1773)))</f>
        <v/>
      </c>
      <c r="AB179" s="161">
        <f>IF(FD179="","",IF(ISNUMBER('Dvd Calendar'!$AD$1773)=FALSE,"",IF((('Dvd Calendar'!$AD$1775=TYPE1)*(TYPE1&lt;&gt;"")+('Dvd Calendar'!$AD$1775=TYPE2)*(TYPE2&lt;&gt;"")+('Dvd Calendar'!$AD$1775=TYPE3)*(TYPE3&lt;&gt;"")+('Dvd Calendar'!$AD$1775=TYPE4)*(TYPE4&lt;&gt;"")+('Dvd Calendar'!$AD$1775=SPECIAL_LBL)*(INC_SPECIALS="Y"))=0,"",'Dvd Calendar'!$AD$1773)))</f>
        <v/>
      </c>
      <c r="AC179" s="161">
        <f>IF(FE179="","",IF(ISNUMBER('Dvd Calendar'!$AE$1773)=FALSE,"",IF((('Dvd Calendar'!$AE$1775=TYPE1)*(TYPE1&lt;&gt;"")+('Dvd Calendar'!$AE$1775=TYPE2)*(TYPE2&lt;&gt;"")+('Dvd Calendar'!$AE$1775=TYPE3)*(TYPE3&lt;&gt;"")+('Dvd Calendar'!$AE$1775=TYPE4)*(TYPE4&lt;&gt;"")+('Dvd Calendar'!$AE$1775=SPECIAL_LBL)*(INC_SPECIALS="Y"))=0,"",'Dvd Calendar'!$AE$1773)))</f>
        <v/>
      </c>
      <c r="AD179" s="161">
        <f>IF(FF179="","",IF(ISNUMBER('Dvd Calendar'!$AF$1773)=FALSE,"",IF((('Dvd Calendar'!$AF$1775=TYPE1)*(TYPE1&lt;&gt;"")+('Dvd Calendar'!$AF$1775=TYPE2)*(TYPE2&lt;&gt;"")+('Dvd Calendar'!$AF$1775=TYPE3)*(TYPE3&lt;&gt;"")+('Dvd Calendar'!$AF$1775=TYPE4)*(TYPE4&lt;&gt;"")+('Dvd Calendar'!$AF$1775=SPECIAL_LBL)*(INC_SPECIALS="Y"))=0,"",'Dvd Calendar'!$AF$1773)))</f>
        <v/>
      </c>
      <c r="AE179" s="161">
        <f>IF(FG179="","",IF(ISNUMBER('Dvd Calendar'!$AG$1773)=FALSE,"",IF((('Dvd Calendar'!$AG$1775=TYPE1)*(TYPE1&lt;&gt;"")+('Dvd Calendar'!$AG$1775=TYPE2)*(TYPE2&lt;&gt;"")+('Dvd Calendar'!$AG$1775=TYPE3)*(TYPE3&lt;&gt;"")+('Dvd Calendar'!$AG$1775=TYPE4)*(TYPE4&lt;&gt;"")+('Dvd Calendar'!$AG$1775=SPECIAL_LBL)*(INC_SPECIALS="Y"))=0,"",'Dvd Calendar'!$AG$1773)))</f>
        <v/>
      </c>
      <c r="AF179" s="161">
        <f>IF(FH179="","",IF(ISNUMBER('Dvd Calendar'!$AH$1773)=FALSE,"",IF((('Dvd Calendar'!$AH$1775=TYPE1)*(TYPE1&lt;&gt;"")+('Dvd Calendar'!$AH$1775=TYPE2)*(TYPE2&lt;&gt;"")+('Dvd Calendar'!$AH$1775=TYPE3)*(TYPE3&lt;&gt;"")+('Dvd Calendar'!$AH$1775=TYPE4)*(TYPE4&lt;&gt;"")+('Dvd Calendar'!$AH$1775=SPECIAL_LBL)*(INC_SPECIALS="Y"))=0,"",'Dvd Calendar'!$AH$1773)))</f>
        <v/>
      </c>
      <c r="AG179" s="161">
        <f>IF(FI179="","",IF(ISNUMBER('Dvd Calendar'!$AI$1773)=FALSE,"",IF((('Dvd Calendar'!$AI$1775=TYPE1)*(TYPE1&lt;&gt;"")+('Dvd Calendar'!$AI$1775=TYPE2)*(TYPE2&lt;&gt;"")+('Dvd Calendar'!$AI$1775=TYPE3)*(TYPE3&lt;&gt;"")+('Dvd Calendar'!$AI$1775=TYPE4)*(TYPE4&lt;&gt;"")+('Dvd Calendar'!$AI$1775=SPECIAL_LBL)*(INC_SPECIALS="Y"))=0,"",'Dvd Calendar'!$AI$1773)))</f>
        <v/>
      </c>
      <c r="AH179" s="161">
        <f>IF(FJ179="","",IF(ISNUMBER('Dvd Calendar'!$AJ$1773)=FALSE,"",IF((('Dvd Calendar'!$AJ$1775=TYPE1)*(TYPE1&lt;&gt;"")+('Dvd Calendar'!$AJ$1775=TYPE2)*(TYPE2&lt;&gt;"")+('Dvd Calendar'!$AJ$1775=TYPE3)*(TYPE3&lt;&gt;"")+('Dvd Calendar'!$AJ$1775=TYPE4)*(TYPE4&lt;&gt;"")+('Dvd Calendar'!$AJ$1775=SPECIAL_LBL)*(INC_SPECIALS="Y"))=0,"",'Dvd Calendar'!$AJ$1773)))</f>
        <v/>
      </c>
      <c r="AI179" s="161">
        <f>IF(FK179="","",IF(ISNUMBER('Dvd Calendar'!$AK$1773)=FALSE,"",IF((('Dvd Calendar'!$AK$1775=TYPE1)*(TYPE1&lt;&gt;"")+('Dvd Calendar'!$AK$1775=TYPE2)*(TYPE2&lt;&gt;"")+('Dvd Calendar'!$AK$1775=TYPE3)*(TYPE3&lt;&gt;"")+('Dvd Calendar'!$AK$1775=TYPE4)*(TYPE4&lt;&gt;"")+('Dvd Calendar'!$AK$1775=SPECIAL_LBL)*(INC_SPECIALS="Y"))=0,"",'Dvd Calendar'!$AK$1773)))</f>
        <v/>
      </c>
      <c r="AJ179" s="161">
        <f>IF(FL179="","",IF(ISNUMBER('Dvd Calendar'!$AL$1773)=FALSE,"",IF((('Dvd Calendar'!$AL$1775=TYPE1)*(TYPE1&lt;&gt;"")+('Dvd Calendar'!$AL$1775=TYPE2)*(TYPE2&lt;&gt;"")+('Dvd Calendar'!$AL$1775=TYPE3)*(TYPE3&lt;&gt;"")+('Dvd Calendar'!$AL$1775=TYPE4)*(TYPE4&lt;&gt;"")+('Dvd Calendar'!$AL$1775=SPECIAL_LBL)*(INC_SPECIALS="Y"))=0,"",'Dvd Calendar'!$AL$1773)))</f>
        <v/>
      </c>
      <c r="AK179" s="161">
        <f>IF(FM179="","",IF(ISNUMBER('Dvd Calendar'!$AM$1773)=FALSE,"",IF((('Dvd Calendar'!$AM$1775=TYPE1)*(TYPE1&lt;&gt;"")+('Dvd Calendar'!$AM$1775=TYPE2)*(TYPE2&lt;&gt;"")+('Dvd Calendar'!$AM$1775=TYPE3)*(TYPE3&lt;&gt;"")+('Dvd Calendar'!$AM$1775=TYPE4)*(TYPE4&lt;&gt;"")+('Dvd Calendar'!$AM$1775=SPECIAL_LBL)*(INC_SPECIALS="Y"))=0,"",'Dvd Calendar'!$AM$1773)))</f>
        <v/>
      </c>
      <c r="AL179" s="161">
        <f>IF(FN179="","",IF(ISNUMBER('Dvd Calendar'!$AN$1773)=FALSE,"",IF((('Dvd Calendar'!$AN$1775=TYPE1)*(TYPE1&lt;&gt;"")+('Dvd Calendar'!$AN$1775=TYPE2)*(TYPE2&lt;&gt;"")+('Dvd Calendar'!$AN$1775=TYPE3)*(TYPE3&lt;&gt;"")+('Dvd Calendar'!$AN$1775=TYPE4)*(TYPE4&lt;&gt;"")+('Dvd Calendar'!$AN$1775=SPECIAL_LBL)*(INC_SPECIALS="Y"))=0,"",'Dvd Calendar'!$AN$1773)))</f>
        <v/>
      </c>
      <c r="AM179" s="161">
        <f>IF(FO179="","",IF(ISNUMBER('Dvd Calendar'!$AO$1773)=FALSE,"",IF((('Dvd Calendar'!$AO$1775=TYPE1)*(TYPE1&lt;&gt;"")+('Dvd Calendar'!$AO$1775=TYPE2)*(TYPE2&lt;&gt;"")+('Dvd Calendar'!$AO$1775=TYPE3)*(TYPE3&lt;&gt;"")+('Dvd Calendar'!$AO$1775=TYPE4)*(TYPE4&lt;&gt;"")+('Dvd Calendar'!$AO$1775=SPECIAL_LBL)*(INC_SPECIALS="Y"))=0,"",'Dvd Calendar'!$AO$1773)))</f>
        <v/>
      </c>
      <c r="AN179" s="161">
        <f>IF(FP179="","",IF(ISNUMBER('Dvd Calendar'!$AP$1773)=FALSE,"",IF((('Dvd Calendar'!$AP$1775=TYPE1)*(TYPE1&lt;&gt;"")+('Dvd Calendar'!$AP$1775=TYPE2)*(TYPE2&lt;&gt;"")+('Dvd Calendar'!$AP$1775=TYPE3)*(TYPE3&lt;&gt;"")+('Dvd Calendar'!$AP$1775=TYPE4)*(TYPE4&lt;&gt;"")+('Dvd Calendar'!$AP$1775=SPECIAL_LBL)*(INC_SPECIALS="Y"))=0,"",'Dvd Calendar'!$AP$1773)))</f>
        <v/>
      </c>
      <c r="AO179" s="161">
        <f>IF(FQ179="","",IF(ISNUMBER('Dvd Calendar'!$AQ$1773)=FALSE,"",IF((('Dvd Calendar'!$AQ$1775=TYPE1)*(TYPE1&lt;&gt;"")+('Dvd Calendar'!$AQ$1775=TYPE2)*(TYPE2&lt;&gt;"")+('Dvd Calendar'!$AQ$1775=TYPE3)*(TYPE3&lt;&gt;"")+('Dvd Calendar'!$AQ$1775=TYPE4)*(TYPE4&lt;&gt;"")+('Dvd Calendar'!$AQ$1775=SPECIAL_LBL)*(INC_SPECIALS="Y"))=0,"",'Dvd Calendar'!$AQ$1773)))</f>
        <v/>
      </c>
      <c r="AP179" s="161">
        <f>IF(FR179="","",IF(ISNUMBER('Dvd Calendar'!$AR$1773)=FALSE,"",IF((('Dvd Calendar'!$AR$1775=TYPE1)*(TYPE1&lt;&gt;"")+('Dvd Calendar'!$AR$1775=TYPE2)*(TYPE2&lt;&gt;"")+('Dvd Calendar'!$AR$1775=TYPE3)*(TYPE3&lt;&gt;"")+('Dvd Calendar'!$AR$1775=TYPE4)*(TYPE4&lt;&gt;"")+('Dvd Calendar'!$AR$1775=SPECIAL_LBL)*(INC_SPECIALS="Y"))=0,"",'Dvd Calendar'!$AR$1773)))</f>
        <v/>
      </c>
      <c r="AQ179" s="161">
        <f>IF(FS179="","",IF(ISNUMBER('Dvd Calendar'!$E$1778)=FALSE,"",'Dvd Calendar'!$E$1778))</f>
        <v/>
      </c>
      <c r="AR179" s="161">
        <f>IF(FT179="","",IF(ISNUMBER('Dvd Calendar'!$F$1778)=FALSE,"",'Dvd Calendar'!$F$1778))</f>
        <v/>
      </c>
      <c r="AS179" s="161">
        <f>IF(FU179="","",IF(ISNUMBER('Dvd Calendar'!$G$1778)=FALSE,"",'Dvd Calendar'!$G$1778))</f>
        <v/>
      </c>
      <c r="AT179" s="161">
        <f>IF(FV179="","",IF(ISNUMBER('Dvd Calendar'!$H$1778)=FALSE,"",'Dvd Calendar'!$H$1778))</f>
        <v/>
      </c>
      <c r="AU179" s="161">
        <f>IF(FW179="","",IF(ISNUMBER('Dvd Calendar'!$I$1778)=FALSE,"",'Dvd Calendar'!$I$1778))</f>
        <v/>
      </c>
      <c r="AV179" s="161">
        <f>IF(FX179="","",IF(ISNUMBER('Dvd Calendar'!$J$1778)=FALSE,"",'Dvd Calendar'!$J$1778))</f>
        <v/>
      </c>
      <c r="AW179" s="161">
        <f>IF(FY179="","",IF(ISNUMBER('Dvd Calendar'!$K$1778)=FALSE,"",'Dvd Calendar'!$K$1778))</f>
        <v/>
      </c>
      <c r="AX179" s="161">
        <f>IF(FZ179="","",IF(ISNUMBER('Dvd Calendar'!$L$1778)=FALSE,"",'Dvd Calendar'!$L$1778))</f>
        <v/>
      </c>
      <c r="AY179" s="161">
        <f>IF(GA179="","",IF(ISNUMBER('Dvd Calendar'!$M$1778)=FALSE,"",'Dvd Calendar'!$M$1778))</f>
        <v/>
      </c>
      <c r="AZ179" s="161">
        <f>IF(GB179="","",IF(ISNUMBER('Dvd Calendar'!$N$1778)=FALSE,"",'Dvd Calendar'!$N$1778))</f>
        <v/>
      </c>
      <c r="BA179" s="161">
        <f>IF(GC179="","",IF(ISNUMBER('Dvd Calendar'!$O$1778)=FALSE,"",'Dvd Calendar'!$O$1778))</f>
        <v/>
      </c>
      <c r="BB179" s="161">
        <f>IF(GD179="","",IF(ISNUMBER('Dvd Calendar'!$P$1778)=FALSE,"",'Dvd Calendar'!$P$1778))</f>
        <v/>
      </c>
      <c r="BC179" s="161">
        <f>IF(GE179="","",IF(ISNUMBER('Dvd Calendar'!$Q$1778)=FALSE,"",'Dvd Calendar'!$Q$1778))</f>
        <v/>
      </c>
      <c r="BD179" s="161">
        <f>IF(GF179="","",IF(ISNUMBER('Dvd Calendar'!$R$1778)=FALSE,"",'Dvd Calendar'!$R$1778))</f>
        <v/>
      </c>
      <c r="BE179" s="161">
        <f>IF(GG179="","",IF(ISNUMBER('Dvd Calendar'!$S$1778)=FALSE,"",'Dvd Calendar'!$S$1778))</f>
        <v/>
      </c>
      <c r="BF179" s="161">
        <f>IF(GH179="","",IF(ISNUMBER('Dvd Calendar'!$T$1778)=FALSE,"",'Dvd Calendar'!$T$1778))</f>
        <v/>
      </c>
      <c r="BG179" s="161">
        <f>IF(GI179="","",IF(ISNUMBER('Dvd Calendar'!$U$1778)=FALSE,"",'Dvd Calendar'!$U$1778))</f>
        <v/>
      </c>
      <c r="BH179" s="161">
        <f>IF(GJ179="","",IF(ISNUMBER('Dvd Calendar'!$V$1778)=FALSE,"",'Dvd Calendar'!$V$1778))</f>
        <v/>
      </c>
      <c r="BI179" s="161">
        <f>IF(GK179="","",IF(ISNUMBER('Dvd Calendar'!$W$1778)=FALSE,"",'Dvd Calendar'!$W$1778))</f>
        <v/>
      </c>
      <c r="BJ179" s="161">
        <f>IF(GL179="","",IF(ISNUMBER('Dvd Calendar'!$X$1778)=FALSE,"",'Dvd Calendar'!$X$1778))</f>
        <v/>
      </c>
      <c r="BK179" s="161">
        <f>IF(GM179="","",IF(ISNUMBER('Dvd Calendar'!$Y$1778)=FALSE,"",'Dvd Calendar'!$Y$1778))</f>
        <v/>
      </c>
      <c r="BL179" s="161">
        <f>IF(GN179="","",IF(ISNUMBER('Dvd Calendar'!$Z$1778)=FALSE,"",'Dvd Calendar'!$Z$1778))</f>
        <v/>
      </c>
      <c r="BM179" s="161">
        <f>IF(GO179="","",IF(ISNUMBER('Dvd Calendar'!$AA$1778)=FALSE,"",'Dvd Calendar'!$AA$1778))</f>
        <v/>
      </c>
      <c r="BN179" s="161">
        <f>IF(GP179="","",IF(ISNUMBER('Dvd Calendar'!$AB$1778)=FALSE,"",'Dvd Calendar'!$AB$1778))</f>
        <v/>
      </c>
      <c r="BO179" s="161">
        <f>IF(GQ179="","",IF(ISNUMBER('Dvd Calendar'!$AC$1778)=FALSE,"",'Dvd Calendar'!$AC$1778))</f>
        <v/>
      </c>
      <c r="BQ179" s="161">
        <f>IF(C179="","",IFERROR(C179*HSCEI!$B$26*HSCEI!$G$26/HSCEI!$B$3,""))</f>
        <v/>
      </c>
      <c r="BR179" s="161">
        <f>IF(D179="","",IFERROR(D179*HSCEI!$B$26*HSCEI!$G$26/HSCEI!$B$3,""))</f>
        <v/>
      </c>
      <c r="BS179" s="161">
        <f>IF(E179="","",IFERROR(E179*HSCEI!$B$26*HSCEI!$G$26/HSCEI!$B$3,""))</f>
        <v/>
      </c>
      <c r="BT179" s="161">
        <f>IF(F179="","",IFERROR(F179*HSCEI!$B$26*HSCEI!$G$26/HSCEI!$B$3,""))</f>
        <v/>
      </c>
      <c r="BU179" s="161">
        <f>IF(G179="","",IFERROR(G179*HSCEI!$B$26*HSCEI!$G$26/HSCEI!$B$3,""))</f>
        <v/>
      </c>
      <c r="BV179" s="161">
        <f>IF(H179="","",IFERROR(H179*HSCEI!$B$26*HSCEI!$G$26/HSCEI!$B$3,""))</f>
        <v/>
      </c>
      <c r="BW179" s="161">
        <f>IF(I179="","",IFERROR(I179*HSCEI!$B$26*HSCEI!$G$26/HSCEI!$B$3,""))</f>
        <v/>
      </c>
      <c r="BX179" s="161">
        <f>IF(J179="","",IFERROR(J179*HSCEI!$B$26*HSCEI!$G$26/HSCEI!$B$3,""))</f>
        <v/>
      </c>
      <c r="BY179" s="161">
        <f>IF(K179="","",IFERROR(K179*HSCEI!$B$26*HSCEI!$G$26/HSCEI!$B$3,""))</f>
        <v/>
      </c>
      <c r="BZ179" s="161">
        <f>IF(L179="","",IFERROR(L179*HSCEI!$B$26*HSCEI!$G$26/HSCEI!$B$3,""))</f>
        <v/>
      </c>
      <c r="CA179" s="161">
        <f>IF(M179="","",IFERROR(M179*HSCEI!$B$26*HSCEI!$G$26/HSCEI!$B$3,""))</f>
        <v/>
      </c>
      <c r="CB179" s="161">
        <f>IF(N179="","",IFERROR(N179*HSCEI!$B$26*HSCEI!$G$26/HSCEI!$B$3,""))</f>
        <v/>
      </c>
      <c r="CC179" s="161">
        <f>IF(O179="","",IFERROR(O179*HSCEI!$B$26*HSCEI!$G$26/HSCEI!$B$3,""))</f>
        <v/>
      </c>
      <c r="CD179" s="161">
        <f>IF(P179="","",IFERROR(P179*HSCEI!$B$26*HSCEI!$G$26/HSCEI!$B$3,""))</f>
        <v/>
      </c>
      <c r="CE179" s="161">
        <f>IF(Q179="","",IFERROR(Q179*HSCEI!$B$26*HSCEI!$G$26/HSCEI!$B$3,""))</f>
        <v/>
      </c>
      <c r="CF179" s="161">
        <f>IF(R179="","",IFERROR(R179*HSCEI!$B$26*HSCEI!$G$26/HSCEI!$B$3,""))</f>
        <v/>
      </c>
      <c r="CG179" s="161">
        <f>IF(S179="","",IFERROR(S179*HSCEI!$B$26*HSCEI!$G$26/HSCEI!$B$3,""))</f>
        <v/>
      </c>
      <c r="CH179" s="161">
        <f>IF(T179="","",IFERROR(T179*HSCEI!$B$26*HSCEI!$G$26/HSCEI!$B$3,""))</f>
        <v/>
      </c>
      <c r="CI179" s="161">
        <f>IF(U179="","",IFERROR(U179*HSCEI!$B$26*HSCEI!$G$26/HSCEI!$B$3,""))</f>
        <v/>
      </c>
      <c r="CJ179" s="161">
        <f>IF(V179="","",IFERROR(V179*HSCEI!$B$26*HSCEI!$G$26/HSCEI!$B$3,""))</f>
        <v/>
      </c>
      <c r="CK179" s="161">
        <f>IF(W179="","",IFERROR(W179*HSCEI!$B$26*HSCEI!$G$26/HSCEI!$B$3,""))</f>
        <v/>
      </c>
      <c r="CL179" s="161">
        <f>IF(X179="","",IFERROR(X179*HSCEI!$B$26*HSCEI!$G$26/HSCEI!$B$3,""))</f>
        <v/>
      </c>
      <c r="CM179" s="161">
        <f>IF(Y179="","",IFERROR(Y179*HSCEI!$B$26*HSCEI!$G$26/HSCEI!$B$3,""))</f>
        <v/>
      </c>
      <c r="CN179" s="161">
        <f>IF(Z179="","",IFERROR(Z179*HSCEI!$B$26*HSCEI!$G$26/HSCEI!$B$3,""))</f>
        <v/>
      </c>
      <c r="CO179" s="161">
        <f>IF(AA179="","",IFERROR(AA179*HSCEI!$B$26*HSCEI!$G$26/HSCEI!$B$3,""))</f>
        <v/>
      </c>
      <c r="CP179" s="161">
        <f>IF(AB179="","",IFERROR(AB179*HSCEI!$B$26*HSCEI!$G$26/HSCEI!$B$3,""))</f>
        <v/>
      </c>
      <c r="CQ179" s="161">
        <f>IF(AC179="","",IFERROR(AC179*HSCEI!$B$26*HSCEI!$G$26/HSCEI!$B$3,""))</f>
        <v/>
      </c>
      <c r="CR179" s="161">
        <f>IF(AD179="","",IFERROR(AD179*HSCEI!$B$26*HSCEI!$G$26/HSCEI!$B$3,""))</f>
        <v/>
      </c>
      <c r="CS179" s="161">
        <f>IF(AE179="","",IFERROR(AE179*HSCEI!$B$26*HSCEI!$G$26/HSCEI!$B$3,""))</f>
        <v/>
      </c>
      <c r="CT179" s="161">
        <f>IF(AF179="","",IFERROR(AF179*HSCEI!$B$26*HSCEI!$G$26/HSCEI!$B$3,""))</f>
        <v/>
      </c>
      <c r="CU179" s="161">
        <f>IF(AG179="","",IFERROR(AG179*HSCEI!$B$26*HSCEI!$G$26/HSCEI!$B$3,""))</f>
        <v/>
      </c>
      <c r="CV179" s="161">
        <f>IF(AH179="","",IFERROR(AH179*HSCEI!$B$26*HSCEI!$G$26/HSCEI!$B$3,""))</f>
        <v/>
      </c>
      <c r="CW179" s="161">
        <f>IF(AI179="","",IFERROR(AI179*HSCEI!$B$26*HSCEI!$G$26/HSCEI!$B$3,""))</f>
        <v/>
      </c>
      <c r="CX179" s="161">
        <f>IF(AJ179="","",IFERROR(AJ179*HSCEI!$B$26*HSCEI!$G$26/HSCEI!$B$3,""))</f>
        <v/>
      </c>
      <c r="CY179" s="161">
        <f>IF(AK179="","",IFERROR(AK179*HSCEI!$B$26*HSCEI!$G$26/HSCEI!$B$3,""))</f>
        <v/>
      </c>
      <c r="CZ179" s="161">
        <f>IF(AL179="","",IFERROR(AL179*HSCEI!$B$26*HSCEI!$G$26/HSCEI!$B$3,""))</f>
        <v/>
      </c>
      <c r="DA179" s="161">
        <f>IF(AM179="","",IFERROR(AM179*HSCEI!$B$26*HSCEI!$G$26/HSCEI!$B$3,""))</f>
        <v/>
      </c>
      <c r="DB179" s="161">
        <f>IF(AN179="","",IFERROR(AN179*HSCEI!$B$26*HSCEI!$G$26/HSCEI!$B$3,""))</f>
        <v/>
      </c>
      <c r="DC179" s="161">
        <f>IF(AO179="","",IFERROR(AO179*HSCEI!$B$26*HSCEI!$G$26/HSCEI!$B$3,""))</f>
        <v/>
      </c>
      <c r="DD179" s="161">
        <f>IF(AP179="","",IFERROR(AP179*HSCEI!$B$26*HSCEI!$G$26/HSCEI!$B$3,""))</f>
        <v/>
      </c>
      <c r="DE179" s="161">
        <f>IF(AQ179="","",IFERROR(AQ179*HSCEI!$B$26*HSCEI!$G$26/HSCEI!$B$3,""))</f>
        <v/>
      </c>
      <c r="DF179" s="161">
        <f>IF(AR179="","",IFERROR(AR179*HSCEI!$B$26*HSCEI!$G$26/HSCEI!$B$3,""))</f>
        <v/>
      </c>
      <c r="DG179" s="161">
        <f>IF(AS179="","",IFERROR(AS179*HSCEI!$B$26*HSCEI!$G$26/HSCEI!$B$3,""))</f>
        <v/>
      </c>
      <c r="DH179" s="161">
        <f>IF(AT179="","",IFERROR(AT179*HSCEI!$B$26*HSCEI!$G$26/HSCEI!$B$3,""))</f>
        <v/>
      </c>
      <c r="DI179" s="161">
        <f>IF(AU179="","",IFERROR(AU179*HSCEI!$B$26*HSCEI!$G$26/HSCEI!$B$3,""))</f>
        <v/>
      </c>
      <c r="DJ179" s="161">
        <f>IF(AV179="","",IFERROR(AV179*HSCEI!$B$26*HSCEI!$G$26/HSCEI!$B$3,""))</f>
        <v/>
      </c>
      <c r="DK179" s="161">
        <f>IF(AW179="","",IFERROR(AW179*HSCEI!$B$26*HSCEI!$G$26/HSCEI!$B$3,""))</f>
        <v/>
      </c>
      <c r="DL179" s="161">
        <f>IF(AX179="","",IFERROR(AX179*HSCEI!$B$26*HSCEI!$G$26/HSCEI!$B$3,""))</f>
        <v/>
      </c>
      <c r="DM179" s="161">
        <f>IF(AY179="","",IFERROR(AY179*HSCEI!$B$26*HSCEI!$G$26/HSCEI!$B$3,""))</f>
        <v/>
      </c>
      <c r="DN179" s="161">
        <f>IF(AZ179="","",IFERROR(AZ179*HSCEI!$B$26*HSCEI!$G$26/HSCEI!$B$3,""))</f>
        <v/>
      </c>
      <c r="DO179" s="161">
        <f>IF(BA179="","",IFERROR(BA179*HSCEI!$B$26*HSCEI!$G$26/HSCEI!$B$3,""))</f>
        <v/>
      </c>
      <c r="DP179" s="161">
        <f>IF(BB179="","",IFERROR(BB179*HSCEI!$B$26*HSCEI!$G$26/HSCEI!$B$3,""))</f>
        <v/>
      </c>
      <c r="DQ179" s="161">
        <f>IF(BC179="","",IFERROR(BC179*HSCEI!$B$26*HSCEI!$G$26/HSCEI!$B$3,""))</f>
        <v/>
      </c>
      <c r="DR179" s="161">
        <f>IF(BD179="","",IFERROR(BD179*HSCEI!$B$26*HSCEI!$G$26/HSCEI!$B$3,""))</f>
        <v/>
      </c>
      <c r="DS179" s="161">
        <f>IF(BE179="","",IFERROR(BE179*HSCEI!$B$26*HSCEI!$G$26/HSCEI!$B$3,""))</f>
        <v/>
      </c>
      <c r="DT179" s="161">
        <f>IF(BF179="","",IFERROR(BF179*HSCEI!$B$26*HSCEI!$G$26/HSCEI!$B$3,""))</f>
        <v/>
      </c>
      <c r="DU179" s="161">
        <f>IF(BG179="","",IFERROR(BG179*HSCEI!$B$26*HSCEI!$G$26/HSCEI!$B$3,""))</f>
        <v/>
      </c>
      <c r="DV179" s="161">
        <f>IF(BH179="","",IFERROR(BH179*HSCEI!$B$26*HSCEI!$G$26/HSCEI!$B$3,""))</f>
        <v/>
      </c>
      <c r="DW179" s="161">
        <f>IF(BI179="","",IFERROR(BI179*HSCEI!$B$26*HSCEI!$G$26/HSCEI!$B$3,""))</f>
        <v/>
      </c>
      <c r="DX179" s="161">
        <f>IF(BJ179="","",IFERROR(BJ179*HSCEI!$B$26*HSCEI!$G$26/HSCEI!$B$3,""))</f>
        <v/>
      </c>
      <c r="DY179" s="161">
        <f>IF(BK179="","",IFERROR(BK179*HSCEI!$B$26*HSCEI!$G$26/HSCEI!$B$3,""))</f>
        <v/>
      </c>
      <c r="DZ179" s="161">
        <f>IF(BL179="","",IFERROR(BL179*HSCEI!$B$26*HSCEI!$G$26/HSCEI!$B$3,""))</f>
        <v/>
      </c>
      <c r="EA179" s="161">
        <f>IF(BM179="","",IFERROR(BM179*HSCEI!$B$26*HSCEI!$G$26/HSCEI!$B$3,""))</f>
        <v/>
      </c>
      <c r="EB179" s="161">
        <f>IF(BN179="","",IFERROR(BN179*HSCEI!$B$26*HSCEI!$G$26/HSCEI!$B$3,""))</f>
        <v/>
      </c>
      <c r="EC179" s="161">
        <f>IF(BO179="","",IFERROR(BO179*HSCEI!$B$26*HSCEI!$G$26/HSCEI!$B$3,""))</f>
        <v/>
      </c>
      <c r="EE179" s="121">
        <f>IF(N('Dvd Calendar'!$E$1770)=0,"",IF(('Dvd Calendar'!$E$1770&gt;=GRID_FROM)*('Dvd Calendar'!$E$1770&lt;=GRID_TO)*((('Dvd Calendar'!$E$1770&lt;=VAL_DATE)+(COUNTIF('Dvd Calendar'!$E$1777:$AR$1777,'Dvd Calendar'!$E$1770)=0))&gt;0)=0,"",'Dvd Calendar'!$E$1770*1000000000+ISNUMBER('Dvd Calendar'!$E$1773)*100000000+('Dvd Calendar'!$E$1775=SPECIAL_LBL)*10000000+(N('Dvd Calendar'!$E$1769)&gt;0)*(N('Dvd Calendar'!$E$1769)&lt;=VAL_SERIAL)*1000000+20*1000+1))</f>
        <v/>
      </c>
      <c r="EF179" s="121">
        <f>IF(N('Dvd Calendar'!$F$1770)=0,"",IF(('Dvd Calendar'!$F$1770&gt;=GRID_FROM)*('Dvd Calendar'!$F$1770&lt;=GRID_TO)*((('Dvd Calendar'!$F$1770&lt;=VAL_DATE)+(COUNTIF('Dvd Calendar'!$E$1777:$AR$1777,'Dvd Calendar'!$F$1770)=0))&gt;0)=0,"",'Dvd Calendar'!$F$1770*1000000000+ISNUMBER('Dvd Calendar'!$F$1773)*100000000+('Dvd Calendar'!$F$1775=SPECIAL_LBL)*10000000+(N('Dvd Calendar'!$F$1769)&gt;0)*(N('Dvd Calendar'!$F$1769)&lt;=VAL_SERIAL)*1000000+20*1000+2))</f>
        <v/>
      </c>
      <c r="EG179" s="121">
        <f>IF(N('Dvd Calendar'!$G$1770)=0,"",IF(('Dvd Calendar'!$G$1770&gt;=GRID_FROM)*('Dvd Calendar'!$G$1770&lt;=GRID_TO)*((('Dvd Calendar'!$G$1770&lt;=VAL_DATE)+(COUNTIF('Dvd Calendar'!$E$1777:$AR$1777,'Dvd Calendar'!$G$1770)=0))&gt;0)=0,"",'Dvd Calendar'!$G$1770*1000000000+ISNUMBER('Dvd Calendar'!$G$1773)*100000000+('Dvd Calendar'!$G$1775=SPECIAL_LBL)*10000000+(N('Dvd Calendar'!$G$1769)&gt;0)*(N('Dvd Calendar'!$G$1769)&lt;=VAL_SERIAL)*1000000+20*1000+3))</f>
        <v/>
      </c>
      <c r="EH179" s="121">
        <f>IF(N('Dvd Calendar'!$H$1770)=0,"",IF(('Dvd Calendar'!$H$1770&gt;=GRID_FROM)*('Dvd Calendar'!$H$1770&lt;=GRID_TO)*((('Dvd Calendar'!$H$1770&lt;=VAL_DATE)+(COUNTIF('Dvd Calendar'!$E$1777:$AR$1777,'Dvd Calendar'!$H$1770)=0))&gt;0)=0,"",'Dvd Calendar'!$H$1770*1000000000+ISNUMBER('Dvd Calendar'!$H$1773)*100000000+('Dvd Calendar'!$H$1775=SPECIAL_LBL)*10000000+(N('Dvd Calendar'!$H$1769)&gt;0)*(N('Dvd Calendar'!$H$1769)&lt;=VAL_SERIAL)*1000000+20*1000+4))</f>
        <v/>
      </c>
      <c r="EI179" s="121">
        <f>IF(N('Dvd Calendar'!$I$1770)=0,"",IF(('Dvd Calendar'!$I$1770&gt;=GRID_FROM)*('Dvd Calendar'!$I$1770&lt;=GRID_TO)*((('Dvd Calendar'!$I$1770&lt;=VAL_DATE)+(COUNTIF('Dvd Calendar'!$E$1777:$AR$1777,'Dvd Calendar'!$I$1770)=0))&gt;0)=0,"",'Dvd Calendar'!$I$1770*1000000000+ISNUMBER('Dvd Calendar'!$I$1773)*100000000+('Dvd Calendar'!$I$1775=SPECIAL_LBL)*10000000+(N('Dvd Calendar'!$I$1769)&gt;0)*(N('Dvd Calendar'!$I$1769)&lt;=VAL_SERIAL)*1000000+20*1000+5))</f>
        <v/>
      </c>
      <c r="EJ179" s="121">
        <f>IF(N('Dvd Calendar'!$J$1770)=0,"",IF(('Dvd Calendar'!$J$1770&gt;=GRID_FROM)*('Dvd Calendar'!$J$1770&lt;=GRID_TO)*((('Dvd Calendar'!$J$1770&lt;=VAL_DATE)+(COUNTIF('Dvd Calendar'!$E$1777:$AR$1777,'Dvd Calendar'!$J$1770)=0))&gt;0)=0,"",'Dvd Calendar'!$J$1770*1000000000+ISNUMBER('Dvd Calendar'!$J$1773)*100000000+('Dvd Calendar'!$J$1775=SPECIAL_LBL)*10000000+(N('Dvd Calendar'!$J$1769)&gt;0)*(N('Dvd Calendar'!$J$1769)&lt;=VAL_SERIAL)*1000000+20*1000+6))</f>
        <v/>
      </c>
      <c r="EK179" s="121">
        <f>IF(N('Dvd Calendar'!$K$1770)=0,"",IF(('Dvd Calendar'!$K$1770&gt;=GRID_FROM)*('Dvd Calendar'!$K$1770&lt;=GRID_TO)*((('Dvd Calendar'!$K$1770&lt;=VAL_DATE)+(COUNTIF('Dvd Calendar'!$E$1777:$AR$1777,'Dvd Calendar'!$K$1770)=0))&gt;0)=0,"",'Dvd Calendar'!$K$1770*1000000000+ISNUMBER('Dvd Calendar'!$K$1773)*100000000+('Dvd Calendar'!$K$1775=SPECIAL_LBL)*10000000+(N('Dvd Calendar'!$K$1769)&gt;0)*(N('Dvd Calendar'!$K$1769)&lt;=VAL_SERIAL)*1000000+20*1000+7))</f>
        <v/>
      </c>
      <c r="EL179" s="121">
        <f>IF(N('Dvd Calendar'!$L$1770)=0,"",IF(('Dvd Calendar'!$L$1770&gt;=GRID_FROM)*('Dvd Calendar'!$L$1770&lt;=GRID_TO)*((('Dvd Calendar'!$L$1770&lt;=VAL_DATE)+(COUNTIF('Dvd Calendar'!$E$1777:$AR$1777,'Dvd Calendar'!$L$1770)=0))&gt;0)=0,"",'Dvd Calendar'!$L$1770*1000000000+ISNUMBER('Dvd Calendar'!$L$1773)*100000000+('Dvd Calendar'!$L$1775=SPECIAL_LBL)*10000000+(N('Dvd Calendar'!$L$1769)&gt;0)*(N('Dvd Calendar'!$L$1769)&lt;=VAL_SERIAL)*1000000+20*1000+8))</f>
        <v/>
      </c>
      <c r="EM179" s="121">
        <f>IF(N('Dvd Calendar'!$M$1770)=0,"",IF(('Dvd Calendar'!$M$1770&gt;=GRID_FROM)*('Dvd Calendar'!$M$1770&lt;=GRID_TO)*((('Dvd Calendar'!$M$1770&lt;=VAL_DATE)+(COUNTIF('Dvd Calendar'!$E$1777:$AR$1777,'Dvd Calendar'!$M$1770)=0))&gt;0)=0,"",'Dvd Calendar'!$M$1770*1000000000+ISNUMBER('Dvd Calendar'!$M$1773)*100000000+('Dvd Calendar'!$M$1775=SPECIAL_LBL)*10000000+(N('Dvd Calendar'!$M$1769)&gt;0)*(N('Dvd Calendar'!$M$1769)&lt;=VAL_SERIAL)*1000000+20*1000+9))</f>
        <v/>
      </c>
      <c r="EN179" s="121">
        <f>IF(N('Dvd Calendar'!$N$1770)=0,"",IF(('Dvd Calendar'!$N$1770&gt;=GRID_FROM)*('Dvd Calendar'!$N$1770&lt;=GRID_TO)*((('Dvd Calendar'!$N$1770&lt;=VAL_DATE)+(COUNTIF('Dvd Calendar'!$E$1777:$AR$1777,'Dvd Calendar'!$N$1770)=0))&gt;0)=0,"",'Dvd Calendar'!$N$1770*1000000000+ISNUMBER('Dvd Calendar'!$N$1773)*100000000+('Dvd Calendar'!$N$1775=SPECIAL_LBL)*10000000+(N('Dvd Calendar'!$N$1769)&gt;0)*(N('Dvd Calendar'!$N$1769)&lt;=VAL_SERIAL)*1000000+20*1000+10))</f>
        <v/>
      </c>
      <c r="EO179" s="121">
        <f>IF(N('Dvd Calendar'!$O$1770)=0,"",IF(('Dvd Calendar'!$O$1770&gt;=GRID_FROM)*('Dvd Calendar'!$O$1770&lt;=GRID_TO)*((('Dvd Calendar'!$O$1770&lt;=VAL_DATE)+(COUNTIF('Dvd Calendar'!$E$1777:$AR$1777,'Dvd Calendar'!$O$1770)=0))&gt;0)=0,"",'Dvd Calendar'!$O$1770*1000000000+ISNUMBER('Dvd Calendar'!$O$1773)*100000000+('Dvd Calendar'!$O$1775=SPECIAL_LBL)*10000000+(N('Dvd Calendar'!$O$1769)&gt;0)*(N('Dvd Calendar'!$O$1769)&lt;=VAL_SERIAL)*1000000+20*1000+11))</f>
        <v/>
      </c>
      <c r="EP179" s="121">
        <f>IF(N('Dvd Calendar'!$P$1770)=0,"",IF(('Dvd Calendar'!$P$1770&gt;=GRID_FROM)*('Dvd Calendar'!$P$1770&lt;=GRID_TO)*((('Dvd Calendar'!$P$1770&lt;=VAL_DATE)+(COUNTIF('Dvd Calendar'!$E$1777:$AR$1777,'Dvd Calendar'!$P$1770)=0))&gt;0)=0,"",'Dvd Calendar'!$P$1770*1000000000+ISNUMBER('Dvd Calendar'!$P$1773)*100000000+('Dvd Calendar'!$P$1775=SPECIAL_LBL)*10000000+(N('Dvd Calendar'!$P$1769)&gt;0)*(N('Dvd Calendar'!$P$1769)&lt;=VAL_SERIAL)*1000000+20*1000+12))</f>
        <v/>
      </c>
      <c r="EQ179" s="121">
        <f>IF(N('Dvd Calendar'!$Q$1770)=0,"",IF(('Dvd Calendar'!$Q$1770&gt;=GRID_FROM)*('Dvd Calendar'!$Q$1770&lt;=GRID_TO)*((('Dvd Calendar'!$Q$1770&lt;=VAL_DATE)+(COUNTIF('Dvd Calendar'!$E$1777:$AR$1777,'Dvd Calendar'!$Q$1770)=0))&gt;0)=0,"",'Dvd Calendar'!$Q$1770*1000000000+ISNUMBER('Dvd Calendar'!$Q$1773)*100000000+('Dvd Calendar'!$Q$1775=SPECIAL_LBL)*10000000+(N('Dvd Calendar'!$Q$1769)&gt;0)*(N('Dvd Calendar'!$Q$1769)&lt;=VAL_SERIAL)*1000000+20*1000+13))</f>
        <v/>
      </c>
      <c r="ER179" s="121">
        <f>IF(N('Dvd Calendar'!$R$1770)=0,"",IF(('Dvd Calendar'!$R$1770&gt;=GRID_FROM)*('Dvd Calendar'!$R$1770&lt;=GRID_TO)*((('Dvd Calendar'!$R$1770&lt;=VAL_DATE)+(COUNTIF('Dvd Calendar'!$E$1777:$AR$1777,'Dvd Calendar'!$R$1770)=0))&gt;0)=0,"",'Dvd Calendar'!$R$1770*1000000000+ISNUMBER('Dvd Calendar'!$R$1773)*100000000+('Dvd Calendar'!$R$1775=SPECIAL_LBL)*10000000+(N('Dvd Calendar'!$R$1769)&gt;0)*(N('Dvd Calendar'!$R$1769)&lt;=VAL_SERIAL)*1000000+20*1000+14))</f>
        <v/>
      </c>
      <c r="ES179" s="121">
        <f>IF(N('Dvd Calendar'!$S$1770)=0,"",IF(('Dvd Calendar'!$S$1770&gt;=GRID_FROM)*('Dvd Calendar'!$S$1770&lt;=GRID_TO)*((('Dvd Calendar'!$S$1770&lt;=VAL_DATE)+(COUNTIF('Dvd Calendar'!$E$1777:$AR$1777,'Dvd Calendar'!$S$1770)=0))&gt;0)=0,"",'Dvd Calendar'!$S$1770*1000000000+ISNUMBER('Dvd Calendar'!$S$1773)*100000000+('Dvd Calendar'!$S$1775=SPECIAL_LBL)*10000000+(N('Dvd Calendar'!$S$1769)&gt;0)*(N('Dvd Calendar'!$S$1769)&lt;=VAL_SERIAL)*1000000+20*1000+15))</f>
        <v/>
      </c>
      <c r="ET179" s="121">
        <f>IF(N('Dvd Calendar'!$T$1770)=0,"",IF(('Dvd Calendar'!$T$1770&gt;=GRID_FROM)*('Dvd Calendar'!$T$1770&lt;=GRID_TO)*((('Dvd Calendar'!$T$1770&lt;=VAL_DATE)+(COUNTIF('Dvd Calendar'!$E$1777:$AR$1777,'Dvd Calendar'!$T$1770)=0))&gt;0)=0,"",'Dvd Calendar'!$T$1770*1000000000+ISNUMBER('Dvd Calendar'!$T$1773)*100000000+('Dvd Calendar'!$T$1775=SPECIAL_LBL)*10000000+(N('Dvd Calendar'!$T$1769)&gt;0)*(N('Dvd Calendar'!$T$1769)&lt;=VAL_SERIAL)*1000000+20*1000+16))</f>
        <v/>
      </c>
      <c r="EU179" s="121">
        <f>IF(N('Dvd Calendar'!$U$1770)=0,"",IF(('Dvd Calendar'!$U$1770&gt;=GRID_FROM)*('Dvd Calendar'!$U$1770&lt;=GRID_TO)*((('Dvd Calendar'!$U$1770&lt;=VAL_DATE)+(COUNTIF('Dvd Calendar'!$E$1777:$AR$1777,'Dvd Calendar'!$U$1770)=0))&gt;0)=0,"",'Dvd Calendar'!$U$1770*1000000000+ISNUMBER('Dvd Calendar'!$U$1773)*100000000+('Dvd Calendar'!$U$1775=SPECIAL_LBL)*10000000+(N('Dvd Calendar'!$U$1769)&gt;0)*(N('Dvd Calendar'!$U$1769)&lt;=VAL_SERIAL)*1000000+20*1000+17))</f>
        <v/>
      </c>
      <c r="EV179" s="121">
        <f>IF(N('Dvd Calendar'!$V$1770)=0,"",IF(('Dvd Calendar'!$V$1770&gt;=GRID_FROM)*('Dvd Calendar'!$V$1770&lt;=GRID_TO)*((('Dvd Calendar'!$V$1770&lt;=VAL_DATE)+(COUNTIF('Dvd Calendar'!$E$1777:$AR$1777,'Dvd Calendar'!$V$1770)=0))&gt;0)=0,"",'Dvd Calendar'!$V$1770*1000000000+ISNUMBER('Dvd Calendar'!$V$1773)*100000000+('Dvd Calendar'!$V$1775=SPECIAL_LBL)*10000000+(N('Dvd Calendar'!$V$1769)&gt;0)*(N('Dvd Calendar'!$V$1769)&lt;=VAL_SERIAL)*1000000+20*1000+18))</f>
        <v/>
      </c>
      <c r="EW179" s="121">
        <f>IF(N('Dvd Calendar'!$W$1770)=0,"",IF(('Dvd Calendar'!$W$1770&gt;=GRID_FROM)*('Dvd Calendar'!$W$1770&lt;=GRID_TO)*((('Dvd Calendar'!$W$1770&lt;=VAL_DATE)+(COUNTIF('Dvd Calendar'!$E$1777:$AR$1777,'Dvd Calendar'!$W$1770)=0))&gt;0)=0,"",'Dvd Calendar'!$W$1770*1000000000+ISNUMBER('Dvd Calendar'!$W$1773)*100000000+('Dvd Calendar'!$W$1775=SPECIAL_LBL)*10000000+(N('Dvd Calendar'!$W$1769)&gt;0)*(N('Dvd Calendar'!$W$1769)&lt;=VAL_SERIAL)*1000000+20*1000+19))</f>
        <v/>
      </c>
      <c r="EX179" s="121">
        <f>IF(N('Dvd Calendar'!$X$1770)=0,"",IF(('Dvd Calendar'!$X$1770&gt;=GRID_FROM)*('Dvd Calendar'!$X$1770&lt;=GRID_TO)*((('Dvd Calendar'!$X$1770&lt;=VAL_DATE)+(COUNTIF('Dvd Calendar'!$E$1777:$AR$1777,'Dvd Calendar'!$X$1770)=0))&gt;0)=0,"",'Dvd Calendar'!$X$1770*1000000000+ISNUMBER('Dvd Calendar'!$X$1773)*100000000+('Dvd Calendar'!$X$1775=SPECIAL_LBL)*10000000+(N('Dvd Calendar'!$X$1769)&gt;0)*(N('Dvd Calendar'!$X$1769)&lt;=VAL_SERIAL)*1000000+20*1000+20))</f>
        <v/>
      </c>
      <c r="EY179" s="121">
        <f>IF(N('Dvd Calendar'!$Y$1770)=0,"",IF(('Dvd Calendar'!$Y$1770&gt;=GRID_FROM)*('Dvd Calendar'!$Y$1770&lt;=GRID_TO)*((('Dvd Calendar'!$Y$1770&lt;=VAL_DATE)+(COUNTIF('Dvd Calendar'!$E$1777:$AR$1777,'Dvd Calendar'!$Y$1770)=0))&gt;0)=0,"",'Dvd Calendar'!$Y$1770*1000000000+ISNUMBER('Dvd Calendar'!$Y$1773)*100000000+('Dvd Calendar'!$Y$1775=SPECIAL_LBL)*10000000+(N('Dvd Calendar'!$Y$1769)&gt;0)*(N('Dvd Calendar'!$Y$1769)&lt;=VAL_SERIAL)*1000000+20*1000+21))</f>
        <v/>
      </c>
      <c r="EZ179" s="121">
        <f>IF(N('Dvd Calendar'!$Z$1770)=0,"",IF(('Dvd Calendar'!$Z$1770&gt;=GRID_FROM)*('Dvd Calendar'!$Z$1770&lt;=GRID_TO)*((('Dvd Calendar'!$Z$1770&lt;=VAL_DATE)+(COUNTIF('Dvd Calendar'!$E$1777:$AR$1777,'Dvd Calendar'!$Z$1770)=0))&gt;0)=0,"",'Dvd Calendar'!$Z$1770*1000000000+ISNUMBER('Dvd Calendar'!$Z$1773)*100000000+('Dvd Calendar'!$Z$1775=SPECIAL_LBL)*10000000+(N('Dvd Calendar'!$Z$1769)&gt;0)*(N('Dvd Calendar'!$Z$1769)&lt;=VAL_SERIAL)*1000000+20*1000+22))</f>
        <v/>
      </c>
      <c r="FA179" s="121">
        <f>IF(N('Dvd Calendar'!$AA$1770)=0,"",IF(('Dvd Calendar'!$AA$1770&gt;=GRID_FROM)*('Dvd Calendar'!$AA$1770&lt;=GRID_TO)*((('Dvd Calendar'!$AA$1770&lt;=VAL_DATE)+(COUNTIF('Dvd Calendar'!$E$1777:$AR$1777,'Dvd Calendar'!$AA$1770)=0))&gt;0)=0,"",'Dvd Calendar'!$AA$1770*1000000000+ISNUMBER('Dvd Calendar'!$AA$1773)*100000000+('Dvd Calendar'!$AA$1775=SPECIAL_LBL)*10000000+(N('Dvd Calendar'!$AA$1769)&gt;0)*(N('Dvd Calendar'!$AA$1769)&lt;=VAL_SERIAL)*1000000+20*1000+23))</f>
        <v/>
      </c>
      <c r="FB179" s="121">
        <f>IF(N('Dvd Calendar'!$AB$1770)=0,"",IF(('Dvd Calendar'!$AB$1770&gt;=GRID_FROM)*('Dvd Calendar'!$AB$1770&lt;=GRID_TO)*((('Dvd Calendar'!$AB$1770&lt;=VAL_DATE)+(COUNTIF('Dvd Calendar'!$E$1777:$AR$1777,'Dvd Calendar'!$AB$1770)=0))&gt;0)=0,"",'Dvd Calendar'!$AB$1770*1000000000+ISNUMBER('Dvd Calendar'!$AB$1773)*100000000+('Dvd Calendar'!$AB$1775=SPECIAL_LBL)*10000000+(N('Dvd Calendar'!$AB$1769)&gt;0)*(N('Dvd Calendar'!$AB$1769)&lt;=VAL_SERIAL)*1000000+20*1000+24))</f>
        <v/>
      </c>
      <c r="FC179" s="121">
        <f>IF(N('Dvd Calendar'!$AC$1770)=0,"",IF(('Dvd Calendar'!$AC$1770&gt;=GRID_FROM)*('Dvd Calendar'!$AC$1770&lt;=GRID_TO)*((('Dvd Calendar'!$AC$1770&lt;=VAL_DATE)+(COUNTIF('Dvd Calendar'!$E$1777:$AR$1777,'Dvd Calendar'!$AC$1770)=0))&gt;0)=0,"",'Dvd Calendar'!$AC$1770*1000000000+ISNUMBER('Dvd Calendar'!$AC$1773)*100000000+('Dvd Calendar'!$AC$1775=SPECIAL_LBL)*10000000+(N('Dvd Calendar'!$AC$1769)&gt;0)*(N('Dvd Calendar'!$AC$1769)&lt;=VAL_SERIAL)*1000000+20*1000+25))</f>
        <v/>
      </c>
      <c r="FD179" s="121">
        <f>IF(N('Dvd Calendar'!$AD$1770)=0,"",IF(('Dvd Calendar'!$AD$1770&gt;=GRID_FROM)*('Dvd Calendar'!$AD$1770&lt;=GRID_TO)*((('Dvd Calendar'!$AD$1770&lt;=VAL_DATE)+(COUNTIF('Dvd Calendar'!$E$1777:$AR$1777,'Dvd Calendar'!$AD$1770)=0))&gt;0)=0,"",'Dvd Calendar'!$AD$1770*1000000000+ISNUMBER('Dvd Calendar'!$AD$1773)*100000000+('Dvd Calendar'!$AD$1775=SPECIAL_LBL)*10000000+(N('Dvd Calendar'!$AD$1769)&gt;0)*(N('Dvd Calendar'!$AD$1769)&lt;=VAL_SERIAL)*1000000+20*1000+26))</f>
        <v/>
      </c>
      <c r="FE179" s="121">
        <f>IF(N('Dvd Calendar'!$AE$1770)=0,"",IF(('Dvd Calendar'!$AE$1770&gt;=GRID_FROM)*('Dvd Calendar'!$AE$1770&lt;=GRID_TO)*((('Dvd Calendar'!$AE$1770&lt;=VAL_DATE)+(COUNTIF('Dvd Calendar'!$E$1777:$AR$1777,'Dvd Calendar'!$AE$1770)=0))&gt;0)=0,"",'Dvd Calendar'!$AE$1770*1000000000+ISNUMBER('Dvd Calendar'!$AE$1773)*100000000+('Dvd Calendar'!$AE$1775=SPECIAL_LBL)*10000000+(N('Dvd Calendar'!$AE$1769)&gt;0)*(N('Dvd Calendar'!$AE$1769)&lt;=VAL_SERIAL)*1000000+20*1000+27))</f>
        <v/>
      </c>
      <c r="FF179" s="121">
        <f>IF(N('Dvd Calendar'!$AF$1770)=0,"",IF(('Dvd Calendar'!$AF$1770&gt;=GRID_FROM)*('Dvd Calendar'!$AF$1770&lt;=GRID_TO)*((('Dvd Calendar'!$AF$1770&lt;=VAL_DATE)+(COUNTIF('Dvd Calendar'!$E$1777:$AR$1777,'Dvd Calendar'!$AF$1770)=0))&gt;0)=0,"",'Dvd Calendar'!$AF$1770*1000000000+ISNUMBER('Dvd Calendar'!$AF$1773)*100000000+('Dvd Calendar'!$AF$1775=SPECIAL_LBL)*10000000+(N('Dvd Calendar'!$AF$1769)&gt;0)*(N('Dvd Calendar'!$AF$1769)&lt;=VAL_SERIAL)*1000000+20*1000+28))</f>
        <v/>
      </c>
      <c r="FG179" s="121">
        <f>IF(N('Dvd Calendar'!$AG$1770)=0,"",IF(('Dvd Calendar'!$AG$1770&gt;=GRID_FROM)*('Dvd Calendar'!$AG$1770&lt;=GRID_TO)*((('Dvd Calendar'!$AG$1770&lt;=VAL_DATE)+(COUNTIF('Dvd Calendar'!$E$1777:$AR$1777,'Dvd Calendar'!$AG$1770)=0))&gt;0)=0,"",'Dvd Calendar'!$AG$1770*1000000000+ISNUMBER('Dvd Calendar'!$AG$1773)*100000000+('Dvd Calendar'!$AG$1775=SPECIAL_LBL)*10000000+(N('Dvd Calendar'!$AG$1769)&gt;0)*(N('Dvd Calendar'!$AG$1769)&lt;=VAL_SERIAL)*1000000+20*1000+29))</f>
        <v/>
      </c>
      <c r="FH179" s="121">
        <f>IF(N('Dvd Calendar'!$AH$1770)=0,"",IF(('Dvd Calendar'!$AH$1770&gt;=GRID_FROM)*('Dvd Calendar'!$AH$1770&lt;=GRID_TO)*((('Dvd Calendar'!$AH$1770&lt;=VAL_DATE)+(COUNTIF('Dvd Calendar'!$E$1777:$AR$1777,'Dvd Calendar'!$AH$1770)=0))&gt;0)=0,"",'Dvd Calendar'!$AH$1770*1000000000+ISNUMBER('Dvd Calendar'!$AH$1773)*100000000+('Dvd Calendar'!$AH$1775=SPECIAL_LBL)*10000000+(N('Dvd Calendar'!$AH$1769)&gt;0)*(N('Dvd Calendar'!$AH$1769)&lt;=VAL_SERIAL)*1000000+20*1000+30))</f>
        <v/>
      </c>
      <c r="FI179" s="121">
        <f>IF(N('Dvd Calendar'!$AI$1770)=0,"",IF(('Dvd Calendar'!$AI$1770&gt;=GRID_FROM)*('Dvd Calendar'!$AI$1770&lt;=GRID_TO)*((('Dvd Calendar'!$AI$1770&lt;=VAL_DATE)+(COUNTIF('Dvd Calendar'!$E$1777:$AR$1777,'Dvd Calendar'!$AI$1770)=0))&gt;0)=0,"",'Dvd Calendar'!$AI$1770*1000000000+ISNUMBER('Dvd Calendar'!$AI$1773)*100000000+('Dvd Calendar'!$AI$1775=SPECIAL_LBL)*10000000+(N('Dvd Calendar'!$AI$1769)&gt;0)*(N('Dvd Calendar'!$AI$1769)&lt;=VAL_SERIAL)*1000000+20*1000+31))</f>
        <v/>
      </c>
      <c r="FJ179" s="121">
        <f>IF(N('Dvd Calendar'!$AJ$1770)=0,"",IF(('Dvd Calendar'!$AJ$1770&gt;=GRID_FROM)*('Dvd Calendar'!$AJ$1770&lt;=GRID_TO)*((('Dvd Calendar'!$AJ$1770&lt;=VAL_DATE)+(COUNTIF('Dvd Calendar'!$E$1777:$AR$1777,'Dvd Calendar'!$AJ$1770)=0))&gt;0)=0,"",'Dvd Calendar'!$AJ$1770*1000000000+ISNUMBER('Dvd Calendar'!$AJ$1773)*100000000+('Dvd Calendar'!$AJ$1775=SPECIAL_LBL)*10000000+(N('Dvd Calendar'!$AJ$1769)&gt;0)*(N('Dvd Calendar'!$AJ$1769)&lt;=VAL_SERIAL)*1000000+20*1000+32))</f>
        <v/>
      </c>
      <c r="FK179" s="121">
        <f>IF(N('Dvd Calendar'!$AK$1770)=0,"",IF(('Dvd Calendar'!$AK$1770&gt;=GRID_FROM)*('Dvd Calendar'!$AK$1770&lt;=GRID_TO)*((('Dvd Calendar'!$AK$1770&lt;=VAL_DATE)+(COUNTIF('Dvd Calendar'!$E$1777:$AR$1777,'Dvd Calendar'!$AK$1770)=0))&gt;0)=0,"",'Dvd Calendar'!$AK$1770*1000000000+ISNUMBER('Dvd Calendar'!$AK$1773)*100000000+('Dvd Calendar'!$AK$1775=SPECIAL_LBL)*10000000+(N('Dvd Calendar'!$AK$1769)&gt;0)*(N('Dvd Calendar'!$AK$1769)&lt;=VAL_SERIAL)*1000000+20*1000+33))</f>
        <v/>
      </c>
      <c r="FL179" s="121">
        <f>IF(N('Dvd Calendar'!$AL$1770)=0,"",IF(('Dvd Calendar'!$AL$1770&gt;=GRID_FROM)*('Dvd Calendar'!$AL$1770&lt;=GRID_TO)*((('Dvd Calendar'!$AL$1770&lt;=VAL_DATE)+(COUNTIF('Dvd Calendar'!$E$1777:$AR$1777,'Dvd Calendar'!$AL$1770)=0))&gt;0)=0,"",'Dvd Calendar'!$AL$1770*1000000000+ISNUMBER('Dvd Calendar'!$AL$1773)*100000000+('Dvd Calendar'!$AL$1775=SPECIAL_LBL)*10000000+(N('Dvd Calendar'!$AL$1769)&gt;0)*(N('Dvd Calendar'!$AL$1769)&lt;=VAL_SERIAL)*1000000+20*1000+34))</f>
        <v/>
      </c>
      <c r="FM179" s="121">
        <f>IF(N('Dvd Calendar'!$AM$1770)=0,"",IF(('Dvd Calendar'!$AM$1770&gt;=GRID_FROM)*('Dvd Calendar'!$AM$1770&lt;=GRID_TO)*((('Dvd Calendar'!$AM$1770&lt;=VAL_DATE)+(COUNTIF('Dvd Calendar'!$E$1777:$AR$1777,'Dvd Calendar'!$AM$1770)=0))&gt;0)=0,"",'Dvd Calendar'!$AM$1770*1000000000+ISNUMBER('Dvd Calendar'!$AM$1773)*100000000+('Dvd Calendar'!$AM$1775=SPECIAL_LBL)*10000000+(N('Dvd Calendar'!$AM$1769)&gt;0)*(N('Dvd Calendar'!$AM$1769)&lt;=VAL_SERIAL)*1000000+20*1000+35))</f>
        <v/>
      </c>
      <c r="FN179" s="121">
        <f>IF(N('Dvd Calendar'!$AN$1770)=0,"",IF(('Dvd Calendar'!$AN$1770&gt;=GRID_FROM)*('Dvd Calendar'!$AN$1770&lt;=GRID_TO)*((('Dvd Calendar'!$AN$1770&lt;=VAL_DATE)+(COUNTIF('Dvd Calendar'!$E$1777:$AR$1777,'Dvd Calendar'!$AN$1770)=0))&gt;0)=0,"",'Dvd Calendar'!$AN$1770*1000000000+ISNUMBER('Dvd Calendar'!$AN$1773)*100000000+('Dvd Calendar'!$AN$1775=SPECIAL_LBL)*10000000+(N('Dvd Calendar'!$AN$1769)&gt;0)*(N('Dvd Calendar'!$AN$1769)&lt;=VAL_SERIAL)*1000000+20*1000+36))</f>
        <v/>
      </c>
      <c r="FO179" s="121">
        <f>IF(N('Dvd Calendar'!$AO$1770)=0,"",IF(('Dvd Calendar'!$AO$1770&gt;=GRID_FROM)*('Dvd Calendar'!$AO$1770&lt;=GRID_TO)*((('Dvd Calendar'!$AO$1770&lt;=VAL_DATE)+(COUNTIF('Dvd Calendar'!$E$1777:$AR$1777,'Dvd Calendar'!$AO$1770)=0))&gt;0)=0,"",'Dvd Calendar'!$AO$1770*1000000000+ISNUMBER('Dvd Calendar'!$AO$1773)*100000000+('Dvd Calendar'!$AO$1775=SPECIAL_LBL)*10000000+(N('Dvd Calendar'!$AO$1769)&gt;0)*(N('Dvd Calendar'!$AO$1769)&lt;=VAL_SERIAL)*1000000+20*1000+37))</f>
        <v/>
      </c>
      <c r="FP179" s="121">
        <f>IF(N('Dvd Calendar'!$AP$1770)=0,"",IF(('Dvd Calendar'!$AP$1770&gt;=GRID_FROM)*('Dvd Calendar'!$AP$1770&lt;=GRID_TO)*((('Dvd Calendar'!$AP$1770&lt;=VAL_DATE)+(COUNTIF('Dvd Calendar'!$E$1777:$AR$1777,'Dvd Calendar'!$AP$1770)=0))&gt;0)=0,"",'Dvd Calendar'!$AP$1770*1000000000+ISNUMBER('Dvd Calendar'!$AP$1773)*100000000+('Dvd Calendar'!$AP$1775=SPECIAL_LBL)*10000000+(N('Dvd Calendar'!$AP$1769)&gt;0)*(N('Dvd Calendar'!$AP$1769)&lt;=VAL_SERIAL)*1000000+20*1000+38))</f>
        <v/>
      </c>
      <c r="FQ179" s="121">
        <f>IF(N('Dvd Calendar'!$AQ$1770)=0,"",IF(('Dvd Calendar'!$AQ$1770&gt;=GRID_FROM)*('Dvd Calendar'!$AQ$1770&lt;=GRID_TO)*((('Dvd Calendar'!$AQ$1770&lt;=VAL_DATE)+(COUNTIF('Dvd Calendar'!$E$1777:$AR$1777,'Dvd Calendar'!$AQ$1770)=0))&gt;0)=0,"",'Dvd Calendar'!$AQ$1770*1000000000+ISNUMBER('Dvd Calendar'!$AQ$1773)*100000000+('Dvd Calendar'!$AQ$1775=SPECIAL_LBL)*10000000+(N('Dvd Calendar'!$AQ$1769)&gt;0)*(N('Dvd Calendar'!$AQ$1769)&lt;=VAL_SERIAL)*1000000+20*1000+39))</f>
        <v/>
      </c>
      <c r="FR179" s="121">
        <f>IF(N('Dvd Calendar'!$AR$1770)=0,"",IF(('Dvd Calendar'!$AR$1770&gt;=GRID_FROM)*('Dvd Calendar'!$AR$1770&lt;=GRID_TO)*((('Dvd Calendar'!$AR$1770&lt;=VAL_DATE)+(COUNTIF('Dvd Calendar'!$E$1777:$AR$1777,'Dvd Calendar'!$AR$1770)=0))&gt;0)=0,"",'Dvd Calendar'!$AR$1770*1000000000+ISNUMBER('Dvd Calendar'!$AR$1773)*100000000+('Dvd Calendar'!$AR$1775=SPECIAL_LBL)*10000000+(N('Dvd Calendar'!$AR$1769)&gt;0)*(N('Dvd Calendar'!$AR$1769)&lt;=VAL_SERIAL)*1000000+20*1000+40))</f>
        <v/>
      </c>
      <c r="FS179" s="121">
        <f>IF(N('Dvd Calendar'!$E$1777)=0,"",IF(('Dvd Calendar'!$E$1777&gt;=GRID_FROM)*('Dvd Calendar'!$E$1777&lt;=GRID_TO)*('Dvd Calendar'!$E$1777&gt;VAL_DATE)=0,"",'Dvd Calendar'!$E$1777*1000000000+ISNUMBER('Dvd Calendar'!$E$1778)*100000000+0*10000000+(N('Dvd Calendar'!$E$1776)&gt;0)*(N('Dvd Calendar'!$E$1776)&lt;=VAL_SERIAL)*1000000+20*1000+41))</f>
        <v/>
      </c>
      <c r="FT179" s="121">
        <f>IF(N('Dvd Calendar'!$F$1777)=0,"",IF(('Dvd Calendar'!$F$1777&gt;=GRID_FROM)*('Dvd Calendar'!$F$1777&lt;=GRID_TO)*('Dvd Calendar'!$F$1777&gt;VAL_DATE)=0,"",'Dvd Calendar'!$F$1777*1000000000+ISNUMBER('Dvd Calendar'!$F$1778)*100000000+0*10000000+(N('Dvd Calendar'!$F$1776)&gt;0)*(N('Dvd Calendar'!$F$1776)&lt;=VAL_SERIAL)*1000000+20*1000+42))</f>
        <v/>
      </c>
      <c r="FU179" s="121">
        <f>IF(N('Dvd Calendar'!$G$1777)=0,"",IF(('Dvd Calendar'!$G$1777&gt;=GRID_FROM)*('Dvd Calendar'!$G$1777&lt;=GRID_TO)*('Dvd Calendar'!$G$1777&gt;VAL_DATE)=0,"",'Dvd Calendar'!$G$1777*1000000000+ISNUMBER('Dvd Calendar'!$G$1778)*100000000+0*10000000+(N('Dvd Calendar'!$G$1776)&gt;0)*(N('Dvd Calendar'!$G$1776)&lt;=VAL_SERIAL)*1000000+20*1000+43))</f>
        <v/>
      </c>
      <c r="FV179" s="121">
        <f>IF(N('Dvd Calendar'!$H$1777)=0,"",IF(('Dvd Calendar'!$H$1777&gt;=GRID_FROM)*('Dvd Calendar'!$H$1777&lt;=GRID_TO)*('Dvd Calendar'!$H$1777&gt;VAL_DATE)=0,"",'Dvd Calendar'!$H$1777*1000000000+ISNUMBER('Dvd Calendar'!$H$1778)*100000000+0*10000000+(N('Dvd Calendar'!$H$1776)&gt;0)*(N('Dvd Calendar'!$H$1776)&lt;=VAL_SERIAL)*1000000+20*1000+44))</f>
        <v/>
      </c>
      <c r="FW179" s="121">
        <f>IF(N('Dvd Calendar'!$I$1777)=0,"",IF(('Dvd Calendar'!$I$1777&gt;=GRID_FROM)*('Dvd Calendar'!$I$1777&lt;=GRID_TO)*('Dvd Calendar'!$I$1777&gt;VAL_DATE)=0,"",'Dvd Calendar'!$I$1777*1000000000+ISNUMBER('Dvd Calendar'!$I$1778)*100000000+0*10000000+(N('Dvd Calendar'!$I$1776)&gt;0)*(N('Dvd Calendar'!$I$1776)&lt;=VAL_SERIAL)*1000000+20*1000+45))</f>
        <v/>
      </c>
      <c r="FX179" s="121">
        <f>IF(N('Dvd Calendar'!$J$1777)=0,"",IF(('Dvd Calendar'!$J$1777&gt;=GRID_FROM)*('Dvd Calendar'!$J$1777&lt;=GRID_TO)*('Dvd Calendar'!$J$1777&gt;VAL_DATE)=0,"",'Dvd Calendar'!$J$1777*1000000000+ISNUMBER('Dvd Calendar'!$J$1778)*100000000+0*10000000+(N('Dvd Calendar'!$J$1776)&gt;0)*(N('Dvd Calendar'!$J$1776)&lt;=VAL_SERIAL)*1000000+20*1000+46))</f>
        <v/>
      </c>
      <c r="FY179" s="121">
        <f>IF(N('Dvd Calendar'!$K$1777)=0,"",IF(('Dvd Calendar'!$K$1777&gt;=GRID_FROM)*('Dvd Calendar'!$K$1777&lt;=GRID_TO)*('Dvd Calendar'!$K$1777&gt;VAL_DATE)=0,"",'Dvd Calendar'!$K$1777*1000000000+ISNUMBER('Dvd Calendar'!$K$1778)*100000000+0*10000000+(N('Dvd Calendar'!$K$1776)&gt;0)*(N('Dvd Calendar'!$K$1776)&lt;=VAL_SERIAL)*1000000+20*1000+47))</f>
        <v/>
      </c>
      <c r="FZ179" s="121">
        <f>IF(N('Dvd Calendar'!$L$1777)=0,"",IF(('Dvd Calendar'!$L$1777&gt;=GRID_FROM)*('Dvd Calendar'!$L$1777&lt;=GRID_TO)*('Dvd Calendar'!$L$1777&gt;VAL_DATE)=0,"",'Dvd Calendar'!$L$1777*1000000000+ISNUMBER('Dvd Calendar'!$L$1778)*100000000+0*10000000+(N('Dvd Calendar'!$L$1776)&gt;0)*(N('Dvd Calendar'!$L$1776)&lt;=VAL_SERIAL)*1000000+20*1000+48))</f>
        <v/>
      </c>
      <c r="GA179" s="121">
        <f>IF(N('Dvd Calendar'!$M$1777)=0,"",IF(('Dvd Calendar'!$M$1777&gt;=GRID_FROM)*('Dvd Calendar'!$M$1777&lt;=GRID_TO)*('Dvd Calendar'!$M$1777&gt;VAL_DATE)=0,"",'Dvd Calendar'!$M$1777*1000000000+ISNUMBER('Dvd Calendar'!$M$1778)*100000000+0*10000000+(N('Dvd Calendar'!$M$1776)&gt;0)*(N('Dvd Calendar'!$M$1776)&lt;=VAL_SERIAL)*1000000+20*1000+49))</f>
        <v/>
      </c>
      <c r="GB179" s="121">
        <f>IF(N('Dvd Calendar'!$N$1777)=0,"",IF(('Dvd Calendar'!$N$1777&gt;=GRID_FROM)*('Dvd Calendar'!$N$1777&lt;=GRID_TO)*('Dvd Calendar'!$N$1777&gt;VAL_DATE)=0,"",'Dvd Calendar'!$N$1777*1000000000+ISNUMBER('Dvd Calendar'!$N$1778)*100000000+0*10000000+(N('Dvd Calendar'!$N$1776)&gt;0)*(N('Dvd Calendar'!$N$1776)&lt;=VAL_SERIAL)*1000000+20*1000+50))</f>
        <v/>
      </c>
      <c r="GC179" s="121">
        <f>IF(N('Dvd Calendar'!$O$1777)=0,"",IF(('Dvd Calendar'!$O$1777&gt;=GRID_FROM)*('Dvd Calendar'!$O$1777&lt;=GRID_TO)*('Dvd Calendar'!$O$1777&gt;VAL_DATE)=0,"",'Dvd Calendar'!$O$1777*1000000000+ISNUMBER('Dvd Calendar'!$O$1778)*100000000+0*10000000+(N('Dvd Calendar'!$O$1776)&gt;0)*(N('Dvd Calendar'!$O$1776)&lt;=VAL_SERIAL)*1000000+20*1000+51))</f>
        <v/>
      </c>
      <c r="GD179" s="121">
        <f>IF(N('Dvd Calendar'!$P$1777)=0,"",IF(('Dvd Calendar'!$P$1777&gt;=GRID_FROM)*('Dvd Calendar'!$P$1777&lt;=GRID_TO)*('Dvd Calendar'!$P$1777&gt;VAL_DATE)=0,"",'Dvd Calendar'!$P$1777*1000000000+ISNUMBER('Dvd Calendar'!$P$1778)*100000000+0*10000000+(N('Dvd Calendar'!$P$1776)&gt;0)*(N('Dvd Calendar'!$P$1776)&lt;=VAL_SERIAL)*1000000+20*1000+52))</f>
        <v/>
      </c>
      <c r="GE179" s="121">
        <f>IF(N('Dvd Calendar'!$Q$1777)=0,"",IF(('Dvd Calendar'!$Q$1777&gt;=GRID_FROM)*('Dvd Calendar'!$Q$1777&lt;=GRID_TO)*('Dvd Calendar'!$Q$1777&gt;VAL_DATE)=0,"",'Dvd Calendar'!$Q$1777*1000000000+ISNUMBER('Dvd Calendar'!$Q$1778)*100000000+0*10000000+(N('Dvd Calendar'!$Q$1776)&gt;0)*(N('Dvd Calendar'!$Q$1776)&lt;=VAL_SERIAL)*1000000+20*1000+53))</f>
        <v/>
      </c>
      <c r="GF179" s="121">
        <f>IF(N('Dvd Calendar'!$R$1777)=0,"",IF(('Dvd Calendar'!$R$1777&gt;=GRID_FROM)*('Dvd Calendar'!$R$1777&lt;=GRID_TO)*('Dvd Calendar'!$R$1777&gt;VAL_DATE)=0,"",'Dvd Calendar'!$R$1777*1000000000+ISNUMBER('Dvd Calendar'!$R$1778)*100000000+0*10000000+(N('Dvd Calendar'!$R$1776)&gt;0)*(N('Dvd Calendar'!$R$1776)&lt;=VAL_SERIAL)*1000000+20*1000+54))</f>
        <v/>
      </c>
      <c r="GG179" s="121">
        <f>IF(N('Dvd Calendar'!$S$1777)=0,"",IF(('Dvd Calendar'!$S$1777&gt;=GRID_FROM)*('Dvd Calendar'!$S$1777&lt;=GRID_TO)*('Dvd Calendar'!$S$1777&gt;VAL_DATE)=0,"",'Dvd Calendar'!$S$1777*1000000000+ISNUMBER('Dvd Calendar'!$S$1778)*100000000+0*10000000+(N('Dvd Calendar'!$S$1776)&gt;0)*(N('Dvd Calendar'!$S$1776)&lt;=VAL_SERIAL)*1000000+20*1000+55))</f>
        <v/>
      </c>
      <c r="GH179" s="121">
        <f>IF(N('Dvd Calendar'!$T$1777)=0,"",IF(('Dvd Calendar'!$T$1777&gt;=GRID_FROM)*('Dvd Calendar'!$T$1777&lt;=GRID_TO)*('Dvd Calendar'!$T$1777&gt;VAL_DATE)=0,"",'Dvd Calendar'!$T$1777*1000000000+ISNUMBER('Dvd Calendar'!$T$1778)*100000000+0*10000000+(N('Dvd Calendar'!$T$1776)&gt;0)*(N('Dvd Calendar'!$T$1776)&lt;=VAL_SERIAL)*1000000+20*1000+56))</f>
        <v/>
      </c>
      <c r="GI179" s="121">
        <f>IF(N('Dvd Calendar'!$U$1777)=0,"",IF(('Dvd Calendar'!$U$1777&gt;=GRID_FROM)*('Dvd Calendar'!$U$1777&lt;=GRID_TO)*('Dvd Calendar'!$U$1777&gt;VAL_DATE)=0,"",'Dvd Calendar'!$U$1777*1000000000+ISNUMBER('Dvd Calendar'!$U$1778)*100000000+0*10000000+(N('Dvd Calendar'!$U$1776)&gt;0)*(N('Dvd Calendar'!$U$1776)&lt;=VAL_SERIAL)*1000000+20*1000+57))</f>
        <v/>
      </c>
      <c r="GJ179" s="121">
        <f>IF(N('Dvd Calendar'!$V$1777)=0,"",IF(('Dvd Calendar'!$V$1777&gt;=GRID_FROM)*('Dvd Calendar'!$V$1777&lt;=GRID_TO)*('Dvd Calendar'!$V$1777&gt;VAL_DATE)=0,"",'Dvd Calendar'!$V$1777*1000000000+ISNUMBER('Dvd Calendar'!$V$1778)*100000000+0*10000000+(N('Dvd Calendar'!$V$1776)&gt;0)*(N('Dvd Calendar'!$V$1776)&lt;=VAL_SERIAL)*1000000+20*1000+58))</f>
        <v/>
      </c>
      <c r="GK179" s="121">
        <f>IF(N('Dvd Calendar'!$W$1777)=0,"",IF(('Dvd Calendar'!$W$1777&gt;=GRID_FROM)*('Dvd Calendar'!$W$1777&lt;=GRID_TO)*('Dvd Calendar'!$W$1777&gt;VAL_DATE)=0,"",'Dvd Calendar'!$W$1777*1000000000+ISNUMBER('Dvd Calendar'!$W$1778)*100000000+0*10000000+(N('Dvd Calendar'!$W$1776)&gt;0)*(N('Dvd Calendar'!$W$1776)&lt;=VAL_SERIAL)*1000000+20*1000+59))</f>
        <v/>
      </c>
      <c r="GL179" s="121">
        <f>IF(N('Dvd Calendar'!$X$1777)=0,"",IF(('Dvd Calendar'!$X$1777&gt;=GRID_FROM)*('Dvd Calendar'!$X$1777&lt;=GRID_TO)*('Dvd Calendar'!$X$1777&gt;VAL_DATE)=0,"",'Dvd Calendar'!$X$1777*1000000000+ISNUMBER('Dvd Calendar'!$X$1778)*100000000+0*10000000+(N('Dvd Calendar'!$X$1776)&gt;0)*(N('Dvd Calendar'!$X$1776)&lt;=VAL_SERIAL)*1000000+20*1000+60))</f>
        <v/>
      </c>
      <c r="GM179" s="121">
        <f>IF(N('Dvd Calendar'!$Y$1777)=0,"",IF(('Dvd Calendar'!$Y$1777&gt;=GRID_FROM)*('Dvd Calendar'!$Y$1777&lt;=GRID_TO)*('Dvd Calendar'!$Y$1777&gt;VAL_DATE)=0,"",'Dvd Calendar'!$Y$1777*1000000000+ISNUMBER('Dvd Calendar'!$Y$1778)*100000000+0*10000000+(N('Dvd Calendar'!$Y$1776)&gt;0)*(N('Dvd Calendar'!$Y$1776)&lt;=VAL_SERIAL)*1000000+20*1000+61))</f>
        <v/>
      </c>
      <c r="GN179" s="121">
        <f>IF(N('Dvd Calendar'!$Z$1777)=0,"",IF(('Dvd Calendar'!$Z$1777&gt;=GRID_FROM)*('Dvd Calendar'!$Z$1777&lt;=GRID_TO)*('Dvd Calendar'!$Z$1777&gt;VAL_DATE)=0,"",'Dvd Calendar'!$Z$1777*1000000000+ISNUMBER('Dvd Calendar'!$Z$1778)*100000000+0*10000000+(N('Dvd Calendar'!$Z$1776)&gt;0)*(N('Dvd Calendar'!$Z$1776)&lt;=VAL_SERIAL)*1000000+20*1000+62))</f>
        <v/>
      </c>
      <c r="GO179" s="121">
        <f>IF(N('Dvd Calendar'!$AA$1777)=0,"",IF(('Dvd Calendar'!$AA$1777&gt;=GRID_FROM)*('Dvd Calendar'!$AA$1777&lt;=GRID_TO)*('Dvd Calendar'!$AA$1777&gt;VAL_DATE)=0,"",'Dvd Calendar'!$AA$1777*1000000000+ISNUMBER('Dvd Calendar'!$AA$1778)*100000000+0*10000000+(N('Dvd Calendar'!$AA$1776)&gt;0)*(N('Dvd Calendar'!$AA$1776)&lt;=VAL_SERIAL)*1000000+20*1000+63))</f>
        <v/>
      </c>
      <c r="GP179" s="121">
        <f>IF(N('Dvd Calendar'!$AB$1777)=0,"",IF(('Dvd Calendar'!$AB$1777&gt;=GRID_FROM)*('Dvd Calendar'!$AB$1777&lt;=GRID_TO)*('Dvd Calendar'!$AB$1777&gt;VAL_DATE)=0,"",'Dvd Calendar'!$AB$1777*1000000000+ISNUMBER('Dvd Calendar'!$AB$1778)*100000000+0*10000000+(N('Dvd Calendar'!$AB$1776)&gt;0)*(N('Dvd Calendar'!$AB$1776)&lt;=VAL_SERIAL)*1000000+20*1000+64))</f>
        <v/>
      </c>
      <c r="GQ179" s="121">
        <f>IF(N('Dvd Calendar'!$AC$1777)=0,"",IF(('Dvd Calendar'!$AC$1777&gt;=GRID_FROM)*('Dvd Calendar'!$AC$1777&lt;=GRID_TO)*('Dvd Calendar'!$AC$1777&gt;VAL_DATE)=0,"",'Dvd Calendar'!$AC$1777*1000000000+ISNUMBER('Dvd Calendar'!$AC$1778)*100000000+0*10000000+(N('Dvd Calendar'!$AC$1776)&gt;0)*(N('Dvd Calendar'!$AC$1776)&lt;=VAL_SERIAL)*1000000+20*1000+65))</f>
        <v/>
      </c>
    </row>
    <row r="180">
      <c r="B180" s="2">
        <f>IF(HSCEI!$C$27="","",HSCEI!$C$27)</f>
        <v/>
      </c>
      <c r="C180" s="161">
        <f>IF(EE180="","",IF(ISNUMBER('Dvd Calendar'!$E$1784)=FALSE,"",IF((('Dvd Calendar'!$E$1786=TYPE1)*(TYPE1&lt;&gt;"")+('Dvd Calendar'!$E$1786=TYPE2)*(TYPE2&lt;&gt;"")+('Dvd Calendar'!$E$1786=TYPE3)*(TYPE3&lt;&gt;"")+('Dvd Calendar'!$E$1786=TYPE4)*(TYPE4&lt;&gt;"")+('Dvd Calendar'!$E$1786=SPECIAL_LBL)*(INC_SPECIALS="Y"))=0,"",'Dvd Calendar'!$E$1784)))</f>
        <v/>
      </c>
      <c r="D180" s="161">
        <f>IF(EF180="","",IF(ISNUMBER('Dvd Calendar'!$F$1784)=FALSE,"",IF((('Dvd Calendar'!$F$1786=TYPE1)*(TYPE1&lt;&gt;"")+('Dvd Calendar'!$F$1786=TYPE2)*(TYPE2&lt;&gt;"")+('Dvd Calendar'!$F$1786=TYPE3)*(TYPE3&lt;&gt;"")+('Dvd Calendar'!$F$1786=TYPE4)*(TYPE4&lt;&gt;"")+('Dvd Calendar'!$F$1786=SPECIAL_LBL)*(INC_SPECIALS="Y"))=0,"",'Dvd Calendar'!$F$1784)))</f>
        <v/>
      </c>
      <c r="E180" s="161">
        <f>IF(EG180="","",IF(ISNUMBER('Dvd Calendar'!$G$1784)=FALSE,"",IF((('Dvd Calendar'!$G$1786=TYPE1)*(TYPE1&lt;&gt;"")+('Dvd Calendar'!$G$1786=TYPE2)*(TYPE2&lt;&gt;"")+('Dvd Calendar'!$G$1786=TYPE3)*(TYPE3&lt;&gt;"")+('Dvd Calendar'!$G$1786=TYPE4)*(TYPE4&lt;&gt;"")+('Dvd Calendar'!$G$1786=SPECIAL_LBL)*(INC_SPECIALS="Y"))=0,"",'Dvd Calendar'!$G$1784)))</f>
        <v/>
      </c>
      <c r="F180" s="161">
        <f>IF(EH180="","",IF(ISNUMBER('Dvd Calendar'!$H$1784)=FALSE,"",IF((('Dvd Calendar'!$H$1786=TYPE1)*(TYPE1&lt;&gt;"")+('Dvd Calendar'!$H$1786=TYPE2)*(TYPE2&lt;&gt;"")+('Dvd Calendar'!$H$1786=TYPE3)*(TYPE3&lt;&gt;"")+('Dvd Calendar'!$H$1786=TYPE4)*(TYPE4&lt;&gt;"")+('Dvd Calendar'!$H$1786=SPECIAL_LBL)*(INC_SPECIALS="Y"))=0,"",'Dvd Calendar'!$H$1784)))</f>
        <v/>
      </c>
      <c r="G180" s="161">
        <f>IF(EI180="","",IF(ISNUMBER('Dvd Calendar'!$I$1784)=FALSE,"",IF((('Dvd Calendar'!$I$1786=TYPE1)*(TYPE1&lt;&gt;"")+('Dvd Calendar'!$I$1786=TYPE2)*(TYPE2&lt;&gt;"")+('Dvd Calendar'!$I$1786=TYPE3)*(TYPE3&lt;&gt;"")+('Dvd Calendar'!$I$1786=TYPE4)*(TYPE4&lt;&gt;"")+('Dvd Calendar'!$I$1786=SPECIAL_LBL)*(INC_SPECIALS="Y"))=0,"",'Dvd Calendar'!$I$1784)))</f>
        <v/>
      </c>
      <c r="H180" s="161">
        <f>IF(EJ180="","",IF(ISNUMBER('Dvd Calendar'!$J$1784)=FALSE,"",IF((('Dvd Calendar'!$J$1786=TYPE1)*(TYPE1&lt;&gt;"")+('Dvd Calendar'!$J$1786=TYPE2)*(TYPE2&lt;&gt;"")+('Dvd Calendar'!$J$1786=TYPE3)*(TYPE3&lt;&gt;"")+('Dvd Calendar'!$J$1786=TYPE4)*(TYPE4&lt;&gt;"")+('Dvd Calendar'!$J$1786=SPECIAL_LBL)*(INC_SPECIALS="Y"))=0,"",'Dvd Calendar'!$J$1784)))</f>
        <v/>
      </c>
      <c r="I180" s="161">
        <f>IF(EK180="","",IF(ISNUMBER('Dvd Calendar'!$K$1784)=FALSE,"",IF((('Dvd Calendar'!$K$1786=TYPE1)*(TYPE1&lt;&gt;"")+('Dvd Calendar'!$K$1786=TYPE2)*(TYPE2&lt;&gt;"")+('Dvd Calendar'!$K$1786=TYPE3)*(TYPE3&lt;&gt;"")+('Dvd Calendar'!$K$1786=TYPE4)*(TYPE4&lt;&gt;"")+('Dvd Calendar'!$K$1786=SPECIAL_LBL)*(INC_SPECIALS="Y"))=0,"",'Dvd Calendar'!$K$1784)))</f>
        <v/>
      </c>
      <c r="J180" s="161">
        <f>IF(EL180="","",IF(ISNUMBER('Dvd Calendar'!$L$1784)=FALSE,"",IF((('Dvd Calendar'!$L$1786=TYPE1)*(TYPE1&lt;&gt;"")+('Dvd Calendar'!$L$1786=TYPE2)*(TYPE2&lt;&gt;"")+('Dvd Calendar'!$L$1786=TYPE3)*(TYPE3&lt;&gt;"")+('Dvd Calendar'!$L$1786=TYPE4)*(TYPE4&lt;&gt;"")+('Dvd Calendar'!$L$1786=SPECIAL_LBL)*(INC_SPECIALS="Y"))=0,"",'Dvd Calendar'!$L$1784)))</f>
        <v/>
      </c>
      <c r="K180" s="161">
        <f>IF(EM180="","",IF(ISNUMBER('Dvd Calendar'!$M$1784)=FALSE,"",IF((('Dvd Calendar'!$M$1786=TYPE1)*(TYPE1&lt;&gt;"")+('Dvd Calendar'!$M$1786=TYPE2)*(TYPE2&lt;&gt;"")+('Dvd Calendar'!$M$1786=TYPE3)*(TYPE3&lt;&gt;"")+('Dvd Calendar'!$M$1786=TYPE4)*(TYPE4&lt;&gt;"")+('Dvd Calendar'!$M$1786=SPECIAL_LBL)*(INC_SPECIALS="Y"))=0,"",'Dvd Calendar'!$M$1784)))</f>
        <v/>
      </c>
      <c r="L180" s="161">
        <f>IF(EN180="","",IF(ISNUMBER('Dvd Calendar'!$N$1784)=FALSE,"",IF((('Dvd Calendar'!$N$1786=TYPE1)*(TYPE1&lt;&gt;"")+('Dvd Calendar'!$N$1786=TYPE2)*(TYPE2&lt;&gt;"")+('Dvd Calendar'!$N$1786=TYPE3)*(TYPE3&lt;&gt;"")+('Dvd Calendar'!$N$1786=TYPE4)*(TYPE4&lt;&gt;"")+('Dvd Calendar'!$N$1786=SPECIAL_LBL)*(INC_SPECIALS="Y"))=0,"",'Dvd Calendar'!$N$1784)))</f>
        <v/>
      </c>
      <c r="M180" s="161">
        <f>IF(EO180="","",IF(ISNUMBER('Dvd Calendar'!$O$1784)=FALSE,"",IF((('Dvd Calendar'!$O$1786=TYPE1)*(TYPE1&lt;&gt;"")+('Dvd Calendar'!$O$1786=TYPE2)*(TYPE2&lt;&gt;"")+('Dvd Calendar'!$O$1786=TYPE3)*(TYPE3&lt;&gt;"")+('Dvd Calendar'!$O$1786=TYPE4)*(TYPE4&lt;&gt;"")+('Dvd Calendar'!$O$1786=SPECIAL_LBL)*(INC_SPECIALS="Y"))=0,"",'Dvd Calendar'!$O$1784)))</f>
        <v/>
      </c>
      <c r="N180" s="161">
        <f>IF(EP180="","",IF(ISNUMBER('Dvd Calendar'!$P$1784)=FALSE,"",IF((('Dvd Calendar'!$P$1786=TYPE1)*(TYPE1&lt;&gt;"")+('Dvd Calendar'!$P$1786=TYPE2)*(TYPE2&lt;&gt;"")+('Dvd Calendar'!$P$1786=TYPE3)*(TYPE3&lt;&gt;"")+('Dvd Calendar'!$P$1786=TYPE4)*(TYPE4&lt;&gt;"")+('Dvd Calendar'!$P$1786=SPECIAL_LBL)*(INC_SPECIALS="Y"))=0,"",'Dvd Calendar'!$P$1784)))</f>
        <v/>
      </c>
      <c r="O180" s="161">
        <f>IF(EQ180="","",IF(ISNUMBER('Dvd Calendar'!$Q$1784)=FALSE,"",IF((('Dvd Calendar'!$Q$1786=TYPE1)*(TYPE1&lt;&gt;"")+('Dvd Calendar'!$Q$1786=TYPE2)*(TYPE2&lt;&gt;"")+('Dvd Calendar'!$Q$1786=TYPE3)*(TYPE3&lt;&gt;"")+('Dvd Calendar'!$Q$1786=TYPE4)*(TYPE4&lt;&gt;"")+('Dvd Calendar'!$Q$1786=SPECIAL_LBL)*(INC_SPECIALS="Y"))=0,"",'Dvd Calendar'!$Q$1784)))</f>
        <v/>
      </c>
      <c r="P180" s="161">
        <f>IF(ER180="","",IF(ISNUMBER('Dvd Calendar'!$R$1784)=FALSE,"",IF((('Dvd Calendar'!$R$1786=TYPE1)*(TYPE1&lt;&gt;"")+('Dvd Calendar'!$R$1786=TYPE2)*(TYPE2&lt;&gt;"")+('Dvd Calendar'!$R$1786=TYPE3)*(TYPE3&lt;&gt;"")+('Dvd Calendar'!$R$1786=TYPE4)*(TYPE4&lt;&gt;"")+('Dvd Calendar'!$R$1786=SPECIAL_LBL)*(INC_SPECIALS="Y"))=0,"",'Dvd Calendar'!$R$1784)))</f>
        <v/>
      </c>
      <c r="Q180" s="161">
        <f>IF(ES180="","",IF(ISNUMBER('Dvd Calendar'!$S$1784)=FALSE,"",IF((('Dvd Calendar'!$S$1786=TYPE1)*(TYPE1&lt;&gt;"")+('Dvd Calendar'!$S$1786=TYPE2)*(TYPE2&lt;&gt;"")+('Dvd Calendar'!$S$1786=TYPE3)*(TYPE3&lt;&gt;"")+('Dvd Calendar'!$S$1786=TYPE4)*(TYPE4&lt;&gt;"")+('Dvd Calendar'!$S$1786=SPECIAL_LBL)*(INC_SPECIALS="Y"))=0,"",'Dvd Calendar'!$S$1784)))</f>
        <v/>
      </c>
      <c r="R180" s="161">
        <f>IF(ET180="","",IF(ISNUMBER('Dvd Calendar'!$T$1784)=FALSE,"",IF((('Dvd Calendar'!$T$1786=TYPE1)*(TYPE1&lt;&gt;"")+('Dvd Calendar'!$T$1786=TYPE2)*(TYPE2&lt;&gt;"")+('Dvd Calendar'!$T$1786=TYPE3)*(TYPE3&lt;&gt;"")+('Dvd Calendar'!$T$1786=TYPE4)*(TYPE4&lt;&gt;"")+('Dvd Calendar'!$T$1786=SPECIAL_LBL)*(INC_SPECIALS="Y"))=0,"",'Dvd Calendar'!$T$1784)))</f>
        <v/>
      </c>
      <c r="S180" s="161">
        <f>IF(EU180="","",IF(ISNUMBER('Dvd Calendar'!$U$1784)=FALSE,"",IF((('Dvd Calendar'!$U$1786=TYPE1)*(TYPE1&lt;&gt;"")+('Dvd Calendar'!$U$1786=TYPE2)*(TYPE2&lt;&gt;"")+('Dvd Calendar'!$U$1786=TYPE3)*(TYPE3&lt;&gt;"")+('Dvd Calendar'!$U$1786=TYPE4)*(TYPE4&lt;&gt;"")+('Dvd Calendar'!$U$1786=SPECIAL_LBL)*(INC_SPECIALS="Y"))=0,"",'Dvd Calendar'!$U$1784)))</f>
        <v/>
      </c>
      <c r="T180" s="161">
        <f>IF(EV180="","",IF(ISNUMBER('Dvd Calendar'!$V$1784)=FALSE,"",IF((('Dvd Calendar'!$V$1786=TYPE1)*(TYPE1&lt;&gt;"")+('Dvd Calendar'!$V$1786=TYPE2)*(TYPE2&lt;&gt;"")+('Dvd Calendar'!$V$1786=TYPE3)*(TYPE3&lt;&gt;"")+('Dvd Calendar'!$V$1786=TYPE4)*(TYPE4&lt;&gt;"")+('Dvd Calendar'!$V$1786=SPECIAL_LBL)*(INC_SPECIALS="Y"))=0,"",'Dvd Calendar'!$V$1784)))</f>
        <v/>
      </c>
      <c r="U180" s="161">
        <f>IF(EW180="","",IF(ISNUMBER('Dvd Calendar'!$W$1784)=FALSE,"",IF((('Dvd Calendar'!$W$1786=TYPE1)*(TYPE1&lt;&gt;"")+('Dvd Calendar'!$W$1786=TYPE2)*(TYPE2&lt;&gt;"")+('Dvd Calendar'!$W$1786=TYPE3)*(TYPE3&lt;&gt;"")+('Dvd Calendar'!$W$1786=TYPE4)*(TYPE4&lt;&gt;"")+('Dvd Calendar'!$W$1786=SPECIAL_LBL)*(INC_SPECIALS="Y"))=0,"",'Dvd Calendar'!$W$1784)))</f>
        <v/>
      </c>
      <c r="V180" s="161">
        <f>IF(EX180="","",IF(ISNUMBER('Dvd Calendar'!$X$1784)=FALSE,"",IF((('Dvd Calendar'!$X$1786=TYPE1)*(TYPE1&lt;&gt;"")+('Dvd Calendar'!$X$1786=TYPE2)*(TYPE2&lt;&gt;"")+('Dvd Calendar'!$X$1786=TYPE3)*(TYPE3&lt;&gt;"")+('Dvd Calendar'!$X$1786=TYPE4)*(TYPE4&lt;&gt;"")+('Dvd Calendar'!$X$1786=SPECIAL_LBL)*(INC_SPECIALS="Y"))=0,"",'Dvd Calendar'!$X$1784)))</f>
        <v/>
      </c>
      <c r="W180" s="161">
        <f>IF(EY180="","",IF(ISNUMBER('Dvd Calendar'!$Y$1784)=FALSE,"",IF((('Dvd Calendar'!$Y$1786=TYPE1)*(TYPE1&lt;&gt;"")+('Dvd Calendar'!$Y$1786=TYPE2)*(TYPE2&lt;&gt;"")+('Dvd Calendar'!$Y$1786=TYPE3)*(TYPE3&lt;&gt;"")+('Dvd Calendar'!$Y$1786=TYPE4)*(TYPE4&lt;&gt;"")+('Dvd Calendar'!$Y$1786=SPECIAL_LBL)*(INC_SPECIALS="Y"))=0,"",'Dvd Calendar'!$Y$1784)))</f>
        <v/>
      </c>
      <c r="X180" s="161">
        <f>IF(EZ180="","",IF(ISNUMBER('Dvd Calendar'!$Z$1784)=FALSE,"",IF((('Dvd Calendar'!$Z$1786=TYPE1)*(TYPE1&lt;&gt;"")+('Dvd Calendar'!$Z$1786=TYPE2)*(TYPE2&lt;&gt;"")+('Dvd Calendar'!$Z$1786=TYPE3)*(TYPE3&lt;&gt;"")+('Dvd Calendar'!$Z$1786=TYPE4)*(TYPE4&lt;&gt;"")+('Dvd Calendar'!$Z$1786=SPECIAL_LBL)*(INC_SPECIALS="Y"))=0,"",'Dvd Calendar'!$Z$1784)))</f>
        <v/>
      </c>
      <c r="Y180" s="161">
        <f>IF(FA180="","",IF(ISNUMBER('Dvd Calendar'!$AA$1784)=FALSE,"",IF((('Dvd Calendar'!$AA$1786=TYPE1)*(TYPE1&lt;&gt;"")+('Dvd Calendar'!$AA$1786=TYPE2)*(TYPE2&lt;&gt;"")+('Dvd Calendar'!$AA$1786=TYPE3)*(TYPE3&lt;&gt;"")+('Dvd Calendar'!$AA$1786=TYPE4)*(TYPE4&lt;&gt;"")+('Dvd Calendar'!$AA$1786=SPECIAL_LBL)*(INC_SPECIALS="Y"))=0,"",'Dvd Calendar'!$AA$1784)))</f>
        <v/>
      </c>
      <c r="Z180" s="161">
        <f>IF(FB180="","",IF(ISNUMBER('Dvd Calendar'!$AB$1784)=FALSE,"",IF((('Dvd Calendar'!$AB$1786=TYPE1)*(TYPE1&lt;&gt;"")+('Dvd Calendar'!$AB$1786=TYPE2)*(TYPE2&lt;&gt;"")+('Dvd Calendar'!$AB$1786=TYPE3)*(TYPE3&lt;&gt;"")+('Dvd Calendar'!$AB$1786=TYPE4)*(TYPE4&lt;&gt;"")+('Dvd Calendar'!$AB$1786=SPECIAL_LBL)*(INC_SPECIALS="Y"))=0,"",'Dvd Calendar'!$AB$1784)))</f>
        <v/>
      </c>
      <c r="AA180" s="161">
        <f>IF(FC180="","",IF(ISNUMBER('Dvd Calendar'!$AC$1784)=FALSE,"",IF((('Dvd Calendar'!$AC$1786=TYPE1)*(TYPE1&lt;&gt;"")+('Dvd Calendar'!$AC$1786=TYPE2)*(TYPE2&lt;&gt;"")+('Dvd Calendar'!$AC$1786=TYPE3)*(TYPE3&lt;&gt;"")+('Dvd Calendar'!$AC$1786=TYPE4)*(TYPE4&lt;&gt;"")+('Dvd Calendar'!$AC$1786=SPECIAL_LBL)*(INC_SPECIALS="Y"))=0,"",'Dvd Calendar'!$AC$1784)))</f>
        <v/>
      </c>
      <c r="AB180" s="161">
        <f>IF(FD180="","",IF(ISNUMBER('Dvd Calendar'!$AD$1784)=FALSE,"",IF((('Dvd Calendar'!$AD$1786=TYPE1)*(TYPE1&lt;&gt;"")+('Dvd Calendar'!$AD$1786=TYPE2)*(TYPE2&lt;&gt;"")+('Dvd Calendar'!$AD$1786=TYPE3)*(TYPE3&lt;&gt;"")+('Dvd Calendar'!$AD$1786=TYPE4)*(TYPE4&lt;&gt;"")+('Dvd Calendar'!$AD$1786=SPECIAL_LBL)*(INC_SPECIALS="Y"))=0,"",'Dvd Calendar'!$AD$1784)))</f>
        <v/>
      </c>
      <c r="AC180" s="161">
        <f>IF(FE180="","",IF(ISNUMBER('Dvd Calendar'!$AE$1784)=FALSE,"",IF((('Dvd Calendar'!$AE$1786=TYPE1)*(TYPE1&lt;&gt;"")+('Dvd Calendar'!$AE$1786=TYPE2)*(TYPE2&lt;&gt;"")+('Dvd Calendar'!$AE$1786=TYPE3)*(TYPE3&lt;&gt;"")+('Dvd Calendar'!$AE$1786=TYPE4)*(TYPE4&lt;&gt;"")+('Dvd Calendar'!$AE$1786=SPECIAL_LBL)*(INC_SPECIALS="Y"))=0,"",'Dvd Calendar'!$AE$1784)))</f>
        <v/>
      </c>
      <c r="AD180" s="161">
        <f>IF(FF180="","",IF(ISNUMBER('Dvd Calendar'!$AF$1784)=FALSE,"",IF((('Dvd Calendar'!$AF$1786=TYPE1)*(TYPE1&lt;&gt;"")+('Dvd Calendar'!$AF$1786=TYPE2)*(TYPE2&lt;&gt;"")+('Dvd Calendar'!$AF$1786=TYPE3)*(TYPE3&lt;&gt;"")+('Dvd Calendar'!$AF$1786=TYPE4)*(TYPE4&lt;&gt;"")+('Dvd Calendar'!$AF$1786=SPECIAL_LBL)*(INC_SPECIALS="Y"))=0,"",'Dvd Calendar'!$AF$1784)))</f>
        <v/>
      </c>
      <c r="AE180" s="161">
        <f>IF(FG180="","",IF(ISNUMBER('Dvd Calendar'!$AG$1784)=FALSE,"",IF((('Dvd Calendar'!$AG$1786=TYPE1)*(TYPE1&lt;&gt;"")+('Dvd Calendar'!$AG$1786=TYPE2)*(TYPE2&lt;&gt;"")+('Dvd Calendar'!$AG$1786=TYPE3)*(TYPE3&lt;&gt;"")+('Dvd Calendar'!$AG$1786=TYPE4)*(TYPE4&lt;&gt;"")+('Dvd Calendar'!$AG$1786=SPECIAL_LBL)*(INC_SPECIALS="Y"))=0,"",'Dvd Calendar'!$AG$1784)))</f>
        <v/>
      </c>
      <c r="AF180" s="161">
        <f>IF(FH180="","",IF(ISNUMBER('Dvd Calendar'!$AH$1784)=FALSE,"",IF((('Dvd Calendar'!$AH$1786=TYPE1)*(TYPE1&lt;&gt;"")+('Dvd Calendar'!$AH$1786=TYPE2)*(TYPE2&lt;&gt;"")+('Dvd Calendar'!$AH$1786=TYPE3)*(TYPE3&lt;&gt;"")+('Dvd Calendar'!$AH$1786=TYPE4)*(TYPE4&lt;&gt;"")+('Dvd Calendar'!$AH$1786=SPECIAL_LBL)*(INC_SPECIALS="Y"))=0,"",'Dvd Calendar'!$AH$1784)))</f>
        <v/>
      </c>
      <c r="AG180" s="161">
        <f>IF(FI180="","",IF(ISNUMBER('Dvd Calendar'!$AI$1784)=FALSE,"",IF((('Dvd Calendar'!$AI$1786=TYPE1)*(TYPE1&lt;&gt;"")+('Dvd Calendar'!$AI$1786=TYPE2)*(TYPE2&lt;&gt;"")+('Dvd Calendar'!$AI$1786=TYPE3)*(TYPE3&lt;&gt;"")+('Dvd Calendar'!$AI$1786=TYPE4)*(TYPE4&lt;&gt;"")+('Dvd Calendar'!$AI$1786=SPECIAL_LBL)*(INC_SPECIALS="Y"))=0,"",'Dvd Calendar'!$AI$1784)))</f>
        <v/>
      </c>
      <c r="AH180" s="161">
        <f>IF(FJ180="","",IF(ISNUMBER('Dvd Calendar'!$AJ$1784)=FALSE,"",IF((('Dvd Calendar'!$AJ$1786=TYPE1)*(TYPE1&lt;&gt;"")+('Dvd Calendar'!$AJ$1786=TYPE2)*(TYPE2&lt;&gt;"")+('Dvd Calendar'!$AJ$1786=TYPE3)*(TYPE3&lt;&gt;"")+('Dvd Calendar'!$AJ$1786=TYPE4)*(TYPE4&lt;&gt;"")+('Dvd Calendar'!$AJ$1786=SPECIAL_LBL)*(INC_SPECIALS="Y"))=0,"",'Dvd Calendar'!$AJ$1784)))</f>
        <v/>
      </c>
      <c r="AI180" s="161">
        <f>IF(FK180="","",IF(ISNUMBER('Dvd Calendar'!$AK$1784)=FALSE,"",IF((('Dvd Calendar'!$AK$1786=TYPE1)*(TYPE1&lt;&gt;"")+('Dvd Calendar'!$AK$1786=TYPE2)*(TYPE2&lt;&gt;"")+('Dvd Calendar'!$AK$1786=TYPE3)*(TYPE3&lt;&gt;"")+('Dvd Calendar'!$AK$1786=TYPE4)*(TYPE4&lt;&gt;"")+('Dvd Calendar'!$AK$1786=SPECIAL_LBL)*(INC_SPECIALS="Y"))=0,"",'Dvd Calendar'!$AK$1784)))</f>
        <v/>
      </c>
      <c r="AJ180" s="161">
        <f>IF(FL180="","",IF(ISNUMBER('Dvd Calendar'!$AL$1784)=FALSE,"",IF((('Dvd Calendar'!$AL$1786=TYPE1)*(TYPE1&lt;&gt;"")+('Dvd Calendar'!$AL$1786=TYPE2)*(TYPE2&lt;&gt;"")+('Dvd Calendar'!$AL$1786=TYPE3)*(TYPE3&lt;&gt;"")+('Dvd Calendar'!$AL$1786=TYPE4)*(TYPE4&lt;&gt;"")+('Dvd Calendar'!$AL$1786=SPECIAL_LBL)*(INC_SPECIALS="Y"))=0,"",'Dvd Calendar'!$AL$1784)))</f>
        <v/>
      </c>
      <c r="AK180" s="161">
        <f>IF(FM180="","",IF(ISNUMBER('Dvd Calendar'!$AM$1784)=FALSE,"",IF((('Dvd Calendar'!$AM$1786=TYPE1)*(TYPE1&lt;&gt;"")+('Dvd Calendar'!$AM$1786=TYPE2)*(TYPE2&lt;&gt;"")+('Dvd Calendar'!$AM$1786=TYPE3)*(TYPE3&lt;&gt;"")+('Dvd Calendar'!$AM$1786=TYPE4)*(TYPE4&lt;&gt;"")+('Dvd Calendar'!$AM$1786=SPECIAL_LBL)*(INC_SPECIALS="Y"))=0,"",'Dvd Calendar'!$AM$1784)))</f>
        <v/>
      </c>
      <c r="AL180" s="161">
        <f>IF(FN180="","",IF(ISNUMBER('Dvd Calendar'!$AN$1784)=FALSE,"",IF((('Dvd Calendar'!$AN$1786=TYPE1)*(TYPE1&lt;&gt;"")+('Dvd Calendar'!$AN$1786=TYPE2)*(TYPE2&lt;&gt;"")+('Dvd Calendar'!$AN$1786=TYPE3)*(TYPE3&lt;&gt;"")+('Dvd Calendar'!$AN$1786=TYPE4)*(TYPE4&lt;&gt;"")+('Dvd Calendar'!$AN$1786=SPECIAL_LBL)*(INC_SPECIALS="Y"))=0,"",'Dvd Calendar'!$AN$1784)))</f>
        <v/>
      </c>
      <c r="AM180" s="161">
        <f>IF(FO180="","",IF(ISNUMBER('Dvd Calendar'!$AO$1784)=FALSE,"",IF((('Dvd Calendar'!$AO$1786=TYPE1)*(TYPE1&lt;&gt;"")+('Dvd Calendar'!$AO$1786=TYPE2)*(TYPE2&lt;&gt;"")+('Dvd Calendar'!$AO$1786=TYPE3)*(TYPE3&lt;&gt;"")+('Dvd Calendar'!$AO$1786=TYPE4)*(TYPE4&lt;&gt;"")+('Dvd Calendar'!$AO$1786=SPECIAL_LBL)*(INC_SPECIALS="Y"))=0,"",'Dvd Calendar'!$AO$1784)))</f>
        <v/>
      </c>
      <c r="AN180" s="161">
        <f>IF(FP180="","",IF(ISNUMBER('Dvd Calendar'!$AP$1784)=FALSE,"",IF((('Dvd Calendar'!$AP$1786=TYPE1)*(TYPE1&lt;&gt;"")+('Dvd Calendar'!$AP$1786=TYPE2)*(TYPE2&lt;&gt;"")+('Dvd Calendar'!$AP$1786=TYPE3)*(TYPE3&lt;&gt;"")+('Dvd Calendar'!$AP$1786=TYPE4)*(TYPE4&lt;&gt;"")+('Dvd Calendar'!$AP$1786=SPECIAL_LBL)*(INC_SPECIALS="Y"))=0,"",'Dvd Calendar'!$AP$1784)))</f>
        <v/>
      </c>
      <c r="AO180" s="161">
        <f>IF(FQ180="","",IF(ISNUMBER('Dvd Calendar'!$AQ$1784)=FALSE,"",IF((('Dvd Calendar'!$AQ$1786=TYPE1)*(TYPE1&lt;&gt;"")+('Dvd Calendar'!$AQ$1786=TYPE2)*(TYPE2&lt;&gt;"")+('Dvd Calendar'!$AQ$1786=TYPE3)*(TYPE3&lt;&gt;"")+('Dvd Calendar'!$AQ$1786=TYPE4)*(TYPE4&lt;&gt;"")+('Dvd Calendar'!$AQ$1786=SPECIAL_LBL)*(INC_SPECIALS="Y"))=0,"",'Dvd Calendar'!$AQ$1784)))</f>
        <v/>
      </c>
      <c r="AP180" s="161">
        <f>IF(FR180="","",IF(ISNUMBER('Dvd Calendar'!$AR$1784)=FALSE,"",IF((('Dvd Calendar'!$AR$1786=TYPE1)*(TYPE1&lt;&gt;"")+('Dvd Calendar'!$AR$1786=TYPE2)*(TYPE2&lt;&gt;"")+('Dvd Calendar'!$AR$1786=TYPE3)*(TYPE3&lt;&gt;"")+('Dvd Calendar'!$AR$1786=TYPE4)*(TYPE4&lt;&gt;"")+('Dvd Calendar'!$AR$1786=SPECIAL_LBL)*(INC_SPECIALS="Y"))=0,"",'Dvd Calendar'!$AR$1784)))</f>
        <v/>
      </c>
      <c r="AQ180" s="161">
        <f>IF(FS180="","",IF(ISNUMBER('Dvd Calendar'!$E$1789)=FALSE,"",'Dvd Calendar'!$E$1789))</f>
        <v/>
      </c>
      <c r="AR180" s="161">
        <f>IF(FT180="","",IF(ISNUMBER('Dvd Calendar'!$F$1789)=FALSE,"",'Dvd Calendar'!$F$1789))</f>
        <v/>
      </c>
      <c r="AS180" s="161">
        <f>IF(FU180="","",IF(ISNUMBER('Dvd Calendar'!$G$1789)=FALSE,"",'Dvd Calendar'!$G$1789))</f>
        <v/>
      </c>
      <c r="AT180" s="161">
        <f>IF(FV180="","",IF(ISNUMBER('Dvd Calendar'!$H$1789)=FALSE,"",'Dvd Calendar'!$H$1789))</f>
        <v/>
      </c>
      <c r="AU180" s="161">
        <f>IF(FW180="","",IF(ISNUMBER('Dvd Calendar'!$I$1789)=FALSE,"",'Dvd Calendar'!$I$1789))</f>
        <v/>
      </c>
      <c r="AV180" s="161">
        <f>IF(FX180="","",IF(ISNUMBER('Dvd Calendar'!$J$1789)=FALSE,"",'Dvd Calendar'!$J$1789))</f>
        <v/>
      </c>
      <c r="AW180" s="161">
        <f>IF(FY180="","",IF(ISNUMBER('Dvd Calendar'!$K$1789)=FALSE,"",'Dvd Calendar'!$K$1789))</f>
        <v/>
      </c>
      <c r="AX180" s="161">
        <f>IF(FZ180="","",IF(ISNUMBER('Dvd Calendar'!$L$1789)=FALSE,"",'Dvd Calendar'!$L$1789))</f>
        <v/>
      </c>
      <c r="AY180" s="161">
        <f>IF(GA180="","",IF(ISNUMBER('Dvd Calendar'!$M$1789)=FALSE,"",'Dvd Calendar'!$M$1789))</f>
        <v/>
      </c>
      <c r="AZ180" s="161">
        <f>IF(GB180="","",IF(ISNUMBER('Dvd Calendar'!$N$1789)=FALSE,"",'Dvd Calendar'!$N$1789))</f>
        <v/>
      </c>
      <c r="BA180" s="161">
        <f>IF(GC180="","",IF(ISNUMBER('Dvd Calendar'!$O$1789)=FALSE,"",'Dvd Calendar'!$O$1789))</f>
        <v/>
      </c>
      <c r="BB180" s="161">
        <f>IF(GD180="","",IF(ISNUMBER('Dvd Calendar'!$P$1789)=FALSE,"",'Dvd Calendar'!$P$1789))</f>
        <v/>
      </c>
      <c r="BC180" s="161">
        <f>IF(GE180="","",IF(ISNUMBER('Dvd Calendar'!$Q$1789)=FALSE,"",'Dvd Calendar'!$Q$1789))</f>
        <v/>
      </c>
      <c r="BD180" s="161">
        <f>IF(GF180="","",IF(ISNUMBER('Dvd Calendar'!$R$1789)=FALSE,"",'Dvd Calendar'!$R$1789))</f>
        <v/>
      </c>
      <c r="BE180" s="161">
        <f>IF(GG180="","",IF(ISNUMBER('Dvd Calendar'!$S$1789)=FALSE,"",'Dvd Calendar'!$S$1789))</f>
        <v/>
      </c>
      <c r="BF180" s="161">
        <f>IF(GH180="","",IF(ISNUMBER('Dvd Calendar'!$T$1789)=FALSE,"",'Dvd Calendar'!$T$1789))</f>
        <v/>
      </c>
      <c r="BG180" s="161">
        <f>IF(GI180="","",IF(ISNUMBER('Dvd Calendar'!$U$1789)=FALSE,"",'Dvd Calendar'!$U$1789))</f>
        <v/>
      </c>
      <c r="BH180" s="161">
        <f>IF(GJ180="","",IF(ISNUMBER('Dvd Calendar'!$V$1789)=FALSE,"",'Dvd Calendar'!$V$1789))</f>
        <v/>
      </c>
      <c r="BI180" s="161">
        <f>IF(GK180="","",IF(ISNUMBER('Dvd Calendar'!$W$1789)=FALSE,"",'Dvd Calendar'!$W$1789))</f>
        <v/>
      </c>
      <c r="BJ180" s="161">
        <f>IF(GL180="","",IF(ISNUMBER('Dvd Calendar'!$X$1789)=FALSE,"",'Dvd Calendar'!$X$1789))</f>
        <v/>
      </c>
      <c r="BK180" s="161">
        <f>IF(GM180="","",IF(ISNUMBER('Dvd Calendar'!$Y$1789)=FALSE,"",'Dvd Calendar'!$Y$1789))</f>
        <v/>
      </c>
      <c r="BL180" s="161">
        <f>IF(GN180="","",IF(ISNUMBER('Dvd Calendar'!$Z$1789)=FALSE,"",'Dvd Calendar'!$Z$1789))</f>
        <v/>
      </c>
      <c r="BM180" s="161">
        <f>IF(GO180="","",IF(ISNUMBER('Dvd Calendar'!$AA$1789)=FALSE,"",'Dvd Calendar'!$AA$1789))</f>
        <v/>
      </c>
      <c r="BN180" s="161">
        <f>IF(GP180="","",IF(ISNUMBER('Dvd Calendar'!$AB$1789)=FALSE,"",'Dvd Calendar'!$AB$1789))</f>
        <v/>
      </c>
      <c r="BO180" s="161">
        <f>IF(GQ180="","",IF(ISNUMBER('Dvd Calendar'!$AC$1789)=FALSE,"",'Dvd Calendar'!$AC$1789))</f>
        <v/>
      </c>
      <c r="BQ180" s="161">
        <f>IF(C180="","",IFERROR(C180*HSCEI!$B$27*HSCEI!$G$27/HSCEI!$B$3,""))</f>
        <v/>
      </c>
      <c r="BR180" s="161">
        <f>IF(D180="","",IFERROR(D180*HSCEI!$B$27*HSCEI!$G$27/HSCEI!$B$3,""))</f>
        <v/>
      </c>
      <c r="BS180" s="161">
        <f>IF(E180="","",IFERROR(E180*HSCEI!$B$27*HSCEI!$G$27/HSCEI!$B$3,""))</f>
        <v/>
      </c>
      <c r="BT180" s="161">
        <f>IF(F180="","",IFERROR(F180*HSCEI!$B$27*HSCEI!$G$27/HSCEI!$B$3,""))</f>
        <v/>
      </c>
      <c r="BU180" s="161">
        <f>IF(G180="","",IFERROR(G180*HSCEI!$B$27*HSCEI!$G$27/HSCEI!$B$3,""))</f>
        <v/>
      </c>
      <c r="BV180" s="161">
        <f>IF(H180="","",IFERROR(H180*HSCEI!$B$27*HSCEI!$G$27/HSCEI!$B$3,""))</f>
        <v/>
      </c>
      <c r="BW180" s="161">
        <f>IF(I180="","",IFERROR(I180*HSCEI!$B$27*HSCEI!$G$27/HSCEI!$B$3,""))</f>
        <v/>
      </c>
      <c r="BX180" s="161">
        <f>IF(J180="","",IFERROR(J180*HSCEI!$B$27*HSCEI!$G$27/HSCEI!$B$3,""))</f>
        <v/>
      </c>
      <c r="BY180" s="161">
        <f>IF(K180="","",IFERROR(K180*HSCEI!$B$27*HSCEI!$G$27/HSCEI!$B$3,""))</f>
        <v/>
      </c>
      <c r="BZ180" s="161">
        <f>IF(L180="","",IFERROR(L180*HSCEI!$B$27*HSCEI!$G$27/HSCEI!$B$3,""))</f>
        <v/>
      </c>
      <c r="CA180" s="161">
        <f>IF(M180="","",IFERROR(M180*HSCEI!$B$27*HSCEI!$G$27/HSCEI!$B$3,""))</f>
        <v/>
      </c>
      <c r="CB180" s="161">
        <f>IF(N180="","",IFERROR(N180*HSCEI!$B$27*HSCEI!$G$27/HSCEI!$B$3,""))</f>
        <v/>
      </c>
      <c r="CC180" s="161">
        <f>IF(O180="","",IFERROR(O180*HSCEI!$B$27*HSCEI!$G$27/HSCEI!$B$3,""))</f>
        <v/>
      </c>
      <c r="CD180" s="161">
        <f>IF(P180="","",IFERROR(P180*HSCEI!$B$27*HSCEI!$G$27/HSCEI!$B$3,""))</f>
        <v/>
      </c>
      <c r="CE180" s="161">
        <f>IF(Q180="","",IFERROR(Q180*HSCEI!$B$27*HSCEI!$G$27/HSCEI!$B$3,""))</f>
        <v/>
      </c>
      <c r="CF180" s="161">
        <f>IF(R180="","",IFERROR(R180*HSCEI!$B$27*HSCEI!$G$27/HSCEI!$B$3,""))</f>
        <v/>
      </c>
      <c r="CG180" s="161">
        <f>IF(S180="","",IFERROR(S180*HSCEI!$B$27*HSCEI!$G$27/HSCEI!$B$3,""))</f>
        <v/>
      </c>
      <c r="CH180" s="161">
        <f>IF(T180="","",IFERROR(T180*HSCEI!$B$27*HSCEI!$G$27/HSCEI!$B$3,""))</f>
        <v/>
      </c>
      <c r="CI180" s="161">
        <f>IF(U180="","",IFERROR(U180*HSCEI!$B$27*HSCEI!$G$27/HSCEI!$B$3,""))</f>
        <v/>
      </c>
      <c r="CJ180" s="161">
        <f>IF(V180="","",IFERROR(V180*HSCEI!$B$27*HSCEI!$G$27/HSCEI!$B$3,""))</f>
        <v/>
      </c>
      <c r="CK180" s="161">
        <f>IF(W180="","",IFERROR(W180*HSCEI!$B$27*HSCEI!$G$27/HSCEI!$B$3,""))</f>
        <v/>
      </c>
      <c r="CL180" s="161">
        <f>IF(X180="","",IFERROR(X180*HSCEI!$B$27*HSCEI!$G$27/HSCEI!$B$3,""))</f>
        <v/>
      </c>
      <c r="CM180" s="161">
        <f>IF(Y180="","",IFERROR(Y180*HSCEI!$B$27*HSCEI!$G$27/HSCEI!$B$3,""))</f>
        <v/>
      </c>
      <c r="CN180" s="161">
        <f>IF(Z180="","",IFERROR(Z180*HSCEI!$B$27*HSCEI!$G$27/HSCEI!$B$3,""))</f>
        <v/>
      </c>
      <c r="CO180" s="161">
        <f>IF(AA180="","",IFERROR(AA180*HSCEI!$B$27*HSCEI!$G$27/HSCEI!$B$3,""))</f>
        <v/>
      </c>
      <c r="CP180" s="161">
        <f>IF(AB180="","",IFERROR(AB180*HSCEI!$B$27*HSCEI!$G$27/HSCEI!$B$3,""))</f>
        <v/>
      </c>
      <c r="CQ180" s="161">
        <f>IF(AC180="","",IFERROR(AC180*HSCEI!$B$27*HSCEI!$G$27/HSCEI!$B$3,""))</f>
        <v/>
      </c>
      <c r="CR180" s="161">
        <f>IF(AD180="","",IFERROR(AD180*HSCEI!$B$27*HSCEI!$G$27/HSCEI!$B$3,""))</f>
        <v/>
      </c>
      <c r="CS180" s="161">
        <f>IF(AE180="","",IFERROR(AE180*HSCEI!$B$27*HSCEI!$G$27/HSCEI!$B$3,""))</f>
        <v/>
      </c>
      <c r="CT180" s="161">
        <f>IF(AF180="","",IFERROR(AF180*HSCEI!$B$27*HSCEI!$G$27/HSCEI!$B$3,""))</f>
        <v/>
      </c>
      <c r="CU180" s="161">
        <f>IF(AG180="","",IFERROR(AG180*HSCEI!$B$27*HSCEI!$G$27/HSCEI!$B$3,""))</f>
        <v/>
      </c>
      <c r="CV180" s="161">
        <f>IF(AH180="","",IFERROR(AH180*HSCEI!$B$27*HSCEI!$G$27/HSCEI!$B$3,""))</f>
        <v/>
      </c>
      <c r="CW180" s="161">
        <f>IF(AI180="","",IFERROR(AI180*HSCEI!$B$27*HSCEI!$G$27/HSCEI!$B$3,""))</f>
        <v/>
      </c>
      <c r="CX180" s="161">
        <f>IF(AJ180="","",IFERROR(AJ180*HSCEI!$B$27*HSCEI!$G$27/HSCEI!$B$3,""))</f>
        <v/>
      </c>
      <c r="CY180" s="161">
        <f>IF(AK180="","",IFERROR(AK180*HSCEI!$B$27*HSCEI!$G$27/HSCEI!$B$3,""))</f>
        <v/>
      </c>
      <c r="CZ180" s="161">
        <f>IF(AL180="","",IFERROR(AL180*HSCEI!$B$27*HSCEI!$G$27/HSCEI!$B$3,""))</f>
        <v/>
      </c>
      <c r="DA180" s="161">
        <f>IF(AM180="","",IFERROR(AM180*HSCEI!$B$27*HSCEI!$G$27/HSCEI!$B$3,""))</f>
        <v/>
      </c>
      <c r="DB180" s="161">
        <f>IF(AN180="","",IFERROR(AN180*HSCEI!$B$27*HSCEI!$G$27/HSCEI!$B$3,""))</f>
        <v/>
      </c>
      <c r="DC180" s="161">
        <f>IF(AO180="","",IFERROR(AO180*HSCEI!$B$27*HSCEI!$G$27/HSCEI!$B$3,""))</f>
        <v/>
      </c>
      <c r="DD180" s="161">
        <f>IF(AP180="","",IFERROR(AP180*HSCEI!$B$27*HSCEI!$G$27/HSCEI!$B$3,""))</f>
        <v/>
      </c>
      <c r="DE180" s="161">
        <f>IF(AQ180="","",IFERROR(AQ180*HSCEI!$B$27*HSCEI!$G$27/HSCEI!$B$3,""))</f>
        <v/>
      </c>
      <c r="DF180" s="161">
        <f>IF(AR180="","",IFERROR(AR180*HSCEI!$B$27*HSCEI!$G$27/HSCEI!$B$3,""))</f>
        <v/>
      </c>
      <c r="DG180" s="161">
        <f>IF(AS180="","",IFERROR(AS180*HSCEI!$B$27*HSCEI!$G$27/HSCEI!$B$3,""))</f>
        <v/>
      </c>
      <c r="DH180" s="161">
        <f>IF(AT180="","",IFERROR(AT180*HSCEI!$B$27*HSCEI!$G$27/HSCEI!$B$3,""))</f>
        <v/>
      </c>
      <c r="DI180" s="161">
        <f>IF(AU180="","",IFERROR(AU180*HSCEI!$B$27*HSCEI!$G$27/HSCEI!$B$3,""))</f>
        <v/>
      </c>
      <c r="DJ180" s="161">
        <f>IF(AV180="","",IFERROR(AV180*HSCEI!$B$27*HSCEI!$G$27/HSCEI!$B$3,""))</f>
        <v/>
      </c>
      <c r="DK180" s="161">
        <f>IF(AW180="","",IFERROR(AW180*HSCEI!$B$27*HSCEI!$G$27/HSCEI!$B$3,""))</f>
        <v/>
      </c>
      <c r="DL180" s="161">
        <f>IF(AX180="","",IFERROR(AX180*HSCEI!$B$27*HSCEI!$G$27/HSCEI!$B$3,""))</f>
        <v/>
      </c>
      <c r="DM180" s="161">
        <f>IF(AY180="","",IFERROR(AY180*HSCEI!$B$27*HSCEI!$G$27/HSCEI!$B$3,""))</f>
        <v/>
      </c>
      <c r="DN180" s="161">
        <f>IF(AZ180="","",IFERROR(AZ180*HSCEI!$B$27*HSCEI!$G$27/HSCEI!$B$3,""))</f>
        <v/>
      </c>
      <c r="DO180" s="161">
        <f>IF(BA180="","",IFERROR(BA180*HSCEI!$B$27*HSCEI!$G$27/HSCEI!$B$3,""))</f>
        <v/>
      </c>
      <c r="DP180" s="161">
        <f>IF(BB180="","",IFERROR(BB180*HSCEI!$B$27*HSCEI!$G$27/HSCEI!$B$3,""))</f>
        <v/>
      </c>
      <c r="DQ180" s="161">
        <f>IF(BC180="","",IFERROR(BC180*HSCEI!$B$27*HSCEI!$G$27/HSCEI!$B$3,""))</f>
        <v/>
      </c>
      <c r="DR180" s="161">
        <f>IF(BD180="","",IFERROR(BD180*HSCEI!$B$27*HSCEI!$G$27/HSCEI!$B$3,""))</f>
        <v/>
      </c>
      <c r="DS180" s="161">
        <f>IF(BE180="","",IFERROR(BE180*HSCEI!$B$27*HSCEI!$G$27/HSCEI!$B$3,""))</f>
        <v/>
      </c>
      <c r="DT180" s="161">
        <f>IF(BF180="","",IFERROR(BF180*HSCEI!$B$27*HSCEI!$G$27/HSCEI!$B$3,""))</f>
        <v/>
      </c>
      <c r="DU180" s="161">
        <f>IF(BG180="","",IFERROR(BG180*HSCEI!$B$27*HSCEI!$G$27/HSCEI!$B$3,""))</f>
        <v/>
      </c>
      <c r="DV180" s="161">
        <f>IF(BH180="","",IFERROR(BH180*HSCEI!$B$27*HSCEI!$G$27/HSCEI!$B$3,""))</f>
        <v/>
      </c>
      <c r="DW180" s="161">
        <f>IF(BI180="","",IFERROR(BI180*HSCEI!$B$27*HSCEI!$G$27/HSCEI!$B$3,""))</f>
        <v/>
      </c>
      <c r="DX180" s="161">
        <f>IF(BJ180="","",IFERROR(BJ180*HSCEI!$B$27*HSCEI!$G$27/HSCEI!$B$3,""))</f>
        <v/>
      </c>
      <c r="DY180" s="161">
        <f>IF(BK180="","",IFERROR(BK180*HSCEI!$B$27*HSCEI!$G$27/HSCEI!$B$3,""))</f>
        <v/>
      </c>
      <c r="DZ180" s="161">
        <f>IF(BL180="","",IFERROR(BL180*HSCEI!$B$27*HSCEI!$G$27/HSCEI!$B$3,""))</f>
        <v/>
      </c>
      <c r="EA180" s="161">
        <f>IF(BM180="","",IFERROR(BM180*HSCEI!$B$27*HSCEI!$G$27/HSCEI!$B$3,""))</f>
        <v/>
      </c>
      <c r="EB180" s="161">
        <f>IF(BN180="","",IFERROR(BN180*HSCEI!$B$27*HSCEI!$G$27/HSCEI!$B$3,""))</f>
        <v/>
      </c>
      <c r="EC180" s="161">
        <f>IF(BO180="","",IFERROR(BO180*HSCEI!$B$27*HSCEI!$G$27/HSCEI!$B$3,""))</f>
        <v/>
      </c>
      <c r="EE180" s="121">
        <f>IF(N('Dvd Calendar'!$E$1781)=0,"",IF(('Dvd Calendar'!$E$1781&gt;=GRID_FROM)*('Dvd Calendar'!$E$1781&lt;=GRID_TO)*((('Dvd Calendar'!$E$1781&lt;=VAL_DATE)+(COUNTIF('Dvd Calendar'!$E$1788:$AR$1788,'Dvd Calendar'!$E$1781)=0))&gt;0)=0,"",'Dvd Calendar'!$E$1781*1000000000+ISNUMBER('Dvd Calendar'!$E$1784)*100000000+('Dvd Calendar'!$E$1786=SPECIAL_LBL)*10000000+(N('Dvd Calendar'!$E$1780)&gt;0)*(N('Dvd Calendar'!$E$1780)&lt;=VAL_SERIAL)*1000000+21*1000+1))</f>
        <v/>
      </c>
      <c r="EF180" s="121">
        <f>IF(N('Dvd Calendar'!$F$1781)=0,"",IF(('Dvd Calendar'!$F$1781&gt;=GRID_FROM)*('Dvd Calendar'!$F$1781&lt;=GRID_TO)*((('Dvd Calendar'!$F$1781&lt;=VAL_DATE)+(COUNTIF('Dvd Calendar'!$E$1788:$AR$1788,'Dvd Calendar'!$F$1781)=0))&gt;0)=0,"",'Dvd Calendar'!$F$1781*1000000000+ISNUMBER('Dvd Calendar'!$F$1784)*100000000+('Dvd Calendar'!$F$1786=SPECIAL_LBL)*10000000+(N('Dvd Calendar'!$F$1780)&gt;0)*(N('Dvd Calendar'!$F$1780)&lt;=VAL_SERIAL)*1000000+21*1000+2))</f>
        <v/>
      </c>
      <c r="EG180" s="121">
        <f>IF(N('Dvd Calendar'!$G$1781)=0,"",IF(('Dvd Calendar'!$G$1781&gt;=GRID_FROM)*('Dvd Calendar'!$G$1781&lt;=GRID_TO)*((('Dvd Calendar'!$G$1781&lt;=VAL_DATE)+(COUNTIF('Dvd Calendar'!$E$1788:$AR$1788,'Dvd Calendar'!$G$1781)=0))&gt;0)=0,"",'Dvd Calendar'!$G$1781*1000000000+ISNUMBER('Dvd Calendar'!$G$1784)*100000000+('Dvd Calendar'!$G$1786=SPECIAL_LBL)*10000000+(N('Dvd Calendar'!$G$1780)&gt;0)*(N('Dvd Calendar'!$G$1780)&lt;=VAL_SERIAL)*1000000+21*1000+3))</f>
        <v/>
      </c>
      <c r="EH180" s="121">
        <f>IF(N('Dvd Calendar'!$H$1781)=0,"",IF(('Dvd Calendar'!$H$1781&gt;=GRID_FROM)*('Dvd Calendar'!$H$1781&lt;=GRID_TO)*((('Dvd Calendar'!$H$1781&lt;=VAL_DATE)+(COUNTIF('Dvd Calendar'!$E$1788:$AR$1788,'Dvd Calendar'!$H$1781)=0))&gt;0)=0,"",'Dvd Calendar'!$H$1781*1000000000+ISNUMBER('Dvd Calendar'!$H$1784)*100000000+('Dvd Calendar'!$H$1786=SPECIAL_LBL)*10000000+(N('Dvd Calendar'!$H$1780)&gt;0)*(N('Dvd Calendar'!$H$1780)&lt;=VAL_SERIAL)*1000000+21*1000+4))</f>
        <v/>
      </c>
      <c r="EI180" s="121">
        <f>IF(N('Dvd Calendar'!$I$1781)=0,"",IF(('Dvd Calendar'!$I$1781&gt;=GRID_FROM)*('Dvd Calendar'!$I$1781&lt;=GRID_TO)*((('Dvd Calendar'!$I$1781&lt;=VAL_DATE)+(COUNTIF('Dvd Calendar'!$E$1788:$AR$1788,'Dvd Calendar'!$I$1781)=0))&gt;0)=0,"",'Dvd Calendar'!$I$1781*1000000000+ISNUMBER('Dvd Calendar'!$I$1784)*100000000+('Dvd Calendar'!$I$1786=SPECIAL_LBL)*10000000+(N('Dvd Calendar'!$I$1780)&gt;0)*(N('Dvd Calendar'!$I$1780)&lt;=VAL_SERIAL)*1000000+21*1000+5))</f>
        <v/>
      </c>
      <c r="EJ180" s="121">
        <f>IF(N('Dvd Calendar'!$J$1781)=0,"",IF(('Dvd Calendar'!$J$1781&gt;=GRID_FROM)*('Dvd Calendar'!$J$1781&lt;=GRID_TO)*((('Dvd Calendar'!$J$1781&lt;=VAL_DATE)+(COUNTIF('Dvd Calendar'!$E$1788:$AR$1788,'Dvd Calendar'!$J$1781)=0))&gt;0)=0,"",'Dvd Calendar'!$J$1781*1000000000+ISNUMBER('Dvd Calendar'!$J$1784)*100000000+('Dvd Calendar'!$J$1786=SPECIAL_LBL)*10000000+(N('Dvd Calendar'!$J$1780)&gt;0)*(N('Dvd Calendar'!$J$1780)&lt;=VAL_SERIAL)*1000000+21*1000+6))</f>
        <v/>
      </c>
      <c r="EK180" s="121">
        <f>IF(N('Dvd Calendar'!$K$1781)=0,"",IF(('Dvd Calendar'!$K$1781&gt;=GRID_FROM)*('Dvd Calendar'!$K$1781&lt;=GRID_TO)*((('Dvd Calendar'!$K$1781&lt;=VAL_DATE)+(COUNTIF('Dvd Calendar'!$E$1788:$AR$1788,'Dvd Calendar'!$K$1781)=0))&gt;0)=0,"",'Dvd Calendar'!$K$1781*1000000000+ISNUMBER('Dvd Calendar'!$K$1784)*100000000+('Dvd Calendar'!$K$1786=SPECIAL_LBL)*10000000+(N('Dvd Calendar'!$K$1780)&gt;0)*(N('Dvd Calendar'!$K$1780)&lt;=VAL_SERIAL)*1000000+21*1000+7))</f>
        <v/>
      </c>
      <c r="EL180" s="121">
        <f>IF(N('Dvd Calendar'!$L$1781)=0,"",IF(('Dvd Calendar'!$L$1781&gt;=GRID_FROM)*('Dvd Calendar'!$L$1781&lt;=GRID_TO)*((('Dvd Calendar'!$L$1781&lt;=VAL_DATE)+(COUNTIF('Dvd Calendar'!$E$1788:$AR$1788,'Dvd Calendar'!$L$1781)=0))&gt;0)=0,"",'Dvd Calendar'!$L$1781*1000000000+ISNUMBER('Dvd Calendar'!$L$1784)*100000000+('Dvd Calendar'!$L$1786=SPECIAL_LBL)*10000000+(N('Dvd Calendar'!$L$1780)&gt;0)*(N('Dvd Calendar'!$L$1780)&lt;=VAL_SERIAL)*1000000+21*1000+8))</f>
        <v/>
      </c>
      <c r="EM180" s="121">
        <f>IF(N('Dvd Calendar'!$M$1781)=0,"",IF(('Dvd Calendar'!$M$1781&gt;=GRID_FROM)*('Dvd Calendar'!$M$1781&lt;=GRID_TO)*((('Dvd Calendar'!$M$1781&lt;=VAL_DATE)+(COUNTIF('Dvd Calendar'!$E$1788:$AR$1788,'Dvd Calendar'!$M$1781)=0))&gt;0)=0,"",'Dvd Calendar'!$M$1781*1000000000+ISNUMBER('Dvd Calendar'!$M$1784)*100000000+('Dvd Calendar'!$M$1786=SPECIAL_LBL)*10000000+(N('Dvd Calendar'!$M$1780)&gt;0)*(N('Dvd Calendar'!$M$1780)&lt;=VAL_SERIAL)*1000000+21*1000+9))</f>
        <v/>
      </c>
      <c r="EN180" s="121">
        <f>IF(N('Dvd Calendar'!$N$1781)=0,"",IF(('Dvd Calendar'!$N$1781&gt;=GRID_FROM)*('Dvd Calendar'!$N$1781&lt;=GRID_TO)*((('Dvd Calendar'!$N$1781&lt;=VAL_DATE)+(COUNTIF('Dvd Calendar'!$E$1788:$AR$1788,'Dvd Calendar'!$N$1781)=0))&gt;0)=0,"",'Dvd Calendar'!$N$1781*1000000000+ISNUMBER('Dvd Calendar'!$N$1784)*100000000+('Dvd Calendar'!$N$1786=SPECIAL_LBL)*10000000+(N('Dvd Calendar'!$N$1780)&gt;0)*(N('Dvd Calendar'!$N$1780)&lt;=VAL_SERIAL)*1000000+21*1000+10))</f>
        <v/>
      </c>
      <c r="EO180" s="121">
        <f>IF(N('Dvd Calendar'!$O$1781)=0,"",IF(('Dvd Calendar'!$O$1781&gt;=GRID_FROM)*('Dvd Calendar'!$O$1781&lt;=GRID_TO)*((('Dvd Calendar'!$O$1781&lt;=VAL_DATE)+(COUNTIF('Dvd Calendar'!$E$1788:$AR$1788,'Dvd Calendar'!$O$1781)=0))&gt;0)=0,"",'Dvd Calendar'!$O$1781*1000000000+ISNUMBER('Dvd Calendar'!$O$1784)*100000000+('Dvd Calendar'!$O$1786=SPECIAL_LBL)*10000000+(N('Dvd Calendar'!$O$1780)&gt;0)*(N('Dvd Calendar'!$O$1780)&lt;=VAL_SERIAL)*1000000+21*1000+11))</f>
        <v/>
      </c>
      <c r="EP180" s="121">
        <f>IF(N('Dvd Calendar'!$P$1781)=0,"",IF(('Dvd Calendar'!$P$1781&gt;=GRID_FROM)*('Dvd Calendar'!$P$1781&lt;=GRID_TO)*((('Dvd Calendar'!$P$1781&lt;=VAL_DATE)+(COUNTIF('Dvd Calendar'!$E$1788:$AR$1788,'Dvd Calendar'!$P$1781)=0))&gt;0)=0,"",'Dvd Calendar'!$P$1781*1000000000+ISNUMBER('Dvd Calendar'!$P$1784)*100000000+('Dvd Calendar'!$P$1786=SPECIAL_LBL)*10000000+(N('Dvd Calendar'!$P$1780)&gt;0)*(N('Dvd Calendar'!$P$1780)&lt;=VAL_SERIAL)*1000000+21*1000+12))</f>
        <v/>
      </c>
      <c r="EQ180" s="121">
        <f>IF(N('Dvd Calendar'!$Q$1781)=0,"",IF(('Dvd Calendar'!$Q$1781&gt;=GRID_FROM)*('Dvd Calendar'!$Q$1781&lt;=GRID_TO)*((('Dvd Calendar'!$Q$1781&lt;=VAL_DATE)+(COUNTIF('Dvd Calendar'!$E$1788:$AR$1788,'Dvd Calendar'!$Q$1781)=0))&gt;0)=0,"",'Dvd Calendar'!$Q$1781*1000000000+ISNUMBER('Dvd Calendar'!$Q$1784)*100000000+('Dvd Calendar'!$Q$1786=SPECIAL_LBL)*10000000+(N('Dvd Calendar'!$Q$1780)&gt;0)*(N('Dvd Calendar'!$Q$1780)&lt;=VAL_SERIAL)*1000000+21*1000+13))</f>
        <v/>
      </c>
      <c r="ER180" s="121">
        <f>IF(N('Dvd Calendar'!$R$1781)=0,"",IF(('Dvd Calendar'!$R$1781&gt;=GRID_FROM)*('Dvd Calendar'!$R$1781&lt;=GRID_TO)*((('Dvd Calendar'!$R$1781&lt;=VAL_DATE)+(COUNTIF('Dvd Calendar'!$E$1788:$AR$1788,'Dvd Calendar'!$R$1781)=0))&gt;0)=0,"",'Dvd Calendar'!$R$1781*1000000000+ISNUMBER('Dvd Calendar'!$R$1784)*100000000+('Dvd Calendar'!$R$1786=SPECIAL_LBL)*10000000+(N('Dvd Calendar'!$R$1780)&gt;0)*(N('Dvd Calendar'!$R$1780)&lt;=VAL_SERIAL)*1000000+21*1000+14))</f>
        <v/>
      </c>
      <c r="ES180" s="121">
        <f>IF(N('Dvd Calendar'!$S$1781)=0,"",IF(('Dvd Calendar'!$S$1781&gt;=GRID_FROM)*('Dvd Calendar'!$S$1781&lt;=GRID_TO)*((('Dvd Calendar'!$S$1781&lt;=VAL_DATE)+(COUNTIF('Dvd Calendar'!$E$1788:$AR$1788,'Dvd Calendar'!$S$1781)=0))&gt;0)=0,"",'Dvd Calendar'!$S$1781*1000000000+ISNUMBER('Dvd Calendar'!$S$1784)*100000000+('Dvd Calendar'!$S$1786=SPECIAL_LBL)*10000000+(N('Dvd Calendar'!$S$1780)&gt;0)*(N('Dvd Calendar'!$S$1780)&lt;=VAL_SERIAL)*1000000+21*1000+15))</f>
        <v/>
      </c>
      <c r="ET180" s="121">
        <f>IF(N('Dvd Calendar'!$T$1781)=0,"",IF(('Dvd Calendar'!$T$1781&gt;=GRID_FROM)*('Dvd Calendar'!$T$1781&lt;=GRID_TO)*((('Dvd Calendar'!$T$1781&lt;=VAL_DATE)+(COUNTIF('Dvd Calendar'!$E$1788:$AR$1788,'Dvd Calendar'!$T$1781)=0))&gt;0)=0,"",'Dvd Calendar'!$T$1781*1000000000+ISNUMBER('Dvd Calendar'!$T$1784)*100000000+('Dvd Calendar'!$T$1786=SPECIAL_LBL)*10000000+(N('Dvd Calendar'!$T$1780)&gt;0)*(N('Dvd Calendar'!$T$1780)&lt;=VAL_SERIAL)*1000000+21*1000+16))</f>
        <v/>
      </c>
      <c r="EU180" s="121">
        <f>IF(N('Dvd Calendar'!$U$1781)=0,"",IF(('Dvd Calendar'!$U$1781&gt;=GRID_FROM)*('Dvd Calendar'!$U$1781&lt;=GRID_TO)*((('Dvd Calendar'!$U$1781&lt;=VAL_DATE)+(COUNTIF('Dvd Calendar'!$E$1788:$AR$1788,'Dvd Calendar'!$U$1781)=0))&gt;0)=0,"",'Dvd Calendar'!$U$1781*1000000000+ISNUMBER('Dvd Calendar'!$U$1784)*100000000+('Dvd Calendar'!$U$1786=SPECIAL_LBL)*10000000+(N('Dvd Calendar'!$U$1780)&gt;0)*(N('Dvd Calendar'!$U$1780)&lt;=VAL_SERIAL)*1000000+21*1000+17))</f>
        <v/>
      </c>
      <c r="EV180" s="121">
        <f>IF(N('Dvd Calendar'!$V$1781)=0,"",IF(('Dvd Calendar'!$V$1781&gt;=GRID_FROM)*('Dvd Calendar'!$V$1781&lt;=GRID_TO)*((('Dvd Calendar'!$V$1781&lt;=VAL_DATE)+(COUNTIF('Dvd Calendar'!$E$1788:$AR$1788,'Dvd Calendar'!$V$1781)=0))&gt;0)=0,"",'Dvd Calendar'!$V$1781*1000000000+ISNUMBER('Dvd Calendar'!$V$1784)*100000000+('Dvd Calendar'!$V$1786=SPECIAL_LBL)*10000000+(N('Dvd Calendar'!$V$1780)&gt;0)*(N('Dvd Calendar'!$V$1780)&lt;=VAL_SERIAL)*1000000+21*1000+18))</f>
        <v/>
      </c>
      <c r="EW180" s="121">
        <f>IF(N('Dvd Calendar'!$W$1781)=0,"",IF(('Dvd Calendar'!$W$1781&gt;=GRID_FROM)*('Dvd Calendar'!$W$1781&lt;=GRID_TO)*((('Dvd Calendar'!$W$1781&lt;=VAL_DATE)+(COUNTIF('Dvd Calendar'!$E$1788:$AR$1788,'Dvd Calendar'!$W$1781)=0))&gt;0)=0,"",'Dvd Calendar'!$W$1781*1000000000+ISNUMBER('Dvd Calendar'!$W$1784)*100000000+('Dvd Calendar'!$W$1786=SPECIAL_LBL)*10000000+(N('Dvd Calendar'!$W$1780)&gt;0)*(N('Dvd Calendar'!$W$1780)&lt;=VAL_SERIAL)*1000000+21*1000+19))</f>
        <v/>
      </c>
      <c r="EX180" s="121">
        <f>IF(N('Dvd Calendar'!$X$1781)=0,"",IF(('Dvd Calendar'!$X$1781&gt;=GRID_FROM)*('Dvd Calendar'!$X$1781&lt;=GRID_TO)*((('Dvd Calendar'!$X$1781&lt;=VAL_DATE)+(COUNTIF('Dvd Calendar'!$E$1788:$AR$1788,'Dvd Calendar'!$X$1781)=0))&gt;0)=0,"",'Dvd Calendar'!$X$1781*1000000000+ISNUMBER('Dvd Calendar'!$X$1784)*100000000+('Dvd Calendar'!$X$1786=SPECIAL_LBL)*10000000+(N('Dvd Calendar'!$X$1780)&gt;0)*(N('Dvd Calendar'!$X$1780)&lt;=VAL_SERIAL)*1000000+21*1000+20))</f>
        <v/>
      </c>
      <c r="EY180" s="121">
        <f>IF(N('Dvd Calendar'!$Y$1781)=0,"",IF(('Dvd Calendar'!$Y$1781&gt;=GRID_FROM)*('Dvd Calendar'!$Y$1781&lt;=GRID_TO)*((('Dvd Calendar'!$Y$1781&lt;=VAL_DATE)+(COUNTIF('Dvd Calendar'!$E$1788:$AR$1788,'Dvd Calendar'!$Y$1781)=0))&gt;0)=0,"",'Dvd Calendar'!$Y$1781*1000000000+ISNUMBER('Dvd Calendar'!$Y$1784)*100000000+('Dvd Calendar'!$Y$1786=SPECIAL_LBL)*10000000+(N('Dvd Calendar'!$Y$1780)&gt;0)*(N('Dvd Calendar'!$Y$1780)&lt;=VAL_SERIAL)*1000000+21*1000+21))</f>
        <v/>
      </c>
      <c r="EZ180" s="121">
        <f>IF(N('Dvd Calendar'!$Z$1781)=0,"",IF(('Dvd Calendar'!$Z$1781&gt;=GRID_FROM)*('Dvd Calendar'!$Z$1781&lt;=GRID_TO)*((('Dvd Calendar'!$Z$1781&lt;=VAL_DATE)+(COUNTIF('Dvd Calendar'!$E$1788:$AR$1788,'Dvd Calendar'!$Z$1781)=0))&gt;0)=0,"",'Dvd Calendar'!$Z$1781*1000000000+ISNUMBER('Dvd Calendar'!$Z$1784)*100000000+('Dvd Calendar'!$Z$1786=SPECIAL_LBL)*10000000+(N('Dvd Calendar'!$Z$1780)&gt;0)*(N('Dvd Calendar'!$Z$1780)&lt;=VAL_SERIAL)*1000000+21*1000+22))</f>
        <v/>
      </c>
      <c r="FA180" s="121">
        <f>IF(N('Dvd Calendar'!$AA$1781)=0,"",IF(('Dvd Calendar'!$AA$1781&gt;=GRID_FROM)*('Dvd Calendar'!$AA$1781&lt;=GRID_TO)*((('Dvd Calendar'!$AA$1781&lt;=VAL_DATE)+(COUNTIF('Dvd Calendar'!$E$1788:$AR$1788,'Dvd Calendar'!$AA$1781)=0))&gt;0)=0,"",'Dvd Calendar'!$AA$1781*1000000000+ISNUMBER('Dvd Calendar'!$AA$1784)*100000000+('Dvd Calendar'!$AA$1786=SPECIAL_LBL)*10000000+(N('Dvd Calendar'!$AA$1780)&gt;0)*(N('Dvd Calendar'!$AA$1780)&lt;=VAL_SERIAL)*1000000+21*1000+23))</f>
        <v/>
      </c>
      <c r="FB180" s="121">
        <f>IF(N('Dvd Calendar'!$AB$1781)=0,"",IF(('Dvd Calendar'!$AB$1781&gt;=GRID_FROM)*('Dvd Calendar'!$AB$1781&lt;=GRID_TO)*((('Dvd Calendar'!$AB$1781&lt;=VAL_DATE)+(COUNTIF('Dvd Calendar'!$E$1788:$AR$1788,'Dvd Calendar'!$AB$1781)=0))&gt;0)=0,"",'Dvd Calendar'!$AB$1781*1000000000+ISNUMBER('Dvd Calendar'!$AB$1784)*100000000+('Dvd Calendar'!$AB$1786=SPECIAL_LBL)*10000000+(N('Dvd Calendar'!$AB$1780)&gt;0)*(N('Dvd Calendar'!$AB$1780)&lt;=VAL_SERIAL)*1000000+21*1000+24))</f>
        <v/>
      </c>
      <c r="FC180" s="121">
        <f>IF(N('Dvd Calendar'!$AC$1781)=0,"",IF(('Dvd Calendar'!$AC$1781&gt;=GRID_FROM)*('Dvd Calendar'!$AC$1781&lt;=GRID_TO)*((('Dvd Calendar'!$AC$1781&lt;=VAL_DATE)+(COUNTIF('Dvd Calendar'!$E$1788:$AR$1788,'Dvd Calendar'!$AC$1781)=0))&gt;0)=0,"",'Dvd Calendar'!$AC$1781*1000000000+ISNUMBER('Dvd Calendar'!$AC$1784)*100000000+('Dvd Calendar'!$AC$1786=SPECIAL_LBL)*10000000+(N('Dvd Calendar'!$AC$1780)&gt;0)*(N('Dvd Calendar'!$AC$1780)&lt;=VAL_SERIAL)*1000000+21*1000+25))</f>
        <v/>
      </c>
      <c r="FD180" s="121">
        <f>IF(N('Dvd Calendar'!$AD$1781)=0,"",IF(('Dvd Calendar'!$AD$1781&gt;=GRID_FROM)*('Dvd Calendar'!$AD$1781&lt;=GRID_TO)*((('Dvd Calendar'!$AD$1781&lt;=VAL_DATE)+(COUNTIF('Dvd Calendar'!$E$1788:$AR$1788,'Dvd Calendar'!$AD$1781)=0))&gt;0)=0,"",'Dvd Calendar'!$AD$1781*1000000000+ISNUMBER('Dvd Calendar'!$AD$1784)*100000000+('Dvd Calendar'!$AD$1786=SPECIAL_LBL)*10000000+(N('Dvd Calendar'!$AD$1780)&gt;0)*(N('Dvd Calendar'!$AD$1780)&lt;=VAL_SERIAL)*1000000+21*1000+26))</f>
        <v/>
      </c>
      <c r="FE180" s="121">
        <f>IF(N('Dvd Calendar'!$AE$1781)=0,"",IF(('Dvd Calendar'!$AE$1781&gt;=GRID_FROM)*('Dvd Calendar'!$AE$1781&lt;=GRID_TO)*((('Dvd Calendar'!$AE$1781&lt;=VAL_DATE)+(COUNTIF('Dvd Calendar'!$E$1788:$AR$1788,'Dvd Calendar'!$AE$1781)=0))&gt;0)=0,"",'Dvd Calendar'!$AE$1781*1000000000+ISNUMBER('Dvd Calendar'!$AE$1784)*100000000+('Dvd Calendar'!$AE$1786=SPECIAL_LBL)*10000000+(N('Dvd Calendar'!$AE$1780)&gt;0)*(N('Dvd Calendar'!$AE$1780)&lt;=VAL_SERIAL)*1000000+21*1000+27))</f>
        <v/>
      </c>
      <c r="FF180" s="121">
        <f>IF(N('Dvd Calendar'!$AF$1781)=0,"",IF(('Dvd Calendar'!$AF$1781&gt;=GRID_FROM)*('Dvd Calendar'!$AF$1781&lt;=GRID_TO)*((('Dvd Calendar'!$AF$1781&lt;=VAL_DATE)+(COUNTIF('Dvd Calendar'!$E$1788:$AR$1788,'Dvd Calendar'!$AF$1781)=0))&gt;0)=0,"",'Dvd Calendar'!$AF$1781*1000000000+ISNUMBER('Dvd Calendar'!$AF$1784)*100000000+('Dvd Calendar'!$AF$1786=SPECIAL_LBL)*10000000+(N('Dvd Calendar'!$AF$1780)&gt;0)*(N('Dvd Calendar'!$AF$1780)&lt;=VAL_SERIAL)*1000000+21*1000+28))</f>
        <v/>
      </c>
      <c r="FG180" s="121">
        <f>IF(N('Dvd Calendar'!$AG$1781)=0,"",IF(('Dvd Calendar'!$AG$1781&gt;=GRID_FROM)*('Dvd Calendar'!$AG$1781&lt;=GRID_TO)*((('Dvd Calendar'!$AG$1781&lt;=VAL_DATE)+(COUNTIF('Dvd Calendar'!$E$1788:$AR$1788,'Dvd Calendar'!$AG$1781)=0))&gt;0)=0,"",'Dvd Calendar'!$AG$1781*1000000000+ISNUMBER('Dvd Calendar'!$AG$1784)*100000000+('Dvd Calendar'!$AG$1786=SPECIAL_LBL)*10000000+(N('Dvd Calendar'!$AG$1780)&gt;0)*(N('Dvd Calendar'!$AG$1780)&lt;=VAL_SERIAL)*1000000+21*1000+29))</f>
        <v/>
      </c>
      <c r="FH180" s="121">
        <f>IF(N('Dvd Calendar'!$AH$1781)=0,"",IF(('Dvd Calendar'!$AH$1781&gt;=GRID_FROM)*('Dvd Calendar'!$AH$1781&lt;=GRID_TO)*((('Dvd Calendar'!$AH$1781&lt;=VAL_DATE)+(COUNTIF('Dvd Calendar'!$E$1788:$AR$1788,'Dvd Calendar'!$AH$1781)=0))&gt;0)=0,"",'Dvd Calendar'!$AH$1781*1000000000+ISNUMBER('Dvd Calendar'!$AH$1784)*100000000+('Dvd Calendar'!$AH$1786=SPECIAL_LBL)*10000000+(N('Dvd Calendar'!$AH$1780)&gt;0)*(N('Dvd Calendar'!$AH$1780)&lt;=VAL_SERIAL)*1000000+21*1000+30))</f>
        <v/>
      </c>
      <c r="FI180" s="121">
        <f>IF(N('Dvd Calendar'!$AI$1781)=0,"",IF(('Dvd Calendar'!$AI$1781&gt;=GRID_FROM)*('Dvd Calendar'!$AI$1781&lt;=GRID_TO)*((('Dvd Calendar'!$AI$1781&lt;=VAL_DATE)+(COUNTIF('Dvd Calendar'!$E$1788:$AR$1788,'Dvd Calendar'!$AI$1781)=0))&gt;0)=0,"",'Dvd Calendar'!$AI$1781*1000000000+ISNUMBER('Dvd Calendar'!$AI$1784)*100000000+('Dvd Calendar'!$AI$1786=SPECIAL_LBL)*10000000+(N('Dvd Calendar'!$AI$1780)&gt;0)*(N('Dvd Calendar'!$AI$1780)&lt;=VAL_SERIAL)*1000000+21*1000+31))</f>
        <v/>
      </c>
      <c r="FJ180" s="121">
        <f>IF(N('Dvd Calendar'!$AJ$1781)=0,"",IF(('Dvd Calendar'!$AJ$1781&gt;=GRID_FROM)*('Dvd Calendar'!$AJ$1781&lt;=GRID_TO)*((('Dvd Calendar'!$AJ$1781&lt;=VAL_DATE)+(COUNTIF('Dvd Calendar'!$E$1788:$AR$1788,'Dvd Calendar'!$AJ$1781)=0))&gt;0)=0,"",'Dvd Calendar'!$AJ$1781*1000000000+ISNUMBER('Dvd Calendar'!$AJ$1784)*100000000+('Dvd Calendar'!$AJ$1786=SPECIAL_LBL)*10000000+(N('Dvd Calendar'!$AJ$1780)&gt;0)*(N('Dvd Calendar'!$AJ$1780)&lt;=VAL_SERIAL)*1000000+21*1000+32))</f>
        <v/>
      </c>
      <c r="FK180" s="121">
        <f>IF(N('Dvd Calendar'!$AK$1781)=0,"",IF(('Dvd Calendar'!$AK$1781&gt;=GRID_FROM)*('Dvd Calendar'!$AK$1781&lt;=GRID_TO)*((('Dvd Calendar'!$AK$1781&lt;=VAL_DATE)+(COUNTIF('Dvd Calendar'!$E$1788:$AR$1788,'Dvd Calendar'!$AK$1781)=0))&gt;0)=0,"",'Dvd Calendar'!$AK$1781*1000000000+ISNUMBER('Dvd Calendar'!$AK$1784)*100000000+('Dvd Calendar'!$AK$1786=SPECIAL_LBL)*10000000+(N('Dvd Calendar'!$AK$1780)&gt;0)*(N('Dvd Calendar'!$AK$1780)&lt;=VAL_SERIAL)*1000000+21*1000+33))</f>
        <v/>
      </c>
      <c r="FL180" s="121">
        <f>IF(N('Dvd Calendar'!$AL$1781)=0,"",IF(('Dvd Calendar'!$AL$1781&gt;=GRID_FROM)*('Dvd Calendar'!$AL$1781&lt;=GRID_TO)*((('Dvd Calendar'!$AL$1781&lt;=VAL_DATE)+(COUNTIF('Dvd Calendar'!$E$1788:$AR$1788,'Dvd Calendar'!$AL$1781)=0))&gt;0)=0,"",'Dvd Calendar'!$AL$1781*1000000000+ISNUMBER('Dvd Calendar'!$AL$1784)*100000000+('Dvd Calendar'!$AL$1786=SPECIAL_LBL)*10000000+(N('Dvd Calendar'!$AL$1780)&gt;0)*(N('Dvd Calendar'!$AL$1780)&lt;=VAL_SERIAL)*1000000+21*1000+34))</f>
        <v/>
      </c>
      <c r="FM180" s="121">
        <f>IF(N('Dvd Calendar'!$AM$1781)=0,"",IF(('Dvd Calendar'!$AM$1781&gt;=GRID_FROM)*('Dvd Calendar'!$AM$1781&lt;=GRID_TO)*((('Dvd Calendar'!$AM$1781&lt;=VAL_DATE)+(COUNTIF('Dvd Calendar'!$E$1788:$AR$1788,'Dvd Calendar'!$AM$1781)=0))&gt;0)=0,"",'Dvd Calendar'!$AM$1781*1000000000+ISNUMBER('Dvd Calendar'!$AM$1784)*100000000+('Dvd Calendar'!$AM$1786=SPECIAL_LBL)*10000000+(N('Dvd Calendar'!$AM$1780)&gt;0)*(N('Dvd Calendar'!$AM$1780)&lt;=VAL_SERIAL)*1000000+21*1000+35))</f>
        <v/>
      </c>
      <c r="FN180" s="121">
        <f>IF(N('Dvd Calendar'!$AN$1781)=0,"",IF(('Dvd Calendar'!$AN$1781&gt;=GRID_FROM)*('Dvd Calendar'!$AN$1781&lt;=GRID_TO)*((('Dvd Calendar'!$AN$1781&lt;=VAL_DATE)+(COUNTIF('Dvd Calendar'!$E$1788:$AR$1788,'Dvd Calendar'!$AN$1781)=0))&gt;0)=0,"",'Dvd Calendar'!$AN$1781*1000000000+ISNUMBER('Dvd Calendar'!$AN$1784)*100000000+('Dvd Calendar'!$AN$1786=SPECIAL_LBL)*10000000+(N('Dvd Calendar'!$AN$1780)&gt;0)*(N('Dvd Calendar'!$AN$1780)&lt;=VAL_SERIAL)*1000000+21*1000+36))</f>
        <v/>
      </c>
      <c r="FO180" s="121">
        <f>IF(N('Dvd Calendar'!$AO$1781)=0,"",IF(('Dvd Calendar'!$AO$1781&gt;=GRID_FROM)*('Dvd Calendar'!$AO$1781&lt;=GRID_TO)*((('Dvd Calendar'!$AO$1781&lt;=VAL_DATE)+(COUNTIF('Dvd Calendar'!$E$1788:$AR$1788,'Dvd Calendar'!$AO$1781)=0))&gt;0)=0,"",'Dvd Calendar'!$AO$1781*1000000000+ISNUMBER('Dvd Calendar'!$AO$1784)*100000000+('Dvd Calendar'!$AO$1786=SPECIAL_LBL)*10000000+(N('Dvd Calendar'!$AO$1780)&gt;0)*(N('Dvd Calendar'!$AO$1780)&lt;=VAL_SERIAL)*1000000+21*1000+37))</f>
        <v/>
      </c>
      <c r="FP180" s="121">
        <f>IF(N('Dvd Calendar'!$AP$1781)=0,"",IF(('Dvd Calendar'!$AP$1781&gt;=GRID_FROM)*('Dvd Calendar'!$AP$1781&lt;=GRID_TO)*((('Dvd Calendar'!$AP$1781&lt;=VAL_DATE)+(COUNTIF('Dvd Calendar'!$E$1788:$AR$1788,'Dvd Calendar'!$AP$1781)=0))&gt;0)=0,"",'Dvd Calendar'!$AP$1781*1000000000+ISNUMBER('Dvd Calendar'!$AP$1784)*100000000+('Dvd Calendar'!$AP$1786=SPECIAL_LBL)*10000000+(N('Dvd Calendar'!$AP$1780)&gt;0)*(N('Dvd Calendar'!$AP$1780)&lt;=VAL_SERIAL)*1000000+21*1000+38))</f>
        <v/>
      </c>
      <c r="FQ180" s="121">
        <f>IF(N('Dvd Calendar'!$AQ$1781)=0,"",IF(('Dvd Calendar'!$AQ$1781&gt;=GRID_FROM)*('Dvd Calendar'!$AQ$1781&lt;=GRID_TO)*((('Dvd Calendar'!$AQ$1781&lt;=VAL_DATE)+(COUNTIF('Dvd Calendar'!$E$1788:$AR$1788,'Dvd Calendar'!$AQ$1781)=0))&gt;0)=0,"",'Dvd Calendar'!$AQ$1781*1000000000+ISNUMBER('Dvd Calendar'!$AQ$1784)*100000000+('Dvd Calendar'!$AQ$1786=SPECIAL_LBL)*10000000+(N('Dvd Calendar'!$AQ$1780)&gt;0)*(N('Dvd Calendar'!$AQ$1780)&lt;=VAL_SERIAL)*1000000+21*1000+39))</f>
        <v/>
      </c>
      <c r="FR180" s="121">
        <f>IF(N('Dvd Calendar'!$AR$1781)=0,"",IF(('Dvd Calendar'!$AR$1781&gt;=GRID_FROM)*('Dvd Calendar'!$AR$1781&lt;=GRID_TO)*((('Dvd Calendar'!$AR$1781&lt;=VAL_DATE)+(COUNTIF('Dvd Calendar'!$E$1788:$AR$1788,'Dvd Calendar'!$AR$1781)=0))&gt;0)=0,"",'Dvd Calendar'!$AR$1781*1000000000+ISNUMBER('Dvd Calendar'!$AR$1784)*100000000+('Dvd Calendar'!$AR$1786=SPECIAL_LBL)*10000000+(N('Dvd Calendar'!$AR$1780)&gt;0)*(N('Dvd Calendar'!$AR$1780)&lt;=VAL_SERIAL)*1000000+21*1000+40))</f>
        <v/>
      </c>
      <c r="FS180" s="121">
        <f>IF(N('Dvd Calendar'!$E$1788)=0,"",IF(('Dvd Calendar'!$E$1788&gt;=GRID_FROM)*('Dvd Calendar'!$E$1788&lt;=GRID_TO)*('Dvd Calendar'!$E$1788&gt;VAL_DATE)=0,"",'Dvd Calendar'!$E$1788*1000000000+ISNUMBER('Dvd Calendar'!$E$1789)*100000000+0*10000000+(N('Dvd Calendar'!$E$1787)&gt;0)*(N('Dvd Calendar'!$E$1787)&lt;=VAL_SERIAL)*1000000+21*1000+41))</f>
        <v/>
      </c>
      <c r="FT180" s="121">
        <f>IF(N('Dvd Calendar'!$F$1788)=0,"",IF(('Dvd Calendar'!$F$1788&gt;=GRID_FROM)*('Dvd Calendar'!$F$1788&lt;=GRID_TO)*('Dvd Calendar'!$F$1788&gt;VAL_DATE)=0,"",'Dvd Calendar'!$F$1788*1000000000+ISNUMBER('Dvd Calendar'!$F$1789)*100000000+0*10000000+(N('Dvd Calendar'!$F$1787)&gt;0)*(N('Dvd Calendar'!$F$1787)&lt;=VAL_SERIAL)*1000000+21*1000+42))</f>
        <v/>
      </c>
      <c r="FU180" s="121">
        <f>IF(N('Dvd Calendar'!$G$1788)=0,"",IF(('Dvd Calendar'!$G$1788&gt;=GRID_FROM)*('Dvd Calendar'!$G$1788&lt;=GRID_TO)*('Dvd Calendar'!$G$1788&gt;VAL_DATE)=0,"",'Dvd Calendar'!$G$1788*1000000000+ISNUMBER('Dvd Calendar'!$G$1789)*100000000+0*10000000+(N('Dvd Calendar'!$G$1787)&gt;0)*(N('Dvd Calendar'!$G$1787)&lt;=VAL_SERIAL)*1000000+21*1000+43))</f>
        <v/>
      </c>
      <c r="FV180" s="121">
        <f>IF(N('Dvd Calendar'!$H$1788)=0,"",IF(('Dvd Calendar'!$H$1788&gt;=GRID_FROM)*('Dvd Calendar'!$H$1788&lt;=GRID_TO)*('Dvd Calendar'!$H$1788&gt;VAL_DATE)=0,"",'Dvd Calendar'!$H$1788*1000000000+ISNUMBER('Dvd Calendar'!$H$1789)*100000000+0*10000000+(N('Dvd Calendar'!$H$1787)&gt;0)*(N('Dvd Calendar'!$H$1787)&lt;=VAL_SERIAL)*1000000+21*1000+44))</f>
        <v/>
      </c>
      <c r="FW180" s="121">
        <f>IF(N('Dvd Calendar'!$I$1788)=0,"",IF(('Dvd Calendar'!$I$1788&gt;=GRID_FROM)*('Dvd Calendar'!$I$1788&lt;=GRID_TO)*('Dvd Calendar'!$I$1788&gt;VAL_DATE)=0,"",'Dvd Calendar'!$I$1788*1000000000+ISNUMBER('Dvd Calendar'!$I$1789)*100000000+0*10000000+(N('Dvd Calendar'!$I$1787)&gt;0)*(N('Dvd Calendar'!$I$1787)&lt;=VAL_SERIAL)*1000000+21*1000+45))</f>
        <v/>
      </c>
      <c r="FX180" s="121">
        <f>IF(N('Dvd Calendar'!$J$1788)=0,"",IF(('Dvd Calendar'!$J$1788&gt;=GRID_FROM)*('Dvd Calendar'!$J$1788&lt;=GRID_TO)*('Dvd Calendar'!$J$1788&gt;VAL_DATE)=0,"",'Dvd Calendar'!$J$1788*1000000000+ISNUMBER('Dvd Calendar'!$J$1789)*100000000+0*10000000+(N('Dvd Calendar'!$J$1787)&gt;0)*(N('Dvd Calendar'!$J$1787)&lt;=VAL_SERIAL)*1000000+21*1000+46))</f>
        <v/>
      </c>
      <c r="FY180" s="121">
        <f>IF(N('Dvd Calendar'!$K$1788)=0,"",IF(('Dvd Calendar'!$K$1788&gt;=GRID_FROM)*('Dvd Calendar'!$K$1788&lt;=GRID_TO)*('Dvd Calendar'!$K$1788&gt;VAL_DATE)=0,"",'Dvd Calendar'!$K$1788*1000000000+ISNUMBER('Dvd Calendar'!$K$1789)*100000000+0*10000000+(N('Dvd Calendar'!$K$1787)&gt;0)*(N('Dvd Calendar'!$K$1787)&lt;=VAL_SERIAL)*1000000+21*1000+47))</f>
        <v/>
      </c>
      <c r="FZ180" s="121">
        <f>IF(N('Dvd Calendar'!$L$1788)=0,"",IF(('Dvd Calendar'!$L$1788&gt;=GRID_FROM)*('Dvd Calendar'!$L$1788&lt;=GRID_TO)*('Dvd Calendar'!$L$1788&gt;VAL_DATE)=0,"",'Dvd Calendar'!$L$1788*1000000000+ISNUMBER('Dvd Calendar'!$L$1789)*100000000+0*10000000+(N('Dvd Calendar'!$L$1787)&gt;0)*(N('Dvd Calendar'!$L$1787)&lt;=VAL_SERIAL)*1000000+21*1000+48))</f>
        <v/>
      </c>
      <c r="GA180" s="121">
        <f>IF(N('Dvd Calendar'!$M$1788)=0,"",IF(('Dvd Calendar'!$M$1788&gt;=GRID_FROM)*('Dvd Calendar'!$M$1788&lt;=GRID_TO)*('Dvd Calendar'!$M$1788&gt;VAL_DATE)=0,"",'Dvd Calendar'!$M$1788*1000000000+ISNUMBER('Dvd Calendar'!$M$1789)*100000000+0*10000000+(N('Dvd Calendar'!$M$1787)&gt;0)*(N('Dvd Calendar'!$M$1787)&lt;=VAL_SERIAL)*1000000+21*1000+49))</f>
        <v/>
      </c>
      <c r="GB180" s="121">
        <f>IF(N('Dvd Calendar'!$N$1788)=0,"",IF(('Dvd Calendar'!$N$1788&gt;=GRID_FROM)*('Dvd Calendar'!$N$1788&lt;=GRID_TO)*('Dvd Calendar'!$N$1788&gt;VAL_DATE)=0,"",'Dvd Calendar'!$N$1788*1000000000+ISNUMBER('Dvd Calendar'!$N$1789)*100000000+0*10000000+(N('Dvd Calendar'!$N$1787)&gt;0)*(N('Dvd Calendar'!$N$1787)&lt;=VAL_SERIAL)*1000000+21*1000+50))</f>
        <v/>
      </c>
      <c r="GC180" s="121">
        <f>IF(N('Dvd Calendar'!$O$1788)=0,"",IF(('Dvd Calendar'!$O$1788&gt;=GRID_FROM)*('Dvd Calendar'!$O$1788&lt;=GRID_TO)*('Dvd Calendar'!$O$1788&gt;VAL_DATE)=0,"",'Dvd Calendar'!$O$1788*1000000000+ISNUMBER('Dvd Calendar'!$O$1789)*100000000+0*10000000+(N('Dvd Calendar'!$O$1787)&gt;0)*(N('Dvd Calendar'!$O$1787)&lt;=VAL_SERIAL)*1000000+21*1000+51))</f>
        <v/>
      </c>
      <c r="GD180" s="121">
        <f>IF(N('Dvd Calendar'!$P$1788)=0,"",IF(('Dvd Calendar'!$P$1788&gt;=GRID_FROM)*('Dvd Calendar'!$P$1788&lt;=GRID_TO)*('Dvd Calendar'!$P$1788&gt;VAL_DATE)=0,"",'Dvd Calendar'!$P$1788*1000000000+ISNUMBER('Dvd Calendar'!$P$1789)*100000000+0*10000000+(N('Dvd Calendar'!$P$1787)&gt;0)*(N('Dvd Calendar'!$P$1787)&lt;=VAL_SERIAL)*1000000+21*1000+52))</f>
        <v/>
      </c>
      <c r="GE180" s="121">
        <f>IF(N('Dvd Calendar'!$Q$1788)=0,"",IF(('Dvd Calendar'!$Q$1788&gt;=GRID_FROM)*('Dvd Calendar'!$Q$1788&lt;=GRID_TO)*('Dvd Calendar'!$Q$1788&gt;VAL_DATE)=0,"",'Dvd Calendar'!$Q$1788*1000000000+ISNUMBER('Dvd Calendar'!$Q$1789)*100000000+0*10000000+(N('Dvd Calendar'!$Q$1787)&gt;0)*(N('Dvd Calendar'!$Q$1787)&lt;=VAL_SERIAL)*1000000+21*1000+53))</f>
        <v/>
      </c>
      <c r="GF180" s="121">
        <f>IF(N('Dvd Calendar'!$R$1788)=0,"",IF(('Dvd Calendar'!$R$1788&gt;=GRID_FROM)*('Dvd Calendar'!$R$1788&lt;=GRID_TO)*('Dvd Calendar'!$R$1788&gt;VAL_DATE)=0,"",'Dvd Calendar'!$R$1788*1000000000+ISNUMBER('Dvd Calendar'!$R$1789)*100000000+0*10000000+(N('Dvd Calendar'!$R$1787)&gt;0)*(N('Dvd Calendar'!$R$1787)&lt;=VAL_SERIAL)*1000000+21*1000+54))</f>
        <v/>
      </c>
      <c r="GG180" s="121">
        <f>IF(N('Dvd Calendar'!$S$1788)=0,"",IF(('Dvd Calendar'!$S$1788&gt;=GRID_FROM)*('Dvd Calendar'!$S$1788&lt;=GRID_TO)*('Dvd Calendar'!$S$1788&gt;VAL_DATE)=0,"",'Dvd Calendar'!$S$1788*1000000000+ISNUMBER('Dvd Calendar'!$S$1789)*100000000+0*10000000+(N('Dvd Calendar'!$S$1787)&gt;0)*(N('Dvd Calendar'!$S$1787)&lt;=VAL_SERIAL)*1000000+21*1000+55))</f>
        <v/>
      </c>
      <c r="GH180" s="121">
        <f>IF(N('Dvd Calendar'!$T$1788)=0,"",IF(('Dvd Calendar'!$T$1788&gt;=GRID_FROM)*('Dvd Calendar'!$T$1788&lt;=GRID_TO)*('Dvd Calendar'!$T$1788&gt;VAL_DATE)=0,"",'Dvd Calendar'!$T$1788*1000000000+ISNUMBER('Dvd Calendar'!$T$1789)*100000000+0*10000000+(N('Dvd Calendar'!$T$1787)&gt;0)*(N('Dvd Calendar'!$T$1787)&lt;=VAL_SERIAL)*1000000+21*1000+56))</f>
        <v/>
      </c>
      <c r="GI180" s="121">
        <f>IF(N('Dvd Calendar'!$U$1788)=0,"",IF(('Dvd Calendar'!$U$1788&gt;=GRID_FROM)*('Dvd Calendar'!$U$1788&lt;=GRID_TO)*('Dvd Calendar'!$U$1788&gt;VAL_DATE)=0,"",'Dvd Calendar'!$U$1788*1000000000+ISNUMBER('Dvd Calendar'!$U$1789)*100000000+0*10000000+(N('Dvd Calendar'!$U$1787)&gt;0)*(N('Dvd Calendar'!$U$1787)&lt;=VAL_SERIAL)*1000000+21*1000+57))</f>
        <v/>
      </c>
      <c r="GJ180" s="121">
        <f>IF(N('Dvd Calendar'!$V$1788)=0,"",IF(('Dvd Calendar'!$V$1788&gt;=GRID_FROM)*('Dvd Calendar'!$V$1788&lt;=GRID_TO)*('Dvd Calendar'!$V$1788&gt;VAL_DATE)=0,"",'Dvd Calendar'!$V$1788*1000000000+ISNUMBER('Dvd Calendar'!$V$1789)*100000000+0*10000000+(N('Dvd Calendar'!$V$1787)&gt;0)*(N('Dvd Calendar'!$V$1787)&lt;=VAL_SERIAL)*1000000+21*1000+58))</f>
        <v/>
      </c>
      <c r="GK180" s="121">
        <f>IF(N('Dvd Calendar'!$W$1788)=0,"",IF(('Dvd Calendar'!$W$1788&gt;=GRID_FROM)*('Dvd Calendar'!$W$1788&lt;=GRID_TO)*('Dvd Calendar'!$W$1788&gt;VAL_DATE)=0,"",'Dvd Calendar'!$W$1788*1000000000+ISNUMBER('Dvd Calendar'!$W$1789)*100000000+0*10000000+(N('Dvd Calendar'!$W$1787)&gt;0)*(N('Dvd Calendar'!$W$1787)&lt;=VAL_SERIAL)*1000000+21*1000+59))</f>
        <v/>
      </c>
      <c r="GL180" s="121">
        <f>IF(N('Dvd Calendar'!$X$1788)=0,"",IF(('Dvd Calendar'!$X$1788&gt;=GRID_FROM)*('Dvd Calendar'!$X$1788&lt;=GRID_TO)*('Dvd Calendar'!$X$1788&gt;VAL_DATE)=0,"",'Dvd Calendar'!$X$1788*1000000000+ISNUMBER('Dvd Calendar'!$X$1789)*100000000+0*10000000+(N('Dvd Calendar'!$X$1787)&gt;0)*(N('Dvd Calendar'!$X$1787)&lt;=VAL_SERIAL)*1000000+21*1000+60))</f>
        <v/>
      </c>
      <c r="GM180" s="121">
        <f>IF(N('Dvd Calendar'!$Y$1788)=0,"",IF(('Dvd Calendar'!$Y$1788&gt;=GRID_FROM)*('Dvd Calendar'!$Y$1788&lt;=GRID_TO)*('Dvd Calendar'!$Y$1788&gt;VAL_DATE)=0,"",'Dvd Calendar'!$Y$1788*1000000000+ISNUMBER('Dvd Calendar'!$Y$1789)*100000000+0*10000000+(N('Dvd Calendar'!$Y$1787)&gt;0)*(N('Dvd Calendar'!$Y$1787)&lt;=VAL_SERIAL)*1000000+21*1000+61))</f>
        <v/>
      </c>
      <c r="GN180" s="121">
        <f>IF(N('Dvd Calendar'!$Z$1788)=0,"",IF(('Dvd Calendar'!$Z$1788&gt;=GRID_FROM)*('Dvd Calendar'!$Z$1788&lt;=GRID_TO)*('Dvd Calendar'!$Z$1788&gt;VAL_DATE)=0,"",'Dvd Calendar'!$Z$1788*1000000000+ISNUMBER('Dvd Calendar'!$Z$1789)*100000000+0*10000000+(N('Dvd Calendar'!$Z$1787)&gt;0)*(N('Dvd Calendar'!$Z$1787)&lt;=VAL_SERIAL)*1000000+21*1000+62))</f>
        <v/>
      </c>
      <c r="GO180" s="121">
        <f>IF(N('Dvd Calendar'!$AA$1788)=0,"",IF(('Dvd Calendar'!$AA$1788&gt;=GRID_FROM)*('Dvd Calendar'!$AA$1788&lt;=GRID_TO)*('Dvd Calendar'!$AA$1788&gt;VAL_DATE)=0,"",'Dvd Calendar'!$AA$1788*1000000000+ISNUMBER('Dvd Calendar'!$AA$1789)*100000000+0*10000000+(N('Dvd Calendar'!$AA$1787)&gt;0)*(N('Dvd Calendar'!$AA$1787)&lt;=VAL_SERIAL)*1000000+21*1000+63))</f>
        <v/>
      </c>
      <c r="GP180" s="121">
        <f>IF(N('Dvd Calendar'!$AB$1788)=0,"",IF(('Dvd Calendar'!$AB$1788&gt;=GRID_FROM)*('Dvd Calendar'!$AB$1788&lt;=GRID_TO)*('Dvd Calendar'!$AB$1788&gt;VAL_DATE)=0,"",'Dvd Calendar'!$AB$1788*1000000000+ISNUMBER('Dvd Calendar'!$AB$1789)*100000000+0*10000000+(N('Dvd Calendar'!$AB$1787)&gt;0)*(N('Dvd Calendar'!$AB$1787)&lt;=VAL_SERIAL)*1000000+21*1000+64))</f>
        <v/>
      </c>
      <c r="GQ180" s="121">
        <f>IF(N('Dvd Calendar'!$AC$1788)=0,"",IF(('Dvd Calendar'!$AC$1788&gt;=GRID_FROM)*('Dvd Calendar'!$AC$1788&lt;=GRID_TO)*('Dvd Calendar'!$AC$1788&gt;VAL_DATE)=0,"",'Dvd Calendar'!$AC$1788*1000000000+ISNUMBER('Dvd Calendar'!$AC$1789)*100000000+0*10000000+(N('Dvd Calendar'!$AC$1787)&gt;0)*(N('Dvd Calendar'!$AC$1787)&lt;=VAL_SERIAL)*1000000+21*1000+65))</f>
        <v/>
      </c>
    </row>
    <row r="181">
      <c r="B181" s="2">
        <f>IF(HSCEI!$C$28="","",HSCEI!$C$28)</f>
        <v/>
      </c>
      <c r="C181" s="161">
        <f>IF(EE181="","",IF(ISNUMBER('Dvd Calendar'!$E$1795)=FALSE,"",IF((('Dvd Calendar'!$E$1797=TYPE1)*(TYPE1&lt;&gt;"")+('Dvd Calendar'!$E$1797=TYPE2)*(TYPE2&lt;&gt;"")+('Dvd Calendar'!$E$1797=TYPE3)*(TYPE3&lt;&gt;"")+('Dvd Calendar'!$E$1797=TYPE4)*(TYPE4&lt;&gt;"")+('Dvd Calendar'!$E$1797=SPECIAL_LBL)*(INC_SPECIALS="Y"))=0,"",'Dvd Calendar'!$E$1795)))</f>
        <v/>
      </c>
      <c r="D181" s="161">
        <f>IF(EF181="","",IF(ISNUMBER('Dvd Calendar'!$F$1795)=FALSE,"",IF((('Dvd Calendar'!$F$1797=TYPE1)*(TYPE1&lt;&gt;"")+('Dvd Calendar'!$F$1797=TYPE2)*(TYPE2&lt;&gt;"")+('Dvd Calendar'!$F$1797=TYPE3)*(TYPE3&lt;&gt;"")+('Dvd Calendar'!$F$1797=TYPE4)*(TYPE4&lt;&gt;"")+('Dvd Calendar'!$F$1797=SPECIAL_LBL)*(INC_SPECIALS="Y"))=0,"",'Dvd Calendar'!$F$1795)))</f>
        <v/>
      </c>
      <c r="E181" s="161">
        <f>IF(EG181="","",IF(ISNUMBER('Dvd Calendar'!$G$1795)=FALSE,"",IF((('Dvd Calendar'!$G$1797=TYPE1)*(TYPE1&lt;&gt;"")+('Dvd Calendar'!$G$1797=TYPE2)*(TYPE2&lt;&gt;"")+('Dvd Calendar'!$G$1797=TYPE3)*(TYPE3&lt;&gt;"")+('Dvd Calendar'!$G$1797=TYPE4)*(TYPE4&lt;&gt;"")+('Dvd Calendar'!$G$1797=SPECIAL_LBL)*(INC_SPECIALS="Y"))=0,"",'Dvd Calendar'!$G$1795)))</f>
        <v/>
      </c>
      <c r="F181" s="161">
        <f>IF(EH181="","",IF(ISNUMBER('Dvd Calendar'!$H$1795)=FALSE,"",IF((('Dvd Calendar'!$H$1797=TYPE1)*(TYPE1&lt;&gt;"")+('Dvd Calendar'!$H$1797=TYPE2)*(TYPE2&lt;&gt;"")+('Dvd Calendar'!$H$1797=TYPE3)*(TYPE3&lt;&gt;"")+('Dvd Calendar'!$H$1797=TYPE4)*(TYPE4&lt;&gt;"")+('Dvd Calendar'!$H$1797=SPECIAL_LBL)*(INC_SPECIALS="Y"))=0,"",'Dvd Calendar'!$H$1795)))</f>
        <v/>
      </c>
      <c r="G181" s="161">
        <f>IF(EI181="","",IF(ISNUMBER('Dvd Calendar'!$I$1795)=FALSE,"",IF((('Dvd Calendar'!$I$1797=TYPE1)*(TYPE1&lt;&gt;"")+('Dvd Calendar'!$I$1797=TYPE2)*(TYPE2&lt;&gt;"")+('Dvd Calendar'!$I$1797=TYPE3)*(TYPE3&lt;&gt;"")+('Dvd Calendar'!$I$1797=TYPE4)*(TYPE4&lt;&gt;"")+('Dvd Calendar'!$I$1797=SPECIAL_LBL)*(INC_SPECIALS="Y"))=0,"",'Dvd Calendar'!$I$1795)))</f>
        <v/>
      </c>
      <c r="H181" s="161">
        <f>IF(EJ181="","",IF(ISNUMBER('Dvd Calendar'!$J$1795)=FALSE,"",IF((('Dvd Calendar'!$J$1797=TYPE1)*(TYPE1&lt;&gt;"")+('Dvd Calendar'!$J$1797=TYPE2)*(TYPE2&lt;&gt;"")+('Dvd Calendar'!$J$1797=TYPE3)*(TYPE3&lt;&gt;"")+('Dvd Calendar'!$J$1797=TYPE4)*(TYPE4&lt;&gt;"")+('Dvd Calendar'!$J$1797=SPECIAL_LBL)*(INC_SPECIALS="Y"))=0,"",'Dvd Calendar'!$J$1795)))</f>
        <v/>
      </c>
      <c r="I181" s="161">
        <f>IF(EK181="","",IF(ISNUMBER('Dvd Calendar'!$K$1795)=FALSE,"",IF((('Dvd Calendar'!$K$1797=TYPE1)*(TYPE1&lt;&gt;"")+('Dvd Calendar'!$K$1797=TYPE2)*(TYPE2&lt;&gt;"")+('Dvd Calendar'!$K$1797=TYPE3)*(TYPE3&lt;&gt;"")+('Dvd Calendar'!$K$1797=TYPE4)*(TYPE4&lt;&gt;"")+('Dvd Calendar'!$K$1797=SPECIAL_LBL)*(INC_SPECIALS="Y"))=0,"",'Dvd Calendar'!$K$1795)))</f>
        <v/>
      </c>
      <c r="J181" s="161">
        <f>IF(EL181="","",IF(ISNUMBER('Dvd Calendar'!$L$1795)=FALSE,"",IF((('Dvd Calendar'!$L$1797=TYPE1)*(TYPE1&lt;&gt;"")+('Dvd Calendar'!$L$1797=TYPE2)*(TYPE2&lt;&gt;"")+('Dvd Calendar'!$L$1797=TYPE3)*(TYPE3&lt;&gt;"")+('Dvd Calendar'!$L$1797=TYPE4)*(TYPE4&lt;&gt;"")+('Dvd Calendar'!$L$1797=SPECIAL_LBL)*(INC_SPECIALS="Y"))=0,"",'Dvd Calendar'!$L$1795)))</f>
        <v/>
      </c>
      <c r="K181" s="161">
        <f>IF(EM181="","",IF(ISNUMBER('Dvd Calendar'!$M$1795)=FALSE,"",IF((('Dvd Calendar'!$M$1797=TYPE1)*(TYPE1&lt;&gt;"")+('Dvd Calendar'!$M$1797=TYPE2)*(TYPE2&lt;&gt;"")+('Dvd Calendar'!$M$1797=TYPE3)*(TYPE3&lt;&gt;"")+('Dvd Calendar'!$M$1797=TYPE4)*(TYPE4&lt;&gt;"")+('Dvd Calendar'!$M$1797=SPECIAL_LBL)*(INC_SPECIALS="Y"))=0,"",'Dvd Calendar'!$M$1795)))</f>
        <v/>
      </c>
      <c r="L181" s="161">
        <f>IF(EN181="","",IF(ISNUMBER('Dvd Calendar'!$N$1795)=FALSE,"",IF((('Dvd Calendar'!$N$1797=TYPE1)*(TYPE1&lt;&gt;"")+('Dvd Calendar'!$N$1797=TYPE2)*(TYPE2&lt;&gt;"")+('Dvd Calendar'!$N$1797=TYPE3)*(TYPE3&lt;&gt;"")+('Dvd Calendar'!$N$1797=TYPE4)*(TYPE4&lt;&gt;"")+('Dvd Calendar'!$N$1797=SPECIAL_LBL)*(INC_SPECIALS="Y"))=0,"",'Dvd Calendar'!$N$1795)))</f>
        <v/>
      </c>
      <c r="M181" s="161">
        <f>IF(EO181="","",IF(ISNUMBER('Dvd Calendar'!$O$1795)=FALSE,"",IF((('Dvd Calendar'!$O$1797=TYPE1)*(TYPE1&lt;&gt;"")+('Dvd Calendar'!$O$1797=TYPE2)*(TYPE2&lt;&gt;"")+('Dvd Calendar'!$O$1797=TYPE3)*(TYPE3&lt;&gt;"")+('Dvd Calendar'!$O$1797=TYPE4)*(TYPE4&lt;&gt;"")+('Dvd Calendar'!$O$1797=SPECIAL_LBL)*(INC_SPECIALS="Y"))=0,"",'Dvd Calendar'!$O$1795)))</f>
        <v/>
      </c>
      <c r="N181" s="161">
        <f>IF(EP181="","",IF(ISNUMBER('Dvd Calendar'!$P$1795)=FALSE,"",IF((('Dvd Calendar'!$P$1797=TYPE1)*(TYPE1&lt;&gt;"")+('Dvd Calendar'!$P$1797=TYPE2)*(TYPE2&lt;&gt;"")+('Dvd Calendar'!$P$1797=TYPE3)*(TYPE3&lt;&gt;"")+('Dvd Calendar'!$P$1797=TYPE4)*(TYPE4&lt;&gt;"")+('Dvd Calendar'!$P$1797=SPECIAL_LBL)*(INC_SPECIALS="Y"))=0,"",'Dvd Calendar'!$P$1795)))</f>
        <v/>
      </c>
      <c r="O181" s="161">
        <f>IF(EQ181="","",IF(ISNUMBER('Dvd Calendar'!$Q$1795)=FALSE,"",IF((('Dvd Calendar'!$Q$1797=TYPE1)*(TYPE1&lt;&gt;"")+('Dvd Calendar'!$Q$1797=TYPE2)*(TYPE2&lt;&gt;"")+('Dvd Calendar'!$Q$1797=TYPE3)*(TYPE3&lt;&gt;"")+('Dvd Calendar'!$Q$1797=TYPE4)*(TYPE4&lt;&gt;"")+('Dvd Calendar'!$Q$1797=SPECIAL_LBL)*(INC_SPECIALS="Y"))=0,"",'Dvd Calendar'!$Q$1795)))</f>
        <v/>
      </c>
      <c r="P181" s="161">
        <f>IF(ER181="","",IF(ISNUMBER('Dvd Calendar'!$R$1795)=FALSE,"",IF((('Dvd Calendar'!$R$1797=TYPE1)*(TYPE1&lt;&gt;"")+('Dvd Calendar'!$R$1797=TYPE2)*(TYPE2&lt;&gt;"")+('Dvd Calendar'!$R$1797=TYPE3)*(TYPE3&lt;&gt;"")+('Dvd Calendar'!$R$1797=TYPE4)*(TYPE4&lt;&gt;"")+('Dvd Calendar'!$R$1797=SPECIAL_LBL)*(INC_SPECIALS="Y"))=0,"",'Dvd Calendar'!$R$1795)))</f>
        <v/>
      </c>
      <c r="Q181" s="161">
        <f>IF(ES181="","",IF(ISNUMBER('Dvd Calendar'!$S$1795)=FALSE,"",IF((('Dvd Calendar'!$S$1797=TYPE1)*(TYPE1&lt;&gt;"")+('Dvd Calendar'!$S$1797=TYPE2)*(TYPE2&lt;&gt;"")+('Dvd Calendar'!$S$1797=TYPE3)*(TYPE3&lt;&gt;"")+('Dvd Calendar'!$S$1797=TYPE4)*(TYPE4&lt;&gt;"")+('Dvd Calendar'!$S$1797=SPECIAL_LBL)*(INC_SPECIALS="Y"))=0,"",'Dvd Calendar'!$S$1795)))</f>
        <v/>
      </c>
      <c r="R181" s="161">
        <f>IF(ET181="","",IF(ISNUMBER('Dvd Calendar'!$T$1795)=FALSE,"",IF((('Dvd Calendar'!$T$1797=TYPE1)*(TYPE1&lt;&gt;"")+('Dvd Calendar'!$T$1797=TYPE2)*(TYPE2&lt;&gt;"")+('Dvd Calendar'!$T$1797=TYPE3)*(TYPE3&lt;&gt;"")+('Dvd Calendar'!$T$1797=TYPE4)*(TYPE4&lt;&gt;"")+('Dvd Calendar'!$T$1797=SPECIAL_LBL)*(INC_SPECIALS="Y"))=0,"",'Dvd Calendar'!$T$1795)))</f>
        <v/>
      </c>
      <c r="S181" s="161">
        <f>IF(EU181="","",IF(ISNUMBER('Dvd Calendar'!$U$1795)=FALSE,"",IF((('Dvd Calendar'!$U$1797=TYPE1)*(TYPE1&lt;&gt;"")+('Dvd Calendar'!$U$1797=TYPE2)*(TYPE2&lt;&gt;"")+('Dvd Calendar'!$U$1797=TYPE3)*(TYPE3&lt;&gt;"")+('Dvd Calendar'!$U$1797=TYPE4)*(TYPE4&lt;&gt;"")+('Dvd Calendar'!$U$1797=SPECIAL_LBL)*(INC_SPECIALS="Y"))=0,"",'Dvd Calendar'!$U$1795)))</f>
        <v/>
      </c>
      <c r="T181" s="161">
        <f>IF(EV181="","",IF(ISNUMBER('Dvd Calendar'!$V$1795)=FALSE,"",IF((('Dvd Calendar'!$V$1797=TYPE1)*(TYPE1&lt;&gt;"")+('Dvd Calendar'!$V$1797=TYPE2)*(TYPE2&lt;&gt;"")+('Dvd Calendar'!$V$1797=TYPE3)*(TYPE3&lt;&gt;"")+('Dvd Calendar'!$V$1797=TYPE4)*(TYPE4&lt;&gt;"")+('Dvd Calendar'!$V$1797=SPECIAL_LBL)*(INC_SPECIALS="Y"))=0,"",'Dvd Calendar'!$V$1795)))</f>
        <v/>
      </c>
      <c r="U181" s="161">
        <f>IF(EW181="","",IF(ISNUMBER('Dvd Calendar'!$W$1795)=FALSE,"",IF((('Dvd Calendar'!$W$1797=TYPE1)*(TYPE1&lt;&gt;"")+('Dvd Calendar'!$W$1797=TYPE2)*(TYPE2&lt;&gt;"")+('Dvd Calendar'!$W$1797=TYPE3)*(TYPE3&lt;&gt;"")+('Dvd Calendar'!$W$1797=TYPE4)*(TYPE4&lt;&gt;"")+('Dvd Calendar'!$W$1797=SPECIAL_LBL)*(INC_SPECIALS="Y"))=0,"",'Dvd Calendar'!$W$1795)))</f>
        <v/>
      </c>
      <c r="V181" s="161">
        <f>IF(EX181="","",IF(ISNUMBER('Dvd Calendar'!$X$1795)=FALSE,"",IF((('Dvd Calendar'!$X$1797=TYPE1)*(TYPE1&lt;&gt;"")+('Dvd Calendar'!$X$1797=TYPE2)*(TYPE2&lt;&gt;"")+('Dvd Calendar'!$X$1797=TYPE3)*(TYPE3&lt;&gt;"")+('Dvd Calendar'!$X$1797=TYPE4)*(TYPE4&lt;&gt;"")+('Dvd Calendar'!$X$1797=SPECIAL_LBL)*(INC_SPECIALS="Y"))=0,"",'Dvd Calendar'!$X$1795)))</f>
        <v/>
      </c>
      <c r="W181" s="161">
        <f>IF(EY181="","",IF(ISNUMBER('Dvd Calendar'!$Y$1795)=FALSE,"",IF((('Dvd Calendar'!$Y$1797=TYPE1)*(TYPE1&lt;&gt;"")+('Dvd Calendar'!$Y$1797=TYPE2)*(TYPE2&lt;&gt;"")+('Dvd Calendar'!$Y$1797=TYPE3)*(TYPE3&lt;&gt;"")+('Dvd Calendar'!$Y$1797=TYPE4)*(TYPE4&lt;&gt;"")+('Dvd Calendar'!$Y$1797=SPECIAL_LBL)*(INC_SPECIALS="Y"))=0,"",'Dvd Calendar'!$Y$1795)))</f>
        <v/>
      </c>
      <c r="X181" s="161">
        <f>IF(EZ181="","",IF(ISNUMBER('Dvd Calendar'!$Z$1795)=FALSE,"",IF((('Dvd Calendar'!$Z$1797=TYPE1)*(TYPE1&lt;&gt;"")+('Dvd Calendar'!$Z$1797=TYPE2)*(TYPE2&lt;&gt;"")+('Dvd Calendar'!$Z$1797=TYPE3)*(TYPE3&lt;&gt;"")+('Dvd Calendar'!$Z$1797=TYPE4)*(TYPE4&lt;&gt;"")+('Dvd Calendar'!$Z$1797=SPECIAL_LBL)*(INC_SPECIALS="Y"))=0,"",'Dvd Calendar'!$Z$1795)))</f>
        <v/>
      </c>
      <c r="Y181" s="161">
        <f>IF(FA181="","",IF(ISNUMBER('Dvd Calendar'!$AA$1795)=FALSE,"",IF((('Dvd Calendar'!$AA$1797=TYPE1)*(TYPE1&lt;&gt;"")+('Dvd Calendar'!$AA$1797=TYPE2)*(TYPE2&lt;&gt;"")+('Dvd Calendar'!$AA$1797=TYPE3)*(TYPE3&lt;&gt;"")+('Dvd Calendar'!$AA$1797=TYPE4)*(TYPE4&lt;&gt;"")+('Dvd Calendar'!$AA$1797=SPECIAL_LBL)*(INC_SPECIALS="Y"))=0,"",'Dvd Calendar'!$AA$1795)))</f>
        <v/>
      </c>
      <c r="Z181" s="161">
        <f>IF(FB181="","",IF(ISNUMBER('Dvd Calendar'!$AB$1795)=FALSE,"",IF((('Dvd Calendar'!$AB$1797=TYPE1)*(TYPE1&lt;&gt;"")+('Dvd Calendar'!$AB$1797=TYPE2)*(TYPE2&lt;&gt;"")+('Dvd Calendar'!$AB$1797=TYPE3)*(TYPE3&lt;&gt;"")+('Dvd Calendar'!$AB$1797=TYPE4)*(TYPE4&lt;&gt;"")+('Dvd Calendar'!$AB$1797=SPECIAL_LBL)*(INC_SPECIALS="Y"))=0,"",'Dvd Calendar'!$AB$1795)))</f>
        <v/>
      </c>
      <c r="AA181" s="161">
        <f>IF(FC181="","",IF(ISNUMBER('Dvd Calendar'!$AC$1795)=FALSE,"",IF((('Dvd Calendar'!$AC$1797=TYPE1)*(TYPE1&lt;&gt;"")+('Dvd Calendar'!$AC$1797=TYPE2)*(TYPE2&lt;&gt;"")+('Dvd Calendar'!$AC$1797=TYPE3)*(TYPE3&lt;&gt;"")+('Dvd Calendar'!$AC$1797=TYPE4)*(TYPE4&lt;&gt;"")+('Dvd Calendar'!$AC$1797=SPECIAL_LBL)*(INC_SPECIALS="Y"))=0,"",'Dvd Calendar'!$AC$1795)))</f>
        <v/>
      </c>
      <c r="AB181" s="161">
        <f>IF(FD181="","",IF(ISNUMBER('Dvd Calendar'!$AD$1795)=FALSE,"",IF((('Dvd Calendar'!$AD$1797=TYPE1)*(TYPE1&lt;&gt;"")+('Dvd Calendar'!$AD$1797=TYPE2)*(TYPE2&lt;&gt;"")+('Dvd Calendar'!$AD$1797=TYPE3)*(TYPE3&lt;&gt;"")+('Dvd Calendar'!$AD$1797=TYPE4)*(TYPE4&lt;&gt;"")+('Dvd Calendar'!$AD$1797=SPECIAL_LBL)*(INC_SPECIALS="Y"))=0,"",'Dvd Calendar'!$AD$1795)))</f>
        <v/>
      </c>
      <c r="AC181" s="161">
        <f>IF(FE181="","",IF(ISNUMBER('Dvd Calendar'!$AE$1795)=FALSE,"",IF((('Dvd Calendar'!$AE$1797=TYPE1)*(TYPE1&lt;&gt;"")+('Dvd Calendar'!$AE$1797=TYPE2)*(TYPE2&lt;&gt;"")+('Dvd Calendar'!$AE$1797=TYPE3)*(TYPE3&lt;&gt;"")+('Dvd Calendar'!$AE$1797=TYPE4)*(TYPE4&lt;&gt;"")+('Dvd Calendar'!$AE$1797=SPECIAL_LBL)*(INC_SPECIALS="Y"))=0,"",'Dvd Calendar'!$AE$1795)))</f>
        <v/>
      </c>
      <c r="AD181" s="161">
        <f>IF(FF181="","",IF(ISNUMBER('Dvd Calendar'!$AF$1795)=FALSE,"",IF((('Dvd Calendar'!$AF$1797=TYPE1)*(TYPE1&lt;&gt;"")+('Dvd Calendar'!$AF$1797=TYPE2)*(TYPE2&lt;&gt;"")+('Dvd Calendar'!$AF$1797=TYPE3)*(TYPE3&lt;&gt;"")+('Dvd Calendar'!$AF$1797=TYPE4)*(TYPE4&lt;&gt;"")+('Dvd Calendar'!$AF$1797=SPECIAL_LBL)*(INC_SPECIALS="Y"))=0,"",'Dvd Calendar'!$AF$1795)))</f>
        <v/>
      </c>
      <c r="AE181" s="161">
        <f>IF(FG181="","",IF(ISNUMBER('Dvd Calendar'!$AG$1795)=FALSE,"",IF((('Dvd Calendar'!$AG$1797=TYPE1)*(TYPE1&lt;&gt;"")+('Dvd Calendar'!$AG$1797=TYPE2)*(TYPE2&lt;&gt;"")+('Dvd Calendar'!$AG$1797=TYPE3)*(TYPE3&lt;&gt;"")+('Dvd Calendar'!$AG$1797=TYPE4)*(TYPE4&lt;&gt;"")+('Dvd Calendar'!$AG$1797=SPECIAL_LBL)*(INC_SPECIALS="Y"))=0,"",'Dvd Calendar'!$AG$1795)))</f>
        <v/>
      </c>
      <c r="AF181" s="161">
        <f>IF(FH181="","",IF(ISNUMBER('Dvd Calendar'!$AH$1795)=FALSE,"",IF((('Dvd Calendar'!$AH$1797=TYPE1)*(TYPE1&lt;&gt;"")+('Dvd Calendar'!$AH$1797=TYPE2)*(TYPE2&lt;&gt;"")+('Dvd Calendar'!$AH$1797=TYPE3)*(TYPE3&lt;&gt;"")+('Dvd Calendar'!$AH$1797=TYPE4)*(TYPE4&lt;&gt;"")+('Dvd Calendar'!$AH$1797=SPECIAL_LBL)*(INC_SPECIALS="Y"))=0,"",'Dvd Calendar'!$AH$1795)))</f>
        <v/>
      </c>
      <c r="AG181" s="161">
        <f>IF(FI181="","",IF(ISNUMBER('Dvd Calendar'!$AI$1795)=FALSE,"",IF((('Dvd Calendar'!$AI$1797=TYPE1)*(TYPE1&lt;&gt;"")+('Dvd Calendar'!$AI$1797=TYPE2)*(TYPE2&lt;&gt;"")+('Dvd Calendar'!$AI$1797=TYPE3)*(TYPE3&lt;&gt;"")+('Dvd Calendar'!$AI$1797=TYPE4)*(TYPE4&lt;&gt;"")+('Dvd Calendar'!$AI$1797=SPECIAL_LBL)*(INC_SPECIALS="Y"))=0,"",'Dvd Calendar'!$AI$1795)))</f>
        <v/>
      </c>
      <c r="AH181" s="161">
        <f>IF(FJ181="","",IF(ISNUMBER('Dvd Calendar'!$AJ$1795)=FALSE,"",IF((('Dvd Calendar'!$AJ$1797=TYPE1)*(TYPE1&lt;&gt;"")+('Dvd Calendar'!$AJ$1797=TYPE2)*(TYPE2&lt;&gt;"")+('Dvd Calendar'!$AJ$1797=TYPE3)*(TYPE3&lt;&gt;"")+('Dvd Calendar'!$AJ$1797=TYPE4)*(TYPE4&lt;&gt;"")+('Dvd Calendar'!$AJ$1797=SPECIAL_LBL)*(INC_SPECIALS="Y"))=0,"",'Dvd Calendar'!$AJ$1795)))</f>
        <v/>
      </c>
      <c r="AI181" s="161">
        <f>IF(FK181="","",IF(ISNUMBER('Dvd Calendar'!$AK$1795)=FALSE,"",IF((('Dvd Calendar'!$AK$1797=TYPE1)*(TYPE1&lt;&gt;"")+('Dvd Calendar'!$AK$1797=TYPE2)*(TYPE2&lt;&gt;"")+('Dvd Calendar'!$AK$1797=TYPE3)*(TYPE3&lt;&gt;"")+('Dvd Calendar'!$AK$1797=TYPE4)*(TYPE4&lt;&gt;"")+('Dvd Calendar'!$AK$1797=SPECIAL_LBL)*(INC_SPECIALS="Y"))=0,"",'Dvd Calendar'!$AK$1795)))</f>
        <v/>
      </c>
      <c r="AJ181" s="161">
        <f>IF(FL181="","",IF(ISNUMBER('Dvd Calendar'!$AL$1795)=FALSE,"",IF((('Dvd Calendar'!$AL$1797=TYPE1)*(TYPE1&lt;&gt;"")+('Dvd Calendar'!$AL$1797=TYPE2)*(TYPE2&lt;&gt;"")+('Dvd Calendar'!$AL$1797=TYPE3)*(TYPE3&lt;&gt;"")+('Dvd Calendar'!$AL$1797=TYPE4)*(TYPE4&lt;&gt;"")+('Dvd Calendar'!$AL$1797=SPECIAL_LBL)*(INC_SPECIALS="Y"))=0,"",'Dvd Calendar'!$AL$1795)))</f>
        <v/>
      </c>
      <c r="AK181" s="161">
        <f>IF(FM181="","",IF(ISNUMBER('Dvd Calendar'!$AM$1795)=FALSE,"",IF((('Dvd Calendar'!$AM$1797=TYPE1)*(TYPE1&lt;&gt;"")+('Dvd Calendar'!$AM$1797=TYPE2)*(TYPE2&lt;&gt;"")+('Dvd Calendar'!$AM$1797=TYPE3)*(TYPE3&lt;&gt;"")+('Dvd Calendar'!$AM$1797=TYPE4)*(TYPE4&lt;&gt;"")+('Dvd Calendar'!$AM$1797=SPECIAL_LBL)*(INC_SPECIALS="Y"))=0,"",'Dvd Calendar'!$AM$1795)))</f>
        <v/>
      </c>
      <c r="AL181" s="161">
        <f>IF(FN181="","",IF(ISNUMBER('Dvd Calendar'!$AN$1795)=FALSE,"",IF((('Dvd Calendar'!$AN$1797=TYPE1)*(TYPE1&lt;&gt;"")+('Dvd Calendar'!$AN$1797=TYPE2)*(TYPE2&lt;&gt;"")+('Dvd Calendar'!$AN$1797=TYPE3)*(TYPE3&lt;&gt;"")+('Dvd Calendar'!$AN$1797=TYPE4)*(TYPE4&lt;&gt;"")+('Dvd Calendar'!$AN$1797=SPECIAL_LBL)*(INC_SPECIALS="Y"))=0,"",'Dvd Calendar'!$AN$1795)))</f>
        <v/>
      </c>
      <c r="AM181" s="161">
        <f>IF(FO181="","",IF(ISNUMBER('Dvd Calendar'!$AO$1795)=FALSE,"",IF((('Dvd Calendar'!$AO$1797=TYPE1)*(TYPE1&lt;&gt;"")+('Dvd Calendar'!$AO$1797=TYPE2)*(TYPE2&lt;&gt;"")+('Dvd Calendar'!$AO$1797=TYPE3)*(TYPE3&lt;&gt;"")+('Dvd Calendar'!$AO$1797=TYPE4)*(TYPE4&lt;&gt;"")+('Dvd Calendar'!$AO$1797=SPECIAL_LBL)*(INC_SPECIALS="Y"))=0,"",'Dvd Calendar'!$AO$1795)))</f>
        <v/>
      </c>
      <c r="AN181" s="161">
        <f>IF(FP181="","",IF(ISNUMBER('Dvd Calendar'!$AP$1795)=FALSE,"",IF((('Dvd Calendar'!$AP$1797=TYPE1)*(TYPE1&lt;&gt;"")+('Dvd Calendar'!$AP$1797=TYPE2)*(TYPE2&lt;&gt;"")+('Dvd Calendar'!$AP$1797=TYPE3)*(TYPE3&lt;&gt;"")+('Dvd Calendar'!$AP$1797=TYPE4)*(TYPE4&lt;&gt;"")+('Dvd Calendar'!$AP$1797=SPECIAL_LBL)*(INC_SPECIALS="Y"))=0,"",'Dvd Calendar'!$AP$1795)))</f>
        <v/>
      </c>
      <c r="AO181" s="161">
        <f>IF(FQ181="","",IF(ISNUMBER('Dvd Calendar'!$AQ$1795)=FALSE,"",IF((('Dvd Calendar'!$AQ$1797=TYPE1)*(TYPE1&lt;&gt;"")+('Dvd Calendar'!$AQ$1797=TYPE2)*(TYPE2&lt;&gt;"")+('Dvd Calendar'!$AQ$1797=TYPE3)*(TYPE3&lt;&gt;"")+('Dvd Calendar'!$AQ$1797=TYPE4)*(TYPE4&lt;&gt;"")+('Dvd Calendar'!$AQ$1797=SPECIAL_LBL)*(INC_SPECIALS="Y"))=0,"",'Dvd Calendar'!$AQ$1795)))</f>
        <v/>
      </c>
      <c r="AP181" s="161">
        <f>IF(FR181="","",IF(ISNUMBER('Dvd Calendar'!$AR$1795)=FALSE,"",IF((('Dvd Calendar'!$AR$1797=TYPE1)*(TYPE1&lt;&gt;"")+('Dvd Calendar'!$AR$1797=TYPE2)*(TYPE2&lt;&gt;"")+('Dvd Calendar'!$AR$1797=TYPE3)*(TYPE3&lt;&gt;"")+('Dvd Calendar'!$AR$1797=TYPE4)*(TYPE4&lt;&gt;"")+('Dvd Calendar'!$AR$1797=SPECIAL_LBL)*(INC_SPECIALS="Y"))=0,"",'Dvd Calendar'!$AR$1795)))</f>
        <v/>
      </c>
      <c r="AQ181" s="161">
        <f>IF(FS181="","",IF(ISNUMBER('Dvd Calendar'!$E$1800)=FALSE,"",'Dvd Calendar'!$E$1800))</f>
        <v/>
      </c>
      <c r="AR181" s="161">
        <f>IF(FT181="","",IF(ISNUMBER('Dvd Calendar'!$F$1800)=FALSE,"",'Dvd Calendar'!$F$1800))</f>
        <v/>
      </c>
      <c r="AS181" s="161">
        <f>IF(FU181="","",IF(ISNUMBER('Dvd Calendar'!$G$1800)=FALSE,"",'Dvd Calendar'!$G$1800))</f>
        <v/>
      </c>
      <c r="AT181" s="161">
        <f>IF(FV181="","",IF(ISNUMBER('Dvd Calendar'!$H$1800)=FALSE,"",'Dvd Calendar'!$H$1800))</f>
        <v/>
      </c>
      <c r="AU181" s="161">
        <f>IF(FW181="","",IF(ISNUMBER('Dvd Calendar'!$I$1800)=FALSE,"",'Dvd Calendar'!$I$1800))</f>
        <v/>
      </c>
      <c r="AV181" s="161">
        <f>IF(FX181="","",IF(ISNUMBER('Dvd Calendar'!$J$1800)=FALSE,"",'Dvd Calendar'!$J$1800))</f>
        <v/>
      </c>
      <c r="AW181" s="161">
        <f>IF(FY181="","",IF(ISNUMBER('Dvd Calendar'!$K$1800)=FALSE,"",'Dvd Calendar'!$K$1800))</f>
        <v/>
      </c>
      <c r="AX181" s="161">
        <f>IF(FZ181="","",IF(ISNUMBER('Dvd Calendar'!$L$1800)=FALSE,"",'Dvd Calendar'!$L$1800))</f>
        <v/>
      </c>
      <c r="AY181" s="161">
        <f>IF(GA181="","",IF(ISNUMBER('Dvd Calendar'!$M$1800)=FALSE,"",'Dvd Calendar'!$M$1800))</f>
        <v/>
      </c>
      <c r="AZ181" s="161">
        <f>IF(GB181="","",IF(ISNUMBER('Dvd Calendar'!$N$1800)=FALSE,"",'Dvd Calendar'!$N$1800))</f>
        <v/>
      </c>
      <c r="BA181" s="161">
        <f>IF(GC181="","",IF(ISNUMBER('Dvd Calendar'!$O$1800)=FALSE,"",'Dvd Calendar'!$O$1800))</f>
        <v/>
      </c>
      <c r="BB181" s="161">
        <f>IF(GD181="","",IF(ISNUMBER('Dvd Calendar'!$P$1800)=FALSE,"",'Dvd Calendar'!$P$1800))</f>
        <v/>
      </c>
      <c r="BC181" s="161">
        <f>IF(GE181="","",IF(ISNUMBER('Dvd Calendar'!$Q$1800)=FALSE,"",'Dvd Calendar'!$Q$1800))</f>
        <v/>
      </c>
      <c r="BD181" s="161">
        <f>IF(GF181="","",IF(ISNUMBER('Dvd Calendar'!$R$1800)=FALSE,"",'Dvd Calendar'!$R$1800))</f>
        <v/>
      </c>
      <c r="BE181" s="161">
        <f>IF(GG181="","",IF(ISNUMBER('Dvd Calendar'!$S$1800)=FALSE,"",'Dvd Calendar'!$S$1800))</f>
        <v/>
      </c>
      <c r="BF181" s="161">
        <f>IF(GH181="","",IF(ISNUMBER('Dvd Calendar'!$T$1800)=FALSE,"",'Dvd Calendar'!$T$1800))</f>
        <v/>
      </c>
      <c r="BG181" s="161">
        <f>IF(GI181="","",IF(ISNUMBER('Dvd Calendar'!$U$1800)=FALSE,"",'Dvd Calendar'!$U$1800))</f>
        <v/>
      </c>
      <c r="BH181" s="161">
        <f>IF(GJ181="","",IF(ISNUMBER('Dvd Calendar'!$V$1800)=FALSE,"",'Dvd Calendar'!$V$1800))</f>
        <v/>
      </c>
      <c r="BI181" s="161">
        <f>IF(GK181="","",IF(ISNUMBER('Dvd Calendar'!$W$1800)=FALSE,"",'Dvd Calendar'!$W$1800))</f>
        <v/>
      </c>
      <c r="BJ181" s="161">
        <f>IF(GL181="","",IF(ISNUMBER('Dvd Calendar'!$X$1800)=FALSE,"",'Dvd Calendar'!$X$1800))</f>
        <v/>
      </c>
      <c r="BK181" s="161">
        <f>IF(GM181="","",IF(ISNUMBER('Dvd Calendar'!$Y$1800)=FALSE,"",'Dvd Calendar'!$Y$1800))</f>
        <v/>
      </c>
      <c r="BL181" s="161">
        <f>IF(GN181="","",IF(ISNUMBER('Dvd Calendar'!$Z$1800)=FALSE,"",'Dvd Calendar'!$Z$1800))</f>
        <v/>
      </c>
      <c r="BM181" s="161">
        <f>IF(GO181="","",IF(ISNUMBER('Dvd Calendar'!$AA$1800)=FALSE,"",'Dvd Calendar'!$AA$1800))</f>
        <v/>
      </c>
      <c r="BN181" s="161">
        <f>IF(GP181="","",IF(ISNUMBER('Dvd Calendar'!$AB$1800)=FALSE,"",'Dvd Calendar'!$AB$1800))</f>
        <v/>
      </c>
      <c r="BO181" s="161">
        <f>IF(GQ181="","",IF(ISNUMBER('Dvd Calendar'!$AC$1800)=FALSE,"",'Dvd Calendar'!$AC$1800))</f>
        <v/>
      </c>
      <c r="BQ181" s="161">
        <f>IF(C181="","",IFERROR(C181*HSCEI!$B$28*HSCEI!$G$28/HSCEI!$B$3,""))</f>
        <v/>
      </c>
      <c r="BR181" s="161">
        <f>IF(D181="","",IFERROR(D181*HSCEI!$B$28*HSCEI!$G$28/HSCEI!$B$3,""))</f>
        <v/>
      </c>
      <c r="BS181" s="161">
        <f>IF(E181="","",IFERROR(E181*HSCEI!$B$28*HSCEI!$G$28/HSCEI!$B$3,""))</f>
        <v/>
      </c>
      <c r="BT181" s="161">
        <f>IF(F181="","",IFERROR(F181*HSCEI!$B$28*HSCEI!$G$28/HSCEI!$B$3,""))</f>
        <v/>
      </c>
      <c r="BU181" s="161">
        <f>IF(G181="","",IFERROR(G181*HSCEI!$B$28*HSCEI!$G$28/HSCEI!$B$3,""))</f>
        <v/>
      </c>
      <c r="BV181" s="161">
        <f>IF(H181="","",IFERROR(H181*HSCEI!$B$28*HSCEI!$G$28/HSCEI!$B$3,""))</f>
        <v/>
      </c>
      <c r="BW181" s="161">
        <f>IF(I181="","",IFERROR(I181*HSCEI!$B$28*HSCEI!$G$28/HSCEI!$B$3,""))</f>
        <v/>
      </c>
      <c r="BX181" s="161">
        <f>IF(J181="","",IFERROR(J181*HSCEI!$B$28*HSCEI!$G$28/HSCEI!$B$3,""))</f>
        <v/>
      </c>
      <c r="BY181" s="161">
        <f>IF(K181="","",IFERROR(K181*HSCEI!$B$28*HSCEI!$G$28/HSCEI!$B$3,""))</f>
        <v/>
      </c>
      <c r="BZ181" s="161">
        <f>IF(L181="","",IFERROR(L181*HSCEI!$B$28*HSCEI!$G$28/HSCEI!$B$3,""))</f>
        <v/>
      </c>
      <c r="CA181" s="161">
        <f>IF(M181="","",IFERROR(M181*HSCEI!$B$28*HSCEI!$G$28/HSCEI!$B$3,""))</f>
        <v/>
      </c>
      <c r="CB181" s="161">
        <f>IF(N181="","",IFERROR(N181*HSCEI!$B$28*HSCEI!$G$28/HSCEI!$B$3,""))</f>
        <v/>
      </c>
      <c r="CC181" s="161">
        <f>IF(O181="","",IFERROR(O181*HSCEI!$B$28*HSCEI!$G$28/HSCEI!$B$3,""))</f>
        <v/>
      </c>
      <c r="CD181" s="161">
        <f>IF(P181="","",IFERROR(P181*HSCEI!$B$28*HSCEI!$G$28/HSCEI!$B$3,""))</f>
        <v/>
      </c>
      <c r="CE181" s="161">
        <f>IF(Q181="","",IFERROR(Q181*HSCEI!$B$28*HSCEI!$G$28/HSCEI!$B$3,""))</f>
        <v/>
      </c>
      <c r="CF181" s="161">
        <f>IF(R181="","",IFERROR(R181*HSCEI!$B$28*HSCEI!$G$28/HSCEI!$B$3,""))</f>
        <v/>
      </c>
      <c r="CG181" s="161">
        <f>IF(S181="","",IFERROR(S181*HSCEI!$B$28*HSCEI!$G$28/HSCEI!$B$3,""))</f>
        <v/>
      </c>
      <c r="CH181" s="161">
        <f>IF(T181="","",IFERROR(T181*HSCEI!$B$28*HSCEI!$G$28/HSCEI!$B$3,""))</f>
        <v/>
      </c>
      <c r="CI181" s="161">
        <f>IF(U181="","",IFERROR(U181*HSCEI!$B$28*HSCEI!$G$28/HSCEI!$B$3,""))</f>
        <v/>
      </c>
      <c r="CJ181" s="161">
        <f>IF(V181="","",IFERROR(V181*HSCEI!$B$28*HSCEI!$G$28/HSCEI!$B$3,""))</f>
        <v/>
      </c>
      <c r="CK181" s="161">
        <f>IF(W181="","",IFERROR(W181*HSCEI!$B$28*HSCEI!$G$28/HSCEI!$B$3,""))</f>
        <v/>
      </c>
      <c r="CL181" s="161">
        <f>IF(X181="","",IFERROR(X181*HSCEI!$B$28*HSCEI!$G$28/HSCEI!$B$3,""))</f>
        <v/>
      </c>
      <c r="CM181" s="161">
        <f>IF(Y181="","",IFERROR(Y181*HSCEI!$B$28*HSCEI!$G$28/HSCEI!$B$3,""))</f>
        <v/>
      </c>
      <c r="CN181" s="161">
        <f>IF(Z181="","",IFERROR(Z181*HSCEI!$B$28*HSCEI!$G$28/HSCEI!$B$3,""))</f>
        <v/>
      </c>
      <c r="CO181" s="161">
        <f>IF(AA181="","",IFERROR(AA181*HSCEI!$B$28*HSCEI!$G$28/HSCEI!$B$3,""))</f>
        <v/>
      </c>
      <c r="CP181" s="161">
        <f>IF(AB181="","",IFERROR(AB181*HSCEI!$B$28*HSCEI!$G$28/HSCEI!$B$3,""))</f>
        <v/>
      </c>
      <c r="CQ181" s="161">
        <f>IF(AC181="","",IFERROR(AC181*HSCEI!$B$28*HSCEI!$G$28/HSCEI!$B$3,""))</f>
        <v/>
      </c>
      <c r="CR181" s="161">
        <f>IF(AD181="","",IFERROR(AD181*HSCEI!$B$28*HSCEI!$G$28/HSCEI!$B$3,""))</f>
        <v/>
      </c>
      <c r="CS181" s="161">
        <f>IF(AE181="","",IFERROR(AE181*HSCEI!$B$28*HSCEI!$G$28/HSCEI!$B$3,""))</f>
        <v/>
      </c>
      <c r="CT181" s="161">
        <f>IF(AF181="","",IFERROR(AF181*HSCEI!$B$28*HSCEI!$G$28/HSCEI!$B$3,""))</f>
        <v/>
      </c>
      <c r="CU181" s="161">
        <f>IF(AG181="","",IFERROR(AG181*HSCEI!$B$28*HSCEI!$G$28/HSCEI!$B$3,""))</f>
        <v/>
      </c>
      <c r="CV181" s="161">
        <f>IF(AH181="","",IFERROR(AH181*HSCEI!$B$28*HSCEI!$G$28/HSCEI!$B$3,""))</f>
        <v/>
      </c>
      <c r="CW181" s="161">
        <f>IF(AI181="","",IFERROR(AI181*HSCEI!$B$28*HSCEI!$G$28/HSCEI!$B$3,""))</f>
        <v/>
      </c>
      <c r="CX181" s="161">
        <f>IF(AJ181="","",IFERROR(AJ181*HSCEI!$B$28*HSCEI!$G$28/HSCEI!$B$3,""))</f>
        <v/>
      </c>
      <c r="CY181" s="161">
        <f>IF(AK181="","",IFERROR(AK181*HSCEI!$B$28*HSCEI!$G$28/HSCEI!$B$3,""))</f>
        <v/>
      </c>
      <c r="CZ181" s="161">
        <f>IF(AL181="","",IFERROR(AL181*HSCEI!$B$28*HSCEI!$G$28/HSCEI!$B$3,""))</f>
        <v/>
      </c>
      <c r="DA181" s="161">
        <f>IF(AM181="","",IFERROR(AM181*HSCEI!$B$28*HSCEI!$G$28/HSCEI!$B$3,""))</f>
        <v/>
      </c>
      <c r="DB181" s="161">
        <f>IF(AN181="","",IFERROR(AN181*HSCEI!$B$28*HSCEI!$G$28/HSCEI!$B$3,""))</f>
        <v/>
      </c>
      <c r="DC181" s="161">
        <f>IF(AO181="","",IFERROR(AO181*HSCEI!$B$28*HSCEI!$G$28/HSCEI!$B$3,""))</f>
        <v/>
      </c>
      <c r="DD181" s="161">
        <f>IF(AP181="","",IFERROR(AP181*HSCEI!$B$28*HSCEI!$G$28/HSCEI!$B$3,""))</f>
        <v/>
      </c>
      <c r="DE181" s="161">
        <f>IF(AQ181="","",IFERROR(AQ181*HSCEI!$B$28*HSCEI!$G$28/HSCEI!$B$3,""))</f>
        <v/>
      </c>
      <c r="DF181" s="161">
        <f>IF(AR181="","",IFERROR(AR181*HSCEI!$B$28*HSCEI!$G$28/HSCEI!$B$3,""))</f>
        <v/>
      </c>
      <c r="DG181" s="161">
        <f>IF(AS181="","",IFERROR(AS181*HSCEI!$B$28*HSCEI!$G$28/HSCEI!$B$3,""))</f>
        <v/>
      </c>
      <c r="DH181" s="161">
        <f>IF(AT181="","",IFERROR(AT181*HSCEI!$B$28*HSCEI!$G$28/HSCEI!$B$3,""))</f>
        <v/>
      </c>
      <c r="DI181" s="161">
        <f>IF(AU181="","",IFERROR(AU181*HSCEI!$B$28*HSCEI!$G$28/HSCEI!$B$3,""))</f>
        <v/>
      </c>
      <c r="DJ181" s="161">
        <f>IF(AV181="","",IFERROR(AV181*HSCEI!$B$28*HSCEI!$G$28/HSCEI!$B$3,""))</f>
        <v/>
      </c>
      <c r="DK181" s="161">
        <f>IF(AW181="","",IFERROR(AW181*HSCEI!$B$28*HSCEI!$G$28/HSCEI!$B$3,""))</f>
        <v/>
      </c>
      <c r="DL181" s="161">
        <f>IF(AX181="","",IFERROR(AX181*HSCEI!$B$28*HSCEI!$G$28/HSCEI!$B$3,""))</f>
        <v/>
      </c>
      <c r="DM181" s="161">
        <f>IF(AY181="","",IFERROR(AY181*HSCEI!$B$28*HSCEI!$G$28/HSCEI!$B$3,""))</f>
        <v/>
      </c>
      <c r="DN181" s="161">
        <f>IF(AZ181="","",IFERROR(AZ181*HSCEI!$B$28*HSCEI!$G$28/HSCEI!$B$3,""))</f>
        <v/>
      </c>
      <c r="DO181" s="161">
        <f>IF(BA181="","",IFERROR(BA181*HSCEI!$B$28*HSCEI!$G$28/HSCEI!$B$3,""))</f>
        <v/>
      </c>
      <c r="DP181" s="161">
        <f>IF(BB181="","",IFERROR(BB181*HSCEI!$B$28*HSCEI!$G$28/HSCEI!$B$3,""))</f>
        <v/>
      </c>
      <c r="DQ181" s="161">
        <f>IF(BC181="","",IFERROR(BC181*HSCEI!$B$28*HSCEI!$G$28/HSCEI!$B$3,""))</f>
        <v/>
      </c>
      <c r="DR181" s="161">
        <f>IF(BD181="","",IFERROR(BD181*HSCEI!$B$28*HSCEI!$G$28/HSCEI!$B$3,""))</f>
        <v/>
      </c>
      <c r="DS181" s="161">
        <f>IF(BE181="","",IFERROR(BE181*HSCEI!$B$28*HSCEI!$G$28/HSCEI!$B$3,""))</f>
        <v/>
      </c>
      <c r="DT181" s="161">
        <f>IF(BF181="","",IFERROR(BF181*HSCEI!$B$28*HSCEI!$G$28/HSCEI!$B$3,""))</f>
        <v/>
      </c>
      <c r="DU181" s="161">
        <f>IF(BG181="","",IFERROR(BG181*HSCEI!$B$28*HSCEI!$G$28/HSCEI!$B$3,""))</f>
        <v/>
      </c>
      <c r="DV181" s="161">
        <f>IF(BH181="","",IFERROR(BH181*HSCEI!$B$28*HSCEI!$G$28/HSCEI!$B$3,""))</f>
        <v/>
      </c>
      <c r="DW181" s="161">
        <f>IF(BI181="","",IFERROR(BI181*HSCEI!$B$28*HSCEI!$G$28/HSCEI!$B$3,""))</f>
        <v/>
      </c>
      <c r="DX181" s="161">
        <f>IF(BJ181="","",IFERROR(BJ181*HSCEI!$B$28*HSCEI!$G$28/HSCEI!$B$3,""))</f>
        <v/>
      </c>
      <c r="DY181" s="161">
        <f>IF(BK181="","",IFERROR(BK181*HSCEI!$B$28*HSCEI!$G$28/HSCEI!$B$3,""))</f>
        <v/>
      </c>
      <c r="DZ181" s="161">
        <f>IF(BL181="","",IFERROR(BL181*HSCEI!$B$28*HSCEI!$G$28/HSCEI!$B$3,""))</f>
        <v/>
      </c>
      <c r="EA181" s="161">
        <f>IF(BM181="","",IFERROR(BM181*HSCEI!$B$28*HSCEI!$G$28/HSCEI!$B$3,""))</f>
        <v/>
      </c>
      <c r="EB181" s="161">
        <f>IF(BN181="","",IFERROR(BN181*HSCEI!$B$28*HSCEI!$G$28/HSCEI!$B$3,""))</f>
        <v/>
      </c>
      <c r="EC181" s="161">
        <f>IF(BO181="","",IFERROR(BO181*HSCEI!$B$28*HSCEI!$G$28/HSCEI!$B$3,""))</f>
        <v/>
      </c>
      <c r="EE181" s="121">
        <f>IF(N('Dvd Calendar'!$E$1792)=0,"",IF(('Dvd Calendar'!$E$1792&gt;=GRID_FROM)*('Dvd Calendar'!$E$1792&lt;=GRID_TO)*((('Dvd Calendar'!$E$1792&lt;=VAL_DATE)+(COUNTIF('Dvd Calendar'!$E$1799:$AR$1799,'Dvd Calendar'!$E$1792)=0))&gt;0)=0,"",'Dvd Calendar'!$E$1792*1000000000+ISNUMBER('Dvd Calendar'!$E$1795)*100000000+('Dvd Calendar'!$E$1797=SPECIAL_LBL)*10000000+(N('Dvd Calendar'!$E$1791)&gt;0)*(N('Dvd Calendar'!$E$1791)&lt;=VAL_SERIAL)*1000000+22*1000+1))</f>
        <v/>
      </c>
      <c r="EF181" s="121">
        <f>IF(N('Dvd Calendar'!$F$1792)=0,"",IF(('Dvd Calendar'!$F$1792&gt;=GRID_FROM)*('Dvd Calendar'!$F$1792&lt;=GRID_TO)*((('Dvd Calendar'!$F$1792&lt;=VAL_DATE)+(COUNTIF('Dvd Calendar'!$E$1799:$AR$1799,'Dvd Calendar'!$F$1792)=0))&gt;0)=0,"",'Dvd Calendar'!$F$1792*1000000000+ISNUMBER('Dvd Calendar'!$F$1795)*100000000+('Dvd Calendar'!$F$1797=SPECIAL_LBL)*10000000+(N('Dvd Calendar'!$F$1791)&gt;0)*(N('Dvd Calendar'!$F$1791)&lt;=VAL_SERIAL)*1000000+22*1000+2))</f>
        <v/>
      </c>
      <c r="EG181" s="121">
        <f>IF(N('Dvd Calendar'!$G$1792)=0,"",IF(('Dvd Calendar'!$G$1792&gt;=GRID_FROM)*('Dvd Calendar'!$G$1792&lt;=GRID_TO)*((('Dvd Calendar'!$G$1792&lt;=VAL_DATE)+(COUNTIF('Dvd Calendar'!$E$1799:$AR$1799,'Dvd Calendar'!$G$1792)=0))&gt;0)=0,"",'Dvd Calendar'!$G$1792*1000000000+ISNUMBER('Dvd Calendar'!$G$1795)*100000000+('Dvd Calendar'!$G$1797=SPECIAL_LBL)*10000000+(N('Dvd Calendar'!$G$1791)&gt;0)*(N('Dvd Calendar'!$G$1791)&lt;=VAL_SERIAL)*1000000+22*1000+3))</f>
        <v/>
      </c>
      <c r="EH181" s="121">
        <f>IF(N('Dvd Calendar'!$H$1792)=0,"",IF(('Dvd Calendar'!$H$1792&gt;=GRID_FROM)*('Dvd Calendar'!$H$1792&lt;=GRID_TO)*((('Dvd Calendar'!$H$1792&lt;=VAL_DATE)+(COUNTIF('Dvd Calendar'!$E$1799:$AR$1799,'Dvd Calendar'!$H$1792)=0))&gt;0)=0,"",'Dvd Calendar'!$H$1792*1000000000+ISNUMBER('Dvd Calendar'!$H$1795)*100000000+('Dvd Calendar'!$H$1797=SPECIAL_LBL)*10000000+(N('Dvd Calendar'!$H$1791)&gt;0)*(N('Dvd Calendar'!$H$1791)&lt;=VAL_SERIAL)*1000000+22*1000+4))</f>
        <v/>
      </c>
      <c r="EI181" s="121">
        <f>IF(N('Dvd Calendar'!$I$1792)=0,"",IF(('Dvd Calendar'!$I$1792&gt;=GRID_FROM)*('Dvd Calendar'!$I$1792&lt;=GRID_TO)*((('Dvd Calendar'!$I$1792&lt;=VAL_DATE)+(COUNTIF('Dvd Calendar'!$E$1799:$AR$1799,'Dvd Calendar'!$I$1792)=0))&gt;0)=0,"",'Dvd Calendar'!$I$1792*1000000000+ISNUMBER('Dvd Calendar'!$I$1795)*100000000+('Dvd Calendar'!$I$1797=SPECIAL_LBL)*10000000+(N('Dvd Calendar'!$I$1791)&gt;0)*(N('Dvd Calendar'!$I$1791)&lt;=VAL_SERIAL)*1000000+22*1000+5))</f>
        <v/>
      </c>
      <c r="EJ181" s="121">
        <f>IF(N('Dvd Calendar'!$J$1792)=0,"",IF(('Dvd Calendar'!$J$1792&gt;=GRID_FROM)*('Dvd Calendar'!$J$1792&lt;=GRID_TO)*((('Dvd Calendar'!$J$1792&lt;=VAL_DATE)+(COUNTIF('Dvd Calendar'!$E$1799:$AR$1799,'Dvd Calendar'!$J$1792)=0))&gt;0)=0,"",'Dvd Calendar'!$J$1792*1000000000+ISNUMBER('Dvd Calendar'!$J$1795)*100000000+('Dvd Calendar'!$J$1797=SPECIAL_LBL)*10000000+(N('Dvd Calendar'!$J$1791)&gt;0)*(N('Dvd Calendar'!$J$1791)&lt;=VAL_SERIAL)*1000000+22*1000+6))</f>
        <v/>
      </c>
      <c r="EK181" s="121">
        <f>IF(N('Dvd Calendar'!$K$1792)=0,"",IF(('Dvd Calendar'!$K$1792&gt;=GRID_FROM)*('Dvd Calendar'!$K$1792&lt;=GRID_TO)*((('Dvd Calendar'!$K$1792&lt;=VAL_DATE)+(COUNTIF('Dvd Calendar'!$E$1799:$AR$1799,'Dvd Calendar'!$K$1792)=0))&gt;0)=0,"",'Dvd Calendar'!$K$1792*1000000000+ISNUMBER('Dvd Calendar'!$K$1795)*100000000+('Dvd Calendar'!$K$1797=SPECIAL_LBL)*10000000+(N('Dvd Calendar'!$K$1791)&gt;0)*(N('Dvd Calendar'!$K$1791)&lt;=VAL_SERIAL)*1000000+22*1000+7))</f>
        <v/>
      </c>
      <c r="EL181" s="121">
        <f>IF(N('Dvd Calendar'!$L$1792)=0,"",IF(('Dvd Calendar'!$L$1792&gt;=GRID_FROM)*('Dvd Calendar'!$L$1792&lt;=GRID_TO)*((('Dvd Calendar'!$L$1792&lt;=VAL_DATE)+(COUNTIF('Dvd Calendar'!$E$1799:$AR$1799,'Dvd Calendar'!$L$1792)=0))&gt;0)=0,"",'Dvd Calendar'!$L$1792*1000000000+ISNUMBER('Dvd Calendar'!$L$1795)*100000000+('Dvd Calendar'!$L$1797=SPECIAL_LBL)*10000000+(N('Dvd Calendar'!$L$1791)&gt;0)*(N('Dvd Calendar'!$L$1791)&lt;=VAL_SERIAL)*1000000+22*1000+8))</f>
        <v/>
      </c>
      <c r="EM181" s="121">
        <f>IF(N('Dvd Calendar'!$M$1792)=0,"",IF(('Dvd Calendar'!$M$1792&gt;=GRID_FROM)*('Dvd Calendar'!$M$1792&lt;=GRID_TO)*((('Dvd Calendar'!$M$1792&lt;=VAL_DATE)+(COUNTIF('Dvd Calendar'!$E$1799:$AR$1799,'Dvd Calendar'!$M$1792)=0))&gt;0)=0,"",'Dvd Calendar'!$M$1792*1000000000+ISNUMBER('Dvd Calendar'!$M$1795)*100000000+('Dvd Calendar'!$M$1797=SPECIAL_LBL)*10000000+(N('Dvd Calendar'!$M$1791)&gt;0)*(N('Dvd Calendar'!$M$1791)&lt;=VAL_SERIAL)*1000000+22*1000+9))</f>
        <v/>
      </c>
      <c r="EN181" s="121">
        <f>IF(N('Dvd Calendar'!$N$1792)=0,"",IF(('Dvd Calendar'!$N$1792&gt;=GRID_FROM)*('Dvd Calendar'!$N$1792&lt;=GRID_TO)*((('Dvd Calendar'!$N$1792&lt;=VAL_DATE)+(COUNTIF('Dvd Calendar'!$E$1799:$AR$1799,'Dvd Calendar'!$N$1792)=0))&gt;0)=0,"",'Dvd Calendar'!$N$1792*1000000000+ISNUMBER('Dvd Calendar'!$N$1795)*100000000+('Dvd Calendar'!$N$1797=SPECIAL_LBL)*10000000+(N('Dvd Calendar'!$N$1791)&gt;0)*(N('Dvd Calendar'!$N$1791)&lt;=VAL_SERIAL)*1000000+22*1000+10))</f>
        <v/>
      </c>
      <c r="EO181" s="121">
        <f>IF(N('Dvd Calendar'!$O$1792)=0,"",IF(('Dvd Calendar'!$O$1792&gt;=GRID_FROM)*('Dvd Calendar'!$O$1792&lt;=GRID_TO)*((('Dvd Calendar'!$O$1792&lt;=VAL_DATE)+(COUNTIF('Dvd Calendar'!$E$1799:$AR$1799,'Dvd Calendar'!$O$1792)=0))&gt;0)=0,"",'Dvd Calendar'!$O$1792*1000000000+ISNUMBER('Dvd Calendar'!$O$1795)*100000000+('Dvd Calendar'!$O$1797=SPECIAL_LBL)*10000000+(N('Dvd Calendar'!$O$1791)&gt;0)*(N('Dvd Calendar'!$O$1791)&lt;=VAL_SERIAL)*1000000+22*1000+11))</f>
        <v/>
      </c>
      <c r="EP181" s="121">
        <f>IF(N('Dvd Calendar'!$P$1792)=0,"",IF(('Dvd Calendar'!$P$1792&gt;=GRID_FROM)*('Dvd Calendar'!$P$1792&lt;=GRID_TO)*((('Dvd Calendar'!$P$1792&lt;=VAL_DATE)+(COUNTIF('Dvd Calendar'!$E$1799:$AR$1799,'Dvd Calendar'!$P$1792)=0))&gt;0)=0,"",'Dvd Calendar'!$P$1792*1000000000+ISNUMBER('Dvd Calendar'!$P$1795)*100000000+('Dvd Calendar'!$P$1797=SPECIAL_LBL)*10000000+(N('Dvd Calendar'!$P$1791)&gt;0)*(N('Dvd Calendar'!$P$1791)&lt;=VAL_SERIAL)*1000000+22*1000+12))</f>
        <v/>
      </c>
      <c r="EQ181" s="121">
        <f>IF(N('Dvd Calendar'!$Q$1792)=0,"",IF(('Dvd Calendar'!$Q$1792&gt;=GRID_FROM)*('Dvd Calendar'!$Q$1792&lt;=GRID_TO)*((('Dvd Calendar'!$Q$1792&lt;=VAL_DATE)+(COUNTIF('Dvd Calendar'!$E$1799:$AR$1799,'Dvd Calendar'!$Q$1792)=0))&gt;0)=0,"",'Dvd Calendar'!$Q$1792*1000000000+ISNUMBER('Dvd Calendar'!$Q$1795)*100000000+('Dvd Calendar'!$Q$1797=SPECIAL_LBL)*10000000+(N('Dvd Calendar'!$Q$1791)&gt;0)*(N('Dvd Calendar'!$Q$1791)&lt;=VAL_SERIAL)*1000000+22*1000+13))</f>
        <v/>
      </c>
      <c r="ER181" s="121">
        <f>IF(N('Dvd Calendar'!$R$1792)=0,"",IF(('Dvd Calendar'!$R$1792&gt;=GRID_FROM)*('Dvd Calendar'!$R$1792&lt;=GRID_TO)*((('Dvd Calendar'!$R$1792&lt;=VAL_DATE)+(COUNTIF('Dvd Calendar'!$E$1799:$AR$1799,'Dvd Calendar'!$R$1792)=0))&gt;0)=0,"",'Dvd Calendar'!$R$1792*1000000000+ISNUMBER('Dvd Calendar'!$R$1795)*100000000+('Dvd Calendar'!$R$1797=SPECIAL_LBL)*10000000+(N('Dvd Calendar'!$R$1791)&gt;0)*(N('Dvd Calendar'!$R$1791)&lt;=VAL_SERIAL)*1000000+22*1000+14))</f>
        <v/>
      </c>
      <c r="ES181" s="121">
        <f>IF(N('Dvd Calendar'!$S$1792)=0,"",IF(('Dvd Calendar'!$S$1792&gt;=GRID_FROM)*('Dvd Calendar'!$S$1792&lt;=GRID_TO)*((('Dvd Calendar'!$S$1792&lt;=VAL_DATE)+(COUNTIF('Dvd Calendar'!$E$1799:$AR$1799,'Dvd Calendar'!$S$1792)=0))&gt;0)=0,"",'Dvd Calendar'!$S$1792*1000000000+ISNUMBER('Dvd Calendar'!$S$1795)*100000000+('Dvd Calendar'!$S$1797=SPECIAL_LBL)*10000000+(N('Dvd Calendar'!$S$1791)&gt;0)*(N('Dvd Calendar'!$S$1791)&lt;=VAL_SERIAL)*1000000+22*1000+15))</f>
        <v/>
      </c>
      <c r="ET181" s="121">
        <f>IF(N('Dvd Calendar'!$T$1792)=0,"",IF(('Dvd Calendar'!$T$1792&gt;=GRID_FROM)*('Dvd Calendar'!$T$1792&lt;=GRID_TO)*((('Dvd Calendar'!$T$1792&lt;=VAL_DATE)+(COUNTIF('Dvd Calendar'!$E$1799:$AR$1799,'Dvd Calendar'!$T$1792)=0))&gt;0)=0,"",'Dvd Calendar'!$T$1792*1000000000+ISNUMBER('Dvd Calendar'!$T$1795)*100000000+('Dvd Calendar'!$T$1797=SPECIAL_LBL)*10000000+(N('Dvd Calendar'!$T$1791)&gt;0)*(N('Dvd Calendar'!$T$1791)&lt;=VAL_SERIAL)*1000000+22*1000+16))</f>
        <v/>
      </c>
      <c r="EU181" s="121">
        <f>IF(N('Dvd Calendar'!$U$1792)=0,"",IF(('Dvd Calendar'!$U$1792&gt;=GRID_FROM)*('Dvd Calendar'!$U$1792&lt;=GRID_TO)*((('Dvd Calendar'!$U$1792&lt;=VAL_DATE)+(COUNTIF('Dvd Calendar'!$E$1799:$AR$1799,'Dvd Calendar'!$U$1792)=0))&gt;0)=0,"",'Dvd Calendar'!$U$1792*1000000000+ISNUMBER('Dvd Calendar'!$U$1795)*100000000+('Dvd Calendar'!$U$1797=SPECIAL_LBL)*10000000+(N('Dvd Calendar'!$U$1791)&gt;0)*(N('Dvd Calendar'!$U$1791)&lt;=VAL_SERIAL)*1000000+22*1000+17))</f>
        <v/>
      </c>
      <c r="EV181" s="121">
        <f>IF(N('Dvd Calendar'!$V$1792)=0,"",IF(('Dvd Calendar'!$V$1792&gt;=GRID_FROM)*('Dvd Calendar'!$V$1792&lt;=GRID_TO)*((('Dvd Calendar'!$V$1792&lt;=VAL_DATE)+(COUNTIF('Dvd Calendar'!$E$1799:$AR$1799,'Dvd Calendar'!$V$1792)=0))&gt;0)=0,"",'Dvd Calendar'!$V$1792*1000000000+ISNUMBER('Dvd Calendar'!$V$1795)*100000000+('Dvd Calendar'!$V$1797=SPECIAL_LBL)*10000000+(N('Dvd Calendar'!$V$1791)&gt;0)*(N('Dvd Calendar'!$V$1791)&lt;=VAL_SERIAL)*1000000+22*1000+18))</f>
        <v/>
      </c>
      <c r="EW181" s="121">
        <f>IF(N('Dvd Calendar'!$W$1792)=0,"",IF(('Dvd Calendar'!$W$1792&gt;=GRID_FROM)*('Dvd Calendar'!$W$1792&lt;=GRID_TO)*((('Dvd Calendar'!$W$1792&lt;=VAL_DATE)+(COUNTIF('Dvd Calendar'!$E$1799:$AR$1799,'Dvd Calendar'!$W$1792)=0))&gt;0)=0,"",'Dvd Calendar'!$W$1792*1000000000+ISNUMBER('Dvd Calendar'!$W$1795)*100000000+('Dvd Calendar'!$W$1797=SPECIAL_LBL)*10000000+(N('Dvd Calendar'!$W$1791)&gt;0)*(N('Dvd Calendar'!$W$1791)&lt;=VAL_SERIAL)*1000000+22*1000+19))</f>
        <v/>
      </c>
      <c r="EX181" s="121">
        <f>IF(N('Dvd Calendar'!$X$1792)=0,"",IF(('Dvd Calendar'!$X$1792&gt;=GRID_FROM)*('Dvd Calendar'!$X$1792&lt;=GRID_TO)*((('Dvd Calendar'!$X$1792&lt;=VAL_DATE)+(COUNTIF('Dvd Calendar'!$E$1799:$AR$1799,'Dvd Calendar'!$X$1792)=0))&gt;0)=0,"",'Dvd Calendar'!$X$1792*1000000000+ISNUMBER('Dvd Calendar'!$X$1795)*100000000+('Dvd Calendar'!$X$1797=SPECIAL_LBL)*10000000+(N('Dvd Calendar'!$X$1791)&gt;0)*(N('Dvd Calendar'!$X$1791)&lt;=VAL_SERIAL)*1000000+22*1000+20))</f>
        <v/>
      </c>
      <c r="EY181" s="121">
        <f>IF(N('Dvd Calendar'!$Y$1792)=0,"",IF(('Dvd Calendar'!$Y$1792&gt;=GRID_FROM)*('Dvd Calendar'!$Y$1792&lt;=GRID_TO)*((('Dvd Calendar'!$Y$1792&lt;=VAL_DATE)+(COUNTIF('Dvd Calendar'!$E$1799:$AR$1799,'Dvd Calendar'!$Y$1792)=0))&gt;0)=0,"",'Dvd Calendar'!$Y$1792*1000000000+ISNUMBER('Dvd Calendar'!$Y$1795)*100000000+('Dvd Calendar'!$Y$1797=SPECIAL_LBL)*10000000+(N('Dvd Calendar'!$Y$1791)&gt;0)*(N('Dvd Calendar'!$Y$1791)&lt;=VAL_SERIAL)*1000000+22*1000+21))</f>
        <v/>
      </c>
      <c r="EZ181" s="121">
        <f>IF(N('Dvd Calendar'!$Z$1792)=0,"",IF(('Dvd Calendar'!$Z$1792&gt;=GRID_FROM)*('Dvd Calendar'!$Z$1792&lt;=GRID_TO)*((('Dvd Calendar'!$Z$1792&lt;=VAL_DATE)+(COUNTIF('Dvd Calendar'!$E$1799:$AR$1799,'Dvd Calendar'!$Z$1792)=0))&gt;0)=0,"",'Dvd Calendar'!$Z$1792*1000000000+ISNUMBER('Dvd Calendar'!$Z$1795)*100000000+('Dvd Calendar'!$Z$1797=SPECIAL_LBL)*10000000+(N('Dvd Calendar'!$Z$1791)&gt;0)*(N('Dvd Calendar'!$Z$1791)&lt;=VAL_SERIAL)*1000000+22*1000+22))</f>
        <v/>
      </c>
      <c r="FA181" s="121">
        <f>IF(N('Dvd Calendar'!$AA$1792)=0,"",IF(('Dvd Calendar'!$AA$1792&gt;=GRID_FROM)*('Dvd Calendar'!$AA$1792&lt;=GRID_TO)*((('Dvd Calendar'!$AA$1792&lt;=VAL_DATE)+(COUNTIF('Dvd Calendar'!$E$1799:$AR$1799,'Dvd Calendar'!$AA$1792)=0))&gt;0)=0,"",'Dvd Calendar'!$AA$1792*1000000000+ISNUMBER('Dvd Calendar'!$AA$1795)*100000000+('Dvd Calendar'!$AA$1797=SPECIAL_LBL)*10000000+(N('Dvd Calendar'!$AA$1791)&gt;0)*(N('Dvd Calendar'!$AA$1791)&lt;=VAL_SERIAL)*1000000+22*1000+23))</f>
        <v/>
      </c>
      <c r="FB181" s="121">
        <f>IF(N('Dvd Calendar'!$AB$1792)=0,"",IF(('Dvd Calendar'!$AB$1792&gt;=GRID_FROM)*('Dvd Calendar'!$AB$1792&lt;=GRID_TO)*((('Dvd Calendar'!$AB$1792&lt;=VAL_DATE)+(COUNTIF('Dvd Calendar'!$E$1799:$AR$1799,'Dvd Calendar'!$AB$1792)=0))&gt;0)=0,"",'Dvd Calendar'!$AB$1792*1000000000+ISNUMBER('Dvd Calendar'!$AB$1795)*100000000+('Dvd Calendar'!$AB$1797=SPECIAL_LBL)*10000000+(N('Dvd Calendar'!$AB$1791)&gt;0)*(N('Dvd Calendar'!$AB$1791)&lt;=VAL_SERIAL)*1000000+22*1000+24))</f>
        <v/>
      </c>
      <c r="FC181" s="121">
        <f>IF(N('Dvd Calendar'!$AC$1792)=0,"",IF(('Dvd Calendar'!$AC$1792&gt;=GRID_FROM)*('Dvd Calendar'!$AC$1792&lt;=GRID_TO)*((('Dvd Calendar'!$AC$1792&lt;=VAL_DATE)+(COUNTIF('Dvd Calendar'!$E$1799:$AR$1799,'Dvd Calendar'!$AC$1792)=0))&gt;0)=0,"",'Dvd Calendar'!$AC$1792*1000000000+ISNUMBER('Dvd Calendar'!$AC$1795)*100000000+('Dvd Calendar'!$AC$1797=SPECIAL_LBL)*10000000+(N('Dvd Calendar'!$AC$1791)&gt;0)*(N('Dvd Calendar'!$AC$1791)&lt;=VAL_SERIAL)*1000000+22*1000+25))</f>
        <v/>
      </c>
      <c r="FD181" s="121">
        <f>IF(N('Dvd Calendar'!$AD$1792)=0,"",IF(('Dvd Calendar'!$AD$1792&gt;=GRID_FROM)*('Dvd Calendar'!$AD$1792&lt;=GRID_TO)*((('Dvd Calendar'!$AD$1792&lt;=VAL_DATE)+(COUNTIF('Dvd Calendar'!$E$1799:$AR$1799,'Dvd Calendar'!$AD$1792)=0))&gt;0)=0,"",'Dvd Calendar'!$AD$1792*1000000000+ISNUMBER('Dvd Calendar'!$AD$1795)*100000000+('Dvd Calendar'!$AD$1797=SPECIAL_LBL)*10000000+(N('Dvd Calendar'!$AD$1791)&gt;0)*(N('Dvd Calendar'!$AD$1791)&lt;=VAL_SERIAL)*1000000+22*1000+26))</f>
        <v/>
      </c>
      <c r="FE181" s="121">
        <f>IF(N('Dvd Calendar'!$AE$1792)=0,"",IF(('Dvd Calendar'!$AE$1792&gt;=GRID_FROM)*('Dvd Calendar'!$AE$1792&lt;=GRID_TO)*((('Dvd Calendar'!$AE$1792&lt;=VAL_DATE)+(COUNTIF('Dvd Calendar'!$E$1799:$AR$1799,'Dvd Calendar'!$AE$1792)=0))&gt;0)=0,"",'Dvd Calendar'!$AE$1792*1000000000+ISNUMBER('Dvd Calendar'!$AE$1795)*100000000+('Dvd Calendar'!$AE$1797=SPECIAL_LBL)*10000000+(N('Dvd Calendar'!$AE$1791)&gt;0)*(N('Dvd Calendar'!$AE$1791)&lt;=VAL_SERIAL)*1000000+22*1000+27))</f>
        <v/>
      </c>
      <c r="FF181" s="121">
        <f>IF(N('Dvd Calendar'!$AF$1792)=0,"",IF(('Dvd Calendar'!$AF$1792&gt;=GRID_FROM)*('Dvd Calendar'!$AF$1792&lt;=GRID_TO)*((('Dvd Calendar'!$AF$1792&lt;=VAL_DATE)+(COUNTIF('Dvd Calendar'!$E$1799:$AR$1799,'Dvd Calendar'!$AF$1792)=0))&gt;0)=0,"",'Dvd Calendar'!$AF$1792*1000000000+ISNUMBER('Dvd Calendar'!$AF$1795)*100000000+('Dvd Calendar'!$AF$1797=SPECIAL_LBL)*10000000+(N('Dvd Calendar'!$AF$1791)&gt;0)*(N('Dvd Calendar'!$AF$1791)&lt;=VAL_SERIAL)*1000000+22*1000+28))</f>
        <v/>
      </c>
      <c r="FG181" s="121">
        <f>IF(N('Dvd Calendar'!$AG$1792)=0,"",IF(('Dvd Calendar'!$AG$1792&gt;=GRID_FROM)*('Dvd Calendar'!$AG$1792&lt;=GRID_TO)*((('Dvd Calendar'!$AG$1792&lt;=VAL_DATE)+(COUNTIF('Dvd Calendar'!$E$1799:$AR$1799,'Dvd Calendar'!$AG$1792)=0))&gt;0)=0,"",'Dvd Calendar'!$AG$1792*1000000000+ISNUMBER('Dvd Calendar'!$AG$1795)*100000000+('Dvd Calendar'!$AG$1797=SPECIAL_LBL)*10000000+(N('Dvd Calendar'!$AG$1791)&gt;0)*(N('Dvd Calendar'!$AG$1791)&lt;=VAL_SERIAL)*1000000+22*1000+29))</f>
        <v/>
      </c>
      <c r="FH181" s="121">
        <f>IF(N('Dvd Calendar'!$AH$1792)=0,"",IF(('Dvd Calendar'!$AH$1792&gt;=GRID_FROM)*('Dvd Calendar'!$AH$1792&lt;=GRID_TO)*((('Dvd Calendar'!$AH$1792&lt;=VAL_DATE)+(COUNTIF('Dvd Calendar'!$E$1799:$AR$1799,'Dvd Calendar'!$AH$1792)=0))&gt;0)=0,"",'Dvd Calendar'!$AH$1792*1000000000+ISNUMBER('Dvd Calendar'!$AH$1795)*100000000+('Dvd Calendar'!$AH$1797=SPECIAL_LBL)*10000000+(N('Dvd Calendar'!$AH$1791)&gt;0)*(N('Dvd Calendar'!$AH$1791)&lt;=VAL_SERIAL)*1000000+22*1000+30))</f>
        <v/>
      </c>
      <c r="FI181" s="121">
        <f>IF(N('Dvd Calendar'!$AI$1792)=0,"",IF(('Dvd Calendar'!$AI$1792&gt;=GRID_FROM)*('Dvd Calendar'!$AI$1792&lt;=GRID_TO)*((('Dvd Calendar'!$AI$1792&lt;=VAL_DATE)+(COUNTIF('Dvd Calendar'!$E$1799:$AR$1799,'Dvd Calendar'!$AI$1792)=0))&gt;0)=0,"",'Dvd Calendar'!$AI$1792*1000000000+ISNUMBER('Dvd Calendar'!$AI$1795)*100000000+('Dvd Calendar'!$AI$1797=SPECIAL_LBL)*10000000+(N('Dvd Calendar'!$AI$1791)&gt;0)*(N('Dvd Calendar'!$AI$1791)&lt;=VAL_SERIAL)*1000000+22*1000+31))</f>
        <v/>
      </c>
      <c r="FJ181" s="121">
        <f>IF(N('Dvd Calendar'!$AJ$1792)=0,"",IF(('Dvd Calendar'!$AJ$1792&gt;=GRID_FROM)*('Dvd Calendar'!$AJ$1792&lt;=GRID_TO)*((('Dvd Calendar'!$AJ$1792&lt;=VAL_DATE)+(COUNTIF('Dvd Calendar'!$E$1799:$AR$1799,'Dvd Calendar'!$AJ$1792)=0))&gt;0)=0,"",'Dvd Calendar'!$AJ$1792*1000000000+ISNUMBER('Dvd Calendar'!$AJ$1795)*100000000+('Dvd Calendar'!$AJ$1797=SPECIAL_LBL)*10000000+(N('Dvd Calendar'!$AJ$1791)&gt;0)*(N('Dvd Calendar'!$AJ$1791)&lt;=VAL_SERIAL)*1000000+22*1000+32))</f>
        <v/>
      </c>
      <c r="FK181" s="121">
        <f>IF(N('Dvd Calendar'!$AK$1792)=0,"",IF(('Dvd Calendar'!$AK$1792&gt;=GRID_FROM)*('Dvd Calendar'!$AK$1792&lt;=GRID_TO)*((('Dvd Calendar'!$AK$1792&lt;=VAL_DATE)+(COUNTIF('Dvd Calendar'!$E$1799:$AR$1799,'Dvd Calendar'!$AK$1792)=0))&gt;0)=0,"",'Dvd Calendar'!$AK$1792*1000000000+ISNUMBER('Dvd Calendar'!$AK$1795)*100000000+('Dvd Calendar'!$AK$1797=SPECIAL_LBL)*10000000+(N('Dvd Calendar'!$AK$1791)&gt;0)*(N('Dvd Calendar'!$AK$1791)&lt;=VAL_SERIAL)*1000000+22*1000+33))</f>
        <v/>
      </c>
      <c r="FL181" s="121">
        <f>IF(N('Dvd Calendar'!$AL$1792)=0,"",IF(('Dvd Calendar'!$AL$1792&gt;=GRID_FROM)*('Dvd Calendar'!$AL$1792&lt;=GRID_TO)*((('Dvd Calendar'!$AL$1792&lt;=VAL_DATE)+(COUNTIF('Dvd Calendar'!$E$1799:$AR$1799,'Dvd Calendar'!$AL$1792)=0))&gt;0)=0,"",'Dvd Calendar'!$AL$1792*1000000000+ISNUMBER('Dvd Calendar'!$AL$1795)*100000000+('Dvd Calendar'!$AL$1797=SPECIAL_LBL)*10000000+(N('Dvd Calendar'!$AL$1791)&gt;0)*(N('Dvd Calendar'!$AL$1791)&lt;=VAL_SERIAL)*1000000+22*1000+34))</f>
        <v/>
      </c>
      <c r="FM181" s="121">
        <f>IF(N('Dvd Calendar'!$AM$1792)=0,"",IF(('Dvd Calendar'!$AM$1792&gt;=GRID_FROM)*('Dvd Calendar'!$AM$1792&lt;=GRID_TO)*((('Dvd Calendar'!$AM$1792&lt;=VAL_DATE)+(COUNTIF('Dvd Calendar'!$E$1799:$AR$1799,'Dvd Calendar'!$AM$1792)=0))&gt;0)=0,"",'Dvd Calendar'!$AM$1792*1000000000+ISNUMBER('Dvd Calendar'!$AM$1795)*100000000+('Dvd Calendar'!$AM$1797=SPECIAL_LBL)*10000000+(N('Dvd Calendar'!$AM$1791)&gt;0)*(N('Dvd Calendar'!$AM$1791)&lt;=VAL_SERIAL)*1000000+22*1000+35))</f>
        <v/>
      </c>
      <c r="FN181" s="121">
        <f>IF(N('Dvd Calendar'!$AN$1792)=0,"",IF(('Dvd Calendar'!$AN$1792&gt;=GRID_FROM)*('Dvd Calendar'!$AN$1792&lt;=GRID_TO)*((('Dvd Calendar'!$AN$1792&lt;=VAL_DATE)+(COUNTIF('Dvd Calendar'!$E$1799:$AR$1799,'Dvd Calendar'!$AN$1792)=0))&gt;0)=0,"",'Dvd Calendar'!$AN$1792*1000000000+ISNUMBER('Dvd Calendar'!$AN$1795)*100000000+('Dvd Calendar'!$AN$1797=SPECIAL_LBL)*10000000+(N('Dvd Calendar'!$AN$1791)&gt;0)*(N('Dvd Calendar'!$AN$1791)&lt;=VAL_SERIAL)*1000000+22*1000+36))</f>
        <v/>
      </c>
      <c r="FO181" s="121">
        <f>IF(N('Dvd Calendar'!$AO$1792)=0,"",IF(('Dvd Calendar'!$AO$1792&gt;=GRID_FROM)*('Dvd Calendar'!$AO$1792&lt;=GRID_TO)*((('Dvd Calendar'!$AO$1792&lt;=VAL_DATE)+(COUNTIF('Dvd Calendar'!$E$1799:$AR$1799,'Dvd Calendar'!$AO$1792)=0))&gt;0)=0,"",'Dvd Calendar'!$AO$1792*1000000000+ISNUMBER('Dvd Calendar'!$AO$1795)*100000000+('Dvd Calendar'!$AO$1797=SPECIAL_LBL)*10000000+(N('Dvd Calendar'!$AO$1791)&gt;0)*(N('Dvd Calendar'!$AO$1791)&lt;=VAL_SERIAL)*1000000+22*1000+37))</f>
        <v/>
      </c>
      <c r="FP181" s="121">
        <f>IF(N('Dvd Calendar'!$AP$1792)=0,"",IF(('Dvd Calendar'!$AP$1792&gt;=GRID_FROM)*('Dvd Calendar'!$AP$1792&lt;=GRID_TO)*((('Dvd Calendar'!$AP$1792&lt;=VAL_DATE)+(COUNTIF('Dvd Calendar'!$E$1799:$AR$1799,'Dvd Calendar'!$AP$1792)=0))&gt;0)=0,"",'Dvd Calendar'!$AP$1792*1000000000+ISNUMBER('Dvd Calendar'!$AP$1795)*100000000+('Dvd Calendar'!$AP$1797=SPECIAL_LBL)*10000000+(N('Dvd Calendar'!$AP$1791)&gt;0)*(N('Dvd Calendar'!$AP$1791)&lt;=VAL_SERIAL)*1000000+22*1000+38))</f>
        <v/>
      </c>
      <c r="FQ181" s="121">
        <f>IF(N('Dvd Calendar'!$AQ$1792)=0,"",IF(('Dvd Calendar'!$AQ$1792&gt;=GRID_FROM)*('Dvd Calendar'!$AQ$1792&lt;=GRID_TO)*((('Dvd Calendar'!$AQ$1792&lt;=VAL_DATE)+(COUNTIF('Dvd Calendar'!$E$1799:$AR$1799,'Dvd Calendar'!$AQ$1792)=0))&gt;0)=0,"",'Dvd Calendar'!$AQ$1792*1000000000+ISNUMBER('Dvd Calendar'!$AQ$1795)*100000000+('Dvd Calendar'!$AQ$1797=SPECIAL_LBL)*10000000+(N('Dvd Calendar'!$AQ$1791)&gt;0)*(N('Dvd Calendar'!$AQ$1791)&lt;=VAL_SERIAL)*1000000+22*1000+39))</f>
        <v/>
      </c>
      <c r="FR181" s="121">
        <f>IF(N('Dvd Calendar'!$AR$1792)=0,"",IF(('Dvd Calendar'!$AR$1792&gt;=GRID_FROM)*('Dvd Calendar'!$AR$1792&lt;=GRID_TO)*((('Dvd Calendar'!$AR$1792&lt;=VAL_DATE)+(COUNTIF('Dvd Calendar'!$E$1799:$AR$1799,'Dvd Calendar'!$AR$1792)=0))&gt;0)=0,"",'Dvd Calendar'!$AR$1792*1000000000+ISNUMBER('Dvd Calendar'!$AR$1795)*100000000+('Dvd Calendar'!$AR$1797=SPECIAL_LBL)*10000000+(N('Dvd Calendar'!$AR$1791)&gt;0)*(N('Dvd Calendar'!$AR$1791)&lt;=VAL_SERIAL)*1000000+22*1000+40))</f>
        <v/>
      </c>
      <c r="FS181" s="121">
        <f>IF(N('Dvd Calendar'!$E$1799)=0,"",IF(('Dvd Calendar'!$E$1799&gt;=GRID_FROM)*('Dvd Calendar'!$E$1799&lt;=GRID_TO)*('Dvd Calendar'!$E$1799&gt;VAL_DATE)=0,"",'Dvd Calendar'!$E$1799*1000000000+ISNUMBER('Dvd Calendar'!$E$1800)*100000000+0*10000000+(N('Dvd Calendar'!$E$1798)&gt;0)*(N('Dvd Calendar'!$E$1798)&lt;=VAL_SERIAL)*1000000+22*1000+41))</f>
        <v/>
      </c>
      <c r="FT181" s="121">
        <f>IF(N('Dvd Calendar'!$F$1799)=0,"",IF(('Dvd Calendar'!$F$1799&gt;=GRID_FROM)*('Dvd Calendar'!$F$1799&lt;=GRID_TO)*('Dvd Calendar'!$F$1799&gt;VAL_DATE)=0,"",'Dvd Calendar'!$F$1799*1000000000+ISNUMBER('Dvd Calendar'!$F$1800)*100000000+0*10000000+(N('Dvd Calendar'!$F$1798)&gt;0)*(N('Dvd Calendar'!$F$1798)&lt;=VAL_SERIAL)*1000000+22*1000+42))</f>
        <v/>
      </c>
      <c r="FU181" s="121">
        <f>IF(N('Dvd Calendar'!$G$1799)=0,"",IF(('Dvd Calendar'!$G$1799&gt;=GRID_FROM)*('Dvd Calendar'!$G$1799&lt;=GRID_TO)*('Dvd Calendar'!$G$1799&gt;VAL_DATE)=0,"",'Dvd Calendar'!$G$1799*1000000000+ISNUMBER('Dvd Calendar'!$G$1800)*100000000+0*10000000+(N('Dvd Calendar'!$G$1798)&gt;0)*(N('Dvd Calendar'!$G$1798)&lt;=VAL_SERIAL)*1000000+22*1000+43))</f>
        <v/>
      </c>
      <c r="FV181" s="121">
        <f>IF(N('Dvd Calendar'!$H$1799)=0,"",IF(('Dvd Calendar'!$H$1799&gt;=GRID_FROM)*('Dvd Calendar'!$H$1799&lt;=GRID_TO)*('Dvd Calendar'!$H$1799&gt;VAL_DATE)=0,"",'Dvd Calendar'!$H$1799*1000000000+ISNUMBER('Dvd Calendar'!$H$1800)*100000000+0*10000000+(N('Dvd Calendar'!$H$1798)&gt;0)*(N('Dvd Calendar'!$H$1798)&lt;=VAL_SERIAL)*1000000+22*1000+44))</f>
        <v/>
      </c>
      <c r="FW181" s="121">
        <f>IF(N('Dvd Calendar'!$I$1799)=0,"",IF(('Dvd Calendar'!$I$1799&gt;=GRID_FROM)*('Dvd Calendar'!$I$1799&lt;=GRID_TO)*('Dvd Calendar'!$I$1799&gt;VAL_DATE)=0,"",'Dvd Calendar'!$I$1799*1000000000+ISNUMBER('Dvd Calendar'!$I$1800)*100000000+0*10000000+(N('Dvd Calendar'!$I$1798)&gt;0)*(N('Dvd Calendar'!$I$1798)&lt;=VAL_SERIAL)*1000000+22*1000+45))</f>
        <v/>
      </c>
      <c r="FX181" s="121">
        <f>IF(N('Dvd Calendar'!$J$1799)=0,"",IF(('Dvd Calendar'!$J$1799&gt;=GRID_FROM)*('Dvd Calendar'!$J$1799&lt;=GRID_TO)*('Dvd Calendar'!$J$1799&gt;VAL_DATE)=0,"",'Dvd Calendar'!$J$1799*1000000000+ISNUMBER('Dvd Calendar'!$J$1800)*100000000+0*10000000+(N('Dvd Calendar'!$J$1798)&gt;0)*(N('Dvd Calendar'!$J$1798)&lt;=VAL_SERIAL)*1000000+22*1000+46))</f>
        <v/>
      </c>
      <c r="FY181" s="121">
        <f>IF(N('Dvd Calendar'!$K$1799)=0,"",IF(('Dvd Calendar'!$K$1799&gt;=GRID_FROM)*('Dvd Calendar'!$K$1799&lt;=GRID_TO)*('Dvd Calendar'!$K$1799&gt;VAL_DATE)=0,"",'Dvd Calendar'!$K$1799*1000000000+ISNUMBER('Dvd Calendar'!$K$1800)*100000000+0*10000000+(N('Dvd Calendar'!$K$1798)&gt;0)*(N('Dvd Calendar'!$K$1798)&lt;=VAL_SERIAL)*1000000+22*1000+47))</f>
        <v/>
      </c>
      <c r="FZ181" s="121">
        <f>IF(N('Dvd Calendar'!$L$1799)=0,"",IF(('Dvd Calendar'!$L$1799&gt;=GRID_FROM)*('Dvd Calendar'!$L$1799&lt;=GRID_TO)*('Dvd Calendar'!$L$1799&gt;VAL_DATE)=0,"",'Dvd Calendar'!$L$1799*1000000000+ISNUMBER('Dvd Calendar'!$L$1800)*100000000+0*10000000+(N('Dvd Calendar'!$L$1798)&gt;0)*(N('Dvd Calendar'!$L$1798)&lt;=VAL_SERIAL)*1000000+22*1000+48))</f>
        <v/>
      </c>
      <c r="GA181" s="121">
        <f>IF(N('Dvd Calendar'!$M$1799)=0,"",IF(('Dvd Calendar'!$M$1799&gt;=GRID_FROM)*('Dvd Calendar'!$M$1799&lt;=GRID_TO)*('Dvd Calendar'!$M$1799&gt;VAL_DATE)=0,"",'Dvd Calendar'!$M$1799*1000000000+ISNUMBER('Dvd Calendar'!$M$1800)*100000000+0*10000000+(N('Dvd Calendar'!$M$1798)&gt;0)*(N('Dvd Calendar'!$M$1798)&lt;=VAL_SERIAL)*1000000+22*1000+49))</f>
        <v/>
      </c>
      <c r="GB181" s="121">
        <f>IF(N('Dvd Calendar'!$N$1799)=0,"",IF(('Dvd Calendar'!$N$1799&gt;=GRID_FROM)*('Dvd Calendar'!$N$1799&lt;=GRID_TO)*('Dvd Calendar'!$N$1799&gt;VAL_DATE)=0,"",'Dvd Calendar'!$N$1799*1000000000+ISNUMBER('Dvd Calendar'!$N$1800)*100000000+0*10000000+(N('Dvd Calendar'!$N$1798)&gt;0)*(N('Dvd Calendar'!$N$1798)&lt;=VAL_SERIAL)*1000000+22*1000+50))</f>
        <v/>
      </c>
      <c r="GC181" s="121">
        <f>IF(N('Dvd Calendar'!$O$1799)=0,"",IF(('Dvd Calendar'!$O$1799&gt;=GRID_FROM)*('Dvd Calendar'!$O$1799&lt;=GRID_TO)*('Dvd Calendar'!$O$1799&gt;VAL_DATE)=0,"",'Dvd Calendar'!$O$1799*1000000000+ISNUMBER('Dvd Calendar'!$O$1800)*100000000+0*10000000+(N('Dvd Calendar'!$O$1798)&gt;0)*(N('Dvd Calendar'!$O$1798)&lt;=VAL_SERIAL)*1000000+22*1000+51))</f>
        <v/>
      </c>
      <c r="GD181" s="121">
        <f>IF(N('Dvd Calendar'!$P$1799)=0,"",IF(('Dvd Calendar'!$P$1799&gt;=GRID_FROM)*('Dvd Calendar'!$P$1799&lt;=GRID_TO)*('Dvd Calendar'!$P$1799&gt;VAL_DATE)=0,"",'Dvd Calendar'!$P$1799*1000000000+ISNUMBER('Dvd Calendar'!$P$1800)*100000000+0*10000000+(N('Dvd Calendar'!$P$1798)&gt;0)*(N('Dvd Calendar'!$P$1798)&lt;=VAL_SERIAL)*1000000+22*1000+52))</f>
        <v/>
      </c>
      <c r="GE181" s="121">
        <f>IF(N('Dvd Calendar'!$Q$1799)=0,"",IF(('Dvd Calendar'!$Q$1799&gt;=GRID_FROM)*('Dvd Calendar'!$Q$1799&lt;=GRID_TO)*('Dvd Calendar'!$Q$1799&gt;VAL_DATE)=0,"",'Dvd Calendar'!$Q$1799*1000000000+ISNUMBER('Dvd Calendar'!$Q$1800)*100000000+0*10000000+(N('Dvd Calendar'!$Q$1798)&gt;0)*(N('Dvd Calendar'!$Q$1798)&lt;=VAL_SERIAL)*1000000+22*1000+53))</f>
        <v/>
      </c>
      <c r="GF181" s="121">
        <f>IF(N('Dvd Calendar'!$R$1799)=0,"",IF(('Dvd Calendar'!$R$1799&gt;=GRID_FROM)*('Dvd Calendar'!$R$1799&lt;=GRID_TO)*('Dvd Calendar'!$R$1799&gt;VAL_DATE)=0,"",'Dvd Calendar'!$R$1799*1000000000+ISNUMBER('Dvd Calendar'!$R$1800)*100000000+0*10000000+(N('Dvd Calendar'!$R$1798)&gt;0)*(N('Dvd Calendar'!$R$1798)&lt;=VAL_SERIAL)*1000000+22*1000+54))</f>
        <v/>
      </c>
      <c r="GG181" s="121">
        <f>IF(N('Dvd Calendar'!$S$1799)=0,"",IF(('Dvd Calendar'!$S$1799&gt;=GRID_FROM)*('Dvd Calendar'!$S$1799&lt;=GRID_TO)*('Dvd Calendar'!$S$1799&gt;VAL_DATE)=0,"",'Dvd Calendar'!$S$1799*1000000000+ISNUMBER('Dvd Calendar'!$S$1800)*100000000+0*10000000+(N('Dvd Calendar'!$S$1798)&gt;0)*(N('Dvd Calendar'!$S$1798)&lt;=VAL_SERIAL)*1000000+22*1000+55))</f>
        <v/>
      </c>
      <c r="GH181" s="121">
        <f>IF(N('Dvd Calendar'!$T$1799)=0,"",IF(('Dvd Calendar'!$T$1799&gt;=GRID_FROM)*('Dvd Calendar'!$T$1799&lt;=GRID_TO)*('Dvd Calendar'!$T$1799&gt;VAL_DATE)=0,"",'Dvd Calendar'!$T$1799*1000000000+ISNUMBER('Dvd Calendar'!$T$1800)*100000000+0*10000000+(N('Dvd Calendar'!$T$1798)&gt;0)*(N('Dvd Calendar'!$T$1798)&lt;=VAL_SERIAL)*1000000+22*1000+56))</f>
        <v/>
      </c>
      <c r="GI181" s="121">
        <f>IF(N('Dvd Calendar'!$U$1799)=0,"",IF(('Dvd Calendar'!$U$1799&gt;=GRID_FROM)*('Dvd Calendar'!$U$1799&lt;=GRID_TO)*('Dvd Calendar'!$U$1799&gt;VAL_DATE)=0,"",'Dvd Calendar'!$U$1799*1000000000+ISNUMBER('Dvd Calendar'!$U$1800)*100000000+0*10000000+(N('Dvd Calendar'!$U$1798)&gt;0)*(N('Dvd Calendar'!$U$1798)&lt;=VAL_SERIAL)*1000000+22*1000+57))</f>
        <v/>
      </c>
      <c r="GJ181" s="121">
        <f>IF(N('Dvd Calendar'!$V$1799)=0,"",IF(('Dvd Calendar'!$V$1799&gt;=GRID_FROM)*('Dvd Calendar'!$V$1799&lt;=GRID_TO)*('Dvd Calendar'!$V$1799&gt;VAL_DATE)=0,"",'Dvd Calendar'!$V$1799*1000000000+ISNUMBER('Dvd Calendar'!$V$1800)*100000000+0*10000000+(N('Dvd Calendar'!$V$1798)&gt;0)*(N('Dvd Calendar'!$V$1798)&lt;=VAL_SERIAL)*1000000+22*1000+58))</f>
        <v/>
      </c>
      <c r="GK181" s="121">
        <f>IF(N('Dvd Calendar'!$W$1799)=0,"",IF(('Dvd Calendar'!$W$1799&gt;=GRID_FROM)*('Dvd Calendar'!$W$1799&lt;=GRID_TO)*('Dvd Calendar'!$W$1799&gt;VAL_DATE)=0,"",'Dvd Calendar'!$W$1799*1000000000+ISNUMBER('Dvd Calendar'!$W$1800)*100000000+0*10000000+(N('Dvd Calendar'!$W$1798)&gt;0)*(N('Dvd Calendar'!$W$1798)&lt;=VAL_SERIAL)*1000000+22*1000+59))</f>
        <v/>
      </c>
      <c r="GL181" s="121">
        <f>IF(N('Dvd Calendar'!$X$1799)=0,"",IF(('Dvd Calendar'!$X$1799&gt;=GRID_FROM)*('Dvd Calendar'!$X$1799&lt;=GRID_TO)*('Dvd Calendar'!$X$1799&gt;VAL_DATE)=0,"",'Dvd Calendar'!$X$1799*1000000000+ISNUMBER('Dvd Calendar'!$X$1800)*100000000+0*10000000+(N('Dvd Calendar'!$X$1798)&gt;0)*(N('Dvd Calendar'!$X$1798)&lt;=VAL_SERIAL)*1000000+22*1000+60))</f>
        <v/>
      </c>
      <c r="GM181" s="121">
        <f>IF(N('Dvd Calendar'!$Y$1799)=0,"",IF(('Dvd Calendar'!$Y$1799&gt;=GRID_FROM)*('Dvd Calendar'!$Y$1799&lt;=GRID_TO)*('Dvd Calendar'!$Y$1799&gt;VAL_DATE)=0,"",'Dvd Calendar'!$Y$1799*1000000000+ISNUMBER('Dvd Calendar'!$Y$1800)*100000000+0*10000000+(N('Dvd Calendar'!$Y$1798)&gt;0)*(N('Dvd Calendar'!$Y$1798)&lt;=VAL_SERIAL)*1000000+22*1000+61))</f>
        <v/>
      </c>
      <c r="GN181" s="121">
        <f>IF(N('Dvd Calendar'!$Z$1799)=0,"",IF(('Dvd Calendar'!$Z$1799&gt;=GRID_FROM)*('Dvd Calendar'!$Z$1799&lt;=GRID_TO)*('Dvd Calendar'!$Z$1799&gt;VAL_DATE)=0,"",'Dvd Calendar'!$Z$1799*1000000000+ISNUMBER('Dvd Calendar'!$Z$1800)*100000000+0*10000000+(N('Dvd Calendar'!$Z$1798)&gt;0)*(N('Dvd Calendar'!$Z$1798)&lt;=VAL_SERIAL)*1000000+22*1000+62))</f>
        <v/>
      </c>
      <c r="GO181" s="121">
        <f>IF(N('Dvd Calendar'!$AA$1799)=0,"",IF(('Dvd Calendar'!$AA$1799&gt;=GRID_FROM)*('Dvd Calendar'!$AA$1799&lt;=GRID_TO)*('Dvd Calendar'!$AA$1799&gt;VAL_DATE)=0,"",'Dvd Calendar'!$AA$1799*1000000000+ISNUMBER('Dvd Calendar'!$AA$1800)*100000000+0*10000000+(N('Dvd Calendar'!$AA$1798)&gt;0)*(N('Dvd Calendar'!$AA$1798)&lt;=VAL_SERIAL)*1000000+22*1000+63))</f>
        <v/>
      </c>
      <c r="GP181" s="121">
        <f>IF(N('Dvd Calendar'!$AB$1799)=0,"",IF(('Dvd Calendar'!$AB$1799&gt;=GRID_FROM)*('Dvd Calendar'!$AB$1799&lt;=GRID_TO)*('Dvd Calendar'!$AB$1799&gt;VAL_DATE)=0,"",'Dvd Calendar'!$AB$1799*1000000000+ISNUMBER('Dvd Calendar'!$AB$1800)*100000000+0*10000000+(N('Dvd Calendar'!$AB$1798)&gt;0)*(N('Dvd Calendar'!$AB$1798)&lt;=VAL_SERIAL)*1000000+22*1000+64))</f>
        <v/>
      </c>
      <c r="GQ181" s="121">
        <f>IF(N('Dvd Calendar'!$AC$1799)=0,"",IF(('Dvd Calendar'!$AC$1799&gt;=GRID_FROM)*('Dvd Calendar'!$AC$1799&lt;=GRID_TO)*('Dvd Calendar'!$AC$1799&gt;VAL_DATE)=0,"",'Dvd Calendar'!$AC$1799*1000000000+ISNUMBER('Dvd Calendar'!$AC$1800)*100000000+0*10000000+(N('Dvd Calendar'!$AC$1798)&gt;0)*(N('Dvd Calendar'!$AC$1798)&lt;=VAL_SERIAL)*1000000+22*1000+65))</f>
        <v/>
      </c>
    </row>
    <row r="182">
      <c r="B182" s="2">
        <f>IF(HSCEI!$C$29="","",HSCEI!$C$29)</f>
        <v/>
      </c>
      <c r="C182" s="161">
        <f>IF(EE182="","",IF(ISNUMBER('Dvd Calendar'!$E$1806)=FALSE,"",IF((('Dvd Calendar'!$E$1808=TYPE1)*(TYPE1&lt;&gt;"")+('Dvd Calendar'!$E$1808=TYPE2)*(TYPE2&lt;&gt;"")+('Dvd Calendar'!$E$1808=TYPE3)*(TYPE3&lt;&gt;"")+('Dvd Calendar'!$E$1808=TYPE4)*(TYPE4&lt;&gt;"")+('Dvd Calendar'!$E$1808=SPECIAL_LBL)*(INC_SPECIALS="Y"))=0,"",'Dvd Calendar'!$E$1806)))</f>
        <v/>
      </c>
      <c r="D182" s="161">
        <f>IF(EF182="","",IF(ISNUMBER('Dvd Calendar'!$F$1806)=FALSE,"",IF((('Dvd Calendar'!$F$1808=TYPE1)*(TYPE1&lt;&gt;"")+('Dvd Calendar'!$F$1808=TYPE2)*(TYPE2&lt;&gt;"")+('Dvd Calendar'!$F$1808=TYPE3)*(TYPE3&lt;&gt;"")+('Dvd Calendar'!$F$1808=TYPE4)*(TYPE4&lt;&gt;"")+('Dvd Calendar'!$F$1808=SPECIAL_LBL)*(INC_SPECIALS="Y"))=0,"",'Dvd Calendar'!$F$1806)))</f>
        <v/>
      </c>
      <c r="E182" s="161">
        <f>IF(EG182="","",IF(ISNUMBER('Dvd Calendar'!$G$1806)=FALSE,"",IF((('Dvd Calendar'!$G$1808=TYPE1)*(TYPE1&lt;&gt;"")+('Dvd Calendar'!$G$1808=TYPE2)*(TYPE2&lt;&gt;"")+('Dvd Calendar'!$G$1808=TYPE3)*(TYPE3&lt;&gt;"")+('Dvd Calendar'!$G$1808=TYPE4)*(TYPE4&lt;&gt;"")+('Dvd Calendar'!$G$1808=SPECIAL_LBL)*(INC_SPECIALS="Y"))=0,"",'Dvd Calendar'!$G$1806)))</f>
        <v/>
      </c>
      <c r="F182" s="161">
        <f>IF(EH182="","",IF(ISNUMBER('Dvd Calendar'!$H$1806)=FALSE,"",IF((('Dvd Calendar'!$H$1808=TYPE1)*(TYPE1&lt;&gt;"")+('Dvd Calendar'!$H$1808=TYPE2)*(TYPE2&lt;&gt;"")+('Dvd Calendar'!$H$1808=TYPE3)*(TYPE3&lt;&gt;"")+('Dvd Calendar'!$H$1808=TYPE4)*(TYPE4&lt;&gt;"")+('Dvd Calendar'!$H$1808=SPECIAL_LBL)*(INC_SPECIALS="Y"))=0,"",'Dvd Calendar'!$H$1806)))</f>
        <v/>
      </c>
      <c r="G182" s="161">
        <f>IF(EI182="","",IF(ISNUMBER('Dvd Calendar'!$I$1806)=FALSE,"",IF((('Dvd Calendar'!$I$1808=TYPE1)*(TYPE1&lt;&gt;"")+('Dvd Calendar'!$I$1808=TYPE2)*(TYPE2&lt;&gt;"")+('Dvd Calendar'!$I$1808=TYPE3)*(TYPE3&lt;&gt;"")+('Dvd Calendar'!$I$1808=TYPE4)*(TYPE4&lt;&gt;"")+('Dvd Calendar'!$I$1808=SPECIAL_LBL)*(INC_SPECIALS="Y"))=0,"",'Dvd Calendar'!$I$1806)))</f>
        <v/>
      </c>
      <c r="H182" s="161">
        <f>IF(EJ182="","",IF(ISNUMBER('Dvd Calendar'!$J$1806)=FALSE,"",IF((('Dvd Calendar'!$J$1808=TYPE1)*(TYPE1&lt;&gt;"")+('Dvd Calendar'!$J$1808=TYPE2)*(TYPE2&lt;&gt;"")+('Dvd Calendar'!$J$1808=TYPE3)*(TYPE3&lt;&gt;"")+('Dvd Calendar'!$J$1808=TYPE4)*(TYPE4&lt;&gt;"")+('Dvd Calendar'!$J$1808=SPECIAL_LBL)*(INC_SPECIALS="Y"))=0,"",'Dvd Calendar'!$J$1806)))</f>
        <v/>
      </c>
      <c r="I182" s="161">
        <f>IF(EK182="","",IF(ISNUMBER('Dvd Calendar'!$K$1806)=FALSE,"",IF((('Dvd Calendar'!$K$1808=TYPE1)*(TYPE1&lt;&gt;"")+('Dvd Calendar'!$K$1808=TYPE2)*(TYPE2&lt;&gt;"")+('Dvd Calendar'!$K$1808=TYPE3)*(TYPE3&lt;&gt;"")+('Dvd Calendar'!$K$1808=TYPE4)*(TYPE4&lt;&gt;"")+('Dvd Calendar'!$K$1808=SPECIAL_LBL)*(INC_SPECIALS="Y"))=0,"",'Dvd Calendar'!$K$1806)))</f>
        <v/>
      </c>
      <c r="J182" s="161">
        <f>IF(EL182="","",IF(ISNUMBER('Dvd Calendar'!$L$1806)=FALSE,"",IF((('Dvd Calendar'!$L$1808=TYPE1)*(TYPE1&lt;&gt;"")+('Dvd Calendar'!$L$1808=TYPE2)*(TYPE2&lt;&gt;"")+('Dvd Calendar'!$L$1808=TYPE3)*(TYPE3&lt;&gt;"")+('Dvd Calendar'!$L$1808=TYPE4)*(TYPE4&lt;&gt;"")+('Dvd Calendar'!$L$1808=SPECIAL_LBL)*(INC_SPECIALS="Y"))=0,"",'Dvd Calendar'!$L$1806)))</f>
        <v/>
      </c>
      <c r="K182" s="161">
        <f>IF(EM182="","",IF(ISNUMBER('Dvd Calendar'!$M$1806)=FALSE,"",IF((('Dvd Calendar'!$M$1808=TYPE1)*(TYPE1&lt;&gt;"")+('Dvd Calendar'!$M$1808=TYPE2)*(TYPE2&lt;&gt;"")+('Dvd Calendar'!$M$1808=TYPE3)*(TYPE3&lt;&gt;"")+('Dvd Calendar'!$M$1808=TYPE4)*(TYPE4&lt;&gt;"")+('Dvd Calendar'!$M$1808=SPECIAL_LBL)*(INC_SPECIALS="Y"))=0,"",'Dvd Calendar'!$M$1806)))</f>
        <v/>
      </c>
      <c r="L182" s="161">
        <f>IF(EN182="","",IF(ISNUMBER('Dvd Calendar'!$N$1806)=FALSE,"",IF((('Dvd Calendar'!$N$1808=TYPE1)*(TYPE1&lt;&gt;"")+('Dvd Calendar'!$N$1808=TYPE2)*(TYPE2&lt;&gt;"")+('Dvd Calendar'!$N$1808=TYPE3)*(TYPE3&lt;&gt;"")+('Dvd Calendar'!$N$1808=TYPE4)*(TYPE4&lt;&gt;"")+('Dvd Calendar'!$N$1808=SPECIAL_LBL)*(INC_SPECIALS="Y"))=0,"",'Dvd Calendar'!$N$1806)))</f>
        <v/>
      </c>
      <c r="M182" s="161">
        <f>IF(EO182="","",IF(ISNUMBER('Dvd Calendar'!$O$1806)=FALSE,"",IF((('Dvd Calendar'!$O$1808=TYPE1)*(TYPE1&lt;&gt;"")+('Dvd Calendar'!$O$1808=TYPE2)*(TYPE2&lt;&gt;"")+('Dvd Calendar'!$O$1808=TYPE3)*(TYPE3&lt;&gt;"")+('Dvd Calendar'!$O$1808=TYPE4)*(TYPE4&lt;&gt;"")+('Dvd Calendar'!$O$1808=SPECIAL_LBL)*(INC_SPECIALS="Y"))=0,"",'Dvd Calendar'!$O$1806)))</f>
        <v/>
      </c>
      <c r="N182" s="161">
        <f>IF(EP182="","",IF(ISNUMBER('Dvd Calendar'!$P$1806)=FALSE,"",IF((('Dvd Calendar'!$P$1808=TYPE1)*(TYPE1&lt;&gt;"")+('Dvd Calendar'!$P$1808=TYPE2)*(TYPE2&lt;&gt;"")+('Dvd Calendar'!$P$1808=TYPE3)*(TYPE3&lt;&gt;"")+('Dvd Calendar'!$P$1808=TYPE4)*(TYPE4&lt;&gt;"")+('Dvd Calendar'!$P$1808=SPECIAL_LBL)*(INC_SPECIALS="Y"))=0,"",'Dvd Calendar'!$P$1806)))</f>
        <v/>
      </c>
      <c r="O182" s="161">
        <f>IF(EQ182="","",IF(ISNUMBER('Dvd Calendar'!$Q$1806)=FALSE,"",IF((('Dvd Calendar'!$Q$1808=TYPE1)*(TYPE1&lt;&gt;"")+('Dvd Calendar'!$Q$1808=TYPE2)*(TYPE2&lt;&gt;"")+('Dvd Calendar'!$Q$1808=TYPE3)*(TYPE3&lt;&gt;"")+('Dvd Calendar'!$Q$1808=TYPE4)*(TYPE4&lt;&gt;"")+('Dvd Calendar'!$Q$1808=SPECIAL_LBL)*(INC_SPECIALS="Y"))=0,"",'Dvd Calendar'!$Q$1806)))</f>
        <v/>
      </c>
      <c r="P182" s="161">
        <f>IF(ER182="","",IF(ISNUMBER('Dvd Calendar'!$R$1806)=FALSE,"",IF((('Dvd Calendar'!$R$1808=TYPE1)*(TYPE1&lt;&gt;"")+('Dvd Calendar'!$R$1808=TYPE2)*(TYPE2&lt;&gt;"")+('Dvd Calendar'!$R$1808=TYPE3)*(TYPE3&lt;&gt;"")+('Dvd Calendar'!$R$1808=TYPE4)*(TYPE4&lt;&gt;"")+('Dvd Calendar'!$R$1808=SPECIAL_LBL)*(INC_SPECIALS="Y"))=0,"",'Dvd Calendar'!$R$1806)))</f>
        <v/>
      </c>
      <c r="Q182" s="161">
        <f>IF(ES182="","",IF(ISNUMBER('Dvd Calendar'!$S$1806)=FALSE,"",IF((('Dvd Calendar'!$S$1808=TYPE1)*(TYPE1&lt;&gt;"")+('Dvd Calendar'!$S$1808=TYPE2)*(TYPE2&lt;&gt;"")+('Dvd Calendar'!$S$1808=TYPE3)*(TYPE3&lt;&gt;"")+('Dvd Calendar'!$S$1808=TYPE4)*(TYPE4&lt;&gt;"")+('Dvd Calendar'!$S$1808=SPECIAL_LBL)*(INC_SPECIALS="Y"))=0,"",'Dvd Calendar'!$S$1806)))</f>
        <v/>
      </c>
      <c r="R182" s="161">
        <f>IF(ET182="","",IF(ISNUMBER('Dvd Calendar'!$T$1806)=FALSE,"",IF((('Dvd Calendar'!$T$1808=TYPE1)*(TYPE1&lt;&gt;"")+('Dvd Calendar'!$T$1808=TYPE2)*(TYPE2&lt;&gt;"")+('Dvd Calendar'!$T$1808=TYPE3)*(TYPE3&lt;&gt;"")+('Dvd Calendar'!$T$1808=TYPE4)*(TYPE4&lt;&gt;"")+('Dvd Calendar'!$T$1808=SPECIAL_LBL)*(INC_SPECIALS="Y"))=0,"",'Dvd Calendar'!$T$1806)))</f>
        <v/>
      </c>
      <c r="S182" s="161">
        <f>IF(EU182="","",IF(ISNUMBER('Dvd Calendar'!$U$1806)=FALSE,"",IF((('Dvd Calendar'!$U$1808=TYPE1)*(TYPE1&lt;&gt;"")+('Dvd Calendar'!$U$1808=TYPE2)*(TYPE2&lt;&gt;"")+('Dvd Calendar'!$U$1808=TYPE3)*(TYPE3&lt;&gt;"")+('Dvd Calendar'!$U$1808=TYPE4)*(TYPE4&lt;&gt;"")+('Dvd Calendar'!$U$1808=SPECIAL_LBL)*(INC_SPECIALS="Y"))=0,"",'Dvd Calendar'!$U$1806)))</f>
        <v/>
      </c>
      <c r="T182" s="161">
        <f>IF(EV182="","",IF(ISNUMBER('Dvd Calendar'!$V$1806)=FALSE,"",IF((('Dvd Calendar'!$V$1808=TYPE1)*(TYPE1&lt;&gt;"")+('Dvd Calendar'!$V$1808=TYPE2)*(TYPE2&lt;&gt;"")+('Dvd Calendar'!$V$1808=TYPE3)*(TYPE3&lt;&gt;"")+('Dvd Calendar'!$V$1808=TYPE4)*(TYPE4&lt;&gt;"")+('Dvd Calendar'!$V$1808=SPECIAL_LBL)*(INC_SPECIALS="Y"))=0,"",'Dvd Calendar'!$V$1806)))</f>
        <v/>
      </c>
      <c r="U182" s="161">
        <f>IF(EW182="","",IF(ISNUMBER('Dvd Calendar'!$W$1806)=FALSE,"",IF((('Dvd Calendar'!$W$1808=TYPE1)*(TYPE1&lt;&gt;"")+('Dvd Calendar'!$W$1808=TYPE2)*(TYPE2&lt;&gt;"")+('Dvd Calendar'!$W$1808=TYPE3)*(TYPE3&lt;&gt;"")+('Dvd Calendar'!$W$1808=TYPE4)*(TYPE4&lt;&gt;"")+('Dvd Calendar'!$W$1808=SPECIAL_LBL)*(INC_SPECIALS="Y"))=0,"",'Dvd Calendar'!$W$1806)))</f>
        <v/>
      </c>
      <c r="V182" s="161">
        <f>IF(EX182="","",IF(ISNUMBER('Dvd Calendar'!$X$1806)=FALSE,"",IF((('Dvd Calendar'!$X$1808=TYPE1)*(TYPE1&lt;&gt;"")+('Dvd Calendar'!$X$1808=TYPE2)*(TYPE2&lt;&gt;"")+('Dvd Calendar'!$X$1808=TYPE3)*(TYPE3&lt;&gt;"")+('Dvd Calendar'!$X$1808=TYPE4)*(TYPE4&lt;&gt;"")+('Dvd Calendar'!$X$1808=SPECIAL_LBL)*(INC_SPECIALS="Y"))=0,"",'Dvd Calendar'!$X$1806)))</f>
        <v/>
      </c>
      <c r="W182" s="161">
        <f>IF(EY182="","",IF(ISNUMBER('Dvd Calendar'!$Y$1806)=FALSE,"",IF((('Dvd Calendar'!$Y$1808=TYPE1)*(TYPE1&lt;&gt;"")+('Dvd Calendar'!$Y$1808=TYPE2)*(TYPE2&lt;&gt;"")+('Dvd Calendar'!$Y$1808=TYPE3)*(TYPE3&lt;&gt;"")+('Dvd Calendar'!$Y$1808=TYPE4)*(TYPE4&lt;&gt;"")+('Dvd Calendar'!$Y$1808=SPECIAL_LBL)*(INC_SPECIALS="Y"))=0,"",'Dvd Calendar'!$Y$1806)))</f>
        <v/>
      </c>
      <c r="X182" s="161">
        <f>IF(EZ182="","",IF(ISNUMBER('Dvd Calendar'!$Z$1806)=FALSE,"",IF((('Dvd Calendar'!$Z$1808=TYPE1)*(TYPE1&lt;&gt;"")+('Dvd Calendar'!$Z$1808=TYPE2)*(TYPE2&lt;&gt;"")+('Dvd Calendar'!$Z$1808=TYPE3)*(TYPE3&lt;&gt;"")+('Dvd Calendar'!$Z$1808=TYPE4)*(TYPE4&lt;&gt;"")+('Dvd Calendar'!$Z$1808=SPECIAL_LBL)*(INC_SPECIALS="Y"))=0,"",'Dvd Calendar'!$Z$1806)))</f>
        <v/>
      </c>
      <c r="Y182" s="161">
        <f>IF(FA182="","",IF(ISNUMBER('Dvd Calendar'!$AA$1806)=FALSE,"",IF((('Dvd Calendar'!$AA$1808=TYPE1)*(TYPE1&lt;&gt;"")+('Dvd Calendar'!$AA$1808=TYPE2)*(TYPE2&lt;&gt;"")+('Dvd Calendar'!$AA$1808=TYPE3)*(TYPE3&lt;&gt;"")+('Dvd Calendar'!$AA$1808=TYPE4)*(TYPE4&lt;&gt;"")+('Dvd Calendar'!$AA$1808=SPECIAL_LBL)*(INC_SPECIALS="Y"))=0,"",'Dvd Calendar'!$AA$1806)))</f>
        <v/>
      </c>
      <c r="Z182" s="161">
        <f>IF(FB182="","",IF(ISNUMBER('Dvd Calendar'!$AB$1806)=FALSE,"",IF((('Dvd Calendar'!$AB$1808=TYPE1)*(TYPE1&lt;&gt;"")+('Dvd Calendar'!$AB$1808=TYPE2)*(TYPE2&lt;&gt;"")+('Dvd Calendar'!$AB$1808=TYPE3)*(TYPE3&lt;&gt;"")+('Dvd Calendar'!$AB$1808=TYPE4)*(TYPE4&lt;&gt;"")+('Dvd Calendar'!$AB$1808=SPECIAL_LBL)*(INC_SPECIALS="Y"))=0,"",'Dvd Calendar'!$AB$1806)))</f>
        <v/>
      </c>
      <c r="AA182" s="161">
        <f>IF(FC182="","",IF(ISNUMBER('Dvd Calendar'!$AC$1806)=FALSE,"",IF((('Dvd Calendar'!$AC$1808=TYPE1)*(TYPE1&lt;&gt;"")+('Dvd Calendar'!$AC$1808=TYPE2)*(TYPE2&lt;&gt;"")+('Dvd Calendar'!$AC$1808=TYPE3)*(TYPE3&lt;&gt;"")+('Dvd Calendar'!$AC$1808=TYPE4)*(TYPE4&lt;&gt;"")+('Dvd Calendar'!$AC$1808=SPECIAL_LBL)*(INC_SPECIALS="Y"))=0,"",'Dvd Calendar'!$AC$1806)))</f>
        <v/>
      </c>
      <c r="AB182" s="161">
        <f>IF(FD182="","",IF(ISNUMBER('Dvd Calendar'!$AD$1806)=FALSE,"",IF((('Dvd Calendar'!$AD$1808=TYPE1)*(TYPE1&lt;&gt;"")+('Dvd Calendar'!$AD$1808=TYPE2)*(TYPE2&lt;&gt;"")+('Dvd Calendar'!$AD$1808=TYPE3)*(TYPE3&lt;&gt;"")+('Dvd Calendar'!$AD$1808=TYPE4)*(TYPE4&lt;&gt;"")+('Dvd Calendar'!$AD$1808=SPECIAL_LBL)*(INC_SPECIALS="Y"))=0,"",'Dvd Calendar'!$AD$1806)))</f>
        <v/>
      </c>
      <c r="AC182" s="161">
        <f>IF(FE182="","",IF(ISNUMBER('Dvd Calendar'!$AE$1806)=FALSE,"",IF((('Dvd Calendar'!$AE$1808=TYPE1)*(TYPE1&lt;&gt;"")+('Dvd Calendar'!$AE$1808=TYPE2)*(TYPE2&lt;&gt;"")+('Dvd Calendar'!$AE$1808=TYPE3)*(TYPE3&lt;&gt;"")+('Dvd Calendar'!$AE$1808=TYPE4)*(TYPE4&lt;&gt;"")+('Dvd Calendar'!$AE$1808=SPECIAL_LBL)*(INC_SPECIALS="Y"))=0,"",'Dvd Calendar'!$AE$1806)))</f>
        <v/>
      </c>
      <c r="AD182" s="161">
        <f>IF(FF182="","",IF(ISNUMBER('Dvd Calendar'!$AF$1806)=FALSE,"",IF((('Dvd Calendar'!$AF$1808=TYPE1)*(TYPE1&lt;&gt;"")+('Dvd Calendar'!$AF$1808=TYPE2)*(TYPE2&lt;&gt;"")+('Dvd Calendar'!$AF$1808=TYPE3)*(TYPE3&lt;&gt;"")+('Dvd Calendar'!$AF$1808=TYPE4)*(TYPE4&lt;&gt;"")+('Dvd Calendar'!$AF$1808=SPECIAL_LBL)*(INC_SPECIALS="Y"))=0,"",'Dvd Calendar'!$AF$1806)))</f>
        <v/>
      </c>
      <c r="AE182" s="161">
        <f>IF(FG182="","",IF(ISNUMBER('Dvd Calendar'!$AG$1806)=FALSE,"",IF((('Dvd Calendar'!$AG$1808=TYPE1)*(TYPE1&lt;&gt;"")+('Dvd Calendar'!$AG$1808=TYPE2)*(TYPE2&lt;&gt;"")+('Dvd Calendar'!$AG$1808=TYPE3)*(TYPE3&lt;&gt;"")+('Dvd Calendar'!$AG$1808=TYPE4)*(TYPE4&lt;&gt;"")+('Dvd Calendar'!$AG$1808=SPECIAL_LBL)*(INC_SPECIALS="Y"))=0,"",'Dvd Calendar'!$AG$1806)))</f>
        <v/>
      </c>
      <c r="AF182" s="161">
        <f>IF(FH182="","",IF(ISNUMBER('Dvd Calendar'!$AH$1806)=FALSE,"",IF((('Dvd Calendar'!$AH$1808=TYPE1)*(TYPE1&lt;&gt;"")+('Dvd Calendar'!$AH$1808=TYPE2)*(TYPE2&lt;&gt;"")+('Dvd Calendar'!$AH$1808=TYPE3)*(TYPE3&lt;&gt;"")+('Dvd Calendar'!$AH$1808=TYPE4)*(TYPE4&lt;&gt;"")+('Dvd Calendar'!$AH$1808=SPECIAL_LBL)*(INC_SPECIALS="Y"))=0,"",'Dvd Calendar'!$AH$1806)))</f>
        <v/>
      </c>
      <c r="AG182" s="161">
        <f>IF(FI182="","",IF(ISNUMBER('Dvd Calendar'!$AI$1806)=FALSE,"",IF((('Dvd Calendar'!$AI$1808=TYPE1)*(TYPE1&lt;&gt;"")+('Dvd Calendar'!$AI$1808=TYPE2)*(TYPE2&lt;&gt;"")+('Dvd Calendar'!$AI$1808=TYPE3)*(TYPE3&lt;&gt;"")+('Dvd Calendar'!$AI$1808=TYPE4)*(TYPE4&lt;&gt;"")+('Dvd Calendar'!$AI$1808=SPECIAL_LBL)*(INC_SPECIALS="Y"))=0,"",'Dvd Calendar'!$AI$1806)))</f>
        <v/>
      </c>
      <c r="AH182" s="161">
        <f>IF(FJ182="","",IF(ISNUMBER('Dvd Calendar'!$AJ$1806)=FALSE,"",IF((('Dvd Calendar'!$AJ$1808=TYPE1)*(TYPE1&lt;&gt;"")+('Dvd Calendar'!$AJ$1808=TYPE2)*(TYPE2&lt;&gt;"")+('Dvd Calendar'!$AJ$1808=TYPE3)*(TYPE3&lt;&gt;"")+('Dvd Calendar'!$AJ$1808=TYPE4)*(TYPE4&lt;&gt;"")+('Dvd Calendar'!$AJ$1808=SPECIAL_LBL)*(INC_SPECIALS="Y"))=0,"",'Dvd Calendar'!$AJ$1806)))</f>
        <v/>
      </c>
      <c r="AI182" s="161">
        <f>IF(FK182="","",IF(ISNUMBER('Dvd Calendar'!$AK$1806)=FALSE,"",IF((('Dvd Calendar'!$AK$1808=TYPE1)*(TYPE1&lt;&gt;"")+('Dvd Calendar'!$AK$1808=TYPE2)*(TYPE2&lt;&gt;"")+('Dvd Calendar'!$AK$1808=TYPE3)*(TYPE3&lt;&gt;"")+('Dvd Calendar'!$AK$1808=TYPE4)*(TYPE4&lt;&gt;"")+('Dvd Calendar'!$AK$1808=SPECIAL_LBL)*(INC_SPECIALS="Y"))=0,"",'Dvd Calendar'!$AK$1806)))</f>
        <v/>
      </c>
      <c r="AJ182" s="161">
        <f>IF(FL182="","",IF(ISNUMBER('Dvd Calendar'!$AL$1806)=FALSE,"",IF((('Dvd Calendar'!$AL$1808=TYPE1)*(TYPE1&lt;&gt;"")+('Dvd Calendar'!$AL$1808=TYPE2)*(TYPE2&lt;&gt;"")+('Dvd Calendar'!$AL$1808=TYPE3)*(TYPE3&lt;&gt;"")+('Dvd Calendar'!$AL$1808=TYPE4)*(TYPE4&lt;&gt;"")+('Dvd Calendar'!$AL$1808=SPECIAL_LBL)*(INC_SPECIALS="Y"))=0,"",'Dvd Calendar'!$AL$1806)))</f>
        <v/>
      </c>
      <c r="AK182" s="161">
        <f>IF(FM182="","",IF(ISNUMBER('Dvd Calendar'!$AM$1806)=FALSE,"",IF((('Dvd Calendar'!$AM$1808=TYPE1)*(TYPE1&lt;&gt;"")+('Dvd Calendar'!$AM$1808=TYPE2)*(TYPE2&lt;&gt;"")+('Dvd Calendar'!$AM$1808=TYPE3)*(TYPE3&lt;&gt;"")+('Dvd Calendar'!$AM$1808=TYPE4)*(TYPE4&lt;&gt;"")+('Dvd Calendar'!$AM$1808=SPECIAL_LBL)*(INC_SPECIALS="Y"))=0,"",'Dvd Calendar'!$AM$1806)))</f>
        <v/>
      </c>
      <c r="AL182" s="161">
        <f>IF(FN182="","",IF(ISNUMBER('Dvd Calendar'!$AN$1806)=FALSE,"",IF((('Dvd Calendar'!$AN$1808=TYPE1)*(TYPE1&lt;&gt;"")+('Dvd Calendar'!$AN$1808=TYPE2)*(TYPE2&lt;&gt;"")+('Dvd Calendar'!$AN$1808=TYPE3)*(TYPE3&lt;&gt;"")+('Dvd Calendar'!$AN$1808=TYPE4)*(TYPE4&lt;&gt;"")+('Dvd Calendar'!$AN$1808=SPECIAL_LBL)*(INC_SPECIALS="Y"))=0,"",'Dvd Calendar'!$AN$1806)))</f>
        <v/>
      </c>
      <c r="AM182" s="161">
        <f>IF(FO182="","",IF(ISNUMBER('Dvd Calendar'!$AO$1806)=FALSE,"",IF((('Dvd Calendar'!$AO$1808=TYPE1)*(TYPE1&lt;&gt;"")+('Dvd Calendar'!$AO$1808=TYPE2)*(TYPE2&lt;&gt;"")+('Dvd Calendar'!$AO$1808=TYPE3)*(TYPE3&lt;&gt;"")+('Dvd Calendar'!$AO$1808=TYPE4)*(TYPE4&lt;&gt;"")+('Dvd Calendar'!$AO$1808=SPECIAL_LBL)*(INC_SPECIALS="Y"))=0,"",'Dvd Calendar'!$AO$1806)))</f>
        <v/>
      </c>
      <c r="AN182" s="161">
        <f>IF(FP182="","",IF(ISNUMBER('Dvd Calendar'!$AP$1806)=FALSE,"",IF((('Dvd Calendar'!$AP$1808=TYPE1)*(TYPE1&lt;&gt;"")+('Dvd Calendar'!$AP$1808=TYPE2)*(TYPE2&lt;&gt;"")+('Dvd Calendar'!$AP$1808=TYPE3)*(TYPE3&lt;&gt;"")+('Dvd Calendar'!$AP$1808=TYPE4)*(TYPE4&lt;&gt;"")+('Dvd Calendar'!$AP$1808=SPECIAL_LBL)*(INC_SPECIALS="Y"))=0,"",'Dvd Calendar'!$AP$1806)))</f>
        <v/>
      </c>
      <c r="AO182" s="161">
        <f>IF(FQ182="","",IF(ISNUMBER('Dvd Calendar'!$AQ$1806)=FALSE,"",IF((('Dvd Calendar'!$AQ$1808=TYPE1)*(TYPE1&lt;&gt;"")+('Dvd Calendar'!$AQ$1808=TYPE2)*(TYPE2&lt;&gt;"")+('Dvd Calendar'!$AQ$1808=TYPE3)*(TYPE3&lt;&gt;"")+('Dvd Calendar'!$AQ$1808=TYPE4)*(TYPE4&lt;&gt;"")+('Dvd Calendar'!$AQ$1808=SPECIAL_LBL)*(INC_SPECIALS="Y"))=0,"",'Dvd Calendar'!$AQ$1806)))</f>
        <v/>
      </c>
      <c r="AP182" s="161">
        <f>IF(FR182="","",IF(ISNUMBER('Dvd Calendar'!$AR$1806)=FALSE,"",IF((('Dvd Calendar'!$AR$1808=TYPE1)*(TYPE1&lt;&gt;"")+('Dvd Calendar'!$AR$1808=TYPE2)*(TYPE2&lt;&gt;"")+('Dvd Calendar'!$AR$1808=TYPE3)*(TYPE3&lt;&gt;"")+('Dvd Calendar'!$AR$1808=TYPE4)*(TYPE4&lt;&gt;"")+('Dvd Calendar'!$AR$1808=SPECIAL_LBL)*(INC_SPECIALS="Y"))=0,"",'Dvd Calendar'!$AR$1806)))</f>
        <v/>
      </c>
      <c r="AQ182" s="161">
        <f>IF(FS182="","",IF(ISNUMBER('Dvd Calendar'!$E$1811)=FALSE,"",'Dvd Calendar'!$E$1811))</f>
        <v/>
      </c>
      <c r="AR182" s="161">
        <f>IF(FT182="","",IF(ISNUMBER('Dvd Calendar'!$F$1811)=FALSE,"",'Dvd Calendar'!$F$1811))</f>
        <v/>
      </c>
      <c r="AS182" s="161">
        <f>IF(FU182="","",IF(ISNUMBER('Dvd Calendar'!$G$1811)=FALSE,"",'Dvd Calendar'!$G$1811))</f>
        <v/>
      </c>
      <c r="AT182" s="161">
        <f>IF(FV182="","",IF(ISNUMBER('Dvd Calendar'!$H$1811)=FALSE,"",'Dvd Calendar'!$H$1811))</f>
        <v/>
      </c>
      <c r="AU182" s="161">
        <f>IF(FW182="","",IF(ISNUMBER('Dvd Calendar'!$I$1811)=FALSE,"",'Dvd Calendar'!$I$1811))</f>
        <v/>
      </c>
      <c r="AV182" s="161">
        <f>IF(FX182="","",IF(ISNUMBER('Dvd Calendar'!$J$1811)=FALSE,"",'Dvd Calendar'!$J$1811))</f>
        <v/>
      </c>
      <c r="AW182" s="161">
        <f>IF(FY182="","",IF(ISNUMBER('Dvd Calendar'!$K$1811)=FALSE,"",'Dvd Calendar'!$K$1811))</f>
        <v/>
      </c>
      <c r="AX182" s="161">
        <f>IF(FZ182="","",IF(ISNUMBER('Dvd Calendar'!$L$1811)=FALSE,"",'Dvd Calendar'!$L$1811))</f>
        <v/>
      </c>
      <c r="AY182" s="161">
        <f>IF(GA182="","",IF(ISNUMBER('Dvd Calendar'!$M$1811)=FALSE,"",'Dvd Calendar'!$M$1811))</f>
        <v/>
      </c>
      <c r="AZ182" s="161">
        <f>IF(GB182="","",IF(ISNUMBER('Dvd Calendar'!$N$1811)=FALSE,"",'Dvd Calendar'!$N$1811))</f>
        <v/>
      </c>
      <c r="BA182" s="161">
        <f>IF(GC182="","",IF(ISNUMBER('Dvd Calendar'!$O$1811)=FALSE,"",'Dvd Calendar'!$O$1811))</f>
        <v/>
      </c>
      <c r="BB182" s="161">
        <f>IF(GD182="","",IF(ISNUMBER('Dvd Calendar'!$P$1811)=FALSE,"",'Dvd Calendar'!$P$1811))</f>
        <v/>
      </c>
      <c r="BC182" s="161">
        <f>IF(GE182="","",IF(ISNUMBER('Dvd Calendar'!$Q$1811)=FALSE,"",'Dvd Calendar'!$Q$1811))</f>
        <v/>
      </c>
      <c r="BD182" s="161">
        <f>IF(GF182="","",IF(ISNUMBER('Dvd Calendar'!$R$1811)=FALSE,"",'Dvd Calendar'!$R$1811))</f>
        <v/>
      </c>
      <c r="BE182" s="161">
        <f>IF(GG182="","",IF(ISNUMBER('Dvd Calendar'!$S$1811)=FALSE,"",'Dvd Calendar'!$S$1811))</f>
        <v/>
      </c>
      <c r="BF182" s="161">
        <f>IF(GH182="","",IF(ISNUMBER('Dvd Calendar'!$T$1811)=FALSE,"",'Dvd Calendar'!$T$1811))</f>
        <v/>
      </c>
      <c r="BG182" s="161">
        <f>IF(GI182="","",IF(ISNUMBER('Dvd Calendar'!$U$1811)=FALSE,"",'Dvd Calendar'!$U$1811))</f>
        <v/>
      </c>
      <c r="BH182" s="161">
        <f>IF(GJ182="","",IF(ISNUMBER('Dvd Calendar'!$V$1811)=FALSE,"",'Dvd Calendar'!$V$1811))</f>
        <v/>
      </c>
      <c r="BI182" s="161">
        <f>IF(GK182="","",IF(ISNUMBER('Dvd Calendar'!$W$1811)=FALSE,"",'Dvd Calendar'!$W$1811))</f>
        <v/>
      </c>
      <c r="BJ182" s="161">
        <f>IF(GL182="","",IF(ISNUMBER('Dvd Calendar'!$X$1811)=FALSE,"",'Dvd Calendar'!$X$1811))</f>
        <v/>
      </c>
      <c r="BK182" s="161">
        <f>IF(GM182="","",IF(ISNUMBER('Dvd Calendar'!$Y$1811)=FALSE,"",'Dvd Calendar'!$Y$1811))</f>
        <v/>
      </c>
      <c r="BL182" s="161">
        <f>IF(GN182="","",IF(ISNUMBER('Dvd Calendar'!$Z$1811)=FALSE,"",'Dvd Calendar'!$Z$1811))</f>
        <v/>
      </c>
      <c r="BM182" s="161">
        <f>IF(GO182="","",IF(ISNUMBER('Dvd Calendar'!$AA$1811)=FALSE,"",'Dvd Calendar'!$AA$1811))</f>
        <v/>
      </c>
      <c r="BN182" s="161">
        <f>IF(GP182="","",IF(ISNUMBER('Dvd Calendar'!$AB$1811)=FALSE,"",'Dvd Calendar'!$AB$1811))</f>
        <v/>
      </c>
      <c r="BO182" s="161">
        <f>IF(GQ182="","",IF(ISNUMBER('Dvd Calendar'!$AC$1811)=FALSE,"",'Dvd Calendar'!$AC$1811))</f>
        <v/>
      </c>
      <c r="BQ182" s="161">
        <f>IF(C182="","",IFERROR(C182*HSCEI!$B$29*HSCEI!$G$29/HSCEI!$B$3,""))</f>
        <v/>
      </c>
      <c r="BR182" s="161">
        <f>IF(D182="","",IFERROR(D182*HSCEI!$B$29*HSCEI!$G$29/HSCEI!$B$3,""))</f>
        <v/>
      </c>
      <c r="BS182" s="161">
        <f>IF(E182="","",IFERROR(E182*HSCEI!$B$29*HSCEI!$G$29/HSCEI!$B$3,""))</f>
        <v/>
      </c>
      <c r="BT182" s="161">
        <f>IF(F182="","",IFERROR(F182*HSCEI!$B$29*HSCEI!$G$29/HSCEI!$B$3,""))</f>
        <v/>
      </c>
      <c r="BU182" s="161">
        <f>IF(G182="","",IFERROR(G182*HSCEI!$B$29*HSCEI!$G$29/HSCEI!$B$3,""))</f>
        <v/>
      </c>
      <c r="BV182" s="161">
        <f>IF(H182="","",IFERROR(H182*HSCEI!$B$29*HSCEI!$G$29/HSCEI!$B$3,""))</f>
        <v/>
      </c>
      <c r="BW182" s="161">
        <f>IF(I182="","",IFERROR(I182*HSCEI!$B$29*HSCEI!$G$29/HSCEI!$B$3,""))</f>
        <v/>
      </c>
      <c r="BX182" s="161">
        <f>IF(J182="","",IFERROR(J182*HSCEI!$B$29*HSCEI!$G$29/HSCEI!$B$3,""))</f>
        <v/>
      </c>
      <c r="BY182" s="161">
        <f>IF(K182="","",IFERROR(K182*HSCEI!$B$29*HSCEI!$G$29/HSCEI!$B$3,""))</f>
        <v/>
      </c>
      <c r="BZ182" s="161">
        <f>IF(L182="","",IFERROR(L182*HSCEI!$B$29*HSCEI!$G$29/HSCEI!$B$3,""))</f>
        <v/>
      </c>
      <c r="CA182" s="161">
        <f>IF(M182="","",IFERROR(M182*HSCEI!$B$29*HSCEI!$G$29/HSCEI!$B$3,""))</f>
        <v/>
      </c>
      <c r="CB182" s="161">
        <f>IF(N182="","",IFERROR(N182*HSCEI!$B$29*HSCEI!$G$29/HSCEI!$B$3,""))</f>
        <v/>
      </c>
      <c r="CC182" s="161">
        <f>IF(O182="","",IFERROR(O182*HSCEI!$B$29*HSCEI!$G$29/HSCEI!$B$3,""))</f>
        <v/>
      </c>
      <c r="CD182" s="161">
        <f>IF(P182="","",IFERROR(P182*HSCEI!$B$29*HSCEI!$G$29/HSCEI!$B$3,""))</f>
        <v/>
      </c>
      <c r="CE182" s="161">
        <f>IF(Q182="","",IFERROR(Q182*HSCEI!$B$29*HSCEI!$G$29/HSCEI!$B$3,""))</f>
        <v/>
      </c>
      <c r="CF182" s="161">
        <f>IF(R182="","",IFERROR(R182*HSCEI!$B$29*HSCEI!$G$29/HSCEI!$B$3,""))</f>
        <v/>
      </c>
      <c r="CG182" s="161">
        <f>IF(S182="","",IFERROR(S182*HSCEI!$B$29*HSCEI!$G$29/HSCEI!$B$3,""))</f>
        <v/>
      </c>
      <c r="CH182" s="161">
        <f>IF(T182="","",IFERROR(T182*HSCEI!$B$29*HSCEI!$G$29/HSCEI!$B$3,""))</f>
        <v/>
      </c>
      <c r="CI182" s="161">
        <f>IF(U182="","",IFERROR(U182*HSCEI!$B$29*HSCEI!$G$29/HSCEI!$B$3,""))</f>
        <v/>
      </c>
      <c r="CJ182" s="161">
        <f>IF(V182="","",IFERROR(V182*HSCEI!$B$29*HSCEI!$G$29/HSCEI!$B$3,""))</f>
        <v/>
      </c>
      <c r="CK182" s="161">
        <f>IF(W182="","",IFERROR(W182*HSCEI!$B$29*HSCEI!$G$29/HSCEI!$B$3,""))</f>
        <v/>
      </c>
      <c r="CL182" s="161">
        <f>IF(X182="","",IFERROR(X182*HSCEI!$B$29*HSCEI!$G$29/HSCEI!$B$3,""))</f>
        <v/>
      </c>
      <c r="CM182" s="161">
        <f>IF(Y182="","",IFERROR(Y182*HSCEI!$B$29*HSCEI!$G$29/HSCEI!$B$3,""))</f>
        <v/>
      </c>
      <c r="CN182" s="161">
        <f>IF(Z182="","",IFERROR(Z182*HSCEI!$B$29*HSCEI!$G$29/HSCEI!$B$3,""))</f>
        <v/>
      </c>
      <c r="CO182" s="161">
        <f>IF(AA182="","",IFERROR(AA182*HSCEI!$B$29*HSCEI!$G$29/HSCEI!$B$3,""))</f>
        <v/>
      </c>
      <c r="CP182" s="161">
        <f>IF(AB182="","",IFERROR(AB182*HSCEI!$B$29*HSCEI!$G$29/HSCEI!$B$3,""))</f>
        <v/>
      </c>
      <c r="CQ182" s="161">
        <f>IF(AC182="","",IFERROR(AC182*HSCEI!$B$29*HSCEI!$G$29/HSCEI!$B$3,""))</f>
        <v/>
      </c>
      <c r="CR182" s="161">
        <f>IF(AD182="","",IFERROR(AD182*HSCEI!$B$29*HSCEI!$G$29/HSCEI!$B$3,""))</f>
        <v/>
      </c>
      <c r="CS182" s="161">
        <f>IF(AE182="","",IFERROR(AE182*HSCEI!$B$29*HSCEI!$G$29/HSCEI!$B$3,""))</f>
        <v/>
      </c>
      <c r="CT182" s="161">
        <f>IF(AF182="","",IFERROR(AF182*HSCEI!$B$29*HSCEI!$G$29/HSCEI!$B$3,""))</f>
        <v/>
      </c>
      <c r="CU182" s="161">
        <f>IF(AG182="","",IFERROR(AG182*HSCEI!$B$29*HSCEI!$G$29/HSCEI!$B$3,""))</f>
        <v/>
      </c>
      <c r="CV182" s="161">
        <f>IF(AH182="","",IFERROR(AH182*HSCEI!$B$29*HSCEI!$G$29/HSCEI!$B$3,""))</f>
        <v/>
      </c>
      <c r="CW182" s="161">
        <f>IF(AI182="","",IFERROR(AI182*HSCEI!$B$29*HSCEI!$G$29/HSCEI!$B$3,""))</f>
        <v/>
      </c>
      <c r="CX182" s="161">
        <f>IF(AJ182="","",IFERROR(AJ182*HSCEI!$B$29*HSCEI!$G$29/HSCEI!$B$3,""))</f>
        <v/>
      </c>
      <c r="CY182" s="161">
        <f>IF(AK182="","",IFERROR(AK182*HSCEI!$B$29*HSCEI!$G$29/HSCEI!$B$3,""))</f>
        <v/>
      </c>
      <c r="CZ182" s="161">
        <f>IF(AL182="","",IFERROR(AL182*HSCEI!$B$29*HSCEI!$G$29/HSCEI!$B$3,""))</f>
        <v/>
      </c>
      <c r="DA182" s="161">
        <f>IF(AM182="","",IFERROR(AM182*HSCEI!$B$29*HSCEI!$G$29/HSCEI!$B$3,""))</f>
        <v/>
      </c>
      <c r="DB182" s="161">
        <f>IF(AN182="","",IFERROR(AN182*HSCEI!$B$29*HSCEI!$G$29/HSCEI!$B$3,""))</f>
        <v/>
      </c>
      <c r="DC182" s="161">
        <f>IF(AO182="","",IFERROR(AO182*HSCEI!$B$29*HSCEI!$G$29/HSCEI!$B$3,""))</f>
        <v/>
      </c>
      <c r="DD182" s="161">
        <f>IF(AP182="","",IFERROR(AP182*HSCEI!$B$29*HSCEI!$G$29/HSCEI!$B$3,""))</f>
        <v/>
      </c>
      <c r="DE182" s="161">
        <f>IF(AQ182="","",IFERROR(AQ182*HSCEI!$B$29*HSCEI!$G$29/HSCEI!$B$3,""))</f>
        <v/>
      </c>
      <c r="DF182" s="161">
        <f>IF(AR182="","",IFERROR(AR182*HSCEI!$B$29*HSCEI!$G$29/HSCEI!$B$3,""))</f>
        <v/>
      </c>
      <c r="DG182" s="161">
        <f>IF(AS182="","",IFERROR(AS182*HSCEI!$B$29*HSCEI!$G$29/HSCEI!$B$3,""))</f>
        <v/>
      </c>
      <c r="DH182" s="161">
        <f>IF(AT182="","",IFERROR(AT182*HSCEI!$B$29*HSCEI!$G$29/HSCEI!$B$3,""))</f>
        <v/>
      </c>
      <c r="DI182" s="161">
        <f>IF(AU182="","",IFERROR(AU182*HSCEI!$B$29*HSCEI!$G$29/HSCEI!$B$3,""))</f>
        <v/>
      </c>
      <c r="DJ182" s="161">
        <f>IF(AV182="","",IFERROR(AV182*HSCEI!$B$29*HSCEI!$G$29/HSCEI!$B$3,""))</f>
        <v/>
      </c>
      <c r="DK182" s="161">
        <f>IF(AW182="","",IFERROR(AW182*HSCEI!$B$29*HSCEI!$G$29/HSCEI!$B$3,""))</f>
        <v/>
      </c>
      <c r="DL182" s="161">
        <f>IF(AX182="","",IFERROR(AX182*HSCEI!$B$29*HSCEI!$G$29/HSCEI!$B$3,""))</f>
        <v/>
      </c>
      <c r="DM182" s="161">
        <f>IF(AY182="","",IFERROR(AY182*HSCEI!$B$29*HSCEI!$G$29/HSCEI!$B$3,""))</f>
        <v/>
      </c>
      <c r="DN182" s="161">
        <f>IF(AZ182="","",IFERROR(AZ182*HSCEI!$B$29*HSCEI!$G$29/HSCEI!$B$3,""))</f>
        <v/>
      </c>
      <c r="DO182" s="161">
        <f>IF(BA182="","",IFERROR(BA182*HSCEI!$B$29*HSCEI!$G$29/HSCEI!$B$3,""))</f>
        <v/>
      </c>
      <c r="DP182" s="161">
        <f>IF(BB182="","",IFERROR(BB182*HSCEI!$B$29*HSCEI!$G$29/HSCEI!$B$3,""))</f>
        <v/>
      </c>
      <c r="DQ182" s="161">
        <f>IF(BC182="","",IFERROR(BC182*HSCEI!$B$29*HSCEI!$G$29/HSCEI!$B$3,""))</f>
        <v/>
      </c>
      <c r="DR182" s="161">
        <f>IF(BD182="","",IFERROR(BD182*HSCEI!$B$29*HSCEI!$G$29/HSCEI!$B$3,""))</f>
        <v/>
      </c>
      <c r="DS182" s="161">
        <f>IF(BE182="","",IFERROR(BE182*HSCEI!$B$29*HSCEI!$G$29/HSCEI!$B$3,""))</f>
        <v/>
      </c>
      <c r="DT182" s="161">
        <f>IF(BF182="","",IFERROR(BF182*HSCEI!$B$29*HSCEI!$G$29/HSCEI!$B$3,""))</f>
        <v/>
      </c>
      <c r="DU182" s="161">
        <f>IF(BG182="","",IFERROR(BG182*HSCEI!$B$29*HSCEI!$G$29/HSCEI!$B$3,""))</f>
        <v/>
      </c>
      <c r="DV182" s="161">
        <f>IF(BH182="","",IFERROR(BH182*HSCEI!$B$29*HSCEI!$G$29/HSCEI!$B$3,""))</f>
        <v/>
      </c>
      <c r="DW182" s="161">
        <f>IF(BI182="","",IFERROR(BI182*HSCEI!$B$29*HSCEI!$G$29/HSCEI!$B$3,""))</f>
        <v/>
      </c>
      <c r="DX182" s="161">
        <f>IF(BJ182="","",IFERROR(BJ182*HSCEI!$B$29*HSCEI!$G$29/HSCEI!$B$3,""))</f>
        <v/>
      </c>
      <c r="DY182" s="161">
        <f>IF(BK182="","",IFERROR(BK182*HSCEI!$B$29*HSCEI!$G$29/HSCEI!$B$3,""))</f>
        <v/>
      </c>
      <c r="DZ182" s="161">
        <f>IF(BL182="","",IFERROR(BL182*HSCEI!$B$29*HSCEI!$G$29/HSCEI!$B$3,""))</f>
        <v/>
      </c>
      <c r="EA182" s="161">
        <f>IF(BM182="","",IFERROR(BM182*HSCEI!$B$29*HSCEI!$G$29/HSCEI!$B$3,""))</f>
        <v/>
      </c>
      <c r="EB182" s="161">
        <f>IF(BN182="","",IFERROR(BN182*HSCEI!$B$29*HSCEI!$G$29/HSCEI!$B$3,""))</f>
        <v/>
      </c>
      <c r="EC182" s="161">
        <f>IF(BO182="","",IFERROR(BO182*HSCEI!$B$29*HSCEI!$G$29/HSCEI!$B$3,""))</f>
        <v/>
      </c>
      <c r="EE182" s="121">
        <f>IF(N('Dvd Calendar'!$E$1803)=0,"",IF(('Dvd Calendar'!$E$1803&gt;=GRID_FROM)*('Dvd Calendar'!$E$1803&lt;=GRID_TO)*((('Dvd Calendar'!$E$1803&lt;=VAL_DATE)+(COUNTIF('Dvd Calendar'!$E$1810:$AR$1810,'Dvd Calendar'!$E$1803)=0))&gt;0)=0,"",'Dvd Calendar'!$E$1803*1000000000+ISNUMBER('Dvd Calendar'!$E$1806)*100000000+('Dvd Calendar'!$E$1808=SPECIAL_LBL)*10000000+(N('Dvd Calendar'!$E$1802)&gt;0)*(N('Dvd Calendar'!$E$1802)&lt;=VAL_SERIAL)*1000000+23*1000+1))</f>
        <v/>
      </c>
      <c r="EF182" s="121">
        <f>IF(N('Dvd Calendar'!$F$1803)=0,"",IF(('Dvd Calendar'!$F$1803&gt;=GRID_FROM)*('Dvd Calendar'!$F$1803&lt;=GRID_TO)*((('Dvd Calendar'!$F$1803&lt;=VAL_DATE)+(COUNTIF('Dvd Calendar'!$E$1810:$AR$1810,'Dvd Calendar'!$F$1803)=0))&gt;0)=0,"",'Dvd Calendar'!$F$1803*1000000000+ISNUMBER('Dvd Calendar'!$F$1806)*100000000+('Dvd Calendar'!$F$1808=SPECIAL_LBL)*10000000+(N('Dvd Calendar'!$F$1802)&gt;0)*(N('Dvd Calendar'!$F$1802)&lt;=VAL_SERIAL)*1000000+23*1000+2))</f>
        <v/>
      </c>
      <c r="EG182" s="121">
        <f>IF(N('Dvd Calendar'!$G$1803)=0,"",IF(('Dvd Calendar'!$G$1803&gt;=GRID_FROM)*('Dvd Calendar'!$G$1803&lt;=GRID_TO)*((('Dvd Calendar'!$G$1803&lt;=VAL_DATE)+(COUNTIF('Dvd Calendar'!$E$1810:$AR$1810,'Dvd Calendar'!$G$1803)=0))&gt;0)=0,"",'Dvd Calendar'!$G$1803*1000000000+ISNUMBER('Dvd Calendar'!$G$1806)*100000000+('Dvd Calendar'!$G$1808=SPECIAL_LBL)*10000000+(N('Dvd Calendar'!$G$1802)&gt;0)*(N('Dvd Calendar'!$G$1802)&lt;=VAL_SERIAL)*1000000+23*1000+3))</f>
        <v/>
      </c>
      <c r="EH182" s="121">
        <f>IF(N('Dvd Calendar'!$H$1803)=0,"",IF(('Dvd Calendar'!$H$1803&gt;=GRID_FROM)*('Dvd Calendar'!$H$1803&lt;=GRID_TO)*((('Dvd Calendar'!$H$1803&lt;=VAL_DATE)+(COUNTIF('Dvd Calendar'!$E$1810:$AR$1810,'Dvd Calendar'!$H$1803)=0))&gt;0)=0,"",'Dvd Calendar'!$H$1803*1000000000+ISNUMBER('Dvd Calendar'!$H$1806)*100000000+('Dvd Calendar'!$H$1808=SPECIAL_LBL)*10000000+(N('Dvd Calendar'!$H$1802)&gt;0)*(N('Dvd Calendar'!$H$1802)&lt;=VAL_SERIAL)*1000000+23*1000+4))</f>
        <v/>
      </c>
      <c r="EI182" s="121">
        <f>IF(N('Dvd Calendar'!$I$1803)=0,"",IF(('Dvd Calendar'!$I$1803&gt;=GRID_FROM)*('Dvd Calendar'!$I$1803&lt;=GRID_TO)*((('Dvd Calendar'!$I$1803&lt;=VAL_DATE)+(COUNTIF('Dvd Calendar'!$E$1810:$AR$1810,'Dvd Calendar'!$I$1803)=0))&gt;0)=0,"",'Dvd Calendar'!$I$1803*1000000000+ISNUMBER('Dvd Calendar'!$I$1806)*100000000+('Dvd Calendar'!$I$1808=SPECIAL_LBL)*10000000+(N('Dvd Calendar'!$I$1802)&gt;0)*(N('Dvd Calendar'!$I$1802)&lt;=VAL_SERIAL)*1000000+23*1000+5))</f>
        <v/>
      </c>
      <c r="EJ182" s="121">
        <f>IF(N('Dvd Calendar'!$J$1803)=0,"",IF(('Dvd Calendar'!$J$1803&gt;=GRID_FROM)*('Dvd Calendar'!$J$1803&lt;=GRID_TO)*((('Dvd Calendar'!$J$1803&lt;=VAL_DATE)+(COUNTIF('Dvd Calendar'!$E$1810:$AR$1810,'Dvd Calendar'!$J$1803)=0))&gt;0)=0,"",'Dvd Calendar'!$J$1803*1000000000+ISNUMBER('Dvd Calendar'!$J$1806)*100000000+('Dvd Calendar'!$J$1808=SPECIAL_LBL)*10000000+(N('Dvd Calendar'!$J$1802)&gt;0)*(N('Dvd Calendar'!$J$1802)&lt;=VAL_SERIAL)*1000000+23*1000+6))</f>
        <v/>
      </c>
      <c r="EK182" s="121">
        <f>IF(N('Dvd Calendar'!$K$1803)=0,"",IF(('Dvd Calendar'!$K$1803&gt;=GRID_FROM)*('Dvd Calendar'!$K$1803&lt;=GRID_TO)*((('Dvd Calendar'!$K$1803&lt;=VAL_DATE)+(COUNTIF('Dvd Calendar'!$E$1810:$AR$1810,'Dvd Calendar'!$K$1803)=0))&gt;0)=0,"",'Dvd Calendar'!$K$1803*1000000000+ISNUMBER('Dvd Calendar'!$K$1806)*100000000+('Dvd Calendar'!$K$1808=SPECIAL_LBL)*10000000+(N('Dvd Calendar'!$K$1802)&gt;0)*(N('Dvd Calendar'!$K$1802)&lt;=VAL_SERIAL)*1000000+23*1000+7))</f>
        <v/>
      </c>
      <c r="EL182" s="121">
        <f>IF(N('Dvd Calendar'!$L$1803)=0,"",IF(('Dvd Calendar'!$L$1803&gt;=GRID_FROM)*('Dvd Calendar'!$L$1803&lt;=GRID_TO)*((('Dvd Calendar'!$L$1803&lt;=VAL_DATE)+(COUNTIF('Dvd Calendar'!$E$1810:$AR$1810,'Dvd Calendar'!$L$1803)=0))&gt;0)=0,"",'Dvd Calendar'!$L$1803*1000000000+ISNUMBER('Dvd Calendar'!$L$1806)*100000000+('Dvd Calendar'!$L$1808=SPECIAL_LBL)*10000000+(N('Dvd Calendar'!$L$1802)&gt;0)*(N('Dvd Calendar'!$L$1802)&lt;=VAL_SERIAL)*1000000+23*1000+8))</f>
        <v/>
      </c>
      <c r="EM182" s="121">
        <f>IF(N('Dvd Calendar'!$M$1803)=0,"",IF(('Dvd Calendar'!$M$1803&gt;=GRID_FROM)*('Dvd Calendar'!$M$1803&lt;=GRID_TO)*((('Dvd Calendar'!$M$1803&lt;=VAL_DATE)+(COUNTIF('Dvd Calendar'!$E$1810:$AR$1810,'Dvd Calendar'!$M$1803)=0))&gt;0)=0,"",'Dvd Calendar'!$M$1803*1000000000+ISNUMBER('Dvd Calendar'!$M$1806)*100000000+('Dvd Calendar'!$M$1808=SPECIAL_LBL)*10000000+(N('Dvd Calendar'!$M$1802)&gt;0)*(N('Dvd Calendar'!$M$1802)&lt;=VAL_SERIAL)*1000000+23*1000+9))</f>
        <v/>
      </c>
      <c r="EN182" s="121">
        <f>IF(N('Dvd Calendar'!$N$1803)=0,"",IF(('Dvd Calendar'!$N$1803&gt;=GRID_FROM)*('Dvd Calendar'!$N$1803&lt;=GRID_TO)*((('Dvd Calendar'!$N$1803&lt;=VAL_DATE)+(COUNTIF('Dvd Calendar'!$E$1810:$AR$1810,'Dvd Calendar'!$N$1803)=0))&gt;0)=0,"",'Dvd Calendar'!$N$1803*1000000000+ISNUMBER('Dvd Calendar'!$N$1806)*100000000+('Dvd Calendar'!$N$1808=SPECIAL_LBL)*10000000+(N('Dvd Calendar'!$N$1802)&gt;0)*(N('Dvd Calendar'!$N$1802)&lt;=VAL_SERIAL)*1000000+23*1000+10))</f>
        <v/>
      </c>
      <c r="EO182" s="121">
        <f>IF(N('Dvd Calendar'!$O$1803)=0,"",IF(('Dvd Calendar'!$O$1803&gt;=GRID_FROM)*('Dvd Calendar'!$O$1803&lt;=GRID_TO)*((('Dvd Calendar'!$O$1803&lt;=VAL_DATE)+(COUNTIF('Dvd Calendar'!$E$1810:$AR$1810,'Dvd Calendar'!$O$1803)=0))&gt;0)=0,"",'Dvd Calendar'!$O$1803*1000000000+ISNUMBER('Dvd Calendar'!$O$1806)*100000000+('Dvd Calendar'!$O$1808=SPECIAL_LBL)*10000000+(N('Dvd Calendar'!$O$1802)&gt;0)*(N('Dvd Calendar'!$O$1802)&lt;=VAL_SERIAL)*1000000+23*1000+11))</f>
        <v/>
      </c>
      <c r="EP182" s="121">
        <f>IF(N('Dvd Calendar'!$P$1803)=0,"",IF(('Dvd Calendar'!$P$1803&gt;=GRID_FROM)*('Dvd Calendar'!$P$1803&lt;=GRID_TO)*((('Dvd Calendar'!$P$1803&lt;=VAL_DATE)+(COUNTIF('Dvd Calendar'!$E$1810:$AR$1810,'Dvd Calendar'!$P$1803)=0))&gt;0)=0,"",'Dvd Calendar'!$P$1803*1000000000+ISNUMBER('Dvd Calendar'!$P$1806)*100000000+('Dvd Calendar'!$P$1808=SPECIAL_LBL)*10000000+(N('Dvd Calendar'!$P$1802)&gt;0)*(N('Dvd Calendar'!$P$1802)&lt;=VAL_SERIAL)*1000000+23*1000+12))</f>
        <v/>
      </c>
      <c r="EQ182" s="121">
        <f>IF(N('Dvd Calendar'!$Q$1803)=0,"",IF(('Dvd Calendar'!$Q$1803&gt;=GRID_FROM)*('Dvd Calendar'!$Q$1803&lt;=GRID_TO)*((('Dvd Calendar'!$Q$1803&lt;=VAL_DATE)+(COUNTIF('Dvd Calendar'!$E$1810:$AR$1810,'Dvd Calendar'!$Q$1803)=0))&gt;0)=0,"",'Dvd Calendar'!$Q$1803*1000000000+ISNUMBER('Dvd Calendar'!$Q$1806)*100000000+('Dvd Calendar'!$Q$1808=SPECIAL_LBL)*10000000+(N('Dvd Calendar'!$Q$1802)&gt;0)*(N('Dvd Calendar'!$Q$1802)&lt;=VAL_SERIAL)*1000000+23*1000+13))</f>
        <v/>
      </c>
      <c r="ER182" s="121">
        <f>IF(N('Dvd Calendar'!$R$1803)=0,"",IF(('Dvd Calendar'!$R$1803&gt;=GRID_FROM)*('Dvd Calendar'!$R$1803&lt;=GRID_TO)*((('Dvd Calendar'!$R$1803&lt;=VAL_DATE)+(COUNTIF('Dvd Calendar'!$E$1810:$AR$1810,'Dvd Calendar'!$R$1803)=0))&gt;0)=0,"",'Dvd Calendar'!$R$1803*1000000000+ISNUMBER('Dvd Calendar'!$R$1806)*100000000+('Dvd Calendar'!$R$1808=SPECIAL_LBL)*10000000+(N('Dvd Calendar'!$R$1802)&gt;0)*(N('Dvd Calendar'!$R$1802)&lt;=VAL_SERIAL)*1000000+23*1000+14))</f>
        <v/>
      </c>
      <c r="ES182" s="121">
        <f>IF(N('Dvd Calendar'!$S$1803)=0,"",IF(('Dvd Calendar'!$S$1803&gt;=GRID_FROM)*('Dvd Calendar'!$S$1803&lt;=GRID_TO)*((('Dvd Calendar'!$S$1803&lt;=VAL_DATE)+(COUNTIF('Dvd Calendar'!$E$1810:$AR$1810,'Dvd Calendar'!$S$1803)=0))&gt;0)=0,"",'Dvd Calendar'!$S$1803*1000000000+ISNUMBER('Dvd Calendar'!$S$1806)*100000000+('Dvd Calendar'!$S$1808=SPECIAL_LBL)*10000000+(N('Dvd Calendar'!$S$1802)&gt;0)*(N('Dvd Calendar'!$S$1802)&lt;=VAL_SERIAL)*1000000+23*1000+15))</f>
        <v/>
      </c>
      <c r="ET182" s="121">
        <f>IF(N('Dvd Calendar'!$T$1803)=0,"",IF(('Dvd Calendar'!$T$1803&gt;=GRID_FROM)*('Dvd Calendar'!$T$1803&lt;=GRID_TO)*((('Dvd Calendar'!$T$1803&lt;=VAL_DATE)+(COUNTIF('Dvd Calendar'!$E$1810:$AR$1810,'Dvd Calendar'!$T$1803)=0))&gt;0)=0,"",'Dvd Calendar'!$T$1803*1000000000+ISNUMBER('Dvd Calendar'!$T$1806)*100000000+('Dvd Calendar'!$T$1808=SPECIAL_LBL)*10000000+(N('Dvd Calendar'!$T$1802)&gt;0)*(N('Dvd Calendar'!$T$1802)&lt;=VAL_SERIAL)*1000000+23*1000+16))</f>
        <v/>
      </c>
      <c r="EU182" s="121">
        <f>IF(N('Dvd Calendar'!$U$1803)=0,"",IF(('Dvd Calendar'!$U$1803&gt;=GRID_FROM)*('Dvd Calendar'!$U$1803&lt;=GRID_TO)*((('Dvd Calendar'!$U$1803&lt;=VAL_DATE)+(COUNTIF('Dvd Calendar'!$E$1810:$AR$1810,'Dvd Calendar'!$U$1803)=0))&gt;0)=0,"",'Dvd Calendar'!$U$1803*1000000000+ISNUMBER('Dvd Calendar'!$U$1806)*100000000+('Dvd Calendar'!$U$1808=SPECIAL_LBL)*10000000+(N('Dvd Calendar'!$U$1802)&gt;0)*(N('Dvd Calendar'!$U$1802)&lt;=VAL_SERIAL)*1000000+23*1000+17))</f>
        <v/>
      </c>
      <c r="EV182" s="121">
        <f>IF(N('Dvd Calendar'!$V$1803)=0,"",IF(('Dvd Calendar'!$V$1803&gt;=GRID_FROM)*('Dvd Calendar'!$V$1803&lt;=GRID_TO)*((('Dvd Calendar'!$V$1803&lt;=VAL_DATE)+(COUNTIF('Dvd Calendar'!$E$1810:$AR$1810,'Dvd Calendar'!$V$1803)=0))&gt;0)=0,"",'Dvd Calendar'!$V$1803*1000000000+ISNUMBER('Dvd Calendar'!$V$1806)*100000000+('Dvd Calendar'!$V$1808=SPECIAL_LBL)*10000000+(N('Dvd Calendar'!$V$1802)&gt;0)*(N('Dvd Calendar'!$V$1802)&lt;=VAL_SERIAL)*1000000+23*1000+18))</f>
        <v/>
      </c>
      <c r="EW182" s="121">
        <f>IF(N('Dvd Calendar'!$W$1803)=0,"",IF(('Dvd Calendar'!$W$1803&gt;=GRID_FROM)*('Dvd Calendar'!$W$1803&lt;=GRID_TO)*((('Dvd Calendar'!$W$1803&lt;=VAL_DATE)+(COUNTIF('Dvd Calendar'!$E$1810:$AR$1810,'Dvd Calendar'!$W$1803)=0))&gt;0)=0,"",'Dvd Calendar'!$W$1803*1000000000+ISNUMBER('Dvd Calendar'!$W$1806)*100000000+('Dvd Calendar'!$W$1808=SPECIAL_LBL)*10000000+(N('Dvd Calendar'!$W$1802)&gt;0)*(N('Dvd Calendar'!$W$1802)&lt;=VAL_SERIAL)*1000000+23*1000+19))</f>
        <v/>
      </c>
      <c r="EX182" s="121">
        <f>IF(N('Dvd Calendar'!$X$1803)=0,"",IF(('Dvd Calendar'!$X$1803&gt;=GRID_FROM)*('Dvd Calendar'!$X$1803&lt;=GRID_TO)*((('Dvd Calendar'!$X$1803&lt;=VAL_DATE)+(COUNTIF('Dvd Calendar'!$E$1810:$AR$1810,'Dvd Calendar'!$X$1803)=0))&gt;0)=0,"",'Dvd Calendar'!$X$1803*1000000000+ISNUMBER('Dvd Calendar'!$X$1806)*100000000+('Dvd Calendar'!$X$1808=SPECIAL_LBL)*10000000+(N('Dvd Calendar'!$X$1802)&gt;0)*(N('Dvd Calendar'!$X$1802)&lt;=VAL_SERIAL)*1000000+23*1000+20))</f>
        <v/>
      </c>
      <c r="EY182" s="121">
        <f>IF(N('Dvd Calendar'!$Y$1803)=0,"",IF(('Dvd Calendar'!$Y$1803&gt;=GRID_FROM)*('Dvd Calendar'!$Y$1803&lt;=GRID_TO)*((('Dvd Calendar'!$Y$1803&lt;=VAL_DATE)+(COUNTIF('Dvd Calendar'!$E$1810:$AR$1810,'Dvd Calendar'!$Y$1803)=0))&gt;0)=0,"",'Dvd Calendar'!$Y$1803*1000000000+ISNUMBER('Dvd Calendar'!$Y$1806)*100000000+('Dvd Calendar'!$Y$1808=SPECIAL_LBL)*10000000+(N('Dvd Calendar'!$Y$1802)&gt;0)*(N('Dvd Calendar'!$Y$1802)&lt;=VAL_SERIAL)*1000000+23*1000+21))</f>
        <v/>
      </c>
      <c r="EZ182" s="121">
        <f>IF(N('Dvd Calendar'!$Z$1803)=0,"",IF(('Dvd Calendar'!$Z$1803&gt;=GRID_FROM)*('Dvd Calendar'!$Z$1803&lt;=GRID_TO)*((('Dvd Calendar'!$Z$1803&lt;=VAL_DATE)+(COUNTIF('Dvd Calendar'!$E$1810:$AR$1810,'Dvd Calendar'!$Z$1803)=0))&gt;0)=0,"",'Dvd Calendar'!$Z$1803*1000000000+ISNUMBER('Dvd Calendar'!$Z$1806)*100000000+('Dvd Calendar'!$Z$1808=SPECIAL_LBL)*10000000+(N('Dvd Calendar'!$Z$1802)&gt;0)*(N('Dvd Calendar'!$Z$1802)&lt;=VAL_SERIAL)*1000000+23*1000+22))</f>
        <v/>
      </c>
      <c r="FA182" s="121">
        <f>IF(N('Dvd Calendar'!$AA$1803)=0,"",IF(('Dvd Calendar'!$AA$1803&gt;=GRID_FROM)*('Dvd Calendar'!$AA$1803&lt;=GRID_TO)*((('Dvd Calendar'!$AA$1803&lt;=VAL_DATE)+(COUNTIF('Dvd Calendar'!$E$1810:$AR$1810,'Dvd Calendar'!$AA$1803)=0))&gt;0)=0,"",'Dvd Calendar'!$AA$1803*1000000000+ISNUMBER('Dvd Calendar'!$AA$1806)*100000000+('Dvd Calendar'!$AA$1808=SPECIAL_LBL)*10000000+(N('Dvd Calendar'!$AA$1802)&gt;0)*(N('Dvd Calendar'!$AA$1802)&lt;=VAL_SERIAL)*1000000+23*1000+23))</f>
        <v/>
      </c>
      <c r="FB182" s="121">
        <f>IF(N('Dvd Calendar'!$AB$1803)=0,"",IF(('Dvd Calendar'!$AB$1803&gt;=GRID_FROM)*('Dvd Calendar'!$AB$1803&lt;=GRID_TO)*((('Dvd Calendar'!$AB$1803&lt;=VAL_DATE)+(COUNTIF('Dvd Calendar'!$E$1810:$AR$1810,'Dvd Calendar'!$AB$1803)=0))&gt;0)=0,"",'Dvd Calendar'!$AB$1803*1000000000+ISNUMBER('Dvd Calendar'!$AB$1806)*100000000+('Dvd Calendar'!$AB$1808=SPECIAL_LBL)*10000000+(N('Dvd Calendar'!$AB$1802)&gt;0)*(N('Dvd Calendar'!$AB$1802)&lt;=VAL_SERIAL)*1000000+23*1000+24))</f>
        <v/>
      </c>
      <c r="FC182" s="121">
        <f>IF(N('Dvd Calendar'!$AC$1803)=0,"",IF(('Dvd Calendar'!$AC$1803&gt;=GRID_FROM)*('Dvd Calendar'!$AC$1803&lt;=GRID_TO)*((('Dvd Calendar'!$AC$1803&lt;=VAL_DATE)+(COUNTIF('Dvd Calendar'!$E$1810:$AR$1810,'Dvd Calendar'!$AC$1803)=0))&gt;0)=0,"",'Dvd Calendar'!$AC$1803*1000000000+ISNUMBER('Dvd Calendar'!$AC$1806)*100000000+('Dvd Calendar'!$AC$1808=SPECIAL_LBL)*10000000+(N('Dvd Calendar'!$AC$1802)&gt;0)*(N('Dvd Calendar'!$AC$1802)&lt;=VAL_SERIAL)*1000000+23*1000+25))</f>
        <v/>
      </c>
      <c r="FD182" s="121">
        <f>IF(N('Dvd Calendar'!$AD$1803)=0,"",IF(('Dvd Calendar'!$AD$1803&gt;=GRID_FROM)*('Dvd Calendar'!$AD$1803&lt;=GRID_TO)*((('Dvd Calendar'!$AD$1803&lt;=VAL_DATE)+(COUNTIF('Dvd Calendar'!$E$1810:$AR$1810,'Dvd Calendar'!$AD$1803)=0))&gt;0)=0,"",'Dvd Calendar'!$AD$1803*1000000000+ISNUMBER('Dvd Calendar'!$AD$1806)*100000000+('Dvd Calendar'!$AD$1808=SPECIAL_LBL)*10000000+(N('Dvd Calendar'!$AD$1802)&gt;0)*(N('Dvd Calendar'!$AD$1802)&lt;=VAL_SERIAL)*1000000+23*1000+26))</f>
        <v/>
      </c>
      <c r="FE182" s="121">
        <f>IF(N('Dvd Calendar'!$AE$1803)=0,"",IF(('Dvd Calendar'!$AE$1803&gt;=GRID_FROM)*('Dvd Calendar'!$AE$1803&lt;=GRID_TO)*((('Dvd Calendar'!$AE$1803&lt;=VAL_DATE)+(COUNTIF('Dvd Calendar'!$E$1810:$AR$1810,'Dvd Calendar'!$AE$1803)=0))&gt;0)=0,"",'Dvd Calendar'!$AE$1803*1000000000+ISNUMBER('Dvd Calendar'!$AE$1806)*100000000+('Dvd Calendar'!$AE$1808=SPECIAL_LBL)*10000000+(N('Dvd Calendar'!$AE$1802)&gt;0)*(N('Dvd Calendar'!$AE$1802)&lt;=VAL_SERIAL)*1000000+23*1000+27))</f>
        <v/>
      </c>
      <c r="FF182" s="121">
        <f>IF(N('Dvd Calendar'!$AF$1803)=0,"",IF(('Dvd Calendar'!$AF$1803&gt;=GRID_FROM)*('Dvd Calendar'!$AF$1803&lt;=GRID_TO)*((('Dvd Calendar'!$AF$1803&lt;=VAL_DATE)+(COUNTIF('Dvd Calendar'!$E$1810:$AR$1810,'Dvd Calendar'!$AF$1803)=0))&gt;0)=0,"",'Dvd Calendar'!$AF$1803*1000000000+ISNUMBER('Dvd Calendar'!$AF$1806)*100000000+('Dvd Calendar'!$AF$1808=SPECIAL_LBL)*10000000+(N('Dvd Calendar'!$AF$1802)&gt;0)*(N('Dvd Calendar'!$AF$1802)&lt;=VAL_SERIAL)*1000000+23*1000+28))</f>
        <v/>
      </c>
      <c r="FG182" s="121">
        <f>IF(N('Dvd Calendar'!$AG$1803)=0,"",IF(('Dvd Calendar'!$AG$1803&gt;=GRID_FROM)*('Dvd Calendar'!$AG$1803&lt;=GRID_TO)*((('Dvd Calendar'!$AG$1803&lt;=VAL_DATE)+(COUNTIF('Dvd Calendar'!$E$1810:$AR$1810,'Dvd Calendar'!$AG$1803)=0))&gt;0)=0,"",'Dvd Calendar'!$AG$1803*1000000000+ISNUMBER('Dvd Calendar'!$AG$1806)*100000000+('Dvd Calendar'!$AG$1808=SPECIAL_LBL)*10000000+(N('Dvd Calendar'!$AG$1802)&gt;0)*(N('Dvd Calendar'!$AG$1802)&lt;=VAL_SERIAL)*1000000+23*1000+29))</f>
        <v/>
      </c>
      <c r="FH182" s="121">
        <f>IF(N('Dvd Calendar'!$AH$1803)=0,"",IF(('Dvd Calendar'!$AH$1803&gt;=GRID_FROM)*('Dvd Calendar'!$AH$1803&lt;=GRID_TO)*((('Dvd Calendar'!$AH$1803&lt;=VAL_DATE)+(COUNTIF('Dvd Calendar'!$E$1810:$AR$1810,'Dvd Calendar'!$AH$1803)=0))&gt;0)=0,"",'Dvd Calendar'!$AH$1803*1000000000+ISNUMBER('Dvd Calendar'!$AH$1806)*100000000+('Dvd Calendar'!$AH$1808=SPECIAL_LBL)*10000000+(N('Dvd Calendar'!$AH$1802)&gt;0)*(N('Dvd Calendar'!$AH$1802)&lt;=VAL_SERIAL)*1000000+23*1000+30))</f>
        <v/>
      </c>
      <c r="FI182" s="121">
        <f>IF(N('Dvd Calendar'!$AI$1803)=0,"",IF(('Dvd Calendar'!$AI$1803&gt;=GRID_FROM)*('Dvd Calendar'!$AI$1803&lt;=GRID_TO)*((('Dvd Calendar'!$AI$1803&lt;=VAL_DATE)+(COUNTIF('Dvd Calendar'!$E$1810:$AR$1810,'Dvd Calendar'!$AI$1803)=0))&gt;0)=0,"",'Dvd Calendar'!$AI$1803*1000000000+ISNUMBER('Dvd Calendar'!$AI$1806)*100000000+('Dvd Calendar'!$AI$1808=SPECIAL_LBL)*10000000+(N('Dvd Calendar'!$AI$1802)&gt;0)*(N('Dvd Calendar'!$AI$1802)&lt;=VAL_SERIAL)*1000000+23*1000+31))</f>
        <v/>
      </c>
      <c r="FJ182" s="121">
        <f>IF(N('Dvd Calendar'!$AJ$1803)=0,"",IF(('Dvd Calendar'!$AJ$1803&gt;=GRID_FROM)*('Dvd Calendar'!$AJ$1803&lt;=GRID_TO)*((('Dvd Calendar'!$AJ$1803&lt;=VAL_DATE)+(COUNTIF('Dvd Calendar'!$E$1810:$AR$1810,'Dvd Calendar'!$AJ$1803)=0))&gt;0)=0,"",'Dvd Calendar'!$AJ$1803*1000000000+ISNUMBER('Dvd Calendar'!$AJ$1806)*100000000+('Dvd Calendar'!$AJ$1808=SPECIAL_LBL)*10000000+(N('Dvd Calendar'!$AJ$1802)&gt;0)*(N('Dvd Calendar'!$AJ$1802)&lt;=VAL_SERIAL)*1000000+23*1000+32))</f>
        <v/>
      </c>
      <c r="FK182" s="121">
        <f>IF(N('Dvd Calendar'!$AK$1803)=0,"",IF(('Dvd Calendar'!$AK$1803&gt;=GRID_FROM)*('Dvd Calendar'!$AK$1803&lt;=GRID_TO)*((('Dvd Calendar'!$AK$1803&lt;=VAL_DATE)+(COUNTIF('Dvd Calendar'!$E$1810:$AR$1810,'Dvd Calendar'!$AK$1803)=0))&gt;0)=0,"",'Dvd Calendar'!$AK$1803*1000000000+ISNUMBER('Dvd Calendar'!$AK$1806)*100000000+('Dvd Calendar'!$AK$1808=SPECIAL_LBL)*10000000+(N('Dvd Calendar'!$AK$1802)&gt;0)*(N('Dvd Calendar'!$AK$1802)&lt;=VAL_SERIAL)*1000000+23*1000+33))</f>
        <v/>
      </c>
      <c r="FL182" s="121">
        <f>IF(N('Dvd Calendar'!$AL$1803)=0,"",IF(('Dvd Calendar'!$AL$1803&gt;=GRID_FROM)*('Dvd Calendar'!$AL$1803&lt;=GRID_TO)*((('Dvd Calendar'!$AL$1803&lt;=VAL_DATE)+(COUNTIF('Dvd Calendar'!$E$1810:$AR$1810,'Dvd Calendar'!$AL$1803)=0))&gt;0)=0,"",'Dvd Calendar'!$AL$1803*1000000000+ISNUMBER('Dvd Calendar'!$AL$1806)*100000000+('Dvd Calendar'!$AL$1808=SPECIAL_LBL)*10000000+(N('Dvd Calendar'!$AL$1802)&gt;0)*(N('Dvd Calendar'!$AL$1802)&lt;=VAL_SERIAL)*1000000+23*1000+34))</f>
        <v/>
      </c>
      <c r="FM182" s="121">
        <f>IF(N('Dvd Calendar'!$AM$1803)=0,"",IF(('Dvd Calendar'!$AM$1803&gt;=GRID_FROM)*('Dvd Calendar'!$AM$1803&lt;=GRID_TO)*((('Dvd Calendar'!$AM$1803&lt;=VAL_DATE)+(COUNTIF('Dvd Calendar'!$E$1810:$AR$1810,'Dvd Calendar'!$AM$1803)=0))&gt;0)=0,"",'Dvd Calendar'!$AM$1803*1000000000+ISNUMBER('Dvd Calendar'!$AM$1806)*100000000+('Dvd Calendar'!$AM$1808=SPECIAL_LBL)*10000000+(N('Dvd Calendar'!$AM$1802)&gt;0)*(N('Dvd Calendar'!$AM$1802)&lt;=VAL_SERIAL)*1000000+23*1000+35))</f>
        <v/>
      </c>
      <c r="FN182" s="121">
        <f>IF(N('Dvd Calendar'!$AN$1803)=0,"",IF(('Dvd Calendar'!$AN$1803&gt;=GRID_FROM)*('Dvd Calendar'!$AN$1803&lt;=GRID_TO)*((('Dvd Calendar'!$AN$1803&lt;=VAL_DATE)+(COUNTIF('Dvd Calendar'!$E$1810:$AR$1810,'Dvd Calendar'!$AN$1803)=0))&gt;0)=0,"",'Dvd Calendar'!$AN$1803*1000000000+ISNUMBER('Dvd Calendar'!$AN$1806)*100000000+('Dvd Calendar'!$AN$1808=SPECIAL_LBL)*10000000+(N('Dvd Calendar'!$AN$1802)&gt;0)*(N('Dvd Calendar'!$AN$1802)&lt;=VAL_SERIAL)*1000000+23*1000+36))</f>
        <v/>
      </c>
      <c r="FO182" s="121">
        <f>IF(N('Dvd Calendar'!$AO$1803)=0,"",IF(('Dvd Calendar'!$AO$1803&gt;=GRID_FROM)*('Dvd Calendar'!$AO$1803&lt;=GRID_TO)*((('Dvd Calendar'!$AO$1803&lt;=VAL_DATE)+(COUNTIF('Dvd Calendar'!$E$1810:$AR$1810,'Dvd Calendar'!$AO$1803)=0))&gt;0)=0,"",'Dvd Calendar'!$AO$1803*1000000000+ISNUMBER('Dvd Calendar'!$AO$1806)*100000000+('Dvd Calendar'!$AO$1808=SPECIAL_LBL)*10000000+(N('Dvd Calendar'!$AO$1802)&gt;0)*(N('Dvd Calendar'!$AO$1802)&lt;=VAL_SERIAL)*1000000+23*1000+37))</f>
        <v/>
      </c>
      <c r="FP182" s="121">
        <f>IF(N('Dvd Calendar'!$AP$1803)=0,"",IF(('Dvd Calendar'!$AP$1803&gt;=GRID_FROM)*('Dvd Calendar'!$AP$1803&lt;=GRID_TO)*((('Dvd Calendar'!$AP$1803&lt;=VAL_DATE)+(COUNTIF('Dvd Calendar'!$E$1810:$AR$1810,'Dvd Calendar'!$AP$1803)=0))&gt;0)=0,"",'Dvd Calendar'!$AP$1803*1000000000+ISNUMBER('Dvd Calendar'!$AP$1806)*100000000+('Dvd Calendar'!$AP$1808=SPECIAL_LBL)*10000000+(N('Dvd Calendar'!$AP$1802)&gt;0)*(N('Dvd Calendar'!$AP$1802)&lt;=VAL_SERIAL)*1000000+23*1000+38))</f>
        <v/>
      </c>
      <c r="FQ182" s="121">
        <f>IF(N('Dvd Calendar'!$AQ$1803)=0,"",IF(('Dvd Calendar'!$AQ$1803&gt;=GRID_FROM)*('Dvd Calendar'!$AQ$1803&lt;=GRID_TO)*((('Dvd Calendar'!$AQ$1803&lt;=VAL_DATE)+(COUNTIF('Dvd Calendar'!$E$1810:$AR$1810,'Dvd Calendar'!$AQ$1803)=0))&gt;0)=0,"",'Dvd Calendar'!$AQ$1803*1000000000+ISNUMBER('Dvd Calendar'!$AQ$1806)*100000000+('Dvd Calendar'!$AQ$1808=SPECIAL_LBL)*10000000+(N('Dvd Calendar'!$AQ$1802)&gt;0)*(N('Dvd Calendar'!$AQ$1802)&lt;=VAL_SERIAL)*1000000+23*1000+39))</f>
        <v/>
      </c>
      <c r="FR182" s="121">
        <f>IF(N('Dvd Calendar'!$AR$1803)=0,"",IF(('Dvd Calendar'!$AR$1803&gt;=GRID_FROM)*('Dvd Calendar'!$AR$1803&lt;=GRID_TO)*((('Dvd Calendar'!$AR$1803&lt;=VAL_DATE)+(COUNTIF('Dvd Calendar'!$E$1810:$AR$1810,'Dvd Calendar'!$AR$1803)=0))&gt;0)=0,"",'Dvd Calendar'!$AR$1803*1000000000+ISNUMBER('Dvd Calendar'!$AR$1806)*100000000+('Dvd Calendar'!$AR$1808=SPECIAL_LBL)*10000000+(N('Dvd Calendar'!$AR$1802)&gt;0)*(N('Dvd Calendar'!$AR$1802)&lt;=VAL_SERIAL)*1000000+23*1000+40))</f>
        <v/>
      </c>
      <c r="FS182" s="121">
        <f>IF(N('Dvd Calendar'!$E$1810)=0,"",IF(('Dvd Calendar'!$E$1810&gt;=GRID_FROM)*('Dvd Calendar'!$E$1810&lt;=GRID_TO)*('Dvd Calendar'!$E$1810&gt;VAL_DATE)=0,"",'Dvd Calendar'!$E$1810*1000000000+ISNUMBER('Dvd Calendar'!$E$1811)*100000000+0*10000000+(N('Dvd Calendar'!$E$1809)&gt;0)*(N('Dvd Calendar'!$E$1809)&lt;=VAL_SERIAL)*1000000+23*1000+41))</f>
        <v/>
      </c>
      <c r="FT182" s="121">
        <f>IF(N('Dvd Calendar'!$F$1810)=0,"",IF(('Dvd Calendar'!$F$1810&gt;=GRID_FROM)*('Dvd Calendar'!$F$1810&lt;=GRID_TO)*('Dvd Calendar'!$F$1810&gt;VAL_DATE)=0,"",'Dvd Calendar'!$F$1810*1000000000+ISNUMBER('Dvd Calendar'!$F$1811)*100000000+0*10000000+(N('Dvd Calendar'!$F$1809)&gt;0)*(N('Dvd Calendar'!$F$1809)&lt;=VAL_SERIAL)*1000000+23*1000+42))</f>
        <v/>
      </c>
      <c r="FU182" s="121">
        <f>IF(N('Dvd Calendar'!$G$1810)=0,"",IF(('Dvd Calendar'!$G$1810&gt;=GRID_FROM)*('Dvd Calendar'!$G$1810&lt;=GRID_TO)*('Dvd Calendar'!$G$1810&gt;VAL_DATE)=0,"",'Dvd Calendar'!$G$1810*1000000000+ISNUMBER('Dvd Calendar'!$G$1811)*100000000+0*10000000+(N('Dvd Calendar'!$G$1809)&gt;0)*(N('Dvd Calendar'!$G$1809)&lt;=VAL_SERIAL)*1000000+23*1000+43))</f>
        <v/>
      </c>
      <c r="FV182" s="121">
        <f>IF(N('Dvd Calendar'!$H$1810)=0,"",IF(('Dvd Calendar'!$H$1810&gt;=GRID_FROM)*('Dvd Calendar'!$H$1810&lt;=GRID_TO)*('Dvd Calendar'!$H$1810&gt;VAL_DATE)=0,"",'Dvd Calendar'!$H$1810*1000000000+ISNUMBER('Dvd Calendar'!$H$1811)*100000000+0*10000000+(N('Dvd Calendar'!$H$1809)&gt;0)*(N('Dvd Calendar'!$H$1809)&lt;=VAL_SERIAL)*1000000+23*1000+44))</f>
        <v/>
      </c>
      <c r="FW182" s="121">
        <f>IF(N('Dvd Calendar'!$I$1810)=0,"",IF(('Dvd Calendar'!$I$1810&gt;=GRID_FROM)*('Dvd Calendar'!$I$1810&lt;=GRID_TO)*('Dvd Calendar'!$I$1810&gt;VAL_DATE)=0,"",'Dvd Calendar'!$I$1810*1000000000+ISNUMBER('Dvd Calendar'!$I$1811)*100000000+0*10000000+(N('Dvd Calendar'!$I$1809)&gt;0)*(N('Dvd Calendar'!$I$1809)&lt;=VAL_SERIAL)*1000000+23*1000+45))</f>
        <v/>
      </c>
      <c r="FX182" s="121">
        <f>IF(N('Dvd Calendar'!$J$1810)=0,"",IF(('Dvd Calendar'!$J$1810&gt;=GRID_FROM)*('Dvd Calendar'!$J$1810&lt;=GRID_TO)*('Dvd Calendar'!$J$1810&gt;VAL_DATE)=0,"",'Dvd Calendar'!$J$1810*1000000000+ISNUMBER('Dvd Calendar'!$J$1811)*100000000+0*10000000+(N('Dvd Calendar'!$J$1809)&gt;0)*(N('Dvd Calendar'!$J$1809)&lt;=VAL_SERIAL)*1000000+23*1000+46))</f>
        <v/>
      </c>
      <c r="FY182" s="121">
        <f>IF(N('Dvd Calendar'!$K$1810)=0,"",IF(('Dvd Calendar'!$K$1810&gt;=GRID_FROM)*('Dvd Calendar'!$K$1810&lt;=GRID_TO)*('Dvd Calendar'!$K$1810&gt;VAL_DATE)=0,"",'Dvd Calendar'!$K$1810*1000000000+ISNUMBER('Dvd Calendar'!$K$1811)*100000000+0*10000000+(N('Dvd Calendar'!$K$1809)&gt;0)*(N('Dvd Calendar'!$K$1809)&lt;=VAL_SERIAL)*1000000+23*1000+47))</f>
        <v/>
      </c>
      <c r="FZ182" s="121">
        <f>IF(N('Dvd Calendar'!$L$1810)=0,"",IF(('Dvd Calendar'!$L$1810&gt;=GRID_FROM)*('Dvd Calendar'!$L$1810&lt;=GRID_TO)*('Dvd Calendar'!$L$1810&gt;VAL_DATE)=0,"",'Dvd Calendar'!$L$1810*1000000000+ISNUMBER('Dvd Calendar'!$L$1811)*100000000+0*10000000+(N('Dvd Calendar'!$L$1809)&gt;0)*(N('Dvd Calendar'!$L$1809)&lt;=VAL_SERIAL)*1000000+23*1000+48))</f>
        <v/>
      </c>
      <c r="GA182" s="121">
        <f>IF(N('Dvd Calendar'!$M$1810)=0,"",IF(('Dvd Calendar'!$M$1810&gt;=GRID_FROM)*('Dvd Calendar'!$M$1810&lt;=GRID_TO)*('Dvd Calendar'!$M$1810&gt;VAL_DATE)=0,"",'Dvd Calendar'!$M$1810*1000000000+ISNUMBER('Dvd Calendar'!$M$1811)*100000000+0*10000000+(N('Dvd Calendar'!$M$1809)&gt;0)*(N('Dvd Calendar'!$M$1809)&lt;=VAL_SERIAL)*1000000+23*1000+49))</f>
        <v/>
      </c>
      <c r="GB182" s="121">
        <f>IF(N('Dvd Calendar'!$N$1810)=0,"",IF(('Dvd Calendar'!$N$1810&gt;=GRID_FROM)*('Dvd Calendar'!$N$1810&lt;=GRID_TO)*('Dvd Calendar'!$N$1810&gt;VAL_DATE)=0,"",'Dvd Calendar'!$N$1810*1000000000+ISNUMBER('Dvd Calendar'!$N$1811)*100000000+0*10000000+(N('Dvd Calendar'!$N$1809)&gt;0)*(N('Dvd Calendar'!$N$1809)&lt;=VAL_SERIAL)*1000000+23*1000+50))</f>
        <v/>
      </c>
      <c r="GC182" s="121">
        <f>IF(N('Dvd Calendar'!$O$1810)=0,"",IF(('Dvd Calendar'!$O$1810&gt;=GRID_FROM)*('Dvd Calendar'!$O$1810&lt;=GRID_TO)*('Dvd Calendar'!$O$1810&gt;VAL_DATE)=0,"",'Dvd Calendar'!$O$1810*1000000000+ISNUMBER('Dvd Calendar'!$O$1811)*100000000+0*10000000+(N('Dvd Calendar'!$O$1809)&gt;0)*(N('Dvd Calendar'!$O$1809)&lt;=VAL_SERIAL)*1000000+23*1000+51))</f>
        <v/>
      </c>
      <c r="GD182" s="121">
        <f>IF(N('Dvd Calendar'!$P$1810)=0,"",IF(('Dvd Calendar'!$P$1810&gt;=GRID_FROM)*('Dvd Calendar'!$P$1810&lt;=GRID_TO)*('Dvd Calendar'!$P$1810&gt;VAL_DATE)=0,"",'Dvd Calendar'!$P$1810*1000000000+ISNUMBER('Dvd Calendar'!$P$1811)*100000000+0*10000000+(N('Dvd Calendar'!$P$1809)&gt;0)*(N('Dvd Calendar'!$P$1809)&lt;=VAL_SERIAL)*1000000+23*1000+52))</f>
        <v/>
      </c>
      <c r="GE182" s="121">
        <f>IF(N('Dvd Calendar'!$Q$1810)=0,"",IF(('Dvd Calendar'!$Q$1810&gt;=GRID_FROM)*('Dvd Calendar'!$Q$1810&lt;=GRID_TO)*('Dvd Calendar'!$Q$1810&gt;VAL_DATE)=0,"",'Dvd Calendar'!$Q$1810*1000000000+ISNUMBER('Dvd Calendar'!$Q$1811)*100000000+0*10000000+(N('Dvd Calendar'!$Q$1809)&gt;0)*(N('Dvd Calendar'!$Q$1809)&lt;=VAL_SERIAL)*1000000+23*1000+53))</f>
        <v/>
      </c>
      <c r="GF182" s="121">
        <f>IF(N('Dvd Calendar'!$R$1810)=0,"",IF(('Dvd Calendar'!$R$1810&gt;=GRID_FROM)*('Dvd Calendar'!$R$1810&lt;=GRID_TO)*('Dvd Calendar'!$R$1810&gt;VAL_DATE)=0,"",'Dvd Calendar'!$R$1810*1000000000+ISNUMBER('Dvd Calendar'!$R$1811)*100000000+0*10000000+(N('Dvd Calendar'!$R$1809)&gt;0)*(N('Dvd Calendar'!$R$1809)&lt;=VAL_SERIAL)*1000000+23*1000+54))</f>
        <v/>
      </c>
      <c r="GG182" s="121">
        <f>IF(N('Dvd Calendar'!$S$1810)=0,"",IF(('Dvd Calendar'!$S$1810&gt;=GRID_FROM)*('Dvd Calendar'!$S$1810&lt;=GRID_TO)*('Dvd Calendar'!$S$1810&gt;VAL_DATE)=0,"",'Dvd Calendar'!$S$1810*1000000000+ISNUMBER('Dvd Calendar'!$S$1811)*100000000+0*10000000+(N('Dvd Calendar'!$S$1809)&gt;0)*(N('Dvd Calendar'!$S$1809)&lt;=VAL_SERIAL)*1000000+23*1000+55))</f>
        <v/>
      </c>
      <c r="GH182" s="121">
        <f>IF(N('Dvd Calendar'!$T$1810)=0,"",IF(('Dvd Calendar'!$T$1810&gt;=GRID_FROM)*('Dvd Calendar'!$T$1810&lt;=GRID_TO)*('Dvd Calendar'!$T$1810&gt;VAL_DATE)=0,"",'Dvd Calendar'!$T$1810*1000000000+ISNUMBER('Dvd Calendar'!$T$1811)*100000000+0*10000000+(N('Dvd Calendar'!$T$1809)&gt;0)*(N('Dvd Calendar'!$T$1809)&lt;=VAL_SERIAL)*1000000+23*1000+56))</f>
        <v/>
      </c>
      <c r="GI182" s="121">
        <f>IF(N('Dvd Calendar'!$U$1810)=0,"",IF(('Dvd Calendar'!$U$1810&gt;=GRID_FROM)*('Dvd Calendar'!$U$1810&lt;=GRID_TO)*('Dvd Calendar'!$U$1810&gt;VAL_DATE)=0,"",'Dvd Calendar'!$U$1810*1000000000+ISNUMBER('Dvd Calendar'!$U$1811)*100000000+0*10000000+(N('Dvd Calendar'!$U$1809)&gt;0)*(N('Dvd Calendar'!$U$1809)&lt;=VAL_SERIAL)*1000000+23*1000+57))</f>
        <v/>
      </c>
      <c r="GJ182" s="121">
        <f>IF(N('Dvd Calendar'!$V$1810)=0,"",IF(('Dvd Calendar'!$V$1810&gt;=GRID_FROM)*('Dvd Calendar'!$V$1810&lt;=GRID_TO)*('Dvd Calendar'!$V$1810&gt;VAL_DATE)=0,"",'Dvd Calendar'!$V$1810*1000000000+ISNUMBER('Dvd Calendar'!$V$1811)*100000000+0*10000000+(N('Dvd Calendar'!$V$1809)&gt;0)*(N('Dvd Calendar'!$V$1809)&lt;=VAL_SERIAL)*1000000+23*1000+58))</f>
        <v/>
      </c>
      <c r="GK182" s="121">
        <f>IF(N('Dvd Calendar'!$W$1810)=0,"",IF(('Dvd Calendar'!$W$1810&gt;=GRID_FROM)*('Dvd Calendar'!$W$1810&lt;=GRID_TO)*('Dvd Calendar'!$W$1810&gt;VAL_DATE)=0,"",'Dvd Calendar'!$W$1810*1000000000+ISNUMBER('Dvd Calendar'!$W$1811)*100000000+0*10000000+(N('Dvd Calendar'!$W$1809)&gt;0)*(N('Dvd Calendar'!$W$1809)&lt;=VAL_SERIAL)*1000000+23*1000+59))</f>
        <v/>
      </c>
      <c r="GL182" s="121">
        <f>IF(N('Dvd Calendar'!$X$1810)=0,"",IF(('Dvd Calendar'!$X$1810&gt;=GRID_FROM)*('Dvd Calendar'!$X$1810&lt;=GRID_TO)*('Dvd Calendar'!$X$1810&gt;VAL_DATE)=0,"",'Dvd Calendar'!$X$1810*1000000000+ISNUMBER('Dvd Calendar'!$X$1811)*100000000+0*10000000+(N('Dvd Calendar'!$X$1809)&gt;0)*(N('Dvd Calendar'!$X$1809)&lt;=VAL_SERIAL)*1000000+23*1000+60))</f>
        <v/>
      </c>
      <c r="GM182" s="121">
        <f>IF(N('Dvd Calendar'!$Y$1810)=0,"",IF(('Dvd Calendar'!$Y$1810&gt;=GRID_FROM)*('Dvd Calendar'!$Y$1810&lt;=GRID_TO)*('Dvd Calendar'!$Y$1810&gt;VAL_DATE)=0,"",'Dvd Calendar'!$Y$1810*1000000000+ISNUMBER('Dvd Calendar'!$Y$1811)*100000000+0*10000000+(N('Dvd Calendar'!$Y$1809)&gt;0)*(N('Dvd Calendar'!$Y$1809)&lt;=VAL_SERIAL)*1000000+23*1000+61))</f>
        <v/>
      </c>
      <c r="GN182" s="121">
        <f>IF(N('Dvd Calendar'!$Z$1810)=0,"",IF(('Dvd Calendar'!$Z$1810&gt;=GRID_FROM)*('Dvd Calendar'!$Z$1810&lt;=GRID_TO)*('Dvd Calendar'!$Z$1810&gt;VAL_DATE)=0,"",'Dvd Calendar'!$Z$1810*1000000000+ISNUMBER('Dvd Calendar'!$Z$1811)*100000000+0*10000000+(N('Dvd Calendar'!$Z$1809)&gt;0)*(N('Dvd Calendar'!$Z$1809)&lt;=VAL_SERIAL)*1000000+23*1000+62))</f>
        <v/>
      </c>
      <c r="GO182" s="121">
        <f>IF(N('Dvd Calendar'!$AA$1810)=0,"",IF(('Dvd Calendar'!$AA$1810&gt;=GRID_FROM)*('Dvd Calendar'!$AA$1810&lt;=GRID_TO)*('Dvd Calendar'!$AA$1810&gt;VAL_DATE)=0,"",'Dvd Calendar'!$AA$1810*1000000000+ISNUMBER('Dvd Calendar'!$AA$1811)*100000000+0*10000000+(N('Dvd Calendar'!$AA$1809)&gt;0)*(N('Dvd Calendar'!$AA$1809)&lt;=VAL_SERIAL)*1000000+23*1000+63))</f>
        <v/>
      </c>
      <c r="GP182" s="121">
        <f>IF(N('Dvd Calendar'!$AB$1810)=0,"",IF(('Dvd Calendar'!$AB$1810&gt;=GRID_FROM)*('Dvd Calendar'!$AB$1810&lt;=GRID_TO)*('Dvd Calendar'!$AB$1810&gt;VAL_DATE)=0,"",'Dvd Calendar'!$AB$1810*1000000000+ISNUMBER('Dvd Calendar'!$AB$1811)*100000000+0*10000000+(N('Dvd Calendar'!$AB$1809)&gt;0)*(N('Dvd Calendar'!$AB$1809)&lt;=VAL_SERIAL)*1000000+23*1000+64))</f>
        <v/>
      </c>
      <c r="GQ182" s="121">
        <f>IF(N('Dvd Calendar'!$AC$1810)=0,"",IF(('Dvd Calendar'!$AC$1810&gt;=GRID_FROM)*('Dvd Calendar'!$AC$1810&lt;=GRID_TO)*('Dvd Calendar'!$AC$1810&gt;VAL_DATE)=0,"",'Dvd Calendar'!$AC$1810*1000000000+ISNUMBER('Dvd Calendar'!$AC$1811)*100000000+0*10000000+(N('Dvd Calendar'!$AC$1809)&gt;0)*(N('Dvd Calendar'!$AC$1809)&lt;=VAL_SERIAL)*1000000+23*1000+65))</f>
        <v/>
      </c>
    </row>
    <row r="183">
      <c r="B183" s="2">
        <f>IF(HSCEI!$C$30="","",HSCEI!$C$30)</f>
        <v/>
      </c>
      <c r="C183" s="161">
        <f>IF(EE183="","",IF(ISNUMBER('Dvd Calendar'!$E$1817)=FALSE,"",IF((('Dvd Calendar'!$E$1819=TYPE1)*(TYPE1&lt;&gt;"")+('Dvd Calendar'!$E$1819=TYPE2)*(TYPE2&lt;&gt;"")+('Dvd Calendar'!$E$1819=TYPE3)*(TYPE3&lt;&gt;"")+('Dvd Calendar'!$E$1819=TYPE4)*(TYPE4&lt;&gt;"")+('Dvd Calendar'!$E$1819=SPECIAL_LBL)*(INC_SPECIALS="Y"))=0,"",'Dvd Calendar'!$E$1817)))</f>
        <v/>
      </c>
      <c r="D183" s="161">
        <f>IF(EF183="","",IF(ISNUMBER('Dvd Calendar'!$F$1817)=FALSE,"",IF((('Dvd Calendar'!$F$1819=TYPE1)*(TYPE1&lt;&gt;"")+('Dvd Calendar'!$F$1819=TYPE2)*(TYPE2&lt;&gt;"")+('Dvd Calendar'!$F$1819=TYPE3)*(TYPE3&lt;&gt;"")+('Dvd Calendar'!$F$1819=TYPE4)*(TYPE4&lt;&gt;"")+('Dvd Calendar'!$F$1819=SPECIAL_LBL)*(INC_SPECIALS="Y"))=0,"",'Dvd Calendar'!$F$1817)))</f>
        <v/>
      </c>
      <c r="E183" s="161">
        <f>IF(EG183="","",IF(ISNUMBER('Dvd Calendar'!$G$1817)=FALSE,"",IF((('Dvd Calendar'!$G$1819=TYPE1)*(TYPE1&lt;&gt;"")+('Dvd Calendar'!$G$1819=TYPE2)*(TYPE2&lt;&gt;"")+('Dvd Calendar'!$G$1819=TYPE3)*(TYPE3&lt;&gt;"")+('Dvd Calendar'!$G$1819=TYPE4)*(TYPE4&lt;&gt;"")+('Dvd Calendar'!$G$1819=SPECIAL_LBL)*(INC_SPECIALS="Y"))=0,"",'Dvd Calendar'!$G$1817)))</f>
        <v/>
      </c>
      <c r="F183" s="161">
        <f>IF(EH183="","",IF(ISNUMBER('Dvd Calendar'!$H$1817)=FALSE,"",IF((('Dvd Calendar'!$H$1819=TYPE1)*(TYPE1&lt;&gt;"")+('Dvd Calendar'!$H$1819=TYPE2)*(TYPE2&lt;&gt;"")+('Dvd Calendar'!$H$1819=TYPE3)*(TYPE3&lt;&gt;"")+('Dvd Calendar'!$H$1819=TYPE4)*(TYPE4&lt;&gt;"")+('Dvd Calendar'!$H$1819=SPECIAL_LBL)*(INC_SPECIALS="Y"))=0,"",'Dvd Calendar'!$H$1817)))</f>
        <v/>
      </c>
      <c r="G183" s="161">
        <f>IF(EI183="","",IF(ISNUMBER('Dvd Calendar'!$I$1817)=FALSE,"",IF((('Dvd Calendar'!$I$1819=TYPE1)*(TYPE1&lt;&gt;"")+('Dvd Calendar'!$I$1819=TYPE2)*(TYPE2&lt;&gt;"")+('Dvd Calendar'!$I$1819=TYPE3)*(TYPE3&lt;&gt;"")+('Dvd Calendar'!$I$1819=TYPE4)*(TYPE4&lt;&gt;"")+('Dvd Calendar'!$I$1819=SPECIAL_LBL)*(INC_SPECIALS="Y"))=0,"",'Dvd Calendar'!$I$1817)))</f>
        <v/>
      </c>
      <c r="H183" s="161">
        <f>IF(EJ183="","",IF(ISNUMBER('Dvd Calendar'!$J$1817)=FALSE,"",IF((('Dvd Calendar'!$J$1819=TYPE1)*(TYPE1&lt;&gt;"")+('Dvd Calendar'!$J$1819=TYPE2)*(TYPE2&lt;&gt;"")+('Dvd Calendar'!$J$1819=TYPE3)*(TYPE3&lt;&gt;"")+('Dvd Calendar'!$J$1819=TYPE4)*(TYPE4&lt;&gt;"")+('Dvd Calendar'!$J$1819=SPECIAL_LBL)*(INC_SPECIALS="Y"))=0,"",'Dvd Calendar'!$J$1817)))</f>
        <v/>
      </c>
      <c r="I183" s="161">
        <f>IF(EK183="","",IF(ISNUMBER('Dvd Calendar'!$K$1817)=FALSE,"",IF((('Dvd Calendar'!$K$1819=TYPE1)*(TYPE1&lt;&gt;"")+('Dvd Calendar'!$K$1819=TYPE2)*(TYPE2&lt;&gt;"")+('Dvd Calendar'!$K$1819=TYPE3)*(TYPE3&lt;&gt;"")+('Dvd Calendar'!$K$1819=TYPE4)*(TYPE4&lt;&gt;"")+('Dvd Calendar'!$K$1819=SPECIAL_LBL)*(INC_SPECIALS="Y"))=0,"",'Dvd Calendar'!$K$1817)))</f>
        <v/>
      </c>
      <c r="J183" s="161">
        <f>IF(EL183="","",IF(ISNUMBER('Dvd Calendar'!$L$1817)=FALSE,"",IF((('Dvd Calendar'!$L$1819=TYPE1)*(TYPE1&lt;&gt;"")+('Dvd Calendar'!$L$1819=TYPE2)*(TYPE2&lt;&gt;"")+('Dvd Calendar'!$L$1819=TYPE3)*(TYPE3&lt;&gt;"")+('Dvd Calendar'!$L$1819=TYPE4)*(TYPE4&lt;&gt;"")+('Dvd Calendar'!$L$1819=SPECIAL_LBL)*(INC_SPECIALS="Y"))=0,"",'Dvd Calendar'!$L$1817)))</f>
        <v/>
      </c>
      <c r="K183" s="161">
        <f>IF(EM183="","",IF(ISNUMBER('Dvd Calendar'!$M$1817)=FALSE,"",IF((('Dvd Calendar'!$M$1819=TYPE1)*(TYPE1&lt;&gt;"")+('Dvd Calendar'!$M$1819=TYPE2)*(TYPE2&lt;&gt;"")+('Dvd Calendar'!$M$1819=TYPE3)*(TYPE3&lt;&gt;"")+('Dvd Calendar'!$M$1819=TYPE4)*(TYPE4&lt;&gt;"")+('Dvd Calendar'!$M$1819=SPECIAL_LBL)*(INC_SPECIALS="Y"))=0,"",'Dvd Calendar'!$M$1817)))</f>
        <v/>
      </c>
      <c r="L183" s="161">
        <f>IF(EN183="","",IF(ISNUMBER('Dvd Calendar'!$N$1817)=FALSE,"",IF((('Dvd Calendar'!$N$1819=TYPE1)*(TYPE1&lt;&gt;"")+('Dvd Calendar'!$N$1819=TYPE2)*(TYPE2&lt;&gt;"")+('Dvd Calendar'!$N$1819=TYPE3)*(TYPE3&lt;&gt;"")+('Dvd Calendar'!$N$1819=TYPE4)*(TYPE4&lt;&gt;"")+('Dvd Calendar'!$N$1819=SPECIAL_LBL)*(INC_SPECIALS="Y"))=0,"",'Dvd Calendar'!$N$1817)))</f>
        <v/>
      </c>
      <c r="M183" s="161">
        <f>IF(EO183="","",IF(ISNUMBER('Dvd Calendar'!$O$1817)=FALSE,"",IF((('Dvd Calendar'!$O$1819=TYPE1)*(TYPE1&lt;&gt;"")+('Dvd Calendar'!$O$1819=TYPE2)*(TYPE2&lt;&gt;"")+('Dvd Calendar'!$O$1819=TYPE3)*(TYPE3&lt;&gt;"")+('Dvd Calendar'!$O$1819=TYPE4)*(TYPE4&lt;&gt;"")+('Dvd Calendar'!$O$1819=SPECIAL_LBL)*(INC_SPECIALS="Y"))=0,"",'Dvd Calendar'!$O$1817)))</f>
        <v/>
      </c>
      <c r="N183" s="161">
        <f>IF(EP183="","",IF(ISNUMBER('Dvd Calendar'!$P$1817)=FALSE,"",IF((('Dvd Calendar'!$P$1819=TYPE1)*(TYPE1&lt;&gt;"")+('Dvd Calendar'!$P$1819=TYPE2)*(TYPE2&lt;&gt;"")+('Dvd Calendar'!$P$1819=TYPE3)*(TYPE3&lt;&gt;"")+('Dvd Calendar'!$P$1819=TYPE4)*(TYPE4&lt;&gt;"")+('Dvd Calendar'!$P$1819=SPECIAL_LBL)*(INC_SPECIALS="Y"))=0,"",'Dvd Calendar'!$P$1817)))</f>
        <v/>
      </c>
      <c r="O183" s="161">
        <f>IF(EQ183="","",IF(ISNUMBER('Dvd Calendar'!$Q$1817)=FALSE,"",IF((('Dvd Calendar'!$Q$1819=TYPE1)*(TYPE1&lt;&gt;"")+('Dvd Calendar'!$Q$1819=TYPE2)*(TYPE2&lt;&gt;"")+('Dvd Calendar'!$Q$1819=TYPE3)*(TYPE3&lt;&gt;"")+('Dvd Calendar'!$Q$1819=TYPE4)*(TYPE4&lt;&gt;"")+('Dvd Calendar'!$Q$1819=SPECIAL_LBL)*(INC_SPECIALS="Y"))=0,"",'Dvd Calendar'!$Q$1817)))</f>
        <v/>
      </c>
      <c r="P183" s="161">
        <f>IF(ER183="","",IF(ISNUMBER('Dvd Calendar'!$R$1817)=FALSE,"",IF((('Dvd Calendar'!$R$1819=TYPE1)*(TYPE1&lt;&gt;"")+('Dvd Calendar'!$R$1819=TYPE2)*(TYPE2&lt;&gt;"")+('Dvd Calendar'!$R$1819=TYPE3)*(TYPE3&lt;&gt;"")+('Dvd Calendar'!$R$1819=TYPE4)*(TYPE4&lt;&gt;"")+('Dvd Calendar'!$R$1819=SPECIAL_LBL)*(INC_SPECIALS="Y"))=0,"",'Dvd Calendar'!$R$1817)))</f>
        <v/>
      </c>
      <c r="Q183" s="161">
        <f>IF(ES183="","",IF(ISNUMBER('Dvd Calendar'!$S$1817)=FALSE,"",IF((('Dvd Calendar'!$S$1819=TYPE1)*(TYPE1&lt;&gt;"")+('Dvd Calendar'!$S$1819=TYPE2)*(TYPE2&lt;&gt;"")+('Dvd Calendar'!$S$1819=TYPE3)*(TYPE3&lt;&gt;"")+('Dvd Calendar'!$S$1819=TYPE4)*(TYPE4&lt;&gt;"")+('Dvd Calendar'!$S$1819=SPECIAL_LBL)*(INC_SPECIALS="Y"))=0,"",'Dvd Calendar'!$S$1817)))</f>
        <v/>
      </c>
      <c r="R183" s="161">
        <f>IF(ET183="","",IF(ISNUMBER('Dvd Calendar'!$T$1817)=FALSE,"",IF((('Dvd Calendar'!$T$1819=TYPE1)*(TYPE1&lt;&gt;"")+('Dvd Calendar'!$T$1819=TYPE2)*(TYPE2&lt;&gt;"")+('Dvd Calendar'!$T$1819=TYPE3)*(TYPE3&lt;&gt;"")+('Dvd Calendar'!$T$1819=TYPE4)*(TYPE4&lt;&gt;"")+('Dvd Calendar'!$T$1819=SPECIAL_LBL)*(INC_SPECIALS="Y"))=0,"",'Dvd Calendar'!$T$1817)))</f>
        <v/>
      </c>
      <c r="S183" s="161">
        <f>IF(EU183="","",IF(ISNUMBER('Dvd Calendar'!$U$1817)=FALSE,"",IF((('Dvd Calendar'!$U$1819=TYPE1)*(TYPE1&lt;&gt;"")+('Dvd Calendar'!$U$1819=TYPE2)*(TYPE2&lt;&gt;"")+('Dvd Calendar'!$U$1819=TYPE3)*(TYPE3&lt;&gt;"")+('Dvd Calendar'!$U$1819=TYPE4)*(TYPE4&lt;&gt;"")+('Dvd Calendar'!$U$1819=SPECIAL_LBL)*(INC_SPECIALS="Y"))=0,"",'Dvd Calendar'!$U$1817)))</f>
        <v/>
      </c>
      <c r="T183" s="161">
        <f>IF(EV183="","",IF(ISNUMBER('Dvd Calendar'!$V$1817)=FALSE,"",IF((('Dvd Calendar'!$V$1819=TYPE1)*(TYPE1&lt;&gt;"")+('Dvd Calendar'!$V$1819=TYPE2)*(TYPE2&lt;&gt;"")+('Dvd Calendar'!$V$1819=TYPE3)*(TYPE3&lt;&gt;"")+('Dvd Calendar'!$V$1819=TYPE4)*(TYPE4&lt;&gt;"")+('Dvd Calendar'!$V$1819=SPECIAL_LBL)*(INC_SPECIALS="Y"))=0,"",'Dvd Calendar'!$V$1817)))</f>
        <v/>
      </c>
      <c r="U183" s="161">
        <f>IF(EW183="","",IF(ISNUMBER('Dvd Calendar'!$W$1817)=FALSE,"",IF((('Dvd Calendar'!$W$1819=TYPE1)*(TYPE1&lt;&gt;"")+('Dvd Calendar'!$W$1819=TYPE2)*(TYPE2&lt;&gt;"")+('Dvd Calendar'!$W$1819=TYPE3)*(TYPE3&lt;&gt;"")+('Dvd Calendar'!$W$1819=TYPE4)*(TYPE4&lt;&gt;"")+('Dvd Calendar'!$W$1819=SPECIAL_LBL)*(INC_SPECIALS="Y"))=0,"",'Dvd Calendar'!$W$1817)))</f>
        <v/>
      </c>
      <c r="V183" s="161">
        <f>IF(EX183="","",IF(ISNUMBER('Dvd Calendar'!$X$1817)=FALSE,"",IF((('Dvd Calendar'!$X$1819=TYPE1)*(TYPE1&lt;&gt;"")+('Dvd Calendar'!$X$1819=TYPE2)*(TYPE2&lt;&gt;"")+('Dvd Calendar'!$X$1819=TYPE3)*(TYPE3&lt;&gt;"")+('Dvd Calendar'!$X$1819=TYPE4)*(TYPE4&lt;&gt;"")+('Dvd Calendar'!$X$1819=SPECIAL_LBL)*(INC_SPECIALS="Y"))=0,"",'Dvd Calendar'!$X$1817)))</f>
        <v/>
      </c>
      <c r="W183" s="161">
        <f>IF(EY183="","",IF(ISNUMBER('Dvd Calendar'!$Y$1817)=FALSE,"",IF((('Dvd Calendar'!$Y$1819=TYPE1)*(TYPE1&lt;&gt;"")+('Dvd Calendar'!$Y$1819=TYPE2)*(TYPE2&lt;&gt;"")+('Dvd Calendar'!$Y$1819=TYPE3)*(TYPE3&lt;&gt;"")+('Dvd Calendar'!$Y$1819=TYPE4)*(TYPE4&lt;&gt;"")+('Dvd Calendar'!$Y$1819=SPECIAL_LBL)*(INC_SPECIALS="Y"))=0,"",'Dvd Calendar'!$Y$1817)))</f>
        <v/>
      </c>
      <c r="X183" s="161">
        <f>IF(EZ183="","",IF(ISNUMBER('Dvd Calendar'!$Z$1817)=FALSE,"",IF((('Dvd Calendar'!$Z$1819=TYPE1)*(TYPE1&lt;&gt;"")+('Dvd Calendar'!$Z$1819=TYPE2)*(TYPE2&lt;&gt;"")+('Dvd Calendar'!$Z$1819=TYPE3)*(TYPE3&lt;&gt;"")+('Dvd Calendar'!$Z$1819=TYPE4)*(TYPE4&lt;&gt;"")+('Dvd Calendar'!$Z$1819=SPECIAL_LBL)*(INC_SPECIALS="Y"))=0,"",'Dvd Calendar'!$Z$1817)))</f>
        <v/>
      </c>
      <c r="Y183" s="161">
        <f>IF(FA183="","",IF(ISNUMBER('Dvd Calendar'!$AA$1817)=FALSE,"",IF((('Dvd Calendar'!$AA$1819=TYPE1)*(TYPE1&lt;&gt;"")+('Dvd Calendar'!$AA$1819=TYPE2)*(TYPE2&lt;&gt;"")+('Dvd Calendar'!$AA$1819=TYPE3)*(TYPE3&lt;&gt;"")+('Dvd Calendar'!$AA$1819=TYPE4)*(TYPE4&lt;&gt;"")+('Dvd Calendar'!$AA$1819=SPECIAL_LBL)*(INC_SPECIALS="Y"))=0,"",'Dvd Calendar'!$AA$1817)))</f>
        <v/>
      </c>
      <c r="Z183" s="161">
        <f>IF(FB183="","",IF(ISNUMBER('Dvd Calendar'!$AB$1817)=FALSE,"",IF((('Dvd Calendar'!$AB$1819=TYPE1)*(TYPE1&lt;&gt;"")+('Dvd Calendar'!$AB$1819=TYPE2)*(TYPE2&lt;&gt;"")+('Dvd Calendar'!$AB$1819=TYPE3)*(TYPE3&lt;&gt;"")+('Dvd Calendar'!$AB$1819=TYPE4)*(TYPE4&lt;&gt;"")+('Dvd Calendar'!$AB$1819=SPECIAL_LBL)*(INC_SPECIALS="Y"))=0,"",'Dvd Calendar'!$AB$1817)))</f>
        <v/>
      </c>
      <c r="AA183" s="161">
        <f>IF(FC183="","",IF(ISNUMBER('Dvd Calendar'!$AC$1817)=FALSE,"",IF((('Dvd Calendar'!$AC$1819=TYPE1)*(TYPE1&lt;&gt;"")+('Dvd Calendar'!$AC$1819=TYPE2)*(TYPE2&lt;&gt;"")+('Dvd Calendar'!$AC$1819=TYPE3)*(TYPE3&lt;&gt;"")+('Dvd Calendar'!$AC$1819=TYPE4)*(TYPE4&lt;&gt;"")+('Dvd Calendar'!$AC$1819=SPECIAL_LBL)*(INC_SPECIALS="Y"))=0,"",'Dvd Calendar'!$AC$1817)))</f>
        <v/>
      </c>
      <c r="AB183" s="161">
        <f>IF(FD183="","",IF(ISNUMBER('Dvd Calendar'!$AD$1817)=FALSE,"",IF((('Dvd Calendar'!$AD$1819=TYPE1)*(TYPE1&lt;&gt;"")+('Dvd Calendar'!$AD$1819=TYPE2)*(TYPE2&lt;&gt;"")+('Dvd Calendar'!$AD$1819=TYPE3)*(TYPE3&lt;&gt;"")+('Dvd Calendar'!$AD$1819=TYPE4)*(TYPE4&lt;&gt;"")+('Dvd Calendar'!$AD$1819=SPECIAL_LBL)*(INC_SPECIALS="Y"))=0,"",'Dvd Calendar'!$AD$1817)))</f>
        <v/>
      </c>
      <c r="AC183" s="161">
        <f>IF(FE183="","",IF(ISNUMBER('Dvd Calendar'!$AE$1817)=FALSE,"",IF((('Dvd Calendar'!$AE$1819=TYPE1)*(TYPE1&lt;&gt;"")+('Dvd Calendar'!$AE$1819=TYPE2)*(TYPE2&lt;&gt;"")+('Dvd Calendar'!$AE$1819=TYPE3)*(TYPE3&lt;&gt;"")+('Dvd Calendar'!$AE$1819=TYPE4)*(TYPE4&lt;&gt;"")+('Dvd Calendar'!$AE$1819=SPECIAL_LBL)*(INC_SPECIALS="Y"))=0,"",'Dvd Calendar'!$AE$1817)))</f>
        <v/>
      </c>
      <c r="AD183" s="161">
        <f>IF(FF183="","",IF(ISNUMBER('Dvd Calendar'!$AF$1817)=FALSE,"",IF((('Dvd Calendar'!$AF$1819=TYPE1)*(TYPE1&lt;&gt;"")+('Dvd Calendar'!$AF$1819=TYPE2)*(TYPE2&lt;&gt;"")+('Dvd Calendar'!$AF$1819=TYPE3)*(TYPE3&lt;&gt;"")+('Dvd Calendar'!$AF$1819=TYPE4)*(TYPE4&lt;&gt;"")+('Dvd Calendar'!$AF$1819=SPECIAL_LBL)*(INC_SPECIALS="Y"))=0,"",'Dvd Calendar'!$AF$1817)))</f>
        <v/>
      </c>
      <c r="AE183" s="161">
        <f>IF(FG183="","",IF(ISNUMBER('Dvd Calendar'!$AG$1817)=FALSE,"",IF((('Dvd Calendar'!$AG$1819=TYPE1)*(TYPE1&lt;&gt;"")+('Dvd Calendar'!$AG$1819=TYPE2)*(TYPE2&lt;&gt;"")+('Dvd Calendar'!$AG$1819=TYPE3)*(TYPE3&lt;&gt;"")+('Dvd Calendar'!$AG$1819=TYPE4)*(TYPE4&lt;&gt;"")+('Dvd Calendar'!$AG$1819=SPECIAL_LBL)*(INC_SPECIALS="Y"))=0,"",'Dvd Calendar'!$AG$1817)))</f>
        <v/>
      </c>
      <c r="AF183" s="161">
        <f>IF(FH183="","",IF(ISNUMBER('Dvd Calendar'!$AH$1817)=FALSE,"",IF((('Dvd Calendar'!$AH$1819=TYPE1)*(TYPE1&lt;&gt;"")+('Dvd Calendar'!$AH$1819=TYPE2)*(TYPE2&lt;&gt;"")+('Dvd Calendar'!$AH$1819=TYPE3)*(TYPE3&lt;&gt;"")+('Dvd Calendar'!$AH$1819=TYPE4)*(TYPE4&lt;&gt;"")+('Dvd Calendar'!$AH$1819=SPECIAL_LBL)*(INC_SPECIALS="Y"))=0,"",'Dvd Calendar'!$AH$1817)))</f>
        <v/>
      </c>
      <c r="AG183" s="161">
        <f>IF(FI183="","",IF(ISNUMBER('Dvd Calendar'!$AI$1817)=FALSE,"",IF((('Dvd Calendar'!$AI$1819=TYPE1)*(TYPE1&lt;&gt;"")+('Dvd Calendar'!$AI$1819=TYPE2)*(TYPE2&lt;&gt;"")+('Dvd Calendar'!$AI$1819=TYPE3)*(TYPE3&lt;&gt;"")+('Dvd Calendar'!$AI$1819=TYPE4)*(TYPE4&lt;&gt;"")+('Dvd Calendar'!$AI$1819=SPECIAL_LBL)*(INC_SPECIALS="Y"))=0,"",'Dvd Calendar'!$AI$1817)))</f>
        <v/>
      </c>
      <c r="AH183" s="161">
        <f>IF(FJ183="","",IF(ISNUMBER('Dvd Calendar'!$AJ$1817)=FALSE,"",IF((('Dvd Calendar'!$AJ$1819=TYPE1)*(TYPE1&lt;&gt;"")+('Dvd Calendar'!$AJ$1819=TYPE2)*(TYPE2&lt;&gt;"")+('Dvd Calendar'!$AJ$1819=TYPE3)*(TYPE3&lt;&gt;"")+('Dvd Calendar'!$AJ$1819=TYPE4)*(TYPE4&lt;&gt;"")+('Dvd Calendar'!$AJ$1819=SPECIAL_LBL)*(INC_SPECIALS="Y"))=0,"",'Dvd Calendar'!$AJ$1817)))</f>
        <v/>
      </c>
      <c r="AI183" s="161">
        <f>IF(FK183="","",IF(ISNUMBER('Dvd Calendar'!$AK$1817)=FALSE,"",IF((('Dvd Calendar'!$AK$1819=TYPE1)*(TYPE1&lt;&gt;"")+('Dvd Calendar'!$AK$1819=TYPE2)*(TYPE2&lt;&gt;"")+('Dvd Calendar'!$AK$1819=TYPE3)*(TYPE3&lt;&gt;"")+('Dvd Calendar'!$AK$1819=TYPE4)*(TYPE4&lt;&gt;"")+('Dvd Calendar'!$AK$1819=SPECIAL_LBL)*(INC_SPECIALS="Y"))=0,"",'Dvd Calendar'!$AK$1817)))</f>
        <v/>
      </c>
      <c r="AJ183" s="161">
        <f>IF(FL183="","",IF(ISNUMBER('Dvd Calendar'!$AL$1817)=FALSE,"",IF((('Dvd Calendar'!$AL$1819=TYPE1)*(TYPE1&lt;&gt;"")+('Dvd Calendar'!$AL$1819=TYPE2)*(TYPE2&lt;&gt;"")+('Dvd Calendar'!$AL$1819=TYPE3)*(TYPE3&lt;&gt;"")+('Dvd Calendar'!$AL$1819=TYPE4)*(TYPE4&lt;&gt;"")+('Dvd Calendar'!$AL$1819=SPECIAL_LBL)*(INC_SPECIALS="Y"))=0,"",'Dvd Calendar'!$AL$1817)))</f>
        <v/>
      </c>
      <c r="AK183" s="161">
        <f>IF(FM183="","",IF(ISNUMBER('Dvd Calendar'!$AM$1817)=FALSE,"",IF((('Dvd Calendar'!$AM$1819=TYPE1)*(TYPE1&lt;&gt;"")+('Dvd Calendar'!$AM$1819=TYPE2)*(TYPE2&lt;&gt;"")+('Dvd Calendar'!$AM$1819=TYPE3)*(TYPE3&lt;&gt;"")+('Dvd Calendar'!$AM$1819=TYPE4)*(TYPE4&lt;&gt;"")+('Dvd Calendar'!$AM$1819=SPECIAL_LBL)*(INC_SPECIALS="Y"))=0,"",'Dvd Calendar'!$AM$1817)))</f>
        <v/>
      </c>
      <c r="AL183" s="161">
        <f>IF(FN183="","",IF(ISNUMBER('Dvd Calendar'!$AN$1817)=FALSE,"",IF((('Dvd Calendar'!$AN$1819=TYPE1)*(TYPE1&lt;&gt;"")+('Dvd Calendar'!$AN$1819=TYPE2)*(TYPE2&lt;&gt;"")+('Dvd Calendar'!$AN$1819=TYPE3)*(TYPE3&lt;&gt;"")+('Dvd Calendar'!$AN$1819=TYPE4)*(TYPE4&lt;&gt;"")+('Dvd Calendar'!$AN$1819=SPECIAL_LBL)*(INC_SPECIALS="Y"))=0,"",'Dvd Calendar'!$AN$1817)))</f>
        <v/>
      </c>
      <c r="AM183" s="161">
        <f>IF(FO183="","",IF(ISNUMBER('Dvd Calendar'!$AO$1817)=FALSE,"",IF((('Dvd Calendar'!$AO$1819=TYPE1)*(TYPE1&lt;&gt;"")+('Dvd Calendar'!$AO$1819=TYPE2)*(TYPE2&lt;&gt;"")+('Dvd Calendar'!$AO$1819=TYPE3)*(TYPE3&lt;&gt;"")+('Dvd Calendar'!$AO$1819=TYPE4)*(TYPE4&lt;&gt;"")+('Dvd Calendar'!$AO$1819=SPECIAL_LBL)*(INC_SPECIALS="Y"))=0,"",'Dvd Calendar'!$AO$1817)))</f>
        <v/>
      </c>
      <c r="AN183" s="161">
        <f>IF(FP183="","",IF(ISNUMBER('Dvd Calendar'!$AP$1817)=FALSE,"",IF((('Dvd Calendar'!$AP$1819=TYPE1)*(TYPE1&lt;&gt;"")+('Dvd Calendar'!$AP$1819=TYPE2)*(TYPE2&lt;&gt;"")+('Dvd Calendar'!$AP$1819=TYPE3)*(TYPE3&lt;&gt;"")+('Dvd Calendar'!$AP$1819=TYPE4)*(TYPE4&lt;&gt;"")+('Dvd Calendar'!$AP$1819=SPECIAL_LBL)*(INC_SPECIALS="Y"))=0,"",'Dvd Calendar'!$AP$1817)))</f>
        <v/>
      </c>
      <c r="AO183" s="161">
        <f>IF(FQ183="","",IF(ISNUMBER('Dvd Calendar'!$AQ$1817)=FALSE,"",IF((('Dvd Calendar'!$AQ$1819=TYPE1)*(TYPE1&lt;&gt;"")+('Dvd Calendar'!$AQ$1819=TYPE2)*(TYPE2&lt;&gt;"")+('Dvd Calendar'!$AQ$1819=TYPE3)*(TYPE3&lt;&gt;"")+('Dvd Calendar'!$AQ$1819=TYPE4)*(TYPE4&lt;&gt;"")+('Dvd Calendar'!$AQ$1819=SPECIAL_LBL)*(INC_SPECIALS="Y"))=0,"",'Dvd Calendar'!$AQ$1817)))</f>
        <v/>
      </c>
      <c r="AP183" s="161">
        <f>IF(FR183="","",IF(ISNUMBER('Dvd Calendar'!$AR$1817)=FALSE,"",IF((('Dvd Calendar'!$AR$1819=TYPE1)*(TYPE1&lt;&gt;"")+('Dvd Calendar'!$AR$1819=TYPE2)*(TYPE2&lt;&gt;"")+('Dvd Calendar'!$AR$1819=TYPE3)*(TYPE3&lt;&gt;"")+('Dvd Calendar'!$AR$1819=TYPE4)*(TYPE4&lt;&gt;"")+('Dvd Calendar'!$AR$1819=SPECIAL_LBL)*(INC_SPECIALS="Y"))=0,"",'Dvd Calendar'!$AR$1817)))</f>
        <v/>
      </c>
      <c r="AQ183" s="161">
        <f>IF(FS183="","",IF(ISNUMBER('Dvd Calendar'!$E$1822)=FALSE,"",'Dvd Calendar'!$E$1822))</f>
        <v/>
      </c>
      <c r="AR183" s="161">
        <f>IF(FT183="","",IF(ISNUMBER('Dvd Calendar'!$F$1822)=FALSE,"",'Dvd Calendar'!$F$1822))</f>
        <v/>
      </c>
      <c r="AS183" s="161">
        <f>IF(FU183="","",IF(ISNUMBER('Dvd Calendar'!$G$1822)=FALSE,"",'Dvd Calendar'!$G$1822))</f>
        <v/>
      </c>
      <c r="AT183" s="161">
        <f>IF(FV183="","",IF(ISNUMBER('Dvd Calendar'!$H$1822)=FALSE,"",'Dvd Calendar'!$H$1822))</f>
        <v/>
      </c>
      <c r="AU183" s="161">
        <f>IF(FW183="","",IF(ISNUMBER('Dvd Calendar'!$I$1822)=FALSE,"",'Dvd Calendar'!$I$1822))</f>
        <v/>
      </c>
      <c r="AV183" s="161">
        <f>IF(FX183="","",IF(ISNUMBER('Dvd Calendar'!$J$1822)=FALSE,"",'Dvd Calendar'!$J$1822))</f>
        <v/>
      </c>
      <c r="AW183" s="161">
        <f>IF(FY183="","",IF(ISNUMBER('Dvd Calendar'!$K$1822)=FALSE,"",'Dvd Calendar'!$K$1822))</f>
        <v/>
      </c>
      <c r="AX183" s="161">
        <f>IF(FZ183="","",IF(ISNUMBER('Dvd Calendar'!$L$1822)=FALSE,"",'Dvd Calendar'!$L$1822))</f>
        <v/>
      </c>
      <c r="AY183" s="161">
        <f>IF(GA183="","",IF(ISNUMBER('Dvd Calendar'!$M$1822)=FALSE,"",'Dvd Calendar'!$M$1822))</f>
        <v/>
      </c>
      <c r="AZ183" s="161">
        <f>IF(GB183="","",IF(ISNUMBER('Dvd Calendar'!$N$1822)=FALSE,"",'Dvd Calendar'!$N$1822))</f>
        <v/>
      </c>
      <c r="BA183" s="161">
        <f>IF(GC183="","",IF(ISNUMBER('Dvd Calendar'!$O$1822)=FALSE,"",'Dvd Calendar'!$O$1822))</f>
        <v/>
      </c>
      <c r="BB183" s="161">
        <f>IF(GD183="","",IF(ISNUMBER('Dvd Calendar'!$P$1822)=FALSE,"",'Dvd Calendar'!$P$1822))</f>
        <v/>
      </c>
      <c r="BC183" s="161">
        <f>IF(GE183="","",IF(ISNUMBER('Dvd Calendar'!$Q$1822)=FALSE,"",'Dvd Calendar'!$Q$1822))</f>
        <v/>
      </c>
      <c r="BD183" s="161">
        <f>IF(GF183="","",IF(ISNUMBER('Dvd Calendar'!$R$1822)=FALSE,"",'Dvd Calendar'!$R$1822))</f>
        <v/>
      </c>
      <c r="BE183" s="161">
        <f>IF(GG183="","",IF(ISNUMBER('Dvd Calendar'!$S$1822)=FALSE,"",'Dvd Calendar'!$S$1822))</f>
        <v/>
      </c>
      <c r="BF183" s="161">
        <f>IF(GH183="","",IF(ISNUMBER('Dvd Calendar'!$T$1822)=FALSE,"",'Dvd Calendar'!$T$1822))</f>
        <v/>
      </c>
      <c r="BG183" s="161">
        <f>IF(GI183="","",IF(ISNUMBER('Dvd Calendar'!$U$1822)=FALSE,"",'Dvd Calendar'!$U$1822))</f>
        <v/>
      </c>
      <c r="BH183" s="161">
        <f>IF(GJ183="","",IF(ISNUMBER('Dvd Calendar'!$V$1822)=FALSE,"",'Dvd Calendar'!$V$1822))</f>
        <v/>
      </c>
      <c r="BI183" s="161">
        <f>IF(GK183="","",IF(ISNUMBER('Dvd Calendar'!$W$1822)=FALSE,"",'Dvd Calendar'!$W$1822))</f>
        <v/>
      </c>
      <c r="BJ183" s="161">
        <f>IF(GL183="","",IF(ISNUMBER('Dvd Calendar'!$X$1822)=FALSE,"",'Dvd Calendar'!$X$1822))</f>
        <v/>
      </c>
      <c r="BK183" s="161">
        <f>IF(GM183="","",IF(ISNUMBER('Dvd Calendar'!$Y$1822)=FALSE,"",'Dvd Calendar'!$Y$1822))</f>
        <v/>
      </c>
      <c r="BL183" s="161">
        <f>IF(GN183="","",IF(ISNUMBER('Dvd Calendar'!$Z$1822)=FALSE,"",'Dvd Calendar'!$Z$1822))</f>
        <v/>
      </c>
      <c r="BM183" s="161">
        <f>IF(GO183="","",IF(ISNUMBER('Dvd Calendar'!$AA$1822)=FALSE,"",'Dvd Calendar'!$AA$1822))</f>
        <v/>
      </c>
      <c r="BN183" s="161">
        <f>IF(GP183="","",IF(ISNUMBER('Dvd Calendar'!$AB$1822)=FALSE,"",'Dvd Calendar'!$AB$1822))</f>
        <v/>
      </c>
      <c r="BO183" s="161">
        <f>IF(GQ183="","",IF(ISNUMBER('Dvd Calendar'!$AC$1822)=FALSE,"",'Dvd Calendar'!$AC$1822))</f>
        <v/>
      </c>
      <c r="BQ183" s="161">
        <f>IF(C183="","",IFERROR(C183*HSCEI!$B$30*HSCEI!$G$30/HSCEI!$B$3,""))</f>
        <v/>
      </c>
      <c r="BR183" s="161">
        <f>IF(D183="","",IFERROR(D183*HSCEI!$B$30*HSCEI!$G$30/HSCEI!$B$3,""))</f>
        <v/>
      </c>
      <c r="BS183" s="161">
        <f>IF(E183="","",IFERROR(E183*HSCEI!$B$30*HSCEI!$G$30/HSCEI!$B$3,""))</f>
        <v/>
      </c>
      <c r="BT183" s="161">
        <f>IF(F183="","",IFERROR(F183*HSCEI!$B$30*HSCEI!$G$30/HSCEI!$B$3,""))</f>
        <v/>
      </c>
      <c r="BU183" s="161">
        <f>IF(G183="","",IFERROR(G183*HSCEI!$B$30*HSCEI!$G$30/HSCEI!$B$3,""))</f>
        <v/>
      </c>
      <c r="BV183" s="161">
        <f>IF(H183="","",IFERROR(H183*HSCEI!$B$30*HSCEI!$G$30/HSCEI!$B$3,""))</f>
        <v/>
      </c>
      <c r="BW183" s="161">
        <f>IF(I183="","",IFERROR(I183*HSCEI!$B$30*HSCEI!$G$30/HSCEI!$B$3,""))</f>
        <v/>
      </c>
      <c r="BX183" s="161">
        <f>IF(J183="","",IFERROR(J183*HSCEI!$B$30*HSCEI!$G$30/HSCEI!$B$3,""))</f>
        <v/>
      </c>
      <c r="BY183" s="161">
        <f>IF(K183="","",IFERROR(K183*HSCEI!$B$30*HSCEI!$G$30/HSCEI!$B$3,""))</f>
        <v/>
      </c>
      <c r="BZ183" s="161">
        <f>IF(L183="","",IFERROR(L183*HSCEI!$B$30*HSCEI!$G$30/HSCEI!$B$3,""))</f>
        <v/>
      </c>
      <c r="CA183" s="161">
        <f>IF(M183="","",IFERROR(M183*HSCEI!$B$30*HSCEI!$G$30/HSCEI!$B$3,""))</f>
        <v/>
      </c>
      <c r="CB183" s="161">
        <f>IF(N183="","",IFERROR(N183*HSCEI!$B$30*HSCEI!$G$30/HSCEI!$B$3,""))</f>
        <v/>
      </c>
      <c r="CC183" s="161">
        <f>IF(O183="","",IFERROR(O183*HSCEI!$B$30*HSCEI!$G$30/HSCEI!$B$3,""))</f>
        <v/>
      </c>
      <c r="CD183" s="161">
        <f>IF(P183="","",IFERROR(P183*HSCEI!$B$30*HSCEI!$G$30/HSCEI!$B$3,""))</f>
        <v/>
      </c>
      <c r="CE183" s="161">
        <f>IF(Q183="","",IFERROR(Q183*HSCEI!$B$30*HSCEI!$G$30/HSCEI!$B$3,""))</f>
        <v/>
      </c>
      <c r="CF183" s="161">
        <f>IF(R183="","",IFERROR(R183*HSCEI!$B$30*HSCEI!$G$30/HSCEI!$B$3,""))</f>
        <v/>
      </c>
      <c r="CG183" s="161">
        <f>IF(S183="","",IFERROR(S183*HSCEI!$B$30*HSCEI!$G$30/HSCEI!$B$3,""))</f>
        <v/>
      </c>
      <c r="CH183" s="161">
        <f>IF(T183="","",IFERROR(T183*HSCEI!$B$30*HSCEI!$G$30/HSCEI!$B$3,""))</f>
        <v/>
      </c>
      <c r="CI183" s="161">
        <f>IF(U183="","",IFERROR(U183*HSCEI!$B$30*HSCEI!$G$30/HSCEI!$B$3,""))</f>
        <v/>
      </c>
      <c r="CJ183" s="161">
        <f>IF(V183="","",IFERROR(V183*HSCEI!$B$30*HSCEI!$G$30/HSCEI!$B$3,""))</f>
        <v/>
      </c>
      <c r="CK183" s="161">
        <f>IF(W183="","",IFERROR(W183*HSCEI!$B$30*HSCEI!$G$30/HSCEI!$B$3,""))</f>
        <v/>
      </c>
      <c r="CL183" s="161">
        <f>IF(X183="","",IFERROR(X183*HSCEI!$B$30*HSCEI!$G$30/HSCEI!$B$3,""))</f>
        <v/>
      </c>
      <c r="CM183" s="161">
        <f>IF(Y183="","",IFERROR(Y183*HSCEI!$B$30*HSCEI!$G$30/HSCEI!$B$3,""))</f>
        <v/>
      </c>
      <c r="CN183" s="161">
        <f>IF(Z183="","",IFERROR(Z183*HSCEI!$B$30*HSCEI!$G$30/HSCEI!$B$3,""))</f>
        <v/>
      </c>
      <c r="CO183" s="161">
        <f>IF(AA183="","",IFERROR(AA183*HSCEI!$B$30*HSCEI!$G$30/HSCEI!$B$3,""))</f>
        <v/>
      </c>
      <c r="CP183" s="161">
        <f>IF(AB183="","",IFERROR(AB183*HSCEI!$B$30*HSCEI!$G$30/HSCEI!$B$3,""))</f>
        <v/>
      </c>
      <c r="CQ183" s="161">
        <f>IF(AC183="","",IFERROR(AC183*HSCEI!$B$30*HSCEI!$G$30/HSCEI!$B$3,""))</f>
        <v/>
      </c>
      <c r="CR183" s="161">
        <f>IF(AD183="","",IFERROR(AD183*HSCEI!$B$30*HSCEI!$G$30/HSCEI!$B$3,""))</f>
        <v/>
      </c>
      <c r="CS183" s="161">
        <f>IF(AE183="","",IFERROR(AE183*HSCEI!$B$30*HSCEI!$G$30/HSCEI!$B$3,""))</f>
        <v/>
      </c>
      <c r="CT183" s="161">
        <f>IF(AF183="","",IFERROR(AF183*HSCEI!$B$30*HSCEI!$G$30/HSCEI!$B$3,""))</f>
        <v/>
      </c>
      <c r="CU183" s="161">
        <f>IF(AG183="","",IFERROR(AG183*HSCEI!$B$30*HSCEI!$G$30/HSCEI!$B$3,""))</f>
        <v/>
      </c>
      <c r="CV183" s="161">
        <f>IF(AH183="","",IFERROR(AH183*HSCEI!$B$30*HSCEI!$G$30/HSCEI!$B$3,""))</f>
        <v/>
      </c>
      <c r="CW183" s="161">
        <f>IF(AI183="","",IFERROR(AI183*HSCEI!$B$30*HSCEI!$G$30/HSCEI!$B$3,""))</f>
        <v/>
      </c>
      <c r="CX183" s="161">
        <f>IF(AJ183="","",IFERROR(AJ183*HSCEI!$B$30*HSCEI!$G$30/HSCEI!$B$3,""))</f>
        <v/>
      </c>
      <c r="CY183" s="161">
        <f>IF(AK183="","",IFERROR(AK183*HSCEI!$B$30*HSCEI!$G$30/HSCEI!$B$3,""))</f>
        <v/>
      </c>
      <c r="CZ183" s="161">
        <f>IF(AL183="","",IFERROR(AL183*HSCEI!$B$30*HSCEI!$G$30/HSCEI!$B$3,""))</f>
        <v/>
      </c>
      <c r="DA183" s="161">
        <f>IF(AM183="","",IFERROR(AM183*HSCEI!$B$30*HSCEI!$G$30/HSCEI!$B$3,""))</f>
        <v/>
      </c>
      <c r="DB183" s="161">
        <f>IF(AN183="","",IFERROR(AN183*HSCEI!$B$30*HSCEI!$G$30/HSCEI!$B$3,""))</f>
        <v/>
      </c>
      <c r="DC183" s="161">
        <f>IF(AO183="","",IFERROR(AO183*HSCEI!$B$30*HSCEI!$G$30/HSCEI!$B$3,""))</f>
        <v/>
      </c>
      <c r="DD183" s="161">
        <f>IF(AP183="","",IFERROR(AP183*HSCEI!$B$30*HSCEI!$G$30/HSCEI!$B$3,""))</f>
        <v/>
      </c>
      <c r="DE183" s="161">
        <f>IF(AQ183="","",IFERROR(AQ183*HSCEI!$B$30*HSCEI!$G$30/HSCEI!$B$3,""))</f>
        <v/>
      </c>
      <c r="DF183" s="161">
        <f>IF(AR183="","",IFERROR(AR183*HSCEI!$B$30*HSCEI!$G$30/HSCEI!$B$3,""))</f>
        <v/>
      </c>
      <c r="DG183" s="161">
        <f>IF(AS183="","",IFERROR(AS183*HSCEI!$B$30*HSCEI!$G$30/HSCEI!$B$3,""))</f>
        <v/>
      </c>
      <c r="DH183" s="161">
        <f>IF(AT183="","",IFERROR(AT183*HSCEI!$B$30*HSCEI!$G$30/HSCEI!$B$3,""))</f>
        <v/>
      </c>
      <c r="DI183" s="161">
        <f>IF(AU183="","",IFERROR(AU183*HSCEI!$B$30*HSCEI!$G$30/HSCEI!$B$3,""))</f>
        <v/>
      </c>
      <c r="DJ183" s="161">
        <f>IF(AV183="","",IFERROR(AV183*HSCEI!$B$30*HSCEI!$G$30/HSCEI!$B$3,""))</f>
        <v/>
      </c>
      <c r="DK183" s="161">
        <f>IF(AW183="","",IFERROR(AW183*HSCEI!$B$30*HSCEI!$G$30/HSCEI!$B$3,""))</f>
        <v/>
      </c>
      <c r="DL183" s="161">
        <f>IF(AX183="","",IFERROR(AX183*HSCEI!$B$30*HSCEI!$G$30/HSCEI!$B$3,""))</f>
        <v/>
      </c>
      <c r="DM183" s="161">
        <f>IF(AY183="","",IFERROR(AY183*HSCEI!$B$30*HSCEI!$G$30/HSCEI!$B$3,""))</f>
        <v/>
      </c>
      <c r="DN183" s="161">
        <f>IF(AZ183="","",IFERROR(AZ183*HSCEI!$B$30*HSCEI!$G$30/HSCEI!$B$3,""))</f>
        <v/>
      </c>
      <c r="DO183" s="161">
        <f>IF(BA183="","",IFERROR(BA183*HSCEI!$B$30*HSCEI!$G$30/HSCEI!$B$3,""))</f>
        <v/>
      </c>
      <c r="DP183" s="161">
        <f>IF(BB183="","",IFERROR(BB183*HSCEI!$B$30*HSCEI!$G$30/HSCEI!$B$3,""))</f>
        <v/>
      </c>
      <c r="DQ183" s="161">
        <f>IF(BC183="","",IFERROR(BC183*HSCEI!$B$30*HSCEI!$G$30/HSCEI!$B$3,""))</f>
        <v/>
      </c>
      <c r="DR183" s="161">
        <f>IF(BD183="","",IFERROR(BD183*HSCEI!$B$30*HSCEI!$G$30/HSCEI!$B$3,""))</f>
        <v/>
      </c>
      <c r="DS183" s="161">
        <f>IF(BE183="","",IFERROR(BE183*HSCEI!$B$30*HSCEI!$G$30/HSCEI!$B$3,""))</f>
        <v/>
      </c>
      <c r="DT183" s="161">
        <f>IF(BF183="","",IFERROR(BF183*HSCEI!$B$30*HSCEI!$G$30/HSCEI!$B$3,""))</f>
        <v/>
      </c>
      <c r="DU183" s="161">
        <f>IF(BG183="","",IFERROR(BG183*HSCEI!$B$30*HSCEI!$G$30/HSCEI!$B$3,""))</f>
        <v/>
      </c>
      <c r="DV183" s="161">
        <f>IF(BH183="","",IFERROR(BH183*HSCEI!$B$30*HSCEI!$G$30/HSCEI!$B$3,""))</f>
        <v/>
      </c>
      <c r="DW183" s="161">
        <f>IF(BI183="","",IFERROR(BI183*HSCEI!$B$30*HSCEI!$G$30/HSCEI!$B$3,""))</f>
        <v/>
      </c>
      <c r="DX183" s="161">
        <f>IF(BJ183="","",IFERROR(BJ183*HSCEI!$B$30*HSCEI!$G$30/HSCEI!$B$3,""))</f>
        <v/>
      </c>
      <c r="DY183" s="161">
        <f>IF(BK183="","",IFERROR(BK183*HSCEI!$B$30*HSCEI!$G$30/HSCEI!$B$3,""))</f>
        <v/>
      </c>
      <c r="DZ183" s="161">
        <f>IF(BL183="","",IFERROR(BL183*HSCEI!$B$30*HSCEI!$G$30/HSCEI!$B$3,""))</f>
        <v/>
      </c>
      <c r="EA183" s="161">
        <f>IF(BM183="","",IFERROR(BM183*HSCEI!$B$30*HSCEI!$G$30/HSCEI!$B$3,""))</f>
        <v/>
      </c>
      <c r="EB183" s="161">
        <f>IF(BN183="","",IFERROR(BN183*HSCEI!$B$30*HSCEI!$G$30/HSCEI!$B$3,""))</f>
        <v/>
      </c>
      <c r="EC183" s="161">
        <f>IF(BO183="","",IFERROR(BO183*HSCEI!$B$30*HSCEI!$G$30/HSCEI!$B$3,""))</f>
        <v/>
      </c>
      <c r="EE183" s="121">
        <f>IF(N('Dvd Calendar'!$E$1814)=0,"",IF(('Dvd Calendar'!$E$1814&gt;=GRID_FROM)*('Dvd Calendar'!$E$1814&lt;=GRID_TO)*((('Dvd Calendar'!$E$1814&lt;=VAL_DATE)+(COUNTIF('Dvd Calendar'!$E$1821:$AR$1821,'Dvd Calendar'!$E$1814)=0))&gt;0)=0,"",'Dvd Calendar'!$E$1814*1000000000+ISNUMBER('Dvd Calendar'!$E$1817)*100000000+('Dvd Calendar'!$E$1819=SPECIAL_LBL)*10000000+(N('Dvd Calendar'!$E$1813)&gt;0)*(N('Dvd Calendar'!$E$1813)&lt;=VAL_SERIAL)*1000000+24*1000+1))</f>
        <v/>
      </c>
      <c r="EF183" s="121">
        <f>IF(N('Dvd Calendar'!$F$1814)=0,"",IF(('Dvd Calendar'!$F$1814&gt;=GRID_FROM)*('Dvd Calendar'!$F$1814&lt;=GRID_TO)*((('Dvd Calendar'!$F$1814&lt;=VAL_DATE)+(COUNTIF('Dvd Calendar'!$E$1821:$AR$1821,'Dvd Calendar'!$F$1814)=0))&gt;0)=0,"",'Dvd Calendar'!$F$1814*1000000000+ISNUMBER('Dvd Calendar'!$F$1817)*100000000+('Dvd Calendar'!$F$1819=SPECIAL_LBL)*10000000+(N('Dvd Calendar'!$F$1813)&gt;0)*(N('Dvd Calendar'!$F$1813)&lt;=VAL_SERIAL)*1000000+24*1000+2))</f>
        <v/>
      </c>
      <c r="EG183" s="121">
        <f>IF(N('Dvd Calendar'!$G$1814)=0,"",IF(('Dvd Calendar'!$G$1814&gt;=GRID_FROM)*('Dvd Calendar'!$G$1814&lt;=GRID_TO)*((('Dvd Calendar'!$G$1814&lt;=VAL_DATE)+(COUNTIF('Dvd Calendar'!$E$1821:$AR$1821,'Dvd Calendar'!$G$1814)=0))&gt;0)=0,"",'Dvd Calendar'!$G$1814*1000000000+ISNUMBER('Dvd Calendar'!$G$1817)*100000000+('Dvd Calendar'!$G$1819=SPECIAL_LBL)*10000000+(N('Dvd Calendar'!$G$1813)&gt;0)*(N('Dvd Calendar'!$G$1813)&lt;=VAL_SERIAL)*1000000+24*1000+3))</f>
        <v/>
      </c>
      <c r="EH183" s="121">
        <f>IF(N('Dvd Calendar'!$H$1814)=0,"",IF(('Dvd Calendar'!$H$1814&gt;=GRID_FROM)*('Dvd Calendar'!$H$1814&lt;=GRID_TO)*((('Dvd Calendar'!$H$1814&lt;=VAL_DATE)+(COUNTIF('Dvd Calendar'!$E$1821:$AR$1821,'Dvd Calendar'!$H$1814)=0))&gt;0)=0,"",'Dvd Calendar'!$H$1814*1000000000+ISNUMBER('Dvd Calendar'!$H$1817)*100000000+('Dvd Calendar'!$H$1819=SPECIAL_LBL)*10000000+(N('Dvd Calendar'!$H$1813)&gt;0)*(N('Dvd Calendar'!$H$1813)&lt;=VAL_SERIAL)*1000000+24*1000+4))</f>
        <v/>
      </c>
      <c r="EI183" s="121">
        <f>IF(N('Dvd Calendar'!$I$1814)=0,"",IF(('Dvd Calendar'!$I$1814&gt;=GRID_FROM)*('Dvd Calendar'!$I$1814&lt;=GRID_TO)*((('Dvd Calendar'!$I$1814&lt;=VAL_DATE)+(COUNTIF('Dvd Calendar'!$E$1821:$AR$1821,'Dvd Calendar'!$I$1814)=0))&gt;0)=0,"",'Dvd Calendar'!$I$1814*1000000000+ISNUMBER('Dvd Calendar'!$I$1817)*100000000+('Dvd Calendar'!$I$1819=SPECIAL_LBL)*10000000+(N('Dvd Calendar'!$I$1813)&gt;0)*(N('Dvd Calendar'!$I$1813)&lt;=VAL_SERIAL)*1000000+24*1000+5))</f>
        <v/>
      </c>
      <c r="EJ183" s="121">
        <f>IF(N('Dvd Calendar'!$J$1814)=0,"",IF(('Dvd Calendar'!$J$1814&gt;=GRID_FROM)*('Dvd Calendar'!$J$1814&lt;=GRID_TO)*((('Dvd Calendar'!$J$1814&lt;=VAL_DATE)+(COUNTIF('Dvd Calendar'!$E$1821:$AR$1821,'Dvd Calendar'!$J$1814)=0))&gt;0)=0,"",'Dvd Calendar'!$J$1814*1000000000+ISNUMBER('Dvd Calendar'!$J$1817)*100000000+('Dvd Calendar'!$J$1819=SPECIAL_LBL)*10000000+(N('Dvd Calendar'!$J$1813)&gt;0)*(N('Dvd Calendar'!$J$1813)&lt;=VAL_SERIAL)*1000000+24*1000+6))</f>
        <v/>
      </c>
      <c r="EK183" s="121">
        <f>IF(N('Dvd Calendar'!$K$1814)=0,"",IF(('Dvd Calendar'!$K$1814&gt;=GRID_FROM)*('Dvd Calendar'!$K$1814&lt;=GRID_TO)*((('Dvd Calendar'!$K$1814&lt;=VAL_DATE)+(COUNTIF('Dvd Calendar'!$E$1821:$AR$1821,'Dvd Calendar'!$K$1814)=0))&gt;0)=0,"",'Dvd Calendar'!$K$1814*1000000000+ISNUMBER('Dvd Calendar'!$K$1817)*100000000+('Dvd Calendar'!$K$1819=SPECIAL_LBL)*10000000+(N('Dvd Calendar'!$K$1813)&gt;0)*(N('Dvd Calendar'!$K$1813)&lt;=VAL_SERIAL)*1000000+24*1000+7))</f>
        <v/>
      </c>
      <c r="EL183" s="121">
        <f>IF(N('Dvd Calendar'!$L$1814)=0,"",IF(('Dvd Calendar'!$L$1814&gt;=GRID_FROM)*('Dvd Calendar'!$L$1814&lt;=GRID_TO)*((('Dvd Calendar'!$L$1814&lt;=VAL_DATE)+(COUNTIF('Dvd Calendar'!$E$1821:$AR$1821,'Dvd Calendar'!$L$1814)=0))&gt;0)=0,"",'Dvd Calendar'!$L$1814*1000000000+ISNUMBER('Dvd Calendar'!$L$1817)*100000000+('Dvd Calendar'!$L$1819=SPECIAL_LBL)*10000000+(N('Dvd Calendar'!$L$1813)&gt;0)*(N('Dvd Calendar'!$L$1813)&lt;=VAL_SERIAL)*1000000+24*1000+8))</f>
        <v/>
      </c>
      <c r="EM183" s="121">
        <f>IF(N('Dvd Calendar'!$M$1814)=0,"",IF(('Dvd Calendar'!$M$1814&gt;=GRID_FROM)*('Dvd Calendar'!$M$1814&lt;=GRID_TO)*((('Dvd Calendar'!$M$1814&lt;=VAL_DATE)+(COUNTIF('Dvd Calendar'!$E$1821:$AR$1821,'Dvd Calendar'!$M$1814)=0))&gt;0)=0,"",'Dvd Calendar'!$M$1814*1000000000+ISNUMBER('Dvd Calendar'!$M$1817)*100000000+('Dvd Calendar'!$M$1819=SPECIAL_LBL)*10000000+(N('Dvd Calendar'!$M$1813)&gt;0)*(N('Dvd Calendar'!$M$1813)&lt;=VAL_SERIAL)*1000000+24*1000+9))</f>
        <v/>
      </c>
      <c r="EN183" s="121">
        <f>IF(N('Dvd Calendar'!$N$1814)=0,"",IF(('Dvd Calendar'!$N$1814&gt;=GRID_FROM)*('Dvd Calendar'!$N$1814&lt;=GRID_TO)*((('Dvd Calendar'!$N$1814&lt;=VAL_DATE)+(COUNTIF('Dvd Calendar'!$E$1821:$AR$1821,'Dvd Calendar'!$N$1814)=0))&gt;0)=0,"",'Dvd Calendar'!$N$1814*1000000000+ISNUMBER('Dvd Calendar'!$N$1817)*100000000+('Dvd Calendar'!$N$1819=SPECIAL_LBL)*10000000+(N('Dvd Calendar'!$N$1813)&gt;0)*(N('Dvd Calendar'!$N$1813)&lt;=VAL_SERIAL)*1000000+24*1000+10))</f>
        <v/>
      </c>
      <c r="EO183" s="121">
        <f>IF(N('Dvd Calendar'!$O$1814)=0,"",IF(('Dvd Calendar'!$O$1814&gt;=GRID_FROM)*('Dvd Calendar'!$O$1814&lt;=GRID_TO)*((('Dvd Calendar'!$O$1814&lt;=VAL_DATE)+(COUNTIF('Dvd Calendar'!$E$1821:$AR$1821,'Dvd Calendar'!$O$1814)=0))&gt;0)=0,"",'Dvd Calendar'!$O$1814*1000000000+ISNUMBER('Dvd Calendar'!$O$1817)*100000000+('Dvd Calendar'!$O$1819=SPECIAL_LBL)*10000000+(N('Dvd Calendar'!$O$1813)&gt;0)*(N('Dvd Calendar'!$O$1813)&lt;=VAL_SERIAL)*1000000+24*1000+11))</f>
        <v/>
      </c>
      <c r="EP183" s="121">
        <f>IF(N('Dvd Calendar'!$P$1814)=0,"",IF(('Dvd Calendar'!$P$1814&gt;=GRID_FROM)*('Dvd Calendar'!$P$1814&lt;=GRID_TO)*((('Dvd Calendar'!$P$1814&lt;=VAL_DATE)+(COUNTIF('Dvd Calendar'!$E$1821:$AR$1821,'Dvd Calendar'!$P$1814)=0))&gt;0)=0,"",'Dvd Calendar'!$P$1814*1000000000+ISNUMBER('Dvd Calendar'!$P$1817)*100000000+('Dvd Calendar'!$P$1819=SPECIAL_LBL)*10000000+(N('Dvd Calendar'!$P$1813)&gt;0)*(N('Dvd Calendar'!$P$1813)&lt;=VAL_SERIAL)*1000000+24*1000+12))</f>
        <v/>
      </c>
      <c r="EQ183" s="121">
        <f>IF(N('Dvd Calendar'!$Q$1814)=0,"",IF(('Dvd Calendar'!$Q$1814&gt;=GRID_FROM)*('Dvd Calendar'!$Q$1814&lt;=GRID_TO)*((('Dvd Calendar'!$Q$1814&lt;=VAL_DATE)+(COUNTIF('Dvd Calendar'!$E$1821:$AR$1821,'Dvd Calendar'!$Q$1814)=0))&gt;0)=0,"",'Dvd Calendar'!$Q$1814*1000000000+ISNUMBER('Dvd Calendar'!$Q$1817)*100000000+('Dvd Calendar'!$Q$1819=SPECIAL_LBL)*10000000+(N('Dvd Calendar'!$Q$1813)&gt;0)*(N('Dvd Calendar'!$Q$1813)&lt;=VAL_SERIAL)*1000000+24*1000+13))</f>
        <v/>
      </c>
      <c r="ER183" s="121">
        <f>IF(N('Dvd Calendar'!$R$1814)=0,"",IF(('Dvd Calendar'!$R$1814&gt;=GRID_FROM)*('Dvd Calendar'!$R$1814&lt;=GRID_TO)*((('Dvd Calendar'!$R$1814&lt;=VAL_DATE)+(COUNTIF('Dvd Calendar'!$E$1821:$AR$1821,'Dvd Calendar'!$R$1814)=0))&gt;0)=0,"",'Dvd Calendar'!$R$1814*1000000000+ISNUMBER('Dvd Calendar'!$R$1817)*100000000+('Dvd Calendar'!$R$1819=SPECIAL_LBL)*10000000+(N('Dvd Calendar'!$R$1813)&gt;0)*(N('Dvd Calendar'!$R$1813)&lt;=VAL_SERIAL)*1000000+24*1000+14))</f>
        <v/>
      </c>
      <c r="ES183" s="121">
        <f>IF(N('Dvd Calendar'!$S$1814)=0,"",IF(('Dvd Calendar'!$S$1814&gt;=GRID_FROM)*('Dvd Calendar'!$S$1814&lt;=GRID_TO)*((('Dvd Calendar'!$S$1814&lt;=VAL_DATE)+(COUNTIF('Dvd Calendar'!$E$1821:$AR$1821,'Dvd Calendar'!$S$1814)=0))&gt;0)=0,"",'Dvd Calendar'!$S$1814*1000000000+ISNUMBER('Dvd Calendar'!$S$1817)*100000000+('Dvd Calendar'!$S$1819=SPECIAL_LBL)*10000000+(N('Dvd Calendar'!$S$1813)&gt;0)*(N('Dvd Calendar'!$S$1813)&lt;=VAL_SERIAL)*1000000+24*1000+15))</f>
        <v/>
      </c>
      <c r="ET183" s="121">
        <f>IF(N('Dvd Calendar'!$T$1814)=0,"",IF(('Dvd Calendar'!$T$1814&gt;=GRID_FROM)*('Dvd Calendar'!$T$1814&lt;=GRID_TO)*((('Dvd Calendar'!$T$1814&lt;=VAL_DATE)+(COUNTIF('Dvd Calendar'!$E$1821:$AR$1821,'Dvd Calendar'!$T$1814)=0))&gt;0)=0,"",'Dvd Calendar'!$T$1814*1000000000+ISNUMBER('Dvd Calendar'!$T$1817)*100000000+('Dvd Calendar'!$T$1819=SPECIAL_LBL)*10000000+(N('Dvd Calendar'!$T$1813)&gt;0)*(N('Dvd Calendar'!$T$1813)&lt;=VAL_SERIAL)*1000000+24*1000+16))</f>
        <v/>
      </c>
      <c r="EU183" s="121">
        <f>IF(N('Dvd Calendar'!$U$1814)=0,"",IF(('Dvd Calendar'!$U$1814&gt;=GRID_FROM)*('Dvd Calendar'!$U$1814&lt;=GRID_TO)*((('Dvd Calendar'!$U$1814&lt;=VAL_DATE)+(COUNTIF('Dvd Calendar'!$E$1821:$AR$1821,'Dvd Calendar'!$U$1814)=0))&gt;0)=0,"",'Dvd Calendar'!$U$1814*1000000000+ISNUMBER('Dvd Calendar'!$U$1817)*100000000+('Dvd Calendar'!$U$1819=SPECIAL_LBL)*10000000+(N('Dvd Calendar'!$U$1813)&gt;0)*(N('Dvd Calendar'!$U$1813)&lt;=VAL_SERIAL)*1000000+24*1000+17))</f>
        <v/>
      </c>
      <c r="EV183" s="121">
        <f>IF(N('Dvd Calendar'!$V$1814)=0,"",IF(('Dvd Calendar'!$V$1814&gt;=GRID_FROM)*('Dvd Calendar'!$V$1814&lt;=GRID_TO)*((('Dvd Calendar'!$V$1814&lt;=VAL_DATE)+(COUNTIF('Dvd Calendar'!$E$1821:$AR$1821,'Dvd Calendar'!$V$1814)=0))&gt;0)=0,"",'Dvd Calendar'!$V$1814*1000000000+ISNUMBER('Dvd Calendar'!$V$1817)*100000000+('Dvd Calendar'!$V$1819=SPECIAL_LBL)*10000000+(N('Dvd Calendar'!$V$1813)&gt;0)*(N('Dvd Calendar'!$V$1813)&lt;=VAL_SERIAL)*1000000+24*1000+18))</f>
        <v/>
      </c>
      <c r="EW183" s="121">
        <f>IF(N('Dvd Calendar'!$W$1814)=0,"",IF(('Dvd Calendar'!$W$1814&gt;=GRID_FROM)*('Dvd Calendar'!$W$1814&lt;=GRID_TO)*((('Dvd Calendar'!$W$1814&lt;=VAL_DATE)+(COUNTIF('Dvd Calendar'!$E$1821:$AR$1821,'Dvd Calendar'!$W$1814)=0))&gt;0)=0,"",'Dvd Calendar'!$W$1814*1000000000+ISNUMBER('Dvd Calendar'!$W$1817)*100000000+('Dvd Calendar'!$W$1819=SPECIAL_LBL)*10000000+(N('Dvd Calendar'!$W$1813)&gt;0)*(N('Dvd Calendar'!$W$1813)&lt;=VAL_SERIAL)*1000000+24*1000+19))</f>
        <v/>
      </c>
      <c r="EX183" s="121">
        <f>IF(N('Dvd Calendar'!$X$1814)=0,"",IF(('Dvd Calendar'!$X$1814&gt;=GRID_FROM)*('Dvd Calendar'!$X$1814&lt;=GRID_TO)*((('Dvd Calendar'!$X$1814&lt;=VAL_DATE)+(COUNTIF('Dvd Calendar'!$E$1821:$AR$1821,'Dvd Calendar'!$X$1814)=0))&gt;0)=0,"",'Dvd Calendar'!$X$1814*1000000000+ISNUMBER('Dvd Calendar'!$X$1817)*100000000+('Dvd Calendar'!$X$1819=SPECIAL_LBL)*10000000+(N('Dvd Calendar'!$X$1813)&gt;0)*(N('Dvd Calendar'!$X$1813)&lt;=VAL_SERIAL)*1000000+24*1000+20))</f>
        <v/>
      </c>
      <c r="EY183" s="121">
        <f>IF(N('Dvd Calendar'!$Y$1814)=0,"",IF(('Dvd Calendar'!$Y$1814&gt;=GRID_FROM)*('Dvd Calendar'!$Y$1814&lt;=GRID_TO)*((('Dvd Calendar'!$Y$1814&lt;=VAL_DATE)+(COUNTIF('Dvd Calendar'!$E$1821:$AR$1821,'Dvd Calendar'!$Y$1814)=0))&gt;0)=0,"",'Dvd Calendar'!$Y$1814*1000000000+ISNUMBER('Dvd Calendar'!$Y$1817)*100000000+('Dvd Calendar'!$Y$1819=SPECIAL_LBL)*10000000+(N('Dvd Calendar'!$Y$1813)&gt;0)*(N('Dvd Calendar'!$Y$1813)&lt;=VAL_SERIAL)*1000000+24*1000+21))</f>
        <v/>
      </c>
      <c r="EZ183" s="121">
        <f>IF(N('Dvd Calendar'!$Z$1814)=0,"",IF(('Dvd Calendar'!$Z$1814&gt;=GRID_FROM)*('Dvd Calendar'!$Z$1814&lt;=GRID_TO)*((('Dvd Calendar'!$Z$1814&lt;=VAL_DATE)+(COUNTIF('Dvd Calendar'!$E$1821:$AR$1821,'Dvd Calendar'!$Z$1814)=0))&gt;0)=0,"",'Dvd Calendar'!$Z$1814*1000000000+ISNUMBER('Dvd Calendar'!$Z$1817)*100000000+('Dvd Calendar'!$Z$1819=SPECIAL_LBL)*10000000+(N('Dvd Calendar'!$Z$1813)&gt;0)*(N('Dvd Calendar'!$Z$1813)&lt;=VAL_SERIAL)*1000000+24*1000+22))</f>
        <v/>
      </c>
      <c r="FA183" s="121">
        <f>IF(N('Dvd Calendar'!$AA$1814)=0,"",IF(('Dvd Calendar'!$AA$1814&gt;=GRID_FROM)*('Dvd Calendar'!$AA$1814&lt;=GRID_TO)*((('Dvd Calendar'!$AA$1814&lt;=VAL_DATE)+(COUNTIF('Dvd Calendar'!$E$1821:$AR$1821,'Dvd Calendar'!$AA$1814)=0))&gt;0)=0,"",'Dvd Calendar'!$AA$1814*1000000000+ISNUMBER('Dvd Calendar'!$AA$1817)*100000000+('Dvd Calendar'!$AA$1819=SPECIAL_LBL)*10000000+(N('Dvd Calendar'!$AA$1813)&gt;0)*(N('Dvd Calendar'!$AA$1813)&lt;=VAL_SERIAL)*1000000+24*1000+23))</f>
        <v/>
      </c>
      <c r="FB183" s="121">
        <f>IF(N('Dvd Calendar'!$AB$1814)=0,"",IF(('Dvd Calendar'!$AB$1814&gt;=GRID_FROM)*('Dvd Calendar'!$AB$1814&lt;=GRID_TO)*((('Dvd Calendar'!$AB$1814&lt;=VAL_DATE)+(COUNTIF('Dvd Calendar'!$E$1821:$AR$1821,'Dvd Calendar'!$AB$1814)=0))&gt;0)=0,"",'Dvd Calendar'!$AB$1814*1000000000+ISNUMBER('Dvd Calendar'!$AB$1817)*100000000+('Dvd Calendar'!$AB$1819=SPECIAL_LBL)*10000000+(N('Dvd Calendar'!$AB$1813)&gt;0)*(N('Dvd Calendar'!$AB$1813)&lt;=VAL_SERIAL)*1000000+24*1000+24))</f>
        <v/>
      </c>
      <c r="FC183" s="121">
        <f>IF(N('Dvd Calendar'!$AC$1814)=0,"",IF(('Dvd Calendar'!$AC$1814&gt;=GRID_FROM)*('Dvd Calendar'!$AC$1814&lt;=GRID_TO)*((('Dvd Calendar'!$AC$1814&lt;=VAL_DATE)+(COUNTIF('Dvd Calendar'!$E$1821:$AR$1821,'Dvd Calendar'!$AC$1814)=0))&gt;0)=0,"",'Dvd Calendar'!$AC$1814*1000000000+ISNUMBER('Dvd Calendar'!$AC$1817)*100000000+('Dvd Calendar'!$AC$1819=SPECIAL_LBL)*10000000+(N('Dvd Calendar'!$AC$1813)&gt;0)*(N('Dvd Calendar'!$AC$1813)&lt;=VAL_SERIAL)*1000000+24*1000+25))</f>
        <v/>
      </c>
      <c r="FD183" s="121">
        <f>IF(N('Dvd Calendar'!$AD$1814)=0,"",IF(('Dvd Calendar'!$AD$1814&gt;=GRID_FROM)*('Dvd Calendar'!$AD$1814&lt;=GRID_TO)*((('Dvd Calendar'!$AD$1814&lt;=VAL_DATE)+(COUNTIF('Dvd Calendar'!$E$1821:$AR$1821,'Dvd Calendar'!$AD$1814)=0))&gt;0)=0,"",'Dvd Calendar'!$AD$1814*1000000000+ISNUMBER('Dvd Calendar'!$AD$1817)*100000000+('Dvd Calendar'!$AD$1819=SPECIAL_LBL)*10000000+(N('Dvd Calendar'!$AD$1813)&gt;0)*(N('Dvd Calendar'!$AD$1813)&lt;=VAL_SERIAL)*1000000+24*1000+26))</f>
        <v/>
      </c>
      <c r="FE183" s="121">
        <f>IF(N('Dvd Calendar'!$AE$1814)=0,"",IF(('Dvd Calendar'!$AE$1814&gt;=GRID_FROM)*('Dvd Calendar'!$AE$1814&lt;=GRID_TO)*((('Dvd Calendar'!$AE$1814&lt;=VAL_DATE)+(COUNTIF('Dvd Calendar'!$E$1821:$AR$1821,'Dvd Calendar'!$AE$1814)=0))&gt;0)=0,"",'Dvd Calendar'!$AE$1814*1000000000+ISNUMBER('Dvd Calendar'!$AE$1817)*100000000+('Dvd Calendar'!$AE$1819=SPECIAL_LBL)*10000000+(N('Dvd Calendar'!$AE$1813)&gt;0)*(N('Dvd Calendar'!$AE$1813)&lt;=VAL_SERIAL)*1000000+24*1000+27))</f>
        <v/>
      </c>
      <c r="FF183" s="121">
        <f>IF(N('Dvd Calendar'!$AF$1814)=0,"",IF(('Dvd Calendar'!$AF$1814&gt;=GRID_FROM)*('Dvd Calendar'!$AF$1814&lt;=GRID_TO)*((('Dvd Calendar'!$AF$1814&lt;=VAL_DATE)+(COUNTIF('Dvd Calendar'!$E$1821:$AR$1821,'Dvd Calendar'!$AF$1814)=0))&gt;0)=0,"",'Dvd Calendar'!$AF$1814*1000000000+ISNUMBER('Dvd Calendar'!$AF$1817)*100000000+('Dvd Calendar'!$AF$1819=SPECIAL_LBL)*10000000+(N('Dvd Calendar'!$AF$1813)&gt;0)*(N('Dvd Calendar'!$AF$1813)&lt;=VAL_SERIAL)*1000000+24*1000+28))</f>
        <v/>
      </c>
      <c r="FG183" s="121">
        <f>IF(N('Dvd Calendar'!$AG$1814)=0,"",IF(('Dvd Calendar'!$AG$1814&gt;=GRID_FROM)*('Dvd Calendar'!$AG$1814&lt;=GRID_TO)*((('Dvd Calendar'!$AG$1814&lt;=VAL_DATE)+(COUNTIF('Dvd Calendar'!$E$1821:$AR$1821,'Dvd Calendar'!$AG$1814)=0))&gt;0)=0,"",'Dvd Calendar'!$AG$1814*1000000000+ISNUMBER('Dvd Calendar'!$AG$1817)*100000000+('Dvd Calendar'!$AG$1819=SPECIAL_LBL)*10000000+(N('Dvd Calendar'!$AG$1813)&gt;0)*(N('Dvd Calendar'!$AG$1813)&lt;=VAL_SERIAL)*1000000+24*1000+29))</f>
        <v/>
      </c>
      <c r="FH183" s="121">
        <f>IF(N('Dvd Calendar'!$AH$1814)=0,"",IF(('Dvd Calendar'!$AH$1814&gt;=GRID_FROM)*('Dvd Calendar'!$AH$1814&lt;=GRID_TO)*((('Dvd Calendar'!$AH$1814&lt;=VAL_DATE)+(COUNTIF('Dvd Calendar'!$E$1821:$AR$1821,'Dvd Calendar'!$AH$1814)=0))&gt;0)=0,"",'Dvd Calendar'!$AH$1814*1000000000+ISNUMBER('Dvd Calendar'!$AH$1817)*100000000+('Dvd Calendar'!$AH$1819=SPECIAL_LBL)*10000000+(N('Dvd Calendar'!$AH$1813)&gt;0)*(N('Dvd Calendar'!$AH$1813)&lt;=VAL_SERIAL)*1000000+24*1000+30))</f>
        <v/>
      </c>
      <c r="FI183" s="121">
        <f>IF(N('Dvd Calendar'!$AI$1814)=0,"",IF(('Dvd Calendar'!$AI$1814&gt;=GRID_FROM)*('Dvd Calendar'!$AI$1814&lt;=GRID_TO)*((('Dvd Calendar'!$AI$1814&lt;=VAL_DATE)+(COUNTIF('Dvd Calendar'!$E$1821:$AR$1821,'Dvd Calendar'!$AI$1814)=0))&gt;0)=0,"",'Dvd Calendar'!$AI$1814*1000000000+ISNUMBER('Dvd Calendar'!$AI$1817)*100000000+('Dvd Calendar'!$AI$1819=SPECIAL_LBL)*10000000+(N('Dvd Calendar'!$AI$1813)&gt;0)*(N('Dvd Calendar'!$AI$1813)&lt;=VAL_SERIAL)*1000000+24*1000+31))</f>
        <v/>
      </c>
      <c r="FJ183" s="121">
        <f>IF(N('Dvd Calendar'!$AJ$1814)=0,"",IF(('Dvd Calendar'!$AJ$1814&gt;=GRID_FROM)*('Dvd Calendar'!$AJ$1814&lt;=GRID_TO)*((('Dvd Calendar'!$AJ$1814&lt;=VAL_DATE)+(COUNTIF('Dvd Calendar'!$E$1821:$AR$1821,'Dvd Calendar'!$AJ$1814)=0))&gt;0)=0,"",'Dvd Calendar'!$AJ$1814*1000000000+ISNUMBER('Dvd Calendar'!$AJ$1817)*100000000+('Dvd Calendar'!$AJ$1819=SPECIAL_LBL)*10000000+(N('Dvd Calendar'!$AJ$1813)&gt;0)*(N('Dvd Calendar'!$AJ$1813)&lt;=VAL_SERIAL)*1000000+24*1000+32))</f>
        <v/>
      </c>
      <c r="FK183" s="121">
        <f>IF(N('Dvd Calendar'!$AK$1814)=0,"",IF(('Dvd Calendar'!$AK$1814&gt;=GRID_FROM)*('Dvd Calendar'!$AK$1814&lt;=GRID_TO)*((('Dvd Calendar'!$AK$1814&lt;=VAL_DATE)+(COUNTIF('Dvd Calendar'!$E$1821:$AR$1821,'Dvd Calendar'!$AK$1814)=0))&gt;0)=0,"",'Dvd Calendar'!$AK$1814*1000000000+ISNUMBER('Dvd Calendar'!$AK$1817)*100000000+('Dvd Calendar'!$AK$1819=SPECIAL_LBL)*10000000+(N('Dvd Calendar'!$AK$1813)&gt;0)*(N('Dvd Calendar'!$AK$1813)&lt;=VAL_SERIAL)*1000000+24*1000+33))</f>
        <v/>
      </c>
      <c r="FL183" s="121">
        <f>IF(N('Dvd Calendar'!$AL$1814)=0,"",IF(('Dvd Calendar'!$AL$1814&gt;=GRID_FROM)*('Dvd Calendar'!$AL$1814&lt;=GRID_TO)*((('Dvd Calendar'!$AL$1814&lt;=VAL_DATE)+(COUNTIF('Dvd Calendar'!$E$1821:$AR$1821,'Dvd Calendar'!$AL$1814)=0))&gt;0)=0,"",'Dvd Calendar'!$AL$1814*1000000000+ISNUMBER('Dvd Calendar'!$AL$1817)*100000000+('Dvd Calendar'!$AL$1819=SPECIAL_LBL)*10000000+(N('Dvd Calendar'!$AL$1813)&gt;0)*(N('Dvd Calendar'!$AL$1813)&lt;=VAL_SERIAL)*1000000+24*1000+34))</f>
        <v/>
      </c>
      <c r="FM183" s="121">
        <f>IF(N('Dvd Calendar'!$AM$1814)=0,"",IF(('Dvd Calendar'!$AM$1814&gt;=GRID_FROM)*('Dvd Calendar'!$AM$1814&lt;=GRID_TO)*((('Dvd Calendar'!$AM$1814&lt;=VAL_DATE)+(COUNTIF('Dvd Calendar'!$E$1821:$AR$1821,'Dvd Calendar'!$AM$1814)=0))&gt;0)=0,"",'Dvd Calendar'!$AM$1814*1000000000+ISNUMBER('Dvd Calendar'!$AM$1817)*100000000+('Dvd Calendar'!$AM$1819=SPECIAL_LBL)*10000000+(N('Dvd Calendar'!$AM$1813)&gt;0)*(N('Dvd Calendar'!$AM$1813)&lt;=VAL_SERIAL)*1000000+24*1000+35))</f>
        <v/>
      </c>
      <c r="FN183" s="121">
        <f>IF(N('Dvd Calendar'!$AN$1814)=0,"",IF(('Dvd Calendar'!$AN$1814&gt;=GRID_FROM)*('Dvd Calendar'!$AN$1814&lt;=GRID_TO)*((('Dvd Calendar'!$AN$1814&lt;=VAL_DATE)+(COUNTIF('Dvd Calendar'!$E$1821:$AR$1821,'Dvd Calendar'!$AN$1814)=0))&gt;0)=0,"",'Dvd Calendar'!$AN$1814*1000000000+ISNUMBER('Dvd Calendar'!$AN$1817)*100000000+('Dvd Calendar'!$AN$1819=SPECIAL_LBL)*10000000+(N('Dvd Calendar'!$AN$1813)&gt;0)*(N('Dvd Calendar'!$AN$1813)&lt;=VAL_SERIAL)*1000000+24*1000+36))</f>
        <v/>
      </c>
      <c r="FO183" s="121">
        <f>IF(N('Dvd Calendar'!$AO$1814)=0,"",IF(('Dvd Calendar'!$AO$1814&gt;=GRID_FROM)*('Dvd Calendar'!$AO$1814&lt;=GRID_TO)*((('Dvd Calendar'!$AO$1814&lt;=VAL_DATE)+(COUNTIF('Dvd Calendar'!$E$1821:$AR$1821,'Dvd Calendar'!$AO$1814)=0))&gt;0)=0,"",'Dvd Calendar'!$AO$1814*1000000000+ISNUMBER('Dvd Calendar'!$AO$1817)*100000000+('Dvd Calendar'!$AO$1819=SPECIAL_LBL)*10000000+(N('Dvd Calendar'!$AO$1813)&gt;0)*(N('Dvd Calendar'!$AO$1813)&lt;=VAL_SERIAL)*1000000+24*1000+37))</f>
        <v/>
      </c>
      <c r="FP183" s="121">
        <f>IF(N('Dvd Calendar'!$AP$1814)=0,"",IF(('Dvd Calendar'!$AP$1814&gt;=GRID_FROM)*('Dvd Calendar'!$AP$1814&lt;=GRID_TO)*((('Dvd Calendar'!$AP$1814&lt;=VAL_DATE)+(COUNTIF('Dvd Calendar'!$E$1821:$AR$1821,'Dvd Calendar'!$AP$1814)=0))&gt;0)=0,"",'Dvd Calendar'!$AP$1814*1000000000+ISNUMBER('Dvd Calendar'!$AP$1817)*100000000+('Dvd Calendar'!$AP$1819=SPECIAL_LBL)*10000000+(N('Dvd Calendar'!$AP$1813)&gt;0)*(N('Dvd Calendar'!$AP$1813)&lt;=VAL_SERIAL)*1000000+24*1000+38))</f>
        <v/>
      </c>
      <c r="FQ183" s="121">
        <f>IF(N('Dvd Calendar'!$AQ$1814)=0,"",IF(('Dvd Calendar'!$AQ$1814&gt;=GRID_FROM)*('Dvd Calendar'!$AQ$1814&lt;=GRID_TO)*((('Dvd Calendar'!$AQ$1814&lt;=VAL_DATE)+(COUNTIF('Dvd Calendar'!$E$1821:$AR$1821,'Dvd Calendar'!$AQ$1814)=0))&gt;0)=0,"",'Dvd Calendar'!$AQ$1814*1000000000+ISNUMBER('Dvd Calendar'!$AQ$1817)*100000000+('Dvd Calendar'!$AQ$1819=SPECIAL_LBL)*10000000+(N('Dvd Calendar'!$AQ$1813)&gt;0)*(N('Dvd Calendar'!$AQ$1813)&lt;=VAL_SERIAL)*1000000+24*1000+39))</f>
        <v/>
      </c>
      <c r="FR183" s="121">
        <f>IF(N('Dvd Calendar'!$AR$1814)=0,"",IF(('Dvd Calendar'!$AR$1814&gt;=GRID_FROM)*('Dvd Calendar'!$AR$1814&lt;=GRID_TO)*((('Dvd Calendar'!$AR$1814&lt;=VAL_DATE)+(COUNTIF('Dvd Calendar'!$E$1821:$AR$1821,'Dvd Calendar'!$AR$1814)=0))&gt;0)=0,"",'Dvd Calendar'!$AR$1814*1000000000+ISNUMBER('Dvd Calendar'!$AR$1817)*100000000+('Dvd Calendar'!$AR$1819=SPECIAL_LBL)*10000000+(N('Dvd Calendar'!$AR$1813)&gt;0)*(N('Dvd Calendar'!$AR$1813)&lt;=VAL_SERIAL)*1000000+24*1000+40))</f>
        <v/>
      </c>
      <c r="FS183" s="121">
        <f>IF(N('Dvd Calendar'!$E$1821)=0,"",IF(('Dvd Calendar'!$E$1821&gt;=GRID_FROM)*('Dvd Calendar'!$E$1821&lt;=GRID_TO)*('Dvd Calendar'!$E$1821&gt;VAL_DATE)=0,"",'Dvd Calendar'!$E$1821*1000000000+ISNUMBER('Dvd Calendar'!$E$1822)*100000000+0*10000000+(N('Dvd Calendar'!$E$1820)&gt;0)*(N('Dvd Calendar'!$E$1820)&lt;=VAL_SERIAL)*1000000+24*1000+41))</f>
        <v/>
      </c>
      <c r="FT183" s="121">
        <f>IF(N('Dvd Calendar'!$F$1821)=0,"",IF(('Dvd Calendar'!$F$1821&gt;=GRID_FROM)*('Dvd Calendar'!$F$1821&lt;=GRID_TO)*('Dvd Calendar'!$F$1821&gt;VAL_DATE)=0,"",'Dvd Calendar'!$F$1821*1000000000+ISNUMBER('Dvd Calendar'!$F$1822)*100000000+0*10000000+(N('Dvd Calendar'!$F$1820)&gt;0)*(N('Dvd Calendar'!$F$1820)&lt;=VAL_SERIAL)*1000000+24*1000+42))</f>
        <v/>
      </c>
      <c r="FU183" s="121">
        <f>IF(N('Dvd Calendar'!$G$1821)=0,"",IF(('Dvd Calendar'!$G$1821&gt;=GRID_FROM)*('Dvd Calendar'!$G$1821&lt;=GRID_TO)*('Dvd Calendar'!$G$1821&gt;VAL_DATE)=0,"",'Dvd Calendar'!$G$1821*1000000000+ISNUMBER('Dvd Calendar'!$G$1822)*100000000+0*10000000+(N('Dvd Calendar'!$G$1820)&gt;0)*(N('Dvd Calendar'!$G$1820)&lt;=VAL_SERIAL)*1000000+24*1000+43))</f>
        <v/>
      </c>
      <c r="FV183" s="121">
        <f>IF(N('Dvd Calendar'!$H$1821)=0,"",IF(('Dvd Calendar'!$H$1821&gt;=GRID_FROM)*('Dvd Calendar'!$H$1821&lt;=GRID_TO)*('Dvd Calendar'!$H$1821&gt;VAL_DATE)=0,"",'Dvd Calendar'!$H$1821*1000000000+ISNUMBER('Dvd Calendar'!$H$1822)*100000000+0*10000000+(N('Dvd Calendar'!$H$1820)&gt;0)*(N('Dvd Calendar'!$H$1820)&lt;=VAL_SERIAL)*1000000+24*1000+44))</f>
        <v/>
      </c>
      <c r="FW183" s="121">
        <f>IF(N('Dvd Calendar'!$I$1821)=0,"",IF(('Dvd Calendar'!$I$1821&gt;=GRID_FROM)*('Dvd Calendar'!$I$1821&lt;=GRID_TO)*('Dvd Calendar'!$I$1821&gt;VAL_DATE)=0,"",'Dvd Calendar'!$I$1821*1000000000+ISNUMBER('Dvd Calendar'!$I$1822)*100000000+0*10000000+(N('Dvd Calendar'!$I$1820)&gt;0)*(N('Dvd Calendar'!$I$1820)&lt;=VAL_SERIAL)*1000000+24*1000+45))</f>
        <v/>
      </c>
      <c r="FX183" s="121">
        <f>IF(N('Dvd Calendar'!$J$1821)=0,"",IF(('Dvd Calendar'!$J$1821&gt;=GRID_FROM)*('Dvd Calendar'!$J$1821&lt;=GRID_TO)*('Dvd Calendar'!$J$1821&gt;VAL_DATE)=0,"",'Dvd Calendar'!$J$1821*1000000000+ISNUMBER('Dvd Calendar'!$J$1822)*100000000+0*10000000+(N('Dvd Calendar'!$J$1820)&gt;0)*(N('Dvd Calendar'!$J$1820)&lt;=VAL_SERIAL)*1000000+24*1000+46))</f>
        <v/>
      </c>
      <c r="FY183" s="121">
        <f>IF(N('Dvd Calendar'!$K$1821)=0,"",IF(('Dvd Calendar'!$K$1821&gt;=GRID_FROM)*('Dvd Calendar'!$K$1821&lt;=GRID_TO)*('Dvd Calendar'!$K$1821&gt;VAL_DATE)=0,"",'Dvd Calendar'!$K$1821*1000000000+ISNUMBER('Dvd Calendar'!$K$1822)*100000000+0*10000000+(N('Dvd Calendar'!$K$1820)&gt;0)*(N('Dvd Calendar'!$K$1820)&lt;=VAL_SERIAL)*1000000+24*1000+47))</f>
        <v/>
      </c>
      <c r="FZ183" s="121">
        <f>IF(N('Dvd Calendar'!$L$1821)=0,"",IF(('Dvd Calendar'!$L$1821&gt;=GRID_FROM)*('Dvd Calendar'!$L$1821&lt;=GRID_TO)*('Dvd Calendar'!$L$1821&gt;VAL_DATE)=0,"",'Dvd Calendar'!$L$1821*1000000000+ISNUMBER('Dvd Calendar'!$L$1822)*100000000+0*10000000+(N('Dvd Calendar'!$L$1820)&gt;0)*(N('Dvd Calendar'!$L$1820)&lt;=VAL_SERIAL)*1000000+24*1000+48))</f>
        <v/>
      </c>
      <c r="GA183" s="121">
        <f>IF(N('Dvd Calendar'!$M$1821)=0,"",IF(('Dvd Calendar'!$M$1821&gt;=GRID_FROM)*('Dvd Calendar'!$M$1821&lt;=GRID_TO)*('Dvd Calendar'!$M$1821&gt;VAL_DATE)=0,"",'Dvd Calendar'!$M$1821*1000000000+ISNUMBER('Dvd Calendar'!$M$1822)*100000000+0*10000000+(N('Dvd Calendar'!$M$1820)&gt;0)*(N('Dvd Calendar'!$M$1820)&lt;=VAL_SERIAL)*1000000+24*1000+49))</f>
        <v/>
      </c>
      <c r="GB183" s="121">
        <f>IF(N('Dvd Calendar'!$N$1821)=0,"",IF(('Dvd Calendar'!$N$1821&gt;=GRID_FROM)*('Dvd Calendar'!$N$1821&lt;=GRID_TO)*('Dvd Calendar'!$N$1821&gt;VAL_DATE)=0,"",'Dvd Calendar'!$N$1821*1000000000+ISNUMBER('Dvd Calendar'!$N$1822)*100000000+0*10000000+(N('Dvd Calendar'!$N$1820)&gt;0)*(N('Dvd Calendar'!$N$1820)&lt;=VAL_SERIAL)*1000000+24*1000+50))</f>
        <v/>
      </c>
      <c r="GC183" s="121">
        <f>IF(N('Dvd Calendar'!$O$1821)=0,"",IF(('Dvd Calendar'!$O$1821&gt;=GRID_FROM)*('Dvd Calendar'!$O$1821&lt;=GRID_TO)*('Dvd Calendar'!$O$1821&gt;VAL_DATE)=0,"",'Dvd Calendar'!$O$1821*1000000000+ISNUMBER('Dvd Calendar'!$O$1822)*100000000+0*10000000+(N('Dvd Calendar'!$O$1820)&gt;0)*(N('Dvd Calendar'!$O$1820)&lt;=VAL_SERIAL)*1000000+24*1000+51))</f>
        <v/>
      </c>
      <c r="GD183" s="121">
        <f>IF(N('Dvd Calendar'!$P$1821)=0,"",IF(('Dvd Calendar'!$P$1821&gt;=GRID_FROM)*('Dvd Calendar'!$P$1821&lt;=GRID_TO)*('Dvd Calendar'!$P$1821&gt;VAL_DATE)=0,"",'Dvd Calendar'!$P$1821*1000000000+ISNUMBER('Dvd Calendar'!$P$1822)*100000000+0*10000000+(N('Dvd Calendar'!$P$1820)&gt;0)*(N('Dvd Calendar'!$P$1820)&lt;=VAL_SERIAL)*1000000+24*1000+52))</f>
        <v/>
      </c>
      <c r="GE183" s="121">
        <f>IF(N('Dvd Calendar'!$Q$1821)=0,"",IF(('Dvd Calendar'!$Q$1821&gt;=GRID_FROM)*('Dvd Calendar'!$Q$1821&lt;=GRID_TO)*('Dvd Calendar'!$Q$1821&gt;VAL_DATE)=0,"",'Dvd Calendar'!$Q$1821*1000000000+ISNUMBER('Dvd Calendar'!$Q$1822)*100000000+0*10000000+(N('Dvd Calendar'!$Q$1820)&gt;0)*(N('Dvd Calendar'!$Q$1820)&lt;=VAL_SERIAL)*1000000+24*1000+53))</f>
        <v/>
      </c>
      <c r="GF183" s="121">
        <f>IF(N('Dvd Calendar'!$R$1821)=0,"",IF(('Dvd Calendar'!$R$1821&gt;=GRID_FROM)*('Dvd Calendar'!$R$1821&lt;=GRID_TO)*('Dvd Calendar'!$R$1821&gt;VAL_DATE)=0,"",'Dvd Calendar'!$R$1821*1000000000+ISNUMBER('Dvd Calendar'!$R$1822)*100000000+0*10000000+(N('Dvd Calendar'!$R$1820)&gt;0)*(N('Dvd Calendar'!$R$1820)&lt;=VAL_SERIAL)*1000000+24*1000+54))</f>
        <v/>
      </c>
      <c r="GG183" s="121">
        <f>IF(N('Dvd Calendar'!$S$1821)=0,"",IF(('Dvd Calendar'!$S$1821&gt;=GRID_FROM)*('Dvd Calendar'!$S$1821&lt;=GRID_TO)*('Dvd Calendar'!$S$1821&gt;VAL_DATE)=0,"",'Dvd Calendar'!$S$1821*1000000000+ISNUMBER('Dvd Calendar'!$S$1822)*100000000+0*10000000+(N('Dvd Calendar'!$S$1820)&gt;0)*(N('Dvd Calendar'!$S$1820)&lt;=VAL_SERIAL)*1000000+24*1000+55))</f>
        <v/>
      </c>
      <c r="GH183" s="121">
        <f>IF(N('Dvd Calendar'!$T$1821)=0,"",IF(('Dvd Calendar'!$T$1821&gt;=GRID_FROM)*('Dvd Calendar'!$T$1821&lt;=GRID_TO)*('Dvd Calendar'!$T$1821&gt;VAL_DATE)=0,"",'Dvd Calendar'!$T$1821*1000000000+ISNUMBER('Dvd Calendar'!$T$1822)*100000000+0*10000000+(N('Dvd Calendar'!$T$1820)&gt;0)*(N('Dvd Calendar'!$T$1820)&lt;=VAL_SERIAL)*1000000+24*1000+56))</f>
        <v/>
      </c>
      <c r="GI183" s="121">
        <f>IF(N('Dvd Calendar'!$U$1821)=0,"",IF(('Dvd Calendar'!$U$1821&gt;=GRID_FROM)*('Dvd Calendar'!$U$1821&lt;=GRID_TO)*('Dvd Calendar'!$U$1821&gt;VAL_DATE)=0,"",'Dvd Calendar'!$U$1821*1000000000+ISNUMBER('Dvd Calendar'!$U$1822)*100000000+0*10000000+(N('Dvd Calendar'!$U$1820)&gt;0)*(N('Dvd Calendar'!$U$1820)&lt;=VAL_SERIAL)*1000000+24*1000+57))</f>
        <v/>
      </c>
      <c r="GJ183" s="121">
        <f>IF(N('Dvd Calendar'!$V$1821)=0,"",IF(('Dvd Calendar'!$V$1821&gt;=GRID_FROM)*('Dvd Calendar'!$V$1821&lt;=GRID_TO)*('Dvd Calendar'!$V$1821&gt;VAL_DATE)=0,"",'Dvd Calendar'!$V$1821*1000000000+ISNUMBER('Dvd Calendar'!$V$1822)*100000000+0*10000000+(N('Dvd Calendar'!$V$1820)&gt;0)*(N('Dvd Calendar'!$V$1820)&lt;=VAL_SERIAL)*1000000+24*1000+58))</f>
        <v/>
      </c>
      <c r="GK183" s="121">
        <f>IF(N('Dvd Calendar'!$W$1821)=0,"",IF(('Dvd Calendar'!$W$1821&gt;=GRID_FROM)*('Dvd Calendar'!$W$1821&lt;=GRID_TO)*('Dvd Calendar'!$W$1821&gt;VAL_DATE)=0,"",'Dvd Calendar'!$W$1821*1000000000+ISNUMBER('Dvd Calendar'!$W$1822)*100000000+0*10000000+(N('Dvd Calendar'!$W$1820)&gt;0)*(N('Dvd Calendar'!$W$1820)&lt;=VAL_SERIAL)*1000000+24*1000+59))</f>
        <v/>
      </c>
      <c r="GL183" s="121">
        <f>IF(N('Dvd Calendar'!$X$1821)=0,"",IF(('Dvd Calendar'!$X$1821&gt;=GRID_FROM)*('Dvd Calendar'!$X$1821&lt;=GRID_TO)*('Dvd Calendar'!$X$1821&gt;VAL_DATE)=0,"",'Dvd Calendar'!$X$1821*1000000000+ISNUMBER('Dvd Calendar'!$X$1822)*100000000+0*10000000+(N('Dvd Calendar'!$X$1820)&gt;0)*(N('Dvd Calendar'!$X$1820)&lt;=VAL_SERIAL)*1000000+24*1000+60))</f>
        <v/>
      </c>
      <c r="GM183" s="121">
        <f>IF(N('Dvd Calendar'!$Y$1821)=0,"",IF(('Dvd Calendar'!$Y$1821&gt;=GRID_FROM)*('Dvd Calendar'!$Y$1821&lt;=GRID_TO)*('Dvd Calendar'!$Y$1821&gt;VAL_DATE)=0,"",'Dvd Calendar'!$Y$1821*1000000000+ISNUMBER('Dvd Calendar'!$Y$1822)*100000000+0*10000000+(N('Dvd Calendar'!$Y$1820)&gt;0)*(N('Dvd Calendar'!$Y$1820)&lt;=VAL_SERIAL)*1000000+24*1000+61))</f>
        <v/>
      </c>
      <c r="GN183" s="121">
        <f>IF(N('Dvd Calendar'!$Z$1821)=0,"",IF(('Dvd Calendar'!$Z$1821&gt;=GRID_FROM)*('Dvd Calendar'!$Z$1821&lt;=GRID_TO)*('Dvd Calendar'!$Z$1821&gt;VAL_DATE)=0,"",'Dvd Calendar'!$Z$1821*1000000000+ISNUMBER('Dvd Calendar'!$Z$1822)*100000000+0*10000000+(N('Dvd Calendar'!$Z$1820)&gt;0)*(N('Dvd Calendar'!$Z$1820)&lt;=VAL_SERIAL)*1000000+24*1000+62))</f>
        <v/>
      </c>
      <c r="GO183" s="121">
        <f>IF(N('Dvd Calendar'!$AA$1821)=0,"",IF(('Dvd Calendar'!$AA$1821&gt;=GRID_FROM)*('Dvd Calendar'!$AA$1821&lt;=GRID_TO)*('Dvd Calendar'!$AA$1821&gt;VAL_DATE)=0,"",'Dvd Calendar'!$AA$1821*1000000000+ISNUMBER('Dvd Calendar'!$AA$1822)*100000000+0*10000000+(N('Dvd Calendar'!$AA$1820)&gt;0)*(N('Dvd Calendar'!$AA$1820)&lt;=VAL_SERIAL)*1000000+24*1000+63))</f>
        <v/>
      </c>
      <c r="GP183" s="121">
        <f>IF(N('Dvd Calendar'!$AB$1821)=0,"",IF(('Dvd Calendar'!$AB$1821&gt;=GRID_FROM)*('Dvd Calendar'!$AB$1821&lt;=GRID_TO)*('Dvd Calendar'!$AB$1821&gt;VAL_DATE)=0,"",'Dvd Calendar'!$AB$1821*1000000000+ISNUMBER('Dvd Calendar'!$AB$1822)*100000000+0*10000000+(N('Dvd Calendar'!$AB$1820)&gt;0)*(N('Dvd Calendar'!$AB$1820)&lt;=VAL_SERIAL)*1000000+24*1000+64))</f>
        <v/>
      </c>
      <c r="GQ183" s="121">
        <f>IF(N('Dvd Calendar'!$AC$1821)=0,"",IF(('Dvd Calendar'!$AC$1821&gt;=GRID_FROM)*('Dvd Calendar'!$AC$1821&lt;=GRID_TO)*('Dvd Calendar'!$AC$1821&gt;VAL_DATE)=0,"",'Dvd Calendar'!$AC$1821*1000000000+ISNUMBER('Dvd Calendar'!$AC$1822)*100000000+0*10000000+(N('Dvd Calendar'!$AC$1820)&gt;0)*(N('Dvd Calendar'!$AC$1820)&lt;=VAL_SERIAL)*1000000+24*1000+65))</f>
        <v/>
      </c>
    </row>
    <row r="184">
      <c r="B184" s="2">
        <f>IF(HSCEI!$C$31="","",HSCEI!$C$31)</f>
        <v/>
      </c>
      <c r="C184" s="161">
        <f>IF(EE184="","",IF(ISNUMBER('Dvd Calendar'!$E$1828)=FALSE,"",IF((('Dvd Calendar'!$E$1830=TYPE1)*(TYPE1&lt;&gt;"")+('Dvd Calendar'!$E$1830=TYPE2)*(TYPE2&lt;&gt;"")+('Dvd Calendar'!$E$1830=TYPE3)*(TYPE3&lt;&gt;"")+('Dvd Calendar'!$E$1830=TYPE4)*(TYPE4&lt;&gt;"")+('Dvd Calendar'!$E$1830=SPECIAL_LBL)*(INC_SPECIALS="Y"))=0,"",'Dvd Calendar'!$E$1828)))</f>
        <v/>
      </c>
      <c r="D184" s="161">
        <f>IF(EF184="","",IF(ISNUMBER('Dvd Calendar'!$F$1828)=FALSE,"",IF((('Dvd Calendar'!$F$1830=TYPE1)*(TYPE1&lt;&gt;"")+('Dvd Calendar'!$F$1830=TYPE2)*(TYPE2&lt;&gt;"")+('Dvd Calendar'!$F$1830=TYPE3)*(TYPE3&lt;&gt;"")+('Dvd Calendar'!$F$1830=TYPE4)*(TYPE4&lt;&gt;"")+('Dvd Calendar'!$F$1830=SPECIAL_LBL)*(INC_SPECIALS="Y"))=0,"",'Dvd Calendar'!$F$1828)))</f>
        <v/>
      </c>
      <c r="E184" s="161">
        <f>IF(EG184="","",IF(ISNUMBER('Dvd Calendar'!$G$1828)=FALSE,"",IF((('Dvd Calendar'!$G$1830=TYPE1)*(TYPE1&lt;&gt;"")+('Dvd Calendar'!$G$1830=TYPE2)*(TYPE2&lt;&gt;"")+('Dvd Calendar'!$G$1830=TYPE3)*(TYPE3&lt;&gt;"")+('Dvd Calendar'!$G$1830=TYPE4)*(TYPE4&lt;&gt;"")+('Dvd Calendar'!$G$1830=SPECIAL_LBL)*(INC_SPECIALS="Y"))=0,"",'Dvd Calendar'!$G$1828)))</f>
        <v/>
      </c>
      <c r="F184" s="161">
        <f>IF(EH184="","",IF(ISNUMBER('Dvd Calendar'!$H$1828)=FALSE,"",IF((('Dvd Calendar'!$H$1830=TYPE1)*(TYPE1&lt;&gt;"")+('Dvd Calendar'!$H$1830=TYPE2)*(TYPE2&lt;&gt;"")+('Dvd Calendar'!$H$1830=TYPE3)*(TYPE3&lt;&gt;"")+('Dvd Calendar'!$H$1830=TYPE4)*(TYPE4&lt;&gt;"")+('Dvd Calendar'!$H$1830=SPECIAL_LBL)*(INC_SPECIALS="Y"))=0,"",'Dvd Calendar'!$H$1828)))</f>
        <v/>
      </c>
      <c r="G184" s="161">
        <f>IF(EI184="","",IF(ISNUMBER('Dvd Calendar'!$I$1828)=FALSE,"",IF((('Dvd Calendar'!$I$1830=TYPE1)*(TYPE1&lt;&gt;"")+('Dvd Calendar'!$I$1830=TYPE2)*(TYPE2&lt;&gt;"")+('Dvd Calendar'!$I$1830=TYPE3)*(TYPE3&lt;&gt;"")+('Dvd Calendar'!$I$1830=TYPE4)*(TYPE4&lt;&gt;"")+('Dvd Calendar'!$I$1830=SPECIAL_LBL)*(INC_SPECIALS="Y"))=0,"",'Dvd Calendar'!$I$1828)))</f>
        <v/>
      </c>
      <c r="H184" s="161">
        <f>IF(EJ184="","",IF(ISNUMBER('Dvd Calendar'!$J$1828)=FALSE,"",IF((('Dvd Calendar'!$J$1830=TYPE1)*(TYPE1&lt;&gt;"")+('Dvd Calendar'!$J$1830=TYPE2)*(TYPE2&lt;&gt;"")+('Dvd Calendar'!$J$1830=TYPE3)*(TYPE3&lt;&gt;"")+('Dvd Calendar'!$J$1830=TYPE4)*(TYPE4&lt;&gt;"")+('Dvd Calendar'!$J$1830=SPECIAL_LBL)*(INC_SPECIALS="Y"))=0,"",'Dvd Calendar'!$J$1828)))</f>
        <v/>
      </c>
      <c r="I184" s="161">
        <f>IF(EK184="","",IF(ISNUMBER('Dvd Calendar'!$K$1828)=FALSE,"",IF((('Dvd Calendar'!$K$1830=TYPE1)*(TYPE1&lt;&gt;"")+('Dvd Calendar'!$K$1830=TYPE2)*(TYPE2&lt;&gt;"")+('Dvd Calendar'!$K$1830=TYPE3)*(TYPE3&lt;&gt;"")+('Dvd Calendar'!$K$1830=TYPE4)*(TYPE4&lt;&gt;"")+('Dvd Calendar'!$K$1830=SPECIAL_LBL)*(INC_SPECIALS="Y"))=0,"",'Dvd Calendar'!$K$1828)))</f>
        <v/>
      </c>
      <c r="J184" s="161">
        <f>IF(EL184="","",IF(ISNUMBER('Dvd Calendar'!$L$1828)=FALSE,"",IF((('Dvd Calendar'!$L$1830=TYPE1)*(TYPE1&lt;&gt;"")+('Dvd Calendar'!$L$1830=TYPE2)*(TYPE2&lt;&gt;"")+('Dvd Calendar'!$L$1830=TYPE3)*(TYPE3&lt;&gt;"")+('Dvd Calendar'!$L$1830=TYPE4)*(TYPE4&lt;&gt;"")+('Dvd Calendar'!$L$1830=SPECIAL_LBL)*(INC_SPECIALS="Y"))=0,"",'Dvd Calendar'!$L$1828)))</f>
        <v/>
      </c>
      <c r="K184" s="161">
        <f>IF(EM184="","",IF(ISNUMBER('Dvd Calendar'!$M$1828)=FALSE,"",IF((('Dvd Calendar'!$M$1830=TYPE1)*(TYPE1&lt;&gt;"")+('Dvd Calendar'!$M$1830=TYPE2)*(TYPE2&lt;&gt;"")+('Dvd Calendar'!$M$1830=TYPE3)*(TYPE3&lt;&gt;"")+('Dvd Calendar'!$M$1830=TYPE4)*(TYPE4&lt;&gt;"")+('Dvd Calendar'!$M$1830=SPECIAL_LBL)*(INC_SPECIALS="Y"))=0,"",'Dvd Calendar'!$M$1828)))</f>
        <v/>
      </c>
      <c r="L184" s="161">
        <f>IF(EN184="","",IF(ISNUMBER('Dvd Calendar'!$N$1828)=FALSE,"",IF((('Dvd Calendar'!$N$1830=TYPE1)*(TYPE1&lt;&gt;"")+('Dvd Calendar'!$N$1830=TYPE2)*(TYPE2&lt;&gt;"")+('Dvd Calendar'!$N$1830=TYPE3)*(TYPE3&lt;&gt;"")+('Dvd Calendar'!$N$1830=TYPE4)*(TYPE4&lt;&gt;"")+('Dvd Calendar'!$N$1830=SPECIAL_LBL)*(INC_SPECIALS="Y"))=0,"",'Dvd Calendar'!$N$1828)))</f>
        <v/>
      </c>
      <c r="M184" s="161">
        <f>IF(EO184="","",IF(ISNUMBER('Dvd Calendar'!$O$1828)=FALSE,"",IF((('Dvd Calendar'!$O$1830=TYPE1)*(TYPE1&lt;&gt;"")+('Dvd Calendar'!$O$1830=TYPE2)*(TYPE2&lt;&gt;"")+('Dvd Calendar'!$O$1830=TYPE3)*(TYPE3&lt;&gt;"")+('Dvd Calendar'!$O$1830=TYPE4)*(TYPE4&lt;&gt;"")+('Dvd Calendar'!$O$1830=SPECIAL_LBL)*(INC_SPECIALS="Y"))=0,"",'Dvd Calendar'!$O$1828)))</f>
        <v/>
      </c>
      <c r="N184" s="161">
        <f>IF(EP184="","",IF(ISNUMBER('Dvd Calendar'!$P$1828)=FALSE,"",IF((('Dvd Calendar'!$P$1830=TYPE1)*(TYPE1&lt;&gt;"")+('Dvd Calendar'!$P$1830=TYPE2)*(TYPE2&lt;&gt;"")+('Dvd Calendar'!$P$1830=TYPE3)*(TYPE3&lt;&gt;"")+('Dvd Calendar'!$P$1830=TYPE4)*(TYPE4&lt;&gt;"")+('Dvd Calendar'!$P$1830=SPECIAL_LBL)*(INC_SPECIALS="Y"))=0,"",'Dvd Calendar'!$P$1828)))</f>
        <v/>
      </c>
      <c r="O184" s="161">
        <f>IF(EQ184="","",IF(ISNUMBER('Dvd Calendar'!$Q$1828)=FALSE,"",IF((('Dvd Calendar'!$Q$1830=TYPE1)*(TYPE1&lt;&gt;"")+('Dvd Calendar'!$Q$1830=TYPE2)*(TYPE2&lt;&gt;"")+('Dvd Calendar'!$Q$1830=TYPE3)*(TYPE3&lt;&gt;"")+('Dvd Calendar'!$Q$1830=TYPE4)*(TYPE4&lt;&gt;"")+('Dvd Calendar'!$Q$1830=SPECIAL_LBL)*(INC_SPECIALS="Y"))=0,"",'Dvd Calendar'!$Q$1828)))</f>
        <v/>
      </c>
      <c r="P184" s="161">
        <f>IF(ER184="","",IF(ISNUMBER('Dvd Calendar'!$R$1828)=FALSE,"",IF((('Dvd Calendar'!$R$1830=TYPE1)*(TYPE1&lt;&gt;"")+('Dvd Calendar'!$R$1830=TYPE2)*(TYPE2&lt;&gt;"")+('Dvd Calendar'!$R$1830=TYPE3)*(TYPE3&lt;&gt;"")+('Dvd Calendar'!$R$1830=TYPE4)*(TYPE4&lt;&gt;"")+('Dvd Calendar'!$R$1830=SPECIAL_LBL)*(INC_SPECIALS="Y"))=0,"",'Dvd Calendar'!$R$1828)))</f>
        <v/>
      </c>
      <c r="Q184" s="161">
        <f>IF(ES184="","",IF(ISNUMBER('Dvd Calendar'!$S$1828)=FALSE,"",IF((('Dvd Calendar'!$S$1830=TYPE1)*(TYPE1&lt;&gt;"")+('Dvd Calendar'!$S$1830=TYPE2)*(TYPE2&lt;&gt;"")+('Dvd Calendar'!$S$1830=TYPE3)*(TYPE3&lt;&gt;"")+('Dvd Calendar'!$S$1830=TYPE4)*(TYPE4&lt;&gt;"")+('Dvd Calendar'!$S$1830=SPECIAL_LBL)*(INC_SPECIALS="Y"))=0,"",'Dvd Calendar'!$S$1828)))</f>
        <v/>
      </c>
      <c r="R184" s="161">
        <f>IF(ET184="","",IF(ISNUMBER('Dvd Calendar'!$T$1828)=FALSE,"",IF((('Dvd Calendar'!$T$1830=TYPE1)*(TYPE1&lt;&gt;"")+('Dvd Calendar'!$T$1830=TYPE2)*(TYPE2&lt;&gt;"")+('Dvd Calendar'!$T$1830=TYPE3)*(TYPE3&lt;&gt;"")+('Dvd Calendar'!$T$1830=TYPE4)*(TYPE4&lt;&gt;"")+('Dvd Calendar'!$T$1830=SPECIAL_LBL)*(INC_SPECIALS="Y"))=0,"",'Dvd Calendar'!$T$1828)))</f>
        <v/>
      </c>
      <c r="S184" s="161">
        <f>IF(EU184="","",IF(ISNUMBER('Dvd Calendar'!$U$1828)=FALSE,"",IF((('Dvd Calendar'!$U$1830=TYPE1)*(TYPE1&lt;&gt;"")+('Dvd Calendar'!$U$1830=TYPE2)*(TYPE2&lt;&gt;"")+('Dvd Calendar'!$U$1830=TYPE3)*(TYPE3&lt;&gt;"")+('Dvd Calendar'!$U$1830=TYPE4)*(TYPE4&lt;&gt;"")+('Dvd Calendar'!$U$1830=SPECIAL_LBL)*(INC_SPECIALS="Y"))=0,"",'Dvd Calendar'!$U$1828)))</f>
        <v/>
      </c>
      <c r="T184" s="161">
        <f>IF(EV184="","",IF(ISNUMBER('Dvd Calendar'!$V$1828)=FALSE,"",IF((('Dvd Calendar'!$V$1830=TYPE1)*(TYPE1&lt;&gt;"")+('Dvd Calendar'!$V$1830=TYPE2)*(TYPE2&lt;&gt;"")+('Dvd Calendar'!$V$1830=TYPE3)*(TYPE3&lt;&gt;"")+('Dvd Calendar'!$V$1830=TYPE4)*(TYPE4&lt;&gt;"")+('Dvd Calendar'!$V$1830=SPECIAL_LBL)*(INC_SPECIALS="Y"))=0,"",'Dvd Calendar'!$V$1828)))</f>
        <v/>
      </c>
      <c r="U184" s="161">
        <f>IF(EW184="","",IF(ISNUMBER('Dvd Calendar'!$W$1828)=FALSE,"",IF((('Dvd Calendar'!$W$1830=TYPE1)*(TYPE1&lt;&gt;"")+('Dvd Calendar'!$W$1830=TYPE2)*(TYPE2&lt;&gt;"")+('Dvd Calendar'!$W$1830=TYPE3)*(TYPE3&lt;&gt;"")+('Dvd Calendar'!$W$1830=TYPE4)*(TYPE4&lt;&gt;"")+('Dvd Calendar'!$W$1830=SPECIAL_LBL)*(INC_SPECIALS="Y"))=0,"",'Dvd Calendar'!$W$1828)))</f>
        <v/>
      </c>
      <c r="V184" s="161">
        <f>IF(EX184="","",IF(ISNUMBER('Dvd Calendar'!$X$1828)=FALSE,"",IF((('Dvd Calendar'!$X$1830=TYPE1)*(TYPE1&lt;&gt;"")+('Dvd Calendar'!$X$1830=TYPE2)*(TYPE2&lt;&gt;"")+('Dvd Calendar'!$X$1830=TYPE3)*(TYPE3&lt;&gt;"")+('Dvd Calendar'!$X$1830=TYPE4)*(TYPE4&lt;&gt;"")+('Dvd Calendar'!$X$1830=SPECIAL_LBL)*(INC_SPECIALS="Y"))=0,"",'Dvd Calendar'!$X$1828)))</f>
        <v/>
      </c>
      <c r="W184" s="161">
        <f>IF(EY184="","",IF(ISNUMBER('Dvd Calendar'!$Y$1828)=FALSE,"",IF((('Dvd Calendar'!$Y$1830=TYPE1)*(TYPE1&lt;&gt;"")+('Dvd Calendar'!$Y$1830=TYPE2)*(TYPE2&lt;&gt;"")+('Dvd Calendar'!$Y$1830=TYPE3)*(TYPE3&lt;&gt;"")+('Dvd Calendar'!$Y$1830=TYPE4)*(TYPE4&lt;&gt;"")+('Dvd Calendar'!$Y$1830=SPECIAL_LBL)*(INC_SPECIALS="Y"))=0,"",'Dvd Calendar'!$Y$1828)))</f>
        <v/>
      </c>
      <c r="X184" s="161">
        <f>IF(EZ184="","",IF(ISNUMBER('Dvd Calendar'!$Z$1828)=FALSE,"",IF((('Dvd Calendar'!$Z$1830=TYPE1)*(TYPE1&lt;&gt;"")+('Dvd Calendar'!$Z$1830=TYPE2)*(TYPE2&lt;&gt;"")+('Dvd Calendar'!$Z$1830=TYPE3)*(TYPE3&lt;&gt;"")+('Dvd Calendar'!$Z$1830=TYPE4)*(TYPE4&lt;&gt;"")+('Dvd Calendar'!$Z$1830=SPECIAL_LBL)*(INC_SPECIALS="Y"))=0,"",'Dvd Calendar'!$Z$1828)))</f>
        <v/>
      </c>
      <c r="Y184" s="161">
        <f>IF(FA184="","",IF(ISNUMBER('Dvd Calendar'!$AA$1828)=FALSE,"",IF((('Dvd Calendar'!$AA$1830=TYPE1)*(TYPE1&lt;&gt;"")+('Dvd Calendar'!$AA$1830=TYPE2)*(TYPE2&lt;&gt;"")+('Dvd Calendar'!$AA$1830=TYPE3)*(TYPE3&lt;&gt;"")+('Dvd Calendar'!$AA$1830=TYPE4)*(TYPE4&lt;&gt;"")+('Dvd Calendar'!$AA$1830=SPECIAL_LBL)*(INC_SPECIALS="Y"))=0,"",'Dvd Calendar'!$AA$1828)))</f>
        <v/>
      </c>
      <c r="Z184" s="161">
        <f>IF(FB184="","",IF(ISNUMBER('Dvd Calendar'!$AB$1828)=FALSE,"",IF((('Dvd Calendar'!$AB$1830=TYPE1)*(TYPE1&lt;&gt;"")+('Dvd Calendar'!$AB$1830=TYPE2)*(TYPE2&lt;&gt;"")+('Dvd Calendar'!$AB$1830=TYPE3)*(TYPE3&lt;&gt;"")+('Dvd Calendar'!$AB$1830=TYPE4)*(TYPE4&lt;&gt;"")+('Dvd Calendar'!$AB$1830=SPECIAL_LBL)*(INC_SPECIALS="Y"))=0,"",'Dvd Calendar'!$AB$1828)))</f>
        <v/>
      </c>
      <c r="AA184" s="161">
        <f>IF(FC184="","",IF(ISNUMBER('Dvd Calendar'!$AC$1828)=FALSE,"",IF((('Dvd Calendar'!$AC$1830=TYPE1)*(TYPE1&lt;&gt;"")+('Dvd Calendar'!$AC$1830=TYPE2)*(TYPE2&lt;&gt;"")+('Dvd Calendar'!$AC$1830=TYPE3)*(TYPE3&lt;&gt;"")+('Dvd Calendar'!$AC$1830=TYPE4)*(TYPE4&lt;&gt;"")+('Dvd Calendar'!$AC$1830=SPECIAL_LBL)*(INC_SPECIALS="Y"))=0,"",'Dvd Calendar'!$AC$1828)))</f>
        <v/>
      </c>
      <c r="AB184" s="161">
        <f>IF(FD184="","",IF(ISNUMBER('Dvd Calendar'!$AD$1828)=FALSE,"",IF((('Dvd Calendar'!$AD$1830=TYPE1)*(TYPE1&lt;&gt;"")+('Dvd Calendar'!$AD$1830=TYPE2)*(TYPE2&lt;&gt;"")+('Dvd Calendar'!$AD$1830=TYPE3)*(TYPE3&lt;&gt;"")+('Dvd Calendar'!$AD$1830=TYPE4)*(TYPE4&lt;&gt;"")+('Dvd Calendar'!$AD$1830=SPECIAL_LBL)*(INC_SPECIALS="Y"))=0,"",'Dvd Calendar'!$AD$1828)))</f>
        <v/>
      </c>
      <c r="AC184" s="161">
        <f>IF(FE184="","",IF(ISNUMBER('Dvd Calendar'!$AE$1828)=FALSE,"",IF((('Dvd Calendar'!$AE$1830=TYPE1)*(TYPE1&lt;&gt;"")+('Dvd Calendar'!$AE$1830=TYPE2)*(TYPE2&lt;&gt;"")+('Dvd Calendar'!$AE$1830=TYPE3)*(TYPE3&lt;&gt;"")+('Dvd Calendar'!$AE$1830=TYPE4)*(TYPE4&lt;&gt;"")+('Dvd Calendar'!$AE$1830=SPECIAL_LBL)*(INC_SPECIALS="Y"))=0,"",'Dvd Calendar'!$AE$1828)))</f>
        <v/>
      </c>
      <c r="AD184" s="161">
        <f>IF(FF184="","",IF(ISNUMBER('Dvd Calendar'!$AF$1828)=FALSE,"",IF((('Dvd Calendar'!$AF$1830=TYPE1)*(TYPE1&lt;&gt;"")+('Dvd Calendar'!$AF$1830=TYPE2)*(TYPE2&lt;&gt;"")+('Dvd Calendar'!$AF$1830=TYPE3)*(TYPE3&lt;&gt;"")+('Dvd Calendar'!$AF$1830=TYPE4)*(TYPE4&lt;&gt;"")+('Dvd Calendar'!$AF$1830=SPECIAL_LBL)*(INC_SPECIALS="Y"))=0,"",'Dvd Calendar'!$AF$1828)))</f>
        <v/>
      </c>
      <c r="AE184" s="161">
        <f>IF(FG184="","",IF(ISNUMBER('Dvd Calendar'!$AG$1828)=FALSE,"",IF((('Dvd Calendar'!$AG$1830=TYPE1)*(TYPE1&lt;&gt;"")+('Dvd Calendar'!$AG$1830=TYPE2)*(TYPE2&lt;&gt;"")+('Dvd Calendar'!$AG$1830=TYPE3)*(TYPE3&lt;&gt;"")+('Dvd Calendar'!$AG$1830=TYPE4)*(TYPE4&lt;&gt;"")+('Dvd Calendar'!$AG$1830=SPECIAL_LBL)*(INC_SPECIALS="Y"))=0,"",'Dvd Calendar'!$AG$1828)))</f>
        <v/>
      </c>
      <c r="AF184" s="161">
        <f>IF(FH184="","",IF(ISNUMBER('Dvd Calendar'!$AH$1828)=FALSE,"",IF((('Dvd Calendar'!$AH$1830=TYPE1)*(TYPE1&lt;&gt;"")+('Dvd Calendar'!$AH$1830=TYPE2)*(TYPE2&lt;&gt;"")+('Dvd Calendar'!$AH$1830=TYPE3)*(TYPE3&lt;&gt;"")+('Dvd Calendar'!$AH$1830=TYPE4)*(TYPE4&lt;&gt;"")+('Dvd Calendar'!$AH$1830=SPECIAL_LBL)*(INC_SPECIALS="Y"))=0,"",'Dvd Calendar'!$AH$1828)))</f>
        <v/>
      </c>
      <c r="AG184" s="161">
        <f>IF(FI184="","",IF(ISNUMBER('Dvd Calendar'!$AI$1828)=FALSE,"",IF((('Dvd Calendar'!$AI$1830=TYPE1)*(TYPE1&lt;&gt;"")+('Dvd Calendar'!$AI$1830=TYPE2)*(TYPE2&lt;&gt;"")+('Dvd Calendar'!$AI$1830=TYPE3)*(TYPE3&lt;&gt;"")+('Dvd Calendar'!$AI$1830=TYPE4)*(TYPE4&lt;&gt;"")+('Dvd Calendar'!$AI$1830=SPECIAL_LBL)*(INC_SPECIALS="Y"))=0,"",'Dvd Calendar'!$AI$1828)))</f>
        <v/>
      </c>
      <c r="AH184" s="161">
        <f>IF(FJ184="","",IF(ISNUMBER('Dvd Calendar'!$AJ$1828)=FALSE,"",IF((('Dvd Calendar'!$AJ$1830=TYPE1)*(TYPE1&lt;&gt;"")+('Dvd Calendar'!$AJ$1830=TYPE2)*(TYPE2&lt;&gt;"")+('Dvd Calendar'!$AJ$1830=TYPE3)*(TYPE3&lt;&gt;"")+('Dvd Calendar'!$AJ$1830=TYPE4)*(TYPE4&lt;&gt;"")+('Dvd Calendar'!$AJ$1830=SPECIAL_LBL)*(INC_SPECIALS="Y"))=0,"",'Dvd Calendar'!$AJ$1828)))</f>
        <v/>
      </c>
      <c r="AI184" s="161">
        <f>IF(FK184="","",IF(ISNUMBER('Dvd Calendar'!$AK$1828)=FALSE,"",IF((('Dvd Calendar'!$AK$1830=TYPE1)*(TYPE1&lt;&gt;"")+('Dvd Calendar'!$AK$1830=TYPE2)*(TYPE2&lt;&gt;"")+('Dvd Calendar'!$AK$1830=TYPE3)*(TYPE3&lt;&gt;"")+('Dvd Calendar'!$AK$1830=TYPE4)*(TYPE4&lt;&gt;"")+('Dvd Calendar'!$AK$1830=SPECIAL_LBL)*(INC_SPECIALS="Y"))=0,"",'Dvd Calendar'!$AK$1828)))</f>
        <v/>
      </c>
      <c r="AJ184" s="161">
        <f>IF(FL184="","",IF(ISNUMBER('Dvd Calendar'!$AL$1828)=FALSE,"",IF((('Dvd Calendar'!$AL$1830=TYPE1)*(TYPE1&lt;&gt;"")+('Dvd Calendar'!$AL$1830=TYPE2)*(TYPE2&lt;&gt;"")+('Dvd Calendar'!$AL$1830=TYPE3)*(TYPE3&lt;&gt;"")+('Dvd Calendar'!$AL$1830=TYPE4)*(TYPE4&lt;&gt;"")+('Dvd Calendar'!$AL$1830=SPECIAL_LBL)*(INC_SPECIALS="Y"))=0,"",'Dvd Calendar'!$AL$1828)))</f>
        <v/>
      </c>
      <c r="AK184" s="161">
        <f>IF(FM184="","",IF(ISNUMBER('Dvd Calendar'!$AM$1828)=FALSE,"",IF((('Dvd Calendar'!$AM$1830=TYPE1)*(TYPE1&lt;&gt;"")+('Dvd Calendar'!$AM$1830=TYPE2)*(TYPE2&lt;&gt;"")+('Dvd Calendar'!$AM$1830=TYPE3)*(TYPE3&lt;&gt;"")+('Dvd Calendar'!$AM$1830=TYPE4)*(TYPE4&lt;&gt;"")+('Dvd Calendar'!$AM$1830=SPECIAL_LBL)*(INC_SPECIALS="Y"))=0,"",'Dvd Calendar'!$AM$1828)))</f>
        <v/>
      </c>
      <c r="AL184" s="161">
        <f>IF(FN184="","",IF(ISNUMBER('Dvd Calendar'!$AN$1828)=FALSE,"",IF((('Dvd Calendar'!$AN$1830=TYPE1)*(TYPE1&lt;&gt;"")+('Dvd Calendar'!$AN$1830=TYPE2)*(TYPE2&lt;&gt;"")+('Dvd Calendar'!$AN$1830=TYPE3)*(TYPE3&lt;&gt;"")+('Dvd Calendar'!$AN$1830=TYPE4)*(TYPE4&lt;&gt;"")+('Dvd Calendar'!$AN$1830=SPECIAL_LBL)*(INC_SPECIALS="Y"))=0,"",'Dvd Calendar'!$AN$1828)))</f>
        <v/>
      </c>
      <c r="AM184" s="161">
        <f>IF(FO184="","",IF(ISNUMBER('Dvd Calendar'!$AO$1828)=FALSE,"",IF((('Dvd Calendar'!$AO$1830=TYPE1)*(TYPE1&lt;&gt;"")+('Dvd Calendar'!$AO$1830=TYPE2)*(TYPE2&lt;&gt;"")+('Dvd Calendar'!$AO$1830=TYPE3)*(TYPE3&lt;&gt;"")+('Dvd Calendar'!$AO$1830=TYPE4)*(TYPE4&lt;&gt;"")+('Dvd Calendar'!$AO$1830=SPECIAL_LBL)*(INC_SPECIALS="Y"))=0,"",'Dvd Calendar'!$AO$1828)))</f>
        <v/>
      </c>
      <c r="AN184" s="161">
        <f>IF(FP184="","",IF(ISNUMBER('Dvd Calendar'!$AP$1828)=FALSE,"",IF((('Dvd Calendar'!$AP$1830=TYPE1)*(TYPE1&lt;&gt;"")+('Dvd Calendar'!$AP$1830=TYPE2)*(TYPE2&lt;&gt;"")+('Dvd Calendar'!$AP$1830=TYPE3)*(TYPE3&lt;&gt;"")+('Dvd Calendar'!$AP$1830=TYPE4)*(TYPE4&lt;&gt;"")+('Dvd Calendar'!$AP$1830=SPECIAL_LBL)*(INC_SPECIALS="Y"))=0,"",'Dvd Calendar'!$AP$1828)))</f>
        <v/>
      </c>
      <c r="AO184" s="161">
        <f>IF(FQ184="","",IF(ISNUMBER('Dvd Calendar'!$AQ$1828)=FALSE,"",IF((('Dvd Calendar'!$AQ$1830=TYPE1)*(TYPE1&lt;&gt;"")+('Dvd Calendar'!$AQ$1830=TYPE2)*(TYPE2&lt;&gt;"")+('Dvd Calendar'!$AQ$1830=TYPE3)*(TYPE3&lt;&gt;"")+('Dvd Calendar'!$AQ$1830=TYPE4)*(TYPE4&lt;&gt;"")+('Dvd Calendar'!$AQ$1830=SPECIAL_LBL)*(INC_SPECIALS="Y"))=0,"",'Dvd Calendar'!$AQ$1828)))</f>
        <v/>
      </c>
      <c r="AP184" s="161">
        <f>IF(FR184="","",IF(ISNUMBER('Dvd Calendar'!$AR$1828)=FALSE,"",IF((('Dvd Calendar'!$AR$1830=TYPE1)*(TYPE1&lt;&gt;"")+('Dvd Calendar'!$AR$1830=TYPE2)*(TYPE2&lt;&gt;"")+('Dvd Calendar'!$AR$1830=TYPE3)*(TYPE3&lt;&gt;"")+('Dvd Calendar'!$AR$1830=TYPE4)*(TYPE4&lt;&gt;"")+('Dvd Calendar'!$AR$1830=SPECIAL_LBL)*(INC_SPECIALS="Y"))=0,"",'Dvd Calendar'!$AR$1828)))</f>
        <v/>
      </c>
      <c r="AQ184" s="161">
        <f>IF(FS184="","",IF(ISNUMBER('Dvd Calendar'!$E$1833)=FALSE,"",'Dvd Calendar'!$E$1833))</f>
        <v/>
      </c>
      <c r="AR184" s="161">
        <f>IF(FT184="","",IF(ISNUMBER('Dvd Calendar'!$F$1833)=FALSE,"",'Dvd Calendar'!$F$1833))</f>
        <v/>
      </c>
      <c r="AS184" s="161">
        <f>IF(FU184="","",IF(ISNUMBER('Dvd Calendar'!$G$1833)=FALSE,"",'Dvd Calendar'!$G$1833))</f>
        <v/>
      </c>
      <c r="AT184" s="161">
        <f>IF(FV184="","",IF(ISNUMBER('Dvd Calendar'!$H$1833)=FALSE,"",'Dvd Calendar'!$H$1833))</f>
        <v/>
      </c>
      <c r="AU184" s="161">
        <f>IF(FW184="","",IF(ISNUMBER('Dvd Calendar'!$I$1833)=FALSE,"",'Dvd Calendar'!$I$1833))</f>
        <v/>
      </c>
      <c r="AV184" s="161">
        <f>IF(FX184="","",IF(ISNUMBER('Dvd Calendar'!$J$1833)=FALSE,"",'Dvd Calendar'!$J$1833))</f>
        <v/>
      </c>
      <c r="AW184" s="161">
        <f>IF(FY184="","",IF(ISNUMBER('Dvd Calendar'!$K$1833)=FALSE,"",'Dvd Calendar'!$K$1833))</f>
        <v/>
      </c>
      <c r="AX184" s="161">
        <f>IF(FZ184="","",IF(ISNUMBER('Dvd Calendar'!$L$1833)=FALSE,"",'Dvd Calendar'!$L$1833))</f>
        <v/>
      </c>
      <c r="AY184" s="161">
        <f>IF(GA184="","",IF(ISNUMBER('Dvd Calendar'!$M$1833)=FALSE,"",'Dvd Calendar'!$M$1833))</f>
        <v/>
      </c>
      <c r="AZ184" s="161">
        <f>IF(GB184="","",IF(ISNUMBER('Dvd Calendar'!$N$1833)=FALSE,"",'Dvd Calendar'!$N$1833))</f>
        <v/>
      </c>
      <c r="BA184" s="161">
        <f>IF(GC184="","",IF(ISNUMBER('Dvd Calendar'!$O$1833)=FALSE,"",'Dvd Calendar'!$O$1833))</f>
        <v/>
      </c>
      <c r="BB184" s="161">
        <f>IF(GD184="","",IF(ISNUMBER('Dvd Calendar'!$P$1833)=FALSE,"",'Dvd Calendar'!$P$1833))</f>
        <v/>
      </c>
      <c r="BC184" s="161">
        <f>IF(GE184="","",IF(ISNUMBER('Dvd Calendar'!$Q$1833)=FALSE,"",'Dvd Calendar'!$Q$1833))</f>
        <v/>
      </c>
      <c r="BD184" s="161">
        <f>IF(GF184="","",IF(ISNUMBER('Dvd Calendar'!$R$1833)=FALSE,"",'Dvd Calendar'!$R$1833))</f>
        <v/>
      </c>
      <c r="BE184" s="161">
        <f>IF(GG184="","",IF(ISNUMBER('Dvd Calendar'!$S$1833)=FALSE,"",'Dvd Calendar'!$S$1833))</f>
        <v/>
      </c>
      <c r="BF184" s="161">
        <f>IF(GH184="","",IF(ISNUMBER('Dvd Calendar'!$T$1833)=FALSE,"",'Dvd Calendar'!$T$1833))</f>
        <v/>
      </c>
      <c r="BG184" s="161">
        <f>IF(GI184="","",IF(ISNUMBER('Dvd Calendar'!$U$1833)=FALSE,"",'Dvd Calendar'!$U$1833))</f>
        <v/>
      </c>
      <c r="BH184" s="161">
        <f>IF(GJ184="","",IF(ISNUMBER('Dvd Calendar'!$V$1833)=FALSE,"",'Dvd Calendar'!$V$1833))</f>
        <v/>
      </c>
      <c r="BI184" s="161">
        <f>IF(GK184="","",IF(ISNUMBER('Dvd Calendar'!$W$1833)=FALSE,"",'Dvd Calendar'!$W$1833))</f>
        <v/>
      </c>
      <c r="BJ184" s="161">
        <f>IF(GL184="","",IF(ISNUMBER('Dvd Calendar'!$X$1833)=FALSE,"",'Dvd Calendar'!$X$1833))</f>
        <v/>
      </c>
      <c r="BK184" s="161">
        <f>IF(GM184="","",IF(ISNUMBER('Dvd Calendar'!$Y$1833)=FALSE,"",'Dvd Calendar'!$Y$1833))</f>
        <v/>
      </c>
      <c r="BL184" s="161">
        <f>IF(GN184="","",IF(ISNUMBER('Dvd Calendar'!$Z$1833)=FALSE,"",'Dvd Calendar'!$Z$1833))</f>
        <v/>
      </c>
      <c r="BM184" s="161">
        <f>IF(GO184="","",IF(ISNUMBER('Dvd Calendar'!$AA$1833)=FALSE,"",'Dvd Calendar'!$AA$1833))</f>
        <v/>
      </c>
      <c r="BN184" s="161">
        <f>IF(GP184="","",IF(ISNUMBER('Dvd Calendar'!$AB$1833)=FALSE,"",'Dvd Calendar'!$AB$1833))</f>
        <v/>
      </c>
      <c r="BO184" s="161">
        <f>IF(GQ184="","",IF(ISNUMBER('Dvd Calendar'!$AC$1833)=FALSE,"",'Dvd Calendar'!$AC$1833))</f>
        <v/>
      </c>
      <c r="BQ184" s="161">
        <f>IF(C184="","",IFERROR(C184*HSCEI!$B$31*HSCEI!$G$31/HSCEI!$B$3,""))</f>
        <v/>
      </c>
      <c r="BR184" s="161">
        <f>IF(D184="","",IFERROR(D184*HSCEI!$B$31*HSCEI!$G$31/HSCEI!$B$3,""))</f>
        <v/>
      </c>
      <c r="BS184" s="161">
        <f>IF(E184="","",IFERROR(E184*HSCEI!$B$31*HSCEI!$G$31/HSCEI!$B$3,""))</f>
        <v/>
      </c>
      <c r="BT184" s="161">
        <f>IF(F184="","",IFERROR(F184*HSCEI!$B$31*HSCEI!$G$31/HSCEI!$B$3,""))</f>
        <v/>
      </c>
      <c r="BU184" s="161">
        <f>IF(G184="","",IFERROR(G184*HSCEI!$B$31*HSCEI!$G$31/HSCEI!$B$3,""))</f>
        <v/>
      </c>
      <c r="BV184" s="161">
        <f>IF(H184="","",IFERROR(H184*HSCEI!$B$31*HSCEI!$G$31/HSCEI!$B$3,""))</f>
        <v/>
      </c>
      <c r="BW184" s="161">
        <f>IF(I184="","",IFERROR(I184*HSCEI!$B$31*HSCEI!$G$31/HSCEI!$B$3,""))</f>
        <v/>
      </c>
      <c r="BX184" s="161">
        <f>IF(J184="","",IFERROR(J184*HSCEI!$B$31*HSCEI!$G$31/HSCEI!$B$3,""))</f>
        <v/>
      </c>
      <c r="BY184" s="161">
        <f>IF(K184="","",IFERROR(K184*HSCEI!$B$31*HSCEI!$G$31/HSCEI!$B$3,""))</f>
        <v/>
      </c>
      <c r="BZ184" s="161">
        <f>IF(L184="","",IFERROR(L184*HSCEI!$B$31*HSCEI!$G$31/HSCEI!$B$3,""))</f>
        <v/>
      </c>
      <c r="CA184" s="161">
        <f>IF(M184="","",IFERROR(M184*HSCEI!$B$31*HSCEI!$G$31/HSCEI!$B$3,""))</f>
        <v/>
      </c>
      <c r="CB184" s="161">
        <f>IF(N184="","",IFERROR(N184*HSCEI!$B$31*HSCEI!$G$31/HSCEI!$B$3,""))</f>
        <v/>
      </c>
      <c r="CC184" s="161">
        <f>IF(O184="","",IFERROR(O184*HSCEI!$B$31*HSCEI!$G$31/HSCEI!$B$3,""))</f>
        <v/>
      </c>
      <c r="CD184" s="161">
        <f>IF(P184="","",IFERROR(P184*HSCEI!$B$31*HSCEI!$G$31/HSCEI!$B$3,""))</f>
        <v/>
      </c>
      <c r="CE184" s="161">
        <f>IF(Q184="","",IFERROR(Q184*HSCEI!$B$31*HSCEI!$G$31/HSCEI!$B$3,""))</f>
        <v/>
      </c>
      <c r="CF184" s="161">
        <f>IF(R184="","",IFERROR(R184*HSCEI!$B$31*HSCEI!$G$31/HSCEI!$B$3,""))</f>
        <v/>
      </c>
      <c r="CG184" s="161">
        <f>IF(S184="","",IFERROR(S184*HSCEI!$B$31*HSCEI!$G$31/HSCEI!$B$3,""))</f>
        <v/>
      </c>
      <c r="CH184" s="161">
        <f>IF(T184="","",IFERROR(T184*HSCEI!$B$31*HSCEI!$G$31/HSCEI!$B$3,""))</f>
        <v/>
      </c>
      <c r="CI184" s="161">
        <f>IF(U184="","",IFERROR(U184*HSCEI!$B$31*HSCEI!$G$31/HSCEI!$B$3,""))</f>
        <v/>
      </c>
      <c r="CJ184" s="161">
        <f>IF(V184="","",IFERROR(V184*HSCEI!$B$31*HSCEI!$G$31/HSCEI!$B$3,""))</f>
        <v/>
      </c>
      <c r="CK184" s="161">
        <f>IF(W184="","",IFERROR(W184*HSCEI!$B$31*HSCEI!$G$31/HSCEI!$B$3,""))</f>
        <v/>
      </c>
      <c r="CL184" s="161">
        <f>IF(X184="","",IFERROR(X184*HSCEI!$B$31*HSCEI!$G$31/HSCEI!$B$3,""))</f>
        <v/>
      </c>
      <c r="CM184" s="161">
        <f>IF(Y184="","",IFERROR(Y184*HSCEI!$B$31*HSCEI!$G$31/HSCEI!$B$3,""))</f>
        <v/>
      </c>
      <c r="CN184" s="161">
        <f>IF(Z184="","",IFERROR(Z184*HSCEI!$B$31*HSCEI!$G$31/HSCEI!$B$3,""))</f>
        <v/>
      </c>
      <c r="CO184" s="161">
        <f>IF(AA184="","",IFERROR(AA184*HSCEI!$B$31*HSCEI!$G$31/HSCEI!$B$3,""))</f>
        <v/>
      </c>
      <c r="CP184" s="161">
        <f>IF(AB184="","",IFERROR(AB184*HSCEI!$B$31*HSCEI!$G$31/HSCEI!$B$3,""))</f>
        <v/>
      </c>
      <c r="CQ184" s="161">
        <f>IF(AC184="","",IFERROR(AC184*HSCEI!$B$31*HSCEI!$G$31/HSCEI!$B$3,""))</f>
        <v/>
      </c>
      <c r="CR184" s="161">
        <f>IF(AD184="","",IFERROR(AD184*HSCEI!$B$31*HSCEI!$G$31/HSCEI!$B$3,""))</f>
        <v/>
      </c>
      <c r="CS184" s="161">
        <f>IF(AE184="","",IFERROR(AE184*HSCEI!$B$31*HSCEI!$G$31/HSCEI!$B$3,""))</f>
        <v/>
      </c>
      <c r="CT184" s="161">
        <f>IF(AF184="","",IFERROR(AF184*HSCEI!$B$31*HSCEI!$G$31/HSCEI!$B$3,""))</f>
        <v/>
      </c>
      <c r="CU184" s="161">
        <f>IF(AG184="","",IFERROR(AG184*HSCEI!$B$31*HSCEI!$G$31/HSCEI!$B$3,""))</f>
        <v/>
      </c>
      <c r="CV184" s="161">
        <f>IF(AH184="","",IFERROR(AH184*HSCEI!$B$31*HSCEI!$G$31/HSCEI!$B$3,""))</f>
        <v/>
      </c>
      <c r="CW184" s="161">
        <f>IF(AI184="","",IFERROR(AI184*HSCEI!$B$31*HSCEI!$G$31/HSCEI!$B$3,""))</f>
        <v/>
      </c>
      <c r="CX184" s="161">
        <f>IF(AJ184="","",IFERROR(AJ184*HSCEI!$B$31*HSCEI!$G$31/HSCEI!$B$3,""))</f>
        <v/>
      </c>
      <c r="CY184" s="161">
        <f>IF(AK184="","",IFERROR(AK184*HSCEI!$B$31*HSCEI!$G$31/HSCEI!$B$3,""))</f>
        <v/>
      </c>
      <c r="CZ184" s="161">
        <f>IF(AL184="","",IFERROR(AL184*HSCEI!$B$31*HSCEI!$G$31/HSCEI!$B$3,""))</f>
        <v/>
      </c>
      <c r="DA184" s="161">
        <f>IF(AM184="","",IFERROR(AM184*HSCEI!$B$31*HSCEI!$G$31/HSCEI!$B$3,""))</f>
        <v/>
      </c>
      <c r="DB184" s="161">
        <f>IF(AN184="","",IFERROR(AN184*HSCEI!$B$31*HSCEI!$G$31/HSCEI!$B$3,""))</f>
        <v/>
      </c>
      <c r="DC184" s="161">
        <f>IF(AO184="","",IFERROR(AO184*HSCEI!$B$31*HSCEI!$G$31/HSCEI!$B$3,""))</f>
        <v/>
      </c>
      <c r="DD184" s="161">
        <f>IF(AP184="","",IFERROR(AP184*HSCEI!$B$31*HSCEI!$G$31/HSCEI!$B$3,""))</f>
        <v/>
      </c>
      <c r="DE184" s="161">
        <f>IF(AQ184="","",IFERROR(AQ184*HSCEI!$B$31*HSCEI!$G$31/HSCEI!$B$3,""))</f>
        <v/>
      </c>
      <c r="DF184" s="161">
        <f>IF(AR184="","",IFERROR(AR184*HSCEI!$B$31*HSCEI!$G$31/HSCEI!$B$3,""))</f>
        <v/>
      </c>
      <c r="DG184" s="161">
        <f>IF(AS184="","",IFERROR(AS184*HSCEI!$B$31*HSCEI!$G$31/HSCEI!$B$3,""))</f>
        <v/>
      </c>
      <c r="DH184" s="161">
        <f>IF(AT184="","",IFERROR(AT184*HSCEI!$B$31*HSCEI!$G$31/HSCEI!$B$3,""))</f>
        <v/>
      </c>
      <c r="DI184" s="161">
        <f>IF(AU184="","",IFERROR(AU184*HSCEI!$B$31*HSCEI!$G$31/HSCEI!$B$3,""))</f>
        <v/>
      </c>
      <c r="DJ184" s="161">
        <f>IF(AV184="","",IFERROR(AV184*HSCEI!$B$31*HSCEI!$G$31/HSCEI!$B$3,""))</f>
        <v/>
      </c>
      <c r="DK184" s="161">
        <f>IF(AW184="","",IFERROR(AW184*HSCEI!$B$31*HSCEI!$G$31/HSCEI!$B$3,""))</f>
        <v/>
      </c>
      <c r="DL184" s="161">
        <f>IF(AX184="","",IFERROR(AX184*HSCEI!$B$31*HSCEI!$G$31/HSCEI!$B$3,""))</f>
        <v/>
      </c>
      <c r="DM184" s="161">
        <f>IF(AY184="","",IFERROR(AY184*HSCEI!$B$31*HSCEI!$G$31/HSCEI!$B$3,""))</f>
        <v/>
      </c>
      <c r="DN184" s="161">
        <f>IF(AZ184="","",IFERROR(AZ184*HSCEI!$B$31*HSCEI!$G$31/HSCEI!$B$3,""))</f>
        <v/>
      </c>
      <c r="DO184" s="161">
        <f>IF(BA184="","",IFERROR(BA184*HSCEI!$B$31*HSCEI!$G$31/HSCEI!$B$3,""))</f>
        <v/>
      </c>
      <c r="DP184" s="161">
        <f>IF(BB184="","",IFERROR(BB184*HSCEI!$B$31*HSCEI!$G$31/HSCEI!$B$3,""))</f>
        <v/>
      </c>
      <c r="DQ184" s="161">
        <f>IF(BC184="","",IFERROR(BC184*HSCEI!$B$31*HSCEI!$G$31/HSCEI!$B$3,""))</f>
        <v/>
      </c>
      <c r="DR184" s="161">
        <f>IF(BD184="","",IFERROR(BD184*HSCEI!$B$31*HSCEI!$G$31/HSCEI!$B$3,""))</f>
        <v/>
      </c>
      <c r="DS184" s="161">
        <f>IF(BE184="","",IFERROR(BE184*HSCEI!$B$31*HSCEI!$G$31/HSCEI!$B$3,""))</f>
        <v/>
      </c>
      <c r="DT184" s="161">
        <f>IF(BF184="","",IFERROR(BF184*HSCEI!$B$31*HSCEI!$G$31/HSCEI!$B$3,""))</f>
        <v/>
      </c>
      <c r="DU184" s="161">
        <f>IF(BG184="","",IFERROR(BG184*HSCEI!$B$31*HSCEI!$G$31/HSCEI!$B$3,""))</f>
        <v/>
      </c>
      <c r="DV184" s="161">
        <f>IF(BH184="","",IFERROR(BH184*HSCEI!$B$31*HSCEI!$G$31/HSCEI!$B$3,""))</f>
        <v/>
      </c>
      <c r="DW184" s="161">
        <f>IF(BI184="","",IFERROR(BI184*HSCEI!$B$31*HSCEI!$G$31/HSCEI!$B$3,""))</f>
        <v/>
      </c>
      <c r="DX184" s="161">
        <f>IF(BJ184="","",IFERROR(BJ184*HSCEI!$B$31*HSCEI!$G$31/HSCEI!$B$3,""))</f>
        <v/>
      </c>
      <c r="DY184" s="161">
        <f>IF(BK184="","",IFERROR(BK184*HSCEI!$B$31*HSCEI!$G$31/HSCEI!$B$3,""))</f>
        <v/>
      </c>
      <c r="DZ184" s="161">
        <f>IF(BL184="","",IFERROR(BL184*HSCEI!$B$31*HSCEI!$G$31/HSCEI!$B$3,""))</f>
        <v/>
      </c>
      <c r="EA184" s="161">
        <f>IF(BM184="","",IFERROR(BM184*HSCEI!$B$31*HSCEI!$G$31/HSCEI!$B$3,""))</f>
        <v/>
      </c>
      <c r="EB184" s="161">
        <f>IF(BN184="","",IFERROR(BN184*HSCEI!$B$31*HSCEI!$G$31/HSCEI!$B$3,""))</f>
        <v/>
      </c>
      <c r="EC184" s="161">
        <f>IF(BO184="","",IFERROR(BO184*HSCEI!$B$31*HSCEI!$G$31/HSCEI!$B$3,""))</f>
        <v/>
      </c>
      <c r="EE184" s="121">
        <f>IF(N('Dvd Calendar'!$E$1825)=0,"",IF(('Dvd Calendar'!$E$1825&gt;=GRID_FROM)*('Dvd Calendar'!$E$1825&lt;=GRID_TO)*((('Dvd Calendar'!$E$1825&lt;=VAL_DATE)+(COUNTIF('Dvd Calendar'!$E$1832:$AR$1832,'Dvd Calendar'!$E$1825)=0))&gt;0)=0,"",'Dvd Calendar'!$E$1825*1000000000+ISNUMBER('Dvd Calendar'!$E$1828)*100000000+('Dvd Calendar'!$E$1830=SPECIAL_LBL)*10000000+(N('Dvd Calendar'!$E$1824)&gt;0)*(N('Dvd Calendar'!$E$1824)&lt;=VAL_SERIAL)*1000000+25*1000+1))</f>
        <v/>
      </c>
      <c r="EF184" s="121">
        <f>IF(N('Dvd Calendar'!$F$1825)=0,"",IF(('Dvd Calendar'!$F$1825&gt;=GRID_FROM)*('Dvd Calendar'!$F$1825&lt;=GRID_TO)*((('Dvd Calendar'!$F$1825&lt;=VAL_DATE)+(COUNTIF('Dvd Calendar'!$E$1832:$AR$1832,'Dvd Calendar'!$F$1825)=0))&gt;0)=0,"",'Dvd Calendar'!$F$1825*1000000000+ISNUMBER('Dvd Calendar'!$F$1828)*100000000+('Dvd Calendar'!$F$1830=SPECIAL_LBL)*10000000+(N('Dvd Calendar'!$F$1824)&gt;0)*(N('Dvd Calendar'!$F$1824)&lt;=VAL_SERIAL)*1000000+25*1000+2))</f>
        <v/>
      </c>
      <c r="EG184" s="121">
        <f>IF(N('Dvd Calendar'!$G$1825)=0,"",IF(('Dvd Calendar'!$G$1825&gt;=GRID_FROM)*('Dvd Calendar'!$G$1825&lt;=GRID_TO)*((('Dvd Calendar'!$G$1825&lt;=VAL_DATE)+(COUNTIF('Dvd Calendar'!$E$1832:$AR$1832,'Dvd Calendar'!$G$1825)=0))&gt;0)=0,"",'Dvd Calendar'!$G$1825*1000000000+ISNUMBER('Dvd Calendar'!$G$1828)*100000000+('Dvd Calendar'!$G$1830=SPECIAL_LBL)*10000000+(N('Dvd Calendar'!$G$1824)&gt;0)*(N('Dvd Calendar'!$G$1824)&lt;=VAL_SERIAL)*1000000+25*1000+3))</f>
        <v/>
      </c>
      <c r="EH184" s="121">
        <f>IF(N('Dvd Calendar'!$H$1825)=0,"",IF(('Dvd Calendar'!$H$1825&gt;=GRID_FROM)*('Dvd Calendar'!$H$1825&lt;=GRID_TO)*((('Dvd Calendar'!$H$1825&lt;=VAL_DATE)+(COUNTIF('Dvd Calendar'!$E$1832:$AR$1832,'Dvd Calendar'!$H$1825)=0))&gt;0)=0,"",'Dvd Calendar'!$H$1825*1000000000+ISNUMBER('Dvd Calendar'!$H$1828)*100000000+('Dvd Calendar'!$H$1830=SPECIAL_LBL)*10000000+(N('Dvd Calendar'!$H$1824)&gt;0)*(N('Dvd Calendar'!$H$1824)&lt;=VAL_SERIAL)*1000000+25*1000+4))</f>
        <v/>
      </c>
      <c r="EI184" s="121">
        <f>IF(N('Dvd Calendar'!$I$1825)=0,"",IF(('Dvd Calendar'!$I$1825&gt;=GRID_FROM)*('Dvd Calendar'!$I$1825&lt;=GRID_TO)*((('Dvd Calendar'!$I$1825&lt;=VAL_DATE)+(COUNTIF('Dvd Calendar'!$E$1832:$AR$1832,'Dvd Calendar'!$I$1825)=0))&gt;0)=0,"",'Dvd Calendar'!$I$1825*1000000000+ISNUMBER('Dvd Calendar'!$I$1828)*100000000+('Dvd Calendar'!$I$1830=SPECIAL_LBL)*10000000+(N('Dvd Calendar'!$I$1824)&gt;0)*(N('Dvd Calendar'!$I$1824)&lt;=VAL_SERIAL)*1000000+25*1000+5))</f>
        <v/>
      </c>
      <c r="EJ184" s="121">
        <f>IF(N('Dvd Calendar'!$J$1825)=0,"",IF(('Dvd Calendar'!$J$1825&gt;=GRID_FROM)*('Dvd Calendar'!$J$1825&lt;=GRID_TO)*((('Dvd Calendar'!$J$1825&lt;=VAL_DATE)+(COUNTIF('Dvd Calendar'!$E$1832:$AR$1832,'Dvd Calendar'!$J$1825)=0))&gt;0)=0,"",'Dvd Calendar'!$J$1825*1000000000+ISNUMBER('Dvd Calendar'!$J$1828)*100000000+('Dvd Calendar'!$J$1830=SPECIAL_LBL)*10000000+(N('Dvd Calendar'!$J$1824)&gt;0)*(N('Dvd Calendar'!$J$1824)&lt;=VAL_SERIAL)*1000000+25*1000+6))</f>
        <v/>
      </c>
      <c r="EK184" s="121">
        <f>IF(N('Dvd Calendar'!$K$1825)=0,"",IF(('Dvd Calendar'!$K$1825&gt;=GRID_FROM)*('Dvd Calendar'!$K$1825&lt;=GRID_TO)*((('Dvd Calendar'!$K$1825&lt;=VAL_DATE)+(COUNTIF('Dvd Calendar'!$E$1832:$AR$1832,'Dvd Calendar'!$K$1825)=0))&gt;0)=0,"",'Dvd Calendar'!$K$1825*1000000000+ISNUMBER('Dvd Calendar'!$K$1828)*100000000+('Dvd Calendar'!$K$1830=SPECIAL_LBL)*10000000+(N('Dvd Calendar'!$K$1824)&gt;0)*(N('Dvd Calendar'!$K$1824)&lt;=VAL_SERIAL)*1000000+25*1000+7))</f>
        <v/>
      </c>
      <c r="EL184" s="121">
        <f>IF(N('Dvd Calendar'!$L$1825)=0,"",IF(('Dvd Calendar'!$L$1825&gt;=GRID_FROM)*('Dvd Calendar'!$L$1825&lt;=GRID_TO)*((('Dvd Calendar'!$L$1825&lt;=VAL_DATE)+(COUNTIF('Dvd Calendar'!$E$1832:$AR$1832,'Dvd Calendar'!$L$1825)=0))&gt;0)=0,"",'Dvd Calendar'!$L$1825*1000000000+ISNUMBER('Dvd Calendar'!$L$1828)*100000000+('Dvd Calendar'!$L$1830=SPECIAL_LBL)*10000000+(N('Dvd Calendar'!$L$1824)&gt;0)*(N('Dvd Calendar'!$L$1824)&lt;=VAL_SERIAL)*1000000+25*1000+8))</f>
        <v/>
      </c>
      <c r="EM184" s="121">
        <f>IF(N('Dvd Calendar'!$M$1825)=0,"",IF(('Dvd Calendar'!$M$1825&gt;=GRID_FROM)*('Dvd Calendar'!$M$1825&lt;=GRID_TO)*((('Dvd Calendar'!$M$1825&lt;=VAL_DATE)+(COUNTIF('Dvd Calendar'!$E$1832:$AR$1832,'Dvd Calendar'!$M$1825)=0))&gt;0)=0,"",'Dvd Calendar'!$M$1825*1000000000+ISNUMBER('Dvd Calendar'!$M$1828)*100000000+('Dvd Calendar'!$M$1830=SPECIAL_LBL)*10000000+(N('Dvd Calendar'!$M$1824)&gt;0)*(N('Dvd Calendar'!$M$1824)&lt;=VAL_SERIAL)*1000000+25*1000+9))</f>
        <v/>
      </c>
      <c r="EN184" s="121">
        <f>IF(N('Dvd Calendar'!$N$1825)=0,"",IF(('Dvd Calendar'!$N$1825&gt;=GRID_FROM)*('Dvd Calendar'!$N$1825&lt;=GRID_TO)*((('Dvd Calendar'!$N$1825&lt;=VAL_DATE)+(COUNTIF('Dvd Calendar'!$E$1832:$AR$1832,'Dvd Calendar'!$N$1825)=0))&gt;0)=0,"",'Dvd Calendar'!$N$1825*1000000000+ISNUMBER('Dvd Calendar'!$N$1828)*100000000+('Dvd Calendar'!$N$1830=SPECIAL_LBL)*10000000+(N('Dvd Calendar'!$N$1824)&gt;0)*(N('Dvd Calendar'!$N$1824)&lt;=VAL_SERIAL)*1000000+25*1000+10))</f>
        <v/>
      </c>
      <c r="EO184" s="121">
        <f>IF(N('Dvd Calendar'!$O$1825)=0,"",IF(('Dvd Calendar'!$O$1825&gt;=GRID_FROM)*('Dvd Calendar'!$O$1825&lt;=GRID_TO)*((('Dvd Calendar'!$O$1825&lt;=VAL_DATE)+(COUNTIF('Dvd Calendar'!$E$1832:$AR$1832,'Dvd Calendar'!$O$1825)=0))&gt;0)=0,"",'Dvd Calendar'!$O$1825*1000000000+ISNUMBER('Dvd Calendar'!$O$1828)*100000000+('Dvd Calendar'!$O$1830=SPECIAL_LBL)*10000000+(N('Dvd Calendar'!$O$1824)&gt;0)*(N('Dvd Calendar'!$O$1824)&lt;=VAL_SERIAL)*1000000+25*1000+11))</f>
        <v/>
      </c>
      <c r="EP184" s="121">
        <f>IF(N('Dvd Calendar'!$P$1825)=0,"",IF(('Dvd Calendar'!$P$1825&gt;=GRID_FROM)*('Dvd Calendar'!$P$1825&lt;=GRID_TO)*((('Dvd Calendar'!$P$1825&lt;=VAL_DATE)+(COUNTIF('Dvd Calendar'!$E$1832:$AR$1832,'Dvd Calendar'!$P$1825)=0))&gt;0)=0,"",'Dvd Calendar'!$P$1825*1000000000+ISNUMBER('Dvd Calendar'!$P$1828)*100000000+('Dvd Calendar'!$P$1830=SPECIAL_LBL)*10000000+(N('Dvd Calendar'!$P$1824)&gt;0)*(N('Dvd Calendar'!$P$1824)&lt;=VAL_SERIAL)*1000000+25*1000+12))</f>
        <v/>
      </c>
      <c r="EQ184" s="121">
        <f>IF(N('Dvd Calendar'!$Q$1825)=0,"",IF(('Dvd Calendar'!$Q$1825&gt;=GRID_FROM)*('Dvd Calendar'!$Q$1825&lt;=GRID_TO)*((('Dvd Calendar'!$Q$1825&lt;=VAL_DATE)+(COUNTIF('Dvd Calendar'!$E$1832:$AR$1832,'Dvd Calendar'!$Q$1825)=0))&gt;0)=0,"",'Dvd Calendar'!$Q$1825*1000000000+ISNUMBER('Dvd Calendar'!$Q$1828)*100000000+('Dvd Calendar'!$Q$1830=SPECIAL_LBL)*10000000+(N('Dvd Calendar'!$Q$1824)&gt;0)*(N('Dvd Calendar'!$Q$1824)&lt;=VAL_SERIAL)*1000000+25*1000+13))</f>
        <v/>
      </c>
      <c r="ER184" s="121">
        <f>IF(N('Dvd Calendar'!$R$1825)=0,"",IF(('Dvd Calendar'!$R$1825&gt;=GRID_FROM)*('Dvd Calendar'!$R$1825&lt;=GRID_TO)*((('Dvd Calendar'!$R$1825&lt;=VAL_DATE)+(COUNTIF('Dvd Calendar'!$E$1832:$AR$1832,'Dvd Calendar'!$R$1825)=0))&gt;0)=0,"",'Dvd Calendar'!$R$1825*1000000000+ISNUMBER('Dvd Calendar'!$R$1828)*100000000+('Dvd Calendar'!$R$1830=SPECIAL_LBL)*10000000+(N('Dvd Calendar'!$R$1824)&gt;0)*(N('Dvd Calendar'!$R$1824)&lt;=VAL_SERIAL)*1000000+25*1000+14))</f>
        <v/>
      </c>
      <c r="ES184" s="121">
        <f>IF(N('Dvd Calendar'!$S$1825)=0,"",IF(('Dvd Calendar'!$S$1825&gt;=GRID_FROM)*('Dvd Calendar'!$S$1825&lt;=GRID_TO)*((('Dvd Calendar'!$S$1825&lt;=VAL_DATE)+(COUNTIF('Dvd Calendar'!$E$1832:$AR$1832,'Dvd Calendar'!$S$1825)=0))&gt;0)=0,"",'Dvd Calendar'!$S$1825*1000000000+ISNUMBER('Dvd Calendar'!$S$1828)*100000000+('Dvd Calendar'!$S$1830=SPECIAL_LBL)*10000000+(N('Dvd Calendar'!$S$1824)&gt;0)*(N('Dvd Calendar'!$S$1824)&lt;=VAL_SERIAL)*1000000+25*1000+15))</f>
        <v/>
      </c>
      <c r="ET184" s="121">
        <f>IF(N('Dvd Calendar'!$T$1825)=0,"",IF(('Dvd Calendar'!$T$1825&gt;=GRID_FROM)*('Dvd Calendar'!$T$1825&lt;=GRID_TO)*((('Dvd Calendar'!$T$1825&lt;=VAL_DATE)+(COUNTIF('Dvd Calendar'!$E$1832:$AR$1832,'Dvd Calendar'!$T$1825)=0))&gt;0)=0,"",'Dvd Calendar'!$T$1825*1000000000+ISNUMBER('Dvd Calendar'!$T$1828)*100000000+('Dvd Calendar'!$T$1830=SPECIAL_LBL)*10000000+(N('Dvd Calendar'!$T$1824)&gt;0)*(N('Dvd Calendar'!$T$1824)&lt;=VAL_SERIAL)*1000000+25*1000+16))</f>
        <v/>
      </c>
      <c r="EU184" s="121">
        <f>IF(N('Dvd Calendar'!$U$1825)=0,"",IF(('Dvd Calendar'!$U$1825&gt;=GRID_FROM)*('Dvd Calendar'!$U$1825&lt;=GRID_TO)*((('Dvd Calendar'!$U$1825&lt;=VAL_DATE)+(COUNTIF('Dvd Calendar'!$E$1832:$AR$1832,'Dvd Calendar'!$U$1825)=0))&gt;0)=0,"",'Dvd Calendar'!$U$1825*1000000000+ISNUMBER('Dvd Calendar'!$U$1828)*100000000+('Dvd Calendar'!$U$1830=SPECIAL_LBL)*10000000+(N('Dvd Calendar'!$U$1824)&gt;0)*(N('Dvd Calendar'!$U$1824)&lt;=VAL_SERIAL)*1000000+25*1000+17))</f>
        <v/>
      </c>
      <c r="EV184" s="121">
        <f>IF(N('Dvd Calendar'!$V$1825)=0,"",IF(('Dvd Calendar'!$V$1825&gt;=GRID_FROM)*('Dvd Calendar'!$V$1825&lt;=GRID_TO)*((('Dvd Calendar'!$V$1825&lt;=VAL_DATE)+(COUNTIF('Dvd Calendar'!$E$1832:$AR$1832,'Dvd Calendar'!$V$1825)=0))&gt;0)=0,"",'Dvd Calendar'!$V$1825*1000000000+ISNUMBER('Dvd Calendar'!$V$1828)*100000000+('Dvd Calendar'!$V$1830=SPECIAL_LBL)*10000000+(N('Dvd Calendar'!$V$1824)&gt;0)*(N('Dvd Calendar'!$V$1824)&lt;=VAL_SERIAL)*1000000+25*1000+18))</f>
        <v/>
      </c>
      <c r="EW184" s="121">
        <f>IF(N('Dvd Calendar'!$W$1825)=0,"",IF(('Dvd Calendar'!$W$1825&gt;=GRID_FROM)*('Dvd Calendar'!$W$1825&lt;=GRID_TO)*((('Dvd Calendar'!$W$1825&lt;=VAL_DATE)+(COUNTIF('Dvd Calendar'!$E$1832:$AR$1832,'Dvd Calendar'!$W$1825)=0))&gt;0)=0,"",'Dvd Calendar'!$W$1825*1000000000+ISNUMBER('Dvd Calendar'!$W$1828)*100000000+('Dvd Calendar'!$W$1830=SPECIAL_LBL)*10000000+(N('Dvd Calendar'!$W$1824)&gt;0)*(N('Dvd Calendar'!$W$1824)&lt;=VAL_SERIAL)*1000000+25*1000+19))</f>
        <v/>
      </c>
      <c r="EX184" s="121">
        <f>IF(N('Dvd Calendar'!$X$1825)=0,"",IF(('Dvd Calendar'!$X$1825&gt;=GRID_FROM)*('Dvd Calendar'!$X$1825&lt;=GRID_TO)*((('Dvd Calendar'!$X$1825&lt;=VAL_DATE)+(COUNTIF('Dvd Calendar'!$E$1832:$AR$1832,'Dvd Calendar'!$X$1825)=0))&gt;0)=0,"",'Dvd Calendar'!$X$1825*1000000000+ISNUMBER('Dvd Calendar'!$X$1828)*100000000+('Dvd Calendar'!$X$1830=SPECIAL_LBL)*10000000+(N('Dvd Calendar'!$X$1824)&gt;0)*(N('Dvd Calendar'!$X$1824)&lt;=VAL_SERIAL)*1000000+25*1000+20))</f>
        <v/>
      </c>
      <c r="EY184" s="121">
        <f>IF(N('Dvd Calendar'!$Y$1825)=0,"",IF(('Dvd Calendar'!$Y$1825&gt;=GRID_FROM)*('Dvd Calendar'!$Y$1825&lt;=GRID_TO)*((('Dvd Calendar'!$Y$1825&lt;=VAL_DATE)+(COUNTIF('Dvd Calendar'!$E$1832:$AR$1832,'Dvd Calendar'!$Y$1825)=0))&gt;0)=0,"",'Dvd Calendar'!$Y$1825*1000000000+ISNUMBER('Dvd Calendar'!$Y$1828)*100000000+('Dvd Calendar'!$Y$1830=SPECIAL_LBL)*10000000+(N('Dvd Calendar'!$Y$1824)&gt;0)*(N('Dvd Calendar'!$Y$1824)&lt;=VAL_SERIAL)*1000000+25*1000+21))</f>
        <v/>
      </c>
      <c r="EZ184" s="121">
        <f>IF(N('Dvd Calendar'!$Z$1825)=0,"",IF(('Dvd Calendar'!$Z$1825&gt;=GRID_FROM)*('Dvd Calendar'!$Z$1825&lt;=GRID_TO)*((('Dvd Calendar'!$Z$1825&lt;=VAL_DATE)+(COUNTIF('Dvd Calendar'!$E$1832:$AR$1832,'Dvd Calendar'!$Z$1825)=0))&gt;0)=0,"",'Dvd Calendar'!$Z$1825*1000000000+ISNUMBER('Dvd Calendar'!$Z$1828)*100000000+('Dvd Calendar'!$Z$1830=SPECIAL_LBL)*10000000+(N('Dvd Calendar'!$Z$1824)&gt;0)*(N('Dvd Calendar'!$Z$1824)&lt;=VAL_SERIAL)*1000000+25*1000+22))</f>
        <v/>
      </c>
      <c r="FA184" s="121">
        <f>IF(N('Dvd Calendar'!$AA$1825)=0,"",IF(('Dvd Calendar'!$AA$1825&gt;=GRID_FROM)*('Dvd Calendar'!$AA$1825&lt;=GRID_TO)*((('Dvd Calendar'!$AA$1825&lt;=VAL_DATE)+(COUNTIF('Dvd Calendar'!$E$1832:$AR$1832,'Dvd Calendar'!$AA$1825)=0))&gt;0)=0,"",'Dvd Calendar'!$AA$1825*1000000000+ISNUMBER('Dvd Calendar'!$AA$1828)*100000000+('Dvd Calendar'!$AA$1830=SPECIAL_LBL)*10000000+(N('Dvd Calendar'!$AA$1824)&gt;0)*(N('Dvd Calendar'!$AA$1824)&lt;=VAL_SERIAL)*1000000+25*1000+23))</f>
        <v/>
      </c>
      <c r="FB184" s="121">
        <f>IF(N('Dvd Calendar'!$AB$1825)=0,"",IF(('Dvd Calendar'!$AB$1825&gt;=GRID_FROM)*('Dvd Calendar'!$AB$1825&lt;=GRID_TO)*((('Dvd Calendar'!$AB$1825&lt;=VAL_DATE)+(COUNTIF('Dvd Calendar'!$E$1832:$AR$1832,'Dvd Calendar'!$AB$1825)=0))&gt;0)=0,"",'Dvd Calendar'!$AB$1825*1000000000+ISNUMBER('Dvd Calendar'!$AB$1828)*100000000+('Dvd Calendar'!$AB$1830=SPECIAL_LBL)*10000000+(N('Dvd Calendar'!$AB$1824)&gt;0)*(N('Dvd Calendar'!$AB$1824)&lt;=VAL_SERIAL)*1000000+25*1000+24))</f>
        <v/>
      </c>
      <c r="FC184" s="121">
        <f>IF(N('Dvd Calendar'!$AC$1825)=0,"",IF(('Dvd Calendar'!$AC$1825&gt;=GRID_FROM)*('Dvd Calendar'!$AC$1825&lt;=GRID_TO)*((('Dvd Calendar'!$AC$1825&lt;=VAL_DATE)+(COUNTIF('Dvd Calendar'!$E$1832:$AR$1832,'Dvd Calendar'!$AC$1825)=0))&gt;0)=0,"",'Dvd Calendar'!$AC$1825*1000000000+ISNUMBER('Dvd Calendar'!$AC$1828)*100000000+('Dvd Calendar'!$AC$1830=SPECIAL_LBL)*10000000+(N('Dvd Calendar'!$AC$1824)&gt;0)*(N('Dvd Calendar'!$AC$1824)&lt;=VAL_SERIAL)*1000000+25*1000+25))</f>
        <v/>
      </c>
      <c r="FD184" s="121">
        <f>IF(N('Dvd Calendar'!$AD$1825)=0,"",IF(('Dvd Calendar'!$AD$1825&gt;=GRID_FROM)*('Dvd Calendar'!$AD$1825&lt;=GRID_TO)*((('Dvd Calendar'!$AD$1825&lt;=VAL_DATE)+(COUNTIF('Dvd Calendar'!$E$1832:$AR$1832,'Dvd Calendar'!$AD$1825)=0))&gt;0)=0,"",'Dvd Calendar'!$AD$1825*1000000000+ISNUMBER('Dvd Calendar'!$AD$1828)*100000000+('Dvd Calendar'!$AD$1830=SPECIAL_LBL)*10000000+(N('Dvd Calendar'!$AD$1824)&gt;0)*(N('Dvd Calendar'!$AD$1824)&lt;=VAL_SERIAL)*1000000+25*1000+26))</f>
        <v/>
      </c>
      <c r="FE184" s="121">
        <f>IF(N('Dvd Calendar'!$AE$1825)=0,"",IF(('Dvd Calendar'!$AE$1825&gt;=GRID_FROM)*('Dvd Calendar'!$AE$1825&lt;=GRID_TO)*((('Dvd Calendar'!$AE$1825&lt;=VAL_DATE)+(COUNTIF('Dvd Calendar'!$E$1832:$AR$1832,'Dvd Calendar'!$AE$1825)=0))&gt;0)=0,"",'Dvd Calendar'!$AE$1825*1000000000+ISNUMBER('Dvd Calendar'!$AE$1828)*100000000+('Dvd Calendar'!$AE$1830=SPECIAL_LBL)*10000000+(N('Dvd Calendar'!$AE$1824)&gt;0)*(N('Dvd Calendar'!$AE$1824)&lt;=VAL_SERIAL)*1000000+25*1000+27))</f>
        <v/>
      </c>
      <c r="FF184" s="121">
        <f>IF(N('Dvd Calendar'!$AF$1825)=0,"",IF(('Dvd Calendar'!$AF$1825&gt;=GRID_FROM)*('Dvd Calendar'!$AF$1825&lt;=GRID_TO)*((('Dvd Calendar'!$AF$1825&lt;=VAL_DATE)+(COUNTIF('Dvd Calendar'!$E$1832:$AR$1832,'Dvd Calendar'!$AF$1825)=0))&gt;0)=0,"",'Dvd Calendar'!$AF$1825*1000000000+ISNUMBER('Dvd Calendar'!$AF$1828)*100000000+('Dvd Calendar'!$AF$1830=SPECIAL_LBL)*10000000+(N('Dvd Calendar'!$AF$1824)&gt;0)*(N('Dvd Calendar'!$AF$1824)&lt;=VAL_SERIAL)*1000000+25*1000+28))</f>
        <v/>
      </c>
      <c r="FG184" s="121">
        <f>IF(N('Dvd Calendar'!$AG$1825)=0,"",IF(('Dvd Calendar'!$AG$1825&gt;=GRID_FROM)*('Dvd Calendar'!$AG$1825&lt;=GRID_TO)*((('Dvd Calendar'!$AG$1825&lt;=VAL_DATE)+(COUNTIF('Dvd Calendar'!$E$1832:$AR$1832,'Dvd Calendar'!$AG$1825)=0))&gt;0)=0,"",'Dvd Calendar'!$AG$1825*1000000000+ISNUMBER('Dvd Calendar'!$AG$1828)*100000000+('Dvd Calendar'!$AG$1830=SPECIAL_LBL)*10000000+(N('Dvd Calendar'!$AG$1824)&gt;0)*(N('Dvd Calendar'!$AG$1824)&lt;=VAL_SERIAL)*1000000+25*1000+29))</f>
        <v/>
      </c>
      <c r="FH184" s="121">
        <f>IF(N('Dvd Calendar'!$AH$1825)=0,"",IF(('Dvd Calendar'!$AH$1825&gt;=GRID_FROM)*('Dvd Calendar'!$AH$1825&lt;=GRID_TO)*((('Dvd Calendar'!$AH$1825&lt;=VAL_DATE)+(COUNTIF('Dvd Calendar'!$E$1832:$AR$1832,'Dvd Calendar'!$AH$1825)=0))&gt;0)=0,"",'Dvd Calendar'!$AH$1825*1000000000+ISNUMBER('Dvd Calendar'!$AH$1828)*100000000+('Dvd Calendar'!$AH$1830=SPECIAL_LBL)*10000000+(N('Dvd Calendar'!$AH$1824)&gt;0)*(N('Dvd Calendar'!$AH$1824)&lt;=VAL_SERIAL)*1000000+25*1000+30))</f>
        <v/>
      </c>
      <c r="FI184" s="121">
        <f>IF(N('Dvd Calendar'!$AI$1825)=0,"",IF(('Dvd Calendar'!$AI$1825&gt;=GRID_FROM)*('Dvd Calendar'!$AI$1825&lt;=GRID_TO)*((('Dvd Calendar'!$AI$1825&lt;=VAL_DATE)+(COUNTIF('Dvd Calendar'!$E$1832:$AR$1832,'Dvd Calendar'!$AI$1825)=0))&gt;0)=0,"",'Dvd Calendar'!$AI$1825*1000000000+ISNUMBER('Dvd Calendar'!$AI$1828)*100000000+('Dvd Calendar'!$AI$1830=SPECIAL_LBL)*10000000+(N('Dvd Calendar'!$AI$1824)&gt;0)*(N('Dvd Calendar'!$AI$1824)&lt;=VAL_SERIAL)*1000000+25*1000+31))</f>
        <v/>
      </c>
      <c r="FJ184" s="121">
        <f>IF(N('Dvd Calendar'!$AJ$1825)=0,"",IF(('Dvd Calendar'!$AJ$1825&gt;=GRID_FROM)*('Dvd Calendar'!$AJ$1825&lt;=GRID_TO)*((('Dvd Calendar'!$AJ$1825&lt;=VAL_DATE)+(COUNTIF('Dvd Calendar'!$E$1832:$AR$1832,'Dvd Calendar'!$AJ$1825)=0))&gt;0)=0,"",'Dvd Calendar'!$AJ$1825*1000000000+ISNUMBER('Dvd Calendar'!$AJ$1828)*100000000+('Dvd Calendar'!$AJ$1830=SPECIAL_LBL)*10000000+(N('Dvd Calendar'!$AJ$1824)&gt;0)*(N('Dvd Calendar'!$AJ$1824)&lt;=VAL_SERIAL)*1000000+25*1000+32))</f>
        <v/>
      </c>
      <c r="FK184" s="121">
        <f>IF(N('Dvd Calendar'!$AK$1825)=0,"",IF(('Dvd Calendar'!$AK$1825&gt;=GRID_FROM)*('Dvd Calendar'!$AK$1825&lt;=GRID_TO)*((('Dvd Calendar'!$AK$1825&lt;=VAL_DATE)+(COUNTIF('Dvd Calendar'!$E$1832:$AR$1832,'Dvd Calendar'!$AK$1825)=0))&gt;0)=0,"",'Dvd Calendar'!$AK$1825*1000000000+ISNUMBER('Dvd Calendar'!$AK$1828)*100000000+('Dvd Calendar'!$AK$1830=SPECIAL_LBL)*10000000+(N('Dvd Calendar'!$AK$1824)&gt;0)*(N('Dvd Calendar'!$AK$1824)&lt;=VAL_SERIAL)*1000000+25*1000+33))</f>
        <v/>
      </c>
      <c r="FL184" s="121">
        <f>IF(N('Dvd Calendar'!$AL$1825)=0,"",IF(('Dvd Calendar'!$AL$1825&gt;=GRID_FROM)*('Dvd Calendar'!$AL$1825&lt;=GRID_TO)*((('Dvd Calendar'!$AL$1825&lt;=VAL_DATE)+(COUNTIF('Dvd Calendar'!$E$1832:$AR$1832,'Dvd Calendar'!$AL$1825)=0))&gt;0)=0,"",'Dvd Calendar'!$AL$1825*1000000000+ISNUMBER('Dvd Calendar'!$AL$1828)*100000000+('Dvd Calendar'!$AL$1830=SPECIAL_LBL)*10000000+(N('Dvd Calendar'!$AL$1824)&gt;0)*(N('Dvd Calendar'!$AL$1824)&lt;=VAL_SERIAL)*1000000+25*1000+34))</f>
        <v/>
      </c>
      <c r="FM184" s="121">
        <f>IF(N('Dvd Calendar'!$AM$1825)=0,"",IF(('Dvd Calendar'!$AM$1825&gt;=GRID_FROM)*('Dvd Calendar'!$AM$1825&lt;=GRID_TO)*((('Dvd Calendar'!$AM$1825&lt;=VAL_DATE)+(COUNTIF('Dvd Calendar'!$E$1832:$AR$1832,'Dvd Calendar'!$AM$1825)=0))&gt;0)=0,"",'Dvd Calendar'!$AM$1825*1000000000+ISNUMBER('Dvd Calendar'!$AM$1828)*100000000+('Dvd Calendar'!$AM$1830=SPECIAL_LBL)*10000000+(N('Dvd Calendar'!$AM$1824)&gt;0)*(N('Dvd Calendar'!$AM$1824)&lt;=VAL_SERIAL)*1000000+25*1000+35))</f>
        <v/>
      </c>
      <c r="FN184" s="121">
        <f>IF(N('Dvd Calendar'!$AN$1825)=0,"",IF(('Dvd Calendar'!$AN$1825&gt;=GRID_FROM)*('Dvd Calendar'!$AN$1825&lt;=GRID_TO)*((('Dvd Calendar'!$AN$1825&lt;=VAL_DATE)+(COUNTIF('Dvd Calendar'!$E$1832:$AR$1832,'Dvd Calendar'!$AN$1825)=0))&gt;0)=0,"",'Dvd Calendar'!$AN$1825*1000000000+ISNUMBER('Dvd Calendar'!$AN$1828)*100000000+('Dvd Calendar'!$AN$1830=SPECIAL_LBL)*10000000+(N('Dvd Calendar'!$AN$1824)&gt;0)*(N('Dvd Calendar'!$AN$1824)&lt;=VAL_SERIAL)*1000000+25*1000+36))</f>
        <v/>
      </c>
      <c r="FO184" s="121">
        <f>IF(N('Dvd Calendar'!$AO$1825)=0,"",IF(('Dvd Calendar'!$AO$1825&gt;=GRID_FROM)*('Dvd Calendar'!$AO$1825&lt;=GRID_TO)*((('Dvd Calendar'!$AO$1825&lt;=VAL_DATE)+(COUNTIF('Dvd Calendar'!$E$1832:$AR$1832,'Dvd Calendar'!$AO$1825)=0))&gt;0)=0,"",'Dvd Calendar'!$AO$1825*1000000000+ISNUMBER('Dvd Calendar'!$AO$1828)*100000000+('Dvd Calendar'!$AO$1830=SPECIAL_LBL)*10000000+(N('Dvd Calendar'!$AO$1824)&gt;0)*(N('Dvd Calendar'!$AO$1824)&lt;=VAL_SERIAL)*1000000+25*1000+37))</f>
        <v/>
      </c>
      <c r="FP184" s="121">
        <f>IF(N('Dvd Calendar'!$AP$1825)=0,"",IF(('Dvd Calendar'!$AP$1825&gt;=GRID_FROM)*('Dvd Calendar'!$AP$1825&lt;=GRID_TO)*((('Dvd Calendar'!$AP$1825&lt;=VAL_DATE)+(COUNTIF('Dvd Calendar'!$E$1832:$AR$1832,'Dvd Calendar'!$AP$1825)=0))&gt;0)=0,"",'Dvd Calendar'!$AP$1825*1000000000+ISNUMBER('Dvd Calendar'!$AP$1828)*100000000+('Dvd Calendar'!$AP$1830=SPECIAL_LBL)*10000000+(N('Dvd Calendar'!$AP$1824)&gt;0)*(N('Dvd Calendar'!$AP$1824)&lt;=VAL_SERIAL)*1000000+25*1000+38))</f>
        <v/>
      </c>
      <c r="FQ184" s="121">
        <f>IF(N('Dvd Calendar'!$AQ$1825)=0,"",IF(('Dvd Calendar'!$AQ$1825&gt;=GRID_FROM)*('Dvd Calendar'!$AQ$1825&lt;=GRID_TO)*((('Dvd Calendar'!$AQ$1825&lt;=VAL_DATE)+(COUNTIF('Dvd Calendar'!$E$1832:$AR$1832,'Dvd Calendar'!$AQ$1825)=0))&gt;0)=0,"",'Dvd Calendar'!$AQ$1825*1000000000+ISNUMBER('Dvd Calendar'!$AQ$1828)*100000000+('Dvd Calendar'!$AQ$1830=SPECIAL_LBL)*10000000+(N('Dvd Calendar'!$AQ$1824)&gt;0)*(N('Dvd Calendar'!$AQ$1824)&lt;=VAL_SERIAL)*1000000+25*1000+39))</f>
        <v/>
      </c>
      <c r="FR184" s="121">
        <f>IF(N('Dvd Calendar'!$AR$1825)=0,"",IF(('Dvd Calendar'!$AR$1825&gt;=GRID_FROM)*('Dvd Calendar'!$AR$1825&lt;=GRID_TO)*((('Dvd Calendar'!$AR$1825&lt;=VAL_DATE)+(COUNTIF('Dvd Calendar'!$E$1832:$AR$1832,'Dvd Calendar'!$AR$1825)=0))&gt;0)=0,"",'Dvd Calendar'!$AR$1825*1000000000+ISNUMBER('Dvd Calendar'!$AR$1828)*100000000+('Dvd Calendar'!$AR$1830=SPECIAL_LBL)*10000000+(N('Dvd Calendar'!$AR$1824)&gt;0)*(N('Dvd Calendar'!$AR$1824)&lt;=VAL_SERIAL)*1000000+25*1000+40))</f>
        <v/>
      </c>
      <c r="FS184" s="121">
        <f>IF(N('Dvd Calendar'!$E$1832)=0,"",IF(('Dvd Calendar'!$E$1832&gt;=GRID_FROM)*('Dvd Calendar'!$E$1832&lt;=GRID_TO)*('Dvd Calendar'!$E$1832&gt;VAL_DATE)=0,"",'Dvd Calendar'!$E$1832*1000000000+ISNUMBER('Dvd Calendar'!$E$1833)*100000000+0*10000000+(N('Dvd Calendar'!$E$1831)&gt;0)*(N('Dvd Calendar'!$E$1831)&lt;=VAL_SERIAL)*1000000+25*1000+41))</f>
        <v/>
      </c>
      <c r="FT184" s="121">
        <f>IF(N('Dvd Calendar'!$F$1832)=0,"",IF(('Dvd Calendar'!$F$1832&gt;=GRID_FROM)*('Dvd Calendar'!$F$1832&lt;=GRID_TO)*('Dvd Calendar'!$F$1832&gt;VAL_DATE)=0,"",'Dvd Calendar'!$F$1832*1000000000+ISNUMBER('Dvd Calendar'!$F$1833)*100000000+0*10000000+(N('Dvd Calendar'!$F$1831)&gt;0)*(N('Dvd Calendar'!$F$1831)&lt;=VAL_SERIAL)*1000000+25*1000+42))</f>
        <v/>
      </c>
      <c r="FU184" s="121">
        <f>IF(N('Dvd Calendar'!$G$1832)=0,"",IF(('Dvd Calendar'!$G$1832&gt;=GRID_FROM)*('Dvd Calendar'!$G$1832&lt;=GRID_TO)*('Dvd Calendar'!$G$1832&gt;VAL_DATE)=0,"",'Dvd Calendar'!$G$1832*1000000000+ISNUMBER('Dvd Calendar'!$G$1833)*100000000+0*10000000+(N('Dvd Calendar'!$G$1831)&gt;0)*(N('Dvd Calendar'!$G$1831)&lt;=VAL_SERIAL)*1000000+25*1000+43))</f>
        <v/>
      </c>
      <c r="FV184" s="121">
        <f>IF(N('Dvd Calendar'!$H$1832)=0,"",IF(('Dvd Calendar'!$H$1832&gt;=GRID_FROM)*('Dvd Calendar'!$H$1832&lt;=GRID_TO)*('Dvd Calendar'!$H$1832&gt;VAL_DATE)=0,"",'Dvd Calendar'!$H$1832*1000000000+ISNUMBER('Dvd Calendar'!$H$1833)*100000000+0*10000000+(N('Dvd Calendar'!$H$1831)&gt;0)*(N('Dvd Calendar'!$H$1831)&lt;=VAL_SERIAL)*1000000+25*1000+44))</f>
        <v/>
      </c>
      <c r="FW184" s="121">
        <f>IF(N('Dvd Calendar'!$I$1832)=0,"",IF(('Dvd Calendar'!$I$1832&gt;=GRID_FROM)*('Dvd Calendar'!$I$1832&lt;=GRID_TO)*('Dvd Calendar'!$I$1832&gt;VAL_DATE)=0,"",'Dvd Calendar'!$I$1832*1000000000+ISNUMBER('Dvd Calendar'!$I$1833)*100000000+0*10000000+(N('Dvd Calendar'!$I$1831)&gt;0)*(N('Dvd Calendar'!$I$1831)&lt;=VAL_SERIAL)*1000000+25*1000+45))</f>
        <v/>
      </c>
      <c r="FX184" s="121">
        <f>IF(N('Dvd Calendar'!$J$1832)=0,"",IF(('Dvd Calendar'!$J$1832&gt;=GRID_FROM)*('Dvd Calendar'!$J$1832&lt;=GRID_TO)*('Dvd Calendar'!$J$1832&gt;VAL_DATE)=0,"",'Dvd Calendar'!$J$1832*1000000000+ISNUMBER('Dvd Calendar'!$J$1833)*100000000+0*10000000+(N('Dvd Calendar'!$J$1831)&gt;0)*(N('Dvd Calendar'!$J$1831)&lt;=VAL_SERIAL)*1000000+25*1000+46))</f>
        <v/>
      </c>
      <c r="FY184" s="121">
        <f>IF(N('Dvd Calendar'!$K$1832)=0,"",IF(('Dvd Calendar'!$K$1832&gt;=GRID_FROM)*('Dvd Calendar'!$K$1832&lt;=GRID_TO)*('Dvd Calendar'!$K$1832&gt;VAL_DATE)=0,"",'Dvd Calendar'!$K$1832*1000000000+ISNUMBER('Dvd Calendar'!$K$1833)*100000000+0*10000000+(N('Dvd Calendar'!$K$1831)&gt;0)*(N('Dvd Calendar'!$K$1831)&lt;=VAL_SERIAL)*1000000+25*1000+47))</f>
        <v/>
      </c>
      <c r="FZ184" s="121">
        <f>IF(N('Dvd Calendar'!$L$1832)=0,"",IF(('Dvd Calendar'!$L$1832&gt;=GRID_FROM)*('Dvd Calendar'!$L$1832&lt;=GRID_TO)*('Dvd Calendar'!$L$1832&gt;VAL_DATE)=0,"",'Dvd Calendar'!$L$1832*1000000000+ISNUMBER('Dvd Calendar'!$L$1833)*100000000+0*10000000+(N('Dvd Calendar'!$L$1831)&gt;0)*(N('Dvd Calendar'!$L$1831)&lt;=VAL_SERIAL)*1000000+25*1000+48))</f>
        <v/>
      </c>
      <c r="GA184" s="121">
        <f>IF(N('Dvd Calendar'!$M$1832)=0,"",IF(('Dvd Calendar'!$M$1832&gt;=GRID_FROM)*('Dvd Calendar'!$M$1832&lt;=GRID_TO)*('Dvd Calendar'!$M$1832&gt;VAL_DATE)=0,"",'Dvd Calendar'!$M$1832*1000000000+ISNUMBER('Dvd Calendar'!$M$1833)*100000000+0*10000000+(N('Dvd Calendar'!$M$1831)&gt;0)*(N('Dvd Calendar'!$M$1831)&lt;=VAL_SERIAL)*1000000+25*1000+49))</f>
        <v/>
      </c>
      <c r="GB184" s="121">
        <f>IF(N('Dvd Calendar'!$N$1832)=0,"",IF(('Dvd Calendar'!$N$1832&gt;=GRID_FROM)*('Dvd Calendar'!$N$1832&lt;=GRID_TO)*('Dvd Calendar'!$N$1832&gt;VAL_DATE)=0,"",'Dvd Calendar'!$N$1832*1000000000+ISNUMBER('Dvd Calendar'!$N$1833)*100000000+0*10000000+(N('Dvd Calendar'!$N$1831)&gt;0)*(N('Dvd Calendar'!$N$1831)&lt;=VAL_SERIAL)*1000000+25*1000+50))</f>
        <v/>
      </c>
      <c r="GC184" s="121">
        <f>IF(N('Dvd Calendar'!$O$1832)=0,"",IF(('Dvd Calendar'!$O$1832&gt;=GRID_FROM)*('Dvd Calendar'!$O$1832&lt;=GRID_TO)*('Dvd Calendar'!$O$1832&gt;VAL_DATE)=0,"",'Dvd Calendar'!$O$1832*1000000000+ISNUMBER('Dvd Calendar'!$O$1833)*100000000+0*10000000+(N('Dvd Calendar'!$O$1831)&gt;0)*(N('Dvd Calendar'!$O$1831)&lt;=VAL_SERIAL)*1000000+25*1000+51))</f>
        <v/>
      </c>
      <c r="GD184" s="121">
        <f>IF(N('Dvd Calendar'!$P$1832)=0,"",IF(('Dvd Calendar'!$P$1832&gt;=GRID_FROM)*('Dvd Calendar'!$P$1832&lt;=GRID_TO)*('Dvd Calendar'!$P$1832&gt;VAL_DATE)=0,"",'Dvd Calendar'!$P$1832*1000000000+ISNUMBER('Dvd Calendar'!$P$1833)*100000000+0*10000000+(N('Dvd Calendar'!$P$1831)&gt;0)*(N('Dvd Calendar'!$P$1831)&lt;=VAL_SERIAL)*1000000+25*1000+52))</f>
        <v/>
      </c>
      <c r="GE184" s="121">
        <f>IF(N('Dvd Calendar'!$Q$1832)=0,"",IF(('Dvd Calendar'!$Q$1832&gt;=GRID_FROM)*('Dvd Calendar'!$Q$1832&lt;=GRID_TO)*('Dvd Calendar'!$Q$1832&gt;VAL_DATE)=0,"",'Dvd Calendar'!$Q$1832*1000000000+ISNUMBER('Dvd Calendar'!$Q$1833)*100000000+0*10000000+(N('Dvd Calendar'!$Q$1831)&gt;0)*(N('Dvd Calendar'!$Q$1831)&lt;=VAL_SERIAL)*1000000+25*1000+53))</f>
        <v/>
      </c>
      <c r="GF184" s="121">
        <f>IF(N('Dvd Calendar'!$R$1832)=0,"",IF(('Dvd Calendar'!$R$1832&gt;=GRID_FROM)*('Dvd Calendar'!$R$1832&lt;=GRID_TO)*('Dvd Calendar'!$R$1832&gt;VAL_DATE)=0,"",'Dvd Calendar'!$R$1832*1000000000+ISNUMBER('Dvd Calendar'!$R$1833)*100000000+0*10000000+(N('Dvd Calendar'!$R$1831)&gt;0)*(N('Dvd Calendar'!$R$1831)&lt;=VAL_SERIAL)*1000000+25*1000+54))</f>
        <v/>
      </c>
      <c r="GG184" s="121">
        <f>IF(N('Dvd Calendar'!$S$1832)=0,"",IF(('Dvd Calendar'!$S$1832&gt;=GRID_FROM)*('Dvd Calendar'!$S$1832&lt;=GRID_TO)*('Dvd Calendar'!$S$1832&gt;VAL_DATE)=0,"",'Dvd Calendar'!$S$1832*1000000000+ISNUMBER('Dvd Calendar'!$S$1833)*100000000+0*10000000+(N('Dvd Calendar'!$S$1831)&gt;0)*(N('Dvd Calendar'!$S$1831)&lt;=VAL_SERIAL)*1000000+25*1000+55))</f>
        <v/>
      </c>
      <c r="GH184" s="121">
        <f>IF(N('Dvd Calendar'!$T$1832)=0,"",IF(('Dvd Calendar'!$T$1832&gt;=GRID_FROM)*('Dvd Calendar'!$T$1832&lt;=GRID_TO)*('Dvd Calendar'!$T$1832&gt;VAL_DATE)=0,"",'Dvd Calendar'!$T$1832*1000000000+ISNUMBER('Dvd Calendar'!$T$1833)*100000000+0*10000000+(N('Dvd Calendar'!$T$1831)&gt;0)*(N('Dvd Calendar'!$T$1831)&lt;=VAL_SERIAL)*1000000+25*1000+56))</f>
        <v/>
      </c>
      <c r="GI184" s="121">
        <f>IF(N('Dvd Calendar'!$U$1832)=0,"",IF(('Dvd Calendar'!$U$1832&gt;=GRID_FROM)*('Dvd Calendar'!$U$1832&lt;=GRID_TO)*('Dvd Calendar'!$U$1832&gt;VAL_DATE)=0,"",'Dvd Calendar'!$U$1832*1000000000+ISNUMBER('Dvd Calendar'!$U$1833)*100000000+0*10000000+(N('Dvd Calendar'!$U$1831)&gt;0)*(N('Dvd Calendar'!$U$1831)&lt;=VAL_SERIAL)*1000000+25*1000+57))</f>
        <v/>
      </c>
      <c r="GJ184" s="121">
        <f>IF(N('Dvd Calendar'!$V$1832)=0,"",IF(('Dvd Calendar'!$V$1832&gt;=GRID_FROM)*('Dvd Calendar'!$V$1832&lt;=GRID_TO)*('Dvd Calendar'!$V$1832&gt;VAL_DATE)=0,"",'Dvd Calendar'!$V$1832*1000000000+ISNUMBER('Dvd Calendar'!$V$1833)*100000000+0*10000000+(N('Dvd Calendar'!$V$1831)&gt;0)*(N('Dvd Calendar'!$V$1831)&lt;=VAL_SERIAL)*1000000+25*1000+58))</f>
        <v/>
      </c>
      <c r="GK184" s="121">
        <f>IF(N('Dvd Calendar'!$W$1832)=0,"",IF(('Dvd Calendar'!$W$1832&gt;=GRID_FROM)*('Dvd Calendar'!$W$1832&lt;=GRID_TO)*('Dvd Calendar'!$W$1832&gt;VAL_DATE)=0,"",'Dvd Calendar'!$W$1832*1000000000+ISNUMBER('Dvd Calendar'!$W$1833)*100000000+0*10000000+(N('Dvd Calendar'!$W$1831)&gt;0)*(N('Dvd Calendar'!$W$1831)&lt;=VAL_SERIAL)*1000000+25*1000+59))</f>
        <v/>
      </c>
      <c r="GL184" s="121">
        <f>IF(N('Dvd Calendar'!$X$1832)=0,"",IF(('Dvd Calendar'!$X$1832&gt;=GRID_FROM)*('Dvd Calendar'!$X$1832&lt;=GRID_TO)*('Dvd Calendar'!$X$1832&gt;VAL_DATE)=0,"",'Dvd Calendar'!$X$1832*1000000000+ISNUMBER('Dvd Calendar'!$X$1833)*100000000+0*10000000+(N('Dvd Calendar'!$X$1831)&gt;0)*(N('Dvd Calendar'!$X$1831)&lt;=VAL_SERIAL)*1000000+25*1000+60))</f>
        <v/>
      </c>
      <c r="GM184" s="121">
        <f>IF(N('Dvd Calendar'!$Y$1832)=0,"",IF(('Dvd Calendar'!$Y$1832&gt;=GRID_FROM)*('Dvd Calendar'!$Y$1832&lt;=GRID_TO)*('Dvd Calendar'!$Y$1832&gt;VAL_DATE)=0,"",'Dvd Calendar'!$Y$1832*1000000000+ISNUMBER('Dvd Calendar'!$Y$1833)*100000000+0*10000000+(N('Dvd Calendar'!$Y$1831)&gt;0)*(N('Dvd Calendar'!$Y$1831)&lt;=VAL_SERIAL)*1000000+25*1000+61))</f>
        <v/>
      </c>
      <c r="GN184" s="121">
        <f>IF(N('Dvd Calendar'!$Z$1832)=0,"",IF(('Dvd Calendar'!$Z$1832&gt;=GRID_FROM)*('Dvd Calendar'!$Z$1832&lt;=GRID_TO)*('Dvd Calendar'!$Z$1832&gt;VAL_DATE)=0,"",'Dvd Calendar'!$Z$1832*1000000000+ISNUMBER('Dvd Calendar'!$Z$1833)*100000000+0*10000000+(N('Dvd Calendar'!$Z$1831)&gt;0)*(N('Dvd Calendar'!$Z$1831)&lt;=VAL_SERIAL)*1000000+25*1000+62))</f>
        <v/>
      </c>
      <c r="GO184" s="121">
        <f>IF(N('Dvd Calendar'!$AA$1832)=0,"",IF(('Dvd Calendar'!$AA$1832&gt;=GRID_FROM)*('Dvd Calendar'!$AA$1832&lt;=GRID_TO)*('Dvd Calendar'!$AA$1832&gt;VAL_DATE)=0,"",'Dvd Calendar'!$AA$1832*1000000000+ISNUMBER('Dvd Calendar'!$AA$1833)*100000000+0*10000000+(N('Dvd Calendar'!$AA$1831)&gt;0)*(N('Dvd Calendar'!$AA$1831)&lt;=VAL_SERIAL)*1000000+25*1000+63))</f>
        <v/>
      </c>
      <c r="GP184" s="121">
        <f>IF(N('Dvd Calendar'!$AB$1832)=0,"",IF(('Dvd Calendar'!$AB$1832&gt;=GRID_FROM)*('Dvd Calendar'!$AB$1832&lt;=GRID_TO)*('Dvd Calendar'!$AB$1832&gt;VAL_DATE)=0,"",'Dvd Calendar'!$AB$1832*1000000000+ISNUMBER('Dvd Calendar'!$AB$1833)*100000000+0*10000000+(N('Dvd Calendar'!$AB$1831)&gt;0)*(N('Dvd Calendar'!$AB$1831)&lt;=VAL_SERIAL)*1000000+25*1000+64))</f>
        <v/>
      </c>
      <c r="GQ184" s="121">
        <f>IF(N('Dvd Calendar'!$AC$1832)=0,"",IF(('Dvd Calendar'!$AC$1832&gt;=GRID_FROM)*('Dvd Calendar'!$AC$1832&lt;=GRID_TO)*('Dvd Calendar'!$AC$1832&gt;VAL_DATE)=0,"",'Dvd Calendar'!$AC$1832*1000000000+ISNUMBER('Dvd Calendar'!$AC$1833)*100000000+0*10000000+(N('Dvd Calendar'!$AC$1831)&gt;0)*(N('Dvd Calendar'!$AC$1831)&lt;=VAL_SERIAL)*1000000+25*1000+65))</f>
        <v/>
      </c>
    </row>
    <row r="185">
      <c r="B185" s="2">
        <f>IF(HSCEI!$C$32="","",HSCEI!$C$32)</f>
        <v/>
      </c>
      <c r="C185" s="161">
        <f>IF(EE185="","",IF(ISNUMBER('Dvd Calendar'!$E$1839)=FALSE,"",IF((('Dvd Calendar'!$E$1841=TYPE1)*(TYPE1&lt;&gt;"")+('Dvd Calendar'!$E$1841=TYPE2)*(TYPE2&lt;&gt;"")+('Dvd Calendar'!$E$1841=TYPE3)*(TYPE3&lt;&gt;"")+('Dvd Calendar'!$E$1841=TYPE4)*(TYPE4&lt;&gt;"")+('Dvd Calendar'!$E$1841=SPECIAL_LBL)*(INC_SPECIALS="Y"))=0,"",'Dvd Calendar'!$E$1839)))</f>
        <v/>
      </c>
      <c r="D185" s="161">
        <f>IF(EF185="","",IF(ISNUMBER('Dvd Calendar'!$F$1839)=FALSE,"",IF((('Dvd Calendar'!$F$1841=TYPE1)*(TYPE1&lt;&gt;"")+('Dvd Calendar'!$F$1841=TYPE2)*(TYPE2&lt;&gt;"")+('Dvd Calendar'!$F$1841=TYPE3)*(TYPE3&lt;&gt;"")+('Dvd Calendar'!$F$1841=TYPE4)*(TYPE4&lt;&gt;"")+('Dvd Calendar'!$F$1841=SPECIAL_LBL)*(INC_SPECIALS="Y"))=0,"",'Dvd Calendar'!$F$1839)))</f>
        <v/>
      </c>
      <c r="E185" s="161">
        <f>IF(EG185="","",IF(ISNUMBER('Dvd Calendar'!$G$1839)=FALSE,"",IF((('Dvd Calendar'!$G$1841=TYPE1)*(TYPE1&lt;&gt;"")+('Dvd Calendar'!$G$1841=TYPE2)*(TYPE2&lt;&gt;"")+('Dvd Calendar'!$G$1841=TYPE3)*(TYPE3&lt;&gt;"")+('Dvd Calendar'!$G$1841=TYPE4)*(TYPE4&lt;&gt;"")+('Dvd Calendar'!$G$1841=SPECIAL_LBL)*(INC_SPECIALS="Y"))=0,"",'Dvd Calendar'!$G$1839)))</f>
        <v/>
      </c>
      <c r="F185" s="161">
        <f>IF(EH185="","",IF(ISNUMBER('Dvd Calendar'!$H$1839)=FALSE,"",IF((('Dvd Calendar'!$H$1841=TYPE1)*(TYPE1&lt;&gt;"")+('Dvd Calendar'!$H$1841=TYPE2)*(TYPE2&lt;&gt;"")+('Dvd Calendar'!$H$1841=TYPE3)*(TYPE3&lt;&gt;"")+('Dvd Calendar'!$H$1841=TYPE4)*(TYPE4&lt;&gt;"")+('Dvd Calendar'!$H$1841=SPECIAL_LBL)*(INC_SPECIALS="Y"))=0,"",'Dvd Calendar'!$H$1839)))</f>
        <v/>
      </c>
      <c r="G185" s="161">
        <f>IF(EI185="","",IF(ISNUMBER('Dvd Calendar'!$I$1839)=FALSE,"",IF((('Dvd Calendar'!$I$1841=TYPE1)*(TYPE1&lt;&gt;"")+('Dvd Calendar'!$I$1841=TYPE2)*(TYPE2&lt;&gt;"")+('Dvd Calendar'!$I$1841=TYPE3)*(TYPE3&lt;&gt;"")+('Dvd Calendar'!$I$1841=TYPE4)*(TYPE4&lt;&gt;"")+('Dvd Calendar'!$I$1841=SPECIAL_LBL)*(INC_SPECIALS="Y"))=0,"",'Dvd Calendar'!$I$1839)))</f>
        <v/>
      </c>
      <c r="H185" s="161">
        <f>IF(EJ185="","",IF(ISNUMBER('Dvd Calendar'!$J$1839)=FALSE,"",IF((('Dvd Calendar'!$J$1841=TYPE1)*(TYPE1&lt;&gt;"")+('Dvd Calendar'!$J$1841=TYPE2)*(TYPE2&lt;&gt;"")+('Dvd Calendar'!$J$1841=TYPE3)*(TYPE3&lt;&gt;"")+('Dvd Calendar'!$J$1841=TYPE4)*(TYPE4&lt;&gt;"")+('Dvd Calendar'!$J$1841=SPECIAL_LBL)*(INC_SPECIALS="Y"))=0,"",'Dvd Calendar'!$J$1839)))</f>
        <v/>
      </c>
      <c r="I185" s="161">
        <f>IF(EK185="","",IF(ISNUMBER('Dvd Calendar'!$K$1839)=FALSE,"",IF((('Dvd Calendar'!$K$1841=TYPE1)*(TYPE1&lt;&gt;"")+('Dvd Calendar'!$K$1841=TYPE2)*(TYPE2&lt;&gt;"")+('Dvd Calendar'!$K$1841=TYPE3)*(TYPE3&lt;&gt;"")+('Dvd Calendar'!$K$1841=TYPE4)*(TYPE4&lt;&gt;"")+('Dvd Calendar'!$K$1841=SPECIAL_LBL)*(INC_SPECIALS="Y"))=0,"",'Dvd Calendar'!$K$1839)))</f>
        <v/>
      </c>
      <c r="J185" s="161">
        <f>IF(EL185="","",IF(ISNUMBER('Dvd Calendar'!$L$1839)=FALSE,"",IF((('Dvd Calendar'!$L$1841=TYPE1)*(TYPE1&lt;&gt;"")+('Dvd Calendar'!$L$1841=TYPE2)*(TYPE2&lt;&gt;"")+('Dvd Calendar'!$L$1841=TYPE3)*(TYPE3&lt;&gt;"")+('Dvd Calendar'!$L$1841=TYPE4)*(TYPE4&lt;&gt;"")+('Dvd Calendar'!$L$1841=SPECIAL_LBL)*(INC_SPECIALS="Y"))=0,"",'Dvd Calendar'!$L$1839)))</f>
        <v/>
      </c>
      <c r="K185" s="161">
        <f>IF(EM185="","",IF(ISNUMBER('Dvd Calendar'!$M$1839)=FALSE,"",IF((('Dvd Calendar'!$M$1841=TYPE1)*(TYPE1&lt;&gt;"")+('Dvd Calendar'!$M$1841=TYPE2)*(TYPE2&lt;&gt;"")+('Dvd Calendar'!$M$1841=TYPE3)*(TYPE3&lt;&gt;"")+('Dvd Calendar'!$M$1841=TYPE4)*(TYPE4&lt;&gt;"")+('Dvd Calendar'!$M$1841=SPECIAL_LBL)*(INC_SPECIALS="Y"))=0,"",'Dvd Calendar'!$M$1839)))</f>
        <v/>
      </c>
      <c r="L185" s="161">
        <f>IF(EN185="","",IF(ISNUMBER('Dvd Calendar'!$N$1839)=FALSE,"",IF((('Dvd Calendar'!$N$1841=TYPE1)*(TYPE1&lt;&gt;"")+('Dvd Calendar'!$N$1841=TYPE2)*(TYPE2&lt;&gt;"")+('Dvd Calendar'!$N$1841=TYPE3)*(TYPE3&lt;&gt;"")+('Dvd Calendar'!$N$1841=TYPE4)*(TYPE4&lt;&gt;"")+('Dvd Calendar'!$N$1841=SPECIAL_LBL)*(INC_SPECIALS="Y"))=0,"",'Dvd Calendar'!$N$1839)))</f>
        <v/>
      </c>
      <c r="M185" s="161">
        <f>IF(EO185="","",IF(ISNUMBER('Dvd Calendar'!$O$1839)=FALSE,"",IF((('Dvd Calendar'!$O$1841=TYPE1)*(TYPE1&lt;&gt;"")+('Dvd Calendar'!$O$1841=TYPE2)*(TYPE2&lt;&gt;"")+('Dvd Calendar'!$O$1841=TYPE3)*(TYPE3&lt;&gt;"")+('Dvd Calendar'!$O$1841=TYPE4)*(TYPE4&lt;&gt;"")+('Dvd Calendar'!$O$1841=SPECIAL_LBL)*(INC_SPECIALS="Y"))=0,"",'Dvd Calendar'!$O$1839)))</f>
        <v/>
      </c>
      <c r="N185" s="161">
        <f>IF(EP185="","",IF(ISNUMBER('Dvd Calendar'!$P$1839)=FALSE,"",IF((('Dvd Calendar'!$P$1841=TYPE1)*(TYPE1&lt;&gt;"")+('Dvd Calendar'!$P$1841=TYPE2)*(TYPE2&lt;&gt;"")+('Dvd Calendar'!$P$1841=TYPE3)*(TYPE3&lt;&gt;"")+('Dvd Calendar'!$P$1841=TYPE4)*(TYPE4&lt;&gt;"")+('Dvd Calendar'!$P$1841=SPECIAL_LBL)*(INC_SPECIALS="Y"))=0,"",'Dvd Calendar'!$P$1839)))</f>
        <v/>
      </c>
      <c r="O185" s="161">
        <f>IF(EQ185="","",IF(ISNUMBER('Dvd Calendar'!$Q$1839)=FALSE,"",IF((('Dvd Calendar'!$Q$1841=TYPE1)*(TYPE1&lt;&gt;"")+('Dvd Calendar'!$Q$1841=TYPE2)*(TYPE2&lt;&gt;"")+('Dvd Calendar'!$Q$1841=TYPE3)*(TYPE3&lt;&gt;"")+('Dvd Calendar'!$Q$1841=TYPE4)*(TYPE4&lt;&gt;"")+('Dvd Calendar'!$Q$1841=SPECIAL_LBL)*(INC_SPECIALS="Y"))=0,"",'Dvd Calendar'!$Q$1839)))</f>
        <v/>
      </c>
      <c r="P185" s="161">
        <f>IF(ER185="","",IF(ISNUMBER('Dvd Calendar'!$R$1839)=FALSE,"",IF((('Dvd Calendar'!$R$1841=TYPE1)*(TYPE1&lt;&gt;"")+('Dvd Calendar'!$R$1841=TYPE2)*(TYPE2&lt;&gt;"")+('Dvd Calendar'!$R$1841=TYPE3)*(TYPE3&lt;&gt;"")+('Dvd Calendar'!$R$1841=TYPE4)*(TYPE4&lt;&gt;"")+('Dvd Calendar'!$R$1841=SPECIAL_LBL)*(INC_SPECIALS="Y"))=0,"",'Dvd Calendar'!$R$1839)))</f>
        <v/>
      </c>
      <c r="Q185" s="161">
        <f>IF(ES185="","",IF(ISNUMBER('Dvd Calendar'!$S$1839)=FALSE,"",IF((('Dvd Calendar'!$S$1841=TYPE1)*(TYPE1&lt;&gt;"")+('Dvd Calendar'!$S$1841=TYPE2)*(TYPE2&lt;&gt;"")+('Dvd Calendar'!$S$1841=TYPE3)*(TYPE3&lt;&gt;"")+('Dvd Calendar'!$S$1841=TYPE4)*(TYPE4&lt;&gt;"")+('Dvd Calendar'!$S$1841=SPECIAL_LBL)*(INC_SPECIALS="Y"))=0,"",'Dvd Calendar'!$S$1839)))</f>
        <v/>
      </c>
      <c r="R185" s="161">
        <f>IF(ET185="","",IF(ISNUMBER('Dvd Calendar'!$T$1839)=FALSE,"",IF((('Dvd Calendar'!$T$1841=TYPE1)*(TYPE1&lt;&gt;"")+('Dvd Calendar'!$T$1841=TYPE2)*(TYPE2&lt;&gt;"")+('Dvd Calendar'!$T$1841=TYPE3)*(TYPE3&lt;&gt;"")+('Dvd Calendar'!$T$1841=TYPE4)*(TYPE4&lt;&gt;"")+('Dvd Calendar'!$T$1841=SPECIAL_LBL)*(INC_SPECIALS="Y"))=0,"",'Dvd Calendar'!$T$1839)))</f>
        <v/>
      </c>
      <c r="S185" s="161">
        <f>IF(EU185="","",IF(ISNUMBER('Dvd Calendar'!$U$1839)=FALSE,"",IF((('Dvd Calendar'!$U$1841=TYPE1)*(TYPE1&lt;&gt;"")+('Dvd Calendar'!$U$1841=TYPE2)*(TYPE2&lt;&gt;"")+('Dvd Calendar'!$U$1841=TYPE3)*(TYPE3&lt;&gt;"")+('Dvd Calendar'!$U$1841=TYPE4)*(TYPE4&lt;&gt;"")+('Dvd Calendar'!$U$1841=SPECIAL_LBL)*(INC_SPECIALS="Y"))=0,"",'Dvd Calendar'!$U$1839)))</f>
        <v/>
      </c>
      <c r="T185" s="161">
        <f>IF(EV185="","",IF(ISNUMBER('Dvd Calendar'!$V$1839)=FALSE,"",IF((('Dvd Calendar'!$V$1841=TYPE1)*(TYPE1&lt;&gt;"")+('Dvd Calendar'!$V$1841=TYPE2)*(TYPE2&lt;&gt;"")+('Dvd Calendar'!$V$1841=TYPE3)*(TYPE3&lt;&gt;"")+('Dvd Calendar'!$V$1841=TYPE4)*(TYPE4&lt;&gt;"")+('Dvd Calendar'!$V$1841=SPECIAL_LBL)*(INC_SPECIALS="Y"))=0,"",'Dvd Calendar'!$V$1839)))</f>
        <v/>
      </c>
      <c r="U185" s="161">
        <f>IF(EW185="","",IF(ISNUMBER('Dvd Calendar'!$W$1839)=FALSE,"",IF((('Dvd Calendar'!$W$1841=TYPE1)*(TYPE1&lt;&gt;"")+('Dvd Calendar'!$W$1841=TYPE2)*(TYPE2&lt;&gt;"")+('Dvd Calendar'!$W$1841=TYPE3)*(TYPE3&lt;&gt;"")+('Dvd Calendar'!$W$1841=TYPE4)*(TYPE4&lt;&gt;"")+('Dvd Calendar'!$W$1841=SPECIAL_LBL)*(INC_SPECIALS="Y"))=0,"",'Dvd Calendar'!$W$1839)))</f>
        <v/>
      </c>
      <c r="V185" s="161">
        <f>IF(EX185="","",IF(ISNUMBER('Dvd Calendar'!$X$1839)=FALSE,"",IF((('Dvd Calendar'!$X$1841=TYPE1)*(TYPE1&lt;&gt;"")+('Dvd Calendar'!$X$1841=TYPE2)*(TYPE2&lt;&gt;"")+('Dvd Calendar'!$X$1841=TYPE3)*(TYPE3&lt;&gt;"")+('Dvd Calendar'!$X$1841=TYPE4)*(TYPE4&lt;&gt;"")+('Dvd Calendar'!$X$1841=SPECIAL_LBL)*(INC_SPECIALS="Y"))=0,"",'Dvd Calendar'!$X$1839)))</f>
        <v/>
      </c>
      <c r="W185" s="161">
        <f>IF(EY185="","",IF(ISNUMBER('Dvd Calendar'!$Y$1839)=FALSE,"",IF((('Dvd Calendar'!$Y$1841=TYPE1)*(TYPE1&lt;&gt;"")+('Dvd Calendar'!$Y$1841=TYPE2)*(TYPE2&lt;&gt;"")+('Dvd Calendar'!$Y$1841=TYPE3)*(TYPE3&lt;&gt;"")+('Dvd Calendar'!$Y$1841=TYPE4)*(TYPE4&lt;&gt;"")+('Dvd Calendar'!$Y$1841=SPECIAL_LBL)*(INC_SPECIALS="Y"))=0,"",'Dvd Calendar'!$Y$1839)))</f>
        <v/>
      </c>
      <c r="X185" s="161">
        <f>IF(EZ185="","",IF(ISNUMBER('Dvd Calendar'!$Z$1839)=FALSE,"",IF((('Dvd Calendar'!$Z$1841=TYPE1)*(TYPE1&lt;&gt;"")+('Dvd Calendar'!$Z$1841=TYPE2)*(TYPE2&lt;&gt;"")+('Dvd Calendar'!$Z$1841=TYPE3)*(TYPE3&lt;&gt;"")+('Dvd Calendar'!$Z$1841=TYPE4)*(TYPE4&lt;&gt;"")+('Dvd Calendar'!$Z$1841=SPECIAL_LBL)*(INC_SPECIALS="Y"))=0,"",'Dvd Calendar'!$Z$1839)))</f>
        <v/>
      </c>
      <c r="Y185" s="161">
        <f>IF(FA185="","",IF(ISNUMBER('Dvd Calendar'!$AA$1839)=FALSE,"",IF((('Dvd Calendar'!$AA$1841=TYPE1)*(TYPE1&lt;&gt;"")+('Dvd Calendar'!$AA$1841=TYPE2)*(TYPE2&lt;&gt;"")+('Dvd Calendar'!$AA$1841=TYPE3)*(TYPE3&lt;&gt;"")+('Dvd Calendar'!$AA$1841=TYPE4)*(TYPE4&lt;&gt;"")+('Dvd Calendar'!$AA$1841=SPECIAL_LBL)*(INC_SPECIALS="Y"))=0,"",'Dvd Calendar'!$AA$1839)))</f>
        <v/>
      </c>
      <c r="Z185" s="161">
        <f>IF(FB185="","",IF(ISNUMBER('Dvd Calendar'!$AB$1839)=FALSE,"",IF((('Dvd Calendar'!$AB$1841=TYPE1)*(TYPE1&lt;&gt;"")+('Dvd Calendar'!$AB$1841=TYPE2)*(TYPE2&lt;&gt;"")+('Dvd Calendar'!$AB$1841=TYPE3)*(TYPE3&lt;&gt;"")+('Dvd Calendar'!$AB$1841=TYPE4)*(TYPE4&lt;&gt;"")+('Dvd Calendar'!$AB$1841=SPECIAL_LBL)*(INC_SPECIALS="Y"))=0,"",'Dvd Calendar'!$AB$1839)))</f>
        <v/>
      </c>
      <c r="AA185" s="161">
        <f>IF(FC185="","",IF(ISNUMBER('Dvd Calendar'!$AC$1839)=FALSE,"",IF((('Dvd Calendar'!$AC$1841=TYPE1)*(TYPE1&lt;&gt;"")+('Dvd Calendar'!$AC$1841=TYPE2)*(TYPE2&lt;&gt;"")+('Dvd Calendar'!$AC$1841=TYPE3)*(TYPE3&lt;&gt;"")+('Dvd Calendar'!$AC$1841=TYPE4)*(TYPE4&lt;&gt;"")+('Dvd Calendar'!$AC$1841=SPECIAL_LBL)*(INC_SPECIALS="Y"))=0,"",'Dvd Calendar'!$AC$1839)))</f>
        <v/>
      </c>
      <c r="AB185" s="161">
        <f>IF(FD185="","",IF(ISNUMBER('Dvd Calendar'!$AD$1839)=FALSE,"",IF((('Dvd Calendar'!$AD$1841=TYPE1)*(TYPE1&lt;&gt;"")+('Dvd Calendar'!$AD$1841=TYPE2)*(TYPE2&lt;&gt;"")+('Dvd Calendar'!$AD$1841=TYPE3)*(TYPE3&lt;&gt;"")+('Dvd Calendar'!$AD$1841=TYPE4)*(TYPE4&lt;&gt;"")+('Dvd Calendar'!$AD$1841=SPECIAL_LBL)*(INC_SPECIALS="Y"))=0,"",'Dvd Calendar'!$AD$1839)))</f>
        <v/>
      </c>
      <c r="AC185" s="161">
        <f>IF(FE185="","",IF(ISNUMBER('Dvd Calendar'!$AE$1839)=FALSE,"",IF((('Dvd Calendar'!$AE$1841=TYPE1)*(TYPE1&lt;&gt;"")+('Dvd Calendar'!$AE$1841=TYPE2)*(TYPE2&lt;&gt;"")+('Dvd Calendar'!$AE$1841=TYPE3)*(TYPE3&lt;&gt;"")+('Dvd Calendar'!$AE$1841=TYPE4)*(TYPE4&lt;&gt;"")+('Dvd Calendar'!$AE$1841=SPECIAL_LBL)*(INC_SPECIALS="Y"))=0,"",'Dvd Calendar'!$AE$1839)))</f>
        <v/>
      </c>
      <c r="AD185" s="161">
        <f>IF(FF185="","",IF(ISNUMBER('Dvd Calendar'!$AF$1839)=FALSE,"",IF((('Dvd Calendar'!$AF$1841=TYPE1)*(TYPE1&lt;&gt;"")+('Dvd Calendar'!$AF$1841=TYPE2)*(TYPE2&lt;&gt;"")+('Dvd Calendar'!$AF$1841=TYPE3)*(TYPE3&lt;&gt;"")+('Dvd Calendar'!$AF$1841=TYPE4)*(TYPE4&lt;&gt;"")+('Dvd Calendar'!$AF$1841=SPECIAL_LBL)*(INC_SPECIALS="Y"))=0,"",'Dvd Calendar'!$AF$1839)))</f>
        <v/>
      </c>
      <c r="AE185" s="161">
        <f>IF(FG185="","",IF(ISNUMBER('Dvd Calendar'!$AG$1839)=FALSE,"",IF((('Dvd Calendar'!$AG$1841=TYPE1)*(TYPE1&lt;&gt;"")+('Dvd Calendar'!$AG$1841=TYPE2)*(TYPE2&lt;&gt;"")+('Dvd Calendar'!$AG$1841=TYPE3)*(TYPE3&lt;&gt;"")+('Dvd Calendar'!$AG$1841=TYPE4)*(TYPE4&lt;&gt;"")+('Dvd Calendar'!$AG$1841=SPECIAL_LBL)*(INC_SPECIALS="Y"))=0,"",'Dvd Calendar'!$AG$1839)))</f>
        <v/>
      </c>
      <c r="AF185" s="161">
        <f>IF(FH185="","",IF(ISNUMBER('Dvd Calendar'!$AH$1839)=FALSE,"",IF((('Dvd Calendar'!$AH$1841=TYPE1)*(TYPE1&lt;&gt;"")+('Dvd Calendar'!$AH$1841=TYPE2)*(TYPE2&lt;&gt;"")+('Dvd Calendar'!$AH$1841=TYPE3)*(TYPE3&lt;&gt;"")+('Dvd Calendar'!$AH$1841=TYPE4)*(TYPE4&lt;&gt;"")+('Dvd Calendar'!$AH$1841=SPECIAL_LBL)*(INC_SPECIALS="Y"))=0,"",'Dvd Calendar'!$AH$1839)))</f>
        <v/>
      </c>
      <c r="AG185" s="161">
        <f>IF(FI185="","",IF(ISNUMBER('Dvd Calendar'!$AI$1839)=FALSE,"",IF((('Dvd Calendar'!$AI$1841=TYPE1)*(TYPE1&lt;&gt;"")+('Dvd Calendar'!$AI$1841=TYPE2)*(TYPE2&lt;&gt;"")+('Dvd Calendar'!$AI$1841=TYPE3)*(TYPE3&lt;&gt;"")+('Dvd Calendar'!$AI$1841=TYPE4)*(TYPE4&lt;&gt;"")+('Dvd Calendar'!$AI$1841=SPECIAL_LBL)*(INC_SPECIALS="Y"))=0,"",'Dvd Calendar'!$AI$1839)))</f>
        <v/>
      </c>
      <c r="AH185" s="161">
        <f>IF(FJ185="","",IF(ISNUMBER('Dvd Calendar'!$AJ$1839)=FALSE,"",IF((('Dvd Calendar'!$AJ$1841=TYPE1)*(TYPE1&lt;&gt;"")+('Dvd Calendar'!$AJ$1841=TYPE2)*(TYPE2&lt;&gt;"")+('Dvd Calendar'!$AJ$1841=TYPE3)*(TYPE3&lt;&gt;"")+('Dvd Calendar'!$AJ$1841=TYPE4)*(TYPE4&lt;&gt;"")+('Dvd Calendar'!$AJ$1841=SPECIAL_LBL)*(INC_SPECIALS="Y"))=0,"",'Dvd Calendar'!$AJ$1839)))</f>
        <v/>
      </c>
      <c r="AI185" s="161">
        <f>IF(FK185="","",IF(ISNUMBER('Dvd Calendar'!$AK$1839)=FALSE,"",IF((('Dvd Calendar'!$AK$1841=TYPE1)*(TYPE1&lt;&gt;"")+('Dvd Calendar'!$AK$1841=TYPE2)*(TYPE2&lt;&gt;"")+('Dvd Calendar'!$AK$1841=TYPE3)*(TYPE3&lt;&gt;"")+('Dvd Calendar'!$AK$1841=TYPE4)*(TYPE4&lt;&gt;"")+('Dvd Calendar'!$AK$1841=SPECIAL_LBL)*(INC_SPECIALS="Y"))=0,"",'Dvd Calendar'!$AK$1839)))</f>
        <v/>
      </c>
      <c r="AJ185" s="161">
        <f>IF(FL185="","",IF(ISNUMBER('Dvd Calendar'!$AL$1839)=FALSE,"",IF((('Dvd Calendar'!$AL$1841=TYPE1)*(TYPE1&lt;&gt;"")+('Dvd Calendar'!$AL$1841=TYPE2)*(TYPE2&lt;&gt;"")+('Dvd Calendar'!$AL$1841=TYPE3)*(TYPE3&lt;&gt;"")+('Dvd Calendar'!$AL$1841=TYPE4)*(TYPE4&lt;&gt;"")+('Dvd Calendar'!$AL$1841=SPECIAL_LBL)*(INC_SPECIALS="Y"))=0,"",'Dvd Calendar'!$AL$1839)))</f>
        <v/>
      </c>
      <c r="AK185" s="161">
        <f>IF(FM185="","",IF(ISNUMBER('Dvd Calendar'!$AM$1839)=FALSE,"",IF((('Dvd Calendar'!$AM$1841=TYPE1)*(TYPE1&lt;&gt;"")+('Dvd Calendar'!$AM$1841=TYPE2)*(TYPE2&lt;&gt;"")+('Dvd Calendar'!$AM$1841=TYPE3)*(TYPE3&lt;&gt;"")+('Dvd Calendar'!$AM$1841=TYPE4)*(TYPE4&lt;&gt;"")+('Dvd Calendar'!$AM$1841=SPECIAL_LBL)*(INC_SPECIALS="Y"))=0,"",'Dvd Calendar'!$AM$1839)))</f>
        <v/>
      </c>
      <c r="AL185" s="161">
        <f>IF(FN185="","",IF(ISNUMBER('Dvd Calendar'!$AN$1839)=FALSE,"",IF((('Dvd Calendar'!$AN$1841=TYPE1)*(TYPE1&lt;&gt;"")+('Dvd Calendar'!$AN$1841=TYPE2)*(TYPE2&lt;&gt;"")+('Dvd Calendar'!$AN$1841=TYPE3)*(TYPE3&lt;&gt;"")+('Dvd Calendar'!$AN$1841=TYPE4)*(TYPE4&lt;&gt;"")+('Dvd Calendar'!$AN$1841=SPECIAL_LBL)*(INC_SPECIALS="Y"))=0,"",'Dvd Calendar'!$AN$1839)))</f>
        <v/>
      </c>
      <c r="AM185" s="161">
        <f>IF(FO185="","",IF(ISNUMBER('Dvd Calendar'!$AO$1839)=FALSE,"",IF((('Dvd Calendar'!$AO$1841=TYPE1)*(TYPE1&lt;&gt;"")+('Dvd Calendar'!$AO$1841=TYPE2)*(TYPE2&lt;&gt;"")+('Dvd Calendar'!$AO$1841=TYPE3)*(TYPE3&lt;&gt;"")+('Dvd Calendar'!$AO$1841=TYPE4)*(TYPE4&lt;&gt;"")+('Dvd Calendar'!$AO$1841=SPECIAL_LBL)*(INC_SPECIALS="Y"))=0,"",'Dvd Calendar'!$AO$1839)))</f>
        <v/>
      </c>
      <c r="AN185" s="161">
        <f>IF(FP185="","",IF(ISNUMBER('Dvd Calendar'!$AP$1839)=FALSE,"",IF((('Dvd Calendar'!$AP$1841=TYPE1)*(TYPE1&lt;&gt;"")+('Dvd Calendar'!$AP$1841=TYPE2)*(TYPE2&lt;&gt;"")+('Dvd Calendar'!$AP$1841=TYPE3)*(TYPE3&lt;&gt;"")+('Dvd Calendar'!$AP$1841=TYPE4)*(TYPE4&lt;&gt;"")+('Dvd Calendar'!$AP$1841=SPECIAL_LBL)*(INC_SPECIALS="Y"))=0,"",'Dvd Calendar'!$AP$1839)))</f>
        <v/>
      </c>
      <c r="AO185" s="161">
        <f>IF(FQ185="","",IF(ISNUMBER('Dvd Calendar'!$AQ$1839)=FALSE,"",IF((('Dvd Calendar'!$AQ$1841=TYPE1)*(TYPE1&lt;&gt;"")+('Dvd Calendar'!$AQ$1841=TYPE2)*(TYPE2&lt;&gt;"")+('Dvd Calendar'!$AQ$1841=TYPE3)*(TYPE3&lt;&gt;"")+('Dvd Calendar'!$AQ$1841=TYPE4)*(TYPE4&lt;&gt;"")+('Dvd Calendar'!$AQ$1841=SPECIAL_LBL)*(INC_SPECIALS="Y"))=0,"",'Dvd Calendar'!$AQ$1839)))</f>
        <v/>
      </c>
      <c r="AP185" s="161">
        <f>IF(FR185="","",IF(ISNUMBER('Dvd Calendar'!$AR$1839)=FALSE,"",IF((('Dvd Calendar'!$AR$1841=TYPE1)*(TYPE1&lt;&gt;"")+('Dvd Calendar'!$AR$1841=TYPE2)*(TYPE2&lt;&gt;"")+('Dvd Calendar'!$AR$1841=TYPE3)*(TYPE3&lt;&gt;"")+('Dvd Calendar'!$AR$1841=TYPE4)*(TYPE4&lt;&gt;"")+('Dvd Calendar'!$AR$1841=SPECIAL_LBL)*(INC_SPECIALS="Y"))=0,"",'Dvd Calendar'!$AR$1839)))</f>
        <v/>
      </c>
      <c r="AQ185" s="161">
        <f>IF(FS185="","",IF(ISNUMBER('Dvd Calendar'!$E$1844)=FALSE,"",'Dvd Calendar'!$E$1844))</f>
        <v/>
      </c>
      <c r="AR185" s="161">
        <f>IF(FT185="","",IF(ISNUMBER('Dvd Calendar'!$F$1844)=FALSE,"",'Dvd Calendar'!$F$1844))</f>
        <v/>
      </c>
      <c r="AS185" s="161">
        <f>IF(FU185="","",IF(ISNUMBER('Dvd Calendar'!$G$1844)=FALSE,"",'Dvd Calendar'!$G$1844))</f>
        <v/>
      </c>
      <c r="AT185" s="161">
        <f>IF(FV185="","",IF(ISNUMBER('Dvd Calendar'!$H$1844)=FALSE,"",'Dvd Calendar'!$H$1844))</f>
        <v/>
      </c>
      <c r="AU185" s="161">
        <f>IF(FW185="","",IF(ISNUMBER('Dvd Calendar'!$I$1844)=FALSE,"",'Dvd Calendar'!$I$1844))</f>
        <v/>
      </c>
      <c r="AV185" s="161">
        <f>IF(FX185="","",IF(ISNUMBER('Dvd Calendar'!$J$1844)=FALSE,"",'Dvd Calendar'!$J$1844))</f>
        <v/>
      </c>
      <c r="AW185" s="161">
        <f>IF(FY185="","",IF(ISNUMBER('Dvd Calendar'!$K$1844)=FALSE,"",'Dvd Calendar'!$K$1844))</f>
        <v/>
      </c>
      <c r="AX185" s="161">
        <f>IF(FZ185="","",IF(ISNUMBER('Dvd Calendar'!$L$1844)=FALSE,"",'Dvd Calendar'!$L$1844))</f>
        <v/>
      </c>
      <c r="AY185" s="161">
        <f>IF(GA185="","",IF(ISNUMBER('Dvd Calendar'!$M$1844)=FALSE,"",'Dvd Calendar'!$M$1844))</f>
        <v/>
      </c>
      <c r="AZ185" s="161">
        <f>IF(GB185="","",IF(ISNUMBER('Dvd Calendar'!$N$1844)=FALSE,"",'Dvd Calendar'!$N$1844))</f>
        <v/>
      </c>
      <c r="BA185" s="161">
        <f>IF(GC185="","",IF(ISNUMBER('Dvd Calendar'!$O$1844)=FALSE,"",'Dvd Calendar'!$O$1844))</f>
        <v/>
      </c>
      <c r="BB185" s="161">
        <f>IF(GD185="","",IF(ISNUMBER('Dvd Calendar'!$P$1844)=FALSE,"",'Dvd Calendar'!$P$1844))</f>
        <v/>
      </c>
      <c r="BC185" s="161">
        <f>IF(GE185="","",IF(ISNUMBER('Dvd Calendar'!$Q$1844)=FALSE,"",'Dvd Calendar'!$Q$1844))</f>
        <v/>
      </c>
      <c r="BD185" s="161">
        <f>IF(GF185="","",IF(ISNUMBER('Dvd Calendar'!$R$1844)=FALSE,"",'Dvd Calendar'!$R$1844))</f>
        <v/>
      </c>
      <c r="BE185" s="161">
        <f>IF(GG185="","",IF(ISNUMBER('Dvd Calendar'!$S$1844)=FALSE,"",'Dvd Calendar'!$S$1844))</f>
        <v/>
      </c>
      <c r="BF185" s="161">
        <f>IF(GH185="","",IF(ISNUMBER('Dvd Calendar'!$T$1844)=FALSE,"",'Dvd Calendar'!$T$1844))</f>
        <v/>
      </c>
      <c r="BG185" s="161">
        <f>IF(GI185="","",IF(ISNUMBER('Dvd Calendar'!$U$1844)=FALSE,"",'Dvd Calendar'!$U$1844))</f>
        <v/>
      </c>
      <c r="BH185" s="161">
        <f>IF(GJ185="","",IF(ISNUMBER('Dvd Calendar'!$V$1844)=FALSE,"",'Dvd Calendar'!$V$1844))</f>
        <v/>
      </c>
      <c r="BI185" s="161">
        <f>IF(GK185="","",IF(ISNUMBER('Dvd Calendar'!$W$1844)=FALSE,"",'Dvd Calendar'!$W$1844))</f>
        <v/>
      </c>
      <c r="BJ185" s="161">
        <f>IF(GL185="","",IF(ISNUMBER('Dvd Calendar'!$X$1844)=FALSE,"",'Dvd Calendar'!$X$1844))</f>
        <v/>
      </c>
      <c r="BK185" s="161">
        <f>IF(GM185="","",IF(ISNUMBER('Dvd Calendar'!$Y$1844)=FALSE,"",'Dvd Calendar'!$Y$1844))</f>
        <v/>
      </c>
      <c r="BL185" s="161">
        <f>IF(GN185="","",IF(ISNUMBER('Dvd Calendar'!$Z$1844)=FALSE,"",'Dvd Calendar'!$Z$1844))</f>
        <v/>
      </c>
      <c r="BM185" s="161">
        <f>IF(GO185="","",IF(ISNUMBER('Dvd Calendar'!$AA$1844)=FALSE,"",'Dvd Calendar'!$AA$1844))</f>
        <v/>
      </c>
      <c r="BN185" s="161">
        <f>IF(GP185="","",IF(ISNUMBER('Dvd Calendar'!$AB$1844)=FALSE,"",'Dvd Calendar'!$AB$1844))</f>
        <v/>
      </c>
      <c r="BO185" s="161">
        <f>IF(GQ185="","",IF(ISNUMBER('Dvd Calendar'!$AC$1844)=FALSE,"",'Dvd Calendar'!$AC$1844))</f>
        <v/>
      </c>
      <c r="BQ185" s="161">
        <f>IF(C185="","",IFERROR(C185*HSCEI!$B$32*HSCEI!$G$32/HSCEI!$B$3,""))</f>
        <v/>
      </c>
      <c r="BR185" s="161">
        <f>IF(D185="","",IFERROR(D185*HSCEI!$B$32*HSCEI!$G$32/HSCEI!$B$3,""))</f>
        <v/>
      </c>
      <c r="BS185" s="161">
        <f>IF(E185="","",IFERROR(E185*HSCEI!$B$32*HSCEI!$G$32/HSCEI!$B$3,""))</f>
        <v/>
      </c>
      <c r="BT185" s="161">
        <f>IF(F185="","",IFERROR(F185*HSCEI!$B$32*HSCEI!$G$32/HSCEI!$B$3,""))</f>
        <v/>
      </c>
      <c r="BU185" s="161">
        <f>IF(G185="","",IFERROR(G185*HSCEI!$B$32*HSCEI!$G$32/HSCEI!$B$3,""))</f>
        <v/>
      </c>
      <c r="BV185" s="161">
        <f>IF(H185="","",IFERROR(H185*HSCEI!$B$32*HSCEI!$G$32/HSCEI!$B$3,""))</f>
        <v/>
      </c>
      <c r="BW185" s="161">
        <f>IF(I185="","",IFERROR(I185*HSCEI!$B$32*HSCEI!$G$32/HSCEI!$B$3,""))</f>
        <v/>
      </c>
      <c r="BX185" s="161">
        <f>IF(J185="","",IFERROR(J185*HSCEI!$B$32*HSCEI!$G$32/HSCEI!$B$3,""))</f>
        <v/>
      </c>
      <c r="BY185" s="161">
        <f>IF(K185="","",IFERROR(K185*HSCEI!$B$32*HSCEI!$G$32/HSCEI!$B$3,""))</f>
        <v/>
      </c>
      <c r="BZ185" s="161">
        <f>IF(L185="","",IFERROR(L185*HSCEI!$B$32*HSCEI!$G$32/HSCEI!$B$3,""))</f>
        <v/>
      </c>
      <c r="CA185" s="161">
        <f>IF(M185="","",IFERROR(M185*HSCEI!$B$32*HSCEI!$G$32/HSCEI!$B$3,""))</f>
        <v/>
      </c>
      <c r="CB185" s="161">
        <f>IF(N185="","",IFERROR(N185*HSCEI!$B$32*HSCEI!$G$32/HSCEI!$B$3,""))</f>
        <v/>
      </c>
      <c r="CC185" s="161">
        <f>IF(O185="","",IFERROR(O185*HSCEI!$B$32*HSCEI!$G$32/HSCEI!$B$3,""))</f>
        <v/>
      </c>
      <c r="CD185" s="161">
        <f>IF(P185="","",IFERROR(P185*HSCEI!$B$32*HSCEI!$G$32/HSCEI!$B$3,""))</f>
        <v/>
      </c>
      <c r="CE185" s="161">
        <f>IF(Q185="","",IFERROR(Q185*HSCEI!$B$32*HSCEI!$G$32/HSCEI!$B$3,""))</f>
        <v/>
      </c>
      <c r="CF185" s="161">
        <f>IF(R185="","",IFERROR(R185*HSCEI!$B$32*HSCEI!$G$32/HSCEI!$B$3,""))</f>
        <v/>
      </c>
      <c r="CG185" s="161">
        <f>IF(S185="","",IFERROR(S185*HSCEI!$B$32*HSCEI!$G$32/HSCEI!$B$3,""))</f>
        <v/>
      </c>
      <c r="CH185" s="161">
        <f>IF(T185="","",IFERROR(T185*HSCEI!$B$32*HSCEI!$G$32/HSCEI!$B$3,""))</f>
        <v/>
      </c>
      <c r="CI185" s="161">
        <f>IF(U185="","",IFERROR(U185*HSCEI!$B$32*HSCEI!$G$32/HSCEI!$B$3,""))</f>
        <v/>
      </c>
      <c r="CJ185" s="161">
        <f>IF(V185="","",IFERROR(V185*HSCEI!$B$32*HSCEI!$G$32/HSCEI!$B$3,""))</f>
        <v/>
      </c>
      <c r="CK185" s="161">
        <f>IF(W185="","",IFERROR(W185*HSCEI!$B$32*HSCEI!$G$32/HSCEI!$B$3,""))</f>
        <v/>
      </c>
      <c r="CL185" s="161">
        <f>IF(X185="","",IFERROR(X185*HSCEI!$B$32*HSCEI!$G$32/HSCEI!$B$3,""))</f>
        <v/>
      </c>
      <c r="CM185" s="161">
        <f>IF(Y185="","",IFERROR(Y185*HSCEI!$B$32*HSCEI!$G$32/HSCEI!$B$3,""))</f>
        <v/>
      </c>
      <c r="CN185" s="161">
        <f>IF(Z185="","",IFERROR(Z185*HSCEI!$B$32*HSCEI!$G$32/HSCEI!$B$3,""))</f>
        <v/>
      </c>
      <c r="CO185" s="161">
        <f>IF(AA185="","",IFERROR(AA185*HSCEI!$B$32*HSCEI!$G$32/HSCEI!$B$3,""))</f>
        <v/>
      </c>
      <c r="CP185" s="161">
        <f>IF(AB185="","",IFERROR(AB185*HSCEI!$B$32*HSCEI!$G$32/HSCEI!$B$3,""))</f>
        <v/>
      </c>
      <c r="CQ185" s="161">
        <f>IF(AC185="","",IFERROR(AC185*HSCEI!$B$32*HSCEI!$G$32/HSCEI!$B$3,""))</f>
        <v/>
      </c>
      <c r="CR185" s="161">
        <f>IF(AD185="","",IFERROR(AD185*HSCEI!$B$32*HSCEI!$G$32/HSCEI!$B$3,""))</f>
        <v/>
      </c>
      <c r="CS185" s="161">
        <f>IF(AE185="","",IFERROR(AE185*HSCEI!$B$32*HSCEI!$G$32/HSCEI!$B$3,""))</f>
        <v/>
      </c>
      <c r="CT185" s="161">
        <f>IF(AF185="","",IFERROR(AF185*HSCEI!$B$32*HSCEI!$G$32/HSCEI!$B$3,""))</f>
        <v/>
      </c>
      <c r="CU185" s="161">
        <f>IF(AG185="","",IFERROR(AG185*HSCEI!$B$32*HSCEI!$G$32/HSCEI!$B$3,""))</f>
        <v/>
      </c>
      <c r="CV185" s="161">
        <f>IF(AH185="","",IFERROR(AH185*HSCEI!$B$32*HSCEI!$G$32/HSCEI!$B$3,""))</f>
        <v/>
      </c>
      <c r="CW185" s="161">
        <f>IF(AI185="","",IFERROR(AI185*HSCEI!$B$32*HSCEI!$G$32/HSCEI!$B$3,""))</f>
        <v/>
      </c>
      <c r="CX185" s="161">
        <f>IF(AJ185="","",IFERROR(AJ185*HSCEI!$B$32*HSCEI!$G$32/HSCEI!$B$3,""))</f>
        <v/>
      </c>
      <c r="CY185" s="161">
        <f>IF(AK185="","",IFERROR(AK185*HSCEI!$B$32*HSCEI!$G$32/HSCEI!$B$3,""))</f>
        <v/>
      </c>
      <c r="CZ185" s="161">
        <f>IF(AL185="","",IFERROR(AL185*HSCEI!$B$32*HSCEI!$G$32/HSCEI!$B$3,""))</f>
        <v/>
      </c>
      <c r="DA185" s="161">
        <f>IF(AM185="","",IFERROR(AM185*HSCEI!$B$32*HSCEI!$G$32/HSCEI!$B$3,""))</f>
        <v/>
      </c>
      <c r="DB185" s="161">
        <f>IF(AN185="","",IFERROR(AN185*HSCEI!$B$32*HSCEI!$G$32/HSCEI!$B$3,""))</f>
        <v/>
      </c>
      <c r="DC185" s="161">
        <f>IF(AO185="","",IFERROR(AO185*HSCEI!$B$32*HSCEI!$G$32/HSCEI!$B$3,""))</f>
        <v/>
      </c>
      <c r="DD185" s="161">
        <f>IF(AP185="","",IFERROR(AP185*HSCEI!$B$32*HSCEI!$G$32/HSCEI!$B$3,""))</f>
        <v/>
      </c>
      <c r="DE185" s="161">
        <f>IF(AQ185="","",IFERROR(AQ185*HSCEI!$B$32*HSCEI!$G$32/HSCEI!$B$3,""))</f>
        <v/>
      </c>
      <c r="DF185" s="161">
        <f>IF(AR185="","",IFERROR(AR185*HSCEI!$B$32*HSCEI!$G$32/HSCEI!$B$3,""))</f>
        <v/>
      </c>
      <c r="DG185" s="161">
        <f>IF(AS185="","",IFERROR(AS185*HSCEI!$B$32*HSCEI!$G$32/HSCEI!$B$3,""))</f>
        <v/>
      </c>
      <c r="DH185" s="161">
        <f>IF(AT185="","",IFERROR(AT185*HSCEI!$B$32*HSCEI!$G$32/HSCEI!$B$3,""))</f>
        <v/>
      </c>
      <c r="DI185" s="161">
        <f>IF(AU185="","",IFERROR(AU185*HSCEI!$B$32*HSCEI!$G$32/HSCEI!$B$3,""))</f>
        <v/>
      </c>
      <c r="DJ185" s="161">
        <f>IF(AV185="","",IFERROR(AV185*HSCEI!$B$32*HSCEI!$G$32/HSCEI!$B$3,""))</f>
        <v/>
      </c>
      <c r="DK185" s="161">
        <f>IF(AW185="","",IFERROR(AW185*HSCEI!$B$32*HSCEI!$G$32/HSCEI!$B$3,""))</f>
        <v/>
      </c>
      <c r="DL185" s="161">
        <f>IF(AX185="","",IFERROR(AX185*HSCEI!$B$32*HSCEI!$G$32/HSCEI!$B$3,""))</f>
        <v/>
      </c>
      <c r="DM185" s="161">
        <f>IF(AY185="","",IFERROR(AY185*HSCEI!$B$32*HSCEI!$G$32/HSCEI!$B$3,""))</f>
        <v/>
      </c>
      <c r="DN185" s="161">
        <f>IF(AZ185="","",IFERROR(AZ185*HSCEI!$B$32*HSCEI!$G$32/HSCEI!$B$3,""))</f>
        <v/>
      </c>
      <c r="DO185" s="161">
        <f>IF(BA185="","",IFERROR(BA185*HSCEI!$B$32*HSCEI!$G$32/HSCEI!$B$3,""))</f>
        <v/>
      </c>
      <c r="DP185" s="161">
        <f>IF(BB185="","",IFERROR(BB185*HSCEI!$B$32*HSCEI!$G$32/HSCEI!$B$3,""))</f>
        <v/>
      </c>
      <c r="DQ185" s="161">
        <f>IF(BC185="","",IFERROR(BC185*HSCEI!$B$32*HSCEI!$G$32/HSCEI!$B$3,""))</f>
        <v/>
      </c>
      <c r="DR185" s="161">
        <f>IF(BD185="","",IFERROR(BD185*HSCEI!$B$32*HSCEI!$G$32/HSCEI!$B$3,""))</f>
        <v/>
      </c>
      <c r="DS185" s="161">
        <f>IF(BE185="","",IFERROR(BE185*HSCEI!$B$32*HSCEI!$G$32/HSCEI!$B$3,""))</f>
        <v/>
      </c>
      <c r="DT185" s="161">
        <f>IF(BF185="","",IFERROR(BF185*HSCEI!$B$32*HSCEI!$G$32/HSCEI!$B$3,""))</f>
        <v/>
      </c>
      <c r="DU185" s="161">
        <f>IF(BG185="","",IFERROR(BG185*HSCEI!$B$32*HSCEI!$G$32/HSCEI!$B$3,""))</f>
        <v/>
      </c>
      <c r="DV185" s="161">
        <f>IF(BH185="","",IFERROR(BH185*HSCEI!$B$32*HSCEI!$G$32/HSCEI!$B$3,""))</f>
        <v/>
      </c>
      <c r="DW185" s="161">
        <f>IF(BI185="","",IFERROR(BI185*HSCEI!$B$32*HSCEI!$G$32/HSCEI!$B$3,""))</f>
        <v/>
      </c>
      <c r="DX185" s="161">
        <f>IF(BJ185="","",IFERROR(BJ185*HSCEI!$B$32*HSCEI!$G$32/HSCEI!$B$3,""))</f>
        <v/>
      </c>
      <c r="DY185" s="161">
        <f>IF(BK185="","",IFERROR(BK185*HSCEI!$B$32*HSCEI!$G$32/HSCEI!$B$3,""))</f>
        <v/>
      </c>
      <c r="DZ185" s="161">
        <f>IF(BL185="","",IFERROR(BL185*HSCEI!$B$32*HSCEI!$G$32/HSCEI!$B$3,""))</f>
        <v/>
      </c>
      <c r="EA185" s="161">
        <f>IF(BM185="","",IFERROR(BM185*HSCEI!$B$32*HSCEI!$G$32/HSCEI!$B$3,""))</f>
        <v/>
      </c>
      <c r="EB185" s="161">
        <f>IF(BN185="","",IFERROR(BN185*HSCEI!$B$32*HSCEI!$G$32/HSCEI!$B$3,""))</f>
        <v/>
      </c>
      <c r="EC185" s="161">
        <f>IF(BO185="","",IFERROR(BO185*HSCEI!$B$32*HSCEI!$G$32/HSCEI!$B$3,""))</f>
        <v/>
      </c>
      <c r="EE185" s="121">
        <f>IF(N('Dvd Calendar'!$E$1836)=0,"",IF(('Dvd Calendar'!$E$1836&gt;=GRID_FROM)*('Dvd Calendar'!$E$1836&lt;=GRID_TO)*((('Dvd Calendar'!$E$1836&lt;=VAL_DATE)+(COUNTIF('Dvd Calendar'!$E$1843:$AR$1843,'Dvd Calendar'!$E$1836)=0))&gt;0)=0,"",'Dvd Calendar'!$E$1836*1000000000+ISNUMBER('Dvd Calendar'!$E$1839)*100000000+('Dvd Calendar'!$E$1841=SPECIAL_LBL)*10000000+(N('Dvd Calendar'!$E$1835)&gt;0)*(N('Dvd Calendar'!$E$1835)&lt;=VAL_SERIAL)*1000000+26*1000+1))</f>
        <v/>
      </c>
      <c r="EF185" s="121">
        <f>IF(N('Dvd Calendar'!$F$1836)=0,"",IF(('Dvd Calendar'!$F$1836&gt;=GRID_FROM)*('Dvd Calendar'!$F$1836&lt;=GRID_TO)*((('Dvd Calendar'!$F$1836&lt;=VAL_DATE)+(COUNTIF('Dvd Calendar'!$E$1843:$AR$1843,'Dvd Calendar'!$F$1836)=0))&gt;0)=0,"",'Dvd Calendar'!$F$1836*1000000000+ISNUMBER('Dvd Calendar'!$F$1839)*100000000+('Dvd Calendar'!$F$1841=SPECIAL_LBL)*10000000+(N('Dvd Calendar'!$F$1835)&gt;0)*(N('Dvd Calendar'!$F$1835)&lt;=VAL_SERIAL)*1000000+26*1000+2))</f>
        <v/>
      </c>
      <c r="EG185" s="121">
        <f>IF(N('Dvd Calendar'!$G$1836)=0,"",IF(('Dvd Calendar'!$G$1836&gt;=GRID_FROM)*('Dvd Calendar'!$G$1836&lt;=GRID_TO)*((('Dvd Calendar'!$G$1836&lt;=VAL_DATE)+(COUNTIF('Dvd Calendar'!$E$1843:$AR$1843,'Dvd Calendar'!$G$1836)=0))&gt;0)=0,"",'Dvd Calendar'!$G$1836*1000000000+ISNUMBER('Dvd Calendar'!$G$1839)*100000000+('Dvd Calendar'!$G$1841=SPECIAL_LBL)*10000000+(N('Dvd Calendar'!$G$1835)&gt;0)*(N('Dvd Calendar'!$G$1835)&lt;=VAL_SERIAL)*1000000+26*1000+3))</f>
        <v/>
      </c>
      <c r="EH185" s="121">
        <f>IF(N('Dvd Calendar'!$H$1836)=0,"",IF(('Dvd Calendar'!$H$1836&gt;=GRID_FROM)*('Dvd Calendar'!$H$1836&lt;=GRID_TO)*((('Dvd Calendar'!$H$1836&lt;=VAL_DATE)+(COUNTIF('Dvd Calendar'!$E$1843:$AR$1843,'Dvd Calendar'!$H$1836)=0))&gt;0)=0,"",'Dvd Calendar'!$H$1836*1000000000+ISNUMBER('Dvd Calendar'!$H$1839)*100000000+('Dvd Calendar'!$H$1841=SPECIAL_LBL)*10000000+(N('Dvd Calendar'!$H$1835)&gt;0)*(N('Dvd Calendar'!$H$1835)&lt;=VAL_SERIAL)*1000000+26*1000+4))</f>
        <v/>
      </c>
      <c r="EI185" s="121">
        <f>IF(N('Dvd Calendar'!$I$1836)=0,"",IF(('Dvd Calendar'!$I$1836&gt;=GRID_FROM)*('Dvd Calendar'!$I$1836&lt;=GRID_TO)*((('Dvd Calendar'!$I$1836&lt;=VAL_DATE)+(COUNTIF('Dvd Calendar'!$E$1843:$AR$1843,'Dvd Calendar'!$I$1836)=0))&gt;0)=0,"",'Dvd Calendar'!$I$1836*1000000000+ISNUMBER('Dvd Calendar'!$I$1839)*100000000+('Dvd Calendar'!$I$1841=SPECIAL_LBL)*10000000+(N('Dvd Calendar'!$I$1835)&gt;0)*(N('Dvd Calendar'!$I$1835)&lt;=VAL_SERIAL)*1000000+26*1000+5))</f>
        <v/>
      </c>
      <c r="EJ185" s="121">
        <f>IF(N('Dvd Calendar'!$J$1836)=0,"",IF(('Dvd Calendar'!$J$1836&gt;=GRID_FROM)*('Dvd Calendar'!$J$1836&lt;=GRID_TO)*((('Dvd Calendar'!$J$1836&lt;=VAL_DATE)+(COUNTIF('Dvd Calendar'!$E$1843:$AR$1843,'Dvd Calendar'!$J$1836)=0))&gt;0)=0,"",'Dvd Calendar'!$J$1836*1000000000+ISNUMBER('Dvd Calendar'!$J$1839)*100000000+('Dvd Calendar'!$J$1841=SPECIAL_LBL)*10000000+(N('Dvd Calendar'!$J$1835)&gt;0)*(N('Dvd Calendar'!$J$1835)&lt;=VAL_SERIAL)*1000000+26*1000+6))</f>
        <v/>
      </c>
      <c r="EK185" s="121">
        <f>IF(N('Dvd Calendar'!$K$1836)=0,"",IF(('Dvd Calendar'!$K$1836&gt;=GRID_FROM)*('Dvd Calendar'!$K$1836&lt;=GRID_TO)*((('Dvd Calendar'!$K$1836&lt;=VAL_DATE)+(COUNTIF('Dvd Calendar'!$E$1843:$AR$1843,'Dvd Calendar'!$K$1836)=0))&gt;0)=0,"",'Dvd Calendar'!$K$1836*1000000000+ISNUMBER('Dvd Calendar'!$K$1839)*100000000+('Dvd Calendar'!$K$1841=SPECIAL_LBL)*10000000+(N('Dvd Calendar'!$K$1835)&gt;0)*(N('Dvd Calendar'!$K$1835)&lt;=VAL_SERIAL)*1000000+26*1000+7))</f>
        <v/>
      </c>
      <c r="EL185" s="121">
        <f>IF(N('Dvd Calendar'!$L$1836)=0,"",IF(('Dvd Calendar'!$L$1836&gt;=GRID_FROM)*('Dvd Calendar'!$L$1836&lt;=GRID_TO)*((('Dvd Calendar'!$L$1836&lt;=VAL_DATE)+(COUNTIF('Dvd Calendar'!$E$1843:$AR$1843,'Dvd Calendar'!$L$1836)=0))&gt;0)=0,"",'Dvd Calendar'!$L$1836*1000000000+ISNUMBER('Dvd Calendar'!$L$1839)*100000000+('Dvd Calendar'!$L$1841=SPECIAL_LBL)*10000000+(N('Dvd Calendar'!$L$1835)&gt;0)*(N('Dvd Calendar'!$L$1835)&lt;=VAL_SERIAL)*1000000+26*1000+8))</f>
        <v/>
      </c>
      <c r="EM185" s="121">
        <f>IF(N('Dvd Calendar'!$M$1836)=0,"",IF(('Dvd Calendar'!$M$1836&gt;=GRID_FROM)*('Dvd Calendar'!$M$1836&lt;=GRID_TO)*((('Dvd Calendar'!$M$1836&lt;=VAL_DATE)+(COUNTIF('Dvd Calendar'!$E$1843:$AR$1843,'Dvd Calendar'!$M$1836)=0))&gt;0)=0,"",'Dvd Calendar'!$M$1836*1000000000+ISNUMBER('Dvd Calendar'!$M$1839)*100000000+('Dvd Calendar'!$M$1841=SPECIAL_LBL)*10000000+(N('Dvd Calendar'!$M$1835)&gt;0)*(N('Dvd Calendar'!$M$1835)&lt;=VAL_SERIAL)*1000000+26*1000+9))</f>
        <v/>
      </c>
      <c r="EN185" s="121">
        <f>IF(N('Dvd Calendar'!$N$1836)=0,"",IF(('Dvd Calendar'!$N$1836&gt;=GRID_FROM)*('Dvd Calendar'!$N$1836&lt;=GRID_TO)*((('Dvd Calendar'!$N$1836&lt;=VAL_DATE)+(COUNTIF('Dvd Calendar'!$E$1843:$AR$1843,'Dvd Calendar'!$N$1836)=0))&gt;0)=0,"",'Dvd Calendar'!$N$1836*1000000000+ISNUMBER('Dvd Calendar'!$N$1839)*100000000+('Dvd Calendar'!$N$1841=SPECIAL_LBL)*10000000+(N('Dvd Calendar'!$N$1835)&gt;0)*(N('Dvd Calendar'!$N$1835)&lt;=VAL_SERIAL)*1000000+26*1000+10))</f>
        <v/>
      </c>
      <c r="EO185" s="121">
        <f>IF(N('Dvd Calendar'!$O$1836)=0,"",IF(('Dvd Calendar'!$O$1836&gt;=GRID_FROM)*('Dvd Calendar'!$O$1836&lt;=GRID_TO)*((('Dvd Calendar'!$O$1836&lt;=VAL_DATE)+(COUNTIF('Dvd Calendar'!$E$1843:$AR$1843,'Dvd Calendar'!$O$1836)=0))&gt;0)=0,"",'Dvd Calendar'!$O$1836*1000000000+ISNUMBER('Dvd Calendar'!$O$1839)*100000000+('Dvd Calendar'!$O$1841=SPECIAL_LBL)*10000000+(N('Dvd Calendar'!$O$1835)&gt;0)*(N('Dvd Calendar'!$O$1835)&lt;=VAL_SERIAL)*1000000+26*1000+11))</f>
        <v/>
      </c>
      <c r="EP185" s="121">
        <f>IF(N('Dvd Calendar'!$P$1836)=0,"",IF(('Dvd Calendar'!$P$1836&gt;=GRID_FROM)*('Dvd Calendar'!$P$1836&lt;=GRID_TO)*((('Dvd Calendar'!$P$1836&lt;=VAL_DATE)+(COUNTIF('Dvd Calendar'!$E$1843:$AR$1843,'Dvd Calendar'!$P$1836)=0))&gt;0)=0,"",'Dvd Calendar'!$P$1836*1000000000+ISNUMBER('Dvd Calendar'!$P$1839)*100000000+('Dvd Calendar'!$P$1841=SPECIAL_LBL)*10000000+(N('Dvd Calendar'!$P$1835)&gt;0)*(N('Dvd Calendar'!$P$1835)&lt;=VAL_SERIAL)*1000000+26*1000+12))</f>
        <v/>
      </c>
      <c r="EQ185" s="121">
        <f>IF(N('Dvd Calendar'!$Q$1836)=0,"",IF(('Dvd Calendar'!$Q$1836&gt;=GRID_FROM)*('Dvd Calendar'!$Q$1836&lt;=GRID_TO)*((('Dvd Calendar'!$Q$1836&lt;=VAL_DATE)+(COUNTIF('Dvd Calendar'!$E$1843:$AR$1843,'Dvd Calendar'!$Q$1836)=0))&gt;0)=0,"",'Dvd Calendar'!$Q$1836*1000000000+ISNUMBER('Dvd Calendar'!$Q$1839)*100000000+('Dvd Calendar'!$Q$1841=SPECIAL_LBL)*10000000+(N('Dvd Calendar'!$Q$1835)&gt;0)*(N('Dvd Calendar'!$Q$1835)&lt;=VAL_SERIAL)*1000000+26*1000+13))</f>
        <v/>
      </c>
      <c r="ER185" s="121">
        <f>IF(N('Dvd Calendar'!$R$1836)=0,"",IF(('Dvd Calendar'!$R$1836&gt;=GRID_FROM)*('Dvd Calendar'!$R$1836&lt;=GRID_TO)*((('Dvd Calendar'!$R$1836&lt;=VAL_DATE)+(COUNTIF('Dvd Calendar'!$E$1843:$AR$1843,'Dvd Calendar'!$R$1836)=0))&gt;0)=0,"",'Dvd Calendar'!$R$1836*1000000000+ISNUMBER('Dvd Calendar'!$R$1839)*100000000+('Dvd Calendar'!$R$1841=SPECIAL_LBL)*10000000+(N('Dvd Calendar'!$R$1835)&gt;0)*(N('Dvd Calendar'!$R$1835)&lt;=VAL_SERIAL)*1000000+26*1000+14))</f>
        <v/>
      </c>
      <c r="ES185" s="121">
        <f>IF(N('Dvd Calendar'!$S$1836)=0,"",IF(('Dvd Calendar'!$S$1836&gt;=GRID_FROM)*('Dvd Calendar'!$S$1836&lt;=GRID_TO)*((('Dvd Calendar'!$S$1836&lt;=VAL_DATE)+(COUNTIF('Dvd Calendar'!$E$1843:$AR$1843,'Dvd Calendar'!$S$1836)=0))&gt;0)=0,"",'Dvd Calendar'!$S$1836*1000000000+ISNUMBER('Dvd Calendar'!$S$1839)*100000000+('Dvd Calendar'!$S$1841=SPECIAL_LBL)*10000000+(N('Dvd Calendar'!$S$1835)&gt;0)*(N('Dvd Calendar'!$S$1835)&lt;=VAL_SERIAL)*1000000+26*1000+15))</f>
        <v/>
      </c>
      <c r="ET185" s="121">
        <f>IF(N('Dvd Calendar'!$T$1836)=0,"",IF(('Dvd Calendar'!$T$1836&gt;=GRID_FROM)*('Dvd Calendar'!$T$1836&lt;=GRID_TO)*((('Dvd Calendar'!$T$1836&lt;=VAL_DATE)+(COUNTIF('Dvd Calendar'!$E$1843:$AR$1843,'Dvd Calendar'!$T$1836)=0))&gt;0)=0,"",'Dvd Calendar'!$T$1836*1000000000+ISNUMBER('Dvd Calendar'!$T$1839)*100000000+('Dvd Calendar'!$T$1841=SPECIAL_LBL)*10000000+(N('Dvd Calendar'!$T$1835)&gt;0)*(N('Dvd Calendar'!$T$1835)&lt;=VAL_SERIAL)*1000000+26*1000+16))</f>
        <v/>
      </c>
      <c r="EU185" s="121">
        <f>IF(N('Dvd Calendar'!$U$1836)=0,"",IF(('Dvd Calendar'!$U$1836&gt;=GRID_FROM)*('Dvd Calendar'!$U$1836&lt;=GRID_TO)*((('Dvd Calendar'!$U$1836&lt;=VAL_DATE)+(COUNTIF('Dvd Calendar'!$E$1843:$AR$1843,'Dvd Calendar'!$U$1836)=0))&gt;0)=0,"",'Dvd Calendar'!$U$1836*1000000000+ISNUMBER('Dvd Calendar'!$U$1839)*100000000+('Dvd Calendar'!$U$1841=SPECIAL_LBL)*10000000+(N('Dvd Calendar'!$U$1835)&gt;0)*(N('Dvd Calendar'!$U$1835)&lt;=VAL_SERIAL)*1000000+26*1000+17))</f>
        <v/>
      </c>
      <c r="EV185" s="121">
        <f>IF(N('Dvd Calendar'!$V$1836)=0,"",IF(('Dvd Calendar'!$V$1836&gt;=GRID_FROM)*('Dvd Calendar'!$V$1836&lt;=GRID_TO)*((('Dvd Calendar'!$V$1836&lt;=VAL_DATE)+(COUNTIF('Dvd Calendar'!$E$1843:$AR$1843,'Dvd Calendar'!$V$1836)=0))&gt;0)=0,"",'Dvd Calendar'!$V$1836*1000000000+ISNUMBER('Dvd Calendar'!$V$1839)*100000000+('Dvd Calendar'!$V$1841=SPECIAL_LBL)*10000000+(N('Dvd Calendar'!$V$1835)&gt;0)*(N('Dvd Calendar'!$V$1835)&lt;=VAL_SERIAL)*1000000+26*1000+18))</f>
        <v/>
      </c>
      <c r="EW185" s="121">
        <f>IF(N('Dvd Calendar'!$W$1836)=0,"",IF(('Dvd Calendar'!$W$1836&gt;=GRID_FROM)*('Dvd Calendar'!$W$1836&lt;=GRID_TO)*((('Dvd Calendar'!$W$1836&lt;=VAL_DATE)+(COUNTIF('Dvd Calendar'!$E$1843:$AR$1843,'Dvd Calendar'!$W$1836)=0))&gt;0)=0,"",'Dvd Calendar'!$W$1836*1000000000+ISNUMBER('Dvd Calendar'!$W$1839)*100000000+('Dvd Calendar'!$W$1841=SPECIAL_LBL)*10000000+(N('Dvd Calendar'!$W$1835)&gt;0)*(N('Dvd Calendar'!$W$1835)&lt;=VAL_SERIAL)*1000000+26*1000+19))</f>
        <v/>
      </c>
      <c r="EX185" s="121">
        <f>IF(N('Dvd Calendar'!$X$1836)=0,"",IF(('Dvd Calendar'!$X$1836&gt;=GRID_FROM)*('Dvd Calendar'!$X$1836&lt;=GRID_TO)*((('Dvd Calendar'!$X$1836&lt;=VAL_DATE)+(COUNTIF('Dvd Calendar'!$E$1843:$AR$1843,'Dvd Calendar'!$X$1836)=0))&gt;0)=0,"",'Dvd Calendar'!$X$1836*1000000000+ISNUMBER('Dvd Calendar'!$X$1839)*100000000+('Dvd Calendar'!$X$1841=SPECIAL_LBL)*10000000+(N('Dvd Calendar'!$X$1835)&gt;0)*(N('Dvd Calendar'!$X$1835)&lt;=VAL_SERIAL)*1000000+26*1000+20))</f>
        <v/>
      </c>
      <c r="EY185" s="121">
        <f>IF(N('Dvd Calendar'!$Y$1836)=0,"",IF(('Dvd Calendar'!$Y$1836&gt;=GRID_FROM)*('Dvd Calendar'!$Y$1836&lt;=GRID_TO)*((('Dvd Calendar'!$Y$1836&lt;=VAL_DATE)+(COUNTIF('Dvd Calendar'!$E$1843:$AR$1843,'Dvd Calendar'!$Y$1836)=0))&gt;0)=0,"",'Dvd Calendar'!$Y$1836*1000000000+ISNUMBER('Dvd Calendar'!$Y$1839)*100000000+('Dvd Calendar'!$Y$1841=SPECIAL_LBL)*10000000+(N('Dvd Calendar'!$Y$1835)&gt;0)*(N('Dvd Calendar'!$Y$1835)&lt;=VAL_SERIAL)*1000000+26*1000+21))</f>
        <v/>
      </c>
      <c r="EZ185" s="121">
        <f>IF(N('Dvd Calendar'!$Z$1836)=0,"",IF(('Dvd Calendar'!$Z$1836&gt;=GRID_FROM)*('Dvd Calendar'!$Z$1836&lt;=GRID_TO)*((('Dvd Calendar'!$Z$1836&lt;=VAL_DATE)+(COUNTIF('Dvd Calendar'!$E$1843:$AR$1843,'Dvd Calendar'!$Z$1836)=0))&gt;0)=0,"",'Dvd Calendar'!$Z$1836*1000000000+ISNUMBER('Dvd Calendar'!$Z$1839)*100000000+('Dvd Calendar'!$Z$1841=SPECIAL_LBL)*10000000+(N('Dvd Calendar'!$Z$1835)&gt;0)*(N('Dvd Calendar'!$Z$1835)&lt;=VAL_SERIAL)*1000000+26*1000+22))</f>
        <v/>
      </c>
      <c r="FA185" s="121">
        <f>IF(N('Dvd Calendar'!$AA$1836)=0,"",IF(('Dvd Calendar'!$AA$1836&gt;=GRID_FROM)*('Dvd Calendar'!$AA$1836&lt;=GRID_TO)*((('Dvd Calendar'!$AA$1836&lt;=VAL_DATE)+(COUNTIF('Dvd Calendar'!$E$1843:$AR$1843,'Dvd Calendar'!$AA$1836)=0))&gt;0)=0,"",'Dvd Calendar'!$AA$1836*1000000000+ISNUMBER('Dvd Calendar'!$AA$1839)*100000000+('Dvd Calendar'!$AA$1841=SPECIAL_LBL)*10000000+(N('Dvd Calendar'!$AA$1835)&gt;0)*(N('Dvd Calendar'!$AA$1835)&lt;=VAL_SERIAL)*1000000+26*1000+23))</f>
        <v/>
      </c>
      <c r="FB185" s="121">
        <f>IF(N('Dvd Calendar'!$AB$1836)=0,"",IF(('Dvd Calendar'!$AB$1836&gt;=GRID_FROM)*('Dvd Calendar'!$AB$1836&lt;=GRID_TO)*((('Dvd Calendar'!$AB$1836&lt;=VAL_DATE)+(COUNTIF('Dvd Calendar'!$E$1843:$AR$1843,'Dvd Calendar'!$AB$1836)=0))&gt;0)=0,"",'Dvd Calendar'!$AB$1836*1000000000+ISNUMBER('Dvd Calendar'!$AB$1839)*100000000+('Dvd Calendar'!$AB$1841=SPECIAL_LBL)*10000000+(N('Dvd Calendar'!$AB$1835)&gt;0)*(N('Dvd Calendar'!$AB$1835)&lt;=VAL_SERIAL)*1000000+26*1000+24))</f>
        <v/>
      </c>
      <c r="FC185" s="121">
        <f>IF(N('Dvd Calendar'!$AC$1836)=0,"",IF(('Dvd Calendar'!$AC$1836&gt;=GRID_FROM)*('Dvd Calendar'!$AC$1836&lt;=GRID_TO)*((('Dvd Calendar'!$AC$1836&lt;=VAL_DATE)+(COUNTIF('Dvd Calendar'!$E$1843:$AR$1843,'Dvd Calendar'!$AC$1836)=0))&gt;0)=0,"",'Dvd Calendar'!$AC$1836*1000000000+ISNUMBER('Dvd Calendar'!$AC$1839)*100000000+('Dvd Calendar'!$AC$1841=SPECIAL_LBL)*10000000+(N('Dvd Calendar'!$AC$1835)&gt;0)*(N('Dvd Calendar'!$AC$1835)&lt;=VAL_SERIAL)*1000000+26*1000+25))</f>
        <v/>
      </c>
      <c r="FD185" s="121">
        <f>IF(N('Dvd Calendar'!$AD$1836)=0,"",IF(('Dvd Calendar'!$AD$1836&gt;=GRID_FROM)*('Dvd Calendar'!$AD$1836&lt;=GRID_TO)*((('Dvd Calendar'!$AD$1836&lt;=VAL_DATE)+(COUNTIF('Dvd Calendar'!$E$1843:$AR$1843,'Dvd Calendar'!$AD$1836)=0))&gt;0)=0,"",'Dvd Calendar'!$AD$1836*1000000000+ISNUMBER('Dvd Calendar'!$AD$1839)*100000000+('Dvd Calendar'!$AD$1841=SPECIAL_LBL)*10000000+(N('Dvd Calendar'!$AD$1835)&gt;0)*(N('Dvd Calendar'!$AD$1835)&lt;=VAL_SERIAL)*1000000+26*1000+26))</f>
        <v/>
      </c>
      <c r="FE185" s="121">
        <f>IF(N('Dvd Calendar'!$AE$1836)=0,"",IF(('Dvd Calendar'!$AE$1836&gt;=GRID_FROM)*('Dvd Calendar'!$AE$1836&lt;=GRID_TO)*((('Dvd Calendar'!$AE$1836&lt;=VAL_DATE)+(COUNTIF('Dvd Calendar'!$E$1843:$AR$1843,'Dvd Calendar'!$AE$1836)=0))&gt;0)=0,"",'Dvd Calendar'!$AE$1836*1000000000+ISNUMBER('Dvd Calendar'!$AE$1839)*100000000+('Dvd Calendar'!$AE$1841=SPECIAL_LBL)*10000000+(N('Dvd Calendar'!$AE$1835)&gt;0)*(N('Dvd Calendar'!$AE$1835)&lt;=VAL_SERIAL)*1000000+26*1000+27))</f>
        <v/>
      </c>
      <c r="FF185" s="121">
        <f>IF(N('Dvd Calendar'!$AF$1836)=0,"",IF(('Dvd Calendar'!$AF$1836&gt;=GRID_FROM)*('Dvd Calendar'!$AF$1836&lt;=GRID_TO)*((('Dvd Calendar'!$AF$1836&lt;=VAL_DATE)+(COUNTIF('Dvd Calendar'!$E$1843:$AR$1843,'Dvd Calendar'!$AF$1836)=0))&gt;0)=0,"",'Dvd Calendar'!$AF$1836*1000000000+ISNUMBER('Dvd Calendar'!$AF$1839)*100000000+('Dvd Calendar'!$AF$1841=SPECIAL_LBL)*10000000+(N('Dvd Calendar'!$AF$1835)&gt;0)*(N('Dvd Calendar'!$AF$1835)&lt;=VAL_SERIAL)*1000000+26*1000+28))</f>
        <v/>
      </c>
      <c r="FG185" s="121">
        <f>IF(N('Dvd Calendar'!$AG$1836)=0,"",IF(('Dvd Calendar'!$AG$1836&gt;=GRID_FROM)*('Dvd Calendar'!$AG$1836&lt;=GRID_TO)*((('Dvd Calendar'!$AG$1836&lt;=VAL_DATE)+(COUNTIF('Dvd Calendar'!$E$1843:$AR$1843,'Dvd Calendar'!$AG$1836)=0))&gt;0)=0,"",'Dvd Calendar'!$AG$1836*1000000000+ISNUMBER('Dvd Calendar'!$AG$1839)*100000000+('Dvd Calendar'!$AG$1841=SPECIAL_LBL)*10000000+(N('Dvd Calendar'!$AG$1835)&gt;0)*(N('Dvd Calendar'!$AG$1835)&lt;=VAL_SERIAL)*1000000+26*1000+29))</f>
        <v/>
      </c>
      <c r="FH185" s="121">
        <f>IF(N('Dvd Calendar'!$AH$1836)=0,"",IF(('Dvd Calendar'!$AH$1836&gt;=GRID_FROM)*('Dvd Calendar'!$AH$1836&lt;=GRID_TO)*((('Dvd Calendar'!$AH$1836&lt;=VAL_DATE)+(COUNTIF('Dvd Calendar'!$E$1843:$AR$1843,'Dvd Calendar'!$AH$1836)=0))&gt;0)=0,"",'Dvd Calendar'!$AH$1836*1000000000+ISNUMBER('Dvd Calendar'!$AH$1839)*100000000+('Dvd Calendar'!$AH$1841=SPECIAL_LBL)*10000000+(N('Dvd Calendar'!$AH$1835)&gt;0)*(N('Dvd Calendar'!$AH$1835)&lt;=VAL_SERIAL)*1000000+26*1000+30))</f>
        <v/>
      </c>
      <c r="FI185" s="121">
        <f>IF(N('Dvd Calendar'!$AI$1836)=0,"",IF(('Dvd Calendar'!$AI$1836&gt;=GRID_FROM)*('Dvd Calendar'!$AI$1836&lt;=GRID_TO)*((('Dvd Calendar'!$AI$1836&lt;=VAL_DATE)+(COUNTIF('Dvd Calendar'!$E$1843:$AR$1843,'Dvd Calendar'!$AI$1836)=0))&gt;0)=0,"",'Dvd Calendar'!$AI$1836*1000000000+ISNUMBER('Dvd Calendar'!$AI$1839)*100000000+('Dvd Calendar'!$AI$1841=SPECIAL_LBL)*10000000+(N('Dvd Calendar'!$AI$1835)&gt;0)*(N('Dvd Calendar'!$AI$1835)&lt;=VAL_SERIAL)*1000000+26*1000+31))</f>
        <v/>
      </c>
      <c r="FJ185" s="121">
        <f>IF(N('Dvd Calendar'!$AJ$1836)=0,"",IF(('Dvd Calendar'!$AJ$1836&gt;=GRID_FROM)*('Dvd Calendar'!$AJ$1836&lt;=GRID_TO)*((('Dvd Calendar'!$AJ$1836&lt;=VAL_DATE)+(COUNTIF('Dvd Calendar'!$E$1843:$AR$1843,'Dvd Calendar'!$AJ$1836)=0))&gt;0)=0,"",'Dvd Calendar'!$AJ$1836*1000000000+ISNUMBER('Dvd Calendar'!$AJ$1839)*100000000+('Dvd Calendar'!$AJ$1841=SPECIAL_LBL)*10000000+(N('Dvd Calendar'!$AJ$1835)&gt;0)*(N('Dvd Calendar'!$AJ$1835)&lt;=VAL_SERIAL)*1000000+26*1000+32))</f>
        <v/>
      </c>
      <c r="FK185" s="121">
        <f>IF(N('Dvd Calendar'!$AK$1836)=0,"",IF(('Dvd Calendar'!$AK$1836&gt;=GRID_FROM)*('Dvd Calendar'!$AK$1836&lt;=GRID_TO)*((('Dvd Calendar'!$AK$1836&lt;=VAL_DATE)+(COUNTIF('Dvd Calendar'!$E$1843:$AR$1843,'Dvd Calendar'!$AK$1836)=0))&gt;0)=0,"",'Dvd Calendar'!$AK$1836*1000000000+ISNUMBER('Dvd Calendar'!$AK$1839)*100000000+('Dvd Calendar'!$AK$1841=SPECIAL_LBL)*10000000+(N('Dvd Calendar'!$AK$1835)&gt;0)*(N('Dvd Calendar'!$AK$1835)&lt;=VAL_SERIAL)*1000000+26*1000+33))</f>
        <v/>
      </c>
      <c r="FL185" s="121">
        <f>IF(N('Dvd Calendar'!$AL$1836)=0,"",IF(('Dvd Calendar'!$AL$1836&gt;=GRID_FROM)*('Dvd Calendar'!$AL$1836&lt;=GRID_TO)*((('Dvd Calendar'!$AL$1836&lt;=VAL_DATE)+(COUNTIF('Dvd Calendar'!$E$1843:$AR$1843,'Dvd Calendar'!$AL$1836)=0))&gt;0)=0,"",'Dvd Calendar'!$AL$1836*1000000000+ISNUMBER('Dvd Calendar'!$AL$1839)*100000000+('Dvd Calendar'!$AL$1841=SPECIAL_LBL)*10000000+(N('Dvd Calendar'!$AL$1835)&gt;0)*(N('Dvd Calendar'!$AL$1835)&lt;=VAL_SERIAL)*1000000+26*1000+34))</f>
        <v/>
      </c>
      <c r="FM185" s="121">
        <f>IF(N('Dvd Calendar'!$AM$1836)=0,"",IF(('Dvd Calendar'!$AM$1836&gt;=GRID_FROM)*('Dvd Calendar'!$AM$1836&lt;=GRID_TO)*((('Dvd Calendar'!$AM$1836&lt;=VAL_DATE)+(COUNTIF('Dvd Calendar'!$E$1843:$AR$1843,'Dvd Calendar'!$AM$1836)=0))&gt;0)=0,"",'Dvd Calendar'!$AM$1836*1000000000+ISNUMBER('Dvd Calendar'!$AM$1839)*100000000+('Dvd Calendar'!$AM$1841=SPECIAL_LBL)*10000000+(N('Dvd Calendar'!$AM$1835)&gt;0)*(N('Dvd Calendar'!$AM$1835)&lt;=VAL_SERIAL)*1000000+26*1000+35))</f>
        <v/>
      </c>
      <c r="FN185" s="121">
        <f>IF(N('Dvd Calendar'!$AN$1836)=0,"",IF(('Dvd Calendar'!$AN$1836&gt;=GRID_FROM)*('Dvd Calendar'!$AN$1836&lt;=GRID_TO)*((('Dvd Calendar'!$AN$1836&lt;=VAL_DATE)+(COUNTIF('Dvd Calendar'!$E$1843:$AR$1843,'Dvd Calendar'!$AN$1836)=0))&gt;0)=0,"",'Dvd Calendar'!$AN$1836*1000000000+ISNUMBER('Dvd Calendar'!$AN$1839)*100000000+('Dvd Calendar'!$AN$1841=SPECIAL_LBL)*10000000+(N('Dvd Calendar'!$AN$1835)&gt;0)*(N('Dvd Calendar'!$AN$1835)&lt;=VAL_SERIAL)*1000000+26*1000+36))</f>
        <v/>
      </c>
      <c r="FO185" s="121">
        <f>IF(N('Dvd Calendar'!$AO$1836)=0,"",IF(('Dvd Calendar'!$AO$1836&gt;=GRID_FROM)*('Dvd Calendar'!$AO$1836&lt;=GRID_TO)*((('Dvd Calendar'!$AO$1836&lt;=VAL_DATE)+(COUNTIF('Dvd Calendar'!$E$1843:$AR$1843,'Dvd Calendar'!$AO$1836)=0))&gt;0)=0,"",'Dvd Calendar'!$AO$1836*1000000000+ISNUMBER('Dvd Calendar'!$AO$1839)*100000000+('Dvd Calendar'!$AO$1841=SPECIAL_LBL)*10000000+(N('Dvd Calendar'!$AO$1835)&gt;0)*(N('Dvd Calendar'!$AO$1835)&lt;=VAL_SERIAL)*1000000+26*1000+37))</f>
        <v/>
      </c>
      <c r="FP185" s="121">
        <f>IF(N('Dvd Calendar'!$AP$1836)=0,"",IF(('Dvd Calendar'!$AP$1836&gt;=GRID_FROM)*('Dvd Calendar'!$AP$1836&lt;=GRID_TO)*((('Dvd Calendar'!$AP$1836&lt;=VAL_DATE)+(COUNTIF('Dvd Calendar'!$E$1843:$AR$1843,'Dvd Calendar'!$AP$1836)=0))&gt;0)=0,"",'Dvd Calendar'!$AP$1836*1000000000+ISNUMBER('Dvd Calendar'!$AP$1839)*100000000+('Dvd Calendar'!$AP$1841=SPECIAL_LBL)*10000000+(N('Dvd Calendar'!$AP$1835)&gt;0)*(N('Dvd Calendar'!$AP$1835)&lt;=VAL_SERIAL)*1000000+26*1000+38))</f>
        <v/>
      </c>
      <c r="FQ185" s="121">
        <f>IF(N('Dvd Calendar'!$AQ$1836)=0,"",IF(('Dvd Calendar'!$AQ$1836&gt;=GRID_FROM)*('Dvd Calendar'!$AQ$1836&lt;=GRID_TO)*((('Dvd Calendar'!$AQ$1836&lt;=VAL_DATE)+(COUNTIF('Dvd Calendar'!$E$1843:$AR$1843,'Dvd Calendar'!$AQ$1836)=0))&gt;0)=0,"",'Dvd Calendar'!$AQ$1836*1000000000+ISNUMBER('Dvd Calendar'!$AQ$1839)*100000000+('Dvd Calendar'!$AQ$1841=SPECIAL_LBL)*10000000+(N('Dvd Calendar'!$AQ$1835)&gt;0)*(N('Dvd Calendar'!$AQ$1835)&lt;=VAL_SERIAL)*1000000+26*1000+39))</f>
        <v/>
      </c>
      <c r="FR185" s="121">
        <f>IF(N('Dvd Calendar'!$AR$1836)=0,"",IF(('Dvd Calendar'!$AR$1836&gt;=GRID_FROM)*('Dvd Calendar'!$AR$1836&lt;=GRID_TO)*((('Dvd Calendar'!$AR$1836&lt;=VAL_DATE)+(COUNTIF('Dvd Calendar'!$E$1843:$AR$1843,'Dvd Calendar'!$AR$1836)=0))&gt;0)=0,"",'Dvd Calendar'!$AR$1836*1000000000+ISNUMBER('Dvd Calendar'!$AR$1839)*100000000+('Dvd Calendar'!$AR$1841=SPECIAL_LBL)*10000000+(N('Dvd Calendar'!$AR$1835)&gt;0)*(N('Dvd Calendar'!$AR$1835)&lt;=VAL_SERIAL)*1000000+26*1000+40))</f>
        <v/>
      </c>
      <c r="FS185" s="121">
        <f>IF(N('Dvd Calendar'!$E$1843)=0,"",IF(('Dvd Calendar'!$E$1843&gt;=GRID_FROM)*('Dvd Calendar'!$E$1843&lt;=GRID_TO)*('Dvd Calendar'!$E$1843&gt;VAL_DATE)=0,"",'Dvd Calendar'!$E$1843*1000000000+ISNUMBER('Dvd Calendar'!$E$1844)*100000000+0*10000000+(N('Dvd Calendar'!$E$1842)&gt;0)*(N('Dvd Calendar'!$E$1842)&lt;=VAL_SERIAL)*1000000+26*1000+41))</f>
        <v/>
      </c>
      <c r="FT185" s="121">
        <f>IF(N('Dvd Calendar'!$F$1843)=0,"",IF(('Dvd Calendar'!$F$1843&gt;=GRID_FROM)*('Dvd Calendar'!$F$1843&lt;=GRID_TO)*('Dvd Calendar'!$F$1843&gt;VAL_DATE)=0,"",'Dvd Calendar'!$F$1843*1000000000+ISNUMBER('Dvd Calendar'!$F$1844)*100000000+0*10000000+(N('Dvd Calendar'!$F$1842)&gt;0)*(N('Dvd Calendar'!$F$1842)&lt;=VAL_SERIAL)*1000000+26*1000+42))</f>
        <v/>
      </c>
      <c r="FU185" s="121">
        <f>IF(N('Dvd Calendar'!$G$1843)=0,"",IF(('Dvd Calendar'!$G$1843&gt;=GRID_FROM)*('Dvd Calendar'!$G$1843&lt;=GRID_TO)*('Dvd Calendar'!$G$1843&gt;VAL_DATE)=0,"",'Dvd Calendar'!$G$1843*1000000000+ISNUMBER('Dvd Calendar'!$G$1844)*100000000+0*10000000+(N('Dvd Calendar'!$G$1842)&gt;0)*(N('Dvd Calendar'!$G$1842)&lt;=VAL_SERIAL)*1000000+26*1000+43))</f>
        <v/>
      </c>
      <c r="FV185" s="121">
        <f>IF(N('Dvd Calendar'!$H$1843)=0,"",IF(('Dvd Calendar'!$H$1843&gt;=GRID_FROM)*('Dvd Calendar'!$H$1843&lt;=GRID_TO)*('Dvd Calendar'!$H$1843&gt;VAL_DATE)=0,"",'Dvd Calendar'!$H$1843*1000000000+ISNUMBER('Dvd Calendar'!$H$1844)*100000000+0*10000000+(N('Dvd Calendar'!$H$1842)&gt;0)*(N('Dvd Calendar'!$H$1842)&lt;=VAL_SERIAL)*1000000+26*1000+44))</f>
        <v/>
      </c>
      <c r="FW185" s="121">
        <f>IF(N('Dvd Calendar'!$I$1843)=0,"",IF(('Dvd Calendar'!$I$1843&gt;=GRID_FROM)*('Dvd Calendar'!$I$1843&lt;=GRID_TO)*('Dvd Calendar'!$I$1843&gt;VAL_DATE)=0,"",'Dvd Calendar'!$I$1843*1000000000+ISNUMBER('Dvd Calendar'!$I$1844)*100000000+0*10000000+(N('Dvd Calendar'!$I$1842)&gt;0)*(N('Dvd Calendar'!$I$1842)&lt;=VAL_SERIAL)*1000000+26*1000+45))</f>
        <v/>
      </c>
      <c r="FX185" s="121">
        <f>IF(N('Dvd Calendar'!$J$1843)=0,"",IF(('Dvd Calendar'!$J$1843&gt;=GRID_FROM)*('Dvd Calendar'!$J$1843&lt;=GRID_TO)*('Dvd Calendar'!$J$1843&gt;VAL_DATE)=0,"",'Dvd Calendar'!$J$1843*1000000000+ISNUMBER('Dvd Calendar'!$J$1844)*100000000+0*10000000+(N('Dvd Calendar'!$J$1842)&gt;0)*(N('Dvd Calendar'!$J$1842)&lt;=VAL_SERIAL)*1000000+26*1000+46))</f>
        <v/>
      </c>
      <c r="FY185" s="121">
        <f>IF(N('Dvd Calendar'!$K$1843)=0,"",IF(('Dvd Calendar'!$K$1843&gt;=GRID_FROM)*('Dvd Calendar'!$K$1843&lt;=GRID_TO)*('Dvd Calendar'!$K$1843&gt;VAL_DATE)=0,"",'Dvd Calendar'!$K$1843*1000000000+ISNUMBER('Dvd Calendar'!$K$1844)*100000000+0*10000000+(N('Dvd Calendar'!$K$1842)&gt;0)*(N('Dvd Calendar'!$K$1842)&lt;=VAL_SERIAL)*1000000+26*1000+47))</f>
        <v/>
      </c>
      <c r="FZ185" s="121">
        <f>IF(N('Dvd Calendar'!$L$1843)=0,"",IF(('Dvd Calendar'!$L$1843&gt;=GRID_FROM)*('Dvd Calendar'!$L$1843&lt;=GRID_TO)*('Dvd Calendar'!$L$1843&gt;VAL_DATE)=0,"",'Dvd Calendar'!$L$1843*1000000000+ISNUMBER('Dvd Calendar'!$L$1844)*100000000+0*10000000+(N('Dvd Calendar'!$L$1842)&gt;0)*(N('Dvd Calendar'!$L$1842)&lt;=VAL_SERIAL)*1000000+26*1000+48))</f>
        <v/>
      </c>
      <c r="GA185" s="121">
        <f>IF(N('Dvd Calendar'!$M$1843)=0,"",IF(('Dvd Calendar'!$M$1843&gt;=GRID_FROM)*('Dvd Calendar'!$M$1843&lt;=GRID_TO)*('Dvd Calendar'!$M$1843&gt;VAL_DATE)=0,"",'Dvd Calendar'!$M$1843*1000000000+ISNUMBER('Dvd Calendar'!$M$1844)*100000000+0*10000000+(N('Dvd Calendar'!$M$1842)&gt;0)*(N('Dvd Calendar'!$M$1842)&lt;=VAL_SERIAL)*1000000+26*1000+49))</f>
        <v/>
      </c>
      <c r="GB185" s="121">
        <f>IF(N('Dvd Calendar'!$N$1843)=0,"",IF(('Dvd Calendar'!$N$1843&gt;=GRID_FROM)*('Dvd Calendar'!$N$1843&lt;=GRID_TO)*('Dvd Calendar'!$N$1843&gt;VAL_DATE)=0,"",'Dvd Calendar'!$N$1843*1000000000+ISNUMBER('Dvd Calendar'!$N$1844)*100000000+0*10000000+(N('Dvd Calendar'!$N$1842)&gt;0)*(N('Dvd Calendar'!$N$1842)&lt;=VAL_SERIAL)*1000000+26*1000+50))</f>
        <v/>
      </c>
      <c r="GC185" s="121">
        <f>IF(N('Dvd Calendar'!$O$1843)=0,"",IF(('Dvd Calendar'!$O$1843&gt;=GRID_FROM)*('Dvd Calendar'!$O$1843&lt;=GRID_TO)*('Dvd Calendar'!$O$1843&gt;VAL_DATE)=0,"",'Dvd Calendar'!$O$1843*1000000000+ISNUMBER('Dvd Calendar'!$O$1844)*100000000+0*10000000+(N('Dvd Calendar'!$O$1842)&gt;0)*(N('Dvd Calendar'!$O$1842)&lt;=VAL_SERIAL)*1000000+26*1000+51))</f>
        <v/>
      </c>
      <c r="GD185" s="121">
        <f>IF(N('Dvd Calendar'!$P$1843)=0,"",IF(('Dvd Calendar'!$P$1843&gt;=GRID_FROM)*('Dvd Calendar'!$P$1843&lt;=GRID_TO)*('Dvd Calendar'!$P$1843&gt;VAL_DATE)=0,"",'Dvd Calendar'!$P$1843*1000000000+ISNUMBER('Dvd Calendar'!$P$1844)*100000000+0*10000000+(N('Dvd Calendar'!$P$1842)&gt;0)*(N('Dvd Calendar'!$P$1842)&lt;=VAL_SERIAL)*1000000+26*1000+52))</f>
        <v/>
      </c>
      <c r="GE185" s="121">
        <f>IF(N('Dvd Calendar'!$Q$1843)=0,"",IF(('Dvd Calendar'!$Q$1843&gt;=GRID_FROM)*('Dvd Calendar'!$Q$1843&lt;=GRID_TO)*('Dvd Calendar'!$Q$1843&gt;VAL_DATE)=0,"",'Dvd Calendar'!$Q$1843*1000000000+ISNUMBER('Dvd Calendar'!$Q$1844)*100000000+0*10000000+(N('Dvd Calendar'!$Q$1842)&gt;0)*(N('Dvd Calendar'!$Q$1842)&lt;=VAL_SERIAL)*1000000+26*1000+53))</f>
        <v/>
      </c>
      <c r="GF185" s="121">
        <f>IF(N('Dvd Calendar'!$R$1843)=0,"",IF(('Dvd Calendar'!$R$1843&gt;=GRID_FROM)*('Dvd Calendar'!$R$1843&lt;=GRID_TO)*('Dvd Calendar'!$R$1843&gt;VAL_DATE)=0,"",'Dvd Calendar'!$R$1843*1000000000+ISNUMBER('Dvd Calendar'!$R$1844)*100000000+0*10000000+(N('Dvd Calendar'!$R$1842)&gt;0)*(N('Dvd Calendar'!$R$1842)&lt;=VAL_SERIAL)*1000000+26*1000+54))</f>
        <v/>
      </c>
      <c r="GG185" s="121">
        <f>IF(N('Dvd Calendar'!$S$1843)=0,"",IF(('Dvd Calendar'!$S$1843&gt;=GRID_FROM)*('Dvd Calendar'!$S$1843&lt;=GRID_TO)*('Dvd Calendar'!$S$1843&gt;VAL_DATE)=0,"",'Dvd Calendar'!$S$1843*1000000000+ISNUMBER('Dvd Calendar'!$S$1844)*100000000+0*10000000+(N('Dvd Calendar'!$S$1842)&gt;0)*(N('Dvd Calendar'!$S$1842)&lt;=VAL_SERIAL)*1000000+26*1000+55))</f>
        <v/>
      </c>
      <c r="GH185" s="121">
        <f>IF(N('Dvd Calendar'!$T$1843)=0,"",IF(('Dvd Calendar'!$T$1843&gt;=GRID_FROM)*('Dvd Calendar'!$T$1843&lt;=GRID_TO)*('Dvd Calendar'!$T$1843&gt;VAL_DATE)=0,"",'Dvd Calendar'!$T$1843*1000000000+ISNUMBER('Dvd Calendar'!$T$1844)*100000000+0*10000000+(N('Dvd Calendar'!$T$1842)&gt;0)*(N('Dvd Calendar'!$T$1842)&lt;=VAL_SERIAL)*1000000+26*1000+56))</f>
        <v/>
      </c>
      <c r="GI185" s="121">
        <f>IF(N('Dvd Calendar'!$U$1843)=0,"",IF(('Dvd Calendar'!$U$1843&gt;=GRID_FROM)*('Dvd Calendar'!$U$1843&lt;=GRID_TO)*('Dvd Calendar'!$U$1843&gt;VAL_DATE)=0,"",'Dvd Calendar'!$U$1843*1000000000+ISNUMBER('Dvd Calendar'!$U$1844)*100000000+0*10000000+(N('Dvd Calendar'!$U$1842)&gt;0)*(N('Dvd Calendar'!$U$1842)&lt;=VAL_SERIAL)*1000000+26*1000+57))</f>
        <v/>
      </c>
      <c r="GJ185" s="121">
        <f>IF(N('Dvd Calendar'!$V$1843)=0,"",IF(('Dvd Calendar'!$V$1843&gt;=GRID_FROM)*('Dvd Calendar'!$V$1843&lt;=GRID_TO)*('Dvd Calendar'!$V$1843&gt;VAL_DATE)=0,"",'Dvd Calendar'!$V$1843*1000000000+ISNUMBER('Dvd Calendar'!$V$1844)*100000000+0*10000000+(N('Dvd Calendar'!$V$1842)&gt;0)*(N('Dvd Calendar'!$V$1842)&lt;=VAL_SERIAL)*1000000+26*1000+58))</f>
        <v/>
      </c>
      <c r="GK185" s="121">
        <f>IF(N('Dvd Calendar'!$W$1843)=0,"",IF(('Dvd Calendar'!$W$1843&gt;=GRID_FROM)*('Dvd Calendar'!$W$1843&lt;=GRID_TO)*('Dvd Calendar'!$W$1843&gt;VAL_DATE)=0,"",'Dvd Calendar'!$W$1843*1000000000+ISNUMBER('Dvd Calendar'!$W$1844)*100000000+0*10000000+(N('Dvd Calendar'!$W$1842)&gt;0)*(N('Dvd Calendar'!$W$1842)&lt;=VAL_SERIAL)*1000000+26*1000+59))</f>
        <v/>
      </c>
      <c r="GL185" s="121">
        <f>IF(N('Dvd Calendar'!$X$1843)=0,"",IF(('Dvd Calendar'!$X$1843&gt;=GRID_FROM)*('Dvd Calendar'!$X$1843&lt;=GRID_TO)*('Dvd Calendar'!$X$1843&gt;VAL_DATE)=0,"",'Dvd Calendar'!$X$1843*1000000000+ISNUMBER('Dvd Calendar'!$X$1844)*100000000+0*10000000+(N('Dvd Calendar'!$X$1842)&gt;0)*(N('Dvd Calendar'!$X$1842)&lt;=VAL_SERIAL)*1000000+26*1000+60))</f>
        <v/>
      </c>
      <c r="GM185" s="121">
        <f>IF(N('Dvd Calendar'!$Y$1843)=0,"",IF(('Dvd Calendar'!$Y$1843&gt;=GRID_FROM)*('Dvd Calendar'!$Y$1843&lt;=GRID_TO)*('Dvd Calendar'!$Y$1843&gt;VAL_DATE)=0,"",'Dvd Calendar'!$Y$1843*1000000000+ISNUMBER('Dvd Calendar'!$Y$1844)*100000000+0*10000000+(N('Dvd Calendar'!$Y$1842)&gt;0)*(N('Dvd Calendar'!$Y$1842)&lt;=VAL_SERIAL)*1000000+26*1000+61))</f>
        <v/>
      </c>
      <c r="GN185" s="121">
        <f>IF(N('Dvd Calendar'!$Z$1843)=0,"",IF(('Dvd Calendar'!$Z$1843&gt;=GRID_FROM)*('Dvd Calendar'!$Z$1843&lt;=GRID_TO)*('Dvd Calendar'!$Z$1843&gt;VAL_DATE)=0,"",'Dvd Calendar'!$Z$1843*1000000000+ISNUMBER('Dvd Calendar'!$Z$1844)*100000000+0*10000000+(N('Dvd Calendar'!$Z$1842)&gt;0)*(N('Dvd Calendar'!$Z$1842)&lt;=VAL_SERIAL)*1000000+26*1000+62))</f>
        <v/>
      </c>
      <c r="GO185" s="121">
        <f>IF(N('Dvd Calendar'!$AA$1843)=0,"",IF(('Dvd Calendar'!$AA$1843&gt;=GRID_FROM)*('Dvd Calendar'!$AA$1843&lt;=GRID_TO)*('Dvd Calendar'!$AA$1843&gt;VAL_DATE)=0,"",'Dvd Calendar'!$AA$1843*1000000000+ISNUMBER('Dvd Calendar'!$AA$1844)*100000000+0*10000000+(N('Dvd Calendar'!$AA$1842)&gt;0)*(N('Dvd Calendar'!$AA$1842)&lt;=VAL_SERIAL)*1000000+26*1000+63))</f>
        <v/>
      </c>
      <c r="GP185" s="121">
        <f>IF(N('Dvd Calendar'!$AB$1843)=0,"",IF(('Dvd Calendar'!$AB$1843&gt;=GRID_FROM)*('Dvd Calendar'!$AB$1843&lt;=GRID_TO)*('Dvd Calendar'!$AB$1843&gt;VAL_DATE)=0,"",'Dvd Calendar'!$AB$1843*1000000000+ISNUMBER('Dvd Calendar'!$AB$1844)*100000000+0*10000000+(N('Dvd Calendar'!$AB$1842)&gt;0)*(N('Dvd Calendar'!$AB$1842)&lt;=VAL_SERIAL)*1000000+26*1000+64))</f>
        <v/>
      </c>
      <c r="GQ185" s="121">
        <f>IF(N('Dvd Calendar'!$AC$1843)=0,"",IF(('Dvd Calendar'!$AC$1843&gt;=GRID_FROM)*('Dvd Calendar'!$AC$1843&lt;=GRID_TO)*('Dvd Calendar'!$AC$1843&gt;VAL_DATE)=0,"",'Dvd Calendar'!$AC$1843*1000000000+ISNUMBER('Dvd Calendar'!$AC$1844)*100000000+0*10000000+(N('Dvd Calendar'!$AC$1842)&gt;0)*(N('Dvd Calendar'!$AC$1842)&lt;=VAL_SERIAL)*1000000+26*1000+65))</f>
        <v/>
      </c>
    </row>
    <row r="186">
      <c r="B186" s="2">
        <f>IF(HSCEI!$C$33="","",HSCEI!$C$33)</f>
        <v/>
      </c>
      <c r="C186" s="161">
        <f>IF(EE186="","",IF(ISNUMBER('Dvd Calendar'!$E$1850)=FALSE,"",IF((('Dvd Calendar'!$E$1852=TYPE1)*(TYPE1&lt;&gt;"")+('Dvd Calendar'!$E$1852=TYPE2)*(TYPE2&lt;&gt;"")+('Dvd Calendar'!$E$1852=TYPE3)*(TYPE3&lt;&gt;"")+('Dvd Calendar'!$E$1852=TYPE4)*(TYPE4&lt;&gt;"")+('Dvd Calendar'!$E$1852=SPECIAL_LBL)*(INC_SPECIALS="Y"))=0,"",'Dvd Calendar'!$E$1850)))</f>
        <v/>
      </c>
      <c r="D186" s="161">
        <f>IF(EF186="","",IF(ISNUMBER('Dvd Calendar'!$F$1850)=FALSE,"",IF((('Dvd Calendar'!$F$1852=TYPE1)*(TYPE1&lt;&gt;"")+('Dvd Calendar'!$F$1852=TYPE2)*(TYPE2&lt;&gt;"")+('Dvd Calendar'!$F$1852=TYPE3)*(TYPE3&lt;&gt;"")+('Dvd Calendar'!$F$1852=TYPE4)*(TYPE4&lt;&gt;"")+('Dvd Calendar'!$F$1852=SPECIAL_LBL)*(INC_SPECIALS="Y"))=0,"",'Dvd Calendar'!$F$1850)))</f>
        <v/>
      </c>
      <c r="E186" s="161">
        <f>IF(EG186="","",IF(ISNUMBER('Dvd Calendar'!$G$1850)=FALSE,"",IF((('Dvd Calendar'!$G$1852=TYPE1)*(TYPE1&lt;&gt;"")+('Dvd Calendar'!$G$1852=TYPE2)*(TYPE2&lt;&gt;"")+('Dvd Calendar'!$G$1852=TYPE3)*(TYPE3&lt;&gt;"")+('Dvd Calendar'!$G$1852=TYPE4)*(TYPE4&lt;&gt;"")+('Dvd Calendar'!$G$1852=SPECIAL_LBL)*(INC_SPECIALS="Y"))=0,"",'Dvd Calendar'!$G$1850)))</f>
        <v/>
      </c>
      <c r="F186" s="161">
        <f>IF(EH186="","",IF(ISNUMBER('Dvd Calendar'!$H$1850)=FALSE,"",IF((('Dvd Calendar'!$H$1852=TYPE1)*(TYPE1&lt;&gt;"")+('Dvd Calendar'!$H$1852=TYPE2)*(TYPE2&lt;&gt;"")+('Dvd Calendar'!$H$1852=TYPE3)*(TYPE3&lt;&gt;"")+('Dvd Calendar'!$H$1852=TYPE4)*(TYPE4&lt;&gt;"")+('Dvd Calendar'!$H$1852=SPECIAL_LBL)*(INC_SPECIALS="Y"))=0,"",'Dvd Calendar'!$H$1850)))</f>
        <v/>
      </c>
      <c r="G186" s="161">
        <f>IF(EI186="","",IF(ISNUMBER('Dvd Calendar'!$I$1850)=FALSE,"",IF((('Dvd Calendar'!$I$1852=TYPE1)*(TYPE1&lt;&gt;"")+('Dvd Calendar'!$I$1852=TYPE2)*(TYPE2&lt;&gt;"")+('Dvd Calendar'!$I$1852=TYPE3)*(TYPE3&lt;&gt;"")+('Dvd Calendar'!$I$1852=TYPE4)*(TYPE4&lt;&gt;"")+('Dvd Calendar'!$I$1852=SPECIAL_LBL)*(INC_SPECIALS="Y"))=0,"",'Dvd Calendar'!$I$1850)))</f>
        <v/>
      </c>
      <c r="H186" s="161">
        <f>IF(EJ186="","",IF(ISNUMBER('Dvd Calendar'!$J$1850)=FALSE,"",IF((('Dvd Calendar'!$J$1852=TYPE1)*(TYPE1&lt;&gt;"")+('Dvd Calendar'!$J$1852=TYPE2)*(TYPE2&lt;&gt;"")+('Dvd Calendar'!$J$1852=TYPE3)*(TYPE3&lt;&gt;"")+('Dvd Calendar'!$J$1852=TYPE4)*(TYPE4&lt;&gt;"")+('Dvd Calendar'!$J$1852=SPECIAL_LBL)*(INC_SPECIALS="Y"))=0,"",'Dvd Calendar'!$J$1850)))</f>
        <v/>
      </c>
      <c r="I186" s="161">
        <f>IF(EK186="","",IF(ISNUMBER('Dvd Calendar'!$K$1850)=FALSE,"",IF((('Dvd Calendar'!$K$1852=TYPE1)*(TYPE1&lt;&gt;"")+('Dvd Calendar'!$K$1852=TYPE2)*(TYPE2&lt;&gt;"")+('Dvd Calendar'!$K$1852=TYPE3)*(TYPE3&lt;&gt;"")+('Dvd Calendar'!$K$1852=TYPE4)*(TYPE4&lt;&gt;"")+('Dvd Calendar'!$K$1852=SPECIAL_LBL)*(INC_SPECIALS="Y"))=0,"",'Dvd Calendar'!$K$1850)))</f>
        <v/>
      </c>
      <c r="J186" s="161">
        <f>IF(EL186="","",IF(ISNUMBER('Dvd Calendar'!$L$1850)=FALSE,"",IF((('Dvd Calendar'!$L$1852=TYPE1)*(TYPE1&lt;&gt;"")+('Dvd Calendar'!$L$1852=TYPE2)*(TYPE2&lt;&gt;"")+('Dvd Calendar'!$L$1852=TYPE3)*(TYPE3&lt;&gt;"")+('Dvd Calendar'!$L$1852=TYPE4)*(TYPE4&lt;&gt;"")+('Dvd Calendar'!$L$1852=SPECIAL_LBL)*(INC_SPECIALS="Y"))=0,"",'Dvd Calendar'!$L$1850)))</f>
        <v/>
      </c>
      <c r="K186" s="161">
        <f>IF(EM186="","",IF(ISNUMBER('Dvd Calendar'!$M$1850)=FALSE,"",IF((('Dvd Calendar'!$M$1852=TYPE1)*(TYPE1&lt;&gt;"")+('Dvd Calendar'!$M$1852=TYPE2)*(TYPE2&lt;&gt;"")+('Dvd Calendar'!$M$1852=TYPE3)*(TYPE3&lt;&gt;"")+('Dvd Calendar'!$M$1852=TYPE4)*(TYPE4&lt;&gt;"")+('Dvd Calendar'!$M$1852=SPECIAL_LBL)*(INC_SPECIALS="Y"))=0,"",'Dvd Calendar'!$M$1850)))</f>
        <v/>
      </c>
      <c r="L186" s="161">
        <f>IF(EN186="","",IF(ISNUMBER('Dvd Calendar'!$N$1850)=FALSE,"",IF((('Dvd Calendar'!$N$1852=TYPE1)*(TYPE1&lt;&gt;"")+('Dvd Calendar'!$N$1852=TYPE2)*(TYPE2&lt;&gt;"")+('Dvd Calendar'!$N$1852=TYPE3)*(TYPE3&lt;&gt;"")+('Dvd Calendar'!$N$1852=TYPE4)*(TYPE4&lt;&gt;"")+('Dvd Calendar'!$N$1852=SPECIAL_LBL)*(INC_SPECIALS="Y"))=0,"",'Dvd Calendar'!$N$1850)))</f>
        <v/>
      </c>
      <c r="M186" s="161">
        <f>IF(EO186="","",IF(ISNUMBER('Dvd Calendar'!$O$1850)=FALSE,"",IF((('Dvd Calendar'!$O$1852=TYPE1)*(TYPE1&lt;&gt;"")+('Dvd Calendar'!$O$1852=TYPE2)*(TYPE2&lt;&gt;"")+('Dvd Calendar'!$O$1852=TYPE3)*(TYPE3&lt;&gt;"")+('Dvd Calendar'!$O$1852=TYPE4)*(TYPE4&lt;&gt;"")+('Dvd Calendar'!$O$1852=SPECIAL_LBL)*(INC_SPECIALS="Y"))=0,"",'Dvd Calendar'!$O$1850)))</f>
        <v/>
      </c>
      <c r="N186" s="161">
        <f>IF(EP186="","",IF(ISNUMBER('Dvd Calendar'!$P$1850)=FALSE,"",IF((('Dvd Calendar'!$P$1852=TYPE1)*(TYPE1&lt;&gt;"")+('Dvd Calendar'!$P$1852=TYPE2)*(TYPE2&lt;&gt;"")+('Dvd Calendar'!$P$1852=TYPE3)*(TYPE3&lt;&gt;"")+('Dvd Calendar'!$P$1852=TYPE4)*(TYPE4&lt;&gt;"")+('Dvd Calendar'!$P$1852=SPECIAL_LBL)*(INC_SPECIALS="Y"))=0,"",'Dvd Calendar'!$P$1850)))</f>
        <v/>
      </c>
      <c r="O186" s="161">
        <f>IF(EQ186="","",IF(ISNUMBER('Dvd Calendar'!$Q$1850)=FALSE,"",IF((('Dvd Calendar'!$Q$1852=TYPE1)*(TYPE1&lt;&gt;"")+('Dvd Calendar'!$Q$1852=TYPE2)*(TYPE2&lt;&gt;"")+('Dvd Calendar'!$Q$1852=TYPE3)*(TYPE3&lt;&gt;"")+('Dvd Calendar'!$Q$1852=TYPE4)*(TYPE4&lt;&gt;"")+('Dvd Calendar'!$Q$1852=SPECIAL_LBL)*(INC_SPECIALS="Y"))=0,"",'Dvd Calendar'!$Q$1850)))</f>
        <v/>
      </c>
      <c r="P186" s="161">
        <f>IF(ER186="","",IF(ISNUMBER('Dvd Calendar'!$R$1850)=FALSE,"",IF((('Dvd Calendar'!$R$1852=TYPE1)*(TYPE1&lt;&gt;"")+('Dvd Calendar'!$R$1852=TYPE2)*(TYPE2&lt;&gt;"")+('Dvd Calendar'!$R$1852=TYPE3)*(TYPE3&lt;&gt;"")+('Dvd Calendar'!$R$1852=TYPE4)*(TYPE4&lt;&gt;"")+('Dvd Calendar'!$R$1852=SPECIAL_LBL)*(INC_SPECIALS="Y"))=0,"",'Dvd Calendar'!$R$1850)))</f>
        <v/>
      </c>
      <c r="Q186" s="161">
        <f>IF(ES186="","",IF(ISNUMBER('Dvd Calendar'!$S$1850)=FALSE,"",IF((('Dvd Calendar'!$S$1852=TYPE1)*(TYPE1&lt;&gt;"")+('Dvd Calendar'!$S$1852=TYPE2)*(TYPE2&lt;&gt;"")+('Dvd Calendar'!$S$1852=TYPE3)*(TYPE3&lt;&gt;"")+('Dvd Calendar'!$S$1852=TYPE4)*(TYPE4&lt;&gt;"")+('Dvd Calendar'!$S$1852=SPECIAL_LBL)*(INC_SPECIALS="Y"))=0,"",'Dvd Calendar'!$S$1850)))</f>
        <v/>
      </c>
      <c r="R186" s="161">
        <f>IF(ET186="","",IF(ISNUMBER('Dvd Calendar'!$T$1850)=FALSE,"",IF((('Dvd Calendar'!$T$1852=TYPE1)*(TYPE1&lt;&gt;"")+('Dvd Calendar'!$T$1852=TYPE2)*(TYPE2&lt;&gt;"")+('Dvd Calendar'!$T$1852=TYPE3)*(TYPE3&lt;&gt;"")+('Dvd Calendar'!$T$1852=TYPE4)*(TYPE4&lt;&gt;"")+('Dvd Calendar'!$T$1852=SPECIAL_LBL)*(INC_SPECIALS="Y"))=0,"",'Dvd Calendar'!$T$1850)))</f>
        <v/>
      </c>
      <c r="S186" s="161">
        <f>IF(EU186="","",IF(ISNUMBER('Dvd Calendar'!$U$1850)=FALSE,"",IF((('Dvd Calendar'!$U$1852=TYPE1)*(TYPE1&lt;&gt;"")+('Dvd Calendar'!$U$1852=TYPE2)*(TYPE2&lt;&gt;"")+('Dvd Calendar'!$U$1852=TYPE3)*(TYPE3&lt;&gt;"")+('Dvd Calendar'!$U$1852=TYPE4)*(TYPE4&lt;&gt;"")+('Dvd Calendar'!$U$1852=SPECIAL_LBL)*(INC_SPECIALS="Y"))=0,"",'Dvd Calendar'!$U$1850)))</f>
        <v/>
      </c>
      <c r="T186" s="161">
        <f>IF(EV186="","",IF(ISNUMBER('Dvd Calendar'!$V$1850)=FALSE,"",IF((('Dvd Calendar'!$V$1852=TYPE1)*(TYPE1&lt;&gt;"")+('Dvd Calendar'!$V$1852=TYPE2)*(TYPE2&lt;&gt;"")+('Dvd Calendar'!$V$1852=TYPE3)*(TYPE3&lt;&gt;"")+('Dvd Calendar'!$V$1852=TYPE4)*(TYPE4&lt;&gt;"")+('Dvd Calendar'!$V$1852=SPECIAL_LBL)*(INC_SPECIALS="Y"))=0,"",'Dvd Calendar'!$V$1850)))</f>
        <v/>
      </c>
      <c r="U186" s="161">
        <f>IF(EW186="","",IF(ISNUMBER('Dvd Calendar'!$W$1850)=FALSE,"",IF((('Dvd Calendar'!$W$1852=TYPE1)*(TYPE1&lt;&gt;"")+('Dvd Calendar'!$W$1852=TYPE2)*(TYPE2&lt;&gt;"")+('Dvd Calendar'!$W$1852=TYPE3)*(TYPE3&lt;&gt;"")+('Dvd Calendar'!$W$1852=TYPE4)*(TYPE4&lt;&gt;"")+('Dvd Calendar'!$W$1852=SPECIAL_LBL)*(INC_SPECIALS="Y"))=0,"",'Dvd Calendar'!$W$1850)))</f>
        <v/>
      </c>
      <c r="V186" s="161">
        <f>IF(EX186="","",IF(ISNUMBER('Dvd Calendar'!$X$1850)=FALSE,"",IF((('Dvd Calendar'!$X$1852=TYPE1)*(TYPE1&lt;&gt;"")+('Dvd Calendar'!$X$1852=TYPE2)*(TYPE2&lt;&gt;"")+('Dvd Calendar'!$X$1852=TYPE3)*(TYPE3&lt;&gt;"")+('Dvd Calendar'!$X$1852=TYPE4)*(TYPE4&lt;&gt;"")+('Dvd Calendar'!$X$1852=SPECIAL_LBL)*(INC_SPECIALS="Y"))=0,"",'Dvd Calendar'!$X$1850)))</f>
        <v/>
      </c>
      <c r="W186" s="161">
        <f>IF(EY186="","",IF(ISNUMBER('Dvd Calendar'!$Y$1850)=FALSE,"",IF((('Dvd Calendar'!$Y$1852=TYPE1)*(TYPE1&lt;&gt;"")+('Dvd Calendar'!$Y$1852=TYPE2)*(TYPE2&lt;&gt;"")+('Dvd Calendar'!$Y$1852=TYPE3)*(TYPE3&lt;&gt;"")+('Dvd Calendar'!$Y$1852=TYPE4)*(TYPE4&lt;&gt;"")+('Dvd Calendar'!$Y$1852=SPECIAL_LBL)*(INC_SPECIALS="Y"))=0,"",'Dvd Calendar'!$Y$1850)))</f>
        <v/>
      </c>
      <c r="X186" s="161">
        <f>IF(EZ186="","",IF(ISNUMBER('Dvd Calendar'!$Z$1850)=FALSE,"",IF((('Dvd Calendar'!$Z$1852=TYPE1)*(TYPE1&lt;&gt;"")+('Dvd Calendar'!$Z$1852=TYPE2)*(TYPE2&lt;&gt;"")+('Dvd Calendar'!$Z$1852=TYPE3)*(TYPE3&lt;&gt;"")+('Dvd Calendar'!$Z$1852=TYPE4)*(TYPE4&lt;&gt;"")+('Dvd Calendar'!$Z$1852=SPECIAL_LBL)*(INC_SPECIALS="Y"))=0,"",'Dvd Calendar'!$Z$1850)))</f>
        <v/>
      </c>
      <c r="Y186" s="161">
        <f>IF(FA186="","",IF(ISNUMBER('Dvd Calendar'!$AA$1850)=FALSE,"",IF((('Dvd Calendar'!$AA$1852=TYPE1)*(TYPE1&lt;&gt;"")+('Dvd Calendar'!$AA$1852=TYPE2)*(TYPE2&lt;&gt;"")+('Dvd Calendar'!$AA$1852=TYPE3)*(TYPE3&lt;&gt;"")+('Dvd Calendar'!$AA$1852=TYPE4)*(TYPE4&lt;&gt;"")+('Dvd Calendar'!$AA$1852=SPECIAL_LBL)*(INC_SPECIALS="Y"))=0,"",'Dvd Calendar'!$AA$1850)))</f>
        <v/>
      </c>
      <c r="Z186" s="161">
        <f>IF(FB186="","",IF(ISNUMBER('Dvd Calendar'!$AB$1850)=FALSE,"",IF((('Dvd Calendar'!$AB$1852=TYPE1)*(TYPE1&lt;&gt;"")+('Dvd Calendar'!$AB$1852=TYPE2)*(TYPE2&lt;&gt;"")+('Dvd Calendar'!$AB$1852=TYPE3)*(TYPE3&lt;&gt;"")+('Dvd Calendar'!$AB$1852=TYPE4)*(TYPE4&lt;&gt;"")+('Dvd Calendar'!$AB$1852=SPECIAL_LBL)*(INC_SPECIALS="Y"))=0,"",'Dvd Calendar'!$AB$1850)))</f>
        <v/>
      </c>
      <c r="AA186" s="161">
        <f>IF(FC186="","",IF(ISNUMBER('Dvd Calendar'!$AC$1850)=FALSE,"",IF((('Dvd Calendar'!$AC$1852=TYPE1)*(TYPE1&lt;&gt;"")+('Dvd Calendar'!$AC$1852=TYPE2)*(TYPE2&lt;&gt;"")+('Dvd Calendar'!$AC$1852=TYPE3)*(TYPE3&lt;&gt;"")+('Dvd Calendar'!$AC$1852=TYPE4)*(TYPE4&lt;&gt;"")+('Dvd Calendar'!$AC$1852=SPECIAL_LBL)*(INC_SPECIALS="Y"))=0,"",'Dvd Calendar'!$AC$1850)))</f>
        <v/>
      </c>
      <c r="AB186" s="161">
        <f>IF(FD186="","",IF(ISNUMBER('Dvd Calendar'!$AD$1850)=FALSE,"",IF((('Dvd Calendar'!$AD$1852=TYPE1)*(TYPE1&lt;&gt;"")+('Dvd Calendar'!$AD$1852=TYPE2)*(TYPE2&lt;&gt;"")+('Dvd Calendar'!$AD$1852=TYPE3)*(TYPE3&lt;&gt;"")+('Dvd Calendar'!$AD$1852=TYPE4)*(TYPE4&lt;&gt;"")+('Dvd Calendar'!$AD$1852=SPECIAL_LBL)*(INC_SPECIALS="Y"))=0,"",'Dvd Calendar'!$AD$1850)))</f>
        <v/>
      </c>
      <c r="AC186" s="161">
        <f>IF(FE186="","",IF(ISNUMBER('Dvd Calendar'!$AE$1850)=FALSE,"",IF((('Dvd Calendar'!$AE$1852=TYPE1)*(TYPE1&lt;&gt;"")+('Dvd Calendar'!$AE$1852=TYPE2)*(TYPE2&lt;&gt;"")+('Dvd Calendar'!$AE$1852=TYPE3)*(TYPE3&lt;&gt;"")+('Dvd Calendar'!$AE$1852=TYPE4)*(TYPE4&lt;&gt;"")+('Dvd Calendar'!$AE$1852=SPECIAL_LBL)*(INC_SPECIALS="Y"))=0,"",'Dvd Calendar'!$AE$1850)))</f>
        <v/>
      </c>
      <c r="AD186" s="161">
        <f>IF(FF186="","",IF(ISNUMBER('Dvd Calendar'!$AF$1850)=FALSE,"",IF((('Dvd Calendar'!$AF$1852=TYPE1)*(TYPE1&lt;&gt;"")+('Dvd Calendar'!$AF$1852=TYPE2)*(TYPE2&lt;&gt;"")+('Dvd Calendar'!$AF$1852=TYPE3)*(TYPE3&lt;&gt;"")+('Dvd Calendar'!$AF$1852=TYPE4)*(TYPE4&lt;&gt;"")+('Dvd Calendar'!$AF$1852=SPECIAL_LBL)*(INC_SPECIALS="Y"))=0,"",'Dvd Calendar'!$AF$1850)))</f>
        <v/>
      </c>
      <c r="AE186" s="161">
        <f>IF(FG186="","",IF(ISNUMBER('Dvd Calendar'!$AG$1850)=FALSE,"",IF((('Dvd Calendar'!$AG$1852=TYPE1)*(TYPE1&lt;&gt;"")+('Dvd Calendar'!$AG$1852=TYPE2)*(TYPE2&lt;&gt;"")+('Dvd Calendar'!$AG$1852=TYPE3)*(TYPE3&lt;&gt;"")+('Dvd Calendar'!$AG$1852=TYPE4)*(TYPE4&lt;&gt;"")+('Dvd Calendar'!$AG$1852=SPECIAL_LBL)*(INC_SPECIALS="Y"))=0,"",'Dvd Calendar'!$AG$1850)))</f>
        <v/>
      </c>
      <c r="AF186" s="161">
        <f>IF(FH186="","",IF(ISNUMBER('Dvd Calendar'!$AH$1850)=FALSE,"",IF((('Dvd Calendar'!$AH$1852=TYPE1)*(TYPE1&lt;&gt;"")+('Dvd Calendar'!$AH$1852=TYPE2)*(TYPE2&lt;&gt;"")+('Dvd Calendar'!$AH$1852=TYPE3)*(TYPE3&lt;&gt;"")+('Dvd Calendar'!$AH$1852=TYPE4)*(TYPE4&lt;&gt;"")+('Dvd Calendar'!$AH$1852=SPECIAL_LBL)*(INC_SPECIALS="Y"))=0,"",'Dvd Calendar'!$AH$1850)))</f>
        <v/>
      </c>
      <c r="AG186" s="161">
        <f>IF(FI186="","",IF(ISNUMBER('Dvd Calendar'!$AI$1850)=FALSE,"",IF((('Dvd Calendar'!$AI$1852=TYPE1)*(TYPE1&lt;&gt;"")+('Dvd Calendar'!$AI$1852=TYPE2)*(TYPE2&lt;&gt;"")+('Dvd Calendar'!$AI$1852=TYPE3)*(TYPE3&lt;&gt;"")+('Dvd Calendar'!$AI$1852=TYPE4)*(TYPE4&lt;&gt;"")+('Dvd Calendar'!$AI$1852=SPECIAL_LBL)*(INC_SPECIALS="Y"))=0,"",'Dvd Calendar'!$AI$1850)))</f>
        <v/>
      </c>
      <c r="AH186" s="161">
        <f>IF(FJ186="","",IF(ISNUMBER('Dvd Calendar'!$AJ$1850)=FALSE,"",IF((('Dvd Calendar'!$AJ$1852=TYPE1)*(TYPE1&lt;&gt;"")+('Dvd Calendar'!$AJ$1852=TYPE2)*(TYPE2&lt;&gt;"")+('Dvd Calendar'!$AJ$1852=TYPE3)*(TYPE3&lt;&gt;"")+('Dvd Calendar'!$AJ$1852=TYPE4)*(TYPE4&lt;&gt;"")+('Dvd Calendar'!$AJ$1852=SPECIAL_LBL)*(INC_SPECIALS="Y"))=0,"",'Dvd Calendar'!$AJ$1850)))</f>
        <v/>
      </c>
      <c r="AI186" s="161">
        <f>IF(FK186="","",IF(ISNUMBER('Dvd Calendar'!$AK$1850)=FALSE,"",IF((('Dvd Calendar'!$AK$1852=TYPE1)*(TYPE1&lt;&gt;"")+('Dvd Calendar'!$AK$1852=TYPE2)*(TYPE2&lt;&gt;"")+('Dvd Calendar'!$AK$1852=TYPE3)*(TYPE3&lt;&gt;"")+('Dvd Calendar'!$AK$1852=TYPE4)*(TYPE4&lt;&gt;"")+('Dvd Calendar'!$AK$1852=SPECIAL_LBL)*(INC_SPECIALS="Y"))=0,"",'Dvd Calendar'!$AK$1850)))</f>
        <v/>
      </c>
      <c r="AJ186" s="161">
        <f>IF(FL186="","",IF(ISNUMBER('Dvd Calendar'!$AL$1850)=FALSE,"",IF((('Dvd Calendar'!$AL$1852=TYPE1)*(TYPE1&lt;&gt;"")+('Dvd Calendar'!$AL$1852=TYPE2)*(TYPE2&lt;&gt;"")+('Dvd Calendar'!$AL$1852=TYPE3)*(TYPE3&lt;&gt;"")+('Dvd Calendar'!$AL$1852=TYPE4)*(TYPE4&lt;&gt;"")+('Dvd Calendar'!$AL$1852=SPECIAL_LBL)*(INC_SPECIALS="Y"))=0,"",'Dvd Calendar'!$AL$1850)))</f>
        <v/>
      </c>
      <c r="AK186" s="161">
        <f>IF(FM186="","",IF(ISNUMBER('Dvd Calendar'!$AM$1850)=FALSE,"",IF((('Dvd Calendar'!$AM$1852=TYPE1)*(TYPE1&lt;&gt;"")+('Dvd Calendar'!$AM$1852=TYPE2)*(TYPE2&lt;&gt;"")+('Dvd Calendar'!$AM$1852=TYPE3)*(TYPE3&lt;&gt;"")+('Dvd Calendar'!$AM$1852=TYPE4)*(TYPE4&lt;&gt;"")+('Dvd Calendar'!$AM$1852=SPECIAL_LBL)*(INC_SPECIALS="Y"))=0,"",'Dvd Calendar'!$AM$1850)))</f>
        <v/>
      </c>
      <c r="AL186" s="161">
        <f>IF(FN186="","",IF(ISNUMBER('Dvd Calendar'!$AN$1850)=FALSE,"",IF((('Dvd Calendar'!$AN$1852=TYPE1)*(TYPE1&lt;&gt;"")+('Dvd Calendar'!$AN$1852=TYPE2)*(TYPE2&lt;&gt;"")+('Dvd Calendar'!$AN$1852=TYPE3)*(TYPE3&lt;&gt;"")+('Dvd Calendar'!$AN$1852=TYPE4)*(TYPE4&lt;&gt;"")+('Dvd Calendar'!$AN$1852=SPECIAL_LBL)*(INC_SPECIALS="Y"))=0,"",'Dvd Calendar'!$AN$1850)))</f>
        <v/>
      </c>
      <c r="AM186" s="161">
        <f>IF(FO186="","",IF(ISNUMBER('Dvd Calendar'!$AO$1850)=FALSE,"",IF((('Dvd Calendar'!$AO$1852=TYPE1)*(TYPE1&lt;&gt;"")+('Dvd Calendar'!$AO$1852=TYPE2)*(TYPE2&lt;&gt;"")+('Dvd Calendar'!$AO$1852=TYPE3)*(TYPE3&lt;&gt;"")+('Dvd Calendar'!$AO$1852=TYPE4)*(TYPE4&lt;&gt;"")+('Dvd Calendar'!$AO$1852=SPECIAL_LBL)*(INC_SPECIALS="Y"))=0,"",'Dvd Calendar'!$AO$1850)))</f>
        <v/>
      </c>
      <c r="AN186" s="161">
        <f>IF(FP186="","",IF(ISNUMBER('Dvd Calendar'!$AP$1850)=FALSE,"",IF((('Dvd Calendar'!$AP$1852=TYPE1)*(TYPE1&lt;&gt;"")+('Dvd Calendar'!$AP$1852=TYPE2)*(TYPE2&lt;&gt;"")+('Dvd Calendar'!$AP$1852=TYPE3)*(TYPE3&lt;&gt;"")+('Dvd Calendar'!$AP$1852=TYPE4)*(TYPE4&lt;&gt;"")+('Dvd Calendar'!$AP$1852=SPECIAL_LBL)*(INC_SPECIALS="Y"))=0,"",'Dvd Calendar'!$AP$1850)))</f>
        <v/>
      </c>
      <c r="AO186" s="161">
        <f>IF(FQ186="","",IF(ISNUMBER('Dvd Calendar'!$AQ$1850)=FALSE,"",IF((('Dvd Calendar'!$AQ$1852=TYPE1)*(TYPE1&lt;&gt;"")+('Dvd Calendar'!$AQ$1852=TYPE2)*(TYPE2&lt;&gt;"")+('Dvd Calendar'!$AQ$1852=TYPE3)*(TYPE3&lt;&gt;"")+('Dvd Calendar'!$AQ$1852=TYPE4)*(TYPE4&lt;&gt;"")+('Dvd Calendar'!$AQ$1852=SPECIAL_LBL)*(INC_SPECIALS="Y"))=0,"",'Dvd Calendar'!$AQ$1850)))</f>
        <v/>
      </c>
      <c r="AP186" s="161">
        <f>IF(FR186="","",IF(ISNUMBER('Dvd Calendar'!$AR$1850)=FALSE,"",IF((('Dvd Calendar'!$AR$1852=TYPE1)*(TYPE1&lt;&gt;"")+('Dvd Calendar'!$AR$1852=TYPE2)*(TYPE2&lt;&gt;"")+('Dvd Calendar'!$AR$1852=TYPE3)*(TYPE3&lt;&gt;"")+('Dvd Calendar'!$AR$1852=TYPE4)*(TYPE4&lt;&gt;"")+('Dvd Calendar'!$AR$1852=SPECIAL_LBL)*(INC_SPECIALS="Y"))=0,"",'Dvd Calendar'!$AR$1850)))</f>
        <v/>
      </c>
      <c r="AQ186" s="161">
        <f>IF(FS186="","",IF(ISNUMBER('Dvd Calendar'!$E$1855)=FALSE,"",'Dvd Calendar'!$E$1855))</f>
        <v/>
      </c>
      <c r="AR186" s="161">
        <f>IF(FT186="","",IF(ISNUMBER('Dvd Calendar'!$F$1855)=FALSE,"",'Dvd Calendar'!$F$1855))</f>
        <v/>
      </c>
      <c r="AS186" s="161">
        <f>IF(FU186="","",IF(ISNUMBER('Dvd Calendar'!$G$1855)=FALSE,"",'Dvd Calendar'!$G$1855))</f>
        <v/>
      </c>
      <c r="AT186" s="161">
        <f>IF(FV186="","",IF(ISNUMBER('Dvd Calendar'!$H$1855)=FALSE,"",'Dvd Calendar'!$H$1855))</f>
        <v/>
      </c>
      <c r="AU186" s="161">
        <f>IF(FW186="","",IF(ISNUMBER('Dvd Calendar'!$I$1855)=FALSE,"",'Dvd Calendar'!$I$1855))</f>
        <v/>
      </c>
      <c r="AV186" s="161">
        <f>IF(FX186="","",IF(ISNUMBER('Dvd Calendar'!$J$1855)=FALSE,"",'Dvd Calendar'!$J$1855))</f>
        <v/>
      </c>
      <c r="AW186" s="161">
        <f>IF(FY186="","",IF(ISNUMBER('Dvd Calendar'!$K$1855)=FALSE,"",'Dvd Calendar'!$K$1855))</f>
        <v/>
      </c>
      <c r="AX186" s="161">
        <f>IF(FZ186="","",IF(ISNUMBER('Dvd Calendar'!$L$1855)=FALSE,"",'Dvd Calendar'!$L$1855))</f>
        <v/>
      </c>
      <c r="AY186" s="161">
        <f>IF(GA186="","",IF(ISNUMBER('Dvd Calendar'!$M$1855)=FALSE,"",'Dvd Calendar'!$M$1855))</f>
        <v/>
      </c>
      <c r="AZ186" s="161">
        <f>IF(GB186="","",IF(ISNUMBER('Dvd Calendar'!$N$1855)=FALSE,"",'Dvd Calendar'!$N$1855))</f>
        <v/>
      </c>
      <c r="BA186" s="161">
        <f>IF(GC186="","",IF(ISNUMBER('Dvd Calendar'!$O$1855)=FALSE,"",'Dvd Calendar'!$O$1855))</f>
        <v/>
      </c>
      <c r="BB186" s="161">
        <f>IF(GD186="","",IF(ISNUMBER('Dvd Calendar'!$P$1855)=FALSE,"",'Dvd Calendar'!$P$1855))</f>
        <v/>
      </c>
      <c r="BC186" s="161">
        <f>IF(GE186="","",IF(ISNUMBER('Dvd Calendar'!$Q$1855)=FALSE,"",'Dvd Calendar'!$Q$1855))</f>
        <v/>
      </c>
      <c r="BD186" s="161">
        <f>IF(GF186="","",IF(ISNUMBER('Dvd Calendar'!$R$1855)=FALSE,"",'Dvd Calendar'!$R$1855))</f>
        <v/>
      </c>
      <c r="BE186" s="161">
        <f>IF(GG186="","",IF(ISNUMBER('Dvd Calendar'!$S$1855)=FALSE,"",'Dvd Calendar'!$S$1855))</f>
        <v/>
      </c>
      <c r="BF186" s="161">
        <f>IF(GH186="","",IF(ISNUMBER('Dvd Calendar'!$T$1855)=FALSE,"",'Dvd Calendar'!$T$1855))</f>
        <v/>
      </c>
      <c r="BG186" s="161">
        <f>IF(GI186="","",IF(ISNUMBER('Dvd Calendar'!$U$1855)=FALSE,"",'Dvd Calendar'!$U$1855))</f>
        <v/>
      </c>
      <c r="BH186" s="161">
        <f>IF(GJ186="","",IF(ISNUMBER('Dvd Calendar'!$V$1855)=FALSE,"",'Dvd Calendar'!$V$1855))</f>
        <v/>
      </c>
      <c r="BI186" s="161">
        <f>IF(GK186="","",IF(ISNUMBER('Dvd Calendar'!$W$1855)=FALSE,"",'Dvd Calendar'!$W$1855))</f>
        <v/>
      </c>
      <c r="BJ186" s="161">
        <f>IF(GL186="","",IF(ISNUMBER('Dvd Calendar'!$X$1855)=FALSE,"",'Dvd Calendar'!$X$1855))</f>
        <v/>
      </c>
      <c r="BK186" s="161">
        <f>IF(GM186="","",IF(ISNUMBER('Dvd Calendar'!$Y$1855)=FALSE,"",'Dvd Calendar'!$Y$1855))</f>
        <v/>
      </c>
      <c r="BL186" s="161">
        <f>IF(GN186="","",IF(ISNUMBER('Dvd Calendar'!$Z$1855)=FALSE,"",'Dvd Calendar'!$Z$1855))</f>
        <v/>
      </c>
      <c r="BM186" s="161">
        <f>IF(GO186="","",IF(ISNUMBER('Dvd Calendar'!$AA$1855)=FALSE,"",'Dvd Calendar'!$AA$1855))</f>
        <v/>
      </c>
      <c r="BN186" s="161">
        <f>IF(GP186="","",IF(ISNUMBER('Dvd Calendar'!$AB$1855)=FALSE,"",'Dvd Calendar'!$AB$1855))</f>
        <v/>
      </c>
      <c r="BO186" s="161">
        <f>IF(GQ186="","",IF(ISNUMBER('Dvd Calendar'!$AC$1855)=FALSE,"",'Dvd Calendar'!$AC$1855))</f>
        <v/>
      </c>
      <c r="BQ186" s="161">
        <f>IF(C186="","",IFERROR(C186*HSCEI!$B$33*HSCEI!$G$33/HSCEI!$B$3,""))</f>
        <v/>
      </c>
      <c r="BR186" s="161">
        <f>IF(D186="","",IFERROR(D186*HSCEI!$B$33*HSCEI!$G$33/HSCEI!$B$3,""))</f>
        <v/>
      </c>
      <c r="BS186" s="161">
        <f>IF(E186="","",IFERROR(E186*HSCEI!$B$33*HSCEI!$G$33/HSCEI!$B$3,""))</f>
        <v/>
      </c>
      <c r="BT186" s="161">
        <f>IF(F186="","",IFERROR(F186*HSCEI!$B$33*HSCEI!$G$33/HSCEI!$B$3,""))</f>
        <v/>
      </c>
      <c r="BU186" s="161">
        <f>IF(G186="","",IFERROR(G186*HSCEI!$B$33*HSCEI!$G$33/HSCEI!$B$3,""))</f>
        <v/>
      </c>
      <c r="BV186" s="161">
        <f>IF(H186="","",IFERROR(H186*HSCEI!$B$33*HSCEI!$G$33/HSCEI!$B$3,""))</f>
        <v/>
      </c>
      <c r="BW186" s="161">
        <f>IF(I186="","",IFERROR(I186*HSCEI!$B$33*HSCEI!$G$33/HSCEI!$B$3,""))</f>
        <v/>
      </c>
      <c r="BX186" s="161">
        <f>IF(J186="","",IFERROR(J186*HSCEI!$B$33*HSCEI!$G$33/HSCEI!$B$3,""))</f>
        <v/>
      </c>
      <c r="BY186" s="161">
        <f>IF(K186="","",IFERROR(K186*HSCEI!$B$33*HSCEI!$G$33/HSCEI!$B$3,""))</f>
        <v/>
      </c>
      <c r="BZ186" s="161">
        <f>IF(L186="","",IFERROR(L186*HSCEI!$B$33*HSCEI!$G$33/HSCEI!$B$3,""))</f>
        <v/>
      </c>
      <c r="CA186" s="161">
        <f>IF(M186="","",IFERROR(M186*HSCEI!$B$33*HSCEI!$G$33/HSCEI!$B$3,""))</f>
        <v/>
      </c>
      <c r="CB186" s="161">
        <f>IF(N186="","",IFERROR(N186*HSCEI!$B$33*HSCEI!$G$33/HSCEI!$B$3,""))</f>
        <v/>
      </c>
      <c r="CC186" s="161">
        <f>IF(O186="","",IFERROR(O186*HSCEI!$B$33*HSCEI!$G$33/HSCEI!$B$3,""))</f>
        <v/>
      </c>
      <c r="CD186" s="161">
        <f>IF(P186="","",IFERROR(P186*HSCEI!$B$33*HSCEI!$G$33/HSCEI!$B$3,""))</f>
        <v/>
      </c>
      <c r="CE186" s="161">
        <f>IF(Q186="","",IFERROR(Q186*HSCEI!$B$33*HSCEI!$G$33/HSCEI!$B$3,""))</f>
        <v/>
      </c>
      <c r="CF186" s="161">
        <f>IF(R186="","",IFERROR(R186*HSCEI!$B$33*HSCEI!$G$33/HSCEI!$B$3,""))</f>
        <v/>
      </c>
      <c r="CG186" s="161">
        <f>IF(S186="","",IFERROR(S186*HSCEI!$B$33*HSCEI!$G$33/HSCEI!$B$3,""))</f>
        <v/>
      </c>
      <c r="CH186" s="161">
        <f>IF(T186="","",IFERROR(T186*HSCEI!$B$33*HSCEI!$G$33/HSCEI!$B$3,""))</f>
        <v/>
      </c>
      <c r="CI186" s="161">
        <f>IF(U186="","",IFERROR(U186*HSCEI!$B$33*HSCEI!$G$33/HSCEI!$B$3,""))</f>
        <v/>
      </c>
      <c r="CJ186" s="161">
        <f>IF(V186="","",IFERROR(V186*HSCEI!$B$33*HSCEI!$G$33/HSCEI!$B$3,""))</f>
        <v/>
      </c>
      <c r="CK186" s="161">
        <f>IF(W186="","",IFERROR(W186*HSCEI!$B$33*HSCEI!$G$33/HSCEI!$B$3,""))</f>
        <v/>
      </c>
      <c r="CL186" s="161">
        <f>IF(X186="","",IFERROR(X186*HSCEI!$B$33*HSCEI!$G$33/HSCEI!$B$3,""))</f>
        <v/>
      </c>
      <c r="CM186" s="161">
        <f>IF(Y186="","",IFERROR(Y186*HSCEI!$B$33*HSCEI!$G$33/HSCEI!$B$3,""))</f>
        <v/>
      </c>
      <c r="CN186" s="161">
        <f>IF(Z186="","",IFERROR(Z186*HSCEI!$B$33*HSCEI!$G$33/HSCEI!$B$3,""))</f>
        <v/>
      </c>
      <c r="CO186" s="161">
        <f>IF(AA186="","",IFERROR(AA186*HSCEI!$B$33*HSCEI!$G$33/HSCEI!$B$3,""))</f>
        <v/>
      </c>
      <c r="CP186" s="161">
        <f>IF(AB186="","",IFERROR(AB186*HSCEI!$B$33*HSCEI!$G$33/HSCEI!$B$3,""))</f>
        <v/>
      </c>
      <c r="CQ186" s="161">
        <f>IF(AC186="","",IFERROR(AC186*HSCEI!$B$33*HSCEI!$G$33/HSCEI!$B$3,""))</f>
        <v/>
      </c>
      <c r="CR186" s="161">
        <f>IF(AD186="","",IFERROR(AD186*HSCEI!$B$33*HSCEI!$G$33/HSCEI!$B$3,""))</f>
        <v/>
      </c>
      <c r="CS186" s="161">
        <f>IF(AE186="","",IFERROR(AE186*HSCEI!$B$33*HSCEI!$G$33/HSCEI!$B$3,""))</f>
        <v/>
      </c>
      <c r="CT186" s="161">
        <f>IF(AF186="","",IFERROR(AF186*HSCEI!$B$33*HSCEI!$G$33/HSCEI!$B$3,""))</f>
        <v/>
      </c>
      <c r="CU186" s="161">
        <f>IF(AG186="","",IFERROR(AG186*HSCEI!$B$33*HSCEI!$G$33/HSCEI!$B$3,""))</f>
        <v/>
      </c>
      <c r="CV186" s="161">
        <f>IF(AH186="","",IFERROR(AH186*HSCEI!$B$33*HSCEI!$G$33/HSCEI!$B$3,""))</f>
        <v/>
      </c>
      <c r="CW186" s="161">
        <f>IF(AI186="","",IFERROR(AI186*HSCEI!$B$33*HSCEI!$G$33/HSCEI!$B$3,""))</f>
        <v/>
      </c>
      <c r="CX186" s="161">
        <f>IF(AJ186="","",IFERROR(AJ186*HSCEI!$B$33*HSCEI!$G$33/HSCEI!$B$3,""))</f>
        <v/>
      </c>
      <c r="CY186" s="161">
        <f>IF(AK186="","",IFERROR(AK186*HSCEI!$B$33*HSCEI!$G$33/HSCEI!$B$3,""))</f>
        <v/>
      </c>
      <c r="CZ186" s="161">
        <f>IF(AL186="","",IFERROR(AL186*HSCEI!$B$33*HSCEI!$G$33/HSCEI!$B$3,""))</f>
        <v/>
      </c>
      <c r="DA186" s="161">
        <f>IF(AM186="","",IFERROR(AM186*HSCEI!$B$33*HSCEI!$G$33/HSCEI!$B$3,""))</f>
        <v/>
      </c>
      <c r="DB186" s="161">
        <f>IF(AN186="","",IFERROR(AN186*HSCEI!$B$33*HSCEI!$G$33/HSCEI!$B$3,""))</f>
        <v/>
      </c>
      <c r="DC186" s="161">
        <f>IF(AO186="","",IFERROR(AO186*HSCEI!$B$33*HSCEI!$G$33/HSCEI!$B$3,""))</f>
        <v/>
      </c>
      <c r="DD186" s="161">
        <f>IF(AP186="","",IFERROR(AP186*HSCEI!$B$33*HSCEI!$G$33/HSCEI!$B$3,""))</f>
        <v/>
      </c>
      <c r="DE186" s="161">
        <f>IF(AQ186="","",IFERROR(AQ186*HSCEI!$B$33*HSCEI!$G$33/HSCEI!$B$3,""))</f>
        <v/>
      </c>
      <c r="DF186" s="161">
        <f>IF(AR186="","",IFERROR(AR186*HSCEI!$B$33*HSCEI!$G$33/HSCEI!$B$3,""))</f>
        <v/>
      </c>
      <c r="DG186" s="161">
        <f>IF(AS186="","",IFERROR(AS186*HSCEI!$B$33*HSCEI!$G$33/HSCEI!$B$3,""))</f>
        <v/>
      </c>
      <c r="DH186" s="161">
        <f>IF(AT186="","",IFERROR(AT186*HSCEI!$B$33*HSCEI!$G$33/HSCEI!$B$3,""))</f>
        <v/>
      </c>
      <c r="DI186" s="161">
        <f>IF(AU186="","",IFERROR(AU186*HSCEI!$B$33*HSCEI!$G$33/HSCEI!$B$3,""))</f>
        <v/>
      </c>
      <c r="DJ186" s="161">
        <f>IF(AV186="","",IFERROR(AV186*HSCEI!$B$33*HSCEI!$G$33/HSCEI!$B$3,""))</f>
        <v/>
      </c>
      <c r="DK186" s="161">
        <f>IF(AW186="","",IFERROR(AW186*HSCEI!$B$33*HSCEI!$G$33/HSCEI!$B$3,""))</f>
        <v/>
      </c>
      <c r="DL186" s="161">
        <f>IF(AX186="","",IFERROR(AX186*HSCEI!$B$33*HSCEI!$G$33/HSCEI!$B$3,""))</f>
        <v/>
      </c>
      <c r="DM186" s="161">
        <f>IF(AY186="","",IFERROR(AY186*HSCEI!$B$33*HSCEI!$G$33/HSCEI!$B$3,""))</f>
        <v/>
      </c>
      <c r="DN186" s="161">
        <f>IF(AZ186="","",IFERROR(AZ186*HSCEI!$B$33*HSCEI!$G$33/HSCEI!$B$3,""))</f>
        <v/>
      </c>
      <c r="DO186" s="161">
        <f>IF(BA186="","",IFERROR(BA186*HSCEI!$B$33*HSCEI!$G$33/HSCEI!$B$3,""))</f>
        <v/>
      </c>
      <c r="DP186" s="161">
        <f>IF(BB186="","",IFERROR(BB186*HSCEI!$B$33*HSCEI!$G$33/HSCEI!$B$3,""))</f>
        <v/>
      </c>
      <c r="DQ186" s="161">
        <f>IF(BC186="","",IFERROR(BC186*HSCEI!$B$33*HSCEI!$G$33/HSCEI!$B$3,""))</f>
        <v/>
      </c>
      <c r="DR186" s="161">
        <f>IF(BD186="","",IFERROR(BD186*HSCEI!$B$33*HSCEI!$G$33/HSCEI!$B$3,""))</f>
        <v/>
      </c>
      <c r="DS186" s="161">
        <f>IF(BE186="","",IFERROR(BE186*HSCEI!$B$33*HSCEI!$G$33/HSCEI!$B$3,""))</f>
        <v/>
      </c>
      <c r="DT186" s="161">
        <f>IF(BF186="","",IFERROR(BF186*HSCEI!$B$33*HSCEI!$G$33/HSCEI!$B$3,""))</f>
        <v/>
      </c>
      <c r="DU186" s="161">
        <f>IF(BG186="","",IFERROR(BG186*HSCEI!$B$33*HSCEI!$G$33/HSCEI!$B$3,""))</f>
        <v/>
      </c>
      <c r="DV186" s="161">
        <f>IF(BH186="","",IFERROR(BH186*HSCEI!$B$33*HSCEI!$G$33/HSCEI!$B$3,""))</f>
        <v/>
      </c>
      <c r="DW186" s="161">
        <f>IF(BI186="","",IFERROR(BI186*HSCEI!$B$33*HSCEI!$G$33/HSCEI!$B$3,""))</f>
        <v/>
      </c>
      <c r="DX186" s="161">
        <f>IF(BJ186="","",IFERROR(BJ186*HSCEI!$B$33*HSCEI!$G$33/HSCEI!$B$3,""))</f>
        <v/>
      </c>
      <c r="DY186" s="161">
        <f>IF(BK186="","",IFERROR(BK186*HSCEI!$B$33*HSCEI!$G$33/HSCEI!$B$3,""))</f>
        <v/>
      </c>
      <c r="DZ186" s="161">
        <f>IF(BL186="","",IFERROR(BL186*HSCEI!$B$33*HSCEI!$G$33/HSCEI!$B$3,""))</f>
        <v/>
      </c>
      <c r="EA186" s="161">
        <f>IF(BM186="","",IFERROR(BM186*HSCEI!$B$33*HSCEI!$G$33/HSCEI!$B$3,""))</f>
        <v/>
      </c>
      <c r="EB186" s="161">
        <f>IF(BN186="","",IFERROR(BN186*HSCEI!$B$33*HSCEI!$G$33/HSCEI!$B$3,""))</f>
        <v/>
      </c>
      <c r="EC186" s="161">
        <f>IF(BO186="","",IFERROR(BO186*HSCEI!$B$33*HSCEI!$G$33/HSCEI!$B$3,""))</f>
        <v/>
      </c>
      <c r="EE186" s="121">
        <f>IF(N('Dvd Calendar'!$E$1847)=0,"",IF(('Dvd Calendar'!$E$1847&gt;=GRID_FROM)*('Dvd Calendar'!$E$1847&lt;=GRID_TO)*((('Dvd Calendar'!$E$1847&lt;=VAL_DATE)+(COUNTIF('Dvd Calendar'!$E$1854:$AR$1854,'Dvd Calendar'!$E$1847)=0))&gt;0)=0,"",'Dvd Calendar'!$E$1847*1000000000+ISNUMBER('Dvd Calendar'!$E$1850)*100000000+('Dvd Calendar'!$E$1852=SPECIAL_LBL)*10000000+(N('Dvd Calendar'!$E$1846)&gt;0)*(N('Dvd Calendar'!$E$1846)&lt;=VAL_SERIAL)*1000000+27*1000+1))</f>
        <v/>
      </c>
      <c r="EF186" s="121">
        <f>IF(N('Dvd Calendar'!$F$1847)=0,"",IF(('Dvd Calendar'!$F$1847&gt;=GRID_FROM)*('Dvd Calendar'!$F$1847&lt;=GRID_TO)*((('Dvd Calendar'!$F$1847&lt;=VAL_DATE)+(COUNTIF('Dvd Calendar'!$E$1854:$AR$1854,'Dvd Calendar'!$F$1847)=0))&gt;0)=0,"",'Dvd Calendar'!$F$1847*1000000000+ISNUMBER('Dvd Calendar'!$F$1850)*100000000+('Dvd Calendar'!$F$1852=SPECIAL_LBL)*10000000+(N('Dvd Calendar'!$F$1846)&gt;0)*(N('Dvd Calendar'!$F$1846)&lt;=VAL_SERIAL)*1000000+27*1000+2))</f>
        <v/>
      </c>
      <c r="EG186" s="121">
        <f>IF(N('Dvd Calendar'!$G$1847)=0,"",IF(('Dvd Calendar'!$G$1847&gt;=GRID_FROM)*('Dvd Calendar'!$G$1847&lt;=GRID_TO)*((('Dvd Calendar'!$G$1847&lt;=VAL_DATE)+(COUNTIF('Dvd Calendar'!$E$1854:$AR$1854,'Dvd Calendar'!$G$1847)=0))&gt;0)=0,"",'Dvd Calendar'!$G$1847*1000000000+ISNUMBER('Dvd Calendar'!$G$1850)*100000000+('Dvd Calendar'!$G$1852=SPECIAL_LBL)*10000000+(N('Dvd Calendar'!$G$1846)&gt;0)*(N('Dvd Calendar'!$G$1846)&lt;=VAL_SERIAL)*1000000+27*1000+3))</f>
        <v/>
      </c>
      <c r="EH186" s="121">
        <f>IF(N('Dvd Calendar'!$H$1847)=0,"",IF(('Dvd Calendar'!$H$1847&gt;=GRID_FROM)*('Dvd Calendar'!$H$1847&lt;=GRID_TO)*((('Dvd Calendar'!$H$1847&lt;=VAL_DATE)+(COUNTIF('Dvd Calendar'!$E$1854:$AR$1854,'Dvd Calendar'!$H$1847)=0))&gt;0)=0,"",'Dvd Calendar'!$H$1847*1000000000+ISNUMBER('Dvd Calendar'!$H$1850)*100000000+('Dvd Calendar'!$H$1852=SPECIAL_LBL)*10000000+(N('Dvd Calendar'!$H$1846)&gt;0)*(N('Dvd Calendar'!$H$1846)&lt;=VAL_SERIAL)*1000000+27*1000+4))</f>
        <v/>
      </c>
      <c r="EI186" s="121">
        <f>IF(N('Dvd Calendar'!$I$1847)=0,"",IF(('Dvd Calendar'!$I$1847&gt;=GRID_FROM)*('Dvd Calendar'!$I$1847&lt;=GRID_TO)*((('Dvd Calendar'!$I$1847&lt;=VAL_DATE)+(COUNTIF('Dvd Calendar'!$E$1854:$AR$1854,'Dvd Calendar'!$I$1847)=0))&gt;0)=0,"",'Dvd Calendar'!$I$1847*1000000000+ISNUMBER('Dvd Calendar'!$I$1850)*100000000+('Dvd Calendar'!$I$1852=SPECIAL_LBL)*10000000+(N('Dvd Calendar'!$I$1846)&gt;0)*(N('Dvd Calendar'!$I$1846)&lt;=VAL_SERIAL)*1000000+27*1000+5))</f>
        <v/>
      </c>
      <c r="EJ186" s="121">
        <f>IF(N('Dvd Calendar'!$J$1847)=0,"",IF(('Dvd Calendar'!$J$1847&gt;=GRID_FROM)*('Dvd Calendar'!$J$1847&lt;=GRID_TO)*((('Dvd Calendar'!$J$1847&lt;=VAL_DATE)+(COUNTIF('Dvd Calendar'!$E$1854:$AR$1854,'Dvd Calendar'!$J$1847)=0))&gt;0)=0,"",'Dvd Calendar'!$J$1847*1000000000+ISNUMBER('Dvd Calendar'!$J$1850)*100000000+('Dvd Calendar'!$J$1852=SPECIAL_LBL)*10000000+(N('Dvd Calendar'!$J$1846)&gt;0)*(N('Dvd Calendar'!$J$1846)&lt;=VAL_SERIAL)*1000000+27*1000+6))</f>
        <v/>
      </c>
      <c r="EK186" s="121">
        <f>IF(N('Dvd Calendar'!$K$1847)=0,"",IF(('Dvd Calendar'!$K$1847&gt;=GRID_FROM)*('Dvd Calendar'!$K$1847&lt;=GRID_TO)*((('Dvd Calendar'!$K$1847&lt;=VAL_DATE)+(COUNTIF('Dvd Calendar'!$E$1854:$AR$1854,'Dvd Calendar'!$K$1847)=0))&gt;0)=0,"",'Dvd Calendar'!$K$1847*1000000000+ISNUMBER('Dvd Calendar'!$K$1850)*100000000+('Dvd Calendar'!$K$1852=SPECIAL_LBL)*10000000+(N('Dvd Calendar'!$K$1846)&gt;0)*(N('Dvd Calendar'!$K$1846)&lt;=VAL_SERIAL)*1000000+27*1000+7))</f>
        <v/>
      </c>
      <c r="EL186" s="121">
        <f>IF(N('Dvd Calendar'!$L$1847)=0,"",IF(('Dvd Calendar'!$L$1847&gt;=GRID_FROM)*('Dvd Calendar'!$L$1847&lt;=GRID_TO)*((('Dvd Calendar'!$L$1847&lt;=VAL_DATE)+(COUNTIF('Dvd Calendar'!$E$1854:$AR$1854,'Dvd Calendar'!$L$1847)=0))&gt;0)=0,"",'Dvd Calendar'!$L$1847*1000000000+ISNUMBER('Dvd Calendar'!$L$1850)*100000000+('Dvd Calendar'!$L$1852=SPECIAL_LBL)*10000000+(N('Dvd Calendar'!$L$1846)&gt;0)*(N('Dvd Calendar'!$L$1846)&lt;=VAL_SERIAL)*1000000+27*1000+8))</f>
        <v/>
      </c>
      <c r="EM186" s="121">
        <f>IF(N('Dvd Calendar'!$M$1847)=0,"",IF(('Dvd Calendar'!$M$1847&gt;=GRID_FROM)*('Dvd Calendar'!$M$1847&lt;=GRID_TO)*((('Dvd Calendar'!$M$1847&lt;=VAL_DATE)+(COUNTIF('Dvd Calendar'!$E$1854:$AR$1854,'Dvd Calendar'!$M$1847)=0))&gt;0)=0,"",'Dvd Calendar'!$M$1847*1000000000+ISNUMBER('Dvd Calendar'!$M$1850)*100000000+('Dvd Calendar'!$M$1852=SPECIAL_LBL)*10000000+(N('Dvd Calendar'!$M$1846)&gt;0)*(N('Dvd Calendar'!$M$1846)&lt;=VAL_SERIAL)*1000000+27*1000+9))</f>
        <v/>
      </c>
      <c r="EN186" s="121">
        <f>IF(N('Dvd Calendar'!$N$1847)=0,"",IF(('Dvd Calendar'!$N$1847&gt;=GRID_FROM)*('Dvd Calendar'!$N$1847&lt;=GRID_TO)*((('Dvd Calendar'!$N$1847&lt;=VAL_DATE)+(COUNTIF('Dvd Calendar'!$E$1854:$AR$1854,'Dvd Calendar'!$N$1847)=0))&gt;0)=0,"",'Dvd Calendar'!$N$1847*1000000000+ISNUMBER('Dvd Calendar'!$N$1850)*100000000+('Dvd Calendar'!$N$1852=SPECIAL_LBL)*10000000+(N('Dvd Calendar'!$N$1846)&gt;0)*(N('Dvd Calendar'!$N$1846)&lt;=VAL_SERIAL)*1000000+27*1000+10))</f>
        <v/>
      </c>
      <c r="EO186" s="121">
        <f>IF(N('Dvd Calendar'!$O$1847)=0,"",IF(('Dvd Calendar'!$O$1847&gt;=GRID_FROM)*('Dvd Calendar'!$O$1847&lt;=GRID_TO)*((('Dvd Calendar'!$O$1847&lt;=VAL_DATE)+(COUNTIF('Dvd Calendar'!$E$1854:$AR$1854,'Dvd Calendar'!$O$1847)=0))&gt;0)=0,"",'Dvd Calendar'!$O$1847*1000000000+ISNUMBER('Dvd Calendar'!$O$1850)*100000000+('Dvd Calendar'!$O$1852=SPECIAL_LBL)*10000000+(N('Dvd Calendar'!$O$1846)&gt;0)*(N('Dvd Calendar'!$O$1846)&lt;=VAL_SERIAL)*1000000+27*1000+11))</f>
        <v/>
      </c>
      <c r="EP186" s="121">
        <f>IF(N('Dvd Calendar'!$P$1847)=0,"",IF(('Dvd Calendar'!$P$1847&gt;=GRID_FROM)*('Dvd Calendar'!$P$1847&lt;=GRID_TO)*((('Dvd Calendar'!$P$1847&lt;=VAL_DATE)+(COUNTIF('Dvd Calendar'!$E$1854:$AR$1854,'Dvd Calendar'!$P$1847)=0))&gt;0)=0,"",'Dvd Calendar'!$P$1847*1000000000+ISNUMBER('Dvd Calendar'!$P$1850)*100000000+('Dvd Calendar'!$P$1852=SPECIAL_LBL)*10000000+(N('Dvd Calendar'!$P$1846)&gt;0)*(N('Dvd Calendar'!$P$1846)&lt;=VAL_SERIAL)*1000000+27*1000+12))</f>
        <v/>
      </c>
      <c r="EQ186" s="121">
        <f>IF(N('Dvd Calendar'!$Q$1847)=0,"",IF(('Dvd Calendar'!$Q$1847&gt;=GRID_FROM)*('Dvd Calendar'!$Q$1847&lt;=GRID_TO)*((('Dvd Calendar'!$Q$1847&lt;=VAL_DATE)+(COUNTIF('Dvd Calendar'!$E$1854:$AR$1854,'Dvd Calendar'!$Q$1847)=0))&gt;0)=0,"",'Dvd Calendar'!$Q$1847*1000000000+ISNUMBER('Dvd Calendar'!$Q$1850)*100000000+('Dvd Calendar'!$Q$1852=SPECIAL_LBL)*10000000+(N('Dvd Calendar'!$Q$1846)&gt;0)*(N('Dvd Calendar'!$Q$1846)&lt;=VAL_SERIAL)*1000000+27*1000+13))</f>
        <v/>
      </c>
      <c r="ER186" s="121">
        <f>IF(N('Dvd Calendar'!$R$1847)=0,"",IF(('Dvd Calendar'!$R$1847&gt;=GRID_FROM)*('Dvd Calendar'!$R$1847&lt;=GRID_TO)*((('Dvd Calendar'!$R$1847&lt;=VAL_DATE)+(COUNTIF('Dvd Calendar'!$E$1854:$AR$1854,'Dvd Calendar'!$R$1847)=0))&gt;0)=0,"",'Dvd Calendar'!$R$1847*1000000000+ISNUMBER('Dvd Calendar'!$R$1850)*100000000+('Dvd Calendar'!$R$1852=SPECIAL_LBL)*10000000+(N('Dvd Calendar'!$R$1846)&gt;0)*(N('Dvd Calendar'!$R$1846)&lt;=VAL_SERIAL)*1000000+27*1000+14))</f>
        <v/>
      </c>
      <c r="ES186" s="121">
        <f>IF(N('Dvd Calendar'!$S$1847)=0,"",IF(('Dvd Calendar'!$S$1847&gt;=GRID_FROM)*('Dvd Calendar'!$S$1847&lt;=GRID_TO)*((('Dvd Calendar'!$S$1847&lt;=VAL_DATE)+(COUNTIF('Dvd Calendar'!$E$1854:$AR$1854,'Dvd Calendar'!$S$1847)=0))&gt;0)=0,"",'Dvd Calendar'!$S$1847*1000000000+ISNUMBER('Dvd Calendar'!$S$1850)*100000000+('Dvd Calendar'!$S$1852=SPECIAL_LBL)*10000000+(N('Dvd Calendar'!$S$1846)&gt;0)*(N('Dvd Calendar'!$S$1846)&lt;=VAL_SERIAL)*1000000+27*1000+15))</f>
        <v/>
      </c>
      <c r="ET186" s="121">
        <f>IF(N('Dvd Calendar'!$T$1847)=0,"",IF(('Dvd Calendar'!$T$1847&gt;=GRID_FROM)*('Dvd Calendar'!$T$1847&lt;=GRID_TO)*((('Dvd Calendar'!$T$1847&lt;=VAL_DATE)+(COUNTIF('Dvd Calendar'!$E$1854:$AR$1854,'Dvd Calendar'!$T$1847)=0))&gt;0)=0,"",'Dvd Calendar'!$T$1847*1000000000+ISNUMBER('Dvd Calendar'!$T$1850)*100000000+('Dvd Calendar'!$T$1852=SPECIAL_LBL)*10000000+(N('Dvd Calendar'!$T$1846)&gt;0)*(N('Dvd Calendar'!$T$1846)&lt;=VAL_SERIAL)*1000000+27*1000+16))</f>
        <v/>
      </c>
      <c r="EU186" s="121">
        <f>IF(N('Dvd Calendar'!$U$1847)=0,"",IF(('Dvd Calendar'!$U$1847&gt;=GRID_FROM)*('Dvd Calendar'!$U$1847&lt;=GRID_TO)*((('Dvd Calendar'!$U$1847&lt;=VAL_DATE)+(COUNTIF('Dvd Calendar'!$E$1854:$AR$1854,'Dvd Calendar'!$U$1847)=0))&gt;0)=0,"",'Dvd Calendar'!$U$1847*1000000000+ISNUMBER('Dvd Calendar'!$U$1850)*100000000+('Dvd Calendar'!$U$1852=SPECIAL_LBL)*10000000+(N('Dvd Calendar'!$U$1846)&gt;0)*(N('Dvd Calendar'!$U$1846)&lt;=VAL_SERIAL)*1000000+27*1000+17))</f>
        <v/>
      </c>
      <c r="EV186" s="121">
        <f>IF(N('Dvd Calendar'!$V$1847)=0,"",IF(('Dvd Calendar'!$V$1847&gt;=GRID_FROM)*('Dvd Calendar'!$V$1847&lt;=GRID_TO)*((('Dvd Calendar'!$V$1847&lt;=VAL_DATE)+(COUNTIF('Dvd Calendar'!$E$1854:$AR$1854,'Dvd Calendar'!$V$1847)=0))&gt;0)=0,"",'Dvd Calendar'!$V$1847*1000000000+ISNUMBER('Dvd Calendar'!$V$1850)*100000000+('Dvd Calendar'!$V$1852=SPECIAL_LBL)*10000000+(N('Dvd Calendar'!$V$1846)&gt;0)*(N('Dvd Calendar'!$V$1846)&lt;=VAL_SERIAL)*1000000+27*1000+18))</f>
        <v/>
      </c>
      <c r="EW186" s="121">
        <f>IF(N('Dvd Calendar'!$W$1847)=0,"",IF(('Dvd Calendar'!$W$1847&gt;=GRID_FROM)*('Dvd Calendar'!$W$1847&lt;=GRID_TO)*((('Dvd Calendar'!$W$1847&lt;=VAL_DATE)+(COUNTIF('Dvd Calendar'!$E$1854:$AR$1854,'Dvd Calendar'!$W$1847)=0))&gt;0)=0,"",'Dvd Calendar'!$W$1847*1000000000+ISNUMBER('Dvd Calendar'!$W$1850)*100000000+('Dvd Calendar'!$W$1852=SPECIAL_LBL)*10000000+(N('Dvd Calendar'!$W$1846)&gt;0)*(N('Dvd Calendar'!$W$1846)&lt;=VAL_SERIAL)*1000000+27*1000+19))</f>
        <v/>
      </c>
      <c r="EX186" s="121">
        <f>IF(N('Dvd Calendar'!$X$1847)=0,"",IF(('Dvd Calendar'!$X$1847&gt;=GRID_FROM)*('Dvd Calendar'!$X$1847&lt;=GRID_TO)*((('Dvd Calendar'!$X$1847&lt;=VAL_DATE)+(COUNTIF('Dvd Calendar'!$E$1854:$AR$1854,'Dvd Calendar'!$X$1847)=0))&gt;0)=0,"",'Dvd Calendar'!$X$1847*1000000000+ISNUMBER('Dvd Calendar'!$X$1850)*100000000+('Dvd Calendar'!$X$1852=SPECIAL_LBL)*10000000+(N('Dvd Calendar'!$X$1846)&gt;0)*(N('Dvd Calendar'!$X$1846)&lt;=VAL_SERIAL)*1000000+27*1000+20))</f>
        <v/>
      </c>
      <c r="EY186" s="121">
        <f>IF(N('Dvd Calendar'!$Y$1847)=0,"",IF(('Dvd Calendar'!$Y$1847&gt;=GRID_FROM)*('Dvd Calendar'!$Y$1847&lt;=GRID_TO)*((('Dvd Calendar'!$Y$1847&lt;=VAL_DATE)+(COUNTIF('Dvd Calendar'!$E$1854:$AR$1854,'Dvd Calendar'!$Y$1847)=0))&gt;0)=0,"",'Dvd Calendar'!$Y$1847*1000000000+ISNUMBER('Dvd Calendar'!$Y$1850)*100000000+('Dvd Calendar'!$Y$1852=SPECIAL_LBL)*10000000+(N('Dvd Calendar'!$Y$1846)&gt;0)*(N('Dvd Calendar'!$Y$1846)&lt;=VAL_SERIAL)*1000000+27*1000+21))</f>
        <v/>
      </c>
      <c r="EZ186" s="121">
        <f>IF(N('Dvd Calendar'!$Z$1847)=0,"",IF(('Dvd Calendar'!$Z$1847&gt;=GRID_FROM)*('Dvd Calendar'!$Z$1847&lt;=GRID_TO)*((('Dvd Calendar'!$Z$1847&lt;=VAL_DATE)+(COUNTIF('Dvd Calendar'!$E$1854:$AR$1854,'Dvd Calendar'!$Z$1847)=0))&gt;0)=0,"",'Dvd Calendar'!$Z$1847*1000000000+ISNUMBER('Dvd Calendar'!$Z$1850)*100000000+('Dvd Calendar'!$Z$1852=SPECIAL_LBL)*10000000+(N('Dvd Calendar'!$Z$1846)&gt;0)*(N('Dvd Calendar'!$Z$1846)&lt;=VAL_SERIAL)*1000000+27*1000+22))</f>
        <v/>
      </c>
      <c r="FA186" s="121">
        <f>IF(N('Dvd Calendar'!$AA$1847)=0,"",IF(('Dvd Calendar'!$AA$1847&gt;=GRID_FROM)*('Dvd Calendar'!$AA$1847&lt;=GRID_TO)*((('Dvd Calendar'!$AA$1847&lt;=VAL_DATE)+(COUNTIF('Dvd Calendar'!$E$1854:$AR$1854,'Dvd Calendar'!$AA$1847)=0))&gt;0)=0,"",'Dvd Calendar'!$AA$1847*1000000000+ISNUMBER('Dvd Calendar'!$AA$1850)*100000000+('Dvd Calendar'!$AA$1852=SPECIAL_LBL)*10000000+(N('Dvd Calendar'!$AA$1846)&gt;0)*(N('Dvd Calendar'!$AA$1846)&lt;=VAL_SERIAL)*1000000+27*1000+23))</f>
        <v/>
      </c>
      <c r="FB186" s="121">
        <f>IF(N('Dvd Calendar'!$AB$1847)=0,"",IF(('Dvd Calendar'!$AB$1847&gt;=GRID_FROM)*('Dvd Calendar'!$AB$1847&lt;=GRID_TO)*((('Dvd Calendar'!$AB$1847&lt;=VAL_DATE)+(COUNTIF('Dvd Calendar'!$E$1854:$AR$1854,'Dvd Calendar'!$AB$1847)=0))&gt;0)=0,"",'Dvd Calendar'!$AB$1847*1000000000+ISNUMBER('Dvd Calendar'!$AB$1850)*100000000+('Dvd Calendar'!$AB$1852=SPECIAL_LBL)*10000000+(N('Dvd Calendar'!$AB$1846)&gt;0)*(N('Dvd Calendar'!$AB$1846)&lt;=VAL_SERIAL)*1000000+27*1000+24))</f>
        <v/>
      </c>
      <c r="FC186" s="121">
        <f>IF(N('Dvd Calendar'!$AC$1847)=0,"",IF(('Dvd Calendar'!$AC$1847&gt;=GRID_FROM)*('Dvd Calendar'!$AC$1847&lt;=GRID_TO)*((('Dvd Calendar'!$AC$1847&lt;=VAL_DATE)+(COUNTIF('Dvd Calendar'!$E$1854:$AR$1854,'Dvd Calendar'!$AC$1847)=0))&gt;0)=0,"",'Dvd Calendar'!$AC$1847*1000000000+ISNUMBER('Dvd Calendar'!$AC$1850)*100000000+('Dvd Calendar'!$AC$1852=SPECIAL_LBL)*10000000+(N('Dvd Calendar'!$AC$1846)&gt;0)*(N('Dvd Calendar'!$AC$1846)&lt;=VAL_SERIAL)*1000000+27*1000+25))</f>
        <v/>
      </c>
      <c r="FD186" s="121">
        <f>IF(N('Dvd Calendar'!$AD$1847)=0,"",IF(('Dvd Calendar'!$AD$1847&gt;=GRID_FROM)*('Dvd Calendar'!$AD$1847&lt;=GRID_TO)*((('Dvd Calendar'!$AD$1847&lt;=VAL_DATE)+(COUNTIF('Dvd Calendar'!$E$1854:$AR$1854,'Dvd Calendar'!$AD$1847)=0))&gt;0)=0,"",'Dvd Calendar'!$AD$1847*1000000000+ISNUMBER('Dvd Calendar'!$AD$1850)*100000000+('Dvd Calendar'!$AD$1852=SPECIAL_LBL)*10000000+(N('Dvd Calendar'!$AD$1846)&gt;0)*(N('Dvd Calendar'!$AD$1846)&lt;=VAL_SERIAL)*1000000+27*1000+26))</f>
        <v/>
      </c>
      <c r="FE186" s="121">
        <f>IF(N('Dvd Calendar'!$AE$1847)=0,"",IF(('Dvd Calendar'!$AE$1847&gt;=GRID_FROM)*('Dvd Calendar'!$AE$1847&lt;=GRID_TO)*((('Dvd Calendar'!$AE$1847&lt;=VAL_DATE)+(COUNTIF('Dvd Calendar'!$E$1854:$AR$1854,'Dvd Calendar'!$AE$1847)=0))&gt;0)=0,"",'Dvd Calendar'!$AE$1847*1000000000+ISNUMBER('Dvd Calendar'!$AE$1850)*100000000+('Dvd Calendar'!$AE$1852=SPECIAL_LBL)*10000000+(N('Dvd Calendar'!$AE$1846)&gt;0)*(N('Dvd Calendar'!$AE$1846)&lt;=VAL_SERIAL)*1000000+27*1000+27))</f>
        <v/>
      </c>
      <c r="FF186" s="121">
        <f>IF(N('Dvd Calendar'!$AF$1847)=0,"",IF(('Dvd Calendar'!$AF$1847&gt;=GRID_FROM)*('Dvd Calendar'!$AF$1847&lt;=GRID_TO)*((('Dvd Calendar'!$AF$1847&lt;=VAL_DATE)+(COUNTIF('Dvd Calendar'!$E$1854:$AR$1854,'Dvd Calendar'!$AF$1847)=0))&gt;0)=0,"",'Dvd Calendar'!$AF$1847*1000000000+ISNUMBER('Dvd Calendar'!$AF$1850)*100000000+('Dvd Calendar'!$AF$1852=SPECIAL_LBL)*10000000+(N('Dvd Calendar'!$AF$1846)&gt;0)*(N('Dvd Calendar'!$AF$1846)&lt;=VAL_SERIAL)*1000000+27*1000+28))</f>
        <v/>
      </c>
      <c r="FG186" s="121">
        <f>IF(N('Dvd Calendar'!$AG$1847)=0,"",IF(('Dvd Calendar'!$AG$1847&gt;=GRID_FROM)*('Dvd Calendar'!$AG$1847&lt;=GRID_TO)*((('Dvd Calendar'!$AG$1847&lt;=VAL_DATE)+(COUNTIF('Dvd Calendar'!$E$1854:$AR$1854,'Dvd Calendar'!$AG$1847)=0))&gt;0)=0,"",'Dvd Calendar'!$AG$1847*1000000000+ISNUMBER('Dvd Calendar'!$AG$1850)*100000000+('Dvd Calendar'!$AG$1852=SPECIAL_LBL)*10000000+(N('Dvd Calendar'!$AG$1846)&gt;0)*(N('Dvd Calendar'!$AG$1846)&lt;=VAL_SERIAL)*1000000+27*1000+29))</f>
        <v/>
      </c>
      <c r="FH186" s="121">
        <f>IF(N('Dvd Calendar'!$AH$1847)=0,"",IF(('Dvd Calendar'!$AH$1847&gt;=GRID_FROM)*('Dvd Calendar'!$AH$1847&lt;=GRID_TO)*((('Dvd Calendar'!$AH$1847&lt;=VAL_DATE)+(COUNTIF('Dvd Calendar'!$E$1854:$AR$1854,'Dvd Calendar'!$AH$1847)=0))&gt;0)=0,"",'Dvd Calendar'!$AH$1847*1000000000+ISNUMBER('Dvd Calendar'!$AH$1850)*100000000+('Dvd Calendar'!$AH$1852=SPECIAL_LBL)*10000000+(N('Dvd Calendar'!$AH$1846)&gt;0)*(N('Dvd Calendar'!$AH$1846)&lt;=VAL_SERIAL)*1000000+27*1000+30))</f>
        <v/>
      </c>
      <c r="FI186" s="121">
        <f>IF(N('Dvd Calendar'!$AI$1847)=0,"",IF(('Dvd Calendar'!$AI$1847&gt;=GRID_FROM)*('Dvd Calendar'!$AI$1847&lt;=GRID_TO)*((('Dvd Calendar'!$AI$1847&lt;=VAL_DATE)+(COUNTIF('Dvd Calendar'!$E$1854:$AR$1854,'Dvd Calendar'!$AI$1847)=0))&gt;0)=0,"",'Dvd Calendar'!$AI$1847*1000000000+ISNUMBER('Dvd Calendar'!$AI$1850)*100000000+('Dvd Calendar'!$AI$1852=SPECIAL_LBL)*10000000+(N('Dvd Calendar'!$AI$1846)&gt;0)*(N('Dvd Calendar'!$AI$1846)&lt;=VAL_SERIAL)*1000000+27*1000+31))</f>
        <v/>
      </c>
      <c r="FJ186" s="121">
        <f>IF(N('Dvd Calendar'!$AJ$1847)=0,"",IF(('Dvd Calendar'!$AJ$1847&gt;=GRID_FROM)*('Dvd Calendar'!$AJ$1847&lt;=GRID_TO)*((('Dvd Calendar'!$AJ$1847&lt;=VAL_DATE)+(COUNTIF('Dvd Calendar'!$E$1854:$AR$1854,'Dvd Calendar'!$AJ$1847)=0))&gt;0)=0,"",'Dvd Calendar'!$AJ$1847*1000000000+ISNUMBER('Dvd Calendar'!$AJ$1850)*100000000+('Dvd Calendar'!$AJ$1852=SPECIAL_LBL)*10000000+(N('Dvd Calendar'!$AJ$1846)&gt;0)*(N('Dvd Calendar'!$AJ$1846)&lt;=VAL_SERIAL)*1000000+27*1000+32))</f>
        <v/>
      </c>
      <c r="FK186" s="121">
        <f>IF(N('Dvd Calendar'!$AK$1847)=0,"",IF(('Dvd Calendar'!$AK$1847&gt;=GRID_FROM)*('Dvd Calendar'!$AK$1847&lt;=GRID_TO)*((('Dvd Calendar'!$AK$1847&lt;=VAL_DATE)+(COUNTIF('Dvd Calendar'!$E$1854:$AR$1854,'Dvd Calendar'!$AK$1847)=0))&gt;0)=0,"",'Dvd Calendar'!$AK$1847*1000000000+ISNUMBER('Dvd Calendar'!$AK$1850)*100000000+('Dvd Calendar'!$AK$1852=SPECIAL_LBL)*10000000+(N('Dvd Calendar'!$AK$1846)&gt;0)*(N('Dvd Calendar'!$AK$1846)&lt;=VAL_SERIAL)*1000000+27*1000+33))</f>
        <v/>
      </c>
      <c r="FL186" s="121">
        <f>IF(N('Dvd Calendar'!$AL$1847)=0,"",IF(('Dvd Calendar'!$AL$1847&gt;=GRID_FROM)*('Dvd Calendar'!$AL$1847&lt;=GRID_TO)*((('Dvd Calendar'!$AL$1847&lt;=VAL_DATE)+(COUNTIF('Dvd Calendar'!$E$1854:$AR$1854,'Dvd Calendar'!$AL$1847)=0))&gt;0)=0,"",'Dvd Calendar'!$AL$1847*1000000000+ISNUMBER('Dvd Calendar'!$AL$1850)*100000000+('Dvd Calendar'!$AL$1852=SPECIAL_LBL)*10000000+(N('Dvd Calendar'!$AL$1846)&gt;0)*(N('Dvd Calendar'!$AL$1846)&lt;=VAL_SERIAL)*1000000+27*1000+34))</f>
        <v/>
      </c>
      <c r="FM186" s="121">
        <f>IF(N('Dvd Calendar'!$AM$1847)=0,"",IF(('Dvd Calendar'!$AM$1847&gt;=GRID_FROM)*('Dvd Calendar'!$AM$1847&lt;=GRID_TO)*((('Dvd Calendar'!$AM$1847&lt;=VAL_DATE)+(COUNTIF('Dvd Calendar'!$E$1854:$AR$1854,'Dvd Calendar'!$AM$1847)=0))&gt;0)=0,"",'Dvd Calendar'!$AM$1847*1000000000+ISNUMBER('Dvd Calendar'!$AM$1850)*100000000+('Dvd Calendar'!$AM$1852=SPECIAL_LBL)*10000000+(N('Dvd Calendar'!$AM$1846)&gt;0)*(N('Dvd Calendar'!$AM$1846)&lt;=VAL_SERIAL)*1000000+27*1000+35))</f>
        <v/>
      </c>
      <c r="FN186" s="121">
        <f>IF(N('Dvd Calendar'!$AN$1847)=0,"",IF(('Dvd Calendar'!$AN$1847&gt;=GRID_FROM)*('Dvd Calendar'!$AN$1847&lt;=GRID_TO)*((('Dvd Calendar'!$AN$1847&lt;=VAL_DATE)+(COUNTIF('Dvd Calendar'!$E$1854:$AR$1854,'Dvd Calendar'!$AN$1847)=0))&gt;0)=0,"",'Dvd Calendar'!$AN$1847*1000000000+ISNUMBER('Dvd Calendar'!$AN$1850)*100000000+('Dvd Calendar'!$AN$1852=SPECIAL_LBL)*10000000+(N('Dvd Calendar'!$AN$1846)&gt;0)*(N('Dvd Calendar'!$AN$1846)&lt;=VAL_SERIAL)*1000000+27*1000+36))</f>
        <v/>
      </c>
      <c r="FO186" s="121">
        <f>IF(N('Dvd Calendar'!$AO$1847)=0,"",IF(('Dvd Calendar'!$AO$1847&gt;=GRID_FROM)*('Dvd Calendar'!$AO$1847&lt;=GRID_TO)*((('Dvd Calendar'!$AO$1847&lt;=VAL_DATE)+(COUNTIF('Dvd Calendar'!$E$1854:$AR$1854,'Dvd Calendar'!$AO$1847)=0))&gt;0)=0,"",'Dvd Calendar'!$AO$1847*1000000000+ISNUMBER('Dvd Calendar'!$AO$1850)*100000000+('Dvd Calendar'!$AO$1852=SPECIAL_LBL)*10000000+(N('Dvd Calendar'!$AO$1846)&gt;0)*(N('Dvd Calendar'!$AO$1846)&lt;=VAL_SERIAL)*1000000+27*1000+37))</f>
        <v/>
      </c>
      <c r="FP186" s="121">
        <f>IF(N('Dvd Calendar'!$AP$1847)=0,"",IF(('Dvd Calendar'!$AP$1847&gt;=GRID_FROM)*('Dvd Calendar'!$AP$1847&lt;=GRID_TO)*((('Dvd Calendar'!$AP$1847&lt;=VAL_DATE)+(COUNTIF('Dvd Calendar'!$E$1854:$AR$1854,'Dvd Calendar'!$AP$1847)=0))&gt;0)=0,"",'Dvd Calendar'!$AP$1847*1000000000+ISNUMBER('Dvd Calendar'!$AP$1850)*100000000+('Dvd Calendar'!$AP$1852=SPECIAL_LBL)*10000000+(N('Dvd Calendar'!$AP$1846)&gt;0)*(N('Dvd Calendar'!$AP$1846)&lt;=VAL_SERIAL)*1000000+27*1000+38))</f>
        <v/>
      </c>
      <c r="FQ186" s="121">
        <f>IF(N('Dvd Calendar'!$AQ$1847)=0,"",IF(('Dvd Calendar'!$AQ$1847&gt;=GRID_FROM)*('Dvd Calendar'!$AQ$1847&lt;=GRID_TO)*((('Dvd Calendar'!$AQ$1847&lt;=VAL_DATE)+(COUNTIF('Dvd Calendar'!$E$1854:$AR$1854,'Dvd Calendar'!$AQ$1847)=0))&gt;0)=0,"",'Dvd Calendar'!$AQ$1847*1000000000+ISNUMBER('Dvd Calendar'!$AQ$1850)*100000000+('Dvd Calendar'!$AQ$1852=SPECIAL_LBL)*10000000+(N('Dvd Calendar'!$AQ$1846)&gt;0)*(N('Dvd Calendar'!$AQ$1846)&lt;=VAL_SERIAL)*1000000+27*1000+39))</f>
        <v/>
      </c>
      <c r="FR186" s="121">
        <f>IF(N('Dvd Calendar'!$AR$1847)=0,"",IF(('Dvd Calendar'!$AR$1847&gt;=GRID_FROM)*('Dvd Calendar'!$AR$1847&lt;=GRID_TO)*((('Dvd Calendar'!$AR$1847&lt;=VAL_DATE)+(COUNTIF('Dvd Calendar'!$E$1854:$AR$1854,'Dvd Calendar'!$AR$1847)=0))&gt;0)=0,"",'Dvd Calendar'!$AR$1847*1000000000+ISNUMBER('Dvd Calendar'!$AR$1850)*100000000+('Dvd Calendar'!$AR$1852=SPECIAL_LBL)*10000000+(N('Dvd Calendar'!$AR$1846)&gt;0)*(N('Dvd Calendar'!$AR$1846)&lt;=VAL_SERIAL)*1000000+27*1000+40))</f>
        <v/>
      </c>
      <c r="FS186" s="121">
        <f>IF(N('Dvd Calendar'!$E$1854)=0,"",IF(('Dvd Calendar'!$E$1854&gt;=GRID_FROM)*('Dvd Calendar'!$E$1854&lt;=GRID_TO)*('Dvd Calendar'!$E$1854&gt;VAL_DATE)=0,"",'Dvd Calendar'!$E$1854*1000000000+ISNUMBER('Dvd Calendar'!$E$1855)*100000000+0*10000000+(N('Dvd Calendar'!$E$1853)&gt;0)*(N('Dvd Calendar'!$E$1853)&lt;=VAL_SERIAL)*1000000+27*1000+41))</f>
        <v/>
      </c>
      <c r="FT186" s="121">
        <f>IF(N('Dvd Calendar'!$F$1854)=0,"",IF(('Dvd Calendar'!$F$1854&gt;=GRID_FROM)*('Dvd Calendar'!$F$1854&lt;=GRID_TO)*('Dvd Calendar'!$F$1854&gt;VAL_DATE)=0,"",'Dvd Calendar'!$F$1854*1000000000+ISNUMBER('Dvd Calendar'!$F$1855)*100000000+0*10000000+(N('Dvd Calendar'!$F$1853)&gt;0)*(N('Dvd Calendar'!$F$1853)&lt;=VAL_SERIAL)*1000000+27*1000+42))</f>
        <v/>
      </c>
      <c r="FU186" s="121">
        <f>IF(N('Dvd Calendar'!$G$1854)=0,"",IF(('Dvd Calendar'!$G$1854&gt;=GRID_FROM)*('Dvd Calendar'!$G$1854&lt;=GRID_TO)*('Dvd Calendar'!$G$1854&gt;VAL_DATE)=0,"",'Dvd Calendar'!$G$1854*1000000000+ISNUMBER('Dvd Calendar'!$G$1855)*100000000+0*10000000+(N('Dvd Calendar'!$G$1853)&gt;0)*(N('Dvd Calendar'!$G$1853)&lt;=VAL_SERIAL)*1000000+27*1000+43))</f>
        <v/>
      </c>
      <c r="FV186" s="121">
        <f>IF(N('Dvd Calendar'!$H$1854)=0,"",IF(('Dvd Calendar'!$H$1854&gt;=GRID_FROM)*('Dvd Calendar'!$H$1854&lt;=GRID_TO)*('Dvd Calendar'!$H$1854&gt;VAL_DATE)=0,"",'Dvd Calendar'!$H$1854*1000000000+ISNUMBER('Dvd Calendar'!$H$1855)*100000000+0*10000000+(N('Dvd Calendar'!$H$1853)&gt;0)*(N('Dvd Calendar'!$H$1853)&lt;=VAL_SERIAL)*1000000+27*1000+44))</f>
        <v/>
      </c>
      <c r="FW186" s="121">
        <f>IF(N('Dvd Calendar'!$I$1854)=0,"",IF(('Dvd Calendar'!$I$1854&gt;=GRID_FROM)*('Dvd Calendar'!$I$1854&lt;=GRID_TO)*('Dvd Calendar'!$I$1854&gt;VAL_DATE)=0,"",'Dvd Calendar'!$I$1854*1000000000+ISNUMBER('Dvd Calendar'!$I$1855)*100000000+0*10000000+(N('Dvd Calendar'!$I$1853)&gt;0)*(N('Dvd Calendar'!$I$1853)&lt;=VAL_SERIAL)*1000000+27*1000+45))</f>
        <v/>
      </c>
      <c r="FX186" s="121">
        <f>IF(N('Dvd Calendar'!$J$1854)=0,"",IF(('Dvd Calendar'!$J$1854&gt;=GRID_FROM)*('Dvd Calendar'!$J$1854&lt;=GRID_TO)*('Dvd Calendar'!$J$1854&gt;VAL_DATE)=0,"",'Dvd Calendar'!$J$1854*1000000000+ISNUMBER('Dvd Calendar'!$J$1855)*100000000+0*10000000+(N('Dvd Calendar'!$J$1853)&gt;0)*(N('Dvd Calendar'!$J$1853)&lt;=VAL_SERIAL)*1000000+27*1000+46))</f>
        <v/>
      </c>
      <c r="FY186" s="121">
        <f>IF(N('Dvd Calendar'!$K$1854)=0,"",IF(('Dvd Calendar'!$K$1854&gt;=GRID_FROM)*('Dvd Calendar'!$K$1854&lt;=GRID_TO)*('Dvd Calendar'!$K$1854&gt;VAL_DATE)=0,"",'Dvd Calendar'!$K$1854*1000000000+ISNUMBER('Dvd Calendar'!$K$1855)*100000000+0*10000000+(N('Dvd Calendar'!$K$1853)&gt;0)*(N('Dvd Calendar'!$K$1853)&lt;=VAL_SERIAL)*1000000+27*1000+47))</f>
        <v/>
      </c>
      <c r="FZ186" s="121">
        <f>IF(N('Dvd Calendar'!$L$1854)=0,"",IF(('Dvd Calendar'!$L$1854&gt;=GRID_FROM)*('Dvd Calendar'!$L$1854&lt;=GRID_TO)*('Dvd Calendar'!$L$1854&gt;VAL_DATE)=0,"",'Dvd Calendar'!$L$1854*1000000000+ISNUMBER('Dvd Calendar'!$L$1855)*100000000+0*10000000+(N('Dvd Calendar'!$L$1853)&gt;0)*(N('Dvd Calendar'!$L$1853)&lt;=VAL_SERIAL)*1000000+27*1000+48))</f>
        <v/>
      </c>
      <c r="GA186" s="121">
        <f>IF(N('Dvd Calendar'!$M$1854)=0,"",IF(('Dvd Calendar'!$M$1854&gt;=GRID_FROM)*('Dvd Calendar'!$M$1854&lt;=GRID_TO)*('Dvd Calendar'!$M$1854&gt;VAL_DATE)=0,"",'Dvd Calendar'!$M$1854*1000000000+ISNUMBER('Dvd Calendar'!$M$1855)*100000000+0*10000000+(N('Dvd Calendar'!$M$1853)&gt;0)*(N('Dvd Calendar'!$M$1853)&lt;=VAL_SERIAL)*1000000+27*1000+49))</f>
        <v/>
      </c>
      <c r="GB186" s="121">
        <f>IF(N('Dvd Calendar'!$N$1854)=0,"",IF(('Dvd Calendar'!$N$1854&gt;=GRID_FROM)*('Dvd Calendar'!$N$1854&lt;=GRID_TO)*('Dvd Calendar'!$N$1854&gt;VAL_DATE)=0,"",'Dvd Calendar'!$N$1854*1000000000+ISNUMBER('Dvd Calendar'!$N$1855)*100000000+0*10000000+(N('Dvd Calendar'!$N$1853)&gt;0)*(N('Dvd Calendar'!$N$1853)&lt;=VAL_SERIAL)*1000000+27*1000+50))</f>
        <v/>
      </c>
      <c r="GC186" s="121">
        <f>IF(N('Dvd Calendar'!$O$1854)=0,"",IF(('Dvd Calendar'!$O$1854&gt;=GRID_FROM)*('Dvd Calendar'!$O$1854&lt;=GRID_TO)*('Dvd Calendar'!$O$1854&gt;VAL_DATE)=0,"",'Dvd Calendar'!$O$1854*1000000000+ISNUMBER('Dvd Calendar'!$O$1855)*100000000+0*10000000+(N('Dvd Calendar'!$O$1853)&gt;0)*(N('Dvd Calendar'!$O$1853)&lt;=VAL_SERIAL)*1000000+27*1000+51))</f>
        <v/>
      </c>
      <c r="GD186" s="121">
        <f>IF(N('Dvd Calendar'!$P$1854)=0,"",IF(('Dvd Calendar'!$P$1854&gt;=GRID_FROM)*('Dvd Calendar'!$P$1854&lt;=GRID_TO)*('Dvd Calendar'!$P$1854&gt;VAL_DATE)=0,"",'Dvd Calendar'!$P$1854*1000000000+ISNUMBER('Dvd Calendar'!$P$1855)*100000000+0*10000000+(N('Dvd Calendar'!$P$1853)&gt;0)*(N('Dvd Calendar'!$P$1853)&lt;=VAL_SERIAL)*1000000+27*1000+52))</f>
        <v/>
      </c>
      <c r="GE186" s="121">
        <f>IF(N('Dvd Calendar'!$Q$1854)=0,"",IF(('Dvd Calendar'!$Q$1854&gt;=GRID_FROM)*('Dvd Calendar'!$Q$1854&lt;=GRID_TO)*('Dvd Calendar'!$Q$1854&gt;VAL_DATE)=0,"",'Dvd Calendar'!$Q$1854*1000000000+ISNUMBER('Dvd Calendar'!$Q$1855)*100000000+0*10000000+(N('Dvd Calendar'!$Q$1853)&gt;0)*(N('Dvd Calendar'!$Q$1853)&lt;=VAL_SERIAL)*1000000+27*1000+53))</f>
        <v/>
      </c>
      <c r="GF186" s="121">
        <f>IF(N('Dvd Calendar'!$R$1854)=0,"",IF(('Dvd Calendar'!$R$1854&gt;=GRID_FROM)*('Dvd Calendar'!$R$1854&lt;=GRID_TO)*('Dvd Calendar'!$R$1854&gt;VAL_DATE)=0,"",'Dvd Calendar'!$R$1854*1000000000+ISNUMBER('Dvd Calendar'!$R$1855)*100000000+0*10000000+(N('Dvd Calendar'!$R$1853)&gt;0)*(N('Dvd Calendar'!$R$1853)&lt;=VAL_SERIAL)*1000000+27*1000+54))</f>
        <v/>
      </c>
      <c r="GG186" s="121">
        <f>IF(N('Dvd Calendar'!$S$1854)=0,"",IF(('Dvd Calendar'!$S$1854&gt;=GRID_FROM)*('Dvd Calendar'!$S$1854&lt;=GRID_TO)*('Dvd Calendar'!$S$1854&gt;VAL_DATE)=0,"",'Dvd Calendar'!$S$1854*1000000000+ISNUMBER('Dvd Calendar'!$S$1855)*100000000+0*10000000+(N('Dvd Calendar'!$S$1853)&gt;0)*(N('Dvd Calendar'!$S$1853)&lt;=VAL_SERIAL)*1000000+27*1000+55))</f>
        <v/>
      </c>
      <c r="GH186" s="121">
        <f>IF(N('Dvd Calendar'!$T$1854)=0,"",IF(('Dvd Calendar'!$T$1854&gt;=GRID_FROM)*('Dvd Calendar'!$T$1854&lt;=GRID_TO)*('Dvd Calendar'!$T$1854&gt;VAL_DATE)=0,"",'Dvd Calendar'!$T$1854*1000000000+ISNUMBER('Dvd Calendar'!$T$1855)*100000000+0*10000000+(N('Dvd Calendar'!$T$1853)&gt;0)*(N('Dvd Calendar'!$T$1853)&lt;=VAL_SERIAL)*1000000+27*1000+56))</f>
        <v/>
      </c>
      <c r="GI186" s="121">
        <f>IF(N('Dvd Calendar'!$U$1854)=0,"",IF(('Dvd Calendar'!$U$1854&gt;=GRID_FROM)*('Dvd Calendar'!$U$1854&lt;=GRID_TO)*('Dvd Calendar'!$U$1854&gt;VAL_DATE)=0,"",'Dvd Calendar'!$U$1854*1000000000+ISNUMBER('Dvd Calendar'!$U$1855)*100000000+0*10000000+(N('Dvd Calendar'!$U$1853)&gt;0)*(N('Dvd Calendar'!$U$1853)&lt;=VAL_SERIAL)*1000000+27*1000+57))</f>
        <v/>
      </c>
      <c r="GJ186" s="121">
        <f>IF(N('Dvd Calendar'!$V$1854)=0,"",IF(('Dvd Calendar'!$V$1854&gt;=GRID_FROM)*('Dvd Calendar'!$V$1854&lt;=GRID_TO)*('Dvd Calendar'!$V$1854&gt;VAL_DATE)=0,"",'Dvd Calendar'!$V$1854*1000000000+ISNUMBER('Dvd Calendar'!$V$1855)*100000000+0*10000000+(N('Dvd Calendar'!$V$1853)&gt;0)*(N('Dvd Calendar'!$V$1853)&lt;=VAL_SERIAL)*1000000+27*1000+58))</f>
        <v/>
      </c>
      <c r="GK186" s="121">
        <f>IF(N('Dvd Calendar'!$W$1854)=0,"",IF(('Dvd Calendar'!$W$1854&gt;=GRID_FROM)*('Dvd Calendar'!$W$1854&lt;=GRID_TO)*('Dvd Calendar'!$W$1854&gt;VAL_DATE)=0,"",'Dvd Calendar'!$W$1854*1000000000+ISNUMBER('Dvd Calendar'!$W$1855)*100000000+0*10000000+(N('Dvd Calendar'!$W$1853)&gt;0)*(N('Dvd Calendar'!$W$1853)&lt;=VAL_SERIAL)*1000000+27*1000+59))</f>
        <v/>
      </c>
      <c r="GL186" s="121">
        <f>IF(N('Dvd Calendar'!$X$1854)=0,"",IF(('Dvd Calendar'!$X$1854&gt;=GRID_FROM)*('Dvd Calendar'!$X$1854&lt;=GRID_TO)*('Dvd Calendar'!$X$1854&gt;VAL_DATE)=0,"",'Dvd Calendar'!$X$1854*1000000000+ISNUMBER('Dvd Calendar'!$X$1855)*100000000+0*10000000+(N('Dvd Calendar'!$X$1853)&gt;0)*(N('Dvd Calendar'!$X$1853)&lt;=VAL_SERIAL)*1000000+27*1000+60))</f>
        <v/>
      </c>
      <c r="GM186" s="121">
        <f>IF(N('Dvd Calendar'!$Y$1854)=0,"",IF(('Dvd Calendar'!$Y$1854&gt;=GRID_FROM)*('Dvd Calendar'!$Y$1854&lt;=GRID_TO)*('Dvd Calendar'!$Y$1854&gt;VAL_DATE)=0,"",'Dvd Calendar'!$Y$1854*1000000000+ISNUMBER('Dvd Calendar'!$Y$1855)*100000000+0*10000000+(N('Dvd Calendar'!$Y$1853)&gt;0)*(N('Dvd Calendar'!$Y$1853)&lt;=VAL_SERIAL)*1000000+27*1000+61))</f>
        <v/>
      </c>
      <c r="GN186" s="121">
        <f>IF(N('Dvd Calendar'!$Z$1854)=0,"",IF(('Dvd Calendar'!$Z$1854&gt;=GRID_FROM)*('Dvd Calendar'!$Z$1854&lt;=GRID_TO)*('Dvd Calendar'!$Z$1854&gt;VAL_DATE)=0,"",'Dvd Calendar'!$Z$1854*1000000000+ISNUMBER('Dvd Calendar'!$Z$1855)*100000000+0*10000000+(N('Dvd Calendar'!$Z$1853)&gt;0)*(N('Dvd Calendar'!$Z$1853)&lt;=VAL_SERIAL)*1000000+27*1000+62))</f>
        <v/>
      </c>
      <c r="GO186" s="121">
        <f>IF(N('Dvd Calendar'!$AA$1854)=0,"",IF(('Dvd Calendar'!$AA$1854&gt;=GRID_FROM)*('Dvd Calendar'!$AA$1854&lt;=GRID_TO)*('Dvd Calendar'!$AA$1854&gt;VAL_DATE)=0,"",'Dvd Calendar'!$AA$1854*1000000000+ISNUMBER('Dvd Calendar'!$AA$1855)*100000000+0*10000000+(N('Dvd Calendar'!$AA$1853)&gt;0)*(N('Dvd Calendar'!$AA$1853)&lt;=VAL_SERIAL)*1000000+27*1000+63))</f>
        <v/>
      </c>
      <c r="GP186" s="121">
        <f>IF(N('Dvd Calendar'!$AB$1854)=0,"",IF(('Dvd Calendar'!$AB$1854&gt;=GRID_FROM)*('Dvd Calendar'!$AB$1854&lt;=GRID_TO)*('Dvd Calendar'!$AB$1854&gt;VAL_DATE)=0,"",'Dvd Calendar'!$AB$1854*1000000000+ISNUMBER('Dvd Calendar'!$AB$1855)*100000000+0*10000000+(N('Dvd Calendar'!$AB$1853)&gt;0)*(N('Dvd Calendar'!$AB$1853)&lt;=VAL_SERIAL)*1000000+27*1000+64))</f>
        <v/>
      </c>
      <c r="GQ186" s="121">
        <f>IF(N('Dvd Calendar'!$AC$1854)=0,"",IF(('Dvd Calendar'!$AC$1854&gt;=GRID_FROM)*('Dvd Calendar'!$AC$1854&lt;=GRID_TO)*('Dvd Calendar'!$AC$1854&gt;VAL_DATE)=0,"",'Dvd Calendar'!$AC$1854*1000000000+ISNUMBER('Dvd Calendar'!$AC$1855)*100000000+0*10000000+(N('Dvd Calendar'!$AC$1853)&gt;0)*(N('Dvd Calendar'!$AC$1853)&lt;=VAL_SERIAL)*1000000+27*1000+65))</f>
        <v/>
      </c>
    </row>
    <row r="187">
      <c r="B187" s="2">
        <f>IF(HSCEI!$C$34="","",HSCEI!$C$34)</f>
        <v/>
      </c>
      <c r="C187" s="161">
        <f>IF(EE187="","",IF(ISNUMBER('Dvd Calendar'!$E$1861)=FALSE,"",IF((('Dvd Calendar'!$E$1863=TYPE1)*(TYPE1&lt;&gt;"")+('Dvd Calendar'!$E$1863=TYPE2)*(TYPE2&lt;&gt;"")+('Dvd Calendar'!$E$1863=TYPE3)*(TYPE3&lt;&gt;"")+('Dvd Calendar'!$E$1863=TYPE4)*(TYPE4&lt;&gt;"")+('Dvd Calendar'!$E$1863=SPECIAL_LBL)*(INC_SPECIALS="Y"))=0,"",'Dvd Calendar'!$E$1861)))</f>
        <v/>
      </c>
      <c r="D187" s="161">
        <f>IF(EF187="","",IF(ISNUMBER('Dvd Calendar'!$F$1861)=FALSE,"",IF((('Dvd Calendar'!$F$1863=TYPE1)*(TYPE1&lt;&gt;"")+('Dvd Calendar'!$F$1863=TYPE2)*(TYPE2&lt;&gt;"")+('Dvd Calendar'!$F$1863=TYPE3)*(TYPE3&lt;&gt;"")+('Dvd Calendar'!$F$1863=TYPE4)*(TYPE4&lt;&gt;"")+('Dvd Calendar'!$F$1863=SPECIAL_LBL)*(INC_SPECIALS="Y"))=0,"",'Dvd Calendar'!$F$1861)))</f>
        <v/>
      </c>
      <c r="E187" s="161">
        <f>IF(EG187="","",IF(ISNUMBER('Dvd Calendar'!$G$1861)=FALSE,"",IF((('Dvd Calendar'!$G$1863=TYPE1)*(TYPE1&lt;&gt;"")+('Dvd Calendar'!$G$1863=TYPE2)*(TYPE2&lt;&gt;"")+('Dvd Calendar'!$G$1863=TYPE3)*(TYPE3&lt;&gt;"")+('Dvd Calendar'!$G$1863=TYPE4)*(TYPE4&lt;&gt;"")+('Dvd Calendar'!$G$1863=SPECIAL_LBL)*(INC_SPECIALS="Y"))=0,"",'Dvd Calendar'!$G$1861)))</f>
        <v/>
      </c>
      <c r="F187" s="161">
        <f>IF(EH187="","",IF(ISNUMBER('Dvd Calendar'!$H$1861)=FALSE,"",IF((('Dvd Calendar'!$H$1863=TYPE1)*(TYPE1&lt;&gt;"")+('Dvd Calendar'!$H$1863=TYPE2)*(TYPE2&lt;&gt;"")+('Dvd Calendar'!$H$1863=TYPE3)*(TYPE3&lt;&gt;"")+('Dvd Calendar'!$H$1863=TYPE4)*(TYPE4&lt;&gt;"")+('Dvd Calendar'!$H$1863=SPECIAL_LBL)*(INC_SPECIALS="Y"))=0,"",'Dvd Calendar'!$H$1861)))</f>
        <v/>
      </c>
      <c r="G187" s="161">
        <f>IF(EI187="","",IF(ISNUMBER('Dvd Calendar'!$I$1861)=FALSE,"",IF((('Dvd Calendar'!$I$1863=TYPE1)*(TYPE1&lt;&gt;"")+('Dvd Calendar'!$I$1863=TYPE2)*(TYPE2&lt;&gt;"")+('Dvd Calendar'!$I$1863=TYPE3)*(TYPE3&lt;&gt;"")+('Dvd Calendar'!$I$1863=TYPE4)*(TYPE4&lt;&gt;"")+('Dvd Calendar'!$I$1863=SPECIAL_LBL)*(INC_SPECIALS="Y"))=0,"",'Dvd Calendar'!$I$1861)))</f>
        <v/>
      </c>
      <c r="H187" s="161">
        <f>IF(EJ187="","",IF(ISNUMBER('Dvd Calendar'!$J$1861)=FALSE,"",IF((('Dvd Calendar'!$J$1863=TYPE1)*(TYPE1&lt;&gt;"")+('Dvd Calendar'!$J$1863=TYPE2)*(TYPE2&lt;&gt;"")+('Dvd Calendar'!$J$1863=TYPE3)*(TYPE3&lt;&gt;"")+('Dvd Calendar'!$J$1863=TYPE4)*(TYPE4&lt;&gt;"")+('Dvd Calendar'!$J$1863=SPECIAL_LBL)*(INC_SPECIALS="Y"))=0,"",'Dvd Calendar'!$J$1861)))</f>
        <v/>
      </c>
      <c r="I187" s="161">
        <f>IF(EK187="","",IF(ISNUMBER('Dvd Calendar'!$K$1861)=FALSE,"",IF((('Dvd Calendar'!$K$1863=TYPE1)*(TYPE1&lt;&gt;"")+('Dvd Calendar'!$K$1863=TYPE2)*(TYPE2&lt;&gt;"")+('Dvd Calendar'!$K$1863=TYPE3)*(TYPE3&lt;&gt;"")+('Dvd Calendar'!$K$1863=TYPE4)*(TYPE4&lt;&gt;"")+('Dvd Calendar'!$K$1863=SPECIAL_LBL)*(INC_SPECIALS="Y"))=0,"",'Dvd Calendar'!$K$1861)))</f>
        <v/>
      </c>
      <c r="J187" s="161">
        <f>IF(EL187="","",IF(ISNUMBER('Dvd Calendar'!$L$1861)=FALSE,"",IF((('Dvd Calendar'!$L$1863=TYPE1)*(TYPE1&lt;&gt;"")+('Dvd Calendar'!$L$1863=TYPE2)*(TYPE2&lt;&gt;"")+('Dvd Calendar'!$L$1863=TYPE3)*(TYPE3&lt;&gt;"")+('Dvd Calendar'!$L$1863=TYPE4)*(TYPE4&lt;&gt;"")+('Dvd Calendar'!$L$1863=SPECIAL_LBL)*(INC_SPECIALS="Y"))=0,"",'Dvd Calendar'!$L$1861)))</f>
        <v/>
      </c>
      <c r="K187" s="161">
        <f>IF(EM187="","",IF(ISNUMBER('Dvd Calendar'!$M$1861)=FALSE,"",IF((('Dvd Calendar'!$M$1863=TYPE1)*(TYPE1&lt;&gt;"")+('Dvd Calendar'!$M$1863=TYPE2)*(TYPE2&lt;&gt;"")+('Dvd Calendar'!$M$1863=TYPE3)*(TYPE3&lt;&gt;"")+('Dvd Calendar'!$M$1863=TYPE4)*(TYPE4&lt;&gt;"")+('Dvd Calendar'!$M$1863=SPECIAL_LBL)*(INC_SPECIALS="Y"))=0,"",'Dvd Calendar'!$M$1861)))</f>
        <v/>
      </c>
      <c r="L187" s="161">
        <f>IF(EN187="","",IF(ISNUMBER('Dvd Calendar'!$N$1861)=FALSE,"",IF((('Dvd Calendar'!$N$1863=TYPE1)*(TYPE1&lt;&gt;"")+('Dvd Calendar'!$N$1863=TYPE2)*(TYPE2&lt;&gt;"")+('Dvd Calendar'!$N$1863=TYPE3)*(TYPE3&lt;&gt;"")+('Dvd Calendar'!$N$1863=TYPE4)*(TYPE4&lt;&gt;"")+('Dvd Calendar'!$N$1863=SPECIAL_LBL)*(INC_SPECIALS="Y"))=0,"",'Dvd Calendar'!$N$1861)))</f>
        <v/>
      </c>
      <c r="M187" s="161">
        <f>IF(EO187="","",IF(ISNUMBER('Dvd Calendar'!$O$1861)=FALSE,"",IF((('Dvd Calendar'!$O$1863=TYPE1)*(TYPE1&lt;&gt;"")+('Dvd Calendar'!$O$1863=TYPE2)*(TYPE2&lt;&gt;"")+('Dvd Calendar'!$O$1863=TYPE3)*(TYPE3&lt;&gt;"")+('Dvd Calendar'!$O$1863=TYPE4)*(TYPE4&lt;&gt;"")+('Dvd Calendar'!$O$1863=SPECIAL_LBL)*(INC_SPECIALS="Y"))=0,"",'Dvd Calendar'!$O$1861)))</f>
        <v/>
      </c>
      <c r="N187" s="161">
        <f>IF(EP187="","",IF(ISNUMBER('Dvd Calendar'!$P$1861)=FALSE,"",IF((('Dvd Calendar'!$P$1863=TYPE1)*(TYPE1&lt;&gt;"")+('Dvd Calendar'!$P$1863=TYPE2)*(TYPE2&lt;&gt;"")+('Dvd Calendar'!$P$1863=TYPE3)*(TYPE3&lt;&gt;"")+('Dvd Calendar'!$P$1863=TYPE4)*(TYPE4&lt;&gt;"")+('Dvd Calendar'!$P$1863=SPECIAL_LBL)*(INC_SPECIALS="Y"))=0,"",'Dvd Calendar'!$P$1861)))</f>
        <v/>
      </c>
      <c r="O187" s="161">
        <f>IF(EQ187="","",IF(ISNUMBER('Dvd Calendar'!$Q$1861)=FALSE,"",IF((('Dvd Calendar'!$Q$1863=TYPE1)*(TYPE1&lt;&gt;"")+('Dvd Calendar'!$Q$1863=TYPE2)*(TYPE2&lt;&gt;"")+('Dvd Calendar'!$Q$1863=TYPE3)*(TYPE3&lt;&gt;"")+('Dvd Calendar'!$Q$1863=TYPE4)*(TYPE4&lt;&gt;"")+('Dvd Calendar'!$Q$1863=SPECIAL_LBL)*(INC_SPECIALS="Y"))=0,"",'Dvd Calendar'!$Q$1861)))</f>
        <v/>
      </c>
      <c r="P187" s="161">
        <f>IF(ER187="","",IF(ISNUMBER('Dvd Calendar'!$R$1861)=FALSE,"",IF((('Dvd Calendar'!$R$1863=TYPE1)*(TYPE1&lt;&gt;"")+('Dvd Calendar'!$R$1863=TYPE2)*(TYPE2&lt;&gt;"")+('Dvd Calendar'!$R$1863=TYPE3)*(TYPE3&lt;&gt;"")+('Dvd Calendar'!$R$1863=TYPE4)*(TYPE4&lt;&gt;"")+('Dvd Calendar'!$R$1863=SPECIAL_LBL)*(INC_SPECIALS="Y"))=0,"",'Dvd Calendar'!$R$1861)))</f>
        <v/>
      </c>
      <c r="Q187" s="161">
        <f>IF(ES187="","",IF(ISNUMBER('Dvd Calendar'!$S$1861)=FALSE,"",IF((('Dvd Calendar'!$S$1863=TYPE1)*(TYPE1&lt;&gt;"")+('Dvd Calendar'!$S$1863=TYPE2)*(TYPE2&lt;&gt;"")+('Dvd Calendar'!$S$1863=TYPE3)*(TYPE3&lt;&gt;"")+('Dvd Calendar'!$S$1863=TYPE4)*(TYPE4&lt;&gt;"")+('Dvd Calendar'!$S$1863=SPECIAL_LBL)*(INC_SPECIALS="Y"))=0,"",'Dvd Calendar'!$S$1861)))</f>
        <v/>
      </c>
      <c r="R187" s="161">
        <f>IF(ET187="","",IF(ISNUMBER('Dvd Calendar'!$T$1861)=FALSE,"",IF((('Dvd Calendar'!$T$1863=TYPE1)*(TYPE1&lt;&gt;"")+('Dvd Calendar'!$T$1863=TYPE2)*(TYPE2&lt;&gt;"")+('Dvd Calendar'!$T$1863=TYPE3)*(TYPE3&lt;&gt;"")+('Dvd Calendar'!$T$1863=TYPE4)*(TYPE4&lt;&gt;"")+('Dvd Calendar'!$T$1863=SPECIAL_LBL)*(INC_SPECIALS="Y"))=0,"",'Dvd Calendar'!$T$1861)))</f>
        <v/>
      </c>
      <c r="S187" s="161">
        <f>IF(EU187="","",IF(ISNUMBER('Dvd Calendar'!$U$1861)=FALSE,"",IF((('Dvd Calendar'!$U$1863=TYPE1)*(TYPE1&lt;&gt;"")+('Dvd Calendar'!$U$1863=TYPE2)*(TYPE2&lt;&gt;"")+('Dvd Calendar'!$U$1863=TYPE3)*(TYPE3&lt;&gt;"")+('Dvd Calendar'!$U$1863=TYPE4)*(TYPE4&lt;&gt;"")+('Dvd Calendar'!$U$1863=SPECIAL_LBL)*(INC_SPECIALS="Y"))=0,"",'Dvd Calendar'!$U$1861)))</f>
        <v/>
      </c>
      <c r="T187" s="161">
        <f>IF(EV187="","",IF(ISNUMBER('Dvd Calendar'!$V$1861)=FALSE,"",IF((('Dvd Calendar'!$V$1863=TYPE1)*(TYPE1&lt;&gt;"")+('Dvd Calendar'!$V$1863=TYPE2)*(TYPE2&lt;&gt;"")+('Dvd Calendar'!$V$1863=TYPE3)*(TYPE3&lt;&gt;"")+('Dvd Calendar'!$V$1863=TYPE4)*(TYPE4&lt;&gt;"")+('Dvd Calendar'!$V$1863=SPECIAL_LBL)*(INC_SPECIALS="Y"))=0,"",'Dvd Calendar'!$V$1861)))</f>
        <v/>
      </c>
      <c r="U187" s="161">
        <f>IF(EW187="","",IF(ISNUMBER('Dvd Calendar'!$W$1861)=FALSE,"",IF((('Dvd Calendar'!$W$1863=TYPE1)*(TYPE1&lt;&gt;"")+('Dvd Calendar'!$W$1863=TYPE2)*(TYPE2&lt;&gt;"")+('Dvd Calendar'!$W$1863=TYPE3)*(TYPE3&lt;&gt;"")+('Dvd Calendar'!$W$1863=TYPE4)*(TYPE4&lt;&gt;"")+('Dvd Calendar'!$W$1863=SPECIAL_LBL)*(INC_SPECIALS="Y"))=0,"",'Dvd Calendar'!$W$1861)))</f>
        <v/>
      </c>
      <c r="V187" s="161">
        <f>IF(EX187="","",IF(ISNUMBER('Dvd Calendar'!$X$1861)=FALSE,"",IF((('Dvd Calendar'!$X$1863=TYPE1)*(TYPE1&lt;&gt;"")+('Dvd Calendar'!$X$1863=TYPE2)*(TYPE2&lt;&gt;"")+('Dvd Calendar'!$X$1863=TYPE3)*(TYPE3&lt;&gt;"")+('Dvd Calendar'!$X$1863=TYPE4)*(TYPE4&lt;&gt;"")+('Dvd Calendar'!$X$1863=SPECIAL_LBL)*(INC_SPECIALS="Y"))=0,"",'Dvd Calendar'!$X$1861)))</f>
        <v/>
      </c>
      <c r="W187" s="161">
        <f>IF(EY187="","",IF(ISNUMBER('Dvd Calendar'!$Y$1861)=FALSE,"",IF((('Dvd Calendar'!$Y$1863=TYPE1)*(TYPE1&lt;&gt;"")+('Dvd Calendar'!$Y$1863=TYPE2)*(TYPE2&lt;&gt;"")+('Dvd Calendar'!$Y$1863=TYPE3)*(TYPE3&lt;&gt;"")+('Dvd Calendar'!$Y$1863=TYPE4)*(TYPE4&lt;&gt;"")+('Dvd Calendar'!$Y$1863=SPECIAL_LBL)*(INC_SPECIALS="Y"))=0,"",'Dvd Calendar'!$Y$1861)))</f>
        <v/>
      </c>
      <c r="X187" s="161">
        <f>IF(EZ187="","",IF(ISNUMBER('Dvd Calendar'!$Z$1861)=FALSE,"",IF((('Dvd Calendar'!$Z$1863=TYPE1)*(TYPE1&lt;&gt;"")+('Dvd Calendar'!$Z$1863=TYPE2)*(TYPE2&lt;&gt;"")+('Dvd Calendar'!$Z$1863=TYPE3)*(TYPE3&lt;&gt;"")+('Dvd Calendar'!$Z$1863=TYPE4)*(TYPE4&lt;&gt;"")+('Dvd Calendar'!$Z$1863=SPECIAL_LBL)*(INC_SPECIALS="Y"))=0,"",'Dvd Calendar'!$Z$1861)))</f>
        <v/>
      </c>
      <c r="Y187" s="161">
        <f>IF(FA187="","",IF(ISNUMBER('Dvd Calendar'!$AA$1861)=FALSE,"",IF((('Dvd Calendar'!$AA$1863=TYPE1)*(TYPE1&lt;&gt;"")+('Dvd Calendar'!$AA$1863=TYPE2)*(TYPE2&lt;&gt;"")+('Dvd Calendar'!$AA$1863=TYPE3)*(TYPE3&lt;&gt;"")+('Dvd Calendar'!$AA$1863=TYPE4)*(TYPE4&lt;&gt;"")+('Dvd Calendar'!$AA$1863=SPECIAL_LBL)*(INC_SPECIALS="Y"))=0,"",'Dvd Calendar'!$AA$1861)))</f>
        <v/>
      </c>
      <c r="Z187" s="161">
        <f>IF(FB187="","",IF(ISNUMBER('Dvd Calendar'!$AB$1861)=FALSE,"",IF((('Dvd Calendar'!$AB$1863=TYPE1)*(TYPE1&lt;&gt;"")+('Dvd Calendar'!$AB$1863=TYPE2)*(TYPE2&lt;&gt;"")+('Dvd Calendar'!$AB$1863=TYPE3)*(TYPE3&lt;&gt;"")+('Dvd Calendar'!$AB$1863=TYPE4)*(TYPE4&lt;&gt;"")+('Dvd Calendar'!$AB$1863=SPECIAL_LBL)*(INC_SPECIALS="Y"))=0,"",'Dvd Calendar'!$AB$1861)))</f>
        <v/>
      </c>
      <c r="AA187" s="161">
        <f>IF(FC187="","",IF(ISNUMBER('Dvd Calendar'!$AC$1861)=FALSE,"",IF((('Dvd Calendar'!$AC$1863=TYPE1)*(TYPE1&lt;&gt;"")+('Dvd Calendar'!$AC$1863=TYPE2)*(TYPE2&lt;&gt;"")+('Dvd Calendar'!$AC$1863=TYPE3)*(TYPE3&lt;&gt;"")+('Dvd Calendar'!$AC$1863=TYPE4)*(TYPE4&lt;&gt;"")+('Dvd Calendar'!$AC$1863=SPECIAL_LBL)*(INC_SPECIALS="Y"))=0,"",'Dvd Calendar'!$AC$1861)))</f>
        <v/>
      </c>
      <c r="AB187" s="161">
        <f>IF(FD187="","",IF(ISNUMBER('Dvd Calendar'!$AD$1861)=FALSE,"",IF((('Dvd Calendar'!$AD$1863=TYPE1)*(TYPE1&lt;&gt;"")+('Dvd Calendar'!$AD$1863=TYPE2)*(TYPE2&lt;&gt;"")+('Dvd Calendar'!$AD$1863=TYPE3)*(TYPE3&lt;&gt;"")+('Dvd Calendar'!$AD$1863=TYPE4)*(TYPE4&lt;&gt;"")+('Dvd Calendar'!$AD$1863=SPECIAL_LBL)*(INC_SPECIALS="Y"))=0,"",'Dvd Calendar'!$AD$1861)))</f>
        <v/>
      </c>
      <c r="AC187" s="161">
        <f>IF(FE187="","",IF(ISNUMBER('Dvd Calendar'!$AE$1861)=FALSE,"",IF((('Dvd Calendar'!$AE$1863=TYPE1)*(TYPE1&lt;&gt;"")+('Dvd Calendar'!$AE$1863=TYPE2)*(TYPE2&lt;&gt;"")+('Dvd Calendar'!$AE$1863=TYPE3)*(TYPE3&lt;&gt;"")+('Dvd Calendar'!$AE$1863=TYPE4)*(TYPE4&lt;&gt;"")+('Dvd Calendar'!$AE$1863=SPECIAL_LBL)*(INC_SPECIALS="Y"))=0,"",'Dvd Calendar'!$AE$1861)))</f>
        <v/>
      </c>
      <c r="AD187" s="161">
        <f>IF(FF187="","",IF(ISNUMBER('Dvd Calendar'!$AF$1861)=FALSE,"",IF((('Dvd Calendar'!$AF$1863=TYPE1)*(TYPE1&lt;&gt;"")+('Dvd Calendar'!$AF$1863=TYPE2)*(TYPE2&lt;&gt;"")+('Dvd Calendar'!$AF$1863=TYPE3)*(TYPE3&lt;&gt;"")+('Dvd Calendar'!$AF$1863=TYPE4)*(TYPE4&lt;&gt;"")+('Dvd Calendar'!$AF$1863=SPECIAL_LBL)*(INC_SPECIALS="Y"))=0,"",'Dvd Calendar'!$AF$1861)))</f>
        <v/>
      </c>
      <c r="AE187" s="161">
        <f>IF(FG187="","",IF(ISNUMBER('Dvd Calendar'!$AG$1861)=FALSE,"",IF((('Dvd Calendar'!$AG$1863=TYPE1)*(TYPE1&lt;&gt;"")+('Dvd Calendar'!$AG$1863=TYPE2)*(TYPE2&lt;&gt;"")+('Dvd Calendar'!$AG$1863=TYPE3)*(TYPE3&lt;&gt;"")+('Dvd Calendar'!$AG$1863=TYPE4)*(TYPE4&lt;&gt;"")+('Dvd Calendar'!$AG$1863=SPECIAL_LBL)*(INC_SPECIALS="Y"))=0,"",'Dvd Calendar'!$AG$1861)))</f>
        <v/>
      </c>
      <c r="AF187" s="161">
        <f>IF(FH187="","",IF(ISNUMBER('Dvd Calendar'!$AH$1861)=FALSE,"",IF((('Dvd Calendar'!$AH$1863=TYPE1)*(TYPE1&lt;&gt;"")+('Dvd Calendar'!$AH$1863=TYPE2)*(TYPE2&lt;&gt;"")+('Dvd Calendar'!$AH$1863=TYPE3)*(TYPE3&lt;&gt;"")+('Dvd Calendar'!$AH$1863=TYPE4)*(TYPE4&lt;&gt;"")+('Dvd Calendar'!$AH$1863=SPECIAL_LBL)*(INC_SPECIALS="Y"))=0,"",'Dvd Calendar'!$AH$1861)))</f>
        <v/>
      </c>
      <c r="AG187" s="161">
        <f>IF(FI187="","",IF(ISNUMBER('Dvd Calendar'!$AI$1861)=FALSE,"",IF((('Dvd Calendar'!$AI$1863=TYPE1)*(TYPE1&lt;&gt;"")+('Dvd Calendar'!$AI$1863=TYPE2)*(TYPE2&lt;&gt;"")+('Dvd Calendar'!$AI$1863=TYPE3)*(TYPE3&lt;&gt;"")+('Dvd Calendar'!$AI$1863=TYPE4)*(TYPE4&lt;&gt;"")+('Dvd Calendar'!$AI$1863=SPECIAL_LBL)*(INC_SPECIALS="Y"))=0,"",'Dvd Calendar'!$AI$1861)))</f>
        <v/>
      </c>
      <c r="AH187" s="161">
        <f>IF(FJ187="","",IF(ISNUMBER('Dvd Calendar'!$AJ$1861)=FALSE,"",IF((('Dvd Calendar'!$AJ$1863=TYPE1)*(TYPE1&lt;&gt;"")+('Dvd Calendar'!$AJ$1863=TYPE2)*(TYPE2&lt;&gt;"")+('Dvd Calendar'!$AJ$1863=TYPE3)*(TYPE3&lt;&gt;"")+('Dvd Calendar'!$AJ$1863=TYPE4)*(TYPE4&lt;&gt;"")+('Dvd Calendar'!$AJ$1863=SPECIAL_LBL)*(INC_SPECIALS="Y"))=0,"",'Dvd Calendar'!$AJ$1861)))</f>
        <v/>
      </c>
      <c r="AI187" s="161">
        <f>IF(FK187="","",IF(ISNUMBER('Dvd Calendar'!$AK$1861)=FALSE,"",IF((('Dvd Calendar'!$AK$1863=TYPE1)*(TYPE1&lt;&gt;"")+('Dvd Calendar'!$AK$1863=TYPE2)*(TYPE2&lt;&gt;"")+('Dvd Calendar'!$AK$1863=TYPE3)*(TYPE3&lt;&gt;"")+('Dvd Calendar'!$AK$1863=TYPE4)*(TYPE4&lt;&gt;"")+('Dvd Calendar'!$AK$1863=SPECIAL_LBL)*(INC_SPECIALS="Y"))=0,"",'Dvd Calendar'!$AK$1861)))</f>
        <v/>
      </c>
      <c r="AJ187" s="161">
        <f>IF(FL187="","",IF(ISNUMBER('Dvd Calendar'!$AL$1861)=FALSE,"",IF((('Dvd Calendar'!$AL$1863=TYPE1)*(TYPE1&lt;&gt;"")+('Dvd Calendar'!$AL$1863=TYPE2)*(TYPE2&lt;&gt;"")+('Dvd Calendar'!$AL$1863=TYPE3)*(TYPE3&lt;&gt;"")+('Dvd Calendar'!$AL$1863=TYPE4)*(TYPE4&lt;&gt;"")+('Dvd Calendar'!$AL$1863=SPECIAL_LBL)*(INC_SPECIALS="Y"))=0,"",'Dvd Calendar'!$AL$1861)))</f>
        <v/>
      </c>
      <c r="AK187" s="161">
        <f>IF(FM187="","",IF(ISNUMBER('Dvd Calendar'!$AM$1861)=FALSE,"",IF((('Dvd Calendar'!$AM$1863=TYPE1)*(TYPE1&lt;&gt;"")+('Dvd Calendar'!$AM$1863=TYPE2)*(TYPE2&lt;&gt;"")+('Dvd Calendar'!$AM$1863=TYPE3)*(TYPE3&lt;&gt;"")+('Dvd Calendar'!$AM$1863=TYPE4)*(TYPE4&lt;&gt;"")+('Dvd Calendar'!$AM$1863=SPECIAL_LBL)*(INC_SPECIALS="Y"))=0,"",'Dvd Calendar'!$AM$1861)))</f>
        <v/>
      </c>
      <c r="AL187" s="161">
        <f>IF(FN187="","",IF(ISNUMBER('Dvd Calendar'!$AN$1861)=FALSE,"",IF((('Dvd Calendar'!$AN$1863=TYPE1)*(TYPE1&lt;&gt;"")+('Dvd Calendar'!$AN$1863=TYPE2)*(TYPE2&lt;&gt;"")+('Dvd Calendar'!$AN$1863=TYPE3)*(TYPE3&lt;&gt;"")+('Dvd Calendar'!$AN$1863=TYPE4)*(TYPE4&lt;&gt;"")+('Dvd Calendar'!$AN$1863=SPECIAL_LBL)*(INC_SPECIALS="Y"))=0,"",'Dvd Calendar'!$AN$1861)))</f>
        <v/>
      </c>
      <c r="AM187" s="161">
        <f>IF(FO187="","",IF(ISNUMBER('Dvd Calendar'!$AO$1861)=FALSE,"",IF((('Dvd Calendar'!$AO$1863=TYPE1)*(TYPE1&lt;&gt;"")+('Dvd Calendar'!$AO$1863=TYPE2)*(TYPE2&lt;&gt;"")+('Dvd Calendar'!$AO$1863=TYPE3)*(TYPE3&lt;&gt;"")+('Dvd Calendar'!$AO$1863=TYPE4)*(TYPE4&lt;&gt;"")+('Dvd Calendar'!$AO$1863=SPECIAL_LBL)*(INC_SPECIALS="Y"))=0,"",'Dvd Calendar'!$AO$1861)))</f>
        <v/>
      </c>
      <c r="AN187" s="161">
        <f>IF(FP187="","",IF(ISNUMBER('Dvd Calendar'!$AP$1861)=FALSE,"",IF((('Dvd Calendar'!$AP$1863=TYPE1)*(TYPE1&lt;&gt;"")+('Dvd Calendar'!$AP$1863=TYPE2)*(TYPE2&lt;&gt;"")+('Dvd Calendar'!$AP$1863=TYPE3)*(TYPE3&lt;&gt;"")+('Dvd Calendar'!$AP$1863=TYPE4)*(TYPE4&lt;&gt;"")+('Dvd Calendar'!$AP$1863=SPECIAL_LBL)*(INC_SPECIALS="Y"))=0,"",'Dvd Calendar'!$AP$1861)))</f>
        <v/>
      </c>
      <c r="AO187" s="161">
        <f>IF(FQ187="","",IF(ISNUMBER('Dvd Calendar'!$AQ$1861)=FALSE,"",IF((('Dvd Calendar'!$AQ$1863=TYPE1)*(TYPE1&lt;&gt;"")+('Dvd Calendar'!$AQ$1863=TYPE2)*(TYPE2&lt;&gt;"")+('Dvd Calendar'!$AQ$1863=TYPE3)*(TYPE3&lt;&gt;"")+('Dvd Calendar'!$AQ$1863=TYPE4)*(TYPE4&lt;&gt;"")+('Dvd Calendar'!$AQ$1863=SPECIAL_LBL)*(INC_SPECIALS="Y"))=0,"",'Dvd Calendar'!$AQ$1861)))</f>
        <v/>
      </c>
      <c r="AP187" s="161">
        <f>IF(FR187="","",IF(ISNUMBER('Dvd Calendar'!$AR$1861)=FALSE,"",IF((('Dvd Calendar'!$AR$1863=TYPE1)*(TYPE1&lt;&gt;"")+('Dvd Calendar'!$AR$1863=TYPE2)*(TYPE2&lt;&gt;"")+('Dvd Calendar'!$AR$1863=TYPE3)*(TYPE3&lt;&gt;"")+('Dvd Calendar'!$AR$1863=TYPE4)*(TYPE4&lt;&gt;"")+('Dvd Calendar'!$AR$1863=SPECIAL_LBL)*(INC_SPECIALS="Y"))=0,"",'Dvd Calendar'!$AR$1861)))</f>
        <v/>
      </c>
      <c r="AQ187" s="161">
        <f>IF(FS187="","",IF(ISNUMBER('Dvd Calendar'!$E$1866)=FALSE,"",'Dvd Calendar'!$E$1866))</f>
        <v/>
      </c>
      <c r="AR187" s="161">
        <f>IF(FT187="","",IF(ISNUMBER('Dvd Calendar'!$F$1866)=FALSE,"",'Dvd Calendar'!$F$1866))</f>
        <v/>
      </c>
      <c r="AS187" s="161">
        <f>IF(FU187="","",IF(ISNUMBER('Dvd Calendar'!$G$1866)=FALSE,"",'Dvd Calendar'!$G$1866))</f>
        <v/>
      </c>
      <c r="AT187" s="161">
        <f>IF(FV187="","",IF(ISNUMBER('Dvd Calendar'!$H$1866)=FALSE,"",'Dvd Calendar'!$H$1866))</f>
        <v/>
      </c>
      <c r="AU187" s="161">
        <f>IF(FW187="","",IF(ISNUMBER('Dvd Calendar'!$I$1866)=FALSE,"",'Dvd Calendar'!$I$1866))</f>
        <v/>
      </c>
      <c r="AV187" s="161">
        <f>IF(FX187="","",IF(ISNUMBER('Dvd Calendar'!$J$1866)=FALSE,"",'Dvd Calendar'!$J$1866))</f>
        <v/>
      </c>
      <c r="AW187" s="161">
        <f>IF(FY187="","",IF(ISNUMBER('Dvd Calendar'!$K$1866)=FALSE,"",'Dvd Calendar'!$K$1866))</f>
        <v/>
      </c>
      <c r="AX187" s="161">
        <f>IF(FZ187="","",IF(ISNUMBER('Dvd Calendar'!$L$1866)=FALSE,"",'Dvd Calendar'!$L$1866))</f>
        <v/>
      </c>
      <c r="AY187" s="161">
        <f>IF(GA187="","",IF(ISNUMBER('Dvd Calendar'!$M$1866)=FALSE,"",'Dvd Calendar'!$M$1866))</f>
        <v/>
      </c>
      <c r="AZ187" s="161">
        <f>IF(GB187="","",IF(ISNUMBER('Dvd Calendar'!$N$1866)=FALSE,"",'Dvd Calendar'!$N$1866))</f>
        <v/>
      </c>
      <c r="BA187" s="161">
        <f>IF(GC187="","",IF(ISNUMBER('Dvd Calendar'!$O$1866)=FALSE,"",'Dvd Calendar'!$O$1866))</f>
        <v/>
      </c>
      <c r="BB187" s="161">
        <f>IF(GD187="","",IF(ISNUMBER('Dvd Calendar'!$P$1866)=FALSE,"",'Dvd Calendar'!$P$1866))</f>
        <v/>
      </c>
      <c r="BC187" s="161">
        <f>IF(GE187="","",IF(ISNUMBER('Dvd Calendar'!$Q$1866)=FALSE,"",'Dvd Calendar'!$Q$1866))</f>
        <v/>
      </c>
      <c r="BD187" s="161">
        <f>IF(GF187="","",IF(ISNUMBER('Dvd Calendar'!$R$1866)=FALSE,"",'Dvd Calendar'!$R$1866))</f>
        <v/>
      </c>
      <c r="BE187" s="161">
        <f>IF(GG187="","",IF(ISNUMBER('Dvd Calendar'!$S$1866)=FALSE,"",'Dvd Calendar'!$S$1866))</f>
        <v/>
      </c>
      <c r="BF187" s="161">
        <f>IF(GH187="","",IF(ISNUMBER('Dvd Calendar'!$T$1866)=FALSE,"",'Dvd Calendar'!$T$1866))</f>
        <v/>
      </c>
      <c r="BG187" s="161">
        <f>IF(GI187="","",IF(ISNUMBER('Dvd Calendar'!$U$1866)=FALSE,"",'Dvd Calendar'!$U$1866))</f>
        <v/>
      </c>
      <c r="BH187" s="161">
        <f>IF(GJ187="","",IF(ISNUMBER('Dvd Calendar'!$V$1866)=FALSE,"",'Dvd Calendar'!$V$1866))</f>
        <v/>
      </c>
      <c r="BI187" s="161">
        <f>IF(GK187="","",IF(ISNUMBER('Dvd Calendar'!$W$1866)=FALSE,"",'Dvd Calendar'!$W$1866))</f>
        <v/>
      </c>
      <c r="BJ187" s="161">
        <f>IF(GL187="","",IF(ISNUMBER('Dvd Calendar'!$X$1866)=FALSE,"",'Dvd Calendar'!$X$1866))</f>
        <v/>
      </c>
      <c r="BK187" s="161">
        <f>IF(GM187="","",IF(ISNUMBER('Dvd Calendar'!$Y$1866)=FALSE,"",'Dvd Calendar'!$Y$1866))</f>
        <v/>
      </c>
      <c r="BL187" s="161">
        <f>IF(GN187="","",IF(ISNUMBER('Dvd Calendar'!$Z$1866)=FALSE,"",'Dvd Calendar'!$Z$1866))</f>
        <v/>
      </c>
      <c r="BM187" s="161">
        <f>IF(GO187="","",IF(ISNUMBER('Dvd Calendar'!$AA$1866)=FALSE,"",'Dvd Calendar'!$AA$1866))</f>
        <v/>
      </c>
      <c r="BN187" s="161">
        <f>IF(GP187="","",IF(ISNUMBER('Dvd Calendar'!$AB$1866)=FALSE,"",'Dvd Calendar'!$AB$1866))</f>
        <v/>
      </c>
      <c r="BO187" s="161">
        <f>IF(GQ187="","",IF(ISNUMBER('Dvd Calendar'!$AC$1866)=FALSE,"",'Dvd Calendar'!$AC$1866))</f>
        <v/>
      </c>
      <c r="BQ187" s="161">
        <f>IF(C187="","",IFERROR(C187*HSCEI!$B$34*HSCEI!$G$34/HSCEI!$B$3,""))</f>
        <v/>
      </c>
      <c r="BR187" s="161">
        <f>IF(D187="","",IFERROR(D187*HSCEI!$B$34*HSCEI!$G$34/HSCEI!$B$3,""))</f>
        <v/>
      </c>
      <c r="BS187" s="161">
        <f>IF(E187="","",IFERROR(E187*HSCEI!$B$34*HSCEI!$G$34/HSCEI!$B$3,""))</f>
        <v/>
      </c>
      <c r="BT187" s="161">
        <f>IF(F187="","",IFERROR(F187*HSCEI!$B$34*HSCEI!$G$34/HSCEI!$B$3,""))</f>
        <v/>
      </c>
      <c r="BU187" s="161">
        <f>IF(G187="","",IFERROR(G187*HSCEI!$B$34*HSCEI!$G$34/HSCEI!$B$3,""))</f>
        <v/>
      </c>
      <c r="BV187" s="161">
        <f>IF(H187="","",IFERROR(H187*HSCEI!$B$34*HSCEI!$G$34/HSCEI!$B$3,""))</f>
        <v/>
      </c>
      <c r="BW187" s="161">
        <f>IF(I187="","",IFERROR(I187*HSCEI!$B$34*HSCEI!$G$34/HSCEI!$B$3,""))</f>
        <v/>
      </c>
      <c r="BX187" s="161">
        <f>IF(J187="","",IFERROR(J187*HSCEI!$B$34*HSCEI!$G$34/HSCEI!$B$3,""))</f>
        <v/>
      </c>
      <c r="BY187" s="161">
        <f>IF(K187="","",IFERROR(K187*HSCEI!$B$34*HSCEI!$G$34/HSCEI!$B$3,""))</f>
        <v/>
      </c>
      <c r="BZ187" s="161">
        <f>IF(L187="","",IFERROR(L187*HSCEI!$B$34*HSCEI!$G$34/HSCEI!$B$3,""))</f>
        <v/>
      </c>
      <c r="CA187" s="161">
        <f>IF(M187="","",IFERROR(M187*HSCEI!$B$34*HSCEI!$G$34/HSCEI!$B$3,""))</f>
        <v/>
      </c>
      <c r="CB187" s="161">
        <f>IF(N187="","",IFERROR(N187*HSCEI!$B$34*HSCEI!$G$34/HSCEI!$B$3,""))</f>
        <v/>
      </c>
      <c r="CC187" s="161">
        <f>IF(O187="","",IFERROR(O187*HSCEI!$B$34*HSCEI!$G$34/HSCEI!$B$3,""))</f>
        <v/>
      </c>
      <c r="CD187" s="161">
        <f>IF(P187="","",IFERROR(P187*HSCEI!$B$34*HSCEI!$G$34/HSCEI!$B$3,""))</f>
        <v/>
      </c>
      <c r="CE187" s="161">
        <f>IF(Q187="","",IFERROR(Q187*HSCEI!$B$34*HSCEI!$G$34/HSCEI!$B$3,""))</f>
        <v/>
      </c>
      <c r="CF187" s="161">
        <f>IF(R187="","",IFERROR(R187*HSCEI!$B$34*HSCEI!$G$34/HSCEI!$B$3,""))</f>
        <v/>
      </c>
      <c r="CG187" s="161">
        <f>IF(S187="","",IFERROR(S187*HSCEI!$B$34*HSCEI!$G$34/HSCEI!$B$3,""))</f>
        <v/>
      </c>
      <c r="CH187" s="161">
        <f>IF(T187="","",IFERROR(T187*HSCEI!$B$34*HSCEI!$G$34/HSCEI!$B$3,""))</f>
        <v/>
      </c>
      <c r="CI187" s="161">
        <f>IF(U187="","",IFERROR(U187*HSCEI!$B$34*HSCEI!$G$34/HSCEI!$B$3,""))</f>
        <v/>
      </c>
      <c r="CJ187" s="161">
        <f>IF(V187="","",IFERROR(V187*HSCEI!$B$34*HSCEI!$G$34/HSCEI!$B$3,""))</f>
        <v/>
      </c>
      <c r="CK187" s="161">
        <f>IF(W187="","",IFERROR(W187*HSCEI!$B$34*HSCEI!$G$34/HSCEI!$B$3,""))</f>
        <v/>
      </c>
      <c r="CL187" s="161">
        <f>IF(X187="","",IFERROR(X187*HSCEI!$B$34*HSCEI!$G$34/HSCEI!$B$3,""))</f>
        <v/>
      </c>
      <c r="CM187" s="161">
        <f>IF(Y187="","",IFERROR(Y187*HSCEI!$B$34*HSCEI!$G$34/HSCEI!$B$3,""))</f>
        <v/>
      </c>
      <c r="CN187" s="161">
        <f>IF(Z187="","",IFERROR(Z187*HSCEI!$B$34*HSCEI!$G$34/HSCEI!$B$3,""))</f>
        <v/>
      </c>
      <c r="CO187" s="161">
        <f>IF(AA187="","",IFERROR(AA187*HSCEI!$B$34*HSCEI!$G$34/HSCEI!$B$3,""))</f>
        <v/>
      </c>
      <c r="CP187" s="161">
        <f>IF(AB187="","",IFERROR(AB187*HSCEI!$B$34*HSCEI!$G$34/HSCEI!$B$3,""))</f>
        <v/>
      </c>
      <c r="CQ187" s="161">
        <f>IF(AC187="","",IFERROR(AC187*HSCEI!$B$34*HSCEI!$G$34/HSCEI!$B$3,""))</f>
        <v/>
      </c>
      <c r="CR187" s="161">
        <f>IF(AD187="","",IFERROR(AD187*HSCEI!$B$34*HSCEI!$G$34/HSCEI!$B$3,""))</f>
        <v/>
      </c>
      <c r="CS187" s="161">
        <f>IF(AE187="","",IFERROR(AE187*HSCEI!$B$34*HSCEI!$G$34/HSCEI!$B$3,""))</f>
        <v/>
      </c>
      <c r="CT187" s="161">
        <f>IF(AF187="","",IFERROR(AF187*HSCEI!$B$34*HSCEI!$G$34/HSCEI!$B$3,""))</f>
        <v/>
      </c>
      <c r="CU187" s="161">
        <f>IF(AG187="","",IFERROR(AG187*HSCEI!$B$34*HSCEI!$G$34/HSCEI!$B$3,""))</f>
        <v/>
      </c>
      <c r="CV187" s="161">
        <f>IF(AH187="","",IFERROR(AH187*HSCEI!$B$34*HSCEI!$G$34/HSCEI!$B$3,""))</f>
        <v/>
      </c>
      <c r="CW187" s="161">
        <f>IF(AI187="","",IFERROR(AI187*HSCEI!$B$34*HSCEI!$G$34/HSCEI!$B$3,""))</f>
        <v/>
      </c>
      <c r="CX187" s="161">
        <f>IF(AJ187="","",IFERROR(AJ187*HSCEI!$B$34*HSCEI!$G$34/HSCEI!$B$3,""))</f>
        <v/>
      </c>
      <c r="CY187" s="161">
        <f>IF(AK187="","",IFERROR(AK187*HSCEI!$B$34*HSCEI!$G$34/HSCEI!$B$3,""))</f>
        <v/>
      </c>
      <c r="CZ187" s="161">
        <f>IF(AL187="","",IFERROR(AL187*HSCEI!$B$34*HSCEI!$G$34/HSCEI!$B$3,""))</f>
        <v/>
      </c>
      <c r="DA187" s="161">
        <f>IF(AM187="","",IFERROR(AM187*HSCEI!$B$34*HSCEI!$G$34/HSCEI!$B$3,""))</f>
        <v/>
      </c>
      <c r="DB187" s="161">
        <f>IF(AN187="","",IFERROR(AN187*HSCEI!$B$34*HSCEI!$G$34/HSCEI!$B$3,""))</f>
        <v/>
      </c>
      <c r="DC187" s="161">
        <f>IF(AO187="","",IFERROR(AO187*HSCEI!$B$34*HSCEI!$G$34/HSCEI!$B$3,""))</f>
        <v/>
      </c>
      <c r="DD187" s="161">
        <f>IF(AP187="","",IFERROR(AP187*HSCEI!$B$34*HSCEI!$G$34/HSCEI!$B$3,""))</f>
        <v/>
      </c>
      <c r="DE187" s="161">
        <f>IF(AQ187="","",IFERROR(AQ187*HSCEI!$B$34*HSCEI!$G$34/HSCEI!$B$3,""))</f>
        <v/>
      </c>
      <c r="DF187" s="161">
        <f>IF(AR187="","",IFERROR(AR187*HSCEI!$B$34*HSCEI!$G$34/HSCEI!$B$3,""))</f>
        <v/>
      </c>
      <c r="DG187" s="161">
        <f>IF(AS187="","",IFERROR(AS187*HSCEI!$B$34*HSCEI!$G$34/HSCEI!$B$3,""))</f>
        <v/>
      </c>
      <c r="DH187" s="161">
        <f>IF(AT187="","",IFERROR(AT187*HSCEI!$B$34*HSCEI!$G$34/HSCEI!$B$3,""))</f>
        <v/>
      </c>
      <c r="DI187" s="161">
        <f>IF(AU187="","",IFERROR(AU187*HSCEI!$B$34*HSCEI!$G$34/HSCEI!$B$3,""))</f>
        <v/>
      </c>
      <c r="DJ187" s="161">
        <f>IF(AV187="","",IFERROR(AV187*HSCEI!$B$34*HSCEI!$G$34/HSCEI!$B$3,""))</f>
        <v/>
      </c>
      <c r="DK187" s="161">
        <f>IF(AW187="","",IFERROR(AW187*HSCEI!$B$34*HSCEI!$G$34/HSCEI!$B$3,""))</f>
        <v/>
      </c>
      <c r="DL187" s="161">
        <f>IF(AX187="","",IFERROR(AX187*HSCEI!$B$34*HSCEI!$G$34/HSCEI!$B$3,""))</f>
        <v/>
      </c>
      <c r="DM187" s="161">
        <f>IF(AY187="","",IFERROR(AY187*HSCEI!$B$34*HSCEI!$G$34/HSCEI!$B$3,""))</f>
        <v/>
      </c>
      <c r="DN187" s="161">
        <f>IF(AZ187="","",IFERROR(AZ187*HSCEI!$B$34*HSCEI!$G$34/HSCEI!$B$3,""))</f>
        <v/>
      </c>
      <c r="DO187" s="161">
        <f>IF(BA187="","",IFERROR(BA187*HSCEI!$B$34*HSCEI!$G$34/HSCEI!$B$3,""))</f>
        <v/>
      </c>
      <c r="DP187" s="161">
        <f>IF(BB187="","",IFERROR(BB187*HSCEI!$B$34*HSCEI!$G$34/HSCEI!$B$3,""))</f>
        <v/>
      </c>
      <c r="DQ187" s="161">
        <f>IF(BC187="","",IFERROR(BC187*HSCEI!$B$34*HSCEI!$G$34/HSCEI!$B$3,""))</f>
        <v/>
      </c>
      <c r="DR187" s="161">
        <f>IF(BD187="","",IFERROR(BD187*HSCEI!$B$34*HSCEI!$G$34/HSCEI!$B$3,""))</f>
        <v/>
      </c>
      <c r="DS187" s="161">
        <f>IF(BE187="","",IFERROR(BE187*HSCEI!$B$34*HSCEI!$G$34/HSCEI!$B$3,""))</f>
        <v/>
      </c>
      <c r="DT187" s="161">
        <f>IF(BF187="","",IFERROR(BF187*HSCEI!$B$34*HSCEI!$G$34/HSCEI!$B$3,""))</f>
        <v/>
      </c>
      <c r="DU187" s="161">
        <f>IF(BG187="","",IFERROR(BG187*HSCEI!$B$34*HSCEI!$G$34/HSCEI!$B$3,""))</f>
        <v/>
      </c>
      <c r="DV187" s="161">
        <f>IF(BH187="","",IFERROR(BH187*HSCEI!$B$34*HSCEI!$G$34/HSCEI!$B$3,""))</f>
        <v/>
      </c>
      <c r="DW187" s="161">
        <f>IF(BI187="","",IFERROR(BI187*HSCEI!$B$34*HSCEI!$G$34/HSCEI!$B$3,""))</f>
        <v/>
      </c>
      <c r="DX187" s="161">
        <f>IF(BJ187="","",IFERROR(BJ187*HSCEI!$B$34*HSCEI!$G$34/HSCEI!$B$3,""))</f>
        <v/>
      </c>
      <c r="DY187" s="161">
        <f>IF(BK187="","",IFERROR(BK187*HSCEI!$B$34*HSCEI!$G$34/HSCEI!$B$3,""))</f>
        <v/>
      </c>
      <c r="DZ187" s="161">
        <f>IF(BL187="","",IFERROR(BL187*HSCEI!$B$34*HSCEI!$G$34/HSCEI!$B$3,""))</f>
        <v/>
      </c>
      <c r="EA187" s="161">
        <f>IF(BM187="","",IFERROR(BM187*HSCEI!$B$34*HSCEI!$G$34/HSCEI!$B$3,""))</f>
        <v/>
      </c>
      <c r="EB187" s="161">
        <f>IF(BN187="","",IFERROR(BN187*HSCEI!$B$34*HSCEI!$G$34/HSCEI!$B$3,""))</f>
        <v/>
      </c>
      <c r="EC187" s="161">
        <f>IF(BO187="","",IFERROR(BO187*HSCEI!$B$34*HSCEI!$G$34/HSCEI!$B$3,""))</f>
        <v/>
      </c>
      <c r="EE187" s="121">
        <f>IF(N('Dvd Calendar'!$E$1858)=0,"",IF(('Dvd Calendar'!$E$1858&gt;=GRID_FROM)*('Dvd Calendar'!$E$1858&lt;=GRID_TO)*((('Dvd Calendar'!$E$1858&lt;=VAL_DATE)+(COUNTIF('Dvd Calendar'!$E$1865:$AR$1865,'Dvd Calendar'!$E$1858)=0))&gt;0)=0,"",'Dvd Calendar'!$E$1858*1000000000+ISNUMBER('Dvd Calendar'!$E$1861)*100000000+('Dvd Calendar'!$E$1863=SPECIAL_LBL)*10000000+(N('Dvd Calendar'!$E$1857)&gt;0)*(N('Dvd Calendar'!$E$1857)&lt;=VAL_SERIAL)*1000000+28*1000+1))</f>
        <v/>
      </c>
      <c r="EF187" s="121">
        <f>IF(N('Dvd Calendar'!$F$1858)=0,"",IF(('Dvd Calendar'!$F$1858&gt;=GRID_FROM)*('Dvd Calendar'!$F$1858&lt;=GRID_TO)*((('Dvd Calendar'!$F$1858&lt;=VAL_DATE)+(COUNTIF('Dvd Calendar'!$E$1865:$AR$1865,'Dvd Calendar'!$F$1858)=0))&gt;0)=0,"",'Dvd Calendar'!$F$1858*1000000000+ISNUMBER('Dvd Calendar'!$F$1861)*100000000+('Dvd Calendar'!$F$1863=SPECIAL_LBL)*10000000+(N('Dvd Calendar'!$F$1857)&gt;0)*(N('Dvd Calendar'!$F$1857)&lt;=VAL_SERIAL)*1000000+28*1000+2))</f>
        <v/>
      </c>
      <c r="EG187" s="121">
        <f>IF(N('Dvd Calendar'!$G$1858)=0,"",IF(('Dvd Calendar'!$G$1858&gt;=GRID_FROM)*('Dvd Calendar'!$G$1858&lt;=GRID_TO)*((('Dvd Calendar'!$G$1858&lt;=VAL_DATE)+(COUNTIF('Dvd Calendar'!$E$1865:$AR$1865,'Dvd Calendar'!$G$1858)=0))&gt;0)=0,"",'Dvd Calendar'!$G$1858*1000000000+ISNUMBER('Dvd Calendar'!$G$1861)*100000000+('Dvd Calendar'!$G$1863=SPECIAL_LBL)*10000000+(N('Dvd Calendar'!$G$1857)&gt;0)*(N('Dvd Calendar'!$G$1857)&lt;=VAL_SERIAL)*1000000+28*1000+3))</f>
        <v/>
      </c>
      <c r="EH187" s="121">
        <f>IF(N('Dvd Calendar'!$H$1858)=0,"",IF(('Dvd Calendar'!$H$1858&gt;=GRID_FROM)*('Dvd Calendar'!$H$1858&lt;=GRID_TO)*((('Dvd Calendar'!$H$1858&lt;=VAL_DATE)+(COUNTIF('Dvd Calendar'!$E$1865:$AR$1865,'Dvd Calendar'!$H$1858)=0))&gt;0)=0,"",'Dvd Calendar'!$H$1858*1000000000+ISNUMBER('Dvd Calendar'!$H$1861)*100000000+('Dvd Calendar'!$H$1863=SPECIAL_LBL)*10000000+(N('Dvd Calendar'!$H$1857)&gt;0)*(N('Dvd Calendar'!$H$1857)&lt;=VAL_SERIAL)*1000000+28*1000+4))</f>
        <v/>
      </c>
      <c r="EI187" s="121">
        <f>IF(N('Dvd Calendar'!$I$1858)=0,"",IF(('Dvd Calendar'!$I$1858&gt;=GRID_FROM)*('Dvd Calendar'!$I$1858&lt;=GRID_TO)*((('Dvd Calendar'!$I$1858&lt;=VAL_DATE)+(COUNTIF('Dvd Calendar'!$E$1865:$AR$1865,'Dvd Calendar'!$I$1858)=0))&gt;0)=0,"",'Dvd Calendar'!$I$1858*1000000000+ISNUMBER('Dvd Calendar'!$I$1861)*100000000+('Dvd Calendar'!$I$1863=SPECIAL_LBL)*10000000+(N('Dvd Calendar'!$I$1857)&gt;0)*(N('Dvd Calendar'!$I$1857)&lt;=VAL_SERIAL)*1000000+28*1000+5))</f>
        <v/>
      </c>
      <c r="EJ187" s="121">
        <f>IF(N('Dvd Calendar'!$J$1858)=0,"",IF(('Dvd Calendar'!$J$1858&gt;=GRID_FROM)*('Dvd Calendar'!$J$1858&lt;=GRID_TO)*((('Dvd Calendar'!$J$1858&lt;=VAL_DATE)+(COUNTIF('Dvd Calendar'!$E$1865:$AR$1865,'Dvd Calendar'!$J$1858)=0))&gt;0)=0,"",'Dvd Calendar'!$J$1858*1000000000+ISNUMBER('Dvd Calendar'!$J$1861)*100000000+('Dvd Calendar'!$J$1863=SPECIAL_LBL)*10000000+(N('Dvd Calendar'!$J$1857)&gt;0)*(N('Dvd Calendar'!$J$1857)&lt;=VAL_SERIAL)*1000000+28*1000+6))</f>
        <v/>
      </c>
      <c r="EK187" s="121">
        <f>IF(N('Dvd Calendar'!$K$1858)=0,"",IF(('Dvd Calendar'!$K$1858&gt;=GRID_FROM)*('Dvd Calendar'!$K$1858&lt;=GRID_TO)*((('Dvd Calendar'!$K$1858&lt;=VAL_DATE)+(COUNTIF('Dvd Calendar'!$E$1865:$AR$1865,'Dvd Calendar'!$K$1858)=0))&gt;0)=0,"",'Dvd Calendar'!$K$1858*1000000000+ISNUMBER('Dvd Calendar'!$K$1861)*100000000+('Dvd Calendar'!$K$1863=SPECIAL_LBL)*10000000+(N('Dvd Calendar'!$K$1857)&gt;0)*(N('Dvd Calendar'!$K$1857)&lt;=VAL_SERIAL)*1000000+28*1000+7))</f>
        <v/>
      </c>
      <c r="EL187" s="121">
        <f>IF(N('Dvd Calendar'!$L$1858)=0,"",IF(('Dvd Calendar'!$L$1858&gt;=GRID_FROM)*('Dvd Calendar'!$L$1858&lt;=GRID_TO)*((('Dvd Calendar'!$L$1858&lt;=VAL_DATE)+(COUNTIF('Dvd Calendar'!$E$1865:$AR$1865,'Dvd Calendar'!$L$1858)=0))&gt;0)=0,"",'Dvd Calendar'!$L$1858*1000000000+ISNUMBER('Dvd Calendar'!$L$1861)*100000000+('Dvd Calendar'!$L$1863=SPECIAL_LBL)*10000000+(N('Dvd Calendar'!$L$1857)&gt;0)*(N('Dvd Calendar'!$L$1857)&lt;=VAL_SERIAL)*1000000+28*1000+8))</f>
        <v/>
      </c>
      <c r="EM187" s="121">
        <f>IF(N('Dvd Calendar'!$M$1858)=0,"",IF(('Dvd Calendar'!$M$1858&gt;=GRID_FROM)*('Dvd Calendar'!$M$1858&lt;=GRID_TO)*((('Dvd Calendar'!$M$1858&lt;=VAL_DATE)+(COUNTIF('Dvd Calendar'!$E$1865:$AR$1865,'Dvd Calendar'!$M$1858)=0))&gt;0)=0,"",'Dvd Calendar'!$M$1858*1000000000+ISNUMBER('Dvd Calendar'!$M$1861)*100000000+('Dvd Calendar'!$M$1863=SPECIAL_LBL)*10000000+(N('Dvd Calendar'!$M$1857)&gt;0)*(N('Dvd Calendar'!$M$1857)&lt;=VAL_SERIAL)*1000000+28*1000+9))</f>
        <v/>
      </c>
      <c r="EN187" s="121">
        <f>IF(N('Dvd Calendar'!$N$1858)=0,"",IF(('Dvd Calendar'!$N$1858&gt;=GRID_FROM)*('Dvd Calendar'!$N$1858&lt;=GRID_TO)*((('Dvd Calendar'!$N$1858&lt;=VAL_DATE)+(COUNTIF('Dvd Calendar'!$E$1865:$AR$1865,'Dvd Calendar'!$N$1858)=0))&gt;0)=0,"",'Dvd Calendar'!$N$1858*1000000000+ISNUMBER('Dvd Calendar'!$N$1861)*100000000+('Dvd Calendar'!$N$1863=SPECIAL_LBL)*10000000+(N('Dvd Calendar'!$N$1857)&gt;0)*(N('Dvd Calendar'!$N$1857)&lt;=VAL_SERIAL)*1000000+28*1000+10))</f>
        <v/>
      </c>
      <c r="EO187" s="121">
        <f>IF(N('Dvd Calendar'!$O$1858)=0,"",IF(('Dvd Calendar'!$O$1858&gt;=GRID_FROM)*('Dvd Calendar'!$O$1858&lt;=GRID_TO)*((('Dvd Calendar'!$O$1858&lt;=VAL_DATE)+(COUNTIF('Dvd Calendar'!$E$1865:$AR$1865,'Dvd Calendar'!$O$1858)=0))&gt;0)=0,"",'Dvd Calendar'!$O$1858*1000000000+ISNUMBER('Dvd Calendar'!$O$1861)*100000000+('Dvd Calendar'!$O$1863=SPECIAL_LBL)*10000000+(N('Dvd Calendar'!$O$1857)&gt;0)*(N('Dvd Calendar'!$O$1857)&lt;=VAL_SERIAL)*1000000+28*1000+11))</f>
        <v/>
      </c>
      <c r="EP187" s="121">
        <f>IF(N('Dvd Calendar'!$P$1858)=0,"",IF(('Dvd Calendar'!$P$1858&gt;=GRID_FROM)*('Dvd Calendar'!$P$1858&lt;=GRID_TO)*((('Dvd Calendar'!$P$1858&lt;=VAL_DATE)+(COUNTIF('Dvd Calendar'!$E$1865:$AR$1865,'Dvd Calendar'!$P$1858)=0))&gt;0)=0,"",'Dvd Calendar'!$P$1858*1000000000+ISNUMBER('Dvd Calendar'!$P$1861)*100000000+('Dvd Calendar'!$P$1863=SPECIAL_LBL)*10000000+(N('Dvd Calendar'!$P$1857)&gt;0)*(N('Dvd Calendar'!$P$1857)&lt;=VAL_SERIAL)*1000000+28*1000+12))</f>
        <v/>
      </c>
      <c r="EQ187" s="121">
        <f>IF(N('Dvd Calendar'!$Q$1858)=0,"",IF(('Dvd Calendar'!$Q$1858&gt;=GRID_FROM)*('Dvd Calendar'!$Q$1858&lt;=GRID_TO)*((('Dvd Calendar'!$Q$1858&lt;=VAL_DATE)+(COUNTIF('Dvd Calendar'!$E$1865:$AR$1865,'Dvd Calendar'!$Q$1858)=0))&gt;0)=0,"",'Dvd Calendar'!$Q$1858*1000000000+ISNUMBER('Dvd Calendar'!$Q$1861)*100000000+('Dvd Calendar'!$Q$1863=SPECIAL_LBL)*10000000+(N('Dvd Calendar'!$Q$1857)&gt;0)*(N('Dvd Calendar'!$Q$1857)&lt;=VAL_SERIAL)*1000000+28*1000+13))</f>
        <v/>
      </c>
      <c r="ER187" s="121">
        <f>IF(N('Dvd Calendar'!$R$1858)=0,"",IF(('Dvd Calendar'!$R$1858&gt;=GRID_FROM)*('Dvd Calendar'!$R$1858&lt;=GRID_TO)*((('Dvd Calendar'!$R$1858&lt;=VAL_DATE)+(COUNTIF('Dvd Calendar'!$E$1865:$AR$1865,'Dvd Calendar'!$R$1858)=0))&gt;0)=0,"",'Dvd Calendar'!$R$1858*1000000000+ISNUMBER('Dvd Calendar'!$R$1861)*100000000+('Dvd Calendar'!$R$1863=SPECIAL_LBL)*10000000+(N('Dvd Calendar'!$R$1857)&gt;0)*(N('Dvd Calendar'!$R$1857)&lt;=VAL_SERIAL)*1000000+28*1000+14))</f>
        <v/>
      </c>
      <c r="ES187" s="121">
        <f>IF(N('Dvd Calendar'!$S$1858)=0,"",IF(('Dvd Calendar'!$S$1858&gt;=GRID_FROM)*('Dvd Calendar'!$S$1858&lt;=GRID_TO)*((('Dvd Calendar'!$S$1858&lt;=VAL_DATE)+(COUNTIF('Dvd Calendar'!$E$1865:$AR$1865,'Dvd Calendar'!$S$1858)=0))&gt;0)=0,"",'Dvd Calendar'!$S$1858*1000000000+ISNUMBER('Dvd Calendar'!$S$1861)*100000000+('Dvd Calendar'!$S$1863=SPECIAL_LBL)*10000000+(N('Dvd Calendar'!$S$1857)&gt;0)*(N('Dvd Calendar'!$S$1857)&lt;=VAL_SERIAL)*1000000+28*1000+15))</f>
        <v/>
      </c>
      <c r="ET187" s="121">
        <f>IF(N('Dvd Calendar'!$T$1858)=0,"",IF(('Dvd Calendar'!$T$1858&gt;=GRID_FROM)*('Dvd Calendar'!$T$1858&lt;=GRID_TO)*((('Dvd Calendar'!$T$1858&lt;=VAL_DATE)+(COUNTIF('Dvd Calendar'!$E$1865:$AR$1865,'Dvd Calendar'!$T$1858)=0))&gt;0)=0,"",'Dvd Calendar'!$T$1858*1000000000+ISNUMBER('Dvd Calendar'!$T$1861)*100000000+('Dvd Calendar'!$T$1863=SPECIAL_LBL)*10000000+(N('Dvd Calendar'!$T$1857)&gt;0)*(N('Dvd Calendar'!$T$1857)&lt;=VAL_SERIAL)*1000000+28*1000+16))</f>
        <v/>
      </c>
      <c r="EU187" s="121">
        <f>IF(N('Dvd Calendar'!$U$1858)=0,"",IF(('Dvd Calendar'!$U$1858&gt;=GRID_FROM)*('Dvd Calendar'!$U$1858&lt;=GRID_TO)*((('Dvd Calendar'!$U$1858&lt;=VAL_DATE)+(COUNTIF('Dvd Calendar'!$E$1865:$AR$1865,'Dvd Calendar'!$U$1858)=0))&gt;0)=0,"",'Dvd Calendar'!$U$1858*1000000000+ISNUMBER('Dvd Calendar'!$U$1861)*100000000+('Dvd Calendar'!$U$1863=SPECIAL_LBL)*10000000+(N('Dvd Calendar'!$U$1857)&gt;0)*(N('Dvd Calendar'!$U$1857)&lt;=VAL_SERIAL)*1000000+28*1000+17))</f>
        <v/>
      </c>
      <c r="EV187" s="121">
        <f>IF(N('Dvd Calendar'!$V$1858)=0,"",IF(('Dvd Calendar'!$V$1858&gt;=GRID_FROM)*('Dvd Calendar'!$V$1858&lt;=GRID_TO)*((('Dvd Calendar'!$V$1858&lt;=VAL_DATE)+(COUNTIF('Dvd Calendar'!$E$1865:$AR$1865,'Dvd Calendar'!$V$1858)=0))&gt;0)=0,"",'Dvd Calendar'!$V$1858*1000000000+ISNUMBER('Dvd Calendar'!$V$1861)*100000000+('Dvd Calendar'!$V$1863=SPECIAL_LBL)*10000000+(N('Dvd Calendar'!$V$1857)&gt;0)*(N('Dvd Calendar'!$V$1857)&lt;=VAL_SERIAL)*1000000+28*1000+18))</f>
        <v/>
      </c>
      <c r="EW187" s="121">
        <f>IF(N('Dvd Calendar'!$W$1858)=0,"",IF(('Dvd Calendar'!$W$1858&gt;=GRID_FROM)*('Dvd Calendar'!$W$1858&lt;=GRID_TO)*((('Dvd Calendar'!$W$1858&lt;=VAL_DATE)+(COUNTIF('Dvd Calendar'!$E$1865:$AR$1865,'Dvd Calendar'!$W$1858)=0))&gt;0)=0,"",'Dvd Calendar'!$W$1858*1000000000+ISNUMBER('Dvd Calendar'!$W$1861)*100000000+('Dvd Calendar'!$W$1863=SPECIAL_LBL)*10000000+(N('Dvd Calendar'!$W$1857)&gt;0)*(N('Dvd Calendar'!$W$1857)&lt;=VAL_SERIAL)*1000000+28*1000+19))</f>
        <v/>
      </c>
      <c r="EX187" s="121">
        <f>IF(N('Dvd Calendar'!$X$1858)=0,"",IF(('Dvd Calendar'!$X$1858&gt;=GRID_FROM)*('Dvd Calendar'!$X$1858&lt;=GRID_TO)*((('Dvd Calendar'!$X$1858&lt;=VAL_DATE)+(COUNTIF('Dvd Calendar'!$E$1865:$AR$1865,'Dvd Calendar'!$X$1858)=0))&gt;0)=0,"",'Dvd Calendar'!$X$1858*1000000000+ISNUMBER('Dvd Calendar'!$X$1861)*100000000+('Dvd Calendar'!$X$1863=SPECIAL_LBL)*10000000+(N('Dvd Calendar'!$X$1857)&gt;0)*(N('Dvd Calendar'!$X$1857)&lt;=VAL_SERIAL)*1000000+28*1000+20))</f>
        <v/>
      </c>
      <c r="EY187" s="121">
        <f>IF(N('Dvd Calendar'!$Y$1858)=0,"",IF(('Dvd Calendar'!$Y$1858&gt;=GRID_FROM)*('Dvd Calendar'!$Y$1858&lt;=GRID_TO)*((('Dvd Calendar'!$Y$1858&lt;=VAL_DATE)+(COUNTIF('Dvd Calendar'!$E$1865:$AR$1865,'Dvd Calendar'!$Y$1858)=0))&gt;0)=0,"",'Dvd Calendar'!$Y$1858*1000000000+ISNUMBER('Dvd Calendar'!$Y$1861)*100000000+('Dvd Calendar'!$Y$1863=SPECIAL_LBL)*10000000+(N('Dvd Calendar'!$Y$1857)&gt;0)*(N('Dvd Calendar'!$Y$1857)&lt;=VAL_SERIAL)*1000000+28*1000+21))</f>
        <v/>
      </c>
      <c r="EZ187" s="121">
        <f>IF(N('Dvd Calendar'!$Z$1858)=0,"",IF(('Dvd Calendar'!$Z$1858&gt;=GRID_FROM)*('Dvd Calendar'!$Z$1858&lt;=GRID_TO)*((('Dvd Calendar'!$Z$1858&lt;=VAL_DATE)+(COUNTIF('Dvd Calendar'!$E$1865:$AR$1865,'Dvd Calendar'!$Z$1858)=0))&gt;0)=0,"",'Dvd Calendar'!$Z$1858*1000000000+ISNUMBER('Dvd Calendar'!$Z$1861)*100000000+('Dvd Calendar'!$Z$1863=SPECIAL_LBL)*10000000+(N('Dvd Calendar'!$Z$1857)&gt;0)*(N('Dvd Calendar'!$Z$1857)&lt;=VAL_SERIAL)*1000000+28*1000+22))</f>
        <v/>
      </c>
      <c r="FA187" s="121">
        <f>IF(N('Dvd Calendar'!$AA$1858)=0,"",IF(('Dvd Calendar'!$AA$1858&gt;=GRID_FROM)*('Dvd Calendar'!$AA$1858&lt;=GRID_TO)*((('Dvd Calendar'!$AA$1858&lt;=VAL_DATE)+(COUNTIF('Dvd Calendar'!$E$1865:$AR$1865,'Dvd Calendar'!$AA$1858)=0))&gt;0)=0,"",'Dvd Calendar'!$AA$1858*1000000000+ISNUMBER('Dvd Calendar'!$AA$1861)*100000000+('Dvd Calendar'!$AA$1863=SPECIAL_LBL)*10000000+(N('Dvd Calendar'!$AA$1857)&gt;0)*(N('Dvd Calendar'!$AA$1857)&lt;=VAL_SERIAL)*1000000+28*1000+23))</f>
        <v/>
      </c>
      <c r="FB187" s="121">
        <f>IF(N('Dvd Calendar'!$AB$1858)=0,"",IF(('Dvd Calendar'!$AB$1858&gt;=GRID_FROM)*('Dvd Calendar'!$AB$1858&lt;=GRID_TO)*((('Dvd Calendar'!$AB$1858&lt;=VAL_DATE)+(COUNTIF('Dvd Calendar'!$E$1865:$AR$1865,'Dvd Calendar'!$AB$1858)=0))&gt;0)=0,"",'Dvd Calendar'!$AB$1858*1000000000+ISNUMBER('Dvd Calendar'!$AB$1861)*100000000+('Dvd Calendar'!$AB$1863=SPECIAL_LBL)*10000000+(N('Dvd Calendar'!$AB$1857)&gt;0)*(N('Dvd Calendar'!$AB$1857)&lt;=VAL_SERIAL)*1000000+28*1000+24))</f>
        <v/>
      </c>
      <c r="FC187" s="121">
        <f>IF(N('Dvd Calendar'!$AC$1858)=0,"",IF(('Dvd Calendar'!$AC$1858&gt;=GRID_FROM)*('Dvd Calendar'!$AC$1858&lt;=GRID_TO)*((('Dvd Calendar'!$AC$1858&lt;=VAL_DATE)+(COUNTIF('Dvd Calendar'!$E$1865:$AR$1865,'Dvd Calendar'!$AC$1858)=0))&gt;0)=0,"",'Dvd Calendar'!$AC$1858*1000000000+ISNUMBER('Dvd Calendar'!$AC$1861)*100000000+('Dvd Calendar'!$AC$1863=SPECIAL_LBL)*10000000+(N('Dvd Calendar'!$AC$1857)&gt;0)*(N('Dvd Calendar'!$AC$1857)&lt;=VAL_SERIAL)*1000000+28*1000+25))</f>
        <v/>
      </c>
      <c r="FD187" s="121">
        <f>IF(N('Dvd Calendar'!$AD$1858)=0,"",IF(('Dvd Calendar'!$AD$1858&gt;=GRID_FROM)*('Dvd Calendar'!$AD$1858&lt;=GRID_TO)*((('Dvd Calendar'!$AD$1858&lt;=VAL_DATE)+(COUNTIF('Dvd Calendar'!$E$1865:$AR$1865,'Dvd Calendar'!$AD$1858)=0))&gt;0)=0,"",'Dvd Calendar'!$AD$1858*1000000000+ISNUMBER('Dvd Calendar'!$AD$1861)*100000000+('Dvd Calendar'!$AD$1863=SPECIAL_LBL)*10000000+(N('Dvd Calendar'!$AD$1857)&gt;0)*(N('Dvd Calendar'!$AD$1857)&lt;=VAL_SERIAL)*1000000+28*1000+26))</f>
        <v/>
      </c>
      <c r="FE187" s="121">
        <f>IF(N('Dvd Calendar'!$AE$1858)=0,"",IF(('Dvd Calendar'!$AE$1858&gt;=GRID_FROM)*('Dvd Calendar'!$AE$1858&lt;=GRID_TO)*((('Dvd Calendar'!$AE$1858&lt;=VAL_DATE)+(COUNTIF('Dvd Calendar'!$E$1865:$AR$1865,'Dvd Calendar'!$AE$1858)=0))&gt;0)=0,"",'Dvd Calendar'!$AE$1858*1000000000+ISNUMBER('Dvd Calendar'!$AE$1861)*100000000+('Dvd Calendar'!$AE$1863=SPECIAL_LBL)*10000000+(N('Dvd Calendar'!$AE$1857)&gt;0)*(N('Dvd Calendar'!$AE$1857)&lt;=VAL_SERIAL)*1000000+28*1000+27))</f>
        <v/>
      </c>
      <c r="FF187" s="121">
        <f>IF(N('Dvd Calendar'!$AF$1858)=0,"",IF(('Dvd Calendar'!$AF$1858&gt;=GRID_FROM)*('Dvd Calendar'!$AF$1858&lt;=GRID_TO)*((('Dvd Calendar'!$AF$1858&lt;=VAL_DATE)+(COUNTIF('Dvd Calendar'!$E$1865:$AR$1865,'Dvd Calendar'!$AF$1858)=0))&gt;0)=0,"",'Dvd Calendar'!$AF$1858*1000000000+ISNUMBER('Dvd Calendar'!$AF$1861)*100000000+('Dvd Calendar'!$AF$1863=SPECIAL_LBL)*10000000+(N('Dvd Calendar'!$AF$1857)&gt;0)*(N('Dvd Calendar'!$AF$1857)&lt;=VAL_SERIAL)*1000000+28*1000+28))</f>
        <v/>
      </c>
      <c r="FG187" s="121">
        <f>IF(N('Dvd Calendar'!$AG$1858)=0,"",IF(('Dvd Calendar'!$AG$1858&gt;=GRID_FROM)*('Dvd Calendar'!$AG$1858&lt;=GRID_TO)*((('Dvd Calendar'!$AG$1858&lt;=VAL_DATE)+(COUNTIF('Dvd Calendar'!$E$1865:$AR$1865,'Dvd Calendar'!$AG$1858)=0))&gt;0)=0,"",'Dvd Calendar'!$AG$1858*1000000000+ISNUMBER('Dvd Calendar'!$AG$1861)*100000000+('Dvd Calendar'!$AG$1863=SPECIAL_LBL)*10000000+(N('Dvd Calendar'!$AG$1857)&gt;0)*(N('Dvd Calendar'!$AG$1857)&lt;=VAL_SERIAL)*1000000+28*1000+29))</f>
        <v/>
      </c>
      <c r="FH187" s="121">
        <f>IF(N('Dvd Calendar'!$AH$1858)=0,"",IF(('Dvd Calendar'!$AH$1858&gt;=GRID_FROM)*('Dvd Calendar'!$AH$1858&lt;=GRID_TO)*((('Dvd Calendar'!$AH$1858&lt;=VAL_DATE)+(COUNTIF('Dvd Calendar'!$E$1865:$AR$1865,'Dvd Calendar'!$AH$1858)=0))&gt;0)=0,"",'Dvd Calendar'!$AH$1858*1000000000+ISNUMBER('Dvd Calendar'!$AH$1861)*100000000+('Dvd Calendar'!$AH$1863=SPECIAL_LBL)*10000000+(N('Dvd Calendar'!$AH$1857)&gt;0)*(N('Dvd Calendar'!$AH$1857)&lt;=VAL_SERIAL)*1000000+28*1000+30))</f>
        <v/>
      </c>
      <c r="FI187" s="121">
        <f>IF(N('Dvd Calendar'!$AI$1858)=0,"",IF(('Dvd Calendar'!$AI$1858&gt;=GRID_FROM)*('Dvd Calendar'!$AI$1858&lt;=GRID_TO)*((('Dvd Calendar'!$AI$1858&lt;=VAL_DATE)+(COUNTIF('Dvd Calendar'!$E$1865:$AR$1865,'Dvd Calendar'!$AI$1858)=0))&gt;0)=0,"",'Dvd Calendar'!$AI$1858*1000000000+ISNUMBER('Dvd Calendar'!$AI$1861)*100000000+('Dvd Calendar'!$AI$1863=SPECIAL_LBL)*10000000+(N('Dvd Calendar'!$AI$1857)&gt;0)*(N('Dvd Calendar'!$AI$1857)&lt;=VAL_SERIAL)*1000000+28*1000+31))</f>
        <v/>
      </c>
      <c r="FJ187" s="121">
        <f>IF(N('Dvd Calendar'!$AJ$1858)=0,"",IF(('Dvd Calendar'!$AJ$1858&gt;=GRID_FROM)*('Dvd Calendar'!$AJ$1858&lt;=GRID_TO)*((('Dvd Calendar'!$AJ$1858&lt;=VAL_DATE)+(COUNTIF('Dvd Calendar'!$E$1865:$AR$1865,'Dvd Calendar'!$AJ$1858)=0))&gt;0)=0,"",'Dvd Calendar'!$AJ$1858*1000000000+ISNUMBER('Dvd Calendar'!$AJ$1861)*100000000+('Dvd Calendar'!$AJ$1863=SPECIAL_LBL)*10000000+(N('Dvd Calendar'!$AJ$1857)&gt;0)*(N('Dvd Calendar'!$AJ$1857)&lt;=VAL_SERIAL)*1000000+28*1000+32))</f>
        <v/>
      </c>
      <c r="FK187" s="121">
        <f>IF(N('Dvd Calendar'!$AK$1858)=0,"",IF(('Dvd Calendar'!$AK$1858&gt;=GRID_FROM)*('Dvd Calendar'!$AK$1858&lt;=GRID_TO)*((('Dvd Calendar'!$AK$1858&lt;=VAL_DATE)+(COUNTIF('Dvd Calendar'!$E$1865:$AR$1865,'Dvd Calendar'!$AK$1858)=0))&gt;0)=0,"",'Dvd Calendar'!$AK$1858*1000000000+ISNUMBER('Dvd Calendar'!$AK$1861)*100000000+('Dvd Calendar'!$AK$1863=SPECIAL_LBL)*10000000+(N('Dvd Calendar'!$AK$1857)&gt;0)*(N('Dvd Calendar'!$AK$1857)&lt;=VAL_SERIAL)*1000000+28*1000+33))</f>
        <v/>
      </c>
      <c r="FL187" s="121">
        <f>IF(N('Dvd Calendar'!$AL$1858)=0,"",IF(('Dvd Calendar'!$AL$1858&gt;=GRID_FROM)*('Dvd Calendar'!$AL$1858&lt;=GRID_TO)*((('Dvd Calendar'!$AL$1858&lt;=VAL_DATE)+(COUNTIF('Dvd Calendar'!$E$1865:$AR$1865,'Dvd Calendar'!$AL$1858)=0))&gt;0)=0,"",'Dvd Calendar'!$AL$1858*1000000000+ISNUMBER('Dvd Calendar'!$AL$1861)*100000000+('Dvd Calendar'!$AL$1863=SPECIAL_LBL)*10000000+(N('Dvd Calendar'!$AL$1857)&gt;0)*(N('Dvd Calendar'!$AL$1857)&lt;=VAL_SERIAL)*1000000+28*1000+34))</f>
        <v/>
      </c>
      <c r="FM187" s="121">
        <f>IF(N('Dvd Calendar'!$AM$1858)=0,"",IF(('Dvd Calendar'!$AM$1858&gt;=GRID_FROM)*('Dvd Calendar'!$AM$1858&lt;=GRID_TO)*((('Dvd Calendar'!$AM$1858&lt;=VAL_DATE)+(COUNTIF('Dvd Calendar'!$E$1865:$AR$1865,'Dvd Calendar'!$AM$1858)=0))&gt;0)=0,"",'Dvd Calendar'!$AM$1858*1000000000+ISNUMBER('Dvd Calendar'!$AM$1861)*100000000+('Dvd Calendar'!$AM$1863=SPECIAL_LBL)*10000000+(N('Dvd Calendar'!$AM$1857)&gt;0)*(N('Dvd Calendar'!$AM$1857)&lt;=VAL_SERIAL)*1000000+28*1000+35))</f>
        <v/>
      </c>
      <c r="FN187" s="121">
        <f>IF(N('Dvd Calendar'!$AN$1858)=0,"",IF(('Dvd Calendar'!$AN$1858&gt;=GRID_FROM)*('Dvd Calendar'!$AN$1858&lt;=GRID_TO)*((('Dvd Calendar'!$AN$1858&lt;=VAL_DATE)+(COUNTIF('Dvd Calendar'!$E$1865:$AR$1865,'Dvd Calendar'!$AN$1858)=0))&gt;0)=0,"",'Dvd Calendar'!$AN$1858*1000000000+ISNUMBER('Dvd Calendar'!$AN$1861)*100000000+('Dvd Calendar'!$AN$1863=SPECIAL_LBL)*10000000+(N('Dvd Calendar'!$AN$1857)&gt;0)*(N('Dvd Calendar'!$AN$1857)&lt;=VAL_SERIAL)*1000000+28*1000+36))</f>
        <v/>
      </c>
      <c r="FO187" s="121">
        <f>IF(N('Dvd Calendar'!$AO$1858)=0,"",IF(('Dvd Calendar'!$AO$1858&gt;=GRID_FROM)*('Dvd Calendar'!$AO$1858&lt;=GRID_TO)*((('Dvd Calendar'!$AO$1858&lt;=VAL_DATE)+(COUNTIF('Dvd Calendar'!$E$1865:$AR$1865,'Dvd Calendar'!$AO$1858)=0))&gt;0)=0,"",'Dvd Calendar'!$AO$1858*1000000000+ISNUMBER('Dvd Calendar'!$AO$1861)*100000000+('Dvd Calendar'!$AO$1863=SPECIAL_LBL)*10000000+(N('Dvd Calendar'!$AO$1857)&gt;0)*(N('Dvd Calendar'!$AO$1857)&lt;=VAL_SERIAL)*1000000+28*1000+37))</f>
        <v/>
      </c>
      <c r="FP187" s="121">
        <f>IF(N('Dvd Calendar'!$AP$1858)=0,"",IF(('Dvd Calendar'!$AP$1858&gt;=GRID_FROM)*('Dvd Calendar'!$AP$1858&lt;=GRID_TO)*((('Dvd Calendar'!$AP$1858&lt;=VAL_DATE)+(COUNTIF('Dvd Calendar'!$E$1865:$AR$1865,'Dvd Calendar'!$AP$1858)=0))&gt;0)=0,"",'Dvd Calendar'!$AP$1858*1000000000+ISNUMBER('Dvd Calendar'!$AP$1861)*100000000+('Dvd Calendar'!$AP$1863=SPECIAL_LBL)*10000000+(N('Dvd Calendar'!$AP$1857)&gt;0)*(N('Dvd Calendar'!$AP$1857)&lt;=VAL_SERIAL)*1000000+28*1000+38))</f>
        <v/>
      </c>
      <c r="FQ187" s="121">
        <f>IF(N('Dvd Calendar'!$AQ$1858)=0,"",IF(('Dvd Calendar'!$AQ$1858&gt;=GRID_FROM)*('Dvd Calendar'!$AQ$1858&lt;=GRID_TO)*((('Dvd Calendar'!$AQ$1858&lt;=VAL_DATE)+(COUNTIF('Dvd Calendar'!$E$1865:$AR$1865,'Dvd Calendar'!$AQ$1858)=0))&gt;0)=0,"",'Dvd Calendar'!$AQ$1858*1000000000+ISNUMBER('Dvd Calendar'!$AQ$1861)*100000000+('Dvd Calendar'!$AQ$1863=SPECIAL_LBL)*10000000+(N('Dvd Calendar'!$AQ$1857)&gt;0)*(N('Dvd Calendar'!$AQ$1857)&lt;=VAL_SERIAL)*1000000+28*1000+39))</f>
        <v/>
      </c>
      <c r="FR187" s="121">
        <f>IF(N('Dvd Calendar'!$AR$1858)=0,"",IF(('Dvd Calendar'!$AR$1858&gt;=GRID_FROM)*('Dvd Calendar'!$AR$1858&lt;=GRID_TO)*((('Dvd Calendar'!$AR$1858&lt;=VAL_DATE)+(COUNTIF('Dvd Calendar'!$E$1865:$AR$1865,'Dvd Calendar'!$AR$1858)=0))&gt;0)=0,"",'Dvd Calendar'!$AR$1858*1000000000+ISNUMBER('Dvd Calendar'!$AR$1861)*100000000+('Dvd Calendar'!$AR$1863=SPECIAL_LBL)*10000000+(N('Dvd Calendar'!$AR$1857)&gt;0)*(N('Dvd Calendar'!$AR$1857)&lt;=VAL_SERIAL)*1000000+28*1000+40))</f>
        <v/>
      </c>
      <c r="FS187" s="121">
        <f>IF(N('Dvd Calendar'!$E$1865)=0,"",IF(('Dvd Calendar'!$E$1865&gt;=GRID_FROM)*('Dvd Calendar'!$E$1865&lt;=GRID_TO)*('Dvd Calendar'!$E$1865&gt;VAL_DATE)=0,"",'Dvd Calendar'!$E$1865*1000000000+ISNUMBER('Dvd Calendar'!$E$1866)*100000000+0*10000000+(N('Dvd Calendar'!$E$1864)&gt;0)*(N('Dvd Calendar'!$E$1864)&lt;=VAL_SERIAL)*1000000+28*1000+41))</f>
        <v/>
      </c>
      <c r="FT187" s="121">
        <f>IF(N('Dvd Calendar'!$F$1865)=0,"",IF(('Dvd Calendar'!$F$1865&gt;=GRID_FROM)*('Dvd Calendar'!$F$1865&lt;=GRID_TO)*('Dvd Calendar'!$F$1865&gt;VAL_DATE)=0,"",'Dvd Calendar'!$F$1865*1000000000+ISNUMBER('Dvd Calendar'!$F$1866)*100000000+0*10000000+(N('Dvd Calendar'!$F$1864)&gt;0)*(N('Dvd Calendar'!$F$1864)&lt;=VAL_SERIAL)*1000000+28*1000+42))</f>
        <v/>
      </c>
      <c r="FU187" s="121">
        <f>IF(N('Dvd Calendar'!$G$1865)=0,"",IF(('Dvd Calendar'!$G$1865&gt;=GRID_FROM)*('Dvd Calendar'!$G$1865&lt;=GRID_TO)*('Dvd Calendar'!$G$1865&gt;VAL_DATE)=0,"",'Dvd Calendar'!$G$1865*1000000000+ISNUMBER('Dvd Calendar'!$G$1866)*100000000+0*10000000+(N('Dvd Calendar'!$G$1864)&gt;0)*(N('Dvd Calendar'!$G$1864)&lt;=VAL_SERIAL)*1000000+28*1000+43))</f>
        <v/>
      </c>
      <c r="FV187" s="121">
        <f>IF(N('Dvd Calendar'!$H$1865)=0,"",IF(('Dvd Calendar'!$H$1865&gt;=GRID_FROM)*('Dvd Calendar'!$H$1865&lt;=GRID_TO)*('Dvd Calendar'!$H$1865&gt;VAL_DATE)=0,"",'Dvd Calendar'!$H$1865*1000000000+ISNUMBER('Dvd Calendar'!$H$1866)*100000000+0*10000000+(N('Dvd Calendar'!$H$1864)&gt;0)*(N('Dvd Calendar'!$H$1864)&lt;=VAL_SERIAL)*1000000+28*1000+44))</f>
        <v/>
      </c>
      <c r="FW187" s="121">
        <f>IF(N('Dvd Calendar'!$I$1865)=0,"",IF(('Dvd Calendar'!$I$1865&gt;=GRID_FROM)*('Dvd Calendar'!$I$1865&lt;=GRID_TO)*('Dvd Calendar'!$I$1865&gt;VAL_DATE)=0,"",'Dvd Calendar'!$I$1865*1000000000+ISNUMBER('Dvd Calendar'!$I$1866)*100000000+0*10000000+(N('Dvd Calendar'!$I$1864)&gt;0)*(N('Dvd Calendar'!$I$1864)&lt;=VAL_SERIAL)*1000000+28*1000+45))</f>
        <v/>
      </c>
      <c r="FX187" s="121">
        <f>IF(N('Dvd Calendar'!$J$1865)=0,"",IF(('Dvd Calendar'!$J$1865&gt;=GRID_FROM)*('Dvd Calendar'!$J$1865&lt;=GRID_TO)*('Dvd Calendar'!$J$1865&gt;VAL_DATE)=0,"",'Dvd Calendar'!$J$1865*1000000000+ISNUMBER('Dvd Calendar'!$J$1866)*100000000+0*10000000+(N('Dvd Calendar'!$J$1864)&gt;0)*(N('Dvd Calendar'!$J$1864)&lt;=VAL_SERIAL)*1000000+28*1000+46))</f>
        <v/>
      </c>
      <c r="FY187" s="121">
        <f>IF(N('Dvd Calendar'!$K$1865)=0,"",IF(('Dvd Calendar'!$K$1865&gt;=GRID_FROM)*('Dvd Calendar'!$K$1865&lt;=GRID_TO)*('Dvd Calendar'!$K$1865&gt;VAL_DATE)=0,"",'Dvd Calendar'!$K$1865*1000000000+ISNUMBER('Dvd Calendar'!$K$1866)*100000000+0*10000000+(N('Dvd Calendar'!$K$1864)&gt;0)*(N('Dvd Calendar'!$K$1864)&lt;=VAL_SERIAL)*1000000+28*1000+47))</f>
        <v/>
      </c>
      <c r="FZ187" s="121">
        <f>IF(N('Dvd Calendar'!$L$1865)=0,"",IF(('Dvd Calendar'!$L$1865&gt;=GRID_FROM)*('Dvd Calendar'!$L$1865&lt;=GRID_TO)*('Dvd Calendar'!$L$1865&gt;VAL_DATE)=0,"",'Dvd Calendar'!$L$1865*1000000000+ISNUMBER('Dvd Calendar'!$L$1866)*100000000+0*10000000+(N('Dvd Calendar'!$L$1864)&gt;0)*(N('Dvd Calendar'!$L$1864)&lt;=VAL_SERIAL)*1000000+28*1000+48))</f>
        <v/>
      </c>
      <c r="GA187" s="121">
        <f>IF(N('Dvd Calendar'!$M$1865)=0,"",IF(('Dvd Calendar'!$M$1865&gt;=GRID_FROM)*('Dvd Calendar'!$M$1865&lt;=GRID_TO)*('Dvd Calendar'!$M$1865&gt;VAL_DATE)=0,"",'Dvd Calendar'!$M$1865*1000000000+ISNUMBER('Dvd Calendar'!$M$1866)*100000000+0*10000000+(N('Dvd Calendar'!$M$1864)&gt;0)*(N('Dvd Calendar'!$M$1864)&lt;=VAL_SERIAL)*1000000+28*1000+49))</f>
        <v/>
      </c>
      <c r="GB187" s="121">
        <f>IF(N('Dvd Calendar'!$N$1865)=0,"",IF(('Dvd Calendar'!$N$1865&gt;=GRID_FROM)*('Dvd Calendar'!$N$1865&lt;=GRID_TO)*('Dvd Calendar'!$N$1865&gt;VAL_DATE)=0,"",'Dvd Calendar'!$N$1865*1000000000+ISNUMBER('Dvd Calendar'!$N$1866)*100000000+0*10000000+(N('Dvd Calendar'!$N$1864)&gt;0)*(N('Dvd Calendar'!$N$1864)&lt;=VAL_SERIAL)*1000000+28*1000+50))</f>
        <v/>
      </c>
      <c r="GC187" s="121">
        <f>IF(N('Dvd Calendar'!$O$1865)=0,"",IF(('Dvd Calendar'!$O$1865&gt;=GRID_FROM)*('Dvd Calendar'!$O$1865&lt;=GRID_TO)*('Dvd Calendar'!$O$1865&gt;VAL_DATE)=0,"",'Dvd Calendar'!$O$1865*1000000000+ISNUMBER('Dvd Calendar'!$O$1866)*100000000+0*10000000+(N('Dvd Calendar'!$O$1864)&gt;0)*(N('Dvd Calendar'!$O$1864)&lt;=VAL_SERIAL)*1000000+28*1000+51))</f>
        <v/>
      </c>
      <c r="GD187" s="121">
        <f>IF(N('Dvd Calendar'!$P$1865)=0,"",IF(('Dvd Calendar'!$P$1865&gt;=GRID_FROM)*('Dvd Calendar'!$P$1865&lt;=GRID_TO)*('Dvd Calendar'!$P$1865&gt;VAL_DATE)=0,"",'Dvd Calendar'!$P$1865*1000000000+ISNUMBER('Dvd Calendar'!$P$1866)*100000000+0*10000000+(N('Dvd Calendar'!$P$1864)&gt;0)*(N('Dvd Calendar'!$P$1864)&lt;=VAL_SERIAL)*1000000+28*1000+52))</f>
        <v/>
      </c>
      <c r="GE187" s="121">
        <f>IF(N('Dvd Calendar'!$Q$1865)=0,"",IF(('Dvd Calendar'!$Q$1865&gt;=GRID_FROM)*('Dvd Calendar'!$Q$1865&lt;=GRID_TO)*('Dvd Calendar'!$Q$1865&gt;VAL_DATE)=0,"",'Dvd Calendar'!$Q$1865*1000000000+ISNUMBER('Dvd Calendar'!$Q$1866)*100000000+0*10000000+(N('Dvd Calendar'!$Q$1864)&gt;0)*(N('Dvd Calendar'!$Q$1864)&lt;=VAL_SERIAL)*1000000+28*1000+53))</f>
        <v/>
      </c>
      <c r="GF187" s="121">
        <f>IF(N('Dvd Calendar'!$R$1865)=0,"",IF(('Dvd Calendar'!$R$1865&gt;=GRID_FROM)*('Dvd Calendar'!$R$1865&lt;=GRID_TO)*('Dvd Calendar'!$R$1865&gt;VAL_DATE)=0,"",'Dvd Calendar'!$R$1865*1000000000+ISNUMBER('Dvd Calendar'!$R$1866)*100000000+0*10000000+(N('Dvd Calendar'!$R$1864)&gt;0)*(N('Dvd Calendar'!$R$1864)&lt;=VAL_SERIAL)*1000000+28*1000+54))</f>
        <v/>
      </c>
      <c r="GG187" s="121">
        <f>IF(N('Dvd Calendar'!$S$1865)=0,"",IF(('Dvd Calendar'!$S$1865&gt;=GRID_FROM)*('Dvd Calendar'!$S$1865&lt;=GRID_TO)*('Dvd Calendar'!$S$1865&gt;VAL_DATE)=0,"",'Dvd Calendar'!$S$1865*1000000000+ISNUMBER('Dvd Calendar'!$S$1866)*100000000+0*10000000+(N('Dvd Calendar'!$S$1864)&gt;0)*(N('Dvd Calendar'!$S$1864)&lt;=VAL_SERIAL)*1000000+28*1000+55))</f>
        <v/>
      </c>
      <c r="GH187" s="121">
        <f>IF(N('Dvd Calendar'!$T$1865)=0,"",IF(('Dvd Calendar'!$T$1865&gt;=GRID_FROM)*('Dvd Calendar'!$T$1865&lt;=GRID_TO)*('Dvd Calendar'!$T$1865&gt;VAL_DATE)=0,"",'Dvd Calendar'!$T$1865*1000000000+ISNUMBER('Dvd Calendar'!$T$1866)*100000000+0*10000000+(N('Dvd Calendar'!$T$1864)&gt;0)*(N('Dvd Calendar'!$T$1864)&lt;=VAL_SERIAL)*1000000+28*1000+56))</f>
        <v/>
      </c>
      <c r="GI187" s="121">
        <f>IF(N('Dvd Calendar'!$U$1865)=0,"",IF(('Dvd Calendar'!$U$1865&gt;=GRID_FROM)*('Dvd Calendar'!$U$1865&lt;=GRID_TO)*('Dvd Calendar'!$U$1865&gt;VAL_DATE)=0,"",'Dvd Calendar'!$U$1865*1000000000+ISNUMBER('Dvd Calendar'!$U$1866)*100000000+0*10000000+(N('Dvd Calendar'!$U$1864)&gt;0)*(N('Dvd Calendar'!$U$1864)&lt;=VAL_SERIAL)*1000000+28*1000+57))</f>
        <v/>
      </c>
      <c r="GJ187" s="121">
        <f>IF(N('Dvd Calendar'!$V$1865)=0,"",IF(('Dvd Calendar'!$V$1865&gt;=GRID_FROM)*('Dvd Calendar'!$V$1865&lt;=GRID_TO)*('Dvd Calendar'!$V$1865&gt;VAL_DATE)=0,"",'Dvd Calendar'!$V$1865*1000000000+ISNUMBER('Dvd Calendar'!$V$1866)*100000000+0*10000000+(N('Dvd Calendar'!$V$1864)&gt;0)*(N('Dvd Calendar'!$V$1864)&lt;=VAL_SERIAL)*1000000+28*1000+58))</f>
        <v/>
      </c>
      <c r="GK187" s="121">
        <f>IF(N('Dvd Calendar'!$W$1865)=0,"",IF(('Dvd Calendar'!$W$1865&gt;=GRID_FROM)*('Dvd Calendar'!$W$1865&lt;=GRID_TO)*('Dvd Calendar'!$W$1865&gt;VAL_DATE)=0,"",'Dvd Calendar'!$W$1865*1000000000+ISNUMBER('Dvd Calendar'!$W$1866)*100000000+0*10000000+(N('Dvd Calendar'!$W$1864)&gt;0)*(N('Dvd Calendar'!$W$1864)&lt;=VAL_SERIAL)*1000000+28*1000+59))</f>
        <v/>
      </c>
      <c r="GL187" s="121">
        <f>IF(N('Dvd Calendar'!$X$1865)=0,"",IF(('Dvd Calendar'!$X$1865&gt;=GRID_FROM)*('Dvd Calendar'!$X$1865&lt;=GRID_TO)*('Dvd Calendar'!$X$1865&gt;VAL_DATE)=0,"",'Dvd Calendar'!$X$1865*1000000000+ISNUMBER('Dvd Calendar'!$X$1866)*100000000+0*10000000+(N('Dvd Calendar'!$X$1864)&gt;0)*(N('Dvd Calendar'!$X$1864)&lt;=VAL_SERIAL)*1000000+28*1000+60))</f>
        <v/>
      </c>
      <c r="GM187" s="121">
        <f>IF(N('Dvd Calendar'!$Y$1865)=0,"",IF(('Dvd Calendar'!$Y$1865&gt;=GRID_FROM)*('Dvd Calendar'!$Y$1865&lt;=GRID_TO)*('Dvd Calendar'!$Y$1865&gt;VAL_DATE)=0,"",'Dvd Calendar'!$Y$1865*1000000000+ISNUMBER('Dvd Calendar'!$Y$1866)*100000000+0*10000000+(N('Dvd Calendar'!$Y$1864)&gt;0)*(N('Dvd Calendar'!$Y$1864)&lt;=VAL_SERIAL)*1000000+28*1000+61))</f>
        <v/>
      </c>
      <c r="GN187" s="121">
        <f>IF(N('Dvd Calendar'!$Z$1865)=0,"",IF(('Dvd Calendar'!$Z$1865&gt;=GRID_FROM)*('Dvd Calendar'!$Z$1865&lt;=GRID_TO)*('Dvd Calendar'!$Z$1865&gt;VAL_DATE)=0,"",'Dvd Calendar'!$Z$1865*1000000000+ISNUMBER('Dvd Calendar'!$Z$1866)*100000000+0*10000000+(N('Dvd Calendar'!$Z$1864)&gt;0)*(N('Dvd Calendar'!$Z$1864)&lt;=VAL_SERIAL)*1000000+28*1000+62))</f>
        <v/>
      </c>
      <c r="GO187" s="121">
        <f>IF(N('Dvd Calendar'!$AA$1865)=0,"",IF(('Dvd Calendar'!$AA$1865&gt;=GRID_FROM)*('Dvd Calendar'!$AA$1865&lt;=GRID_TO)*('Dvd Calendar'!$AA$1865&gt;VAL_DATE)=0,"",'Dvd Calendar'!$AA$1865*1000000000+ISNUMBER('Dvd Calendar'!$AA$1866)*100000000+0*10000000+(N('Dvd Calendar'!$AA$1864)&gt;0)*(N('Dvd Calendar'!$AA$1864)&lt;=VAL_SERIAL)*1000000+28*1000+63))</f>
        <v/>
      </c>
      <c r="GP187" s="121">
        <f>IF(N('Dvd Calendar'!$AB$1865)=0,"",IF(('Dvd Calendar'!$AB$1865&gt;=GRID_FROM)*('Dvd Calendar'!$AB$1865&lt;=GRID_TO)*('Dvd Calendar'!$AB$1865&gt;VAL_DATE)=0,"",'Dvd Calendar'!$AB$1865*1000000000+ISNUMBER('Dvd Calendar'!$AB$1866)*100000000+0*10000000+(N('Dvd Calendar'!$AB$1864)&gt;0)*(N('Dvd Calendar'!$AB$1864)&lt;=VAL_SERIAL)*1000000+28*1000+64))</f>
        <v/>
      </c>
      <c r="GQ187" s="121">
        <f>IF(N('Dvd Calendar'!$AC$1865)=0,"",IF(('Dvd Calendar'!$AC$1865&gt;=GRID_FROM)*('Dvd Calendar'!$AC$1865&lt;=GRID_TO)*('Dvd Calendar'!$AC$1865&gt;VAL_DATE)=0,"",'Dvd Calendar'!$AC$1865*1000000000+ISNUMBER('Dvd Calendar'!$AC$1866)*100000000+0*10000000+(N('Dvd Calendar'!$AC$1864)&gt;0)*(N('Dvd Calendar'!$AC$1864)&lt;=VAL_SERIAL)*1000000+28*1000+65))</f>
        <v/>
      </c>
    </row>
    <row r="188">
      <c r="B188" s="2">
        <f>IF(HSCEI!$C$35="","",HSCEI!$C$35)</f>
        <v/>
      </c>
      <c r="C188" s="161">
        <f>IF(EE188="","",IF(ISNUMBER('Dvd Calendar'!$E$1872)=FALSE,"",IF((('Dvd Calendar'!$E$1874=TYPE1)*(TYPE1&lt;&gt;"")+('Dvd Calendar'!$E$1874=TYPE2)*(TYPE2&lt;&gt;"")+('Dvd Calendar'!$E$1874=TYPE3)*(TYPE3&lt;&gt;"")+('Dvd Calendar'!$E$1874=TYPE4)*(TYPE4&lt;&gt;"")+('Dvd Calendar'!$E$1874=SPECIAL_LBL)*(INC_SPECIALS="Y"))=0,"",'Dvd Calendar'!$E$1872)))</f>
        <v/>
      </c>
      <c r="D188" s="161">
        <f>IF(EF188="","",IF(ISNUMBER('Dvd Calendar'!$F$1872)=FALSE,"",IF((('Dvd Calendar'!$F$1874=TYPE1)*(TYPE1&lt;&gt;"")+('Dvd Calendar'!$F$1874=TYPE2)*(TYPE2&lt;&gt;"")+('Dvd Calendar'!$F$1874=TYPE3)*(TYPE3&lt;&gt;"")+('Dvd Calendar'!$F$1874=TYPE4)*(TYPE4&lt;&gt;"")+('Dvd Calendar'!$F$1874=SPECIAL_LBL)*(INC_SPECIALS="Y"))=0,"",'Dvd Calendar'!$F$1872)))</f>
        <v/>
      </c>
      <c r="E188" s="161">
        <f>IF(EG188="","",IF(ISNUMBER('Dvd Calendar'!$G$1872)=FALSE,"",IF((('Dvd Calendar'!$G$1874=TYPE1)*(TYPE1&lt;&gt;"")+('Dvd Calendar'!$G$1874=TYPE2)*(TYPE2&lt;&gt;"")+('Dvd Calendar'!$G$1874=TYPE3)*(TYPE3&lt;&gt;"")+('Dvd Calendar'!$G$1874=TYPE4)*(TYPE4&lt;&gt;"")+('Dvd Calendar'!$G$1874=SPECIAL_LBL)*(INC_SPECIALS="Y"))=0,"",'Dvd Calendar'!$G$1872)))</f>
        <v/>
      </c>
      <c r="F188" s="161">
        <f>IF(EH188="","",IF(ISNUMBER('Dvd Calendar'!$H$1872)=FALSE,"",IF((('Dvd Calendar'!$H$1874=TYPE1)*(TYPE1&lt;&gt;"")+('Dvd Calendar'!$H$1874=TYPE2)*(TYPE2&lt;&gt;"")+('Dvd Calendar'!$H$1874=TYPE3)*(TYPE3&lt;&gt;"")+('Dvd Calendar'!$H$1874=TYPE4)*(TYPE4&lt;&gt;"")+('Dvd Calendar'!$H$1874=SPECIAL_LBL)*(INC_SPECIALS="Y"))=0,"",'Dvd Calendar'!$H$1872)))</f>
        <v/>
      </c>
      <c r="G188" s="161">
        <f>IF(EI188="","",IF(ISNUMBER('Dvd Calendar'!$I$1872)=FALSE,"",IF((('Dvd Calendar'!$I$1874=TYPE1)*(TYPE1&lt;&gt;"")+('Dvd Calendar'!$I$1874=TYPE2)*(TYPE2&lt;&gt;"")+('Dvd Calendar'!$I$1874=TYPE3)*(TYPE3&lt;&gt;"")+('Dvd Calendar'!$I$1874=TYPE4)*(TYPE4&lt;&gt;"")+('Dvd Calendar'!$I$1874=SPECIAL_LBL)*(INC_SPECIALS="Y"))=0,"",'Dvd Calendar'!$I$1872)))</f>
        <v/>
      </c>
      <c r="H188" s="161">
        <f>IF(EJ188="","",IF(ISNUMBER('Dvd Calendar'!$J$1872)=FALSE,"",IF((('Dvd Calendar'!$J$1874=TYPE1)*(TYPE1&lt;&gt;"")+('Dvd Calendar'!$J$1874=TYPE2)*(TYPE2&lt;&gt;"")+('Dvd Calendar'!$J$1874=TYPE3)*(TYPE3&lt;&gt;"")+('Dvd Calendar'!$J$1874=TYPE4)*(TYPE4&lt;&gt;"")+('Dvd Calendar'!$J$1874=SPECIAL_LBL)*(INC_SPECIALS="Y"))=0,"",'Dvd Calendar'!$J$1872)))</f>
        <v/>
      </c>
      <c r="I188" s="161">
        <f>IF(EK188="","",IF(ISNUMBER('Dvd Calendar'!$K$1872)=FALSE,"",IF((('Dvd Calendar'!$K$1874=TYPE1)*(TYPE1&lt;&gt;"")+('Dvd Calendar'!$K$1874=TYPE2)*(TYPE2&lt;&gt;"")+('Dvd Calendar'!$K$1874=TYPE3)*(TYPE3&lt;&gt;"")+('Dvd Calendar'!$K$1874=TYPE4)*(TYPE4&lt;&gt;"")+('Dvd Calendar'!$K$1874=SPECIAL_LBL)*(INC_SPECIALS="Y"))=0,"",'Dvd Calendar'!$K$1872)))</f>
        <v/>
      </c>
      <c r="J188" s="161">
        <f>IF(EL188="","",IF(ISNUMBER('Dvd Calendar'!$L$1872)=FALSE,"",IF((('Dvd Calendar'!$L$1874=TYPE1)*(TYPE1&lt;&gt;"")+('Dvd Calendar'!$L$1874=TYPE2)*(TYPE2&lt;&gt;"")+('Dvd Calendar'!$L$1874=TYPE3)*(TYPE3&lt;&gt;"")+('Dvd Calendar'!$L$1874=TYPE4)*(TYPE4&lt;&gt;"")+('Dvd Calendar'!$L$1874=SPECIAL_LBL)*(INC_SPECIALS="Y"))=0,"",'Dvd Calendar'!$L$1872)))</f>
        <v/>
      </c>
      <c r="K188" s="161">
        <f>IF(EM188="","",IF(ISNUMBER('Dvd Calendar'!$M$1872)=FALSE,"",IF((('Dvd Calendar'!$M$1874=TYPE1)*(TYPE1&lt;&gt;"")+('Dvd Calendar'!$M$1874=TYPE2)*(TYPE2&lt;&gt;"")+('Dvd Calendar'!$M$1874=TYPE3)*(TYPE3&lt;&gt;"")+('Dvd Calendar'!$M$1874=TYPE4)*(TYPE4&lt;&gt;"")+('Dvd Calendar'!$M$1874=SPECIAL_LBL)*(INC_SPECIALS="Y"))=0,"",'Dvd Calendar'!$M$1872)))</f>
        <v/>
      </c>
      <c r="L188" s="161">
        <f>IF(EN188="","",IF(ISNUMBER('Dvd Calendar'!$N$1872)=FALSE,"",IF((('Dvd Calendar'!$N$1874=TYPE1)*(TYPE1&lt;&gt;"")+('Dvd Calendar'!$N$1874=TYPE2)*(TYPE2&lt;&gt;"")+('Dvd Calendar'!$N$1874=TYPE3)*(TYPE3&lt;&gt;"")+('Dvd Calendar'!$N$1874=TYPE4)*(TYPE4&lt;&gt;"")+('Dvd Calendar'!$N$1874=SPECIAL_LBL)*(INC_SPECIALS="Y"))=0,"",'Dvd Calendar'!$N$1872)))</f>
        <v/>
      </c>
      <c r="M188" s="161">
        <f>IF(EO188="","",IF(ISNUMBER('Dvd Calendar'!$O$1872)=FALSE,"",IF((('Dvd Calendar'!$O$1874=TYPE1)*(TYPE1&lt;&gt;"")+('Dvd Calendar'!$O$1874=TYPE2)*(TYPE2&lt;&gt;"")+('Dvd Calendar'!$O$1874=TYPE3)*(TYPE3&lt;&gt;"")+('Dvd Calendar'!$O$1874=TYPE4)*(TYPE4&lt;&gt;"")+('Dvd Calendar'!$O$1874=SPECIAL_LBL)*(INC_SPECIALS="Y"))=0,"",'Dvd Calendar'!$O$1872)))</f>
        <v/>
      </c>
      <c r="N188" s="161">
        <f>IF(EP188="","",IF(ISNUMBER('Dvd Calendar'!$P$1872)=FALSE,"",IF((('Dvd Calendar'!$P$1874=TYPE1)*(TYPE1&lt;&gt;"")+('Dvd Calendar'!$P$1874=TYPE2)*(TYPE2&lt;&gt;"")+('Dvd Calendar'!$P$1874=TYPE3)*(TYPE3&lt;&gt;"")+('Dvd Calendar'!$P$1874=TYPE4)*(TYPE4&lt;&gt;"")+('Dvd Calendar'!$P$1874=SPECIAL_LBL)*(INC_SPECIALS="Y"))=0,"",'Dvd Calendar'!$P$1872)))</f>
        <v/>
      </c>
      <c r="O188" s="161">
        <f>IF(EQ188="","",IF(ISNUMBER('Dvd Calendar'!$Q$1872)=FALSE,"",IF((('Dvd Calendar'!$Q$1874=TYPE1)*(TYPE1&lt;&gt;"")+('Dvd Calendar'!$Q$1874=TYPE2)*(TYPE2&lt;&gt;"")+('Dvd Calendar'!$Q$1874=TYPE3)*(TYPE3&lt;&gt;"")+('Dvd Calendar'!$Q$1874=TYPE4)*(TYPE4&lt;&gt;"")+('Dvd Calendar'!$Q$1874=SPECIAL_LBL)*(INC_SPECIALS="Y"))=0,"",'Dvd Calendar'!$Q$1872)))</f>
        <v/>
      </c>
      <c r="P188" s="161">
        <f>IF(ER188="","",IF(ISNUMBER('Dvd Calendar'!$R$1872)=FALSE,"",IF((('Dvd Calendar'!$R$1874=TYPE1)*(TYPE1&lt;&gt;"")+('Dvd Calendar'!$R$1874=TYPE2)*(TYPE2&lt;&gt;"")+('Dvd Calendar'!$R$1874=TYPE3)*(TYPE3&lt;&gt;"")+('Dvd Calendar'!$R$1874=TYPE4)*(TYPE4&lt;&gt;"")+('Dvd Calendar'!$R$1874=SPECIAL_LBL)*(INC_SPECIALS="Y"))=0,"",'Dvd Calendar'!$R$1872)))</f>
        <v/>
      </c>
      <c r="Q188" s="161">
        <f>IF(ES188="","",IF(ISNUMBER('Dvd Calendar'!$S$1872)=FALSE,"",IF((('Dvd Calendar'!$S$1874=TYPE1)*(TYPE1&lt;&gt;"")+('Dvd Calendar'!$S$1874=TYPE2)*(TYPE2&lt;&gt;"")+('Dvd Calendar'!$S$1874=TYPE3)*(TYPE3&lt;&gt;"")+('Dvd Calendar'!$S$1874=TYPE4)*(TYPE4&lt;&gt;"")+('Dvd Calendar'!$S$1874=SPECIAL_LBL)*(INC_SPECIALS="Y"))=0,"",'Dvd Calendar'!$S$1872)))</f>
        <v/>
      </c>
      <c r="R188" s="161">
        <f>IF(ET188="","",IF(ISNUMBER('Dvd Calendar'!$T$1872)=FALSE,"",IF((('Dvd Calendar'!$T$1874=TYPE1)*(TYPE1&lt;&gt;"")+('Dvd Calendar'!$T$1874=TYPE2)*(TYPE2&lt;&gt;"")+('Dvd Calendar'!$T$1874=TYPE3)*(TYPE3&lt;&gt;"")+('Dvd Calendar'!$T$1874=TYPE4)*(TYPE4&lt;&gt;"")+('Dvd Calendar'!$T$1874=SPECIAL_LBL)*(INC_SPECIALS="Y"))=0,"",'Dvd Calendar'!$T$1872)))</f>
        <v/>
      </c>
      <c r="S188" s="161">
        <f>IF(EU188="","",IF(ISNUMBER('Dvd Calendar'!$U$1872)=FALSE,"",IF((('Dvd Calendar'!$U$1874=TYPE1)*(TYPE1&lt;&gt;"")+('Dvd Calendar'!$U$1874=TYPE2)*(TYPE2&lt;&gt;"")+('Dvd Calendar'!$U$1874=TYPE3)*(TYPE3&lt;&gt;"")+('Dvd Calendar'!$U$1874=TYPE4)*(TYPE4&lt;&gt;"")+('Dvd Calendar'!$U$1874=SPECIAL_LBL)*(INC_SPECIALS="Y"))=0,"",'Dvd Calendar'!$U$1872)))</f>
        <v/>
      </c>
      <c r="T188" s="161">
        <f>IF(EV188="","",IF(ISNUMBER('Dvd Calendar'!$V$1872)=FALSE,"",IF((('Dvd Calendar'!$V$1874=TYPE1)*(TYPE1&lt;&gt;"")+('Dvd Calendar'!$V$1874=TYPE2)*(TYPE2&lt;&gt;"")+('Dvd Calendar'!$V$1874=TYPE3)*(TYPE3&lt;&gt;"")+('Dvd Calendar'!$V$1874=TYPE4)*(TYPE4&lt;&gt;"")+('Dvd Calendar'!$V$1874=SPECIAL_LBL)*(INC_SPECIALS="Y"))=0,"",'Dvd Calendar'!$V$1872)))</f>
        <v/>
      </c>
      <c r="U188" s="161">
        <f>IF(EW188="","",IF(ISNUMBER('Dvd Calendar'!$W$1872)=FALSE,"",IF((('Dvd Calendar'!$W$1874=TYPE1)*(TYPE1&lt;&gt;"")+('Dvd Calendar'!$W$1874=TYPE2)*(TYPE2&lt;&gt;"")+('Dvd Calendar'!$W$1874=TYPE3)*(TYPE3&lt;&gt;"")+('Dvd Calendar'!$W$1874=TYPE4)*(TYPE4&lt;&gt;"")+('Dvd Calendar'!$W$1874=SPECIAL_LBL)*(INC_SPECIALS="Y"))=0,"",'Dvd Calendar'!$W$1872)))</f>
        <v/>
      </c>
      <c r="V188" s="161">
        <f>IF(EX188="","",IF(ISNUMBER('Dvd Calendar'!$X$1872)=FALSE,"",IF((('Dvd Calendar'!$X$1874=TYPE1)*(TYPE1&lt;&gt;"")+('Dvd Calendar'!$X$1874=TYPE2)*(TYPE2&lt;&gt;"")+('Dvd Calendar'!$X$1874=TYPE3)*(TYPE3&lt;&gt;"")+('Dvd Calendar'!$X$1874=TYPE4)*(TYPE4&lt;&gt;"")+('Dvd Calendar'!$X$1874=SPECIAL_LBL)*(INC_SPECIALS="Y"))=0,"",'Dvd Calendar'!$X$1872)))</f>
        <v/>
      </c>
      <c r="W188" s="161">
        <f>IF(EY188="","",IF(ISNUMBER('Dvd Calendar'!$Y$1872)=FALSE,"",IF((('Dvd Calendar'!$Y$1874=TYPE1)*(TYPE1&lt;&gt;"")+('Dvd Calendar'!$Y$1874=TYPE2)*(TYPE2&lt;&gt;"")+('Dvd Calendar'!$Y$1874=TYPE3)*(TYPE3&lt;&gt;"")+('Dvd Calendar'!$Y$1874=TYPE4)*(TYPE4&lt;&gt;"")+('Dvd Calendar'!$Y$1874=SPECIAL_LBL)*(INC_SPECIALS="Y"))=0,"",'Dvd Calendar'!$Y$1872)))</f>
        <v/>
      </c>
      <c r="X188" s="161">
        <f>IF(EZ188="","",IF(ISNUMBER('Dvd Calendar'!$Z$1872)=FALSE,"",IF((('Dvd Calendar'!$Z$1874=TYPE1)*(TYPE1&lt;&gt;"")+('Dvd Calendar'!$Z$1874=TYPE2)*(TYPE2&lt;&gt;"")+('Dvd Calendar'!$Z$1874=TYPE3)*(TYPE3&lt;&gt;"")+('Dvd Calendar'!$Z$1874=TYPE4)*(TYPE4&lt;&gt;"")+('Dvd Calendar'!$Z$1874=SPECIAL_LBL)*(INC_SPECIALS="Y"))=0,"",'Dvd Calendar'!$Z$1872)))</f>
        <v/>
      </c>
      <c r="Y188" s="161">
        <f>IF(FA188="","",IF(ISNUMBER('Dvd Calendar'!$AA$1872)=FALSE,"",IF((('Dvd Calendar'!$AA$1874=TYPE1)*(TYPE1&lt;&gt;"")+('Dvd Calendar'!$AA$1874=TYPE2)*(TYPE2&lt;&gt;"")+('Dvd Calendar'!$AA$1874=TYPE3)*(TYPE3&lt;&gt;"")+('Dvd Calendar'!$AA$1874=TYPE4)*(TYPE4&lt;&gt;"")+('Dvd Calendar'!$AA$1874=SPECIAL_LBL)*(INC_SPECIALS="Y"))=0,"",'Dvd Calendar'!$AA$1872)))</f>
        <v/>
      </c>
      <c r="Z188" s="161">
        <f>IF(FB188="","",IF(ISNUMBER('Dvd Calendar'!$AB$1872)=FALSE,"",IF((('Dvd Calendar'!$AB$1874=TYPE1)*(TYPE1&lt;&gt;"")+('Dvd Calendar'!$AB$1874=TYPE2)*(TYPE2&lt;&gt;"")+('Dvd Calendar'!$AB$1874=TYPE3)*(TYPE3&lt;&gt;"")+('Dvd Calendar'!$AB$1874=TYPE4)*(TYPE4&lt;&gt;"")+('Dvd Calendar'!$AB$1874=SPECIAL_LBL)*(INC_SPECIALS="Y"))=0,"",'Dvd Calendar'!$AB$1872)))</f>
        <v/>
      </c>
      <c r="AA188" s="161">
        <f>IF(FC188="","",IF(ISNUMBER('Dvd Calendar'!$AC$1872)=FALSE,"",IF((('Dvd Calendar'!$AC$1874=TYPE1)*(TYPE1&lt;&gt;"")+('Dvd Calendar'!$AC$1874=TYPE2)*(TYPE2&lt;&gt;"")+('Dvd Calendar'!$AC$1874=TYPE3)*(TYPE3&lt;&gt;"")+('Dvd Calendar'!$AC$1874=TYPE4)*(TYPE4&lt;&gt;"")+('Dvd Calendar'!$AC$1874=SPECIAL_LBL)*(INC_SPECIALS="Y"))=0,"",'Dvd Calendar'!$AC$1872)))</f>
        <v/>
      </c>
      <c r="AB188" s="161">
        <f>IF(FD188="","",IF(ISNUMBER('Dvd Calendar'!$AD$1872)=FALSE,"",IF((('Dvd Calendar'!$AD$1874=TYPE1)*(TYPE1&lt;&gt;"")+('Dvd Calendar'!$AD$1874=TYPE2)*(TYPE2&lt;&gt;"")+('Dvd Calendar'!$AD$1874=TYPE3)*(TYPE3&lt;&gt;"")+('Dvd Calendar'!$AD$1874=TYPE4)*(TYPE4&lt;&gt;"")+('Dvd Calendar'!$AD$1874=SPECIAL_LBL)*(INC_SPECIALS="Y"))=0,"",'Dvd Calendar'!$AD$1872)))</f>
        <v/>
      </c>
      <c r="AC188" s="161">
        <f>IF(FE188="","",IF(ISNUMBER('Dvd Calendar'!$AE$1872)=FALSE,"",IF((('Dvd Calendar'!$AE$1874=TYPE1)*(TYPE1&lt;&gt;"")+('Dvd Calendar'!$AE$1874=TYPE2)*(TYPE2&lt;&gt;"")+('Dvd Calendar'!$AE$1874=TYPE3)*(TYPE3&lt;&gt;"")+('Dvd Calendar'!$AE$1874=TYPE4)*(TYPE4&lt;&gt;"")+('Dvd Calendar'!$AE$1874=SPECIAL_LBL)*(INC_SPECIALS="Y"))=0,"",'Dvd Calendar'!$AE$1872)))</f>
        <v/>
      </c>
      <c r="AD188" s="161">
        <f>IF(FF188="","",IF(ISNUMBER('Dvd Calendar'!$AF$1872)=FALSE,"",IF((('Dvd Calendar'!$AF$1874=TYPE1)*(TYPE1&lt;&gt;"")+('Dvd Calendar'!$AF$1874=TYPE2)*(TYPE2&lt;&gt;"")+('Dvd Calendar'!$AF$1874=TYPE3)*(TYPE3&lt;&gt;"")+('Dvd Calendar'!$AF$1874=TYPE4)*(TYPE4&lt;&gt;"")+('Dvd Calendar'!$AF$1874=SPECIAL_LBL)*(INC_SPECIALS="Y"))=0,"",'Dvd Calendar'!$AF$1872)))</f>
        <v/>
      </c>
      <c r="AE188" s="161">
        <f>IF(FG188="","",IF(ISNUMBER('Dvd Calendar'!$AG$1872)=FALSE,"",IF((('Dvd Calendar'!$AG$1874=TYPE1)*(TYPE1&lt;&gt;"")+('Dvd Calendar'!$AG$1874=TYPE2)*(TYPE2&lt;&gt;"")+('Dvd Calendar'!$AG$1874=TYPE3)*(TYPE3&lt;&gt;"")+('Dvd Calendar'!$AG$1874=TYPE4)*(TYPE4&lt;&gt;"")+('Dvd Calendar'!$AG$1874=SPECIAL_LBL)*(INC_SPECIALS="Y"))=0,"",'Dvd Calendar'!$AG$1872)))</f>
        <v/>
      </c>
      <c r="AF188" s="161">
        <f>IF(FH188="","",IF(ISNUMBER('Dvd Calendar'!$AH$1872)=FALSE,"",IF((('Dvd Calendar'!$AH$1874=TYPE1)*(TYPE1&lt;&gt;"")+('Dvd Calendar'!$AH$1874=TYPE2)*(TYPE2&lt;&gt;"")+('Dvd Calendar'!$AH$1874=TYPE3)*(TYPE3&lt;&gt;"")+('Dvd Calendar'!$AH$1874=TYPE4)*(TYPE4&lt;&gt;"")+('Dvd Calendar'!$AH$1874=SPECIAL_LBL)*(INC_SPECIALS="Y"))=0,"",'Dvd Calendar'!$AH$1872)))</f>
        <v/>
      </c>
      <c r="AG188" s="161">
        <f>IF(FI188="","",IF(ISNUMBER('Dvd Calendar'!$AI$1872)=FALSE,"",IF((('Dvd Calendar'!$AI$1874=TYPE1)*(TYPE1&lt;&gt;"")+('Dvd Calendar'!$AI$1874=TYPE2)*(TYPE2&lt;&gt;"")+('Dvd Calendar'!$AI$1874=TYPE3)*(TYPE3&lt;&gt;"")+('Dvd Calendar'!$AI$1874=TYPE4)*(TYPE4&lt;&gt;"")+('Dvd Calendar'!$AI$1874=SPECIAL_LBL)*(INC_SPECIALS="Y"))=0,"",'Dvd Calendar'!$AI$1872)))</f>
        <v/>
      </c>
      <c r="AH188" s="161">
        <f>IF(FJ188="","",IF(ISNUMBER('Dvd Calendar'!$AJ$1872)=FALSE,"",IF((('Dvd Calendar'!$AJ$1874=TYPE1)*(TYPE1&lt;&gt;"")+('Dvd Calendar'!$AJ$1874=TYPE2)*(TYPE2&lt;&gt;"")+('Dvd Calendar'!$AJ$1874=TYPE3)*(TYPE3&lt;&gt;"")+('Dvd Calendar'!$AJ$1874=TYPE4)*(TYPE4&lt;&gt;"")+('Dvd Calendar'!$AJ$1874=SPECIAL_LBL)*(INC_SPECIALS="Y"))=0,"",'Dvd Calendar'!$AJ$1872)))</f>
        <v/>
      </c>
      <c r="AI188" s="161">
        <f>IF(FK188="","",IF(ISNUMBER('Dvd Calendar'!$AK$1872)=FALSE,"",IF((('Dvd Calendar'!$AK$1874=TYPE1)*(TYPE1&lt;&gt;"")+('Dvd Calendar'!$AK$1874=TYPE2)*(TYPE2&lt;&gt;"")+('Dvd Calendar'!$AK$1874=TYPE3)*(TYPE3&lt;&gt;"")+('Dvd Calendar'!$AK$1874=TYPE4)*(TYPE4&lt;&gt;"")+('Dvd Calendar'!$AK$1874=SPECIAL_LBL)*(INC_SPECIALS="Y"))=0,"",'Dvd Calendar'!$AK$1872)))</f>
        <v/>
      </c>
      <c r="AJ188" s="161">
        <f>IF(FL188="","",IF(ISNUMBER('Dvd Calendar'!$AL$1872)=FALSE,"",IF((('Dvd Calendar'!$AL$1874=TYPE1)*(TYPE1&lt;&gt;"")+('Dvd Calendar'!$AL$1874=TYPE2)*(TYPE2&lt;&gt;"")+('Dvd Calendar'!$AL$1874=TYPE3)*(TYPE3&lt;&gt;"")+('Dvd Calendar'!$AL$1874=TYPE4)*(TYPE4&lt;&gt;"")+('Dvd Calendar'!$AL$1874=SPECIAL_LBL)*(INC_SPECIALS="Y"))=0,"",'Dvd Calendar'!$AL$1872)))</f>
        <v/>
      </c>
      <c r="AK188" s="161">
        <f>IF(FM188="","",IF(ISNUMBER('Dvd Calendar'!$AM$1872)=FALSE,"",IF((('Dvd Calendar'!$AM$1874=TYPE1)*(TYPE1&lt;&gt;"")+('Dvd Calendar'!$AM$1874=TYPE2)*(TYPE2&lt;&gt;"")+('Dvd Calendar'!$AM$1874=TYPE3)*(TYPE3&lt;&gt;"")+('Dvd Calendar'!$AM$1874=TYPE4)*(TYPE4&lt;&gt;"")+('Dvd Calendar'!$AM$1874=SPECIAL_LBL)*(INC_SPECIALS="Y"))=0,"",'Dvd Calendar'!$AM$1872)))</f>
        <v/>
      </c>
      <c r="AL188" s="161">
        <f>IF(FN188="","",IF(ISNUMBER('Dvd Calendar'!$AN$1872)=FALSE,"",IF((('Dvd Calendar'!$AN$1874=TYPE1)*(TYPE1&lt;&gt;"")+('Dvd Calendar'!$AN$1874=TYPE2)*(TYPE2&lt;&gt;"")+('Dvd Calendar'!$AN$1874=TYPE3)*(TYPE3&lt;&gt;"")+('Dvd Calendar'!$AN$1874=TYPE4)*(TYPE4&lt;&gt;"")+('Dvd Calendar'!$AN$1874=SPECIAL_LBL)*(INC_SPECIALS="Y"))=0,"",'Dvd Calendar'!$AN$1872)))</f>
        <v/>
      </c>
      <c r="AM188" s="161">
        <f>IF(FO188="","",IF(ISNUMBER('Dvd Calendar'!$AO$1872)=FALSE,"",IF((('Dvd Calendar'!$AO$1874=TYPE1)*(TYPE1&lt;&gt;"")+('Dvd Calendar'!$AO$1874=TYPE2)*(TYPE2&lt;&gt;"")+('Dvd Calendar'!$AO$1874=TYPE3)*(TYPE3&lt;&gt;"")+('Dvd Calendar'!$AO$1874=TYPE4)*(TYPE4&lt;&gt;"")+('Dvd Calendar'!$AO$1874=SPECIAL_LBL)*(INC_SPECIALS="Y"))=0,"",'Dvd Calendar'!$AO$1872)))</f>
        <v/>
      </c>
      <c r="AN188" s="161">
        <f>IF(FP188="","",IF(ISNUMBER('Dvd Calendar'!$AP$1872)=FALSE,"",IF((('Dvd Calendar'!$AP$1874=TYPE1)*(TYPE1&lt;&gt;"")+('Dvd Calendar'!$AP$1874=TYPE2)*(TYPE2&lt;&gt;"")+('Dvd Calendar'!$AP$1874=TYPE3)*(TYPE3&lt;&gt;"")+('Dvd Calendar'!$AP$1874=TYPE4)*(TYPE4&lt;&gt;"")+('Dvd Calendar'!$AP$1874=SPECIAL_LBL)*(INC_SPECIALS="Y"))=0,"",'Dvd Calendar'!$AP$1872)))</f>
        <v/>
      </c>
      <c r="AO188" s="161">
        <f>IF(FQ188="","",IF(ISNUMBER('Dvd Calendar'!$AQ$1872)=FALSE,"",IF((('Dvd Calendar'!$AQ$1874=TYPE1)*(TYPE1&lt;&gt;"")+('Dvd Calendar'!$AQ$1874=TYPE2)*(TYPE2&lt;&gt;"")+('Dvd Calendar'!$AQ$1874=TYPE3)*(TYPE3&lt;&gt;"")+('Dvd Calendar'!$AQ$1874=TYPE4)*(TYPE4&lt;&gt;"")+('Dvd Calendar'!$AQ$1874=SPECIAL_LBL)*(INC_SPECIALS="Y"))=0,"",'Dvd Calendar'!$AQ$1872)))</f>
        <v/>
      </c>
      <c r="AP188" s="161">
        <f>IF(FR188="","",IF(ISNUMBER('Dvd Calendar'!$AR$1872)=FALSE,"",IF((('Dvd Calendar'!$AR$1874=TYPE1)*(TYPE1&lt;&gt;"")+('Dvd Calendar'!$AR$1874=TYPE2)*(TYPE2&lt;&gt;"")+('Dvd Calendar'!$AR$1874=TYPE3)*(TYPE3&lt;&gt;"")+('Dvd Calendar'!$AR$1874=TYPE4)*(TYPE4&lt;&gt;"")+('Dvd Calendar'!$AR$1874=SPECIAL_LBL)*(INC_SPECIALS="Y"))=0,"",'Dvd Calendar'!$AR$1872)))</f>
        <v/>
      </c>
      <c r="AQ188" s="161">
        <f>IF(FS188="","",IF(ISNUMBER('Dvd Calendar'!$E$1877)=FALSE,"",'Dvd Calendar'!$E$1877))</f>
        <v/>
      </c>
      <c r="AR188" s="161">
        <f>IF(FT188="","",IF(ISNUMBER('Dvd Calendar'!$F$1877)=FALSE,"",'Dvd Calendar'!$F$1877))</f>
        <v/>
      </c>
      <c r="AS188" s="161">
        <f>IF(FU188="","",IF(ISNUMBER('Dvd Calendar'!$G$1877)=FALSE,"",'Dvd Calendar'!$G$1877))</f>
        <v/>
      </c>
      <c r="AT188" s="161">
        <f>IF(FV188="","",IF(ISNUMBER('Dvd Calendar'!$H$1877)=FALSE,"",'Dvd Calendar'!$H$1877))</f>
        <v/>
      </c>
      <c r="AU188" s="161">
        <f>IF(FW188="","",IF(ISNUMBER('Dvd Calendar'!$I$1877)=FALSE,"",'Dvd Calendar'!$I$1877))</f>
        <v/>
      </c>
      <c r="AV188" s="161">
        <f>IF(FX188="","",IF(ISNUMBER('Dvd Calendar'!$J$1877)=FALSE,"",'Dvd Calendar'!$J$1877))</f>
        <v/>
      </c>
      <c r="AW188" s="161">
        <f>IF(FY188="","",IF(ISNUMBER('Dvd Calendar'!$K$1877)=FALSE,"",'Dvd Calendar'!$K$1877))</f>
        <v/>
      </c>
      <c r="AX188" s="161">
        <f>IF(FZ188="","",IF(ISNUMBER('Dvd Calendar'!$L$1877)=FALSE,"",'Dvd Calendar'!$L$1877))</f>
        <v/>
      </c>
      <c r="AY188" s="161">
        <f>IF(GA188="","",IF(ISNUMBER('Dvd Calendar'!$M$1877)=FALSE,"",'Dvd Calendar'!$M$1877))</f>
        <v/>
      </c>
      <c r="AZ188" s="161">
        <f>IF(GB188="","",IF(ISNUMBER('Dvd Calendar'!$N$1877)=FALSE,"",'Dvd Calendar'!$N$1877))</f>
        <v/>
      </c>
      <c r="BA188" s="161">
        <f>IF(GC188="","",IF(ISNUMBER('Dvd Calendar'!$O$1877)=FALSE,"",'Dvd Calendar'!$O$1877))</f>
        <v/>
      </c>
      <c r="BB188" s="161">
        <f>IF(GD188="","",IF(ISNUMBER('Dvd Calendar'!$P$1877)=FALSE,"",'Dvd Calendar'!$P$1877))</f>
        <v/>
      </c>
      <c r="BC188" s="161">
        <f>IF(GE188="","",IF(ISNUMBER('Dvd Calendar'!$Q$1877)=FALSE,"",'Dvd Calendar'!$Q$1877))</f>
        <v/>
      </c>
      <c r="BD188" s="161">
        <f>IF(GF188="","",IF(ISNUMBER('Dvd Calendar'!$R$1877)=FALSE,"",'Dvd Calendar'!$R$1877))</f>
        <v/>
      </c>
      <c r="BE188" s="161">
        <f>IF(GG188="","",IF(ISNUMBER('Dvd Calendar'!$S$1877)=FALSE,"",'Dvd Calendar'!$S$1877))</f>
        <v/>
      </c>
      <c r="BF188" s="161">
        <f>IF(GH188="","",IF(ISNUMBER('Dvd Calendar'!$T$1877)=FALSE,"",'Dvd Calendar'!$T$1877))</f>
        <v/>
      </c>
      <c r="BG188" s="161">
        <f>IF(GI188="","",IF(ISNUMBER('Dvd Calendar'!$U$1877)=FALSE,"",'Dvd Calendar'!$U$1877))</f>
        <v/>
      </c>
      <c r="BH188" s="161">
        <f>IF(GJ188="","",IF(ISNUMBER('Dvd Calendar'!$V$1877)=FALSE,"",'Dvd Calendar'!$V$1877))</f>
        <v/>
      </c>
      <c r="BI188" s="161">
        <f>IF(GK188="","",IF(ISNUMBER('Dvd Calendar'!$W$1877)=FALSE,"",'Dvd Calendar'!$W$1877))</f>
        <v/>
      </c>
      <c r="BJ188" s="161">
        <f>IF(GL188="","",IF(ISNUMBER('Dvd Calendar'!$X$1877)=FALSE,"",'Dvd Calendar'!$X$1877))</f>
        <v/>
      </c>
      <c r="BK188" s="161">
        <f>IF(GM188="","",IF(ISNUMBER('Dvd Calendar'!$Y$1877)=FALSE,"",'Dvd Calendar'!$Y$1877))</f>
        <v/>
      </c>
      <c r="BL188" s="161">
        <f>IF(GN188="","",IF(ISNUMBER('Dvd Calendar'!$Z$1877)=FALSE,"",'Dvd Calendar'!$Z$1877))</f>
        <v/>
      </c>
      <c r="BM188" s="161">
        <f>IF(GO188="","",IF(ISNUMBER('Dvd Calendar'!$AA$1877)=FALSE,"",'Dvd Calendar'!$AA$1877))</f>
        <v/>
      </c>
      <c r="BN188" s="161">
        <f>IF(GP188="","",IF(ISNUMBER('Dvd Calendar'!$AB$1877)=FALSE,"",'Dvd Calendar'!$AB$1877))</f>
        <v/>
      </c>
      <c r="BO188" s="161">
        <f>IF(GQ188="","",IF(ISNUMBER('Dvd Calendar'!$AC$1877)=FALSE,"",'Dvd Calendar'!$AC$1877))</f>
        <v/>
      </c>
      <c r="BQ188" s="161">
        <f>IF(C188="","",IFERROR(C188*HSCEI!$B$35*HSCEI!$G$35/HSCEI!$B$3,""))</f>
        <v/>
      </c>
      <c r="BR188" s="161">
        <f>IF(D188="","",IFERROR(D188*HSCEI!$B$35*HSCEI!$G$35/HSCEI!$B$3,""))</f>
        <v/>
      </c>
      <c r="BS188" s="161">
        <f>IF(E188="","",IFERROR(E188*HSCEI!$B$35*HSCEI!$G$35/HSCEI!$B$3,""))</f>
        <v/>
      </c>
      <c r="BT188" s="161">
        <f>IF(F188="","",IFERROR(F188*HSCEI!$B$35*HSCEI!$G$35/HSCEI!$B$3,""))</f>
        <v/>
      </c>
      <c r="BU188" s="161">
        <f>IF(G188="","",IFERROR(G188*HSCEI!$B$35*HSCEI!$G$35/HSCEI!$B$3,""))</f>
        <v/>
      </c>
      <c r="BV188" s="161">
        <f>IF(H188="","",IFERROR(H188*HSCEI!$B$35*HSCEI!$G$35/HSCEI!$B$3,""))</f>
        <v/>
      </c>
      <c r="BW188" s="161">
        <f>IF(I188="","",IFERROR(I188*HSCEI!$B$35*HSCEI!$G$35/HSCEI!$B$3,""))</f>
        <v/>
      </c>
      <c r="BX188" s="161">
        <f>IF(J188="","",IFERROR(J188*HSCEI!$B$35*HSCEI!$G$35/HSCEI!$B$3,""))</f>
        <v/>
      </c>
      <c r="BY188" s="161">
        <f>IF(K188="","",IFERROR(K188*HSCEI!$B$35*HSCEI!$G$35/HSCEI!$B$3,""))</f>
        <v/>
      </c>
      <c r="BZ188" s="161">
        <f>IF(L188="","",IFERROR(L188*HSCEI!$B$35*HSCEI!$G$35/HSCEI!$B$3,""))</f>
        <v/>
      </c>
      <c r="CA188" s="161">
        <f>IF(M188="","",IFERROR(M188*HSCEI!$B$35*HSCEI!$G$35/HSCEI!$B$3,""))</f>
        <v/>
      </c>
      <c r="CB188" s="161">
        <f>IF(N188="","",IFERROR(N188*HSCEI!$B$35*HSCEI!$G$35/HSCEI!$B$3,""))</f>
        <v/>
      </c>
      <c r="CC188" s="161">
        <f>IF(O188="","",IFERROR(O188*HSCEI!$B$35*HSCEI!$G$35/HSCEI!$B$3,""))</f>
        <v/>
      </c>
      <c r="CD188" s="161">
        <f>IF(P188="","",IFERROR(P188*HSCEI!$B$35*HSCEI!$G$35/HSCEI!$B$3,""))</f>
        <v/>
      </c>
      <c r="CE188" s="161">
        <f>IF(Q188="","",IFERROR(Q188*HSCEI!$B$35*HSCEI!$G$35/HSCEI!$B$3,""))</f>
        <v/>
      </c>
      <c r="CF188" s="161">
        <f>IF(R188="","",IFERROR(R188*HSCEI!$B$35*HSCEI!$G$35/HSCEI!$B$3,""))</f>
        <v/>
      </c>
      <c r="CG188" s="161">
        <f>IF(S188="","",IFERROR(S188*HSCEI!$B$35*HSCEI!$G$35/HSCEI!$B$3,""))</f>
        <v/>
      </c>
      <c r="CH188" s="161">
        <f>IF(T188="","",IFERROR(T188*HSCEI!$B$35*HSCEI!$G$35/HSCEI!$B$3,""))</f>
        <v/>
      </c>
      <c r="CI188" s="161">
        <f>IF(U188="","",IFERROR(U188*HSCEI!$B$35*HSCEI!$G$35/HSCEI!$B$3,""))</f>
        <v/>
      </c>
      <c r="CJ188" s="161">
        <f>IF(V188="","",IFERROR(V188*HSCEI!$B$35*HSCEI!$G$35/HSCEI!$B$3,""))</f>
        <v/>
      </c>
      <c r="CK188" s="161">
        <f>IF(W188="","",IFERROR(W188*HSCEI!$B$35*HSCEI!$G$35/HSCEI!$B$3,""))</f>
        <v/>
      </c>
      <c r="CL188" s="161">
        <f>IF(X188="","",IFERROR(X188*HSCEI!$B$35*HSCEI!$G$35/HSCEI!$B$3,""))</f>
        <v/>
      </c>
      <c r="CM188" s="161">
        <f>IF(Y188="","",IFERROR(Y188*HSCEI!$B$35*HSCEI!$G$35/HSCEI!$B$3,""))</f>
        <v/>
      </c>
      <c r="CN188" s="161">
        <f>IF(Z188="","",IFERROR(Z188*HSCEI!$B$35*HSCEI!$G$35/HSCEI!$B$3,""))</f>
        <v/>
      </c>
      <c r="CO188" s="161">
        <f>IF(AA188="","",IFERROR(AA188*HSCEI!$B$35*HSCEI!$G$35/HSCEI!$B$3,""))</f>
        <v/>
      </c>
      <c r="CP188" s="161">
        <f>IF(AB188="","",IFERROR(AB188*HSCEI!$B$35*HSCEI!$G$35/HSCEI!$B$3,""))</f>
        <v/>
      </c>
      <c r="CQ188" s="161">
        <f>IF(AC188="","",IFERROR(AC188*HSCEI!$B$35*HSCEI!$G$35/HSCEI!$B$3,""))</f>
        <v/>
      </c>
      <c r="CR188" s="161">
        <f>IF(AD188="","",IFERROR(AD188*HSCEI!$B$35*HSCEI!$G$35/HSCEI!$B$3,""))</f>
        <v/>
      </c>
      <c r="CS188" s="161">
        <f>IF(AE188="","",IFERROR(AE188*HSCEI!$B$35*HSCEI!$G$35/HSCEI!$B$3,""))</f>
        <v/>
      </c>
      <c r="CT188" s="161">
        <f>IF(AF188="","",IFERROR(AF188*HSCEI!$B$35*HSCEI!$G$35/HSCEI!$B$3,""))</f>
        <v/>
      </c>
      <c r="CU188" s="161">
        <f>IF(AG188="","",IFERROR(AG188*HSCEI!$B$35*HSCEI!$G$35/HSCEI!$B$3,""))</f>
        <v/>
      </c>
      <c r="CV188" s="161">
        <f>IF(AH188="","",IFERROR(AH188*HSCEI!$B$35*HSCEI!$G$35/HSCEI!$B$3,""))</f>
        <v/>
      </c>
      <c r="CW188" s="161">
        <f>IF(AI188="","",IFERROR(AI188*HSCEI!$B$35*HSCEI!$G$35/HSCEI!$B$3,""))</f>
        <v/>
      </c>
      <c r="CX188" s="161">
        <f>IF(AJ188="","",IFERROR(AJ188*HSCEI!$B$35*HSCEI!$G$35/HSCEI!$B$3,""))</f>
        <v/>
      </c>
      <c r="CY188" s="161">
        <f>IF(AK188="","",IFERROR(AK188*HSCEI!$B$35*HSCEI!$G$35/HSCEI!$B$3,""))</f>
        <v/>
      </c>
      <c r="CZ188" s="161">
        <f>IF(AL188="","",IFERROR(AL188*HSCEI!$B$35*HSCEI!$G$35/HSCEI!$B$3,""))</f>
        <v/>
      </c>
      <c r="DA188" s="161">
        <f>IF(AM188="","",IFERROR(AM188*HSCEI!$B$35*HSCEI!$G$35/HSCEI!$B$3,""))</f>
        <v/>
      </c>
      <c r="DB188" s="161">
        <f>IF(AN188="","",IFERROR(AN188*HSCEI!$B$35*HSCEI!$G$35/HSCEI!$B$3,""))</f>
        <v/>
      </c>
      <c r="DC188" s="161">
        <f>IF(AO188="","",IFERROR(AO188*HSCEI!$B$35*HSCEI!$G$35/HSCEI!$B$3,""))</f>
        <v/>
      </c>
      <c r="DD188" s="161">
        <f>IF(AP188="","",IFERROR(AP188*HSCEI!$B$35*HSCEI!$G$35/HSCEI!$B$3,""))</f>
        <v/>
      </c>
      <c r="DE188" s="161">
        <f>IF(AQ188="","",IFERROR(AQ188*HSCEI!$B$35*HSCEI!$G$35/HSCEI!$B$3,""))</f>
        <v/>
      </c>
      <c r="DF188" s="161">
        <f>IF(AR188="","",IFERROR(AR188*HSCEI!$B$35*HSCEI!$G$35/HSCEI!$B$3,""))</f>
        <v/>
      </c>
      <c r="DG188" s="161">
        <f>IF(AS188="","",IFERROR(AS188*HSCEI!$B$35*HSCEI!$G$35/HSCEI!$B$3,""))</f>
        <v/>
      </c>
      <c r="DH188" s="161">
        <f>IF(AT188="","",IFERROR(AT188*HSCEI!$B$35*HSCEI!$G$35/HSCEI!$B$3,""))</f>
        <v/>
      </c>
      <c r="DI188" s="161">
        <f>IF(AU188="","",IFERROR(AU188*HSCEI!$B$35*HSCEI!$G$35/HSCEI!$B$3,""))</f>
        <v/>
      </c>
      <c r="DJ188" s="161">
        <f>IF(AV188="","",IFERROR(AV188*HSCEI!$B$35*HSCEI!$G$35/HSCEI!$B$3,""))</f>
        <v/>
      </c>
      <c r="DK188" s="161">
        <f>IF(AW188="","",IFERROR(AW188*HSCEI!$B$35*HSCEI!$G$35/HSCEI!$B$3,""))</f>
        <v/>
      </c>
      <c r="DL188" s="161">
        <f>IF(AX188="","",IFERROR(AX188*HSCEI!$B$35*HSCEI!$G$35/HSCEI!$B$3,""))</f>
        <v/>
      </c>
      <c r="DM188" s="161">
        <f>IF(AY188="","",IFERROR(AY188*HSCEI!$B$35*HSCEI!$G$35/HSCEI!$B$3,""))</f>
        <v/>
      </c>
      <c r="DN188" s="161">
        <f>IF(AZ188="","",IFERROR(AZ188*HSCEI!$B$35*HSCEI!$G$35/HSCEI!$B$3,""))</f>
        <v/>
      </c>
      <c r="DO188" s="161">
        <f>IF(BA188="","",IFERROR(BA188*HSCEI!$B$35*HSCEI!$G$35/HSCEI!$B$3,""))</f>
        <v/>
      </c>
      <c r="DP188" s="161">
        <f>IF(BB188="","",IFERROR(BB188*HSCEI!$B$35*HSCEI!$G$35/HSCEI!$B$3,""))</f>
        <v/>
      </c>
      <c r="DQ188" s="161">
        <f>IF(BC188="","",IFERROR(BC188*HSCEI!$B$35*HSCEI!$G$35/HSCEI!$B$3,""))</f>
        <v/>
      </c>
      <c r="DR188" s="161">
        <f>IF(BD188="","",IFERROR(BD188*HSCEI!$B$35*HSCEI!$G$35/HSCEI!$B$3,""))</f>
        <v/>
      </c>
      <c r="DS188" s="161">
        <f>IF(BE188="","",IFERROR(BE188*HSCEI!$B$35*HSCEI!$G$35/HSCEI!$B$3,""))</f>
        <v/>
      </c>
      <c r="DT188" s="161">
        <f>IF(BF188="","",IFERROR(BF188*HSCEI!$B$35*HSCEI!$G$35/HSCEI!$B$3,""))</f>
        <v/>
      </c>
      <c r="DU188" s="161">
        <f>IF(BG188="","",IFERROR(BG188*HSCEI!$B$35*HSCEI!$G$35/HSCEI!$B$3,""))</f>
        <v/>
      </c>
      <c r="DV188" s="161">
        <f>IF(BH188="","",IFERROR(BH188*HSCEI!$B$35*HSCEI!$G$35/HSCEI!$B$3,""))</f>
        <v/>
      </c>
      <c r="DW188" s="161">
        <f>IF(BI188="","",IFERROR(BI188*HSCEI!$B$35*HSCEI!$G$35/HSCEI!$B$3,""))</f>
        <v/>
      </c>
      <c r="DX188" s="161">
        <f>IF(BJ188="","",IFERROR(BJ188*HSCEI!$B$35*HSCEI!$G$35/HSCEI!$B$3,""))</f>
        <v/>
      </c>
      <c r="DY188" s="161">
        <f>IF(BK188="","",IFERROR(BK188*HSCEI!$B$35*HSCEI!$G$35/HSCEI!$B$3,""))</f>
        <v/>
      </c>
      <c r="DZ188" s="161">
        <f>IF(BL188="","",IFERROR(BL188*HSCEI!$B$35*HSCEI!$G$35/HSCEI!$B$3,""))</f>
        <v/>
      </c>
      <c r="EA188" s="161">
        <f>IF(BM188="","",IFERROR(BM188*HSCEI!$B$35*HSCEI!$G$35/HSCEI!$B$3,""))</f>
        <v/>
      </c>
      <c r="EB188" s="161">
        <f>IF(BN188="","",IFERROR(BN188*HSCEI!$B$35*HSCEI!$G$35/HSCEI!$B$3,""))</f>
        <v/>
      </c>
      <c r="EC188" s="161">
        <f>IF(BO188="","",IFERROR(BO188*HSCEI!$B$35*HSCEI!$G$35/HSCEI!$B$3,""))</f>
        <v/>
      </c>
      <c r="EE188" s="121">
        <f>IF(N('Dvd Calendar'!$E$1869)=0,"",IF(('Dvd Calendar'!$E$1869&gt;=GRID_FROM)*('Dvd Calendar'!$E$1869&lt;=GRID_TO)*((('Dvd Calendar'!$E$1869&lt;=VAL_DATE)+(COUNTIF('Dvd Calendar'!$E$1876:$AR$1876,'Dvd Calendar'!$E$1869)=0))&gt;0)=0,"",'Dvd Calendar'!$E$1869*1000000000+ISNUMBER('Dvd Calendar'!$E$1872)*100000000+('Dvd Calendar'!$E$1874=SPECIAL_LBL)*10000000+(N('Dvd Calendar'!$E$1868)&gt;0)*(N('Dvd Calendar'!$E$1868)&lt;=VAL_SERIAL)*1000000+29*1000+1))</f>
        <v/>
      </c>
      <c r="EF188" s="121">
        <f>IF(N('Dvd Calendar'!$F$1869)=0,"",IF(('Dvd Calendar'!$F$1869&gt;=GRID_FROM)*('Dvd Calendar'!$F$1869&lt;=GRID_TO)*((('Dvd Calendar'!$F$1869&lt;=VAL_DATE)+(COUNTIF('Dvd Calendar'!$E$1876:$AR$1876,'Dvd Calendar'!$F$1869)=0))&gt;0)=0,"",'Dvd Calendar'!$F$1869*1000000000+ISNUMBER('Dvd Calendar'!$F$1872)*100000000+('Dvd Calendar'!$F$1874=SPECIAL_LBL)*10000000+(N('Dvd Calendar'!$F$1868)&gt;0)*(N('Dvd Calendar'!$F$1868)&lt;=VAL_SERIAL)*1000000+29*1000+2))</f>
        <v/>
      </c>
      <c r="EG188" s="121">
        <f>IF(N('Dvd Calendar'!$G$1869)=0,"",IF(('Dvd Calendar'!$G$1869&gt;=GRID_FROM)*('Dvd Calendar'!$G$1869&lt;=GRID_TO)*((('Dvd Calendar'!$G$1869&lt;=VAL_DATE)+(COUNTIF('Dvd Calendar'!$E$1876:$AR$1876,'Dvd Calendar'!$G$1869)=0))&gt;0)=0,"",'Dvd Calendar'!$G$1869*1000000000+ISNUMBER('Dvd Calendar'!$G$1872)*100000000+('Dvd Calendar'!$G$1874=SPECIAL_LBL)*10000000+(N('Dvd Calendar'!$G$1868)&gt;0)*(N('Dvd Calendar'!$G$1868)&lt;=VAL_SERIAL)*1000000+29*1000+3))</f>
        <v/>
      </c>
      <c r="EH188" s="121">
        <f>IF(N('Dvd Calendar'!$H$1869)=0,"",IF(('Dvd Calendar'!$H$1869&gt;=GRID_FROM)*('Dvd Calendar'!$H$1869&lt;=GRID_TO)*((('Dvd Calendar'!$H$1869&lt;=VAL_DATE)+(COUNTIF('Dvd Calendar'!$E$1876:$AR$1876,'Dvd Calendar'!$H$1869)=0))&gt;0)=0,"",'Dvd Calendar'!$H$1869*1000000000+ISNUMBER('Dvd Calendar'!$H$1872)*100000000+('Dvd Calendar'!$H$1874=SPECIAL_LBL)*10000000+(N('Dvd Calendar'!$H$1868)&gt;0)*(N('Dvd Calendar'!$H$1868)&lt;=VAL_SERIAL)*1000000+29*1000+4))</f>
        <v/>
      </c>
      <c r="EI188" s="121">
        <f>IF(N('Dvd Calendar'!$I$1869)=0,"",IF(('Dvd Calendar'!$I$1869&gt;=GRID_FROM)*('Dvd Calendar'!$I$1869&lt;=GRID_TO)*((('Dvd Calendar'!$I$1869&lt;=VAL_DATE)+(COUNTIF('Dvd Calendar'!$E$1876:$AR$1876,'Dvd Calendar'!$I$1869)=0))&gt;0)=0,"",'Dvd Calendar'!$I$1869*1000000000+ISNUMBER('Dvd Calendar'!$I$1872)*100000000+('Dvd Calendar'!$I$1874=SPECIAL_LBL)*10000000+(N('Dvd Calendar'!$I$1868)&gt;0)*(N('Dvd Calendar'!$I$1868)&lt;=VAL_SERIAL)*1000000+29*1000+5))</f>
        <v/>
      </c>
      <c r="EJ188" s="121">
        <f>IF(N('Dvd Calendar'!$J$1869)=0,"",IF(('Dvd Calendar'!$J$1869&gt;=GRID_FROM)*('Dvd Calendar'!$J$1869&lt;=GRID_TO)*((('Dvd Calendar'!$J$1869&lt;=VAL_DATE)+(COUNTIF('Dvd Calendar'!$E$1876:$AR$1876,'Dvd Calendar'!$J$1869)=0))&gt;0)=0,"",'Dvd Calendar'!$J$1869*1000000000+ISNUMBER('Dvd Calendar'!$J$1872)*100000000+('Dvd Calendar'!$J$1874=SPECIAL_LBL)*10000000+(N('Dvd Calendar'!$J$1868)&gt;0)*(N('Dvd Calendar'!$J$1868)&lt;=VAL_SERIAL)*1000000+29*1000+6))</f>
        <v/>
      </c>
      <c r="EK188" s="121">
        <f>IF(N('Dvd Calendar'!$K$1869)=0,"",IF(('Dvd Calendar'!$K$1869&gt;=GRID_FROM)*('Dvd Calendar'!$K$1869&lt;=GRID_TO)*((('Dvd Calendar'!$K$1869&lt;=VAL_DATE)+(COUNTIF('Dvd Calendar'!$E$1876:$AR$1876,'Dvd Calendar'!$K$1869)=0))&gt;0)=0,"",'Dvd Calendar'!$K$1869*1000000000+ISNUMBER('Dvd Calendar'!$K$1872)*100000000+('Dvd Calendar'!$K$1874=SPECIAL_LBL)*10000000+(N('Dvd Calendar'!$K$1868)&gt;0)*(N('Dvd Calendar'!$K$1868)&lt;=VAL_SERIAL)*1000000+29*1000+7))</f>
        <v/>
      </c>
      <c r="EL188" s="121">
        <f>IF(N('Dvd Calendar'!$L$1869)=0,"",IF(('Dvd Calendar'!$L$1869&gt;=GRID_FROM)*('Dvd Calendar'!$L$1869&lt;=GRID_TO)*((('Dvd Calendar'!$L$1869&lt;=VAL_DATE)+(COUNTIF('Dvd Calendar'!$E$1876:$AR$1876,'Dvd Calendar'!$L$1869)=0))&gt;0)=0,"",'Dvd Calendar'!$L$1869*1000000000+ISNUMBER('Dvd Calendar'!$L$1872)*100000000+('Dvd Calendar'!$L$1874=SPECIAL_LBL)*10000000+(N('Dvd Calendar'!$L$1868)&gt;0)*(N('Dvd Calendar'!$L$1868)&lt;=VAL_SERIAL)*1000000+29*1000+8))</f>
        <v/>
      </c>
      <c r="EM188" s="121">
        <f>IF(N('Dvd Calendar'!$M$1869)=0,"",IF(('Dvd Calendar'!$M$1869&gt;=GRID_FROM)*('Dvd Calendar'!$M$1869&lt;=GRID_TO)*((('Dvd Calendar'!$M$1869&lt;=VAL_DATE)+(COUNTIF('Dvd Calendar'!$E$1876:$AR$1876,'Dvd Calendar'!$M$1869)=0))&gt;0)=0,"",'Dvd Calendar'!$M$1869*1000000000+ISNUMBER('Dvd Calendar'!$M$1872)*100000000+('Dvd Calendar'!$M$1874=SPECIAL_LBL)*10000000+(N('Dvd Calendar'!$M$1868)&gt;0)*(N('Dvd Calendar'!$M$1868)&lt;=VAL_SERIAL)*1000000+29*1000+9))</f>
        <v/>
      </c>
      <c r="EN188" s="121">
        <f>IF(N('Dvd Calendar'!$N$1869)=0,"",IF(('Dvd Calendar'!$N$1869&gt;=GRID_FROM)*('Dvd Calendar'!$N$1869&lt;=GRID_TO)*((('Dvd Calendar'!$N$1869&lt;=VAL_DATE)+(COUNTIF('Dvd Calendar'!$E$1876:$AR$1876,'Dvd Calendar'!$N$1869)=0))&gt;0)=0,"",'Dvd Calendar'!$N$1869*1000000000+ISNUMBER('Dvd Calendar'!$N$1872)*100000000+('Dvd Calendar'!$N$1874=SPECIAL_LBL)*10000000+(N('Dvd Calendar'!$N$1868)&gt;0)*(N('Dvd Calendar'!$N$1868)&lt;=VAL_SERIAL)*1000000+29*1000+10))</f>
        <v/>
      </c>
      <c r="EO188" s="121">
        <f>IF(N('Dvd Calendar'!$O$1869)=0,"",IF(('Dvd Calendar'!$O$1869&gt;=GRID_FROM)*('Dvd Calendar'!$O$1869&lt;=GRID_TO)*((('Dvd Calendar'!$O$1869&lt;=VAL_DATE)+(COUNTIF('Dvd Calendar'!$E$1876:$AR$1876,'Dvd Calendar'!$O$1869)=0))&gt;0)=0,"",'Dvd Calendar'!$O$1869*1000000000+ISNUMBER('Dvd Calendar'!$O$1872)*100000000+('Dvd Calendar'!$O$1874=SPECIAL_LBL)*10000000+(N('Dvd Calendar'!$O$1868)&gt;0)*(N('Dvd Calendar'!$O$1868)&lt;=VAL_SERIAL)*1000000+29*1000+11))</f>
        <v/>
      </c>
      <c r="EP188" s="121">
        <f>IF(N('Dvd Calendar'!$P$1869)=0,"",IF(('Dvd Calendar'!$P$1869&gt;=GRID_FROM)*('Dvd Calendar'!$P$1869&lt;=GRID_TO)*((('Dvd Calendar'!$P$1869&lt;=VAL_DATE)+(COUNTIF('Dvd Calendar'!$E$1876:$AR$1876,'Dvd Calendar'!$P$1869)=0))&gt;0)=0,"",'Dvd Calendar'!$P$1869*1000000000+ISNUMBER('Dvd Calendar'!$P$1872)*100000000+('Dvd Calendar'!$P$1874=SPECIAL_LBL)*10000000+(N('Dvd Calendar'!$P$1868)&gt;0)*(N('Dvd Calendar'!$P$1868)&lt;=VAL_SERIAL)*1000000+29*1000+12))</f>
        <v/>
      </c>
      <c r="EQ188" s="121">
        <f>IF(N('Dvd Calendar'!$Q$1869)=0,"",IF(('Dvd Calendar'!$Q$1869&gt;=GRID_FROM)*('Dvd Calendar'!$Q$1869&lt;=GRID_TO)*((('Dvd Calendar'!$Q$1869&lt;=VAL_DATE)+(COUNTIF('Dvd Calendar'!$E$1876:$AR$1876,'Dvd Calendar'!$Q$1869)=0))&gt;0)=0,"",'Dvd Calendar'!$Q$1869*1000000000+ISNUMBER('Dvd Calendar'!$Q$1872)*100000000+('Dvd Calendar'!$Q$1874=SPECIAL_LBL)*10000000+(N('Dvd Calendar'!$Q$1868)&gt;0)*(N('Dvd Calendar'!$Q$1868)&lt;=VAL_SERIAL)*1000000+29*1000+13))</f>
        <v/>
      </c>
      <c r="ER188" s="121">
        <f>IF(N('Dvd Calendar'!$R$1869)=0,"",IF(('Dvd Calendar'!$R$1869&gt;=GRID_FROM)*('Dvd Calendar'!$R$1869&lt;=GRID_TO)*((('Dvd Calendar'!$R$1869&lt;=VAL_DATE)+(COUNTIF('Dvd Calendar'!$E$1876:$AR$1876,'Dvd Calendar'!$R$1869)=0))&gt;0)=0,"",'Dvd Calendar'!$R$1869*1000000000+ISNUMBER('Dvd Calendar'!$R$1872)*100000000+('Dvd Calendar'!$R$1874=SPECIAL_LBL)*10000000+(N('Dvd Calendar'!$R$1868)&gt;0)*(N('Dvd Calendar'!$R$1868)&lt;=VAL_SERIAL)*1000000+29*1000+14))</f>
        <v/>
      </c>
      <c r="ES188" s="121">
        <f>IF(N('Dvd Calendar'!$S$1869)=0,"",IF(('Dvd Calendar'!$S$1869&gt;=GRID_FROM)*('Dvd Calendar'!$S$1869&lt;=GRID_TO)*((('Dvd Calendar'!$S$1869&lt;=VAL_DATE)+(COUNTIF('Dvd Calendar'!$E$1876:$AR$1876,'Dvd Calendar'!$S$1869)=0))&gt;0)=0,"",'Dvd Calendar'!$S$1869*1000000000+ISNUMBER('Dvd Calendar'!$S$1872)*100000000+('Dvd Calendar'!$S$1874=SPECIAL_LBL)*10000000+(N('Dvd Calendar'!$S$1868)&gt;0)*(N('Dvd Calendar'!$S$1868)&lt;=VAL_SERIAL)*1000000+29*1000+15))</f>
        <v/>
      </c>
      <c r="ET188" s="121">
        <f>IF(N('Dvd Calendar'!$T$1869)=0,"",IF(('Dvd Calendar'!$T$1869&gt;=GRID_FROM)*('Dvd Calendar'!$T$1869&lt;=GRID_TO)*((('Dvd Calendar'!$T$1869&lt;=VAL_DATE)+(COUNTIF('Dvd Calendar'!$E$1876:$AR$1876,'Dvd Calendar'!$T$1869)=0))&gt;0)=0,"",'Dvd Calendar'!$T$1869*1000000000+ISNUMBER('Dvd Calendar'!$T$1872)*100000000+('Dvd Calendar'!$T$1874=SPECIAL_LBL)*10000000+(N('Dvd Calendar'!$T$1868)&gt;0)*(N('Dvd Calendar'!$T$1868)&lt;=VAL_SERIAL)*1000000+29*1000+16))</f>
        <v/>
      </c>
      <c r="EU188" s="121">
        <f>IF(N('Dvd Calendar'!$U$1869)=0,"",IF(('Dvd Calendar'!$U$1869&gt;=GRID_FROM)*('Dvd Calendar'!$U$1869&lt;=GRID_TO)*((('Dvd Calendar'!$U$1869&lt;=VAL_DATE)+(COUNTIF('Dvd Calendar'!$E$1876:$AR$1876,'Dvd Calendar'!$U$1869)=0))&gt;0)=0,"",'Dvd Calendar'!$U$1869*1000000000+ISNUMBER('Dvd Calendar'!$U$1872)*100000000+('Dvd Calendar'!$U$1874=SPECIAL_LBL)*10000000+(N('Dvd Calendar'!$U$1868)&gt;0)*(N('Dvd Calendar'!$U$1868)&lt;=VAL_SERIAL)*1000000+29*1000+17))</f>
        <v/>
      </c>
      <c r="EV188" s="121">
        <f>IF(N('Dvd Calendar'!$V$1869)=0,"",IF(('Dvd Calendar'!$V$1869&gt;=GRID_FROM)*('Dvd Calendar'!$V$1869&lt;=GRID_TO)*((('Dvd Calendar'!$V$1869&lt;=VAL_DATE)+(COUNTIF('Dvd Calendar'!$E$1876:$AR$1876,'Dvd Calendar'!$V$1869)=0))&gt;0)=0,"",'Dvd Calendar'!$V$1869*1000000000+ISNUMBER('Dvd Calendar'!$V$1872)*100000000+('Dvd Calendar'!$V$1874=SPECIAL_LBL)*10000000+(N('Dvd Calendar'!$V$1868)&gt;0)*(N('Dvd Calendar'!$V$1868)&lt;=VAL_SERIAL)*1000000+29*1000+18))</f>
        <v/>
      </c>
      <c r="EW188" s="121">
        <f>IF(N('Dvd Calendar'!$W$1869)=0,"",IF(('Dvd Calendar'!$W$1869&gt;=GRID_FROM)*('Dvd Calendar'!$W$1869&lt;=GRID_TO)*((('Dvd Calendar'!$W$1869&lt;=VAL_DATE)+(COUNTIF('Dvd Calendar'!$E$1876:$AR$1876,'Dvd Calendar'!$W$1869)=0))&gt;0)=0,"",'Dvd Calendar'!$W$1869*1000000000+ISNUMBER('Dvd Calendar'!$W$1872)*100000000+('Dvd Calendar'!$W$1874=SPECIAL_LBL)*10000000+(N('Dvd Calendar'!$W$1868)&gt;0)*(N('Dvd Calendar'!$W$1868)&lt;=VAL_SERIAL)*1000000+29*1000+19))</f>
        <v/>
      </c>
      <c r="EX188" s="121">
        <f>IF(N('Dvd Calendar'!$X$1869)=0,"",IF(('Dvd Calendar'!$X$1869&gt;=GRID_FROM)*('Dvd Calendar'!$X$1869&lt;=GRID_TO)*((('Dvd Calendar'!$X$1869&lt;=VAL_DATE)+(COUNTIF('Dvd Calendar'!$E$1876:$AR$1876,'Dvd Calendar'!$X$1869)=0))&gt;0)=0,"",'Dvd Calendar'!$X$1869*1000000000+ISNUMBER('Dvd Calendar'!$X$1872)*100000000+('Dvd Calendar'!$X$1874=SPECIAL_LBL)*10000000+(N('Dvd Calendar'!$X$1868)&gt;0)*(N('Dvd Calendar'!$X$1868)&lt;=VAL_SERIAL)*1000000+29*1000+20))</f>
        <v/>
      </c>
      <c r="EY188" s="121">
        <f>IF(N('Dvd Calendar'!$Y$1869)=0,"",IF(('Dvd Calendar'!$Y$1869&gt;=GRID_FROM)*('Dvd Calendar'!$Y$1869&lt;=GRID_TO)*((('Dvd Calendar'!$Y$1869&lt;=VAL_DATE)+(COUNTIF('Dvd Calendar'!$E$1876:$AR$1876,'Dvd Calendar'!$Y$1869)=0))&gt;0)=0,"",'Dvd Calendar'!$Y$1869*1000000000+ISNUMBER('Dvd Calendar'!$Y$1872)*100000000+('Dvd Calendar'!$Y$1874=SPECIAL_LBL)*10000000+(N('Dvd Calendar'!$Y$1868)&gt;0)*(N('Dvd Calendar'!$Y$1868)&lt;=VAL_SERIAL)*1000000+29*1000+21))</f>
        <v/>
      </c>
      <c r="EZ188" s="121">
        <f>IF(N('Dvd Calendar'!$Z$1869)=0,"",IF(('Dvd Calendar'!$Z$1869&gt;=GRID_FROM)*('Dvd Calendar'!$Z$1869&lt;=GRID_TO)*((('Dvd Calendar'!$Z$1869&lt;=VAL_DATE)+(COUNTIF('Dvd Calendar'!$E$1876:$AR$1876,'Dvd Calendar'!$Z$1869)=0))&gt;0)=0,"",'Dvd Calendar'!$Z$1869*1000000000+ISNUMBER('Dvd Calendar'!$Z$1872)*100000000+('Dvd Calendar'!$Z$1874=SPECIAL_LBL)*10000000+(N('Dvd Calendar'!$Z$1868)&gt;0)*(N('Dvd Calendar'!$Z$1868)&lt;=VAL_SERIAL)*1000000+29*1000+22))</f>
        <v/>
      </c>
      <c r="FA188" s="121">
        <f>IF(N('Dvd Calendar'!$AA$1869)=0,"",IF(('Dvd Calendar'!$AA$1869&gt;=GRID_FROM)*('Dvd Calendar'!$AA$1869&lt;=GRID_TO)*((('Dvd Calendar'!$AA$1869&lt;=VAL_DATE)+(COUNTIF('Dvd Calendar'!$E$1876:$AR$1876,'Dvd Calendar'!$AA$1869)=0))&gt;0)=0,"",'Dvd Calendar'!$AA$1869*1000000000+ISNUMBER('Dvd Calendar'!$AA$1872)*100000000+('Dvd Calendar'!$AA$1874=SPECIAL_LBL)*10000000+(N('Dvd Calendar'!$AA$1868)&gt;0)*(N('Dvd Calendar'!$AA$1868)&lt;=VAL_SERIAL)*1000000+29*1000+23))</f>
        <v/>
      </c>
      <c r="FB188" s="121">
        <f>IF(N('Dvd Calendar'!$AB$1869)=0,"",IF(('Dvd Calendar'!$AB$1869&gt;=GRID_FROM)*('Dvd Calendar'!$AB$1869&lt;=GRID_TO)*((('Dvd Calendar'!$AB$1869&lt;=VAL_DATE)+(COUNTIF('Dvd Calendar'!$E$1876:$AR$1876,'Dvd Calendar'!$AB$1869)=0))&gt;0)=0,"",'Dvd Calendar'!$AB$1869*1000000000+ISNUMBER('Dvd Calendar'!$AB$1872)*100000000+('Dvd Calendar'!$AB$1874=SPECIAL_LBL)*10000000+(N('Dvd Calendar'!$AB$1868)&gt;0)*(N('Dvd Calendar'!$AB$1868)&lt;=VAL_SERIAL)*1000000+29*1000+24))</f>
        <v/>
      </c>
      <c r="FC188" s="121">
        <f>IF(N('Dvd Calendar'!$AC$1869)=0,"",IF(('Dvd Calendar'!$AC$1869&gt;=GRID_FROM)*('Dvd Calendar'!$AC$1869&lt;=GRID_TO)*((('Dvd Calendar'!$AC$1869&lt;=VAL_DATE)+(COUNTIF('Dvd Calendar'!$E$1876:$AR$1876,'Dvd Calendar'!$AC$1869)=0))&gt;0)=0,"",'Dvd Calendar'!$AC$1869*1000000000+ISNUMBER('Dvd Calendar'!$AC$1872)*100000000+('Dvd Calendar'!$AC$1874=SPECIAL_LBL)*10000000+(N('Dvd Calendar'!$AC$1868)&gt;0)*(N('Dvd Calendar'!$AC$1868)&lt;=VAL_SERIAL)*1000000+29*1000+25))</f>
        <v/>
      </c>
      <c r="FD188" s="121">
        <f>IF(N('Dvd Calendar'!$AD$1869)=0,"",IF(('Dvd Calendar'!$AD$1869&gt;=GRID_FROM)*('Dvd Calendar'!$AD$1869&lt;=GRID_TO)*((('Dvd Calendar'!$AD$1869&lt;=VAL_DATE)+(COUNTIF('Dvd Calendar'!$E$1876:$AR$1876,'Dvd Calendar'!$AD$1869)=0))&gt;0)=0,"",'Dvd Calendar'!$AD$1869*1000000000+ISNUMBER('Dvd Calendar'!$AD$1872)*100000000+('Dvd Calendar'!$AD$1874=SPECIAL_LBL)*10000000+(N('Dvd Calendar'!$AD$1868)&gt;0)*(N('Dvd Calendar'!$AD$1868)&lt;=VAL_SERIAL)*1000000+29*1000+26))</f>
        <v/>
      </c>
      <c r="FE188" s="121">
        <f>IF(N('Dvd Calendar'!$AE$1869)=0,"",IF(('Dvd Calendar'!$AE$1869&gt;=GRID_FROM)*('Dvd Calendar'!$AE$1869&lt;=GRID_TO)*((('Dvd Calendar'!$AE$1869&lt;=VAL_DATE)+(COUNTIF('Dvd Calendar'!$E$1876:$AR$1876,'Dvd Calendar'!$AE$1869)=0))&gt;0)=0,"",'Dvd Calendar'!$AE$1869*1000000000+ISNUMBER('Dvd Calendar'!$AE$1872)*100000000+('Dvd Calendar'!$AE$1874=SPECIAL_LBL)*10000000+(N('Dvd Calendar'!$AE$1868)&gt;0)*(N('Dvd Calendar'!$AE$1868)&lt;=VAL_SERIAL)*1000000+29*1000+27))</f>
        <v/>
      </c>
      <c r="FF188" s="121">
        <f>IF(N('Dvd Calendar'!$AF$1869)=0,"",IF(('Dvd Calendar'!$AF$1869&gt;=GRID_FROM)*('Dvd Calendar'!$AF$1869&lt;=GRID_TO)*((('Dvd Calendar'!$AF$1869&lt;=VAL_DATE)+(COUNTIF('Dvd Calendar'!$E$1876:$AR$1876,'Dvd Calendar'!$AF$1869)=0))&gt;0)=0,"",'Dvd Calendar'!$AF$1869*1000000000+ISNUMBER('Dvd Calendar'!$AF$1872)*100000000+('Dvd Calendar'!$AF$1874=SPECIAL_LBL)*10000000+(N('Dvd Calendar'!$AF$1868)&gt;0)*(N('Dvd Calendar'!$AF$1868)&lt;=VAL_SERIAL)*1000000+29*1000+28))</f>
        <v/>
      </c>
      <c r="FG188" s="121">
        <f>IF(N('Dvd Calendar'!$AG$1869)=0,"",IF(('Dvd Calendar'!$AG$1869&gt;=GRID_FROM)*('Dvd Calendar'!$AG$1869&lt;=GRID_TO)*((('Dvd Calendar'!$AG$1869&lt;=VAL_DATE)+(COUNTIF('Dvd Calendar'!$E$1876:$AR$1876,'Dvd Calendar'!$AG$1869)=0))&gt;0)=0,"",'Dvd Calendar'!$AG$1869*1000000000+ISNUMBER('Dvd Calendar'!$AG$1872)*100000000+('Dvd Calendar'!$AG$1874=SPECIAL_LBL)*10000000+(N('Dvd Calendar'!$AG$1868)&gt;0)*(N('Dvd Calendar'!$AG$1868)&lt;=VAL_SERIAL)*1000000+29*1000+29))</f>
        <v/>
      </c>
      <c r="FH188" s="121">
        <f>IF(N('Dvd Calendar'!$AH$1869)=0,"",IF(('Dvd Calendar'!$AH$1869&gt;=GRID_FROM)*('Dvd Calendar'!$AH$1869&lt;=GRID_TO)*((('Dvd Calendar'!$AH$1869&lt;=VAL_DATE)+(COUNTIF('Dvd Calendar'!$E$1876:$AR$1876,'Dvd Calendar'!$AH$1869)=0))&gt;0)=0,"",'Dvd Calendar'!$AH$1869*1000000000+ISNUMBER('Dvd Calendar'!$AH$1872)*100000000+('Dvd Calendar'!$AH$1874=SPECIAL_LBL)*10000000+(N('Dvd Calendar'!$AH$1868)&gt;0)*(N('Dvd Calendar'!$AH$1868)&lt;=VAL_SERIAL)*1000000+29*1000+30))</f>
        <v/>
      </c>
      <c r="FI188" s="121">
        <f>IF(N('Dvd Calendar'!$AI$1869)=0,"",IF(('Dvd Calendar'!$AI$1869&gt;=GRID_FROM)*('Dvd Calendar'!$AI$1869&lt;=GRID_TO)*((('Dvd Calendar'!$AI$1869&lt;=VAL_DATE)+(COUNTIF('Dvd Calendar'!$E$1876:$AR$1876,'Dvd Calendar'!$AI$1869)=0))&gt;0)=0,"",'Dvd Calendar'!$AI$1869*1000000000+ISNUMBER('Dvd Calendar'!$AI$1872)*100000000+('Dvd Calendar'!$AI$1874=SPECIAL_LBL)*10000000+(N('Dvd Calendar'!$AI$1868)&gt;0)*(N('Dvd Calendar'!$AI$1868)&lt;=VAL_SERIAL)*1000000+29*1000+31))</f>
        <v/>
      </c>
      <c r="FJ188" s="121">
        <f>IF(N('Dvd Calendar'!$AJ$1869)=0,"",IF(('Dvd Calendar'!$AJ$1869&gt;=GRID_FROM)*('Dvd Calendar'!$AJ$1869&lt;=GRID_TO)*((('Dvd Calendar'!$AJ$1869&lt;=VAL_DATE)+(COUNTIF('Dvd Calendar'!$E$1876:$AR$1876,'Dvd Calendar'!$AJ$1869)=0))&gt;0)=0,"",'Dvd Calendar'!$AJ$1869*1000000000+ISNUMBER('Dvd Calendar'!$AJ$1872)*100000000+('Dvd Calendar'!$AJ$1874=SPECIAL_LBL)*10000000+(N('Dvd Calendar'!$AJ$1868)&gt;0)*(N('Dvd Calendar'!$AJ$1868)&lt;=VAL_SERIAL)*1000000+29*1000+32))</f>
        <v/>
      </c>
      <c r="FK188" s="121">
        <f>IF(N('Dvd Calendar'!$AK$1869)=0,"",IF(('Dvd Calendar'!$AK$1869&gt;=GRID_FROM)*('Dvd Calendar'!$AK$1869&lt;=GRID_TO)*((('Dvd Calendar'!$AK$1869&lt;=VAL_DATE)+(COUNTIF('Dvd Calendar'!$E$1876:$AR$1876,'Dvd Calendar'!$AK$1869)=0))&gt;0)=0,"",'Dvd Calendar'!$AK$1869*1000000000+ISNUMBER('Dvd Calendar'!$AK$1872)*100000000+('Dvd Calendar'!$AK$1874=SPECIAL_LBL)*10000000+(N('Dvd Calendar'!$AK$1868)&gt;0)*(N('Dvd Calendar'!$AK$1868)&lt;=VAL_SERIAL)*1000000+29*1000+33))</f>
        <v/>
      </c>
      <c r="FL188" s="121">
        <f>IF(N('Dvd Calendar'!$AL$1869)=0,"",IF(('Dvd Calendar'!$AL$1869&gt;=GRID_FROM)*('Dvd Calendar'!$AL$1869&lt;=GRID_TO)*((('Dvd Calendar'!$AL$1869&lt;=VAL_DATE)+(COUNTIF('Dvd Calendar'!$E$1876:$AR$1876,'Dvd Calendar'!$AL$1869)=0))&gt;0)=0,"",'Dvd Calendar'!$AL$1869*1000000000+ISNUMBER('Dvd Calendar'!$AL$1872)*100000000+('Dvd Calendar'!$AL$1874=SPECIAL_LBL)*10000000+(N('Dvd Calendar'!$AL$1868)&gt;0)*(N('Dvd Calendar'!$AL$1868)&lt;=VAL_SERIAL)*1000000+29*1000+34))</f>
        <v/>
      </c>
      <c r="FM188" s="121">
        <f>IF(N('Dvd Calendar'!$AM$1869)=0,"",IF(('Dvd Calendar'!$AM$1869&gt;=GRID_FROM)*('Dvd Calendar'!$AM$1869&lt;=GRID_TO)*((('Dvd Calendar'!$AM$1869&lt;=VAL_DATE)+(COUNTIF('Dvd Calendar'!$E$1876:$AR$1876,'Dvd Calendar'!$AM$1869)=0))&gt;0)=0,"",'Dvd Calendar'!$AM$1869*1000000000+ISNUMBER('Dvd Calendar'!$AM$1872)*100000000+('Dvd Calendar'!$AM$1874=SPECIAL_LBL)*10000000+(N('Dvd Calendar'!$AM$1868)&gt;0)*(N('Dvd Calendar'!$AM$1868)&lt;=VAL_SERIAL)*1000000+29*1000+35))</f>
        <v/>
      </c>
      <c r="FN188" s="121">
        <f>IF(N('Dvd Calendar'!$AN$1869)=0,"",IF(('Dvd Calendar'!$AN$1869&gt;=GRID_FROM)*('Dvd Calendar'!$AN$1869&lt;=GRID_TO)*((('Dvd Calendar'!$AN$1869&lt;=VAL_DATE)+(COUNTIF('Dvd Calendar'!$E$1876:$AR$1876,'Dvd Calendar'!$AN$1869)=0))&gt;0)=0,"",'Dvd Calendar'!$AN$1869*1000000000+ISNUMBER('Dvd Calendar'!$AN$1872)*100000000+('Dvd Calendar'!$AN$1874=SPECIAL_LBL)*10000000+(N('Dvd Calendar'!$AN$1868)&gt;0)*(N('Dvd Calendar'!$AN$1868)&lt;=VAL_SERIAL)*1000000+29*1000+36))</f>
        <v/>
      </c>
      <c r="FO188" s="121">
        <f>IF(N('Dvd Calendar'!$AO$1869)=0,"",IF(('Dvd Calendar'!$AO$1869&gt;=GRID_FROM)*('Dvd Calendar'!$AO$1869&lt;=GRID_TO)*((('Dvd Calendar'!$AO$1869&lt;=VAL_DATE)+(COUNTIF('Dvd Calendar'!$E$1876:$AR$1876,'Dvd Calendar'!$AO$1869)=0))&gt;0)=0,"",'Dvd Calendar'!$AO$1869*1000000000+ISNUMBER('Dvd Calendar'!$AO$1872)*100000000+('Dvd Calendar'!$AO$1874=SPECIAL_LBL)*10000000+(N('Dvd Calendar'!$AO$1868)&gt;0)*(N('Dvd Calendar'!$AO$1868)&lt;=VAL_SERIAL)*1000000+29*1000+37))</f>
        <v/>
      </c>
      <c r="FP188" s="121">
        <f>IF(N('Dvd Calendar'!$AP$1869)=0,"",IF(('Dvd Calendar'!$AP$1869&gt;=GRID_FROM)*('Dvd Calendar'!$AP$1869&lt;=GRID_TO)*((('Dvd Calendar'!$AP$1869&lt;=VAL_DATE)+(COUNTIF('Dvd Calendar'!$E$1876:$AR$1876,'Dvd Calendar'!$AP$1869)=0))&gt;0)=0,"",'Dvd Calendar'!$AP$1869*1000000000+ISNUMBER('Dvd Calendar'!$AP$1872)*100000000+('Dvd Calendar'!$AP$1874=SPECIAL_LBL)*10000000+(N('Dvd Calendar'!$AP$1868)&gt;0)*(N('Dvd Calendar'!$AP$1868)&lt;=VAL_SERIAL)*1000000+29*1000+38))</f>
        <v/>
      </c>
      <c r="FQ188" s="121">
        <f>IF(N('Dvd Calendar'!$AQ$1869)=0,"",IF(('Dvd Calendar'!$AQ$1869&gt;=GRID_FROM)*('Dvd Calendar'!$AQ$1869&lt;=GRID_TO)*((('Dvd Calendar'!$AQ$1869&lt;=VAL_DATE)+(COUNTIF('Dvd Calendar'!$E$1876:$AR$1876,'Dvd Calendar'!$AQ$1869)=0))&gt;0)=0,"",'Dvd Calendar'!$AQ$1869*1000000000+ISNUMBER('Dvd Calendar'!$AQ$1872)*100000000+('Dvd Calendar'!$AQ$1874=SPECIAL_LBL)*10000000+(N('Dvd Calendar'!$AQ$1868)&gt;0)*(N('Dvd Calendar'!$AQ$1868)&lt;=VAL_SERIAL)*1000000+29*1000+39))</f>
        <v/>
      </c>
      <c r="FR188" s="121">
        <f>IF(N('Dvd Calendar'!$AR$1869)=0,"",IF(('Dvd Calendar'!$AR$1869&gt;=GRID_FROM)*('Dvd Calendar'!$AR$1869&lt;=GRID_TO)*((('Dvd Calendar'!$AR$1869&lt;=VAL_DATE)+(COUNTIF('Dvd Calendar'!$E$1876:$AR$1876,'Dvd Calendar'!$AR$1869)=0))&gt;0)=0,"",'Dvd Calendar'!$AR$1869*1000000000+ISNUMBER('Dvd Calendar'!$AR$1872)*100000000+('Dvd Calendar'!$AR$1874=SPECIAL_LBL)*10000000+(N('Dvd Calendar'!$AR$1868)&gt;0)*(N('Dvd Calendar'!$AR$1868)&lt;=VAL_SERIAL)*1000000+29*1000+40))</f>
        <v/>
      </c>
      <c r="FS188" s="121">
        <f>IF(N('Dvd Calendar'!$E$1876)=0,"",IF(('Dvd Calendar'!$E$1876&gt;=GRID_FROM)*('Dvd Calendar'!$E$1876&lt;=GRID_TO)*('Dvd Calendar'!$E$1876&gt;VAL_DATE)=0,"",'Dvd Calendar'!$E$1876*1000000000+ISNUMBER('Dvd Calendar'!$E$1877)*100000000+0*10000000+(N('Dvd Calendar'!$E$1875)&gt;0)*(N('Dvd Calendar'!$E$1875)&lt;=VAL_SERIAL)*1000000+29*1000+41))</f>
        <v/>
      </c>
      <c r="FT188" s="121">
        <f>IF(N('Dvd Calendar'!$F$1876)=0,"",IF(('Dvd Calendar'!$F$1876&gt;=GRID_FROM)*('Dvd Calendar'!$F$1876&lt;=GRID_TO)*('Dvd Calendar'!$F$1876&gt;VAL_DATE)=0,"",'Dvd Calendar'!$F$1876*1000000000+ISNUMBER('Dvd Calendar'!$F$1877)*100000000+0*10000000+(N('Dvd Calendar'!$F$1875)&gt;0)*(N('Dvd Calendar'!$F$1875)&lt;=VAL_SERIAL)*1000000+29*1000+42))</f>
        <v/>
      </c>
      <c r="FU188" s="121">
        <f>IF(N('Dvd Calendar'!$G$1876)=0,"",IF(('Dvd Calendar'!$G$1876&gt;=GRID_FROM)*('Dvd Calendar'!$G$1876&lt;=GRID_TO)*('Dvd Calendar'!$G$1876&gt;VAL_DATE)=0,"",'Dvd Calendar'!$G$1876*1000000000+ISNUMBER('Dvd Calendar'!$G$1877)*100000000+0*10000000+(N('Dvd Calendar'!$G$1875)&gt;0)*(N('Dvd Calendar'!$G$1875)&lt;=VAL_SERIAL)*1000000+29*1000+43))</f>
        <v/>
      </c>
      <c r="FV188" s="121">
        <f>IF(N('Dvd Calendar'!$H$1876)=0,"",IF(('Dvd Calendar'!$H$1876&gt;=GRID_FROM)*('Dvd Calendar'!$H$1876&lt;=GRID_TO)*('Dvd Calendar'!$H$1876&gt;VAL_DATE)=0,"",'Dvd Calendar'!$H$1876*1000000000+ISNUMBER('Dvd Calendar'!$H$1877)*100000000+0*10000000+(N('Dvd Calendar'!$H$1875)&gt;0)*(N('Dvd Calendar'!$H$1875)&lt;=VAL_SERIAL)*1000000+29*1000+44))</f>
        <v/>
      </c>
      <c r="FW188" s="121">
        <f>IF(N('Dvd Calendar'!$I$1876)=0,"",IF(('Dvd Calendar'!$I$1876&gt;=GRID_FROM)*('Dvd Calendar'!$I$1876&lt;=GRID_TO)*('Dvd Calendar'!$I$1876&gt;VAL_DATE)=0,"",'Dvd Calendar'!$I$1876*1000000000+ISNUMBER('Dvd Calendar'!$I$1877)*100000000+0*10000000+(N('Dvd Calendar'!$I$1875)&gt;0)*(N('Dvd Calendar'!$I$1875)&lt;=VAL_SERIAL)*1000000+29*1000+45))</f>
        <v/>
      </c>
      <c r="FX188" s="121">
        <f>IF(N('Dvd Calendar'!$J$1876)=0,"",IF(('Dvd Calendar'!$J$1876&gt;=GRID_FROM)*('Dvd Calendar'!$J$1876&lt;=GRID_TO)*('Dvd Calendar'!$J$1876&gt;VAL_DATE)=0,"",'Dvd Calendar'!$J$1876*1000000000+ISNUMBER('Dvd Calendar'!$J$1877)*100000000+0*10000000+(N('Dvd Calendar'!$J$1875)&gt;0)*(N('Dvd Calendar'!$J$1875)&lt;=VAL_SERIAL)*1000000+29*1000+46))</f>
        <v/>
      </c>
      <c r="FY188" s="121">
        <f>IF(N('Dvd Calendar'!$K$1876)=0,"",IF(('Dvd Calendar'!$K$1876&gt;=GRID_FROM)*('Dvd Calendar'!$K$1876&lt;=GRID_TO)*('Dvd Calendar'!$K$1876&gt;VAL_DATE)=0,"",'Dvd Calendar'!$K$1876*1000000000+ISNUMBER('Dvd Calendar'!$K$1877)*100000000+0*10000000+(N('Dvd Calendar'!$K$1875)&gt;0)*(N('Dvd Calendar'!$K$1875)&lt;=VAL_SERIAL)*1000000+29*1000+47))</f>
        <v/>
      </c>
      <c r="FZ188" s="121">
        <f>IF(N('Dvd Calendar'!$L$1876)=0,"",IF(('Dvd Calendar'!$L$1876&gt;=GRID_FROM)*('Dvd Calendar'!$L$1876&lt;=GRID_TO)*('Dvd Calendar'!$L$1876&gt;VAL_DATE)=0,"",'Dvd Calendar'!$L$1876*1000000000+ISNUMBER('Dvd Calendar'!$L$1877)*100000000+0*10000000+(N('Dvd Calendar'!$L$1875)&gt;0)*(N('Dvd Calendar'!$L$1875)&lt;=VAL_SERIAL)*1000000+29*1000+48))</f>
        <v/>
      </c>
      <c r="GA188" s="121">
        <f>IF(N('Dvd Calendar'!$M$1876)=0,"",IF(('Dvd Calendar'!$M$1876&gt;=GRID_FROM)*('Dvd Calendar'!$M$1876&lt;=GRID_TO)*('Dvd Calendar'!$M$1876&gt;VAL_DATE)=0,"",'Dvd Calendar'!$M$1876*1000000000+ISNUMBER('Dvd Calendar'!$M$1877)*100000000+0*10000000+(N('Dvd Calendar'!$M$1875)&gt;0)*(N('Dvd Calendar'!$M$1875)&lt;=VAL_SERIAL)*1000000+29*1000+49))</f>
        <v/>
      </c>
      <c r="GB188" s="121">
        <f>IF(N('Dvd Calendar'!$N$1876)=0,"",IF(('Dvd Calendar'!$N$1876&gt;=GRID_FROM)*('Dvd Calendar'!$N$1876&lt;=GRID_TO)*('Dvd Calendar'!$N$1876&gt;VAL_DATE)=0,"",'Dvd Calendar'!$N$1876*1000000000+ISNUMBER('Dvd Calendar'!$N$1877)*100000000+0*10000000+(N('Dvd Calendar'!$N$1875)&gt;0)*(N('Dvd Calendar'!$N$1875)&lt;=VAL_SERIAL)*1000000+29*1000+50))</f>
        <v/>
      </c>
      <c r="GC188" s="121">
        <f>IF(N('Dvd Calendar'!$O$1876)=0,"",IF(('Dvd Calendar'!$O$1876&gt;=GRID_FROM)*('Dvd Calendar'!$O$1876&lt;=GRID_TO)*('Dvd Calendar'!$O$1876&gt;VAL_DATE)=0,"",'Dvd Calendar'!$O$1876*1000000000+ISNUMBER('Dvd Calendar'!$O$1877)*100000000+0*10000000+(N('Dvd Calendar'!$O$1875)&gt;0)*(N('Dvd Calendar'!$O$1875)&lt;=VAL_SERIAL)*1000000+29*1000+51))</f>
        <v/>
      </c>
      <c r="GD188" s="121">
        <f>IF(N('Dvd Calendar'!$P$1876)=0,"",IF(('Dvd Calendar'!$P$1876&gt;=GRID_FROM)*('Dvd Calendar'!$P$1876&lt;=GRID_TO)*('Dvd Calendar'!$P$1876&gt;VAL_DATE)=0,"",'Dvd Calendar'!$P$1876*1000000000+ISNUMBER('Dvd Calendar'!$P$1877)*100000000+0*10000000+(N('Dvd Calendar'!$P$1875)&gt;0)*(N('Dvd Calendar'!$P$1875)&lt;=VAL_SERIAL)*1000000+29*1000+52))</f>
        <v/>
      </c>
      <c r="GE188" s="121">
        <f>IF(N('Dvd Calendar'!$Q$1876)=0,"",IF(('Dvd Calendar'!$Q$1876&gt;=GRID_FROM)*('Dvd Calendar'!$Q$1876&lt;=GRID_TO)*('Dvd Calendar'!$Q$1876&gt;VAL_DATE)=0,"",'Dvd Calendar'!$Q$1876*1000000000+ISNUMBER('Dvd Calendar'!$Q$1877)*100000000+0*10000000+(N('Dvd Calendar'!$Q$1875)&gt;0)*(N('Dvd Calendar'!$Q$1875)&lt;=VAL_SERIAL)*1000000+29*1000+53))</f>
        <v/>
      </c>
      <c r="GF188" s="121">
        <f>IF(N('Dvd Calendar'!$R$1876)=0,"",IF(('Dvd Calendar'!$R$1876&gt;=GRID_FROM)*('Dvd Calendar'!$R$1876&lt;=GRID_TO)*('Dvd Calendar'!$R$1876&gt;VAL_DATE)=0,"",'Dvd Calendar'!$R$1876*1000000000+ISNUMBER('Dvd Calendar'!$R$1877)*100000000+0*10000000+(N('Dvd Calendar'!$R$1875)&gt;0)*(N('Dvd Calendar'!$R$1875)&lt;=VAL_SERIAL)*1000000+29*1000+54))</f>
        <v/>
      </c>
      <c r="GG188" s="121">
        <f>IF(N('Dvd Calendar'!$S$1876)=0,"",IF(('Dvd Calendar'!$S$1876&gt;=GRID_FROM)*('Dvd Calendar'!$S$1876&lt;=GRID_TO)*('Dvd Calendar'!$S$1876&gt;VAL_DATE)=0,"",'Dvd Calendar'!$S$1876*1000000000+ISNUMBER('Dvd Calendar'!$S$1877)*100000000+0*10000000+(N('Dvd Calendar'!$S$1875)&gt;0)*(N('Dvd Calendar'!$S$1875)&lt;=VAL_SERIAL)*1000000+29*1000+55))</f>
        <v/>
      </c>
      <c r="GH188" s="121">
        <f>IF(N('Dvd Calendar'!$T$1876)=0,"",IF(('Dvd Calendar'!$T$1876&gt;=GRID_FROM)*('Dvd Calendar'!$T$1876&lt;=GRID_TO)*('Dvd Calendar'!$T$1876&gt;VAL_DATE)=0,"",'Dvd Calendar'!$T$1876*1000000000+ISNUMBER('Dvd Calendar'!$T$1877)*100000000+0*10000000+(N('Dvd Calendar'!$T$1875)&gt;0)*(N('Dvd Calendar'!$T$1875)&lt;=VAL_SERIAL)*1000000+29*1000+56))</f>
        <v/>
      </c>
      <c r="GI188" s="121">
        <f>IF(N('Dvd Calendar'!$U$1876)=0,"",IF(('Dvd Calendar'!$U$1876&gt;=GRID_FROM)*('Dvd Calendar'!$U$1876&lt;=GRID_TO)*('Dvd Calendar'!$U$1876&gt;VAL_DATE)=0,"",'Dvd Calendar'!$U$1876*1000000000+ISNUMBER('Dvd Calendar'!$U$1877)*100000000+0*10000000+(N('Dvd Calendar'!$U$1875)&gt;0)*(N('Dvd Calendar'!$U$1875)&lt;=VAL_SERIAL)*1000000+29*1000+57))</f>
        <v/>
      </c>
      <c r="GJ188" s="121">
        <f>IF(N('Dvd Calendar'!$V$1876)=0,"",IF(('Dvd Calendar'!$V$1876&gt;=GRID_FROM)*('Dvd Calendar'!$V$1876&lt;=GRID_TO)*('Dvd Calendar'!$V$1876&gt;VAL_DATE)=0,"",'Dvd Calendar'!$V$1876*1000000000+ISNUMBER('Dvd Calendar'!$V$1877)*100000000+0*10000000+(N('Dvd Calendar'!$V$1875)&gt;0)*(N('Dvd Calendar'!$V$1875)&lt;=VAL_SERIAL)*1000000+29*1000+58))</f>
        <v/>
      </c>
      <c r="GK188" s="121">
        <f>IF(N('Dvd Calendar'!$W$1876)=0,"",IF(('Dvd Calendar'!$W$1876&gt;=GRID_FROM)*('Dvd Calendar'!$W$1876&lt;=GRID_TO)*('Dvd Calendar'!$W$1876&gt;VAL_DATE)=0,"",'Dvd Calendar'!$W$1876*1000000000+ISNUMBER('Dvd Calendar'!$W$1877)*100000000+0*10000000+(N('Dvd Calendar'!$W$1875)&gt;0)*(N('Dvd Calendar'!$W$1875)&lt;=VAL_SERIAL)*1000000+29*1000+59))</f>
        <v/>
      </c>
      <c r="GL188" s="121">
        <f>IF(N('Dvd Calendar'!$X$1876)=0,"",IF(('Dvd Calendar'!$X$1876&gt;=GRID_FROM)*('Dvd Calendar'!$X$1876&lt;=GRID_TO)*('Dvd Calendar'!$X$1876&gt;VAL_DATE)=0,"",'Dvd Calendar'!$X$1876*1000000000+ISNUMBER('Dvd Calendar'!$X$1877)*100000000+0*10000000+(N('Dvd Calendar'!$X$1875)&gt;0)*(N('Dvd Calendar'!$X$1875)&lt;=VAL_SERIAL)*1000000+29*1000+60))</f>
        <v/>
      </c>
      <c r="GM188" s="121">
        <f>IF(N('Dvd Calendar'!$Y$1876)=0,"",IF(('Dvd Calendar'!$Y$1876&gt;=GRID_FROM)*('Dvd Calendar'!$Y$1876&lt;=GRID_TO)*('Dvd Calendar'!$Y$1876&gt;VAL_DATE)=0,"",'Dvd Calendar'!$Y$1876*1000000000+ISNUMBER('Dvd Calendar'!$Y$1877)*100000000+0*10000000+(N('Dvd Calendar'!$Y$1875)&gt;0)*(N('Dvd Calendar'!$Y$1875)&lt;=VAL_SERIAL)*1000000+29*1000+61))</f>
        <v/>
      </c>
      <c r="GN188" s="121">
        <f>IF(N('Dvd Calendar'!$Z$1876)=0,"",IF(('Dvd Calendar'!$Z$1876&gt;=GRID_FROM)*('Dvd Calendar'!$Z$1876&lt;=GRID_TO)*('Dvd Calendar'!$Z$1876&gt;VAL_DATE)=0,"",'Dvd Calendar'!$Z$1876*1000000000+ISNUMBER('Dvd Calendar'!$Z$1877)*100000000+0*10000000+(N('Dvd Calendar'!$Z$1875)&gt;0)*(N('Dvd Calendar'!$Z$1875)&lt;=VAL_SERIAL)*1000000+29*1000+62))</f>
        <v/>
      </c>
      <c r="GO188" s="121">
        <f>IF(N('Dvd Calendar'!$AA$1876)=0,"",IF(('Dvd Calendar'!$AA$1876&gt;=GRID_FROM)*('Dvd Calendar'!$AA$1876&lt;=GRID_TO)*('Dvd Calendar'!$AA$1876&gt;VAL_DATE)=0,"",'Dvd Calendar'!$AA$1876*1000000000+ISNUMBER('Dvd Calendar'!$AA$1877)*100000000+0*10000000+(N('Dvd Calendar'!$AA$1875)&gt;0)*(N('Dvd Calendar'!$AA$1875)&lt;=VAL_SERIAL)*1000000+29*1000+63))</f>
        <v/>
      </c>
      <c r="GP188" s="121">
        <f>IF(N('Dvd Calendar'!$AB$1876)=0,"",IF(('Dvd Calendar'!$AB$1876&gt;=GRID_FROM)*('Dvd Calendar'!$AB$1876&lt;=GRID_TO)*('Dvd Calendar'!$AB$1876&gt;VAL_DATE)=0,"",'Dvd Calendar'!$AB$1876*1000000000+ISNUMBER('Dvd Calendar'!$AB$1877)*100000000+0*10000000+(N('Dvd Calendar'!$AB$1875)&gt;0)*(N('Dvd Calendar'!$AB$1875)&lt;=VAL_SERIAL)*1000000+29*1000+64))</f>
        <v/>
      </c>
      <c r="GQ188" s="121">
        <f>IF(N('Dvd Calendar'!$AC$1876)=0,"",IF(('Dvd Calendar'!$AC$1876&gt;=GRID_FROM)*('Dvd Calendar'!$AC$1876&lt;=GRID_TO)*('Dvd Calendar'!$AC$1876&gt;VAL_DATE)=0,"",'Dvd Calendar'!$AC$1876*1000000000+ISNUMBER('Dvd Calendar'!$AC$1877)*100000000+0*10000000+(N('Dvd Calendar'!$AC$1875)&gt;0)*(N('Dvd Calendar'!$AC$1875)&lt;=VAL_SERIAL)*1000000+29*1000+65))</f>
        <v/>
      </c>
    </row>
    <row r="189">
      <c r="B189" s="2">
        <f>IF(HSCEI!$C$36="","",HSCEI!$C$36)</f>
        <v/>
      </c>
      <c r="C189" s="161">
        <f>IF(EE189="","",IF(ISNUMBER('Dvd Calendar'!$E$1883)=FALSE,"",IF((('Dvd Calendar'!$E$1885=TYPE1)*(TYPE1&lt;&gt;"")+('Dvd Calendar'!$E$1885=TYPE2)*(TYPE2&lt;&gt;"")+('Dvd Calendar'!$E$1885=TYPE3)*(TYPE3&lt;&gt;"")+('Dvd Calendar'!$E$1885=TYPE4)*(TYPE4&lt;&gt;"")+('Dvd Calendar'!$E$1885=SPECIAL_LBL)*(INC_SPECIALS="Y"))=0,"",'Dvd Calendar'!$E$1883)))</f>
        <v/>
      </c>
      <c r="D189" s="161">
        <f>IF(EF189="","",IF(ISNUMBER('Dvd Calendar'!$F$1883)=FALSE,"",IF((('Dvd Calendar'!$F$1885=TYPE1)*(TYPE1&lt;&gt;"")+('Dvd Calendar'!$F$1885=TYPE2)*(TYPE2&lt;&gt;"")+('Dvd Calendar'!$F$1885=TYPE3)*(TYPE3&lt;&gt;"")+('Dvd Calendar'!$F$1885=TYPE4)*(TYPE4&lt;&gt;"")+('Dvd Calendar'!$F$1885=SPECIAL_LBL)*(INC_SPECIALS="Y"))=0,"",'Dvd Calendar'!$F$1883)))</f>
        <v/>
      </c>
      <c r="E189" s="161">
        <f>IF(EG189="","",IF(ISNUMBER('Dvd Calendar'!$G$1883)=FALSE,"",IF((('Dvd Calendar'!$G$1885=TYPE1)*(TYPE1&lt;&gt;"")+('Dvd Calendar'!$G$1885=TYPE2)*(TYPE2&lt;&gt;"")+('Dvd Calendar'!$G$1885=TYPE3)*(TYPE3&lt;&gt;"")+('Dvd Calendar'!$G$1885=TYPE4)*(TYPE4&lt;&gt;"")+('Dvd Calendar'!$G$1885=SPECIAL_LBL)*(INC_SPECIALS="Y"))=0,"",'Dvd Calendar'!$G$1883)))</f>
        <v/>
      </c>
      <c r="F189" s="161">
        <f>IF(EH189="","",IF(ISNUMBER('Dvd Calendar'!$H$1883)=FALSE,"",IF((('Dvd Calendar'!$H$1885=TYPE1)*(TYPE1&lt;&gt;"")+('Dvd Calendar'!$H$1885=TYPE2)*(TYPE2&lt;&gt;"")+('Dvd Calendar'!$H$1885=TYPE3)*(TYPE3&lt;&gt;"")+('Dvd Calendar'!$H$1885=TYPE4)*(TYPE4&lt;&gt;"")+('Dvd Calendar'!$H$1885=SPECIAL_LBL)*(INC_SPECIALS="Y"))=0,"",'Dvd Calendar'!$H$1883)))</f>
        <v/>
      </c>
      <c r="G189" s="161">
        <f>IF(EI189="","",IF(ISNUMBER('Dvd Calendar'!$I$1883)=FALSE,"",IF((('Dvd Calendar'!$I$1885=TYPE1)*(TYPE1&lt;&gt;"")+('Dvd Calendar'!$I$1885=TYPE2)*(TYPE2&lt;&gt;"")+('Dvd Calendar'!$I$1885=TYPE3)*(TYPE3&lt;&gt;"")+('Dvd Calendar'!$I$1885=TYPE4)*(TYPE4&lt;&gt;"")+('Dvd Calendar'!$I$1885=SPECIAL_LBL)*(INC_SPECIALS="Y"))=0,"",'Dvd Calendar'!$I$1883)))</f>
        <v/>
      </c>
      <c r="H189" s="161">
        <f>IF(EJ189="","",IF(ISNUMBER('Dvd Calendar'!$J$1883)=FALSE,"",IF((('Dvd Calendar'!$J$1885=TYPE1)*(TYPE1&lt;&gt;"")+('Dvd Calendar'!$J$1885=TYPE2)*(TYPE2&lt;&gt;"")+('Dvd Calendar'!$J$1885=TYPE3)*(TYPE3&lt;&gt;"")+('Dvd Calendar'!$J$1885=TYPE4)*(TYPE4&lt;&gt;"")+('Dvd Calendar'!$J$1885=SPECIAL_LBL)*(INC_SPECIALS="Y"))=0,"",'Dvd Calendar'!$J$1883)))</f>
        <v/>
      </c>
      <c r="I189" s="161">
        <f>IF(EK189="","",IF(ISNUMBER('Dvd Calendar'!$K$1883)=FALSE,"",IF((('Dvd Calendar'!$K$1885=TYPE1)*(TYPE1&lt;&gt;"")+('Dvd Calendar'!$K$1885=TYPE2)*(TYPE2&lt;&gt;"")+('Dvd Calendar'!$K$1885=TYPE3)*(TYPE3&lt;&gt;"")+('Dvd Calendar'!$K$1885=TYPE4)*(TYPE4&lt;&gt;"")+('Dvd Calendar'!$K$1885=SPECIAL_LBL)*(INC_SPECIALS="Y"))=0,"",'Dvd Calendar'!$K$1883)))</f>
        <v/>
      </c>
      <c r="J189" s="161">
        <f>IF(EL189="","",IF(ISNUMBER('Dvd Calendar'!$L$1883)=FALSE,"",IF((('Dvd Calendar'!$L$1885=TYPE1)*(TYPE1&lt;&gt;"")+('Dvd Calendar'!$L$1885=TYPE2)*(TYPE2&lt;&gt;"")+('Dvd Calendar'!$L$1885=TYPE3)*(TYPE3&lt;&gt;"")+('Dvd Calendar'!$L$1885=TYPE4)*(TYPE4&lt;&gt;"")+('Dvd Calendar'!$L$1885=SPECIAL_LBL)*(INC_SPECIALS="Y"))=0,"",'Dvd Calendar'!$L$1883)))</f>
        <v/>
      </c>
      <c r="K189" s="161">
        <f>IF(EM189="","",IF(ISNUMBER('Dvd Calendar'!$M$1883)=FALSE,"",IF((('Dvd Calendar'!$M$1885=TYPE1)*(TYPE1&lt;&gt;"")+('Dvd Calendar'!$M$1885=TYPE2)*(TYPE2&lt;&gt;"")+('Dvd Calendar'!$M$1885=TYPE3)*(TYPE3&lt;&gt;"")+('Dvd Calendar'!$M$1885=TYPE4)*(TYPE4&lt;&gt;"")+('Dvd Calendar'!$M$1885=SPECIAL_LBL)*(INC_SPECIALS="Y"))=0,"",'Dvd Calendar'!$M$1883)))</f>
        <v/>
      </c>
      <c r="L189" s="161">
        <f>IF(EN189="","",IF(ISNUMBER('Dvd Calendar'!$N$1883)=FALSE,"",IF((('Dvd Calendar'!$N$1885=TYPE1)*(TYPE1&lt;&gt;"")+('Dvd Calendar'!$N$1885=TYPE2)*(TYPE2&lt;&gt;"")+('Dvd Calendar'!$N$1885=TYPE3)*(TYPE3&lt;&gt;"")+('Dvd Calendar'!$N$1885=TYPE4)*(TYPE4&lt;&gt;"")+('Dvd Calendar'!$N$1885=SPECIAL_LBL)*(INC_SPECIALS="Y"))=0,"",'Dvd Calendar'!$N$1883)))</f>
        <v/>
      </c>
      <c r="M189" s="161">
        <f>IF(EO189="","",IF(ISNUMBER('Dvd Calendar'!$O$1883)=FALSE,"",IF((('Dvd Calendar'!$O$1885=TYPE1)*(TYPE1&lt;&gt;"")+('Dvd Calendar'!$O$1885=TYPE2)*(TYPE2&lt;&gt;"")+('Dvd Calendar'!$O$1885=TYPE3)*(TYPE3&lt;&gt;"")+('Dvd Calendar'!$O$1885=TYPE4)*(TYPE4&lt;&gt;"")+('Dvd Calendar'!$O$1885=SPECIAL_LBL)*(INC_SPECIALS="Y"))=0,"",'Dvd Calendar'!$O$1883)))</f>
        <v/>
      </c>
      <c r="N189" s="161">
        <f>IF(EP189="","",IF(ISNUMBER('Dvd Calendar'!$P$1883)=FALSE,"",IF((('Dvd Calendar'!$P$1885=TYPE1)*(TYPE1&lt;&gt;"")+('Dvd Calendar'!$P$1885=TYPE2)*(TYPE2&lt;&gt;"")+('Dvd Calendar'!$P$1885=TYPE3)*(TYPE3&lt;&gt;"")+('Dvd Calendar'!$P$1885=TYPE4)*(TYPE4&lt;&gt;"")+('Dvd Calendar'!$P$1885=SPECIAL_LBL)*(INC_SPECIALS="Y"))=0,"",'Dvd Calendar'!$P$1883)))</f>
        <v/>
      </c>
      <c r="O189" s="161">
        <f>IF(EQ189="","",IF(ISNUMBER('Dvd Calendar'!$Q$1883)=FALSE,"",IF((('Dvd Calendar'!$Q$1885=TYPE1)*(TYPE1&lt;&gt;"")+('Dvd Calendar'!$Q$1885=TYPE2)*(TYPE2&lt;&gt;"")+('Dvd Calendar'!$Q$1885=TYPE3)*(TYPE3&lt;&gt;"")+('Dvd Calendar'!$Q$1885=TYPE4)*(TYPE4&lt;&gt;"")+('Dvd Calendar'!$Q$1885=SPECIAL_LBL)*(INC_SPECIALS="Y"))=0,"",'Dvd Calendar'!$Q$1883)))</f>
        <v/>
      </c>
      <c r="P189" s="161">
        <f>IF(ER189="","",IF(ISNUMBER('Dvd Calendar'!$R$1883)=FALSE,"",IF((('Dvd Calendar'!$R$1885=TYPE1)*(TYPE1&lt;&gt;"")+('Dvd Calendar'!$R$1885=TYPE2)*(TYPE2&lt;&gt;"")+('Dvd Calendar'!$R$1885=TYPE3)*(TYPE3&lt;&gt;"")+('Dvd Calendar'!$R$1885=TYPE4)*(TYPE4&lt;&gt;"")+('Dvd Calendar'!$R$1885=SPECIAL_LBL)*(INC_SPECIALS="Y"))=0,"",'Dvd Calendar'!$R$1883)))</f>
        <v/>
      </c>
      <c r="Q189" s="161">
        <f>IF(ES189="","",IF(ISNUMBER('Dvd Calendar'!$S$1883)=FALSE,"",IF((('Dvd Calendar'!$S$1885=TYPE1)*(TYPE1&lt;&gt;"")+('Dvd Calendar'!$S$1885=TYPE2)*(TYPE2&lt;&gt;"")+('Dvd Calendar'!$S$1885=TYPE3)*(TYPE3&lt;&gt;"")+('Dvd Calendar'!$S$1885=TYPE4)*(TYPE4&lt;&gt;"")+('Dvd Calendar'!$S$1885=SPECIAL_LBL)*(INC_SPECIALS="Y"))=0,"",'Dvd Calendar'!$S$1883)))</f>
        <v/>
      </c>
      <c r="R189" s="161">
        <f>IF(ET189="","",IF(ISNUMBER('Dvd Calendar'!$T$1883)=FALSE,"",IF((('Dvd Calendar'!$T$1885=TYPE1)*(TYPE1&lt;&gt;"")+('Dvd Calendar'!$T$1885=TYPE2)*(TYPE2&lt;&gt;"")+('Dvd Calendar'!$T$1885=TYPE3)*(TYPE3&lt;&gt;"")+('Dvd Calendar'!$T$1885=TYPE4)*(TYPE4&lt;&gt;"")+('Dvd Calendar'!$T$1885=SPECIAL_LBL)*(INC_SPECIALS="Y"))=0,"",'Dvd Calendar'!$T$1883)))</f>
        <v/>
      </c>
      <c r="S189" s="161">
        <f>IF(EU189="","",IF(ISNUMBER('Dvd Calendar'!$U$1883)=FALSE,"",IF((('Dvd Calendar'!$U$1885=TYPE1)*(TYPE1&lt;&gt;"")+('Dvd Calendar'!$U$1885=TYPE2)*(TYPE2&lt;&gt;"")+('Dvd Calendar'!$U$1885=TYPE3)*(TYPE3&lt;&gt;"")+('Dvd Calendar'!$U$1885=TYPE4)*(TYPE4&lt;&gt;"")+('Dvd Calendar'!$U$1885=SPECIAL_LBL)*(INC_SPECIALS="Y"))=0,"",'Dvd Calendar'!$U$1883)))</f>
        <v/>
      </c>
      <c r="T189" s="161">
        <f>IF(EV189="","",IF(ISNUMBER('Dvd Calendar'!$V$1883)=FALSE,"",IF((('Dvd Calendar'!$V$1885=TYPE1)*(TYPE1&lt;&gt;"")+('Dvd Calendar'!$V$1885=TYPE2)*(TYPE2&lt;&gt;"")+('Dvd Calendar'!$V$1885=TYPE3)*(TYPE3&lt;&gt;"")+('Dvd Calendar'!$V$1885=TYPE4)*(TYPE4&lt;&gt;"")+('Dvd Calendar'!$V$1885=SPECIAL_LBL)*(INC_SPECIALS="Y"))=0,"",'Dvd Calendar'!$V$1883)))</f>
        <v/>
      </c>
      <c r="U189" s="161">
        <f>IF(EW189="","",IF(ISNUMBER('Dvd Calendar'!$W$1883)=FALSE,"",IF((('Dvd Calendar'!$W$1885=TYPE1)*(TYPE1&lt;&gt;"")+('Dvd Calendar'!$W$1885=TYPE2)*(TYPE2&lt;&gt;"")+('Dvd Calendar'!$W$1885=TYPE3)*(TYPE3&lt;&gt;"")+('Dvd Calendar'!$W$1885=TYPE4)*(TYPE4&lt;&gt;"")+('Dvd Calendar'!$W$1885=SPECIAL_LBL)*(INC_SPECIALS="Y"))=0,"",'Dvd Calendar'!$W$1883)))</f>
        <v/>
      </c>
      <c r="V189" s="161">
        <f>IF(EX189="","",IF(ISNUMBER('Dvd Calendar'!$X$1883)=FALSE,"",IF((('Dvd Calendar'!$X$1885=TYPE1)*(TYPE1&lt;&gt;"")+('Dvd Calendar'!$X$1885=TYPE2)*(TYPE2&lt;&gt;"")+('Dvd Calendar'!$X$1885=TYPE3)*(TYPE3&lt;&gt;"")+('Dvd Calendar'!$X$1885=TYPE4)*(TYPE4&lt;&gt;"")+('Dvd Calendar'!$X$1885=SPECIAL_LBL)*(INC_SPECIALS="Y"))=0,"",'Dvd Calendar'!$X$1883)))</f>
        <v/>
      </c>
      <c r="W189" s="161">
        <f>IF(EY189="","",IF(ISNUMBER('Dvd Calendar'!$Y$1883)=FALSE,"",IF((('Dvd Calendar'!$Y$1885=TYPE1)*(TYPE1&lt;&gt;"")+('Dvd Calendar'!$Y$1885=TYPE2)*(TYPE2&lt;&gt;"")+('Dvd Calendar'!$Y$1885=TYPE3)*(TYPE3&lt;&gt;"")+('Dvd Calendar'!$Y$1885=TYPE4)*(TYPE4&lt;&gt;"")+('Dvd Calendar'!$Y$1885=SPECIAL_LBL)*(INC_SPECIALS="Y"))=0,"",'Dvd Calendar'!$Y$1883)))</f>
        <v/>
      </c>
      <c r="X189" s="161">
        <f>IF(EZ189="","",IF(ISNUMBER('Dvd Calendar'!$Z$1883)=FALSE,"",IF((('Dvd Calendar'!$Z$1885=TYPE1)*(TYPE1&lt;&gt;"")+('Dvd Calendar'!$Z$1885=TYPE2)*(TYPE2&lt;&gt;"")+('Dvd Calendar'!$Z$1885=TYPE3)*(TYPE3&lt;&gt;"")+('Dvd Calendar'!$Z$1885=TYPE4)*(TYPE4&lt;&gt;"")+('Dvd Calendar'!$Z$1885=SPECIAL_LBL)*(INC_SPECIALS="Y"))=0,"",'Dvd Calendar'!$Z$1883)))</f>
        <v/>
      </c>
      <c r="Y189" s="161">
        <f>IF(FA189="","",IF(ISNUMBER('Dvd Calendar'!$AA$1883)=FALSE,"",IF((('Dvd Calendar'!$AA$1885=TYPE1)*(TYPE1&lt;&gt;"")+('Dvd Calendar'!$AA$1885=TYPE2)*(TYPE2&lt;&gt;"")+('Dvd Calendar'!$AA$1885=TYPE3)*(TYPE3&lt;&gt;"")+('Dvd Calendar'!$AA$1885=TYPE4)*(TYPE4&lt;&gt;"")+('Dvd Calendar'!$AA$1885=SPECIAL_LBL)*(INC_SPECIALS="Y"))=0,"",'Dvd Calendar'!$AA$1883)))</f>
        <v/>
      </c>
      <c r="Z189" s="161">
        <f>IF(FB189="","",IF(ISNUMBER('Dvd Calendar'!$AB$1883)=FALSE,"",IF((('Dvd Calendar'!$AB$1885=TYPE1)*(TYPE1&lt;&gt;"")+('Dvd Calendar'!$AB$1885=TYPE2)*(TYPE2&lt;&gt;"")+('Dvd Calendar'!$AB$1885=TYPE3)*(TYPE3&lt;&gt;"")+('Dvd Calendar'!$AB$1885=TYPE4)*(TYPE4&lt;&gt;"")+('Dvd Calendar'!$AB$1885=SPECIAL_LBL)*(INC_SPECIALS="Y"))=0,"",'Dvd Calendar'!$AB$1883)))</f>
        <v/>
      </c>
      <c r="AA189" s="161">
        <f>IF(FC189="","",IF(ISNUMBER('Dvd Calendar'!$AC$1883)=FALSE,"",IF((('Dvd Calendar'!$AC$1885=TYPE1)*(TYPE1&lt;&gt;"")+('Dvd Calendar'!$AC$1885=TYPE2)*(TYPE2&lt;&gt;"")+('Dvd Calendar'!$AC$1885=TYPE3)*(TYPE3&lt;&gt;"")+('Dvd Calendar'!$AC$1885=TYPE4)*(TYPE4&lt;&gt;"")+('Dvd Calendar'!$AC$1885=SPECIAL_LBL)*(INC_SPECIALS="Y"))=0,"",'Dvd Calendar'!$AC$1883)))</f>
        <v/>
      </c>
      <c r="AB189" s="161">
        <f>IF(FD189="","",IF(ISNUMBER('Dvd Calendar'!$AD$1883)=FALSE,"",IF((('Dvd Calendar'!$AD$1885=TYPE1)*(TYPE1&lt;&gt;"")+('Dvd Calendar'!$AD$1885=TYPE2)*(TYPE2&lt;&gt;"")+('Dvd Calendar'!$AD$1885=TYPE3)*(TYPE3&lt;&gt;"")+('Dvd Calendar'!$AD$1885=TYPE4)*(TYPE4&lt;&gt;"")+('Dvd Calendar'!$AD$1885=SPECIAL_LBL)*(INC_SPECIALS="Y"))=0,"",'Dvd Calendar'!$AD$1883)))</f>
        <v/>
      </c>
      <c r="AC189" s="161">
        <f>IF(FE189="","",IF(ISNUMBER('Dvd Calendar'!$AE$1883)=FALSE,"",IF((('Dvd Calendar'!$AE$1885=TYPE1)*(TYPE1&lt;&gt;"")+('Dvd Calendar'!$AE$1885=TYPE2)*(TYPE2&lt;&gt;"")+('Dvd Calendar'!$AE$1885=TYPE3)*(TYPE3&lt;&gt;"")+('Dvd Calendar'!$AE$1885=TYPE4)*(TYPE4&lt;&gt;"")+('Dvd Calendar'!$AE$1885=SPECIAL_LBL)*(INC_SPECIALS="Y"))=0,"",'Dvd Calendar'!$AE$1883)))</f>
        <v/>
      </c>
      <c r="AD189" s="161">
        <f>IF(FF189="","",IF(ISNUMBER('Dvd Calendar'!$AF$1883)=FALSE,"",IF((('Dvd Calendar'!$AF$1885=TYPE1)*(TYPE1&lt;&gt;"")+('Dvd Calendar'!$AF$1885=TYPE2)*(TYPE2&lt;&gt;"")+('Dvd Calendar'!$AF$1885=TYPE3)*(TYPE3&lt;&gt;"")+('Dvd Calendar'!$AF$1885=TYPE4)*(TYPE4&lt;&gt;"")+('Dvd Calendar'!$AF$1885=SPECIAL_LBL)*(INC_SPECIALS="Y"))=0,"",'Dvd Calendar'!$AF$1883)))</f>
        <v/>
      </c>
      <c r="AE189" s="161">
        <f>IF(FG189="","",IF(ISNUMBER('Dvd Calendar'!$AG$1883)=FALSE,"",IF((('Dvd Calendar'!$AG$1885=TYPE1)*(TYPE1&lt;&gt;"")+('Dvd Calendar'!$AG$1885=TYPE2)*(TYPE2&lt;&gt;"")+('Dvd Calendar'!$AG$1885=TYPE3)*(TYPE3&lt;&gt;"")+('Dvd Calendar'!$AG$1885=TYPE4)*(TYPE4&lt;&gt;"")+('Dvd Calendar'!$AG$1885=SPECIAL_LBL)*(INC_SPECIALS="Y"))=0,"",'Dvd Calendar'!$AG$1883)))</f>
        <v/>
      </c>
      <c r="AF189" s="161">
        <f>IF(FH189="","",IF(ISNUMBER('Dvd Calendar'!$AH$1883)=FALSE,"",IF((('Dvd Calendar'!$AH$1885=TYPE1)*(TYPE1&lt;&gt;"")+('Dvd Calendar'!$AH$1885=TYPE2)*(TYPE2&lt;&gt;"")+('Dvd Calendar'!$AH$1885=TYPE3)*(TYPE3&lt;&gt;"")+('Dvd Calendar'!$AH$1885=TYPE4)*(TYPE4&lt;&gt;"")+('Dvd Calendar'!$AH$1885=SPECIAL_LBL)*(INC_SPECIALS="Y"))=0,"",'Dvd Calendar'!$AH$1883)))</f>
        <v/>
      </c>
      <c r="AG189" s="161">
        <f>IF(FI189="","",IF(ISNUMBER('Dvd Calendar'!$AI$1883)=FALSE,"",IF((('Dvd Calendar'!$AI$1885=TYPE1)*(TYPE1&lt;&gt;"")+('Dvd Calendar'!$AI$1885=TYPE2)*(TYPE2&lt;&gt;"")+('Dvd Calendar'!$AI$1885=TYPE3)*(TYPE3&lt;&gt;"")+('Dvd Calendar'!$AI$1885=TYPE4)*(TYPE4&lt;&gt;"")+('Dvd Calendar'!$AI$1885=SPECIAL_LBL)*(INC_SPECIALS="Y"))=0,"",'Dvd Calendar'!$AI$1883)))</f>
        <v/>
      </c>
      <c r="AH189" s="161">
        <f>IF(FJ189="","",IF(ISNUMBER('Dvd Calendar'!$AJ$1883)=FALSE,"",IF((('Dvd Calendar'!$AJ$1885=TYPE1)*(TYPE1&lt;&gt;"")+('Dvd Calendar'!$AJ$1885=TYPE2)*(TYPE2&lt;&gt;"")+('Dvd Calendar'!$AJ$1885=TYPE3)*(TYPE3&lt;&gt;"")+('Dvd Calendar'!$AJ$1885=TYPE4)*(TYPE4&lt;&gt;"")+('Dvd Calendar'!$AJ$1885=SPECIAL_LBL)*(INC_SPECIALS="Y"))=0,"",'Dvd Calendar'!$AJ$1883)))</f>
        <v/>
      </c>
      <c r="AI189" s="161">
        <f>IF(FK189="","",IF(ISNUMBER('Dvd Calendar'!$AK$1883)=FALSE,"",IF((('Dvd Calendar'!$AK$1885=TYPE1)*(TYPE1&lt;&gt;"")+('Dvd Calendar'!$AK$1885=TYPE2)*(TYPE2&lt;&gt;"")+('Dvd Calendar'!$AK$1885=TYPE3)*(TYPE3&lt;&gt;"")+('Dvd Calendar'!$AK$1885=TYPE4)*(TYPE4&lt;&gt;"")+('Dvd Calendar'!$AK$1885=SPECIAL_LBL)*(INC_SPECIALS="Y"))=0,"",'Dvd Calendar'!$AK$1883)))</f>
        <v/>
      </c>
      <c r="AJ189" s="161">
        <f>IF(FL189="","",IF(ISNUMBER('Dvd Calendar'!$AL$1883)=FALSE,"",IF((('Dvd Calendar'!$AL$1885=TYPE1)*(TYPE1&lt;&gt;"")+('Dvd Calendar'!$AL$1885=TYPE2)*(TYPE2&lt;&gt;"")+('Dvd Calendar'!$AL$1885=TYPE3)*(TYPE3&lt;&gt;"")+('Dvd Calendar'!$AL$1885=TYPE4)*(TYPE4&lt;&gt;"")+('Dvd Calendar'!$AL$1885=SPECIAL_LBL)*(INC_SPECIALS="Y"))=0,"",'Dvd Calendar'!$AL$1883)))</f>
        <v/>
      </c>
      <c r="AK189" s="161">
        <f>IF(FM189="","",IF(ISNUMBER('Dvd Calendar'!$AM$1883)=FALSE,"",IF((('Dvd Calendar'!$AM$1885=TYPE1)*(TYPE1&lt;&gt;"")+('Dvd Calendar'!$AM$1885=TYPE2)*(TYPE2&lt;&gt;"")+('Dvd Calendar'!$AM$1885=TYPE3)*(TYPE3&lt;&gt;"")+('Dvd Calendar'!$AM$1885=TYPE4)*(TYPE4&lt;&gt;"")+('Dvd Calendar'!$AM$1885=SPECIAL_LBL)*(INC_SPECIALS="Y"))=0,"",'Dvd Calendar'!$AM$1883)))</f>
        <v/>
      </c>
      <c r="AL189" s="161">
        <f>IF(FN189="","",IF(ISNUMBER('Dvd Calendar'!$AN$1883)=FALSE,"",IF((('Dvd Calendar'!$AN$1885=TYPE1)*(TYPE1&lt;&gt;"")+('Dvd Calendar'!$AN$1885=TYPE2)*(TYPE2&lt;&gt;"")+('Dvd Calendar'!$AN$1885=TYPE3)*(TYPE3&lt;&gt;"")+('Dvd Calendar'!$AN$1885=TYPE4)*(TYPE4&lt;&gt;"")+('Dvd Calendar'!$AN$1885=SPECIAL_LBL)*(INC_SPECIALS="Y"))=0,"",'Dvd Calendar'!$AN$1883)))</f>
        <v/>
      </c>
      <c r="AM189" s="161">
        <f>IF(FO189="","",IF(ISNUMBER('Dvd Calendar'!$AO$1883)=FALSE,"",IF((('Dvd Calendar'!$AO$1885=TYPE1)*(TYPE1&lt;&gt;"")+('Dvd Calendar'!$AO$1885=TYPE2)*(TYPE2&lt;&gt;"")+('Dvd Calendar'!$AO$1885=TYPE3)*(TYPE3&lt;&gt;"")+('Dvd Calendar'!$AO$1885=TYPE4)*(TYPE4&lt;&gt;"")+('Dvd Calendar'!$AO$1885=SPECIAL_LBL)*(INC_SPECIALS="Y"))=0,"",'Dvd Calendar'!$AO$1883)))</f>
        <v/>
      </c>
      <c r="AN189" s="161">
        <f>IF(FP189="","",IF(ISNUMBER('Dvd Calendar'!$AP$1883)=FALSE,"",IF((('Dvd Calendar'!$AP$1885=TYPE1)*(TYPE1&lt;&gt;"")+('Dvd Calendar'!$AP$1885=TYPE2)*(TYPE2&lt;&gt;"")+('Dvd Calendar'!$AP$1885=TYPE3)*(TYPE3&lt;&gt;"")+('Dvd Calendar'!$AP$1885=TYPE4)*(TYPE4&lt;&gt;"")+('Dvd Calendar'!$AP$1885=SPECIAL_LBL)*(INC_SPECIALS="Y"))=0,"",'Dvd Calendar'!$AP$1883)))</f>
        <v/>
      </c>
      <c r="AO189" s="161">
        <f>IF(FQ189="","",IF(ISNUMBER('Dvd Calendar'!$AQ$1883)=FALSE,"",IF((('Dvd Calendar'!$AQ$1885=TYPE1)*(TYPE1&lt;&gt;"")+('Dvd Calendar'!$AQ$1885=TYPE2)*(TYPE2&lt;&gt;"")+('Dvd Calendar'!$AQ$1885=TYPE3)*(TYPE3&lt;&gt;"")+('Dvd Calendar'!$AQ$1885=TYPE4)*(TYPE4&lt;&gt;"")+('Dvd Calendar'!$AQ$1885=SPECIAL_LBL)*(INC_SPECIALS="Y"))=0,"",'Dvd Calendar'!$AQ$1883)))</f>
        <v/>
      </c>
      <c r="AP189" s="161">
        <f>IF(FR189="","",IF(ISNUMBER('Dvd Calendar'!$AR$1883)=FALSE,"",IF((('Dvd Calendar'!$AR$1885=TYPE1)*(TYPE1&lt;&gt;"")+('Dvd Calendar'!$AR$1885=TYPE2)*(TYPE2&lt;&gt;"")+('Dvd Calendar'!$AR$1885=TYPE3)*(TYPE3&lt;&gt;"")+('Dvd Calendar'!$AR$1885=TYPE4)*(TYPE4&lt;&gt;"")+('Dvd Calendar'!$AR$1885=SPECIAL_LBL)*(INC_SPECIALS="Y"))=0,"",'Dvd Calendar'!$AR$1883)))</f>
        <v/>
      </c>
      <c r="AQ189" s="161">
        <f>IF(FS189="","",IF(ISNUMBER('Dvd Calendar'!$E$1888)=FALSE,"",'Dvd Calendar'!$E$1888))</f>
        <v/>
      </c>
      <c r="AR189" s="161">
        <f>IF(FT189="","",IF(ISNUMBER('Dvd Calendar'!$F$1888)=FALSE,"",'Dvd Calendar'!$F$1888))</f>
        <v/>
      </c>
      <c r="AS189" s="161">
        <f>IF(FU189="","",IF(ISNUMBER('Dvd Calendar'!$G$1888)=FALSE,"",'Dvd Calendar'!$G$1888))</f>
        <v/>
      </c>
      <c r="AT189" s="161">
        <f>IF(FV189="","",IF(ISNUMBER('Dvd Calendar'!$H$1888)=FALSE,"",'Dvd Calendar'!$H$1888))</f>
        <v/>
      </c>
      <c r="AU189" s="161">
        <f>IF(FW189="","",IF(ISNUMBER('Dvd Calendar'!$I$1888)=FALSE,"",'Dvd Calendar'!$I$1888))</f>
        <v/>
      </c>
      <c r="AV189" s="161">
        <f>IF(FX189="","",IF(ISNUMBER('Dvd Calendar'!$J$1888)=FALSE,"",'Dvd Calendar'!$J$1888))</f>
        <v/>
      </c>
      <c r="AW189" s="161">
        <f>IF(FY189="","",IF(ISNUMBER('Dvd Calendar'!$K$1888)=FALSE,"",'Dvd Calendar'!$K$1888))</f>
        <v/>
      </c>
      <c r="AX189" s="161">
        <f>IF(FZ189="","",IF(ISNUMBER('Dvd Calendar'!$L$1888)=FALSE,"",'Dvd Calendar'!$L$1888))</f>
        <v/>
      </c>
      <c r="AY189" s="161">
        <f>IF(GA189="","",IF(ISNUMBER('Dvd Calendar'!$M$1888)=FALSE,"",'Dvd Calendar'!$M$1888))</f>
        <v/>
      </c>
      <c r="AZ189" s="161">
        <f>IF(GB189="","",IF(ISNUMBER('Dvd Calendar'!$N$1888)=FALSE,"",'Dvd Calendar'!$N$1888))</f>
        <v/>
      </c>
      <c r="BA189" s="161">
        <f>IF(GC189="","",IF(ISNUMBER('Dvd Calendar'!$O$1888)=FALSE,"",'Dvd Calendar'!$O$1888))</f>
        <v/>
      </c>
      <c r="BB189" s="161">
        <f>IF(GD189="","",IF(ISNUMBER('Dvd Calendar'!$P$1888)=FALSE,"",'Dvd Calendar'!$P$1888))</f>
        <v/>
      </c>
      <c r="BC189" s="161">
        <f>IF(GE189="","",IF(ISNUMBER('Dvd Calendar'!$Q$1888)=FALSE,"",'Dvd Calendar'!$Q$1888))</f>
        <v/>
      </c>
      <c r="BD189" s="161">
        <f>IF(GF189="","",IF(ISNUMBER('Dvd Calendar'!$R$1888)=FALSE,"",'Dvd Calendar'!$R$1888))</f>
        <v/>
      </c>
      <c r="BE189" s="161">
        <f>IF(GG189="","",IF(ISNUMBER('Dvd Calendar'!$S$1888)=FALSE,"",'Dvd Calendar'!$S$1888))</f>
        <v/>
      </c>
      <c r="BF189" s="161">
        <f>IF(GH189="","",IF(ISNUMBER('Dvd Calendar'!$T$1888)=FALSE,"",'Dvd Calendar'!$T$1888))</f>
        <v/>
      </c>
      <c r="BG189" s="161">
        <f>IF(GI189="","",IF(ISNUMBER('Dvd Calendar'!$U$1888)=FALSE,"",'Dvd Calendar'!$U$1888))</f>
        <v/>
      </c>
      <c r="BH189" s="161">
        <f>IF(GJ189="","",IF(ISNUMBER('Dvd Calendar'!$V$1888)=FALSE,"",'Dvd Calendar'!$V$1888))</f>
        <v/>
      </c>
      <c r="BI189" s="161">
        <f>IF(GK189="","",IF(ISNUMBER('Dvd Calendar'!$W$1888)=FALSE,"",'Dvd Calendar'!$W$1888))</f>
        <v/>
      </c>
      <c r="BJ189" s="161">
        <f>IF(GL189="","",IF(ISNUMBER('Dvd Calendar'!$X$1888)=FALSE,"",'Dvd Calendar'!$X$1888))</f>
        <v/>
      </c>
      <c r="BK189" s="161">
        <f>IF(GM189="","",IF(ISNUMBER('Dvd Calendar'!$Y$1888)=FALSE,"",'Dvd Calendar'!$Y$1888))</f>
        <v/>
      </c>
      <c r="BL189" s="161">
        <f>IF(GN189="","",IF(ISNUMBER('Dvd Calendar'!$Z$1888)=FALSE,"",'Dvd Calendar'!$Z$1888))</f>
        <v/>
      </c>
      <c r="BM189" s="161">
        <f>IF(GO189="","",IF(ISNUMBER('Dvd Calendar'!$AA$1888)=FALSE,"",'Dvd Calendar'!$AA$1888))</f>
        <v/>
      </c>
      <c r="BN189" s="161">
        <f>IF(GP189="","",IF(ISNUMBER('Dvd Calendar'!$AB$1888)=FALSE,"",'Dvd Calendar'!$AB$1888))</f>
        <v/>
      </c>
      <c r="BO189" s="161">
        <f>IF(GQ189="","",IF(ISNUMBER('Dvd Calendar'!$AC$1888)=FALSE,"",'Dvd Calendar'!$AC$1888))</f>
        <v/>
      </c>
      <c r="BQ189" s="161">
        <f>IF(C189="","",IFERROR(C189*HSCEI!$B$36*HSCEI!$G$36/HSCEI!$B$3,""))</f>
        <v/>
      </c>
      <c r="BR189" s="161">
        <f>IF(D189="","",IFERROR(D189*HSCEI!$B$36*HSCEI!$G$36/HSCEI!$B$3,""))</f>
        <v/>
      </c>
      <c r="BS189" s="161">
        <f>IF(E189="","",IFERROR(E189*HSCEI!$B$36*HSCEI!$G$36/HSCEI!$B$3,""))</f>
        <v/>
      </c>
      <c r="BT189" s="161">
        <f>IF(F189="","",IFERROR(F189*HSCEI!$B$36*HSCEI!$G$36/HSCEI!$B$3,""))</f>
        <v/>
      </c>
      <c r="BU189" s="161">
        <f>IF(G189="","",IFERROR(G189*HSCEI!$B$36*HSCEI!$G$36/HSCEI!$B$3,""))</f>
        <v/>
      </c>
      <c r="BV189" s="161">
        <f>IF(H189="","",IFERROR(H189*HSCEI!$B$36*HSCEI!$G$36/HSCEI!$B$3,""))</f>
        <v/>
      </c>
      <c r="BW189" s="161">
        <f>IF(I189="","",IFERROR(I189*HSCEI!$B$36*HSCEI!$G$36/HSCEI!$B$3,""))</f>
        <v/>
      </c>
      <c r="BX189" s="161">
        <f>IF(J189="","",IFERROR(J189*HSCEI!$B$36*HSCEI!$G$36/HSCEI!$B$3,""))</f>
        <v/>
      </c>
      <c r="BY189" s="161">
        <f>IF(K189="","",IFERROR(K189*HSCEI!$B$36*HSCEI!$G$36/HSCEI!$B$3,""))</f>
        <v/>
      </c>
      <c r="BZ189" s="161">
        <f>IF(L189="","",IFERROR(L189*HSCEI!$B$36*HSCEI!$G$36/HSCEI!$B$3,""))</f>
        <v/>
      </c>
      <c r="CA189" s="161">
        <f>IF(M189="","",IFERROR(M189*HSCEI!$B$36*HSCEI!$G$36/HSCEI!$B$3,""))</f>
        <v/>
      </c>
      <c r="CB189" s="161">
        <f>IF(N189="","",IFERROR(N189*HSCEI!$B$36*HSCEI!$G$36/HSCEI!$B$3,""))</f>
        <v/>
      </c>
      <c r="CC189" s="161">
        <f>IF(O189="","",IFERROR(O189*HSCEI!$B$36*HSCEI!$G$36/HSCEI!$B$3,""))</f>
        <v/>
      </c>
      <c r="CD189" s="161">
        <f>IF(P189="","",IFERROR(P189*HSCEI!$B$36*HSCEI!$G$36/HSCEI!$B$3,""))</f>
        <v/>
      </c>
      <c r="CE189" s="161">
        <f>IF(Q189="","",IFERROR(Q189*HSCEI!$B$36*HSCEI!$G$36/HSCEI!$B$3,""))</f>
        <v/>
      </c>
      <c r="CF189" s="161">
        <f>IF(R189="","",IFERROR(R189*HSCEI!$B$36*HSCEI!$G$36/HSCEI!$B$3,""))</f>
        <v/>
      </c>
      <c r="CG189" s="161">
        <f>IF(S189="","",IFERROR(S189*HSCEI!$B$36*HSCEI!$G$36/HSCEI!$B$3,""))</f>
        <v/>
      </c>
      <c r="CH189" s="161">
        <f>IF(T189="","",IFERROR(T189*HSCEI!$B$36*HSCEI!$G$36/HSCEI!$B$3,""))</f>
        <v/>
      </c>
      <c r="CI189" s="161">
        <f>IF(U189="","",IFERROR(U189*HSCEI!$B$36*HSCEI!$G$36/HSCEI!$B$3,""))</f>
        <v/>
      </c>
      <c r="CJ189" s="161">
        <f>IF(V189="","",IFERROR(V189*HSCEI!$B$36*HSCEI!$G$36/HSCEI!$B$3,""))</f>
        <v/>
      </c>
      <c r="CK189" s="161">
        <f>IF(W189="","",IFERROR(W189*HSCEI!$B$36*HSCEI!$G$36/HSCEI!$B$3,""))</f>
        <v/>
      </c>
      <c r="CL189" s="161">
        <f>IF(X189="","",IFERROR(X189*HSCEI!$B$36*HSCEI!$G$36/HSCEI!$B$3,""))</f>
        <v/>
      </c>
      <c r="CM189" s="161">
        <f>IF(Y189="","",IFERROR(Y189*HSCEI!$B$36*HSCEI!$G$36/HSCEI!$B$3,""))</f>
        <v/>
      </c>
      <c r="CN189" s="161">
        <f>IF(Z189="","",IFERROR(Z189*HSCEI!$B$36*HSCEI!$G$36/HSCEI!$B$3,""))</f>
        <v/>
      </c>
      <c r="CO189" s="161">
        <f>IF(AA189="","",IFERROR(AA189*HSCEI!$B$36*HSCEI!$G$36/HSCEI!$B$3,""))</f>
        <v/>
      </c>
      <c r="CP189" s="161">
        <f>IF(AB189="","",IFERROR(AB189*HSCEI!$B$36*HSCEI!$G$36/HSCEI!$B$3,""))</f>
        <v/>
      </c>
      <c r="CQ189" s="161">
        <f>IF(AC189="","",IFERROR(AC189*HSCEI!$B$36*HSCEI!$G$36/HSCEI!$B$3,""))</f>
        <v/>
      </c>
      <c r="CR189" s="161">
        <f>IF(AD189="","",IFERROR(AD189*HSCEI!$B$36*HSCEI!$G$36/HSCEI!$B$3,""))</f>
        <v/>
      </c>
      <c r="CS189" s="161">
        <f>IF(AE189="","",IFERROR(AE189*HSCEI!$B$36*HSCEI!$G$36/HSCEI!$B$3,""))</f>
        <v/>
      </c>
      <c r="CT189" s="161">
        <f>IF(AF189="","",IFERROR(AF189*HSCEI!$B$36*HSCEI!$G$36/HSCEI!$B$3,""))</f>
        <v/>
      </c>
      <c r="CU189" s="161">
        <f>IF(AG189="","",IFERROR(AG189*HSCEI!$B$36*HSCEI!$G$36/HSCEI!$B$3,""))</f>
        <v/>
      </c>
      <c r="CV189" s="161">
        <f>IF(AH189="","",IFERROR(AH189*HSCEI!$B$36*HSCEI!$G$36/HSCEI!$B$3,""))</f>
        <v/>
      </c>
      <c r="CW189" s="161">
        <f>IF(AI189="","",IFERROR(AI189*HSCEI!$B$36*HSCEI!$G$36/HSCEI!$B$3,""))</f>
        <v/>
      </c>
      <c r="CX189" s="161">
        <f>IF(AJ189="","",IFERROR(AJ189*HSCEI!$B$36*HSCEI!$G$36/HSCEI!$B$3,""))</f>
        <v/>
      </c>
      <c r="CY189" s="161">
        <f>IF(AK189="","",IFERROR(AK189*HSCEI!$B$36*HSCEI!$G$36/HSCEI!$B$3,""))</f>
        <v/>
      </c>
      <c r="CZ189" s="161">
        <f>IF(AL189="","",IFERROR(AL189*HSCEI!$B$36*HSCEI!$G$36/HSCEI!$B$3,""))</f>
        <v/>
      </c>
      <c r="DA189" s="161">
        <f>IF(AM189="","",IFERROR(AM189*HSCEI!$B$36*HSCEI!$G$36/HSCEI!$B$3,""))</f>
        <v/>
      </c>
      <c r="DB189" s="161">
        <f>IF(AN189="","",IFERROR(AN189*HSCEI!$B$36*HSCEI!$G$36/HSCEI!$B$3,""))</f>
        <v/>
      </c>
      <c r="DC189" s="161">
        <f>IF(AO189="","",IFERROR(AO189*HSCEI!$B$36*HSCEI!$G$36/HSCEI!$B$3,""))</f>
        <v/>
      </c>
      <c r="DD189" s="161">
        <f>IF(AP189="","",IFERROR(AP189*HSCEI!$B$36*HSCEI!$G$36/HSCEI!$B$3,""))</f>
        <v/>
      </c>
      <c r="DE189" s="161">
        <f>IF(AQ189="","",IFERROR(AQ189*HSCEI!$B$36*HSCEI!$G$36/HSCEI!$B$3,""))</f>
        <v/>
      </c>
      <c r="DF189" s="161">
        <f>IF(AR189="","",IFERROR(AR189*HSCEI!$B$36*HSCEI!$G$36/HSCEI!$B$3,""))</f>
        <v/>
      </c>
      <c r="DG189" s="161">
        <f>IF(AS189="","",IFERROR(AS189*HSCEI!$B$36*HSCEI!$G$36/HSCEI!$B$3,""))</f>
        <v/>
      </c>
      <c r="DH189" s="161">
        <f>IF(AT189="","",IFERROR(AT189*HSCEI!$B$36*HSCEI!$G$36/HSCEI!$B$3,""))</f>
        <v/>
      </c>
      <c r="DI189" s="161">
        <f>IF(AU189="","",IFERROR(AU189*HSCEI!$B$36*HSCEI!$G$36/HSCEI!$B$3,""))</f>
        <v/>
      </c>
      <c r="DJ189" s="161">
        <f>IF(AV189="","",IFERROR(AV189*HSCEI!$B$36*HSCEI!$G$36/HSCEI!$B$3,""))</f>
        <v/>
      </c>
      <c r="DK189" s="161">
        <f>IF(AW189="","",IFERROR(AW189*HSCEI!$B$36*HSCEI!$G$36/HSCEI!$B$3,""))</f>
        <v/>
      </c>
      <c r="DL189" s="161">
        <f>IF(AX189="","",IFERROR(AX189*HSCEI!$B$36*HSCEI!$G$36/HSCEI!$B$3,""))</f>
        <v/>
      </c>
      <c r="DM189" s="161">
        <f>IF(AY189="","",IFERROR(AY189*HSCEI!$B$36*HSCEI!$G$36/HSCEI!$B$3,""))</f>
        <v/>
      </c>
      <c r="DN189" s="161">
        <f>IF(AZ189="","",IFERROR(AZ189*HSCEI!$B$36*HSCEI!$G$36/HSCEI!$B$3,""))</f>
        <v/>
      </c>
      <c r="DO189" s="161">
        <f>IF(BA189="","",IFERROR(BA189*HSCEI!$B$36*HSCEI!$G$36/HSCEI!$B$3,""))</f>
        <v/>
      </c>
      <c r="DP189" s="161">
        <f>IF(BB189="","",IFERROR(BB189*HSCEI!$B$36*HSCEI!$G$36/HSCEI!$B$3,""))</f>
        <v/>
      </c>
      <c r="DQ189" s="161">
        <f>IF(BC189="","",IFERROR(BC189*HSCEI!$B$36*HSCEI!$G$36/HSCEI!$B$3,""))</f>
        <v/>
      </c>
      <c r="DR189" s="161">
        <f>IF(BD189="","",IFERROR(BD189*HSCEI!$B$36*HSCEI!$G$36/HSCEI!$B$3,""))</f>
        <v/>
      </c>
      <c r="DS189" s="161">
        <f>IF(BE189="","",IFERROR(BE189*HSCEI!$B$36*HSCEI!$G$36/HSCEI!$B$3,""))</f>
        <v/>
      </c>
      <c r="DT189" s="161">
        <f>IF(BF189="","",IFERROR(BF189*HSCEI!$B$36*HSCEI!$G$36/HSCEI!$B$3,""))</f>
        <v/>
      </c>
      <c r="DU189" s="161">
        <f>IF(BG189="","",IFERROR(BG189*HSCEI!$B$36*HSCEI!$G$36/HSCEI!$B$3,""))</f>
        <v/>
      </c>
      <c r="DV189" s="161">
        <f>IF(BH189="","",IFERROR(BH189*HSCEI!$B$36*HSCEI!$G$36/HSCEI!$B$3,""))</f>
        <v/>
      </c>
      <c r="DW189" s="161">
        <f>IF(BI189="","",IFERROR(BI189*HSCEI!$B$36*HSCEI!$G$36/HSCEI!$B$3,""))</f>
        <v/>
      </c>
      <c r="DX189" s="161">
        <f>IF(BJ189="","",IFERROR(BJ189*HSCEI!$B$36*HSCEI!$G$36/HSCEI!$B$3,""))</f>
        <v/>
      </c>
      <c r="DY189" s="161">
        <f>IF(BK189="","",IFERROR(BK189*HSCEI!$B$36*HSCEI!$G$36/HSCEI!$B$3,""))</f>
        <v/>
      </c>
      <c r="DZ189" s="161">
        <f>IF(BL189="","",IFERROR(BL189*HSCEI!$B$36*HSCEI!$G$36/HSCEI!$B$3,""))</f>
        <v/>
      </c>
      <c r="EA189" s="161">
        <f>IF(BM189="","",IFERROR(BM189*HSCEI!$B$36*HSCEI!$G$36/HSCEI!$B$3,""))</f>
        <v/>
      </c>
      <c r="EB189" s="161">
        <f>IF(BN189="","",IFERROR(BN189*HSCEI!$B$36*HSCEI!$G$36/HSCEI!$B$3,""))</f>
        <v/>
      </c>
      <c r="EC189" s="161">
        <f>IF(BO189="","",IFERROR(BO189*HSCEI!$B$36*HSCEI!$G$36/HSCEI!$B$3,""))</f>
        <v/>
      </c>
      <c r="EE189" s="121">
        <f>IF(N('Dvd Calendar'!$E$1880)=0,"",IF(('Dvd Calendar'!$E$1880&gt;=GRID_FROM)*('Dvd Calendar'!$E$1880&lt;=GRID_TO)*((('Dvd Calendar'!$E$1880&lt;=VAL_DATE)+(COUNTIF('Dvd Calendar'!$E$1887:$AR$1887,'Dvd Calendar'!$E$1880)=0))&gt;0)=0,"",'Dvd Calendar'!$E$1880*1000000000+ISNUMBER('Dvd Calendar'!$E$1883)*100000000+('Dvd Calendar'!$E$1885=SPECIAL_LBL)*10000000+(N('Dvd Calendar'!$E$1879)&gt;0)*(N('Dvd Calendar'!$E$1879)&lt;=VAL_SERIAL)*1000000+30*1000+1))</f>
        <v/>
      </c>
      <c r="EF189" s="121">
        <f>IF(N('Dvd Calendar'!$F$1880)=0,"",IF(('Dvd Calendar'!$F$1880&gt;=GRID_FROM)*('Dvd Calendar'!$F$1880&lt;=GRID_TO)*((('Dvd Calendar'!$F$1880&lt;=VAL_DATE)+(COUNTIF('Dvd Calendar'!$E$1887:$AR$1887,'Dvd Calendar'!$F$1880)=0))&gt;0)=0,"",'Dvd Calendar'!$F$1880*1000000000+ISNUMBER('Dvd Calendar'!$F$1883)*100000000+('Dvd Calendar'!$F$1885=SPECIAL_LBL)*10000000+(N('Dvd Calendar'!$F$1879)&gt;0)*(N('Dvd Calendar'!$F$1879)&lt;=VAL_SERIAL)*1000000+30*1000+2))</f>
        <v/>
      </c>
      <c r="EG189" s="121">
        <f>IF(N('Dvd Calendar'!$G$1880)=0,"",IF(('Dvd Calendar'!$G$1880&gt;=GRID_FROM)*('Dvd Calendar'!$G$1880&lt;=GRID_TO)*((('Dvd Calendar'!$G$1880&lt;=VAL_DATE)+(COUNTIF('Dvd Calendar'!$E$1887:$AR$1887,'Dvd Calendar'!$G$1880)=0))&gt;0)=0,"",'Dvd Calendar'!$G$1880*1000000000+ISNUMBER('Dvd Calendar'!$G$1883)*100000000+('Dvd Calendar'!$G$1885=SPECIAL_LBL)*10000000+(N('Dvd Calendar'!$G$1879)&gt;0)*(N('Dvd Calendar'!$G$1879)&lt;=VAL_SERIAL)*1000000+30*1000+3))</f>
        <v/>
      </c>
      <c r="EH189" s="121">
        <f>IF(N('Dvd Calendar'!$H$1880)=0,"",IF(('Dvd Calendar'!$H$1880&gt;=GRID_FROM)*('Dvd Calendar'!$H$1880&lt;=GRID_TO)*((('Dvd Calendar'!$H$1880&lt;=VAL_DATE)+(COUNTIF('Dvd Calendar'!$E$1887:$AR$1887,'Dvd Calendar'!$H$1880)=0))&gt;0)=0,"",'Dvd Calendar'!$H$1880*1000000000+ISNUMBER('Dvd Calendar'!$H$1883)*100000000+('Dvd Calendar'!$H$1885=SPECIAL_LBL)*10000000+(N('Dvd Calendar'!$H$1879)&gt;0)*(N('Dvd Calendar'!$H$1879)&lt;=VAL_SERIAL)*1000000+30*1000+4))</f>
        <v/>
      </c>
      <c r="EI189" s="121">
        <f>IF(N('Dvd Calendar'!$I$1880)=0,"",IF(('Dvd Calendar'!$I$1880&gt;=GRID_FROM)*('Dvd Calendar'!$I$1880&lt;=GRID_TO)*((('Dvd Calendar'!$I$1880&lt;=VAL_DATE)+(COUNTIF('Dvd Calendar'!$E$1887:$AR$1887,'Dvd Calendar'!$I$1880)=0))&gt;0)=0,"",'Dvd Calendar'!$I$1880*1000000000+ISNUMBER('Dvd Calendar'!$I$1883)*100000000+('Dvd Calendar'!$I$1885=SPECIAL_LBL)*10000000+(N('Dvd Calendar'!$I$1879)&gt;0)*(N('Dvd Calendar'!$I$1879)&lt;=VAL_SERIAL)*1000000+30*1000+5))</f>
        <v/>
      </c>
      <c r="EJ189" s="121">
        <f>IF(N('Dvd Calendar'!$J$1880)=0,"",IF(('Dvd Calendar'!$J$1880&gt;=GRID_FROM)*('Dvd Calendar'!$J$1880&lt;=GRID_TO)*((('Dvd Calendar'!$J$1880&lt;=VAL_DATE)+(COUNTIF('Dvd Calendar'!$E$1887:$AR$1887,'Dvd Calendar'!$J$1880)=0))&gt;0)=0,"",'Dvd Calendar'!$J$1880*1000000000+ISNUMBER('Dvd Calendar'!$J$1883)*100000000+('Dvd Calendar'!$J$1885=SPECIAL_LBL)*10000000+(N('Dvd Calendar'!$J$1879)&gt;0)*(N('Dvd Calendar'!$J$1879)&lt;=VAL_SERIAL)*1000000+30*1000+6))</f>
        <v/>
      </c>
      <c r="EK189" s="121">
        <f>IF(N('Dvd Calendar'!$K$1880)=0,"",IF(('Dvd Calendar'!$K$1880&gt;=GRID_FROM)*('Dvd Calendar'!$K$1880&lt;=GRID_TO)*((('Dvd Calendar'!$K$1880&lt;=VAL_DATE)+(COUNTIF('Dvd Calendar'!$E$1887:$AR$1887,'Dvd Calendar'!$K$1880)=0))&gt;0)=0,"",'Dvd Calendar'!$K$1880*1000000000+ISNUMBER('Dvd Calendar'!$K$1883)*100000000+('Dvd Calendar'!$K$1885=SPECIAL_LBL)*10000000+(N('Dvd Calendar'!$K$1879)&gt;0)*(N('Dvd Calendar'!$K$1879)&lt;=VAL_SERIAL)*1000000+30*1000+7))</f>
        <v/>
      </c>
      <c r="EL189" s="121">
        <f>IF(N('Dvd Calendar'!$L$1880)=0,"",IF(('Dvd Calendar'!$L$1880&gt;=GRID_FROM)*('Dvd Calendar'!$L$1880&lt;=GRID_TO)*((('Dvd Calendar'!$L$1880&lt;=VAL_DATE)+(COUNTIF('Dvd Calendar'!$E$1887:$AR$1887,'Dvd Calendar'!$L$1880)=0))&gt;0)=0,"",'Dvd Calendar'!$L$1880*1000000000+ISNUMBER('Dvd Calendar'!$L$1883)*100000000+('Dvd Calendar'!$L$1885=SPECIAL_LBL)*10000000+(N('Dvd Calendar'!$L$1879)&gt;0)*(N('Dvd Calendar'!$L$1879)&lt;=VAL_SERIAL)*1000000+30*1000+8))</f>
        <v/>
      </c>
      <c r="EM189" s="121">
        <f>IF(N('Dvd Calendar'!$M$1880)=0,"",IF(('Dvd Calendar'!$M$1880&gt;=GRID_FROM)*('Dvd Calendar'!$M$1880&lt;=GRID_TO)*((('Dvd Calendar'!$M$1880&lt;=VAL_DATE)+(COUNTIF('Dvd Calendar'!$E$1887:$AR$1887,'Dvd Calendar'!$M$1880)=0))&gt;0)=0,"",'Dvd Calendar'!$M$1880*1000000000+ISNUMBER('Dvd Calendar'!$M$1883)*100000000+('Dvd Calendar'!$M$1885=SPECIAL_LBL)*10000000+(N('Dvd Calendar'!$M$1879)&gt;0)*(N('Dvd Calendar'!$M$1879)&lt;=VAL_SERIAL)*1000000+30*1000+9))</f>
        <v/>
      </c>
      <c r="EN189" s="121">
        <f>IF(N('Dvd Calendar'!$N$1880)=0,"",IF(('Dvd Calendar'!$N$1880&gt;=GRID_FROM)*('Dvd Calendar'!$N$1880&lt;=GRID_TO)*((('Dvd Calendar'!$N$1880&lt;=VAL_DATE)+(COUNTIF('Dvd Calendar'!$E$1887:$AR$1887,'Dvd Calendar'!$N$1880)=0))&gt;0)=0,"",'Dvd Calendar'!$N$1880*1000000000+ISNUMBER('Dvd Calendar'!$N$1883)*100000000+('Dvd Calendar'!$N$1885=SPECIAL_LBL)*10000000+(N('Dvd Calendar'!$N$1879)&gt;0)*(N('Dvd Calendar'!$N$1879)&lt;=VAL_SERIAL)*1000000+30*1000+10))</f>
        <v/>
      </c>
      <c r="EO189" s="121">
        <f>IF(N('Dvd Calendar'!$O$1880)=0,"",IF(('Dvd Calendar'!$O$1880&gt;=GRID_FROM)*('Dvd Calendar'!$O$1880&lt;=GRID_TO)*((('Dvd Calendar'!$O$1880&lt;=VAL_DATE)+(COUNTIF('Dvd Calendar'!$E$1887:$AR$1887,'Dvd Calendar'!$O$1880)=0))&gt;0)=0,"",'Dvd Calendar'!$O$1880*1000000000+ISNUMBER('Dvd Calendar'!$O$1883)*100000000+('Dvd Calendar'!$O$1885=SPECIAL_LBL)*10000000+(N('Dvd Calendar'!$O$1879)&gt;0)*(N('Dvd Calendar'!$O$1879)&lt;=VAL_SERIAL)*1000000+30*1000+11))</f>
        <v/>
      </c>
      <c r="EP189" s="121">
        <f>IF(N('Dvd Calendar'!$P$1880)=0,"",IF(('Dvd Calendar'!$P$1880&gt;=GRID_FROM)*('Dvd Calendar'!$P$1880&lt;=GRID_TO)*((('Dvd Calendar'!$P$1880&lt;=VAL_DATE)+(COUNTIF('Dvd Calendar'!$E$1887:$AR$1887,'Dvd Calendar'!$P$1880)=0))&gt;0)=0,"",'Dvd Calendar'!$P$1880*1000000000+ISNUMBER('Dvd Calendar'!$P$1883)*100000000+('Dvd Calendar'!$P$1885=SPECIAL_LBL)*10000000+(N('Dvd Calendar'!$P$1879)&gt;0)*(N('Dvd Calendar'!$P$1879)&lt;=VAL_SERIAL)*1000000+30*1000+12))</f>
        <v/>
      </c>
      <c r="EQ189" s="121">
        <f>IF(N('Dvd Calendar'!$Q$1880)=0,"",IF(('Dvd Calendar'!$Q$1880&gt;=GRID_FROM)*('Dvd Calendar'!$Q$1880&lt;=GRID_TO)*((('Dvd Calendar'!$Q$1880&lt;=VAL_DATE)+(COUNTIF('Dvd Calendar'!$E$1887:$AR$1887,'Dvd Calendar'!$Q$1880)=0))&gt;0)=0,"",'Dvd Calendar'!$Q$1880*1000000000+ISNUMBER('Dvd Calendar'!$Q$1883)*100000000+('Dvd Calendar'!$Q$1885=SPECIAL_LBL)*10000000+(N('Dvd Calendar'!$Q$1879)&gt;0)*(N('Dvd Calendar'!$Q$1879)&lt;=VAL_SERIAL)*1000000+30*1000+13))</f>
        <v/>
      </c>
      <c r="ER189" s="121">
        <f>IF(N('Dvd Calendar'!$R$1880)=0,"",IF(('Dvd Calendar'!$R$1880&gt;=GRID_FROM)*('Dvd Calendar'!$R$1880&lt;=GRID_TO)*((('Dvd Calendar'!$R$1880&lt;=VAL_DATE)+(COUNTIF('Dvd Calendar'!$E$1887:$AR$1887,'Dvd Calendar'!$R$1880)=0))&gt;0)=0,"",'Dvd Calendar'!$R$1880*1000000000+ISNUMBER('Dvd Calendar'!$R$1883)*100000000+('Dvd Calendar'!$R$1885=SPECIAL_LBL)*10000000+(N('Dvd Calendar'!$R$1879)&gt;0)*(N('Dvd Calendar'!$R$1879)&lt;=VAL_SERIAL)*1000000+30*1000+14))</f>
        <v/>
      </c>
      <c r="ES189" s="121">
        <f>IF(N('Dvd Calendar'!$S$1880)=0,"",IF(('Dvd Calendar'!$S$1880&gt;=GRID_FROM)*('Dvd Calendar'!$S$1880&lt;=GRID_TO)*((('Dvd Calendar'!$S$1880&lt;=VAL_DATE)+(COUNTIF('Dvd Calendar'!$E$1887:$AR$1887,'Dvd Calendar'!$S$1880)=0))&gt;0)=0,"",'Dvd Calendar'!$S$1880*1000000000+ISNUMBER('Dvd Calendar'!$S$1883)*100000000+('Dvd Calendar'!$S$1885=SPECIAL_LBL)*10000000+(N('Dvd Calendar'!$S$1879)&gt;0)*(N('Dvd Calendar'!$S$1879)&lt;=VAL_SERIAL)*1000000+30*1000+15))</f>
        <v/>
      </c>
      <c r="ET189" s="121">
        <f>IF(N('Dvd Calendar'!$T$1880)=0,"",IF(('Dvd Calendar'!$T$1880&gt;=GRID_FROM)*('Dvd Calendar'!$T$1880&lt;=GRID_TO)*((('Dvd Calendar'!$T$1880&lt;=VAL_DATE)+(COUNTIF('Dvd Calendar'!$E$1887:$AR$1887,'Dvd Calendar'!$T$1880)=0))&gt;0)=0,"",'Dvd Calendar'!$T$1880*1000000000+ISNUMBER('Dvd Calendar'!$T$1883)*100000000+('Dvd Calendar'!$T$1885=SPECIAL_LBL)*10000000+(N('Dvd Calendar'!$T$1879)&gt;0)*(N('Dvd Calendar'!$T$1879)&lt;=VAL_SERIAL)*1000000+30*1000+16))</f>
        <v/>
      </c>
      <c r="EU189" s="121">
        <f>IF(N('Dvd Calendar'!$U$1880)=0,"",IF(('Dvd Calendar'!$U$1880&gt;=GRID_FROM)*('Dvd Calendar'!$U$1880&lt;=GRID_TO)*((('Dvd Calendar'!$U$1880&lt;=VAL_DATE)+(COUNTIF('Dvd Calendar'!$E$1887:$AR$1887,'Dvd Calendar'!$U$1880)=0))&gt;0)=0,"",'Dvd Calendar'!$U$1880*1000000000+ISNUMBER('Dvd Calendar'!$U$1883)*100000000+('Dvd Calendar'!$U$1885=SPECIAL_LBL)*10000000+(N('Dvd Calendar'!$U$1879)&gt;0)*(N('Dvd Calendar'!$U$1879)&lt;=VAL_SERIAL)*1000000+30*1000+17))</f>
        <v/>
      </c>
      <c r="EV189" s="121">
        <f>IF(N('Dvd Calendar'!$V$1880)=0,"",IF(('Dvd Calendar'!$V$1880&gt;=GRID_FROM)*('Dvd Calendar'!$V$1880&lt;=GRID_TO)*((('Dvd Calendar'!$V$1880&lt;=VAL_DATE)+(COUNTIF('Dvd Calendar'!$E$1887:$AR$1887,'Dvd Calendar'!$V$1880)=0))&gt;0)=0,"",'Dvd Calendar'!$V$1880*1000000000+ISNUMBER('Dvd Calendar'!$V$1883)*100000000+('Dvd Calendar'!$V$1885=SPECIAL_LBL)*10000000+(N('Dvd Calendar'!$V$1879)&gt;0)*(N('Dvd Calendar'!$V$1879)&lt;=VAL_SERIAL)*1000000+30*1000+18))</f>
        <v/>
      </c>
      <c r="EW189" s="121">
        <f>IF(N('Dvd Calendar'!$W$1880)=0,"",IF(('Dvd Calendar'!$W$1880&gt;=GRID_FROM)*('Dvd Calendar'!$W$1880&lt;=GRID_TO)*((('Dvd Calendar'!$W$1880&lt;=VAL_DATE)+(COUNTIF('Dvd Calendar'!$E$1887:$AR$1887,'Dvd Calendar'!$W$1880)=0))&gt;0)=0,"",'Dvd Calendar'!$W$1880*1000000000+ISNUMBER('Dvd Calendar'!$W$1883)*100000000+('Dvd Calendar'!$W$1885=SPECIAL_LBL)*10000000+(N('Dvd Calendar'!$W$1879)&gt;0)*(N('Dvd Calendar'!$W$1879)&lt;=VAL_SERIAL)*1000000+30*1000+19))</f>
        <v/>
      </c>
      <c r="EX189" s="121">
        <f>IF(N('Dvd Calendar'!$X$1880)=0,"",IF(('Dvd Calendar'!$X$1880&gt;=GRID_FROM)*('Dvd Calendar'!$X$1880&lt;=GRID_TO)*((('Dvd Calendar'!$X$1880&lt;=VAL_DATE)+(COUNTIF('Dvd Calendar'!$E$1887:$AR$1887,'Dvd Calendar'!$X$1880)=0))&gt;0)=0,"",'Dvd Calendar'!$X$1880*1000000000+ISNUMBER('Dvd Calendar'!$X$1883)*100000000+('Dvd Calendar'!$X$1885=SPECIAL_LBL)*10000000+(N('Dvd Calendar'!$X$1879)&gt;0)*(N('Dvd Calendar'!$X$1879)&lt;=VAL_SERIAL)*1000000+30*1000+20))</f>
        <v/>
      </c>
      <c r="EY189" s="121">
        <f>IF(N('Dvd Calendar'!$Y$1880)=0,"",IF(('Dvd Calendar'!$Y$1880&gt;=GRID_FROM)*('Dvd Calendar'!$Y$1880&lt;=GRID_TO)*((('Dvd Calendar'!$Y$1880&lt;=VAL_DATE)+(COUNTIF('Dvd Calendar'!$E$1887:$AR$1887,'Dvd Calendar'!$Y$1880)=0))&gt;0)=0,"",'Dvd Calendar'!$Y$1880*1000000000+ISNUMBER('Dvd Calendar'!$Y$1883)*100000000+('Dvd Calendar'!$Y$1885=SPECIAL_LBL)*10000000+(N('Dvd Calendar'!$Y$1879)&gt;0)*(N('Dvd Calendar'!$Y$1879)&lt;=VAL_SERIAL)*1000000+30*1000+21))</f>
        <v/>
      </c>
      <c r="EZ189" s="121">
        <f>IF(N('Dvd Calendar'!$Z$1880)=0,"",IF(('Dvd Calendar'!$Z$1880&gt;=GRID_FROM)*('Dvd Calendar'!$Z$1880&lt;=GRID_TO)*((('Dvd Calendar'!$Z$1880&lt;=VAL_DATE)+(COUNTIF('Dvd Calendar'!$E$1887:$AR$1887,'Dvd Calendar'!$Z$1880)=0))&gt;0)=0,"",'Dvd Calendar'!$Z$1880*1000000000+ISNUMBER('Dvd Calendar'!$Z$1883)*100000000+('Dvd Calendar'!$Z$1885=SPECIAL_LBL)*10000000+(N('Dvd Calendar'!$Z$1879)&gt;0)*(N('Dvd Calendar'!$Z$1879)&lt;=VAL_SERIAL)*1000000+30*1000+22))</f>
        <v/>
      </c>
      <c r="FA189" s="121">
        <f>IF(N('Dvd Calendar'!$AA$1880)=0,"",IF(('Dvd Calendar'!$AA$1880&gt;=GRID_FROM)*('Dvd Calendar'!$AA$1880&lt;=GRID_TO)*((('Dvd Calendar'!$AA$1880&lt;=VAL_DATE)+(COUNTIF('Dvd Calendar'!$E$1887:$AR$1887,'Dvd Calendar'!$AA$1880)=0))&gt;0)=0,"",'Dvd Calendar'!$AA$1880*1000000000+ISNUMBER('Dvd Calendar'!$AA$1883)*100000000+('Dvd Calendar'!$AA$1885=SPECIAL_LBL)*10000000+(N('Dvd Calendar'!$AA$1879)&gt;0)*(N('Dvd Calendar'!$AA$1879)&lt;=VAL_SERIAL)*1000000+30*1000+23))</f>
        <v/>
      </c>
      <c r="FB189" s="121">
        <f>IF(N('Dvd Calendar'!$AB$1880)=0,"",IF(('Dvd Calendar'!$AB$1880&gt;=GRID_FROM)*('Dvd Calendar'!$AB$1880&lt;=GRID_TO)*((('Dvd Calendar'!$AB$1880&lt;=VAL_DATE)+(COUNTIF('Dvd Calendar'!$E$1887:$AR$1887,'Dvd Calendar'!$AB$1880)=0))&gt;0)=0,"",'Dvd Calendar'!$AB$1880*1000000000+ISNUMBER('Dvd Calendar'!$AB$1883)*100000000+('Dvd Calendar'!$AB$1885=SPECIAL_LBL)*10000000+(N('Dvd Calendar'!$AB$1879)&gt;0)*(N('Dvd Calendar'!$AB$1879)&lt;=VAL_SERIAL)*1000000+30*1000+24))</f>
        <v/>
      </c>
      <c r="FC189" s="121">
        <f>IF(N('Dvd Calendar'!$AC$1880)=0,"",IF(('Dvd Calendar'!$AC$1880&gt;=GRID_FROM)*('Dvd Calendar'!$AC$1880&lt;=GRID_TO)*((('Dvd Calendar'!$AC$1880&lt;=VAL_DATE)+(COUNTIF('Dvd Calendar'!$E$1887:$AR$1887,'Dvd Calendar'!$AC$1880)=0))&gt;0)=0,"",'Dvd Calendar'!$AC$1880*1000000000+ISNUMBER('Dvd Calendar'!$AC$1883)*100000000+('Dvd Calendar'!$AC$1885=SPECIAL_LBL)*10000000+(N('Dvd Calendar'!$AC$1879)&gt;0)*(N('Dvd Calendar'!$AC$1879)&lt;=VAL_SERIAL)*1000000+30*1000+25))</f>
        <v/>
      </c>
      <c r="FD189" s="121">
        <f>IF(N('Dvd Calendar'!$AD$1880)=0,"",IF(('Dvd Calendar'!$AD$1880&gt;=GRID_FROM)*('Dvd Calendar'!$AD$1880&lt;=GRID_TO)*((('Dvd Calendar'!$AD$1880&lt;=VAL_DATE)+(COUNTIF('Dvd Calendar'!$E$1887:$AR$1887,'Dvd Calendar'!$AD$1880)=0))&gt;0)=0,"",'Dvd Calendar'!$AD$1880*1000000000+ISNUMBER('Dvd Calendar'!$AD$1883)*100000000+('Dvd Calendar'!$AD$1885=SPECIAL_LBL)*10000000+(N('Dvd Calendar'!$AD$1879)&gt;0)*(N('Dvd Calendar'!$AD$1879)&lt;=VAL_SERIAL)*1000000+30*1000+26))</f>
        <v/>
      </c>
      <c r="FE189" s="121">
        <f>IF(N('Dvd Calendar'!$AE$1880)=0,"",IF(('Dvd Calendar'!$AE$1880&gt;=GRID_FROM)*('Dvd Calendar'!$AE$1880&lt;=GRID_TO)*((('Dvd Calendar'!$AE$1880&lt;=VAL_DATE)+(COUNTIF('Dvd Calendar'!$E$1887:$AR$1887,'Dvd Calendar'!$AE$1880)=0))&gt;0)=0,"",'Dvd Calendar'!$AE$1880*1000000000+ISNUMBER('Dvd Calendar'!$AE$1883)*100000000+('Dvd Calendar'!$AE$1885=SPECIAL_LBL)*10000000+(N('Dvd Calendar'!$AE$1879)&gt;0)*(N('Dvd Calendar'!$AE$1879)&lt;=VAL_SERIAL)*1000000+30*1000+27))</f>
        <v/>
      </c>
      <c r="FF189" s="121">
        <f>IF(N('Dvd Calendar'!$AF$1880)=0,"",IF(('Dvd Calendar'!$AF$1880&gt;=GRID_FROM)*('Dvd Calendar'!$AF$1880&lt;=GRID_TO)*((('Dvd Calendar'!$AF$1880&lt;=VAL_DATE)+(COUNTIF('Dvd Calendar'!$E$1887:$AR$1887,'Dvd Calendar'!$AF$1880)=0))&gt;0)=0,"",'Dvd Calendar'!$AF$1880*1000000000+ISNUMBER('Dvd Calendar'!$AF$1883)*100000000+('Dvd Calendar'!$AF$1885=SPECIAL_LBL)*10000000+(N('Dvd Calendar'!$AF$1879)&gt;0)*(N('Dvd Calendar'!$AF$1879)&lt;=VAL_SERIAL)*1000000+30*1000+28))</f>
        <v/>
      </c>
      <c r="FG189" s="121">
        <f>IF(N('Dvd Calendar'!$AG$1880)=0,"",IF(('Dvd Calendar'!$AG$1880&gt;=GRID_FROM)*('Dvd Calendar'!$AG$1880&lt;=GRID_TO)*((('Dvd Calendar'!$AG$1880&lt;=VAL_DATE)+(COUNTIF('Dvd Calendar'!$E$1887:$AR$1887,'Dvd Calendar'!$AG$1880)=0))&gt;0)=0,"",'Dvd Calendar'!$AG$1880*1000000000+ISNUMBER('Dvd Calendar'!$AG$1883)*100000000+('Dvd Calendar'!$AG$1885=SPECIAL_LBL)*10000000+(N('Dvd Calendar'!$AG$1879)&gt;0)*(N('Dvd Calendar'!$AG$1879)&lt;=VAL_SERIAL)*1000000+30*1000+29))</f>
        <v/>
      </c>
      <c r="FH189" s="121">
        <f>IF(N('Dvd Calendar'!$AH$1880)=0,"",IF(('Dvd Calendar'!$AH$1880&gt;=GRID_FROM)*('Dvd Calendar'!$AH$1880&lt;=GRID_TO)*((('Dvd Calendar'!$AH$1880&lt;=VAL_DATE)+(COUNTIF('Dvd Calendar'!$E$1887:$AR$1887,'Dvd Calendar'!$AH$1880)=0))&gt;0)=0,"",'Dvd Calendar'!$AH$1880*1000000000+ISNUMBER('Dvd Calendar'!$AH$1883)*100000000+('Dvd Calendar'!$AH$1885=SPECIAL_LBL)*10000000+(N('Dvd Calendar'!$AH$1879)&gt;0)*(N('Dvd Calendar'!$AH$1879)&lt;=VAL_SERIAL)*1000000+30*1000+30))</f>
        <v/>
      </c>
      <c r="FI189" s="121">
        <f>IF(N('Dvd Calendar'!$AI$1880)=0,"",IF(('Dvd Calendar'!$AI$1880&gt;=GRID_FROM)*('Dvd Calendar'!$AI$1880&lt;=GRID_TO)*((('Dvd Calendar'!$AI$1880&lt;=VAL_DATE)+(COUNTIF('Dvd Calendar'!$E$1887:$AR$1887,'Dvd Calendar'!$AI$1880)=0))&gt;0)=0,"",'Dvd Calendar'!$AI$1880*1000000000+ISNUMBER('Dvd Calendar'!$AI$1883)*100000000+('Dvd Calendar'!$AI$1885=SPECIAL_LBL)*10000000+(N('Dvd Calendar'!$AI$1879)&gt;0)*(N('Dvd Calendar'!$AI$1879)&lt;=VAL_SERIAL)*1000000+30*1000+31))</f>
        <v/>
      </c>
      <c r="FJ189" s="121">
        <f>IF(N('Dvd Calendar'!$AJ$1880)=0,"",IF(('Dvd Calendar'!$AJ$1880&gt;=GRID_FROM)*('Dvd Calendar'!$AJ$1880&lt;=GRID_TO)*((('Dvd Calendar'!$AJ$1880&lt;=VAL_DATE)+(COUNTIF('Dvd Calendar'!$E$1887:$AR$1887,'Dvd Calendar'!$AJ$1880)=0))&gt;0)=0,"",'Dvd Calendar'!$AJ$1880*1000000000+ISNUMBER('Dvd Calendar'!$AJ$1883)*100000000+('Dvd Calendar'!$AJ$1885=SPECIAL_LBL)*10000000+(N('Dvd Calendar'!$AJ$1879)&gt;0)*(N('Dvd Calendar'!$AJ$1879)&lt;=VAL_SERIAL)*1000000+30*1000+32))</f>
        <v/>
      </c>
      <c r="FK189" s="121">
        <f>IF(N('Dvd Calendar'!$AK$1880)=0,"",IF(('Dvd Calendar'!$AK$1880&gt;=GRID_FROM)*('Dvd Calendar'!$AK$1880&lt;=GRID_TO)*((('Dvd Calendar'!$AK$1880&lt;=VAL_DATE)+(COUNTIF('Dvd Calendar'!$E$1887:$AR$1887,'Dvd Calendar'!$AK$1880)=0))&gt;0)=0,"",'Dvd Calendar'!$AK$1880*1000000000+ISNUMBER('Dvd Calendar'!$AK$1883)*100000000+('Dvd Calendar'!$AK$1885=SPECIAL_LBL)*10000000+(N('Dvd Calendar'!$AK$1879)&gt;0)*(N('Dvd Calendar'!$AK$1879)&lt;=VAL_SERIAL)*1000000+30*1000+33))</f>
        <v/>
      </c>
      <c r="FL189" s="121">
        <f>IF(N('Dvd Calendar'!$AL$1880)=0,"",IF(('Dvd Calendar'!$AL$1880&gt;=GRID_FROM)*('Dvd Calendar'!$AL$1880&lt;=GRID_TO)*((('Dvd Calendar'!$AL$1880&lt;=VAL_DATE)+(COUNTIF('Dvd Calendar'!$E$1887:$AR$1887,'Dvd Calendar'!$AL$1880)=0))&gt;0)=0,"",'Dvd Calendar'!$AL$1880*1000000000+ISNUMBER('Dvd Calendar'!$AL$1883)*100000000+('Dvd Calendar'!$AL$1885=SPECIAL_LBL)*10000000+(N('Dvd Calendar'!$AL$1879)&gt;0)*(N('Dvd Calendar'!$AL$1879)&lt;=VAL_SERIAL)*1000000+30*1000+34))</f>
        <v/>
      </c>
      <c r="FM189" s="121">
        <f>IF(N('Dvd Calendar'!$AM$1880)=0,"",IF(('Dvd Calendar'!$AM$1880&gt;=GRID_FROM)*('Dvd Calendar'!$AM$1880&lt;=GRID_TO)*((('Dvd Calendar'!$AM$1880&lt;=VAL_DATE)+(COUNTIF('Dvd Calendar'!$E$1887:$AR$1887,'Dvd Calendar'!$AM$1880)=0))&gt;0)=0,"",'Dvd Calendar'!$AM$1880*1000000000+ISNUMBER('Dvd Calendar'!$AM$1883)*100000000+('Dvd Calendar'!$AM$1885=SPECIAL_LBL)*10000000+(N('Dvd Calendar'!$AM$1879)&gt;0)*(N('Dvd Calendar'!$AM$1879)&lt;=VAL_SERIAL)*1000000+30*1000+35))</f>
        <v/>
      </c>
      <c r="FN189" s="121">
        <f>IF(N('Dvd Calendar'!$AN$1880)=0,"",IF(('Dvd Calendar'!$AN$1880&gt;=GRID_FROM)*('Dvd Calendar'!$AN$1880&lt;=GRID_TO)*((('Dvd Calendar'!$AN$1880&lt;=VAL_DATE)+(COUNTIF('Dvd Calendar'!$E$1887:$AR$1887,'Dvd Calendar'!$AN$1880)=0))&gt;0)=0,"",'Dvd Calendar'!$AN$1880*1000000000+ISNUMBER('Dvd Calendar'!$AN$1883)*100000000+('Dvd Calendar'!$AN$1885=SPECIAL_LBL)*10000000+(N('Dvd Calendar'!$AN$1879)&gt;0)*(N('Dvd Calendar'!$AN$1879)&lt;=VAL_SERIAL)*1000000+30*1000+36))</f>
        <v/>
      </c>
      <c r="FO189" s="121">
        <f>IF(N('Dvd Calendar'!$AO$1880)=0,"",IF(('Dvd Calendar'!$AO$1880&gt;=GRID_FROM)*('Dvd Calendar'!$AO$1880&lt;=GRID_TO)*((('Dvd Calendar'!$AO$1880&lt;=VAL_DATE)+(COUNTIF('Dvd Calendar'!$E$1887:$AR$1887,'Dvd Calendar'!$AO$1880)=0))&gt;0)=0,"",'Dvd Calendar'!$AO$1880*1000000000+ISNUMBER('Dvd Calendar'!$AO$1883)*100000000+('Dvd Calendar'!$AO$1885=SPECIAL_LBL)*10000000+(N('Dvd Calendar'!$AO$1879)&gt;0)*(N('Dvd Calendar'!$AO$1879)&lt;=VAL_SERIAL)*1000000+30*1000+37))</f>
        <v/>
      </c>
      <c r="FP189" s="121">
        <f>IF(N('Dvd Calendar'!$AP$1880)=0,"",IF(('Dvd Calendar'!$AP$1880&gt;=GRID_FROM)*('Dvd Calendar'!$AP$1880&lt;=GRID_TO)*((('Dvd Calendar'!$AP$1880&lt;=VAL_DATE)+(COUNTIF('Dvd Calendar'!$E$1887:$AR$1887,'Dvd Calendar'!$AP$1880)=0))&gt;0)=0,"",'Dvd Calendar'!$AP$1880*1000000000+ISNUMBER('Dvd Calendar'!$AP$1883)*100000000+('Dvd Calendar'!$AP$1885=SPECIAL_LBL)*10000000+(N('Dvd Calendar'!$AP$1879)&gt;0)*(N('Dvd Calendar'!$AP$1879)&lt;=VAL_SERIAL)*1000000+30*1000+38))</f>
        <v/>
      </c>
      <c r="FQ189" s="121">
        <f>IF(N('Dvd Calendar'!$AQ$1880)=0,"",IF(('Dvd Calendar'!$AQ$1880&gt;=GRID_FROM)*('Dvd Calendar'!$AQ$1880&lt;=GRID_TO)*((('Dvd Calendar'!$AQ$1880&lt;=VAL_DATE)+(COUNTIF('Dvd Calendar'!$E$1887:$AR$1887,'Dvd Calendar'!$AQ$1880)=0))&gt;0)=0,"",'Dvd Calendar'!$AQ$1880*1000000000+ISNUMBER('Dvd Calendar'!$AQ$1883)*100000000+('Dvd Calendar'!$AQ$1885=SPECIAL_LBL)*10000000+(N('Dvd Calendar'!$AQ$1879)&gt;0)*(N('Dvd Calendar'!$AQ$1879)&lt;=VAL_SERIAL)*1000000+30*1000+39))</f>
        <v/>
      </c>
      <c r="FR189" s="121">
        <f>IF(N('Dvd Calendar'!$AR$1880)=0,"",IF(('Dvd Calendar'!$AR$1880&gt;=GRID_FROM)*('Dvd Calendar'!$AR$1880&lt;=GRID_TO)*((('Dvd Calendar'!$AR$1880&lt;=VAL_DATE)+(COUNTIF('Dvd Calendar'!$E$1887:$AR$1887,'Dvd Calendar'!$AR$1880)=0))&gt;0)=0,"",'Dvd Calendar'!$AR$1880*1000000000+ISNUMBER('Dvd Calendar'!$AR$1883)*100000000+('Dvd Calendar'!$AR$1885=SPECIAL_LBL)*10000000+(N('Dvd Calendar'!$AR$1879)&gt;0)*(N('Dvd Calendar'!$AR$1879)&lt;=VAL_SERIAL)*1000000+30*1000+40))</f>
        <v/>
      </c>
      <c r="FS189" s="121">
        <f>IF(N('Dvd Calendar'!$E$1887)=0,"",IF(('Dvd Calendar'!$E$1887&gt;=GRID_FROM)*('Dvd Calendar'!$E$1887&lt;=GRID_TO)*('Dvd Calendar'!$E$1887&gt;VAL_DATE)=0,"",'Dvd Calendar'!$E$1887*1000000000+ISNUMBER('Dvd Calendar'!$E$1888)*100000000+0*10000000+(N('Dvd Calendar'!$E$1886)&gt;0)*(N('Dvd Calendar'!$E$1886)&lt;=VAL_SERIAL)*1000000+30*1000+41))</f>
        <v/>
      </c>
      <c r="FT189" s="121">
        <f>IF(N('Dvd Calendar'!$F$1887)=0,"",IF(('Dvd Calendar'!$F$1887&gt;=GRID_FROM)*('Dvd Calendar'!$F$1887&lt;=GRID_TO)*('Dvd Calendar'!$F$1887&gt;VAL_DATE)=0,"",'Dvd Calendar'!$F$1887*1000000000+ISNUMBER('Dvd Calendar'!$F$1888)*100000000+0*10000000+(N('Dvd Calendar'!$F$1886)&gt;0)*(N('Dvd Calendar'!$F$1886)&lt;=VAL_SERIAL)*1000000+30*1000+42))</f>
        <v/>
      </c>
      <c r="FU189" s="121">
        <f>IF(N('Dvd Calendar'!$G$1887)=0,"",IF(('Dvd Calendar'!$G$1887&gt;=GRID_FROM)*('Dvd Calendar'!$G$1887&lt;=GRID_TO)*('Dvd Calendar'!$G$1887&gt;VAL_DATE)=0,"",'Dvd Calendar'!$G$1887*1000000000+ISNUMBER('Dvd Calendar'!$G$1888)*100000000+0*10000000+(N('Dvd Calendar'!$G$1886)&gt;0)*(N('Dvd Calendar'!$G$1886)&lt;=VAL_SERIAL)*1000000+30*1000+43))</f>
        <v/>
      </c>
      <c r="FV189" s="121">
        <f>IF(N('Dvd Calendar'!$H$1887)=0,"",IF(('Dvd Calendar'!$H$1887&gt;=GRID_FROM)*('Dvd Calendar'!$H$1887&lt;=GRID_TO)*('Dvd Calendar'!$H$1887&gt;VAL_DATE)=0,"",'Dvd Calendar'!$H$1887*1000000000+ISNUMBER('Dvd Calendar'!$H$1888)*100000000+0*10000000+(N('Dvd Calendar'!$H$1886)&gt;0)*(N('Dvd Calendar'!$H$1886)&lt;=VAL_SERIAL)*1000000+30*1000+44))</f>
        <v/>
      </c>
      <c r="FW189" s="121">
        <f>IF(N('Dvd Calendar'!$I$1887)=0,"",IF(('Dvd Calendar'!$I$1887&gt;=GRID_FROM)*('Dvd Calendar'!$I$1887&lt;=GRID_TO)*('Dvd Calendar'!$I$1887&gt;VAL_DATE)=0,"",'Dvd Calendar'!$I$1887*1000000000+ISNUMBER('Dvd Calendar'!$I$1888)*100000000+0*10000000+(N('Dvd Calendar'!$I$1886)&gt;0)*(N('Dvd Calendar'!$I$1886)&lt;=VAL_SERIAL)*1000000+30*1000+45))</f>
        <v/>
      </c>
      <c r="FX189" s="121">
        <f>IF(N('Dvd Calendar'!$J$1887)=0,"",IF(('Dvd Calendar'!$J$1887&gt;=GRID_FROM)*('Dvd Calendar'!$J$1887&lt;=GRID_TO)*('Dvd Calendar'!$J$1887&gt;VAL_DATE)=0,"",'Dvd Calendar'!$J$1887*1000000000+ISNUMBER('Dvd Calendar'!$J$1888)*100000000+0*10000000+(N('Dvd Calendar'!$J$1886)&gt;0)*(N('Dvd Calendar'!$J$1886)&lt;=VAL_SERIAL)*1000000+30*1000+46))</f>
        <v/>
      </c>
      <c r="FY189" s="121">
        <f>IF(N('Dvd Calendar'!$K$1887)=0,"",IF(('Dvd Calendar'!$K$1887&gt;=GRID_FROM)*('Dvd Calendar'!$K$1887&lt;=GRID_TO)*('Dvd Calendar'!$K$1887&gt;VAL_DATE)=0,"",'Dvd Calendar'!$K$1887*1000000000+ISNUMBER('Dvd Calendar'!$K$1888)*100000000+0*10000000+(N('Dvd Calendar'!$K$1886)&gt;0)*(N('Dvd Calendar'!$K$1886)&lt;=VAL_SERIAL)*1000000+30*1000+47))</f>
        <v/>
      </c>
      <c r="FZ189" s="121">
        <f>IF(N('Dvd Calendar'!$L$1887)=0,"",IF(('Dvd Calendar'!$L$1887&gt;=GRID_FROM)*('Dvd Calendar'!$L$1887&lt;=GRID_TO)*('Dvd Calendar'!$L$1887&gt;VAL_DATE)=0,"",'Dvd Calendar'!$L$1887*1000000000+ISNUMBER('Dvd Calendar'!$L$1888)*100000000+0*10000000+(N('Dvd Calendar'!$L$1886)&gt;0)*(N('Dvd Calendar'!$L$1886)&lt;=VAL_SERIAL)*1000000+30*1000+48))</f>
        <v/>
      </c>
      <c r="GA189" s="121">
        <f>IF(N('Dvd Calendar'!$M$1887)=0,"",IF(('Dvd Calendar'!$M$1887&gt;=GRID_FROM)*('Dvd Calendar'!$M$1887&lt;=GRID_TO)*('Dvd Calendar'!$M$1887&gt;VAL_DATE)=0,"",'Dvd Calendar'!$M$1887*1000000000+ISNUMBER('Dvd Calendar'!$M$1888)*100000000+0*10000000+(N('Dvd Calendar'!$M$1886)&gt;0)*(N('Dvd Calendar'!$M$1886)&lt;=VAL_SERIAL)*1000000+30*1000+49))</f>
        <v/>
      </c>
      <c r="GB189" s="121">
        <f>IF(N('Dvd Calendar'!$N$1887)=0,"",IF(('Dvd Calendar'!$N$1887&gt;=GRID_FROM)*('Dvd Calendar'!$N$1887&lt;=GRID_TO)*('Dvd Calendar'!$N$1887&gt;VAL_DATE)=0,"",'Dvd Calendar'!$N$1887*1000000000+ISNUMBER('Dvd Calendar'!$N$1888)*100000000+0*10000000+(N('Dvd Calendar'!$N$1886)&gt;0)*(N('Dvd Calendar'!$N$1886)&lt;=VAL_SERIAL)*1000000+30*1000+50))</f>
        <v/>
      </c>
      <c r="GC189" s="121">
        <f>IF(N('Dvd Calendar'!$O$1887)=0,"",IF(('Dvd Calendar'!$O$1887&gt;=GRID_FROM)*('Dvd Calendar'!$O$1887&lt;=GRID_TO)*('Dvd Calendar'!$O$1887&gt;VAL_DATE)=0,"",'Dvd Calendar'!$O$1887*1000000000+ISNUMBER('Dvd Calendar'!$O$1888)*100000000+0*10000000+(N('Dvd Calendar'!$O$1886)&gt;0)*(N('Dvd Calendar'!$O$1886)&lt;=VAL_SERIAL)*1000000+30*1000+51))</f>
        <v/>
      </c>
      <c r="GD189" s="121">
        <f>IF(N('Dvd Calendar'!$P$1887)=0,"",IF(('Dvd Calendar'!$P$1887&gt;=GRID_FROM)*('Dvd Calendar'!$P$1887&lt;=GRID_TO)*('Dvd Calendar'!$P$1887&gt;VAL_DATE)=0,"",'Dvd Calendar'!$P$1887*1000000000+ISNUMBER('Dvd Calendar'!$P$1888)*100000000+0*10000000+(N('Dvd Calendar'!$P$1886)&gt;0)*(N('Dvd Calendar'!$P$1886)&lt;=VAL_SERIAL)*1000000+30*1000+52))</f>
        <v/>
      </c>
      <c r="GE189" s="121">
        <f>IF(N('Dvd Calendar'!$Q$1887)=0,"",IF(('Dvd Calendar'!$Q$1887&gt;=GRID_FROM)*('Dvd Calendar'!$Q$1887&lt;=GRID_TO)*('Dvd Calendar'!$Q$1887&gt;VAL_DATE)=0,"",'Dvd Calendar'!$Q$1887*1000000000+ISNUMBER('Dvd Calendar'!$Q$1888)*100000000+0*10000000+(N('Dvd Calendar'!$Q$1886)&gt;0)*(N('Dvd Calendar'!$Q$1886)&lt;=VAL_SERIAL)*1000000+30*1000+53))</f>
        <v/>
      </c>
      <c r="GF189" s="121">
        <f>IF(N('Dvd Calendar'!$R$1887)=0,"",IF(('Dvd Calendar'!$R$1887&gt;=GRID_FROM)*('Dvd Calendar'!$R$1887&lt;=GRID_TO)*('Dvd Calendar'!$R$1887&gt;VAL_DATE)=0,"",'Dvd Calendar'!$R$1887*1000000000+ISNUMBER('Dvd Calendar'!$R$1888)*100000000+0*10000000+(N('Dvd Calendar'!$R$1886)&gt;0)*(N('Dvd Calendar'!$R$1886)&lt;=VAL_SERIAL)*1000000+30*1000+54))</f>
        <v/>
      </c>
      <c r="GG189" s="121">
        <f>IF(N('Dvd Calendar'!$S$1887)=0,"",IF(('Dvd Calendar'!$S$1887&gt;=GRID_FROM)*('Dvd Calendar'!$S$1887&lt;=GRID_TO)*('Dvd Calendar'!$S$1887&gt;VAL_DATE)=0,"",'Dvd Calendar'!$S$1887*1000000000+ISNUMBER('Dvd Calendar'!$S$1888)*100000000+0*10000000+(N('Dvd Calendar'!$S$1886)&gt;0)*(N('Dvd Calendar'!$S$1886)&lt;=VAL_SERIAL)*1000000+30*1000+55))</f>
        <v/>
      </c>
      <c r="GH189" s="121">
        <f>IF(N('Dvd Calendar'!$T$1887)=0,"",IF(('Dvd Calendar'!$T$1887&gt;=GRID_FROM)*('Dvd Calendar'!$T$1887&lt;=GRID_TO)*('Dvd Calendar'!$T$1887&gt;VAL_DATE)=0,"",'Dvd Calendar'!$T$1887*1000000000+ISNUMBER('Dvd Calendar'!$T$1888)*100000000+0*10000000+(N('Dvd Calendar'!$T$1886)&gt;0)*(N('Dvd Calendar'!$T$1886)&lt;=VAL_SERIAL)*1000000+30*1000+56))</f>
        <v/>
      </c>
      <c r="GI189" s="121">
        <f>IF(N('Dvd Calendar'!$U$1887)=0,"",IF(('Dvd Calendar'!$U$1887&gt;=GRID_FROM)*('Dvd Calendar'!$U$1887&lt;=GRID_TO)*('Dvd Calendar'!$U$1887&gt;VAL_DATE)=0,"",'Dvd Calendar'!$U$1887*1000000000+ISNUMBER('Dvd Calendar'!$U$1888)*100000000+0*10000000+(N('Dvd Calendar'!$U$1886)&gt;0)*(N('Dvd Calendar'!$U$1886)&lt;=VAL_SERIAL)*1000000+30*1000+57))</f>
        <v/>
      </c>
      <c r="GJ189" s="121">
        <f>IF(N('Dvd Calendar'!$V$1887)=0,"",IF(('Dvd Calendar'!$V$1887&gt;=GRID_FROM)*('Dvd Calendar'!$V$1887&lt;=GRID_TO)*('Dvd Calendar'!$V$1887&gt;VAL_DATE)=0,"",'Dvd Calendar'!$V$1887*1000000000+ISNUMBER('Dvd Calendar'!$V$1888)*100000000+0*10000000+(N('Dvd Calendar'!$V$1886)&gt;0)*(N('Dvd Calendar'!$V$1886)&lt;=VAL_SERIAL)*1000000+30*1000+58))</f>
        <v/>
      </c>
      <c r="GK189" s="121">
        <f>IF(N('Dvd Calendar'!$W$1887)=0,"",IF(('Dvd Calendar'!$W$1887&gt;=GRID_FROM)*('Dvd Calendar'!$W$1887&lt;=GRID_TO)*('Dvd Calendar'!$W$1887&gt;VAL_DATE)=0,"",'Dvd Calendar'!$W$1887*1000000000+ISNUMBER('Dvd Calendar'!$W$1888)*100000000+0*10000000+(N('Dvd Calendar'!$W$1886)&gt;0)*(N('Dvd Calendar'!$W$1886)&lt;=VAL_SERIAL)*1000000+30*1000+59))</f>
        <v/>
      </c>
      <c r="GL189" s="121">
        <f>IF(N('Dvd Calendar'!$X$1887)=0,"",IF(('Dvd Calendar'!$X$1887&gt;=GRID_FROM)*('Dvd Calendar'!$X$1887&lt;=GRID_TO)*('Dvd Calendar'!$X$1887&gt;VAL_DATE)=0,"",'Dvd Calendar'!$X$1887*1000000000+ISNUMBER('Dvd Calendar'!$X$1888)*100000000+0*10000000+(N('Dvd Calendar'!$X$1886)&gt;0)*(N('Dvd Calendar'!$X$1886)&lt;=VAL_SERIAL)*1000000+30*1000+60))</f>
        <v/>
      </c>
      <c r="GM189" s="121">
        <f>IF(N('Dvd Calendar'!$Y$1887)=0,"",IF(('Dvd Calendar'!$Y$1887&gt;=GRID_FROM)*('Dvd Calendar'!$Y$1887&lt;=GRID_TO)*('Dvd Calendar'!$Y$1887&gt;VAL_DATE)=0,"",'Dvd Calendar'!$Y$1887*1000000000+ISNUMBER('Dvd Calendar'!$Y$1888)*100000000+0*10000000+(N('Dvd Calendar'!$Y$1886)&gt;0)*(N('Dvd Calendar'!$Y$1886)&lt;=VAL_SERIAL)*1000000+30*1000+61))</f>
        <v/>
      </c>
      <c r="GN189" s="121">
        <f>IF(N('Dvd Calendar'!$Z$1887)=0,"",IF(('Dvd Calendar'!$Z$1887&gt;=GRID_FROM)*('Dvd Calendar'!$Z$1887&lt;=GRID_TO)*('Dvd Calendar'!$Z$1887&gt;VAL_DATE)=0,"",'Dvd Calendar'!$Z$1887*1000000000+ISNUMBER('Dvd Calendar'!$Z$1888)*100000000+0*10000000+(N('Dvd Calendar'!$Z$1886)&gt;0)*(N('Dvd Calendar'!$Z$1886)&lt;=VAL_SERIAL)*1000000+30*1000+62))</f>
        <v/>
      </c>
      <c r="GO189" s="121">
        <f>IF(N('Dvd Calendar'!$AA$1887)=0,"",IF(('Dvd Calendar'!$AA$1887&gt;=GRID_FROM)*('Dvd Calendar'!$AA$1887&lt;=GRID_TO)*('Dvd Calendar'!$AA$1887&gt;VAL_DATE)=0,"",'Dvd Calendar'!$AA$1887*1000000000+ISNUMBER('Dvd Calendar'!$AA$1888)*100000000+0*10000000+(N('Dvd Calendar'!$AA$1886)&gt;0)*(N('Dvd Calendar'!$AA$1886)&lt;=VAL_SERIAL)*1000000+30*1000+63))</f>
        <v/>
      </c>
      <c r="GP189" s="121">
        <f>IF(N('Dvd Calendar'!$AB$1887)=0,"",IF(('Dvd Calendar'!$AB$1887&gt;=GRID_FROM)*('Dvd Calendar'!$AB$1887&lt;=GRID_TO)*('Dvd Calendar'!$AB$1887&gt;VAL_DATE)=0,"",'Dvd Calendar'!$AB$1887*1000000000+ISNUMBER('Dvd Calendar'!$AB$1888)*100000000+0*10000000+(N('Dvd Calendar'!$AB$1886)&gt;0)*(N('Dvd Calendar'!$AB$1886)&lt;=VAL_SERIAL)*1000000+30*1000+64))</f>
        <v/>
      </c>
      <c r="GQ189" s="121">
        <f>IF(N('Dvd Calendar'!$AC$1887)=0,"",IF(('Dvd Calendar'!$AC$1887&gt;=GRID_FROM)*('Dvd Calendar'!$AC$1887&lt;=GRID_TO)*('Dvd Calendar'!$AC$1887&gt;VAL_DATE)=0,"",'Dvd Calendar'!$AC$1887*1000000000+ISNUMBER('Dvd Calendar'!$AC$1888)*100000000+0*10000000+(N('Dvd Calendar'!$AC$1886)&gt;0)*(N('Dvd Calendar'!$AC$1886)&lt;=VAL_SERIAL)*1000000+30*1000+65))</f>
        <v/>
      </c>
    </row>
    <row r="190">
      <c r="B190" s="2">
        <f>IF(HSCEI!$C$37="","",HSCEI!$C$37)</f>
        <v/>
      </c>
      <c r="C190" s="161">
        <f>IF(EE190="","",IF(ISNUMBER('Dvd Calendar'!$E$1894)=FALSE,"",IF((('Dvd Calendar'!$E$1896=TYPE1)*(TYPE1&lt;&gt;"")+('Dvd Calendar'!$E$1896=TYPE2)*(TYPE2&lt;&gt;"")+('Dvd Calendar'!$E$1896=TYPE3)*(TYPE3&lt;&gt;"")+('Dvd Calendar'!$E$1896=TYPE4)*(TYPE4&lt;&gt;"")+('Dvd Calendar'!$E$1896=SPECIAL_LBL)*(INC_SPECIALS="Y"))=0,"",'Dvd Calendar'!$E$1894)))</f>
        <v/>
      </c>
      <c r="D190" s="161">
        <f>IF(EF190="","",IF(ISNUMBER('Dvd Calendar'!$F$1894)=FALSE,"",IF((('Dvd Calendar'!$F$1896=TYPE1)*(TYPE1&lt;&gt;"")+('Dvd Calendar'!$F$1896=TYPE2)*(TYPE2&lt;&gt;"")+('Dvd Calendar'!$F$1896=TYPE3)*(TYPE3&lt;&gt;"")+('Dvd Calendar'!$F$1896=TYPE4)*(TYPE4&lt;&gt;"")+('Dvd Calendar'!$F$1896=SPECIAL_LBL)*(INC_SPECIALS="Y"))=0,"",'Dvd Calendar'!$F$1894)))</f>
        <v/>
      </c>
      <c r="E190" s="161">
        <f>IF(EG190="","",IF(ISNUMBER('Dvd Calendar'!$G$1894)=FALSE,"",IF((('Dvd Calendar'!$G$1896=TYPE1)*(TYPE1&lt;&gt;"")+('Dvd Calendar'!$G$1896=TYPE2)*(TYPE2&lt;&gt;"")+('Dvd Calendar'!$G$1896=TYPE3)*(TYPE3&lt;&gt;"")+('Dvd Calendar'!$G$1896=TYPE4)*(TYPE4&lt;&gt;"")+('Dvd Calendar'!$G$1896=SPECIAL_LBL)*(INC_SPECIALS="Y"))=0,"",'Dvd Calendar'!$G$1894)))</f>
        <v/>
      </c>
      <c r="F190" s="161">
        <f>IF(EH190="","",IF(ISNUMBER('Dvd Calendar'!$H$1894)=FALSE,"",IF((('Dvd Calendar'!$H$1896=TYPE1)*(TYPE1&lt;&gt;"")+('Dvd Calendar'!$H$1896=TYPE2)*(TYPE2&lt;&gt;"")+('Dvd Calendar'!$H$1896=TYPE3)*(TYPE3&lt;&gt;"")+('Dvd Calendar'!$H$1896=TYPE4)*(TYPE4&lt;&gt;"")+('Dvd Calendar'!$H$1896=SPECIAL_LBL)*(INC_SPECIALS="Y"))=0,"",'Dvd Calendar'!$H$1894)))</f>
        <v/>
      </c>
      <c r="G190" s="161">
        <f>IF(EI190="","",IF(ISNUMBER('Dvd Calendar'!$I$1894)=FALSE,"",IF((('Dvd Calendar'!$I$1896=TYPE1)*(TYPE1&lt;&gt;"")+('Dvd Calendar'!$I$1896=TYPE2)*(TYPE2&lt;&gt;"")+('Dvd Calendar'!$I$1896=TYPE3)*(TYPE3&lt;&gt;"")+('Dvd Calendar'!$I$1896=TYPE4)*(TYPE4&lt;&gt;"")+('Dvd Calendar'!$I$1896=SPECIAL_LBL)*(INC_SPECIALS="Y"))=0,"",'Dvd Calendar'!$I$1894)))</f>
        <v/>
      </c>
      <c r="H190" s="161">
        <f>IF(EJ190="","",IF(ISNUMBER('Dvd Calendar'!$J$1894)=FALSE,"",IF((('Dvd Calendar'!$J$1896=TYPE1)*(TYPE1&lt;&gt;"")+('Dvd Calendar'!$J$1896=TYPE2)*(TYPE2&lt;&gt;"")+('Dvd Calendar'!$J$1896=TYPE3)*(TYPE3&lt;&gt;"")+('Dvd Calendar'!$J$1896=TYPE4)*(TYPE4&lt;&gt;"")+('Dvd Calendar'!$J$1896=SPECIAL_LBL)*(INC_SPECIALS="Y"))=0,"",'Dvd Calendar'!$J$1894)))</f>
        <v/>
      </c>
      <c r="I190" s="161">
        <f>IF(EK190="","",IF(ISNUMBER('Dvd Calendar'!$K$1894)=FALSE,"",IF((('Dvd Calendar'!$K$1896=TYPE1)*(TYPE1&lt;&gt;"")+('Dvd Calendar'!$K$1896=TYPE2)*(TYPE2&lt;&gt;"")+('Dvd Calendar'!$K$1896=TYPE3)*(TYPE3&lt;&gt;"")+('Dvd Calendar'!$K$1896=TYPE4)*(TYPE4&lt;&gt;"")+('Dvd Calendar'!$K$1896=SPECIAL_LBL)*(INC_SPECIALS="Y"))=0,"",'Dvd Calendar'!$K$1894)))</f>
        <v/>
      </c>
      <c r="J190" s="161">
        <f>IF(EL190="","",IF(ISNUMBER('Dvd Calendar'!$L$1894)=FALSE,"",IF((('Dvd Calendar'!$L$1896=TYPE1)*(TYPE1&lt;&gt;"")+('Dvd Calendar'!$L$1896=TYPE2)*(TYPE2&lt;&gt;"")+('Dvd Calendar'!$L$1896=TYPE3)*(TYPE3&lt;&gt;"")+('Dvd Calendar'!$L$1896=TYPE4)*(TYPE4&lt;&gt;"")+('Dvd Calendar'!$L$1896=SPECIAL_LBL)*(INC_SPECIALS="Y"))=0,"",'Dvd Calendar'!$L$1894)))</f>
        <v/>
      </c>
      <c r="K190" s="161">
        <f>IF(EM190="","",IF(ISNUMBER('Dvd Calendar'!$M$1894)=FALSE,"",IF((('Dvd Calendar'!$M$1896=TYPE1)*(TYPE1&lt;&gt;"")+('Dvd Calendar'!$M$1896=TYPE2)*(TYPE2&lt;&gt;"")+('Dvd Calendar'!$M$1896=TYPE3)*(TYPE3&lt;&gt;"")+('Dvd Calendar'!$M$1896=TYPE4)*(TYPE4&lt;&gt;"")+('Dvd Calendar'!$M$1896=SPECIAL_LBL)*(INC_SPECIALS="Y"))=0,"",'Dvd Calendar'!$M$1894)))</f>
        <v/>
      </c>
      <c r="L190" s="161">
        <f>IF(EN190="","",IF(ISNUMBER('Dvd Calendar'!$N$1894)=FALSE,"",IF((('Dvd Calendar'!$N$1896=TYPE1)*(TYPE1&lt;&gt;"")+('Dvd Calendar'!$N$1896=TYPE2)*(TYPE2&lt;&gt;"")+('Dvd Calendar'!$N$1896=TYPE3)*(TYPE3&lt;&gt;"")+('Dvd Calendar'!$N$1896=TYPE4)*(TYPE4&lt;&gt;"")+('Dvd Calendar'!$N$1896=SPECIAL_LBL)*(INC_SPECIALS="Y"))=0,"",'Dvd Calendar'!$N$1894)))</f>
        <v/>
      </c>
      <c r="M190" s="161">
        <f>IF(EO190="","",IF(ISNUMBER('Dvd Calendar'!$O$1894)=FALSE,"",IF((('Dvd Calendar'!$O$1896=TYPE1)*(TYPE1&lt;&gt;"")+('Dvd Calendar'!$O$1896=TYPE2)*(TYPE2&lt;&gt;"")+('Dvd Calendar'!$O$1896=TYPE3)*(TYPE3&lt;&gt;"")+('Dvd Calendar'!$O$1896=TYPE4)*(TYPE4&lt;&gt;"")+('Dvd Calendar'!$O$1896=SPECIAL_LBL)*(INC_SPECIALS="Y"))=0,"",'Dvd Calendar'!$O$1894)))</f>
        <v/>
      </c>
      <c r="N190" s="161">
        <f>IF(EP190="","",IF(ISNUMBER('Dvd Calendar'!$P$1894)=FALSE,"",IF((('Dvd Calendar'!$P$1896=TYPE1)*(TYPE1&lt;&gt;"")+('Dvd Calendar'!$P$1896=TYPE2)*(TYPE2&lt;&gt;"")+('Dvd Calendar'!$P$1896=TYPE3)*(TYPE3&lt;&gt;"")+('Dvd Calendar'!$P$1896=TYPE4)*(TYPE4&lt;&gt;"")+('Dvd Calendar'!$P$1896=SPECIAL_LBL)*(INC_SPECIALS="Y"))=0,"",'Dvd Calendar'!$P$1894)))</f>
        <v/>
      </c>
      <c r="O190" s="161">
        <f>IF(EQ190="","",IF(ISNUMBER('Dvd Calendar'!$Q$1894)=FALSE,"",IF((('Dvd Calendar'!$Q$1896=TYPE1)*(TYPE1&lt;&gt;"")+('Dvd Calendar'!$Q$1896=TYPE2)*(TYPE2&lt;&gt;"")+('Dvd Calendar'!$Q$1896=TYPE3)*(TYPE3&lt;&gt;"")+('Dvd Calendar'!$Q$1896=TYPE4)*(TYPE4&lt;&gt;"")+('Dvd Calendar'!$Q$1896=SPECIAL_LBL)*(INC_SPECIALS="Y"))=0,"",'Dvd Calendar'!$Q$1894)))</f>
        <v/>
      </c>
      <c r="P190" s="161">
        <f>IF(ER190="","",IF(ISNUMBER('Dvd Calendar'!$R$1894)=FALSE,"",IF((('Dvd Calendar'!$R$1896=TYPE1)*(TYPE1&lt;&gt;"")+('Dvd Calendar'!$R$1896=TYPE2)*(TYPE2&lt;&gt;"")+('Dvd Calendar'!$R$1896=TYPE3)*(TYPE3&lt;&gt;"")+('Dvd Calendar'!$R$1896=TYPE4)*(TYPE4&lt;&gt;"")+('Dvd Calendar'!$R$1896=SPECIAL_LBL)*(INC_SPECIALS="Y"))=0,"",'Dvd Calendar'!$R$1894)))</f>
        <v/>
      </c>
      <c r="Q190" s="161">
        <f>IF(ES190="","",IF(ISNUMBER('Dvd Calendar'!$S$1894)=FALSE,"",IF((('Dvd Calendar'!$S$1896=TYPE1)*(TYPE1&lt;&gt;"")+('Dvd Calendar'!$S$1896=TYPE2)*(TYPE2&lt;&gt;"")+('Dvd Calendar'!$S$1896=TYPE3)*(TYPE3&lt;&gt;"")+('Dvd Calendar'!$S$1896=TYPE4)*(TYPE4&lt;&gt;"")+('Dvd Calendar'!$S$1896=SPECIAL_LBL)*(INC_SPECIALS="Y"))=0,"",'Dvd Calendar'!$S$1894)))</f>
        <v/>
      </c>
      <c r="R190" s="161">
        <f>IF(ET190="","",IF(ISNUMBER('Dvd Calendar'!$T$1894)=FALSE,"",IF((('Dvd Calendar'!$T$1896=TYPE1)*(TYPE1&lt;&gt;"")+('Dvd Calendar'!$T$1896=TYPE2)*(TYPE2&lt;&gt;"")+('Dvd Calendar'!$T$1896=TYPE3)*(TYPE3&lt;&gt;"")+('Dvd Calendar'!$T$1896=TYPE4)*(TYPE4&lt;&gt;"")+('Dvd Calendar'!$T$1896=SPECIAL_LBL)*(INC_SPECIALS="Y"))=0,"",'Dvd Calendar'!$T$1894)))</f>
        <v/>
      </c>
      <c r="S190" s="161">
        <f>IF(EU190="","",IF(ISNUMBER('Dvd Calendar'!$U$1894)=FALSE,"",IF((('Dvd Calendar'!$U$1896=TYPE1)*(TYPE1&lt;&gt;"")+('Dvd Calendar'!$U$1896=TYPE2)*(TYPE2&lt;&gt;"")+('Dvd Calendar'!$U$1896=TYPE3)*(TYPE3&lt;&gt;"")+('Dvd Calendar'!$U$1896=TYPE4)*(TYPE4&lt;&gt;"")+('Dvd Calendar'!$U$1896=SPECIAL_LBL)*(INC_SPECIALS="Y"))=0,"",'Dvd Calendar'!$U$1894)))</f>
        <v/>
      </c>
      <c r="T190" s="161">
        <f>IF(EV190="","",IF(ISNUMBER('Dvd Calendar'!$V$1894)=FALSE,"",IF((('Dvd Calendar'!$V$1896=TYPE1)*(TYPE1&lt;&gt;"")+('Dvd Calendar'!$V$1896=TYPE2)*(TYPE2&lt;&gt;"")+('Dvd Calendar'!$V$1896=TYPE3)*(TYPE3&lt;&gt;"")+('Dvd Calendar'!$V$1896=TYPE4)*(TYPE4&lt;&gt;"")+('Dvd Calendar'!$V$1896=SPECIAL_LBL)*(INC_SPECIALS="Y"))=0,"",'Dvd Calendar'!$V$1894)))</f>
        <v/>
      </c>
      <c r="U190" s="161">
        <f>IF(EW190="","",IF(ISNUMBER('Dvd Calendar'!$W$1894)=FALSE,"",IF((('Dvd Calendar'!$W$1896=TYPE1)*(TYPE1&lt;&gt;"")+('Dvd Calendar'!$W$1896=TYPE2)*(TYPE2&lt;&gt;"")+('Dvd Calendar'!$W$1896=TYPE3)*(TYPE3&lt;&gt;"")+('Dvd Calendar'!$W$1896=TYPE4)*(TYPE4&lt;&gt;"")+('Dvd Calendar'!$W$1896=SPECIAL_LBL)*(INC_SPECIALS="Y"))=0,"",'Dvd Calendar'!$W$1894)))</f>
        <v/>
      </c>
      <c r="V190" s="161">
        <f>IF(EX190="","",IF(ISNUMBER('Dvd Calendar'!$X$1894)=FALSE,"",IF((('Dvd Calendar'!$X$1896=TYPE1)*(TYPE1&lt;&gt;"")+('Dvd Calendar'!$X$1896=TYPE2)*(TYPE2&lt;&gt;"")+('Dvd Calendar'!$X$1896=TYPE3)*(TYPE3&lt;&gt;"")+('Dvd Calendar'!$X$1896=TYPE4)*(TYPE4&lt;&gt;"")+('Dvd Calendar'!$X$1896=SPECIAL_LBL)*(INC_SPECIALS="Y"))=0,"",'Dvd Calendar'!$X$1894)))</f>
        <v/>
      </c>
      <c r="W190" s="161">
        <f>IF(EY190="","",IF(ISNUMBER('Dvd Calendar'!$Y$1894)=FALSE,"",IF((('Dvd Calendar'!$Y$1896=TYPE1)*(TYPE1&lt;&gt;"")+('Dvd Calendar'!$Y$1896=TYPE2)*(TYPE2&lt;&gt;"")+('Dvd Calendar'!$Y$1896=TYPE3)*(TYPE3&lt;&gt;"")+('Dvd Calendar'!$Y$1896=TYPE4)*(TYPE4&lt;&gt;"")+('Dvd Calendar'!$Y$1896=SPECIAL_LBL)*(INC_SPECIALS="Y"))=0,"",'Dvd Calendar'!$Y$1894)))</f>
        <v/>
      </c>
      <c r="X190" s="161">
        <f>IF(EZ190="","",IF(ISNUMBER('Dvd Calendar'!$Z$1894)=FALSE,"",IF((('Dvd Calendar'!$Z$1896=TYPE1)*(TYPE1&lt;&gt;"")+('Dvd Calendar'!$Z$1896=TYPE2)*(TYPE2&lt;&gt;"")+('Dvd Calendar'!$Z$1896=TYPE3)*(TYPE3&lt;&gt;"")+('Dvd Calendar'!$Z$1896=TYPE4)*(TYPE4&lt;&gt;"")+('Dvd Calendar'!$Z$1896=SPECIAL_LBL)*(INC_SPECIALS="Y"))=0,"",'Dvd Calendar'!$Z$1894)))</f>
        <v/>
      </c>
      <c r="Y190" s="161">
        <f>IF(FA190="","",IF(ISNUMBER('Dvd Calendar'!$AA$1894)=FALSE,"",IF((('Dvd Calendar'!$AA$1896=TYPE1)*(TYPE1&lt;&gt;"")+('Dvd Calendar'!$AA$1896=TYPE2)*(TYPE2&lt;&gt;"")+('Dvd Calendar'!$AA$1896=TYPE3)*(TYPE3&lt;&gt;"")+('Dvd Calendar'!$AA$1896=TYPE4)*(TYPE4&lt;&gt;"")+('Dvd Calendar'!$AA$1896=SPECIAL_LBL)*(INC_SPECIALS="Y"))=0,"",'Dvd Calendar'!$AA$1894)))</f>
        <v/>
      </c>
      <c r="Z190" s="161">
        <f>IF(FB190="","",IF(ISNUMBER('Dvd Calendar'!$AB$1894)=FALSE,"",IF((('Dvd Calendar'!$AB$1896=TYPE1)*(TYPE1&lt;&gt;"")+('Dvd Calendar'!$AB$1896=TYPE2)*(TYPE2&lt;&gt;"")+('Dvd Calendar'!$AB$1896=TYPE3)*(TYPE3&lt;&gt;"")+('Dvd Calendar'!$AB$1896=TYPE4)*(TYPE4&lt;&gt;"")+('Dvd Calendar'!$AB$1896=SPECIAL_LBL)*(INC_SPECIALS="Y"))=0,"",'Dvd Calendar'!$AB$1894)))</f>
        <v/>
      </c>
      <c r="AA190" s="161">
        <f>IF(FC190="","",IF(ISNUMBER('Dvd Calendar'!$AC$1894)=FALSE,"",IF((('Dvd Calendar'!$AC$1896=TYPE1)*(TYPE1&lt;&gt;"")+('Dvd Calendar'!$AC$1896=TYPE2)*(TYPE2&lt;&gt;"")+('Dvd Calendar'!$AC$1896=TYPE3)*(TYPE3&lt;&gt;"")+('Dvd Calendar'!$AC$1896=TYPE4)*(TYPE4&lt;&gt;"")+('Dvd Calendar'!$AC$1896=SPECIAL_LBL)*(INC_SPECIALS="Y"))=0,"",'Dvd Calendar'!$AC$1894)))</f>
        <v/>
      </c>
      <c r="AB190" s="161">
        <f>IF(FD190="","",IF(ISNUMBER('Dvd Calendar'!$AD$1894)=FALSE,"",IF((('Dvd Calendar'!$AD$1896=TYPE1)*(TYPE1&lt;&gt;"")+('Dvd Calendar'!$AD$1896=TYPE2)*(TYPE2&lt;&gt;"")+('Dvd Calendar'!$AD$1896=TYPE3)*(TYPE3&lt;&gt;"")+('Dvd Calendar'!$AD$1896=TYPE4)*(TYPE4&lt;&gt;"")+('Dvd Calendar'!$AD$1896=SPECIAL_LBL)*(INC_SPECIALS="Y"))=0,"",'Dvd Calendar'!$AD$1894)))</f>
        <v/>
      </c>
      <c r="AC190" s="161">
        <f>IF(FE190="","",IF(ISNUMBER('Dvd Calendar'!$AE$1894)=FALSE,"",IF((('Dvd Calendar'!$AE$1896=TYPE1)*(TYPE1&lt;&gt;"")+('Dvd Calendar'!$AE$1896=TYPE2)*(TYPE2&lt;&gt;"")+('Dvd Calendar'!$AE$1896=TYPE3)*(TYPE3&lt;&gt;"")+('Dvd Calendar'!$AE$1896=TYPE4)*(TYPE4&lt;&gt;"")+('Dvd Calendar'!$AE$1896=SPECIAL_LBL)*(INC_SPECIALS="Y"))=0,"",'Dvd Calendar'!$AE$1894)))</f>
        <v/>
      </c>
      <c r="AD190" s="161">
        <f>IF(FF190="","",IF(ISNUMBER('Dvd Calendar'!$AF$1894)=FALSE,"",IF((('Dvd Calendar'!$AF$1896=TYPE1)*(TYPE1&lt;&gt;"")+('Dvd Calendar'!$AF$1896=TYPE2)*(TYPE2&lt;&gt;"")+('Dvd Calendar'!$AF$1896=TYPE3)*(TYPE3&lt;&gt;"")+('Dvd Calendar'!$AF$1896=TYPE4)*(TYPE4&lt;&gt;"")+('Dvd Calendar'!$AF$1896=SPECIAL_LBL)*(INC_SPECIALS="Y"))=0,"",'Dvd Calendar'!$AF$1894)))</f>
        <v/>
      </c>
      <c r="AE190" s="161">
        <f>IF(FG190="","",IF(ISNUMBER('Dvd Calendar'!$AG$1894)=FALSE,"",IF((('Dvd Calendar'!$AG$1896=TYPE1)*(TYPE1&lt;&gt;"")+('Dvd Calendar'!$AG$1896=TYPE2)*(TYPE2&lt;&gt;"")+('Dvd Calendar'!$AG$1896=TYPE3)*(TYPE3&lt;&gt;"")+('Dvd Calendar'!$AG$1896=TYPE4)*(TYPE4&lt;&gt;"")+('Dvd Calendar'!$AG$1896=SPECIAL_LBL)*(INC_SPECIALS="Y"))=0,"",'Dvd Calendar'!$AG$1894)))</f>
        <v/>
      </c>
      <c r="AF190" s="161">
        <f>IF(FH190="","",IF(ISNUMBER('Dvd Calendar'!$AH$1894)=FALSE,"",IF((('Dvd Calendar'!$AH$1896=TYPE1)*(TYPE1&lt;&gt;"")+('Dvd Calendar'!$AH$1896=TYPE2)*(TYPE2&lt;&gt;"")+('Dvd Calendar'!$AH$1896=TYPE3)*(TYPE3&lt;&gt;"")+('Dvd Calendar'!$AH$1896=TYPE4)*(TYPE4&lt;&gt;"")+('Dvd Calendar'!$AH$1896=SPECIAL_LBL)*(INC_SPECIALS="Y"))=0,"",'Dvd Calendar'!$AH$1894)))</f>
        <v/>
      </c>
      <c r="AG190" s="161">
        <f>IF(FI190="","",IF(ISNUMBER('Dvd Calendar'!$AI$1894)=FALSE,"",IF((('Dvd Calendar'!$AI$1896=TYPE1)*(TYPE1&lt;&gt;"")+('Dvd Calendar'!$AI$1896=TYPE2)*(TYPE2&lt;&gt;"")+('Dvd Calendar'!$AI$1896=TYPE3)*(TYPE3&lt;&gt;"")+('Dvd Calendar'!$AI$1896=TYPE4)*(TYPE4&lt;&gt;"")+('Dvd Calendar'!$AI$1896=SPECIAL_LBL)*(INC_SPECIALS="Y"))=0,"",'Dvd Calendar'!$AI$1894)))</f>
        <v/>
      </c>
      <c r="AH190" s="161">
        <f>IF(FJ190="","",IF(ISNUMBER('Dvd Calendar'!$AJ$1894)=FALSE,"",IF((('Dvd Calendar'!$AJ$1896=TYPE1)*(TYPE1&lt;&gt;"")+('Dvd Calendar'!$AJ$1896=TYPE2)*(TYPE2&lt;&gt;"")+('Dvd Calendar'!$AJ$1896=TYPE3)*(TYPE3&lt;&gt;"")+('Dvd Calendar'!$AJ$1896=TYPE4)*(TYPE4&lt;&gt;"")+('Dvd Calendar'!$AJ$1896=SPECIAL_LBL)*(INC_SPECIALS="Y"))=0,"",'Dvd Calendar'!$AJ$1894)))</f>
        <v/>
      </c>
      <c r="AI190" s="161">
        <f>IF(FK190="","",IF(ISNUMBER('Dvd Calendar'!$AK$1894)=FALSE,"",IF((('Dvd Calendar'!$AK$1896=TYPE1)*(TYPE1&lt;&gt;"")+('Dvd Calendar'!$AK$1896=TYPE2)*(TYPE2&lt;&gt;"")+('Dvd Calendar'!$AK$1896=TYPE3)*(TYPE3&lt;&gt;"")+('Dvd Calendar'!$AK$1896=TYPE4)*(TYPE4&lt;&gt;"")+('Dvd Calendar'!$AK$1896=SPECIAL_LBL)*(INC_SPECIALS="Y"))=0,"",'Dvd Calendar'!$AK$1894)))</f>
        <v/>
      </c>
      <c r="AJ190" s="161">
        <f>IF(FL190="","",IF(ISNUMBER('Dvd Calendar'!$AL$1894)=FALSE,"",IF((('Dvd Calendar'!$AL$1896=TYPE1)*(TYPE1&lt;&gt;"")+('Dvd Calendar'!$AL$1896=TYPE2)*(TYPE2&lt;&gt;"")+('Dvd Calendar'!$AL$1896=TYPE3)*(TYPE3&lt;&gt;"")+('Dvd Calendar'!$AL$1896=TYPE4)*(TYPE4&lt;&gt;"")+('Dvd Calendar'!$AL$1896=SPECIAL_LBL)*(INC_SPECIALS="Y"))=0,"",'Dvd Calendar'!$AL$1894)))</f>
        <v/>
      </c>
      <c r="AK190" s="161">
        <f>IF(FM190="","",IF(ISNUMBER('Dvd Calendar'!$AM$1894)=FALSE,"",IF((('Dvd Calendar'!$AM$1896=TYPE1)*(TYPE1&lt;&gt;"")+('Dvd Calendar'!$AM$1896=TYPE2)*(TYPE2&lt;&gt;"")+('Dvd Calendar'!$AM$1896=TYPE3)*(TYPE3&lt;&gt;"")+('Dvd Calendar'!$AM$1896=TYPE4)*(TYPE4&lt;&gt;"")+('Dvd Calendar'!$AM$1896=SPECIAL_LBL)*(INC_SPECIALS="Y"))=0,"",'Dvd Calendar'!$AM$1894)))</f>
        <v/>
      </c>
      <c r="AL190" s="161">
        <f>IF(FN190="","",IF(ISNUMBER('Dvd Calendar'!$AN$1894)=FALSE,"",IF((('Dvd Calendar'!$AN$1896=TYPE1)*(TYPE1&lt;&gt;"")+('Dvd Calendar'!$AN$1896=TYPE2)*(TYPE2&lt;&gt;"")+('Dvd Calendar'!$AN$1896=TYPE3)*(TYPE3&lt;&gt;"")+('Dvd Calendar'!$AN$1896=TYPE4)*(TYPE4&lt;&gt;"")+('Dvd Calendar'!$AN$1896=SPECIAL_LBL)*(INC_SPECIALS="Y"))=0,"",'Dvd Calendar'!$AN$1894)))</f>
        <v/>
      </c>
      <c r="AM190" s="161">
        <f>IF(FO190="","",IF(ISNUMBER('Dvd Calendar'!$AO$1894)=FALSE,"",IF((('Dvd Calendar'!$AO$1896=TYPE1)*(TYPE1&lt;&gt;"")+('Dvd Calendar'!$AO$1896=TYPE2)*(TYPE2&lt;&gt;"")+('Dvd Calendar'!$AO$1896=TYPE3)*(TYPE3&lt;&gt;"")+('Dvd Calendar'!$AO$1896=TYPE4)*(TYPE4&lt;&gt;"")+('Dvd Calendar'!$AO$1896=SPECIAL_LBL)*(INC_SPECIALS="Y"))=0,"",'Dvd Calendar'!$AO$1894)))</f>
        <v/>
      </c>
      <c r="AN190" s="161">
        <f>IF(FP190="","",IF(ISNUMBER('Dvd Calendar'!$AP$1894)=FALSE,"",IF((('Dvd Calendar'!$AP$1896=TYPE1)*(TYPE1&lt;&gt;"")+('Dvd Calendar'!$AP$1896=TYPE2)*(TYPE2&lt;&gt;"")+('Dvd Calendar'!$AP$1896=TYPE3)*(TYPE3&lt;&gt;"")+('Dvd Calendar'!$AP$1896=TYPE4)*(TYPE4&lt;&gt;"")+('Dvd Calendar'!$AP$1896=SPECIAL_LBL)*(INC_SPECIALS="Y"))=0,"",'Dvd Calendar'!$AP$1894)))</f>
        <v/>
      </c>
      <c r="AO190" s="161">
        <f>IF(FQ190="","",IF(ISNUMBER('Dvd Calendar'!$AQ$1894)=FALSE,"",IF((('Dvd Calendar'!$AQ$1896=TYPE1)*(TYPE1&lt;&gt;"")+('Dvd Calendar'!$AQ$1896=TYPE2)*(TYPE2&lt;&gt;"")+('Dvd Calendar'!$AQ$1896=TYPE3)*(TYPE3&lt;&gt;"")+('Dvd Calendar'!$AQ$1896=TYPE4)*(TYPE4&lt;&gt;"")+('Dvd Calendar'!$AQ$1896=SPECIAL_LBL)*(INC_SPECIALS="Y"))=0,"",'Dvd Calendar'!$AQ$1894)))</f>
        <v/>
      </c>
      <c r="AP190" s="161">
        <f>IF(FR190="","",IF(ISNUMBER('Dvd Calendar'!$AR$1894)=FALSE,"",IF((('Dvd Calendar'!$AR$1896=TYPE1)*(TYPE1&lt;&gt;"")+('Dvd Calendar'!$AR$1896=TYPE2)*(TYPE2&lt;&gt;"")+('Dvd Calendar'!$AR$1896=TYPE3)*(TYPE3&lt;&gt;"")+('Dvd Calendar'!$AR$1896=TYPE4)*(TYPE4&lt;&gt;"")+('Dvd Calendar'!$AR$1896=SPECIAL_LBL)*(INC_SPECIALS="Y"))=0,"",'Dvd Calendar'!$AR$1894)))</f>
        <v/>
      </c>
      <c r="AQ190" s="161">
        <f>IF(FS190="","",IF(ISNUMBER('Dvd Calendar'!$E$1899)=FALSE,"",'Dvd Calendar'!$E$1899))</f>
        <v/>
      </c>
      <c r="AR190" s="161">
        <f>IF(FT190="","",IF(ISNUMBER('Dvd Calendar'!$F$1899)=FALSE,"",'Dvd Calendar'!$F$1899))</f>
        <v/>
      </c>
      <c r="AS190" s="161">
        <f>IF(FU190="","",IF(ISNUMBER('Dvd Calendar'!$G$1899)=FALSE,"",'Dvd Calendar'!$G$1899))</f>
        <v/>
      </c>
      <c r="AT190" s="161">
        <f>IF(FV190="","",IF(ISNUMBER('Dvd Calendar'!$H$1899)=FALSE,"",'Dvd Calendar'!$H$1899))</f>
        <v/>
      </c>
      <c r="AU190" s="161">
        <f>IF(FW190="","",IF(ISNUMBER('Dvd Calendar'!$I$1899)=FALSE,"",'Dvd Calendar'!$I$1899))</f>
        <v/>
      </c>
      <c r="AV190" s="161">
        <f>IF(FX190="","",IF(ISNUMBER('Dvd Calendar'!$J$1899)=FALSE,"",'Dvd Calendar'!$J$1899))</f>
        <v/>
      </c>
      <c r="AW190" s="161">
        <f>IF(FY190="","",IF(ISNUMBER('Dvd Calendar'!$K$1899)=FALSE,"",'Dvd Calendar'!$K$1899))</f>
        <v/>
      </c>
      <c r="AX190" s="161">
        <f>IF(FZ190="","",IF(ISNUMBER('Dvd Calendar'!$L$1899)=FALSE,"",'Dvd Calendar'!$L$1899))</f>
        <v/>
      </c>
      <c r="AY190" s="161">
        <f>IF(GA190="","",IF(ISNUMBER('Dvd Calendar'!$M$1899)=FALSE,"",'Dvd Calendar'!$M$1899))</f>
        <v/>
      </c>
      <c r="AZ190" s="161">
        <f>IF(GB190="","",IF(ISNUMBER('Dvd Calendar'!$N$1899)=FALSE,"",'Dvd Calendar'!$N$1899))</f>
        <v/>
      </c>
      <c r="BA190" s="161">
        <f>IF(GC190="","",IF(ISNUMBER('Dvd Calendar'!$O$1899)=FALSE,"",'Dvd Calendar'!$O$1899))</f>
        <v/>
      </c>
      <c r="BB190" s="161">
        <f>IF(GD190="","",IF(ISNUMBER('Dvd Calendar'!$P$1899)=FALSE,"",'Dvd Calendar'!$P$1899))</f>
        <v/>
      </c>
      <c r="BC190" s="161">
        <f>IF(GE190="","",IF(ISNUMBER('Dvd Calendar'!$Q$1899)=FALSE,"",'Dvd Calendar'!$Q$1899))</f>
        <v/>
      </c>
      <c r="BD190" s="161">
        <f>IF(GF190="","",IF(ISNUMBER('Dvd Calendar'!$R$1899)=FALSE,"",'Dvd Calendar'!$R$1899))</f>
        <v/>
      </c>
      <c r="BE190" s="161">
        <f>IF(GG190="","",IF(ISNUMBER('Dvd Calendar'!$S$1899)=FALSE,"",'Dvd Calendar'!$S$1899))</f>
        <v/>
      </c>
      <c r="BF190" s="161">
        <f>IF(GH190="","",IF(ISNUMBER('Dvd Calendar'!$T$1899)=FALSE,"",'Dvd Calendar'!$T$1899))</f>
        <v/>
      </c>
      <c r="BG190" s="161">
        <f>IF(GI190="","",IF(ISNUMBER('Dvd Calendar'!$U$1899)=FALSE,"",'Dvd Calendar'!$U$1899))</f>
        <v/>
      </c>
      <c r="BH190" s="161">
        <f>IF(GJ190="","",IF(ISNUMBER('Dvd Calendar'!$V$1899)=FALSE,"",'Dvd Calendar'!$V$1899))</f>
        <v/>
      </c>
      <c r="BI190" s="161">
        <f>IF(GK190="","",IF(ISNUMBER('Dvd Calendar'!$W$1899)=FALSE,"",'Dvd Calendar'!$W$1899))</f>
        <v/>
      </c>
      <c r="BJ190" s="161">
        <f>IF(GL190="","",IF(ISNUMBER('Dvd Calendar'!$X$1899)=FALSE,"",'Dvd Calendar'!$X$1899))</f>
        <v/>
      </c>
      <c r="BK190" s="161">
        <f>IF(GM190="","",IF(ISNUMBER('Dvd Calendar'!$Y$1899)=FALSE,"",'Dvd Calendar'!$Y$1899))</f>
        <v/>
      </c>
      <c r="BL190" s="161">
        <f>IF(GN190="","",IF(ISNUMBER('Dvd Calendar'!$Z$1899)=FALSE,"",'Dvd Calendar'!$Z$1899))</f>
        <v/>
      </c>
      <c r="BM190" s="161">
        <f>IF(GO190="","",IF(ISNUMBER('Dvd Calendar'!$AA$1899)=FALSE,"",'Dvd Calendar'!$AA$1899))</f>
        <v/>
      </c>
      <c r="BN190" s="161">
        <f>IF(GP190="","",IF(ISNUMBER('Dvd Calendar'!$AB$1899)=FALSE,"",'Dvd Calendar'!$AB$1899))</f>
        <v/>
      </c>
      <c r="BO190" s="161">
        <f>IF(GQ190="","",IF(ISNUMBER('Dvd Calendar'!$AC$1899)=FALSE,"",'Dvd Calendar'!$AC$1899))</f>
        <v/>
      </c>
      <c r="BQ190" s="161">
        <f>IF(C190="","",IFERROR(C190*HSCEI!$B$37*HSCEI!$G$37/HSCEI!$B$3,""))</f>
        <v/>
      </c>
      <c r="BR190" s="161">
        <f>IF(D190="","",IFERROR(D190*HSCEI!$B$37*HSCEI!$G$37/HSCEI!$B$3,""))</f>
        <v/>
      </c>
      <c r="BS190" s="161">
        <f>IF(E190="","",IFERROR(E190*HSCEI!$B$37*HSCEI!$G$37/HSCEI!$B$3,""))</f>
        <v/>
      </c>
      <c r="BT190" s="161">
        <f>IF(F190="","",IFERROR(F190*HSCEI!$B$37*HSCEI!$G$37/HSCEI!$B$3,""))</f>
        <v/>
      </c>
      <c r="BU190" s="161">
        <f>IF(G190="","",IFERROR(G190*HSCEI!$B$37*HSCEI!$G$37/HSCEI!$B$3,""))</f>
        <v/>
      </c>
      <c r="BV190" s="161">
        <f>IF(H190="","",IFERROR(H190*HSCEI!$B$37*HSCEI!$G$37/HSCEI!$B$3,""))</f>
        <v/>
      </c>
      <c r="BW190" s="161">
        <f>IF(I190="","",IFERROR(I190*HSCEI!$B$37*HSCEI!$G$37/HSCEI!$B$3,""))</f>
        <v/>
      </c>
      <c r="BX190" s="161">
        <f>IF(J190="","",IFERROR(J190*HSCEI!$B$37*HSCEI!$G$37/HSCEI!$B$3,""))</f>
        <v/>
      </c>
      <c r="BY190" s="161">
        <f>IF(K190="","",IFERROR(K190*HSCEI!$B$37*HSCEI!$G$37/HSCEI!$B$3,""))</f>
        <v/>
      </c>
      <c r="BZ190" s="161">
        <f>IF(L190="","",IFERROR(L190*HSCEI!$B$37*HSCEI!$G$37/HSCEI!$B$3,""))</f>
        <v/>
      </c>
      <c r="CA190" s="161">
        <f>IF(M190="","",IFERROR(M190*HSCEI!$B$37*HSCEI!$G$37/HSCEI!$B$3,""))</f>
        <v/>
      </c>
      <c r="CB190" s="161">
        <f>IF(N190="","",IFERROR(N190*HSCEI!$B$37*HSCEI!$G$37/HSCEI!$B$3,""))</f>
        <v/>
      </c>
      <c r="CC190" s="161">
        <f>IF(O190="","",IFERROR(O190*HSCEI!$B$37*HSCEI!$G$37/HSCEI!$B$3,""))</f>
        <v/>
      </c>
      <c r="CD190" s="161">
        <f>IF(P190="","",IFERROR(P190*HSCEI!$B$37*HSCEI!$G$37/HSCEI!$B$3,""))</f>
        <v/>
      </c>
      <c r="CE190" s="161">
        <f>IF(Q190="","",IFERROR(Q190*HSCEI!$B$37*HSCEI!$G$37/HSCEI!$B$3,""))</f>
        <v/>
      </c>
      <c r="CF190" s="161">
        <f>IF(R190="","",IFERROR(R190*HSCEI!$B$37*HSCEI!$G$37/HSCEI!$B$3,""))</f>
        <v/>
      </c>
      <c r="CG190" s="161">
        <f>IF(S190="","",IFERROR(S190*HSCEI!$B$37*HSCEI!$G$37/HSCEI!$B$3,""))</f>
        <v/>
      </c>
      <c r="CH190" s="161">
        <f>IF(T190="","",IFERROR(T190*HSCEI!$B$37*HSCEI!$G$37/HSCEI!$B$3,""))</f>
        <v/>
      </c>
      <c r="CI190" s="161">
        <f>IF(U190="","",IFERROR(U190*HSCEI!$B$37*HSCEI!$G$37/HSCEI!$B$3,""))</f>
        <v/>
      </c>
      <c r="CJ190" s="161">
        <f>IF(V190="","",IFERROR(V190*HSCEI!$B$37*HSCEI!$G$37/HSCEI!$B$3,""))</f>
        <v/>
      </c>
      <c r="CK190" s="161">
        <f>IF(W190="","",IFERROR(W190*HSCEI!$B$37*HSCEI!$G$37/HSCEI!$B$3,""))</f>
        <v/>
      </c>
      <c r="CL190" s="161">
        <f>IF(X190="","",IFERROR(X190*HSCEI!$B$37*HSCEI!$G$37/HSCEI!$B$3,""))</f>
        <v/>
      </c>
      <c r="CM190" s="161">
        <f>IF(Y190="","",IFERROR(Y190*HSCEI!$B$37*HSCEI!$G$37/HSCEI!$B$3,""))</f>
        <v/>
      </c>
      <c r="CN190" s="161">
        <f>IF(Z190="","",IFERROR(Z190*HSCEI!$B$37*HSCEI!$G$37/HSCEI!$B$3,""))</f>
        <v/>
      </c>
      <c r="CO190" s="161">
        <f>IF(AA190="","",IFERROR(AA190*HSCEI!$B$37*HSCEI!$G$37/HSCEI!$B$3,""))</f>
        <v/>
      </c>
      <c r="CP190" s="161">
        <f>IF(AB190="","",IFERROR(AB190*HSCEI!$B$37*HSCEI!$G$37/HSCEI!$B$3,""))</f>
        <v/>
      </c>
      <c r="CQ190" s="161">
        <f>IF(AC190="","",IFERROR(AC190*HSCEI!$B$37*HSCEI!$G$37/HSCEI!$B$3,""))</f>
        <v/>
      </c>
      <c r="CR190" s="161">
        <f>IF(AD190="","",IFERROR(AD190*HSCEI!$B$37*HSCEI!$G$37/HSCEI!$B$3,""))</f>
        <v/>
      </c>
      <c r="CS190" s="161">
        <f>IF(AE190="","",IFERROR(AE190*HSCEI!$B$37*HSCEI!$G$37/HSCEI!$B$3,""))</f>
        <v/>
      </c>
      <c r="CT190" s="161">
        <f>IF(AF190="","",IFERROR(AF190*HSCEI!$B$37*HSCEI!$G$37/HSCEI!$B$3,""))</f>
        <v/>
      </c>
      <c r="CU190" s="161">
        <f>IF(AG190="","",IFERROR(AG190*HSCEI!$B$37*HSCEI!$G$37/HSCEI!$B$3,""))</f>
        <v/>
      </c>
      <c r="CV190" s="161">
        <f>IF(AH190="","",IFERROR(AH190*HSCEI!$B$37*HSCEI!$G$37/HSCEI!$B$3,""))</f>
        <v/>
      </c>
      <c r="CW190" s="161">
        <f>IF(AI190="","",IFERROR(AI190*HSCEI!$B$37*HSCEI!$G$37/HSCEI!$B$3,""))</f>
        <v/>
      </c>
      <c r="CX190" s="161">
        <f>IF(AJ190="","",IFERROR(AJ190*HSCEI!$B$37*HSCEI!$G$37/HSCEI!$B$3,""))</f>
        <v/>
      </c>
      <c r="CY190" s="161">
        <f>IF(AK190="","",IFERROR(AK190*HSCEI!$B$37*HSCEI!$G$37/HSCEI!$B$3,""))</f>
        <v/>
      </c>
      <c r="CZ190" s="161">
        <f>IF(AL190="","",IFERROR(AL190*HSCEI!$B$37*HSCEI!$G$37/HSCEI!$B$3,""))</f>
        <v/>
      </c>
      <c r="DA190" s="161">
        <f>IF(AM190="","",IFERROR(AM190*HSCEI!$B$37*HSCEI!$G$37/HSCEI!$B$3,""))</f>
        <v/>
      </c>
      <c r="DB190" s="161">
        <f>IF(AN190="","",IFERROR(AN190*HSCEI!$B$37*HSCEI!$G$37/HSCEI!$B$3,""))</f>
        <v/>
      </c>
      <c r="DC190" s="161">
        <f>IF(AO190="","",IFERROR(AO190*HSCEI!$B$37*HSCEI!$G$37/HSCEI!$B$3,""))</f>
        <v/>
      </c>
      <c r="DD190" s="161">
        <f>IF(AP190="","",IFERROR(AP190*HSCEI!$B$37*HSCEI!$G$37/HSCEI!$B$3,""))</f>
        <v/>
      </c>
      <c r="DE190" s="161">
        <f>IF(AQ190="","",IFERROR(AQ190*HSCEI!$B$37*HSCEI!$G$37/HSCEI!$B$3,""))</f>
        <v/>
      </c>
      <c r="DF190" s="161">
        <f>IF(AR190="","",IFERROR(AR190*HSCEI!$B$37*HSCEI!$G$37/HSCEI!$B$3,""))</f>
        <v/>
      </c>
      <c r="DG190" s="161">
        <f>IF(AS190="","",IFERROR(AS190*HSCEI!$B$37*HSCEI!$G$37/HSCEI!$B$3,""))</f>
        <v/>
      </c>
      <c r="DH190" s="161">
        <f>IF(AT190="","",IFERROR(AT190*HSCEI!$B$37*HSCEI!$G$37/HSCEI!$B$3,""))</f>
        <v/>
      </c>
      <c r="DI190" s="161">
        <f>IF(AU190="","",IFERROR(AU190*HSCEI!$B$37*HSCEI!$G$37/HSCEI!$B$3,""))</f>
        <v/>
      </c>
      <c r="DJ190" s="161">
        <f>IF(AV190="","",IFERROR(AV190*HSCEI!$B$37*HSCEI!$G$37/HSCEI!$B$3,""))</f>
        <v/>
      </c>
      <c r="DK190" s="161">
        <f>IF(AW190="","",IFERROR(AW190*HSCEI!$B$37*HSCEI!$G$37/HSCEI!$B$3,""))</f>
        <v/>
      </c>
      <c r="DL190" s="161">
        <f>IF(AX190="","",IFERROR(AX190*HSCEI!$B$37*HSCEI!$G$37/HSCEI!$B$3,""))</f>
        <v/>
      </c>
      <c r="DM190" s="161">
        <f>IF(AY190="","",IFERROR(AY190*HSCEI!$B$37*HSCEI!$G$37/HSCEI!$B$3,""))</f>
        <v/>
      </c>
      <c r="DN190" s="161">
        <f>IF(AZ190="","",IFERROR(AZ190*HSCEI!$B$37*HSCEI!$G$37/HSCEI!$B$3,""))</f>
        <v/>
      </c>
      <c r="DO190" s="161">
        <f>IF(BA190="","",IFERROR(BA190*HSCEI!$B$37*HSCEI!$G$37/HSCEI!$B$3,""))</f>
        <v/>
      </c>
      <c r="DP190" s="161">
        <f>IF(BB190="","",IFERROR(BB190*HSCEI!$B$37*HSCEI!$G$37/HSCEI!$B$3,""))</f>
        <v/>
      </c>
      <c r="DQ190" s="161">
        <f>IF(BC190="","",IFERROR(BC190*HSCEI!$B$37*HSCEI!$G$37/HSCEI!$B$3,""))</f>
        <v/>
      </c>
      <c r="DR190" s="161">
        <f>IF(BD190="","",IFERROR(BD190*HSCEI!$B$37*HSCEI!$G$37/HSCEI!$B$3,""))</f>
        <v/>
      </c>
      <c r="DS190" s="161">
        <f>IF(BE190="","",IFERROR(BE190*HSCEI!$B$37*HSCEI!$G$37/HSCEI!$B$3,""))</f>
        <v/>
      </c>
      <c r="DT190" s="161">
        <f>IF(BF190="","",IFERROR(BF190*HSCEI!$B$37*HSCEI!$G$37/HSCEI!$B$3,""))</f>
        <v/>
      </c>
      <c r="DU190" s="161">
        <f>IF(BG190="","",IFERROR(BG190*HSCEI!$B$37*HSCEI!$G$37/HSCEI!$B$3,""))</f>
        <v/>
      </c>
      <c r="DV190" s="161">
        <f>IF(BH190="","",IFERROR(BH190*HSCEI!$B$37*HSCEI!$G$37/HSCEI!$B$3,""))</f>
        <v/>
      </c>
      <c r="DW190" s="161">
        <f>IF(BI190="","",IFERROR(BI190*HSCEI!$B$37*HSCEI!$G$37/HSCEI!$B$3,""))</f>
        <v/>
      </c>
      <c r="DX190" s="161">
        <f>IF(BJ190="","",IFERROR(BJ190*HSCEI!$B$37*HSCEI!$G$37/HSCEI!$B$3,""))</f>
        <v/>
      </c>
      <c r="DY190" s="161">
        <f>IF(BK190="","",IFERROR(BK190*HSCEI!$B$37*HSCEI!$G$37/HSCEI!$B$3,""))</f>
        <v/>
      </c>
      <c r="DZ190" s="161">
        <f>IF(BL190="","",IFERROR(BL190*HSCEI!$B$37*HSCEI!$G$37/HSCEI!$B$3,""))</f>
        <v/>
      </c>
      <c r="EA190" s="161">
        <f>IF(BM190="","",IFERROR(BM190*HSCEI!$B$37*HSCEI!$G$37/HSCEI!$B$3,""))</f>
        <v/>
      </c>
      <c r="EB190" s="161">
        <f>IF(BN190="","",IFERROR(BN190*HSCEI!$B$37*HSCEI!$G$37/HSCEI!$B$3,""))</f>
        <v/>
      </c>
      <c r="EC190" s="161">
        <f>IF(BO190="","",IFERROR(BO190*HSCEI!$B$37*HSCEI!$G$37/HSCEI!$B$3,""))</f>
        <v/>
      </c>
      <c r="EE190" s="121">
        <f>IF(N('Dvd Calendar'!$E$1891)=0,"",IF(('Dvd Calendar'!$E$1891&gt;=GRID_FROM)*('Dvd Calendar'!$E$1891&lt;=GRID_TO)*((('Dvd Calendar'!$E$1891&lt;=VAL_DATE)+(COUNTIF('Dvd Calendar'!$E$1898:$AR$1898,'Dvd Calendar'!$E$1891)=0))&gt;0)=0,"",'Dvd Calendar'!$E$1891*1000000000+ISNUMBER('Dvd Calendar'!$E$1894)*100000000+('Dvd Calendar'!$E$1896=SPECIAL_LBL)*10000000+(N('Dvd Calendar'!$E$1890)&gt;0)*(N('Dvd Calendar'!$E$1890)&lt;=VAL_SERIAL)*1000000+31*1000+1))</f>
        <v/>
      </c>
      <c r="EF190" s="121">
        <f>IF(N('Dvd Calendar'!$F$1891)=0,"",IF(('Dvd Calendar'!$F$1891&gt;=GRID_FROM)*('Dvd Calendar'!$F$1891&lt;=GRID_TO)*((('Dvd Calendar'!$F$1891&lt;=VAL_DATE)+(COUNTIF('Dvd Calendar'!$E$1898:$AR$1898,'Dvd Calendar'!$F$1891)=0))&gt;0)=0,"",'Dvd Calendar'!$F$1891*1000000000+ISNUMBER('Dvd Calendar'!$F$1894)*100000000+('Dvd Calendar'!$F$1896=SPECIAL_LBL)*10000000+(N('Dvd Calendar'!$F$1890)&gt;0)*(N('Dvd Calendar'!$F$1890)&lt;=VAL_SERIAL)*1000000+31*1000+2))</f>
        <v/>
      </c>
      <c r="EG190" s="121">
        <f>IF(N('Dvd Calendar'!$G$1891)=0,"",IF(('Dvd Calendar'!$G$1891&gt;=GRID_FROM)*('Dvd Calendar'!$G$1891&lt;=GRID_TO)*((('Dvd Calendar'!$G$1891&lt;=VAL_DATE)+(COUNTIF('Dvd Calendar'!$E$1898:$AR$1898,'Dvd Calendar'!$G$1891)=0))&gt;0)=0,"",'Dvd Calendar'!$G$1891*1000000000+ISNUMBER('Dvd Calendar'!$G$1894)*100000000+('Dvd Calendar'!$G$1896=SPECIAL_LBL)*10000000+(N('Dvd Calendar'!$G$1890)&gt;0)*(N('Dvd Calendar'!$G$1890)&lt;=VAL_SERIAL)*1000000+31*1000+3))</f>
        <v/>
      </c>
      <c r="EH190" s="121">
        <f>IF(N('Dvd Calendar'!$H$1891)=0,"",IF(('Dvd Calendar'!$H$1891&gt;=GRID_FROM)*('Dvd Calendar'!$H$1891&lt;=GRID_TO)*((('Dvd Calendar'!$H$1891&lt;=VAL_DATE)+(COUNTIF('Dvd Calendar'!$E$1898:$AR$1898,'Dvd Calendar'!$H$1891)=0))&gt;0)=0,"",'Dvd Calendar'!$H$1891*1000000000+ISNUMBER('Dvd Calendar'!$H$1894)*100000000+('Dvd Calendar'!$H$1896=SPECIAL_LBL)*10000000+(N('Dvd Calendar'!$H$1890)&gt;0)*(N('Dvd Calendar'!$H$1890)&lt;=VAL_SERIAL)*1000000+31*1000+4))</f>
        <v/>
      </c>
      <c r="EI190" s="121">
        <f>IF(N('Dvd Calendar'!$I$1891)=0,"",IF(('Dvd Calendar'!$I$1891&gt;=GRID_FROM)*('Dvd Calendar'!$I$1891&lt;=GRID_TO)*((('Dvd Calendar'!$I$1891&lt;=VAL_DATE)+(COUNTIF('Dvd Calendar'!$E$1898:$AR$1898,'Dvd Calendar'!$I$1891)=0))&gt;0)=0,"",'Dvd Calendar'!$I$1891*1000000000+ISNUMBER('Dvd Calendar'!$I$1894)*100000000+('Dvd Calendar'!$I$1896=SPECIAL_LBL)*10000000+(N('Dvd Calendar'!$I$1890)&gt;0)*(N('Dvd Calendar'!$I$1890)&lt;=VAL_SERIAL)*1000000+31*1000+5))</f>
        <v/>
      </c>
      <c r="EJ190" s="121">
        <f>IF(N('Dvd Calendar'!$J$1891)=0,"",IF(('Dvd Calendar'!$J$1891&gt;=GRID_FROM)*('Dvd Calendar'!$J$1891&lt;=GRID_TO)*((('Dvd Calendar'!$J$1891&lt;=VAL_DATE)+(COUNTIF('Dvd Calendar'!$E$1898:$AR$1898,'Dvd Calendar'!$J$1891)=0))&gt;0)=0,"",'Dvd Calendar'!$J$1891*1000000000+ISNUMBER('Dvd Calendar'!$J$1894)*100000000+('Dvd Calendar'!$J$1896=SPECIAL_LBL)*10000000+(N('Dvd Calendar'!$J$1890)&gt;0)*(N('Dvd Calendar'!$J$1890)&lt;=VAL_SERIAL)*1000000+31*1000+6))</f>
        <v/>
      </c>
      <c r="EK190" s="121">
        <f>IF(N('Dvd Calendar'!$K$1891)=0,"",IF(('Dvd Calendar'!$K$1891&gt;=GRID_FROM)*('Dvd Calendar'!$K$1891&lt;=GRID_TO)*((('Dvd Calendar'!$K$1891&lt;=VAL_DATE)+(COUNTIF('Dvd Calendar'!$E$1898:$AR$1898,'Dvd Calendar'!$K$1891)=0))&gt;0)=0,"",'Dvd Calendar'!$K$1891*1000000000+ISNUMBER('Dvd Calendar'!$K$1894)*100000000+('Dvd Calendar'!$K$1896=SPECIAL_LBL)*10000000+(N('Dvd Calendar'!$K$1890)&gt;0)*(N('Dvd Calendar'!$K$1890)&lt;=VAL_SERIAL)*1000000+31*1000+7))</f>
        <v/>
      </c>
      <c r="EL190" s="121">
        <f>IF(N('Dvd Calendar'!$L$1891)=0,"",IF(('Dvd Calendar'!$L$1891&gt;=GRID_FROM)*('Dvd Calendar'!$L$1891&lt;=GRID_TO)*((('Dvd Calendar'!$L$1891&lt;=VAL_DATE)+(COUNTIF('Dvd Calendar'!$E$1898:$AR$1898,'Dvd Calendar'!$L$1891)=0))&gt;0)=0,"",'Dvd Calendar'!$L$1891*1000000000+ISNUMBER('Dvd Calendar'!$L$1894)*100000000+('Dvd Calendar'!$L$1896=SPECIAL_LBL)*10000000+(N('Dvd Calendar'!$L$1890)&gt;0)*(N('Dvd Calendar'!$L$1890)&lt;=VAL_SERIAL)*1000000+31*1000+8))</f>
        <v/>
      </c>
      <c r="EM190" s="121">
        <f>IF(N('Dvd Calendar'!$M$1891)=0,"",IF(('Dvd Calendar'!$M$1891&gt;=GRID_FROM)*('Dvd Calendar'!$M$1891&lt;=GRID_TO)*((('Dvd Calendar'!$M$1891&lt;=VAL_DATE)+(COUNTIF('Dvd Calendar'!$E$1898:$AR$1898,'Dvd Calendar'!$M$1891)=0))&gt;0)=0,"",'Dvd Calendar'!$M$1891*1000000000+ISNUMBER('Dvd Calendar'!$M$1894)*100000000+('Dvd Calendar'!$M$1896=SPECIAL_LBL)*10000000+(N('Dvd Calendar'!$M$1890)&gt;0)*(N('Dvd Calendar'!$M$1890)&lt;=VAL_SERIAL)*1000000+31*1000+9))</f>
        <v/>
      </c>
      <c r="EN190" s="121">
        <f>IF(N('Dvd Calendar'!$N$1891)=0,"",IF(('Dvd Calendar'!$N$1891&gt;=GRID_FROM)*('Dvd Calendar'!$N$1891&lt;=GRID_TO)*((('Dvd Calendar'!$N$1891&lt;=VAL_DATE)+(COUNTIF('Dvd Calendar'!$E$1898:$AR$1898,'Dvd Calendar'!$N$1891)=0))&gt;0)=0,"",'Dvd Calendar'!$N$1891*1000000000+ISNUMBER('Dvd Calendar'!$N$1894)*100000000+('Dvd Calendar'!$N$1896=SPECIAL_LBL)*10000000+(N('Dvd Calendar'!$N$1890)&gt;0)*(N('Dvd Calendar'!$N$1890)&lt;=VAL_SERIAL)*1000000+31*1000+10))</f>
        <v/>
      </c>
      <c r="EO190" s="121">
        <f>IF(N('Dvd Calendar'!$O$1891)=0,"",IF(('Dvd Calendar'!$O$1891&gt;=GRID_FROM)*('Dvd Calendar'!$O$1891&lt;=GRID_TO)*((('Dvd Calendar'!$O$1891&lt;=VAL_DATE)+(COUNTIF('Dvd Calendar'!$E$1898:$AR$1898,'Dvd Calendar'!$O$1891)=0))&gt;0)=0,"",'Dvd Calendar'!$O$1891*1000000000+ISNUMBER('Dvd Calendar'!$O$1894)*100000000+('Dvd Calendar'!$O$1896=SPECIAL_LBL)*10000000+(N('Dvd Calendar'!$O$1890)&gt;0)*(N('Dvd Calendar'!$O$1890)&lt;=VAL_SERIAL)*1000000+31*1000+11))</f>
        <v/>
      </c>
      <c r="EP190" s="121">
        <f>IF(N('Dvd Calendar'!$P$1891)=0,"",IF(('Dvd Calendar'!$P$1891&gt;=GRID_FROM)*('Dvd Calendar'!$P$1891&lt;=GRID_TO)*((('Dvd Calendar'!$P$1891&lt;=VAL_DATE)+(COUNTIF('Dvd Calendar'!$E$1898:$AR$1898,'Dvd Calendar'!$P$1891)=0))&gt;0)=0,"",'Dvd Calendar'!$P$1891*1000000000+ISNUMBER('Dvd Calendar'!$P$1894)*100000000+('Dvd Calendar'!$P$1896=SPECIAL_LBL)*10000000+(N('Dvd Calendar'!$P$1890)&gt;0)*(N('Dvd Calendar'!$P$1890)&lt;=VAL_SERIAL)*1000000+31*1000+12))</f>
        <v/>
      </c>
      <c r="EQ190" s="121">
        <f>IF(N('Dvd Calendar'!$Q$1891)=0,"",IF(('Dvd Calendar'!$Q$1891&gt;=GRID_FROM)*('Dvd Calendar'!$Q$1891&lt;=GRID_TO)*((('Dvd Calendar'!$Q$1891&lt;=VAL_DATE)+(COUNTIF('Dvd Calendar'!$E$1898:$AR$1898,'Dvd Calendar'!$Q$1891)=0))&gt;0)=0,"",'Dvd Calendar'!$Q$1891*1000000000+ISNUMBER('Dvd Calendar'!$Q$1894)*100000000+('Dvd Calendar'!$Q$1896=SPECIAL_LBL)*10000000+(N('Dvd Calendar'!$Q$1890)&gt;0)*(N('Dvd Calendar'!$Q$1890)&lt;=VAL_SERIAL)*1000000+31*1000+13))</f>
        <v/>
      </c>
      <c r="ER190" s="121">
        <f>IF(N('Dvd Calendar'!$R$1891)=0,"",IF(('Dvd Calendar'!$R$1891&gt;=GRID_FROM)*('Dvd Calendar'!$R$1891&lt;=GRID_TO)*((('Dvd Calendar'!$R$1891&lt;=VAL_DATE)+(COUNTIF('Dvd Calendar'!$E$1898:$AR$1898,'Dvd Calendar'!$R$1891)=0))&gt;0)=0,"",'Dvd Calendar'!$R$1891*1000000000+ISNUMBER('Dvd Calendar'!$R$1894)*100000000+('Dvd Calendar'!$R$1896=SPECIAL_LBL)*10000000+(N('Dvd Calendar'!$R$1890)&gt;0)*(N('Dvd Calendar'!$R$1890)&lt;=VAL_SERIAL)*1000000+31*1000+14))</f>
        <v/>
      </c>
      <c r="ES190" s="121">
        <f>IF(N('Dvd Calendar'!$S$1891)=0,"",IF(('Dvd Calendar'!$S$1891&gt;=GRID_FROM)*('Dvd Calendar'!$S$1891&lt;=GRID_TO)*((('Dvd Calendar'!$S$1891&lt;=VAL_DATE)+(COUNTIF('Dvd Calendar'!$E$1898:$AR$1898,'Dvd Calendar'!$S$1891)=0))&gt;0)=0,"",'Dvd Calendar'!$S$1891*1000000000+ISNUMBER('Dvd Calendar'!$S$1894)*100000000+('Dvd Calendar'!$S$1896=SPECIAL_LBL)*10000000+(N('Dvd Calendar'!$S$1890)&gt;0)*(N('Dvd Calendar'!$S$1890)&lt;=VAL_SERIAL)*1000000+31*1000+15))</f>
        <v/>
      </c>
      <c r="ET190" s="121">
        <f>IF(N('Dvd Calendar'!$T$1891)=0,"",IF(('Dvd Calendar'!$T$1891&gt;=GRID_FROM)*('Dvd Calendar'!$T$1891&lt;=GRID_TO)*((('Dvd Calendar'!$T$1891&lt;=VAL_DATE)+(COUNTIF('Dvd Calendar'!$E$1898:$AR$1898,'Dvd Calendar'!$T$1891)=0))&gt;0)=0,"",'Dvd Calendar'!$T$1891*1000000000+ISNUMBER('Dvd Calendar'!$T$1894)*100000000+('Dvd Calendar'!$T$1896=SPECIAL_LBL)*10000000+(N('Dvd Calendar'!$T$1890)&gt;0)*(N('Dvd Calendar'!$T$1890)&lt;=VAL_SERIAL)*1000000+31*1000+16))</f>
        <v/>
      </c>
      <c r="EU190" s="121">
        <f>IF(N('Dvd Calendar'!$U$1891)=0,"",IF(('Dvd Calendar'!$U$1891&gt;=GRID_FROM)*('Dvd Calendar'!$U$1891&lt;=GRID_TO)*((('Dvd Calendar'!$U$1891&lt;=VAL_DATE)+(COUNTIF('Dvd Calendar'!$E$1898:$AR$1898,'Dvd Calendar'!$U$1891)=0))&gt;0)=0,"",'Dvd Calendar'!$U$1891*1000000000+ISNUMBER('Dvd Calendar'!$U$1894)*100000000+('Dvd Calendar'!$U$1896=SPECIAL_LBL)*10000000+(N('Dvd Calendar'!$U$1890)&gt;0)*(N('Dvd Calendar'!$U$1890)&lt;=VAL_SERIAL)*1000000+31*1000+17))</f>
        <v/>
      </c>
      <c r="EV190" s="121">
        <f>IF(N('Dvd Calendar'!$V$1891)=0,"",IF(('Dvd Calendar'!$V$1891&gt;=GRID_FROM)*('Dvd Calendar'!$V$1891&lt;=GRID_TO)*((('Dvd Calendar'!$V$1891&lt;=VAL_DATE)+(COUNTIF('Dvd Calendar'!$E$1898:$AR$1898,'Dvd Calendar'!$V$1891)=0))&gt;0)=0,"",'Dvd Calendar'!$V$1891*1000000000+ISNUMBER('Dvd Calendar'!$V$1894)*100000000+('Dvd Calendar'!$V$1896=SPECIAL_LBL)*10000000+(N('Dvd Calendar'!$V$1890)&gt;0)*(N('Dvd Calendar'!$V$1890)&lt;=VAL_SERIAL)*1000000+31*1000+18))</f>
        <v/>
      </c>
      <c r="EW190" s="121">
        <f>IF(N('Dvd Calendar'!$W$1891)=0,"",IF(('Dvd Calendar'!$W$1891&gt;=GRID_FROM)*('Dvd Calendar'!$W$1891&lt;=GRID_TO)*((('Dvd Calendar'!$W$1891&lt;=VAL_DATE)+(COUNTIF('Dvd Calendar'!$E$1898:$AR$1898,'Dvd Calendar'!$W$1891)=0))&gt;0)=0,"",'Dvd Calendar'!$W$1891*1000000000+ISNUMBER('Dvd Calendar'!$W$1894)*100000000+('Dvd Calendar'!$W$1896=SPECIAL_LBL)*10000000+(N('Dvd Calendar'!$W$1890)&gt;0)*(N('Dvd Calendar'!$W$1890)&lt;=VAL_SERIAL)*1000000+31*1000+19))</f>
        <v/>
      </c>
      <c r="EX190" s="121">
        <f>IF(N('Dvd Calendar'!$X$1891)=0,"",IF(('Dvd Calendar'!$X$1891&gt;=GRID_FROM)*('Dvd Calendar'!$X$1891&lt;=GRID_TO)*((('Dvd Calendar'!$X$1891&lt;=VAL_DATE)+(COUNTIF('Dvd Calendar'!$E$1898:$AR$1898,'Dvd Calendar'!$X$1891)=0))&gt;0)=0,"",'Dvd Calendar'!$X$1891*1000000000+ISNUMBER('Dvd Calendar'!$X$1894)*100000000+('Dvd Calendar'!$X$1896=SPECIAL_LBL)*10000000+(N('Dvd Calendar'!$X$1890)&gt;0)*(N('Dvd Calendar'!$X$1890)&lt;=VAL_SERIAL)*1000000+31*1000+20))</f>
        <v/>
      </c>
      <c r="EY190" s="121">
        <f>IF(N('Dvd Calendar'!$Y$1891)=0,"",IF(('Dvd Calendar'!$Y$1891&gt;=GRID_FROM)*('Dvd Calendar'!$Y$1891&lt;=GRID_TO)*((('Dvd Calendar'!$Y$1891&lt;=VAL_DATE)+(COUNTIF('Dvd Calendar'!$E$1898:$AR$1898,'Dvd Calendar'!$Y$1891)=0))&gt;0)=0,"",'Dvd Calendar'!$Y$1891*1000000000+ISNUMBER('Dvd Calendar'!$Y$1894)*100000000+('Dvd Calendar'!$Y$1896=SPECIAL_LBL)*10000000+(N('Dvd Calendar'!$Y$1890)&gt;0)*(N('Dvd Calendar'!$Y$1890)&lt;=VAL_SERIAL)*1000000+31*1000+21))</f>
        <v/>
      </c>
      <c r="EZ190" s="121">
        <f>IF(N('Dvd Calendar'!$Z$1891)=0,"",IF(('Dvd Calendar'!$Z$1891&gt;=GRID_FROM)*('Dvd Calendar'!$Z$1891&lt;=GRID_TO)*((('Dvd Calendar'!$Z$1891&lt;=VAL_DATE)+(COUNTIF('Dvd Calendar'!$E$1898:$AR$1898,'Dvd Calendar'!$Z$1891)=0))&gt;0)=0,"",'Dvd Calendar'!$Z$1891*1000000000+ISNUMBER('Dvd Calendar'!$Z$1894)*100000000+('Dvd Calendar'!$Z$1896=SPECIAL_LBL)*10000000+(N('Dvd Calendar'!$Z$1890)&gt;0)*(N('Dvd Calendar'!$Z$1890)&lt;=VAL_SERIAL)*1000000+31*1000+22))</f>
        <v/>
      </c>
      <c r="FA190" s="121">
        <f>IF(N('Dvd Calendar'!$AA$1891)=0,"",IF(('Dvd Calendar'!$AA$1891&gt;=GRID_FROM)*('Dvd Calendar'!$AA$1891&lt;=GRID_TO)*((('Dvd Calendar'!$AA$1891&lt;=VAL_DATE)+(COUNTIF('Dvd Calendar'!$E$1898:$AR$1898,'Dvd Calendar'!$AA$1891)=0))&gt;0)=0,"",'Dvd Calendar'!$AA$1891*1000000000+ISNUMBER('Dvd Calendar'!$AA$1894)*100000000+('Dvd Calendar'!$AA$1896=SPECIAL_LBL)*10000000+(N('Dvd Calendar'!$AA$1890)&gt;0)*(N('Dvd Calendar'!$AA$1890)&lt;=VAL_SERIAL)*1000000+31*1000+23))</f>
        <v/>
      </c>
      <c r="FB190" s="121">
        <f>IF(N('Dvd Calendar'!$AB$1891)=0,"",IF(('Dvd Calendar'!$AB$1891&gt;=GRID_FROM)*('Dvd Calendar'!$AB$1891&lt;=GRID_TO)*((('Dvd Calendar'!$AB$1891&lt;=VAL_DATE)+(COUNTIF('Dvd Calendar'!$E$1898:$AR$1898,'Dvd Calendar'!$AB$1891)=0))&gt;0)=0,"",'Dvd Calendar'!$AB$1891*1000000000+ISNUMBER('Dvd Calendar'!$AB$1894)*100000000+('Dvd Calendar'!$AB$1896=SPECIAL_LBL)*10000000+(N('Dvd Calendar'!$AB$1890)&gt;0)*(N('Dvd Calendar'!$AB$1890)&lt;=VAL_SERIAL)*1000000+31*1000+24))</f>
        <v/>
      </c>
      <c r="FC190" s="121">
        <f>IF(N('Dvd Calendar'!$AC$1891)=0,"",IF(('Dvd Calendar'!$AC$1891&gt;=GRID_FROM)*('Dvd Calendar'!$AC$1891&lt;=GRID_TO)*((('Dvd Calendar'!$AC$1891&lt;=VAL_DATE)+(COUNTIF('Dvd Calendar'!$E$1898:$AR$1898,'Dvd Calendar'!$AC$1891)=0))&gt;0)=0,"",'Dvd Calendar'!$AC$1891*1000000000+ISNUMBER('Dvd Calendar'!$AC$1894)*100000000+('Dvd Calendar'!$AC$1896=SPECIAL_LBL)*10000000+(N('Dvd Calendar'!$AC$1890)&gt;0)*(N('Dvd Calendar'!$AC$1890)&lt;=VAL_SERIAL)*1000000+31*1000+25))</f>
        <v/>
      </c>
      <c r="FD190" s="121">
        <f>IF(N('Dvd Calendar'!$AD$1891)=0,"",IF(('Dvd Calendar'!$AD$1891&gt;=GRID_FROM)*('Dvd Calendar'!$AD$1891&lt;=GRID_TO)*((('Dvd Calendar'!$AD$1891&lt;=VAL_DATE)+(COUNTIF('Dvd Calendar'!$E$1898:$AR$1898,'Dvd Calendar'!$AD$1891)=0))&gt;0)=0,"",'Dvd Calendar'!$AD$1891*1000000000+ISNUMBER('Dvd Calendar'!$AD$1894)*100000000+('Dvd Calendar'!$AD$1896=SPECIAL_LBL)*10000000+(N('Dvd Calendar'!$AD$1890)&gt;0)*(N('Dvd Calendar'!$AD$1890)&lt;=VAL_SERIAL)*1000000+31*1000+26))</f>
        <v/>
      </c>
      <c r="FE190" s="121">
        <f>IF(N('Dvd Calendar'!$AE$1891)=0,"",IF(('Dvd Calendar'!$AE$1891&gt;=GRID_FROM)*('Dvd Calendar'!$AE$1891&lt;=GRID_TO)*((('Dvd Calendar'!$AE$1891&lt;=VAL_DATE)+(COUNTIF('Dvd Calendar'!$E$1898:$AR$1898,'Dvd Calendar'!$AE$1891)=0))&gt;0)=0,"",'Dvd Calendar'!$AE$1891*1000000000+ISNUMBER('Dvd Calendar'!$AE$1894)*100000000+('Dvd Calendar'!$AE$1896=SPECIAL_LBL)*10000000+(N('Dvd Calendar'!$AE$1890)&gt;0)*(N('Dvd Calendar'!$AE$1890)&lt;=VAL_SERIAL)*1000000+31*1000+27))</f>
        <v/>
      </c>
      <c r="FF190" s="121">
        <f>IF(N('Dvd Calendar'!$AF$1891)=0,"",IF(('Dvd Calendar'!$AF$1891&gt;=GRID_FROM)*('Dvd Calendar'!$AF$1891&lt;=GRID_TO)*((('Dvd Calendar'!$AF$1891&lt;=VAL_DATE)+(COUNTIF('Dvd Calendar'!$E$1898:$AR$1898,'Dvd Calendar'!$AF$1891)=0))&gt;0)=0,"",'Dvd Calendar'!$AF$1891*1000000000+ISNUMBER('Dvd Calendar'!$AF$1894)*100000000+('Dvd Calendar'!$AF$1896=SPECIAL_LBL)*10000000+(N('Dvd Calendar'!$AF$1890)&gt;0)*(N('Dvd Calendar'!$AF$1890)&lt;=VAL_SERIAL)*1000000+31*1000+28))</f>
        <v/>
      </c>
      <c r="FG190" s="121">
        <f>IF(N('Dvd Calendar'!$AG$1891)=0,"",IF(('Dvd Calendar'!$AG$1891&gt;=GRID_FROM)*('Dvd Calendar'!$AG$1891&lt;=GRID_TO)*((('Dvd Calendar'!$AG$1891&lt;=VAL_DATE)+(COUNTIF('Dvd Calendar'!$E$1898:$AR$1898,'Dvd Calendar'!$AG$1891)=0))&gt;0)=0,"",'Dvd Calendar'!$AG$1891*1000000000+ISNUMBER('Dvd Calendar'!$AG$1894)*100000000+('Dvd Calendar'!$AG$1896=SPECIAL_LBL)*10000000+(N('Dvd Calendar'!$AG$1890)&gt;0)*(N('Dvd Calendar'!$AG$1890)&lt;=VAL_SERIAL)*1000000+31*1000+29))</f>
        <v/>
      </c>
      <c r="FH190" s="121">
        <f>IF(N('Dvd Calendar'!$AH$1891)=0,"",IF(('Dvd Calendar'!$AH$1891&gt;=GRID_FROM)*('Dvd Calendar'!$AH$1891&lt;=GRID_TO)*((('Dvd Calendar'!$AH$1891&lt;=VAL_DATE)+(COUNTIF('Dvd Calendar'!$E$1898:$AR$1898,'Dvd Calendar'!$AH$1891)=0))&gt;0)=0,"",'Dvd Calendar'!$AH$1891*1000000000+ISNUMBER('Dvd Calendar'!$AH$1894)*100000000+('Dvd Calendar'!$AH$1896=SPECIAL_LBL)*10000000+(N('Dvd Calendar'!$AH$1890)&gt;0)*(N('Dvd Calendar'!$AH$1890)&lt;=VAL_SERIAL)*1000000+31*1000+30))</f>
        <v/>
      </c>
      <c r="FI190" s="121">
        <f>IF(N('Dvd Calendar'!$AI$1891)=0,"",IF(('Dvd Calendar'!$AI$1891&gt;=GRID_FROM)*('Dvd Calendar'!$AI$1891&lt;=GRID_TO)*((('Dvd Calendar'!$AI$1891&lt;=VAL_DATE)+(COUNTIF('Dvd Calendar'!$E$1898:$AR$1898,'Dvd Calendar'!$AI$1891)=0))&gt;0)=0,"",'Dvd Calendar'!$AI$1891*1000000000+ISNUMBER('Dvd Calendar'!$AI$1894)*100000000+('Dvd Calendar'!$AI$1896=SPECIAL_LBL)*10000000+(N('Dvd Calendar'!$AI$1890)&gt;0)*(N('Dvd Calendar'!$AI$1890)&lt;=VAL_SERIAL)*1000000+31*1000+31))</f>
        <v/>
      </c>
      <c r="FJ190" s="121">
        <f>IF(N('Dvd Calendar'!$AJ$1891)=0,"",IF(('Dvd Calendar'!$AJ$1891&gt;=GRID_FROM)*('Dvd Calendar'!$AJ$1891&lt;=GRID_TO)*((('Dvd Calendar'!$AJ$1891&lt;=VAL_DATE)+(COUNTIF('Dvd Calendar'!$E$1898:$AR$1898,'Dvd Calendar'!$AJ$1891)=0))&gt;0)=0,"",'Dvd Calendar'!$AJ$1891*1000000000+ISNUMBER('Dvd Calendar'!$AJ$1894)*100000000+('Dvd Calendar'!$AJ$1896=SPECIAL_LBL)*10000000+(N('Dvd Calendar'!$AJ$1890)&gt;0)*(N('Dvd Calendar'!$AJ$1890)&lt;=VAL_SERIAL)*1000000+31*1000+32))</f>
        <v/>
      </c>
      <c r="FK190" s="121">
        <f>IF(N('Dvd Calendar'!$AK$1891)=0,"",IF(('Dvd Calendar'!$AK$1891&gt;=GRID_FROM)*('Dvd Calendar'!$AK$1891&lt;=GRID_TO)*((('Dvd Calendar'!$AK$1891&lt;=VAL_DATE)+(COUNTIF('Dvd Calendar'!$E$1898:$AR$1898,'Dvd Calendar'!$AK$1891)=0))&gt;0)=0,"",'Dvd Calendar'!$AK$1891*1000000000+ISNUMBER('Dvd Calendar'!$AK$1894)*100000000+('Dvd Calendar'!$AK$1896=SPECIAL_LBL)*10000000+(N('Dvd Calendar'!$AK$1890)&gt;0)*(N('Dvd Calendar'!$AK$1890)&lt;=VAL_SERIAL)*1000000+31*1000+33))</f>
        <v/>
      </c>
      <c r="FL190" s="121">
        <f>IF(N('Dvd Calendar'!$AL$1891)=0,"",IF(('Dvd Calendar'!$AL$1891&gt;=GRID_FROM)*('Dvd Calendar'!$AL$1891&lt;=GRID_TO)*((('Dvd Calendar'!$AL$1891&lt;=VAL_DATE)+(COUNTIF('Dvd Calendar'!$E$1898:$AR$1898,'Dvd Calendar'!$AL$1891)=0))&gt;0)=0,"",'Dvd Calendar'!$AL$1891*1000000000+ISNUMBER('Dvd Calendar'!$AL$1894)*100000000+('Dvd Calendar'!$AL$1896=SPECIAL_LBL)*10000000+(N('Dvd Calendar'!$AL$1890)&gt;0)*(N('Dvd Calendar'!$AL$1890)&lt;=VAL_SERIAL)*1000000+31*1000+34))</f>
        <v/>
      </c>
      <c r="FM190" s="121">
        <f>IF(N('Dvd Calendar'!$AM$1891)=0,"",IF(('Dvd Calendar'!$AM$1891&gt;=GRID_FROM)*('Dvd Calendar'!$AM$1891&lt;=GRID_TO)*((('Dvd Calendar'!$AM$1891&lt;=VAL_DATE)+(COUNTIF('Dvd Calendar'!$E$1898:$AR$1898,'Dvd Calendar'!$AM$1891)=0))&gt;0)=0,"",'Dvd Calendar'!$AM$1891*1000000000+ISNUMBER('Dvd Calendar'!$AM$1894)*100000000+('Dvd Calendar'!$AM$1896=SPECIAL_LBL)*10000000+(N('Dvd Calendar'!$AM$1890)&gt;0)*(N('Dvd Calendar'!$AM$1890)&lt;=VAL_SERIAL)*1000000+31*1000+35))</f>
        <v/>
      </c>
      <c r="FN190" s="121">
        <f>IF(N('Dvd Calendar'!$AN$1891)=0,"",IF(('Dvd Calendar'!$AN$1891&gt;=GRID_FROM)*('Dvd Calendar'!$AN$1891&lt;=GRID_TO)*((('Dvd Calendar'!$AN$1891&lt;=VAL_DATE)+(COUNTIF('Dvd Calendar'!$E$1898:$AR$1898,'Dvd Calendar'!$AN$1891)=0))&gt;0)=0,"",'Dvd Calendar'!$AN$1891*1000000000+ISNUMBER('Dvd Calendar'!$AN$1894)*100000000+('Dvd Calendar'!$AN$1896=SPECIAL_LBL)*10000000+(N('Dvd Calendar'!$AN$1890)&gt;0)*(N('Dvd Calendar'!$AN$1890)&lt;=VAL_SERIAL)*1000000+31*1000+36))</f>
        <v/>
      </c>
      <c r="FO190" s="121">
        <f>IF(N('Dvd Calendar'!$AO$1891)=0,"",IF(('Dvd Calendar'!$AO$1891&gt;=GRID_FROM)*('Dvd Calendar'!$AO$1891&lt;=GRID_TO)*((('Dvd Calendar'!$AO$1891&lt;=VAL_DATE)+(COUNTIF('Dvd Calendar'!$E$1898:$AR$1898,'Dvd Calendar'!$AO$1891)=0))&gt;0)=0,"",'Dvd Calendar'!$AO$1891*1000000000+ISNUMBER('Dvd Calendar'!$AO$1894)*100000000+('Dvd Calendar'!$AO$1896=SPECIAL_LBL)*10000000+(N('Dvd Calendar'!$AO$1890)&gt;0)*(N('Dvd Calendar'!$AO$1890)&lt;=VAL_SERIAL)*1000000+31*1000+37))</f>
        <v/>
      </c>
      <c r="FP190" s="121">
        <f>IF(N('Dvd Calendar'!$AP$1891)=0,"",IF(('Dvd Calendar'!$AP$1891&gt;=GRID_FROM)*('Dvd Calendar'!$AP$1891&lt;=GRID_TO)*((('Dvd Calendar'!$AP$1891&lt;=VAL_DATE)+(COUNTIF('Dvd Calendar'!$E$1898:$AR$1898,'Dvd Calendar'!$AP$1891)=0))&gt;0)=0,"",'Dvd Calendar'!$AP$1891*1000000000+ISNUMBER('Dvd Calendar'!$AP$1894)*100000000+('Dvd Calendar'!$AP$1896=SPECIAL_LBL)*10000000+(N('Dvd Calendar'!$AP$1890)&gt;0)*(N('Dvd Calendar'!$AP$1890)&lt;=VAL_SERIAL)*1000000+31*1000+38))</f>
        <v/>
      </c>
      <c r="FQ190" s="121">
        <f>IF(N('Dvd Calendar'!$AQ$1891)=0,"",IF(('Dvd Calendar'!$AQ$1891&gt;=GRID_FROM)*('Dvd Calendar'!$AQ$1891&lt;=GRID_TO)*((('Dvd Calendar'!$AQ$1891&lt;=VAL_DATE)+(COUNTIF('Dvd Calendar'!$E$1898:$AR$1898,'Dvd Calendar'!$AQ$1891)=0))&gt;0)=0,"",'Dvd Calendar'!$AQ$1891*1000000000+ISNUMBER('Dvd Calendar'!$AQ$1894)*100000000+('Dvd Calendar'!$AQ$1896=SPECIAL_LBL)*10000000+(N('Dvd Calendar'!$AQ$1890)&gt;0)*(N('Dvd Calendar'!$AQ$1890)&lt;=VAL_SERIAL)*1000000+31*1000+39))</f>
        <v/>
      </c>
      <c r="FR190" s="121">
        <f>IF(N('Dvd Calendar'!$AR$1891)=0,"",IF(('Dvd Calendar'!$AR$1891&gt;=GRID_FROM)*('Dvd Calendar'!$AR$1891&lt;=GRID_TO)*((('Dvd Calendar'!$AR$1891&lt;=VAL_DATE)+(COUNTIF('Dvd Calendar'!$E$1898:$AR$1898,'Dvd Calendar'!$AR$1891)=0))&gt;0)=0,"",'Dvd Calendar'!$AR$1891*1000000000+ISNUMBER('Dvd Calendar'!$AR$1894)*100000000+('Dvd Calendar'!$AR$1896=SPECIAL_LBL)*10000000+(N('Dvd Calendar'!$AR$1890)&gt;0)*(N('Dvd Calendar'!$AR$1890)&lt;=VAL_SERIAL)*1000000+31*1000+40))</f>
        <v/>
      </c>
      <c r="FS190" s="121">
        <f>IF(N('Dvd Calendar'!$E$1898)=0,"",IF(('Dvd Calendar'!$E$1898&gt;=GRID_FROM)*('Dvd Calendar'!$E$1898&lt;=GRID_TO)*('Dvd Calendar'!$E$1898&gt;VAL_DATE)=0,"",'Dvd Calendar'!$E$1898*1000000000+ISNUMBER('Dvd Calendar'!$E$1899)*100000000+0*10000000+(N('Dvd Calendar'!$E$1897)&gt;0)*(N('Dvd Calendar'!$E$1897)&lt;=VAL_SERIAL)*1000000+31*1000+41))</f>
        <v/>
      </c>
      <c r="FT190" s="121">
        <f>IF(N('Dvd Calendar'!$F$1898)=0,"",IF(('Dvd Calendar'!$F$1898&gt;=GRID_FROM)*('Dvd Calendar'!$F$1898&lt;=GRID_TO)*('Dvd Calendar'!$F$1898&gt;VAL_DATE)=0,"",'Dvd Calendar'!$F$1898*1000000000+ISNUMBER('Dvd Calendar'!$F$1899)*100000000+0*10000000+(N('Dvd Calendar'!$F$1897)&gt;0)*(N('Dvd Calendar'!$F$1897)&lt;=VAL_SERIAL)*1000000+31*1000+42))</f>
        <v/>
      </c>
      <c r="FU190" s="121">
        <f>IF(N('Dvd Calendar'!$G$1898)=0,"",IF(('Dvd Calendar'!$G$1898&gt;=GRID_FROM)*('Dvd Calendar'!$G$1898&lt;=GRID_TO)*('Dvd Calendar'!$G$1898&gt;VAL_DATE)=0,"",'Dvd Calendar'!$G$1898*1000000000+ISNUMBER('Dvd Calendar'!$G$1899)*100000000+0*10000000+(N('Dvd Calendar'!$G$1897)&gt;0)*(N('Dvd Calendar'!$G$1897)&lt;=VAL_SERIAL)*1000000+31*1000+43))</f>
        <v/>
      </c>
      <c r="FV190" s="121">
        <f>IF(N('Dvd Calendar'!$H$1898)=0,"",IF(('Dvd Calendar'!$H$1898&gt;=GRID_FROM)*('Dvd Calendar'!$H$1898&lt;=GRID_TO)*('Dvd Calendar'!$H$1898&gt;VAL_DATE)=0,"",'Dvd Calendar'!$H$1898*1000000000+ISNUMBER('Dvd Calendar'!$H$1899)*100000000+0*10000000+(N('Dvd Calendar'!$H$1897)&gt;0)*(N('Dvd Calendar'!$H$1897)&lt;=VAL_SERIAL)*1000000+31*1000+44))</f>
        <v/>
      </c>
      <c r="FW190" s="121">
        <f>IF(N('Dvd Calendar'!$I$1898)=0,"",IF(('Dvd Calendar'!$I$1898&gt;=GRID_FROM)*('Dvd Calendar'!$I$1898&lt;=GRID_TO)*('Dvd Calendar'!$I$1898&gt;VAL_DATE)=0,"",'Dvd Calendar'!$I$1898*1000000000+ISNUMBER('Dvd Calendar'!$I$1899)*100000000+0*10000000+(N('Dvd Calendar'!$I$1897)&gt;0)*(N('Dvd Calendar'!$I$1897)&lt;=VAL_SERIAL)*1000000+31*1000+45))</f>
        <v/>
      </c>
      <c r="FX190" s="121">
        <f>IF(N('Dvd Calendar'!$J$1898)=0,"",IF(('Dvd Calendar'!$J$1898&gt;=GRID_FROM)*('Dvd Calendar'!$J$1898&lt;=GRID_TO)*('Dvd Calendar'!$J$1898&gt;VAL_DATE)=0,"",'Dvd Calendar'!$J$1898*1000000000+ISNUMBER('Dvd Calendar'!$J$1899)*100000000+0*10000000+(N('Dvd Calendar'!$J$1897)&gt;0)*(N('Dvd Calendar'!$J$1897)&lt;=VAL_SERIAL)*1000000+31*1000+46))</f>
        <v/>
      </c>
      <c r="FY190" s="121">
        <f>IF(N('Dvd Calendar'!$K$1898)=0,"",IF(('Dvd Calendar'!$K$1898&gt;=GRID_FROM)*('Dvd Calendar'!$K$1898&lt;=GRID_TO)*('Dvd Calendar'!$K$1898&gt;VAL_DATE)=0,"",'Dvd Calendar'!$K$1898*1000000000+ISNUMBER('Dvd Calendar'!$K$1899)*100000000+0*10000000+(N('Dvd Calendar'!$K$1897)&gt;0)*(N('Dvd Calendar'!$K$1897)&lt;=VAL_SERIAL)*1000000+31*1000+47))</f>
        <v/>
      </c>
      <c r="FZ190" s="121">
        <f>IF(N('Dvd Calendar'!$L$1898)=0,"",IF(('Dvd Calendar'!$L$1898&gt;=GRID_FROM)*('Dvd Calendar'!$L$1898&lt;=GRID_TO)*('Dvd Calendar'!$L$1898&gt;VAL_DATE)=0,"",'Dvd Calendar'!$L$1898*1000000000+ISNUMBER('Dvd Calendar'!$L$1899)*100000000+0*10000000+(N('Dvd Calendar'!$L$1897)&gt;0)*(N('Dvd Calendar'!$L$1897)&lt;=VAL_SERIAL)*1000000+31*1000+48))</f>
        <v/>
      </c>
      <c r="GA190" s="121">
        <f>IF(N('Dvd Calendar'!$M$1898)=0,"",IF(('Dvd Calendar'!$M$1898&gt;=GRID_FROM)*('Dvd Calendar'!$M$1898&lt;=GRID_TO)*('Dvd Calendar'!$M$1898&gt;VAL_DATE)=0,"",'Dvd Calendar'!$M$1898*1000000000+ISNUMBER('Dvd Calendar'!$M$1899)*100000000+0*10000000+(N('Dvd Calendar'!$M$1897)&gt;0)*(N('Dvd Calendar'!$M$1897)&lt;=VAL_SERIAL)*1000000+31*1000+49))</f>
        <v/>
      </c>
      <c r="GB190" s="121">
        <f>IF(N('Dvd Calendar'!$N$1898)=0,"",IF(('Dvd Calendar'!$N$1898&gt;=GRID_FROM)*('Dvd Calendar'!$N$1898&lt;=GRID_TO)*('Dvd Calendar'!$N$1898&gt;VAL_DATE)=0,"",'Dvd Calendar'!$N$1898*1000000000+ISNUMBER('Dvd Calendar'!$N$1899)*100000000+0*10000000+(N('Dvd Calendar'!$N$1897)&gt;0)*(N('Dvd Calendar'!$N$1897)&lt;=VAL_SERIAL)*1000000+31*1000+50))</f>
        <v/>
      </c>
      <c r="GC190" s="121">
        <f>IF(N('Dvd Calendar'!$O$1898)=0,"",IF(('Dvd Calendar'!$O$1898&gt;=GRID_FROM)*('Dvd Calendar'!$O$1898&lt;=GRID_TO)*('Dvd Calendar'!$O$1898&gt;VAL_DATE)=0,"",'Dvd Calendar'!$O$1898*1000000000+ISNUMBER('Dvd Calendar'!$O$1899)*100000000+0*10000000+(N('Dvd Calendar'!$O$1897)&gt;0)*(N('Dvd Calendar'!$O$1897)&lt;=VAL_SERIAL)*1000000+31*1000+51))</f>
        <v/>
      </c>
      <c r="GD190" s="121">
        <f>IF(N('Dvd Calendar'!$P$1898)=0,"",IF(('Dvd Calendar'!$P$1898&gt;=GRID_FROM)*('Dvd Calendar'!$P$1898&lt;=GRID_TO)*('Dvd Calendar'!$P$1898&gt;VAL_DATE)=0,"",'Dvd Calendar'!$P$1898*1000000000+ISNUMBER('Dvd Calendar'!$P$1899)*100000000+0*10000000+(N('Dvd Calendar'!$P$1897)&gt;0)*(N('Dvd Calendar'!$P$1897)&lt;=VAL_SERIAL)*1000000+31*1000+52))</f>
        <v/>
      </c>
      <c r="GE190" s="121">
        <f>IF(N('Dvd Calendar'!$Q$1898)=0,"",IF(('Dvd Calendar'!$Q$1898&gt;=GRID_FROM)*('Dvd Calendar'!$Q$1898&lt;=GRID_TO)*('Dvd Calendar'!$Q$1898&gt;VAL_DATE)=0,"",'Dvd Calendar'!$Q$1898*1000000000+ISNUMBER('Dvd Calendar'!$Q$1899)*100000000+0*10000000+(N('Dvd Calendar'!$Q$1897)&gt;0)*(N('Dvd Calendar'!$Q$1897)&lt;=VAL_SERIAL)*1000000+31*1000+53))</f>
        <v/>
      </c>
      <c r="GF190" s="121">
        <f>IF(N('Dvd Calendar'!$R$1898)=0,"",IF(('Dvd Calendar'!$R$1898&gt;=GRID_FROM)*('Dvd Calendar'!$R$1898&lt;=GRID_TO)*('Dvd Calendar'!$R$1898&gt;VAL_DATE)=0,"",'Dvd Calendar'!$R$1898*1000000000+ISNUMBER('Dvd Calendar'!$R$1899)*100000000+0*10000000+(N('Dvd Calendar'!$R$1897)&gt;0)*(N('Dvd Calendar'!$R$1897)&lt;=VAL_SERIAL)*1000000+31*1000+54))</f>
        <v/>
      </c>
      <c r="GG190" s="121">
        <f>IF(N('Dvd Calendar'!$S$1898)=0,"",IF(('Dvd Calendar'!$S$1898&gt;=GRID_FROM)*('Dvd Calendar'!$S$1898&lt;=GRID_TO)*('Dvd Calendar'!$S$1898&gt;VAL_DATE)=0,"",'Dvd Calendar'!$S$1898*1000000000+ISNUMBER('Dvd Calendar'!$S$1899)*100000000+0*10000000+(N('Dvd Calendar'!$S$1897)&gt;0)*(N('Dvd Calendar'!$S$1897)&lt;=VAL_SERIAL)*1000000+31*1000+55))</f>
        <v/>
      </c>
      <c r="GH190" s="121">
        <f>IF(N('Dvd Calendar'!$T$1898)=0,"",IF(('Dvd Calendar'!$T$1898&gt;=GRID_FROM)*('Dvd Calendar'!$T$1898&lt;=GRID_TO)*('Dvd Calendar'!$T$1898&gt;VAL_DATE)=0,"",'Dvd Calendar'!$T$1898*1000000000+ISNUMBER('Dvd Calendar'!$T$1899)*100000000+0*10000000+(N('Dvd Calendar'!$T$1897)&gt;0)*(N('Dvd Calendar'!$T$1897)&lt;=VAL_SERIAL)*1000000+31*1000+56))</f>
        <v/>
      </c>
      <c r="GI190" s="121">
        <f>IF(N('Dvd Calendar'!$U$1898)=0,"",IF(('Dvd Calendar'!$U$1898&gt;=GRID_FROM)*('Dvd Calendar'!$U$1898&lt;=GRID_TO)*('Dvd Calendar'!$U$1898&gt;VAL_DATE)=0,"",'Dvd Calendar'!$U$1898*1000000000+ISNUMBER('Dvd Calendar'!$U$1899)*100000000+0*10000000+(N('Dvd Calendar'!$U$1897)&gt;0)*(N('Dvd Calendar'!$U$1897)&lt;=VAL_SERIAL)*1000000+31*1000+57))</f>
        <v/>
      </c>
      <c r="GJ190" s="121">
        <f>IF(N('Dvd Calendar'!$V$1898)=0,"",IF(('Dvd Calendar'!$V$1898&gt;=GRID_FROM)*('Dvd Calendar'!$V$1898&lt;=GRID_TO)*('Dvd Calendar'!$V$1898&gt;VAL_DATE)=0,"",'Dvd Calendar'!$V$1898*1000000000+ISNUMBER('Dvd Calendar'!$V$1899)*100000000+0*10000000+(N('Dvd Calendar'!$V$1897)&gt;0)*(N('Dvd Calendar'!$V$1897)&lt;=VAL_SERIAL)*1000000+31*1000+58))</f>
        <v/>
      </c>
      <c r="GK190" s="121">
        <f>IF(N('Dvd Calendar'!$W$1898)=0,"",IF(('Dvd Calendar'!$W$1898&gt;=GRID_FROM)*('Dvd Calendar'!$W$1898&lt;=GRID_TO)*('Dvd Calendar'!$W$1898&gt;VAL_DATE)=0,"",'Dvd Calendar'!$W$1898*1000000000+ISNUMBER('Dvd Calendar'!$W$1899)*100000000+0*10000000+(N('Dvd Calendar'!$W$1897)&gt;0)*(N('Dvd Calendar'!$W$1897)&lt;=VAL_SERIAL)*1000000+31*1000+59))</f>
        <v/>
      </c>
      <c r="GL190" s="121">
        <f>IF(N('Dvd Calendar'!$X$1898)=0,"",IF(('Dvd Calendar'!$X$1898&gt;=GRID_FROM)*('Dvd Calendar'!$X$1898&lt;=GRID_TO)*('Dvd Calendar'!$X$1898&gt;VAL_DATE)=0,"",'Dvd Calendar'!$X$1898*1000000000+ISNUMBER('Dvd Calendar'!$X$1899)*100000000+0*10000000+(N('Dvd Calendar'!$X$1897)&gt;0)*(N('Dvd Calendar'!$X$1897)&lt;=VAL_SERIAL)*1000000+31*1000+60))</f>
        <v/>
      </c>
      <c r="GM190" s="121">
        <f>IF(N('Dvd Calendar'!$Y$1898)=0,"",IF(('Dvd Calendar'!$Y$1898&gt;=GRID_FROM)*('Dvd Calendar'!$Y$1898&lt;=GRID_TO)*('Dvd Calendar'!$Y$1898&gt;VAL_DATE)=0,"",'Dvd Calendar'!$Y$1898*1000000000+ISNUMBER('Dvd Calendar'!$Y$1899)*100000000+0*10000000+(N('Dvd Calendar'!$Y$1897)&gt;0)*(N('Dvd Calendar'!$Y$1897)&lt;=VAL_SERIAL)*1000000+31*1000+61))</f>
        <v/>
      </c>
      <c r="GN190" s="121">
        <f>IF(N('Dvd Calendar'!$Z$1898)=0,"",IF(('Dvd Calendar'!$Z$1898&gt;=GRID_FROM)*('Dvd Calendar'!$Z$1898&lt;=GRID_TO)*('Dvd Calendar'!$Z$1898&gt;VAL_DATE)=0,"",'Dvd Calendar'!$Z$1898*1000000000+ISNUMBER('Dvd Calendar'!$Z$1899)*100000000+0*10000000+(N('Dvd Calendar'!$Z$1897)&gt;0)*(N('Dvd Calendar'!$Z$1897)&lt;=VAL_SERIAL)*1000000+31*1000+62))</f>
        <v/>
      </c>
      <c r="GO190" s="121">
        <f>IF(N('Dvd Calendar'!$AA$1898)=0,"",IF(('Dvd Calendar'!$AA$1898&gt;=GRID_FROM)*('Dvd Calendar'!$AA$1898&lt;=GRID_TO)*('Dvd Calendar'!$AA$1898&gt;VAL_DATE)=0,"",'Dvd Calendar'!$AA$1898*1000000000+ISNUMBER('Dvd Calendar'!$AA$1899)*100000000+0*10000000+(N('Dvd Calendar'!$AA$1897)&gt;0)*(N('Dvd Calendar'!$AA$1897)&lt;=VAL_SERIAL)*1000000+31*1000+63))</f>
        <v/>
      </c>
      <c r="GP190" s="121">
        <f>IF(N('Dvd Calendar'!$AB$1898)=0,"",IF(('Dvd Calendar'!$AB$1898&gt;=GRID_FROM)*('Dvd Calendar'!$AB$1898&lt;=GRID_TO)*('Dvd Calendar'!$AB$1898&gt;VAL_DATE)=0,"",'Dvd Calendar'!$AB$1898*1000000000+ISNUMBER('Dvd Calendar'!$AB$1899)*100000000+0*10000000+(N('Dvd Calendar'!$AB$1897)&gt;0)*(N('Dvd Calendar'!$AB$1897)&lt;=VAL_SERIAL)*1000000+31*1000+64))</f>
        <v/>
      </c>
      <c r="GQ190" s="121">
        <f>IF(N('Dvd Calendar'!$AC$1898)=0,"",IF(('Dvd Calendar'!$AC$1898&gt;=GRID_FROM)*('Dvd Calendar'!$AC$1898&lt;=GRID_TO)*('Dvd Calendar'!$AC$1898&gt;VAL_DATE)=0,"",'Dvd Calendar'!$AC$1898*1000000000+ISNUMBER('Dvd Calendar'!$AC$1899)*100000000+0*10000000+(N('Dvd Calendar'!$AC$1897)&gt;0)*(N('Dvd Calendar'!$AC$1897)&lt;=VAL_SERIAL)*1000000+31*1000+65))</f>
        <v/>
      </c>
    </row>
    <row r="191">
      <c r="B191" s="2">
        <f>IF(HSCEI!$C$38="","",HSCEI!$C$38)</f>
        <v/>
      </c>
      <c r="C191" s="161">
        <f>IF(EE191="","",IF(ISNUMBER('Dvd Calendar'!$E$1905)=FALSE,"",IF((('Dvd Calendar'!$E$1907=TYPE1)*(TYPE1&lt;&gt;"")+('Dvd Calendar'!$E$1907=TYPE2)*(TYPE2&lt;&gt;"")+('Dvd Calendar'!$E$1907=TYPE3)*(TYPE3&lt;&gt;"")+('Dvd Calendar'!$E$1907=TYPE4)*(TYPE4&lt;&gt;"")+('Dvd Calendar'!$E$1907=SPECIAL_LBL)*(INC_SPECIALS="Y"))=0,"",'Dvd Calendar'!$E$1905)))</f>
        <v/>
      </c>
      <c r="D191" s="161">
        <f>IF(EF191="","",IF(ISNUMBER('Dvd Calendar'!$F$1905)=FALSE,"",IF((('Dvd Calendar'!$F$1907=TYPE1)*(TYPE1&lt;&gt;"")+('Dvd Calendar'!$F$1907=TYPE2)*(TYPE2&lt;&gt;"")+('Dvd Calendar'!$F$1907=TYPE3)*(TYPE3&lt;&gt;"")+('Dvd Calendar'!$F$1907=TYPE4)*(TYPE4&lt;&gt;"")+('Dvd Calendar'!$F$1907=SPECIAL_LBL)*(INC_SPECIALS="Y"))=0,"",'Dvd Calendar'!$F$1905)))</f>
        <v/>
      </c>
      <c r="E191" s="161">
        <f>IF(EG191="","",IF(ISNUMBER('Dvd Calendar'!$G$1905)=FALSE,"",IF((('Dvd Calendar'!$G$1907=TYPE1)*(TYPE1&lt;&gt;"")+('Dvd Calendar'!$G$1907=TYPE2)*(TYPE2&lt;&gt;"")+('Dvd Calendar'!$G$1907=TYPE3)*(TYPE3&lt;&gt;"")+('Dvd Calendar'!$G$1907=TYPE4)*(TYPE4&lt;&gt;"")+('Dvd Calendar'!$G$1907=SPECIAL_LBL)*(INC_SPECIALS="Y"))=0,"",'Dvd Calendar'!$G$1905)))</f>
        <v/>
      </c>
      <c r="F191" s="161">
        <f>IF(EH191="","",IF(ISNUMBER('Dvd Calendar'!$H$1905)=FALSE,"",IF((('Dvd Calendar'!$H$1907=TYPE1)*(TYPE1&lt;&gt;"")+('Dvd Calendar'!$H$1907=TYPE2)*(TYPE2&lt;&gt;"")+('Dvd Calendar'!$H$1907=TYPE3)*(TYPE3&lt;&gt;"")+('Dvd Calendar'!$H$1907=TYPE4)*(TYPE4&lt;&gt;"")+('Dvd Calendar'!$H$1907=SPECIAL_LBL)*(INC_SPECIALS="Y"))=0,"",'Dvd Calendar'!$H$1905)))</f>
        <v/>
      </c>
      <c r="G191" s="161">
        <f>IF(EI191="","",IF(ISNUMBER('Dvd Calendar'!$I$1905)=FALSE,"",IF((('Dvd Calendar'!$I$1907=TYPE1)*(TYPE1&lt;&gt;"")+('Dvd Calendar'!$I$1907=TYPE2)*(TYPE2&lt;&gt;"")+('Dvd Calendar'!$I$1907=TYPE3)*(TYPE3&lt;&gt;"")+('Dvd Calendar'!$I$1907=TYPE4)*(TYPE4&lt;&gt;"")+('Dvd Calendar'!$I$1907=SPECIAL_LBL)*(INC_SPECIALS="Y"))=0,"",'Dvd Calendar'!$I$1905)))</f>
        <v/>
      </c>
      <c r="H191" s="161">
        <f>IF(EJ191="","",IF(ISNUMBER('Dvd Calendar'!$J$1905)=FALSE,"",IF((('Dvd Calendar'!$J$1907=TYPE1)*(TYPE1&lt;&gt;"")+('Dvd Calendar'!$J$1907=TYPE2)*(TYPE2&lt;&gt;"")+('Dvd Calendar'!$J$1907=TYPE3)*(TYPE3&lt;&gt;"")+('Dvd Calendar'!$J$1907=TYPE4)*(TYPE4&lt;&gt;"")+('Dvd Calendar'!$J$1907=SPECIAL_LBL)*(INC_SPECIALS="Y"))=0,"",'Dvd Calendar'!$J$1905)))</f>
        <v/>
      </c>
      <c r="I191" s="161">
        <f>IF(EK191="","",IF(ISNUMBER('Dvd Calendar'!$K$1905)=FALSE,"",IF((('Dvd Calendar'!$K$1907=TYPE1)*(TYPE1&lt;&gt;"")+('Dvd Calendar'!$K$1907=TYPE2)*(TYPE2&lt;&gt;"")+('Dvd Calendar'!$K$1907=TYPE3)*(TYPE3&lt;&gt;"")+('Dvd Calendar'!$K$1907=TYPE4)*(TYPE4&lt;&gt;"")+('Dvd Calendar'!$K$1907=SPECIAL_LBL)*(INC_SPECIALS="Y"))=0,"",'Dvd Calendar'!$K$1905)))</f>
        <v/>
      </c>
      <c r="J191" s="161">
        <f>IF(EL191="","",IF(ISNUMBER('Dvd Calendar'!$L$1905)=FALSE,"",IF((('Dvd Calendar'!$L$1907=TYPE1)*(TYPE1&lt;&gt;"")+('Dvd Calendar'!$L$1907=TYPE2)*(TYPE2&lt;&gt;"")+('Dvd Calendar'!$L$1907=TYPE3)*(TYPE3&lt;&gt;"")+('Dvd Calendar'!$L$1907=TYPE4)*(TYPE4&lt;&gt;"")+('Dvd Calendar'!$L$1907=SPECIAL_LBL)*(INC_SPECIALS="Y"))=0,"",'Dvd Calendar'!$L$1905)))</f>
        <v/>
      </c>
      <c r="K191" s="161">
        <f>IF(EM191="","",IF(ISNUMBER('Dvd Calendar'!$M$1905)=FALSE,"",IF((('Dvd Calendar'!$M$1907=TYPE1)*(TYPE1&lt;&gt;"")+('Dvd Calendar'!$M$1907=TYPE2)*(TYPE2&lt;&gt;"")+('Dvd Calendar'!$M$1907=TYPE3)*(TYPE3&lt;&gt;"")+('Dvd Calendar'!$M$1907=TYPE4)*(TYPE4&lt;&gt;"")+('Dvd Calendar'!$M$1907=SPECIAL_LBL)*(INC_SPECIALS="Y"))=0,"",'Dvd Calendar'!$M$1905)))</f>
        <v/>
      </c>
      <c r="L191" s="161">
        <f>IF(EN191="","",IF(ISNUMBER('Dvd Calendar'!$N$1905)=FALSE,"",IF((('Dvd Calendar'!$N$1907=TYPE1)*(TYPE1&lt;&gt;"")+('Dvd Calendar'!$N$1907=TYPE2)*(TYPE2&lt;&gt;"")+('Dvd Calendar'!$N$1907=TYPE3)*(TYPE3&lt;&gt;"")+('Dvd Calendar'!$N$1907=TYPE4)*(TYPE4&lt;&gt;"")+('Dvd Calendar'!$N$1907=SPECIAL_LBL)*(INC_SPECIALS="Y"))=0,"",'Dvd Calendar'!$N$1905)))</f>
        <v/>
      </c>
      <c r="M191" s="161">
        <f>IF(EO191="","",IF(ISNUMBER('Dvd Calendar'!$O$1905)=FALSE,"",IF((('Dvd Calendar'!$O$1907=TYPE1)*(TYPE1&lt;&gt;"")+('Dvd Calendar'!$O$1907=TYPE2)*(TYPE2&lt;&gt;"")+('Dvd Calendar'!$O$1907=TYPE3)*(TYPE3&lt;&gt;"")+('Dvd Calendar'!$O$1907=TYPE4)*(TYPE4&lt;&gt;"")+('Dvd Calendar'!$O$1907=SPECIAL_LBL)*(INC_SPECIALS="Y"))=0,"",'Dvd Calendar'!$O$1905)))</f>
        <v/>
      </c>
      <c r="N191" s="161">
        <f>IF(EP191="","",IF(ISNUMBER('Dvd Calendar'!$P$1905)=FALSE,"",IF((('Dvd Calendar'!$P$1907=TYPE1)*(TYPE1&lt;&gt;"")+('Dvd Calendar'!$P$1907=TYPE2)*(TYPE2&lt;&gt;"")+('Dvd Calendar'!$P$1907=TYPE3)*(TYPE3&lt;&gt;"")+('Dvd Calendar'!$P$1907=TYPE4)*(TYPE4&lt;&gt;"")+('Dvd Calendar'!$P$1907=SPECIAL_LBL)*(INC_SPECIALS="Y"))=0,"",'Dvd Calendar'!$P$1905)))</f>
        <v/>
      </c>
      <c r="O191" s="161">
        <f>IF(EQ191="","",IF(ISNUMBER('Dvd Calendar'!$Q$1905)=FALSE,"",IF((('Dvd Calendar'!$Q$1907=TYPE1)*(TYPE1&lt;&gt;"")+('Dvd Calendar'!$Q$1907=TYPE2)*(TYPE2&lt;&gt;"")+('Dvd Calendar'!$Q$1907=TYPE3)*(TYPE3&lt;&gt;"")+('Dvd Calendar'!$Q$1907=TYPE4)*(TYPE4&lt;&gt;"")+('Dvd Calendar'!$Q$1907=SPECIAL_LBL)*(INC_SPECIALS="Y"))=0,"",'Dvd Calendar'!$Q$1905)))</f>
        <v/>
      </c>
      <c r="P191" s="161">
        <f>IF(ER191="","",IF(ISNUMBER('Dvd Calendar'!$R$1905)=FALSE,"",IF((('Dvd Calendar'!$R$1907=TYPE1)*(TYPE1&lt;&gt;"")+('Dvd Calendar'!$R$1907=TYPE2)*(TYPE2&lt;&gt;"")+('Dvd Calendar'!$R$1907=TYPE3)*(TYPE3&lt;&gt;"")+('Dvd Calendar'!$R$1907=TYPE4)*(TYPE4&lt;&gt;"")+('Dvd Calendar'!$R$1907=SPECIAL_LBL)*(INC_SPECIALS="Y"))=0,"",'Dvd Calendar'!$R$1905)))</f>
        <v/>
      </c>
      <c r="Q191" s="161">
        <f>IF(ES191="","",IF(ISNUMBER('Dvd Calendar'!$S$1905)=FALSE,"",IF((('Dvd Calendar'!$S$1907=TYPE1)*(TYPE1&lt;&gt;"")+('Dvd Calendar'!$S$1907=TYPE2)*(TYPE2&lt;&gt;"")+('Dvd Calendar'!$S$1907=TYPE3)*(TYPE3&lt;&gt;"")+('Dvd Calendar'!$S$1907=TYPE4)*(TYPE4&lt;&gt;"")+('Dvd Calendar'!$S$1907=SPECIAL_LBL)*(INC_SPECIALS="Y"))=0,"",'Dvd Calendar'!$S$1905)))</f>
        <v/>
      </c>
      <c r="R191" s="161">
        <f>IF(ET191="","",IF(ISNUMBER('Dvd Calendar'!$T$1905)=FALSE,"",IF((('Dvd Calendar'!$T$1907=TYPE1)*(TYPE1&lt;&gt;"")+('Dvd Calendar'!$T$1907=TYPE2)*(TYPE2&lt;&gt;"")+('Dvd Calendar'!$T$1907=TYPE3)*(TYPE3&lt;&gt;"")+('Dvd Calendar'!$T$1907=TYPE4)*(TYPE4&lt;&gt;"")+('Dvd Calendar'!$T$1907=SPECIAL_LBL)*(INC_SPECIALS="Y"))=0,"",'Dvd Calendar'!$T$1905)))</f>
        <v/>
      </c>
      <c r="S191" s="161">
        <f>IF(EU191="","",IF(ISNUMBER('Dvd Calendar'!$U$1905)=FALSE,"",IF((('Dvd Calendar'!$U$1907=TYPE1)*(TYPE1&lt;&gt;"")+('Dvd Calendar'!$U$1907=TYPE2)*(TYPE2&lt;&gt;"")+('Dvd Calendar'!$U$1907=TYPE3)*(TYPE3&lt;&gt;"")+('Dvd Calendar'!$U$1907=TYPE4)*(TYPE4&lt;&gt;"")+('Dvd Calendar'!$U$1907=SPECIAL_LBL)*(INC_SPECIALS="Y"))=0,"",'Dvd Calendar'!$U$1905)))</f>
        <v/>
      </c>
      <c r="T191" s="161">
        <f>IF(EV191="","",IF(ISNUMBER('Dvd Calendar'!$V$1905)=FALSE,"",IF((('Dvd Calendar'!$V$1907=TYPE1)*(TYPE1&lt;&gt;"")+('Dvd Calendar'!$V$1907=TYPE2)*(TYPE2&lt;&gt;"")+('Dvd Calendar'!$V$1907=TYPE3)*(TYPE3&lt;&gt;"")+('Dvd Calendar'!$V$1907=TYPE4)*(TYPE4&lt;&gt;"")+('Dvd Calendar'!$V$1907=SPECIAL_LBL)*(INC_SPECIALS="Y"))=0,"",'Dvd Calendar'!$V$1905)))</f>
        <v/>
      </c>
      <c r="U191" s="161">
        <f>IF(EW191="","",IF(ISNUMBER('Dvd Calendar'!$W$1905)=FALSE,"",IF((('Dvd Calendar'!$W$1907=TYPE1)*(TYPE1&lt;&gt;"")+('Dvd Calendar'!$W$1907=TYPE2)*(TYPE2&lt;&gt;"")+('Dvd Calendar'!$W$1907=TYPE3)*(TYPE3&lt;&gt;"")+('Dvd Calendar'!$W$1907=TYPE4)*(TYPE4&lt;&gt;"")+('Dvd Calendar'!$W$1907=SPECIAL_LBL)*(INC_SPECIALS="Y"))=0,"",'Dvd Calendar'!$W$1905)))</f>
        <v/>
      </c>
      <c r="V191" s="161">
        <f>IF(EX191="","",IF(ISNUMBER('Dvd Calendar'!$X$1905)=FALSE,"",IF((('Dvd Calendar'!$X$1907=TYPE1)*(TYPE1&lt;&gt;"")+('Dvd Calendar'!$X$1907=TYPE2)*(TYPE2&lt;&gt;"")+('Dvd Calendar'!$X$1907=TYPE3)*(TYPE3&lt;&gt;"")+('Dvd Calendar'!$X$1907=TYPE4)*(TYPE4&lt;&gt;"")+('Dvd Calendar'!$X$1907=SPECIAL_LBL)*(INC_SPECIALS="Y"))=0,"",'Dvd Calendar'!$X$1905)))</f>
        <v/>
      </c>
      <c r="W191" s="161">
        <f>IF(EY191="","",IF(ISNUMBER('Dvd Calendar'!$Y$1905)=FALSE,"",IF((('Dvd Calendar'!$Y$1907=TYPE1)*(TYPE1&lt;&gt;"")+('Dvd Calendar'!$Y$1907=TYPE2)*(TYPE2&lt;&gt;"")+('Dvd Calendar'!$Y$1907=TYPE3)*(TYPE3&lt;&gt;"")+('Dvd Calendar'!$Y$1907=TYPE4)*(TYPE4&lt;&gt;"")+('Dvd Calendar'!$Y$1907=SPECIAL_LBL)*(INC_SPECIALS="Y"))=0,"",'Dvd Calendar'!$Y$1905)))</f>
        <v/>
      </c>
      <c r="X191" s="161">
        <f>IF(EZ191="","",IF(ISNUMBER('Dvd Calendar'!$Z$1905)=FALSE,"",IF((('Dvd Calendar'!$Z$1907=TYPE1)*(TYPE1&lt;&gt;"")+('Dvd Calendar'!$Z$1907=TYPE2)*(TYPE2&lt;&gt;"")+('Dvd Calendar'!$Z$1907=TYPE3)*(TYPE3&lt;&gt;"")+('Dvd Calendar'!$Z$1907=TYPE4)*(TYPE4&lt;&gt;"")+('Dvd Calendar'!$Z$1907=SPECIAL_LBL)*(INC_SPECIALS="Y"))=0,"",'Dvd Calendar'!$Z$1905)))</f>
        <v/>
      </c>
      <c r="Y191" s="161">
        <f>IF(FA191="","",IF(ISNUMBER('Dvd Calendar'!$AA$1905)=FALSE,"",IF((('Dvd Calendar'!$AA$1907=TYPE1)*(TYPE1&lt;&gt;"")+('Dvd Calendar'!$AA$1907=TYPE2)*(TYPE2&lt;&gt;"")+('Dvd Calendar'!$AA$1907=TYPE3)*(TYPE3&lt;&gt;"")+('Dvd Calendar'!$AA$1907=TYPE4)*(TYPE4&lt;&gt;"")+('Dvd Calendar'!$AA$1907=SPECIAL_LBL)*(INC_SPECIALS="Y"))=0,"",'Dvd Calendar'!$AA$1905)))</f>
        <v/>
      </c>
      <c r="Z191" s="161">
        <f>IF(FB191="","",IF(ISNUMBER('Dvd Calendar'!$AB$1905)=FALSE,"",IF((('Dvd Calendar'!$AB$1907=TYPE1)*(TYPE1&lt;&gt;"")+('Dvd Calendar'!$AB$1907=TYPE2)*(TYPE2&lt;&gt;"")+('Dvd Calendar'!$AB$1907=TYPE3)*(TYPE3&lt;&gt;"")+('Dvd Calendar'!$AB$1907=TYPE4)*(TYPE4&lt;&gt;"")+('Dvd Calendar'!$AB$1907=SPECIAL_LBL)*(INC_SPECIALS="Y"))=0,"",'Dvd Calendar'!$AB$1905)))</f>
        <v/>
      </c>
      <c r="AA191" s="161">
        <f>IF(FC191="","",IF(ISNUMBER('Dvd Calendar'!$AC$1905)=FALSE,"",IF((('Dvd Calendar'!$AC$1907=TYPE1)*(TYPE1&lt;&gt;"")+('Dvd Calendar'!$AC$1907=TYPE2)*(TYPE2&lt;&gt;"")+('Dvd Calendar'!$AC$1907=TYPE3)*(TYPE3&lt;&gt;"")+('Dvd Calendar'!$AC$1907=TYPE4)*(TYPE4&lt;&gt;"")+('Dvd Calendar'!$AC$1907=SPECIAL_LBL)*(INC_SPECIALS="Y"))=0,"",'Dvd Calendar'!$AC$1905)))</f>
        <v/>
      </c>
      <c r="AB191" s="161">
        <f>IF(FD191="","",IF(ISNUMBER('Dvd Calendar'!$AD$1905)=FALSE,"",IF((('Dvd Calendar'!$AD$1907=TYPE1)*(TYPE1&lt;&gt;"")+('Dvd Calendar'!$AD$1907=TYPE2)*(TYPE2&lt;&gt;"")+('Dvd Calendar'!$AD$1907=TYPE3)*(TYPE3&lt;&gt;"")+('Dvd Calendar'!$AD$1907=TYPE4)*(TYPE4&lt;&gt;"")+('Dvd Calendar'!$AD$1907=SPECIAL_LBL)*(INC_SPECIALS="Y"))=0,"",'Dvd Calendar'!$AD$1905)))</f>
        <v/>
      </c>
      <c r="AC191" s="161">
        <f>IF(FE191="","",IF(ISNUMBER('Dvd Calendar'!$AE$1905)=FALSE,"",IF((('Dvd Calendar'!$AE$1907=TYPE1)*(TYPE1&lt;&gt;"")+('Dvd Calendar'!$AE$1907=TYPE2)*(TYPE2&lt;&gt;"")+('Dvd Calendar'!$AE$1907=TYPE3)*(TYPE3&lt;&gt;"")+('Dvd Calendar'!$AE$1907=TYPE4)*(TYPE4&lt;&gt;"")+('Dvd Calendar'!$AE$1907=SPECIAL_LBL)*(INC_SPECIALS="Y"))=0,"",'Dvd Calendar'!$AE$1905)))</f>
        <v/>
      </c>
      <c r="AD191" s="161">
        <f>IF(FF191="","",IF(ISNUMBER('Dvd Calendar'!$AF$1905)=FALSE,"",IF((('Dvd Calendar'!$AF$1907=TYPE1)*(TYPE1&lt;&gt;"")+('Dvd Calendar'!$AF$1907=TYPE2)*(TYPE2&lt;&gt;"")+('Dvd Calendar'!$AF$1907=TYPE3)*(TYPE3&lt;&gt;"")+('Dvd Calendar'!$AF$1907=TYPE4)*(TYPE4&lt;&gt;"")+('Dvd Calendar'!$AF$1907=SPECIAL_LBL)*(INC_SPECIALS="Y"))=0,"",'Dvd Calendar'!$AF$1905)))</f>
        <v/>
      </c>
      <c r="AE191" s="161">
        <f>IF(FG191="","",IF(ISNUMBER('Dvd Calendar'!$AG$1905)=FALSE,"",IF((('Dvd Calendar'!$AG$1907=TYPE1)*(TYPE1&lt;&gt;"")+('Dvd Calendar'!$AG$1907=TYPE2)*(TYPE2&lt;&gt;"")+('Dvd Calendar'!$AG$1907=TYPE3)*(TYPE3&lt;&gt;"")+('Dvd Calendar'!$AG$1907=TYPE4)*(TYPE4&lt;&gt;"")+('Dvd Calendar'!$AG$1907=SPECIAL_LBL)*(INC_SPECIALS="Y"))=0,"",'Dvd Calendar'!$AG$1905)))</f>
        <v/>
      </c>
      <c r="AF191" s="161">
        <f>IF(FH191="","",IF(ISNUMBER('Dvd Calendar'!$AH$1905)=FALSE,"",IF((('Dvd Calendar'!$AH$1907=TYPE1)*(TYPE1&lt;&gt;"")+('Dvd Calendar'!$AH$1907=TYPE2)*(TYPE2&lt;&gt;"")+('Dvd Calendar'!$AH$1907=TYPE3)*(TYPE3&lt;&gt;"")+('Dvd Calendar'!$AH$1907=TYPE4)*(TYPE4&lt;&gt;"")+('Dvd Calendar'!$AH$1907=SPECIAL_LBL)*(INC_SPECIALS="Y"))=0,"",'Dvd Calendar'!$AH$1905)))</f>
        <v/>
      </c>
      <c r="AG191" s="161">
        <f>IF(FI191="","",IF(ISNUMBER('Dvd Calendar'!$AI$1905)=FALSE,"",IF((('Dvd Calendar'!$AI$1907=TYPE1)*(TYPE1&lt;&gt;"")+('Dvd Calendar'!$AI$1907=TYPE2)*(TYPE2&lt;&gt;"")+('Dvd Calendar'!$AI$1907=TYPE3)*(TYPE3&lt;&gt;"")+('Dvd Calendar'!$AI$1907=TYPE4)*(TYPE4&lt;&gt;"")+('Dvd Calendar'!$AI$1907=SPECIAL_LBL)*(INC_SPECIALS="Y"))=0,"",'Dvd Calendar'!$AI$1905)))</f>
        <v/>
      </c>
      <c r="AH191" s="161">
        <f>IF(FJ191="","",IF(ISNUMBER('Dvd Calendar'!$AJ$1905)=FALSE,"",IF((('Dvd Calendar'!$AJ$1907=TYPE1)*(TYPE1&lt;&gt;"")+('Dvd Calendar'!$AJ$1907=TYPE2)*(TYPE2&lt;&gt;"")+('Dvd Calendar'!$AJ$1907=TYPE3)*(TYPE3&lt;&gt;"")+('Dvd Calendar'!$AJ$1907=TYPE4)*(TYPE4&lt;&gt;"")+('Dvd Calendar'!$AJ$1907=SPECIAL_LBL)*(INC_SPECIALS="Y"))=0,"",'Dvd Calendar'!$AJ$1905)))</f>
        <v/>
      </c>
      <c r="AI191" s="161">
        <f>IF(FK191="","",IF(ISNUMBER('Dvd Calendar'!$AK$1905)=FALSE,"",IF((('Dvd Calendar'!$AK$1907=TYPE1)*(TYPE1&lt;&gt;"")+('Dvd Calendar'!$AK$1907=TYPE2)*(TYPE2&lt;&gt;"")+('Dvd Calendar'!$AK$1907=TYPE3)*(TYPE3&lt;&gt;"")+('Dvd Calendar'!$AK$1907=TYPE4)*(TYPE4&lt;&gt;"")+('Dvd Calendar'!$AK$1907=SPECIAL_LBL)*(INC_SPECIALS="Y"))=0,"",'Dvd Calendar'!$AK$1905)))</f>
        <v/>
      </c>
      <c r="AJ191" s="161">
        <f>IF(FL191="","",IF(ISNUMBER('Dvd Calendar'!$AL$1905)=FALSE,"",IF((('Dvd Calendar'!$AL$1907=TYPE1)*(TYPE1&lt;&gt;"")+('Dvd Calendar'!$AL$1907=TYPE2)*(TYPE2&lt;&gt;"")+('Dvd Calendar'!$AL$1907=TYPE3)*(TYPE3&lt;&gt;"")+('Dvd Calendar'!$AL$1907=TYPE4)*(TYPE4&lt;&gt;"")+('Dvd Calendar'!$AL$1907=SPECIAL_LBL)*(INC_SPECIALS="Y"))=0,"",'Dvd Calendar'!$AL$1905)))</f>
        <v/>
      </c>
      <c r="AK191" s="161">
        <f>IF(FM191="","",IF(ISNUMBER('Dvd Calendar'!$AM$1905)=FALSE,"",IF((('Dvd Calendar'!$AM$1907=TYPE1)*(TYPE1&lt;&gt;"")+('Dvd Calendar'!$AM$1907=TYPE2)*(TYPE2&lt;&gt;"")+('Dvd Calendar'!$AM$1907=TYPE3)*(TYPE3&lt;&gt;"")+('Dvd Calendar'!$AM$1907=TYPE4)*(TYPE4&lt;&gt;"")+('Dvd Calendar'!$AM$1907=SPECIAL_LBL)*(INC_SPECIALS="Y"))=0,"",'Dvd Calendar'!$AM$1905)))</f>
        <v/>
      </c>
      <c r="AL191" s="161">
        <f>IF(FN191="","",IF(ISNUMBER('Dvd Calendar'!$AN$1905)=FALSE,"",IF((('Dvd Calendar'!$AN$1907=TYPE1)*(TYPE1&lt;&gt;"")+('Dvd Calendar'!$AN$1907=TYPE2)*(TYPE2&lt;&gt;"")+('Dvd Calendar'!$AN$1907=TYPE3)*(TYPE3&lt;&gt;"")+('Dvd Calendar'!$AN$1907=TYPE4)*(TYPE4&lt;&gt;"")+('Dvd Calendar'!$AN$1907=SPECIAL_LBL)*(INC_SPECIALS="Y"))=0,"",'Dvd Calendar'!$AN$1905)))</f>
        <v/>
      </c>
      <c r="AM191" s="161">
        <f>IF(FO191="","",IF(ISNUMBER('Dvd Calendar'!$AO$1905)=FALSE,"",IF((('Dvd Calendar'!$AO$1907=TYPE1)*(TYPE1&lt;&gt;"")+('Dvd Calendar'!$AO$1907=TYPE2)*(TYPE2&lt;&gt;"")+('Dvd Calendar'!$AO$1907=TYPE3)*(TYPE3&lt;&gt;"")+('Dvd Calendar'!$AO$1907=TYPE4)*(TYPE4&lt;&gt;"")+('Dvd Calendar'!$AO$1907=SPECIAL_LBL)*(INC_SPECIALS="Y"))=0,"",'Dvd Calendar'!$AO$1905)))</f>
        <v/>
      </c>
      <c r="AN191" s="161">
        <f>IF(FP191="","",IF(ISNUMBER('Dvd Calendar'!$AP$1905)=FALSE,"",IF((('Dvd Calendar'!$AP$1907=TYPE1)*(TYPE1&lt;&gt;"")+('Dvd Calendar'!$AP$1907=TYPE2)*(TYPE2&lt;&gt;"")+('Dvd Calendar'!$AP$1907=TYPE3)*(TYPE3&lt;&gt;"")+('Dvd Calendar'!$AP$1907=TYPE4)*(TYPE4&lt;&gt;"")+('Dvd Calendar'!$AP$1907=SPECIAL_LBL)*(INC_SPECIALS="Y"))=0,"",'Dvd Calendar'!$AP$1905)))</f>
        <v/>
      </c>
      <c r="AO191" s="161">
        <f>IF(FQ191="","",IF(ISNUMBER('Dvd Calendar'!$AQ$1905)=FALSE,"",IF((('Dvd Calendar'!$AQ$1907=TYPE1)*(TYPE1&lt;&gt;"")+('Dvd Calendar'!$AQ$1907=TYPE2)*(TYPE2&lt;&gt;"")+('Dvd Calendar'!$AQ$1907=TYPE3)*(TYPE3&lt;&gt;"")+('Dvd Calendar'!$AQ$1907=TYPE4)*(TYPE4&lt;&gt;"")+('Dvd Calendar'!$AQ$1907=SPECIAL_LBL)*(INC_SPECIALS="Y"))=0,"",'Dvd Calendar'!$AQ$1905)))</f>
        <v/>
      </c>
      <c r="AP191" s="161">
        <f>IF(FR191="","",IF(ISNUMBER('Dvd Calendar'!$AR$1905)=FALSE,"",IF((('Dvd Calendar'!$AR$1907=TYPE1)*(TYPE1&lt;&gt;"")+('Dvd Calendar'!$AR$1907=TYPE2)*(TYPE2&lt;&gt;"")+('Dvd Calendar'!$AR$1907=TYPE3)*(TYPE3&lt;&gt;"")+('Dvd Calendar'!$AR$1907=TYPE4)*(TYPE4&lt;&gt;"")+('Dvd Calendar'!$AR$1907=SPECIAL_LBL)*(INC_SPECIALS="Y"))=0,"",'Dvd Calendar'!$AR$1905)))</f>
        <v/>
      </c>
      <c r="AQ191" s="161">
        <f>IF(FS191="","",IF(ISNUMBER('Dvd Calendar'!$E$1910)=FALSE,"",'Dvd Calendar'!$E$1910))</f>
        <v/>
      </c>
      <c r="AR191" s="161">
        <f>IF(FT191="","",IF(ISNUMBER('Dvd Calendar'!$F$1910)=FALSE,"",'Dvd Calendar'!$F$1910))</f>
        <v/>
      </c>
      <c r="AS191" s="161">
        <f>IF(FU191="","",IF(ISNUMBER('Dvd Calendar'!$G$1910)=FALSE,"",'Dvd Calendar'!$G$1910))</f>
        <v/>
      </c>
      <c r="AT191" s="161">
        <f>IF(FV191="","",IF(ISNUMBER('Dvd Calendar'!$H$1910)=FALSE,"",'Dvd Calendar'!$H$1910))</f>
        <v/>
      </c>
      <c r="AU191" s="161">
        <f>IF(FW191="","",IF(ISNUMBER('Dvd Calendar'!$I$1910)=FALSE,"",'Dvd Calendar'!$I$1910))</f>
        <v/>
      </c>
      <c r="AV191" s="161">
        <f>IF(FX191="","",IF(ISNUMBER('Dvd Calendar'!$J$1910)=FALSE,"",'Dvd Calendar'!$J$1910))</f>
        <v/>
      </c>
      <c r="AW191" s="161">
        <f>IF(FY191="","",IF(ISNUMBER('Dvd Calendar'!$K$1910)=FALSE,"",'Dvd Calendar'!$K$1910))</f>
        <v/>
      </c>
      <c r="AX191" s="161">
        <f>IF(FZ191="","",IF(ISNUMBER('Dvd Calendar'!$L$1910)=FALSE,"",'Dvd Calendar'!$L$1910))</f>
        <v/>
      </c>
      <c r="AY191" s="161">
        <f>IF(GA191="","",IF(ISNUMBER('Dvd Calendar'!$M$1910)=FALSE,"",'Dvd Calendar'!$M$1910))</f>
        <v/>
      </c>
      <c r="AZ191" s="161">
        <f>IF(GB191="","",IF(ISNUMBER('Dvd Calendar'!$N$1910)=FALSE,"",'Dvd Calendar'!$N$1910))</f>
        <v/>
      </c>
      <c r="BA191" s="161">
        <f>IF(GC191="","",IF(ISNUMBER('Dvd Calendar'!$O$1910)=FALSE,"",'Dvd Calendar'!$O$1910))</f>
        <v/>
      </c>
      <c r="BB191" s="161">
        <f>IF(GD191="","",IF(ISNUMBER('Dvd Calendar'!$P$1910)=FALSE,"",'Dvd Calendar'!$P$1910))</f>
        <v/>
      </c>
      <c r="BC191" s="161">
        <f>IF(GE191="","",IF(ISNUMBER('Dvd Calendar'!$Q$1910)=FALSE,"",'Dvd Calendar'!$Q$1910))</f>
        <v/>
      </c>
      <c r="BD191" s="161">
        <f>IF(GF191="","",IF(ISNUMBER('Dvd Calendar'!$R$1910)=FALSE,"",'Dvd Calendar'!$R$1910))</f>
        <v/>
      </c>
      <c r="BE191" s="161">
        <f>IF(GG191="","",IF(ISNUMBER('Dvd Calendar'!$S$1910)=FALSE,"",'Dvd Calendar'!$S$1910))</f>
        <v/>
      </c>
      <c r="BF191" s="161">
        <f>IF(GH191="","",IF(ISNUMBER('Dvd Calendar'!$T$1910)=FALSE,"",'Dvd Calendar'!$T$1910))</f>
        <v/>
      </c>
      <c r="BG191" s="161">
        <f>IF(GI191="","",IF(ISNUMBER('Dvd Calendar'!$U$1910)=FALSE,"",'Dvd Calendar'!$U$1910))</f>
        <v/>
      </c>
      <c r="BH191" s="161">
        <f>IF(GJ191="","",IF(ISNUMBER('Dvd Calendar'!$V$1910)=FALSE,"",'Dvd Calendar'!$V$1910))</f>
        <v/>
      </c>
      <c r="BI191" s="161">
        <f>IF(GK191="","",IF(ISNUMBER('Dvd Calendar'!$W$1910)=FALSE,"",'Dvd Calendar'!$W$1910))</f>
        <v/>
      </c>
      <c r="BJ191" s="161">
        <f>IF(GL191="","",IF(ISNUMBER('Dvd Calendar'!$X$1910)=FALSE,"",'Dvd Calendar'!$X$1910))</f>
        <v/>
      </c>
      <c r="BK191" s="161">
        <f>IF(GM191="","",IF(ISNUMBER('Dvd Calendar'!$Y$1910)=FALSE,"",'Dvd Calendar'!$Y$1910))</f>
        <v/>
      </c>
      <c r="BL191" s="161">
        <f>IF(GN191="","",IF(ISNUMBER('Dvd Calendar'!$Z$1910)=FALSE,"",'Dvd Calendar'!$Z$1910))</f>
        <v/>
      </c>
      <c r="BM191" s="161">
        <f>IF(GO191="","",IF(ISNUMBER('Dvd Calendar'!$AA$1910)=FALSE,"",'Dvd Calendar'!$AA$1910))</f>
        <v/>
      </c>
      <c r="BN191" s="161">
        <f>IF(GP191="","",IF(ISNUMBER('Dvd Calendar'!$AB$1910)=FALSE,"",'Dvd Calendar'!$AB$1910))</f>
        <v/>
      </c>
      <c r="BO191" s="161">
        <f>IF(GQ191="","",IF(ISNUMBER('Dvd Calendar'!$AC$1910)=FALSE,"",'Dvd Calendar'!$AC$1910))</f>
        <v/>
      </c>
      <c r="BQ191" s="161">
        <f>IF(C191="","",IFERROR(C191*HSCEI!$B$38*HSCEI!$G$38/HSCEI!$B$3,""))</f>
        <v/>
      </c>
      <c r="BR191" s="161">
        <f>IF(D191="","",IFERROR(D191*HSCEI!$B$38*HSCEI!$G$38/HSCEI!$B$3,""))</f>
        <v/>
      </c>
      <c r="BS191" s="161">
        <f>IF(E191="","",IFERROR(E191*HSCEI!$B$38*HSCEI!$G$38/HSCEI!$B$3,""))</f>
        <v/>
      </c>
      <c r="BT191" s="161">
        <f>IF(F191="","",IFERROR(F191*HSCEI!$B$38*HSCEI!$G$38/HSCEI!$B$3,""))</f>
        <v/>
      </c>
      <c r="BU191" s="161">
        <f>IF(G191="","",IFERROR(G191*HSCEI!$B$38*HSCEI!$G$38/HSCEI!$B$3,""))</f>
        <v/>
      </c>
      <c r="BV191" s="161">
        <f>IF(H191="","",IFERROR(H191*HSCEI!$B$38*HSCEI!$G$38/HSCEI!$B$3,""))</f>
        <v/>
      </c>
      <c r="BW191" s="161">
        <f>IF(I191="","",IFERROR(I191*HSCEI!$B$38*HSCEI!$G$38/HSCEI!$B$3,""))</f>
        <v/>
      </c>
      <c r="BX191" s="161">
        <f>IF(J191="","",IFERROR(J191*HSCEI!$B$38*HSCEI!$G$38/HSCEI!$B$3,""))</f>
        <v/>
      </c>
      <c r="BY191" s="161">
        <f>IF(K191="","",IFERROR(K191*HSCEI!$B$38*HSCEI!$G$38/HSCEI!$B$3,""))</f>
        <v/>
      </c>
      <c r="BZ191" s="161">
        <f>IF(L191="","",IFERROR(L191*HSCEI!$B$38*HSCEI!$G$38/HSCEI!$B$3,""))</f>
        <v/>
      </c>
      <c r="CA191" s="161">
        <f>IF(M191="","",IFERROR(M191*HSCEI!$B$38*HSCEI!$G$38/HSCEI!$B$3,""))</f>
        <v/>
      </c>
      <c r="CB191" s="161">
        <f>IF(N191="","",IFERROR(N191*HSCEI!$B$38*HSCEI!$G$38/HSCEI!$B$3,""))</f>
        <v/>
      </c>
      <c r="CC191" s="161">
        <f>IF(O191="","",IFERROR(O191*HSCEI!$B$38*HSCEI!$G$38/HSCEI!$B$3,""))</f>
        <v/>
      </c>
      <c r="CD191" s="161">
        <f>IF(P191="","",IFERROR(P191*HSCEI!$B$38*HSCEI!$G$38/HSCEI!$B$3,""))</f>
        <v/>
      </c>
      <c r="CE191" s="161">
        <f>IF(Q191="","",IFERROR(Q191*HSCEI!$B$38*HSCEI!$G$38/HSCEI!$B$3,""))</f>
        <v/>
      </c>
      <c r="CF191" s="161">
        <f>IF(R191="","",IFERROR(R191*HSCEI!$B$38*HSCEI!$G$38/HSCEI!$B$3,""))</f>
        <v/>
      </c>
      <c r="CG191" s="161">
        <f>IF(S191="","",IFERROR(S191*HSCEI!$B$38*HSCEI!$G$38/HSCEI!$B$3,""))</f>
        <v/>
      </c>
      <c r="CH191" s="161">
        <f>IF(T191="","",IFERROR(T191*HSCEI!$B$38*HSCEI!$G$38/HSCEI!$B$3,""))</f>
        <v/>
      </c>
      <c r="CI191" s="161">
        <f>IF(U191="","",IFERROR(U191*HSCEI!$B$38*HSCEI!$G$38/HSCEI!$B$3,""))</f>
        <v/>
      </c>
      <c r="CJ191" s="161">
        <f>IF(V191="","",IFERROR(V191*HSCEI!$B$38*HSCEI!$G$38/HSCEI!$B$3,""))</f>
        <v/>
      </c>
      <c r="CK191" s="161">
        <f>IF(W191="","",IFERROR(W191*HSCEI!$B$38*HSCEI!$G$38/HSCEI!$B$3,""))</f>
        <v/>
      </c>
      <c r="CL191" s="161">
        <f>IF(X191="","",IFERROR(X191*HSCEI!$B$38*HSCEI!$G$38/HSCEI!$B$3,""))</f>
        <v/>
      </c>
      <c r="CM191" s="161">
        <f>IF(Y191="","",IFERROR(Y191*HSCEI!$B$38*HSCEI!$G$38/HSCEI!$B$3,""))</f>
        <v/>
      </c>
      <c r="CN191" s="161">
        <f>IF(Z191="","",IFERROR(Z191*HSCEI!$B$38*HSCEI!$G$38/HSCEI!$B$3,""))</f>
        <v/>
      </c>
      <c r="CO191" s="161">
        <f>IF(AA191="","",IFERROR(AA191*HSCEI!$B$38*HSCEI!$G$38/HSCEI!$B$3,""))</f>
        <v/>
      </c>
      <c r="CP191" s="161">
        <f>IF(AB191="","",IFERROR(AB191*HSCEI!$B$38*HSCEI!$G$38/HSCEI!$B$3,""))</f>
        <v/>
      </c>
      <c r="CQ191" s="161">
        <f>IF(AC191="","",IFERROR(AC191*HSCEI!$B$38*HSCEI!$G$38/HSCEI!$B$3,""))</f>
        <v/>
      </c>
      <c r="CR191" s="161">
        <f>IF(AD191="","",IFERROR(AD191*HSCEI!$B$38*HSCEI!$G$38/HSCEI!$B$3,""))</f>
        <v/>
      </c>
      <c r="CS191" s="161">
        <f>IF(AE191="","",IFERROR(AE191*HSCEI!$B$38*HSCEI!$G$38/HSCEI!$B$3,""))</f>
        <v/>
      </c>
      <c r="CT191" s="161">
        <f>IF(AF191="","",IFERROR(AF191*HSCEI!$B$38*HSCEI!$G$38/HSCEI!$B$3,""))</f>
        <v/>
      </c>
      <c r="CU191" s="161">
        <f>IF(AG191="","",IFERROR(AG191*HSCEI!$B$38*HSCEI!$G$38/HSCEI!$B$3,""))</f>
        <v/>
      </c>
      <c r="CV191" s="161">
        <f>IF(AH191="","",IFERROR(AH191*HSCEI!$B$38*HSCEI!$G$38/HSCEI!$B$3,""))</f>
        <v/>
      </c>
      <c r="CW191" s="161">
        <f>IF(AI191="","",IFERROR(AI191*HSCEI!$B$38*HSCEI!$G$38/HSCEI!$B$3,""))</f>
        <v/>
      </c>
      <c r="CX191" s="161">
        <f>IF(AJ191="","",IFERROR(AJ191*HSCEI!$B$38*HSCEI!$G$38/HSCEI!$B$3,""))</f>
        <v/>
      </c>
      <c r="CY191" s="161">
        <f>IF(AK191="","",IFERROR(AK191*HSCEI!$B$38*HSCEI!$G$38/HSCEI!$B$3,""))</f>
        <v/>
      </c>
      <c r="CZ191" s="161">
        <f>IF(AL191="","",IFERROR(AL191*HSCEI!$B$38*HSCEI!$G$38/HSCEI!$B$3,""))</f>
        <v/>
      </c>
      <c r="DA191" s="161">
        <f>IF(AM191="","",IFERROR(AM191*HSCEI!$B$38*HSCEI!$G$38/HSCEI!$B$3,""))</f>
        <v/>
      </c>
      <c r="DB191" s="161">
        <f>IF(AN191="","",IFERROR(AN191*HSCEI!$B$38*HSCEI!$G$38/HSCEI!$B$3,""))</f>
        <v/>
      </c>
      <c r="DC191" s="161">
        <f>IF(AO191="","",IFERROR(AO191*HSCEI!$B$38*HSCEI!$G$38/HSCEI!$B$3,""))</f>
        <v/>
      </c>
      <c r="DD191" s="161">
        <f>IF(AP191="","",IFERROR(AP191*HSCEI!$B$38*HSCEI!$G$38/HSCEI!$B$3,""))</f>
        <v/>
      </c>
      <c r="DE191" s="161">
        <f>IF(AQ191="","",IFERROR(AQ191*HSCEI!$B$38*HSCEI!$G$38/HSCEI!$B$3,""))</f>
        <v/>
      </c>
      <c r="DF191" s="161">
        <f>IF(AR191="","",IFERROR(AR191*HSCEI!$B$38*HSCEI!$G$38/HSCEI!$B$3,""))</f>
        <v/>
      </c>
      <c r="DG191" s="161">
        <f>IF(AS191="","",IFERROR(AS191*HSCEI!$B$38*HSCEI!$G$38/HSCEI!$B$3,""))</f>
        <v/>
      </c>
      <c r="DH191" s="161">
        <f>IF(AT191="","",IFERROR(AT191*HSCEI!$B$38*HSCEI!$G$38/HSCEI!$B$3,""))</f>
        <v/>
      </c>
      <c r="DI191" s="161">
        <f>IF(AU191="","",IFERROR(AU191*HSCEI!$B$38*HSCEI!$G$38/HSCEI!$B$3,""))</f>
        <v/>
      </c>
      <c r="DJ191" s="161">
        <f>IF(AV191="","",IFERROR(AV191*HSCEI!$B$38*HSCEI!$G$38/HSCEI!$B$3,""))</f>
        <v/>
      </c>
      <c r="DK191" s="161">
        <f>IF(AW191="","",IFERROR(AW191*HSCEI!$B$38*HSCEI!$G$38/HSCEI!$B$3,""))</f>
        <v/>
      </c>
      <c r="DL191" s="161">
        <f>IF(AX191="","",IFERROR(AX191*HSCEI!$B$38*HSCEI!$G$38/HSCEI!$B$3,""))</f>
        <v/>
      </c>
      <c r="DM191" s="161">
        <f>IF(AY191="","",IFERROR(AY191*HSCEI!$B$38*HSCEI!$G$38/HSCEI!$B$3,""))</f>
        <v/>
      </c>
      <c r="DN191" s="161">
        <f>IF(AZ191="","",IFERROR(AZ191*HSCEI!$B$38*HSCEI!$G$38/HSCEI!$B$3,""))</f>
        <v/>
      </c>
      <c r="DO191" s="161">
        <f>IF(BA191="","",IFERROR(BA191*HSCEI!$B$38*HSCEI!$G$38/HSCEI!$B$3,""))</f>
        <v/>
      </c>
      <c r="DP191" s="161">
        <f>IF(BB191="","",IFERROR(BB191*HSCEI!$B$38*HSCEI!$G$38/HSCEI!$B$3,""))</f>
        <v/>
      </c>
      <c r="DQ191" s="161">
        <f>IF(BC191="","",IFERROR(BC191*HSCEI!$B$38*HSCEI!$G$38/HSCEI!$B$3,""))</f>
        <v/>
      </c>
      <c r="DR191" s="161">
        <f>IF(BD191="","",IFERROR(BD191*HSCEI!$B$38*HSCEI!$G$38/HSCEI!$B$3,""))</f>
        <v/>
      </c>
      <c r="DS191" s="161">
        <f>IF(BE191="","",IFERROR(BE191*HSCEI!$B$38*HSCEI!$G$38/HSCEI!$B$3,""))</f>
        <v/>
      </c>
      <c r="DT191" s="161">
        <f>IF(BF191="","",IFERROR(BF191*HSCEI!$B$38*HSCEI!$G$38/HSCEI!$B$3,""))</f>
        <v/>
      </c>
      <c r="DU191" s="161">
        <f>IF(BG191="","",IFERROR(BG191*HSCEI!$B$38*HSCEI!$G$38/HSCEI!$B$3,""))</f>
        <v/>
      </c>
      <c r="DV191" s="161">
        <f>IF(BH191="","",IFERROR(BH191*HSCEI!$B$38*HSCEI!$G$38/HSCEI!$B$3,""))</f>
        <v/>
      </c>
      <c r="DW191" s="161">
        <f>IF(BI191="","",IFERROR(BI191*HSCEI!$B$38*HSCEI!$G$38/HSCEI!$B$3,""))</f>
        <v/>
      </c>
      <c r="DX191" s="161">
        <f>IF(BJ191="","",IFERROR(BJ191*HSCEI!$B$38*HSCEI!$G$38/HSCEI!$B$3,""))</f>
        <v/>
      </c>
      <c r="DY191" s="161">
        <f>IF(BK191="","",IFERROR(BK191*HSCEI!$B$38*HSCEI!$G$38/HSCEI!$B$3,""))</f>
        <v/>
      </c>
      <c r="DZ191" s="161">
        <f>IF(BL191="","",IFERROR(BL191*HSCEI!$B$38*HSCEI!$G$38/HSCEI!$B$3,""))</f>
        <v/>
      </c>
      <c r="EA191" s="161">
        <f>IF(BM191="","",IFERROR(BM191*HSCEI!$B$38*HSCEI!$G$38/HSCEI!$B$3,""))</f>
        <v/>
      </c>
      <c r="EB191" s="161">
        <f>IF(BN191="","",IFERROR(BN191*HSCEI!$B$38*HSCEI!$G$38/HSCEI!$B$3,""))</f>
        <v/>
      </c>
      <c r="EC191" s="161">
        <f>IF(BO191="","",IFERROR(BO191*HSCEI!$B$38*HSCEI!$G$38/HSCEI!$B$3,""))</f>
        <v/>
      </c>
      <c r="EE191" s="121">
        <f>IF(N('Dvd Calendar'!$E$1902)=0,"",IF(('Dvd Calendar'!$E$1902&gt;=GRID_FROM)*('Dvd Calendar'!$E$1902&lt;=GRID_TO)*((('Dvd Calendar'!$E$1902&lt;=VAL_DATE)+(COUNTIF('Dvd Calendar'!$E$1909:$AR$1909,'Dvd Calendar'!$E$1902)=0))&gt;0)=0,"",'Dvd Calendar'!$E$1902*1000000000+ISNUMBER('Dvd Calendar'!$E$1905)*100000000+('Dvd Calendar'!$E$1907=SPECIAL_LBL)*10000000+(N('Dvd Calendar'!$E$1901)&gt;0)*(N('Dvd Calendar'!$E$1901)&lt;=VAL_SERIAL)*1000000+32*1000+1))</f>
        <v/>
      </c>
      <c r="EF191" s="121">
        <f>IF(N('Dvd Calendar'!$F$1902)=0,"",IF(('Dvd Calendar'!$F$1902&gt;=GRID_FROM)*('Dvd Calendar'!$F$1902&lt;=GRID_TO)*((('Dvd Calendar'!$F$1902&lt;=VAL_DATE)+(COUNTIF('Dvd Calendar'!$E$1909:$AR$1909,'Dvd Calendar'!$F$1902)=0))&gt;0)=0,"",'Dvd Calendar'!$F$1902*1000000000+ISNUMBER('Dvd Calendar'!$F$1905)*100000000+('Dvd Calendar'!$F$1907=SPECIAL_LBL)*10000000+(N('Dvd Calendar'!$F$1901)&gt;0)*(N('Dvd Calendar'!$F$1901)&lt;=VAL_SERIAL)*1000000+32*1000+2))</f>
        <v/>
      </c>
      <c r="EG191" s="121">
        <f>IF(N('Dvd Calendar'!$G$1902)=0,"",IF(('Dvd Calendar'!$G$1902&gt;=GRID_FROM)*('Dvd Calendar'!$G$1902&lt;=GRID_TO)*((('Dvd Calendar'!$G$1902&lt;=VAL_DATE)+(COUNTIF('Dvd Calendar'!$E$1909:$AR$1909,'Dvd Calendar'!$G$1902)=0))&gt;0)=0,"",'Dvd Calendar'!$G$1902*1000000000+ISNUMBER('Dvd Calendar'!$G$1905)*100000000+('Dvd Calendar'!$G$1907=SPECIAL_LBL)*10000000+(N('Dvd Calendar'!$G$1901)&gt;0)*(N('Dvd Calendar'!$G$1901)&lt;=VAL_SERIAL)*1000000+32*1000+3))</f>
        <v/>
      </c>
      <c r="EH191" s="121">
        <f>IF(N('Dvd Calendar'!$H$1902)=0,"",IF(('Dvd Calendar'!$H$1902&gt;=GRID_FROM)*('Dvd Calendar'!$H$1902&lt;=GRID_TO)*((('Dvd Calendar'!$H$1902&lt;=VAL_DATE)+(COUNTIF('Dvd Calendar'!$E$1909:$AR$1909,'Dvd Calendar'!$H$1902)=0))&gt;0)=0,"",'Dvd Calendar'!$H$1902*1000000000+ISNUMBER('Dvd Calendar'!$H$1905)*100000000+('Dvd Calendar'!$H$1907=SPECIAL_LBL)*10000000+(N('Dvd Calendar'!$H$1901)&gt;0)*(N('Dvd Calendar'!$H$1901)&lt;=VAL_SERIAL)*1000000+32*1000+4))</f>
        <v/>
      </c>
      <c r="EI191" s="121">
        <f>IF(N('Dvd Calendar'!$I$1902)=0,"",IF(('Dvd Calendar'!$I$1902&gt;=GRID_FROM)*('Dvd Calendar'!$I$1902&lt;=GRID_TO)*((('Dvd Calendar'!$I$1902&lt;=VAL_DATE)+(COUNTIF('Dvd Calendar'!$E$1909:$AR$1909,'Dvd Calendar'!$I$1902)=0))&gt;0)=0,"",'Dvd Calendar'!$I$1902*1000000000+ISNUMBER('Dvd Calendar'!$I$1905)*100000000+('Dvd Calendar'!$I$1907=SPECIAL_LBL)*10000000+(N('Dvd Calendar'!$I$1901)&gt;0)*(N('Dvd Calendar'!$I$1901)&lt;=VAL_SERIAL)*1000000+32*1000+5))</f>
        <v/>
      </c>
      <c r="EJ191" s="121">
        <f>IF(N('Dvd Calendar'!$J$1902)=0,"",IF(('Dvd Calendar'!$J$1902&gt;=GRID_FROM)*('Dvd Calendar'!$J$1902&lt;=GRID_TO)*((('Dvd Calendar'!$J$1902&lt;=VAL_DATE)+(COUNTIF('Dvd Calendar'!$E$1909:$AR$1909,'Dvd Calendar'!$J$1902)=0))&gt;0)=0,"",'Dvd Calendar'!$J$1902*1000000000+ISNUMBER('Dvd Calendar'!$J$1905)*100000000+('Dvd Calendar'!$J$1907=SPECIAL_LBL)*10000000+(N('Dvd Calendar'!$J$1901)&gt;0)*(N('Dvd Calendar'!$J$1901)&lt;=VAL_SERIAL)*1000000+32*1000+6))</f>
        <v/>
      </c>
      <c r="EK191" s="121">
        <f>IF(N('Dvd Calendar'!$K$1902)=0,"",IF(('Dvd Calendar'!$K$1902&gt;=GRID_FROM)*('Dvd Calendar'!$K$1902&lt;=GRID_TO)*((('Dvd Calendar'!$K$1902&lt;=VAL_DATE)+(COUNTIF('Dvd Calendar'!$E$1909:$AR$1909,'Dvd Calendar'!$K$1902)=0))&gt;0)=0,"",'Dvd Calendar'!$K$1902*1000000000+ISNUMBER('Dvd Calendar'!$K$1905)*100000000+('Dvd Calendar'!$K$1907=SPECIAL_LBL)*10000000+(N('Dvd Calendar'!$K$1901)&gt;0)*(N('Dvd Calendar'!$K$1901)&lt;=VAL_SERIAL)*1000000+32*1000+7))</f>
        <v/>
      </c>
      <c r="EL191" s="121">
        <f>IF(N('Dvd Calendar'!$L$1902)=0,"",IF(('Dvd Calendar'!$L$1902&gt;=GRID_FROM)*('Dvd Calendar'!$L$1902&lt;=GRID_TO)*((('Dvd Calendar'!$L$1902&lt;=VAL_DATE)+(COUNTIF('Dvd Calendar'!$E$1909:$AR$1909,'Dvd Calendar'!$L$1902)=0))&gt;0)=0,"",'Dvd Calendar'!$L$1902*1000000000+ISNUMBER('Dvd Calendar'!$L$1905)*100000000+('Dvd Calendar'!$L$1907=SPECIAL_LBL)*10000000+(N('Dvd Calendar'!$L$1901)&gt;0)*(N('Dvd Calendar'!$L$1901)&lt;=VAL_SERIAL)*1000000+32*1000+8))</f>
        <v/>
      </c>
      <c r="EM191" s="121">
        <f>IF(N('Dvd Calendar'!$M$1902)=0,"",IF(('Dvd Calendar'!$M$1902&gt;=GRID_FROM)*('Dvd Calendar'!$M$1902&lt;=GRID_TO)*((('Dvd Calendar'!$M$1902&lt;=VAL_DATE)+(COUNTIF('Dvd Calendar'!$E$1909:$AR$1909,'Dvd Calendar'!$M$1902)=0))&gt;0)=0,"",'Dvd Calendar'!$M$1902*1000000000+ISNUMBER('Dvd Calendar'!$M$1905)*100000000+('Dvd Calendar'!$M$1907=SPECIAL_LBL)*10000000+(N('Dvd Calendar'!$M$1901)&gt;0)*(N('Dvd Calendar'!$M$1901)&lt;=VAL_SERIAL)*1000000+32*1000+9))</f>
        <v/>
      </c>
      <c r="EN191" s="121">
        <f>IF(N('Dvd Calendar'!$N$1902)=0,"",IF(('Dvd Calendar'!$N$1902&gt;=GRID_FROM)*('Dvd Calendar'!$N$1902&lt;=GRID_TO)*((('Dvd Calendar'!$N$1902&lt;=VAL_DATE)+(COUNTIF('Dvd Calendar'!$E$1909:$AR$1909,'Dvd Calendar'!$N$1902)=0))&gt;0)=0,"",'Dvd Calendar'!$N$1902*1000000000+ISNUMBER('Dvd Calendar'!$N$1905)*100000000+('Dvd Calendar'!$N$1907=SPECIAL_LBL)*10000000+(N('Dvd Calendar'!$N$1901)&gt;0)*(N('Dvd Calendar'!$N$1901)&lt;=VAL_SERIAL)*1000000+32*1000+10))</f>
        <v/>
      </c>
      <c r="EO191" s="121">
        <f>IF(N('Dvd Calendar'!$O$1902)=0,"",IF(('Dvd Calendar'!$O$1902&gt;=GRID_FROM)*('Dvd Calendar'!$O$1902&lt;=GRID_TO)*((('Dvd Calendar'!$O$1902&lt;=VAL_DATE)+(COUNTIF('Dvd Calendar'!$E$1909:$AR$1909,'Dvd Calendar'!$O$1902)=0))&gt;0)=0,"",'Dvd Calendar'!$O$1902*1000000000+ISNUMBER('Dvd Calendar'!$O$1905)*100000000+('Dvd Calendar'!$O$1907=SPECIAL_LBL)*10000000+(N('Dvd Calendar'!$O$1901)&gt;0)*(N('Dvd Calendar'!$O$1901)&lt;=VAL_SERIAL)*1000000+32*1000+11))</f>
        <v/>
      </c>
      <c r="EP191" s="121">
        <f>IF(N('Dvd Calendar'!$P$1902)=0,"",IF(('Dvd Calendar'!$P$1902&gt;=GRID_FROM)*('Dvd Calendar'!$P$1902&lt;=GRID_TO)*((('Dvd Calendar'!$P$1902&lt;=VAL_DATE)+(COUNTIF('Dvd Calendar'!$E$1909:$AR$1909,'Dvd Calendar'!$P$1902)=0))&gt;0)=0,"",'Dvd Calendar'!$P$1902*1000000000+ISNUMBER('Dvd Calendar'!$P$1905)*100000000+('Dvd Calendar'!$P$1907=SPECIAL_LBL)*10000000+(N('Dvd Calendar'!$P$1901)&gt;0)*(N('Dvd Calendar'!$P$1901)&lt;=VAL_SERIAL)*1000000+32*1000+12))</f>
        <v/>
      </c>
      <c r="EQ191" s="121">
        <f>IF(N('Dvd Calendar'!$Q$1902)=0,"",IF(('Dvd Calendar'!$Q$1902&gt;=GRID_FROM)*('Dvd Calendar'!$Q$1902&lt;=GRID_TO)*((('Dvd Calendar'!$Q$1902&lt;=VAL_DATE)+(COUNTIF('Dvd Calendar'!$E$1909:$AR$1909,'Dvd Calendar'!$Q$1902)=0))&gt;0)=0,"",'Dvd Calendar'!$Q$1902*1000000000+ISNUMBER('Dvd Calendar'!$Q$1905)*100000000+('Dvd Calendar'!$Q$1907=SPECIAL_LBL)*10000000+(N('Dvd Calendar'!$Q$1901)&gt;0)*(N('Dvd Calendar'!$Q$1901)&lt;=VAL_SERIAL)*1000000+32*1000+13))</f>
        <v/>
      </c>
      <c r="ER191" s="121">
        <f>IF(N('Dvd Calendar'!$R$1902)=0,"",IF(('Dvd Calendar'!$R$1902&gt;=GRID_FROM)*('Dvd Calendar'!$R$1902&lt;=GRID_TO)*((('Dvd Calendar'!$R$1902&lt;=VAL_DATE)+(COUNTIF('Dvd Calendar'!$E$1909:$AR$1909,'Dvd Calendar'!$R$1902)=0))&gt;0)=0,"",'Dvd Calendar'!$R$1902*1000000000+ISNUMBER('Dvd Calendar'!$R$1905)*100000000+('Dvd Calendar'!$R$1907=SPECIAL_LBL)*10000000+(N('Dvd Calendar'!$R$1901)&gt;0)*(N('Dvd Calendar'!$R$1901)&lt;=VAL_SERIAL)*1000000+32*1000+14))</f>
        <v/>
      </c>
      <c r="ES191" s="121">
        <f>IF(N('Dvd Calendar'!$S$1902)=0,"",IF(('Dvd Calendar'!$S$1902&gt;=GRID_FROM)*('Dvd Calendar'!$S$1902&lt;=GRID_TO)*((('Dvd Calendar'!$S$1902&lt;=VAL_DATE)+(COUNTIF('Dvd Calendar'!$E$1909:$AR$1909,'Dvd Calendar'!$S$1902)=0))&gt;0)=0,"",'Dvd Calendar'!$S$1902*1000000000+ISNUMBER('Dvd Calendar'!$S$1905)*100000000+('Dvd Calendar'!$S$1907=SPECIAL_LBL)*10000000+(N('Dvd Calendar'!$S$1901)&gt;0)*(N('Dvd Calendar'!$S$1901)&lt;=VAL_SERIAL)*1000000+32*1000+15))</f>
        <v/>
      </c>
      <c r="ET191" s="121">
        <f>IF(N('Dvd Calendar'!$T$1902)=0,"",IF(('Dvd Calendar'!$T$1902&gt;=GRID_FROM)*('Dvd Calendar'!$T$1902&lt;=GRID_TO)*((('Dvd Calendar'!$T$1902&lt;=VAL_DATE)+(COUNTIF('Dvd Calendar'!$E$1909:$AR$1909,'Dvd Calendar'!$T$1902)=0))&gt;0)=0,"",'Dvd Calendar'!$T$1902*1000000000+ISNUMBER('Dvd Calendar'!$T$1905)*100000000+('Dvd Calendar'!$T$1907=SPECIAL_LBL)*10000000+(N('Dvd Calendar'!$T$1901)&gt;0)*(N('Dvd Calendar'!$T$1901)&lt;=VAL_SERIAL)*1000000+32*1000+16))</f>
        <v/>
      </c>
      <c r="EU191" s="121">
        <f>IF(N('Dvd Calendar'!$U$1902)=0,"",IF(('Dvd Calendar'!$U$1902&gt;=GRID_FROM)*('Dvd Calendar'!$U$1902&lt;=GRID_TO)*((('Dvd Calendar'!$U$1902&lt;=VAL_DATE)+(COUNTIF('Dvd Calendar'!$E$1909:$AR$1909,'Dvd Calendar'!$U$1902)=0))&gt;0)=0,"",'Dvd Calendar'!$U$1902*1000000000+ISNUMBER('Dvd Calendar'!$U$1905)*100000000+('Dvd Calendar'!$U$1907=SPECIAL_LBL)*10000000+(N('Dvd Calendar'!$U$1901)&gt;0)*(N('Dvd Calendar'!$U$1901)&lt;=VAL_SERIAL)*1000000+32*1000+17))</f>
        <v/>
      </c>
      <c r="EV191" s="121">
        <f>IF(N('Dvd Calendar'!$V$1902)=0,"",IF(('Dvd Calendar'!$V$1902&gt;=GRID_FROM)*('Dvd Calendar'!$V$1902&lt;=GRID_TO)*((('Dvd Calendar'!$V$1902&lt;=VAL_DATE)+(COUNTIF('Dvd Calendar'!$E$1909:$AR$1909,'Dvd Calendar'!$V$1902)=0))&gt;0)=0,"",'Dvd Calendar'!$V$1902*1000000000+ISNUMBER('Dvd Calendar'!$V$1905)*100000000+('Dvd Calendar'!$V$1907=SPECIAL_LBL)*10000000+(N('Dvd Calendar'!$V$1901)&gt;0)*(N('Dvd Calendar'!$V$1901)&lt;=VAL_SERIAL)*1000000+32*1000+18))</f>
        <v/>
      </c>
      <c r="EW191" s="121">
        <f>IF(N('Dvd Calendar'!$W$1902)=0,"",IF(('Dvd Calendar'!$W$1902&gt;=GRID_FROM)*('Dvd Calendar'!$W$1902&lt;=GRID_TO)*((('Dvd Calendar'!$W$1902&lt;=VAL_DATE)+(COUNTIF('Dvd Calendar'!$E$1909:$AR$1909,'Dvd Calendar'!$W$1902)=0))&gt;0)=0,"",'Dvd Calendar'!$W$1902*1000000000+ISNUMBER('Dvd Calendar'!$W$1905)*100000000+('Dvd Calendar'!$W$1907=SPECIAL_LBL)*10000000+(N('Dvd Calendar'!$W$1901)&gt;0)*(N('Dvd Calendar'!$W$1901)&lt;=VAL_SERIAL)*1000000+32*1000+19))</f>
        <v/>
      </c>
      <c r="EX191" s="121">
        <f>IF(N('Dvd Calendar'!$X$1902)=0,"",IF(('Dvd Calendar'!$X$1902&gt;=GRID_FROM)*('Dvd Calendar'!$X$1902&lt;=GRID_TO)*((('Dvd Calendar'!$X$1902&lt;=VAL_DATE)+(COUNTIF('Dvd Calendar'!$E$1909:$AR$1909,'Dvd Calendar'!$X$1902)=0))&gt;0)=0,"",'Dvd Calendar'!$X$1902*1000000000+ISNUMBER('Dvd Calendar'!$X$1905)*100000000+('Dvd Calendar'!$X$1907=SPECIAL_LBL)*10000000+(N('Dvd Calendar'!$X$1901)&gt;0)*(N('Dvd Calendar'!$X$1901)&lt;=VAL_SERIAL)*1000000+32*1000+20))</f>
        <v/>
      </c>
      <c r="EY191" s="121">
        <f>IF(N('Dvd Calendar'!$Y$1902)=0,"",IF(('Dvd Calendar'!$Y$1902&gt;=GRID_FROM)*('Dvd Calendar'!$Y$1902&lt;=GRID_TO)*((('Dvd Calendar'!$Y$1902&lt;=VAL_DATE)+(COUNTIF('Dvd Calendar'!$E$1909:$AR$1909,'Dvd Calendar'!$Y$1902)=0))&gt;0)=0,"",'Dvd Calendar'!$Y$1902*1000000000+ISNUMBER('Dvd Calendar'!$Y$1905)*100000000+('Dvd Calendar'!$Y$1907=SPECIAL_LBL)*10000000+(N('Dvd Calendar'!$Y$1901)&gt;0)*(N('Dvd Calendar'!$Y$1901)&lt;=VAL_SERIAL)*1000000+32*1000+21))</f>
        <v/>
      </c>
      <c r="EZ191" s="121">
        <f>IF(N('Dvd Calendar'!$Z$1902)=0,"",IF(('Dvd Calendar'!$Z$1902&gt;=GRID_FROM)*('Dvd Calendar'!$Z$1902&lt;=GRID_TO)*((('Dvd Calendar'!$Z$1902&lt;=VAL_DATE)+(COUNTIF('Dvd Calendar'!$E$1909:$AR$1909,'Dvd Calendar'!$Z$1902)=0))&gt;0)=0,"",'Dvd Calendar'!$Z$1902*1000000000+ISNUMBER('Dvd Calendar'!$Z$1905)*100000000+('Dvd Calendar'!$Z$1907=SPECIAL_LBL)*10000000+(N('Dvd Calendar'!$Z$1901)&gt;0)*(N('Dvd Calendar'!$Z$1901)&lt;=VAL_SERIAL)*1000000+32*1000+22))</f>
        <v/>
      </c>
      <c r="FA191" s="121">
        <f>IF(N('Dvd Calendar'!$AA$1902)=0,"",IF(('Dvd Calendar'!$AA$1902&gt;=GRID_FROM)*('Dvd Calendar'!$AA$1902&lt;=GRID_TO)*((('Dvd Calendar'!$AA$1902&lt;=VAL_DATE)+(COUNTIF('Dvd Calendar'!$E$1909:$AR$1909,'Dvd Calendar'!$AA$1902)=0))&gt;0)=0,"",'Dvd Calendar'!$AA$1902*1000000000+ISNUMBER('Dvd Calendar'!$AA$1905)*100000000+('Dvd Calendar'!$AA$1907=SPECIAL_LBL)*10000000+(N('Dvd Calendar'!$AA$1901)&gt;0)*(N('Dvd Calendar'!$AA$1901)&lt;=VAL_SERIAL)*1000000+32*1000+23))</f>
        <v/>
      </c>
      <c r="FB191" s="121">
        <f>IF(N('Dvd Calendar'!$AB$1902)=0,"",IF(('Dvd Calendar'!$AB$1902&gt;=GRID_FROM)*('Dvd Calendar'!$AB$1902&lt;=GRID_TO)*((('Dvd Calendar'!$AB$1902&lt;=VAL_DATE)+(COUNTIF('Dvd Calendar'!$E$1909:$AR$1909,'Dvd Calendar'!$AB$1902)=0))&gt;0)=0,"",'Dvd Calendar'!$AB$1902*1000000000+ISNUMBER('Dvd Calendar'!$AB$1905)*100000000+('Dvd Calendar'!$AB$1907=SPECIAL_LBL)*10000000+(N('Dvd Calendar'!$AB$1901)&gt;0)*(N('Dvd Calendar'!$AB$1901)&lt;=VAL_SERIAL)*1000000+32*1000+24))</f>
        <v/>
      </c>
      <c r="FC191" s="121">
        <f>IF(N('Dvd Calendar'!$AC$1902)=0,"",IF(('Dvd Calendar'!$AC$1902&gt;=GRID_FROM)*('Dvd Calendar'!$AC$1902&lt;=GRID_TO)*((('Dvd Calendar'!$AC$1902&lt;=VAL_DATE)+(COUNTIF('Dvd Calendar'!$E$1909:$AR$1909,'Dvd Calendar'!$AC$1902)=0))&gt;0)=0,"",'Dvd Calendar'!$AC$1902*1000000000+ISNUMBER('Dvd Calendar'!$AC$1905)*100000000+('Dvd Calendar'!$AC$1907=SPECIAL_LBL)*10000000+(N('Dvd Calendar'!$AC$1901)&gt;0)*(N('Dvd Calendar'!$AC$1901)&lt;=VAL_SERIAL)*1000000+32*1000+25))</f>
        <v/>
      </c>
      <c r="FD191" s="121">
        <f>IF(N('Dvd Calendar'!$AD$1902)=0,"",IF(('Dvd Calendar'!$AD$1902&gt;=GRID_FROM)*('Dvd Calendar'!$AD$1902&lt;=GRID_TO)*((('Dvd Calendar'!$AD$1902&lt;=VAL_DATE)+(COUNTIF('Dvd Calendar'!$E$1909:$AR$1909,'Dvd Calendar'!$AD$1902)=0))&gt;0)=0,"",'Dvd Calendar'!$AD$1902*1000000000+ISNUMBER('Dvd Calendar'!$AD$1905)*100000000+('Dvd Calendar'!$AD$1907=SPECIAL_LBL)*10000000+(N('Dvd Calendar'!$AD$1901)&gt;0)*(N('Dvd Calendar'!$AD$1901)&lt;=VAL_SERIAL)*1000000+32*1000+26))</f>
        <v/>
      </c>
      <c r="FE191" s="121">
        <f>IF(N('Dvd Calendar'!$AE$1902)=0,"",IF(('Dvd Calendar'!$AE$1902&gt;=GRID_FROM)*('Dvd Calendar'!$AE$1902&lt;=GRID_TO)*((('Dvd Calendar'!$AE$1902&lt;=VAL_DATE)+(COUNTIF('Dvd Calendar'!$E$1909:$AR$1909,'Dvd Calendar'!$AE$1902)=0))&gt;0)=0,"",'Dvd Calendar'!$AE$1902*1000000000+ISNUMBER('Dvd Calendar'!$AE$1905)*100000000+('Dvd Calendar'!$AE$1907=SPECIAL_LBL)*10000000+(N('Dvd Calendar'!$AE$1901)&gt;0)*(N('Dvd Calendar'!$AE$1901)&lt;=VAL_SERIAL)*1000000+32*1000+27))</f>
        <v/>
      </c>
      <c r="FF191" s="121">
        <f>IF(N('Dvd Calendar'!$AF$1902)=0,"",IF(('Dvd Calendar'!$AF$1902&gt;=GRID_FROM)*('Dvd Calendar'!$AF$1902&lt;=GRID_TO)*((('Dvd Calendar'!$AF$1902&lt;=VAL_DATE)+(COUNTIF('Dvd Calendar'!$E$1909:$AR$1909,'Dvd Calendar'!$AF$1902)=0))&gt;0)=0,"",'Dvd Calendar'!$AF$1902*1000000000+ISNUMBER('Dvd Calendar'!$AF$1905)*100000000+('Dvd Calendar'!$AF$1907=SPECIAL_LBL)*10000000+(N('Dvd Calendar'!$AF$1901)&gt;0)*(N('Dvd Calendar'!$AF$1901)&lt;=VAL_SERIAL)*1000000+32*1000+28))</f>
        <v/>
      </c>
      <c r="FG191" s="121">
        <f>IF(N('Dvd Calendar'!$AG$1902)=0,"",IF(('Dvd Calendar'!$AG$1902&gt;=GRID_FROM)*('Dvd Calendar'!$AG$1902&lt;=GRID_TO)*((('Dvd Calendar'!$AG$1902&lt;=VAL_DATE)+(COUNTIF('Dvd Calendar'!$E$1909:$AR$1909,'Dvd Calendar'!$AG$1902)=0))&gt;0)=0,"",'Dvd Calendar'!$AG$1902*1000000000+ISNUMBER('Dvd Calendar'!$AG$1905)*100000000+('Dvd Calendar'!$AG$1907=SPECIAL_LBL)*10000000+(N('Dvd Calendar'!$AG$1901)&gt;0)*(N('Dvd Calendar'!$AG$1901)&lt;=VAL_SERIAL)*1000000+32*1000+29))</f>
        <v/>
      </c>
      <c r="FH191" s="121">
        <f>IF(N('Dvd Calendar'!$AH$1902)=0,"",IF(('Dvd Calendar'!$AH$1902&gt;=GRID_FROM)*('Dvd Calendar'!$AH$1902&lt;=GRID_TO)*((('Dvd Calendar'!$AH$1902&lt;=VAL_DATE)+(COUNTIF('Dvd Calendar'!$E$1909:$AR$1909,'Dvd Calendar'!$AH$1902)=0))&gt;0)=0,"",'Dvd Calendar'!$AH$1902*1000000000+ISNUMBER('Dvd Calendar'!$AH$1905)*100000000+('Dvd Calendar'!$AH$1907=SPECIAL_LBL)*10000000+(N('Dvd Calendar'!$AH$1901)&gt;0)*(N('Dvd Calendar'!$AH$1901)&lt;=VAL_SERIAL)*1000000+32*1000+30))</f>
        <v/>
      </c>
      <c r="FI191" s="121">
        <f>IF(N('Dvd Calendar'!$AI$1902)=0,"",IF(('Dvd Calendar'!$AI$1902&gt;=GRID_FROM)*('Dvd Calendar'!$AI$1902&lt;=GRID_TO)*((('Dvd Calendar'!$AI$1902&lt;=VAL_DATE)+(COUNTIF('Dvd Calendar'!$E$1909:$AR$1909,'Dvd Calendar'!$AI$1902)=0))&gt;0)=0,"",'Dvd Calendar'!$AI$1902*1000000000+ISNUMBER('Dvd Calendar'!$AI$1905)*100000000+('Dvd Calendar'!$AI$1907=SPECIAL_LBL)*10000000+(N('Dvd Calendar'!$AI$1901)&gt;0)*(N('Dvd Calendar'!$AI$1901)&lt;=VAL_SERIAL)*1000000+32*1000+31))</f>
        <v/>
      </c>
      <c r="FJ191" s="121">
        <f>IF(N('Dvd Calendar'!$AJ$1902)=0,"",IF(('Dvd Calendar'!$AJ$1902&gt;=GRID_FROM)*('Dvd Calendar'!$AJ$1902&lt;=GRID_TO)*((('Dvd Calendar'!$AJ$1902&lt;=VAL_DATE)+(COUNTIF('Dvd Calendar'!$E$1909:$AR$1909,'Dvd Calendar'!$AJ$1902)=0))&gt;0)=0,"",'Dvd Calendar'!$AJ$1902*1000000000+ISNUMBER('Dvd Calendar'!$AJ$1905)*100000000+('Dvd Calendar'!$AJ$1907=SPECIAL_LBL)*10000000+(N('Dvd Calendar'!$AJ$1901)&gt;0)*(N('Dvd Calendar'!$AJ$1901)&lt;=VAL_SERIAL)*1000000+32*1000+32))</f>
        <v/>
      </c>
      <c r="FK191" s="121">
        <f>IF(N('Dvd Calendar'!$AK$1902)=0,"",IF(('Dvd Calendar'!$AK$1902&gt;=GRID_FROM)*('Dvd Calendar'!$AK$1902&lt;=GRID_TO)*((('Dvd Calendar'!$AK$1902&lt;=VAL_DATE)+(COUNTIF('Dvd Calendar'!$E$1909:$AR$1909,'Dvd Calendar'!$AK$1902)=0))&gt;0)=0,"",'Dvd Calendar'!$AK$1902*1000000000+ISNUMBER('Dvd Calendar'!$AK$1905)*100000000+('Dvd Calendar'!$AK$1907=SPECIAL_LBL)*10000000+(N('Dvd Calendar'!$AK$1901)&gt;0)*(N('Dvd Calendar'!$AK$1901)&lt;=VAL_SERIAL)*1000000+32*1000+33))</f>
        <v/>
      </c>
      <c r="FL191" s="121">
        <f>IF(N('Dvd Calendar'!$AL$1902)=0,"",IF(('Dvd Calendar'!$AL$1902&gt;=GRID_FROM)*('Dvd Calendar'!$AL$1902&lt;=GRID_TO)*((('Dvd Calendar'!$AL$1902&lt;=VAL_DATE)+(COUNTIF('Dvd Calendar'!$E$1909:$AR$1909,'Dvd Calendar'!$AL$1902)=0))&gt;0)=0,"",'Dvd Calendar'!$AL$1902*1000000000+ISNUMBER('Dvd Calendar'!$AL$1905)*100000000+('Dvd Calendar'!$AL$1907=SPECIAL_LBL)*10000000+(N('Dvd Calendar'!$AL$1901)&gt;0)*(N('Dvd Calendar'!$AL$1901)&lt;=VAL_SERIAL)*1000000+32*1000+34))</f>
        <v/>
      </c>
      <c r="FM191" s="121">
        <f>IF(N('Dvd Calendar'!$AM$1902)=0,"",IF(('Dvd Calendar'!$AM$1902&gt;=GRID_FROM)*('Dvd Calendar'!$AM$1902&lt;=GRID_TO)*((('Dvd Calendar'!$AM$1902&lt;=VAL_DATE)+(COUNTIF('Dvd Calendar'!$E$1909:$AR$1909,'Dvd Calendar'!$AM$1902)=0))&gt;0)=0,"",'Dvd Calendar'!$AM$1902*1000000000+ISNUMBER('Dvd Calendar'!$AM$1905)*100000000+('Dvd Calendar'!$AM$1907=SPECIAL_LBL)*10000000+(N('Dvd Calendar'!$AM$1901)&gt;0)*(N('Dvd Calendar'!$AM$1901)&lt;=VAL_SERIAL)*1000000+32*1000+35))</f>
        <v/>
      </c>
      <c r="FN191" s="121">
        <f>IF(N('Dvd Calendar'!$AN$1902)=0,"",IF(('Dvd Calendar'!$AN$1902&gt;=GRID_FROM)*('Dvd Calendar'!$AN$1902&lt;=GRID_TO)*((('Dvd Calendar'!$AN$1902&lt;=VAL_DATE)+(COUNTIF('Dvd Calendar'!$E$1909:$AR$1909,'Dvd Calendar'!$AN$1902)=0))&gt;0)=0,"",'Dvd Calendar'!$AN$1902*1000000000+ISNUMBER('Dvd Calendar'!$AN$1905)*100000000+('Dvd Calendar'!$AN$1907=SPECIAL_LBL)*10000000+(N('Dvd Calendar'!$AN$1901)&gt;0)*(N('Dvd Calendar'!$AN$1901)&lt;=VAL_SERIAL)*1000000+32*1000+36))</f>
        <v/>
      </c>
      <c r="FO191" s="121">
        <f>IF(N('Dvd Calendar'!$AO$1902)=0,"",IF(('Dvd Calendar'!$AO$1902&gt;=GRID_FROM)*('Dvd Calendar'!$AO$1902&lt;=GRID_TO)*((('Dvd Calendar'!$AO$1902&lt;=VAL_DATE)+(COUNTIF('Dvd Calendar'!$E$1909:$AR$1909,'Dvd Calendar'!$AO$1902)=0))&gt;0)=0,"",'Dvd Calendar'!$AO$1902*1000000000+ISNUMBER('Dvd Calendar'!$AO$1905)*100000000+('Dvd Calendar'!$AO$1907=SPECIAL_LBL)*10000000+(N('Dvd Calendar'!$AO$1901)&gt;0)*(N('Dvd Calendar'!$AO$1901)&lt;=VAL_SERIAL)*1000000+32*1000+37))</f>
        <v/>
      </c>
      <c r="FP191" s="121">
        <f>IF(N('Dvd Calendar'!$AP$1902)=0,"",IF(('Dvd Calendar'!$AP$1902&gt;=GRID_FROM)*('Dvd Calendar'!$AP$1902&lt;=GRID_TO)*((('Dvd Calendar'!$AP$1902&lt;=VAL_DATE)+(COUNTIF('Dvd Calendar'!$E$1909:$AR$1909,'Dvd Calendar'!$AP$1902)=0))&gt;0)=0,"",'Dvd Calendar'!$AP$1902*1000000000+ISNUMBER('Dvd Calendar'!$AP$1905)*100000000+('Dvd Calendar'!$AP$1907=SPECIAL_LBL)*10000000+(N('Dvd Calendar'!$AP$1901)&gt;0)*(N('Dvd Calendar'!$AP$1901)&lt;=VAL_SERIAL)*1000000+32*1000+38))</f>
        <v/>
      </c>
      <c r="FQ191" s="121">
        <f>IF(N('Dvd Calendar'!$AQ$1902)=0,"",IF(('Dvd Calendar'!$AQ$1902&gt;=GRID_FROM)*('Dvd Calendar'!$AQ$1902&lt;=GRID_TO)*((('Dvd Calendar'!$AQ$1902&lt;=VAL_DATE)+(COUNTIF('Dvd Calendar'!$E$1909:$AR$1909,'Dvd Calendar'!$AQ$1902)=0))&gt;0)=0,"",'Dvd Calendar'!$AQ$1902*1000000000+ISNUMBER('Dvd Calendar'!$AQ$1905)*100000000+('Dvd Calendar'!$AQ$1907=SPECIAL_LBL)*10000000+(N('Dvd Calendar'!$AQ$1901)&gt;0)*(N('Dvd Calendar'!$AQ$1901)&lt;=VAL_SERIAL)*1000000+32*1000+39))</f>
        <v/>
      </c>
      <c r="FR191" s="121">
        <f>IF(N('Dvd Calendar'!$AR$1902)=0,"",IF(('Dvd Calendar'!$AR$1902&gt;=GRID_FROM)*('Dvd Calendar'!$AR$1902&lt;=GRID_TO)*((('Dvd Calendar'!$AR$1902&lt;=VAL_DATE)+(COUNTIF('Dvd Calendar'!$E$1909:$AR$1909,'Dvd Calendar'!$AR$1902)=0))&gt;0)=0,"",'Dvd Calendar'!$AR$1902*1000000000+ISNUMBER('Dvd Calendar'!$AR$1905)*100000000+('Dvd Calendar'!$AR$1907=SPECIAL_LBL)*10000000+(N('Dvd Calendar'!$AR$1901)&gt;0)*(N('Dvd Calendar'!$AR$1901)&lt;=VAL_SERIAL)*1000000+32*1000+40))</f>
        <v/>
      </c>
      <c r="FS191" s="121">
        <f>IF(N('Dvd Calendar'!$E$1909)=0,"",IF(('Dvd Calendar'!$E$1909&gt;=GRID_FROM)*('Dvd Calendar'!$E$1909&lt;=GRID_TO)*('Dvd Calendar'!$E$1909&gt;VAL_DATE)=0,"",'Dvd Calendar'!$E$1909*1000000000+ISNUMBER('Dvd Calendar'!$E$1910)*100000000+0*10000000+(N('Dvd Calendar'!$E$1908)&gt;0)*(N('Dvd Calendar'!$E$1908)&lt;=VAL_SERIAL)*1000000+32*1000+41))</f>
        <v/>
      </c>
      <c r="FT191" s="121">
        <f>IF(N('Dvd Calendar'!$F$1909)=0,"",IF(('Dvd Calendar'!$F$1909&gt;=GRID_FROM)*('Dvd Calendar'!$F$1909&lt;=GRID_TO)*('Dvd Calendar'!$F$1909&gt;VAL_DATE)=0,"",'Dvd Calendar'!$F$1909*1000000000+ISNUMBER('Dvd Calendar'!$F$1910)*100000000+0*10000000+(N('Dvd Calendar'!$F$1908)&gt;0)*(N('Dvd Calendar'!$F$1908)&lt;=VAL_SERIAL)*1000000+32*1000+42))</f>
        <v/>
      </c>
      <c r="FU191" s="121">
        <f>IF(N('Dvd Calendar'!$G$1909)=0,"",IF(('Dvd Calendar'!$G$1909&gt;=GRID_FROM)*('Dvd Calendar'!$G$1909&lt;=GRID_TO)*('Dvd Calendar'!$G$1909&gt;VAL_DATE)=0,"",'Dvd Calendar'!$G$1909*1000000000+ISNUMBER('Dvd Calendar'!$G$1910)*100000000+0*10000000+(N('Dvd Calendar'!$G$1908)&gt;0)*(N('Dvd Calendar'!$G$1908)&lt;=VAL_SERIAL)*1000000+32*1000+43))</f>
        <v/>
      </c>
      <c r="FV191" s="121">
        <f>IF(N('Dvd Calendar'!$H$1909)=0,"",IF(('Dvd Calendar'!$H$1909&gt;=GRID_FROM)*('Dvd Calendar'!$H$1909&lt;=GRID_TO)*('Dvd Calendar'!$H$1909&gt;VAL_DATE)=0,"",'Dvd Calendar'!$H$1909*1000000000+ISNUMBER('Dvd Calendar'!$H$1910)*100000000+0*10000000+(N('Dvd Calendar'!$H$1908)&gt;0)*(N('Dvd Calendar'!$H$1908)&lt;=VAL_SERIAL)*1000000+32*1000+44))</f>
        <v/>
      </c>
      <c r="FW191" s="121">
        <f>IF(N('Dvd Calendar'!$I$1909)=0,"",IF(('Dvd Calendar'!$I$1909&gt;=GRID_FROM)*('Dvd Calendar'!$I$1909&lt;=GRID_TO)*('Dvd Calendar'!$I$1909&gt;VAL_DATE)=0,"",'Dvd Calendar'!$I$1909*1000000000+ISNUMBER('Dvd Calendar'!$I$1910)*100000000+0*10000000+(N('Dvd Calendar'!$I$1908)&gt;0)*(N('Dvd Calendar'!$I$1908)&lt;=VAL_SERIAL)*1000000+32*1000+45))</f>
        <v/>
      </c>
      <c r="FX191" s="121">
        <f>IF(N('Dvd Calendar'!$J$1909)=0,"",IF(('Dvd Calendar'!$J$1909&gt;=GRID_FROM)*('Dvd Calendar'!$J$1909&lt;=GRID_TO)*('Dvd Calendar'!$J$1909&gt;VAL_DATE)=0,"",'Dvd Calendar'!$J$1909*1000000000+ISNUMBER('Dvd Calendar'!$J$1910)*100000000+0*10000000+(N('Dvd Calendar'!$J$1908)&gt;0)*(N('Dvd Calendar'!$J$1908)&lt;=VAL_SERIAL)*1000000+32*1000+46))</f>
        <v/>
      </c>
      <c r="FY191" s="121">
        <f>IF(N('Dvd Calendar'!$K$1909)=0,"",IF(('Dvd Calendar'!$K$1909&gt;=GRID_FROM)*('Dvd Calendar'!$K$1909&lt;=GRID_TO)*('Dvd Calendar'!$K$1909&gt;VAL_DATE)=0,"",'Dvd Calendar'!$K$1909*1000000000+ISNUMBER('Dvd Calendar'!$K$1910)*100000000+0*10000000+(N('Dvd Calendar'!$K$1908)&gt;0)*(N('Dvd Calendar'!$K$1908)&lt;=VAL_SERIAL)*1000000+32*1000+47))</f>
        <v/>
      </c>
      <c r="FZ191" s="121">
        <f>IF(N('Dvd Calendar'!$L$1909)=0,"",IF(('Dvd Calendar'!$L$1909&gt;=GRID_FROM)*('Dvd Calendar'!$L$1909&lt;=GRID_TO)*('Dvd Calendar'!$L$1909&gt;VAL_DATE)=0,"",'Dvd Calendar'!$L$1909*1000000000+ISNUMBER('Dvd Calendar'!$L$1910)*100000000+0*10000000+(N('Dvd Calendar'!$L$1908)&gt;0)*(N('Dvd Calendar'!$L$1908)&lt;=VAL_SERIAL)*1000000+32*1000+48))</f>
        <v/>
      </c>
      <c r="GA191" s="121">
        <f>IF(N('Dvd Calendar'!$M$1909)=0,"",IF(('Dvd Calendar'!$M$1909&gt;=GRID_FROM)*('Dvd Calendar'!$M$1909&lt;=GRID_TO)*('Dvd Calendar'!$M$1909&gt;VAL_DATE)=0,"",'Dvd Calendar'!$M$1909*1000000000+ISNUMBER('Dvd Calendar'!$M$1910)*100000000+0*10000000+(N('Dvd Calendar'!$M$1908)&gt;0)*(N('Dvd Calendar'!$M$1908)&lt;=VAL_SERIAL)*1000000+32*1000+49))</f>
        <v/>
      </c>
      <c r="GB191" s="121">
        <f>IF(N('Dvd Calendar'!$N$1909)=0,"",IF(('Dvd Calendar'!$N$1909&gt;=GRID_FROM)*('Dvd Calendar'!$N$1909&lt;=GRID_TO)*('Dvd Calendar'!$N$1909&gt;VAL_DATE)=0,"",'Dvd Calendar'!$N$1909*1000000000+ISNUMBER('Dvd Calendar'!$N$1910)*100000000+0*10000000+(N('Dvd Calendar'!$N$1908)&gt;0)*(N('Dvd Calendar'!$N$1908)&lt;=VAL_SERIAL)*1000000+32*1000+50))</f>
        <v/>
      </c>
      <c r="GC191" s="121">
        <f>IF(N('Dvd Calendar'!$O$1909)=0,"",IF(('Dvd Calendar'!$O$1909&gt;=GRID_FROM)*('Dvd Calendar'!$O$1909&lt;=GRID_TO)*('Dvd Calendar'!$O$1909&gt;VAL_DATE)=0,"",'Dvd Calendar'!$O$1909*1000000000+ISNUMBER('Dvd Calendar'!$O$1910)*100000000+0*10000000+(N('Dvd Calendar'!$O$1908)&gt;0)*(N('Dvd Calendar'!$O$1908)&lt;=VAL_SERIAL)*1000000+32*1000+51))</f>
        <v/>
      </c>
      <c r="GD191" s="121">
        <f>IF(N('Dvd Calendar'!$P$1909)=0,"",IF(('Dvd Calendar'!$P$1909&gt;=GRID_FROM)*('Dvd Calendar'!$P$1909&lt;=GRID_TO)*('Dvd Calendar'!$P$1909&gt;VAL_DATE)=0,"",'Dvd Calendar'!$P$1909*1000000000+ISNUMBER('Dvd Calendar'!$P$1910)*100000000+0*10000000+(N('Dvd Calendar'!$P$1908)&gt;0)*(N('Dvd Calendar'!$P$1908)&lt;=VAL_SERIAL)*1000000+32*1000+52))</f>
        <v/>
      </c>
      <c r="GE191" s="121">
        <f>IF(N('Dvd Calendar'!$Q$1909)=0,"",IF(('Dvd Calendar'!$Q$1909&gt;=GRID_FROM)*('Dvd Calendar'!$Q$1909&lt;=GRID_TO)*('Dvd Calendar'!$Q$1909&gt;VAL_DATE)=0,"",'Dvd Calendar'!$Q$1909*1000000000+ISNUMBER('Dvd Calendar'!$Q$1910)*100000000+0*10000000+(N('Dvd Calendar'!$Q$1908)&gt;0)*(N('Dvd Calendar'!$Q$1908)&lt;=VAL_SERIAL)*1000000+32*1000+53))</f>
        <v/>
      </c>
      <c r="GF191" s="121">
        <f>IF(N('Dvd Calendar'!$R$1909)=0,"",IF(('Dvd Calendar'!$R$1909&gt;=GRID_FROM)*('Dvd Calendar'!$R$1909&lt;=GRID_TO)*('Dvd Calendar'!$R$1909&gt;VAL_DATE)=0,"",'Dvd Calendar'!$R$1909*1000000000+ISNUMBER('Dvd Calendar'!$R$1910)*100000000+0*10000000+(N('Dvd Calendar'!$R$1908)&gt;0)*(N('Dvd Calendar'!$R$1908)&lt;=VAL_SERIAL)*1000000+32*1000+54))</f>
        <v/>
      </c>
      <c r="GG191" s="121">
        <f>IF(N('Dvd Calendar'!$S$1909)=0,"",IF(('Dvd Calendar'!$S$1909&gt;=GRID_FROM)*('Dvd Calendar'!$S$1909&lt;=GRID_TO)*('Dvd Calendar'!$S$1909&gt;VAL_DATE)=0,"",'Dvd Calendar'!$S$1909*1000000000+ISNUMBER('Dvd Calendar'!$S$1910)*100000000+0*10000000+(N('Dvd Calendar'!$S$1908)&gt;0)*(N('Dvd Calendar'!$S$1908)&lt;=VAL_SERIAL)*1000000+32*1000+55))</f>
        <v/>
      </c>
      <c r="GH191" s="121">
        <f>IF(N('Dvd Calendar'!$T$1909)=0,"",IF(('Dvd Calendar'!$T$1909&gt;=GRID_FROM)*('Dvd Calendar'!$T$1909&lt;=GRID_TO)*('Dvd Calendar'!$T$1909&gt;VAL_DATE)=0,"",'Dvd Calendar'!$T$1909*1000000000+ISNUMBER('Dvd Calendar'!$T$1910)*100000000+0*10000000+(N('Dvd Calendar'!$T$1908)&gt;0)*(N('Dvd Calendar'!$T$1908)&lt;=VAL_SERIAL)*1000000+32*1000+56))</f>
        <v/>
      </c>
      <c r="GI191" s="121">
        <f>IF(N('Dvd Calendar'!$U$1909)=0,"",IF(('Dvd Calendar'!$U$1909&gt;=GRID_FROM)*('Dvd Calendar'!$U$1909&lt;=GRID_TO)*('Dvd Calendar'!$U$1909&gt;VAL_DATE)=0,"",'Dvd Calendar'!$U$1909*1000000000+ISNUMBER('Dvd Calendar'!$U$1910)*100000000+0*10000000+(N('Dvd Calendar'!$U$1908)&gt;0)*(N('Dvd Calendar'!$U$1908)&lt;=VAL_SERIAL)*1000000+32*1000+57))</f>
        <v/>
      </c>
      <c r="GJ191" s="121">
        <f>IF(N('Dvd Calendar'!$V$1909)=0,"",IF(('Dvd Calendar'!$V$1909&gt;=GRID_FROM)*('Dvd Calendar'!$V$1909&lt;=GRID_TO)*('Dvd Calendar'!$V$1909&gt;VAL_DATE)=0,"",'Dvd Calendar'!$V$1909*1000000000+ISNUMBER('Dvd Calendar'!$V$1910)*100000000+0*10000000+(N('Dvd Calendar'!$V$1908)&gt;0)*(N('Dvd Calendar'!$V$1908)&lt;=VAL_SERIAL)*1000000+32*1000+58))</f>
        <v/>
      </c>
      <c r="GK191" s="121">
        <f>IF(N('Dvd Calendar'!$W$1909)=0,"",IF(('Dvd Calendar'!$W$1909&gt;=GRID_FROM)*('Dvd Calendar'!$W$1909&lt;=GRID_TO)*('Dvd Calendar'!$W$1909&gt;VAL_DATE)=0,"",'Dvd Calendar'!$W$1909*1000000000+ISNUMBER('Dvd Calendar'!$W$1910)*100000000+0*10000000+(N('Dvd Calendar'!$W$1908)&gt;0)*(N('Dvd Calendar'!$W$1908)&lt;=VAL_SERIAL)*1000000+32*1000+59))</f>
        <v/>
      </c>
      <c r="GL191" s="121">
        <f>IF(N('Dvd Calendar'!$X$1909)=0,"",IF(('Dvd Calendar'!$X$1909&gt;=GRID_FROM)*('Dvd Calendar'!$X$1909&lt;=GRID_TO)*('Dvd Calendar'!$X$1909&gt;VAL_DATE)=0,"",'Dvd Calendar'!$X$1909*1000000000+ISNUMBER('Dvd Calendar'!$X$1910)*100000000+0*10000000+(N('Dvd Calendar'!$X$1908)&gt;0)*(N('Dvd Calendar'!$X$1908)&lt;=VAL_SERIAL)*1000000+32*1000+60))</f>
        <v/>
      </c>
      <c r="GM191" s="121">
        <f>IF(N('Dvd Calendar'!$Y$1909)=0,"",IF(('Dvd Calendar'!$Y$1909&gt;=GRID_FROM)*('Dvd Calendar'!$Y$1909&lt;=GRID_TO)*('Dvd Calendar'!$Y$1909&gt;VAL_DATE)=0,"",'Dvd Calendar'!$Y$1909*1000000000+ISNUMBER('Dvd Calendar'!$Y$1910)*100000000+0*10000000+(N('Dvd Calendar'!$Y$1908)&gt;0)*(N('Dvd Calendar'!$Y$1908)&lt;=VAL_SERIAL)*1000000+32*1000+61))</f>
        <v/>
      </c>
      <c r="GN191" s="121">
        <f>IF(N('Dvd Calendar'!$Z$1909)=0,"",IF(('Dvd Calendar'!$Z$1909&gt;=GRID_FROM)*('Dvd Calendar'!$Z$1909&lt;=GRID_TO)*('Dvd Calendar'!$Z$1909&gt;VAL_DATE)=0,"",'Dvd Calendar'!$Z$1909*1000000000+ISNUMBER('Dvd Calendar'!$Z$1910)*100000000+0*10000000+(N('Dvd Calendar'!$Z$1908)&gt;0)*(N('Dvd Calendar'!$Z$1908)&lt;=VAL_SERIAL)*1000000+32*1000+62))</f>
        <v/>
      </c>
      <c r="GO191" s="121">
        <f>IF(N('Dvd Calendar'!$AA$1909)=0,"",IF(('Dvd Calendar'!$AA$1909&gt;=GRID_FROM)*('Dvd Calendar'!$AA$1909&lt;=GRID_TO)*('Dvd Calendar'!$AA$1909&gt;VAL_DATE)=0,"",'Dvd Calendar'!$AA$1909*1000000000+ISNUMBER('Dvd Calendar'!$AA$1910)*100000000+0*10000000+(N('Dvd Calendar'!$AA$1908)&gt;0)*(N('Dvd Calendar'!$AA$1908)&lt;=VAL_SERIAL)*1000000+32*1000+63))</f>
        <v/>
      </c>
      <c r="GP191" s="121">
        <f>IF(N('Dvd Calendar'!$AB$1909)=0,"",IF(('Dvd Calendar'!$AB$1909&gt;=GRID_FROM)*('Dvd Calendar'!$AB$1909&lt;=GRID_TO)*('Dvd Calendar'!$AB$1909&gt;VAL_DATE)=0,"",'Dvd Calendar'!$AB$1909*1000000000+ISNUMBER('Dvd Calendar'!$AB$1910)*100000000+0*10000000+(N('Dvd Calendar'!$AB$1908)&gt;0)*(N('Dvd Calendar'!$AB$1908)&lt;=VAL_SERIAL)*1000000+32*1000+64))</f>
        <v/>
      </c>
      <c r="GQ191" s="121">
        <f>IF(N('Dvd Calendar'!$AC$1909)=0,"",IF(('Dvd Calendar'!$AC$1909&gt;=GRID_FROM)*('Dvd Calendar'!$AC$1909&lt;=GRID_TO)*('Dvd Calendar'!$AC$1909&gt;VAL_DATE)=0,"",'Dvd Calendar'!$AC$1909*1000000000+ISNUMBER('Dvd Calendar'!$AC$1910)*100000000+0*10000000+(N('Dvd Calendar'!$AC$1908)&gt;0)*(N('Dvd Calendar'!$AC$1908)&lt;=VAL_SERIAL)*1000000+32*1000+65))</f>
        <v/>
      </c>
    </row>
    <row r="192">
      <c r="B192" s="2">
        <f>IF(HSCEI!$C$39="","",HSCEI!$C$39)</f>
        <v/>
      </c>
      <c r="C192" s="161">
        <f>IF(EE192="","",IF(ISNUMBER('Dvd Calendar'!$E$1916)=FALSE,"",IF((('Dvd Calendar'!$E$1918=TYPE1)*(TYPE1&lt;&gt;"")+('Dvd Calendar'!$E$1918=TYPE2)*(TYPE2&lt;&gt;"")+('Dvd Calendar'!$E$1918=TYPE3)*(TYPE3&lt;&gt;"")+('Dvd Calendar'!$E$1918=TYPE4)*(TYPE4&lt;&gt;"")+('Dvd Calendar'!$E$1918=SPECIAL_LBL)*(INC_SPECIALS="Y"))=0,"",'Dvd Calendar'!$E$1916)))</f>
        <v/>
      </c>
      <c r="D192" s="161">
        <f>IF(EF192="","",IF(ISNUMBER('Dvd Calendar'!$F$1916)=FALSE,"",IF((('Dvd Calendar'!$F$1918=TYPE1)*(TYPE1&lt;&gt;"")+('Dvd Calendar'!$F$1918=TYPE2)*(TYPE2&lt;&gt;"")+('Dvd Calendar'!$F$1918=TYPE3)*(TYPE3&lt;&gt;"")+('Dvd Calendar'!$F$1918=TYPE4)*(TYPE4&lt;&gt;"")+('Dvd Calendar'!$F$1918=SPECIAL_LBL)*(INC_SPECIALS="Y"))=0,"",'Dvd Calendar'!$F$1916)))</f>
        <v/>
      </c>
      <c r="E192" s="161">
        <f>IF(EG192="","",IF(ISNUMBER('Dvd Calendar'!$G$1916)=FALSE,"",IF((('Dvd Calendar'!$G$1918=TYPE1)*(TYPE1&lt;&gt;"")+('Dvd Calendar'!$G$1918=TYPE2)*(TYPE2&lt;&gt;"")+('Dvd Calendar'!$G$1918=TYPE3)*(TYPE3&lt;&gt;"")+('Dvd Calendar'!$G$1918=TYPE4)*(TYPE4&lt;&gt;"")+('Dvd Calendar'!$G$1918=SPECIAL_LBL)*(INC_SPECIALS="Y"))=0,"",'Dvd Calendar'!$G$1916)))</f>
        <v/>
      </c>
      <c r="F192" s="161">
        <f>IF(EH192="","",IF(ISNUMBER('Dvd Calendar'!$H$1916)=FALSE,"",IF((('Dvd Calendar'!$H$1918=TYPE1)*(TYPE1&lt;&gt;"")+('Dvd Calendar'!$H$1918=TYPE2)*(TYPE2&lt;&gt;"")+('Dvd Calendar'!$H$1918=TYPE3)*(TYPE3&lt;&gt;"")+('Dvd Calendar'!$H$1918=TYPE4)*(TYPE4&lt;&gt;"")+('Dvd Calendar'!$H$1918=SPECIAL_LBL)*(INC_SPECIALS="Y"))=0,"",'Dvd Calendar'!$H$1916)))</f>
        <v/>
      </c>
      <c r="G192" s="161">
        <f>IF(EI192="","",IF(ISNUMBER('Dvd Calendar'!$I$1916)=FALSE,"",IF((('Dvd Calendar'!$I$1918=TYPE1)*(TYPE1&lt;&gt;"")+('Dvd Calendar'!$I$1918=TYPE2)*(TYPE2&lt;&gt;"")+('Dvd Calendar'!$I$1918=TYPE3)*(TYPE3&lt;&gt;"")+('Dvd Calendar'!$I$1918=TYPE4)*(TYPE4&lt;&gt;"")+('Dvd Calendar'!$I$1918=SPECIAL_LBL)*(INC_SPECIALS="Y"))=0,"",'Dvd Calendar'!$I$1916)))</f>
        <v/>
      </c>
      <c r="H192" s="161">
        <f>IF(EJ192="","",IF(ISNUMBER('Dvd Calendar'!$J$1916)=FALSE,"",IF((('Dvd Calendar'!$J$1918=TYPE1)*(TYPE1&lt;&gt;"")+('Dvd Calendar'!$J$1918=TYPE2)*(TYPE2&lt;&gt;"")+('Dvd Calendar'!$J$1918=TYPE3)*(TYPE3&lt;&gt;"")+('Dvd Calendar'!$J$1918=TYPE4)*(TYPE4&lt;&gt;"")+('Dvd Calendar'!$J$1918=SPECIAL_LBL)*(INC_SPECIALS="Y"))=0,"",'Dvd Calendar'!$J$1916)))</f>
        <v/>
      </c>
      <c r="I192" s="161">
        <f>IF(EK192="","",IF(ISNUMBER('Dvd Calendar'!$K$1916)=FALSE,"",IF((('Dvd Calendar'!$K$1918=TYPE1)*(TYPE1&lt;&gt;"")+('Dvd Calendar'!$K$1918=TYPE2)*(TYPE2&lt;&gt;"")+('Dvd Calendar'!$K$1918=TYPE3)*(TYPE3&lt;&gt;"")+('Dvd Calendar'!$K$1918=TYPE4)*(TYPE4&lt;&gt;"")+('Dvd Calendar'!$K$1918=SPECIAL_LBL)*(INC_SPECIALS="Y"))=0,"",'Dvd Calendar'!$K$1916)))</f>
        <v/>
      </c>
      <c r="J192" s="161">
        <f>IF(EL192="","",IF(ISNUMBER('Dvd Calendar'!$L$1916)=FALSE,"",IF((('Dvd Calendar'!$L$1918=TYPE1)*(TYPE1&lt;&gt;"")+('Dvd Calendar'!$L$1918=TYPE2)*(TYPE2&lt;&gt;"")+('Dvd Calendar'!$L$1918=TYPE3)*(TYPE3&lt;&gt;"")+('Dvd Calendar'!$L$1918=TYPE4)*(TYPE4&lt;&gt;"")+('Dvd Calendar'!$L$1918=SPECIAL_LBL)*(INC_SPECIALS="Y"))=0,"",'Dvd Calendar'!$L$1916)))</f>
        <v/>
      </c>
      <c r="K192" s="161">
        <f>IF(EM192="","",IF(ISNUMBER('Dvd Calendar'!$M$1916)=FALSE,"",IF((('Dvd Calendar'!$M$1918=TYPE1)*(TYPE1&lt;&gt;"")+('Dvd Calendar'!$M$1918=TYPE2)*(TYPE2&lt;&gt;"")+('Dvd Calendar'!$M$1918=TYPE3)*(TYPE3&lt;&gt;"")+('Dvd Calendar'!$M$1918=TYPE4)*(TYPE4&lt;&gt;"")+('Dvd Calendar'!$M$1918=SPECIAL_LBL)*(INC_SPECIALS="Y"))=0,"",'Dvd Calendar'!$M$1916)))</f>
        <v/>
      </c>
      <c r="L192" s="161">
        <f>IF(EN192="","",IF(ISNUMBER('Dvd Calendar'!$N$1916)=FALSE,"",IF((('Dvd Calendar'!$N$1918=TYPE1)*(TYPE1&lt;&gt;"")+('Dvd Calendar'!$N$1918=TYPE2)*(TYPE2&lt;&gt;"")+('Dvd Calendar'!$N$1918=TYPE3)*(TYPE3&lt;&gt;"")+('Dvd Calendar'!$N$1918=TYPE4)*(TYPE4&lt;&gt;"")+('Dvd Calendar'!$N$1918=SPECIAL_LBL)*(INC_SPECIALS="Y"))=0,"",'Dvd Calendar'!$N$1916)))</f>
        <v/>
      </c>
      <c r="M192" s="161">
        <f>IF(EO192="","",IF(ISNUMBER('Dvd Calendar'!$O$1916)=FALSE,"",IF((('Dvd Calendar'!$O$1918=TYPE1)*(TYPE1&lt;&gt;"")+('Dvd Calendar'!$O$1918=TYPE2)*(TYPE2&lt;&gt;"")+('Dvd Calendar'!$O$1918=TYPE3)*(TYPE3&lt;&gt;"")+('Dvd Calendar'!$O$1918=TYPE4)*(TYPE4&lt;&gt;"")+('Dvd Calendar'!$O$1918=SPECIAL_LBL)*(INC_SPECIALS="Y"))=0,"",'Dvd Calendar'!$O$1916)))</f>
        <v/>
      </c>
      <c r="N192" s="161">
        <f>IF(EP192="","",IF(ISNUMBER('Dvd Calendar'!$P$1916)=FALSE,"",IF((('Dvd Calendar'!$P$1918=TYPE1)*(TYPE1&lt;&gt;"")+('Dvd Calendar'!$P$1918=TYPE2)*(TYPE2&lt;&gt;"")+('Dvd Calendar'!$P$1918=TYPE3)*(TYPE3&lt;&gt;"")+('Dvd Calendar'!$P$1918=TYPE4)*(TYPE4&lt;&gt;"")+('Dvd Calendar'!$P$1918=SPECIAL_LBL)*(INC_SPECIALS="Y"))=0,"",'Dvd Calendar'!$P$1916)))</f>
        <v/>
      </c>
      <c r="O192" s="161">
        <f>IF(EQ192="","",IF(ISNUMBER('Dvd Calendar'!$Q$1916)=FALSE,"",IF((('Dvd Calendar'!$Q$1918=TYPE1)*(TYPE1&lt;&gt;"")+('Dvd Calendar'!$Q$1918=TYPE2)*(TYPE2&lt;&gt;"")+('Dvd Calendar'!$Q$1918=TYPE3)*(TYPE3&lt;&gt;"")+('Dvd Calendar'!$Q$1918=TYPE4)*(TYPE4&lt;&gt;"")+('Dvd Calendar'!$Q$1918=SPECIAL_LBL)*(INC_SPECIALS="Y"))=0,"",'Dvd Calendar'!$Q$1916)))</f>
        <v/>
      </c>
      <c r="P192" s="161">
        <f>IF(ER192="","",IF(ISNUMBER('Dvd Calendar'!$R$1916)=FALSE,"",IF((('Dvd Calendar'!$R$1918=TYPE1)*(TYPE1&lt;&gt;"")+('Dvd Calendar'!$R$1918=TYPE2)*(TYPE2&lt;&gt;"")+('Dvd Calendar'!$R$1918=TYPE3)*(TYPE3&lt;&gt;"")+('Dvd Calendar'!$R$1918=TYPE4)*(TYPE4&lt;&gt;"")+('Dvd Calendar'!$R$1918=SPECIAL_LBL)*(INC_SPECIALS="Y"))=0,"",'Dvd Calendar'!$R$1916)))</f>
        <v/>
      </c>
      <c r="Q192" s="161">
        <f>IF(ES192="","",IF(ISNUMBER('Dvd Calendar'!$S$1916)=FALSE,"",IF((('Dvd Calendar'!$S$1918=TYPE1)*(TYPE1&lt;&gt;"")+('Dvd Calendar'!$S$1918=TYPE2)*(TYPE2&lt;&gt;"")+('Dvd Calendar'!$S$1918=TYPE3)*(TYPE3&lt;&gt;"")+('Dvd Calendar'!$S$1918=TYPE4)*(TYPE4&lt;&gt;"")+('Dvd Calendar'!$S$1918=SPECIAL_LBL)*(INC_SPECIALS="Y"))=0,"",'Dvd Calendar'!$S$1916)))</f>
        <v/>
      </c>
      <c r="R192" s="161">
        <f>IF(ET192="","",IF(ISNUMBER('Dvd Calendar'!$T$1916)=FALSE,"",IF((('Dvd Calendar'!$T$1918=TYPE1)*(TYPE1&lt;&gt;"")+('Dvd Calendar'!$T$1918=TYPE2)*(TYPE2&lt;&gt;"")+('Dvd Calendar'!$T$1918=TYPE3)*(TYPE3&lt;&gt;"")+('Dvd Calendar'!$T$1918=TYPE4)*(TYPE4&lt;&gt;"")+('Dvd Calendar'!$T$1918=SPECIAL_LBL)*(INC_SPECIALS="Y"))=0,"",'Dvd Calendar'!$T$1916)))</f>
        <v/>
      </c>
      <c r="S192" s="161">
        <f>IF(EU192="","",IF(ISNUMBER('Dvd Calendar'!$U$1916)=FALSE,"",IF((('Dvd Calendar'!$U$1918=TYPE1)*(TYPE1&lt;&gt;"")+('Dvd Calendar'!$U$1918=TYPE2)*(TYPE2&lt;&gt;"")+('Dvd Calendar'!$U$1918=TYPE3)*(TYPE3&lt;&gt;"")+('Dvd Calendar'!$U$1918=TYPE4)*(TYPE4&lt;&gt;"")+('Dvd Calendar'!$U$1918=SPECIAL_LBL)*(INC_SPECIALS="Y"))=0,"",'Dvd Calendar'!$U$1916)))</f>
        <v/>
      </c>
      <c r="T192" s="161">
        <f>IF(EV192="","",IF(ISNUMBER('Dvd Calendar'!$V$1916)=FALSE,"",IF((('Dvd Calendar'!$V$1918=TYPE1)*(TYPE1&lt;&gt;"")+('Dvd Calendar'!$V$1918=TYPE2)*(TYPE2&lt;&gt;"")+('Dvd Calendar'!$V$1918=TYPE3)*(TYPE3&lt;&gt;"")+('Dvd Calendar'!$V$1918=TYPE4)*(TYPE4&lt;&gt;"")+('Dvd Calendar'!$V$1918=SPECIAL_LBL)*(INC_SPECIALS="Y"))=0,"",'Dvd Calendar'!$V$1916)))</f>
        <v/>
      </c>
      <c r="U192" s="161">
        <f>IF(EW192="","",IF(ISNUMBER('Dvd Calendar'!$W$1916)=FALSE,"",IF((('Dvd Calendar'!$W$1918=TYPE1)*(TYPE1&lt;&gt;"")+('Dvd Calendar'!$W$1918=TYPE2)*(TYPE2&lt;&gt;"")+('Dvd Calendar'!$W$1918=TYPE3)*(TYPE3&lt;&gt;"")+('Dvd Calendar'!$W$1918=TYPE4)*(TYPE4&lt;&gt;"")+('Dvd Calendar'!$W$1918=SPECIAL_LBL)*(INC_SPECIALS="Y"))=0,"",'Dvd Calendar'!$W$1916)))</f>
        <v/>
      </c>
      <c r="V192" s="161">
        <f>IF(EX192="","",IF(ISNUMBER('Dvd Calendar'!$X$1916)=FALSE,"",IF((('Dvd Calendar'!$X$1918=TYPE1)*(TYPE1&lt;&gt;"")+('Dvd Calendar'!$X$1918=TYPE2)*(TYPE2&lt;&gt;"")+('Dvd Calendar'!$X$1918=TYPE3)*(TYPE3&lt;&gt;"")+('Dvd Calendar'!$X$1918=TYPE4)*(TYPE4&lt;&gt;"")+('Dvd Calendar'!$X$1918=SPECIAL_LBL)*(INC_SPECIALS="Y"))=0,"",'Dvd Calendar'!$X$1916)))</f>
        <v/>
      </c>
      <c r="W192" s="161">
        <f>IF(EY192="","",IF(ISNUMBER('Dvd Calendar'!$Y$1916)=FALSE,"",IF((('Dvd Calendar'!$Y$1918=TYPE1)*(TYPE1&lt;&gt;"")+('Dvd Calendar'!$Y$1918=TYPE2)*(TYPE2&lt;&gt;"")+('Dvd Calendar'!$Y$1918=TYPE3)*(TYPE3&lt;&gt;"")+('Dvd Calendar'!$Y$1918=TYPE4)*(TYPE4&lt;&gt;"")+('Dvd Calendar'!$Y$1918=SPECIAL_LBL)*(INC_SPECIALS="Y"))=0,"",'Dvd Calendar'!$Y$1916)))</f>
        <v/>
      </c>
      <c r="X192" s="161">
        <f>IF(EZ192="","",IF(ISNUMBER('Dvd Calendar'!$Z$1916)=FALSE,"",IF((('Dvd Calendar'!$Z$1918=TYPE1)*(TYPE1&lt;&gt;"")+('Dvd Calendar'!$Z$1918=TYPE2)*(TYPE2&lt;&gt;"")+('Dvd Calendar'!$Z$1918=TYPE3)*(TYPE3&lt;&gt;"")+('Dvd Calendar'!$Z$1918=TYPE4)*(TYPE4&lt;&gt;"")+('Dvd Calendar'!$Z$1918=SPECIAL_LBL)*(INC_SPECIALS="Y"))=0,"",'Dvd Calendar'!$Z$1916)))</f>
        <v/>
      </c>
      <c r="Y192" s="161">
        <f>IF(FA192="","",IF(ISNUMBER('Dvd Calendar'!$AA$1916)=FALSE,"",IF((('Dvd Calendar'!$AA$1918=TYPE1)*(TYPE1&lt;&gt;"")+('Dvd Calendar'!$AA$1918=TYPE2)*(TYPE2&lt;&gt;"")+('Dvd Calendar'!$AA$1918=TYPE3)*(TYPE3&lt;&gt;"")+('Dvd Calendar'!$AA$1918=TYPE4)*(TYPE4&lt;&gt;"")+('Dvd Calendar'!$AA$1918=SPECIAL_LBL)*(INC_SPECIALS="Y"))=0,"",'Dvd Calendar'!$AA$1916)))</f>
        <v/>
      </c>
      <c r="Z192" s="161">
        <f>IF(FB192="","",IF(ISNUMBER('Dvd Calendar'!$AB$1916)=FALSE,"",IF((('Dvd Calendar'!$AB$1918=TYPE1)*(TYPE1&lt;&gt;"")+('Dvd Calendar'!$AB$1918=TYPE2)*(TYPE2&lt;&gt;"")+('Dvd Calendar'!$AB$1918=TYPE3)*(TYPE3&lt;&gt;"")+('Dvd Calendar'!$AB$1918=TYPE4)*(TYPE4&lt;&gt;"")+('Dvd Calendar'!$AB$1918=SPECIAL_LBL)*(INC_SPECIALS="Y"))=0,"",'Dvd Calendar'!$AB$1916)))</f>
        <v/>
      </c>
      <c r="AA192" s="161">
        <f>IF(FC192="","",IF(ISNUMBER('Dvd Calendar'!$AC$1916)=FALSE,"",IF((('Dvd Calendar'!$AC$1918=TYPE1)*(TYPE1&lt;&gt;"")+('Dvd Calendar'!$AC$1918=TYPE2)*(TYPE2&lt;&gt;"")+('Dvd Calendar'!$AC$1918=TYPE3)*(TYPE3&lt;&gt;"")+('Dvd Calendar'!$AC$1918=TYPE4)*(TYPE4&lt;&gt;"")+('Dvd Calendar'!$AC$1918=SPECIAL_LBL)*(INC_SPECIALS="Y"))=0,"",'Dvd Calendar'!$AC$1916)))</f>
        <v/>
      </c>
      <c r="AB192" s="161">
        <f>IF(FD192="","",IF(ISNUMBER('Dvd Calendar'!$AD$1916)=FALSE,"",IF((('Dvd Calendar'!$AD$1918=TYPE1)*(TYPE1&lt;&gt;"")+('Dvd Calendar'!$AD$1918=TYPE2)*(TYPE2&lt;&gt;"")+('Dvd Calendar'!$AD$1918=TYPE3)*(TYPE3&lt;&gt;"")+('Dvd Calendar'!$AD$1918=TYPE4)*(TYPE4&lt;&gt;"")+('Dvd Calendar'!$AD$1918=SPECIAL_LBL)*(INC_SPECIALS="Y"))=0,"",'Dvd Calendar'!$AD$1916)))</f>
        <v/>
      </c>
      <c r="AC192" s="161">
        <f>IF(FE192="","",IF(ISNUMBER('Dvd Calendar'!$AE$1916)=FALSE,"",IF((('Dvd Calendar'!$AE$1918=TYPE1)*(TYPE1&lt;&gt;"")+('Dvd Calendar'!$AE$1918=TYPE2)*(TYPE2&lt;&gt;"")+('Dvd Calendar'!$AE$1918=TYPE3)*(TYPE3&lt;&gt;"")+('Dvd Calendar'!$AE$1918=TYPE4)*(TYPE4&lt;&gt;"")+('Dvd Calendar'!$AE$1918=SPECIAL_LBL)*(INC_SPECIALS="Y"))=0,"",'Dvd Calendar'!$AE$1916)))</f>
        <v/>
      </c>
      <c r="AD192" s="161">
        <f>IF(FF192="","",IF(ISNUMBER('Dvd Calendar'!$AF$1916)=FALSE,"",IF((('Dvd Calendar'!$AF$1918=TYPE1)*(TYPE1&lt;&gt;"")+('Dvd Calendar'!$AF$1918=TYPE2)*(TYPE2&lt;&gt;"")+('Dvd Calendar'!$AF$1918=TYPE3)*(TYPE3&lt;&gt;"")+('Dvd Calendar'!$AF$1918=TYPE4)*(TYPE4&lt;&gt;"")+('Dvd Calendar'!$AF$1918=SPECIAL_LBL)*(INC_SPECIALS="Y"))=0,"",'Dvd Calendar'!$AF$1916)))</f>
        <v/>
      </c>
      <c r="AE192" s="161">
        <f>IF(FG192="","",IF(ISNUMBER('Dvd Calendar'!$AG$1916)=FALSE,"",IF((('Dvd Calendar'!$AG$1918=TYPE1)*(TYPE1&lt;&gt;"")+('Dvd Calendar'!$AG$1918=TYPE2)*(TYPE2&lt;&gt;"")+('Dvd Calendar'!$AG$1918=TYPE3)*(TYPE3&lt;&gt;"")+('Dvd Calendar'!$AG$1918=TYPE4)*(TYPE4&lt;&gt;"")+('Dvd Calendar'!$AG$1918=SPECIAL_LBL)*(INC_SPECIALS="Y"))=0,"",'Dvd Calendar'!$AG$1916)))</f>
        <v/>
      </c>
      <c r="AF192" s="161">
        <f>IF(FH192="","",IF(ISNUMBER('Dvd Calendar'!$AH$1916)=FALSE,"",IF((('Dvd Calendar'!$AH$1918=TYPE1)*(TYPE1&lt;&gt;"")+('Dvd Calendar'!$AH$1918=TYPE2)*(TYPE2&lt;&gt;"")+('Dvd Calendar'!$AH$1918=TYPE3)*(TYPE3&lt;&gt;"")+('Dvd Calendar'!$AH$1918=TYPE4)*(TYPE4&lt;&gt;"")+('Dvd Calendar'!$AH$1918=SPECIAL_LBL)*(INC_SPECIALS="Y"))=0,"",'Dvd Calendar'!$AH$1916)))</f>
        <v/>
      </c>
      <c r="AG192" s="161">
        <f>IF(FI192="","",IF(ISNUMBER('Dvd Calendar'!$AI$1916)=FALSE,"",IF((('Dvd Calendar'!$AI$1918=TYPE1)*(TYPE1&lt;&gt;"")+('Dvd Calendar'!$AI$1918=TYPE2)*(TYPE2&lt;&gt;"")+('Dvd Calendar'!$AI$1918=TYPE3)*(TYPE3&lt;&gt;"")+('Dvd Calendar'!$AI$1918=TYPE4)*(TYPE4&lt;&gt;"")+('Dvd Calendar'!$AI$1918=SPECIAL_LBL)*(INC_SPECIALS="Y"))=0,"",'Dvd Calendar'!$AI$1916)))</f>
        <v/>
      </c>
      <c r="AH192" s="161">
        <f>IF(FJ192="","",IF(ISNUMBER('Dvd Calendar'!$AJ$1916)=FALSE,"",IF((('Dvd Calendar'!$AJ$1918=TYPE1)*(TYPE1&lt;&gt;"")+('Dvd Calendar'!$AJ$1918=TYPE2)*(TYPE2&lt;&gt;"")+('Dvd Calendar'!$AJ$1918=TYPE3)*(TYPE3&lt;&gt;"")+('Dvd Calendar'!$AJ$1918=TYPE4)*(TYPE4&lt;&gt;"")+('Dvd Calendar'!$AJ$1918=SPECIAL_LBL)*(INC_SPECIALS="Y"))=0,"",'Dvd Calendar'!$AJ$1916)))</f>
        <v/>
      </c>
      <c r="AI192" s="161">
        <f>IF(FK192="","",IF(ISNUMBER('Dvd Calendar'!$AK$1916)=FALSE,"",IF((('Dvd Calendar'!$AK$1918=TYPE1)*(TYPE1&lt;&gt;"")+('Dvd Calendar'!$AK$1918=TYPE2)*(TYPE2&lt;&gt;"")+('Dvd Calendar'!$AK$1918=TYPE3)*(TYPE3&lt;&gt;"")+('Dvd Calendar'!$AK$1918=TYPE4)*(TYPE4&lt;&gt;"")+('Dvd Calendar'!$AK$1918=SPECIAL_LBL)*(INC_SPECIALS="Y"))=0,"",'Dvd Calendar'!$AK$1916)))</f>
        <v/>
      </c>
      <c r="AJ192" s="161">
        <f>IF(FL192="","",IF(ISNUMBER('Dvd Calendar'!$AL$1916)=FALSE,"",IF((('Dvd Calendar'!$AL$1918=TYPE1)*(TYPE1&lt;&gt;"")+('Dvd Calendar'!$AL$1918=TYPE2)*(TYPE2&lt;&gt;"")+('Dvd Calendar'!$AL$1918=TYPE3)*(TYPE3&lt;&gt;"")+('Dvd Calendar'!$AL$1918=TYPE4)*(TYPE4&lt;&gt;"")+('Dvd Calendar'!$AL$1918=SPECIAL_LBL)*(INC_SPECIALS="Y"))=0,"",'Dvd Calendar'!$AL$1916)))</f>
        <v/>
      </c>
      <c r="AK192" s="161">
        <f>IF(FM192="","",IF(ISNUMBER('Dvd Calendar'!$AM$1916)=FALSE,"",IF((('Dvd Calendar'!$AM$1918=TYPE1)*(TYPE1&lt;&gt;"")+('Dvd Calendar'!$AM$1918=TYPE2)*(TYPE2&lt;&gt;"")+('Dvd Calendar'!$AM$1918=TYPE3)*(TYPE3&lt;&gt;"")+('Dvd Calendar'!$AM$1918=TYPE4)*(TYPE4&lt;&gt;"")+('Dvd Calendar'!$AM$1918=SPECIAL_LBL)*(INC_SPECIALS="Y"))=0,"",'Dvd Calendar'!$AM$1916)))</f>
        <v/>
      </c>
      <c r="AL192" s="161">
        <f>IF(FN192="","",IF(ISNUMBER('Dvd Calendar'!$AN$1916)=FALSE,"",IF((('Dvd Calendar'!$AN$1918=TYPE1)*(TYPE1&lt;&gt;"")+('Dvd Calendar'!$AN$1918=TYPE2)*(TYPE2&lt;&gt;"")+('Dvd Calendar'!$AN$1918=TYPE3)*(TYPE3&lt;&gt;"")+('Dvd Calendar'!$AN$1918=TYPE4)*(TYPE4&lt;&gt;"")+('Dvd Calendar'!$AN$1918=SPECIAL_LBL)*(INC_SPECIALS="Y"))=0,"",'Dvd Calendar'!$AN$1916)))</f>
        <v/>
      </c>
      <c r="AM192" s="161">
        <f>IF(FO192="","",IF(ISNUMBER('Dvd Calendar'!$AO$1916)=FALSE,"",IF((('Dvd Calendar'!$AO$1918=TYPE1)*(TYPE1&lt;&gt;"")+('Dvd Calendar'!$AO$1918=TYPE2)*(TYPE2&lt;&gt;"")+('Dvd Calendar'!$AO$1918=TYPE3)*(TYPE3&lt;&gt;"")+('Dvd Calendar'!$AO$1918=TYPE4)*(TYPE4&lt;&gt;"")+('Dvd Calendar'!$AO$1918=SPECIAL_LBL)*(INC_SPECIALS="Y"))=0,"",'Dvd Calendar'!$AO$1916)))</f>
        <v/>
      </c>
      <c r="AN192" s="161">
        <f>IF(FP192="","",IF(ISNUMBER('Dvd Calendar'!$AP$1916)=FALSE,"",IF((('Dvd Calendar'!$AP$1918=TYPE1)*(TYPE1&lt;&gt;"")+('Dvd Calendar'!$AP$1918=TYPE2)*(TYPE2&lt;&gt;"")+('Dvd Calendar'!$AP$1918=TYPE3)*(TYPE3&lt;&gt;"")+('Dvd Calendar'!$AP$1918=TYPE4)*(TYPE4&lt;&gt;"")+('Dvd Calendar'!$AP$1918=SPECIAL_LBL)*(INC_SPECIALS="Y"))=0,"",'Dvd Calendar'!$AP$1916)))</f>
        <v/>
      </c>
      <c r="AO192" s="161">
        <f>IF(FQ192="","",IF(ISNUMBER('Dvd Calendar'!$AQ$1916)=FALSE,"",IF((('Dvd Calendar'!$AQ$1918=TYPE1)*(TYPE1&lt;&gt;"")+('Dvd Calendar'!$AQ$1918=TYPE2)*(TYPE2&lt;&gt;"")+('Dvd Calendar'!$AQ$1918=TYPE3)*(TYPE3&lt;&gt;"")+('Dvd Calendar'!$AQ$1918=TYPE4)*(TYPE4&lt;&gt;"")+('Dvd Calendar'!$AQ$1918=SPECIAL_LBL)*(INC_SPECIALS="Y"))=0,"",'Dvd Calendar'!$AQ$1916)))</f>
        <v/>
      </c>
      <c r="AP192" s="161">
        <f>IF(FR192="","",IF(ISNUMBER('Dvd Calendar'!$AR$1916)=FALSE,"",IF((('Dvd Calendar'!$AR$1918=TYPE1)*(TYPE1&lt;&gt;"")+('Dvd Calendar'!$AR$1918=TYPE2)*(TYPE2&lt;&gt;"")+('Dvd Calendar'!$AR$1918=TYPE3)*(TYPE3&lt;&gt;"")+('Dvd Calendar'!$AR$1918=TYPE4)*(TYPE4&lt;&gt;"")+('Dvd Calendar'!$AR$1918=SPECIAL_LBL)*(INC_SPECIALS="Y"))=0,"",'Dvd Calendar'!$AR$1916)))</f>
        <v/>
      </c>
      <c r="AQ192" s="161">
        <f>IF(FS192="","",IF(ISNUMBER('Dvd Calendar'!$E$1921)=FALSE,"",'Dvd Calendar'!$E$1921))</f>
        <v/>
      </c>
      <c r="AR192" s="161">
        <f>IF(FT192="","",IF(ISNUMBER('Dvd Calendar'!$F$1921)=FALSE,"",'Dvd Calendar'!$F$1921))</f>
        <v/>
      </c>
      <c r="AS192" s="161">
        <f>IF(FU192="","",IF(ISNUMBER('Dvd Calendar'!$G$1921)=FALSE,"",'Dvd Calendar'!$G$1921))</f>
        <v/>
      </c>
      <c r="AT192" s="161">
        <f>IF(FV192="","",IF(ISNUMBER('Dvd Calendar'!$H$1921)=FALSE,"",'Dvd Calendar'!$H$1921))</f>
        <v/>
      </c>
      <c r="AU192" s="161">
        <f>IF(FW192="","",IF(ISNUMBER('Dvd Calendar'!$I$1921)=FALSE,"",'Dvd Calendar'!$I$1921))</f>
        <v/>
      </c>
      <c r="AV192" s="161">
        <f>IF(FX192="","",IF(ISNUMBER('Dvd Calendar'!$J$1921)=FALSE,"",'Dvd Calendar'!$J$1921))</f>
        <v/>
      </c>
      <c r="AW192" s="161">
        <f>IF(FY192="","",IF(ISNUMBER('Dvd Calendar'!$K$1921)=FALSE,"",'Dvd Calendar'!$K$1921))</f>
        <v/>
      </c>
      <c r="AX192" s="161">
        <f>IF(FZ192="","",IF(ISNUMBER('Dvd Calendar'!$L$1921)=FALSE,"",'Dvd Calendar'!$L$1921))</f>
        <v/>
      </c>
      <c r="AY192" s="161">
        <f>IF(GA192="","",IF(ISNUMBER('Dvd Calendar'!$M$1921)=FALSE,"",'Dvd Calendar'!$M$1921))</f>
        <v/>
      </c>
      <c r="AZ192" s="161">
        <f>IF(GB192="","",IF(ISNUMBER('Dvd Calendar'!$N$1921)=FALSE,"",'Dvd Calendar'!$N$1921))</f>
        <v/>
      </c>
      <c r="BA192" s="161">
        <f>IF(GC192="","",IF(ISNUMBER('Dvd Calendar'!$O$1921)=FALSE,"",'Dvd Calendar'!$O$1921))</f>
        <v/>
      </c>
      <c r="BB192" s="161">
        <f>IF(GD192="","",IF(ISNUMBER('Dvd Calendar'!$P$1921)=FALSE,"",'Dvd Calendar'!$P$1921))</f>
        <v/>
      </c>
      <c r="BC192" s="161">
        <f>IF(GE192="","",IF(ISNUMBER('Dvd Calendar'!$Q$1921)=FALSE,"",'Dvd Calendar'!$Q$1921))</f>
        <v/>
      </c>
      <c r="BD192" s="161">
        <f>IF(GF192="","",IF(ISNUMBER('Dvd Calendar'!$R$1921)=FALSE,"",'Dvd Calendar'!$R$1921))</f>
        <v/>
      </c>
      <c r="BE192" s="161">
        <f>IF(GG192="","",IF(ISNUMBER('Dvd Calendar'!$S$1921)=FALSE,"",'Dvd Calendar'!$S$1921))</f>
        <v/>
      </c>
      <c r="BF192" s="161">
        <f>IF(GH192="","",IF(ISNUMBER('Dvd Calendar'!$T$1921)=FALSE,"",'Dvd Calendar'!$T$1921))</f>
        <v/>
      </c>
      <c r="BG192" s="161">
        <f>IF(GI192="","",IF(ISNUMBER('Dvd Calendar'!$U$1921)=FALSE,"",'Dvd Calendar'!$U$1921))</f>
        <v/>
      </c>
      <c r="BH192" s="161">
        <f>IF(GJ192="","",IF(ISNUMBER('Dvd Calendar'!$V$1921)=FALSE,"",'Dvd Calendar'!$V$1921))</f>
        <v/>
      </c>
      <c r="BI192" s="161">
        <f>IF(GK192="","",IF(ISNUMBER('Dvd Calendar'!$W$1921)=FALSE,"",'Dvd Calendar'!$W$1921))</f>
        <v/>
      </c>
      <c r="BJ192" s="161">
        <f>IF(GL192="","",IF(ISNUMBER('Dvd Calendar'!$X$1921)=FALSE,"",'Dvd Calendar'!$X$1921))</f>
        <v/>
      </c>
      <c r="BK192" s="161">
        <f>IF(GM192="","",IF(ISNUMBER('Dvd Calendar'!$Y$1921)=FALSE,"",'Dvd Calendar'!$Y$1921))</f>
        <v/>
      </c>
      <c r="BL192" s="161">
        <f>IF(GN192="","",IF(ISNUMBER('Dvd Calendar'!$Z$1921)=FALSE,"",'Dvd Calendar'!$Z$1921))</f>
        <v/>
      </c>
      <c r="BM192" s="161">
        <f>IF(GO192="","",IF(ISNUMBER('Dvd Calendar'!$AA$1921)=FALSE,"",'Dvd Calendar'!$AA$1921))</f>
        <v/>
      </c>
      <c r="BN192" s="161">
        <f>IF(GP192="","",IF(ISNUMBER('Dvd Calendar'!$AB$1921)=FALSE,"",'Dvd Calendar'!$AB$1921))</f>
        <v/>
      </c>
      <c r="BO192" s="161">
        <f>IF(GQ192="","",IF(ISNUMBER('Dvd Calendar'!$AC$1921)=FALSE,"",'Dvd Calendar'!$AC$1921))</f>
        <v/>
      </c>
      <c r="BQ192" s="161">
        <f>IF(C192="","",IFERROR(C192*HSCEI!$B$39*HSCEI!$G$39/HSCEI!$B$3,""))</f>
        <v/>
      </c>
      <c r="BR192" s="161">
        <f>IF(D192="","",IFERROR(D192*HSCEI!$B$39*HSCEI!$G$39/HSCEI!$B$3,""))</f>
        <v/>
      </c>
      <c r="BS192" s="161">
        <f>IF(E192="","",IFERROR(E192*HSCEI!$B$39*HSCEI!$G$39/HSCEI!$B$3,""))</f>
        <v/>
      </c>
      <c r="BT192" s="161">
        <f>IF(F192="","",IFERROR(F192*HSCEI!$B$39*HSCEI!$G$39/HSCEI!$B$3,""))</f>
        <v/>
      </c>
      <c r="BU192" s="161">
        <f>IF(G192="","",IFERROR(G192*HSCEI!$B$39*HSCEI!$G$39/HSCEI!$B$3,""))</f>
        <v/>
      </c>
      <c r="BV192" s="161">
        <f>IF(H192="","",IFERROR(H192*HSCEI!$B$39*HSCEI!$G$39/HSCEI!$B$3,""))</f>
        <v/>
      </c>
      <c r="BW192" s="161">
        <f>IF(I192="","",IFERROR(I192*HSCEI!$B$39*HSCEI!$G$39/HSCEI!$B$3,""))</f>
        <v/>
      </c>
      <c r="BX192" s="161">
        <f>IF(J192="","",IFERROR(J192*HSCEI!$B$39*HSCEI!$G$39/HSCEI!$B$3,""))</f>
        <v/>
      </c>
      <c r="BY192" s="161">
        <f>IF(K192="","",IFERROR(K192*HSCEI!$B$39*HSCEI!$G$39/HSCEI!$B$3,""))</f>
        <v/>
      </c>
      <c r="BZ192" s="161">
        <f>IF(L192="","",IFERROR(L192*HSCEI!$B$39*HSCEI!$G$39/HSCEI!$B$3,""))</f>
        <v/>
      </c>
      <c r="CA192" s="161">
        <f>IF(M192="","",IFERROR(M192*HSCEI!$B$39*HSCEI!$G$39/HSCEI!$B$3,""))</f>
        <v/>
      </c>
      <c r="CB192" s="161">
        <f>IF(N192="","",IFERROR(N192*HSCEI!$B$39*HSCEI!$G$39/HSCEI!$B$3,""))</f>
        <v/>
      </c>
      <c r="CC192" s="161">
        <f>IF(O192="","",IFERROR(O192*HSCEI!$B$39*HSCEI!$G$39/HSCEI!$B$3,""))</f>
        <v/>
      </c>
      <c r="CD192" s="161">
        <f>IF(P192="","",IFERROR(P192*HSCEI!$B$39*HSCEI!$G$39/HSCEI!$B$3,""))</f>
        <v/>
      </c>
      <c r="CE192" s="161">
        <f>IF(Q192="","",IFERROR(Q192*HSCEI!$B$39*HSCEI!$G$39/HSCEI!$B$3,""))</f>
        <v/>
      </c>
      <c r="CF192" s="161">
        <f>IF(R192="","",IFERROR(R192*HSCEI!$B$39*HSCEI!$G$39/HSCEI!$B$3,""))</f>
        <v/>
      </c>
      <c r="CG192" s="161">
        <f>IF(S192="","",IFERROR(S192*HSCEI!$B$39*HSCEI!$G$39/HSCEI!$B$3,""))</f>
        <v/>
      </c>
      <c r="CH192" s="161">
        <f>IF(T192="","",IFERROR(T192*HSCEI!$B$39*HSCEI!$G$39/HSCEI!$B$3,""))</f>
        <v/>
      </c>
      <c r="CI192" s="161">
        <f>IF(U192="","",IFERROR(U192*HSCEI!$B$39*HSCEI!$G$39/HSCEI!$B$3,""))</f>
        <v/>
      </c>
      <c r="CJ192" s="161">
        <f>IF(V192="","",IFERROR(V192*HSCEI!$B$39*HSCEI!$G$39/HSCEI!$B$3,""))</f>
        <v/>
      </c>
      <c r="CK192" s="161">
        <f>IF(W192="","",IFERROR(W192*HSCEI!$B$39*HSCEI!$G$39/HSCEI!$B$3,""))</f>
        <v/>
      </c>
      <c r="CL192" s="161">
        <f>IF(X192="","",IFERROR(X192*HSCEI!$B$39*HSCEI!$G$39/HSCEI!$B$3,""))</f>
        <v/>
      </c>
      <c r="CM192" s="161">
        <f>IF(Y192="","",IFERROR(Y192*HSCEI!$B$39*HSCEI!$G$39/HSCEI!$B$3,""))</f>
        <v/>
      </c>
      <c r="CN192" s="161">
        <f>IF(Z192="","",IFERROR(Z192*HSCEI!$B$39*HSCEI!$G$39/HSCEI!$B$3,""))</f>
        <v/>
      </c>
      <c r="CO192" s="161">
        <f>IF(AA192="","",IFERROR(AA192*HSCEI!$B$39*HSCEI!$G$39/HSCEI!$B$3,""))</f>
        <v/>
      </c>
      <c r="CP192" s="161">
        <f>IF(AB192="","",IFERROR(AB192*HSCEI!$B$39*HSCEI!$G$39/HSCEI!$B$3,""))</f>
        <v/>
      </c>
      <c r="CQ192" s="161">
        <f>IF(AC192="","",IFERROR(AC192*HSCEI!$B$39*HSCEI!$G$39/HSCEI!$B$3,""))</f>
        <v/>
      </c>
      <c r="CR192" s="161">
        <f>IF(AD192="","",IFERROR(AD192*HSCEI!$B$39*HSCEI!$G$39/HSCEI!$B$3,""))</f>
        <v/>
      </c>
      <c r="CS192" s="161">
        <f>IF(AE192="","",IFERROR(AE192*HSCEI!$B$39*HSCEI!$G$39/HSCEI!$B$3,""))</f>
        <v/>
      </c>
      <c r="CT192" s="161">
        <f>IF(AF192="","",IFERROR(AF192*HSCEI!$B$39*HSCEI!$G$39/HSCEI!$B$3,""))</f>
        <v/>
      </c>
      <c r="CU192" s="161">
        <f>IF(AG192="","",IFERROR(AG192*HSCEI!$B$39*HSCEI!$G$39/HSCEI!$B$3,""))</f>
        <v/>
      </c>
      <c r="CV192" s="161">
        <f>IF(AH192="","",IFERROR(AH192*HSCEI!$B$39*HSCEI!$G$39/HSCEI!$B$3,""))</f>
        <v/>
      </c>
      <c r="CW192" s="161">
        <f>IF(AI192="","",IFERROR(AI192*HSCEI!$B$39*HSCEI!$G$39/HSCEI!$B$3,""))</f>
        <v/>
      </c>
      <c r="CX192" s="161">
        <f>IF(AJ192="","",IFERROR(AJ192*HSCEI!$B$39*HSCEI!$G$39/HSCEI!$B$3,""))</f>
        <v/>
      </c>
      <c r="CY192" s="161">
        <f>IF(AK192="","",IFERROR(AK192*HSCEI!$B$39*HSCEI!$G$39/HSCEI!$B$3,""))</f>
        <v/>
      </c>
      <c r="CZ192" s="161">
        <f>IF(AL192="","",IFERROR(AL192*HSCEI!$B$39*HSCEI!$G$39/HSCEI!$B$3,""))</f>
        <v/>
      </c>
      <c r="DA192" s="161">
        <f>IF(AM192="","",IFERROR(AM192*HSCEI!$B$39*HSCEI!$G$39/HSCEI!$B$3,""))</f>
        <v/>
      </c>
      <c r="DB192" s="161">
        <f>IF(AN192="","",IFERROR(AN192*HSCEI!$B$39*HSCEI!$G$39/HSCEI!$B$3,""))</f>
        <v/>
      </c>
      <c r="DC192" s="161">
        <f>IF(AO192="","",IFERROR(AO192*HSCEI!$B$39*HSCEI!$G$39/HSCEI!$B$3,""))</f>
        <v/>
      </c>
      <c r="DD192" s="161">
        <f>IF(AP192="","",IFERROR(AP192*HSCEI!$B$39*HSCEI!$G$39/HSCEI!$B$3,""))</f>
        <v/>
      </c>
      <c r="DE192" s="161">
        <f>IF(AQ192="","",IFERROR(AQ192*HSCEI!$B$39*HSCEI!$G$39/HSCEI!$B$3,""))</f>
        <v/>
      </c>
      <c r="DF192" s="161">
        <f>IF(AR192="","",IFERROR(AR192*HSCEI!$B$39*HSCEI!$G$39/HSCEI!$B$3,""))</f>
        <v/>
      </c>
      <c r="DG192" s="161">
        <f>IF(AS192="","",IFERROR(AS192*HSCEI!$B$39*HSCEI!$G$39/HSCEI!$B$3,""))</f>
        <v/>
      </c>
      <c r="DH192" s="161">
        <f>IF(AT192="","",IFERROR(AT192*HSCEI!$B$39*HSCEI!$G$39/HSCEI!$B$3,""))</f>
        <v/>
      </c>
      <c r="DI192" s="161">
        <f>IF(AU192="","",IFERROR(AU192*HSCEI!$B$39*HSCEI!$G$39/HSCEI!$B$3,""))</f>
        <v/>
      </c>
      <c r="DJ192" s="161">
        <f>IF(AV192="","",IFERROR(AV192*HSCEI!$B$39*HSCEI!$G$39/HSCEI!$B$3,""))</f>
        <v/>
      </c>
      <c r="DK192" s="161">
        <f>IF(AW192="","",IFERROR(AW192*HSCEI!$B$39*HSCEI!$G$39/HSCEI!$B$3,""))</f>
        <v/>
      </c>
      <c r="DL192" s="161">
        <f>IF(AX192="","",IFERROR(AX192*HSCEI!$B$39*HSCEI!$G$39/HSCEI!$B$3,""))</f>
        <v/>
      </c>
      <c r="DM192" s="161">
        <f>IF(AY192="","",IFERROR(AY192*HSCEI!$B$39*HSCEI!$G$39/HSCEI!$B$3,""))</f>
        <v/>
      </c>
      <c r="DN192" s="161">
        <f>IF(AZ192="","",IFERROR(AZ192*HSCEI!$B$39*HSCEI!$G$39/HSCEI!$B$3,""))</f>
        <v/>
      </c>
      <c r="DO192" s="161">
        <f>IF(BA192="","",IFERROR(BA192*HSCEI!$B$39*HSCEI!$G$39/HSCEI!$B$3,""))</f>
        <v/>
      </c>
      <c r="DP192" s="161">
        <f>IF(BB192="","",IFERROR(BB192*HSCEI!$B$39*HSCEI!$G$39/HSCEI!$B$3,""))</f>
        <v/>
      </c>
      <c r="DQ192" s="161">
        <f>IF(BC192="","",IFERROR(BC192*HSCEI!$B$39*HSCEI!$G$39/HSCEI!$B$3,""))</f>
        <v/>
      </c>
      <c r="DR192" s="161">
        <f>IF(BD192="","",IFERROR(BD192*HSCEI!$B$39*HSCEI!$G$39/HSCEI!$B$3,""))</f>
        <v/>
      </c>
      <c r="DS192" s="161">
        <f>IF(BE192="","",IFERROR(BE192*HSCEI!$B$39*HSCEI!$G$39/HSCEI!$B$3,""))</f>
        <v/>
      </c>
      <c r="DT192" s="161">
        <f>IF(BF192="","",IFERROR(BF192*HSCEI!$B$39*HSCEI!$G$39/HSCEI!$B$3,""))</f>
        <v/>
      </c>
      <c r="DU192" s="161">
        <f>IF(BG192="","",IFERROR(BG192*HSCEI!$B$39*HSCEI!$G$39/HSCEI!$B$3,""))</f>
        <v/>
      </c>
      <c r="DV192" s="161">
        <f>IF(BH192="","",IFERROR(BH192*HSCEI!$B$39*HSCEI!$G$39/HSCEI!$B$3,""))</f>
        <v/>
      </c>
      <c r="DW192" s="161">
        <f>IF(BI192="","",IFERROR(BI192*HSCEI!$B$39*HSCEI!$G$39/HSCEI!$B$3,""))</f>
        <v/>
      </c>
      <c r="DX192" s="161">
        <f>IF(BJ192="","",IFERROR(BJ192*HSCEI!$B$39*HSCEI!$G$39/HSCEI!$B$3,""))</f>
        <v/>
      </c>
      <c r="DY192" s="161">
        <f>IF(BK192="","",IFERROR(BK192*HSCEI!$B$39*HSCEI!$G$39/HSCEI!$B$3,""))</f>
        <v/>
      </c>
      <c r="DZ192" s="161">
        <f>IF(BL192="","",IFERROR(BL192*HSCEI!$B$39*HSCEI!$G$39/HSCEI!$B$3,""))</f>
        <v/>
      </c>
      <c r="EA192" s="161">
        <f>IF(BM192="","",IFERROR(BM192*HSCEI!$B$39*HSCEI!$G$39/HSCEI!$B$3,""))</f>
        <v/>
      </c>
      <c r="EB192" s="161">
        <f>IF(BN192="","",IFERROR(BN192*HSCEI!$B$39*HSCEI!$G$39/HSCEI!$B$3,""))</f>
        <v/>
      </c>
      <c r="EC192" s="161">
        <f>IF(BO192="","",IFERROR(BO192*HSCEI!$B$39*HSCEI!$G$39/HSCEI!$B$3,""))</f>
        <v/>
      </c>
      <c r="EE192" s="121">
        <f>IF(N('Dvd Calendar'!$E$1913)=0,"",IF(('Dvd Calendar'!$E$1913&gt;=GRID_FROM)*('Dvd Calendar'!$E$1913&lt;=GRID_TO)*((('Dvd Calendar'!$E$1913&lt;=VAL_DATE)+(COUNTIF('Dvd Calendar'!$E$1920:$AR$1920,'Dvd Calendar'!$E$1913)=0))&gt;0)=0,"",'Dvd Calendar'!$E$1913*1000000000+ISNUMBER('Dvd Calendar'!$E$1916)*100000000+('Dvd Calendar'!$E$1918=SPECIAL_LBL)*10000000+(N('Dvd Calendar'!$E$1912)&gt;0)*(N('Dvd Calendar'!$E$1912)&lt;=VAL_SERIAL)*1000000+33*1000+1))</f>
        <v/>
      </c>
      <c r="EF192" s="121">
        <f>IF(N('Dvd Calendar'!$F$1913)=0,"",IF(('Dvd Calendar'!$F$1913&gt;=GRID_FROM)*('Dvd Calendar'!$F$1913&lt;=GRID_TO)*((('Dvd Calendar'!$F$1913&lt;=VAL_DATE)+(COUNTIF('Dvd Calendar'!$E$1920:$AR$1920,'Dvd Calendar'!$F$1913)=0))&gt;0)=0,"",'Dvd Calendar'!$F$1913*1000000000+ISNUMBER('Dvd Calendar'!$F$1916)*100000000+('Dvd Calendar'!$F$1918=SPECIAL_LBL)*10000000+(N('Dvd Calendar'!$F$1912)&gt;0)*(N('Dvd Calendar'!$F$1912)&lt;=VAL_SERIAL)*1000000+33*1000+2))</f>
        <v/>
      </c>
      <c r="EG192" s="121">
        <f>IF(N('Dvd Calendar'!$G$1913)=0,"",IF(('Dvd Calendar'!$G$1913&gt;=GRID_FROM)*('Dvd Calendar'!$G$1913&lt;=GRID_TO)*((('Dvd Calendar'!$G$1913&lt;=VAL_DATE)+(COUNTIF('Dvd Calendar'!$E$1920:$AR$1920,'Dvd Calendar'!$G$1913)=0))&gt;0)=0,"",'Dvd Calendar'!$G$1913*1000000000+ISNUMBER('Dvd Calendar'!$G$1916)*100000000+('Dvd Calendar'!$G$1918=SPECIAL_LBL)*10000000+(N('Dvd Calendar'!$G$1912)&gt;0)*(N('Dvd Calendar'!$G$1912)&lt;=VAL_SERIAL)*1000000+33*1000+3))</f>
        <v/>
      </c>
      <c r="EH192" s="121">
        <f>IF(N('Dvd Calendar'!$H$1913)=0,"",IF(('Dvd Calendar'!$H$1913&gt;=GRID_FROM)*('Dvd Calendar'!$H$1913&lt;=GRID_TO)*((('Dvd Calendar'!$H$1913&lt;=VAL_DATE)+(COUNTIF('Dvd Calendar'!$E$1920:$AR$1920,'Dvd Calendar'!$H$1913)=0))&gt;0)=0,"",'Dvd Calendar'!$H$1913*1000000000+ISNUMBER('Dvd Calendar'!$H$1916)*100000000+('Dvd Calendar'!$H$1918=SPECIAL_LBL)*10000000+(N('Dvd Calendar'!$H$1912)&gt;0)*(N('Dvd Calendar'!$H$1912)&lt;=VAL_SERIAL)*1000000+33*1000+4))</f>
        <v/>
      </c>
      <c r="EI192" s="121">
        <f>IF(N('Dvd Calendar'!$I$1913)=0,"",IF(('Dvd Calendar'!$I$1913&gt;=GRID_FROM)*('Dvd Calendar'!$I$1913&lt;=GRID_TO)*((('Dvd Calendar'!$I$1913&lt;=VAL_DATE)+(COUNTIF('Dvd Calendar'!$E$1920:$AR$1920,'Dvd Calendar'!$I$1913)=0))&gt;0)=0,"",'Dvd Calendar'!$I$1913*1000000000+ISNUMBER('Dvd Calendar'!$I$1916)*100000000+('Dvd Calendar'!$I$1918=SPECIAL_LBL)*10000000+(N('Dvd Calendar'!$I$1912)&gt;0)*(N('Dvd Calendar'!$I$1912)&lt;=VAL_SERIAL)*1000000+33*1000+5))</f>
        <v/>
      </c>
      <c r="EJ192" s="121">
        <f>IF(N('Dvd Calendar'!$J$1913)=0,"",IF(('Dvd Calendar'!$J$1913&gt;=GRID_FROM)*('Dvd Calendar'!$J$1913&lt;=GRID_TO)*((('Dvd Calendar'!$J$1913&lt;=VAL_DATE)+(COUNTIF('Dvd Calendar'!$E$1920:$AR$1920,'Dvd Calendar'!$J$1913)=0))&gt;0)=0,"",'Dvd Calendar'!$J$1913*1000000000+ISNUMBER('Dvd Calendar'!$J$1916)*100000000+('Dvd Calendar'!$J$1918=SPECIAL_LBL)*10000000+(N('Dvd Calendar'!$J$1912)&gt;0)*(N('Dvd Calendar'!$J$1912)&lt;=VAL_SERIAL)*1000000+33*1000+6))</f>
        <v/>
      </c>
      <c r="EK192" s="121">
        <f>IF(N('Dvd Calendar'!$K$1913)=0,"",IF(('Dvd Calendar'!$K$1913&gt;=GRID_FROM)*('Dvd Calendar'!$K$1913&lt;=GRID_TO)*((('Dvd Calendar'!$K$1913&lt;=VAL_DATE)+(COUNTIF('Dvd Calendar'!$E$1920:$AR$1920,'Dvd Calendar'!$K$1913)=0))&gt;0)=0,"",'Dvd Calendar'!$K$1913*1000000000+ISNUMBER('Dvd Calendar'!$K$1916)*100000000+('Dvd Calendar'!$K$1918=SPECIAL_LBL)*10000000+(N('Dvd Calendar'!$K$1912)&gt;0)*(N('Dvd Calendar'!$K$1912)&lt;=VAL_SERIAL)*1000000+33*1000+7))</f>
        <v/>
      </c>
      <c r="EL192" s="121">
        <f>IF(N('Dvd Calendar'!$L$1913)=0,"",IF(('Dvd Calendar'!$L$1913&gt;=GRID_FROM)*('Dvd Calendar'!$L$1913&lt;=GRID_TO)*((('Dvd Calendar'!$L$1913&lt;=VAL_DATE)+(COUNTIF('Dvd Calendar'!$E$1920:$AR$1920,'Dvd Calendar'!$L$1913)=0))&gt;0)=0,"",'Dvd Calendar'!$L$1913*1000000000+ISNUMBER('Dvd Calendar'!$L$1916)*100000000+('Dvd Calendar'!$L$1918=SPECIAL_LBL)*10000000+(N('Dvd Calendar'!$L$1912)&gt;0)*(N('Dvd Calendar'!$L$1912)&lt;=VAL_SERIAL)*1000000+33*1000+8))</f>
        <v/>
      </c>
      <c r="EM192" s="121">
        <f>IF(N('Dvd Calendar'!$M$1913)=0,"",IF(('Dvd Calendar'!$M$1913&gt;=GRID_FROM)*('Dvd Calendar'!$M$1913&lt;=GRID_TO)*((('Dvd Calendar'!$M$1913&lt;=VAL_DATE)+(COUNTIF('Dvd Calendar'!$E$1920:$AR$1920,'Dvd Calendar'!$M$1913)=0))&gt;0)=0,"",'Dvd Calendar'!$M$1913*1000000000+ISNUMBER('Dvd Calendar'!$M$1916)*100000000+('Dvd Calendar'!$M$1918=SPECIAL_LBL)*10000000+(N('Dvd Calendar'!$M$1912)&gt;0)*(N('Dvd Calendar'!$M$1912)&lt;=VAL_SERIAL)*1000000+33*1000+9))</f>
        <v/>
      </c>
      <c r="EN192" s="121">
        <f>IF(N('Dvd Calendar'!$N$1913)=0,"",IF(('Dvd Calendar'!$N$1913&gt;=GRID_FROM)*('Dvd Calendar'!$N$1913&lt;=GRID_TO)*((('Dvd Calendar'!$N$1913&lt;=VAL_DATE)+(COUNTIF('Dvd Calendar'!$E$1920:$AR$1920,'Dvd Calendar'!$N$1913)=0))&gt;0)=0,"",'Dvd Calendar'!$N$1913*1000000000+ISNUMBER('Dvd Calendar'!$N$1916)*100000000+('Dvd Calendar'!$N$1918=SPECIAL_LBL)*10000000+(N('Dvd Calendar'!$N$1912)&gt;0)*(N('Dvd Calendar'!$N$1912)&lt;=VAL_SERIAL)*1000000+33*1000+10))</f>
        <v/>
      </c>
      <c r="EO192" s="121">
        <f>IF(N('Dvd Calendar'!$O$1913)=0,"",IF(('Dvd Calendar'!$O$1913&gt;=GRID_FROM)*('Dvd Calendar'!$O$1913&lt;=GRID_TO)*((('Dvd Calendar'!$O$1913&lt;=VAL_DATE)+(COUNTIF('Dvd Calendar'!$E$1920:$AR$1920,'Dvd Calendar'!$O$1913)=0))&gt;0)=0,"",'Dvd Calendar'!$O$1913*1000000000+ISNUMBER('Dvd Calendar'!$O$1916)*100000000+('Dvd Calendar'!$O$1918=SPECIAL_LBL)*10000000+(N('Dvd Calendar'!$O$1912)&gt;0)*(N('Dvd Calendar'!$O$1912)&lt;=VAL_SERIAL)*1000000+33*1000+11))</f>
        <v/>
      </c>
      <c r="EP192" s="121">
        <f>IF(N('Dvd Calendar'!$P$1913)=0,"",IF(('Dvd Calendar'!$P$1913&gt;=GRID_FROM)*('Dvd Calendar'!$P$1913&lt;=GRID_TO)*((('Dvd Calendar'!$P$1913&lt;=VAL_DATE)+(COUNTIF('Dvd Calendar'!$E$1920:$AR$1920,'Dvd Calendar'!$P$1913)=0))&gt;0)=0,"",'Dvd Calendar'!$P$1913*1000000000+ISNUMBER('Dvd Calendar'!$P$1916)*100000000+('Dvd Calendar'!$P$1918=SPECIAL_LBL)*10000000+(N('Dvd Calendar'!$P$1912)&gt;0)*(N('Dvd Calendar'!$P$1912)&lt;=VAL_SERIAL)*1000000+33*1000+12))</f>
        <v/>
      </c>
      <c r="EQ192" s="121">
        <f>IF(N('Dvd Calendar'!$Q$1913)=0,"",IF(('Dvd Calendar'!$Q$1913&gt;=GRID_FROM)*('Dvd Calendar'!$Q$1913&lt;=GRID_TO)*((('Dvd Calendar'!$Q$1913&lt;=VAL_DATE)+(COUNTIF('Dvd Calendar'!$E$1920:$AR$1920,'Dvd Calendar'!$Q$1913)=0))&gt;0)=0,"",'Dvd Calendar'!$Q$1913*1000000000+ISNUMBER('Dvd Calendar'!$Q$1916)*100000000+('Dvd Calendar'!$Q$1918=SPECIAL_LBL)*10000000+(N('Dvd Calendar'!$Q$1912)&gt;0)*(N('Dvd Calendar'!$Q$1912)&lt;=VAL_SERIAL)*1000000+33*1000+13))</f>
        <v/>
      </c>
      <c r="ER192" s="121">
        <f>IF(N('Dvd Calendar'!$R$1913)=0,"",IF(('Dvd Calendar'!$R$1913&gt;=GRID_FROM)*('Dvd Calendar'!$R$1913&lt;=GRID_TO)*((('Dvd Calendar'!$R$1913&lt;=VAL_DATE)+(COUNTIF('Dvd Calendar'!$E$1920:$AR$1920,'Dvd Calendar'!$R$1913)=0))&gt;0)=0,"",'Dvd Calendar'!$R$1913*1000000000+ISNUMBER('Dvd Calendar'!$R$1916)*100000000+('Dvd Calendar'!$R$1918=SPECIAL_LBL)*10000000+(N('Dvd Calendar'!$R$1912)&gt;0)*(N('Dvd Calendar'!$R$1912)&lt;=VAL_SERIAL)*1000000+33*1000+14))</f>
        <v/>
      </c>
      <c r="ES192" s="121">
        <f>IF(N('Dvd Calendar'!$S$1913)=0,"",IF(('Dvd Calendar'!$S$1913&gt;=GRID_FROM)*('Dvd Calendar'!$S$1913&lt;=GRID_TO)*((('Dvd Calendar'!$S$1913&lt;=VAL_DATE)+(COUNTIF('Dvd Calendar'!$E$1920:$AR$1920,'Dvd Calendar'!$S$1913)=0))&gt;0)=0,"",'Dvd Calendar'!$S$1913*1000000000+ISNUMBER('Dvd Calendar'!$S$1916)*100000000+('Dvd Calendar'!$S$1918=SPECIAL_LBL)*10000000+(N('Dvd Calendar'!$S$1912)&gt;0)*(N('Dvd Calendar'!$S$1912)&lt;=VAL_SERIAL)*1000000+33*1000+15))</f>
        <v/>
      </c>
      <c r="ET192" s="121">
        <f>IF(N('Dvd Calendar'!$T$1913)=0,"",IF(('Dvd Calendar'!$T$1913&gt;=GRID_FROM)*('Dvd Calendar'!$T$1913&lt;=GRID_TO)*((('Dvd Calendar'!$T$1913&lt;=VAL_DATE)+(COUNTIF('Dvd Calendar'!$E$1920:$AR$1920,'Dvd Calendar'!$T$1913)=0))&gt;0)=0,"",'Dvd Calendar'!$T$1913*1000000000+ISNUMBER('Dvd Calendar'!$T$1916)*100000000+('Dvd Calendar'!$T$1918=SPECIAL_LBL)*10000000+(N('Dvd Calendar'!$T$1912)&gt;0)*(N('Dvd Calendar'!$T$1912)&lt;=VAL_SERIAL)*1000000+33*1000+16))</f>
        <v/>
      </c>
      <c r="EU192" s="121">
        <f>IF(N('Dvd Calendar'!$U$1913)=0,"",IF(('Dvd Calendar'!$U$1913&gt;=GRID_FROM)*('Dvd Calendar'!$U$1913&lt;=GRID_TO)*((('Dvd Calendar'!$U$1913&lt;=VAL_DATE)+(COUNTIF('Dvd Calendar'!$E$1920:$AR$1920,'Dvd Calendar'!$U$1913)=0))&gt;0)=0,"",'Dvd Calendar'!$U$1913*1000000000+ISNUMBER('Dvd Calendar'!$U$1916)*100000000+('Dvd Calendar'!$U$1918=SPECIAL_LBL)*10000000+(N('Dvd Calendar'!$U$1912)&gt;0)*(N('Dvd Calendar'!$U$1912)&lt;=VAL_SERIAL)*1000000+33*1000+17))</f>
        <v/>
      </c>
      <c r="EV192" s="121">
        <f>IF(N('Dvd Calendar'!$V$1913)=0,"",IF(('Dvd Calendar'!$V$1913&gt;=GRID_FROM)*('Dvd Calendar'!$V$1913&lt;=GRID_TO)*((('Dvd Calendar'!$V$1913&lt;=VAL_DATE)+(COUNTIF('Dvd Calendar'!$E$1920:$AR$1920,'Dvd Calendar'!$V$1913)=0))&gt;0)=0,"",'Dvd Calendar'!$V$1913*1000000000+ISNUMBER('Dvd Calendar'!$V$1916)*100000000+('Dvd Calendar'!$V$1918=SPECIAL_LBL)*10000000+(N('Dvd Calendar'!$V$1912)&gt;0)*(N('Dvd Calendar'!$V$1912)&lt;=VAL_SERIAL)*1000000+33*1000+18))</f>
        <v/>
      </c>
      <c r="EW192" s="121">
        <f>IF(N('Dvd Calendar'!$W$1913)=0,"",IF(('Dvd Calendar'!$W$1913&gt;=GRID_FROM)*('Dvd Calendar'!$W$1913&lt;=GRID_TO)*((('Dvd Calendar'!$W$1913&lt;=VAL_DATE)+(COUNTIF('Dvd Calendar'!$E$1920:$AR$1920,'Dvd Calendar'!$W$1913)=0))&gt;0)=0,"",'Dvd Calendar'!$W$1913*1000000000+ISNUMBER('Dvd Calendar'!$W$1916)*100000000+('Dvd Calendar'!$W$1918=SPECIAL_LBL)*10000000+(N('Dvd Calendar'!$W$1912)&gt;0)*(N('Dvd Calendar'!$W$1912)&lt;=VAL_SERIAL)*1000000+33*1000+19))</f>
        <v/>
      </c>
      <c r="EX192" s="121">
        <f>IF(N('Dvd Calendar'!$X$1913)=0,"",IF(('Dvd Calendar'!$X$1913&gt;=GRID_FROM)*('Dvd Calendar'!$X$1913&lt;=GRID_TO)*((('Dvd Calendar'!$X$1913&lt;=VAL_DATE)+(COUNTIF('Dvd Calendar'!$E$1920:$AR$1920,'Dvd Calendar'!$X$1913)=0))&gt;0)=0,"",'Dvd Calendar'!$X$1913*1000000000+ISNUMBER('Dvd Calendar'!$X$1916)*100000000+('Dvd Calendar'!$X$1918=SPECIAL_LBL)*10000000+(N('Dvd Calendar'!$X$1912)&gt;0)*(N('Dvd Calendar'!$X$1912)&lt;=VAL_SERIAL)*1000000+33*1000+20))</f>
        <v/>
      </c>
      <c r="EY192" s="121">
        <f>IF(N('Dvd Calendar'!$Y$1913)=0,"",IF(('Dvd Calendar'!$Y$1913&gt;=GRID_FROM)*('Dvd Calendar'!$Y$1913&lt;=GRID_TO)*((('Dvd Calendar'!$Y$1913&lt;=VAL_DATE)+(COUNTIF('Dvd Calendar'!$E$1920:$AR$1920,'Dvd Calendar'!$Y$1913)=0))&gt;0)=0,"",'Dvd Calendar'!$Y$1913*1000000000+ISNUMBER('Dvd Calendar'!$Y$1916)*100000000+('Dvd Calendar'!$Y$1918=SPECIAL_LBL)*10000000+(N('Dvd Calendar'!$Y$1912)&gt;0)*(N('Dvd Calendar'!$Y$1912)&lt;=VAL_SERIAL)*1000000+33*1000+21))</f>
        <v/>
      </c>
      <c r="EZ192" s="121">
        <f>IF(N('Dvd Calendar'!$Z$1913)=0,"",IF(('Dvd Calendar'!$Z$1913&gt;=GRID_FROM)*('Dvd Calendar'!$Z$1913&lt;=GRID_TO)*((('Dvd Calendar'!$Z$1913&lt;=VAL_DATE)+(COUNTIF('Dvd Calendar'!$E$1920:$AR$1920,'Dvd Calendar'!$Z$1913)=0))&gt;0)=0,"",'Dvd Calendar'!$Z$1913*1000000000+ISNUMBER('Dvd Calendar'!$Z$1916)*100000000+('Dvd Calendar'!$Z$1918=SPECIAL_LBL)*10000000+(N('Dvd Calendar'!$Z$1912)&gt;0)*(N('Dvd Calendar'!$Z$1912)&lt;=VAL_SERIAL)*1000000+33*1000+22))</f>
        <v/>
      </c>
      <c r="FA192" s="121">
        <f>IF(N('Dvd Calendar'!$AA$1913)=0,"",IF(('Dvd Calendar'!$AA$1913&gt;=GRID_FROM)*('Dvd Calendar'!$AA$1913&lt;=GRID_TO)*((('Dvd Calendar'!$AA$1913&lt;=VAL_DATE)+(COUNTIF('Dvd Calendar'!$E$1920:$AR$1920,'Dvd Calendar'!$AA$1913)=0))&gt;0)=0,"",'Dvd Calendar'!$AA$1913*1000000000+ISNUMBER('Dvd Calendar'!$AA$1916)*100000000+('Dvd Calendar'!$AA$1918=SPECIAL_LBL)*10000000+(N('Dvd Calendar'!$AA$1912)&gt;0)*(N('Dvd Calendar'!$AA$1912)&lt;=VAL_SERIAL)*1000000+33*1000+23))</f>
        <v/>
      </c>
      <c r="FB192" s="121">
        <f>IF(N('Dvd Calendar'!$AB$1913)=0,"",IF(('Dvd Calendar'!$AB$1913&gt;=GRID_FROM)*('Dvd Calendar'!$AB$1913&lt;=GRID_TO)*((('Dvd Calendar'!$AB$1913&lt;=VAL_DATE)+(COUNTIF('Dvd Calendar'!$E$1920:$AR$1920,'Dvd Calendar'!$AB$1913)=0))&gt;0)=0,"",'Dvd Calendar'!$AB$1913*1000000000+ISNUMBER('Dvd Calendar'!$AB$1916)*100000000+('Dvd Calendar'!$AB$1918=SPECIAL_LBL)*10000000+(N('Dvd Calendar'!$AB$1912)&gt;0)*(N('Dvd Calendar'!$AB$1912)&lt;=VAL_SERIAL)*1000000+33*1000+24))</f>
        <v/>
      </c>
      <c r="FC192" s="121">
        <f>IF(N('Dvd Calendar'!$AC$1913)=0,"",IF(('Dvd Calendar'!$AC$1913&gt;=GRID_FROM)*('Dvd Calendar'!$AC$1913&lt;=GRID_TO)*((('Dvd Calendar'!$AC$1913&lt;=VAL_DATE)+(COUNTIF('Dvd Calendar'!$E$1920:$AR$1920,'Dvd Calendar'!$AC$1913)=0))&gt;0)=0,"",'Dvd Calendar'!$AC$1913*1000000000+ISNUMBER('Dvd Calendar'!$AC$1916)*100000000+('Dvd Calendar'!$AC$1918=SPECIAL_LBL)*10000000+(N('Dvd Calendar'!$AC$1912)&gt;0)*(N('Dvd Calendar'!$AC$1912)&lt;=VAL_SERIAL)*1000000+33*1000+25))</f>
        <v/>
      </c>
      <c r="FD192" s="121">
        <f>IF(N('Dvd Calendar'!$AD$1913)=0,"",IF(('Dvd Calendar'!$AD$1913&gt;=GRID_FROM)*('Dvd Calendar'!$AD$1913&lt;=GRID_TO)*((('Dvd Calendar'!$AD$1913&lt;=VAL_DATE)+(COUNTIF('Dvd Calendar'!$E$1920:$AR$1920,'Dvd Calendar'!$AD$1913)=0))&gt;0)=0,"",'Dvd Calendar'!$AD$1913*1000000000+ISNUMBER('Dvd Calendar'!$AD$1916)*100000000+('Dvd Calendar'!$AD$1918=SPECIAL_LBL)*10000000+(N('Dvd Calendar'!$AD$1912)&gt;0)*(N('Dvd Calendar'!$AD$1912)&lt;=VAL_SERIAL)*1000000+33*1000+26))</f>
        <v/>
      </c>
      <c r="FE192" s="121">
        <f>IF(N('Dvd Calendar'!$AE$1913)=0,"",IF(('Dvd Calendar'!$AE$1913&gt;=GRID_FROM)*('Dvd Calendar'!$AE$1913&lt;=GRID_TO)*((('Dvd Calendar'!$AE$1913&lt;=VAL_DATE)+(COUNTIF('Dvd Calendar'!$E$1920:$AR$1920,'Dvd Calendar'!$AE$1913)=0))&gt;0)=0,"",'Dvd Calendar'!$AE$1913*1000000000+ISNUMBER('Dvd Calendar'!$AE$1916)*100000000+('Dvd Calendar'!$AE$1918=SPECIAL_LBL)*10000000+(N('Dvd Calendar'!$AE$1912)&gt;0)*(N('Dvd Calendar'!$AE$1912)&lt;=VAL_SERIAL)*1000000+33*1000+27))</f>
        <v/>
      </c>
      <c r="FF192" s="121">
        <f>IF(N('Dvd Calendar'!$AF$1913)=0,"",IF(('Dvd Calendar'!$AF$1913&gt;=GRID_FROM)*('Dvd Calendar'!$AF$1913&lt;=GRID_TO)*((('Dvd Calendar'!$AF$1913&lt;=VAL_DATE)+(COUNTIF('Dvd Calendar'!$E$1920:$AR$1920,'Dvd Calendar'!$AF$1913)=0))&gt;0)=0,"",'Dvd Calendar'!$AF$1913*1000000000+ISNUMBER('Dvd Calendar'!$AF$1916)*100000000+('Dvd Calendar'!$AF$1918=SPECIAL_LBL)*10000000+(N('Dvd Calendar'!$AF$1912)&gt;0)*(N('Dvd Calendar'!$AF$1912)&lt;=VAL_SERIAL)*1000000+33*1000+28))</f>
        <v/>
      </c>
      <c r="FG192" s="121">
        <f>IF(N('Dvd Calendar'!$AG$1913)=0,"",IF(('Dvd Calendar'!$AG$1913&gt;=GRID_FROM)*('Dvd Calendar'!$AG$1913&lt;=GRID_TO)*((('Dvd Calendar'!$AG$1913&lt;=VAL_DATE)+(COUNTIF('Dvd Calendar'!$E$1920:$AR$1920,'Dvd Calendar'!$AG$1913)=0))&gt;0)=0,"",'Dvd Calendar'!$AG$1913*1000000000+ISNUMBER('Dvd Calendar'!$AG$1916)*100000000+('Dvd Calendar'!$AG$1918=SPECIAL_LBL)*10000000+(N('Dvd Calendar'!$AG$1912)&gt;0)*(N('Dvd Calendar'!$AG$1912)&lt;=VAL_SERIAL)*1000000+33*1000+29))</f>
        <v/>
      </c>
      <c r="FH192" s="121">
        <f>IF(N('Dvd Calendar'!$AH$1913)=0,"",IF(('Dvd Calendar'!$AH$1913&gt;=GRID_FROM)*('Dvd Calendar'!$AH$1913&lt;=GRID_TO)*((('Dvd Calendar'!$AH$1913&lt;=VAL_DATE)+(COUNTIF('Dvd Calendar'!$E$1920:$AR$1920,'Dvd Calendar'!$AH$1913)=0))&gt;0)=0,"",'Dvd Calendar'!$AH$1913*1000000000+ISNUMBER('Dvd Calendar'!$AH$1916)*100000000+('Dvd Calendar'!$AH$1918=SPECIAL_LBL)*10000000+(N('Dvd Calendar'!$AH$1912)&gt;0)*(N('Dvd Calendar'!$AH$1912)&lt;=VAL_SERIAL)*1000000+33*1000+30))</f>
        <v/>
      </c>
      <c r="FI192" s="121">
        <f>IF(N('Dvd Calendar'!$AI$1913)=0,"",IF(('Dvd Calendar'!$AI$1913&gt;=GRID_FROM)*('Dvd Calendar'!$AI$1913&lt;=GRID_TO)*((('Dvd Calendar'!$AI$1913&lt;=VAL_DATE)+(COUNTIF('Dvd Calendar'!$E$1920:$AR$1920,'Dvd Calendar'!$AI$1913)=0))&gt;0)=0,"",'Dvd Calendar'!$AI$1913*1000000000+ISNUMBER('Dvd Calendar'!$AI$1916)*100000000+('Dvd Calendar'!$AI$1918=SPECIAL_LBL)*10000000+(N('Dvd Calendar'!$AI$1912)&gt;0)*(N('Dvd Calendar'!$AI$1912)&lt;=VAL_SERIAL)*1000000+33*1000+31))</f>
        <v/>
      </c>
      <c r="FJ192" s="121">
        <f>IF(N('Dvd Calendar'!$AJ$1913)=0,"",IF(('Dvd Calendar'!$AJ$1913&gt;=GRID_FROM)*('Dvd Calendar'!$AJ$1913&lt;=GRID_TO)*((('Dvd Calendar'!$AJ$1913&lt;=VAL_DATE)+(COUNTIF('Dvd Calendar'!$E$1920:$AR$1920,'Dvd Calendar'!$AJ$1913)=0))&gt;0)=0,"",'Dvd Calendar'!$AJ$1913*1000000000+ISNUMBER('Dvd Calendar'!$AJ$1916)*100000000+('Dvd Calendar'!$AJ$1918=SPECIAL_LBL)*10000000+(N('Dvd Calendar'!$AJ$1912)&gt;0)*(N('Dvd Calendar'!$AJ$1912)&lt;=VAL_SERIAL)*1000000+33*1000+32))</f>
        <v/>
      </c>
      <c r="FK192" s="121">
        <f>IF(N('Dvd Calendar'!$AK$1913)=0,"",IF(('Dvd Calendar'!$AK$1913&gt;=GRID_FROM)*('Dvd Calendar'!$AK$1913&lt;=GRID_TO)*((('Dvd Calendar'!$AK$1913&lt;=VAL_DATE)+(COUNTIF('Dvd Calendar'!$E$1920:$AR$1920,'Dvd Calendar'!$AK$1913)=0))&gt;0)=0,"",'Dvd Calendar'!$AK$1913*1000000000+ISNUMBER('Dvd Calendar'!$AK$1916)*100000000+('Dvd Calendar'!$AK$1918=SPECIAL_LBL)*10000000+(N('Dvd Calendar'!$AK$1912)&gt;0)*(N('Dvd Calendar'!$AK$1912)&lt;=VAL_SERIAL)*1000000+33*1000+33))</f>
        <v/>
      </c>
      <c r="FL192" s="121">
        <f>IF(N('Dvd Calendar'!$AL$1913)=0,"",IF(('Dvd Calendar'!$AL$1913&gt;=GRID_FROM)*('Dvd Calendar'!$AL$1913&lt;=GRID_TO)*((('Dvd Calendar'!$AL$1913&lt;=VAL_DATE)+(COUNTIF('Dvd Calendar'!$E$1920:$AR$1920,'Dvd Calendar'!$AL$1913)=0))&gt;0)=0,"",'Dvd Calendar'!$AL$1913*1000000000+ISNUMBER('Dvd Calendar'!$AL$1916)*100000000+('Dvd Calendar'!$AL$1918=SPECIAL_LBL)*10000000+(N('Dvd Calendar'!$AL$1912)&gt;0)*(N('Dvd Calendar'!$AL$1912)&lt;=VAL_SERIAL)*1000000+33*1000+34))</f>
        <v/>
      </c>
      <c r="FM192" s="121">
        <f>IF(N('Dvd Calendar'!$AM$1913)=0,"",IF(('Dvd Calendar'!$AM$1913&gt;=GRID_FROM)*('Dvd Calendar'!$AM$1913&lt;=GRID_TO)*((('Dvd Calendar'!$AM$1913&lt;=VAL_DATE)+(COUNTIF('Dvd Calendar'!$E$1920:$AR$1920,'Dvd Calendar'!$AM$1913)=0))&gt;0)=0,"",'Dvd Calendar'!$AM$1913*1000000000+ISNUMBER('Dvd Calendar'!$AM$1916)*100000000+('Dvd Calendar'!$AM$1918=SPECIAL_LBL)*10000000+(N('Dvd Calendar'!$AM$1912)&gt;0)*(N('Dvd Calendar'!$AM$1912)&lt;=VAL_SERIAL)*1000000+33*1000+35))</f>
        <v/>
      </c>
      <c r="FN192" s="121">
        <f>IF(N('Dvd Calendar'!$AN$1913)=0,"",IF(('Dvd Calendar'!$AN$1913&gt;=GRID_FROM)*('Dvd Calendar'!$AN$1913&lt;=GRID_TO)*((('Dvd Calendar'!$AN$1913&lt;=VAL_DATE)+(COUNTIF('Dvd Calendar'!$E$1920:$AR$1920,'Dvd Calendar'!$AN$1913)=0))&gt;0)=0,"",'Dvd Calendar'!$AN$1913*1000000000+ISNUMBER('Dvd Calendar'!$AN$1916)*100000000+('Dvd Calendar'!$AN$1918=SPECIAL_LBL)*10000000+(N('Dvd Calendar'!$AN$1912)&gt;0)*(N('Dvd Calendar'!$AN$1912)&lt;=VAL_SERIAL)*1000000+33*1000+36))</f>
        <v/>
      </c>
      <c r="FO192" s="121">
        <f>IF(N('Dvd Calendar'!$AO$1913)=0,"",IF(('Dvd Calendar'!$AO$1913&gt;=GRID_FROM)*('Dvd Calendar'!$AO$1913&lt;=GRID_TO)*((('Dvd Calendar'!$AO$1913&lt;=VAL_DATE)+(COUNTIF('Dvd Calendar'!$E$1920:$AR$1920,'Dvd Calendar'!$AO$1913)=0))&gt;0)=0,"",'Dvd Calendar'!$AO$1913*1000000000+ISNUMBER('Dvd Calendar'!$AO$1916)*100000000+('Dvd Calendar'!$AO$1918=SPECIAL_LBL)*10000000+(N('Dvd Calendar'!$AO$1912)&gt;0)*(N('Dvd Calendar'!$AO$1912)&lt;=VAL_SERIAL)*1000000+33*1000+37))</f>
        <v/>
      </c>
      <c r="FP192" s="121">
        <f>IF(N('Dvd Calendar'!$AP$1913)=0,"",IF(('Dvd Calendar'!$AP$1913&gt;=GRID_FROM)*('Dvd Calendar'!$AP$1913&lt;=GRID_TO)*((('Dvd Calendar'!$AP$1913&lt;=VAL_DATE)+(COUNTIF('Dvd Calendar'!$E$1920:$AR$1920,'Dvd Calendar'!$AP$1913)=0))&gt;0)=0,"",'Dvd Calendar'!$AP$1913*1000000000+ISNUMBER('Dvd Calendar'!$AP$1916)*100000000+('Dvd Calendar'!$AP$1918=SPECIAL_LBL)*10000000+(N('Dvd Calendar'!$AP$1912)&gt;0)*(N('Dvd Calendar'!$AP$1912)&lt;=VAL_SERIAL)*1000000+33*1000+38))</f>
        <v/>
      </c>
      <c r="FQ192" s="121">
        <f>IF(N('Dvd Calendar'!$AQ$1913)=0,"",IF(('Dvd Calendar'!$AQ$1913&gt;=GRID_FROM)*('Dvd Calendar'!$AQ$1913&lt;=GRID_TO)*((('Dvd Calendar'!$AQ$1913&lt;=VAL_DATE)+(COUNTIF('Dvd Calendar'!$E$1920:$AR$1920,'Dvd Calendar'!$AQ$1913)=0))&gt;0)=0,"",'Dvd Calendar'!$AQ$1913*1000000000+ISNUMBER('Dvd Calendar'!$AQ$1916)*100000000+('Dvd Calendar'!$AQ$1918=SPECIAL_LBL)*10000000+(N('Dvd Calendar'!$AQ$1912)&gt;0)*(N('Dvd Calendar'!$AQ$1912)&lt;=VAL_SERIAL)*1000000+33*1000+39))</f>
        <v/>
      </c>
      <c r="FR192" s="121">
        <f>IF(N('Dvd Calendar'!$AR$1913)=0,"",IF(('Dvd Calendar'!$AR$1913&gt;=GRID_FROM)*('Dvd Calendar'!$AR$1913&lt;=GRID_TO)*((('Dvd Calendar'!$AR$1913&lt;=VAL_DATE)+(COUNTIF('Dvd Calendar'!$E$1920:$AR$1920,'Dvd Calendar'!$AR$1913)=0))&gt;0)=0,"",'Dvd Calendar'!$AR$1913*1000000000+ISNUMBER('Dvd Calendar'!$AR$1916)*100000000+('Dvd Calendar'!$AR$1918=SPECIAL_LBL)*10000000+(N('Dvd Calendar'!$AR$1912)&gt;0)*(N('Dvd Calendar'!$AR$1912)&lt;=VAL_SERIAL)*1000000+33*1000+40))</f>
        <v/>
      </c>
      <c r="FS192" s="121">
        <f>IF(N('Dvd Calendar'!$E$1920)=0,"",IF(('Dvd Calendar'!$E$1920&gt;=GRID_FROM)*('Dvd Calendar'!$E$1920&lt;=GRID_TO)*('Dvd Calendar'!$E$1920&gt;VAL_DATE)=0,"",'Dvd Calendar'!$E$1920*1000000000+ISNUMBER('Dvd Calendar'!$E$1921)*100000000+0*10000000+(N('Dvd Calendar'!$E$1919)&gt;0)*(N('Dvd Calendar'!$E$1919)&lt;=VAL_SERIAL)*1000000+33*1000+41))</f>
        <v/>
      </c>
      <c r="FT192" s="121">
        <f>IF(N('Dvd Calendar'!$F$1920)=0,"",IF(('Dvd Calendar'!$F$1920&gt;=GRID_FROM)*('Dvd Calendar'!$F$1920&lt;=GRID_TO)*('Dvd Calendar'!$F$1920&gt;VAL_DATE)=0,"",'Dvd Calendar'!$F$1920*1000000000+ISNUMBER('Dvd Calendar'!$F$1921)*100000000+0*10000000+(N('Dvd Calendar'!$F$1919)&gt;0)*(N('Dvd Calendar'!$F$1919)&lt;=VAL_SERIAL)*1000000+33*1000+42))</f>
        <v/>
      </c>
      <c r="FU192" s="121">
        <f>IF(N('Dvd Calendar'!$G$1920)=0,"",IF(('Dvd Calendar'!$G$1920&gt;=GRID_FROM)*('Dvd Calendar'!$G$1920&lt;=GRID_TO)*('Dvd Calendar'!$G$1920&gt;VAL_DATE)=0,"",'Dvd Calendar'!$G$1920*1000000000+ISNUMBER('Dvd Calendar'!$G$1921)*100000000+0*10000000+(N('Dvd Calendar'!$G$1919)&gt;0)*(N('Dvd Calendar'!$G$1919)&lt;=VAL_SERIAL)*1000000+33*1000+43))</f>
        <v/>
      </c>
      <c r="FV192" s="121">
        <f>IF(N('Dvd Calendar'!$H$1920)=0,"",IF(('Dvd Calendar'!$H$1920&gt;=GRID_FROM)*('Dvd Calendar'!$H$1920&lt;=GRID_TO)*('Dvd Calendar'!$H$1920&gt;VAL_DATE)=0,"",'Dvd Calendar'!$H$1920*1000000000+ISNUMBER('Dvd Calendar'!$H$1921)*100000000+0*10000000+(N('Dvd Calendar'!$H$1919)&gt;0)*(N('Dvd Calendar'!$H$1919)&lt;=VAL_SERIAL)*1000000+33*1000+44))</f>
        <v/>
      </c>
      <c r="FW192" s="121">
        <f>IF(N('Dvd Calendar'!$I$1920)=0,"",IF(('Dvd Calendar'!$I$1920&gt;=GRID_FROM)*('Dvd Calendar'!$I$1920&lt;=GRID_TO)*('Dvd Calendar'!$I$1920&gt;VAL_DATE)=0,"",'Dvd Calendar'!$I$1920*1000000000+ISNUMBER('Dvd Calendar'!$I$1921)*100000000+0*10000000+(N('Dvd Calendar'!$I$1919)&gt;0)*(N('Dvd Calendar'!$I$1919)&lt;=VAL_SERIAL)*1000000+33*1000+45))</f>
        <v/>
      </c>
      <c r="FX192" s="121">
        <f>IF(N('Dvd Calendar'!$J$1920)=0,"",IF(('Dvd Calendar'!$J$1920&gt;=GRID_FROM)*('Dvd Calendar'!$J$1920&lt;=GRID_TO)*('Dvd Calendar'!$J$1920&gt;VAL_DATE)=0,"",'Dvd Calendar'!$J$1920*1000000000+ISNUMBER('Dvd Calendar'!$J$1921)*100000000+0*10000000+(N('Dvd Calendar'!$J$1919)&gt;0)*(N('Dvd Calendar'!$J$1919)&lt;=VAL_SERIAL)*1000000+33*1000+46))</f>
        <v/>
      </c>
      <c r="FY192" s="121">
        <f>IF(N('Dvd Calendar'!$K$1920)=0,"",IF(('Dvd Calendar'!$K$1920&gt;=GRID_FROM)*('Dvd Calendar'!$K$1920&lt;=GRID_TO)*('Dvd Calendar'!$K$1920&gt;VAL_DATE)=0,"",'Dvd Calendar'!$K$1920*1000000000+ISNUMBER('Dvd Calendar'!$K$1921)*100000000+0*10000000+(N('Dvd Calendar'!$K$1919)&gt;0)*(N('Dvd Calendar'!$K$1919)&lt;=VAL_SERIAL)*1000000+33*1000+47))</f>
        <v/>
      </c>
      <c r="FZ192" s="121">
        <f>IF(N('Dvd Calendar'!$L$1920)=0,"",IF(('Dvd Calendar'!$L$1920&gt;=GRID_FROM)*('Dvd Calendar'!$L$1920&lt;=GRID_TO)*('Dvd Calendar'!$L$1920&gt;VAL_DATE)=0,"",'Dvd Calendar'!$L$1920*1000000000+ISNUMBER('Dvd Calendar'!$L$1921)*100000000+0*10000000+(N('Dvd Calendar'!$L$1919)&gt;0)*(N('Dvd Calendar'!$L$1919)&lt;=VAL_SERIAL)*1000000+33*1000+48))</f>
        <v/>
      </c>
      <c r="GA192" s="121">
        <f>IF(N('Dvd Calendar'!$M$1920)=0,"",IF(('Dvd Calendar'!$M$1920&gt;=GRID_FROM)*('Dvd Calendar'!$M$1920&lt;=GRID_TO)*('Dvd Calendar'!$M$1920&gt;VAL_DATE)=0,"",'Dvd Calendar'!$M$1920*1000000000+ISNUMBER('Dvd Calendar'!$M$1921)*100000000+0*10000000+(N('Dvd Calendar'!$M$1919)&gt;0)*(N('Dvd Calendar'!$M$1919)&lt;=VAL_SERIAL)*1000000+33*1000+49))</f>
        <v/>
      </c>
      <c r="GB192" s="121">
        <f>IF(N('Dvd Calendar'!$N$1920)=0,"",IF(('Dvd Calendar'!$N$1920&gt;=GRID_FROM)*('Dvd Calendar'!$N$1920&lt;=GRID_TO)*('Dvd Calendar'!$N$1920&gt;VAL_DATE)=0,"",'Dvd Calendar'!$N$1920*1000000000+ISNUMBER('Dvd Calendar'!$N$1921)*100000000+0*10000000+(N('Dvd Calendar'!$N$1919)&gt;0)*(N('Dvd Calendar'!$N$1919)&lt;=VAL_SERIAL)*1000000+33*1000+50))</f>
        <v/>
      </c>
      <c r="GC192" s="121">
        <f>IF(N('Dvd Calendar'!$O$1920)=0,"",IF(('Dvd Calendar'!$O$1920&gt;=GRID_FROM)*('Dvd Calendar'!$O$1920&lt;=GRID_TO)*('Dvd Calendar'!$O$1920&gt;VAL_DATE)=0,"",'Dvd Calendar'!$O$1920*1000000000+ISNUMBER('Dvd Calendar'!$O$1921)*100000000+0*10000000+(N('Dvd Calendar'!$O$1919)&gt;0)*(N('Dvd Calendar'!$O$1919)&lt;=VAL_SERIAL)*1000000+33*1000+51))</f>
        <v/>
      </c>
      <c r="GD192" s="121">
        <f>IF(N('Dvd Calendar'!$P$1920)=0,"",IF(('Dvd Calendar'!$P$1920&gt;=GRID_FROM)*('Dvd Calendar'!$P$1920&lt;=GRID_TO)*('Dvd Calendar'!$P$1920&gt;VAL_DATE)=0,"",'Dvd Calendar'!$P$1920*1000000000+ISNUMBER('Dvd Calendar'!$P$1921)*100000000+0*10000000+(N('Dvd Calendar'!$P$1919)&gt;0)*(N('Dvd Calendar'!$P$1919)&lt;=VAL_SERIAL)*1000000+33*1000+52))</f>
        <v/>
      </c>
      <c r="GE192" s="121">
        <f>IF(N('Dvd Calendar'!$Q$1920)=0,"",IF(('Dvd Calendar'!$Q$1920&gt;=GRID_FROM)*('Dvd Calendar'!$Q$1920&lt;=GRID_TO)*('Dvd Calendar'!$Q$1920&gt;VAL_DATE)=0,"",'Dvd Calendar'!$Q$1920*1000000000+ISNUMBER('Dvd Calendar'!$Q$1921)*100000000+0*10000000+(N('Dvd Calendar'!$Q$1919)&gt;0)*(N('Dvd Calendar'!$Q$1919)&lt;=VAL_SERIAL)*1000000+33*1000+53))</f>
        <v/>
      </c>
      <c r="GF192" s="121">
        <f>IF(N('Dvd Calendar'!$R$1920)=0,"",IF(('Dvd Calendar'!$R$1920&gt;=GRID_FROM)*('Dvd Calendar'!$R$1920&lt;=GRID_TO)*('Dvd Calendar'!$R$1920&gt;VAL_DATE)=0,"",'Dvd Calendar'!$R$1920*1000000000+ISNUMBER('Dvd Calendar'!$R$1921)*100000000+0*10000000+(N('Dvd Calendar'!$R$1919)&gt;0)*(N('Dvd Calendar'!$R$1919)&lt;=VAL_SERIAL)*1000000+33*1000+54))</f>
        <v/>
      </c>
      <c r="GG192" s="121">
        <f>IF(N('Dvd Calendar'!$S$1920)=0,"",IF(('Dvd Calendar'!$S$1920&gt;=GRID_FROM)*('Dvd Calendar'!$S$1920&lt;=GRID_TO)*('Dvd Calendar'!$S$1920&gt;VAL_DATE)=0,"",'Dvd Calendar'!$S$1920*1000000000+ISNUMBER('Dvd Calendar'!$S$1921)*100000000+0*10000000+(N('Dvd Calendar'!$S$1919)&gt;0)*(N('Dvd Calendar'!$S$1919)&lt;=VAL_SERIAL)*1000000+33*1000+55))</f>
        <v/>
      </c>
      <c r="GH192" s="121">
        <f>IF(N('Dvd Calendar'!$T$1920)=0,"",IF(('Dvd Calendar'!$T$1920&gt;=GRID_FROM)*('Dvd Calendar'!$T$1920&lt;=GRID_TO)*('Dvd Calendar'!$T$1920&gt;VAL_DATE)=0,"",'Dvd Calendar'!$T$1920*1000000000+ISNUMBER('Dvd Calendar'!$T$1921)*100000000+0*10000000+(N('Dvd Calendar'!$T$1919)&gt;0)*(N('Dvd Calendar'!$T$1919)&lt;=VAL_SERIAL)*1000000+33*1000+56))</f>
        <v/>
      </c>
      <c r="GI192" s="121">
        <f>IF(N('Dvd Calendar'!$U$1920)=0,"",IF(('Dvd Calendar'!$U$1920&gt;=GRID_FROM)*('Dvd Calendar'!$U$1920&lt;=GRID_TO)*('Dvd Calendar'!$U$1920&gt;VAL_DATE)=0,"",'Dvd Calendar'!$U$1920*1000000000+ISNUMBER('Dvd Calendar'!$U$1921)*100000000+0*10000000+(N('Dvd Calendar'!$U$1919)&gt;0)*(N('Dvd Calendar'!$U$1919)&lt;=VAL_SERIAL)*1000000+33*1000+57))</f>
        <v/>
      </c>
      <c r="GJ192" s="121">
        <f>IF(N('Dvd Calendar'!$V$1920)=0,"",IF(('Dvd Calendar'!$V$1920&gt;=GRID_FROM)*('Dvd Calendar'!$V$1920&lt;=GRID_TO)*('Dvd Calendar'!$V$1920&gt;VAL_DATE)=0,"",'Dvd Calendar'!$V$1920*1000000000+ISNUMBER('Dvd Calendar'!$V$1921)*100000000+0*10000000+(N('Dvd Calendar'!$V$1919)&gt;0)*(N('Dvd Calendar'!$V$1919)&lt;=VAL_SERIAL)*1000000+33*1000+58))</f>
        <v/>
      </c>
      <c r="GK192" s="121">
        <f>IF(N('Dvd Calendar'!$W$1920)=0,"",IF(('Dvd Calendar'!$W$1920&gt;=GRID_FROM)*('Dvd Calendar'!$W$1920&lt;=GRID_TO)*('Dvd Calendar'!$W$1920&gt;VAL_DATE)=0,"",'Dvd Calendar'!$W$1920*1000000000+ISNUMBER('Dvd Calendar'!$W$1921)*100000000+0*10000000+(N('Dvd Calendar'!$W$1919)&gt;0)*(N('Dvd Calendar'!$W$1919)&lt;=VAL_SERIAL)*1000000+33*1000+59))</f>
        <v/>
      </c>
      <c r="GL192" s="121">
        <f>IF(N('Dvd Calendar'!$X$1920)=0,"",IF(('Dvd Calendar'!$X$1920&gt;=GRID_FROM)*('Dvd Calendar'!$X$1920&lt;=GRID_TO)*('Dvd Calendar'!$X$1920&gt;VAL_DATE)=0,"",'Dvd Calendar'!$X$1920*1000000000+ISNUMBER('Dvd Calendar'!$X$1921)*100000000+0*10000000+(N('Dvd Calendar'!$X$1919)&gt;0)*(N('Dvd Calendar'!$X$1919)&lt;=VAL_SERIAL)*1000000+33*1000+60))</f>
        <v/>
      </c>
      <c r="GM192" s="121">
        <f>IF(N('Dvd Calendar'!$Y$1920)=0,"",IF(('Dvd Calendar'!$Y$1920&gt;=GRID_FROM)*('Dvd Calendar'!$Y$1920&lt;=GRID_TO)*('Dvd Calendar'!$Y$1920&gt;VAL_DATE)=0,"",'Dvd Calendar'!$Y$1920*1000000000+ISNUMBER('Dvd Calendar'!$Y$1921)*100000000+0*10000000+(N('Dvd Calendar'!$Y$1919)&gt;0)*(N('Dvd Calendar'!$Y$1919)&lt;=VAL_SERIAL)*1000000+33*1000+61))</f>
        <v/>
      </c>
      <c r="GN192" s="121">
        <f>IF(N('Dvd Calendar'!$Z$1920)=0,"",IF(('Dvd Calendar'!$Z$1920&gt;=GRID_FROM)*('Dvd Calendar'!$Z$1920&lt;=GRID_TO)*('Dvd Calendar'!$Z$1920&gt;VAL_DATE)=0,"",'Dvd Calendar'!$Z$1920*1000000000+ISNUMBER('Dvd Calendar'!$Z$1921)*100000000+0*10000000+(N('Dvd Calendar'!$Z$1919)&gt;0)*(N('Dvd Calendar'!$Z$1919)&lt;=VAL_SERIAL)*1000000+33*1000+62))</f>
        <v/>
      </c>
      <c r="GO192" s="121">
        <f>IF(N('Dvd Calendar'!$AA$1920)=0,"",IF(('Dvd Calendar'!$AA$1920&gt;=GRID_FROM)*('Dvd Calendar'!$AA$1920&lt;=GRID_TO)*('Dvd Calendar'!$AA$1920&gt;VAL_DATE)=0,"",'Dvd Calendar'!$AA$1920*1000000000+ISNUMBER('Dvd Calendar'!$AA$1921)*100000000+0*10000000+(N('Dvd Calendar'!$AA$1919)&gt;0)*(N('Dvd Calendar'!$AA$1919)&lt;=VAL_SERIAL)*1000000+33*1000+63))</f>
        <v/>
      </c>
      <c r="GP192" s="121">
        <f>IF(N('Dvd Calendar'!$AB$1920)=0,"",IF(('Dvd Calendar'!$AB$1920&gt;=GRID_FROM)*('Dvd Calendar'!$AB$1920&lt;=GRID_TO)*('Dvd Calendar'!$AB$1920&gt;VAL_DATE)=0,"",'Dvd Calendar'!$AB$1920*1000000000+ISNUMBER('Dvd Calendar'!$AB$1921)*100000000+0*10000000+(N('Dvd Calendar'!$AB$1919)&gt;0)*(N('Dvd Calendar'!$AB$1919)&lt;=VAL_SERIAL)*1000000+33*1000+64))</f>
        <v/>
      </c>
      <c r="GQ192" s="121">
        <f>IF(N('Dvd Calendar'!$AC$1920)=0,"",IF(('Dvd Calendar'!$AC$1920&gt;=GRID_FROM)*('Dvd Calendar'!$AC$1920&lt;=GRID_TO)*('Dvd Calendar'!$AC$1920&gt;VAL_DATE)=0,"",'Dvd Calendar'!$AC$1920*1000000000+ISNUMBER('Dvd Calendar'!$AC$1921)*100000000+0*10000000+(N('Dvd Calendar'!$AC$1919)&gt;0)*(N('Dvd Calendar'!$AC$1919)&lt;=VAL_SERIAL)*1000000+33*1000+65))</f>
        <v/>
      </c>
    </row>
    <row r="193">
      <c r="B193" s="2">
        <f>IF(HSCEI!$C$40="","",HSCEI!$C$40)</f>
        <v/>
      </c>
      <c r="C193" s="161">
        <f>IF(EE193="","",IF(ISNUMBER('Dvd Calendar'!$E$1927)=FALSE,"",IF((('Dvd Calendar'!$E$1929=TYPE1)*(TYPE1&lt;&gt;"")+('Dvd Calendar'!$E$1929=TYPE2)*(TYPE2&lt;&gt;"")+('Dvd Calendar'!$E$1929=TYPE3)*(TYPE3&lt;&gt;"")+('Dvd Calendar'!$E$1929=TYPE4)*(TYPE4&lt;&gt;"")+('Dvd Calendar'!$E$1929=SPECIAL_LBL)*(INC_SPECIALS="Y"))=0,"",'Dvd Calendar'!$E$1927)))</f>
        <v/>
      </c>
      <c r="D193" s="161">
        <f>IF(EF193="","",IF(ISNUMBER('Dvd Calendar'!$F$1927)=FALSE,"",IF((('Dvd Calendar'!$F$1929=TYPE1)*(TYPE1&lt;&gt;"")+('Dvd Calendar'!$F$1929=TYPE2)*(TYPE2&lt;&gt;"")+('Dvd Calendar'!$F$1929=TYPE3)*(TYPE3&lt;&gt;"")+('Dvd Calendar'!$F$1929=TYPE4)*(TYPE4&lt;&gt;"")+('Dvd Calendar'!$F$1929=SPECIAL_LBL)*(INC_SPECIALS="Y"))=0,"",'Dvd Calendar'!$F$1927)))</f>
        <v/>
      </c>
      <c r="E193" s="161">
        <f>IF(EG193="","",IF(ISNUMBER('Dvd Calendar'!$G$1927)=FALSE,"",IF((('Dvd Calendar'!$G$1929=TYPE1)*(TYPE1&lt;&gt;"")+('Dvd Calendar'!$G$1929=TYPE2)*(TYPE2&lt;&gt;"")+('Dvd Calendar'!$G$1929=TYPE3)*(TYPE3&lt;&gt;"")+('Dvd Calendar'!$G$1929=TYPE4)*(TYPE4&lt;&gt;"")+('Dvd Calendar'!$G$1929=SPECIAL_LBL)*(INC_SPECIALS="Y"))=0,"",'Dvd Calendar'!$G$1927)))</f>
        <v/>
      </c>
      <c r="F193" s="161">
        <f>IF(EH193="","",IF(ISNUMBER('Dvd Calendar'!$H$1927)=FALSE,"",IF((('Dvd Calendar'!$H$1929=TYPE1)*(TYPE1&lt;&gt;"")+('Dvd Calendar'!$H$1929=TYPE2)*(TYPE2&lt;&gt;"")+('Dvd Calendar'!$H$1929=TYPE3)*(TYPE3&lt;&gt;"")+('Dvd Calendar'!$H$1929=TYPE4)*(TYPE4&lt;&gt;"")+('Dvd Calendar'!$H$1929=SPECIAL_LBL)*(INC_SPECIALS="Y"))=0,"",'Dvd Calendar'!$H$1927)))</f>
        <v/>
      </c>
      <c r="G193" s="161">
        <f>IF(EI193="","",IF(ISNUMBER('Dvd Calendar'!$I$1927)=FALSE,"",IF((('Dvd Calendar'!$I$1929=TYPE1)*(TYPE1&lt;&gt;"")+('Dvd Calendar'!$I$1929=TYPE2)*(TYPE2&lt;&gt;"")+('Dvd Calendar'!$I$1929=TYPE3)*(TYPE3&lt;&gt;"")+('Dvd Calendar'!$I$1929=TYPE4)*(TYPE4&lt;&gt;"")+('Dvd Calendar'!$I$1929=SPECIAL_LBL)*(INC_SPECIALS="Y"))=0,"",'Dvd Calendar'!$I$1927)))</f>
        <v/>
      </c>
      <c r="H193" s="161">
        <f>IF(EJ193="","",IF(ISNUMBER('Dvd Calendar'!$J$1927)=FALSE,"",IF((('Dvd Calendar'!$J$1929=TYPE1)*(TYPE1&lt;&gt;"")+('Dvd Calendar'!$J$1929=TYPE2)*(TYPE2&lt;&gt;"")+('Dvd Calendar'!$J$1929=TYPE3)*(TYPE3&lt;&gt;"")+('Dvd Calendar'!$J$1929=TYPE4)*(TYPE4&lt;&gt;"")+('Dvd Calendar'!$J$1929=SPECIAL_LBL)*(INC_SPECIALS="Y"))=0,"",'Dvd Calendar'!$J$1927)))</f>
        <v/>
      </c>
      <c r="I193" s="161">
        <f>IF(EK193="","",IF(ISNUMBER('Dvd Calendar'!$K$1927)=FALSE,"",IF((('Dvd Calendar'!$K$1929=TYPE1)*(TYPE1&lt;&gt;"")+('Dvd Calendar'!$K$1929=TYPE2)*(TYPE2&lt;&gt;"")+('Dvd Calendar'!$K$1929=TYPE3)*(TYPE3&lt;&gt;"")+('Dvd Calendar'!$K$1929=TYPE4)*(TYPE4&lt;&gt;"")+('Dvd Calendar'!$K$1929=SPECIAL_LBL)*(INC_SPECIALS="Y"))=0,"",'Dvd Calendar'!$K$1927)))</f>
        <v/>
      </c>
      <c r="J193" s="161">
        <f>IF(EL193="","",IF(ISNUMBER('Dvd Calendar'!$L$1927)=FALSE,"",IF((('Dvd Calendar'!$L$1929=TYPE1)*(TYPE1&lt;&gt;"")+('Dvd Calendar'!$L$1929=TYPE2)*(TYPE2&lt;&gt;"")+('Dvd Calendar'!$L$1929=TYPE3)*(TYPE3&lt;&gt;"")+('Dvd Calendar'!$L$1929=TYPE4)*(TYPE4&lt;&gt;"")+('Dvd Calendar'!$L$1929=SPECIAL_LBL)*(INC_SPECIALS="Y"))=0,"",'Dvd Calendar'!$L$1927)))</f>
        <v/>
      </c>
      <c r="K193" s="161">
        <f>IF(EM193="","",IF(ISNUMBER('Dvd Calendar'!$M$1927)=FALSE,"",IF((('Dvd Calendar'!$M$1929=TYPE1)*(TYPE1&lt;&gt;"")+('Dvd Calendar'!$M$1929=TYPE2)*(TYPE2&lt;&gt;"")+('Dvd Calendar'!$M$1929=TYPE3)*(TYPE3&lt;&gt;"")+('Dvd Calendar'!$M$1929=TYPE4)*(TYPE4&lt;&gt;"")+('Dvd Calendar'!$M$1929=SPECIAL_LBL)*(INC_SPECIALS="Y"))=0,"",'Dvd Calendar'!$M$1927)))</f>
        <v/>
      </c>
      <c r="L193" s="161">
        <f>IF(EN193="","",IF(ISNUMBER('Dvd Calendar'!$N$1927)=FALSE,"",IF((('Dvd Calendar'!$N$1929=TYPE1)*(TYPE1&lt;&gt;"")+('Dvd Calendar'!$N$1929=TYPE2)*(TYPE2&lt;&gt;"")+('Dvd Calendar'!$N$1929=TYPE3)*(TYPE3&lt;&gt;"")+('Dvd Calendar'!$N$1929=TYPE4)*(TYPE4&lt;&gt;"")+('Dvd Calendar'!$N$1929=SPECIAL_LBL)*(INC_SPECIALS="Y"))=0,"",'Dvd Calendar'!$N$1927)))</f>
        <v/>
      </c>
      <c r="M193" s="161">
        <f>IF(EO193="","",IF(ISNUMBER('Dvd Calendar'!$O$1927)=FALSE,"",IF((('Dvd Calendar'!$O$1929=TYPE1)*(TYPE1&lt;&gt;"")+('Dvd Calendar'!$O$1929=TYPE2)*(TYPE2&lt;&gt;"")+('Dvd Calendar'!$O$1929=TYPE3)*(TYPE3&lt;&gt;"")+('Dvd Calendar'!$O$1929=TYPE4)*(TYPE4&lt;&gt;"")+('Dvd Calendar'!$O$1929=SPECIAL_LBL)*(INC_SPECIALS="Y"))=0,"",'Dvd Calendar'!$O$1927)))</f>
        <v/>
      </c>
      <c r="N193" s="161">
        <f>IF(EP193="","",IF(ISNUMBER('Dvd Calendar'!$P$1927)=FALSE,"",IF((('Dvd Calendar'!$P$1929=TYPE1)*(TYPE1&lt;&gt;"")+('Dvd Calendar'!$P$1929=TYPE2)*(TYPE2&lt;&gt;"")+('Dvd Calendar'!$P$1929=TYPE3)*(TYPE3&lt;&gt;"")+('Dvd Calendar'!$P$1929=TYPE4)*(TYPE4&lt;&gt;"")+('Dvd Calendar'!$P$1929=SPECIAL_LBL)*(INC_SPECIALS="Y"))=0,"",'Dvd Calendar'!$P$1927)))</f>
        <v/>
      </c>
      <c r="O193" s="161">
        <f>IF(EQ193="","",IF(ISNUMBER('Dvd Calendar'!$Q$1927)=FALSE,"",IF((('Dvd Calendar'!$Q$1929=TYPE1)*(TYPE1&lt;&gt;"")+('Dvd Calendar'!$Q$1929=TYPE2)*(TYPE2&lt;&gt;"")+('Dvd Calendar'!$Q$1929=TYPE3)*(TYPE3&lt;&gt;"")+('Dvd Calendar'!$Q$1929=TYPE4)*(TYPE4&lt;&gt;"")+('Dvd Calendar'!$Q$1929=SPECIAL_LBL)*(INC_SPECIALS="Y"))=0,"",'Dvd Calendar'!$Q$1927)))</f>
        <v/>
      </c>
      <c r="P193" s="161">
        <f>IF(ER193="","",IF(ISNUMBER('Dvd Calendar'!$R$1927)=FALSE,"",IF((('Dvd Calendar'!$R$1929=TYPE1)*(TYPE1&lt;&gt;"")+('Dvd Calendar'!$R$1929=TYPE2)*(TYPE2&lt;&gt;"")+('Dvd Calendar'!$R$1929=TYPE3)*(TYPE3&lt;&gt;"")+('Dvd Calendar'!$R$1929=TYPE4)*(TYPE4&lt;&gt;"")+('Dvd Calendar'!$R$1929=SPECIAL_LBL)*(INC_SPECIALS="Y"))=0,"",'Dvd Calendar'!$R$1927)))</f>
        <v/>
      </c>
      <c r="Q193" s="161">
        <f>IF(ES193="","",IF(ISNUMBER('Dvd Calendar'!$S$1927)=FALSE,"",IF((('Dvd Calendar'!$S$1929=TYPE1)*(TYPE1&lt;&gt;"")+('Dvd Calendar'!$S$1929=TYPE2)*(TYPE2&lt;&gt;"")+('Dvd Calendar'!$S$1929=TYPE3)*(TYPE3&lt;&gt;"")+('Dvd Calendar'!$S$1929=TYPE4)*(TYPE4&lt;&gt;"")+('Dvd Calendar'!$S$1929=SPECIAL_LBL)*(INC_SPECIALS="Y"))=0,"",'Dvd Calendar'!$S$1927)))</f>
        <v/>
      </c>
      <c r="R193" s="161">
        <f>IF(ET193="","",IF(ISNUMBER('Dvd Calendar'!$T$1927)=FALSE,"",IF((('Dvd Calendar'!$T$1929=TYPE1)*(TYPE1&lt;&gt;"")+('Dvd Calendar'!$T$1929=TYPE2)*(TYPE2&lt;&gt;"")+('Dvd Calendar'!$T$1929=TYPE3)*(TYPE3&lt;&gt;"")+('Dvd Calendar'!$T$1929=TYPE4)*(TYPE4&lt;&gt;"")+('Dvd Calendar'!$T$1929=SPECIAL_LBL)*(INC_SPECIALS="Y"))=0,"",'Dvd Calendar'!$T$1927)))</f>
        <v/>
      </c>
      <c r="S193" s="161">
        <f>IF(EU193="","",IF(ISNUMBER('Dvd Calendar'!$U$1927)=FALSE,"",IF((('Dvd Calendar'!$U$1929=TYPE1)*(TYPE1&lt;&gt;"")+('Dvd Calendar'!$U$1929=TYPE2)*(TYPE2&lt;&gt;"")+('Dvd Calendar'!$U$1929=TYPE3)*(TYPE3&lt;&gt;"")+('Dvd Calendar'!$U$1929=TYPE4)*(TYPE4&lt;&gt;"")+('Dvd Calendar'!$U$1929=SPECIAL_LBL)*(INC_SPECIALS="Y"))=0,"",'Dvd Calendar'!$U$1927)))</f>
        <v/>
      </c>
      <c r="T193" s="161">
        <f>IF(EV193="","",IF(ISNUMBER('Dvd Calendar'!$V$1927)=FALSE,"",IF((('Dvd Calendar'!$V$1929=TYPE1)*(TYPE1&lt;&gt;"")+('Dvd Calendar'!$V$1929=TYPE2)*(TYPE2&lt;&gt;"")+('Dvd Calendar'!$V$1929=TYPE3)*(TYPE3&lt;&gt;"")+('Dvd Calendar'!$V$1929=TYPE4)*(TYPE4&lt;&gt;"")+('Dvd Calendar'!$V$1929=SPECIAL_LBL)*(INC_SPECIALS="Y"))=0,"",'Dvd Calendar'!$V$1927)))</f>
        <v/>
      </c>
      <c r="U193" s="161">
        <f>IF(EW193="","",IF(ISNUMBER('Dvd Calendar'!$W$1927)=FALSE,"",IF((('Dvd Calendar'!$W$1929=TYPE1)*(TYPE1&lt;&gt;"")+('Dvd Calendar'!$W$1929=TYPE2)*(TYPE2&lt;&gt;"")+('Dvd Calendar'!$W$1929=TYPE3)*(TYPE3&lt;&gt;"")+('Dvd Calendar'!$W$1929=TYPE4)*(TYPE4&lt;&gt;"")+('Dvd Calendar'!$W$1929=SPECIAL_LBL)*(INC_SPECIALS="Y"))=0,"",'Dvd Calendar'!$W$1927)))</f>
        <v/>
      </c>
      <c r="V193" s="161">
        <f>IF(EX193="","",IF(ISNUMBER('Dvd Calendar'!$X$1927)=FALSE,"",IF((('Dvd Calendar'!$X$1929=TYPE1)*(TYPE1&lt;&gt;"")+('Dvd Calendar'!$X$1929=TYPE2)*(TYPE2&lt;&gt;"")+('Dvd Calendar'!$X$1929=TYPE3)*(TYPE3&lt;&gt;"")+('Dvd Calendar'!$X$1929=TYPE4)*(TYPE4&lt;&gt;"")+('Dvd Calendar'!$X$1929=SPECIAL_LBL)*(INC_SPECIALS="Y"))=0,"",'Dvd Calendar'!$X$1927)))</f>
        <v/>
      </c>
      <c r="W193" s="161">
        <f>IF(EY193="","",IF(ISNUMBER('Dvd Calendar'!$Y$1927)=FALSE,"",IF((('Dvd Calendar'!$Y$1929=TYPE1)*(TYPE1&lt;&gt;"")+('Dvd Calendar'!$Y$1929=TYPE2)*(TYPE2&lt;&gt;"")+('Dvd Calendar'!$Y$1929=TYPE3)*(TYPE3&lt;&gt;"")+('Dvd Calendar'!$Y$1929=TYPE4)*(TYPE4&lt;&gt;"")+('Dvd Calendar'!$Y$1929=SPECIAL_LBL)*(INC_SPECIALS="Y"))=0,"",'Dvd Calendar'!$Y$1927)))</f>
        <v/>
      </c>
      <c r="X193" s="161">
        <f>IF(EZ193="","",IF(ISNUMBER('Dvd Calendar'!$Z$1927)=FALSE,"",IF((('Dvd Calendar'!$Z$1929=TYPE1)*(TYPE1&lt;&gt;"")+('Dvd Calendar'!$Z$1929=TYPE2)*(TYPE2&lt;&gt;"")+('Dvd Calendar'!$Z$1929=TYPE3)*(TYPE3&lt;&gt;"")+('Dvd Calendar'!$Z$1929=TYPE4)*(TYPE4&lt;&gt;"")+('Dvd Calendar'!$Z$1929=SPECIAL_LBL)*(INC_SPECIALS="Y"))=0,"",'Dvd Calendar'!$Z$1927)))</f>
        <v/>
      </c>
      <c r="Y193" s="161">
        <f>IF(FA193="","",IF(ISNUMBER('Dvd Calendar'!$AA$1927)=FALSE,"",IF((('Dvd Calendar'!$AA$1929=TYPE1)*(TYPE1&lt;&gt;"")+('Dvd Calendar'!$AA$1929=TYPE2)*(TYPE2&lt;&gt;"")+('Dvd Calendar'!$AA$1929=TYPE3)*(TYPE3&lt;&gt;"")+('Dvd Calendar'!$AA$1929=TYPE4)*(TYPE4&lt;&gt;"")+('Dvd Calendar'!$AA$1929=SPECIAL_LBL)*(INC_SPECIALS="Y"))=0,"",'Dvd Calendar'!$AA$1927)))</f>
        <v/>
      </c>
      <c r="Z193" s="161">
        <f>IF(FB193="","",IF(ISNUMBER('Dvd Calendar'!$AB$1927)=FALSE,"",IF((('Dvd Calendar'!$AB$1929=TYPE1)*(TYPE1&lt;&gt;"")+('Dvd Calendar'!$AB$1929=TYPE2)*(TYPE2&lt;&gt;"")+('Dvd Calendar'!$AB$1929=TYPE3)*(TYPE3&lt;&gt;"")+('Dvd Calendar'!$AB$1929=TYPE4)*(TYPE4&lt;&gt;"")+('Dvd Calendar'!$AB$1929=SPECIAL_LBL)*(INC_SPECIALS="Y"))=0,"",'Dvd Calendar'!$AB$1927)))</f>
        <v/>
      </c>
      <c r="AA193" s="161">
        <f>IF(FC193="","",IF(ISNUMBER('Dvd Calendar'!$AC$1927)=FALSE,"",IF((('Dvd Calendar'!$AC$1929=TYPE1)*(TYPE1&lt;&gt;"")+('Dvd Calendar'!$AC$1929=TYPE2)*(TYPE2&lt;&gt;"")+('Dvd Calendar'!$AC$1929=TYPE3)*(TYPE3&lt;&gt;"")+('Dvd Calendar'!$AC$1929=TYPE4)*(TYPE4&lt;&gt;"")+('Dvd Calendar'!$AC$1929=SPECIAL_LBL)*(INC_SPECIALS="Y"))=0,"",'Dvd Calendar'!$AC$1927)))</f>
        <v/>
      </c>
      <c r="AB193" s="161">
        <f>IF(FD193="","",IF(ISNUMBER('Dvd Calendar'!$AD$1927)=FALSE,"",IF((('Dvd Calendar'!$AD$1929=TYPE1)*(TYPE1&lt;&gt;"")+('Dvd Calendar'!$AD$1929=TYPE2)*(TYPE2&lt;&gt;"")+('Dvd Calendar'!$AD$1929=TYPE3)*(TYPE3&lt;&gt;"")+('Dvd Calendar'!$AD$1929=TYPE4)*(TYPE4&lt;&gt;"")+('Dvd Calendar'!$AD$1929=SPECIAL_LBL)*(INC_SPECIALS="Y"))=0,"",'Dvd Calendar'!$AD$1927)))</f>
        <v/>
      </c>
      <c r="AC193" s="161">
        <f>IF(FE193="","",IF(ISNUMBER('Dvd Calendar'!$AE$1927)=FALSE,"",IF((('Dvd Calendar'!$AE$1929=TYPE1)*(TYPE1&lt;&gt;"")+('Dvd Calendar'!$AE$1929=TYPE2)*(TYPE2&lt;&gt;"")+('Dvd Calendar'!$AE$1929=TYPE3)*(TYPE3&lt;&gt;"")+('Dvd Calendar'!$AE$1929=TYPE4)*(TYPE4&lt;&gt;"")+('Dvd Calendar'!$AE$1929=SPECIAL_LBL)*(INC_SPECIALS="Y"))=0,"",'Dvd Calendar'!$AE$1927)))</f>
        <v/>
      </c>
      <c r="AD193" s="161">
        <f>IF(FF193="","",IF(ISNUMBER('Dvd Calendar'!$AF$1927)=FALSE,"",IF((('Dvd Calendar'!$AF$1929=TYPE1)*(TYPE1&lt;&gt;"")+('Dvd Calendar'!$AF$1929=TYPE2)*(TYPE2&lt;&gt;"")+('Dvd Calendar'!$AF$1929=TYPE3)*(TYPE3&lt;&gt;"")+('Dvd Calendar'!$AF$1929=TYPE4)*(TYPE4&lt;&gt;"")+('Dvd Calendar'!$AF$1929=SPECIAL_LBL)*(INC_SPECIALS="Y"))=0,"",'Dvd Calendar'!$AF$1927)))</f>
        <v/>
      </c>
      <c r="AE193" s="161">
        <f>IF(FG193="","",IF(ISNUMBER('Dvd Calendar'!$AG$1927)=FALSE,"",IF((('Dvd Calendar'!$AG$1929=TYPE1)*(TYPE1&lt;&gt;"")+('Dvd Calendar'!$AG$1929=TYPE2)*(TYPE2&lt;&gt;"")+('Dvd Calendar'!$AG$1929=TYPE3)*(TYPE3&lt;&gt;"")+('Dvd Calendar'!$AG$1929=TYPE4)*(TYPE4&lt;&gt;"")+('Dvd Calendar'!$AG$1929=SPECIAL_LBL)*(INC_SPECIALS="Y"))=0,"",'Dvd Calendar'!$AG$1927)))</f>
        <v/>
      </c>
      <c r="AF193" s="161">
        <f>IF(FH193="","",IF(ISNUMBER('Dvd Calendar'!$AH$1927)=FALSE,"",IF((('Dvd Calendar'!$AH$1929=TYPE1)*(TYPE1&lt;&gt;"")+('Dvd Calendar'!$AH$1929=TYPE2)*(TYPE2&lt;&gt;"")+('Dvd Calendar'!$AH$1929=TYPE3)*(TYPE3&lt;&gt;"")+('Dvd Calendar'!$AH$1929=TYPE4)*(TYPE4&lt;&gt;"")+('Dvd Calendar'!$AH$1929=SPECIAL_LBL)*(INC_SPECIALS="Y"))=0,"",'Dvd Calendar'!$AH$1927)))</f>
        <v/>
      </c>
      <c r="AG193" s="161">
        <f>IF(FI193="","",IF(ISNUMBER('Dvd Calendar'!$AI$1927)=FALSE,"",IF((('Dvd Calendar'!$AI$1929=TYPE1)*(TYPE1&lt;&gt;"")+('Dvd Calendar'!$AI$1929=TYPE2)*(TYPE2&lt;&gt;"")+('Dvd Calendar'!$AI$1929=TYPE3)*(TYPE3&lt;&gt;"")+('Dvd Calendar'!$AI$1929=TYPE4)*(TYPE4&lt;&gt;"")+('Dvd Calendar'!$AI$1929=SPECIAL_LBL)*(INC_SPECIALS="Y"))=0,"",'Dvd Calendar'!$AI$1927)))</f>
        <v/>
      </c>
      <c r="AH193" s="161">
        <f>IF(FJ193="","",IF(ISNUMBER('Dvd Calendar'!$AJ$1927)=FALSE,"",IF((('Dvd Calendar'!$AJ$1929=TYPE1)*(TYPE1&lt;&gt;"")+('Dvd Calendar'!$AJ$1929=TYPE2)*(TYPE2&lt;&gt;"")+('Dvd Calendar'!$AJ$1929=TYPE3)*(TYPE3&lt;&gt;"")+('Dvd Calendar'!$AJ$1929=TYPE4)*(TYPE4&lt;&gt;"")+('Dvd Calendar'!$AJ$1929=SPECIAL_LBL)*(INC_SPECIALS="Y"))=0,"",'Dvd Calendar'!$AJ$1927)))</f>
        <v/>
      </c>
      <c r="AI193" s="161">
        <f>IF(FK193="","",IF(ISNUMBER('Dvd Calendar'!$AK$1927)=FALSE,"",IF((('Dvd Calendar'!$AK$1929=TYPE1)*(TYPE1&lt;&gt;"")+('Dvd Calendar'!$AK$1929=TYPE2)*(TYPE2&lt;&gt;"")+('Dvd Calendar'!$AK$1929=TYPE3)*(TYPE3&lt;&gt;"")+('Dvd Calendar'!$AK$1929=TYPE4)*(TYPE4&lt;&gt;"")+('Dvd Calendar'!$AK$1929=SPECIAL_LBL)*(INC_SPECIALS="Y"))=0,"",'Dvd Calendar'!$AK$1927)))</f>
        <v/>
      </c>
      <c r="AJ193" s="161">
        <f>IF(FL193="","",IF(ISNUMBER('Dvd Calendar'!$AL$1927)=FALSE,"",IF((('Dvd Calendar'!$AL$1929=TYPE1)*(TYPE1&lt;&gt;"")+('Dvd Calendar'!$AL$1929=TYPE2)*(TYPE2&lt;&gt;"")+('Dvd Calendar'!$AL$1929=TYPE3)*(TYPE3&lt;&gt;"")+('Dvd Calendar'!$AL$1929=TYPE4)*(TYPE4&lt;&gt;"")+('Dvd Calendar'!$AL$1929=SPECIAL_LBL)*(INC_SPECIALS="Y"))=0,"",'Dvd Calendar'!$AL$1927)))</f>
        <v/>
      </c>
      <c r="AK193" s="161">
        <f>IF(FM193="","",IF(ISNUMBER('Dvd Calendar'!$AM$1927)=FALSE,"",IF((('Dvd Calendar'!$AM$1929=TYPE1)*(TYPE1&lt;&gt;"")+('Dvd Calendar'!$AM$1929=TYPE2)*(TYPE2&lt;&gt;"")+('Dvd Calendar'!$AM$1929=TYPE3)*(TYPE3&lt;&gt;"")+('Dvd Calendar'!$AM$1929=TYPE4)*(TYPE4&lt;&gt;"")+('Dvd Calendar'!$AM$1929=SPECIAL_LBL)*(INC_SPECIALS="Y"))=0,"",'Dvd Calendar'!$AM$1927)))</f>
        <v/>
      </c>
      <c r="AL193" s="161">
        <f>IF(FN193="","",IF(ISNUMBER('Dvd Calendar'!$AN$1927)=FALSE,"",IF((('Dvd Calendar'!$AN$1929=TYPE1)*(TYPE1&lt;&gt;"")+('Dvd Calendar'!$AN$1929=TYPE2)*(TYPE2&lt;&gt;"")+('Dvd Calendar'!$AN$1929=TYPE3)*(TYPE3&lt;&gt;"")+('Dvd Calendar'!$AN$1929=TYPE4)*(TYPE4&lt;&gt;"")+('Dvd Calendar'!$AN$1929=SPECIAL_LBL)*(INC_SPECIALS="Y"))=0,"",'Dvd Calendar'!$AN$1927)))</f>
        <v/>
      </c>
      <c r="AM193" s="161">
        <f>IF(FO193="","",IF(ISNUMBER('Dvd Calendar'!$AO$1927)=FALSE,"",IF((('Dvd Calendar'!$AO$1929=TYPE1)*(TYPE1&lt;&gt;"")+('Dvd Calendar'!$AO$1929=TYPE2)*(TYPE2&lt;&gt;"")+('Dvd Calendar'!$AO$1929=TYPE3)*(TYPE3&lt;&gt;"")+('Dvd Calendar'!$AO$1929=TYPE4)*(TYPE4&lt;&gt;"")+('Dvd Calendar'!$AO$1929=SPECIAL_LBL)*(INC_SPECIALS="Y"))=0,"",'Dvd Calendar'!$AO$1927)))</f>
        <v/>
      </c>
      <c r="AN193" s="161">
        <f>IF(FP193="","",IF(ISNUMBER('Dvd Calendar'!$AP$1927)=FALSE,"",IF((('Dvd Calendar'!$AP$1929=TYPE1)*(TYPE1&lt;&gt;"")+('Dvd Calendar'!$AP$1929=TYPE2)*(TYPE2&lt;&gt;"")+('Dvd Calendar'!$AP$1929=TYPE3)*(TYPE3&lt;&gt;"")+('Dvd Calendar'!$AP$1929=TYPE4)*(TYPE4&lt;&gt;"")+('Dvd Calendar'!$AP$1929=SPECIAL_LBL)*(INC_SPECIALS="Y"))=0,"",'Dvd Calendar'!$AP$1927)))</f>
        <v/>
      </c>
      <c r="AO193" s="161">
        <f>IF(FQ193="","",IF(ISNUMBER('Dvd Calendar'!$AQ$1927)=FALSE,"",IF((('Dvd Calendar'!$AQ$1929=TYPE1)*(TYPE1&lt;&gt;"")+('Dvd Calendar'!$AQ$1929=TYPE2)*(TYPE2&lt;&gt;"")+('Dvd Calendar'!$AQ$1929=TYPE3)*(TYPE3&lt;&gt;"")+('Dvd Calendar'!$AQ$1929=TYPE4)*(TYPE4&lt;&gt;"")+('Dvd Calendar'!$AQ$1929=SPECIAL_LBL)*(INC_SPECIALS="Y"))=0,"",'Dvd Calendar'!$AQ$1927)))</f>
        <v/>
      </c>
      <c r="AP193" s="161">
        <f>IF(FR193="","",IF(ISNUMBER('Dvd Calendar'!$AR$1927)=FALSE,"",IF((('Dvd Calendar'!$AR$1929=TYPE1)*(TYPE1&lt;&gt;"")+('Dvd Calendar'!$AR$1929=TYPE2)*(TYPE2&lt;&gt;"")+('Dvd Calendar'!$AR$1929=TYPE3)*(TYPE3&lt;&gt;"")+('Dvd Calendar'!$AR$1929=TYPE4)*(TYPE4&lt;&gt;"")+('Dvd Calendar'!$AR$1929=SPECIAL_LBL)*(INC_SPECIALS="Y"))=0,"",'Dvd Calendar'!$AR$1927)))</f>
        <v/>
      </c>
      <c r="AQ193" s="161">
        <f>IF(FS193="","",IF(ISNUMBER('Dvd Calendar'!$E$1932)=FALSE,"",'Dvd Calendar'!$E$1932))</f>
        <v/>
      </c>
      <c r="AR193" s="161">
        <f>IF(FT193="","",IF(ISNUMBER('Dvd Calendar'!$F$1932)=FALSE,"",'Dvd Calendar'!$F$1932))</f>
        <v/>
      </c>
      <c r="AS193" s="161">
        <f>IF(FU193="","",IF(ISNUMBER('Dvd Calendar'!$G$1932)=FALSE,"",'Dvd Calendar'!$G$1932))</f>
        <v/>
      </c>
      <c r="AT193" s="161">
        <f>IF(FV193="","",IF(ISNUMBER('Dvd Calendar'!$H$1932)=FALSE,"",'Dvd Calendar'!$H$1932))</f>
        <v/>
      </c>
      <c r="AU193" s="161">
        <f>IF(FW193="","",IF(ISNUMBER('Dvd Calendar'!$I$1932)=FALSE,"",'Dvd Calendar'!$I$1932))</f>
        <v/>
      </c>
      <c r="AV193" s="161">
        <f>IF(FX193="","",IF(ISNUMBER('Dvd Calendar'!$J$1932)=FALSE,"",'Dvd Calendar'!$J$1932))</f>
        <v/>
      </c>
      <c r="AW193" s="161">
        <f>IF(FY193="","",IF(ISNUMBER('Dvd Calendar'!$K$1932)=FALSE,"",'Dvd Calendar'!$K$1932))</f>
        <v/>
      </c>
      <c r="AX193" s="161">
        <f>IF(FZ193="","",IF(ISNUMBER('Dvd Calendar'!$L$1932)=FALSE,"",'Dvd Calendar'!$L$1932))</f>
        <v/>
      </c>
      <c r="AY193" s="161">
        <f>IF(GA193="","",IF(ISNUMBER('Dvd Calendar'!$M$1932)=FALSE,"",'Dvd Calendar'!$M$1932))</f>
        <v/>
      </c>
      <c r="AZ193" s="161">
        <f>IF(GB193="","",IF(ISNUMBER('Dvd Calendar'!$N$1932)=FALSE,"",'Dvd Calendar'!$N$1932))</f>
        <v/>
      </c>
      <c r="BA193" s="161">
        <f>IF(GC193="","",IF(ISNUMBER('Dvd Calendar'!$O$1932)=FALSE,"",'Dvd Calendar'!$O$1932))</f>
        <v/>
      </c>
      <c r="BB193" s="161">
        <f>IF(GD193="","",IF(ISNUMBER('Dvd Calendar'!$P$1932)=FALSE,"",'Dvd Calendar'!$P$1932))</f>
        <v/>
      </c>
      <c r="BC193" s="161">
        <f>IF(GE193="","",IF(ISNUMBER('Dvd Calendar'!$Q$1932)=FALSE,"",'Dvd Calendar'!$Q$1932))</f>
        <v/>
      </c>
      <c r="BD193" s="161">
        <f>IF(GF193="","",IF(ISNUMBER('Dvd Calendar'!$R$1932)=FALSE,"",'Dvd Calendar'!$R$1932))</f>
        <v/>
      </c>
      <c r="BE193" s="161">
        <f>IF(GG193="","",IF(ISNUMBER('Dvd Calendar'!$S$1932)=FALSE,"",'Dvd Calendar'!$S$1932))</f>
        <v/>
      </c>
      <c r="BF193" s="161">
        <f>IF(GH193="","",IF(ISNUMBER('Dvd Calendar'!$T$1932)=FALSE,"",'Dvd Calendar'!$T$1932))</f>
        <v/>
      </c>
      <c r="BG193" s="161">
        <f>IF(GI193="","",IF(ISNUMBER('Dvd Calendar'!$U$1932)=FALSE,"",'Dvd Calendar'!$U$1932))</f>
        <v/>
      </c>
      <c r="BH193" s="161">
        <f>IF(GJ193="","",IF(ISNUMBER('Dvd Calendar'!$V$1932)=FALSE,"",'Dvd Calendar'!$V$1932))</f>
        <v/>
      </c>
      <c r="BI193" s="161">
        <f>IF(GK193="","",IF(ISNUMBER('Dvd Calendar'!$W$1932)=FALSE,"",'Dvd Calendar'!$W$1932))</f>
        <v/>
      </c>
      <c r="BJ193" s="161">
        <f>IF(GL193="","",IF(ISNUMBER('Dvd Calendar'!$X$1932)=FALSE,"",'Dvd Calendar'!$X$1932))</f>
        <v/>
      </c>
      <c r="BK193" s="161">
        <f>IF(GM193="","",IF(ISNUMBER('Dvd Calendar'!$Y$1932)=FALSE,"",'Dvd Calendar'!$Y$1932))</f>
        <v/>
      </c>
      <c r="BL193" s="161">
        <f>IF(GN193="","",IF(ISNUMBER('Dvd Calendar'!$Z$1932)=FALSE,"",'Dvd Calendar'!$Z$1932))</f>
        <v/>
      </c>
      <c r="BM193" s="161">
        <f>IF(GO193="","",IF(ISNUMBER('Dvd Calendar'!$AA$1932)=FALSE,"",'Dvd Calendar'!$AA$1932))</f>
        <v/>
      </c>
      <c r="BN193" s="161">
        <f>IF(GP193="","",IF(ISNUMBER('Dvd Calendar'!$AB$1932)=FALSE,"",'Dvd Calendar'!$AB$1932))</f>
        <v/>
      </c>
      <c r="BO193" s="161">
        <f>IF(GQ193="","",IF(ISNUMBER('Dvd Calendar'!$AC$1932)=FALSE,"",'Dvd Calendar'!$AC$1932))</f>
        <v/>
      </c>
      <c r="BQ193" s="161">
        <f>IF(C193="","",IFERROR(C193*HSCEI!$B$40*HSCEI!$G$40/HSCEI!$B$3,""))</f>
        <v/>
      </c>
      <c r="BR193" s="161">
        <f>IF(D193="","",IFERROR(D193*HSCEI!$B$40*HSCEI!$G$40/HSCEI!$B$3,""))</f>
        <v/>
      </c>
      <c r="BS193" s="161">
        <f>IF(E193="","",IFERROR(E193*HSCEI!$B$40*HSCEI!$G$40/HSCEI!$B$3,""))</f>
        <v/>
      </c>
      <c r="BT193" s="161">
        <f>IF(F193="","",IFERROR(F193*HSCEI!$B$40*HSCEI!$G$40/HSCEI!$B$3,""))</f>
        <v/>
      </c>
      <c r="BU193" s="161">
        <f>IF(G193="","",IFERROR(G193*HSCEI!$B$40*HSCEI!$G$40/HSCEI!$B$3,""))</f>
        <v/>
      </c>
      <c r="BV193" s="161">
        <f>IF(H193="","",IFERROR(H193*HSCEI!$B$40*HSCEI!$G$40/HSCEI!$B$3,""))</f>
        <v/>
      </c>
      <c r="BW193" s="161">
        <f>IF(I193="","",IFERROR(I193*HSCEI!$B$40*HSCEI!$G$40/HSCEI!$B$3,""))</f>
        <v/>
      </c>
      <c r="BX193" s="161">
        <f>IF(J193="","",IFERROR(J193*HSCEI!$B$40*HSCEI!$G$40/HSCEI!$B$3,""))</f>
        <v/>
      </c>
      <c r="BY193" s="161">
        <f>IF(K193="","",IFERROR(K193*HSCEI!$B$40*HSCEI!$G$40/HSCEI!$B$3,""))</f>
        <v/>
      </c>
      <c r="BZ193" s="161">
        <f>IF(L193="","",IFERROR(L193*HSCEI!$B$40*HSCEI!$G$40/HSCEI!$B$3,""))</f>
        <v/>
      </c>
      <c r="CA193" s="161">
        <f>IF(M193="","",IFERROR(M193*HSCEI!$B$40*HSCEI!$G$40/HSCEI!$B$3,""))</f>
        <v/>
      </c>
      <c r="CB193" s="161">
        <f>IF(N193="","",IFERROR(N193*HSCEI!$B$40*HSCEI!$G$40/HSCEI!$B$3,""))</f>
        <v/>
      </c>
      <c r="CC193" s="161">
        <f>IF(O193="","",IFERROR(O193*HSCEI!$B$40*HSCEI!$G$40/HSCEI!$B$3,""))</f>
        <v/>
      </c>
      <c r="CD193" s="161">
        <f>IF(P193="","",IFERROR(P193*HSCEI!$B$40*HSCEI!$G$40/HSCEI!$B$3,""))</f>
        <v/>
      </c>
      <c r="CE193" s="161">
        <f>IF(Q193="","",IFERROR(Q193*HSCEI!$B$40*HSCEI!$G$40/HSCEI!$B$3,""))</f>
        <v/>
      </c>
      <c r="CF193" s="161">
        <f>IF(R193="","",IFERROR(R193*HSCEI!$B$40*HSCEI!$G$40/HSCEI!$B$3,""))</f>
        <v/>
      </c>
      <c r="CG193" s="161">
        <f>IF(S193="","",IFERROR(S193*HSCEI!$B$40*HSCEI!$G$40/HSCEI!$B$3,""))</f>
        <v/>
      </c>
      <c r="CH193" s="161">
        <f>IF(T193="","",IFERROR(T193*HSCEI!$B$40*HSCEI!$G$40/HSCEI!$B$3,""))</f>
        <v/>
      </c>
      <c r="CI193" s="161">
        <f>IF(U193="","",IFERROR(U193*HSCEI!$B$40*HSCEI!$G$40/HSCEI!$B$3,""))</f>
        <v/>
      </c>
      <c r="CJ193" s="161">
        <f>IF(V193="","",IFERROR(V193*HSCEI!$B$40*HSCEI!$G$40/HSCEI!$B$3,""))</f>
        <v/>
      </c>
      <c r="CK193" s="161">
        <f>IF(W193="","",IFERROR(W193*HSCEI!$B$40*HSCEI!$G$40/HSCEI!$B$3,""))</f>
        <v/>
      </c>
      <c r="CL193" s="161">
        <f>IF(X193="","",IFERROR(X193*HSCEI!$B$40*HSCEI!$G$40/HSCEI!$B$3,""))</f>
        <v/>
      </c>
      <c r="CM193" s="161">
        <f>IF(Y193="","",IFERROR(Y193*HSCEI!$B$40*HSCEI!$G$40/HSCEI!$B$3,""))</f>
        <v/>
      </c>
      <c r="CN193" s="161">
        <f>IF(Z193="","",IFERROR(Z193*HSCEI!$B$40*HSCEI!$G$40/HSCEI!$B$3,""))</f>
        <v/>
      </c>
      <c r="CO193" s="161">
        <f>IF(AA193="","",IFERROR(AA193*HSCEI!$B$40*HSCEI!$G$40/HSCEI!$B$3,""))</f>
        <v/>
      </c>
      <c r="CP193" s="161">
        <f>IF(AB193="","",IFERROR(AB193*HSCEI!$B$40*HSCEI!$G$40/HSCEI!$B$3,""))</f>
        <v/>
      </c>
      <c r="CQ193" s="161">
        <f>IF(AC193="","",IFERROR(AC193*HSCEI!$B$40*HSCEI!$G$40/HSCEI!$B$3,""))</f>
        <v/>
      </c>
      <c r="CR193" s="161">
        <f>IF(AD193="","",IFERROR(AD193*HSCEI!$B$40*HSCEI!$G$40/HSCEI!$B$3,""))</f>
        <v/>
      </c>
      <c r="CS193" s="161">
        <f>IF(AE193="","",IFERROR(AE193*HSCEI!$B$40*HSCEI!$G$40/HSCEI!$B$3,""))</f>
        <v/>
      </c>
      <c r="CT193" s="161">
        <f>IF(AF193="","",IFERROR(AF193*HSCEI!$B$40*HSCEI!$G$40/HSCEI!$B$3,""))</f>
        <v/>
      </c>
      <c r="CU193" s="161">
        <f>IF(AG193="","",IFERROR(AG193*HSCEI!$B$40*HSCEI!$G$40/HSCEI!$B$3,""))</f>
        <v/>
      </c>
      <c r="CV193" s="161">
        <f>IF(AH193="","",IFERROR(AH193*HSCEI!$B$40*HSCEI!$G$40/HSCEI!$B$3,""))</f>
        <v/>
      </c>
      <c r="CW193" s="161">
        <f>IF(AI193="","",IFERROR(AI193*HSCEI!$B$40*HSCEI!$G$40/HSCEI!$B$3,""))</f>
        <v/>
      </c>
      <c r="CX193" s="161">
        <f>IF(AJ193="","",IFERROR(AJ193*HSCEI!$B$40*HSCEI!$G$40/HSCEI!$B$3,""))</f>
        <v/>
      </c>
      <c r="CY193" s="161">
        <f>IF(AK193="","",IFERROR(AK193*HSCEI!$B$40*HSCEI!$G$40/HSCEI!$B$3,""))</f>
        <v/>
      </c>
      <c r="CZ193" s="161">
        <f>IF(AL193="","",IFERROR(AL193*HSCEI!$B$40*HSCEI!$G$40/HSCEI!$B$3,""))</f>
        <v/>
      </c>
      <c r="DA193" s="161">
        <f>IF(AM193="","",IFERROR(AM193*HSCEI!$B$40*HSCEI!$G$40/HSCEI!$B$3,""))</f>
        <v/>
      </c>
      <c r="DB193" s="161">
        <f>IF(AN193="","",IFERROR(AN193*HSCEI!$B$40*HSCEI!$G$40/HSCEI!$B$3,""))</f>
        <v/>
      </c>
      <c r="DC193" s="161">
        <f>IF(AO193="","",IFERROR(AO193*HSCEI!$B$40*HSCEI!$G$40/HSCEI!$B$3,""))</f>
        <v/>
      </c>
      <c r="DD193" s="161">
        <f>IF(AP193="","",IFERROR(AP193*HSCEI!$B$40*HSCEI!$G$40/HSCEI!$B$3,""))</f>
        <v/>
      </c>
      <c r="DE193" s="161">
        <f>IF(AQ193="","",IFERROR(AQ193*HSCEI!$B$40*HSCEI!$G$40/HSCEI!$B$3,""))</f>
        <v/>
      </c>
      <c r="DF193" s="161">
        <f>IF(AR193="","",IFERROR(AR193*HSCEI!$B$40*HSCEI!$G$40/HSCEI!$B$3,""))</f>
        <v/>
      </c>
      <c r="DG193" s="161">
        <f>IF(AS193="","",IFERROR(AS193*HSCEI!$B$40*HSCEI!$G$40/HSCEI!$B$3,""))</f>
        <v/>
      </c>
      <c r="DH193" s="161">
        <f>IF(AT193="","",IFERROR(AT193*HSCEI!$B$40*HSCEI!$G$40/HSCEI!$B$3,""))</f>
        <v/>
      </c>
      <c r="DI193" s="161">
        <f>IF(AU193="","",IFERROR(AU193*HSCEI!$B$40*HSCEI!$G$40/HSCEI!$B$3,""))</f>
        <v/>
      </c>
      <c r="DJ193" s="161">
        <f>IF(AV193="","",IFERROR(AV193*HSCEI!$B$40*HSCEI!$G$40/HSCEI!$B$3,""))</f>
        <v/>
      </c>
      <c r="DK193" s="161">
        <f>IF(AW193="","",IFERROR(AW193*HSCEI!$B$40*HSCEI!$G$40/HSCEI!$B$3,""))</f>
        <v/>
      </c>
      <c r="DL193" s="161">
        <f>IF(AX193="","",IFERROR(AX193*HSCEI!$B$40*HSCEI!$G$40/HSCEI!$B$3,""))</f>
        <v/>
      </c>
      <c r="DM193" s="161">
        <f>IF(AY193="","",IFERROR(AY193*HSCEI!$B$40*HSCEI!$G$40/HSCEI!$B$3,""))</f>
        <v/>
      </c>
      <c r="DN193" s="161">
        <f>IF(AZ193="","",IFERROR(AZ193*HSCEI!$B$40*HSCEI!$G$40/HSCEI!$B$3,""))</f>
        <v/>
      </c>
      <c r="DO193" s="161">
        <f>IF(BA193="","",IFERROR(BA193*HSCEI!$B$40*HSCEI!$G$40/HSCEI!$B$3,""))</f>
        <v/>
      </c>
      <c r="DP193" s="161">
        <f>IF(BB193="","",IFERROR(BB193*HSCEI!$B$40*HSCEI!$G$40/HSCEI!$B$3,""))</f>
        <v/>
      </c>
      <c r="DQ193" s="161">
        <f>IF(BC193="","",IFERROR(BC193*HSCEI!$B$40*HSCEI!$G$40/HSCEI!$B$3,""))</f>
        <v/>
      </c>
      <c r="DR193" s="161">
        <f>IF(BD193="","",IFERROR(BD193*HSCEI!$B$40*HSCEI!$G$40/HSCEI!$B$3,""))</f>
        <v/>
      </c>
      <c r="DS193" s="161">
        <f>IF(BE193="","",IFERROR(BE193*HSCEI!$B$40*HSCEI!$G$40/HSCEI!$B$3,""))</f>
        <v/>
      </c>
      <c r="DT193" s="161">
        <f>IF(BF193="","",IFERROR(BF193*HSCEI!$B$40*HSCEI!$G$40/HSCEI!$B$3,""))</f>
        <v/>
      </c>
      <c r="DU193" s="161">
        <f>IF(BG193="","",IFERROR(BG193*HSCEI!$B$40*HSCEI!$G$40/HSCEI!$B$3,""))</f>
        <v/>
      </c>
      <c r="DV193" s="161">
        <f>IF(BH193="","",IFERROR(BH193*HSCEI!$B$40*HSCEI!$G$40/HSCEI!$B$3,""))</f>
        <v/>
      </c>
      <c r="DW193" s="161">
        <f>IF(BI193="","",IFERROR(BI193*HSCEI!$B$40*HSCEI!$G$40/HSCEI!$B$3,""))</f>
        <v/>
      </c>
      <c r="DX193" s="161">
        <f>IF(BJ193="","",IFERROR(BJ193*HSCEI!$B$40*HSCEI!$G$40/HSCEI!$B$3,""))</f>
        <v/>
      </c>
      <c r="DY193" s="161">
        <f>IF(BK193="","",IFERROR(BK193*HSCEI!$B$40*HSCEI!$G$40/HSCEI!$B$3,""))</f>
        <v/>
      </c>
      <c r="DZ193" s="161">
        <f>IF(BL193="","",IFERROR(BL193*HSCEI!$B$40*HSCEI!$G$40/HSCEI!$B$3,""))</f>
        <v/>
      </c>
      <c r="EA193" s="161">
        <f>IF(BM193="","",IFERROR(BM193*HSCEI!$B$40*HSCEI!$G$40/HSCEI!$B$3,""))</f>
        <v/>
      </c>
      <c r="EB193" s="161">
        <f>IF(BN193="","",IFERROR(BN193*HSCEI!$B$40*HSCEI!$G$40/HSCEI!$B$3,""))</f>
        <v/>
      </c>
      <c r="EC193" s="161">
        <f>IF(BO193="","",IFERROR(BO193*HSCEI!$B$40*HSCEI!$G$40/HSCEI!$B$3,""))</f>
        <v/>
      </c>
      <c r="EE193" s="121">
        <f>IF(N('Dvd Calendar'!$E$1924)=0,"",IF(('Dvd Calendar'!$E$1924&gt;=GRID_FROM)*('Dvd Calendar'!$E$1924&lt;=GRID_TO)*((('Dvd Calendar'!$E$1924&lt;=VAL_DATE)+(COUNTIF('Dvd Calendar'!$E$1931:$AR$1931,'Dvd Calendar'!$E$1924)=0))&gt;0)=0,"",'Dvd Calendar'!$E$1924*1000000000+ISNUMBER('Dvd Calendar'!$E$1927)*100000000+('Dvd Calendar'!$E$1929=SPECIAL_LBL)*10000000+(N('Dvd Calendar'!$E$1923)&gt;0)*(N('Dvd Calendar'!$E$1923)&lt;=VAL_SERIAL)*1000000+34*1000+1))</f>
        <v/>
      </c>
      <c r="EF193" s="121">
        <f>IF(N('Dvd Calendar'!$F$1924)=0,"",IF(('Dvd Calendar'!$F$1924&gt;=GRID_FROM)*('Dvd Calendar'!$F$1924&lt;=GRID_TO)*((('Dvd Calendar'!$F$1924&lt;=VAL_DATE)+(COUNTIF('Dvd Calendar'!$E$1931:$AR$1931,'Dvd Calendar'!$F$1924)=0))&gt;0)=0,"",'Dvd Calendar'!$F$1924*1000000000+ISNUMBER('Dvd Calendar'!$F$1927)*100000000+('Dvd Calendar'!$F$1929=SPECIAL_LBL)*10000000+(N('Dvd Calendar'!$F$1923)&gt;0)*(N('Dvd Calendar'!$F$1923)&lt;=VAL_SERIAL)*1000000+34*1000+2))</f>
        <v/>
      </c>
      <c r="EG193" s="121">
        <f>IF(N('Dvd Calendar'!$G$1924)=0,"",IF(('Dvd Calendar'!$G$1924&gt;=GRID_FROM)*('Dvd Calendar'!$G$1924&lt;=GRID_TO)*((('Dvd Calendar'!$G$1924&lt;=VAL_DATE)+(COUNTIF('Dvd Calendar'!$E$1931:$AR$1931,'Dvd Calendar'!$G$1924)=0))&gt;0)=0,"",'Dvd Calendar'!$G$1924*1000000000+ISNUMBER('Dvd Calendar'!$G$1927)*100000000+('Dvd Calendar'!$G$1929=SPECIAL_LBL)*10000000+(N('Dvd Calendar'!$G$1923)&gt;0)*(N('Dvd Calendar'!$G$1923)&lt;=VAL_SERIAL)*1000000+34*1000+3))</f>
        <v/>
      </c>
      <c r="EH193" s="121">
        <f>IF(N('Dvd Calendar'!$H$1924)=0,"",IF(('Dvd Calendar'!$H$1924&gt;=GRID_FROM)*('Dvd Calendar'!$H$1924&lt;=GRID_TO)*((('Dvd Calendar'!$H$1924&lt;=VAL_DATE)+(COUNTIF('Dvd Calendar'!$E$1931:$AR$1931,'Dvd Calendar'!$H$1924)=0))&gt;0)=0,"",'Dvd Calendar'!$H$1924*1000000000+ISNUMBER('Dvd Calendar'!$H$1927)*100000000+('Dvd Calendar'!$H$1929=SPECIAL_LBL)*10000000+(N('Dvd Calendar'!$H$1923)&gt;0)*(N('Dvd Calendar'!$H$1923)&lt;=VAL_SERIAL)*1000000+34*1000+4))</f>
        <v/>
      </c>
      <c r="EI193" s="121">
        <f>IF(N('Dvd Calendar'!$I$1924)=0,"",IF(('Dvd Calendar'!$I$1924&gt;=GRID_FROM)*('Dvd Calendar'!$I$1924&lt;=GRID_TO)*((('Dvd Calendar'!$I$1924&lt;=VAL_DATE)+(COUNTIF('Dvd Calendar'!$E$1931:$AR$1931,'Dvd Calendar'!$I$1924)=0))&gt;0)=0,"",'Dvd Calendar'!$I$1924*1000000000+ISNUMBER('Dvd Calendar'!$I$1927)*100000000+('Dvd Calendar'!$I$1929=SPECIAL_LBL)*10000000+(N('Dvd Calendar'!$I$1923)&gt;0)*(N('Dvd Calendar'!$I$1923)&lt;=VAL_SERIAL)*1000000+34*1000+5))</f>
        <v/>
      </c>
      <c r="EJ193" s="121">
        <f>IF(N('Dvd Calendar'!$J$1924)=0,"",IF(('Dvd Calendar'!$J$1924&gt;=GRID_FROM)*('Dvd Calendar'!$J$1924&lt;=GRID_TO)*((('Dvd Calendar'!$J$1924&lt;=VAL_DATE)+(COUNTIF('Dvd Calendar'!$E$1931:$AR$1931,'Dvd Calendar'!$J$1924)=0))&gt;0)=0,"",'Dvd Calendar'!$J$1924*1000000000+ISNUMBER('Dvd Calendar'!$J$1927)*100000000+('Dvd Calendar'!$J$1929=SPECIAL_LBL)*10000000+(N('Dvd Calendar'!$J$1923)&gt;0)*(N('Dvd Calendar'!$J$1923)&lt;=VAL_SERIAL)*1000000+34*1000+6))</f>
        <v/>
      </c>
      <c r="EK193" s="121">
        <f>IF(N('Dvd Calendar'!$K$1924)=0,"",IF(('Dvd Calendar'!$K$1924&gt;=GRID_FROM)*('Dvd Calendar'!$K$1924&lt;=GRID_TO)*((('Dvd Calendar'!$K$1924&lt;=VAL_DATE)+(COUNTIF('Dvd Calendar'!$E$1931:$AR$1931,'Dvd Calendar'!$K$1924)=0))&gt;0)=0,"",'Dvd Calendar'!$K$1924*1000000000+ISNUMBER('Dvd Calendar'!$K$1927)*100000000+('Dvd Calendar'!$K$1929=SPECIAL_LBL)*10000000+(N('Dvd Calendar'!$K$1923)&gt;0)*(N('Dvd Calendar'!$K$1923)&lt;=VAL_SERIAL)*1000000+34*1000+7))</f>
        <v/>
      </c>
      <c r="EL193" s="121">
        <f>IF(N('Dvd Calendar'!$L$1924)=0,"",IF(('Dvd Calendar'!$L$1924&gt;=GRID_FROM)*('Dvd Calendar'!$L$1924&lt;=GRID_TO)*((('Dvd Calendar'!$L$1924&lt;=VAL_DATE)+(COUNTIF('Dvd Calendar'!$E$1931:$AR$1931,'Dvd Calendar'!$L$1924)=0))&gt;0)=0,"",'Dvd Calendar'!$L$1924*1000000000+ISNUMBER('Dvd Calendar'!$L$1927)*100000000+('Dvd Calendar'!$L$1929=SPECIAL_LBL)*10000000+(N('Dvd Calendar'!$L$1923)&gt;0)*(N('Dvd Calendar'!$L$1923)&lt;=VAL_SERIAL)*1000000+34*1000+8))</f>
        <v/>
      </c>
      <c r="EM193" s="121">
        <f>IF(N('Dvd Calendar'!$M$1924)=0,"",IF(('Dvd Calendar'!$M$1924&gt;=GRID_FROM)*('Dvd Calendar'!$M$1924&lt;=GRID_TO)*((('Dvd Calendar'!$M$1924&lt;=VAL_DATE)+(COUNTIF('Dvd Calendar'!$E$1931:$AR$1931,'Dvd Calendar'!$M$1924)=0))&gt;0)=0,"",'Dvd Calendar'!$M$1924*1000000000+ISNUMBER('Dvd Calendar'!$M$1927)*100000000+('Dvd Calendar'!$M$1929=SPECIAL_LBL)*10000000+(N('Dvd Calendar'!$M$1923)&gt;0)*(N('Dvd Calendar'!$M$1923)&lt;=VAL_SERIAL)*1000000+34*1000+9))</f>
        <v/>
      </c>
      <c r="EN193" s="121">
        <f>IF(N('Dvd Calendar'!$N$1924)=0,"",IF(('Dvd Calendar'!$N$1924&gt;=GRID_FROM)*('Dvd Calendar'!$N$1924&lt;=GRID_TO)*((('Dvd Calendar'!$N$1924&lt;=VAL_DATE)+(COUNTIF('Dvd Calendar'!$E$1931:$AR$1931,'Dvd Calendar'!$N$1924)=0))&gt;0)=0,"",'Dvd Calendar'!$N$1924*1000000000+ISNUMBER('Dvd Calendar'!$N$1927)*100000000+('Dvd Calendar'!$N$1929=SPECIAL_LBL)*10000000+(N('Dvd Calendar'!$N$1923)&gt;0)*(N('Dvd Calendar'!$N$1923)&lt;=VAL_SERIAL)*1000000+34*1000+10))</f>
        <v/>
      </c>
      <c r="EO193" s="121">
        <f>IF(N('Dvd Calendar'!$O$1924)=0,"",IF(('Dvd Calendar'!$O$1924&gt;=GRID_FROM)*('Dvd Calendar'!$O$1924&lt;=GRID_TO)*((('Dvd Calendar'!$O$1924&lt;=VAL_DATE)+(COUNTIF('Dvd Calendar'!$E$1931:$AR$1931,'Dvd Calendar'!$O$1924)=0))&gt;0)=0,"",'Dvd Calendar'!$O$1924*1000000000+ISNUMBER('Dvd Calendar'!$O$1927)*100000000+('Dvd Calendar'!$O$1929=SPECIAL_LBL)*10000000+(N('Dvd Calendar'!$O$1923)&gt;0)*(N('Dvd Calendar'!$O$1923)&lt;=VAL_SERIAL)*1000000+34*1000+11))</f>
        <v/>
      </c>
      <c r="EP193" s="121">
        <f>IF(N('Dvd Calendar'!$P$1924)=0,"",IF(('Dvd Calendar'!$P$1924&gt;=GRID_FROM)*('Dvd Calendar'!$P$1924&lt;=GRID_TO)*((('Dvd Calendar'!$P$1924&lt;=VAL_DATE)+(COUNTIF('Dvd Calendar'!$E$1931:$AR$1931,'Dvd Calendar'!$P$1924)=0))&gt;0)=0,"",'Dvd Calendar'!$P$1924*1000000000+ISNUMBER('Dvd Calendar'!$P$1927)*100000000+('Dvd Calendar'!$P$1929=SPECIAL_LBL)*10000000+(N('Dvd Calendar'!$P$1923)&gt;0)*(N('Dvd Calendar'!$P$1923)&lt;=VAL_SERIAL)*1000000+34*1000+12))</f>
        <v/>
      </c>
      <c r="EQ193" s="121">
        <f>IF(N('Dvd Calendar'!$Q$1924)=0,"",IF(('Dvd Calendar'!$Q$1924&gt;=GRID_FROM)*('Dvd Calendar'!$Q$1924&lt;=GRID_TO)*((('Dvd Calendar'!$Q$1924&lt;=VAL_DATE)+(COUNTIF('Dvd Calendar'!$E$1931:$AR$1931,'Dvd Calendar'!$Q$1924)=0))&gt;0)=0,"",'Dvd Calendar'!$Q$1924*1000000000+ISNUMBER('Dvd Calendar'!$Q$1927)*100000000+('Dvd Calendar'!$Q$1929=SPECIAL_LBL)*10000000+(N('Dvd Calendar'!$Q$1923)&gt;0)*(N('Dvd Calendar'!$Q$1923)&lt;=VAL_SERIAL)*1000000+34*1000+13))</f>
        <v/>
      </c>
      <c r="ER193" s="121">
        <f>IF(N('Dvd Calendar'!$R$1924)=0,"",IF(('Dvd Calendar'!$R$1924&gt;=GRID_FROM)*('Dvd Calendar'!$R$1924&lt;=GRID_TO)*((('Dvd Calendar'!$R$1924&lt;=VAL_DATE)+(COUNTIF('Dvd Calendar'!$E$1931:$AR$1931,'Dvd Calendar'!$R$1924)=0))&gt;0)=0,"",'Dvd Calendar'!$R$1924*1000000000+ISNUMBER('Dvd Calendar'!$R$1927)*100000000+('Dvd Calendar'!$R$1929=SPECIAL_LBL)*10000000+(N('Dvd Calendar'!$R$1923)&gt;0)*(N('Dvd Calendar'!$R$1923)&lt;=VAL_SERIAL)*1000000+34*1000+14))</f>
        <v/>
      </c>
      <c r="ES193" s="121">
        <f>IF(N('Dvd Calendar'!$S$1924)=0,"",IF(('Dvd Calendar'!$S$1924&gt;=GRID_FROM)*('Dvd Calendar'!$S$1924&lt;=GRID_TO)*((('Dvd Calendar'!$S$1924&lt;=VAL_DATE)+(COUNTIF('Dvd Calendar'!$E$1931:$AR$1931,'Dvd Calendar'!$S$1924)=0))&gt;0)=0,"",'Dvd Calendar'!$S$1924*1000000000+ISNUMBER('Dvd Calendar'!$S$1927)*100000000+('Dvd Calendar'!$S$1929=SPECIAL_LBL)*10000000+(N('Dvd Calendar'!$S$1923)&gt;0)*(N('Dvd Calendar'!$S$1923)&lt;=VAL_SERIAL)*1000000+34*1000+15))</f>
        <v/>
      </c>
      <c r="ET193" s="121">
        <f>IF(N('Dvd Calendar'!$T$1924)=0,"",IF(('Dvd Calendar'!$T$1924&gt;=GRID_FROM)*('Dvd Calendar'!$T$1924&lt;=GRID_TO)*((('Dvd Calendar'!$T$1924&lt;=VAL_DATE)+(COUNTIF('Dvd Calendar'!$E$1931:$AR$1931,'Dvd Calendar'!$T$1924)=0))&gt;0)=0,"",'Dvd Calendar'!$T$1924*1000000000+ISNUMBER('Dvd Calendar'!$T$1927)*100000000+('Dvd Calendar'!$T$1929=SPECIAL_LBL)*10000000+(N('Dvd Calendar'!$T$1923)&gt;0)*(N('Dvd Calendar'!$T$1923)&lt;=VAL_SERIAL)*1000000+34*1000+16))</f>
        <v/>
      </c>
      <c r="EU193" s="121">
        <f>IF(N('Dvd Calendar'!$U$1924)=0,"",IF(('Dvd Calendar'!$U$1924&gt;=GRID_FROM)*('Dvd Calendar'!$U$1924&lt;=GRID_TO)*((('Dvd Calendar'!$U$1924&lt;=VAL_DATE)+(COUNTIF('Dvd Calendar'!$E$1931:$AR$1931,'Dvd Calendar'!$U$1924)=0))&gt;0)=0,"",'Dvd Calendar'!$U$1924*1000000000+ISNUMBER('Dvd Calendar'!$U$1927)*100000000+('Dvd Calendar'!$U$1929=SPECIAL_LBL)*10000000+(N('Dvd Calendar'!$U$1923)&gt;0)*(N('Dvd Calendar'!$U$1923)&lt;=VAL_SERIAL)*1000000+34*1000+17))</f>
        <v/>
      </c>
      <c r="EV193" s="121">
        <f>IF(N('Dvd Calendar'!$V$1924)=0,"",IF(('Dvd Calendar'!$V$1924&gt;=GRID_FROM)*('Dvd Calendar'!$V$1924&lt;=GRID_TO)*((('Dvd Calendar'!$V$1924&lt;=VAL_DATE)+(COUNTIF('Dvd Calendar'!$E$1931:$AR$1931,'Dvd Calendar'!$V$1924)=0))&gt;0)=0,"",'Dvd Calendar'!$V$1924*1000000000+ISNUMBER('Dvd Calendar'!$V$1927)*100000000+('Dvd Calendar'!$V$1929=SPECIAL_LBL)*10000000+(N('Dvd Calendar'!$V$1923)&gt;0)*(N('Dvd Calendar'!$V$1923)&lt;=VAL_SERIAL)*1000000+34*1000+18))</f>
        <v/>
      </c>
      <c r="EW193" s="121">
        <f>IF(N('Dvd Calendar'!$W$1924)=0,"",IF(('Dvd Calendar'!$W$1924&gt;=GRID_FROM)*('Dvd Calendar'!$W$1924&lt;=GRID_TO)*((('Dvd Calendar'!$W$1924&lt;=VAL_DATE)+(COUNTIF('Dvd Calendar'!$E$1931:$AR$1931,'Dvd Calendar'!$W$1924)=0))&gt;0)=0,"",'Dvd Calendar'!$W$1924*1000000000+ISNUMBER('Dvd Calendar'!$W$1927)*100000000+('Dvd Calendar'!$W$1929=SPECIAL_LBL)*10000000+(N('Dvd Calendar'!$W$1923)&gt;0)*(N('Dvd Calendar'!$W$1923)&lt;=VAL_SERIAL)*1000000+34*1000+19))</f>
        <v/>
      </c>
      <c r="EX193" s="121">
        <f>IF(N('Dvd Calendar'!$X$1924)=0,"",IF(('Dvd Calendar'!$X$1924&gt;=GRID_FROM)*('Dvd Calendar'!$X$1924&lt;=GRID_TO)*((('Dvd Calendar'!$X$1924&lt;=VAL_DATE)+(COUNTIF('Dvd Calendar'!$E$1931:$AR$1931,'Dvd Calendar'!$X$1924)=0))&gt;0)=0,"",'Dvd Calendar'!$X$1924*1000000000+ISNUMBER('Dvd Calendar'!$X$1927)*100000000+('Dvd Calendar'!$X$1929=SPECIAL_LBL)*10000000+(N('Dvd Calendar'!$X$1923)&gt;0)*(N('Dvd Calendar'!$X$1923)&lt;=VAL_SERIAL)*1000000+34*1000+20))</f>
        <v/>
      </c>
      <c r="EY193" s="121">
        <f>IF(N('Dvd Calendar'!$Y$1924)=0,"",IF(('Dvd Calendar'!$Y$1924&gt;=GRID_FROM)*('Dvd Calendar'!$Y$1924&lt;=GRID_TO)*((('Dvd Calendar'!$Y$1924&lt;=VAL_DATE)+(COUNTIF('Dvd Calendar'!$E$1931:$AR$1931,'Dvd Calendar'!$Y$1924)=0))&gt;0)=0,"",'Dvd Calendar'!$Y$1924*1000000000+ISNUMBER('Dvd Calendar'!$Y$1927)*100000000+('Dvd Calendar'!$Y$1929=SPECIAL_LBL)*10000000+(N('Dvd Calendar'!$Y$1923)&gt;0)*(N('Dvd Calendar'!$Y$1923)&lt;=VAL_SERIAL)*1000000+34*1000+21))</f>
        <v/>
      </c>
      <c r="EZ193" s="121">
        <f>IF(N('Dvd Calendar'!$Z$1924)=0,"",IF(('Dvd Calendar'!$Z$1924&gt;=GRID_FROM)*('Dvd Calendar'!$Z$1924&lt;=GRID_TO)*((('Dvd Calendar'!$Z$1924&lt;=VAL_DATE)+(COUNTIF('Dvd Calendar'!$E$1931:$AR$1931,'Dvd Calendar'!$Z$1924)=0))&gt;0)=0,"",'Dvd Calendar'!$Z$1924*1000000000+ISNUMBER('Dvd Calendar'!$Z$1927)*100000000+('Dvd Calendar'!$Z$1929=SPECIAL_LBL)*10000000+(N('Dvd Calendar'!$Z$1923)&gt;0)*(N('Dvd Calendar'!$Z$1923)&lt;=VAL_SERIAL)*1000000+34*1000+22))</f>
        <v/>
      </c>
      <c r="FA193" s="121">
        <f>IF(N('Dvd Calendar'!$AA$1924)=0,"",IF(('Dvd Calendar'!$AA$1924&gt;=GRID_FROM)*('Dvd Calendar'!$AA$1924&lt;=GRID_TO)*((('Dvd Calendar'!$AA$1924&lt;=VAL_DATE)+(COUNTIF('Dvd Calendar'!$E$1931:$AR$1931,'Dvd Calendar'!$AA$1924)=0))&gt;0)=0,"",'Dvd Calendar'!$AA$1924*1000000000+ISNUMBER('Dvd Calendar'!$AA$1927)*100000000+('Dvd Calendar'!$AA$1929=SPECIAL_LBL)*10000000+(N('Dvd Calendar'!$AA$1923)&gt;0)*(N('Dvd Calendar'!$AA$1923)&lt;=VAL_SERIAL)*1000000+34*1000+23))</f>
        <v/>
      </c>
      <c r="FB193" s="121">
        <f>IF(N('Dvd Calendar'!$AB$1924)=0,"",IF(('Dvd Calendar'!$AB$1924&gt;=GRID_FROM)*('Dvd Calendar'!$AB$1924&lt;=GRID_TO)*((('Dvd Calendar'!$AB$1924&lt;=VAL_DATE)+(COUNTIF('Dvd Calendar'!$E$1931:$AR$1931,'Dvd Calendar'!$AB$1924)=0))&gt;0)=0,"",'Dvd Calendar'!$AB$1924*1000000000+ISNUMBER('Dvd Calendar'!$AB$1927)*100000000+('Dvd Calendar'!$AB$1929=SPECIAL_LBL)*10000000+(N('Dvd Calendar'!$AB$1923)&gt;0)*(N('Dvd Calendar'!$AB$1923)&lt;=VAL_SERIAL)*1000000+34*1000+24))</f>
        <v/>
      </c>
      <c r="FC193" s="121">
        <f>IF(N('Dvd Calendar'!$AC$1924)=0,"",IF(('Dvd Calendar'!$AC$1924&gt;=GRID_FROM)*('Dvd Calendar'!$AC$1924&lt;=GRID_TO)*((('Dvd Calendar'!$AC$1924&lt;=VAL_DATE)+(COUNTIF('Dvd Calendar'!$E$1931:$AR$1931,'Dvd Calendar'!$AC$1924)=0))&gt;0)=0,"",'Dvd Calendar'!$AC$1924*1000000000+ISNUMBER('Dvd Calendar'!$AC$1927)*100000000+('Dvd Calendar'!$AC$1929=SPECIAL_LBL)*10000000+(N('Dvd Calendar'!$AC$1923)&gt;0)*(N('Dvd Calendar'!$AC$1923)&lt;=VAL_SERIAL)*1000000+34*1000+25))</f>
        <v/>
      </c>
      <c r="FD193" s="121">
        <f>IF(N('Dvd Calendar'!$AD$1924)=0,"",IF(('Dvd Calendar'!$AD$1924&gt;=GRID_FROM)*('Dvd Calendar'!$AD$1924&lt;=GRID_TO)*((('Dvd Calendar'!$AD$1924&lt;=VAL_DATE)+(COUNTIF('Dvd Calendar'!$E$1931:$AR$1931,'Dvd Calendar'!$AD$1924)=0))&gt;0)=0,"",'Dvd Calendar'!$AD$1924*1000000000+ISNUMBER('Dvd Calendar'!$AD$1927)*100000000+('Dvd Calendar'!$AD$1929=SPECIAL_LBL)*10000000+(N('Dvd Calendar'!$AD$1923)&gt;0)*(N('Dvd Calendar'!$AD$1923)&lt;=VAL_SERIAL)*1000000+34*1000+26))</f>
        <v/>
      </c>
      <c r="FE193" s="121">
        <f>IF(N('Dvd Calendar'!$AE$1924)=0,"",IF(('Dvd Calendar'!$AE$1924&gt;=GRID_FROM)*('Dvd Calendar'!$AE$1924&lt;=GRID_TO)*((('Dvd Calendar'!$AE$1924&lt;=VAL_DATE)+(COUNTIF('Dvd Calendar'!$E$1931:$AR$1931,'Dvd Calendar'!$AE$1924)=0))&gt;0)=0,"",'Dvd Calendar'!$AE$1924*1000000000+ISNUMBER('Dvd Calendar'!$AE$1927)*100000000+('Dvd Calendar'!$AE$1929=SPECIAL_LBL)*10000000+(N('Dvd Calendar'!$AE$1923)&gt;0)*(N('Dvd Calendar'!$AE$1923)&lt;=VAL_SERIAL)*1000000+34*1000+27))</f>
        <v/>
      </c>
      <c r="FF193" s="121">
        <f>IF(N('Dvd Calendar'!$AF$1924)=0,"",IF(('Dvd Calendar'!$AF$1924&gt;=GRID_FROM)*('Dvd Calendar'!$AF$1924&lt;=GRID_TO)*((('Dvd Calendar'!$AF$1924&lt;=VAL_DATE)+(COUNTIF('Dvd Calendar'!$E$1931:$AR$1931,'Dvd Calendar'!$AF$1924)=0))&gt;0)=0,"",'Dvd Calendar'!$AF$1924*1000000000+ISNUMBER('Dvd Calendar'!$AF$1927)*100000000+('Dvd Calendar'!$AF$1929=SPECIAL_LBL)*10000000+(N('Dvd Calendar'!$AF$1923)&gt;0)*(N('Dvd Calendar'!$AF$1923)&lt;=VAL_SERIAL)*1000000+34*1000+28))</f>
        <v/>
      </c>
      <c r="FG193" s="121">
        <f>IF(N('Dvd Calendar'!$AG$1924)=0,"",IF(('Dvd Calendar'!$AG$1924&gt;=GRID_FROM)*('Dvd Calendar'!$AG$1924&lt;=GRID_TO)*((('Dvd Calendar'!$AG$1924&lt;=VAL_DATE)+(COUNTIF('Dvd Calendar'!$E$1931:$AR$1931,'Dvd Calendar'!$AG$1924)=0))&gt;0)=0,"",'Dvd Calendar'!$AG$1924*1000000000+ISNUMBER('Dvd Calendar'!$AG$1927)*100000000+('Dvd Calendar'!$AG$1929=SPECIAL_LBL)*10000000+(N('Dvd Calendar'!$AG$1923)&gt;0)*(N('Dvd Calendar'!$AG$1923)&lt;=VAL_SERIAL)*1000000+34*1000+29))</f>
        <v/>
      </c>
      <c r="FH193" s="121">
        <f>IF(N('Dvd Calendar'!$AH$1924)=0,"",IF(('Dvd Calendar'!$AH$1924&gt;=GRID_FROM)*('Dvd Calendar'!$AH$1924&lt;=GRID_TO)*((('Dvd Calendar'!$AH$1924&lt;=VAL_DATE)+(COUNTIF('Dvd Calendar'!$E$1931:$AR$1931,'Dvd Calendar'!$AH$1924)=0))&gt;0)=0,"",'Dvd Calendar'!$AH$1924*1000000000+ISNUMBER('Dvd Calendar'!$AH$1927)*100000000+('Dvd Calendar'!$AH$1929=SPECIAL_LBL)*10000000+(N('Dvd Calendar'!$AH$1923)&gt;0)*(N('Dvd Calendar'!$AH$1923)&lt;=VAL_SERIAL)*1000000+34*1000+30))</f>
        <v/>
      </c>
      <c r="FI193" s="121">
        <f>IF(N('Dvd Calendar'!$AI$1924)=0,"",IF(('Dvd Calendar'!$AI$1924&gt;=GRID_FROM)*('Dvd Calendar'!$AI$1924&lt;=GRID_TO)*((('Dvd Calendar'!$AI$1924&lt;=VAL_DATE)+(COUNTIF('Dvd Calendar'!$E$1931:$AR$1931,'Dvd Calendar'!$AI$1924)=0))&gt;0)=0,"",'Dvd Calendar'!$AI$1924*1000000000+ISNUMBER('Dvd Calendar'!$AI$1927)*100000000+('Dvd Calendar'!$AI$1929=SPECIAL_LBL)*10000000+(N('Dvd Calendar'!$AI$1923)&gt;0)*(N('Dvd Calendar'!$AI$1923)&lt;=VAL_SERIAL)*1000000+34*1000+31))</f>
        <v/>
      </c>
      <c r="FJ193" s="121">
        <f>IF(N('Dvd Calendar'!$AJ$1924)=0,"",IF(('Dvd Calendar'!$AJ$1924&gt;=GRID_FROM)*('Dvd Calendar'!$AJ$1924&lt;=GRID_TO)*((('Dvd Calendar'!$AJ$1924&lt;=VAL_DATE)+(COUNTIF('Dvd Calendar'!$E$1931:$AR$1931,'Dvd Calendar'!$AJ$1924)=0))&gt;0)=0,"",'Dvd Calendar'!$AJ$1924*1000000000+ISNUMBER('Dvd Calendar'!$AJ$1927)*100000000+('Dvd Calendar'!$AJ$1929=SPECIAL_LBL)*10000000+(N('Dvd Calendar'!$AJ$1923)&gt;0)*(N('Dvd Calendar'!$AJ$1923)&lt;=VAL_SERIAL)*1000000+34*1000+32))</f>
        <v/>
      </c>
      <c r="FK193" s="121">
        <f>IF(N('Dvd Calendar'!$AK$1924)=0,"",IF(('Dvd Calendar'!$AK$1924&gt;=GRID_FROM)*('Dvd Calendar'!$AK$1924&lt;=GRID_TO)*((('Dvd Calendar'!$AK$1924&lt;=VAL_DATE)+(COUNTIF('Dvd Calendar'!$E$1931:$AR$1931,'Dvd Calendar'!$AK$1924)=0))&gt;0)=0,"",'Dvd Calendar'!$AK$1924*1000000000+ISNUMBER('Dvd Calendar'!$AK$1927)*100000000+('Dvd Calendar'!$AK$1929=SPECIAL_LBL)*10000000+(N('Dvd Calendar'!$AK$1923)&gt;0)*(N('Dvd Calendar'!$AK$1923)&lt;=VAL_SERIAL)*1000000+34*1000+33))</f>
        <v/>
      </c>
      <c r="FL193" s="121">
        <f>IF(N('Dvd Calendar'!$AL$1924)=0,"",IF(('Dvd Calendar'!$AL$1924&gt;=GRID_FROM)*('Dvd Calendar'!$AL$1924&lt;=GRID_TO)*((('Dvd Calendar'!$AL$1924&lt;=VAL_DATE)+(COUNTIF('Dvd Calendar'!$E$1931:$AR$1931,'Dvd Calendar'!$AL$1924)=0))&gt;0)=0,"",'Dvd Calendar'!$AL$1924*1000000000+ISNUMBER('Dvd Calendar'!$AL$1927)*100000000+('Dvd Calendar'!$AL$1929=SPECIAL_LBL)*10000000+(N('Dvd Calendar'!$AL$1923)&gt;0)*(N('Dvd Calendar'!$AL$1923)&lt;=VAL_SERIAL)*1000000+34*1000+34))</f>
        <v/>
      </c>
      <c r="FM193" s="121">
        <f>IF(N('Dvd Calendar'!$AM$1924)=0,"",IF(('Dvd Calendar'!$AM$1924&gt;=GRID_FROM)*('Dvd Calendar'!$AM$1924&lt;=GRID_TO)*((('Dvd Calendar'!$AM$1924&lt;=VAL_DATE)+(COUNTIF('Dvd Calendar'!$E$1931:$AR$1931,'Dvd Calendar'!$AM$1924)=0))&gt;0)=0,"",'Dvd Calendar'!$AM$1924*1000000000+ISNUMBER('Dvd Calendar'!$AM$1927)*100000000+('Dvd Calendar'!$AM$1929=SPECIAL_LBL)*10000000+(N('Dvd Calendar'!$AM$1923)&gt;0)*(N('Dvd Calendar'!$AM$1923)&lt;=VAL_SERIAL)*1000000+34*1000+35))</f>
        <v/>
      </c>
      <c r="FN193" s="121">
        <f>IF(N('Dvd Calendar'!$AN$1924)=0,"",IF(('Dvd Calendar'!$AN$1924&gt;=GRID_FROM)*('Dvd Calendar'!$AN$1924&lt;=GRID_TO)*((('Dvd Calendar'!$AN$1924&lt;=VAL_DATE)+(COUNTIF('Dvd Calendar'!$E$1931:$AR$1931,'Dvd Calendar'!$AN$1924)=0))&gt;0)=0,"",'Dvd Calendar'!$AN$1924*1000000000+ISNUMBER('Dvd Calendar'!$AN$1927)*100000000+('Dvd Calendar'!$AN$1929=SPECIAL_LBL)*10000000+(N('Dvd Calendar'!$AN$1923)&gt;0)*(N('Dvd Calendar'!$AN$1923)&lt;=VAL_SERIAL)*1000000+34*1000+36))</f>
        <v/>
      </c>
      <c r="FO193" s="121">
        <f>IF(N('Dvd Calendar'!$AO$1924)=0,"",IF(('Dvd Calendar'!$AO$1924&gt;=GRID_FROM)*('Dvd Calendar'!$AO$1924&lt;=GRID_TO)*((('Dvd Calendar'!$AO$1924&lt;=VAL_DATE)+(COUNTIF('Dvd Calendar'!$E$1931:$AR$1931,'Dvd Calendar'!$AO$1924)=0))&gt;0)=0,"",'Dvd Calendar'!$AO$1924*1000000000+ISNUMBER('Dvd Calendar'!$AO$1927)*100000000+('Dvd Calendar'!$AO$1929=SPECIAL_LBL)*10000000+(N('Dvd Calendar'!$AO$1923)&gt;0)*(N('Dvd Calendar'!$AO$1923)&lt;=VAL_SERIAL)*1000000+34*1000+37))</f>
        <v/>
      </c>
      <c r="FP193" s="121">
        <f>IF(N('Dvd Calendar'!$AP$1924)=0,"",IF(('Dvd Calendar'!$AP$1924&gt;=GRID_FROM)*('Dvd Calendar'!$AP$1924&lt;=GRID_TO)*((('Dvd Calendar'!$AP$1924&lt;=VAL_DATE)+(COUNTIF('Dvd Calendar'!$E$1931:$AR$1931,'Dvd Calendar'!$AP$1924)=0))&gt;0)=0,"",'Dvd Calendar'!$AP$1924*1000000000+ISNUMBER('Dvd Calendar'!$AP$1927)*100000000+('Dvd Calendar'!$AP$1929=SPECIAL_LBL)*10000000+(N('Dvd Calendar'!$AP$1923)&gt;0)*(N('Dvd Calendar'!$AP$1923)&lt;=VAL_SERIAL)*1000000+34*1000+38))</f>
        <v/>
      </c>
      <c r="FQ193" s="121">
        <f>IF(N('Dvd Calendar'!$AQ$1924)=0,"",IF(('Dvd Calendar'!$AQ$1924&gt;=GRID_FROM)*('Dvd Calendar'!$AQ$1924&lt;=GRID_TO)*((('Dvd Calendar'!$AQ$1924&lt;=VAL_DATE)+(COUNTIF('Dvd Calendar'!$E$1931:$AR$1931,'Dvd Calendar'!$AQ$1924)=0))&gt;0)=0,"",'Dvd Calendar'!$AQ$1924*1000000000+ISNUMBER('Dvd Calendar'!$AQ$1927)*100000000+('Dvd Calendar'!$AQ$1929=SPECIAL_LBL)*10000000+(N('Dvd Calendar'!$AQ$1923)&gt;0)*(N('Dvd Calendar'!$AQ$1923)&lt;=VAL_SERIAL)*1000000+34*1000+39))</f>
        <v/>
      </c>
      <c r="FR193" s="121">
        <f>IF(N('Dvd Calendar'!$AR$1924)=0,"",IF(('Dvd Calendar'!$AR$1924&gt;=GRID_FROM)*('Dvd Calendar'!$AR$1924&lt;=GRID_TO)*((('Dvd Calendar'!$AR$1924&lt;=VAL_DATE)+(COUNTIF('Dvd Calendar'!$E$1931:$AR$1931,'Dvd Calendar'!$AR$1924)=0))&gt;0)=0,"",'Dvd Calendar'!$AR$1924*1000000000+ISNUMBER('Dvd Calendar'!$AR$1927)*100000000+('Dvd Calendar'!$AR$1929=SPECIAL_LBL)*10000000+(N('Dvd Calendar'!$AR$1923)&gt;0)*(N('Dvd Calendar'!$AR$1923)&lt;=VAL_SERIAL)*1000000+34*1000+40))</f>
        <v/>
      </c>
      <c r="FS193" s="121">
        <f>IF(N('Dvd Calendar'!$E$1931)=0,"",IF(('Dvd Calendar'!$E$1931&gt;=GRID_FROM)*('Dvd Calendar'!$E$1931&lt;=GRID_TO)*('Dvd Calendar'!$E$1931&gt;VAL_DATE)=0,"",'Dvd Calendar'!$E$1931*1000000000+ISNUMBER('Dvd Calendar'!$E$1932)*100000000+0*10000000+(N('Dvd Calendar'!$E$1930)&gt;0)*(N('Dvd Calendar'!$E$1930)&lt;=VAL_SERIAL)*1000000+34*1000+41))</f>
        <v/>
      </c>
      <c r="FT193" s="121">
        <f>IF(N('Dvd Calendar'!$F$1931)=0,"",IF(('Dvd Calendar'!$F$1931&gt;=GRID_FROM)*('Dvd Calendar'!$F$1931&lt;=GRID_TO)*('Dvd Calendar'!$F$1931&gt;VAL_DATE)=0,"",'Dvd Calendar'!$F$1931*1000000000+ISNUMBER('Dvd Calendar'!$F$1932)*100000000+0*10000000+(N('Dvd Calendar'!$F$1930)&gt;0)*(N('Dvd Calendar'!$F$1930)&lt;=VAL_SERIAL)*1000000+34*1000+42))</f>
        <v/>
      </c>
      <c r="FU193" s="121">
        <f>IF(N('Dvd Calendar'!$G$1931)=0,"",IF(('Dvd Calendar'!$G$1931&gt;=GRID_FROM)*('Dvd Calendar'!$G$1931&lt;=GRID_TO)*('Dvd Calendar'!$G$1931&gt;VAL_DATE)=0,"",'Dvd Calendar'!$G$1931*1000000000+ISNUMBER('Dvd Calendar'!$G$1932)*100000000+0*10000000+(N('Dvd Calendar'!$G$1930)&gt;0)*(N('Dvd Calendar'!$G$1930)&lt;=VAL_SERIAL)*1000000+34*1000+43))</f>
        <v/>
      </c>
      <c r="FV193" s="121">
        <f>IF(N('Dvd Calendar'!$H$1931)=0,"",IF(('Dvd Calendar'!$H$1931&gt;=GRID_FROM)*('Dvd Calendar'!$H$1931&lt;=GRID_TO)*('Dvd Calendar'!$H$1931&gt;VAL_DATE)=0,"",'Dvd Calendar'!$H$1931*1000000000+ISNUMBER('Dvd Calendar'!$H$1932)*100000000+0*10000000+(N('Dvd Calendar'!$H$1930)&gt;0)*(N('Dvd Calendar'!$H$1930)&lt;=VAL_SERIAL)*1000000+34*1000+44))</f>
        <v/>
      </c>
      <c r="FW193" s="121">
        <f>IF(N('Dvd Calendar'!$I$1931)=0,"",IF(('Dvd Calendar'!$I$1931&gt;=GRID_FROM)*('Dvd Calendar'!$I$1931&lt;=GRID_TO)*('Dvd Calendar'!$I$1931&gt;VAL_DATE)=0,"",'Dvd Calendar'!$I$1931*1000000000+ISNUMBER('Dvd Calendar'!$I$1932)*100000000+0*10000000+(N('Dvd Calendar'!$I$1930)&gt;0)*(N('Dvd Calendar'!$I$1930)&lt;=VAL_SERIAL)*1000000+34*1000+45))</f>
        <v/>
      </c>
      <c r="FX193" s="121">
        <f>IF(N('Dvd Calendar'!$J$1931)=0,"",IF(('Dvd Calendar'!$J$1931&gt;=GRID_FROM)*('Dvd Calendar'!$J$1931&lt;=GRID_TO)*('Dvd Calendar'!$J$1931&gt;VAL_DATE)=0,"",'Dvd Calendar'!$J$1931*1000000000+ISNUMBER('Dvd Calendar'!$J$1932)*100000000+0*10000000+(N('Dvd Calendar'!$J$1930)&gt;0)*(N('Dvd Calendar'!$J$1930)&lt;=VAL_SERIAL)*1000000+34*1000+46))</f>
        <v/>
      </c>
      <c r="FY193" s="121">
        <f>IF(N('Dvd Calendar'!$K$1931)=0,"",IF(('Dvd Calendar'!$K$1931&gt;=GRID_FROM)*('Dvd Calendar'!$K$1931&lt;=GRID_TO)*('Dvd Calendar'!$K$1931&gt;VAL_DATE)=0,"",'Dvd Calendar'!$K$1931*1000000000+ISNUMBER('Dvd Calendar'!$K$1932)*100000000+0*10000000+(N('Dvd Calendar'!$K$1930)&gt;0)*(N('Dvd Calendar'!$K$1930)&lt;=VAL_SERIAL)*1000000+34*1000+47))</f>
        <v/>
      </c>
      <c r="FZ193" s="121">
        <f>IF(N('Dvd Calendar'!$L$1931)=0,"",IF(('Dvd Calendar'!$L$1931&gt;=GRID_FROM)*('Dvd Calendar'!$L$1931&lt;=GRID_TO)*('Dvd Calendar'!$L$1931&gt;VAL_DATE)=0,"",'Dvd Calendar'!$L$1931*1000000000+ISNUMBER('Dvd Calendar'!$L$1932)*100000000+0*10000000+(N('Dvd Calendar'!$L$1930)&gt;0)*(N('Dvd Calendar'!$L$1930)&lt;=VAL_SERIAL)*1000000+34*1000+48))</f>
        <v/>
      </c>
      <c r="GA193" s="121">
        <f>IF(N('Dvd Calendar'!$M$1931)=0,"",IF(('Dvd Calendar'!$M$1931&gt;=GRID_FROM)*('Dvd Calendar'!$M$1931&lt;=GRID_TO)*('Dvd Calendar'!$M$1931&gt;VAL_DATE)=0,"",'Dvd Calendar'!$M$1931*1000000000+ISNUMBER('Dvd Calendar'!$M$1932)*100000000+0*10000000+(N('Dvd Calendar'!$M$1930)&gt;0)*(N('Dvd Calendar'!$M$1930)&lt;=VAL_SERIAL)*1000000+34*1000+49))</f>
        <v/>
      </c>
      <c r="GB193" s="121">
        <f>IF(N('Dvd Calendar'!$N$1931)=0,"",IF(('Dvd Calendar'!$N$1931&gt;=GRID_FROM)*('Dvd Calendar'!$N$1931&lt;=GRID_TO)*('Dvd Calendar'!$N$1931&gt;VAL_DATE)=0,"",'Dvd Calendar'!$N$1931*1000000000+ISNUMBER('Dvd Calendar'!$N$1932)*100000000+0*10000000+(N('Dvd Calendar'!$N$1930)&gt;0)*(N('Dvd Calendar'!$N$1930)&lt;=VAL_SERIAL)*1000000+34*1000+50))</f>
        <v/>
      </c>
      <c r="GC193" s="121">
        <f>IF(N('Dvd Calendar'!$O$1931)=0,"",IF(('Dvd Calendar'!$O$1931&gt;=GRID_FROM)*('Dvd Calendar'!$O$1931&lt;=GRID_TO)*('Dvd Calendar'!$O$1931&gt;VAL_DATE)=0,"",'Dvd Calendar'!$O$1931*1000000000+ISNUMBER('Dvd Calendar'!$O$1932)*100000000+0*10000000+(N('Dvd Calendar'!$O$1930)&gt;0)*(N('Dvd Calendar'!$O$1930)&lt;=VAL_SERIAL)*1000000+34*1000+51))</f>
        <v/>
      </c>
      <c r="GD193" s="121">
        <f>IF(N('Dvd Calendar'!$P$1931)=0,"",IF(('Dvd Calendar'!$P$1931&gt;=GRID_FROM)*('Dvd Calendar'!$P$1931&lt;=GRID_TO)*('Dvd Calendar'!$P$1931&gt;VAL_DATE)=0,"",'Dvd Calendar'!$P$1931*1000000000+ISNUMBER('Dvd Calendar'!$P$1932)*100000000+0*10000000+(N('Dvd Calendar'!$P$1930)&gt;0)*(N('Dvd Calendar'!$P$1930)&lt;=VAL_SERIAL)*1000000+34*1000+52))</f>
        <v/>
      </c>
      <c r="GE193" s="121">
        <f>IF(N('Dvd Calendar'!$Q$1931)=0,"",IF(('Dvd Calendar'!$Q$1931&gt;=GRID_FROM)*('Dvd Calendar'!$Q$1931&lt;=GRID_TO)*('Dvd Calendar'!$Q$1931&gt;VAL_DATE)=0,"",'Dvd Calendar'!$Q$1931*1000000000+ISNUMBER('Dvd Calendar'!$Q$1932)*100000000+0*10000000+(N('Dvd Calendar'!$Q$1930)&gt;0)*(N('Dvd Calendar'!$Q$1930)&lt;=VAL_SERIAL)*1000000+34*1000+53))</f>
        <v/>
      </c>
      <c r="GF193" s="121">
        <f>IF(N('Dvd Calendar'!$R$1931)=0,"",IF(('Dvd Calendar'!$R$1931&gt;=GRID_FROM)*('Dvd Calendar'!$R$1931&lt;=GRID_TO)*('Dvd Calendar'!$R$1931&gt;VAL_DATE)=0,"",'Dvd Calendar'!$R$1931*1000000000+ISNUMBER('Dvd Calendar'!$R$1932)*100000000+0*10000000+(N('Dvd Calendar'!$R$1930)&gt;0)*(N('Dvd Calendar'!$R$1930)&lt;=VAL_SERIAL)*1000000+34*1000+54))</f>
        <v/>
      </c>
      <c r="GG193" s="121">
        <f>IF(N('Dvd Calendar'!$S$1931)=0,"",IF(('Dvd Calendar'!$S$1931&gt;=GRID_FROM)*('Dvd Calendar'!$S$1931&lt;=GRID_TO)*('Dvd Calendar'!$S$1931&gt;VAL_DATE)=0,"",'Dvd Calendar'!$S$1931*1000000000+ISNUMBER('Dvd Calendar'!$S$1932)*100000000+0*10000000+(N('Dvd Calendar'!$S$1930)&gt;0)*(N('Dvd Calendar'!$S$1930)&lt;=VAL_SERIAL)*1000000+34*1000+55))</f>
        <v/>
      </c>
      <c r="GH193" s="121">
        <f>IF(N('Dvd Calendar'!$T$1931)=0,"",IF(('Dvd Calendar'!$T$1931&gt;=GRID_FROM)*('Dvd Calendar'!$T$1931&lt;=GRID_TO)*('Dvd Calendar'!$T$1931&gt;VAL_DATE)=0,"",'Dvd Calendar'!$T$1931*1000000000+ISNUMBER('Dvd Calendar'!$T$1932)*100000000+0*10000000+(N('Dvd Calendar'!$T$1930)&gt;0)*(N('Dvd Calendar'!$T$1930)&lt;=VAL_SERIAL)*1000000+34*1000+56))</f>
        <v/>
      </c>
      <c r="GI193" s="121">
        <f>IF(N('Dvd Calendar'!$U$1931)=0,"",IF(('Dvd Calendar'!$U$1931&gt;=GRID_FROM)*('Dvd Calendar'!$U$1931&lt;=GRID_TO)*('Dvd Calendar'!$U$1931&gt;VAL_DATE)=0,"",'Dvd Calendar'!$U$1931*1000000000+ISNUMBER('Dvd Calendar'!$U$1932)*100000000+0*10000000+(N('Dvd Calendar'!$U$1930)&gt;0)*(N('Dvd Calendar'!$U$1930)&lt;=VAL_SERIAL)*1000000+34*1000+57))</f>
        <v/>
      </c>
      <c r="GJ193" s="121">
        <f>IF(N('Dvd Calendar'!$V$1931)=0,"",IF(('Dvd Calendar'!$V$1931&gt;=GRID_FROM)*('Dvd Calendar'!$V$1931&lt;=GRID_TO)*('Dvd Calendar'!$V$1931&gt;VAL_DATE)=0,"",'Dvd Calendar'!$V$1931*1000000000+ISNUMBER('Dvd Calendar'!$V$1932)*100000000+0*10000000+(N('Dvd Calendar'!$V$1930)&gt;0)*(N('Dvd Calendar'!$V$1930)&lt;=VAL_SERIAL)*1000000+34*1000+58))</f>
        <v/>
      </c>
      <c r="GK193" s="121">
        <f>IF(N('Dvd Calendar'!$W$1931)=0,"",IF(('Dvd Calendar'!$W$1931&gt;=GRID_FROM)*('Dvd Calendar'!$W$1931&lt;=GRID_TO)*('Dvd Calendar'!$W$1931&gt;VAL_DATE)=0,"",'Dvd Calendar'!$W$1931*1000000000+ISNUMBER('Dvd Calendar'!$W$1932)*100000000+0*10000000+(N('Dvd Calendar'!$W$1930)&gt;0)*(N('Dvd Calendar'!$W$1930)&lt;=VAL_SERIAL)*1000000+34*1000+59))</f>
        <v/>
      </c>
      <c r="GL193" s="121">
        <f>IF(N('Dvd Calendar'!$X$1931)=0,"",IF(('Dvd Calendar'!$X$1931&gt;=GRID_FROM)*('Dvd Calendar'!$X$1931&lt;=GRID_TO)*('Dvd Calendar'!$X$1931&gt;VAL_DATE)=0,"",'Dvd Calendar'!$X$1931*1000000000+ISNUMBER('Dvd Calendar'!$X$1932)*100000000+0*10000000+(N('Dvd Calendar'!$X$1930)&gt;0)*(N('Dvd Calendar'!$X$1930)&lt;=VAL_SERIAL)*1000000+34*1000+60))</f>
        <v/>
      </c>
      <c r="GM193" s="121">
        <f>IF(N('Dvd Calendar'!$Y$1931)=0,"",IF(('Dvd Calendar'!$Y$1931&gt;=GRID_FROM)*('Dvd Calendar'!$Y$1931&lt;=GRID_TO)*('Dvd Calendar'!$Y$1931&gt;VAL_DATE)=0,"",'Dvd Calendar'!$Y$1931*1000000000+ISNUMBER('Dvd Calendar'!$Y$1932)*100000000+0*10000000+(N('Dvd Calendar'!$Y$1930)&gt;0)*(N('Dvd Calendar'!$Y$1930)&lt;=VAL_SERIAL)*1000000+34*1000+61))</f>
        <v/>
      </c>
      <c r="GN193" s="121">
        <f>IF(N('Dvd Calendar'!$Z$1931)=0,"",IF(('Dvd Calendar'!$Z$1931&gt;=GRID_FROM)*('Dvd Calendar'!$Z$1931&lt;=GRID_TO)*('Dvd Calendar'!$Z$1931&gt;VAL_DATE)=0,"",'Dvd Calendar'!$Z$1931*1000000000+ISNUMBER('Dvd Calendar'!$Z$1932)*100000000+0*10000000+(N('Dvd Calendar'!$Z$1930)&gt;0)*(N('Dvd Calendar'!$Z$1930)&lt;=VAL_SERIAL)*1000000+34*1000+62))</f>
        <v/>
      </c>
      <c r="GO193" s="121">
        <f>IF(N('Dvd Calendar'!$AA$1931)=0,"",IF(('Dvd Calendar'!$AA$1931&gt;=GRID_FROM)*('Dvd Calendar'!$AA$1931&lt;=GRID_TO)*('Dvd Calendar'!$AA$1931&gt;VAL_DATE)=0,"",'Dvd Calendar'!$AA$1931*1000000000+ISNUMBER('Dvd Calendar'!$AA$1932)*100000000+0*10000000+(N('Dvd Calendar'!$AA$1930)&gt;0)*(N('Dvd Calendar'!$AA$1930)&lt;=VAL_SERIAL)*1000000+34*1000+63))</f>
        <v/>
      </c>
      <c r="GP193" s="121">
        <f>IF(N('Dvd Calendar'!$AB$1931)=0,"",IF(('Dvd Calendar'!$AB$1931&gt;=GRID_FROM)*('Dvd Calendar'!$AB$1931&lt;=GRID_TO)*('Dvd Calendar'!$AB$1931&gt;VAL_DATE)=0,"",'Dvd Calendar'!$AB$1931*1000000000+ISNUMBER('Dvd Calendar'!$AB$1932)*100000000+0*10000000+(N('Dvd Calendar'!$AB$1930)&gt;0)*(N('Dvd Calendar'!$AB$1930)&lt;=VAL_SERIAL)*1000000+34*1000+64))</f>
        <v/>
      </c>
      <c r="GQ193" s="121">
        <f>IF(N('Dvd Calendar'!$AC$1931)=0,"",IF(('Dvd Calendar'!$AC$1931&gt;=GRID_FROM)*('Dvd Calendar'!$AC$1931&lt;=GRID_TO)*('Dvd Calendar'!$AC$1931&gt;VAL_DATE)=0,"",'Dvd Calendar'!$AC$1931*1000000000+ISNUMBER('Dvd Calendar'!$AC$1932)*100000000+0*10000000+(N('Dvd Calendar'!$AC$1930)&gt;0)*(N('Dvd Calendar'!$AC$1930)&lt;=VAL_SERIAL)*1000000+34*1000+65))</f>
        <v/>
      </c>
    </row>
    <row r="194">
      <c r="B194" s="2">
        <f>IF(HSCEI!$C$41="","",HSCEI!$C$41)</f>
        <v/>
      </c>
      <c r="C194" s="161">
        <f>IF(EE194="","",IF(ISNUMBER('Dvd Calendar'!$E$1938)=FALSE,"",IF((('Dvd Calendar'!$E$1940=TYPE1)*(TYPE1&lt;&gt;"")+('Dvd Calendar'!$E$1940=TYPE2)*(TYPE2&lt;&gt;"")+('Dvd Calendar'!$E$1940=TYPE3)*(TYPE3&lt;&gt;"")+('Dvd Calendar'!$E$1940=TYPE4)*(TYPE4&lt;&gt;"")+('Dvd Calendar'!$E$1940=SPECIAL_LBL)*(INC_SPECIALS="Y"))=0,"",'Dvd Calendar'!$E$1938)))</f>
        <v/>
      </c>
      <c r="D194" s="161">
        <f>IF(EF194="","",IF(ISNUMBER('Dvd Calendar'!$F$1938)=FALSE,"",IF((('Dvd Calendar'!$F$1940=TYPE1)*(TYPE1&lt;&gt;"")+('Dvd Calendar'!$F$1940=TYPE2)*(TYPE2&lt;&gt;"")+('Dvd Calendar'!$F$1940=TYPE3)*(TYPE3&lt;&gt;"")+('Dvd Calendar'!$F$1940=TYPE4)*(TYPE4&lt;&gt;"")+('Dvd Calendar'!$F$1940=SPECIAL_LBL)*(INC_SPECIALS="Y"))=0,"",'Dvd Calendar'!$F$1938)))</f>
        <v/>
      </c>
      <c r="E194" s="161">
        <f>IF(EG194="","",IF(ISNUMBER('Dvd Calendar'!$G$1938)=FALSE,"",IF((('Dvd Calendar'!$G$1940=TYPE1)*(TYPE1&lt;&gt;"")+('Dvd Calendar'!$G$1940=TYPE2)*(TYPE2&lt;&gt;"")+('Dvd Calendar'!$G$1940=TYPE3)*(TYPE3&lt;&gt;"")+('Dvd Calendar'!$G$1940=TYPE4)*(TYPE4&lt;&gt;"")+('Dvd Calendar'!$G$1940=SPECIAL_LBL)*(INC_SPECIALS="Y"))=0,"",'Dvd Calendar'!$G$1938)))</f>
        <v/>
      </c>
      <c r="F194" s="161">
        <f>IF(EH194="","",IF(ISNUMBER('Dvd Calendar'!$H$1938)=FALSE,"",IF((('Dvd Calendar'!$H$1940=TYPE1)*(TYPE1&lt;&gt;"")+('Dvd Calendar'!$H$1940=TYPE2)*(TYPE2&lt;&gt;"")+('Dvd Calendar'!$H$1940=TYPE3)*(TYPE3&lt;&gt;"")+('Dvd Calendar'!$H$1940=TYPE4)*(TYPE4&lt;&gt;"")+('Dvd Calendar'!$H$1940=SPECIAL_LBL)*(INC_SPECIALS="Y"))=0,"",'Dvd Calendar'!$H$1938)))</f>
        <v/>
      </c>
      <c r="G194" s="161">
        <f>IF(EI194="","",IF(ISNUMBER('Dvd Calendar'!$I$1938)=FALSE,"",IF((('Dvd Calendar'!$I$1940=TYPE1)*(TYPE1&lt;&gt;"")+('Dvd Calendar'!$I$1940=TYPE2)*(TYPE2&lt;&gt;"")+('Dvd Calendar'!$I$1940=TYPE3)*(TYPE3&lt;&gt;"")+('Dvd Calendar'!$I$1940=TYPE4)*(TYPE4&lt;&gt;"")+('Dvd Calendar'!$I$1940=SPECIAL_LBL)*(INC_SPECIALS="Y"))=0,"",'Dvd Calendar'!$I$1938)))</f>
        <v/>
      </c>
      <c r="H194" s="161">
        <f>IF(EJ194="","",IF(ISNUMBER('Dvd Calendar'!$J$1938)=FALSE,"",IF((('Dvd Calendar'!$J$1940=TYPE1)*(TYPE1&lt;&gt;"")+('Dvd Calendar'!$J$1940=TYPE2)*(TYPE2&lt;&gt;"")+('Dvd Calendar'!$J$1940=TYPE3)*(TYPE3&lt;&gt;"")+('Dvd Calendar'!$J$1940=TYPE4)*(TYPE4&lt;&gt;"")+('Dvd Calendar'!$J$1940=SPECIAL_LBL)*(INC_SPECIALS="Y"))=0,"",'Dvd Calendar'!$J$1938)))</f>
        <v/>
      </c>
      <c r="I194" s="161">
        <f>IF(EK194="","",IF(ISNUMBER('Dvd Calendar'!$K$1938)=FALSE,"",IF((('Dvd Calendar'!$K$1940=TYPE1)*(TYPE1&lt;&gt;"")+('Dvd Calendar'!$K$1940=TYPE2)*(TYPE2&lt;&gt;"")+('Dvd Calendar'!$K$1940=TYPE3)*(TYPE3&lt;&gt;"")+('Dvd Calendar'!$K$1940=TYPE4)*(TYPE4&lt;&gt;"")+('Dvd Calendar'!$K$1940=SPECIAL_LBL)*(INC_SPECIALS="Y"))=0,"",'Dvd Calendar'!$K$1938)))</f>
        <v/>
      </c>
      <c r="J194" s="161">
        <f>IF(EL194="","",IF(ISNUMBER('Dvd Calendar'!$L$1938)=FALSE,"",IF((('Dvd Calendar'!$L$1940=TYPE1)*(TYPE1&lt;&gt;"")+('Dvd Calendar'!$L$1940=TYPE2)*(TYPE2&lt;&gt;"")+('Dvd Calendar'!$L$1940=TYPE3)*(TYPE3&lt;&gt;"")+('Dvd Calendar'!$L$1940=TYPE4)*(TYPE4&lt;&gt;"")+('Dvd Calendar'!$L$1940=SPECIAL_LBL)*(INC_SPECIALS="Y"))=0,"",'Dvd Calendar'!$L$1938)))</f>
        <v/>
      </c>
      <c r="K194" s="161">
        <f>IF(EM194="","",IF(ISNUMBER('Dvd Calendar'!$M$1938)=FALSE,"",IF((('Dvd Calendar'!$M$1940=TYPE1)*(TYPE1&lt;&gt;"")+('Dvd Calendar'!$M$1940=TYPE2)*(TYPE2&lt;&gt;"")+('Dvd Calendar'!$M$1940=TYPE3)*(TYPE3&lt;&gt;"")+('Dvd Calendar'!$M$1940=TYPE4)*(TYPE4&lt;&gt;"")+('Dvd Calendar'!$M$1940=SPECIAL_LBL)*(INC_SPECIALS="Y"))=0,"",'Dvd Calendar'!$M$1938)))</f>
        <v/>
      </c>
      <c r="L194" s="161">
        <f>IF(EN194="","",IF(ISNUMBER('Dvd Calendar'!$N$1938)=FALSE,"",IF((('Dvd Calendar'!$N$1940=TYPE1)*(TYPE1&lt;&gt;"")+('Dvd Calendar'!$N$1940=TYPE2)*(TYPE2&lt;&gt;"")+('Dvd Calendar'!$N$1940=TYPE3)*(TYPE3&lt;&gt;"")+('Dvd Calendar'!$N$1940=TYPE4)*(TYPE4&lt;&gt;"")+('Dvd Calendar'!$N$1940=SPECIAL_LBL)*(INC_SPECIALS="Y"))=0,"",'Dvd Calendar'!$N$1938)))</f>
        <v/>
      </c>
      <c r="M194" s="161">
        <f>IF(EO194="","",IF(ISNUMBER('Dvd Calendar'!$O$1938)=FALSE,"",IF((('Dvd Calendar'!$O$1940=TYPE1)*(TYPE1&lt;&gt;"")+('Dvd Calendar'!$O$1940=TYPE2)*(TYPE2&lt;&gt;"")+('Dvd Calendar'!$O$1940=TYPE3)*(TYPE3&lt;&gt;"")+('Dvd Calendar'!$O$1940=TYPE4)*(TYPE4&lt;&gt;"")+('Dvd Calendar'!$O$1940=SPECIAL_LBL)*(INC_SPECIALS="Y"))=0,"",'Dvd Calendar'!$O$1938)))</f>
        <v/>
      </c>
      <c r="N194" s="161">
        <f>IF(EP194="","",IF(ISNUMBER('Dvd Calendar'!$P$1938)=FALSE,"",IF((('Dvd Calendar'!$P$1940=TYPE1)*(TYPE1&lt;&gt;"")+('Dvd Calendar'!$P$1940=TYPE2)*(TYPE2&lt;&gt;"")+('Dvd Calendar'!$P$1940=TYPE3)*(TYPE3&lt;&gt;"")+('Dvd Calendar'!$P$1940=TYPE4)*(TYPE4&lt;&gt;"")+('Dvd Calendar'!$P$1940=SPECIAL_LBL)*(INC_SPECIALS="Y"))=0,"",'Dvd Calendar'!$P$1938)))</f>
        <v/>
      </c>
      <c r="O194" s="161">
        <f>IF(EQ194="","",IF(ISNUMBER('Dvd Calendar'!$Q$1938)=FALSE,"",IF((('Dvd Calendar'!$Q$1940=TYPE1)*(TYPE1&lt;&gt;"")+('Dvd Calendar'!$Q$1940=TYPE2)*(TYPE2&lt;&gt;"")+('Dvd Calendar'!$Q$1940=TYPE3)*(TYPE3&lt;&gt;"")+('Dvd Calendar'!$Q$1940=TYPE4)*(TYPE4&lt;&gt;"")+('Dvd Calendar'!$Q$1940=SPECIAL_LBL)*(INC_SPECIALS="Y"))=0,"",'Dvd Calendar'!$Q$1938)))</f>
        <v/>
      </c>
      <c r="P194" s="161">
        <f>IF(ER194="","",IF(ISNUMBER('Dvd Calendar'!$R$1938)=FALSE,"",IF((('Dvd Calendar'!$R$1940=TYPE1)*(TYPE1&lt;&gt;"")+('Dvd Calendar'!$R$1940=TYPE2)*(TYPE2&lt;&gt;"")+('Dvd Calendar'!$R$1940=TYPE3)*(TYPE3&lt;&gt;"")+('Dvd Calendar'!$R$1940=TYPE4)*(TYPE4&lt;&gt;"")+('Dvd Calendar'!$R$1940=SPECIAL_LBL)*(INC_SPECIALS="Y"))=0,"",'Dvd Calendar'!$R$1938)))</f>
        <v/>
      </c>
      <c r="Q194" s="161">
        <f>IF(ES194="","",IF(ISNUMBER('Dvd Calendar'!$S$1938)=FALSE,"",IF((('Dvd Calendar'!$S$1940=TYPE1)*(TYPE1&lt;&gt;"")+('Dvd Calendar'!$S$1940=TYPE2)*(TYPE2&lt;&gt;"")+('Dvd Calendar'!$S$1940=TYPE3)*(TYPE3&lt;&gt;"")+('Dvd Calendar'!$S$1940=TYPE4)*(TYPE4&lt;&gt;"")+('Dvd Calendar'!$S$1940=SPECIAL_LBL)*(INC_SPECIALS="Y"))=0,"",'Dvd Calendar'!$S$1938)))</f>
        <v/>
      </c>
      <c r="R194" s="161">
        <f>IF(ET194="","",IF(ISNUMBER('Dvd Calendar'!$T$1938)=FALSE,"",IF((('Dvd Calendar'!$T$1940=TYPE1)*(TYPE1&lt;&gt;"")+('Dvd Calendar'!$T$1940=TYPE2)*(TYPE2&lt;&gt;"")+('Dvd Calendar'!$T$1940=TYPE3)*(TYPE3&lt;&gt;"")+('Dvd Calendar'!$T$1940=TYPE4)*(TYPE4&lt;&gt;"")+('Dvd Calendar'!$T$1940=SPECIAL_LBL)*(INC_SPECIALS="Y"))=0,"",'Dvd Calendar'!$T$1938)))</f>
        <v/>
      </c>
      <c r="S194" s="161">
        <f>IF(EU194="","",IF(ISNUMBER('Dvd Calendar'!$U$1938)=FALSE,"",IF((('Dvd Calendar'!$U$1940=TYPE1)*(TYPE1&lt;&gt;"")+('Dvd Calendar'!$U$1940=TYPE2)*(TYPE2&lt;&gt;"")+('Dvd Calendar'!$U$1940=TYPE3)*(TYPE3&lt;&gt;"")+('Dvd Calendar'!$U$1940=TYPE4)*(TYPE4&lt;&gt;"")+('Dvd Calendar'!$U$1940=SPECIAL_LBL)*(INC_SPECIALS="Y"))=0,"",'Dvd Calendar'!$U$1938)))</f>
        <v/>
      </c>
      <c r="T194" s="161">
        <f>IF(EV194="","",IF(ISNUMBER('Dvd Calendar'!$V$1938)=FALSE,"",IF((('Dvd Calendar'!$V$1940=TYPE1)*(TYPE1&lt;&gt;"")+('Dvd Calendar'!$V$1940=TYPE2)*(TYPE2&lt;&gt;"")+('Dvd Calendar'!$V$1940=TYPE3)*(TYPE3&lt;&gt;"")+('Dvd Calendar'!$V$1940=TYPE4)*(TYPE4&lt;&gt;"")+('Dvd Calendar'!$V$1940=SPECIAL_LBL)*(INC_SPECIALS="Y"))=0,"",'Dvd Calendar'!$V$1938)))</f>
        <v/>
      </c>
      <c r="U194" s="161">
        <f>IF(EW194="","",IF(ISNUMBER('Dvd Calendar'!$W$1938)=FALSE,"",IF((('Dvd Calendar'!$W$1940=TYPE1)*(TYPE1&lt;&gt;"")+('Dvd Calendar'!$W$1940=TYPE2)*(TYPE2&lt;&gt;"")+('Dvd Calendar'!$W$1940=TYPE3)*(TYPE3&lt;&gt;"")+('Dvd Calendar'!$W$1940=TYPE4)*(TYPE4&lt;&gt;"")+('Dvd Calendar'!$W$1940=SPECIAL_LBL)*(INC_SPECIALS="Y"))=0,"",'Dvd Calendar'!$W$1938)))</f>
        <v/>
      </c>
      <c r="V194" s="161">
        <f>IF(EX194="","",IF(ISNUMBER('Dvd Calendar'!$X$1938)=FALSE,"",IF((('Dvd Calendar'!$X$1940=TYPE1)*(TYPE1&lt;&gt;"")+('Dvd Calendar'!$X$1940=TYPE2)*(TYPE2&lt;&gt;"")+('Dvd Calendar'!$X$1940=TYPE3)*(TYPE3&lt;&gt;"")+('Dvd Calendar'!$X$1940=TYPE4)*(TYPE4&lt;&gt;"")+('Dvd Calendar'!$X$1940=SPECIAL_LBL)*(INC_SPECIALS="Y"))=0,"",'Dvd Calendar'!$X$1938)))</f>
        <v/>
      </c>
      <c r="W194" s="161">
        <f>IF(EY194="","",IF(ISNUMBER('Dvd Calendar'!$Y$1938)=FALSE,"",IF((('Dvd Calendar'!$Y$1940=TYPE1)*(TYPE1&lt;&gt;"")+('Dvd Calendar'!$Y$1940=TYPE2)*(TYPE2&lt;&gt;"")+('Dvd Calendar'!$Y$1940=TYPE3)*(TYPE3&lt;&gt;"")+('Dvd Calendar'!$Y$1940=TYPE4)*(TYPE4&lt;&gt;"")+('Dvd Calendar'!$Y$1940=SPECIAL_LBL)*(INC_SPECIALS="Y"))=0,"",'Dvd Calendar'!$Y$1938)))</f>
        <v/>
      </c>
      <c r="X194" s="161">
        <f>IF(EZ194="","",IF(ISNUMBER('Dvd Calendar'!$Z$1938)=FALSE,"",IF((('Dvd Calendar'!$Z$1940=TYPE1)*(TYPE1&lt;&gt;"")+('Dvd Calendar'!$Z$1940=TYPE2)*(TYPE2&lt;&gt;"")+('Dvd Calendar'!$Z$1940=TYPE3)*(TYPE3&lt;&gt;"")+('Dvd Calendar'!$Z$1940=TYPE4)*(TYPE4&lt;&gt;"")+('Dvd Calendar'!$Z$1940=SPECIAL_LBL)*(INC_SPECIALS="Y"))=0,"",'Dvd Calendar'!$Z$1938)))</f>
        <v/>
      </c>
      <c r="Y194" s="161">
        <f>IF(FA194="","",IF(ISNUMBER('Dvd Calendar'!$AA$1938)=FALSE,"",IF((('Dvd Calendar'!$AA$1940=TYPE1)*(TYPE1&lt;&gt;"")+('Dvd Calendar'!$AA$1940=TYPE2)*(TYPE2&lt;&gt;"")+('Dvd Calendar'!$AA$1940=TYPE3)*(TYPE3&lt;&gt;"")+('Dvd Calendar'!$AA$1940=TYPE4)*(TYPE4&lt;&gt;"")+('Dvd Calendar'!$AA$1940=SPECIAL_LBL)*(INC_SPECIALS="Y"))=0,"",'Dvd Calendar'!$AA$1938)))</f>
        <v/>
      </c>
      <c r="Z194" s="161">
        <f>IF(FB194="","",IF(ISNUMBER('Dvd Calendar'!$AB$1938)=FALSE,"",IF((('Dvd Calendar'!$AB$1940=TYPE1)*(TYPE1&lt;&gt;"")+('Dvd Calendar'!$AB$1940=TYPE2)*(TYPE2&lt;&gt;"")+('Dvd Calendar'!$AB$1940=TYPE3)*(TYPE3&lt;&gt;"")+('Dvd Calendar'!$AB$1940=TYPE4)*(TYPE4&lt;&gt;"")+('Dvd Calendar'!$AB$1940=SPECIAL_LBL)*(INC_SPECIALS="Y"))=0,"",'Dvd Calendar'!$AB$1938)))</f>
        <v/>
      </c>
      <c r="AA194" s="161">
        <f>IF(FC194="","",IF(ISNUMBER('Dvd Calendar'!$AC$1938)=FALSE,"",IF((('Dvd Calendar'!$AC$1940=TYPE1)*(TYPE1&lt;&gt;"")+('Dvd Calendar'!$AC$1940=TYPE2)*(TYPE2&lt;&gt;"")+('Dvd Calendar'!$AC$1940=TYPE3)*(TYPE3&lt;&gt;"")+('Dvd Calendar'!$AC$1940=TYPE4)*(TYPE4&lt;&gt;"")+('Dvd Calendar'!$AC$1940=SPECIAL_LBL)*(INC_SPECIALS="Y"))=0,"",'Dvd Calendar'!$AC$1938)))</f>
        <v/>
      </c>
      <c r="AB194" s="161">
        <f>IF(FD194="","",IF(ISNUMBER('Dvd Calendar'!$AD$1938)=FALSE,"",IF((('Dvd Calendar'!$AD$1940=TYPE1)*(TYPE1&lt;&gt;"")+('Dvd Calendar'!$AD$1940=TYPE2)*(TYPE2&lt;&gt;"")+('Dvd Calendar'!$AD$1940=TYPE3)*(TYPE3&lt;&gt;"")+('Dvd Calendar'!$AD$1940=TYPE4)*(TYPE4&lt;&gt;"")+('Dvd Calendar'!$AD$1940=SPECIAL_LBL)*(INC_SPECIALS="Y"))=0,"",'Dvd Calendar'!$AD$1938)))</f>
        <v/>
      </c>
      <c r="AC194" s="161">
        <f>IF(FE194="","",IF(ISNUMBER('Dvd Calendar'!$AE$1938)=FALSE,"",IF((('Dvd Calendar'!$AE$1940=TYPE1)*(TYPE1&lt;&gt;"")+('Dvd Calendar'!$AE$1940=TYPE2)*(TYPE2&lt;&gt;"")+('Dvd Calendar'!$AE$1940=TYPE3)*(TYPE3&lt;&gt;"")+('Dvd Calendar'!$AE$1940=TYPE4)*(TYPE4&lt;&gt;"")+('Dvd Calendar'!$AE$1940=SPECIAL_LBL)*(INC_SPECIALS="Y"))=0,"",'Dvd Calendar'!$AE$1938)))</f>
        <v/>
      </c>
      <c r="AD194" s="161">
        <f>IF(FF194="","",IF(ISNUMBER('Dvd Calendar'!$AF$1938)=FALSE,"",IF((('Dvd Calendar'!$AF$1940=TYPE1)*(TYPE1&lt;&gt;"")+('Dvd Calendar'!$AF$1940=TYPE2)*(TYPE2&lt;&gt;"")+('Dvd Calendar'!$AF$1940=TYPE3)*(TYPE3&lt;&gt;"")+('Dvd Calendar'!$AF$1940=TYPE4)*(TYPE4&lt;&gt;"")+('Dvd Calendar'!$AF$1940=SPECIAL_LBL)*(INC_SPECIALS="Y"))=0,"",'Dvd Calendar'!$AF$1938)))</f>
        <v/>
      </c>
      <c r="AE194" s="161">
        <f>IF(FG194="","",IF(ISNUMBER('Dvd Calendar'!$AG$1938)=FALSE,"",IF((('Dvd Calendar'!$AG$1940=TYPE1)*(TYPE1&lt;&gt;"")+('Dvd Calendar'!$AG$1940=TYPE2)*(TYPE2&lt;&gt;"")+('Dvd Calendar'!$AG$1940=TYPE3)*(TYPE3&lt;&gt;"")+('Dvd Calendar'!$AG$1940=TYPE4)*(TYPE4&lt;&gt;"")+('Dvd Calendar'!$AG$1940=SPECIAL_LBL)*(INC_SPECIALS="Y"))=0,"",'Dvd Calendar'!$AG$1938)))</f>
        <v/>
      </c>
      <c r="AF194" s="161">
        <f>IF(FH194="","",IF(ISNUMBER('Dvd Calendar'!$AH$1938)=FALSE,"",IF((('Dvd Calendar'!$AH$1940=TYPE1)*(TYPE1&lt;&gt;"")+('Dvd Calendar'!$AH$1940=TYPE2)*(TYPE2&lt;&gt;"")+('Dvd Calendar'!$AH$1940=TYPE3)*(TYPE3&lt;&gt;"")+('Dvd Calendar'!$AH$1940=TYPE4)*(TYPE4&lt;&gt;"")+('Dvd Calendar'!$AH$1940=SPECIAL_LBL)*(INC_SPECIALS="Y"))=0,"",'Dvd Calendar'!$AH$1938)))</f>
        <v/>
      </c>
      <c r="AG194" s="161">
        <f>IF(FI194="","",IF(ISNUMBER('Dvd Calendar'!$AI$1938)=FALSE,"",IF((('Dvd Calendar'!$AI$1940=TYPE1)*(TYPE1&lt;&gt;"")+('Dvd Calendar'!$AI$1940=TYPE2)*(TYPE2&lt;&gt;"")+('Dvd Calendar'!$AI$1940=TYPE3)*(TYPE3&lt;&gt;"")+('Dvd Calendar'!$AI$1940=TYPE4)*(TYPE4&lt;&gt;"")+('Dvd Calendar'!$AI$1940=SPECIAL_LBL)*(INC_SPECIALS="Y"))=0,"",'Dvd Calendar'!$AI$1938)))</f>
        <v/>
      </c>
      <c r="AH194" s="161">
        <f>IF(FJ194="","",IF(ISNUMBER('Dvd Calendar'!$AJ$1938)=FALSE,"",IF((('Dvd Calendar'!$AJ$1940=TYPE1)*(TYPE1&lt;&gt;"")+('Dvd Calendar'!$AJ$1940=TYPE2)*(TYPE2&lt;&gt;"")+('Dvd Calendar'!$AJ$1940=TYPE3)*(TYPE3&lt;&gt;"")+('Dvd Calendar'!$AJ$1940=TYPE4)*(TYPE4&lt;&gt;"")+('Dvd Calendar'!$AJ$1940=SPECIAL_LBL)*(INC_SPECIALS="Y"))=0,"",'Dvd Calendar'!$AJ$1938)))</f>
        <v/>
      </c>
      <c r="AI194" s="161">
        <f>IF(FK194="","",IF(ISNUMBER('Dvd Calendar'!$AK$1938)=FALSE,"",IF((('Dvd Calendar'!$AK$1940=TYPE1)*(TYPE1&lt;&gt;"")+('Dvd Calendar'!$AK$1940=TYPE2)*(TYPE2&lt;&gt;"")+('Dvd Calendar'!$AK$1940=TYPE3)*(TYPE3&lt;&gt;"")+('Dvd Calendar'!$AK$1940=TYPE4)*(TYPE4&lt;&gt;"")+('Dvd Calendar'!$AK$1940=SPECIAL_LBL)*(INC_SPECIALS="Y"))=0,"",'Dvd Calendar'!$AK$1938)))</f>
        <v/>
      </c>
      <c r="AJ194" s="161">
        <f>IF(FL194="","",IF(ISNUMBER('Dvd Calendar'!$AL$1938)=FALSE,"",IF((('Dvd Calendar'!$AL$1940=TYPE1)*(TYPE1&lt;&gt;"")+('Dvd Calendar'!$AL$1940=TYPE2)*(TYPE2&lt;&gt;"")+('Dvd Calendar'!$AL$1940=TYPE3)*(TYPE3&lt;&gt;"")+('Dvd Calendar'!$AL$1940=TYPE4)*(TYPE4&lt;&gt;"")+('Dvd Calendar'!$AL$1940=SPECIAL_LBL)*(INC_SPECIALS="Y"))=0,"",'Dvd Calendar'!$AL$1938)))</f>
        <v/>
      </c>
      <c r="AK194" s="161">
        <f>IF(FM194="","",IF(ISNUMBER('Dvd Calendar'!$AM$1938)=FALSE,"",IF((('Dvd Calendar'!$AM$1940=TYPE1)*(TYPE1&lt;&gt;"")+('Dvd Calendar'!$AM$1940=TYPE2)*(TYPE2&lt;&gt;"")+('Dvd Calendar'!$AM$1940=TYPE3)*(TYPE3&lt;&gt;"")+('Dvd Calendar'!$AM$1940=TYPE4)*(TYPE4&lt;&gt;"")+('Dvd Calendar'!$AM$1940=SPECIAL_LBL)*(INC_SPECIALS="Y"))=0,"",'Dvd Calendar'!$AM$1938)))</f>
        <v/>
      </c>
      <c r="AL194" s="161">
        <f>IF(FN194="","",IF(ISNUMBER('Dvd Calendar'!$AN$1938)=FALSE,"",IF((('Dvd Calendar'!$AN$1940=TYPE1)*(TYPE1&lt;&gt;"")+('Dvd Calendar'!$AN$1940=TYPE2)*(TYPE2&lt;&gt;"")+('Dvd Calendar'!$AN$1940=TYPE3)*(TYPE3&lt;&gt;"")+('Dvd Calendar'!$AN$1940=TYPE4)*(TYPE4&lt;&gt;"")+('Dvd Calendar'!$AN$1940=SPECIAL_LBL)*(INC_SPECIALS="Y"))=0,"",'Dvd Calendar'!$AN$1938)))</f>
        <v/>
      </c>
      <c r="AM194" s="161">
        <f>IF(FO194="","",IF(ISNUMBER('Dvd Calendar'!$AO$1938)=FALSE,"",IF((('Dvd Calendar'!$AO$1940=TYPE1)*(TYPE1&lt;&gt;"")+('Dvd Calendar'!$AO$1940=TYPE2)*(TYPE2&lt;&gt;"")+('Dvd Calendar'!$AO$1940=TYPE3)*(TYPE3&lt;&gt;"")+('Dvd Calendar'!$AO$1940=TYPE4)*(TYPE4&lt;&gt;"")+('Dvd Calendar'!$AO$1940=SPECIAL_LBL)*(INC_SPECIALS="Y"))=0,"",'Dvd Calendar'!$AO$1938)))</f>
        <v/>
      </c>
      <c r="AN194" s="161">
        <f>IF(FP194="","",IF(ISNUMBER('Dvd Calendar'!$AP$1938)=FALSE,"",IF((('Dvd Calendar'!$AP$1940=TYPE1)*(TYPE1&lt;&gt;"")+('Dvd Calendar'!$AP$1940=TYPE2)*(TYPE2&lt;&gt;"")+('Dvd Calendar'!$AP$1940=TYPE3)*(TYPE3&lt;&gt;"")+('Dvd Calendar'!$AP$1940=TYPE4)*(TYPE4&lt;&gt;"")+('Dvd Calendar'!$AP$1940=SPECIAL_LBL)*(INC_SPECIALS="Y"))=0,"",'Dvd Calendar'!$AP$1938)))</f>
        <v/>
      </c>
      <c r="AO194" s="161">
        <f>IF(FQ194="","",IF(ISNUMBER('Dvd Calendar'!$AQ$1938)=FALSE,"",IF((('Dvd Calendar'!$AQ$1940=TYPE1)*(TYPE1&lt;&gt;"")+('Dvd Calendar'!$AQ$1940=TYPE2)*(TYPE2&lt;&gt;"")+('Dvd Calendar'!$AQ$1940=TYPE3)*(TYPE3&lt;&gt;"")+('Dvd Calendar'!$AQ$1940=TYPE4)*(TYPE4&lt;&gt;"")+('Dvd Calendar'!$AQ$1940=SPECIAL_LBL)*(INC_SPECIALS="Y"))=0,"",'Dvd Calendar'!$AQ$1938)))</f>
        <v/>
      </c>
      <c r="AP194" s="161">
        <f>IF(FR194="","",IF(ISNUMBER('Dvd Calendar'!$AR$1938)=FALSE,"",IF((('Dvd Calendar'!$AR$1940=TYPE1)*(TYPE1&lt;&gt;"")+('Dvd Calendar'!$AR$1940=TYPE2)*(TYPE2&lt;&gt;"")+('Dvd Calendar'!$AR$1940=TYPE3)*(TYPE3&lt;&gt;"")+('Dvd Calendar'!$AR$1940=TYPE4)*(TYPE4&lt;&gt;"")+('Dvd Calendar'!$AR$1940=SPECIAL_LBL)*(INC_SPECIALS="Y"))=0,"",'Dvd Calendar'!$AR$1938)))</f>
        <v/>
      </c>
      <c r="AQ194" s="161">
        <f>IF(FS194="","",IF(ISNUMBER('Dvd Calendar'!$E$1943)=FALSE,"",'Dvd Calendar'!$E$1943))</f>
        <v/>
      </c>
      <c r="AR194" s="161">
        <f>IF(FT194="","",IF(ISNUMBER('Dvd Calendar'!$F$1943)=FALSE,"",'Dvd Calendar'!$F$1943))</f>
        <v/>
      </c>
      <c r="AS194" s="161">
        <f>IF(FU194="","",IF(ISNUMBER('Dvd Calendar'!$G$1943)=FALSE,"",'Dvd Calendar'!$G$1943))</f>
        <v/>
      </c>
      <c r="AT194" s="161">
        <f>IF(FV194="","",IF(ISNUMBER('Dvd Calendar'!$H$1943)=FALSE,"",'Dvd Calendar'!$H$1943))</f>
        <v/>
      </c>
      <c r="AU194" s="161">
        <f>IF(FW194="","",IF(ISNUMBER('Dvd Calendar'!$I$1943)=FALSE,"",'Dvd Calendar'!$I$1943))</f>
        <v/>
      </c>
      <c r="AV194" s="161">
        <f>IF(FX194="","",IF(ISNUMBER('Dvd Calendar'!$J$1943)=FALSE,"",'Dvd Calendar'!$J$1943))</f>
        <v/>
      </c>
      <c r="AW194" s="161">
        <f>IF(FY194="","",IF(ISNUMBER('Dvd Calendar'!$K$1943)=FALSE,"",'Dvd Calendar'!$K$1943))</f>
        <v/>
      </c>
      <c r="AX194" s="161">
        <f>IF(FZ194="","",IF(ISNUMBER('Dvd Calendar'!$L$1943)=FALSE,"",'Dvd Calendar'!$L$1943))</f>
        <v/>
      </c>
      <c r="AY194" s="161">
        <f>IF(GA194="","",IF(ISNUMBER('Dvd Calendar'!$M$1943)=FALSE,"",'Dvd Calendar'!$M$1943))</f>
        <v/>
      </c>
      <c r="AZ194" s="161">
        <f>IF(GB194="","",IF(ISNUMBER('Dvd Calendar'!$N$1943)=FALSE,"",'Dvd Calendar'!$N$1943))</f>
        <v/>
      </c>
      <c r="BA194" s="161">
        <f>IF(GC194="","",IF(ISNUMBER('Dvd Calendar'!$O$1943)=FALSE,"",'Dvd Calendar'!$O$1943))</f>
        <v/>
      </c>
      <c r="BB194" s="161">
        <f>IF(GD194="","",IF(ISNUMBER('Dvd Calendar'!$P$1943)=FALSE,"",'Dvd Calendar'!$P$1943))</f>
        <v/>
      </c>
      <c r="BC194" s="161">
        <f>IF(GE194="","",IF(ISNUMBER('Dvd Calendar'!$Q$1943)=FALSE,"",'Dvd Calendar'!$Q$1943))</f>
        <v/>
      </c>
      <c r="BD194" s="161">
        <f>IF(GF194="","",IF(ISNUMBER('Dvd Calendar'!$R$1943)=FALSE,"",'Dvd Calendar'!$R$1943))</f>
        <v/>
      </c>
      <c r="BE194" s="161">
        <f>IF(GG194="","",IF(ISNUMBER('Dvd Calendar'!$S$1943)=FALSE,"",'Dvd Calendar'!$S$1943))</f>
        <v/>
      </c>
      <c r="BF194" s="161">
        <f>IF(GH194="","",IF(ISNUMBER('Dvd Calendar'!$T$1943)=FALSE,"",'Dvd Calendar'!$T$1943))</f>
        <v/>
      </c>
      <c r="BG194" s="161">
        <f>IF(GI194="","",IF(ISNUMBER('Dvd Calendar'!$U$1943)=FALSE,"",'Dvd Calendar'!$U$1943))</f>
        <v/>
      </c>
      <c r="BH194" s="161">
        <f>IF(GJ194="","",IF(ISNUMBER('Dvd Calendar'!$V$1943)=FALSE,"",'Dvd Calendar'!$V$1943))</f>
        <v/>
      </c>
      <c r="BI194" s="161">
        <f>IF(GK194="","",IF(ISNUMBER('Dvd Calendar'!$W$1943)=FALSE,"",'Dvd Calendar'!$W$1943))</f>
        <v/>
      </c>
      <c r="BJ194" s="161">
        <f>IF(GL194="","",IF(ISNUMBER('Dvd Calendar'!$X$1943)=FALSE,"",'Dvd Calendar'!$X$1943))</f>
        <v/>
      </c>
      <c r="BK194" s="161">
        <f>IF(GM194="","",IF(ISNUMBER('Dvd Calendar'!$Y$1943)=FALSE,"",'Dvd Calendar'!$Y$1943))</f>
        <v/>
      </c>
      <c r="BL194" s="161">
        <f>IF(GN194="","",IF(ISNUMBER('Dvd Calendar'!$Z$1943)=FALSE,"",'Dvd Calendar'!$Z$1943))</f>
        <v/>
      </c>
      <c r="BM194" s="161">
        <f>IF(GO194="","",IF(ISNUMBER('Dvd Calendar'!$AA$1943)=FALSE,"",'Dvd Calendar'!$AA$1943))</f>
        <v/>
      </c>
      <c r="BN194" s="161">
        <f>IF(GP194="","",IF(ISNUMBER('Dvd Calendar'!$AB$1943)=FALSE,"",'Dvd Calendar'!$AB$1943))</f>
        <v/>
      </c>
      <c r="BO194" s="161">
        <f>IF(GQ194="","",IF(ISNUMBER('Dvd Calendar'!$AC$1943)=FALSE,"",'Dvd Calendar'!$AC$1943))</f>
        <v/>
      </c>
      <c r="BQ194" s="161">
        <f>IF(C194="","",IFERROR(C194*HSCEI!$B$41*HSCEI!$G$41/HSCEI!$B$3,""))</f>
        <v/>
      </c>
      <c r="BR194" s="161">
        <f>IF(D194="","",IFERROR(D194*HSCEI!$B$41*HSCEI!$G$41/HSCEI!$B$3,""))</f>
        <v/>
      </c>
      <c r="BS194" s="161">
        <f>IF(E194="","",IFERROR(E194*HSCEI!$B$41*HSCEI!$G$41/HSCEI!$B$3,""))</f>
        <v/>
      </c>
      <c r="BT194" s="161">
        <f>IF(F194="","",IFERROR(F194*HSCEI!$B$41*HSCEI!$G$41/HSCEI!$B$3,""))</f>
        <v/>
      </c>
      <c r="BU194" s="161">
        <f>IF(G194="","",IFERROR(G194*HSCEI!$B$41*HSCEI!$G$41/HSCEI!$B$3,""))</f>
        <v/>
      </c>
      <c r="BV194" s="161">
        <f>IF(H194="","",IFERROR(H194*HSCEI!$B$41*HSCEI!$G$41/HSCEI!$B$3,""))</f>
        <v/>
      </c>
      <c r="BW194" s="161">
        <f>IF(I194="","",IFERROR(I194*HSCEI!$B$41*HSCEI!$G$41/HSCEI!$B$3,""))</f>
        <v/>
      </c>
      <c r="BX194" s="161">
        <f>IF(J194="","",IFERROR(J194*HSCEI!$B$41*HSCEI!$G$41/HSCEI!$B$3,""))</f>
        <v/>
      </c>
      <c r="BY194" s="161">
        <f>IF(K194="","",IFERROR(K194*HSCEI!$B$41*HSCEI!$G$41/HSCEI!$B$3,""))</f>
        <v/>
      </c>
      <c r="BZ194" s="161">
        <f>IF(L194="","",IFERROR(L194*HSCEI!$B$41*HSCEI!$G$41/HSCEI!$B$3,""))</f>
        <v/>
      </c>
      <c r="CA194" s="161">
        <f>IF(M194="","",IFERROR(M194*HSCEI!$B$41*HSCEI!$G$41/HSCEI!$B$3,""))</f>
        <v/>
      </c>
      <c r="CB194" s="161">
        <f>IF(N194="","",IFERROR(N194*HSCEI!$B$41*HSCEI!$G$41/HSCEI!$B$3,""))</f>
        <v/>
      </c>
      <c r="CC194" s="161">
        <f>IF(O194="","",IFERROR(O194*HSCEI!$B$41*HSCEI!$G$41/HSCEI!$B$3,""))</f>
        <v/>
      </c>
      <c r="CD194" s="161">
        <f>IF(P194="","",IFERROR(P194*HSCEI!$B$41*HSCEI!$G$41/HSCEI!$B$3,""))</f>
        <v/>
      </c>
      <c r="CE194" s="161">
        <f>IF(Q194="","",IFERROR(Q194*HSCEI!$B$41*HSCEI!$G$41/HSCEI!$B$3,""))</f>
        <v/>
      </c>
      <c r="CF194" s="161">
        <f>IF(R194="","",IFERROR(R194*HSCEI!$B$41*HSCEI!$G$41/HSCEI!$B$3,""))</f>
        <v/>
      </c>
      <c r="CG194" s="161">
        <f>IF(S194="","",IFERROR(S194*HSCEI!$B$41*HSCEI!$G$41/HSCEI!$B$3,""))</f>
        <v/>
      </c>
      <c r="CH194" s="161">
        <f>IF(T194="","",IFERROR(T194*HSCEI!$B$41*HSCEI!$G$41/HSCEI!$B$3,""))</f>
        <v/>
      </c>
      <c r="CI194" s="161">
        <f>IF(U194="","",IFERROR(U194*HSCEI!$B$41*HSCEI!$G$41/HSCEI!$B$3,""))</f>
        <v/>
      </c>
      <c r="CJ194" s="161">
        <f>IF(V194="","",IFERROR(V194*HSCEI!$B$41*HSCEI!$G$41/HSCEI!$B$3,""))</f>
        <v/>
      </c>
      <c r="CK194" s="161">
        <f>IF(W194="","",IFERROR(W194*HSCEI!$B$41*HSCEI!$G$41/HSCEI!$B$3,""))</f>
        <v/>
      </c>
      <c r="CL194" s="161">
        <f>IF(X194="","",IFERROR(X194*HSCEI!$B$41*HSCEI!$G$41/HSCEI!$B$3,""))</f>
        <v/>
      </c>
      <c r="CM194" s="161">
        <f>IF(Y194="","",IFERROR(Y194*HSCEI!$B$41*HSCEI!$G$41/HSCEI!$B$3,""))</f>
        <v/>
      </c>
      <c r="CN194" s="161">
        <f>IF(Z194="","",IFERROR(Z194*HSCEI!$B$41*HSCEI!$G$41/HSCEI!$B$3,""))</f>
        <v/>
      </c>
      <c r="CO194" s="161">
        <f>IF(AA194="","",IFERROR(AA194*HSCEI!$B$41*HSCEI!$G$41/HSCEI!$B$3,""))</f>
        <v/>
      </c>
      <c r="CP194" s="161">
        <f>IF(AB194="","",IFERROR(AB194*HSCEI!$B$41*HSCEI!$G$41/HSCEI!$B$3,""))</f>
        <v/>
      </c>
      <c r="CQ194" s="161">
        <f>IF(AC194="","",IFERROR(AC194*HSCEI!$B$41*HSCEI!$G$41/HSCEI!$B$3,""))</f>
        <v/>
      </c>
      <c r="CR194" s="161">
        <f>IF(AD194="","",IFERROR(AD194*HSCEI!$B$41*HSCEI!$G$41/HSCEI!$B$3,""))</f>
        <v/>
      </c>
      <c r="CS194" s="161">
        <f>IF(AE194="","",IFERROR(AE194*HSCEI!$B$41*HSCEI!$G$41/HSCEI!$B$3,""))</f>
        <v/>
      </c>
      <c r="CT194" s="161">
        <f>IF(AF194="","",IFERROR(AF194*HSCEI!$B$41*HSCEI!$G$41/HSCEI!$B$3,""))</f>
        <v/>
      </c>
      <c r="CU194" s="161">
        <f>IF(AG194="","",IFERROR(AG194*HSCEI!$B$41*HSCEI!$G$41/HSCEI!$B$3,""))</f>
        <v/>
      </c>
      <c r="CV194" s="161">
        <f>IF(AH194="","",IFERROR(AH194*HSCEI!$B$41*HSCEI!$G$41/HSCEI!$B$3,""))</f>
        <v/>
      </c>
      <c r="CW194" s="161">
        <f>IF(AI194="","",IFERROR(AI194*HSCEI!$B$41*HSCEI!$G$41/HSCEI!$B$3,""))</f>
        <v/>
      </c>
      <c r="CX194" s="161">
        <f>IF(AJ194="","",IFERROR(AJ194*HSCEI!$B$41*HSCEI!$G$41/HSCEI!$B$3,""))</f>
        <v/>
      </c>
      <c r="CY194" s="161">
        <f>IF(AK194="","",IFERROR(AK194*HSCEI!$B$41*HSCEI!$G$41/HSCEI!$B$3,""))</f>
        <v/>
      </c>
      <c r="CZ194" s="161">
        <f>IF(AL194="","",IFERROR(AL194*HSCEI!$B$41*HSCEI!$G$41/HSCEI!$B$3,""))</f>
        <v/>
      </c>
      <c r="DA194" s="161">
        <f>IF(AM194="","",IFERROR(AM194*HSCEI!$B$41*HSCEI!$G$41/HSCEI!$B$3,""))</f>
        <v/>
      </c>
      <c r="DB194" s="161">
        <f>IF(AN194="","",IFERROR(AN194*HSCEI!$B$41*HSCEI!$G$41/HSCEI!$B$3,""))</f>
        <v/>
      </c>
      <c r="DC194" s="161">
        <f>IF(AO194="","",IFERROR(AO194*HSCEI!$B$41*HSCEI!$G$41/HSCEI!$B$3,""))</f>
        <v/>
      </c>
      <c r="DD194" s="161">
        <f>IF(AP194="","",IFERROR(AP194*HSCEI!$B$41*HSCEI!$G$41/HSCEI!$B$3,""))</f>
        <v/>
      </c>
      <c r="DE194" s="161">
        <f>IF(AQ194="","",IFERROR(AQ194*HSCEI!$B$41*HSCEI!$G$41/HSCEI!$B$3,""))</f>
        <v/>
      </c>
      <c r="DF194" s="161">
        <f>IF(AR194="","",IFERROR(AR194*HSCEI!$B$41*HSCEI!$G$41/HSCEI!$B$3,""))</f>
        <v/>
      </c>
      <c r="DG194" s="161">
        <f>IF(AS194="","",IFERROR(AS194*HSCEI!$B$41*HSCEI!$G$41/HSCEI!$B$3,""))</f>
        <v/>
      </c>
      <c r="DH194" s="161">
        <f>IF(AT194="","",IFERROR(AT194*HSCEI!$B$41*HSCEI!$G$41/HSCEI!$B$3,""))</f>
        <v/>
      </c>
      <c r="DI194" s="161">
        <f>IF(AU194="","",IFERROR(AU194*HSCEI!$B$41*HSCEI!$G$41/HSCEI!$B$3,""))</f>
        <v/>
      </c>
      <c r="DJ194" s="161">
        <f>IF(AV194="","",IFERROR(AV194*HSCEI!$B$41*HSCEI!$G$41/HSCEI!$B$3,""))</f>
        <v/>
      </c>
      <c r="DK194" s="161">
        <f>IF(AW194="","",IFERROR(AW194*HSCEI!$B$41*HSCEI!$G$41/HSCEI!$B$3,""))</f>
        <v/>
      </c>
      <c r="DL194" s="161">
        <f>IF(AX194="","",IFERROR(AX194*HSCEI!$B$41*HSCEI!$G$41/HSCEI!$B$3,""))</f>
        <v/>
      </c>
      <c r="DM194" s="161">
        <f>IF(AY194="","",IFERROR(AY194*HSCEI!$B$41*HSCEI!$G$41/HSCEI!$B$3,""))</f>
        <v/>
      </c>
      <c r="DN194" s="161">
        <f>IF(AZ194="","",IFERROR(AZ194*HSCEI!$B$41*HSCEI!$G$41/HSCEI!$B$3,""))</f>
        <v/>
      </c>
      <c r="DO194" s="161">
        <f>IF(BA194="","",IFERROR(BA194*HSCEI!$B$41*HSCEI!$G$41/HSCEI!$B$3,""))</f>
        <v/>
      </c>
      <c r="DP194" s="161">
        <f>IF(BB194="","",IFERROR(BB194*HSCEI!$B$41*HSCEI!$G$41/HSCEI!$B$3,""))</f>
        <v/>
      </c>
      <c r="DQ194" s="161">
        <f>IF(BC194="","",IFERROR(BC194*HSCEI!$B$41*HSCEI!$G$41/HSCEI!$B$3,""))</f>
        <v/>
      </c>
      <c r="DR194" s="161">
        <f>IF(BD194="","",IFERROR(BD194*HSCEI!$B$41*HSCEI!$G$41/HSCEI!$B$3,""))</f>
        <v/>
      </c>
      <c r="DS194" s="161">
        <f>IF(BE194="","",IFERROR(BE194*HSCEI!$B$41*HSCEI!$G$41/HSCEI!$B$3,""))</f>
        <v/>
      </c>
      <c r="DT194" s="161">
        <f>IF(BF194="","",IFERROR(BF194*HSCEI!$B$41*HSCEI!$G$41/HSCEI!$B$3,""))</f>
        <v/>
      </c>
      <c r="DU194" s="161">
        <f>IF(BG194="","",IFERROR(BG194*HSCEI!$B$41*HSCEI!$G$41/HSCEI!$B$3,""))</f>
        <v/>
      </c>
      <c r="DV194" s="161">
        <f>IF(BH194="","",IFERROR(BH194*HSCEI!$B$41*HSCEI!$G$41/HSCEI!$B$3,""))</f>
        <v/>
      </c>
      <c r="DW194" s="161">
        <f>IF(BI194="","",IFERROR(BI194*HSCEI!$B$41*HSCEI!$G$41/HSCEI!$B$3,""))</f>
        <v/>
      </c>
      <c r="DX194" s="161">
        <f>IF(BJ194="","",IFERROR(BJ194*HSCEI!$B$41*HSCEI!$G$41/HSCEI!$B$3,""))</f>
        <v/>
      </c>
      <c r="DY194" s="161">
        <f>IF(BK194="","",IFERROR(BK194*HSCEI!$B$41*HSCEI!$G$41/HSCEI!$B$3,""))</f>
        <v/>
      </c>
      <c r="DZ194" s="161">
        <f>IF(BL194="","",IFERROR(BL194*HSCEI!$B$41*HSCEI!$G$41/HSCEI!$B$3,""))</f>
        <v/>
      </c>
      <c r="EA194" s="161">
        <f>IF(BM194="","",IFERROR(BM194*HSCEI!$B$41*HSCEI!$G$41/HSCEI!$B$3,""))</f>
        <v/>
      </c>
      <c r="EB194" s="161">
        <f>IF(BN194="","",IFERROR(BN194*HSCEI!$B$41*HSCEI!$G$41/HSCEI!$B$3,""))</f>
        <v/>
      </c>
      <c r="EC194" s="161">
        <f>IF(BO194="","",IFERROR(BO194*HSCEI!$B$41*HSCEI!$G$41/HSCEI!$B$3,""))</f>
        <v/>
      </c>
      <c r="EE194" s="121">
        <f>IF(N('Dvd Calendar'!$E$1935)=0,"",IF(('Dvd Calendar'!$E$1935&gt;=GRID_FROM)*('Dvd Calendar'!$E$1935&lt;=GRID_TO)*((('Dvd Calendar'!$E$1935&lt;=VAL_DATE)+(COUNTIF('Dvd Calendar'!$E$1942:$AR$1942,'Dvd Calendar'!$E$1935)=0))&gt;0)=0,"",'Dvd Calendar'!$E$1935*1000000000+ISNUMBER('Dvd Calendar'!$E$1938)*100000000+('Dvd Calendar'!$E$1940=SPECIAL_LBL)*10000000+(N('Dvd Calendar'!$E$1934)&gt;0)*(N('Dvd Calendar'!$E$1934)&lt;=VAL_SERIAL)*1000000+35*1000+1))</f>
        <v/>
      </c>
      <c r="EF194" s="121">
        <f>IF(N('Dvd Calendar'!$F$1935)=0,"",IF(('Dvd Calendar'!$F$1935&gt;=GRID_FROM)*('Dvd Calendar'!$F$1935&lt;=GRID_TO)*((('Dvd Calendar'!$F$1935&lt;=VAL_DATE)+(COUNTIF('Dvd Calendar'!$E$1942:$AR$1942,'Dvd Calendar'!$F$1935)=0))&gt;0)=0,"",'Dvd Calendar'!$F$1935*1000000000+ISNUMBER('Dvd Calendar'!$F$1938)*100000000+('Dvd Calendar'!$F$1940=SPECIAL_LBL)*10000000+(N('Dvd Calendar'!$F$1934)&gt;0)*(N('Dvd Calendar'!$F$1934)&lt;=VAL_SERIAL)*1000000+35*1000+2))</f>
        <v/>
      </c>
      <c r="EG194" s="121">
        <f>IF(N('Dvd Calendar'!$G$1935)=0,"",IF(('Dvd Calendar'!$G$1935&gt;=GRID_FROM)*('Dvd Calendar'!$G$1935&lt;=GRID_TO)*((('Dvd Calendar'!$G$1935&lt;=VAL_DATE)+(COUNTIF('Dvd Calendar'!$E$1942:$AR$1942,'Dvd Calendar'!$G$1935)=0))&gt;0)=0,"",'Dvd Calendar'!$G$1935*1000000000+ISNUMBER('Dvd Calendar'!$G$1938)*100000000+('Dvd Calendar'!$G$1940=SPECIAL_LBL)*10000000+(N('Dvd Calendar'!$G$1934)&gt;0)*(N('Dvd Calendar'!$G$1934)&lt;=VAL_SERIAL)*1000000+35*1000+3))</f>
        <v/>
      </c>
      <c r="EH194" s="121">
        <f>IF(N('Dvd Calendar'!$H$1935)=0,"",IF(('Dvd Calendar'!$H$1935&gt;=GRID_FROM)*('Dvd Calendar'!$H$1935&lt;=GRID_TO)*((('Dvd Calendar'!$H$1935&lt;=VAL_DATE)+(COUNTIF('Dvd Calendar'!$E$1942:$AR$1942,'Dvd Calendar'!$H$1935)=0))&gt;0)=0,"",'Dvd Calendar'!$H$1935*1000000000+ISNUMBER('Dvd Calendar'!$H$1938)*100000000+('Dvd Calendar'!$H$1940=SPECIAL_LBL)*10000000+(N('Dvd Calendar'!$H$1934)&gt;0)*(N('Dvd Calendar'!$H$1934)&lt;=VAL_SERIAL)*1000000+35*1000+4))</f>
        <v/>
      </c>
      <c r="EI194" s="121">
        <f>IF(N('Dvd Calendar'!$I$1935)=0,"",IF(('Dvd Calendar'!$I$1935&gt;=GRID_FROM)*('Dvd Calendar'!$I$1935&lt;=GRID_TO)*((('Dvd Calendar'!$I$1935&lt;=VAL_DATE)+(COUNTIF('Dvd Calendar'!$E$1942:$AR$1942,'Dvd Calendar'!$I$1935)=0))&gt;0)=0,"",'Dvd Calendar'!$I$1935*1000000000+ISNUMBER('Dvd Calendar'!$I$1938)*100000000+('Dvd Calendar'!$I$1940=SPECIAL_LBL)*10000000+(N('Dvd Calendar'!$I$1934)&gt;0)*(N('Dvd Calendar'!$I$1934)&lt;=VAL_SERIAL)*1000000+35*1000+5))</f>
        <v/>
      </c>
      <c r="EJ194" s="121">
        <f>IF(N('Dvd Calendar'!$J$1935)=0,"",IF(('Dvd Calendar'!$J$1935&gt;=GRID_FROM)*('Dvd Calendar'!$J$1935&lt;=GRID_TO)*((('Dvd Calendar'!$J$1935&lt;=VAL_DATE)+(COUNTIF('Dvd Calendar'!$E$1942:$AR$1942,'Dvd Calendar'!$J$1935)=0))&gt;0)=0,"",'Dvd Calendar'!$J$1935*1000000000+ISNUMBER('Dvd Calendar'!$J$1938)*100000000+('Dvd Calendar'!$J$1940=SPECIAL_LBL)*10000000+(N('Dvd Calendar'!$J$1934)&gt;0)*(N('Dvd Calendar'!$J$1934)&lt;=VAL_SERIAL)*1000000+35*1000+6))</f>
        <v/>
      </c>
      <c r="EK194" s="121">
        <f>IF(N('Dvd Calendar'!$K$1935)=0,"",IF(('Dvd Calendar'!$K$1935&gt;=GRID_FROM)*('Dvd Calendar'!$K$1935&lt;=GRID_TO)*((('Dvd Calendar'!$K$1935&lt;=VAL_DATE)+(COUNTIF('Dvd Calendar'!$E$1942:$AR$1942,'Dvd Calendar'!$K$1935)=0))&gt;0)=0,"",'Dvd Calendar'!$K$1935*1000000000+ISNUMBER('Dvd Calendar'!$K$1938)*100000000+('Dvd Calendar'!$K$1940=SPECIAL_LBL)*10000000+(N('Dvd Calendar'!$K$1934)&gt;0)*(N('Dvd Calendar'!$K$1934)&lt;=VAL_SERIAL)*1000000+35*1000+7))</f>
        <v/>
      </c>
      <c r="EL194" s="121">
        <f>IF(N('Dvd Calendar'!$L$1935)=0,"",IF(('Dvd Calendar'!$L$1935&gt;=GRID_FROM)*('Dvd Calendar'!$L$1935&lt;=GRID_TO)*((('Dvd Calendar'!$L$1935&lt;=VAL_DATE)+(COUNTIF('Dvd Calendar'!$E$1942:$AR$1942,'Dvd Calendar'!$L$1935)=0))&gt;0)=0,"",'Dvd Calendar'!$L$1935*1000000000+ISNUMBER('Dvd Calendar'!$L$1938)*100000000+('Dvd Calendar'!$L$1940=SPECIAL_LBL)*10000000+(N('Dvd Calendar'!$L$1934)&gt;0)*(N('Dvd Calendar'!$L$1934)&lt;=VAL_SERIAL)*1000000+35*1000+8))</f>
        <v/>
      </c>
      <c r="EM194" s="121">
        <f>IF(N('Dvd Calendar'!$M$1935)=0,"",IF(('Dvd Calendar'!$M$1935&gt;=GRID_FROM)*('Dvd Calendar'!$M$1935&lt;=GRID_TO)*((('Dvd Calendar'!$M$1935&lt;=VAL_DATE)+(COUNTIF('Dvd Calendar'!$E$1942:$AR$1942,'Dvd Calendar'!$M$1935)=0))&gt;0)=0,"",'Dvd Calendar'!$M$1935*1000000000+ISNUMBER('Dvd Calendar'!$M$1938)*100000000+('Dvd Calendar'!$M$1940=SPECIAL_LBL)*10000000+(N('Dvd Calendar'!$M$1934)&gt;0)*(N('Dvd Calendar'!$M$1934)&lt;=VAL_SERIAL)*1000000+35*1000+9))</f>
        <v/>
      </c>
      <c r="EN194" s="121">
        <f>IF(N('Dvd Calendar'!$N$1935)=0,"",IF(('Dvd Calendar'!$N$1935&gt;=GRID_FROM)*('Dvd Calendar'!$N$1935&lt;=GRID_TO)*((('Dvd Calendar'!$N$1935&lt;=VAL_DATE)+(COUNTIF('Dvd Calendar'!$E$1942:$AR$1942,'Dvd Calendar'!$N$1935)=0))&gt;0)=0,"",'Dvd Calendar'!$N$1935*1000000000+ISNUMBER('Dvd Calendar'!$N$1938)*100000000+('Dvd Calendar'!$N$1940=SPECIAL_LBL)*10000000+(N('Dvd Calendar'!$N$1934)&gt;0)*(N('Dvd Calendar'!$N$1934)&lt;=VAL_SERIAL)*1000000+35*1000+10))</f>
        <v/>
      </c>
      <c r="EO194" s="121">
        <f>IF(N('Dvd Calendar'!$O$1935)=0,"",IF(('Dvd Calendar'!$O$1935&gt;=GRID_FROM)*('Dvd Calendar'!$O$1935&lt;=GRID_TO)*((('Dvd Calendar'!$O$1935&lt;=VAL_DATE)+(COUNTIF('Dvd Calendar'!$E$1942:$AR$1942,'Dvd Calendar'!$O$1935)=0))&gt;0)=0,"",'Dvd Calendar'!$O$1935*1000000000+ISNUMBER('Dvd Calendar'!$O$1938)*100000000+('Dvd Calendar'!$O$1940=SPECIAL_LBL)*10000000+(N('Dvd Calendar'!$O$1934)&gt;0)*(N('Dvd Calendar'!$O$1934)&lt;=VAL_SERIAL)*1000000+35*1000+11))</f>
        <v/>
      </c>
      <c r="EP194" s="121">
        <f>IF(N('Dvd Calendar'!$P$1935)=0,"",IF(('Dvd Calendar'!$P$1935&gt;=GRID_FROM)*('Dvd Calendar'!$P$1935&lt;=GRID_TO)*((('Dvd Calendar'!$P$1935&lt;=VAL_DATE)+(COUNTIF('Dvd Calendar'!$E$1942:$AR$1942,'Dvd Calendar'!$P$1935)=0))&gt;0)=0,"",'Dvd Calendar'!$P$1935*1000000000+ISNUMBER('Dvd Calendar'!$P$1938)*100000000+('Dvd Calendar'!$P$1940=SPECIAL_LBL)*10000000+(N('Dvd Calendar'!$P$1934)&gt;0)*(N('Dvd Calendar'!$P$1934)&lt;=VAL_SERIAL)*1000000+35*1000+12))</f>
        <v/>
      </c>
      <c r="EQ194" s="121">
        <f>IF(N('Dvd Calendar'!$Q$1935)=0,"",IF(('Dvd Calendar'!$Q$1935&gt;=GRID_FROM)*('Dvd Calendar'!$Q$1935&lt;=GRID_TO)*((('Dvd Calendar'!$Q$1935&lt;=VAL_DATE)+(COUNTIF('Dvd Calendar'!$E$1942:$AR$1942,'Dvd Calendar'!$Q$1935)=0))&gt;0)=0,"",'Dvd Calendar'!$Q$1935*1000000000+ISNUMBER('Dvd Calendar'!$Q$1938)*100000000+('Dvd Calendar'!$Q$1940=SPECIAL_LBL)*10000000+(N('Dvd Calendar'!$Q$1934)&gt;0)*(N('Dvd Calendar'!$Q$1934)&lt;=VAL_SERIAL)*1000000+35*1000+13))</f>
        <v/>
      </c>
      <c r="ER194" s="121">
        <f>IF(N('Dvd Calendar'!$R$1935)=0,"",IF(('Dvd Calendar'!$R$1935&gt;=GRID_FROM)*('Dvd Calendar'!$R$1935&lt;=GRID_TO)*((('Dvd Calendar'!$R$1935&lt;=VAL_DATE)+(COUNTIF('Dvd Calendar'!$E$1942:$AR$1942,'Dvd Calendar'!$R$1935)=0))&gt;0)=0,"",'Dvd Calendar'!$R$1935*1000000000+ISNUMBER('Dvd Calendar'!$R$1938)*100000000+('Dvd Calendar'!$R$1940=SPECIAL_LBL)*10000000+(N('Dvd Calendar'!$R$1934)&gt;0)*(N('Dvd Calendar'!$R$1934)&lt;=VAL_SERIAL)*1000000+35*1000+14))</f>
        <v/>
      </c>
      <c r="ES194" s="121">
        <f>IF(N('Dvd Calendar'!$S$1935)=0,"",IF(('Dvd Calendar'!$S$1935&gt;=GRID_FROM)*('Dvd Calendar'!$S$1935&lt;=GRID_TO)*((('Dvd Calendar'!$S$1935&lt;=VAL_DATE)+(COUNTIF('Dvd Calendar'!$E$1942:$AR$1942,'Dvd Calendar'!$S$1935)=0))&gt;0)=0,"",'Dvd Calendar'!$S$1935*1000000000+ISNUMBER('Dvd Calendar'!$S$1938)*100000000+('Dvd Calendar'!$S$1940=SPECIAL_LBL)*10000000+(N('Dvd Calendar'!$S$1934)&gt;0)*(N('Dvd Calendar'!$S$1934)&lt;=VAL_SERIAL)*1000000+35*1000+15))</f>
        <v/>
      </c>
      <c r="ET194" s="121">
        <f>IF(N('Dvd Calendar'!$T$1935)=0,"",IF(('Dvd Calendar'!$T$1935&gt;=GRID_FROM)*('Dvd Calendar'!$T$1935&lt;=GRID_TO)*((('Dvd Calendar'!$T$1935&lt;=VAL_DATE)+(COUNTIF('Dvd Calendar'!$E$1942:$AR$1942,'Dvd Calendar'!$T$1935)=0))&gt;0)=0,"",'Dvd Calendar'!$T$1935*1000000000+ISNUMBER('Dvd Calendar'!$T$1938)*100000000+('Dvd Calendar'!$T$1940=SPECIAL_LBL)*10000000+(N('Dvd Calendar'!$T$1934)&gt;0)*(N('Dvd Calendar'!$T$1934)&lt;=VAL_SERIAL)*1000000+35*1000+16))</f>
        <v/>
      </c>
      <c r="EU194" s="121">
        <f>IF(N('Dvd Calendar'!$U$1935)=0,"",IF(('Dvd Calendar'!$U$1935&gt;=GRID_FROM)*('Dvd Calendar'!$U$1935&lt;=GRID_TO)*((('Dvd Calendar'!$U$1935&lt;=VAL_DATE)+(COUNTIF('Dvd Calendar'!$E$1942:$AR$1942,'Dvd Calendar'!$U$1935)=0))&gt;0)=0,"",'Dvd Calendar'!$U$1935*1000000000+ISNUMBER('Dvd Calendar'!$U$1938)*100000000+('Dvd Calendar'!$U$1940=SPECIAL_LBL)*10000000+(N('Dvd Calendar'!$U$1934)&gt;0)*(N('Dvd Calendar'!$U$1934)&lt;=VAL_SERIAL)*1000000+35*1000+17))</f>
        <v/>
      </c>
      <c r="EV194" s="121">
        <f>IF(N('Dvd Calendar'!$V$1935)=0,"",IF(('Dvd Calendar'!$V$1935&gt;=GRID_FROM)*('Dvd Calendar'!$V$1935&lt;=GRID_TO)*((('Dvd Calendar'!$V$1935&lt;=VAL_DATE)+(COUNTIF('Dvd Calendar'!$E$1942:$AR$1942,'Dvd Calendar'!$V$1935)=0))&gt;0)=0,"",'Dvd Calendar'!$V$1935*1000000000+ISNUMBER('Dvd Calendar'!$V$1938)*100000000+('Dvd Calendar'!$V$1940=SPECIAL_LBL)*10000000+(N('Dvd Calendar'!$V$1934)&gt;0)*(N('Dvd Calendar'!$V$1934)&lt;=VAL_SERIAL)*1000000+35*1000+18))</f>
        <v/>
      </c>
      <c r="EW194" s="121">
        <f>IF(N('Dvd Calendar'!$W$1935)=0,"",IF(('Dvd Calendar'!$W$1935&gt;=GRID_FROM)*('Dvd Calendar'!$W$1935&lt;=GRID_TO)*((('Dvd Calendar'!$W$1935&lt;=VAL_DATE)+(COUNTIF('Dvd Calendar'!$E$1942:$AR$1942,'Dvd Calendar'!$W$1935)=0))&gt;0)=0,"",'Dvd Calendar'!$W$1935*1000000000+ISNUMBER('Dvd Calendar'!$W$1938)*100000000+('Dvd Calendar'!$W$1940=SPECIAL_LBL)*10000000+(N('Dvd Calendar'!$W$1934)&gt;0)*(N('Dvd Calendar'!$W$1934)&lt;=VAL_SERIAL)*1000000+35*1000+19))</f>
        <v/>
      </c>
      <c r="EX194" s="121">
        <f>IF(N('Dvd Calendar'!$X$1935)=0,"",IF(('Dvd Calendar'!$X$1935&gt;=GRID_FROM)*('Dvd Calendar'!$X$1935&lt;=GRID_TO)*((('Dvd Calendar'!$X$1935&lt;=VAL_DATE)+(COUNTIF('Dvd Calendar'!$E$1942:$AR$1942,'Dvd Calendar'!$X$1935)=0))&gt;0)=0,"",'Dvd Calendar'!$X$1935*1000000000+ISNUMBER('Dvd Calendar'!$X$1938)*100000000+('Dvd Calendar'!$X$1940=SPECIAL_LBL)*10000000+(N('Dvd Calendar'!$X$1934)&gt;0)*(N('Dvd Calendar'!$X$1934)&lt;=VAL_SERIAL)*1000000+35*1000+20))</f>
        <v/>
      </c>
      <c r="EY194" s="121">
        <f>IF(N('Dvd Calendar'!$Y$1935)=0,"",IF(('Dvd Calendar'!$Y$1935&gt;=GRID_FROM)*('Dvd Calendar'!$Y$1935&lt;=GRID_TO)*((('Dvd Calendar'!$Y$1935&lt;=VAL_DATE)+(COUNTIF('Dvd Calendar'!$E$1942:$AR$1942,'Dvd Calendar'!$Y$1935)=0))&gt;0)=0,"",'Dvd Calendar'!$Y$1935*1000000000+ISNUMBER('Dvd Calendar'!$Y$1938)*100000000+('Dvd Calendar'!$Y$1940=SPECIAL_LBL)*10000000+(N('Dvd Calendar'!$Y$1934)&gt;0)*(N('Dvd Calendar'!$Y$1934)&lt;=VAL_SERIAL)*1000000+35*1000+21))</f>
        <v/>
      </c>
      <c r="EZ194" s="121">
        <f>IF(N('Dvd Calendar'!$Z$1935)=0,"",IF(('Dvd Calendar'!$Z$1935&gt;=GRID_FROM)*('Dvd Calendar'!$Z$1935&lt;=GRID_TO)*((('Dvd Calendar'!$Z$1935&lt;=VAL_DATE)+(COUNTIF('Dvd Calendar'!$E$1942:$AR$1942,'Dvd Calendar'!$Z$1935)=0))&gt;0)=0,"",'Dvd Calendar'!$Z$1935*1000000000+ISNUMBER('Dvd Calendar'!$Z$1938)*100000000+('Dvd Calendar'!$Z$1940=SPECIAL_LBL)*10000000+(N('Dvd Calendar'!$Z$1934)&gt;0)*(N('Dvd Calendar'!$Z$1934)&lt;=VAL_SERIAL)*1000000+35*1000+22))</f>
        <v/>
      </c>
      <c r="FA194" s="121">
        <f>IF(N('Dvd Calendar'!$AA$1935)=0,"",IF(('Dvd Calendar'!$AA$1935&gt;=GRID_FROM)*('Dvd Calendar'!$AA$1935&lt;=GRID_TO)*((('Dvd Calendar'!$AA$1935&lt;=VAL_DATE)+(COUNTIF('Dvd Calendar'!$E$1942:$AR$1942,'Dvd Calendar'!$AA$1935)=0))&gt;0)=0,"",'Dvd Calendar'!$AA$1935*1000000000+ISNUMBER('Dvd Calendar'!$AA$1938)*100000000+('Dvd Calendar'!$AA$1940=SPECIAL_LBL)*10000000+(N('Dvd Calendar'!$AA$1934)&gt;0)*(N('Dvd Calendar'!$AA$1934)&lt;=VAL_SERIAL)*1000000+35*1000+23))</f>
        <v/>
      </c>
      <c r="FB194" s="121">
        <f>IF(N('Dvd Calendar'!$AB$1935)=0,"",IF(('Dvd Calendar'!$AB$1935&gt;=GRID_FROM)*('Dvd Calendar'!$AB$1935&lt;=GRID_TO)*((('Dvd Calendar'!$AB$1935&lt;=VAL_DATE)+(COUNTIF('Dvd Calendar'!$E$1942:$AR$1942,'Dvd Calendar'!$AB$1935)=0))&gt;0)=0,"",'Dvd Calendar'!$AB$1935*1000000000+ISNUMBER('Dvd Calendar'!$AB$1938)*100000000+('Dvd Calendar'!$AB$1940=SPECIAL_LBL)*10000000+(N('Dvd Calendar'!$AB$1934)&gt;0)*(N('Dvd Calendar'!$AB$1934)&lt;=VAL_SERIAL)*1000000+35*1000+24))</f>
        <v/>
      </c>
      <c r="FC194" s="121">
        <f>IF(N('Dvd Calendar'!$AC$1935)=0,"",IF(('Dvd Calendar'!$AC$1935&gt;=GRID_FROM)*('Dvd Calendar'!$AC$1935&lt;=GRID_TO)*((('Dvd Calendar'!$AC$1935&lt;=VAL_DATE)+(COUNTIF('Dvd Calendar'!$E$1942:$AR$1942,'Dvd Calendar'!$AC$1935)=0))&gt;0)=0,"",'Dvd Calendar'!$AC$1935*1000000000+ISNUMBER('Dvd Calendar'!$AC$1938)*100000000+('Dvd Calendar'!$AC$1940=SPECIAL_LBL)*10000000+(N('Dvd Calendar'!$AC$1934)&gt;0)*(N('Dvd Calendar'!$AC$1934)&lt;=VAL_SERIAL)*1000000+35*1000+25))</f>
        <v/>
      </c>
      <c r="FD194" s="121">
        <f>IF(N('Dvd Calendar'!$AD$1935)=0,"",IF(('Dvd Calendar'!$AD$1935&gt;=GRID_FROM)*('Dvd Calendar'!$AD$1935&lt;=GRID_TO)*((('Dvd Calendar'!$AD$1935&lt;=VAL_DATE)+(COUNTIF('Dvd Calendar'!$E$1942:$AR$1942,'Dvd Calendar'!$AD$1935)=0))&gt;0)=0,"",'Dvd Calendar'!$AD$1935*1000000000+ISNUMBER('Dvd Calendar'!$AD$1938)*100000000+('Dvd Calendar'!$AD$1940=SPECIAL_LBL)*10000000+(N('Dvd Calendar'!$AD$1934)&gt;0)*(N('Dvd Calendar'!$AD$1934)&lt;=VAL_SERIAL)*1000000+35*1000+26))</f>
        <v/>
      </c>
      <c r="FE194" s="121">
        <f>IF(N('Dvd Calendar'!$AE$1935)=0,"",IF(('Dvd Calendar'!$AE$1935&gt;=GRID_FROM)*('Dvd Calendar'!$AE$1935&lt;=GRID_TO)*((('Dvd Calendar'!$AE$1935&lt;=VAL_DATE)+(COUNTIF('Dvd Calendar'!$E$1942:$AR$1942,'Dvd Calendar'!$AE$1935)=0))&gt;0)=0,"",'Dvd Calendar'!$AE$1935*1000000000+ISNUMBER('Dvd Calendar'!$AE$1938)*100000000+('Dvd Calendar'!$AE$1940=SPECIAL_LBL)*10000000+(N('Dvd Calendar'!$AE$1934)&gt;0)*(N('Dvd Calendar'!$AE$1934)&lt;=VAL_SERIAL)*1000000+35*1000+27))</f>
        <v/>
      </c>
      <c r="FF194" s="121">
        <f>IF(N('Dvd Calendar'!$AF$1935)=0,"",IF(('Dvd Calendar'!$AF$1935&gt;=GRID_FROM)*('Dvd Calendar'!$AF$1935&lt;=GRID_TO)*((('Dvd Calendar'!$AF$1935&lt;=VAL_DATE)+(COUNTIF('Dvd Calendar'!$E$1942:$AR$1942,'Dvd Calendar'!$AF$1935)=0))&gt;0)=0,"",'Dvd Calendar'!$AF$1935*1000000000+ISNUMBER('Dvd Calendar'!$AF$1938)*100000000+('Dvd Calendar'!$AF$1940=SPECIAL_LBL)*10000000+(N('Dvd Calendar'!$AF$1934)&gt;0)*(N('Dvd Calendar'!$AF$1934)&lt;=VAL_SERIAL)*1000000+35*1000+28))</f>
        <v/>
      </c>
      <c r="FG194" s="121">
        <f>IF(N('Dvd Calendar'!$AG$1935)=0,"",IF(('Dvd Calendar'!$AG$1935&gt;=GRID_FROM)*('Dvd Calendar'!$AG$1935&lt;=GRID_TO)*((('Dvd Calendar'!$AG$1935&lt;=VAL_DATE)+(COUNTIF('Dvd Calendar'!$E$1942:$AR$1942,'Dvd Calendar'!$AG$1935)=0))&gt;0)=0,"",'Dvd Calendar'!$AG$1935*1000000000+ISNUMBER('Dvd Calendar'!$AG$1938)*100000000+('Dvd Calendar'!$AG$1940=SPECIAL_LBL)*10000000+(N('Dvd Calendar'!$AG$1934)&gt;0)*(N('Dvd Calendar'!$AG$1934)&lt;=VAL_SERIAL)*1000000+35*1000+29))</f>
        <v/>
      </c>
      <c r="FH194" s="121">
        <f>IF(N('Dvd Calendar'!$AH$1935)=0,"",IF(('Dvd Calendar'!$AH$1935&gt;=GRID_FROM)*('Dvd Calendar'!$AH$1935&lt;=GRID_TO)*((('Dvd Calendar'!$AH$1935&lt;=VAL_DATE)+(COUNTIF('Dvd Calendar'!$E$1942:$AR$1942,'Dvd Calendar'!$AH$1935)=0))&gt;0)=0,"",'Dvd Calendar'!$AH$1935*1000000000+ISNUMBER('Dvd Calendar'!$AH$1938)*100000000+('Dvd Calendar'!$AH$1940=SPECIAL_LBL)*10000000+(N('Dvd Calendar'!$AH$1934)&gt;0)*(N('Dvd Calendar'!$AH$1934)&lt;=VAL_SERIAL)*1000000+35*1000+30))</f>
        <v/>
      </c>
      <c r="FI194" s="121">
        <f>IF(N('Dvd Calendar'!$AI$1935)=0,"",IF(('Dvd Calendar'!$AI$1935&gt;=GRID_FROM)*('Dvd Calendar'!$AI$1935&lt;=GRID_TO)*((('Dvd Calendar'!$AI$1935&lt;=VAL_DATE)+(COUNTIF('Dvd Calendar'!$E$1942:$AR$1942,'Dvd Calendar'!$AI$1935)=0))&gt;0)=0,"",'Dvd Calendar'!$AI$1935*1000000000+ISNUMBER('Dvd Calendar'!$AI$1938)*100000000+('Dvd Calendar'!$AI$1940=SPECIAL_LBL)*10000000+(N('Dvd Calendar'!$AI$1934)&gt;0)*(N('Dvd Calendar'!$AI$1934)&lt;=VAL_SERIAL)*1000000+35*1000+31))</f>
        <v/>
      </c>
      <c r="FJ194" s="121">
        <f>IF(N('Dvd Calendar'!$AJ$1935)=0,"",IF(('Dvd Calendar'!$AJ$1935&gt;=GRID_FROM)*('Dvd Calendar'!$AJ$1935&lt;=GRID_TO)*((('Dvd Calendar'!$AJ$1935&lt;=VAL_DATE)+(COUNTIF('Dvd Calendar'!$E$1942:$AR$1942,'Dvd Calendar'!$AJ$1935)=0))&gt;0)=0,"",'Dvd Calendar'!$AJ$1935*1000000000+ISNUMBER('Dvd Calendar'!$AJ$1938)*100000000+('Dvd Calendar'!$AJ$1940=SPECIAL_LBL)*10000000+(N('Dvd Calendar'!$AJ$1934)&gt;0)*(N('Dvd Calendar'!$AJ$1934)&lt;=VAL_SERIAL)*1000000+35*1000+32))</f>
        <v/>
      </c>
      <c r="FK194" s="121">
        <f>IF(N('Dvd Calendar'!$AK$1935)=0,"",IF(('Dvd Calendar'!$AK$1935&gt;=GRID_FROM)*('Dvd Calendar'!$AK$1935&lt;=GRID_TO)*((('Dvd Calendar'!$AK$1935&lt;=VAL_DATE)+(COUNTIF('Dvd Calendar'!$E$1942:$AR$1942,'Dvd Calendar'!$AK$1935)=0))&gt;0)=0,"",'Dvd Calendar'!$AK$1935*1000000000+ISNUMBER('Dvd Calendar'!$AK$1938)*100000000+('Dvd Calendar'!$AK$1940=SPECIAL_LBL)*10000000+(N('Dvd Calendar'!$AK$1934)&gt;0)*(N('Dvd Calendar'!$AK$1934)&lt;=VAL_SERIAL)*1000000+35*1000+33))</f>
        <v/>
      </c>
      <c r="FL194" s="121">
        <f>IF(N('Dvd Calendar'!$AL$1935)=0,"",IF(('Dvd Calendar'!$AL$1935&gt;=GRID_FROM)*('Dvd Calendar'!$AL$1935&lt;=GRID_TO)*((('Dvd Calendar'!$AL$1935&lt;=VAL_DATE)+(COUNTIF('Dvd Calendar'!$E$1942:$AR$1942,'Dvd Calendar'!$AL$1935)=0))&gt;0)=0,"",'Dvd Calendar'!$AL$1935*1000000000+ISNUMBER('Dvd Calendar'!$AL$1938)*100000000+('Dvd Calendar'!$AL$1940=SPECIAL_LBL)*10000000+(N('Dvd Calendar'!$AL$1934)&gt;0)*(N('Dvd Calendar'!$AL$1934)&lt;=VAL_SERIAL)*1000000+35*1000+34))</f>
        <v/>
      </c>
      <c r="FM194" s="121">
        <f>IF(N('Dvd Calendar'!$AM$1935)=0,"",IF(('Dvd Calendar'!$AM$1935&gt;=GRID_FROM)*('Dvd Calendar'!$AM$1935&lt;=GRID_TO)*((('Dvd Calendar'!$AM$1935&lt;=VAL_DATE)+(COUNTIF('Dvd Calendar'!$E$1942:$AR$1942,'Dvd Calendar'!$AM$1935)=0))&gt;0)=0,"",'Dvd Calendar'!$AM$1935*1000000000+ISNUMBER('Dvd Calendar'!$AM$1938)*100000000+('Dvd Calendar'!$AM$1940=SPECIAL_LBL)*10000000+(N('Dvd Calendar'!$AM$1934)&gt;0)*(N('Dvd Calendar'!$AM$1934)&lt;=VAL_SERIAL)*1000000+35*1000+35))</f>
        <v/>
      </c>
      <c r="FN194" s="121">
        <f>IF(N('Dvd Calendar'!$AN$1935)=0,"",IF(('Dvd Calendar'!$AN$1935&gt;=GRID_FROM)*('Dvd Calendar'!$AN$1935&lt;=GRID_TO)*((('Dvd Calendar'!$AN$1935&lt;=VAL_DATE)+(COUNTIF('Dvd Calendar'!$E$1942:$AR$1942,'Dvd Calendar'!$AN$1935)=0))&gt;0)=0,"",'Dvd Calendar'!$AN$1935*1000000000+ISNUMBER('Dvd Calendar'!$AN$1938)*100000000+('Dvd Calendar'!$AN$1940=SPECIAL_LBL)*10000000+(N('Dvd Calendar'!$AN$1934)&gt;0)*(N('Dvd Calendar'!$AN$1934)&lt;=VAL_SERIAL)*1000000+35*1000+36))</f>
        <v/>
      </c>
      <c r="FO194" s="121">
        <f>IF(N('Dvd Calendar'!$AO$1935)=0,"",IF(('Dvd Calendar'!$AO$1935&gt;=GRID_FROM)*('Dvd Calendar'!$AO$1935&lt;=GRID_TO)*((('Dvd Calendar'!$AO$1935&lt;=VAL_DATE)+(COUNTIF('Dvd Calendar'!$E$1942:$AR$1942,'Dvd Calendar'!$AO$1935)=0))&gt;0)=0,"",'Dvd Calendar'!$AO$1935*1000000000+ISNUMBER('Dvd Calendar'!$AO$1938)*100000000+('Dvd Calendar'!$AO$1940=SPECIAL_LBL)*10000000+(N('Dvd Calendar'!$AO$1934)&gt;0)*(N('Dvd Calendar'!$AO$1934)&lt;=VAL_SERIAL)*1000000+35*1000+37))</f>
        <v/>
      </c>
      <c r="FP194" s="121">
        <f>IF(N('Dvd Calendar'!$AP$1935)=0,"",IF(('Dvd Calendar'!$AP$1935&gt;=GRID_FROM)*('Dvd Calendar'!$AP$1935&lt;=GRID_TO)*((('Dvd Calendar'!$AP$1935&lt;=VAL_DATE)+(COUNTIF('Dvd Calendar'!$E$1942:$AR$1942,'Dvd Calendar'!$AP$1935)=0))&gt;0)=0,"",'Dvd Calendar'!$AP$1935*1000000000+ISNUMBER('Dvd Calendar'!$AP$1938)*100000000+('Dvd Calendar'!$AP$1940=SPECIAL_LBL)*10000000+(N('Dvd Calendar'!$AP$1934)&gt;0)*(N('Dvd Calendar'!$AP$1934)&lt;=VAL_SERIAL)*1000000+35*1000+38))</f>
        <v/>
      </c>
      <c r="FQ194" s="121">
        <f>IF(N('Dvd Calendar'!$AQ$1935)=0,"",IF(('Dvd Calendar'!$AQ$1935&gt;=GRID_FROM)*('Dvd Calendar'!$AQ$1935&lt;=GRID_TO)*((('Dvd Calendar'!$AQ$1935&lt;=VAL_DATE)+(COUNTIF('Dvd Calendar'!$E$1942:$AR$1942,'Dvd Calendar'!$AQ$1935)=0))&gt;0)=0,"",'Dvd Calendar'!$AQ$1935*1000000000+ISNUMBER('Dvd Calendar'!$AQ$1938)*100000000+('Dvd Calendar'!$AQ$1940=SPECIAL_LBL)*10000000+(N('Dvd Calendar'!$AQ$1934)&gt;0)*(N('Dvd Calendar'!$AQ$1934)&lt;=VAL_SERIAL)*1000000+35*1000+39))</f>
        <v/>
      </c>
      <c r="FR194" s="121">
        <f>IF(N('Dvd Calendar'!$AR$1935)=0,"",IF(('Dvd Calendar'!$AR$1935&gt;=GRID_FROM)*('Dvd Calendar'!$AR$1935&lt;=GRID_TO)*((('Dvd Calendar'!$AR$1935&lt;=VAL_DATE)+(COUNTIF('Dvd Calendar'!$E$1942:$AR$1942,'Dvd Calendar'!$AR$1935)=0))&gt;0)=0,"",'Dvd Calendar'!$AR$1935*1000000000+ISNUMBER('Dvd Calendar'!$AR$1938)*100000000+('Dvd Calendar'!$AR$1940=SPECIAL_LBL)*10000000+(N('Dvd Calendar'!$AR$1934)&gt;0)*(N('Dvd Calendar'!$AR$1934)&lt;=VAL_SERIAL)*1000000+35*1000+40))</f>
        <v/>
      </c>
      <c r="FS194" s="121">
        <f>IF(N('Dvd Calendar'!$E$1942)=0,"",IF(('Dvd Calendar'!$E$1942&gt;=GRID_FROM)*('Dvd Calendar'!$E$1942&lt;=GRID_TO)*('Dvd Calendar'!$E$1942&gt;VAL_DATE)=0,"",'Dvd Calendar'!$E$1942*1000000000+ISNUMBER('Dvd Calendar'!$E$1943)*100000000+0*10000000+(N('Dvd Calendar'!$E$1941)&gt;0)*(N('Dvd Calendar'!$E$1941)&lt;=VAL_SERIAL)*1000000+35*1000+41))</f>
        <v/>
      </c>
      <c r="FT194" s="121">
        <f>IF(N('Dvd Calendar'!$F$1942)=0,"",IF(('Dvd Calendar'!$F$1942&gt;=GRID_FROM)*('Dvd Calendar'!$F$1942&lt;=GRID_TO)*('Dvd Calendar'!$F$1942&gt;VAL_DATE)=0,"",'Dvd Calendar'!$F$1942*1000000000+ISNUMBER('Dvd Calendar'!$F$1943)*100000000+0*10000000+(N('Dvd Calendar'!$F$1941)&gt;0)*(N('Dvd Calendar'!$F$1941)&lt;=VAL_SERIAL)*1000000+35*1000+42))</f>
        <v/>
      </c>
      <c r="FU194" s="121">
        <f>IF(N('Dvd Calendar'!$G$1942)=0,"",IF(('Dvd Calendar'!$G$1942&gt;=GRID_FROM)*('Dvd Calendar'!$G$1942&lt;=GRID_TO)*('Dvd Calendar'!$G$1942&gt;VAL_DATE)=0,"",'Dvd Calendar'!$G$1942*1000000000+ISNUMBER('Dvd Calendar'!$G$1943)*100000000+0*10000000+(N('Dvd Calendar'!$G$1941)&gt;0)*(N('Dvd Calendar'!$G$1941)&lt;=VAL_SERIAL)*1000000+35*1000+43))</f>
        <v/>
      </c>
      <c r="FV194" s="121">
        <f>IF(N('Dvd Calendar'!$H$1942)=0,"",IF(('Dvd Calendar'!$H$1942&gt;=GRID_FROM)*('Dvd Calendar'!$H$1942&lt;=GRID_TO)*('Dvd Calendar'!$H$1942&gt;VAL_DATE)=0,"",'Dvd Calendar'!$H$1942*1000000000+ISNUMBER('Dvd Calendar'!$H$1943)*100000000+0*10000000+(N('Dvd Calendar'!$H$1941)&gt;0)*(N('Dvd Calendar'!$H$1941)&lt;=VAL_SERIAL)*1000000+35*1000+44))</f>
        <v/>
      </c>
      <c r="FW194" s="121">
        <f>IF(N('Dvd Calendar'!$I$1942)=0,"",IF(('Dvd Calendar'!$I$1942&gt;=GRID_FROM)*('Dvd Calendar'!$I$1942&lt;=GRID_TO)*('Dvd Calendar'!$I$1942&gt;VAL_DATE)=0,"",'Dvd Calendar'!$I$1942*1000000000+ISNUMBER('Dvd Calendar'!$I$1943)*100000000+0*10000000+(N('Dvd Calendar'!$I$1941)&gt;0)*(N('Dvd Calendar'!$I$1941)&lt;=VAL_SERIAL)*1000000+35*1000+45))</f>
        <v/>
      </c>
      <c r="FX194" s="121">
        <f>IF(N('Dvd Calendar'!$J$1942)=0,"",IF(('Dvd Calendar'!$J$1942&gt;=GRID_FROM)*('Dvd Calendar'!$J$1942&lt;=GRID_TO)*('Dvd Calendar'!$J$1942&gt;VAL_DATE)=0,"",'Dvd Calendar'!$J$1942*1000000000+ISNUMBER('Dvd Calendar'!$J$1943)*100000000+0*10000000+(N('Dvd Calendar'!$J$1941)&gt;0)*(N('Dvd Calendar'!$J$1941)&lt;=VAL_SERIAL)*1000000+35*1000+46))</f>
        <v/>
      </c>
      <c r="FY194" s="121">
        <f>IF(N('Dvd Calendar'!$K$1942)=0,"",IF(('Dvd Calendar'!$K$1942&gt;=GRID_FROM)*('Dvd Calendar'!$K$1942&lt;=GRID_TO)*('Dvd Calendar'!$K$1942&gt;VAL_DATE)=0,"",'Dvd Calendar'!$K$1942*1000000000+ISNUMBER('Dvd Calendar'!$K$1943)*100000000+0*10000000+(N('Dvd Calendar'!$K$1941)&gt;0)*(N('Dvd Calendar'!$K$1941)&lt;=VAL_SERIAL)*1000000+35*1000+47))</f>
        <v/>
      </c>
      <c r="FZ194" s="121">
        <f>IF(N('Dvd Calendar'!$L$1942)=0,"",IF(('Dvd Calendar'!$L$1942&gt;=GRID_FROM)*('Dvd Calendar'!$L$1942&lt;=GRID_TO)*('Dvd Calendar'!$L$1942&gt;VAL_DATE)=0,"",'Dvd Calendar'!$L$1942*1000000000+ISNUMBER('Dvd Calendar'!$L$1943)*100000000+0*10000000+(N('Dvd Calendar'!$L$1941)&gt;0)*(N('Dvd Calendar'!$L$1941)&lt;=VAL_SERIAL)*1000000+35*1000+48))</f>
        <v/>
      </c>
      <c r="GA194" s="121">
        <f>IF(N('Dvd Calendar'!$M$1942)=0,"",IF(('Dvd Calendar'!$M$1942&gt;=GRID_FROM)*('Dvd Calendar'!$M$1942&lt;=GRID_TO)*('Dvd Calendar'!$M$1942&gt;VAL_DATE)=0,"",'Dvd Calendar'!$M$1942*1000000000+ISNUMBER('Dvd Calendar'!$M$1943)*100000000+0*10000000+(N('Dvd Calendar'!$M$1941)&gt;0)*(N('Dvd Calendar'!$M$1941)&lt;=VAL_SERIAL)*1000000+35*1000+49))</f>
        <v/>
      </c>
      <c r="GB194" s="121">
        <f>IF(N('Dvd Calendar'!$N$1942)=0,"",IF(('Dvd Calendar'!$N$1942&gt;=GRID_FROM)*('Dvd Calendar'!$N$1942&lt;=GRID_TO)*('Dvd Calendar'!$N$1942&gt;VAL_DATE)=0,"",'Dvd Calendar'!$N$1942*1000000000+ISNUMBER('Dvd Calendar'!$N$1943)*100000000+0*10000000+(N('Dvd Calendar'!$N$1941)&gt;0)*(N('Dvd Calendar'!$N$1941)&lt;=VAL_SERIAL)*1000000+35*1000+50))</f>
        <v/>
      </c>
      <c r="GC194" s="121">
        <f>IF(N('Dvd Calendar'!$O$1942)=0,"",IF(('Dvd Calendar'!$O$1942&gt;=GRID_FROM)*('Dvd Calendar'!$O$1942&lt;=GRID_TO)*('Dvd Calendar'!$O$1942&gt;VAL_DATE)=0,"",'Dvd Calendar'!$O$1942*1000000000+ISNUMBER('Dvd Calendar'!$O$1943)*100000000+0*10000000+(N('Dvd Calendar'!$O$1941)&gt;0)*(N('Dvd Calendar'!$O$1941)&lt;=VAL_SERIAL)*1000000+35*1000+51))</f>
        <v/>
      </c>
      <c r="GD194" s="121">
        <f>IF(N('Dvd Calendar'!$P$1942)=0,"",IF(('Dvd Calendar'!$P$1942&gt;=GRID_FROM)*('Dvd Calendar'!$P$1942&lt;=GRID_TO)*('Dvd Calendar'!$P$1942&gt;VAL_DATE)=0,"",'Dvd Calendar'!$P$1942*1000000000+ISNUMBER('Dvd Calendar'!$P$1943)*100000000+0*10000000+(N('Dvd Calendar'!$P$1941)&gt;0)*(N('Dvd Calendar'!$P$1941)&lt;=VAL_SERIAL)*1000000+35*1000+52))</f>
        <v/>
      </c>
      <c r="GE194" s="121">
        <f>IF(N('Dvd Calendar'!$Q$1942)=0,"",IF(('Dvd Calendar'!$Q$1942&gt;=GRID_FROM)*('Dvd Calendar'!$Q$1942&lt;=GRID_TO)*('Dvd Calendar'!$Q$1942&gt;VAL_DATE)=0,"",'Dvd Calendar'!$Q$1942*1000000000+ISNUMBER('Dvd Calendar'!$Q$1943)*100000000+0*10000000+(N('Dvd Calendar'!$Q$1941)&gt;0)*(N('Dvd Calendar'!$Q$1941)&lt;=VAL_SERIAL)*1000000+35*1000+53))</f>
        <v/>
      </c>
      <c r="GF194" s="121">
        <f>IF(N('Dvd Calendar'!$R$1942)=0,"",IF(('Dvd Calendar'!$R$1942&gt;=GRID_FROM)*('Dvd Calendar'!$R$1942&lt;=GRID_TO)*('Dvd Calendar'!$R$1942&gt;VAL_DATE)=0,"",'Dvd Calendar'!$R$1942*1000000000+ISNUMBER('Dvd Calendar'!$R$1943)*100000000+0*10000000+(N('Dvd Calendar'!$R$1941)&gt;0)*(N('Dvd Calendar'!$R$1941)&lt;=VAL_SERIAL)*1000000+35*1000+54))</f>
        <v/>
      </c>
      <c r="GG194" s="121">
        <f>IF(N('Dvd Calendar'!$S$1942)=0,"",IF(('Dvd Calendar'!$S$1942&gt;=GRID_FROM)*('Dvd Calendar'!$S$1942&lt;=GRID_TO)*('Dvd Calendar'!$S$1942&gt;VAL_DATE)=0,"",'Dvd Calendar'!$S$1942*1000000000+ISNUMBER('Dvd Calendar'!$S$1943)*100000000+0*10000000+(N('Dvd Calendar'!$S$1941)&gt;0)*(N('Dvd Calendar'!$S$1941)&lt;=VAL_SERIAL)*1000000+35*1000+55))</f>
        <v/>
      </c>
      <c r="GH194" s="121">
        <f>IF(N('Dvd Calendar'!$T$1942)=0,"",IF(('Dvd Calendar'!$T$1942&gt;=GRID_FROM)*('Dvd Calendar'!$T$1942&lt;=GRID_TO)*('Dvd Calendar'!$T$1942&gt;VAL_DATE)=0,"",'Dvd Calendar'!$T$1942*1000000000+ISNUMBER('Dvd Calendar'!$T$1943)*100000000+0*10000000+(N('Dvd Calendar'!$T$1941)&gt;0)*(N('Dvd Calendar'!$T$1941)&lt;=VAL_SERIAL)*1000000+35*1000+56))</f>
        <v/>
      </c>
      <c r="GI194" s="121">
        <f>IF(N('Dvd Calendar'!$U$1942)=0,"",IF(('Dvd Calendar'!$U$1942&gt;=GRID_FROM)*('Dvd Calendar'!$U$1942&lt;=GRID_TO)*('Dvd Calendar'!$U$1942&gt;VAL_DATE)=0,"",'Dvd Calendar'!$U$1942*1000000000+ISNUMBER('Dvd Calendar'!$U$1943)*100000000+0*10000000+(N('Dvd Calendar'!$U$1941)&gt;0)*(N('Dvd Calendar'!$U$1941)&lt;=VAL_SERIAL)*1000000+35*1000+57))</f>
        <v/>
      </c>
      <c r="GJ194" s="121">
        <f>IF(N('Dvd Calendar'!$V$1942)=0,"",IF(('Dvd Calendar'!$V$1942&gt;=GRID_FROM)*('Dvd Calendar'!$V$1942&lt;=GRID_TO)*('Dvd Calendar'!$V$1942&gt;VAL_DATE)=0,"",'Dvd Calendar'!$V$1942*1000000000+ISNUMBER('Dvd Calendar'!$V$1943)*100000000+0*10000000+(N('Dvd Calendar'!$V$1941)&gt;0)*(N('Dvd Calendar'!$V$1941)&lt;=VAL_SERIAL)*1000000+35*1000+58))</f>
        <v/>
      </c>
      <c r="GK194" s="121">
        <f>IF(N('Dvd Calendar'!$W$1942)=0,"",IF(('Dvd Calendar'!$W$1942&gt;=GRID_FROM)*('Dvd Calendar'!$W$1942&lt;=GRID_TO)*('Dvd Calendar'!$W$1942&gt;VAL_DATE)=0,"",'Dvd Calendar'!$W$1942*1000000000+ISNUMBER('Dvd Calendar'!$W$1943)*100000000+0*10000000+(N('Dvd Calendar'!$W$1941)&gt;0)*(N('Dvd Calendar'!$W$1941)&lt;=VAL_SERIAL)*1000000+35*1000+59))</f>
        <v/>
      </c>
      <c r="GL194" s="121">
        <f>IF(N('Dvd Calendar'!$X$1942)=0,"",IF(('Dvd Calendar'!$X$1942&gt;=GRID_FROM)*('Dvd Calendar'!$X$1942&lt;=GRID_TO)*('Dvd Calendar'!$X$1942&gt;VAL_DATE)=0,"",'Dvd Calendar'!$X$1942*1000000000+ISNUMBER('Dvd Calendar'!$X$1943)*100000000+0*10000000+(N('Dvd Calendar'!$X$1941)&gt;0)*(N('Dvd Calendar'!$X$1941)&lt;=VAL_SERIAL)*1000000+35*1000+60))</f>
        <v/>
      </c>
      <c r="GM194" s="121">
        <f>IF(N('Dvd Calendar'!$Y$1942)=0,"",IF(('Dvd Calendar'!$Y$1942&gt;=GRID_FROM)*('Dvd Calendar'!$Y$1942&lt;=GRID_TO)*('Dvd Calendar'!$Y$1942&gt;VAL_DATE)=0,"",'Dvd Calendar'!$Y$1942*1000000000+ISNUMBER('Dvd Calendar'!$Y$1943)*100000000+0*10000000+(N('Dvd Calendar'!$Y$1941)&gt;0)*(N('Dvd Calendar'!$Y$1941)&lt;=VAL_SERIAL)*1000000+35*1000+61))</f>
        <v/>
      </c>
      <c r="GN194" s="121">
        <f>IF(N('Dvd Calendar'!$Z$1942)=0,"",IF(('Dvd Calendar'!$Z$1942&gt;=GRID_FROM)*('Dvd Calendar'!$Z$1942&lt;=GRID_TO)*('Dvd Calendar'!$Z$1942&gt;VAL_DATE)=0,"",'Dvd Calendar'!$Z$1942*1000000000+ISNUMBER('Dvd Calendar'!$Z$1943)*100000000+0*10000000+(N('Dvd Calendar'!$Z$1941)&gt;0)*(N('Dvd Calendar'!$Z$1941)&lt;=VAL_SERIAL)*1000000+35*1000+62))</f>
        <v/>
      </c>
      <c r="GO194" s="121">
        <f>IF(N('Dvd Calendar'!$AA$1942)=0,"",IF(('Dvd Calendar'!$AA$1942&gt;=GRID_FROM)*('Dvd Calendar'!$AA$1942&lt;=GRID_TO)*('Dvd Calendar'!$AA$1942&gt;VAL_DATE)=0,"",'Dvd Calendar'!$AA$1942*1000000000+ISNUMBER('Dvd Calendar'!$AA$1943)*100000000+0*10000000+(N('Dvd Calendar'!$AA$1941)&gt;0)*(N('Dvd Calendar'!$AA$1941)&lt;=VAL_SERIAL)*1000000+35*1000+63))</f>
        <v/>
      </c>
      <c r="GP194" s="121">
        <f>IF(N('Dvd Calendar'!$AB$1942)=0,"",IF(('Dvd Calendar'!$AB$1942&gt;=GRID_FROM)*('Dvd Calendar'!$AB$1942&lt;=GRID_TO)*('Dvd Calendar'!$AB$1942&gt;VAL_DATE)=0,"",'Dvd Calendar'!$AB$1942*1000000000+ISNUMBER('Dvd Calendar'!$AB$1943)*100000000+0*10000000+(N('Dvd Calendar'!$AB$1941)&gt;0)*(N('Dvd Calendar'!$AB$1941)&lt;=VAL_SERIAL)*1000000+35*1000+64))</f>
        <v/>
      </c>
      <c r="GQ194" s="121">
        <f>IF(N('Dvd Calendar'!$AC$1942)=0,"",IF(('Dvd Calendar'!$AC$1942&gt;=GRID_FROM)*('Dvd Calendar'!$AC$1942&lt;=GRID_TO)*('Dvd Calendar'!$AC$1942&gt;VAL_DATE)=0,"",'Dvd Calendar'!$AC$1942*1000000000+ISNUMBER('Dvd Calendar'!$AC$1943)*100000000+0*10000000+(N('Dvd Calendar'!$AC$1941)&gt;0)*(N('Dvd Calendar'!$AC$1941)&lt;=VAL_SERIAL)*1000000+35*1000+65))</f>
        <v/>
      </c>
    </row>
    <row r="195">
      <c r="B195" s="2">
        <f>IF(HSCEI!$C$42="","",HSCEI!$C$42)</f>
        <v/>
      </c>
      <c r="C195" s="161">
        <f>IF(EE195="","",IF(ISNUMBER('Dvd Calendar'!$E$1949)=FALSE,"",IF((('Dvd Calendar'!$E$1951=TYPE1)*(TYPE1&lt;&gt;"")+('Dvd Calendar'!$E$1951=TYPE2)*(TYPE2&lt;&gt;"")+('Dvd Calendar'!$E$1951=TYPE3)*(TYPE3&lt;&gt;"")+('Dvd Calendar'!$E$1951=TYPE4)*(TYPE4&lt;&gt;"")+('Dvd Calendar'!$E$1951=SPECIAL_LBL)*(INC_SPECIALS="Y"))=0,"",'Dvd Calendar'!$E$1949)))</f>
        <v/>
      </c>
      <c r="D195" s="161">
        <f>IF(EF195="","",IF(ISNUMBER('Dvd Calendar'!$F$1949)=FALSE,"",IF((('Dvd Calendar'!$F$1951=TYPE1)*(TYPE1&lt;&gt;"")+('Dvd Calendar'!$F$1951=TYPE2)*(TYPE2&lt;&gt;"")+('Dvd Calendar'!$F$1951=TYPE3)*(TYPE3&lt;&gt;"")+('Dvd Calendar'!$F$1951=TYPE4)*(TYPE4&lt;&gt;"")+('Dvd Calendar'!$F$1951=SPECIAL_LBL)*(INC_SPECIALS="Y"))=0,"",'Dvd Calendar'!$F$1949)))</f>
        <v/>
      </c>
      <c r="E195" s="161">
        <f>IF(EG195="","",IF(ISNUMBER('Dvd Calendar'!$G$1949)=FALSE,"",IF((('Dvd Calendar'!$G$1951=TYPE1)*(TYPE1&lt;&gt;"")+('Dvd Calendar'!$G$1951=TYPE2)*(TYPE2&lt;&gt;"")+('Dvd Calendar'!$G$1951=TYPE3)*(TYPE3&lt;&gt;"")+('Dvd Calendar'!$G$1951=TYPE4)*(TYPE4&lt;&gt;"")+('Dvd Calendar'!$G$1951=SPECIAL_LBL)*(INC_SPECIALS="Y"))=0,"",'Dvd Calendar'!$G$1949)))</f>
        <v/>
      </c>
      <c r="F195" s="161">
        <f>IF(EH195="","",IF(ISNUMBER('Dvd Calendar'!$H$1949)=FALSE,"",IF((('Dvd Calendar'!$H$1951=TYPE1)*(TYPE1&lt;&gt;"")+('Dvd Calendar'!$H$1951=TYPE2)*(TYPE2&lt;&gt;"")+('Dvd Calendar'!$H$1951=TYPE3)*(TYPE3&lt;&gt;"")+('Dvd Calendar'!$H$1951=TYPE4)*(TYPE4&lt;&gt;"")+('Dvd Calendar'!$H$1951=SPECIAL_LBL)*(INC_SPECIALS="Y"))=0,"",'Dvd Calendar'!$H$1949)))</f>
        <v/>
      </c>
      <c r="G195" s="161">
        <f>IF(EI195="","",IF(ISNUMBER('Dvd Calendar'!$I$1949)=FALSE,"",IF((('Dvd Calendar'!$I$1951=TYPE1)*(TYPE1&lt;&gt;"")+('Dvd Calendar'!$I$1951=TYPE2)*(TYPE2&lt;&gt;"")+('Dvd Calendar'!$I$1951=TYPE3)*(TYPE3&lt;&gt;"")+('Dvd Calendar'!$I$1951=TYPE4)*(TYPE4&lt;&gt;"")+('Dvd Calendar'!$I$1951=SPECIAL_LBL)*(INC_SPECIALS="Y"))=0,"",'Dvd Calendar'!$I$1949)))</f>
        <v/>
      </c>
      <c r="H195" s="161">
        <f>IF(EJ195="","",IF(ISNUMBER('Dvd Calendar'!$J$1949)=FALSE,"",IF((('Dvd Calendar'!$J$1951=TYPE1)*(TYPE1&lt;&gt;"")+('Dvd Calendar'!$J$1951=TYPE2)*(TYPE2&lt;&gt;"")+('Dvd Calendar'!$J$1951=TYPE3)*(TYPE3&lt;&gt;"")+('Dvd Calendar'!$J$1951=TYPE4)*(TYPE4&lt;&gt;"")+('Dvd Calendar'!$J$1951=SPECIAL_LBL)*(INC_SPECIALS="Y"))=0,"",'Dvd Calendar'!$J$1949)))</f>
        <v/>
      </c>
      <c r="I195" s="161">
        <f>IF(EK195="","",IF(ISNUMBER('Dvd Calendar'!$K$1949)=FALSE,"",IF((('Dvd Calendar'!$K$1951=TYPE1)*(TYPE1&lt;&gt;"")+('Dvd Calendar'!$K$1951=TYPE2)*(TYPE2&lt;&gt;"")+('Dvd Calendar'!$K$1951=TYPE3)*(TYPE3&lt;&gt;"")+('Dvd Calendar'!$K$1951=TYPE4)*(TYPE4&lt;&gt;"")+('Dvd Calendar'!$K$1951=SPECIAL_LBL)*(INC_SPECIALS="Y"))=0,"",'Dvd Calendar'!$K$1949)))</f>
        <v/>
      </c>
      <c r="J195" s="161">
        <f>IF(EL195="","",IF(ISNUMBER('Dvd Calendar'!$L$1949)=FALSE,"",IF((('Dvd Calendar'!$L$1951=TYPE1)*(TYPE1&lt;&gt;"")+('Dvd Calendar'!$L$1951=TYPE2)*(TYPE2&lt;&gt;"")+('Dvd Calendar'!$L$1951=TYPE3)*(TYPE3&lt;&gt;"")+('Dvd Calendar'!$L$1951=TYPE4)*(TYPE4&lt;&gt;"")+('Dvd Calendar'!$L$1951=SPECIAL_LBL)*(INC_SPECIALS="Y"))=0,"",'Dvd Calendar'!$L$1949)))</f>
        <v/>
      </c>
      <c r="K195" s="161">
        <f>IF(EM195="","",IF(ISNUMBER('Dvd Calendar'!$M$1949)=FALSE,"",IF((('Dvd Calendar'!$M$1951=TYPE1)*(TYPE1&lt;&gt;"")+('Dvd Calendar'!$M$1951=TYPE2)*(TYPE2&lt;&gt;"")+('Dvd Calendar'!$M$1951=TYPE3)*(TYPE3&lt;&gt;"")+('Dvd Calendar'!$M$1951=TYPE4)*(TYPE4&lt;&gt;"")+('Dvd Calendar'!$M$1951=SPECIAL_LBL)*(INC_SPECIALS="Y"))=0,"",'Dvd Calendar'!$M$1949)))</f>
        <v/>
      </c>
      <c r="L195" s="161">
        <f>IF(EN195="","",IF(ISNUMBER('Dvd Calendar'!$N$1949)=FALSE,"",IF((('Dvd Calendar'!$N$1951=TYPE1)*(TYPE1&lt;&gt;"")+('Dvd Calendar'!$N$1951=TYPE2)*(TYPE2&lt;&gt;"")+('Dvd Calendar'!$N$1951=TYPE3)*(TYPE3&lt;&gt;"")+('Dvd Calendar'!$N$1951=TYPE4)*(TYPE4&lt;&gt;"")+('Dvd Calendar'!$N$1951=SPECIAL_LBL)*(INC_SPECIALS="Y"))=0,"",'Dvd Calendar'!$N$1949)))</f>
        <v/>
      </c>
      <c r="M195" s="161">
        <f>IF(EO195="","",IF(ISNUMBER('Dvd Calendar'!$O$1949)=FALSE,"",IF((('Dvd Calendar'!$O$1951=TYPE1)*(TYPE1&lt;&gt;"")+('Dvd Calendar'!$O$1951=TYPE2)*(TYPE2&lt;&gt;"")+('Dvd Calendar'!$O$1951=TYPE3)*(TYPE3&lt;&gt;"")+('Dvd Calendar'!$O$1951=TYPE4)*(TYPE4&lt;&gt;"")+('Dvd Calendar'!$O$1951=SPECIAL_LBL)*(INC_SPECIALS="Y"))=0,"",'Dvd Calendar'!$O$1949)))</f>
        <v/>
      </c>
      <c r="N195" s="161">
        <f>IF(EP195="","",IF(ISNUMBER('Dvd Calendar'!$P$1949)=FALSE,"",IF((('Dvd Calendar'!$P$1951=TYPE1)*(TYPE1&lt;&gt;"")+('Dvd Calendar'!$P$1951=TYPE2)*(TYPE2&lt;&gt;"")+('Dvd Calendar'!$P$1951=TYPE3)*(TYPE3&lt;&gt;"")+('Dvd Calendar'!$P$1951=TYPE4)*(TYPE4&lt;&gt;"")+('Dvd Calendar'!$P$1951=SPECIAL_LBL)*(INC_SPECIALS="Y"))=0,"",'Dvd Calendar'!$P$1949)))</f>
        <v/>
      </c>
      <c r="O195" s="161">
        <f>IF(EQ195="","",IF(ISNUMBER('Dvd Calendar'!$Q$1949)=FALSE,"",IF((('Dvd Calendar'!$Q$1951=TYPE1)*(TYPE1&lt;&gt;"")+('Dvd Calendar'!$Q$1951=TYPE2)*(TYPE2&lt;&gt;"")+('Dvd Calendar'!$Q$1951=TYPE3)*(TYPE3&lt;&gt;"")+('Dvd Calendar'!$Q$1951=TYPE4)*(TYPE4&lt;&gt;"")+('Dvd Calendar'!$Q$1951=SPECIAL_LBL)*(INC_SPECIALS="Y"))=0,"",'Dvd Calendar'!$Q$1949)))</f>
        <v/>
      </c>
      <c r="P195" s="161">
        <f>IF(ER195="","",IF(ISNUMBER('Dvd Calendar'!$R$1949)=FALSE,"",IF((('Dvd Calendar'!$R$1951=TYPE1)*(TYPE1&lt;&gt;"")+('Dvd Calendar'!$R$1951=TYPE2)*(TYPE2&lt;&gt;"")+('Dvd Calendar'!$R$1951=TYPE3)*(TYPE3&lt;&gt;"")+('Dvd Calendar'!$R$1951=TYPE4)*(TYPE4&lt;&gt;"")+('Dvd Calendar'!$R$1951=SPECIAL_LBL)*(INC_SPECIALS="Y"))=0,"",'Dvd Calendar'!$R$1949)))</f>
        <v/>
      </c>
      <c r="Q195" s="161">
        <f>IF(ES195="","",IF(ISNUMBER('Dvd Calendar'!$S$1949)=FALSE,"",IF((('Dvd Calendar'!$S$1951=TYPE1)*(TYPE1&lt;&gt;"")+('Dvd Calendar'!$S$1951=TYPE2)*(TYPE2&lt;&gt;"")+('Dvd Calendar'!$S$1951=TYPE3)*(TYPE3&lt;&gt;"")+('Dvd Calendar'!$S$1951=TYPE4)*(TYPE4&lt;&gt;"")+('Dvd Calendar'!$S$1951=SPECIAL_LBL)*(INC_SPECIALS="Y"))=0,"",'Dvd Calendar'!$S$1949)))</f>
        <v/>
      </c>
      <c r="R195" s="161">
        <f>IF(ET195="","",IF(ISNUMBER('Dvd Calendar'!$T$1949)=FALSE,"",IF((('Dvd Calendar'!$T$1951=TYPE1)*(TYPE1&lt;&gt;"")+('Dvd Calendar'!$T$1951=TYPE2)*(TYPE2&lt;&gt;"")+('Dvd Calendar'!$T$1951=TYPE3)*(TYPE3&lt;&gt;"")+('Dvd Calendar'!$T$1951=TYPE4)*(TYPE4&lt;&gt;"")+('Dvd Calendar'!$T$1951=SPECIAL_LBL)*(INC_SPECIALS="Y"))=0,"",'Dvd Calendar'!$T$1949)))</f>
        <v/>
      </c>
      <c r="S195" s="161">
        <f>IF(EU195="","",IF(ISNUMBER('Dvd Calendar'!$U$1949)=FALSE,"",IF((('Dvd Calendar'!$U$1951=TYPE1)*(TYPE1&lt;&gt;"")+('Dvd Calendar'!$U$1951=TYPE2)*(TYPE2&lt;&gt;"")+('Dvd Calendar'!$U$1951=TYPE3)*(TYPE3&lt;&gt;"")+('Dvd Calendar'!$U$1951=TYPE4)*(TYPE4&lt;&gt;"")+('Dvd Calendar'!$U$1951=SPECIAL_LBL)*(INC_SPECIALS="Y"))=0,"",'Dvd Calendar'!$U$1949)))</f>
        <v/>
      </c>
      <c r="T195" s="161">
        <f>IF(EV195="","",IF(ISNUMBER('Dvd Calendar'!$V$1949)=FALSE,"",IF((('Dvd Calendar'!$V$1951=TYPE1)*(TYPE1&lt;&gt;"")+('Dvd Calendar'!$V$1951=TYPE2)*(TYPE2&lt;&gt;"")+('Dvd Calendar'!$V$1951=TYPE3)*(TYPE3&lt;&gt;"")+('Dvd Calendar'!$V$1951=TYPE4)*(TYPE4&lt;&gt;"")+('Dvd Calendar'!$V$1951=SPECIAL_LBL)*(INC_SPECIALS="Y"))=0,"",'Dvd Calendar'!$V$1949)))</f>
        <v/>
      </c>
      <c r="U195" s="161">
        <f>IF(EW195="","",IF(ISNUMBER('Dvd Calendar'!$W$1949)=FALSE,"",IF((('Dvd Calendar'!$W$1951=TYPE1)*(TYPE1&lt;&gt;"")+('Dvd Calendar'!$W$1951=TYPE2)*(TYPE2&lt;&gt;"")+('Dvd Calendar'!$W$1951=TYPE3)*(TYPE3&lt;&gt;"")+('Dvd Calendar'!$W$1951=TYPE4)*(TYPE4&lt;&gt;"")+('Dvd Calendar'!$W$1951=SPECIAL_LBL)*(INC_SPECIALS="Y"))=0,"",'Dvd Calendar'!$W$1949)))</f>
        <v/>
      </c>
      <c r="V195" s="161">
        <f>IF(EX195="","",IF(ISNUMBER('Dvd Calendar'!$X$1949)=FALSE,"",IF((('Dvd Calendar'!$X$1951=TYPE1)*(TYPE1&lt;&gt;"")+('Dvd Calendar'!$X$1951=TYPE2)*(TYPE2&lt;&gt;"")+('Dvd Calendar'!$X$1951=TYPE3)*(TYPE3&lt;&gt;"")+('Dvd Calendar'!$X$1951=TYPE4)*(TYPE4&lt;&gt;"")+('Dvd Calendar'!$X$1951=SPECIAL_LBL)*(INC_SPECIALS="Y"))=0,"",'Dvd Calendar'!$X$1949)))</f>
        <v/>
      </c>
      <c r="W195" s="161">
        <f>IF(EY195="","",IF(ISNUMBER('Dvd Calendar'!$Y$1949)=FALSE,"",IF((('Dvd Calendar'!$Y$1951=TYPE1)*(TYPE1&lt;&gt;"")+('Dvd Calendar'!$Y$1951=TYPE2)*(TYPE2&lt;&gt;"")+('Dvd Calendar'!$Y$1951=TYPE3)*(TYPE3&lt;&gt;"")+('Dvd Calendar'!$Y$1951=TYPE4)*(TYPE4&lt;&gt;"")+('Dvd Calendar'!$Y$1951=SPECIAL_LBL)*(INC_SPECIALS="Y"))=0,"",'Dvd Calendar'!$Y$1949)))</f>
        <v/>
      </c>
      <c r="X195" s="161">
        <f>IF(EZ195="","",IF(ISNUMBER('Dvd Calendar'!$Z$1949)=FALSE,"",IF((('Dvd Calendar'!$Z$1951=TYPE1)*(TYPE1&lt;&gt;"")+('Dvd Calendar'!$Z$1951=TYPE2)*(TYPE2&lt;&gt;"")+('Dvd Calendar'!$Z$1951=TYPE3)*(TYPE3&lt;&gt;"")+('Dvd Calendar'!$Z$1951=TYPE4)*(TYPE4&lt;&gt;"")+('Dvd Calendar'!$Z$1951=SPECIAL_LBL)*(INC_SPECIALS="Y"))=0,"",'Dvd Calendar'!$Z$1949)))</f>
        <v/>
      </c>
      <c r="Y195" s="161">
        <f>IF(FA195="","",IF(ISNUMBER('Dvd Calendar'!$AA$1949)=FALSE,"",IF((('Dvd Calendar'!$AA$1951=TYPE1)*(TYPE1&lt;&gt;"")+('Dvd Calendar'!$AA$1951=TYPE2)*(TYPE2&lt;&gt;"")+('Dvd Calendar'!$AA$1951=TYPE3)*(TYPE3&lt;&gt;"")+('Dvd Calendar'!$AA$1951=TYPE4)*(TYPE4&lt;&gt;"")+('Dvd Calendar'!$AA$1951=SPECIAL_LBL)*(INC_SPECIALS="Y"))=0,"",'Dvd Calendar'!$AA$1949)))</f>
        <v/>
      </c>
      <c r="Z195" s="161">
        <f>IF(FB195="","",IF(ISNUMBER('Dvd Calendar'!$AB$1949)=FALSE,"",IF((('Dvd Calendar'!$AB$1951=TYPE1)*(TYPE1&lt;&gt;"")+('Dvd Calendar'!$AB$1951=TYPE2)*(TYPE2&lt;&gt;"")+('Dvd Calendar'!$AB$1951=TYPE3)*(TYPE3&lt;&gt;"")+('Dvd Calendar'!$AB$1951=TYPE4)*(TYPE4&lt;&gt;"")+('Dvd Calendar'!$AB$1951=SPECIAL_LBL)*(INC_SPECIALS="Y"))=0,"",'Dvd Calendar'!$AB$1949)))</f>
        <v/>
      </c>
      <c r="AA195" s="161">
        <f>IF(FC195="","",IF(ISNUMBER('Dvd Calendar'!$AC$1949)=FALSE,"",IF((('Dvd Calendar'!$AC$1951=TYPE1)*(TYPE1&lt;&gt;"")+('Dvd Calendar'!$AC$1951=TYPE2)*(TYPE2&lt;&gt;"")+('Dvd Calendar'!$AC$1951=TYPE3)*(TYPE3&lt;&gt;"")+('Dvd Calendar'!$AC$1951=TYPE4)*(TYPE4&lt;&gt;"")+('Dvd Calendar'!$AC$1951=SPECIAL_LBL)*(INC_SPECIALS="Y"))=0,"",'Dvd Calendar'!$AC$1949)))</f>
        <v/>
      </c>
      <c r="AB195" s="161">
        <f>IF(FD195="","",IF(ISNUMBER('Dvd Calendar'!$AD$1949)=FALSE,"",IF((('Dvd Calendar'!$AD$1951=TYPE1)*(TYPE1&lt;&gt;"")+('Dvd Calendar'!$AD$1951=TYPE2)*(TYPE2&lt;&gt;"")+('Dvd Calendar'!$AD$1951=TYPE3)*(TYPE3&lt;&gt;"")+('Dvd Calendar'!$AD$1951=TYPE4)*(TYPE4&lt;&gt;"")+('Dvd Calendar'!$AD$1951=SPECIAL_LBL)*(INC_SPECIALS="Y"))=0,"",'Dvd Calendar'!$AD$1949)))</f>
        <v/>
      </c>
      <c r="AC195" s="161">
        <f>IF(FE195="","",IF(ISNUMBER('Dvd Calendar'!$AE$1949)=FALSE,"",IF((('Dvd Calendar'!$AE$1951=TYPE1)*(TYPE1&lt;&gt;"")+('Dvd Calendar'!$AE$1951=TYPE2)*(TYPE2&lt;&gt;"")+('Dvd Calendar'!$AE$1951=TYPE3)*(TYPE3&lt;&gt;"")+('Dvd Calendar'!$AE$1951=TYPE4)*(TYPE4&lt;&gt;"")+('Dvd Calendar'!$AE$1951=SPECIAL_LBL)*(INC_SPECIALS="Y"))=0,"",'Dvd Calendar'!$AE$1949)))</f>
        <v/>
      </c>
      <c r="AD195" s="161">
        <f>IF(FF195="","",IF(ISNUMBER('Dvd Calendar'!$AF$1949)=FALSE,"",IF((('Dvd Calendar'!$AF$1951=TYPE1)*(TYPE1&lt;&gt;"")+('Dvd Calendar'!$AF$1951=TYPE2)*(TYPE2&lt;&gt;"")+('Dvd Calendar'!$AF$1951=TYPE3)*(TYPE3&lt;&gt;"")+('Dvd Calendar'!$AF$1951=TYPE4)*(TYPE4&lt;&gt;"")+('Dvd Calendar'!$AF$1951=SPECIAL_LBL)*(INC_SPECIALS="Y"))=0,"",'Dvd Calendar'!$AF$1949)))</f>
        <v/>
      </c>
      <c r="AE195" s="161">
        <f>IF(FG195="","",IF(ISNUMBER('Dvd Calendar'!$AG$1949)=FALSE,"",IF((('Dvd Calendar'!$AG$1951=TYPE1)*(TYPE1&lt;&gt;"")+('Dvd Calendar'!$AG$1951=TYPE2)*(TYPE2&lt;&gt;"")+('Dvd Calendar'!$AG$1951=TYPE3)*(TYPE3&lt;&gt;"")+('Dvd Calendar'!$AG$1951=TYPE4)*(TYPE4&lt;&gt;"")+('Dvd Calendar'!$AG$1951=SPECIAL_LBL)*(INC_SPECIALS="Y"))=0,"",'Dvd Calendar'!$AG$1949)))</f>
        <v/>
      </c>
      <c r="AF195" s="161">
        <f>IF(FH195="","",IF(ISNUMBER('Dvd Calendar'!$AH$1949)=FALSE,"",IF((('Dvd Calendar'!$AH$1951=TYPE1)*(TYPE1&lt;&gt;"")+('Dvd Calendar'!$AH$1951=TYPE2)*(TYPE2&lt;&gt;"")+('Dvd Calendar'!$AH$1951=TYPE3)*(TYPE3&lt;&gt;"")+('Dvd Calendar'!$AH$1951=TYPE4)*(TYPE4&lt;&gt;"")+('Dvd Calendar'!$AH$1951=SPECIAL_LBL)*(INC_SPECIALS="Y"))=0,"",'Dvd Calendar'!$AH$1949)))</f>
        <v/>
      </c>
      <c r="AG195" s="161">
        <f>IF(FI195="","",IF(ISNUMBER('Dvd Calendar'!$AI$1949)=FALSE,"",IF((('Dvd Calendar'!$AI$1951=TYPE1)*(TYPE1&lt;&gt;"")+('Dvd Calendar'!$AI$1951=TYPE2)*(TYPE2&lt;&gt;"")+('Dvd Calendar'!$AI$1951=TYPE3)*(TYPE3&lt;&gt;"")+('Dvd Calendar'!$AI$1951=TYPE4)*(TYPE4&lt;&gt;"")+('Dvd Calendar'!$AI$1951=SPECIAL_LBL)*(INC_SPECIALS="Y"))=0,"",'Dvd Calendar'!$AI$1949)))</f>
        <v/>
      </c>
      <c r="AH195" s="161">
        <f>IF(FJ195="","",IF(ISNUMBER('Dvd Calendar'!$AJ$1949)=FALSE,"",IF((('Dvd Calendar'!$AJ$1951=TYPE1)*(TYPE1&lt;&gt;"")+('Dvd Calendar'!$AJ$1951=TYPE2)*(TYPE2&lt;&gt;"")+('Dvd Calendar'!$AJ$1951=TYPE3)*(TYPE3&lt;&gt;"")+('Dvd Calendar'!$AJ$1951=TYPE4)*(TYPE4&lt;&gt;"")+('Dvd Calendar'!$AJ$1951=SPECIAL_LBL)*(INC_SPECIALS="Y"))=0,"",'Dvd Calendar'!$AJ$1949)))</f>
        <v/>
      </c>
      <c r="AI195" s="161">
        <f>IF(FK195="","",IF(ISNUMBER('Dvd Calendar'!$AK$1949)=FALSE,"",IF((('Dvd Calendar'!$AK$1951=TYPE1)*(TYPE1&lt;&gt;"")+('Dvd Calendar'!$AK$1951=TYPE2)*(TYPE2&lt;&gt;"")+('Dvd Calendar'!$AK$1951=TYPE3)*(TYPE3&lt;&gt;"")+('Dvd Calendar'!$AK$1951=TYPE4)*(TYPE4&lt;&gt;"")+('Dvd Calendar'!$AK$1951=SPECIAL_LBL)*(INC_SPECIALS="Y"))=0,"",'Dvd Calendar'!$AK$1949)))</f>
        <v/>
      </c>
      <c r="AJ195" s="161">
        <f>IF(FL195="","",IF(ISNUMBER('Dvd Calendar'!$AL$1949)=FALSE,"",IF((('Dvd Calendar'!$AL$1951=TYPE1)*(TYPE1&lt;&gt;"")+('Dvd Calendar'!$AL$1951=TYPE2)*(TYPE2&lt;&gt;"")+('Dvd Calendar'!$AL$1951=TYPE3)*(TYPE3&lt;&gt;"")+('Dvd Calendar'!$AL$1951=TYPE4)*(TYPE4&lt;&gt;"")+('Dvd Calendar'!$AL$1951=SPECIAL_LBL)*(INC_SPECIALS="Y"))=0,"",'Dvd Calendar'!$AL$1949)))</f>
        <v/>
      </c>
      <c r="AK195" s="161">
        <f>IF(FM195="","",IF(ISNUMBER('Dvd Calendar'!$AM$1949)=FALSE,"",IF((('Dvd Calendar'!$AM$1951=TYPE1)*(TYPE1&lt;&gt;"")+('Dvd Calendar'!$AM$1951=TYPE2)*(TYPE2&lt;&gt;"")+('Dvd Calendar'!$AM$1951=TYPE3)*(TYPE3&lt;&gt;"")+('Dvd Calendar'!$AM$1951=TYPE4)*(TYPE4&lt;&gt;"")+('Dvd Calendar'!$AM$1951=SPECIAL_LBL)*(INC_SPECIALS="Y"))=0,"",'Dvd Calendar'!$AM$1949)))</f>
        <v/>
      </c>
      <c r="AL195" s="161">
        <f>IF(FN195="","",IF(ISNUMBER('Dvd Calendar'!$AN$1949)=FALSE,"",IF((('Dvd Calendar'!$AN$1951=TYPE1)*(TYPE1&lt;&gt;"")+('Dvd Calendar'!$AN$1951=TYPE2)*(TYPE2&lt;&gt;"")+('Dvd Calendar'!$AN$1951=TYPE3)*(TYPE3&lt;&gt;"")+('Dvd Calendar'!$AN$1951=TYPE4)*(TYPE4&lt;&gt;"")+('Dvd Calendar'!$AN$1951=SPECIAL_LBL)*(INC_SPECIALS="Y"))=0,"",'Dvd Calendar'!$AN$1949)))</f>
        <v/>
      </c>
      <c r="AM195" s="161">
        <f>IF(FO195="","",IF(ISNUMBER('Dvd Calendar'!$AO$1949)=FALSE,"",IF((('Dvd Calendar'!$AO$1951=TYPE1)*(TYPE1&lt;&gt;"")+('Dvd Calendar'!$AO$1951=TYPE2)*(TYPE2&lt;&gt;"")+('Dvd Calendar'!$AO$1951=TYPE3)*(TYPE3&lt;&gt;"")+('Dvd Calendar'!$AO$1951=TYPE4)*(TYPE4&lt;&gt;"")+('Dvd Calendar'!$AO$1951=SPECIAL_LBL)*(INC_SPECIALS="Y"))=0,"",'Dvd Calendar'!$AO$1949)))</f>
        <v/>
      </c>
      <c r="AN195" s="161">
        <f>IF(FP195="","",IF(ISNUMBER('Dvd Calendar'!$AP$1949)=FALSE,"",IF((('Dvd Calendar'!$AP$1951=TYPE1)*(TYPE1&lt;&gt;"")+('Dvd Calendar'!$AP$1951=TYPE2)*(TYPE2&lt;&gt;"")+('Dvd Calendar'!$AP$1951=TYPE3)*(TYPE3&lt;&gt;"")+('Dvd Calendar'!$AP$1951=TYPE4)*(TYPE4&lt;&gt;"")+('Dvd Calendar'!$AP$1951=SPECIAL_LBL)*(INC_SPECIALS="Y"))=0,"",'Dvd Calendar'!$AP$1949)))</f>
        <v/>
      </c>
      <c r="AO195" s="161">
        <f>IF(FQ195="","",IF(ISNUMBER('Dvd Calendar'!$AQ$1949)=FALSE,"",IF((('Dvd Calendar'!$AQ$1951=TYPE1)*(TYPE1&lt;&gt;"")+('Dvd Calendar'!$AQ$1951=TYPE2)*(TYPE2&lt;&gt;"")+('Dvd Calendar'!$AQ$1951=TYPE3)*(TYPE3&lt;&gt;"")+('Dvd Calendar'!$AQ$1951=TYPE4)*(TYPE4&lt;&gt;"")+('Dvd Calendar'!$AQ$1951=SPECIAL_LBL)*(INC_SPECIALS="Y"))=0,"",'Dvd Calendar'!$AQ$1949)))</f>
        <v/>
      </c>
      <c r="AP195" s="161">
        <f>IF(FR195="","",IF(ISNUMBER('Dvd Calendar'!$AR$1949)=FALSE,"",IF((('Dvd Calendar'!$AR$1951=TYPE1)*(TYPE1&lt;&gt;"")+('Dvd Calendar'!$AR$1951=TYPE2)*(TYPE2&lt;&gt;"")+('Dvd Calendar'!$AR$1951=TYPE3)*(TYPE3&lt;&gt;"")+('Dvd Calendar'!$AR$1951=TYPE4)*(TYPE4&lt;&gt;"")+('Dvd Calendar'!$AR$1951=SPECIAL_LBL)*(INC_SPECIALS="Y"))=0,"",'Dvd Calendar'!$AR$1949)))</f>
        <v/>
      </c>
      <c r="AQ195" s="161">
        <f>IF(FS195="","",IF(ISNUMBER('Dvd Calendar'!$E$1954)=FALSE,"",'Dvd Calendar'!$E$1954))</f>
        <v/>
      </c>
      <c r="AR195" s="161">
        <f>IF(FT195="","",IF(ISNUMBER('Dvd Calendar'!$F$1954)=FALSE,"",'Dvd Calendar'!$F$1954))</f>
        <v/>
      </c>
      <c r="AS195" s="161">
        <f>IF(FU195="","",IF(ISNUMBER('Dvd Calendar'!$G$1954)=FALSE,"",'Dvd Calendar'!$G$1954))</f>
        <v/>
      </c>
      <c r="AT195" s="161">
        <f>IF(FV195="","",IF(ISNUMBER('Dvd Calendar'!$H$1954)=FALSE,"",'Dvd Calendar'!$H$1954))</f>
        <v/>
      </c>
      <c r="AU195" s="161">
        <f>IF(FW195="","",IF(ISNUMBER('Dvd Calendar'!$I$1954)=FALSE,"",'Dvd Calendar'!$I$1954))</f>
        <v/>
      </c>
      <c r="AV195" s="161">
        <f>IF(FX195="","",IF(ISNUMBER('Dvd Calendar'!$J$1954)=FALSE,"",'Dvd Calendar'!$J$1954))</f>
        <v/>
      </c>
      <c r="AW195" s="161">
        <f>IF(FY195="","",IF(ISNUMBER('Dvd Calendar'!$K$1954)=FALSE,"",'Dvd Calendar'!$K$1954))</f>
        <v/>
      </c>
      <c r="AX195" s="161">
        <f>IF(FZ195="","",IF(ISNUMBER('Dvd Calendar'!$L$1954)=FALSE,"",'Dvd Calendar'!$L$1954))</f>
        <v/>
      </c>
      <c r="AY195" s="161">
        <f>IF(GA195="","",IF(ISNUMBER('Dvd Calendar'!$M$1954)=FALSE,"",'Dvd Calendar'!$M$1954))</f>
        <v/>
      </c>
      <c r="AZ195" s="161">
        <f>IF(GB195="","",IF(ISNUMBER('Dvd Calendar'!$N$1954)=FALSE,"",'Dvd Calendar'!$N$1954))</f>
        <v/>
      </c>
      <c r="BA195" s="161">
        <f>IF(GC195="","",IF(ISNUMBER('Dvd Calendar'!$O$1954)=FALSE,"",'Dvd Calendar'!$O$1954))</f>
        <v/>
      </c>
      <c r="BB195" s="161">
        <f>IF(GD195="","",IF(ISNUMBER('Dvd Calendar'!$P$1954)=FALSE,"",'Dvd Calendar'!$P$1954))</f>
        <v/>
      </c>
      <c r="BC195" s="161">
        <f>IF(GE195="","",IF(ISNUMBER('Dvd Calendar'!$Q$1954)=FALSE,"",'Dvd Calendar'!$Q$1954))</f>
        <v/>
      </c>
      <c r="BD195" s="161">
        <f>IF(GF195="","",IF(ISNUMBER('Dvd Calendar'!$R$1954)=FALSE,"",'Dvd Calendar'!$R$1954))</f>
        <v/>
      </c>
      <c r="BE195" s="161">
        <f>IF(GG195="","",IF(ISNUMBER('Dvd Calendar'!$S$1954)=FALSE,"",'Dvd Calendar'!$S$1954))</f>
        <v/>
      </c>
      <c r="BF195" s="161">
        <f>IF(GH195="","",IF(ISNUMBER('Dvd Calendar'!$T$1954)=FALSE,"",'Dvd Calendar'!$T$1954))</f>
        <v/>
      </c>
      <c r="BG195" s="161">
        <f>IF(GI195="","",IF(ISNUMBER('Dvd Calendar'!$U$1954)=FALSE,"",'Dvd Calendar'!$U$1954))</f>
        <v/>
      </c>
      <c r="BH195" s="161">
        <f>IF(GJ195="","",IF(ISNUMBER('Dvd Calendar'!$V$1954)=FALSE,"",'Dvd Calendar'!$V$1954))</f>
        <v/>
      </c>
      <c r="BI195" s="161">
        <f>IF(GK195="","",IF(ISNUMBER('Dvd Calendar'!$W$1954)=FALSE,"",'Dvd Calendar'!$W$1954))</f>
        <v/>
      </c>
      <c r="BJ195" s="161">
        <f>IF(GL195="","",IF(ISNUMBER('Dvd Calendar'!$X$1954)=FALSE,"",'Dvd Calendar'!$X$1954))</f>
        <v/>
      </c>
      <c r="BK195" s="161">
        <f>IF(GM195="","",IF(ISNUMBER('Dvd Calendar'!$Y$1954)=FALSE,"",'Dvd Calendar'!$Y$1954))</f>
        <v/>
      </c>
      <c r="BL195" s="161">
        <f>IF(GN195="","",IF(ISNUMBER('Dvd Calendar'!$Z$1954)=FALSE,"",'Dvd Calendar'!$Z$1954))</f>
        <v/>
      </c>
      <c r="BM195" s="161">
        <f>IF(GO195="","",IF(ISNUMBER('Dvd Calendar'!$AA$1954)=FALSE,"",'Dvd Calendar'!$AA$1954))</f>
        <v/>
      </c>
      <c r="BN195" s="161">
        <f>IF(GP195="","",IF(ISNUMBER('Dvd Calendar'!$AB$1954)=FALSE,"",'Dvd Calendar'!$AB$1954))</f>
        <v/>
      </c>
      <c r="BO195" s="161">
        <f>IF(GQ195="","",IF(ISNUMBER('Dvd Calendar'!$AC$1954)=FALSE,"",'Dvd Calendar'!$AC$1954))</f>
        <v/>
      </c>
      <c r="BQ195" s="161">
        <f>IF(C195="","",IFERROR(C195*HSCEI!$B$42*HSCEI!$G$42/HSCEI!$B$3,""))</f>
        <v/>
      </c>
      <c r="BR195" s="161">
        <f>IF(D195="","",IFERROR(D195*HSCEI!$B$42*HSCEI!$G$42/HSCEI!$B$3,""))</f>
        <v/>
      </c>
      <c r="BS195" s="161">
        <f>IF(E195="","",IFERROR(E195*HSCEI!$B$42*HSCEI!$G$42/HSCEI!$B$3,""))</f>
        <v/>
      </c>
      <c r="BT195" s="161">
        <f>IF(F195="","",IFERROR(F195*HSCEI!$B$42*HSCEI!$G$42/HSCEI!$B$3,""))</f>
        <v/>
      </c>
      <c r="BU195" s="161">
        <f>IF(G195="","",IFERROR(G195*HSCEI!$B$42*HSCEI!$G$42/HSCEI!$B$3,""))</f>
        <v/>
      </c>
      <c r="BV195" s="161">
        <f>IF(H195="","",IFERROR(H195*HSCEI!$B$42*HSCEI!$G$42/HSCEI!$B$3,""))</f>
        <v/>
      </c>
      <c r="BW195" s="161">
        <f>IF(I195="","",IFERROR(I195*HSCEI!$B$42*HSCEI!$G$42/HSCEI!$B$3,""))</f>
        <v/>
      </c>
      <c r="BX195" s="161">
        <f>IF(J195="","",IFERROR(J195*HSCEI!$B$42*HSCEI!$G$42/HSCEI!$B$3,""))</f>
        <v/>
      </c>
      <c r="BY195" s="161">
        <f>IF(K195="","",IFERROR(K195*HSCEI!$B$42*HSCEI!$G$42/HSCEI!$B$3,""))</f>
        <v/>
      </c>
      <c r="BZ195" s="161">
        <f>IF(L195="","",IFERROR(L195*HSCEI!$B$42*HSCEI!$G$42/HSCEI!$B$3,""))</f>
        <v/>
      </c>
      <c r="CA195" s="161">
        <f>IF(M195="","",IFERROR(M195*HSCEI!$B$42*HSCEI!$G$42/HSCEI!$B$3,""))</f>
        <v/>
      </c>
      <c r="CB195" s="161">
        <f>IF(N195="","",IFERROR(N195*HSCEI!$B$42*HSCEI!$G$42/HSCEI!$B$3,""))</f>
        <v/>
      </c>
      <c r="CC195" s="161">
        <f>IF(O195="","",IFERROR(O195*HSCEI!$B$42*HSCEI!$G$42/HSCEI!$B$3,""))</f>
        <v/>
      </c>
      <c r="CD195" s="161">
        <f>IF(P195="","",IFERROR(P195*HSCEI!$B$42*HSCEI!$G$42/HSCEI!$B$3,""))</f>
        <v/>
      </c>
      <c r="CE195" s="161">
        <f>IF(Q195="","",IFERROR(Q195*HSCEI!$B$42*HSCEI!$G$42/HSCEI!$B$3,""))</f>
        <v/>
      </c>
      <c r="CF195" s="161">
        <f>IF(R195="","",IFERROR(R195*HSCEI!$B$42*HSCEI!$G$42/HSCEI!$B$3,""))</f>
        <v/>
      </c>
      <c r="CG195" s="161">
        <f>IF(S195="","",IFERROR(S195*HSCEI!$B$42*HSCEI!$G$42/HSCEI!$B$3,""))</f>
        <v/>
      </c>
      <c r="CH195" s="161">
        <f>IF(T195="","",IFERROR(T195*HSCEI!$B$42*HSCEI!$G$42/HSCEI!$B$3,""))</f>
        <v/>
      </c>
      <c r="CI195" s="161">
        <f>IF(U195="","",IFERROR(U195*HSCEI!$B$42*HSCEI!$G$42/HSCEI!$B$3,""))</f>
        <v/>
      </c>
      <c r="CJ195" s="161">
        <f>IF(V195="","",IFERROR(V195*HSCEI!$B$42*HSCEI!$G$42/HSCEI!$B$3,""))</f>
        <v/>
      </c>
      <c r="CK195" s="161">
        <f>IF(W195="","",IFERROR(W195*HSCEI!$B$42*HSCEI!$G$42/HSCEI!$B$3,""))</f>
        <v/>
      </c>
      <c r="CL195" s="161">
        <f>IF(X195="","",IFERROR(X195*HSCEI!$B$42*HSCEI!$G$42/HSCEI!$B$3,""))</f>
        <v/>
      </c>
      <c r="CM195" s="161">
        <f>IF(Y195="","",IFERROR(Y195*HSCEI!$B$42*HSCEI!$G$42/HSCEI!$B$3,""))</f>
        <v/>
      </c>
      <c r="CN195" s="161">
        <f>IF(Z195="","",IFERROR(Z195*HSCEI!$B$42*HSCEI!$G$42/HSCEI!$B$3,""))</f>
        <v/>
      </c>
      <c r="CO195" s="161">
        <f>IF(AA195="","",IFERROR(AA195*HSCEI!$B$42*HSCEI!$G$42/HSCEI!$B$3,""))</f>
        <v/>
      </c>
      <c r="CP195" s="161">
        <f>IF(AB195="","",IFERROR(AB195*HSCEI!$B$42*HSCEI!$G$42/HSCEI!$B$3,""))</f>
        <v/>
      </c>
      <c r="CQ195" s="161">
        <f>IF(AC195="","",IFERROR(AC195*HSCEI!$B$42*HSCEI!$G$42/HSCEI!$B$3,""))</f>
        <v/>
      </c>
      <c r="CR195" s="161">
        <f>IF(AD195="","",IFERROR(AD195*HSCEI!$B$42*HSCEI!$G$42/HSCEI!$B$3,""))</f>
        <v/>
      </c>
      <c r="CS195" s="161">
        <f>IF(AE195="","",IFERROR(AE195*HSCEI!$B$42*HSCEI!$G$42/HSCEI!$B$3,""))</f>
        <v/>
      </c>
      <c r="CT195" s="161">
        <f>IF(AF195="","",IFERROR(AF195*HSCEI!$B$42*HSCEI!$G$42/HSCEI!$B$3,""))</f>
        <v/>
      </c>
      <c r="CU195" s="161">
        <f>IF(AG195="","",IFERROR(AG195*HSCEI!$B$42*HSCEI!$G$42/HSCEI!$B$3,""))</f>
        <v/>
      </c>
      <c r="CV195" s="161">
        <f>IF(AH195="","",IFERROR(AH195*HSCEI!$B$42*HSCEI!$G$42/HSCEI!$B$3,""))</f>
        <v/>
      </c>
      <c r="CW195" s="161">
        <f>IF(AI195="","",IFERROR(AI195*HSCEI!$B$42*HSCEI!$G$42/HSCEI!$B$3,""))</f>
        <v/>
      </c>
      <c r="CX195" s="161">
        <f>IF(AJ195="","",IFERROR(AJ195*HSCEI!$B$42*HSCEI!$G$42/HSCEI!$B$3,""))</f>
        <v/>
      </c>
      <c r="CY195" s="161">
        <f>IF(AK195="","",IFERROR(AK195*HSCEI!$B$42*HSCEI!$G$42/HSCEI!$B$3,""))</f>
        <v/>
      </c>
      <c r="CZ195" s="161">
        <f>IF(AL195="","",IFERROR(AL195*HSCEI!$B$42*HSCEI!$G$42/HSCEI!$B$3,""))</f>
        <v/>
      </c>
      <c r="DA195" s="161">
        <f>IF(AM195="","",IFERROR(AM195*HSCEI!$B$42*HSCEI!$G$42/HSCEI!$B$3,""))</f>
        <v/>
      </c>
      <c r="DB195" s="161">
        <f>IF(AN195="","",IFERROR(AN195*HSCEI!$B$42*HSCEI!$G$42/HSCEI!$B$3,""))</f>
        <v/>
      </c>
      <c r="DC195" s="161">
        <f>IF(AO195="","",IFERROR(AO195*HSCEI!$B$42*HSCEI!$G$42/HSCEI!$B$3,""))</f>
        <v/>
      </c>
      <c r="DD195" s="161">
        <f>IF(AP195="","",IFERROR(AP195*HSCEI!$B$42*HSCEI!$G$42/HSCEI!$B$3,""))</f>
        <v/>
      </c>
      <c r="DE195" s="161">
        <f>IF(AQ195="","",IFERROR(AQ195*HSCEI!$B$42*HSCEI!$G$42/HSCEI!$B$3,""))</f>
        <v/>
      </c>
      <c r="DF195" s="161">
        <f>IF(AR195="","",IFERROR(AR195*HSCEI!$B$42*HSCEI!$G$42/HSCEI!$B$3,""))</f>
        <v/>
      </c>
      <c r="DG195" s="161">
        <f>IF(AS195="","",IFERROR(AS195*HSCEI!$B$42*HSCEI!$G$42/HSCEI!$B$3,""))</f>
        <v/>
      </c>
      <c r="DH195" s="161">
        <f>IF(AT195="","",IFERROR(AT195*HSCEI!$B$42*HSCEI!$G$42/HSCEI!$B$3,""))</f>
        <v/>
      </c>
      <c r="DI195" s="161">
        <f>IF(AU195="","",IFERROR(AU195*HSCEI!$B$42*HSCEI!$G$42/HSCEI!$B$3,""))</f>
        <v/>
      </c>
      <c r="DJ195" s="161">
        <f>IF(AV195="","",IFERROR(AV195*HSCEI!$B$42*HSCEI!$G$42/HSCEI!$B$3,""))</f>
        <v/>
      </c>
      <c r="DK195" s="161">
        <f>IF(AW195="","",IFERROR(AW195*HSCEI!$B$42*HSCEI!$G$42/HSCEI!$B$3,""))</f>
        <v/>
      </c>
      <c r="DL195" s="161">
        <f>IF(AX195="","",IFERROR(AX195*HSCEI!$B$42*HSCEI!$G$42/HSCEI!$B$3,""))</f>
        <v/>
      </c>
      <c r="DM195" s="161">
        <f>IF(AY195="","",IFERROR(AY195*HSCEI!$B$42*HSCEI!$G$42/HSCEI!$B$3,""))</f>
        <v/>
      </c>
      <c r="DN195" s="161">
        <f>IF(AZ195="","",IFERROR(AZ195*HSCEI!$B$42*HSCEI!$G$42/HSCEI!$B$3,""))</f>
        <v/>
      </c>
      <c r="DO195" s="161">
        <f>IF(BA195="","",IFERROR(BA195*HSCEI!$B$42*HSCEI!$G$42/HSCEI!$B$3,""))</f>
        <v/>
      </c>
      <c r="DP195" s="161">
        <f>IF(BB195="","",IFERROR(BB195*HSCEI!$B$42*HSCEI!$G$42/HSCEI!$B$3,""))</f>
        <v/>
      </c>
      <c r="DQ195" s="161">
        <f>IF(BC195="","",IFERROR(BC195*HSCEI!$B$42*HSCEI!$G$42/HSCEI!$B$3,""))</f>
        <v/>
      </c>
      <c r="DR195" s="161">
        <f>IF(BD195="","",IFERROR(BD195*HSCEI!$B$42*HSCEI!$G$42/HSCEI!$B$3,""))</f>
        <v/>
      </c>
      <c r="DS195" s="161">
        <f>IF(BE195="","",IFERROR(BE195*HSCEI!$B$42*HSCEI!$G$42/HSCEI!$B$3,""))</f>
        <v/>
      </c>
      <c r="DT195" s="161">
        <f>IF(BF195="","",IFERROR(BF195*HSCEI!$B$42*HSCEI!$G$42/HSCEI!$B$3,""))</f>
        <v/>
      </c>
      <c r="DU195" s="161">
        <f>IF(BG195="","",IFERROR(BG195*HSCEI!$B$42*HSCEI!$G$42/HSCEI!$B$3,""))</f>
        <v/>
      </c>
      <c r="DV195" s="161">
        <f>IF(BH195="","",IFERROR(BH195*HSCEI!$B$42*HSCEI!$G$42/HSCEI!$B$3,""))</f>
        <v/>
      </c>
      <c r="DW195" s="161">
        <f>IF(BI195="","",IFERROR(BI195*HSCEI!$B$42*HSCEI!$G$42/HSCEI!$B$3,""))</f>
        <v/>
      </c>
      <c r="DX195" s="161">
        <f>IF(BJ195="","",IFERROR(BJ195*HSCEI!$B$42*HSCEI!$G$42/HSCEI!$B$3,""))</f>
        <v/>
      </c>
      <c r="DY195" s="161">
        <f>IF(BK195="","",IFERROR(BK195*HSCEI!$B$42*HSCEI!$G$42/HSCEI!$B$3,""))</f>
        <v/>
      </c>
      <c r="DZ195" s="161">
        <f>IF(BL195="","",IFERROR(BL195*HSCEI!$B$42*HSCEI!$G$42/HSCEI!$B$3,""))</f>
        <v/>
      </c>
      <c r="EA195" s="161">
        <f>IF(BM195="","",IFERROR(BM195*HSCEI!$B$42*HSCEI!$G$42/HSCEI!$B$3,""))</f>
        <v/>
      </c>
      <c r="EB195" s="161">
        <f>IF(BN195="","",IFERROR(BN195*HSCEI!$B$42*HSCEI!$G$42/HSCEI!$B$3,""))</f>
        <v/>
      </c>
      <c r="EC195" s="161">
        <f>IF(BO195="","",IFERROR(BO195*HSCEI!$B$42*HSCEI!$G$42/HSCEI!$B$3,""))</f>
        <v/>
      </c>
      <c r="EE195" s="121">
        <f>IF(N('Dvd Calendar'!$E$1946)=0,"",IF(('Dvd Calendar'!$E$1946&gt;=GRID_FROM)*('Dvd Calendar'!$E$1946&lt;=GRID_TO)*((('Dvd Calendar'!$E$1946&lt;=VAL_DATE)+(COUNTIF('Dvd Calendar'!$E$1953:$AR$1953,'Dvd Calendar'!$E$1946)=0))&gt;0)=0,"",'Dvd Calendar'!$E$1946*1000000000+ISNUMBER('Dvd Calendar'!$E$1949)*100000000+('Dvd Calendar'!$E$1951=SPECIAL_LBL)*10000000+(N('Dvd Calendar'!$E$1945)&gt;0)*(N('Dvd Calendar'!$E$1945)&lt;=VAL_SERIAL)*1000000+36*1000+1))</f>
        <v/>
      </c>
      <c r="EF195" s="121">
        <f>IF(N('Dvd Calendar'!$F$1946)=0,"",IF(('Dvd Calendar'!$F$1946&gt;=GRID_FROM)*('Dvd Calendar'!$F$1946&lt;=GRID_TO)*((('Dvd Calendar'!$F$1946&lt;=VAL_DATE)+(COUNTIF('Dvd Calendar'!$E$1953:$AR$1953,'Dvd Calendar'!$F$1946)=0))&gt;0)=0,"",'Dvd Calendar'!$F$1946*1000000000+ISNUMBER('Dvd Calendar'!$F$1949)*100000000+('Dvd Calendar'!$F$1951=SPECIAL_LBL)*10000000+(N('Dvd Calendar'!$F$1945)&gt;0)*(N('Dvd Calendar'!$F$1945)&lt;=VAL_SERIAL)*1000000+36*1000+2))</f>
        <v/>
      </c>
      <c r="EG195" s="121">
        <f>IF(N('Dvd Calendar'!$G$1946)=0,"",IF(('Dvd Calendar'!$G$1946&gt;=GRID_FROM)*('Dvd Calendar'!$G$1946&lt;=GRID_TO)*((('Dvd Calendar'!$G$1946&lt;=VAL_DATE)+(COUNTIF('Dvd Calendar'!$E$1953:$AR$1953,'Dvd Calendar'!$G$1946)=0))&gt;0)=0,"",'Dvd Calendar'!$G$1946*1000000000+ISNUMBER('Dvd Calendar'!$G$1949)*100000000+('Dvd Calendar'!$G$1951=SPECIAL_LBL)*10000000+(N('Dvd Calendar'!$G$1945)&gt;0)*(N('Dvd Calendar'!$G$1945)&lt;=VAL_SERIAL)*1000000+36*1000+3))</f>
        <v/>
      </c>
      <c r="EH195" s="121">
        <f>IF(N('Dvd Calendar'!$H$1946)=0,"",IF(('Dvd Calendar'!$H$1946&gt;=GRID_FROM)*('Dvd Calendar'!$H$1946&lt;=GRID_TO)*((('Dvd Calendar'!$H$1946&lt;=VAL_DATE)+(COUNTIF('Dvd Calendar'!$E$1953:$AR$1953,'Dvd Calendar'!$H$1946)=0))&gt;0)=0,"",'Dvd Calendar'!$H$1946*1000000000+ISNUMBER('Dvd Calendar'!$H$1949)*100000000+('Dvd Calendar'!$H$1951=SPECIAL_LBL)*10000000+(N('Dvd Calendar'!$H$1945)&gt;0)*(N('Dvd Calendar'!$H$1945)&lt;=VAL_SERIAL)*1000000+36*1000+4))</f>
        <v/>
      </c>
      <c r="EI195" s="121">
        <f>IF(N('Dvd Calendar'!$I$1946)=0,"",IF(('Dvd Calendar'!$I$1946&gt;=GRID_FROM)*('Dvd Calendar'!$I$1946&lt;=GRID_TO)*((('Dvd Calendar'!$I$1946&lt;=VAL_DATE)+(COUNTIF('Dvd Calendar'!$E$1953:$AR$1953,'Dvd Calendar'!$I$1946)=0))&gt;0)=0,"",'Dvd Calendar'!$I$1946*1000000000+ISNUMBER('Dvd Calendar'!$I$1949)*100000000+('Dvd Calendar'!$I$1951=SPECIAL_LBL)*10000000+(N('Dvd Calendar'!$I$1945)&gt;0)*(N('Dvd Calendar'!$I$1945)&lt;=VAL_SERIAL)*1000000+36*1000+5))</f>
        <v/>
      </c>
      <c r="EJ195" s="121">
        <f>IF(N('Dvd Calendar'!$J$1946)=0,"",IF(('Dvd Calendar'!$J$1946&gt;=GRID_FROM)*('Dvd Calendar'!$J$1946&lt;=GRID_TO)*((('Dvd Calendar'!$J$1946&lt;=VAL_DATE)+(COUNTIF('Dvd Calendar'!$E$1953:$AR$1953,'Dvd Calendar'!$J$1946)=0))&gt;0)=0,"",'Dvd Calendar'!$J$1946*1000000000+ISNUMBER('Dvd Calendar'!$J$1949)*100000000+('Dvd Calendar'!$J$1951=SPECIAL_LBL)*10000000+(N('Dvd Calendar'!$J$1945)&gt;0)*(N('Dvd Calendar'!$J$1945)&lt;=VAL_SERIAL)*1000000+36*1000+6))</f>
        <v/>
      </c>
      <c r="EK195" s="121">
        <f>IF(N('Dvd Calendar'!$K$1946)=0,"",IF(('Dvd Calendar'!$K$1946&gt;=GRID_FROM)*('Dvd Calendar'!$K$1946&lt;=GRID_TO)*((('Dvd Calendar'!$K$1946&lt;=VAL_DATE)+(COUNTIF('Dvd Calendar'!$E$1953:$AR$1953,'Dvd Calendar'!$K$1946)=0))&gt;0)=0,"",'Dvd Calendar'!$K$1946*1000000000+ISNUMBER('Dvd Calendar'!$K$1949)*100000000+('Dvd Calendar'!$K$1951=SPECIAL_LBL)*10000000+(N('Dvd Calendar'!$K$1945)&gt;0)*(N('Dvd Calendar'!$K$1945)&lt;=VAL_SERIAL)*1000000+36*1000+7))</f>
        <v/>
      </c>
      <c r="EL195" s="121">
        <f>IF(N('Dvd Calendar'!$L$1946)=0,"",IF(('Dvd Calendar'!$L$1946&gt;=GRID_FROM)*('Dvd Calendar'!$L$1946&lt;=GRID_TO)*((('Dvd Calendar'!$L$1946&lt;=VAL_DATE)+(COUNTIF('Dvd Calendar'!$E$1953:$AR$1953,'Dvd Calendar'!$L$1946)=0))&gt;0)=0,"",'Dvd Calendar'!$L$1946*1000000000+ISNUMBER('Dvd Calendar'!$L$1949)*100000000+('Dvd Calendar'!$L$1951=SPECIAL_LBL)*10000000+(N('Dvd Calendar'!$L$1945)&gt;0)*(N('Dvd Calendar'!$L$1945)&lt;=VAL_SERIAL)*1000000+36*1000+8))</f>
        <v/>
      </c>
      <c r="EM195" s="121">
        <f>IF(N('Dvd Calendar'!$M$1946)=0,"",IF(('Dvd Calendar'!$M$1946&gt;=GRID_FROM)*('Dvd Calendar'!$M$1946&lt;=GRID_TO)*((('Dvd Calendar'!$M$1946&lt;=VAL_DATE)+(COUNTIF('Dvd Calendar'!$E$1953:$AR$1953,'Dvd Calendar'!$M$1946)=0))&gt;0)=0,"",'Dvd Calendar'!$M$1946*1000000000+ISNUMBER('Dvd Calendar'!$M$1949)*100000000+('Dvd Calendar'!$M$1951=SPECIAL_LBL)*10000000+(N('Dvd Calendar'!$M$1945)&gt;0)*(N('Dvd Calendar'!$M$1945)&lt;=VAL_SERIAL)*1000000+36*1000+9))</f>
        <v/>
      </c>
      <c r="EN195" s="121">
        <f>IF(N('Dvd Calendar'!$N$1946)=0,"",IF(('Dvd Calendar'!$N$1946&gt;=GRID_FROM)*('Dvd Calendar'!$N$1946&lt;=GRID_TO)*((('Dvd Calendar'!$N$1946&lt;=VAL_DATE)+(COUNTIF('Dvd Calendar'!$E$1953:$AR$1953,'Dvd Calendar'!$N$1946)=0))&gt;0)=0,"",'Dvd Calendar'!$N$1946*1000000000+ISNUMBER('Dvd Calendar'!$N$1949)*100000000+('Dvd Calendar'!$N$1951=SPECIAL_LBL)*10000000+(N('Dvd Calendar'!$N$1945)&gt;0)*(N('Dvd Calendar'!$N$1945)&lt;=VAL_SERIAL)*1000000+36*1000+10))</f>
        <v/>
      </c>
      <c r="EO195" s="121">
        <f>IF(N('Dvd Calendar'!$O$1946)=0,"",IF(('Dvd Calendar'!$O$1946&gt;=GRID_FROM)*('Dvd Calendar'!$O$1946&lt;=GRID_TO)*((('Dvd Calendar'!$O$1946&lt;=VAL_DATE)+(COUNTIF('Dvd Calendar'!$E$1953:$AR$1953,'Dvd Calendar'!$O$1946)=0))&gt;0)=0,"",'Dvd Calendar'!$O$1946*1000000000+ISNUMBER('Dvd Calendar'!$O$1949)*100000000+('Dvd Calendar'!$O$1951=SPECIAL_LBL)*10000000+(N('Dvd Calendar'!$O$1945)&gt;0)*(N('Dvd Calendar'!$O$1945)&lt;=VAL_SERIAL)*1000000+36*1000+11))</f>
        <v/>
      </c>
      <c r="EP195" s="121">
        <f>IF(N('Dvd Calendar'!$P$1946)=0,"",IF(('Dvd Calendar'!$P$1946&gt;=GRID_FROM)*('Dvd Calendar'!$P$1946&lt;=GRID_TO)*((('Dvd Calendar'!$P$1946&lt;=VAL_DATE)+(COUNTIF('Dvd Calendar'!$E$1953:$AR$1953,'Dvd Calendar'!$P$1946)=0))&gt;0)=0,"",'Dvd Calendar'!$P$1946*1000000000+ISNUMBER('Dvd Calendar'!$P$1949)*100000000+('Dvd Calendar'!$P$1951=SPECIAL_LBL)*10000000+(N('Dvd Calendar'!$P$1945)&gt;0)*(N('Dvd Calendar'!$P$1945)&lt;=VAL_SERIAL)*1000000+36*1000+12))</f>
        <v/>
      </c>
      <c r="EQ195" s="121">
        <f>IF(N('Dvd Calendar'!$Q$1946)=0,"",IF(('Dvd Calendar'!$Q$1946&gt;=GRID_FROM)*('Dvd Calendar'!$Q$1946&lt;=GRID_TO)*((('Dvd Calendar'!$Q$1946&lt;=VAL_DATE)+(COUNTIF('Dvd Calendar'!$E$1953:$AR$1953,'Dvd Calendar'!$Q$1946)=0))&gt;0)=0,"",'Dvd Calendar'!$Q$1946*1000000000+ISNUMBER('Dvd Calendar'!$Q$1949)*100000000+('Dvd Calendar'!$Q$1951=SPECIAL_LBL)*10000000+(N('Dvd Calendar'!$Q$1945)&gt;0)*(N('Dvd Calendar'!$Q$1945)&lt;=VAL_SERIAL)*1000000+36*1000+13))</f>
        <v/>
      </c>
      <c r="ER195" s="121">
        <f>IF(N('Dvd Calendar'!$R$1946)=0,"",IF(('Dvd Calendar'!$R$1946&gt;=GRID_FROM)*('Dvd Calendar'!$R$1946&lt;=GRID_TO)*((('Dvd Calendar'!$R$1946&lt;=VAL_DATE)+(COUNTIF('Dvd Calendar'!$E$1953:$AR$1953,'Dvd Calendar'!$R$1946)=0))&gt;0)=0,"",'Dvd Calendar'!$R$1946*1000000000+ISNUMBER('Dvd Calendar'!$R$1949)*100000000+('Dvd Calendar'!$R$1951=SPECIAL_LBL)*10000000+(N('Dvd Calendar'!$R$1945)&gt;0)*(N('Dvd Calendar'!$R$1945)&lt;=VAL_SERIAL)*1000000+36*1000+14))</f>
        <v/>
      </c>
      <c r="ES195" s="121">
        <f>IF(N('Dvd Calendar'!$S$1946)=0,"",IF(('Dvd Calendar'!$S$1946&gt;=GRID_FROM)*('Dvd Calendar'!$S$1946&lt;=GRID_TO)*((('Dvd Calendar'!$S$1946&lt;=VAL_DATE)+(COUNTIF('Dvd Calendar'!$E$1953:$AR$1953,'Dvd Calendar'!$S$1946)=0))&gt;0)=0,"",'Dvd Calendar'!$S$1946*1000000000+ISNUMBER('Dvd Calendar'!$S$1949)*100000000+('Dvd Calendar'!$S$1951=SPECIAL_LBL)*10000000+(N('Dvd Calendar'!$S$1945)&gt;0)*(N('Dvd Calendar'!$S$1945)&lt;=VAL_SERIAL)*1000000+36*1000+15))</f>
        <v/>
      </c>
      <c r="ET195" s="121">
        <f>IF(N('Dvd Calendar'!$T$1946)=0,"",IF(('Dvd Calendar'!$T$1946&gt;=GRID_FROM)*('Dvd Calendar'!$T$1946&lt;=GRID_TO)*((('Dvd Calendar'!$T$1946&lt;=VAL_DATE)+(COUNTIF('Dvd Calendar'!$E$1953:$AR$1953,'Dvd Calendar'!$T$1946)=0))&gt;0)=0,"",'Dvd Calendar'!$T$1946*1000000000+ISNUMBER('Dvd Calendar'!$T$1949)*100000000+('Dvd Calendar'!$T$1951=SPECIAL_LBL)*10000000+(N('Dvd Calendar'!$T$1945)&gt;0)*(N('Dvd Calendar'!$T$1945)&lt;=VAL_SERIAL)*1000000+36*1000+16))</f>
        <v/>
      </c>
      <c r="EU195" s="121">
        <f>IF(N('Dvd Calendar'!$U$1946)=0,"",IF(('Dvd Calendar'!$U$1946&gt;=GRID_FROM)*('Dvd Calendar'!$U$1946&lt;=GRID_TO)*((('Dvd Calendar'!$U$1946&lt;=VAL_DATE)+(COUNTIF('Dvd Calendar'!$E$1953:$AR$1953,'Dvd Calendar'!$U$1946)=0))&gt;0)=0,"",'Dvd Calendar'!$U$1946*1000000000+ISNUMBER('Dvd Calendar'!$U$1949)*100000000+('Dvd Calendar'!$U$1951=SPECIAL_LBL)*10000000+(N('Dvd Calendar'!$U$1945)&gt;0)*(N('Dvd Calendar'!$U$1945)&lt;=VAL_SERIAL)*1000000+36*1000+17))</f>
        <v/>
      </c>
      <c r="EV195" s="121">
        <f>IF(N('Dvd Calendar'!$V$1946)=0,"",IF(('Dvd Calendar'!$V$1946&gt;=GRID_FROM)*('Dvd Calendar'!$V$1946&lt;=GRID_TO)*((('Dvd Calendar'!$V$1946&lt;=VAL_DATE)+(COUNTIF('Dvd Calendar'!$E$1953:$AR$1953,'Dvd Calendar'!$V$1946)=0))&gt;0)=0,"",'Dvd Calendar'!$V$1946*1000000000+ISNUMBER('Dvd Calendar'!$V$1949)*100000000+('Dvd Calendar'!$V$1951=SPECIAL_LBL)*10000000+(N('Dvd Calendar'!$V$1945)&gt;0)*(N('Dvd Calendar'!$V$1945)&lt;=VAL_SERIAL)*1000000+36*1000+18))</f>
        <v/>
      </c>
      <c r="EW195" s="121">
        <f>IF(N('Dvd Calendar'!$W$1946)=0,"",IF(('Dvd Calendar'!$W$1946&gt;=GRID_FROM)*('Dvd Calendar'!$W$1946&lt;=GRID_TO)*((('Dvd Calendar'!$W$1946&lt;=VAL_DATE)+(COUNTIF('Dvd Calendar'!$E$1953:$AR$1953,'Dvd Calendar'!$W$1946)=0))&gt;0)=0,"",'Dvd Calendar'!$W$1946*1000000000+ISNUMBER('Dvd Calendar'!$W$1949)*100000000+('Dvd Calendar'!$W$1951=SPECIAL_LBL)*10000000+(N('Dvd Calendar'!$W$1945)&gt;0)*(N('Dvd Calendar'!$W$1945)&lt;=VAL_SERIAL)*1000000+36*1000+19))</f>
        <v/>
      </c>
      <c r="EX195" s="121">
        <f>IF(N('Dvd Calendar'!$X$1946)=0,"",IF(('Dvd Calendar'!$X$1946&gt;=GRID_FROM)*('Dvd Calendar'!$X$1946&lt;=GRID_TO)*((('Dvd Calendar'!$X$1946&lt;=VAL_DATE)+(COUNTIF('Dvd Calendar'!$E$1953:$AR$1953,'Dvd Calendar'!$X$1946)=0))&gt;0)=0,"",'Dvd Calendar'!$X$1946*1000000000+ISNUMBER('Dvd Calendar'!$X$1949)*100000000+('Dvd Calendar'!$X$1951=SPECIAL_LBL)*10000000+(N('Dvd Calendar'!$X$1945)&gt;0)*(N('Dvd Calendar'!$X$1945)&lt;=VAL_SERIAL)*1000000+36*1000+20))</f>
        <v/>
      </c>
      <c r="EY195" s="121">
        <f>IF(N('Dvd Calendar'!$Y$1946)=0,"",IF(('Dvd Calendar'!$Y$1946&gt;=GRID_FROM)*('Dvd Calendar'!$Y$1946&lt;=GRID_TO)*((('Dvd Calendar'!$Y$1946&lt;=VAL_DATE)+(COUNTIF('Dvd Calendar'!$E$1953:$AR$1953,'Dvd Calendar'!$Y$1946)=0))&gt;0)=0,"",'Dvd Calendar'!$Y$1946*1000000000+ISNUMBER('Dvd Calendar'!$Y$1949)*100000000+('Dvd Calendar'!$Y$1951=SPECIAL_LBL)*10000000+(N('Dvd Calendar'!$Y$1945)&gt;0)*(N('Dvd Calendar'!$Y$1945)&lt;=VAL_SERIAL)*1000000+36*1000+21))</f>
        <v/>
      </c>
      <c r="EZ195" s="121">
        <f>IF(N('Dvd Calendar'!$Z$1946)=0,"",IF(('Dvd Calendar'!$Z$1946&gt;=GRID_FROM)*('Dvd Calendar'!$Z$1946&lt;=GRID_TO)*((('Dvd Calendar'!$Z$1946&lt;=VAL_DATE)+(COUNTIF('Dvd Calendar'!$E$1953:$AR$1953,'Dvd Calendar'!$Z$1946)=0))&gt;0)=0,"",'Dvd Calendar'!$Z$1946*1000000000+ISNUMBER('Dvd Calendar'!$Z$1949)*100000000+('Dvd Calendar'!$Z$1951=SPECIAL_LBL)*10000000+(N('Dvd Calendar'!$Z$1945)&gt;0)*(N('Dvd Calendar'!$Z$1945)&lt;=VAL_SERIAL)*1000000+36*1000+22))</f>
        <v/>
      </c>
      <c r="FA195" s="121">
        <f>IF(N('Dvd Calendar'!$AA$1946)=0,"",IF(('Dvd Calendar'!$AA$1946&gt;=GRID_FROM)*('Dvd Calendar'!$AA$1946&lt;=GRID_TO)*((('Dvd Calendar'!$AA$1946&lt;=VAL_DATE)+(COUNTIF('Dvd Calendar'!$E$1953:$AR$1953,'Dvd Calendar'!$AA$1946)=0))&gt;0)=0,"",'Dvd Calendar'!$AA$1946*1000000000+ISNUMBER('Dvd Calendar'!$AA$1949)*100000000+('Dvd Calendar'!$AA$1951=SPECIAL_LBL)*10000000+(N('Dvd Calendar'!$AA$1945)&gt;0)*(N('Dvd Calendar'!$AA$1945)&lt;=VAL_SERIAL)*1000000+36*1000+23))</f>
        <v/>
      </c>
      <c r="FB195" s="121">
        <f>IF(N('Dvd Calendar'!$AB$1946)=0,"",IF(('Dvd Calendar'!$AB$1946&gt;=GRID_FROM)*('Dvd Calendar'!$AB$1946&lt;=GRID_TO)*((('Dvd Calendar'!$AB$1946&lt;=VAL_DATE)+(COUNTIF('Dvd Calendar'!$E$1953:$AR$1953,'Dvd Calendar'!$AB$1946)=0))&gt;0)=0,"",'Dvd Calendar'!$AB$1946*1000000000+ISNUMBER('Dvd Calendar'!$AB$1949)*100000000+('Dvd Calendar'!$AB$1951=SPECIAL_LBL)*10000000+(N('Dvd Calendar'!$AB$1945)&gt;0)*(N('Dvd Calendar'!$AB$1945)&lt;=VAL_SERIAL)*1000000+36*1000+24))</f>
        <v/>
      </c>
      <c r="FC195" s="121">
        <f>IF(N('Dvd Calendar'!$AC$1946)=0,"",IF(('Dvd Calendar'!$AC$1946&gt;=GRID_FROM)*('Dvd Calendar'!$AC$1946&lt;=GRID_TO)*((('Dvd Calendar'!$AC$1946&lt;=VAL_DATE)+(COUNTIF('Dvd Calendar'!$E$1953:$AR$1953,'Dvd Calendar'!$AC$1946)=0))&gt;0)=0,"",'Dvd Calendar'!$AC$1946*1000000000+ISNUMBER('Dvd Calendar'!$AC$1949)*100000000+('Dvd Calendar'!$AC$1951=SPECIAL_LBL)*10000000+(N('Dvd Calendar'!$AC$1945)&gt;0)*(N('Dvd Calendar'!$AC$1945)&lt;=VAL_SERIAL)*1000000+36*1000+25))</f>
        <v/>
      </c>
      <c r="FD195" s="121">
        <f>IF(N('Dvd Calendar'!$AD$1946)=0,"",IF(('Dvd Calendar'!$AD$1946&gt;=GRID_FROM)*('Dvd Calendar'!$AD$1946&lt;=GRID_TO)*((('Dvd Calendar'!$AD$1946&lt;=VAL_DATE)+(COUNTIF('Dvd Calendar'!$E$1953:$AR$1953,'Dvd Calendar'!$AD$1946)=0))&gt;0)=0,"",'Dvd Calendar'!$AD$1946*1000000000+ISNUMBER('Dvd Calendar'!$AD$1949)*100000000+('Dvd Calendar'!$AD$1951=SPECIAL_LBL)*10000000+(N('Dvd Calendar'!$AD$1945)&gt;0)*(N('Dvd Calendar'!$AD$1945)&lt;=VAL_SERIAL)*1000000+36*1000+26))</f>
        <v/>
      </c>
      <c r="FE195" s="121">
        <f>IF(N('Dvd Calendar'!$AE$1946)=0,"",IF(('Dvd Calendar'!$AE$1946&gt;=GRID_FROM)*('Dvd Calendar'!$AE$1946&lt;=GRID_TO)*((('Dvd Calendar'!$AE$1946&lt;=VAL_DATE)+(COUNTIF('Dvd Calendar'!$E$1953:$AR$1953,'Dvd Calendar'!$AE$1946)=0))&gt;0)=0,"",'Dvd Calendar'!$AE$1946*1000000000+ISNUMBER('Dvd Calendar'!$AE$1949)*100000000+('Dvd Calendar'!$AE$1951=SPECIAL_LBL)*10000000+(N('Dvd Calendar'!$AE$1945)&gt;0)*(N('Dvd Calendar'!$AE$1945)&lt;=VAL_SERIAL)*1000000+36*1000+27))</f>
        <v/>
      </c>
      <c r="FF195" s="121">
        <f>IF(N('Dvd Calendar'!$AF$1946)=0,"",IF(('Dvd Calendar'!$AF$1946&gt;=GRID_FROM)*('Dvd Calendar'!$AF$1946&lt;=GRID_TO)*((('Dvd Calendar'!$AF$1946&lt;=VAL_DATE)+(COUNTIF('Dvd Calendar'!$E$1953:$AR$1953,'Dvd Calendar'!$AF$1946)=0))&gt;0)=0,"",'Dvd Calendar'!$AF$1946*1000000000+ISNUMBER('Dvd Calendar'!$AF$1949)*100000000+('Dvd Calendar'!$AF$1951=SPECIAL_LBL)*10000000+(N('Dvd Calendar'!$AF$1945)&gt;0)*(N('Dvd Calendar'!$AF$1945)&lt;=VAL_SERIAL)*1000000+36*1000+28))</f>
        <v/>
      </c>
      <c r="FG195" s="121">
        <f>IF(N('Dvd Calendar'!$AG$1946)=0,"",IF(('Dvd Calendar'!$AG$1946&gt;=GRID_FROM)*('Dvd Calendar'!$AG$1946&lt;=GRID_TO)*((('Dvd Calendar'!$AG$1946&lt;=VAL_DATE)+(COUNTIF('Dvd Calendar'!$E$1953:$AR$1953,'Dvd Calendar'!$AG$1946)=0))&gt;0)=0,"",'Dvd Calendar'!$AG$1946*1000000000+ISNUMBER('Dvd Calendar'!$AG$1949)*100000000+('Dvd Calendar'!$AG$1951=SPECIAL_LBL)*10000000+(N('Dvd Calendar'!$AG$1945)&gt;0)*(N('Dvd Calendar'!$AG$1945)&lt;=VAL_SERIAL)*1000000+36*1000+29))</f>
        <v/>
      </c>
      <c r="FH195" s="121">
        <f>IF(N('Dvd Calendar'!$AH$1946)=0,"",IF(('Dvd Calendar'!$AH$1946&gt;=GRID_FROM)*('Dvd Calendar'!$AH$1946&lt;=GRID_TO)*((('Dvd Calendar'!$AH$1946&lt;=VAL_DATE)+(COUNTIF('Dvd Calendar'!$E$1953:$AR$1953,'Dvd Calendar'!$AH$1946)=0))&gt;0)=0,"",'Dvd Calendar'!$AH$1946*1000000000+ISNUMBER('Dvd Calendar'!$AH$1949)*100000000+('Dvd Calendar'!$AH$1951=SPECIAL_LBL)*10000000+(N('Dvd Calendar'!$AH$1945)&gt;0)*(N('Dvd Calendar'!$AH$1945)&lt;=VAL_SERIAL)*1000000+36*1000+30))</f>
        <v/>
      </c>
      <c r="FI195" s="121">
        <f>IF(N('Dvd Calendar'!$AI$1946)=0,"",IF(('Dvd Calendar'!$AI$1946&gt;=GRID_FROM)*('Dvd Calendar'!$AI$1946&lt;=GRID_TO)*((('Dvd Calendar'!$AI$1946&lt;=VAL_DATE)+(COUNTIF('Dvd Calendar'!$E$1953:$AR$1953,'Dvd Calendar'!$AI$1946)=0))&gt;0)=0,"",'Dvd Calendar'!$AI$1946*1000000000+ISNUMBER('Dvd Calendar'!$AI$1949)*100000000+('Dvd Calendar'!$AI$1951=SPECIAL_LBL)*10000000+(N('Dvd Calendar'!$AI$1945)&gt;0)*(N('Dvd Calendar'!$AI$1945)&lt;=VAL_SERIAL)*1000000+36*1000+31))</f>
        <v/>
      </c>
      <c r="FJ195" s="121">
        <f>IF(N('Dvd Calendar'!$AJ$1946)=0,"",IF(('Dvd Calendar'!$AJ$1946&gt;=GRID_FROM)*('Dvd Calendar'!$AJ$1946&lt;=GRID_TO)*((('Dvd Calendar'!$AJ$1946&lt;=VAL_DATE)+(COUNTIF('Dvd Calendar'!$E$1953:$AR$1953,'Dvd Calendar'!$AJ$1946)=0))&gt;0)=0,"",'Dvd Calendar'!$AJ$1946*1000000000+ISNUMBER('Dvd Calendar'!$AJ$1949)*100000000+('Dvd Calendar'!$AJ$1951=SPECIAL_LBL)*10000000+(N('Dvd Calendar'!$AJ$1945)&gt;0)*(N('Dvd Calendar'!$AJ$1945)&lt;=VAL_SERIAL)*1000000+36*1000+32))</f>
        <v/>
      </c>
      <c r="FK195" s="121">
        <f>IF(N('Dvd Calendar'!$AK$1946)=0,"",IF(('Dvd Calendar'!$AK$1946&gt;=GRID_FROM)*('Dvd Calendar'!$AK$1946&lt;=GRID_TO)*((('Dvd Calendar'!$AK$1946&lt;=VAL_DATE)+(COUNTIF('Dvd Calendar'!$E$1953:$AR$1953,'Dvd Calendar'!$AK$1946)=0))&gt;0)=0,"",'Dvd Calendar'!$AK$1946*1000000000+ISNUMBER('Dvd Calendar'!$AK$1949)*100000000+('Dvd Calendar'!$AK$1951=SPECIAL_LBL)*10000000+(N('Dvd Calendar'!$AK$1945)&gt;0)*(N('Dvd Calendar'!$AK$1945)&lt;=VAL_SERIAL)*1000000+36*1000+33))</f>
        <v/>
      </c>
      <c r="FL195" s="121">
        <f>IF(N('Dvd Calendar'!$AL$1946)=0,"",IF(('Dvd Calendar'!$AL$1946&gt;=GRID_FROM)*('Dvd Calendar'!$AL$1946&lt;=GRID_TO)*((('Dvd Calendar'!$AL$1946&lt;=VAL_DATE)+(COUNTIF('Dvd Calendar'!$E$1953:$AR$1953,'Dvd Calendar'!$AL$1946)=0))&gt;0)=0,"",'Dvd Calendar'!$AL$1946*1000000000+ISNUMBER('Dvd Calendar'!$AL$1949)*100000000+('Dvd Calendar'!$AL$1951=SPECIAL_LBL)*10000000+(N('Dvd Calendar'!$AL$1945)&gt;0)*(N('Dvd Calendar'!$AL$1945)&lt;=VAL_SERIAL)*1000000+36*1000+34))</f>
        <v/>
      </c>
      <c r="FM195" s="121">
        <f>IF(N('Dvd Calendar'!$AM$1946)=0,"",IF(('Dvd Calendar'!$AM$1946&gt;=GRID_FROM)*('Dvd Calendar'!$AM$1946&lt;=GRID_TO)*((('Dvd Calendar'!$AM$1946&lt;=VAL_DATE)+(COUNTIF('Dvd Calendar'!$E$1953:$AR$1953,'Dvd Calendar'!$AM$1946)=0))&gt;0)=0,"",'Dvd Calendar'!$AM$1946*1000000000+ISNUMBER('Dvd Calendar'!$AM$1949)*100000000+('Dvd Calendar'!$AM$1951=SPECIAL_LBL)*10000000+(N('Dvd Calendar'!$AM$1945)&gt;0)*(N('Dvd Calendar'!$AM$1945)&lt;=VAL_SERIAL)*1000000+36*1000+35))</f>
        <v/>
      </c>
      <c r="FN195" s="121">
        <f>IF(N('Dvd Calendar'!$AN$1946)=0,"",IF(('Dvd Calendar'!$AN$1946&gt;=GRID_FROM)*('Dvd Calendar'!$AN$1946&lt;=GRID_TO)*((('Dvd Calendar'!$AN$1946&lt;=VAL_DATE)+(COUNTIF('Dvd Calendar'!$E$1953:$AR$1953,'Dvd Calendar'!$AN$1946)=0))&gt;0)=0,"",'Dvd Calendar'!$AN$1946*1000000000+ISNUMBER('Dvd Calendar'!$AN$1949)*100000000+('Dvd Calendar'!$AN$1951=SPECIAL_LBL)*10000000+(N('Dvd Calendar'!$AN$1945)&gt;0)*(N('Dvd Calendar'!$AN$1945)&lt;=VAL_SERIAL)*1000000+36*1000+36))</f>
        <v/>
      </c>
      <c r="FO195" s="121">
        <f>IF(N('Dvd Calendar'!$AO$1946)=0,"",IF(('Dvd Calendar'!$AO$1946&gt;=GRID_FROM)*('Dvd Calendar'!$AO$1946&lt;=GRID_TO)*((('Dvd Calendar'!$AO$1946&lt;=VAL_DATE)+(COUNTIF('Dvd Calendar'!$E$1953:$AR$1953,'Dvd Calendar'!$AO$1946)=0))&gt;0)=0,"",'Dvd Calendar'!$AO$1946*1000000000+ISNUMBER('Dvd Calendar'!$AO$1949)*100000000+('Dvd Calendar'!$AO$1951=SPECIAL_LBL)*10000000+(N('Dvd Calendar'!$AO$1945)&gt;0)*(N('Dvd Calendar'!$AO$1945)&lt;=VAL_SERIAL)*1000000+36*1000+37))</f>
        <v/>
      </c>
      <c r="FP195" s="121">
        <f>IF(N('Dvd Calendar'!$AP$1946)=0,"",IF(('Dvd Calendar'!$AP$1946&gt;=GRID_FROM)*('Dvd Calendar'!$AP$1946&lt;=GRID_TO)*((('Dvd Calendar'!$AP$1946&lt;=VAL_DATE)+(COUNTIF('Dvd Calendar'!$E$1953:$AR$1953,'Dvd Calendar'!$AP$1946)=0))&gt;0)=0,"",'Dvd Calendar'!$AP$1946*1000000000+ISNUMBER('Dvd Calendar'!$AP$1949)*100000000+('Dvd Calendar'!$AP$1951=SPECIAL_LBL)*10000000+(N('Dvd Calendar'!$AP$1945)&gt;0)*(N('Dvd Calendar'!$AP$1945)&lt;=VAL_SERIAL)*1000000+36*1000+38))</f>
        <v/>
      </c>
      <c r="FQ195" s="121">
        <f>IF(N('Dvd Calendar'!$AQ$1946)=0,"",IF(('Dvd Calendar'!$AQ$1946&gt;=GRID_FROM)*('Dvd Calendar'!$AQ$1946&lt;=GRID_TO)*((('Dvd Calendar'!$AQ$1946&lt;=VAL_DATE)+(COUNTIF('Dvd Calendar'!$E$1953:$AR$1953,'Dvd Calendar'!$AQ$1946)=0))&gt;0)=0,"",'Dvd Calendar'!$AQ$1946*1000000000+ISNUMBER('Dvd Calendar'!$AQ$1949)*100000000+('Dvd Calendar'!$AQ$1951=SPECIAL_LBL)*10000000+(N('Dvd Calendar'!$AQ$1945)&gt;0)*(N('Dvd Calendar'!$AQ$1945)&lt;=VAL_SERIAL)*1000000+36*1000+39))</f>
        <v/>
      </c>
      <c r="FR195" s="121">
        <f>IF(N('Dvd Calendar'!$AR$1946)=0,"",IF(('Dvd Calendar'!$AR$1946&gt;=GRID_FROM)*('Dvd Calendar'!$AR$1946&lt;=GRID_TO)*((('Dvd Calendar'!$AR$1946&lt;=VAL_DATE)+(COUNTIF('Dvd Calendar'!$E$1953:$AR$1953,'Dvd Calendar'!$AR$1946)=0))&gt;0)=0,"",'Dvd Calendar'!$AR$1946*1000000000+ISNUMBER('Dvd Calendar'!$AR$1949)*100000000+('Dvd Calendar'!$AR$1951=SPECIAL_LBL)*10000000+(N('Dvd Calendar'!$AR$1945)&gt;0)*(N('Dvd Calendar'!$AR$1945)&lt;=VAL_SERIAL)*1000000+36*1000+40))</f>
        <v/>
      </c>
      <c r="FS195" s="121">
        <f>IF(N('Dvd Calendar'!$E$1953)=0,"",IF(('Dvd Calendar'!$E$1953&gt;=GRID_FROM)*('Dvd Calendar'!$E$1953&lt;=GRID_TO)*('Dvd Calendar'!$E$1953&gt;VAL_DATE)=0,"",'Dvd Calendar'!$E$1953*1000000000+ISNUMBER('Dvd Calendar'!$E$1954)*100000000+0*10000000+(N('Dvd Calendar'!$E$1952)&gt;0)*(N('Dvd Calendar'!$E$1952)&lt;=VAL_SERIAL)*1000000+36*1000+41))</f>
        <v/>
      </c>
      <c r="FT195" s="121">
        <f>IF(N('Dvd Calendar'!$F$1953)=0,"",IF(('Dvd Calendar'!$F$1953&gt;=GRID_FROM)*('Dvd Calendar'!$F$1953&lt;=GRID_TO)*('Dvd Calendar'!$F$1953&gt;VAL_DATE)=0,"",'Dvd Calendar'!$F$1953*1000000000+ISNUMBER('Dvd Calendar'!$F$1954)*100000000+0*10000000+(N('Dvd Calendar'!$F$1952)&gt;0)*(N('Dvd Calendar'!$F$1952)&lt;=VAL_SERIAL)*1000000+36*1000+42))</f>
        <v/>
      </c>
      <c r="FU195" s="121">
        <f>IF(N('Dvd Calendar'!$G$1953)=0,"",IF(('Dvd Calendar'!$G$1953&gt;=GRID_FROM)*('Dvd Calendar'!$G$1953&lt;=GRID_TO)*('Dvd Calendar'!$G$1953&gt;VAL_DATE)=0,"",'Dvd Calendar'!$G$1953*1000000000+ISNUMBER('Dvd Calendar'!$G$1954)*100000000+0*10000000+(N('Dvd Calendar'!$G$1952)&gt;0)*(N('Dvd Calendar'!$G$1952)&lt;=VAL_SERIAL)*1000000+36*1000+43))</f>
        <v/>
      </c>
      <c r="FV195" s="121">
        <f>IF(N('Dvd Calendar'!$H$1953)=0,"",IF(('Dvd Calendar'!$H$1953&gt;=GRID_FROM)*('Dvd Calendar'!$H$1953&lt;=GRID_TO)*('Dvd Calendar'!$H$1953&gt;VAL_DATE)=0,"",'Dvd Calendar'!$H$1953*1000000000+ISNUMBER('Dvd Calendar'!$H$1954)*100000000+0*10000000+(N('Dvd Calendar'!$H$1952)&gt;0)*(N('Dvd Calendar'!$H$1952)&lt;=VAL_SERIAL)*1000000+36*1000+44))</f>
        <v/>
      </c>
      <c r="FW195" s="121">
        <f>IF(N('Dvd Calendar'!$I$1953)=0,"",IF(('Dvd Calendar'!$I$1953&gt;=GRID_FROM)*('Dvd Calendar'!$I$1953&lt;=GRID_TO)*('Dvd Calendar'!$I$1953&gt;VAL_DATE)=0,"",'Dvd Calendar'!$I$1953*1000000000+ISNUMBER('Dvd Calendar'!$I$1954)*100000000+0*10000000+(N('Dvd Calendar'!$I$1952)&gt;0)*(N('Dvd Calendar'!$I$1952)&lt;=VAL_SERIAL)*1000000+36*1000+45))</f>
        <v/>
      </c>
      <c r="FX195" s="121">
        <f>IF(N('Dvd Calendar'!$J$1953)=0,"",IF(('Dvd Calendar'!$J$1953&gt;=GRID_FROM)*('Dvd Calendar'!$J$1953&lt;=GRID_TO)*('Dvd Calendar'!$J$1953&gt;VAL_DATE)=0,"",'Dvd Calendar'!$J$1953*1000000000+ISNUMBER('Dvd Calendar'!$J$1954)*100000000+0*10000000+(N('Dvd Calendar'!$J$1952)&gt;0)*(N('Dvd Calendar'!$J$1952)&lt;=VAL_SERIAL)*1000000+36*1000+46))</f>
        <v/>
      </c>
      <c r="FY195" s="121">
        <f>IF(N('Dvd Calendar'!$K$1953)=0,"",IF(('Dvd Calendar'!$K$1953&gt;=GRID_FROM)*('Dvd Calendar'!$K$1953&lt;=GRID_TO)*('Dvd Calendar'!$K$1953&gt;VAL_DATE)=0,"",'Dvd Calendar'!$K$1953*1000000000+ISNUMBER('Dvd Calendar'!$K$1954)*100000000+0*10000000+(N('Dvd Calendar'!$K$1952)&gt;0)*(N('Dvd Calendar'!$K$1952)&lt;=VAL_SERIAL)*1000000+36*1000+47))</f>
        <v/>
      </c>
      <c r="FZ195" s="121">
        <f>IF(N('Dvd Calendar'!$L$1953)=0,"",IF(('Dvd Calendar'!$L$1953&gt;=GRID_FROM)*('Dvd Calendar'!$L$1953&lt;=GRID_TO)*('Dvd Calendar'!$L$1953&gt;VAL_DATE)=0,"",'Dvd Calendar'!$L$1953*1000000000+ISNUMBER('Dvd Calendar'!$L$1954)*100000000+0*10000000+(N('Dvd Calendar'!$L$1952)&gt;0)*(N('Dvd Calendar'!$L$1952)&lt;=VAL_SERIAL)*1000000+36*1000+48))</f>
        <v/>
      </c>
      <c r="GA195" s="121">
        <f>IF(N('Dvd Calendar'!$M$1953)=0,"",IF(('Dvd Calendar'!$M$1953&gt;=GRID_FROM)*('Dvd Calendar'!$M$1953&lt;=GRID_TO)*('Dvd Calendar'!$M$1953&gt;VAL_DATE)=0,"",'Dvd Calendar'!$M$1953*1000000000+ISNUMBER('Dvd Calendar'!$M$1954)*100000000+0*10000000+(N('Dvd Calendar'!$M$1952)&gt;0)*(N('Dvd Calendar'!$M$1952)&lt;=VAL_SERIAL)*1000000+36*1000+49))</f>
        <v/>
      </c>
      <c r="GB195" s="121">
        <f>IF(N('Dvd Calendar'!$N$1953)=0,"",IF(('Dvd Calendar'!$N$1953&gt;=GRID_FROM)*('Dvd Calendar'!$N$1953&lt;=GRID_TO)*('Dvd Calendar'!$N$1953&gt;VAL_DATE)=0,"",'Dvd Calendar'!$N$1953*1000000000+ISNUMBER('Dvd Calendar'!$N$1954)*100000000+0*10000000+(N('Dvd Calendar'!$N$1952)&gt;0)*(N('Dvd Calendar'!$N$1952)&lt;=VAL_SERIAL)*1000000+36*1000+50))</f>
        <v/>
      </c>
      <c r="GC195" s="121">
        <f>IF(N('Dvd Calendar'!$O$1953)=0,"",IF(('Dvd Calendar'!$O$1953&gt;=GRID_FROM)*('Dvd Calendar'!$O$1953&lt;=GRID_TO)*('Dvd Calendar'!$O$1953&gt;VAL_DATE)=0,"",'Dvd Calendar'!$O$1953*1000000000+ISNUMBER('Dvd Calendar'!$O$1954)*100000000+0*10000000+(N('Dvd Calendar'!$O$1952)&gt;0)*(N('Dvd Calendar'!$O$1952)&lt;=VAL_SERIAL)*1000000+36*1000+51))</f>
        <v/>
      </c>
      <c r="GD195" s="121">
        <f>IF(N('Dvd Calendar'!$P$1953)=0,"",IF(('Dvd Calendar'!$P$1953&gt;=GRID_FROM)*('Dvd Calendar'!$P$1953&lt;=GRID_TO)*('Dvd Calendar'!$P$1953&gt;VAL_DATE)=0,"",'Dvd Calendar'!$P$1953*1000000000+ISNUMBER('Dvd Calendar'!$P$1954)*100000000+0*10000000+(N('Dvd Calendar'!$P$1952)&gt;0)*(N('Dvd Calendar'!$P$1952)&lt;=VAL_SERIAL)*1000000+36*1000+52))</f>
        <v/>
      </c>
      <c r="GE195" s="121">
        <f>IF(N('Dvd Calendar'!$Q$1953)=0,"",IF(('Dvd Calendar'!$Q$1953&gt;=GRID_FROM)*('Dvd Calendar'!$Q$1953&lt;=GRID_TO)*('Dvd Calendar'!$Q$1953&gt;VAL_DATE)=0,"",'Dvd Calendar'!$Q$1953*1000000000+ISNUMBER('Dvd Calendar'!$Q$1954)*100000000+0*10000000+(N('Dvd Calendar'!$Q$1952)&gt;0)*(N('Dvd Calendar'!$Q$1952)&lt;=VAL_SERIAL)*1000000+36*1000+53))</f>
        <v/>
      </c>
      <c r="GF195" s="121">
        <f>IF(N('Dvd Calendar'!$R$1953)=0,"",IF(('Dvd Calendar'!$R$1953&gt;=GRID_FROM)*('Dvd Calendar'!$R$1953&lt;=GRID_TO)*('Dvd Calendar'!$R$1953&gt;VAL_DATE)=0,"",'Dvd Calendar'!$R$1953*1000000000+ISNUMBER('Dvd Calendar'!$R$1954)*100000000+0*10000000+(N('Dvd Calendar'!$R$1952)&gt;0)*(N('Dvd Calendar'!$R$1952)&lt;=VAL_SERIAL)*1000000+36*1000+54))</f>
        <v/>
      </c>
      <c r="GG195" s="121">
        <f>IF(N('Dvd Calendar'!$S$1953)=0,"",IF(('Dvd Calendar'!$S$1953&gt;=GRID_FROM)*('Dvd Calendar'!$S$1953&lt;=GRID_TO)*('Dvd Calendar'!$S$1953&gt;VAL_DATE)=0,"",'Dvd Calendar'!$S$1953*1000000000+ISNUMBER('Dvd Calendar'!$S$1954)*100000000+0*10000000+(N('Dvd Calendar'!$S$1952)&gt;0)*(N('Dvd Calendar'!$S$1952)&lt;=VAL_SERIAL)*1000000+36*1000+55))</f>
        <v/>
      </c>
      <c r="GH195" s="121">
        <f>IF(N('Dvd Calendar'!$T$1953)=0,"",IF(('Dvd Calendar'!$T$1953&gt;=GRID_FROM)*('Dvd Calendar'!$T$1953&lt;=GRID_TO)*('Dvd Calendar'!$T$1953&gt;VAL_DATE)=0,"",'Dvd Calendar'!$T$1953*1000000000+ISNUMBER('Dvd Calendar'!$T$1954)*100000000+0*10000000+(N('Dvd Calendar'!$T$1952)&gt;0)*(N('Dvd Calendar'!$T$1952)&lt;=VAL_SERIAL)*1000000+36*1000+56))</f>
        <v/>
      </c>
      <c r="GI195" s="121">
        <f>IF(N('Dvd Calendar'!$U$1953)=0,"",IF(('Dvd Calendar'!$U$1953&gt;=GRID_FROM)*('Dvd Calendar'!$U$1953&lt;=GRID_TO)*('Dvd Calendar'!$U$1953&gt;VAL_DATE)=0,"",'Dvd Calendar'!$U$1953*1000000000+ISNUMBER('Dvd Calendar'!$U$1954)*100000000+0*10000000+(N('Dvd Calendar'!$U$1952)&gt;0)*(N('Dvd Calendar'!$U$1952)&lt;=VAL_SERIAL)*1000000+36*1000+57))</f>
        <v/>
      </c>
      <c r="GJ195" s="121">
        <f>IF(N('Dvd Calendar'!$V$1953)=0,"",IF(('Dvd Calendar'!$V$1953&gt;=GRID_FROM)*('Dvd Calendar'!$V$1953&lt;=GRID_TO)*('Dvd Calendar'!$V$1953&gt;VAL_DATE)=0,"",'Dvd Calendar'!$V$1953*1000000000+ISNUMBER('Dvd Calendar'!$V$1954)*100000000+0*10000000+(N('Dvd Calendar'!$V$1952)&gt;0)*(N('Dvd Calendar'!$V$1952)&lt;=VAL_SERIAL)*1000000+36*1000+58))</f>
        <v/>
      </c>
      <c r="GK195" s="121">
        <f>IF(N('Dvd Calendar'!$W$1953)=0,"",IF(('Dvd Calendar'!$W$1953&gt;=GRID_FROM)*('Dvd Calendar'!$W$1953&lt;=GRID_TO)*('Dvd Calendar'!$W$1953&gt;VAL_DATE)=0,"",'Dvd Calendar'!$W$1953*1000000000+ISNUMBER('Dvd Calendar'!$W$1954)*100000000+0*10000000+(N('Dvd Calendar'!$W$1952)&gt;0)*(N('Dvd Calendar'!$W$1952)&lt;=VAL_SERIAL)*1000000+36*1000+59))</f>
        <v/>
      </c>
      <c r="GL195" s="121">
        <f>IF(N('Dvd Calendar'!$X$1953)=0,"",IF(('Dvd Calendar'!$X$1953&gt;=GRID_FROM)*('Dvd Calendar'!$X$1953&lt;=GRID_TO)*('Dvd Calendar'!$X$1953&gt;VAL_DATE)=0,"",'Dvd Calendar'!$X$1953*1000000000+ISNUMBER('Dvd Calendar'!$X$1954)*100000000+0*10000000+(N('Dvd Calendar'!$X$1952)&gt;0)*(N('Dvd Calendar'!$X$1952)&lt;=VAL_SERIAL)*1000000+36*1000+60))</f>
        <v/>
      </c>
      <c r="GM195" s="121">
        <f>IF(N('Dvd Calendar'!$Y$1953)=0,"",IF(('Dvd Calendar'!$Y$1953&gt;=GRID_FROM)*('Dvd Calendar'!$Y$1953&lt;=GRID_TO)*('Dvd Calendar'!$Y$1953&gt;VAL_DATE)=0,"",'Dvd Calendar'!$Y$1953*1000000000+ISNUMBER('Dvd Calendar'!$Y$1954)*100000000+0*10000000+(N('Dvd Calendar'!$Y$1952)&gt;0)*(N('Dvd Calendar'!$Y$1952)&lt;=VAL_SERIAL)*1000000+36*1000+61))</f>
        <v/>
      </c>
      <c r="GN195" s="121">
        <f>IF(N('Dvd Calendar'!$Z$1953)=0,"",IF(('Dvd Calendar'!$Z$1953&gt;=GRID_FROM)*('Dvd Calendar'!$Z$1953&lt;=GRID_TO)*('Dvd Calendar'!$Z$1953&gt;VAL_DATE)=0,"",'Dvd Calendar'!$Z$1953*1000000000+ISNUMBER('Dvd Calendar'!$Z$1954)*100000000+0*10000000+(N('Dvd Calendar'!$Z$1952)&gt;0)*(N('Dvd Calendar'!$Z$1952)&lt;=VAL_SERIAL)*1000000+36*1000+62))</f>
        <v/>
      </c>
      <c r="GO195" s="121">
        <f>IF(N('Dvd Calendar'!$AA$1953)=0,"",IF(('Dvd Calendar'!$AA$1953&gt;=GRID_FROM)*('Dvd Calendar'!$AA$1953&lt;=GRID_TO)*('Dvd Calendar'!$AA$1953&gt;VAL_DATE)=0,"",'Dvd Calendar'!$AA$1953*1000000000+ISNUMBER('Dvd Calendar'!$AA$1954)*100000000+0*10000000+(N('Dvd Calendar'!$AA$1952)&gt;0)*(N('Dvd Calendar'!$AA$1952)&lt;=VAL_SERIAL)*1000000+36*1000+63))</f>
        <v/>
      </c>
      <c r="GP195" s="121">
        <f>IF(N('Dvd Calendar'!$AB$1953)=0,"",IF(('Dvd Calendar'!$AB$1953&gt;=GRID_FROM)*('Dvd Calendar'!$AB$1953&lt;=GRID_TO)*('Dvd Calendar'!$AB$1953&gt;VAL_DATE)=0,"",'Dvd Calendar'!$AB$1953*1000000000+ISNUMBER('Dvd Calendar'!$AB$1954)*100000000+0*10000000+(N('Dvd Calendar'!$AB$1952)&gt;0)*(N('Dvd Calendar'!$AB$1952)&lt;=VAL_SERIAL)*1000000+36*1000+64))</f>
        <v/>
      </c>
      <c r="GQ195" s="121">
        <f>IF(N('Dvd Calendar'!$AC$1953)=0,"",IF(('Dvd Calendar'!$AC$1953&gt;=GRID_FROM)*('Dvd Calendar'!$AC$1953&lt;=GRID_TO)*('Dvd Calendar'!$AC$1953&gt;VAL_DATE)=0,"",'Dvd Calendar'!$AC$1953*1000000000+ISNUMBER('Dvd Calendar'!$AC$1954)*100000000+0*10000000+(N('Dvd Calendar'!$AC$1952)&gt;0)*(N('Dvd Calendar'!$AC$1952)&lt;=VAL_SERIAL)*1000000+36*1000+65))</f>
        <v/>
      </c>
    </row>
    <row r="196">
      <c r="B196" s="2">
        <f>IF(HSCEI!$C$43="","",HSCEI!$C$43)</f>
        <v/>
      </c>
      <c r="C196" s="161">
        <f>IF(EE196="","",IF(ISNUMBER('Dvd Calendar'!$E$1960)=FALSE,"",IF((('Dvd Calendar'!$E$1962=TYPE1)*(TYPE1&lt;&gt;"")+('Dvd Calendar'!$E$1962=TYPE2)*(TYPE2&lt;&gt;"")+('Dvd Calendar'!$E$1962=TYPE3)*(TYPE3&lt;&gt;"")+('Dvd Calendar'!$E$1962=TYPE4)*(TYPE4&lt;&gt;"")+('Dvd Calendar'!$E$1962=SPECIAL_LBL)*(INC_SPECIALS="Y"))=0,"",'Dvd Calendar'!$E$1960)))</f>
        <v/>
      </c>
      <c r="D196" s="161">
        <f>IF(EF196="","",IF(ISNUMBER('Dvd Calendar'!$F$1960)=FALSE,"",IF((('Dvd Calendar'!$F$1962=TYPE1)*(TYPE1&lt;&gt;"")+('Dvd Calendar'!$F$1962=TYPE2)*(TYPE2&lt;&gt;"")+('Dvd Calendar'!$F$1962=TYPE3)*(TYPE3&lt;&gt;"")+('Dvd Calendar'!$F$1962=TYPE4)*(TYPE4&lt;&gt;"")+('Dvd Calendar'!$F$1962=SPECIAL_LBL)*(INC_SPECIALS="Y"))=0,"",'Dvd Calendar'!$F$1960)))</f>
        <v/>
      </c>
      <c r="E196" s="161">
        <f>IF(EG196="","",IF(ISNUMBER('Dvd Calendar'!$G$1960)=FALSE,"",IF((('Dvd Calendar'!$G$1962=TYPE1)*(TYPE1&lt;&gt;"")+('Dvd Calendar'!$G$1962=TYPE2)*(TYPE2&lt;&gt;"")+('Dvd Calendar'!$G$1962=TYPE3)*(TYPE3&lt;&gt;"")+('Dvd Calendar'!$G$1962=TYPE4)*(TYPE4&lt;&gt;"")+('Dvd Calendar'!$G$1962=SPECIAL_LBL)*(INC_SPECIALS="Y"))=0,"",'Dvd Calendar'!$G$1960)))</f>
        <v/>
      </c>
      <c r="F196" s="161">
        <f>IF(EH196="","",IF(ISNUMBER('Dvd Calendar'!$H$1960)=FALSE,"",IF((('Dvd Calendar'!$H$1962=TYPE1)*(TYPE1&lt;&gt;"")+('Dvd Calendar'!$H$1962=TYPE2)*(TYPE2&lt;&gt;"")+('Dvd Calendar'!$H$1962=TYPE3)*(TYPE3&lt;&gt;"")+('Dvd Calendar'!$H$1962=TYPE4)*(TYPE4&lt;&gt;"")+('Dvd Calendar'!$H$1962=SPECIAL_LBL)*(INC_SPECIALS="Y"))=0,"",'Dvd Calendar'!$H$1960)))</f>
        <v/>
      </c>
      <c r="G196" s="161">
        <f>IF(EI196="","",IF(ISNUMBER('Dvd Calendar'!$I$1960)=FALSE,"",IF((('Dvd Calendar'!$I$1962=TYPE1)*(TYPE1&lt;&gt;"")+('Dvd Calendar'!$I$1962=TYPE2)*(TYPE2&lt;&gt;"")+('Dvd Calendar'!$I$1962=TYPE3)*(TYPE3&lt;&gt;"")+('Dvd Calendar'!$I$1962=TYPE4)*(TYPE4&lt;&gt;"")+('Dvd Calendar'!$I$1962=SPECIAL_LBL)*(INC_SPECIALS="Y"))=0,"",'Dvd Calendar'!$I$1960)))</f>
        <v/>
      </c>
      <c r="H196" s="161">
        <f>IF(EJ196="","",IF(ISNUMBER('Dvd Calendar'!$J$1960)=FALSE,"",IF((('Dvd Calendar'!$J$1962=TYPE1)*(TYPE1&lt;&gt;"")+('Dvd Calendar'!$J$1962=TYPE2)*(TYPE2&lt;&gt;"")+('Dvd Calendar'!$J$1962=TYPE3)*(TYPE3&lt;&gt;"")+('Dvd Calendar'!$J$1962=TYPE4)*(TYPE4&lt;&gt;"")+('Dvd Calendar'!$J$1962=SPECIAL_LBL)*(INC_SPECIALS="Y"))=0,"",'Dvd Calendar'!$J$1960)))</f>
        <v/>
      </c>
      <c r="I196" s="161">
        <f>IF(EK196="","",IF(ISNUMBER('Dvd Calendar'!$K$1960)=FALSE,"",IF((('Dvd Calendar'!$K$1962=TYPE1)*(TYPE1&lt;&gt;"")+('Dvd Calendar'!$K$1962=TYPE2)*(TYPE2&lt;&gt;"")+('Dvd Calendar'!$K$1962=TYPE3)*(TYPE3&lt;&gt;"")+('Dvd Calendar'!$K$1962=TYPE4)*(TYPE4&lt;&gt;"")+('Dvd Calendar'!$K$1962=SPECIAL_LBL)*(INC_SPECIALS="Y"))=0,"",'Dvd Calendar'!$K$1960)))</f>
        <v/>
      </c>
      <c r="J196" s="161">
        <f>IF(EL196="","",IF(ISNUMBER('Dvd Calendar'!$L$1960)=FALSE,"",IF((('Dvd Calendar'!$L$1962=TYPE1)*(TYPE1&lt;&gt;"")+('Dvd Calendar'!$L$1962=TYPE2)*(TYPE2&lt;&gt;"")+('Dvd Calendar'!$L$1962=TYPE3)*(TYPE3&lt;&gt;"")+('Dvd Calendar'!$L$1962=TYPE4)*(TYPE4&lt;&gt;"")+('Dvd Calendar'!$L$1962=SPECIAL_LBL)*(INC_SPECIALS="Y"))=0,"",'Dvd Calendar'!$L$1960)))</f>
        <v/>
      </c>
      <c r="K196" s="161">
        <f>IF(EM196="","",IF(ISNUMBER('Dvd Calendar'!$M$1960)=FALSE,"",IF((('Dvd Calendar'!$M$1962=TYPE1)*(TYPE1&lt;&gt;"")+('Dvd Calendar'!$M$1962=TYPE2)*(TYPE2&lt;&gt;"")+('Dvd Calendar'!$M$1962=TYPE3)*(TYPE3&lt;&gt;"")+('Dvd Calendar'!$M$1962=TYPE4)*(TYPE4&lt;&gt;"")+('Dvd Calendar'!$M$1962=SPECIAL_LBL)*(INC_SPECIALS="Y"))=0,"",'Dvd Calendar'!$M$1960)))</f>
        <v/>
      </c>
      <c r="L196" s="161">
        <f>IF(EN196="","",IF(ISNUMBER('Dvd Calendar'!$N$1960)=FALSE,"",IF((('Dvd Calendar'!$N$1962=TYPE1)*(TYPE1&lt;&gt;"")+('Dvd Calendar'!$N$1962=TYPE2)*(TYPE2&lt;&gt;"")+('Dvd Calendar'!$N$1962=TYPE3)*(TYPE3&lt;&gt;"")+('Dvd Calendar'!$N$1962=TYPE4)*(TYPE4&lt;&gt;"")+('Dvd Calendar'!$N$1962=SPECIAL_LBL)*(INC_SPECIALS="Y"))=0,"",'Dvd Calendar'!$N$1960)))</f>
        <v/>
      </c>
      <c r="M196" s="161">
        <f>IF(EO196="","",IF(ISNUMBER('Dvd Calendar'!$O$1960)=FALSE,"",IF((('Dvd Calendar'!$O$1962=TYPE1)*(TYPE1&lt;&gt;"")+('Dvd Calendar'!$O$1962=TYPE2)*(TYPE2&lt;&gt;"")+('Dvd Calendar'!$O$1962=TYPE3)*(TYPE3&lt;&gt;"")+('Dvd Calendar'!$O$1962=TYPE4)*(TYPE4&lt;&gt;"")+('Dvd Calendar'!$O$1962=SPECIAL_LBL)*(INC_SPECIALS="Y"))=0,"",'Dvd Calendar'!$O$1960)))</f>
        <v/>
      </c>
      <c r="N196" s="161">
        <f>IF(EP196="","",IF(ISNUMBER('Dvd Calendar'!$P$1960)=FALSE,"",IF((('Dvd Calendar'!$P$1962=TYPE1)*(TYPE1&lt;&gt;"")+('Dvd Calendar'!$P$1962=TYPE2)*(TYPE2&lt;&gt;"")+('Dvd Calendar'!$P$1962=TYPE3)*(TYPE3&lt;&gt;"")+('Dvd Calendar'!$P$1962=TYPE4)*(TYPE4&lt;&gt;"")+('Dvd Calendar'!$P$1962=SPECIAL_LBL)*(INC_SPECIALS="Y"))=0,"",'Dvd Calendar'!$P$1960)))</f>
        <v/>
      </c>
      <c r="O196" s="161">
        <f>IF(EQ196="","",IF(ISNUMBER('Dvd Calendar'!$Q$1960)=FALSE,"",IF((('Dvd Calendar'!$Q$1962=TYPE1)*(TYPE1&lt;&gt;"")+('Dvd Calendar'!$Q$1962=TYPE2)*(TYPE2&lt;&gt;"")+('Dvd Calendar'!$Q$1962=TYPE3)*(TYPE3&lt;&gt;"")+('Dvd Calendar'!$Q$1962=TYPE4)*(TYPE4&lt;&gt;"")+('Dvd Calendar'!$Q$1962=SPECIAL_LBL)*(INC_SPECIALS="Y"))=0,"",'Dvd Calendar'!$Q$1960)))</f>
        <v/>
      </c>
      <c r="P196" s="161">
        <f>IF(ER196="","",IF(ISNUMBER('Dvd Calendar'!$R$1960)=FALSE,"",IF((('Dvd Calendar'!$R$1962=TYPE1)*(TYPE1&lt;&gt;"")+('Dvd Calendar'!$R$1962=TYPE2)*(TYPE2&lt;&gt;"")+('Dvd Calendar'!$R$1962=TYPE3)*(TYPE3&lt;&gt;"")+('Dvd Calendar'!$R$1962=TYPE4)*(TYPE4&lt;&gt;"")+('Dvd Calendar'!$R$1962=SPECIAL_LBL)*(INC_SPECIALS="Y"))=0,"",'Dvd Calendar'!$R$1960)))</f>
        <v/>
      </c>
      <c r="Q196" s="161">
        <f>IF(ES196="","",IF(ISNUMBER('Dvd Calendar'!$S$1960)=FALSE,"",IF((('Dvd Calendar'!$S$1962=TYPE1)*(TYPE1&lt;&gt;"")+('Dvd Calendar'!$S$1962=TYPE2)*(TYPE2&lt;&gt;"")+('Dvd Calendar'!$S$1962=TYPE3)*(TYPE3&lt;&gt;"")+('Dvd Calendar'!$S$1962=TYPE4)*(TYPE4&lt;&gt;"")+('Dvd Calendar'!$S$1962=SPECIAL_LBL)*(INC_SPECIALS="Y"))=0,"",'Dvd Calendar'!$S$1960)))</f>
        <v/>
      </c>
      <c r="R196" s="161">
        <f>IF(ET196="","",IF(ISNUMBER('Dvd Calendar'!$T$1960)=FALSE,"",IF((('Dvd Calendar'!$T$1962=TYPE1)*(TYPE1&lt;&gt;"")+('Dvd Calendar'!$T$1962=TYPE2)*(TYPE2&lt;&gt;"")+('Dvd Calendar'!$T$1962=TYPE3)*(TYPE3&lt;&gt;"")+('Dvd Calendar'!$T$1962=TYPE4)*(TYPE4&lt;&gt;"")+('Dvd Calendar'!$T$1962=SPECIAL_LBL)*(INC_SPECIALS="Y"))=0,"",'Dvd Calendar'!$T$1960)))</f>
        <v/>
      </c>
      <c r="S196" s="161">
        <f>IF(EU196="","",IF(ISNUMBER('Dvd Calendar'!$U$1960)=FALSE,"",IF((('Dvd Calendar'!$U$1962=TYPE1)*(TYPE1&lt;&gt;"")+('Dvd Calendar'!$U$1962=TYPE2)*(TYPE2&lt;&gt;"")+('Dvd Calendar'!$U$1962=TYPE3)*(TYPE3&lt;&gt;"")+('Dvd Calendar'!$U$1962=TYPE4)*(TYPE4&lt;&gt;"")+('Dvd Calendar'!$U$1962=SPECIAL_LBL)*(INC_SPECIALS="Y"))=0,"",'Dvd Calendar'!$U$1960)))</f>
        <v/>
      </c>
      <c r="T196" s="161">
        <f>IF(EV196="","",IF(ISNUMBER('Dvd Calendar'!$V$1960)=FALSE,"",IF((('Dvd Calendar'!$V$1962=TYPE1)*(TYPE1&lt;&gt;"")+('Dvd Calendar'!$V$1962=TYPE2)*(TYPE2&lt;&gt;"")+('Dvd Calendar'!$V$1962=TYPE3)*(TYPE3&lt;&gt;"")+('Dvd Calendar'!$V$1962=TYPE4)*(TYPE4&lt;&gt;"")+('Dvd Calendar'!$V$1962=SPECIAL_LBL)*(INC_SPECIALS="Y"))=0,"",'Dvd Calendar'!$V$1960)))</f>
        <v/>
      </c>
      <c r="U196" s="161">
        <f>IF(EW196="","",IF(ISNUMBER('Dvd Calendar'!$W$1960)=FALSE,"",IF((('Dvd Calendar'!$W$1962=TYPE1)*(TYPE1&lt;&gt;"")+('Dvd Calendar'!$W$1962=TYPE2)*(TYPE2&lt;&gt;"")+('Dvd Calendar'!$W$1962=TYPE3)*(TYPE3&lt;&gt;"")+('Dvd Calendar'!$W$1962=TYPE4)*(TYPE4&lt;&gt;"")+('Dvd Calendar'!$W$1962=SPECIAL_LBL)*(INC_SPECIALS="Y"))=0,"",'Dvd Calendar'!$W$1960)))</f>
        <v/>
      </c>
      <c r="V196" s="161">
        <f>IF(EX196="","",IF(ISNUMBER('Dvd Calendar'!$X$1960)=FALSE,"",IF((('Dvd Calendar'!$X$1962=TYPE1)*(TYPE1&lt;&gt;"")+('Dvd Calendar'!$X$1962=TYPE2)*(TYPE2&lt;&gt;"")+('Dvd Calendar'!$X$1962=TYPE3)*(TYPE3&lt;&gt;"")+('Dvd Calendar'!$X$1962=TYPE4)*(TYPE4&lt;&gt;"")+('Dvd Calendar'!$X$1962=SPECIAL_LBL)*(INC_SPECIALS="Y"))=0,"",'Dvd Calendar'!$X$1960)))</f>
        <v/>
      </c>
      <c r="W196" s="161">
        <f>IF(EY196="","",IF(ISNUMBER('Dvd Calendar'!$Y$1960)=FALSE,"",IF((('Dvd Calendar'!$Y$1962=TYPE1)*(TYPE1&lt;&gt;"")+('Dvd Calendar'!$Y$1962=TYPE2)*(TYPE2&lt;&gt;"")+('Dvd Calendar'!$Y$1962=TYPE3)*(TYPE3&lt;&gt;"")+('Dvd Calendar'!$Y$1962=TYPE4)*(TYPE4&lt;&gt;"")+('Dvd Calendar'!$Y$1962=SPECIAL_LBL)*(INC_SPECIALS="Y"))=0,"",'Dvd Calendar'!$Y$1960)))</f>
        <v/>
      </c>
      <c r="X196" s="161">
        <f>IF(EZ196="","",IF(ISNUMBER('Dvd Calendar'!$Z$1960)=FALSE,"",IF((('Dvd Calendar'!$Z$1962=TYPE1)*(TYPE1&lt;&gt;"")+('Dvd Calendar'!$Z$1962=TYPE2)*(TYPE2&lt;&gt;"")+('Dvd Calendar'!$Z$1962=TYPE3)*(TYPE3&lt;&gt;"")+('Dvd Calendar'!$Z$1962=TYPE4)*(TYPE4&lt;&gt;"")+('Dvd Calendar'!$Z$1962=SPECIAL_LBL)*(INC_SPECIALS="Y"))=0,"",'Dvd Calendar'!$Z$1960)))</f>
        <v/>
      </c>
      <c r="Y196" s="161">
        <f>IF(FA196="","",IF(ISNUMBER('Dvd Calendar'!$AA$1960)=FALSE,"",IF((('Dvd Calendar'!$AA$1962=TYPE1)*(TYPE1&lt;&gt;"")+('Dvd Calendar'!$AA$1962=TYPE2)*(TYPE2&lt;&gt;"")+('Dvd Calendar'!$AA$1962=TYPE3)*(TYPE3&lt;&gt;"")+('Dvd Calendar'!$AA$1962=TYPE4)*(TYPE4&lt;&gt;"")+('Dvd Calendar'!$AA$1962=SPECIAL_LBL)*(INC_SPECIALS="Y"))=0,"",'Dvd Calendar'!$AA$1960)))</f>
        <v/>
      </c>
      <c r="Z196" s="161">
        <f>IF(FB196="","",IF(ISNUMBER('Dvd Calendar'!$AB$1960)=FALSE,"",IF((('Dvd Calendar'!$AB$1962=TYPE1)*(TYPE1&lt;&gt;"")+('Dvd Calendar'!$AB$1962=TYPE2)*(TYPE2&lt;&gt;"")+('Dvd Calendar'!$AB$1962=TYPE3)*(TYPE3&lt;&gt;"")+('Dvd Calendar'!$AB$1962=TYPE4)*(TYPE4&lt;&gt;"")+('Dvd Calendar'!$AB$1962=SPECIAL_LBL)*(INC_SPECIALS="Y"))=0,"",'Dvd Calendar'!$AB$1960)))</f>
        <v/>
      </c>
      <c r="AA196" s="161">
        <f>IF(FC196="","",IF(ISNUMBER('Dvd Calendar'!$AC$1960)=FALSE,"",IF((('Dvd Calendar'!$AC$1962=TYPE1)*(TYPE1&lt;&gt;"")+('Dvd Calendar'!$AC$1962=TYPE2)*(TYPE2&lt;&gt;"")+('Dvd Calendar'!$AC$1962=TYPE3)*(TYPE3&lt;&gt;"")+('Dvd Calendar'!$AC$1962=TYPE4)*(TYPE4&lt;&gt;"")+('Dvd Calendar'!$AC$1962=SPECIAL_LBL)*(INC_SPECIALS="Y"))=0,"",'Dvd Calendar'!$AC$1960)))</f>
        <v/>
      </c>
      <c r="AB196" s="161">
        <f>IF(FD196="","",IF(ISNUMBER('Dvd Calendar'!$AD$1960)=FALSE,"",IF((('Dvd Calendar'!$AD$1962=TYPE1)*(TYPE1&lt;&gt;"")+('Dvd Calendar'!$AD$1962=TYPE2)*(TYPE2&lt;&gt;"")+('Dvd Calendar'!$AD$1962=TYPE3)*(TYPE3&lt;&gt;"")+('Dvd Calendar'!$AD$1962=TYPE4)*(TYPE4&lt;&gt;"")+('Dvd Calendar'!$AD$1962=SPECIAL_LBL)*(INC_SPECIALS="Y"))=0,"",'Dvd Calendar'!$AD$1960)))</f>
        <v/>
      </c>
      <c r="AC196" s="161">
        <f>IF(FE196="","",IF(ISNUMBER('Dvd Calendar'!$AE$1960)=FALSE,"",IF((('Dvd Calendar'!$AE$1962=TYPE1)*(TYPE1&lt;&gt;"")+('Dvd Calendar'!$AE$1962=TYPE2)*(TYPE2&lt;&gt;"")+('Dvd Calendar'!$AE$1962=TYPE3)*(TYPE3&lt;&gt;"")+('Dvd Calendar'!$AE$1962=TYPE4)*(TYPE4&lt;&gt;"")+('Dvd Calendar'!$AE$1962=SPECIAL_LBL)*(INC_SPECIALS="Y"))=0,"",'Dvd Calendar'!$AE$1960)))</f>
        <v/>
      </c>
      <c r="AD196" s="161">
        <f>IF(FF196="","",IF(ISNUMBER('Dvd Calendar'!$AF$1960)=FALSE,"",IF((('Dvd Calendar'!$AF$1962=TYPE1)*(TYPE1&lt;&gt;"")+('Dvd Calendar'!$AF$1962=TYPE2)*(TYPE2&lt;&gt;"")+('Dvd Calendar'!$AF$1962=TYPE3)*(TYPE3&lt;&gt;"")+('Dvd Calendar'!$AF$1962=TYPE4)*(TYPE4&lt;&gt;"")+('Dvd Calendar'!$AF$1962=SPECIAL_LBL)*(INC_SPECIALS="Y"))=0,"",'Dvd Calendar'!$AF$1960)))</f>
        <v/>
      </c>
      <c r="AE196" s="161">
        <f>IF(FG196="","",IF(ISNUMBER('Dvd Calendar'!$AG$1960)=FALSE,"",IF((('Dvd Calendar'!$AG$1962=TYPE1)*(TYPE1&lt;&gt;"")+('Dvd Calendar'!$AG$1962=TYPE2)*(TYPE2&lt;&gt;"")+('Dvd Calendar'!$AG$1962=TYPE3)*(TYPE3&lt;&gt;"")+('Dvd Calendar'!$AG$1962=TYPE4)*(TYPE4&lt;&gt;"")+('Dvd Calendar'!$AG$1962=SPECIAL_LBL)*(INC_SPECIALS="Y"))=0,"",'Dvd Calendar'!$AG$1960)))</f>
        <v/>
      </c>
      <c r="AF196" s="161">
        <f>IF(FH196="","",IF(ISNUMBER('Dvd Calendar'!$AH$1960)=FALSE,"",IF((('Dvd Calendar'!$AH$1962=TYPE1)*(TYPE1&lt;&gt;"")+('Dvd Calendar'!$AH$1962=TYPE2)*(TYPE2&lt;&gt;"")+('Dvd Calendar'!$AH$1962=TYPE3)*(TYPE3&lt;&gt;"")+('Dvd Calendar'!$AH$1962=TYPE4)*(TYPE4&lt;&gt;"")+('Dvd Calendar'!$AH$1962=SPECIAL_LBL)*(INC_SPECIALS="Y"))=0,"",'Dvd Calendar'!$AH$1960)))</f>
        <v/>
      </c>
      <c r="AG196" s="161">
        <f>IF(FI196="","",IF(ISNUMBER('Dvd Calendar'!$AI$1960)=FALSE,"",IF((('Dvd Calendar'!$AI$1962=TYPE1)*(TYPE1&lt;&gt;"")+('Dvd Calendar'!$AI$1962=TYPE2)*(TYPE2&lt;&gt;"")+('Dvd Calendar'!$AI$1962=TYPE3)*(TYPE3&lt;&gt;"")+('Dvd Calendar'!$AI$1962=TYPE4)*(TYPE4&lt;&gt;"")+('Dvd Calendar'!$AI$1962=SPECIAL_LBL)*(INC_SPECIALS="Y"))=0,"",'Dvd Calendar'!$AI$1960)))</f>
        <v/>
      </c>
      <c r="AH196" s="161">
        <f>IF(FJ196="","",IF(ISNUMBER('Dvd Calendar'!$AJ$1960)=FALSE,"",IF((('Dvd Calendar'!$AJ$1962=TYPE1)*(TYPE1&lt;&gt;"")+('Dvd Calendar'!$AJ$1962=TYPE2)*(TYPE2&lt;&gt;"")+('Dvd Calendar'!$AJ$1962=TYPE3)*(TYPE3&lt;&gt;"")+('Dvd Calendar'!$AJ$1962=TYPE4)*(TYPE4&lt;&gt;"")+('Dvd Calendar'!$AJ$1962=SPECIAL_LBL)*(INC_SPECIALS="Y"))=0,"",'Dvd Calendar'!$AJ$1960)))</f>
        <v/>
      </c>
      <c r="AI196" s="161">
        <f>IF(FK196="","",IF(ISNUMBER('Dvd Calendar'!$AK$1960)=FALSE,"",IF((('Dvd Calendar'!$AK$1962=TYPE1)*(TYPE1&lt;&gt;"")+('Dvd Calendar'!$AK$1962=TYPE2)*(TYPE2&lt;&gt;"")+('Dvd Calendar'!$AK$1962=TYPE3)*(TYPE3&lt;&gt;"")+('Dvd Calendar'!$AK$1962=TYPE4)*(TYPE4&lt;&gt;"")+('Dvd Calendar'!$AK$1962=SPECIAL_LBL)*(INC_SPECIALS="Y"))=0,"",'Dvd Calendar'!$AK$1960)))</f>
        <v/>
      </c>
      <c r="AJ196" s="161">
        <f>IF(FL196="","",IF(ISNUMBER('Dvd Calendar'!$AL$1960)=FALSE,"",IF((('Dvd Calendar'!$AL$1962=TYPE1)*(TYPE1&lt;&gt;"")+('Dvd Calendar'!$AL$1962=TYPE2)*(TYPE2&lt;&gt;"")+('Dvd Calendar'!$AL$1962=TYPE3)*(TYPE3&lt;&gt;"")+('Dvd Calendar'!$AL$1962=TYPE4)*(TYPE4&lt;&gt;"")+('Dvd Calendar'!$AL$1962=SPECIAL_LBL)*(INC_SPECIALS="Y"))=0,"",'Dvd Calendar'!$AL$1960)))</f>
        <v/>
      </c>
      <c r="AK196" s="161">
        <f>IF(FM196="","",IF(ISNUMBER('Dvd Calendar'!$AM$1960)=FALSE,"",IF((('Dvd Calendar'!$AM$1962=TYPE1)*(TYPE1&lt;&gt;"")+('Dvd Calendar'!$AM$1962=TYPE2)*(TYPE2&lt;&gt;"")+('Dvd Calendar'!$AM$1962=TYPE3)*(TYPE3&lt;&gt;"")+('Dvd Calendar'!$AM$1962=TYPE4)*(TYPE4&lt;&gt;"")+('Dvd Calendar'!$AM$1962=SPECIAL_LBL)*(INC_SPECIALS="Y"))=0,"",'Dvd Calendar'!$AM$1960)))</f>
        <v/>
      </c>
      <c r="AL196" s="161">
        <f>IF(FN196="","",IF(ISNUMBER('Dvd Calendar'!$AN$1960)=FALSE,"",IF((('Dvd Calendar'!$AN$1962=TYPE1)*(TYPE1&lt;&gt;"")+('Dvd Calendar'!$AN$1962=TYPE2)*(TYPE2&lt;&gt;"")+('Dvd Calendar'!$AN$1962=TYPE3)*(TYPE3&lt;&gt;"")+('Dvd Calendar'!$AN$1962=TYPE4)*(TYPE4&lt;&gt;"")+('Dvd Calendar'!$AN$1962=SPECIAL_LBL)*(INC_SPECIALS="Y"))=0,"",'Dvd Calendar'!$AN$1960)))</f>
        <v/>
      </c>
      <c r="AM196" s="161">
        <f>IF(FO196="","",IF(ISNUMBER('Dvd Calendar'!$AO$1960)=FALSE,"",IF((('Dvd Calendar'!$AO$1962=TYPE1)*(TYPE1&lt;&gt;"")+('Dvd Calendar'!$AO$1962=TYPE2)*(TYPE2&lt;&gt;"")+('Dvd Calendar'!$AO$1962=TYPE3)*(TYPE3&lt;&gt;"")+('Dvd Calendar'!$AO$1962=TYPE4)*(TYPE4&lt;&gt;"")+('Dvd Calendar'!$AO$1962=SPECIAL_LBL)*(INC_SPECIALS="Y"))=0,"",'Dvd Calendar'!$AO$1960)))</f>
        <v/>
      </c>
      <c r="AN196" s="161">
        <f>IF(FP196="","",IF(ISNUMBER('Dvd Calendar'!$AP$1960)=FALSE,"",IF((('Dvd Calendar'!$AP$1962=TYPE1)*(TYPE1&lt;&gt;"")+('Dvd Calendar'!$AP$1962=TYPE2)*(TYPE2&lt;&gt;"")+('Dvd Calendar'!$AP$1962=TYPE3)*(TYPE3&lt;&gt;"")+('Dvd Calendar'!$AP$1962=TYPE4)*(TYPE4&lt;&gt;"")+('Dvd Calendar'!$AP$1962=SPECIAL_LBL)*(INC_SPECIALS="Y"))=0,"",'Dvd Calendar'!$AP$1960)))</f>
        <v/>
      </c>
      <c r="AO196" s="161">
        <f>IF(FQ196="","",IF(ISNUMBER('Dvd Calendar'!$AQ$1960)=FALSE,"",IF((('Dvd Calendar'!$AQ$1962=TYPE1)*(TYPE1&lt;&gt;"")+('Dvd Calendar'!$AQ$1962=TYPE2)*(TYPE2&lt;&gt;"")+('Dvd Calendar'!$AQ$1962=TYPE3)*(TYPE3&lt;&gt;"")+('Dvd Calendar'!$AQ$1962=TYPE4)*(TYPE4&lt;&gt;"")+('Dvd Calendar'!$AQ$1962=SPECIAL_LBL)*(INC_SPECIALS="Y"))=0,"",'Dvd Calendar'!$AQ$1960)))</f>
        <v/>
      </c>
      <c r="AP196" s="161">
        <f>IF(FR196="","",IF(ISNUMBER('Dvd Calendar'!$AR$1960)=FALSE,"",IF((('Dvd Calendar'!$AR$1962=TYPE1)*(TYPE1&lt;&gt;"")+('Dvd Calendar'!$AR$1962=TYPE2)*(TYPE2&lt;&gt;"")+('Dvd Calendar'!$AR$1962=TYPE3)*(TYPE3&lt;&gt;"")+('Dvd Calendar'!$AR$1962=TYPE4)*(TYPE4&lt;&gt;"")+('Dvd Calendar'!$AR$1962=SPECIAL_LBL)*(INC_SPECIALS="Y"))=0,"",'Dvd Calendar'!$AR$1960)))</f>
        <v/>
      </c>
      <c r="AQ196" s="161">
        <f>IF(FS196="","",IF(ISNUMBER('Dvd Calendar'!$E$1965)=FALSE,"",'Dvd Calendar'!$E$1965))</f>
        <v/>
      </c>
      <c r="AR196" s="161">
        <f>IF(FT196="","",IF(ISNUMBER('Dvd Calendar'!$F$1965)=FALSE,"",'Dvd Calendar'!$F$1965))</f>
        <v/>
      </c>
      <c r="AS196" s="161">
        <f>IF(FU196="","",IF(ISNUMBER('Dvd Calendar'!$G$1965)=FALSE,"",'Dvd Calendar'!$G$1965))</f>
        <v/>
      </c>
      <c r="AT196" s="161">
        <f>IF(FV196="","",IF(ISNUMBER('Dvd Calendar'!$H$1965)=FALSE,"",'Dvd Calendar'!$H$1965))</f>
        <v/>
      </c>
      <c r="AU196" s="161">
        <f>IF(FW196="","",IF(ISNUMBER('Dvd Calendar'!$I$1965)=FALSE,"",'Dvd Calendar'!$I$1965))</f>
        <v/>
      </c>
      <c r="AV196" s="161">
        <f>IF(FX196="","",IF(ISNUMBER('Dvd Calendar'!$J$1965)=FALSE,"",'Dvd Calendar'!$J$1965))</f>
        <v/>
      </c>
      <c r="AW196" s="161">
        <f>IF(FY196="","",IF(ISNUMBER('Dvd Calendar'!$K$1965)=FALSE,"",'Dvd Calendar'!$K$1965))</f>
        <v/>
      </c>
      <c r="AX196" s="161">
        <f>IF(FZ196="","",IF(ISNUMBER('Dvd Calendar'!$L$1965)=FALSE,"",'Dvd Calendar'!$L$1965))</f>
        <v/>
      </c>
      <c r="AY196" s="161">
        <f>IF(GA196="","",IF(ISNUMBER('Dvd Calendar'!$M$1965)=FALSE,"",'Dvd Calendar'!$M$1965))</f>
        <v/>
      </c>
      <c r="AZ196" s="161">
        <f>IF(GB196="","",IF(ISNUMBER('Dvd Calendar'!$N$1965)=FALSE,"",'Dvd Calendar'!$N$1965))</f>
        <v/>
      </c>
      <c r="BA196" s="161">
        <f>IF(GC196="","",IF(ISNUMBER('Dvd Calendar'!$O$1965)=FALSE,"",'Dvd Calendar'!$O$1965))</f>
        <v/>
      </c>
      <c r="BB196" s="161">
        <f>IF(GD196="","",IF(ISNUMBER('Dvd Calendar'!$P$1965)=FALSE,"",'Dvd Calendar'!$P$1965))</f>
        <v/>
      </c>
      <c r="BC196" s="161">
        <f>IF(GE196="","",IF(ISNUMBER('Dvd Calendar'!$Q$1965)=FALSE,"",'Dvd Calendar'!$Q$1965))</f>
        <v/>
      </c>
      <c r="BD196" s="161">
        <f>IF(GF196="","",IF(ISNUMBER('Dvd Calendar'!$R$1965)=FALSE,"",'Dvd Calendar'!$R$1965))</f>
        <v/>
      </c>
      <c r="BE196" s="161">
        <f>IF(GG196="","",IF(ISNUMBER('Dvd Calendar'!$S$1965)=FALSE,"",'Dvd Calendar'!$S$1965))</f>
        <v/>
      </c>
      <c r="BF196" s="161">
        <f>IF(GH196="","",IF(ISNUMBER('Dvd Calendar'!$T$1965)=FALSE,"",'Dvd Calendar'!$T$1965))</f>
        <v/>
      </c>
      <c r="BG196" s="161">
        <f>IF(GI196="","",IF(ISNUMBER('Dvd Calendar'!$U$1965)=FALSE,"",'Dvd Calendar'!$U$1965))</f>
        <v/>
      </c>
      <c r="BH196" s="161">
        <f>IF(GJ196="","",IF(ISNUMBER('Dvd Calendar'!$V$1965)=FALSE,"",'Dvd Calendar'!$V$1965))</f>
        <v/>
      </c>
      <c r="BI196" s="161">
        <f>IF(GK196="","",IF(ISNUMBER('Dvd Calendar'!$W$1965)=FALSE,"",'Dvd Calendar'!$W$1965))</f>
        <v/>
      </c>
      <c r="BJ196" s="161">
        <f>IF(GL196="","",IF(ISNUMBER('Dvd Calendar'!$X$1965)=FALSE,"",'Dvd Calendar'!$X$1965))</f>
        <v/>
      </c>
      <c r="BK196" s="161">
        <f>IF(GM196="","",IF(ISNUMBER('Dvd Calendar'!$Y$1965)=FALSE,"",'Dvd Calendar'!$Y$1965))</f>
        <v/>
      </c>
      <c r="BL196" s="161">
        <f>IF(GN196="","",IF(ISNUMBER('Dvd Calendar'!$Z$1965)=FALSE,"",'Dvd Calendar'!$Z$1965))</f>
        <v/>
      </c>
      <c r="BM196" s="161">
        <f>IF(GO196="","",IF(ISNUMBER('Dvd Calendar'!$AA$1965)=FALSE,"",'Dvd Calendar'!$AA$1965))</f>
        <v/>
      </c>
      <c r="BN196" s="161">
        <f>IF(GP196="","",IF(ISNUMBER('Dvd Calendar'!$AB$1965)=FALSE,"",'Dvd Calendar'!$AB$1965))</f>
        <v/>
      </c>
      <c r="BO196" s="161">
        <f>IF(GQ196="","",IF(ISNUMBER('Dvd Calendar'!$AC$1965)=FALSE,"",'Dvd Calendar'!$AC$1965))</f>
        <v/>
      </c>
      <c r="BQ196" s="161">
        <f>IF(C196="","",IFERROR(C196*HSCEI!$B$43*HSCEI!$G$43/HSCEI!$B$3,""))</f>
        <v/>
      </c>
      <c r="BR196" s="161">
        <f>IF(D196="","",IFERROR(D196*HSCEI!$B$43*HSCEI!$G$43/HSCEI!$B$3,""))</f>
        <v/>
      </c>
      <c r="BS196" s="161">
        <f>IF(E196="","",IFERROR(E196*HSCEI!$B$43*HSCEI!$G$43/HSCEI!$B$3,""))</f>
        <v/>
      </c>
      <c r="BT196" s="161">
        <f>IF(F196="","",IFERROR(F196*HSCEI!$B$43*HSCEI!$G$43/HSCEI!$B$3,""))</f>
        <v/>
      </c>
      <c r="BU196" s="161">
        <f>IF(G196="","",IFERROR(G196*HSCEI!$B$43*HSCEI!$G$43/HSCEI!$B$3,""))</f>
        <v/>
      </c>
      <c r="BV196" s="161">
        <f>IF(H196="","",IFERROR(H196*HSCEI!$B$43*HSCEI!$G$43/HSCEI!$B$3,""))</f>
        <v/>
      </c>
      <c r="BW196" s="161">
        <f>IF(I196="","",IFERROR(I196*HSCEI!$B$43*HSCEI!$G$43/HSCEI!$B$3,""))</f>
        <v/>
      </c>
      <c r="BX196" s="161">
        <f>IF(J196="","",IFERROR(J196*HSCEI!$B$43*HSCEI!$G$43/HSCEI!$B$3,""))</f>
        <v/>
      </c>
      <c r="BY196" s="161">
        <f>IF(K196="","",IFERROR(K196*HSCEI!$B$43*HSCEI!$G$43/HSCEI!$B$3,""))</f>
        <v/>
      </c>
      <c r="BZ196" s="161">
        <f>IF(L196="","",IFERROR(L196*HSCEI!$B$43*HSCEI!$G$43/HSCEI!$B$3,""))</f>
        <v/>
      </c>
      <c r="CA196" s="161">
        <f>IF(M196="","",IFERROR(M196*HSCEI!$B$43*HSCEI!$G$43/HSCEI!$B$3,""))</f>
        <v/>
      </c>
      <c r="CB196" s="161">
        <f>IF(N196="","",IFERROR(N196*HSCEI!$B$43*HSCEI!$G$43/HSCEI!$B$3,""))</f>
        <v/>
      </c>
      <c r="CC196" s="161">
        <f>IF(O196="","",IFERROR(O196*HSCEI!$B$43*HSCEI!$G$43/HSCEI!$B$3,""))</f>
        <v/>
      </c>
      <c r="CD196" s="161">
        <f>IF(P196="","",IFERROR(P196*HSCEI!$B$43*HSCEI!$G$43/HSCEI!$B$3,""))</f>
        <v/>
      </c>
      <c r="CE196" s="161">
        <f>IF(Q196="","",IFERROR(Q196*HSCEI!$B$43*HSCEI!$G$43/HSCEI!$B$3,""))</f>
        <v/>
      </c>
      <c r="CF196" s="161">
        <f>IF(R196="","",IFERROR(R196*HSCEI!$B$43*HSCEI!$G$43/HSCEI!$B$3,""))</f>
        <v/>
      </c>
      <c r="CG196" s="161">
        <f>IF(S196="","",IFERROR(S196*HSCEI!$B$43*HSCEI!$G$43/HSCEI!$B$3,""))</f>
        <v/>
      </c>
      <c r="CH196" s="161">
        <f>IF(T196="","",IFERROR(T196*HSCEI!$B$43*HSCEI!$G$43/HSCEI!$B$3,""))</f>
        <v/>
      </c>
      <c r="CI196" s="161">
        <f>IF(U196="","",IFERROR(U196*HSCEI!$B$43*HSCEI!$G$43/HSCEI!$B$3,""))</f>
        <v/>
      </c>
      <c r="CJ196" s="161">
        <f>IF(V196="","",IFERROR(V196*HSCEI!$B$43*HSCEI!$G$43/HSCEI!$B$3,""))</f>
        <v/>
      </c>
      <c r="CK196" s="161">
        <f>IF(W196="","",IFERROR(W196*HSCEI!$B$43*HSCEI!$G$43/HSCEI!$B$3,""))</f>
        <v/>
      </c>
      <c r="CL196" s="161">
        <f>IF(X196="","",IFERROR(X196*HSCEI!$B$43*HSCEI!$G$43/HSCEI!$B$3,""))</f>
        <v/>
      </c>
      <c r="CM196" s="161">
        <f>IF(Y196="","",IFERROR(Y196*HSCEI!$B$43*HSCEI!$G$43/HSCEI!$B$3,""))</f>
        <v/>
      </c>
      <c r="CN196" s="161">
        <f>IF(Z196="","",IFERROR(Z196*HSCEI!$B$43*HSCEI!$G$43/HSCEI!$B$3,""))</f>
        <v/>
      </c>
      <c r="CO196" s="161">
        <f>IF(AA196="","",IFERROR(AA196*HSCEI!$B$43*HSCEI!$G$43/HSCEI!$B$3,""))</f>
        <v/>
      </c>
      <c r="CP196" s="161">
        <f>IF(AB196="","",IFERROR(AB196*HSCEI!$B$43*HSCEI!$G$43/HSCEI!$B$3,""))</f>
        <v/>
      </c>
      <c r="CQ196" s="161">
        <f>IF(AC196="","",IFERROR(AC196*HSCEI!$B$43*HSCEI!$G$43/HSCEI!$B$3,""))</f>
        <v/>
      </c>
      <c r="CR196" s="161">
        <f>IF(AD196="","",IFERROR(AD196*HSCEI!$B$43*HSCEI!$G$43/HSCEI!$B$3,""))</f>
        <v/>
      </c>
      <c r="CS196" s="161">
        <f>IF(AE196="","",IFERROR(AE196*HSCEI!$B$43*HSCEI!$G$43/HSCEI!$B$3,""))</f>
        <v/>
      </c>
      <c r="CT196" s="161">
        <f>IF(AF196="","",IFERROR(AF196*HSCEI!$B$43*HSCEI!$G$43/HSCEI!$B$3,""))</f>
        <v/>
      </c>
      <c r="CU196" s="161">
        <f>IF(AG196="","",IFERROR(AG196*HSCEI!$B$43*HSCEI!$G$43/HSCEI!$B$3,""))</f>
        <v/>
      </c>
      <c r="CV196" s="161">
        <f>IF(AH196="","",IFERROR(AH196*HSCEI!$B$43*HSCEI!$G$43/HSCEI!$B$3,""))</f>
        <v/>
      </c>
      <c r="CW196" s="161">
        <f>IF(AI196="","",IFERROR(AI196*HSCEI!$B$43*HSCEI!$G$43/HSCEI!$B$3,""))</f>
        <v/>
      </c>
      <c r="CX196" s="161">
        <f>IF(AJ196="","",IFERROR(AJ196*HSCEI!$B$43*HSCEI!$G$43/HSCEI!$B$3,""))</f>
        <v/>
      </c>
      <c r="CY196" s="161">
        <f>IF(AK196="","",IFERROR(AK196*HSCEI!$B$43*HSCEI!$G$43/HSCEI!$B$3,""))</f>
        <v/>
      </c>
      <c r="CZ196" s="161">
        <f>IF(AL196="","",IFERROR(AL196*HSCEI!$B$43*HSCEI!$G$43/HSCEI!$B$3,""))</f>
        <v/>
      </c>
      <c r="DA196" s="161">
        <f>IF(AM196="","",IFERROR(AM196*HSCEI!$B$43*HSCEI!$G$43/HSCEI!$B$3,""))</f>
        <v/>
      </c>
      <c r="DB196" s="161">
        <f>IF(AN196="","",IFERROR(AN196*HSCEI!$B$43*HSCEI!$G$43/HSCEI!$B$3,""))</f>
        <v/>
      </c>
      <c r="DC196" s="161">
        <f>IF(AO196="","",IFERROR(AO196*HSCEI!$B$43*HSCEI!$G$43/HSCEI!$B$3,""))</f>
        <v/>
      </c>
      <c r="DD196" s="161">
        <f>IF(AP196="","",IFERROR(AP196*HSCEI!$B$43*HSCEI!$G$43/HSCEI!$B$3,""))</f>
        <v/>
      </c>
      <c r="DE196" s="161">
        <f>IF(AQ196="","",IFERROR(AQ196*HSCEI!$B$43*HSCEI!$G$43/HSCEI!$B$3,""))</f>
        <v/>
      </c>
      <c r="DF196" s="161">
        <f>IF(AR196="","",IFERROR(AR196*HSCEI!$B$43*HSCEI!$G$43/HSCEI!$B$3,""))</f>
        <v/>
      </c>
      <c r="DG196" s="161">
        <f>IF(AS196="","",IFERROR(AS196*HSCEI!$B$43*HSCEI!$G$43/HSCEI!$B$3,""))</f>
        <v/>
      </c>
      <c r="DH196" s="161">
        <f>IF(AT196="","",IFERROR(AT196*HSCEI!$B$43*HSCEI!$G$43/HSCEI!$B$3,""))</f>
        <v/>
      </c>
      <c r="DI196" s="161">
        <f>IF(AU196="","",IFERROR(AU196*HSCEI!$B$43*HSCEI!$G$43/HSCEI!$B$3,""))</f>
        <v/>
      </c>
      <c r="DJ196" s="161">
        <f>IF(AV196="","",IFERROR(AV196*HSCEI!$B$43*HSCEI!$G$43/HSCEI!$B$3,""))</f>
        <v/>
      </c>
      <c r="DK196" s="161">
        <f>IF(AW196="","",IFERROR(AW196*HSCEI!$B$43*HSCEI!$G$43/HSCEI!$B$3,""))</f>
        <v/>
      </c>
      <c r="DL196" s="161">
        <f>IF(AX196="","",IFERROR(AX196*HSCEI!$B$43*HSCEI!$G$43/HSCEI!$B$3,""))</f>
        <v/>
      </c>
      <c r="DM196" s="161">
        <f>IF(AY196="","",IFERROR(AY196*HSCEI!$B$43*HSCEI!$G$43/HSCEI!$B$3,""))</f>
        <v/>
      </c>
      <c r="DN196" s="161">
        <f>IF(AZ196="","",IFERROR(AZ196*HSCEI!$B$43*HSCEI!$G$43/HSCEI!$B$3,""))</f>
        <v/>
      </c>
      <c r="DO196" s="161">
        <f>IF(BA196="","",IFERROR(BA196*HSCEI!$B$43*HSCEI!$G$43/HSCEI!$B$3,""))</f>
        <v/>
      </c>
      <c r="DP196" s="161">
        <f>IF(BB196="","",IFERROR(BB196*HSCEI!$B$43*HSCEI!$G$43/HSCEI!$B$3,""))</f>
        <v/>
      </c>
      <c r="DQ196" s="161">
        <f>IF(BC196="","",IFERROR(BC196*HSCEI!$B$43*HSCEI!$G$43/HSCEI!$B$3,""))</f>
        <v/>
      </c>
      <c r="DR196" s="161">
        <f>IF(BD196="","",IFERROR(BD196*HSCEI!$B$43*HSCEI!$G$43/HSCEI!$B$3,""))</f>
        <v/>
      </c>
      <c r="DS196" s="161">
        <f>IF(BE196="","",IFERROR(BE196*HSCEI!$B$43*HSCEI!$G$43/HSCEI!$B$3,""))</f>
        <v/>
      </c>
      <c r="DT196" s="161">
        <f>IF(BF196="","",IFERROR(BF196*HSCEI!$B$43*HSCEI!$G$43/HSCEI!$B$3,""))</f>
        <v/>
      </c>
      <c r="DU196" s="161">
        <f>IF(BG196="","",IFERROR(BG196*HSCEI!$B$43*HSCEI!$G$43/HSCEI!$B$3,""))</f>
        <v/>
      </c>
      <c r="DV196" s="161">
        <f>IF(BH196="","",IFERROR(BH196*HSCEI!$B$43*HSCEI!$G$43/HSCEI!$B$3,""))</f>
        <v/>
      </c>
      <c r="DW196" s="161">
        <f>IF(BI196="","",IFERROR(BI196*HSCEI!$B$43*HSCEI!$G$43/HSCEI!$B$3,""))</f>
        <v/>
      </c>
      <c r="DX196" s="161">
        <f>IF(BJ196="","",IFERROR(BJ196*HSCEI!$B$43*HSCEI!$G$43/HSCEI!$B$3,""))</f>
        <v/>
      </c>
      <c r="DY196" s="161">
        <f>IF(BK196="","",IFERROR(BK196*HSCEI!$B$43*HSCEI!$G$43/HSCEI!$B$3,""))</f>
        <v/>
      </c>
      <c r="DZ196" s="161">
        <f>IF(BL196="","",IFERROR(BL196*HSCEI!$B$43*HSCEI!$G$43/HSCEI!$B$3,""))</f>
        <v/>
      </c>
      <c r="EA196" s="161">
        <f>IF(BM196="","",IFERROR(BM196*HSCEI!$B$43*HSCEI!$G$43/HSCEI!$B$3,""))</f>
        <v/>
      </c>
      <c r="EB196" s="161">
        <f>IF(BN196="","",IFERROR(BN196*HSCEI!$B$43*HSCEI!$G$43/HSCEI!$B$3,""))</f>
        <v/>
      </c>
      <c r="EC196" s="161">
        <f>IF(BO196="","",IFERROR(BO196*HSCEI!$B$43*HSCEI!$G$43/HSCEI!$B$3,""))</f>
        <v/>
      </c>
      <c r="EE196" s="121">
        <f>IF(N('Dvd Calendar'!$E$1957)=0,"",IF(('Dvd Calendar'!$E$1957&gt;=GRID_FROM)*('Dvd Calendar'!$E$1957&lt;=GRID_TO)*((('Dvd Calendar'!$E$1957&lt;=VAL_DATE)+(COUNTIF('Dvd Calendar'!$E$1964:$AR$1964,'Dvd Calendar'!$E$1957)=0))&gt;0)=0,"",'Dvd Calendar'!$E$1957*1000000000+ISNUMBER('Dvd Calendar'!$E$1960)*100000000+('Dvd Calendar'!$E$1962=SPECIAL_LBL)*10000000+(N('Dvd Calendar'!$E$1956)&gt;0)*(N('Dvd Calendar'!$E$1956)&lt;=VAL_SERIAL)*1000000+37*1000+1))</f>
        <v/>
      </c>
      <c r="EF196" s="121">
        <f>IF(N('Dvd Calendar'!$F$1957)=0,"",IF(('Dvd Calendar'!$F$1957&gt;=GRID_FROM)*('Dvd Calendar'!$F$1957&lt;=GRID_TO)*((('Dvd Calendar'!$F$1957&lt;=VAL_DATE)+(COUNTIF('Dvd Calendar'!$E$1964:$AR$1964,'Dvd Calendar'!$F$1957)=0))&gt;0)=0,"",'Dvd Calendar'!$F$1957*1000000000+ISNUMBER('Dvd Calendar'!$F$1960)*100000000+('Dvd Calendar'!$F$1962=SPECIAL_LBL)*10000000+(N('Dvd Calendar'!$F$1956)&gt;0)*(N('Dvd Calendar'!$F$1956)&lt;=VAL_SERIAL)*1000000+37*1000+2))</f>
        <v/>
      </c>
      <c r="EG196" s="121">
        <f>IF(N('Dvd Calendar'!$G$1957)=0,"",IF(('Dvd Calendar'!$G$1957&gt;=GRID_FROM)*('Dvd Calendar'!$G$1957&lt;=GRID_TO)*((('Dvd Calendar'!$G$1957&lt;=VAL_DATE)+(COUNTIF('Dvd Calendar'!$E$1964:$AR$1964,'Dvd Calendar'!$G$1957)=0))&gt;0)=0,"",'Dvd Calendar'!$G$1957*1000000000+ISNUMBER('Dvd Calendar'!$G$1960)*100000000+('Dvd Calendar'!$G$1962=SPECIAL_LBL)*10000000+(N('Dvd Calendar'!$G$1956)&gt;0)*(N('Dvd Calendar'!$G$1956)&lt;=VAL_SERIAL)*1000000+37*1000+3))</f>
        <v/>
      </c>
      <c r="EH196" s="121">
        <f>IF(N('Dvd Calendar'!$H$1957)=0,"",IF(('Dvd Calendar'!$H$1957&gt;=GRID_FROM)*('Dvd Calendar'!$H$1957&lt;=GRID_TO)*((('Dvd Calendar'!$H$1957&lt;=VAL_DATE)+(COUNTIF('Dvd Calendar'!$E$1964:$AR$1964,'Dvd Calendar'!$H$1957)=0))&gt;0)=0,"",'Dvd Calendar'!$H$1957*1000000000+ISNUMBER('Dvd Calendar'!$H$1960)*100000000+('Dvd Calendar'!$H$1962=SPECIAL_LBL)*10000000+(N('Dvd Calendar'!$H$1956)&gt;0)*(N('Dvd Calendar'!$H$1956)&lt;=VAL_SERIAL)*1000000+37*1000+4))</f>
        <v/>
      </c>
      <c r="EI196" s="121">
        <f>IF(N('Dvd Calendar'!$I$1957)=0,"",IF(('Dvd Calendar'!$I$1957&gt;=GRID_FROM)*('Dvd Calendar'!$I$1957&lt;=GRID_TO)*((('Dvd Calendar'!$I$1957&lt;=VAL_DATE)+(COUNTIF('Dvd Calendar'!$E$1964:$AR$1964,'Dvd Calendar'!$I$1957)=0))&gt;0)=0,"",'Dvd Calendar'!$I$1957*1000000000+ISNUMBER('Dvd Calendar'!$I$1960)*100000000+('Dvd Calendar'!$I$1962=SPECIAL_LBL)*10000000+(N('Dvd Calendar'!$I$1956)&gt;0)*(N('Dvd Calendar'!$I$1956)&lt;=VAL_SERIAL)*1000000+37*1000+5))</f>
        <v/>
      </c>
      <c r="EJ196" s="121">
        <f>IF(N('Dvd Calendar'!$J$1957)=0,"",IF(('Dvd Calendar'!$J$1957&gt;=GRID_FROM)*('Dvd Calendar'!$J$1957&lt;=GRID_TO)*((('Dvd Calendar'!$J$1957&lt;=VAL_DATE)+(COUNTIF('Dvd Calendar'!$E$1964:$AR$1964,'Dvd Calendar'!$J$1957)=0))&gt;0)=0,"",'Dvd Calendar'!$J$1957*1000000000+ISNUMBER('Dvd Calendar'!$J$1960)*100000000+('Dvd Calendar'!$J$1962=SPECIAL_LBL)*10000000+(N('Dvd Calendar'!$J$1956)&gt;0)*(N('Dvd Calendar'!$J$1956)&lt;=VAL_SERIAL)*1000000+37*1000+6))</f>
        <v/>
      </c>
      <c r="EK196" s="121">
        <f>IF(N('Dvd Calendar'!$K$1957)=0,"",IF(('Dvd Calendar'!$K$1957&gt;=GRID_FROM)*('Dvd Calendar'!$K$1957&lt;=GRID_TO)*((('Dvd Calendar'!$K$1957&lt;=VAL_DATE)+(COUNTIF('Dvd Calendar'!$E$1964:$AR$1964,'Dvd Calendar'!$K$1957)=0))&gt;0)=0,"",'Dvd Calendar'!$K$1957*1000000000+ISNUMBER('Dvd Calendar'!$K$1960)*100000000+('Dvd Calendar'!$K$1962=SPECIAL_LBL)*10000000+(N('Dvd Calendar'!$K$1956)&gt;0)*(N('Dvd Calendar'!$K$1956)&lt;=VAL_SERIAL)*1000000+37*1000+7))</f>
        <v/>
      </c>
      <c r="EL196" s="121">
        <f>IF(N('Dvd Calendar'!$L$1957)=0,"",IF(('Dvd Calendar'!$L$1957&gt;=GRID_FROM)*('Dvd Calendar'!$L$1957&lt;=GRID_TO)*((('Dvd Calendar'!$L$1957&lt;=VAL_DATE)+(COUNTIF('Dvd Calendar'!$E$1964:$AR$1964,'Dvd Calendar'!$L$1957)=0))&gt;0)=0,"",'Dvd Calendar'!$L$1957*1000000000+ISNUMBER('Dvd Calendar'!$L$1960)*100000000+('Dvd Calendar'!$L$1962=SPECIAL_LBL)*10000000+(N('Dvd Calendar'!$L$1956)&gt;0)*(N('Dvd Calendar'!$L$1956)&lt;=VAL_SERIAL)*1000000+37*1000+8))</f>
        <v/>
      </c>
      <c r="EM196" s="121">
        <f>IF(N('Dvd Calendar'!$M$1957)=0,"",IF(('Dvd Calendar'!$M$1957&gt;=GRID_FROM)*('Dvd Calendar'!$M$1957&lt;=GRID_TO)*((('Dvd Calendar'!$M$1957&lt;=VAL_DATE)+(COUNTIF('Dvd Calendar'!$E$1964:$AR$1964,'Dvd Calendar'!$M$1957)=0))&gt;0)=0,"",'Dvd Calendar'!$M$1957*1000000000+ISNUMBER('Dvd Calendar'!$M$1960)*100000000+('Dvd Calendar'!$M$1962=SPECIAL_LBL)*10000000+(N('Dvd Calendar'!$M$1956)&gt;0)*(N('Dvd Calendar'!$M$1956)&lt;=VAL_SERIAL)*1000000+37*1000+9))</f>
        <v/>
      </c>
      <c r="EN196" s="121">
        <f>IF(N('Dvd Calendar'!$N$1957)=0,"",IF(('Dvd Calendar'!$N$1957&gt;=GRID_FROM)*('Dvd Calendar'!$N$1957&lt;=GRID_TO)*((('Dvd Calendar'!$N$1957&lt;=VAL_DATE)+(COUNTIF('Dvd Calendar'!$E$1964:$AR$1964,'Dvd Calendar'!$N$1957)=0))&gt;0)=0,"",'Dvd Calendar'!$N$1957*1000000000+ISNUMBER('Dvd Calendar'!$N$1960)*100000000+('Dvd Calendar'!$N$1962=SPECIAL_LBL)*10000000+(N('Dvd Calendar'!$N$1956)&gt;0)*(N('Dvd Calendar'!$N$1956)&lt;=VAL_SERIAL)*1000000+37*1000+10))</f>
        <v/>
      </c>
      <c r="EO196" s="121">
        <f>IF(N('Dvd Calendar'!$O$1957)=0,"",IF(('Dvd Calendar'!$O$1957&gt;=GRID_FROM)*('Dvd Calendar'!$O$1957&lt;=GRID_TO)*((('Dvd Calendar'!$O$1957&lt;=VAL_DATE)+(COUNTIF('Dvd Calendar'!$E$1964:$AR$1964,'Dvd Calendar'!$O$1957)=0))&gt;0)=0,"",'Dvd Calendar'!$O$1957*1000000000+ISNUMBER('Dvd Calendar'!$O$1960)*100000000+('Dvd Calendar'!$O$1962=SPECIAL_LBL)*10000000+(N('Dvd Calendar'!$O$1956)&gt;0)*(N('Dvd Calendar'!$O$1956)&lt;=VAL_SERIAL)*1000000+37*1000+11))</f>
        <v/>
      </c>
      <c r="EP196" s="121">
        <f>IF(N('Dvd Calendar'!$P$1957)=0,"",IF(('Dvd Calendar'!$P$1957&gt;=GRID_FROM)*('Dvd Calendar'!$P$1957&lt;=GRID_TO)*((('Dvd Calendar'!$P$1957&lt;=VAL_DATE)+(COUNTIF('Dvd Calendar'!$E$1964:$AR$1964,'Dvd Calendar'!$P$1957)=0))&gt;0)=0,"",'Dvd Calendar'!$P$1957*1000000000+ISNUMBER('Dvd Calendar'!$P$1960)*100000000+('Dvd Calendar'!$P$1962=SPECIAL_LBL)*10000000+(N('Dvd Calendar'!$P$1956)&gt;0)*(N('Dvd Calendar'!$P$1956)&lt;=VAL_SERIAL)*1000000+37*1000+12))</f>
        <v/>
      </c>
      <c r="EQ196" s="121">
        <f>IF(N('Dvd Calendar'!$Q$1957)=0,"",IF(('Dvd Calendar'!$Q$1957&gt;=GRID_FROM)*('Dvd Calendar'!$Q$1957&lt;=GRID_TO)*((('Dvd Calendar'!$Q$1957&lt;=VAL_DATE)+(COUNTIF('Dvd Calendar'!$E$1964:$AR$1964,'Dvd Calendar'!$Q$1957)=0))&gt;0)=0,"",'Dvd Calendar'!$Q$1957*1000000000+ISNUMBER('Dvd Calendar'!$Q$1960)*100000000+('Dvd Calendar'!$Q$1962=SPECIAL_LBL)*10000000+(N('Dvd Calendar'!$Q$1956)&gt;0)*(N('Dvd Calendar'!$Q$1956)&lt;=VAL_SERIAL)*1000000+37*1000+13))</f>
        <v/>
      </c>
      <c r="ER196" s="121">
        <f>IF(N('Dvd Calendar'!$R$1957)=0,"",IF(('Dvd Calendar'!$R$1957&gt;=GRID_FROM)*('Dvd Calendar'!$R$1957&lt;=GRID_TO)*((('Dvd Calendar'!$R$1957&lt;=VAL_DATE)+(COUNTIF('Dvd Calendar'!$E$1964:$AR$1964,'Dvd Calendar'!$R$1957)=0))&gt;0)=0,"",'Dvd Calendar'!$R$1957*1000000000+ISNUMBER('Dvd Calendar'!$R$1960)*100000000+('Dvd Calendar'!$R$1962=SPECIAL_LBL)*10000000+(N('Dvd Calendar'!$R$1956)&gt;0)*(N('Dvd Calendar'!$R$1956)&lt;=VAL_SERIAL)*1000000+37*1000+14))</f>
        <v/>
      </c>
      <c r="ES196" s="121">
        <f>IF(N('Dvd Calendar'!$S$1957)=0,"",IF(('Dvd Calendar'!$S$1957&gt;=GRID_FROM)*('Dvd Calendar'!$S$1957&lt;=GRID_TO)*((('Dvd Calendar'!$S$1957&lt;=VAL_DATE)+(COUNTIF('Dvd Calendar'!$E$1964:$AR$1964,'Dvd Calendar'!$S$1957)=0))&gt;0)=0,"",'Dvd Calendar'!$S$1957*1000000000+ISNUMBER('Dvd Calendar'!$S$1960)*100000000+('Dvd Calendar'!$S$1962=SPECIAL_LBL)*10000000+(N('Dvd Calendar'!$S$1956)&gt;0)*(N('Dvd Calendar'!$S$1956)&lt;=VAL_SERIAL)*1000000+37*1000+15))</f>
        <v/>
      </c>
      <c r="ET196" s="121">
        <f>IF(N('Dvd Calendar'!$T$1957)=0,"",IF(('Dvd Calendar'!$T$1957&gt;=GRID_FROM)*('Dvd Calendar'!$T$1957&lt;=GRID_TO)*((('Dvd Calendar'!$T$1957&lt;=VAL_DATE)+(COUNTIF('Dvd Calendar'!$E$1964:$AR$1964,'Dvd Calendar'!$T$1957)=0))&gt;0)=0,"",'Dvd Calendar'!$T$1957*1000000000+ISNUMBER('Dvd Calendar'!$T$1960)*100000000+('Dvd Calendar'!$T$1962=SPECIAL_LBL)*10000000+(N('Dvd Calendar'!$T$1956)&gt;0)*(N('Dvd Calendar'!$T$1956)&lt;=VAL_SERIAL)*1000000+37*1000+16))</f>
        <v/>
      </c>
      <c r="EU196" s="121">
        <f>IF(N('Dvd Calendar'!$U$1957)=0,"",IF(('Dvd Calendar'!$U$1957&gt;=GRID_FROM)*('Dvd Calendar'!$U$1957&lt;=GRID_TO)*((('Dvd Calendar'!$U$1957&lt;=VAL_DATE)+(COUNTIF('Dvd Calendar'!$E$1964:$AR$1964,'Dvd Calendar'!$U$1957)=0))&gt;0)=0,"",'Dvd Calendar'!$U$1957*1000000000+ISNUMBER('Dvd Calendar'!$U$1960)*100000000+('Dvd Calendar'!$U$1962=SPECIAL_LBL)*10000000+(N('Dvd Calendar'!$U$1956)&gt;0)*(N('Dvd Calendar'!$U$1956)&lt;=VAL_SERIAL)*1000000+37*1000+17))</f>
        <v/>
      </c>
      <c r="EV196" s="121">
        <f>IF(N('Dvd Calendar'!$V$1957)=0,"",IF(('Dvd Calendar'!$V$1957&gt;=GRID_FROM)*('Dvd Calendar'!$V$1957&lt;=GRID_TO)*((('Dvd Calendar'!$V$1957&lt;=VAL_DATE)+(COUNTIF('Dvd Calendar'!$E$1964:$AR$1964,'Dvd Calendar'!$V$1957)=0))&gt;0)=0,"",'Dvd Calendar'!$V$1957*1000000000+ISNUMBER('Dvd Calendar'!$V$1960)*100000000+('Dvd Calendar'!$V$1962=SPECIAL_LBL)*10000000+(N('Dvd Calendar'!$V$1956)&gt;0)*(N('Dvd Calendar'!$V$1956)&lt;=VAL_SERIAL)*1000000+37*1000+18))</f>
        <v/>
      </c>
      <c r="EW196" s="121">
        <f>IF(N('Dvd Calendar'!$W$1957)=0,"",IF(('Dvd Calendar'!$W$1957&gt;=GRID_FROM)*('Dvd Calendar'!$W$1957&lt;=GRID_TO)*((('Dvd Calendar'!$W$1957&lt;=VAL_DATE)+(COUNTIF('Dvd Calendar'!$E$1964:$AR$1964,'Dvd Calendar'!$W$1957)=0))&gt;0)=0,"",'Dvd Calendar'!$W$1957*1000000000+ISNUMBER('Dvd Calendar'!$W$1960)*100000000+('Dvd Calendar'!$W$1962=SPECIAL_LBL)*10000000+(N('Dvd Calendar'!$W$1956)&gt;0)*(N('Dvd Calendar'!$W$1956)&lt;=VAL_SERIAL)*1000000+37*1000+19))</f>
        <v/>
      </c>
      <c r="EX196" s="121">
        <f>IF(N('Dvd Calendar'!$X$1957)=0,"",IF(('Dvd Calendar'!$X$1957&gt;=GRID_FROM)*('Dvd Calendar'!$X$1957&lt;=GRID_TO)*((('Dvd Calendar'!$X$1957&lt;=VAL_DATE)+(COUNTIF('Dvd Calendar'!$E$1964:$AR$1964,'Dvd Calendar'!$X$1957)=0))&gt;0)=0,"",'Dvd Calendar'!$X$1957*1000000000+ISNUMBER('Dvd Calendar'!$X$1960)*100000000+('Dvd Calendar'!$X$1962=SPECIAL_LBL)*10000000+(N('Dvd Calendar'!$X$1956)&gt;0)*(N('Dvd Calendar'!$X$1956)&lt;=VAL_SERIAL)*1000000+37*1000+20))</f>
        <v/>
      </c>
      <c r="EY196" s="121">
        <f>IF(N('Dvd Calendar'!$Y$1957)=0,"",IF(('Dvd Calendar'!$Y$1957&gt;=GRID_FROM)*('Dvd Calendar'!$Y$1957&lt;=GRID_TO)*((('Dvd Calendar'!$Y$1957&lt;=VAL_DATE)+(COUNTIF('Dvd Calendar'!$E$1964:$AR$1964,'Dvd Calendar'!$Y$1957)=0))&gt;0)=0,"",'Dvd Calendar'!$Y$1957*1000000000+ISNUMBER('Dvd Calendar'!$Y$1960)*100000000+('Dvd Calendar'!$Y$1962=SPECIAL_LBL)*10000000+(N('Dvd Calendar'!$Y$1956)&gt;0)*(N('Dvd Calendar'!$Y$1956)&lt;=VAL_SERIAL)*1000000+37*1000+21))</f>
        <v/>
      </c>
      <c r="EZ196" s="121">
        <f>IF(N('Dvd Calendar'!$Z$1957)=0,"",IF(('Dvd Calendar'!$Z$1957&gt;=GRID_FROM)*('Dvd Calendar'!$Z$1957&lt;=GRID_TO)*((('Dvd Calendar'!$Z$1957&lt;=VAL_DATE)+(COUNTIF('Dvd Calendar'!$E$1964:$AR$1964,'Dvd Calendar'!$Z$1957)=0))&gt;0)=0,"",'Dvd Calendar'!$Z$1957*1000000000+ISNUMBER('Dvd Calendar'!$Z$1960)*100000000+('Dvd Calendar'!$Z$1962=SPECIAL_LBL)*10000000+(N('Dvd Calendar'!$Z$1956)&gt;0)*(N('Dvd Calendar'!$Z$1956)&lt;=VAL_SERIAL)*1000000+37*1000+22))</f>
        <v/>
      </c>
      <c r="FA196" s="121">
        <f>IF(N('Dvd Calendar'!$AA$1957)=0,"",IF(('Dvd Calendar'!$AA$1957&gt;=GRID_FROM)*('Dvd Calendar'!$AA$1957&lt;=GRID_TO)*((('Dvd Calendar'!$AA$1957&lt;=VAL_DATE)+(COUNTIF('Dvd Calendar'!$E$1964:$AR$1964,'Dvd Calendar'!$AA$1957)=0))&gt;0)=0,"",'Dvd Calendar'!$AA$1957*1000000000+ISNUMBER('Dvd Calendar'!$AA$1960)*100000000+('Dvd Calendar'!$AA$1962=SPECIAL_LBL)*10000000+(N('Dvd Calendar'!$AA$1956)&gt;0)*(N('Dvd Calendar'!$AA$1956)&lt;=VAL_SERIAL)*1000000+37*1000+23))</f>
        <v/>
      </c>
      <c r="FB196" s="121">
        <f>IF(N('Dvd Calendar'!$AB$1957)=0,"",IF(('Dvd Calendar'!$AB$1957&gt;=GRID_FROM)*('Dvd Calendar'!$AB$1957&lt;=GRID_TO)*((('Dvd Calendar'!$AB$1957&lt;=VAL_DATE)+(COUNTIF('Dvd Calendar'!$E$1964:$AR$1964,'Dvd Calendar'!$AB$1957)=0))&gt;0)=0,"",'Dvd Calendar'!$AB$1957*1000000000+ISNUMBER('Dvd Calendar'!$AB$1960)*100000000+('Dvd Calendar'!$AB$1962=SPECIAL_LBL)*10000000+(N('Dvd Calendar'!$AB$1956)&gt;0)*(N('Dvd Calendar'!$AB$1956)&lt;=VAL_SERIAL)*1000000+37*1000+24))</f>
        <v/>
      </c>
      <c r="FC196" s="121">
        <f>IF(N('Dvd Calendar'!$AC$1957)=0,"",IF(('Dvd Calendar'!$AC$1957&gt;=GRID_FROM)*('Dvd Calendar'!$AC$1957&lt;=GRID_TO)*((('Dvd Calendar'!$AC$1957&lt;=VAL_DATE)+(COUNTIF('Dvd Calendar'!$E$1964:$AR$1964,'Dvd Calendar'!$AC$1957)=0))&gt;0)=0,"",'Dvd Calendar'!$AC$1957*1000000000+ISNUMBER('Dvd Calendar'!$AC$1960)*100000000+('Dvd Calendar'!$AC$1962=SPECIAL_LBL)*10000000+(N('Dvd Calendar'!$AC$1956)&gt;0)*(N('Dvd Calendar'!$AC$1956)&lt;=VAL_SERIAL)*1000000+37*1000+25))</f>
        <v/>
      </c>
      <c r="FD196" s="121">
        <f>IF(N('Dvd Calendar'!$AD$1957)=0,"",IF(('Dvd Calendar'!$AD$1957&gt;=GRID_FROM)*('Dvd Calendar'!$AD$1957&lt;=GRID_TO)*((('Dvd Calendar'!$AD$1957&lt;=VAL_DATE)+(COUNTIF('Dvd Calendar'!$E$1964:$AR$1964,'Dvd Calendar'!$AD$1957)=0))&gt;0)=0,"",'Dvd Calendar'!$AD$1957*1000000000+ISNUMBER('Dvd Calendar'!$AD$1960)*100000000+('Dvd Calendar'!$AD$1962=SPECIAL_LBL)*10000000+(N('Dvd Calendar'!$AD$1956)&gt;0)*(N('Dvd Calendar'!$AD$1956)&lt;=VAL_SERIAL)*1000000+37*1000+26))</f>
        <v/>
      </c>
      <c r="FE196" s="121">
        <f>IF(N('Dvd Calendar'!$AE$1957)=0,"",IF(('Dvd Calendar'!$AE$1957&gt;=GRID_FROM)*('Dvd Calendar'!$AE$1957&lt;=GRID_TO)*((('Dvd Calendar'!$AE$1957&lt;=VAL_DATE)+(COUNTIF('Dvd Calendar'!$E$1964:$AR$1964,'Dvd Calendar'!$AE$1957)=0))&gt;0)=0,"",'Dvd Calendar'!$AE$1957*1000000000+ISNUMBER('Dvd Calendar'!$AE$1960)*100000000+('Dvd Calendar'!$AE$1962=SPECIAL_LBL)*10000000+(N('Dvd Calendar'!$AE$1956)&gt;0)*(N('Dvd Calendar'!$AE$1956)&lt;=VAL_SERIAL)*1000000+37*1000+27))</f>
        <v/>
      </c>
      <c r="FF196" s="121">
        <f>IF(N('Dvd Calendar'!$AF$1957)=0,"",IF(('Dvd Calendar'!$AF$1957&gt;=GRID_FROM)*('Dvd Calendar'!$AF$1957&lt;=GRID_TO)*((('Dvd Calendar'!$AF$1957&lt;=VAL_DATE)+(COUNTIF('Dvd Calendar'!$E$1964:$AR$1964,'Dvd Calendar'!$AF$1957)=0))&gt;0)=0,"",'Dvd Calendar'!$AF$1957*1000000000+ISNUMBER('Dvd Calendar'!$AF$1960)*100000000+('Dvd Calendar'!$AF$1962=SPECIAL_LBL)*10000000+(N('Dvd Calendar'!$AF$1956)&gt;0)*(N('Dvd Calendar'!$AF$1956)&lt;=VAL_SERIAL)*1000000+37*1000+28))</f>
        <v/>
      </c>
      <c r="FG196" s="121">
        <f>IF(N('Dvd Calendar'!$AG$1957)=0,"",IF(('Dvd Calendar'!$AG$1957&gt;=GRID_FROM)*('Dvd Calendar'!$AG$1957&lt;=GRID_TO)*((('Dvd Calendar'!$AG$1957&lt;=VAL_DATE)+(COUNTIF('Dvd Calendar'!$E$1964:$AR$1964,'Dvd Calendar'!$AG$1957)=0))&gt;0)=0,"",'Dvd Calendar'!$AG$1957*1000000000+ISNUMBER('Dvd Calendar'!$AG$1960)*100000000+('Dvd Calendar'!$AG$1962=SPECIAL_LBL)*10000000+(N('Dvd Calendar'!$AG$1956)&gt;0)*(N('Dvd Calendar'!$AG$1956)&lt;=VAL_SERIAL)*1000000+37*1000+29))</f>
        <v/>
      </c>
      <c r="FH196" s="121">
        <f>IF(N('Dvd Calendar'!$AH$1957)=0,"",IF(('Dvd Calendar'!$AH$1957&gt;=GRID_FROM)*('Dvd Calendar'!$AH$1957&lt;=GRID_TO)*((('Dvd Calendar'!$AH$1957&lt;=VAL_DATE)+(COUNTIF('Dvd Calendar'!$E$1964:$AR$1964,'Dvd Calendar'!$AH$1957)=0))&gt;0)=0,"",'Dvd Calendar'!$AH$1957*1000000000+ISNUMBER('Dvd Calendar'!$AH$1960)*100000000+('Dvd Calendar'!$AH$1962=SPECIAL_LBL)*10000000+(N('Dvd Calendar'!$AH$1956)&gt;0)*(N('Dvd Calendar'!$AH$1956)&lt;=VAL_SERIAL)*1000000+37*1000+30))</f>
        <v/>
      </c>
      <c r="FI196" s="121">
        <f>IF(N('Dvd Calendar'!$AI$1957)=0,"",IF(('Dvd Calendar'!$AI$1957&gt;=GRID_FROM)*('Dvd Calendar'!$AI$1957&lt;=GRID_TO)*((('Dvd Calendar'!$AI$1957&lt;=VAL_DATE)+(COUNTIF('Dvd Calendar'!$E$1964:$AR$1964,'Dvd Calendar'!$AI$1957)=0))&gt;0)=0,"",'Dvd Calendar'!$AI$1957*1000000000+ISNUMBER('Dvd Calendar'!$AI$1960)*100000000+('Dvd Calendar'!$AI$1962=SPECIAL_LBL)*10000000+(N('Dvd Calendar'!$AI$1956)&gt;0)*(N('Dvd Calendar'!$AI$1956)&lt;=VAL_SERIAL)*1000000+37*1000+31))</f>
        <v/>
      </c>
      <c r="FJ196" s="121">
        <f>IF(N('Dvd Calendar'!$AJ$1957)=0,"",IF(('Dvd Calendar'!$AJ$1957&gt;=GRID_FROM)*('Dvd Calendar'!$AJ$1957&lt;=GRID_TO)*((('Dvd Calendar'!$AJ$1957&lt;=VAL_DATE)+(COUNTIF('Dvd Calendar'!$E$1964:$AR$1964,'Dvd Calendar'!$AJ$1957)=0))&gt;0)=0,"",'Dvd Calendar'!$AJ$1957*1000000000+ISNUMBER('Dvd Calendar'!$AJ$1960)*100000000+('Dvd Calendar'!$AJ$1962=SPECIAL_LBL)*10000000+(N('Dvd Calendar'!$AJ$1956)&gt;0)*(N('Dvd Calendar'!$AJ$1956)&lt;=VAL_SERIAL)*1000000+37*1000+32))</f>
        <v/>
      </c>
      <c r="FK196" s="121">
        <f>IF(N('Dvd Calendar'!$AK$1957)=0,"",IF(('Dvd Calendar'!$AK$1957&gt;=GRID_FROM)*('Dvd Calendar'!$AK$1957&lt;=GRID_TO)*((('Dvd Calendar'!$AK$1957&lt;=VAL_DATE)+(COUNTIF('Dvd Calendar'!$E$1964:$AR$1964,'Dvd Calendar'!$AK$1957)=0))&gt;0)=0,"",'Dvd Calendar'!$AK$1957*1000000000+ISNUMBER('Dvd Calendar'!$AK$1960)*100000000+('Dvd Calendar'!$AK$1962=SPECIAL_LBL)*10000000+(N('Dvd Calendar'!$AK$1956)&gt;0)*(N('Dvd Calendar'!$AK$1956)&lt;=VAL_SERIAL)*1000000+37*1000+33))</f>
        <v/>
      </c>
      <c r="FL196" s="121">
        <f>IF(N('Dvd Calendar'!$AL$1957)=0,"",IF(('Dvd Calendar'!$AL$1957&gt;=GRID_FROM)*('Dvd Calendar'!$AL$1957&lt;=GRID_TO)*((('Dvd Calendar'!$AL$1957&lt;=VAL_DATE)+(COUNTIF('Dvd Calendar'!$E$1964:$AR$1964,'Dvd Calendar'!$AL$1957)=0))&gt;0)=0,"",'Dvd Calendar'!$AL$1957*1000000000+ISNUMBER('Dvd Calendar'!$AL$1960)*100000000+('Dvd Calendar'!$AL$1962=SPECIAL_LBL)*10000000+(N('Dvd Calendar'!$AL$1956)&gt;0)*(N('Dvd Calendar'!$AL$1956)&lt;=VAL_SERIAL)*1000000+37*1000+34))</f>
        <v/>
      </c>
      <c r="FM196" s="121">
        <f>IF(N('Dvd Calendar'!$AM$1957)=0,"",IF(('Dvd Calendar'!$AM$1957&gt;=GRID_FROM)*('Dvd Calendar'!$AM$1957&lt;=GRID_TO)*((('Dvd Calendar'!$AM$1957&lt;=VAL_DATE)+(COUNTIF('Dvd Calendar'!$E$1964:$AR$1964,'Dvd Calendar'!$AM$1957)=0))&gt;0)=0,"",'Dvd Calendar'!$AM$1957*1000000000+ISNUMBER('Dvd Calendar'!$AM$1960)*100000000+('Dvd Calendar'!$AM$1962=SPECIAL_LBL)*10000000+(N('Dvd Calendar'!$AM$1956)&gt;0)*(N('Dvd Calendar'!$AM$1956)&lt;=VAL_SERIAL)*1000000+37*1000+35))</f>
        <v/>
      </c>
      <c r="FN196" s="121">
        <f>IF(N('Dvd Calendar'!$AN$1957)=0,"",IF(('Dvd Calendar'!$AN$1957&gt;=GRID_FROM)*('Dvd Calendar'!$AN$1957&lt;=GRID_TO)*((('Dvd Calendar'!$AN$1957&lt;=VAL_DATE)+(COUNTIF('Dvd Calendar'!$E$1964:$AR$1964,'Dvd Calendar'!$AN$1957)=0))&gt;0)=0,"",'Dvd Calendar'!$AN$1957*1000000000+ISNUMBER('Dvd Calendar'!$AN$1960)*100000000+('Dvd Calendar'!$AN$1962=SPECIAL_LBL)*10000000+(N('Dvd Calendar'!$AN$1956)&gt;0)*(N('Dvd Calendar'!$AN$1956)&lt;=VAL_SERIAL)*1000000+37*1000+36))</f>
        <v/>
      </c>
      <c r="FO196" s="121">
        <f>IF(N('Dvd Calendar'!$AO$1957)=0,"",IF(('Dvd Calendar'!$AO$1957&gt;=GRID_FROM)*('Dvd Calendar'!$AO$1957&lt;=GRID_TO)*((('Dvd Calendar'!$AO$1957&lt;=VAL_DATE)+(COUNTIF('Dvd Calendar'!$E$1964:$AR$1964,'Dvd Calendar'!$AO$1957)=0))&gt;0)=0,"",'Dvd Calendar'!$AO$1957*1000000000+ISNUMBER('Dvd Calendar'!$AO$1960)*100000000+('Dvd Calendar'!$AO$1962=SPECIAL_LBL)*10000000+(N('Dvd Calendar'!$AO$1956)&gt;0)*(N('Dvd Calendar'!$AO$1956)&lt;=VAL_SERIAL)*1000000+37*1000+37))</f>
        <v/>
      </c>
      <c r="FP196" s="121">
        <f>IF(N('Dvd Calendar'!$AP$1957)=0,"",IF(('Dvd Calendar'!$AP$1957&gt;=GRID_FROM)*('Dvd Calendar'!$AP$1957&lt;=GRID_TO)*((('Dvd Calendar'!$AP$1957&lt;=VAL_DATE)+(COUNTIF('Dvd Calendar'!$E$1964:$AR$1964,'Dvd Calendar'!$AP$1957)=0))&gt;0)=0,"",'Dvd Calendar'!$AP$1957*1000000000+ISNUMBER('Dvd Calendar'!$AP$1960)*100000000+('Dvd Calendar'!$AP$1962=SPECIAL_LBL)*10000000+(N('Dvd Calendar'!$AP$1956)&gt;0)*(N('Dvd Calendar'!$AP$1956)&lt;=VAL_SERIAL)*1000000+37*1000+38))</f>
        <v/>
      </c>
      <c r="FQ196" s="121">
        <f>IF(N('Dvd Calendar'!$AQ$1957)=0,"",IF(('Dvd Calendar'!$AQ$1957&gt;=GRID_FROM)*('Dvd Calendar'!$AQ$1957&lt;=GRID_TO)*((('Dvd Calendar'!$AQ$1957&lt;=VAL_DATE)+(COUNTIF('Dvd Calendar'!$E$1964:$AR$1964,'Dvd Calendar'!$AQ$1957)=0))&gt;0)=0,"",'Dvd Calendar'!$AQ$1957*1000000000+ISNUMBER('Dvd Calendar'!$AQ$1960)*100000000+('Dvd Calendar'!$AQ$1962=SPECIAL_LBL)*10000000+(N('Dvd Calendar'!$AQ$1956)&gt;0)*(N('Dvd Calendar'!$AQ$1956)&lt;=VAL_SERIAL)*1000000+37*1000+39))</f>
        <v/>
      </c>
      <c r="FR196" s="121">
        <f>IF(N('Dvd Calendar'!$AR$1957)=0,"",IF(('Dvd Calendar'!$AR$1957&gt;=GRID_FROM)*('Dvd Calendar'!$AR$1957&lt;=GRID_TO)*((('Dvd Calendar'!$AR$1957&lt;=VAL_DATE)+(COUNTIF('Dvd Calendar'!$E$1964:$AR$1964,'Dvd Calendar'!$AR$1957)=0))&gt;0)=0,"",'Dvd Calendar'!$AR$1957*1000000000+ISNUMBER('Dvd Calendar'!$AR$1960)*100000000+('Dvd Calendar'!$AR$1962=SPECIAL_LBL)*10000000+(N('Dvd Calendar'!$AR$1956)&gt;0)*(N('Dvd Calendar'!$AR$1956)&lt;=VAL_SERIAL)*1000000+37*1000+40))</f>
        <v/>
      </c>
      <c r="FS196" s="121">
        <f>IF(N('Dvd Calendar'!$E$1964)=0,"",IF(('Dvd Calendar'!$E$1964&gt;=GRID_FROM)*('Dvd Calendar'!$E$1964&lt;=GRID_TO)*('Dvd Calendar'!$E$1964&gt;VAL_DATE)=0,"",'Dvd Calendar'!$E$1964*1000000000+ISNUMBER('Dvd Calendar'!$E$1965)*100000000+0*10000000+(N('Dvd Calendar'!$E$1963)&gt;0)*(N('Dvd Calendar'!$E$1963)&lt;=VAL_SERIAL)*1000000+37*1000+41))</f>
        <v/>
      </c>
      <c r="FT196" s="121">
        <f>IF(N('Dvd Calendar'!$F$1964)=0,"",IF(('Dvd Calendar'!$F$1964&gt;=GRID_FROM)*('Dvd Calendar'!$F$1964&lt;=GRID_TO)*('Dvd Calendar'!$F$1964&gt;VAL_DATE)=0,"",'Dvd Calendar'!$F$1964*1000000000+ISNUMBER('Dvd Calendar'!$F$1965)*100000000+0*10000000+(N('Dvd Calendar'!$F$1963)&gt;0)*(N('Dvd Calendar'!$F$1963)&lt;=VAL_SERIAL)*1000000+37*1000+42))</f>
        <v/>
      </c>
      <c r="FU196" s="121">
        <f>IF(N('Dvd Calendar'!$G$1964)=0,"",IF(('Dvd Calendar'!$G$1964&gt;=GRID_FROM)*('Dvd Calendar'!$G$1964&lt;=GRID_TO)*('Dvd Calendar'!$G$1964&gt;VAL_DATE)=0,"",'Dvd Calendar'!$G$1964*1000000000+ISNUMBER('Dvd Calendar'!$G$1965)*100000000+0*10000000+(N('Dvd Calendar'!$G$1963)&gt;0)*(N('Dvd Calendar'!$G$1963)&lt;=VAL_SERIAL)*1000000+37*1000+43))</f>
        <v/>
      </c>
      <c r="FV196" s="121">
        <f>IF(N('Dvd Calendar'!$H$1964)=0,"",IF(('Dvd Calendar'!$H$1964&gt;=GRID_FROM)*('Dvd Calendar'!$H$1964&lt;=GRID_TO)*('Dvd Calendar'!$H$1964&gt;VAL_DATE)=0,"",'Dvd Calendar'!$H$1964*1000000000+ISNUMBER('Dvd Calendar'!$H$1965)*100000000+0*10000000+(N('Dvd Calendar'!$H$1963)&gt;0)*(N('Dvd Calendar'!$H$1963)&lt;=VAL_SERIAL)*1000000+37*1000+44))</f>
        <v/>
      </c>
      <c r="FW196" s="121">
        <f>IF(N('Dvd Calendar'!$I$1964)=0,"",IF(('Dvd Calendar'!$I$1964&gt;=GRID_FROM)*('Dvd Calendar'!$I$1964&lt;=GRID_TO)*('Dvd Calendar'!$I$1964&gt;VAL_DATE)=0,"",'Dvd Calendar'!$I$1964*1000000000+ISNUMBER('Dvd Calendar'!$I$1965)*100000000+0*10000000+(N('Dvd Calendar'!$I$1963)&gt;0)*(N('Dvd Calendar'!$I$1963)&lt;=VAL_SERIAL)*1000000+37*1000+45))</f>
        <v/>
      </c>
      <c r="FX196" s="121">
        <f>IF(N('Dvd Calendar'!$J$1964)=0,"",IF(('Dvd Calendar'!$J$1964&gt;=GRID_FROM)*('Dvd Calendar'!$J$1964&lt;=GRID_TO)*('Dvd Calendar'!$J$1964&gt;VAL_DATE)=0,"",'Dvd Calendar'!$J$1964*1000000000+ISNUMBER('Dvd Calendar'!$J$1965)*100000000+0*10000000+(N('Dvd Calendar'!$J$1963)&gt;0)*(N('Dvd Calendar'!$J$1963)&lt;=VAL_SERIAL)*1000000+37*1000+46))</f>
        <v/>
      </c>
      <c r="FY196" s="121">
        <f>IF(N('Dvd Calendar'!$K$1964)=0,"",IF(('Dvd Calendar'!$K$1964&gt;=GRID_FROM)*('Dvd Calendar'!$K$1964&lt;=GRID_TO)*('Dvd Calendar'!$K$1964&gt;VAL_DATE)=0,"",'Dvd Calendar'!$K$1964*1000000000+ISNUMBER('Dvd Calendar'!$K$1965)*100000000+0*10000000+(N('Dvd Calendar'!$K$1963)&gt;0)*(N('Dvd Calendar'!$K$1963)&lt;=VAL_SERIAL)*1000000+37*1000+47))</f>
        <v/>
      </c>
      <c r="FZ196" s="121">
        <f>IF(N('Dvd Calendar'!$L$1964)=0,"",IF(('Dvd Calendar'!$L$1964&gt;=GRID_FROM)*('Dvd Calendar'!$L$1964&lt;=GRID_TO)*('Dvd Calendar'!$L$1964&gt;VAL_DATE)=0,"",'Dvd Calendar'!$L$1964*1000000000+ISNUMBER('Dvd Calendar'!$L$1965)*100000000+0*10000000+(N('Dvd Calendar'!$L$1963)&gt;0)*(N('Dvd Calendar'!$L$1963)&lt;=VAL_SERIAL)*1000000+37*1000+48))</f>
        <v/>
      </c>
      <c r="GA196" s="121">
        <f>IF(N('Dvd Calendar'!$M$1964)=0,"",IF(('Dvd Calendar'!$M$1964&gt;=GRID_FROM)*('Dvd Calendar'!$M$1964&lt;=GRID_TO)*('Dvd Calendar'!$M$1964&gt;VAL_DATE)=0,"",'Dvd Calendar'!$M$1964*1000000000+ISNUMBER('Dvd Calendar'!$M$1965)*100000000+0*10000000+(N('Dvd Calendar'!$M$1963)&gt;0)*(N('Dvd Calendar'!$M$1963)&lt;=VAL_SERIAL)*1000000+37*1000+49))</f>
        <v/>
      </c>
      <c r="GB196" s="121">
        <f>IF(N('Dvd Calendar'!$N$1964)=0,"",IF(('Dvd Calendar'!$N$1964&gt;=GRID_FROM)*('Dvd Calendar'!$N$1964&lt;=GRID_TO)*('Dvd Calendar'!$N$1964&gt;VAL_DATE)=0,"",'Dvd Calendar'!$N$1964*1000000000+ISNUMBER('Dvd Calendar'!$N$1965)*100000000+0*10000000+(N('Dvd Calendar'!$N$1963)&gt;0)*(N('Dvd Calendar'!$N$1963)&lt;=VAL_SERIAL)*1000000+37*1000+50))</f>
        <v/>
      </c>
      <c r="GC196" s="121">
        <f>IF(N('Dvd Calendar'!$O$1964)=0,"",IF(('Dvd Calendar'!$O$1964&gt;=GRID_FROM)*('Dvd Calendar'!$O$1964&lt;=GRID_TO)*('Dvd Calendar'!$O$1964&gt;VAL_DATE)=0,"",'Dvd Calendar'!$O$1964*1000000000+ISNUMBER('Dvd Calendar'!$O$1965)*100000000+0*10000000+(N('Dvd Calendar'!$O$1963)&gt;0)*(N('Dvd Calendar'!$O$1963)&lt;=VAL_SERIAL)*1000000+37*1000+51))</f>
        <v/>
      </c>
      <c r="GD196" s="121">
        <f>IF(N('Dvd Calendar'!$P$1964)=0,"",IF(('Dvd Calendar'!$P$1964&gt;=GRID_FROM)*('Dvd Calendar'!$P$1964&lt;=GRID_TO)*('Dvd Calendar'!$P$1964&gt;VAL_DATE)=0,"",'Dvd Calendar'!$P$1964*1000000000+ISNUMBER('Dvd Calendar'!$P$1965)*100000000+0*10000000+(N('Dvd Calendar'!$P$1963)&gt;0)*(N('Dvd Calendar'!$P$1963)&lt;=VAL_SERIAL)*1000000+37*1000+52))</f>
        <v/>
      </c>
      <c r="GE196" s="121">
        <f>IF(N('Dvd Calendar'!$Q$1964)=0,"",IF(('Dvd Calendar'!$Q$1964&gt;=GRID_FROM)*('Dvd Calendar'!$Q$1964&lt;=GRID_TO)*('Dvd Calendar'!$Q$1964&gt;VAL_DATE)=0,"",'Dvd Calendar'!$Q$1964*1000000000+ISNUMBER('Dvd Calendar'!$Q$1965)*100000000+0*10000000+(N('Dvd Calendar'!$Q$1963)&gt;0)*(N('Dvd Calendar'!$Q$1963)&lt;=VAL_SERIAL)*1000000+37*1000+53))</f>
        <v/>
      </c>
      <c r="GF196" s="121">
        <f>IF(N('Dvd Calendar'!$R$1964)=0,"",IF(('Dvd Calendar'!$R$1964&gt;=GRID_FROM)*('Dvd Calendar'!$R$1964&lt;=GRID_TO)*('Dvd Calendar'!$R$1964&gt;VAL_DATE)=0,"",'Dvd Calendar'!$R$1964*1000000000+ISNUMBER('Dvd Calendar'!$R$1965)*100000000+0*10000000+(N('Dvd Calendar'!$R$1963)&gt;0)*(N('Dvd Calendar'!$R$1963)&lt;=VAL_SERIAL)*1000000+37*1000+54))</f>
        <v/>
      </c>
      <c r="GG196" s="121">
        <f>IF(N('Dvd Calendar'!$S$1964)=0,"",IF(('Dvd Calendar'!$S$1964&gt;=GRID_FROM)*('Dvd Calendar'!$S$1964&lt;=GRID_TO)*('Dvd Calendar'!$S$1964&gt;VAL_DATE)=0,"",'Dvd Calendar'!$S$1964*1000000000+ISNUMBER('Dvd Calendar'!$S$1965)*100000000+0*10000000+(N('Dvd Calendar'!$S$1963)&gt;0)*(N('Dvd Calendar'!$S$1963)&lt;=VAL_SERIAL)*1000000+37*1000+55))</f>
        <v/>
      </c>
      <c r="GH196" s="121">
        <f>IF(N('Dvd Calendar'!$T$1964)=0,"",IF(('Dvd Calendar'!$T$1964&gt;=GRID_FROM)*('Dvd Calendar'!$T$1964&lt;=GRID_TO)*('Dvd Calendar'!$T$1964&gt;VAL_DATE)=0,"",'Dvd Calendar'!$T$1964*1000000000+ISNUMBER('Dvd Calendar'!$T$1965)*100000000+0*10000000+(N('Dvd Calendar'!$T$1963)&gt;0)*(N('Dvd Calendar'!$T$1963)&lt;=VAL_SERIAL)*1000000+37*1000+56))</f>
        <v/>
      </c>
      <c r="GI196" s="121">
        <f>IF(N('Dvd Calendar'!$U$1964)=0,"",IF(('Dvd Calendar'!$U$1964&gt;=GRID_FROM)*('Dvd Calendar'!$U$1964&lt;=GRID_TO)*('Dvd Calendar'!$U$1964&gt;VAL_DATE)=0,"",'Dvd Calendar'!$U$1964*1000000000+ISNUMBER('Dvd Calendar'!$U$1965)*100000000+0*10000000+(N('Dvd Calendar'!$U$1963)&gt;0)*(N('Dvd Calendar'!$U$1963)&lt;=VAL_SERIAL)*1000000+37*1000+57))</f>
        <v/>
      </c>
      <c r="GJ196" s="121">
        <f>IF(N('Dvd Calendar'!$V$1964)=0,"",IF(('Dvd Calendar'!$V$1964&gt;=GRID_FROM)*('Dvd Calendar'!$V$1964&lt;=GRID_TO)*('Dvd Calendar'!$V$1964&gt;VAL_DATE)=0,"",'Dvd Calendar'!$V$1964*1000000000+ISNUMBER('Dvd Calendar'!$V$1965)*100000000+0*10000000+(N('Dvd Calendar'!$V$1963)&gt;0)*(N('Dvd Calendar'!$V$1963)&lt;=VAL_SERIAL)*1000000+37*1000+58))</f>
        <v/>
      </c>
      <c r="GK196" s="121">
        <f>IF(N('Dvd Calendar'!$W$1964)=0,"",IF(('Dvd Calendar'!$W$1964&gt;=GRID_FROM)*('Dvd Calendar'!$W$1964&lt;=GRID_TO)*('Dvd Calendar'!$W$1964&gt;VAL_DATE)=0,"",'Dvd Calendar'!$W$1964*1000000000+ISNUMBER('Dvd Calendar'!$W$1965)*100000000+0*10000000+(N('Dvd Calendar'!$W$1963)&gt;0)*(N('Dvd Calendar'!$W$1963)&lt;=VAL_SERIAL)*1000000+37*1000+59))</f>
        <v/>
      </c>
      <c r="GL196" s="121">
        <f>IF(N('Dvd Calendar'!$X$1964)=0,"",IF(('Dvd Calendar'!$X$1964&gt;=GRID_FROM)*('Dvd Calendar'!$X$1964&lt;=GRID_TO)*('Dvd Calendar'!$X$1964&gt;VAL_DATE)=0,"",'Dvd Calendar'!$X$1964*1000000000+ISNUMBER('Dvd Calendar'!$X$1965)*100000000+0*10000000+(N('Dvd Calendar'!$X$1963)&gt;0)*(N('Dvd Calendar'!$X$1963)&lt;=VAL_SERIAL)*1000000+37*1000+60))</f>
        <v/>
      </c>
      <c r="GM196" s="121">
        <f>IF(N('Dvd Calendar'!$Y$1964)=0,"",IF(('Dvd Calendar'!$Y$1964&gt;=GRID_FROM)*('Dvd Calendar'!$Y$1964&lt;=GRID_TO)*('Dvd Calendar'!$Y$1964&gt;VAL_DATE)=0,"",'Dvd Calendar'!$Y$1964*1000000000+ISNUMBER('Dvd Calendar'!$Y$1965)*100000000+0*10000000+(N('Dvd Calendar'!$Y$1963)&gt;0)*(N('Dvd Calendar'!$Y$1963)&lt;=VAL_SERIAL)*1000000+37*1000+61))</f>
        <v/>
      </c>
      <c r="GN196" s="121">
        <f>IF(N('Dvd Calendar'!$Z$1964)=0,"",IF(('Dvd Calendar'!$Z$1964&gt;=GRID_FROM)*('Dvd Calendar'!$Z$1964&lt;=GRID_TO)*('Dvd Calendar'!$Z$1964&gt;VAL_DATE)=0,"",'Dvd Calendar'!$Z$1964*1000000000+ISNUMBER('Dvd Calendar'!$Z$1965)*100000000+0*10000000+(N('Dvd Calendar'!$Z$1963)&gt;0)*(N('Dvd Calendar'!$Z$1963)&lt;=VAL_SERIAL)*1000000+37*1000+62))</f>
        <v/>
      </c>
      <c r="GO196" s="121">
        <f>IF(N('Dvd Calendar'!$AA$1964)=0,"",IF(('Dvd Calendar'!$AA$1964&gt;=GRID_FROM)*('Dvd Calendar'!$AA$1964&lt;=GRID_TO)*('Dvd Calendar'!$AA$1964&gt;VAL_DATE)=0,"",'Dvd Calendar'!$AA$1964*1000000000+ISNUMBER('Dvd Calendar'!$AA$1965)*100000000+0*10000000+(N('Dvd Calendar'!$AA$1963)&gt;0)*(N('Dvd Calendar'!$AA$1963)&lt;=VAL_SERIAL)*1000000+37*1000+63))</f>
        <v/>
      </c>
      <c r="GP196" s="121">
        <f>IF(N('Dvd Calendar'!$AB$1964)=0,"",IF(('Dvd Calendar'!$AB$1964&gt;=GRID_FROM)*('Dvd Calendar'!$AB$1964&lt;=GRID_TO)*('Dvd Calendar'!$AB$1964&gt;VAL_DATE)=0,"",'Dvd Calendar'!$AB$1964*1000000000+ISNUMBER('Dvd Calendar'!$AB$1965)*100000000+0*10000000+(N('Dvd Calendar'!$AB$1963)&gt;0)*(N('Dvd Calendar'!$AB$1963)&lt;=VAL_SERIAL)*1000000+37*1000+64))</f>
        <v/>
      </c>
      <c r="GQ196" s="121">
        <f>IF(N('Dvd Calendar'!$AC$1964)=0,"",IF(('Dvd Calendar'!$AC$1964&gt;=GRID_FROM)*('Dvd Calendar'!$AC$1964&lt;=GRID_TO)*('Dvd Calendar'!$AC$1964&gt;VAL_DATE)=0,"",'Dvd Calendar'!$AC$1964*1000000000+ISNUMBER('Dvd Calendar'!$AC$1965)*100000000+0*10000000+(N('Dvd Calendar'!$AC$1963)&gt;0)*(N('Dvd Calendar'!$AC$1963)&lt;=VAL_SERIAL)*1000000+37*1000+65))</f>
        <v/>
      </c>
    </row>
    <row r="197">
      <c r="B197" s="2">
        <f>IF(HSCEI!$C$44="","",HSCEI!$C$44)</f>
        <v/>
      </c>
      <c r="C197" s="161">
        <f>IF(EE197="","",IF(ISNUMBER('Dvd Calendar'!$E$1971)=FALSE,"",IF((('Dvd Calendar'!$E$1973=TYPE1)*(TYPE1&lt;&gt;"")+('Dvd Calendar'!$E$1973=TYPE2)*(TYPE2&lt;&gt;"")+('Dvd Calendar'!$E$1973=TYPE3)*(TYPE3&lt;&gt;"")+('Dvd Calendar'!$E$1973=TYPE4)*(TYPE4&lt;&gt;"")+('Dvd Calendar'!$E$1973=SPECIAL_LBL)*(INC_SPECIALS="Y"))=0,"",'Dvd Calendar'!$E$1971)))</f>
        <v/>
      </c>
      <c r="D197" s="161">
        <f>IF(EF197="","",IF(ISNUMBER('Dvd Calendar'!$F$1971)=FALSE,"",IF((('Dvd Calendar'!$F$1973=TYPE1)*(TYPE1&lt;&gt;"")+('Dvd Calendar'!$F$1973=TYPE2)*(TYPE2&lt;&gt;"")+('Dvd Calendar'!$F$1973=TYPE3)*(TYPE3&lt;&gt;"")+('Dvd Calendar'!$F$1973=TYPE4)*(TYPE4&lt;&gt;"")+('Dvd Calendar'!$F$1973=SPECIAL_LBL)*(INC_SPECIALS="Y"))=0,"",'Dvd Calendar'!$F$1971)))</f>
        <v/>
      </c>
      <c r="E197" s="161">
        <f>IF(EG197="","",IF(ISNUMBER('Dvd Calendar'!$G$1971)=FALSE,"",IF((('Dvd Calendar'!$G$1973=TYPE1)*(TYPE1&lt;&gt;"")+('Dvd Calendar'!$G$1973=TYPE2)*(TYPE2&lt;&gt;"")+('Dvd Calendar'!$G$1973=TYPE3)*(TYPE3&lt;&gt;"")+('Dvd Calendar'!$G$1973=TYPE4)*(TYPE4&lt;&gt;"")+('Dvd Calendar'!$G$1973=SPECIAL_LBL)*(INC_SPECIALS="Y"))=0,"",'Dvd Calendar'!$G$1971)))</f>
        <v/>
      </c>
      <c r="F197" s="161">
        <f>IF(EH197="","",IF(ISNUMBER('Dvd Calendar'!$H$1971)=FALSE,"",IF((('Dvd Calendar'!$H$1973=TYPE1)*(TYPE1&lt;&gt;"")+('Dvd Calendar'!$H$1973=TYPE2)*(TYPE2&lt;&gt;"")+('Dvd Calendar'!$H$1973=TYPE3)*(TYPE3&lt;&gt;"")+('Dvd Calendar'!$H$1973=TYPE4)*(TYPE4&lt;&gt;"")+('Dvd Calendar'!$H$1973=SPECIAL_LBL)*(INC_SPECIALS="Y"))=0,"",'Dvd Calendar'!$H$1971)))</f>
        <v/>
      </c>
      <c r="G197" s="161">
        <f>IF(EI197="","",IF(ISNUMBER('Dvd Calendar'!$I$1971)=FALSE,"",IF((('Dvd Calendar'!$I$1973=TYPE1)*(TYPE1&lt;&gt;"")+('Dvd Calendar'!$I$1973=TYPE2)*(TYPE2&lt;&gt;"")+('Dvd Calendar'!$I$1973=TYPE3)*(TYPE3&lt;&gt;"")+('Dvd Calendar'!$I$1973=TYPE4)*(TYPE4&lt;&gt;"")+('Dvd Calendar'!$I$1973=SPECIAL_LBL)*(INC_SPECIALS="Y"))=0,"",'Dvd Calendar'!$I$1971)))</f>
        <v/>
      </c>
      <c r="H197" s="161">
        <f>IF(EJ197="","",IF(ISNUMBER('Dvd Calendar'!$J$1971)=FALSE,"",IF((('Dvd Calendar'!$J$1973=TYPE1)*(TYPE1&lt;&gt;"")+('Dvd Calendar'!$J$1973=TYPE2)*(TYPE2&lt;&gt;"")+('Dvd Calendar'!$J$1973=TYPE3)*(TYPE3&lt;&gt;"")+('Dvd Calendar'!$J$1973=TYPE4)*(TYPE4&lt;&gt;"")+('Dvd Calendar'!$J$1973=SPECIAL_LBL)*(INC_SPECIALS="Y"))=0,"",'Dvd Calendar'!$J$1971)))</f>
        <v/>
      </c>
      <c r="I197" s="161">
        <f>IF(EK197="","",IF(ISNUMBER('Dvd Calendar'!$K$1971)=FALSE,"",IF((('Dvd Calendar'!$K$1973=TYPE1)*(TYPE1&lt;&gt;"")+('Dvd Calendar'!$K$1973=TYPE2)*(TYPE2&lt;&gt;"")+('Dvd Calendar'!$K$1973=TYPE3)*(TYPE3&lt;&gt;"")+('Dvd Calendar'!$K$1973=TYPE4)*(TYPE4&lt;&gt;"")+('Dvd Calendar'!$K$1973=SPECIAL_LBL)*(INC_SPECIALS="Y"))=0,"",'Dvd Calendar'!$K$1971)))</f>
        <v/>
      </c>
      <c r="J197" s="161">
        <f>IF(EL197="","",IF(ISNUMBER('Dvd Calendar'!$L$1971)=FALSE,"",IF((('Dvd Calendar'!$L$1973=TYPE1)*(TYPE1&lt;&gt;"")+('Dvd Calendar'!$L$1973=TYPE2)*(TYPE2&lt;&gt;"")+('Dvd Calendar'!$L$1973=TYPE3)*(TYPE3&lt;&gt;"")+('Dvd Calendar'!$L$1973=TYPE4)*(TYPE4&lt;&gt;"")+('Dvd Calendar'!$L$1973=SPECIAL_LBL)*(INC_SPECIALS="Y"))=0,"",'Dvd Calendar'!$L$1971)))</f>
        <v/>
      </c>
      <c r="K197" s="161">
        <f>IF(EM197="","",IF(ISNUMBER('Dvd Calendar'!$M$1971)=FALSE,"",IF((('Dvd Calendar'!$M$1973=TYPE1)*(TYPE1&lt;&gt;"")+('Dvd Calendar'!$M$1973=TYPE2)*(TYPE2&lt;&gt;"")+('Dvd Calendar'!$M$1973=TYPE3)*(TYPE3&lt;&gt;"")+('Dvd Calendar'!$M$1973=TYPE4)*(TYPE4&lt;&gt;"")+('Dvd Calendar'!$M$1973=SPECIAL_LBL)*(INC_SPECIALS="Y"))=0,"",'Dvd Calendar'!$M$1971)))</f>
        <v/>
      </c>
      <c r="L197" s="161">
        <f>IF(EN197="","",IF(ISNUMBER('Dvd Calendar'!$N$1971)=FALSE,"",IF((('Dvd Calendar'!$N$1973=TYPE1)*(TYPE1&lt;&gt;"")+('Dvd Calendar'!$N$1973=TYPE2)*(TYPE2&lt;&gt;"")+('Dvd Calendar'!$N$1973=TYPE3)*(TYPE3&lt;&gt;"")+('Dvd Calendar'!$N$1973=TYPE4)*(TYPE4&lt;&gt;"")+('Dvd Calendar'!$N$1973=SPECIAL_LBL)*(INC_SPECIALS="Y"))=0,"",'Dvd Calendar'!$N$1971)))</f>
        <v/>
      </c>
      <c r="M197" s="161">
        <f>IF(EO197="","",IF(ISNUMBER('Dvd Calendar'!$O$1971)=FALSE,"",IF((('Dvd Calendar'!$O$1973=TYPE1)*(TYPE1&lt;&gt;"")+('Dvd Calendar'!$O$1973=TYPE2)*(TYPE2&lt;&gt;"")+('Dvd Calendar'!$O$1973=TYPE3)*(TYPE3&lt;&gt;"")+('Dvd Calendar'!$O$1973=TYPE4)*(TYPE4&lt;&gt;"")+('Dvd Calendar'!$O$1973=SPECIAL_LBL)*(INC_SPECIALS="Y"))=0,"",'Dvd Calendar'!$O$1971)))</f>
        <v/>
      </c>
      <c r="N197" s="161">
        <f>IF(EP197="","",IF(ISNUMBER('Dvd Calendar'!$P$1971)=FALSE,"",IF((('Dvd Calendar'!$P$1973=TYPE1)*(TYPE1&lt;&gt;"")+('Dvd Calendar'!$P$1973=TYPE2)*(TYPE2&lt;&gt;"")+('Dvd Calendar'!$P$1973=TYPE3)*(TYPE3&lt;&gt;"")+('Dvd Calendar'!$P$1973=TYPE4)*(TYPE4&lt;&gt;"")+('Dvd Calendar'!$P$1973=SPECIAL_LBL)*(INC_SPECIALS="Y"))=0,"",'Dvd Calendar'!$P$1971)))</f>
        <v/>
      </c>
      <c r="O197" s="161">
        <f>IF(EQ197="","",IF(ISNUMBER('Dvd Calendar'!$Q$1971)=FALSE,"",IF((('Dvd Calendar'!$Q$1973=TYPE1)*(TYPE1&lt;&gt;"")+('Dvd Calendar'!$Q$1973=TYPE2)*(TYPE2&lt;&gt;"")+('Dvd Calendar'!$Q$1973=TYPE3)*(TYPE3&lt;&gt;"")+('Dvd Calendar'!$Q$1973=TYPE4)*(TYPE4&lt;&gt;"")+('Dvd Calendar'!$Q$1973=SPECIAL_LBL)*(INC_SPECIALS="Y"))=0,"",'Dvd Calendar'!$Q$1971)))</f>
        <v/>
      </c>
      <c r="P197" s="161">
        <f>IF(ER197="","",IF(ISNUMBER('Dvd Calendar'!$R$1971)=FALSE,"",IF((('Dvd Calendar'!$R$1973=TYPE1)*(TYPE1&lt;&gt;"")+('Dvd Calendar'!$R$1973=TYPE2)*(TYPE2&lt;&gt;"")+('Dvd Calendar'!$R$1973=TYPE3)*(TYPE3&lt;&gt;"")+('Dvd Calendar'!$R$1973=TYPE4)*(TYPE4&lt;&gt;"")+('Dvd Calendar'!$R$1973=SPECIAL_LBL)*(INC_SPECIALS="Y"))=0,"",'Dvd Calendar'!$R$1971)))</f>
        <v/>
      </c>
      <c r="Q197" s="161">
        <f>IF(ES197="","",IF(ISNUMBER('Dvd Calendar'!$S$1971)=FALSE,"",IF((('Dvd Calendar'!$S$1973=TYPE1)*(TYPE1&lt;&gt;"")+('Dvd Calendar'!$S$1973=TYPE2)*(TYPE2&lt;&gt;"")+('Dvd Calendar'!$S$1973=TYPE3)*(TYPE3&lt;&gt;"")+('Dvd Calendar'!$S$1973=TYPE4)*(TYPE4&lt;&gt;"")+('Dvd Calendar'!$S$1973=SPECIAL_LBL)*(INC_SPECIALS="Y"))=0,"",'Dvd Calendar'!$S$1971)))</f>
        <v/>
      </c>
      <c r="R197" s="161">
        <f>IF(ET197="","",IF(ISNUMBER('Dvd Calendar'!$T$1971)=FALSE,"",IF((('Dvd Calendar'!$T$1973=TYPE1)*(TYPE1&lt;&gt;"")+('Dvd Calendar'!$T$1973=TYPE2)*(TYPE2&lt;&gt;"")+('Dvd Calendar'!$T$1973=TYPE3)*(TYPE3&lt;&gt;"")+('Dvd Calendar'!$T$1973=TYPE4)*(TYPE4&lt;&gt;"")+('Dvd Calendar'!$T$1973=SPECIAL_LBL)*(INC_SPECIALS="Y"))=0,"",'Dvd Calendar'!$T$1971)))</f>
        <v/>
      </c>
      <c r="S197" s="161">
        <f>IF(EU197="","",IF(ISNUMBER('Dvd Calendar'!$U$1971)=FALSE,"",IF((('Dvd Calendar'!$U$1973=TYPE1)*(TYPE1&lt;&gt;"")+('Dvd Calendar'!$U$1973=TYPE2)*(TYPE2&lt;&gt;"")+('Dvd Calendar'!$U$1973=TYPE3)*(TYPE3&lt;&gt;"")+('Dvd Calendar'!$U$1973=TYPE4)*(TYPE4&lt;&gt;"")+('Dvd Calendar'!$U$1973=SPECIAL_LBL)*(INC_SPECIALS="Y"))=0,"",'Dvd Calendar'!$U$1971)))</f>
        <v/>
      </c>
      <c r="T197" s="161">
        <f>IF(EV197="","",IF(ISNUMBER('Dvd Calendar'!$V$1971)=FALSE,"",IF((('Dvd Calendar'!$V$1973=TYPE1)*(TYPE1&lt;&gt;"")+('Dvd Calendar'!$V$1973=TYPE2)*(TYPE2&lt;&gt;"")+('Dvd Calendar'!$V$1973=TYPE3)*(TYPE3&lt;&gt;"")+('Dvd Calendar'!$V$1973=TYPE4)*(TYPE4&lt;&gt;"")+('Dvd Calendar'!$V$1973=SPECIAL_LBL)*(INC_SPECIALS="Y"))=0,"",'Dvd Calendar'!$V$1971)))</f>
        <v/>
      </c>
      <c r="U197" s="161">
        <f>IF(EW197="","",IF(ISNUMBER('Dvd Calendar'!$W$1971)=FALSE,"",IF((('Dvd Calendar'!$W$1973=TYPE1)*(TYPE1&lt;&gt;"")+('Dvd Calendar'!$W$1973=TYPE2)*(TYPE2&lt;&gt;"")+('Dvd Calendar'!$W$1973=TYPE3)*(TYPE3&lt;&gt;"")+('Dvd Calendar'!$W$1973=TYPE4)*(TYPE4&lt;&gt;"")+('Dvd Calendar'!$W$1973=SPECIAL_LBL)*(INC_SPECIALS="Y"))=0,"",'Dvd Calendar'!$W$1971)))</f>
        <v/>
      </c>
      <c r="V197" s="161">
        <f>IF(EX197="","",IF(ISNUMBER('Dvd Calendar'!$X$1971)=FALSE,"",IF((('Dvd Calendar'!$X$1973=TYPE1)*(TYPE1&lt;&gt;"")+('Dvd Calendar'!$X$1973=TYPE2)*(TYPE2&lt;&gt;"")+('Dvd Calendar'!$X$1973=TYPE3)*(TYPE3&lt;&gt;"")+('Dvd Calendar'!$X$1973=TYPE4)*(TYPE4&lt;&gt;"")+('Dvd Calendar'!$X$1973=SPECIAL_LBL)*(INC_SPECIALS="Y"))=0,"",'Dvd Calendar'!$X$1971)))</f>
        <v/>
      </c>
      <c r="W197" s="161">
        <f>IF(EY197="","",IF(ISNUMBER('Dvd Calendar'!$Y$1971)=FALSE,"",IF((('Dvd Calendar'!$Y$1973=TYPE1)*(TYPE1&lt;&gt;"")+('Dvd Calendar'!$Y$1973=TYPE2)*(TYPE2&lt;&gt;"")+('Dvd Calendar'!$Y$1973=TYPE3)*(TYPE3&lt;&gt;"")+('Dvd Calendar'!$Y$1973=TYPE4)*(TYPE4&lt;&gt;"")+('Dvd Calendar'!$Y$1973=SPECIAL_LBL)*(INC_SPECIALS="Y"))=0,"",'Dvd Calendar'!$Y$1971)))</f>
        <v/>
      </c>
      <c r="X197" s="161">
        <f>IF(EZ197="","",IF(ISNUMBER('Dvd Calendar'!$Z$1971)=FALSE,"",IF((('Dvd Calendar'!$Z$1973=TYPE1)*(TYPE1&lt;&gt;"")+('Dvd Calendar'!$Z$1973=TYPE2)*(TYPE2&lt;&gt;"")+('Dvd Calendar'!$Z$1973=TYPE3)*(TYPE3&lt;&gt;"")+('Dvd Calendar'!$Z$1973=TYPE4)*(TYPE4&lt;&gt;"")+('Dvd Calendar'!$Z$1973=SPECIAL_LBL)*(INC_SPECIALS="Y"))=0,"",'Dvd Calendar'!$Z$1971)))</f>
        <v/>
      </c>
      <c r="Y197" s="161">
        <f>IF(FA197="","",IF(ISNUMBER('Dvd Calendar'!$AA$1971)=FALSE,"",IF((('Dvd Calendar'!$AA$1973=TYPE1)*(TYPE1&lt;&gt;"")+('Dvd Calendar'!$AA$1973=TYPE2)*(TYPE2&lt;&gt;"")+('Dvd Calendar'!$AA$1973=TYPE3)*(TYPE3&lt;&gt;"")+('Dvd Calendar'!$AA$1973=TYPE4)*(TYPE4&lt;&gt;"")+('Dvd Calendar'!$AA$1973=SPECIAL_LBL)*(INC_SPECIALS="Y"))=0,"",'Dvd Calendar'!$AA$1971)))</f>
        <v/>
      </c>
      <c r="Z197" s="161">
        <f>IF(FB197="","",IF(ISNUMBER('Dvd Calendar'!$AB$1971)=FALSE,"",IF((('Dvd Calendar'!$AB$1973=TYPE1)*(TYPE1&lt;&gt;"")+('Dvd Calendar'!$AB$1973=TYPE2)*(TYPE2&lt;&gt;"")+('Dvd Calendar'!$AB$1973=TYPE3)*(TYPE3&lt;&gt;"")+('Dvd Calendar'!$AB$1973=TYPE4)*(TYPE4&lt;&gt;"")+('Dvd Calendar'!$AB$1973=SPECIAL_LBL)*(INC_SPECIALS="Y"))=0,"",'Dvd Calendar'!$AB$1971)))</f>
        <v/>
      </c>
      <c r="AA197" s="161">
        <f>IF(FC197="","",IF(ISNUMBER('Dvd Calendar'!$AC$1971)=FALSE,"",IF((('Dvd Calendar'!$AC$1973=TYPE1)*(TYPE1&lt;&gt;"")+('Dvd Calendar'!$AC$1973=TYPE2)*(TYPE2&lt;&gt;"")+('Dvd Calendar'!$AC$1973=TYPE3)*(TYPE3&lt;&gt;"")+('Dvd Calendar'!$AC$1973=TYPE4)*(TYPE4&lt;&gt;"")+('Dvd Calendar'!$AC$1973=SPECIAL_LBL)*(INC_SPECIALS="Y"))=0,"",'Dvd Calendar'!$AC$1971)))</f>
        <v/>
      </c>
      <c r="AB197" s="161">
        <f>IF(FD197="","",IF(ISNUMBER('Dvd Calendar'!$AD$1971)=FALSE,"",IF((('Dvd Calendar'!$AD$1973=TYPE1)*(TYPE1&lt;&gt;"")+('Dvd Calendar'!$AD$1973=TYPE2)*(TYPE2&lt;&gt;"")+('Dvd Calendar'!$AD$1973=TYPE3)*(TYPE3&lt;&gt;"")+('Dvd Calendar'!$AD$1973=TYPE4)*(TYPE4&lt;&gt;"")+('Dvd Calendar'!$AD$1973=SPECIAL_LBL)*(INC_SPECIALS="Y"))=0,"",'Dvd Calendar'!$AD$1971)))</f>
        <v/>
      </c>
      <c r="AC197" s="161">
        <f>IF(FE197="","",IF(ISNUMBER('Dvd Calendar'!$AE$1971)=FALSE,"",IF((('Dvd Calendar'!$AE$1973=TYPE1)*(TYPE1&lt;&gt;"")+('Dvd Calendar'!$AE$1973=TYPE2)*(TYPE2&lt;&gt;"")+('Dvd Calendar'!$AE$1973=TYPE3)*(TYPE3&lt;&gt;"")+('Dvd Calendar'!$AE$1973=TYPE4)*(TYPE4&lt;&gt;"")+('Dvd Calendar'!$AE$1973=SPECIAL_LBL)*(INC_SPECIALS="Y"))=0,"",'Dvd Calendar'!$AE$1971)))</f>
        <v/>
      </c>
      <c r="AD197" s="161">
        <f>IF(FF197="","",IF(ISNUMBER('Dvd Calendar'!$AF$1971)=FALSE,"",IF((('Dvd Calendar'!$AF$1973=TYPE1)*(TYPE1&lt;&gt;"")+('Dvd Calendar'!$AF$1973=TYPE2)*(TYPE2&lt;&gt;"")+('Dvd Calendar'!$AF$1973=TYPE3)*(TYPE3&lt;&gt;"")+('Dvd Calendar'!$AF$1973=TYPE4)*(TYPE4&lt;&gt;"")+('Dvd Calendar'!$AF$1973=SPECIAL_LBL)*(INC_SPECIALS="Y"))=0,"",'Dvd Calendar'!$AF$1971)))</f>
        <v/>
      </c>
      <c r="AE197" s="161">
        <f>IF(FG197="","",IF(ISNUMBER('Dvd Calendar'!$AG$1971)=FALSE,"",IF((('Dvd Calendar'!$AG$1973=TYPE1)*(TYPE1&lt;&gt;"")+('Dvd Calendar'!$AG$1973=TYPE2)*(TYPE2&lt;&gt;"")+('Dvd Calendar'!$AG$1973=TYPE3)*(TYPE3&lt;&gt;"")+('Dvd Calendar'!$AG$1973=TYPE4)*(TYPE4&lt;&gt;"")+('Dvd Calendar'!$AG$1973=SPECIAL_LBL)*(INC_SPECIALS="Y"))=0,"",'Dvd Calendar'!$AG$1971)))</f>
        <v/>
      </c>
      <c r="AF197" s="161">
        <f>IF(FH197="","",IF(ISNUMBER('Dvd Calendar'!$AH$1971)=FALSE,"",IF((('Dvd Calendar'!$AH$1973=TYPE1)*(TYPE1&lt;&gt;"")+('Dvd Calendar'!$AH$1973=TYPE2)*(TYPE2&lt;&gt;"")+('Dvd Calendar'!$AH$1973=TYPE3)*(TYPE3&lt;&gt;"")+('Dvd Calendar'!$AH$1973=TYPE4)*(TYPE4&lt;&gt;"")+('Dvd Calendar'!$AH$1973=SPECIAL_LBL)*(INC_SPECIALS="Y"))=0,"",'Dvd Calendar'!$AH$1971)))</f>
        <v/>
      </c>
      <c r="AG197" s="161">
        <f>IF(FI197="","",IF(ISNUMBER('Dvd Calendar'!$AI$1971)=FALSE,"",IF((('Dvd Calendar'!$AI$1973=TYPE1)*(TYPE1&lt;&gt;"")+('Dvd Calendar'!$AI$1973=TYPE2)*(TYPE2&lt;&gt;"")+('Dvd Calendar'!$AI$1973=TYPE3)*(TYPE3&lt;&gt;"")+('Dvd Calendar'!$AI$1973=TYPE4)*(TYPE4&lt;&gt;"")+('Dvd Calendar'!$AI$1973=SPECIAL_LBL)*(INC_SPECIALS="Y"))=0,"",'Dvd Calendar'!$AI$1971)))</f>
        <v/>
      </c>
      <c r="AH197" s="161">
        <f>IF(FJ197="","",IF(ISNUMBER('Dvd Calendar'!$AJ$1971)=FALSE,"",IF((('Dvd Calendar'!$AJ$1973=TYPE1)*(TYPE1&lt;&gt;"")+('Dvd Calendar'!$AJ$1973=TYPE2)*(TYPE2&lt;&gt;"")+('Dvd Calendar'!$AJ$1973=TYPE3)*(TYPE3&lt;&gt;"")+('Dvd Calendar'!$AJ$1973=TYPE4)*(TYPE4&lt;&gt;"")+('Dvd Calendar'!$AJ$1973=SPECIAL_LBL)*(INC_SPECIALS="Y"))=0,"",'Dvd Calendar'!$AJ$1971)))</f>
        <v/>
      </c>
      <c r="AI197" s="161">
        <f>IF(FK197="","",IF(ISNUMBER('Dvd Calendar'!$AK$1971)=FALSE,"",IF((('Dvd Calendar'!$AK$1973=TYPE1)*(TYPE1&lt;&gt;"")+('Dvd Calendar'!$AK$1973=TYPE2)*(TYPE2&lt;&gt;"")+('Dvd Calendar'!$AK$1973=TYPE3)*(TYPE3&lt;&gt;"")+('Dvd Calendar'!$AK$1973=TYPE4)*(TYPE4&lt;&gt;"")+('Dvd Calendar'!$AK$1973=SPECIAL_LBL)*(INC_SPECIALS="Y"))=0,"",'Dvd Calendar'!$AK$1971)))</f>
        <v/>
      </c>
      <c r="AJ197" s="161">
        <f>IF(FL197="","",IF(ISNUMBER('Dvd Calendar'!$AL$1971)=FALSE,"",IF((('Dvd Calendar'!$AL$1973=TYPE1)*(TYPE1&lt;&gt;"")+('Dvd Calendar'!$AL$1973=TYPE2)*(TYPE2&lt;&gt;"")+('Dvd Calendar'!$AL$1973=TYPE3)*(TYPE3&lt;&gt;"")+('Dvd Calendar'!$AL$1973=TYPE4)*(TYPE4&lt;&gt;"")+('Dvd Calendar'!$AL$1973=SPECIAL_LBL)*(INC_SPECIALS="Y"))=0,"",'Dvd Calendar'!$AL$1971)))</f>
        <v/>
      </c>
      <c r="AK197" s="161">
        <f>IF(FM197="","",IF(ISNUMBER('Dvd Calendar'!$AM$1971)=FALSE,"",IF((('Dvd Calendar'!$AM$1973=TYPE1)*(TYPE1&lt;&gt;"")+('Dvd Calendar'!$AM$1973=TYPE2)*(TYPE2&lt;&gt;"")+('Dvd Calendar'!$AM$1973=TYPE3)*(TYPE3&lt;&gt;"")+('Dvd Calendar'!$AM$1973=TYPE4)*(TYPE4&lt;&gt;"")+('Dvd Calendar'!$AM$1973=SPECIAL_LBL)*(INC_SPECIALS="Y"))=0,"",'Dvd Calendar'!$AM$1971)))</f>
        <v/>
      </c>
      <c r="AL197" s="161">
        <f>IF(FN197="","",IF(ISNUMBER('Dvd Calendar'!$AN$1971)=FALSE,"",IF((('Dvd Calendar'!$AN$1973=TYPE1)*(TYPE1&lt;&gt;"")+('Dvd Calendar'!$AN$1973=TYPE2)*(TYPE2&lt;&gt;"")+('Dvd Calendar'!$AN$1973=TYPE3)*(TYPE3&lt;&gt;"")+('Dvd Calendar'!$AN$1973=TYPE4)*(TYPE4&lt;&gt;"")+('Dvd Calendar'!$AN$1973=SPECIAL_LBL)*(INC_SPECIALS="Y"))=0,"",'Dvd Calendar'!$AN$1971)))</f>
        <v/>
      </c>
      <c r="AM197" s="161">
        <f>IF(FO197="","",IF(ISNUMBER('Dvd Calendar'!$AO$1971)=FALSE,"",IF((('Dvd Calendar'!$AO$1973=TYPE1)*(TYPE1&lt;&gt;"")+('Dvd Calendar'!$AO$1973=TYPE2)*(TYPE2&lt;&gt;"")+('Dvd Calendar'!$AO$1973=TYPE3)*(TYPE3&lt;&gt;"")+('Dvd Calendar'!$AO$1973=TYPE4)*(TYPE4&lt;&gt;"")+('Dvd Calendar'!$AO$1973=SPECIAL_LBL)*(INC_SPECIALS="Y"))=0,"",'Dvd Calendar'!$AO$1971)))</f>
        <v/>
      </c>
      <c r="AN197" s="161">
        <f>IF(FP197="","",IF(ISNUMBER('Dvd Calendar'!$AP$1971)=FALSE,"",IF((('Dvd Calendar'!$AP$1973=TYPE1)*(TYPE1&lt;&gt;"")+('Dvd Calendar'!$AP$1973=TYPE2)*(TYPE2&lt;&gt;"")+('Dvd Calendar'!$AP$1973=TYPE3)*(TYPE3&lt;&gt;"")+('Dvd Calendar'!$AP$1973=TYPE4)*(TYPE4&lt;&gt;"")+('Dvd Calendar'!$AP$1973=SPECIAL_LBL)*(INC_SPECIALS="Y"))=0,"",'Dvd Calendar'!$AP$1971)))</f>
        <v/>
      </c>
      <c r="AO197" s="161">
        <f>IF(FQ197="","",IF(ISNUMBER('Dvd Calendar'!$AQ$1971)=FALSE,"",IF((('Dvd Calendar'!$AQ$1973=TYPE1)*(TYPE1&lt;&gt;"")+('Dvd Calendar'!$AQ$1973=TYPE2)*(TYPE2&lt;&gt;"")+('Dvd Calendar'!$AQ$1973=TYPE3)*(TYPE3&lt;&gt;"")+('Dvd Calendar'!$AQ$1973=TYPE4)*(TYPE4&lt;&gt;"")+('Dvd Calendar'!$AQ$1973=SPECIAL_LBL)*(INC_SPECIALS="Y"))=0,"",'Dvd Calendar'!$AQ$1971)))</f>
        <v/>
      </c>
      <c r="AP197" s="161">
        <f>IF(FR197="","",IF(ISNUMBER('Dvd Calendar'!$AR$1971)=FALSE,"",IF((('Dvd Calendar'!$AR$1973=TYPE1)*(TYPE1&lt;&gt;"")+('Dvd Calendar'!$AR$1973=TYPE2)*(TYPE2&lt;&gt;"")+('Dvd Calendar'!$AR$1973=TYPE3)*(TYPE3&lt;&gt;"")+('Dvd Calendar'!$AR$1973=TYPE4)*(TYPE4&lt;&gt;"")+('Dvd Calendar'!$AR$1973=SPECIAL_LBL)*(INC_SPECIALS="Y"))=0,"",'Dvd Calendar'!$AR$1971)))</f>
        <v/>
      </c>
      <c r="AQ197" s="161">
        <f>IF(FS197="","",IF(ISNUMBER('Dvd Calendar'!$E$1976)=FALSE,"",'Dvd Calendar'!$E$1976))</f>
        <v/>
      </c>
      <c r="AR197" s="161">
        <f>IF(FT197="","",IF(ISNUMBER('Dvd Calendar'!$F$1976)=FALSE,"",'Dvd Calendar'!$F$1976))</f>
        <v/>
      </c>
      <c r="AS197" s="161">
        <f>IF(FU197="","",IF(ISNUMBER('Dvd Calendar'!$G$1976)=FALSE,"",'Dvd Calendar'!$G$1976))</f>
        <v/>
      </c>
      <c r="AT197" s="161">
        <f>IF(FV197="","",IF(ISNUMBER('Dvd Calendar'!$H$1976)=FALSE,"",'Dvd Calendar'!$H$1976))</f>
        <v/>
      </c>
      <c r="AU197" s="161">
        <f>IF(FW197="","",IF(ISNUMBER('Dvd Calendar'!$I$1976)=FALSE,"",'Dvd Calendar'!$I$1976))</f>
        <v/>
      </c>
      <c r="AV197" s="161">
        <f>IF(FX197="","",IF(ISNUMBER('Dvd Calendar'!$J$1976)=FALSE,"",'Dvd Calendar'!$J$1976))</f>
        <v/>
      </c>
      <c r="AW197" s="161">
        <f>IF(FY197="","",IF(ISNUMBER('Dvd Calendar'!$K$1976)=FALSE,"",'Dvd Calendar'!$K$1976))</f>
        <v/>
      </c>
      <c r="AX197" s="161">
        <f>IF(FZ197="","",IF(ISNUMBER('Dvd Calendar'!$L$1976)=FALSE,"",'Dvd Calendar'!$L$1976))</f>
        <v/>
      </c>
      <c r="AY197" s="161">
        <f>IF(GA197="","",IF(ISNUMBER('Dvd Calendar'!$M$1976)=FALSE,"",'Dvd Calendar'!$M$1976))</f>
        <v/>
      </c>
      <c r="AZ197" s="161">
        <f>IF(GB197="","",IF(ISNUMBER('Dvd Calendar'!$N$1976)=FALSE,"",'Dvd Calendar'!$N$1976))</f>
        <v/>
      </c>
      <c r="BA197" s="161">
        <f>IF(GC197="","",IF(ISNUMBER('Dvd Calendar'!$O$1976)=FALSE,"",'Dvd Calendar'!$O$1976))</f>
        <v/>
      </c>
      <c r="BB197" s="161">
        <f>IF(GD197="","",IF(ISNUMBER('Dvd Calendar'!$P$1976)=FALSE,"",'Dvd Calendar'!$P$1976))</f>
        <v/>
      </c>
      <c r="BC197" s="161">
        <f>IF(GE197="","",IF(ISNUMBER('Dvd Calendar'!$Q$1976)=FALSE,"",'Dvd Calendar'!$Q$1976))</f>
        <v/>
      </c>
      <c r="BD197" s="161">
        <f>IF(GF197="","",IF(ISNUMBER('Dvd Calendar'!$R$1976)=FALSE,"",'Dvd Calendar'!$R$1976))</f>
        <v/>
      </c>
      <c r="BE197" s="161">
        <f>IF(GG197="","",IF(ISNUMBER('Dvd Calendar'!$S$1976)=FALSE,"",'Dvd Calendar'!$S$1976))</f>
        <v/>
      </c>
      <c r="BF197" s="161">
        <f>IF(GH197="","",IF(ISNUMBER('Dvd Calendar'!$T$1976)=FALSE,"",'Dvd Calendar'!$T$1976))</f>
        <v/>
      </c>
      <c r="BG197" s="161">
        <f>IF(GI197="","",IF(ISNUMBER('Dvd Calendar'!$U$1976)=FALSE,"",'Dvd Calendar'!$U$1976))</f>
        <v/>
      </c>
      <c r="BH197" s="161">
        <f>IF(GJ197="","",IF(ISNUMBER('Dvd Calendar'!$V$1976)=FALSE,"",'Dvd Calendar'!$V$1976))</f>
        <v/>
      </c>
      <c r="BI197" s="161">
        <f>IF(GK197="","",IF(ISNUMBER('Dvd Calendar'!$W$1976)=FALSE,"",'Dvd Calendar'!$W$1976))</f>
        <v/>
      </c>
      <c r="BJ197" s="161">
        <f>IF(GL197="","",IF(ISNUMBER('Dvd Calendar'!$X$1976)=FALSE,"",'Dvd Calendar'!$X$1976))</f>
        <v/>
      </c>
      <c r="BK197" s="161">
        <f>IF(GM197="","",IF(ISNUMBER('Dvd Calendar'!$Y$1976)=FALSE,"",'Dvd Calendar'!$Y$1976))</f>
        <v/>
      </c>
      <c r="BL197" s="161">
        <f>IF(GN197="","",IF(ISNUMBER('Dvd Calendar'!$Z$1976)=FALSE,"",'Dvd Calendar'!$Z$1976))</f>
        <v/>
      </c>
      <c r="BM197" s="161">
        <f>IF(GO197="","",IF(ISNUMBER('Dvd Calendar'!$AA$1976)=FALSE,"",'Dvd Calendar'!$AA$1976))</f>
        <v/>
      </c>
      <c r="BN197" s="161">
        <f>IF(GP197="","",IF(ISNUMBER('Dvd Calendar'!$AB$1976)=FALSE,"",'Dvd Calendar'!$AB$1976))</f>
        <v/>
      </c>
      <c r="BO197" s="161">
        <f>IF(GQ197="","",IF(ISNUMBER('Dvd Calendar'!$AC$1976)=FALSE,"",'Dvd Calendar'!$AC$1976))</f>
        <v/>
      </c>
      <c r="BQ197" s="161">
        <f>IF(C197="","",IFERROR(C197*HSCEI!$B$44*HSCEI!$G$44/HSCEI!$B$3,""))</f>
        <v/>
      </c>
      <c r="BR197" s="161">
        <f>IF(D197="","",IFERROR(D197*HSCEI!$B$44*HSCEI!$G$44/HSCEI!$B$3,""))</f>
        <v/>
      </c>
      <c r="BS197" s="161">
        <f>IF(E197="","",IFERROR(E197*HSCEI!$B$44*HSCEI!$G$44/HSCEI!$B$3,""))</f>
        <v/>
      </c>
      <c r="BT197" s="161">
        <f>IF(F197="","",IFERROR(F197*HSCEI!$B$44*HSCEI!$G$44/HSCEI!$B$3,""))</f>
        <v/>
      </c>
      <c r="BU197" s="161">
        <f>IF(G197="","",IFERROR(G197*HSCEI!$B$44*HSCEI!$G$44/HSCEI!$B$3,""))</f>
        <v/>
      </c>
      <c r="BV197" s="161">
        <f>IF(H197="","",IFERROR(H197*HSCEI!$B$44*HSCEI!$G$44/HSCEI!$B$3,""))</f>
        <v/>
      </c>
      <c r="BW197" s="161">
        <f>IF(I197="","",IFERROR(I197*HSCEI!$B$44*HSCEI!$G$44/HSCEI!$B$3,""))</f>
        <v/>
      </c>
      <c r="BX197" s="161">
        <f>IF(J197="","",IFERROR(J197*HSCEI!$B$44*HSCEI!$G$44/HSCEI!$B$3,""))</f>
        <v/>
      </c>
      <c r="BY197" s="161">
        <f>IF(K197="","",IFERROR(K197*HSCEI!$B$44*HSCEI!$G$44/HSCEI!$B$3,""))</f>
        <v/>
      </c>
      <c r="BZ197" s="161">
        <f>IF(L197="","",IFERROR(L197*HSCEI!$B$44*HSCEI!$G$44/HSCEI!$B$3,""))</f>
        <v/>
      </c>
      <c r="CA197" s="161">
        <f>IF(M197="","",IFERROR(M197*HSCEI!$B$44*HSCEI!$G$44/HSCEI!$B$3,""))</f>
        <v/>
      </c>
      <c r="CB197" s="161">
        <f>IF(N197="","",IFERROR(N197*HSCEI!$B$44*HSCEI!$G$44/HSCEI!$B$3,""))</f>
        <v/>
      </c>
      <c r="CC197" s="161">
        <f>IF(O197="","",IFERROR(O197*HSCEI!$B$44*HSCEI!$G$44/HSCEI!$B$3,""))</f>
        <v/>
      </c>
      <c r="CD197" s="161">
        <f>IF(P197="","",IFERROR(P197*HSCEI!$B$44*HSCEI!$G$44/HSCEI!$B$3,""))</f>
        <v/>
      </c>
      <c r="CE197" s="161">
        <f>IF(Q197="","",IFERROR(Q197*HSCEI!$B$44*HSCEI!$G$44/HSCEI!$B$3,""))</f>
        <v/>
      </c>
      <c r="CF197" s="161">
        <f>IF(R197="","",IFERROR(R197*HSCEI!$B$44*HSCEI!$G$44/HSCEI!$B$3,""))</f>
        <v/>
      </c>
      <c r="CG197" s="161">
        <f>IF(S197="","",IFERROR(S197*HSCEI!$B$44*HSCEI!$G$44/HSCEI!$B$3,""))</f>
        <v/>
      </c>
      <c r="CH197" s="161">
        <f>IF(T197="","",IFERROR(T197*HSCEI!$B$44*HSCEI!$G$44/HSCEI!$B$3,""))</f>
        <v/>
      </c>
      <c r="CI197" s="161">
        <f>IF(U197="","",IFERROR(U197*HSCEI!$B$44*HSCEI!$G$44/HSCEI!$B$3,""))</f>
        <v/>
      </c>
      <c r="CJ197" s="161">
        <f>IF(V197="","",IFERROR(V197*HSCEI!$B$44*HSCEI!$G$44/HSCEI!$B$3,""))</f>
        <v/>
      </c>
      <c r="CK197" s="161">
        <f>IF(W197="","",IFERROR(W197*HSCEI!$B$44*HSCEI!$G$44/HSCEI!$B$3,""))</f>
        <v/>
      </c>
      <c r="CL197" s="161">
        <f>IF(X197="","",IFERROR(X197*HSCEI!$B$44*HSCEI!$G$44/HSCEI!$B$3,""))</f>
        <v/>
      </c>
      <c r="CM197" s="161">
        <f>IF(Y197="","",IFERROR(Y197*HSCEI!$B$44*HSCEI!$G$44/HSCEI!$B$3,""))</f>
        <v/>
      </c>
      <c r="CN197" s="161">
        <f>IF(Z197="","",IFERROR(Z197*HSCEI!$B$44*HSCEI!$G$44/HSCEI!$B$3,""))</f>
        <v/>
      </c>
      <c r="CO197" s="161">
        <f>IF(AA197="","",IFERROR(AA197*HSCEI!$B$44*HSCEI!$G$44/HSCEI!$B$3,""))</f>
        <v/>
      </c>
      <c r="CP197" s="161">
        <f>IF(AB197="","",IFERROR(AB197*HSCEI!$B$44*HSCEI!$G$44/HSCEI!$B$3,""))</f>
        <v/>
      </c>
      <c r="CQ197" s="161">
        <f>IF(AC197="","",IFERROR(AC197*HSCEI!$B$44*HSCEI!$G$44/HSCEI!$B$3,""))</f>
        <v/>
      </c>
      <c r="CR197" s="161">
        <f>IF(AD197="","",IFERROR(AD197*HSCEI!$B$44*HSCEI!$G$44/HSCEI!$B$3,""))</f>
        <v/>
      </c>
      <c r="CS197" s="161">
        <f>IF(AE197="","",IFERROR(AE197*HSCEI!$B$44*HSCEI!$G$44/HSCEI!$B$3,""))</f>
        <v/>
      </c>
      <c r="CT197" s="161">
        <f>IF(AF197="","",IFERROR(AF197*HSCEI!$B$44*HSCEI!$G$44/HSCEI!$B$3,""))</f>
        <v/>
      </c>
      <c r="CU197" s="161">
        <f>IF(AG197="","",IFERROR(AG197*HSCEI!$B$44*HSCEI!$G$44/HSCEI!$B$3,""))</f>
        <v/>
      </c>
      <c r="CV197" s="161">
        <f>IF(AH197="","",IFERROR(AH197*HSCEI!$B$44*HSCEI!$G$44/HSCEI!$B$3,""))</f>
        <v/>
      </c>
      <c r="CW197" s="161">
        <f>IF(AI197="","",IFERROR(AI197*HSCEI!$B$44*HSCEI!$G$44/HSCEI!$B$3,""))</f>
        <v/>
      </c>
      <c r="CX197" s="161">
        <f>IF(AJ197="","",IFERROR(AJ197*HSCEI!$B$44*HSCEI!$G$44/HSCEI!$B$3,""))</f>
        <v/>
      </c>
      <c r="CY197" s="161">
        <f>IF(AK197="","",IFERROR(AK197*HSCEI!$B$44*HSCEI!$G$44/HSCEI!$B$3,""))</f>
        <v/>
      </c>
      <c r="CZ197" s="161">
        <f>IF(AL197="","",IFERROR(AL197*HSCEI!$B$44*HSCEI!$G$44/HSCEI!$B$3,""))</f>
        <v/>
      </c>
      <c r="DA197" s="161">
        <f>IF(AM197="","",IFERROR(AM197*HSCEI!$B$44*HSCEI!$G$44/HSCEI!$B$3,""))</f>
        <v/>
      </c>
      <c r="DB197" s="161">
        <f>IF(AN197="","",IFERROR(AN197*HSCEI!$B$44*HSCEI!$G$44/HSCEI!$B$3,""))</f>
        <v/>
      </c>
      <c r="DC197" s="161">
        <f>IF(AO197="","",IFERROR(AO197*HSCEI!$B$44*HSCEI!$G$44/HSCEI!$B$3,""))</f>
        <v/>
      </c>
      <c r="DD197" s="161">
        <f>IF(AP197="","",IFERROR(AP197*HSCEI!$B$44*HSCEI!$G$44/HSCEI!$B$3,""))</f>
        <v/>
      </c>
      <c r="DE197" s="161">
        <f>IF(AQ197="","",IFERROR(AQ197*HSCEI!$B$44*HSCEI!$G$44/HSCEI!$B$3,""))</f>
        <v/>
      </c>
      <c r="DF197" s="161">
        <f>IF(AR197="","",IFERROR(AR197*HSCEI!$B$44*HSCEI!$G$44/HSCEI!$B$3,""))</f>
        <v/>
      </c>
      <c r="DG197" s="161">
        <f>IF(AS197="","",IFERROR(AS197*HSCEI!$B$44*HSCEI!$G$44/HSCEI!$B$3,""))</f>
        <v/>
      </c>
      <c r="DH197" s="161">
        <f>IF(AT197="","",IFERROR(AT197*HSCEI!$B$44*HSCEI!$G$44/HSCEI!$B$3,""))</f>
        <v/>
      </c>
      <c r="DI197" s="161">
        <f>IF(AU197="","",IFERROR(AU197*HSCEI!$B$44*HSCEI!$G$44/HSCEI!$B$3,""))</f>
        <v/>
      </c>
      <c r="DJ197" s="161">
        <f>IF(AV197="","",IFERROR(AV197*HSCEI!$B$44*HSCEI!$G$44/HSCEI!$B$3,""))</f>
        <v/>
      </c>
      <c r="DK197" s="161">
        <f>IF(AW197="","",IFERROR(AW197*HSCEI!$B$44*HSCEI!$G$44/HSCEI!$B$3,""))</f>
        <v/>
      </c>
      <c r="DL197" s="161">
        <f>IF(AX197="","",IFERROR(AX197*HSCEI!$B$44*HSCEI!$G$44/HSCEI!$B$3,""))</f>
        <v/>
      </c>
      <c r="DM197" s="161">
        <f>IF(AY197="","",IFERROR(AY197*HSCEI!$B$44*HSCEI!$G$44/HSCEI!$B$3,""))</f>
        <v/>
      </c>
      <c r="DN197" s="161">
        <f>IF(AZ197="","",IFERROR(AZ197*HSCEI!$B$44*HSCEI!$G$44/HSCEI!$B$3,""))</f>
        <v/>
      </c>
      <c r="DO197" s="161">
        <f>IF(BA197="","",IFERROR(BA197*HSCEI!$B$44*HSCEI!$G$44/HSCEI!$B$3,""))</f>
        <v/>
      </c>
      <c r="DP197" s="161">
        <f>IF(BB197="","",IFERROR(BB197*HSCEI!$B$44*HSCEI!$G$44/HSCEI!$B$3,""))</f>
        <v/>
      </c>
      <c r="DQ197" s="161">
        <f>IF(BC197="","",IFERROR(BC197*HSCEI!$B$44*HSCEI!$G$44/HSCEI!$B$3,""))</f>
        <v/>
      </c>
      <c r="DR197" s="161">
        <f>IF(BD197="","",IFERROR(BD197*HSCEI!$B$44*HSCEI!$G$44/HSCEI!$B$3,""))</f>
        <v/>
      </c>
      <c r="DS197" s="161">
        <f>IF(BE197="","",IFERROR(BE197*HSCEI!$B$44*HSCEI!$G$44/HSCEI!$B$3,""))</f>
        <v/>
      </c>
      <c r="DT197" s="161">
        <f>IF(BF197="","",IFERROR(BF197*HSCEI!$B$44*HSCEI!$G$44/HSCEI!$B$3,""))</f>
        <v/>
      </c>
      <c r="DU197" s="161">
        <f>IF(BG197="","",IFERROR(BG197*HSCEI!$B$44*HSCEI!$G$44/HSCEI!$B$3,""))</f>
        <v/>
      </c>
      <c r="DV197" s="161">
        <f>IF(BH197="","",IFERROR(BH197*HSCEI!$B$44*HSCEI!$G$44/HSCEI!$B$3,""))</f>
        <v/>
      </c>
      <c r="DW197" s="161">
        <f>IF(BI197="","",IFERROR(BI197*HSCEI!$B$44*HSCEI!$G$44/HSCEI!$B$3,""))</f>
        <v/>
      </c>
      <c r="DX197" s="161">
        <f>IF(BJ197="","",IFERROR(BJ197*HSCEI!$B$44*HSCEI!$G$44/HSCEI!$B$3,""))</f>
        <v/>
      </c>
      <c r="DY197" s="161">
        <f>IF(BK197="","",IFERROR(BK197*HSCEI!$B$44*HSCEI!$G$44/HSCEI!$B$3,""))</f>
        <v/>
      </c>
      <c r="DZ197" s="161">
        <f>IF(BL197="","",IFERROR(BL197*HSCEI!$B$44*HSCEI!$G$44/HSCEI!$B$3,""))</f>
        <v/>
      </c>
      <c r="EA197" s="161">
        <f>IF(BM197="","",IFERROR(BM197*HSCEI!$B$44*HSCEI!$G$44/HSCEI!$B$3,""))</f>
        <v/>
      </c>
      <c r="EB197" s="161">
        <f>IF(BN197="","",IFERROR(BN197*HSCEI!$B$44*HSCEI!$G$44/HSCEI!$B$3,""))</f>
        <v/>
      </c>
      <c r="EC197" s="161">
        <f>IF(BO197="","",IFERROR(BO197*HSCEI!$B$44*HSCEI!$G$44/HSCEI!$B$3,""))</f>
        <v/>
      </c>
      <c r="EE197" s="121">
        <f>IF(N('Dvd Calendar'!$E$1968)=0,"",IF(('Dvd Calendar'!$E$1968&gt;=GRID_FROM)*('Dvd Calendar'!$E$1968&lt;=GRID_TO)*((('Dvd Calendar'!$E$1968&lt;=VAL_DATE)+(COUNTIF('Dvd Calendar'!$E$1975:$AR$1975,'Dvd Calendar'!$E$1968)=0))&gt;0)=0,"",'Dvd Calendar'!$E$1968*1000000000+ISNUMBER('Dvd Calendar'!$E$1971)*100000000+('Dvd Calendar'!$E$1973=SPECIAL_LBL)*10000000+(N('Dvd Calendar'!$E$1967)&gt;0)*(N('Dvd Calendar'!$E$1967)&lt;=VAL_SERIAL)*1000000+38*1000+1))</f>
        <v/>
      </c>
      <c r="EF197" s="121">
        <f>IF(N('Dvd Calendar'!$F$1968)=0,"",IF(('Dvd Calendar'!$F$1968&gt;=GRID_FROM)*('Dvd Calendar'!$F$1968&lt;=GRID_TO)*((('Dvd Calendar'!$F$1968&lt;=VAL_DATE)+(COUNTIF('Dvd Calendar'!$E$1975:$AR$1975,'Dvd Calendar'!$F$1968)=0))&gt;0)=0,"",'Dvd Calendar'!$F$1968*1000000000+ISNUMBER('Dvd Calendar'!$F$1971)*100000000+('Dvd Calendar'!$F$1973=SPECIAL_LBL)*10000000+(N('Dvd Calendar'!$F$1967)&gt;0)*(N('Dvd Calendar'!$F$1967)&lt;=VAL_SERIAL)*1000000+38*1000+2))</f>
        <v/>
      </c>
      <c r="EG197" s="121">
        <f>IF(N('Dvd Calendar'!$G$1968)=0,"",IF(('Dvd Calendar'!$G$1968&gt;=GRID_FROM)*('Dvd Calendar'!$G$1968&lt;=GRID_TO)*((('Dvd Calendar'!$G$1968&lt;=VAL_DATE)+(COUNTIF('Dvd Calendar'!$E$1975:$AR$1975,'Dvd Calendar'!$G$1968)=0))&gt;0)=0,"",'Dvd Calendar'!$G$1968*1000000000+ISNUMBER('Dvd Calendar'!$G$1971)*100000000+('Dvd Calendar'!$G$1973=SPECIAL_LBL)*10000000+(N('Dvd Calendar'!$G$1967)&gt;0)*(N('Dvd Calendar'!$G$1967)&lt;=VAL_SERIAL)*1000000+38*1000+3))</f>
        <v/>
      </c>
      <c r="EH197" s="121">
        <f>IF(N('Dvd Calendar'!$H$1968)=0,"",IF(('Dvd Calendar'!$H$1968&gt;=GRID_FROM)*('Dvd Calendar'!$H$1968&lt;=GRID_TO)*((('Dvd Calendar'!$H$1968&lt;=VAL_DATE)+(COUNTIF('Dvd Calendar'!$E$1975:$AR$1975,'Dvd Calendar'!$H$1968)=0))&gt;0)=0,"",'Dvd Calendar'!$H$1968*1000000000+ISNUMBER('Dvd Calendar'!$H$1971)*100000000+('Dvd Calendar'!$H$1973=SPECIAL_LBL)*10000000+(N('Dvd Calendar'!$H$1967)&gt;0)*(N('Dvd Calendar'!$H$1967)&lt;=VAL_SERIAL)*1000000+38*1000+4))</f>
        <v/>
      </c>
      <c r="EI197" s="121">
        <f>IF(N('Dvd Calendar'!$I$1968)=0,"",IF(('Dvd Calendar'!$I$1968&gt;=GRID_FROM)*('Dvd Calendar'!$I$1968&lt;=GRID_TO)*((('Dvd Calendar'!$I$1968&lt;=VAL_DATE)+(COUNTIF('Dvd Calendar'!$E$1975:$AR$1975,'Dvd Calendar'!$I$1968)=0))&gt;0)=0,"",'Dvd Calendar'!$I$1968*1000000000+ISNUMBER('Dvd Calendar'!$I$1971)*100000000+('Dvd Calendar'!$I$1973=SPECIAL_LBL)*10000000+(N('Dvd Calendar'!$I$1967)&gt;0)*(N('Dvd Calendar'!$I$1967)&lt;=VAL_SERIAL)*1000000+38*1000+5))</f>
        <v/>
      </c>
      <c r="EJ197" s="121">
        <f>IF(N('Dvd Calendar'!$J$1968)=0,"",IF(('Dvd Calendar'!$J$1968&gt;=GRID_FROM)*('Dvd Calendar'!$J$1968&lt;=GRID_TO)*((('Dvd Calendar'!$J$1968&lt;=VAL_DATE)+(COUNTIF('Dvd Calendar'!$E$1975:$AR$1975,'Dvd Calendar'!$J$1968)=0))&gt;0)=0,"",'Dvd Calendar'!$J$1968*1000000000+ISNUMBER('Dvd Calendar'!$J$1971)*100000000+('Dvd Calendar'!$J$1973=SPECIAL_LBL)*10000000+(N('Dvd Calendar'!$J$1967)&gt;0)*(N('Dvd Calendar'!$J$1967)&lt;=VAL_SERIAL)*1000000+38*1000+6))</f>
        <v/>
      </c>
      <c r="EK197" s="121">
        <f>IF(N('Dvd Calendar'!$K$1968)=0,"",IF(('Dvd Calendar'!$K$1968&gt;=GRID_FROM)*('Dvd Calendar'!$K$1968&lt;=GRID_TO)*((('Dvd Calendar'!$K$1968&lt;=VAL_DATE)+(COUNTIF('Dvd Calendar'!$E$1975:$AR$1975,'Dvd Calendar'!$K$1968)=0))&gt;0)=0,"",'Dvd Calendar'!$K$1968*1000000000+ISNUMBER('Dvd Calendar'!$K$1971)*100000000+('Dvd Calendar'!$K$1973=SPECIAL_LBL)*10000000+(N('Dvd Calendar'!$K$1967)&gt;0)*(N('Dvd Calendar'!$K$1967)&lt;=VAL_SERIAL)*1000000+38*1000+7))</f>
        <v/>
      </c>
      <c r="EL197" s="121">
        <f>IF(N('Dvd Calendar'!$L$1968)=0,"",IF(('Dvd Calendar'!$L$1968&gt;=GRID_FROM)*('Dvd Calendar'!$L$1968&lt;=GRID_TO)*((('Dvd Calendar'!$L$1968&lt;=VAL_DATE)+(COUNTIF('Dvd Calendar'!$E$1975:$AR$1975,'Dvd Calendar'!$L$1968)=0))&gt;0)=0,"",'Dvd Calendar'!$L$1968*1000000000+ISNUMBER('Dvd Calendar'!$L$1971)*100000000+('Dvd Calendar'!$L$1973=SPECIAL_LBL)*10000000+(N('Dvd Calendar'!$L$1967)&gt;0)*(N('Dvd Calendar'!$L$1967)&lt;=VAL_SERIAL)*1000000+38*1000+8))</f>
        <v/>
      </c>
      <c r="EM197" s="121">
        <f>IF(N('Dvd Calendar'!$M$1968)=0,"",IF(('Dvd Calendar'!$M$1968&gt;=GRID_FROM)*('Dvd Calendar'!$M$1968&lt;=GRID_TO)*((('Dvd Calendar'!$M$1968&lt;=VAL_DATE)+(COUNTIF('Dvd Calendar'!$E$1975:$AR$1975,'Dvd Calendar'!$M$1968)=0))&gt;0)=0,"",'Dvd Calendar'!$M$1968*1000000000+ISNUMBER('Dvd Calendar'!$M$1971)*100000000+('Dvd Calendar'!$M$1973=SPECIAL_LBL)*10000000+(N('Dvd Calendar'!$M$1967)&gt;0)*(N('Dvd Calendar'!$M$1967)&lt;=VAL_SERIAL)*1000000+38*1000+9))</f>
        <v/>
      </c>
      <c r="EN197" s="121">
        <f>IF(N('Dvd Calendar'!$N$1968)=0,"",IF(('Dvd Calendar'!$N$1968&gt;=GRID_FROM)*('Dvd Calendar'!$N$1968&lt;=GRID_TO)*((('Dvd Calendar'!$N$1968&lt;=VAL_DATE)+(COUNTIF('Dvd Calendar'!$E$1975:$AR$1975,'Dvd Calendar'!$N$1968)=0))&gt;0)=0,"",'Dvd Calendar'!$N$1968*1000000000+ISNUMBER('Dvd Calendar'!$N$1971)*100000000+('Dvd Calendar'!$N$1973=SPECIAL_LBL)*10000000+(N('Dvd Calendar'!$N$1967)&gt;0)*(N('Dvd Calendar'!$N$1967)&lt;=VAL_SERIAL)*1000000+38*1000+10))</f>
        <v/>
      </c>
      <c r="EO197" s="121">
        <f>IF(N('Dvd Calendar'!$O$1968)=0,"",IF(('Dvd Calendar'!$O$1968&gt;=GRID_FROM)*('Dvd Calendar'!$O$1968&lt;=GRID_TO)*((('Dvd Calendar'!$O$1968&lt;=VAL_DATE)+(COUNTIF('Dvd Calendar'!$E$1975:$AR$1975,'Dvd Calendar'!$O$1968)=0))&gt;0)=0,"",'Dvd Calendar'!$O$1968*1000000000+ISNUMBER('Dvd Calendar'!$O$1971)*100000000+('Dvd Calendar'!$O$1973=SPECIAL_LBL)*10000000+(N('Dvd Calendar'!$O$1967)&gt;0)*(N('Dvd Calendar'!$O$1967)&lt;=VAL_SERIAL)*1000000+38*1000+11))</f>
        <v/>
      </c>
      <c r="EP197" s="121">
        <f>IF(N('Dvd Calendar'!$P$1968)=0,"",IF(('Dvd Calendar'!$P$1968&gt;=GRID_FROM)*('Dvd Calendar'!$P$1968&lt;=GRID_TO)*((('Dvd Calendar'!$P$1968&lt;=VAL_DATE)+(COUNTIF('Dvd Calendar'!$E$1975:$AR$1975,'Dvd Calendar'!$P$1968)=0))&gt;0)=0,"",'Dvd Calendar'!$P$1968*1000000000+ISNUMBER('Dvd Calendar'!$P$1971)*100000000+('Dvd Calendar'!$P$1973=SPECIAL_LBL)*10000000+(N('Dvd Calendar'!$P$1967)&gt;0)*(N('Dvd Calendar'!$P$1967)&lt;=VAL_SERIAL)*1000000+38*1000+12))</f>
        <v/>
      </c>
      <c r="EQ197" s="121">
        <f>IF(N('Dvd Calendar'!$Q$1968)=0,"",IF(('Dvd Calendar'!$Q$1968&gt;=GRID_FROM)*('Dvd Calendar'!$Q$1968&lt;=GRID_TO)*((('Dvd Calendar'!$Q$1968&lt;=VAL_DATE)+(COUNTIF('Dvd Calendar'!$E$1975:$AR$1975,'Dvd Calendar'!$Q$1968)=0))&gt;0)=0,"",'Dvd Calendar'!$Q$1968*1000000000+ISNUMBER('Dvd Calendar'!$Q$1971)*100000000+('Dvd Calendar'!$Q$1973=SPECIAL_LBL)*10000000+(N('Dvd Calendar'!$Q$1967)&gt;0)*(N('Dvd Calendar'!$Q$1967)&lt;=VAL_SERIAL)*1000000+38*1000+13))</f>
        <v/>
      </c>
      <c r="ER197" s="121">
        <f>IF(N('Dvd Calendar'!$R$1968)=0,"",IF(('Dvd Calendar'!$R$1968&gt;=GRID_FROM)*('Dvd Calendar'!$R$1968&lt;=GRID_TO)*((('Dvd Calendar'!$R$1968&lt;=VAL_DATE)+(COUNTIF('Dvd Calendar'!$E$1975:$AR$1975,'Dvd Calendar'!$R$1968)=0))&gt;0)=0,"",'Dvd Calendar'!$R$1968*1000000000+ISNUMBER('Dvd Calendar'!$R$1971)*100000000+('Dvd Calendar'!$R$1973=SPECIAL_LBL)*10000000+(N('Dvd Calendar'!$R$1967)&gt;0)*(N('Dvd Calendar'!$R$1967)&lt;=VAL_SERIAL)*1000000+38*1000+14))</f>
        <v/>
      </c>
      <c r="ES197" s="121">
        <f>IF(N('Dvd Calendar'!$S$1968)=0,"",IF(('Dvd Calendar'!$S$1968&gt;=GRID_FROM)*('Dvd Calendar'!$S$1968&lt;=GRID_TO)*((('Dvd Calendar'!$S$1968&lt;=VAL_DATE)+(COUNTIF('Dvd Calendar'!$E$1975:$AR$1975,'Dvd Calendar'!$S$1968)=0))&gt;0)=0,"",'Dvd Calendar'!$S$1968*1000000000+ISNUMBER('Dvd Calendar'!$S$1971)*100000000+('Dvd Calendar'!$S$1973=SPECIAL_LBL)*10000000+(N('Dvd Calendar'!$S$1967)&gt;0)*(N('Dvd Calendar'!$S$1967)&lt;=VAL_SERIAL)*1000000+38*1000+15))</f>
        <v/>
      </c>
      <c r="ET197" s="121">
        <f>IF(N('Dvd Calendar'!$T$1968)=0,"",IF(('Dvd Calendar'!$T$1968&gt;=GRID_FROM)*('Dvd Calendar'!$T$1968&lt;=GRID_TO)*((('Dvd Calendar'!$T$1968&lt;=VAL_DATE)+(COUNTIF('Dvd Calendar'!$E$1975:$AR$1975,'Dvd Calendar'!$T$1968)=0))&gt;0)=0,"",'Dvd Calendar'!$T$1968*1000000000+ISNUMBER('Dvd Calendar'!$T$1971)*100000000+('Dvd Calendar'!$T$1973=SPECIAL_LBL)*10000000+(N('Dvd Calendar'!$T$1967)&gt;0)*(N('Dvd Calendar'!$T$1967)&lt;=VAL_SERIAL)*1000000+38*1000+16))</f>
        <v/>
      </c>
      <c r="EU197" s="121">
        <f>IF(N('Dvd Calendar'!$U$1968)=0,"",IF(('Dvd Calendar'!$U$1968&gt;=GRID_FROM)*('Dvd Calendar'!$U$1968&lt;=GRID_TO)*((('Dvd Calendar'!$U$1968&lt;=VAL_DATE)+(COUNTIF('Dvd Calendar'!$E$1975:$AR$1975,'Dvd Calendar'!$U$1968)=0))&gt;0)=0,"",'Dvd Calendar'!$U$1968*1000000000+ISNUMBER('Dvd Calendar'!$U$1971)*100000000+('Dvd Calendar'!$U$1973=SPECIAL_LBL)*10000000+(N('Dvd Calendar'!$U$1967)&gt;0)*(N('Dvd Calendar'!$U$1967)&lt;=VAL_SERIAL)*1000000+38*1000+17))</f>
        <v/>
      </c>
      <c r="EV197" s="121">
        <f>IF(N('Dvd Calendar'!$V$1968)=0,"",IF(('Dvd Calendar'!$V$1968&gt;=GRID_FROM)*('Dvd Calendar'!$V$1968&lt;=GRID_TO)*((('Dvd Calendar'!$V$1968&lt;=VAL_DATE)+(COUNTIF('Dvd Calendar'!$E$1975:$AR$1975,'Dvd Calendar'!$V$1968)=0))&gt;0)=0,"",'Dvd Calendar'!$V$1968*1000000000+ISNUMBER('Dvd Calendar'!$V$1971)*100000000+('Dvd Calendar'!$V$1973=SPECIAL_LBL)*10000000+(N('Dvd Calendar'!$V$1967)&gt;0)*(N('Dvd Calendar'!$V$1967)&lt;=VAL_SERIAL)*1000000+38*1000+18))</f>
        <v/>
      </c>
      <c r="EW197" s="121">
        <f>IF(N('Dvd Calendar'!$W$1968)=0,"",IF(('Dvd Calendar'!$W$1968&gt;=GRID_FROM)*('Dvd Calendar'!$W$1968&lt;=GRID_TO)*((('Dvd Calendar'!$W$1968&lt;=VAL_DATE)+(COUNTIF('Dvd Calendar'!$E$1975:$AR$1975,'Dvd Calendar'!$W$1968)=0))&gt;0)=0,"",'Dvd Calendar'!$W$1968*1000000000+ISNUMBER('Dvd Calendar'!$W$1971)*100000000+('Dvd Calendar'!$W$1973=SPECIAL_LBL)*10000000+(N('Dvd Calendar'!$W$1967)&gt;0)*(N('Dvd Calendar'!$W$1967)&lt;=VAL_SERIAL)*1000000+38*1000+19))</f>
        <v/>
      </c>
      <c r="EX197" s="121">
        <f>IF(N('Dvd Calendar'!$X$1968)=0,"",IF(('Dvd Calendar'!$X$1968&gt;=GRID_FROM)*('Dvd Calendar'!$X$1968&lt;=GRID_TO)*((('Dvd Calendar'!$X$1968&lt;=VAL_DATE)+(COUNTIF('Dvd Calendar'!$E$1975:$AR$1975,'Dvd Calendar'!$X$1968)=0))&gt;0)=0,"",'Dvd Calendar'!$X$1968*1000000000+ISNUMBER('Dvd Calendar'!$X$1971)*100000000+('Dvd Calendar'!$X$1973=SPECIAL_LBL)*10000000+(N('Dvd Calendar'!$X$1967)&gt;0)*(N('Dvd Calendar'!$X$1967)&lt;=VAL_SERIAL)*1000000+38*1000+20))</f>
        <v/>
      </c>
      <c r="EY197" s="121">
        <f>IF(N('Dvd Calendar'!$Y$1968)=0,"",IF(('Dvd Calendar'!$Y$1968&gt;=GRID_FROM)*('Dvd Calendar'!$Y$1968&lt;=GRID_TO)*((('Dvd Calendar'!$Y$1968&lt;=VAL_DATE)+(COUNTIF('Dvd Calendar'!$E$1975:$AR$1975,'Dvd Calendar'!$Y$1968)=0))&gt;0)=0,"",'Dvd Calendar'!$Y$1968*1000000000+ISNUMBER('Dvd Calendar'!$Y$1971)*100000000+('Dvd Calendar'!$Y$1973=SPECIAL_LBL)*10000000+(N('Dvd Calendar'!$Y$1967)&gt;0)*(N('Dvd Calendar'!$Y$1967)&lt;=VAL_SERIAL)*1000000+38*1000+21))</f>
        <v/>
      </c>
      <c r="EZ197" s="121">
        <f>IF(N('Dvd Calendar'!$Z$1968)=0,"",IF(('Dvd Calendar'!$Z$1968&gt;=GRID_FROM)*('Dvd Calendar'!$Z$1968&lt;=GRID_TO)*((('Dvd Calendar'!$Z$1968&lt;=VAL_DATE)+(COUNTIF('Dvd Calendar'!$E$1975:$AR$1975,'Dvd Calendar'!$Z$1968)=0))&gt;0)=0,"",'Dvd Calendar'!$Z$1968*1000000000+ISNUMBER('Dvd Calendar'!$Z$1971)*100000000+('Dvd Calendar'!$Z$1973=SPECIAL_LBL)*10000000+(N('Dvd Calendar'!$Z$1967)&gt;0)*(N('Dvd Calendar'!$Z$1967)&lt;=VAL_SERIAL)*1000000+38*1000+22))</f>
        <v/>
      </c>
      <c r="FA197" s="121">
        <f>IF(N('Dvd Calendar'!$AA$1968)=0,"",IF(('Dvd Calendar'!$AA$1968&gt;=GRID_FROM)*('Dvd Calendar'!$AA$1968&lt;=GRID_TO)*((('Dvd Calendar'!$AA$1968&lt;=VAL_DATE)+(COUNTIF('Dvd Calendar'!$E$1975:$AR$1975,'Dvd Calendar'!$AA$1968)=0))&gt;0)=0,"",'Dvd Calendar'!$AA$1968*1000000000+ISNUMBER('Dvd Calendar'!$AA$1971)*100000000+('Dvd Calendar'!$AA$1973=SPECIAL_LBL)*10000000+(N('Dvd Calendar'!$AA$1967)&gt;0)*(N('Dvd Calendar'!$AA$1967)&lt;=VAL_SERIAL)*1000000+38*1000+23))</f>
        <v/>
      </c>
      <c r="FB197" s="121">
        <f>IF(N('Dvd Calendar'!$AB$1968)=0,"",IF(('Dvd Calendar'!$AB$1968&gt;=GRID_FROM)*('Dvd Calendar'!$AB$1968&lt;=GRID_TO)*((('Dvd Calendar'!$AB$1968&lt;=VAL_DATE)+(COUNTIF('Dvd Calendar'!$E$1975:$AR$1975,'Dvd Calendar'!$AB$1968)=0))&gt;0)=0,"",'Dvd Calendar'!$AB$1968*1000000000+ISNUMBER('Dvd Calendar'!$AB$1971)*100000000+('Dvd Calendar'!$AB$1973=SPECIAL_LBL)*10000000+(N('Dvd Calendar'!$AB$1967)&gt;0)*(N('Dvd Calendar'!$AB$1967)&lt;=VAL_SERIAL)*1000000+38*1000+24))</f>
        <v/>
      </c>
      <c r="FC197" s="121">
        <f>IF(N('Dvd Calendar'!$AC$1968)=0,"",IF(('Dvd Calendar'!$AC$1968&gt;=GRID_FROM)*('Dvd Calendar'!$AC$1968&lt;=GRID_TO)*((('Dvd Calendar'!$AC$1968&lt;=VAL_DATE)+(COUNTIF('Dvd Calendar'!$E$1975:$AR$1975,'Dvd Calendar'!$AC$1968)=0))&gt;0)=0,"",'Dvd Calendar'!$AC$1968*1000000000+ISNUMBER('Dvd Calendar'!$AC$1971)*100000000+('Dvd Calendar'!$AC$1973=SPECIAL_LBL)*10000000+(N('Dvd Calendar'!$AC$1967)&gt;0)*(N('Dvd Calendar'!$AC$1967)&lt;=VAL_SERIAL)*1000000+38*1000+25))</f>
        <v/>
      </c>
      <c r="FD197" s="121">
        <f>IF(N('Dvd Calendar'!$AD$1968)=0,"",IF(('Dvd Calendar'!$AD$1968&gt;=GRID_FROM)*('Dvd Calendar'!$AD$1968&lt;=GRID_TO)*((('Dvd Calendar'!$AD$1968&lt;=VAL_DATE)+(COUNTIF('Dvd Calendar'!$E$1975:$AR$1975,'Dvd Calendar'!$AD$1968)=0))&gt;0)=0,"",'Dvd Calendar'!$AD$1968*1000000000+ISNUMBER('Dvd Calendar'!$AD$1971)*100000000+('Dvd Calendar'!$AD$1973=SPECIAL_LBL)*10000000+(N('Dvd Calendar'!$AD$1967)&gt;0)*(N('Dvd Calendar'!$AD$1967)&lt;=VAL_SERIAL)*1000000+38*1000+26))</f>
        <v/>
      </c>
      <c r="FE197" s="121">
        <f>IF(N('Dvd Calendar'!$AE$1968)=0,"",IF(('Dvd Calendar'!$AE$1968&gt;=GRID_FROM)*('Dvd Calendar'!$AE$1968&lt;=GRID_TO)*((('Dvd Calendar'!$AE$1968&lt;=VAL_DATE)+(COUNTIF('Dvd Calendar'!$E$1975:$AR$1975,'Dvd Calendar'!$AE$1968)=0))&gt;0)=0,"",'Dvd Calendar'!$AE$1968*1000000000+ISNUMBER('Dvd Calendar'!$AE$1971)*100000000+('Dvd Calendar'!$AE$1973=SPECIAL_LBL)*10000000+(N('Dvd Calendar'!$AE$1967)&gt;0)*(N('Dvd Calendar'!$AE$1967)&lt;=VAL_SERIAL)*1000000+38*1000+27))</f>
        <v/>
      </c>
      <c r="FF197" s="121">
        <f>IF(N('Dvd Calendar'!$AF$1968)=0,"",IF(('Dvd Calendar'!$AF$1968&gt;=GRID_FROM)*('Dvd Calendar'!$AF$1968&lt;=GRID_TO)*((('Dvd Calendar'!$AF$1968&lt;=VAL_DATE)+(COUNTIF('Dvd Calendar'!$E$1975:$AR$1975,'Dvd Calendar'!$AF$1968)=0))&gt;0)=0,"",'Dvd Calendar'!$AF$1968*1000000000+ISNUMBER('Dvd Calendar'!$AF$1971)*100000000+('Dvd Calendar'!$AF$1973=SPECIAL_LBL)*10000000+(N('Dvd Calendar'!$AF$1967)&gt;0)*(N('Dvd Calendar'!$AF$1967)&lt;=VAL_SERIAL)*1000000+38*1000+28))</f>
        <v/>
      </c>
      <c r="FG197" s="121">
        <f>IF(N('Dvd Calendar'!$AG$1968)=0,"",IF(('Dvd Calendar'!$AG$1968&gt;=GRID_FROM)*('Dvd Calendar'!$AG$1968&lt;=GRID_TO)*((('Dvd Calendar'!$AG$1968&lt;=VAL_DATE)+(COUNTIF('Dvd Calendar'!$E$1975:$AR$1975,'Dvd Calendar'!$AG$1968)=0))&gt;0)=0,"",'Dvd Calendar'!$AG$1968*1000000000+ISNUMBER('Dvd Calendar'!$AG$1971)*100000000+('Dvd Calendar'!$AG$1973=SPECIAL_LBL)*10000000+(N('Dvd Calendar'!$AG$1967)&gt;0)*(N('Dvd Calendar'!$AG$1967)&lt;=VAL_SERIAL)*1000000+38*1000+29))</f>
        <v/>
      </c>
      <c r="FH197" s="121">
        <f>IF(N('Dvd Calendar'!$AH$1968)=0,"",IF(('Dvd Calendar'!$AH$1968&gt;=GRID_FROM)*('Dvd Calendar'!$AH$1968&lt;=GRID_TO)*((('Dvd Calendar'!$AH$1968&lt;=VAL_DATE)+(COUNTIF('Dvd Calendar'!$E$1975:$AR$1975,'Dvd Calendar'!$AH$1968)=0))&gt;0)=0,"",'Dvd Calendar'!$AH$1968*1000000000+ISNUMBER('Dvd Calendar'!$AH$1971)*100000000+('Dvd Calendar'!$AH$1973=SPECIAL_LBL)*10000000+(N('Dvd Calendar'!$AH$1967)&gt;0)*(N('Dvd Calendar'!$AH$1967)&lt;=VAL_SERIAL)*1000000+38*1000+30))</f>
        <v/>
      </c>
      <c r="FI197" s="121">
        <f>IF(N('Dvd Calendar'!$AI$1968)=0,"",IF(('Dvd Calendar'!$AI$1968&gt;=GRID_FROM)*('Dvd Calendar'!$AI$1968&lt;=GRID_TO)*((('Dvd Calendar'!$AI$1968&lt;=VAL_DATE)+(COUNTIF('Dvd Calendar'!$E$1975:$AR$1975,'Dvd Calendar'!$AI$1968)=0))&gt;0)=0,"",'Dvd Calendar'!$AI$1968*1000000000+ISNUMBER('Dvd Calendar'!$AI$1971)*100000000+('Dvd Calendar'!$AI$1973=SPECIAL_LBL)*10000000+(N('Dvd Calendar'!$AI$1967)&gt;0)*(N('Dvd Calendar'!$AI$1967)&lt;=VAL_SERIAL)*1000000+38*1000+31))</f>
        <v/>
      </c>
      <c r="FJ197" s="121">
        <f>IF(N('Dvd Calendar'!$AJ$1968)=0,"",IF(('Dvd Calendar'!$AJ$1968&gt;=GRID_FROM)*('Dvd Calendar'!$AJ$1968&lt;=GRID_TO)*((('Dvd Calendar'!$AJ$1968&lt;=VAL_DATE)+(COUNTIF('Dvd Calendar'!$E$1975:$AR$1975,'Dvd Calendar'!$AJ$1968)=0))&gt;0)=0,"",'Dvd Calendar'!$AJ$1968*1000000000+ISNUMBER('Dvd Calendar'!$AJ$1971)*100000000+('Dvd Calendar'!$AJ$1973=SPECIAL_LBL)*10000000+(N('Dvd Calendar'!$AJ$1967)&gt;0)*(N('Dvd Calendar'!$AJ$1967)&lt;=VAL_SERIAL)*1000000+38*1000+32))</f>
        <v/>
      </c>
      <c r="FK197" s="121">
        <f>IF(N('Dvd Calendar'!$AK$1968)=0,"",IF(('Dvd Calendar'!$AK$1968&gt;=GRID_FROM)*('Dvd Calendar'!$AK$1968&lt;=GRID_TO)*((('Dvd Calendar'!$AK$1968&lt;=VAL_DATE)+(COUNTIF('Dvd Calendar'!$E$1975:$AR$1975,'Dvd Calendar'!$AK$1968)=0))&gt;0)=0,"",'Dvd Calendar'!$AK$1968*1000000000+ISNUMBER('Dvd Calendar'!$AK$1971)*100000000+('Dvd Calendar'!$AK$1973=SPECIAL_LBL)*10000000+(N('Dvd Calendar'!$AK$1967)&gt;0)*(N('Dvd Calendar'!$AK$1967)&lt;=VAL_SERIAL)*1000000+38*1000+33))</f>
        <v/>
      </c>
      <c r="FL197" s="121">
        <f>IF(N('Dvd Calendar'!$AL$1968)=0,"",IF(('Dvd Calendar'!$AL$1968&gt;=GRID_FROM)*('Dvd Calendar'!$AL$1968&lt;=GRID_TO)*((('Dvd Calendar'!$AL$1968&lt;=VAL_DATE)+(COUNTIF('Dvd Calendar'!$E$1975:$AR$1975,'Dvd Calendar'!$AL$1968)=0))&gt;0)=0,"",'Dvd Calendar'!$AL$1968*1000000000+ISNUMBER('Dvd Calendar'!$AL$1971)*100000000+('Dvd Calendar'!$AL$1973=SPECIAL_LBL)*10000000+(N('Dvd Calendar'!$AL$1967)&gt;0)*(N('Dvd Calendar'!$AL$1967)&lt;=VAL_SERIAL)*1000000+38*1000+34))</f>
        <v/>
      </c>
      <c r="FM197" s="121">
        <f>IF(N('Dvd Calendar'!$AM$1968)=0,"",IF(('Dvd Calendar'!$AM$1968&gt;=GRID_FROM)*('Dvd Calendar'!$AM$1968&lt;=GRID_TO)*((('Dvd Calendar'!$AM$1968&lt;=VAL_DATE)+(COUNTIF('Dvd Calendar'!$E$1975:$AR$1975,'Dvd Calendar'!$AM$1968)=0))&gt;0)=0,"",'Dvd Calendar'!$AM$1968*1000000000+ISNUMBER('Dvd Calendar'!$AM$1971)*100000000+('Dvd Calendar'!$AM$1973=SPECIAL_LBL)*10000000+(N('Dvd Calendar'!$AM$1967)&gt;0)*(N('Dvd Calendar'!$AM$1967)&lt;=VAL_SERIAL)*1000000+38*1000+35))</f>
        <v/>
      </c>
      <c r="FN197" s="121">
        <f>IF(N('Dvd Calendar'!$AN$1968)=0,"",IF(('Dvd Calendar'!$AN$1968&gt;=GRID_FROM)*('Dvd Calendar'!$AN$1968&lt;=GRID_TO)*((('Dvd Calendar'!$AN$1968&lt;=VAL_DATE)+(COUNTIF('Dvd Calendar'!$E$1975:$AR$1975,'Dvd Calendar'!$AN$1968)=0))&gt;0)=0,"",'Dvd Calendar'!$AN$1968*1000000000+ISNUMBER('Dvd Calendar'!$AN$1971)*100000000+('Dvd Calendar'!$AN$1973=SPECIAL_LBL)*10000000+(N('Dvd Calendar'!$AN$1967)&gt;0)*(N('Dvd Calendar'!$AN$1967)&lt;=VAL_SERIAL)*1000000+38*1000+36))</f>
        <v/>
      </c>
      <c r="FO197" s="121">
        <f>IF(N('Dvd Calendar'!$AO$1968)=0,"",IF(('Dvd Calendar'!$AO$1968&gt;=GRID_FROM)*('Dvd Calendar'!$AO$1968&lt;=GRID_TO)*((('Dvd Calendar'!$AO$1968&lt;=VAL_DATE)+(COUNTIF('Dvd Calendar'!$E$1975:$AR$1975,'Dvd Calendar'!$AO$1968)=0))&gt;0)=0,"",'Dvd Calendar'!$AO$1968*1000000000+ISNUMBER('Dvd Calendar'!$AO$1971)*100000000+('Dvd Calendar'!$AO$1973=SPECIAL_LBL)*10000000+(N('Dvd Calendar'!$AO$1967)&gt;0)*(N('Dvd Calendar'!$AO$1967)&lt;=VAL_SERIAL)*1000000+38*1000+37))</f>
        <v/>
      </c>
      <c r="FP197" s="121">
        <f>IF(N('Dvd Calendar'!$AP$1968)=0,"",IF(('Dvd Calendar'!$AP$1968&gt;=GRID_FROM)*('Dvd Calendar'!$AP$1968&lt;=GRID_TO)*((('Dvd Calendar'!$AP$1968&lt;=VAL_DATE)+(COUNTIF('Dvd Calendar'!$E$1975:$AR$1975,'Dvd Calendar'!$AP$1968)=0))&gt;0)=0,"",'Dvd Calendar'!$AP$1968*1000000000+ISNUMBER('Dvd Calendar'!$AP$1971)*100000000+('Dvd Calendar'!$AP$1973=SPECIAL_LBL)*10000000+(N('Dvd Calendar'!$AP$1967)&gt;0)*(N('Dvd Calendar'!$AP$1967)&lt;=VAL_SERIAL)*1000000+38*1000+38))</f>
        <v/>
      </c>
      <c r="FQ197" s="121">
        <f>IF(N('Dvd Calendar'!$AQ$1968)=0,"",IF(('Dvd Calendar'!$AQ$1968&gt;=GRID_FROM)*('Dvd Calendar'!$AQ$1968&lt;=GRID_TO)*((('Dvd Calendar'!$AQ$1968&lt;=VAL_DATE)+(COUNTIF('Dvd Calendar'!$E$1975:$AR$1975,'Dvd Calendar'!$AQ$1968)=0))&gt;0)=0,"",'Dvd Calendar'!$AQ$1968*1000000000+ISNUMBER('Dvd Calendar'!$AQ$1971)*100000000+('Dvd Calendar'!$AQ$1973=SPECIAL_LBL)*10000000+(N('Dvd Calendar'!$AQ$1967)&gt;0)*(N('Dvd Calendar'!$AQ$1967)&lt;=VAL_SERIAL)*1000000+38*1000+39))</f>
        <v/>
      </c>
      <c r="FR197" s="121">
        <f>IF(N('Dvd Calendar'!$AR$1968)=0,"",IF(('Dvd Calendar'!$AR$1968&gt;=GRID_FROM)*('Dvd Calendar'!$AR$1968&lt;=GRID_TO)*((('Dvd Calendar'!$AR$1968&lt;=VAL_DATE)+(COUNTIF('Dvd Calendar'!$E$1975:$AR$1975,'Dvd Calendar'!$AR$1968)=0))&gt;0)=0,"",'Dvd Calendar'!$AR$1968*1000000000+ISNUMBER('Dvd Calendar'!$AR$1971)*100000000+('Dvd Calendar'!$AR$1973=SPECIAL_LBL)*10000000+(N('Dvd Calendar'!$AR$1967)&gt;0)*(N('Dvd Calendar'!$AR$1967)&lt;=VAL_SERIAL)*1000000+38*1000+40))</f>
        <v/>
      </c>
      <c r="FS197" s="121">
        <f>IF(N('Dvd Calendar'!$E$1975)=0,"",IF(('Dvd Calendar'!$E$1975&gt;=GRID_FROM)*('Dvd Calendar'!$E$1975&lt;=GRID_TO)*('Dvd Calendar'!$E$1975&gt;VAL_DATE)=0,"",'Dvd Calendar'!$E$1975*1000000000+ISNUMBER('Dvd Calendar'!$E$1976)*100000000+0*10000000+(N('Dvd Calendar'!$E$1974)&gt;0)*(N('Dvd Calendar'!$E$1974)&lt;=VAL_SERIAL)*1000000+38*1000+41))</f>
        <v/>
      </c>
      <c r="FT197" s="121">
        <f>IF(N('Dvd Calendar'!$F$1975)=0,"",IF(('Dvd Calendar'!$F$1975&gt;=GRID_FROM)*('Dvd Calendar'!$F$1975&lt;=GRID_TO)*('Dvd Calendar'!$F$1975&gt;VAL_DATE)=0,"",'Dvd Calendar'!$F$1975*1000000000+ISNUMBER('Dvd Calendar'!$F$1976)*100000000+0*10000000+(N('Dvd Calendar'!$F$1974)&gt;0)*(N('Dvd Calendar'!$F$1974)&lt;=VAL_SERIAL)*1000000+38*1000+42))</f>
        <v/>
      </c>
      <c r="FU197" s="121">
        <f>IF(N('Dvd Calendar'!$G$1975)=0,"",IF(('Dvd Calendar'!$G$1975&gt;=GRID_FROM)*('Dvd Calendar'!$G$1975&lt;=GRID_TO)*('Dvd Calendar'!$G$1975&gt;VAL_DATE)=0,"",'Dvd Calendar'!$G$1975*1000000000+ISNUMBER('Dvd Calendar'!$G$1976)*100000000+0*10000000+(N('Dvd Calendar'!$G$1974)&gt;0)*(N('Dvd Calendar'!$G$1974)&lt;=VAL_SERIAL)*1000000+38*1000+43))</f>
        <v/>
      </c>
      <c r="FV197" s="121">
        <f>IF(N('Dvd Calendar'!$H$1975)=0,"",IF(('Dvd Calendar'!$H$1975&gt;=GRID_FROM)*('Dvd Calendar'!$H$1975&lt;=GRID_TO)*('Dvd Calendar'!$H$1975&gt;VAL_DATE)=0,"",'Dvd Calendar'!$H$1975*1000000000+ISNUMBER('Dvd Calendar'!$H$1976)*100000000+0*10000000+(N('Dvd Calendar'!$H$1974)&gt;0)*(N('Dvd Calendar'!$H$1974)&lt;=VAL_SERIAL)*1000000+38*1000+44))</f>
        <v/>
      </c>
      <c r="FW197" s="121">
        <f>IF(N('Dvd Calendar'!$I$1975)=0,"",IF(('Dvd Calendar'!$I$1975&gt;=GRID_FROM)*('Dvd Calendar'!$I$1975&lt;=GRID_TO)*('Dvd Calendar'!$I$1975&gt;VAL_DATE)=0,"",'Dvd Calendar'!$I$1975*1000000000+ISNUMBER('Dvd Calendar'!$I$1976)*100000000+0*10000000+(N('Dvd Calendar'!$I$1974)&gt;0)*(N('Dvd Calendar'!$I$1974)&lt;=VAL_SERIAL)*1000000+38*1000+45))</f>
        <v/>
      </c>
      <c r="FX197" s="121">
        <f>IF(N('Dvd Calendar'!$J$1975)=0,"",IF(('Dvd Calendar'!$J$1975&gt;=GRID_FROM)*('Dvd Calendar'!$J$1975&lt;=GRID_TO)*('Dvd Calendar'!$J$1975&gt;VAL_DATE)=0,"",'Dvd Calendar'!$J$1975*1000000000+ISNUMBER('Dvd Calendar'!$J$1976)*100000000+0*10000000+(N('Dvd Calendar'!$J$1974)&gt;0)*(N('Dvd Calendar'!$J$1974)&lt;=VAL_SERIAL)*1000000+38*1000+46))</f>
        <v/>
      </c>
      <c r="FY197" s="121">
        <f>IF(N('Dvd Calendar'!$K$1975)=0,"",IF(('Dvd Calendar'!$K$1975&gt;=GRID_FROM)*('Dvd Calendar'!$K$1975&lt;=GRID_TO)*('Dvd Calendar'!$K$1975&gt;VAL_DATE)=0,"",'Dvd Calendar'!$K$1975*1000000000+ISNUMBER('Dvd Calendar'!$K$1976)*100000000+0*10000000+(N('Dvd Calendar'!$K$1974)&gt;0)*(N('Dvd Calendar'!$K$1974)&lt;=VAL_SERIAL)*1000000+38*1000+47))</f>
        <v/>
      </c>
      <c r="FZ197" s="121">
        <f>IF(N('Dvd Calendar'!$L$1975)=0,"",IF(('Dvd Calendar'!$L$1975&gt;=GRID_FROM)*('Dvd Calendar'!$L$1975&lt;=GRID_TO)*('Dvd Calendar'!$L$1975&gt;VAL_DATE)=0,"",'Dvd Calendar'!$L$1975*1000000000+ISNUMBER('Dvd Calendar'!$L$1976)*100000000+0*10000000+(N('Dvd Calendar'!$L$1974)&gt;0)*(N('Dvd Calendar'!$L$1974)&lt;=VAL_SERIAL)*1000000+38*1000+48))</f>
        <v/>
      </c>
      <c r="GA197" s="121">
        <f>IF(N('Dvd Calendar'!$M$1975)=0,"",IF(('Dvd Calendar'!$M$1975&gt;=GRID_FROM)*('Dvd Calendar'!$M$1975&lt;=GRID_TO)*('Dvd Calendar'!$M$1975&gt;VAL_DATE)=0,"",'Dvd Calendar'!$M$1975*1000000000+ISNUMBER('Dvd Calendar'!$M$1976)*100000000+0*10000000+(N('Dvd Calendar'!$M$1974)&gt;0)*(N('Dvd Calendar'!$M$1974)&lt;=VAL_SERIAL)*1000000+38*1000+49))</f>
        <v/>
      </c>
      <c r="GB197" s="121">
        <f>IF(N('Dvd Calendar'!$N$1975)=0,"",IF(('Dvd Calendar'!$N$1975&gt;=GRID_FROM)*('Dvd Calendar'!$N$1975&lt;=GRID_TO)*('Dvd Calendar'!$N$1975&gt;VAL_DATE)=0,"",'Dvd Calendar'!$N$1975*1000000000+ISNUMBER('Dvd Calendar'!$N$1976)*100000000+0*10000000+(N('Dvd Calendar'!$N$1974)&gt;0)*(N('Dvd Calendar'!$N$1974)&lt;=VAL_SERIAL)*1000000+38*1000+50))</f>
        <v/>
      </c>
      <c r="GC197" s="121">
        <f>IF(N('Dvd Calendar'!$O$1975)=0,"",IF(('Dvd Calendar'!$O$1975&gt;=GRID_FROM)*('Dvd Calendar'!$O$1975&lt;=GRID_TO)*('Dvd Calendar'!$O$1975&gt;VAL_DATE)=0,"",'Dvd Calendar'!$O$1975*1000000000+ISNUMBER('Dvd Calendar'!$O$1976)*100000000+0*10000000+(N('Dvd Calendar'!$O$1974)&gt;0)*(N('Dvd Calendar'!$O$1974)&lt;=VAL_SERIAL)*1000000+38*1000+51))</f>
        <v/>
      </c>
      <c r="GD197" s="121">
        <f>IF(N('Dvd Calendar'!$P$1975)=0,"",IF(('Dvd Calendar'!$P$1975&gt;=GRID_FROM)*('Dvd Calendar'!$P$1975&lt;=GRID_TO)*('Dvd Calendar'!$P$1975&gt;VAL_DATE)=0,"",'Dvd Calendar'!$P$1975*1000000000+ISNUMBER('Dvd Calendar'!$P$1976)*100000000+0*10000000+(N('Dvd Calendar'!$P$1974)&gt;0)*(N('Dvd Calendar'!$P$1974)&lt;=VAL_SERIAL)*1000000+38*1000+52))</f>
        <v/>
      </c>
      <c r="GE197" s="121">
        <f>IF(N('Dvd Calendar'!$Q$1975)=0,"",IF(('Dvd Calendar'!$Q$1975&gt;=GRID_FROM)*('Dvd Calendar'!$Q$1975&lt;=GRID_TO)*('Dvd Calendar'!$Q$1975&gt;VAL_DATE)=0,"",'Dvd Calendar'!$Q$1975*1000000000+ISNUMBER('Dvd Calendar'!$Q$1976)*100000000+0*10000000+(N('Dvd Calendar'!$Q$1974)&gt;0)*(N('Dvd Calendar'!$Q$1974)&lt;=VAL_SERIAL)*1000000+38*1000+53))</f>
        <v/>
      </c>
      <c r="GF197" s="121">
        <f>IF(N('Dvd Calendar'!$R$1975)=0,"",IF(('Dvd Calendar'!$R$1975&gt;=GRID_FROM)*('Dvd Calendar'!$R$1975&lt;=GRID_TO)*('Dvd Calendar'!$R$1975&gt;VAL_DATE)=0,"",'Dvd Calendar'!$R$1975*1000000000+ISNUMBER('Dvd Calendar'!$R$1976)*100000000+0*10000000+(N('Dvd Calendar'!$R$1974)&gt;0)*(N('Dvd Calendar'!$R$1974)&lt;=VAL_SERIAL)*1000000+38*1000+54))</f>
        <v/>
      </c>
      <c r="GG197" s="121">
        <f>IF(N('Dvd Calendar'!$S$1975)=0,"",IF(('Dvd Calendar'!$S$1975&gt;=GRID_FROM)*('Dvd Calendar'!$S$1975&lt;=GRID_TO)*('Dvd Calendar'!$S$1975&gt;VAL_DATE)=0,"",'Dvd Calendar'!$S$1975*1000000000+ISNUMBER('Dvd Calendar'!$S$1976)*100000000+0*10000000+(N('Dvd Calendar'!$S$1974)&gt;0)*(N('Dvd Calendar'!$S$1974)&lt;=VAL_SERIAL)*1000000+38*1000+55))</f>
        <v/>
      </c>
      <c r="GH197" s="121">
        <f>IF(N('Dvd Calendar'!$T$1975)=0,"",IF(('Dvd Calendar'!$T$1975&gt;=GRID_FROM)*('Dvd Calendar'!$T$1975&lt;=GRID_TO)*('Dvd Calendar'!$T$1975&gt;VAL_DATE)=0,"",'Dvd Calendar'!$T$1975*1000000000+ISNUMBER('Dvd Calendar'!$T$1976)*100000000+0*10000000+(N('Dvd Calendar'!$T$1974)&gt;0)*(N('Dvd Calendar'!$T$1974)&lt;=VAL_SERIAL)*1000000+38*1000+56))</f>
        <v/>
      </c>
      <c r="GI197" s="121">
        <f>IF(N('Dvd Calendar'!$U$1975)=0,"",IF(('Dvd Calendar'!$U$1975&gt;=GRID_FROM)*('Dvd Calendar'!$U$1975&lt;=GRID_TO)*('Dvd Calendar'!$U$1975&gt;VAL_DATE)=0,"",'Dvd Calendar'!$U$1975*1000000000+ISNUMBER('Dvd Calendar'!$U$1976)*100000000+0*10000000+(N('Dvd Calendar'!$U$1974)&gt;0)*(N('Dvd Calendar'!$U$1974)&lt;=VAL_SERIAL)*1000000+38*1000+57))</f>
        <v/>
      </c>
      <c r="GJ197" s="121">
        <f>IF(N('Dvd Calendar'!$V$1975)=0,"",IF(('Dvd Calendar'!$V$1975&gt;=GRID_FROM)*('Dvd Calendar'!$V$1975&lt;=GRID_TO)*('Dvd Calendar'!$V$1975&gt;VAL_DATE)=0,"",'Dvd Calendar'!$V$1975*1000000000+ISNUMBER('Dvd Calendar'!$V$1976)*100000000+0*10000000+(N('Dvd Calendar'!$V$1974)&gt;0)*(N('Dvd Calendar'!$V$1974)&lt;=VAL_SERIAL)*1000000+38*1000+58))</f>
        <v/>
      </c>
      <c r="GK197" s="121">
        <f>IF(N('Dvd Calendar'!$W$1975)=0,"",IF(('Dvd Calendar'!$W$1975&gt;=GRID_FROM)*('Dvd Calendar'!$W$1975&lt;=GRID_TO)*('Dvd Calendar'!$W$1975&gt;VAL_DATE)=0,"",'Dvd Calendar'!$W$1975*1000000000+ISNUMBER('Dvd Calendar'!$W$1976)*100000000+0*10000000+(N('Dvd Calendar'!$W$1974)&gt;0)*(N('Dvd Calendar'!$W$1974)&lt;=VAL_SERIAL)*1000000+38*1000+59))</f>
        <v/>
      </c>
      <c r="GL197" s="121">
        <f>IF(N('Dvd Calendar'!$X$1975)=0,"",IF(('Dvd Calendar'!$X$1975&gt;=GRID_FROM)*('Dvd Calendar'!$X$1975&lt;=GRID_TO)*('Dvd Calendar'!$X$1975&gt;VAL_DATE)=0,"",'Dvd Calendar'!$X$1975*1000000000+ISNUMBER('Dvd Calendar'!$X$1976)*100000000+0*10000000+(N('Dvd Calendar'!$X$1974)&gt;0)*(N('Dvd Calendar'!$X$1974)&lt;=VAL_SERIAL)*1000000+38*1000+60))</f>
        <v/>
      </c>
      <c r="GM197" s="121">
        <f>IF(N('Dvd Calendar'!$Y$1975)=0,"",IF(('Dvd Calendar'!$Y$1975&gt;=GRID_FROM)*('Dvd Calendar'!$Y$1975&lt;=GRID_TO)*('Dvd Calendar'!$Y$1975&gt;VAL_DATE)=0,"",'Dvd Calendar'!$Y$1975*1000000000+ISNUMBER('Dvd Calendar'!$Y$1976)*100000000+0*10000000+(N('Dvd Calendar'!$Y$1974)&gt;0)*(N('Dvd Calendar'!$Y$1974)&lt;=VAL_SERIAL)*1000000+38*1000+61))</f>
        <v/>
      </c>
      <c r="GN197" s="121">
        <f>IF(N('Dvd Calendar'!$Z$1975)=0,"",IF(('Dvd Calendar'!$Z$1975&gt;=GRID_FROM)*('Dvd Calendar'!$Z$1975&lt;=GRID_TO)*('Dvd Calendar'!$Z$1975&gt;VAL_DATE)=0,"",'Dvd Calendar'!$Z$1975*1000000000+ISNUMBER('Dvd Calendar'!$Z$1976)*100000000+0*10000000+(N('Dvd Calendar'!$Z$1974)&gt;0)*(N('Dvd Calendar'!$Z$1974)&lt;=VAL_SERIAL)*1000000+38*1000+62))</f>
        <v/>
      </c>
      <c r="GO197" s="121">
        <f>IF(N('Dvd Calendar'!$AA$1975)=0,"",IF(('Dvd Calendar'!$AA$1975&gt;=GRID_FROM)*('Dvd Calendar'!$AA$1975&lt;=GRID_TO)*('Dvd Calendar'!$AA$1975&gt;VAL_DATE)=0,"",'Dvd Calendar'!$AA$1975*1000000000+ISNUMBER('Dvd Calendar'!$AA$1976)*100000000+0*10000000+(N('Dvd Calendar'!$AA$1974)&gt;0)*(N('Dvd Calendar'!$AA$1974)&lt;=VAL_SERIAL)*1000000+38*1000+63))</f>
        <v/>
      </c>
      <c r="GP197" s="121">
        <f>IF(N('Dvd Calendar'!$AB$1975)=0,"",IF(('Dvd Calendar'!$AB$1975&gt;=GRID_FROM)*('Dvd Calendar'!$AB$1975&lt;=GRID_TO)*('Dvd Calendar'!$AB$1975&gt;VAL_DATE)=0,"",'Dvd Calendar'!$AB$1975*1000000000+ISNUMBER('Dvd Calendar'!$AB$1976)*100000000+0*10000000+(N('Dvd Calendar'!$AB$1974)&gt;0)*(N('Dvd Calendar'!$AB$1974)&lt;=VAL_SERIAL)*1000000+38*1000+64))</f>
        <v/>
      </c>
      <c r="GQ197" s="121">
        <f>IF(N('Dvd Calendar'!$AC$1975)=0,"",IF(('Dvd Calendar'!$AC$1975&gt;=GRID_FROM)*('Dvd Calendar'!$AC$1975&lt;=GRID_TO)*('Dvd Calendar'!$AC$1975&gt;VAL_DATE)=0,"",'Dvd Calendar'!$AC$1975*1000000000+ISNUMBER('Dvd Calendar'!$AC$1976)*100000000+0*10000000+(N('Dvd Calendar'!$AC$1974)&gt;0)*(N('Dvd Calendar'!$AC$1974)&lt;=VAL_SERIAL)*1000000+38*1000+65))</f>
        <v/>
      </c>
    </row>
    <row r="198">
      <c r="B198" s="2">
        <f>IF(HSCEI!$C$45="","",HSCEI!$C$45)</f>
        <v/>
      </c>
      <c r="C198" s="161">
        <f>IF(EE198="","",IF(ISNUMBER('Dvd Calendar'!$E$1982)=FALSE,"",IF((('Dvd Calendar'!$E$1984=TYPE1)*(TYPE1&lt;&gt;"")+('Dvd Calendar'!$E$1984=TYPE2)*(TYPE2&lt;&gt;"")+('Dvd Calendar'!$E$1984=TYPE3)*(TYPE3&lt;&gt;"")+('Dvd Calendar'!$E$1984=TYPE4)*(TYPE4&lt;&gt;"")+('Dvd Calendar'!$E$1984=SPECIAL_LBL)*(INC_SPECIALS="Y"))=0,"",'Dvd Calendar'!$E$1982)))</f>
        <v/>
      </c>
      <c r="D198" s="161">
        <f>IF(EF198="","",IF(ISNUMBER('Dvd Calendar'!$F$1982)=FALSE,"",IF((('Dvd Calendar'!$F$1984=TYPE1)*(TYPE1&lt;&gt;"")+('Dvd Calendar'!$F$1984=TYPE2)*(TYPE2&lt;&gt;"")+('Dvd Calendar'!$F$1984=TYPE3)*(TYPE3&lt;&gt;"")+('Dvd Calendar'!$F$1984=TYPE4)*(TYPE4&lt;&gt;"")+('Dvd Calendar'!$F$1984=SPECIAL_LBL)*(INC_SPECIALS="Y"))=0,"",'Dvd Calendar'!$F$1982)))</f>
        <v/>
      </c>
      <c r="E198" s="161">
        <f>IF(EG198="","",IF(ISNUMBER('Dvd Calendar'!$G$1982)=FALSE,"",IF((('Dvd Calendar'!$G$1984=TYPE1)*(TYPE1&lt;&gt;"")+('Dvd Calendar'!$G$1984=TYPE2)*(TYPE2&lt;&gt;"")+('Dvd Calendar'!$G$1984=TYPE3)*(TYPE3&lt;&gt;"")+('Dvd Calendar'!$G$1984=TYPE4)*(TYPE4&lt;&gt;"")+('Dvd Calendar'!$G$1984=SPECIAL_LBL)*(INC_SPECIALS="Y"))=0,"",'Dvd Calendar'!$G$1982)))</f>
        <v/>
      </c>
      <c r="F198" s="161">
        <f>IF(EH198="","",IF(ISNUMBER('Dvd Calendar'!$H$1982)=FALSE,"",IF((('Dvd Calendar'!$H$1984=TYPE1)*(TYPE1&lt;&gt;"")+('Dvd Calendar'!$H$1984=TYPE2)*(TYPE2&lt;&gt;"")+('Dvd Calendar'!$H$1984=TYPE3)*(TYPE3&lt;&gt;"")+('Dvd Calendar'!$H$1984=TYPE4)*(TYPE4&lt;&gt;"")+('Dvd Calendar'!$H$1984=SPECIAL_LBL)*(INC_SPECIALS="Y"))=0,"",'Dvd Calendar'!$H$1982)))</f>
        <v/>
      </c>
      <c r="G198" s="161">
        <f>IF(EI198="","",IF(ISNUMBER('Dvd Calendar'!$I$1982)=FALSE,"",IF((('Dvd Calendar'!$I$1984=TYPE1)*(TYPE1&lt;&gt;"")+('Dvd Calendar'!$I$1984=TYPE2)*(TYPE2&lt;&gt;"")+('Dvd Calendar'!$I$1984=TYPE3)*(TYPE3&lt;&gt;"")+('Dvd Calendar'!$I$1984=TYPE4)*(TYPE4&lt;&gt;"")+('Dvd Calendar'!$I$1984=SPECIAL_LBL)*(INC_SPECIALS="Y"))=0,"",'Dvd Calendar'!$I$1982)))</f>
        <v/>
      </c>
      <c r="H198" s="161">
        <f>IF(EJ198="","",IF(ISNUMBER('Dvd Calendar'!$J$1982)=FALSE,"",IF((('Dvd Calendar'!$J$1984=TYPE1)*(TYPE1&lt;&gt;"")+('Dvd Calendar'!$J$1984=TYPE2)*(TYPE2&lt;&gt;"")+('Dvd Calendar'!$J$1984=TYPE3)*(TYPE3&lt;&gt;"")+('Dvd Calendar'!$J$1984=TYPE4)*(TYPE4&lt;&gt;"")+('Dvd Calendar'!$J$1984=SPECIAL_LBL)*(INC_SPECIALS="Y"))=0,"",'Dvd Calendar'!$J$1982)))</f>
        <v/>
      </c>
      <c r="I198" s="161">
        <f>IF(EK198="","",IF(ISNUMBER('Dvd Calendar'!$K$1982)=FALSE,"",IF((('Dvd Calendar'!$K$1984=TYPE1)*(TYPE1&lt;&gt;"")+('Dvd Calendar'!$K$1984=TYPE2)*(TYPE2&lt;&gt;"")+('Dvd Calendar'!$K$1984=TYPE3)*(TYPE3&lt;&gt;"")+('Dvd Calendar'!$K$1984=TYPE4)*(TYPE4&lt;&gt;"")+('Dvd Calendar'!$K$1984=SPECIAL_LBL)*(INC_SPECIALS="Y"))=0,"",'Dvd Calendar'!$K$1982)))</f>
        <v/>
      </c>
      <c r="J198" s="161">
        <f>IF(EL198="","",IF(ISNUMBER('Dvd Calendar'!$L$1982)=FALSE,"",IF((('Dvd Calendar'!$L$1984=TYPE1)*(TYPE1&lt;&gt;"")+('Dvd Calendar'!$L$1984=TYPE2)*(TYPE2&lt;&gt;"")+('Dvd Calendar'!$L$1984=TYPE3)*(TYPE3&lt;&gt;"")+('Dvd Calendar'!$L$1984=TYPE4)*(TYPE4&lt;&gt;"")+('Dvd Calendar'!$L$1984=SPECIAL_LBL)*(INC_SPECIALS="Y"))=0,"",'Dvd Calendar'!$L$1982)))</f>
        <v/>
      </c>
      <c r="K198" s="161">
        <f>IF(EM198="","",IF(ISNUMBER('Dvd Calendar'!$M$1982)=FALSE,"",IF((('Dvd Calendar'!$M$1984=TYPE1)*(TYPE1&lt;&gt;"")+('Dvd Calendar'!$M$1984=TYPE2)*(TYPE2&lt;&gt;"")+('Dvd Calendar'!$M$1984=TYPE3)*(TYPE3&lt;&gt;"")+('Dvd Calendar'!$M$1984=TYPE4)*(TYPE4&lt;&gt;"")+('Dvd Calendar'!$M$1984=SPECIAL_LBL)*(INC_SPECIALS="Y"))=0,"",'Dvd Calendar'!$M$1982)))</f>
        <v/>
      </c>
      <c r="L198" s="161">
        <f>IF(EN198="","",IF(ISNUMBER('Dvd Calendar'!$N$1982)=FALSE,"",IF((('Dvd Calendar'!$N$1984=TYPE1)*(TYPE1&lt;&gt;"")+('Dvd Calendar'!$N$1984=TYPE2)*(TYPE2&lt;&gt;"")+('Dvd Calendar'!$N$1984=TYPE3)*(TYPE3&lt;&gt;"")+('Dvd Calendar'!$N$1984=TYPE4)*(TYPE4&lt;&gt;"")+('Dvd Calendar'!$N$1984=SPECIAL_LBL)*(INC_SPECIALS="Y"))=0,"",'Dvd Calendar'!$N$1982)))</f>
        <v/>
      </c>
      <c r="M198" s="161">
        <f>IF(EO198="","",IF(ISNUMBER('Dvd Calendar'!$O$1982)=FALSE,"",IF((('Dvd Calendar'!$O$1984=TYPE1)*(TYPE1&lt;&gt;"")+('Dvd Calendar'!$O$1984=TYPE2)*(TYPE2&lt;&gt;"")+('Dvd Calendar'!$O$1984=TYPE3)*(TYPE3&lt;&gt;"")+('Dvd Calendar'!$O$1984=TYPE4)*(TYPE4&lt;&gt;"")+('Dvd Calendar'!$O$1984=SPECIAL_LBL)*(INC_SPECIALS="Y"))=0,"",'Dvd Calendar'!$O$1982)))</f>
        <v/>
      </c>
      <c r="N198" s="161">
        <f>IF(EP198="","",IF(ISNUMBER('Dvd Calendar'!$P$1982)=FALSE,"",IF((('Dvd Calendar'!$P$1984=TYPE1)*(TYPE1&lt;&gt;"")+('Dvd Calendar'!$P$1984=TYPE2)*(TYPE2&lt;&gt;"")+('Dvd Calendar'!$P$1984=TYPE3)*(TYPE3&lt;&gt;"")+('Dvd Calendar'!$P$1984=TYPE4)*(TYPE4&lt;&gt;"")+('Dvd Calendar'!$P$1984=SPECIAL_LBL)*(INC_SPECIALS="Y"))=0,"",'Dvd Calendar'!$P$1982)))</f>
        <v/>
      </c>
      <c r="O198" s="161">
        <f>IF(EQ198="","",IF(ISNUMBER('Dvd Calendar'!$Q$1982)=FALSE,"",IF((('Dvd Calendar'!$Q$1984=TYPE1)*(TYPE1&lt;&gt;"")+('Dvd Calendar'!$Q$1984=TYPE2)*(TYPE2&lt;&gt;"")+('Dvd Calendar'!$Q$1984=TYPE3)*(TYPE3&lt;&gt;"")+('Dvd Calendar'!$Q$1984=TYPE4)*(TYPE4&lt;&gt;"")+('Dvd Calendar'!$Q$1984=SPECIAL_LBL)*(INC_SPECIALS="Y"))=0,"",'Dvd Calendar'!$Q$1982)))</f>
        <v/>
      </c>
      <c r="P198" s="161">
        <f>IF(ER198="","",IF(ISNUMBER('Dvd Calendar'!$R$1982)=FALSE,"",IF((('Dvd Calendar'!$R$1984=TYPE1)*(TYPE1&lt;&gt;"")+('Dvd Calendar'!$R$1984=TYPE2)*(TYPE2&lt;&gt;"")+('Dvd Calendar'!$R$1984=TYPE3)*(TYPE3&lt;&gt;"")+('Dvd Calendar'!$R$1984=TYPE4)*(TYPE4&lt;&gt;"")+('Dvd Calendar'!$R$1984=SPECIAL_LBL)*(INC_SPECIALS="Y"))=0,"",'Dvd Calendar'!$R$1982)))</f>
        <v/>
      </c>
      <c r="Q198" s="161">
        <f>IF(ES198="","",IF(ISNUMBER('Dvd Calendar'!$S$1982)=FALSE,"",IF((('Dvd Calendar'!$S$1984=TYPE1)*(TYPE1&lt;&gt;"")+('Dvd Calendar'!$S$1984=TYPE2)*(TYPE2&lt;&gt;"")+('Dvd Calendar'!$S$1984=TYPE3)*(TYPE3&lt;&gt;"")+('Dvd Calendar'!$S$1984=TYPE4)*(TYPE4&lt;&gt;"")+('Dvd Calendar'!$S$1984=SPECIAL_LBL)*(INC_SPECIALS="Y"))=0,"",'Dvd Calendar'!$S$1982)))</f>
        <v/>
      </c>
      <c r="R198" s="161">
        <f>IF(ET198="","",IF(ISNUMBER('Dvd Calendar'!$T$1982)=FALSE,"",IF((('Dvd Calendar'!$T$1984=TYPE1)*(TYPE1&lt;&gt;"")+('Dvd Calendar'!$T$1984=TYPE2)*(TYPE2&lt;&gt;"")+('Dvd Calendar'!$T$1984=TYPE3)*(TYPE3&lt;&gt;"")+('Dvd Calendar'!$T$1984=TYPE4)*(TYPE4&lt;&gt;"")+('Dvd Calendar'!$T$1984=SPECIAL_LBL)*(INC_SPECIALS="Y"))=0,"",'Dvd Calendar'!$T$1982)))</f>
        <v/>
      </c>
      <c r="S198" s="161">
        <f>IF(EU198="","",IF(ISNUMBER('Dvd Calendar'!$U$1982)=FALSE,"",IF((('Dvd Calendar'!$U$1984=TYPE1)*(TYPE1&lt;&gt;"")+('Dvd Calendar'!$U$1984=TYPE2)*(TYPE2&lt;&gt;"")+('Dvd Calendar'!$U$1984=TYPE3)*(TYPE3&lt;&gt;"")+('Dvd Calendar'!$U$1984=TYPE4)*(TYPE4&lt;&gt;"")+('Dvd Calendar'!$U$1984=SPECIAL_LBL)*(INC_SPECIALS="Y"))=0,"",'Dvd Calendar'!$U$1982)))</f>
        <v/>
      </c>
      <c r="T198" s="161">
        <f>IF(EV198="","",IF(ISNUMBER('Dvd Calendar'!$V$1982)=FALSE,"",IF((('Dvd Calendar'!$V$1984=TYPE1)*(TYPE1&lt;&gt;"")+('Dvd Calendar'!$V$1984=TYPE2)*(TYPE2&lt;&gt;"")+('Dvd Calendar'!$V$1984=TYPE3)*(TYPE3&lt;&gt;"")+('Dvd Calendar'!$V$1984=TYPE4)*(TYPE4&lt;&gt;"")+('Dvd Calendar'!$V$1984=SPECIAL_LBL)*(INC_SPECIALS="Y"))=0,"",'Dvd Calendar'!$V$1982)))</f>
        <v/>
      </c>
      <c r="U198" s="161">
        <f>IF(EW198="","",IF(ISNUMBER('Dvd Calendar'!$W$1982)=FALSE,"",IF((('Dvd Calendar'!$W$1984=TYPE1)*(TYPE1&lt;&gt;"")+('Dvd Calendar'!$W$1984=TYPE2)*(TYPE2&lt;&gt;"")+('Dvd Calendar'!$W$1984=TYPE3)*(TYPE3&lt;&gt;"")+('Dvd Calendar'!$W$1984=TYPE4)*(TYPE4&lt;&gt;"")+('Dvd Calendar'!$W$1984=SPECIAL_LBL)*(INC_SPECIALS="Y"))=0,"",'Dvd Calendar'!$W$1982)))</f>
        <v/>
      </c>
      <c r="V198" s="161">
        <f>IF(EX198="","",IF(ISNUMBER('Dvd Calendar'!$X$1982)=FALSE,"",IF((('Dvd Calendar'!$X$1984=TYPE1)*(TYPE1&lt;&gt;"")+('Dvd Calendar'!$X$1984=TYPE2)*(TYPE2&lt;&gt;"")+('Dvd Calendar'!$X$1984=TYPE3)*(TYPE3&lt;&gt;"")+('Dvd Calendar'!$X$1984=TYPE4)*(TYPE4&lt;&gt;"")+('Dvd Calendar'!$X$1984=SPECIAL_LBL)*(INC_SPECIALS="Y"))=0,"",'Dvd Calendar'!$X$1982)))</f>
        <v/>
      </c>
      <c r="W198" s="161">
        <f>IF(EY198="","",IF(ISNUMBER('Dvd Calendar'!$Y$1982)=FALSE,"",IF((('Dvd Calendar'!$Y$1984=TYPE1)*(TYPE1&lt;&gt;"")+('Dvd Calendar'!$Y$1984=TYPE2)*(TYPE2&lt;&gt;"")+('Dvd Calendar'!$Y$1984=TYPE3)*(TYPE3&lt;&gt;"")+('Dvd Calendar'!$Y$1984=TYPE4)*(TYPE4&lt;&gt;"")+('Dvd Calendar'!$Y$1984=SPECIAL_LBL)*(INC_SPECIALS="Y"))=0,"",'Dvd Calendar'!$Y$1982)))</f>
        <v/>
      </c>
      <c r="X198" s="161">
        <f>IF(EZ198="","",IF(ISNUMBER('Dvd Calendar'!$Z$1982)=FALSE,"",IF((('Dvd Calendar'!$Z$1984=TYPE1)*(TYPE1&lt;&gt;"")+('Dvd Calendar'!$Z$1984=TYPE2)*(TYPE2&lt;&gt;"")+('Dvd Calendar'!$Z$1984=TYPE3)*(TYPE3&lt;&gt;"")+('Dvd Calendar'!$Z$1984=TYPE4)*(TYPE4&lt;&gt;"")+('Dvd Calendar'!$Z$1984=SPECIAL_LBL)*(INC_SPECIALS="Y"))=0,"",'Dvd Calendar'!$Z$1982)))</f>
        <v/>
      </c>
      <c r="Y198" s="161">
        <f>IF(FA198="","",IF(ISNUMBER('Dvd Calendar'!$AA$1982)=FALSE,"",IF((('Dvd Calendar'!$AA$1984=TYPE1)*(TYPE1&lt;&gt;"")+('Dvd Calendar'!$AA$1984=TYPE2)*(TYPE2&lt;&gt;"")+('Dvd Calendar'!$AA$1984=TYPE3)*(TYPE3&lt;&gt;"")+('Dvd Calendar'!$AA$1984=TYPE4)*(TYPE4&lt;&gt;"")+('Dvd Calendar'!$AA$1984=SPECIAL_LBL)*(INC_SPECIALS="Y"))=0,"",'Dvd Calendar'!$AA$1982)))</f>
        <v/>
      </c>
      <c r="Z198" s="161">
        <f>IF(FB198="","",IF(ISNUMBER('Dvd Calendar'!$AB$1982)=FALSE,"",IF((('Dvd Calendar'!$AB$1984=TYPE1)*(TYPE1&lt;&gt;"")+('Dvd Calendar'!$AB$1984=TYPE2)*(TYPE2&lt;&gt;"")+('Dvd Calendar'!$AB$1984=TYPE3)*(TYPE3&lt;&gt;"")+('Dvd Calendar'!$AB$1984=TYPE4)*(TYPE4&lt;&gt;"")+('Dvd Calendar'!$AB$1984=SPECIAL_LBL)*(INC_SPECIALS="Y"))=0,"",'Dvd Calendar'!$AB$1982)))</f>
        <v/>
      </c>
      <c r="AA198" s="161">
        <f>IF(FC198="","",IF(ISNUMBER('Dvd Calendar'!$AC$1982)=FALSE,"",IF((('Dvd Calendar'!$AC$1984=TYPE1)*(TYPE1&lt;&gt;"")+('Dvd Calendar'!$AC$1984=TYPE2)*(TYPE2&lt;&gt;"")+('Dvd Calendar'!$AC$1984=TYPE3)*(TYPE3&lt;&gt;"")+('Dvd Calendar'!$AC$1984=TYPE4)*(TYPE4&lt;&gt;"")+('Dvd Calendar'!$AC$1984=SPECIAL_LBL)*(INC_SPECIALS="Y"))=0,"",'Dvd Calendar'!$AC$1982)))</f>
        <v/>
      </c>
      <c r="AB198" s="161">
        <f>IF(FD198="","",IF(ISNUMBER('Dvd Calendar'!$AD$1982)=FALSE,"",IF((('Dvd Calendar'!$AD$1984=TYPE1)*(TYPE1&lt;&gt;"")+('Dvd Calendar'!$AD$1984=TYPE2)*(TYPE2&lt;&gt;"")+('Dvd Calendar'!$AD$1984=TYPE3)*(TYPE3&lt;&gt;"")+('Dvd Calendar'!$AD$1984=TYPE4)*(TYPE4&lt;&gt;"")+('Dvd Calendar'!$AD$1984=SPECIAL_LBL)*(INC_SPECIALS="Y"))=0,"",'Dvd Calendar'!$AD$1982)))</f>
        <v/>
      </c>
      <c r="AC198" s="161">
        <f>IF(FE198="","",IF(ISNUMBER('Dvd Calendar'!$AE$1982)=FALSE,"",IF((('Dvd Calendar'!$AE$1984=TYPE1)*(TYPE1&lt;&gt;"")+('Dvd Calendar'!$AE$1984=TYPE2)*(TYPE2&lt;&gt;"")+('Dvd Calendar'!$AE$1984=TYPE3)*(TYPE3&lt;&gt;"")+('Dvd Calendar'!$AE$1984=TYPE4)*(TYPE4&lt;&gt;"")+('Dvd Calendar'!$AE$1984=SPECIAL_LBL)*(INC_SPECIALS="Y"))=0,"",'Dvd Calendar'!$AE$1982)))</f>
        <v/>
      </c>
      <c r="AD198" s="161">
        <f>IF(FF198="","",IF(ISNUMBER('Dvd Calendar'!$AF$1982)=FALSE,"",IF((('Dvd Calendar'!$AF$1984=TYPE1)*(TYPE1&lt;&gt;"")+('Dvd Calendar'!$AF$1984=TYPE2)*(TYPE2&lt;&gt;"")+('Dvd Calendar'!$AF$1984=TYPE3)*(TYPE3&lt;&gt;"")+('Dvd Calendar'!$AF$1984=TYPE4)*(TYPE4&lt;&gt;"")+('Dvd Calendar'!$AF$1984=SPECIAL_LBL)*(INC_SPECIALS="Y"))=0,"",'Dvd Calendar'!$AF$1982)))</f>
        <v/>
      </c>
      <c r="AE198" s="161">
        <f>IF(FG198="","",IF(ISNUMBER('Dvd Calendar'!$AG$1982)=FALSE,"",IF((('Dvd Calendar'!$AG$1984=TYPE1)*(TYPE1&lt;&gt;"")+('Dvd Calendar'!$AG$1984=TYPE2)*(TYPE2&lt;&gt;"")+('Dvd Calendar'!$AG$1984=TYPE3)*(TYPE3&lt;&gt;"")+('Dvd Calendar'!$AG$1984=TYPE4)*(TYPE4&lt;&gt;"")+('Dvd Calendar'!$AG$1984=SPECIAL_LBL)*(INC_SPECIALS="Y"))=0,"",'Dvd Calendar'!$AG$1982)))</f>
        <v/>
      </c>
      <c r="AF198" s="161">
        <f>IF(FH198="","",IF(ISNUMBER('Dvd Calendar'!$AH$1982)=FALSE,"",IF((('Dvd Calendar'!$AH$1984=TYPE1)*(TYPE1&lt;&gt;"")+('Dvd Calendar'!$AH$1984=TYPE2)*(TYPE2&lt;&gt;"")+('Dvd Calendar'!$AH$1984=TYPE3)*(TYPE3&lt;&gt;"")+('Dvd Calendar'!$AH$1984=TYPE4)*(TYPE4&lt;&gt;"")+('Dvd Calendar'!$AH$1984=SPECIAL_LBL)*(INC_SPECIALS="Y"))=0,"",'Dvd Calendar'!$AH$1982)))</f>
        <v/>
      </c>
      <c r="AG198" s="161">
        <f>IF(FI198="","",IF(ISNUMBER('Dvd Calendar'!$AI$1982)=FALSE,"",IF((('Dvd Calendar'!$AI$1984=TYPE1)*(TYPE1&lt;&gt;"")+('Dvd Calendar'!$AI$1984=TYPE2)*(TYPE2&lt;&gt;"")+('Dvd Calendar'!$AI$1984=TYPE3)*(TYPE3&lt;&gt;"")+('Dvd Calendar'!$AI$1984=TYPE4)*(TYPE4&lt;&gt;"")+('Dvd Calendar'!$AI$1984=SPECIAL_LBL)*(INC_SPECIALS="Y"))=0,"",'Dvd Calendar'!$AI$1982)))</f>
        <v/>
      </c>
      <c r="AH198" s="161">
        <f>IF(FJ198="","",IF(ISNUMBER('Dvd Calendar'!$AJ$1982)=FALSE,"",IF((('Dvd Calendar'!$AJ$1984=TYPE1)*(TYPE1&lt;&gt;"")+('Dvd Calendar'!$AJ$1984=TYPE2)*(TYPE2&lt;&gt;"")+('Dvd Calendar'!$AJ$1984=TYPE3)*(TYPE3&lt;&gt;"")+('Dvd Calendar'!$AJ$1984=TYPE4)*(TYPE4&lt;&gt;"")+('Dvd Calendar'!$AJ$1984=SPECIAL_LBL)*(INC_SPECIALS="Y"))=0,"",'Dvd Calendar'!$AJ$1982)))</f>
        <v/>
      </c>
      <c r="AI198" s="161">
        <f>IF(FK198="","",IF(ISNUMBER('Dvd Calendar'!$AK$1982)=FALSE,"",IF((('Dvd Calendar'!$AK$1984=TYPE1)*(TYPE1&lt;&gt;"")+('Dvd Calendar'!$AK$1984=TYPE2)*(TYPE2&lt;&gt;"")+('Dvd Calendar'!$AK$1984=TYPE3)*(TYPE3&lt;&gt;"")+('Dvd Calendar'!$AK$1984=TYPE4)*(TYPE4&lt;&gt;"")+('Dvd Calendar'!$AK$1984=SPECIAL_LBL)*(INC_SPECIALS="Y"))=0,"",'Dvd Calendar'!$AK$1982)))</f>
        <v/>
      </c>
      <c r="AJ198" s="161">
        <f>IF(FL198="","",IF(ISNUMBER('Dvd Calendar'!$AL$1982)=FALSE,"",IF((('Dvd Calendar'!$AL$1984=TYPE1)*(TYPE1&lt;&gt;"")+('Dvd Calendar'!$AL$1984=TYPE2)*(TYPE2&lt;&gt;"")+('Dvd Calendar'!$AL$1984=TYPE3)*(TYPE3&lt;&gt;"")+('Dvd Calendar'!$AL$1984=TYPE4)*(TYPE4&lt;&gt;"")+('Dvd Calendar'!$AL$1984=SPECIAL_LBL)*(INC_SPECIALS="Y"))=0,"",'Dvd Calendar'!$AL$1982)))</f>
        <v/>
      </c>
      <c r="AK198" s="161">
        <f>IF(FM198="","",IF(ISNUMBER('Dvd Calendar'!$AM$1982)=FALSE,"",IF((('Dvd Calendar'!$AM$1984=TYPE1)*(TYPE1&lt;&gt;"")+('Dvd Calendar'!$AM$1984=TYPE2)*(TYPE2&lt;&gt;"")+('Dvd Calendar'!$AM$1984=TYPE3)*(TYPE3&lt;&gt;"")+('Dvd Calendar'!$AM$1984=TYPE4)*(TYPE4&lt;&gt;"")+('Dvd Calendar'!$AM$1984=SPECIAL_LBL)*(INC_SPECIALS="Y"))=0,"",'Dvd Calendar'!$AM$1982)))</f>
        <v/>
      </c>
      <c r="AL198" s="161">
        <f>IF(FN198="","",IF(ISNUMBER('Dvd Calendar'!$AN$1982)=FALSE,"",IF((('Dvd Calendar'!$AN$1984=TYPE1)*(TYPE1&lt;&gt;"")+('Dvd Calendar'!$AN$1984=TYPE2)*(TYPE2&lt;&gt;"")+('Dvd Calendar'!$AN$1984=TYPE3)*(TYPE3&lt;&gt;"")+('Dvd Calendar'!$AN$1984=TYPE4)*(TYPE4&lt;&gt;"")+('Dvd Calendar'!$AN$1984=SPECIAL_LBL)*(INC_SPECIALS="Y"))=0,"",'Dvd Calendar'!$AN$1982)))</f>
        <v/>
      </c>
      <c r="AM198" s="161">
        <f>IF(FO198="","",IF(ISNUMBER('Dvd Calendar'!$AO$1982)=FALSE,"",IF((('Dvd Calendar'!$AO$1984=TYPE1)*(TYPE1&lt;&gt;"")+('Dvd Calendar'!$AO$1984=TYPE2)*(TYPE2&lt;&gt;"")+('Dvd Calendar'!$AO$1984=TYPE3)*(TYPE3&lt;&gt;"")+('Dvd Calendar'!$AO$1984=TYPE4)*(TYPE4&lt;&gt;"")+('Dvd Calendar'!$AO$1984=SPECIAL_LBL)*(INC_SPECIALS="Y"))=0,"",'Dvd Calendar'!$AO$1982)))</f>
        <v/>
      </c>
      <c r="AN198" s="161">
        <f>IF(FP198="","",IF(ISNUMBER('Dvd Calendar'!$AP$1982)=FALSE,"",IF((('Dvd Calendar'!$AP$1984=TYPE1)*(TYPE1&lt;&gt;"")+('Dvd Calendar'!$AP$1984=TYPE2)*(TYPE2&lt;&gt;"")+('Dvd Calendar'!$AP$1984=TYPE3)*(TYPE3&lt;&gt;"")+('Dvd Calendar'!$AP$1984=TYPE4)*(TYPE4&lt;&gt;"")+('Dvd Calendar'!$AP$1984=SPECIAL_LBL)*(INC_SPECIALS="Y"))=0,"",'Dvd Calendar'!$AP$1982)))</f>
        <v/>
      </c>
      <c r="AO198" s="161">
        <f>IF(FQ198="","",IF(ISNUMBER('Dvd Calendar'!$AQ$1982)=FALSE,"",IF((('Dvd Calendar'!$AQ$1984=TYPE1)*(TYPE1&lt;&gt;"")+('Dvd Calendar'!$AQ$1984=TYPE2)*(TYPE2&lt;&gt;"")+('Dvd Calendar'!$AQ$1984=TYPE3)*(TYPE3&lt;&gt;"")+('Dvd Calendar'!$AQ$1984=TYPE4)*(TYPE4&lt;&gt;"")+('Dvd Calendar'!$AQ$1984=SPECIAL_LBL)*(INC_SPECIALS="Y"))=0,"",'Dvd Calendar'!$AQ$1982)))</f>
        <v/>
      </c>
      <c r="AP198" s="161">
        <f>IF(FR198="","",IF(ISNUMBER('Dvd Calendar'!$AR$1982)=FALSE,"",IF((('Dvd Calendar'!$AR$1984=TYPE1)*(TYPE1&lt;&gt;"")+('Dvd Calendar'!$AR$1984=TYPE2)*(TYPE2&lt;&gt;"")+('Dvd Calendar'!$AR$1984=TYPE3)*(TYPE3&lt;&gt;"")+('Dvd Calendar'!$AR$1984=TYPE4)*(TYPE4&lt;&gt;"")+('Dvd Calendar'!$AR$1984=SPECIAL_LBL)*(INC_SPECIALS="Y"))=0,"",'Dvd Calendar'!$AR$1982)))</f>
        <v/>
      </c>
      <c r="AQ198" s="161">
        <f>IF(FS198="","",IF(ISNUMBER('Dvd Calendar'!$E$1987)=FALSE,"",'Dvd Calendar'!$E$1987))</f>
        <v/>
      </c>
      <c r="AR198" s="161">
        <f>IF(FT198="","",IF(ISNUMBER('Dvd Calendar'!$F$1987)=FALSE,"",'Dvd Calendar'!$F$1987))</f>
        <v/>
      </c>
      <c r="AS198" s="161">
        <f>IF(FU198="","",IF(ISNUMBER('Dvd Calendar'!$G$1987)=FALSE,"",'Dvd Calendar'!$G$1987))</f>
        <v/>
      </c>
      <c r="AT198" s="161">
        <f>IF(FV198="","",IF(ISNUMBER('Dvd Calendar'!$H$1987)=FALSE,"",'Dvd Calendar'!$H$1987))</f>
        <v/>
      </c>
      <c r="AU198" s="161">
        <f>IF(FW198="","",IF(ISNUMBER('Dvd Calendar'!$I$1987)=FALSE,"",'Dvd Calendar'!$I$1987))</f>
        <v/>
      </c>
      <c r="AV198" s="161">
        <f>IF(FX198="","",IF(ISNUMBER('Dvd Calendar'!$J$1987)=FALSE,"",'Dvd Calendar'!$J$1987))</f>
        <v/>
      </c>
      <c r="AW198" s="161">
        <f>IF(FY198="","",IF(ISNUMBER('Dvd Calendar'!$K$1987)=FALSE,"",'Dvd Calendar'!$K$1987))</f>
        <v/>
      </c>
      <c r="AX198" s="161">
        <f>IF(FZ198="","",IF(ISNUMBER('Dvd Calendar'!$L$1987)=FALSE,"",'Dvd Calendar'!$L$1987))</f>
        <v/>
      </c>
      <c r="AY198" s="161">
        <f>IF(GA198="","",IF(ISNUMBER('Dvd Calendar'!$M$1987)=FALSE,"",'Dvd Calendar'!$M$1987))</f>
        <v/>
      </c>
      <c r="AZ198" s="161">
        <f>IF(GB198="","",IF(ISNUMBER('Dvd Calendar'!$N$1987)=FALSE,"",'Dvd Calendar'!$N$1987))</f>
        <v/>
      </c>
      <c r="BA198" s="161">
        <f>IF(GC198="","",IF(ISNUMBER('Dvd Calendar'!$O$1987)=FALSE,"",'Dvd Calendar'!$O$1987))</f>
        <v/>
      </c>
      <c r="BB198" s="161">
        <f>IF(GD198="","",IF(ISNUMBER('Dvd Calendar'!$P$1987)=FALSE,"",'Dvd Calendar'!$P$1987))</f>
        <v/>
      </c>
      <c r="BC198" s="161">
        <f>IF(GE198="","",IF(ISNUMBER('Dvd Calendar'!$Q$1987)=FALSE,"",'Dvd Calendar'!$Q$1987))</f>
        <v/>
      </c>
      <c r="BD198" s="161">
        <f>IF(GF198="","",IF(ISNUMBER('Dvd Calendar'!$R$1987)=FALSE,"",'Dvd Calendar'!$R$1987))</f>
        <v/>
      </c>
      <c r="BE198" s="161">
        <f>IF(GG198="","",IF(ISNUMBER('Dvd Calendar'!$S$1987)=FALSE,"",'Dvd Calendar'!$S$1987))</f>
        <v/>
      </c>
      <c r="BF198" s="161">
        <f>IF(GH198="","",IF(ISNUMBER('Dvd Calendar'!$T$1987)=FALSE,"",'Dvd Calendar'!$T$1987))</f>
        <v/>
      </c>
      <c r="BG198" s="161">
        <f>IF(GI198="","",IF(ISNUMBER('Dvd Calendar'!$U$1987)=FALSE,"",'Dvd Calendar'!$U$1987))</f>
        <v/>
      </c>
      <c r="BH198" s="161">
        <f>IF(GJ198="","",IF(ISNUMBER('Dvd Calendar'!$V$1987)=FALSE,"",'Dvd Calendar'!$V$1987))</f>
        <v/>
      </c>
      <c r="BI198" s="161">
        <f>IF(GK198="","",IF(ISNUMBER('Dvd Calendar'!$W$1987)=FALSE,"",'Dvd Calendar'!$W$1987))</f>
        <v/>
      </c>
      <c r="BJ198" s="161">
        <f>IF(GL198="","",IF(ISNUMBER('Dvd Calendar'!$X$1987)=FALSE,"",'Dvd Calendar'!$X$1987))</f>
        <v/>
      </c>
      <c r="BK198" s="161">
        <f>IF(GM198="","",IF(ISNUMBER('Dvd Calendar'!$Y$1987)=FALSE,"",'Dvd Calendar'!$Y$1987))</f>
        <v/>
      </c>
      <c r="BL198" s="161">
        <f>IF(GN198="","",IF(ISNUMBER('Dvd Calendar'!$Z$1987)=FALSE,"",'Dvd Calendar'!$Z$1987))</f>
        <v/>
      </c>
      <c r="BM198" s="161">
        <f>IF(GO198="","",IF(ISNUMBER('Dvd Calendar'!$AA$1987)=FALSE,"",'Dvd Calendar'!$AA$1987))</f>
        <v/>
      </c>
      <c r="BN198" s="161">
        <f>IF(GP198="","",IF(ISNUMBER('Dvd Calendar'!$AB$1987)=FALSE,"",'Dvd Calendar'!$AB$1987))</f>
        <v/>
      </c>
      <c r="BO198" s="161">
        <f>IF(GQ198="","",IF(ISNUMBER('Dvd Calendar'!$AC$1987)=FALSE,"",'Dvd Calendar'!$AC$1987))</f>
        <v/>
      </c>
      <c r="BQ198" s="161">
        <f>IF(C198="","",IFERROR(C198*HSCEI!$B$45*HSCEI!$G$45/HSCEI!$B$3,""))</f>
        <v/>
      </c>
      <c r="BR198" s="161">
        <f>IF(D198="","",IFERROR(D198*HSCEI!$B$45*HSCEI!$G$45/HSCEI!$B$3,""))</f>
        <v/>
      </c>
      <c r="BS198" s="161">
        <f>IF(E198="","",IFERROR(E198*HSCEI!$B$45*HSCEI!$G$45/HSCEI!$B$3,""))</f>
        <v/>
      </c>
      <c r="BT198" s="161">
        <f>IF(F198="","",IFERROR(F198*HSCEI!$B$45*HSCEI!$G$45/HSCEI!$B$3,""))</f>
        <v/>
      </c>
      <c r="BU198" s="161">
        <f>IF(G198="","",IFERROR(G198*HSCEI!$B$45*HSCEI!$G$45/HSCEI!$B$3,""))</f>
        <v/>
      </c>
      <c r="BV198" s="161">
        <f>IF(H198="","",IFERROR(H198*HSCEI!$B$45*HSCEI!$G$45/HSCEI!$B$3,""))</f>
        <v/>
      </c>
      <c r="BW198" s="161">
        <f>IF(I198="","",IFERROR(I198*HSCEI!$B$45*HSCEI!$G$45/HSCEI!$B$3,""))</f>
        <v/>
      </c>
      <c r="BX198" s="161">
        <f>IF(J198="","",IFERROR(J198*HSCEI!$B$45*HSCEI!$G$45/HSCEI!$B$3,""))</f>
        <v/>
      </c>
      <c r="BY198" s="161">
        <f>IF(K198="","",IFERROR(K198*HSCEI!$B$45*HSCEI!$G$45/HSCEI!$B$3,""))</f>
        <v/>
      </c>
      <c r="BZ198" s="161">
        <f>IF(L198="","",IFERROR(L198*HSCEI!$B$45*HSCEI!$G$45/HSCEI!$B$3,""))</f>
        <v/>
      </c>
      <c r="CA198" s="161">
        <f>IF(M198="","",IFERROR(M198*HSCEI!$B$45*HSCEI!$G$45/HSCEI!$B$3,""))</f>
        <v/>
      </c>
      <c r="CB198" s="161">
        <f>IF(N198="","",IFERROR(N198*HSCEI!$B$45*HSCEI!$G$45/HSCEI!$B$3,""))</f>
        <v/>
      </c>
      <c r="CC198" s="161">
        <f>IF(O198="","",IFERROR(O198*HSCEI!$B$45*HSCEI!$G$45/HSCEI!$B$3,""))</f>
        <v/>
      </c>
      <c r="CD198" s="161">
        <f>IF(P198="","",IFERROR(P198*HSCEI!$B$45*HSCEI!$G$45/HSCEI!$B$3,""))</f>
        <v/>
      </c>
      <c r="CE198" s="161">
        <f>IF(Q198="","",IFERROR(Q198*HSCEI!$B$45*HSCEI!$G$45/HSCEI!$B$3,""))</f>
        <v/>
      </c>
      <c r="CF198" s="161">
        <f>IF(R198="","",IFERROR(R198*HSCEI!$B$45*HSCEI!$G$45/HSCEI!$B$3,""))</f>
        <v/>
      </c>
      <c r="CG198" s="161">
        <f>IF(S198="","",IFERROR(S198*HSCEI!$B$45*HSCEI!$G$45/HSCEI!$B$3,""))</f>
        <v/>
      </c>
      <c r="CH198" s="161">
        <f>IF(T198="","",IFERROR(T198*HSCEI!$B$45*HSCEI!$G$45/HSCEI!$B$3,""))</f>
        <v/>
      </c>
      <c r="CI198" s="161">
        <f>IF(U198="","",IFERROR(U198*HSCEI!$B$45*HSCEI!$G$45/HSCEI!$B$3,""))</f>
        <v/>
      </c>
      <c r="CJ198" s="161">
        <f>IF(V198="","",IFERROR(V198*HSCEI!$B$45*HSCEI!$G$45/HSCEI!$B$3,""))</f>
        <v/>
      </c>
      <c r="CK198" s="161">
        <f>IF(W198="","",IFERROR(W198*HSCEI!$B$45*HSCEI!$G$45/HSCEI!$B$3,""))</f>
        <v/>
      </c>
      <c r="CL198" s="161">
        <f>IF(X198="","",IFERROR(X198*HSCEI!$B$45*HSCEI!$G$45/HSCEI!$B$3,""))</f>
        <v/>
      </c>
      <c r="CM198" s="161">
        <f>IF(Y198="","",IFERROR(Y198*HSCEI!$B$45*HSCEI!$G$45/HSCEI!$B$3,""))</f>
        <v/>
      </c>
      <c r="CN198" s="161">
        <f>IF(Z198="","",IFERROR(Z198*HSCEI!$B$45*HSCEI!$G$45/HSCEI!$B$3,""))</f>
        <v/>
      </c>
      <c r="CO198" s="161">
        <f>IF(AA198="","",IFERROR(AA198*HSCEI!$B$45*HSCEI!$G$45/HSCEI!$B$3,""))</f>
        <v/>
      </c>
      <c r="CP198" s="161">
        <f>IF(AB198="","",IFERROR(AB198*HSCEI!$B$45*HSCEI!$G$45/HSCEI!$B$3,""))</f>
        <v/>
      </c>
      <c r="CQ198" s="161">
        <f>IF(AC198="","",IFERROR(AC198*HSCEI!$B$45*HSCEI!$G$45/HSCEI!$B$3,""))</f>
        <v/>
      </c>
      <c r="CR198" s="161">
        <f>IF(AD198="","",IFERROR(AD198*HSCEI!$B$45*HSCEI!$G$45/HSCEI!$B$3,""))</f>
        <v/>
      </c>
      <c r="CS198" s="161">
        <f>IF(AE198="","",IFERROR(AE198*HSCEI!$B$45*HSCEI!$G$45/HSCEI!$B$3,""))</f>
        <v/>
      </c>
      <c r="CT198" s="161">
        <f>IF(AF198="","",IFERROR(AF198*HSCEI!$B$45*HSCEI!$G$45/HSCEI!$B$3,""))</f>
        <v/>
      </c>
      <c r="CU198" s="161">
        <f>IF(AG198="","",IFERROR(AG198*HSCEI!$B$45*HSCEI!$G$45/HSCEI!$B$3,""))</f>
        <v/>
      </c>
      <c r="CV198" s="161">
        <f>IF(AH198="","",IFERROR(AH198*HSCEI!$B$45*HSCEI!$G$45/HSCEI!$B$3,""))</f>
        <v/>
      </c>
      <c r="CW198" s="161">
        <f>IF(AI198="","",IFERROR(AI198*HSCEI!$B$45*HSCEI!$G$45/HSCEI!$B$3,""))</f>
        <v/>
      </c>
      <c r="CX198" s="161">
        <f>IF(AJ198="","",IFERROR(AJ198*HSCEI!$B$45*HSCEI!$G$45/HSCEI!$B$3,""))</f>
        <v/>
      </c>
      <c r="CY198" s="161">
        <f>IF(AK198="","",IFERROR(AK198*HSCEI!$B$45*HSCEI!$G$45/HSCEI!$B$3,""))</f>
        <v/>
      </c>
      <c r="CZ198" s="161">
        <f>IF(AL198="","",IFERROR(AL198*HSCEI!$B$45*HSCEI!$G$45/HSCEI!$B$3,""))</f>
        <v/>
      </c>
      <c r="DA198" s="161">
        <f>IF(AM198="","",IFERROR(AM198*HSCEI!$B$45*HSCEI!$G$45/HSCEI!$B$3,""))</f>
        <v/>
      </c>
      <c r="DB198" s="161">
        <f>IF(AN198="","",IFERROR(AN198*HSCEI!$B$45*HSCEI!$G$45/HSCEI!$B$3,""))</f>
        <v/>
      </c>
      <c r="DC198" s="161">
        <f>IF(AO198="","",IFERROR(AO198*HSCEI!$B$45*HSCEI!$G$45/HSCEI!$B$3,""))</f>
        <v/>
      </c>
      <c r="DD198" s="161">
        <f>IF(AP198="","",IFERROR(AP198*HSCEI!$B$45*HSCEI!$G$45/HSCEI!$B$3,""))</f>
        <v/>
      </c>
      <c r="DE198" s="161">
        <f>IF(AQ198="","",IFERROR(AQ198*HSCEI!$B$45*HSCEI!$G$45/HSCEI!$B$3,""))</f>
        <v/>
      </c>
      <c r="DF198" s="161">
        <f>IF(AR198="","",IFERROR(AR198*HSCEI!$B$45*HSCEI!$G$45/HSCEI!$B$3,""))</f>
        <v/>
      </c>
      <c r="DG198" s="161">
        <f>IF(AS198="","",IFERROR(AS198*HSCEI!$B$45*HSCEI!$G$45/HSCEI!$B$3,""))</f>
        <v/>
      </c>
      <c r="DH198" s="161">
        <f>IF(AT198="","",IFERROR(AT198*HSCEI!$B$45*HSCEI!$G$45/HSCEI!$B$3,""))</f>
        <v/>
      </c>
      <c r="DI198" s="161">
        <f>IF(AU198="","",IFERROR(AU198*HSCEI!$B$45*HSCEI!$G$45/HSCEI!$B$3,""))</f>
        <v/>
      </c>
      <c r="DJ198" s="161">
        <f>IF(AV198="","",IFERROR(AV198*HSCEI!$B$45*HSCEI!$G$45/HSCEI!$B$3,""))</f>
        <v/>
      </c>
      <c r="DK198" s="161">
        <f>IF(AW198="","",IFERROR(AW198*HSCEI!$B$45*HSCEI!$G$45/HSCEI!$B$3,""))</f>
        <v/>
      </c>
      <c r="DL198" s="161">
        <f>IF(AX198="","",IFERROR(AX198*HSCEI!$B$45*HSCEI!$G$45/HSCEI!$B$3,""))</f>
        <v/>
      </c>
      <c r="DM198" s="161">
        <f>IF(AY198="","",IFERROR(AY198*HSCEI!$B$45*HSCEI!$G$45/HSCEI!$B$3,""))</f>
        <v/>
      </c>
      <c r="DN198" s="161">
        <f>IF(AZ198="","",IFERROR(AZ198*HSCEI!$B$45*HSCEI!$G$45/HSCEI!$B$3,""))</f>
        <v/>
      </c>
      <c r="DO198" s="161">
        <f>IF(BA198="","",IFERROR(BA198*HSCEI!$B$45*HSCEI!$G$45/HSCEI!$B$3,""))</f>
        <v/>
      </c>
      <c r="DP198" s="161">
        <f>IF(BB198="","",IFERROR(BB198*HSCEI!$B$45*HSCEI!$G$45/HSCEI!$B$3,""))</f>
        <v/>
      </c>
      <c r="DQ198" s="161">
        <f>IF(BC198="","",IFERROR(BC198*HSCEI!$B$45*HSCEI!$G$45/HSCEI!$B$3,""))</f>
        <v/>
      </c>
      <c r="DR198" s="161">
        <f>IF(BD198="","",IFERROR(BD198*HSCEI!$B$45*HSCEI!$G$45/HSCEI!$B$3,""))</f>
        <v/>
      </c>
      <c r="DS198" s="161">
        <f>IF(BE198="","",IFERROR(BE198*HSCEI!$B$45*HSCEI!$G$45/HSCEI!$B$3,""))</f>
        <v/>
      </c>
      <c r="DT198" s="161">
        <f>IF(BF198="","",IFERROR(BF198*HSCEI!$B$45*HSCEI!$G$45/HSCEI!$B$3,""))</f>
        <v/>
      </c>
      <c r="DU198" s="161">
        <f>IF(BG198="","",IFERROR(BG198*HSCEI!$B$45*HSCEI!$G$45/HSCEI!$B$3,""))</f>
        <v/>
      </c>
      <c r="DV198" s="161">
        <f>IF(BH198="","",IFERROR(BH198*HSCEI!$B$45*HSCEI!$G$45/HSCEI!$B$3,""))</f>
        <v/>
      </c>
      <c r="DW198" s="161">
        <f>IF(BI198="","",IFERROR(BI198*HSCEI!$B$45*HSCEI!$G$45/HSCEI!$B$3,""))</f>
        <v/>
      </c>
      <c r="DX198" s="161">
        <f>IF(BJ198="","",IFERROR(BJ198*HSCEI!$B$45*HSCEI!$G$45/HSCEI!$B$3,""))</f>
        <v/>
      </c>
      <c r="DY198" s="161">
        <f>IF(BK198="","",IFERROR(BK198*HSCEI!$B$45*HSCEI!$G$45/HSCEI!$B$3,""))</f>
        <v/>
      </c>
      <c r="DZ198" s="161">
        <f>IF(BL198="","",IFERROR(BL198*HSCEI!$B$45*HSCEI!$G$45/HSCEI!$B$3,""))</f>
        <v/>
      </c>
      <c r="EA198" s="161">
        <f>IF(BM198="","",IFERROR(BM198*HSCEI!$B$45*HSCEI!$G$45/HSCEI!$B$3,""))</f>
        <v/>
      </c>
      <c r="EB198" s="161">
        <f>IF(BN198="","",IFERROR(BN198*HSCEI!$B$45*HSCEI!$G$45/HSCEI!$B$3,""))</f>
        <v/>
      </c>
      <c r="EC198" s="161">
        <f>IF(BO198="","",IFERROR(BO198*HSCEI!$B$45*HSCEI!$G$45/HSCEI!$B$3,""))</f>
        <v/>
      </c>
      <c r="EE198" s="121">
        <f>IF(N('Dvd Calendar'!$E$1979)=0,"",IF(('Dvd Calendar'!$E$1979&gt;=GRID_FROM)*('Dvd Calendar'!$E$1979&lt;=GRID_TO)*((('Dvd Calendar'!$E$1979&lt;=VAL_DATE)+(COUNTIF('Dvd Calendar'!$E$1986:$AR$1986,'Dvd Calendar'!$E$1979)=0))&gt;0)=0,"",'Dvd Calendar'!$E$1979*1000000000+ISNUMBER('Dvd Calendar'!$E$1982)*100000000+('Dvd Calendar'!$E$1984=SPECIAL_LBL)*10000000+(N('Dvd Calendar'!$E$1978)&gt;0)*(N('Dvd Calendar'!$E$1978)&lt;=VAL_SERIAL)*1000000+39*1000+1))</f>
        <v/>
      </c>
      <c r="EF198" s="121">
        <f>IF(N('Dvd Calendar'!$F$1979)=0,"",IF(('Dvd Calendar'!$F$1979&gt;=GRID_FROM)*('Dvd Calendar'!$F$1979&lt;=GRID_TO)*((('Dvd Calendar'!$F$1979&lt;=VAL_DATE)+(COUNTIF('Dvd Calendar'!$E$1986:$AR$1986,'Dvd Calendar'!$F$1979)=0))&gt;0)=0,"",'Dvd Calendar'!$F$1979*1000000000+ISNUMBER('Dvd Calendar'!$F$1982)*100000000+('Dvd Calendar'!$F$1984=SPECIAL_LBL)*10000000+(N('Dvd Calendar'!$F$1978)&gt;0)*(N('Dvd Calendar'!$F$1978)&lt;=VAL_SERIAL)*1000000+39*1000+2))</f>
        <v/>
      </c>
      <c r="EG198" s="121">
        <f>IF(N('Dvd Calendar'!$G$1979)=0,"",IF(('Dvd Calendar'!$G$1979&gt;=GRID_FROM)*('Dvd Calendar'!$G$1979&lt;=GRID_TO)*((('Dvd Calendar'!$G$1979&lt;=VAL_DATE)+(COUNTIF('Dvd Calendar'!$E$1986:$AR$1986,'Dvd Calendar'!$G$1979)=0))&gt;0)=0,"",'Dvd Calendar'!$G$1979*1000000000+ISNUMBER('Dvd Calendar'!$G$1982)*100000000+('Dvd Calendar'!$G$1984=SPECIAL_LBL)*10000000+(N('Dvd Calendar'!$G$1978)&gt;0)*(N('Dvd Calendar'!$G$1978)&lt;=VAL_SERIAL)*1000000+39*1000+3))</f>
        <v/>
      </c>
      <c r="EH198" s="121">
        <f>IF(N('Dvd Calendar'!$H$1979)=0,"",IF(('Dvd Calendar'!$H$1979&gt;=GRID_FROM)*('Dvd Calendar'!$H$1979&lt;=GRID_TO)*((('Dvd Calendar'!$H$1979&lt;=VAL_DATE)+(COUNTIF('Dvd Calendar'!$E$1986:$AR$1986,'Dvd Calendar'!$H$1979)=0))&gt;0)=0,"",'Dvd Calendar'!$H$1979*1000000000+ISNUMBER('Dvd Calendar'!$H$1982)*100000000+('Dvd Calendar'!$H$1984=SPECIAL_LBL)*10000000+(N('Dvd Calendar'!$H$1978)&gt;0)*(N('Dvd Calendar'!$H$1978)&lt;=VAL_SERIAL)*1000000+39*1000+4))</f>
        <v/>
      </c>
      <c r="EI198" s="121">
        <f>IF(N('Dvd Calendar'!$I$1979)=0,"",IF(('Dvd Calendar'!$I$1979&gt;=GRID_FROM)*('Dvd Calendar'!$I$1979&lt;=GRID_TO)*((('Dvd Calendar'!$I$1979&lt;=VAL_DATE)+(COUNTIF('Dvd Calendar'!$E$1986:$AR$1986,'Dvd Calendar'!$I$1979)=0))&gt;0)=0,"",'Dvd Calendar'!$I$1979*1000000000+ISNUMBER('Dvd Calendar'!$I$1982)*100000000+('Dvd Calendar'!$I$1984=SPECIAL_LBL)*10000000+(N('Dvd Calendar'!$I$1978)&gt;0)*(N('Dvd Calendar'!$I$1978)&lt;=VAL_SERIAL)*1000000+39*1000+5))</f>
        <v/>
      </c>
      <c r="EJ198" s="121">
        <f>IF(N('Dvd Calendar'!$J$1979)=0,"",IF(('Dvd Calendar'!$J$1979&gt;=GRID_FROM)*('Dvd Calendar'!$J$1979&lt;=GRID_TO)*((('Dvd Calendar'!$J$1979&lt;=VAL_DATE)+(COUNTIF('Dvd Calendar'!$E$1986:$AR$1986,'Dvd Calendar'!$J$1979)=0))&gt;0)=0,"",'Dvd Calendar'!$J$1979*1000000000+ISNUMBER('Dvd Calendar'!$J$1982)*100000000+('Dvd Calendar'!$J$1984=SPECIAL_LBL)*10000000+(N('Dvd Calendar'!$J$1978)&gt;0)*(N('Dvd Calendar'!$J$1978)&lt;=VAL_SERIAL)*1000000+39*1000+6))</f>
        <v/>
      </c>
      <c r="EK198" s="121">
        <f>IF(N('Dvd Calendar'!$K$1979)=0,"",IF(('Dvd Calendar'!$K$1979&gt;=GRID_FROM)*('Dvd Calendar'!$K$1979&lt;=GRID_TO)*((('Dvd Calendar'!$K$1979&lt;=VAL_DATE)+(COUNTIF('Dvd Calendar'!$E$1986:$AR$1986,'Dvd Calendar'!$K$1979)=0))&gt;0)=0,"",'Dvd Calendar'!$K$1979*1000000000+ISNUMBER('Dvd Calendar'!$K$1982)*100000000+('Dvd Calendar'!$K$1984=SPECIAL_LBL)*10000000+(N('Dvd Calendar'!$K$1978)&gt;0)*(N('Dvd Calendar'!$K$1978)&lt;=VAL_SERIAL)*1000000+39*1000+7))</f>
        <v/>
      </c>
      <c r="EL198" s="121">
        <f>IF(N('Dvd Calendar'!$L$1979)=0,"",IF(('Dvd Calendar'!$L$1979&gt;=GRID_FROM)*('Dvd Calendar'!$L$1979&lt;=GRID_TO)*((('Dvd Calendar'!$L$1979&lt;=VAL_DATE)+(COUNTIF('Dvd Calendar'!$E$1986:$AR$1986,'Dvd Calendar'!$L$1979)=0))&gt;0)=0,"",'Dvd Calendar'!$L$1979*1000000000+ISNUMBER('Dvd Calendar'!$L$1982)*100000000+('Dvd Calendar'!$L$1984=SPECIAL_LBL)*10000000+(N('Dvd Calendar'!$L$1978)&gt;0)*(N('Dvd Calendar'!$L$1978)&lt;=VAL_SERIAL)*1000000+39*1000+8))</f>
        <v/>
      </c>
      <c r="EM198" s="121">
        <f>IF(N('Dvd Calendar'!$M$1979)=0,"",IF(('Dvd Calendar'!$M$1979&gt;=GRID_FROM)*('Dvd Calendar'!$M$1979&lt;=GRID_TO)*((('Dvd Calendar'!$M$1979&lt;=VAL_DATE)+(COUNTIF('Dvd Calendar'!$E$1986:$AR$1986,'Dvd Calendar'!$M$1979)=0))&gt;0)=0,"",'Dvd Calendar'!$M$1979*1000000000+ISNUMBER('Dvd Calendar'!$M$1982)*100000000+('Dvd Calendar'!$M$1984=SPECIAL_LBL)*10000000+(N('Dvd Calendar'!$M$1978)&gt;0)*(N('Dvd Calendar'!$M$1978)&lt;=VAL_SERIAL)*1000000+39*1000+9))</f>
        <v/>
      </c>
      <c r="EN198" s="121">
        <f>IF(N('Dvd Calendar'!$N$1979)=0,"",IF(('Dvd Calendar'!$N$1979&gt;=GRID_FROM)*('Dvd Calendar'!$N$1979&lt;=GRID_TO)*((('Dvd Calendar'!$N$1979&lt;=VAL_DATE)+(COUNTIF('Dvd Calendar'!$E$1986:$AR$1986,'Dvd Calendar'!$N$1979)=0))&gt;0)=0,"",'Dvd Calendar'!$N$1979*1000000000+ISNUMBER('Dvd Calendar'!$N$1982)*100000000+('Dvd Calendar'!$N$1984=SPECIAL_LBL)*10000000+(N('Dvd Calendar'!$N$1978)&gt;0)*(N('Dvd Calendar'!$N$1978)&lt;=VAL_SERIAL)*1000000+39*1000+10))</f>
        <v/>
      </c>
      <c r="EO198" s="121">
        <f>IF(N('Dvd Calendar'!$O$1979)=0,"",IF(('Dvd Calendar'!$O$1979&gt;=GRID_FROM)*('Dvd Calendar'!$O$1979&lt;=GRID_TO)*((('Dvd Calendar'!$O$1979&lt;=VAL_DATE)+(COUNTIF('Dvd Calendar'!$E$1986:$AR$1986,'Dvd Calendar'!$O$1979)=0))&gt;0)=0,"",'Dvd Calendar'!$O$1979*1000000000+ISNUMBER('Dvd Calendar'!$O$1982)*100000000+('Dvd Calendar'!$O$1984=SPECIAL_LBL)*10000000+(N('Dvd Calendar'!$O$1978)&gt;0)*(N('Dvd Calendar'!$O$1978)&lt;=VAL_SERIAL)*1000000+39*1000+11))</f>
        <v/>
      </c>
      <c r="EP198" s="121">
        <f>IF(N('Dvd Calendar'!$P$1979)=0,"",IF(('Dvd Calendar'!$P$1979&gt;=GRID_FROM)*('Dvd Calendar'!$P$1979&lt;=GRID_TO)*((('Dvd Calendar'!$P$1979&lt;=VAL_DATE)+(COUNTIF('Dvd Calendar'!$E$1986:$AR$1986,'Dvd Calendar'!$P$1979)=0))&gt;0)=0,"",'Dvd Calendar'!$P$1979*1000000000+ISNUMBER('Dvd Calendar'!$P$1982)*100000000+('Dvd Calendar'!$P$1984=SPECIAL_LBL)*10000000+(N('Dvd Calendar'!$P$1978)&gt;0)*(N('Dvd Calendar'!$P$1978)&lt;=VAL_SERIAL)*1000000+39*1000+12))</f>
        <v/>
      </c>
      <c r="EQ198" s="121">
        <f>IF(N('Dvd Calendar'!$Q$1979)=0,"",IF(('Dvd Calendar'!$Q$1979&gt;=GRID_FROM)*('Dvd Calendar'!$Q$1979&lt;=GRID_TO)*((('Dvd Calendar'!$Q$1979&lt;=VAL_DATE)+(COUNTIF('Dvd Calendar'!$E$1986:$AR$1986,'Dvd Calendar'!$Q$1979)=0))&gt;0)=0,"",'Dvd Calendar'!$Q$1979*1000000000+ISNUMBER('Dvd Calendar'!$Q$1982)*100000000+('Dvd Calendar'!$Q$1984=SPECIAL_LBL)*10000000+(N('Dvd Calendar'!$Q$1978)&gt;0)*(N('Dvd Calendar'!$Q$1978)&lt;=VAL_SERIAL)*1000000+39*1000+13))</f>
        <v/>
      </c>
      <c r="ER198" s="121">
        <f>IF(N('Dvd Calendar'!$R$1979)=0,"",IF(('Dvd Calendar'!$R$1979&gt;=GRID_FROM)*('Dvd Calendar'!$R$1979&lt;=GRID_TO)*((('Dvd Calendar'!$R$1979&lt;=VAL_DATE)+(COUNTIF('Dvd Calendar'!$E$1986:$AR$1986,'Dvd Calendar'!$R$1979)=0))&gt;0)=0,"",'Dvd Calendar'!$R$1979*1000000000+ISNUMBER('Dvd Calendar'!$R$1982)*100000000+('Dvd Calendar'!$R$1984=SPECIAL_LBL)*10000000+(N('Dvd Calendar'!$R$1978)&gt;0)*(N('Dvd Calendar'!$R$1978)&lt;=VAL_SERIAL)*1000000+39*1000+14))</f>
        <v/>
      </c>
      <c r="ES198" s="121">
        <f>IF(N('Dvd Calendar'!$S$1979)=0,"",IF(('Dvd Calendar'!$S$1979&gt;=GRID_FROM)*('Dvd Calendar'!$S$1979&lt;=GRID_TO)*((('Dvd Calendar'!$S$1979&lt;=VAL_DATE)+(COUNTIF('Dvd Calendar'!$E$1986:$AR$1986,'Dvd Calendar'!$S$1979)=0))&gt;0)=0,"",'Dvd Calendar'!$S$1979*1000000000+ISNUMBER('Dvd Calendar'!$S$1982)*100000000+('Dvd Calendar'!$S$1984=SPECIAL_LBL)*10000000+(N('Dvd Calendar'!$S$1978)&gt;0)*(N('Dvd Calendar'!$S$1978)&lt;=VAL_SERIAL)*1000000+39*1000+15))</f>
        <v/>
      </c>
      <c r="ET198" s="121">
        <f>IF(N('Dvd Calendar'!$T$1979)=0,"",IF(('Dvd Calendar'!$T$1979&gt;=GRID_FROM)*('Dvd Calendar'!$T$1979&lt;=GRID_TO)*((('Dvd Calendar'!$T$1979&lt;=VAL_DATE)+(COUNTIF('Dvd Calendar'!$E$1986:$AR$1986,'Dvd Calendar'!$T$1979)=0))&gt;0)=0,"",'Dvd Calendar'!$T$1979*1000000000+ISNUMBER('Dvd Calendar'!$T$1982)*100000000+('Dvd Calendar'!$T$1984=SPECIAL_LBL)*10000000+(N('Dvd Calendar'!$T$1978)&gt;0)*(N('Dvd Calendar'!$T$1978)&lt;=VAL_SERIAL)*1000000+39*1000+16))</f>
        <v/>
      </c>
      <c r="EU198" s="121">
        <f>IF(N('Dvd Calendar'!$U$1979)=0,"",IF(('Dvd Calendar'!$U$1979&gt;=GRID_FROM)*('Dvd Calendar'!$U$1979&lt;=GRID_TO)*((('Dvd Calendar'!$U$1979&lt;=VAL_DATE)+(COUNTIF('Dvd Calendar'!$E$1986:$AR$1986,'Dvd Calendar'!$U$1979)=0))&gt;0)=0,"",'Dvd Calendar'!$U$1979*1000000000+ISNUMBER('Dvd Calendar'!$U$1982)*100000000+('Dvd Calendar'!$U$1984=SPECIAL_LBL)*10000000+(N('Dvd Calendar'!$U$1978)&gt;0)*(N('Dvd Calendar'!$U$1978)&lt;=VAL_SERIAL)*1000000+39*1000+17))</f>
        <v/>
      </c>
      <c r="EV198" s="121">
        <f>IF(N('Dvd Calendar'!$V$1979)=0,"",IF(('Dvd Calendar'!$V$1979&gt;=GRID_FROM)*('Dvd Calendar'!$V$1979&lt;=GRID_TO)*((('Dvd Calendar'!$V$1979&lt;=VAL_DATE)+(COUNTIF('Dvd Calendar'!$E$1986:$AR$1986,'Dvd Calendar'!$V$1979)=0))&gt;0)=0,"",'Dvd Calendar'!$V$1979*1000000000+ISNUMBER('Dvd Calendar'!$V$1982)*100000000+('Dvd Calendar'!$V$1984=SPECIAL_LBL)*10000000+(N('Dvd Calendar'!$V$1978)&gt;0)*(N('Dvd Calendar'!$V$1978)&lt;=VAL_SERIAL)*1000000+39*1000+18))</f>
        <v/>
      </c>
      <c r="EW198" s="121">
        <f>IF(N('Dvd Calendar'!$W$1979)=0,"",IF(('Dvd Calendar'!$W$1979&gt;=GRID_FROM)*('Dvd Calendar'!$W$1979&lt;=GRID_TO)*((('Dvd Calendar'!$W$1979&lt;=VAL_DATE)+(COUNTIF('Dvd Calendar'!$E$1986:$AR$1986,'Dvd Calendar'!$W$1979)=0))&gt;0)=0,"",'Dvd Calendar'!$W$1979*1000000000+ISNUMBER('Dvd Calendar'!$W$1982)*100000000+('Dvd Calendar'!$W$1984=SPECIAL_LBL)*10000000+(N('Dvd Calendar'!$W$1978)&gt;0)*(N('Dvd Calendar'!$W$1978)&lt;=VAL_SERIAL)*1000000+39*1000+19))</f>
        <v/>
      </c>
      <c r="EX198" s="121">
        <f>IF(N('Dvd Calendar'!$X$1979)=0,"",IF(('Dvd Calendar'!$X$1979&gt;=GRID_FROM)*('Dvd Calendar'!$X$1979&lt;=GRID_TO)*((('Dvd Calendar'!$X$1979&lt;=VAL_DATE)+(COUNTIF('Dvd Calendar'!$E$1986:$AR$1986,'Dvd Calendar'!$X$1979)=0))&gt;0)=0,"",'Dvd Calendar'!$X$1979*1000000000+ISNUMBER('Dvd Calendar'!$X$1982)*100000000+('Dvd Calendar'!$X$1984=SPECIAL_LBL)*10000000+(N('Dvd Calendar'!$X$1978)&gt;0)*(N('Dvd Calendar'!$X$1978)&lt;=VAL_SERIAL)*1000000+39*1000+20))</f>
        <v/>
      </c>
      <c r="EY198" s="121">
        <f>IF(N('Dvd Calendar'!$Y$1979)=0,"",IF(('Dvd Calendar'!$Y$1979&gt;=GRID_FROM)*('Dvd Calendar'!$Y$1979&lt;=GRID_TO)*((('Dvd Calendar'!$Y$1979&lt;=VAL_DATE)+(COUNTIF('Dvd Calendar'!$E$1986:$AR$1986,'Dvd Calendar'!$Y$1979)=0))&gt;0)=0,"",'Dvd Calendar'!$Y$1979*1000000000+ISNUMBER('Dvd Calendar'!$Y$1982)*100000000+('Dvd Calendar'!$Y$1984=SPECIAL_LBL)*10000000+(N('Dvd Calendar'!$Y$1978)&gt;0)*(N('Dvd Calendar'!$Y$1978)&lt;=VAL_SERIAL)*1000000+39*1000+21))</f>
        <v/>
      </c>
      <c r="EZ198" s="121">
        <f>IF(N('Dvd Calendar'!$Z$1979)=0,"",IF(('Dvd Calendar'!$Z$1979&gt;=GRID_FROM)*('Dvd Calendar'!$Z$1979&lt;=GRID_TO)*((('Dvd Calendar'!$Z$1979&lt;=VAL_DATE)+(COUNTIF('Dvd Calendar'!$E$1986:$AR$1986,'Dvd Calendar'!$Z$1979)=0))&gt;0)=0,"",'Dvd Calendar'!$Z$1979*1000000000+ISNUMBER('Dvd Calendar'!$Z$1982)*100000000+('Dvd Calendar'!$Z$1984=SPECIAL_LBL)*10000000+(N('Dvd Calendar'!$Z$1978)&gt;0)*(N('Dvd Calendar'!$Z$1978)&lt;=VAL_SERIAL)*1000000+39*1000+22))</f>
        <v/>
      </c>
      <c r="FA198" s="121">
        <f>IF(N('Dvd Calendar'!$AA$1979)=0,"",IF(('Dvd Calendar'!$AA$1979&gt;=GRID_FROM)*('Dvd Calendar'!$AA$1979&lt;=GRID_TO)*((('Dvd Calendar'!$AA$1979&lt;=VAL_DATE)+(COUNTIF('Dvd Calendar'!$E$1986:$AR$1986,'Dvd Calendar'!$AA$1979)=0))&gt;0)=0,"",'Dvd Calendar'!$AA$1979*1000000000+ISNUMBER('Dvd Calendar'!$AA$1982)*100000000+('Dvd Calendar'!$AA$1984=SPECIAL_LBL)*10000000+(N('Dvd Calendar'!$AA$1978)&gt;0)*(N('Dvd Calendar'!$AA$1978)&lt;=VAL_SERIAL)*1000000+39*1000+23))</f>
        <v/>
      </c>
      <c r="FB198" s="121">
        <f>IF(N('Dvd Calendar'!$AB$1979)=0,"",IF(('Dvd Calendar'!$AB$1979&gt;=GRID_FROM)*('Dvd Calendar'!$AB$1979&lt;=GRID_TO)*((('Dvd Calendar'!$AB$1979&lt;=VAL_DATE)+(COUNTIF('Dvd Calendar'!$E$1986:$AR$1986,'Dvd Calendar'!$AB$1979)=0))&gt;0)=0,"",'Dvd Calendar'!$AB$1979*1000000000+ISNUMBER('Dvd Calendar'!$AB$1982)*100000000+('Dvd Calendar'!$AB$1984=SPECIAL_LBL)*10000000+(N('Dvd Calendar'!$AB$1978)&gt;0)*(N('Dvd Calendar'!$AB$1978)&lt;=VAL_SERIAL)*1000000+39*1000+24))</f>
        <v/>
      </c>
      <c r="FC198" s="121">
        <f>IF(N('Dvd Calendar'!$AC$1979)=0,"",IF(('Dvd Calendar'!$AC$1979&gt;=GRID_FROM)*('Dvd Calendar'!$AC$1979&lt;=GRID_TO)*((('Dvd Calendar'!$AC$1979&lt;=VAL_DATE)+(COUNTIF('Dvd Calendar'!$E$1986:$AR$1986,'Dvd Calendar'!$AC$1979)=0))&gt;0)=0,"",'Dvd Calendar'!$AC$1979*1000000000+ISNUMBER('Dvd Calendar'!$AC$1982)*100000000+('Dvd Calendar'!$AC$1984=SPECIAL_LBL)*10000000+(N('Dvd Calendar'!$AC$1978)&gt;0)*(N('Dvd Calendar'!$AC$1978)&lt;=VAL_SERIAL)*1000000+39*1000+25))</f>
        <v/>
      </c>
      <c r="FD198" s="121">
        <f>IF(N('Dvd Calendar'!$AD$1979)=0,"",IF(('Dvd Calendar'!$AD$1979&gt;=GRID_FROM)*('Dvd Calendar'!$AD$1979&lt;=GRID_TO)*((('Dvd Calendar'!$AD$1979&lt;=VAL_DATE)+(COUNTIF('Dvd Calendar'!$E$1986:$AR$1986,'Dvd Calendar'!$AD$1979)=0))&gt;0)=0,"",'Dvd Calendar'!$AD$1979*1000000000+ISNUMBER('Dvd Calendar'!$AD$1982)*100000000+('Dvd Calendar'!$AD$1984=SPECIAL_LBL)*10000000+(N('Dvd Calendar'!$AD$1978)&gt;0)*(N('Dvd Calendar'!$AD$1978)&lt;=VAL_SERIAL)*1000000+39*1000+26))</f>
        <v/>
      </c>
      <c r="FE198" s="121">
        <f>IF(N('Dvd Calendar'!$AE$1979)=0,"",IF(('Dvd Calendar'!$AE$1979&gt;=GRID_FROM)*('Dvd Calendar'!$AE$1979&lt;=GRID_TO)*((('Dvd Calendar'!$AE$1979&lt;=VAL_DATE)+(COUNTIF('Dvd Calendar'!$E$1986:$AR$1986,'Dvd Calendar'!$AE$1979)=0))&gt;0)=0,"",'Dvd Calendar'!$AE$1979*1000000000+ISNUMBER('Dvd Calendar'!$AE$1982)*100000000+('Dvd Calendar'!$AE$1984=SPECIAL_LBL)*10000000+(N('Dvd Calendar'!$AE$1978)&gt;0)*(N('Dvd Calendar'!$AE$1978)&lt;=VAL_SERIAL)*1000000+39*1000+27))</f>
        <v/>
      </c>
      <c r="FF198" s="121">
        <f>IF(N('Dvd Calendar'!$AF$1979)=0,"",IF(('Dvd Calendar'!$AF$1979&gt;=GRID_FROM)*('Dvd Calendar'!$AF$1979&lt;=GRID_TO)*((('Dvd Calendar'!$AF$1979&lt;=VAL_DATE)+(COUNTIF('Dvd Calendar'!$E$1986:$AR$1986,'Dvd Calendar'!$AF$1979)=0))&gt;0)=0,"",'Dvd Calendar'!$AF$1979*1000000000+ISNUMBER('Dvd Calendar'!$AF$1982)*100000000+('Dvd Calendar'!$AF$1984=SPECIAL_LBL)*10000000+(N('Dvd Calendar'!$AF$1978)&gt;0)*(N('Dvd Calendar'!$AF$1978)&lt;=VAL_SERIAL)*1000000+39*1000+28))</f>
        <v/>
      </c>
      <c r="FG198" s="121">
        <f>IF(N('Dvd Calendar'!$AG$1979)=0,"",IF(('Dvd Calendar'!$AG$1979&gt;=GRID_FROM)*('Dvd Calendar'!$AG$1979&lt;=GRID_TO)*((('Dvd Calendar'!$AG$1979&lt;=VAL_DATE)+(COUNTIF('Dvd Calendar'!$E$1986:$AR$1986,'Dvd Calendar'!$AG$1979)=0))&gt;0)=0,"",'Dvd Calendar'!$AG$1979*1000000000+ISNUMBER('Dvd Calendar'!$AG$1982)*100000000+('Dvd Calendar'!$AG$1984=SPECIAL_LBL)*10000000+(N('Dvd Calendar'!$AG$1978)&gt;0)*(N('Dvd Calendar'!$AG$1978)&lt;=VAL_SERIAL)*1000000+39*1000+29))</f>
        <v/>
      </c>
      <c r="FH198" s="121">
        <f>IF(N('Dvd Calendar'!$AH$1979)=0,"",IF(('Dvd Calendar'!$AH$1979&gt;=GRID_FROM)*('Dvd Calendar'!$AH$1979&lt;=GRID_TO)*((('Dvd Calendar'!$AH$1979&lt;=VAL_DATE)+(COUNTIF('Dvd Calendar'!$E$1986:$AR$1986,'Dvd Calendar'!$AH$1979)=0))&gt;0)=0,"",'Dvd Calendar'!$AH$1979*1000000000+ISNUMBER('Dvd Calendar'!$AH$1982)*100000000+('Dvd Calendar'!$AH$1984=SPECIAL_LBL)*10000000+(N('Dvd Calendar'!$AH$1978)&gt;0)*(N('Dvd Calendar'!$AH$1978)&lt;=VAL_SERIAL)*1000000+39*1000+30))</f>
        <v/>
      </c>
      <c r="FI198" s="121">
        <f>IF(N('Dvd Calendar'!$AI$1979)=0,"",IF(('Dvd Calendar'!$AI$1979&gt;=GRID_FROM)*('Dvd Calendar'!$AI$1979&lt;=GRID_TO)*((('Dvd Calendar'!$AI$1979&lt;=VAL_DATE)+(COUNTIF('Dvd Calendar'!$E$1986:$AR$1986,'Dvd Calendar'!$AI$1979)=0))&gt;0)=0,"",'Dvd Calendar'!$AI$1979*1000000000+ISNUMBER('Dvd Calendar'!$AI$1982)*100000000+('Dvd Calendar'!$AI$1984=SPECIAL_LBL)*10000000+(N('Dvd Calendar'!$AI$1978)&gt;0)*(N('Dvd Calendar'!$AI$1978)&lt;=VAL_SERIAL)*1000000+39*1000+31))</f>
        <v/>
      </c>
      <c r="FJ198" s="121">
        <f>IF(N('Dvd Calendar'!$AJ$1979)=0,"",IF(('Dvd Calendar'!$AJ$1979&gt;=GRID_FROM)*('Dvd Calendar'!$AJ$1979&lt;=GRID_TO)*((('Dvd Calendar'!$AJ$1979&lt;=VAL_DATE)+(COUNTIF('Dvd Calendar'!$E$1986:$AR$1986,'Dvd Calendar'!$AJ$1979)=0))&gt;0)=0,"",'Dvd Calendar'!$AJ$1979*1000000000+ISNUMBER('Dvd Calendar'!$AJ$1982)*100000000+('Dvd Calendar'!$AJ$1984=SPECIAL_LBL)*10000000+(N('Dvd Calendar'!$AJ$1978)&gt;0)*(N('Dvd Calendar'!$AJ$1978)&lt;=VAL_SERIAL)*1000000+39*1000+32))</f>
        <v/>
      </c>
      <c r="FK198" s="121">
        <f>IF(N('Dvd Calendar'!$AK$1979)=0,"",IF(('Dvd Calendar'!$AK$1979&gt;=GRID_FROM)*('Dvd Calendar'!$AK$1979&lt;=GRID_TO)*((('Dvd Calendar'!$AK$1979&lt;=VAL_DATE)+(COUNTIF('Dvd Calendar'!$E$1986:$AR$1986,'Dvd Calendar'!$AK$1979)=0))&gt;0)=0,"",'Dvd Calendar'!$AK$1979*1000000000+ISNUMBER('Dvd Calendar'!$AK$1982)*100000000+('Dvd Calendar'!$AK$1984=SPECIAL_LBL)*10000000+(N('Dvd Calendar'!$AK$1978)&gt;0)*(N('Dvd Calendar'!$AK$1978)&lt;=VAL_SERIAL)*1000000+39*1000+33))</f>
        <v/>
      </c>
      <c r="FL198" s="121">
        <f>IF(N('Dvd Calendar'!$AL$1979)=0,"",IF(('Dvd Calendar'!$AL$1979&gt;=GRID_FROM)*('Dvd Calendar'!$AL$1979&lt;=GRID_TO)*((('Dvd Calendar'!$AL$1979&lt;=VAL_DATE)+(COUNTIF('Dvd Calendar'!$E$1986:$AR$1986,'Dvd Calendar'!$AL$1979)=0))&gt;0)=0,"",'Dvd Calendar'!$AL$1979*1000000000+ISNUMBER('Dvd Calendar'!$AL$1982)*100000000+('Dvd Calendar'!$AL$1984=SPECIAL_LBL)*10000000+(N('Dvd Calendar'!$AL$1978)&gt;0)*(N('Dvd Calendar'!$AL$1978)&lt;=VAL_SERIAL)*1000000+39*1000+34))</f>
        <v/>
      </c>
      <c r="FM198" s="121">
        <f>IF(N('Dvd Calendar'!$AM$1979)=0,"",IF(('Dvd Calendar'!$AM$1979&gt;=GRID_FROM)*('Dvd Calendar'!$AM$1979&lt;=GRID_TO)*((('Dvd Calendar'!$AM$1979&lt;=VAL_DATE)+(COUNTIF('Dvd Calendar'!$E$1986:$AR$1986,'Dvd Calendar'!$AM$1979)=0))&gt;0)=0,"",'Dvd Calendar'!$AM$1979*1000000000+ISNUMBER('Dvd Calendar'!$AM$1982)*100000000+('Dvd Calendar'!$AM$1984=SPECIAL_LBL)*10000000+(N('Dvd Calendar'!$AM$1978)&gt;0)*(N('Dvd Calendar'!$AM$1978)&lt;=VAL_SERIAL)*1000000+39*1000+35))</f>
        <v/>
      </c>
      <c r="FN198" s="121">
        <f>IF(N('Dvd Calendar'!$AN$1979)=0,"",IF(('Dvd Calendar'!$AN$1979&gt;=GRID_FROM)*('Dvd Calendar'!$AN$1979&lt;=GRID_TO)*((('Dvd Calendar'!$AN$1979&lt;=VAL_DATE)+(COUNTIF('Dvd Calendar'!$E$1986:$AR$1986,'Dvd Calendar'!$AN$1979)=0))&gt;0)=0,"",'Dvd Calendar'!$AN$1979*1000000000+ISNUMBER('Dvd Calendar'!$AN$1982)*100000000+('Dvd Calendar'!$AN$1984=SPECIAL_LBL)*10000000+(N('Dvd Calendar'!$AN$1978)&gt;0)*(N('Dvd Calendar'!$AN$1978)&lt;=VAL_SERIAL)*1000000+39*1000+36))</f>
        <v/>
      </c>
      <c r="FO198" s="121">
        <f>IF(N('Dvd Calendar'!$AO$1979)=0,"",IF(('Dvd Calendar'!$AO$1979&gt;=GRID_FROM)*('Dvd Calendar'!$AO$1979&lt;=GRID_TO)*((('Dvd Calendar'!$AO$1979&lt;=VAL_DATE)+(COUNTIF('Dvd Calendar'!$E$1986:$AR$1986,'Dvd Calendar'!$AO$1979)=0))&gt;0)=0,"",'Dvd Calendar'!$AO$1979*1000000000+ISNUMBER('Dvd Calendar'!$AO$1982)*100000000+('Dvd Calendar'!$AO$1984=SPECIAL_LBL)*10000000+(N('Dvd Calendar'!$AO$1978)&gt;0)*(N('Dvd Calendar'!$AO$1978)&lt;=VAL_SERIAL)*1000000+39*1000+37))</f>
        <v/>
      </c>
      <c r="FP198" s="121">
        <f>IF(N('Dvd Calendar'!$AP$1979)=0,"",IF(('Dvd Calendar'!$AP$1979&gt;=GRID_FROM)*('Dvd Calendar'!$AP$1979&lt;=GRID_TO)*((('Dvd Calendar'!$AP$1979&lt;=VAL_DATE)+(COUNTIF('Dvd Calendar'!$E$1986:$AR$1986,'Dvd Calendar'!$AP$1979)=0))&gt;0)=0,"",'Dvd Calendar'!$AP$1979*1000000000+ISNUMBER('Dvd Calendar'!$AP$1982)*100000000+('Dvd Calendar'!$AP$1984=SPECIAL_LBL)*10000000+(N('Dvd Calendar'!$AP$1978)&gt;0)*(N('Dvd Calendar'!$AP$1978)&lt;=VAL_SERIAL)*1000000+39*1000+38))</f>
        <v/>
      </c>
      <c r="FQ198" s="121">
        <f>IF(N('Dvd Calendar'!$AQ$1979)=0,"",IF(('Dvd Calendar'!$AQ$1979&gt;=GRID_FROM)*('Dvd Calendar'!$AQ$1979&lt;=GRID_TO)*((('Dvd Calendar'!$AQ$1979&lt;=VAL_DATE)+(COUNTIF('Dvd Calendar'!$E$1986:$AR$1986,'Dvd Calendar'!$AQ$1979)=0))&gt;0)=0,"",'Dvd Calendar'!$AQ$1979*1000000000+ISNUMBER('Dvd Calendar'!$AQ$1982)*100000000+('Dvd Calendar'!$AQ$1984=SPECIAL_LBL)*10000000+(N('Dvd Calendar'!$AQ$1978)&gt;0)*(N('Dvd Calendar'!$AQ$1978)&lt;=VAL_SERIAL)*1000000+39*1000+39))</f>
        <v/>
      </c>
      <c r="FR198" s="121">
        <f>IF(N('Dvd Calendar'!$AR$1979)=0,"",IF(('Dvd Calendar'!$AR$1979&gt;=GRID_FROM)*('Dvd Calendar'!$AR$1979&lt;=GRID_TO)*((('Dvd Calendar'!$AR$1979&lt;=VAL_DATE)+(COUNTIF('Dvd Calendar'!$E$1986:$AR$1986,'Dvd Calendar'!$AR$1979)=0))&gt;0)=0,"",'Dvd Calendar'!$AR$1979*1000000000+ISNUMBER('Dvd Calendar'!$AR$1982)*100000000+('Dvd Calendar'!$AR$1984=SPECIAL_LBL)*10000000+(N('Dvd Calendar'!$AR$1978)&gt;0)*(N('Dvd Calendar'!$AR$1978)&lt;=VAL_SERIAL)*1000000+39*1000+40))</f>
        <v/>
      </c>
      <c r="FS198" s="121">
        <f>IF(N('Dvd Calendar'!$E$1986)=0,"",IF(('Dvd Calendar'!$E$1986&gt;=GRID_FROM)*('Dvd Calendar'!$E$1986&lt;=GRID_TO)*('Dvd Calendar'!$E$1986&gt;VAL_DATE)=0,"",'Dvd Calendar'!$E$1986*1000000000+ISNUMBER('Dvd Calendar'!$E$1987)*100000000+0*10000000+(N('Dvd Calendar'!$E$1985)&gt;0)*(N('Dvd Calendar'!$E$1985)&lt;=VAL_SERIAL)*1000000+39*1000+41))</f>
        <v/>
      </c>
      <c r="FT198" s="121">
        <f>IF(N('Dvd Calendar'!$F$1986)=0,"",IF(('Dvd Calendar'!$F$1986&gt;=GRID_FROM)*('Dvd Calendar'!$F$1986&lt;=GRID_TO)*('Dvd Calendar'!$F$1986&gt;VAL_DATE)=0,"",'Dvd Calendar'!$F$1986*1000000000+ISNUMBER('Dvd Calendar'!$F$1987)*100000000+0*10000000+(N('Dvd Calendar'!$F$1985)&gt;0)*(N('Dvd Calendar'!$F$1985)&lt;=VAL_SERIAL)*1000000+39*1000+42))</f>
        <v/>
      </c>
      <c r="FU198" s="121">
        <f>IF(N('Dvd Calendar'!$G$1986)=0,"",IF(('Dvd Calendar'!$G$1986&gt;=GRID_FROM)*('Dvd Calendar'!$G$1986&lt;=GRID_TO)*('Dvd Calendar'!$G$1986&gt;VAL_DATE)=0,"",'Dvd Calendar'!$G$1986*1000000000+ISNUMBER('Dvd Calendar'!$G$1987)*100000000+0*10000000+(N('Dvd Calendar'!$G$1985)&gt;0)*(N('Dvd Calendar'!$G$1985)&lt;=VAL_SERIAL)*1000000+39*1000+43))</f>
        <v/>
      </c>
      <c r="FV198" s="121">
        <f>IF(N('Dvd Calendar'!$H$1986)=0,"",IF(('Dvd Calendar'!$H$1986&gt;=GRID_FROM)*('Dvd Calendar'!$H$1986&lt;=GRID_TO)*('Dvd Calendar'!$H$1986&gt;VAL_DATE)=0,"",'Dvd Calendar'!$H$1986*1000000000+ISNUMBER('Dvd Calendar'!$H$1987)*100000000+0*10000000+(N('Dvd Calendar'!$H$1985)&gt;0)*(N('Dvd Calendar'!$H$1985)&lt;=VAL_SERIAL)*1000000+39*1000+44))</f>
        <v/>
      </c>
      <c r="FW198" s="121">
        <f>IF(N('Dvd Calendar'!$I$1986)=0,"",IF(('Dvd Calendar'!$I$1986&gt;=GRID_FROM)*('Dvd Calendar'!$I$1986&lt;=GRID_TO)*('Dvd Calendar'!$I$1986&gt;VAL_DATE)=0,"",'Dvd Calendar'!$I$1986*1000000000+ISNUMBER('Dvd Calendar'!$I$1987)*100000000+0*10000000+(N('Dvd Calendar'!$I$1985)&gt;0)*(N('Dvd Calendar'!$I$1985)&lt;=VAL_SERIAL)*1000000+39*1000+45))</f>
        <v/>
      </c>
      <c r="FX198" s="121">
        <f>IF(N('Dvd Calendar'!$J$1986)=0,"",IF(('Dvd Calendar'!$J$1986&gt;=GRID_FROM)*('Dvd Calendar'!$J$1986&lt;=GRID_TO)*('Dvd Calendar'!$J$1986&gt;VAL_DATE)=0,"",'Dvd Calendar'!$J$1986*1000000000+ISNUMBER('Dvd Calendar'!$J$1987)*100000000+0*10000000+(N('Dvd Calendar'!$J$1985)&gt;0)*(N('Dvd Calendar'!$J$1985)&lt;=VAL_SERIAL)*1000000+39*1000+46))</f>
        <v/>
      </c>
      <c r="FY198" s="121">
        <f>IF(N('Dvd Calendar'!$K$1986)=0,"",IF(('Dvd Calendar'!$K$1986&gt;=GRID_FROM)*('Dvd Calendar'!$K$1986&lt;=GRID_TO)*('Dvd Calendar'!$K$1986&gt;VAL_DATE)=0,"",'Dvd Calendar'!$K$1986*1000000000+ISNUMBER('Dvd Calendar'!$K$1987)*100000000+0*10000000+(N('Dvd Calendar'!$K$1985)&gt;0)*(N('Dvd Calendar'!$K$1985)&lt;=VAL_SERIAL)*1000000+39*1000+47))</f>
        <v/>
      </c>
      <c r="FZ198" s="121">
        <f>IF(N('Dvd Calendar'!$L$1986)=0,"",IF(('Dvd Calendar'!$L$1986&gt;=GRID_FROM)*('Dvd Calendar'!$L$1986&lt;=GRID_TO)*('Dvd Calendar'!$L$1986&gt;VAL_DATE)=0,"",'Dvd Calendar'!$L$1986*1000000000+ISNUMBER('Dvd Calendar'!$L$1987)*100000000+0*10000000+(N('Dvd Calendar'!$L$1985)&gt;0)*(N('Dvd Calendar'!$L$1985)&lt;=VAL_SERIAL)*1000000+39*1000+48))</f>
        <v/>
      </c>
      <c r="GA198" s="121">
        <f>IF(N('Dvd Calendar'!$M$1986)=0,"",IF(('Dvd Calendar'!$M$1986&gt;=GRID_FROM)*('Dvd Calendar'!$M$1986&lt;=GRID_TO)*('Dvd Calendar'!$M$1986&gt;VAL_DATE)=0,"",'Dvd Calendar'!$M$1986*1000000000+ISNUMBER('Dvd Calendar'!$M$1987)*100000000+0*10000000+(N('Dvd Calendar'!$M$1985)&gt;0)*(N('Dvd Calendar'!$M$1985)&lt;=VAL_SERIAL)*1000000+39*1000+49))</f>
        <v/>
      </c>
      <c r="GB198" s="121">
        <f>IF(N('Dvd Calendar'!$N$1986)=0,"",IF(('Dvd Calendar'!$N$1986&gt;=GRID_FROM)*('Dvd Calendar'!$N$1986&lt;=GRID_TO)*('Dvd Calendar'!$N$1986&gt;VAL_DATE)=0,"",'Dvd Calendar'!$N$1986*1000000000+ISNUMBER('Dvd Calendar'!$N$1987)*100000000+0*10000000+(N('Dvd Calendar'!$N$1985)&gt;0)*(N('Dvd Calendar'!$N$1985)&lt;=VAL_SERIAL)*1000000+39*1000+50))</f>
        <v/>
      </c>
      <c r="GC198" s="121">
        <f>IF(N('Dvd Calendar'!$O$1986)=0,"",IF(('Dvd Calendar'!$O$1986&gt;=GRID_FROM)*('Dvd Calendar'!$O$1986&lt;=GRID_TO)*('Dvd Calendar'!$O$1986&gt;VAL_DATE)=0,"",'Dvd Calendar'!$O$1986*1000000000+ISNUMBER('Dvd Calendar'!$O$1987)*100000000+0*10000000+(N('Dvd Calendar'!$O$1985)&gt;0)*(N('Dvd Calendar'!$O$1985)&lt;=VAL_SERIAL)*1000000+39*1000+51))</f>
        <v/>
      </c>
      <c r="GD198" s="121">
        <f>IF(N('Dvd Calendar'!$P$1986)=0,"",IF(('Dvd Calendar'!$P$1986&gt;=GRID_FROM)*('Dvd Calendar'!$P$1986&lt;=GRID_TO)*('Dvd Calendar'!$P$1986&gt;VAL_DATE)=0,"",'Dvd Calendar'!$P$1986*1000000000+ISNUMBER('Dvd Calendar'!$P$1987)*100000000+0*10000000+(N('Dvd Calendar'!$P$1985)&gt;0)*(N('Dvd Calendar'!$P$1985)&lt;=VAL_SERIAL)*1000000+39*1000+52))</f>
        <v/>
      </c>
      <c r="GE198" s="121">
        <f>IF(N('Dvd Calendar'!$Q$1986)=0,"",IF(('Dvd Calendar'!$Q$1986&gt;=GRID_FROM)*('Dvd Calendar'!$Q$1986&lt;=GRID_TO)*('Dvd Calendar'!$Q$1986&gt;VAL_DATE)=0,"",'Dvd Calendar'!$Q$1986*1000000000+ISNUMBER('Dvd Calendar'!$Q$1987)*100000000+0*10000000+(N('Dvd Calendar'!$Q$1985)&gt;0)*(N('Dvd Calendar'!$Q$1985)&lt;=VAL_SERIAL)*1000000+39*1000+53))</f>
        <v/>
      </c>
      <c r="GF198" s="121">
        <f>IF(N('Dvd Calendar'!$R$1986)=0,"",IF(('Dvd Calendar'!$R$1986&gt;=GRID_FROM)*('Dvd Calendar'!$R$1986&lt;=GRID_TO)*('Dvd Calendar'!$R$1986&gt;VAL_DATE)=0,"",'Dvd Calendar'!$R$1986*1000000000+ISNUMBER('Dvd Calendar'!$R$1987)*100000000+0*10000000+(N('Dvd Calendar'!$R$1985)&gt;0)*(N('Dvd Calendar'!$R$1985)&lt;=VAL_SERIAL)*1000000+39*1000+54))</f>
        <v/>
      </c>
      <c r="GG198" s="121">
        <f>IF(N('Dvd Calendar'!$S$1986)=0,"",IF(('Dvd Calendar'!$S$1986&gt;=GRID_FROM)*('Dvd Calendar'!$S$1986&lt;=GRID_TO)*('Dvd Calendar'!$S$1986&gt;VAL_DATE)=0,"",'Dvd Calendar'!$S$1986*1000000000+ISNUMBER('Dvd Calendar'!$S$1987)*100000000+0*10000000+(N('Dvd Calendar'!$S$1985)&gt;0)*(N('Dvd Calendar'!$S$1985)&lt;=VAL_SERIAL)*1000000+39*1000+55))</f>
        <v/>
      </c>
      <c r="GH198" s="121">
        <f>IF(N('Dvd Calendar'!$T$1986)=0,"",IF(('Dvd Calendar'!$T$1986&gt;=GRID_FROM)*('Dvd Calendar'!$T$1986&lt;=GRID_TO)*('Dvd Calendar'!$T$1986&gt;VAL_DATE)=0,"",'Dvd Calendar'!$T$1986*1000000000+ISNUMBER('Dvd Calendar'!$T$1987)*100000000+0*10000000+(N('Dvd Calendar'!$T$1985)&gt;0)*(N('Dvd Calendar'!$T$1985)&lt;=VAL_SERIAL)*1000000+39*1000+56))</f>
        <v/>
      </c>
      <c r="GI198" s="121">
        <f>IF(N('Dvd Calendar'!$U$1986)=0,"",IF(('Dvd Calendar'!$U$1986&gt;=GRID_FROM)*('Dvd Calendar'!$U$1986&lt;=GRID_TO)*('Dvd Calendar'!$U$1986&gt;VAL_DATE)=0,"",'Dvd Calendar'!$U$1986*1000000000+ISNUMBER('Dvd Calendar'!$U$1987)*100000000+0*10000000+(N('Dvd Calendar'!$U$1985)&gt;0)*(N('Dvd Calendar'!$U$1985)&lt;=VAL_SERIAL)*1000000+39*1000+57))</f>
        <v/>
      </c>
      <c r="GJ198" s="121">
        <f>IF(N('Dvd Calendar'!$V$1986)=0,"",IF(('Dvd Calendar'!$V$1986&gt;=GRID_FROM)*('Dvd Calendar'!$V$1986&lt;=GRID_TO)*('Dvd Calendar'!$V$1986&gt;VAL_DATE)=0,"",'Dvd Calendar'!$V$1986*1000000000+ISNUMBER('Dvd Calendar'!$V$1987)*100000000+0*10000000+(N('Dvd Calendar'!$V$1985)&gt;0)*(N('Dvd Calendar'!$V$1985)&lt;=VAL_SERIAL)*1000000+39*1000+58))</f>
        <v/>
      </c>
      <c r="GK198" s="121">
        <f>IF(N('Dvd Calendar'!$W$1986)=0,"",IF(('Dvd Calendar'!$W$1986&gt;=GRID_FROM)*('Dvd Calendar'!$W$1986&lt;=GRID_TO)*('Dvd Calendar'!$W$1986&gt;VAL_DATE)=0,"",'Dvd Calendar'!$W$1986*1000000000+ISNUMBER('Dvd Calendar'!$W$1987)*100000000+0*10000000+(N('Dvd Calendar'!$W$1985)&gt;0)*(N('Dvd Calendar'!$W$1985)&lt;=VAL_SERIAL)*1000000+39*1000+59))</f>
        <v/>
      </c>
      <c r="GL198" s="121">
        <f>IF(N('Dvd Calendar'!$X$1986)=0,"",IF(('Dvd Calendar'!$X$1986&gt;=GRID_FROM)*('Dvd Calendar'!$X$1986&lt;=GRID_TO)*('Dvd Calendar'!$X$1986&gt;VAL_DATE)=0,"",'Dvd Calendar'!$X$1986*1000000000+ISNUMBER('Dvd Calendar'!$X$1987)*100000000+0*10000000+(N('Dvd Calendar'!$X$1985)&gt;0)*(N('Dvd Calendar'!$X$1985)&lt;=VAL_SERIAL)*1000000+39*1000+60))</f>
        <v/>
      </c>
      <c r="GM198" s="121">
        <f>IF(N('Dvd Calendar'!$Y$1986)=0,"",IF(('Dvd Calendar'!$Y$1986&gt;=GRID_FROM)*('Dvd Calendar'!$Y$1986&lt;=GRID_TO)*('Dvd Calendar'!$Y$1986&gt;VAL_DATE)=0,"",'Dvd Calendar'!$Y$1986*1000000000+ISNUMBER('Dvd Calendar'!$Y$1987)*100000000+0*10000000+(N('Dvd Calendar'!$Y$1985)&gt;0)*(N('Dvd Calendar'!$Y$1985)&lt;=VAL_SERIAL)*1000000+39*1000+61))</f>
        <v/>
      </c>
      <c r="GN198" s="121">
        <f>IF(N('Dvd Calendar'!$Z$1986)=0,"",IF(('Dvd Calendar'!$Z$1986&gt;=GRID_FROM)*('Dvd Calendar'!$Z$1986&lt;=GRID_TO)*('Dvd Calendar'!$Z$1986&gt;VAL_DATE)=0,"",'Dvd Calendar'!$Z$1986*1000000000+ISNUMBER('Dvd Calendar'!$Z$1987)*100000000+0*10000000+(N('Dvd Calendar'!$Z$1985)&gt;0)*(N('Dvd Calendar'!$Z$1985)&lt;=VAL_SERIAL)*1000000+39*1000+62))</f>
        <v/>
      </c>
      <c r="GO198" s="121">
        <f>IF(N('Dvd Calendar'!$AA$1986)=0,"",IF(('Dvd Calendar'!$AA$1986&gt;=GRID_FROM)*('Dvd Calendar'!$AA$1986&lt;=GRID_TO)*('Dvd Calendar'!$AA$1986&gt;VAL_DATE)=0,"",'Dvd Calendar'!$AA$1986*1000000000+ISNUMBER('Dvd Calendar'!$AA$1987)*100000000+0*10000000+(N('Dvd Calendar'!$AA$1985)&gt;0)*(N('Dvd Calendar'!$AA$1985)&lt;=VAL_SERIAL)*1000000+39*1000+63))</f>
        <v/>
      </c>
      <c r="GP198" s="121">
        <f>IF(N('Dvd Calendar'!$AB$1986)=0,"",IF(('Dvd Calendar'!$AB$1986&gt;=GRID_FROM)*('Dvd Calendar'!$AB$1986&lt;=GRID_TO)*('Dvd Calendar'!$AB$1986&gt;VAL_DATE)=0,"",'Dvd Calendar'!$AB$1986*1000000000+ISNUMBER('Dvd Calendar'!$AB$1987)*100000000+0*10000000+(N('Dvd Calendar'!$AB$1985)&gt;0)*(N('Dvd Calendar'!$AB$1985)&lt;=VAL_SERIAL)*1000000+39*1000+64))</f>
        <v/>
      </c>
      <c r="GQ198" s="121">
        <f>IF(N('Dvd Calendar'!$AC$1986)=0,"",IF(('Dvd Calendar'!$AC$1986&gt;=GRID_FROM)*('Dvd Calendar'!$AC$1986&lt;=GRID_TO)*('Dvd Calendar'!$AC$1986&gt;VAL_DATE)=0,"",'Dvd Calendar'!$AC$1986*1000000000+ISNUMBER('Dvd Calendar'!$AC$1987)*100000000+0*10000000+(N('Dvd Calendar'!$AC$1985)&gt;0)*(N('Dvd Calendar'!$AC$1985)&lt;=VAL_SERIAL)*1000000+39*1000+65))</f>
        <v/>
      </c>
    </row>
    <row r="199">
      <c r="B199" s="2">
        <f>IF(HSCEI!$C$46="","",HSCEI!$C$46)</f>
        <v/>
      </c>
      <c r="C199" s="161">
        <f>IF(EE199="","",IF(ISNUMBER('Dvd Calendar'!$E$1993)=FALSE,"",IF((('Dvd Calendar'!$E$1995=TYPE1)*(TYPE1&lt;&gt;"")+('Dvd Calendar'!$E$1995=TYPE2)*(TYPE2&lt;&gt;"")+('Dvd Calendar'!$E$1995=TYPE3)*(TYPE3&lt;&gt;"")+('Dvd Calendar'!$E$1995=TYPE4)*(TYPE4&lt;&gt;"")+('Dvd Calendar'!$E$1995=SPECIAL_LBL)*(INC_SPECIALS="Y"))=0,"",'Dvd Calendar'!$E$1993)))</f>
        <v/>
      </c>
      <c r="D199" s="161">
        <f>IF(EF199="","",IF(ISNUMBER('Dvd Calendar'!$F$1993)=FALSE,"",IF((('Dvd Calendar'!$F$1995=TYPE1)*(TYPE1&lt;&gt;"")+('Dvd Calendar'!$F$1995=TYPE2)*(TYPE2&lt;&gt;"")+('Dvd Calendar'!$F$1995=TYPE3)*(TYPE3&lt;&gt;"")+('Dvd Calendar'!$F$1995=TYPE4)*(TYPE4&lt;&gt;"")+('Dvd Calendar'!$F$1995=SPECIAL_LBL)*(INC_SPECIALS="Y"))=0,"",'Dvd Calendar'!$F$1993)))</f>
        <v/>
      </c>
      <c r="E199" s="161">
        <f>IF(EG199="","",IF(ISNUMBER('Dvd Calendar'!$G$1993)=FALSE,"",IF((('Dvd Calendar'!$G$1995=TYPE1)*(TYPE1&lt;&gt;"")+('Dvd Calendar'!$G$1995=TYPE2)*(TYPE2&lt;&gt;"")+('Dvd Calendar'!$G$1995=TYPE3)*(TYPE3&lt;&gt;"")+('Dvd Calendar'!$G$1995=TYPE4)*(TYPE4&lt;&gt;"")+('Dvd Calendar'!$G$1995=SPECIAL_LBL)*(INC_SPECIALS="Y"))=0,"",'Dvd Calendar'!$G$1993)))</f>
        <v/>
      </c>
      <c r="F199" s="161">
        <f>IF(EH199="","",IF(ISNUMBER('Dvd Calendar'!$H$1993)=FALSE,"",IF((('Dvd Calendar'!$H$1995=TYPE1)*(TYPE1&lt;&gt;"")+('Dvd Calendar'!$H$1995=TYPE2)*(TYPE2&lt;&gt;"")+('Dvd Calendar'!$H$1995=TYPE3)*(TYPE3&lt;&gt;"")+('Dvd Calendar'!$H$1995=TYPE4)*(TYPE4&lt;&gt;"")+('Dvd Calendar'!$H$1995=SPECIAL_LBL)*(INC_SPECIALS="Y"))=0,"",'Dvd Calendar'!$H$1993)))</f>
        <v/>
      </c>
      <c r="G199" s="161">
        <f>IF(EI199="","",IF(ISNUMBER('Dvd Calendar'!$I$1993)=FALSE,"",IF((('Dvd Calendar'!$I$1995=TYPE1)*(TYPE1&lt;&gt;"")+('Dvd Calendar'!$I$1995=TYPE2)*(TYPE2&lt;&gt;"")+('Dvd Calendar'!$I$1995=TYPE3)*(TYPE3&lt;&gt;"")+('Dvd Calendar'!$I$1995=TYPE4)*(TYPE4&lt;&gt;"")+('Dvd Calendar'!$I$1995=SPECIAL_LBL)*(INC_SPECIALS="Y"))=0,"",'Dvd Calendar'!$I$1993)))</f>
        <v/>
      </c>
      <c r="H199" s="161">
        <f>IF(EJ199="","",IF(ISNUMBER('Dvd Calendar'!$J$1993)=FALSE,"",IF((('Dvd Calendar'!$J$1995=TYPE1)*(TYPE1&lt;&gt;"")+('Dvd Calendar'!$J$1995=TYPE2)*(TYPE2&lt;&gt;"")+('Dvd Calendar'!$J$1995=TYPE3)*(TYPE3&lt;&gt;"")+('Dvd Calendar'!$J$1995=TYPE4)*(TYPE4&lt;&gt;"")+('Dvd Calendar'!$J$1995=SPECIAL_LBL)*(INC_SPECIALS="Y"))=0,"",'Dvd Calendar'!$J$1993)))</f>
        <v/>
      </c>
      <c r="I199" s="161">
        <f>IF(EK199="","",IF(ISNUMBER('Dvd Calendar'!$K$1993)=FALSE,"",IF((('Dvd Calendar'!$K$1995=TYPE1)*(TYPE1&lt;&gt;"")+('Dvd Calendar'!$K$1995=TYPE2)*(TYPE2&lt;&gt;"")+('Dvd Calendar'!$K$1995=TYPE3)*(TYPE3&lt;&gt;"")+('Dvd Calendar'!$K$1995=TYPE4)*(TYPE4&lt;&gt;"")+('Dvd Calendar'!$K$1995=SPECIAL_LBL)*(INC_SPECIALS="Y"))=0,"",'Dvd Calendar'!$K$1993)))</f>
        <v/>
      </c>
      <c r="J199" s="161">
        <f>IF(EL199="","",IF(ISNUMBER('Dvd Calendar'!$L$1993)=FALSE,"",IF((('Dvd Calendar'!$L$1995=TYPE1)*(TYPE1&lt;&gt;"")+('Dvd Calendar'!$L$1995=TYPE2)*(TYPE2&lt;&gt;"")+('Dvd Calendar'!$L$1995=TYPE3)*(TYPE3&lt;&gt;"")+('Dvd Calendar'!$L$1995=TYPE4)*(TYPE4&lt;&gt;"")+('Dvd Calendar'!$L$1995=SPECIAL_LBL)*(INC_SPECIALS="Y"))=0,"",'Dvd Calendar'!$L$1993)))</f>
        <v/>
      </c>
      <c r="K199" s="161">
        <f>IF(EM199="","",IF(ISNUMBER('Dvd Calendar'!$M$1993)=FALSE,"",IF((('Dvd Calendar'!$M$1995=TYPE1)*(TYPE1&lt;&gt;"")+('Dvd Calendar'!$M$1995=TYPE2)*(TYPE2&lt;&gt;"")+('Dvd Calendar'!$M$1995=TYPE3)*(TYPE3&lt;&gt;"")+('Dvd Calendar'!$M$1995=TYPE4)*(TYPE4&lt;&gt;"")+('Dvd Calendar'!$M$1995=SPECIAL_LBL)*(INC_SPECIALS="Y"))=0,"",'Dvd Calendar'!$M$1993)))</f>
        <v/>
      </c>
      <c r="L199" s="161">
        <f>IF(EN199="","",IF(ISNUMBER('Dvd Calendar'!$N$1993)=FALSE,"",IF((('Dvd Calendar'!$N$1995=TYPE1)*(TYPE1&lt;&gt;"")+('Dvd Calendar'!$N$1995=TYPE2)*(TYPE2&lt;&gt;"")+('Dvd Calendar'!$N$1995=TYPE3)*(TYPE3&lt;&gt;"")+('Dvd Calendar'!$N$1995=TYPE4)*(TYPE4&lt;&gt;"")+('Dvd Calendar'!$N$1995=SPECIAL_LBL)*(INC_SPECIALS="Y"))=0,"",'Dvd Calendar'!$N$1993)))</f>
        <v/>
      </c>
      <c r="M199" s="161">
        <f>IF(EO199="","",IF(ISNUMBER('Dvd Calendar'!$O$1993)=FALSE,"",IF((('Dvd Calendar'!$O$1995=TYPE1)*(TYPE1&lt;&gt;"")+('Dvd Calendar'!$O$1995=TYPE2)*(TYPE2&lt;&gt;"")+('Dvd Calendar'!$O$1995=TYPE3)*(TYPE3&lt;&gt;"")+('Dvd Calendar'!$O$1995=TYPE4)*(TYPE4&lt;&gt;"")+('Dvd Calendar'!$O$1995=SPECIAL_LBL)*(INC_SPECIALS="Y"))=0,"",'Dvd Calendar'!$O$1993)))</f>
        <v/>
      </c>
      <c r="N199" s="161">
        <f>IF(EP199="","",IF(ISNUMBER('Dvd Calendar'!$P$1993)=FALSE,"",IF((('Dvd Calendar'!$P$1995=TYPE1)*(TYPE1&lt;&gt;"")+('Dvd Calendar'!$P$1995=TYPE2)*(TYPE2&lt;&gt;"")+('Dvd Calendar'!$P$1995=TYPE3)*(TYPE3&lt;&gt;"")+('Dvd Calendar'!$P$1995=TYPE4)*(TYPE4&lt;&gt;"")+('Dvd Calendar'!$P$1995=SPECIAL_LBL)*(INC_SPECIALS="Y"))=0,"",'Dvd Calendar'!$P$1993)))</f>
        <v/>
      </c>
      <c r="O199" s="161">
        <f>IF(EQ199="","",IF(ISNUMBER('Dvd Calendar'!$Q$1993)=FALSE,"",IF((('Dvd Calendar'!$Q$1995=TYPE1)*(TYPE1&lt;&gt;"")+('Dvd Calendar'!$Q$1995=TYPE2)*(TYPE2&lt;&gt;"")+('Dvd Calendar'!$Q$1995=TYPE3)*(TYPE3&lt;&gt;"")+('Dvd Calendar'!$Q$1995=TYPE4)*(TYPE4&lt;&gt;"")+('Dvd Calendar'!$Q$1995=SPECIAL_LBL)*(INC_SPECIALS="Y"))=0,"",'Dvd Calendar'!$Q$1993)))</f>
        <v/>
      </c>
      <c r="P199" s="161">
        <f>IF(ER199="","",IF(ISNUMBER('Dvd Calendar'!$R$1993)=FALSE,"",IF((('Dvd Calendar'!$R$1995=TYPE1)*(TYPE1&lt;&gt;"")+('Dvd Calendar'!$R$1995=TYPE2)*(TYPE2&lt;&gt;"")+('Dvd Calendar'!$R$1995=TYPE3)*(TYPE3&lt;&gt;"")+('Dvd Calendar'!$R$1995=TYPE4)*(TYPE4&lt;&gt;"")+('Dvd Calendar'!$R$1995=SPECIAL_LBL)*(INC_SPECIALS="Y"))=0,"",'Dvd Calendar'!$R$1993)))</f>
        <v/>
      </c>
      <c r="Q199" s="161">
        <f>IF(ES199="","",IF(ISNUMBER('Dvd Calendar'!$S$1993)=FALSE,"",IF((('Dvd Calendar'!$S$1995=TYPE1)*(TYPE1&lt;&gt;"")+('Dvd Calendar'!$S$1995=TYPE2)*(TYPE2&lt;&gt;"")+('Dvd Calendar'!$S$1995=TYPE3)*(TYPE3&lt;&gt;"")+('Dvd Calendar'!$S$1995=TYPE4)*(TYPE4&lt;&gt;"")+('Dvd Calendar'!$S$1995=SPECIAL_LBL)*(INC_SPECIALS="Y"))=0,"",'Dvd Calendar'!$S$1993)))</f>
        <v/>
      </c>
      <c r="R199" s="161">
        <f>IF(ET199="","",IF(ISNUMBER('Dvd Calendar'!$T$1993)=FALSE,"",IF((('Dvd Calendar'!$T$1995=TYPE1)*(TYPE1&lt;&gt;"")+('Dvd Calendar'!$T$1995=TYPE2)*(TYPE2&lt;&gt;"")+('Dvd Calendar'!$T$1995=TYPE3)*(TYPE3&lt;&gt;"")+('Dvd Calendar'!$T$1995=TYPE4)*(TYPE4&lt;&gt;"")+('Dvd Calendar'!$T$1995=SPECIAL_LBL)*(INC_SPECIALS="Y"))=0,"",'Dvd Calendar'!$T$1993)))</f>
        <v/>
      </c>
      <c r="S199" s="161">
        <f>IF(EU199="","",IF(ISNUMBER('Dvd Calendar'!$U$1993)=FALSE,"",IF((('Dvd Calendar'!$U$1995=TYPE1)*(TYPE1&lt;&gt;"")+('Dvd Calendar'!$U$1995=TYPE2)*(TYPE2&lt;&gt;"")+('Dvd Calendar'!$U$1995=TYPE3)*(TYPE3&lt;&gt;"")+('Dvd Calendar'!$U$1995=TYPE4)*(TYPE4&lt;&gt;"")+('Dvd Calendar'!$U$1995=SPECIAL_LBL)*(INC_SPECIALS="Y"))=0,"",'Dvd Calendar'!$U$1993)))</f>
        <v/>
      </c>
      <c r="T199" s="161">
        <f>IF(EV199="","",IF(ISNUMBER('Dvd Calendar'!$V$1993)=FALSE,"",IF((('Dvd Calendar'!$V$1995=TYPE1)*(TYPE1&lt;&gt;"")+('Dvd Calendar'!$V$1995=TYPE2)*(TYPE2&lt;&gt;"")+('Dvd Calendar'!$V$1995=TYPE3)*(TYPE3&lt;&gt;"")+('Dvd Calendar'!$V$1995=TYPE4)*(TYPE4&lt;&gt;"")+('Dvd Calendar'!$V$1995=SPECIAL_LBL)*(INC_SPECIALS="Y"))=0,"",'Dvd Calendar'!$V$1993)))</f>
        <v/>
      </c>
      <c r="U199" s="161">
        <f>IF(EW199="","",IF(ISNUMBER('Dvd Calendar'!$W$1993)=FALSE,"",IF((('Dvd Calendar'!$W$1995=TYPE1)*(TYPE1&lt;&gt;"")+('Dvd Calendar'!$W$1995=TYPE2)*(TYPE2&lt;&gt;"")+('Dvd Calendar'!$W$1995=TYPE3)*(TYPE3&lt;&gt;"")+('Dvd Calendar'!$W$1995=TYPE4)*(TYPE4&lt;&gt;"")+('Dvd Calendar'!$W$1995=SPECIAL_LBL)*(INC_SPECIALS="Y"))=0,"",'Dvd Calendar'!$W$1993)))</f>
        <v/>
      </c>
      <c r="V199" s="161">
        <f>IF(EX199="","",IF(ISNUMBER('Dvd Calendar'!$X$1993)=FALSE,"",IF((('Dvd Calendar'!$X$1995=TYPE1)*(TYPE1&lt;&gt;"")+('Dvd Calendar'!$X$1995=TYPE2)*(TYPE2&lt;&gt;"")+('Dvd Calendar'!$X$1995=TYPE3)*(TYPE3&lt;&gt;"")+('Dvd Calendar'!$X$1995=TYPE4)*(TYPE4&lt;&gt;"")+('Dvd Calendar'!$X$1995=SPECIAL_LBL)*(INC_SPECIALS="Y"))=0,"",'Dvd Calendar'!$X$1993)))</f>
        <v/>
      </c>
      <c r="W199" s="161">
        <f>IF(EY199="","",IF(ISNUMBER('Dvd Calendar'!$Y$1993)=FALSE,"",IF((('Dvd Calendar'!$Y$1995=TYPE1)*(TYPE1&lt;&gt;"")+('Dvd Calendar'!$Y$1995=TYPE2)*(TYPE2&lt;&gt;"")+('Dvd Calendar'!$Y$1995=TYPE3)*(TYPE3&lt;&gt;"")+('Dvd Calendar'!$Y$1995=TYPE4)*(TYPE4&lt;&gt;"")+('Dvd Calendar'!$Y$1995=SPECIAL_LBL)*(INC_SPECIALS="Y"))=0,"",'Dvd Calendar'!$Y$1993)))</f>
        <v/>
      </c>
      <c r="X199" s="161">
        <f>IF(EZ199="","",IF(ISNUMBER('Dvd Calendar'!$Z$1993)=FALSE,"",IF((('Dvd Calendar'!$Z$1995=TYPE1)*(TYPE1&lt;&gt;"")+('Dvd Calendar'!$Z$1995=TYPE2)*(TYPE2&lt;&gt;"")+('Dvd Calendar'!$Z$1995=TYPE3)*(TYPE3&lt;&gt;"")+('Dvd Calendar'!$Z$1995=TYPE4)*(TYPE4&lt;&gt;"")+('Dvd Calendar'!$Z$1995=SPECIAL_LBL)*(INC_SPECIALS="Y"))=0,"",'Dvd Calendar'!$Z$1993)))</f>
        <v/>
      </c>
      <c r="Y199" s="161">
        <f>IF(FA199="","",IF(ISNUMBER('Dvd Calendar'!$AA$1993)=FALSE,"",IF((('Dvd Calendar'!$AA$1995=TYPE1)*(TYPE1&lt;&gt;"")+('Dvd Calendar'!$AA$1995=TYPE2)*(TYPE2&lt;&gt;"")+('Dvd Calendar'!$AA$1995=TYPE3)*(TYPE3&lt;&gt;"")+('Dvd Calendar'!$AA$1995=TYPE4)*(TYPE4&lt;&gt;"")+('Dvd Calendar'!$AA$1995=SPECIAL_LBL)*(INC_SPECIALS="Y"))=0,"",'Dvd Calendar'!$AA$1993)))</f>
        <v/>
      </c>
      <c r="Z199" s="161">
        <f>IF(FB199="","",IF(ISNUMBER('Dvd Calendar'!$AB$1993)=FALSE,"",IF((('Dvd Calendar'!$AB$1995=TYPE1)*(TYPE1&lt;&gt;"")+('Dvd Calendar'!$AB$1995=TYPE2)*(TYPE2&lt;&gt;"")+('Dvd Calendar'!$AB$1995=TYPE3)*(TYPE3&lt;&gt;"")+('Dvd Calendar'!$AB$1995=TYPE4)*(TYPE4&lt;&gt;"")+('Dvd Calendar'!$AB$1995=SPECIAL_LBL)*(INC_SPECIALS="Y"))=0,"",'Dvd Calendar'!$AB$1993)))</f>
        <v/>
      </c>
      <c r="AA199" s="161">
        <f>IF(FC199="","",IF(ISNUMBER('Dvd Calendar'!$AC$1993)=FALSE,"",IF((('Dvd Calendar'!$AC$1995=TYPE1)*(TYPE1&lt;&gt;"")+('Dvd Calendar'!$AC$1995=TYPE2)*(TYPE2&lt;&gt;"")+('Dvd Calendar'!$AC$1995=TYPE3)*(TYPE3&lt;&gt;"")+('Dvd Calendar'!$AC$1995=TYPE4)*(TYPE4&lt;&gt;"")+('Dvd Calendar'!$AC$1995=SPECIAL_LBL)*(INC_SPECIALS="Y"))=0,"",'Dvd Calendar'!$AC$1993)))</f>
        <v/>
      </c>
      <c r="AB199" s="161">
        <f>IF(FD199="","",IF(ISNUMBER('Dvd Calendar'!$AD$1993)=FALSE,"",IF((('Dvd Calendar'!$AD$1995=TYPE1)*(TYPE1&lt;&gt;"")+('Dvd Calendar'!$AD$1995=TYPE2)*(TYPE2&lt;&gt;"")+('Dvd Calendar'!$AD$1995=TYPE3)*(TYPE3&lt;&gt;"")+('Dvd Calendar'!$AD$1995=TYPE4)*(TYPE4&lt;&gt;"")+('Dvd Calendar'!$AD$1995=SPECIAL_LBL)*(INC_SPECIALS="Y"))=0,"",'Dvd Calendar'!$AD$1993)))</f>
        <v/>
      </c>
      <c r="AC199" s="161">
        <f>IF(FE199="","",IF(ISNUMBER('Dvd Calendar'!$AE$1993)=FALSE,"",IF((('Dvd Calendar'!$AE$1995=TYPE1)*(TYPE1&lt;&gt;"")+('Dvd Calendar'!$AE$1995=TYPE2)*(TYPE2&lt;&gt;"")+('Dvd Calendar'!$AE$1995=TYPE3)*(TYPE3&lt;&gt;"")+('Dvd Calendar'!$AE$1995=TYPE4)*(TYPE4&lt;&gt;"")+('Dvd Calendar'!$AE$1995=SPECIAL_LBL)*(INC_SPECIALS="Y"))=0,"",'Dvd Calendar'!$AE$1993)))</f>
        <v/>
      </c>
      <c r="AD199" s="161">
        <f>IF(FF199="","",IF(ISNUMBER('Dvd Calendar'!$AF$1993)=FALSE,"",IF((('Dvd Calendar'!$AF$1995=TYPE1)*(TYPE1&lt;&gt;"")+('Dvd Calendar'!$AF$1995=TYPE2)*(TYPE2&lt;&gt;"")+('Dvd Calendar'!$AF$1995=TYPE3)*(TYPE3&lt;&gt;"")+('Dvd Calendar'!$AF$1995=TYPE4)*(TYPE4&lt;&gt;"")+('Dvd Calendar'!$AF$1995=SPECIAL_LBL)*(INC_SPECIALS="Y"))=0,"",'Dvd Calendar'!$AF$1993)))</f>
        <v/>
      </c>
      <c r="AE199" s="161">
        <f>IF(FG199="","",IF(ISNUMBER('Dvd Calendar'!$AG$1993)=FALSE,"",IF((('Dvd Calendar'!$AG$1995=TYPE1)*(TYPE1&lt;&gt;"")+('Dvd Calendar'!$AG$1995=TYPE2)*(TYPE2&lt;&gt;"")+('Dvd Calendar'!$AG$1995=TYPE3)*(TYPE3&lt;&gt;"")+('Dvd Calendar'!$AG$1995=TYPE4)*(TYPE4&lt;&gt;"")+('Dvd Calendar'!$AG$1995=SPECIAL_LBL)*(INC_SPECIALS="Y"))=0,"",'Dvd Calendar'!$AG$1993)))</f>
        <v/>
      </c>
      <c r="AF199" s="161">
        <f>IF(FH199="","",IF(ISNUMBER('Dvd Calendar'!$AH$1993)=FALSE,"",IF((('Dvd Calendar'!$AH$1995=TYPE1)*(TYPE1&lt;&gt;"")+('Dvd Calendar'!$AH$1995=TYPE2)*(TYPE2&lt;&gt;"")+('Dvd Calendar'!$AH$1995=TYPE3)*(TYPE3&lt;&gt;"")+('Dvd Calendar'!$AH$1995=TYPE4)*(TYPE4&lt;&gt;"")+('Dvd Calendar'!$AH$1995=SPECIAL_LBL)*(INC_SPECIALS="Y"))=0,"",'Dvd Calendar'!$AH$1993)))</f>
        <v/>
      </c>
      <c r="AG199" s="161">
        <f>IF(FI199="","",IF(ISNUMBER('Dvd Calendar'!$AI$1993)=FALSE,"",IF((('Dvd Calendar'!$AI$1995=TYPE1)*(TYPE1&lt;&gt;"")+('Dvd Calendar'!$AI$1995=TYPE2)*(TYPE2&lt;&gt;"")+('Dvd Calendar'!$AI$1995=TYPE3)*(TYPE3&lt;&gt;"")+('Dvd Calendar'!$AI$1995=TYPE4)*(TYPE4&lt;&gt;"")+('Dvd Calendar'!$AI$1995=SPECIAL_LBL)*(INC_SPECIALS="Y"))=0,"",'Dvd Calendar'!$AI$1993)))</f>
        <v/>
      </c>
      <c r="AH199" s="161">
        <f>IF(FJ199="","",IF(ISNUMBER('Dvd Calendar'!$AJ$1993)=FALSE,"",IF((('Dvd Calendar'!$AJ$1995=TYPE1)*(TYPE1&lt;&gt;"")+('Dvd Calendar'!$AJ$1995=TYPE2)*(TYPE2&lt;&gt;"")+('Dvd Calendar'!$AJ$1995=TYPE3)*(TYPE3&lt;&gt;"")+('Dvd Calendar'!$AJ$1995=TYPE4)*(TYPE4&lt;&gt;"")+('Dvd Calendar'!$AJ$1995=SPECIAL_LBL)*(INC_SPECIALS="Y"))=0,"",'Dvd Calendar'!$AJ$1993)))</f>
        <v/>
      </c>
      <c r="AI199" s="161">
        <f>IF(FK199="","",IF(ISNUMBER('Dvd Calendar'!$AK$1993)=FALSE,"",IF((('Dvd Calendar'!$AK$1995=TYPE1)*(TYPE1&lt;&gt;"")+('Dvd Calendar'!$AK$1995=TYPE2)*(TYPE2&lt;&gt;"")+('Dvd Calendar'!$AK$1995=TYPE3)*(TYPE3&lt;&gt;"")+('Dvd Calendar'!$AK$1995=TYPE4)*(TYPE4&lt;&gt;"")+('Dvd Calendar'!$AK$1995=SPECIAL_LBL)*(INC_SPECIALS="Y"))=0,"",'Dvd Calendar'!$AK$1993)))</f>
        <v/>
      </c>
      <c r="AJ199" s="161">
        <f>IF(FL199="","",IF(ISNUMBER('Dvd Calendar'!$AL$1993)=FALSE,"",IF((('Dvd Calendar'!$AL$1995=TYPE1)*(TYPE1&lt;&gt;"")+('Dvd Calendar'!$AL$1995=TYPE2)*(TYPE2&lt;&gt;"")+('Dvd Calendar'!$AL$1995=TYPE3)*(TYPE3&lt;&gt;"")+('Dvd Calendar'!$AL$1995=TYPE4)*(TYPE4&lt;&gt;"")+('Dvd Calendar'!$AL$1995=SPECIAL_LBL)*(INC_SPECIALS="Y"))=0,"",'Dvd Calendar'!$AL$1993)))</f>
        <v/>
      </c>
      <c r="AK199" s="161">
        <f>IF(FM199="","",IF(ISNUMBER('Dvd Calendar'!$AM$1993)=FALSE,"",IF((('Dvd Calendar'!$AM$1995=TYPE1)*(TYPE1&lt;&gt;"")+('Dvd Calendar'!$AM$1995=TYPE2)*(TYPE2&lt;&gt;"")+('Dvd Calendar'!$AM$1995=TYPE3)*(TYPE3&lt;&gt;"")+('Dvd Calendar'!$AM$1995=TYPE4)*(TYPE4&lt;&gt;"")+('Dvd Calendar'!$AM$1995=SPECIAL_LBL)*(INC_SPECIALS="Y"))=0,"",'Dvd Calendar'!$AM$1993)))</f>
        <v/>
      </c>
      <c r="AL199" s="161">
        <f>IF(FN199="","",IF(ISNUMBER('Dvd Calendar'!$AN$1993)=FALSE,"",IF((('Dvd Calendar'!$AN$1995=TYPE1)*(TYPE1&lt;&gt;"")+('Dvd Calendar'!$AN$1995=TYPE2)*(TYPE2&lt;&gt;"")+('Dvd Calendar'!$AN$1995=TYPE3)*(TYPE3&lt;&gt;"")+('Dvd Calendar'!$AN$1995=TYPE4)*(TYPE4&lt;&gt;"")+('Dvd Calendar'!$AN$1995=SPECIAL_LBL)*(INC_SPECIALS="Y"))=0,"",'Dvd Calendar'!$AN$1993)))</f>
        <v/>
      </c>
      <c r="AM199" s="161">
        <f>IF(FO199="","",IF(ISNUMBER('Dvd Calendar'!$AO$1993)=FALSE,"",IF((('Dvd Calendar'!$AO$1995=TYPE1)*(TYPE1&lt;&gt;"")+('Dvd Calendar'!$AO$1995=TYPE2)*(TYPE2&lt;&gt;"")+('Dvd Calendar'!$AO$1995=TYPE3)*(TYPE3&lt;&gt;"")+('Dvd Calendar'!$AO$1995=TYPE4)*(TYPE4&lt;&gt;"")+('Dvd Calendar'!$AO$1995=SPECIAL_LBL)*(INC_SPECIALS="Y"))=0,"",'Dvd Calendar'!$AO$1993)))</f>
        <v/>
      </c>
      <c r="AN199" s="161">
        <f>IF(FP199="","",IF(ISNUMBER('Dvd Calendar'!$AP$1993)=FALSE,"",IF((('Dvd Calendar'!$AP$1995=TYPE1)*(TYPE1&lt;&gt;"")+('Dvd Calendar'!$AP$1995=TYPE2)*(TYPE2&lt;&gt;"")+('Dvd Calendar'!$AP$1995=TYPE3)*(TYPE3&lt;&gt;"")+('Dvd Calendar'!$AP$1995=TYPE4)*(TYPE4&lt;&gt;"")+('Dvd Calendar'!$AP$1995=SPECIAL_LBL)*(INC_SPECIALS="Y"))=0,"",'Dvd Calendar'!$AP$1993)))</f>
        <v/>
      </c>
      <c r="AO199" s="161">
        <f>IF(FQ199="","",IF(ISNUMBER('Dvd Calendar'!$AQ$1993)=FALSE,"",IF((('Dvd Calendar'!$AQ$1995=TYPE1)*(TYPE1&lt;&gt;"")+('Dvd Calendar'!$AQ$1995=TYPE2)*(TYPE2&lt;&gt;"")+('Dvd Calendar'!$AQ$1995=TYPE3)*(TYPE3&lt;&gt;"")+('Dvd Calendar'!$AQ$1995=TYPE4)*(TYPE4&lt;&gt;"")+('Dvd Calendar'!$AQ$1995=SPECIAL_LBL)*(INC_SPECIALS="Y"))=0,"",'Dvd Calendar'!$AQ$1993)))</f>
        <v/>
      </c>
      <c r="AP199" s="161">
        <f>IF(FR199="","",IF(ISNUMBER('Dvd Calendar'!$AR$1993)=FALSE,"",IF((('Dvd Calendar'!$AR$1995=TYPE1)*(TYPE1&lt;&gt;"")+('Dvd Calendar'!$AR$1995=TYPE2)*(TYPE2&lt;&gt;"")+('Dvd Calendar'!$AR$1995=TYPE3)*(TYPE3&lt;&gt;"")+('Dvd Calendar'!$AR$1995=TYPE4)*(TYPE4&lt;&gt;"")+('Dvd Calendar'!$AR$1995=SPECIAL_LBL)*(INC_SPECIALS="Y"))=0,"",'Dvd Calendar'!$AR$1993)))</f>
        <v/>
      </c>
      <c r="AQ199" s="161">
        <f>IF(FS199="","",IF(ISNUMBER('Dvd Calendar'!$E$1998)=FALSE,"",'Dvd Calendar'!$E$1998))</f>
        <v/>
      </c>
      <c r="AR199" s="161">
        <f>IF(FT199="","",IF(ISNUMBER('Dvd Calendar'!$F$1998)=FALSE,"",'Dvd Calendar'!$F$1998))</f>
        <v/>
      </c>
      <c r="AS199" s="161">
        <f>IF(FU199="","",IF(ISNUMBER('Dvd Calendar'!$G$1998)=FALSE,"",'Dvd Calendar'!$G$1998))</f>
        <v/>
      </c>
      <c r="AT199" s="161">
        <f>IF(FV199="","",IF(ISNUMBER('Dvd Calendar'!$H$1998)=FALSE,"",'Dvd Calendar'!$H$1998))</f>
        <v/>
      </c>
      <c r="AU199" s="161">
        <f>IF(FW199="","",IF(ISNUMBER('Dvd Calendar'!$I$1998)=FALSE,"",'Dvd Calendar'!$I$1998))</f>
        <v/>
      </c>
      <c r="AV199" s="161">
        <f>IF(FX199="","",IF(ISNUMBER('Dvd Calendar'!$J$1998)=FALSE,"",'Dvd Calendar'!$J$1998))</f>
        <v/>
      </c>
      <c r="AW199" s="161">
        <f>IF(FY199="","",IF(ISNUMBER('Dvd Calendar'!$K$1998)=FALSE,"",'Dvd Calendar'!$K$1998))</f>
        <v/>
      </c>
      <c r="AX199" s="161">
        <f>IF(FZ199="","",IF(ISNUMBER('Dvd Calendar'!$L$1998)=FALSE,"",'Dvd Calendar'!$L$1998))</f>
        <v/>
      </c>
      <c r="AY199" s="161">
        <f>IF(GA199="","",IF(ISNUMBER('Dvd Calendar'!$M$1998)=FALSE,"",'Dvd Calendar'!$M$1998))</f>
        <v/>
      </c>
      <c r="AZ199" s="161">
        <f>IF(GB199="","",IF(ISNUMBER('Dvd Calendar'!$N$1998)=FALSE,"",'Dvd Calendar'!$N$1998))</f>
        <v/>
      </c>
      <c r="BA199" s="161">
        <f>IF(GC199="","",IF(ISNUMBER('Dvd Calendar'!$O$1998)=FALSE,"",'Dvd Calendar'!$O$1998))</f>
        <v/>
      </c>
      <c r="BB199" s="161">
        <f>IF(GD199="","",IF(ISNUMBER('Dvd Calendar'!$P$1998)=FALSE,"",'Dvd Calendar'!$P$1998))</f>
        <v/>
      </c>
      <c r="BC199" s="161">
        <f>IF(GE199="","",IF(ISNUMBER('Dvd Calendar'!$Q$1998)=FALSE,"",'Dvd Calendar'!$Q$1998))</f>
        <v/>
      </c>
      <c r="BD199" s="161">
        <f>IF(GF199="","",IF(ISNUMBER('Dvd Calendar'!$R$1998)=FALSE,"",'Dvd Calendar'!$R$1998))</f>
        <v/>
      </c>
      <c r="BE199" s="161">
        <f>IF(GG199="","",IF(ISNUMBER('Dvd Calendar'!$S$1998)=FALSE,"",'Dvd Calendar'!$S$1998))</f>
        <v/>
      </c>
      <c r="BF199" s="161">
        <f>IF(GH199="","",IF(ISNUMBER('Dvd Calendar'!$T$1998)=FALSE,"",'Dvd Calendar'!$T$1998))</f>
        <v/>
      </c>
      <c r="BG199" s="161">
        <f>IF(GI199="","",IF(ISNUMBER('Dvd Calendar'!$U$1998)=FALSE,"",'Dvd Calendar'!$U$1998))</f>
        <v/>
      </c>
      <c r="BH199" s="161">
        <f>IF(GJ199="","",IF(ISNUMBER('Dvd Calendar'!$V$1998)=FALSE,"",'Dvd Calendar'!$V$1998))</f>
        <v/>
      </c>
      <c r="BI199" s="161">
        <f>IF(GK199="","",IF(ISNUMBER('Dvd Calendar'!$W$1998)=FALSE,"",'Dvd Calendar'!$W$1998))</f>
        <v/>
      </c>
      <c r="BJ199" s="161">
        <f>IF(GL199="","",IF(ISNUMBER('Dvd Calendar'!$X$1998)=FALSE,"",'Dvd Calendar'!$X$1998))</f>
        <v/>
      </c>
      <c r="BK199" s="161">
        <f>IF(GM199="","",IF(ISNUMBER('Dvd Calendar'!$Y$1998)=FALSE,"",'Dvd Calendar'!$Y$1998))</f>
        <v/>
      </c>
      <c r="BL199" s="161">
        <f>IF(GN199="","",IF(ISNUMBER('Dvd Calendar'!$Z$1998)=FALSE,"",'Dvd Calendar'!$Z$1998))</f>
        <v/>
      </c>
      <c r="BM199" s="161">
        <f>IF(GO199="","",IF(ISNUMBER('Dvd Calendar'!$AA$1998)=FALSE,"",'Dvd Calendar'!$AA$1998))</f>
        <v/>
      </c>
      <c r="BN199" s="161">
        <f>IF(GP199="","",IF(ISNUMBER('Dvd Calendar'!$AB$1998)=FALSE,"",'Dvd Calendar'!$AB$1998))</f>
        <v/>
      </c>
      <c r="BO199" s="161">
        <f>IF(GQ199="","",IF(ISNUMBER('Dvd Calendar'!$AC$1998)=FALSE,"",'Dvd Calendar'!$AC$1998))</f>
        <v/>
      </c>
      <c r="BQ199" s="161">
        <f>IF(C199="","",IFERROR(C199*HSCEI!$B$46*HSCEI!$G$46/HSCEI!$B$3,""))</f>
        <v/>
      </c>
      <c r="BR199" s="161">
        <f>IF(D199="","",IFERROR(D199*HSCEI!$B$46*HSCEI!$G$46/HSCEI!$B$3,""))</f>
        <v/>
      </c>
      <c r="BS199" s="161">
        <f>IF(E199="","",IFERROR(E199*HSCEI!$B$46*HSCEI!$G$46/HSCEI!$B$3,""))</f>
        <v/>
      </c>
      <c r="BT199" s="161">
        <f>IF(F199="","",IFERROR(F199*HSCEI!$B$46*HSCEI!$G$46/HSCEI!$B$3,""))</f>
        <v/>
      </c>
      <c r="BU199" s="161">
        <f>IF(G199="","",IFERROR(G199*HSCEI!$B$46*HSCEI!$G$46/HSCEI!$B$3,""))</f>
        <v/>
      </c>
      <c r="BV199" s="161">
        <f>IF(H199="","",IFERROR(H199*HSCEI!$B$46*HSCEI!$G$46/HSCEI!$B$3,""))</f>
        <v/>
      </c>
      <c r="BW199" s="161">
        <f>IF(I199="","",IFERROR(I199*HSCEI!$B$46*HSCEI!$G$46/HSCEI!$B$3,""))</f>
        <v/>
      </c>
      <c r="BX199" s="161">
        <f>IF(J199="","",IFERROR(J199*HSCEI!$B$46*HSCEI!$G$46/HSCEI!$B$3,""))</f>
        <v/>
      </c>
      <c r="BY199" s="161">
        <f>IF(K199="","",IFERROR(K199*HSCEI!$B$46*HSCEI!$G$46/HSCEI!$B$3,""))</f>
        <v/>
      </c>
      <c r="BZ199" s="161">
        <f>IF(L199="","",IFERROR(L199*HSCEI!$B$46*HSCEI!$G$46/HSCEI!$B$3,""))</f>
        <v/>
      </c>
      <c r="CA199" s="161">
        <f>IF(M199="","",IFERROR(M199*HSCEI!$B$46*HSCEI!$G$46/HSCEI!$B$3,""))</f>
        <v/>
      </c>
      <c r="CB199" s="161">
        <f>IF(N199="","",IFERROR(N199*HSCEI!$B$46*HSCEI!$G$46/HSCEI!$B$3,""))</f>
        <v/>
      </c>
      <c r="CC199" s="161">
        <f>IF(O199="","",IFERROR(O199*HSCEI!$B$46*HSCEI!$G$46/HSCEI!$B$3,""))</f>
        <v/>
      </c>
      <c r="CD199" s="161">
        <f>IF(P199="","",IFERROR(P199*HSCEI!$B$46*HSCEI!$G$46/HSCEI!$B$3,""))</f>
        <v/>
      </c>
      <c r="CE199" s="161">
        <f>IF(Q199="","",IFERROR(Q199*HSCEI!$B$46*HSCEI!$G$46/HSCEI!$B$3,""))</f>
        <v/>
      </c>
      <c r="CF199" s="161">
        <f>IF(R199="","",IFERROR(R199*HSCEI!$B$46*HSCEI!$G$46/HSCEI!$B$3,""))</f>
        <v/>
      </c>
      <c r="CG199" s="161">
        <f>IF(S199="","",IFERROR(S199*HSCEI!$B$46*HSCEI!$G$46/HSCEI!$B$3,""))</f>
        <v/>
      </c>
      <c r="CH199" s="161">
        <f>IF(T199="","",IFERROR(T199*HSCEI!$B$46*HSCEI!$G$46/HSCEI!$B$3,""))</f>
        <v/>
      </c>
      <c r="CI199" s="161">
        <f>IF(U199="","",IFERROR(U199*HSCEI!$B$46*HSCEI!$G$46/HSCEI!$B$3,""))</f>
        <v/>
      </c>
      <c r="CJ199" s="161">
        <f>IF(V199="","",IFERROR(V199*HSCEI!$B$46*HSCEI!$G$46/HSCEI!$B$3,""))</f>
        <v/>
      </c>
      <c r="CK199" s="161">
        <f>IF(W199="","",IFERROR(W199*HSCEI!$B$46*HSCEI!$G$46/HSCEI!$B$3,""))</f>
        <v/>
      </c>
      <c r="CL199" s="161">
        <f>IF(X199="","",IFERROR(X199*HSCEI!$B$46*HSCEI!$G$46/HSCEI!$B$3,""))</f>
        <v/>
      </c>
      <c r="CM199" s="161">
        <f>IF(Y199="","",IFERROR(Y199*HSCEI!$B$46*HSCEI!$G$46/HSCEI!$B$3,""))</f>
        <v/>
      </c>
      <c r="CN199" s="161">
        <f>IF(Z199="","",IFERROR(Z199*HSCEI!$B$46*HSCEI!$G$46/HSCEI!$B$3,""))</f>
        <v/>
      </c>
      <c r="CO199" s="161">
        <f>IF(AA199="","",IFERROR(AA199*HSCEI!$B$46*HSCEI!$G$46/HSCEI!$B$3,""))</f>
        <v/>
      </c>
      <c r="CP199" s="161">
        <f>IF(AB199="","",IFERROR(AB199*HSCEI!$B$46*HSCEI!$G$46/HSCEI!$B$3,""))</f>
        <v/>
      </c>
      <c r="CQ199" s="161">
        <f>IF(AC199="","",IFERROR(AC199*HSCEI!$B$46*HSCEI!$G$46/HSCEI!$B$3,""))</f>
        <v/>
      </c>
      <c r="CR199" s="161">
        <f>IF(AD199="","",IFERROR(AD199*HSCEI!$B$46*HSCEI!$G$46/HSCEI!$B$3,""))</f>
        <v/>
      </c>
      <c r="CS199" s="161">
        <f>IF(AE199="","",IFERROR(AE199*HSCEI!$B$46*HSCEI!$G$46/HSCEI!$B$3,""))</f>
        <v/>
      </c>
      <c r="CT199" s="161">
        <f>IF(AF199="","",IFERROR(AF199*HSCEI!$B$46*HSCEI!$G$46/HSCEI!$B$3,""))</f>
        <v/>
      </c>
      <c r="CU199" s="161">
        <f>IF(AG199="","",IFERROR(AG199*HSCEI!$B$46*HSCEI!$G$46/HSCEI!$B$3,""))</f>
        <v/>
      </c>
      <c r="CV199" s="161">
        <f>IF(AH199="","",IFERROR(AH199*HSCEI!$B$46*HSCEI!$G$46/HSCEI!$B$3,""))</f>
        <v/>
      </c>
      <c r="CW199" s="161">
        <f>IF(AI199="","",IFERROR(AI199*HSCEI!$B$46*HSCEI!$G$46/HSCEI!$B$3,""))</f>
        <v/>
      </c>
      <c r="CX199" s="161">
        <f>IF(AJ199="","",IFERROR(AJ199*HSCEI!$B$46*HSCEI!$G$46/HSCEI!$B$3,""))</f>
        <v/>
      </c>
      <c r="CY199" s="161">
        <f>IF(AK199="","",IFERROR(AK199*HSCEI!$B$46*HSCEI!$G$46/HSCEI!$B$3,""))</f>
        <v/>
      </c>
      <c r="CZ199" s="161">
        <f>IF(AL199="","",IFERROR(AL199*HSCEI!$B$46*HSCEI!$G$46/HSCEI!$B$3,""))</f>
        <v/>
      </c>
      <c r="DA199" s="161">
        <f>IF(AM199="","",IFERROR(AM199*HSCEI!$B$46*HSCEI!$G$46/HSCEI!$B$3,""))</f>
        <v/>
      </c>
      <c r="DB199" s="161">
        <f>IF(AN199="","",IFERROR(AN199*HSCEI!$B$46*HSCEI!$G$46/HSCEI!$B$3,""))</f>
        <v/>
      </c>
      <c r="DC199" s="161">
        <f>IF(AO199="","",IFERROR(AO199*HSCEI!$B$46*HSCEI!$G$46/HSCEI!$B$3,""))</f>
        <v/>
      </c>
      <c r="DD199" s="161">
        <f>IF(AP199="","",IFERROR(AP199*HSCEI!$B$46*HSCEI!$G$46/HSCEI!$B$3,""))</f>
        <v/>
      </c>
      <c r="DE199" s="161">
        <f>IF(AQ199="","",IFERROR(AQ199*HSCEI!$B$46*HSCEI!$G$46/HSCEI!$B$3,""))</f>
        <v/>
      </c>
      <c r="DF199" s="161">
        <f>IF(AR199="","",IFERROR(AR199*HSCEI!$B$46*HSCEI!$G$46/HSCEI!$B$3,""))</f>
        <v/>
      </c>
      <c r="DG199" s="161">
        <f>IF(AS199="","",IFERROR(AS199*HSCEI!$B$46*HSCEI!$G$46/HSCEI!$B$3,""))</f>
        <v/>
      </c>
      <c r="DH199" s="161">
        <f>IF(AT199="","",IFERROR(AT199*HSCEI!$B$46*HSCEI!$G$46/HSCEI!$B$3,""))</f>
        <v/>
      </c>
      <c r="DI199" s="161">
        <f>IF(AU199="","",IFERROR(AU199*HSCEI!$B$46*HSCEI!$G$46/HSCEI!$B$3,""))</f>
        <v/>
      </c>
      <c r="DJ199" s="161">
        <f>IF(AV199="","",IFERROR(AV199*HSCEI!$B$46*HSCEI!$G$46/HSCEI!$B$3,""))</f>
        <v/>
      </c>
      <c r="DK199" s="161">
        <f>IF(AW199="","",IFERROR(AW199*HSCEI!$B$46*HSCEI!$G$46/HSCEI!$B$3,""))</f>
        <v/>
      </c>
      <c r="DL199" s="161">
        <f>IF(AX199="","",IFERROR(AX199*HSCEI!$B$46*HSCEI!$G$46/HSCEI!$B$3,""))</f>
        <v/>
      </c>
      <c r="DM199" s="161">
        <f>IF(AY199="","",IFERROR(AY199*HSCEI!$B$46*HSCEI!$G$46/HSCEI!$B$3,""))</f>
        <v/>
      </c>
      <c r="DN199" s="161">
        <f>IF(AZ199="","",IFERROR(AZ199*HSCEI!$B$46*HSCEI!$G$46/HSCEI!$B$3,""))</f>
        <v/>
      </c>
      <c r="DO199" s="161">
        <f>IF(BA199="","",IFERROR(BA199*HSCEI!$B$46*HSCEI!$G$46/HSCEI!$B$3,""))</f>
        <v/>
      </c>
      <c r="DP199" s="161">
        <f>IF(BB199="","",IFERROR(BB199*HSCEI!$B$46*HSCEI!$G$46/HSCEI!$B$3,""))</f>
        <v/>
      </c>
      <c r="DQ199" s="161">
        <f>IF(BC199="","",IFERROR(BC199*HSCEI!$B$46*HSCEI!$G$46/HSCEI!$B$3,""))</f>
        <v/>
      </c>
      <c r="DR199" s="161">
        <f>IF(BD199="","",IFERROR(BD199*HSCEI!$B$46*HSCEI!$G$46/HSCEI!$B$3,""))</f>
        <v/>
      </c>
      <c r="DS199" s="161">
        <f>IF(BE199="","",IFERROR(BE199*HSCEI!$B$46*HSCEI!$G$46/HSCEI!$B$3,""))</f>
        <v/>
      </c>
      <c r="DT199" s="161">
        <f>IF(BF199="","",IFERROR(BF199*HSCEI!$B$46*HSCEI!$G$46/HSCEI!$B$3,""))</f>
        <v/>
      </c>
      <c r="DU199" s="161">
        <f>IF(BG199="","",IFERROR(BG199*HSCEI!$B$46*HSCEI!$G$46/HSCEI!$B$3,""))</f>
        <v/>
      </c>
      <c r="DV199" s="161">
        <f>IF(BH199="","",IFERROR(BH199*HSCEI!$B$46*HSCEI!$G$46/HSCEI!$B$3,""))</f>
        <v/>
      </c>
      <c r="DW199" s="161">
        <f>IF(BI199="","",IFERROR(BI199*HSCEI!$B$46*HSCEI!$G$46/HSCEI!$B$3,""))</f>
        <v/>
      </c>
      <c r="DX199" s="161">
        <f>IF(BJ199="","",IFERROR(BJ199*HSCEI!$B$46*HSCEI!$G$46/HSCEI!$B$3,""))</f>
        <v/>
      </c>
      <c r="DY199" s="161">
        <f>IF(BK199="","",IFERROR(BK199*HSCEI!$B$46*HSCEI!$G$46/HSCEI!$B$3,""))</f>
        <v/>
      </c>
      <c r="DZ199" s="161">
        <f>IF(BL199="","",IFERROR(BL199*HSCEI!$B$46*HSCEI!$G$46/HSCEI!$B$3,""))</f>
        <v/>
      </c>
      <c r="EA199" s="161">
        <f>IF(BM199="","",IFERROR(BM199*HSCEI!$B$46*HSCEI!$G$46/HSCEI!$B$3,""))</f>
        <v/>
      </c>
      <c r="EB199" s="161">
        <f>IF(BN199="","",IFERROR(BN199*HSCEI!$B$46*HSCEI!$G$46/HSCEI!$B$3,""))</f>
        <v/>
      </c>
      <c r="EC199" s="161">
        <f>IF(BO199="","",IFERROR(BO199*HSCEI!$B$46*HSCEI!$G$46/HSCEI!$B$3,""))</f>
        <v/>
      </c>
      <c r="EE199" s="121">
        <f>IF(N('Dvd Calendar'!$E$1990)=0,"",IF(('Dvd Calendar'!$E$1990&gt;=GRID_FROM)*('Dvd Calendar'!$E$1990&lt;=GRID_TO)*((('Dvd Calendar'!$E$1990&lt;=VAL_DATE)+(COUNTIF('Dvd Calendar'!$E$1997:$AR$1997,'Dvd Calendar'!$E$1990)=0))&gt;0)=0,"",'Dvd Calendar'!$E$1990*1000000000+ISNUMBER('Dvd Calendar'!$E$1993)*100000000+('Dvd Calendar'!$E$1995=SPECIAL_LBL)*10000000+(N('Dvd Calendar'!$E$1989)&gt;0)*(N('Dvd Calendar'!$E$1989)&lt;=VAL_SERIAL)*1000000+40*1000+1))</f>
        <v/>
      </c>
      <c r="EF199" s="121">
        <f>IF(N('Dvd Calendar'!$F$1990)=0,"",IF(('Dvd Calendar'!$F$1990&gt;=GRID_FROM)*('Dvd Calendar'!$F$1990&lt;=GRID_TO)*((('Dvd Calendar'!$F$1990&lt;=VAL_DATE)+(COUNTIF('Dvd Calendar'!$E$1997:$AR$1997,'Dvd Calendar'!$F$1990)=0))&gt;0)=0,"",'Dvd Calendar'!$F$1990*1000000000+ISNUMBER('Dvd Calendar'!$F$1993)*100000000+('Dvd Calendar'!$F$1995=SPECIAL_LBL)*10000000+(N('Dvd Calendar'!$F$1989)&gt;0)*(N('Dvd Calendar'!$F$1989)&lt;=VAL_SERIAL)*1000000+40*1000+2))</f>
        <v/>
      </c>
      <c r="EG199" s="121">
        <f>IF(N('Dvd Calendar'!$G$1990)=0,"",IF(('Dvd Calendar'!$G$1990&gt;=GRID_FROM)*('Dvd Calendar'!$G$1990&lt;=GRID_TO)*((('Dvd Calendar'!$G$1990&lt;=VAL_DATE)+(COUNTIF('Dvd Calendar'!$E$1997:$AR$1997,'Dvd Calendar'!$G$1990)=0))&gt;0)=0,"",'Dvd Calendar'!$G$1990*1000000000+ISNUMBER('Dvd Calendar'!$G$1993)*100000000+('Dvd Calendar'!$G$1995=SPECIAL_LBL)*10000000+(N('Dvd Calendar'!$G$1989)&gt;0)*(N('Dvd Calendar'!$G$1989)&lt;=VAL_SERIAL)*1000000+40*1000+3))</f>
        <v/>
      </c>
      <c r="EH199" s="121">
        <f>IF(N('Dvd Calendar'!$H$1990)=0,"",IF(('Dvd Calendar'!$H$1990&gt;=GRID_FROM)*('Dvd Calendar'!$H$1990&lt;=GRID_TO)*((('Dvd Calendar'!$H$1990&lt;=VAL_DATE)+(COUNTIF('Dvd Calendar'!$E$1997:$AR$1997,'Dvd Calendar'!$H$1990)=0))&gt;0)=0,"",'Dvd Calendar'!$H$1990*1000000000+ISNUMBER('Dvd Calendar'!$H$1993)*100000000+('Dvd Calendar'!$H$1995=SPECIAL_LBL)*10000000+(N('Dvd Calendar'!$H$1989)&gt;0)*(N('Dvd Calendar'!$H$1989)&lt;=VAL_SERIAL)*1000000+40*1000+4))</f>
        <v/>
      </c>
      <c r="EI199" s="121">
        <f>IF(N('Dvd Calendar'!$I$1990)=0,"",IF(('Dvd Calendar'!$I$1990&gt;=GRID_FROM)*('Dvd Calendar'!$I$1990&lt;=GRID_TO)*((('Dvd Calendar'!$I$1990&lt;=VAL_DATE)+(COUNTIF('Dvd Calendar'!$E$1997:$AR$1997,'Dvd Calendar'!$I$1990)=0))&gt;0)=0,"",'Dvd Calendar'!$I$1990*1000000000+ISNUMBER('Dvd Calendar'!$I$1993)*100000000+('Dvd Calendar'!$I$1995=SPECIAL_LBL)*10000000+(N('Dvd Calendar'!$I$1989)&gt;0)*(N('Dvd Calendar'!$I$1989)&lt;=VAL_SERIAL)*1000000+40*1000+5))</f>
        <v/>
      </c>
      <c r="EJ199" s="121">
        <f>IF(N('Dvd Calendar'!$J$1990)=0,"",IF(('Dvd Calendar'!$J$1990&gt;=GRID_FROM)*('Dvd Calendar'!$J$1990&lt;=GRID_TO)*((('Dvd Calendar'!$J$1990&lt;=VAL_DATE)+(COUNTIF('Dvd Calendar'!$E$1997:$AR$1997,'Dvd Calendar'!$J$1990)=0))&gt;0)=0,"",'Dvd Calendar'!$J$1990*1000000000+ISNUMBER('Dvd Calendar'!$J$1993)*100000000+('Dvd Calendar'!$J$1995=SPECIAL_LBL)*10000000+(N('Dvd Calendar'!$J$1989)&gt;0)*(N('Dvd Calendar'!$J$1989)&lt;=VAL_SERIAL)*1000000+40*1000+6))</f>
        <v/>
      </c>
      <c r="EK199" s="121">
        <f>IF(N('Dvd Calendar'!$K$1990)=0,"",IF(('Dvd Calendar'!$K$1990&gt;=GRID_FROM)*('Dvd Calendar'!$K$1990&lt;=GRID_TO)*((('Dvd Calendar'!$K$1990&lt;=VAL_DATE)+(COUNTIF('Dvd Calendar'!$E$1997:$AR$1997,'Dvd Calendar'!$K$1990)=0))&gt;0)=0,"",'Dvd Calendar'!$K$1990*1000000000+ISNUMBER('Dvd Calendar'!$K$1993)*100000000+('Dvd Calendar'!$K$1995=SPECIAL_LBL)*10000000+(N('Dvd Calendar'!$K$1989)&gt;0)*(N('Dvd Calendar'!$K$1989)&lt;=VAL_SERIAL)*1000000+40*1000+7))</f>
        <v/>
      </c>
      <c r="EL199" s="121">
        <f>IF(N('Dvd Calendar'!$L$1990)=0,"",IF(('Dvd Calendar'!$L$1990&gt;=GRID_FROM)*('Dvd Calendar'!$L$1990&lt;=GRID_TO)*((('Dvd Calendar'!$L$1990&lt;=VAL_DATE)+(COUNTIF('Dvd Calendar'!$E$1997:$AR$1997,'Dvd Calendar'!$L$1990)=0))&gt;0)=0,"",'Dvd Calendar'!$L$1990*1000000000+ISNUMBER('Dvd Calendar'!$L$1993)*100000000+('Dvd Calendar'!$L$1995=SPECIAL_LBL)*10000000+(N('Dvd Calendar'!$L$1989)&gt;0)*(N('Dvd Calendar'!$L$1989)&lt;=VAL_SERIAL)*1000000+40*1000+8))</f>
        <v/>
      </c>
      <c r="EM199" s="121">
        <f>IF(N('Dvd Calendar'!$M$1990)=0,"",IF(('Dvd Calendar'!$M$1990&gt;=GRID_FROM)*('Dvd Calendar'!$M$1990&lt;=GRID_TO)*((('Dvd Calendar'!$M$1990&lt;=VAL_DATE)+(COUNTIF('Dvd Calendar'!$E$1997:$AR$1997,'Dvd Calendar'!$M$1990)=0))&gt;0)=0,"",'Dvd Calendar'!$M$1990*1000000000+ISNUMBER('Dvd Calendar'!$M$1993)*100000000+('Dvd Calendar'!$M$1995=SPECIAL_LBL)*10000000+(N('Dvd Calendar'!$M$1989)&gt;0)*(N('Dvd Calendar'!$M$1989)&lt;=VAL_SERIAL)*1000000+40*1000+9))</f>
        <v/>
      </c>
      <c r="EN199" s="121">
        <f>IF(N('Dvd Calendar'!$N$1990)=0,"",IF(('Dvd Calendar'!$N$1990&gt;=GRID_FROM)*('Dvd Calendar'!$N$1990&lt;=GRID_TO)*((('Dvd Calendar'!$N$1990&lt;=VAL_DATE)+(COUNTIF('Dvd Calendar'!$E$1997:$AR$1997,'Dvd Calendar'!$N$1990)=0))&gt;0)=0,"",'Dvd Calendar'!$N$1990*1000000000+ISNUMBER('Dvd Calendar'!$N$1993)*100000000+('Dvd Calendar'!$N$1995=SPECIAL_LBL)*10000000+(N('Dvd Calendar'!$N$1989)&gt;0)*(N('Dvd Calendar'!$N$1989)&lt;=VAL_SERIAL)*1000000+40*1000+10))</f>
        <v/>
      </c>
      <c r="EO199" s="121">
        <f>IF(N('Dvd Calendar'!$O$1990)=0,"",IF(('Dvd Calendar'!$O$1990&gt;=GRID_FROM)*('Dvd Calendar'!$O$1990&lt;=GRID_TO)*((('Dvd Calendar'!$O$1990&lt;=VAL_DATE)+(COUNTIF('Dvd Calendar'!$E$1997:$AR$1997,'Dvd Calendar'!$O$1990)=0))&gt;0)=0,"",'Dvd Calendar'!$O$1990*1000000000+ISNUMBER('Dvd Calendar'!$O$1993)*100000000+('Dvd Calendar'!$O$1995=SPECIAL_LBL)*10000000+(N('Dvd Calendar'!$O$1989)&gt;0)*(N('Dvd Calendar'!$O$1989)&lt;=VAL_SERIAL)*1000000+40*1000+11))</f>
        <v/>
      </c>
      <c r="EP199" s="121">
        <f>IF(N('Dvd Calendar'!$P$1990)=0,"",IF(('Dvd Calendar'!$P$1990&gt;=GRID_FROM)*('Dvd Calendar'!$P$1990&lt;=GRID_TO)*((('Dvd Calendar'!$P$1990&lt;=VAL_DATE)+(COUNTIF('Dvd Calendar'!$E$1997:$AR$1997,'Dvd Calendar'!$P$1990)=0))&gt;0)=0,"",'Dvd Calendar'!$P$1990*1000000000+ISNUMBER('Dvd Calendar'!$P$1993)*100000000+('Dvd Calendar'!$P$1995=SPECIAL_LBL)*10000000+(N('Dvd Calendar'!$P$1989)&gt;0)*(N('Dvd Calendar'!$P$1989)&lt;=VAL_SERIAL)*1000000+40*1000+12))</f>
        <v/>
      </c>
      <c r="EQ199" s="121">
        <f>IF(N('Dvd Calendar'!$Q$1990)=0,"",IF(('Dvd Calendar'!$Q$1990&gt;=GRID_FROM)*('Dvd Calendar'!$Q$1990&lt;=GRID_TO)*((('Dvd Calendar'!$Q$1990&lt;=VAL_DATE)+(COUNTIF('Dvd Calendar'!$E$1997:$AR$1997,'Dvd Calendar'!$Q$1990)=0))&gt;0)=0,"",'Dvd Calendar'!$Q$1990*1000000000+ISNUMBER('Dvd Calendar'!$Q$1993)*100000000+('Dvd Calendar'!$Q$1995=SPECIAL_LBL)*10000000+(N('Dvd Calendar'!$Q$1989)&gt;0)*(N('Dvd Calendar'!$Q$1989)&lt;=VAL_SERIAL)*1000000+40*1000+13))</f>
        <v/>
      </c>
      <c r="ER199" s="121">
        <f>IF(N('Dvd Calendar'!$R$1990)=0,"",IF(('Dvd Calendar'!$R$1990&gt;=GRID_FROM)*('Dvd Calendar'!$R$1990&lt;=GRID_TO)*((('Dvd Calendar'!$R$1990&lt;=VAL_DATE)+(COUNTIF('Dvd Calendar'!$E$1997:$AR$1997,'Dvd Calendar'!$R$1990)=0))&gt;0)=0,"",'Dvd Calendar'!$R$1990*1000000000+ISNUMBER('Dvd Calendar'!$R$1993)*100000000+('Dvd Calendar'!$R$1995=SPECIAL_LBL)*10000000+(N('Dvd Calendar'!$R$1989)&gt;0)*(N('Dvd Calendar'!$R$1989)&lt;=VAL_SERIAL)*1000000+40*1000+14))</f>
        <v/>
      </c>
      <c r="ES199" s="121">
        <f>IF(N('Dvd Calendar'!$S$1990)=0,"",IF(('Dvd Calendar'!$S$1990&gt;=GRID_FROM)*('Dvd Calendar'!$S$1990&lt;=GRID_TO)*((('Dvd Calendar'!$S$1990&lt;=VAL_DATE)+(COUNTIF('Dvd Calendar'!$E$1997:$AR$1997,'Dvd Calendar'!$S$1990)=0))&gt;0)=0,"",'Dvd Calendar'!$S$1990*1000000000+ISNUMBER('Dvd Calendar'!$S$1993)*100000000+('Dvd Calendar'!$S$1995=SPECIAL_LBL)*10000000+(N('Dvd Calendar'!$S$1989)&gt;0)*(N('Dvd Calendar'!$S$1989)&lt;=VAL_SERIAL)*1000000+40*1000+15))</f>
        <v/>
      </c>
      <c r="ET199" s="121">
        <f>IF(N('Dvd Calendar'!$T$1990)=0,"",IF(('Dvd Calendar'!$T$1990&gt;=GRID_FROM)*('Dvd Calendar'!$T$1990&lt;=GRID_TO)*((('Dvd Calendar'!$T$1990&lt;=VAL_DATE)+(COUNTIF('Dvd Calendar'!$E$1997:$AR$1997,'Dvd Calendar'!$T$1990)=0))&gt;0)=0,"",'Dvd Calendar'!$T$1990*1000000000+ISNUMBER('Dvd Calendar'!$T$1993)*100000000+('Dvd Calendar'!$T$1995=SPECIAL_LBL)*10000000+(N('Dvd Calendar'!$T$1989)&gt;0)*(N('Dvd Calendar'!$T$1989)&lt;=VAL_SERIAL)*1000000+40*1000+16))</f>
        <v/>
      </c>
      <c r="EU199" s="121">
        <f>IF(N('Dvd Calendar'!$U$1990)=0,"",IF(('Dvd Calendar'!$U$1990&gt;=GRID_FROM)*('Dvd Calendar'!$U$1990&lt;=GRID_TO)*((('Dvd Calendar'!$U$1990&lt;=VAL_DATE)+(COUNTIF('Dvd Calendar'!$E$1997:$AR$1997,'Dvd Calendar'!$U$1990)=0))&gt;0)=0,"",'Dvd Calendar'!$U$1990*1000000000+ISNUMBER('Dvd Calendar'!$U$1993)*100000000+('Dvd Calendar'!$U$1995=SPECIAL_LBL)*10000000+(N('Dvd Calendar'!$U$1989)&gt;0)*(N('Dvd Calendar'!$U$1989)&lt;=VAL_SERIAL)*1000000+40*1000+17))</f>
        <v/>
      </c>
      <c r="EV199" s="121">
        <f>IF(N('Dvd Calendar'!$V$1990)=0,"",IF(('Dvd Calendar'!$V$1990&gt;=GRID_FROM)*('Dvd Calendar'!$V$1990&lt;=GRID_TO)*((('Dvd Calendar'!$V$1990&lt;=VAL_DATE)+(COUNTIF('Dvd Calendar'!$E$1997:$AR$1997,'Dvd Calendar'!$V$1990)=0))&gt;0)=0,"",'Dvd Calendar'!$V$1990*1000000000+ISNUMBER('Dvd Calendar'!$V$1993)*100000000+('Dvd Calendar'!$V$1995=SPECIAL_LBL)*10000000+(N('Dvd Calendar'!$V$1989)&gt;0)*(N('Dvd Calendar'!$V$1989)&lt;=VAL_SERIAL)*1000000+40*1000+18))</f>
        <v/>
      </c>
      <c r="EW199" s="121">
        <f>IF(N('Dvd Calendar'!$W$1990)=0,"",IF(('Dvd Calendar'!$W$1990&gt;=GRID_FROM)*('Dvd Calendar'!$W$1990&lt;=GRID_TO)*((('Dvd Calendar'!$W$1990&lt;=VAL_DATE)+(COUNTIF('Dvd Calendar'!$E$1997:$AR$1997,'Dvd Calendar'!$W$1990)=0))&gt;0)=0,"",'Dvd Calendar'!$W$1990*1000000000+ISNUMBER('Dvd Calendar'!$W$1993)*100000000+('Dvd Calendar'!$W$1995=SPECIAL_LBL)*10000000+(N('Dvd Calendar'!$W$1989)&gt;0)*(N('Dvd Calendar'!$W$1989)&lt;=VAL_SERIAL)*1000000+40*1000+19))</f>
        <v/>
      </c>
      <c r="EX199" s="121">
        <f>IF(N('Dvd Calendar'!$X$1990)=0,"",IF(('Dvd Calendar'!$X$1990&gt;=GRID_FROM)*('Dvd Calendar'!$X$1990&lt;=GRID_TO)*((('Dvd Calendar'!$X$1990&lt;=VAL_DATE)+(COUNTIF('Dvd Calendar'!$E$1997:$AR$1997,'Dvd Calendar'!$X$1990)=0))&gt;0)=0,"",'Dvd Calendar'!$X$1990*1000000000+ISNUMBER('Dvd Calendar'!$X$1993)*100000000+('Dvd Calendar'!$X$1995=SPECIAL_LBL)*10000000+(N('Dvd Calendar'!$X$1989)&gt;0)*(N('Dvd Calendar'!$X$1989)&lt;=VAL_SERIAL)*1000000+40*1000+20))</f>
        <v/>
      </c>
      <c r="EY199" s="121">
        <f>IF(N('Dvd Calendar'!$Y$1990)=0,"",IF(('Dvd Calendar'!$Y$1990&gt;=GRID_FROM)*('Dvd Calendar'!$Y$1990&lt;=GRID_TO)*((('Dvd Calendar'!$Y$1990&lt;=VAL_DATE)+(COUNTIF('Dvd Calendar'!$E$1997:$AR$1997,'Dvd Calendar'!$Y$1990)=0))&gt;0)=0,"",'Dvd Calendar'!$Y$1990*1000000000+ISNUMBER('Dvd Calendar'!$Y$1993)*100000000+('Dvd Calendar'!$Y$1995=SPECIAL_LBL)*10000000+(N('Dvd Calendar'!$Y$1989)&gt;0)*(N('Dvd Calendar'!$Y$1989)&lt;=VAL_SERIAL)*1000000+40*1000+21))</f>
        <v/>
      </c>
      <c r="EZ199" s="121">
        <f>IF(N('Dvd Calendar'!$Z$1990)=0,"",IF(('Dvd Calendar'!$Z$1990&gt;=GRID_FROM)*('Dvd Calendar'!$Z$1990&lt;=GRID_TO)*((('Dvd Calendar'!$Z$1990&lt;=VAL_DATE)+(COUNTIF('Dvd Calendar'!$E$1997:$AR$1997,'Dvd Calendar'!$Z$1990)=0))&gt;0)=0,"",'Dvd Calendar'!$Z$1990*1000000000+ISNUMBER('Dvd Calendar'!$Z$1993)*100000000+('Dvd Calendar'!$Z$1995=SPECIAL_LBL)*10000000+(N('Dvd Calendar'!$Z$1989)&gt;0)*(N('Dvd Calendar'!$Z$1989)&lt;=VAL_SERIAL)*1000000+40*1000+22))</f>
        <v/>
      </c>
      <c r="FA199" s="121">
        <f>IF(N('Dvd Calendar'!$AA$1990)=0,"",IF(('Dvd Calendar'!$AA$1990&gt;=GRID_FROM)*('Dvd Calendar'!$AA$1990&lt;=GRID_TO)*((('Dvd Calendar'!$AA$1990&lt;=VAL_DATE)+(COUNTIF('Dvd Calendar'!$E$1997:$AR$1997,'Dvd Calendar'!$AA$1990)=0))&gt;0)=0,"",'Dvd Calendar'!$AA$1990*1000000000+ISNUMBER('Dvd Calendar'!$AA$1993)*100000000+('Dvd Calendar'!$AA$1995=SPECIAL_LBL)*10000000+(N('Dvd Calendar'!$AA$1989)&gt;0)*(N('Dvd Calendar'!$AA$1989)&lt;=VAL_SERIAL)*1000000+40*1000+23))</f>
        <v/>
      </c>
      <c r="FB199" s="121">
        <f>IF(N('Dvd Calendar'!$AB$1990)=0,"",IF(('Dvd Calendar'!$AB$1990&gt;=GRID_FROM)*('Dvd Calendar'!$AB$1990&lt;=GRID_TO)*((('Dvd Calendar'!$AB$1990&lt;=VAL_DATE)+(COUNTIF('Dvd Calendar'!$E$1997:$AR$1997,'Dvd Calendar'!$AB$1990)=0))&gt;0)=0,"",'Dvd Calendar'!$AB$1990*1000000000+ISNUMBER('Dvd Calendar'!$AB$1993)*100000000+('Dvd Calendar'!$AB$1995=SPECIAL_LBL)*10000000+(N('Dvd Calendar'!$AB$1989)&gt;0)*(N('Dvd Calendar'!$AB$1989)&lt;=VAL_SERIAL)*1000000+40*1000+24))</f>
        <v/>
      </c>
      <c r="FC199" s="121">
        <f>IF(N('Dvd Calendar'!$AC$1990)=0,"",IF(('Dvd Calendar'!$AC$1990&gt;=GRID_FROM)*('Dvd Calendar'!$AC$1990&lt;=GRID_TO)*((('Dvd Calendar'!$AC$1990&lt;=VAL_DATE)+(COUNTIF('Dvd Calendar'!$E$1997:$AR$1997,'Dvd Calendar'!$AC$1990)=0))&gt;0)=0,"",'Dvd Calendar'!$AC$1990*1000000000+ISNUMBER('Dvd Calendar'!$AC$1993)*100000000+('Dvd Calendar'!$AC$1995=SPECIAL_LBL)*10000000+(N('Dvd Calendar'!$AC$1989)&gt;0)*(N('Dvd Calendar'!$AC$1989)&lt;=VAL_SERIAL)*1000000+40*1000+25))</f>
        <v/>
      </c>
      <c r="FD199" s="121">
        <f>IF(N('Dvd Calendar'!$AD$1990)=0,"",IF(('Dvd Calendar'!$AD$1990&gt;=GRID_FROM)*('Dvd Calendar'!$AD$1990&lt;=GRID_TO)*((('Dvd Calendar'!$AD$1990&lt;=VAL_DATE)+(COUNTIF('Dvd Calendar'!$E$1997:$AR$1997,'Dvd Calendar'!$AD$1990)=0))&gt;0)=0,"",'Dvd Calendar'!$AD$1990*1000000000+ISNUMBER('Dvd Calendar'!$AD$1993)*100000000+('Dvd Calendar'!$AD$1995=SPECIAL_LBL)*10000000+(N('Dvd Calendar'!$AD$1989)&gt;0)*(N('Dvd Calendar'!$AD$1989)&lt;=VAL_SERIAL)*1000000+40*1000+26))</f>
        <v/>
      </c>
      <c r="FE199" s="121">
        <f>IF(N('Dvd Calendar'!$AE$1990)=0,"",IF(('Dvd Calendar'!$AE$1990&gt;=GRID_FROM)*('Dvd Calendar'!$AE$1990&lt;=GRID_TO)*((('Dvd Calendar'!$AE$1990&lt;=VAL_DATE)+(COUNTIF('Dvd Calendar'!$E$1997:$AR$1997,'Dvd Calendar'!$AE$1990)=0))&gt;0)=0,"",'Dvd Calendar'!$AE$1990*1000000000+ISNUMBER('Dvd Calendar'!$AE$1993)*100000000+('Dvd Calendar'!$AE$1995=SPECIAL_LBL)*10000000+(N('Dvd Calendar'!$AE$1989)&gt;0)*(N('Dvd Calendar'!$AE$1989)&lt;=VAL_SERIAL)*1000000+40*1000+27))</f>
        <v/>
      </c>
      <c r="FF199" s="121">
        <f>IF(N('Dvd Calendar'!$AF$1990)=0,"",IF(('Dvd Calendar'!$AF$1990&gt;=GRID_FROM)*('Dvd Calendar'!$AF$1990&lt;=GRID_TO)*((('Dvd Calendar'!$AF$1990&lt;=VAL_DATE)+(COUNTIF('Dvd Calendar'!$E$1997:$AR$1997,'Dvd Calendar'!$AF$1990)=0))&gt;0)=0,"",'Dvd Calendar'!$AF$1990*1000000000+ISNUMBER('Dvd Calendar'!$AF$1993)*100000000+('Dvd Calendar'!$AF$1995=SPECIAL_LBL)*10000000+(N('Dvd Calendar'!$AF$1989)&gt;0)*(N('Dvd Calendar'!$AF$1989)&lt;=VAL_SERIAL)*1000000+40*1000+28))</f>
        <v/>
      </c>
      <c r="FG199" s="121">
        <f>IF(N('Dvd Calendar'!$AG$1990)=0,"",IF(('Dvd Calendar'!$AG$1990&gt;=GRID_FROM)*('Dvd Calendar'!$AG$1990&lt;=GRID_TO)*((('Dvd Calendar'!$AG$1990&lt;=VAL_DATE)+(COUNTIF('Dvd Calendar'!$E$1997:$AR$1997,'Dvd Calendar'!$AG$1990)=0))&gt;0)=0,"",'Dvd Calendar'!$AG$1990*1000000000+ISNUMBER('Dvd Calendar'!$AG$1993)*100000000+('Dvd Calendar'!$AG$1995=SPECIAL_LBL)*10000000+(N('Dvd Calendar'!$AG$1989)&gt;0)*(N('Dvd Calendar'!$AG$1989)&lt;=VAL_SERIAL)*1000000+40*1000+29))</f>
        <v/>
      </c>
      <c r="FH199" s="121">
        <f>IF(N('Dvd Calendar'!$AH$1990)=0,"",IF(('Dvd Calendar'!$AH$1990&gt;=GRID_FROM)*('Dvd Calendar'!$AH$1990&lt;=GRID_TO)*((('Dvd Calendar'!$AH$1990&lt;=VAL_DATE)+(COUNTIF('Dvd Calendar'!$E$1997:$AR$1997,'Dvd Calendar'!$AH$1990)=0))&gt;0)=0,"",'Dvd Calendar'!$AH$1990*1000000000+ISNUMBER('Dvd Calendar'!$AH$1993)*100000000+('Dvd Calendar'!$AH$1995=SPECIAL_LBL)*10000000+(N('Dvd Calendar'!$AH$1989)&gt;0)*(N('Dvd Calendar'!$AH$1989)&lt;=VAL_SERIAL)*1000000+40*1000+30))</f>
        <v/>
      </c>
      <c r="FI199" s="121">
        <f>IF(N('Dvd Calendar'!$AI$1990)=0,"",IF(('Dvd Calendar'!$AI$1990&gt;=GRID_FROM)*('Dvd Calendar'!$AI$1990&lt;=GRID_TO)*((('Dvd Calendar'!$AI$1990&lt;=VAL_DATE)+(COUNTIF('Dvd Calendar'!$E$1997:$AR$1997,'Dvd Calendar'!$AI$1990)=0))&gt;0)=0,"",'Dvd Calendar'!$AI$1990*1000000000+ISNUMBER('Dvd Calendar'!$AI$1993)*100000000+('Dvd Calendar'!$AI$1995=SPECIAL_LBL)*10000000+(N('Dvd Calendar'!$AI$1989)&gt;0)*(N('Dvd Calendar'!$AI$1989)&lt;=VAL_SERIAL)*1000000+40*1000+31))</f>
        <v/>
      </c>
      <c r="FJ199" s="121">
        <f>IF(N('Dvd Calendar'!$AJ$1990)=0,"",IF(('Dvd Calendar'!$AJ$1990&gt;=GRID_FROM)*('Dvd Calendar'!$AJ$1990&lt;=GRID_TO)*((('Dvd Calendar'!$AJ$1990&lt;=VAL_DATE)+(COUNTIF('Dvd Calendar'!$E$1997:$AR$1997,'Dvd Calendar'!$AJ$1990)=0))&gt;0)=0,"",'Dvd Calendar'!$AJ$1990*1000000000+ISNUMBER('Dvd Calendar'!$AJ$1993)*100000000+('Dvd Calendar'!$AJ$1995=SPECIAL_LBL)*10000000+(N('Dvd Calendar'!$AJ$1989)&gt;0)*(N('Dvd Calendar'!$AJ$1989)&lt;=VAL_SERIAL)*1000000+40*1000+32))</f>
        <v/>
      </c>
      <c r="FK199" s="121">
        <f>IF(N('Dvd Calendar'!$AK$1990)=0,"",IF(('Dvd Calendar'!$AK$1990&gt;=GRID_FROM)*('Dvd Calendar'!$AK$1990&lt;=GRID_TO)*((('Dvd Calendar'!$AK$1990&lt;=VAL_DATE)+(COUNTIF('Dvd Calendar'!$E$1997:$AR$1997,'Dvd Calendar'!$AK$1990)=0))&gt;0)=0,"",'Dvd Calendar'!$AK$1990*1000000000+ISNUMBER('Dvd Calendar'!$AK$1993)*100000000+('Dvd Calendar'!$AK$1995=SPECIAL_LBL)*10000000+(N('Dvd Calendar'!$AK$1989)&gt;0)*(N('Dvd Calendar'!$AK$1989)&lt;=VAL_SERIAL)*1000000+40*1000+33))</f>
        <v/>
      </c>
      <c r="FL199" s="121">
        <f>IF(N('Dvd Calendar'!$AL$1990)=0,"",IF(('Dvd Calendar'!$AL$1990&gt;=GRID_FROM)*('Dvd Calendar'!$AL$1990&lt;=GRID_TO)*((('Dvd Calendar'!$AL$1990&lt;=VAL_DATE)+(COUNTIF('Dvd Calendar'!$E$1997:$AR$1997,'Dvd Calendar'!$AL$1990)=0))&gt;0)=0,"",'Dvd Calendar'!$AL$1990*1000000000+ISNUMBER('Dvd Calendar'!$AL$1993)*100000000+('Dvd Calendar'!$AL$1995=SPECIAL_LBL)*10000000+(N('Dvd Calendar'!$AL$1989)&gt;0)*(N('Dvd Calendar'!$AL$1989)&lt;=VAL_SERIAL)*1000000+40*1000+34))</f>
        <v/>
      </c>
      <c r="FM199" s="121">
        <f>IF(N('Dvd Calendar'!$AM$1990)=0,"",IF(('Dvd Calendar'!$AM$1990&gt;=GRID_FROM)*('Dvd Calendar'!$AM$1990&lt;=GRID_TO)*((('Dvd Calendar'!$AM$1990&lt;=VAL_DATE)+(COUNTIF('Dvd Calendar'!$E$1997:$AR$1997,'Dvd Calendar'!$AM$1990)=0))&gt;0)=0,"",'Dvd Calendar'!$AM$1990*1000000000+ISNUMBER('Dvd Calendar'!$AM$1993)*100000000+('Dvd Calendar'!$AM$1995=SPECIAL_LBL)*10000000+(N('Dvd Calendar'!$AM$1989)&gt;0)*(N('Dvd Calendar'!$AM$1989)&lt;=VAL_SERIAL)*1000000+40*1000+35))</f>
        <v/>
      </c>
      <c r="FN199" s="121">
        <f>IF(N('Dvd Calendar'!$AN$1990)=0,"",IF(('Dvd Calendar'!$AN$1990&gt;=GRID_FROM)*('Dvd Calendar'!$AN$1990&lt;=GRID_TO)*((('Dvd Calendar'!$AN$1990&lt;=VAL_DATE)+(COUNTIF('Dvd Calendar'!$E$1997:$AR$1997,'Dvd Calendar'!$AN$1990)=0))&gt;0)=0,"",'Dvd Calendar'!$AN$1990*1000000000+ISNUMBER('Dvd Calendar'!$AN$1993)*100000000+('Dvd Calendar'!$AN$1995=SPECIAL_LBL)*10000000+(N('Dvd Calendar'!$AN$1989)&gt;0)*(N('Dvd Calendar'!$AN$1989)&lt;=VAL_SERIAL)*1000000+40*1000+36))</f>
        <v/>
      </c>
      <c r="FO199" s="121">
        <f>IF(N('Dvd Calendar'!$AO$1990)=0,"",IF(('Dvd Calendar'!$AO$1990&gt;=GRID_FROM)*('Dvd Calendar'!$AO$1990&lt;=GRID_TO)*((('Dvd Calendar'!$AO$1990&lt;=VAL_DATE)+(COUNTIF('Dvd Calendar'!$E$1997:$AR$1997,'Dvd Calendar'!$AO$1990)=0))&gt;0)=0,"",'Dvd Calendar'!$AO$1990*1000000000+ISNUMBER('Dvd Calendar'!$AO$1993)*100000000+('Dvd Calendar'!$AO$1995=SPECIAL_LBL)*10000000+(N('Dvd Calendar'!$AO$1989)&gt;0)*(N('Dvd Calendar'!$AO$1989)&lt;=VAL_SERIAL)*1000000+40*1000+37))</f>
        <v/>
      </c>
      <c r="FP199" s="121">
        <f>IF(N('Dvd Calendar'!$AP$1990)=0,"",IF(('Dvd Calendar'!$AP$1990&gt;=GRID_FROM)*('Dvd Calendar'!$AP$1990&lt;=GRID_TO)*((('Dvd Calendar'!$AP$1990&lt;=VAL_DATE)+(COUNTIF('Dvd Calendar'!$E$1997:$AR$1997,'Dvd Calendar'!$AP$1990)=0))&gt;0)=0,"",'Dvd Calendar'!$AP$1990*1000000000+ISNUMBER('Dvd Calendar'!$AP$1993)*100000000+('Dvd Calendar'!$AP$1995=SPECIAL_LBL)*10000000+(N('Dvd Calendar'!$AP$1989)&gt;0)*(N('Dvd Calendar'!$AP$1989)&lt;=VAL_SERIAL)*1000000+40*1000+38))</f>
        <v/>
      </c>
      <c r="FQ199" s="121">
        <f>IF(N('Dvd Calendar'!$AQ$1990)=0,"",IF(('Dvd Calendar'!$AQ$1990&gt;=GRID_FROM)*('Dvd Calendar'!$AQ$1990&lt;=GRID_TO)*((('Dvd Calendar'!$AQ$1990&lt;=VAL_DATE)+(COUNTIF('Dvd Calendar'!$E$1997:$AR$1997,'Dvd Calendar'!$AQ$1990)=0))&gt;0)=0,"",'Dvd Calendar'!$AQ$1990*1000000000+ISNUMBER('Dvd Calendar'!$AQ$1993)*100000000+('Dvd Calendar'!$AQ$1995=SPECIAL_LBL)*10000000+(N('Dvd Calendar'!$AQ$1989)&gt;0)*(N('Dvd Calendar'!$AQ$1989)&lt;=VAL_SERIAL)*1000000+40*1000+39))</f>
        <v/>
      </c>
      <c r="FR199" s="121">
        <f>IF(N('Dvd Calendar'!$AR$1990)=0,"",IF(('Dvd Calendar'!$AR$1990&gt;=GRID_FROM)*('Dvd Calendar'!$AR$1990&lt;=GRID_TO)*((('Dvd Calendar'!$AR$1990&lt;=VAL_DATE)+(COUNTIF('Dvd Calendar'!$E$1997:$AR$1997,'Dvd Calendar'!$AR$1990)=0))&gt;0)=0,"",'Dvd Calendar'!$AR$1990*1000000000+ISNUMBER('Dvd Calendar'!$AR$1993)*100000000+('Dvd Calendar'!$AR$1995=SPECIAL_LBL)*10000000+(N('Dvd Calendar'!$AR$1989)&gt;0)*(N('Dvd Calendar'!$AR$1989)&lt;=VAL_SERIAL)*1000000+40*1000+40))</f>
        <v/>
      </c>
      <c r="FS199" s="121">
        <f>IF(N('Dvd Calendar'!$E$1997)=0,"",IF(('Dvd Calendar'!$E$1997&gt;=GRID_FROM)*('Dvd Calendar'!$E$1997&lt;=GRID_TO)*('Dvd Calendar'!$E$1997&gt;VAL_DATE)=0,"",'Dvd Calendar'!$E$1997*1000000000+ISNUMBER('Dvd Calendar'!$E$1998)*100000000+0*10000000+(N('Dvd Calendar'!$E$1996)&gt;0)*(N('Dvd Calendar'!$E$1996)&lt;=VAL_SERIAL)*1000000+40*1000+41))</f>
        <v/>
      </c>
      <c r="FT199" s="121">
        <f>IF(N('Dvd Calendar'!$F$1997)=0,"",IF(('Dvd Calendar'!$F$1997&gt;=GRID_FROM)*('Dvd Calendar'!$F$1997&lt;=GRID_TO)*('Dvd Calendar'!$F$1997&gt;VAL_DATE)=0,"",'Dvd Calendar'!$F$1997*1000000000+ISNUMBER('Dvd Calendar'!$F$1998)*100000000+0*10000000+(N('Dvd Calendar'!$F$1996)&gt;0)*(N('Dvd Calendar'!$F$1996)&lt;=VAL_SERIAL)*1000000+40*1000+42))</f>
        <v/>
      </c>
      <c r="FU199" s="121">
        <f>IF(N('Dvd Calendar'!$G$1997)=0,"",IF(('Dvd Calendar'!$G$1997&gt;=GRID_FROM)*('Dvd Calendar'!$G$1997&lt;=GRID_TO)*('Dvd Calendar'!$G$1997&gt;VAL_DATE)=0,"",'Dvd Calendar'!$G$1997*1000000000+ISNUMBER('Dvd Calendar'!$G$1998)*100000000+0*10000000+(N('Dvd Calendar'!$G$1996)&gt;0)*(N('Dvd Calendar'!$G$1996)&lt;=VAL_SERIAL)*1000000+40*1000+43))</f>
        <v/>
      </c>
      <c r="FV199" s="121">
        <f>IF(N('Dvd Calendar'!$H$1997)=0,"",IF(('Dvd Calendar'!$H$1997&gt;=GRID_FROM)*('Dvd Calendar'!$H$1997&lt;=GRID_TO)*('Dvd Calendar'!$H$1997&gt;VAL_DATE)=0,"",'Dvd Calendar'!$H$1997*1000000000+ISNUMBER('Dvd Calendar'!$H$1998)*100000000+0*10000000+(N('Dvd Calendar'!$H$1996)&gt;0)*(N('Dvd Calendar'!$H$1996)&lt;=VAL_SERIAL)*1000000+40*1000+44))</f>
        <v/>
      </c>
      <c r="FW199" s="121">
        <f>IF(N('Dvd Calendar'!$I$1997)=0,"",IF(('Dvd Calendar'!$I$1997&gt;=GRID_FROM)*('Dvd Calendar'!$I$1997&lt;=GRID_TO)*('Dvd Calendar'!$I$1997&gt;VAL_DATE)=0,"",'Dvd Calendar'!$I$1997*1000000000+ISNUMBER('Dvd Calendar'!$I$1998)*100000000+0*10000000+(N('Dvd Calendar'!$I$1996)&gt;0)*(N('Dvd Calendar'!$I$1996)&lt;=VAL_SERIAL)*1000000+40*1000+45))</f>
        <v/>
      </c>
      <c r="FX199" s="121">
        <f>IF(N('Dvd Calendar'!$J$1997)=0,"",IF(('Dvd Calendar'!$J$1997&gt;=GRID_FROM)*('Dvd Calendar'!$J$1997&lt;=GRID_TO)*('Dvd Calendar'!$J$1997&gt;VAL_DATE)=0,"",'Dvd Calendar'!$J$1997*1000000000+ISNUMBER('Dvd Calendar'!$J$1998)*100000000+0*10000000+(N('Dvd Calendar'!$J$1996)&gt;0)*(N('Dvd Calendar'!$J$1996)&lt;=VAL_SERIAL)*1000000+40*1000+46))</f>
        <v/>
      </c>
      <c r="FY199" s="121">
        <f>IF(N('Dvd Calendar'!$K$1997)=0,"",IF(('Dvd Calendar'!$K$1997&gt;=GRID_FROM)*('Dvd Calendar'!$K$1997&lt;=GRID_TO)*('Dvd Calendar'!$K$1997&gt;VAL_DATE)=0,"",'Dvd Calendar'!$K$1997*1000000000+ISNUMBER('Dvd Calendar'!$K$1998)*100000000+0*10000000+(N('Dvd Calendar'!$K$1996)&gt;0)*(N('Dvd Calendar'!$K$1996)&lt;=VAL_SERIAL)*1000000+40*1000+47))</f>
        <v/>
      </c>
      <c r="FZ199" s="121">
        <f>IF(N('Dvd Calendar'!$L$1997)=0,"",IF(('Dvd Calendar'!$L$1997&gt;=GRID_FROM)*('Dvd Calendar'!$L$1997&lt;=GRID_TO)*('Dvd Calendar'!$L$1997&gt;VAL_DATE)=0,"",'Dvd Calendar'!$L$1997*1000000000+ISNUMBER('Dvd Calendar'!$L$1998)*100000000+0*10000000+(N('Dvd Calendar'!$L$1996)&gt;0)*(N('Dvd Calendar'!$L$1996)&lt;=VAL_SERIAL)*1000000+40*1000+48))</f>
        <v/>
      </c>
      <c r="GA199" s="121">
        <f>IF(N('Dvd Calendar'!$M$1997)=0,"",IF(('Dvd Calendar'!$M$1997&gt;=GRID_FROM)*('Dvd Calendar'!$M$1997&lt;=GRID_TO)*('Dvd Calendar'!$M$1997&gt;VAL_DATE)=0,"",'Dvd Calendar'!$M$1997*1000000000+ISNUMBER('Dvd Calendar'!$M$1998)*100000000+0*10000000+(N('Dvd Calendar'!$M$1996)&gt;0)*(N('Dvd Calendar'!$M$1996)&lt;=VAL_SERIAL)*1000000+40*1000+49))</f>
        <v/>
      </c>
      <c r="GB199" s="121">
        <f>IF(N('Dvd Calendar'!$N$1997)=0,"",IF(('Dvd Calendar'!$N$1997&gt;=GRID_FROM)*('Dvd Calendar'!$N$1997&lt;=GRID_TO)*('Dvd Calendar'!$N$1997&gt;VAL_DATE)=0,"",'Dvd Calendar'!$N$1997*1000000000+ISNUMBER('Dvd Calendar'!$N$1998)*100000000+0*10000000+(N('Dvd Calendar'!$N$1996)&gt;0)*(N('Dvd Calendar'!$N$1996)&lt;=VAL_SERIAL)*1000000+40*1000+50))</f>
        <v/>
      </c>
      <c r="GC199" s="121">
        <f>IF(N('Dvd Calendar'!$O$1997)=0,"",IF(('Dvd Calendar'!$O$1997&gt;=GRID_FROM)*('Dvd Calendar'!$O$1997&lt;=GRID_TO)*('Dvd Calendar'!$O$1997&gt;VAL_DATE)=0,"",'Dvd Calendar'!$O$1997*1000000000+ISNUMBER('Dvd Calendar'!$O$1998)*100000000+0*10000000+(N('Dvd Calendar'!$O$1996)&gt;0)*(N('Dvd Calendar'!$O$1996)&lt;=VAL_SERIAL)*1000000+40*1000+51))</f>
        <v/>
      </c>
      <c r="GD199" s="121">
        <f>IF(N('Dvd Calendar'!$P$1997)=0,"",IF(('Dvd Calendar'!$P$1997&gt;=GRID_FROM)*('Dvd Calendar'!$P$1997&lt;=GRID_TO)*('Dvd Calendar'!$P$1997&gt;VAL_DATE)=0,"",'Dvd Calendar'!$P$1997*1000000000+ISNUMBER('Dvd Calendar'!$P$1998)*100000000+0*10000000+(N('Dvd Calendar'!$P$1996)&gt;0)*(N('Dvd Calendar'!$P$1996)&lt;=VAL_SERIAL)*1000000+40*1000+52))</f>
        <v/>
      </c>
      <c r="GE199" s="121">
        <f>IF(N('Dvd Calendar'!$Q$1997)=0,"",IF(('Dvd Calendar'!$Q$1997&gt;=GRID_FROM)*('Dvd Calendar'!$Q$1997&lt;=GRID_TO)*('Dvd Calendar'!$Q$1997&gt;VAL_DATE)=0,"",'Dvd Calendar'!$Q$1997*1000000000+ISNUMBER('Dvd Calendar'!$Q$1998)*100000000+0*10000000+(N('Dvd Calendar'!$Q$1996)&gt;0)*(N('Dvd Calendar'!$Q$1996)&lt;=VAL_SERIAL)*1000000+40*1000+53))</f>
        <v/>
      </c>
      <c r="GF199" s="121">
        <f>IF(N('Dvd Calendar'!$R$1997)=0,"",IF(('Dvd Calendar'!$R$1997&gt;=GRID_FROM)*('Dvd Calendar'!$R$1997&lt;=GRID_TO)*('Dvd Calendar'!$R$1997&gt;VAL_DATE)=0,"",'Dvd Calendar'!$R$1997*1000000000+ISNUMBER('Dvd Calendar'!$R$1998)*100000000+0*10000000+(N('Dvd Calendar'!$R$1996)&gt;0)*(N('Dvd Calendar'!$R$1996)&lt;=VAL_SERIAL)*1000000+40*1000+54))</f>
        <v/>
      </c>
      <c r="GG199" s="121">
        <f>IF(N('Dvd Calendar'!$S$1997)=0,"",IF(('Dvd Calendar'!$S$1997&gt;=GRID_FROM)*('Dvd Calendar'!$S$1997&lt;=GRID_TO)*('Dvd Calendar'!$S$1997&gt;VAL_DATE)=0,"",'Dvd Calendar'!$S$1997*1000000000+ISNUMBER('Dvd Calendar'!$S$1998)*100000000+0*10000000+(N('Dvd Calendar'!$S$1996)&gt;0)*(N('Dvd Calendar'!$S$1996)&lt;=VAL_SERIAL)*1000000+40*1000+55))</f>
        <v/>
      </c>
      <c r="GH199" s="121">
        <f>IF(N('Dvd Calendar'!$T$1997)=0,"",IF(('Dvd Calendar'!$T$1997&gt;=GRID_FROM)*('Dvd Calendar'!$T$1997&lt;=GRID_TO)*('Dvd Calendar'!$T$1997&gt;VAL_DATE)=0,"",'Dvd Calendar'!$T$1997*1000000000+ISNUMBER('Dvd Calendar'!$T$1998)*100000000+0*10000000+(N('Dvd Calendar'!$T$1996)&gt;0)*(N('Dvd Calendar'!$T$1996)&lt;=VAL_SERIAL)*1000000+40*1000+56))</f>
        <v/>
      </c>
      <c r="GI199" s="121">
        <f>IF(N('Dvd Calendar'!$U$1997)=0,"",IF(('Dvd Calendar'!$U$1997&gt;=GRID_FROM)*('Dvd Calendar'!$U$1997&lt;=GRID_TO)*('Dvd Calendar'!$U$1997&gt;VAL_DATE)=0,"",'Dvd Calendar'!$U$1997*1000000000+ISNUMBER('Dvd Calendar'!$U$1998)*100000000+0*10000000+(N('Dvd Calendar'!$U$1996)&gt;0)*(N('Dvd Calendar'!$U$1996)&lt;=VAL_SERIAL)*1000000+40*1000+57))</f>
        <v/>
      </c>
      <c r="GJ199" s="121">
        <f>IF(N('Dvd Calendar'!$V$1997)=0,"",IF(('Dvd Calendar'!$V$1997&gt;=GRID_FROM)*('Dvd Calendar'!$V$1997&lt;=GRID_TO)*('Dvd Calendar'!$V$1997&gt;VAL_DATE)=0,"",'Dvd Calendar'!$V$1997*1000000000+ISNUMBER('Dvd Calendar'!$V$1998)*100000000+0*10000000+(N('Dvd Calendar'!$V$1996)&gt;0)*(N('Dvd Calendar'!$V$1996)&lt;=VAL_SERIAL)*1000000+40*1000+58))</f>
        <v/>
      </c>
      <c r="GK199" s="121">
        <f>IF(N('Dvd Calendar'!$W$1997)=0,"",IF(('Dvd Calendar'!$W$1997&gt;=GRID_FROM)*('Dvd Calendar'!$W$1997&lt;=GRID_TO)*('Dvd Calendar'!$W$1997&gt;VAL_DATE)=0,"",'Dvd Calendar'!$W$1997*1000000000+ISNUMBER('Dvd Calendar'!$W$1998)*100000000+0*10000000+(N('Dvd Calendar'!$W$1996)&gt;0)*(N('Dvd Calendar'!$W$1996)&lt;=VAL_SERIAL)*1000000+40*1000+59))</f>
        <v/>
      </c>
      <c r="GL199" s="121">
        <f>IF(N('Dvd Calendar'!$X$1997)=0,"",IF(('Dvd Calendar'!$X$1997&gt;=GRID_FROM)*('Dvd Calendar'!$X$1997&lt;=GRID_TO)*('Dvd Calendar'!$X$1997&gt;VAL_DATE)=0,"",'Dvd Calendar'!$X$1997*1000000000+ISNUMBER('Dvd Calendar'!$X$1998)*100000000+0*10000000+(N('Dvd Calendar'!$X$1996)&gt;0)*(N('Dvd Calendar'!$X$1996)&lt;=VAL_SERIAL)*1000000+40*1000+60))</f>
        <v/>
      </c>
      <c r="GM199" s="121">
        <f>IF(N('Dvd Calendar'!$Y$1997)=0,"",IF(('Dvd Calendar'!$Y$1997&gt;=GRID_FROM)*('Dvd Calendar'!$Y$1997&lt;=GRID_TO)*('Dvd Calendar'!$Y$1997&gt;VAL_DATE)=0,"",'Dvd Calendar'!$Y$1997*1000000000+ISNUMBER('Dvd Calendar'!$Y$1998)*100000000+0*10000000+(N('Dvd Calendar'!$Y$1996)&gt;0)*(N('Dvd Calendar'!$Y$1996)&lt;=VAL_SERIAL)*1000000+40*1000+61))</f>
        <v/>
      </c>
      <c r="GN199" s="121">
        <f>IF(N('Dvd Calendar'!$Z$1997)=0,"",IF(('Dvd Calendar'!$Z$1997&gt;=GRID_FROM)*('Dvd Calendar'!$Z$1997&lt;=GRID_TO)*('Dvd Calendar'!$Z$1997&gt;VAL_DATE)=0,"",'Dvd Calendar'!$Z$1997*1000000000+ISNUMBER('Dvd Calendar'!$Z$1998)*100000000+0*10000000+(N('Dvd Calendar'!$Z$1996)&gt;0)*(N('Dvd Calendar'!$Z$1996)&lt;=VAL_SERIAL)*1000000+40*1000+62))</f>
        <v/>
      </c>
      <c r="GO199" s="121">
        <f>IF(N('Dvd Calendar'!$AA$1997)=0,"",IF(('Dvd Calendar'!$AA$1997&gt;=GRID_FROM)*('Dvd Calendar'!$AA$1997&lt;=GRID_TO)*('Dvd Calendar'!$AA$1997&gt;VAL_DATE)=0,"",'Dvd Calendar'!$AA$1997*1000000000+ISNUMBER('Dvd Calendar'!$AA$1998)*100000000+0*10000000+(N('Dvd Calendar'!$AA$1996)&gt;0)*(N('Dvd Calendar'!$AA$1996)&lt;=VAL_SERIAL)*1000000+40*1000+63))</f>
        <v/>
      </c>
      <c r="GP199" s="121">
        <f>IF(N('Dvd Calendar'!$AB$1997)=0,"",IF(('Dvd Calendar'!$AB$1997&gt;=GRID_FROM)*('Dvd Calendar'!$AB$1997&lt;=GRID_TO)*('Dvd Calendar'!$AB$1997&gt;VAL_DATE)=0,"",'Dvd Calendar'!$AB$1997*1000000000+ISNUMBER('Dvd Calendar'!$AB$1998)*100000000+0*10000000+(N('Dvd Calendar'!$AB$1996)&gt;0)*(N('Dvd Calendar'!$AB$1996)&lt;=VAL_SERIAL)*1000000+40*1000+64))</f>
        <v/>
      </c>
      <c r="GQ199" s="121">
        <f>IF(N('Dvd Calendar'!$AC$1997)=0,"",IF(('Dvd Calendar'!$AC$1997&gt;=GRID_FROM)*('Dvd Calendar'!$AC$1997&lt;=GRID_TO)*('Dvd Calendar'!$AC$1997&gt;VAL_DATE)=0,"",'Dvd Calendar'!$AC$1997*1000000000+ISNUMBER('Dvd Calendar'!$AC$1998)*100000000+0*10000000+(N('Dvd Calendar'!$AC$1996)&gt;0)*(N('Dvd Calendar'!$AC$1996)&lt;=VAL_SERIAL)*1000000+40*1000+65))</f>
        <v/>
      </c>
    </row>
    <row r="200">
      <c r="B200" s="2">
        <f>IF(HSCEI!$C$47="","",HSCEI!$C$47)</f>
        <v/>
      </c>
      <c r="C200" s="161">
        <f>IF(EE200="","",IF(ISNUMBER('Dvd Calendar'!$E$2004)=FALSE,"",IF((('Dvd Calendar'!$E$2006=TYPE1)*(TYPE1&lt;&gt;"")+('Dvd Calendar'!$E$2006=TYPE2)*(TYPE2&lt;&gt;"")+('Dvd Calendar'!$E$2006=TYPE3)*(TYPE3&lt;&gt;"")+('Dvd Calendar'!$E$2006=TYPE4)*(TYPE4&lt;&gt;"")+('Dvd Calendar'!$E$2006=SPECIAL_LBL)*(INC_SPECIALS="Y"))=0,"",'Dvd Calendar'!$E$2004)))</f>
        <v/>
      </c>
      <c r="D200" s="161">
        <f>IF(EF200="","",IF(ISNUMBER('Dvd Calendar'!$F$2004)=FALSE,"",IF((('Dvd Calendar'!$F$2006=TYPE1)*(TYPE1&lt;&gt;"")+('Dvd Calendar'!$F$2006=TYPE2)*(TYPE2&lt;&gt;"")+('Dvd Calendar'!$F$2006=TYPE3)*(TYPE3&lt;&gt;"")+('Dvd Calendar'!$F$2006=TYPE4)*(TYPE4&lt;&gt;"")+('Dvd Calendar'!$F$2006=SPECIAL_LBL)*(INC_SPECIALS="Y"))=0,"",'Dvd Calendar'!$F$2004)))</f>
        <v/>
      </c>
      <c r="E200" s="161">
        <f>IF(EG200="","",IF(ISNUMBER('Dvd Calendar'!$G$2004)=FALSE,"",IF((('Dvd Calendar'!$G$2006=TYPE1)*(TYPE1&lt;&gt;"")+('Dvd Calendar'!$G$2006=TYPE2)*(TYPE2&lt;&gt;"")+('Dvd Calendar'!$G$2006=TYPE3)*(TYPE3&lt;&gt;"")+('Dvd Calendar'!$G$2006=TYPE4)*(TYPE4&lt;&gt;"")+('Dvd Calendar'!$G$2006=SPECIAL_LBL)*(INC_SPECIALS="Y"))=0,"",'Dvd Calendar'!$G$2004)))</f>
        <v/>
      </c>
      <c r="F200" s="161">
        <f>IF(EH200="","",IF(ISNUMBER('Dvd Calendar'!$H$2004)=FALSE,"",IF((('Dvd Calendar'!$H$2006=TYPE1)*(TYPE1&lt;&gt;"")+('Dvd Calendar'!$H$2006=TYPE2)*(TYPE2&lt;&gt;"")+('Dvd Calendar'!$H$2006=TYPE3)*(TYPE3&lt;&gt;"")+('Dvd Calendar'!$H$2006=TYPE4)*(TYPE4&lt;&gt;"")+('Dvd Calendar'!$H$2006=SPECIAL_LBL)*(INC_SPECIALS="Y"))=0,"",'Dvd Calendar'!$H$2004)))</f>
        <v/>
      </c>
      <c r="G200" s="161">
        <f>IF(EI200="","",IF(ISNUMBER('Dvd Calendar'!$I$2004)=FALSE,"",IF((('Dvd Calendar'!$I$2006=TYPE1)*(TYPE1&lt;&gt;"")+('Dvd Calendar'!$I$2006=TYPE2)*(TYPE2&lt;&gt;"")+('Dvd Calendar'!$I$2006=TYPE3)*(TYPE3&lt;&gt;"")+('Dvd Calendar'!$I$2006=TYPE4)*(TYPE4&lt;&gt;"")+('Dvd Calendar'!$I$2006=SPECIAL_LBL)*(INC_SPECIALS="Y"))=0,"",'Dvd Calendar'!$I$2004)))</f>
        <v/>
      </c>
      <c r="H200" s="161">
        <f>IF(EJ200="","",IF(ISNUMBER('Dvd Calendar'!$J$2004)=FALSE,"",IF((('Dvd Calendar'!$J$2006=TYPE1)*(TYPE1&lt;&gt;"")+('Dvd Calendar'!$J$2006=TYPE2)*(TYPE2&lt;&gt;"")+('Dvd Calendar'!$J$2006=TYPE3)*(TYPE3&lt;&gt;"")+('Dvd Calendar'!$J$2006=TYPE4)*(TYPE4&lt;&gt;"")+('Dvd Calendar'!$J$2006=SPECIAL_LBL)*(INC_SPECIALS="Y"))=0,"",'Dvd Calendar'!$J$2004)))</f>
        <v/>
      </c>
      <c r="I200" s="161">
        <f>IF(EK200="","",IF(ISNUMBER('Dvd Calendar'!$K$2004)=FALSE,"",IF((('Dvd Calendar'!$K$2006=TYPE1)*(TYPE1&lt;&gt;"")+('Dvd Calendar'!$K$2006=TYPE2)*(TYPE2&lt;&gt;"")+('Dvd Calendar'!$K$2006=TYPE3)*(TYPE3&lt;&gt;"")+('Dvd Calendar'!$K$2006=TYPE4)*(TYPE4&lt;&gt;"")+('Dvd Calendar'!$K$2006=SPECIAL_LBL)*(INC_SPECIALS="Y"))=0,"",'Dvd Calendar'!$K$2004)))</f>
        <v/>
      </c>
      <c r="J200" s="161">
        <f>IF(EL200="","",IF(ISNUMBER('Dvd Calendar'!$L$2004)=FALSE,"",IF((('Dvd Calendar'!$L$2006=TYPE1)*(TYPE1&lt;&gt;"")+('Dvd Calendar'!$L$2006=TYPE2)*(TYPE2&lt;&gt;"")+('Dvd Calendar'!$L$2006=TYPE3)*(TYPE3&lt;&gt;"")+('Dvd Calendar'!$L$2006=TYPE4)*(TYPE4&lt;&gt;"")+('Dvd Calendar'!$L$2006=SPECIAL_LBL)*(INC_SPECIALS="Y"))=0,"",'Dvd Calendar'!$L$2004)))</f>
        <v/>
      </c>
      <c r="K200" s="161">
        <f>IF(EM200="","",IF(ISNUMBER('Dvd Calendar'!$M$2004)=FALSE,"",IF((('Dvd Calendar'!$M$2006=TYPE1)*(TYPE1&lt;&gt;"")+('Dvd Calendar'!$M$2006=TYPE2)*(TYPE2&lt;&gt;"")+('Dvd Calendar'!$M$2006=TYPE3)*(TYPE3&lt;&gt;"")+('Dvd Calendar'!$M$2006=TYPE4)*(TYPE4&lt;&gt;"")+('Dvd Calendar'!$M$2006=SPECIAL_LBL)*(INC_SPECIALS="Y"))=0,"",'Dvd Calendar'!$M$2004)))</f>
        <v/>
      </c>
      <c r="L200" s="161">
        <f>IF(EN200="","",IF(ISNUMBER('Dvd Calendar'!$N$2004)=FALSE,"",IF((('Dvd Calendar'!$N$2006=TYPE1)*(TYPE1&lt;&gt;"")+('Dvd Calendar'!$N$2006=TYPE2)*(TYPE2&lt;&gt;"")+('Dvd Calendar'!$N$2006=TYPE3)*(TYPE3&lt;&gt;"")+('Dvd Calendar'!$N$2006=TYPE4)*(TYPE4&lt;&gt;"")+('Dvd Calendar'!$N$2006=SPECIAL_LBL)*(INC_SPECIALS="Y"))=0,"",'Dvd Calendar'!$N$2004)))</f>
        <v/>
      </c>
      <c r="M200" s="161">
        <f>IF(EO200="","",IF(ISNUMBER('Dvd Calendar'!$O$2004)=FALSE,"",IF((('Dvd Calendar'!$O$2006=TYPE1)*(TYPE1&lt;&gt;"")+('Dvd Calendar'!$O$2006=TYPE2)*(TYPE2&lt;&gt;"")+('Dvd Calendar'!$O$2006=TYPE3)*(TYPE3&lt;&gt;"")+('Dvd Calendar'!$O$2006=TYPE4)*(TYPE4&lt;&gt;"")+('Dvd Calendar'!$O$2006=SPECIAL_LBL)*(INC_SPECIALS="Y"))=0,"",'Dvd Calendar'!$O$2004)))</f>
        <v/>
      </c>
      <c r="N200" s="161">
        <f>IF(EP200="","",IF(ISNUMBER('Dvd Calendar'!$P$2004)=FALSE,"",IF((('Dvd Calendar'!$P$2006=TYPE1)*(TYPE1&lt;&gt;"")+('Dvd Calendar'!$P$2006=TYPE2)*(TYPE2&lt;&gt;"")+('Dvd Calendar'!$P$2006=TYPE3)*(TYPE3&lt;&gt;"")+('Dvd Calendar'!$P$2006=TYPE4)*(TYPE4&lt;&gt;"")+('Dvd Calendar'!$P$2006=SPECIAL_LBL)*(INC_SPECIALS="Y"))=0,"",'Dvd Calendar'!$P$2004)))</f>
        <v/>
      </c>
      <c r="O200" s="161">
        <f>IF(EQ200="","",IF(ISNUMBER('Dvd Calendar'!$Q$2004)=FALSE,"",IF((('Dvd Calendar'!$Q$2006=TYPE1)*(TYPE1&lt;&gt;"")+('Dvd Calendar'!$Q$2006=TYPE2)*(TYPE2&lt;&gt;"")+('Dvd Calendar'!$Q$2006=TYPE3)*(TYPE3&lt;&gt;"")+('Dvd Calendar'!$Q$2006=TYPE4)*(TYPE4&lt;&gt;"")+('Dvd Calendar'!$Q$2006=SPECIAL_LBL)*(INC_SPECIALS="Y"))=0,"",'Dvd Calendar'!$Q$2004)))</f>
        <v/>
      </c>
      <c r="P200" s="161">
        <f>IF(ER200="","",IF(ISNUMBER('Dvd Calendar'!$R$2004)=FALSE,"",IF((('Dvd Calendar'!$R$2006=TYPE1)*(TYPE1&lt;&gt;"")+('Dvd Calendar'!$R$2006=TYPE2)*(TYPE2&lt;&gt;"")+('Dvd Calendar'!$R$2006=TYPE3)*(TYPE3&lt;&gt;"")+('Dvd Calendar'!$R$2006=TYPE4)*(TYPE4&lt;&gt;"")+('Dvd Calendar'!$R$2006=SPECIAL_LBL)*(INC_SPECIALS="Y"))=0,"",'Dvd Calendar'!$R$2004)))</f>
        <v/>
      </c>
      <c r="Q200" s="161">
        <f>IF(ES200="","",IF(ISNUMBER('Dvd Calendar'!$S$2004)=FALSE,"",IF((('Dvd Calendar'!$S$2006=TYPE1)*(TYPE1&lt;&gt;"")+('Dvd Calendar'!$S$2006=TYPE2)*(TYPE2&lt;&gt;"")+('Dvd Calendar'!$S$2006=TYPE3)*(TYPE3&lt;&gt;"")+('Dvd Calendar'!$S$2006=TYPE4)*(TYPE4&lt;&gt;"")+('Dvd Calendar'!$S$2006=SPECIAL_LBL)*(INC_SPECIALS="Y"))=0,"",'Dvd Calendar'!$S$2004)))</f>
        <v/>
      </c>
      <c r="R200" s="161">
        <f>IF(ET200="","",IF(ISNUMBER('Dvd Calendar'!$T$2004)=FALSE,"",IF((('Dvd Calendar'!$T$2006=TYPE1)*(TYPE1&lt;&gt;"")+('Dvd Calendar'!$T$2006=TYPE2)*(TYPE2&lt;&gt;"")+('Dvd Calendar'!$T$2006=TYPE3)*(TYPE3&lt;&gt;"")+('Dvd Calendar'!$T$2006=TYPE4)*(TYPE4&lt;&gt;"")+('Dvd Calendar'!$T$2006=SPECIAL_LBL)*(INC_SPECIALS="Y"))=0,"",'Dvd Calendar'!$T$2004)))</f>
        <v/>
      </c>
      <c r="S200" s="161">
        <f>IF(EU200="","",IF(ISNUMBER('Dvd Calendar'!$U$2004)=FALSE,"",IF((('Dvd Calendar'!$U$2006=TYPE1)*(TYPE1&lt;&gt;"")+('Dvd Calendar'!$U$2006=TYPE2)*(TYPE2&lt;&gt;"")+('Dvd Calendar'!$U$2006=TYPE3)*(TYPE3&lt;&gt;"")+('Dvd Calendar'!$U$2006=TYPE4)*(TYPE4&lt;&gt;"")+('Dvd Calendar'!$U$2006=SPECIAL_LBL)*(INC_SPECIALS="Y"))=0,"",'Dvd Calendar'!$U$2004)))</f>
        <v/>
      </c>
      <c r="T200" s="161">
        <f>IF(EV200="","",IF(ISNUMBER('Dvd Calendar'!$V$2004)=FALSE,"",IF((('Dvd Calendar'!$V$2006=TYPE1)*(TYPE1&lt;&gt;"")+('Dvd Calendar'!$V$2006=TYPE2)*(TYPE2&lt;&gt;"")+('Dvd Calendar'!$V$2006=TYPE3)*(TYPE3&lt;&gt;"")+('Dvd Calendar'!$V$2006=TYPE4)*(TYPE4&lt;&gt;"")+('Dvd Calendar'!$V$2006=SPECIAL_LBL)*(INC_SPECIALS="Y"))=0,"",'Dvd Calendar'!$V$2004)))</f>
        <v/>
      </c>
      <c r="U200" s="161">
        <f>IF(EW200="","",IF(ISNUMBER('Dvd Calendar'!$W$2004)=FALSE,"",IF((('Dvd Calendar'!$W$2006=TYPE1)*(TYPE1&lt;&gt;"")+('Dvd Calendar'!$W$2006=TYPE2)*(TYPE2&lt;&gt;"")+('Dvd Calendar'!$W$2006=TYPE3)*(TYPE3&lt;&gt;"")+('Dvd Calendar'!$W$2006=TYPE4)*(TYPE4&lt;&gt;"")+('Dvd Calendar'!$W$2006=SPECIAL_LBL)*(INC_SPECIALS="Y"))=0,"",'Dvd Calendar'!$W$2004)))</f>
        <v/>
      </c>
      <c r="V200" s="161">
        <f>IF(EX200="","",IF(ISNUMBER('Dvd Calendar'!$X$2004)=FALSE,"",IF((('Dvd Calendar'!$X$2006=TYPE1)*(TYPE1&lt;&gt;"")+('Dvd Calendar'!$X$2006=TYPE2)*(TYPE2&lt;&gt;"")+('Dvd Calendar'!$X$2006=TYPE3)*(TYPE3&lt;&gt;"")+('Dvd Calendar'!$X$2006=TYPE4)*(TYPE4&lt;&gt;"")+('Dvd Calendar'!$X$2006=SPECIAL_LBL)*(INC_SPECIALS="Y"))=0,"",'Dvd Calendar'!$X$2004)))</f>
        <v/>
      </c>
      <c r="W200" s="161">
        <f>IF(EY200="","",IF(ISNUMBER('Dvd Calendar'!$Y$2004)=FALSE,"",IF((('Dvd Calendar'!$Y$2006=TYPE1)*(TYPE1&lt;&gt;"")+('Dvd Calendar'!$Y$2006=TYPE2)*(TYPE2&lt;&gt;"")+('Dvd Calendar'!$Y$2006=TYPE3)*(TYPE3&lt;&gt;"")+('Dvd Calendar'!$Y$2006=TYPE4)*(TYPE4&lt;&gt;"")+('Dvd Calendar'!$Y$2006=SPECIAL_LBL)*(INC_SPECIALS="Y"))=0,"",'Dvd Calendar'!$Y$2004)))</f>
        <v/>
      </c>
      <c r="X200" s="161">
        <f>IF(EZ200="","",IF(ISNUMBER('Dvd Calendar'!$Z$2004)=FALSE,"",IF((('Dvd Calendar'!$Z$2006=TYPE1)*(TYPE1&lt;&gt;"")+('Dvd Calendar'!$Z$2006=TYPE2)*(TYPE2&lt;&gt;"")+('Dvd Calendar'!$Z$2006=TYPE3)*(TYPE3&lt;&gt;"")+('Dvd Calendar'!$Z$2006=TYPE4)*(TYPE4&lt;&gt;"")+('Dvd Calendar'!$Z$2006=SPECIAL_LBL)*(INC_SPECIALS="Y"))=0,"",'Dvd Calendar'!$Z$2004)))</f>
        <v/>
      </c>
      <c r="Y200" s="161">
        <f>IF(FA200="","",IF(ISNUMBER('Dvd Calendar'!$AA$2004)=FALSE,"",IF((('Dvd Calendar'!$AA$2006=TYPE1)*(TYPE1&lt;&gt;"")+('Dvd Calendar'!$AA$2006=TYPE2)*(TYPE2&lt;&gt;"")+('Dvd Calendar'!$AA$2006=TYPE3)*(TYPE3&lt;&gt;"")+('Dvd Calendar'!$AA$2006=TYPE4)*(TYPE4&lt;&gt;"")+('Dvd Calendar'!$AA$2006=SPECIAL_LBL)*(INC_SPECIALS="Y"))=0,"",'Dvd Calendar'!$AA$2004)))</f>
        <v/>
      </c>
      <c r="Z200" s="161">
        <f>IF(FB200="","",IF(ISNUMBER('Dvd Calendar'!$AB$2004)=FALSE,"",IF((('Dvd Calendar'!$AB$2006=TYPE1)*(TYPE1&lt;&gt;"")+('Dvd Calendar'!$AB$2006=TYPE2)*(TYPE2&lt;&gt;"")+('Dvd Calendar'!$AB$2006=TYPE3)*(TYPE3&lt;&gt;"")+('Dvd Calendar'!$AB$2006=TYPE4)*(TYPE4&lt;&gt;"")+('Dvd Calendar'!$AB$2006=SPECIAL_LBL)*(INC_SPECIALS="Y"))=0,"",'Dvd Calendar'!$AB$2004)))</f>
        <v/>
      </c>
      <c r="AA200" s="161">
        <f>IF(FC200="","",IF(ISNUMBER('Dvd Calendar'!$AC$2004)=FALSE,"",IF((('Dvd Calendar'!$AC$2006=TYPE1)*(TYPE1&lt;&gt;"")+('Dvd Calendar'!$AC$2006=TYPE2)*(TYPE2&lt;&gt;"")+('Dvd Calendar'!$AC$2006=TYPE3)*(TYPE3&lt;&gt;"")+('Dvd Calendar'!$AC$2006=TYPE4)*(TYPE4&lt;&gt;"")+('Dvd Calendar'!$AC$2006=SPECIAL_LBL)*(INC_SPECIALS="Y"))=0,"",'Dvd Calendar'!$AC$2004)))</f>
        <v/>
      </c>
      <c r="AB200" s="161">
        <f>IF(FD200="","",IF(ISNUMBER('Dvd Calendar'!$AD$2004)=FALSE,"",IF((('Dvd Calendar'!$AD$2006=TYPE1)*(TYPE1&lt;&gt;"")+('Dvd Calendar'!$AD$2006=TYPE2)*(TYPE2&lt;&gt;"")+('Dvd Calendar'!$AD$2006=TYPE3)*(TYPE3&lt;&gt;"")+('Dvd Calendar'!$AD$2006=TYPE4)*(TYPE4&lt;&gt;"")+('Dvd Calendar'!$AD$2006=SPECIAL_LBL)*(INC_SPECIALS="Y"))=0,"",'Dvd Calendar'!$AD$2004)))</f>
        <v/>
      </c>
      <c r="AC200" s="161">
        <f>IF(FE200="","",IF(ISNUMBER('Dvd Calendar'!$AE$2004)=FALSE,"",IF((('Dvd Calendar'!$AE$2006=TYPE1)*(TYPE1&lt;&gt;"")+('Dvd Calendar'!$AE$2006=TYPE2)*(TYPE2&lt;&gt;"")+('Dvd Calendar'!$AE$2006=TYPE3)*(TYPE3&lt;&gt;"")+('Dvd Calendar'!$AE$2006=TYPE4)*(TYPE4&lt;&gt;"")+('Dvd Calendar'!$AE$2006=SPECIAL_LBL)*(INC_SPECIALS="Y"))=0,"",'Dvd Calendar'!$AE$2004)))</f>
        <v/>
      </c>
      <c r="AD200" s="161">
        <f>IF(FF200="","",IF(ISNUMBER('Dvd Calendar'!$AF$2004)=FALSE,"",IF((('Dvd Calendar'!$AF$2006=TYPE1)*(TYPE1&lt;&gt;"")+('Dvd Calendar'!$AF$2006=TYPE2)*(TYPE2&lt;&gt;"")+('Dvd Calendar'!$AF$2006=TYPE3)*(TYPE3&lt;&gt;"")+('Dvd Calendar'!$AF$2006=TYPE4)*(TYPE4&lt;&gt;"")+('Dvd Calendar'!$AF$2006=SPECIAL_LBL)*(INC_SPECIALS="Y"))=0,"",'Dvd Calendar'!$AF$2004)))</f>
        <v/>
      </c>
      <c r="AE200" s="161">
        <f>IF(FG200="","",IF(ISNUMBER('Dvd Calendar'!$AG$2004)=FALSE,"",IF((('Dvd Calendar'!$AG$2006=TYPE1)*(TYPE1&lt;&gt;"")+('Dvd Calendar'!$AG$2006=TYPE2)*(TYPE2&lt;&gt;"")+('Dvd Calendar'!$AG$2006=TYPE3)*(TYPE3&lt;&gt;"")+('Dvd Calendar'!$AG$2006=TYPE4)*(TYPE4&lt;&gt;"")+('Dvd Calendar'!$AG$2006=SPECIAL_LBL)*(INC_SPECIALS="Y"))=0,"",'Dvd Calendar'!$AG$2004)))</f>
        <v/>
      </c>
      <c r="AF200" s="161">
        <f>IF(FH200="","",IF(ISNUMBER('Dvd Calendar'!$AH$2004)=FALSE,"",IF((('Dvd Calendar'!$AH$2006=TYPE1)*(TYPE1&lt;&gt;"")+('Dvd Calendar'!$AH$2006=TYPE2)*(TYPE2&lt;&gt;"")+('Dvd Calendar'!$AH$2006=TYPE3)*(TYPE3&lt;&gt;"")+('Dvd Calendar'!$AH$2006=TYPE4)*(TYPE4&lt;&gt;"")+('Dvd Calendar'!$AH$2006=SPECIAL_LBL)*(INC_SPECIALS="Y"))=0,"",'Dvd Calendar'!$AH$2004)))</f>
        <v/>
      </c>
      <c r="AG200" s="161">
        <f>IF(FI200="","",IF(ISNUMBER('Dvd Calendar'!$AI$2004)=FALSE,"",IF((('Dvd Calendar'!$AI$2006=TYPE1)*(TYPE1&lt;&gt;"")+('Dvd Calendar'!$AI$2006=TYPE2)*(TYPE2&lt;&gt;"")+('Dvd Calendar'!$AI$2006=TYPE3)*(TYPE3&lt;&gt;"")+('Dvd Calendar'!$AI$2006=TYPE4)*(TYPE4&lt;&gt;"")+('Dvd Calendar'!$AI$2006=SPECIAL_LBL)*(INC_SPECIALS="Y"))=0,"",'Dvd Calendar'!$AI$2004)))</f>
        <v/>
      </c>
      <c r="AH200" s="161">
        <f>IF(FJ200="","",IF(ISNUMBER('Dvd Calendar'!$AJ$2004)=FALSE,"",IF((('Dvd Calendar'!$AJ$2006=TYPE1)*(TYPE1&lt;&gt;"")+('Dvd Calendar'!$AJ$2006=TYPE2)*(TYPE2&lt;&gt;"")+('Dvd Calendar'!$AJ$2006=TYPE3)*(TYPE3&lt;&gt;"")+('Dvd Calendar'!$AJ$2006=TYPE4)*(TYPE4&lt;&gt;"")+('Dvd Calendar'!$AJ$2006=SPECIAL_LBL)*(INC_SPECIALS="Y"))=0,"",'Dvd Calendar'!$AJ$2004)))</f>
        <v/>
      </c>
      <c r="AI200" s="161">
        <f>IF(FK200="","",IF(ISNUMBER('Dvd Calendar'!$AK$2004)=FALSE,"",IF((('Dvd Calendar'!$AK$2006=TYPE1)*(TYPE1&lt;&gt;"")+('Dvd Calendar'!$AK$2006=TYPE2)*(TYPE2&lt;&gt;"")+('Dvd Calendar'!$AK$2006=TYPE3)*(TYPE3&lt;&gt;"")+('Dvd Calendar'!$AK$2006=TYPE4)*(TYPE4&lt;&gt;"")+('Dvd Calendar'!$AK$2006=SPECIAL_LBL)*(INC_SPECIALS="Y"))=0,"",'Dvd Calendar'!$AK$2004)))</f>
        <v/>
      </c>
      <c r="AJ200" s="161">
        <f>IF(FL200="","",IF(ISNUMBER('Dvd Calendar'!$AL$2004)=FALSE,"",IF((('Dvd Calendar'!$AL$2006=TYPE1)*(TYPE1&lt;&gt;"")+('Dvd Calendar'!$AL$2006=TYPE2)*(TYPE2&lt;&gt;"")+('Dvd Calendar'!$AL$2006=TYPE3)*(TYPE3&lt;&gt;"")+('Dvd Calendar'!$AL$2006=TYPE4)*(TYPE4&lt;&gt;"")+('Dvd Calendar'!$AL$2006=SPECIAL_LBL)*(INC_SPECIALS="Y"))=0,"",'Dvd Calendar'!$AL$2004)))</f>
        <v/>
      </c>
      <c r="AK200" s="161">
        <f>IF(FM200="","",IF(ISNUMBER('Dvd Calendar'!$AM$2004)=FALSE,"",IF((('Dvd Calendar'!$AM$2006=TYPE1)*(TYPE1&lt;&gt;"")+('Dvd Calendar'!$AM$2006=TYPE2)*(TYPE2&lt;&gt;"")+('Dvd Calendar'!$AM$2006=TYPE3)*(TYPE3&lt;&gt;"")+('Dvd Calendar'!$AM$2006=TYPE4)*(TYPE4&lt;&gt;"")+('Dvd Calendar'!$AM$2006=SPECIAL_LBL)*(INC_SPECIALS="Y"))=0,"",'Dvd Calendar'!$AM$2004)))</f>
        <v/>
      </c>
      <c r="AL200" s="161">
        <f>IF(FN200="","",IF(ISNUMBER('Dvd Calendar'!$AN$2004)=FALSE,"",IF((('Dvd Calendar'!$AN$2006=TYPE1)*(TYPE1&lt;&gt;"")+('Dvd Calendar'!$AN$2006=TYPE2)*(TYPE2&lt;&gt;"")+('Dvd Calendar'!$AN$2006=TYPE3)*(TYPE3&lt;&gt;"")+('Dvd Calendar'!$AN$2006=TYPE4)*(TYPE4&lt;&gt;"")+('Dvd Calendar'!$AN$2006=SPECIAL_LBL)*(INC_SPECIALS="Y"))=0,"",'Dvd Calendar'!$AN$2004)))</f>
        <v/>
      </c>
      <c r="AM200" s="161">
        <f>IF(FO200="","",IF(ISNUMBER('Dvd Calendar'!$AO$2004)=FALSE,"",IF((('Dvd Calendar'!$AO$2006=TYPE1)*(TYPE1&lt;&gt;"")+('Dvd Calendar'!$AO$2006=TYPE2)*(TYPE2&lt;&gt;"")+('Dvd Calendar'!$AO$2006=TYPE3)*(TYPE3&lt;&gt;"")+('Dvd Calendar'!$AO$2006=TYPE4)*(TYPE4&lt;&gt;"")+('Dvd Calendar'!$AO$2006=SPECIAL_LBL)*(INC_SPECIALS="Y"))=0,"",'Dvd Calendar'!$AO$2004)))</f>
        <v/>
      </c>
      <c r="AN200" s="161">
        <f>IF(FP200="","",IF(ISNUMBER('Dvd Calendar'!$AP$2004)=FALSE,"",IF((('Dvd Calendar'!$AP$2006=TYPE1)*(TYPE1&lt;&gt;"")+('Dvd Calendar'!$AP$2006=TYPE2)*(TYPE2&lt;&gt;"")+('Dvd Calendar'!$AP$2006=TYPE3)*(TYPE3&lt;&gt;"")+('Dvd Calendar'!$AP$2006=TYPE4)*(TYPE4&lt;&gt;"")+('Dvd Calendar'!$AP$2006=SPECIAL_LBL)*(INC_SPECIALS="Y"))=0,"",'Dvd Calendar'!$AP$2004)))</f>
        <v/>
      </c>
      <c r="AO200" s="161">
        <f>IF(FQ200="","",IF(ISNUMBER('Dvd Calendar'!$AQ$2004)=FALSE,"",IF((('Dvd Calendar'!$AQ$2006=TYPE1)*(TYPE1&lt;&gt;"")+('Dvd Calendar'!$AQ$2006=TYPE2)*(TYPE2&lt;&gt;"")+('Dvd Calendar'!$AQ$2006=TYPE3)*(TYPE3&lt;&gt;"")+('Dvd Calendar'!$AQ$2006=TYPE4)*(TYPE4&lt;&gt;"")+('Dvd Calendar'!$AQ$2006=SPECIAL_LBL)*(INC_SPECIALS="Y"))=0,"",'Dvd Calendar'!$AQ$2004)))</f>
        <v/>
      </c>
      <c r="AP200" s="161">
        <f>IF(FR200="","",IF(ISNUMBER('Dvd Calendar'!$AR$2004)=FALSE,"",IF((('Dvd Calendar'!$AR$2006=TYPE1)*(TYPE1&lt;&gt;"")+('Dvd Calendar'!$AR$2006=TYPE2)*(TYPE2&lt;&gt;"")+('Dvd Calendar'!$AR$2006=TYPE3)*(TYPE3&lt;&gt;"")+('Dvd Calendar'!$AR$2006=TYPE4)*(TYPE4&lt;&gt;"")+('Dvd Calendar'!$AR$2006=SPECIAL_LBL)*(INC_SPECIALS="Y"))=0,"",'Dvd Calendar'!$AR$2004)))</f>
        <v/>
      </c>
      <c r="AQ200" s="161">
        <f>IF(FS200="","",IF(ISNUMBER('Dvd Calendar'!$E$2009)=FALSE,"",'Dvd Calendar'!$E$2009))</f>
        <v/>
      </c>
      <c r="AR200" s="161">
        <f>IF(FT200="","",IF(ISNUMBER('Dvd Calendar'!$F$2009)=FALSE,"",'Dvd Calendar'!$F$2009))</f>
        <v/>
      </c>
      <c r="AS200" s="161">
        <f>IF(FU200="","",IF(ISNUMBER('Dvd Calendar'!$G$2009)=FALSE,"",'Dvd Calendar'!$G$2009))</f>
        <v/>
      </c>
      <c r="AT200" s="161">
        <f>IF(FV200="","",IF(ISNUMBER('Dvd Calendar'!$H$2009)=FALSE,"",'Dvd Calendar'!$H$2009))</f>
        <v/>
      </c>
      <c r="AU200" s="161">
        <f>IF(FW200="","",IF(ISNUMBER('Dvd Calendar'!$I$2009)=FALSE,"",'Dvd Calendar'!$I$2009))</f>
        <v/>
      </c>
      <c r="AV200" s="161">
        <f>IF(FX200="","",IF(ISNUMBER('Dvd Calendar'!$J$2009)=FALSE,"",'Dvd Calendar'!$J$2009))</f>
        <v/>
      </c>
      <c r="AW200" s="161">
        <f>IF(FY200="","",IF(ISNUMBER('Dvd Calendar'!$K$2009)=FALSE,"",'Dvd Calendar'!$K$2009))</f>
        <v/>
      </c>
      <c r="AX200" s="161">
        <f>IF(FZ200="","",IF(ISNUMBER('Dvd Calendar'!$L$2009)=FALSE,"",'Dvd Calendar'!$L$2009))</f>
        <v/>
      </c>
      <c r="AY200" s="161">
        <f>IF(GA200="","",IF(ISNUMBER('Dvd Calendar'!$M$2009)=FALSE,"",'Dvd Calendar'!$M$2009))</f>
        <v/>
      </c>
      <c r="AZ200" s="161">
        <f>IF(GB200="","",IF(ISNUMBER('Dvd Calendar'!$N$2009)=FALSE,"",'Dvd Calendar'!$N$2009))</f>
        <v/>
      </c>
      <c r="BA200" s="161">
        <f>IF(GC200="","",IF(ISNUMBER('Dvd Calendar'!$O$2009)=FALSE,"",'Dvd Calendar'!$O$2009))</f>
        <v/>
      </c>
      <c r="BB200" s="161">
        <f>IF(GD200="","",IF(ISNUMBER('Dvd Calendar'!$P$2009)=FALSE,"",'Dvd Calendar'!$P$2009))</f>
        <v/>
      </c>
      <c r="BC200" s="161">
        <f>IF(GE200="","",IF(ISNUMBER('Dvd Calendar'!$Q$2009)=FALSE,"",'Dvd Calendar'!$Q$2009))</f>
        <v/>
      </c>
      <c r="BD200" s="161">
        <f>IF(GF200="","",IF(ISNUMBER('Dvd Calendar'!$R$2009)=FALSE,"",'Dvd Calendar'!$R$2009))</f>
        <v/>
      </c>
      <c r="BE200" s="161">
        <f>IF(GG200="","",IF(ISNUMBER('Dvd Calendar'!$S$2009)=FALSE,"",'Dvd Calendar'!$S$2009))</f>
        <v/>
      </c>
      <c r="BF200" s="161">
        <f>IF(GH200="","",IF(ISNUMBER('Dvd Calendar'!$T$2009)=FALSE,"",'Dvd Calendar'!$T$2009))</f>
        <v/>
      </c>
      <c r="BG200" s="161">
        <f>IF(GI200="","",IF(ISNUMBER('Dvd Calendar'!$U$2009)=FALSE,"",'Dvd Calendar'!$U$2009))</f>
        <v/>
      </c>
      <c r="BH200" s="161">
        <f>IF(GJ200="","",IF(ISNUMBER('Dvd Calendar'!$V$2009)=FALSE,"",'Dvd Calendar'!$V$2009))</f>
        <v/>
      </c>
      <c r="BI200" s="161">
        <f>IF(GK200="","",IF(ISNUMBER('Dvd Calendar'!$W$2009)=FALSE,"",'Dvd Calendar'!$W$2009))</f>
        <v/>
      </c>
      <c r="BJ200" s="161">
        <f>IF(GL200="","",IF(ISNUMBER('Dvd Calendar'!$X$2009)=FALSE,"",'Dvd Calendar'!$X$2009))</f>
        <v/>
      </c>
      <c r="BK200" s="161">
        <f>IF(GM200="","",IF(ISNUMBER('Dvd Calendar'!$Y$2009)=FALSE,"",'Dvd Calendar'!$Y$2009))</f>
        <v/>
      </c>
      <c r="BL200" s="161">
        <f>IF(GN200="","",IF(ISNUMBER('Dvd Calendar'!$Z$2009)=FALSE,"",'Dvd Calendar'!$Z$2009))</f>
        <v/>
      </c>
      <c r="BM200" s="161">
        <f>IF(GO200="","",IF(ISNUMBER('Dvd Calendar'!$AA$2009)=FALSE,"",'Dvd Calendar'!$AA$2009))</f>
        <v/>
      </c>
      <c r="BN200" s="161">
        <f>IF(GP200="","",IF(ISNUMBER('Dvd Calendar'!$AB$2009)=FALSE,"",'Dvd Calendar'!$AB$2009))</f>
        <v/>
      </c>
      <c r="BO200" s="161">
        <f>IF(GQ200="","",IF(ISNUMBER('Dvd Calendar'!$AC$2009)=FALSE,"",'Dvd Calendar'!$AC$2009))</f>
        <v/>
      </c>
      <c r="BQ200" s="161">
        <f>IF(C200="","",IFERROR(C200*HSCEI!$B$47*HSCEI!$G$47/HSCEI!$B$3,""))</f>
        <v/>
      </c>
      <c r="BR200" s="161">
        <f>IF(D200="","",IFERROR(D200*HSCEI!$B$47*HSCEI!$G$47/HSCEI!$B$3,""))</f>
        <v/>
      </c>
      <c r="BS200" s="161">
        <f>IF(E200="","",IFERROR(E200*HSCEI!$B$47*HSCEI!$G$47/HSCEI!$B$3,""))</f>
        <v/>
      </c>
      <c r="BT200" s="161">
        <f>IF(F200="","",IFERROR(F200*HSCEI!$B$47*HSCEI!$G$47/HSCEI!$B$3,""))</f>
        <v/>
      </c>
      <c r="BU200" s="161">
        <f>IF(G200="","",IFERROR(G200*HSCEI!$B$47*HSCEI!$G$47/HSCEI!$B$3,""))</f>
        <v/>
      </c>
      <c r="BV200" s="161">
        <f>IF(H200="","",IFERROR(H200*HSCEI!$B$47*HSCEI!$G$47/HSCEI!$B$3,""))</f>
        <v/>
      </c>
      <c r="BW200" s="161">
        <f>IF(I200="","",IFERROR(I200*HSCEI!$B$47*HSCEI!$G$47/HSCEI!$B$3,""))</f>
        <v/>
      </c>
      <c r="BX200" s="161">
        <f>IF(J200="","",IFERROR(J200*HSCEI!$B$47*HSCEI!$G$47/HSCEI!$B$3,""))</f>
        <v/>
      </c>
      <c r="BY200" s="161">
        <f>IF(K200="","",IFERROR(K200*HSCEI!$B$47*HSCEI!$G$47/HSCEI!$B$3,""))</f>
        <v/>
      </c>
      <c r="BZ200" s="161">
        <f>IF(L200="","",IFERROR(L200*HSCEI!$B$47*HSCEI!$G$47/HSCEI!$B$3,""))</f>
        <v/>
      </c>
      <c r="CA200" s="161">
        <f>IF(M200="","",IFERROR(M200*HSCEI!$B$47*HSCEI!$G$47/HSCEI!$B$3,""))</f>
        <v/>
      </c>
      <c r="CB200" s="161">
        <f>IF(N200="","",IFERROR(N200*HSCEI!$B$47*HSCEI!$G$47/HSCEI!$B$3,""))</f>
        <v/>
      </c>
      <c r="CC200" s="161">
        <f>IF(O200="","",IFERROR(O200*HSCEI!$B$47*HSCEI!$G$47/HSCEI!$B$3,""))</f>
        <v/>
      </c>
      <c r="CD200" s="161">
        <f>IF(P200="","",IFERROR(P200*HSCEI!$B$47*HSCEI!$G$47/HSCEI!$B$3,""))</f>
        <v/>
      </c>
      <c r="CE200" s="161">
        <f>IF(Q200="","",IFERROR(Q200*HSCEI!$B$47*HSCEI!$G$47/HSCEI!$B$3,""))</f>
        <v/>
      </c>
      <c r="CF200" s="161">
        <f>IF(R200="","",IFERROR(R200*HSCEI!$B$47*HSCEI!$G$47/HSCEI!$B$3,""))</f>
        <v/>
      </c>
      <c r="CG200" s="161">
        <f>IF(S200="","",IFERROR(S200*HSCEI!$B$47*HSCEI!$G$47/HSCEI!$B$3,""))</f>
        <v/>
      </c>
      <c r="CH200" s="161">
        <f>IF(T200="","",IFERROR(T200*HSCEI!$B$47*HSCEI!$G$47/HSCEI!$B$3,""))</f>
        <v/>
      </c>
      <c r="CI200" s="161">
        <f>IF(U200="","",IFERROR(U200*HSCEI!$B$47*HSCEI!$G$47/HSCEI!$B$3,""))</f>
        <v/>
      </c>
      <c r="CJ200" s="161">
        <f>IF(V200="","",IFERROR(V200*HSCEI!$B$47*HSCEI!$G$47/HSCEI!$B$3,""))</f>
        <v/>
      </c>
      <c r="CK200" s="161">
        <f>IF(W200="","",IFERROR(W200*HSCEI!$B$47*HSCEI!$G$47/HSCEI!$B$3,""))</f>
        <v/>
      </c>
      <c r="CL200" s="161">
        <f>IF(X200="","",IFERROR(X200*HSCEI!$B$47*HSCEI!$G$47/HSCEI!$B$3,""))</f>
        <v/>
      </c>
      <c r="CM200" s="161">
        <f>IF(Y200="","",IFERROR(Y200*HSCEI!$B$47*HSCEI!$G$47/HSCEI!$B$3,""))</f>
        <v/>
      </c>
      <c r="CN200" s="161">
        <f>IF(Z200="","",IFERROR(Z200*HSCEI!$B$47*HSCEI!$G$47/HSCEI!$B$3,""))</f>
        <v/>
      </c>
      <c r="CO200" s="161">
        <f>IF(AA200="","",IFERROR(AA200*HSCEI!$B$47*HSCEI!$G$47/HSCEI!$B$3,""))</f>
        <v/>
      </c>
      <c r="CP200" s="161">
        <f>IF(AB200="","",IFERROR(AB200*HSCEI!$B$47*HSCEI!$G$47/HSCEI!$B$3,""))</f>
        <v/>
      </c>
      <c r="CQ200" s="161">
        <f>IF(AC200="","",IFERROR(AC200*HSCEI!$B$47*HSCEI!$G$47/HSCEI!$B$3,""))</f>
        <v/>
      </c>
      <c r="CR200" s="161">
        <f>IF(AD200="","",IFERROR(AD200*HSCEI!$B$47*HSCEI!$G$47/HSCEI!$B$3,""))</f>
        <v/>
      </c>
      <c r="CS200" s="161">
        <f>IF(AE200="","",IFERROR(AE200*HSCEI!$B$47*HSCEI!$G$47/HSCEI!$B$3,""))</f>
        <v/>
      </c>
      <c r="CT200" s="161">
        <f>IF(AF200="","",IFERROR(AF200*HSCEI!$B$47*HSCEI!$G$47/HSCEI!$B$3,""))</f>
        <v/>
      </c>
      <c r="CU200" s="161">
        <f>IF(AG200="","",IFERROR(AG200*HSCEI!$B$47*HSCEI!$G$47/HSCEI!$B$3,""))</f>
        <v/>
      </c>
      <c r="CV200" s="161">
        <f>IF(AH200="","",IFERROR(AH200*HSCEI!$B$47*HSCEI!$G$47/HSCEI!$B$3,""))</f>
        <v/>
      </c>
      <c r="CW200" s="161">
        <f>IF(AI200="","",IFERROR(AI200*HSCEI!$B$47*HSCEI!$G$47/HSCEI!$B$3,""))</f>
        <v/>
      </c>
      <c r="CX200" s="161">
        <f>IF(AJ200="","",IFERROR(AJ200*HSCEI!$B$47*HSCEI!$G$47/HSCEI!$B$3,""))</f>
        <v/>
      </c>
      <c r="CY200" s="161">
        <f>IF(AK200="","",IFERROR(AK200*HSCEI!$B$47*HSCEI!$G$47/HSCEI!$B$3,""))</f>
        <v/>
      </c>
      <c r="CZ200" s="161">
        <f>IF(AL200="","",IFERROR(AL200*HSCEI!$B$47*HSCEI!$G$47/HSCEI!$B$3,""))</f>
        <v/>
      </c>
      <c r="DA200" s="161">
        <f>IF(AM200="","",IFERROR(AM200*HSCEI!$B$47*HSCEI!$G$47/HSCEI!$B$3,""))</f>
        <v/>
      </c>
      <c r="DB200" s="161">
        <f>IF(AN200="","",IFERROR(AN200*HSCEI!$B$47*HSCEI!$G$47/HSCEI!$B$3,""))</f>
        <v/>
      </c>
      <c r="DC200" s="161">
        <f>IF(AO200="","",IFERROR(AO200*HSCEI!$B$47*HSCEI!$G$47/HSCEI!$B$3,""))</f>
        <v/>
      </c>
      <c r="DD200" s="161">
        <f>IF(AP200="","",IFERROR(AP200*HSCEI!$B$47*HSCEI!$G$47/HSCEI!$B$3,""))</f>
        <v/>
      </c>
      <c r="DE200" s="161">
        <f>IF(AQ200="","",IFERROR(AQ200*HSCEI!$B$47*HSCEI!$G$47/HSCEI!$B$3,""))</f>
        <v/>
      </c>
      <c r="DF200" s="161">
        <f>IF(AR200="","",IFERROR(AR200*HSCEI!$B$47*HSCEI!$G$47/HSCEI!$B$3,""))</f>
        <v/>
      </c>
      <c r="DG200" s="161">
        <f>IF(AS200="","",IFERROR(AS200*HSCEI!$B$47*HSCEI!$G$47/HSCEI!$B$3,""))</f>
        <v/>
      </c>
      <c r="DH200" s="161">
        <f>IF(AT200="","",IFERROR(AT200*HSCEI!$B$47*HSCEI!$G$47/HSCEI!$B$3,""))</f>
        <v/>
      </c>
      <c r="DI200" s="161">
        <f>IF(AU200="","",IFERROR(AU200*HSCEI!$B$47*HSCEI!$G$47/HSCEI!$B$3,""))</f>
        <v/>
      </c>
      <c r="DJ200" s="161">
        <f>IF(AV200="","",IFERROR(AV200*HSCEI!$B$47*HSCEI!$G$47/HSCEI!$B$3,""))</f>
        <v/>
      </c>
      <c r="DK200" s="161">
        <f>IF(AW200="","",IFERROR(AW200*HSCEI!$B$47*HSCEI!$G$47/HSCEI!$B$3,""))</f>
        <v/>
      </c>
      <c r="DL200" s="161">
        <f>IF(AX200="","",IFERROR(AX200*HSCEI!$B$47*HSCEI!$G$47/HSCEI!$B$3,""))</f>
        <v/>
      </c>
      <c r="DM200" s="161">
        <f>IF(AY200="","",IFERROR(AY200*HSCEI!$B$47*HSCEI!$G$47/HSCEI!$B$3,""))</f>
        <v/>
      </c>
      <c r="DN200" s="161">
        <f>IF(AZ200="","",IFERROR(AZ200*HSCEI!$B$47*HSCEI!$G$47/HSCEI!$B$3,""))</f>
        <v/>
      </c>
      <c r="DO200" s="161">
        <f>IF(BA200="","",IFERROR(BA200*HSCEI!$B$47*HSCEI!$G$47/HSCEI!$B$3,""))</f>
        <v/>
      </c>
      <c r="DP200" s="161">
        <f>IF(BB200="","",IFERROR(BB200*HSCEI!$B$47*HSCEI!$G$47/HSCEI!$B$3,""))</f>
        <v/>
      </c>
      <c r="DQ200" s="161">
        <f>IF(BC200="","",IFERROR(BC200*HSCEI!$B$47*HSCEI!$G$47/HSCEI!$B$3,""))</f>
        <v/>
      </c>
      <c r="DR200" s="161">
        <f>IF(BD200="","",IFERROR(BD200*HSCEI!$B$47*HSCEI!$G$47/HSCEI!$B$3,""))</f>
        <v/>
      </c>
      <c r="DS200" s="161">
        <f>IF(BE200="","",IFERROR(BE200*HSCEI!$B$47*HSCEI!$G$47/HSCEI!$B$3,""))</f>
        <v/>
      </c>
      <c r="DT200" s="161">
        <f>IF(BF200="","",IFERROR(BF200*HSCEI!$B$47*HSCEI!$G$47/HSCEI!$B$3,""))</f>
        <v/>
      </c>
      <c r="DU200" s="161">
        <f>IF(BG200="","",IFERROR(BG200*HSCEI!$B$47*HSCEI!$G$47/HSCEI!$B$3,""))</f>
        <v/>
      </c>
      <c r="DV200" s="161">
        <f>IF(BH200="","",IFERROR(BH200*HSCEI!$B$47*HSCEI!$G$47/HSCEI!$B$3,""))</f>
        <v/>
      </c>
      <c r="DW200" s="161">
        <f>IF(BI200="","",IFERROR(BI200*HSCEI!$B$47*HSCEI!$G$47/HSCEI!$B$3,""))</f>
        <v/>
      </c>
      <c r="DX200" s="161">
        <f>IF(BJ200="","",IFERROR(BJ200*HSCEI!$B$47*HSCEI!$G$47/HSCEI!$B$3,""))</f>
        <v/>
      </c>
      <c r="DY200" s="161">
        <f>IF(BK200="","",IFERROR(BK200*HSCEI!$B$47*HSCEI!$G$47/HSCEI!$B$3,""))</f>
        <v/>
      </c>
      <c r="DZ200" s="161">
        <f>IF(BL200="","",IFERROR(BL200*HSCEI!$B$47*HSCEI!$G$47/HSCEI!$B$3,""))</f>
        <v/>
      </c>
      <c r="EA200" s="161">
        <f>IF(BM200="","",IFERROR(BM200*HSCEI!$B$47*HSCEI!$G$47/HSCEI!$B$3,""))</f>
        <v/>
      </c>
      <c r="EB200" s="161">
        <f>IF(BN200="","",IFERROR(BN200*HSCEI!$B$47*HSCEI!$G$47/HSCEI!$B$3,""))</f>
        <v/>
      </c>
      <c r="EC200" s="161">
        <f>IF(BO200="","",IFERROR(BO200*HSCEI!$B$47*HSCEI!$G$47/HSCEI!$B$3,""))</f>
        <v/>
      </c>
      <c r="EE200" s="121">
        <f>IF(N('Dvd Calendar'!$E$2001)=0,"",IF(('Dvd Calendar'!$E$2001&gt;=GRID_FROM)*('Dvd Calendar'!$E$2001&lt;=GRID_TO)*((('Dvd Calendar'!$E$2001&lt;=VAL_DATE)+(COUNTIF('Dvd Calendar'!$E$2008:$AR$2008,'Dvd Calendar'!$E$2001)=0))&gt;0)=0,"",'Dvd Calendar'!$E$2001*1000000000+ISNUMBER('Dvd Calendar'!$E$2004)*100000000+('Dvd Calendar'!$E$2006=SPECIAL_LBL)*10000000+(N('Dvd Calendar'!$E$2000)&gt;0)*(N('Dvd Calendar'!$E$2000)&lt;=VAL_SERIAL)*1000000+41*1000+1))</f>
        <v/>
      </c>
      <c r="EF200" s="121">
        <f>IF(N('Dvd Calendar'!$F$2001)=0,"",IF(('Dvd Calendar'!$F$2001&gt;=GRID_FROM)*('Dvd Calendar'!$F$2001&lt;=GRID_TO)*((('Dvd Calendar'!$F$2001&lt;=VAL_DATE)+(COUNTIF('Dvd Calendar'!$E$2008:$AR$2008,'Dvd Calendar'!$F$2001)=0))&gt;0)=0,"",'Dvd Calendar'!$F$2001*1000000000+ISNUMBER('Dvd Calendar'!$F$2004)*100000000+('Dvd Calendar'!$F$2006=SPECIAL_LBL)*10000000+(N('Dvd Calendar'!$F$2000)&gt;0)*(N('Dvd Calendar'!$F$2000)&lt;=VAL_SERIAL)*1000000+41*1000+2))</f>
        <v/>
      </c>
      <c r="EG200" s="121">
        <f>IF(N('Dvd Calendar'!$G$2001)=0,"",IF(('Dvd Calendar'!$G$2001&gt;=GRID_FROM)*('Dvd Calendar'!$G$2001&lt;=GRID_TO)*((('Dvd Calendar'!$G$2001&lt;=VAL_DATE)+(COUNTIF('Dvd Calendar'!$E$2008:$AR$2008,'Dvd Calendar'!$G$2001)=0))&gt;0)=0,"",'Dvd Calendar'!$G$2001*1000000000+ISNUMBER('Dvd Calendar'!$G$2004)*100000000+('Dvd Calendar'!$G$2006=SPECIAL_LBL)*10000000+(N('Dvd Calendar'!$G$2000)&gt;0)*(N('Dvd Calendar'!$G$2000)&lt;=VAL_SERIAL)*1000000+41*1000+3))</f>
        <v/>
      </c>
      <c r="EH200" s="121">
        <f>IF(N('Dvd Calendar'!$H$2001)=0,"",IF(('Dvd Calendar'!$H$2001&gt;=GRID_FROM)*('Dvd Calendar'!$H$2001&lt;=GRID_TO)*((('Dvd Calendar'!$H$2001&lt;=VAL_DATE)+(COUNTIF('Dvd Calendar'!$E$2008:$AR$2008,'Dvd Calendar'!$H$2001)=0))&gt;0)=0,"",'Dvd Calendar'!$H$2001*1000000000+ISNUMBER('Dvd Calendar'!$H$2004)*100000000+('Dvd Calendar'!$H$2006=SPECIAL_LBL)*10000000+(N('Dvd Calendar'!$H$2000)&gt;0)*(N('Dvd Calendar'!$H$2000)&lt;=VAL_SERIAL)*1000000+41*1000+4))</f>
        <v/>
      </c>
      <c r="EI200" s="121">
        <f>IF(N('Dvd Calendar'!$I$2001)=0,"",IF(('Dvd Calendar'!$I$2001&gt;=GRID_FROM)*('Dvd Calendar'!$I$2001&lt;=GRID_TO)*((('Dvd Calendar'!$I$2001&lt;=VAL_DATE)+(COUNTIF('Dvd Calendar'!$E$2008:$AR$2008,'Dvd Calendar'!$I$2001)=0))&gt;0)=0,"",'Dvd Calendar'!$I$2001*1000000000+ISNUMBER('Dvd Calendar'!$I$2004)*100000000+('Dvd Calendar'!$I$2006=SPECIAL_LBL)*10000000+(N('Dvd Calendar'!$I$2000)&gt;0)*(N('Dvd Calendar'!$I$2000)&lt;=VAL_SERIAL)*1000000+41*1000+5))</f>
        <v/>
      </c>
      <c r="EJ200" s="121">
        <f>IF(N('Dvd Calendar'!$J$2001)=0,"",IF(('Dvd Calendar'!$J$2001&gt;=GRID_FROM)*('Dvd Calendar'!$J$2001&lt;=GRID_TO)*((('Dvd Calendar'!$J$2001&lt;=VAL_DATE)+(COUNTIF('Dvd Calendar'!$E$2008:$AR$2008,'Dvd Calendar'!$J$2001)=0))&gt;0)=0,"",'Dvd Calendar'!$J$2001*1000000000+ISNUMBER('Dvd Calendar'!$J$2004)*100000000+('Dvd Calendar'!$J$2006=SPECIAL_LBL)*10000000+(N('Dvd Calendar'!$J$2000)&gt;0)*(N('Dvd Calendar'!$J$2000)&lt;=VAL_SERIAL)*1000000+41*1000+6))</f>
        <v/>
      </c>
      <c r="EK200" s="121">
        <f>IF(N('Dvd Calendar'!$K$2001)=0,"",IF(('Dvd Calendar'!$K$2001&gt;=GRID_FROM)*('Dvd Calendar'!$K$2001&lt;=GRID_TO)*((('Dvd Calendar'!$K$2001&lt;=VAL_DATE)+(COUNTIF('Dvd Calendar'!$E$2008:$AR$2008,'Dvd Calendar'!$K$2001)=0))&gt;0)=0,"",'Dvd Calendar'!$K$2001*1000000000+ISNUMBER('Dvd Calendar'!$K$2004)*100000000+('Dvd Calendar'!$K$2006=SPECIAL_LBL)*10000000+(N('Dvd Calendar'!$K$2000)&gt;0)*(N('Dvd Calendar'!$K$2000)&lt;=VAL_SERIAL)*1000000+41*1000+7))</f>
        <v/>
      </c>
      <c r="EL200" s="121">
        <f>IF(N('Dvd Calendar'!$L$2001)=0,"",IF(('Dvd Calendar'!$L$2001&gt;=GRID_FROM)*('Dvd Calendar'!$L$2001&lt;=GRID_TO)*((('Dvd Calendar'!$L$2001&lt;=VAL_DATE)+(COUNTIF('Dvd Calendar'!$E$2008:$AR$2008,'Dvd Calendar'!$L$2001)=0))&gt;0)=0,"",'Dvd Calendar'!$L$2001*1000000000+ISNUMBER('Dvd Calendar'!$L$2004)*100000000+('Dvd Calendar'!$L$2006=SPECIAL_LBL)*10000000+(N('Dvd Calendar'!$L$2000)&gt;0)*(N('Dvd Calendar'!$L$2000)&lt;=VAL_SERIAL)*1000000+41*1000+8))</f>
        <v/>
      </c>
      <c r="EM200" s="121">
        <f>IF(N('Dvd Calendar'!$M$2001)=0,"",IF(('Dvd Calendar'!$M$2001&gt;=GRID_FROM)*('Dvd Calendar'!$M$2001&lt;=GRID_TO)*((('Dvd Calendar'!$M$2001&lt;=VAL_DATE)+(COUNTIF('Dvd Calendar'!$E$2008:$AR$2008,'Dvd Calendar'!$M$2001)=0))&gt;0)=0,"",'Dvd Calendar'!$M$2001*1000000000+ISNUMBER('Dvd Calendar'!$M$2004)*100000000+('Dvd Calendar'!$M$2006=SPECIAL_LBL)*10000000+(N('Dvd Calendar'!$M$2000)&gt;0)*(N('Dvd Calendar'!$M$2000)&lt;=VAL_SERIAL)*1000000+41*1000+9))</f>
        <v/>
      </c>
      <c r="EN200" s="121">
        <f>IF(N('Dvd Calendar'!$N$2001)=0,"",IF(('Dvd Calendar'!$N$2001&gt;=GRID_FROM)*('Dvd Calendar'!$N$2001&lt;=GRID_TO)*((('Dvd Calendar'!$N$2001&lt;=VAL_DATE)+(COUNTIF('Dvd Calendar'!$E$2008:$AR$2008,'Dvd Calendar'!$N$2001)=0))&gt;0)=0,"",'Dvd Calendar'!$N$2001*1000000000+ISNUMBER('Dvd Calendar'!$N$2004)*100000000+('Dvd Calendar'!$N$2006=SPECIAL_LBL)*10000000+(N('Dvd Calendar'!$N$2000)&gt;0)*(N('Dvd Calendar'!$N$2000)&lt;=VAL_SERIAL)*1000000+41*1000+10))</f>
        <v/>
      </c>
      <c r="EO200" s="121">
        <f>IF(N('Dvd Calendar'!$O$2001)=0,"",IF(('Dvd Calendar'!$O$2001&gt;=GRID_FROM)*('Dvd Calendar'!$O$2001&lt;=GRID_TO)*((('Dvd Calendar'!$O$2001&lt;=VAL_DATE)+(COUNTIF('Dvd Calendar'!$E$2008:$AR$2008,'Dvd Calendar'!$O$2001)=0))&gt;0)=0,"",'Dvd Calendar'!$O$2001*1000000000+ISNUMBER('Dvd Calendar'!$O$2004)*100000000+('Dvd Calendar'!$O$2006=SPECIAL_LBL)*10000000+(N('Dvd Calendar'!$O$2000)&gt;0)*(N('Dvd Calendar'!$O$2000)&lt;=VAL_SERIAL)*1000000+41*1000+11))</f>
        <v/>
      </c>
      <c r="EP200" s="121">
        <f>IF(N('Dvd Calendar'!$P$2001)=0,"",IF(('Dvd Calendar'!$P$2001&gt;=GRID_FROM)*('Dvd Calendar'!$P$2001&lt;=GRID_TO)*((('Dvd Calendar'!$P$2001&lt;=VAL_DATE)+(COUNTIF('Dvd Calendar'!$E$2008:$AR$2008,'Dvd Calendar'!$P$2001)=0))&gt;0)=0,"",'Dvd Calendar'!$P$2001*1000000000+ISNUMBER('Dvd Calendar'!$P$2004)*100000000+('Dvd Calendar'!$P$2006=SPECIAL_LBL)*10000000+(N('Dvd Calendar'!$P$2000)&gt;0)*(N('Dvd Calendar'!$P$2000)&lt;=VAL_SERIAL)*1000000+41*1000+12))</f>
        <v/>
      </c>
      <c r="EQ200" s="121">
        <f>IF(N('Dvd Calendar'!$Q$2001)=0,"",IF(('Dvd Calendar'!$Q$2001&gt;=GRID_FROM)*('Dvd Calendar'!$Q$2001&lt;=GRID_TO)*((('Dvd Calendar'!$Q$2001&lt;=VAL_DATE)+(COUNTIF('Dvd Calendar'!$E$2008:$AR$2008,'Dvd Calendar'!$Q$2001)=0))&gt;0)=0,"",'Dvd Calendar'!$Q$2001*1000000000+ISNUMBER('Dvd Calendar'!$Q$2004)*100000000+('Dvd Calendar'!$Q$2006=SPECIAL_LBL)*10000000+(N('Dvd Calendar'!$Q$2000)&gt;0)*(N('Dvd Calendar'!$Q$2000)&lt;=VAL_SERIAL)*1000000+41*1000+13))</f>
        <v/>
      </c>
      <c r="ER200" s="121">
        <f>IF(N('Dvd Calendar'!$R$2001)=0,"",IF(('Dvd Calendar'!$R$2001&gt;=GRID_FROM)*('Dvd Calendar'!$R$2001&lt;=GRID_TO)*((('Dvd Calendar'!$R$2001&lt;=VAL_DATE)+(COUNTIF('Dvd Calendar'!$E$2008:$AR$2008,'Dvd Calendar'!$R$2001)=0))&gt;0)=0,"",'Dvd Calendar'!$R$2001*1000000000+ISNUMBER('Dvd Calendar'!$R$2004)*100000000+('Dvd Calendar'!$R$2006=SPECIAL_LBL)*10000000+(N('Dvd Calendar'!$R$2000)&gt;0)*(N('Dvd Calendar'!$R$2000)&lt;=VAL_SERIAL)*1000000+41*1000+14))</f>
        <v/>
      </c>
      <c r="ES200" s="121">
        <f>IF(N('Dvd Calendar'!$S$2001)=0,"",IF(('Dvd Calendar'!$S$2001&gt;=GRID_FROM)*('Dvd Calendar'!$S$2001&lt;=GRID_TO)*((('Dvd Calendar'!$S$2001&lt;=VAL_DATE)+(COUNTIF('Dvd Calendar'!$E$2008:$AR$2008,'Dvd Calendar'!$S$2001)=0))&gt;0)=0,"",'Dvd Calendar'!$S$2001*1000000000+ISNUMBER('Dvd Calendar'!$S$2004)*100000000+('Dvd Calendar'!$S$2006=SPECIAL_LBL)*10000000+(N('Dvd Calendar'!$S$2000)&gt;0)*(N('Dvd Calendar'!$S$2000)&lt;=VAL_SERIAL)*1000000+41*1000+15))</f>
        <v/>
      </c>
      <c r="ET200" s="121">
        <f>IF(N('Dvd Calendar'!$T$2001)=0,"",IF(('Dvd Calendar'!$T$2001&gt;=GRID_FROM)*('Dvd Calendar'!$T$2001&lt;=GRID_TO)*((('Dvd Calendar'!$T$2001&lt;=VAL_DATE)+(COUNTIF('Dvd Calendar'!$E$2008:$AR$2008,'Dvd Calendar'!$T$2001)=0))&gt;0)=0,"",'Dvd Calendar'!$T$2001*1000000000+ISNUMBER('Dvd Calendar'!$T$2004)*100000000+('Dvd Calendar'!$T$2006=SPECIAL_LBL)*10000000+(N('Dvd Calendar'!$T$2000)&gt;0)*(N('Dvd Calendar'!$T$2000)&lt;=VAL_SERIAL)*1000000+41*1000+16))</f>
        <v/>
      </c>
      <c r="EU200" s="121">
        <f>IF(N('Dvd Calendar'!$U$2001)=0,"",IF(('Dvd Calendar'!$U$2001&gt;=GRID_FROM)*('Dvd Calendar'!$U$2001&lt;=GRID_TO)*((('Dvd Calendar'!$U$2001&lt;=VAL_DATE)+(COUNTIF('Dvd Calendar'!$E$2008:$AR$2008,'Dvd Calendar'!$U$2001)=0))&gt;0)=0,"",'Dvd Calendar'!$U$2001*1000000000+ISNUMBER('Dvd Calendar'!$U$2004)*100000000+('Dvd Calendar'!$U$2006=SPECIAL_LBL)*10000000+(N('Dvd Calendar'!$U$2000)&gt;0)*(N('Dvd Calendar'!$U$2000)&lt;=VAL_SERIAL)*1000000+41*1000+17))</f>
        <v/>
      </c>
      <c r="EV200" s="121">
        <f>IF(N('Dvd Calendar'!$V$2001)=0,"",IF(('Dvd Calendar'!$V$2001&gt;=GRID_FROM)*('Dvd Calendar'!$V$2001&lt;=GRID_TO)*((('Dvd Calendar'!$V$2001&lt;=VAL_DATE)+(COUNTIF('Dvd Calendar'!$E$2008:$AR$2008,'Dvd Calendar'!$V$2001)=0))&gt;0)=0,"",'Dvd Calendar'!$V$2001*1000000000+ISNUMBER('Dvd Calendar'!$V$2004)*100000000+('Dvd Calendar'!$V$2006=SPECIAL_LBL)*10000000+(N('Dvd Calendar'!$V$2000)&gt;0)*(N('Dvd Calendar'!$V$2000)&lt;=VAL_SERIAL)*1000000+41*1000+18))</f>
        <v/>
      </c>
      <c r="EW200" s="121">
        <f>IF(N('Dvd Calendar'!$W$2001)=0,"",IF(('Dvd Calendar'!$W$2001&gt;=GRID_FROM)*('Dvd Calendar'!$W$2001&lt;=GRID_TO)*((('Dvd Calendar'!$W$2001&lt;=VAL_DATE)+(COUNTIF('Dvd Calendar'!$E$2008:$AR$2008,'Dvd Calendar'!$W$2001)=0))&gt;0)=0,"",'Dvd Calendar'!$W$2001*1000000000+ISNUMBER('Dvd Calendar'!$W$2004)*100000000+('Dvd Calendar'!$W$2006=SPECIAL_LBL)*10000000+(N('Dvd Calendar'!$W$2000)&gt;0)*(N('Dvd Calendar'!$W$2000)&lt;=VAL_SERIAL)*1000000+41*1000+19))</f>
        <v/>
      </c>
      <c r="EX200" s="121">
        <f>IF(N('Dvd Calendar'!$X$2001)=0,"",IF(('Dvd Calendar'!$X$2001&gt;=GRID_FROM)*('Dvd Calendar'!$X$2001&lt;=GRID_TO)*((('Dvd Calendar'!$X$2001&lt;=VAL_DATE)+(COUNTIF('Dvd Calendar'!$E$2008:$AR$2008,'Dvd Calendar'!$X$2001)=0))&gt;0)=0,"",'Dvd Calendar'!$X$2001*1000000000+ISNUMBER('Dvd Calendar'!$X$2004)*100000000+('Dvd Calendar'!$X$2006=SPECIAL_LBL)*10000000+(N('Dvd Calendar'!$X$2000)&gt;0)*(N('Dvd Calendar'!$X$2000)&lt;=VAL_SERIAL)*1000000+41*1000+20))</f>
        <v/>
      </c>
      <c r="EY200" s="121">
        <f>IF(N('Dvd Calendar'!$Y$2001)=0,"",IF(('Dvd Calendar'!$Y$2001&gt;=GRID_FROM)*('Dvd Calendar'!$Y$2001&lt;=GRID_TO)*((('Dvd Calendar'!$Y$2001&lt;=VAL_DATE)+(COUNTIF('Dvd Calendar'!$E$2008:$AR$2008,'Dvd Calendar'!$Y$2001)=0))&gt;0)=0,"",'Dvd Calendar'!$Y$2001*1000000000+ISNUMBER('Dvd Calendar'!$Y$2004)*100000000+('Dvd Calendar'!$Y$2006=SPECIAL_LBL)*10000000+(N('Dvd Calendar'!$Y$2000)&gt;0)*(N('Dvd Calendar'!$Y$2000)&lt;=VAL_SERIAL)*1000000+41*1000+21))</f>
        <v/>
      </c>
      <c r="EZ200" s="121">
        <f>IF(N('Dvd Calendar'!$Z$2001)=0,"",IF(('Dvd Calendar'!$Z$2001&gt;=GRID_FROM)*('Dvd Calendar'!$Z$2001&lt;=GRID_TO)*((('Dvd Calendar'!$Z$2001&lt;=VAL_DATE)+(COUNTIF('Dvd Calendar'!$E$2008:$AR$2008,'Dvd Calendar'!$Z$2001)=0))&gt;0)=0,"",'Dvd Calendar'!$Z$2001*1000000000+ISNUMBER('Dvd Calendar'!$Z$2004)*100000000+('Dvd Calendar'!$Z$2006=SPECIAL_LBL)*10000000+(N('Dvd Calendar'!$Z$2000)&gt;0)*(N('Dvd Calendar'!$Z$2000)&lt;=VAL_SERIAL)*1000000+41*1000+22))</f>
        <v/>
      </c>
      <c r="FA200" s="121">
        <f>IF(N('Dvd Calendar'!$AA$2001)=0,"",IF(('Dvd Calendar'!$AA$2001&gt;=GRID_FROM)*('Dvd Calendar'!$AA$2001&lt;=GRID_TO)*((('Dvd Calendar'!$AA$2001&lt;=VAL_DATE)+(COUNTIF('Dvd Calendar'!$E$2008:$AR$2008,'Dvd Calendar'!$AA$2001)=0))&gt;0)=0,"",'Dvd Calendar'!$AA$2001*1000000000+ISNUMBER('Dvd Calendar'!$AA$2004)*100000000+('Dvd Calendar'!$AA$2006=SPECIAL_LBL)*10000000+(N('Dvd Calendar'!$AA$2000)&gt;0)*(N('Dvd Calendar'!$AA$2000)&lt;=VAL_SERIAL)*1000000+41*1000+23))</f>
        <v/>
      </c>
      <c r="FB200" s="121">
        <f>IF(N('Dvd Calendar'!$AB$2001)=0,"",IF(('Dvd Calendar'!$AB$2001&gt;=GRID_FROM)*('Dvd Calendar'!$AB$2001&lt;=GRID_TO)*((('Dvd Calendar'!$AB$2001&lt;=VAL_DATE)+(COUNTIF('Dvd Calendar'!$E$2008:$AR$2008,'Dvd Calendar'!$AB$2001)=0))&gt;0)=0,"",'Dvd Calendar'!$AB$2001*1000000000+ISNUMBER('Dvd Calendar'!$AB$2004)*100000000+('Dvd Calendar'!$AB$2006=SPECIAL_LBL)*10000000+(N('Dvd Calendar'!$AB$2000)&gt;0)*(N('Dvd Calendar'!$AB$2000)&lt;=VAL_SERIAL)*1000000+41*1000+24))</f>
        <v/>
      </c>
      <c r="FC200" s="121">
        <f>IF(N('Dvd Calendar'!$AC$2001)=0,"",IF(('Dvd Calendar'!$AC$2001&gt;=GRID_FROM)*('Dvd Calendar'!$AC$2001&lt;=GRID_TO)*((('Dvd Calendar'!$AC$2001&lt;=VAL_DATE)+(COUNTIF('Dvd Calendar'!$E$2008:$AR$2008,'Dvd Calendar'!$AC$2001)=0))&gt;0)=0,"",'Dvd Calendar'!$AC$2001*1000000000+ISNUMBER('Dvd Calendar'!$AC$2004)*100000000+('Dvd Calendar'!$AC$2006=SPECIAL_LBL)*10000000+(N('Dvd Calendar'!$AC$2000)&gt;0)*(N('Dvd Calendar'!$AC$2000)&lt;=VAL_SERIAL)*1000000+41*1000+25))</f>
        <v/>
      </c>
      <c r="FD200" s="121">
        <f>IF(N('Dvd Calendar'!$AD$2001)=0,"",IF(('Dvd Calendar'!$AD$2001&gt;=GRID_FROM)*('Dvd Calendar'!$AD$2001&lt;=GRID_TO)*((('Dvd Calendar'!$AD$2001&lt;=VAL_DATE)+(COUNTIF('Dvd Calendar'!$E$2008:$AR$2008,'Dvd Calendar'!$AD$2001)=0))&gt;0)=0,"",'Dvd Calendar'!$AD$2001*1000000000+ISNUMBER('Dvd Calendar'!$AD$2004)*100000000+('Dvd Calendar'!$AD$2006=SPECIAL_LBL)*10000000+(N('Dvd Calendar'!$AD$2000)&gt;0)*(N('Dvd Calendar'!$AD$2000)&lt;=VAL_SERIAL)*1000000+41*1000+26))</f>
        <v/>
      </c>
      <c r="FE200" s="121">
        <f>IF(N('Dvd Calendar'!$AE$2001)=0,"",IF(('Dvd Calendar'!$AE$2001&gt;=GRID_FROM)*('Dvd Calendar'!$AE$2001&lt;=GRID_TO)*((('Dvd Calendar'!$AE$2001&lt;=VAL_DATE)+(COUNTIF('Dvd Calendar'!$E$2008:$AR$2008,'Dvd Calendar'!$AE$2001)=0))&gt;0)=0,"",'Dvd Calendar'!$AE$2001*1000000000+ISNUMBER('Dvd Calendar'!$AE$2004)*100000000+('Dvd Calendar'!$AE$2006=SPECIAL_LBL)*10000000+(N('Dvd Calendar'!$AE$2000)&gt;0)*(N('Dvd Calendar'!$AE$2000)&lt;=VAL_SERIAL)*1000000+41*1000+27))</f>
        <v/>
      </c>
      <c r="FF200" s="121">
        <f>IF(N('Dvd Calendar'!$AF$2001)=0,"",IF(('Dvd Calendar'!$AF$2001&gt;=GRID_FROM)*('Dvd Calendar'!$AF$2001&lt;=GRID_TO)*((('Dvd Calendar'!$AF$2001&lt;=VAL_DATE)+(COUNTIF('Dvd Calendar'!$E$2008:$AR$2008,'Dvd Calendar'!$AF$2001)=0))&gt;0)=0,"",'Dvd Calendar'!$AF$2001*1000000000+ISNUMBER('Dvd Calendar'!$AF$2004)*100000000+('Dvd Calendar'!$AF$2006=SPECIAL_LBL)*10000000+(N('Dvd Calendar'!$AF$2000)&gt;0)*(N('Dvd Calendar'!$AF$2000)&lt;=VAL_SERIAL)*1000000+41*1000+28))</f>
        <v/>
      </c>
      <c r="FG200" s="121">
        <f>IF(N('Dvd Calendar'!$AG$2001)=0,"",IF(('Dvd Calendar'!$AG$2001&gt;=GRID_FROM)*('Dvd Calendar'!$AG$2001&lt;=GRID_TO)*((('Dvd Calendar'!$AG$2001&lt;=VAL_DATE)+(COUNTIF('Dvd Calendar'!$E$2008:$AR$2008,'Dvd Calendar'!$AG$2001)=0))&gt;0)=0,"",'Dvd Calendar'!$AG$2001*1000000000+ISNUMBER('Dvd Calendar'!$AG$2004)*100000000+('Dvd Calendar'!$AG$2006=SPECIAL_LBL)*10000000+(N('Dvd Calendar'!$AG$2000)&gt;0)*(N('Dvd Calendar'!$AG$2000)&lt;=VAL_SERIAL)*1000000+41*1000+29))</f>
        <v/>
      </c>
      <c r="FH200" s="121">
        <f>IF(N('Dvd Calendar'!$AH$2001)=0,"",IF(('Dvd Calendar'!$AH$2001&gt;=GRID_FROM)*('Dvd Calendar'!$AH$2001&lt;=GRID_TO)*((('Dvd Calendar'!$AH$2001&lt;=VAL_DATE)+(COUNTIF('Dvd Calendar'!$E$2008:$AR$2008,'Dvd Calendar'!$AH$2001)=0))&gt;0)=0,"",'Dvd Calendar'!$AH$2001*1000000000+ISNUMBER('Dvd Calendar'!$AH$2004)*100000000+('Dvd Calendar'!$AH$2006=SPECIAL_LBL)*10000000+(N('Dvd Calendar'!$AH$2000)&gt;0)*(N('Dvd Calendar'!$AH$2000)&lt;=VAL_SERIAL)*1000000+41*1000+30))</f>
        <v/>
      </c>
      <c r="FI200" s="121">
        <f>IF(N('Dvd Calendar'!$AI$2001)=0,"",IF(('Dvd Calendar'!$AI$2001&gt;=GRID_FROM)*('Dvd Calendar'!$AI$2001&lt;=GRID_TO)*((('Dvd Calendar'!$AI$2001&lt;=VAL_DATE)+(COUNTIF('Dvd Calendar'!$E$2008:$AR$2008,'Dvd Calendar'!$AI$2001)=0))&gt;0)=0,"",'Dvd Calendar'!$AI$2001*1000000000+ISNUMBER('Dvd Calendar'!$AI$2004)*100000000+('Dvd Calendar'!$AI$2006=SPECIAL_LBL)*10000000+(N('Dvd Calendar'!$AI$2000)&gt;0)*(N('Dvd Calendar'!$AI$2000)&lt;=VAL_SERIAL)*1000000+41*1000+31))</f>
        <v/>
      </c>
      <c r="FJ200" s="121">
        <f>IF(N('Dvd Calendar'!$AJ$2001)=0,"",IF(('Dvd Calendar'!$AJ$2001&gt;=GRID_FROM)*('Dvd Calendar'!$AJ$2001&lt;=GRID_TO)*((('Dvd Calendar'!$AJ$2001&lt;=VAL_DATE)+(COUNTIF('Dvd Calendar'!$E$2008:$AR$2008,'Dvd Calendar'!$AJ$2001)=0))&gt;0)=0,"",'Dvd Calendar'!$AJ$2001*1000000000+ISNUMBER('Dvd Calendar'!$AJ$2004)*100000000+('Dvd Calendar'!$AJ$2006=SPECIAL_LBL)*10000000+(N('Dvd Calendar'!$AJ$2000)&gt;0)*(N('Dvd Calendar'!$AJ$2000)&lt;=VAL_SERIAL)*1000000+41*1000+32))</f>
        <v/>
      </c>
      <c r="FK200" s="121">
        <f>IF(N('Dvd Calendar'!$AK$2001)=0,"",IF(('Dvd Calendar'!$AK$2001&gt;=GRID_FROM)*('Dvd Calendar'!$AK$2001&lt;=GRID_TO)*((('Dvd Calendar'!$AK$2001&lt;=VAL_DATE)+(COUNTIF('Dvd Calendar'!$E$2008:$AR$2008,'Dvd Calendar'!$AK$2001)=0))&gt;0)=0,"",'Dvd Calendar'!$AK$2001*1000000000+ISNUMBER('Dvd Calendar'!$AK$2004)*100000000+('Dvd Calendar'!$AK$2006=SPECIAL_LBL)*10000000+(N('Dvd Calendar'!$AK$2000)&gt;0)*(N('Dvd Calendar'!$AK$2000)&lt;=VAL_SERIAL)*1000000+41*1000+33))</f>
        <v/>
      </c>
      <c r="FL200" s="121">
        <f>IF(N('Dvd Calendar'!$AL$2001)=0,"",IF(('Dvd Calendar'!$AL$2001&gt;=GRID_FROM)*('Dvd Calendar'!$AL$2001&lt;=GRID_TO)*((('Dvd Calendar'!$AL$2001&lt;=VAL_DATE)+(COUNTIF('Dvd Calendar'!$E$2008:$AR$2008,'Dvd Calendar'!$AL$2001)=0))&gt;0)=0,"",'Dvd Calendar'!$AL$2001*1000000000+ISNUMBER('Dvd Calendar'!$AL$2004)*100000000+('Dvd Calendar'!$AL$2006=SPECIAL_LBL)*10000000+(N('Dvd Calendar'!$AL$2000)&gt;0)*(N('Dvd Calendar'!$AL$2000)&lt;=VAL_SERIAL)*1000000+41*1000+34))</f>
        <v/>
      </c>
      <c r="FM200" s="121">
        <f>IF(N('Dvd Calendar'!$AM$2001)=0,"",IF(('Dvd Calendar'!$AM$2001&gt;=GRID_FROM)*('Dvd Calendar'!$AM$2001&lt;=GRID_TO)*((('Dvd Calendar'!$AM$2001&lt;=VAL_DATE)+(COUNTIF('Dvd Calendar'!$E$2008:$AR$2008,'Dvd Calendar'!$AM$2001)=0))&gt;0)=0,"",'Dvd Calendar'!$AM$2001*1000000000+ISNUMBER('Dvd Calendar'!$AM$2004)*100000000+('Dvd Calendar'!$AM$2006=SPECIAL_LBL)*10000000+(N('Dvd Calendar'!$AM$2000)&gt;0)*(N('Dvd Calendar'!$AM$2000)&lt;=VAL_SERIAL)*1000000+41*1000+35))</f>
        <v/>
      </c>
      <c r="FN200" s="121">
        <f>IF(N('Dvd Calendar'!$AN$2001)=0,"",IF(('Dvd Calendar'!$AN$2001&gt;=GRID_FROM)*('Dvd Calendar'!$AN$2001&lt;=GRID_TO)*((('Dvd Calendar'!$AN$2001&lt;=VAL_DATE)+(COUNTIF('Dvd Calendar'!$E$2008:$AR$2008,'Dvd Calendar'!$AN$2001)=0))&gt;0)=0,"",'Dvd Calendar'!$AN$2001*1000000000+ISNUMBER('Dvd Calendar'!$AN$2004)*100000000+('Dvd Calendar'!$AN$2006=SPECIAL_LBL)*10000000+(N('Dvd Calendar'!$AN$2000)&gt;0)*(N('Dvd Calendar'!$AN$2000)&lt;=VAL_SERIAL)*1000000+41*1000+36))</f>
        <v/>
      </c>
      <c r="FO200" s="121">
        <f>IF(N('Dvd Calendar'!$AO$2001)=0,"",IF(('Dvd Calendar'!$AO$2001&gt;=GRID_FROM)*('Dvd Calendar'!$AO$2001&lt;=GRID_TO)*((('Dvd Calendar'!$AO$2001&lt;=VAL_DATE)+(COUNTIF('Dvd Calendar'!$E$2008:$AR$2008,'Dvd Calendar'!$AO$2001)=0))&gt;0)=0,"",'Dvd Calendar'!$AO$2001*1000000000+ISNUMBER('Dvd Calendar'!$AO$2004)*100000000+('Dvd Calendar'!$AO$2006=SPECIAL_LBL)*10000000+(N('Dvd Calendar'!$AO$2000)&gt;0)*(N('Dvd Calendar'!$AO$2000)&lt;=VAL_SERIAL)*1000000+41*1000+37))</f>
        <v/>
      </c>
      <c r="FP200" s="121">
        <f>IF(N('Dvd Calendar'!$AP$2001)=0,"",IF(('Dvd Calendar'!$AP$2001&gt;=GRID_FROM)*('Dvd Calendar'!$AP$2001&lt;=GRID_TO)*((('Dvd Calendar'!$AP$2001&lt;=VAL_DATE)+(COUNTIF('Dvd Calendar'!$E$2008:$AR$2008,'Dvd Calendar'!$AP$2001)=0))&gt;0)=0,"",'Dvd Calendar'!$AP$2001*1000000000+ISNUMBER('Dvd Calendar'!$AP$2004)*100000000+('Dvd Calendar'!$AP$2006=SPECIAL_LBL)*10000000+(N('Dvd Calendar'!$AP$2000)&gt;0)*(N('Dvd Calendar'!$AP$2000)&lt;=VAL_SERIAL)*1000000+41*1000+38))</f>
        <v/>
      </c>
      <c r="FQ200" s="121">
        <f>IF(N('Dvd Calendar'!$AQ$2001)=0,"",IF(('Dvd Calendar'!$AQ$2001&gt;=GRID_FROM)*('Dvd Calendar'!$AQ$2001&lt;=GRID_TO)*((('Dvd Calendar'!$AQ$2001&lt;=VAL_DATE)+(COUNTIF('Dvd Calendar'!$E$2008:$AR$2008,'Dvd Calendar'!$AQ$2001)=0))&gt;0)=0,"",'Dvd Calendar'!$AQ$2001*1000000000+ISNUMBER('Dvd Calendar'!$AQ$2004)*100000000+('Dvd Calendar'!$AQ$2006=SPECIAL_LBL)*10000000+(N('Dvd Calendar'!$AQ$2000)&gt;0)*(N('Dvd Calendar'!$AQ$2000)&lt;=VAL_SERIAL)*1000000+41*1000+39))</f>
        <v/>
      </c>
      <c r="FR200" s="121">
        <f>IF(N('Dvd Calendar'!$AR$2001)=0,"",IF(('Dvd Calendar'!$AR$2001&gt;=GRID_FROM)*('Dvd Calendar'!$AR$2001&lt;=GRID_TO)*((('Dvd Calendar'!$AR$2001&lt;=VAL_DATE)+(COUNTIF('Dvd Calendar'!$E$2008:$AR$2008,'Dvd Calendar'!$AR$2001)=0))&gt;0)=0,"",'Dvd Calendar'!$AR$2001*1000000000+ISNUMBER('Dvd Calendar'!$AR$2004)*100000000+('Dvd Calendar'!$AR$2006=SPECIAL_LBL)*10000000+(N('Dvd Calendar'!$AR$2000)&gt;0)*(N('Dvd Calendar'!$AR$2000)&lt;=VAL_SERIAL)*1000000+41*1000+40))</f>
        <v/>
      </c>
      <c r="FS200" s="121">
        <f>IF(N('Dvd Calendar'!$E$2008)=0,"",IF(('Dvd Calendar'!$E$2008&gt;=GRID_FROM)*('Dvd Calendar'!$E$2008&lt;=GRID_TO)*('Dvd Calendar'!$E$2008&gt;VAL_DATE)=0,"",'Dvd Calendar'!$E$2008*1000000000+ISNUMBER('Dvd Calendar'!$E$2009)*100000000+0*10000000+(N('Dvd Calendar'!$E$2007)&gt;0)*(N('Dvd Calendar'!$E$2007)&lt;=VAL_SERIAL)*1000000+41*1000+41))</f>
        <v/>
      </c>
      <c r="FT200" s="121">
        <f>IF(N('Dvd Calendar'!$F$2008)=0,"",IF(('Dvd Calendar'!$F$2008&gt;=GRID_FROM)*('Dvd Calendar'!$F$2008&lt;=GRID_TO)*('Dvd Calendar'!$F$2008&gt;VAL_DATE)=0,"",'Dvd Calendar'!$F$2008*1000000000+ISNUMBER('Dvd Calendar'!$F$2009)*100000000+0*10000000+(N('Dvd Calendar'!$F$2007)&gt;0)*(N('Dvd Calendar'!$F$2007)&lt;=VAL_SERIAL)*1000000+41*1000+42))</f>
        <v/>
      </c>
      <c r="FU200" s="121">
        <f>IF(N('Dvd Calendar'!$G$2008)=0,"",IF(('Dvd Calendar'!$G$2008&gt;=GRID_FROM)*('Dvd Calendar'!$G$2008&lt;=GRID_TO)*('Dvd Calendar'!$G$2008&gt;VAL_DATE)=0,"",'Dvd Calendar'!$G$2008*1000000000+ISNUMBER('Dvd Calendar'!$G$2009)*100000000+0*10000000+(N('Dvd Calendar'!$G$2007)&gt;0)*(N('Dvd Calendar'!$G$2007)&lt;=VAL_SERIAL)*1000000+41*1000+43))</f>
        <v/>
      </c>
      <c r="FV200" s="121">
        <f>IF(N('Dvd Calendar'!$H$2008)=0,"",IF(('Dvd Calendar'!$H$2008&gt;=GRID_FROM)*('Dvd Calendar'!$H$2008&lt;=GRID_TO)*('Dvd Calendar'!$H$2008&gt;VAL_DATE)=0,"",'Dvd Calendar'!$H$2008*1000000000+ISNUMBER('Dvd Calendar'!$H$2009)*100000000+0*10000000+(N('Dvd Calendar'!$H$2007)&gt;0)*(N('Dvd Calendar'!$H$2007)&lt;=VAL_SERIAL)*1000000+41*1000+44))</f>
        <v/>
      </c>
      <c r="FW200" s="121">
        <f>IF(N('Dvd Calendar'!$I$2008)=0,"",IF(('Dvd Calendar'!$I$2008&gt;=GRID_FROM)*('Dvd Calendar'!$I$2008&lt;=GRID_TO)*('Dvd Calendar'!$I$2008&gt;VAL_DATE)=0,"",'Dvd Calendar'!$I$2008*1000000000+ISNUMBER('Dvd Calendar'!$I$2009)*100000000+0*10000000+(N('Dvd Calendar'!$I$2007)&gt;0)*(N('Dvd Calendar'!$I$2007)&lt;=VAL_SERIAL)*1000000+41*1000+45))</f>
        <v/>
      </c>
      <c r="FX200" s="121">
        <f>IF(N('Dvd Calendar'!$J$2008)=0,"",IF(('Dvd Calendar'!$J$2008&gt;=GRID_FROM)*('Dvd Calendar'!$J$2008&lt;=GRID_TO)*('Dvd Calendar'!$J$2008&gt;VAL_DATE)=0,"",'Dvd Calendar'!$J$2008*1000000000+ISNUMBER('Dvd Calendar'!$J$2009)*100000000+0*10000000+(N('Dvd Calendar'!$J$2007)&gt;0)*(N('Dvd Calendar'!$J$2007)&lt;=VAL_SERIAL)*1000000+41*1000+46))</f>
        <v/>
      </c>
      <c r="FY200" s="121">
        <f>IF(N('Dvd Calendar'!$K$2008)=0,"",IF(('Dvd Calendar'!$K$2008&gt;=GRID_FROM)*('Dvd Calendar'!$K$2008&lt;=GRID_TO)*('Dvd Calendar'!$K$2008&gt;VAL_DATE)=0,"",'Dvd Calendar'!$K$2008*1000000000+ISNUMBER('Dvd Calendar'!$K$2009)*100000000+0*10000000+(N('Dvd Calendar'!$K$2007)&gt;0)*(N('Dvd Calendar'!$K$2007)&lt;=VAL_SERIAL)*1000000+41*1000+47))</f>
        <v/>
      </c>
      <c r="FZ200" s="121">
        <f>IF(N('Dvd Calendar'!$L$2008)=0,"",IF(('Dvd Calendar'!$L$2008&gt;=GRID_FROM)*('Dvd Calendar'!$L$2008&lt;=GRID_TO)*('Dvd Calendar'!$L$2008&gt;VAL_DATE)=0,"",'Dvd Calendar'!$L$2008*1000000000+ISNUMBER('Dvd Calendar'!$L$2009)*100000000+0*10000000+(N('Dvd Calendar'!$L$2007)&gt;0)*(N('Dvd Calendar'!$L$2007)&lt;=VAL_SERIAL)*1000000+41*1000+48))</f>
        <v/>
      </c>
      <c r="GA200" s="121">
        <f>IF(N('Dvd Calendar'!$M$2008)=0,"",IF(('Dvd Calendar'!$M$2008&gt;=GRID_FROM)*('Dvd Calendar'!$M$2008&lt;=GRID_TO)*('Dvd Calendar'!$M$2008&gt;VAL_DATE)=0,"",'Dvd Calendar'!$M$2008*1000000000+ISNUMBER('Dvd Calendar'!$M$2009)*100000000+0*10000000+(N('Dvd Calendar'!$M$2007)&gt;0)*(N('Dvd Calendar'!$M$2007)&lt;=VAL_SERIAL)*1000000+41*1000+49))</f>
        <v/>
      </c>
      <c r="GB200" s="121">
        <f>IF(N('Dvd Calendar'!$N$2008)=0,"",IF(('Dvd Calendar'!$N$2008&gt;=GRID_FROM)*('Dvd Calendar'!$N$2008&lt;=GRID_TO)*('Dvd Calendar'!$N$2008&gt;VAL_DATE)=0,"",'Dvd Calendar'!$N$2008*1000000000+ISNUMBER('Dvd Calendar'!$N$2009)*100000000+0*10000000+(N('Dvd Calendar'!$N$2007)&gt;0)*(N('Dvd Calendar'!$N$2007)&lt;=VAL_SERIAL)*1000000+41*1000+50))</f>
        <v/>
      </c>
      <c r="GC200" s="121">
        <f>IF(N('Dvd Calendar'!$O$2008)=0,"",IF(('Dvd Calendar'!$O$2008&gt;=GRID_FROM)*('Dvd Calendar'!$O$2008&lt;=GRID_TO)*('Dvd Calendar'!$O$2008&gt;VAL_DATE)=0,"",'Dvd Calendar'!$O$2008*1000000000+ISNUMBER('Dvd Calendar'!$O$2009)*100000000+0*10000000+(N('Dvd Calendar'!$O$2007)&gt;0)*(N('Dvd Calendar'!$O$2007)&lt;=VAL_SERIAL)*1000000+41*1000+51))</f>
        <v/>
      </c>
      <c r="GD200" s="121">
        <f>IF(N('Dvd Calendar'!$P$2008)=0,"",IF(('Dvd Calendar'!$P$2008&gt;=GRID_FROM)*('Dvd Calendar'!$P$2008&lt;=GRID_TO)*('Dvd Calendar'!$P$2008&gt;VAL_DATE)=0,"",'Dvd Calendar'!$P$2008*1000000000+ISNUMBER('Dvd Calendar'!$P$2009)*100000000+0*10000000+(N('Dvd Calendar'!$P$2007)&gt;0)*(N('Dvd Calendar'!$P$2007)&lt;=VAL_SERIAL)*1000000+41*1000+52))</f>
        <v/>
      </c>
      <c r="GE200" s="121">
        <f>IF(N('Dvd Calendar'!$Q$2008)=0,"",IF(('Dvd Calendar'!$Q$2008&gt;=GRID_FROM)*('Dvd Calendar'!$Q$2008&lt;=GRID_TO)*('Dvd Calendar'!$Q$2008&gt;VAL_DATE)=0,"",'Dvd Calendar'!$Q$2008*1000000000+ISNUMBER('Dvd Calendar'!$Q$2009)*100000000+0*10000000+(N('Dvd Calendar'!$Q$2007)&gt;0)*(N('Dvd Calendar'!$Q$2007)&lt;=VAL_SERIAL)*1000000+41*1000+53))</f>
        <v/>
      </c>
      <c r="GF200" s="121">
        <f>IF(N('Dvd Calendar'!$R$2008)=0,"",IF(('Dvd Calendar'!$R$2008&gt;=GRID_FROM)*('Dvd Calendar'!$R$2008&lt;=GRID_TO)*('Dvd Calendar'!$R$2008&gt;VAL_DATE)=0,"",'Dvd Calendar'!$R$2008*1000000000+ISNUMBER('Dvd Calendar'!$R$2009)*100000000+0*10000000+(N('Dvd Calendar'!$R$2007)&gt;0)*(N('Dvd Calendar'!$R$2007)&lt;=VAL_SERIAL)*1000000+41*1000+54))</f>
        <v/>
      </c>
      <c r="GG200" s="121">
        <f>IF(N('Dvd Calendar'!$S$2008)=0,"",IF(('Dvd Calendar'!$S$2008&gt;=GRID_FROM)*('Dvd Calendar'!$S$2008&lt;=GRID_TO)*('Dvd Calendar'!$S$2008&gt;VAL_DATE)=0,"",'Dvd Calendar'!$S$2008*1000000000+ISNUMBER('Dvd Calendar'!$S$2009)*100000000+0*10000000+(N('Dvd Calendar'!$S$2007)&gt;0)*(N('Dvd Calendar'!$S$2007)&lt;=VAL_SERIAL)*1000000+41*1000+55))</f>
        <v/>
      </c>
      <c r="GH200" s="121">
        <f>IF(N('Dvd Calendar'!$T$2008)=0,"",IF(('Dvd Calendar'!$T$2008&gt;=GRID_FROM)*('Dvd Calendar'!$T$2008&lt;=GRID_TO)*('Dvd Calendar'!$T$2008&gt;VAL_DATE)=0,"",'Dvd Calendar'!$T$2008*1000000000+ISNUMBER('Dvd Calendar'!$T$2009)*100000000+0*10000000+(N('Dvd Calendar'!$T$2007)&gt;0)*(N('Dvd Calendar'!$T$2007)&lt;=VAL_SERIAL)*1000000+41*1000+56))</f>
        <v/>
      </c>
      <c r="GI200" s="121">
        <f>IF(N('Dvd Calendar'!$U$2008)=0,"",IF(('Dvd Calendar'!$U$2008&gt;=GRID_FROM)*('Dvd Calendar'!$U$2008&lt;=GRID_TO)*('Dvd Calendar'!$U$2008&gt;VAL_DATE)=0,"",'Dvd Calendar'!$U$2008*1000000000+ISNUMBER('Dvd Calendar'!$U$2009)*100000000+0*10000000+(N('Dvd Calendar'!$U$2007)&gt;0)*(N('Dvd Calendar'!$U$2007)&lt;=VAL_SERIAL)*1000000+41*1000+57))</f>
        <v/>
      </c>
      <c r="GJ200" s="121">
        <f>IF(N('Dvd Calendar'!$V$2008)=0,"",IF(('Dvd Calendar'!$V$2008&gt;=GRID_FROM)*('Dvd Calendar'!$V$2008&lt;=GRID_TO)*('Dvd Calendar'!$V$2008&gt;VAL_DATE)=0,"",'Dvd Calendar'!$V$2008*1000000000+ISNUMBER('Dvd Calendar'!$V$2009)*100000000+0*10000000+(N('Dvd Calendar'!$V$2007)&gt;0)*(N('Dvd Calendar'!$V$2007)&lt;=VAL_SERIAL)*1000000+41*1000+58))</f>
        <v/>
      </c>
      <c r="GK200" s="121">
        <f>IF(N('Dvd Calendar'!$W$2008)=0,"",IF(('Dvd Calendar'!$W$2008&gt;=GRID_FROM)*('Dvd Calendar'!$W$2008&lt;=GRID_TO)*('Dvd Calendar'!$W$2008&gt;VAL_DATE)=0,"",'Dvd Calendar'!$W$2008*1000000000+ISNUMBER('Dvd Calendar'!$W$2009)*100000000+0*10000000+(N('Dvd Calendar'!$W$2007)&gt;0)*(N('Dvd Calendar'!$W$2007)&lt;=VAL_SERIAL)*1000000+41*1000+59))</f>
        <v/>
      </c>
      <c r="GL200" s="121">
        <f>IF(N('Dvd Calendar'!$X$2008)=0,"",IF(('Dvd Calendar'!$X$2008&gt;=GRID_FROM)*('Dvd Calendar'!$X$2008&lt;=GRID_TO)*('Dvd Calendar'!$X$2008&gt;VAL_DATE)=0,"",'Dvd Calendar'!$X$2008*1000000000+ISNUMBER('Dvd Calendar'!$X$2009)*100000000+0*10000000+(N('Dvd Calendar'!$X$2007)&gt;0)*(N('Dvd Calendar'!$X$2007)&lt;=VAL_SERIAL)*1000000+41*1000+60))</f>
        <v/>
      </c>
      <c r="GM200" s="121">
        <f>IF(N('Dvd Calendar'!$Y$2008)=0,"",IF(('Dvd Calendar'!$Y$2008&gt;=GRID_FROM)*('Dvd Calendar'!$Y$2008&lt;=GRID_TO)*('Dvd Calendar'!$Y$2008&gt;VAL_DATE)=0,"",'Dvd Calendar'!$Y$2008*1000000000+ISNUMBER('Dvd Calendar'!$Y$2009)*100000000+0*10000000+(N('Dvd Calendar'!$Y$2007)&gt;0)*(N('Dvd Calendar'!$Y$2007)&lt;=VAL_SERIAL)*1000000+41*1000+61))</f>
        <v/>
      </c>
      <c r="GN200" s="121">
        <f>IF(N('Dvd Calendar'!$Z$2008)=0,"",IF(('Dvd Calendar'!$Z$2008&gt;=GRID_FROM)*('Dvd Calendar'!$Z$2008&lt;=GRID_TO)*('Dvd Calendar'!$Z$2008&gt;VAL_DATE)=0,"",'Dvd Calendar'!$Z$2008*1000000000+ISNUMBER('Dvd Calendar'!$Z$2009)*100000000+0*10000000+(N('Dvd Calendar'!$Z$2007)&gt;0)*(N('Dvd Calendar'!$Z$2007)&lt;=VAL_SERIAL)*1000000+41*1000+62))</f>
        <v/>
      </c>
      <c r="GO200" s="121">
        <f>IF(N('Dvd Calendar'!$AA$2008)=0,"",IF(('Dvd Calendar'!$AA$2008&gt;=GRID_FROM)*('Dvd Calendar'!$AA$2008&lt;=GRID_TO)*('Dvd Calendar'!$AA$2008&gt;VAL_DATE)=0,"",'Dvd Calendar'!$AA$2008*1000000000+ISNUMBER('Dvd Calendar'!$AA$2009)*100000000+0*10000000+(N('Dvd Calendar'!$AA$2007)&gt;0)*(N('Dvd Calendar'!$AA$2007)&lt;=VAL_SERIAL)*1000000+41*1000+63))</f>
        <v/>
      </c>
      <c r="GP200" s="121">
        <f>IF(N('Dvd Calendar'!$AB$2008)=0,"",IF(('Dvd Calendar'!$AB$2008&gt;=GRID_FROM)*('Dvd Calendar'!$AB$2008&lt;=GRID_TO)*('Dvd Calendar'!$AB$2008&gt;VAL_DATE)=0,"",'Dvd Calendar'!$AB$2008*1000000000+ISNUMBER('Dvd Calendar'!$AB$2009)*100000000+0*10000000+(N('Dvd Calendar'!$AB$2007)&gt;0)*(N('Dvd Calendar'!$AB$2007)&lt;=VAL_SERIAL)*1000000+41*1000+64))</f>
        <v/>
      </c>
      <c r="GQ200" s="121">
        <f>IF(N('Dvd Calendar'!$AC$2008)=0,"",IF(('Dvd Calendar'!$AC$2008&gt;=GRID_FROM)*('Dvd Calendar'!$AC$2008&lt;=GRID_TO)*('Dvd Calendar'!$AC$2008&gt;VAL_DATE)=0,"",'Dvd Calendar'!$AC$2008*1000000000+ISNUMBER('Dvd Calendar'!$AC$2009)*100000000+0*10000000+(N('Dvd Calendar'!$AC$2007)&gt;0)*(N('Dvd Calendar'!$AC$2007)&lt;=VAL_SERIAL)*1000000+41*1000+65))</f>
        <v/>
      </c>
    </row>
    <row r="201">
      <c r="B201" s="2">
        <f>IF(HSCEI!$C$48="","",HSCEI!$C$48)</f>
        <v/>
      </c>
      <c r="C201" s="161">
        <f>IF(EE201="","",IF(ISNUMBER('Dvd Calendar'!$E$2015)=FALSE,"",IF((('Dvd Calendar'!$E$2017=TYPE1)*(TYPE1&lt;&gt;"")+('Dvd Calendar'!$E$2017=TYPE2)*(TYPE2&lt;&gt;"")+('Dvd Calendar'!$E$2017=TYPE3)*(TYPE3&lt;&gt;"")+('Dvd Calendar'!$E$2017=TYPE4)*(TYPE4&lt;&gt;"")+('Dvd Calendar'!$E$2017=SPECIAL_LBL)*(INC_SPECIALS="Y"))=0,"",'Dvd Calendar'!$E$2015)))</f>
        <v/>
      </c>
      <c r="D201" s="161">
        <f>IF(EF201="","",IF(ISNUMBER('Dvd Calendar'!$F$2015)=FALSE,"",IF((('Dvd Calendar'!$F$2017=TYPE1)*(TYPE1&lt;&gt;"")+('Dvd Calendar'!$F$2017=TYPE2)*(TYPE2&lt;&gt;"")+('Dvd Calendar'!$F$2017=TYPE3)*(TYPE3&lt;&gt;"")+('Dvd Calendar'!$F$2017=TYPE4)*(TYPE4&lt;&gt;"")+('Dvd Calendar'!$F$2017=SPECIAL_LBL)*(INC_SPECIALS="Y"))=0,"",'Dvd Calendar'!$F$2015)))</f>
        <v/>
      </c>
      <c r="E201" s="161">
        <f>IF(EG201="","",IF(ISNUMBER('Dvd Calendar'!$G$2015)=FALSE,"",IF((('Dvd Calendar'!$G$2017=TYPE1)*(TYPE1&lt;&gt;"")+('Dvd Calendar'!$G$2017=TYPE2)*(TYPE2&lt;&gt;"")+('Dvd Calendar'!$G$2017=TYPE3)*(TYPE3&lt;&gt;"")+('Dvd Calendar'!$G$2017=TYPE4)*(TYPE4&lt;&gt;"")+('Dvd Calendar'!$G$2017=SPECIAL_LBL)*(INC_SPECIALS="Y"))=0,"",'Dvd Calendar'!$G$2015)))</f>
        <v/>
      </c>
      <c r="F201" s="161">
        <f>IF(EH201="","",IF(ISNUMBER('Dvd Calendar'!$H$2015)=FALSE,"",IF((('Dvd Calendar'!$H$2017=TYPE1)*(TYPE1&lt;&gt;"")+('Dvd Calendar'!$H$2017=TYPE2)*(TYPE2&lt;&gt;"")+('Dvd Calendar'!$H$2017=TYPE3)*(TYPE3&lt;&gt;"")+('Dvd Calendar'!$H$2017=TYPE4)*(TYPE4&lt;&gt;"")+('Dvd Calendar'!$H$2017=SPECIAL_LBL)*(INC_SPECIALS="Y"))=0,"",'Dvd Calendar'!$H$2015)))</f>
        <v/>
      </c>
      <c r="G201" s="161">
        <f>IF(EI201="","",IF(ISNUMBER('Dvd Calendar'!$I$2015)=FALSE,"",IF((('Dvd Calendar'!$I$2017=TYPE1)*(TYPE1&lt;&gt;"")+('Dvd Calendar'!$I$2017=TYPE2)*(TYPE2&lt;&gt;"")+('Dvd Calendar'!$I$2017=TYPE3)*(TYPE3&lt;&gt;"")+('Dvd Calendar'!$I$2017=TYPE4)*(TYPE4&lt;&gt;"")+('Dvd Calendar'!$I$2017=SPECIAL_LBL)*(INC_SPECIALS="Y"))=0,"",'Dvd Calendar'!$I$2015)))</f>
        <v/>
      </c>
      <c r="H201" s="161">
        <f>IF(EJ201="","",IF(ISNUMBER('Dvd Calendar'!$J$2015)=FALSE,"",IF((('Dvd Calendar'!$J$2017=TYPE1)*(TYPE1&lt;&gt;"")+('Dvd Calendar'!$J$2017=TYPE2)*(TYPE2&lt;&gt;"")+('Dvd Calendar'!$J$2017=TYPE3)*(TYPE3&lt;&gt;"")+('Dvd Calendar'!$J$2017=TYPE4)*(TYPE4&lt;&gt;"")+('Dvd Calendar'!$J$2017=SPECIAL_LBL)*(INC_SPECIALS="Y"))=0,"",'Dvd Calendar'!$J$2015)))</f>
        <v/>
      </c>
      <c r="I201" s="161">
        <f>IF(EK201="","",IF(ISNUMBER('Dvd Calendar'!$K$2015)=FALSE,"",IF((('Dvd Calendar'!$K$2017=TYPE1)*(TYPE1&lt;&gt;"")+('Dvd Calendar'!$K$2017=TYPE2)*(TYPE2&lt;&gt;"")+('Dvd Calendar'!$K$2017=TYPE3)*(TYPE3&lt;&gt;"")+('Dvd Calendar'!$K$2017=TYPE4)*(TYPE4&lt;&gt;"")+('Dvd Calendar'!$K$2017=SPECIAL_LBL)*(INC_SPECIALS="Y"))=0,"",'Dvd Calendar'!$K$2015)))</f>
        <v/>
      </c>
      <c r="J201" s="161">
        <f>IF(EL201="","",IF(ISNUMBER('Dvd Calendar'!$L$2015)=FALSE,"",IF((('Dvd Calendar'!$L$2017=TYPE1)*(TYPE1&lt;&gt;"")+('Dvd Calendar'!$L$2017=TYPE2)*(TYPE2&lt;&gt;"")+('Dvd Calendar'!$L$2017=TYPE3)*(TYPE3&lt;&gt;"")+('Dvd Calendar'!$L$2017=TYPE4)*(TYPE4&lt;&gt;"")+('Dvd Calendar'!$L$2017=SPECIAL_LBL)*(INC_SPECIALS="Y"))=0,"",'Dvd Calendar'!$L$2015)))</f>
        <v/>
      </c>
      <c r="K201" s="161">
        <f>IF(EM201="","",IF(ISNUMBER('Dvd Calendar'!$M$2015)=FALSE,"",IF((('Dvd Calendar'!$M$2017=TYPE1)*(TYPE1&lt;&gt;"")+('Dvd Calendar'!$M$2017=TYPE2)*(TYPE2&lt;&gt;"")+('Dvd Calendar'!$M$2017=TYPE3)*(TYPE3&lt;&gt;"")+('Dvd Calendar'!$M$2017=TYPE4)*(TYPE4&lt;&gt;"")+('Dvd Calendar'!$M$2017=SPECIAL_LBL)*(INC_SPECIALS="Y"))=0,"",'Dvd Calendar'!$M$2015)))</f>
        <v/>
      </c>
      <c r="L201" s="161">
        <f>IF(EN201="","",IF(ISNUMBER('Dvd Calendar'!$N$2015)=FALSE,"",IF((('Dvd Calendar'!$N$2017=TYPE1)*(TYPE1&lt;&gt;"")+('Dvd Calendar'!$N$2017=TYPE2)*(TYPE2&lt;&gt;"")+('Dvd Calendar'!$N$2017=TYPE3)*(TYPE3&lt;&gt;"")+('Dvd Calendar'!$N$2017=TYPE4)*(TYPE4&lt;&gt;"")+('Dvd Calendar'!$N$2017=SPECIAL_LBL)*(INC_SPECIALS="Y"))=0,"",'Dvd Calendar'!$N$2015)))</f>
        <v/>
      </c>
      <c r="M201" s="161">
        <f>IF(EO201="","",IF(ISNUMBER('Dvd Calendar'!$O$2015)=FALSE,"",IF((('Dvd Calendar'!$O$2017=TYPE1)*(TYPE1&lt;&gt;"")+('Dvd Calendar'!$O$2017=TYPE2)*(TYPE2&lt;&gt;"")+('Dvd Calendar'!$O$2017=TYPE3)*(TYPE3&lt;&gt;"")+('Dvd Calendar'!$O$2017=TYPE4)*(TYPE4&lt;&gt;"")+('Dvd Calendar'!$O$2017=SPECIAL_LBL)*(INC_SPECIALS="Y"))=0,"",'Dvd Calendar'!$O$2015)))</f>
        <v/>
      </c>
      <c r="N201" s="161">
        <f>IF(EP201="","",IF(ISNUMBER('Dvd Calendar'!$P$2015)=FALSE,"",IF((('Dvd Calendar'!$P$2017=TYPE1)*(TYPE1&lt;&gt;"")+('Dvd Calendar'!$P$2017=TYPE2)*(TYPE2&lt;&gt;"")+('Dvd Calendar'!$P$2017=TYPE3)*(TYPE3&lt;&gt;"")+('Dvd Calendar'!$P$2017=TYPE4)*(TYPE4&lt;&gt;"")+('Dvd Calendar'!$P$2017=SPECIAL_LBL)*(INC_SPECIALS="Y"))=0,"",'Dvd Calendar'!$P$2015)))</f>
        <v/>
      </c>
      <c r="O201" s="161">
        <f>IF(EQ201="","",IF(ISNUMBER('Dvd Calendar'!$Q$2015)=FALSE,"",IF((('Dvd Calendar'!$Q$2017=TYPE1)*(TYPE1&lt;&gt;"")+('Dvd Calendar'!$Q$2017=TYPE2)*(TYPE2&lt;&gt;"")+('Dvd Calendar'!$Q$2017=TYPE3)*(TYPE3&lt;&gt;"")+('Dvd Calendar'!$Q$2017=TYPE4)*(TYPE4&lt;&gt;"")+('Dvd Calendar'!$Q$2017=SPECIAL_LBL)*(INC_SPECIALS="Y"))=0,"",'Dvd Calendar'!$Q$2015)))</f>
        <v/>
      </c>
      <c r="P201" s="161">
        <f>IF(ER201="","",IF(ISNUMBER('Dvd Calendar'!$R$2015)=FALSE,"",IF((('Dvd Calendar'!$R$2017=TYPE1)*(TYPE1&lt;&gt;"")+('Dvd Calendar'!$R$2017=TYPE2)*(TYPE2&lt;&gt;"")+('Dvd Calendar'!$R$2017=TYPE3)*(TYPE3&lt;&gt;"")+('Dvd Calendar'!$R$2017=TYPE4)*(TYPE4&lt;&gt;"")+('Dvd Calendar'!$R$2017=SPECIAL_LBL)*(INC_SPECIALS="Y"))=0,"",'Dvd Calendar'!$R$2015)))</f>
        <v/>
      </c>
      <c r="Q201" s="161">
        <f>IF(ES201="","",IF(ISNUMBER('Dvd Calendar'!$S$2015)=FALSE,"",IF((('Dvd Calendar'!$S$2017=TYPE1)*(TYPE1&lt;&gt;"")+('Dvd Calendar'!$S$2017=TYPE2)*(TYPE2&lt;&gt;"")+('Dvd Calendar'!$S$2017=TYPE3)*(TYPE3&lt;&gt;"")+('Dvd Calendar'!$S$2017=TYPE4)*(TYPE4&lt;&gt;"")+('Dvd Calendar'!$S$2017=SPECIAL_LBL)*(INC_SPECIALS="Y"))=0,"",'Dvd Calendar'!$S$2015)))</f>
        <v/>
      </c>
      <c r="R201" s="161">
        <f>IF(ET201="","",IF(ISNUMBER('Dvd Calendar'!$T$2015)=FALSE,"",IF((('Dvd Calendar'!$T$2017=TYPE1)*(TYPE1&lt;&gt;"")+('Dvd Calendar'!$T$2017=TYPE2)*(TYPE2&lt;&gt;"")+('Dvd Calendar'!$T$2017=TYPE3)*(TYPE3&lt;&gt;"")+('Dvd Calendar'!$T$2017=TYPE4)*(TYPE4&lt;&gt;"")+('Dvd Calendar'!$T$2017=SPECIAL_LBL)*(INC_SPECIALS="Y"))=0,"",'Dvd Calendar'!$T$2015)))</f>
        <v/>
      </c>
      <c r="S201" s="161">
        <f>IF(EU201="","",IF(ISNUMBER('Dvd Calendar'!$U$2015)=FALSE,"",IF((('Dvd Calendar'!$U$2017=TYPE1)*(TYPE1&lt;&gt;"")+('Dvd Calendar'!$U$2017=TYPE2)*(TYPE2&lt;&gt;"")+('Dvd Calendar'!$U$2017=TYPE3)*(TYPE3&lt;&gt;"")+('Dvd Calendar'!$U$2017=TYPE4)*(TYPE4&lt;&gt;"")+('Dvd Calendar'!$U$2017=SPECIAL_LBL)*(INC_SPECIALS="Y"))=0,"",'Dvd Calendar'!$U$2015)))</f>
        <v/>
      </c>
      <c r="T201" s="161">
        <f>IF(EV201="","",IF(ISNUMBER('Dvd Calendar'!$V$2015)=FALSE,"",IF((('Dvd Calendar'!$V$2017=TYPE1)*(TYPE1&lt;&gt;"")+('Dvd Calendar'!$V$2017=TYPE2)*(TYPE2&lt;&gt;"")+('Dvd Calendar'!$V$2017=TYPE3)*(TYPE3&lt;&gt;"")+('Dvd Calendar'!$V$2017=TYPE4)*(TYPE4&lt;&gt;"")+('Dvd Calendar'!$V$2017=SPECIAL_LBL)*(INC_SPECIALS="Y"))=0,"",'Dvd Calendar'!$V$2015)))</f>
        <v/>
      </c>
      <c r="U201" s="161">
        <f>IF(EW201="","",IF(ISNUMBER('Dvd Calendar'!$W$2015)=FALSE,"",IF((('Dvd Calendar'!$W$2017=TYPE1)*(TYPE1&lt;&gt;"")+('Dvd Calendar'!$W$2017=TYPE2)*(TYPE2&lt;&gt;"")+('Dvd Calendar'!$W$2017=TYPE3)*(TYPE3&lt;&gt;"")+('Dvd Calendar'!$W$2017=TYPE4)*(TYPE4&lt;&gt;"")+('Dvd Calendar'!$W$2017=SPECIAL_LBL)*(INC_SPECIALS="Y"))=0,"",'Dvd Calendar'!$W$2015)))</f>
        <v/>
      </c>
      <c r="V201" s="161">
        <f>IF(EX201="","",IF(ISNUMBER('Dvd Calendar'!$X$2015)=FALSE,"",IF((('Dvd Calendar'!$X$2017=TYPE1)*(TYPE1&lt;&gt;"")+('Dvd Calendar'!$X$2017=TYPE2)*(TYPE2&lt;&gt;"")+('Dvd Calendar'!$X$2017=TYPE3)*(TYPE3&lt;&gt;"")+('Dvd Calendar'!$X$2017=TYPE4)*(TYPE4&lt;&gt;"")+('Dvd Calendar'!$X$2017=SPECIAL_LBL)*(INC_SPECIALS="Y"))=0,"",'Dvd Calendar'!$X$2015)))</f>
        <v/>
      </c>
      <c r="W201" s="161">
        <f>IF(EY201="","",IF(ISNUMBER('Dvd Calendar'!$Y$2015)=FALSE,"",IF((('Dvd Calendar'!$Y$2017=TYPE1)*(TYPE1&lt;&gt;"")+('Dvd Calendar'!$Y$2017=TYPE2)*(TYPE2&lt;&gt;"")+('Dvd Calendar'!$Y$2017=TYPE3)*(TYPE3&lt;&gt;"")+('Dvd Calendar'!$Y$2017=TYPE4)*(TYPE4&lt;&gt;"")+('Dvd Calendar'!$Y$2017=SPECIAL_LBL)*(INC_SPECIALS="Y"))=0,"",'Dvd Calendar'!$Y$2015)))</f>
        <v/>
      </c>
      <c r="X201" s="161">
        <f>IF(EZ201="","",IF(ISNUMBER('Dvd Calendar'!$Z$2015)=FALSE,"",IF((('Dvd Calendar'!$Z$2017=TYPE1)*(TYPE1&lt;&gt;"")+('Dvd Calendar'!$Z$2017=TYPE2)*(TYPE2&lt;&gt;"")+('Dvd Calendar'!$Z$2017=TYPE3)*(TYPE3&lt;&gt;"")+('Dvd Calendar'!$Z$2017=TYPE4)*(TYPE4&lt;&gt;"")+('Dvd Calendar'!$Z$2017=SPECIAL_LBL)*(INC_SPECIALS="Y"))=0,"",'Dvd Calendar'!$Z$2015)))</f>
        <v/>
      </c>
      <c r="Y201" s="161">
        <f>IF(FA201="","",IF(ISNUMBER('Dvd Calendar'!$AA$2015)=FALSE,"",IF((('Dvd Calendar'!$AA$2017=TYPE1)*(TYPE1&lt;&gt;"")+('Dvd Calendar'!$AA$2017=TYPE2)*(TYPE2&lt;&gt;"")+('Dvd Calendar'!$AA$2017=TYPE3)*(TYPE3&lt;&gt;"")+('Dvd Calendar'!$AA$2017=TYPE4)*(TYPE4&lt;&gt;"")+('Dvd Calendar'!$AA$2017=SPECIAL_LBL)*(INC_SPECIALS="Y"))=0,"",'Dvd Calendar'!$AA$2015)))</f>
        <v/>
      </c>
      <c r="Z201" s="161">
        <f>IF(FB201="","",IF(ISNUMBER('Dvd Calendar'!$AB$2015)=FALSE,"",IF((('Dvd Calendar'!$AB$2017=TYPE1)*(TYPE1&lt;&gt;"")+('Dvd Calendar'!$AB$2017=TYPE2)*(TYPE2&lt;&gt;"")+('Dvd Calendar'!$AB$2017=TYPE3)*(TYPE3&lt;&gt;"")+('Dvd Calendar'!$AB$2017=TYPE4)*(TYPE4&lt;&gt;"")+('Dvd Calendar'!$AB$2017=SPECIAL_LBL)*(INC_SPECIALS="Y"))=0,"",'Dvd Calendar'!$AB$2015)))</f>
        <v/>
      </c>
      <c r="AA201" s="161">
        <f>IF(FC201="","",IF(ISNUMBER('Dvd Calendar'!$AC$2015)=FALSE,"",IF((('Dvd Calendar'!$AC$2017=TYPE1)*(TYPE1&lt;&gt;"")+('Dvd Calendar'!$AC$2017=TYPE2)*(TYPE2&lt;&gt;"")+('Dvd Calendar'!$AC$2017=TYPE3)*(TYPE3&lt;&gt;"")+('Dvd Calendar'!$AC$2017=TYPE4)*(TYPE4&lt;&gt;"")+('Dvd Calendar'!$AC$2017=SPECIAL_LBL)*(INC_SPECIALS="Y"))=0,"",'Dvd Calendar'!$AC$2015)))</f>
        <v/>
      </c>
      <c r="AB201" s="161">
        <f>IF(FD201="","",IF(ISNUMBER('Dvd Calendar'!$AD$2015)=FALSE,"",IF((('Dvd Calendar'!$AD$2017=TYPE1)*(TYPE1&lt;&gt;"")+('Dvd Calendar'!$AD$2017=TYPE2)*(TYPE2&lt;&gt;"")+('Dvd Calendar'!$AD$2017=TYPE3)*(TYPE3&lt;&gt;"")+('Dvd Calendar'!$AD$2017=TYPE4)*(TYPE4&lt;&gt;"")+('Dvd Calendar'!$AD$2017=SPECIAL_LBL)*(INC_SPECIALS="Y"))=0,"",'Dvd Calendar'!$AD$2015)))</f>
        <v/>
      </c>
      <c r="AC201" s="161">
        <f>IF(FE201="","",IF(ISNUMBER('Dvd Calendar'!$AE$2015)=FALSE,"",IF((('Dvd Calendar'!$AE$2017=TYPE1)*(TYPE1&lt;&gt;"")+('Dvd Calendar'!$AE$2017=TYPE2)*(TYPE2&lt;&gt;"")+('Dvd Calendar'!$AE$2017=TYPE3)*(TYPE3&lt;&gt;"")+('Dvd Calendar'!$AE$2017=TYPE4)*(TYPE4&lt;&gt;"")+('Dvd Calendar'!$AE$2017=SPECIAL_LBL)*(INC_SPECIALS="Y"))=0,"",'Dvd Calendar'!$AE$2015)))</f>
        <v/>
      </c>
      <c r="AD201" s="161">
        <f>IF(FF201="","",IF(ISNUMBER('Dvd Calendar'!$AF$2015)=FALSE,"",IF((('Dvd Calendar'!$AF$2017=TYPE1)*(TYPE1&lt;&gt;"")+('Dvd Calendar'!$AF$2017=TYPE2)*(TYPE2&lt;&gt;"")+('Dvd Calendar'!$AF$2017=TYPE3)*(TYPE3&lt;&gt;"")+('Dvd Calendar'!$AF$2017=TYPE4)*(TYPE4&lt;&gt;"")+('Dvd Calendar'!$AF$2017=SPECIAL_LBL)*(INC_SPECIALS="Y"))=0,"",'Dvd Calendar'!$AF$2015)))</f>
        <v/>
      </c>
      <c r="AE201" s="161">
        <f>IF(FG201="","",IF(ISNUMBER('Dvd Calendar'!$AG$2015)=FALSE,"",IF((('Dvd Calendar'!$AG$2017=TYPE1)*(TYPE1&lt;&gt;"")+('Dvd Calendar'!$AG$2017=TYPE2)*(TYPE2&lt;&gt;"")+('Dvd Calendar'!$AG$2017=TYPE3)*(TYPE3&lt;&gt;"")+('Dvd Calendar'!$AG$2017=TYPE4)*(TYPE4&lt;&gt;"")+('Dvd Calendar'!$AG$2017=SPECIAL_LBL)*(INC_SPECIALS="Y"))=0,"",'Dvd Calendar'!$AG$2015)))</f>
        <v/>
      </c>
      <c r="AF201" s="161">
        <f>IF(FH201="","",IF(ISNUMBER('Dvd Calendar'!$AH$2015)=FALSE,"",IF((('Dvd Calendar'!$AH$2017=TYPE1)*(TYPE1&lt;&gt;"")+('Dvd Calendar'!$AH$2017=TYPE2)*(TYPE2&lt;&gt;"")+('Dvd Calendar'!$AH$2017=TYPE3)*(TYPE3&lt;&gt;"")+('Dvd Calendar'!$AH$2017=TYPE4)*(TYPE4&lt;&gt;"")+('Dvd Calendar'!$AH$2017=SPECIAL_LBL)*(INC_SPECIALS="Y"))=0,"",'Dvd Calendar'!$AH$2015)))</f>
        <v/>
      </c>
      <c r="AG201" s="161">
        <f>IF(FI201="","",IF(ISNUMBER('Dvd Calendar'!$AI$2015)=FALSE,"",IF((('Dvd Calendar'!$AI$2017=TYPE1)*(TYPE1&lt;&gt;"")+('Dvd Calendar'!$AI$2017=TYPE2)*(TYPE2&lt;&gt;"")+('Dvd Calendar'!$AI$2017=TYPE3)*(TYPE3&lt;&gt;"")+('Dvd Calendar'!$AI$2017=TYPE4)*(TYPE4&lt;&gt;"")+('Dvd Calendar'!$AI$2017=SPECIAL_LBL)*(INC_SPECIALS="Y"))=0,"",'Dvd Calendar'!$AI$2015)))</f>
        <v/>
      </c>
      <c r="AH201" s="161">
        <f>IF(FJ201="","",IF(ISNUMBER('Dvd Calendar'!$AJ$2015)=FALSE,"",IF((('Dvd Calendar'!$AJ$2017=TYPE1)*(TYPE1&lt;&gt;"")+('Dvd Calendar'!$AJ$2017=TYPE2)*(TYPE2&lt;&gt;"")+('Dvd Calendar'!$AJ$2017=TYPE3)*(TYPE3&lt;&gt;"")+('Dvd Calendar'!$AJ$2017=TYPE4)*(TYPE4&lt;&gt;"")+('Dvd Calendar'!$AJ$2017=SPECIAL_LBL)*(INC_SPECIALS="Y"))=0,"",'Dvd Calendar'!$AJ$2015)))</f>
        <v/>
      </c>
      <c r="AI201" s="161">
        <f>IF(FK201="","",IF(ISNUMBER('Dvd Calendar'!$AK$2015)=FALSE,"",IF((('Dvd Calendar'!$AK$2017=TYPE1)*(TYPE1&lt;&gt;"")+('Dvd Calendar'!$AK$2017=TYPE2)*(TYPE2&lt;&gt;"")+('Dvd Calendar'!$AK$2017=TYPE3)*(TYPE3&lt;&gt;"")+('Dvd Calendar'!$AK$2017=TYPE4)*(TYPE4&lt;&gt;"")+('Dvd Calendar'!$AK$2017=SPECIAL_LBL)*(INC_SPECIALS="Y"))=0,"",'Dvd Calendar'!$AK$2015)))</f>
        <v/>
      </c>
      <c r="AJ201" s="161">
        <f>IF(FL201="","",IF(ISNUMBER('Dvd Calendar'!$AL$2015)=FALSE,"",IF((('Dvd Calendar'!$AL$2017=TYPE1)*(TYPE1&lt;&gt;"")+('Dvd Calendar'!$AL$2017=TYPE2)*(TYPE2&lt;&gt;"")+('Dvd Calendar'!$AL$2017=TYPE3)*(TYPE3&lt;&gt;"")+('Dvd Calendar'!$AL$2017=TYPE4)*(TYPE4&lt;&gt;"")+('Dvd Calendar'!$AL$2017=SPECIAL_LBL)*(INC_SPECIALS="Y"))=0,"",'Dvd Calendar'!$AL$2015)))</f>
        <v/>
      </c>
      <c r="AK201" s="161">
        <f>IF(FM201="","",IF(ISNUMBER('Dvd Calendar'!$AM$2015)=FALSE,"",IF((('Dvd Calendar'!$AM$2017=TYPE1)*(TYPE1&lt;&gt;"")+('Dvd Calendar'!$AM$2017=TYPE2)*(TYPE2&lt;&gt;"")+('Dvd Calendar'!$AM$2017=TYPE3)*(TYPE3&lt;&gt;"")+('Dvd Calendar'!$AM$2017=TYPE4)*(TYPE4&lt;&gt;"")+('Dvd Calendar'!$AM$2017=SPECIAL_LBL)*(INC_SPECIALS="Y"))=0,"",'Dvd Calendar'!$AM$2015)))</f>
        <v/>
      </c>
      <c r="AL201" s="161">
        <f>IF(FN201="","",IF(ISNUMBER('Dvd Calendar'!$AN$2015)=FALSE,"",IF((('Dvd Calendar'!$AN$2017=TYPE1)*(TYPE1&lt;&gt;"")+('Dvd Calendar'!$AN$2017=TYPE2)*(TYPE2&lt;&gt;"")+('Dvd Calendar'!$AN$2017=TYPE3)*(TYPE3&lt;&gt;"")+('Dvd Calendar'!$AN$2017=TYPE4)*(TYPE4&lt;&gt;"")+('Dvd Calendar'!$AN$2017=SPECIAL_LBL)*(INC_SPECIALS="Y"))=0,"",'Dvd Calendar'!$AN$2015)))</f>
        <v/>
      </c>
      <c r="AM201" s="161">
        <f>IF(FO201="","",IF(ISNUMBER('Dvd Calendar'!$AO$2015)=FALSE,"",IF((('Dvd Calendar'!$AO$2017=TYPE1)*(TYPE1&lt;&gt;"")+('Dvd Calendar'!$AO$2017=TYPE2)*(TYPE2&lt;&gt;"")+('Dvd Calendar'!$AO$2017=TYPE3)*(TYPE3&lt;&gt;"")+('Dvd Calendar'!$AO$2017=TYPE4)*(TYPE4&lt;&gt;"")+('Dvd Calendar'!$AO$2017=SPECIAL_LBL)*(INC_SPECIALS="Y"))=0,"",'Dvd Calendar'!$AO$2015)))</f>
        <v/>
      </c>
      <c r="AN201" s="161">
        <f>IF(FP201="","",IF(ISNUMBER('Dvd Calendar'!$AP$2015)=FALSE,"",IF((('Dvd Calendar'!$AP$2017=TYPE1)*(TYPE1&lt;&gt;"")+('Dvd Calendar'!$AP$2017=TYPE2)*(TYPE2&lt;&gt;"")+('Dvd Calendar'!$AP$2017=TYPE3)*(TYPE3&lt;&gt;"")+('Dvd Calendar'!$AP$2017=TYPE4)*(TYPE4&lt;&gt;"")+('Dvd Calendar'!$AP$2017=SPECIAL_LBL)*(INC_SPECIALS="Y"))=0,"",'Dvd Calendar'!$AP$2015)))</f>
        <v/>
      </c>
      <c r="AO201" s="161">
        <f>IF(FQ201="","",IF(ISNUMBER('Dvd Calendar'!$AQ$2015)=FALSE,"",IF((('Dvd Calendar'!$AQ$2017=TYPE1)*(TYPE1&lt;&gt;"")+('Dvd Calendar'!$AQ$2017=TYPE2)*(TYPE2&lt;&gt;"")+('Dvd Calendar'!$AQ$2017=TYPE3)*(TYPE3&lt;&gt;"")+('Dvd Calendar'!$AQ$2017=TYPE4)*(TYPE4&lt;&gt;"")+('Dvd Calendar'!$AQ$2017=SPECIAL_LBL)*(INC_SPECIALS="Y"))=0,"",'Dvd Calendar'!$AQ$2015)))</f>
        <v/>
      </c>
      <c r="AP201" s="161">
        <f>IF(FR201="","",IF(ISNUMBER('Dvd Calendar'!$AR$2015)=FALSE,"",IF((('Dvd Calendar'!$AR$2017=TYPE1)*(TYPE1&lt;&gt;"")+('Dvd Calendar'!$AR$2017=TYPE2)*(TYPE2&lt;&gt;"")+('Dvd Calendar'!$AR$2017=TYPE3)*(TYPE3&lt;&gt;"")+('Dvd Calendar'!$AR$2017=TYPE4)*(TYPE4&lt;&gt;"")+('Dvd Calendar'!$AR$2017=SPECIAL_LBL)*(INC_SPECIALS="Y"))=0,"",'Dvd Calendar'!$AR$2015)))</f>
        <v/>
      </c>
      <c r="AQ201" s="161">
        <f>IF(FS201="","",IF(ISNUMBER('Dvd Calendar'!$E$2020)=FALSE,"",'Dvd Calendar'!$E$2020))</f>
        <v/>
      </c>
      <c r="AR201" s="161">
        <f>IF(FT201="","",IF(ISNUMBER('Dvd Calendar'!$F$2020)=FALSE,"",'Dvd Calendar'!$F$2020))</f>
        <v/>
      </c>
      <c r="AS201" s="161">
        <f>IF(FU201="","",IF(ISNUMBER('Dvd Calendar'!$G$2020)=FALSE,"",'Dvd Calendar'!$G$2020))</f>
        <v/>
      </c>
      <c r="AT201" s="161">
        <f>IF(FV201="","",IF(ISNUMBER('Dvd Calendar'!$H$2020)=FALSE,"",'Dvd Calendar'!$H$2020))</f>
        <v/>
      </c>
      <c r="AU201" s="161">
        <f>IF(FW201="","",IF(ISNUMBER('Dvd Calendar'!$I$2020)=FALSE,"",'Dvd Calendar'!$I$2020))</f>
        <v/>
      </c>
      <c r="AV201" s="161">
        <f>IF(FX201="","",IF(ISNUMBER('Dvd Calendar'!$J$2020)=FALSE,"",'Dvd Calendar'!$J$2020))</f>
        <v/>
      </c>
      <c r="AW201" s="161">
        <f>IF(FY201="","",IF(ISNUMBER('Dvd Calendar'!$K$2020)=FALSE,"",'Dvd Calendar'!$K$2020))</f>
        <v/>
      </c>
      <c r="AX201" s="161">
        <f>IF(FZ201="","",IF(ISNUMBER('Dvd Calendar'!$L$2020)=FALSE,"",'Dvd Calendar'!$L$2020))</f>
        <v/>
      </c>
      <c r="AY201" s="161">
        <f>IF(GA201="","",IF(ISNUMBER('Dvd Calendar'!$M$2020)=FALSE,"",'Dvd Calendar'!$M$2020))</f>
        <v/>
      </c>
      <c r="AZ201" s="161">
        <f>IF(GB201="","",IF(ISNUMBER('Dvd Calendar'!$N$2020)=FALSE,"",'Dvd Calendar'!$N$2020))</f>
        <v/>
      </c>
      <c r="BA201" s="161">
        <f>IF(GC201="","",IF(ISNUMBER('Dvd Calendar'!$O$2020)=FALSE,"",'Dvd Calendar'!$O$2020))</f>
        <v/>
      </c>
      <c r="BB201" s="161">
        <f>IF(GD201="","",IF(ISNUMBER('Dvd Calendar'!$P$2020)=FALSE,"",'Dvd Calendar'!$P$2020))</f>
        <v/>
      </c>
      <c r="BC201" s="161">
        <f>IF(GE201="","",IF(ISNUMBER('Dvd Calendar'!$Q$2020)=FALSE,"",'Dvd Calendar'!$Q$2020))</f>
        <v/>
      </c>
      <c r="BD201" s="161">
        <f>IF(GF201="","",IF(ISNUMBER('Dvd Calendar'!$R$2020)=FALSE,"",'Dvd Calendar'!$R$2020))</f>
        <v/>
      </c>
      <c r="BE201" s="161">
        <f>IF(GG201="","",IF(ISNUMBER('Dvd Calendar'!$S$2020)=FALSE,"",'Dvd Calendar'!$S$2020))</f>
        <v/>
      </c>
      <c r="BF201" s="161">
        <f>IF(GH201="","",IF(ISNUMBER('Dvd Calendar'!$T$2020)=FALSE,"",'Dvd Calendar'!$T$2020))</f>
        <v/>
      </c>
      <c r="BG201" s="161">
        <f>IF(GI201="","",IF(ISNUMBER('Dvd Calendar'!$U$2020)=FALSE,"",'Dvd Calendar'!$U$2020))</f>
        <v/>
      </c>
      <c r="BH201" s="161">
        <f>IF(GJ201="","",IF(ISNUMBER('Dvd Calendar'!$V$2020)=FALSE,"",'Dvd Calendar'!$V$2020))</f>
        <v/>
      </c>
      <c r="BI201" s="161">
        <f>IF(GK201="","",IF(ISNUMBER('Dvd Calendar'!$W$2020)=FALSE,"",'Dvd Calendar'!$W$2020))</f>
        <v/>
      </c>
      <c r="BJ201" s="161">
        <f>IF(GL201="","",IF(ISNUMBER('Dvd Calendar'!$X$2020)=FALSE,"",'Dvd Calendar'!$X$2020))</f>
        <v/>
      </c>
      <c r="BK201" s="161">
        <f>IF(GM201="","",IF(ISNUMBER('Dvd Calendar'!$Y$2020)=FALSE,"",'Dvd Calendar'!$Y$2020))</f>
        <v/>
      </c>
      <c r="BL201" s="161">
        <f>IF(GN201="","",IF(ISNUMBER('Dvd Calendar'!$Z$2020)=FALSE,"",'Dvd Calendar'!$Z$2020))</f>
        <v/>
      </c>
      <c r="BM201" s="161">
        <f>IF(GO201="","",IF(ISNUMBER('Dvd Calendar'!$AA$2020)=FALSE,"",'Dvd Calendar'!$AA$2020))</f>
        <v/>
      </c>
      <c r="BN201" s="161">
        <f>IF(GP201="","",IF(ISNUMBER('Dvd Calendar'!$AB$2020)=FALSE,"",'Dvd Calendar'!$AB$2020))</f>
        <v/>
      </c>
      <c r="BO201" s="161">
        <f>IF(GQ201="","",IF(ISNUMBER('Dvd Calendar'!$AC$2020)=FALSE,"",'Dvd Calendar'!$AC$2020))</f>
        <v/>
      </c>
      <c r="BQ201" s="161">
        <f>IF(C201="","",IFERROR(C201*HSCEI!$B$48*HSCEI!$G$48/HSCEI!$B$3,""))</f>
        <v/>
      </c>
      <c r="BR201" s="161">
        <f>IF(D201="","",IFERROR(D201*HSCEI!$B$48*HSCEI!$G$48/HSCEI!$B$3,""))</f>
        <v/>
      </c>
      <c r="BS201" s="161">
        <f>IF(E201="","",IFERROR(E201*HSCEI!$B$48*HSCEI!$G$48/HSCEI!$B$3,""))</f>
        <v/>
      </c>
      <c r="BT201" s="161">
        <f>IF(F201="","",IFERROR(F201*HSCEI!$B$48*HSCEI!$G$48/HSCEI!$B$3,""))</f>
        <v/>
      </c>
      <c r="BU201" s="161">
        <f>IF(G201="","",IFERROR(G201*HSCEI!$B$48*HSCEI!$G$48/HSCEI!$B$3,""))</f>
        <v/>
      </c>
      <c r="BV201" s="161">
        <f>IF(H201="","",IFERROR(H201*HSCEI!$B$48*HSCEI!$G$48/HSCEI!$B$3,""))</f>
        <v/>
      </c>
      <c r="BW201" s="161">
        <f>IF(I201="","",IFERROR(I201*HSCEI!$B$48*HSCEI!$G$48/HSCEI!$B$3,""))</f>
        <v/>
      </c>
      <c r="BX201" s="161">
        <f>IF(J201="","",IFERROR(J201*HSCEI!$B$48*HSCEI!$G$48/HSCEI!$B$3,""))</f>
        <v/>
      </c>
      <c r="BY201" s="161">
        <f>IF(K201="","",IFERROR(K201*HSCEI!$B$48*HSCEI!$G$48/HSCEI!$B$3,""))</f>
        <v/>
      </c>
      <c r="BZ201" s="161">
        <f>IF(L201="","",IFERROR(L201*HSCEI!$B$48*HSCEI!$G$48/HSCEI!$B$3,""))</f>
        <v/>
      </c>
      <c r="CA201" s="161">
        <f>IF(M201="","",IFERROR(M201*HSCEI!$B$48*HSCEI!$G$48/HSCEI!$B$3,""))</f>
        <v/>
      </c>
      <c r="CB201" s="161">
        <f>IF(N201="","",IFERROR(N201*HSCEI!$B$48*HSCEI!$G$48/HSCEI!$B$3,""))</f>
        <v/>
      </c>
      <c r="CC201" s="161">
        <f>IF(O201="","",IFERROR(O201*HSCEI!$B$48*HSCEI!$G$48/HSCEI!$B$3,""))</f>
        <v/>
      </c>
      <c r="CD201" s="161">
        <f>IF(P201="","",IFERROR(P201*HSCEI!$B$48*HSCEI!$G$48/HSCEI!$B$3,""))</f>
        <v/>
      </c>
      <c r="CE201" s="161">
        <f>IF(Q201="","",IFERROR(Q201*HSCEI!$B$48*HSCEI!$G$48/HSCEI!$B$3,""))</f>
        <v/>
      </c>
      <c r="CF201" s="161">
        <f>IF(R201="","",IFERROR(R201*HSCEI!$B$48*HSCEI!$G$48/HSCEI!$B$3,""))</f>
        <v/>
      </c>
      <c r="CG201" s="161">
        <f>IF(S201="","",IFERROR(S201*HSCEI!$B$48*HSCEI!$G$48/HSCEI!$B$3,""))</f>
        <v/>
      </c>
      <c r="CH201" s="161">
        <f>IF(T201="","",IFERROR(T201*HSCEI!$B$48*HSCEI!$G$48/HSCEI!$B$3,""))</f>
        <v/>
      </c>
      <c r="CI201" s="161">
        <f>IF(U201="","",IFERROR(U201*HSCEI!$B$48*HSCEI!$G$48/HSCEI!$B$3,""))</f>
        <v/>
      </c>
      <c r="CJ201" s="161">
        <f>IF(V201="","",IFERROR(V201*HSCEI!$B$48*HSCEI!$G$48/HSCEI!$B$3,""))</f>
        <v/>
      </c>
      <c r="CK201" s="161">
        <f>IF(W201="","",IFERROR(W201*HSCEI!$B$48*HSCEI!$G$48/HSCEI!$B$3,""))</f>
        <v/>
      </c>
      <c r="CL201" s="161">
        <f>IF(X201="","",IFERROR(X201*HSCEI!$B$48*HSCEI!$G$48/HSCEI!$B$3,""))</f>
        <v/>
      </c>
      <c r="CM201" s="161">
        <f>IF(Y201="","",IFERROR(Y201*HSCEI!$B$48*HSCEI!$G$48/HSCEI!$B$3,""))</f>
        <v/>
      </c>
      <c r="CN201" s="161">
        <f>IF(Z201="","",IFERROR(Z201*HSCEI!$B$48*HSCEI!$G$48/HSCEI!$B$3,""))</f>
        <v/>
      </c>
      <c r="CO201" s="161">
        <f>IF(AA201="","",IFERROR(AA201*HSCEI!$B$48*HSCEI!$G$48/HSCEI!$B$3,""))</f>
        <v/>
      </c>
      <c r="CP201" s="161">
        <f>IF(AB201="","",IFERROR(AB201*HSCEI!$B$48*HSCEI!$G$48/HSCEI!$B$3,""))</f>
        <v/>
      </c>
      <c r="CQ201" s="161">
        <f>IF(AC201="","",IFERROR(AC201*HSCEI!$B$48*HSCEI!$G$48/HSCEI!$B$3,""))</f>
        <v/>
      </c>
      <c r="CR201" s="161">
        <f>IF(AD201="","",IFERROR(AD201*HSCEI!$B$48*HSCEI!$G$48/HSCEI!$B$3,""))</f>
        <v/>
      </c>
      <c r="CS201" s="161">
        <f>IF(AE201="","",IFERROR(AE201*HSCEI!$B$48*HSCEI!$G$48/HSCEI!$B$3,""))</f>
        <v/>
      </c>
      <c r="CT201" s="161">
        <f>IF(AF201="","",IFERROR(AF201*HSCEI!$B$48*HSCEI!$G$48/HSCEI!$B$3,""))</f>
        <v/>
      </c>
      <c r="CU201" s="161">
        <f>IF(AG201="","",IFERROR(AG201*HSCEI!$B$48*HSCEI!$G$48/HSCEI!$B$3,""))</f>
        <v/>
      </c>
      <c r="CV201" s="161">
        <f>IF(AH201="","",IFERROR(AH201*HSCEI!$B$48*HSCEI!$G$48/HSCEI!$B$3,""))</f>
        <v/>
      </c>
      <c r="CW201" s="161">
        <f>IF(AI201="","",IFERROR(AI201*HSCEI!$B$48*HSCEI!$G$48/HSCEI!$B$3,""))</f>
        <v/>
      </c>
      <c r="CX201" s="161">
        <f>IF(AJ201="","",IFERROR(AJ201*HSCEI!$B$48*HSCEI!$G$48/HSCEI!$B$3,""))</f>
        <v/>
      </c>
      <c r="CY201" s="161">
        <f>IF(AK201="","",IFERROR(AK201*HSCEI!$B$48*HSCEI!$G$48/HSCEI!$B$3,""))</f>
        <v/>
      </c>
      <c r="CZ201" s="161">
        <f>IF(AL201="","",IFERROR(AL201*HSCEI!$B$48*HSCEI!$G$48/HSCEI!$B$3,""))</f>
        <v/>
      </c>
      <c r="DA201" s="161">
        <f>IF(AM201="","",IFERROR(AM201*HSCEI!$B$48*HSCEI!$G$48/HSCEI!$B$3,""))</f>
        <v/>
      </c>
      <c r="DB201" s="161">
        <f>IF(AN201="","",IFERROR(AN201*HSCEI!$B$48*HSCEI!$G$48/HSCEI!$B$3,""))</f>
        <v/>
      </c>
      <c r="DC201" s="161">
        <f>IF(AO201="","",IFERROR(AO201*HSCEI!$B$48*HSCEI!$G$48/HSCEI!$B$3,""))</f>
        <v/>
      </c>
      <c r="DD201" s="161">
        <f>IF(AP201="","",IFERROR(AP201*HSCEI!$B$48*HSCEI!$G$48/HSCEI!$B$3,""))</f>
        <v/>
      </c>
      <c r="DE201" s="161">
        <f>IF(AQ201="","",IFERROR(AQ201*HSCEI!$B$48*HSCEI!$G$48/HSCEI!$B$3,""))</f>
        <v/>
      </c>
      <c r="DF201" s="161">
        <f>IF(AR201="","",IFERROR(AR201*HSCEI!$B$48*HSCEI!$G$48/HSCEI!$B$3,""))</f>
        <v/>
      </c>
      <c r="DG201" s="161">
        <f>IF(AS201="","",IFERROR(AS201*HSCEI!$B$48*HSCEI!$G$48/HSCEI!$B$3,""))</f>
        <v/>
      </c>
      <c r="DH201" s="161">
        <f>IF(AT201="","",IFERROR(AT201*HSCEI!$B$48*HSCEI!$G$48/HSCEI!$B$3,""))</f>
        <v/>
      </c>
      <c r="DI201" s="161">
        <f>IF(AU201="","",IFERROR(AU201*HSCEI!$B$48*HSCEI!$G$48/HSCEI!$B$3,""))</f>
        <v/>
      </c>
      <c r="DJ201" s="161">
        <f>IF(AV201="","",IFERROR(AV201*HSCEI!$B$48*HSCEI!$G$48/HSCEI!$B$3,""))</f>
        <v/>
      </c>
      <c r="DK201" s="161">
        <f>IF(AW201="","",IFERROR(AW201*HSCEI!$B$48*HSCEI!$G$48/HSCEI!$B$3,""))</f>
        <v/>
      </c>
      <c r="DL201" s="161">
        <f>IF(AX201="","",IFERROR(AX201*HSCEI!$B$48*HSCEI!$G$48/HSCEI!$B$3,""))</f>
        <v/>
      </c>
      <c r="DM201" s="161">
        <f>IF(AY201="","",IFERROR(AY201*HSCEI!$B$48*HSCEI!$G$48/HSCEI!$B$3,""))</f>
        <v/>
      </c>
      <c r="DN201" s="161">
        <f>IF(AZ201="","",IFERROR(AZ201*HSCEI!$B$48*HSCEI!$G$48/HSCEI!$B$3,""))</f>
        <v/>
      </c>
      <c r="DO201" s="161">
        <f>IF(BA201="","",IFERROR(BA201*HSCEI!$B$48*HSCEI!$G$48/HSCEI!$B$3,""))</f>
        <v/>
      </c>
      <c r="DP201" s="161">
        <f>IF(BB201="","",IFERROR(BB201*HSCEI!$B$48*HSCEI!$G$48/HSCEI!$B$3,""))</f>
        <v/>
      </c>
      <c r="DQ201" s="161">
        <f>IF(BC201="","",IFERROR(BC201*HSCEI!$B$48*HSCEI!$G$48/HSCEI!$B$3,""))</f>
        <v/>
      </c>
      <c r="DR201" s="161">
        <f>IF(BD201="","",IFERROR(BD201*HSCEI!$B$48*HSCEI!$G$48/HSCEI!$B$3,""))</f>
        <v/>
      </c>
      <c r="DS201" s="161">
        <f>IF(BE201="","",IFERROR(BE201*HSCEI!$B$48*HSCEI!$G$48/HSCEI!$B$3,""))</f>
        <v/>
      </c>
      <c r="DT201" s="161">
        <f>IF(BF201="","",IFERROR(BF201*HSCEI!$B$48*HSCEI!$G$48/HSCEI!$B$3,""))</f>
        <v/>
      </c>
      <c r="DU201" s="161">
        <f>IF(BG201="","",IFERROR(BG201*HSCEI!$B$48*HSCEI!$G$48/HSCEI!$B$3,""))</f>
        <v/>
      </c>
      <c r="DV201" s="161">
        <f>IF(BH201="","",IFERROR(BH201*HSCEI!$B$48*HSCEI!$G$48/HSCEI!$B$3,""))</f>
        <v/>
      </c>
      <c r="DW201" s="161">
        <f>IF(BI201="","",IFERROR(BI201*HSCEI!$B$48*HSCEI!$G$48/HSCEI!$B$3,""))</f>
        <v/>
      </c>
      <c r="DX201" s="161">
        <f>IF(BJ201="","",IFERROR(BJ201*HSCEI!$B$48*HSCEI!$G$48/HSCEI!$B$3,""))</f>
        <v/>
      </c>
      <c r="DY201" s="161">
        <f>IF(BK201="","",IFERROR(BK201*HSCEI!$B$48*HSCEI!$G$48/HSCEI!$B$3,""))</f>
        <v/>
      </c>
      <c r="DZ201" s="161">
        <f>IF(BL201="","",IFERROR(BL201*HSCEI!$B$48*HSCEI!$G$48/HSCEI!$B$3,""))</f>
        <v/>
      </c>
      <c r="EA201" s="161">
        <f>IF(BM201="","",IFERROR(BM201*HSCEI!$B$48*HSCEI!$G$48/HSCEI!$B$3,""))</f>
        <v/>
      </c>
      <c r="EB201" s="161">
        <f>IF(BN201="","",IFERROR(BN201*HSCEI!$B$48*HSCEI!$G$48/HSCEI!$B$3,""))</f>
        <v/>
      </c>
      <c r="EC201" s="161">
        <f>IF(BO201="","",IFERROR(BO201*HSCEI!$B$48*HSCEI!$G$48/HSCEI!$B$3,""))</f>
        <v/>
      </c>
      <c r="EE201" s="121">
        <f>IF(N('Dvd Calendar'!$E$2012)=0,"",IF(('Dvd Calendar'!$E$2012&gt;=GRID_FROM)*('Dvd Calendar'!$E$2012&lt;=GRID_TO)*((('Dvd Calendar'!$E$2012&lt;=VAL_DATE)+(COUNTIF('Dvd Calendar'!$E$2019:$AR$2019,'Dvd Calendar'!$E$2012)=0))&gt;0)=0,"",'Dvd Calendar'!$E$2012*1000000000+ISNUMBER('Dvd Calendar'!$E$2015)*100000000+('Dvd Calendar'!$E$2017=SPECIAL_LBL)*10000000+(N('Dvd Calendar'!$E$2011)&gt;0)*(N('Dvd Calendar'!$E$2011)&lt;=VAL_SERIAL)*1000000+42*1000+1))</f>
        <v/>
      </c>
      <c r="EF201" s="121">
        <f>IF(N('Dvd Calendar'!$F$2012)=0,"",IF(('Dvd Calendar'!$F$2012&gt;=GRID_FROM)*('Dvd Calendar'!$F$2012&lt;=GRID_TO)*((('Dvd Calendar'!$F$2012&lt;=VAL_DATE)+(COUNTIF('Dvd Calendar'!$E$2019:$AR$2019,'Dvd Calendar'!$F$2012)=0))&gt;0)=0,"",'Dvd Calendar'!$F$2012*1000000000+ISNUMBER('Dvd Calendar'!$F$2015)*100000000+('Dvd Calendar'!$F$2017=SPECIAL_LBL)*10000000+(N('Dvd Calendar'!$F$2011)&gt;0)*(N('Dvd Calendar'!$F$2011)&lt;=VAL_SERIAL)*1000000+42*1000+2))</f>
        <v/>
      </c>
      <c r="EG201" s="121">
        <f>IF(N('Dvd Calendar'!$G$2012)=0,"",IF(('Dvd Calendar'!$G$2012&gt;=GRID_FROM)*('Dvd Calendar'!$G$2012&lt;=GRID_TO)*((('Dvd Calendar'!$G$2012&lt;=VAL_DATE)+(COUNTIF('Dvd Calendar'!$E$2019:$AR$2019,'Dvd Calendar'!$G$2012)=0))&gt;0)=0,"",'Dvd Calendar'!$G$2012*1000000000+ISNUMBER('Dvd Calendar'!$G$2015)*100000000+('Dvd Calendar'!$G$2017=SPECIAL_LBL)*10000000+(N('Dvd Calendar'!$G$2011)&gt;0)*(N('Dvd Calendar'!$G$2011)&lt;=VAL_SERIAL)*1000000+42*1000+3))</f>
        <v/>
      </c>
      <c r="EH201" s="121">
        <f>IF(N('Dvd Calendar'!$H$2012)=0,"",IF(('Dvd Calendar'!$H$2012&gt;=GRID_FROM)*('Dvd Calendar'!$H$2012&lt;=GRID_TO)*((('Dvd Calendar'!$H$2012&lt;=VAL_DATE)+(COUNTIF('Dvd Calendar'!$E$2019:$AR$2019,'Dvd Calendar'!$H$2012)=0))&gt;0)=0,"",'Dvd Calendar'!$H$2012*1000000000+ISNUMBER('Dvd Calendar'!$H$2015)*100000000+('Dvd Calendar'!$H$2017=SPECIAL_LBL)*10000000+(N('Dvd Calendar'!$H$2011)&gt;0)*(N('Dvd Calendar'!$H$2011)&lt;=VAL_SERIAL)*1000000+42*1000+4))</f>
        <v/>
      </c>
      <c r="EI201" s="121">
        <f>IF(N('Dvd Calendar'!$I$2012)=0,"",IF(('Dvd Calendar'!$I$2012&gt;=GRID_FROM)*('Dvd Calendar'!$I$2012&lt;=GRID_TO)*((('Dvd Calendar'!$I$2012&lt;=VAL_DATE)+(COUNTIF('Dvd Calendar'!$E$2019:$AR$2019,'Dvd Calendar'!$I$2012)=0))&gt;0)=0,"",'Dvd Calendar'!$I$2012*1000000000+ISNUMBER('Dvd Calendar'!$I$2015)*100000000+('Dvd Calendar'!$I$2017=SPECIAL_LBL)*10000000+(N('Dvd Calendar'!$I$2011)&gt;0)*(N('Dvd Calendar'!$I$2011)&lt;=VAL_SERIAL)*1000000+42*1000+5))</f>
        <v/>
      </c>
      <c r="EJ201" s="121">
        <f>IF(N('Dvd Calendar'!$J$2012)=0,"",IF(('Dvd Calendar'!$J$2012&gt;=GRID_FROM)*('Dvd Calendar'!$J$2012&lt;=GRID_TO)*((('Dvd Calendar'!$J$2012&lt;=VAL_DATE)+(COUNTIF('Dvd Calendar'!$E$2019:$AR$2019,'Dvd Calendar'!$J$2012)=0))&gt;0)=0,"",'Dvd Calendar'!$J$2012*1000000000+ISNUMBER('Dvd Calendar'!$J$2015)*100000000+('Dvd Calendar'!$J$2017=SPECIAL_LBL)*10000000+(N('Dvd Calendar'!$J$2011)&gt;0)*(N('Dvd Calendar'!$J$2011)&lt;=VAL_SERIAL)*1000000+42*1000+6))</f>
        <v/>
      </c>
      <c r="EK201" s="121">
        <f>IF(N('Dvd Calendar'!$K$2012)=0,"",IF(('Dvd Calendar'!$K$2012&gt;=GRID_FROM)*('Dvd Calendar'!$K$2012&lt;=GRID_TO)*((('Dvd Calendar'!$K$2012&lt;=VAL_DATE)+(COUNTIF('Dvd Calendar'!$E$2019:$AR$2019,'Dvd Calendar'!$K$2012)=0))&gt;0)=0,"",'Dvd Calendar'!$K$2012*1000000000+ISNUMBER('Dvd Calendar'!$K$2015)*100000000+('Dvd Calendar'!$K$2017=SPECIAL_LBL)*10000000+(N('Dvd Calendar'!$K$2011)&gt;0)*(N('Dvd Calendar'!$K$2011)&lt;=VAL_SERIAL)*1000000+42*1000+7))</f>
        <v/>
      </c>
      <c r="EL201" s="121">
        <f>IF(N('Dvd Calendar'!$L$2012)=0,"",IF(('Dvd Calendar'!$L$2012&gt;=GRID_FROM)*('Dvd Calendar'!$L$2012&lt;=GRID_TO)*((('Dvd Calendar'!$L$2012&lt;=VAL_DATE)+(COUNTIF('Dvd Calendar'!$E$2019:$AR$2019,'Dvd Calendar'!$L$2012)=0))&gt;0)=0,"",'Dvd Calendar'!$L$2012*1000000000+ISNUMBER('Dvd Calendar'!$L$2015)*100000000+('Dvd Calendar'!$L$2017=SPECIAL_LBL)*10000000+(N('Dvd Calendar'!$L$2011)&gt;0)*(N('Dvd Calendar'!$L$2011)&lt;=VAL_SERIAL)*1000000+42*1000+8))</f>
        <v/>
      </c>
      <c r="EM201" s="121">
        <f>IF(N('Dvd Calendar'!$M$2012)=0,"",IF(('Dvd Calendar'!$M$2012&gt;=GRID_FROM)*('Dvd Calendar'!$M$2012&lt;=GRID_TO)*((('Dvd Calendar'!$M$2012&lt;=VAL_DATE)+(COUNTIF('Dvd Calendar'!$E$2019:$AR$2019,'Dvd Calendar'!$M$2012)=0))&gt;0)=0,"",'Dvd Calendar'!$M$2012*1000000000+ISNUMBER('Dvd Calendar'!$M$2015)*100000000+('Dvd Calendar'!$M$2017=SPECIAL_LBL)*10000000+(N('Dvd Calendar'!$M$2011)&gt;0)*(N('Dvd Calendar'!$M$2011)&lt;=VAL_SERIAL)*1000000+42*1000+9))</f>
        <v/>
      </c>
      <c r="EN201" s="121">
        <f>IF(N('Dvd Calendar'!$N$2012)=0,"",IF(('Dvd Calendar'!$N$2012&gt;=GRID_FROM)*('Dvd Calendar'!$N$2012&lt;=GRID_TO)*((('Dvd Calendar'!$N$2012&lt;=VAL_DATE)+(COUNTIF('Dvd Calendar'!$E$2019:$AR$2019,'Dvd Calendar'!$N$2012)=0))&gt;0)=0,"",'Dvd Calendar'!$N$2012*1000000000+ISNUMBER('Dvd Calendar'!$N$2015)*100000000+('Dvd Calendar'!$N$2017=SPECIAL_LBL)*10000000+(N('Dvd Calendar'!$N$2011)&gt;0)*(N('Dvd Calendar'!$N$2011)&lt;=VAL_SERIAL)*1000000+42*1000+10))</f>
        <v/>
      </c>
      <c r="EO201" s="121">
        <f>IF(N('Dvd Calendar'!$O$2012)=0,"",IF(('Dvd Calendar'!$O$2012&gt;=GRID_FROM)*('Dvd Calendar'!$O$2012&lt;=GRID_TO)*((('Dvd Calendar'!$O$2012&lt;=VAL_DATE)+(COUNTIF('Dvd Calendar'!$E$2019:$AR$2019,'Dvd Calendar'!$O$2012)=0))&gt;0)=0,"",'Dvd Calendar'!$O$2012*1000000000+ISNUMBER('Dvd Calendar'!$O$2015)*100000000+('Dvd Calendar'!$O$2017=SPECIAL_LBL)*10000000+(N('Dvd Calendar'!$O$2011)&gt;0)*(N('Dvd Calendar'!$O$2011)&lt;=VAL_SERIAL)*1000000+42*1000+11))</f>
        <v/>
      </c>
      <c r="EP201" s="121">
        <f>IF(N('Dvd Calendar'!$P$2012)=0,"",IF(('Dvd Calendar'!$P$2012&gt;=GRID_FROM)*('Dvd Calendar'!$P$2012&lt;=GRID_TO)*((('Dvd Calendar'!$P$2012&lt;=VAL_DATE)+(COUNTIF('Dvd Calendar'!$E$2019:$AR$2019,'Dvd Calendar'!$P$2012)=0))&gt;0)=0,"",'Dvd Calendar'!$P$2012*1000000000+ISNUMBER('Dvd Calendar'!$P$2015)*100000000+('Dvd Calendar'!$P$2017=SPECIAL_LBL)*10000000+(N('Dvd Calendar'!$P$2011)&gt;0)*(N('Dvd Calendar'!$P$2011)&lt;=VAL_SERIAL)*1000000+42*1000+12))</f>
        <v/>
      </c>
      <c r="EQ201" s="121">
        <f>IF(N('Dvd Calendar'!$Q$2012)=0,"",IF(('Dvd Calendar'!$Q$2012&gt;=GRID_FROM)*('Dvd Calendar'!$Q$2012&lt;=GRID_TO)*((('Dvd Calendar'!$Q$2012&lt;=VAL_DATE)+(COUNTIF('Dvd Calendar'!$E$2019:$AR$2019,'Dvd Calendar'!$Q$2012)=0))&gt;0)=0,"",'Dvd Calendar'!$Q$2012*1000000000+ISNUMBER('Dvd Calendar'!$Q$2015)*100000000+('Dvd Calendar'!$Q$2017=SPECIAL_LBL)*10000000+(N('Dvd Calendar'!$Q$2011)&gt;0)*(N('Dvd Calendar'!$Q$2011)&lt;=VAL_SERIAL)*1000000+42*1000+13))</f>
        <v/>
      </c>
      <c r="ER201" s="121">
        <f>IF(N('Dvd Calendar'!$R$2012)=0,"",IF(('Dvd Calendar'!$R$2012&gt;=GRID_FROM)*('Dvd Calendar'!$R$2012&lt;=GRID_TO)*((('Dvd Calendar'!$R$2012&lt;=VAL_DATE)+(COUNTIF('Dvd Calendar'!$E$2019:$AR$2019,'Dvd Calendar'!$R$2012)=0))&gt;0)=0,"",'Dvd Calendar'!$R$2012*1000000000+ISNUMBER('Dvd Calendar'!$R$2015)*100000000+('Dvd Calendar'!$R$2017=SPECIAL_LBL)*10000000+(N('Dvd Calendar'!$R$2011)&gt;0)*(N('Dvd Calendar'!$R$2011)&lt;=VAL_SERIAL)*1000000+42*1000+14))</f>
        <v/>
      </c>
      <c r="ES201" s="121">
        <f>IF(N('Dvd Calendar'!$S$2012)=0,"",IF(('Dvd Calendar'!$S$2012&gt;=GRID_FROM)*('Dvd Calendar'!$S$2012&lt;=GRID_TO)*((('Dvd Calendar'!$S$2012&lt;=VAL_DATE)+(COUNTIF('Dvd Calendar'!$E$2019:$AR$2019,'Dvd Calendar'!$S$2012)=0))&gt;0)=0,"",'Dvd Calendar'!$S$2012*1000000000+ISNUMBER('Dvd Calendar'!$S$2015)*100000000+('Dvd Calendar'!$S$2017=SPECIAL_LBL)*10000000+(N('Dvd Calendar'!$S$2011)&gt;0)*(N('Dvd Calendar'!$S$2011)&lt;=VAL_SERIAL)*1000000+42*1000+15))</f>
        <v/>
      </c>
      <c r="ET201" s="121">
        <f>IF(N('Dvd Calendar'!$T$2012)=0,"",IF(('Dvd Calendar'!$T$2012&gt;=GRID_FROM)*('Dvd Calendar'!$T$2012&lt;=GRID_TO)*((('Dvd Calendar'!$T$2012&lt;=VAL_DATE)+(COUNTIF('Dvd Calendar'!$E$2019:$AR$2019,'Dvd Calendar'!$T$2012)=0))&gt;0)=0,"",'Dvd Calendar'!$T$2012*1000000000+ISNUMBER('Dvd Calendar'!$T$2015)*100000000+('Dvd Calendar'!$T$2017=SPECIAL_LBL)*10000000+(N('Dvd Calendar'!$T$2011)&gt;0)*(N('Dvd Calendar'!$T$2011)&lt;=VAL_SERIAL)*1000000+42*1000+16))</f>
        <v/>
      </c>
      <c r="EU201" s="121">
        <f>IF(N('Dvd Calendar'!$U$2012)=0,"",IF(('Dvd Calendar'!$U$2012&gt;=GRID_FROM)*('Dvd Calendar'!$U$2012&lt;=GRID_TO)*((('Dvd Calendar'!$U$2012&lt;=VAL_DATE)+(COUNTIF('Dvd Calendar'!$E$2019:$AR$2019,'Dvd Calendar'!$U$2012)=0))&gt;0)=0,"",'Dvd Calendar'!$U$2012*1000000000+ISNUMBER('Dvd Calendar'!$U$2015)*100000000+('Dvd Calendar'!$U$2017=SPECIAL_LBL)*10000000+(N('Dvd Calendar'!$U$2011)&gt;0)*(N('Dvd Calendar'!$U$2011)&lt;=VAL_SERIAL)*1000000+42*1000+17))</f>
        <v/>
      </c>
      <c r="EV201" s="121">
        <f>IF(N('Dvd Calendar'!$V$2012)=0,"",IF(('Dvd Calendar'!$V$2012&gt;=GRID_FROM)*('Dvd Calendar'!$V$2012&lt;=GRID_TO)*((('Dvd Calendar'!$V$2012&lt;=VAL_DATE)+(COUNTIF('Dvd Calendar'!$E$2019:$AR$2019,'Dvd Calendar'!$V$2012)=0))&gt;0)=0,"",'Dvd Calendar'!$V$2012*1000000000+ISNUMBER('Dvd Calendar'!$V$2015)*100000000+('Dvd Calendar'!$V$2017=SPECIAL_LBL)*10000000+(N('Dvd Calendar'!$V$2011)&gt;0)*(N('Dvd Calendar'!$V$2011)&lt;=VAL_SERIAL)*1000000+42*1000+18))</f>
        <v/>
      </c>
      <c r="EW201" s="121">
        <f>IF(N('Dvd Calendar'!$W$2012)=0,"",IF(('Dvd Calendar'!$W$2012&gt;=GRID_FROM)*('Dvd Calendar'!$W$2012&lt;=GRID_TO)*((('Dvd Calendar'!$W$2012&lt;=VAL_DATE)+(COUNTIF('Dvd Calendar'!$E$2019:$AR$2019,'Dvd Calendar'!$W$2012)=0))&gt;0)=0,"",'Dvd Calendar'!$W$2012*1000000000+ISNUMBER('Dvd Calendar'!$W$2015)*100000000+('Dvd Calendar'!$W$2017=SPECIAL_LBL)*10000000+(N('Dvd Calendar'!$W$2011)&gt;0)*(N('Dvd Calendar'!$W$2011)&lt;=VAL_SERIAL)*1000000+42*1000+19))</f>
        <v/>
      </c>
      <c r="EX201" s="121">
        <f>IF(N('Dvd Calendar'!$X$2012)=0,"",IF(('Dvd Calendar'!$X$2012&gt;=GRID_FROM)*('Dvd Calendar'!$X$2012&lt;=GRID_TO)*((('Dvd Calendar'!$X$2012&lt;=VAL_DATE)+(COUNTIF('Dvd Calendar'!$E$2019:$AR$2019,'Dvd Calendar'!$X$2012)=0))&gt;0)=0,"",'Dvd Calendar'!$X$2012*1000000000+ISNUMBER('Dvd Calendar'!$X$2015)*100000000+('Dvd Calendar'!$X$2017=SPECIAL_LBL)*10000000+(N('Dvd Calendar'!$X$2011)&gt;0)*(N('Dvd Calendar'!$X$2011)&lt;=VAL_SERIAL)*1000000+42*1000+20))</f>
        <v/>
      </c>
      <c r="EY201" s="121">
        <f>IF(N('Dvd Calendar'!$Y$2012)=0,"",IF(('Dvd Calendar'!$Y$2012&gt;=GRID_FROM)*('Dvd Calendar'!$Y$2012&lt;=GRID_TO)*((('Dvd Calendar'!$Y$2012&lt;=VAL_DATE)+(COUNTIF('Dvd Calendar'!$E$2019:$AR$2019,'Dvd Calendar'!$Y$2012)=0))&gt;0)=0,"",'Dvd Calendar'!$Y$2012*1000000000+ISNUMBER('Dvd Calendar'!$Y$2015)*100000000+('Dvd Calendar'!$Y$2017=SPECIAL_LBL)*10000000+(N('Dvd Calendar'!$Y$2011)&gt;0)*(N('Dvd Calendar'!$Y$2011)&lt;=VAL_SERIAL)*1000000+42*1000+21))</f>
        <v/>
      </c>
      <c r="EZ201" s="121">
        <f>IF(N('Dvd Calendar'!$Z$2012)=0,"",IF(('Dvd Calendar'!$Z$2012&gt;=GRID_FROM)*('Dvd Calendar'!$Z$2012&lt;=GRID_TO)*((('Dvd Calendar'!$Z$2012&lt;=VAL_DATE)+(COUNTIF('Dvd Calendar'!$E$2019:$AR$2019,'Dvd Calendar'!$Z$2012)=0))&gt;0)=0,"",'Dvd Calendar'!$Z$2012*1000000000+ISNUMBER('Dvd Calendar'!$Z$2015)*100000000+('Dvd Calendar'!$Z$2017=SPECIAL_LBL)*10000000+(N('Dvd Calendar'!$Z$2011)&gt;0)*(N('Dvd Calendar'!$Z$2011)&lt;=VAL_SERIAL)*1000000+42*1000+22))</f>
        <v/>
      </c>
      <c r="FA201" s="121">
        <f>IF(N('Dvd Calendar'!$AA$2012)=0,"",IF(('Dvd Calendar'!$AA$2012&gt;=GRID_FROM)*('Dvd Calendar'!$AA$2012&lt;=GRID_TO)*((('Dvd Calendar'!$AA$2012&lt;=VAL_DATE)+(COUNTIF('Dvd Calendar'!$E$2019:$AR$2019,'Dvd Calendar'!$AA$2012)=0))&gt;0)=0,"",'Dvd Calendar'!$AA$2012*1000000000+ISNUMBER('Dvd Calendar'!$AA$2015)*100000000+('Dvd Calendar'!$AA$2017=SPECIAL_LBL)*10000000+(N('Dvd Calendar'!$AA$2011)&gt;0)*(N('Dvd Calendar'!$AA$2011)&lt;=VAL_SERIAL)*1000000+42*1000+23))</f>
        <v/>
      </c>
      <c r="FB201" s="121">
        <f>IF(N('Dvd Calendar'!$AB$2012)=0,"",IF(('Dvd Calendar'!$AB$2012&gt;=GRID_FROM)*('Dvd Calendar'!$AB$2012&lt;=GRID_TO)*((('Dvd Calendar'!$AB$2012&lt;=VAL_DATE)+(COUNTIF('Dvd Calendar'!$E$2019:$AR$2019,'Dvd Calendar'!$AB$2012)=0))&gt;0)=0,"",'Dvd Calendar'!$AB$2012*1000000000+ISNUMBER('Dvd Calendar'!$AB$2015)*100000000+('Dvd Calendar'!$AB$2017=SPECIAL_LBL)*10000000+(N('Dvd Calendar'!$AB$2011)&gt;0)*(N('Dvd Calendar'!$AB$2011)&lt;=VAL_SERIAL)*1000000+42*1000+24))</f>
        <v/>
      </c>
      <c r="FC201" s="121">
        <f>IF(N('Dvd Calendar'!$AC$2012)=0,"",IF(('Dvd Calendar'!$AC$2012&gt;=GRID_FROM)*('Dvd Calendar'!$AC$2012&lt;=GRID_TO)*((('Dvd Calendar'!$AC$2012&lt;=VAL_DATE)+(COUNTIF('Dvd Calendar'!$E$2019:$AR$2019,'Dvd Calendar'!$AC$2012)=0))&gt;0)=0,"",'Dvd Calendar'!$AC$2012*1000000000+ISNUMBER('Dvd Calendar'!$AC$2015)*100000000+('Dvd Calendar'!$AC$2017=SPECIAL_LBL)*10000000+(N('Dvd Calendar'!$AC$2011)&gt;0)*(N('Dvd Calendar'!$AC$2011)&lt;=VAL_SERIAL)*1000000+42*1000+25))</f>
        <v/>
      </c>
      <c r="FD201" s="121">
        <f>IF(N('Dvd Calendar'!$AD$2012)=0,"",IF(('Dvd Calendar'!$AD$2012&gt;=GRID_FROM)*('Dvd Calendar'!$AD$2012&lt;=GRID_TO)*((('Dvd Calendar'!$AD$2012&lt;=VAL_DATE)+(COUNTIF('Dvd Calendar'!$E$2019:$AR$2019,'Dvd Calendar'!$AD$2012)=0))&gt;0)=0,"",'Dvd Calendar'!$AD$2012*1000000000+ISNUMBER('Dvd Calendar'!$AD$2015)*100000000+('Dvd Calendar'!$AD$2017=SPECIAL_LBL)*10000000+(N('Dvd Calendar'!$AD$2011)&gt;0)*(N('Dvd Calendar'!$AD$2011)&lt;=VAL_SERIAL)*1000000+42*1000+26))</f>
        <v/>
      </c>
      <c r="FE201" s="121">
        <f>IF(N('Dvd Calendar'!$AE$2012)=0,"",IF(('Dvd Calendar'!$AE$2012&gt;=GRID_FROM)*('Dvd Calendar'!$AE$2012&lt;=GRID_TO)*((('Dvd Calendar'!$AE$2012&lt;=VAL_DATE)+(COUNTIF('Dvd Calendar'!$E$2019:$AR$2019,'Dvd Calendar'!$AE$2012)=0))&gt;0)=0,"",'Dvd Calendar'!$AE$2012*1000000000+ISNUMBER('Dvd Calendar'!$AE$2015)*100000000+('Dvd Calendar'!$AE$2017=SPECIAL_LBL)*10000000+(N('Dvd Calendar'!$AE$2011)&gt;0)*(N('Dvd Calendar'!$AE$2011)&lt;=VAL_SERIAL)*1000000+42*1000+27))</f>
        <v/>
      </c>
      <c r="FF201" s="121">
        <f>IF(N('Dvd Calendar'!$AF$2012)=0,"",IF(('Dvd Calendar'!$AF$2012&gt;=GRID_FROM)*('Dvd Calendar'!$AF$2012&lt;=GRID_TO)*((('Dvd Calendar'!$AF$2012&lt;=VAL_DATE)+(COUNTIF('Dvd Calendar'!$E$2019:$AR$2019,'Dvd Calendar'!$AF$2012)=0))&gt;0)=0,"",'Dvd Calendar'!$AF$2012*1000000000+ISNUMBER('Dvd Calendar'!$AF$2015)*100000000+('Dvd Calendar'!$AF$2017=SPECIAL_LBL)*10000000+(N('Dvd Calendar'!$AF$2011)&gt;0)*(N('Dvd Calendar'!$AF$2011)&lt;=VAL_SERIAL)*1000000+42*1000+28))</f>
        <v/>
      </c>
      <c r="FG201" s="121">
        <f>IF(N('Dvd Calendar'!$AG$2012)=0,"",IF(('Dvd Calendar'!$AG$2012&gt;=GRID_FROM)*('Dvd Calendar'!$AG$2012&lt;=GRID_TO)*((('Dvd Calendar'!$AG$2012&lt;=VAL_DATE)+(COUNTIF('Dvd Calendar'!$E$2019:$AR$2019,'Dvd Calendar'!$AG$2012)=0))&gt;0)=0,"",'Dvd Calendar'!$AG$2012*1000000000+ISNUMBER('Dvd Calendar'!$AG$2015)*100000000+('Dvd Calendar'!$AG$2017=SPECIAL_LBL)*10000000+(N('Dvd Calendar'!$AG$2011)&gt;0)*(N('Dvd Calendar'!$AG$2011)&lt;=VAL_SERIAL)*1000000+42*1000+29))</f>
        <v/>
      </c>
      <c r="FH201" s="121">
        <f>IF(N('Dvd Calendar'!$AH$2012)=0,"",IF(('Dvd Calendar'!$AH$2012&gt;=GRID_FROM)*('Dvd Calendar'!$AH$2012&lt;=GRID_TO)*((('Dvd Calendar'!$AH$2012&lt;=VAL_DATE)+(COUNTIF('Dvd Calendar'!$E$2019:$AR$2019,'Dvd Calendar'!$AH$2012)=0))&gt;0)=0,"",'Dvd Calendar'!$AH$2012*1000000000+ISNUMBER('Dvd Calendar'!$AH$2015)*100000000+('Dvd Calendar'!$AH$2017=SPECIAL_LBL)*10000000+(N('Dvd Calendar'!$AH$2011)&gt;0)*(N('Dvd Calendar'!$AH$2011)&lt;=VAL_SERIAL)*1000000+42*1000+30))</f>
        <v/>
      </c>
      <c r="FI201" s="121">
        <f>IF(N('Dvd Calendar'!$AI$2012)=0,"",IF(('Dvd Calendar'!$AI$2012&gt;=GRID_FROM)*('Dvd Calendar'!$AI$2012&lt;=GRID_TO)*((('Dvd Calendar'!$AI$2012&lt;=VAL_DATE)+(COUNTIF('Dvd Calendar'!$E$2019:$AR$2019,'Dvd Calendar'!$AI$2012)=0))&gt;0)=0,"",'Dvd Calendar'!$AI$2012*1000000000+ISNUMBER('Dvd Calendar'!$AI$2015)*100000000+('Dvd Calendar'!$AI$2017=SPECIAL_LBL)*10000000+(N('Dvd Calendar'!$AI$2011)&gt;0)*(N('Dvd Calendar'!$AI$2011)&lt;=VAL_SERIAL)*1000000+42*1000+31))</f>
        <v/>
      </c>
      <c r="FJ201" s="121">
        <f>IF(N('Dvd Calendar'!$AJ$2012)=0,"",IF(('Dvd Calendar'!$AJ$2012&gt;=GRID_FROM)*('Dvd Calendar'!$AJ$2012&lt;=GRID_TO)*((('Dvd Calendar'!$AJ$2012&lt;=VAL_DATE)+(COUNTIF('Dvd Calendar'!$E$2019:$AR$2019,'Dvd Calendar'!$AJ$2012)=0))&gt;0)=0,"",'Dvd Calendar'!$AJ$2012*1000000000+ISNUMBER('Dvd Calendar'!$AJ$2015)*100000000+('Dvd Calendar'!$AJ$2017=SPECIAL_LBL)*10000000+(N('Dvd Calendar'!$AJ$2011)&gt;0)*(N('Dvd Calendar'!$AJ$2011)&lt;=VAL_SERIAL)*1000000+42*1000+32))</f>
        <v/>
      </c>
      <c r="FK201" s="121">
        <f>IF(N('Dvd Calendar'!$AK$2012)=0,"",IF(('Dvd Calendar'!$AK$2012&gt;=GRID_FROM)*('Dvd Calendar'!$AK$2012&lt;=GRID_TO)*((('Dvd Calendar'!$AK$2012&lt;=VAL_DATE)+(COUNTIF('Dvd Calendar'!$E$2019:$AR$2019,'Dvd Calendar'!$AK$2012)=0))&gt;0)=0,"",'Dvd Calendar'!$AK$2012*1000000000+ISNUMBER('Dvd Calendar'!$AK$2015)*100000000+('Dvd Calendar'!$AK$2017=SPECIAL_LBL)*10000000+(N('Dvd Calendar'!$AK$2011)&gt;0)*(N('Dvd Calendar'!$AK$2011)&lt;=VAL_SERIAL)*1000000+42*1000+33))</f>
        <v/>
      </c>
      <c r="FL201" s="121">
        <f>IF(N('Dvd Calendar'!$AL$2012)=0,"",IF(('Dvd Calendar'!$AL$2012&gt;=GRID_FROM)*('Dvd Calendar'!$AL$2012&lt;=GRID_TO)*((('Dvd Calendar'!$AL$2012&lt;=VAL_DATE)+(COUNTIF('Dvd Calendar'!$E$2019:$AR$2019,'Dvd Calendar'!$AL$2012)=0))&gt;0)=0,"",'Dvd Calendar'!$AL$2012*1000000000+ISNUMBER('Dvd Calendar'!$AL$2015)*100000000+('Dvd Calendar'!$AL$2017=SPECIAL_LBL)*10000000+(N('Dvd Calendar'!$AL$2011)&gt;0)*(N('Dvd Calendar'!$AL$2011)&lt;=VAL_SERIAL)*1000000+42*1000+34))</f>
        <v/>
      </c>
      <c r="FM201" s="121">
        <f>IF(N('Dvd Calendar'!$AM$2012)=0,"",IF(('Dvd Calendar'!$AM$2012&gt;=GRID_FROM)*('Dvd Calendar'!$AM$2012&lt;=GRID_TO)*((('Dvd Calendar'!$AM$2012&lt;=VAL_DATE)+(COUNTIF('Dvd Calendar'!$E$2019:$AR$2019,'Dvd Calendar'!$AM$2012)=0))&gt;0)=0,"",'Dvd Calendar'!$AM$2012*1000000000+ISNUMBER('Dvd Calendar'!$AM$2015)*100000000+('Dvd Calendar'!$AM$2017=SPECIAL_LBL)*10000000+(N('Dvd Calendar'!$AM$2011)&gt;0)*(N('Dvd Calendar'!$AM$2011)&lt;=VAL_SERIAL)*1000000+42*1000+35))</f>
        <v/>
      </c>
      <c r="FN201" s="121">
        <f>IF(N('Dvd Calendar'!$AN$2012)=0,"",IF(('Dvd Calendar'!$AN$2012&gt;=GRID_FROM)*('Dvd Calendar'!$AN$2012&lt;=GRID_TO)*((('Dvd Calendar'!$AN$2012&lt;=VAL_DATE)+(COUNTIF('Dvd Calendar'!$E$2019:$AR$2019,'Dvd Calendar'!$AN$2012)=0))&gt;0)=0,"",'Dvd Calendar'!$AN$2012*1000000000+ISNUMBER('Dvd Calendar'!$AN$2015)*100000000+('Dvd Calendar'!$AN$2017=SPECIAL_LBL)*10000000+(N('Dvd Calendar'!$AN$2011)&gt;0)*(N('Dvd Calendar'!$AN$2011)&lt;=VAL_SERIAL)*1000000+42*1000+36))</f>
        <v/>
      </c>
      <c r="FO201" s="121">
        <f>IF(N('Dvd Calendar'!$AO$2012)=0,"",IF(('Dvd Calendar'!$AO$2012&gt;=GRID_FROM)*('Dvd Calendar'!$AO$2012&lt;=GRID_TO)*((('Dvd Calendar'!$AO$2012&lt;=VAL_DATE)+(COUNTIF('Dvd Calendar'!$E$2019:$AR$2019,'Dvd Calendar'!$AO$2012)=0))&gt;0)=0,"",'Dvd Calendar'!$AO$2012*1000000000+ISNUMBER('Dvd Calendar'!$AO$2015)*100000000+('Dvd Calendar'!$AO$2017=SPECIAL_LBL)*10000000+(N('Dvd Calendar'!$AO$2011)&gt;0)*(N('Dvd Calendar'!$AO$2011)&lt;=VAL_SERIAL)*1000000+42*1000+37))</f>
        <v/>
      </c>
      <c r="FP201" s="121">
        <f>IF(N('Dvd Calendar'!$AP$2012)=0,"",IF(('Dvd Calendar'!$AP$2012&gt;=GRID_FROM)*('Dvd Calendar'!$AP$2012&lt;=GRID_TO)*((('Dvd Calendar'!$AP$2012&lt;=VAL_DATE)+(COUNTIF('Dvd Calendar'!$E$2019:$AR$2019,'Dvd Calendar'!$AP$2012)=0))&gt;0)=0,"",'Dvd Calendar'!$AP$2012*1000000000+ISNUMBER('Dvd Calendar'!$AP$2015)*100000000+('Dvd Calendar'!$AP$2017=SPECIAL_LBL)*10000000+(N('Dvd Calendar'!$AP$2011)&gt;0)*(N('Dvd Calendar'!$AP$2011)&lt;=VAL_SERIAL)*1000000+42*1000+38))</f>
        <v/>
      </c>
      <c r="FQ201" s="121">
        <f>IF(N('Dvd Calendar'!$AQ$2012)=0,"",IF(('Dvd Calendar'!$AQ$2012&gt;=GRID_FROM)*('Dvd Calendar'!$AQ$2012&lt;=GRID_TO)*((('Dvd Calendar'!$AQ$2012&lt;=VAL_DATE)+(COUNTIF('Dvd Calendar'!$E$2019:$AR$2019,'Dvd Calendar'!$AQ$2012)=0))&gt;0)=0,"",'Dvd Calendar'!$AQ$2012*1000000000+ISNUMBER('Dvd Calendar'!$AQ$2015)*100000000+('Dvd Calendar'!$AQ$2017=SPECIAL_LBL)*10000000+(N('Dvd Calendar'!$AQ$2011)&gt;0)*(N('Dvd Calendar'!$AQ$2011)&lt;=VAL_SERIAL)*1000000+42*1000+39))</f>
        <v/>
      </c>
      <c r="FR201" s="121">
        <f>IF(N('Dvd Calendar'!$AR$2012)=0,"",IF(('Dvd Calendar'!$AR$2012&gt;=GRID_FROM)*('Dvd Calendar'!$AR$2012&lt;=GRID_TO)*((('Dvd Calendar'!$AR$2012&lt;=VAL_DATE)+(COUNTIF('Dvd Calendar'!$E$2019:$AR$2019,'Dvd Calendar'!$AR$2012)=0))&gt;0)=0,"",'Dvd Calendar'!$AR$2012*1000000000+ISNUMBER('Dvd Calendar'!$AR$2015)*100000000+('Dvd Calendar'!$AR$2017=SPECIAL_LBL)*10000000+(N('Dvd Calendar'!$AR$2011)&gt;0)*(N('Dvd Calendar'!$AR$2011)&lt;=VAL_SERIAL)*1000000+42*1000+40))</f>
        <v/>
      </c>
      <c r="FS201" s="121">
        <f>IF(N('Dvd Calendar'!$E$2019)=0,"",IF(('Dvd Calendar'!$E$2019&gt;=GRID_FROM)*('Dvd Calendar'!$E$2019&lt;=GRID_TO)*('Dvd Calendar'!$E$2019&gt;VAL_DATE)=0,"",'Dvd Calendar'!$E$2019*1000000000+ISNUMBER('Dvd Calendar'!$E$2020)*100000000+0*10000000+(N('Dvd Calendar'!$E$2018)&gt;0)*(N('Dvd Calendar'!$E$2018)&lt;=VAL_SERIAL)*1000000+42*1000+41))</f>
        <v/>
      </c>
      <c r="FT201" s="121">
        <f>IF(N('Dvd Calendar'!$F$2019)=0,"",IF(('Dvd Calendar'!$F$2019&gt;=GRID_FROM)*('Dvd Calendar'!$F$2019&lt;=GRID_TO)*('Dvd Calendar'!$F$2019&gt;VAL_DATE)=0,"",'Dvd Calendar'!$F$2019*1000000000+ISNUMBER('Dvd Calendar'!$F$2020)*100000000+0*10000000+(N('Dvd Calendar'!$F$2018)&gt;0)*(N('Dvd Calendar'!$F$2018)&lt;=VAL_SERIAL)*1000000+42*1000+42))</f>
        <v/>
      </c>
      <c r="FU201" s="121">
        <f>IF(N('Dvd Calendar'!$G$2019)=0,"",IF(('Dvd Calendar'!$G$2019&gt;=GRID_FROM)*('Dvd Calendar'!$G$2019&lt;=GRID_TO)*('Dvd Calendar'!$G$2019&gt;VAL_DATE)=0,"",'Dvd Calendar'!$G$2019*1000000000+ISNUMBER('Dvd Calendar'!$G$2020)*100000000+0*10000000+(N('Dvd Calendar'!$G$2018)&gt;0)*(N('Dvd Calendar'!$G$2018)&lt;=VAL_SERIAL)*1000000+42*1000+43))</f>
        <v/>
      </c>
      <c r="FV201" s="121">
        <f>IF(N('Dvd Calendar'!$H$2019)=0,"",IF(('Dvd Calendar'!$H$2019&gt;=GRID_FROM)*('Dvd Calendar'!$H$2019&lt;=GRID_TO)*('Dvd Calendar'!$H$2019&gt;VAL_DATE)=0,"",'Dvd Calendar'!$H$2019*1000000000+ISNUMBER('Dvd Calendar'!$H$2020)*100000000+0*10000000+(N('Dvd Calendar'!$H$2018)&gt;0)*(N('Dvd Calendar'!$H$2018)&lt;=VAL_SERIAL)*1000000+42*1000+44))</f>
        <v/>
      </c>
      <c r="FW201" s="121">
        <f>IF(N('Dvd Calendar'!$I$2019)=0,"",IF(('Dvd Calendar'!$I$2019&gt;=GRID_FROM)*('Dvd Calendar'!$I$2019&lt;=GRID_TO)*('Dvd Calendar'!$I$2019&gt;VAL_DATE)=0,"",'Dvd Calendar'!$I$2019*1000000000+ISNUMBER('Dvd Calendar'!$I$2020)*100000000+0*10000000+(N('Dvd Calendar'!$I$2018)&gt;0)*(N('Dvd Calendar'!$I$2018)&lt;=VAL_SERIAL)*1000000+42*1000+45))</f>
        <v/>
      </c>
      <c r="FX201" s="121">
        <f>IF(N('Dvd Calendar'!$J$2019)=0,"",IF(('Dvd Calendar'!$J$2019&gt;=GRID_FROM)*('Dvd Calendar'!$J$2019&lt;=GRID_TO)*('Dvd Calendar'!$J$2019&gt;VAL_DATE)=0,"",'Dvd Calendar'!$J$2019*1000000000+ISNUMBER('Dvd Calendar'!$J$2020)*100000000+0*10000000+(N('Dvd Calendar'!$J$2018)&gt;0)*(N('Dvd Calendar'!$J$2018)&lt;=VAL_SERIAL)*1000000+42*1000+46))</f>
        <v/>
      </c>
      <c r="FY201" s="121">
        <f>IF(N('Dvd Calendar'!$K$2019)=0,"",IF(('Dvd Calendar'!$K$2019&gt;=GRID_FROM)*('Dvd Calendar'!$K$2019&lt;=GRID_TO)*('Dvd Calendar'!$K$2019&gt;VAL_DATE)=0,"",'Dvd Calendar'!$K$2019*1000000000+ISNUMBER('Dvd Calendar'!$K$2020)*100000000+0*10000000+(N('Dvd Calendar'!$K$2018)&gt;0)*(N('Dvd Calendar'!$K$2018)&lt;=VAL_SERIAL)*1000000+42*1000+47))</f>
        <v/>
      </c>
      <c r="FZ201" s="121">
        <f>IF(N('Dvd Calendar'!$L$2019)=0,"",IF(('Dvd Calendar'!$L$2019&gt;=GRID_FROM)*('Dvd Calendar'!$L$2019&lt;=GRID_TO)*('Dvd Calendar'!$L$2019&gt;VAL_DATE)=0,"",'Dvd Calendar'!$L$2019*1000000000+ISNUMBER('Dvd Calendar'!$L$2020)*100000000+0*10000000+(N('Dvd Calendar'!$L$2018)&gt;0)*(N('Dvd Calendar'!$L$2018)&lt;=VAL_SERIAL)*1000000+42*1000+48))</f>
        <v/>
      </c>
      <c r="GA201" s="121">
        <f>IF(N('Dvd Calendar'!$M$2019)=0,"",IF(('Dvd Calendar'!$M$2019&gt;=GRID_FROM)*('Dvd Calendar'!$M$2019&lt;=GRID_TO)*('Dvd Calendar'!$M$2019&gt;VAL_DATE)=0,"",'Dvd Calendar'!$M$2019*1000000000+ISNUMBER('Dvd Calendar'!$M$2020)*100000000+0*10000000+(N('Dvd Calendar'!$M$2018)&gt;0)*(N('Dvd Calendar'!$M$2018)&lt;=VAL_SERIAL)*1000000+42*1000+49))</f>
        <v/>
      </c>
      <c r="GB201" s="121">
        <f>IF(N('Dvd Calendar'!$N$2019)=0,"",IF(('Dvd Calendar'!$N$2019&gt;=GRID_FROM)*('Dvd Calendar'!$N$2019&lt;=GRID_TO)*('Dvd Calendar'!$N$2019&gt;VAL_DATE)=0,"",'Dvd Calendar'!$N$2019*1000000000+ISNUMBER('Dvd Calendar'!$N$2020)*100000000+0*10000000+(N('Dvd Calendar'!$N$2018)&gt;0)*(N('Dvd Calendar'!$N$2018)&lt;=VAL_SERIAL)*1000000+42*1000+50))</f>
        <v/>
      </c>
      <c r="GC201" s="121">
        <f>IF(N('Dvd Calendar'!$O$2019)=0,"",IF(('Dvd Calendar'!$O$2019&gt;=GRID_FROM)*('Dvd Calendar'!$O$2019&lt;=GRID_TO)*('Dvd Calendar'!$O$2019&gt;VAL_DATE)=0,"",'Dvd Calendar'!$O$2019*1000000000+ISNUMBER('Dvd Calendar'!$O$2020)*100000000+0*10000000+(N('Dvd Calendar'!$O$2018)&gt;0)*(N('Dvd Calendar'!$O$2018)&lt;=VAL_SERIAL)*1000000+42*1000+51))</f>
        <v/>
      </c>
      <c r="GD201" s="121">
        <f>IF(N('Dvd Calendar'!$P$2019)=0,"",IF(('Dvd Calendar'!$P$2019&gt;=GRID_FROM)*('Dvd Calendar'!$P$2019&lt;=GRID_TO)*('Dvd Calendar'!$P$2019&gt;VAL_DATE)=0,"",'Dvd Calendar'!$P$2019*1000000000+ISNUMBER('Dvd Calendar'!$P$2020)*100000000+0*10000000+(N('Dvd Calendar'!$P$2018)&gt;0)*(N('Dvd Calendar'!$P$2018)&lt;=VAL_SERIAL)*1000000+42*1000+52))</f>
        <v/>
      </c>
      <c r="GE201" s="121">
        <f>IF(N('Dvd Calendar'!$Q$2019)=0,"",IF(('Dvd Calendar'!$Q$2019&gt;=GRID_FROM)*('Dvd Calendar'!$Q$2019&lt;=GRID_TO)*('Dvd Calendar'!$Q$2019&gt;VAL_DATE)=0,"",'Dvd Calendar'!$Q$2019*1000000000+ISNUMBER('Dvd Calendar'!$Q$2020)*100000000+0*10000000+(N('Dvd Calendar'!$Q$2018)&gt;0)*(N('Dvd Calendar'!$Q$2018)&lt;=VAL_SERIAL)*1000000+42*1000+53))</f>
        <v/>
      </c>
      <c r="GF201" s="121">
        <f>IF(N('Dvd Calendar'!$R$2019)=0,"",IF(('Dvd Calendar'!$R$2019&gt;=GRID_FROM)*('Dvd Calendar'!$R$2019&lt;=GRID_TO)*('Dvd Calendar'!$R$2019&gt;VAL_DATE)=0,"",'Dvd Calendar'!$R$2019*1000000000+ISNUMBER('Dvd Calendar'!$R$2020)*100000000+0*10000000+(N('Dvd Calendar'!$R$2018)&gt;0)*(N('Dvd Calendar'!$R$2018)&lt;=VAL_SERIAL)*1000000+42*1000+54))</f>
        <v/>
      </c>
      <c r="GG201" s="121">
        <f>IF(N('Dvd Calendar'!$S$2019)=0,"",IF(('Dvd Calendar'!$S$2019&gt;=GRID_FROM)*('Dvd Calendar'!$S$2019&lt;=GRID_TO)*('Dvd Calendar'!$S$2019&gt;VAL_DATE)=0,"",'Dvd Calendar'!$S$2019*1000000000+ISNUMBER('Dvd Calendar'!$S$2020)*100000000+0*10000000+(N('Dvd Calendar'!$S$2018)&gt;0)*(N('Dvd Calendar'!$S$2018)&lt;=VAL_SERIAL)*1000000+42*1000+55))</f>
        <v/>
      </c>
      <c r="GH201" s="121">
        <f>IF(N('Dvd Calendar'!$T$2019)=0,"",IF(('Dvd Calendar'!$T$2019&gt;=GRID_FROM)*('Dvd Calendar'!$T$2019&lt;=GRID_TO)*('Dvd Calendar'!$T$2019&gt;VAL_DATE)=0,"",'Dvd Calendar'!$T$2019*1000000000+ISNUMBER('Dvd Calendar'!$T$2020)*100000000+0*10000000+(N('Dvd Calendar'!$T$2018)&gt;0)*(N('Dvd Calendar'!$T$2018)&lt;=VAL_SERIAL)*1000000+42*1000+56))</f>
        <v/>
      </c>
      <c r="GI201" s="121">
        <f>IF(N('Dvd Calendar'!$U$2019)=0,"",IF(('Dvd Calendar'!$U$2019&gt;=GRID_FROM)*('Dvd Calendar'!$U$2019&lt;=GRID_TO)*('Dvd Calendar'!$U$2019&gt;VAL_DATE)=0,"",'Dvd Calendar'!$U$2019*1000000000+ISNUMBER('Dvd Calendar'!$U$2020)*100000000+0*10000000+(N('Dvd Calendar'!$U$2018)&gt;0)*(N('Dvd Calendar'!$U$2018)&lt;=VAL_SERIAL)*1000000+42*1000+57))</f>
        <v/>
      </c>
      <c r="GJ201" s="121">
        <f>IF(N('Dvd Calendar'!$V$2019)=0,"",IF(('Dvd Calendar'!$V$2019&gt;=GRID_FROM)*('Dvd Calendar'!$V$2019&lt;=GRID_TO)*('Dvd Calendar'!$V$2019&gt;VAL_DATE)=0,"",'Dvd Calendar'!$V$2019*1000000000+ISNUMBER('Dvd Calendar'!$V$2020)*100000000+0*10000000+(N('Dvd Calendar'!$V$2018)&gt;0)*(N('Dvd Calendar'!$V$2018)&lt;=VAL_SERIAL)*1000000+42*1000+58))</f>
        <v/>
      </c>
      <c r="GK201" s="121">
        <f>IF(N('Dvd Calendar'!$W$2019)=0,"",IF(('Dvd Calendar'!$W$2019&gt;=GRID_FROM)*('Dvd Calendar'!$W$2019&lt;=GRID_TO)*('Dvd Calendar'!$W$2019&gt;VAL_DATE)=0,"",'Dvd Calendar'!$W$2019*1000000000+ISNUMBER('Dvd Calendar'!$W$2020)*100000000+0*10000000+(N('Dvd Calendar'!$W$2018)&gt;0)*(N('Dvd Calendar'!$W$2018)&lt;=VAL_SERIAL)*1000000+42*1000+59))</f>
        <v/>
      </c>
      <c r="GL201" s="121">
        <f>IF(N('Dvd Calendar'!$X$2019)=0,"",IF(('Dvd Calendar'!$X$2019&gt;=GRID_FROM)*('Dvd Calendar'!$X$2019&lt;=GRID_TO)*('Dvd Calendar'!$X$2019&gt;VAL_DATE)=0,"",'Dvd Calendar'!$X$2019*1000000000+ISNUMBER('Dvd Calendar'!$X$2020)*100000000+0*10000000+(N('Dvd Calendar'!$X$2018)&gt;0)*(N('Dvd Calendar'!$X$2018)&lt;=VAL_SERIAL)*1000000+42*1000+60))</f>
        <v/>
      </c>
      <c r="GM201" s="121">
        <f>IF(N('Dvd Calendar'!$Y$2019)=0,"",IF(('Dvd Calendar'!$Y$2019&gt;=GRID_FROM)*('Dvd Calendar'!$Y$2019&lt;=GRID_TO)*('Dvd Calendar'!$Y$2019&gt;VAL_DATE)=0,"",'Dvd Calendar'!$Y$2019*1000000000+ISNUMBER('Dvd Calendar'!$Y$2020)*100000000+0*10000000+(N('Dvd Calendar'!$Y$2018)&gt;0)*(N('Dvd Calendar'!$Y$2018)&lt;=VAL_SERIAL)*1000000+42*1000+61))</f>
        <v/>
      </c>
      <c r="GN201" s="121">
        <f>IF(N('Dvd Calendar'!$Z$2019)=0,"",IF(('Dvd Calendar'!$Z$2019&gt;=GRID_FROM)*('Dvd Calendar'!$Z$2019&lt;=GRID_TO)*('Dvd Calendar'!$Z$2019&gt;VAL_DATE)=0,"",'Dvd Calendar'!$Z$2019*1000000000+ISNUMBER('Dvd Calendar'!$Z$2020)*100000000+0*10000000+(N('Dvd Calendar'!$Z$2018)&gt;0)*(N('Dvd Calendar'!$Z$2018)&lt;=VAL_SERIAL)*1000000+42*1000+62))</f>
        <v/>
      </c>
      <c r="GO201" s="121">
        <f>IF(N('Dvd Calendar'!$AA$2019)=0,"",IF(('Dvd Calendar'!$AA$2019&gt;=GRID_FROM)*('Dvd Calendar'!$AA$2019&lt;=GRID_TO)*('Dvd Calendar'!$AA$2019&gt;VAL_DATE)=0,"",'Dvd Calendar'!$AA$2019*1000000000+ISNUMBER('Dvd Calendar'!$AA$2020)*100000000+0*10000000+(N('Dvd Calendar'!$AA$2018)&gt;0)*(N('Dvd Calendar'!$AA$2018)&lt;=VAL_SERIAL)*1000000+42*1000+63))</f>
        <v/>
      </c>
      <c r="GP201" s="121">
        <f>IF(N('Dvd Calendar'!$AB$2019)=0,"",IF(('Dvd Calendar'!$AB$2019&gt;=GRID_FROM)*('Dvd Calendar'!$AB$2019&lt;=GRID_TO)*('Dvd Calendar'!$AB$2019&gt;VAL_DATE)=0,"",'Dvd Calendar'!$AB$2019*1000000000+ISNUMBER('Dvd Calendar'!$AB$2020)*100000000+0*10000000+(N('Dvd Calendar'!$AB$2018)&gt;0)*(N('Dvd Calendar'!$AB$2018)&lt;=VAL_SERIAL)*1000000+42*1000+64))</f>
        <v/>
      </c>
      <c r="GQ201" s="121">
        <f>IF(N('Dvd Calendar'!$AC$2019)=0,"",IF(('Dvd Calendar'!$AC$2019&gt;=GRID_FROM)*('Dvd Calendar'!$AC$2019&lt;=GRID_TO)*('Dvd Calendar'!$AC$2019&gt;VAL_DATE)=0,"",'Dvd Calendar'!$AC$2019*1000000000+ISNUMBER('Dvd Calendar'!$AC$2020)*100000000+0*10000000+(N('Dvd Calendar'!$AC$2018)&gt;0)*(N('Dvd Calendar'!$AC$2018)&lt;=VAL_SERIAL)*1000000+42*1000+65))</f>
        <v/>
      </c>
    </row>
    <row r="202">
      <c r="B202" s="2">
        <f>IF(HSCEI!$C$49="","",HSCEI!$C$49)</f>
        <v/>
      </c>
      <c r="C202" s="161">
        <f>IF(EE202="","",IF(ISNUMBER('Dvd Calendar'!$E$2026)=FALSE,"",IF((('Dvd Calendar'!$E$2028=TYPE1)*(TYPE1&lt;&gt;"")+('Dvd Calendar'!$E$2028=TYPE2)*(TYPE2&lt;&gt;"")+('Dvd Calendar'!$E$2028=TYPE3)*(TYPE3&lt;&gt;"")+('Dvd Calendar'!$E$2028=TYPE4)*(TYPE4&lt;&gt;"")+('Dvd Calendar'!$E$2028=SPECIAL_LBL)*(INC_SPECIALS="Y"))=0,"",'Dvd Calendar'!$E$2026)))</f>
        <v/>
      </c>
      <c r="D202" s="161">
        <f>IF(EF202="","",IF(ISNUMBER('Dvd Calendar'!$F$2026)=FALSE,"",IF((('Dvd Calendar'!$F$2028=TYPE1)*(TYPE1&lt;&gt;"")+('Dvd Calendar'!$F$2028=TYPE2)*(TYPE2&lt;&gt;"")+('Dvd Calendar'!$F$2028=TYPE3)*(TYPE3&lt;&gt;"")+('Dvd Calendar'!$F$2028=TYPE4)*(TYPE4&lt;&gt;"")+('Dvd Calendar'!$F$2028=SPECIAL_LBL)*(INC_SPECIALS="Y"))=0,"",'Dvd Calendar'!$F$2026)))</f>
        <v/>
      </c>
      <c r="E202" s="161">
        <f>IF(EG202="","",IF(ISNUMBER('Dvd Calendar'!$G$2026)=FALSE,"",IF((('Dvd Calendar'!$G$2028=TYPE1)*(TYPE1&lt;&gt;"")+('Dvd Calendar'!$G$2028=TYPE2)*(TYPE2&lt;&gt;"")+('Dvd Calendar'!$G$2028=TYPE3)*(TYPE3&lt;&gt;"")+('Dvd Calendar'!$G$2028=TYPE4)*(TYPE4&lt;&gt;"")+('Dvd Calendar'!$G$2028=SPECIAL_LBL)*(INC_SPECIALS="Y"))=0,"",'Dvd Calendar'!$G$2026)))</f>
        <v/>
      </c>
      <c r="F202" s="161">
        <f>IF(EH202="","",IF(ISNUMBER('Dvd Calendar'!$H$2026)=FALSE,"",IF((('Dvd Calendar'!$H$2028=TYPE1)*(TYPE1&lt;&gt;"")+('Dvd Calendar'!$H$2028=TYPE2)*(TYPE2&lt;&gt;"")+('Dvd Calendar'!$H$2028=TYPE3)*(TYPE3&lt;&gt;"")+('Dvd Calendar'!$H$2028=TYPE4)*(TYPE4&lt;&gt;"")+('Dvd Calendar'!$H$2028=SPECIAL_LBL)*(INC_SPECIALS="Y"))=0,"",'Dvd Calendar'!$H$2026)))</f>
        <v/>
      </c>
      <c r="G202" s="161">
        <f>IF(EI202="","",IF(ISNUMBER('Dvd Calendar'!$I$2026)=FALSE,"",IF((('Dvd Calendar'!$I$2028=TYPE1)*(TYPE1&lt;&gt;"")+('Dvd Calendar'!$I$2028=TYPE2)*(TYPE2&lt;&gt;"")+('Dvd Calendar'!$I$2028=TYPE3)*(TYPE3&lt;&gt;"")+('Dvd Calendar'!$I$2028=TYPE4)*(TYPE4&lt;&gt;"")+('Dvd Calendar'!$I$2028=SPECIAL_LBL)*(INC_SPECIALS="Y"))=0,"",'Dvd Calendar'!$I$2026)))</f>
        <v/>
      </c>
      <c r="H202" s="161">
        <f>IF(EJ202="","",IF(ISNUMBER('Dvd Calendar'!$J$2026)=FALSE,"",IF((('Dvd Calendar'!$J$2028=TYPE1)*(TYPE1&lt;&gt;"")+('Dvd Calendar'!$J$2028=TYPE2)*(TYPE2&lt;&gt;"")+('Dvd Calendar'!$J$2028=TYPE3)*(TYPE3&lt;&gt;"")+('Dvd Calendar'!$J$2028=TYPE4)*(TYPE4&lt;&gt;"")+('Dvd Calendar'!$J$2028=SPECIAL_LBL)*(INC_SPECIALS="Y"))=0,"",'Dvd Calendar'!$J$2026)))</f>
        <v/>
      </c>
      <c r="I202" s="161">
        <f>IF(EK202="","",IF(ISNUMBER('Dvd Calendar'!$K$2026)=FALSE,"",IF((('Dvd Calendar'!$K$2028=TYPE1)*(TYPE1&lt;&gt;"")+('Dvd Calendar'!$K$2028=TYPE2)*(TYPE2&lt;&gt;"")+('Dvd Calendar'!$K$2028=TYPE3)*(TYPE3&lt;&gt;"")+('Dvd Calendar'!$K$2028=TYPE4)*(TYPE4&lt;&gt;"")+('Dvd Calendar'!$K$2028=SPECIAL_LBL)*(INC_SPECIALS="Y"))=0,"",'Dvd Calendar'!$K$2026)))</f>
        <v/>
      </c>
      <c r="J202" s="161">
        <f>IF(EL202="","",IF(ISNUMBER('Dvd Calendar'!$L$2026)=FALSE,"",IF((('Dvd Calendar'!$L$2028=TYPE1)*(TYPE1&lt;&gt;"")+('Dvd Calendar'!$L$2028=TYPE2)*(TYPE2&lt;&gt;"")+('Dvd Calendar'!$L$2028=TYPE3)*(TYPE3&lt;&gt;"")+('Dvd Calendar'!$L$2028=TYPE4)*(TYPE4&lt;&gt;"")+('Dvd Calendar'!$L$2028=SPECIAL_LBL)*(INC_SPECIALS="Y"))=0,"",'Dvd Calendar'!$L$2026)))</f>
        <v/>
      </c>
      <c r="K202" s="161">
        <f>IF(EM202="","",IF(ISNUMBER('Dvd Calendar'!$M$2026)=FALSE,"",IF((('Dvd Calendar'!$M$2028=TYPE1)*(TYPE1&lt;&gt;"")+('Dvd Calendar'!$M$2028=TYPE2)*(TYPE2&lt;&gt;"")+('Dvd Calendar'!$M$2028=TYPE3)*(TYPE3&lt;&gt;"")+('Dvd Calendar'!$M$2028=TYPE4)*(TYPE4&lt;&gt;"")+('Dvd Calendar'!$M$2028=SPECIAL_LBL)*(INC_SPECIALS="Y"))=0,"",'Dvd Calendar'!$M$2026)))</f>
        <v/>
      </c>
      <c r="L202" s="161">
        <f>IF(EN202="","",IF(ISNUMBER('Dvd Calendar'!$N$2026)=FALSE,"",IF((('Dvd Calendar'!$N$2028=TYPE1)*(TYPE1&lt;&gt;"")+('Dvd Calendar'!$N$2028=TYPE2)*(TYPE2&lt;&gt;"")+('Dvd Calendar'!$N$2028=TYPE3)*(TYPE3&lt;&gt;"")+('Dvd Calendar'!$N$2028=TYPE4)*(TYPE4&lt;&gt;"")+('Dvd Calendar'!$N$2028=SPECIAL_LBL)*(INC_SPECIALS="Y"))=0,"",'Dvd Calendar'!$N$2026)))</f>
        <v/>
      </c>
      <c r="M202" s="161">
        <f>IF(EO202="","",IF(ISNUMBER('Dvd Calendar'!$O$2026)=FALSE,"",IF((('Dvd Calendar'!$O$2028=TYPE1)*(TYPE1&lt;&gt;"")+('Dvd Calendar'!$O$2028=TYPE2)*(TYPE2&lt;&gt;"")+('Dvd Calendar'!$O$2028=TYPE3)*(TYPE3&lt;&gt;"")+('Dvd Calendar'!$O$2028=TYPE4)*(TYPE4&lt;&gt;"")+('Dvd Calendar'!$O$2028=SPECIAL_LBL)*(INC_SPECIALS="Y"))=0,"",'Dvd Calendar'!$O$2026)))</f>
        <v/>
      </c>
      <c r="N202" s="161">
        <f>IF(EP202="","",IF(ISNUMBER('Dvd Calendar'!$P$2026)=FALSE,"",IF((('Dvd Calendar'!$P$2028=TYPE1)*(TYPE1&lt;&gt;"")+('Dvd Calendar'!$P$2028=TYPE2)*(TYPE2&lt;&gt;"")+('Dvd Calendar'!$P$2028=TYPE3)*(TYPE3&lt;&gt;"")+('Dvd Calendar'!$P$2028=TYPE4)*(TYPE4&lt;&gt;"")+('Dvd Calendar'!$P$2028=SPECIAL_LBL)*(INC_SPECIALS="Y"))=0,"",'Dvd Calendar'!$P$2026)))</f>
        <v/>
      </c>
      <c r="O202" s="161">
        <f>IF(EQ202="","",IF(ISNUMBER('Dvd Calendar'!$Q$2026)=FALSE,"",IF((('Dvd Calendar'!$Q$2028=TYPE1)*(TYPE1&lt;&gt;"")+('Dvd Calendar'!$Q$2028=TYPE2)*(TYPE2&lt;&gt;"")+('Dvd Calendar'!$Q$2028=TYPE3)*(TYPE3&lt;&gt;"")+('Dvd Calendar'!$Q$2028=TYPE4)*(TYPE4&lt;&gt;"")+('Dvd Calendar'!$Q$2028=SPECIAL_LBL)*(INC_SPECIALS="Y"))=0,"",'Dvd Calendar'!$Q$2026)))</f>
        <v/>
      </c>
      <c r="P202" s="161">
        <f>IF(ER202="","",IF(ISNUMBER('Dvd Calendar'!$R$2026)=FALSE,"",IF((('Dvd Calendar'!$R$2028=TYPE1)*(TYPE1&lt;&gt;"")+('Dvd Calendar'!$R$2028=TYPE2)*(TYPE2&lt;&gt;"")+('Dvd Calendar'!$R$2028=TYPE3)*(TYPE3&lt;&gt;"")+('Dvd Calendar'!$R$2028=TYPE4)*(TYPE4&lt;&gt;"")+('Dvd Calendar'!$R$2028=SPECIAL_LBL)*(INC_SPECIALS="Y"))=0,"",'Dvd Calendar'!$R$2026)))</f>
        <v/>
      </c>
      <c r="Q202" s="161">
        <f>IF(ES202="","",IF(ISNUMBER('Dvd Calendar'!$S$2026)=FALSE,"",IF((('Dvd Calendar'!$S$2028=TYPE1)*(TYPE1&lt;&gt;"")+('Dvd Calendar'!$S$2028=TYPE2)*(TYPE2&lt;&gt;"")+('Dvd Calendar'!$S$2028=TYPE3)*(TYPE3&lt;&gt;"")+('Dvd Calendar'!$S$2028=TYPE4)*(TYPE4&lt;&gt;"")+('Dvd Calendar'!$S$2028=SPECIAL_LBL)*(INC_SPECIALS="Y"))=0,"",'Dvd Calendar'!$S$2026)))</f>
        <v/>
      </c>
      <c r="R202" s="161">
        <f>IF(ET202="","",IF(ISNUMBER('Dvd Calendar'!$T$2026)=FALSE,"",IF((('Dvd Calendar'!$T$2028=TYPE1)*(TYPE1&lt;&gt;"")+('Dvd Calendar'!$T$2028=TYPE2)*(TYPE2&lt;&gt;"")+('Dvd Calendar'!$T$2028=TYPE3)*(TYPE3&lt;&gt;"")+('Dvd Calendar'!$T$2028=TYPE4)*(TYPE4&lt;&gt;"")+('Dvd Calendar'!$T$2028=SPECIAL_LBL)*(INC_SPECIALS="Y"))=0,"",'Dvd Calendar'!$T$2026)))</f>
        <v/>
      </c>
      <c r="S202" s="161">
        <f>IF(EU202="","",IF(ISNUMBER('Dvd Calendar'!$U$2026)=FALSE,"",IF((('Dvd Calendar'!$U$2028=TYPE1)*(TYPE1&lt;&gt;"")+('Dvd Calendar'!$U$2028=TYPE2)*(TYPE2&lt;&gt;"")+('Dvd Calendar'!$U$2028=TYPE3)*(TYPE3&lt;&gt;"")+('Dvd Calendar'!$U$2028=TYPE4)*(TYPE4&lt;&gt;"")+('Dvd Calendar'!$U$2028=SPECIAL_LBL)*(INC_SPECIALS="Y"))=0,"",'Dvd Calendar'!$U$2026)))</f>
        <v/>
      </c>
      <c r="T202" s="161">
        <f>IF(EV202="","",IF(ISNUMBER('Dvd Calendar'!$V$2026)=FALSE,"",IF((('Dvd Calendar'!$V$2028=TYPE1)*(TYPE1&lt;&gt;"")+('Dvd Calendar'!$V$2028=TYPE2)*(TYPE2&lt;&gt;"")+('Dvd Calendar'!$V$2028=TYPE3)*(TYPE3&lt;&gt;"")+('Dvd Calendar'!$V$2028=TYPE4)*(TYPE4&lt;&gt;"")+('Dvd Calendar'!$V$2028=SPECIAL_LBL)*(INC_SPECIALS="Y"))=0,"",'Dvd Calendar'!$V$2026)))</f>
        <v/>
      </c>
      <c r="U202" s="161">
        <f>IF(EW202="","",IF(ISNUMBER('Dvd Calendar'!$W$2026)=FALSE,"",IF((('Dvd Calendar'!$W$2028=TYPE1)*(TYPE1&lt;&gt;"")+('Dvd Calendar'!$W$2028=TYPE2)*(TYPE2&lt;&gt;"")+('Dvd Calendar'!$W$2028=TYPE3)*(TYPE3&lt;&gt;"")+('Dvd Calendar'!$W$2028=TYPE4)*(TYPE4&lt;&gt;"")+('Dvd Calendar'!$W$2028=SPECIAL_LBL)*(INC_SPECIALS="Y"))=0,"",'Dvd Calendar'!$W$2026)))</f>
        <v/>
      </c>
      <c r="V202" s="161">
        <f>IF(EX202="","",IF(ISNUMBER('Dvd Calendar'!$X$2026)=FALSE,"",IF((('Dvd Calendar'!$X$2028=TYPE1)*(TYPE1&lt;&gt;"")+('Dvd Calendar'!$X$2028=TYPE2)*(TYPE2&lt;&gt;"")+('Dvd Calendar'!$X$2028=TYPE3)*(TYPE3&lt;&gt;"")+('Dvd Calendar'!$X$2028=TYPE4)*(TYPE4&lt;&gt;"")+('Dvd Calendar'!$X$2028=SPECIAL_LBL)*(INC_SPECIALS="Y"))=0,"",'Dvd Calendar'!$X$2026)))</f>
        <v/>
      </c>
      <c r="W202" s="161">
        <f>IF(EY202="","",IF(ISNUMBER('Dvd Calendar'!$Y$2026)=FALSE,"",IF((('Dvd Calendar'!$Y$2028=TYPE1)*(TYPE1&lt;&gt;"")+('Dvd Calendar'!$Y$2028=TYPE2)*(TYPE2&lt;&gt;"")+('Dvd Calendar'!$Y$2028=TYPE3)*(TYPE3&lt;&gt;"")+('Dvd Calendar'!$Y$2028=TYPE4)*(TYPE4&lt;&gt;"")+('Dvd Calendar'!$Y$2028=SPECIAL_LBL)*(INC_SPECIALS="Y"))=0,"",'Dvd Calendar'!$Y$2026)))</f>
        <v/>
      </c>
      <c r="X202" s="161">
        <f>IF(EZ202="","",IF(ISNUMBER('Dvd Calendar'!$Z$2026)=FALSE,"",IF((('Dvd Calendar'!$Z$2028=TYPE1)*(TYPE1&lt;&gt;"")+('Dvd Calendar'!$Z$2028=TYPE2)*(TYPE2&lt;&gt;"")+('Dvd Calendar'!$Z$2028=TYPE3)*(TYPE3&lt;&gt;"")+('Dvd Calendar'!$Z$2028=TYPE4)*(TYPE4&lt;&gt;"")+('Dvd Calendar'!$Z$2028=SPECIAL_LBL)*(INC_SPECIALS="Y"))=0,"",'Dvd Calendar'!$Z$2026)))</f>
        <v/>
      </c>
      <c r="Y202" s="161">
        <f>IF(FA202="","",IF(ISNUMBER('Dvd Calendar'!$AA$2026)=FALSE,"",IF((('Dvd Calendar'!$AA$2028=TYPE1)*(TYPE1&lt;&gt;"")+('Dvd Calendar'!$AA$2028=TYPE2)*(TYPE2&lt;&gt;"")+('Dvd Calendar'!$AA$2028=TYPE3)*(TYPE3&lt;&gt;"")+('Dvd Calendar'!$AA$2028=TYPE4)*(TYPE4&lt;&gt;"")+('Dvd Calendar'!$AA$2028=SPECIAL_LBL)*(INC_SPECIALS="Y"))=0,"",'Dvd Calendar'!$AA$2026)))</f>
        <v/>
      </c>
      <c r="Z202" s="161">
        <f>IF(FB202="","",IF(ISNUMBER('Dvd Calendar'!$AB$2026)=FALSE,"",IF((('Dvd Calendar'!$AB$2028=TYPE1)*(TYPE1&lt;&gt;"")+('Dvd Calendar'!$AB$2028=TYPE2)*(TYPE2&lt;&gt;"")+('Dvd Calendar'!$AB$2028=TYPE3)*(TYPE3&lt;&gt;"")+('Dvd Calendar'!$AB$2028=TYPE4)*(TYPE4&lt;&gt;"")+('Dvd Calendar'!$AB$2028=SPECIAL_LBL)*(INC_SPECIALS="Y"))=0,"",'Dvd Calendar'!$AB$2026)))</f>
        <v/>
      </c>
      <c r="AA202" s="161">
        <f>IF(FC202="","",IF(ISNUMBER('Dvd Calendar'!$AC$2026)=FALSE,"",IF((('Dvd Calendar'!$AC$2028=TYPE1)*(TYPE1&lt;&gt;"")+('Dvd Calendar'!$AC$2028=TYPE2)*(TYPE2&lt;&gt;"")+('Dvd Calendar'!$AC$2028=TYPE3)*(TYPE3&lt;&gt;"")+('Dvd Calendar'!$AC$2028=TYPE4)*(TYPE4&lt;&gt;"")+('Dvd Calendar'!$AC$2028=SPECIAL_LBL)*(INC_SPECIALS="Y"))=0,"",'Dvd Calendar'!$AC$2026)))</f>
        <v/>
      </c>
      <c r="AB202" s="161">
        <f>IF(FD202="","",IF(ISNUMBER('Dvd Calendar'!$AD$2026)=FALSE,"",IF((('Dvd Calendar'!$AD$2028=TYPE1)*(TYPE1&lt;&gt;"")+('Dvd Calendar'!$AD$2028=TYPE2)*(TYPE2&lt;&gt;"")+('Dvd Calendar'!$AD$2028=TYPE3)*(TYPE3&lt;&gt;"")+('Dvd Calendar'!$AD$2028=TYPE4)*(TYPE4&lt;&gt;"")+('Dvd Calendar'!$AD$2028=SPECIAL_LBL)*(INC_SPECIALS="Y"))=0,"",'Dvd Calendar'!$AD$2026)))</f>
        <v/>
      </c>
      <c r="AC202" s="161">
        <f>IF(FE202="","",IF(ISNUMBER('Dvd Calendar'!$AE$2026)=FALSE,"",IF((('Dvd Calendar'!$AE$2028=TYPE1)*(TYPE1&lt;&gt;"")+('Dvd Calendar'!$AE$2028=TYPE2)*(TYPE2&lt;&gt;"")+('Dvd Calendar'!$AE$2028=TYPE3)*(TYPE3&lt;&gt;"")+('Dvd Calendar'!$AE$2028=TYPE4)*(TYPE4&lt;&gt;"")+('Dvd Calendar'!$AE$2028=SPECIAL_LBL)*(INC_SPECIALS="Y"))=0,"",'Dvd Calendar'!$AE$2026)))</f>
        <v/>
      </c>
      <c r="AD202" s="161">
        <f>IF(FF202="","",IF(ISNUMBER('Dvd Calendar'!$AF$2026)=FALSE,"",IF((('Dvd Calendar'!$AF$2028=TYPE1)*(TYPE1&lt;&gt;"")+('Dvd Calendar'!$AF$2028=TYPE2)*(TYPE2&lt;&gt;"")+('Dvd Calendar'!$AF$2028=TYPE3)*(TYPE3&lt;&gt;"")+('Dvd Calendar'!$AF$2028=TYPE4)*(TYPE4&lt;&gt;"")+('Dvd Calendar'!$AF$2028=SPECIAL_LBL)*(INC_SPECIALS="Y"))=0,"",'Dvd Calendar'!$AF$2026)))</f>
        <v/>
      </c>
      <c r="AE202" s="161">
        <f>IF(FG202="","",IF(ISNUMBER('Dvd Calendar'!$AG$2026)=FALSE,"",IF((('Dvd Calendar'!$AG$2028=TYPE1)*(TYPE1&lt;&gt;"")+('Dvd Calendar'!$AG$2028=TYPE2)*(TYPE2&lt;&gt;"")+('Dvd Calendar'!$AG$2028=TYPE3)*(TYPE3&lt;&gt;"")+('Dvd Calendar'!$AG$2028=TYPE4)*(TYPE4&lt;&gt;"")+('Dvd Calendar'!$AG$2028=SPECIAL_LBL)*(INC_SPECIALS="Y"))=0,"",'Dvd Calendar'!$AG$2026)))</f>
        <v/>
      </c>
      <c r="AF202" s="161">
        <f>IF(FH202="","",IF(ISNUMBER('Dvd Calendar'!$AH$2026)=FALSE,"",IF((('Dvd Calendar'!$AH$2028=TYPE1)*(TYPE1&lt;&gt;"")+('Dvd Calendar'!$AH$2028=TYPE2)*(TYPE2&lt;&gt;"")+('Dvd Calendar'!$AH$2028=TYPE3)*(TYPE3&lt;&gt;"")+('Dvd Calendar'!$AH$2028=TYPE4)*(TYPE4&lt;&gt;"")+('Dvd Calendar'!$AH$2028=SPECIAL_LBL)*(INC_SPECIALS="Y"))=0,"",'Dvd Calendar'!$AH$2026)))</f>
        <v/>
      </c>
      <c r="AG202" s="161">
        <f>IF(FI202="","",IF(ISNUMBER('Dvd Calendar'!$AI$2026)=FALSE,"",IF((('Dvd Calendar'!$AI$2028=TYPE1)*(TYPE1&lt;&gt;"")+('Dvd Calendar'!$AI$2028=TYPE2)*(TYPE2&lt;&gt;"")+('Dvd Calendar'!$AI$2028=TYPE3)*(TYPE3&lt;&gt;"")+('Dvd Calendar'!$AI$2028=TYPE4)*(TYPE4&lt;&gt;"")+('Dvd Calendar'!$AI$2028=SPECIAL_LBL)*(INC_SPECIALS="Y"))=0,"",'Dvd Calendar'!$AI$2026)))</f>
        <v/>
      </c>
      <c r="AH202" s="161">
        <f>IF(FJ202="","",IF(ISNUMBER('Dvd Calendar'!$AJ$2026)=FALSE,"",IF((('Dvd Calendar'!$AJ$2028=TYPE1)*(TYPE1&lt;&gt;"")+('Dvd Calendar'!$AJ$2028=TYPE2)*(TYPE2&lt;&gt;"")+('Dvd Calendar'!$AJ$2028=TYPE3)*(TYPE3&lt;&gt;"")+('Dvd Calendar'!$AJ$2028=TYPE4)*(TYPE4&lt;&gt;"")+('Dvd Calendar'!$AJ$2028=SPECIAL_LBL)*(INC_SPECIALS="Y"))=0,"",'Dvd Calendar'!$AJ$2026)))</f>
        <v/>
      </c>
      <c r="AI202" s="161">
        <f>IF(FK202="","",IF(ISNUMBER('Dvd Calendar'!$AK$2026)=FALSE,"",IF((('Dvd Calendar'!$AK$2028=TYPE1)*(TYPE1&lt;&gt;"")+('Dvd Calendar'!$AK$2028=TYPE2)*(TYPE2&lt;&gt;"")+('Dvd Calendar'!$AK$2028=TYPE3)*(TYPE3&lt;&gt;"")+('Dvd Calendar'!$AK$2028=TYPE4)*(TYPE4&lt;&gt;"")+('Dvd Calendar'!$AK$2028=SPECIAL_LBL)*(INC_SPECIALS="Y"))=0,"",'Dvd Calendar'!$AK$2026)))</f>
        <v/>
      </c>
      <c r="AJ202" s="161">
        <f>IF(FL202="","",IF(ISNUMBER('Dvd Calendar'!$AL$2026)=FALSE,"",IF((('Dvd Calendar'!$AL$2028=TYPE1)*(TYPE1&lt;&gt;"")+('Dvd Calendar'!$AL$2028=TYPE2)*(TYPE2&lt;&gt;"")+('Dvd Calendar'!$AL$2028=TYPE3)*(TYPE3&lt;&gt;"")+('Dvd Calendar'!$AL$2028=TYPE4)*(TYPE4&lt;&gt;"")+('Dvd Calendar'!$AL$2028=SPECIAL_LBL)*(INC_SPECIALS="Y"))=0,"",'Dvd Calendar'!$AL$2026)))</f>
        <v/>
      </c>
      <c r="AK202" s="161">
        <f>IF(FM202="","",IF(ISNUMBER('Dvd Calendar'!$AM$2026)=FALSE,"",IF((('Dvd Calendar'!$AM$2028=TYPE1)*(TYPE1&lt;&gt;"")+('Dvd Calendar'!$AM$2028=TYPE2)*(TYPE2&lt;&gt;"")+('Dvd Calendar'!$AM$2028=TYPE3)*(TYPE3&lt;&gt;"")+('Dvd Calendar'!$AM$2028=TYPE4)*(TYPE4&lt;&gt;"")+('Dvd Calendar'!$AM$2028=SPECIAL_LBL)*(INC_SPECIALS="Y"))=0,"",'Dvd Calendar'!$AM$2026)))</f>
        <v/>
      </c>
      <c r="AL202" s="161">
        <f>IF(FN202="","",IF(ISNUMBER('Dvd Calendar'!$AN$2026)=FALSE,"",IF((('Dvd Calendar'!$AN$2028=TYPE1)*(TYPE1&lt;&gt;"")+('Dvd Calendar'!$AN$2028=TYPE2)*(TYPE2&lt;&gt;"")+('Dvd Calendar'!$AN$2028=TYPE3)*(TYPE3&lt;&gt;"")+('Dvd Calendar'!$AN$2028=TYPE4)*(TYPE4&lt;&gt;"")+('Dvd Calendar'!$AN$2028=SPECIAL_LBL)*(INC_SPECIALS="Y"))=0,"",'Dvd Calendar'!$AN$2026)))</f>
        <v/>
      </c>
      <c r="AM202" s="161">
        <f>IF(FO202="","",IF(ISNUMBER('Dvd Calendar'!$AO$2026)=FALSE,"",IF((('Dvd Calendar'!$AO$2028=TYPE1)*(TYPE1&lt;&gt;"")+('Dvd Calendar'!$AO$2028=TYPE2)*(TYPE2&lt;&gt;"")+('Dvd Calendar'!$AO$2028=TYPE3)*(TYPE3&lt;&gt;"")+('Dvd Calendar'!$AO$2028=TYPE4)*(TYPE4&lt;&gt;"")+('Dvd Calendar'!$AO$2028=SPECIAL_LBL)*(INC_SPECIALS="Y"))=0,"",'Dvd Calendar'!$AO$2026)))</f>
        <v/>
      </c>
      <c r="AN202" s="161">
        <f>IF(FP202="","",IF(ISNUMBER('Dvd Calendar'!$AP$2026)=FALSE,"",IF((('Dvd Calendar'!$AP$2028=TYPE1)*(TYPE1&lt;&gt;"")+('Dvd Calendar'!$AP$2028=TYPE2)*(TYPE2&lt;&gt;"")+('Dvd Calendar'!$AP$2028=TYPE3)*(TYPE3&lt;&gt;"")+('Dvd Calendar'!$AP$2028=TYPE4)*(TYPE4&lt;&gt;"")+('Dvd Calendar'!$AP$2028=SPECIAL_LBL)*(INC_SPECIALS="Y"))=0,"",'Dvd Calendar'!$AP$2026)))</f>
        <v/>
      </c>
      <c r="AO202" s="161">
        <f>IF(FQ202="","",IF(ISNUMBER('Dvd Calendar'!$AQ$2026)=FALSE,"",IF((('Dvd Calendar'!$AQ$2028=TYPE1)*(TYPE1&lt;&gt;"")+('Dvd Calendar'!$AQ$2028=TYPE2)*(TYPE2&lt;&gt;"")+('Dvd Calendar'!$AQ$2028=TYPE3)*(TYPE3&lt;&gt;"")+('Dvd Calendar'!$AQ$2028=TYPE4)*(TYPE4&lt;&gt;"")+('Dvd Calendar'!$AQ$2028=SPECIAL_LBL)*(INC_SPECIALS="Y"))=0,"",'Dvd Calendar'!$AQ$2026)))</f>
        <v/>
      </c>
      <c r="AP202" s="161">
        <f>IF(FR202="","",IF(ISNUMBER('Dvd Calendar'!$AR$2026)=FALSE,"",IF((('Dvd Calendar'!$AR$2028=TYPE1)*(TYPE1&lt;&gt;"")+('Dvd Calendar'!$AR$2028=TYPE2)*(TYPE2&lt;&gt;"")+('Dvd Calendar'!$AR$2028=TYPE3)*(TYPE3&lt;&gt;"")+('Dvd Calendar'!$AR$2028=TYPE4)*(TYPE4&lt;&gt;"")+('Dvd Calendar'!$AR$2028=SPECIAL_LBL)*(INC_SPECIALS="Y"))=0,"",'Dvd Calendar'!$AR$2026)))</f>
        <v/>
      </c>
      <c r="AQ202" s="161">
        <f>IF(FS202="","",IF(ISNUMBER('Dvd Calendar'!$E$2031)=FALSE,"",'Dvd Calendar'!$E$2031))</f>
        <v/>
      </c>
      <c r="AR202" s="161">
        <f>IF(FT202="","",IF(ISNUMBER('Dvd Calendar'!$F$2031)=FALSE,"",'Dvd Calendar'!$F$2031))</f>
        <v/>
      </c>
      <c r="AS202" s="161">
        <f>IF(FU202="","",IF(ISNUMBER('Dvd Calendar'!$G$2031)=FALSE,"",'Dvd Calendar'!$G$2031))</f>
        <v/>
      </c>
      <c r="AT202" s="161">
        <f>IF(FV202="","",IF(ISNUMBER('Dvd Calendar'!$H$2031)=FALSE,"",'Dvd Calendar'!$H$2031))</f>
        <v/>
      </c>
      <c r="AU202" s="161">
        <f>IF(FW202="","",IF(ISNUMBER('Dvd Calendar'!$I$2031)=FALSE,"",'Dvd Calendar'!$I$2031))</f>
        <v/>
      </c>
      <c r="AV202" s="161">
        <f>IF(FX202="","",IF(ISNUMBER('Dvd Calendar'!$J$2031)=FALSE,"",'Dvd Calendar'!$J$2031))</f>
        <v/>
      </c>
      <c r="AW202" s="161">
        <f>IF(FY202="","",IF(ISNUMBER('Dvd Calendar'!$K$2031)=FALSE,"",'Dvd Calendar'!$K$2031))</f>
        <v/>
      </c>
      <c r="AX202" s="161">
        <f>IF(FZ202="","",IF(ISNUMBER('Dvd Calendar'!$L$2031)=FALSE,"",'Dvd Calendar'!$L$2031))</f>
        <v/>
      </c>
      <c r="AY202" s="161">
        <f>IF(GA202="","",IF(ISNUMBER('Dvd Calendar'!$M$2031)=FALSE,"",'Dvd Calendar'!$M$2031))</f>
        <v/>
      </c>
      <c r="AZ202" s="161">
        <f>IF(GB202="","",IF(ISNUMBER('Dvd Calendar'!$N$2031)=FALSE,"",'Dvd Calendar'!$N$2031))</f>
        <v/>
      </c>
      <c r="BA202" s="161">
        <f>IF(GC202="","",IF(ISNUMBER('Dvd Calendar'!$O$2031)=FALSE,"",'Dvd Calendar'!$O$2031))</f>
        <v/>
      </c>
      <c r="BB202" s="161">
        <f>IF(GD202="","",IF(ISNUMBER('Dvd Calendar'!$P$2031)=FALSE,"",'Dvd Calendar'!$P$2031))</f>
        <v/>
      </c>
      <c r="BC202" s="161">
        <f>IF(GE202="","",IF(ISNUMBER('Dvd Calendar'!$Q$2031)=FALSE,"",'Dvd Calendar'!$Q$2031))</f>
        <v/>
      </c>
      <c r="BD202" s="161">
        <f>IF(GF202="","",IF(ISNUMBER('Dvd Calendar'!$R$2031)=FALSE,"",'Dvd Calendar'!$R$2031))</f>
        <v/>
      </c>
      <c r="BE202" s="161">
        <f>IF(GG202="","",IF(ISNUMBER('Dvd Calendar'!$S$2031)=FALSE,"",'Dvd Calendar'!$S$2031))</f>
        <v/>
      </c>
      <c r="BF202" s="161">
        <f>IF(GH202="","",IF(ISNUMBER('Dvd Calendar'!$T$2031)=FALSE,"",'Dvd Calendar'!$T$2031))</f>
        <v/>
      </c>
      <c r="BG202" s="161">
        <f>IF(GI202="","",IF(ISNUMBER('Dvd Calendar'!$U$2031)=FALSE,"",'Dvd Calendar'!$U$2031))</f>
        <v/>
      </c>
      <c r="BH202" s="161">
        <f>IF(GJ202="","",IF(ISNUMBER('Dvd Calendar'!$V$2031)=FALSE,"",'Dvd Calendar'!$V$2031))</f>
        <v/>
      </c>
      <c r="BI202" s="161">
        <f>IF(GK202="","",IF(ISNUMBER('Dvd Calendar'!$W$2031)=FALSE,"",'Dvd Calendar'!$W$2031))</f>
        <v/>
      </c>
      <c r="BJ202" s="161">
        <f>IF(GL202="","",IF(ISNUMBER('Dvd Calendar'!$X$2031)=FALSE,"",'Dvd Calendar'!$X$2031))</f>
        <v/>
      </c>
      <c r="BK202" s="161">
        <f>IF(GM202="","",IF(ISNUMBER('Dvd Calendar'!$Y$2031)=FALSE,"",'Dvd Calendar'!$Y$2031))</f>
        <v/>
      </c>
      <c r="BL202" s="161">
        <f>IF(GN202="","",IF(ISNUMBER('Dvd Calendar'!$Z$2031)=FALSE,"",'Dvd Calendar'!$Z$2031))</f>
        <v/>
      </c>
      <c r="BM202" s="161">
        <f>IF(GO202="","",IF(ISNUMBER('Dvd Calendar'!$AA$2031)=FALSE,"",'Dvd Calendar'!$AA$2031))</f>
        <v/>
      </c>
      <c r="BN202" s="161">
        <f>IF(GP202="","",IF(ISNUMBER('Dvd Calendar'!$AB$2031)=FALSE,"",'Dvd Calendar'!$AB$2031))</f>
        <v/>
      </c>
      <c r="BO202" s="161">
        <f>IF(GQ202="","",IF(ISNUMBER('Dvd Calendar'!$AC$2031)=FALSE,"",'Dvd Calendar'!$AC$2031))</f>
        <v/>
      </c>
      <c r="BQ202" s="161">
        <f>IF(C202="","",IFERROR(C202*HSCEI!$B$49*HSCEI!$G$49/HSCEI!$B$3,""))</f>
        <v/>
      </c>
      <c r="BR202" s="161">
        <f>IF(D202="","",IFERROR(D202*HSCEI!$B$49*HSCEI!$G$49/HSCEI!$B$3,""))</f>
        <v/>
      </c>
      <c r="BS202" s="161">
        <f>IF(E202="","",IFERROR(E202*HSCEI!$B$49*HSCEI!$G$49/HSCEI!$B$3,""))</f>
        <v/>
      </c>
      <c r="BT202" s="161">
        <f>IF(F202="","",IFERROR(F202*HSCEI!$B$49*HSCEI!$G$49/HSCEI!$B$3,""))</f>
        <v/>
      </c>
      <c r="BU202" s="161">
        <f>IF(G202="","",IFERROR(G202*HSCEI!$B$49*HSCEI!$G$49/HSCEI!$B$3,""))</f>
        <v/>
      </c>
      <c r="BV202" s="161">
        <f>IF(H202="","",IFERROR(H202*HSCEI!$B$49*HSCEI!$G$49/HSCEI!$B$3,""))</f>
        <v/>
      </c>
      <c r="BW202" s="161">
        <f>IF(I202="","",IFERROR(I202*HSCEI!$B$49*HSCEI!$G$49/HSCEI!$B$3,""))</f>
        <v/>
      </c>
      <c r="BX202" s="161">
        <f>IF(J202="","",IFERROR(J202*HSCEI!$B$49*HSCEI!$G$49/HSCEI!$B$3,""))</f>
        <v/>
      </c>
      <c r="BY202" s="161">
        <f>IF(K202="","",IFERROR(K202*HSCEI!$B$49*HSCEI!$G$49/HSCEI!$B$3,""))</f>
        <v/>
      </c>
      <c r="BZ202" s="161">
        <f>IF(L202="","",IFERROR(L202*HSCEI!$B$49*HSCEI!$G$49/HSCEI!$B$3,""))</f>
        <v/>
      </c>
      <c r="CA202" s="161">
        <f>IF(M202="","",IFERROR(M202*HSCEI!$B$49*HSCEI!$G$49/HSCEI!$B$3,""))</f>
        <v/>
      </c>
      <c r="CB202" s="161">
        <f>IF(N202="","",IFERROR(N202*HSCEI!$B$49*HSCEI!$G$49/HSCEI!$B$3,""))</f>
        <v/>
      </c>
      <c r="CC202" s="161">
        <f>IF(O202="","",IFERROR(O202*HSCEI!$B$49*HSCEI!$G$49/HSCEI!$B$3,""))</f>
        <v/>
      </c>
      <c r="CD202" s="161">
        <f>IF(P202="","",IFERROR(P202*HSCEI!$B$49*HSCEI!$G$49/HSCEI!$B$3,""))</f>
        <v/>
      </c>
      <c r="CE202" s="161">
        <f>IF(Q202="","",IFERROR(Q202*HSCEI!$B$49*HSCEI!$G$49/HSCEI!$B$3,""))</f>
        <v/>
      </c>
      <c r="CF202" s="161">
        <f>IF(R202="","",IFERROR(R202*HSCEI!$B$49*HSCEI!$G$49/HSCEI!$B$3,""))</f>
        <v/>
      </c>
      <c r="CG202" s="161">
        <f>IF(S202="","",IFERROR(S202*HSCEI!$B$49*HSCEI!$G$49/HSCEI!$B$3,""))</f>
        <v/>
      </c>
      <c r="CH202" s="161">
        <f>IF(T202="","",IFERROR(T202*HSCEI!$B$49*HSCEI!$G$49/HSCEI!$B$3,""))</f>
        <v/>
      </c>
      <c r="CI202" s="161">
        <f>IF(U202="","",IFERROR(U202*HSCEI!$B$49*HSCEI!$G$49/HSCEI!$B$3,""))</f>
        <v/>
      </c>
      <c r="CJ202" s="161">
        <f>IF(V202="","",IFERROR(V202*HSCEI!$B$49*HSCEI!$G$49/HSCEI!$B$3,""))</f>
        <v/>
      </c>
      <c r="CK202" s="161">
        <f>IF(W202="","",IFERROR(W202*HSCEI!$B$49*HSCEI!$G$49/HSCEI!$B$3,""))</f>
        <v/>
      </c>
      <c r="CL202" s="161">
        <f>IF(X202="","",IFERROR(X202*HSCEI!$B$49*HSCEI!$G$49/HSCEI!$B$3,""))</f>
        <v/>
      </c>
      <c r="CM202" s="161">
        <f>IF(Y202="","",IFERROR(Y202*HSCEI!$B$49*HSCEI!$G$49/HSCEI!$B$3,""))</f>
        <v/>
      </c>
      <c r="CN202" s="161">
        <f>IF(Z202="","",IFERROR(Z202*HSCEI!$B$49*HSCEI!$G$49/HSCEI!$B$3,""))</f>
        <v/>
      </c>
      <c r="CO202" s="161">
        <f>IF(AA202="","",IFERROR(AA202*HSCEI!$B$49*HSCEI!$G$49/HSCEI!$B$3,""))</f>
        <v/>
      </c>
      <c r="CP202" s="161">
        <f>IF(AB202="","",IFERROR(AB202*HSCEI!$B$49*HSCEI!$G$49/HSCEI!$B$3,""))</f>
        <v/>
      </c>
      <c r="CQ202" s="161">
        <f>IF(AC202="","",IFERROR(AC202*HSCEI!$B$49*HSCEI!$G$49/HSCEI!$B$3,""))</f>
        <v/>
      </c>
      <c r="CR202" s="161">
        <f>IF(AD202="","",IFERROR(AD202*HSCEI!$B$49*HSCEI!$G$49/HSCEI!$B$3,""))</f>
        <v/>
      </c>
      <c r="CS202" s="161">
        <f>IF(AE202="","",IFERROR(AE202*HSCEI!$B$49*HSCEI!$G$49/HSCEI!$B$3,""))</f>
        <v/>
      </c>
      <c r="CT202" s="161">
        <f>IF(AF202="","",IFERROR(AF202*HSCEI!$B$49*HSCEI!$G$49/HSCEI!$B$3,""))</f>
        <v/>
      </c>
      <c r="CU202" s="161">
        <f>IF(AG202="","",IFERROR(AG202*HSCEI!$B$49*HSCEI!$G$49/HSCEI!$B$3,""))</f>
        <v/>
      </c>
      <c r="CV202" s="161">
        <f>IF(AH202="","",IFERROR(AH202*HSCEI!$B$49*HSCEI!$G$49/HSCEI!$B$3,""))</f>
        <v/>
      </c>
      <c r="CW202" s="161">
        <f>IF(AI202="","",IFERROR(AI202*HSCEI!$B$49*HSCEI!$G$49/HSCEI!$B$3,""))</f>
        <v/>
      </c>
      <c r="CX202" s="161">
        <f>IF(AJ202="","",IFERROR(AJ202*HSCEI!$B$49*HSCEI!$G$49/HSCEI!$B$3,""))</f>
        <v/>
      </c>
      <c r="CY202" s="161">
        <f>IF(AK202="","",IFERROR(AK202*HSCEI!$B$49*HSCEI!$G$49/HSCEI!$B$3,""))</f>
        <v/>
      </c>
      <c r="CZ202" s="161">
        <f>IF(AL202="","",IFERROR(AL202*HSCEI!$B$49*HSCEI!$G$49/HSCEI!$B$3,""))</f>
        <v/>
      </c>
      <c r="DA202" s="161">
        <f>IF(AM202="","",IFERROR(AM202*HSCEI!$B$49*HSCEI!$G$49/HSCEI!$B$3,""))</f>
        <v/>
      </c>
      <c r="DB202" s="161">
        <f>IF(AN202="","",IFERROR(AN202*HSCEI!$B$49*HSCEI!$G$49/HSCEI!$B$3,""))</f>
        <v/>
      </c>
      <c r="DC202" s="161">
        <f>IF(AO202="","",IFERROR(AO202*HSCEI!$B$49*HSCEI!$G$49/HSCEI!$B$3,""))</f>
        <v/>
      </c>
      <c r="DD202" s="161">
        <f>IF(AP202="","",IFERROR(AP202*HSCEI!$B$49*HSCEI!$G$49/HSCEI!$B$3,""))</f>
        <v/>
      </c>
      <c r="DE202" s="161">
        <f>IF(AQ202="","",IFERROR(AQ202*HSCEI!$B$49*HSCEI!$G$49/HSCEI!$B$3,""))</f>
        <v/>
      </c>
      <c r="DF202" s="161">
        <f>IF(AR202="","",IFERROR(AR202*HSCEI!$B$49*HSCEI!$G$49/HSCEI!$B$3,""))</f>
        <v/>
      </c>
      <c r="DG202" s="161">
        <f>IF(AS202="","",IFERROR(AS202*HSCEI!$B$49*HSCEI!$G$49/HSCEI!$B$3,""))</f>
        <v/>
      </c>
      <c r="DH202" s="161">
        <f>IF(AT202="","",IFERROR(AT202*HSCEI!$B$49*HSCEI!$G$49/HSCEI!$B$3,""))</f>
        <v/>
      </c>
      <c r="DI202" s="161">
        <f>IF(AU202="","",IFERROR(AU202*HSCEI!$B$49*HSCEI!$G$49/HSCEI!$B$3,""))</f>
        <v/>
      </c>
      <c r="DJ202" s="161">
        <f>IF(AV202="","",IFERROR(AV202*HSCEI!$B$49*HSCEI!$G$49/HSCEI!$B$3,""))</f>
        <v/>
      </c>
      <c r="DK202" s="161">
        <f>IF(AW202="","",IFERROR(AW202*HSCEI!$B$49*HSCEI!$G$49/HSCEI!$B$3,""))</f>
        <v/>
      </c>
      <c r="DL202" s="161">
        <f>IF(AX202="","",IFERROR(AX202*HSCEI!$B$49*HSCEI!$G$49/HSCEI!$B$3,""))</f>
        <v/>
      </c>
      <c r="DM202" s="161">
        <f>IF(AY202="","",IFERROR(AY202*HSCEI!$B$49*HSCEI!$G$49/HSCEI!$B$3,""))</f>
        <v/>
      </c>
      <c r="DN202" s="161">
        <f>IF(AZ202="","",IFERROR(AZ202*HSCEI!$B$49*HSCEI!$G$49/HSCEI!$B$3,""))</f>
        <v/>
      </c>
      <c r="DO202" s="161">
        <f>IF(BA202="","",IFERROR(BA202*HSCEI!$B$49*HSCEI!$G$49/HSCEI!$B$3,""))</f>
        <v/>
      </c>
      <c r="DP202" s="161">
        <f>IF(BB202="","",IFERROR(BB202*HSCEI!$B$49*HSCEI!$G$49/HSCEI!$B$3,""))</f>
        <v/>
      </c>
      <c r="DQ202" s="161">
        <f>IF(BC202="","",IFERROR(BC202*HSCEI!$B$49*HSCEI!$G$49/HSCEI!$B$3,""))</f>
        <v/>
      </c>
      <c r="DR202" s="161">
        <f>IF(BD202="","",IFERROR(BD202*HSCEI!$B$49*HSCEI!$G$49/HSCEI!$B$3,""))</f>
        <v/>
      </c>
      <c r="DS202" s="161">
        <f>IF(BE202="","",IFERROR(BE202*HSCEI!$B$49*HSCEI!$G$49/HSCEI!$B$3,""))</f>
        <v/>
      </c>
      <c r="DT202" s="161">
        <f>IF(BF202="","",IFERROR(BF202*HSCEI!$B$49*HSCEI!$G$49/HSCEI!$B$3,""))</f>
        <v/>
      </c>
      <c r="DU202" s="161">
        <f>IF(BG202="","",IFERROR(BG202*HSCEI!$B$49*HSCEI!$G$49/HSCEI!$B$3,""))</f>
        <v/>
      </c>
      <c r="DV202" s="161">
        <f>IF(BH202="","",IFERROR(BH202*HSCEI!$B$49*HSCEI!$G$49/HSCEI!$B$3,""))</f>
        <v/>
      </c>
      <c r="DW202" s="161">
        <f>IF(BI202="","",IFERROR(BI202*HSCEI!$B$49*HSCEI!$G$49/HSCEI!$B$3,""))</f>
        <v/>
      </c>
      <c r="DX202" s="161">
        <f>IF(BJ202="","",IFERROR(BJ202*HSCEI!$B$49*HSCEI!$G$49/HSCEI!$B$3,""))</f>
        <v/>
      </c>
      <c r="DY202" s="161">
        <f>IF(BK202="","",IFERROR(BK202*HSCEI!$B$49*HSCEI!$G$49/HSCEI!$B$3,""))</f>
        <v/>
      </c>
      <c r="DZ202" s="161">
        <f>IF(BL202="","",IFERROR(BL202*HSCEI!$B$49*HSCEI!$G$49/HSCEI!$B$3,""))</f>
        <v/>
      </c>
      <c r="EA202" s="161">
        <f>IF(BM202="","",IFERROR(BM202*HSCEI!$B$49*HSCEI!$G$49/HSCEI!$B$3,""))</f>
        <v/>
      </c>
      <c r="EB202" s="161">
        <f>IF(BN202="","",IFERROR(BN202*HSCEI!$B$49*HSCEI!$G$49/HSCEI!$B$3,""))</f>
        <v/>
      </c>
      <c r="EC202" s="161">
        <f>IF(BO202="","",IFERROR(BO202*HSCEI!$B$49*HSCEI!$G$49/HSCEI!$B$3,""))</f>
        <v/>
      </c>
      <c r="EE202" s="121">
        <f>IF(N('Dvd Calendar'!$E$2023)=0,"",IF(('Dvd Calendar'!$E$2023&gt;=GRID_FROM)*('Dvd Calendar'!$E$2023&lt;=GRID_TO)*((('Dvd Calendar'!$E$2023&lt;=VAL_DATE)+(COUNTIF('Dvd Calendar'!$E$2030:$AR$2030,'Dvd Calendar'!$E$2023)=0))&gt;0)=0,"",'Dvd Calendar'!$E$2023*1000000000+ISNUMBER('Dvd Calendar'!$E$2026)*100000000+('Dvd Calendar'!$E$2028=SPECIAL_LBL)*10000000+(N('Dvd Calendar'!$E$2022)&gt;0)*(N('Dvd Calendar'!$E$2022)&lt;=VAL_SERIAL)*1000000+43*1000+1))</f>
        <v/>
      </c>
      <c r="EF202" s="121">
        <f>IF(N('Dvd Calendar'!$F$2023)=0,"",IF(('Dvd Calendar'!$F$2023&gt;=GRID_FROM)*('Dvd Calendar'!$F$2023&lt;=GRID_TO)*((('Dvd Calendar'!$F$2023&lt;=VAL_DATE)+(COUNTIF('Dvd Calendar'!$E$2030:$AR$2030,'Dvd Calendar'!$F$2023)=0))&gt;0)=0,"",'Dvd Calendar'!$F$2023*1000000000+ISNUMBER('Dvd Calendar'!$F$2026)*100000000+('Dvd Calendar'!$F$2028=SPECIAL_LBL)*10000000+(N('Dvd Calendar'!$F$2022)&gt;0)*(N('Dvd Calendar'!$F$2022)&lt;=VAL_SERIAL)*1000000+43*1000+2))</f>
        <v/>
      </c>
      <c r="EG202" s="121">
        <f>IF(N('Dvd Calendar'!$G$2023)=0,"",IF(('Dvd Calendar'!$G$2023&gt;=GRID_FROM)*('Dvd Calendar'!$G$2023&lt;=GRID_TO)*((('Dvd Calendar'!$G$2023&lt;=VAL_DATE)+(COUNTIF('Dvd Calendar'!$E$2030:$AR$2030,'Dvd Calendar'!$G$2023)=0))&gt;0)=0,"",'Dvd Calendar'!$G$2023*1000000000+ISNUMBER('Dvd Calendar'!$G$2026)*100000000+('Dvd Calendar'!$G$2028=SPECIAL_LBL)*10000000+(N('Dvd Calendar'!$G$2022)&gt;0)*(N('Dvd Calendar'!$G$2022)&lt;=VAL_SERIAL)*1000000+43*1000+3))</f>
        <v/>
      </c>
      <c r="EH202" s="121">
        <f>IF(N('Dvd Calendar'!$H$2023)=0,"",IF(('Dvd Calendar'!$H$2023&gt;=GRID_FROM)*('Dvd Calendar'!$H$2023&lt;=GRID_TO)*((('Dvd Calendar'!$H$2023&lt;=VAL_DATE)+(COUNTIF('Dvd Calendar'!$E$2030:$AR$2030,'Dvd Calendar'!$H$2023)=0))&gt;0)=0,"",'Dvd Calendar'!$H$2023*1000000000+ISNUMBER('Dvd Calendar'!$H$2026)*100000000+('Dvd Calendar'!$H$2028=SPECIAL_LBL)*10000000+(N('Dvd Calendar'!$H$2022)&gt;0)*(N('Dvd Calendar'!$H$2022)&lt;=VAL_SERIAL)*1000000+43*1000+4))</f>
        <v/>
      </c>
      <c r="EI202" s="121">
        <f>IF(N('Dvd Calendar'!$I$2023)=0,"",IF(('Dvd Calendar'!$I$2023&gt;=GRID_FROM)*('Dvd Calendar'!$I$2023&lt;=GRID_TO)*((('Dvd Calendar'!$I$2023&lt;=VAL_DATE)+(COUNTIF('Dvd Calendar'!$E$2030:$AR$2030,'Dvd Calendar'!$I$2023)=0))&gt;0)=0,"",'Dvd Calendar'!$I$2023*1000000000+ISNUMBER('Dvd Calendar'!$I$2026)*100000000+('Dvd Calendar'!$I$2028=SPECIAL_LBL)*10000000+(N('Dvd Calendar'!$I$2022)&gt;0)*(N('Dvd Calendar'!$I$2022)&lt;=VAL_SERIAL)*1000000+43*1000+5))</f>
        <v/>
      </c>
      <c r="EJ202" s="121">
        <f>IF(N('Dvd Calendar'!$J$2023)=0,"",IF(('Dvd Calendar'!$J$2023&gt;=GRID_FROM)*('Dvd Calendar'!$J$2023&lt;=GRID_TO)*((('Dvd Calendar'!$J$2023&lt;=VAL_DATE)+(COUNTIF('Dvd Calendar'!$E$2030:$AR$2030,'Dvd Calendar'!$J$2023)=0))&gt;0)=0,"",'Dvd Calendar'!$J$2023*1000000000+ISNUMBER('Dvd Calendar'!$J$2026)*100000000+('Dvd Calendar'!$J$2028=SPECIAL_LBL)*10000000+(N('Dvd Calendar'!$J$2022)&gt;0)*(N('Dvd Calendar'!$J$2022)&lt;=VAL_SERIAL)*1000000+43*1000+6))</f>
        <v/>
      </c>
      <c r="EK202" s="121">
        <f>IF(N('Dvd Calendar'!$K$2023)=0,"",IF(('Dvd Calendar'!$K$2023&gt;=GRID_FROM)*('Dvd Calendar'!$K$2023&lt;=GRID_TO)*((('Dvd Calendar'!$K$2023&lt;=VAL_DATE)+(COUNTIF('Dvd Calendar'!$E$2030:$AR$2030,'Dvd Calendar'!$K$2023)=0))&gt;0)=0,"",'Dvd Calendar'!$K$2023*1000000000+ISNUMBER('Dvd Calendar'!$K$2026)*100000000+('Dvd Calendar'!$K$2028=SPECIAL_LBL)*10000000+(N('Dvd Calendar'!$K$2022)&gt;0)*(N('Dvd Calendar'!$K$2022)&lt;=VAL_SERIAL)*1000000+43*1000+7))</f>
        <v/>
      </c>
      <c r="EL202" s="121">
        <f>IF(N('Dvd Calendar'!$L$2023)=0,"",IF(('Dvd Calendar'!$L$2023&gt;=GRID_FROM)*('Dvd Calendar'!$L$2023&lt;=GRID_TO)*((('Dvd Calendar'!$L$2023&lt;=VAL_DATE)+(COUNTIF('Dvd Calendar'!$E$2030:$AR$2030,'Dvd Calendar'!$L$2023)=0))&gt;0)=0,"",'Dvd Calendar'!$L$2023*1000000000+ISNUMBER('Dvd Calendar'!$L$2026)*100000000+('Dvd Calendar'!$L$2028=SPECIAL_LBL)*10000000+(N('Dvd Calendar'!$L$2022)&gt;0)*(N('Dvd Calendar'!$L$2022)&lt;=VAL_SERIAL)*1000000+43*1000+8))</f>
        <v/>
      </c>
      <c r="EM202" s="121">
        <f>IF(N('Dvd Calendar'!$M$2023)=0,"",IF(('Dvd Calendar'!$M$2023&gt;=GRID_FROM)*('Dvd Calendar'!$M$2023&lt;=GRID_TO)*((('Dvd Calendar'!$M$2023&lt;=VAL_DATE)+(COUNTIF('Dvd Calendar'!$E$2030:$AR$2030,'Dvd Calendar'!$M$2023)=0))&gt;0)=0,"",'Dvd Calendar'!$M$2023*1000000000+ISNUMBER('Dvd Calendar'!$M$2026)*100000000+('Dvd Calendar'!$M$2028=SPECIAL_LBL)*10000000+(N('Dvd Calendar'!$M$2022)&gt;0)*(N('Dvd Calendar'!$M$2022)&lt;=VAL_SERIAL)*1000000+43*1000+9))</f>
        <v/>
      </c>
      <c r="EN202" s="121">
        <f>IF(N('Dvd Calendar'!$N$2023)=0,"",IF(('Dvd Calendar'!$N$2023&gt;=GRID_FROM)*('Dvd Calendar'!$N$2023&lt;=GRID_TO)*((('Dvd Calendar'!$N$2023&lt;=VAL_DATE)+(COUNTIF('Dvd Calendar'!$E$2030:$AR$2030,'Dvd Calendar'!$N$2023)=0))&gt;0)=0,"",'Dvd Calendar'!$N$2023*1000000000+ISNUMBER('Dvd Calendar'!$N$2026)*100000000+('Dvd Calendar'!$N$2028=SPECIAL_LBL)*10000000+(N('Dvd Calendar'!$N$2022)&gt;0)*(N('Dvd Calendar'!$N$2022)&lt;=VAL_SERIAL)*1000000+43*1000+10))</f>
        <v/>
      </c>
      <c r="EO202" s="121">
        <f>IF(N('Dvd Calendar'!$O$2023)=0,"",IF(('Dvd Calendar'!$O$2023&gt;=GRID_FROM)*('Dvd Calendar'!$O$2023&lt;=GRID_TO)*((('Dvd Calendar'!$O$2023&lt;=VAL_DATE)+(COUNTIF('Dvd Calendar'!$E$2030:$AR$2030,'Dvd Calendar'!$O$2023)=0))&gt;0)=0,"",'Dvd Calendar'!$O$2023*1000000000+ISNUMBER('Dvd Calendar'!$O$2026)*100000000+('Dvd Calendar'!$O$2028=SPECIAL_LBL)*10000000+(N('Dvd Calendar'!$O$2022)&gt;0)*(N('Dvd Calendar'!$O$2022)&lt;=VAL_SERIAL)*1000000+43*1000+11))</f>
        <v/>
      </c>
      <c r="EP202" s="121">
        <f>IF(N('Dvd Calendar'!$P$2023)=0,"",IF(('Dvd Calendar'!$P$2023&gt;=GRID_FROM)*('Dvd Calendar'!$P$2023&lt;=GRID_TO)*((('Dvd Calendar'!$P$2023&lt;=VAL_DATE)+(COUNTIF('Dvd Calendar'!$E$2030:$AR$2030,'Dvd Calendar'!$P$2023)=0))&gt;0)=0,"",'Dvd Calendar'!$P$2023*1000000000+ISNUMBER('Dvd Calendar'!$P$2026)*100000000+('Dvd Calendar'!$P$2028=SPECIAL_LBL)*10000000+(N('Dvd Calendar'!$P$2022)&gt;0)*(N('Dvd Calendar'!$P$2022)&lt;=VAL_SERIAL)*1000000+43*1000+12))</f>
        <v/>
      </c>
      <c r="EQ202" s="121">
        <f>IF(N('Dvd Calendar'!$Q$2023)=0,"",IF(('Dvd Calendar'!$Q$2023&gt;=GRID_FROM)*('Dvd Calendar'!$Q$2023&lt;=GRID_TO)*((('Dvd Calendar'!$Q$2023&lt;=VAL_DATE)+(COUNTIF('Dvd Calendar'!$E$2030:$AR$2030,'Dvd Calendar'!$Q$2023)=0))&gt;0)=0,"",'Dvd Calendar'!$Q$2023*1000000000+ISNUMBER('Dvd Calendar'!$Q$2026)*100000000+('Dvd Calendar'!$Q$2028=SPECIAL_LBL)*10000000+(N('Dvd Calendar'!$Q$2022)&gt;0)*(N('Dvd Calendar'!$Q$2022)&lt;=VAL_SERIAL)*1000000+43*1000+13))</f>
        <v/>
      </c>
      <c r="ER202" s="121">
        <f>IF(N('Dvd Calendar'!$R$2023)=0,"",IF(('Dvd Calendar'!$R$2023&gt;=GRID_FROM)*('Dvd Calendar'!$R$2023&lt;=GRID_TO)*((('Dvd Calendar'!$R$2023&lt;=VAL_DATE)+(COUNTIF('Dvd Calendar'!$E$2030:$AR$2030,'Dvd Calendar'!$R$2023)=0))&gt;0)=0,"",'Dvd Calendar'!$R$2023*1000000000+ISNUMBER('Dvd Calendar'!$R$2026)*100000000+('Dvd Calendar'!$R$2028=SPECIAL_LBL)*10000000+(N('Dvd Calendar'!$R$2022)&gt;0)*(N('Dvd Calendar'!$R$2022)&lt;=VAL_SERIAL)*1000000+43*1000+14))</f>
        <v/>
      </c>
      <c r="ES202" s="121">
        <f>IF(N('Dvd Calendar'!$S$2023)=0,"",IF(('Dvd Calendar'!$S$2023&gt;=GRID_FROM)*('Dvd Calendar'!$S$2023&lt;=GRID_TO)*((('Dvd Calendar'!$S$2023&lt;=VAL_DATE)+(COUNTIF('Dvd Calendar'!$E$2030:$AR$2030,'Dvd Calendar'!$S$2023)=0))&gt;0)=0,"",'Dvd Calendar'!$S$2023*1000000000+ISNUMBER('Dvd Calendar'!$S$2026)*100000000+('Dvd Calendar'!$S$2028=SPECIAL_LBL)*10000000+(N('Dvd Calendar'!$S$2022)&gt;0)*(N('Dvd Calendar'!$S$2022)&lt;=VAL_SERIAL)*1000000+43*1000+15))</f>
        <v/>
      </c>
      <c r="ET202" s="121">
        <f>IF(N('Dvd Calendar'!$T$2023)=0,"",IF(('Dvd Calendar'!$T$2023&gt;=GRID_FROM)*('Dvd Calendar'!$T$2023&lt;=GRID_TO)*((('Dvd Calendar'!$T$2023&lt;=VAL_DATE)+(COUNTIF('Dvd Calendar'!$E$2030:$AR$2030,'Dvd Calendar'!$T$2023)=0))&gt;0)=0,"",'Dvd Calendar'!$T$2023*1000000000+ISNUMBER('Dvd Calendar'!$T$2026)*100000000+('Dvd Calendar'!$T$2028=SPECIAL_LBL)*10000000+(N('Dvd Calendar'!$T$2022)&gt;0)*(N('Dvd Calendar'!$T$2022)&lt;=VAL_SERIAL)*1000000+43*1000+16))</f>
        <v/>
      </c>
      <c r="EU202" s="121">
        <f>IF(N('Dvd Calendar'!$U$2023)=0,"",IF(('Dvd Calendar'!$U$2023&gt;=GRID_FROM)*('Dvd Calendar'!$U$2023&lt;=GRID_TO)*((('Dvd Calendar'!$U$2023&lt;=VAL_DATE)+(COUNTIF('Dvd Calendar'!$E$2030:$AR$2030,'Dvd Calendar'!$U$2023)=0))&gt;0)=0,"",'Dvd Calendar'!$U$2023*1000000000+ISNUMBER('Dvd Calendar'!$U$2026)*100000000+('Dvd Calendar'!$U$2028=SPECIAL_LBL)*10000000+(N('Dvd Calendar'!$U$2022)&gt;0)*(N('Dvd Calendar'!$U$2022)&lt;=VAL_SERIAL)*1000000+43*1000+17))</f>
        <v/>
      </c>
      <c r="EV202" s="121">
        <f>IF(N('Dvd Calendar'!$V$2023)=0,"",IF(('Dvd Calendar'!$V$2023&gt;=GRID_FROM)*('Dvd Calendar'!$V$2023&lt;=GRID_TO)*((('Dvd Calendar'!$V$2023&lt;=VAL_DATE)+(COUNTIF('Dvd Calendar'!$E$2030:$AR$2030,'Dvd Calendar'!$V$2023)=0))&gt;0)=0,"",'Dvd Calendar'!$V$2023*1000000000+ISNUMBER('Dvd Calendar'!$V$2026)*100000000+('Dvd Calendar'!$V$2028=SPECIAL_LBL)*10000000+(N('Dvd Calendar'!$V$2022)&gt;0)*(N('Dvd Calendar'!$V$2022)&lt;=VAL_SERIAL)*1000000+43*1000+18))</f>
        <v/>
      </c>
      <c r="EW202" s="121">
        <f>IF(N('Dvd Calendar'!$W$2023)=0,"",IF(('Dvd Calendar'!$W$2023&gt;=GRID_FROM)*('Dvd Calendar'!$W$2023&lt;=GRID_TO)*((('Dvd Calendar'!$W$2023&lt;=VAL_DATE)+(COUNTIF('Dvd Calendar'!$E$2030:$AR$2030,'Dvd Calendar'!$W$2023)=0))&gt;0)=0,"",'Dvd Calendar'!$W$2023*1000000000+ISNUMBER('Dvd Calendar'!$W$2026)*100000000+('Dvd Calendar'!$W$2028=SPECIAL_LBL)*10000000+(N('Dvd Calendar'!$W$2022)&gt;0)*(N('Dvd Calendar'!$W$2022)&lt;=VAL_SERIAL)*1000000+43*1000+19))</f>
        <v/>
      </c>
      <c r="EX202" s="121">
        <f>IF(N('Dvd Calendar'!$X$2023)=0,"",IF(('Dvd Calendar'!$X$2023&gt;=GRID_FROM)*('Dvd Calendar'!$X$2023&lt;=GRID_TO)*((('Dvd Calendar'!$X$2023&lt;=VAL_DATE)+(COUNTIF('Dvd Calendar'!$E$2030:$AR$2030,'Dvd Calendar'!$X$2023)=0))&gt;0)=0,"",'Dvd Calendar'!$X$2023*1000000000+ISNUMBER('Dvd Calendar'!$X$2026)*100000000+('Dvd Calendar'!$X$2028=SPECIAL_LBL)*10000000+(N('Dvd Calendar'!$X$2022)&gt;0)*(N('Dvd Calendar'!$X$2022)&lt;=VAL_SERIAL)*1000000+43*1000+20))</f>
        <v/>
      </c>
      <c r="EY202" s="121">
        <f>IF(N('Dvd Calendar'!$Y$2023)=0,"",IF(('Dvd Calendar'!$Y$2023&gt;=GRID_FROM)*('Dvd Calendar'!$Y$2023&lt;=GRID_TO)*((('Dvd Calendar'!$Y$2023&lt;=VAL_DATE)+(COUNTIF('Dvd Calendar'!$E$2030:$AR$2030,'Dvd Calendar'!$Y$2023)=0))&gt;0)=0,"",'Dvd Calendar'!$Y$2023*1000000000+ISNUMBER('Dvd Calendar'!$Y$2026)*100000000+('Dvd Calendar'!$Y$2028=SPECIAL_LBL)*10000000+(N('Dvd Calendar'!$Y$2022)&gt;0)*(N('Dvd Calendar'!$Y$2022)&lt;=VAL_SERIAL)*1000000+43*1000+21))</f>
        <v/>
      </c>
      <c r="EZ202" s="121">
        <f>IF(N('Dvd Calendar'!$Z$2023)=0,"",IF(('Dvd Calendar'!$Z$2023&gt;=GRID_FROM)*('Dvd Calendar'!$Z$2023&lt;=GRID_TO)*((('Dvd Calendar'!$Z$2023&lt;=VAL_DATE)+(COUNTIF('Dvd Calendar'!$E$2030:$AR$2030,'Dvd Calendar'!$Z$2023)=0))&gt;0)=0,"",'Dvd Calendar'!$Z$2023*1000000000+ISNUMBER('Dvd Calendar'!$Z$2026)*100000000+('Dvd Calendar'!$Z$2028=SPECIAL_LBL)*10000000+(N('Dvd Calendar'!$Z$2022)&gt;0)*(N('Dvd Calendar'!$Z$2022)&lt;=VAL_SERIAL)*1000000+43*1000+22))</f>
        <v/>
      </c>
      <c r="FA202" s="121">
        <f>IF(N('Dvd Calendar'!$AA$2023)=0,"",IF(('Dvd Calendar'!$AA$2023&gt;=GRID_FROM)*('Dvd Calendar'!$AA$2023&lt;=GRID_TO)*((('Dvd Calendar'!$AA$2023&lt;=VAL_DATE)+(COUNTIF('Dvd Calendar'!$E$2030:$AR$2030,'Dvd Calendar'!$AA$2023)=0))&gt;0)=0,"",'Dvd Calendar'!$AA$2023*1000000000+ISNUMBER('Dvd Calendar'!$AA$2026)*100000000+('Dvd Calendar'!$AA$2028=SPECIAL_LBL)*10000000+(N('Dvd Calendar'!$AA$2022)&gt;0)*(N('Dvd Calendar'!$AA$2022)&lt;=VAL_SERIAL)*1000000+43*1000+23))</f>
        <v/>
      </c>
      <c r="FB202" s="121">
        <f>IF(N('Dvd Calendar'!$AB$2023)=0,"",IF(('Dvd Calendar'!$AB$2023&gt;=GRID_FROM)*('Dvd Calendar'!$AB$2023&lt;=GRID_TO)*((('Dvd Calendar'!$AB$2023&lt;=VAL_DATE)+(COUNTIF('Dvd Calendar'!$E$2030:$AR$2030,'Dvd Calendar'!$AB$2023)=0))&gt;0)=0,"",'Dvd Calendar'!$AB$2023*1000000000+ISNUMBER('Dvd Calendar'!$AB$2026)*100000000+('Dvd Calendar'!$AB$2028=SPECIAL_LBL)*10000000+(N('Dvd Calendar'!$AB$2022)&gt;0)*(N('Dvd Calendar'!$AB$2022)&lt;=VAL_SERIAL)*1000000+43*1000+24))</f>
        <v/>
      </c>
      <c r="FC202" s="121">
        <f>IF(N('Dvd Calendar'!$AC$2023)=0,"",IF(('Dvd Calendar'!$AC$2023&gt;=GRID_FROM)*('Dvd Calendar'!$AC$2023&lt;=GRID_TO)*((('Dvd Calendar'!$AC$2023&lt;=VAL_DATE)+(COUNTIF('Dvd Calendar'!$E$2030:$AR$2030,'Dvd Calendar'!$AC$2023)=0))&gt;0)=0,"",'Dvd Calendar'!$AC$2023*1000000000+ISNUMBER('Dvd Calendar'!$AC$2026)*100000000+('Dvd Calendar'!$AC$2028=SPECIAL_LBL)*10000000+(N('Dvd Calendar'!$AC$2022)&gt;0)*(N('Dvd Calendar'!$AC$2022)&lt;=VAL_SERIAL)*1000000+43*1000+25))</f>
        <v/>
      </c>
      <c r="FD202" s="121">
        <f>IF(N('Dvd Calendar'!$AD$2023)=0,"",IF(('Dvd Calendar'!$AD$2023&gt;=GRID_FROM)*('Dvd Calendar'!$AD$2023&lt;=GRID_TO)*((('Dvd Calendar'!$AD$2023&lt;=VAL_DATE)+(COUNTIF('Dvd Calendar'!$E$2030:$AR$2030,'Dvd Calendar'!$AD$2023)=0))&gt;0)=0,"",'Dvd Calendar'!$AD$2023*1000000000+ISNUMBER('Dvd Calendar'!$AD$2026)*100000000+('Dvd Calendar'!$AD$2028=SPECIAL_LBL)*10000000+(N('Dvd Calendar'!$AD$2022)&gt;0)*(N('Dvd Calendar'!$AD$2022)&lt;=VAL_SERIAL)*1000000+43*1000+26))</f>
        <v/>
      </c>
      <c r="FE202" s="121">
        <f>IF(N('Dvd Calendar'!$AE$2023)=0,"",IF(('Dvd Calendar'!$AE$2023&gt;=GRID_FROM)*('Dvd Calendar'!$AE$2023&lt;=GRID_TO)*((('Dvd Calendar'!$AE$2023&lt;=VAL_DATE)+(COUNTIF('Dvd Calendar'!$E$2030:$AR$2030,'Dvd Calendar'!$AE$2023)=0))&gt;0)=0,"",'Dvd Calendar'!$AE$2023*1000000000+ISNUMBER('Dvd Calendar'!$AE$2026)*100000000+('Dvd Calendar'!$AE$2028=SPECIAL_LBL)*10000000+(N('Dvd Calendar'!$AE$2022)&gt;0)*(N('Dvd Calendar'!$AE$2022)&lt;=VAL_SERIAL)*1000000+43*1000+27))</f>
        <v/>
      </c>
      <c r="FF202" s="121">
        <f>IF(N('Dvd Calendar'!$AF$2023)=0,"",IF(('Dvd Calendar'!$AF$2023&gt;=GRID_FROM)*('Dvd Calendar'!$AF$2023&lt;=GRID_TO)*((('Dvd Calendar'!$AF$2023&lt;=VAL_DATE)+(COUNTIF('Dvd Calendar'!$E$2030:$AR$2030,'Dvd Calendar'!$AF$2023)=0))&gt;0)=0,"",'Dvd Calendar'!$AF$2023*1000000000+ISNUMBER('Dvd Calendar'!$AF$2026)*100000000+('Dvd Calendar'!$AF$2028=SPECIAL_LBL)*10000000+(N('Dvd Calendar'!$AF$2022)&gt;0)*(N('Dvd Calendar'!$AF$2022)&lt;=VAL_SERIAL)*1000000+43*1000+28))</f>
        <v/>
      </c>
      <c r="FG202" s="121">
        <f>IF(N('Dvd Calendar'!$AG$2023)=0,"",IF(('Dvd Calendar'!$AG$2023&gt;=GRID_FROM)*('Dvd Calendar'!$AG$2023&lt;=GRID_TO)*((('Dvd Calendar'!$AG$2023&lt;=VAL_DATE)+(COUNTIF('Dvd Calendar'!$E$2030:$AR$2030,'Dvd Calendar'!$AG$2023)=0))&gt;0)=0,"",'Dvd Calendar'!$AG$2023*1000000000+ISNUMBER('Dvd Calendar'!$AG$2026)*100000000+('Dvd Calendar'!$AG$2028=SPECIAL_LBL)*10000000+(N('Dvd Calendar'!$AG$2022)&gt;0)*(N('Dvd Calendar'!$AG$2022)&lt;=VAL_SERIAL)*1000000+43*1000+29))</f>
        <v/>
      </c>
      <c r="FH202" s="121">
        <f>IF(N('Dvd Calendar'!$AH$2023)=0,"",IF(('Dvd Calendar'!$AH$2023&gt;=GRID_FROM)*('Dvd Calendar'!$AH$2023&lt;=GRID_TO)*((('Dvd Calendar'!$AH$2023&lt;=VAL_DATE)+(COUNTIF('Dvd Calendar'!$E$2030:$AR$2030,'Dvd Calendar'!$AH$2023)=0))&gt;0)=0,"",'Dvd Calendar'!$AH$2023*1000000000+ISNUMBER('Dvd Calendar'!$AH$2026)*100000000+('Dvd Calendar'!$AH$2028=SPECIAL_LBL)*10000000+(N('Dvd Calendar'!$AH$2022)&gt;0)*(N('Dvd Calendar'!$AH$2022)&lt;=VAL_SERIAL)*1000000+43*1000+30))</f>
        <v/>
      </c>
      <c r="FI202" s="121">
        <f>IF(N('Dvd Calendar'!$AI$2023)=0,"",IF(('Dvd Calendar'!$AI$2023&gt;=GRID_FROM)*('Dvd Calendar'!$AI$2023&lt;=GRID_TO)*((('Dvd Calendar'!$AI$2023&lt;=VAL_DATE)+(COUNTIF('Dvd Calendar'!$E$2030:$AR$2030,'Dvd Calendar'!$AI$2023)=0))&gt;0)=0,"",'Dvd Calendar'!$AI$2023*1000000000+ISNUMBER('Dvd Calendar'!$AI$2026)*100000000+('Dvd Calendar'!$AI$2028=SPECIAL_LBL)*10000000+(N('Dvd Calendar'!$AI$2022)&gt;0)*(N('Dvd Calendar'!$AI$2022)&lt;=VAL_SERIAL)*1000000+43*1000+31))</f>
        <v/>
      </c>
      <c r="FJ202" s="121">
        <f>IF(N('Dvd Calendar'!$AJ$2023)=0,"",IF(('Dvd Calendar'!$AJ$2023&gt;=GRID_FROM)*('Dvd Calendar'!$AJ$2023&lt;=GRID_TO)*((('Dvd Calendar'!$AJ$2023&lt;=VAL_DATE)+(COUNTIF('Dvd Calendar'!$E$2030:$AR$2030,'Dvd Calendar'!$AJ$2023)=0))&gt;0)=0,"",'Dvd Calendar'!$AJ$2023*1000000000+ISNUMBER('Dvd Calendar'!$AJ$2026)*100000000+('Dvd Calendar'!$AJ$2028=SPECIAL_LBL)*10000000+(N('Dvd Calendar'!$AJ$2022)&gt;0)*(N('Dvd Calendar'!$AJ$2022)&lt;=VAL_SERIAL)*1000000+43*1000+32))</f>
        <v/>
      </c>
      <c r="FK202" s="121">
        <f>IF(N('Dvd Calendar'!$AK$2023)=0,"",IF(('Dvd Calendar'!$AK$2023&gt;=GRID_FROM)*('Dvd Calendar'!$AK$2023&lt;=GRID_TO)*((('Dvd Calendar'!$AK$2023&lt;=VAL_DATE)+(COUNTIF('Dvd Calendar'!$E$2030:$AR$2030,'Dvd Calendar'!$AK$2023)=0))&gt;0)=0,"",'Dvd Calendar'!$AK$2023*1000000000+ISNUMBER('Dvd Calendar'!$AK$2026)*100000000+('Dvd Calendar'!$AK$2028=SPECIAL_LBL)*10000000+(N('Dvd Calendar'!$AK$2022)&gt;0)*(N('Dvd Calendar'!$AK$2022)&lt;=VAL_SERIAL)*1000000+43*1000+33))</f>
        <v/>
      </c>
      <c r="FL202" s="121">
        <f>IF(N('Dvd Calendar'!$AL$2023)=0,"",IF(('Dvd Calendar'!$AL$2023&gt;=GRID_FROM)*('Dvd Calendar'!$AL$2023&lt;=GRID_TO)*((('Dvd Calendar'!$AL$2023&lt;=VAL_DATE)+(COUNTIF('Dvd Calendar'!$E$2030:$AR$2030,'Dvd Calendar'!$AL$2023)=0))&gt;0)=0,"",'Dvd Calendar'!$AL$2023*1000000000+ISNUMBER('Dvd Calendar'!$AL$2026)*100000000+('Dvd Calendar'!$AL$2028=SPECIAL_LBL)*10000000+(N('Dvd Calendar'!$AL$2022)&gt;0)*(N('Dvd Calendar'!$AL$2022)&lt;=VAL_SERIAL)*1000000+43*1000+34))</f>
        <v/>
      </c>
      <c r="FM202" s="121">
        <f>IF(N('Dvd Calendar'!$AM$2023)=0,"",IF(('Dvd Calendar'!$AM$2023&gt;=GRID_FROM)*('Dvd Calendar'!$AM$2023&lt;=GRID_TO)*((('Dvd Calendar'!$AM$2023&lt;=VAL_DATE)+(COUNTIF('Dvd Calendar'!$E$2030:$AR$2030,'Dvd Calendar'!$AM$2023)=0))&gt;0)=0,"",'Dvd Calendar'!$AM$2023*1000000000+ISNUMBER('Dvd Calendar'!$AM$2026)*100000000+('Dvd Calendar'!$AM$2028=SPECIAL_LBL)*10000000+(N('Dvd Calendar'!$AM$2022)&gt;0)*(N('Dvd Calendar'!$AM$2022)&lt;=VAL_SERIAL)*1000000+43*1000+35))</f>
        <v/>
      </c>
      <c r="FN202" s="121">
        <f>IF(N('Dvd Calendar'!$AN$2023)=0,"",IF(('Dvd Calendar'!$AN$2023&gt;=GRID_FROM)*('Dvd Calendar'!$AN$2023&lt;=GRID_TO)*((('Dvd Calendar'!$AN$2023&lt;=VAL_DATE)+(COUNTIF('Dvd Calendar'!$E$2030:$AR$2030,'Dvd Calendar'!$AN$2023)=0))&gt;0)=0,"",'Dvd Calendar'!$AN$2023*1000000000+ISNUMBER('Dvd Calendar'!$AN$2026)*100000000+('Dvd Calendar'!$AN$2028=SPECIAL_LBL)*10000000+(N('Dvd Calendar'!$AN$2022)&gt;0)*(N('Dvd Calendar'!$AN$2022)&lt;=VAL_SERIAL)*1000000+43*1000+36))</f>
        <v/>
      </c>
      <c r="FO202" s="121">
        <f>IF(N('Dvd Calendar'!$AO$2023)=0,"",IF(('Dvd Calendar'!$AO$2023&gt;=GRID_FROM)*('Dvd Calendar'!$AO$2023&lt;=GRID_TO)*((('Dvd Calendar'!$AO$2023&lt;=VAL_DATE)+(COUNTIF('Dvd Calendar'!$E$2030:$AR$2030,'Dvd Calendar'!$AO$2023)=0))&gt;0)=0,"",'Dvd Calendar'!$AO$2023*1000000000+ISNUMBER('Dvd Calendar'!$AO$2026)*100000000+('Dvd Calendar'!$AO$2028=SPECIAL_LBL)*10000000+(N('Dvd Calendar'!$AO$2022)&gt;0)*(N('Dvd Calendar'!$AO$2022)&lt;=VAL_SERIAL)*1000000+43*1000+37))</f>
        <v/>
      </c>
      <c r="FP202" s="121">
        <f>IF(N('Dvd Calendar'!$AP$2023)=0,"",IF(('Dvd Calendar'!$AP$2023&gt;=GRID_FROM)*('Dvd Calendar'!$AP$2023&lt;=GRID_TO)*((('Dvd Calendar'!$AP$2023&lt;=VAL_DATE)+(COUNTIF('Dvd Calendar'!$E$2030:$AR$2030,'Dvd Calendar'!$AP$2023)=0))&gt;0)=0,"",'Dvd Calendar'!$AP$2023*1000000000+ISNUMBER('Dvd Calendar'!$AP$2026)*100000000+('Dvd Calendar'!$AP$2028=SPECIAL_LBL)*10000000+(N('Dvd Calendar'!$AP$2022)&gt;0)*(N('Dvd Calendar'!$AP$2022)&lt;=VAL_SERIAL)*1000000+43*1000+38))</f>
        <v/>
      </c>
      <c r="FQ202" s="121">
        <f>IF(N('Dvd Calendar'!$AQ$2023)=0,"",IF(('Dvd Calendar'!$AQ$2023&gt;=GRID_FROM)*('Dvd Calendar'!$AQ$2023&lt;=GRID_TO)*((('Dvd Calendar'!$AQ$2023&lt;=VAL_DATE)+(COUNTIF('Dvd Calendar'!$E$2030:$AR$2030,'Dvd Calendar'!$AQ$2023)=0))&gt;0)=0,"",'Dvd Calendar'!$AQ$2023*1000000000+ISNUMBER('Dvd Calendar'!$AQ$2026)*100000000+('Dvd Calendar'!$AQ$2028=SPECIAL_LBL)*10000000+(N('Dvd Calendar'!$AQ$2022)&gt;0)*(N('Dvd Calendar'!$AQ$2022)&lt;=VAL_SERIAL)*1000000+43*1000+39))</f>
        <v/>
      </c>
      <c r="FR202" s="121">
        <f>IF(N('Dvd Calendar'!$AR$2023)=0,"",IF(('Dvd Calendar'!$AR$2023&gt;=GRID_FROM)*('Dvd Calendar'!$AR$2023&lt;=GRID_TO)*((('Dvd Calendar'!$AR$2023&lt;=VAL_DATE)+(COUNTIF('Dvd Calendar'!$E$2030:$AR$2030,'Dvd Calendar'!$AR$2023)=0))&gt;0)=0,"",'Dvd Calendar'!$AR$2023*1000000000+ISNUMBER('Dvd Calendar'!$AR$2026)*100000000+('Dvd Calendar'!$AR$2028=SPECIAL_LBL)*10000000+(N('Dvd Calendar'!$AR$2022)&gt;0)*(N('Dvd Calendar'!$AR$2022)&lt;=VAL_SERIAL)*1000000+43*1000+40))</f>
        <v/>
      </c>
      <c r="FS202" s="121">
        <f>IF(N('Dvd Calendar'!$E$2030)=0,"",IF(('Dvd Calendar'!$E$2030&gt;=GRID_FROM)*('Dvd Calendar'!$E$2030&lt;=GRID_TO)*('Dvd Calendar'!$E$2030&gt;VAL_DATE)=0,"",'Dvd Calendar'!$E$2030*1000000000+ISNUMBER('Dvd Calendar'!$E$2031)*100000000+0*10000000+(N('Dvd Calendar'!$E$2029)&gt;0)*(N('Dvd Calendar'!$E$2029)&lt;=VAL_SERIAL)*1000000+43*1000+41))</f>
        <v/>
      </c>
      <c r="FT202" s="121">
        <f>IF(N('Dvd Calendar'!$F$2030)=0,"",IF(('Dvd Calendar'!$F$2030&gt;=GRID_FROM)*('Dvd Calendar'!$F$2030&lt;=GRID_TO)*('Dvd Calendar'!$F$2030&gt;VAL_DATE)=0,"",'Dvd Calendar'!$F$2030*1000000000+ISNUMBER('Dvd Calendar'!$F$2031)*100000000+0*10000000+(N('Dvd Calendar'!$F$2029)&gt;0)*(N('Dvd Calendar'!$F$2029)&lt;=VAL_SERIAL)*1000000+43*1000+42))</f>
        <v/>
      </c>
      <c r="FU202" s="121">
        <f>IF(N('Dvd Calendar'!$G$2030)=0,"",IF(('Dvd Calendar'!$G$2030&gt;=GRID_FROM)*('Dvd Calendar'!$G$2030&lt;=GRID_TO)*('Dvd Calendar'!$G$2030&gt;VAL_DATE)=0,"",'Dvd Calendar'!$G$2030*1000000000+ISNUMBER('Dvd Calendar'!$G$2031)*100000000+0*10000000+(N('Dvd Calendar'!$G$2029)&gt;0)*(N('Dvd Calendar'!$G$2029)&lt;=VAL_SERIAL)*1000000+43*1000+43))</f>
        <v/>
      </c>
      <c r="FV202" s="121">
        <f>IF(N('Dvd Calendar'!$H$2030)=0,"",IF(('Dvd Calendar'!$H$2030&gt;=GRID_FROM)*('Dvd Calendar'!$H$2030&lt;=GRID_TO)*('Dvd Calendar'!$H$2030&gt;VAL_DATE)=0,"",'Dvd Calendar'!$H$2030*1000000000+ISNUMBER('Dvd Calendar'!$H$2031)*100000000+0*10000000+(N('Dvd Calendar'!$H$2029)&gt;0)*(N('Dvd Calendar'!$H$2029)&lt;=VAL_SERIAL)*1000000+43*1000+44))</f>
        <v/>
      </c>
      <c r="FW202" s="121">
        <f>IF(N('Dvd Calendar'!$I$2030)=0,"",IF(('Dvd Calendar'!$I$2030&gt;=GRID_FROM)*('Dvd Calendar'!$I$2030&lt;=GRID_TO)*('Dvd Calendar'!$I$2030&gt;VAL_DATE)=0,"",'Dvd Calendar'!$I$2030*1000000000+ISNUMBER('Dvd Calendar'!$I$2031)*100000000+0*10000000+(N('Dvd Calendar'!$I$2029)&gt;0)*(N('Dvd Calendar'!$I$2029)&lt;=VAL_SERIAL)*1000000+43*1000+45))</f>
        <v/>
      </c>
      <c r="FX202" s="121">
        <f>IF(N('Dvd Calendar'!$J$2030)=0,"",IF(('Dvd Calendar'!$J$2030&gt;=GRID_FROM)*('Dvd Calendar'!$J$2030&lt;=GRID_TO)*('Dvd Calendar'!$J$2030&gt;VAL_DATE)=0,"",'Dvd Calendar'!$J$2030*1000000000+ISNUMBER('Dvd Calendar'!$J$2031)*100000000+0*10000000+(N('Dvd Calendar'!$J$2029)&gt;0)*(N('Dvd Calendar'!$J$2029)&lt;=VAL_SERIAL)*1000000+43*1000+46))</f>
        <v/>
      </c>
      <c r="FY202" s="121">
        <f>IF(N('Dvd Calendar'!$K$2030)=0,"",IF(('Dvd Calendar'!$K$2030&gt;=GRID_FROM)*('Dvd Calendar'!$K$2030&lt;=GRID_TO)*('Dvd Calendar'!$K$2030&gt;VAL_DATE)=0,"",'Dvd Calendar'!$K$2030*1000000000+ISNUMBER('Dvd Calendar'!$K$2031)*100000000+0*10000000+(N('Dvd Calendar'!$K$2029)&gt;0)*(N('Dvd Calendar'!$K$2029)&lt;=VAL_SERIAL)*1000000+43*1000+47))</f>
        <v/>
      </c>
      <c r="FZ202" s="121">
        <f>IF(N('Dvd Calendar'!$L$2030)=0,"",IF(('Dvd Calendar'!$L$2030&gt;=GRID_FROM)*('Dvd Calendar'!$L$2030&lt;=GRID_TO)*('Dvd Calendar'!$L$2030&gt;VAL_DATE)=0,"",'Dvd Calendar'!$L$2030*1000000000+ISNUMBER('Dvd Calendar'!$L$2031)*100000000+0*10000000+(N('Dvd Calendar'!$L$2029)&gt;0)*(N('Dvd Calendar'!$L$2029)&lt;=VAL_SERIAL)*1000000+43*1000+48))</f>
        <v/>
      </c>
      <c r="GA202" s="121">
        <f>IF(N('Dvd Calendar'!$M$2030)=0,"",IF(('Dvd Calendar'!$M$2030&gt;=GRID_FROM)*('Dvd Calendar'!$M$2030&lt;=GRID_TO)*('Dvd Calendar'!$M$2030&gt;VAL_DATE)=0,"",'Dvd Calendar'!$M$2030*1000000000+ISNUMBER('Dvd Calendar'!$M$2031)*100000000+0*10000000+(N('Dvd Calendar'!$M$2029)&gt;0)*(N('Dvd Calendar'!$M$2029)&lt;=VAL_SERIAL)*1000000+43*1000+49))</f>
        <v/>
      </c>
      <c r="GB202" s="121">
        <f>IF(N('Dvd Calendar'!$N$2030)=0,"",IF(('Dvd Calendar'!$N$2030&gt;=GRID_FROM)*('Dvd Calendar'!$N$2030&lt;=GRID_TO)*('Dvd Calendar'!$N$2030&gt;VAL_DATE)=0,"",'Dvd Calendar'!$N$2030*1000000000+ISNUMBER('Dvd Calendar'!$N$2031)*100000000+0*10000000+(N('Dvd Calendar'!$N$2029)&gt;0)*(N('Dvd Calendar'!$N$2029)&lt;=VAL_SERIAL)*1000000+43*1000+50))</f>
        <v/>
      </c>
      <c r="GC202" s="121">
        <f>IF(N('Dvd Calendar'!$O$2030)=0,"",IF(('Dvd Calendar'!$O$2030&gt;=GRID_FROM)*('Dvd Calendar'!$O$2030&lt;=GRID_TO)*('Dvd Calendar'!$O$2030&gt;VAL_DATE)=0,"",'Dvd Calendar'!$O$2030*1000000000+ISNUMBER('Dvd Calendar'!$O$2031)*100000000+0*10000000+(N('Dvd Calendar'!$O$2029)&gt;0)*(N('Dvd Calendar'!$O$2029)&lt;=VAL_SERIAL)*1000000+43*1000+51))</f>
        <v/>
      </c>
      <c r="GD202" s="121">
        <f>IF(N('Dvd Calendar'!$P$2030)=0,"",IF(('Dvd Calendar'!$P$2030&gt;=GRID_FROM)*('Dvd Calendar'!$P$2030&lt;=GRID_TO)*('Dvd Calendar'!$P$2030&gt;VAL_DATE)=0,"",'Dvd Calendar'!$P$2030*1000000000+ISNUMBER('Dvd Calendar'!$P$2031)*100000000+0*10000000+(N('Dvd Calendar'!$P$2029)&gt;0)*(N('Dvd Calendar'!$P$2029)&lt;=VAL_SERIAL)*1000000+43*1000+52))</f>
        <v/>
      </c>
      <c r="GE202" s="121">
        <f>IF(N('Dvd Calendar'!$Q$2030)=0,"",IF(('Dvd Calendar'!$Q$2030&gt;=GRID_FROM)*('Dvd Calendar'!$Q$2030&lt;=GRID_TO)*('Dvd Calendar'!$Q$2030&gt;VAL_DATE)=0,"",'Dvd Calendar'!$Q$2030*1000000000+ISNUMBER('Dvd Calendar'!$Q$2031)*100000000+0*10000000+(N('Dvd Calendar'!$Q$2029)&gt;0)*(N('Dvd Calendar'!$Q$2029)&lt;=VAL_SERIAL)*1000000+43*1000+53))</f>
        <v/>
      </c>
      <c r="GF202" s="121">
        <f>IF(N('Dvd Calendar'!$R$2030)=0,"",IF(('Dvd Calendar'!$R$2030&gt;=GRID_FROM)*('Dvd Calendar'!$R$2030&lt;=GRID_TO)*('Dvd Calendar'!$R$2030&gt;VAL_DATE)=0,"",'Dvd Calendar'!$R$2030*1000000000+ISNUMBER('Dvd Calendar'!$R$2031)*100000000+0*10000000+(N('Dvd Calendar'!$R$2029)&gt;0)*(N('Dvd Calendar'!$R$2029)&lt;=VAL_SERIAL)*1000000+43*1000+54))</f>
        <v/>
      </c>
      <c r="GG202" s="121">
        <f>IF(N('Dvd Calendar'!$S$2030)=0,"",IF(('Dvd Calendar'!$S$2030&gt;=GRID_FROM)*('Dvd Calendar'!$S$2030&lt;=GRID_TO)*('Dvd Calendar'!$S$2030&gt;VAL_DATE)=0,"",'Dvd Calendar'!$S$2030*1000000000+ISNUMBER('Dvd Calendar'!$S$2031)*100000000+0*10000000+(N('Dvd Calendar'!$S$2029)&gt;0)*(N('Dvd Calendar'!$S$2029)&lt;=VAL_SERIAL)*1000000+43*1000+55))</f>
        <v/>
      </c>
      <c r="GH202" s="121">
        <f>IF(N('Dvd Calendar'!$T$2030)=0,"",IF(('Dvd Calendar'!$T$2030&gt;=GRID_FROM)*('Dvd Calendar'!$T$2030&lt;=GRID_TO)*('Dvd Calendar'!$T$2030&gt;VAL_DATE)=0,"",'Dvd Calendar'!$T$2030*1000000000+ISNUMBER('Dvd Calendar'!$T$2031)*100000000+0*10000000+(N('Dvd Calendar'!$T$2029)&gt;0)*(N('Dvd Calendar'!$T$2029)&lt;=VAL_SERIAL)*1000000+43*1000+56))</f>
        <v/>
      </c>
      <c r="GI202" s="121">
        <f>IF(N('Dvd Calendar'!$U$2030)=0,"",IF(('Dvd Calendar'!$U$2030&gt;=GRID_FROM)*('Dvd Calendar'!$U$2030&lt;=GRID_TO)*('Dvd Calendar'!$U$2030&gt;VAL_DATE)=0,"",'Dvd Calendar'!$U$2030*1000000000+ISNUMBER('Dvd Calendar'!$U$2031)*100000000+0*10000000+(N('Dvd Calendar'!$U$2029)&gt;0)*(N('Dvd Calendar'!$U$2029)&lt;=VAL_SERIAL)*1000000+43*1000+57))</f>
        <v/>
      </c>
      <c r="GJ202" s="121">
        <f>IF(N('Dvd Calendar'!$V$2030)=0,"",IF(('Dvd Calendar'!$V$2030&gt;=GRID_FROM)*('Dvd Calendar'!$V$2030&lt;=GRID_TO)*('Dvd Calendar'!$V$2030&gt;VAL_DATE)=0,"",'Dvd Calendar'!$V$2030*1000000000+ISNUMBER('Dvd Calendar'!$V$2031)*100000000+0*10000000+(N('Dvd Calendar'!$V$2029)&gt;0)*(N('Dvd Calendar'!$V$2029)&lt;=VAL_SERIAL)*1000000+43*1000+58))</f>
        <v/>
      </c>
      <c r="GK202" s="121">
        <f>IF(N('Dvd Calendar'!$W$2030)=0,"",IF(('Dvd Calendar'!$W$2030&gt;=GRID_FROM)*('Dvd Calendar'!$W$2030&lt;=GRID_TO)*('Dvd Calendar'!$W$2030&gt;VAL_DATE)=0,"",'Dvd Calendar'!$W$2030*1000000000+ISNUMBER('Dvd Calendar'!$W$2031)*100000000+0*10000000+(N('Dvd Calendar'!$W$2029)&gt;0)*(N('Dvd Calendar'!$W$2029)&lt;=VAL_SERIAL)*1000000+43*1000+59))</f>
        <v/>
      </c>
      <c r="GL202" s="121">
        <f>IF(N('Dvd Calendar'!$X$2030)=0,"",IF(('Dvd Calendar'!$X$2030&gt;=GRID_FROM)*('Dvd Calendar'!$X$2030&lt;=GRID_TO)*('Dvd Calendar'!$X$2030&gt;VAL_DATE)=0,"",'Dvd Calendar'!$X$2030*1000000000+ISNUMBER('Dvd Calendar'!$X$2031)*100000000+0*10000000+(N('Dvd Calendar'!$X$2029)&gt;0)*(N('Dvd Calendar'!$X$2029)&lt;=VAL_SERIAL)*1000000+43*1000+60))</f>
        <v/>
      </c>
      <c r="GM202" s="121">
        <f>IF(N('Dvd Calendar'!$Y$2030)=0,"",IF(('Dvd Calendar'!$Y$2030&gt;=GRID_FROM)*('Dvd Calendar'!$Y$2030&lt;=GRID_TO)*('Dvd Calendar'!$Y$2030&gt;VAL_DATE)=0,"",'Dvd Calendar'!$Y$2030*1000000000+ISNUMBER('Dvd Calendar'!$Y$2031)*100000000+0*10000000+(N('Dvd Calendar'!$Y$2029)&gt;0)*(N('Dvd Calendar'!$Y$2029)&lt;=VAL_SERIAL)*1000000+43*1000+61))</f>
        <v/>
      </c>
      <c r="GN202" s="121">
        <f>IF(N('Dvd Calendar'!$Z$2030)=0,"",IF(('Dvd Calendar'!$Z$2030&gt;=GRID_FROM)*('Dvd Calendar'!$Z$2030&lt;=GRID_TO)*('Dvd Calendar'!$Z$2030&gt;VAL_DATE)=0,"",'Dvd Calendar'!$Z$2030*1000000000+ISNUMBER('Dvd Calendar'!$Z$2031)*100000000+0*10000000+(N('Dvd Calendar'!$Z$2029)&gt;0)*(N('Dvd Calendar'!$Z$2029)&lt;=VAL_SERIAL)*1000000+43*1000+62))</f>
        <v/>
      </c>
      <c r="GO202" s="121">
        <f>IF(N('Dvd Calendar'!$AA$2030)=0,"",IF(('Dvd Calendar'!$AA$2030&gt;=GRID_FROM)*('Dvd Calendar'!$AA$2030&lt;=GRID_TO)*('Dvd Calendar'!$AA$2030&gt;VAL_DATE)=0,"",'Dvd Calendar'!$AA$2030*1000000000+ISNUMBER('Dvd Calendar'!$AA$2031)*100000000+0*10000000+(N('Dvd Calendar'!$AA$2029)&gt;0)*(N('Dvd Calendar'!$AA$2029)&lt;=VAL_SERIAL)*1000000+43*1000+63))</f>
        <v/>
      </c>
      <c r="GP202" s="121">
        <f>IF(N('Dvd Calendar'!$AB$2030)=0,"",IF(('Dvd Calendar'!$AB$2030&gt;=GRID_FROM)*('Dvd Calendar'!$AB$2030&lt;=GRID_TO)*('Dvd Calendar'!$AB$2030&gt;VAL_DATE)=0,"",'Dvd Calendar'!$AB$2030*1000000000+ISNUMBER('Dvd Calendar'!$AB$2031)*100000000+0*10000000+(N('Dvd Calendar'!$AB$2029)&gt;0)*(N('Dvd Calendar'!$AB$2029)&lt;=VAL_SERIAL)*1000000+43*1000+64))</f>
        <v/>
      </c>
      <c r="GQ202" s="121">
        <f>IF(N('Dvd Calendar'!$AC$2030)=0,"",IF(('Dvd Calendar'!$AC$2030&gt;=GRID_FROM)*('Dvd Calendar'!$AC$2030&lt;=GRID_TO)*('Dvd Calendar'!$AC$2030&gt;VAL_DATE)=0,"",'Dvd Calendar'!$AC$2030*1000000000+ISNUMBER('Dvd Calendar'!$AC$2031)*100000000+0*10000000+(N('Dvd Calendar'!$AC$2029)&gt;0)*(N('Dvd Calendar'!$AC$2029)&lt;=VAL_SERIAL)*1000000+43*1000+65))</f>
        <v/>
      </c>
    </row>
    <row r="203">
      <c r="B203" s="2">
        <f>IF(HSCEI!$C$50="","",HSCEI!$C$50)</f>
        <v/>
      </c>
      <c r="C203" s="161">
        <f>IF(EE203="","",IF(ISNUMBER('Dvd Calendar'!$E$2037)=FALSE,"",IF((('Dvd Calendar'!$E$2039=TYPE1)*(TYPE1&lt;&gt;"")+('Dvd Calendar'!$E$2039=TYPE2)*(TYPE2&lt;&gt;"")+('Dvd Calendar'!$E$2039=TYPE3)*(TYPE3&lt;&gt;"")+('Dvd Calendar'!$E$2039=TYPE4)*(TYPE4&lt;&gt;"")+('Dvd Calendar'!$E$2039=SPECIAL_LBL)*(INC_SPECIALS="Y"))=0,"",'Dvd Calendar'!$E$2037)))</f>
        <v/>
      </c>
      <c r="D203" s="161">
        <f>IF(EF203="","",IF(ISNUMBER('Dvd Calendar'!$F$2037)=FALSE,"",IF((('Dvd Calendar'!$F$2039=TYPE1)*(TYPE1&lt;&gt;"")+('Dvd Calendar'!$F$2039=TYPE2)*(TYPE2&lt;&gt;"")+('Dvd Calendar'!$F$2039=TYPE3)*(TYPE3&lt;&gt;"")+('Dvd Calendar'!$F$2039=TYPE4)*(TYPE4&lt;&gt;"")+('Dvd Calendar'!$F$2039=SPECIAL_LBL)*(INC_SPECIALS="Y"))=0,"",'Dvd Calendar'!$F$2037)))</f>
        <v/>
      </c>
      <c r="E203" s="161">
        <f>IF(EG203="","",IF(ISNUMBER('Dvd Calendar'!$G$2037)=FALSE,"",IF((('Dvd Calendar'!$G$2039=TYPE1)*(TYPE1&lt;&gt;"")+('Dvd Calendar'!$G$2039=TYPE2)*(TYPE2&lt;&gt;"")+('Dvd Calendar'!$G$2039=TYPE3)*(TYPE3&lt;&gt;"")+('Dvd Calendar'!$G$2039=TYPE4)*(TYPE4&lt;&gt;"")+('Dvd Calendar'!$G$2039=SPECIAL_LBL)*(INC_SPECIALS="Y"))=0,"",'Dvd Calendar'!$G$2037)))</f>
        <v/>
      </c>
      <c r="F203" s="161">
        <f>IF(EH203="","",IF(ISNUMBER('Dvd Calendar'!$H$2037)=FALSE,"",IF((('Dvd Calendar'!$H$2039=TYPE1)*(TYPE1&lt;&gt;"")+('Dvd Calendar'!$H$2039=TYPE2)*(TYPE2&lt;&gt;"")+('Dvd Calendar'!$H$2039=TYPE3)*(TYPE3&lt;&gt;"")+('Dvd Calendar'!$H$2039=TYPE4)*(TYPE4&lt;&gt;"")+('Dvd Calendar'!$H$2039=SPECIAL_LBL)*(INC_SPECIALS="Y"))=0,"",'Dvd Calendar'!$H$2037)))</f>
        <v/>
      </c>
      <c r="G203" s="161">
        <f>IF(EI203="","",IF(ISNUMBER('Dvd Calendar'!$I$2037)=FALSE,"",IF((('Dvd Calendar'!$I$2039=TYPE1)*(TYPE1&lt;&gt;"")+('Dvd Calendar'!$I$2039=TYPE2)*(TYPE2&lt;&gt;"")+('Dvd Calendar'!$I$2039=TYPE3)*(TYPE3&lt;&gt;"")+('Dvd Calendar'!$I$2039=TYPE4)*(TYPE4&lt;&gt;"")+('Dvd Calendar'!$I$2039=SPECIAL_LBL)*(INC_SPECIALS="Y"))=0,"",'Dvd Calendar'!$I$2037)))</f>
        <v/>
      </c>
      <c r="H203" s="161">
        <f>IF(EJ203="","",IF(ISNUMBER('Dvd Calendar'!$J$2037)=FALSE,"",IF((('Dvd Calendar'!$J$2039=TYPE1)*(TYPE1&lt;&gt;"")+('Dvd Calendar'!$J$2039=TYPE2)*(TYPE2&lt;&gt;"")+('Dvd Calendar'!$J$2039=TYPE3)*(TYPE3&lt;&gt;"")+('Dvd Calendar'!$J$2039=TYPE4)*(TYPE4&lt;&gt;"")+('Dvd Calendar'!$J$2039=SPECIAL_LBL)*(INC_SPECIALS="Y"))=0,"",'Dvd Calendar'!$J$2037)))</f>
        <v/>
      </c>
      <c r="I203" s="161">
        <f>IF(EK203="","",IF(ISNUMBER('Dvd Calendar'!$K$2037)=FALSE,"",IF((('Dvd Calendar'!$K$2039=TYPE1)*(TYPE1&lt;&gt;"")+('Dvd Calendar'!$K$2039=TYPE2)*(TYPE2&lt;&gt;"")+('Dvd Calendar'!$K$2039=TYPE3)*(TYPE3&lt;&gt;"")+('Dvd Calendar'!$K$2039=TYPE4)*(TYPE4&lt;&gt;"")+('Dvd Calendar'!$K$2039=SPECIAL_LBL)*(INC_SPECIALS="Y"))=0,"",'Dvd Calendar'!$K$2037)))</f>
        <v/>
      </c>
      <c r="J203" s="161">
        <f>IF(EL203="","",IF(ISNUMBER('Dvd Calendar'!$L$2037)=FALSE,"",IF((('Dvd Calendar'!$L$2039=TYPE1)*(TYPE1&lt;&gt;"")+('Dvd Calendar'!$L$2039=TYPE2)*(TYPE2&lt;&gt;"")+('Dvd Calendar'!$L$2039=TYPE3)*(TYPE3&lt;&gt;"")+('Dvd Calendar'!$L$2039=TYPE4)*(TYPE4&lt;&gt;"")+('Dvd Calendar'!$L$2039=SPECIAL_LBL)*(INC_SPECIALS="Y"))=0,"",'Dvd Calendar'!$L$2037)))</f>
        <v/>
      </c>
      <c r="K203" s="161">
        <f>IF(EM203="","",IF(ISNUMBER('Dvd Calendar'!$M$2037)=FALSE,"",IF((('Dvd Calendar'!$M$2039=TYPE1)*(TYPE1&lt;&gt;"")+('Dvd Calendar'!$M$2039=TYPE2)*(TYPE2&lt;&gt;"")+('Dvd Calendar'!$M$2039=TYPE3)*(TYPE3&lt;&gt;"")+('Dvd Calendar'!$M$2039=TYPE4)*(TYPE4&lt;&gt;"")+('Dvd Calendar'!$M$2039=SPECIAL_LBL)*(INC_SPECIALS="Y"))=0,"",'Dvd Calendar'!$M$2037)))</f>
        <v/>
      </c>
      <c r="L203" s="161">
        <f>IF(EN203="","",IF(ISNUMBER('Dvd Calendar'!$N$2037)=FALSE,"",IF((('Dvd Calendar'!$N$2039=TYPE1)*(TYPE1&lt;&gt;"")+('Dvd Calendar'!$N$2039=TYPE2)*(TYPE2&lt;&gt;"")+('Dvd Calendar'!$N$2039=TYPE3)*(TYPE3&lt;&gt;"")+('Dvd Calendar'!$N$2039=TYPE4)*(TYPE4&lt;&gt;"")+('Dvd Calendar'!$N$2039=SPECIAL_LBL)*(INC_SPECIALS="Y"))=0,"",'Dvd Calendar'!$N$2037)))</f>
        <v/>
      </c>
      <c r="M203" s="161">
        <f>IF(EO203="","",IF(ISNUMBER('Dvd Calendar'!$O$2037)=FALSE,"",IF((('Dvd Calendar'!$O$2039=TYPE1)*(TYPE1&lt;&gt;"")+('Dvd Calendar'!$O$2039=TYPE2)*(TYPE2&lt;&gt;"")+('Dvd Calendar'!$O$2039=TYPE3)*(TYPE3&lt;&gt;"")+('Dvd Calendar'!$O$2039=TYPE4)*(TYPE4&lt;&gt;"")+('Dvd Calendar'!$O$2039=SPECIAL_LBL)*(INC_SPECIALS="Y"))=0,"",'Dvd Calendar'!$O$2037)))</f>
        <v/>
      </c>
      <c r="N203" s="161">
        <f>IF(EP203="","",IF(ISNUMBER('Dvd Calendar'!$P$2037)=FALSE,"",IF((('Dvd Calendar'!$P$2039=TYPE1)*(TYPE1&lt;&gt;"")+('Dvd Calendar'!$P$2039=TYPE2)*(TYPE2&lt;&gt;"")+('Dvd Calendar'!$P$2039=TYPE3)*(TYPE3&lt;&gt;"")+('Dvd Calendar'!$P$2039=TYPE4)*(TYPE4&lt;&gt;"")+('Dvd Calendar'!$P$2039=SPECIAL_LBL)*(INC_SPECIALS="Y"))=0,"",'Dvd Calendar'!$P$2037)))</f>
        <v/>
      </c>
      <c r="O203" s="161">
        <f>IF(EQ203="","",IF(ISNUMBER('Dvd Calendar'!$Q$2037)=FALSE,"",IF((('Dvd Calendar'!$Q$2039=TYPE1)*(TYPE1&lt;&gt;"")+('Dvd Calendar'!$Q$2039=TYPE2)*(TYPE2&lt;&gt;"")+('Dvd Calendar'!$Q$2039=TYPE3)*(TYPE3&lt;&gt;"")+('Dvd Calendar'!$Q$2039=TYPE4)*(TYPE4&lt;&gt;"")+('Dvd Calendar'!$Q$2039=SPECIAL_LBL)*(INC_SPECIALS="Y"))=0,"",'Dvd Calendar'!$Q$2037)))</f>
        <v/>
      </c>
      <c r="P203" s="161">
        <f>IF(ER203="","",IF(ISNUMBER('Dvd Calendar'!$R$2037)=FALSE,"",IF((('Dvd Calendar'!$R$2039=TYPE1)*(TYPE1&lt;&gt;"")+('Dvd Calendar'!$R$2039=TYPE2)*(TYPE2&lt;&gt;"")+('Dvd Calendar'!$R$2039=TYPE3)*(TYPE3&lt;&gt;"")+('Dvd Calendar'!$R$2039=TYPE4)*(TYPE4&lt;&gt;"")+('Dvd Calendar'!$R$2039=SPECIAL_LBL)*(INC_SPECIALS="Y"))=0,"",'Dvd Calendar'!$R$2037)))</f>
        <v/>
      </c>
      <c r="Q203" s="161">
        <f>IF(ES203="","",IF(ISNUMBER('Dvd Calendar'!$S$2037)=FALSE,"",IF((('Dvd Calendar'!$S$2039=TYPE1)*(TYPE1&lt;&gt;"")+('Dvd Calendar'!$S$2039=TYPE2)*(TYPE2&lt;&gt;"")+('Dvd Calendar'!$S$2039=TYPE3)*(TYPE3&lt;&gt;"")+('Dvd Calendar'!$S$2039=TYPE4)*(TYPE4&lt;&gt;"")+('Dvd Calendar'!$S$2039=SPECIAL_LBL)*(INC_SPECIALS="Y"))=0,"",'Dvd Calendar'!$S$2037)))</f>
        <v/>
      </c>
      <c r="R203" s="161">
        <f>IF(ET203="","",IF(ISNUMBER('Dvd Calendar'!$T$2037)=FALSE,"",IF((('Dvd Calendar'!$T$2039=TYPE1)*(TYPE1&lt;&gt;"")+('Dvd Calendar'!$T$2039=TYPE2)*(TYPE2&lt;&gt;"")+('Dvd Calendar'!$T$2039=TYPE3)*(TYPE3&lt;&gt;"")+('Dvd Calendar'!$T$2039=TYPE4)*(TYPE4&lt;&gt;"")+('Dvd Calendar'!$T$2039=SPECIAL_LBL)*(INC_SPECIALS="Y"))=0,"",'Dvd Calendar'!$T$2037)))</f>
        <v/>
      </c>
      <c r="S203" s="161">
        <f>IF(EU203="","",IF(ISNUMBER('Dvd Calendar'!$U$2037)=FALSE,"",IF((('Dvd Calendar'!$U$2039=TYPE1)*(TYPE1&lt;&gt;"")+('Dvd Calendar'!$U$2039=TYPE2)*(TYPE2&lt;&gt;"")+('Dvd Calendar'!$U$2039=TYPE3)*(TYPE3&lt;&gt;"")+('Dvd Calendar'!$U$2039=TYPE4)*(TYPE4&lt;&gt;"")+('Dvd Calendar'!$U$2039=SPECIAL_LBL)*(INC_SPECIALS="Y"))=0,"",'Dvd Calendar'!$U$2037)))</f>
        <v/>
      </c>
      <c r="T203" s="161">
        <f>IF(EV203="","",IF(ISNUMBER('Dvd Calendar'!$V$2037)=FALSE,"",IF((('Dvd Calendar'!$V$2039=TYPE1)*(TYPE1&lt;&gt;"")+('Dvd Calendar'!$V$2039=TYPE2)*(TYPE2&lt;&gt;"")+('Dvd Calendar'!$V$2039=TYPE3)*(TYPE3&lt;&gt;"")+('Dvd Calendar'!$V$2039=TYPE4)*(TYPE4&lt;&gt;"")+('Dvd Calendar'!$V$2039=SPECIAL_LBL)*(INC_SPECIALS="Y"))=0,"",'Dvd Calendar'!$V$2037)))</f>
        <v/>
      </c>
      <c r="U203" s="161">
        <f>IF(EW203="","",IF(ISNUMBER('Dvd Calendar'!$W$2037)=FALSE,"",IF((('Dvd Calendar'!$W$2039=TYPE1)*(TYPE1&lt;&gt;"")+('Dvd Calendar'!$W$2039=TYPE2)*(TYPE2&lt;&gt;"")+('Dvd Calendar'!$W$2039=TYPE3)*(TYPE3&lt;&gt;"")+('Dvd Calendar'!$W$2039=TYPE4)*(TYPE4&lt;&gt;"")+('Dvd Calendar'!$W$2039=SPECIAL_LBL)*(INC_SPECIALS="Y"))=0,"",'Dvd Calendar'!$W$2037)))</f>
        <v/>
      </c>
      <c r="V203" s="161">
        <f>IF(EX203="","",IF(ISNUMBER('Dvd Calendar'!$X$2037)=FALSE,"",IF((('Dvd Calendar'!$X$2039=TYPE1)*(TYPE1&lt;&gt;"")+('Dvd Calendar'!$X$2039=TYPE2)*(TYPE2&lt;&gt;"")+('Dvd Calendar'!$X$2039=TYPE3)*(TYPE3&lt;&gt;"")+('Dvd Calendar'!$X$2039=TYPE4)*(TYPE4&lt;&gt;"")+('Dvd Calendar'!$X$2039=SPECIAL_LBL)*(INC_SPECIALS="Y"))=0,"",'Dvd Calendar'!$X$2037)))</f>
        <v/>
      </c>
      <c r="W203" s="161">
        <f>IF(EY203="","",IF(ISNUMBER('Dvd Calendar'!$Y$2037)=FALSE,"",IF((('Dvd Calendar'!$Y$2039=TYPE1)*(TYPE1&lt;&gt;"")+('Dvd Calendar'!$Y$2039=TYPE2)*(TYPE2&lt;&gt;"")+('Dvd Calendar'!$Y$2039=TYPE3)*(TYPE3&lt;&gt;"")+('Dvd Calendar'!$Y$2039=TYPE4)*(TYPE4&lt;&gt;"")+('Dvd Calendar'!$Y$2039=SPECIAL_LBL)*(INC_SPECIALS="Y"))=0,"",'Dvd Calendar'!$Y$2037)))</f>
        <v/>
      </c>
      <c r="X203" s="161">
        <f>IF(EZ203="","",IF(ISNUMBER('Dvd Calendar'!$Z$2037)=FALSE,"",IF((('Dvd Calendar'!$Z$2039=TYPE1)*(TYPE1&lt;&gt;"")+('Dvd Calendar'!$Z$2039=TYPE2)*(TYPE2&lt;&gt;"")+('Dvd Calendar'!$Z$2039=TYPE3)*(TYPE3&lt;&gt;"")+('Dvd Calendar'!$Z$2039=TYPE4)*(TYPE4&lt;&gt;"")+('Dvd Calendar'!$Z$2039=SPECIAL_LBL)*(INC_SPECIALS="Y"))=0,"",'Dvd Calendar'!$Z$2037)))</f>
        <v/>
      </c>
      <c r="Y203" s="161">
        <f>IF(FA203="","",IF(ISNUMBER('Dvd Calendar'!$AA$2037)=FALSE,"",IF((('Dvd Calendar'!$AA$2039=TYPE1)*(TYPE1&lt;&gt;"")+('Dvd Calendar'!$AA$2039=TYPE2)*(TYPE2&lt;&gt;"")+('Dvd Calendar'!$AA$2039=TYPE3)*(TYPE3&lt;&gt;"")+('Dvd Calendar'!$AA$2039=TYPE4)*(TYPE4&lt;&gt;"")+('Dvd Calendar'!$AA$2039=SPECIAL_LBL)*(INC_SPECIALS="Y"))=0,"",'Dvd Calendar'!$AA$2037)))</f>
        <v/>
      </c>
      <c r="Z203" s="161">
        <f>IF(FB203="","",IF(ISNUMBER('Dvd Calendar'!$AB$2037)=FALSE,"",IF((('Dvd Calendar'!$AB$2039=TYPE1)*(TYPE1&lt;&gt;"")+('Dvd Calendar'!$AB$2039=TYPE2)*(TYPE2&lt;&gt;"")+('Dvd Calendar'!$AB$2039=TYPE3)*(TYPE3&lt;&gt;"")+('Dvd Calendar'!$AB$2039=TYPE4)*(TYPE4&lt;&gt;"")+('Dvd Calendar'!$AB$2039=SPECIAL_LBL)*(INC_SPECIALS="Y"))=0,"",'Dvd Calendar'!$AB$2037)))</f>
        <v/>
      </c>
      <c r="AA203" s="161">
        <f>IF(FC203="","",IF(ISNUMBER('Dvd Calendar'!$AC$2037)=FALSE,"",IF((('Dvd Calendar'!$AC$2039=TYPE1)*(TYPE1&lt;&gt;"")+('Dvd Calendar'!$AC$2039=TYPE2)*(TYPE2&lt;&gt;"")+('Dvd Calendar'!$AC$2039=TYPE3)*(TYPE3&lt;&gt;"")+('Dvd Calendar'!$AC$2039=TYPE4)*(TYPE4&lt;&gt;"")+('Dvd Calendar'!$AC$2039=SPECIAL_LBL)*(INC_SPECIALS="Y"))=0,"",'Dvd Calendar'!$AC$2037)))</f>
        <v/>
      </c>
      <c r="AB203" s="161">
        <f>IF(FD203="","",IF(ISNUMBER('Dvd Calendar'!$AD$2037)=FALSE,"",IF((('Dvd Calendar'!$AD$2039=TYPE1)*(TYPE1&lt;&gt;"")+('Dvd Calendar'!$AD$2039=TYPE2)*(TYPE2&lt;&gt;"")+('Dvd Calendar'!$AD$2039=TYPE3)*(TYPE3&lt;&gt;"")+('Dvd Calendar'!$AD$2039=TYPE4)*(TYPE4&lt;&gt;"")+('Dvd Calendar'!$AD$2039=SPECIAL_LBL)*(INC_SPECIALS="Y"))=0,"",'Dvd Calendar'!$AD$2037)))</f>
        <v/>
      </c>
      <c r="AC203" s="161">
        <f>IF(FE203="","",IF(ISNUMBER('Dvd Calendar'!$AE$2037)=FALSE,"",IF((('Dvd Calendar'!$AE$2039=TYPE1)*(TYPE1&lt;&gt;"")+('Dvd Calendar'!$AE$2039=TYPE2)*(TYPE2&lt;&gt;"")+('Dvd Calendar'!$AE$2039=TYPE3)*(TYPE3&lt;&gt;"")+('Dvd Calendar'!$AE$2039=TYPE4)*(TYPE4&lt;&gt;"")+('Dvd Calendar'!$AE$2039=SPECIAL_LBL)*(INC_SPECIALS="Y"))=0,"",'Dvd Calendar'!$AE$2037)))</f>
        <v/>
      </c>
      <c r="AD203" s="161">
        <f>IF(FF203="","",IF(ISNUMBER('Dvd Calendar'!$AF$2037)=FALSE,"",IF((('Dvd Calendar'!$AF$2039=TYPE1)*(TYPE1&lt;&gt;"")+('Dvd Calendar'!$AF$2039=TYPE2)*(TYPE2&lt;&gt;"")+('Dvd Calendar'!$AF$2039=TYPE3)*(TYPE3&lt;&gt;"")+('Dvd Calendar'!$AF$2039=TYPE4)*(TYPE4&lt;&gt;"")+('Dvd Calendar'!$AF$2039=SPECIAL_LBL)*(INC_SPECIALS="Y"))=0,"",'Dvd Calendar'!$AF$2037)))</f>
        <v/>
      </c>
      <c r="AE203" s="161">
        <f>IF(FG203="","",IF(ISNUMBER('Dvd Calendar'!$AG$2037)=FALSE,"",IF((('Dvd Calendar'!$AG$2039=TYPE1)*(TYPE1&lt;&gt;"")+('Dvd Calendar'!$AG$2039=TYPE2)*(TYPE2&lt;&gt;"")+('Dvd Calendar'!$AG$2039=TYPE3)*(TYPE3&lt;&gt;"")+('Dvd Calendar'!$AG$2039=TYPE4)*(TYPE4&lt;&gt;"")+('Dvd Calendar'!$AG$2039=SPECIAL_LBL)*(INC_SPECIALS="Y"))=0,"",'Dvd Calendar'!$AG$2037)))</f>
        <v/>
      </c>
      <c r="AF203" s="161">
        <f>IF(FH203="","",IF(ISNUMBER('Dvd Calendar'!$AH$2037)=FALSE,"",IF((('Dvd Calendar'!$AH$2039=TYPE1)*(TYPE1&lt;&gt;"")+('Dvd Calendar'!$AH$2039=TYPE2)*(TYPE2&lt;&gt;"")+('Dvd Calendar'!$AH$2039=TYPE3)*(TYPE3&lt;&gt;"")+('Dvd Calendar'!$AH$2039=TYPE4)*(TYPE4&lt;&gt;"")+('Dvd Calendar'!$AH$2039=SPECIAL_LBL)*(INC_SPECIALS="Y"))=0,"",'Dvd Calendar'!$AH$2037)))</f>
        <v/>
      </c>
      <c r="AG203" s="161">
        <f>IF(FI203="","",IF(ISNUMBER('Dvd Calendar'!$AI$2037)=FALSE,"",IF((('Dvd Calendar'!$AI$2039=TYPE1)*(TYPE1&lt;&gt;"")+('Dvd Calendar'!$AI$2039=TYPE2)*(TYPE2&lt;&gt;"")+('Dvd Calendar'!$AI$2039=TYPE3)*(TYPE3&lt;&gt;"")+('Dvd Calendar'!$AI$2039=TYPE4)*(TYPE4&lt;&gt;"")+('Dvd Calendar'!$AI$2039=SPECIAL_LBL)*(INC_SPECIALS="Y"))=0,"",'Dvd Calendar'!$AI$2037)))</f>
        <v/>
      </c>
      <c r="AH203" s="161">
        <f>IF(FJ203="","",IF(ISNUMBER('Dvd Calendar'!$AJ$2037)=FALSE,"",IF((('Dvd Calendar'!$AJ$2039=TYPE1)*(TYPE1&lt;&gt;"")+('Dvd Calendar'!$AJ$2039=TYPE2)*(TYPE2&lt;&gt;"")+('Dvd Calendar'!$AJ$2039=TYPE3)*(TYPE3&lt;&gt;"")+('Dvd Calendar'!$AJ$2039=TYPE4)*(TYPE4&lt;&gt;"")+('Dvd Calendar'!$AJ$2039=SPECIAL_LBL)*(INC_SPECIALS="Y"))=0,"",'Dvd Calendar'!$AJ$2037)))</f>
        <v/>
      </c>
      <c r="AI203" s="161">
        <f>IF(FK203="","",IF(ISNUMBER('Dvd Calendar'!$AK$2037)=FALSE,"",IF((('Dvd Calendar'!$AK$2039=TYPE1)*(TYPE1&lt;&gt;"")+('Dvd Calendar'!$AK$2039=TYPE2)*(TYPE2&lt;&gt;"")+('Dvd Calendar'!$AK$2039=TYPE3)*(TYPE3&lt;&gt;"")+('Dvd Calendar'!$AK$2039=TYPE4)*(TYPE4&lt;&gt;"")+('Dvd Calendar'!$AK$2039=SPECIAL_LBL)*(INC_SPECIALS="Y"))=0,"",'Dvd Calendar'!$AK$2037)))</f>
        <v/>
      </c>
      <c r="AJ203" s="161">
        <f>IF(FL203="","",IF(ISNUMBER('Dvd Calendar'!$AL$2037)=FALSE,"",IF((('Dvd Calendar'!$AL$2039=TYPE1)*(TYPE1&lt;&gt;"")+('Dvd Calendar'!$AL$2039=TYPE2)*(TYPE2&lt;&gt;"")+('Dvd Calendar'!$AL$2039=TYPE3)*(TYPE3&lt;&gt;"")+('Dvd Calendar'!$AL$2039=TYPE4)*(TYPE4&lt;&gt;"")+('Dvd Calendar'!$AL$2039=SPECIAL_LBL)*(INC_SPECIALS="Y"))=0,"",'Dvd Calendar'!$AL$2037)))</f>
        <v/>
      </c>
      <c r="AK203" s="161">
        <f>IF(FM203="","",IF(ISNUMBER('Dvd Calendar'!$AM$2037)=FALSE,"",IF((('Dvd Calendar'!$AM$2039=TYPE1)*(TYPE1&lt;&gt;"")+('Dvd Calendar'!$AM$2039=TYPE2)*(TYPE2&lt;&gt;"")+('Dvd Calendar'!$AM$2039=TYPE3)*(TYPE3&lt;&gt;"")+('Dvd Calendar'!$AM$2039=TYPE4)*(TYPE4&lt;&gt;"")+('Dvd Calendar'!$AM$2039=SPECIAL_LBL)*(INC_SPECIALS="Y"))=0,"",'Dvd Calendar'!$AM$2037)))</f>
        <v/>
      </c>
      <c r="AL203" s="161">
        <f>IF(FN203="","",IF(ISNUMBER('Dvd Calendar'!$AN$2037)=FALSE,"",IF((('Dvd Calendar'!$AN$2039=TYPE1)*(TYPE1&lt;&gt;"")+('Dvd Calendar'!$AN$2039=TYPE2)*(TYPE2&lt;&gt;"")+('Dvd Calendar'!$AN$2039=TYPE3)*(TYPE3&lt;&gt;"")+('Dvd Calendar'!$AN$2039=TYPE4)*(TYPE4&lt;&gt;"")+('Dvd Calendar'!$AN$2039=SPECIAL_LBL)*(INC_SPECIALS="Y"))=0,"",'Dvd Calendar'!$AN$2037)))</f>
        <v/>
      </c>
      <c r="AM203" s="161">
        <f>IF(FO203="","",IF(ISNUMBER('Dvd Calendar'!$AO$2037)=FALSE,"",IF((('Dvd Calendar'!$AO$2039=TYPE1)*(TYPE1&lt;&gt;"")+('Dvd Calendar'!$AO$2039=TYPE2)*(TYPE2&lt;&gt;"")+('Dvd Calendar'!$AO$2039=TYPE3)*(TYPE3&lt;&gt;"")+('Dvd Calendar'!$AO$2039=TYPE4)*(TYPE4&lt;&gt;"")+('Dvd Calendar'!$AO$2039=SPECIAL_LBL)*(INC_SPECIALS="Y"))=0,"",'Dvd Calendar'!$AO$2037)))</f>
        <v/>
      </c>
      <c r="AN203" s="161">
        <f>IF(FP203="","",IF(ISNUMBER('Dvd Calendar'!$AP$2037)=FALSE,"",IF((('Dvd Calendar'!$AP$2039=TYPE1)*(TYPE1&lt;&gt;"")+('Dvd Calendar'!$AP$2039=TYPE2)*(TYPE2&lt;&gt;"")+('Dvd Calendar'!$AP$2039=TYPE3)*(TYPE3&lt;&gt;"")+('Dvd Calendar'!$AP$2039=TYPE4)*(TYPE4&lt;&gt;"")+('Dvd Calendar'!$AP$2039=SPECIAL_LBL)*(INC_SPECIALS="Y"))=0,"",'Dvd Calendar'!$AP$2037)))</f>
        <v/>
      </c>
      <c r="AO203" s="161">
        <f>IF(FQ203="","",IF(ISNUMBER('Dvd Calendar'!$AQ$2037)=FALSE,"",IF((('Dvd Calendar'!$AQ$2039=TYPE1)*(TYPE1&lt;&gt;"")+('Dvd Calendar'!$AQ$2039=TYPE2)*(TYPE2&lt;&gt;"")+('Dvd Calendar'!$AQ$2039=TYPE3)*(TYPE3&lt;&gt;"")+('Dvd Calendar'!$AQ$2039=TYPE4)*(TYPE4&lt;&gt;"")+('Dvd Calendar'!$AQ$2039=SPECIAL_LBL)*(INC_SPECIALS="Y"))=0,"",'Dvd Calendar'!$AQ$2037)))</f>
        <v/>
      </c>
      <c r="AP203" s="161">
        <f>IF(FR203="","",IF(ISNUMBER('Dvd Calendar'!$AR$2037)=FALSE,"",IF((('Dvd Calendar'!$AR$2039=TYPE1)*(TYPE1&lt;&gt;"")+('Dvd Calendar'!$AR$2039=TYPE2)*(TYPE2&lt;&gt;"")+('Dvd Calendar'!$AR$2039=TYPE3)*(TYPE3&lt;&gt;"")+('Dvd Calendar'!$AR$2039=TYPE4)*(TYPE4&lt;&gt;"")+('Dvd Calendar'!$AR$2039=SPECIAL_LBL)*(INC_SPECIALS="Y"))=0,"",'Dvd Calendar'!$AR$2037)))</f>
        <v/>
      </c>
      <c r="AQ203" s="161">
        <f>IF(FS203="","",IF(ISNUMBER('Dvd Calendar'!$E$2042)=FALSE,"",'Dvd Calendar'!$E$2042))</f>
        <v/>
      </c>
      <c r="AR203" s="161">
        <f>IF(FT203="","",IF(ISNUMBER('Dvd Calendar'!$F$2042)=FALSE,"",'Dvd Calendar'!$F$2042))</f>
        <v/>
      </c>
      <c r="AS203" s="161">
        <f>IF(FU203="","",IF(ISNUMBER('Dvd Calendar'!$G$2042)=FALSE,"",'Dvd Calendar'!$G$2042))</f>
        <v/>
      </c>
      <c r="AT203" s="161">
        <f>IF(FV203="","",IF(ISNUMBER('Dvd Calendar'!$H$2042)=FALSE,"",'Dvd Calendar'!$H$2042))</f>
        <v/>
      </c>
      <c r="AU203" s="161">
        <f>IF(FW203="","",IF(ISNUMBER('Dvd Calendar'!$I$2042)=FALSE,"",'Dvd Calendar'!$I$2042))</f>
        <v/>
      </c>
      <c r="AV203" s="161">
        <f>IF(FX203="","",IF(ISNUMBER('Dvd Calendar'!$J$2042)=FALSE,"",'Dvd Calendar'!$J$2042))</f>
        <v/>
      </c>
      <c r="AW203" s="161">
        <f>IF(FY203="","",IF(ISNUMBER('Dvd Calendar'!$K$2042)=FALSE,"",'Dvd Calendar'!$K$2042))</f>
        <v/>
      </c>
      <c r="AX203" s="161">
        <f>IF(FZ203="","",IF(ISNUMBER('Dvd Calendar'!$L$2042)=FALSE,"",'Dvd Calendar'!$L$2042))</f>
        <v/>
      </c>
      <c r="AY203" s="161">
        <f>IF(GA203="","",IF(ISNUMBER('Dvd Calendar'!$M$2042)=FALSE,"",'Dvd Calendar'!$M$2042))</f>
        <v/>
      </c>
      <c r="AZ203" s="161">
        <f>IF(GB203="","",IF(ISNUMBER('Dvd Calendar'!$N$2042)=FALSE,"",'Dvd Calendar'!$N$2042))</f>
        <v/>
      </c>
      <c r="BA203" s="161">
        <f>IF(GC203="","",IF(ISNUMBER('Dvd Calendar'!$O$2042)=FALSE,"",'Dvd Calendar'!$O$2042))</f>
        <v/>
      </c>
      <c r="BB203" s="161">
        <f>IF(GD203="","",IF(ISNUMBER('Dvd Calendar'!$P$2042)=FALSE,"",'Dvd Calendar'!$P$2042))</f>
        <v/>
      </c>
      <c r="BC203" s="161">
        <f>IF(GE203="","",IF(ISNUMBER('Dvd Calendar'!$Q$2042)=FALSE,"",'Dvd Calendar'!$Q$2042))</f>
        <v/>
      </c>
      <c r="BD203" s="161">
        <f>IF(GF203="","",IF(ISNUMBER('Dvd Calendar'!$R$2042)=FALSE,"",'Dvd Calendar'!$R$2042))</f>
        <v/>
      </c>
      <c r="BE203" s="161">
        <f>IF(GG203="","",IF(ISNUMBER('Dvd Calendar'!$S$2042)=FALSE,"",'Dvd Calendar'!$S$2042))</f>
        <v/>
      </c>
      <c r="BF203" s="161">
        <f>IF(GH203="","",IF(ISNUMBER('Dvd Calendar'!$T$2042)=FALSE,"",'Dvd Calendar'!$T$2042))</f>
        <v/>
      </c>
      <c r="BG203" s="161">
        <f>IF(GI203="","",IF(ISNUMBER('Dvd Calendar'!$U$2042)=FALSE,"",'Dvd Calendar'!$U$2042))</f>
        <v/>
      </c>
      <c r="BH203" s="161">
        <f>IF(GJ203="","",IF(ISNUMBER('Dvd Calendar'!$V$2042)=FALSE,"",'Dvd Calendar'!$V$2042))</f>
        <v/>
      </c>
      <c r="BI203" s="161">
        <f>IF(GK203="","",IF(ISNUMBER('Dvd Calendar'!$W$2042)=FALSE,"",'Dvd Calendar'!$W$2042))</f>
        <v/>
      </c>
      <c r="BJ203" s="161">
        <f>IF(GL203="","",IF(ISNUMBER('Dvd Calendar'!$X$2042)=FALSE,"",'Dvd Calendar'!$X$2042))</f>
        <v/>
      </c>
      <c r="BK203" s="161">
        <f>IF(GM203="","",IF(ISNUMBER('Dvd Calendar'!$Y$2042)=FALSE,"",'Dvd Calendar'!$Y$2042))</f>
        <v/>
      </c>
      <c r="BL203" s="161">
        <f>IF(GN203="","",IF(ISNUMBER('Dvd Calendar'!$Z$2042)=FALSE,"",'Dvd Calendar'!$Z$2042))</f>
        <v/>
      </c>
      <c r="BM203" s="161">
        <f>IF(GO203="","",IF(ISNUMBER('Dvd Calendar'!$AA$2042)=FALSE,"",'Dvd Calendar'!$AA$2042))</f>
        <v/>
      </c>
      <c r="BN203" s="161">
        <f>IF(GP203="","",IF(ISNUMBER('Dvd Calendar'!$AB$2042)=FALSE,"",'Dvd Calendar'!$AB$2042))</f>
        <v/>
      </c>
      <c r="BO203" s="161">
        <f>IF(GQ203="","",IF(ISNUMBER('Dvd Calendar'!$AC$2042)=FALSE,"",'Dvd Calendar'!$AC$2042))</f>
        <v/>
      </c>
      <c r="BQ203" s="161">
        <f>IF(C203="","",IFERROR(C203*HSCEI!$B$50*HSCEI!$G$50/HSCEI!$B$3,""))</f>
        <v/>
      </c>
      <c r="BR203" s="161">
        <f>IF(D203="","",IFERROR(D203*HSCEI!$B$50*HSCEI!$G$50/HSCEI!$B$3,""))</f>
        <v/>
      </c>
      <c r="BS203" s="161">
        <f>IF(E203="","",IFERROR(E203*HSCEI!$B$50*HSCEI!$G$50/HSCEI!$B$3,""))</f>
        <v/>
      </c>
      <c r="BT203" s="161">
        <f>IF(F203="","",IFERROR(F203*HSCEI!$B$50*HSCEI!$G$50/HSCEI!$B$3,""))</f>
        <v/>
      </c>
      <c r="BU203" s="161">
        <f>IF(G203="","",IFERROR(G203*HSCEI!$B$50*HSCEI!$G$50/HSCEI!$B$3,""))</f>
        <v/>
      </c>
      <c r="BV203" s="161">
        <f>IF(H203="","",IFERROR(H203*HSCEI!$B$50*HSCEI!$G$50/HSCEI!$B$3,""))</f>
        <v/>
      </c>
      <c r="BW203" s="161">
        <f>IF(I203="","",IFERROR(I203*HSCEI!$B$50*HSCEI!$G$50/HSCEI!$B$3,""))</f>
        <v/>
      </c>
      <c r="BX203" s="161">
        <f>IF(J203="","",IFERROR(J203*HSCEI!$B$50*HSCEI!$G$50/HSCEI!$B$3,""))</f>
        <v/>
      </c>
      <c r="BY203" s="161">
        <f>IF(K203="","",IFERROR(K203*HSCEI!$B$50*HSCEI!$G$50/HSCEI!$B$3,""))</f>
        <v/>
      </c>
      <c r="BZ203" s="161">
        <f>IF(L203="","",IFERROR(L203*HSCEI!$B$50*HSCEI!$G$50/HSCEI!$B$3,""))</f>
        <v/>
      </c>
      <c r="CA203" s="161">
        <f>IF(M203="","",IFERROR(M203*HSCEI!$B$50*HSCEI!$G$50/HSCEI!$B$3,""))</f>
        <v/>
      </c>
      <c r="CB203" s="161">
        <f>IF(N203="","",IFERROR(N203*HSCEI!$B$50*HSCEI!$G$50/HSCEI!$B$3,""))</f>
        <v/>
      </c>
      <c r="CC203" s="161">
        <f>IF(O203="","",IFERROR(O203*HSCEI!$B$50*HSCEI!$G$50/HSCEI!$B$3,""))</f>
        <v/>
      </c>
      <c r="CD203" s="161">
        <f>IF(P203="","",IFERROR(P203*HSCEI!$B$50*HSCEI!$G$50/HSCEI!$B$3,""))</f>
        <v/>
      </c>
      <c r="CE203" s="161">
        <f>IF(Q203="","",IFERROR(Q203*HSCEI!$B$50*HSCEI!$G$50/HSCEI!$B$3,""))</f>
        <v/>
      </c>
      <c r="CF203" s="161">
        <f>IF(R203="","",IFERROR(R203*HSCEI!$B$50*HSCEI!$G$50/HSCEI!$B$3,""))</f>
        <v/>
      </c>
      <c r="CG203" s="161">
        <f>IF(S203="","",IFERROR(S203*HSCEI!$B$50*HSCEI!$G$50/HSCEI!$B$3,""))</f>
        <v/>
      </c>
      <c r="CH203" s="161">
        <f>IF(T203="","",IFERROR(T203*HSCEI!$B$50*HSCEI!$G$50/HSCEI!$B$3,""))</f>
        <v/>
      </c>
      <c r="CI203" s="161">
        <f>IF(U203="","",IFERROR(U203*HSCEI!$B$50*HSCEI!$G$50/HSCEI!$B$3,""))</f>
        <v/>
      </c>
      <c r="CJ203" s="161">
        <f>IF(V203="","",IFERROR(V203*HSCEI!$B$50*HSCEI!$G$50/HSCEI!$B$3,""))</f>
        <v/>
      </c>
      <c r="CK203" s="161">
        <f>IF(W203="","",IFERROR(W203*HSCEI!$B$50*HSCEI!$G$50/HSCEI!$B$3,""))</f>
        <v/>
      </c>
      <c r="CL203" s="161">
        <f>IF(X203="","",IFERROR(X203*HSCEI!$B$50*HSCEI!$G$50/HSCEI!$B$3,""))</f>
        <v/>
      </c>
      <c r="CM203" s="161">
        <f>IF(Y203="","",IFERROR(Y203*HSCEI!$B$50*HSCEI!$G$50/HSCEI!$B$3,""))</f>
        <v/>
      </c>
      <c r="CN203" s="161">
        <f>IF(Z203="","",IFERROR(Z203*HSCEI!$B$50*HSCEI!$G$50/HSCEI!$B$3,""))</f>
        <v/>
      </c>
      <c r="CO203" s="161">
        <f>IF(AA203="","",IFERROR(AA203*HSCEI!$B$50*HSCEI!$G$50/HSCEI!$B$3,""))</f>
        <v/>
      </c>
      <c r="CP203" s="161">
        <f>IF(AB203="","",IFERROR(AB203*HSCEI!$B$50*HSCEI!$G$50/HSCEI!$B$3,""))</f>
        <v/>
      </c>
      <c r="CQ203" s="161">
        <f>IF(AC203="","",IFERROR(AC203*HSCEI!$B$50*HSCEI!$G$50/HSCEI!$B$3,""))</f>
        <v/>
      </c>
      <c r="CR203" s="161">
        <f>IF(AD203="","",IFERROR(AD203*HSCEI!$B$50*HSCEI!$G$50/HSCEI!$B$3,""))</f>
        <v/>
      </c>
      <c r="CS203" s="161">
        <f>IF(AE203="","",IFERROR(AE203*HSCEI!$B$50*HSCEI!$G$50/HSCEI!$B$3,""))</f>
        <v/>
      </c>
      <c r="CT203" s="161">
        <f>IF(AF203="","",IFERROR(AF203*HSCEI!$B$50*HSCEI!$G$50/HSCEI!$B$3,""))</f>
        <v/>
      </c>
      <c r="CU203" s="161">
        <f>IF(AG203="","",IFERROR(AG203*HSCEI!$B$50*HSCEI!$G$50/HSCEI!$B$3,""))</f>
        <v/>
      </c>
      <c r="CV203" s="161">
        <f>IF(AH203="","",IFERROR(AH203*HSCEI!$B$50*HSCEI!$G$50/HSCEI!$B$3,""))</f>
        <v/>
      </c>
      <c r="CW203" s="161">
        <f>IF(AI203="","",IFERROR(AI203*HSCEI!$B$50*HSCEI!$G$50/HSCEI!$B$3,""))</f>
        <v/>
      </c>
      <c r="CX203" s="161">
        <f>IF(AJ203="","",IFERROR(AJ203*HSCEI!$B$50*HSCEI!$G$50/HSCEI!$B$3,""))</f>
        <v/>
      </c>
      <c r="CY203" s="161">
        <f>IF(AK203="","",IFERROR(AK203*HSCEI!$B$50*HSCEI!$G$50/HSCEI!$B$3,""))</f>
        <v/>
      </c>
      <c r="CZ203" s="161">
        <f>IF(AL203="","",IFERROR(AL203*HSCEI!$B$50*HSCEI!$G$50/HSCEI!$B$3,""))</f>
        <v/>
      </c>
      <c r="DA203" s="161">
        <f>IF(AM203="","",IFERROR(AM203*HSCEI!$B$50*HSCEI!$G$50/HSCEI!$B$3,""))</f>
        <v/>
      </c>
      <c r="DB203" s="161">
        <f>IF(AN203="","",IFERROR(AN203*HSCEI!$B$50*HSCEI!$G$50/HSCEI!$B$3,""))</f>
        <v/>
      </c>
      <c r="DC203" s="161">
        <f>IF(AO203="","",IFERROR(AO203*HSCEI!$B$50*HSCEI!$G$50/HSCEI!$B$3,""))</f>
        <v/>
      </c>
      <c r="DD203" s="161">
        <f>IF(AP203="","",IFERROR(AP203*HSCEI!$B$50*HSCEI!$G$50/HSCEI!$B$3,""))</f>
        <v/>
      </c>
      <c r="DE203" s="161">
        <f>IF(AQ203="","",IFERROR(AQ203*HSCEI!$B$50*HSCEI!$G$50/HSCEI!$B$3,""))</f>
        <v/>
      </c>
      <c r="DF203" s="161">
        <f>IF(AR203="","",IFERROR(AR203*HSCEI!$B$50*HSCEI!$G$50/HSCEI!$B$3,""))</f>
        <v/>
      </c>
      <c r="DG203" s="161">
        <f>IF(AS203="","",IFERROR(AS203*HSCEI!$B$50*HSCEI!$G$50/HSCEI!$B$3,""))</f>
        <v/>
      </c>
      <c r="DH203" s="161">
        <f>IF(AT203="","",IFERROR(AT203*HSCEI!$B$50*HSCEI!$G$50/HSCEI!$B$3,""))</f>
        <v/>
      </c>
      <c r="DI203" s="161">
        <f>IF(AU203="","",IFERROR(AU203*HSCEI!$B$50*HSCEI!$G$50/HSCEI!$B$3,""))</f>
        <v/>
      </c>
      <c r="DJ203" s="161">
        <f>IF(AV203="","",IFERROR(AV203*HSCEI!$B$50*HSCEI!$G$50/HSCEI!$B$3,""))</f>
        <v/>
      </c>
      <c r="DK203" s="161">
        <f>IF(AW203="","",IFERROR(AW203*HSCEI!$B$50*HSCEI!$G$50/HSCEI!$B$3,""))</f>
        <v/>
      </c>
      <c r="DL203" s="161">
        <f>IF(AX203="","",IFERROR(AX203*HSCEI!$B$50*HSCEI!$G$50/HSCEI!$B$3,""))</f>
        <v/>
      </c>
      <c r="DM203" s="161">
        <f>IF(AY203="","",IFERROR(AY203*HSCEI!$B$50*HSCEI!$G$50/HSCEI!$B$3,""))</f>
        <v/>
      </c>
      <c r="DN203" s="161">
        <f>IF(AZ203="","",IFERROR(AZ203*HSCEI!$B$50*HSCEI!$G$50/HSCEI!$B$3,""))</f>
        <v/>
      </c>
      <c r="DO203" s="161">
        <f>IF(BA203="","",IFERROR(BA203*HSCEI!$B$50*HSCEI!$G$50/HSCEI!$B$3,""))</f>
        <v/>
      </c>
      <c r="DP203" s="161">
        <f>IF(BB203="","",IFERROR(BB203*HSCEI!$B$50*HSCEI!$G$50/HSCEI!$B$3,""))</f>
        <v/>
      </c>
      <c r="DQ203" s="161">
        <f>IF(BC203="","",IFERROR(BC203*HSCEI!$B$50*HSCEI!$G$50/HSCEI!$B$3,""))</f>
        <v/>
      </c>
      <c r="DR203" s="161">
        <f>IF(BD203="","",IFERROR(BD203*HSCEI!$B$50*HSCEI!$G$50/HSCEI!$B$3,""))</f>
        <v/>
      </c>
      <c r="DS203" s="161">
        <f>IF(BE203="","",IFERROR(BE203*HSCEI!$B$50*HSCEI!$G$50/HSCEI!$B$3,""))</f>
        <v/>
      </c>
      <c r="DT203" s="161">
        <f>IF(BF203="","",IFERROR(BF203*HSCEI!$B$50*HSCEI!$G$50/HSCEI!$B$3,""))</f>
        <v/>
      </c>
      <c r="DU203" s="161">
        <f>IF(BG203="","",IFERROR(BG203*HSCEI!$B$50*HSCEI!$G$50/HSCEI!$B$3,""))</f>
        <v/>
      </c>
      <c r="DV203" s="161">
        <f>IF(BH203="","",IFERROR(BH203*HSCEI!$B$50*HSCEI!$G$50/HSCEI!$B$3,""))</f>
        <v/>
      </c>
      <c r="DW203" s="161">
        <f>IF(BI203="","",IFERROR(BI203*HSCEI!$B$50*HSCEI!$G$50/HSCEI!$B$3,""))</f>
        <v/>
      </c>
      <c r="DX203" s="161">
        <f>IF(BJ203="","",IFERROR(BJ203*HSCEI!$B$50*HSCEI!$G$50/HSCEI!$B$3,""))</f>
        <v/>
      </c>
      <c r="DY203" s="161">
        <f>IF(BK203="","",IFERROR(BK203*HSCEI!$B$50*HSCEI!$G$50/HSCEI!$B$3,""))</f>
        <v/>
      </c>
      <c r="DZ203" s="161">
        <f>IF(BL203="","",IFERROR(BL203*HSCEI!$B$50*HSCEI!$G$50/HSCEI!$B$3,""))</f>
        <v/>
      </c>
      <c r="EA203" s="161">
        <f>IF(BM203="","",IFERROR(BM203*HSCEI!$B$50*HSCEI!$G$50/HSCEI!$B$3,""))</f>
        <v/>
      </c>
      <c r="EB203" s="161">
        <f>IF(BN203="","",IFERROR(BN203*HSCEI!$B$50*HSCEI!$G$50/HSCEI!$B$3,""))</f>
        <v/>
      </c>
      <c r="EC203" s="161">
        <f>IF(BO203="","",IFERROR(BO203*HSCEI!$B$50*HSCEI!$G$50/HSCEI!$B$3,""))</f>
        <v/>
      </c>
      <c r="EE203" s="121">
        <f>IF(N('Dvd Calendar'!$E$2034)=0,"",IF(('Dvd Calendar'!$E$2034&gt;=GRID_FROM)*('Dvd Calendar'!$E$2034&lt;=GRID_TO)*((('Dvd Calendar'!$E$2034&lt;=VAL_DATE)+(COUNTIF('Dvd Calendar'!$E$2041:$AR$2041,'Dvd Calendar'!$E$2034)=0))&gt;0)=0,"",'Dvd Calendar'!$E$2034*1000000000+ISNUMBER('Dvd Calendar'!$E$2037)*100000000+('Dvd Calendar'!$E$2039=SPECIAL_LBL)*10000000+(N('Dvd Calendar'!$E$2033)&gt;0)*(N('Dvd Calendar'!$E$2033)&lt;=VAL_SERIAL)*1000000+44*1000+1))</f>
        <v/>
      </c>
      <c r="EF203" s="121">
        <f>IF(N('Dvd Calendar'!$F$2034)=0,"",IF(('Dvd Calendar'!$F$2034&gt;=GRID_FROM)*('Dvd Calendar'!$F$2034&lt;=GRID_TO)*((('Dvd Calendar'!$F$2034&lt;=VAL_DATE)+(COUNTIF('Dvd Calendar'!$E$2041:$AR$2041,'Dvd Calendar'!$F$2034)=0))&gt;0)=0,"",'Dvd Calendar'!$F$2034*1000000000+ISNUMBER('Dvd Calendar'!$F$2037)*100000000+('Dvd Calendar'!$F$2039=SPECIAL_LBL)*10000000+(N('Dvd Calendar'!$F$2033)&gt;0)*(N('Dvd Calendar'!$F$2033)&lt;=VAL_SERIAL)*1000000+44*1000+2))</f>
        <v/>
      </c>
      <c r="EG203" s="121">
        <f>IF(N('Dvd Calendar'!$G$2034)=0,"",IF(('Dvd Calendar'!$G$2034&gt;=GRID_FROM)*('Dvd Calendar'!$G$2034&lt;=GRID_TO)*((('Dvd Calendar'!$G$2034&lt;=VAL_DATE)+(COUNTIF('Dvd Calendar'!$E$2041:$AR$2041,'Dvd Calendar'!$G$2034)=0))&gt;0)=0,"",'Dvd Calendar'!$G$2034*1000000000+ISNUMBER('Dvd Calendar'!$G$2037)*100000000+('Dvd Calendar'!$G$2039=SPECIAL_LBL)*10000000+(N('Dvd Calendar'!$G$2033)&gt;0)*(N('Dvd Calendar'!$G$2033)&lt;=VAL_SERIAL)*1000000+44*1000+3))</f>
        <v/>
      </c>
      <c r="EH203" s="121">
        <f>IF(N('Dvd Calendar'!$H$2034)=0,"",IF(('Dvd Calendar'!$H$2034&gt;=GRID_FROM)*('Dvd Calendar'!$H$2034&lt;=GRID_TO)*((('Dvd Calendar'!$H$2034&lt;=VAL_DATE)+(COUNTIF('Dvd Calendar'!$E$2041:$AR$2041,'Dvd Calendar'!$H$2034)=0))&gt;0)=0,"",'Dvd Calendar'!$H$2034*1000000000+ISNUMBER('Dvd Calendar'!$H$2037)*100000000+('Dvd Calendar'!$H$2039=SPECIAL_LBL)*10000000+(N('Dvd Calendar'!$H$2033)&gt;0)*(N('Dvd Calendar'!$H$2033)&lt;=VAL_SERIAL)*1000000+44*1000+4))</f>
        <v/>
      </c>
      <c r="EI203" s="121">
        <f>IF(N('Dvd Calendar'!$I$2034)=0,"",IF(('Dvd Calendar'!$I$2034&gt;=GRID_FROM)*('Dvd Calendar'!$I$2034&lt;=GRID_TO)*((('Dvd Calendar'!$I$2034&lt;=VAL_DATE)+(COUNTIF('Dvd Calendar'!$E$2041:$AR$2041,'Dvd Calendar'!$I$2034)=0))&gt;0)=0,"",'Dvd Calendar'!$I$2034*1000000000+ISNUMBER('Dvd Calendar'!$I$2037)*100000000+('Dvd Calendar'!$I$2039=SPECIAL_LBL)*10000000+(N('Dvd Calendar'!$I$2033)&gt;0)*(N('Dvd Calendar'!$I$2033)&lt;=VAL_SERIAL)*1000000+44*1000+5))</f>
        <v/>
      </c>
      <c r="EJ203" s="121">
        <f>IF(N('Dvd Calendar'!$J$2034)=0,"",IF(('Dvd Calendar'!$J$2034&gt;=GRID_FROM)*('Dvd Calendar'!$J$2034&lt;=GRID_TO)*((('Dvd Calendar'!$J$2034&lt;=VAL_DATE)+(COUNTIF('Dvd Calendar'!$E$2041:$AR$2041,'Dvd Calendar'!$J$2034)=0))&gt;0)=0,"",'Dvd Calendar'!$J$2034*1000000000+ISNUMBER('Dvd Calendar'!$J$2037)*100000000+('Dvd Calendar'!$J$2039=SPECIAL_LBL)*10000000+(N('Dvd Calendar'!$J$2033)&gt;0)*(N('Dvd Calendar'!$J$2033)&lt;=VAL_SERIAL)*1000000+44*1000+6))</f>
        <v/>
      </c>
      <c r="EK203" s="121">
        <f>IF(N('Dvd Calendar'!$K$2034)=0,"",IF(('Dvd Calendar'!$K$2034&gt;=GRID_FROM)*('Dvd Calendar'!$K$2034&lt;=GRID_TO)*((('Dvd Calendar'!$K$2034&lt;=VAL_DATE)+(COUNTIF('Dvd Calendar'!$E$2041:$AR$2041,'Dvd Calendar'!$K$2034)=0))&gt;0)=0,"",'Dvd Calendar'!$K$2034*1000000000+ISNUMBER('Dvd Calendar'!$K$2037)*100000000+('Dvd Calendar'!$K$2039=SPECIAL_LBL)*10000000+(N('Dvd Calendar'!$K$2033)&gt;0)*(N('Dvd Calendar'!$K$2033)&lt;=VAL_SERIAL)*1000000+44*1000+7))</f>
        <v/>
      </c>
      <c r="EL203" s="121">
        <f>IF(N('Dvd Calendar'!$L$2034)=0,"",IF(('Dvd Calendar'!$L$2034&gt;=GRID_FROM)*('Dvd Calendar'!$L$2034&lt;=GRID_TO)*((('Dvd Calendar'!$L$2034&lt;=VAL_DATE)+(COUNTIF('Dvd Calendar'!$E$2041:$AR$2041,'Dvd Calendar'!$L$2034)=0))&gt;0)=0,"",'Dvd Calendar'!$L$2034*1000000000+ISNUMBER('Dvd Calendar'!$L$2037)*100000000+('Dvd Calendar'!$L$2039=SPECIAL_LBL)*10000000+(N('Dvd Calendar'!$L$2033)&gt;0)*(N('Dvd Calendar'!$L$2033)&lt;=VAL_SERIAL)*1000000+44*1000+8))</f>
        <v/>
      </c>
      <c r="EM203" s="121">
        <f>IF(N('Dvd Calendar'!$M$2034)=0,"",IF(('Dvd Calendar'!$M$2034&gt;=GRID_FROM)*('Dvd Calendar'!$M$2034&lt;=GRID_TO)*((('Dvd Calendar'!$M$2034&lt;=VAL_DATE)+(COUNTIF('Dvd Calendar'!$E$2041:$AR$2041,'Dvd Calendar'!$M$2034)=0))&gt;0)=0,"",'Dvd Calendar'!$M$2034*1000000000+ISNUMBER('Dvd Calendar'!$M$2037)*100000000+('Dvd Calendar'!$M$2039=SPECIAL_LBL)*10000000+(N('Dvd Calendar'!$M$2033)&gt;0)*(N('Dvd Calendar'!$M$2033)&lt;=VAL_SERIAL)*1000000+44*1000+9))</f>
        <v/>
      </c>
      <c r="EN203" s="121">
        <f>IF(N('Dvd Calendar'!$N$2034)=0,"",IF(('Dvd Calendar'!$N$2034&gt;=GRID_FROM)*('Dvd Calendar'!$N$2034&lt;=GRID_TO)*((('Dvd Calendar'!$N$2034&lt;=VAL_DATE)+(COUNTIF('Dvd Calendar'!$E$2041:$AR$2041,'Dvd Calendar'!$N$2034)=0))&gt;0)=0,"",'Dvd Calendar'!$N$2034*1000000000+ISNUMBER('Dvd Calendar'!$N$2037)*100000000+('Dvd Calendar'!$N$2039=SPECIAL_LBL)*10000000+(N('Dvd Calendar'!$N$2033)&gt;0)*(N('Dvd Calendar'!$N$2033)&lt;=VAL_SERIAL)*1000000+44*1000+10))</f>
        <v/>
      </c>
      <c r="EO203" s="121">
        <f>IF(N('Dvd Calendar'!$O$2034)=0,"",IF(('Dvd Calendar'!$O$2034&gt;=GRID_FROM)*('Dvd Calendar'!$O$2034&lt;=GRID_TO)*((('Dvd Calendar'!$O$2034&lt;=VAL_DATE)+(COUNTIF('Dvd Calendar'!$E$2041:$AR$2041,'Dvd Calendar'!$O$2034)=0))&gt;0)=0,"",'Dvd Calendar'!$O$2034*1000000000+ISNUMBER('Dvd Calendar'!$O$2037)*100000000+('Dvd Calendar'!$O$2039=SPECIAL_LBL)*10000000+(N('Dvd Calendar'!$O$2033)&gt;0)*(N('Dvd Calendar'!$O$2033)&lt;=VAL_SERIAL)*1000000+44*1000+11))</f>
        <v/>
      </c>
      <c r="EP203" s="121">
        <f>IF(N('Dvd Calendar'!$P$2034)=0,"",IF(('Dvd Calendar'!$P$2034&gt;=GRID_FROM)*('Dvd Calendar'!$P$2034&lt;=GRID_TO)*((('Dvd Calendar'!$P$2034&lt;=VAL_DATE)+(COUNTIF('Dvd Calendar'!$E$2041:$AR$2041,'Dvd Calendar'!$P$2034)=0))&gt;0)=0,"",'Dvd Calendar'!$P$2034*1000000000+ISNUMBER('Dvd Calendar'!$P$2037)*100000000+('Dvd Calendar'!$P$2039=SPECIAL_LBL)*10000000+(N('Dvd Calendar'!$P$2033)&gt;0)*(N('Dvd Calendar'!$P$2033)&lt;=VAL_SERIAL)*1000000+44*1000+12))</f>
        <v/>
      </c>
      <c r="EQ203" s="121">
        <f>IF(N('Dvd Calendar'!$Q$2034)=0,"",IF(('Dvd Calendar'!$Q$2034&gt;=GRID_FROM)*('Dvd Calendar'!$Q$2034&lt;=GRID_TO)*((('Dvd Calendar'!$Q$2034&lt;=VAL_DATE)+(COUNTIF('Dvd Calendar'!$E$2041:$AR$2041,'Dvd Calendar'!$Q$2034)=0))&gt;0)=0,"",'Dvd Calendar'!$Q$2034*1000000000+ISNUMBER('Dvd Calendar'!$Q$2037)*100000000+('Dvd Calendar'!$Q$2039=SPECIAL_LBL)*10000000+(N('Dvd Calendar'!$Q$2033)&gt;0)*(N('Dvd Calendar'!$Q$2033)&lt;=VAL_SERIAL)*1000000+44*1000+13))</f>
        <v/>
      </c>
      <c r="ER203" s="121">
        <f>IF(N('Dvd Calendar'!$R$2034)=0,"",IF(('Dvd Calendar'!$R$2034&gt;=GRID_FROM)*('Dvd Calendar'!$R$2034&lt;=GRID_TO)*((('Dvd Calendar'!$R$2034&lt;=VAL_DATE)+(COUNTIF('Dvd Calendar'!$E$2041:$AR$2041,'Dvd Calendar'!$R$2034)=0))&gt;0)=0,"",'Dvd Calendar'!$R$2034*1000000000+ISNUMBER('Dvd Calendar'!$R$2037)*100000000+('Dvd Calendar'!$R$2039=SPECIAL_LBL)*10000000+(N('Dvd Calendar'!$R$2033)&gt;0)*(N('Dvd Calendar'!$R$2033)&lt;=VAL_SERIAL)*1000000+44*1000+14))</f>
        <v/>
      </c>
      <c r="ES203" s="121">
        <f>IF(N('Dvd Calendar'!$S$2034)=0,"",IF(('Dvd Calendar'!$S$2034&gt;=GRID_FROM)*('Dvd Calendar'!$S$2034&lt;=GRID_TO)*((('Dvd Calendar'!$S$2034&lt;=VAL_DATE)+(COUNTIF('Dvd Calendar'!$E$2041:$AR$2041,'Dvd Calendar'!$S$2034)=0))&gt;0)=0,"",'Dvd Calendar'!$S$2034*1000000000+ISNUMBER('Dvd Calendar'!$S$2037)*100000000+('Dvd Calendar'!$S$2039=SPECIAL_LBL)*10000000+(N('Dvd Calendar'!$S$2033)&gt;0)*(N('Dvd Calendar'!$S$2033)&lt;=VAL_SERIAL)*1000000+44*1000+15))</f>
        <v/>
      </c>
      <c r="ET203" s="121">
        <f>IF(N('Dvd Calendar'!$T$2034)=0,"",IF(('Dvd Calendar'!$T$2034&gt;=GRID_FROM)*('Dvd Calendar'!$T$2034&lt;=GRID_TO)*((('Dvd Calendar'!$T$2034&lt;=VAL_DATE)+(COUNTIF('Dvd Calendar'!$E$2041:$AR$2041,'Dvd Calendar'!$T$2034)=0))&gt;0)=0,"",'Dvd Calendar'!$T$2034*1000000000+ISNUMBER('Dvd Calendar'!$T$2037)*100000000+('Dvd Calendar'!$T$2039=SPECIAL_LBL)*10000000+(N('Dvd Calendar'!$T$2033)&gt;0)*(N('Dvd Calendar'!$T$2033)&lt;=VAL_SERIAL)*1000000+44*1000+16))</f>
        <v/>
      </c>
      <c r="EU203" s="121">
        <f>IF(N('Dvd Calendar'!$U$2034)=0,"",IF(('Dvd Calendar'!$U$2034&gt;=GRID_FROM)*('Dvd Calendar'!$U$2034&lt;=GRID_TO)*((('Dvd Calendar'!$U$2034&lt;=VAL_DATE)+(COUNTIF('Dvd Calendar'!$E$2041:$AR$2041,'Dvd Calendar'!$U$2034)=0))&gt;0)=0,"",'Dvd Calendar'!$U$2034*1000000000+ISNUMBER('Dvd Calendar'!$U$2037)*100000000+('Dvd Calendar'!$U$2039=SPECIAL_LBL)*10000000+(N('Dvd Calendar'!$U$2033)&gt;0)*(N('Dvd Calendar'!$U$2033)&lt;=VAL_SERIAL)*1000000+44*1000+17))</f>
        <v/>
      </c>
      <c r="EV203" s="121">
        <f>IF(N('Dvd Calendar'!$V$2034)=0,"",IF(('Dvd Calendar'!$V$2034&gt;=GRID_FROM)*('Dvd Calendar'!$V$2034&lt;=GRID_TO)*((('Dvd Calendar'!$V$2034&lt;=VAL_DATE)+(COUNTIF('Dvd Calendar'!$E$2041:$AR$2041,'Dvd Calendar'!$V$2034)=0))&gt;0)=0,"",'Dvd Calendar'!$V$2034*1000000000+ISNUMBER('Dvd Calendar'!$V$2037)*100000000+('Dvd Calendar'!$V$2039=SPECIAL_LBL)*10000000+(N('Dvd Calendar'!$V$2033)&gt;0)*(N('Dvd Calendar'!$V$2033)&lt;=VAL_SERIAL)*1000000+44*1000+18))</f>
        <v/>
      </c>
      <c r="EW203" s="121">
        <f>IF(N('Dvd Calendar'!$W$2034)=0,"",IF(('Dvd Calendar'!$W$2034&gt;=GRID_FROM)*('Dvd Calendar'!$W$2034&lt;=GRID_TO)*((('Dvd Calendar'!$W$2034&lt;=VAL_DATE)+(COUNTIF('Dvd Calendar'!$E$2041:$AR$2041,'Dvd Calendar'!$W$2034)=0))&gt;0)=0,"",'Dvd Calendar'!$W$2034*1000000000+ISNUMBER('Dvd Calendar'!$W$2037)*100000000+('Dvd Calendar'!$W$2039=SPECIAL_LBL)*10000000+(N('Dvd Calendar'!$W$2033)&gt;0)*(N('Dvd Calendar'!$W$2033)&lt;=VAL_SERIAL)*1000000+44*1000+19))</f>
        <v/>
      </c>
      <c r="EX203" s="121">
        <f>IF(N('Dvd Calendar'!$X$2034)=0,"",IF(('Dvd Calendar'!$X$2034&gt;=GRID_FROM)*('Dvd Calendar'!$X$2034&lt;=GRID_TO)*((('Dvd Calendar'!$X$2034&lt;=VAL_DATE)+(COUNTIF('Dvd Calendar'!$E$2041:$AR$2041,'Dvd Calendar'!$X$2034)=0))&gt;0)=0,"",'Dvd Calendar'!$X$2034*1000000000+ISNUMBER('Dvd Calendar'!$X$2037)*100000000+('Dvd Calendar'!$X$2039=SPECIAL_LBL)*10000000+(N('Dvd Calendar'!$X$2033)&gt;0)*(N('Dvd Calendar'!$X$2033)&lt;=VAL_SERIAL)*1000000+44*1000+20))</f>
        <v/>
      </c>
      <c r="EY203" s="121">
        <f>IF(N('Dvd Calendar'!$Y$2034)=0,"",IF(('Dvd Calendar'!$Y$2034&gt;=GRID_FROM)*('Dvd Calendar'!$Y$2034&lt;=GRID_TO)*((('Dvd Calendar'!$Y$2034&lt;=VAL_DATE)+(COUNTIF('Dvd Calendar'!$E$2041:$AR$2041,'Dvd Calendar'!$Y$2034)=0))&gt;0)=0,"",'Dvd Calendar'!$Y$2034*1000000000+ISNUMBER('Dvd Calendar'!$Y$2037)*100000000+('Dvd Calendar'!$Y$2039=SPECIAL_LBL)*10000000+(N('Dvd Calendar'!$Y$2033)&gt;0)*(N('Dvd Calendar'!$Y$2033)&lt;=VAL_SERIAL)*1000000+44*1000+21))</f>
        <v/>
      </c>
      <c r="EZ203" s="121">
        <f>IF(N('Dvd Calendar'!$Z$2034)=0,"",IF(('Dvd Calendar'!$Z$2034&gt;=GRID_FROM)*('Dvd Calendar'!$Z$2034&lt;=GRID_TO)*((('Dvd Calendar'!$Z$2034&lt;=VAL_DATE)+(COUNTIF('Dvd Calendar'!$E$2041:$AR$2041,'Dvd Calendar'!$Z$2034)=0))&gt;0)=0,"",'Dvd Calendar'!$Z$2034*1000000000+ISNUMBER('Dvd Calendar'!$Z$2037)*100000000+('Dvd Calendar'!$Z$2039=SPECIAL_LBL)*10000000+(N('Dvd Calendar'!$Z$2033)&gt;0)*(N('Dvd Calendar'!$Z$2033)&lt;=VAL_SERIAL)*1000000+44*1000+22))</f>
        <v/>
      </c>
      <c r="FA203" s="121">
        <f>IF(N('Dvd Calendar'!$AA$2034)=0,"",IF(('Dvd Calendar'!$AA$2034&gt;=GRID_FROM)*('Dvd Calendar'!$AA$2034&lt;=GRID_TO)*((('Dvd Calendar'!$AA$2034&lt;=VAL_DATE)+(COUNTIF('Dvd Calendar'!$E$2041:$AR$2041,'Dvd Calendar'!$AA$2034)=0))&gt;0)=0,"",'Dvd Calendar'!$AA$2034*1000000000+ISNUMBER('Dvd Calendar'!$AA$2037)*100000000+('Dvd Calendar'!$AA$2039=SPECIAL_LBL)*10000000+(N('Dvd Calendar'!$AA$2033)&gt;0)*(N('Dvd Calendar'!$AA$2033)&lt;=VAL_SERIAL)*1000000+44*1000+23))</f>
        <v/>
      </c>
      <c r="FB203" s="121">
        <f>IF(N('Dvd Calendar'!$AB$2034)=0,"",IF(('Dvd Calendar'!$AB$2034&gt;=GRID_FROM)*('Dvd Calendar'!$AB$2034&lt;=GRID_TO)*((('Dvd Calendar'!$AB$2034&lt;=VAL_DATE)+(COUNTIF('Dvd Calendar'!$E$2041:$AR$2041,'Dvd Calendar'!$AB$2034)=0))&gt;0)=0,"",'Dvd Calendar'!$AB$2034*1000000000+ISNUMBER('Dvd Calendar'!$AB$2037)*100000000+('Dvd Calendar'!$AB$2039=SPECIAL_LBL)*10000000+(N('Dvd Calendar'!$AB$2033)&gt;0)*(N('Dvd Calendar'!$AB$2033)&lt;=VAL_SERIAL)*1000000+44*1000+24))</f>
        <v/>
      </c>
      <c r="FC203" s="121">
        <f>IF(N('Dvd Calendar'!$AC$2034)=0,"",IF(('Dvd Calendar'!$AC$2034&gt;=GRID_FROM)*('Dvd Calendar'!$AC$2034&lt;=GRID_TO)*((('Dvd Calendar'!$AC$2034&lt;=VAL_DATE)+(COUNTIF('Dvd Calendar'!$E$2041:$AR$2041,'Dvd Calendar'!$AC$2034)=0))&gt;0)=0,"",'Dvd Calendar'!$AC$2034*1000000000+ISNUMBER('Dvd Calendar'!$AC$2037)*100000000+('Dvd Calendar'!$AC$2039=SPECIAL_LBL)*10000000+(N('Dvd Calendar'!$AC$2033)&gt;0)*(N('Dvd Calendar'!$AC$2033)&lt;=VAL_SERIAL)*1000000+44*1000+25))</f>
        <v/>
      </c>
      <c r="FD203" s="121">
        <f>IF(N('Dvd Calendar'!$AD$2034)=0,"",IF(('Dvd Calendar'!$AD$2034&gt;=GRID_FROM)*('Dvd Calendar'!$AD$2034&lt;=GRID_TO)*((('Dvd Calendar'!$AD$2034&lt;=VAL_DATE)+(COUNTIF('Dvd Calendar'!$E$2041:$AR$2041,'Dvd Calendar'!$AD$2034)=0))&gt;0)=0,"",'Dvd Calendar'!$AD$2034*1000000000+ISNUMBER('Dvd Calendar'!$AD$2037)*100000000+('Dvd Calendar'!$AD$2039=SPECIAL_LBL)*10000000+(N('Dvd Calendar'!$AD$2033)&gt;0)*(N('Dvd Calendar'!$AD$2033)&lt;=VAL_SERIAL)*1000000+44*1000+26))</f>
        <v/>
      </c>
      <c r="FE203" s="121">
        <f>IF(N('Dvd Calendar'!$AE$2034)=0,"",IF(('Dvd Calendar'!$AE$2034&gt;=GRID_FROM)*('Dvd Calendar'!$AE$2034&lt;=GRID_TO)*((('Dvd Calendar'!$AE$2034&lt;=VAL_DATE)+(COUNTIF('Dvd Calendar'!$E$2041:$AR$2041,'Dvd Calendar'!$AE$2034)=0))&gt;0)=0,"",'Dvd Calendar'!$AE$2034*1000000000+ISNUMBER('Dvd Calendar'!$AE$2037)*100000000+('Dvd Calendar'!$AE$2039=SPECIAL_LBL)*10000000+(N('Dvd Calendar'!$AE$2033)&gt;0)*(N('Dvd Calendar'!$AE$2033)&lt;=VAL_SERIAL)*1000000+44*1000+27))</f>
        <v/>
      </c>
      <c r="FF203" s="121">
        <f>IF(N('Dvd Calendar'!$AF$2034)=0,"",IF(('Dvd Calendar'!$AF$2034&gt;=GRID_FROM)*('Dvd Calendar'!$AF$2034&lt;=GRID_TO)*((('Dvd Calendar'!$AF$2034&lt;=VAL_DATE)+(COUNTIF('Dvd Calendar'!$E$2041:$AR$2041,'Dvd Calendar'!$AF$2034)=0))&gt;0)=0,"",'Dvd Calendar'!$AF$2034*1000000000+ISNUMBER('Dvd Calendar'!$AF$2037)*100000000+('Dvd Calendar'!$AF$2039=SPECIAL_LBL)*10000000+(N('Dvd Calendar'!$AF$2033)&gt;0)*(N('Dvd Calendar'!$AF$2033)&lt;=VAL_SERIAL)*1000000+44*1000+28))</f>
        <v/>
      </c>
      <c r="FG203" s="121">
        <f>IF(N('Dvd Calendar'!$AG$2034)=0,"",IF(('Dvd Calendar'!$AG$2034&gt;=GRID_FROM)*('Dvd Calendar'!$AG$2034&lt;=GRID_TO)*((('Dvd Calendar'!$AG$2034&lt;=VAL_DATE)+(COUNTIF('Dvd Calendar'!$E$2041:$AR$2041,'Dvd Calendar'!$AG$2034)=0))&gt;0)=0,"",'Dvd Calendar'!$AG$2034*1000000000+ISNUMBER('Dvd Calendar'!$AG$2037)*100000000+('Dvd Calendar'!$AG$2039=SPECIAL_LBL)*10000000+(N('Dvd Calendar'!$AG$2033)&gt;0)*(N('Dvd Calendar'!$AG$2033)&lt;=VAL_SERIAL)*1000000+44*1000+29))</f>
        <v/>
      </c>
      <c r="FH203" s="121">
        <f>IF(N('Dvd Calendar'!$AH$2034)=0,"",IF(('Dvd Calendar'!$AH$2034&gt;=GRID_FROM)*('Dvd Calendar'!$AH$2034&lt;=GRID_TO)*((('Dvd Calendar'!$AH$2034&lt;=VAL_DATE)+(COUNTIF('Dvd Calendar'!$E$2041:$AR$2041,'Dvd Calendar'!$AH$2034)=0))&gt;0)=0,"",'Dvd Calendar'!$AH$2034*1000000000+ISNUMBER('Dvd Calendar'!$AH$2037)*100000000+('Dvd Calendar'!$AH$2039=SPECIAL_LBL)*10000000+(N('Dvd Calendar'!$AH$2033)&gt;0)*(N('Dvd Calendar'!$AH$2033)&lt;=VAL_SERIAL)*1000000+44*1000+30))</f>
        <v/>
      </c>
      <c r="FI203" s="121">
        <f>IF(N('Dvd Calendar'!$AI$2034)=0,"",IF(('Dvd Calendar'!$AI$2034&gt;=GRID_FROM)*('Dvd Calendar'!$AI$2034&lt;=GRID_TO)*((('Dvd Calendar'!$AI$2034&lt;=VAL_DATE)+(COUNTIF('Dvd Calendar'!$E$2041:$AR$2041,'Dvd Calendar'!$AI$2034)=0))&gt;0)=0,"",'Dvd Calendar'!$AI$2034*1000000000+ISNUMBER('Dvd Calendar'!$AI$2037)*100000000+('Dvd Calendar'!$AI$2039=SPECIAL_LBL)*10000000+(N('Dvd Calendar'!$AI$2033)&gt;0)*(N('Dvd Calendar'!$AI$2033)&lt;=VAL_SERIAL)*1000000+44*1000+31))</f>
        <v/>
      </c>
      <c r="FJ203" s="121">
        <f>IF(N('Dvd Calendar'!$AJ$2034)=0,"",IF(('Dvd Calendar'!$AJ$2034&gt;=GRID_FROM)*('Dvd Calendar'!$AJ$2034&lt;=GRID_TO)*((('Dvd Calendar'!$AJ$2034&lt;=VAL_DATE)+(COUNTIF('Dvd Calendar'!$E$2041:$AR$2041,'Dvd Calendar'!$AJ$2034)=0))&gt;0)=0,"",'Dvd Calendar'!$AJ$2034*1000000000+ISNUMBER('Dvd Calendar'!$AJ$2037)*100000000+('Dvd Calendar'!$AJ$2039=SPECIAL_LBL)*10000000+(N('Dvd Calendar'!$AJ$2033)&gt;0)*(N('Dvd Calendar'!$AJ$2033)&lt;=VAL_SERIAL)*1000000+44*1000+32))</f>
        <v/>
      </c>
      <c r="FK203" s="121">
        <f>IF(N('Dvd Calendar'!$AK$2034)=0,"",IF(('Dvd Calendar'!$AK$2034&gt;=GRID_FROM)*('Dvd Calendar'!$AK$2034&lt;=GRID_TO)*((('Dvd Calendar'!$AK$2034&lt;=VAL_DATE)+(COUNTIF('Dvd Calendar'!$E$2041:$AR$2041,'Dvd Calendar'!$AK$2034)=0))&gt;0)=0,"",'Dvd Calendar'!$AK$2034*1000000000+ISNUMBER('Dvd Calendar'!$AK$2037)*100000000+('Dvd Calendar'!$AK$2039=SPECIAL_LBL)*10000000+(N('Dvd Calendar'!$AK$2033)&gt;0)*(N('Dvd Calendar'!$AK$2033)&lt;=VAL_SERIAL)*1000000+44*1000+33))</f>
        <v/>
      </c>
      <c r="FL203" s="121">
        <f>IF(N('Dvd Calendar'!$AL$2034)=0,"",IF(('Dvd Calendar'!$AL$2034&gt;=GRID_FROM)*('Dvd Calendar'!$AL$2034&lt;=GRID_TO)*((('Dvd Calendar'!$AL$2034&lt;=VAL_DATE)+(COUNTIF('Dvd Calendar'!$E$2041:$AR$2041,'Dvd Calendar'!$AL$2034)=0))&gt;0)=0,"",'Dvd Calendar'!$AL$2034*1000000000+ISNUMBER('Dvd Calendar'!$AL$2037)*100000000+('Dvd Calendar'!$AL$2039=SPECIAL_LBL)*10000000+(N('Dvd Calendar'!$AL$2033)&gt;0)*(N('Dvd Calendar'!$AL$2033)&lt;=VAL_SERIAL)*1000000+44*1000+34))</f>
        <v/>
      </c>
      <c r="FM203" s="121">
        <f>IF(N('Dvd Calendar'!$AM$2034)=0,"",IF(('Dvd Calendar'!$AM$2034&gt;=GRID_FROM)*('Dvd Calendar'!$AM$2034&lt;=GRID_TO)*((('Dvd Calendar'!$AM$2034&lt;=VAL_DATE)+(COUNTIF('Dvd Calendar'!$E$2041:$AR$2041,'Dvd Calendar'!$AM$2034)=0))&gt;0)=0,"",'Dvd Calendar'!$AM$2034*1000000000+ISNUMBER('Dvd Calendar'!$AM$2037)*100000000+('Dvd Calendar'!$AM$2039=SPECIAL_LBL)*10000000+(N('Dvd Calendar'!$AM$2033)&gt;0)*(N('Dvd Calendar'!$AM$2033)&lt;=VAL_SERIAL)*1000000+44*1000+35))</f>
        <v/>
      </c>
      <c r="FN203" s="121">
        <f>IF(N('Dvd Calendar'!$AN$2034)=0,"",IF(('Dvd Calendar'!$AN$2034&gt;=GRID_FROM)*('Dvd Calendar'!$AN$2034&lt;=GRID_TO)*((('Dvd Calendar'!$AN$2034&lt;=VAL_DATE)+(COUNTIF('Dvd Calendar'!$E$2041:$AR$2041,'Dvd Calendar'!$AN$2034)=0))&gt;0)=0,"",'Dvd Calendar'!$AN$2034*1000000000+ISNUMBER('Dvd Calendar'!$AN$2037)*100000000+('Dvd Calendar'!$AN$2039=SPECIAL_LBL)*10000000+(N('Dvd Calendar'!$AN$2033)&gt;0)*(N('Dvd Calendar'!$AN$2033)&lt;=VAL_SERIAL)*1000000+44*1000+36))</f>
        <v/>
      </c>
      <c r="FO203" s="121">
        <f>IF(N('Dvd Calendar'!$AO$2034)=0,"",IF(('Dvd Calendar'!$AO$2034&gt;=GRID_FROM)*('Dvd Calendar'!$AO$2034&lt;=GRID_TO)*((('Dvd Calendar'!$AO$2034&lt;=VAL_DATE)+(COUNTIF('Dvd Calendar'!$E$2041:$AR$2041,'Dvd Calendar'!$AO$2034)=0))&gt;0)=0,"",'Dvd Calendar'!$AO$2034*1000000000+ISNUMBER('Dvd Calendar'!$AO$2037)*100000000+('Dvd Calendar'!$AO$2039=SPECIAL_LBL)*10000000+(N('Dvd Calendar'!$AO$2033)&gt;0)*(N('Dvd Calendar'!$AO$2033)&lt;=VAL_SERIAL)*1000000+44*1000+37))</f>
        <v/>
      </c>
      <c r="FP203" s="121">
        <f>IF(N('Dvd Calendar'!$AP$2034)=0,"",IF(('Dvd Calendar'!$AP$2034&gt;=GRID_FROM)*('Dvd Calendar'!$AP$2034&lt;=GRID_TO)*((('Dvd Calendar'!$AP$2034&lt;=VAL_DATE)+(COUNTIF('Dvd Calendar'!$E$2041:$AR$2041,'Dvd Calendar'!$AP$2034)=0))&gt;0)=0,"",'Dvd Calendar'!$AP$2034*1000000000+ISNUMBER('Dvd Calendar'!$AP$2037)*100000000+('Dvd Calendar'!$AP$2039=SPECIAL_LBL)*10000000+(N('Dvd Calendar'!$AP$2033)&gt;0)*(N('Dvd Calendar'!$AP$2033)&lt;=VAL_SERIAL)*1000000+44*1000+38))</f>
        <v/>
      </c>
      <c r="FQ203" s="121">
        <f>IF(N('Dvd Calendar'!$AQ$2034)=0,"",IF(('Dvd Calendar'!$AQ$2034&gt;=GRID_FROM)*('Dvd Calendar'!$AQ$2034&lt;=GRID_TO)*((('Dvd Calendar'!$AQ$2034&lt;=VAL_DATE)+(COUNTIF('Dvd Calendar'!$E$2041:$AR$2041,'Dvd Calendar'!$AQ$2034)=0))&gt;0)=0,"",'Dvd Calendar'!$AQ$2034*1000000000+ISNUMBER('Dvd Calendar'!$AQ$2037)*100000000+('Dvd Calendar'!$AQ$2039=SPECIAL_LBL)*10000000+(N('Dvd Calendar'!$AQ$2033)&gt;0)*(N('Dvd Calendar'!$AQ$2033)&lt;=VAL_SERIAL)*1000000+44*1000+39))</f>
        <v/>
      </c>
      <c r="FR203" s="121">
        <f>IF(N('Dvd Calendar'!$AR$2034)=0,"",IF(('Dvd Calendar'!$AR$2034&gt;=GRID_FROM)*('Dvd Calendar'!$AR$2034&lt;=GRID_TO)*((('Dvd Calendar'!$AR$2034&lt;=VAL_DATE)+(COUNTIF('Dvd Calendar'!$E$2041:$AR$2041,'Dvd Calendar'!$AR$2034)=0))&gt;0)=0,"",'Dvd Calendar'!$AR$2034*1000000000+ISNUMBER('Dvd Calendar'!$AR$2037)*100000000+('Dvd Calendar'!$AR$2039=SPECIAL_LBL)*10000000+(N('Dvd Calendar'!$AR$2033)&gt;0)*(N('Dvd Calendar'!$AR$2033)&lt;=VAL_SERIAL)*1000000+44*1000+40))</f>
        <v/>
      </c>
      <c r="FS203" s="121">
        <f>IF(N('Dvd Calendar'!$E$2041)=0,"",IF(('Dvd Calendar'!$E$2041&gt;=GRID_FROM)*('Dvd Calendar'!$E$2041&lt;=GRID_TO)*('Dvd Calendar'!$E$2041&gt;VAL_DATE)=0,"",'Dvd Calendar'!$E$2041*1000000000+ISNUMBER('Dvd Calendar'!$E$2042)*100000000+0*10000000+(N('Dvd Calendar'!$E$2040)&gt;0)*(N('Dvd Calendar'!$E$2040)&lt;=VAL_SERIAL)*1000000+44*1000+41))</f>
        <v/>
      </c>
      <c r="FT203" s="121">
        <f>IF(N('Dvd Calendar'!$F$2041)=0,"",IF(('Dvd Calendar'!$F$2041&gt;=GRID_FROM)*('Dvd Calendar'!$F$2041&lt;=GRID_TO)*('Dvd Calendar'!$F$2041&gt;VAL_DATE)=0,"",'Dvd Calendar'!$F$2041*1000000000+ISNUMBER('Dvd Calendar'!$F$2042)*100000000+0*10000000+(N('Dvd Calendar'!$F$2040)&gt;0)*(N('Dvd Calendar'!$F$2040)&lt;=VAL_SERIAL)*1000000+44*1000+42))</f>
        <v/>
      </c>
      <c r="FU203" s="121">
        <f>IF(N('Dvd Calendar'!$G$2041)=0,"",IF(('Dvd Calendar'!$G$2041&gt;=GRID_FROM)*('Dvd Calendar'!$G$2041&lt;=GRID_TO)*('Dvd Calendar'!$G$2041&gt;VAL_DATE)=0,"",'Dvd Calendar'!$G$2041*1000000000+ISNUMBER('Dvd Calendar'!$G$2042)*100000000+0*10000000+(N('Dvd Calendar'!$G$2040)&gt;0)*(N('Dvd Calendar'!$G$2040)&lt;=VAL_SERIAL)*1000000+44*1000+43))</f>
        <v/>
      </c>
      <c r="FV203" s="121">
        <f>IF(N('Dvd Calendar'!$H$2041)=0,"",IF(('Dvd Calendar'!$H$2041&gt;=GRID_FROM)*('Dvd Calendar'!$H$2041&lt;=GRID_TO)*('Dvd Calendar'!$H$2041&gt;VAL_DATE)=0,"",'Dvd Calendar'!$H$2041*1000000000+ISNUMBER('Dvd Calendar'!$H$2042)*100000000+0*10000000+(N('Dvd Calendar'!$H$2040)&gt;0)*(N('Dvd Calendar'!$H$2040)&lt;=VAL_SERIAL)*1000000+44*1000+44))</f>
        <v/>
      </c>
      <c r="FW203" s="121">
        <f>IF(N('Dvd Calendar'!$I$2041)=0,"",IF(('Dvd Calendar'!$I$2041&gt;=GRID_FROM)*('Dvd Calendar'!$I$2041&lt;=GRID_TO)*('Dvd Calendar'!$I$2041&gt;VAL_DATE)=0,"",'Dvd Calendar'!$I$2041*1000000000+ISNUMBER('Dvd Calendar'!$I$2042)*100000000+0*10000000+(N('Dvd Calendar'!$I$2040)&gt;0)*(N('Dvd Calendar'!$I$2040)&lt;=VAL_SERIAL)*1000000+44*1000+45))</f>
        <v/>
      </c>
      <c r="FX203" s="121">
        <f>IF(N('Dvd Calendar'!$J$2041)=0,"",IF(('Dvd Calendar'!$J$2041&gt;=GRID_FROM)*('Dvd Calendar'!$J$2041&lt;=GRID_TO)*('Dvd Calendar'!$J$2041&gt;VAL_DATE)=0,"",'Dvd Calendar'!$J$2041*1000000000+ISNUMBER('Dvd Calendar'!$J$2042)*100000000+0*10000000+(N('Dvd Calendar'!$J$2040)&gt;0)*(N('Dvd Calendar'!$J$2040)&lt;=VAL_SERIAL)*1000000+44*1000+46))</f>
        <v/>
      </c>
      <c r="FY203" s="121">
        <f>IF(N('Dvd Calendar'!$K$2041)=0,"",IF(('Dvd Calendar'!$K$2041&gt;=GRID_FROM)*('Dvd Calendar'!$K$2041&lt;=GRID_TO)*('Dvd Calendar'!$K$2041&gt;VAL_DATE)=0,"",'Dvd Calendar'!$K$2041*1000000000+ISNUMBER('Dvd Calendar'!$K$2042)*100000000+0*10000000+(N('Dvd Calendar'!$K$2040)&gt;0)*(N('Dvd Calendar'!$K$2040)&lt;=VAL_SERIAL)*1000000+44*1000+47))</f>
        <v/>
      </c>
      <c r="FZ203" s="121">
        <f>IF(N('Dvd Calendar'!$L$2041)=0,"",IF(('Dvd Calendar'!$L$2041&gt;=GRID_FROM)*('Dvd Calendar'!$L$2041&lt;=GRID_TO)*('Dvd Calendar'!$L$2041&gt;VAL_DATE)=0,"",'Dvd Calendar'!$L$2041*1000000000+ISNUMBER('Dvd Calendar'!$L$2042)*100000000+0*10000000+(N('Dvd Calendar'!$L$2040)&gt;0)*(N('Dvd Calendar'!$L$2040)&lt;=VAL_SERIAL)*1000000+44*1000+48))</f>
        <v/>
      </c>
      <c r="GA203" s="121">
        <f>IF(N('Dvd Calendar'!$M$2041)=0,"",IF(('Dvd Calendar'!$M$2041&gt;=GRID_FROM)*('Dvd Calendar'!$M$2041&lt;=GRID_TO)*('Dvd Calendar'!$M$2041&gt;VAL_DATE)=0,"",'Dvd Calendar'!$M$2041*1000000000+ISNUMBER('Dvd Calendar'!$M$2042)*100000000+0*10000000+(N('Dvd Calendar'!$M$2040)&gt;0)*(N('Dvd Calendar'!$M$2040)&lt;=VAL_SERIAL)*1000000+44*1000+49))</f>
        <v/>
      </c>
      <c r="GB203" s="121">
        <f>IF(N('Dvd Calendar'!$N$2041)=0,"",IF(('Dvd Calendar'!$N$2041&gt;=GRID_FROM)*('Dvd Calendar'!$N$2041&lt;=GRID_TO)*('Dvd Calendar'!$N$2041&gt;VAL_DATE)=0,"",'Dvd Calendar'!$N$2041*1000000000+ISNUMBER('Dvd Calendar'!$N$2042)*100000000+0*10000000+(N('Dvd Calendar'!$N$2040)&gt;0)*(N('Dvd Calendar'!$N$2040)&lt;=VAL_SERIAL)*1000000+44*1000+50))</f>
        <v/>
      </c>
      <c r="GC203" s="121">
        <f>IF(N('Dvd Calendar'!$O$2041)=0,"",IF(('Dvd Calendar'!$O$2041&gt;=GRID_FROM)*('Dvd Calendar'!$O$2041&lt;=GRID_TO)*('Dvd Calendar'!$O$2041&gt;VAL_DATE)=0,"",'Dvd Calendar'!$O$2041*1000000000+ISNUMBER('Dvd Calendar'!$O$2042)*100000000+0*10000000+(N('Dvd Calendar'!$O$2040)&gt;0)*(N('Dvd Calendar'!$O$2040)&lt;=VAL_SERIAL)*1000000+44*1000+51))</f>
        <v/>
      </c>
      <c r="GD203" s="121">
        <f>IF(N('Dvd Calendar'!$P$2041)=0,"",IF(('Dvd Calendar'!$P$2041&gt;=GRID_FROM)*('Dvd Calendar'!$P$2041&lt;=GRID_TO)*('Dvd Calendar'!$P$2041&gt;VAL_DATE)=0,"",'Dvd Calendar'!$P$2041*1000000000+ISNUMBER('Dvd Calendar'!$P$2042)*100000000+0*10000000+(N('Dvd Calendar'!$P$2040)&gt;0)*(N('Dvd Calendar'!$P$2040)&lt;=VAL_SERIAL)*1000000+44*1000+52))</f>
        <v/>
      </c>
      <c r="GE203" s="121">
        <f>IF(N('Dvd Calendar'!$Q$2041)=0,"",IF(('Dvd Calendar'!$Q$2041&gt;=GRID_FROM)*('Dvd Calendar'!$Q$2041&lt;=GRID_TO)*('Dvd Calendar'!$Q$2041&gt;VAL_DATE)=0,"",'Dvd Calendar'!$Q$2041*1000000000+ISNUMBER('Dvd Calendar'!$Q$2042)*100000000+0*10000000+(N('Dvd Calendar'!$Q$2040)&gt;0)*(N('Dvd Calendar'!$Q$2040)&lt;=VAL_SERIAL)*1000000+44*1000+53))</f>
        <v/>
      </c>
      <c r="GF203" s="121">
        <f>IF(N('Dvd Calendar'!$R$2041)=0,"",IF(('Dvd Calendar'!$R$2041&gt;=GRID_FROM)*('Dvd Calendar'!$R$2041&lt;=GRID_TO)*('Dvd Calendar'!$R$2041&gt;VAL_DATE)=0,"",'Dvd Calendar'!$R$2041*1000000000+ISNUMBER('Dvd Calendar'!$R$2042)*100000000+0*10000000+(N('Dvd Calendar'!$R$2040)&gt;0)*(N('Dvd Calendar'!$R$2040)&lt;=VAL_SERIAL)*1000000+44*1000+54))</f>
        <v/>
      </c>
      <c r="GG203" s="121">
        <f>IF(N('Dvd Calendar'!$S$2041)=0,"",IF(('Dvd Calendar'!$S$2041&gt;=GRID_FROM)*('Dvd Calendar'!$S$2041&lt;=GRID_TO)*('Dvd Calendar'!$S$2041&gt;VAL_DATE)=0,"",'Dvd Calendar'!$S$2041*1000000000+ISNUMBER('Dvd Calendar'!$S$2042)*100000000+0*10000000+(N('Dvd Calendar'!$S$2040)&gt;0)*(N('Dvd Calendar'!$S$2040)&lt;=VAL_SERIAL)*1000000+44*1000+55))</f>
        <v/>
      </c>
      <c r="GH203" s="121">
        <f>IF(N('Dvd Calendar'!$T$2041)=0,"",IF(('Dvd Calendar'!$T$2041&gt;=GRID_FROM)*('Dvd Calendar'!$T$2041&lt;=GRID_TO)*('Dvd Calendar'!$T$2041&gt;VAL_DATE)=0,"",'Dvd Calendar'!$T$2041*1000000000+ISNUMBER('Dvd Calendar'!$T$2042)*100000000+0*10000000+(N('Dvd Calendar'!$T$2040)&gt;0)*(N('Dvd Calendar'!$T$2040)&lt;=VAL_SERIAL)*1000000+44*1000+56))</f>
        <v/>
      </c>
      <c r="GI203" s="121">
        <f>IF(N('Dvd Calendar'!$U$2041)=0,"",IF(('Dvd Calendar'!$U$2041&gt;=GRID_FROM)*('Dvd Calendar'!$U$2041&lt;=GRID_TO)*('Dvd Calendar'!$U$2041&gt;VAL_DATE)=0,"",'Dvd Calendar'!$U$2041*1000000000+ISNUMBER('Dvd Calendar'!$U$2042)*100000000+0*10000000+(N('Dvd Calendar'!$U$2040)&gt;0)*(N('Dvd Calendar'!$U$2040)&lt;=VAL_SERIAL)*1000000+44*1000+57))</f>
        <v/>
      </c>
      <c r="GJ203" s="121">
        <f>IF(N('Dvd Calendar'!$V$2041)=0,"",IF(('Dvd Calendar'!$V$2041&gt;=GRID_FROM)*('Dvd Calendar'!$V$2041&lt;=GRID_TO)*('Dvd Calendar'!$V$2041&gt;VAL_DATE)=0,"",'Dvd Calendar'!$V$2041*1000000000+ISNUMBER('Dvd Calendar'!$V$2042)*100000000+0*10000000+(N('Dvd Calendar'!$V$2040)&gt;0)*(N('Dvd Calendar'!$V$2040)&lt;=VAL_SERIAL)*1000000+44*1000+58))</f>
        <v/>
      </c>
      <c r="GK203" s="121">
        <f>IF(N('Dvd Calendar'!$W$2041)=0,"",IF(('Dvd Calendar'!$W$2041&gt;=GRID_FROM)*('Dvd Calendar'!$W$2041&lt;=GRID_TO)*('Dvd Calendar'!$W$2041&gt;VAL_DATE)=0,"",'Dvd Calendar'!$W$2041*1000000000+ISNUMBER('Dvd Calendar'!$W$2042)*100000000+0*10000000+(N('Dvd Calendar'!$W$2040)&gt;0)*(N('Dvd Calendar'!$W$2040)&lt;=VAL_SERIAL)*1000000+44*1000+59))</f>
        <v/>
      </c>
      <c r="GL203" s="121">
        <f>IF(N('Dvd Calendar'!$X$2041)=0,"",IF(('Dvd Calendar'!$X$2041&gt;=GRID_FROM)*('Dvd Calendar'!$X$2041&lt;=GRID_TO)*('Dvd Calendar'!$X$2041&gt;VAL_DATE)=0,"",'Dvd Calendar'!$X$2041*1000000000+ISNUMBER('Dvd Calendar'!$X$2042)*100000000+0*10000000+(N('Dvd Calendar'!$X$2040)&gt;0)*(N('Dvd Calendar'!$X$2040)&lt;=VAL_SERIAL)*1000000+44*1000+60))</f>
        <v/>
      </c>
      <c r="GM203" s="121">
        <f>IF(N('Dvd Calendar'!$Y$2041)=0,"",IF(('Dvd Calendar'!$Y$2041&gt;=GRID_FROM)*('Dvd Calendar'!$Y$2041&lt;=GRID_TO)*('Dvd Calendar'!$Y$2041&gt;VAL_DATE)=0,"",'Dvd Calendar'!$Y$2041*1000000000+ISNUMBER('Dvd Calendar'!$Y$2042)*100000000+0*10000000+(N('Dvd Calendar'!$Y$2040)&gt;0)*(N('Dvd Calendar'!$Y$2040)&lt;=VAL_SERIAL)*1000000+44*1000+61))</f>
        <v/>
      </c>
      <c r="GN203" s="121">
        <f>IF(N('Dvd Calendar'!$Z$2041)=0,"",IF(('Dvd Calendar'!$Z$2041&gt;=GRID_FROM)*('Dvd Calendar'!$Z$2041&lt;=GRID_TO)*('Dvd Calendar'!$Z$2041&gt;VAL_DATE)=0,"",'Dvd Calendar'!$Z$2041*1000000000+ISNUMBER('Dvd Calendar'!$Z$2042)*100000000+0*10000000+(N('Dvd Calendar'!$Z$2040)&gt;0)*(N('Dvd Calendar'!$Z$2040)&lt;=VAL_SERIAL)*1000000+44*1000+62))</f>
        <v/>
      </c>
      <c r="GO203" s="121">
        <f>IF(N('Dvd Calendar'!$AA$2041)=0,"",IF(('Dvd Calendar'!$AA$2041&gt;=GRID_FROM)*('Dvd Calendar'!$AA$2041&lt;=GRID_TO)*('Dvd Calendar'!$AA$2041&gt;VAL_DATE)=0,"",'Dvd Calendar'!$AA$2041*1000000000+ISNUMBER('Dvd Calendar'!$AA$2042)*100000000+0*10000000+(N('Dvd Calendar'!$AA$2040)&gt;0)*(N('Dvd Calendar'!$AA$2040)&lt;=VAL_SERIAL)*1000000+44*1000+63))</f>
        <v/>
      </c>
      <c r="GP203" s="121">
        <f>IF(N('Dvd Calendar'!$AB$2041)=0,"",IF(('Dvd Calendar'!$AB$2041&gt;=GRID_FROM)*('Dvd Calendar'!$AB$2041&lt;=GRID_TO)*('Dvd Calendar'!$AB$2041&gt;VAL_DATE)=0,"",'Dvd Calendar'!$AB$2041*1000000000+ISNUMBER('Dvd Calendar'!$AB$2042)*100000000+0*10000000+(N('Dvd Calendar'!$AB$2040)&gt;0)*(N('Dvd Calendar'!$AB$2040)&lt;=VAL_SERIAL)*1000000+44*1000+64))</f>
        <v/>
      </c>
      <c r="GQ203" s="121">
        <f>IF(N('Dvd Calendar'!$AC$2041)=0,"",IF(('Dvd Calendar'!$AC$2041&gt;=GRID_FROM)*('Dvd Calendar'!$AC$2041&lt;=GRID_TO)*('Dvd Calendar'!$AC$2041&gt;VAL_DATE)=0,"",'Dvd Calendar'!$AC$2041*1000000000+ISNUMBER('Dvd Calendar'!$AC$2042)*100000000+0*10000000+(N('Dvd Calendar'!$AC$2040)&gt;0)*(N('Dvd Calendar'!$AC$2040)&lt;=VAL_SERIAL)*1000000+44*1000+65))</f>
        <v/>
      </c>
    </row>
    <row r="204">
      <c r="B204" s="2">
        <f>IF(HSCEI!$C$51="","",HSCEI!$C$51)</f>
        <v/>
      </c>
      <c r="C204" s="161">
        <f>IF(EE204="","",IF(ISNUMBER('Dvd Calendar'!$E$2048)=FALSE,"",IF((('Dvd Calendar'!$E$2050=TYPE1)*(TYPE1&lt;&gt;"")+('Dvd Calendar'!$E$2050=TYPE2)*(TYPE2&lt;&gt;"")+('Dvd Calendar'!$E$2050=TYPE3)*(TYPE3&lt;&gt;"")+('Dvd Calendar'!$E$2050=TYPE4)*(TYPE4&lt;&gt;"")+('Dvd Calendar'!$E$2050=SPECIAL_LBL)*(INC_SPECIALS="Y"))=0,"",'Dvd Calendar'!$E$2048)))</f>
        <v/>
      </c>
      <c r="D204" s="161">
        <f>IF(EF204="","",IF(ISNUMBER('Dvd Calendar'!$F$2048)=FALSE,"",IF((('Dvd Calendar'!$F$2050=TYPE1)*(TYPE1&lt;&gt;"")+('Dvd Calendar'!$F$2050=TYPE2)*(TYPE2&lt;&gt;"")+('Dvd Calendar'!$F$2050=TYPE3)*(TYPE3&lt;&gt;"")+('Dvd Calendar'!$F$2050=TYPE4)*(TYPE4&lt;&gt;"")+('Dvd Calendar'!$F$2050=SPECIAL_LBL)*(INC_SPECIALS="Y"))=0,"",'Dvd Calendar'!$F$2048)))</f>
        <v/>
      </c>
      <c r="E204" s="161">
        <f>IF(EG204="","",IF(ISNUMBER('Dvd Calendar'!$G$2048)=FALSE,"",IF((('Dvd Calendar'!$G$2050=TYPE1)*(TYPE1&lt;&gt;"")+('Dvd Calendar'!$G$2050=TYPE2)*(TYPE2&lt;&gt;"")+('Dvd Calendar'!$G$2050=TYPE3)*(TYPE3&lt;&gt;"")+('Dvd Calendar'!$G$2050=TYPE4)*(TYPE4&lt;&gt;"")+('Dvd Calendar'!$G$2050=SPECIAL_LBL)*(INC_SPECIALS="Y"))=0,"",'Dvd Calendar'!$G$2048)))</f>
        <v/>
      </c>
      <c r="F204" s="161">
        <f>IF(EH204="","",IF(ISNUMBER('Dvd Calendar'!$H$2048)=FALSE,"",IF((('Dvd Calendar'!$H$2050=TYPE1)*(TYPE1&lt;&gt;"")+('Dvd Calendar'!$H$2050=TYPE2)*(TYPE2&lt;&gt;"")+('Dvd Calendar'!$H$2050=TYPE3)*(TYPE3&lt;&gt;"")+('Dvd Calendar'!$H$2050=TYPE4)*(TYPE4&lt;&gt;"")+('Dvd Calendar'!$H$2050=SPECIAL_LBL)*(INC_SPECIALS="Y"))=0,"",'Dvd Calendar'!$H$2048)))</f>
        <v/>
      </c>
      <c r="G204" s="161">
        <f>IF(EI204="","",IF(ISNUMBER('Dvd Calendar'!$I$2048)=FALSE,"",IF((('Dvd Calendar'!$I$2050=TYPE1)*(TYPE1&lt;&gt;"")+('Dvd Calendar'!$I$2050=TYPE2)*(TYPE2&lt;&gt;"")+('Dvd Calendar'!$I$2050=TYPE3)*(TYPE3&lt;&gt;"")+('Dvd Calendar'!$I$2050=TYPE4)*(TYPE4&lt;&gt;"")+('Dvd Calendar'!$I$2050=SPECIAL_LBL)*(INC_SPECIALS="Y"))=0,"",'Dvd Calendar'!$I$2048)))</f>
        <v/>
      </c>
      <c r="H204" s="161">
        <f>IF(EJ204="","",IF(ISNUMBER('Dvd Calendar'!$J$2048)=FALSE,"",IF((('Dvd Calendar'!$J$2050=TYPE1)*(TYPE1&lt;&gt;"")+('Dvd Calendar'!$J$2050=TYPE2)*(TYPE2&lt;&gt;"")+('Dvd Calendar'!$J$2050=TYPE3)*(TYPE3&lt;&gt;"")+('Dvd Calendar'!$J$2050=TYPE4)*(TYPE4&lt;&gt;"")+('Dvd Calendar'!$J$2050=SPECIAL_LBL)*(INC_SPECIALS="Y"))=0,"",'Dvd Calendar'!$J$2048)))</f>
        <v/>
      </c>
      <c r="I204" s="161">
        <f>IF(EK204="","",IF(ISNUMBER('Dvd Calendar'!$K$2048)=FALSE,"",IF((('Dvd Calendar'!$K$2050=TYPE1)*(TYPE1&lt;&gt;"")+('Dvd Calendar'!$K$2050=TYPE2)*(TYPE2&lt;&gt;"")+('Dvd Calendar'!$K$2050=TYPE3)*(TYPE3&lt;&gt;"")+('Dvd Calendar'!$K$2050=TYPE4)*(TYPE4&lt;&gt;"")+('Dvd Calendar'!$K$2050=SPECIAL_LBL)*(INC_SPECIALS="Y"))=0,"",'Dvd Calendar'!$K$2048)))</f>
        <v/>
      </c>
      <c r="J204" s="161">
        <f>IF(EL204="","",IF(ISNUMBER('Dvd Calendar'!$L$2048)=FALSE,"",IF((('Dvd Calendar'!$L$2050=TYPE1)*(TYPE1&lt;&gt;"")+('Dvd Calendar'!$L$2050=TYPE2)*(TYPE2&lt;&gt;"")+('Dvd Calendar'!$L$2050=TYPE3)*(TYPE3&lt;&gt;"")+('Dvd Calendar'!$L$2050=TYPE4)*(TYPE4&lt;&gt;"")+('Dvd Calendar'!$L$2050=SPECIAL_LBL)*(INC_SPECIALS="Y"))=0,"",'Dvd Calendar'!$L$2048)))</f>
        <v/>
      </c>
      <c r="K204" s="161">
        <f>IF(EM204="","",IF(ISNUMBER('Dvd Calendar'!$M$2048)=FALSE,"",IF((('Dvd Calendar'!$M$2050=TYPE1)*(TYPE1&lt;&gt;"")+('Dvd Calendar'!$M$2050=TYPE2)*(TYPE2&lt;&gt;"")+('Dvd Calendar'!$M$2050=TYPE3)*(TYPE3&lt;&gt;"")+('Dvd Calendar'!$M$2050=TYPE4)*(TYPE4&lt;&gt;"")+('Dvd Calendar'!$M$2050=SPECIAL_LBL)*(INC_SPECIALS="Y"))=0,"",'Dvd Calendar'!$M$2048)))</f>
        <v/>
      </c>
      <c r="L204" s="161">
        <f>IF(EN204="","",IF(ISNUMBER('Dvd Calendar'!$N$2048)=FALSE,"",IF((('Dvd Calendar'!$N$2050=TYPE1)*(TYPE1&lt;&gt;"")+('Dvd Calendar'!$N$2050=TYPE2)*(TYPE2&lt;&gt;"")+('Dvd Calendar'!$N$2050=TYPE3)*(TYPE3&lt;&gt;"")+('Dvd Calendar'!$N$2050=TYPE4)*(TYPE4&lt;&gt;"")+('Dvd Calendar'!$N$2050=SPECIAL_LBL)*(INC_SPECIALS="Y"))=0,"",'Dvd Calendar'!$N$2048)))</f>
        <v/>
      </c>
      <c r="M204" s="161">
        <f>IF(EO204="","",IF(ISNUMBER('Dvd Calendar'!$O$2048)=FALSE,"",IF((('Dvd Calendar'!$O$2050=TYPE1)*(TYPE1&lt;&gt;"")+('Dvd Calendar'!$O$2050=TYPE2)*(TYPE2&lt;&gt;"")+('Dvd Calendar'!$O$2050=TYPE3)*(TYPE3&lt;&gt;"")+('Dvd Calendar'!$O$2050=TYPE4)*(TYPE4&lt;&gt;"")+('Dvd Calendar'!$O$2050=SPECIAL_LBL)*(INC_SPECIALS="Y"))=0,"",'Dvd Calendar'!$O$2048)))</f>
        <v/>
      </c>
      <c r="N204" s="161">
        <f>IF(EP204="","",IF(ISNUMBER('Dvd Calendar'!$P$2048)=FALSE,"",IF((('Dvd Calendar'!$P$2050=TYPE1)*(TYPE1&lt;&gt;"")+('Dvd Calendar'!$P$2050=TYPE2)*(TYPE2&lt;&gt;"")+('Dvd Calendar'!$P$2050=TYPE3)*(TYPE3&lt;&gt;"")+('Dvd Calendar'!$P$2050=TYPE4)*(TYPE4&lt;&gt;"")+('Dvd Calendar'!$P$2050=SPECIAL_LBL)*(INC_SPECIALS="Y"))=0,"",'Dvd Calendar'!$P$2048)))</f>
        <v/>
      </c>
      <c r="O204" s="161">
        <f>IF(EQ204="","",IF(ISNUMBER('Dvd Calendar'!$Q$2048)=FALSE,"",IF((('Dvd Calendar'!$Q$2050=TYPE1)*(TYPE1&lt;&gt;"")+('Dvd Calendar'!$Q$2050=TYPE2)*(TYPE2&lt;&gt;"")+('Dvd Calendar'!$Q$2050=TYPE3)*(TYPE3&lt;&gt;"")+('Dvd Calendar'!$Q$2050=TYPE4)*(TYPE4&lt;&gt;"")+('Dvd Calendar'!$Q$2050=SPECIAL_LBL)*(INC_SPECIALS="Y"))=0,"",'Dvd Calendar'!$Q$2048)))</f>
        <v/>
      </c>
      <c r="P204" s="161">
        <f>IF(ER204="","",IF(ISNUMBER('Dvd Calendar'!$R$2048)=FALSE,"",IF((('Dvd Calendar'!$R$2050=TYPE1)*(TYPE1&lt;&gt;"")+('Dvd Calendar'!$R$2050=TYPE2)*(TYPE2&lt;&gt;"")+('Dvd Calendar'!$R$2050=TYPE3)*(TYPE3&lt;&gt;"")+('Dvd Calendar'!$R$2050=TYPE4)*(TYPE4&lt;&gt;"")+('Dvd Calendar'!$R$2050=SPECIAL_LBL)*(INC_SPECIALS="Y"))=0,"",'Dvd Calendar'!$R$2048)))</f>
        <v/>
      </c>
      <c r="Q204" s="161">
        <f>IF(ES204="","",IF(ISNUMBER('Dvd Calendar'!$S$2048)=FALSE,"",IF((('Dvd Calendar'!$S$2050=TYPE1)*(TYPE1&lt;&gt;"")+('Dvd Calendar'!$S$2050=TYPE2)*(TYPE2&lt;&gt;"")+('Dvd Calendar'!$S$2050=TYPE3)*(TYPE3&lt;&gt;"")+('Dvd Calendar'!$S$2050=TYPE4)*(TYPE4&lt;&gt;"")+('Dvd Calendar'!$S$2050=SPECIAL_LBL)*(INC_SPECIALS="Y"))=0,"",'Dvd Calendar'!$S$2048)))</f>
        <v/>
      </c>
      <c r="R204" s="161">
        <f>IF(ET204="","",IF(ISNUMBER('Dvd Calendar'!$T$2048)=FALSE,"",IF((('Dvd Calendar'!$T$2050=TYPE1)*(TYPE1&lt;&gt;"")+('Dvd Calendar'!$T$2050=TYPE2)*(TYPE2&lt;&gt;"")+('Dvd Calendar'!$T$2050=TYPE3)*(TYPE3&lt;&gt;"")+('Dvd Calendar'!$T$2050=TYPE4)*(TYPE4&lt;&gt;"")+('Dvd Calendar'!$T$2050=SPECIAL_LBL)*(INC_SPECIALS="Y"))=0,"",'Dvd Calendar'!$T$2048)))</f>
        <v/>
      </c>
      <c r="S204" s="161">
        <f>IF(EU204="","",IF(ISNUMBER('Dvd Calendar'!$U$2048)=FALSE,"",IF((('Dvd Calendar'!$U$2050=TYPE1)*(TYPE1&lt;&gt;"")+('Dvd Calendar'!$U$2050=TYPE2)*(TYPE2&lt;&gt;"")+('Dvd Calendar'!$U$2050=TYPE3)*(TYPE3&lt;&gt;"")+('Dvd Calendar'!$U$2050=TYPE4)*(TYPE4&lt;&gt;"")+('Dvd Calendar'!$U$2050=SPECIAL_LBL)*(INC_SPECIALS="Y"))=0,"",'Dvd Calendar'!$U$2048)))</f>
        <v/>
      </c>
      <c r="T204" s="161">
        <f>IF(EV204="","",IF(ISNUMBER('Dvd Calendar'!$V$2048)=FALSE,"",IF((('Dvd Calendar'!$V$2050=TYPE1)*(TYPE1&lt;&gt;"")+('Dvd Calendar'!$V$2050=TYPE2)*(TYPE2&lt;&gt;"")+('Dvd Calendar'!$V$2050=TYPE3)*(TYPE3&lt;&gt;"")+('Dvd Calendar'!$V$2050=TYPE4)*(TYPE4&lt;&gt;"")+('Dvd Calendar'!$V$2050=SPECIAL_LBL)*(INC_SPECIALS="Y"))=0,"",'Dvd Calendar'!$V$2048)))</f>
        <v/>
      </c>
      <c r="U204" s="161">
        <f>IF(EW204="","",IF(ISNUMBER('Dvd Calendar'!$W$2048)=FALSE,"",IF((('Dvd Calendar'!$W$2050=TYPE1)*(TYPE1&lt;&gt;"")+('Dvd Calendar'!$W$2050=TYPE2)*(TYPE2&lt;&gt;"")+('Dvd Calendar'!$W$2050=TYPE3)*(TYPE3&lt;&gt;"")+('Dvd Calendar'!$W$2050=TYPE4)*(TYPE4&lt;&gt;"")+('Dvd Calendar'!$W$2050=SPECIAL_LBL)*(INC_SPECIALS="Y"))=0,"",'Dvd Calendar'!$W$2048)))</f>
        <v/>
      </c>
      <c r="V204" s="161">
        <f>IF(EX204="","",IF(ISNUMBER('Dvd Calendar'!$X$2048)=FALSE,"",IF((('Dvd Calendar'!$X$2050=TYPE1)*(TYPE1&lt;&gt;"")+('Dvd Calendar'!$X$2050=TYPE2)*(TYPE2&lt;&gt;"")+('Dvd Calendar'!$X$2050=TYPE3)*(TYPE3&lt;&gt;"")+('Dvd Calendar'!$X$2050=TYPE4)*(TYPE4&lt;&gt;"")+('Dvd Calendar'!$X$2050=SPECIAL_LBL)*(INC_SPECIALS="Y"))=0,"",'Dvd Calendar'!$X$2048)))</f>
        <v/>
      </c>
      <c r="W204" s="161">
        <f>IF(EY204="","",IF(ISNUMBER('Dvd Calendar'!$Y$2048)=FALSE,"",IF((('Dvd Calendar'!$Y$2050=TYPE1)*(TYPE1&lt;&gt;"")+('Dvd Calendar'!$Y$2050=TYPE2)*(TYPE2&lt;&gt;"")+('Dvd Calendar'!$Y$2050=TYPE3)*(TYPE3&lt;&gt;"")+('Dvd Calendar'!$Y$2050=TYPE4)*(TYPE4&lt;&gt;"")+('Dvd Calendar'!$Y$2050=SPECIAL_LBL)*(INC_SPECIALS="Y"))=0,"",'Dvd Calendar'!$Y$2048)))</f>
        <v/>
      </c>
      <c r="X204" s="161">
        <f>IF(EZ204="","",IF(ISNUMBER('Dvd Calendar'!$Z$2048)=FALSE,"",IF((('Dvd Calendar'!$Z$2050=TYPE1)*(TYPE1&lt;&gt;"")+('Dvd Calendar'!$Z$2050=TYPE2)*(TYPE2&lt;&gt;"")+('Dvd Calendar'!$Z$2050=TYPE3)*(TYPE3&lt;&gt;"")+('Dvd Calendar'!$Z$2050=TYPE4)*(TYPE4&lt;&gt;"")+('Dvd Calendar'!$Z$2050=SPECIAL_LBL)*(INC_SPECIALS="Y"))=0,"",'Dvd Calendar'!$Z$2048)))</f>
        <v/>
      </c>
      <c r="Y204" s="161">
        <f>IF(FA204="","",IF(ISNUMBER('Dvd Calendar'!$AA$2048)=FALSE,"",IF((('Dvd Calendar'!$AA$2050=TYPE1)*(TYPE1&lt;&gt;"")+('Dvd Calendar'!$AA$2050=TYPE2)*(TYPE2&lt;&gt;"")+('Dvd Calendar'!$AA$2050=TYPE3)*(TYPE3&lt;&gt;"")+('Dvd Calendar'!$AA$2050=TYPE4)*(TYPE4&lt;&gt;"")+('Dvd Calendar'!$AA$2050=SPECIAL_LBL)*(INC_SPECIALS="Y"))=0,"",'Dvd Calendar'!$AA$2048)))</f>
        <v/>
      </c>
      <c r="Z204" s="161">
        <f>IF(FB204="","",IF(ISNUMBER('Dvd Calendar'!$AB$2048)=FALSE,"",IF((('Dvd Calendar'!$AB$2050=TYPE1)*(TYPE1&lt;&gt;"")+('Dvd Calendar'!$AB$2050=TYPE2)*(TYPE2&lt;&gt;"")+('Dvd Calendar'!$AB$2050=TYPE3)*(TYPE3&lt;&gt;"")+('Dvd Calendar'!$AB$2050=TYPE4)*(TYPE4&lt;&gt;"")+('Dvd Calendar'!$AB$2050=SPECIAL_LBL)*(INC_SPECIALS="Y"))=0,"",'Dvd Calendar'!$AB$2048)))</f>
        <v/>
      </c>
      <c r="AA204" s="161">
        <f>IF(FC204="","",IF(ISNUMBER('Dvd Calendar'!$AC$2048)=FALSE,"",IF((('Dvd Calendar'!$AC$2050=TYPE1)*(TYPE1&lt;&gt;"")+('Dvd Calendar'!$AC$2050=TYPE2)*(TYPE2&lt;&gt;"")+('Dvd Calendar'!$AC$2050=TYPE3)*(TYPE3&lt;&gt;"")+('Dvd Calendar'!$AC$2050=TYPE4)*(TYPE4&lt;&gt;"")+('Dvd Calendar'!$AC$2050=SPECIAL_LBL)*(INC_SPECIALS="Y"))=0,"",'Dvd Calendar'!$AC$2048)))</f>
        <v/>
      </c>
      <c r="AB204" s="161">
        <f>IF(FD204="","",IF(ISNUMBER('Dvd Calendar'!$AD$2048)=FALSE,"",IF((('Dvd Calendar'!$AD$2050=TYPE1)*(TYPE1&lt;&gt;"")+('Dvd Calendar'!$AD$2050=TYPE2)*(TYPE2&lt;&gt;"")+('Dvd Calendar'!$AD$2050=TYPE3)*(TYPE3&lt;&gt;"")+('Dvd Calendar'!$AD$2050=TYPE4)*(TYPE4&lt;&gt;"")+('Dvd Calendar'!$AD$2050=SPECIAL_LBL)*(INC_SPECIALS="Y"))=0,"",'Dvd Calendar'!$AD$2048)))</f>
        <v/>
      </c>
      <c r="AC204" s="161">
        <f>IF(FE204="","",IF(ISNUMBER('Dvd Calendar'!$AE$2048)=FALSE,"",IF((('Dvd Calendar'!$AE$2050=TYPE1)*(TYPE1&lt;&gt;"")+('Dvd Calendar'!$AE$2050=TYPE2)*(TYPE2&lt;&gt;"")+('Dvd Calendar'!$AE$2050=TYPE3)*(TYPE3&lt;&gt;"")+('Dvd Calendar'!$AE$2050=TYPE4)*(TYPE4&lt;&gt;"")+('Dvd Calendar'!$AE$2050=SPECIAL_LBL)*(INC_SPECIALS="Y"))=0,"",'Dvd Calendar'!$AE$2048)))</f>
        <v/>
      </c>
      <c r="AD204" s="161">
        <f>IF(FF204="","",IF(ISNUMBER('Dvd Calendar'!$AF$2048)=FALSE,"",IF((('Dvd Calendar'!$AF$2050=TYPE1)*(TYPE1&lt;&gt;"")+('Dvd Calendar'!$AF$2050=TYPE2)*(TYPE2&lt;&gt;"")+('Dvd Calendar'!$AF$2050=TYPE3)*(TYPE3&lt;&gt;"")+('Dvd Calendar'!$AF$2050=TYPE4)*(TYPE4&lt;&gt;"")+('Dvd Calendar'!$AF$2050=SPECIAL_LBL)*(INC_SPECIALS="Y"))=0,"",'Dvd Calendar'!$AF$2048)))</f>
        <v/>
      </c>
      <c r="AE204" s="161">
        <f>IF(FG204="","",IF(ISNUMBER('Dvd Calendar'!$AG$2048)=FALSE,"",IF((('Dvd Calendar'!$AG$2050=TYPE1)*(TYPE1&lt;&gt;"")+('Dvd Calendar'!$AG$2050=TYPE2)*(TYPE2&lt;&gt;"")+('Dvd Calendar'!$AG$2050=TYPE3)*(TYPE3&lt;&gt;"")+('Dvd Calendar'!$AG$2050=TYPE4)*(TYPE4&lt;&gt;"")+('Dvd Calendar'!$AG$2050=SPECIAL_LBL)*(INC_SPECIALS="Y"))=0,"",'Dvd Calendar'!$AG$2048)))</f>
        <v/>
      </c>
      <c r="AF204" s="161">
        <f>IF(FH204="","",IF(ISNUMBER('Dvd Calendar'!$AH$2048)=FALSE,"",IF((('Dvd Calendar'!$AH$2050=TYPE1)*(TYPE1&lt;&gt;"")+('Dvd Calendar'!$AH$2050=TYPE2)*(TYPE2&lt;&gt;"")+('Dvd Calendar'!$AH$2050=TYPE3)*(TYPE3&lt;&gt;"")+('Dvd Calendar'!$AH$2050=TYPE4)*(TYPE4&lt;&gt;"")+('Dvd Calendar'!$AH$2050=SPECIAL_LBL)*(INC_SPECIALS="Y"))=0,"",'Dvd Calendar'!$AH$2048)))</f>
        <v/>
      </c>
      <c r="AG204" s="161">
        <f>IF(FI204="","",IF(ISNUMBER('Dvd Calendar'!$AI$2048)=FALSE,"",IF((('Dvd Calendar'!$AI$2050=TYPE1)*(TYPE1&lt;&gt;"")+('Dvd Calendar'!$AI$2050=TYPE2)*(TYPE2&lt;&gt;"")+('Dvd Calendar'!$AI$2050=TYPE3)*(TYPE3&lt;&gt;"")+('Dvd Calendar'!$AI$2050=TYPE4)*(TYPE4&lt;&gt;"")+('Dvd Calendar'!$AI$2050=SPECIAL_LBL)*(INC_SPECIALS="Y"))=0,"",'Dvd Calendar'!$AI$2048)))</f>
        <v/>
      </c>
      <c r="AH204" s="161">
        <f>IF(FJ204="","",IF(ISNUMBER('Dvd Calendar'!$AJ$2048)=FALSE,"",IF((('Dvd Calendar'!$AJ$2050=TYPE1)*(TYPE1&lt;&gt;"")+('Dvd Calendar'!$AJ$2050=TYPE2)*(TYPE2&lt;&gt;"")+('Dvd Calendar'!$AJ$2050=TYPE3)*(TYPE3&lt;&gt;"")+('Dvd Calendar'!$AJ$2050=TYPE4)*(TYPE4&lt;&gt;"")+('Dvd Calendar'!$AJ$2050=SPECIAL_LBL)*(INC_SPECIALS="Y"))=0,"",'Dvd Calendar'!$AJ$2048)))</f>
        <v/>
      </c>
      <c r="AI204" s="161">
        <f>IF(FK204="","",IF(ISNUMBER('Dvd Calendar'!$AK$2048)=FALSE,"",IF((('Dvd Calendar'!$AK$2050=TYPE1)*(TYPE1&lt;&gt;"")+('Dvd Calendar'!$AK$2050=TYPE2)*(TYPE2&lt;&gt;"")+('Dvd Calendar'!$AK$2050=TYPE3)*(TYPE3&lt;&gt;"")+('Dvd Calendar'!$AK$2050=TYPE4)*(TYPE4&lt;&gt;"")+('Dvd Calendar'!$AK$2050=SPECIAL_LBL)*(INC_SPECIALS="Y"))=0,"",'Dvd Calendar'!$AK$2048)))</f>
        <v/>
      </c>
      <c r="AJ204" s="161">
        <f>IF(FL204="","",IF(ISNUMBER('Dvd Calendar'!$AL$2048)=FALSE,"",IF((('Dvd Calendar'!$AL$2050=TYPE1)*(TYPE1&lt;&gt;"")+('Dvd Calendar'!$AL$2050=TYPE2)*(TYPE2&lt;&gt;"")+('Dvd Calendar'!$AL$2050=TYPE3)*(TYPE3&lt;&gt;"")+('Dvd Calendar'!$AL$2050=TYPE4)*(TYPE4&lt;&gt;"")+('Dvd Calendar'!$AL$2050=SPECIAL_LBL)*(INC_SPECIALS="Y"))=0,"",'Dvd Calendar'!$AL$2048)))</f>
        <v/>
      </c>
      <c r="AK204" s="161">
        <f>IF(FM204="","",IF(ISNUMBER('Dvd Calendar'!$AM$2048)=FALSE,"",IF((('Dvd Calendar'!$AM$2050=TYPE1)*(TYPE1&lt;&gt;"")+('Dvd Calendar'!$AM$2050=TYPE2)*(TYPE2&lt;&gt;"")+('Dvd Calendar'!$AM$2050=TYPE3)*(TYPE3&lt;&gt;"")+('Dvd Calendar'!$AM$2050=TYPE4)*(TYPE4&lt;&gt;"")+('Dvd Calendar'!$AM$2050=SPECIAL_LBL)*(INC_SPECIALS="Y"))=0,"",'Dvd Calendar'!$AM$2048)))</f>
        <v/>
      </c>
      <c r="AL204" s="161">
        <f>IF(FN204="","",IF(ISNUMBER('Dvd Calendar'!$AN$2048)=FALSE,"",IF((('Dvd Calendar'!$AN$2050=TYPE1)*(TYPE1&lt;&gt;"")+('Dvd Calendar'!$AN$2050=TYPE2)*(TYPE2&lt;&gt;"")+('Dvd Calendar'!$AN$2050=TYPE3)*(TYPE3&lt;&gt;"")+('Dvd Calendar'!$AN$2050=TYPE4)*(TYPE4&lt;&gt;"")+('Dvd Calendar'!$AN$2050=SPECIAL_LBL)*(INC_SPECIALS="Y"))=0,"",'Dvd Calendar'!$AN$2048)))</f>
        <v/>
      </c>
      <c r="AM204" s="161">
        <f>IF(FO204="","",IF(ISNUMBER('Dvd Calendar'!$AO$2048)=FALSE,"",IF((('Dvd Calendar'!$AO$2050=TYPE1)*(TYPE1&lt;&gt;"")+('Dvd Calendar'!$AO$2050=TYPE2)*(TYPE2&lt;&gt;"")+('Dvd Calendar'!$AO$2050=TYPE3)*(TYPE3&lt;&gt;"")+('Dvd Calendar'!$AO$2050=TYPE4)*(TYPE4&lt;&gt;"")+('Dvd Calendar'!$AO$2050=SPECIAL_LBL)*(INC_SPECIALS="Y"))=0,"",'Dvd Calendar'!$AO$2048)))</f>
        <v/>
      </c>
      <c r="AN204" s="161">
        <f>IF(FP204="","",IF(ISNUMBER('Dvd Calendar'!$AP$2048)=FALSE,"",IF((('Dvd Calendar'!$AP$2050=TYPE1)*(TYPE1&lt;&gt;"")+('Dvd Calendar'!$AP$2050=TYPE2)*(TYPE2&lt;&gt;"")+('Dvd Calendar'!$AP$2050=TYPE3)*(TYPE3&lt;&gt;"")+('Dvd Calendar'!$AP$2050=TYPE4)*(TYPE4&lt;&gt;"")+('Dvd Calendar'!$AP$2050=SPECIAL_LBL)*(INC_SPECIALS="Y"))=0,"",'Dvd Calendar'!$AP$2048)))</f>
        <v/>
      </c>
      <c r="AO204" s="161">
        <f>IF(FQ204="","",IF(ISNUMBER('Dvd Calendar'!$AQ$2048)=FALSE,"",IF((('Dvd Calendar'!$AQ$2050=TYPE1)*(TYPE1&lt;&gt;"")+('Dvd Calendar'!$AQ$2050=TYPE2)*(TYPE2&lt;&gt;"")+('Dvd Calendar'!$AQ$2050=TYPE3)*(TYPE3&lt;&gt;"")+('Dvd Calendar'!$AQ$2050=TYPE4)*(TYPE4&lt;&gt;"")+('Dvd Calendar'!$AQ$2050=SPECIAL_LBL)*(INC_SPECIALS="Y"))=0,"",'Dvd Calendar'!$AQ$2048)))</f>
        <v/>
      </c>
      <c r="AP204" s="161">
        <f>IF(FR204="","",IF(ISNUMBER('Dvd Calendar'!$AR$2048)=FALSE,"",IF((('Dvd Calendar'!$AR$2050=TYPE1)*(TYPE1&lt;&gt;"")+('Dvd Calendar'!$AR$2050=TYPE2)*(TYPE2&lt;&gt;"")+('Dvd Calendar'!$AR$2050=TYPE3)*(TYPE3&lt;&gt;"")+('Dvd Calendar'!$AR$2050=TYPE4)*(TYPE4&lt;&gt;"")+('Dvd Calendar'!$AR$2050=SPECIAL_LBL)*(INC_SPECIALS="Y"))=0,"",'Dvd Calendar'!$AR$2048)))</f>
        <v/>
      </c>
      <c r="AQ204" s="161">
        <f>IF(FS204="","",IF(ISNUMBER('Dvd Calendar'!$E$2053)=FALSE,"",'Dvd Calendar'!$E$2053))</f>
        <v/>
      </c>
      <c r="AR204" s="161">
        <f>IF(FT204="","",IF(ISNUMBER('Dvd Calendar'!$F$2053)=FALSE,"",'Dvd Calendar'!$F$2053))</f>
        <v/>
      </c>
      <c r="AS204" s="161">
        <f>IF(FU204="","",IF(ISNUMBER('Dvd Calendar'!$G$2053)=FALSE,"",'Dvd Calendar'!$G$2053))</f>
        <v/>
      </c>
      <c r="AT204" s="161">
        <f>IF(FV204="","",IF(ISNUMBER('Dvd Calendar'!$H$2053)=FALSE,"",'Dvd Calendar'!$H$2053))</f>
        <v/>
      </c>
      <c r="AU204" s="161">
        <f>IF(FW204="","",IF(ISNUMBER('Dvd Calendar'!$I$2053)=FALSE,"",'Dvd Calendar'!$I$2053))</f>
        <v/>
      </c>
      <c r="AV204" s="161">
        <f>IF(FX204="","",IF(ISNUMBER('Dvd Calendar'!$J$2053)=FALSE,"",'Dvd Calendar'!$J$2053))</f>
        <v/>
      </c>
      <c r="AW204" s="161">
        <f>IF(FY204="","",IF(ISNUMBER('Dvd Calendar'!$K$2053)=FALSE,"",'Dvd Calendar'!$K$2053))</f>
        <v/>
      </c>
      <c r="AX204" s="161">
        <f>IF(FZ204="","",IF(ISNUMBER('Dvd Calendar'!$L$2053)=FALSE,"",'Dvd Calendar'!$L$2053))</f>
        <v/>
      </c>
      <c r="AY204" s="161">
        <f>IF(GA204="","",IF(ISNUMBER('Dvd Calendar'!$M$2053)=FALSE,"",'Dvd Calendar'!$M$2053))</f>
        <v/>
      </c>
      <c r="AZ204" s="161">
        <f>IF(GB204="","",IF(ISNUMBER('Dvd Calendar'!$N$2053)=FALSE,"",'Dvd Calendar'!$N$2053))</f>
        <v/>
      </c>
      <c r="BA204" s="161">
        <f>IF(GC204="","",IF(ISNUMBER('Dvd Calendar'!$O$2053)=FALSE,"",'Dvd Calendar'!$O$2053))</f>
        <v/>
      </c>
      <c r="BB204" s="161">
        <f>IF(GD204="","",IF(ISNUMBER('Dvd Calendar'!$P$2053)=FALSE,"",'Dvd Calendar'!$P$2053))</f>
        <v/>
      </c>
      <c r="BC204" s="161">
        <f>IF(GE204="","",IF(ISNUMBER('Dvd Calendar'!$Q$2053)=FALSE,"",'Dvd Calendar'!$Q$2053))</f>
        <v/>
      </c>
      <c r="BD204" s="161">
        <f>IF(GF204="","",IF(ISNUMBER('Dvd Calendar'!$R$2053)=FALSE,"",'Dvd Calendar'!$R$2053))</f>
        <v/>
      </c>
      <c r="BE204" s="161">
        <f>IF(GG204="","",IF(ISNUMBER('Dvd Calendar'!$S$2053)=FALSE,"",'Dvd Calendar'!$S$2053))</f>
        <v/>
      </c>
      <c r="BF204" s="161">
        <f>IF(GH204="","",IF(ISNUMBER('Dvd Calendar'!$T$2053)=FALSE,"",'Dvd Calendar'!$T$2053))</f>
        <v/>
      </c>
      <c r="BG204" s="161">
        <f>IF(GI204="","",IF(ISNUMBER('Dvd Calendar'!$U$2053)=FALSE,"",'Dvd Calendar'!$U$2053))</f>
        <v/>
      </c>
      <c r="BH204" s="161">
        <f>IF(GJ204="","",IF(ISNUMBER('Dvd Calendar'!$V$2053)=FALSE,"",'Dvd Calendar'!$V$2053))</f>
        <v/>
      </c>
      <c r="BI204" s="161">
        <f>IF(GK204="","",IF(ISNUMBER('Dvd Calendar'!$W$2053)=FALSE,"",'Dvd Calendar'!$W$2053))</f>
        <v/>
      </c>
      <c r="BJ204" s="161">
        <f>IF(GL204="","",IF(ISNUMBER('Dvd Calendar'!$X$2053)=FALSE,"",'Dvd Calendar'!$X$2053))</f>
        <v/>
      </c>
      <c r="BK204" s="161">
        <f>IF(GM204="","",IF(ISNUMBER('Dvd Calendar'!$Y$2053)=FALSE,"",'Dvd Calendar'!$Y$2053))</f>
        <v/>
      </c>
      <c r="BL204" s="161">
        <f>IF(GN204="","",IF(ISNUMBER('Dvd Calendar'!$Z$2053)=FALSE,"",'Dvd Calendar'!$Z$2053))</f>
        <v/>
      </c>
      <c r="BM204" s="161">
        <f>IF(GO204="","",IF(ISNUMBER('Dvd Calendar'!$AA$2053)=FALSE,"",'Dvd Calendar'!$AA$2053))</f>
        <v/>
      </c>
      <c r="BN204" s="161">
        <f>IF(GP204="","",IF(ISNUMBER('Dvd Calendar'!$AB$2053)=FALSE,"",'Dvd Calendar'!$AB$2053))</f>
        <v/>
      </c>
      <c r="BO204" s="161">
        <f>IF(GQ204="","",IF(ISNUMBER('Dvd Calendar'!$AC$2053)=FALSE,"",'Dvd Calendar'!$AC$2053))</f>
        <v/>
      </c>
      <c r="BQ204" s="161">
        <f>IF(C204="","",IFERROR(C204*HSCEI!$B$51*HSCEI!$G$51/HSCEI!$B$3,""))</f>
        <v/>
      </c>
      <c r="BR204" s="161">
        <f>IF(D204="","",IFERROR(D204*HSCEI!$B$51*HSCEI!$G$51/HSCEI!$B$3,""))</f>
        <v/>
      </c>
      <c r="BS204" s="161">
        <f>IF(E204="","",IFERROR(E204*HSCEI!$B$51*HSCEI!$G$51/HSCEI!$B$3,""))</f>
        <v/>
      </c>
      <c r="BT204" s="161">
        <f>IF(F204="","",IFERROR(F204*HSCEI!$B$51*HSCEI!$G$51/HSCEI!$B$3,""))</f>
        <v/>
      </c>
      <c r="BU204" s="161">
        <f>IF(G204="","",IFERROR(G204*HSCEI!$B$51*HSCEI!$G$51/HSCEI!$B$3,""))</f>
        <v/>
      </c>
      <c r="BV204" s="161">
        <f>IF(H204="","",IFERROR(H204*HSCEI!$B$51*HSCEI!$G$51/HSCEI!$B$3,""))</f>
        <v/>
      </c>
      <c r="BW204" s="161">
        <f>IF(I204="","",IFERROR(I204*HSCEI!$B$51*HSCEI!$G$51/HSCEI!$B$3,""))</f>
        <v/>
      </c>
      <c r="BX204" s="161">
        <f>IF(J204="","",IFERROR(J204*HSCEI!$B$51*HSCEI!$G$51/HSCEI!$B$3,""))</f>
        <v/>
      </c>
      <c r="BY204" s="161">
        <f>IF(K204="","",IFERROR(K204*HSCEI!$B$51*HSCEI!$G$51/HSCEI!$B$3,""))</f>
        <v/>
      </c>
      <c r="BZ204" s="161">
        <f>IF(L204="","",IFERROR(L204*HSCEI!$B$51*HSCEI!$G$51/HSCEI!$B$3,""))</f>
        <v/>
      </c>
      <c r="CA204" s="161">
        <f>IF(M204="","",IFERROR(M204*HSCEI!$B$51*HSCEI!$G$51/HSCEI!$B$3,""))</f>
        <v/>
      </c>
      <c r="CB204" s="161">
        <f>IF(N204="","",IFERROR(N204*HSCEI!$B$51*HSCEI!$G$51/HSCEI!$B$3,""))</f>
        <v/>
      </c>
      <c r="CC204" s="161">
        <f>IF(O204="","",IFERROR(O204*HSCEI!$B$51*HSCEI!$G$51/HSCEI!$B$3,""))</f>
        <v/>
      </c>
      <c r="CD204" s="161">
        <f>IF(P204="","",IFERROR(P204*HSCEI!$B$51*HSCEI!$G$51/HSCEI!$B$3,""))</f>
        <v/>
      </c>
      <c r="CE204" s="161">
        <f>IF(Q204="","",IFERROR(Q204*HSCEI!$B$51*HSCEI!$G$51/HSCEI!$B$3,""))</f>
        <v/>
      </c>
      <c r="CF204" s="161">
        <f>IF(R204="","",IFERROR(R204*HSCEI!$B$51*HSCEI!$G$51/HSCEI!$B$3,""))</f>
        <v/>
      </c>
      <c r="CG204" s="161">
        <f>IF(S204="","",IFERROR(S204*HSCEI!$B$51*HSCEI!$G$51/HSCEI!$B$3,""))</f>
        <v/>
      </c>
      <c r="CH204" s="161">
        <f>IF(T204="","",IFERROR(T204*HSCEI!$B$51*HSCEI!$G$51/HSCEI!$B$3,""))</f>
        <v/>
      </c>
      <c r="CI204" s="161">
        <f>IF(U204="","",IFERROR(U204*HSCEI!$B$51*HSCEI!$G$51/HSCEI!$B$3,""))</f>
        <v/>
      </c>
      <c r="CJ204" s="161">
        <f>IF(V204="","",IFERROR(V204*HSCEI!$B$51*HSCEI!$G$51/HSCEI!$B$3,""))</f>
        <v/>
      </c>
      <c r="CK204" s="161">
        <f>IF(W204="","",IFERROR(W204*HSCEI!$B$51*HSCEI!$G$51/HSCEI!$B$3,""))</f>
        <v/>
      </c>
      <c r="CL204" s="161">
        <f>IF(X204="","",IFERROR(X204*HSCEI!$B$51*HSCEI!$G$51/HSCEI!$B$3,""))</f>
        <v/>
      </c>
      <c r="CM204" s="161">
        <f>IF(Y204="","",IFERROR(Y204*HSCEI!$B$51*HSCEI!$G$51/HSCEI!$B$3,""))</f>
        <v/>
      </c>
      <c r="CN204" s="161">
        <f>IF(Z204="","",IFERROR(Z204*HSCEI!$B$51*HSCEI!$G$51/HSCEI!$B$3,""))</f>
        <v/>
      </c>
      <c r="CO204" s="161">
        <f>IF(AA204="","",IFERROR(AA204*HSCEI!$B$51*HSCEI!$G$51/HSCEI!$B$3,""))</f>
        <v/>
      </c>
      <c r="CP204" s="161">
        <f>IF(AB204="","",IFERROR(AB204*HSCEI!$B$51*HSCEI!$G$51/HSCEI!$B$3,""))</f>
        <v/>
      </c>
      <c r="CQ204" s="161">
        <f>IF(AC204="","",IFERROR(AC204*HSCEI!$B$51*HSCEI!$G$51/HSCEI!$B$3,""))</f>
        <v/>
      </c>
      <c r="CR204" s="161">
        <f>IF(AD204="","",IFERROR(AD204*HSCEI!$B$51*HSCEI!$G$51/HSCEI!$B$3,""))</f>
        <v/>
      </c>
      <c r="CS204" s="161">
        <f>IF(AE204="","",IFERROR(AE204*HSCEI!$B$51*HSCEI!$G$51/HSCEI!$B$3,""))</f>
        <v/>
      </c>
      <c r="CT204" s="161">
        <f>IF(AF204="","",IFERROR(AF204*HSCEI!$B$51*HSCEI!$G$51/HSCEI!$B$3,""))</f>
        <v/>
      </c>
      <c r="CU204" s="161">
        <f>IF(AG204="","",IFERROR(AG204*HSCEI!$B$51*HSCEI!$G$51/HSCEI!$B$3,""))</f>
        <v/>
      </c>
      <c r="CV204" s="161">
        <f>IF(AH204="","",IFERROR(AH204*HSCEI!$B$51*HSCEI!$G$51/HSCEI!$B$3,""))</f>
        <v/>
      </c>
      <c r="CW204" s="161">
        <f>IF(AI204="","",IFERROR(AI204*HSCEI!$B$51*HSCEI!$G$51/HSCEI!$B$3,""))</f>
        <v/>
      </c>
      <c r="CX204" s="161">
        <f>IF(AJ204="","",IFERROR(AJ204*HSCEI!$B$51*HSCEI!$G$51/HSCEI!$B$3,""))</f>
        <v/>
      </c>
      <c r="CY204" s="161">
        <f>IF(AK204="","",IFERROR(AK204*HSCEI!$B$51*HSCEI!$G$51/HSCEI!$B$3,""))</f>
        <v/>
      </c>
      <c r="CZ204" s="161">
        <f>IF(AL204="","",IFERROR(AL204*HSCEI!$B$51*HSCEI!$G$51/HSCEI!$B$3,""))</f>
        <v/>
      </c>
      <c r="DA204" s="161">
        <f>IF(AM204="","",IFERROR(AM204*HSCEI!$B$51*HSCEI!$G$51/HSCEI!$B$3,""))</f>
        <v/>
      </c>
      <c r="DB204" s="161">
        <f>IF(AN204="","",IFERROR(AN204*HSCEI!$B$51*HSCEI!$G$51/HSCEI!$B$3,""))</f>
        <v/>
      </c>
      <c r="DC204" s="161">
        <f>IF(AO204="","",IFERROR(AO204*HSCEI!$B$51*HSCEI!$G$51/HSCEI!$B$3,""))</f>
        <v/>
      </c>
      <c r="DD204" s="161">
        <f>IF(AP204="","",IFERROR(AP204*HSCEI!$B$51*HSCEI!$G$51/HSCEI!$B$3,""))</f>
        <v/>
      </c>
      <c r="DE204" s="161">
        <f>IF(AQ204="","",IFERROR(AQ204*HSCEI!$B$51*HSCEI!$G$51/HSCEI!$B$3,""))</f>
        <v/>
      </c>
      <c r="DF204" s="161">
        <f>IF(AR204="","",IFERROR(AR204*HSCEI!$B$51*HSCEI!$G$51/HSCEI!$B$3,""))</f>
        <v/>
      </c>
      <c r="DG204" s="161">
        <f>IF(AS204="","",IFERROR(AS204*HSCEI!$B$51*HSCEI!$G$51/HSCEI!$B$3,""))</f>
        <v/>
      </c>
      <c r="DH204" s="161">
        <f>IF(AT204="","",IFERROR(AT204*HSCEI!$B$51*HSCEI!$G$51/HSCEI!$B$3,""))</f>
        <v/>
      </c>
      <c r="DI204" s="161">
        <f>IF(AU204="","",IFERROR(AU204*HSCEI!$B$51*HSCEI!$G$51/HSCEI!$B$3,""))</f>
        <v/>
      </c>
      <c r="DJ204" s="161">
        <f>IF(AV204="","",IFERROR(AV204*HSCEI!$B$51*HSCEI!$G$51/HSCEI!$B$3,""))</f>
        <v/>
      </c>
      <c r="DK204" s="161">
        <f>IF(AW204="","",IFERROR(AW204*HSCEI!$B$51*HSCEI!$G$51/HSCEI!$B$3,""))</f>
        <v/>
      </c>
      <c r="DL204" s="161">
        <f>IF(AX204="","",IFERROR(AX204*HSCEI!$B$51*HSCEI!$G$51/HSCEI!$B$3,""))</f>
        <v/>
      </c>
      <c r="DM204" s="161">
        <f>IF(AY204="","",IFERROR(AY204*HSCEI!$B$51*HSCEI!$G$51/HSCEI!$B$3,""))</f>
        <v/>
      </c>
      <c r="DN204" s="161">
        <f>IF(AZ204="","",IFERROR(AZ204*HSCEI!$B$51*HSCEI!$G$51/HSCEI!$B$3,""))</f>
        <v/>
      </c>
      <c r="DO204" s="161">
        <f>IF(BA204="","",IFERROR(BA204*HSCEI!$B$51*HSCEI!$G$51/HSCEI!$B$3,""))</f>
        <v/>
      </c>
      <c r="DP204" s="161">
        <f>IF(BB204="","",IFERROR(BB204*HSCEI!$B$51*HSCEI!$G$51/HSCEI!$B$3,""))</f>
        <v/>
      </c>
      <c r="DQ204" s="161">
        <f>IF(BC204="","",IFERROR(BC204*HSCEI!$B$51*HSCEI!$G$51/HSCEI!$B$3,""))</f>
        <v/>
      </c>
      <c r="DR204" s="161">
        <f>IF(BD204="","",IFERROR(BD204*HSCEI!$B$51*HSCEI!$G$51/HSCEI!$B$3,""))</f>
        <v/>
      </c>
      <c r="DS204" s="161">
        <f>IF(BE204="","",IFERROR(BE204*HSCEI!$B$51*HSCEI!$G$51/HSCEI!$B$3,""))</f>
        <v/>
      </c>
      <c r="DT204" s="161">
        <f>IF(BF204="","",IFERROR(BF204*HSCEI!$B$51*HSCEI!$G$51/HSCEI!$B$3,""))</f>
        <v/>
      </c>
      <c r="DU204" s="161">
        <f>IF(BG204="","",IFERROR(BG204*HSCEI!$B$51*HSCEI!$G$51/HSCEI!$B$3,""))</f>
        <v/>
      </c>
      <c r="DV204" s="161">
        <f>IF(BH204="","",IFERROR(BH204*HSCEI!$B$51*HSCEI!$G$51/HSCEI!$B$3,""))</f>
        <v/>
      </c>
      <c r="DW204" s="161">
        <f>IF(BI204="","",IFERROR(BI204*HSCEI!$B$51*HSCEI!$G$51/HSCEI!$B$3,""))</f>
        <v/>
      </c>
      <c r="DX204" s="161">
        <f>IF(BJ204="","",IFERROR(BJ204*HSCEI!$B$51*HSCEI!$G$51/HSCEI!$B$3,""))</f>
        <v/>
      </c>
      <c r="DY204" s="161">
        <f>IF(BK204="","",IFERROR(BK204*HSCEI!$B$51*HSCEI!$G$51/HSCEI!$B$3,""))</f>
        <v/>
      </c>
      <c r="DZ204" s="161">
        <f>IF(BL204="","",IFERROR(BL204*HSCEI!$B$51*HSCEI!$G$51/HSCEI!$B$3,""))</f>
        <v/>
      </c>
      <c r="EA204" s="161">
        <f>IF(BM204="","",IFERROR(BM204*HSCEI!$B$51*HSCEI!$G$51/HSCEI!$B$3,""))</f>
        <v/>
      </c>
      <c r="EB204" s="161">
        <f>IF(BN204="","",IFERROR(BN204*HSCEI!$B$51*HSCEI!$G$51/HSCEI!$B$3,""))</f>
        <v/>
      </c>
      <c r="EC204" s="161">
        <f>IF(BO204="","",IFERROR(BO204*HSCEI!$B$51*HSCEI!$G$51/HSCEI!$B$3,""))</f>
        <v/>
      </c>
      <c r="EE204" s="121">
        <f>IF(N('Dvd Calendar'!$E$2045)=0,"",IF(('Dvd Calendar'!$E$2045&gt;=GRID_FROM)*('Dvd Calendar'!$E$2045&lt;=GRID_TO)*((('Dvd Calendar'!$E$2045&lt;=VAL_DATE)+(COUNTIF('Dvd Calendar'!$E$2052:$AR$2052,'Dvd Calendar'!$E$2045)=0))&gt;0)=0,"",'Dvd Calendar'!$E$2045*1000000000+ISNUMBER('Dvd Calendar'!$E$2048)*100000000+('Dvd Calendar'!$E$2050=SPECIAL_LBL)*10000000+(N('Dvd Calendar'!$E$2044)&gt;0)*(N('Dvd Calendar'!$E$2044)&lt;=VAL_SERIAL)*1000000+45*1000+1))</f>
        <v/>
      </c>
      <c r="EF204" s="121">
        <f>IF(N('Dvd Calendar'!$F$2045)=0,"",IF(('Dvd Calendar'!$F$2045&gt;=GRID_FROM)*('Dvd Calendar'!$F$2045&lt;=GRID_TO)*((('Dvd Calendar'!$F$2045&lt;=VAL_DATE)+(COUNTIF('Dvd Calendar'!$E$2052:$AR$2052,'Dvd Calendar'!$F$2045)=0))&gt;0)=0,"",'Dvd Calendar'!$F$2045*1000000000+ISNUMBER('Dvd Calendar'!$F$2048)*100000000+('Dvd Calendar'!$F$2050=SPECIAL_LBL)*10000000+(N('Dvd Calendar'!$F$2044)&gt;0)*(N('Dvd Calendar'!$F$2044)&lt;=VAL_SERIAL)*1000000+45*1000+2))</f>
        <v/>
      </c>
      <c r="EG204" s="121">
        <f>IF(N('Dvd Calendar'!$G$2045)=0,"",IF(('Dvd Calendar'!$G$2045&gt;=GRID_FROM)*('Dvd Calendar'!$G$2045&lt;=GRID_TO)*((('Dvd Calendar'!$G$2045&lt;=VAL_DATE)+(COUNTIF('Dvd Calendar'!$E$2052:$AR$2052,'Dvd Calendar'!$G$2045)=0))&gt;0)=0,"",'Dvd Calendar'!$G$2045*1000000000+ISNUMBER('Dvd Calendar'!$G$2048)*100000000+('Dvd Calendar'!$G$2050=SPECIAL_LBL)*10000000+(N('Dvd Calendar'!$G$2044)&gt;0)*(N('Dvd Calendar'!$G$2044)&lt;=VAL_SERIAL)*1000000+45*1000+3))</f>
        <v/>
      </c>
      <c r="EH204" s="121">
        <f>IF(N('Dvd Calendar'!$H$2045)=0,"",IF(('Dvd Calendar'!$H$2045&gt;=GRID_FROM)*('Dvd Calendar'!$H$2045&lt;=GRID_TO)*((('Dvd Calendar'!$H$2045&lt;=VAL_DATE)+(COUNTIF('Dvd Calendar'!$E$2052:$AR$2052,'Dvd Calendar'!$H$2045)=0))&gt;0)=0,"",'Dvd Calendar'!$H$2045*1000000000+ISNUMBER('Dvd Calendar'!$H$2048)*100000000+('Dvd Calendar'!$H$2050=SPECIAL_LBL)*10000000+(N('Dvd Calendar'!$H$2044)&gt;0)*(N('Dvd Calendar'!$H$2044)&lt;=VAL_SERIAL)*1000000+45*1000+4))</f>
        <v/>
      </c>
      <c r="EI204" s="121">
        <f>IF(N('Dvd Calendar'!$I$2045)=0,"",IF(('Dvd Calendar'!$I$2045&gt;=GRID_FROM)*('Dvd Calendar'!$I$2045&lt;=GRID_TO)*((('Dvd Calendar'!$I$2045&lt;=VAL_DATE)+(COUNTIF('Dvd Calendar'!$E$2052:$AR$2052,'Dvd Calendar'!$I$2045)=0))&gt;0)=0,"",'Dvd Calendar'!$I$2045*1000000000+ISNUMBER('Dvd Calendar'!$I$2048)*100000000+('Dvd Calendar'!$I$2050=SPECIAL_LBL)*10000000+(N('Dvd Calendar'!$I$2044)&gt;0)*(N('Dvd Calendar'!$I$2044)&lt;=VAL_SERIAL)*1000000+45*1000+5))</f>
        <v/>
      </c>
      <c r="EJ204" s="121">
        <f>IF(N('Dvd Calendar'!$J$2045)=0,"",IF(('Dvd Calendar'!$J$2045&gt;=GRID_FROM)*('Dvd Calendar'!$J$2045&lt;=GRID_TO)*((('Dvd Calendar'!$J$2045&lt;=VAL_DATE)+(COUNTIF('Dvd Calendar'!$E$2052:$AR$2052,'Dvd Calendar'!$J$2045)=0))&gt;0)=0,"",'Dvd Calendar'!$J$2045*1000000000+ISNUMBER('Dvd Calendar'!$J$2048)*100000000+('Dvd Calendar'!$J$2050=SPECIAL_LBL)*10000000+(N('Dvd Calendar'!$J$2044)&gt;0)*(N('Dvd Calendar'!$J$2044)&lt;=VAL_SERIAL)*1000000+45*1000+6))</f>
        <v/>
      </c>
      <c r="EK204" s="121">
        <f>IF(N('Dvd Calendar'!$K$2045)=0,"",IF(('Dvd Calendar'!$K$2045&gt;=GRID_FROM)*('Dvd Calendar'!$K$2045&lt;=GRID_TO)*((('Dvd Calendar'!$K$2045&lt;=VAL_DATE)+(COUNTIF('Dvd Calendar'!$E$2052:$AR$2052,'Dvd Calendar'!$K$2045)=0))&gt;0)=0,"",'Dvd Calendar'!$K$2045*1000000000+ISNUMBER('Dvd Calendar'!$K$2048)*100000000+('Dvd Calendar'!$K$2050=SPECIAL_LBL)*10000000+(N('Dvd Calendar'!$K$2044)&gt;0)*(N('Dvd Calendar'!$K$2044)&lt;=VAL_SERIAL)*1000000+45*1000+7))</f>
        <v/>
      </c>
      <c r="EL204" s="121">
        <f>IF(N('Dvd Calendar'!$L$2045)=0,"",IF(('Dvd Calendar'!$L$2045&gt;=GRID_FROM)*('Dvd Calendar'!$L$2045&lt;=GRID_TO)*((('Dvd Calendar'!$L$2045&lt;=VAL_DATE)+(COUNTIF('Dvd Calendar'!$E$2052:$AR$2052,'Dvd Calendar'!$L$2045)=0))&gt;0)=0,"",'Dvd Calendar'!$L$2045*1000000000+ISNUMBER('Dvd Calendar'!$L$2048)*100000000+('Dvd Calendar'!$L$2050=SPECIAL_LBL)*10000000+(N('Dvd Calendar'!$L$2044)&gt;0)*(N('Dvd Calendar'!$L$2044)&lt;=VAL_SERIAL)*1000000+45*1000+8))</f>
        <v/>
      </c>
      <c r="EM204" s="121">
        <f>IF(N('Dvd Calendar'!$M$2045)=0,"",IF(('Dvd Calendar'!$M$2045&gt;=GRID_FROM)*('Dvd Calendar'!$M$2045&lt;=GRID_TO)*((('Dvd Calendar'!$M$2045&lt;=VAL_DATE)+(COUNTIF('Dvd Calendar'!$E$2052:$AR$2052,'Dvd Calendar'!$M$2045)=0))&gt;0)=0,"",'Dvd Calendar'!$M$2045*1000000000+ISNUMBER('Dvd Calendar'!$M$2048)*100000000+('Dvd Calendar'!$M$2050=SPECIAL_LBL)*10000000+(N('Dvd Calendar'!$M$2044)&gt;0)*(N('Dvd Calendar'!$M$2044)&lt;=VAL_SERIAL)*1000000+45*1000+9))</f>
        <v/>
      </c>
      <c r="EN204" s="121">
        <f>IF(N('Dvd Calendar'!$N$2045)=0,"",IF(('Dvd Calendar'!$N$2045&gt;=GRID_FROM)*('Dvd Calendar'!$N$2045&lt;=GRID_TO)*((('Dvd Calendar'!$N$2045&lt;=VAL_DATE)+(COUNTIF('Dvd Calendar'!$E$2052:$AR$2052,'Dvd Calendar'!$N$2045)=0))&gt;0)=0,"",'Dvd Calendar'!$N$2045*1000000000+ISNUMBER('Dvd Calendar'!$N$2048)*100000000+('Dvd Calendar'!$N$2050=SPECIAL_LBL)*10000000+(N('Dvd Calendar'!$N$2044)&gt;0)*(N('Dvd Calendar'!$N$2044)&lt;=VAL_SERIAL)*1000000+45*1000+10))</f>
        <v/>
      </c>
      <c r="EO204" s="121">
        <f>IF(N('Dvd Calendar'!$O$2045)=0,"",IF(('Dvd Calendar'!$O$2045&gt;=GRID_FROM)*('Dvd Calendar'!$O$2045&lt;=GRID_TO)*((('Dvd Calendar'!$O$2045&lt;=VAL_DATE)+(COUNTIF('Dvd Calendar'!$E$2052:$AR$2052,'Dvd Calendar'!$O$2045)=0))&gt;0)=0,"",'Dvd Calendar'!$O$2045*1000000000+ISNUMBER('Dvd Calendar'!$O$2048)*100000000+('Dvd Calendar'!$O$2050=SPECIAL_LBL)*10000000+(N('Dvd Calendar'!$O$2044)&gt;0)*(N('Dvd Calendar'!$O$2044)&lt;=VAL_SERIAL)*1000000+45*1000+11))</f>
        <v/>
      </c>
      <c r="EP204" s="121">
        <f>IF(N('Dvd Calendar'!$P$2045)=0,"",IF(('Dvd Calendar'!$P$2045&gt;=GRID_FROM)*('Dvd Calendar'!$P$2045&lt;=GRID_TO)*((('Dvd Calendar'!$P$2045&lt;=VAL_DATE)+(COUNTIF('Dvd Calendar'!$E$2052:$AR$2052,'Dvd Calendar'!$P$2045)=0))&gt;0)=0,"",'Dvd Calendar'!$P$2045*1000000000+ISNUMBER('Dvd Calendar'!$P$2048)*100000000+('Dvd Calendar'!$P$2050=SPECIAL_LBL)*10000000+(N('Dvd Calendar'!$P$2044)&gt;0)*(N('Dvd Calendar'!$P$2044)&lt;=VAL_SERIAL)*1000000+45*1000+12))</f>
        <v/>
      </c>
      <c r="EQ204" s="121">
        <f>IF(N('Dvd Calendar'!$Q$2045)=0,"",IF(('Dvd Calendar'!$Q$2045&gt;=GRID_FROM)*('Dvd Calendar'!$Q$2045&lt;=GRID_TO)*((('Dvd Calendar'!$Q$2045&lt;=VAL_DATE)+(COUNTIF('Dvd Calendar'!$E$2052:$AR$2052,'Dvd Calendar'!$Q$2045)=0))&gt;0)=0,"",'Dvd Calendar'!$Q$2045*1000000000+ISNUMBER('Dvd Calendar'!$Q$2048)*100000000+('Dvd Calendar'!$Q$2050=SPECIAL_LBL)*10000000+(N('Dvd Calendar'!$Q$2044)&gt;0)*(N('Dvd Calendar'!$Q$2044)&lt;=VAL_SERIAL)*1000000+45*1000+13))</f>
        <v/>
      </c>
      <c r="ER204" s="121">
        <f>IF(N('Dvd Calendar'!$R$2045)=0,"",IF(('Dvd Calendar'!$R$2045&gt;=GRID_FROM)*('Dvd Calendar'!$R$2045&lt;=GRID_TO)*((('Dvd Calendar'!$R$2045&lt;=VAL_DATE)+(COUNTIF('Dvd Calendar'!$E$2052:$AR$2052,'Dvd Calendar'!$R$2045)=0))&gt;0)=0,"",'Dvd Calendar'!$R$2045*1000000000+ISNUMBER('Dvd Calendar'!$R$2048)*100000000+('Dvd Calendar'!$R$2050=SPECIAL_LBL)*10000000+(N('Dvd Calendar'!$R$2044)&gt;0)*(N('Dvd Calendar'!$R$2044)&lt;=VAL_SERIAL)*1000000+45*1000+14))</f>
        <v/>
      </c>
      <c r="ES204" s="121">
        <f>IF(N('Dvd Calendar'!$S$2045)=0,"",IF(('Dvd Calendar'!$S$2045&gt;=GRID_FROM)*('Dvd Calendar'!$S$2045&lt;=GRID_TO)*((('Dvd Calendar'!$S$2045&lt;=VAL_DATE)+(COUNTIF('Dvd Calendar'!$E$2052:$AR$2052,'Dvd Calendar'!$S$2045)=0))&gt;0)=0,"",'Dvd Calendar'!$S$2045*1000000000+ISNUMBER('Dvd Calendar'!$S$2048)*100000000+('Dvd Calendar'!$S$2050=SPECIAL_LBL)*10000000+(N('Dvd Calendar'!$S$2044)&gt;0)*(N('Dvd Calendar'!$S$2044)&lt;=VAL_SERIAL)*1000000+45*1000+15))</f>
        <v/>
      </c>
      <c r="ET204" s="121">
        <f>IF(N('Dvd Calendar'!$T$2045)=0,"",IF(('Dvd Calendar'!$T$2045&gt;=GRID_FROM)*('Dvd Calendar'!$T$2045&lt;=GRID_TO)*((('Dvd Calendar'!$T$2045&lt;=VAL_DATE)+(COUNTIF('Dvd Calendar'!$E$2052:$AR$2052,'Dvd Calendar'!$T$2045)=0))&gt;0)=0,"",'Dvd Calendar'!$T$2045*1000000000+ISNUMBER('Dvd Calendar'!$T$2048)*100000000+('Dvd Calendar'!$T$2050=SPECIAL_LBL)*10000000+(N('Dvd Calendar'!$T$2044)&gt;0)*(N('Dvd Calendar'!$T$2044)&lt;=VAL_SERIAL)*1000000+45*1000+16))</f>
        <v/>
      </c>
      <c r="EU204" s="121">
        <f>IF(N('Dvd Calendar'!$U$2045)=0,"",IF(('Dvd Calendar'!$U$2045&gt;=GRID_FROM)*('Dvd Calendar'!$U$2045&lt;=GRID_TO)*((('Dvd Calendar'!$U$2045&lt;=VAL_DATE)+(COUNTIF('Dvd Calendar'!$E$2052:$AR$2052,'Dvd Calendar'!$U$2045)=0))&gt;0)=0,"",'Dvd Calendar'!$U$2045*1000000000+ISNUMBER('Dvd Calendar'!$U$2048)*100000000+('Dvd Calendar'!$U$2050=SPECIAL_LBL)*10000000+(N('Dvd Calendar'!$U$2044)&gt;0)*(N('Dvd Calendar'!$U$2044)&lt;=VAL_SERIAL)*1000000+45*1000+17))</f>
        <v/>
      </c>
      <c r="EV204" s="121">
        <f>IF(N('Dvd Calendar'!$V$2045)=0,"",IF(('Dvd Calendar'!$V$2045&gt;=GRID_FROM)*('Dvd Calendar'!$V$2045&lt;=GRID_TO)*((('Dvd Calendar'!$V$2045&lt;=VAL_DATE)+(COUNTIF('Dvd Calendar'!$E$2052:$AR$2052,'Dvd Calendar'!$V$2045)=0))&gt;0)=0,"",'Dvd Calendar'!$V$2045*1000000000+ISNUMBER('Dvd Calendar'!$V$2048)*100000000+('Dvd Calendar'!$V$2050=SPECIAL_LBL)*10000000+(N('Dvd Calendar'!$V$2044)&gt;0)*(N('Dvd Calendar'!$V$2044)&lt;=VAL_SERIAL)*1000000+45*1000+18))</f>
        <v/>
      </c>
      <c r="EW204" s="121">
        <f>IF(N('Dvd Calendar'!$W$2045)=0,"",IF(('Dvd Calendar'!$W$2045&gt;=GRID_FROM)*('Dvd Calendar'!$W$2045&lt;=GRID_TO)*((('Dvd Calendar'!$W$2045&lt;=VAL_DATE)+(COUNTIF('Dvd Calendar'!$E$2052:$AR$2052,'Dvd Calendar'!$W$2045)=0))&gt;0)=0,"",'Dvd Calendar'!$W$2045*1000000000+ISNUMBER('Dvd Calendar'!$W$2048)*100000000+('Dvd Calendar'!$W$2050=SPECIAL_LBL)*10000000+(N('Dvd Calendar'!$W$2044)&gt;0)*(N('Dvd Calendar'!$W$2044)&lt;=VAL_SERIAL)*1000000+45*1000+19))</f>
        <v/>
      </c>
      <c r="EX204" s="121">
        <f>IF(N('Dvd Calendar'!$X$2045)=0,"",IF(('Dvd Calendar'!$X$2045&gt;=GRID_FROM)*('Dvd Calendar'!$X$2045&lt;=GRID_TO)*((('Dvd Calendar'!$X$2045&lt;=VAL_DATE)+(COUNTIF('Dvd Calendar'!$E$2052:$AR$2052,'Dvd Calendar'!$X$2045)=0))&gt;0)=0,"",'Dvd Calendar'!$X$2045*1000000000+ISNUMBER('Dvd Calendar'!$X$2048)*100000000+('Dvd Calendar'!$X$2050=SPECIAL_LBL)*10000000+(N('Dvd Calendar'!$X$2044)&gt;0)*(N('Dvd Calendar'!$X$2044)&lt;=VAL_SERIAL)*1000000+45*1000+20))</f>
        <v/>
      </c>
      <c r="EY204" s="121">
        <f>IF(N('Dvd Calendar'!$Y$2045)=0,"",IF(('Dvd Calendar'!$Y$2045&gt;=GRID_FROM)*('Dvd Calendar'!$Y$2045&lt;=GRID_TO)*((('Dvd Calendar'!$Y$2045&lt;=VAL_DATE)+(COUNTIF('Dvd Calendar'!$E$2052:$AR$2052,'Dvd Calendar'!$Y$2045)=0))&gt;0)=0,"",'Dvd Calendar'!$Y$2045*1000000000+ISNUMBER('Dvd Calendar'!$Y$2048)*100000000+('Dvd Calendar'!$Y$2050=SPECIAL_LBL)*10000000+(N('Dvd Calendar'!$Y$2044)&gt;0)*(N('Dvd Calendar'!$Y$2044)&lt;=VAL_SERIAL)*1000000+45*1000+21))</f>
        <v/>
      </c>
      <c r="EZ204" s="121">
        <f>IF(N('Dvd Calendar'!$Z$2045)=0,"",IF(('Dvd Calendar'!$Z$2045&gt;=GRID_FROM)*('Dvd Calendar'!$Z$2045&lt;=GRID_TO)*((('Dvd Calendar'!$Z$2045&lt;=VAL_DATE)+(COUNTIF('Dvd Calendar'!$E$2052:$AR$2052,'Dvd Calendar'!$Z$2045)=0))&gt;0)=0,"",'Dvd Calendar'!$Z$2045*1000000000+ISNUMBER('Dvd Calendar'!$Z$2048)*100000000+('Dvd Calendar'!$Z$2050=SPECIAL_LBL)*10000000+(N('Dvd Calendar'!$Z$2044)&gt;0)*(N('Dvd Calendar'!$Z$2044)&lt;=VAL_SERIAL)*1000000+45*1000+22))</f>
        <v/>
      </c>
      <c r="FA204" s="121">
        <f>IF(N('Dvd Calendar'!$AA$2045)=0,"",IF(('Dvd Calendar'!$AA$2045&gt;=GRID_FROM)*('Dvd Calendar'!$AA$2045&lt;=GRID_TO)*((('Dvd Calendar'!$AA$2045&lt;=VAL_DATE)+(COUNTIF('Dvd Calendar'!$E$2052:$AR$2052,'Dvd Calendar'!$AA$2045)=0))&gt;0)=0,"",'Dvd Calendar'!$AA$2045*1000000000+ISNUMBER('Dvd Calendar'!$AA$2048)*100000000+('Dvd Calendar'!$AA$2050=SPECIAL_LBL)*10000000+(N('Dvd Calendar'!$AA$2044)&gt;0)*(N('Dvd Calendar'!$AA$2044)&lt;=VAL_SERIAL)*1000000+45*1000+23))</f>
        <v/>
      </c>
      <c r="FB204" s="121">
        <f>IF(N('Dvd Calendar'!$AB$2045)=0,"",IF(('Dvd Calendar'!$AB$2045&gt;=GRID_FROM)*('Dvd Calendar'!$AB$2045&lt;=GRID_TO)*((('Dvd Calendar'!$AB$2045&lt;=VAL_DATE)+(COUNTIF('Dvd Calendar'!$E$2052:$AR$2052,'Dvd Calendar'!$AB$2045)=0))&gt;0)=0,"",'Dvd Calendar'!$AB$2045*1000000000+ISNUMBER('Dvd Calendar'!$AB$2048)*100000000+('Dvd Calendar'!$AB$2050=SPECIAL_LBL)*10000000+(N('Dvd Calendar'!$AB$2044)&gt;0)*(N('Dvd Calendar'!$AB$2044)&lt;=VAL_SERIAL)*1000000+45*1000+24))</f>
        <v/>
      </c>
      <c r="FC204" s="121">
        <f>IF(N('Dvd Calendar'!$AC$2045)=0,"",IF(('Dvd Calendar'!$AC$2045&gt;=GRID_FROM)*('Dvd Calendar'!$AC$2045&lt;=GRID_TO)*((('Dvd Calendar'!$AC$2045&lt;=VAL_DATE)+(COUNTIF('Dvd Calendar'!$E$2052:$AR$2052,'Dvd Calendar'!$AC$2045)=0))&gt;0)=0,"",'Dvd Calendar'!$AC$2045*1000000000+ISNUMBER('Dvd Calendar'!$AC$2048)*100000000+('Dvd Calendar'!$AC$2050=SPECIAL_LBL)*10000000+(N('Dvd Calendar'!$AC$2044)&gt;0)*(N('Dvd Calendar'!$AC$2044)&lt;=VAL_SERIAL)*1000000+45*1000+25))</f>
        <v/>
      </c>
      <c r="FD204" s="121">
        <f>IF(N('Dvd Calendar'!$AD$2045)=0,"",IF(('Dvd Calendar'!$AD$2045&gt;=GRID_FROM)*('Dvd Calendar'!$AD$2045&lt;=GRID_TO)*((('Dvd Calendar'!$AD$2045&lt;=VAL_DATE)+(COUNTIF('Dvd Calendar'!$E$2052:$AR$2052,'Dvd Calendar'!$AD$2045)=0))&gt;0)=0,"",'Dvd Calendar'!$AD$2045*1000000000+ISNUMBER('Dvd Calendar'!$AD$2048)*100000000+('Dvd Calendar'!$AD$2050=SPECIAL_LBL)*10000000+(N('Dvd Calendar'!$AD$2044)&gt;0)*(N('Dvd Calendar'!$AD$2044)&lt;=VAL_SERIAL)*1000000+45*1000+26))</f>
        <v/>
      </c>
      <c r="FE204" s="121">
        <f>IF(N('Dvd Calendar'!$AE$2045)=0,"",IF(('Dvd Calendar'!$AE$2045&gt;=GRID_FROM)*('Dvd Calendar'!$AE$2045&lt;=GRID_TO)*((('Dvd Calendar'!$AE$2045&lt;=VAL_DATE)+(COUNTIF('Dvd Calendar'!$E$2052:$AR$2052,'Dvd Calendar'!$AE$2045)=0))&gt;0)=0,"",'Dvd Calendar'!$AE$2045*1000000000+ISNUMBER('Dvd Calendar'!$AE$2048)*100000000+('Dvd Calendar'!$AE$2050=SPECIAL_LBL)*10000000+(N('Dvd Calendar'!$AE$2044)&gt;0)*(N('Dvd Calendar'!$AE$2044)&lt;=VAL_SERIAL)*1000000+45*1000+27))</f>
        <v/>
      </c>
      <c r="FF204" s="121">
        <f>IF(N('Dvd Calendar'!$AF$2045)=0,"",IF(('Dvd Calendar'!$AF$2045&gt;=GRID_FROM)*('Dvd Calendar'!$AF$2045&lt;=GRID_TO)*((('Dvd Calendar'!$AF$2045&lt;=VAL_DATE)+(COUNTIF('Dvd Calendar'!$E$2052:$AR$2052,'Dvd Calendar'!$AF$2045)=0))&gt;0)=0,"",'Dvd Calendar'!$AF$2045*1000000000+ISNUMBER('Dvd Calendar'!$AF$2048)*100000000+('Dvd Calendar'!$AF$2050=SPECIAL_LBL)*10000000+(N('Dvd Calendar'!$AF$2044)&gt;0)*(N('Dvd Calendar'!$AF$2044)&lt;=VAL_SERIAL)*1000000+45*1000+28))</f>
        <v/>
      </c>
      <c r="FG204" s="121">
        <f>IF(N('Dvd Calendar'!$AG$2045)=0,"",IF(('Dvd Calendar'!$AG$2045&gt;=GRID_FROM)*('Dvd Calendar'!$AG$2045&lt;=GRID_TO)*((('Dvd Calendar'!$AG$2045&lt;=VAL_DATE)+(COUNTIF('Dvd Calendar'!$E$2052:$AR$2052,'Dvd Calendar'!$AG$2045)=0))&gt;0)=0,"",'Dvd Calendar'!$AG$2045*1000000000+ISNUMBER('Dvd Calendar'!$AG$2048)*100000000+('Dvd Calendar'!$AG$2050=SPECIAL_LBL)*10000000+(N('Dvd Calendar'!$AG$2044)&gt;0)*(N('Dvd Calendar'!$AG$2044)&lt;=VAL_SERIAL)*1000000+45*1000+29))</f>
        <v/>
      </c>
      <c r="FH204" s="121">
        <f>IF(N('Dvd Calendar'!$AH$2045)=0,"",IF(('Dvd Calendar'!$AH$2045&gt;=GRID_FROM)*('Dvd Calendar'!$AH$2045&lt;=GRID_TO)*((('Dvd Calendar'!$AH$2045&lt;=VAL_DATE)+(COUNTIF('Dvd Calendar'!$E$2052:$AR$2052,'Dvd Calendar'!$AH$2045)=0))&gt;0)=0,"",'Dvd Calendar'!$AH$2045*1000000000+ISNUMBER('Dvd Calendar'!$AH$2048)*100000000+('Dvd Calendar'!$AH$2050=SPECIAL_LBL)*10000000+(N('Dvd Calendar'!$AH$2044)&gt;0)*(N('Dvd Calendar'!$AH$2044)&lt;=VAL_SERIAL)*1000000+45*1000+30))</f>
        <v/>
      </c>
      <c r="FI204" s="121">
        <f>IF(N('Dvd Calendar'!$AI$2045)=0,"",IF(('Dvd Calendar'!$AI$2045&gt;=GRID_FROM)*('Dvd Calendar'!$AI$2045&lt;=GRID_TO)*((('Dvd Calendar'!$AI$2045&lt;=VAL_DATE)+(COUNTIF('Dvd Calendar'!$E$2052:$AR$2052,'Dvd Calendar'!$AI$2045)=0))&gt;0)=0,"",'Dvd Calendar'!$AI$2045*1000000000+ISNUMBER('Dvd Calendar'!$AI$2048)*100000000+('Dvd Calendar'!$AI$2050=SPECIAL_LBL)*10000000+(N('Dvd Calendar'!$AI$2044)&gt;0)*(N('Dvd Calendar'!$AI$2044)&lt;=VAL_SERIAL)*1000000+45*1000+31))</f>
        <v/>
      </c>
      <c r="FJ204" s="121">
        <f>IF(N('Dvd Calendar'!$AJ$2045)=0,"",IF(('Dvd Calendar'!$AJ$2045&gt;=GRID_FROM)*('Dvd Calendar'!$AJ$2045&lt;=GRID_TO)*((('Dvd Calendar'!$AJ$2045&lt;=VAL_DATE)+(COUNTIF('Dvd Calendar'!$E$2052:$AR$2052,'Dvd Calendar'!$AJ$2045)=0))&gt;0)=0,"",'Dvd Calendar'!$AJ$2045*1000000000+ISNUMBER('Dvd Calendar'!$AJ$2048)*100000000+('Dvd Calendar'!$AJ$2050=SPECIAL_LBL)*10000000+(N('Dvd Calendar'!$AJ$2044)&gt;0)*(N('Dvd Calendar'!$AJ$2044)&lt;=VAL_SERIAL)*1000000+45*1000+32))</f>
        <v/>
      </c>
      <c r="FK204" s="121">
        <f>IF(N('Dvd Calendar'!$AK$2045)=0,"",IF(('Dvd Calendar'!$AK$2045&gt;=GRID_FROM)*('Dvd Calendar'!$AK$2045&lt;=GRID_TO)*((('Dvd Calendar'!$AK$2045&lt;=VAL_DATE)+(COUNTIF('Dvd Calendar'!$E$2052:$AR$2052,'Dvd Calendar'!$AK$2045)=0))&gt;0)=0,"",'Dvd Calendar'!$AK$2045*1000000000+ISNUMBER('Dvd Calendar'!$AK$2048)*100000000+('Dvd Calendar'!$AK$2050=SPECIAL_LBL)*10000000+(N('Dvd Calendar'!$AK$2044)&gt;0)*(N('Dvd Calendar'!$AK$2044)&lt;=VAL_SERIAL)*1000000+45*1000+33))</f>
        <v/>
      </c>
      <c r="FL204" s="121">
        <f>IF(N('Dvd Calendar'!$AL$2045)=0,"",IF(('Dvd Calendar'!$AL$2045&gt;=GRID_FROM)*('Dvd Calendar'!$AL$2045&lt;=GRID_TO)*((('Dvd Calendar'!$AL$2045&lt;=VAL_DATE)+(COUNTIF('Dvd Calendar'!$E$2052:$AR$2052,'Dvd Calendar'!$AL$2045)=0))&gt;0)=0,"",'Dvd Calendar'!$AL$2045*1000000000+ISNUMBER('Dvd Calendar'!$AL$2048)*100000000+('Dvd Calendar'!$AL$2050=SPECIAL_LBL)*10000000+(N('Dvd Calendar'!$AL$2044)&gt;0)*(N('Dvd Calendar'!$AL$2044)&lt;=VAL_SERIAL)*1000000+45*1000+34))</f>
        <v/>
      </c>
      <c r="FM204" s="121">
        <f>IF(N('Dvd Calendar'!$AM$2045)=0,"",IF(('Dvd Calendar'!$AM$2045&gt;=GRID_FROM)*('Dvd Calendar'!$AM$2045&lt;=GRID_TO)*((('Dvd Calendar'!$AM$2045&lt;=VAL_DATE)+(COUNTIF('Dvd Calendar'!$E$2052:$AR$2052,'Dvd Calendar'!$AM$2045)=0))&gt;0)=0,"",'Dvd Calendar'!$AM$2045*1000000000+ISNUMBER('Dvd Calendar'!$AM$2048)*100000000+('Dvd Calendar'!$AM$2050=SPECIAL_LBL)*10000000+(N('Dvd Calendar'!$AM$2044)&gt;0)*(N('Dvd Calendar'!$AM$2044)&lt;=VAL_SERIAL)*1000000+45*1000+35))</f>
        <v/>
      </c>
      <c r="FN204" s="121">
        <f>IF(N('Dvd Calendar'!$AN$2045)=0,"",IF(('Dvd Calendar'!$AN$2045&gt;=GRID_FROM)*('Dvd Calendar'!$AN$2045&lt;=GRID_TO)*((('Dvd Calendar'!$AN$2045&lt;=VAL_DATE)+(COUNTIF('Dvd Calendar'!$E$2052:$AR$2052,'Dvd Calendar'!$AN$2045)=0))&gt;0)=0,"",'Dvd Calendar'!$AN$2045*1000000000+ISNUMBER('Dvd Calendar'!$AN$2048)*100000000+('Dvd Calendar'!$AN$2050=SPECIAL_LBL)*10000000+(N('Dvd Calendar'!$AN$2044)&gt;0)*(N('Dvd Calendar'!$AN$2044)&lt;=VAL_SERIAL)*1000000+45*1000+36))</f>
        <v/>
      </c>
      <c r="FO204" s="121">
        <f>IF(N('Dvd Calendar'!$AO$2045)=0,"",IF(('Dvd Calendar'!$AO$2045&gt;=GRID_FROM)*('Dvd Calendar'!$AO$2045&lt;=GRID_TO)*((('Dvd Calendar'!$AO$2045&lt;=VAL_DATE)+(COUNTIF('Dvd Calendar'!$E$2052:$AR$2052,'Dvd Calendar'!$AO$2045)=0))&gt;0)=0,"",'Dvd Calendar'!$AO$2045*1000000000+ISNUMBER('Dvd Calendar'!$AO$2048)*100000000+('Dvd Calendar'!$AO$2050=SPECIAL_LBL)*10000000+(N('Dvd Calendar'!$AO$2044)&gt;0)*(N('Dvd Calendar'!$AO$2044)&lt;=VAL_SERIAL)*1000000+45*1000+37))</f>
        <v/>
      </c>
      <c r="FP204" s="121">
        <f>IF(N('Dvd Calendar'!$AP$2045)=0,"",IF(('Dvd Calendar'!$AP$2045&gt;=GRID_FROM)*('Dvd Calendar'!$AP$2045&lt;=GRID_TO)*((('Dvd Calendar'!$AP$2045&lt;=VAL_DATE)+(COUNTIF('Dvd Calendar'!$E$2052:$AR$2052,'Dvd Calendar'!$AP$2045)=0))&gt;0)=0,"",'Dvd Calendar'!$AP$2045*1000000000+ISNUMBER('Dvd Calendar'!$AP$2048)*100000000+('Dvd Calendar'!$AP$2050=SPECIAL_LBL)*10000000+(N('Dvd Calendar'!$AP$2044)&gt;0)*(N('Dvd Calendar'!$AP$2044)&lt;=VAL_SERIAL)*1000000+45*1000+38))</f>
        <v/>
      </c>
      <c r="FQ204" s="121">
        <f>IF(N('Dvd Calendar'!$AQ$2045)=0,"",IF(('Dvd Calendar'!$AQ$2045&gt;=GRID_FROM)*('Dvd Calendar'!$AQ$2045&lt;=GRID_TO)*((('Dvd Calendar'!$AQ$2045&lt;=VAL_DATE)+(COUNTIF('Dvd Calendar'!$E$2052:$AR$2052,'Dvd Calendar'!$AQ$2045)=0))&gt;0)=0,"",'Dvd Calendar'!$AQ$2045*1000000000+ISNUMBER('Dvd Calendar'!$AQ$2048)*100000000+('Dvd Calendar'!$AQ$2050=SPECIAL_LBL)*10000000+(N('Dvd Calendar'!$AQ$2044)&gt;0)*(N('Dvd Calendar'!$AQ$2044)&lt;=VAL_SERIAL)*1000000+45*1000+39))</f>
        <v/>
      </c>
      <c r="FR204" s="121">
        <f>IF(N('Dvd Calendar'!$AR$2045)=0,"",IF(('Dvd Calendar'!$AR$2045&gt;=GRID_FROM)*('Dvd Calendar'!$AR$2045&lt;=GRID_TO)*((('Dvd Calendar'!$AR$2045&lt;=VAL_DATE)+(COUNTIF('Dvd Calendar'!$E$2052:$AR$2052,'Dvd Calendar'!$AR$2045)=0))&gt;0)=0,"",'Dvd Calendar'!$AR$2045*1000000000+ISNUMBER('Dvd Calendar'!$AR$2048)*100000000+('Dvd Calendar'!$AR$2050=SPECIAL_LBL)*10000000+(N('Dvd Calendar'!$AR$2044)&gt;0)*(N('Dvd Calendar'!$AR$2044)&lt;=VAL_SERIAL)*1000000+45*1000+40))</f>
        <v/>
      </c>
      <c r="FS204" s="121">
        <f>IF(N('Dvd Calendar'!$E$2052)=0,"",IF(('Dvd Calendar'!$E$2052&gt;=GRID_FROM)*('Dvd Calendar'!$E$2052&lt;=GRID_TO)*('Dvd Calendar'!$E$2052&gt;VAL_DATE)=0,"",'Dvd Calendar'!$E$2052*1000000000+ISNUMBER('Dvd Calendar'!$E$2053)*100000000+0*10000000+(N('Dvd Calendar'!$E$2051)&gt;0)*(N('Dvd Calendar'!$E$2051)&lt;=VAL_SERIAL)*1000000+45*1000+41))</f>
        <v/>
      </c>
      <c r="FT204" s="121">
        <f>IF(N('Dvd Calendar'!$F$2052)=0,"",IF(('Dvd Calendar'!$F$2052&gt;=GRID_FROM)*('Dvd Calendar'!$F$2052&lt;=GRID_TO)*('Dvd Calendar'!$F$2052&gt;VAL_DATE)=0,"",'Dvd Calendar'!$F$2052*1000000000+ISNUMBER('Dvd Calendar'!$F$2053)*100000000+0*10000000+(N('Dvd Calendar'!$F$2051)&gt;0)*(N('Dvd Calendar'!$F$2051)&lt;=VAL_SERIAL)*1000000+45*1000+42))</f>
        <v/>
      </c>
      <c r="FU204" s="121">
        <f>IF(N('Dvd Calendar'!$G$2052)=0,"",IF(('Dvd Calendar'!$G$2052&gt;=GRID_FROM)*('Dvd Calendar'!$G$2052&lt;=GRID_TO)*('Dvd Calendar'!$G$2052&gt;VAL_DATE)=0,"",'Dvd Calendar'!$G$2052*1000000000+ISNUMBER('Dvd Calendar'!$G$2053)*100000000+0*10000000+(N('Dvd Calendar'!$G$2051)&gt;0)*(N('Dvd Calendar'!$G$2051)&lt;=VAL_SERIAL)*1000000+45*1000+43))</f>
        <v/>
      </c>
      <c r="FV204" s="121">
        <f>IF(N('Dvd Calendar'!$H$2052)=0,"",IF(('Dvd Calendar'!$H$2052&gt;=GRID_FROM)*('Dvd Calendar'!$H$2052&lt;=GRID_TO)*('Dvd Calendar'!$H$2052&gt;VAL_DATE)=0,"",'Dvd Calendar'!$H$2052*1000000000+ISNUMBER('Dvd Calendar'!$H$2053)*100000000+0*10000000+(N('Dvd Calendar'!$H$2051)&gt;0)*(N('Dvd Calendar'!$H$2051)&lt;=VAL_SERIAL)*1000000+45*1000+44))</f>
        <v/>
      </c>
      <c r="FW204" s="121">
        <f>IF(N('Dvd Calendar'!$I$2052)=0,"",IF(('Dvd Calendar'!$I$2052&gt;=GRID_FROM)*('Dvd Calendar'!$I$2052&lt;=GRID_TO)*('Dvd Calendar'!$I$2052&gt;VAL_DATE)=0,"",'Dvd Calendar'!$I$2052*1000000000+ISNUMBER('Dvd Calendar'!$I$2053)*100000000+0*10000000+(N('Dvd Calendar'!$I$2051)&gt;0)*(N('Dvd Calendar'!$I$2051)&lt;=VAL_SERIAL)*1000000+45*1000+45))</f>
        <v/>
      </c>
      <c r="FX204" s="121">
        <f>IF(N('Dvd Calendar'!$J$2052)=0,"",IF(('Dvd Calendar'!$J$2052&gt;=GRID_FROM)*('Dvd Calendar'!$J$2052&lt;=GRID_TO)*('Dvd Calendar'!$J$2052&gt;VAL_DATE)=0,"",'Dvd Calendar'!$J$2052*1000000000+ISNUMBER('Dvd Calendar'!$J$2053)*100000000+0*10000000+(N('Dvd Calendar'!$J$2051)&gt;0)*(N('Dvd Calendar'!$J$2051)&lt;=VAL_SERIAL)*1000000+45*1000+46))</f>
        <v/>
      </c>
      <c r="FY204" s="121">
        <f>IF(N('Dvd Calendar'!$K$2052)=0,"",IF(('Dvd Calendar'!$K$2052&gt;=GRID_FROM)*('Dvd Calendar'!$K$2052&lt;=GRID_TO)*('Dvd Calendar'!$K$2052&gt;VAL_DATE)=0,"",'Dvd Calendar'!$K$2052*1000000000+ISNUMBER('Dvd Calendar'!$K$2053)*100000000+0*10000000+(N('Dvd Calendar'!$K$2051)&gt;0)*(N('Dvd Calendar'!$K$2051)&lt;=VAL_SERIAL)*1000000+45*1000+47))</f>
        <v/>
      </c>
      <c r="FZ204" s="121">
        <f>IF(N('Dvd Calendar'!$L$2052)=0,"",IF(('Dvd Calendar'!$L$2052&gt;=GRID_FROM)*('Dvd Calendar'!$L$2052&lt;=GRID_TO)*('Dvd Calendar'!$L$2052&gt;VAL_DATE)=0,"",'Dvd Calendar'!$L$2052*1000000000+ISNUMBER('Dvd Calendar'!$L$2053)*100000000+0*10000000+(N('Dvd Calendar'!$L$2051)&gt;0)*(N('Dvd Calendar'!$L$2051)&lt;=VAL_SERIAL)*1000000+45*1000+48))</f>
        <v/>
      </c>
      <c r="GA204" s="121">
        <f>IF(N('Dvd Calendar'!$M$2052)=0,"",IF(('Dvd Calendar'!$M$2052&gt;=GRID_FROM)*('Dvd Calendar'!$M$2052&lt;=GRID_TO)*('Dvd Calendar'!$M$2052&gt;VAL_DATE)=0,"",'Dvd Calendar'!$M$2052*1000000000+ISNUMBER('Dvd Calendar'!$M$2053)*100000000+0*10000000+(N('Dvd Calendar'!$M$2051)&gt;0)*(N('Dvd Calendar'!$M$2051)&lt;=VAL_SERIAL)*1000000+45*1000+49))</f>
        <v/>
      </c>
      <c r="GB204" s="121">
        <f>IF(N('Dvd Calendar'!$N$2052)=0,"",IF(('Dvd Calendar'!$N$2052&gt;=GRID_FROM)*('Dvd Calendar'!$N$2052&lt;=GRID_TO)*('Dvd Calendar'!$N$2052&gt;VAL_DATE)=0,"",'Dvd Calendar'!$N$2052*1000000000+ISNUMBER('Dvd Calendar'!$N$2053)*100000000+0*10000000+(N('Dvd Calendar'!$N$2051)&gt;0)*(N('Dvd Calendar'!$N$2051)&lt;=VAL_SERIAL)*1000000+45*1000+50))</f>
        <v/>
      </c>
      <c r="GC204" s="121">
        <f>IF(N('Dvd Calendar'!$O$2052)=0,"",IF(('Dvd Calendar'!$O$2052&gt;=GRID_FROM)*('Dvd Calendar'!$O$2052&lt;=GRID_TO)*('Dvd Calendar'!$O$2052&gt;VAL_DATE)=0,"",'Dvd Calendar'!$O$2052*1000000000+ISNUMBER('Dvd Calendar'!$O$2053)*100000000+0*10000000+(N('Dvd Calendar'!$O$2051)&gt;0)*(N('Dvd Calendar'!$O$2051)&lt;=VAL_SERIAL)*1000000+45*1000+51))</f>
        <v/>
      </c>
      <c r="GD204" s="121">
        <f>IF(N('Dvd Calendar'!$P$2052)=0,"",IF(('Dvd Calendar'!$P$2052&gt;=GRID_FROM)*('Dvd Calendar'!$P$2052&lt;=GRID_TO)*('Dvd Calendar'!$P$2052&gt;VAL_DATE)=0,"",'Dvd Calendar'!$P$2052*1000000000+ISNUMBER('Dvd Calendar'!$P$2053)*100000000+0*10000000+(N('Dvd Calendar'!$P$2051)&gt;0)*(N('Dvd Calendar'!$P$2051)&lt;=VAL_SERIAL)*1000000+45*1000+52))</f>
        <v/>
      </c>
      <c r="GE204" s="121">
        <f>IF(N('Dvd Calendar'!$Q$2052)=0,"",IF(('Dvd Calendar'!$Q$2052&gt;=GRID_FROM)*('Dvd Calendar'!$Q$2052&lt;=GRID_TO)*('Dvd Calendar'!$Q$2052&gt;VAL_DATE)=0,"",'Dvd Calendar'!$Q$2052*1000000000+ISNUMBER('Dvd Calendar'!$Q$2053)*100000000+0*10000000+(N('Dvd Calendar'!$Q$2051)&gt;0)*(N('Dvd Calendar'!$Q$2051)&lt;=VAL_SERIAL)*1000000+45*1000+53))</f>
        <v/>
      </c>
      <c r="GF204" s="121">
        <f>IF(N('Dvd Calendar'!$R$2052)=0,"",IF(('Dvd Calendar'!$R$2052&gt;=GRID_FROM)*('Dvd Calendar'!$R$2052&lt;=GRID_TO)*('Dvd Calendar'!$R$2052&gt;VAL_DATE)=0,"",'Dvd Calendar'!$R$2052*1000000000+ISNUMBER('Dvd Calendar'!$R$2053)*100000000+0*10000000+(N('Dvd Calendar'!$R$2051)&gt;0)*(N('Dvd Calendar'!$R$2051)&lt;=VAL_SERIAL)*1000000+45*1000+54))</f>
        <v/>
      </c>
      <c r="GG204" s="121">
        <f>IF(N('Dvd Calendar'!$S$2052)=0,"",IF(('Dvd Calendar'!$S$2052&gt;=GRID_FROM)*('Dvd Calendar'!$S$2052&lt;=GRID_TO)*('Dvd Calendar'!$S$2052&gt;VAL_DATE)=0,"",'Dvd Calendar'!$S$2052*1000000000+ISNUMBER('Dvd Calendar'!$S$2053)*100000000+0*10000000+(N('Dvd Calendar'!$S$2051)&gt;0)*(N('Dvd Calendar'!$S$2051)&lt;=VAL_SERIAL)*1000000+45*1000+55))</f>
        <v/>
      </c>
      <c r="GH204" s="121">
        <f>IF(N('Dvd Calendar'!$T$2052)=0,"",IF(('Dvd Calendar'!$T$2052&gt;=GRID_FROM)*('Dvd Calendar'!$T$2052&lt;=GRID_TO)*('Dvd Calendar'!$T$2052&gt;VAL_DATE)=0,"",'Dvd Calendar'!$T$2052*1000000000+ISNUMBER('Dvd Calendar'!$T$2053)*100000000+0*10000000+(N('Dvd Calendar'!$T$2051)&gt;0)*(N('Dvd Calendar'!$T$2051)&lt;=VAL_SERIAL)*1000000+45*1000+56))</f>
        <v/>
      </c>
      <c r="GI204" s="121">
        <f>IF(N('Dvd Calendar'!$U$2052)=0,"",IF(('Dvd Calendar'!$U$2052&gt;=GRID_FROM)*('Dvd Calendar'!$U$2052&lt;=GRID_TO)*('Dvd Calendar'!$U$2052&gt;VAL_DATE)=0,"",'Dvd Calendar'!$U$2052*1000000000+ISNUMBER('Dvd Calendar'!$U$2053)*100000000+0*10000000+(N('Dvd Calendar'!$U$2051)&gt;0)*(N('Dvd Calendar'!$U$2051)&lt;=VAL_SERIAL)*1000000+45*1000+57))</f>
        <v/>
      </c>
      <c r="GJ204" s="121">
        <f>IF(N('Dvd Calendar'!$V$2052)=0,"",IF(('Dvd Calendar'!$V$2052&gt;=GRID_FROM)*('Dvd Calendar'!$V$2052&lt;=GRID_TO)*('Dvd Calendar'!$V$2052&gt;VAL_DATE)=0,"",'Dvd Calendar'!$V$2052*1000000000+ISNUMBER('Dvd Calendar'!$V$2053)*100000000+0*10000000+(N('Dvd Calendar'!$V$2051)&gt;0)*(N('Dvd Calendar'!$V$2051)&lt;=VAL_SERIAL)*1000000+45*1000+58))</f>
        <v/>
      </c>
      <c r="GK204" s="121">
        <f>IF(N('Dvd Calendar'!$W$2052)=0,"",IF(('Dvd Calendar'!$W$2052&gt;=GRID_FROM)*('Dvd Calendar'!$W$2052&lt;=GRID_TO)*('Dvd Calendar'!$W$2052&gt;VAL_DATE)=0,"",'Dvd Calendar'!$W$2052*1000000000+ISNUMBER('Dvd Calendar'!$W$2053)*100000000+0*10000000+(N('Dvd Calendar'!$W$2051)&gt;0)*(N('Dvd Calendar'!$W$2051)&lt;=VAL_SERIAL)*1000000+45*1000+59))</f>
        <v/>
      </c>
      <c r="GL204" s="121">
        <f>IF(N('Dvd Calendar'!$X$2052)=0,"",IF(('Dvd Calendar'!$X$2052&gt;=GRID_FROM)*('Dvd Calendar'!$X$2052&lt;=GRID_TO)*('Dvd Calendar'!$X$2052&gt;VAL_DATE)=0,"",'Dvd Calendar'!$X$2052*1000000000+ISNUMBER('Dvd Calendar'!$X$2053)*100000000+0*10000000+(N('Dvd Calendar'!$X$2051)&gt;0)*(N('Dvd Calendar'!$X$2051)&lt;=VAL_SERIAL)*1000000+45*1000+60))</f>
        <v/>
      </c>
      <c r="GM204" s="121">
        <f>IF(N('Dvd Calendar'!$Y$2052)=0,"",IF(('Dvd Calendar'!$Y$2052&gt;=GRID_FROM)*('Dvd Calendar'!$Y$2052&lt;=GRID_TO)*('Dvd Calendar'!$Y$2052&gt;VAL_DATE)=0,"",'Dvd Calendar'!$Y$2052*1000000000+ISNUMBER('Dvd Calendar'!$Y$2053)*100000000+0*10000000+(N('Dvd Calendar'!$Y$2051)&gt;0)*(N('Dvd Calendar'!$Y$2051)&lt;=VAL_SERIAL)*1000000+45*1000+61))</f>
        <v/>
      </c>
      <c r="GN204" s="121">
        <f>IF(N('Dvd Calendar'!$Z$2052)=0,"",IF(('Dvd Calendar'!$Z$2052&gt;=GRID_FROM)*('Dvd Calendar'!$Z$2052&lt;=GRID_TO)*('Dvd Calendar'!$Z$2052&gt;VAL_DATE)=0,"",'Dvd Calendar'!$Z$2052*1000000000+ISNUMBER('Dvd Calendar'!$Z$2053)*100000000+0*10000000+(N('Dvd Calendar'!$Z$2051)&gt;0)*(N('Dvd Calendar'!$Z$2051)&lt;=VAL_SERIAL)*1000000+45*1000+62))</f>
        <v/>
      </c>
      <c r="GO204" s="121">
        <f>IF(N('Dvd Calendar'!$AA$2052)=0,"",IF(('Dvd Calendar'!$AA$2052&gt;=GRID_FROM)*('Dvd Calendar'!$AA$2052&lt;=GRID_TO)*('Dvd Calendar'!$AA$2052&gt;VAL_DATE)=0,"",'Dvd Calendar'!$AA$2052*1000000000+ISNUMBER('Dvd Calendar'!$AA$2053)*100000000+0*10000000+(N('Dvd Calendar'!$AA$2051)&gt;0)*(N('Dvd Calendar'!$AA$2051)&lt;=VAL_SERIAL)*1000000+45*1000+63))</f>
        <v/>
      </c>
      <c r="GP204" s="121">
        <f>IF(N('Dvd Calendar'!$AB$2052)=0,"",IF(('Dvd Calendar'!$AB$2052&gt;=GRID_FROM)*('Dvd Calendar'!$AB$2052&lt;=GRID_TO)*('Dvd Calendar'!$AB$2052&gt;VAL_DATE)=0,"",'Dvd Calendar'!$AB$2052*1000000000+ISNUMBER('Dvd Calendar'!$AB$2053)*100000000+0*10000000+(N('Dvd Calendar'!$AB$2051)&gt;0)*(N('Dvd Calendar'!$AB$2051)&lt;=VAL_SERIAL)*1000000+45*1000+64))</f>
        <v/>
      </c>
      <c r="GQ204" s="121">
        <f>IF(N('Dvd Calendar'!$AC$2052)=0,"",IF(('Dvd Calendar'!$AC$2052&gt;=GRID_FROM)*('Dvd Calendar'!$AC$2052&lt;=GRID_TO)*('Dvd Calendar'!$AC$2052&gt;VAL_DATE)=0,"",'Dvd Calendar'!$AC$2052*1000000000+ISNUMBER('Dvd Calendar'!$AC$2053)*100000000+0*10000000+(N('Dvd Calendar'!$AC$2051)&gt;0)*(N('Dvd Calendar'!$AC$2051)&lt;=VAL_SERIAL)*1000000+45*1000+65))</f>
        <v/>
      </c>
    </row>
    <row r="205">
      <c r="B205" s="2">
        <f>IF(HSCEI!$C$52="","",HSCEI!$C$52)</f>
        <v/>
      </c>
      <c r="C205" s="161">
        <f>IF(EE205="","",IF(ISNUMBER('Dvd Calendar'!$E$2059)=FALSE,"",IF((('Dvd Calendar'!$E$2061=TYPE1)*(TYPE1&lt;&gt;"")+('Dvd Calendar'!$E$2061=TYPE2)*(TYPE2&lt;&gt;"")+('Dvd Calendar'!$E$2061=TYPE3)*(TYPE3&lt;&gt;"")+('Dvd Calendar'!$E$2061=TYPE4)*(TYPE4&lt;&gt;"")+('Dvd Calendar'!$E$2061=SPECIAL_LBL)*(INC_SPECIALS="Y"))=0,"",'Dvd Calendar'!$E$2059)))</f>
        <v/>
      </c>
      <c r="D205" s="161">
        <f>IF(EF205="","",IF(ISNUMBER('Dvd Calendar'!$F$2059)=FALSE,"",IF((('Dvd Calendar'!$F$2061=TYPE1)*(TYPE1&lt;&gt;"")+('Dvd Calendar'!$F$2061=TYPE2)*(TYPE2&lt;&gt;"")+('Dvd Calendar'!$F$2061=TYPE3)*(TYPE3&lt;&gt;"")+('Dvd Calendar'!$F$2061=TYPE4)*(TYPE4&lt;&gt;"")+('Dvd Calendar'!$F$2061=SPECIAL_LBL)*(INC_SPECIALS="Y"))=0,"",'Dvd Calendar'!$F$2059)))</f>
        <v/>
      </c>
      <c r="E205" s="161">
        <f>IF(EG205="","",IF(ISNUMBER('Dvd Calendar'!$G$2059)=FALSE,"",IF((('Dvd Calendar'!$G$2061=TYPE1)*(TYPE1&lt;&gt;"")+('Dvd Calendar'!$G$2061=TYPE2)*(TYPE2&lt;&gt;"")+('Dvd Calendar'!$G$2061=TYPE3)*(TYPE3&lt;&gt;"")+('Dvd Calendar'!$G$2061=TYPE4)*(TYPE4&lt;&gt;"")+('Dvd Calendar'!$G$2061=SPECIAL_LBL)*(INC_SPECIALS="Y"))=0,"",'Dvd Calendar'!$G$2059)))</f>
        <v/>
      </c>
      <c r="F205" s="161">
        <f>IF(EH205="","",IF(ISNUMBER('Dvd Calendar'!$H$2059)=FALSE,"",IF((('Dvd Calendar'!$H$2061=TYPE1)*(TYPE1&lt;&gt;"")+('Dvd Calendar'!$H$2061=TYPE2)*(TYPE2&lt;&gt;"")+('Dvd Calendar'!$H$2061=TYPE3)*(TYPE3&lt;&gt;"")+('Dvd Calendar'!$H$2061=TYPE4)*(TYPE4&lt;&gt;"")+('Dvd Calendar'!$H$2061=SPECIAL_LBL)*(INC_SPECIALS="Y"))=0,"",'Dvd Calendar'!$H$2059)))</f>
        <v/>
      </c>
      <c r="G205" s="161">
        <f>IF(EI205="","",IF(ISNUMBER('Dvd Calendar'!$I$2059)=FALSE,"",IF((('Dvd Calendar'!$I$2061=TYPE1)*(TYPE1&lt;&gt;"")+('Dvd Calendar'!$I$2061=TYPE2)*(TYPE2&lt;&gt;"")+('Dvd Calendar'!$I$2061=TYPE3)*(TYPE3&lt;&gt;"")+('Dvd Calendar'!$I$2061=TYPE4)*(TYPE4&lt;&gt;"")+('Dvd Calendar'!$I$2061=SPECIAL_LBL)*(INC_SPECIALS="Y"))=0,"",'Dvd Calendar'!$I$2059)))</f>
        <v/>
      </c>
      <c r="H205" s="161">
        <f>IF(EJ205="","",IF(ISNUMBER('Dvd Calendar'!$J$2059)=FALSE,"",IF((('Dvd Calendar'!$J$2061=TYPE1)*(TYPE1&lt;&gt;"")+('Dvd Calendar'!$J$2061=TYPE2)*(TYPE2&lt;&gt;"")+('Dvd Calendar'!$J$2061=TYPE3)*(TYPE3&lt;&gt;"")+('Dvd Calendar'!$J$2061=TYPE4)*(TYPE4&lt;&gt;"")+('Dvd Calendar'!$J$2061=SPECIAL_LBL)*(INC_SPECIALS="Y"))=0,"",'Dvd Calendar'!$J$2059)))</f>
        <v/>
      </c>
      <c r="I205" s="161">
        <f>IF(EK205="","",IF(ISNUMBER('Dvd Calendar'!$K$2059)=FALSE,"",IF((('Dvd Calendar'!$K$2061=TYPE1)*(TYPE1&lt;&gt;"")+('Dvd Calendar'!$K$2061=TYPE2)*(TYPE2&lt;&gt;"")+('Dvd Calendar'!$K$2061=TYPE3)*(TYPE3&lt;&gt;"")+('Dvd Calendar'!$K$2061=TYPE4)*(TYPE4&lt;&gt;"")+('Dvd Calendar'!$K$2061=SPECIAL_LBL)*(INC_SPECIALS="Y"))=0,"",'Dvd Calendar'!$K$2059)))</f>
        <v/>
      </c>
      <c r="J205" s="161">
        <f>IF(EL205="","",IF(ISNUMBER('Dvd Calendar'!$L$2059)=FALSE,"",IF((('Dvd Calendar'!$L$2061=TYPE1)*(TYPE1&lt;&gt;"")+('Dvd Calendar'!$L$2061=TYPE2)*(TYPE2&lt;&gt;"")+('Dvd Calendar'!$L$2061=TYPE3)*(TYPE3&lt;&gt;"")+('Dvd Calendar'!$L$2061=TYPE4)*(TYPE4&lt;&gt;"")+('Dvd Calendar'!$L$2061=SPECIAL_LBL)*(INC_SPECIALS="Y"))=0,"",'Dvd Calendar'!$L$2059)))</f>
        <v/>
      </c>
      <c r="K205" s="161">
        <f>IF(EM205="","",IF(ISNUMBER('Dvd Calendar'!$M$2059)=FALSE,"",IF((('Dvd Calendar'!$M$2061=TYPE1)*(TYPE1&lt;&gt;"")+('Dvd Calendar'!$M$2061=TYPE2)*(TYPE2&lt;&gt;"")+('Dvd Calendar'!$M$2061=TYPE3)*(TYPE3&lt;&gt;"")+('Dvd Calendar'!$M$2061=TYPE4)*(TYPE4&lt;&gt;"")+('Dvd Calendar'!$M$2061=SPECIAL_LBL)*(INC_SPECIALS="Y"))=0,"",'Dvd Calendar'!$M$2059)))</f>
        <v/>
      </c>
      <c r="L205" s="161">
        <f>IF(EN205="","",IF(ISNUMBER('Dvd Calendar'!$N$2059)=FALSE,"",IF((('Dvd Calendar'!$N$2061=TYPE1)*(TYPE1&lt;&gt;"")+('Dvd Calendar'!$N$2061=TYPE2)*(TYPE2&lt;&gt;"")+('Dvd Calendar'!$N$2061=TYPE3)*(TYPE3&lt;&gt;"")+('Dvd Calendar'!$N$2061=TYPE4)*(TYPE4&lt;&gt;"")+('Dvd Calendar'!$N$2061=SPECIAL_LBL)*(INC_SPECIALS="Y"))=0,"",'Dvd Calendar'!$N$2059)))</f>
        <v/>
      </c>
      <c r="M205" s="161">
        <f>IF(EO205="","",IF(ISNUMBER('Dvd Calendar'!$O$2059)=FALSE,"",IF((('Dvd Calendar'!$O$2061=TYPE1)*(TYPE1&lt;&gt;"")+('Dvd Calendar'!$O$2061=TYPE2)*(TYPE2&lt;&gt;"")+('Dvd Calendar'!$O$2061=TYPE3)*(TYPE3&lt;&gt;"")+('Dvd Calendar'!$O$2061=TYPE4)*(TYPE4&lt;&gt;"")+('Dvd Calendar'!$O$2061=SPECIAL_LBL)*(INC_SPECIALS="Y"))=0,"",'Dvd Calendar'!$O$2059)))</f>
        <v/>
      </c>
      <c r="N205" s="161">
        <f>IF(EP205="","",IF(ISNUMBER('Dvd Calendar'!$P$2059)=FALSE,"",IF((('Dvd Calendar'!$P$2061=TYPE1)*(TYPE1&lt;&gt;"")+('Dvd Calendar'!$P$2061=TYPE2)*(TYPE2&lt;&gt;"")+('Dvd Calendar'!$P$2061=TYPE3)*(TYPE3&lt;&gt;"")+('Dvd Calendar'!$P$2061=TYPE4)*(TYPE4&lt;&gt;"")+('Dvd Calendar'!$P$2061=SPECIAL_LBL)*(INC_SPECIALS="Y"))=0,"",'Dvd Calendar'!$P$2059)))</f>
        <v/>
      </c>
      <c r="O205" s="161">
        <f>IF(EQ205="","",IF(ISNUMBER('Dvd Calendar'!$Q$2059)=FALSE,"",IF((('Dvd Calendar'!$Q$2061=TYPE1)*(TYPE1&lt;&gt;"")+('Dvd Calendar'!$Q$2061=TYPE2)*(TYPE2&lt;&gt;"")+('Dvd Calendar'!$Q$2061=TYPE3)*(TYPE3&lt;&gt;"")+('Dvd Calendar'!$Q$2061=TYPE4)*(TYPE4&lt;&gt;"")+('Dvd Calendar'!$Q$2061=SPECIAL_LBL)*(INC_SPECIALS="Y"))=0,"",'Dvd Calendar'!$Q$2059)))</f>
        <v/>
      </c>
      <c r="P205" s="161">
        <f>IF(ER205="","",IF(ISNUMBER('Dvd Calendar'!$R$2059)=FALSE,"",IF((('Dvd Calendar'!$R$2061=TYPE1)*(TYPE1&lt;&gt;"")+('Dvd Calendar'!$R$2061=TYPE2)*(TYPE2&lt;&gt;"")+('Dvd Calendar'!$R$2061=TYPE3)*(TYPE3&lt;&gt;"")+('Dvd Calendar'!$R$2061=TYPE4)*(TYPE4&lt;&gt;"")+('Dvd Calendar'!$R$2061=SPECIAL_LBL)*(INC_SPECIALS="Y"))=0,"",'Dvd Calendar'!$R$2059)))</f>
        <v/>
      </c>
      <c r="Q205" s="161">
        <f>IF(ES205="","",IF(ISNUMBER('Dvd Calendar'!$S$2059)=FALSE,"",IF((('Dvd Calendar'!$S$2061=TYPE1)*(TYPE1&lt;&gt;"")+('Dvd Calendar'!$S$2061=TYPE2)*(TYPE2&lt;&gt;"")+('Dvd Calendar'!$S$2061=TYPE3)*(TYPE3&lt;&gt;"")+('Dvd Calendar'!$S$2061=TYPE4)*(TYPE4&lt;&gt;"")+('Dvd Calendar'!$S$2061=SPECIAL_LBL)*(INC_SPECIALS="Y"))=0,"",'Dvd Calendar'!$S$2059)))</f>
        <v/>
      </c>
      <c r="R205" s="161">
        <f>IF(ET205="","",IF(ISNUMBER('Dvd Calendar'!$T$2059)=FALSE,"",IF((('Dvd Calendar'!$T$2061=TYPE1)*(TYPE1&lt;&gt;"")+('Dvd Calendar'!$T$2061=TYPE2)*(TYPE2&lt;&gt;"")+('Dvd Calendar'!$T$2061=TYPE3)*(TYPE3&lt;&gt;"")+('Dvd Calendar'!$T$2061=TYPE4)*(TYPE4&lt;&gt;"")+('Dvd Calendar'!$T$2061=SPECIAL_LBL)*(INC_SPECIALS="Y"))=0,"",'Dvd Calendar'!$T$2059)))</f>
        <v/>
      </c>
      <c r="S205" s="161">
        <f>IF(EU205="","",IF(ISNUMBER('Dvd Calendar'!$U$2059)=FALSE,"",IF((('Dvd Calendar'!$U$2061=TYPE1)*(TYPE1&lt;&gt;"")+('Dvd Calendar'!$U$2061=TYPE2)*(TYPE2&lt;&gt;"")+('Dvd Calendar'!$U$2061=TYPE3)*(TYPE3&lt;&gt;"")+('Dvd Calendar'!$U$2061=TYPE4)*(TYPE4&lt;&gt;"")+('Dvd Calendar'!$U$2061=SPECIAL_LBL)*(INC_SPECIALS="Y"))=0,"",'Dvd Calendar'!$U$2059)))</f>
        <v/>
      </c>
      <c r="T205" s="161">
        <f>IF(EV205="","",IF(ISNUMBER('Dvd Calendar'!$V$2059)=FALSE,"",IF((('Dvd Calendar'!$V$2061=TYPE1)*(TYPE1&lt;&gt;"")+('Dvd Calendar'!$V$2061=TYPE2)*(TYPE2&lt;&gt;"")+('Dvd Calendar'!$V$2061=TYPE3)*(TYPE3&lt;&gt;"")+('Dvd Calendar'!$V$2061=TYPE4)*(TYPE4&lt;&gt;"")+('Dvd Calendar'!$V$2061=SPECIAL_LBL)*(INC_SPECIALS="Y"))=0,"",'Dvd Calendar'!$V$2059)))</f>
        <v/>
      </c>
      <c r="U205" s="161">
        <f>IF(EW205="","",IF(ISNUMBER('Dvd Calendar'!$W$2059)=FALSE,"",IF((('Dvd Calendar'!$W$2061=TYPE1)*(TYPE1&lt;&gt;"")+('Dvd Calendar'!$W$2061=TYPE2)*(TYPE2&lt;&gt;"")+('Dvd Calendar'!$W$2061=TYPE3)*(TYPE3&lt;&gt;"")+('Dvd Calendar'!$W$2061=TYPE4)*(TYPE4&lt;&gt;"")+('Dvd Calendar'!$W$2061=SPECIAL_LBL)*(INC_SPECIALS="Y"))=0,"",'Dvd Calendar'!$W$2059)))</f>
        <v/>
      </c>
      <c r="V205" s="161">
        <f>IF(EX205="","",IF(ISNUMBER('Dvd Calendar'!$X$2059)=FALSE,"",IF((('Dvd Calendar'!$X$2061=TYPE1)*(TYPE1&lt;&gt;"")+('Dvd Calendar'!$X$2061=TYPE2)*(TYPE2&lt;&gt;"")+('Dvd Calendar'!$X$2061=TYPE3)*(TYPE3&lt;&gt;"")+('Dvd Calendar'!$X$2061=TYPE4)*(TYPE4&lt;&gt;"")+('Dvd Calendar'!$X$2061=SPECIAL_LBL)*(INC_SPECIALS="Y"))=0,"",'Dvd Calendar'!$X$2059)))</f>
        <v/>
      </c>
      <c r="W205" s="161">
        <f>IF(EY205="","",IF(ISNUMBER('Dvd Calendar'!$Y$2059)=FALSE,"",IF((('Dvd Calendar'!$Y$2061=TYPE1)*(TYPE1&lt;&gt;"")+('Dvd Calendar'!$Y$2061=TYPE2)*(TYPE2&lt;&gt;"")+('Dvd Calendar'!$Y$2061=TYPE3)*(TYPE3&lt;&gt;"")+('Dvd Calendar'!$Y$2061=TYPE4)*(TYPE4&lt;&gt;"")+('Dvd Calendar'!$Y$2061=SPECIAL_LBL)*(INC_SPECIALS="Y"))=0,"",'Dvd Calendar'!$Y$2059)))</f>
        <v/>
      </c>
      <c r="X205" s="161">
        <f>IF(EZ205="","",IF(ISNUMBER('Dvd Calendar'!$Z$2059)=FALSE,"",IF((('Dvd Calendar'!$Z$2061=TYPE1)*(TYPE1&lt;&gt;"")+('Dvd Calendar'!$Z$2061=TYPE2)*(TYPE2&lt;&gt;"")+('Dvd Calendar'!$Z$2061=TYPE3)*(TYPE3&lt;&gt;"")+('Dvd Calendar'!$Z$2061=TYPE4)*(TYPE4&lt;&gt;"")+('Dvd Calendar'!$Z$2061=SPECIAL_LBL)*(INC_SPECIALS="Y"))=0,"",'Dvd Calendar'!$Z$2059)))</f>
        <v/>
      </c>
      <c r="Y205" s="161">
        <f>IF(FA205="","",IF(ISNUMBER('Dvd Calendar'!$AA$2059)=FALSE,"",IF((('Dvd Calendar'!$AA$2061=TYPE1)*(TYPE1&lt;&gt;"")+('Dvd Calendar'!$AA$2061=TYPE2)*(TYPE2&lt;&gt;"")+('Dvd Calendar'!$AA$2061=TYPE3)*(TYPE3&lt;&gt;"")+('Dvd Calendar'!$AA$2061=TYPE4)*(TYPE4&lt;&gt;"")+('Dvd Calendar'!$AA$2061=SPECIAL_LBL)*(INC_SPECIALS="Y"))=0,"",'Dvd Calendar'!$AA$2059)))</f>
        <v/>
      </c>
      <c r="Z205" s="161">
        <f>IF(FB205="","",IF(ISNUMBER('Dvd Calendar'!$AB$2059)=FALSE,"",IF((('Dvd Calendar'!$AB$2061=TYPE1)*(TYPE1&lt;&gt;"")+('Dvd Calendar'!$AB$2061=TYPE2)*(TYPE2&lt;&gt;"")+('Dvd Calendar'!$AB$2061=TYPE3)*(TYPE3&lt;&gt;"")+('Dvd Calendar'!$AB$2061=TYPE4)*(TYPE4&lt;&gt;"")+('Dvd Calendar'!$AB$2061=SPECIAL_LBL)*(INC_SPECIALS="Y"))=0,"",'Dvd Calendar'!$AB$2059)))</f>
        <v/>
      </c>
      <c r="AA205" s="161">
        <f>IF(FC205="","",IF(ISNUMBER('Dvd Calendar'!$AC$2059)=FALSE,"",IF((('Dvd Calendar'!$AC$2061=TYPE1)*(TYPE1&lt;&gt;"")+('Dvd Calendar'!$AC$2061=TYPE2)*(TYPE2&lt;&gt;"")+('Dvd Calendar'!$AC$2061=TYPE3)*(TYPE3&lt;&gt;"")+('Dvd Calendar'!$AC$2061=TYPE4)*(TYPE4&lt;&gt;"")+('Dvd Calendar'!$AC$2061=SPECIAL_LBL)*(INC_SPECIALS="Y"))=0,"",'Dvd Calendar'!$AC$2059)))</f>
        <v/>
      </c>
      <c r="AB205" s="161">
        <f>IF(FD205="","",IF(ISNUMBER('Dvd Calendar'!$AD$2059)=FALSE,"",IF((('Dvd Calendar'!$AD$2061=TYPE1)*(TYPE1&lt;&gt;"")+('Dvd Calendar'!$AD$2061=TYPE2)*(TYPE2&lt;&gt;"")+('Dvd Calendar'!$AD$2061=TYPE3)*(TYPE3&lt;&gt;"")+('Dvd Calendar'!$AD$2061=TYPE4)*(TYPE4&lt;&gt;"")+('Dvd Calendar'!$AD$2061=SPECIAL_LBL)*(INC_SPECIALS="Y"))=0,"",'Dvd Calendar'!$AD$2059)))</f>
        <v/>
      </c>
      <c r="AC205" s="161">
        <f>IF(FE205="","",IF(ISNUMBER('Dvd Calendar'!$AE$2059)=FALSE,"",IF((('Dvd Calendar'!$AE$2061=TYPE1)*(TYPE1&lt;&gt;"")+('Dvd Calendar'!$AE$2061=TYPE2)*(TYPE2&lt;&gt;"")+('Dvd Calendar'!$AE$2061=TYPE3)*(TYPE3&lt;&gt;"")+('Dvd Calendar'!$AE$2061=TYPE4)*(TYPE4&lt;&gt;"")+('Dvd Calendar'!$AE$2061=SPECIAL_LBL)*(INC_SPECIALS="Y"))=0,"",'Dvd Calendar'!$AE$2059)))</f>
        <v/>
      </c>
      <c r="AD205" s="161">
        <f>IF(FF205="","",IF(ISNUMBER('Dvd Calendar'!$AF$2059)=FALSE,"",IF((('Dvd Calendar'!$AF$2061=TYPE1)*(TYPE1&lt;&gt;"")+('Dvd Calendar'!$AF$2061=TYPE2)*(TYPE2&lt;&gt;"")+('Dvd Calendar'!$AF$2061=TYPE3)*(TYPE3&lt;&gt;"")+('Dvd Calendar'!$AF$2061=TYPE4)*(TYPE4&lt;&gt;"")+('Dvd Calendar'!$AF$2061=SPECIAL_LBL)*(INC_SPECIALS="Y"))=0,"",'Dvd Calendar'!$AF$2059)))</f>
        <v/>
      </c>
      <c r="AE205" s="161">
        <f>IF(FG205="","",IF(ISNUMBER('Dvd Calendar'!$AG$2059)=FALSE,"",IF((('Dvd Calendar'!$AG$2061=TYPE1)*(TYPE1&lt;&gt;"")+('Dvd Calendar'!$AG$2061=TYPE2)*(TYPE2&lt;&gt;"")+('Dvd Calendar'!$AG$2061=TYPE3)*(TYPE3&lt;&gt;"")+('Dvd Calendar'!$AG$2061=TYPE4)*(TYPE4&lt;&gt;"")+('Dvd Calendar'!$AG$2061=SPECIAL_LBL)*(INC_SPECIALS="Y"))=0,"",'Dvd Calendar'!$AG$2059)))</f>
        <v/>
      </c>
      <c r="AF205" s="161">
        <f>IF(FH205="","",IF(ISNUMBER('Dvd Calendar'!$AH$2059)=FALSE,"",IF((('Dvd Calendar'!$AH$2061=TYPE1)*(TYPE1&lt;&gt;"")+('Dvd Calendar'!$AH$2061=TYPE2)*(TYPE2&lt;&gt;"")+('Dvd Calendar'!$AH$2061=TYPE3)*(TYPE3&lt;&gt;"")+('Dvd Calendar'!$AH$2061=TYPE4)*(TYPE4&lt;&gt;"")+('Dvd Calendar'!$AH$2061=SPECIAL_LBL)*(INC_SPECIALS="Y"))=0,"",'Dvd Calendar'!$AH$2059)))</f>
        <v/>
      </c>
      <c r="AG205" s="161">
        <f>IF(FI205="","",IF(ISNUMBER('Dvd Calendar'!$AI$2059)=FALSE,"",IF((('Dvd Calendar'!$AI$2061=TYPE1)*(TYPE1&lt;&gt;"")+('Dvd Calendar'!$AI$2061=TYPE2)*(TYPE2&lt;&gt;"")+('Dvd Calendar'!$AI$2061=TYPE3)*(TYPE3&lt;&gt;"")+('Dvd Calendar'!$AI$2061=TYPE4)*(TYPE4&lt;&gt;"")+('Dvd Calendar'!$AI$2061=SPECIAL_LBL)*(INC_SPECIALS="Y"))=0,"",'Dvd Calendar'!$AI$2059)))</f>
        <v/>
      </c>
      <c r="AH205" s="161">
        <f>IF(FJ205="","",IF(ISNUMBER('Dvd Calendar'!$AJ$2059)=FALSE,"",IF((('Dvd Calendar'!$AJ$2061=TYPE1)*(TYPE1&lt;&gt;"")+('Dvd Calendar'!$AJ$2061=TYPE2)*(TYPE2&lt;&gt;"")+('Dvd Calendar'!$AJ$2061=TYPE3)*(TYPE3&lt;&gt;"")+('Dvd Calendar'!$AJ$2061=TYPE4)*(TYPE4&lt;&gt;"")+('Dvd Calendar'!$AJ$2061=SPECIAL_LBL)*(INC_SPECIALS="Y"))=0,"",'Dvd Calendar'!$AJ$2059)))</f>
        <v/>
      </c>
      <c r="AI205" s="161">
        <f>IF(FK205="","",IF(ISNUMBER('Dvd Calendar'!$AK$2059)=FALSE,"",IF((('Dvd Calendar'!$AK$2061=TYPE1)*(TYPE1&lt;&gt;"")+('Dvd Calendar'!$AK$2061=TYPE2)*(TYPE2&lt;&gt;"")+('Dvd Calendar'!$AK$2061=TYPE3)*(TYPE3&lt;&gt;"")+('Dvd Calendar'!$AK$2061=TYPE4)*(TYPE4&lt;&gt;"")+('Dvd Calendar'!$AK$2061=SPECIAL_LBL)*(INC_SPECIALS="Y"))=0,"",'Dvd Calendar'!$AK$2059)))</f>
        <v/>
      </c>
      <c r="AJ205" s="161">
        <f>IF(FL205="","",IF(ISNUMBER('Dvd Calendar'!$AL$2059)=FALSE,"",IF((('Dvd Calendar'!$AL$2061=TYPE1)*(TYPE1&lt;&gt;"")+('Dvd Calendar'!$AL$2061=TYPE2)*(TYPE2&lt;&gt;"")+('Dvd Calendar'!$AL$2061=TYPE3)*(TYPE3&lt;&gt;"")+('Dvd Calendar'!$AL$2061=TYPE4)*(TYPE4&lt;&gt;"")+('Dvd Calendar'!$AL$2061=SPECIAL_LBL)*(INC_SPECIALS="Y"))=0,"",'Dvd Calendar'!$AL$2059)))</f>
        <v/>
      </c>
      <c r="AK205" s="161">
        <f>IF(FM205="","",IF(ISNUMBER('Dvd Calendar'!$AM$2059)=FALSE,"",IF((('Dvd Calendar'!$AM$2061=TYPE1)*(TYPE1&lt;&gt;"")+('Dvd Calendar'!$AM$2061=TYPE2)*(TYPE2&lt;&gt;"")+('Dvd Calendar'!$AM$2061=TYPE3)*(TYPE3&lt;&gt;"")+('Dvd Calendar'!$AM$2061=TYPE4)*(TYPE4&lt;&gt;"")+('Dvd Calendar'!$AM$2061=SPECIAL_LBL)*(INC_SPECIALS="Y"))=0,"",'Dvd Calendar'!$AM$2059)))</f>
        <v/>
      </c>
      <c r="AL205" s="161">
        <f>IF(FN205="","",IF(ISNUMBER('Dvd Calendar'!$AN$2059)=FALSE,"",IF((('Dvd Calendar'!$AN$2061=TYPE1)*(TYPE1&lt;&gt;"")+('Dvd Calendar'!$AN$2061=TYPE2)*(TYPE2&lt;&gt;"")+('Dvd Calendar'!$AN$2061=TYPE3)*(TYPE3&lt;&gt;"")+('Dvd Calendar'!$AN$2061=TYPE4)*(TYPE4&lt;&gt;"")+('Dvd Calendar'!$AN$2061=SPECIAL_LBL)*(INC_SPECIALS="Y"))=0,"",'Dvd Calendar'!$AN$2059)))</f>
        <v/>
      </c>
      <c r="AM205" s="161">
        <f>IF(FO205="","",IF(ISNUMBER('Dvd Calendar'!$AO$2059)=FALSE,"",IF((('Dvd Calendar'!$AO$2061=TYPE1)*(TYPE1&lt;&gt;"")+('Dvd Calendar'!$AO$2061=TYPE2)*(TYPE2&lt;&gt;"")+('Dvd Calendar'!$AO$2061=TYPE3)*(TYPE3&lt;&gt;"")+('Dvd Calendar'!$AO$2061=TYPE4)*(TYPE4&lt;&gt;"")+('Dvd Calendar'!$AO$2061=SPECIAL_LBL)*(INC_SPECIALS="Y"))=0,"",'Dvd Calendar'!$AO$2059)))</f>
        <v/>
      </c>
      <c r="AN205" s="161">
        <f>IF(FP205="","",IF(ISNUMBER('Dvd Calendar'!$AP$2059)=FALSE,"",IF((('Dvd Calendar'!$AP$2061=TYPE1)*(TYPE1&lt;&gt;"")+('Dvd Calendar'!$AP$2061=TYPE2)*(TYPE2&lt;&gt;"")+('Dvd Calendar'!$AP$2061=TYPE3)*(TYPE3&lt;&gt;"")+('Dvd Calendar'!$AP$2061=TYPE4)*(TYPE4&lt;&gt;"")+('Dvd Calendar'!$AP$2061=SPECIAL_LBL)*(INC_SPECIALS="Y"))=0,"",'Dvd Calendar'!$AP$2059)))</f>
        <v/>
      </c>
      <c r="AO205" s="161">
        <f>IF(FQ205="","",IF(ISNUMBER('Dvd Calendar'!$AQ$2059)=FALSE,"",IF((('Dvd Calendar'!$AQ$2061=TYPE1)*(TYPE1&lt;&gt;"")+('Dvd Calendar'!$AQ$2061=TYPE2)*(TYPE2&lt;&gt;"")+('Dvd Calendar'!$AQ$2061=TYPE3)*(TYPE3&lt;&gt;"")+('Dvd Calendar'!$AQ$2061=TYPE4)*(TYPE4&lt;&gt;"")+('Dvd Calendar'!$AQ$2061=SPECIAL_LBL)*(INC_SPECIALS="Y"))=0,"",'Dvd Calendar'!$AQ$2059)))</f>
        <v/>
      </c>
      <c r="AP205" s="161">
        <f>IF(FR205="","",IF(ISNUMBER('Dvd Calendar'!$AR$2059)=FALSE,"",IF((('Dvd Calendar'!$AR$2061=TYPE1)*(TYPE1&lt;&gt;"")+('Dvd Calendar'!$AR$2061=TYPE2)*(TYPE2&lt;&gt;"")+('Dvd Calendar'!$AR$2061=TYPE3)*(TYPE3&lt;&gt;"")+('Dvd Calendar'!$AR$2061=TYPE4)*(TYPE4&lt;&gt;"")+('Dvd Calendar'!$AR$2061=SPECIAL_LBL)*(INC_SPECIALS="Y"))=0,"",'Dvd Calendar'!$AR$2059)))</f>
        <v/>
      </c>
      <c r="AQ205" s="161">
        <f>IF(FS205="","",IF(ISNUMBER('Dvd Calendar'!$E$2064)=FALSE,"",'Dvd Calendar'!$E$2064))</f>
        <v/>
      </c>
      <c r="AR205" s="161">
        <f>IF(FT205="","",IF(ISNUMBER('Dvd Calendar'!$F$2064)=FALSE,"",'Dvd Calendar'!$F$2064))</f>
        <v/>
      </c>
      <c r="AS205" s="161">
        <f>IF(FU205="","",IF(ISNUMBER('Dvd Calendar'!$G$2064)=FALSE,"",'Dvd Calendar'!$G$2064))</f>
        <v/>
      </c>
      <c r="AT205" s="161">
        <f>IF(FV205="","",IF(ISNUMBER('Dvd Calendar'!$H$2064)=FALSE,"",'Dvd Calendar'!$H$2064))</f>
        <v/>
      </c>
      <c r="AU205" s="161">
        <f>IF(FW205="","",IF(ISNUMBER('Dvd Calendar'!$I$2064)=FALSE,"",'Dvd Calendar'!$I$2064))</f>
        <v/>
      </c>
      <c r="AV205" s="161">
        <f>IF(FX205="","",IF(ISNUMBER('Dvd Calendar'!$J$2064)=FALSE,"",'Dvd Calendar'!$J$2064))</f>
        <v/>
      </c>
      <c r="AW205" s="161">
        <f>IF(FY205="","",IF(ISNUMBER('Dvd Calendar'!$K$2064)=FALSE,"",'Dvd Calendar'!$K$2064))</f>
        <v/>
      </c>
      <c r="AX205" s="161">
        <f>IF(FZ205="","",IF(ISNUMBER('Dvd Calendar'!$L$2064)=FALSE,"",'Dvd Calendar'!$L$2064))</f>
        <v/>
      </c>
      <c r="AY205" s="161">
        <f>IF(GA205="","",IF(ISNUMBER('Dvd Calendar'!$M$2064)=FALSE,"",'Dvd Calendar'!$M$2064))</f>
        <v/>
      </c>
      <c r="AZ205" s="161">
        <f>IF(GB205="","",IF(ISNUMBER('Dvd Calendar'!$N$2064)=FALSE,"",'Dvd Calendar'!$N$2064))</f>
        <v/>
      </c>
      <c r="BA205" s="161">
        <f>IF(GC205="","",IF(ISNUMBER('Dvd Calendar'!$O$2064)=FALSE,"",'Dvd Calendar'!$O$2064))</f>
        <v/>
      </c>
      <c r="BB205" s="161">
        <f>IF(GD205="","",IF(ISNUMBER('Dvd Calendar'!$P$2064)=FALSE,"",'Dvd Calendar'!$P$2064))</f>
        <v/>
      </c>
      <c r="BC205" s="161">
        <f>IF(GE205="","",IF(ISNUMBER('Dvd Calendar'!$Q$2064)=FALSE,"",'Dvd Calendar'!$Q$2064))</f>
        <v/>
      </c>
      <c r="BD205" s="161">
        <f>IF(GF205="","",IF(ISNUMBER('Dvd Calendar'!$R$2064)=FALSE,"",'Dvd Calendar'!$R$2064))</f>
        <v/>
      </c>
      <c r="BE205" s="161">
        <f>IF(GG205="","",IF(ISNUMBER('Dvd Calendar'!$S$2064)=FALSE,"",'Dvd Calendar'!$S$2064))</f>
        <v/>
      </c>
      <c r="BF205" s="161">
        <f>IF(GH205="","",IF(ISNUMBER('Dvd Calendar'!$T$2064)=FALSE,"",'Dvd Calendar'!$T$2064))</f>
        <v/>
      </c>
      <c r="BG205" s="161">
        <f>IF(GI205="","",IF(ISNUMBER('Dvd Calendar'!$U$2064)=FALSE,"",'Dvd Calendar'!$U$2064))</f>
        <v/>
      </c>
      <c r="BH205" s="161">
        <f>IF(GJ205="","",IF(ISNUMBER('Dvd Calendar'!$V$2064)=FALSE,"",'Dvd Calendar'!$V$2064))</f>
        <v/>
      </c>
      <c r="BI205" s="161">
        <f>IF(GK205="","",IF(ISNUMBER('Dvd Calendar'!$W$2064)=FALSE,"",'Dvd Calendar'!$W$2064))</f>
        <v/>
      </c>
      <c r="BJ205" s="161">
        <f>IF(GL205="","",IF(ISNUMBER('Dvd Calendar'!$X$2064)=FALSE,"",'Dvd Calendar'!$X$2064))</f>
        <v/>
      </c>
      <c r="BK205" s="161">
        <f>IF(GM205="","",IF(ISNUMBER('Dvd Calendar'!$Y$2064)=FALSE,"",'Dvd Calendar'!$Y$2064))</f>
        <v/>
      </c>
      <c r="BL205" s="161">
        <f>IF(GN205="","",IF(ISNUMBER('Dvd Calendar'!$Z$2064)=FALSE,"",'Dvd Calendar'!$Z$2064))</f>
        <v/>
      </c>
      <c r="BM205" s="161">
        <f>IF(GO205="","",IF(ISNUMBER('Dvd Calendar'!$AA$2064)=FALSE,"",'Dvd Calendar'!$AA$2064))</f>
        <v/>
      </c>
      <c r="BN205" s="161">
        <f>IF(GP205="","",IF(ISNUMBER('Dvd Calendar'!$AB$2064)=FALSE,"",'Dvd Calendar'!$AB$2064))</f>
        <v/>
      </c>
      <c r="BO205" s="161">
        <f>IF(GQ205="","",IF(ISNUMBER('Dvd Calendar'!$AC$2064)=FALSE,"",'Dvd Calendar'!$AC$2064))</f>
        <v/>
      </c>
      <c r="BQ205" s="161">
        <f>IF(C205="","",IFERROR(C205*HSCEI!$B$52*HSCEI!$G$52/HSCEI!$B$3,""))</f>
        <v/>
      </c>
      <c r="BR205" s="161">
        <f>IF(D205="","",IFERROR(D205*HSCEI!$B$52*HSCEI!$G$52/HSCEI!$B$3,""))</f>
        <v/>
      </c>
      <c r="BS205" s="161">
        <f>IF(E205="","",IFERROR(E205*HSCEI!$B$52*HSCEI!$G$52/HSCEI!$B$3,""))</f>
        <v/>
      </c>
      <c r="BT205" s="161">
        <f>IF(F205="","",IFERROR(F205*HSCEI!$B$52*HSCEI!$G$52/HSCEI!$B$3,""))</f>
        <v/>
      </c>
      <c r="BU205" s="161">
        <f>IF(G205="","",IFERROR(G205*HSCEI!$B$52*HSCEI!$G$52/HSCEI!$B$3,""))</f>
        <v/>
      </c>
      <c r="BV205" s="161">
        <f>IF(H205="","",IFERROR(H205*HSCEI!$B$52*HSCEI!$G$52/HSCEI!$B$3,""))</f>
        <v/>
      </c>
      <c r="BW205" s="161">
        <f>IF(I205="","",IFERROR(I205*HSCEI!$B$52*HSCEI!$G$52/HSCEI!$B$3,""))</f>
        <v/>
      </c>
      <c r="BX205" s="161">
        <f>IF(J205="","",IFERROR(J205*HSCEI!$B$52*HSCEI!$G$52/HSCEI!$B$3,""))</f>
        <v/>
      </c>
      <c r="BY205" s="161">
        <f>IF(K205="","",IFERROR(K205*HSCEI!$B$52*HSCEI!$G$52/HSCEI!$B$3,""))</f>
        <v/>
      </c>
      <c r="BZ205" s="161">
        <f>IF(L205="","",IFERROR(L205*HSCEI!$B$52*HSCEI!$G$52/HSCEI!$B$3,""))</f>
        <v/>
      </c>
      <c r="CA205" s="161">
        <f>IF(M205="","",IFERROR(M205*HSCEI!$B$52*HSCEI!$G$52/HSCEI!$B$3,""))</f>
        <v/>
      </c>
      <c r="CB205" s="161">
        <f>IF(N205="","",IFERROR(N205*HSCEI!$B$52*HSCEI!$G$52/HSCEI!$B$3,""))</f>
        <v/>
      </c>
      <c r="CC205" s="161">
        <f>IF(O205="","",IFERROR(O205*HSCEI!$B$52*HSCEI!$G$52/HSCEI!$B$3,""))</f>
        <v/>
      </c>
      <c r="CD205" s="161">
        <f>IF(P205="","",IFERROR(P205*HSCEI!$B$52*HSCEI!$G$52/HSCEI!$B$3,""))</f>
        <v/>
      </c>
      <c r="CE205" s="161">
        <f>IF(Q205="","",IFERROR(Q205*HSCEI!$B$52*HSCEI!$G$52/HSCEI!$B$3,""))</f>
        <v/>
      </c>
      <c r="CF205" s="161">
        <f>IF(R205="","",IFERROR(R205*HSCEI!$B$52*HSCEI!$G$52/HSCEI!$B$3,""))</f>
        <v/>
      </c>
      <c r="CG205" s="161">
        <f>IF(S205="","",IFERROR(S205*HSCEI!$B$52*HSCEI!$G$52/HSCEI!$B$3,""))</f>
        <v/>
      </c>
      <c r="CH205" s="161">
        <f>IF(T205="","",IFERROR(T205*HSCEI!$B$52*HSCEI!$G$52/HSCEI!$B$3,""))</f>
        <v/>
      </c>
      <c r="CI205" s="161">
        <f>IF(U205="","",IFERROR(U205*HSCEI!$B$52*HSCEI!$G$52/HSCEI!$B$3,""))</f>
        <v/>
      </c>
      <c r="CJ205" s="161">
        <f>IF(V205="","",IFERROR(V205*HSCEI!$B$52*HSCEI!$G$52/HSCEI!$B$3,""))</f>
        <v/>
      </c>
      <c r="CK205" s="161">
        <f>IF(W205="","",IFERROR(W205*HSCEI!$B$52*HSCEI!$G$52/HSCEI!$B$3,""))</f>
        <v/>
      </c>
      <c r="CL205" s="161">
        <f>IF(X205="","",IFERROR(X205*HSCEI!$B$52*HSCEI!$G$52/HSCEI!$B$3,""))</f>
        <v/>
      </c>
      <c r="CM205" s="161">
        <f>IF(Y205="","",IFERROR(Y205*HSCEI!$B$52*HSCEI!$G$52/HSCEI!$B$3,""))</f>
        <v/>
      </c>
      <c r="CN205" s="161">
        <f>IF(Z205="","",IFERROR(Z205*HSCEI!$B$52*HSCEI!$G$52/HSCEI!$B$3,""))</f>
        <v/>
      </c>
      <c r="CO205" s="161">
        <f>IF(AA205="","",IFERROR(AA205*HSCEI!$B$52*HSCEI!$G$52/HSCEI!$B$3,""))</f>
        <v/>
      </c>
      <c r="CP205" s="161">
        <f>IF(AB205="","",IFERROR(AB205*HSCEI!$B$52*HSCEI!$G$52/HSCEI!$B$3,""))</f>
        <v/>
      </c>
      <c r="CQ205" s="161">
        <f>IF(AC205="","",IFERROR(AC205*HSCEI!$B$52*HSCEI!$G$52/HSCEI!$B$3,""))</f>
        <v/>
      </c>
      <c r="CR205" s="161">
        <f>IF(AD205="","",IFERROR(AD205*HSCEI!$B$52*HSCEI!$G$52/HSCEI!$B$3,""))</f>
        <v/>
      </c>
      <c r="CS205" s="161">
        <f>IF(AE205="","",IFERROR(AE205*HSCEI!$B$52*HSCEI!$G$52/HSCEI!$B$3,""))</f>
        <v/>
      </c>
      <c r="CT205" s="161">
        <f>IF(AF205="","",IFERROR(AF205*HSCEI!$B$52*HSCEI!$G$52/HSCEI!$B$3,""))</f>
        <v/>
      </c>
      <c r="CU205" s="161">
        <f>IF(AG205="","",IFERROR(AG205*HSCEI!$B$52*HSCEI!$G$52/HSCEI!$B$3,""))</f>
        <v/>
      </c>
      <c r="CV205" s="161">
        <f>IF(AH205="","",IFERROR(AH205*HSCEI!$B$52*HSCEI!$G$52/HSCEI!$B$3,""))</f>
        <v/>
      </c>
      <c r="CW205" s="161">
        <f>IF(AI205="","",IFERROR(AI205*HSCEI!$B$52*HSCEI!$G$52/HSCEI!$B$3,""))</f>
        <v/>
      </c>
      <c r="CX205" s="161">
        <f>IF(AJ205="","",IFERROR(AJ205*HSCEI!$B$52*HSCEI!$G$52/HSCEI!$B$3,""))</f>
        <v/>
      </c>
      <c r="CY205" s="161">
        <f>IF(AK205="","",IFERROR(AK205*HSCEI!$B$52*HSCEI!$G$52/HSCEI!$B$3,""))</f>
        <v/>
      </c>
      <c r="CZ205" s="161">
        <f>IF(AL205="","",IFERROR(AL205*HSCEI!$B$52*HSCEI!$G$52/HSCEI!$B$3,""))</f>
        <v/>
      </c>
      <c r="DA205" s="161">
        <f>IF(AM205="","",IFERROR(AM205*HSCEI!$B$52*HSCEI!$G$52/HSCEI!$B$3,""))</f>
        <v/>
      </c>
      <c r="DB205" s="161">
        <f>IF(AN205="","",IFERROR(AN205*HSCEI!$B$52*HSCEI!$G$52/HSCEI!$B$3,""))</f>
        <v/>
      </c>
      <c r="DC205" s="161">
        <f>IF(AO205="","",IFERROR(AO205*HSCEI!$B$52*HSCEI!$G$52/HSCEI!$B$3,""))</f>
        <v/>
      </c>
      <c r="DD205" s="161">
        <f>IF(AP205="","",IFERROR(AP205*HSCEI!$B$52*HSCEI!$G$52/HSCEI!$B$3,""))</f>
        <v/>
      </c>
      <c r="DE205" s="161">
        <f>IF(AQ205="","",IFERROR(AQ205*HSCEI!$B$52*HSCEI!$G$52/HSCEI!$B$3,""))</f>
        <v/>
      </c>
      <c r="DF205" s="161">
        <f>IF(AR205="","",IFERROR(AR205*HSCEI!$B$52*HSCEI!$G$52/HSCEI!$B$3,""))</f>
        <v/>
      </c>
      <c r="DG205" s="161">
        <f>IF(AS205="","",IFERROR(AS205*HSCEI!$B$52*HSCEI!$G$52/HSCEI!$B$3,""))</f>
        <v/>
      </c>
      <c r="DH205" s="161">
        <f>IF(AT205="","",IFERROR(AT205*HSCEI!$B$52*HSCEI!$G$52/HSCEI!$B$3,""))</f>
        <v/>
      </c>
      <c r="DI205" s="161">
        <f>IF(AU205="","",IFERROR(AU205*HSCEI!$B$52*HSCEI!$G$52/HSCEI!$B$3,""))</f>
        <v/>
      </c>
      <c r="DJ205" s="161">
        <f>IF(AV205="","",IFERROR(AV205*HSCEI!$B$52*HSCEI!$G$52/HSCEI!$B$3,""))</f>
        <v/>
      </c>
      <c r="DK205" s="161">
        <f>IF(AW205="","",IFERROR(AW205*HSCEI!$B$52*HSCEI!$G$52/HSCEI!$B$3,""))</f>
        <v/>
      </c>
      <c r="DL205" s="161">
        <f>IF(AX205="","",IFERROR(AX205*HSCEI!$B$52*HSCEI!$G$52/HSCEI!$B$3,""))</f>
        <v/>
      </c>
      <c r="DM205" s="161">
        <f>IF(AY205="","",IFERROR(AY205*HSCEI!$B$52*HSCEI!$G$52/HSCEI!$B$3,""))</f>
        <v/>
      </c>
      <c r="DN205" s="161">
        <f>IF(AZ205="","",IFERROR(AZ205*HSCEI!$B$52*HSCEI!$G$52/HSCEI!$B$3,""))</f>
        <v/>
      </c>
      <c r="DO205" s="161">
        <f>IF(BA205="","",IFERROR(BA205*HSCEI!$B$52*HSCEI!$G$52/HSCEI!$B$3,""))</f>
        <v/>
      </c>
      <c r="DP205" s="161">
        <f>IF(BB205="","",IFERROR(BB205*HSCEI!$B$52*HSCEI!$G$52/HSCEI!$B$3,""))</f>
        <v/>
      </c>
      <c r="DQ205" s="161">
        <f>IF(BC205="","",IFERROR(BC205*HSCEI!$B$52*HSCEI!$G$52/HSCEI!$B$3,""))</f>
        <v/>
      </c>
      <c r="DR205" s="161">
        <f>IF(BD205="","",IFERROR(BD205*HSCEI!$B$52*HSCEI!$G$52/HSCEI!$B$3,""))</f>
        <v/>
      </c>
      <c r="DS205" s="161">
        <f>IF(BE205="","",IFERROR(BE205*HSCEI!$B$52*HSCEI!$G$52/HSCEI!$B$3,""))</f>
        <v/>
      </c>
      <c r="DT205" s="161">
        <f>IF(BF205="","",IFERROR(BF205*HSCEI!$B$52*HSCEI!$G$52/HSCEI!$B$3,""))</f>
        <v/>
      </c>
      <c r="DU205" s="161">
        <f>IF(BG205="","",IFERROR(BG205*HSCEI!$B$52*HSCEI!$G$52/HSCEI!$B$3,""))</f>
        <v/>
      </c>
      <c r="DV205" s="161">
        <f>IF(BH205="","",IFERROR(BH205*HSCEI!$B$52*HSCEI!$G$52/HSCEI!$B$3,""))</f>
        <v/>
      </c>
      <c r="DW205" s="161">
        <f>IF(BI205="","",IFERROR(BI205*HSCEI!$B$52*HSCEI!$G$52/HSCEI!$B$3,""))</f>
        <v/>
      </c>
      <c r="DX205" s="161">
        <f>IF(BJ205="","",IFERROR(BJ205*HSCEI!$B$52*HSCEI!$G$52/HSCEI!$B$3,""))</f>
        <v/>
      </c>
      <c r="DY205" s="161">
        <f>IF(BK205="","",IFERROR(BK205*HSCEI!$B$52*HSCEI!$G$52/HSCEI!$B$3,""))</f>
        <v/>
      </c>
      <c r="DZ205" s="161">
        <f>IF(BL205="","",IFERROR(BL205*HSCEI!$B$52*HSCEI!$G$52/HSCEI!$B$3,""))</f>
        <v/>
      </c>
      <c r="EA205" s="161">
        <f>IF(BM205="","",IFERROR(BM205*HSCEI!$B$52*HSCEI!$G$52/HSCEI!$B$3,""))</f>
        <v/>
      </c>
      <c r="EB205" s="161">
        <f>IF(BN205="","",IFERROR(BN205*HSCEI!$B$52*HSCEI!$G$52/HSCEI!$B$3,""))</f>
        <v/>
      </c>
      <c r="EC205" s="161">
        <f>IF(BO205="","",IFERROR(BO205*HSCEI!$B$52*HSCEI!$G$52/HSCEI!$B$3,""))</f>
        <v/>
      </c>
      <c r="EE205" s="121">
        <f>IF(N('Dvd Calendar'!$E$2056)=0,"",IF(('Dvd Calendar'!$E$2056&gt;=GRID_FROM)*('Dvd Calendar'!$E$2056&lt;=GRID_TO)*((('Dvd Calendar'!$E$2056&lt;=VAL_DATE)+(COUNTIF('Dvd Calendar'!$E$2063:$AR$2063,'Dvd Calendar'!$E$2056)=0))&gt;0)=0,"",'Dvd Calendar'!$E$2056*1000000000+ISNUMBER('Dvd Calendar'!$E$2059)*100000000+('Dvd Calendar'!$E$2061=SPECIAL_LBL)*10000000+(N('Dvd Calendar'!$E$2055)&gt;0)*(N('Dvd Calendar'!$E$2055)&lt;=VAL_SERIAL)*1000000+46*1000+1))</f>
        <v/>
      </c>
      <c r="EF205" s="121">
        <f>IF(N('Dvd Calendar'!$F$2056)=0,"",IF(('Dvd Calendar'!$F$2056&gt;=GRID_FROM)*('Dvd Calendar'!$F$2056&lt;=GRID_TO)*((('Dvd Calendar'!$F$2056&lt;=VAL_DATE)+(COUNTIF('Dvd Calendar'!$E$2063:$AR$2063,'Dvd Calendar'!$F$2056)=0))&gt;0)=0,"",'Dvd Calendar'!$F$2056*1000000000+ISNUMBER('Dvd Calendar'!$F$2059)*100000000+('Dvd Calendar'!$F$2061=SPECIAL_LBL)*10000000+(N('Dvd Calendar'!$F$2055)&gt;0)*(N('Dvd Calendar'!$F$2055)&lt;=VAL_SERIAL)*1000000+46*1000+2))</f>
        <v/>
      </c>
      <c r="EG205" s="121">
        <f>IF(N('Dvd Calendar'!$G$2056)=0,"",IF(('Dvd Calendar'!$G$2056&gt;=GRID_FROM)*('Dvd Calendar'!$G$2056&lt;=GRID_TO)*((('Dvd Calendar'!$G$2056&lt;=VAL_DATE)+(COUNTIF('Dvd Calendar'!$E$2063:$AR$2063,'Dvd Calendar'!$G$2056)=0))&gt;0)=0,"",'Dvd Calendar'!$G$2056*1000000000+ISNUMBER('Dvd Calendar'!$G$2059)*100000000+('Dvd Calendar'!$G$2061=SPECIAL_LBL)*10000000+(N('Dvd Calendar'!$G$2055)&gt;0)*(N('Dvd Calendar'!$G$2055)&lt;=VAL_SERIAL)*1000000+46*1000+3))</f>
        <v/>
      </c>
      <c r="EH205" s="121">
        <f>IF(N('Dvd Calendar'!$H$2056)=0,"",IF(('Dvd Calendar'!$H$2056&gt;=GRID_FROM)*('Dvd Calendar'!$H$2056&lt;=GRID_TO)*((('Dvd Calendar'!$H$2056&lt;=VAL_DATE)+(COUNTIF('Dvd Calendar'!$E$2063:$AR$2063,'Dvd Calendar'!$H$2056)=0))&gt;0)=0,"",'Dvd Calendar'!$H$2056*1000000000+ISNUMBER('Dvd Calendar'!$H$2059)*100000000+('Dvd Calendar'!$H$2061=SPECIAL_LBL)*10000000+(N('Dvd Calendar'!$H$2055)&gt;0)*(N('Dvd Calendar'!$H$2055)&lt;=VAL_SERIAL)*1000000+46*1000+4))</f>
        <v/>
      </c>
      <c r="EI205" s="121">
        <f>IF(N('Dvd Calendar'!$I$2056)=0,"",IF(('Dvd Calendar'!$I$2056&gt;=GRID_FROM)*('Dvd Calendar'!$I$2056&lt;=GRID_TO)*((('Dvd Calendar'!$I$2056&lt;=VAL_DATE)+(COUNTIF('Dvd Calendar'!$E$2063:$AR$2063,'Dvd Calendar'!$I$2056)=0))&gt;0)=0,"",'Dvd Calendar'!$I$2056*1000000000+ISNUMBER('Dvd Calendar'!$I$2059)*100000000+('Dvd Calendar'!$I$2061=SPECIAL_LBL)*10000000+(N('Dvd Calendar'!$I$2055)&gt;0)*(N('Dvd Calendar'!$I$2055)&lt;=VAL_SERIAL)*1000000+46*1000+5))</f>
        <v/>
      </c>
      <c r="EJ205" s="121">
        <f>IF(N('Dvd Calendar'!$J$2056)=0,"",IF(('Dvd Calendar'!$J$2056&gt;=GRID_FROM)*('Dvd Calendar'!$J$2056&lt;=GRID_TO)*((('Dvd Calendar'!$J$2056&lt;=VAL_DATE)+(COUNTIF('Dvd Calendar'!$E$2063:$AR$2063,'Dvd Calendar'!$J$2056)=0))&gt;0)=0,"",'Dvd Calendar'!$J$2056*1000000000+ISNUMBER('Dvd Calendar'!$J$2059)*100000000+('Dvd Calendar'!$J$2061=SPECIAL_LBL)*10000000+(N('Dvd Calendar'!$J$2055)&gt;0)*(N('Dvd Calendar'!$J$2055)&lt;=VAL_SERIAL)*1000000+46*1000+6))</f>
        <v/>
      </c>
      <c r="EK205" s="121">
        <f>IF(N('Dvd Calendar'!$K$2056)=0,"",IF(('Dvd Calendar'!$K$2056&gt;=GRID_FROM)*('Dvd Calendar'!$K$2056&lt;=GRID_TO)*((('Dvd Calendar'!$K$2056&lt;=VAL_DATE)+(COUNTIF('Dvd Calendar'!$E$2063:$AR$2063,'Dvd Calendar'!$K$2056)=0))&gt;0)=0,"",'Dvd Calendar'!$K$2056*1000000000+ISNUMBER('Dvd Calendar'!$K$2059)*100000000+('Dvd Calendar'!$K$2061=SPECIAL_LBL)*10000000+(N('Dvd Calendar'!$K$2055)&gt;0)*(N('Dvd Calendar'!$K$2055)&lt;=VAL_SERIAL)*1000000+46*1000+7))</f>
        <v/>
      </c>
      <c r="EL205" s="121">
        <f>IF(N('Dvd Calendar'!$L$2056)=0,"",IF(('Dvd Calendar'!$L$2056&gt;=GRID_FROM)*('Dvd Calendar'!$L$2056&lt;=GRID_TO)*((('Dvd Calendar'!$L$2056&lt;=VAL_DATE)+(COUNTIF('Dvd Calendar'!$E$2063:$AR$2063,'Dvd Calendar'!$L$2056)=0))&gt;0)=0,"",'Dvd Calendar'!$L$2056*1000000000+ISNUMBER('Dvd Calendar'!$L$2059)*100000000+('Dvd Calendar'!$L$2061=SPECIAL_LBL)*10000000+(N('Dvd Calendar'!$L$2055)&gt;0)*(N('Dvd Calendar'!$L$2055)&lt;=VAL_SERIAL)*1000000+46*1000+8))</f>
        <v/>
      </c>
      <c r="EM205" s="121">
        <f>IF(N('Dvd Calendar'!$M$2056)=0,"",IF(('Dvd Calendar'!$M$2056&gt;=GRID_FROM)*('Dvd Calendar'!$M$2056&lt;=GRID_TO)*((('Dvd Calendar'!$M$2056&lt;=VAL_DATE)+(COUNTIF('Dvd Calendar'!$E$2063:$AR$2063,'Dvd Calendar'!$M$2056)=0))&gt;0)=0,"",'Dvd Calendar'!$M$2056*1000000000+ISNUMBER('Dvd Calendar'!$M$2059)*100000000+('Dvd Calendar'!$M$2061=SPECIAL_LBL)*10000000+(N('Dvd Calendar'!$M$2055)&gt;0)*(N('Dvd Calendar'!$M$2055)&lt;=VAL_SERIAL)*1000000+46*1000+9))</f>
        <v/>
      </c>
      <c r="EN205" s="121">
        <f>IF(N('Dvd Calendar'!$N$2056)=0,"",IF(('Dvd Calendar'!$N$2056&gt;=GRID_FROM)*('Dvd Calendar'!$N$2056&lt;=GRID_TO)*((('Dvd Calendar'!$N$2056&lt;=VAL_DATE)+(COUNTIF('Dvd Calendar'!$E$2063:$AR$2063,'Dvd Calendar'!$N$2056)=0))&gt;0)=0,"",'Dvd Calendar'!$N$2056*1000000000+ISNUMBER('Dvd Calendar'!$N$2059)*100000000+('Dvd Calendar'!$N$2061=SPECIAL_LBL)*10000000+(N('Dvd Calendar'!$N$2055)&gt;0)*(N('Dvd Calendar'!$N$2055)&lt;=VAL_SERIAL)*1000000+46*1000+10))</f>
        <v/>
      </c>
      <c r="EO205" s="121">
        <f>IF(N('Dvd Calendar'!$O$2056)=0,"",IF(('Dvd Calendar'!$O$2056&gt;=GRID_FROM)*('Dvd Calendar'!$O$2056&lt;=GRID_TO)*((('Dvd Calendar'!$O$2056&lt;=VAL_DATE)+(COUNTIF('Dvd Calendar'!$E$2063:$AR$2063,'Dvd Calendar'!$O$2056)=0))&gt;0)=0,"",'Dvd Calendar'!$O$2056*1000000000+ISNUMBER('Dvd Calendar'!$O$2059)*100000000+('Dvd Calendar'!$O$2061=SPECIAL_LBL)*10000000+(N('Dvd Calendar'!$O$2055)&gt;0)*(N('Dvd Calendar'!$O$2055)&lt;=VAL_SERIAL)*1000000+46*1000+11))</f>
        <v/>
      </c>
      <c r="EP205" s="121">
        <f>IF(N('Dvd Calendar'!$P$2056)=0,"",IF(('Dvd Calendar'!$P$2056&gt;=GRID_FROM)*('Dvd Calendar'!$P$2056&lt;=GRID_TO)*((('Dvd Calendar'!$P$2056&lt;=VAL_DATE)+(COUNTIF('Dvd Calendar'!$E$2063:$AR$2063,'Dvd Calendar'!$P$2056)=0))&gt;0)=0,"",'Dvd Calendar'!$P$2056*1000000000+ISNUMBER('Dvd Calendar'!$P$2059)*100000000+('Dvd Calendar'!$P$2061=SPECIAL_LBL)*10000000+(N('Dvd Calendar'!$P$2055)&gt;0)*(N('Dvd Calendar'!$P$2055)&lt;=VAL_SERIAL)*1000000+46*1000+12))</f>
        <v/>
      </c>
      <c r="EQ205" s="121">
        <f>IF(N('Dvd Calendar'!$Q$2056)=0,"",IF(('Dvd Calendar'!$Q$2056&gt;=GRID_FROM)*('Dvd Calendar'!$Q$2056&lt;=GRID_TO)*((('Dvd Calendar'!$Q$2056&lt;=VAL_DATE)+(COUNTIF('Dvd Calendar'!$E$2063:$AR$2063,'Dvd Calendar'!$Q$2056)=0))&gt;0)=0,"",'Dvd Calendar'!$Q$2056*1000000000+ISNUMBER('Dvd Calendar'!$Q$2059)*100000000+('Dvd Calendar'!$Q$2061=SPECIAL_LBL)*10000000+(N('Dvd Calendar'!$Q$2055)&gt;0)*(N('Dvd Calendar'!$Q$2055)&lt;=VAL_SERIAL)*1000000+46*1000+13))</f>
        <v/>
      </c>
      <c r="ER205" s="121">
        <f>IF(N('Dvd Calendar'!$R$2056)=0,"",IF(('Dvd Calendar'!$R$2056&gt;=GRID_FROM)*('Dvd Calendar'!$R$2056&lt;=GRID_TO)*((('Dvd Calendar'!$R$2056&lt;=VAL_DATE)+(COUNTIF('Dvd Calendar'!$E$2063:$AR$2063,'Dvd Calendar'!$R$2056)=0))&gt;0)=0,"",'Dvd Calendar'!$R$2056*1000000000+ISNUMBER('Dvd Calendar'!$R$2059)*100000000+('Dvd Calendar'!$R$2061=SPECIAL_LBL)*10000000+(N('Dvd Calendar'!$R$2055)&gt;0)*(N('Dvd Calendar'!$R$2055)&lt;=VAL_SERIAL)*1000000+46*1000+14))</f>
        <v/>
      </c>
      <c r="ES205" s="121">
        <f>IF(N('Dvd Calendar'!$S$2056)=0,"",IF(('Dvd Calendar'!$S$2056&gt;=GRID_FROM)*('Dvd Calendar'!$S$2056&lt;=GRID_TO)*((('Dvd Calendar'!$S$2056&lt;=VAL_DATE)+(COUNTIF('Dvd Calendar'!$E$2063:$AR$2063,'Dvd Calendar'!$S$2056)=0))&gt;0)=0,"",'Dvd Calendar'!$S$2056*1000000000+ISNUMBER('Dvd Calendar'!$S$2059)*100000000+('Dvd Calendar'!$S$2061=SPECIAL_LBL)*10000000+(N('Dvd Calendar'!$S$2055)&gt;0)*(N('Dvd Calendar'!$S$2055)&lt;=VAL_SERIAL)*1000000+46*1000+15))</f>
        <v/>
      </c>
      <c r="ET205" s="121">
        <f>IF(N('Dvd Calendar'!$T$2056)=0,"",IF(('Dvd Calendar'!$T$2056&gt;=GRID_FROM)*('Dvd Calendar'!$T$2056&lt;=GRID_TO)*((('Dvd Calendar'!$T$2056&lt;=VAL_DATE)+(COUNTIF('Dvd Calendar'!$E$2063:$AR$2063,'Dvd Calendar'!$T$2056)=0))&gt;0)=0,"",'Dvd Calendar'!$T$2056*1000000000+ISNUMBER('Dvd Calendar'!$T$2059)*100000000+('Dvd Calendar'!$T$2061=SPECIAL_LBL)*10000000+(N('Dvd Calendar'!$T$2055)&gt;0)*(N('Dvd Calendar'!$T$2055)&lt;=VAL_SERIAL)*1000000+46*1000+16))</f>
        <v/>
      </c>
      <c r="EU205" s="121">
        <f>IF(N('Dvd Calendar'!$U$2056)=0,"",IF(('Dvd Calendar'!$U$2056&gt;=GRID_FROM)*('Dvd Calendar'!$U$2056&lt;=GRID_TO)*((('Dvd Calendar'!$U$2056&lt;=VAL_DATE)+(COUNTIF('Dvd Calendar'!$E$2063:$AR$2063,'Dvd Calendar'!$U$2056)=0))&gt;0)=0,"",'Dvd Calendar'!$U$2056*1000000000+ISNUMBER('Dvd Calendar'!$U$2059)*100000000+('Dvd Calendar'!$U$2061=SPECIAL_LBL)*10000000+(N('Dvd Calendar'!$U$2055)&gt;0)*(N('Dvd Calendar'!$U$2055)&lt;=VAL_SERIAL)*1000000+46*1000+17))</f>
        <v/>
      </c>
      <c r="EV205" s="121">
        <f>IF(N('Dvd Calendar'!$V$2056)=0,"",IF(('Dvd Calendar'!$V$2056&gt;=GRID_FROM)*('Dvd Calendar'!$V$2056&lt;=GRID_TO)*((('Dvd Calendar'!$V$2056&lt;=VAL_DATE)+(COUNTIF('Dvd Calendar'!$E$2063:$AR$2063,'Dvd Calendar'!$V$2056)=0))&gt;0)=0,"",'Dvd Calendar'!$V$2056*1000000000+ISNUMBER('Dvd Calendar'!$V$2059)*100000000+('Dvd Calendar'!$V$2061=SPECIAL_LBL)*10000000+(N('Dvd Calendar'!$V$2055)&gt;0)*(N('Dvd Calendar'!$V$2055)&lt;=VAL_SERIAL)*1000000+46*1000+18))</f>
        <v/>
      </c>
      <c r="EW205" s="121">
        <f>IF(N('Dvd Calendar'!$W$2056)=0,"",IF(('Dvd Calendar'!$W$2056&gt;=GRID_FROM)*('Dvd Calendar'!$W$2056&lt;=GRID_TO)*((('Dvd Calendar'!$W$2056&lt;=VAL_DATE)+(COUNTIF('Dvd Calendar'!$E$2063:$AR$2063,'Dvd Calendar'!$W$2056)=0))&gt;0)=0,"",'Dvd Calendar'!$W$2056*1000000000+ISNUMBER('Dvd Calendar'!$W$2059)*100000000+('Dvd Calendar'!$W$2061=SPECIAL_LBL)*10000000+(N('Dvd Calendar'!$W$2055)&gt;0)*(N('Dvd Calendar'!$W$2055)&lt;=VAL_SERIAL)*1000000+46*1000+19))</f>
        <v/>
      </c>
      <c r="EX205" s="121">
        <f>IF(N('Dvd Calendar'!$X$2056)=0,"",IF(('Dvd Calendar'!$X$2056&gt;=GRID_FROM)*('Dvd Calendar'!$X$2056&lt;=GRID_TO)*((('Dvd Calendar'!$X$2056&lt;=VAL_DATE)+(COUNTIF('Dvd Calendar'!$E$2063:$AR$2063,'Dvd Calendar'!$X$2056)=0))&gt;0)=0,"",'Dvd Calendar'!$X$2056*1000000000+ISNUMBER('Dvd Calendar'!$X$2059)*100000000+('Dvd Calendar'!$X$2061=SPECIAL_LBL)*10000000+(N('Dvd Calendar'!$X$2055)&gt;0)*(N('Dvd Calendar'!$X$2055)&lt;=VAL_SERIAL)*1000000+46*1000+20))</f>
        <v/>
      </c>
      <c r="EY205" s="121">
        <f>IF(N('Dvd Calendar'!$Y$2056)=0,"",IF(('Dvd Calendar'!$Y$2056&gt;=GRID_FROM)*('Dvd Calendar'!$Y$2056&lt;=GRID_TO)*((('Dvd Calendar'!$Y$2056&lt;=VAL_DATE)+(COUNTIF('Dvd Calendar'!$E$2063:$AR$2063,'Dvd Calendar'!$Y$2056)=0))&gt;0)=0,"",'Dvd Calendar'!$Y$2056*1000000000+ISNUMBER('Dvd Calendar'!$Y$2059)*100000000+('Dvd Calendar'!$Y$2061=SPECIAL_LBL)*10000000+(N('Dvd Calendar'!$Y$2055)&gt;0)*(N('Dvd Calendar'!$Y$2055)&lt;=VAL_SERIAL)*1000000+46*1000+21))</f>
        <v/>
      </c>
      <c r="EZ205" s="121">
        <f>IF(N('Dvd Calendar'!$Z$2056)=0,"",IF(('Dvd Calendar'!$Z$2056&gt;=GRID_FROM)*('Dvd Calendar'!$Z$2056&lt;=GRID_TO)*((('Dvd Calendar'!$Z$2056&lt;=VAL_DATE)+(COUNTIF('Dvd Calendar'!$E$2063:$AR$2063,'Dvd Calendar'!$Z$2056)=0))&gt;0)=0,"",'Dvd Calendar'!$Z$2056*1000000000+ISNUMBER('Dvd Calendar'!$Z$2059)*100000000+('Dvd Calendar'!$Z$2061=SPECIAL_LBL)*10000000+(N('Dvd Calendar'!$Z$2055)&gt;0)*(N('Dvd Calendar'!$Z$2055)&lt;=VAL_SERIAL)*1000000+46*1000+22))</f>
        <v/>
      </c>
      <c r="FA205" s="121">
        <f>IF(N('Dvd Calendar'!$AA$2056)=0,"",IF(('Dvd Calendar'!$AA$2056&gt;=GRID_FROM)*('Dvd Calendar'!$AA$2056&lt;=GRID_TO)*((('Dvd Calendar'!$AA$2056&lt;=VAL_DATE)+(COUNTIF('Dvd Calendar'!$E$2063:$AR$2063,'Dvd Calendar'!$AA$2056)=0))&gt;0)=0,"",'Dvd Calendar'!$AA$2056*1000000000+ISNUMBER('Dvd Calendar'!$AA$2059)*100000000+('Dvd Calendar'!$AA$2061=SPECIAL_LBL)*10000000+(N('Dvd Calendar'!$AA$2055)&gt;0)*(N('Dvd Calendar'!$AA$2055)&lt;=VAL_SERIAL)*1000000+46*1000+23))</f>
        <v/>
      </c>
      <c r="FB205" s="121">
        <f>IF(N('Dvd Calendar'!$AB$2056)=0,"",IF(('Dvd Calendar'!$AB$2056&gt;=GRID_FROM)*('Dvd Calendar'!$AB$2056&lt;=GRID_TO)*((('Dvd Calendar'!$AB$2056&lt;=VAL_DATE)+(COUNTIF('Dvd Calendar'!$E$2063:$AR$2063,'Dvd Calendar'!$AB$2056)=0))&gt;0)=0,"",'Dvd Calendar'!$AB$2056*1000000000+ISNUMBER('Dvd Calendar'!$AB$2059)*100000000+('Dvd Calendar'!$AB$2061=SPECIAL_LBL)*10000000+(N('Dvd Calendar'!$AB$2055)&gt;0)*(N('Dvd Calendar'!$AB$2055)&lt;=VAL_SERIAL)*1000000+46*1000+24))</f>
        <v/>
      </c>
      <c r="FC205" s="121">
        <f>IF(N('Dvd Calendar'!$AC$2056)=0,"",IF(('Dvd Calendar'!$AC$2056&gt;=GRID_FROM)*('Dvd Calendar'!$AC$2056&lt;=GRID_TO)*((('Dvd Calendar'!$AC$2056&lt;=VAL_DATE)+(COUNTIF('Dvd Calendar'!$E$2063:$AR$2063,'Dvd Calendar'!$AC$2056)=0))&gt;0)=0,"",'Dvd Calendar'!$AC$2056*1000000000+ISNUMBER('Dvd Calendar'!$AC$2059)*100000000+('Dvd Calendar'!$AC$2061=SPECIAL_LBL)*10000000+(N('Dvd Calendar'!$AC$2055)&gt;0)*(N('Dvd Calendar'!$AC$2055)&lt;=VAL_SERIAL)*1000000+46*1000+25))</f>
        <v/>
      </c>
      <c r="FD205" s="121">
        <f>IF(N('Dvd Calendar'!$AD$2056)=0,"",IF(('Dvd Calendar'!$AD$2056&gt;=GRID_FROM)*('Dvd Calendar'!$AD$2056&lt;=GRID_TO)*((('Dvd Calendar'!$AD$2056&lt;=VAL_DATE)+(COUNTIF('Dvd Calendar'!$E$2063:$AR$2063,'Dvd Calendar'!$AD$2056)=0))&gt;0)=0,"",'Dvd Calendar'!$AD$2056*1000000000+ISNUMBER('Dvd Calendar'!$AD$2059)*100000000+('Dvd Calendar'!$AD$2061=SPECIAL_LBL)*10000000+(N('Dvd Calendar'!$AD$2055)&gt;0)*(N('Dvd Calendar'!$AD$2055)&lt;=VAL_SERIAL)*1000000+46*1000+26))</f>
        <v/>
      </c>
      <c r="FE205" s="121">
        <f>IF(N('Dvd Calendar'!$AE$2056)=0,"",IF(('Dvd Calendar'!$AE$2056&gt;=GRID_FROM)*('Dvd Calendar'!$AE$2056&lt;=GRID_TO)*((('Dvd Calendar'!$AE$2056&lt;=VAL_DATE)+(COUNTIF('Dvd Calendar'!$E$2063:$AR$2063,'Dvd Calendar'!$AE$2056)=0))&gt;0)=0,"",'Dvd Calendar'!$AE$2056*1000000000+ISNUMBER('Dvd Calendar'!$AE$2059)*100000000+('Dvd Calendar'!$AE$2061=SPECIAL_LBL)*10000000+(N('Dvd Calendar'!$AE$2055)&gt;0)*(N('Dvd Calendar'!$AE$2055)&lt;=VAL_SERIAL)*1000000+46*1000+27))</f>
        <v/>
      </c>
      <c r="FF205" s="121">
        <f>IF(N('Dvd Calendar'!$AF$2056)=0,"",IF(('Dvd Calendar'!$AF$2056&gt;=GRID_FROM)*('Dvd Calendar'!$AF$2056&lt;=GRID_TO)*((('Dvd Calendar'!$AF$2056&lt;=VAL_DATE)+(COUNTIF('Dvd Calendar'!$E$2063:$AR$2063,'Dvd Calendar'!$AF$2056)=0))&gt;0)=0,"",'Dvd Calendar'!$AF$2056*1000000000+ISNUMBER('Dvd Calendar'!$AF$2059)*100000000+('Dvd Calendar'!$AF$2061=SPECIAL_LBL)*10000000+(N('Dvd Calendar'!$AF$2055)&gt;0)*(N('Dvd Calendar'!$AF$2055)&lt;=VAL_SERIAL)*1000000+46*1000+28))</f>
        <v/>
      </c>
      <c r="FG205" s="121">
        <f>IF(N('Dvd Calendar'!$AG$2056)=0,"",IF(('Dvd Calendar'!$AG$2056&gt;=GRID_FROM)*('Dvd Calendar'!$AG$2056&lt;=GRID_TO)*((('Dvd Calendar'!$AG$2056&lt;=VAL_DATE)+(COUNTIF('Dvd Calendar'!$E$2063:$AR$2063,'Dvd Calendar'!$AG$2056)=0))&gt;0)=0,"",'Dvd Calendar'!$AG$2056*1000000000+ISNUMBER('Dvd Calendar'!$AG$2059)*100000000+('Dvd Calendar'!$AG$2061=SPECIAL_LBL)*10000000+(N('Dvd Calendar'!$AG$2055)&gt;0)*(N('Dvd Calendar'!$AG$2055)&lt;=VAL_SERIAL)*1000000+46*1000+29))</f>
        <v/>
      </c>
      <c r="FH205" s="121">
        <f>IF(N('Dvd Calendar'!$AH$2056)=0,"",IF(('Dvd Calendar'!$AH$2056&gt;=GRID_FROM)*('Dvd Calendar'!$AH$2056&lt;=GRID_TO)*((('Dvd Calendar'!$AH$2056&lt;=VAL_DATE)+(COUNTIF('Dvd Calendar'!$E$2063:$AR$2063,'Dvd Calendar'!$AH$2056)=0))&gt;0)=0,"",'Dvd Calendar'!$AH$2056*1000000000+ISNUMBER('Dvd Calendar'!$AH$2059)*100000000+('Dvd Calendar'!$AH$2061=SPECIAL_LBL)*10000000+(N('Dvd Calendar'!$AH$2055)&gt;0)*(N('Dvd Calendar'!$AH$2055)&lt;=VAL_SERIAL)*1000000+46*1000+30))</f>
        <v/>
      </c>
      <c r="FI205" s="121">
        <f>IF(N('Dvd Calendar'!$AI$2056)=0,"",IF(('Dvd Calendar'!$AI$2056&gt;=GRID_FROM)*('Dvd Calendar'!$AI$2056&lt;=GRID_TO)*((('Dvd Calendar'!$AI$2056&lt;=VAL_DATE)+(COUNTIF('Dvd Calendar'!$E$2063:$AR$2063,'Dvd Calendar'!$AI$2056)=0))&gt;0)=0,"",'Dvd Calendar'!$AI$2056*1000000000+ISNUMBER('Dvd Calendar'!$AI$2059)*100000000+('Dvd Calendar'!$AI$2061=SPECIAL_LBL)*10000000+(N('Dvd Calendar'!$AI$2055)&gt;0)*(N('Dvd Calendar'!$AI$2055)&lt;=VAL_SERIAL)*1000000+46*1000+31))</f>
        <v/>
      </c>
      <c r="FJ205" s="121">
        <f>IF(N('Dvd Calendar'!$AJ$2056)=0,"",IF(('Dvd Calendar'!$AJ$2056&gt;=GRID_FROM)*('Dvd Calendar'!$AJ$2056&lt;=GRID_TO)*((('Dvd Calendar'!$AJ$2056&lt;=VAL_DATE)+(COUNTIF('Dvd Calendar'!$E$2063:$AR$2063,'Dvd Calendar'!$AJ$2056)=0))&gt;0)=0,"",'Dvd Calendar'!$AJ$2056*1000000000+ISNUMBER('Dvd Calendar'!$AJ$2059)*100000000+('Dvd Calendar'!$AJ$2061=SPECIAL_LBL)*10000000+(N('Dvd Calendar'!$AJ$2055)&gt;0)*(N('Dvd Calendar'!$AJ$2055)&lt;=VAL_SERIAL)*1000000+46*1000+32))</f>
        <v/>
      </c>
      <c r="FK205" s="121">
        <f>IF(N('Dvd Calendar'!$AK$2056)=0,"",IF(('Dvd Calendar'!$AK$2056&gt;=GRID_FROM)*('Dvd Calendar'!$AK$2056&lt;=GRID_TO)*((('Dvd Calendar'!$AK$2056&lt;=VAL_DATE)+(COUNTIF('Dvd Calendar'!$E$2063:$AR$2063,'Dvd Calendar'!$AK$2056)=0))&gt;0)=0,"",'Dvd Calendar'!$AK$2056*1000000000+ISNUMBER('Dvd Calendar'!$AK$2059)*100000000+('Dvd Calendar'!$AK$2061=SPECIAL_LBL)*10000000+(N('Dvd Calendar'!$AK$2055)&gt;0)*(N('Dvd Calendar'!$AK$2055)&lt;=VAL_SERIAL)*1000000+46*1000+33))</f>
        <v/>
      </c>
      <c r="FL205" s="121">
        <f>IF(N('Dvd Calendar'!$AL$2056)=0,"",IF(('Dvd Calendar'!$AL$2056&gt;=GRID_FROM)*('Dvd Calendar'!$AL$2056&lt;=GRID_TO)*((('Dvd Calendar'!$AL$2056&lt;=VAL_DATE)+(COUNTIF('Dvd Calendar'!$E$2063:$AR$2063,'Dvd Calendar'!$AL$2056)=0))&gt;0)=0,"",'Dvd Calendar'!$AL$2056*1000000000+ISNUMBER('Dvd Calendar'!$AL$2059)*100000000+('Dvd Calendar'!$AL$2061=SPECIAL_LBL)*10000000+(N('Dvd Calendar'!$AL$2055)&gt;0)*(N('Dvd Calendar'!$AL$2055)&lt;=VAL_SERIAL)*1000000+46*1000+34))</f>
        <v/>
      </c>
      <c r="FM205" s="121">
        <f>IF(N('Dvd Calendar'!$AM$2056)=0,"",IF(('Dvd Calendar'!$AM$2056&gt;=GRID_FROM)*('Dvd Calendar'!$AM$2056&lt;=GRID_TO)*((('Dvd Calendar'!$AM$2056&lt;=VAL_DATE)+(COUNTIF('Dvd Calendar'!$E$2063:$AR$2063,'Dvd Calendar'!$AM$2056)=0))&gt;0)=0,"",'Dvd Calendar'!$AM$2056*1000000000+ISNUMBER('Dvd Calendar'!$AM$2059)*100000000+('Dvd Calendar'!$AM$2061=SPECIAL_LBL)*10000000+(N('Dvd Calendar'!$AM$2055)&gt;0)*(N('Dvd Calendar'!$AM$2055)&lt;=VAL_SERIAL)*1000000+46*1000+35))</f>
        <v/>
      </c>
      <c r="FN205" s="121">
        <f>IF(N('Dvd Calendar'!$AN$2056)=0,"",IF(('Dvd Calendar'!$AN$2056&gt;=GRID_FROM)*('Dvd Calendar'!$AN$2056&lt;=GRID_TO)*((('Dvd Calendar'!$AN$2056&lt;=VAL_DATE)+(COUNTIF('Dvd Calendar'!$E$2063:$AR$2063,'Dvd Calendar'!$AN$2056)=0))&gt;0)=0,"",'Dvd Calendar'!$AN$2056*1000000000+ISNUMBER('Dvd Calendar'!$AN$2059)*100000000+('Dvd Calendar'!$AN$2061=SPECIAL_LBL)*10000000+(N('Dvd Calendar'!$AN$2055)&gt;0)*(N('Dvd Calendar'!$AN$2055)&lt;=VAL_SERIAL)*1000000+46*1000+36))</f>
        <v/>
      </c>
      <c r="FO205" s="121">
        <f>IF(N('Dvd Calendar'!$AO$2056)=0,"",IF(('Dvd Calendar'!$AO$2056&gt;=GRID_FROM)*('Dvd Calendar'!$AO$2056&lt;=GRID_TO)*((('Dvd Calendar'!$AO$2056&lt;=VAL_DATE)+(COUNTIF('Dvd Calendar'!$E$2063:$AR$2063,'Dvd Calendar'!$AO$2056)=0))&gt;0)=0,"",'Dvd Calendar'!$AO$2056*1000000000+ISNUMBER('Dvd Calendar'!$AO$2059)*100000000+('Dvd Calendar'!$AO$2061=SPECIAL_LBL)*10000000+(N('Dvd Calendar'!$AO$2055)&gt;0)*(N('Dvd Calendar'!$AO$2055)&lt;=VAL_SERIAL)*1000000+46*1000+37))</f>
        <v/>
      </c>
      <c r="FP205" s="121">
        <f>IF(N('Dvd Calendar'!$AP$2056)=0,"",IF(('Dvd Calendar'!$AP$2056&gt;=GRID_FROM)*('Dvd Calendar'!$AP$2056&lt;=GRID_TO)*((('Dvd Calendar'!$AP$2056&lt;=VAL_DATE)+(COUNTIF('Dvd Calendar'!$E$2063:$AR$2063,'Dvd Calendar'!$AP$2056)=0))&gt;0)=0,"",'Dvd Calendar'!$AP$2056*1000000000+ISNUMBER('Dvd Calendar'!$AP$2059)*100000000+('Dvd Calendar'!$AP$2061=SPECIAL_LBL)*10000000+(N('Dvd Calendar'!$AP$2055)&gt;0)*(N('Dvd Calendar'!$AP$2055)&lt;=VAL_SERIAL)*1000000+46*1000+38))</f>
        <v/>
      </c>
      <c r="FQ205" s="121">
        <f>IF(N('Dvd Calendar'!$AQ$2056)=0,"",IF(('Dvd Calendar'!$AQ$2056&gt;=GRID_FROM)*('Dvd Calendar'!$AQ$2056&lt;=GRID_TO)*((('Dvd Calendar'!$AQ$2056&lt;=VAL_DATE)+(COUNTIF('Dvd Calendar'!$E$2063:$AR$2063,'Dvd Calendar'!$AQ$2056)=0))&gt;0)=0,"",'Dvd Calendar'!$AQ$2056*1000000000+ISNUMBER('Dvd Calendar'!$AQ$2059)*100000000+('Dvd Calendar'!$AQ$2061=SPECIAL_LBL)*10000000+(N('Dvd Calendar'!$AQ$2055)&gt;0)*(N('Dvd Calendar'!$AQ$2055)&lt;=VAL_SERIAL)*1000000+46*1000+39))</f>
        <v/>
      </c>
      <c r="FR205" s="121">
        <f>IF(N('Dvd Calendar'!$AR$2056)=0,"",IF(('Dvd Calendar'!$AR$2056&gt;=GRID_FROM)*('Dvd Calendar'!$AR$2056&lt;=GRID_TO)*((('Dvd Calendar'!$AR$2056&lt;=VAL_DATE)+(COUNTIF('Dvd Calendar'!$E$2063:$AR$2063,'Dvd Calendar'!$AR$2056)=0))&gt;0)=0,"",'Dvd Calendar'!$AR$2056*1000000000+ISNUMBER('Dvd Calendar'!$AR$2059)*100000000+('Dvd Calendar'!$AR$2061=SPECIAL_LBL)*10000000+(N('Dvd Calendar'!$AR$2055)&gt;0)*(N('Dvd Calendar'!$AR$2055)&lt;=VAL_SERIAL)*1000000+46*1000+40))</f>
        <v/>
      </c>
      <c r="FS205" s="121">
        <f>IF(N('Dvd Calendar'!$E$2063)=0,"",IF(('Dvd Calendar'!$E$2063&gt;=GRID_FROM)*('Dvd Calendar'!$E$2063&lt;=GRID_TO)*('Dvd Calendar'!$E$2063&gt;VAL_DATE)=0,"",'Dvd Calendar'!$E$2063*1000000000+ISNUMBER('Dvd Calendar'!$E$2064)*100000000+0*10000000+(N('Dvd Calendar'!$E$2062)&gt;0)*(N('Dvd Calendar'!$E$2062)&lt;=VAL_SERIAL)*1000000+46*1000+41))</f>
        <v/>
      </c>
      <c r="FT205" s="121">
        <f>IF(N('Dvd Calendar'!$F$2063)=0,"",IF(('Dvd Calendar'!$F$2063&gt;=GRID_FROM)*('Dvd Calendar'!$F$2063&lt;=GRID_TO)*('Dvd Calendar'!$F$2063&gt;VAL_DATE)=0,"",'Dvd Calendar'!$F$2063*1000000000+ISNUMBER('Dvd Calendar'!$F$2064)*100000000+0*10000000+(N('Dvd Calendar'!$F$2062)&gt;0)*(N('Dvd Calendar'!$F$2062)&lt;=VAL_SERIAL)*1000000+46*1000+42))</f>
        <v/>
      </c>
      <c r="FU205" s="121">
        <f>IF(N('Dvd Calendar'!$G$2063)=0,"",IF(('Dvd Calendar'!$G$2063&gt;=GRID_FROM)*('Dvd Calendar'!$G$2063&lt;=GRID_TO)*('Dvd Calendar'!$G$2063&gt;VAL_DATE)=0,"",'Dvd Calendar'!$G$2063*1000000000+ISNUMBER('Dvd Calendar'!$G$2064)*100000000+0*10000000+(N('Dvd Calendar'!$G$2062)&gt;0)*(N('Dvd Calendar'!$G$2062)&lt;=VAL_SERIAL)*1000000+46*1000+43))</f>
        <v/>
      </c>
      <c r="FV205" s="121">
        <f>IF(N('Dvd Calendar'!$H$2063)=0,"",IF(('Dvd Calendar'!$H$2063&gt;=GRID_FROM)*('Dvd Calendar'!$H$2063&lt;=GRID_TO)*('Dvd Calendar'!$H$2063&gt;VAL_DATE)=0,"",'Dvd Calendar'!$H$2063*1000000000+ISNUMBER('Dvd Calendar'!$H$2064)*100000000+0*10000000+(N('Dvd Calendar'!$H$2062)&gt;0)*(N('Dvd Calendar'!$H$2062)&lt;=VAL_SERIAL)*1000000+46*1000+44))</f>
        <v/>
      </c>
      <c r="FW205" s="121">
        <f>IF(N('Dvd Calendar'!$I$2063)=0,"",IF(('Dvd Calendar'!$I$2063&gt;=GRID_FROM)*('Dvd Calendar'!$I$2063&lt;=GRID_TO)*('Dvd Calendar'!$I$2063&gt;VAL_DATE)=0,"",'Dvd Calendar'!$I$2063*1000000000+ISNUMBER('Dvd Calendar'!$I$2064)*100000000+0*10000000+(N('Dvd Calendar'!$I$2062)&gt;0)*(N('Dvd Calendar'!$I$2062)&lt;=VAL_SERIAL)*1000000+46*1000+45))</f>
        <v/>
      </c>
      <c r="FX205" s="121">
        <f>IF(N('Dvd Calendar'!$J$2063)=0,"",IF(('Dvd Calendar'!$J$2063&gt;=GRID_FROM)*('Dvd Calendar'!$J$2063&lt;=GRID_TO)*('Dvd Calendar'!$J$2063&gt;VAL_DATE)=0,"",'Dvd Calendar'!$J$2063*1000000000+ISNUMBER('Dvd Calendar'!$J$2064)*100000000+0*10000000+(N('Dvd Calendar'!$J$2062)&gt;0)*(N('Dvd Calendar'!$J$2062)&lt;=VAL_SERIAL)*1000000+46*1000+46))</f>
        <v/>
      </c>
      <c r="FY205" s="121">
        <f>IF(N('Dvd Calendar'!$K$2063)=0,"",IF(('Dvd Calendar'!$K$2063&gt;=GRID_FROM)*('Dvd Calendar'!$K$2063&lt;=GRID_TO)*('Dvd Calendar'!$K$2063&gt;VAL_DATE)=0,"",'Dvd Calendar'!$K$2063*1000000000+ISNUMBER('Dvd Calendar'!$K$2064)*100000000+0*10000000+(N('Dvd Calendar'!$K$2062)&gt;0)*(N('Dvd Calendar'!$K$2062)&lt;=VAL_SERIAL)*1000000+46*1000+47))</f>
        <v/>
      </c>
      <c r="FZ205" s="121">
        <f>IF(N('Dvd Calendar'!$L$2063)=0,"",IF(('Dvd Calendar'!$L$2063&gt;=GRID_FROM)*('Dvd Calendar'!$L$2063&lt;=GRID_TO)*('Dvd Calendar'!$L$2063&gt;VAL_DATE)=0,"",'Dvd Calendar'!$L$2063*1000000000+ISNUMBER('Dvd Calendar'!$L$2064)*100000000+0*10000000+(N('Dvd Calendar'!$L$2062)&gt;0)*(N('Dvd Calendar'!$L$2062)&lt;=VAL_SERIAL)*1000000+46*1000+48))</f>
        <v/>
      </c>
      <c r="GA205" s="121">
        <f>IF(N('Dvd Calendar'!$M$2063)=0,"",IF(('Dvd Calendar'!$M$2063&gt;=GRID_FROM)*('Dvd Calendar'!$M$2063&lt;=GRID_TO)*('Dvd Calendar'!$M$2063&gt;VAL_DATE)=0,"",'Dvd Calendar'!$M$2063*1000000000+ISNUMBER('Dvd Calendar'!$M$2064)*100000000+0*10000000+(N('Dvd Calendar'!$M$2062)&gt;0)*(N('Dvd Calendar'!$M$2062)&lt;=VAL_SERIAL)*1000000+46*1000+49))</f>
        <v/>
      </c>
      <c r="GB205" s="121">
        <f>IF(N('Dvd Calendar'!$N$2063)=0,"",IF(('Dvd Calendar'!$N$2063&gt;=GRID_FROM)*('Dvd Calendar'!$N$2063&lt;=GRID_TO)*('Dvd Calendar'!$N$2063&gt;VAL_DATE)=0,"",'Dvd Calendar'!$N$2063*1000000000+ISNUMBER('Dvd Calendar'!$N$2064)*100000000+0*10000000+(N('Dvd Calendar'!$N$2062)&gt;0)*(N('Dvd Calendar'!$N$2062)&lt;=VAL_SERIAL)*1000000+46*1000+50))</f>
        <v/>
      </c>
      <c r="GC205" s="121">
        <f>IF(N('Dvd Calendar'!$O$2063)=0,"",IF(('Dvd Calendar'!$O$2063&gt;=GRID_FROM)*('Dvd Calendar'!$O$2063&lt;=GRID_TO)*('Dvd Calendar'!$O$2063&gt;VAL_DATE)=0,"",'Dvd Calendar'!$O$2063*1000000000+ISNUMBER('Dvd Calendar'!$O$2064)*100000000+0*10000000+(N('Dvd Calendar'!$O$2062)&gt;0)*(N('Dvd Calendar'!$O$2062)&lt;=VAL_SERIAL)*1000000+46*1000+51))</f>
        <v/>
      </c>
      <c r="GD205" s="121">
        <f>IF(N('Dvd Calendar'!$P$2063)=0,"",IF(('Dvd Calendar'!$P$2063&gt;=GRID_FROM)*('Dvd Calendar'!$P$2063&lt;=GRID_TO)*('Dvd Calendar'!$P$2063&gt;VAL_DATE)=0,"",'Dvd Calendar'!$P$2063*1000000000+ISNUMBER('Dvd Calendar'!$P$2064)*100000000+0*10000000+(N('Dvd Calendar'!$P$2062)&gt;0)*(N('Dvd Calendar'!$P$2062)&lt;=VAL_SERIAL)*1000000+46*1000+52))</f>
        <v/>
      </c>
      <c r="GE205" s="121">
        <f>IF(N('Dvd Calendar'!$Q$2063)=0,"",IF(('Dvd Calendar'!$Q$2063&gt;=GRID_FROM)*('Dvd Calendar'!$Q$2063&lt;=GRID_TO)*('Dvd Calendar'!$Q$2063&gt;VAL_DATE)=0,"",'Dvd Calendar'!$Q$2063*1000000000+ISNUMBER('Dvd Calendar'!$Q$2064)*100000000+0*10000000+(N('Dvd Calendar'!$Q$2062)&gt;0)*(N('Dvd Calendar'!$Q$2062)&lt;=VAL_SERIAL)*1000000+46*1000+53))</f>
        <v/>
      </c>
      <c r="GF205" s="121">
        <f>IF(N('Dvd Calendar'!$R$2063)=0,"",IF(('Dvd Calendar'!$R$2063&gt;=GRID_FROM)*('Dvd Calendar'!$R$2063&lt;=GRID_TO)*('Dvd Calendar'!$R$2063&gt;VAL_DATE)=0,"",'Dvd Calendar'!$R$2063*1000000000+ISNUMBER('Dvd Calendar'!$R$2064)*100000000+0*10000000+(N('Dvd Calendar'!$R$2062)&gt;0)*(N('Dvd Calendar'!$R$2062)&lt;=VAL_SERIAL)*1000000+46*1000+54))</f>
        <v/>
      </c>
      <c r="GG205" s="121">
        <f>IF(N('Dvd Calendar'!$S$2063)=0,"",IF(('Dvd Calendar'!$S$2063&gt;=GRID_FROM)*('Dvd Calendar'!$S$2063&lt;=GRID_TO)*('Dvd Calendar'!$S$2063&gt;VAL_DATE)=0,"",'Dvd Calendar'!$S$2063*1000000000+ISNUMBER('Dvd Calendar'!$S$2064)*100000000+0*10000000+(N('Dvd Calendar'!$S$2062)&gt;0)*(N('Dvd Calendar'!$S$2062)&lt;=VAL_SERIAL)*1000000+46*1000+55))</f>
        <v/>
      </c>
      <c r="GH205" s="121">
        <f>IF(N('Dvd Calendar'!$T$2063)=0,"",IF(('Dvd Calendar'!$T$2063&gt;=GRID_FROM)*('Dvd Calendar'!$T$2063&lt;=GRID_TO)*('Dvd Calendar'!$T$2063&gt;VAL_DATE)=0,"",'Dvd Calendar'!$T$2063*1000000000+ISNUMBER('Dvd Calendar'!$T$2064)*100000000+0*10000000+(N('Dvd Calendar'!$T$2062)&gt;0)*(N('Dvd Calendar'!$T$2062)&lt;=VAL_SERIAL)*1000000+46*1000+56))</f>
        <v/>
      </c>
      <c r="GI205" s="121">
        <f>IF(N('Dvd Calendar'!$U$2063)=0,"",IF(('Dvd Calendar'!$U$2063&gt;=GRID_FROM)*('Dvd Calendar'!$U$2063&lt;=GRID_TO)*('Dvd Calendar'!$U$2063&gt;VAL_DATE)=0,"",'Dvd Calendar'!$U$2063*1000000000+ISNUMBER('Dvd Calendar'!$U$2064)*100000000+0*10000000+(N('Dvd Calendar'!$U$2062)&gt;0)*(N('Dvd Calendar'!$U$2062)&lt;=VAL_SERIAL)*1000000+46*1000+57))</f>
        <v/>
      </c>
      <c r="GJ205" s="121">
        <f>IF(N('Dvd Calendar'!$V$2063)=0,"",IF(('Dvd Calendar'!$V$2063&gt;=GRID_FROM)*('Dvd Calendar'!$V$2063&lt;=GRID_TO)*('Dvd Calendar'!$V$2063&gt;VAL_DATE)=0,"",'Dvd Calendar'!$V$2063*1000000000+ISNUMBER('Dvd Calendar'!$V$2064)*100000000+0*10000000+(N('Dvd Calendar'!$V$2062)&gt;0)*(N('Dvd Calendar'!$V$2062)&lt;=VAL_SERIAL)*1000000+46*1000+58))</f>
        <v/>
      </c>
      <c r="GK205" s="121">
        <f>IF(N('Dvd Calendar'!$W$2063)=0,"",IF(('Dvd Calendar'!$W$2063&gt;=GRID_FROM)*('Dvd Calendar'!$W$2063&lt;=GRID_TO)*('Dvd Calendar'!$W$2063&gt;VAL_DATE)=0,"",'Dvd Calendar'!$W$2063*1000000000+ISNUMBER('Dvd Calendar'!$W$2064)*100000000+0*10000000+(N('Dvd Calendar'!$W$2062)&gt;0)*(N('Dvd Calendar'!$W$2062)&lt;=VAL_SERIAL)*1000000+46*1000+59))</f>
        <v/>
      </c>
      <c r="GL205" s="121">
        <f>IF(N('Dvd Calendar'!$X$2063)=0,"",IF(('Dvd Calendar'!$X$2063&gt;=GRID_FROM)*('Dvd Calendar'!$X$2063&lt;=GRID_TO)*('Dvd Calendar'!$X$2063&gt;VAL_DATE)=0,"",'Dvd Calendar'!$X$2063*1000000000+ISNUMBER('Dvd Calendar'!$X$2064)*100000000+0*10000000+(N('Dvd Calendar'!$X$2062)&gt;0)*(N('Dvd Calendar'!$X$2062)&lt;=VAL_SERIAL)*1000000+46*1000+60))</f>
        <v/>
      </c>
      <c r="GM205" s="121">
        <f>IF(N('Dvd Calendar'!$Y$2063)=0,"",IF(('Dvd Calendar'!$Y$2063&gt;=GRID_FROM)*('Dvd Calendar'!$Y$2063&lt;=GRID_TO)*('Dvd Calendar'!$Y$2063&gt;VAL_DATE)=0,"",'Dvd Calendar'!$Y$2063*1000000000+ISNUMBER('Dvd Calendar'!$Y$2064)*100000000+0*10000000+(N('Dvd Calendar'!$Y$2062)&gt;0)*(N('Dvd Calendar'!$Y$2062)&lt;=VAL_SERIAL)*1000000+46*1000+61))</f>
        <v/>
      </c>
      <c r="GN205" s="121">
        <f>IF(N('Dvd Calendar'!$Z$2063)=0,"",IF(('Dvd Calendar'!$Z$2063&gt;=GRID_FROM)*('Dvd Calendar'!$Z$2063&lt;=GRID_TO)*('Dvd Calendar'!$Z$2063&gt;VAL_DATE)=0,"",'Dvd Calendar'!$Z$2063*1000000000+ISNUMBER('Dvd Calendar'!$Z$2064)*100000000+0*10000000+(N('Dvd Calendar'!$Z$2062)&gt;0)*(N('Dvd Calendar'!$Z$2062)&lt;=VAL_SERIAL)*1000000+46*1000+62))</f>
        <v/>
      </c>
      <c r="GO205" s="121">
        <f>IF(N('Dvd Calendar'!$AA$2063)=0,"",IF(('Dvd Calendar'!$AA$2063&gt;=GRID_FROM)*('Dvd Calendar'!$AA$2063&lt;=GRID_TO)*('Dvd Calendar'!$AA$2063&gt;VAL_DATE)=0,"",'Dvd Calendar'!$AA$2063*1000000000+ISNUMBER('Dvd Calendar'!$AA$2064)*100000000+0*10000000+(N('Dvd Calendar'!$AA$2062)&gt;0)*(N('Dvd Calendar'!$AA$2062)&lt;=VAL_SERIAL)*1000000+46*1000+63))</f>
        <v/>
      </c>
      <c r="GP205" s="121">
        <f>IF(N('Dvd Calendar'!$AB$2063)=0,"",IF(('Dvd Calendar'!$AB$2063&gt;=GRID_FROM)*('Dvd Calendar'!$AB$2063&lt;=GRID_TO)*('Dvd Calendar'!$AB$2063&gt;VAL_DATE)=0,"",'Dvd Calendar'!$AB$2063*1000000000+ISNUMBER('Dvd Calendar'!$AB$2064)*100000000+0*10000000+(N('Dvd Calendar'!$AB$2062)&gt;0)*(N('Dvd Calendar'!$AB$2062)&lt;=VAL_SERIAL)*1000000+46*1000+64))</f>
        <v/>
      </c>
      <c r="GQ205" s="121">
        <f>IF(N('Dvd Calendar'!$AC$2063)=0,"",IF(('Dvd Calendar'!$AC$2063&gt;=GRID_FROM)*('Dvd Calendar'!$AC$2063&lt;=GRID_TO)*('Dvd Calendar'!$AC$2063&gt;VAL_DATE)=0,"",'Dvd Calendar'!$AC$2063*1000000000+ISNUMBER('Dvd Calendar'!$AC$2064)*100000000+0*10000000+(N('Dvd Calendar'!$AC$2062)&gt;0)*(N('Dvd Calendar'!$AC$2062)&lt;=VAL_SERIAL)*1000000+46*1000+65))</f>
        <v/>
      </c>
    </row>
    <row r="206">
      <c r="B206" s="2">
        <f>IF(HSCEI!$C$53="","",HSCEI!$C$53)</f>
        <v/>
      </c>
      <c r="C206" s="161">
        <f>IF(EE206="","",IF(ISNUMBER('Dvd Calendar'!$E$2070)=FALSE,"",IF((('Dvd Calendar'!$E$2072=TYPE1)*(TYPE1&lt;&gt;"")+('Dvd Calendar'!$E$2072=TYPE2)*(TYPE2&lt;&gt;"")+('Dvd Calendar'!$E$2072=TYPE3)*(TYPE3&lt;&gt;"")+('Dvd Calendar'!$E$2072=TYPE4)*(TYPE4&lt;&gt;"")+('Dvd Calendar'!$E$2072=SPECIAL_LBL)*(INC_SPECIALS="Y"))=0,"",'Dvd Calendar'!$E$2070)))</f>
        <v/>
      </c>
      <c r="D206" s="161">
        <f>IF(EF206="","",IF(ISNUMBER('Dvd Calendar'!$F$2070)=FALSE,"",IF((('Dvd Calendar'!$F$2072=TYPE1)*(TYPE1&lt;&gt;"")+('Dvd Calendar'!$F$2072=TYPE2)*(TYPE2&lt;&gt;"")+('Dvd Calendar'!$F$2072=TYPE3)*(TYPE3&lt;&gt;"")+('Dvd Calendar'!$F$2072=TYPE4)*(TYPE4&lt;&gt;"")+('Dvd Calendar'!$F$2072=SPECIAL_LBL)*(INC_SPECIALS="Y"))=0,"",'Dvd Calendar'!$F$2070)))</f>
        <v/>
      </c>
      <c r="E206" s="161">
        <f>IF(EG206="","",IF(ISNUMBER('Dvd Calendar'!$G$2070)=FALSE,"",IF((('Dvd Calendar'!$G$2072=TYPE1)*(TYPE1&lt;&gt;"")+('Dvd Calendar'!$G$2072=TYPE2)*(TYPE2&lt;&gt;"")+('Dvd Calendar'!$G$2072=TYPE3)*(TYPE3&lt;&gt;"")+('Dvd Calendar'!$G$2072=TYPE4)*(TYPE4&lt;&gt;"")+('Dvd Calendar'!$G$2072=SPECIAL_LBL)*(INC_SPECIALS="Y"))=0,"",'Dvd Calendar'!$G$2070)))</f>
        <v/>
      </c>
      <c r="F206" s="161">
        <f>IF(EH206="","",IF(ISNUMBER('Dvd Calendar'!$H$2070)=FALSE,"",IF((('Dvd Calendar'!$H$2072=TYPE1)*(TYPE1&lt;&gt;"")+('Dvd Calendar'!$H$2072=TYPE2)*(TYPE2&lt;&gt;"")+('Dvd Calendar'!$H$2072=TYPE3)*(TYPE3&lt;&gt;"")+('Dvd Calendar'!$H$2072=TYPE4)*(TYPE4&lt;&gt;"")+('Dvd Calendar'!$H$2072=SPECIAL_LBL)*(INC_SPECIALS="Y"))=0,"",'Dvd Calendar'!$H$2070)))</f>
        <v/>
      </c>
      <c r="G206" s="161">
        <f>IF(EI206="","",IF(ISNUMBER('Dvd Calendar'!$I$2070)=FALSE,"",IF((('Dvd Calendar'!$I$2072=TYPE1)*(TYPE1&lt;&gt;"")+('Dvd Calendar'!$I$2072=TYPE2)*(TYPE2&lt;&gt;"")+('Dvd Calendar'!$I$2072=TYPE3)*(TYPE3&lt;&gt;"")+('Dvd Calendar'!$I$2072=TYPE4)*(TYPE4&lt;&gt;"")+('Dvd Calendar'!$I$2072=SPECIAL_LBL)*(INC_SPECIALS="Y"))=0,"",'Dvd Calendar'!$I$2070)))</f>
        <v/>
      </c>
      <c r="H206" s="161">
        <f>IF(EJ206="","",IF(ISNUMBER('Dvd Calendar'!$J$2070)=FALSE,"",IF((('Dvd Calendar'!$J$2072=TYPE1)*(TYPE1&lt;&gt;"")+('Dvd Calendar'!$J$2072=TYPE2)*(TYPE2&lt;&gt;"")+('Dvd Calendar'!$J$2072=TYPE3)*(TYPE3&lt;&gt;"")+('Dvd Calendar'!$J$2072=TYPE4)*(TYPE4&lt;&gt;"")+('Dvd Calendar'!$J$2072=SPECIAL_LBL)*(INC_SPECIALS="Y"))=0,"",'Dvd Calendar'!$J$2070)))</f>
        <v/>
      </c>
      <c r="I206" s="161">
        <f>IF(EK206="","",IF(ISNUMBER('Dvd Calendar'!$K$2070)=FALSE,"",IF((('Dvd Calendar'!$K$2072=TYPE1)*(TYPE1&lt;&gt;"")+('Dvd Calendar'!$K$2072=TYPE2)*(TYPE2&lt;&gt;"")+('Dvd Calendar'!$K$2072=TYPE3)*(TYPE3&lt;&gt;"")+('Dvd Calendar'!$K$2072=TYPE4)*(TYPE4&lt;&gt;"")+('Dvd Calendar'!$K$2072=SPECIAL_LBL)*(INC_SPECIALS="Y"))=0,"",'Dvd Calendar'!$K$2070)))</f>
        <v/>
      </c>
      <c r="J206" s="161">
        <f>IF(EL206="","",IF(ISNUMBER('Dvd Calendar'!$L$2070)=FALSE,"",IF((('Dvd Calendar'!$L$2072=TYPE1)*(TYPE1&lt;&gt;"")+('Dvd Calendar'!$L$2072=TYPE2)*(TYPE2&lt;&gt;"")+('Dvd Calendar'!$L$2072=TYPE3)*(TYPE3&lt;&gt;"")+('Dvd Calendar'!$L$2072=TYPE4)*(TYPE4&lt;&gt;"")+('Dvd Calendar'!$L$2072=SPECIAL_LBL)*(INC_SPECIALS="Y"))=0,"",'Dvd Calendar'!$L$2070)))</f>
        <v/>
      </c>
      <c r="K206" s="161">
        <f>IF(EM206="","",IF(ISNUMBER('Dvd Calendar'!$M$2070)=FALSE,"",IF((('Dvd Calendar'!$M$2072=TYPE1)*(TYPE1&lt;&gt;"")+('Dvd Calendar'!$M$2072=TYPE2)*(TYPE2&lt;&gt;"")+('Dvd Calendar'!$M$2072=TYPE3)*(TYPE3&lt;&gt;"")+('Dvd Calendar'!$M$2072=TYPE4)*(TYPE4&lt;&gt;"")+('Dvd Calendar'!$M$2072=SPECIAL_LBL)*(INC_SPECIALS="Y"))=0,"",'Dvd Calendar'!$M$2070)))</f>
        <v/>
      </c>
      <c r="L206" s="161">
        <f>IF(EN206="","",IF(ISNUMBER('Dvd Calendar'!$N$2070)=FALSE,"",IF((('Dvd Calendar'!$N$2072=TYPE1)*(TYPE1&lt;&gt;"")+('Dvd Calendar'!$N$2072=TYPE2)*(TYPE2&lt;&gt;"")+('Dvd Calendar'!$N$2072=TYPE3)*(TYPE3&lt;&gt;"")+('Dvd Calendar'!$N$2072=TYPE4)*(TYPE4&lt;&gt;"")+('Dvd Calendar'!$N$2072=SPECIAL_LBL)*(INC_SPECIALS="Y"))=0,"",'Dvd Calendar'!$N$2070)))</f>
        <v/>
      </c>
      <c r="M206" s="161">
        <f>IF(EO206="","",IF(ISNUMBER('Dvd Calendar'!$O$2070)=FALSE,"",IF((('Dvd Calendar'!$O$2072=TYPE1)*(TYPE1&lt;&gt;"")+('Dvd Calendar'!$O$2072=TYPE2)*(TYPE2&lt;&gt;"")+('Dvd Calendar'!$O$2072=TYPE3)*(TYPE3&lt;&gt;"")+('Dvd Calendar'!$O$2072=TYPE4)*(TYPE4&lt;&gt;"")+('Dvd Calendar'!$O$2072=SPECIAL_LBL)*(INC_SPECIALS="Y"))=0,"",'Dvd Calendar'!$O$2070)))</f>
        <v/>
      </c>
      <c r="N206" s="161">
        <f>IF(EP206="","",IF(ISNUMBER('Dvd Calendar'!$P$2070)=FALSE,"",IF((('Dvd Calendar'!$P$2072=TYPE1)*(TYPE1&lt;&gt;"")+('Dvd Calendar'!$P$2072=TYPE2)*(TYPE2&lt;&gt;"")+('Dvd Calendar'!$P$2072=TYPE3)*(TYPE3&lt;&gt;"")+('Dvd Calendar'!$P$2072=TYPE4)*(TYPE4&lt;&gt;"")+('Dvd Calendar'!$P$2072=SPECIAL_LBL)*(INC_SPECIALS="Y"))=0,"",'Dvd Calendar'!$P$2070)))</f>
        <v/>
      </c>
      <c r="O206" s="161">
        <f>IF(EQ206="","",IF(ISNUMBER('Dvd Calendar'!$Q$2070)=FALSE,"",IF((('Dvd Calendar'!$Q$2072=TYPE1)*(TYPE1&lt;&gt;"")+('Dvd Calendar'!$Q$2072=TYPE2)*(TYPE2&lt;&gt;"")+('Dvd Calendar'!$Q$2072=TYPE3)*(TYPE3&lt;&gt;"")+('Dvd Calendar'!$Q$2072=TYPE4)*(TYPE4&lt;&gt;"")+('Dvd Calendar'!$Q$2072=SPECIAL_LBL)*(INC_SPECIALS="Y"))=0,"",'Dvd Calendar'!$Q$2070)))</f>
        <v/>
      </c>
      <c r="P206" s="161">
        <f>IF(ER206="","",IF(ISNUMBER('Dvd Calendar'!$R$2070)=FALSE,"",IF((('Dvd Calendar'!$R$2072=TYPE1)*(TYPE1&lt;&gt;"")+('Dvd Calendar'!$R$2072=TYPE2)*(TYPE2&lt;&gt;"")+('Dvd Calendar'!$R$2072=TYPE3)*(TYPE3&lt;&gt;"")+('Dvd Calendar'!$R$2072=TYPE4)*(TYPE4&lt;&gt;"")+('Dvd Calendar'!$R$2072=SPECIAL_LBL)*(INC_SPECIALS="Y"))=0,"",'Dvd Calendar'!$R$2070)))</f>
        <v/>
      </c>
      <c r="Q206" s="161">
        <f>IF(ES206="","",IF(ISNUMBER('Dvd Calendar'!$S$2070)=FALSE,"",IF((('Dvd Calendar'!$S$2072=TYPE1)*(TYPE1&lt;&gt;"")+('Dvd Calendar'!$S$2072=TYPE2)*(TYPE2&lt;&gt;"")+('Dvd Calendar'!$S$2072=TYPE3)*(TYPE3&lt;&gt;"")+('Dvd Calendar'!$S$2072=TYPE4)*(TYPE4&lt;&gt;"")+('Dvd Calendar'!$S$2072=SPECIAL_LBL)*(INC_SPECIALS="Y"))=0,"",'Dvd Calendar'!$S$2070)))</f>
        <v/>
      </c>
      <c r="R206" s="161">
        <f>IF(ET206="","",IF(ISNUMBER('Dvd Calendar'!$T$2070)=FALSE,"",IF((('Dvd Calendar'!$T$2072=TYPE1)*(TYPE1&lt;&gt;"")+('Dvd Calendar'!$T$2072=TYPE2)*(TYPE2&lt;&gt;"")+('Dvd Calendar'!$T$2072=TYPE3)*(TYPE3&lt;&gt;"")+('Dvd Calendar'!$T$2072=TYPE4)*(TYPE4&lt;&gt;"")+('Dvd Calendar'!$T$2072=SPECIAL_LBL)*(INC_SPECIALS="Y"))=0,"",'Dvd Calendar'!$T$2070)))</f>
        <v/>
      </c>
      <c r="S206" s="161">
        <f>IF(EU206="","",IF(ISNUMBER('Dvd Calendar'!$U$2070)=FALSE,"",IF((('Dvd Calendar'!$U$2072=TYPE1)*(TYPE1&lt;&gt;"")+('Dvd Calendar'!$U$2072=TYPE2)*(TYPE2&lt;&gt;"")+('Dvd Calendar'!$U$2072=TYPE3)*(TYPE3&lt;&gt;"")+('Dvd Calendar'!$U$2072=TYPE4)*(TYPE4&lt;&gt;"")+('Dvd Calendar'!$U$2072=SPECIAL_LBL)*(INC_SPECIALS="Y"))=0,"",'Dvd Calendar'!$U$2070)))</f>
        <v/>
      </c>
      <c r="T206" s="161">
        <f>IF(EV206="","",IF(ISNUMBER('Dvd Calendar'!$V$2070)=FALSE,"",IF((('Dvd Calendar'!$V$2072=TYPE1)*(TYPE1&lt;&gt;"")+('Dvd Calendar'!$V$2072=TYPE2)*(TYPE2&lt;&gt;"")+('Dvd Calendar'!$V$2072=TYPE3)*(TYPE3&lt;&gt;"")+('Dvd Calendar'!$V$2072=TYPE4)*(TYPE4&lt;&gt;"")+('Dvd Calendar'!$V$2072=SPECIAL_LBL)*(INC_SPECIALS="Y"))=0,"",'Dvd Calendar'!$V$2070)))</f>
        <v/>
      </c>
      <c r="U206" s="161">
        <f>IF(EW206="","",IF(ISNUMBER('Dvd Calendar'!$W$2070)=FALSE,"",IF((('Dvd Calendar'!$W$2072=TYPE1)*(TYPE1&lt;&gt;"")+('Dvd Calendar'!$W$2072=TYPE2)*(TYPE2&lt;&gt;"")+('Dvd Calendar'!$W$2072=TYPE3)*(TYPE3&lt;&gt;"")+('Dvd Calendar'!$W$2072=TYPE4)*(TYPE4&lt;&gt;"")+('Dvd Calendar'!$W$2072=SPECIAL_LBL)*(INC_SPECIALS="Y"))=0,"",'Dvd Calendar'!$W$2070)))</f>
        <v/>
      </c>
      <c r="V206" s="161">
        <f>IF(EX206="","",IF(ISNUMBER('Dvd Calendar'!$X$2070)=FALSE,"",IF((('Dvd Calendar'!$X$2072=TYPE1)*(TYPE1&lt;&gt;"")+('Dvd Calendar'!$X$2072=TYPE2)*(TYPE2&lt;&gt;"")+('Dvd Calendar'!$X$2072=TYPE3)*(TYPE3&lt;&gt;"")+('Dvd Calendar'!$X$2072=TYPE4)*(TYPE4&lt;&gt;"")+('Dvd Calendar'!$X$2072=SPECIAL_LBL)*(INC_SPECIALS="Y"))=0,"",'Dvd Calendar'!$X$2070)))</f>
        <v/>
      </c>
      <c r="W206" s="161">
        <f>IF(EY206="","",IF(ISNUMBER('Dvd Calendar'!$Y$2070)=FALSE,"",IF((('Dvd Calendar'!$Y$2072=TYPE1)*(TYPE1&lt;&gt;"")+('Dvd Calendar'!$Y$2072=TYPE2)*(TYPE2&lt;&gt;"")+('Dvd Calendar'!$Y$2072=TYPE3)*(TYPE3&lt;&gt;"")+('Dvd Calendar'!$Y$2072=TYPE4)*(TYPE4&lt;&gt;"")+('Dvd Calendar'!$Y$2072=SPECIAL_LBL)*(INC_SPECIALS="Y"))=0,"",'Dvd Calendar'!$Y$2070)))</f>
        <v/>
      </c>
      <c r="X206" s="161">
        <f>IF(EZ206="","",IF(ISNUMBER('Dvd Calendar'!$Z$2070)=FALSE,"",IF((('Dvd Calendar'!$Z$2072=TYPE1)*(TYPE1&lt;&gt;"")+('Dvd Calendar'!$Z$2072=TYPE2)*(TYPE2&lt;&gt;"")+('Dvd Calendar'!$Z$2072=TYPE3)*(TYPE3&lt;&gt;"")+('Dvd Calendar'!$Z$2072=TYPE4)*(TYPE4&lt;&gt;"")+('Dvd Calendar'!$Z$2072=SPECIAL_LBL)*(INC_SPECIALS="Y"))=0,"",'Dvd Calendar'!$Z$2070)))</f>
        <v/>
      </c>
      <c r="Y206" s="161">
        <f>IF(FA206="","",IF(ISNUMBER('Dvd Calendar'!$AA$2070)=FALSE,"",IF((('Dvd Calendar'!$AA$2072=TYPE1)*(TYPE1&lt;&gt;"")+('Dvd Calendar'!$AA$2072=TYPE2)*(TYPE2&lt;&gt;"")+('Dvd Calendar'!$AA$2072=TYPE3)*(TYPE3&lt;&gt;"")+('Dvd Calendar'!$AA$2072=TYPE4)*(TYPE4&lt;&gt;"")+('Dvd Calendar'!$AA$2072=SPECIAL_LBL)*(INC_SPECIALS="Y"))=0,"",'Dvd Calendar'!$AA$2070)))</f>
        <v/>
      </c>
      <c r="Z206" s="161">
        <f>IF(FB206="","",IF(ISNUMBER('Dvd Calendar'!$AB$2070)=FALSE,"",IF((('Dvd Calendar'!$AB$2072=TYPE1)*(TYPE1&lt;&gt;"")+('Dvd Calendar'!$AB$2072=TYPE2)*(TYPE2&lt;&gt;"")+('Dvd Calendar'!$AB$2072=TYPE3)*(TYPE3&lt;&gt;"")+('Dvd Calendar'!$AB$2072=TYPE4)*(TYPE4&lt;&gt;"")+('Dvd Calendar'!$AB$2072=SPECIAL_LBL)*(INC_SPECIALS="Y"))=0,"",'Dvd Calendar'!$AB$2070)))</f>
        <v/>
      </c>
      <c r="AA206" s="161">
        <f>IF(FC206="","",IF(ISNUMBER('Dvd Calendar'!$AC$2070)=FALSE,"",IF((('Dvd Calendar'!$AC$2072=TYPE1)*(TYPE1&lt;&gt;"")+('Dvd Calendar'!$AC$2072=TYPE2)*(TYPE2&lt;&gt;"")+('Dvd Calendar'!$AC$2072=TYPE3)*(TYPE3&lt;&gt;"")+('Dvd Calendar'!$AC$2072=TYPE4)*(TYPE4&lt;&gt;"")+('Dvd Calendar'!$AC$2072=SPECIAL_LBL)*(INC_SPECIALS="Y"))=0,"",'Dvd Calendar'!$AC$2070)))</f>
        <v/>
      </c>
      <c r="AB206" s="161">
        <f>IF(FD206="","",IF(ISNUMBER('Dvd Calendar'!$AD$2070)=FALSE,"",IF((('Dvd Calendar'!$AD$2072=TYPE1)*(TYPE1&lt;&gt;"")+('Dvd Calendar'!$AD$2072=TYPE2)*(TYPE2&lt;&gt;"")+('Dvd Calendar'!$AD$2072=TYPE3)*(TYPE3&lt;&gt;"")+('Dvd Calendar'!$AD$2072=TYPE4)*(TYPE4&lt;&gt;"")+('Dvd Calendar'!$AD$2072=SPECIAL_LBL)*(INC_SPECIALS="Y"))=0,"",'Dvd Calendar'!$AD$2070)))</f>
        <v/>
      </c>
      <c r="AC206" s="161">
        <f>IF(FE206="","",IF(ISNUMBER('Dvd Calendar'!$AE$2070)=FALSE,"",IF((('Dvd Calendar'!$AE$2072=TYPE1)*(TYPE1&lt;&gt;"")+('Dvd Calendar'!$AE$2072=TYPE2)*(TYPE2&lt;&gt;"")+('Dvd Calendar'!$AE$2072=TYPE3)*(TYPE3&lt;&gt;"")+('Dvd Calendar'!$AE$2072=TYPE4)*(TYPE4&lt;&gt;"")+('Dvd Calendar'!$AE$2072=SPECIAL_LBL)*(INC_SPECIALS="Y"))=0,"",'Dvd Calendar'!$AE$2070)))</f>
        <v/>
      </c>
      <c r="AD206" s="161">
        <f>IF(FF206="","",IF(ISNUMBER('Dvd Calendar'!$AF$2070)=FALSE,"",IF((('Dvd Calendar'!$AF$2072=TYPE1)*(TYPE1&lt;&gt;"")+('Dvd Calendar'!$AF$2072=TYPE2)*(TYPE2&lt;&gt;"")+('Dvd Calendar'!$AF$2072=TYPE3)*(TYPE3&lt;&gt;"")+('Dvd Calendar'!$AF$2072=TYPE4)*(TYPE4&lt;&gt;"")+('Dvd Calendar'!$AF$2072=SPECIAL_LBL)*(INC_SPECIALS="Y"))=0,"",'Dvd Calendar'!$AF$2070)))</f>
        <v/>
      </c>
      <c r="AE206" s="161">
        <f>IF(FG206="","",IF(ISNUMBER('Dvd Calendar'!$AG$2070)=FALSE,"",IF((('Dvd Calendar'!$AG$2072=TYPE1)*(TYPE1&lt;&gt;"")+('Dvd Calendar'!$AG$2072=TYPE2)*(TYPE2&lt;&gt;"")+('Dvd Calendar'!$AG$2072=TYPE3)*(TYPE3&lt;&gt;"")+('Dvd Calendar'!$AG$2072=TYPE4)*(TYPE4&lt;&gt;"")+('Dvd Calendar'!$AG$2072=SPECIAL_LBL)*(INC_SPECIALS="Y"))=0,"",'Dvd Calendar'!$AG$2070)))</f>
        <v/>
      </c>
      <c r="AF206" s="161">
        <f>IF(FH206="","",IF(ISNUMBER('Dvd Calendar'!$AH$2070)=FALSE,"",IF((('Dvd Calendar'!$AH$2072=TYPE1)*(TYPE1&lt;&gt;"")+('Dvd Calendar'!$AH$2072=TYPE2)*(TYPE2&lt;&gt;"")+('Dvd Calendar'!$AH$2072=TYPE3)*(TYPE3&lt;&gt;"")+('Dvd Calendar'!$AH$2072=TYPE4)*(TYPE4&lt;&gt;"")+('Dvd Calendar'!$AH$2072=SPECIAL_LBL)*(INC_SPECIALS="Y"))=0,"",'Dvd Calendar'!$AH$2070)))</f>
        <v/>
      </c>
      <c r="AG206" s="161">
        <f>IF(FI206="","",IF(ISNUMBER('Dvd Calendar'!$AI$2070)=FALSE,"",IF((('Dvd Calendar'!$AI$2072=TYPE1)*(TYPE1&lt;&gt;"")+('Dvd Calendar'!$AI$2072=TYPE2)*(TYPE2&lt;&gt;"")+('Dvd Calendar'!$AI$2072=TYPE3)*(TYPE3&lt;&gt;"")+('Dvd Calendar'!$AI$2072=TYPE4)*(TYPE4&lt;&gt;"")+('Dvd Calendar'!$AI$2072=SPECIAL_LBL)*(INC_SPECIALS="Y"))=0,"",'Dvd Calendar'!$AI$2070)))</f>
        <v/>
      </c>
      <c r="AH206" s="161">
        <f>IF(FJ206="","",IF(ISNUMBER('Dvd Calendar'!$AJ$2070)=FALSE,"",IF((('Dvd Calendar'!$AJ$2072=TYPE1)*(TYPE1&lt;&gt;"")+('Dvd Calendar'!$AJ$2072=TYPE2)*(TYPE2&lt;&gt;"")+('Dvd Calendar'!$AJ$2072=TYPE3)*(TYPE3&lt;&gt;"")+('Dvd Calendar'!$AJ$2072=TYPE4)*(TYPE4&lt;&gt;"")+('Dvd Calendar'!$AJ$2072=SPECIAL_LBL)*(INC_SPECIALS="Y"))=0,"",'Dvd Calendar'!$AJ$2070)))</f>
        <v/>
      </c>
      <c r="AI206" s="161">
        <f>IF(FK206="","",IF(ISNUMBER('Dvd Calendar'!$AK$2070)=FALSE,"",IF((('Dvd Calendar'!$AK$2072=TYPE1)*(TYPE1&lt;&gt;"")+('Dvd Calendar'!$AK$2072=TYPE2)*(TYPE2&lt;&gt;"")+('Dvd Calendar'!$AK$2072=TYPE3)*(TYPE3&lt;&gt;"")+('Dvd Calendar'!$AK$2072=TYPE4)*(TYPE4&lt;&gt;"")+('Dvd Calendar'!$AK$2072=SPECIAL_LBL)*(INC_SPECIALS="Y"))=0,"",'Dvd Calendar'!$AK$2070)))</f>
        <v/>
      </c>
      <c r="AJ206" s="161">
        <f>IF(FL206="","",IF(ISNUMBER('Dvd Calendar'!$AL$2070)=FALSE,"",IF((('Dvd Calendar'!$AL$2072=TYPE1)*(TYPE1&lt;&gt;"")+('Dvd Calendar'!$AL$2072=TYPE2)*(TYPE2&lt;&gt;"")+('Dvd Calendar'!$AL$2072=TYPE3)*(TYPE3&lt;&gt;"")+('Dvd Calendar'!$AL$2072=TYPE4)*(TYPE4&lt;&gt;"")+('Dvd Calendar'!$AL$2072=SPECIAL_LBL)*(INC_SPECIALS="Y"))=0,"",'Dvd Calendar'!$AL$2070)))</f>
        <v/>
      </c>
      <c r="AK206" s="161">
        <f>IF(FM206="","",IF(ISNUMBER('Dvd Calendar'!$AM$2070)=FALSE,"",IF((('Dvd Calendar'!$AM$2072=TYPE1)*(TYPE1&lt;&gt;"")+('Dvd Calendar'!$AM$2072=TYPE2)*(TYPE2&lt;&gt;"")+('Dvd Calendar'!$AM$2072=TYPE3)*(TYPE3&lt;&gt;"")+('Dvd Calendar'!$AM$2072=TYPE4)*(TYPE4&lt;&gt;"")+('Dvd Calendar'!$AM$2072=SPECIAL_LBL)*(INC_SPECIALS="Y"))=0,"",'Dvd Calendar'!$AM$2070)))</f>
        <v/>
      </c>
      <c r="AL206" s="161">
        <f>IF(FN206="","",IF(ISNUMBER('Dvd Calendar'!$AN$2070)=FALSE,"",IF((('Dvd Calendar'!$AN$2072=TYPE1)*(TYPE1&lt;&gt;"")+('Dvd Calendar'!$AN$2072=TYPE2)*(TYPE2&lt;&gt;"")+('Dvd Calendar'!$AN$2072=TYPE3)*(TYPE3&lt;&gt;"")+('Dvd Calendar'!$AN$2072=TYPE4)*(TYPE4&lt;&gt;"")+('Dvd Calendar'!$AN$2072=SPECIAL_LBL)*(INC_SPECIALS="Y"))=0,"",'Dvd Calendar'!$AN$2070)))</f>
        <v/>
      </c>
      <c r="AM206" s="161">
        <f>IF(FO206="","",IF(ISNUMBER('Dvd Calendar'!$AO$2070)=FALSE,"",IF((('Dvd Calendar'!$AO$2072=TYPE1)*(TYPE1&lt;&gt;"")+('Dvd Calendar'!$AO$2072=TYPE2)*(TYPE2&lt;&gt;"")+('Dvd Calendar'!$AO$2072=TYPE3)*(TYPE3&lt;&gt;"")+('Dvd Calendar'!$AO$2072=TYPE4)*(TYPE4&lt;&gt;"")+('Dvd Calendar'!$AO$2072=SPECIAL_LBL)*(INC_SPECIALS="Y"))=0,"",'Dvd Calendar'!$AO$2070)))</f>
        <v/>
      </c>
      <c r="AN206" s="161">
        <f>IF(FP206="","",IF(ISNUMBER('Dvd Calendar'!$AP$2070)=FALSE,"",IF((('Dvd Calendar'!$AP$2072=TYPE1)*(TYPE1&lt;&gt;"")+('Dvd Calendar'!$AP$2072=TYPE2)*(TYPE2&lt;&gt;"")+('Dvd Calendar'!$AP$2072=TYPE3)*(TYPE3&lt;&gt;"")+('Dvd Calendar'!$AP$2072=TYPE4)*(TYPE4&lt;&gt;"")+('Dvd Calendar'!$AP$2072=SPECIAL_LBL)*(INC_SPECIALS="Y"))=0,"",'Dvd Calendar'!$AP$2070)))</f>
        <v/>
      </c>
      <c r="AO206" s="161">
        <f>IF(FQ206="","",IF(ISNUMBER('Dvd Calendar'!$AQ$2070)=FALSE,"",IF((('Dvd Calendar'!$AQ$2072=TYPE1)*(TYPE1&lt;&gt;"")+('Dvd Calendar'!$AQ$2072=TYPE2)*(TYPE2&lt;&gt;"")+('Dvd Calendar'!$AQ$2072=TYPE3)*(TYPE3&lt;&gt;"")+('Dvd Calendar'!$AQ$2072=TYPE4)*(TYPE4&lt;&gt;"")+('Dvd Calendar'!$AQ$2072=SPECIAL_LBL)*(INC_SPECIALS="Y"))=0,"",'Dvd Calendar'!$AQ$2070)))</f>
        <v/>
      </c>
      <c r="AP206" s="161">
        <f>IF(FR206="","",IF(ISNUMBER('Dvd Calendar'!$AR$2070)=FALSE,"",IF((('Dvd Calendar'!$AR$2072=TYPE1)*(TYPE1&lt;&gt;"")+('Dvd Calendar'!$AR$2072=TYPE2)*(TYPE2&lt;&gt;"")+('Dvd Calendar'!$AR$2072=TYPE3)*(TYPE3&lt;&gt;"")+('Dvd Calendar'!$AR$2072=TYPE4)*(TYPE4&lt;&gt;"")+('Dvd Calendar'!$AR$2072=SPECIAL_LBL)*(INC_SPECIALS="Y"))=0,"",'Dvd Calendar'!$AR$2070)))</f>
        <v/>
      </c>
      <c r="AQ206" s="161">
        <f>IF(FS206="","",IF(ISNUMBER('Dvd Calendar'!$E$2075)=FALSE,"",'Dvd Calendar'!$E$2075))</f>
        <v/>
      </c>
      <c r="AR206" s="161">
        <f>IF(FT206="","",IF(ISNUMBER('Dvd Calendar'!$F$2075)=FALSE,"",'Dvd Calendar'!$F$2075))</f>
        <v/>
      </c>
      <c r="AS206" s="161">
        <f>IF(FU206="","",IF(ISNUMBER('Dvd Calendar'!$G$2075)=FALSE,"",'Dvd Calendar'!$G$2075))</f>
        <v/>
      </c>
      <c r="AT206" s="161">
        <f>IF(FV206="","",IF(ISNUMBER('Dvd Calendar'!$H$2075)=FALSE,"",'Dvd Calendar'!$H$2075))</f>
        <v/>
      </c>
      <c r="AU206" s="161">
        <f>IF(FW206="","",IF(ISNUMBER('Dvd Calendar'!$I$2075)=FALSE,"",'Dvd Calendar'!$I$2075))</f>
        <v/>
      </c>
      <c r="AV206" s="161">
        <f>IF(FX206="","",IF(ISNUMBER('Dvd Calendar'!$J$2075)=FALSE,"",'Dvd Calendar'!$J$2075))</f>
        <v/>
      </c>
      <c r="AW206" s="161">
        <f>IF(FY206="","",IF(ISNUMBER('Dvd Calendar'!$K$2075)=FALSE,"",'Dvd Calendar'!$K$2075))</f>
        <v/>
      </c>
      <c r="AX206" s="161">
        <f>IF(FZ206="","",IF(ISNUMBER('Dvd Calendar'!$L$2075)=FALSE,"",'Dvd Calendar'!$L$2075))</f>
        <v/>
      </c>
      <c r="AY206" s="161">
        <f>IF(GA206="","",IF(ISNUMBER('Dvd Calendar'!$M$2075)=FALSE,"",'Dvd Calendar'!$M$2075))</f>
        <v/>
      </c>
      <c r="AZ206" s="161">
        <f>IF(GB206="","",IF(ISNUMBER('Dvd Calendar'!$N$2075)=FALSE,"",'Dvd Calendar'!$N$2075))</f>
        <v/>
      </c>
      <c r="BA206" s="161">
        <f>IF(GC206="","",IF(ISNUMBER('Dvd Calendar'!$O$2075)=FALSE,"",'Dvd Calendar'!$O$2075))</f>
        <v/>
      </c>
      <c r="BB206" s="161">
        <f>IF(GD206="","",IF(ISNUMBER('Dvd Calendar'!$P$2075)=FALSE,"",'Dvd Calendar'!$P$2075))</f>
        <v/>
      </c>
      <c r="BC206" s="161">
        <f>IF(GE206="","",IF(ISNUMBER('Dvd Calendar'!$Q$2075)=FALSE,"",'Dvd Calendar'!$Q$2075))</f>
        <v/>
      </c>
      <c r="BD206" s="161">
        <f>IF(GF206="","",IF(ISNUMBER('Dvd Calendar'!$R$2075)=FALSE,"",'Dvd Calendar'!$R$2075))</f>
        <v/>
      </c>
      <c r="BE206" s="161">
        <f>IF(GG206="","",IF(ISNUMBER('Dvd Calendar'!$S$2075)=FALSE,"",'Dvd Calendar'!$S$2075))</f>
        <v/>
      </c>
      <c r="BF206" s="161">
        <f>IF(GH206="","",IF(ISNUMBER('Dvd Calendar'!$T$2075)=FALSE,"",'Dvd Calendar'!$T$2075))</f>
        <v/>
      </c>
      <c r="BG206" s="161">
        <f>IF(GI206="","",IF(ISNUMBER('Dvd Calendar'!$U$2075)=FALSE,"",'Dvd Calendar'!$U$2075))</f>
        <v/>
      </c>
      <c r="BH206" s="161">
        <f>IF(GJ206="","",IF(ISNUMBER('Dvd Calendar'!$V$2075)=FALSE,"",'Dvd Calendar'!$V$2075))</f>
        <v/>
      </c>
      <c r="BI206" s="161">
        <f>IF(GK206="","",IF(ISNUMBER('Dvd Calendar'!$W$2075)=FALSE,"",'Dvd Calendar'!$W$2075))</f>
        <v/>
      </c>
      <c r="BJ206" s="161">
        <f>IF(GL206="","",IF(ISNUMBER('Dvd Calendar'!$X$2075)=FALSE,"",'Dvd Calendar'!$X$2075))</f>
        <v/>
      </c>
      <c r="BK206" s="161">
        <f>IF(GM206="","",IF(ISNUMBER('Dvd Calendar'!$Y$2075)=FALSE,"",'Dvd Calendar'!$Y$2075))</f>
        <v/>
      </c>
      <c r="BL206" s="161">
        <f>IF(GN206="","",IF(ISNUMBER('Dvd Calendar'!$Z$2075)=FALSE,"",'Dvd Calendar'!$Z$2075))</f>
        <v/>
      </c>
      <c r="BM206" s="161">
        <f>IF(GO206="","",IF(ISNUMBER('Dvd Calendar'!$AA$2075)=FALSE,"",'Dvd Calendar'!$AA$2075))</f>
        <v/>
      </c>
      <c r="BN206" s="161">
        <f>IF(GP206="","",IF(ISNUMBER('Dvd Calendar'!$AB$2075)=FALSE,"",'Dvd Calendar'!$AB$2075))</f>
        <v/>
      </c>
      <c r="BO206" s="161">
        <f>IF(GQ206="","",IF(ISNUMBER('Dvd Calendar'!$AC$2075)=FALSE,"",'Dvd Calendar'!$AC$2075))</f>
        <v/>
      </c>
      <c r="BQ206" s="161">
        <f>IF(C206="","",IFERROR(C206*HSCEI!$B$53*HSCEI!$G$53/HSCEI!$B$3,""))</f>
        <v/>
      </c>
      <c r="BR206" s="161">
        <f>IF(D206="","",IFERROR(D206*HSCEI!$B$53*HSCEI!$G$53/HSCEI!$B$3,""))</f>
        <v/>
      </c>
      <c r="BS206" s="161">
        <f>IF(E206="","",IFERROR(E206*HSCEI!$B$53*HSCEI!$G$53/HSCEI!$B$3,""))</f>
        <v/>
      </c>
      <c r="BT206" s="161">
        <f>IF(F206="","",IFERROR(F206*HSCEI!$B$53*HSCEI!$G$53/HSCEI!$B$3,""))</f>
        <v/>
      </c>
      <c r="BU206" s="161">
        <f>IF(G206="","",IFERROR(G206*HSCEI!$B$53*HSCEI!$G$53/HSCEI!$B$3,""))</f>
        <v/>
      </c>
      <c r="BV206" s="161">
        <f>IF(H206="","",IFERROR(H206*HSCEI!$B$53*HSCEI!$G$53/HSCEI!$B$3,""))</f>
        <v/>
      </c>
      <c r="BW206" s="161">
        <f>IF(I206="","",IFERROR(I206*HSCEI!$B$53*HSCEI!$G$53/HSCEI!$B$3,""))</f>
        <v/>
      </c>
      <c r="BX206" s="161">
        <f>IF(J206="","",IFERROR(J206*HSCEI!$B$53*HSCEI!$G$53/HSCEI!$B$3,""))</f>
        <v/>
      </c>
      <c r="BY206" s="161">
        <f>IF(K206="","",IFERROR(K206*HSCEI!$B$53*HSCEI!$G$53/HSCEI!$B$3,""))</f>
        <v/>
      </c>
      <c r="BZ206" s="161">
        <f>IF(L206="","",IFERROR(L206*HSCEI!$B$53*HSCEI!$G$53/HSCEI!$B$3,""))</f>
        <v/>
      </c>
      <c r="CA206" s="161">
        <f>IF(M206="","",IFERROR(M206*HSCEI!$B$53*HSCEI!$G$53/HSCEI!$B$3,""))</f>
        <v/>
      </c>
      <c r="CB206" s="161">
        <f>IF(N206="","",IFERROR(N206*HSCEI!$B$53*HSCEI!$G$53/HSCEI!$B$3,""))</f>
        <v/>
      </c>
      <c r="CC206" s="161">
        <f>IF(O206="","",IFERROR(O206*HSCEI!$B$53*HSCEI!$G$53/HSCEI!$B$3,""))</f>
        <v/>
      </c>
      <c r="CD206" s="161">
        <f>IF(P206="","",IFERROR(P206*HSCEI!$B$53*HSCEI!$G$53/HSCEI!$B$3,""))</f>
        <v/>
      </c>
      <c r="CE206" s="161">
        <f>IF(Q206="","",IFERROR(Q206*HSCEI!$B$53*HSCEI!$G$53/HSCEI!$B$3,""))</f>
        <v/>
      </c>
      <c r="CF206" s="161">
        <f>IF(R206="","",IFERROR(R206*HSCEI!$B$53*HSCEI!$G$53/HSCEI!$B$3,""))</f>
        <v/>
      </c>
      <c r="CG206" s="161">
        <f>IF(S206="","",IFERROR(S206*HSCEI!$B$53*HSCEI!$G$53/HSCEI!$B$3,""))</f>
        <v/>
      </c>
      <c r="CH206" s="161">
        <f>IF(T206="","",IFERROR(T206*HSCEI!$B$53*HSCEI!$G$53/HSCEI!$B$3,""))</f>
        <v/>
      </c>
      <c r="CI206" s="161">
        <f>IF(U206="","",IFERROR(U206*HSCEI!$B$53*HSCEI!$G$53/HSCEI!$B$3,""))</f>
        <v/>
      </c>
      <c r="CJ206" s="161">
        <f>IF(V206="","",IFERROR(V206*HSCEI!$B$53*HSCEI!$G$53/HSCEI!$B$3,""))</f>
        <v/>
      </c>
      <c r="CK206" s="161">
        <f>IF(W206="","",IFERROR(W206*HSCEI!$B$53*HSCEI!$G$53/HSCEI!$B$3,""))</f>
        <v/>
      </c>
      <c r="CL206" s="161">
        <f>IF(X206="","",IFERROR(X206*HSCEI!$B$53*HSCEI!$G$53/HSCEI!$B$3,""))</f>
        <v/>
      </c>
      <c r="CM206" s="161">
        <f>IF(Y206="","",IFERROR(Y206*HSCEI!$B$53*HSCEI!$G$53/HSCEI!$B$3,""))</f>
        <v/>
      </c>
      <c r="CN206" s="161">
        <f>IF(Z206="","",IFERROR(Z206*HSCEI!$B$53*HSCEI!$G$53/HSCEI!$B$3,""))</f>
        <v/>
      </c>
      <c r="CO206" s="161">
        <f>IF(AA206="","",IFERROR(AA206*HSCEI!$B$53*HSCEI!$G$53/HSCEI!$B$3,""))</f>
        <v/>
      </c>
      <c r="CP206" s="161">
        <f>IF(AB206="","",IFERROR(AB206*HSCEI!$B$53*HSCEI!$G$53/HSCEI!$B$3,""))</f>
        <v/>
      </c>
      <c r="CQ206" s="161">
        <f>IF(AC206="","",IFERROR(AC206*HSCEI!$B$53*HSCEI!$G$53/HSCEI!$B$3,""))</f>
        <v/>
      </c>
      <c r="CR206" s="161">
        <f>IF(AD206="","",IFERROR(AD206*HSCEI!$B$53*HSCEI!$G$53/HSCEI!$B$3,""))</f>
        <v/>
      </c>
      <c r="CS206" s="161">
        <f>IF(AE206="","",IFERROR(AE206*HSCEI!$B$53*HSCEI!$G$53/HSCEI!$B$3,""))</f>
        <v/>
      </c>
      <c r="CT206" s="161">
        <f>IF(AF206="","",IFERROR(AF206*HSCEI!$B$53*HSCEI!$G$53/HSCEI!$B$3,""))</f>
        <v/>
      </c>
      <c r="CU206" s="161">
        <f>IF(AG206="","",IFERROR(AG206*HSCEI!$B$53*HSCEI!$G$53/HSCEI!$B$3,""))</f>
        <v/>
      </c>
      <c r="CV206" s="161">
        <f>IF(AH206="","",IFERROR(AH206*HSCEI!$B$53*HSCEI!$G$53/HSCEI!$B$3,""))</f>
        <v/>
      </c>
      <c r="CW206" s="161">
        <f>IF(AI206="","",IFERROR(AI206*HSCEI!$B$53*HSCEI!$G$53/HSCEI!$B$3,""))</f>
        <v/>
      </c>
      <c r="CX206" s="161">
        <f>IF(AJ206="","",IFERROR(AJ206*HSCEI!$B$53*HSCEI!$G$53/HSCEI!$B$3,""))</f>
        <v/>
      </c>
      <c r="CY206" s="161">
        <f>IF(AK206="","",IFERROR(AK206*HSCEI!$B$53*HSCEI!$G$53/HSCEI!$B$3,""))</f>
        <v/>
      </c>
      <c r="CZ206" s="161">
        <f>IF(AL206="","",IFERROR(AL206*HSCEI!$B$53*HSCEI!$G$53/HSCEI!$B$3,""))</f>
        <v/>
      </c>
      <c r="DA206" s="161">
        <f>IF(AM206="","",IFERROR(AM206*HSCEI!$B$53*HSCEI!$G$53/HSCEI!$B$3,""))</f>
        <v/>
      </c>
      <c r="DB206" s="161">
        <f>IF(AN206="","",IFERROR(AN206*HSCEI!$B$53*HSCEI!$G$53/HSCEI!$B$3,""))</f>
        <v/>
      </c>
      <c r="DC206" s="161">
        <f>IF(AO206="","",IFERROR(AO206*HSCEI!$B$53*HSCEI!$G$53/HSCEI!$B$3,""))</f>
        <v/>
      </c>
      <c r="DD206" s="161">
        <f>IF(AP206="","",IFERROR(AP206*HSCEI!$B$53*HSCEI!$G$53/HSCEI!$B$3,""))</f>
        <v/>
      </c>
      <c r="DE206" s="161">
        <f>IF(AQ206="","",IFERROR(AQ206*HSCEI!$B$53*HSCEI!$G$53/HSCEI!$B$3,""))</f>
        <v/>
      </c>
      <c r="DF206" s="161">
        <f>IF(AR206="","",IFERROR(AR206*HSCEI!$B$53*HSCEI!$G$53/HSCEI!$B$3,""))</f>
        <v/>
      </c>
      <c r="DG206" s="161">
        <f>IF(AS206="","",IFERROR(AS206*HSCEI!$B$53*HSCEI!$G$53/HSCEI!$B$3,""))</f>
        <v/>
      </c>
      <c r="DH206" s="161">
        <f>IF(AT206="","",IFERROR(AT206*HSCEI!$B$53*HSCEI!$G$53/HSCEI!$B$3,""))</f>
        <v/>
      </c>
      <c r="DI206" s="161">
        <f>IF(AU206="","",IFERROR(AU206*HSCEI!$B$53*HSCEI!$G$53/HSCEI!$B$3,""))</f>
        <v/>
      </c>
      <c r="DJ206" s="161">
        <f>IF(AV206="","",IFERROR(AV206*HSCEI!$B$53*HSCEI!$G$53/HSCEI!$B$3,""))</f>
        <v/>
      </c>
      <c r="DK206" s="161">
        <f>IF(AW206="","",IFERROR(AW206*HSCEI!$B$53*HSCEI!$G$53/HSCEI!$B$3,""))</f>
        <v/>
      </c>
      <c r="DL206" s="161">
        <f>IF(AX206="","",IFERROR(AX206*HSCEI!$B$53*HSCEI!$G$53/HSCEI!$B$3,""))</f>
        <v/>
      </c>
      <c r="DM206" s="161">
        <f>IF(AY206="","",IFERROR(AY206*HSCEI!$B$53*HSCEI!$G$53/HSCEI!$B$3,""))</f>
        <v/>
      </c>
      <c r="DN206" s="161">
        <f>IF(AZ206="","",IFERROR(AZ206*HSCEI!$B$53*HSCEI!$G$53/HSCEI!$B$3,""))</f>
        <v/>
      </c>
      <c r="DO206" s="161">
        <f>IF(BA206="","",IFERROR(BA206*HSCEI!$B$53*HSCEI!$G$53/HSCEI!$B$3,""))</f>
        <v/>
      </c>
      <c r="DP206" s="161">
        <f>IF(BB206="","",IFERROR(BB206*HSCEI!$B$53*HSCEI!$G$53/HSCEI!$B$3,""))</f>
        <v/>
      </c>
      <c r="DQ206" s="161">
        <f>IF(BC206="","",IFERROR(BC206*HSCEI!$B$53*HSCEI!$G$53/HSCEI!$B$3,""))</f>
        <v/>
      </c>
      <c r="DR206" s="161">
        <f>IF(BD206="","",IFERROR(BD206*HSCEI!$B$53*HSCEI!$G$53/HSCEI!$B$3,""))</f>
        <v/>
      </c>
      <c r="DS206" s="161">
        <f>IF(BE206="","",IFERROR(BE206*HSCEI!$B$53*HSCEI!$G$53/HSCEI!$B$3,""))</f>
        <v/>
      </c>
      <c r="DT206" s="161">
        <f>IF(BF206="","",IFERROR(BF206*HSCEI!$B$53*HSCEI!$G$53/HSCEI!$B$3,""))</f>
        <v/>
      </c>
      <c r="DU206" s="161">
        <f>IF(BG206="","",IFERROR(BG206*HSCEI!$B$53*HSCEI!$G$53/HSCEI!$B$3,""))</f>
        <v/>
      </c>
      <c r="DV206" s="161">
        <f>IF(BH206="","",IFERROR(BH206*HSCEI!$B$53*HSCEI!$G$53/HSCEI!$B$3,""))</f>
        <v/>
      </c>
      <c r="DW206" s="161">
        <f>IF(BI206="","",IFERROR(BI206*HSCEI!$B$53*HSCEI!$G$53/HSCEI!$B$3,""))</f>
        <v/>
      </c>
      <c r="DX206" s="161">
        <f>IF(BJ206="","",IFERROR(BJ206*HSCEI!$B$53*HSCEI!$G$53/HSCEI!$B$3,""))</f>
        <v/>
      </c>
      <c r="DY206" s="161">
        <f>IF(BK206="","",IFERROR(BK206*HSCEI!$B$53*HSCEI!$G$53/HSCEI!$B$3,""))</f>
        <v/>
      </c>
      <c r="DZ206" s="161">
        <f>IF(BL206="","",IFERROR(BL206*HSCEI!$B$53*HSCEI!$G$53/HSCEI!$B$3,""))</f>
        <v/>
      </c>
      <c r="EA206" s="161">
        <f>IF(BM206="","",IFERROR(BM206*HSCEI!$B$53*HSCEI!$G$53/HSCEI!$B$3,""))</f>
        <v/>
      </c>
      <c r="EB206" s="161">
        <f>IF(BN206="","",IFERROR(BN206*HSCEI!$B$53*HSCEI!$G$53/HSCEI!$B$3,""))</f>
        <v/>
      </c>
      <c r="EC206" s="161">
        <f>IF(BO206="","",IFERROR(BO206*HSCEI!$B$53*HSCEI!$G$53/HSCEI!$B$3,""))</f>
        <v/>
      </c>
      <c r="EE206" s="121">
        <f>IF(N('Dvd Calendar'!$E$2067)=0,"",IF(('Dvd Calendar'!$E$2067&gt;=GRID_FROM)*('Dvd Calendar'!$E$2067&lt;=GRID_TO)*((('Dvd Calendar'!$E$2067&lt;=VAL_DATE)+(COUNTIF('Dvd Calendar'!$E$2074:$AR$2074,'Dvd Calendar'!$E$2067)=0))&gt;0)=0,"",'Dvd Calendar'!$E$2067*1000000000+ISNUMBER('Dvd Calendar'!$E$2070)*100000000+('Dvd Calendar'!$E$2072=SPECIAL_LBL)*10000000+(N('Dvd Calendar'!$E$2066)&gt;0)*(N('Dvd Calendar'!$E$2066)&lt;=VAL_SERIAL)*1000000+47*1000+1))</f>
        <v/>
      </c>
      <c r="EF206" s="121">
        <f>IF(N('Dvd Calendar'!$F$2067)=0,"",IF(('Dvd Calendar'!$F$2067&gt;=GRID_FROM)*('Dvd Calendar'!$F$2067&lt;=GRID_TO)*((('Dvd Calendar'!$F$2067&lt;=VAL_DATE)+(COUNTIF('Dvd Calendar'!$E$2074:$AR$2074,'Dvd Calendar'!$F$2067)=0))&gt;0)=0,"",'Dvd Calendar'!$F$2067*1000000000+ISNUMBER('Dvd Calendar'!$F$2070)*100000000+('Dvd Calendar'!$F$2072=SPECIAL_LBL)*10000000+(N('Dvd Calendar'!$F$2066)&gt;0)*(N('Dvd Calendar'!$F$2066)&lt;=VAL_SERIAL)*1000000+47*1000+2))</f>
        <v/>
      </c>
      <c r="EG206" s="121">
        <f>IF(N('Dvd Calendar'!$G$2067)=0,"",IF(('Dvd Calendar'!$G$2067&gt;=GRID_FROM)*('Dvd Calendar'!$G$2067&lt;=GRID_TO)*((('Dvd Calendar'!$G$2067&lt;=VAL_DATE)+(COUNTIF('Dvd Calendar'!$E$2074:$AR$2074,'Dvd Calendar'!$G$2067)=0))&gt;0)=0,"",'Dvd Calendar'!$G$2067*1000000000+ISNUMBER('Dvd Calendar'!$G$2070)*100000000+('Dvd Calendar'!$G$2072=SPECIAL_LBL)*10000000+(N('Dvd Calendar'!$G$2066)&gt;0)*(N('Dvd Calendar'!$G$2066)&lt;=VAL_SERIAL)*1000000+47*1000+3))</f>
        <v/>
      </c>
      <c r="EH206" s="121">
        <f>IF(N('Dvd Calendar'!$H$2067)=0,"",IF(('Dvd Calendar'!$H$2067&gt;=GRID_FROM)*('Dvd Calendar'!$H$2067&lt;=GRID_TO)*((('Dvd Calendar'!$H$2067&lt;=VAL_DATE)+(COUNTIF('Dvd Calendar'!$E$2074:$AR$2074,'Dvd Calendar'!$H$2067)=0))&gt;0)=0,"",'Dvd Calendar'!$H$2067*1000000000+ISNUMBER('Dvd Calendar'!$H$2070)*100000000+('Dvd Calendar'!$H$2072=SPECIAL_LBL)*10000000+(N('Dvd Calendar'!$H$2066)&gt;0)*(N('Dvd Calendar'!$H$2066)&lt;=VAL_SERIAL)*1000000+47*1000+4))</f>
        <v/>
      </c>
      <c r="EI206" s="121">
        <f>IF(N('Dvd Calendar'!$I$2067)=0,"",IF(('Dvd Calendar'!$I$2067&gt;=GRID_FROM)*('Dvd Calendar'!$I$2067&lt;=GRID_TO)*((('Dvd Calendar'!$I$2067&lt;=VAL_DATE)+(COUNTIF('Dvd Calendar'!$E$2074:$AR$2074,'Dvd Calendar'!$I$2067)=0))&gt;0)=0,"",'Dvd Calendar'!$I$2067*1000000000+ISNUMBER('Dvd Calendar'!$I$2070)*100000000+('Dvd Calendar'!$I$2072=SPECIAL_LBL)*10000000+(N('Dvd Calendar'!$I$2066)&gt;0)*(N('Dvd Calendar'!$I$2066)&lt;=VAL_SERIAL)*1000000+47*1000+5))</f>
        <v/>
      </c>
      <c r="EJ206" s="121">
        <f>IF(N('Dvd Calendar'!$J$2067)=0,"",IF(('Dvd Calendar'!$J$2067&gt;=GRID_FROM)*('Dvd Calendar'!$J$2067&lt;=GRID_TO)*((('Dvd Calendar'!$J$2067&lt;=VAL_DATE)+(COUNTIF('Dvd Calendar'!$E$2074:$AR$2074,'Dvd Calendar'!$J$2067)=0))&gt;0)=0,"",'Dvd Calendar'!$J$2067*1000000000+ISNUMBER('Dvd Calendar'!$J$2070)*100000000+('Dvd Calendar'!$J$2072=SPECIAL_LBL)*10000000+(N('Dvd Calendar'!$J$2066)&gt;0)*(N('Dvd Calendar'!$J$2066)&lt;=VAL_SERIAL)*1000000+47*1000+6))</f>
        <v/>
      </c>
      <c r="EK206" s="121">
        <f>IF(N('Dvd Calendar'!$K$2067)=0,"",IF(('Dvd Calendar'!$K$2067&gt;=GRID_FROM)*('Dvd Calendar'!$K$2067&lt;=GRID_TO)*((('Dvd Calendar'!$K$2067&lt;=VAL_DATE)+(COUNTIF('Dvd Calendar'!$E$2074:$AR$2074,'Dvd Calendar'!$K$2067)=0))&gt;0)=0,"",'Dvd Calendar'!$K$2067*1000000000+ISNUMBER('Dvd Calendar'!$K$2070)*100000000+('Dvd Calendar'!$K$2072=SPECIAL_LBL)*10000000+(N('Dvd Calendar'!$K$2066)&gt;0)*(N('Dvd Calendar'!$K$2066)&lt;=VAL_SERIAL)*1000000+47*1000+7))</f>
        <v/>
      </c>
      <c r="EL206" s="121">
        <f>IF(N('Dvd Calendar'!$L$2067)=0,"",IF(('Dvd Calendar'!$L$2067&gt;=GRID_FROM)*('Dvd Calendar'!$L$2067&lt;=GRID_TO)*((('Dvd Calendar'!$L$2067&lt;=VAL_DATE)+(COUNTIF('Dvd Calendar'!$E$2074:$AR$2074,'Dvd Calendar'!$L$2067)=0))&gt;0)=0,"",'Dvd Calendar'!$L$2067*1000000000+ISNUMBER('Dvd Calendar'!$L$2070)*100000000+('Dvd Calendar'!$L$2072=SPECIAL_LBL)*10000000+(N('Dvd Calendar'!$L$2066)&gt;0)*(N('Dvd Calendar'!$L$2066)&lt;=VAL_SERIAL)*1000000+47*1000+8))</f>
        <v/>
      </c>
      <c r="EM206" s="121">
        <f>IF(N('Dvd Calendar'!$M$2067)=0,"",IF(('Dvd Calendar'!$M$2067&gt;=GRID_FROM)*('Dvd Calendar'!$M$2067&lt;=GRID_TO)*((('Dvd Calendar'!$M$2067&lt;=VAL_DATE)+(COUNTIF('Dvd Calendar'!$E$2074:$AR$2074,'Dvd Calendar'!$M$2067)=0))&gt;0)=0,"",'Dvd Calendar'!$M$2067*1000000000+ISNUMBER('Dvd Calendar'!$M$2070)*100000000+('Dvd Calendar'!$M$2072=SPECIAL_LBL)*10000000+(N('Dvd Calendar'!$M$2066)&gt;0)*(N('Dvd Calendar'!$M$2066)&lt;=VAL_SERIAL)*1000000+47*1000+9))</f>
        <v/>
      </c>
      <c r="EN206" s="121">
        <f>IF(N('Dvd Calendar'!$N$2067)=0,"",IF(('Dvd Calendar'!$N$2067&gt;=GRID_FROM)*('Dvd Calendar'!$N$2067&lt;=GRID_TO)*((('Dvd Calendar'!$N$2067&lt;=VAL_DATE)+(COUNTIF('Dvd Calendar'!$E$2074:$AR$2074,'Dvd Calendar'!$N$2067)=0))&gt;0)=0,"",'Dvd Calendar'!$N$2067*1000000000+ISNUMBER('Dvd Calendar'!$N$2070)*100000000+('Dvd Calendar'!$N$2072=SPECIAL_LBL)*10000000+(N('Dvd Calendar'!$N$2066)&gt;0)*(N('Dvd Calendar'!$N$2066)&lt;=VAL_SERIAL)*1000000+47*1000+10))</f>
        <v/>
      </c>
      <c r="EO206" s="121">
        <f>IF(N('Dvd Calendar'!$O$2067)=0,"",IF(('Dvd Calendar'!$O$2067&gt;=GRID_FROM)*('Dvd Calendar'!$O$2067&lt;=GRID_TO)*((('Dvd Calendar'!$O$2067&lt;=VAL_DATE)+(COUNTIF('Dvd Calendar'!$E$2074:$AR$2074,'Dvd Calendar'!$O$2067)=0))&gt;0)=0,"",'Dvd Calendar'!$O$2067*1000000000+ISNUMBER('Dvd Calendar'!$O$2070)*100000000+('Dvd Calendar'!$O$2072=SPECIAL_LBL)*10000000+(N('Dvd Calendar'!$O$2066)&gt;0)*(N('Dvd Calendar'!$O$2066)&lt;=VAL_SERIAL)*1000000+47*1000+11))</f>
        <v/>
      </c>
      <c r="EP206" s="121">
        <f>IF(N('Dvd Calendar'!$P$2067)=0,"",IF(('Dvd Calendar'!$P$2067&gt;=GRID_FROM)*('Dvd Calendar'!$P$2067&lt;=GRID_TO)*((('Dvd Calendar'!$P$2067&lt;=VAL_DATE)+(COUNTIF('Dvd Calendar'!$E$2074:$AR$2074,'Dvd Calendar'!$P$2067)=0))&gt;0)=0,"",'Dvd Calendar'!$P$2067*1000000000+ISNUMBER('Dvd Calendar'!$P$2070)*100000000+('Dvd Calendar'!$P$2072=SPECIAL_LBL)*10000000+(N('Dvd Calendar'!$P$2066)&gt;0)*(N('Dvd Calendar'!$P$2066)&lt;=VAL_SERIAL)*1000000+47*1000+12))</f>
        <v/>
      </c>
      <c r="EQ206" s="121">
        <f>IF(N('Dvd Calendar'!$Q$2067)=0,"",IF(('Dvd Calendar'!$Q$2067&gt;=GRID_FROM)*('Dvd Calendar'!$Q$2067&lt;=GRID_TO)*((('Dvd Calendar'!$Q$2067&lt;=VAL_DATE)+(COUNTIF('Dvd Calendar'!$E$2074:$AR$2074,'Dvd Calendar'!$Q$2067)=0))&gt;0)=0,"",'Dvd Calendar'!$Q$2067*1000000000+ISNUMBER('Dvd Calendar'!$Q$2070)*100000000+('Dvd Calendar'!$Q$2072=SPECIAL_LBL)*10000000+(N('Dvd Calendar'!$Q$2066)&gt;0)*(N('Dvd Calendar'!$Q$2066)&lt;=VAL_SERIAL)*1000000+47*1000+13))</f>
        <v/>
      </c>
      <c r="ER206" s="121">
        <f>IF(N('Dvd Calendar'!$R$2067)=0,"",IF(('Dvd Calendar'!$R$2067&gt;=GRID_FROM)*('Dvd Calendar'!$R$2067&lt;=GRID_TO)*((('Dvd Calendar'!$R$2067&lt;=VAL_DATE)+(COUNTIF('Dvd Calendar'!$E$2074:$AR$2074,'Dvd Calendar'!$R$2067)=0))&gt;0)=0,"",'Dvd Calendar'!$R$2067*1000000000+ISNUMBER('Dvd Calendar'!$R$2070)*100000000+('Dvd Calendar'!$R$2072=SPECIAL_LBL)*10000000+(N('Dvd Calendar'!$R$2066)&gt;0)*(N('Dvd Calendar'!$R$2066)&lt;=VAL_SERIAL)*1000000+47*1000+14))</f>
        <v/>
      </c>
      <c r="ES206" s="121">
        <f>IF(N('Dvd Calendar'!$S$2067)=0,"",IF(('Dvd Calendar'!$S$2067&gt;=GRID_FROM)*('Dvd Calendar'!$S$2067&lt;=GRID_TO)*((('Dvd Calendar'!$S$2067&lt;=VAL_DATE)+(COUNTIF('Dvd Calendar'!$E$2074:$AR$2074,'Dvd Calendar'!$S$2067)=0))&gt;0)=0,"",'Dvd Calendar'!$S$2067*1000000000+ISNUMBER('Dvd Calendar'!$S$2070)*100000000+('Dvd Calendar'!$S$2072=SPECIAL_LBL)*10000000+(N('Dvd Calendar'!$S$2066)&gt;0)*(N('Dvd Calendar'!$S$2066)&lt;=VAL_SERIAL)*1000000+47*1000+15))</f>
        <v/>
      </c>
      <c r="ET206" s="121">
        <f>IF(N('Dvd Calendar'!$T$2067)=0,"",IF(('Dvd Calendar'!$T$2067&gt;=GRID_FROM)*('Dvd Calendar'!$T$2067&lt;=GRID_TO)*((('Dvd Calendar'!$T$2067&lt;=VAL_DATE)+(COUNTIF('Dvd Calendar'!$E$2074:$AR$2074,'Dvd Calendar'!$T$2067)=0))&gt;0)=0,"",'Dvd Calendar'!$T$2067*1000000000+ISNUMBER('Dvd Calendar'!$T$2070)*100000000+('Dvd Calendar'!$T$2072=SPECIAL_LBL)*10000000+(N('Dvd Calendar'!$T$2066)&gt;0)*(N('Dvd Calendar'!$T$2066)&lt;=VAL_SERIAL)*1000000+47*1000+16))</f>
        <v/>
      </c>
      <c r="EU206" s="121">
        <f>IF(N('Dvd Calendar'!$U$2067)=0,"",IF(('Dvd Calendar'!$U$2067&gt;=GRID_FROM)*('Dvd Calendar'!$U$2067&lt;=GRID_TO)*((('Dvd Calendar'!$U$2067&lt;=VAL_DATE)+(COUNTIF('Dvd Calendar'!$E$2074:$AR$2074,'Dvd Calendar'!$U$2067)=0))&gt;0)=0,"",'Dvd Calendar'!$U$2067*1000000000+ISNUMBER('Dvd Calendar'!$U$2070)*100000000+('Dvd Calendar'!$U$2072=SPECIAL_LBL)*10000000+(N('Dvd Calendar'!$U$2066)&gt;0)*(N('Dvd Calendar'!$U$2066)&lt;=VAL_SERIAL)*1000000+47*1000+17))</f>
        <v/>
      </c>
      <c r="EV206" s="121">
        <f>IF(N('Dvd Calendar'!$V$2067)=0,"",IF(('Dvd Calendar'!$V$2067&gt;=GRID_FROM)*('Dvd Calendar'!$V$2067&lt;=GRID_TO)*((('Dvd Calendar'!$V$2067&lt;=VAL_DATE)+(COUNTIF('Dvd Calendar'!$E$2074:$AR$2074,'Dvd Calendar'!$V$2067)=0))&gt;0)=0,"",'Dvd Calendar'!$V$2067*1000000000+ISNUMBER('Dvd Calendar'!$V$2070)*100000000+('Dvd Calendar'!$V$2072=SPECIAL_LBL)*10000000+(N('Dvd Calendar'!$V$2066)&gt;0)*(N('Dvd Calendar'!$V$2066)&lt;=VAL_SERIAL)*1000000+47*1000+18))</f>
        <v/>
      </c>
      <c r="EW206" s="121">
        <f>IF(N('Dvd Calendar'!$W$2067)=0,"",IF(('Dvd Calendar'!$W$2067&gt;=GRID_FROM)*('Dvd Calendar'!$W$2067&lt;=GRID_TO)*((('Dvd Calendar'!$W$2067&lt;=VAL_DATE)+(COUNTIF('Dvd Calendar'!$E$2074:$AR$2074,'Dvd Calendar'!$W$2067)=0))&gt;0)=0,"",'Dvd Calendar'!$W$2067*1000000000+ISNUMBER('Dvd Calendar'!$W$2070)*100000000+('Dvd Calendar'!$W$2072=SPECIAL_LBL)*10000000+(N('Dvd Calendar'!$W$2066)&gt;0)*(N('Dvd Calendar'!$W$2066)&lt;=VAL_SERIAL)*1000000+47*1000+19))</f>
        <v/>
      </c>
      <c r="EX206" s="121">
        <f>IF(N('Dvd Calendar'!$X$2067)=0,"",IF(('Dvd Calendar'!$X$2067&gt;=GRID_FROM)*('Dvd Calendar'!$X$2067&lt;=GRID_TO)*((('Dvd Calendar'!$X$2067&lt;=VAL_DATE)+(COUNTIF('Dvd Calendar'!$E$2074:$AR$2074,'Dvd Calendar'!$X$2067)=0))&gt;0)=0,"",'Dvd Calendar'!$X$2067*1000000000+ISNUMBER('Dvd Calendar'!$X$2070)*100000000+('Dvd Calendar'!$X$2072=SPECIAL_LBL)*10000000+(N('Dvd Calendar'!$X$2066)&gt;0)*(N('Dvd Calendar'!$X$2066)&lt;=VAL_SERIAL)*1000000+47*1000+20))</f>
        <v/>
      </c>
      <c r="EY206" s="121">
        <f>IF(N('Dvd Calendar'!$Y$2067)=0,"",IF(('Dvd Calendar'!$Y$2067&gt;=GRID_FROM)*('Dvd Calendar'!$Y$2067&lt;=GRID_TO)*((('Dvd Calendar'!$Y$2067&lt;=VAL_DATE)+(COUNTIF('Dvd Calendar'!$E$2074:$AR$2074,'Dvd Calendar'!$Y$2067)=0))&gt;0)=0,"",'Dvd Calendar'!$Y$2067*1000000000+ISNUMBER('Dvd Calendar'!$Y$2070)*100000000+('Dvd Calendar'!$Y$2072=SPECIAL_LBL)*10000000+(N('Dvd Calendar'!$Y$2066)&gt;0)*(N('Dvd Calendar'!$Y$2066)&lt;=VAL_SERIAL)*1000000+47*1000+21))</f>
        <v/>
      </c>
      <c r="EZ206" s="121">
        <f>IF(N('Dvd Calendar'!$Z$2067)=0,"",IF(('Dvd Calendar'!$Z$2067&gt;=GRID_FROM)*('Dvd Calendar'!$Z$2067&lt;=GRID_TO)*((('Dvd Calendar'!$Z$2067&lt;=VAL_DATE)+(COUNTIF('Dvd Calendar'!$E$2074:$AR$2074,'Dvd Calendar'!$Z$2067)=0))&gt;0)=0,"",'Dvd Calendar'!$Z$2067*1000000000+ISNUMBER('Dvd Calendar'!$Z$2070)*100000000+('Dvd Calendar'!$Z$2072=SPECIAL_LBL)*10000000+(N('Dvd Calendar'!$Z$2066)&gt;0)*(N('Dvd Calendar'!$Z$2066)&lt;=VAL_SERIAL)*1000000+47*1000+22))</f>
        <v/>
      </c>
      <c r="FA206" s="121">
        <f>IF(N('Dvd Calendar'!$AA$2067)=0,"",IF(('Dvd Calendar'!$AA$2067&gt;=GRID_FROM)*('Dvd Calendar'!$AA$2067&lt;=GRID_TO)*((('Dvd Calendar'!$AA$2067&lt;=VAL_DATE)+(COUNTIF('Dvd Calendar'!$E$2074:$AR$2074,'Dvd Calendar'!$AA$2067)=0))&gt;0)=0,"",'Dvd Calendar'!$AA$2067*1000000000+ISNUMBER('Dvd Calendar'!$AA$2070)*100000000+('Dvd Calendar'!$AA$2072=SPECIAL_LBL)*10000000+(N('Dvd Calendar'!$AA$2066)&gt;0)*(N('Dvd Calendar'!$AA$2066)&lt;=VAL_SERIAL)*1000000+47*1000+23))</f>
        <v/>
      </c>
      <c r="FB206" s="121">
        <f>IF(N('Dvd Calendar'!$AB$2067)=0,"",IF(('Dvd Calendar'!$AB$2067&gt;=GRID_FROM)*('Dvd Calendar'!$AB$2067&lt;=GRID_TO)*((('Dvd Calendar'!$AB$2067&lt;=VAL_DATE)+(COUNTIF('Dvd Calendar'!$E$2074:$AR$2074,'Dvd Calendar'!$AB$2067)=0))&gt;0)=0,"",'Dvd Calendar'!$AB$2067*1000000000+ISNUMBER('Dvd Calendar'!$AB$2070)*100000000+('Dvd Calendar'!$AB$2072=SPECIAL_LBL)*10000000+(N('Dvd Calendar'!$AB$2066)&gt;0)*(N('Dvd Calendar'!$AB$2066)&lt;=VAL_SERIAL)*1000000+47*1000+24))</f>
        <v/>
      </c>
      <c r="FC206" s="121">
        <f>IF(N('Dvd Calendar'!$AC$2067)=0,"",IF(('Dvd Calendar'!$AC$2067&gt;=GRID_FROM)*('Dvd Calendar'!$AC$2067&lt;=GRID_TO)*((('Dvd Calendar'!$AC$2067&lt;=VAL_DATE)+(COUNTIF('Dvd Calendar'!$E$2074:$AR$2074,'Dvd Calendar'!$AC$2067)=0))&gt;0)=0,"",'Dvd Calendar'!$AC$2067*1000000000+ISNUMBER('Dvd Calendar'!$AC$2070)*100000000+('Dvd Calendar'!$AC$2072=SPECIAL_LBL)*10000000+(N('Dvd Calendar'!$AC$2066)&gt;0)*(N('Dvd Calendar'!$AC$2066)&lt;=VAL_SERIAL)*1000000+47*1000+25))</f>
        <v/>
      </c>
      <c r="FD206" s="121">
        <f>IF(N('Dvd Calendar'!$AD$2067)=0,"",IF(('Dvd Calendar'!$AD$2067&gt;=GRID_FROM)*('Dvd Calendar'!$AD$2067&lt;=GRID_TO)*((('Dvd Calendar'!$AD$2067&lt;=VAL_DATE)+(COUNTIF('Dvd Calendar'!$E$2074:$AR$2074,'Dvd Calendar'!$AD$2067)=0))&gt;0)=0,"",'Dvd Calendar'!$AD$2067*1000000000+ISNUMBER('Dvd Calendar'!$AD$2070)*100000000+('Dvd Calendar'!$AD$2072=SPECIAL_LBL)*10000000+(N('Dvd Calendar'!$AD$2066)&gt;0)*(N('Dvd Calendar'!$AD$2066)&lt;=VAL_SERIAL)*1000000+47*1000+26))</f>
        <v/>
      </c>
      <c r="FE206" s="121">
        <f>IF(N('Dvd Calendar'!$AE$2067)=0,"",IF(('Dvd Calendar'!$AE$2067&gt;=GRID_FROM)*('Dvd Calendar'!$AE$2067&lt;=GRID_TO)*((('Dvd Calendar'!$AE$2067&lt;=VAL_DATE)+(COUNTIF('Dvd Calendar'!$E$2074:$AR$2074,'Dvd Calendar'!$AE$2067)=0))&gt;0)=0,"",'Dvd Calendar'!$AE$2067*1000000000+ISNUMBER('Dvd Calendar'!$AE$2070)*100000000+('Dvd Calendar'!$AE$2072=SPECIAL_LBL)*10000000+(N('Dvd Calendar'!$AE$2066)&gt;0)*(N('Dvd Calendar'!$AE$2066)&lt;=VAL_SERIAL)*1000000+47*1000+27))</f>
        <v/>
      </c>
      <c r="FF206" s="121">
        <f>IF(N('Dvd Calendar'!$AF$2067)=0,"",IF(('Dvd Calendar'!$AF$2067&gt;=GRID_FROM)*('Dvd Calendar'!$AF$2067&lt;=GRID_TO)*((('Dvd Calendar'!$AF$2067&lt;=VAL_DATE)+(COUNTIF('Dvd Calendar'!$E$2074:$AR$2074,'Dvd Calendar'!$AF$2067)=0))&gt;0)=0,"",'Dvd Calendar'!$AF$2067*1000000000+ISNUMBER('Dvd Calendar'!$AF$2070)*100000000+('Dvd Calendar'!$AF$2072=SPECIAL_LBL)*10000000+(N('Dvd Calendar'!$AF$2066)&gt;0)*(N('Dvd Calendar'!$AF$2066)&lt;=VAL_SERIAL)*1000000+47*1000+28))</f>
        <v/>
      </c>
      <c r="FG206" s="121">
        <f>IF(N('Dvd Calendar'!$AG$2067)=0,"",IF(('Dvd Calendar'!$AG$2067&gt;=GRID_FROM)*('Dvd Calendar'!$AG$2067&lt;=GRID_TO)*((('Dvd Calendar'!$AG$2067&lt;=VAL_DATE)+(COUNTIF('Dvd Calendar'!$E$2074:$AR$2074,'Dvd Calendar'!$AG$2067)=0))&gt;0)=0,"",'Dvd Calendar'!$AG$2067*1000000000+ISNUMBER('Dvd Calendar'!$AG$2070)*100000000+('Dvd Calendar'!$AG$2072=SPECIAL_LBL)*10000000+(N('Dvd Calendar'!$AG$2066)&gt;0)*(N('Dvd Calendar'!$AG$2066)&lt;=VAL_SERIAL)*1000000+47*1000+29))</f>
        <v/>
      </c>
      <c r="FH206" s="121">
        <f>IF(N('Dvd Calendar'!$AH$2067)=0,"",IF(('Dvd Calendar'!$AH$2067&gt;=GRID_FROM)*('Dvd Calendar'!$AH$2067&lt;=GRID_TO)*((('Dvd Calendar'!$AH$2067&lt;=VAL_DATE)+(COUNTIF('Dvd Calendar'!$E$2074:$AR$2074,'Dvd Calendar'!$AH$2067)=0))&gt;0)=0,"",'Dvd Calendar'!$AH$2067*1000000000+ISNUMBER('Dvd Calendar'!$AH$2070)*100000000+('Dvd Calendar'!$AH$2072=SPECIAL_LBL)*10000000+(N('Dvd Calendar'!$AH$2066)&gt;0)*(N('Dvd Calendar'!$AH$2066)&lt;=VAL_SERIAL)*1000000+47*1000+30))</f>
        <v/>
      </c>
      <c r="FI206" s="121">
        <f>IF(N('Dvd Calendar'!$AI$2067)=0,"",IF(('Dvd Calendar'!$AI$2067&gt;=GRID_FROM)*('Dvd Calendar'!$AI$2067&lt;=GRID_TO)*((('Dvd Calendar'!$AI$2067&lt;=VAL_DATE)+(COUNTIF('Dvd Calendar'!$E$2074:$AR$2074,'Dvd Calendar'!$AI$2067)=0))&gt;0)=0,"",'Dvd Calendar'!$AI$2067*1000000000+ISNUMBER('Dvd Calendar'!$AI$2070)*100000000+('Dvd Calendar'!$AI$2072=SPECIAL_LBL)*10000000+(N('Dvd Calendar'!$AI$2066)&gt;0)*(N('Dvd Calendar'!$AI$2066)&lt;=VAL_SERIAL)*1000000+47*1000+31))</f>
        <v/>
      </c>
      <c r="FJ206" s="121">
        <f>IF(N('Dvd Calendar'!$AJ$2067)=0,"",IF(('Dvd Calendar'!$AJ$2067&gt;=GRID_FROM)*('Dvd Calendar'!$AJ$2067&lt;=GRID_TO)*((('Dvd Calendar'!$AJ$2067&lt;=VAL_DATE)+(COUNTIF('Dvd Calendar'!$E$2074:$AR$2074,'Dvd Calendar'!$AJ$2067)=0))&gt;0)=0,"",'Dvd Calendar'!$AJ$2067*1000000000+ISNUMBER('Dvd Calendar'!$AJ$2070)*100000000+('Dvd Calendar'!$AJ$2072=SPECIAL_LBL)*10000000+(N('Dvd Calendar'!$AJ$2066)&gt;0)*(N('Dvd Calendar'!$AJ$2066)&lt;=VAL_SERIAL)*1000000+47*1000+32))</f>
        <v/>
      </c>
      <c r="FK206" s="121">
        <f>IF(N('Dvd Calendar'!$AK$2067)=0,"",IF(('Dvd Calendar'!$AK$2067&gt;=GRID_FROM)*('Dvd Calendar'!$AK$2067&lt;=GRID_TO)*((('Dvd Calendar'!$AK$2067&lt;=VAL_DATE)+(COUNTIF('Dvd Calendar'!$E$2074:$AR$2074,'Dvd Calendar'!$AK$2067)=0))&gt;0)=0,"",'Dvd Calendar'!$AK$2067*1000000000+ISNUMBER('Dvd Calendar'!$AK$2070)*100000000+('Dvd Calendar'!$AK$2072=SPECIAL_LBL)*10000000+(N('Dvd Calendar'!$AK$2066)&gt;0)*(N('Dvd Calendar'!$AK$2066)&lt;=VAL_SERIAL)*1000000+47*1000+33))</f>
        <v/>
      </c>
      <c r="FL206" s="121">
        <f>IF(N('Dvd Calendar'!$AL$2067)=0,"",IF(('Dvd Calendar'!$AL$2067&gt;=GRID_FROM)*('Dvd Calendar'!$AL$2067&lt;=GRID_TO)*((('Dvd Calendar'!$AL$2067&lt;=VAL_DATE)+(COUNTIF('Dvd Calendar'!$E$2074:$AR$2074,'Dvd Calendar'!$AL$2067)=0))&gt;0)=0,"",'Dvd Calendar'!$AL$2067*1000000000+ISNUMBER('Dvd Calendar'!$AL$2070)*100000000+('Dvd Calendar'!$AL$2072=SPECIAL_LBL)*10000000+(N('Dvd Calendar'!$AL$2066)&gt;0)*(N('Dvd Calendar'!$AL$2066)&lt;=VAL_SERIAL)*1000000+47*1000+34))</f>
        <v/>
      </c>
      <c r="FM206" s="121">
        <f>IF(N('Dvd Calendar'!$AM$2067)=0,"",IF(('Dvd Calendar'!$AM$2067&gt;=GRID_FROM)*('Dvd Calendar'!$AM$2067&lt;=GRID_TO)*((('Dvd Calendar'!$AM$2067&lt;=VAL_DATE)+(COUNTIF('Dvd Calendar'!$E$2074:$AR$2074,'Dvd Calendar'!$AM$2067)=0))&gt;0)=0,"",'Dvd Calendar'!$AM$2067*1000000000+ISNUMBER('Dvd Calendar'!$AM$2070)*100000000+('Dvd Calendar'!$AM$2072=SPECIAL_LBL)*10000000+(N('Dvd Calendar'!$AM$2066)&gt;0)*(N('Dvd Calendar'!$AM$2066)&lt;=VAL_SERIAL)*1000000+47*1000+35))</f>
        <v/>
      </c>
      <c r="FN206" s="121">
        <f>IF(N('Dvd Calendar'!$AN$2067)=0,"",IF(('Dvd Calendar'!$AN$2067&gt;=GRID_FROM)*('Dvd Calendar'!$AN$2067&lt;=GRID_TO)*((('Dvd Calendar'!$AN$2067&lt;=VAL_DATE)+(COUNTIF('Dvd Calendar'!$E$2074:$AR$2074,'Dvd Calendar'!$AN$2067)=0))&gt;0)=0,"",'Dvd Calendar'!$AN$2067*1000000000+ISNUMBER('Dvd Calendar'!$AN$2070)*100000000+('Dvd Calendar'!$AN$2072=SPECIAL_LBL)*10000000+(N('Dvd Calendar'!$AN$2066)&gt;0)*(N('Dvd Calendar'!$AN$2066)&lt;=VAL_SERIAL)*1000000+47*1000+36))</f>
        <v/>
      </c>
      <c r="FO206" s="121">
        <f>IF(N('Dvd Calendar'!$AO$2067)=0,"",IF(('Dvd Calendar'!$AO$2067&gt;=GRID_FROM)*('Dvd Calendar'!$AO$2067&lt;=GRID_TO)*((('Dvd Calendar'!$AO$2067&lt;=VAL_DATE)+(COUNTIF('Dvd Calendar'!$E$2074:$AR$2074,'Dvd Calendar'!$AO$2067)=0))&gt;0)=0,"",'Dvd Calendar'!$AO$2067*1000000000+ISNUMBER('Dvd Calendar'!$AO$2070)*100000000+('Dvd Calendar'!$AO$2072=SPECIAL_LBL)*10000000+(N('Dvd Calendar'!$AO$2066)&gt;0)*(N('Dvd Calendar'!$AO$2066)&lt;=VAL_SERIAL)*1000000+47*1000+37))</f>
        <v/>
      </c>
      <c r="FP206" s="121">
        <f>IF(N('Dvd Calendar'!$AP$2067)=0,"",IF(('Dvd Calendar'!$AP$2067&gt;=GRID_FROM)*('Dvd Calendar'!$AP$2067&lt;=GRID_TO)*((('Dvd Calendar'!$AP$2067&lt;=VAL_DATE)+(COUNTIF('Dvd Calendar'!$E$2074:$AR$2074,'Dvd Calendar'!$AP$2067)=0))&gt;0)=0,"",'Dvd Calendar'!$AP$2067*1000000000+ISNUMBER('Dvd Calendar'!$AP$2070)*100000000+('Dvd Calendar'!$AP$2072=SPECIAL_LBL)*10000000+(N('Dvd Calendar'!$AP$2066)&gt;0)*(N('Dvd Calendar'!$AP$2066)&lt;=VAL_SERIAL)*1000000+47*1000+38))</f>
        <v/>
      </c>
      <c r="FQ206" s="121">
        <f>IF(N('Dvd Calendar'!$AQ$2067)=0,"",IF(('Dvd Calendar'!$AQ$2067&gt;=GRID_FROM)*('Dvd Calendar'!$AQ$2067&lt;=GRID_TO)*((('Dvd Calendar'!$AQ$2067&lt;=VAL_DATE)+(COUNTIF('Dvd Calendar'!$E$2074:$AR$2074,'Dvd Calendar'!$AQ$2067)=0))&gt;0)=0,"",'Dvd Calendar'!$AQ$2067*1000000000+ISNUMBER('Dvd Calendar'!$AQ$2070)*100000000+('Dvd Calendar'!$AQ$2072=SPECIAL_LBL)*10000000+(N('Dvd Calendar'!$AQ$2066)&gt;0)*(N('Dvd Calendar'!$AQ$2066)&lt;=VAL_SERIAL)*1000000+47*1000+39))</f>
        <v/>
      </c>
      <c r="FR206" s="121">
        <f>IF(N('Dvd Calendar'!$AR$2067)=0,"",IF(('Dvd Calendar'!$AR$2067&gt;=GRID_FROM)*('Dvd Calendar'!$AR$2067&lt;=GRID_TO)*((('Dvd Calendar'!$AR$2067&lt;=VAL_DATE)+(COUNTIF('Dvd Calendar'!$E$2074:$AR$2074,'Dvd Calendar'!$AR$2067)=0))&gt;0)=0,"",'Dvd Calendar'!$AR$2067*1000000000+ISNUMBER('Dvd Calendar'!$AR$2070)*100000000+('Dvd Calendar'!$AR$2072=SPECIAL_LBL)*10000000+(N('Dvd Calendar'!$AR$2066)&gt;0)*(N('Dvd Calendar'!$AR$2066)&lt;=VAL_SERIAL)*1000000+47*1000+40))</f>
        <v/>
      </c>
      <c r="FS206" s="121">
        <f>IF(N('Dvd Calendar'!$E$2074)=0,"",IF(('Dvd Calendar'!$E$2074&gt;=GRID_FROM)*('Dvd Calendar'!$E$2074&lt;=GRID_TO)*('Dvd Calendar'!$E$2074&gt;VAL_DATE)=0,"",'Dvd Calendar'!$E$2074*1000000000+ISNUMBER('Dvd Calendar'!$E$2075)*100000000+0*10000000+(N('Dvd Calendar'!$E$2073)&gt;0)*(N('Dvd Calendar'!$E$2073)&lt;=VAL_SERIAL)*1000000+47*1000+41))</f>
        <v/>
      </c>
      <c r="FT206" s="121">
        <f>IF(N('Dvd Calendar'!$F$2074)=0,"",IF(('Dvd Calendar'!$F$2074&gt;=GRID_FROM)*('Dvd Calendar'!$F$2074&lt;=GRID_TO)*('Dvd Calendar'!$F$2074&gt;VAL_DATE)=0,"",'Dvd Calendar'!$F$2074*1000000000+ISNUMBER('Dvd Calendar'!$F$2075)*100000000+0*10000000+(N('Dvd Calendar'!$F$2073)&gt;0)*(N('Dvd Calendar'!$F$2073)&lt;=VAL_SERIAL)*1000000+47*1000+42))</f>
        <v/>
      </c>
      <c r="FU206" s="121">
        <f>IF(N('Dvd Calendar'!$G$2074)=0,"",IF(('Dvd Calendar'!$G$2074&gt;=GRID_FROM)*('Dvd Calendar'!$G$2074&lt;=GRID_TO)*('Dvd Calendar'!$G$2074&gt;VAL_DATE)=0,"",'Dvd Calendar'!$G$2074*1000000000+ISNUMBER('Dvd Calendar'!$G$2075)*100000000+0*10000000+(N('Dvd Calendar'!$G$2073)&gt;0)*(N('Dvd Calendar'!$G$2073)&lt;=VAL_SERIAL)*1000000+47*1000+43))</f>
        <v/>
      </c>
      <c r="FV206" s="121">
        <f>IF(N('Dvd Calendar'!$H$2074)=0,"",IF(('Dvd Calendar'!$H$2074&gt;=GRID_FROM)*('Dvd Calendar'!$H$2074&lt;=GRID_TO)*('Dvd Calendar'!$H$2074&gt;VAL_DATE)=0,"",'Dvd Calendar'!$H$2074*1000000000+ISNUMBER('Dvd Calendar'!$H$2075)*100000000+0*10000000+(N('Dvd Calendar'!$H$2073)&gt;0)*(N('Dvd Calendar'!$H$2073)&lt;=VAL_SERIAL)*1000000+47*1000+44))</f>
        <v/>
      </c>
      <c r="FW206" s="121">
        <f>IF(N('Dvd Calendar'!$I$2074)=0,"",IF(('Dvd Calendar'!$I$2074&gt;=GRID_FROM)*('Dvd Calendar'!$I$2074&lt;=GRID_TO)*('Dvd Calendar'!$I$2074&gt;VAL_DATE)=0,"",'Dvd Calendar'!$I$2074*1000000000+ISNUMBER('Dvd Calendar'!$I$2075)*100000000+0*10000000+(N('Dvd Calendar'!$I$2073)&gt;0)*(N('Dvd Calendar'!$I$2073)&lt;=VAL_SERIAL)*1000000+47*1000+45))</f>
        <v/>
      </c>
      <c r="FX206" s="121">
        <f>IF(N('Dvd Calendar'!$J$2074)=0,"",IF(('Dvd Calendar'!$J$2074&gt;=GRID_FROM)*('Dvd Calendar'!$J$2074&lt;=GRID_TO)*('Dvd Calendar'!$J$2074&gt;VAL_DATE)=0,"",'Dvd Calendar'!$J$2074*1000000000+ISNUMBER('Dvd Calendar'!$J$2075)*100000000+0*10000000+(N('Dvd Calendar'!$J$2073)&gt;0)*(N('Dvd Calendar'!$J$2073)&lt;=VAL_SERIAL)*1000000+47*1000+46))</f>
        <v/>
      </c>
      <c r="FY206" s="121">
        <f>IF(N('Dvd Calendar'!$K$2074)=0,"",IF(('Dvd Calendar'!$K$2074&gt;=GRID_FROM)*('Dvd Calendar'!$K$2074&lt;=GRID_TO)*('Dvd Calendar'!$K$2074&gt;VAL_DATE)=0,"",'Dvd Calendar'!$K$2074*1000000000+ISNUMBER('Dvd Calendar'!$K$2075)*100000000+0*10000000+(N('Dvd Calendar'!$K$2073)&gt;0)*(N('Dvd Calendar'!$K$2073)&lt;=VAL_SERIAL)*1000000+47*1000+47))</f>
        <v/>
      </c>
      <c r="FZ206" s="121">
        <f>IF(N('Dvd Calendar'!$L$2074)=0,"",IF(('Dvd Calendar'!$L$2074&gt;=GRID_FROM)*('Dvd Calendar'!$L$2074&lt;=GRID_TO)*('Dvd Calendar'!$L$2074&gt;VAL_DATE)=0,"",'Dvd Calendar'!$L$2074*1000000000+ISNUMBER('Dvd Calendar'!$L$2075)*100000000+0*10000000+(N('Dvd Calendar'!$L$2073)&gt;0)*(N('Dvd Calendar'!$L$2073)&lt;=VAL_SERIAL)*1000000+47*1000+48))</f>
        <v/>
      </c>
      <c r="GA206" s="121">
        <f>IF(N('Dvd Calendar'!$M$2074)=0,"",IF(('Dvd Calendar'!$M$2074&gt;=GRID_FROM)*('Dvd Calendar'!$M$2074&lt;=GRID_TO)*('Dvd Calendar'!$M$2074&gt;VAL_DATE)=0,"",'Dvd Calendar'!$M$2074*1000000000+ISNUMBER('Dvd Calendar'!$M$2075)*100000000+0*10000000+(N('Dvd Calendar'!$M$2073)&gt;0)*(N('Dvd Calendar'!$M$2073)&lt;=VAL_SERIAL)*1000000+47*1000+49))</f>
        <v/>
      </c>
      <c r="GB206" s="121">
        <f>IF(N('Dvd Calendar'!$N$2074)=0,"",IF(('Dvd Calendar'!$N$2074&gt;=GRID_FROM)*('Dvd Calendar'!$N$2074&lt;=GRID_TO)*('Dvd Calendar'!$N$2074&gt;VAL_DATE)=0,"",'Dvd Calendar'!$N$2074*1000000000+ISNUMBER('Dvd Calendar'!$N$2075)*100000000+0*10000000+(N('Dvd Calendar'!$N$2073)&gt;0)*(N('Dvd Calendar'!$N$2073)&lt;=VAL_SERIAL)*1000000+47*1000+50))</f>
        <v/>
      </c>
      <c r="GC206" s="121">
        <f>IF(N('Dvd Calendar'!$O$2074)=0,"",IF(('Dvd Calendar'!$O$2074&gt;=GRID_FROM)*('Dvd Calendar'!$O$2074&lt;=GRID_TO)*('Dvd Calendar'!$O$2074&gt;VAL_DATE)=0,"",'Dvd Calendar'!$O$2074*1000000000+ISNUMBER('Dvd Calendar'!$O$2075)*100000000+0*10000000+(N('Dvd Calendar'!$O$2073)&gt;0)*(N('Dvd Calendar'!$O$2073)&lt;=VAL_SERIAL)*1000000+47*1000+51))</f>
        <v/>
      </c>
      <c r="GD206" s="121">
        <f>IF(N('Dvd Calendar'!$P$2074)=0,"",IF(('Dvd Calendar'!$P$2074&gt;=GRID_FROM)*('Dvd Calendar'!$P$2074&lt;=GRID_TO)*('Dvd Calendar'!$P$2074&gt;VAL_DATE)=0,"",'Dvd Calendar'!$P$2074*1000000000+ISNUMBER('Dvd Calendar'!$P$2075)*100000000+0*10000000+(N('Dvd Calendar'!$P$2073)&gt;0)*(N('Dvd Calendar'!$P$2073)&lt;=VAL_SERIAL)*1000000+47*1000+52))</f>
        <v/>
      </c>
      <c r="GE206" s="121">
        <f>IF(N('Dvd Calendar'!$Q$2074)=0,"",IF(('Dvd Calendar'!$Q$2074&gt;=GRID_FROM)*('Dvd Calendar'!$Q$2074&lt;=GRID_TO)*('Dvd Calendar'!$Q$2074&gt;VAL_DATE)=0,"",'Dvd Calendar'!$Q$2074*1000000000+ISNUMBER('Dvd Calendar'!$Q$2075)*100000000+0*10000000+(N('Dvd Calendar'!$Q$2073)&gt;0)*(N('Dvd Calendar'!$Q$2073)&lt;=VAL_SERIAL)*1000000+47*1000+53))</f>
        <v/>
      </c>
      <c r="GF206" s="121">
        <f>IF(N('Dvd Calendar'!$R$2074)=0,"",IF(('Dvd Calendar'!$R$2074&gt;=GRID_FROM)*('Dvd Calendar'!$R$2074&lt;=GRID_TO)*('Dvd Calendar'!$R$2074&gt;VAL_DATE)=0,"",'Dvd Calendar'!$R$2074*1000000000+ISNUMBER('Dvd Calendar'!$R$2075)*100000000+0*10000000+(N('Dvd Calendar'!$R$2073)&gt;0)*(N('Dvd Calendar'!$R$2073)&lt;=VAL_SERIAL)*1000000+47*1000+54))</f>
        <v/>
      </c>
      <c r="GG206" s="121">
        <f>IF(N('Dvd Calendar'!$S$2074)=0,"",IF(('Dvd Calendar'!$S$2074&gt;=GRID_FROM)*('Dvd Calendar'!$S$2074&lt;=GRID_TO)*('Dvd Calendar'!$S$2074&gt;VAL_DATE)=0,"",'Dvd Calendar'!$S$2074*1000000000+ISNUMBER('Dvd Calendar'!$S$2075)*100000000+0*10000000+(N('Dvd Calendar'!$S$2073)&gt;0)*(N('Dvd Calendar'!$S$2073)&lt;=VAL_SERIAL)*1000000+47*1000+55))</f>
        <v/>
      </c>
      <c r="GH206" s="121">
        <f>IF(N('Dvd Calendar'!$T$2074)=0,"",IF(('Dvd Calendar'!$T$2074&gt;=GRID_FROM)*('Dvd Calendar'!$T$2074&lt;=GRID_TO)*('Dvd Calendar'!$T$2074&gt;VAL_DATE)=0,"",'Dvd Calendar'!$T$2074*1000000000+ISNUMBER('Dvd Calendar'!$T$2075)*100000000+0*10000000+(N('Dvd Calendar'!$T$2073)&gt;0)*(N('Dvd Calendar'!$T$2073)&lt;=VAL_SERIAL)*1000000+47*1000+56))</f>
        <v/>
      </c>
      <c r="GI206" s="121">
        <f>IF(N('Dvd Calendar'!$U$2074)=0,"",IF(('Dvd Calendar'!$U$2074&gt;=GRID_FROM)*('Dvd Calendar'!$U$2074&lt;=GRID_TO)*('Dvd Calendar'!$U$2074&gt;VAL_DATE)=0,"",'Dvd Calendar'!$U$2074*1000000000+ISNUMBER('Dvd Calendar'!$U$2075)*100000000+0*10000000+(N('Dvd Calendar'!$U$2073)&gt;0)*(N('Dvd Calendar'!$U$2073)&lt;=VAL_SERIAL)*1000000+47*1000+57))</f>
        <v/>
      </c>
      <c r="GJ206" s="121">
        <f>IF(N('Dvd Calendar'!$V$2074)=0,"",IF(('Dvd Calendar'!$V$2074&gt;=GRID_FROM)*('Dvd Calendar'!$V$2074&lt;=GRID_TO)*('Dvd Calendar'!$V$2074&gt;VAL_DATE)=0,"",'Dvd Calendar'!$V$2074*1000000000+ISNUMBER('Dvd Calendar'!$V$2075)*100000000+0*10000000+(N('Dvd Calendar'!$V$2073)&gt;0)*(N('Dvd Calendar'!$V$2073)&lt;=VAL_SERIAL)*1000000+47*1000+58))</f>
        <v/>
      </c>
      <c r="GK206" s="121">
        <f>IF(N('Dvd Calendar'!$W$2074)=0,"",IF(('Dvd Calendar'!$W$2074&gt;=GRID_FROM)*('Dvd Calendar'!$W$2074&lt;=GRID_TO)*('Dvd Calendar'!$W$2074&gt;VAL_DATE)=0,"",'Dvd Calendar'!$W$2074*1000000000+ISNUMBER('Dvd Calendar'!$W$2075)*100000000+0*10000000+(N('Dvd Calendar'!$W$2073)&gt;0)*(N('Dvd Calendar'!$W$2073)&lt;=VAL_SERIAL)*1000000+47*1000+59))</f>
        <v/>
      </c>
      <c r="GL206" s="121">
        <f>IF(N('Dvd Calendar'!$X$2074)=0,"",IF(('Dvd Calendar'!$X$2074&gt;=GRID_FROM)*('Dvd Calendar'!$X$2074&lt;=GRID_TO)*('Dvd Calendar'!$X$2074&gt;VAL_DATE)=0,"",'Dvd Calendar'!$X$2074*1000000000+ISNUMBER('Dvd Calendar'!$X$2075)*100000000+0*10000000+(N('Dvd Calendar'!$X$2073)&gt;0)*(N('Dvd Calendar'!$X$2073)&lt;=VAL_SERIAL)*1000000+47*1000+60))</f>
        <v/>
      </c>
      <c r="GM206" s="121">
        <f>IF(N('Dvd Calendar'!$Y$2074)=0,"",IF(('Dvd Calendar'!$Y$2074&gt;=GRID_FROM)*('Dvd Calendar'!$Y$2074&lt;=GRID_TO)*('Dvd Calendar'!$Y$2074&gt;VAL_DATE)=0,"",'Dvd Calendar'!$Y$2074*1000000000+ISNUMBER('Dvd Calendar'!$Y$2075)*100000000+0*10000000+(N('Dvd Calendar'!$Y$2073)&gt;0)*(N('Dvd Calendar'!$Y$2073)&lt;=VAL_SERIAL)*1000000+47*1000+61))</f>
        <v/>
      </c>
      <c r="GN206" s="121">
        <f>IF(N('Dvd Calendar'!$Z$2074)=0,"",IF(('Dvd Calendar'!$Z$2074&gt;=GRID_FROM)*('Dvd Calendar'!$Z$2074&lt;=GRID_TO)*('Dvd Calendar'!$Z$2074&gt;VAL_DATE)=0,"",'Dvd Calendar'!$Z$2074*1000000000+ISNUMBER('Dvd Calendar'!$Z$2075)*100000000+0*10000000+(N('Dvd Calendar'!$Z$2073)&gt;0)*(N('Dvd Calendar'!$Z$2073)&lt;=VAL_SERIAL)*1000000+47*1000+62))</f>
        <v/>
      </c>
      <c r="GO206" s="121">
        <f>IF(N('Dvd Calendar'!$AA$2074)=0,"",IF(('Dvd Calendar'!$AA$2074&gt;=GRID_FROM)*('Dvd Calendar'!$AA$2074&lt;=GRID_TO)*('Dvd Calendar'!$AA$2074&gt;VAL_DATE)=0,"",'Dvd Calendar'!$AA$2074*1000000000+ISNUMBER('Dvd Calendar'!$AA$2075)*100000000+0*10000000+(N('Dvd Calendar'!$AA$2073)&gt;0)*(N('Dvd Calendar'!$AA$2073)&lt;=VAL_SERIAL)*1000000+47*1000+63))</f>
        <v/>
      </c>
      <c r="GP206" s="121">
        <f>IF(N('Dvd Calendar'!$AB$2074)=0,"",IF(('Dvd Calendar'!$AB$2074&gt;=GRID_FROM)*('Dvd Calendar'!$AB$2074&lt;=GRID_TO)*('Dvd Calendar'!$AB$2074&gt;VAL_DATE)=0,"",'Dvd Calendar'!$AB$2074*1000000000+ISNUMBER('Dvd Calendar'!$AB$2075)*100000000+0*10000000+(N('Dvd Calendar'!$AB$2073)&gt;0)*(N('Dvd Calendar'!$AB$2073)&lt;=VAL_SERIAL)*1000000+47*1000+64))</f>
        <v/>
      </c>
      <c r="GQ206" s="121">
        <f>IF(N('Dvd Calendar'!$AC$2074)=0,"",IF(('Dvd Calendar'!$AC$2074&gt;=GRID_FROM)*('Dvd Calendar'!$AC$2074&lt;=GRID_TO)*('Dvd Calendar'!$AC$2074&gt;VAL_DATE)=0,"",'Dvd Calendar'!$AC$2074*1000000000+ISNUMBER('Dvd Calendar'!$AC$2075)*100000000+0*10000000+(N('Dvd Calendar'!$AC$2073)&gt;0)*(N('Dvd Calendar'!$AC$2073)&lt;=VAL_SERIAL)*1000000+47*1000+65))</f>
        <v/>
      </c>
    </row>
    <row r="207">
      <c r="B207" s="2">
        <f>IF(HSCEI!$C$54="","",HSCEI!$C$54)</f>
        <v/>
      </c>
      <c r="C207" s="161">
        <f>IF(EE207="","",IF(ISNUMBER('Dvd Calendar'!$E$2081)=FALSE,"",IF((('Dvd Calendar'!$E$2083=TYPE1)*(TYPE1&lt;&gt;"")+('Dvd Calendar'!$E$2083=TYPE2)*(TYPE2&lt;&gt;"")+('Dvd Calendar'!$E$2083=TYPE3)*(TYPE3&lt;&gt;"")+('Dvd Calendar'!$E$2083=TYPE4)*(TYPE4&lt;&gt;"")+('Dvd Calendar'!$E$2083=SPECIAL_LBL)*(INC_SPECIALS="Y"))=0,"",'Dvd Calendar'!$E$2081)))</f>
        <v/>
      </c>
      <c r="D207" s="161">
        <f>IF(EF207="","",IF(ISNUMBER('Dvd Calendar'!$F$2081)=FALSE,"",IF((('Dvd Calendar'!$F$2083=TYPE1)*(TYPE1&lt;&gt;"")+('Dvd Calendar'!$F$2083=TYPE2)*(TYPE2&lt;&gt;"")+('Dvd Calendar'!$F$2083=TYPE3)*(TYPE3&lt;&gt;"")+('Dvd Calendar'!$F$2083=TYPE4)*(TYPE4&lt;&gt;"")+('Dvd Calendar'!$F$2083=SPECIAL_LBL)*(INC_SPECIALS="Y"))=0,"",'Dvd Calendar'!$F$2081)))</f>
        <v/>
      </c>
      <c r="E207" s="161">
        <f>IF(EG207="","",IF(ISNUMBER('Dvd Calendar'!$G$2081)=FALSE,"",IF((('Dvd Calendar'!$G$2083=TYPE1)*(TYPE1&lt;&gt;"")+('Dvd Calendar'!$G$2083=TYPE2)*(TYPE2&lt;&gt;"")+('Dvd Calendar'!$G$2083=TYPE3)*(TYPE3&lt;&gt;"")+('Dvd Calendar'!$G$2083=TYPE4)*(TYPE4&lt;&gt;"")+('Dvd Calendar'!$G$2083=SPECIAL_LBL)*(INC_SPECIALS="Y"))=0,"",'Dvd Calendar'!$G$2081)))</f>
        <v/>
      </c>
      <c r="F207" s="161">
        <f>IF(EH207="","",IF(ISNUMBER('Dvd Calendar'!$H$2081)=FALSE,"",IF((('Dvd Calendar'!$H$2083=TYPE1)*(TYPE1&lt;&gt;"")+('Dvd Calendar'!$H$2083=TYPE2)*(TYPE2&lt;&gt;"")+('Dvd Calendar'!$H$2083=TYPE3)*(TYPE3&lt;&gt;"")+('Dvd Calendar'!$H$2083=TYPE4)*(TYPE4&lt;&gt;"")+('Dvd Calendar'!$H$2083=SPECIAL_LBL)*(INC_SPECIALS="Y"))=0,"",'Dvd Calendar'!$H$2081)))</f>
        <v/>
      </c>
      <c r="G207" s="161">
        <f>IF(EI207="","",IF(ISNUMBER('Dvd Calendar'!$I$2081)=FALSE,"",IF((('Dvd Calendar'!$I$2083=TYPE1)*(TYPE1&lt;&gt;"")+('Dvd Calendar'!$I$2083=TYPE2)*(TYPE2&lt;&gt;"")+('Dvd Calendar'!$I$2083=TYPE3)*(TYPE3&lt;&gt;"")+('Dvd Calendar'!$I$2083=TYPE4)*(TYPE4&lt;&gt;"")+('Dvd Calendar'!$I$2083=SPECIAL_LBL)*(INC_SPECIALS="Y"))=0,"",'Dvd Calendar'!$I$2081)))</f>
        <v/>
      </c>
      <c r="H207" s="161">
        <f>IF(EJ207="","",IF(ISNUMBER('Dvd Calendar'!$J$2081)=FALSE,"",IF((('Dvd Calendar'!$J$2083=TYPE1)*(TYPE1&lt;&gt;"")+('Dvd Calendar'!$J$2083=TYPE2)*(TYPE2&lt;&gt;"")+('Dvd Calendar'!$J$2083=TYPE3)*(TYPE3&lt;&gt;"")+('Dvd Calendar'!$J$2083=TYPE4)*(TYPE4&lt;&gt;"")+('Dvd Calendar'!$J$2083=SPECIAL_LBL)*(INC_SPECIALS="Y"))=0,"",'Dvd Calendar'!$J$2081)))</f>
        <v/>
      </c>
      <c r="I207" s="161">
        <f>IF(EK207="","",IF(ISNUMBER('Dvd Calendar'!$K$2081)=FALSE,"",IF((('Dvd Calendar'!$K$2083=TYPE1)*(TYPE1&lt;&gt;"")+('Dvd Calendar'!$K$2083=TYPE2)*(TYPE2&lt;&gt;"")+('Dvd Calendar'!$K$2083=TYPE3)*(TYPE3&lt;&gt;"")+('Dvd Calendar'!$K$2083=TYPE4)*(TYPE4&lt;&gt;"")+('Dvd Calendar'!$K$2083=SPECIAL_LBL)*(INC_SPECIALS="Y"))=0,"",'Dvd Calendar'!$K$2081)))</f>
        <v/>
      </c>
      <c r="J207" s="161">
        <f>IF(EL207="","",IF(ISNUMBER('Dvd Calendar'!$L$2081)=FALSE,"",IF((('Dvd Calendar'!$L$2083=TYPE1)*(TYPE1&lt;&gt;"")+('Dvd Calendar'!$L$2083=TYPE2)*(TYPE2&lt;&gt;"")+('Dvd Calendar'!$L$2083=TYPE3)*(TYPE3&lt;&gt;"")+('Dvd Calendar'!$L$2083=TYPE4)*(TYPE4&lt;&gt;"")+('Dvd Calendar'!$L$2083=SPECIAL_LBL)*(INC_SPECIALS="Y"))=0,"",'Dvd Calendar'!$L$2081)))</f>
        <v/>
      </c>
      <c r="K207" s="161">
        <f>IF(EM207="","",IF(ISNUMBER('Dvd Calendar'!$M$2081)=FALSE,"",IF((('Dvd Calendar'!$M$2083=TYPE1)*(TYPE1&lt;&gt;"")+('Dvd Calendar'!$M$2083=TYPE2)*(TYPE2&lt;&gt;"")+('Dvd Calendar'!$M$2083=TYPE3)*(TYPE3&lt;&gt;"")+('Dvd Calendar'!$M$2083=TYPE4)*(TYPE4&lt;&gt;"")+('Dvd Calendar'!$M$2083=SPECIAL_LBL)*(INC_SPECIALS="Y"))=0,"",'Dvd Calendar'!$M$2081)))</f>
        <v/>
      </c>
      <c r="L207" s="161">
        <f>IF(EN207="","",IF(ISNUMBER('Dvd Calendar'!$N$2081)=FALSE,"",IF((('Dvd Calendar'!$N$2083=TYPE1)*(TYPE1&lt;&gt;"")+('Dvd Calendar'!$N$2083=TYPE2)*(TYPE2&lt;&gt;"")+('Dvd Calendar'!$N$2083=TYPE3)*(TYPE3&lt;&gt;"")+('Dvd Calendar'!$N$2083=TYPE4)*(TYPE4&lt;&gt;"")+('Dvd Calendar'!$N$2083=SPECIAL_LBL)*(INC_SPECIALS="Y"))=0,"",'Dvd Calendar'!$N$2081)))</f>
        <v/>
      </c>
      <c r="M207" s="161">
        <f>IF(EO207="","",IF(ISNUMBER('Dvd Calendar'!$O$2081)=FALSE,"",IF((('Dvd Calendar'!$O$2083=TYPE1)*(TYPE1&lt;&gt;"")+('Dvd Calendar'!$O$2083=TYPE2)*(TYPE2&lt;&gt;"")+('Dvd Calendar'!$O$2083=TYPE3)*(TYPE3&lt;&gt;"")+('Dvd Calendar'!$O$2083=TYPE4)*(TYPE4&lt;&gt;"")+('Dvd Calendar'!$O$2083=SPECIAL_LBL)*(INC_SPECIALS="Y"))=0,"",'Dvd Calendar'!$O$2081)))</f>
        <v/>
      </c>
      <c r="N207" s="161">
        <f>IF(EP207="","",IF(ISNUMBER('Dvd Calendar'!$P$2081)=FALSE,"",IF((('Dvd Calendar'!$P$2083=TYPE1)*(TYPE1&lt;&gt;"")+('Dvd Calendar'!$P$2083=TYPE2)*(TYPE2&lt;&gt;"")+('Dvd Calendar'!$P$2083=TYPE3)*(TYPE3&lt;&gt;"")+('Dvd Calendar'!$P$2083=TYPE4)*(TYPE4&lt;&gt;"")+('Dvd Calendar'!$P$2083=SPECIAL_LBL)*(INC_SPECIALS="Y"))=0,"",'Dvd Calendar'!$P$2081)))</f>
        <v/>
      </c>
      <c r="O207" s="161">
        <f>IF(EQ207="","",IF(ISNUMBER('Dvd Calendar'!$Q$2081)=FALSE,"",IF((('Dvd Calendar'!$Q$2083=TYPE1)*(TYPE1&lt;&gt;"")+('Dvd Calendar'!$Q$2083=TYPE2)*(TYPE2&lt;&gt;"")+('Dvd Calendar'!$Q$2083=TYPE3)*(TYPE3&lt;&gt;"")+('Dvd Calendar'!$Q$2083=TYPE4)*(TYPE4&lt;&gt;"")+('Dvd Calendar'!$Q$2083=SPECIAL_LBL)*(INC_SPECIALS="Y"))=0,"",'Dvd Calendar'!$Q$2081)))</f>
        <v/>
      </c>
      <c r="P207" s="161">
        <f>IF(ER207="","",IF(ISNUMBER('Dvd Calendar'!$R$2081)=FALSE,"",IF((('Dvd Calendar'!$R$2083=TYPE1)*(TYPE1&lt;&gt;"")+('Dvd Calendar'!$R$2083=TYPE2)*(TYPE2&lt;&gt;"")+('Dvd Calendar'!$R$2083=TYPE3)*(TYPE3&lt;&gt;"")+('Dvd Calendar'!$R$2083=TYPE4)*(TYPE4&lt;&gt;"")+('Dvd Calendar'!$R$2083=SPECIAL_LBL)*(INC_SPECIALS="Y"))=0,"",'Dvd Calendar'!$R$2081)))</f>
        <v/>
      </c>
      <c r="Q207" s="161">
        <f>IF(ES207="","",IF(ISNUMBER('Dvd Calendar'!$S$2081)=FALSE,"",IF((('Dvd Calendar'!$S$2083=TYPE1)*(TYPE1&lt;&gt;"")+('Dvd Calendar'!$S$2083=TYPE2)*(TYPE2&lt;&gt;"")+('Dvd Calendar'!$S$2083=TYPE3)*(TYPE3&lt;&gt;"")+('Dvd Calendar'!$S$2083=TYPE4)*(TYPE4&lt;&gt;"")+('Dvd Calendar'!$S$2083=SPECIAL_LBL)*(INC_SPECIALS="Y"))=0,"",'Dvd Calendar'!$S$2081)))</f>
        <v/>
      </c>
      <c r="R207" s="161">
        <f>IF(ET207="","",IF(ISNUMBER('Dvd Calendar'!$T$2081)=FALSE,"",IF((('Dvd Calendar'!$T$2083=TYPE1)*(TYPE1&lt;&gt;"")+('Dvd Calendar'!$T$2083=TYPE2)*(TYPE2&lt;&gt;"")+('Dvd Calendar'!$T$2083=TYPE3)*(TYPE3&lt;&gt;"")+('Dvd Calendar'!$T$2083=TYPE4)*(TYPE4&lt;&gt;"")+('Dvd Calendar'!$T$2083=SPECIAL_LBL)*(INC_SPECIALS="Y"))=0,"",'Dvd Calendar'!$T$2081)))</f>
        <v/>
      </c>
      <c r="S207" s="161">
        <f>IF(EU207="","",IF(ISNUMBER('Dvd Calendar'!$U$2081)=FALSE,"",IF((('Dvd Calendar'!$U$2083=TYPE1)*(TYPE1&lt;&gt;"")+('Dvd Calendar'!$U$2083=TYPE2)*(TYPE2&lt;&gt;"")+('Dvd Calendar'!$U$2083=TYPE3)*(TYPE3&lt;&gt;"")+('Dvd Calendar'!$U$2083=TYPE4)*(TYPE4&lt;&gt;"")+('Dvd Calendar'!$U$2083=SPECIAL_LBL)*(INC_SPECIALS="Y"))=0,"",'Dvd Calendar'!$U$2081)))</f>
        <v/>
      </c>
      <c r="T207" s="161">
        <f>IF(EV207="","",IF(ISNUMBER('Dvd Calendar'!$V$2081)=FALSE,"",IF((('Dvd Calendar'!$V$2083=TYPE1)*(TYPE1&lt;&gt;"")+('Dvd Calendar'!$V$2083=TYPE2)*(TYPE2&lt;&gt;"")+('Dvd Calendar'!$V$2083=TYPE3)*(TYPE3&lt;&gt;"")+('Dvd Calendar'!$V$2083=TYPE4)*(TYPE4&lt;&gt;"")+('Dvd Calendar'!$V$2083=SPECIAL_LBL)*(INC_SPECIALS="Y"))=0,"",'Dvd Calendar'!$V$2081)))</f>
        <v/>
      </c>
      <c r="U207" s="161">
        <f>IF(EW207="","",IF(ISNUMBER('Dvd Calendar'!$W$2081)=FALSE,"",IF((('Dvd Calendar'!$W$2083=TYPE1)*(TYPE1&lt;&gt;"")+('Dvd Calendar'!$W$2083=TYPE2)*(TYPE2&lt;&gt;"")+('Dvd Calendar'!$W$2083=TYPE3)*(TYPE3&lt;&gt;"")+('Dvd Calendar'!$W$2083=TYPE4)*(TYPE4&lt;&gt;"")+('Dvd Calendar'!$W$2083=SPECIAL_LBL)*(INC_SPECIALS="Y"))=0,"",'Dvd Calendar'!$W$2081)))</f>
        <v/>
      </c>
      <c r="V207" s="161">
        <f>IF(EX207="","",IF(ISNUMBER('Dvd Calendar'!$X$2081)=FALSE,"",IF((('Dvd Calendar'!$X$2083=TYPE1)*(TYPE1&lt;&gt;"")+('Dvd Calendar'!$X$2083=TYPE2)*(TYPE2&lt;&gt;"")+('Dvd Calendar'!$X$2083=TYPE3)*(TYPE3&lt;&gt;"")+('Dvd Calendar'!$X$2083=TYPE4)*(TYPE4&lt;&gt;"")+('Dvd Calendar'!$X$2083=SPECIAL_LBL)*(INC_SPECIALS="Y"))=0,"",'Dvd Calendar'!$X$2081)))</f>
        <v/>
      </c>
      <c r="W207" s="161">
        <f>IF(EY207="","",IF(ISNUMBER('Dvd Calendar'!$Y$2081)=FALSE,"",IF((('Dvd Calendar'!$Y$2083=TYPE1)*(TYPE1&lt;&gt;"")+('Dvd Calendar'!$Y$2083=TYPE2)*(TYPE2&lt;&gt;"")+('Dvd Calendar'!$Y$2083=TYPE3)*(TYPE3&lt;&gt;"")+('Dvd Calendar'!$Y$2083=TYPE4)*(TYPE4&lt;&gt;"")+('Dvd Calendar'!$Y$2083=SPECIAL_LBL)*(INC_SPECIALS="Y"))=0,"",'Dvd Calendar'!$Y$2081)))</f>
        <v/>
      </c>
      <c r="X207" s="161">
        <f>IF(EZ207="","",IF(ISNUMBER('Dvd Calendar'!$Z$2081)=FALSE,"",IF((('Dvd Calendar'!$Z$2083=TYPE1)*(TYPE1&lt;&gt;"")+('Dvd Calendar'!$Z$2083=TYPE2)*(TYPE2&lt;&gt;"")+('Dvd Calendar'!$Z$2083=TYPE3)*(TYPE3&lt;&gt;"")+('Dvd Calendar'!$Z$2083=TYPE4)*(TYPE4&lt;&gt;"")+('Dvd Calendar'!$Z$2083=SPECIAL_LBL)*(INC_SPECIALS="Y"))=0,"",'Dvd Calendar'!$Z$2081)))</f>
        <v/>
      </c>
      <c r="Y207" s="161">
        <f>IF(FA207="","",IF(ISNUMBER('Dvd Calendar'!$AA$2081)=FALSE,"",IF((('Dvd Calendar'!$AA$2083=TYPE1)*(TYPE1&lt;&gt;"")+('Dvd Calendar'!$AA$2083=TYPE2)*(TYPE2&lt;&gt;"")+('Dvd Calendar'!$AA$2083=TYPE3)*(TYPE3&lt;&gt;"")+('Dvd Calendar'!$AA$2083=TYPE4)*(TYPE4&lt;&gt;"")+('Dvd Calendar'!$AA$2083=SPECIAL_LBL)*(INC_SPECIALS="Y"))=0,"",'Dvd Calendar'!$AA$2081)))</f>
        <v/>
      </c>
      <c r="Z207" s="161">
        <f>IF(FB207="","",IF(ISNUMBER('Dvd Calendar'!$AB$2081)=FALSE,"",IF((('Dvd Calendar'!$AB$2083=TYPE1)*(TYPE1&lt;&gt;"")+('Dvd Calendar'!$AB$2083=TYPE2)*(TYPE2&lt;&gt;"")+('Dvd Calendar'!$AB$2083=TYPE3)*(TYPE3&lt;&gt;"")+('Dvd Calendar'!$AB$2083=TYPE4)*(TYPE4&lt;&gt;"")+('Dvd Calendar'!$AB$2083=SPECIAL_LBL)*(INC_SPECIALS="Y"))=0,"",'Dvd Calendar'!$AB$2081)))</f>
        <v/>
      </c>
      <c r="AA207" s="161">
        <f>IF(FC207="","",IF(ISNUMBER('Dvd Calendar'!$AC$2081)=FALSE,"",IF((('Dvd Calendar'!$AC$2083=TYPE1)*(TYPE1&lt;&gt;"")+('Dvd Calendar'!$AC$2083=TYPE2)*(TYPE2&lt;&gt;"")+('Dvd Calendar'!$AC$2083=TYPE3)*(TYPE3&lt;&gt;"")+('Dvd Calendar'!$AC$2083=TYPE4)*(TYPE4&lt;&gt;"")+('Dvd Calendar'!$AC$2083=SPECIAL_LBL)*(INC_SPECIALS="Y"))=0,"",'Dvd Calendar'!$AC$2081)))</f>
        <v/>
      </c>
      <c r="AB207" s="161">
        <f>IF(FD207="","",IF(ISNUMBER('Dvd Calendar'!$AD$2081)=FALSE,"",IF((('Dvd Calendar'!$AD$2083=TYPE1)*(TYPE1&lt;&gt;"")+('Dvd Calendar'!$AD$2083=TYPE2)*(TYPE2&lt;&gt;"")+('Dvd Calendar'!$AD$2083=TYPE3)*(TYPE3&lt;&gt;"")+('Dvd Calendar'!$AD$2083=TYPE4)*(TYPE4&lt;&gt;"")+('Dvd Calendar'!$AD$2083=SPECIAL_LBL)*(INC_SPECIALS="Y"))=0,"",'Dvd Calendar'!$AD$2081)))</f>
        <v/>
      </c>
      <c r="AC207" s="161">
        <f>IF(FE207="","",IF(ISNUMBER('Dvd Calendar'!$AE$2081)=FALSE,"",IF((('Dvd Calendar'!$AE$2083=TYPE1)*(TYPE1&lt;&gt;"")+('Dvd Calendar'!$AE$2083=TYPE2)*(TYPE2&lt;&gt;"")+('Dvd Calendar'!$AE$2083=TYPE3)*(TYPE3&lt;&gt;"")+('Dvd Calendar'!$AE$2083=TYPE4)*(TYPE4&lt;&gt;"")+('Dvd Calendar'!$AE$2083=SPECIAL_LBL)*(INC_SPECIALS="Y"))=0,"",'Dvd Calendar'!$AE$2081)))</f>
        <v/>
      </c>
      <c r="AD207" s="161">
        <f>IF(FF207="","",IF(ISNUMBER('Dvd Calendar'!$AF$2081)=FALSE,"",IF((('Dvd Calendar'!$AF$2083=TYPE1)*(TYPE1&lt;&gt;"")+('Dvd Calendar'!$AF$2083=TYPE2)*(TYPE2&lt;&gt;"")+('Dvd Calendar'!$AF$2083=TYPE3)*(TYPE3&lt;&gt;"")+('Dvd Calendar'!$AF$2083=TYPE4)*(TYPE4&lt;&gt;"")+('Dvd Calendar'!$AF$2083=SPECIAL_LBL)*(INC_SPECIALS="Y"))=0,"",'Dvd Calendar'!$AF$2081)))</f>
        <v/>
      </c>
      <c r="AE207" s="161">
        <f>IF(FG207="","",IF(ISNUMBER('Dvd Calendar'!$AG$2081)=FALSE,"",IF((('Dvd Calendar'!$AG$2083=TYPE1)*(TYPE1&lt;&gt;"")+('Dvd Calendar'!$AG$2083=TYPE2)*(TYPE2&lt;&gt;"")+('Dvd Calendar'!$AG$2083=TYPE3)*(TYPE3&lt;&gt;"")+('Dvd Calendar'!$AG$2083=TYPE4)*(TYPE4&lt;&gt;"")+('Dvd Calendar'!$AG$2083=SPECIAL_LBL)*(INC_SPECIALS="Y"))=0,"",'Dvd Calendar'!$AG$2081)))</f>
        <v/>
      </c>
      <c r="AF207" s="161">
        <f>IF(FH207="","",IF(ISNUMBER('Dvd Calendar'!$AH$2081)=FALSE,"",IF((('Dvd Calendar'!$AH$2083=TYPE1)*(TYPE1&lt;&gt;"")+('Dvd Calendar'!$AH$2083=TYPE2)*(TYPE2&lt;&gt;"")+('Dvd Calendar'!$AH$2083=TYPE3)*(TYPE3&lt;&gt;"")+('Dvd Calendar'!$AH$2083=TYPE4)*(TYPE4&lt;&gt;"")+('Dvd Calendar'!$AH$2083=SPECIAL_LBL)*(INC_SPECIALS="Y"))=0,"",'Dvd Calendar'!$AH$2081)))</f>
        <v/>
      </c>
      <c r="AG207" s="161">
        <f>IF(FI207="","",IF(ISNUMBER('Dvd Calendar'!$AI$2081)=FALSE,"",IF((('Dvd Calendar'!$AI$2083=TYPE1)*(TYPE1&lt;&gt;"")+('Dvd Calendar'!$AI$2083=TYPE2)*(TYPE2&lt;&gt;"")+('Dvd Calendar'!$AI$2083=TYPE3)*(TYPE3&lt;&gt;"")+('Dvd Calendar'!$AI$2083=TYPE4)*(TYPE4&lt;&gt;"")+('Dvd Calendar'!$AI$2083=SPECIAL_LBL)*(INC_SPECIALS="Y"))=0,"",'Dvd Calendar'!$AI$2081)))</f>
        <v/>
      </c>
      <c r="AH207" s="161">
        <f>IF(FJ207="","",IF(ISNUMBER('Dvd Calendar'!$AJ$2081)=FALSE,"",IF((('Dvd Calendar'!$AJ$2083=TYPE1)*(TYPE1&lt;&gt;"")+('Dvd Calendar'!$AJ$2083=TYPE2)*(TYPE2&lt;&gt;"")+('Dvd Calendar'!$AJ$2083=TYPE3)*(TYPE3&lt;&gt;"")+('Dvd Calendar'!$AJ$2083=TYPE4)*(TYPE4&lt;&gt;"")+('Dvd Calendar'!$AJ$2083=SPECIAL_LBL)*(INC_SPECIALS="Y"))=0,"",'Dvd Calendar'!$AJ$2081)))</f>
        <v/>
      </c>
      <c r="AI207" s="161">
        <f>IF(FK207="","",IF(ISNUMBER('Dvd Calendar'!$AK$2081)=FALSE,"",IF((('Dvd Calendar'!$AK$2083=TYPE1)*(TYPE1&lt;&gt;"")+('Dvd Calendar'!$AK$2083=TYPE2)*(TYPE2&lt;&gt;"")+('Dvd Calendar'!$AK$2083=TYPE3)*(TYPE3&lt;&gt;"")+('Dvd Calendar'!$AK$2083=TYPE4)*(TYPE4&lt;&gt;"")+('Dvd Calendar'!$AK$2083=SPECIAL_LBL)*(INC_SPECIALS="Y"))=0,"",'Dvd Calendar'!$AK$2081)))</f>
        <v/>
      </c>
      <c r="AJ207" s="161">
        <f>IF(FL207="","",IF(ISNUMBER('Dvd Calendar'!$AL$2081)=FALSE,"",IF((('Dvd Calendar'!$AL$2083=TYPE1)*(TYPE1&lt;&gt;"")+('Dvd Calendar'!$AL$2083=TYPE2)*(TYPE2&lt;&gt;"")+('Dvd Calendar'!$AL$2083=TYPE3)*(TYPE3&lt;&gt;"")+('Dvd Calendar'!$AL$2083=TYPE4)*(TYPE4&lt;&gt;"")+('Dvd Calendar'!$AL$2083=SPECIAL_LBL)*(INC_SPECIALS="Y"))=0,"",'Dvd Calendar'!$AL$2081)))</f>
        <v/>
      </c>
      <c r="AK207" s="161">
        <f>IF(FM207="","",IF(ISNUMBER('Dvd Calendar'!$AM$2081)=FALSE,"",IF((('Dvd Calendar'!$AM$2083=TYPE1)*(TYPE1&lt;&gt;"")+('Dvd Calendar'!$AM$2083=TYPE2)*(TYPE2&lt;&gt;"")+('Dvd Calendar'!$AM$2083=TYPE3)*(TYPE3&lt;&gt;"")+('Dvd Calendar'!$AM$2083=TYPE4)*(TYPE4&lt;&gt;"")+('Dvd Calendar'!$AM$2083=SPECIAL_LBL)*(INC_SPECIALS="Y"))=0,"",'Dvd Calendar'!$AM$2081)))</f>
        <v/>
      </c>
      <c r="AL207" s="161">
        <f>IF(FN207="","",IF(ISNUMBER('Dvd Calendar'!$AN$2081)=FALSE,"",IF((('Dvd Calendar'!$AN$2083=TYPE1)*(TYPE1&lt;&gt;"")+('Dvd Calendar'!$AN$2083=TYPE2)*(TYPE2&lt;&gt;"")+('Dvd Calendar'!$AN$2083=TYPE3)*(TYPE3&lt;&gt;"")+('Dvd Calendar'!$AN$2083=TYPE4)*(TYPE4&lt;&gt;"")+('Dvd Calendar'!$AN$2083=SPECIAL_LBL)*(INC_SPECIALS="Y"))=0,"",'Dvd Calendar'!$AN$2081)))</f>
        <v/>
      </c>
      <c r="AM207" s="161">
        <f>IF(FO207="","",IF(ISNUMBER('Dvd Calendar'!$AO$2081)=FALSE,"",IF((('Dvd Calendar'!$AO$2083=TYPE1)*(TYPE1&lt;&gt;"")+('Dvd Calendar'!$AO$2083=TYPE2)*(TYPE2&lt;&gt;"")+('Dvd Calendar'!$AO$2083=TYPE3)*(TYPE3&lt;&gt;"")+('Dvd Calendar'!$AO$2083=TYPE4)*(TYPE4&lt;&gt;"")+('Dvd Calendar'!$AO$2083=SPECIAL_LBL)*(INC_SPECIALS="Y"))=0,"",'Dvd Calendar'!$AO$2081)))</f>
        <v/>
      </c>
      <c r="AN207" s="161">
        <f>IF(FP207="","",IF(ISNUMBER('Dvd Calendar'!$AP$2081)=FALSE,"",IF((('Dvd Calendar'!$AP$2083=TYPE1)*(TYPE1&lt;&gt;"")+('Dvd Calendar'!$AP$2083=TYPE2)*(TYPE2&lt;&gt;"")+('Dvd Calendar'!$AP$2083=TYPE3)*(TYPE3&lt;&gt;"")+('Dvd Calendar'!$AP$2083=TYPE4)*(TYPE4&lt;&gt;"")+('Dvd Calendar'!$AP$2083=SPECIAL_LBL)*(INC_SPECIALS="Y"))=0,"",'Dvd Calendar'!$AP$2081)))</f>
        <v/>
      </c>
      <c r="AO207" s="161">
        <f>IF(FQ207="","",IF(ISNUMBER('Dvd Calendar'!$AQ$2081)=FALSE,"",IF((('Dvd Calendar'!$AQ$2083=TYPE1)*(TYPE1&lt;&gt;"")+('Dvd Calendar'!$AQ$2083=TYPE2)*(TYPE2&lt;&gt;"")+('Dvd Calendar'!$AQ$2083=TYPE3)*(TYPE3&lt;&gt;"")+('Dvd Calendar'!$AQ$2083=TYPE4)*(TYPE4&lt;&gt;"")+('Dvd Calendar'!$AQ$2083=SPECIAL_LBL)*(INC_SPECIALS="Y"))=0,"",'Dvd Calendar'!$AQ$2081)))</f>
        <v/>
      </c>
      <c r="AP207" s="161">
        <f>IF(FR207="","",IF(ISNUMBER('Dvd Calendar'!$AR$2081)=FALSE,"",IF((('Dvd Calendar'!$AR$2083=TYPE1)*(TYPE1&lt;&gt;"")+('Dvd Calendar'!$AR$2083=TYPE2)*(TYPE2&lt;&gt;"")+('Dvd Calendar'!$AR$2083=TYPE3)*(TYPE3&lt;&gt;"")+('Dvd Calendar'!$AR$2083=TYPE4)*(TYPE4&lt;&gt;"")+('Dvd Calendar'!$AR$2083=SPECIAL_LBL)*(INC_SPECIALS="Y"))=0,"",'Dvd Calendar'!$AR$2081)))</f>
        <v/>
      </c>
      <c r="AQ207" s="161">
        <f>IF(FS207="","",IF(ISNUMBER('Dvd Calendar'!$E$2086)=FALSE,"",'Dvd Calendar'!$E$2086))</f>
        <v/>
      </c>
      <c r="AR207" s="161">
        <f>IF(FT207="","",IF(ISNUMBER('Dvd Calendar'!$F$2086)=FALSE,"",'Dvd Calendar'!$F$2086))</f>
        <v/>
      </c>
      <c r="AS207" s="161">
        <f>IF(FU207="","",IF(ISNUMBER('Dvd Calendar'!$G$2086)=FALSE,"",'Dvd Calendar'!$G$2086))</f>
        <v/>
      </c>
      <c r="AT207" s="161">
        <f>IF(FV207="","",IF(ISNUMBER('Dvd Calendar'!$H$2086)=FALSE,"",'Dvd Calendar'!$H$2086))</f>
        <v/>
      </c>
      <c r="AU207" s="161">
        <f>IF(FW207="","",IF(ISNUMBER('Dvd Calendar'!$I$2086)=FALSE,"",'Dvd Calendar'!$I$2086))</f>
        <v/>
      </c>
      <c r="AV207" s="161">
        <f>IF(FX207="","",IF(ISNUMBER('Dvd Calendar'!$J$2086)=FALSE,"",'Dvd Calendar'!$J$2086))</f>
        <v/>
      </c>
      <c r="AW207" s="161">
        <f>IF(FY207="","",IF(ISNUMBER('Dvd Calendar'!$K$2086)=FALSE,"",'Dvd Calendar'!$K$2086))</f>
        <v/>
      </c>
      <c r="AX207" s="161">
        <f>IF(FZ207="","",IF(ISNUMBER('Dvd Calendar'!$L$2086)=FALSE,"",'Dvd Calendar'!$L$2086))</f>
        <v/>
      </c>
      <c r="AY207" s="161">
        <f>IF(GA207="","",IF(ISNUMBER('Dvd Calendar'!$M$2086)=FALSE,"",'Dvd Calendar'!$M$2086))</f>
        <v/>
      </c>
      <c r="AZ207" s="161">
        <f>IF(GB207="","",IF(ISNUMBER('Dvd Calendar'!$N$2086)=FALSE,"",'Dvd Calendar'!$N$2086))</f>
        <v/>
      </c>
      <c r="BA207" s="161">
        <f>IF(GC207="","",IF(ISNUMBER('Dvd Calendar'!$O$2086)=FALSE,"",'Dvd Calendar'!$O$2086))</f>
        <v/>
      </c>
      <c r="BB207" s="161">
        <f>IF(GD207="","",IF(ISNUMBER('Dvd Calendar'!$P$2086)=FALSE,"",'Dvd Calendar'!$P$2086))</f>
        <v/>
      </c>
      <c r="BC207" s="161">
        <f>IF(GE207="","",IF(ISNUMBER('Dvd Calendar'!$Q$2086)=FALSE,"",'Dvd Calendar'!$Q$2086))</f>
        <v/>
      </c>
      <c r="BD207" s="161">
        <f>IF(GF207="","",IF(ISNUMBER('Dvd Calendar'!$R$2086)=FALSE,"",'Dvd Calendar'!$R$2086))</f>
        <v/>
      </c>
      <c r="BE207" s="161">
        <f>IF(GG207="","",IF(ISNUMBER('Dvd Calendar'!$S$2086)=FALSE,"",'Dvd Calendar'!$S$2086))</f>
        <v/>
      </c>
      <c r="BF207" s="161">
        <f>IF(GH207="","",IF(ISNUMBER('Dvd Calendar'!$T$2086)=FALSE,"",'Dvd Calendar'!$T$2086))</f>
        <v/>
      </c>
      <c r="BG207" s="161">
        <f>IF(GI207="","",IF(ISNUMBER('Dvd Calendar'!$U$2086)=FALSE,"",'Dvd Calendar'!$U$2086))</f>
        <v/>
      </c>
      <c r="BH207" s="161">
        <f>IF(GJ207="","",IF(ISNUMBER('Dvd Calendar'!$V$2086)=FALSE,"",'Dvd Calendar'!$V$2086))</f>
        <v/>
      </c>
      <c r="BI207" s="161">
        <f>IF(GK207="","",IF(ISNUMBER('Dvd Calendar'!$W$2086)=FALSE,"",'Dvd Calendar'!$W$2086))</f>
        <v/>
      </c>
      <c r="BJ207" s="161">
        <f>IF(GL207="","",IF(ISNUMBER('Dvd Calendar'!$X$2086)=FALSE,"",'Dvd Calendar'!$X$2086))</f>
        <v/>
      </c>
      <c r="BK207" s="161">
        <f>IF(GM207="","",IF(ISNUMBER('Dvd Calendar'!$Y$2086)=FALSE,"",'Dvd Calendar'!$Y$2086))</f>
        <v/>
      </c>
      <c r="BL207" s="161">
        <f>IF(GN207="","",IF(ISNUMBER('Dvd Calendar'!$Z$2086)=FALSE,"",'Dvd Calendar'!$Z$2086))</f>
        <v/>
      </c>
      <c r="BM207" s="161">
        <f>IF(GO207="","",IF(ISNUMBER('Dvd Calendar'!$AA$2086)=FALSE,"",'Dvd Calendar'!$AA$2086))</f>
        <v/>
      </c>
      <c r="BN207" s="161">
        <f>IF(GP207="","",IF(ISNUMBER('Dvd Calendar'!$AB$2086)=FALSE,"",'Dvd Calendar'!$AB$2086))</f>
        <v/>
      </c>
      <c r="BO207" s="161">
        <f>IF(GQ207="","",IF(ISNUMBER('Dvd Calendar'!$AC$2086)=FALSE,"",'Dvd Calendar'!$AC$2086))</f>
        <v/>
      </c>
      <c r="BQ207" s="161">
        <f>IF(C207="","",IFERROR(C207*HSCEI!$B$54*HSCEI!$G$54/HSCEI!$B$3,""))</f>
        <v/>
      </c>
      <c r="BR207" s="161">
        <f>IF(D207="","",IFERROR(D207*HSCEI!$B$54*HSCEI!$G$54/HSCEI!$B$3,""))</f>
        <v/>
      </c>
      <c r="BS207" s="161">
        <f>IF(E207="","",IFERROR(E207*HSCEI!$B$54*HSCEI!$G$54/HSCEI!$B$3,""))</f>
        <v/>
      </c>
      <c r="BT207" s="161">
        <f>IF(F207="","",IFERROR(F207*HSCEI!$B$54*HSCEI!$G$54/HSCEI!$B$3,""))</f>
        <v/>
      </c>
      <c r="BU207" s="161">
        <f>IF(G207="","",IFERROR(G207*HSCEI!$B$54*HSCEI!$G$54/HSCEI!$B$3,""))</f>
        <v/>
      </c>
      <c r="BV207" s="161">
        <f>IF(H207="","",IFERROR(H207*HSCEI!$B$54*HSCEI!$G$54/HSCEI!$B$3,""))</f>
        <v/>
      </c>
      <c r="BW207" s="161">
        <f>IF(I207="","",IFERROR(I207*HSCEI!$B$54*HSCEI!$G$54/HSCEI!$B$3,""))</f>
        <v/>
      </c>
      <c r="BX207" s="161">
        <f>IF(J207="","",IFERROR(J207*HSCEI!$B$54*HSCEI!$G$54/HSCEI!$B$3,""))</f>
        <v/>
      </c>
      <c r="BY207" s="161">
        <f>IF(K207="","",IFERROR(K207*HSCEI!$B$54*HSCEI!$G$54/HSCEI!$B$3,""))</f>
        <v/>
      </c>
      <c r="BZ207" s="161">
        <f>IF(L207="","",IFERROR(L207*HSCEI!$B$54*HSCEI!$G$54/HSCEI!$B$3,""))</f>
        <v/>
      </c>
      <c r="CA207" s="161">
        <f>IF(M207="","",IFERROR(M207*HSCEI!$B$54*HSCEI!$G$54/HSCEI!$B$3,""))</f>
        <v/>
      </c>
      <c r="CB207" s="161">
        <f>IF(N207="","",IFERROR(N207*HSCEI!$B$54*HSCEI!$G$54/HSCEI!$B$3,""))</f>
        <v/>
      </c>
      <c r="CC207" s="161">
        <f>IF(O207="","",IFERROR(O207*HSCEI!$B$54*HSCEI!$G$54/HSCEI!$B$3,""))</f>
        <v/>
      </c>
      <c r="CD207" s="161">
        <f>IF(P207="","",IFERROR(P207*HSCEI!$B$54*HSCEI!$G$54/HSCEI!$B$3,""))</f>
        <v/>
      </c>
      <c r="CE207" s="161">
        <f>IF(Q207="","",IFERROR(Q207*HSCEI!$B$54*HSCEI!$G$54/HSCEI!$B$3,""))</f>
        <v/>
      </c>
      <c r="CF207" s="161">
        <f>IF(R207="","",IFERROR(R207*HSCEI!$B$54*HSCEI!$G$54/HSCEI!$B$3,""))</f>
        <v/>
      </c>
      <c r="CG207" s="161">
        <f>IF(S207="","",IFERROR(S207*HSCEI!$B$54*HSCEI!$G$54/HSCEI!$B$3,""))</f>
        <v/>
      </c>
      <c r="CH207" s="161">
        <f>IF(T207="","",IFERROR(T207*HSCEI!$B$54*HSCEI!$G$54/HSCEI!$B$3,""))</f>
        <v/>
      </c>
      <c r="CI207" s="161">
        <f>IF(U207="","",IFERROR(U207*HSCEI!$B$54*HSCEI!$G$54/HSCEI!$B$3,""))</f>
        <v/>
      </c>
      <c r="CJ207" s="161">
        <f>IF(V207="","",IFERROR(V207*HSCEI!$B$54*HSCEI!$G$54/HSCEI!$B$3,""))</f>
        <v/>
      </c>
      <c r="CK207" s="161">
        <f>IF(W207="","",IFERROR(W207*HSCEI!$B$54*HSCEI!$G$54/HSCEI!$B$3,""))</f>
        <v/>
      </c>
      <c r="CL207" s="161">
        <f>IF(X207="","",IFERROR(X207*HSCEI!$B$54*HSCEI!$G$54/HSCEI!$B$3,""))</f>
        <v/>
      </c>
      <c r="CM207" s="161">
        <f>IF(Y207="","",IFERROR(Y207*HSCEI!$B$54*HSCEI!$G$54/HSCEI!$B$3,""))</f>
        <v/>
      </c>
      <c r="CN207" s="161">
        <f>IF(Z207="","",IFERROR(Z207*HSCEI!$B$54*HSCEI!$G$54/HSCEI!$B$3,""))</f>
        <v/>
      </c>
      <c r="CO207" s="161">
        <f>IF(AA207="","",IFERROR(AA207*HSCEI!$B$54*HSCEI!$G$54/HSCEI!$B$3,""))</f>
        <v/>
      </c>
      <c r="CP207" s="161">
        <f>IF(AB207="","",IFERROR(AB207*HSCEI!$B$54*HSCEI!$G$54/HSCEI!$B$3,""))</f>
        <v/>
      </c>
      <c r="CQ207" s="161">
        <f>IF(AC207="","",IFERROR(AC207*HSCEI!$B$54*HSCEI!$G$54/HSCEI!$B$3,""))</f>
        <v/>
      </c>
      <c r="CR207" s="161">
        <f>IF(AD207="","",IFERROR(AD207*HSCEI!$B$54*HSCEI!$G$54/HSCEI!$B$3,""))</f>
        <v/>
      </c>
      <c r="CS207" s="161">
        <f>IF(AE207="","",IFERROR(AE207*HSCEI!$B$54*HSCEI!$G$54/HSCEI!$B$3,""))</f>
        <v/>
      </c>
      <c r="CT207" s="161">
        <f>IF(AF207="","",IFERROR(AF207*HSCEI!$B$54*HSCEI!$G$54/HSCEI!$B$3,""))</f>
        <v/>
      </c>
      <c r="CU207" s="161">
        <f>IF(AG207="","",IFERROR(AG207*HSCEI!$B$54*HSCEI!$G$54/HSCEI!$B$3,""))</f>
        <v/>
      </c>
      <c r="CV207" s="161">
        <f>IF(AH207="","",IFERROR(AH207*HSCEI!$B$54*HSCEI!$G$54/HSCEI!$B$3,""))</f>
        <v/>
      </c>
      <c r="CW207" s="161">
        <f>IF(AI207="","",IFERROR(AI207*HSCEI!$B$54*HSCEI!$G$54/HSCEI!$B$3,""))</f>
        <v/>
      </c>
      <c r="CX207" s="161">
        <f>IF(AJ207="","",IFERROR(AJ207*HSCEI!$B$54*HSCEI!$G$54/HSCEI!$B$3,""))</f>
        <v/>
      </c>
      <c r="CY207" s="161">
        <f>IF(AK207="","",IFERROR(AK207*HSCEI!$B$54*HSCEI!$G$54/HSCEI!$B$3,""))</f>
        <v/>
      </c>
      <c r="CZ207" s="161">
        <f>IF(AL207="","",IFERROR(AL207*HSCEI!$B$54*HSCEI!$G$54/HSCEI!$B$3,""))</f>
        <v/>
      </c>
      <c r="DA207" s="161">
        <f>IF(AM207="","",IFERROR(AM207*HSCEI!$B$54*HSCEI!$G$54/HSCEI!$B$3,""))</f>
        <v/>
      </c>
      <c r="DB207" s="161">
        <f>IF(AN207="","",IFERROR(AN207*HSCEI!$B$54*HSCEI!$G$54/HSCEI!$B$3,""))</f>
        <v/>
      </c>
      <c r="DC207" s="161">
        <f>IF(AO207="","",IFERROR(AO207*HSCEI!$B$54*HSCEI!$G$54/HSCEI!$B$3,""))</f>
        <v/>
      </c>
      <c r="DD207" s="161">
        <f>IF(AP207="","",IFERROR(AP207*HSCEI!$B$54*HSCEI!$G$54/HSCEI!$B$3,""))</f>
        <v/>
      </c>
      <c r="DE207" s="161">
        <f>IF(AQ207="","",IFERROR(AQ207*HSCEI!$B$54*HSCEI!$G$54/HSCEI!$B$3,""))</f>
        <v/>
      </c>
      <c r="DF207" s="161">
        <f>IF(AR207="","",IFERROR(AR207*HSCEI!$B$54*HSCEI!$G$54/HSCEI!$B$3,""))</f>
        <v/>
      </c>
      <c r="DG207" s="161">
        <f>IF(AS207="","",IFERROR(AS207*HSCEI!$B$54*HSCEI!$G$54/HSCEI!$B$3,""))</f>
        <v/>
      </c>
      <c r="DH207" s="161">
        <f>IF(AT207="","",IFERROR(AT207*HSCEI!$B$54*HSCEI!$G$54/HSCEI!$B$3,""))</f>
        <v/>
      </c>
      <c r="DI207" s="161">
        <f>IF(AU207="","",IFERROR(AU207*HSCEI!$B$54*HSCEI!$G$54/HSCEI!$B$3,""))</f>
        <v/>
      </c>
      <c r="DJ207" s="161">
        <f>IF(AV207="","",IFERROR(AV207*HSCEI!$B$54*HSCEI!$G$54/HSCEI!$B$3,""))</f>
        <v/>
      </c>
      <c r="DK207" s="161">
        <f>IF(AW207="","",IFERROR(AW207*HSCEI!$B$54*HSCEI!$G$54/HSCEI!$B$3,""))</f>
        <v/>
      </c>
      <c r="DL207" s="161">
        <f>IF(AX207="","",IFERROR(AX207*HSCEI!$B$54*HSCEI!$G$54/HSCEI!$B$3,""))</f>
        <v/>
      </c>
      <c r="DM207" s="161">
        <f>IF(AY207="","",IFERROR(AY207*HSCEI!$B$54*HSCEI!$G$54/HSCEI!$B$3,""))</f>
        <v/>
      </c>
      <c r="DN207" s="161">
        <f>IF(AZ207="","",IFERROR(AZ207*HSCEI!$B$54*HSCEI!$G$54/HSCEI!$B$3,""))</f>
        <v/>
      </c>
      <c r="DO207" s="161">
        <f>IF(BA207="","",IFERROR(BA207*HSCEI!$B$54*HSCEI!$G$54/HSCEI!$B$3,""))</f>
        <v/>
      </c>
      <c r="DP207" s="161">
        <f>IF(BB207="","",IFERROR(BB207*HSCEI!$B$54*HSCEI!$G$54/HSCEI!$B$3,""))</f>
        <v/>
      </c>
      <c r="DQ207" s="161">
        <f>IF(BC207="","",IFERROR(BC207*HSCEI!$B$54*HSCEI!$G$54/HSCEI!$B$3,""))</f>
        <v/>
      </c>
      <c r="DR207" s="161">
        <f>IF(BD207="","",IFERROR(BD207*HSCEI!$B$54*HSCEI!$G$54/HSCEI!$B$3,""))</f>
        <v/>
      </c>
      <c r="DS207" s="161">
        <f>IF(BE207="","",IFERROR(BE207*HSCEI!$B$54*HSCEI!$G$54/HSCEI!$B$3,""))</f>
        <v/>
      </c>
      <c r="DT207" s="161">
        <f>IF(BF207="","",IFERROR(BF207*HSCEI!$B$54*HSCEI!$G$54/HSCEI!$B$3,""))</f>
        <v/>
      </c>
      <c r="DU207" s="161">
        <f>IF(BG207="","",IFERROR(BG207*HSCEI!$B$54*HSCEI!$G$54/HSCEI!$B$3,""))</f>
        <v/>
      </c>
      <c r="DV207" s="161">
        <f>IF(BH207="","",IFERROR(BH207*HSCEI!$B$54*HSCEI!$G$54/HSCEI!$B$3,""))</f>
        <v/>
      </c>
      <c r="DW207" s="161">
        <f>IF(BI207="","",IFERROR(BI207*HSCEI!$B$54*HSCEI!$G$54/HSCEI!$B$3,""))</f>
        <v/>
      </c>
      <c r="DX207" s="161">
        <f>IF(BJ207="","",IFERROR(BJ207*HSCEI!$B$54*HSCEI!$G$54/HSCEI!$B$3,""))</f>
        <v/>
      </c>
      <c r="DY207" s="161">
        <f>IF(BK207="","",IFERROR(BK207*HSCEI!$B$54*HSCEI!$G$54/HSCEI!$B$3,""))</f>
        <v/>
      </c>
      <c r="DZ207" s="161">
        <f>IF(BL207="","",IFERROR(BL207*HSCEI!$B$54*HSCEI!$G$54/HSCEI!$B$3,""))</f>
        <v/>
      </c>
      <c r="EA207" s="161">
        <f>IF(BM207="","",IFERROR(BM207*HSCEI!$B$54*HSCEI!$G$54/HSCEI!$B$3,""))</f>
        <v/>
      </c>
      <c r="EB207" s="161">
        <f>IF(BN207="","",IFERROR(BN207*HSCEI!$B$54*HSCEI!$G$54/HSCEI!$B$3,""))</f>
        <v/>
      </c>
      <c r="EC207" s="161">
        <f>IF(BO207="","",IFERROR(BO207*HSCEI!$B$54*HSCEI!$G$54/HSCEI!$B$3,""))</f>
        <v/>
      </c>
      <c r="EE207" s="121">
        <f>IF(N('Dvd Calendar'!$E$2078)=0,"",IF(('Dvd Calendar'!$E$2078&gt;=GRID_FROM)*('Dvd Calendar'!$E$2078&lt;=GRID_TO)*((('Dvd Calendar'!$E$2078&lt;=VAL_DATE)+(COUNTIF('Dvd Calendar'!$E$2085:$AR$2085,'Dvd Calendar'!$E$2078)=0))&gt;0)=0,"",'Dvd Calendar'!$E$2078*1000000000+ISNUMBER('Dvd Calendar'!$E$2081)*100000000+('Dvd Calendar'!$E$2083=SPECIAL_LBL)*10000000+(N('Dvd Calendar'!$E$2077)&gt;0)*(N('Dvd Calendar'!$E$2077)&lt;=VAL_SERIAL)*1000000+48*1000+1))</f>
        <v/>
      </c>
      <c r="EF207" s="121">
        <f>IF(N('Dvd Calendar'!$F$2078)=0,"",IF(('Dvd Calendar'!$F$2078&gt;=GRID_FROM)*('Dvd Calendar'!$F$2078&lt;=GRID_TO)*((('Dvd Calendar'!$F$2078&lt;=VAL_DATE)+(COUNTIF('Dvd Calendar'!$E$2085:$AR$2085,'Dvd Calendar'!$F$2078)=0))&gt;0)=0,"",'Dvd Calendar'!$F$2078*1000000000+ISNUMBER('Dvd Calendar'!$F$2081)*100000000+('Dvd Calendar'!$F$2083=SPECIAL_LBL)*10000000+(N('Dvd Calendar'!$F$2077)&gt;0)*(N('Dvd Calendar'!$F$2077)&lt;=VAL_SERIAL)*1000000+48*1000+2))</f>
        <v/>
      </c>
      <c r="EG207" s="121">
        <f>IF(N('Dvd Calendar'!$G$2078)=0,"",IF(('Dvd Calendar'!$G$2078&gt;=GRID_FROM)*('Dvd Calendar'!$G$2078&lt;=GRID_TO)*((('Dvd Calendar'!$G$2078&lt;=VAL_DATE)+(COUNTIF('Dvd Calendar'!$E$2085:$AR$2085,'Dvd Calendar'!$G$2078)=0))&gt;0)=0,"",'Dvd Calendar'!$G$2078*1000000000+ISNUMBER('Dvd Calendar'!$G$2081)*100000000+('Dvd Calendar'!$G$2083=SPECIAL_LBL)*10000000+(N('Dvd Calendar'!$G$2077)&gt;0)*(N('Dvd Calendar'!$G$2077)&lt;=VAL_SERIAL)*1000000+48*1000+3))</f>
        <v/>
      </c>
      <c r="EH207" s="121">
        <f>IF(N('Dvd Calendar'!$H$2078)=0,"",IF(('Dvd Calendar'!$H$2078&gt;=GRID_FROM)*('Dvd Calendar'!$H$2078&lt;=GRID_TO)*((('Dvd Calendar'!$H$2078&lt;=VAL_DATE)+(COUNTIF('Dvd Calendar'!$E$2085:$AR$2085,'Dvd Calendar'!$H$2078)=0))&gt;0)=0,"",'Dvd Calendar'!$H$2078*1000000000+ISNUMBER('Dvd Calendar'!$H$2081)*100000000+('Dvd Calendar'!$H$2083=SPECIAL_LBL)*10000000+(N('Dvd Calendar'!$H$2077)&gt;0)*(N('Dvd Calendar'!$H$2077)&lt;=VAL_SERIAL)*1000000+48*1000+4))</f>
        <v/>
      </c>
      <c r="EI207" s="121">
        <f>IF(N('Dvd Calendar'!$I$2078)=0,"",IF(('Dvd Calendar'!$I$2078&gt;=GRID_FROM)*('Dvd Calendar'!$I$2078&lt;=GRID_TO)*((('Dvd Calendar'!$I$2078&lt;=VAL_DATE)+(COUNTIF('Dvd Calendar'!$E$2085:$AR$2085,'Dvd Calendar'!$I$2078)=0))&gt;0)=0,"",'Dvd Calendar'!$I$2078*1000000000+ISNUMBER('Dvd Calendar'!$I$2081)*100000000+('Dvd Calendar'!$I$2083=SPECIAL_LBL)*10000000+(N('Dvd Calendar'!$I$2077)&gt;0)*(N('Dvd Calendar'!$I$2077)&lt;=VAL_SERIAL)*1000000+48*1000+5))</f>
        <v/>
      </c>
      <c r="EJ207" s="121">
        <f>IF(N('Dvd Calendar'!$J$2078)=0,"",IF(('Dvd Calendar'!$J$2078&gt;=GRID_FROM)*('Dvd Calendar'!$J$2078&lt;=GRID_TO)*((('Dvd Calendar'!$J$2078&lt;=VAL_DATE)+(COUNTIF('Dvd Calendar'!$E$2085:$AR$2085,'Dvd Calendar'!$J$2078)=0))&gt;0)=0,"",'Dvd Calendar'!$J$2078*1000000000+ISNUMBER('Dvd Calendar'!$J$2081)*100000000+('Dvd Calendar'!$J$2083=SPECIAL_LBL)*10000000+(N('Dvd Calendar'!$J$2077)&gt;0)*(N('Dvd Calendar'!$J$2077)&lt;=VAL_SERIAL)*1000000+48*1000+6))</f>
        <v/>
      </c>
      <c r="EK207" s="121">
        <f>IF(N('Dvd Calendar'!$K$2078)=0,"",IF(('Dvd Calendar'!$K$2078&gt;=GRID_FROM)*('Dvd Calendar'!$K$2078&lt;=GRID_TO)*((('Dvd Calendar'!$K$2078&lt;=VAL_DATE)+(COUNTIF('Dvd Calendar'!$E$2085:$AR$2085,'Dvd Calendar'!$K$2078)=0))&gt;0)=0,"",'Dvd Calendar'!$K$2078*1000000000+ISNUMBER('Dvd Calendar'!$K$2081)*100000000+('Dvd Calendar'!$K$2083=SPECIAL_LBL)*10000000+(N('Dvd Calendar'!$K$2077)&gt;0)*(N('Dvd Calendar'!$K$2077)&lt;=VAL_SERIAL)*1000000+48*1000+7))</f>
        <v/>
      </c>
      <c r="EL207" s="121">
        <f>IF(N('Dvd Calendar'!$L$2078)=0,"",IF(('Dvd Calendar'!$L$2078&gt;=GRID_FROM)*('Dvd Calendar'!$L$2078&lt;=GRID_TO)*((('Dvd Calendar'!$L$2078&lt;=VAL_DATE)+(COUNTIF('Dvd Calendar'!$E$2085:$AR$2085,'Dvd Calendar'!$L$2078)=0))&gt;0)=0,"",'Dvd Calendar'!$L$2078*1000000000+ISNUMBER('Dvd Calendar'!$L$2081)*100000000+('Dvd Calendar'!$L$2083=SPECIAL_LBL)*10000000+(N('Dvd Calendar'!$L$2077)&gt;0)*(N('Dvd Calendar'!$L$2077)&lt;=VAL_SERIAL)*1000000+48*1000+8))</f>
        <v/>
      </c>
      <c r="EM207" s="121">
        <f>IF(N('Dvd Calendar'!$M$2078)=0,"",IF(('Dvd Calendar'!$M$2078&gt;=GRID_FROM)*('Dvd Calendar'!$M$2078&lt;=GRID_TO)*((('Dvd Calendar'!$M$2078&lt;=VAL_DATE)+(COUNTIF('Dvd Calendar'!$E$2085:$AR$2085,'Dvd Calendar'!$M$2078)=0))&gt;0)=0,"",'Dvd Calendar'!$M$2078*1000000000+ISNUMBER('Dvd Calendar'!$M$2081)*100000000+('Dvd Calendar'!$M$2083=SPECIAL_LBL)*10000000+(N('Dvd Calendar'!$M$2077)&gt;0)*(N('Dvd Calendar'!$M$2077)&lt;=VAL_SERIAL)*1000000+48*1000+9))</f>
        <v/>
      </c>
      <c r="EN207" s="121">
        <f>IF(N('Dvd Calendar'!$N$2078)=0,"",IF(('Dvd Calendar'!$N$2078&gt;=GRID_FROM)*('Dvd Calendar'!$N$2078&lt;=GRID_TO)*((('Dvd Calendar'!$N$2078&lt;=VAL_DATE)+(COUNTIF('Dvd Calendar'!$E$2085:$AR$2085,'Dvd Calendar'!$N$2078)=0))&gt;0)=0,"",'Dvd Calendar'!$N$2078*1000000000+ISNUMBER('Dvd Calendar'!$N$2081)*100000000+('Dvd Calendar'!$N$2083=SPECIAL_LBL)*10000000+(N('Dvd Calendar'!$N$2077)&gt;0)*(N('Dvd Calendar'!$N$2077)&lt;=VAL_SERIAL)*1000000+48*1000+10))</f>
        <v/>
      </c>
      <c r="EO207" s="121">
        <f>IF(N('Dvd Calendar'!$O$2078)=0,"",IF(('Dvd Calendar'!$O$2078&gt;=GRID_FROM)*('Dvd Calendar'!$O$2078&lt;=GRID_TO)*((('Dvd Calendar'!$O$2078&lt;=VAL_DATE)+(COUNTIF('Dvd Calendar'!$E$2085:$AR$2085,'Dvd Calendar'!$O$2078)=0))&gt;0)=0,"",'Dvd Calendar'!$O$2078*1000000000+ISNUMBER('Dvd Calendar'!$O$2081)*100000000+('Dvd Calendar'!$O$2083=SPECIAL_LBL)*10000000+(N('Dvd Calendar'!$O$2077)&gt;0)*(N('Dvd Calendar'!$O$2077)&lt;=VAL_SERIAL)*1000000+48*1000+11))</f>
        <v/>
      </c>
      <c r="EP207" s="121">
        <f>IF(N('Dvd Calendar'!$P$2078)=0,"",IF(('Dvd Calendar'!$P$2078&gt;=GRID_FROM)*('Dvd Calendar'!$P$2078&lt;=GRID_TO)*((('Dvd Calendar'!$P$2078&lt;=VAL_DATE)+(COUNTIF('Dvd Calendar'!$E$2085:$AR$2085,'Dvd Calendar'!$P$2078)=0))&gt;0)=0,"",'Dvd Calendar'!$P$2078*1000000000+ISNUMBER('Dvd Calendar'!$P$2081)*100000000+('Dvd Calendar'!$P$2083=SPECIAL_LBL)*10000000+(N('Dvd Calendar'!$P$2077)&gt;0)*(N('Dvd Calendar'!$P$2077)&lt;=VAL_SERIAL)*1000000+48*1000+12))</f>
        <v/>
      </c>
      <c r="EQ207" s="121">
        <f>IF(N('Dvd Calendar'!$Q$2078)=0,"",IF(('Dvd Calendar'!$Q$2078&gt;=GRID_FROM)*('Dvd Calendar'!$Q$2078&lt;=GRID_TO)*((('Dvd Calendar'!$Q$2078&lt;=VAL_DATE)+(COUNTIF('Dvd Calendar'!$E$2085:$AR$2085,'Dvd Calendar'!$Q$2078)=0))&gt;0)=0,"",'Dvd Calendar'!$Q$2078*1000000000+ISNUMBER('Dvd Calendar'!$Q$2081)*100000000+('Dvd Calendar'!$Q$2083=SPECIAL_LBL)*10000000+(N('Dvd Calendar'!$Q$2077)&gt;0)*(N('Dvd Calendar'!$Q$2077)&lt;=VAL_SERIAL)*1000000+48*1000+13))</f>
        <v/>
      </c>
      <c r="ER207" s="121">
        <f>IF(N('Dvd Calendar'!$R$2078)=0,"",IF(('Dvd Calendar'!$R$2078&gt;=GRID_FROM)*('Dvd Calendar'!$R$2078&lt;=GRID_TO)*((('Dvd Calendar'!$R$2078&lt;=VAL_DATE)+(COUNTIF('Dvd Calendar'!$E$2085:$AR$2085,'Dvd Calendar'!$R$2078)=0))&gt;0)=0,"",'Dvd Calendar'!$R$2078*1000000000+ISNUMBER('Dvd Calendar'!$R$2081)*100000000+('Dvd Calendar'!$R$2083=SPECIAL_LBL)*10000000+(N('Dvd Calendar'!$R$2077)&gt;0)*(N('Dvd Calendar'!$R$2077)&lt;=VAL_SERIAL)*1000000+48*1000+14))</f>
        <v/>
      </c>
      <c r="ES207" s="121">
        <f>IF(N('Dvd Calendar'!$S$2078)=0,"",IF(('Dvd Calendar'!$S$2078&gt;=GRID_FROM)*('Dvd Calendar'!$S$2078&lt;=GRID_TO)*((('Dvd Calendar'!$S$2078&lt;=VAL_DATE)+(COUNTIF('Dvd Calendar'!$E$2085:$AR$2085,'Dvd Calendar'!$S$2078)=0))&gt;0)=0,"",'Dvd Calendar'!$S$2078*1000000000+ISNUMBER('Dvd Calendar'!$S$2081)*100000000+('Dvd Calendar'!$S$2083=SPECIAL_LBL)*10000000+(N('Dvd Calendar'!$S$2077)&gt;0)*(N('Dvd Calendar'!$S$2077)&lt;=VAL_SERIAL)*1000000+48*1000+15))</f>
        <v/>
      </c>
      <c r="ET207" s="121">
        <f>IF(N('Dvd Calendar'!$T$2078)=0,"",IF(('Dvd Calendar'!$T$2078&gt;=GRID_FROM)*('Dvd Calendar'!$T$2078&lt;=GRID_TO)*((('Dvd Calendar'!$T$2078&lt;=VAL_DATE)+(COUNTIF('Dvd Calendar'!$E$2085:$AR$2085,'Dvd Calendar'!$T$2078)=0))&gt;0)=0,"",'Dvd Calendar'!$T$2078*1000000000+ISNUMBER('Dvd Calendar'!$T$2081)*100000000+('Dvd Calendar'!$T$2083=SPECIAL_LBL)*10000000+(N('Dvd Calendar'!$T$2077)&gt;0)*(N('Dvd Calendar'!$T$2077)&lt;=VAL_SERIAL)*1000000+48*1000+16))</f>
        <v/>
      </c>
      <c r="EU207" s="121">
        <f>IF(N('Dvd Calendar'!$U$2078)=0,"",IF(('Dvd Calendar'!$U$2078&gt;=GRID_FROM)*('Dvd Calendar'!$U$2078&lt;=GRID_TO)*((('Dvd Calendar'!$U$2078&lt;=VAL_DATE)+(COUNTIF('Dvd Calendar'!$E$2085:$AR$2085,'Dvd Calendar'!$U$2078)=0))&gt;0)=0,"",'Dvd Calendar'!$U$2078*1000000000+ISNUMBER('Dvd Calendar'!$U$2081)*100000000+('Dvd Calendar'!$U$2083=SPECIAL_LBL)*10000000+(N('Dvd Calendar'!$U$2077)&gt;0)*(N('Dvd Calendar'!$U$2077)&lt;=VAL_SERIAL)*1000000+48*1000+17))</f>
        <v/>
      </c>
      <c r="EV207" s="121">
        <f>IF(N('Dvd Calendar'!$V$2078)=0,"",IF(('Dvd Calendar'!$V$2078&gt;=GRID_FROM)*('Dvd Calendar'!$V$2078&lt;=GRID_TO)*((('Dvd Calendar'!$V$2078&lt;=VAL_DATE)+(COUNTIF('Dvd Calendar'!$E$2085:$AR$2085,'Dvd Calendar'!$V$2078)=0))&gt;0)=0,"",'Dvd Calendar'!$V$2078*1000000000+ISNUMBER('Dvd Calendar'!$V$2081)*100000000+('Dvd Calendar'!$V$2083=SPECIAL_LBL)*10000000+(N('Dvd Calendar'!$V$2077)&gt;0)*(N('Dvd Calendar'!$V$2077)&lt;=VAL_SERIAL)*1000000+48*1000+18))</f>
        <v/>
      </c>
      <c r="EW207" s="121">
        <f>IF(N('Dvd Calendar'!$W$2078)=0,"",IF(('Dvd Calendar'!$W$2078&gt;=GRID_FROM)*('Dvd Calendar'!$W$2078&lt;=GRID_TO)*((('Dvd Calendar'!$W$2078&lt;=VAL_DATE)+(COUNTIF('Dvd Calendar'!$E$2085:$AR$2085,'Dvd Calendar'!$W$2078)=0))&gt;0)=0,"",'Dvd Calendar'!$W$2078*1000000000+ISNUMBER('Dvd Calendar'!$W$2081)*100000000+('Dvd Calendar'!$W$2083=SPECIAL_LBL)*10000000+(N('Dvd Calendar'!$W$2077)&gt;0)*(N('Dvd Calendar'!$W$2077)&lt;=VAL_SERIAL)*1000000+48*1000+19))</f>
        <v/>
      </c>
      <c r="EX207" s="121">
        <f>IF(N('Dvd Calendar'!$X$2078)=0,"",IF(('Dvd Calendar'!$X$2078&gt;=GRID_FROM)*('Dvd Calendar'!$X$2078&lt;=GRID_TO)*((('Dvd Calendar'!$X$2078&lt;=VAL_DATE)+(COUNTIF('Dvd Calendar'!$E$2085:$AR$2085,'Dvd Calendar'!$X$2078)=0))&gt;0)=0,"",'Dvd Calendar'!$X$2078*1000000000+ISNUMBER('Dvd Calendar'!$X$2081)*100000000+('Dvd Calendar'!$X$2083=SPECIAL_LBL)*10000000+(N('Dvd Calendar'!$X$2077)&gt;0)*(N('Dvd Calendar'!$X$2077)&lt;=VAL_SERIAL)*1000000+48*1000+20))</f>
        <v/>
      </c>
      <c r="EY207" s="121">
        <f>IF(N('Dvd Calendar'!$Y$2078)=0,"",IF(('Dvd Calendar'!$Y$2078&gt;=GRID_FROM)*('Dvd Calendar'!$Y$2078&lt;=GRID_TO)*((('Dvd Calendar'!$Y$2078&lt;=VAL_DATE)+(COUNTIF('Dvd Calendar'!$E$2085:$AR$2085,'Dvd Calendar'!$Y$2078)=0))&gt;0)=0,"",'Dvd Calendar'!$Y$2078*1000000000+ISNUMBER('Dvd Calendar'!$Y$2081)*100000000+('Dvd Calendar'!$Y$2083=SPECIAL_LBL)*10000000+(N('Dvd Calendar'!$Y$2077)&gt;0)*(N('Dvd Calendar'!$Y$2077)&lt;=VAL_SERIAL)*1000000+48*1000+21))</f>
        <v/>
      </c>
      <c r="EZ207" s="121">
        <f>IF(N('Dvd Calendar'!$Z$2078)=0,"",IF(('Dvd Calendar'!$Z$2078&gt;=GRID_FROM)*('Dvd Calendar'!$Z$2078&lt;=GRID_TO)*((('Dvd Calendar'!$Z$2078&lt;=VAL_DATE)+(COUNTIF('Dvd Calendar'!$E$2085:$AR$2085,'Dvd Calendar'!$Z$2078)=0))&gt;0)=0,"",'Dvd Calendar'!$Z$2078*1000000000+ISNUMBER('Dvd Calendar'!$Z$2081)*100000000+('Dvd Calendar'!$Z$2083=SPECIAL_LBL)*10000000+(N('Dvd Calendar'!$Z$2077)&gt;0)*(N('Dvd Calendar'!$Z$2077)&lt;=VAL_SERIAL)*1000000+48*1000+22))</f>
        <v/>
      </c>
      <c r="FA207" s="121">
        <f>IF(N('Dvd Calendar'!$AA$2078)=0,"",IF(('Dvd Calendar'!$AA$2078&gt;=GRID_FROM)*('Dvd Calendar'!$AA$2078&lt;=GRID_TO)*((('Dvd Calendar'!$AA$2078&lt;=VAL_DATE)+(COUNTIF('Dvd Calendar'!$E$2085:$AR$2085,'Dvd Calendar'!$AA$2078)=0))&gt;0)=0,"",'Dvd Calendar'!$AA$2078*1000000000+ISNUMBER('Dvd Calendar'!$AA$2081)*100000000+('Dvd Calendar'!$AA$2083=SPECIAL_LBL)*10000000+(N('Dvd Calendar'!$AA$2077)&gt;0)*(N('Dvd Calendar'!$AA$2077)&lt;=VAL_SERIAL)*1000000+48*1000+23))</f>
        <v/>
      </c>
      <c r="FB207" s="121">
        <f>IF(N('Dvd Calendar'!$AB$2078)=0,"",IF(('Dvd Calendar'!$AB$2078&gt;=GRID_FROM)*('Dvd Calendar'!$AB$2078&lt;=GRID_TO)*((('Dvd Calendar'!$AB$2078&lt;=VAL_DATE)+(COUNTIF('Dvd Calendar'!$E$2085:$AR$2085,'Dvd Calendar'!$AB$2078)=0))&gt;0)=0,"",'Dvd Calendar'!$AB$2078*1000000000+ISNUMBER('Dvd Calendar'!$AB$2081)*100000000+('Dvd Calendar'!$AB$2083=SPECIAL_LBL)*10000000+(N('Dvd Calendar'!$AB$2077)&gt;0)*(N('Dvd Calendar'!$AB$2077)&lt;=VAL_SERIAL)*1000000+48*1000+24))</f>
        <v/>
      </c>
      <c r="FC207" s="121">
        <f>IF(N('Dvd Calendar'!$AC$2078)=0,"",IF(('Dvd Calendar'!$AC$2078&gt;=GRID_FROM)*('Dvd Calendar'!$AC$2078&lt;=GRID_TO)*((('Dvd Calendar'!$AC$2078&lt;=VAL_DATE)+(COUNTIF('Dvd Calendar'!$E$2085:$AR$2085,'Dvd Calendar'!$AC$2078)=0))&gt;0)=0,"",'Dvd Calendar'!$AC$2078*1000000000+ISNUMBER('Dvd Calendar'!$AC$2081)*100000000+('Dvd Calendar'!$AC$2083=SPECIAL_LBL)*10000000+(N('Dvd Calendar'!$AC$2077)&gt;0)*(N('Dvd Calendar'!$AC$2077)&lt;=VAL_SERIAL)*1000000+48*1000+25))</f>
        <v/>
      </c>
      <c r="FD207" s="121">
        <f>IF(N('Dvd Calendar'!$AD$2078)=0,"",IF(('Dvd Calendar'!$AD$2078&gt;=GRID_FROM)*('Dvd Calendar'!$AD$2078&lt;=GRID_TO)*((('Dvd Calendar'!$AD$2078&lt;=VAL_DATE)+(COUNTIF('Dvd Calendar'!$E$2085:$AR$2085,'Dvd Calendar'!$AD$2078)=0))&gt;0)=0,"",'Dvd Calendar'!$AD$2078*1000000000+ISNUMBER('Dvd Calendar'!$AD$2081)*100000000+('Dvd Calendar'!$AD$2083=SPECIAL_LBL)*10000000+(N('Dvd Calendar'!$AD$2077)&gt;0)*(N('Dvd Calendar'!$AD$2077)&lt;=VAL_SERIAL)*1000000+48*1000+26))</f>
        <v/>
      </c>
      <c r="FE207" s="121">
        <f>IF(N('Dvd Calendar'!$AE$2078)=0,"",IF(('Dvd Calendar'!$AE$2078&gt;=GRID_FROM)*('Dvd Calendar'!$AE$2078&lt;=GRID_TO)*((('Dvd Calendar'!$AE$2078&lt;=VAL_DATE)+(COUNTIF('Dvd Calendar'!$E$2085:$AR$2085,'Dvd Calendar'!$AE$2078)=0))&gt;0)=0,"",'Dvd Calendar'!$AE$2078*1000000000+ISNUMBER('Dvd Calendar'!$AE$2081)*100000000+('Dvd Calendar'!$AE$2083=SPECIAL_LBL)*10000000+(N('Dvd Calendar'!$AE$2077)&gt;0)*(N('Dvd Calendar'!$AE$2077)&lt;=VAL_SERIAL)*1000000+48*1000+27))</f>
        <v/>
      </c>
      <c r="FF207" s="121">
        <f>IF(N('Dvd Calendar'!$AF$2078)=0,"",IF(('Dvd Calendar'!$AF$2078&gt;=GRID_FROM)*('Dvd Calendar'!$AF$2078&lt;=GRID_TO)*((('Dvd Calendar'!$AF$2078&lt;=VAL_DATE)+(COUNTIF('Dvd Calendar'!$E$2085:$AR$2085,'Dvd Calendar'!$AF$2078)=0))&gt;0)=0,"",'Dvd Calendar'!$AF$2078*1000000000+ISNUMBER('Dvd Calendar'!$AF$2081)*100000000+('Dvd Calendar'!$AF$2083=SPECIAL_LBL)*10000000+(N('Dvd Calendar'!$AF$2077)&gt;0)*(N('Dvd Calendar'!$AF$2077)&lt;=VAL_SERIAL)*1000000+48*1000+28))</f>
        <v/>
      </c>
      <c r="FG207" s="121">
        <f>IF(N('Dvd Calendar'!$AG$2078)=0,"",IF(('Dvd Calendar'!$AG$2078&gt;=GRID_FROM)*('Dvd Calendar'!$AG$2078&lt;=GRID_TO)*((('Dvd Calendar'!$AG$2078&lt;=VAL_DATE)+(COUNTIF('Dvd Calendar'!$E$2085:$AR$2085,'Dvd Calendar'!$AG$2078)=0))&gt;0)=0,"",'Dvd Calendar'!$AG$2078*1000000000+ISNUMBER('Dvd Calendar'!$AG$2081)*100000000+('Dvd Calendar'!$AG$2083=SPECIAL_LBL)*10000000+(N('Dvd Calendar'!$AG$2077)&gt;0)*(N('Dvd Calendar'!$AG$2077)&lt;=VAL_SERIAL)*1000000+48*1000+29))</f>
        <v/>
      </c>
      <c r="FH207" s="121">
        <f>IF(N('Dvd Calendar'!$AH$2078)=0,"",IF(('Dvd Calendar'!$AH$2078&gt;=GRID_FROM)*('Dvd Calendar'!$AH$2078&lt;=GRID_TO)*((('Dvd Calendar'!$AH$2078&lt;=VAL_DATE)+(COUNTIF('Dvd Calendar'!$E$2085:$AR$2085,'Dvd Calendar'!$AH$2078)=0))&gt;0)=0,"",'Dvd Calendar'!$AH$2078*1000000000+ISNUMBER('Dvd Calendar'!$AH$2081)*100000000+('Dvd Calendar'!$AH$2083=SPECIAL_LBL)*10000000+(N('Dvd Calendar'!$AH$2077)&gt;0)*(N('Dvd Calendar'!$AH$2077)&lt;=VAL_SERIAL)*1000000+48*1000+30))</f>
        <v/>
      </c>
      <c r="FI207" s="121">
        <f>IF(N('Dvd Calendar'!$AI$2078)=0,"",IF(('Dvd Calendar'!$AI$2078&gt;=GRID_FROM)*('Dvd Calendar'!$AI$2078&lt;=GRID_TO)*((('Dvd Calendar'!$AI$2078&lt;=VAL_DATE)+(COUNTIF('Dvd Calendar'!$E$2085:$AR$2085,'Dvd Calendar'!$AI$2078)=0))&gt;0)=0,"",'Dvd Calendar'!$AI$2078*1000000000+ISNUMBER('Dvd Calendar'!$AI$2081)*100000000+('Dvd Calendar'!$AI$2083=SPECIAL_LBL)*10000000+(N('Dvd Calendar'!$AI$2077)&gt;0)*(N('Dvd Calendar'!$AI$2077)&lt;=VAL_SERIAL)*1000000+48*1000+31))</f>
        <v/>
      </c>
      <c r="FJ207" s="121">
        <f>IF(N('Dvd Calendar'!$AJ$2078)=0,"",IF(('Dvd Calendar'!$AJ$2078&gt;=GRID_FROM)*('Dvd Calendar'!$AJ$2078&lt;=GRID_TO)*((('Dvd Calendar'!$AJ$2078&lt;=VAL_DATE)+(COUNTIF('Dvd Calendar'!$E$2085:$AR$2085,'Dvd Calendar'!$AJ$2078)=0))&gt;0)=0,"",'Dvd Calendar'!$AJ$2078*1000000000+ISNUMBER('Dvd Calendar'!$AJ$2081)*100000000+('Dvd Calendar'!$AJ$2083=SPECIAL_LBL)*10000000+(N('Dvd Calendar'!$AJ$2077)&gt;0)*(N('Dvd Calendar'!$AJ$2077)&lt;=VAL_SERIAL)*1000000+48*1000+32))</f>
        <v/>
      </c>
      <c r="FK207" s="121">
        <f>IF(N('Dvd Calendar'!$AK$2078)=0,"",IF(('Dvd Calendar'!$AK$2078&gt;=GRID_FROM)*('Dvd Calendar'!$AK$2078&lt;=GRID_TO)*((('Dvd Calendar'!$AK$2078&lt;=VAL_DATE)+(COUNTIF('Dvd Calendar'!$E$2085:$AR$2085,'Dvd Calendar'!$AK$2078)=0))&gt;0)=0,"",'Dvd Calendar'!$AK$2078*1000000000+ISNUMBER('Dvd Calendar'!$AK$2081)*100000000+('Dvd Calendar'!$AK$2083=SPECIAL_LBL)*10000000+(N('Dvd Calendar'!$AK$2077)&gt;0)*(N('Dvd Calendar'!$AK$2077)&lt;=VAL_SERIAL)*1000000+48*1000+33))</f>
        <v/>
      </c>
      <c r="FL207" s="121">
        <f>IF(N('Dvd Calendar'!$AL$2078)=0,"",IF(('Dvd Calendar'!$AL$2078&gt;=GRID_FROM)*('Dvd Calendar'!$AL$2078&lt;=GRID_TO)*((('Dvd Calendar'!$AL$2078&lt;=VAL_DATE)+(COUNTIF('Dvd Calendar'!$E$2085:$AR$2085,'Dvd Calendar'!$AL$2078)=0))&gt;0)=0,"",'Dvd Calendar'!$AL$2078*1000000000+ISNUMBER('Dvd Calendar'!$AL$2081)*100000000+('Dvd Calendar'!$AL$2083=SPECIAL_LBL)*10000000+(N('Dvd Calendar'!$AL$2077)&gt;0)*(N('Dvd Calendar'!$AL$2077)&lt;=VAL_SERIAL)*1000000+48*1000+34))</f>
        <v/>
      </c>
      <c r="FM207" s="121">
        <f>IF(N('Dvd Calendar'!$AM$2078)=0,"",IF(('Dvd Calendar'!$AM$2078&gt;=GRID_FROM)*('Dvd Calendar'!$AM$2078&lt;=GRID_TO)*((('Dvd Calendar'!$AM$2078&lt;=VAL_DATE)+(COUNTIF('Dvd Calendar'!$E$2085:$AR$2085,'Dvd Calendar'!$AM$2078)=0))&gt;0)=0,"",'Dvd Calendar'!$AM$2078*1000000000+ISNUMBER('Dvd Calendar'!$AM$2081)*100000000+('Dvd Calendar'!$AM$2083=SPECIAL_LBL)*10000000+(N('Dvd Calendar'!$AM$2077)&gt;0)*(N('Dvd Calendar'!$AM$2077)&lt;=VAL_SERIAL)*1000000+48*1000+35))</f>
        <v/>
      </c>
      <c r="FN207" s="121">
        <f>IF(N('Dvd Calendar'!$AN$2078)=0,"",IF(('Dvd Calendar'!$AN$2078&gt;=GRID_FROM)*('Dvd Calendar'!$AN$2078&lt;=GRID_TO)*((('Dvd Calendar'!$AN$2078&lt;=VAL_DATE)+(COUNTIF('Dvd Calendar'!$E$2085:$AR$2085,'Dvd Calendar'!$AN$2078)=0))&gt;0)=0,"",'Dvd Calendar'!$AN$2078*1000000000+ISNUMBER('Dvd Calendar'!$AN$2081)*100000000+('Dvd Calendar'!$AN$2083=SPECIAL_LBL)*10000000+(N('Dvd Calendar'!$AN$2077)&gt;0)*(N('Dvd Calendar'!$AN$2077)&lt;=VAL_SERIAL)*1000000+48*1000+36))</f>
        <v/>
      </c>
      <c r="FO207" s="121">
        <f>IF(N('Dvd Calendar'!$AO$2078)=0,"",IF(('Dvd Calendar'!$AO$2078&gt;=GRID_FROM)*('Dvd Calendar'!$AO$2078&lt;=GRID_TO)*((('Dvd Calendar'!$AO$2078&lt;=VAL_DATE)+(COUNTIF('Dvd Calendar'!$E$2085:$AR$2085,'Dvd Calendar'!$AO$2078)=0))&gt;0)=0,"",'Dvd Calendar'!$AO$2078*1000000000+ISNUMBER('Dvd Calendar'!$AO$2081)*100000000+('Dvd Calendar'!$AO$2083=SPECIAL_LBL)*10000000+(N('Dvd Calendar'!$AO$2077)&gt;0)*(N('Dvd Calendar'!$AO$2077)&lt;=VAL_SERIAL)*1000000+48*1000+37))</f>
        <v/>
      </c>
      <c r="FP207" s="121">
        <f>IF(N('Dvd Calendar'!$AP$2078)=0,"",IF(('Dvd Calendar'!$AP$2078&gt;=GRID_FROM)*('Dvd Calendar'!$AP$2078&lt;=GRID_TO)*((('Dvd Calendar'!$AP$2078&lt;=VAL_DATE)+(COUNTIF('Dvd Calendar'!$E$2085:$AR$2085,'Dvd Calendar'!$AP$2078)=0))&gt;0)=0,"",'Dvd Calendar'!$AP$2078*1000000000+ISNUMBER('Dvd Calendar'!$AP$2081)*100000000+('Dvd Calendar'!$AP$2083=SPECIAL_LBL)*10000000+(N('Dvd Calendar'!$AP$2077)&gt;0)*(N('Dvd Calendar'!$AP$2077)&lt;=VAL_SERIAL)*1000000+48*1000+38))</f>
        <v/>
      </c>
      <c r="FQ207" s="121">
        <f>IF(N('Dvd Calendar'!$AQ$2078)=0,"",IF(('Dvd Calendar'!$AQ$2078&gt;=GRID_FROM)*('Dvd Calendar'!$AQ$2078&lt;=GRID_TO)*((('Dvd Calendar'!$AQ$2078&lt;=VAL_DATE)+(COUNTIF('Dvd Calendar'!$E$2085:$AR$2085,'Dvd Calendar'!$AQ$2078)=0))&gt;0)=0,"",'Dvd Calendar'!$AQ$2078*1000000000+ISNUMBER('Dvd Calendar'!$AQ$2081)*100000000+('Dvd Calendar'!$AQ$2083=SPECIAL_LBL)*10000000+(N('Dvd Calendar'!$AQ$2077)&gt;0)*(N('Dvd Calendar'!$AQ$2077)&lt;=VAL_SERIAL)*1000000+48*1000+39))</f>
        <v/>
      </c>
      <c r="FR207" s="121">
        <f>IF(N('Dvd Calendar'!$AR$2078)=0,"",IF(('Dvd Calendar'!$AR$2078&gt;=GRID_FROM)*('Dvd Calendar'!$AR$2078&lt;=GRID_TO)*((('Dvd Calendar'!$AR$2078&lt;=VAL_DATE)+(COUNTIF('Dvd Calendar'!$E$2085:$AR$2085,'Dvd Calendar'!$AR$2078)=0))&gt;0)=0,"",'Dvd Calendar'!$AR$2078*1000000000+ISNUMBER('Dvd Calendar'!$AR$2081)*100000000+('Dvd Calendar'!$AR$2083=SPECIAL_LBL)*10000000+(N('Dvd Calendar'!$AR$2077)&gt;0)*(N('Dvd Calendar'!$AR$2077)&lt;=VAL_SERIAL)*1000000+48*1000+40))</f>
        <v/>
      </c>
      <c r="FS207" s="121">
        <f>IF(N('Dvd Calendar'!$E$2085)=0,"",IF(('Dvd Calendar'!$E$2085&gt;=GRID_FROM)*('Dvd Calendar'!$E$2085&lt;=GRID_TO)*('Dvd Calendar'!$E$2085&gt;VAL_DATE)=0,"",'Dvd Calendar'!$E$2085*1000000000+ISNUMBER('Dvd Calendar'!$E$2086)*100000000+0*10000000+(N('Dvd Calendar'!$E$2084)&gt;0)*(N('Dvd Calendar'!$E$2084)&lt;=VAL_SERIAL)*1000000+48*1000+41))</f>
        <v/>
      </c>
      <c r="FT207" s="121">
        <f>IF(N('Dvd Calendar'!$F$2085)=0,"",IF(('Dvd Calendar'!$F$2085&gt;=GRID_FROM)*('Dvd Calendar'!$F$2085&lt;=GRID_TO)*('Dvd Calendar'!$F$2085&gt;VAL_DATE)=0,"",'Dvd Calendar'!$F$2085*1000000000+ISNUMBER('Dvd Calendar'!$F$2086)*100000000+0*10000000+(N('Dvd Calendar'!$F$2084)&gt;0)*(N('Dvd Calendar'!$F$2084)&lt;=VAL_SERIAL)*1000000+48*1000+42))</f>
        <v/>
      </c>
      <c r="FU207" s="121">
        <f>IF(N('Dvd Calendar'!$G$2085)=0,"",IF(('Dvd Calendar'!$G$2085&gt;=GRID_FROM)*('Dvd Calendar'!$G$2085&lt;=GRID_TO)*('Dvd Calendar'!$G$2085&gt;VAL_DATE)=0,"",'Dvd Calendar'!$G$2085*1000000000+ISNUMBER('Dvd Calendar'!$G$2086)*100000000+0*10000000+(N('Dvd Calendar'!$G$2084)&gt;0)*(N('Dvd Calendar'!$G$2084)&lt;=VAL_SERIAL)*1000000+48*1000+43))</f>
        <v/>
      </c>
      <c r="FV207" s="121">
        <f>IF(N('Dvd Calendar'!$H$2085)=0,"",IF(('Dvd Calendar'!$H$2085&gt;=GRID_FROM)*('Dvd Calendar'!$H$2085&lt;=GRID_TO)*('Dvd Calendar'!$H$2085&gt;VAL_DATE)=0,"",'Dvd Calendar'!$H$2085*1000000000+ISNUMBER('Dvd Calendar'!$H$2086)*100000000+0*10000000+(N('Dvd Calendar'!$H$2084)&gt;0)*(N('Dvd Calendar'!$H$2084)&lt;=VAL_SERIAL)*1000000+48*1000+44))</f>
        <v/>
      </c>
      <c r="FW207" s="121">
        <f>IF(N('Dvd Calendar'!$I$2085)=0,"",IF(('Dvd Calendar'!$I$2085&gt;=GRID_FROM)*('Dvd Calendar'!$I$2085&lt;=GRID_TO)*('Dvd Calendar'!$I$2085&gt;VAL_DATE)=0,"",'Dvd Calendar'!$I$2085*1000000000+ISNUMBER('Dvd Calendar'!$I$2086)*100000000+0*10000000+(N('Dvd Calendar'!$I$2084)&gt;0)*(N('Dvd Calendar'!$I$2084)&lt;=VAL_SERIAL)*1000000+48*1000+45))</f>
        <v/>
      </c>
      <c r="FX207" s="121">
        <f>IF(N('Dvd Calendar'!$J$2085)=0,"",IF(('Dvd Calendar'!$J$2085&gt;=GRID_FROM)*('Dvd Calendar'!$J$2085&lt;=GRID_TO)*('Dvd Calendar'!$J$2085&gt;VAL_DATE)=0,"",'Dvd Calendar'!$J$2085*1000000000+ISNUMBER('Dvd Calendar'!$J$2086)*100000000+0*10000000+(N('Dvd Calendar'!$J$2084)&gt;0)*(N('Dvd Calendar'!$J$2084)&lt;=VAL_SERIAL)*1000000+48*1000+46))</f>
        <v/>
      </c>
      <c r="FY207" s="121">
        <f>IF(N('Dvd Calendar'!$K$2085)=0,"",IF(('Dvd Calendar'!$K$2085&gt;=GRID_FROM)*('Dvd Calendar'!$K$2085&lt;=GRID_TO)*('Dvd Calendar'!$K$2085&gt;VAL_DATE)=0,"",'Dvd Calendar'!$K$2085*1000000000+ISNUMBER('Dvd Calendar'!$K$2086)*100000000+0*10000000+(N('Dvd Calendar'!$K$2084)&gt;0)*(N('Dvd Calendar'!$K$2084)&lt;=VAL_SERIAL)*1000000+48*1000+47))</f>
        <v/>
      </c>
      <c r="FZ207" s="121">
        <f>IF(N('Dvd Calendar'!$L$2085)=0,"",IF(('Dvd Calendar'!$L$2085&gt;=GRID_FROM)*('Dvd Calendar'!$L$2085&lt;=GRID_TO)*('Dvd Calendar'!$L$2085&gt;VAL_DATE)=0,"",'Dvd Calendar'!$L$2085*1000000000+ISNUMBER('Dvd Calendar'!$L$2086)*100000000+0*10000000+(N('Dvd Calendar'!$L$2084)&gt;0)*(N('Dvd Calendar'!$L$2084)&lt;=VAL_SERIAL)*1000000+48*1000+48))</f>
        <v/>
      </c>
      <c r="GA207" s="121">
        <f>IF(N('Dvd Calendar'!$M$2085)=0,"",IF(('Dvd Calendar'!$M$2085&gt;=GRID_FROM)*('Dvd Calendar'!$M$2085&lt;=GRID_TO)*('Dvd Calendar'!$M$2085&gt;VAL_DATE)=0,"",'Dvd Calendar'!$M$2085*1000000000+ISNUMBER('Dvd Calendar'!$M$2086)*100000000+0*10000000+(N('Dvd Calendar'!$M$2084)&gt;0)*(N('Dvd Calendar'!$M$2084)&lt;=VAL_SERIAL)*1000000+48*1000+49))</f>
        <v/>
      </c>
      <c r="GB207" s="121">
        <f>IF(N('Dvd Calendar'!$N$2085)=0,"",IF(('Dvd Calendar'!$N$2085&gt;=GRID_FROM)*('Dvd Calendar'!$N$2085&lt;=GRID_TO)*('Dvd Calendar'!$N$2085&gt;VAL_DATE)=0,"",'Dvd Calendar'!$N$2085*1000000000+ISNUMBER('Dvd Calendar'!$N$2086)*100000000+0*10000000+(N('Dvd Calendar'!$N$2084)&gt;0)*(N('Dvd Calendar'!$N$2084)&lt;=VAL_SERIAL)*1000000+48*1000+50))</f>
        <v/>
      </c>
      <c r="GC207" s="121">
        <f>IF(N('Dvd Calendar'!$O$2085)=0,"",IF(('Dvd Calendar'!$O$2085&gt;=GRID_FROM)*('Dvd Calendar'!$O$2085&lt;=GRID_TO)*('Dvd Calendar'!$O$2085&gt;VAL_DATE)=0,"",'Dvd Calendar'!$O$2085*1000000000+ISNUMBER('Dvd Calendar'!$O$2086)*100000000+0*10000000+(N('Dvd Calendar'!$O$2084)&gt;0)*(N('Dvd Calendar'!$O$2084)&lt;=VAL_SERIAL)*1000000+48*1000+51))</f>
        <v/>
      </c>
      <c r="GD207" s="121">
        <f>IF(N('Dvd Calendar'!$P$2085)=0,"",IF(('Dvd Calendar'!$P$2085&gt;=GRID_FROM)*('Dvd Calendar'!$P$2085&lt;=GRID_TO)*('Dvd Calendar'!$P$2085&gt;VAL_DATE)=0,"",'Dvd Calendar'!$P$2085*1000000000+ISNUMBER('Dvd Calendar'!$P$2086)*100000000+0*10000000+(N('Dvd Calendar'!$P$2084)&gt;0)*(N('Dvd Calendar'!$P$2084)&lt;=VAL_SERIAL)*1000000+48*1000+52))</f>
        <v/>
      </c>
      <c r="GE207" s="121">
        <f>IF(N('Dvd Calendar'!$Q$2085)=0,"",IF(('Dvd Calendar'!$Q$2085&gt;=GRID_FROM)*('Dvd Calendar'!$Q$2085&lt;=GRID_TO)*('Dvd Calendar'!$Q$2085&gt;VAL_DATE)=0,"",'Dvd Calendar'!$Q$2085*1000000000+ISNUMBER('Dvd Calendar'!$Q$2086)*100000000+0*10000000+(N('Dvd Calendar'!$Q$2084)&gt;0)*(N('Dvd Calendar'!$Q$2084)&lt;=VAL_SERIAL)*1000000+48*1000+53))</f>
        <v/>
      </c>
      <c r="GF207" s="121">
        <f>IF(N('Dvd Calendar'!$R$2085)=0,"",IF(('Dvd Calendar'!$R$2085&gt;=GRID_FROM)*('Dvd Calendar'!$R$2085&lt;=GRID_TO)*('Dvd Calendar'!$R$2085&gt;VAL_DATE)=0,"",'Dvd Calendar'!$R$2085*1000000000+ISNUMBER('Dvd Calendar'!$R$2086)*100000000+0*10000000+(N('Dvd Calendar'!$R$2084)&gt;0)*(N('Dvd Calendar'!$R$2084)&lt;=VAL_SERIAL)*1000000+48*1000+54))</f>
        <v/>
      </c>
      <c r="GG207" s="121">
        <f>IF(N('Dvd Calendar'!$S$2085)=0,"",IF(('Dvd Calendar'!$S$2085&gt;=GRID_FROM)*('Dvd Calendar'!$S$2085&lt;=GRID_TO)*('Dvd Calendar'!$S$2085&gt;VAL_DATE)=0,"",'Dvd Calendar'!$S$2085*1000000000+ISNUMBER('Dvd Calendar'!$S$2086)*100000000+0*10000000+(N('Dvd Calendar'!$S$2084)&gt;0)*(N('Dvd Calendar'!$S$2084)&lt;=VAL_SERIAL)*1000000+48*1000+55))</f>
        <v/>
      </c>
      <c r="GH207" s="121">
        <f>IF(N('Dvd Calendar'!$T$2085)=0,"",IF(('Dvd Calendar'!$T$2085&gt;=GRID_FROM)*('Dvd Calendar'!$T$2085&lt;=GRID_TO)*('Dvd Calendar'!$T$2085&gt;VAL_DATE)=0,"",'Dvd Calendar'!$T$2085*1000000000+ISNUMBER('Dvd Calendar'!$T$2086)*100000000+0*10000000+(N('Dvd Calendar'!$T$2084)&gt;0)*(N('Dvd Calendar'!$T$2084)&lt;=VAL_SERIAL)*1000000+48*1000+56))</f>
        <v/>
      </c>
      <c r="GI207" s="121">
        <f>IF(N('Dvd Calendar'!$U$2085)=0,"",IF(('Dvd Calendar'!$U$2085&gt;=GRID_FROM)*('Dvd Calendar'!$U$2085&lt;=GRID_TO)*('Dvd Calendar'!$U$2085&gt;VAL_DATE)=0,"",'Dvd Calendar'!$U$2085*1000000000+ISNUMBER('Dvd Calendar'!$U$2086)*100000000+0*10000000+(N('Dvd Calendar'!$U$2084)&gt;0)*(N('Dvd Calendar'!$U$2084)&lt;=VAL_SERIAL)*1000000+48*1000+57))</f>
        <v/>
      </c>
      <c r="GJ207" s="121">
        <f>IF(N('Dvd Calendar'!$V$2085)=0,"",IF(('Dvd Calendar'!$V$2085&gt;=GRID_FROM)*('Dvd Calendar'!$V$2085&lt;=GRID_TO)*('Dvd Calendar'!$V$2085&gt;VAL_DATE)=0,"",'Dvd Calendar'!$V$2085*1000000000+ISNUMBER('Dvd Calendar'!$V$2086)*100000000+0*10000000+(N('Dvd Calendar'!$V$2084)&gt;0)*(N('Dvd Calendar'!$V$2084)&lt;=VAL_SERIAL)*1000000+48*1000+58))</f>
        <v/>
      </c>
      <c r="GK207" s="121">
        <f>IF(N('Dvd Calendar'!$W$2085)=0,"",IF(('Dvd Calendar'!$W$2085&gt;=GRID_FROM)*('Dvd Calendar'!$W$2085&lt;=GRID_TO)*('Dvd Calendar'!$W$2085&gt;VAL_DATE)=0,"",'Dvd Calendar'!$W$2085*1000000000+ISNUMBER('Dvd Calendar'!$W$2086)*100000000+0*10000000+(N('Dvd Calendar'!$W$2084)&gt;0)*(N('Dvd Calendar'!$W$2084)&lt;=VAL_SERIAL)*1000000+48*1000+59))</f>
        <v/>
      </c>
      <c r="GL207" s="121">
        <f>IF(N('Dvd Calendar'!$X$2085)=0,"",IF(('Dvd Calendar'!$X$2085&gt;=GRID_FROM)*('Dvd Calendar'!$X$2085&lt;=GRID_TO)*('Dvd Calendar'!$X$2085&gt;VAL_DATE)=0,"",'Dvd Calendar'!$X$2085*1000000000+ISNUMBER('Dvd Calendar'!$X$2086)*100000000+0*10000000+(N('Dvd Calendar'!$X$2084)&gt;0)*(N('Dvd Calendar'!$X$2084)&lt;=VAL_SERIAL)*1000000+48*1000+60))</f>
        <v/>
      </c>
      <c r="GM207" s="121">
        <f>IF(N('Dvd Calendar'!$Y$2085)=0,"",IF(('Dvd Calendar'!$Y$2085&gt;=GRID_FROM)*('Dvd Calendar'!$Y$2085&lt;=GRID_TO)*('Dvd Calendar'!$Y$2085&gt;VAL_DATE)=0,"",'Dvd Calendar'!$Y$2085*1000000000+ISNUMBER('Dvd Calendar'!$Y$2086)*100000000+0*10000000+(N('Dvd Calendar'!$Y$2084)&gt;0)*(N('Dvd Calendar'!$Y$2084)&lt;=VAL_SERIAL)*1000000+48*1000+61))</f>
        <v/>
      </c>
      <c r="GN207" s="121">
        <f>IF(N('Dvd Calendar'!$Z$2085)=0,"",IF(('Dvd Calendar'!$Z$2085&gt;=GRID_FROM)*('Dvd Calendar'!$Z$2085&lt;=GRID_TO)*('Dvd Calendar'!$Z$2085&gt;VAL_DATE)=0,"",'Dvd Calendar'!$Z$2085*1000000000+ISNUMBER('Dvd Calendar'!$Z$2086)*100000000+0*10000000+(N('Dvd Calendar'!$Z$2084)&gt;0)*(N('Dvd Calendar'!$Z$2084)&lt;=VAL_SERIAL)*1000000+48*1000+62))</f>
        <v/>
      </c>
      <c r="GO207" s="121">
        <f>IF(N('Dvd Calendar'!$AA$2085)=0,"",IF(('Dvd Calendar'!$AA$2085&gt;=GRID_FROM)*('Dvd Calendar'!$AA$2085&lt;=GRID_TO)*('Dvd Calendar'!$AA$2085&gt;VAL_DATE)=0,"",'Dvd Calendar'!$AA$2085*1000000000+ISNUMBER('Dvd Calendar'!$AA$2086)*100000000+0*10000000+(N('Dvd Calendar'!$AA$2084)&gt;0)*(N('Dvd Calendar'!$AA$2084)&lt;=VAL_SERIAL)*1000000+48*1000+63))</f>
        <v/>
      </c>
      <c r="GP207" s="121">
        <f>IF(N('Dvd Calendar'!$AB$2085)=0,"",IF(('Dvd Calendar'!$AB$2085&gt;=GRID_FROM)*('Dvd Calendar'!$AB$2085&lt;=GRID_TO)*('Dvd Calendar'!$AB$2085&gt;VAL_DATE)=0,"",'Dvd Calendar'!$AB$2085*1000000000+ISNUMBER('Dvd Calendar'!$AB$2086)*100000000+0*10000000+(N('Dvd Calendar'!$AB$2084)&gt;0)*(N('Dvd Calendar'!$AB$2084)&lt;=VAL_SERIAL)*1000000+48*1000+64))</f>
        <v/>
      </c>
      <c r="GQ207" s="121">
        <f>IF(N('Dvd Calendar'!$AC$2085)=0,"",IF(('Dvd Calendar'!$AC$2085&gt;=GRID_FROM)*('Dvd Calendar'!$AC$2085&lt;=GRID_TO)*('Dvd Calendar'!$AC$2085&gt;VAL_DATE)=0,"",'Dvd Calendar'!$AC$2085*1000000000+ISNUMBER('Dvd Calendar'!$AC$2086)*100000000+0*10000000+(N('Dvd Calendar'!$AC$2084)&gt;0)*(N('Dvd Calendar'!$AC$2084)&lt;=VAL_SERIAL)*1000000+48*1000+65))</f>
        <v/>
      </c>
    </row>
    <row r="208">
      <c r="B208" s="2">
        <f>IF(HSCEI!$C$55="","",HSCEI!$C$55)</f>
        <v/>
      </c>
      <c r="C208" s="161">
        <f>IF(EE208="","",IF(ISNUMBER('Dvd Calendar'!$E$2092)=FALSE,"",IF((('Dvd Calendar'!$E$2094=TYPE1)*(TYPE1&lt;&gt;"")+('Dvd Calendar'!$E$2094=TYPE2)*(TYPE2&lt;&gt;"")+('Dvd Calendar'!$E$2094=TYPE3)*(TYPE3&lt;&gt;"")+('Dvd Calendar'!$E$2094=TYPE4)*(TYPE4&lt;&gt;"")+('Dvd Calendar'!$E$2094=SPECIAL_LBL)*(INC_SPECIALS="Y"))=0,"",'Dvd Calendar'!$E$2092)))</f>
        <v/>
      </c>
      <c r="D208" s="161">
        <f>IF(EF208="","",IF(ISNUMBER('Dvd Calendar'!$F$2092)=FALSE,"",IF((('Dvd Calendar'!$F$2094=TYPE1)*(TYPE1&lt;&gt;"")+('Dvd Calendar'!$F$2094=TYPE2)*(TYPE2&lt;&gt;"")+('Dvd Calendar'!$F$2094=TYPE3)*(TYPE3&lt;&gt;"")+('Dvd Calendar'!$F$2094=TYPE4)*(TYPE4&lt;&gt;"")+('Dvd Calendar'!$F$2094=SPECIAL_LBL)*(INC_SPECIALS="Y"))=0,"",'Dvd Calendar'!$F$2092)))</f>
        <v/>
      </c>
      <c r="E208" s="161">
        <f>IF(EG208="","",IF(ISNUMBER('Dvd Calendar'!$G$2092)=FALSE,"",IF((('Dvd Calendar'!$G$2094=TYPE1)*(TYPE1&lt;&gt;"")+('Dvd Calendar'!$G$2094=TYPE2)*(TYPE2&lt;&gt;"")+('Dvd Calendar'!$G$2094=TYPE3)*(TYPE3&lt;&gt;"")+('Dvd Calendar'!$G$2094=TYPE4)*(TYPE4&lt;&gt;"")+('Dvd Calendar'!$G$2094=SPECIAL_LBL)*(INC_SPECIALS="Y"))=0,"",'Dvd Calendar'!$G$2092)))</f>
        <v/>
      </c>
      <c r="F208" s="161">
        <f>IF(EH208="","",IF(ISNUMBER('Dvd Calendar'!$H$2092)=FALSE,"",IF((('Dvd Calendar'!$H$2094=TYPE1)*(TYPE1&lt;&gt;"")+('Dvd Calendar'!$H$2094=TYPE2)*(TYPE2&lt;&gt;"")+('Dvd Calendar'!$H$2094=TYPE3)*(TYPE3&lt;&gt;"")+('Dvd Calendar'!$H$2094=TYPE4)*(TYPE4&lt;&gt;"")+('Dvd Calendar'!$H$2094=SPECIAL_LBL)*(INC_SPECIALS="Y"))=0,"",'Dvd Calendar'!$H$2092)))</f>
        <v/>
      </c>
      <c r="G208" s="161">
        <f>IF(EI208="","",IF(ISNUMBER('Dvd Calendar'!$I$2092)=FALSE,"",IF((('Dvd Calendar'!$I$2094=TYPE1)*(TYPE1&lt;&gt;"")+('Dvd Calendar'!$I$2094=TYPE2)*(TYPE2&lt;&gt;"")+('Dvd Calendar'!$I$2094=TYPE3)*(TYPE3&lt;&gt;"")+('Dvd Calendar'!$I$2094=TYPE4)*(TYPE4&lt;&gt;"")+('Dvd Calendar'!$I$2094=SPECIAL_LBL)*(INC_SPECIALS="Y"))=0,"",'Dvd Calendar'!$I$2092)))</f>
        <v/>
      </c>
      <c r="H208" s="161">
        <f>IF(EJ208="","",IF(ISNUMBER('Dvd Calendar'!$J$2092)=FALSE,"",IF((('Dvd Calendar'!$J$2094=TYPE1)*(TYPE1&lt;&gt;"")+('Dvd Calendar'!$J$2094=TYPE2)*(TYPE2&lt;&gt;"")+('Dvd Calendar'!$J$2094=TYPE3)*(TYPE3&lt;&gt;"")+('Dvd Calendar'!$J$2094=TYPE4)*(TYPE4&lt;&gt;"")+('Dvd Calendar'!$J$2094=SPECIAL_LBL)*(INC_SPECIALS="Y"))=0,"",'Dvd Calendar'!$J$2092)))</f>
        <v/>
      </c>
      <c r="I208" s="161">
        <f>IF(EK208="","",IF(ISNUMBER('Dvd Calendar'!$K$2092)=FALSE,"",IF((('Dvd Calendar'!$K$2094=TYPE1)*(TYPE1&lt;&gt;"")+('Dvd Calendar'!$K$2094=TYPE2)*(TYPE2&lt;&gt;"")+('Dvd Calendar'!$K$2094=TYPE3)*(TYPE3&lt;&gt;"")+('Dvd Calendar'!$K$2094=TYPE4)*(TYPE4&lt;&gt;"")+('Dvd Calendar'!$K$2094=SPECIAL_LBL)*(INC_SPECIALS="Y"))=0,"",'Dvd Calendar'!$K$2092)))</f>
        <v/>
      </c>
      <c r="J208" s="161">
        <f>IF(EL208="","",IF(ISNUMBER('Dvd Calendar'!$L$2092)=FALSE,"",IF((('Dvd Calendar'!$L$2094=TYPE1)*(TYPE1&lt;&gt;"")+('Dvd Calendar'!$L$2094=TYPE2)*(TYPE2&lt;&gt;"")+('Dvd Calendar'!$L$2094=TYPE3)*(TYPE3&lt;&gt;"")+('Dvd Calendar'!$L$2094=TYPE4)*(TYPE4&lt;&gt;"")+('Dvd Calendar'!$L$2094=SPECIAL_LBL)*(INC_SPECIALS="Y"))=0,"",'Dvd Calendar'!$L$2092)))</f>
        <v/>
      </c>
      <c r="K208" s="161">
        <f>IF(EM208="","",IF(ISNUMBER('Dvd Calendar'!$M$2092)=FALSE,"",IF((('Dvd Calendar'!$M$2094=TYPE1)*(TYPE1&lt;&gt;"")+('Dvd Calendar'!$M$2094=TYPE2)*(TYPE2&lt;&gt;"")+('Dvd Calendar'!$M$2094=TYPE3)*(TYPE3&lt;&gt;"")+('Dvd Calendar'!$M$2094=TYPE4)*(TYPE4&lt;&gt;"")+('Dvd Calendar'!$M$2094=SPECIAL_LBL)*(INC_SPECIALS="Y"))=0,"",'Dvd Calendar'!$M$2092)))</f>
        <v/>
      </c>
      <c r="L208" s="161">
        <f>IF(EN208="","",IF(ISNUMBER('Dvd Calendar'!$N$2092)=FALSE,"",IF((('Dvd Calendar'!$N$2094=TYPE1)*(TYPE1&lt;&gt;"")+('Dvd Calendar'!$N$2094=TYPE2)*(TYPE2&lt;&gt;"")+('Dvd Calendar'!$N$2094=TYPE3)*(TYPE3&lt;&gt;"")+('Dvd Calendar'!$N$2094=TYPE4)*(TYPE4&lt;&gt;"")+('Dvd Calendar'!$N$2094=SPECIAL_LBL)*(INC_SPECIALS="Y"))=0,"",'Dvd Calendar'!$N$2092)))</f>
        <v/>
      </c>
      <c r="M208" s="161">
        <f>IF(EO208="","",IF(ISNUMBER('Dvd Calendar'!$O$2092)=FALSE,"",IF((('Dvd Calendar'!$O$2094=TYPE1)*(TYPE1&lt;&gt;"")+('Dvd Calendar'!$O$2094=TYPE2)*(TYPE2&lt;&gt;"")+('Dvd Calendar'!$O$2094=TYPE3)*(TYPE3&lt;&gt;"")+('Dvd Calendar'!$O$2094=TYPE4)*(TYPE4&lt;&gt;"")+('Dvd Calendar'!$O$2094=SPECIAL_LBL)*(INC_SPECIALS="Y"))=0,"",'Dvd Calendar'!$O$2092)))</f>
        <v/>
      </c>
      <c r="N208" s="161">
        <f>IF(EP208="","",IF(ISNUMBER('Dvd Calendar'!$P$2092)=FALSE,"",IF((('Dvd Calendar'!$P$2094=TYPE1)*(TYPE1&lt;&gt;"")+('Dvd Calendar'!$P$2094=TYPE2)*(TYPE2&lt;&gt;"")+('Dvd Calendar'!$P$2094=TYPE3)*(TYPE3&lt;&gt;"")+('Dvd Calendar'!$P$2094=TYPE4)*(TYPE4&lt;&gt;"")+('Dvd Calendar'!$P$2094=SPECIAL_LBL)*(INC_SPECIALS="Y"))=0,"",'Dvd Calendar'!$P$2092)))</f>
        <v/>
      </c>
      <c r="O208" s="161">
        <f>IF(EQ208="","",IF(ISNUMBER('Dvd Calendar'!$Q$2092)=FALSE,"",IF((('Dvd Calendar'!$Q$2094=TYPE1)*(TYPE1&lt;&gt;"")+('Dvd Calendar'!$Q$2094=TYPE2)*(TYPE2&lt;&gt;"")+('Dvd Calendar'!$Q$2094=TYPE3)*(TYPE3&lt;&gt;"")+('Dvd Calendar'!$Q$2094=TYPE4)*(TYPE4&lt;&gt;"")+('Dvd Calendar'!$Q$2094=SPECIAL_LBL)*(INC_SPECIALS="Y"))=0,"",'Dvd Calendar'!$Q$2092)))</f>
        <v/>
      </c>
      <c r="P208" s="161">
        <f>IF(ER208="","",IF(ISNUMBER('Dvd Calendar'!$R$2092)=FALSE,"",IF((('Dvd Calendar'!$R$2094=TYPE1)*(TYPE1&lt;&gt;"")+('Dvd Calendar'!$R$2094=TYPE2)*(TYPE2&lt;&gt;"")+('Dvd Calendar'!$R$2094=TYPE3)*(TYPE3&lt;&gt;"")+('Dvd Calendar'!$R$2094=TYPE4)*(TYPE4&lt;&gt;"")+('Dvd Calendar'!$R$2094=SPECIAL_LBL)*(INC_SPECIALS="Y"))=0,"",'Dvd Calendar'!$R$2092)))</f>
        <v/>
      </c>
      <c r="Q208" s="161">
        <f>IF(ES208="","",IF(ISNUMBER('Dvd Calendar'!$S$2092)=FALSE,"",IF((('Dvd Calendar'!$S$2094=TYPE1)*(TYPE1&lt;&gt;"")+('Dvd Calendar'!$S$2094=TYPE2)*(TYPE2&lt;&gt;"")+('Dvd Calendar'!$S$2094=TYPE3)*(TYPE3&lt;&gt;"")+('Dvd Calendar'!$S$2094=TYPE4)*(TYPE4&lt;&gt;"")+('Dvd Calendar'!$S$2094=SPECIAL_LBL)*(INC_SPECIALS="Y"))=0,"",'Dvd Calendar'!$S$2092)))</f>
        <v/>
      </c>
      <c r="R208" s="161">
        <f>IF(ET208="","",IF(ISNUMBER('Dvd Calendar'!$T$2092)=FALSE,"",IF((('Dvd Calendar'!$T$2094=TYPE1)*(TYPE1&lt;&gt;"")+('Dvd Calendar'!$T$2094=TYPE2)*(TYPE2&lt;&gt;"")+('Dvd Calendar'!$T$2094=TYPE3)*(TYPE3&lt;&gt;"")+('Dvd Calendar'!$T$2094=TYPE4)*(TYPE4&lt;&gt;"")+('Dvd Calendar'!$T$2094=SPECIAL_LBL)*(INC_SPECIALS="Y"))=0,"",'Dvd Calendar'!$T$2092)))</f>
        <v/>
      </c>
      <c r="S208" s="161">
        <f>IF(EU208="","",IF(ISNUMBER('Dvd Calendar'!$U$2092)=FALSE,"",IF((('Dvd Calendar'!$U$2094=TYPE1)*(TYPE1&lt;&gt;"")+('Dvd Calendar'!$U$2094=TYPE2)*(TYPE2&lt;&gt;"")+('Dvd Calendar'!$U$2094=TYPE3)*(TYPE3&lt;&gt;"")+('Dvd Calendar'!$U$2094=TYPE4)*(TYPE4&lt;&gt;"")+('Dvd Calendar'!$U$2094=SPECIAL_LBL)*(INC_SPECIALS="Y"))=0,"",'Dvd Calendar'!$U$2092)))</f>
        <v/>
      </c>
      <c r="T208" s="161">
        <f>IF(EV208="","",IF(ISNUMBER('Dvd Calendar'!$V$2092)=FALSE,"",IF((('Dvd Calendar'!$V$2094=TYPE1)*(TYPE1&lt;&gt;"")+('Dvd Calendar'!$V$2094=TYPE2)*(TYPE2&lt;&gt;"")+('Dvd Calendar'!$V$2094=TYPE3)*(TYPE3&lt;&gt;"")+('Dvd Calendar'!$V$2094=TYPE4)*(TYPE4&lt;&gt;"")+('Dvd Calendar'!$V$2094=SPECIAL_LBL)*(INC_SPECIALS="Y"))=0,"",'Dvd Calendar'!$V$2092)))</f>
        <v/>
      </c>
      <c r="U208" s="161">
        <f>IF(EW208="","",IF(ISNUMBER('Dvd Calendar'!$W$2092)=FALSE,"",IF((('Dvd Calendar'!$W$2094=TYPE1)*(TYPE1&lt;&gt;"")+('Dvd Calendar'!$W$2094=TYPE2)*(TYPE2&lt;&gt;"")+('Dvd Calendar'!$W$2094=TYPE3)*(TYPE3&lt;&gt;"")+('Dvd Calendar'!$W$2094=TYPE4)*(TYPE4&lt;&gt;"")+('Dvd Calendar'!$W$2094=SPECIAL_LBL)*(INC_SPECIALS="Y"))=0,"",'Dvd Calendar'!$W$2092)))</f>
        <v/>
      </c>
      <c r="V208" s="161">
        <f>IF(EX208="","",IF(ISNUMBER('Dvd Calendar'!$X$2092)=FALSE,"",IF((('Dvd Calendar'!$X$2094=TYPE1)*(TYPE1&lt;&gt;"")+('Dvd Calendar'!$X$2094=TYPE2)*(TYPE2&lt;&gt;"")+('Dvd Calendar'!$X$2094=TYPE3)*(TYPE3&lt;&gt;"")+('Dvd Calendar'!$X$2094=TYPE4)*(TYPE4&lt;&gt;"")+('Dvd Calendar'!$X$2094=SPECIAL_LBL)*(INC_SPECIALS="Y"))=0,"",'Dvd Calendar'!$X$2092)))</f>
        <v/>
      </c>
      <c r="W208" s="161">
        <f>IF(EY208="","",IF(ISNUMBER('Dvd Calendar'!$Y$2092)=FALSE,"",IF((('Dvd Calendar'!$Y$2094=TYPE1)*(TYPE1&lt;&gt;"")+('Dvd Calendar'!$Y$2094=TYPE2)*(TYPE2&lt;&gt;"")+('Dvd Calendar'!$Y$2094=TYPE3)*(TYPE3&lt;&gt;"")+('Dvd Calendar'!$Y$2094=TYPE4)*(TYPE4&lt;&gt;"")+('Dvd Calendar'!$Y$2094=SPECIAL_LBL)*(INC_SPECIALS="Y"))=0,"",'Dvd Calendar'!$Y$2092)))</f>
        <v/>
      </c>
      <c r="X208" s="161">
        <f>IF(EZ208="","",IF(ISNUMBER('Dvd Calendar'!$Z$2092)=FALSE,"",IF((('Dvd Calendar'!$Z$2094=TYPE1)*(TYPE1&lt;&gt;"")+('Dvd Calendar'!$Z$2094=TYPE2)*(TYPE2&lt;&gt;"")+('Dvd Calendar'!$Z$2094=TYPE3)*(TYPE3&lt;&gt;"")+('Dvd Calendar'!$Z$2094=TYPE4)*(TYPE4&lt;&gt;"")+('Dvd Calendar'!$Z$2094=SPECIAL_LBL)*(INC_SPECIALS="Y"))=0,"",'Dvd Calendar'!$Z$2092)))</f>
        <v/>
      </c>
      <c r="Y208" s="161">
        <f>IF(FA208="","",IF(ISNUMBER('Dvd Calendar'!$AA$2092)=FALSE,"",IF((('Dvd Calendar'!$AA$2094=TYPE1)*(TYPE1&lt;&gt;"")+('Dvd Calendar'!$AA$2094=TYPE2)*(TYPE2&lt;&gt;"")+('Dvd Calendar'!$AA$2094=TYPE3)*(TYPE3&lt;&gt;"")+('Dvd Calendar'!$AA$2094=TYPE4)*(TYPE4&lt;&gt;"")+('Dvd Calendar'!$AA$2094=SPECIAL_LBL)*(INC_SPECIALS="Y"))=0,"",'Dvd Calendar'!$AA$2092)))</f>
        <v/>
      </c>
      <c r="Z208" s="161">
        <f>IF(FB208="","",IF(ISNUMBER('Dvd Calendar'!$AB$2092)=FALSE,"",IF((('Dvd Calendar'!$AB$2094=TYPE1)*(TYPE1&lt;&gt;"")+('Dvd Calendar'!$AB$2094=TYPE2)*(TYPE2&lt;&gt;"")+('Dvd Calendar'!$AB$2094=TYPE3)*(TYPE3&lt;&gt;"")+('Dvd Calendar'!$AB$2094=TYPE4)*(TYPE4&lt;&gt;"")+('Dvd Calendar'!$AB$2094=SPECIAL_LBL)*(INC_SPECIALS="Y"))=0,"",'Dvd Calendar'!$AB$2092)))</f>
        <v/>
      </c>
      <c r="AA208" s="161">
        <f>IF(FC208="","",IF(ISNUMBER('Dvd Calendar'!$AC$2092)=FALSE,"",IF((('Dvd Calendar'!$AC$2094=TYPE1)*(TYPE1&lt;&gt;"")+('Dvd Calendar'!$AC$2094=TYPE2)*(TYPE2&lt;&gt;"")+('Dvd Calendar'!$AC$2094=TYPE3)*(TYPE3&lt;&gt;"")+('Dvd Calendar'!$AC$2094=TYPE4)*(TYPE4&lt;&gt;"")+('Dvd Calendar'!$AC$2094=SPECIAL_LBL)*(INC_SPECIALS="Y"))=0,"",'Dvd Calendar'!$AC$2092)))</f>
        <v/>
      </c>
      <c r="AB208" s="161">
        <f>IF(FD208="","",IF(ISNUMBER('Dvd Calendar'!$AD$2092)=FALSE,"",IF((('Dvd Calendar'!$AD$2094=TYPE1)*(TYPE1&lt;&gt;"")+('Dvd Calendar'!$AD$2094=TYPE2)*(TYPE2&lt;&gt;"")+('Dvd Calendar'!$AD$2094=TYPE3)*(TYPE3&lt;&gt;"")+('Dvd Calendar'!$AD$2094=TYPE4)*(TYPE4&lt;&gt;"")+('Dvd Calendar'!$AD$2094=SPECIAL_LBL)*(INC_SPECIALS="Y"))=0,"",'Dvd Calendar'!$AD$2092)))</f>
        <v/>
      </c>
      <c r="AC208" s="161">
        <f>IF(FE208="","",IF(ISNUMBER('Dvd Calendar'!$AE$2092)=FALSE,"",IF((('Dvd Calendar'!$AE$2094=TYPE1)*(TYPE1&lt;&gt;"")+('Dvd Calendar'!$AE$2094=TYPE2)*(TYPE2&lt;&gt;"")+('Dvd Calendar'!$AE$2094=TYPE3)*(TYPE3&lt;&gt;"")+('Dvd Calendar'!$AE$2094=TYPE4)*(TYPE4&lt;&gt;"")+('Dvd Calendar'!$AE$2094=SPECIAL_LBL)*(INC_SPECIALS="Y"))=0,"",'Dvd Calendar'!$AE$2092)))</f>
        <v/>
      </c>
      <c r="AD208" s="161">
        <f>IF(FF208="","",IF(ISNUMBER('Dvd Calendar'!$AF$2092)=FALSE,"",IF((('Dvd Calendar'!$AF$2094=TYPE1)*(TYPE1&lt;&gt;"")+('Dvd Calendar'!$AF$2094=TYPE2)*(TYPE2&lt;&gt;"")+('Dvd Calendar'!$AF$2094=TYPE3)*(TYPE3&lt;&gt;"")+('Dvd Calendar'!$AF$2094=TYPE4)*(TYPE4&lt;&gt;"")+('Dvd Calendar'!$AF$2094=SPECIAL_LBL)*(INC_SPECIALS="Y"))=0,"",'Dvd Calendar'!$AF$2092)))</f>
        <v/>
      </c>
      <c r="AE208" s="161">
        <f>IF(FG208="","",IF(ISNUMBER('Dvd Calendar'!$AG$2092)=FALSE,"",IF((('Dvd Calendar'!$AG$2094=TYPE1)*(TYPE1&lt;&gt;"")+('Dvd Calendar'!$AG$2094=TYPE2)*(TYPE2&lt;&gt;"")+('Dvd Calendar'!$AG$2094=TYPE3)*(TYPE3&lt;&gt;"")+('Dvd Calendar'!$AG$2094=TYPE4)*(TYPE4&lt;&gt;"")+('Dvd Calendar'!$AG$2094=SPECIAL_LBL)*(INC_SPECIALS="Y"))=0,"",'Dvd Calendar'!$AG$2092)))</f>
        <v/>
      </c>
      <c r="AF208" s="161">
        <f>IF(FH208="","",IF(ISNUMBER('Dvd Calendar'!$AH$2092)=FALSE,"",IF((('Dvd Calendar'!$AH$2094=TYPE1)*(TYPE1&lt;&gt;"")+('Dvd Calendar'!$AH$2094=TYPE2)*(TYPE2&lt;&gt;"")+('Dvd Calendar'!$AH$2094=TYPE3)*(TYPE3&lt;&gt;"")+('Dvd Calendar'!$AH$2094=TYPE4)*(TYPE4&lt;&gt;"")+('Dvd Calendar'!$AH$2094=SPECIAL_LBL)*(INC_SPECIALS="Y"))=0,"",'Dvd Calendar'!$AH$2092)))</f>
        <v/>
      </c>
      <c r="AG208" s="161">
        <f>IF(FI208="","",IF(ISNUMBER('Dvd Calendar'!$AI$2092)=FALSE,"",IF((('Dvd Calendar'!$AI$2094=TYPE1)*(TYPE1&lt;&gt;"")+('Dvd Calendar'!$AI$2094=TYPE2)*(TYPE2&lt;&gt;"")+('Dvd Calendar'!$AI$2094=TYPE3)*(TYPE3&lt;&gt;"")+('Dvd Calendar'!$AI$2094=TYPE4)*(TYPE4&lt;&gt;"")+('Dvd Calendar'!$AI$2094=SPECIAL_LBL)*(INC_SPECIALS="Y"))=0,"",'Dvd Calendar'!$AI$2092)))</f>
        <v/>
      </c>
      <c r="AH208" s="161">
        <f>IF(FJ208="","",IF(ISNUMBER('Dvd Calendar'!$AJ$2092)=FALSE,"",IF((('Dvd Calendar'!$AJ$2094=TYPE1)*(TYPE1&lt;&gt;"")+('Dvd Calendar'!$AJ$2094=TYPE2)*(TYPE2&lt;&gt;"")+('Dvd Calendar'!$AJ$2094=TYPE3)*(TYPE3&lt;&gt;"")+('Dvd Calendar'!$AJ$2094=TYPE4)*(TYPE4&lt;&gt;"")+('Dvd Calendar'!$AJ$2094=SPECIAL_LBL)*(INC_SPECIALS="Y"))=0,"",'Dvd Calendar'!$AJ$2092)))</f>
        <v/>
      </c>
      <c r="AI208" s="161">
        <f>IF(FK208="","",IF(ISNUMBER('Dvd Calendar'!$AK$2092)=FALSE,"",IF((('Dvd Calendar'!$AK$2094=TYPE1)*(TYPE1&lt;&gt;"")+('Dvd Calendar'!$AK$2094=TYPE2)*(TYPE2&lt;&gt;"")+('Dvd Calendar'!$AK$2094=TYPE3)*(TYPE3&lt;&gt;"")+('Dvd Calendar'!$AK$2094=TYPE4)*(TYPE4&lt;&gt;"")+('Dvd Calendar'!$AK$2094=SPECIAL_LBL)*(INC_SPECIALS="Y"))=0,"",'Dvd Calendar'!$AK$2092)))</f>
        <v/>
      </c>
      <c r="AJ208" s="161">
        <f>IF(FL208="","",IF(ISNUMBER('Dvd Calendar'!$AL$2092)=FALSE,"",IF((('Dvd Calendar'!$AL$2094=TYPE1)*(TYPE1&lt;&gt;"")+('Dvd Calendar'!$AL$2094=TYPE2)*(TYPE2&lt;&gt;"")+('Dvd Calendar'!$AL$2094=TYPE3)*(TYPE3&lt;&gt;"")+('Dvd Calendar'!$AL$2094=TYPE4)*(TYPE4&lt;&gt;"")+('Dvd Calendar'!$AL$2094=SPECIAL_LBL)*(INC_SPECIALS="Y"))=0,"",'Dvd Calendar'!$AL$2092)))</f>
        <v/>
      </c>
      <c r="AK208" s="161">
        <f>IF(FM208="","",IF(ISNUMBER('Dvd Calendar'!$AM$2092)=FALSE,"",IF((('Dvd Calendar'!$AM$2094=TYPE1)*(TYPE1&lt;&gt;"")+('Dvd Calendar'!$AM$2094=TYPE2)*(TYPE2&lt;&gt;"")+('Dvd Calendar'!$AM$2094=TYPE3)*(TYPE3&lt;&gt;"")+('Dvd Calendar'!$AM$2094=TYPE4)*(TYPE4&lt;&gt;"")+('Dvd Calendar'!$AM$2094=SPECIAL_LBL)*(INC_SPECIALS="Y"))=0,"",'Dvd Calendar'!$AM$2092)))</f>
        <v/>
      </c>
      <c r="AL208" s="161">
        <f>IF(FN208="","",IF(ISNUMBER('Dvd Calendar'!$AN$2092)=FALSE,"",IF((('Dvd Calendar'!$AN$2094=TYPE1)*(TYPE1&lt;&gt;"")+('Dvd Calendar'!$AN$2094=TYPE2)*(TYPE2&lt;&gt;"")+('Dvd Calendar'!$AN$2094=TYPE3)*(TYPE3&lt;&gt;"")+('Dvd Calendar'!$AN$2094=TYPE4)*(TYPE4&lt;&gt;"")+('Dvd Calendar'!$AN$2094=SPECIAL_LBL)*(INC_SPECIALS="Y"))=0,"",'Dvd Calendar'!$AN$2092)))</f>
        <v/>
      </c>
      <c r="AM208" s="161">
        <f>IF(FO208="","",IF(ISNUMBER('Dvd Calendar'!$AO$2092)=FALSE,"",IF((('Dvd Calendar'!$AO$2094=TYPE1)*(TYPE1&lt;&gt;"")+('Dvd Calendar'!$AO$2094=TYPE2)*(TYPE2&lt;&gt;"")+('Dvd Calendar'!$AO$2094=TYPE3)*(TYPE3&lt;&gt;"")+('Dvd Calendar'!$AO$2094=TYPE4)*(TYPE4&lt;&gt;"")+('Dvd Calendar'!$AO$2094=SPECIAL_LBL)*(INC_SPECIALS="Y"))=0,"",'Dvd Calendar'!$AO$2092)))</f>
        <v/>
      </c>
      <c r="AN208" s="161">
        <f>IF(FP208="","",IF(ISNUMBER('Dvd Calendar'!$AP$2092)=FALSE,"",IF((('Dvd Calendar'!$AP$2094=TYPE1)*(TYPE1&lt;&gt;"")+('Dvd Calendar'!$AP$2094=TYPE2)*(TYPE2&lt;&gt;"")+('Dvd Calendar'!$AP$2094=TYPE3)*(TYPE3&lt;&gt;"")+('Dvd Calendar'!$AP$2094=TYPE4)*(TYPE4&lt;&gt;"")+('Dvd Calendar'!$AP$2094=SPECIAL_LBL)*(INC_SPECIALS="Y"))=0,"",'Dvd Calendar'!$AP$2092)))</f>
        <v/>
      </c>
      <c r="AO208" s="161">
        <f>IF(FQ208="","",IF(ISNUMBER('Dvd Calendar'!$AQ$2092)=FALSE,"",IF((('Dvd Calendar'!$AQ$2094=TYPE1)*(TYPE1&lt;&gt;"")+('Dvd Calendar'!$AQ$2094=TYPE2)*(TYPE2&lt;&gt;"")+('Dvd Calendar'!$AQ$2094=TYPE3)*(TYPE3&lt;&gt;"")+('Dvd Calendar'!$AQ$2094=TYPE4)*(TYPE4&lt;&gt;"")+('Dvd Calendar'!$AQ$2094=SPECIAL_LBL)*(INC_SPECIALS="Y"))=0,"",'Dvd Calendar'!$AQ$2092)))</f>
        <v/>
      </c>
      <c r="AP208" s="161">
        <f>IF(FR208="","",IF(ISNUMBER('Dvd Calendar'!$AR$2092)=FALSE,"",IF((('Dvd Calendar'!$AR$2094=TYPE1)*(TYPE1&lt;&gt;"")+('Dvd Calendar'!$AR$2094=TYPE2)*(TYPE2&lt;&gt;"")+('Dvd Calendar'!$AR$2094=TYPE3)*(TYPE3&lt;&gt;"")+('Dvd Calendar'!$AR$2094=TYPE4)*(TYPE4&lt;&gt;"")+('Dvd Calendar'!$AR$2094=SPECIAL_LBL)*(INC_SPECIALS="Y"))=0,"",'Dvd Calendar'!$AR$2092)))</f>
        <v/>
      </c>
      <c r="AQ208" s="161">
        <f>IF(FS208="","",IF(ISNUMBER('Dvd Calendar'!$E$2097)=FALSE,"",'Dvd Calendar'!$E$2097))</f>
        <v/>
      </c>
      <c r="AR208" s="161">
        <f>IF(FT208="","",IF(ISNUMBER('Dvd Calendar'!$F$2097)=FALSE,"",'Dvd Calendar'!$F$2097))</f>
        <v/>
      </c>
      <c r="AS208" s="161">
        <f>IF(FU208="","",IF(ISNUMBER('Dvd Calendar'!$G$2097)=FALSE,"",'Dvd Calendar'!$G$2097))</f>
        <v/>
      </c>
      <c r="AT208" s="161">
        <f>IF(FV208="","",IF(ISNUMBER('Dvd Calendar'!$H$2097)=FALSE,"",'Dvd Calendar'!$H$2097))</f>
        <v/>
      </c>
      <c r="AU208" s="161">
        <f>IF(FW208="","",IF(ISNUMBER('Dvd Calendar'!$I$2097)=FALSE,"",'Dvd Calendar'!$I$2097))</f>
        <v/>
      </c>
      <c r="AV208" s="161">
        <f>IF(FX208="","",IF(ISNUMBER('Dvd Calendar'!$J$2097)=FALSE,"",'Dvd Calendar'!$J$2097))</f>
        <v/>
      </c>
      <c r="AW208" s="161">
        <f>IF(FY208="","",IF(ISNUMBER('Dvd Calendar'!$K$2097)=FALSE,"",'Dvd Calendar'!$K$2097))</f>
        <v/>
      </c>
      <c r="AX208" s="161">
        <f>IF(FZ208="","",IF(ISNUMBER('Dvd Calendar'!$L$2097)=FALSE,"",'Dvd Calendar'!$L$2097))</f>
        <v/>
      </c>
      <c r="AY208" s="161">
        <f>IF(GA208="","",IF(ISNUMBER('Dvd Calendar'!$M$2097)=FALSE,"",'Dvd Calendar'!$M$2097))</f>
        <v/>
      </c>
      <c r="AZ208" s="161">
        <f>IF(GB208="","",IF(ISNUMBER('Dvd Calendar'!$N$2097)=FALSE,"",'Dvd Calendar'!$N$2097))</f>
        <v/>
      </c>
      <c r="BA208" s="161">
        <f>IF(GC208="","",IF(ISNUMBER('Dvd Calendar'!$O$2097)=FALSE,"",'Dvd Calendar'!$O$2097))</f>
        <v/>
      </c>
      <c r="BB208" s="161">
        <f>IF(GD208="","",IF(ISNUMBER('Dvd Calendar'!$P$2097)=FALSE,"",'Dvd Calendar'!$P$2097))</f>
        <v/>
      </c>
      <c r="BC208" s="161">
        <f>IF(GE208="","",IF(ISNUMBER('Dvd Calendar'!$Q$2097)=FALSE,"",'Dvd Calendar'!$Q$2097))</f>
        <v/>
      </c>
      <c r="BD208" s="161">
        <f>IF(GF208="","",IF(ISNUMBER('Dvd Calendar'!$R$2097)=FALSE,"",'Dvd Calendar'!$R$2097))</f>
        <v/>
      </c>
      <c r="BE208" s="161">
        <f>IF(GG208="","",IF(ISNUMBER('Dvd Calendar'!$S$2097)=FALSE,"",'Dvd Calendar'!$S$2097))</f>
        <v/>
      </c>
      <c r="BF208" s="161">
        <f>IF(GH208="","",IF(ISNUMBER('Dvd Calendar'!$T$2097)=FALSE,"",'Dvd Calendar'!$T$2097))</f>
        <v/>
      </c>
      <c r="BG208" s="161">
        <f>IF(GI208="","",IF(ISNUMBER('Dvd Calendar'!$U$2097)=FALSE,"",'Dvd Calendar'!$U$2097))</f>
        <v/>
      </c>
      <c r="BH208" s="161">
        <f>IF(GJ208="","",IF(ISNUMBER('Dvd Calendar'!$V$2097)=FALSE,"",'Dvd Calendar'!$V$2097))</f>
        <v/>
      </c>
      <c r="BI208" s="161">
        <f>IF(GK208="","",IF(ISNUMBER('Dvd Calendar'!$W$2097)=FALSE,"",'Dvd Calendar'!$W$2097))</f>
        <v/>
      </c>
      <c r="BJ208" s="161">
        <f>IF(GL208="","",IF(ISNUMBER('Dvd Calendar'!$X$2097)=FALSE,"",'Dvd Calendar'!$X$2097))</f>
        <v/>
      </c>
      <c r="BK208" s="161">
        <f>IF(GM208="","",IF(ISNUMBER('Dvd Calendar'!$Y$2097)=FALSE,"",'Dvd Calendar'!$Y$2097))</f>
        <v/>
      </c>
      <c r="BL208" s="161">
        <f>IF(GN208="","",IF(ISNUMBER('Dvd Calendar'!$Z$2097)=FALSE,"",'Dvd Calendar'!$Z$2097))</f>
        <v/>
      </c>
      <c r="BM208" s="161">
        <f>IF(GO208="","",IF(ISNUMBER('Dvd Calendar'!$AA$2097)=FALSE,"",'Dvd Calendar'!$AA$2097))</f>
        <v/>
      </c>
      <c r="BN208" s="161">
        <f>IF(GP208="","",IF(ISNUMBER('Dvd Calendar'!$AB$2097)=FALSE,"",'Dvd Calendar'!$AB$2097))</f>
        <v/>
      </c>
      <c r="BO208" s="161">
        <f>IF(GQ208="","",IF(ISNUMBER('Dvd Calendar'!$AC$2097)=FALSE,"",'Dvd Calendar'!$AC$2097))</f>
        <v/>
      </c>
      <c r="BQ208" s="161">
        <f>IF(C208="","",IFERROR(C208*HSCEI!$B$55*HSCEI!$G$55/HSCEI!$B$3,""))</f>
        <v/>
      </c>
      <c r="BR208" s="161">
        <f>IF(D208="","",IFERROR(D208*HSCEI!$B$55*HSCEI!$G$55/HSCEI!$B$3,""))</f>
        <v/>
      </c>
      <c r="BS208" s="161">
        <f>IF(E208="","",IFERROR(E208*HSCEI!$B$55*HSCEI!$G$55/HSCEI!$B$3,""))</f>
        <v/>
      </c>
      <c r="BT208" s="161">
        <f>IF(F208="","",IFERROR(F208*HSCEI!$B$55*HSCEI!$G$55/HSCEI!$B$3,""))</f>
        <v/>
      </c>
      <c r="BU208" s="161">
        <f>IF(G208="","",IFERROR(G208*HSCEI!$B$55*HSCEI!$G$55/HSCEI!$B$3,""))</f>
        <v/>
      </c>
      <c r="BV208" s="161">
        <f>IF(H208="","",IFERROR(H208*HSCEI!$B$55*HSCEI!$G$55/HSCEI!$B$3,""))</f>
        <v/>
      </c>
      <c r="BW208" s="161">
        <f>IF(I208="","",IFERROR(I208*HSCEI!$B$55*HSCEI!$G$55/HSCEI!$B$3,""))</f>
        <v/>
      </c>
      <c r="BX208" s="161">
        <f>IF(J208="","",IFERROR(J208*HSCEI!$B$55*HSCEI!$G$55/HSCEI!$B$3,""))</f>
        <v/>
      </c>
      <c r="BY208" s="161">
        <f>IF(K208="","",IFERROR(K208*HSCEI!$B$55*HSCEI!$G$55/HSCEI!$B$3,""))</f>
        <v/>
      </c>
      <c r="BZ208" s="161">
        <f>IF(L208="","",IFERROR(L208*HSCEI!$B$55*HSCEI!$G$55/HSCEI!$B$3,""))</f>
        <v/>
      </c>
      <c r="CA208" s="161">
        <f>IF(M208="","",IFERROR(M208*HSCEI!$B$55*HSCEI!$G$55/HSCEI!$B$3,""))</f>
        <v/>
      </c>
      <c r="CB208" s="161">
        <f>IF(N208="","",IFERROR(N208*HSCEI!$B$55*HSCEI!$G$55/HSCEI!$B$3,""))</f>
        <v/>
      </c>
      <c r="CC208" s="161">
        <f>IF(O208="","",IFERROR(O208*HSCEI!$B$55*HSCEI!$G$55/HSCEI!$B$3,""))</f>
        <v/>
      </c>
      <c r="CD208" s="161">
        <f>IF(P208="","",IFERROR(P208*HSCEI!$B$55*HSCEI!$G$55/HSCEI!$B$3,""))</f>
        <v/>
      </c>
      <c r="CE208" s="161">
        <f>IF(Q208="","",IFERROR(Q208*HSCEI!$B$55*HSCEI!$G$55/HSCEI!$B$3,""))</f>
        <v/>
      </c>
      <c r="CF208" s="161">
        <f>IF(R208="","",IFERROR(R208*HSCEI!$B$55*HSCEI!$G$55/HSCEI!$B$3,""))</f>
        <v/>
      </c>
      <c r="CG208" s="161">
        <f>IF(S208="","",IFERROR(S208*HSCEI!$B$55*HSCEI!$G$55/HSCEI!$B$3,""))</f>
        <v/>
      </c>
      <c r="CH208" s="161">
        <f>IF(T208="","",IFERROR(T208*HSCEI!$B$55*HSCEI!$G$55/HSCEI!$B$3,""))</f>
        <v/>
      </c>
      <c r="CI208" s="161">
        <f>IF(U208="","",IFERROR(U208*HSCEI!$B$55*HSCEI!$G$55/HSCEI!$B$3,""))</f>
        <v/>
      </c>
      <c r="CJ208" s="161">
        <f>IF(V208="","",IFERROR(V208*HSCEI!$B$55*HSCEI!$G$55/HSCEI!$B$3,""))</f>
        <v/>
      </c>
      <c r="CK208" s="161">
        <f>IF(W208="","",IFERROR(W208*HSCEI!$B$55*HSCEI!$G$55/HSCEI!$B$3,""))</f>
        <v/>
      </c>
      <c r="CL208" s="161">
        <f>IF(X208="","",IFERROR(X208*HSCEI!$B$55*HSCEI!$G$55/HSCEI!$B$3,""))</f>
        <v/>
      </c>
      <c r="CM208" s="161">
        <f>IF(Y208="","",IFERROR(Y208*HSCEI!$B$55*HSCEI!$G$55/HSCEI!$B$3,""))</f>
        <v/>
      </c>
      <c r="CN208" s="161">
        <f>IF(Z208="","",IFERROR(Z208*HSCEI!$B$55*HSCEI!$G$55/HSCEI!$B$3,""))</f>
        <v/>
      </c>
      <c r="CO208" s="161">
        <f>IF(AA208="","",IFERROR(AA208*HSCEI!$B$55*HSCEI!$G$55/HSCEI!$B$3,""))</f>
        <v/>
      </c>
      <c r="CP208" s="161">
        <f>IF(AB208="","",IFERROR(AB208*HSCEI!$B$55*HSCEI!$G$55/HSCEI!$B$3,""))</f>
        <v/>
      </c>
      <c r="CQ208" s="161">
        <f>IF(AC208="","",IFERROR(AC208*HSCEI!$B$55*HSCEI!$G$55/HSCEI!$B$3,""))</f>
        <v/>
      </c>
      <c r="CR208" s="161">
        <f>IF(AD208="","",IFERROR(AD208*HSCEI!$B$55*HSCEI!$G$55/HSCEI!$B$3,""))</f>
        <v/>
      </c>
      <c r="CS208" s="161">
        <f>IF(AE208="","",IFERROR(AE208*HSCEI!$B$55*HSCEI!$G$55/HSCEI!$B$3,""))</f>
        <v/>
      </c>
      <c r="CT208" s="161">
        <f>IF(AF208="","",IFERROR(AF208*HSCEI!$B$55*HSCEI!$G$55/HSCEI!$B$3,""))</f>
        <v/>
      </c>
      <c r="CU208" s="161">
        <f>IF(AG208="","",IFERROR(AG208*HSCEI!$B$55*HSCEI!$G$55/HSCEI!$B$3,""))</f>
        <v/>
      </c>
      <c r="CV208" s="161">
        <f>IF(AH208="","",IFERROR(AH208*HSCEI!$B$55*HSCEI!$G$55/HSCEI!$B$3,""))</f>
        <v/>
      </c>
      <c r="CW208" s="161">
        <f>IF(AI208="","",IFERROR(AI208*HSCEI!$B$55*HSCEI!$G$55/HSCEI!$B$3,""))</f>
        <v/>
      </c>
      <c r="CX208" s="161">
        <f>IF(AJ208="","",IFERROR(AJ208*HSCEI!$B$55*HSCEI!$G$55/HSCEI!$B$3,""))</f>
        <v/>
      </c>
      <c r="CY208" s="161">
        <f>IF(AK208="","",IFERROR(AK208*HSCEI!$B$55*HSCEI!$G$55/HSCEI!$B$3,""))</f>
        <v/>
      </c>
      <c r="CZ208" s="161">
        <f>IF(AL208="","",IFERROR(AL208*HSCEI!$B$55*HSCEI!$G$55/HSCEI!$B$3,""))</f>
        <v/>
      </c>
      <c r="DA208" s="161">
        <f>IF(AM208="","",IFERROR(AM208*HSCEI!$B$55*HSCEI!$G$55/HSCEI!$B$3,""))</f>
        <v/>
      </c>
      <c r="DB208" s="161">
        <f>IF(AN208="","",IFERROR(AN208*HSCEI!$B$55*HSCEI!$G$55/HSCEI!$B$3,""))</f>
        <v/>
      </c>
      <c r="DC208" s="161">
        <f>IF(AO208="","",IFERROR(AO208*HSCEI!$B$55*HSCEI!$G$55/HSCEI!$B$3,""))</f>
        <v/>
      </c>
      <c r="DD208" s="161">
        <f>IF(AP208="","",IFERROR(AP208*HSCEI!$B$55*HSCEI!$G$55/HSCEI!$B$3,""))</f>
        <v/>
      </c>
      <c r="DE208" s="161">
        <f>IF(AQ208="","",IFERROR(AQ208*HSCEI!$B$55*HSCEI!$G$55/HSCEI!$B$3,""))</f>
        <v/>
      </c>
      <c r="DF208" s="161">
        <f>IF(AR208="","",IFERROR(AR208*HSCEI!$B$55*HSCEI!$G$55/HSCEI!$B$3,""))</f>
        <v/>
      </c>
      <c r="DG208" s="161">
        <f>IF(AS208="","",IFERROR(AS208*HSCEI!$B$55*HSCEI!$G$55/HSCEI!$B$3,""))</f>
        <v/>
      </c>
      <c r="DH208" s="161">
        <f>IF(AT208="","",IFERROR(AT208*HSCEI!$B$55*HSCEI!$G$55/HSCEI!$B$3,""))</f>
        <v/>
      </c>
      <c r="DI208" s="161">
        <f>IF(AU208="","",IFERROR(AU208*HSCEI!$B$55*HSCEI!$G$55/HSCEI!$B$3,""))</f>
        <v/>
      </c>
      <c r="DJ208" s="161">
        <f>IF(AV208="","",IFERROR(AV208*HSCEI!$B$55*HSCEI!$G$55/HSCEI!$B$3,""))</f>
        <v/>
      </c>
      <c r="DK208" s="161">
        <f>IF(AW208="","",IFERROR(AW208*HSCEI!$B$55*HSCEI!$G$55/HSCEI!$B$3,""))</f>
        <v/>
      </c>
      <c r="DL208" s="161">
        <f>IF(AX208="","",IFERROR(AX208*HSCEI!$B$55*HSCEI!$G$55/HSCEI!$B$3,""))</f>
        <v/>
      </c>
      <c r="DM208" s="161">
        <f>IF(AY208="","",IFERROR(AY208*HSCEI!$B$55*HSCEI!$G$55/HSCEI!$B$3,""))</f>
        <v/>
      </c>
      <c r="DN208" s="161">
        <f>IF(AZ208="","",IFERROR(AZ208*HSCEI!$B$55*HSCEI!$G$55/HSCEI!$B$3,""))</f>
        <v/>
      </c>
      <c r="DO208" s="161">
        <f>IF(BA208="","",IFERROR(BA208*HSCEI!$B$55*HSCEI!$G$55/HSCEI!$B$3,""))</f>
        <v/>
      </c>
      <c r="DP208" s="161">
        <f>IF(BB208="","",IFERROR(BB208*HSCEI!$B$55*HSCEI!$G$55/HSCEI!$B$3,""))</f>
        <v/>
      </c>
      <c r="DQ208" s="161">
        <f>IF(BC208="","",IFERROR(BC208*HSCEI!$B$55*HSCEI!$G$55/HSCEI!$B$3,""))</f>
        <v/>
      </c>
      <c r="DR208" s="161">
        <f>IF(BD208="","",IFERROR(BD208*HSCEI!$B$55*HSCEI!$G$55/HSCEI!$B$3,""))</f>
        <v/>
      </c>
      <c r="DS208" s="161">
        <f>IF(BE208="","",IFERROR(BE208*HSCEI!$B$55*HSCEI!$G$55/HSCEI!$B$3,""))</f>
        <v/>
      </c>
      <c r="DT208" s="161">
        <f>IF(BF208="","",IFERROR(BF208*HSCEI!$B$55*HSCEI!$G$55/HSCEI!$B$3,""))</f>
        <v/>
      </c>
      <c r="DU208" s="161">
        <f>IF(BG208="","",IFERROR(BG208*HSCEI!$B$55*HSCEI!$G$55/HSCEI!$B$3,""))</f>
        <v/>
      </c>
      <c r="DV208" s="161">
        <f>IF(BH208="","",IFERROR(BH208*HSCEI!$B$55*HSCEI!$G$55/HSCEI!$B$3,""))</f>
        <v/>
      </c>
      <c r="DW208" s="161">
        <f>IF(BI208="","",IFERROR(BI208*HSCEI!$B$55*HSCEI!$G$55/HSCEI!$B$3,""))</f>
        <v/>
      </c>
      <c r="DX208" s="161">
        <f>IF(BJ208="","",IFERROR(BJ208*HSCEI!$B$55*HSCEI!$G$55/HSCEI!$B$3,""))</f>
        <v/>
      </c>
      <c r="DY208" s="161">
        <f>IF(BK208="","",IFERROR(BK208*HSCEI!$B$55*HSCEI!$G$55/HSCEI!$B$3,""))</f>
        <v/>
      </c>
      <c r="DZ208" s="161">
        <f>IF(BL208="","",IFERROR(BL208*HSCEI!$B$55*HSCEI!$G$55/HSCEI!$B$3,""))</f>
        <v/>
      </c>
      <c r="EA208" s="161">
        <f>IF(BM208="","",IFERROR(BM208*HSCEI!$B$55*HSCEI!$G$55/HSCEI!$B$3,""))</f>
        <v/>
      </c>
      <c r="EB208" s="161">
        <f>IF(BN208="","",IFERROR(BN208*HSCEI!$B$55*HSCEI!$G$55/HSCEI!$B$3,""))</f>
        <v/>
      </c>
      <c r="EC208" s="161">
        <f>IF(BO208="","",IFERROR(BO208*HSCEI!$B$55*HSCEI!$G$55/HSCEI!$B$3,""))</f>
        <v/>
      </c>
      <c r="EE208" s="121">
        <f>IF(N('Dvd Calendar'!$E$2089)=0,"",IF(('Dvd Calendar'!$E$2089&gt;=GRID_FROM)*('Dvd Calendar'!$E$2089&lt;=GRID_TO)*((('Dvd Calendar'!$E$2089&lt;=VAL_DATE)+(COUNTIF('Dvd Calendar'!$E$2096:$AR$2096,'Dvd Calendar'!$E$2089)=0))&gt;0)=0,"",'Dvd Calendar'!$E$2089*1000000000+ISNUMBER('Dvd Calendar'!$E$2092)*100000000+('Dvd Calendar'!$E$2094=SPECIAL_LBL)*10000000+(N('Dvd Calendar'!$E$2088)&gt;0)*(N('Dvd Calendar'!$E$2088)&lt;=VAL_SERIAL)*1000000+49*1000+1))</f>
        <v/>
      </c>
      <c r="EF208" s="121">
        <f>IF(N('Dvd Calendar'!$F$2089)=0,"",IF(('Dvd Calendar'!$F$2089&gt;=GRID_FROM)*('Dvd Calendar'!$F$2089&lt;=GRID_TO)*((('Dvd Calendar'!$F$2089&lt;=VAL_DATE)+(COUNTIF('Dvd Calendar'!$E$2096:$AR$2096,'Dvd Calendar'!$F$2089)=0))&gt;0)=0,"",'Dvd Calendar'!$F$2089*1000000000+ISNUMBER('Dvd Calendar'!$F$2092)*100000000+('Dvd Calendar'!$F$2094=SPECIAL_LBL)*10000000+(N('Dvd Calendar'!$F$2088)&gt;0)*(N('Dvd Calendar'!$F$2088)&lt;=VAL_SERIAL)*1000000+49*1000+2))</f>
        <v/>
      </c>
      <c r="EG208" s="121">
        <f>IF(N('Dvd Calendar'!$G$2089)=0,"",IF(('Dvd Calendar'!$G$2089&gt;=GRID_FROM)*('Dvd Calendar'!$G$2089&lt;=GRID_TO)*((('Dvd Calendar'!$G$2089&lt;=VAL_DATE)+(COUNTIF('Dvd Calendar'!$E$2096:$AR$2096,'Dvd Calendar'!$G$2089)=0))&gt;0)=0,"",'Dvd Calendar'!$G$2089*1000000000+ISNUMBER('Dvd Calendar'!$G$2092)*100000000+('Dvd Calendar'!$G$2094=SPECIAL_LBL)*10000000+(N('Dvd Calendar'!$G$2088)&gt;0)*(N('Dvd Calendar'!$G$2088)&lt;=VAL_SERIAL)*1000000+49*1000+3))</f>
        <v/>
      </c>
      <c r="EH208" s="121">
        <f>IF(N('Dvd Calendar'!$H$2089)=0,"",IF(('Dvd Calendar'!$H$2089&gt;=GRID_FROM)*('Dvd Calendar'!$H$2089&lt;=GRID_TO)*((('Dvd Calendar'!$H$2089&lt;=VAL_DATE)+(COUNTIF('Dvd Calendar'!$E$2096:$AR$2096,'Dvd Calendar'!$H$2089)=0))&gt;0)=0,"",'Dvd Calendar'!$H$2089*1000000000+ISNUMBER('Dvd Calendar'!$H$2092)*100000000+('Dvd Calendar'!$H$2094=SPECIAL_LBL)*10000000+(N('Dvd Calendar'!$H$2088)&gt;0)*(N('Dvd Calendar'!$H$2088)&lt;=VAL_SERIAL)*1000000+49*1000+4))</f>
        <v/>
      </c>
      <c r="EI208" s="121">
        <f>IF(N('Dvd Calendar'!$I$2089)=0,"",IF(('Dvd Calendar'!$I$2089&gt;=GRID_FROM)*('Dvd Calendar'!$I$2089&lt;=GRID_TO)*((('Dvd Calendar'!$I$2089&lt;=VAL_DATE)+(COUNTIF('Dvd Calendar'!$E$2096:$AR$2096,'Dvd Calendar'!$I$2089)=0))&gt;0)=0,"",'Dvd Calendar'!$I$2089*1000000000+ISNUMBER('Dvd Calendar'!$I$2092)*100000000+('Dvd Calendar'!$I$2094=SPECIAL_LBL)*10000000+(N('Dvd Calendar'!$I$2088)&gt;0)*(N('Dvd Calendar'!$I$2088)&lt;=VAL_SERIAL)*1000000+49*1000+5))</f>
        <v/>
      </c>
      <c r="EJ208" s="121">
        <f>IF(N('Dvd Calendar'!$J$2089)=0,"",IF(('Dvd Calendar'!$J$2089&gt;=GRID_FROM)*('Dvd Calendar'!$J$2089&lt;=GRID_TO)*((('Dvd Calendar'!$J$2089&lt;=VAL_DATE)+(COUNTIF('Dvd Calendar'!$E$2096:$AR$2096,'Dvd Calendar'!$J$2089)=0))&gt;0)=0,"",'Dvd Calendar'!$J$2089*1000000000+ISNUMBER('Dvd Calendar'!$J$2092)*100000000+('Dvd Calendar'!$J$2094=SPECIAL_LBL)*10000000+(N('Dvd Calendar'!$J$2088)&gt;0)*(N('Dvd Calendar'!$J$2088)&lt;=VAL_SERIAL)*1000000+49*1000+6))</f>
        <v/>
      </c>
      <c r="EK208" s="121">
        <f>IF(N('Dvd Calendar'!$K$2089)=0,"",IF(('Dvd Calendar'!$K$2089&gt;=GRID_FROM)*('Dvd Calendar'!$K$2089&lt;=GRID_TO)*((('Dvd Calendar'!$K$2089&lt;=VAL_DATE)+(COUNTIF('Dvd Calendar'!$E$2096:$AR$2096,'Dvd Calendar'!$K$2089)=0))&gt;0)=0,"",'Dvd Calendar'!$K$2089*1000000000+ISNUMBER('Dvd Calendar'!$K$2092)*100000000+('Dvd Calendar'!$K$2094=SPECIAL_LBL)*10000000+(N('Dvd Calendar'!$K$2088)&gt;0)*(N('Dvd Calendar'!$K$2088)&lt;=VAL_SERIAL)*1000000+49*1000+7))</f>
        <v/>
      </c>
      <c r="EL208" s="121">
        <f>IF(N('Dvd Calendar'!$L$2089)=0,"",IF(('Dvd Calendar'!$L$2089&gt;=GRID_FROM)*('Dvd Calendar'!$L$2089&lt;=GRID_TO)*((('Dvd Calendar'!$L$2089&lt;=VAL_DATE)+(COUNTIF('Dvd Calendar'!$E$2096:$AR$2096,'Dvd Calendar'!$L$2089)=0))&gt;0)=0,"",'Dvd Calendar'!$L$2089*1000000000+ISNUMBER('Dvd Calendar'!$L$2092)*100000000+('Dvd Calendar'!$L$2094=SPECIAL_LBL)*10000000+(N('Dvd Calendar'!$L$2088)&gt;0)*(N('Dvd Calendar'!$L$2088)&lt;=VAL_SERIAL)*1000000+49*1000+8))</f>
        <v/>
      </c>
      <c r="EM208" s="121">
        <f>IF(N('Dvd Calendar'!$M$2089)=0,"",IF(('Dvd Calendar'!$M$2089&gt;=GRID_FROM)*('Dvd Calendar'!$M$2089&lt;=GRID_TO)*((('Dvd Calendar'!$M$2089&lt;=VAL_DATE)+(COUNTIF('Dvd Calendar'!$E$2096:$AR$2096,'Dvd Calendar'!$M$2089)=0))&gt;0)=0,"",'Dvd Calendar'!$M$2089*1000000000+ISNUMBER('Dvd Calendar'!$M$2092)*100000000+('Dvd Calendar'!$M$2094=SPECIAL_LBL)*10000000+(N('Dvd Calendar'!$M$2088)&gt;0)*(N('Dvd Calendar'!$M$2088)&lt;=VAL_SERIAL)*1000000+49*1000+9))</f>
        <v/>
      </c>
      <c r="EN208" s="121">
        <f>IF(N('Dvd Calendar'!$N$2089)=0,"",IF(('Dvd Calendar'!$N$2089&gt;=GRID_FROM)*('Dvd Calendar'!$N$2089&lt;=GRID_TO)*((('Dvd Calendar'!$N$2089&lt;=VAL_DATE)+(COUNTIF('Dvd Calendar'!$E$2096:$AR$2096,'Dvd Calendar'!$N$2089)=0))&gt;0)=0,"",'Dvd Calendar'!$N$2089*1000000000+ISNUMBER('Dvd Calendar'!$N$2092)*100000000+('Dvd Calendar'!$N$2094=SPECIAL_LBL)*10000000+(N('Dvd Calendar'!$N$2088)&gt;0)*(N('Dvd Calendar'!$N$2088)&lt;=VAL_SERIAL)*1000000+49*1000+10))</f>
        <v/>
      </c>
      <c r="EO208" s="121">
        <f>IF(N('Dvd Calendar'!$O$2089)=0,"",IF(('Dvd Calendar'!$O$2089&gt;=GRID_FROM)*('Dvd Calendar'!$O$2089&lt;=GRID_TO)*((('Dvd Calendar'!$O$2089&lt;=VAL_DATE)+(COUNTIF('Dvd Calendar'!$E$2096:$AR$2096,'Dvd Calendar'!$O$2089)=0))&gt;0)=0,"",'Dvd Calendar'!$O$2089*1000000000+ISNUMBER('Dvd Calendar'!$O$2092)*100000000+('Dvd Calendar'!$O$2094=SPECIAL_LBL)*10000000+(N('Dvd Calendar'!$O$2088)&gt;0)*(N('Dvd Calendar'!$O$2088)&lt;=VAL_SERIAL)*1000000+49*1000+11))</f>
        <v/>
      </c>
      <c r="EP208" s="121">
        <f>IF(N('Dvd Calendar'!$P$2089)=0,"",IF(('Dvd Calendar'!$P$2089&gt;=GRID_FROM)*('Dvd Calendar'!$P$2089&lt;=GRID_TO)*((('Dvd Calendar'!$P$2089&lt;=VAL_DATE)+(COUNTIF('Dvd Calendar'!$E$2096:$AR$2096,'Dvd Calendar'!$P$2089)=0))&gt;0)=0,"",'Dvd Calendar'!$P$2089*1000000000+ISNUMBER('Dvd Calendar'!$P$2092)*100000000+('Dvd Calendar'!$P$2094=SPECIAL_LBL)*10000000+(N('Dvd Calendar'!$P$2088)&gt;0)*(N('Dvd Calendar'!$P$2088)&lt;=VAL_SERIAL)*1000000+49*1000+12))</f>
        <v/>
      </c>
      <c r="EQ208" s="121">
        <f>IF(N('Dvd Calendar'!$Q$2089)=0,"",IF(('Dvd Calendar'!$Q$2089&gt;=GRID_FROM)*('Dvd Calendar'!$Q$2089&lt;=GRID_TO)*((('Dvd Calendar'!$Q$2089&lt;=VAL_DATE)+(COUNTIF('Dvd Calendar'!$E$2096:$AR$2096,'Dvd Calendar'!$Q$2089)=0))&gt;0)=0,"",'Dvd Calendar'!$Q$2089*1000000000+ISNUMBER('Dvd Calendar'!$Q$2092)*100000000+('Dvd Calendar'!$Q$2094=SPECIAL_LBL)*10000000+(N('Dvd Calendar'!$Q$2088)&gt;0)*(N('Dvd Calendar'!$Q$2088)&lt;=VAL_SERIAL)*1000000+49*1000+13))</f>
        <v/>
      </c>
      <c r="ER208" s="121">
        <f>IF(N('Dvd Calendar'!$R$2089)=0,"",IF(('Dvd Calendar'!$R$2089&gt;=GRID_FROM)*('Dvd Calendar'!$R$2089&lt;=GRID_TO)*((('Dvd Calendar'!$R$2089&lt;=VAL_DATE)+(COUNTIF('Dvd Calendar'!$E$2096:$AR$2096,'Dvd Calendar'!$R$2089)=0))&gt;0)=0,"",'Dvd Calendar'!$R$2089*1000000000+ISNUMBER('Dvd Calendar'!$R$2092)*100000000+('Dvd Calendar'!$R$2094=SPECIAL_LBL)*10000000+(N('Dvd Calendar'!$R$2088)&gt;0)*(N('Dvd Calendar'!$R$2088)&lt;=VAL_SERIAL)*1000000+49*1000+14))</f>
        <v/>
      </c>
      <c r="ES208" s="121">
        <f>IF(N('Dvd Calendar'!$S$2089)=0,"",IF(('Dvd Calendar'!$S$2089&gt;=GRID_FROM)*('Dvd Calendar'!$S$2089&lt;=GRID_TO)*((('Dvd Calendar'!$S$2089&lt;=VAL_DATE)+(COUNTIF('Dvd Calendar'!$E$2096:$AR$2096,'Dvd Calendar'!$S$2089)=0))&gt;0)=0,"",'Dvd Calendar'!$S$2089*1000000000+ISNUMBER('Dvd Calendar'!$S$2092)*100000000+('Dvd Calendar'!$S$2094=SPECIAL_LBL)*10000000+(N('Dvd Calendar'!$S$2088)&gt;0)*(N('Dvd Calendar'!$S$2088)&lt;=VAL_SERIAL)*1000000+49*1000+15))</f>
        <v/>
      </c>
      <c r="ET208" s="121">
        <f>IF(N('Dvd Calendar'!$T$2089)=0,"",IF(('Dvd Calendar'!$T$2089&gt;=GRID_FROM)*('Dvd Calendar'!$T$2089&lt;=GRID_TO)*((('Dvd Calendar'!$T$2089&lt;=VAL_DATE)+(COUNTIF('Dvd Calendar'!$E$2096:$AR$2096,'Dvd Calendar'!$T$2089)=0))&gt;0)=0,"",'Dvd Calendar'!$T$2089*1000000000+ISNUMBER('Dvd Calendar'!$T$2092)*100000000+('Dvd Calendar'!$T$2094=SPECIAL_LBL)*10000000+(N('Dvd Calendar'!$T$2088)&gt;0)*(N('Dvd Calendar'!$T$2088)&lt;=VAL_SERIAL)*1000000+49*1000+16))</f>
        <v/>
      </c>
      <c r="EU208" s="121">
        <f>IF(N('Dvd Calendar'!$U$2089)=0,"",IF(('Dvd Calendar'!$U$2089&gt;=GRID_FROM)*('Dvd Calendar'!$U$2089&lt;=GRID_TO)*((('Dvd Calendar'!$U$2089&lt;=VAL_DATE)+(COUNTIF('Dvd Calendar'!$E$2096:$AR$2096,'Dvd Calendar'!$U$2089)=0))&gt;0)=0,"",'Dvd Calendar'!$U$2089*1000000000+ISNUMBER('Dvd Calendar'!$U$2092)*100000000+('Dvd Calendar'!$U$2094=SPECIAL_LBL)*10000000+(N('Dvd Calendar'!$U$2088)&gt;0)*(N('Dvd Calendar'!$U$2088)&lt;=VAL_SERIAL)*1000000+49*1000+17))</f>
        <v/>
      </c>
      <c r="EV208" s="121">
        <f>IF(N('Dvd Calendar'!$V$2089)=0,"",IF(('Dvd Calendar'!$V$2089&gt;=GRID_FROM)*('Dvd Calendar'!$V$2089&lt;=GRID_TO)*((('Dvd Calendar'!$V$2089&lt;=VAL_DATE)+(COUNTIF('Dvd Calendar'!$E$2096:$AR$2096,'Dvd Calendar'!$V$2089)=0))&gt;0)=0,"",'Dvd Calendar'!$V$2089*1000000000+ISNUMBER('Dvd Calendar'!$V$2092)*100000000+('Dvd Calendar'!$V$2094=SPECIAL_LBL)*10000000+(N('Dvd Calendar'!$V$2088)&gt;0)*(N('Dvd Calendar'!$V$2088)&lt;=VAL_SERIAL)*1000000+49*1000+18))</f>
        <v/>
      </c>
      <c r="EW208" s="121">
        <f>IF(N('Dvd Calendar'!$W$2089)=0,"",IF(('Dvd Calendar'!$W$2089&gt;=GRID_FROM)*('Dvd Calendar'!$W$2089&lt;=GRID_TO)*((('Dvd Calendar'!$W$2089&lt;=VAL_DATE)+(COUNTIF('Dvd Calendar'!$E$2096:$AR$2096,'Dvd Calendar'!$W$2089)=0))&gt;0)=0,"",'Dvd Calendar'!$W$2089*1000000000+ISNUMBER('Dvd Calendar'!$W$2092)*100000000+('Dvd Calendar'!$W$2094=SPECIAL_LBL)*10000000+(N('Dvd Calendar'!$W$2088)&gt;0)*(N('Dvd Calendar'!$W$2088)&lt;=VAL_SERIAL)*1000000+49*1000+19))</f>
        <v/>
      </c>
      <c r="EX208" s="121">
        <f>IF(N('Dvd Calendar'!$X$2089)=0,"",IF(('Dvd Calendar'!$X$2089&gt;=GRID_FROM)*('Dvd Calendar'!$X$2089&lt;=GRID_TO)*((('Dvd Calendar'!$X$2089&lt;=VAL_DATE)+(COUNTIF('Dvd Calendar'!$E$2096:$AR$2096,'Dvd Calendar'!$X$2089)=0))&gt;0)=0,"",'Dvd Calendar'!$X$2089*1000000000+ISNUMBER('Dvd Calendar'!$X$2092)*100000000+('Dvd Calendar'!$X$2094=SPECIAL_LBL)*10000000+(N('Dvd Calendar'!$X$2088)&gt;0)*(N('Dvd Calendar'!$X$2088)&lt;=VAL_SERIAL)*1000000+49*1000+20))</f>
        <v/>
      </c>
      <c r="EY208" s="121">
        <f>IF(N('Dvd Calendar'!$Y$2089)=0,"",IF(('Dvd Calendar'!$Y$2089&gt;=GRID_FROM)*('Dvd Calendar'!$Y$2089&lt;=GRID_TO)*((('Dvd Calendar'!$Y$2089&lt;=VAL_DATE)+(COUNTIF('Dvd Calendar'!$E$2096:$AR$2096,'Dvd Calendar'!$Y$2089)=0))&gt;0)=0,"",'Dvd Calendar'!$Y$2089*1000000000+ISNUMBER('Dvd Calendar'!$Y$2092)*100000000+('Dvd Calendar'!$Y$2094=SPECIAL_LBL)*10000000+(N('Dvd Calendar'!$Y$2088)&gt;0)*(N('Dvd Calendar'!$Y$2088)&lt;=VAL_SERIAL)*1000000+49*1000+21))</f>
        <v/>
      </c>
      <c r="EZ208" s="121">
        <f>IF(N('Dvd Calendar'!$Z$2089)=0,"",IF(('Dvd Calendar'!$Z$2089&gt;=GRID_FROM)*('Dvd Calendar'!$Z$2089&lt;=GRID_TO)*((('Dvd Calendar'!$Z$2089&lt;=VAL_DATE)+(COUNTIF('Dvd Calendar'!$E$2096:$AR$2096,'Dvd Calendar'!$Z$2089)=0))&gt;0)=0,"",'Dvd Calendar'!$Z$2089*1000000000+ISNUMBER('Dvd Calendar'!$Z$2092)*100000000+('Dvd Calendar'!$Z$2094=SPECIAL_LBL)*10000000+(N('Dvd Calendar'!$Z$2088)&gt;0)*(N('Dvd Calendar'!$Z$2088)&lt;=VAL_SERIAL)*1000000+49*1000+22))</f>
        <v/>
      </c>
      <c r="FA208" s="121">
        <f>IF(N('Dvd Calendar'!$AA$2089)=0,"",IF(('Dvd Calendar'!$AA$2089&gt;=GRID_FROM)*('Dvd Calendar'!$AA$2089&lt;=GRID_TO)*((('Dvd Calendar'!$AA$2089&lt;=VAL_DATE)+(COUNTIF('Dvd Calendar'!$E$2096:$AR$2096,'Dvd Calendar'!$AA$2089)=0))&gt;0)=0,"",'Dvd Calendar'!$AA$2089*1000000000+ISNUMBER('Dvd Calendar'!$AA$2092)*100000000+('Dvd Calendar'!$AA$2094=SPECIAL_LBL)*10000000+(N('Dvd Calendar'!$AA$2088)&gt;0)*(N('Dvd Calendar'!$AA$2088)&lt;=VAL_SERIAL)*1000000+49*1000+23))</f>
        <v/>
      </c>
      <c r="FB208" s="121">
        <f>IF(N('Dvd Calendar'!$AB$2089)=0,"",IF(('Dvd Calendar'!$AB$2089&gt;=GRID_FROM)*('Dvd Calendar'!$AB$2089&lt;=GRID_TO)*((('Dvd Calendar'!$AB$2089&lt;=VAL_DATE)+(COUNTIF('Dvd Calendar'!$E$2096:$AR$2096,'Dvd Calendar'!$AB$2089)=0))&gt;0)=0,"",'Dvd Calendar'!$AB$2089*1000000000+ISNUMBER('Dvd Calendar'!$AB$2092)*100000000+('Dvd Calendar'!$AB$2094=SPECIAL_LBL)*10000000+(N('Dvd Calendar'!$AB$2088)&gt;0)*(N('Dvd Calendar'!$AB$2088)&lt;=VAL_SERIAL)*1000000+49*1000+24))</f>
        <v/>
      </c>
      <c r="FC208" s="121">
        <f>IF(N('Dvd Calendar'!$AC$2089)=0,"",IF(('Dvd Calendar'!$AC$2089&gt;=GRID_FROM)*('Dvd Calendar'!$AC$2089&lt;=GRID_TO)*((('Dvd Calendar'!$AC$2089&lt;=VAL_DATE)+(COUNTIF('Dvd Calendar'!$E$2096:$AR$2096,'Dvd Calendar'!$AC$2089)=0))&gt;0)=0,"",'Dvd Calendar'!$AC$2089*1000000000+ISNUMBER('Dvd Calendar'!$AC$2092)*100000000+('Dvd Calendar'!$AC$2094=SPECIAL_LBL)*10000000+(N('Dvd Calendar'!$AC$2088)&gt;0)*(N('Dvd Calendar'!$AC$2088)&lt;=VAL_SERIAL)*1000000+49*1000+25))</f>
        <v/>
      </c>
      <c r="FD208" s="121">
        <f>IF(N('Dvd Calendar'!$AD$2089)=0,"",IF(('Dvd Calendar'!$AD$2089&gt;=GRID_FROM)*('Dvd Calendar'!$AD$2089&lt;=GRID_TO)*((('Dvd Calendar'!$AD$2089&lt;=VAL_DATE)+(COUNTIF('Dvd Calendar'!$E$2096:$AR$2096,'Dvd Calendar'!$AD$2089)=0))&gt;0)=0,"",'Dvd Calendar'!$AD$2089*1000000000+ISNUMBER('Dvd Calendar'!$AD$2092)*100000000+('Dvd Calendar'!$AD$2094=SPECIAL_LBL)*10000000+(N('Dvd Calendar'!$AD$2088)&gt;0)*(N('Dvd Calendar'!$AD$2088)&lt;=VAL_SERIAL)*1000000+49*1000+26))</f>
        <v/>
      </c>
      <c r="FE208" s="121">
        <f>IF(N('Dvd Calendar'!$AE$2089)=0,"",IF(('Dvd Calendar'!$AE$2089&gt;=GRID_FROM)*('Dvd Calendar'!$AE$2089&lt;=GRID_TO)*((('Dvd Calendar'!$AE$2089&lt;=VAL_DATE)+(COUNTIF('Dvd Calendar'!$E$2096:$AR$2096,'Dvd Calendar'!$AE$2089)=0))&gt;0)=0,"",'Dvd Calendar'!$AE$2089*1000000000+ISNUMBER('Dvd Calendar'!$AE$2092)*100000000+('Dvd Calendar'!$AE$2094=SPECIAL_LBL)*10000000+(N('Dvd Calendar'!$AE$2088)&gt;0)*(N('Dvd Calendar'!$AE$2088)&lt;=VAL_SERIAL)*1000000+49*1000+27))</f>
        <v/>
      </c>
      <c r="FF208" s="121">
        <f>IF(N('Dvd Calendar'!$AF$2089)=0,"",IF(('Dvd Calendar'!$AF$2089&gt;=GRID_FROM)*('Dvd Calendar'!$AF$2089&lt;=GRID_TO)*((('Dvd Calendar'!$AF$2089&lt;=VAL_DATE)+(COUNTIF('Dvd Calendar'!$E$2096:$AR$2096,'Dvd Calendar'!$AF$2089)=0))&gt;0)=0,"",'Dvd Calendar'!$AF$2089*1000000000+ISNUMBER('Dvd Calendar'!$AF$2092)*100000000+('Dvd Calendar'!$AF$2094=SPECIAL_LBL)*10000000+(N('Dvd Calendar'!$AF$2088)&gt;0)*(N('Dvd Calendar'!$AF$2088)&lt;=VAL_SERIAL)*1000000+49*1000+28))</f>
        <v/>
      </c>
      <c r="FG208" s="121">
        <f>IF(N('Dvd Calendar'!$AG$2089)=0,"",IF(('Dvd Calendar'!$AG$2089&gt;=GRID_FROM)*('Dvd Calendar'!$AG$2089&lt;=GRID_TO)*((('Dvd Calendar'!$AG$2089&lt;=VAL_DATE)+(COUNTIF('Dvd Calendar'!$E$2096:$AR$2096,'Dvd Calendar'!$AG$2089)=0))&gt;0)=0,"",'Dvd Calendar'!$AG$2089*1000000000+ISNUMBER('Dvd Calendar'!$AG$2092)*100000000+('Dvd Calendar'!$AG$2094=SPECIAL_LBL)*10000000+(N('Dvd Calendar'!$AG$2088)&gt;0)*(N('Dvd Calendar'!$AG$2088)&lt;=VAL_SERIAL)*1000000+49*1000+29))</f>
        <v/>
      </c>
      <c r="FH208" s="121">
        <f>IF(N('Dvd Calendar'!$AH$2089)=0,"",IF(('Dvd Calendar'!$AH$2089&gt;=GRID_FROM)*('Dvd Calendar'!$AH$2089&lt;=GRID_TO)*((('Dvd Calendar'!$AH$2089&lt;=VAL_DATE)+(COUNTIF('Dvd Calendar'!$E$2096:$AR$2096,'Dvd Calendar'!$AH$2089)=0))&gt;0)=0,"",'Dvd Calendar'!$AH$2089*1000000000+ISNUMBER('Dvd Calendar'!$AH$2092)*100000000+('Dvd Calendar'!$AH$2094=SPECIAL_LBL)*10000000+(N('Dvd Calendar'!$AH$2088)&gt;0)*(N('Dvd Calendar'!$AH$2088)&lt;=VAL_SERIAL)*1000000+49*1000+30))</f>
        <v/>
      </c>
      <c r="FI208" s="121">
        <f>IF(N('Dvd Calendar'!$AI$2089)=0,"",IF(('Dvd Calendar'!$AI$2089&gt;=GRID_FROM)*('Dvd Calendar'!$AI$2089&lt;=GRID_TO)*((('Dvd Calendar'!$AI$2089&lt;=VAL_DATE)+(COUNTIF('Dvd Calendar'!$E$2096:$AR$2096,'Dvd Calendar'!$AI$2089)=0))&gt;0)=0,"",'Dvd Calendar'!$AI$2089*1000000000+ISNUMBER('Dvd Calendar'!$AI$2092)*100000000+('Dvd Calendar'!$AI$2094=SPECIAL_LBL)*10000000+(N('Dvd Calendar'!$AI$2088)&gt;0)*(N('Dvd Calendar'!$AI$2088)&lt;=VAL_SERIAL)*1000000+49*1000+31))</f>
        <v/>
      </c>
      <c r="FJ208" s="121">
        <f>IF(N('Dvd Calendar'!$AJ$2089)=0,"",IF(('Dvd Calendar'!$AJ$2089&gt;=GRID_FROM)*('Dvd Calendar'!$AJ$2089&lt;=GRID_TO)*((('Dvd Calendar'!$AJ$2089&lt;=VAL_DATE)+(COUNTIF('Dvd Calendar'!$E$2096:$AR$2096,'Dvd Calendar'!$AJ$2089)=0))&gt;0)=0,"",'Dvd Calendar'!$AJ$2089*1000000000+ISNUMBER('Dvd Calendar'!$AJ$2092)*100000000+('Dvd Calendar'!$AJ$2094=SPECIAL_LBL)*10000000+(N('Dvd Calendar'!$AJ$2088)&gt;0)*(N('Dvd Calendar'!$AJ$2088)&lt;=VAL_SERIAL)*1000000+49*1000+32))</f>
        <v/>
      </c>
      <c r="FK208" s="121">
        <f>IF(N('Dvd Calendar'!$AK$2089)=0,"",IF(('Dvd Calendar'!$AK$2089&gt;=GRID_FROM)*('Dvd Calendar'!$AK$2089&lt;=GRID_TO)*((('Dvd Calendar'!$AK$2089&lt;=VAL_DATE)+(COUNTIF('Dvd Calendar'!$E$2096:$AR$2096,'Dvd Calendar'!$AK$2089)=0))&gt;0)=0,"",'Dvd Calendar'!$AK$2089*1000000000+ISNUMBER('Dvd Calendar'!$AK$2092)*100000000+('Dvd Calendar'!$AK$2094=SPECIAL_LBL)*10000000+(N('Dvd Calendar'!$AK$2088)&gt;0)*(N('Dvd Calendar'!$AK$2088)&lt;=VAL_SERIAL)*1000000+49*1000+33))</f>
        <v/>
      </c>
      <c r="FL208" s="121">
        <f>IF(N('Dvd Calendar'!$AL$2089)=0,"",IF(('Dvd Calendar'!$AL$2089&gt;=GRID_FROM)*('Dvd Calendar'!$AL$2089&lt;=GRID_TO)*((('Dvd Calendar'!$AL$2089&lt;=VAL_DATE)+(COUNTIF('Dvd Calendar'!$E$2096:$AR$2096,'Dvd Calendar'!$AL$2089)=0))&gt;0)=0,"",'Dvd Calendar'!$AL$2089*1000000000+ISNUMBER('Dvd Calendar'!$AL$2092)*100000000+('Dvd Calendar'!$AL$2094=SPECIAL_LBL)*10000000+(N('Dvd Calendar'!$AL$2088)&gt;0)*(N('Dvd Calendar'!$AL$2088)&lt;=VAL_SERIAL)*1000000+49*1000+34))</f>
        <v/>
      </c>
      <c r="FM208" s="121">
        <f>IF(N('Dvd Calendar'!$AM$2089)=0,"",IF(('Dvd Calendar'!$AM$2089&gt;=GRID_FROM)*('Dvd Calendar'!$AM$2089&lt;=GRID_TO)*((('Dvd Calendar'!$AM$2089&lt;=VAL_DATE)+(COUNTIF('Dvd Calendar'!$E$2096:$AR$2096,'Dvd Calendar'!$AM$2089)=0))&gt;0)=0,"",'Dvd Calendar'!$AM$2089*1000000000+ISNUMBER('Dvd Calendar'!$AM$2092)*100000000+('Dvd Calendar'!$AM$2094=SPECIAL_LBL)*10000000+(N('Dvd Calendar'!$AM$2088)&gt;0)*(N('Dvd Calendar'!$AM$2088)&lt;=VAL_SERIAL)*1000000+49*1000+35))</f>
        <v/>
      </c>
      <c r="FN208" s="121">
        <f>IF(N('Dvd Calendar'!$AN$2089)=0,"",IF(('Dvd Calendar'!$AN$2089&gt;=GRID_FROM)*('Dvd Calendar'!$AN$2089&lt;=GRID_TO)*((('Dvd Calendar'!$AN$2089&lt;=VAL_DATE)+(COUNTIF('Dvd Calendar'!$E$2096:$AR$2096,'Dvd Calendar'!$AN$2089)=0))&gt;0)=0,"",'Dvd Calendar'!$AN$2089*1000000000+ISNUMBER('Dvd Calendar'!$AN$2092)*100000000+('Dvd Calendar'!$AN$2094=SPECIAL_LBL)*10000000+(N('Dvd Calendar'!$AN$2088)&gt;0)*(N('Dvd Calendar'!$AN$2088)&lt;=VAL_SERIAL)*1000000+49*1000+36))</f>
        <v/>
      </c>
      <c r="FO208" s="121">
        <f>IF(N('Dvd Calendar'!$AO$2089)=0,"",IF(('Dvd Calendar'!$AO$2089&gt;=GRID_FROM)*('Dvd Calendar'!$AO$2089&lt;=GRID_TO)*((('Dvd Calendar'!$AO$2089&lt;=VAL_DATE)+(COUNTIF('Dvd Calendar'!$E$2096:$AR$2096,'Dvd Calendar'!$AO$2089)=0))&gt;0)=0,"",'Dvd Calendar'!$AO$2089*1000000000+ISNUMBER('Dvd Calendar'!$AO$2092)*100000000+('Dvd Calendar'!$AO$2094=SPECIAL_LBL)*10000000+(N('Dvd Calendar'!$AO$2088)&gt;0)*(N('Dvd Calendar'!$AO$2088)&lt;=VAL_SERIAL)*1000000+49*1000+37))</f>
        <v/>
      </c>
      <c r="FP208" s="121">
        <f>IF(N('Dvd Calendar'!$AP$2089)=0,"",IF(('Dvd Calendar'!$AP$2089&gt;=GRID_FROM)*('Dvd Calendar'!$AP$2089&lt;=GRID_TO)*((('Dvd Calendar'!$AP$2089&lt;=VAL_DATE)+(COUNTIF('Dvd Calendar'!$E$2096:$AR$2096,'Dvd Calendar'!$AP$2089)=0))&gt;0)=0,"",'Dvd Calendar'!$AP$2089*1000000000+ISNUMBER('Dvd Calendar'!$AP$2092)*100000000+('Dvd Calendar'!$AP$2094=SPECIAL_LBL)*10000000+(N('Dvd Calendar'!$AP$2088)&gt;0)*(N('Dvd Calendar'!$AP$2088)&lt;=VAL_SERIAL)*1000000+49*1000+38))</f>
        <v/>
      </c>
      <c r="FQ208" s="121">
        <f>IF(N('Dvd Calendar'!$AQ$2089)=0,"",IF(('Dvd Calendar'!$AQ$2089&gt;=GRID_FROM)*('Dvd Calendar'!$AQ$2089&lt;=GRID_TO)*((('Dvd Calendar'!$AQ$2089&lt;=VAL_DATE)+(COUNTIF('Dvd Calendar'!$E$2096:$AR$2096,'Dvd Calendar'!$AQ$2089)=0))&gt;0)=0,"",'Dvd Calendar'!$AQ$2089*1000000000+ISNUMBER('Dvd Calendar'!$AQ$2092)*100000000+('Dvd Calendar'!$AQ$2094=SPECIAL_LBL)*10000000+(N('Dvd Calendar'!$AQ$2088)&gt;0)*(N('Dvd Calendar'!$AQ$2088)&lt;=VAL_SERIAL)*1000000+49*1000+39))</f>
        <v/>
      </c>
      <c r="FR208" s="121">
        <f>IF(N('Dvd Calendar'!$AR$2089)=0,"",IF(('Dvd Calendar'!$AR$2089&gt;=GRID_FROM)*('Dvd Calendar'!$AR$2089&lt;=GRID_TO)*((('Dvd Calendar'!$AR$2089&lt;=VAL_DATE)+(COUNTIF('Dvd Calendar'!$E$2096:$AR$2096,'Dvd Calendar'!$AR$2089)=0))&gt;0)=0,"",'Dvd Calendar'!$AR$2089*1000000000+ISNUMBER('Dvd Calendar'!$AR$2092)*100000000+('Dvd Calendar'!$AR$2094=SPECIAL_LBL)*10000000+(N('Dvd Calendar'!$AR$2088)&gt;0)*(N('Dvd Calendar'!$AR$2088)&lt;=VAL_SERIAL)*1000000+49*1000+40))</f>
        <v/>
      </c>
      <c r="FS208" s="121">
        <f>IF(N('Dvd Calendar'!$E$2096)=0,"",IF(('Dvd Calendar'!$E$2096&gt;=GRID_FROM)*('Dvd Calendar'!$E$2096&lt;=GRID_TO)*('Dvd Calendar'!$E$2096&gt;VAL_DATE)=0,"",'Dvd Calendar'!$E$2096*1000000000+ISNUMBER('Dvd Calendar'!$E$2097)*100000000+0*10000000+(N('Dvd Calendar'!$E$2095)&gt;0)*(N('Dvd Calendar'!$E$2095)&lt;=VAL_SERIAL)*1000000+49*1000+41))</f>
        <v/>
      </c>
      <c r="FT208" s="121">
        <f>IF(N('Dvd Calendar'!$F$2096)=0,"",IF(('Dvd Calendar'!$F$2096&gt;=GRID_FROM)*('Dvd Calendar'!$F$2096&lt;=GRID_TO)*('Dvd Calendar'!$F$2096&gt;VAL_DATE)=0,"",'Dvd Calendar'!$F$2096*1000000000+ISNUMBER('Dvd Calendar'!$F$2097)*100000000+0*10000000+(N('Dvd Calendar'!$F$2095)&gt;0)*(N('Dvd Calendar'!$F$2095)&lt;=VAL_SERIAL)*1000000+49*1000+42))</f>
        <v/>
      </c>
      <c r="FU208" s="121">
        <f>IF(N('Dvd Calendar'!$G$2096)=0,"",IF(('Dvd Calendar'!$G$2096&gt;=GRID_FROM)*('Dvd Calendar'!$G$2096&lt;=GRID_TO)*('Dvd Calendar'!$G$2096&gt;VAL_DATE)=0,"",'Dvd Calendar'!$G$2096*1000000000+ISNUMBER('Dvd Calendar'!$G$2097)*100000000+0*10000000+(N('Dvd Calendar'!$G$2095)&gt;0)*(N('Dvd Calendar'!$G$2095)&lt;=VAL_SERIAL)*1000000+49*1000+43))</f>
        <v/>
      </c>
      <c r="FV208" s="121">
        <f>IF(N('Dvd Calendar'!$H$2096)=0,"",IF(('Dvd Calendar'!$H$2096&gt;=GRID_FROM)*('Dvd Calendar'!$H$2096&lt;=GRID_TO)*('Dvd Calendar'!$H$2096&gt;VAL_DATE)=0,"",'Dvd Calendar'!$H$2096*1000000000+ISNUMBER('Dvd Calendar'!$H$2097)*100000000+0*10000000+(N('Dvd Calendar'!$H$2095)&gt;0)*(N('Dvd Calendar'!$H$2095)&lt;=VAL_SERIAL)*1000000+49*1000+44))</f>
        <v/>
      </c>
      <c r="FW208" s="121">
        <f>IF(N('Dvd Calendar'!$I$2096)=0,"",IF(('Dvd Calendar'!$I$2096&gt;=GRID_FROM)*('Dvd Calendar'!$I$2096&lt;=GRID_TO)*('Dvd Calendar'!$I$2096&gt;VAL_DATE)=0,"",'Dvd Calendar'!$I$2096*1000000000+ISNUMBER('Dvd Calendar'!$I$2097)*100000000+0*10000000+(N('Dvd Calendar'!$I$2095)&gt;0)*(N('Dvd Calendar'!$I$2095)&lt;=VAL_SERIAL)*1000000+49*1000+45))</f>
        <v/>
      </c>
      <c r="FX208" s="121">
        <f>IF(N('Dvd Calendar'!$J$2096)=0,"",IF(('Dvd Calendar'!$J$2096&gt;=GRID_FROM)*('Dvd Calendar'!$J$2096&lt;=GRID_TO)*('Dvd Calendar'!$J$2096&gt;VAL_DATE)=0,"",'Dvd Calendar'!$J$2096*1000000000+ISNUMBER('Dvd Calendar'!$J$2097)*100000000+0*10000000+(N('Dvd Calendar'!$J$2095)&gt;0)*(N('Dvd Calendar'!$J$2095)&lt;=VAL_SERIAL)*1000000+49*1000+46))</f>
        <v/>
      </c>
      <c r="FY208" s="121">
        <f>IF(N('Dvd Calendar'!$K$2096)=0,"",IF(('Dvd Calendar'!$K$2096&gt;=GRID_FROM)*('Dvd Calendar'!$K$2096&lt;=GRID_TO)*('Dvd Calendar'!$K$2096&gt;VAL_DATE)=0,"",'Dvd Calendar'!$K$2096*1000000000+ISNUMBER('Dvd Calendar'!$K$2097)*100000000+0*10000000+(N('Dvd Calendar'!$K$2095)&gt;0)*(N('Dvd Calendar'!$K$2095)&lt;=VAL_SERIAL)*1000000+49*1000+47))</f>
        <v/>
      </c>
      <c r="FZ208" s="121">
        <f>IF(N('Dvd Calendar'!$L$2096)=0,"",IF(('Dvd Calendar'!$L$2096&gt;=GRID_FROM)*('Dvd Calendar'!$L$2096&lt;=GRID_TO)*('Dvd Calendar'!$L$2096&gt;VAL_DATE)=0,"",'Dvd Calendar'!$L$2096*1000000000+ISNUMBER('Dvd Calendar'!$L$2097)*100000000+0*10000000+(N('Dvd Calendar'!$L$2095)&gt;0)*(N('Dvd Calendar'!$L$2095)&lt;=VAL_SERIAL)*1000000+49*1000+48))</f>
        <v/>
      </c>
      <c r="GA208" s="121">
        <f>IF(N('Dvd Calendar'!$M$2096)=0,"",IF(('Dvd Calendar'!$M$2096&gt;=GRID_FROM)*('Dvd Calendar'!$M$2096&lt;=GRID_TO)*('Dvd Calendar'!$M$2096&gt;VAL_DATE)=0,"",'Dvd Calendar'!$M$2096*1000000000+ISNUMBER('Dvd Calendar'!$M$2097)*100000000+0*10000000+(N('Dvd Calendar'!$M$2095)&gt;0)*(N('Dvd Calendar'!$M$2095)&lt;=VAL_SERIAL)*1000000+49*1000+49))</f>
        <v/>
      </c>
      <c r="GB208" s="121">
        <f>IF(N('Dvd Calendar'!$N$2096)=0,"",IF(('Dvd Calendar'!$N$2096&gt;=GRID_FROM)*('Dvd Calendar'!$N$2096&lt;=GRID_TO)*('Dvd Calendar'!$N$2096&gt;VAL_DATE)=0,"",'Dvd Calendar'!$N$2096*1000000000+ISNUMBER('Dvd Calendar'!$N$2097)*100000000+0*10000000+(N('Dvd Calendar'!$N$2095)&gt;0)*(N('Dvd Calendar'!$N$2095)&lt;=VAL_SERIAL)*1000000+49*1000+50))</f>
        <v/>
      </c>
      <c r="GC208" s="121">
        <f>IF(N('Dvd Calendar'!$O$2096)=0,"",IF(('Dvd Calendar'!$O$2096&gt;=GRID_FROM)*('Dvd Calendar'!$O$2096&lt;=GRID_TO)*('Dvd Calendar'!$O$2096&gt;VAL_DATE)=0,"",'Dvd Calendar'!$O$2096*1000000000+ISNUMBER('Dvd Calendar'!$O$2097)*100000000+0*10000000+(N('Dvd Calendar'!$O$2095)&gt;0)*(N('Dvd Calendar'!$O$2095)&lt;=VAL_SERIAL)*1000000+49*1000+51))</f>
        <v/>
      </c>
      <c r="GD208" s="121">
        <f>IF(N('Dvd Calendar'!$P$2096)=0,"",IF(('Dvd Calendar'!$P$2096&gt;=GRID_FROM)*('Dvd Calendar'!$P$2096&lt;=GRID_TO)*('Dvd Calendar'!$P$2096&gt;VAL_DATE)=0,"",'Dvd Calendar'!$P$2096*1000000000+ISNUMBER('Dvd Calendar'!$P$2097)*100000000+0*10000000+(N('Dvd Calendar'!$P$2095)&gt;0)*(N('Dvd Calendar'!$P$2095)&lt;=VAL_SERIAL)*1000000+49*1000+52))</f>
        <v/>
      </c>
      <c r="GE208" s="121">
        <f>IF(N('Dvd Calendar'!$Q$2096)=0,"",IF(('Dvd Calendar'!$Q$2096&gt;=GRID_FROM)*('Dvd Calendar'!$Q$2096&lt;=GRID_TO)*('Dvd Calendar'!$Q$2096&gt;VAL_DATE)=0,"",'Dvd Calendar'!$Q$2096*1000000000+ISNUMBER('Dvd Calendar'!$Q$2097)*100000000+0*10000000+(N('Dvd Calendar'!$Q$2095)&gt;0)*(N('Dvd Calendar'!$Q$2095)&lt;=VAL_SERIAL)*1000000+49*1000+53))</f>
        <v/>
      </c>
      <c r="GF208" s="121">
        <f>IF(N('Dvd Calendar'!$R$2096)=0,"",IF(('Dvd Calendar'!$R$2096&gt;=GRID_FROM)*('Dvd Calendar'!$R$2096&lt;=GRID_TO)*('Dvd Calendar'!$R$2096&gt;VAL_DATE)=0,"",'Dvd Calendar'!$R$2096*1000000000+ISNUMBER('Dvd Calendar'!$R$2097)*100000000+0*10000000+(N('Dvd Calendar'!$R$2095)&gt;0)*(N('Dvd Calendar'!$R$2095)&lt;=VAL_SERIAL)*1000000+49*1000+54))</f>
        <v/>
      </c>
      <c r="GG208" s="121">
        <f>IF(N('Dvd Calendar'!$S$2096)=0,"",IF(('Dvd Calendar'!$S$2096&gt;=GRID_FROM)*('Dvd Calendar'!$S$2096&lt;=GRID_TO)*('Dvd Calendar'!$S$2096&gt;VAL_DATE)=0,"",'Dvd Calendar'!$S$2096*1000000000+ISNUMBER('Dvd Calendar'!$S$2097)*100000000+0*10000000+(N('Dvd Calendar'!$S$2095)&gt;0)*(N('Dvd Calendar'!$S$2095)&lt;=VAL_SERIAL)*1000000+49*1000+55))</f>
        <v/>
      </c>
      <c r="GH208" s="121">
        <f>IF(N('Dvd Calendar'!$T$2096)=0,"",IF(('Dvd Calendar'!$T$2096&gt;=GRID_FROM)*('Dvd Calendar'!$T$2096&lt;=GRID_TO)*('Dvd Calendar'!$T$2096&gt;VAL_DATE)=0,"",'Dvd Calendar'!$T$2096*1000000000+ISNUMBER('Dvd Calendar'!$T$2097)*100000000+0*10000000+(N('Dvd Calendar'!$T$2095)&gt;0)*(N('Dvd Calendar'!$T$2095)&lt;=VAL_SERIAL)*1000000+49*1000+56))</f>
        <v/>
      </c>
      <c r="GI208" s="121">
        <f>IF(N('Dvd Calendar'!$U$2096)=0,"",IF(('Dvd Calendar'!$U$2096&gt;=GRID_FROM)*('Dvd Calendar'!$U$2096&lt;=GRID_TO)*('Dvd Calendar'!$U$2096&gt;VAL_DATE)=0,"",'Dvd Calendar'!$U$2096*1000000000+ISNUMBER('Dvd Calendar'!$U$2097)*100000000+0*10000000+(N('Dvd Calendar'!$U$2095)&gt;0)*(N('Dvd Calendar'!$U$2095)&lt;=VAL_SERIAL)*1000000+49*1000+57))</f>
        <v/>
      </c>
      <c r="GJ208" s="121">
        <f>IF(N('Dvd Calendar'!$V$2096)=0,"",IF(('Dvd Calendar'!$V$2096&gt;=GRID_FROM)*('Dvd Calendar'!$V$2096&lt;=GRID_TO)*('Dvd Calendar'!$V$2096&gt;VAL_DATE)=0,"",'Dvd Calendar'!$V$2096*1000000000+ISNUMBER('Dvd Calendar'!$V$2097)*100000000+0*10000000+(N('Dvd Calendar'!$V$2095)&gt;0)*(N('Dvd Calendar'!$V$2095)&lt;=VAL_SERIAL)*1000000+49*1000+58))</f>
        <v/>
      </c>
      <c r="GK208" s="121">
        <f>IF(N('Dvd Calendar'!$W$2096)=0,"",IF(('Dvd Calendar'!$W$2096&gt;=GRID_FROM)*('Dvd Calendar'!$W$2096&lt;=GRID_TO)*('Dvd Calendar'!$W$2096&gt;VAL_DATE)=0,"",'Dvd Calendar'!$W$2096*1000000000+ISNUMBER('Dvd Calendar'!$W$2097)*100000000+0*10000000+(N('Dvd Calendar'!$W$2095)&gt;0)*(N('Dvd Calendar'!$W$2095)&lt;=VAL_SERIAL)*1000000+49*1000+59))</f>
        <v/>
      </c>
      <c r="GL208" s="121">
        <f>IF(N('Dvd Calendar'!$X$2096)=0,"",IF(('Dvd Calendar'!$X$2096&gt;=GRID_FROM)*('Dvd Calendar'!$X$2096&lt;=GRID_TO)*('Dvd Calendar'!$X$2096&gt;VAL_DATE)=0,"",'Dvd Calendar'!$X$2096*1000000000+ISNUMBER('Dvd Calendar'!$X$2097)*100000000+0*10000000+(N('Dvd Calendar'!$X$2095)&gt;0)*(N('Dvd Calendar'!$X$2095)&lt;=VAL_SERIAL)*1000000+49*1000+60))</f>
        <v/>
      </c>
      <c r="GM208" s="121">
        <f>IF(N('Dvd Calendar'!$Y$2096)=0,"",IF(('Dvd Calendar'!$Y$2096&gt;=GRID_FROM)*('Dvd Calendar'!$Y$2096&lt;=GRID_TO)*('Dvd Calendar'!$Y$2096&gt;VAL_DATE)=0,"",'Dvd Calendar'!$Y$2096*1000000000+ISNUMBER('Dvd Calendar'!$Y$2097)*100000000+0*10000000+(N('Dvd Calendar'!$Y$2095)&gt;0)*(N('Dvd Calendar'!$Y$2095)&lt;=VAL_SERIAL)*1000000+49*1000+61))</f>
        <v/>
      </c>
      <c r="GN208" s="121">
        <f>IF(N('Dvd Calendar'!$Z$2096)=0,"",IF(('Dvd Calendar'!$Z$2096&gt;=GRID_FROM)*('Dvd Calendar'!$Z$2096&lt;=GRID_TO)*('Dvd Calendar'!$Z$2096&gt;VAL_DATE)=0,"",'Dvd Calendar'!$Z$2096*1000000000+ISNUMBER('Dvd Calendar'!$Z$2097)*100000000+0*10000000+(N('Dvd Calendar'!$Z$2095)&gt;0)*(N('Dvd Calendar'!$Z$2095)&lt;=VAL_SERIAL)*1000000+49*1000+62))</f>
        <v/>
      </c>
      <c r="GO208" s="121">
        <f>IF(N('Dvd Calendar'!$AA$2096)=0,"",IF(('Dvd Calendar'!$AA$2096&gt;=GRID_FROM)*('Dvd Calendar'!$AA$2096&lt;=GRID_TO)*('Dvd Calendar'!$AA$2096&gt;VAL_DATE)=0,"",'Dvd Calendar'!$AA$2096*1000000000+ISNUMBER('Dvd Calendar'!$AA$2097)*100000000+0*10000000+(N('Dvd Calendar'!$AA$2095)&gt;0)*(N('Dvd Calendar'!$AA$2095)&lt;=VAL_SERIAL)*1000000+49*1000+63))</f>
        <v/>
      </c>
      <c r="GP208" s="121">
        <f>IF(N('Dvd Calendar'!$AB$2096)=0,"",IF(('Dvd Calendar'!$AB$2096&gt;=GRID_FROM)*('Dvd Calendar'!$AB$2096&lt;=GRID_TO)*('Dvd Calendar'!$AB$2096&gt;VAL_DATE)=0,"",'Dvd Calendar'!$AB$2096*1000000000+ISNUMBER('Dvd Calendar'!$AB$2097)*100000000+0*10000000+(N('Dvd Calendar'!$AB$2095)&gt;0)*(N('Dvd Calendar'!$AB$2095)&lt;=VAL_SERIAL)*1000000+49*1000+64))</f>
        <v/>
      </c>
      <c r="GQ208" s="121">
        <f>IF(N('Dvd Calendar'!$AC$2096)=0,"",IF(('Dvd Calendar'!$AC$2096&gt;=GRID_FROM)*('Dvd Calendar'!$AC$2096&lt;=GRID_TO)*('Dvd Calendar'!$AC$2096&gt;VAL_DATE)=0,"",'Dvd Calendar'!$AC$2096*1000000000+ISNUMBER('Dvd Calendar'!$AC$2097)*100000000+0*10000000+(N('Dvd Calendar'!$AC$2095)&gt;0)*(N('Dvd Calendar'!$AC$2095)&lt;=VAL_SERIAL)*1000000+49*1000+65))</f>
        <v/>
      </c>
    </row>
    <row r="209">
      <c r="B209" s="2">
        <f>IF(HSCEI!$C$56="","",HSCEI!$C$56)</f>
        <v/>
      </c>
      <c r="C209" s="161">
        <f>IF(EE209="","",IF(ISNUMBER('Dvd Calendar'!$E$2103)=FALSE,"",IF((('Dvd Calendar'!$E$2105=TYPE1)*(TYPE1&lt;&gt;"")+('Dvd Calendar'!$E$2105=TYPE2)*(TYPE2&lt;&gt;"")+('Dvd Calendar'!$E$2105=TYPE3)*(TYPE3&lt;&gt;"")+('Dvd Calendar'!$E$2105=TYPE4)*(TYPE4&lt;&gt;"")+('Dvd Calendar'!$E$2105=SPECIAL_LBL)*(INC_SPECIALS="Y"))=0,"",'Dvd Calendar'!$E$2103)))</f>
        <v/>
      </c>
      <c r="D209" s="161">
        <f>IF(EF209="","",IF(ISNUMBER('Dvd Calendar'!$F$2103)=FALSE,"",IF((('Dvd Calendar'!$F$2105=TYPE1)*(TYPE1&lt;&gt;"")+('Dvd Calendar'!$F$2105=TYPE2)*(TYPE2&lt;&gt;"")+('Dvd Calendar'!$F$2105=TYPE3)*(TYPE3&lt;&gt;"")+('Dvd Calendar'!$F$2105=TYPE4)*(TYPE4&lt;&gt;"")+('Dvd Calendar'!$F$2105=SPECIAL_LBL)*(INC_SPECIALS="Y"))=0,"",'Dvd Calendar'!$F$2103)))</f>
        <v/>
      </c>
      <c r="E209" s="161">
        <f>IF(EG209="","",IF(ISNUMBER('Dvd Calendar'!$G$2103)=FALSE,"",IF((('Dvd Calendar'!$G$2105=TYPE1)*(TYPE1&lt;&gt;"")+('Dvd Calendar'!$G$2105=TYPE2)*(TYPE2&lt;&gt;"")+('Dvd Calendar'!$G$2105=TYPE3)*(TYPE3&lt;&gt;"")+('Dvd Calendar'!$G$2105=TYPE4)*(TYPE4&lt;&gt;"")+('Dvd Calendar'!$G$2105=SPECIAL_LBL)*(INC_SPECIALS="Y"))=0,"",'Dvd Calendar'!$G$2103)))</f>
        <v/>
      </c>
      <c r="F209" s="161">
        <f>IF(EH209="","",IF(ISNUMBER('Dvd Calendar'!$H$2103)=FALSE,"",IF((('Dvd Calendar'!$H$2105=TYPE1)*(TYPE1&lt;&gt;"")+('Dvd Calendar'!$H$2105=TYPE2)*(TYPE2&lt;&gt;"")+('Dvd Calendar'!$H$2105=TYPE3)*(TYPE3&lt;&gt;"")+('Dvd Calendar'!$H$2105=TYPE4)*(TYPE4&lt;&gt;"")+('Dvd Calendar'!$H$2105=SPECIAL_LBL)*(INC_SPECIALS="Y"))=0,"",'Dvd Calendar'!$H$2103)))</f>
        <v/>
      </c>
      <c r="G209" s="161">
        <f>IF(EI209="","",IF(ISNUMBER('Dvd Calendar'!$I$2103)=FALSE,"",IF((('Dvd Calendar'!$I$2105=TYPE1)*(TYPE1&lt;&gt;"")+('Dvd Calendar'!$I$2105=TYPE2)*(TYPE2&lt;&gt;"")+('Dvd Calendar'!$I$2105=TYPE3)*(TYPE3&lt;&gt;"")+('Dvd Calendar'!$I$2105=TYPE4)*(TYPE4&lt;&gt;"")+('Dvd Calendar'!$I$2105=SPECIAL_LBL)*(INC_SPECIALS="Y"))=0,"",'Dvd Calendar'!$I$2103)))</f>
        <v/>
      </c>
      <c r="H209" s="161">
        <f>IF(EJ209="","",IF(ISNUMBER('Dvd Calendar'!$J$2103)=FALSE,"",IF((('Dvd Calendar'!$J$2105=TYPE1)*(TYPE1&lt;&gt;"")+('Dvd Calendar'!$J$2105=TYPE2)*(TYPE2&lt;&gt;"")+('Dvd Calendar'!$J$2105=TYPE3)*(TYPE3&lt;&gt;"")+('Dvd Calendar'!$J$2105=TYPE4)*(TYPE4&lt;&gt;"")+('Dvd Calendar'!$J$2105=SPECIAL_LBL)*(INC_SPECIALS="Y"))=0,"",'Dvd Calendar'!$J$2103)))</f>
        <v/>
      </c>
      <c r="I209" s="161">
        <f>IF(EK209="","",IF(ISNUMBER('Dvd Calendar'!$K$2103)=FALSE,"",IF((('Dvd Calendar'!$K$2105=TYPE1)*(TYPE1&lt;&gt;"")+('Dvd Calendar'!$K$2105=TYPE2)*(TYPE2&lt;&gt;"")+('Dvd Calendar'!$K$2105=TYPE3)*(TYPE3&lt;&gt;"")+('Dvd Calendar'!$K$2105=TYPE4)*(TYPE4&lt;&gt;"")+('Dvd Calendar'!$K$2105=SPECIAL_LBL)*(INC_SPECIALS="Y"))=0,"",'Dvd Calendar'!$K$2103)))</f>
        <v/>
      </c>
      <c r="J209" s="161">
        <f>IF(EL209="","",IF(ISNUMBER('Dvd Calendar'!$L$2103)=FALSE,"",IF((('Dvd Calendar'!$L$2105=TYPE1)*(TYPE1&lt;&gt;"")+('Dvd Calendar'!$L$2105=TYPE2)*(TYPE2&lt;&gt;"")+('Dvd Calendar'!$L$2105=TYPE3)*(TYPE3&lt;&gt;"")+('Dvd Calendar'!$L$2105=TYPE4)*(TYPE4&lt;&gt;"")+('Dvd Calendar'!$L$2105=SPECIAL_LBL)*(INC_SPECIALS="Y"))=0,"",'Dvd Calendar'!$L$2103)))</f>
        <v/>
      </c>
      <c r="K209" s="161">
        <f>IF(EM209="","",IF(ISNUMBER('Dvd Calendar'!$M$2103)=FALSE,"",IF((('Dvd Calendar'!$M$2105=TYPE1)*(TYPE1&lt;&gt;"")+('Dvd Calendar'!$M$2105=TYPE2)*(TYPE2&lt;&gt;"")+('Dvd Calendar'!$M$2105=TYPE3)*(TYPE3&lt;&gt;"")+('Dvd Calendar'!$M$2105=TYPE4)*(TYPE4&lt;&gt;"")+('Dvd Calendar'!$M$2105=SPECIAL_LBL)*(INC_SPECIALS="Y"))=0,"",'Dvd Calendar'!$M$2103)))</f>
        <v/>
      </c>
      <c r="L209" s="161">
        <f>IF(EN209="","",IF(ISNUMBER('Dvd Calendar'!$N$2103)=FALSE,"",IF((('Dvd Calendar'!$N$2105=TYPE1)*(TYPE1&lt;&gt;"")+('Dvd Calendar'!$N$2105=TYPE2)*(TYPE2&lt;&gt;"")+('Dvd Calendar'!$N$2105=TYPE3)*(TYPE3&lt;&gt;"")+('Dvd Calendar'!$N$2105=TYPE4)*(TYPE4&lt;&gt;"")+('Dvd Calendar'!$N$2105=SPECIAL_LBL)*(INC_SPECIALS="Y"))=0,"",'Dvd Calendar'!$N$2103)))</f>
        <v/>
      </c>
      <c r="M209" s="161">
        <f>IF(EO209="","",IF(ISNUMBER('Dvd Calendar'!$O$2103)=FALSE,"",IF((('Dvd Calendar'!$O$2105=TYPE1)*(TYPE1&lt;&gt;"")+('Dvd Calendar'!$O$2105=TYPE2)*(TYPE2&lt;&gt;"")+('Dvd Calendar'!$O$2105=TYPE3)*(TYPE3&lt;&gt;"")+('Dvd Calendar'!$O$2105=TYPE4)*(TYPE4&lt;&gt;"")+('Dvd Calendar'!$O$2105=SPECIAL_LBL)*(INC_SPECIALS="Y"))=0,"",'Dvd Calendar'!$O$2103)))</f>
        <v/>
      </c>
      <c r="N209" s="161">
        <f>IF(EP209="","",IF(ISNUMBER('Dvd Calendar'!$P$2103)=FALSE,"",IF((('Dvd Calendar'!$P$2105=TYPE1)*(TYPE1&lt;&gt;"")+('Dvd Calendar'!$P$2105=TYPE2)*(TYPE2&lt;&gt;"")+('Dvd Calendar'!$P$2105=TYPE3)*(TYPE3&lt;&gt;"")+('Dvd Calendar'!$P$2105=TYPE4)*(TYPE4&lt;&gt;"")+('Dvd Calendar'!$P$2105=SPECIAL_LBL)*(INC_SPECIALS="Y"))=0,"",'Dvd Calendar'!$P$2103)))</f>
        <v/>
      </c>
      <c r="O209" s="161">
        <f>IF(EQ209="","",IF(ISNUMBER('Dvd Calendar'!$Q$2103)=FALSE,"",IF((('Dvd Calendar'!$Q$2105=TYPE1)*(TYPE1&lt;&gt;"")+('Dvd Calendar'!$Q$2105=TYPE2)*(TYPE2&lt;&gt;"")+('Dvd Calendar'!$Q$2105=TYPE3)*(TYPE3&lt;&gt;"")+('Dvd Calendar'!$Q$2105=TYPE4)*(TYPE4&lt;&gt;"")+('Dvd Calendar'!$Q$2105=SPECIAL_LBL)*(INC_SPECIALS="Y"))=0,"",'Dvd Calendar'!$Q$2103)))</f>
        <v/>
      </c>
      <c r="P209" s="161">
        <f>IF(ER209="","",IF(ISNUMBER('Dvd Calendar'!$R$2103)=FALSE,"",IF((('Dvd Calendar'!$R$2105=TYPE1)*(TYPE1&lt;&gt;"")+('Dvd Calendar'!$R$2105=TYPE2)*(TYPE2&lt;&gt;"")+('Dvd Calendar'!$R$2105=TYPE3)*(TYPE3&lt;&gt;"")+('Dvd Calendar'!$R$2105=TYPE4)*(TYPE4&lt;&gt;"")+('Dvd Calendar'!$R$2105=SPECIAL_LBL)*(INC_SPECIALS="Y"))=0,"",'Dvd Calendar'!$R$2103)))</f>
        <v/>
      </c>
      <c r="Q209" s="161">
        <f>IF(ES209="","",IF(ISNUMBER('Dvd Calendar'!$S$2103)=FALSE,"",IF((('Dvd Calendar'!$S$2105=TYPE1)*(TYPE1&lt;&gt;"")+('Dvd Calendar'!$S$2105=TYPE2)*(TYPE2&lt;&gt;"")+('Dvd Calendar'!$S$2105=TYPE3)*(TYPE3&lt;&gt;"")+('Dvd Calendar'!$S$2105=TYPE4)*(TYPE4&lt;&gt;"")+('Dvd Calendar'!$S$2105=SPECIAL_LBL)*(INC_SPECIALS="Y"))=0,"",'Dvd Calendar'!$S$2103)))</f>
        <v/>
      </c>
      <c r="R209" s="161">
        <f>IF(ET209="","",IF(ISNUMBER('Dvd Calendar'!$T$2103)=FALSE,"",IF((('Dvd Calendar'!$T$2105=TYPE1)*(TYPE1&lt;&gt;"")+('Dvd Calendar'!$T$2105=TYPE2)*(TYPE2&lt;&gt;"")+('Dvd Calendar'!$T$2105=TYPE3)*(TYPE3&lt;&gt;"")+('Dvd Calendar'!$T$2105=TYPE4)*(TYPE4&lt;&gt;"")+('Dvd Calendar'!$T$2105=SPECIAL_LBL)*(INC_SPECIALS="Y"))=0,"",'Dvd Calendar'!$T$2103)))</f>
        <v/>
      </c>
      <c r="S209" s="161">
        <f>IF(EU209="","",IF(ISNUMBER('Dvd Calendar'!$U$2103)=FALSE,"",IF((('Dvd Calendar'!$U$2105=TYPE1)*(TYPE1&lt;&gt;"")+('Dvd Calendar'!$U$2105=TYPE2)*(TYPE2&lt;&gt;"")+('Dvd Calendar'!$U$2105=TYPE3)*(TYPE3&lt;&gt;"")+('Dvd Calendar'!$U$2105=TYPE4)*(TYPE4&lt;&gt;"")+('Dvd Calendar'!$U$2105=SPECIAL_LBL)*(INC_SPECIALS="Y"))=0,"",'Dvd Calendar'!$U$2103)))</f>
        <v/>
      </c>
      <c r="T209" s="161">
        <f>IF(EV209="","",IF(ISNUMBER('Dvd Calendar'!$V$2103)=FALSE,"",IF((('Dvd Calendar'!$V$2105=TYPE1)*(TYPE1&lt;&gt;"")+('Dvd Calendar'!$V$2105=TYPE2)*(TYPE2&lt;&gt;"")+('Dvd Calendar'!$V$2105=TYPE3)*(TYPE3&lt;&gt;"")+('Dvd Calendar'!$V$2105=TYPE4)*(TYPE4&lt;&gt;"")+('Dvd Calendar'!$V$2105=SPECIAL_LBL)*(INC_SPECIALS="Y"))=0,"",'Dvd Calendar'!$V$2103)))</f>
        <v/>
      </c>
      <c r="U209" s="161">
        <f>IF(EW209="","",IF(ISNUMBER('Dvd Calendar'!$W$2103)=FALSE,"",IF((('Dvd Calendar'!$W$2105=TYPE1)*(TYPE1&lt;&gt;"")+('Dvd Calendar'!$W$2105=TYPE2)*(TYPE2&lt;&gt;"")+('Dvd Calendar'!$W$2105=TYPE3)*(TYPE3&lt;&gt;"")+('Dvd Calendar'!$W$2105=TYPE4)*(TYPE4&lt;&gt;"")+('Dvd Calendar'!$W$2105=SPECIAL_LBL)*(INC_SPECIALS="Y"))=0,"",'Dvd Calendar'!$W$2103)))</f>
        <v/>
      </c>
      <c r="V209" s="161">
        <f>IF(EX209="","",IF(ISNUMBER('Dvd Calendar'!$X$2103)=FALSE,"",IF((('Dvd Calendar'!$X$2105=TYPE1)*(TYPE1&lt;&gt;"")+('Dvd Calendar'!$X$2105=TYPE2)*(TYPE2&lt;&gt;"")+('Dvd Calendar'!$X$2105=TYPE3)*(TYPE3&lt;&gt;"")+('Dvd Calendar'!$X$2105=TYPE4)*(TYPE4&lt;&gt;"")+('Dvd Calendar'!$X$2105=SPECIAL_LBL)*(INC_SPECIALS="Y"))=0,"",'Dvd Calendar'!$X$2103)))</f>
        <v/>
      </c>
      <c r="W209" s="161">
        <f>IF(EY209="","",IF(ISNUMBER('Dvd Calendar'!$Y$2103)=FALSE,"",IF((('Dvd Calendar'!$Y$2105=TYPE1)*(TYPE1&lt;&gt;"")+('Dvd Calendar'!$Y$2105=TYPE2)*(TYPE2&lt;&gt;"")+('Dvd Calendar'!$Y$2105=TYPE3)*(TYPE3&lt;&gt;"")+('Dvd Calendar'!$Y$2105=TYPE4)*(TYPE4&lt;&gt;"")+('Dvd Calendar'!$Y$2105=SPECIAL_LBL)*(INC_SPECIALS="Y"))=0,"",'Dvd Calendar'!$Y$2103)))</f>
        <v/>
      </c>
      <c r="X209" s="161">
        <f>IF(EZ209="","",IF(ISNUMBER('Dvd Calendar'!$Z$2103)=FALSE,"",IF((('Dvd Calendar'!$Z$2105=TYPE1)*(TYPE1&lt;&gt;"")+('Dvd Calendar'!$Z$2105=TYPE2)*(TYPE2&lt;&gt;"")+('Dvd Calendar'!$Z$2105=TYPE3)*(TYPE3&lt;&gt;"")+('Dvd Calendar'!$Z$2105=TYPE4)*(TYPE4&lt;&gt;"")+('Dvd Calendar'!$Z$2105=SPECIAL_LBL)*(INC_SPECIALS="Y"))=0,"",'Dvd Calendar'!$Z$2103)))</f>
        <v/>
      </c>
      <c r="Y209" s="161">
        <f>IF(FA209="","",IF(ISNUMBER('Dvd Calendar'!$AA$2103)=FALSE,"",IF((('Dvd Calendar'!$AA$2105=TYPE1)*(TYPE1&lt;&gt;"")+('Dvd Calendar'!$AA$2105=TYPE2)*(TYPE2&lt;&gt;"")+('Dvd Calendar'!$AA$2105=TYPE3)*(TYPE3&lt;&gt;"")+('Dvd Calendar'!$AA$2105=TYPE4)*(TYPE4&lt;&gt;"")+('Dvd Calendar'!$AA$2105=SPECIAL_LBL)*(INC_SPECIALS="Y"))=0,"",'Dvd Calendar'!$AA$2103)))</f>
        <v/>
      </c>
      <c r="Z209" s="161">
        <f>IF(FB209="","",IF(ISNUMBER('Dvd Calendar'!$AB$2103)=FALSE,"",IF((('Dvd Calendar'!$AB$2105=TYPE1)*(TYPE1&lt;&gt;"")+('Dvd Calendar'!$AB$2105=TYPE2)*(TYPE2&lt;&gt;"")+('Dvd Calendar'!$AB$2105=TYPE3)*(TYPE3&lt;&gt;"")+('Dvd Calendar'!$AB$2105=TYPE4)*(TYPE4&lt;&gt;"")+('Dvd Calendar'!$AB$2105=SPECIAL_LBL)*(INC_SPECIALS="Y"))=0,"",'Dvd Calendar'!$AB$2103)))</f>
        <v/>
      </c>
      <c r="AA209" s="161">
        <f>IF(FC209="","",IF(ISNUMBER('Dvd Calendar'!$AC$2103)=FALSE,"",IF((('Dvd Calendar'!$AC$2105=TYPE1)*(TYPE1&lt;&gt;"")+('Dvd Calendar'!$AC$2105=TYPE2)*(TYPE2&lt;&gt;"")+('Dvd Calendar'!$AC$2105=TYPE3)*(TYPE3&lt;&gt;"")+('Dvd Calendar'!$AC$2105=TYPE4)*(TYPE4&lt;&gt;"")+('Dvd Calendar'!$AC$2105=SPECIAL_LBL)*(INC_SPECIALS="Y"))=0,"",'Dvd Calendar'!$AC$2103)))</f>
        <v/>
      </c>
      <c r="AB209" s="161">
        <f>IF(FD209="","",IF(ISNUMBER('Dvd Calendar'!$AD$2103)=FALSE,"",IF((('Dvd Calendar'!$AD$2105=TYPE1)*(TYPE1&lt;&gt;"")+('Dvd Calendar'!$AD$2105=TYPE2)*(TYPE2&lt;&gt;"")+('Dvd Calendar'!$AD$2105=TYPE3)*(TYPE3&lt;&gt;"")+('Dvd Calendar'!$AD$2105=TYPE4)*(TYPE4&lt;&gt;"")+('Dvd Calendar'!$AD$2105=SPECIAL_LBL)*(INC_SPECIALS="Y"))=0,"",'Dvd Calendar'!$AD$2103)))</f>
        <v/>
      </c>
      <c r="AC209" s="161">
        <f>IF(FE209="","",IF(ISNUMBER('Dvd Calendar'!$AE$2103)=FALSE,"",IF((('Dvd Calendar'!$AE$2105=TYPE1)*(TYPE1&lt;&gt;"")+('Dvd Calendar'!$AE$2105=TYPE2)*(TYPE2&lt;&gt;"")+('Dvd Calendar'!$AE$2105=TYPE3)*(TYPE3&lt;&gt;"")+('Dvd Calendar'!$AE$2105=TYPE4)*(TYPE4&lt;&gt;"")+('Dvd Calendar'!$AE$2105=SPECIAL_LBL)*(INC_SPECIALS="Y"))=0,"",'Dvd Calendar'!$AE$2103)))</f>
        <v/>
      </c>
      <c r="AD209" s="161">
        <f>IF(FF209="","",IF(ISNUMBER('Dvd Calendar'!$AF$2103)=FALSE,"",IF((('Dvd Calendar'!$AF$2105=TYPE1)*(TYPE1&lt;&gt;"")+('Dvd Calendar'!$AF$2105=TYPE2)*(TYPE2&lt;&gt;"")+('Dvd Calendar'!$AF$2105=TYPE3)*(TYPE3&lt;&gt;"")+('Dvd Calendar'!$AF$2105=TYPE4)*(TYPE4&lt;&gt;"")+('Dvd Calendar'!$AF$2105=SPECIAL_LBL)*(INC_SPECIALS="Y"))=0,"",'Dvd Calendar'!$AF$2103)))</f>
        <v/>
      </c>
      <c r="AE209" s="161">
        <f>IF(FG209="","",IF(ISNUMBER('Dvd Calendar'!$AG$2103)=FALSE,"",IF((('Dvd Calendar'!$AG$2105=TYPE1)*(TYPE1&lt;&gt;"")+('Dvd Calendar'!$AG$2105=TYPE2)*(TYPE2&lt;&gt;"")+('Dvd Calendar'!$AG$2105=TYPE3)*(TYPE3&lt;&gt;"")+('Dvd Calendar'!$AG$2105=TYPE4)*(TYPE4&lt;&gt;"")+('Dvd Calendar'!$AG$2105=SPECIAL_LBL)*(INC_SPECIALS="Y"))=0,"",'Dvd Calendar'!$AG$2103)))</f>
        <v/>
      </c>
      <c r="AF209" s="161">
        <f>IF(FH209="","",IF(ISNUMBER('Dvd Calendar'!$AH$2103)=FALSE,"",IF((('Dvd Calendar'!$AH$2105=TYPE1)*(TYPE1&lt;&gt;"")+('Dvd Calendar'!$AH$2105=TYPE2)*(TYPE2&lt;&gt;"")+('Dvd Calendar'!$AH$2105=TYPE3)*(TYPE3&lt;&gt;"")+('Dvd Calendar'!$AH$2105=TYPE4)*(TYPE4&lt;&gt;"")+('Dvd Calendar'!$AH$2105=SPECIAL_LBL)*(INC_SPECIALS="Y"))=0,"",'Dvd Calendar'!$AH$2103)))</f>
        <v/>
      </c>
      <c r="AG209" s="161">
        <f>IF(FI209="","",IF(ISNUMBER('Dvd Calendar'!$AI$2103)=FALSE,"",IF((('Dvd Calendar'!$AI$2105=TYPE1)*(TYPE1&lt;&gt;"")+('Dvd Calendar'!$AI$2105=TYPE2)*(TYPE2&lt;&gt;"")+('Dvd Calendar'!$AI$2105=TYPE3)*(TYPE3&lt;&gt;"")+('Dvd Calendar'!$AI$2105=TYPE4)*(TYPE4&lt;&gt;"")+('Dvd Calendar'!$AI$2105=SPECIAL_LBL)*(INC_SPECIALS="Y"))=0,"",'Dvd Calendar'!$AI$2103)))</f>
        <v/>
      </c>
      <c r="AH209" s="161">
        <f>IF(FJ209="","",IF(ISNUMBER('Dvd Calendar'!$AJ$2103)=FALSE,"",IF((('Dvd Calendar'!$AJ$2105=TYPE1)*(TYPE1&lt;&gt;"")+('Dvd Calendar'!$AJ$2105=TYPE2)*(TYPE2&lt;&gt;"")+('Dvd Calendar'!$AJ$2105=TYPE3)*(TYPE3&lt;&gt;"")+('Dvd Calendar'!$AJ$2105=TYPE4)*(TYPE4&lt;&gt;"")+('Dvd Calendar'!$AJ$2105=SPECIAL_LBL)*(INC_SPECIALS="Y"))=0,"",'Dvd Calendar'!$AJ$2103)))</f>
        <v/>
      </c>
      <c r="AI209" s="161">
        <f>IF(FK209="","",IF(ISNUMBER('Dvd Calendar'!$AK$2103)=FALSE,"",IF((('Dvd Calendar'!$AK$2105=TYPE1)*(TYPE1&lt;&gt;"")+('Dvd Calendar'!$AK$2105=TYPE2)*(TYPE2&lt;&gt;"")+('Dvd Calendar'!$AK$2105=TYPE3)*(TYPE3&lt;&gt;"")+('Dvd Calendar'!$AK$2105=TYPE4)*(TYPE4&lt;&gt;"")+('Dvd Calendar'!$AK$2105=SPECIAL_LBL)*(INC_SPECIALS="Y"))=0,"",'Dvd Calendar'!$AK$2103)))</f>
        <v/>
      </c>
      <c r="AJ209" s="161">
        <f>IF(FL209="","",IF(ISNUMBER('Dvd Calendar'!$AL$2103)=FALSE,"",IF((('Dvd Calendar'!$AL$2105=TYPE1)*(TYPE1&lt;&gt;"")+('Dvd Calendar'!$AL$2105=TYPE2)*(TYPE2&lt;&gt;"")+('Dvd Calendar'!$AL$2105=TYPE3)*(TYPE3&lt;&gt;"")+('Dvd Calendar'!$AL$2105=TYPE4)*(TYPE4&lt;&gt;"")+('Dvd Calendar'!$AL$2105=SPECIAL_LBL)*(INC_SPECIALS="Y"))=0,"",'Dvd Calendar'!$AL$2103)))</f>
        <v/>
      </c>
      <c r="AK209" s="161">
        <f>IF(FM209="","",IF(ISNUMBER('Dvd Calendar'!$AM$2103)=FALSE,"",IF((('Dvd Calendar'!$AM$2105=TYPE1)*(TYPE1&lt;&gt;"")+('Dvd Calendar'!$AM$2105=TYPE2)*(TYPE2&lt;&gt;"")+('Dvd Calendar'!$AM$2105=TYPE3)*(TYPE3&lt;&gt;"")+('Dvd Calendar'!$AM$2105=TYPE4)*(TYPE4&lt;&gt;"")+('Dvd Calendar'!$AM$2105=SPECIAL_LBL)*(INC_SPECIALS="Y"))=0,"",'Dvd Calendar'!$AM$2103)))</f>
        <v/>
      </c>
      <c r="AL209" s="161">
        <f>IF(FN209="","",IF(ISNUMBER('Dvd Calendar'!$AN$2103)=FALSE,"",IF((('Dvd Calendar'!$AN$2105=TYPE1)*(TYPE1&lt;&gt;"")+('Dvd Calendar'!$AN$2105=TYPE2)*(TYPE2&lt;&gt;"")+('Dvd Calendar'!$AN$2105=TYPE3)*(TYPE3&lt;&gt;"")+('Dvd Calendar'!$AN$2105=TYPE4)*(TYPE4&lt;&gt;"")+('Dvd Calendar'!$AN$2105=SPECIAL_LBL)*(INC_SPECIALS="Y"))=0,"",'Dvd Calendar'!$AN$2103)))</f>
        <v/>
      </c>
      <c r="AM209" s="161">
        <f>IF(FO209="","",IF(ISNUMBER('Dvd Calendar'!$AO$2103)=FALSE,"",IF((('Dvd Calendar'!$AO$2105=TYPE1)*(TYPE1&lt;&gt;"")+('Dvd Calendar'!$AO$2105=TYPE2)*(TYPE2&lt;&gt;"")+('Dvd Calendar'!$AO$2105=TYPE3)*(TYPE3&lt;&gt;"")+('Dvd Calendar'!$AO$2105=TYPE4)*(TYPE4&lt;&gt;"")+('Dvd Calendar'!$AO$2105=SPECIAL_LBL)*(INC_SPECIALS="Y"))=0,"",'Dvd Calendar'!$AO$2103)))</f>
        <v/>
      </c>
      <c r="AN209" s="161">
        <f>IF(FP209="","",IF(ISNUMBER('Dvd Calendar'!$AP$2103)=FALSE,"",IF((('Dvd Calendar'!$AP$2105=TYPE1)*(TYPE1&lt;&gt;"")+('Dvd Calendar'!$AP$2105=TYPE2)*(TYPE2&lt;&gt;"")+('Dvd Calendar'!$AP$2105=TYPE3)*(TYPE3&lt;&gt;"")+('Dvd Calendar'!$AP$2105=TYPE4)*(TYPE4&lt;&gt;"")+('Dvd Calendar'!$AP$2105=SPECIAL_LBL)*(INC_SPECIALS="Y"))=0,"",'Dvd Calendar'!$AP$2103)))</f>
        <v/>
      </c>
      <c r="AO209" s="161">
        <f>IF(FQ209="","",IF(ISNUMBER('Dvd Calendar'!$AQ$2103)=FALSE,"",IF((('Dvd Calendar'!$AQ$2105=TYPE1)*(TYPE1&lt;&gt;"")+('Dvd Calendar'!$AQ$2105=TYPE2)*(TYPE2&lt;&gt;"")+('Dvd Calendar'!$AQ$2105=TYPE3)*(TYPE3&lt;&gt;"")+('Dvd Calendar'!$AQ$2105=TYPE4)*(TYPE4&lt;&gt;"")+('Dvd Calendar'!$AQ$2105=SPECIAL_LBL)*(INC_SPECIALS="Y"))=0,"",'Dvd Calendar'!$AQ$2103)))</f>
        <v/>
      </c>
      <c r="AP209" s="161">
        <f>IF(FR209="","",IF(ISNUMBER('Dvd Calendar'!$AR$2103)=FALSE,"",IF((('Dvd Calendar'!$AR$2105=TYPE1)*(TYPE1&lt;&gt;"")+('Dvd Calendar'!$AR$2105=TYPE2)*(TYPE2&lt;&gt;"")+('Dvd Calendar'!$AR$2105=TYPE3)*(TYPE3&lt;&gt;"")+('Dvd Calendar'!$AR$2105=TYPE4)*(TYPE4&lt;&gt;"")+('Dvd Calendar'!$AR$2105=SPECIAL_LBL)*(INC_SPECIALS="Y"))=0,"",'Dvd Calendar'!$AR$2103)))</f>
        <v/>
      </c>
      <c r="AQ209" s="161">
        <f>IF(FS209="","",IF(ISNUMBER('Dvd Calendar'!$E$2108)=FALSE,"",'Dvd Calendar'!$E$2108))</f>
        <v/>
      </c>
      <c r="AR209" s="161">
        <f>IF(FT209="","",IF(ISNUMBER('Dvd Calendar'!$F$2108)=FALSE,"",'Dvd Calendar'!$F$2108))</f>
        <v/>
      </c>
      <c r="AS209" s="161">
        <f>IF(FU209="","",IF(ISNUMBER('Dvd Calendar'!$G$2108)=FALSE,"",'Dvd Calendar'!$G$2108))</f>
        <v/>
      </c>
      <c r="AT209" s="161">
        <f>IF(FV209="","",IF(ISNUMBER('Dvd Calendar'!$H$2108)=FALSE,"",'Dvd Calendar'!$H$2108))</f>
        <v/>
      </c>
      <c r="AU209" s="161">
        <f>IF(FW209="","",IF(ISNUMBER('Dvd Calendar'!$I$2108)=FALSE,"",'Dvd Calendar'!$I$2108))</f>
        <v/>
      </c>
      <c r="AV209" s="161">
        <f>IF(FX209="","",IF(ISNUMBER('Dvd Calendar'!$J$2108)=FALSE,"",'Dvd Calendar'!$J$2108))</f>
        <v/>
      </c>
      <c r="AW209" s="161">
        <f>IF(FY209="","",IF(ISNUMBER('Dvd Calendar'!$K$2108)=FALSE,"",'Dvd Calendar'!$K$2108))</f>
        <v/>
      </c>
      <c r="AX209" s="161">
        <f>IF(FZ209="","",IF(ISNUMBER('Dvd Calendar'!$L$2108)=FALSE,"",'Dvd Calendar'!$L$2108))</f>
        <v/>
      </c>
      <c r="AY209" s="161">
        <f>IF(GA209="","",IF(ISNUMBER('Dvd Calendar'!$M$2108)=FALSE,"",'Dvd Calendar'!$M$2108))</f>
        <v/>
      </c>
      <c r="AZ209" s="161">
        <f>IF(GB209="","",IF(ISNUMBER('Dvd Calendar'!$N$2108)=FALSE,"",'Dvd Calendar'!$N$2108))</f>
        <v/>
      </c>
      <c r="BA209" s="161">
        <f>IF(GC209="","",IF(ISNUMBER('Dvd Calendar'!$O$2108)=FALSE,"",'Dvd Calendar'!$O$2108))</f>
        <v/>
      </c>
      <c r="BB209" s="161">
        <f>IF(GD209="","",IF(ISNUMBER('Dvd Calendar'!$P$2108)=FALSE,"",'Dvd Calendar'!$P$2108))</f>
        <v/>
      </c>
      <c r="BC209" s="161">
        <f>IF(GE209="","",IF(ISNUMBER('Dvd Calendar'!$Q$2108)=FALSE,"",'Dvd Calendar'!$Q$2108))</f>
        <v/>
      </c>
      <c r="BD209" s="161">
        <f>IF(GF209="","",IF(ISNUMBER('Dvd Calendar'!$R$2108)=FALSE,"",'Dvd Calendar'!$R$2108))</f>
        <v/>
      </c>
      <c r="BE209" s="161">
        <f>IF(GG209="","",IF(ISNUMBER('Dvd Calendar'!$S$2108)=FALSE,"",'Dvd Calendar'!$S$2108))</f>
        <v/>
      </c>
      <c r="BF209" s="161">
        <f>IF(GH209="","",IF(ISNUMBER('Dvd Calendar'!$T$2108)=FALSE,"",'Dvd Calendar'!$T$2108))</f>
        <v/>
      </c>
      <c r="BG209" s="161">
        <f>IF(GI209="","",IF(ISNUMBER('Dvd Calendar'!$U$2108)=FALSE,"",'Dvd Calendar'!$U$2108))</f>
        <v/>
      </c>
      <c r="BH209" s="161">
        <f>IF(GJ209="","",IF(ISNUMBER('Dvd Calendar'!$V$2108)=FALSE,"",'Dvd Calendar'!$V$2108))</f>
        <v/>
      </c>
      <c r="BI209" s="161">
        <f>IF(GK209="","",IF(ISNUMBER('Dvd Calendar'!$W$2108)=FALSE,"",'Dvd Calendar'!$W$2108))</f>
        <v/>
      </c>
      <c r="BJ209" s="161">
        <f>IF(GL209="","",IF(ISNUMBER('Dvd Calendar'!$X$2108)=FALSE,"",'Dvd Calendar'!$X$2108))</f>
        <v/>
      </c>
      <c r="BK209" s="161">
        <f>IF(GM209="","",IF(ISNUMBER('Dvd Calendar'!$Y$2108)=FALSE,"",'Dvd Calendar'!$Y$2108))</f>
        <v/>
      </c>
      <c r="BL209" s="161">
        <f>IF(GN209="","",IF(ISNUMBER('Dvd Calendar'!$Z$2108)=FALSE,"",'Dvd Calendar'!$Z$2108))</f>
        <v/>
      </c>
      <c r="BM209" s="161">
        <f>IF(GO209="","",IF(ISNUMBER('Dvd Calendar'!$AA$2108)=FALSE,"",'Dvd Calendar'!$AA$2108))</f>
        <v/>
      </c>
      <c r="BN209" s="161">
        <f>IF(GP209="","",IF(ISNUMBER('Dvd Calendar'!$AB$2108)=FALSE,"",'Dvd Calendar'!$AB$2108))</f>
        <v/>
      </c>
      <c r="BO209" s="161">
        <f>IF(GQ209="","",IF(ISNUMBER('Dvd Calendar'!$AC$2108)=FALSE,"",'Dvd Calendar'!$AC$2108))</f>
        <v/>
      </c>
      <c r="BQ209" s="161">
        <f>IF(C209="","",IFERROR(C209*HSCEI!$B$56*HSCEI!$G$56/HSCEI!$B$3,""))</f>
        <v/>
      </c>
      <c r="BR209" s="161">
        <f>IF(D209="","",IFERROR(D209*HSCEI!$B$56*HSCEI!$G$56/HSCEI!$B$3,""))</f>
        <v/>
      </c>
      <c r="BS209" s="161">
        <f>IF(E209="","",IFERROR(E209*HSCEI!$B$56*HSCEI!$G$56/HSCEI!$B$3,""))</f>
        <v/>
      </c>
      <c r="BT209" s="161">
        <f>IF(F209="","",IFERROR(F209*HSCEI!$B$56*HSCEI!$G$56/HSCEI!$B$3,""))</f>
        <v/>
      </c>
      <c r="BU209" s="161">
        <f>IF(G209="","",IFERROR(G209*HSCEI!$B$56*HSCEI!$G$56/HSCEI!$B$3,""))</f>
        <v/>
      </c>
      <c r="BV209" s="161">
        <f>IF(H209="","",IFERROR(H209*HSCEI!$B$56*HSCEI!$G$56/HSCEI!$B$3,""))</f>
        <v/>
      </c>
      <c r="BW209" s="161">
        <f>IF(I209="","",IFERROR(I209*HSCEI!$B$56*HSCEI!$G$56/HSCEI!$B$3,""))</f>
        <v/>
      </c>
      <c r="BX209" s="161">
        <f>IF(J209="","",IFERROR(J209*HSCEI!$B$56*HSCEI!$G$56/HSCEI!$B$3,""))</f>
        <v/>
      </c>
      <c r="BY209" s="161">
        <f>IF(K209="","",IFERROR(K209*HSCEI!$B$56*HSCEI!$G$56/HSCEI!$B$3,""))</f>
        <v/>
      </c>
      <c r="BZ209" s="161">
        <f>IF(L209="","",IFERROR(L209*HSCEI!$B$56*HSCEI!$G$56/HSCEI!$B$3,""))</f>
        <v/>
      </c>
      <c r="CA209" s="161">
        <f>IF(M209="","",IFERROR(M209*HSCEI!$B$56*HSCEI!$G$56/HSCEI!$B$3,""))</f>
        <v/>
      </c>
      <c r="CB209" s="161">
        <f>IF(N209="","",IFERROR(N209*HSCEI!$B$56*HSCEI!$G$56/HSCEI!$B$3,""))</f>
        <v/>
      </c>
      <c r="CC209" s="161">
        <f>IF(O209="","",IFERROR(O209*HSCEI!$B$56*HSCEI!$G$56/HSCEI!$B$3,""))</f>
        <v/>
      </c>
      <c r="CD209" s="161">
        <f>IF(P209="","",IFERROR(P209*HSCEI!$B$56*HSCEI!$G$56/HSCEI!$B$3,""))</f>
        <v/>
      </c>
      <c r="CE209" s="161">
        <f>IF(Q209="","",IFERROR(Q209*HSCEI!$B$56*HSCEI!$G$56/HSCEI!$B$3,""))</f>
        <v/>
      </c>
      <c r="CF209" s="161">
        <f>IF(R209="","",IFERROR(R209*HSCEI!$B$56*HSCEI!$G$56/HSCEI!$B$3,""))</f>
        <v/>
      </c>
      <c r="CG209" s="161">
        <f>IF(S209="","",IFERROR(S209*HSCEI!$B$56*HSCEI!$G$56/HSCEI!$B$3,""))</f>
        <v/>
      </c>
      <c r="CH209" s="161">
        <f>IF(T209="","",IFERROR(T209*HSCEI!$B$56*HSCEI!$G$56/HSCEI!$B$3,""))</f>
        <v/>
      </c>
      <c r="CI209" s="161">
        <f>IF(U209="","",IFERROR(U209*HSCEI!$B$56*HSCEI!$G$56/HSCEI!$B$3,""))</f>
        <v/>
      </c>
      <c r="CJ209" s="161">
        <f>IF(V209="","",IFERROR(V209*HSCEI!$B$56*HSCEI!$G$56/HSCEI!$B$3,""))</f>
        <v/>
      </c>
      <c r="CK209" s="161">
        <f>IF(W209="","",IFERROR(W209*HSCEI!$B$56*HSCEI!$G$56/HSCEI!$B$3,""))</f>
        <v/>
      </c>
      <c r="CL209" s="161">
        <f>IF(X209="","",IFERROR(X209*HSCEI!$B$56*HSCEI!$G$56/HSCEI!$B$3,""))</f>
        <v/>
      </c>
      <c r="CM209" s="161">
        <f>IF(Y209="","",IFERROR(Y209*HSCEI!$B$56*HSCEI!$G$56/HSCEI!$B$3,""))</f>
        <v/>
      </c>
      <c r="CN209" s="161">
        <f>IF(Z209="","",IFERROR(Z209*HSCEI!$B$56*HSCEI!$G$56/HSCEI!$B$3,""))</f>
        <v/>
      </c>
      <c r="CO209" s="161">
        <f>IF(AA209="","",IFERROR(AA209*HSCEI!$B$56*HSCEI!$G$56/HSCEI!$B$3,""))</f>
        <v/>
      </c>
      <c r="CP209" s="161">
        <f>IF(AB209="","",IFERROR(AB209*HSCEI!$B$56*HSCEI!$G$56/HSCEI!$B$3,""))</f>
        <v/>
      </c>
      <c r="CQ209" s="161">
        <f>IF(AC209="","",IFERROR(AC209*HSCEI!$B$56*HSCEI!$G$56/HSCEI!$B$3,""))</f>
        <v/>
      </c>
      <c r="CR209" s="161">
        <f>IF(AD209="","",IFERROR(AD209*HSCEI!$B$56*HSCEI!$G$56/HSCEI!$B$3,""))</f>
        <v/>
      </c>
      <c r="CS209" s="161">
        <f>IF(AE209="","",IFERROR(AE209*HSCEI!$B$56*HSCEI!$G$56/HSCEI!$B$3,""))</f>
        <v/>
      </c>
      <c r="CT209" s="161">
        <f>IF(AF209="","",IFERROR(AF209*HSCEI!$B$56*HSCEI!$G$56/HSCEI!$B$3,""))</f>
        <v/>
      </c>
      <c r="CU209" s="161">
        <f>IF(AG209="","",IFERROR(AG209*HSCEI!$B$56*HSCEI!$G$56/HSCEI!$B$3,""))</f>
        <v/>
      </c>
      <c r="CV209" s="161">
        <f>IF(AH209="","",IFERROR(AH209*HSCEI!$B$56*HSCEI!$G$56/HSCEI!$B$3,""))</f>
        <v/>
      </c>
      <c r="CW209" s="161">
        <f>IF(AI209="","",IFERROR(AI209*HSCEI!$B$56*HSCEI!$G$56/HSCEI!$B$3,""))</f>
        <v/>
      </c>
      <c r="CX209" s="161">
        <f>IF(AJ209="","",IFERROR(AJ209*HSCEI!$B$56*HSCEI!$G$56/HSCEI!$B$3,""))</f>
        <v/>
      </c>
      <c r="CY209" s="161">
        <f>IF(AK209="","",IFERROR(AK209*HSCEI!$B$56*HSCEI!$G$56/HSCEI!$B$3,""))</f>
        <v/>
      </c>
      <c r="CZ209" s="161">
        <f>IF(AL209="","",IFERROR(AL209*HSCEI!$B$56*HSCEI!$G$56/HSCEI!$B$3,""))</f>
        <v/>
      </c>
      <c r="DA209" s="161">
        <f>IF(AM209="","",IFERROR(AM209*HSCEI!$B$56*HSCEI!$G$56/HSCEI!$B$3,""))</f>
        <v/>
      </c>
      <c r="DB209" s="161">
        <f>IF(AN209="","",IFERROR(AN209*HSCEI!$B$56*HSCEI!$G$56/HSCEI!$B$3,""))</f>
        <v/>
      </c>
      <c r="DC209" s="161">
        <f>IF(AO209="","",IFERROR(AO209*HSCEI!$B$56*HSCEI!$G$56/HSCEI!$B$3,""))</f>
        <v/>
      </c>
      <c r="DD209" s="161">
        <f>IF(AP209="","",IFERROR(AP209*HSCEI!$B$56*HSCEI!$G$56/HSCEI!$B$3,""))</f>
        <v/>
      </c>
      <c r="DE209" s="161">
        <f>IF(AQ209="","",IFERROR(AQ209*HSCEI!$B$56*HSCEI!$G$56/HSCEI!$B$3,""))</f>
        <v/>
      </c>
      <c r="DF209" s="161">
        <f>IF(AR209="","",IFERROR(AR209*HSCEI!$B$56*HSCEI!$G$56/HSCEI!$B$3,""))</f>
        <v/>
      </c>
      <c r="DG209" s="161">
        <f>IF(AS209="","",IFERROR(AS209*HSCEI!$B$56*HSCEI!$G$56/HSCEI!$B$3,""))</f>
        <v/>
      </c>
      <c r="DH209" s="161">
        <f>IF(AT209="","",IFERROR(AT209*HSCEI!$B$56*HSCEI!$G$56/HSCEI!$B$3,""))</f>
        <v/>
      </c>
      <c r="DI209" s="161">
        <f>IF(AU209="","",IFERROR(AU209*HSCEI!$B$56*HSCEI!$G$56/HSCEI!$B$3,""))</f>
        <v/>
      </c>
      <c r="DJ209" s="161">
        <f>IF(AV209="","",IFERROR(AV209*HSCEI!$B$56*HSCEI!$G$56/HSCEI!$B$3,""))</f>
        <v/>
      </c>
      <c r="DK209" s="161">
        <f>IF(AW209="","",IFERROR(AW209*HSCEI!$B$56*HSCEI!$G$56/HSCEI!$B$3,""))</f>
        <v/>
      </c>
      <c r="DL209" s="161">
        <f>IF(AX209="","",IFERROR(AX209*HSCEI!$B$56*HSCEI!$G$56/HSCEI!$B$3,""))</f>
        <v/>
      </c>
      <c r="DM209" s="161">
        <f>IF(AY209="","",IFERROR(AY209*HSCEI!$B$56*HSCEI!$G$56/HSCEI!$B$3,""))</f>
        <v/>
      </c>
      <c r="DN209" s="161">
        <f>IF(AZ209="","",IFERROR(AZ209*HSCEI!$B$56*HSCEI!$G$56/HSCEI!$B$3,""))</f>
        <v/>
      </c>
      <c r="DO209" s="161">
        <f>IF(BA209="","",IFERROR(BA209*HSCEI!$B$56*HSCEI!$G$56/HSCEI!$B$3,""))</f>
        <v/>
      </c>
      <c r="DP209" s="161">
        <f>IF(BB209="","",IFERROR(BB209*HSCEI!$B$56*HSCEI!$G$56/HSCEI!$B$3,""))</f>
        <v/>
      </c>
      <c r="DQ209" s="161">
        <f>IF(BC209="","",IFERROR(BC209*HSCEI!$B$56*HSCEI!$G$56/HSCEI!$B$3,""))</f>
        <v/>
      </c>
      <c r="DR209" s="161">
        <f>IF(BD209="","",IFERROR(BD209*HSCEI!$B$56*HSCEI!$G$56/HSCEI!$B$3,""))</f>
        <v/>
      </c>
      <c r="DS209" s="161">
        <f>IF(BE209="","",IFERROR(BE209*HSCEI!$B$56*HSCEI!$G$56/HSCEI!$B$3,""))</f>
        <v/>
      </c>
      <c r="DT209" s="161">
        <f>IF(BF209="","",IFERROR(BF209*HSCEI!$B$56*HSCEI!$G$56/HSCEI!$B$3,""))</f>
        <v/>
      </c>
      <c r="DU209" s="161">
        <f>IF(BG209="","",IFERROR(BG209*HSCEI!$B$56*HSCEI!$G$56/HSCEI!$B$3,""))</f>
        <v/>
      </c>
      <c r="DV209" s="161">
        <f>IF(BH209="","",IFERROR(BH209*HSCEI!$B$56*HSCEI!$G$56/HSCEI!$B$3,""))</f>
        <v/>
      </c>
      <c r="DW209" s="161">
        <f>IF(BI209="","",IFERROR(BI209*HSCEI!$B$56*HSCEI!$G$56/HSCEI!$B$3,""))</f>
        <v/>
      </c>
      <c r="DX209" s="161">
        <f>IF(BJ209="","",IFERROR(BJ209*HSCEI!$B$56*HSCEI!$G$56/HSCEI!$B$3,""))</f>
        <v/>
      </c>
      <c r="DY209" s="161">
        <f>IF(BK209="","",IFERROR(BK209*HSCEI!$B$56*HSCEI!$G$56/HSCEI!$B$3,""))</f>
        <v/>
      </c>
      <c r="DZ209" s="161">
        <f>IF(BL209="","",IFERROR(BL209*HSCEI!$B$56*HSCEI!$G$56/HSCEI!$B$3,""))</f>
        <v/>
      </c>
      <c r="EA209" s="161">
        <f>IF(BM209="","",IFERROR(BM209*HSCEI!$B$56*HSCEI!$G$56/HSCEI!$B$3,""))</f>
        <v/>
      </c>
      <c r="EB209" s="161">
        <f>IF(BN209="","",IFERROR(BN209*HSCEI!$B$56*HSCEI!$G$56/HSCEI!$B$3,""))</f>
        <v/>
      </c>
      <c r="EC209" s="161">
        <f>IF(BO209="","",IFERROR(BO209*HSCEI!$B$56*HSCEI!$G$56/HSCEI!$B$3,""))</f>
        <v/>
      </c>
      <c r="EE209" s="121">
        <f>IF(N('Dvd Calendar'!$E$2100)=0,"",IF(('Dvd Calendar'!$E$2100&gt;=GRID_FROM)*('Dvd Calendar'!$E$2100&lt;=GRID_TO)*((('Dvd Calendar'!$E$2100&lt;=VAL_DATE)+(COUNTIF('Dvd Calendar'!$E$2107:$AR$2107,'Dvd Calendar'!$E$2100)=0))&gt;0)=0,"",'Dvd Calendar'!$E$2100*1000000000+ISNUMBER('Dvd Calendar'!$E$2103)*100000000+('Dvd Calendar'!$E$2105=SPECIAL_LBL)*10000000+(N('Dvd Calendar'!$E$2099)&gt;0)*(N('Dvd Calendar'!$E$2099)&lt;=VAL_SERIAL)*1000000+50*1000+1))</f>
        <v/>
      </c>
      <c r="EF209" s="121">
        <f>IF(N('Dvd Calendar'!$F$2100)=0,"",IF(('Dvd Calendar'!$F$2100&gt;=GRID_FROM)*('Dvd Calendar'!$F$2100&lt;=GRID_TO)*((('Dvd Calendar'!$F$2100&lt;=VAL_DATE)+(COUNTIF('Dvd Calendar'!$E$2107:$AR$2107,'Dvd Calendar'!$F$2100)=0))&gt;0)=0,"",'Dvd Calendar'!$F$2100*1000000000+ISNUMBER('Dvd Calendar'!$F$2103)*100000000+('Dvd Calendar'!$F$2105=SPECIAL_LBL)*10000000+(N('Dvd Calendar'!$F$2099)&gt;0)*(N('Dvd Calendar'!$F$2099)&lt;=VAL_SERIAL)*1000000+50*1000+2))</f>
        <v/>
      </c>
      <c r="EG209" s="121">
        <f>IF(N('Dvd Calendar'!$G$2100)=0,"",IF(('Dvd Calendar'!$G$2100&gt;=GRID_FROM)*('Dvd Calendar'!$G$2100&lt;=GRID_TO)*((('Dvd Calendar'!$G$2100&lt;=VAL_DATE)+(COUNTIF('Dvd Calendar'!$E$2107:$AR$2107,'Dvd Calendar'!$G$2100)=0))&gt;0)=0,"",'Dvd Calendar'!$G$2100*1000000000+ISNUMBER('Dvd Calendar'!$G$2103)*100000000+('Dvd Calendar'!$G$2105=SPECIAL_LBL)*10000000+(N('Dvd Calendar'!$G$2099)&gt;0)*(N('Dvd Calendar'!$G$2099)&lt;=VAL_SERIAL)*1000000+50*1000+3))</f>
        <v/>
      </c>
      <c r="EH209" s="121">
        <f>IF(N('Dvd Calendar'!$H$2100)=0,"",IF(('Dvd Calendar'!$H$2100&gt;=GRID_FROM)*('Dvd Calendar'!$H$2100&lt;=GRID_TO)*((('Dvd Calendar'!$H$2100&lt;=VAL_DATE)+(COUNTIF('Dvd Calendar'!$E$2107:$AR$2107,'Dvd Calendar'!$H$2100)=0))&gt;0)=0,"",'Dvd Calendar'!$H$2100*1000000000+ISNUMBER('Dvd Calendar'!$H$2103)*100000000+('Dvd Calendar'!$H$2105=SPECIAL_LBL)*10000000+(N('Dvd Calendar'!$H$2099)&gt;0)*(N('Dvd Calendar'!$H$2099)&lt;=VAL_SERIAL)*1000000+50*1000+4))</f>
        <v/>
      </c>
      <c r="EI209" s="121">
        <f>IF(N('Dvd Calendar'!$I$2100)=0,"",IF(('Dvd Calendar'!$I$2100&gt;=GRID_FROM)*('Dvd Calendar'!$I$2100&lt;=GRID_TO)*((('Dvd Calendar'!$I$2100&lt;=VAL_DATE)+(COUNTIF('Dvd Calendar'!$E$2107:$AR$2107,'Dvd Calendar'!$I$2100)=0))&gt;0)=0,"",'Dvd Calendar'!$I$2100*1000000000+ISNUMBER('Dvd Calendar'!$I$2103)*100000000+('Dvd Calendar'!$I$2105=SPECIAL_LBL)*10000000+(N('Dvd Calendar'!$I$2099)&gt;0)*(N('Dvd Calendar'!$I$2099)&lt;=VAL_SERIAL)*1000000+50*1000+5))</f>
        <v/>
      </c>
      <c r="EJ209" s="121">
        <f>IF(N('Dvd Calendar'!$J$2100)=0,"",IF(('Dvd Calendar'!$J$2100&gt;=GRID_FROM)*('Dvd Calendar'!$J$2100&lt;=GRID_TO)*((('Dvd Calendar'!$J$2100&lt;=VAL_DATE)+(COUNTIF('Dvd Calendar'!$E$2107:$AR$2107,'Dvd Calendar'!$J$2100)=0))&gt;0)=0,"",'Dvd Calendar'!$J$2100*1000000000+ISNUMBER('Dvd Calendar'!$J$2103)*100000000+('Dvd Calendar'!$J$2105=SPECIAL_LBL)*10000000+(N('Dvd Calendar'!$J$2099)&gt;0)*(N('Dvd Calendar'!$J$2099)&lt;=VAL_SERIAL)*1000000+50*1000+6))</f>
        <v/>
      </c>
      <c r="EK209" s="121">
        <f>IF(N('Dvd Calendar'!$K$2100)=0,"",IF(('Dvd Calendar'!$K$2100&gt;=GRID_FROM)*('Dvd Calendar'!$K$2100&lt;=GRID_TO)*((('Dvd Calendar'!$K$2100&lt;=VAL_DATE)+(COUNTIF('Dvd Calendar'!$E$2107:$AR$2107,'Dvd Calendar'!$K$2100)=0))&gt;0)=0,"",'Dvd Calendar'!$K$2100*1000000000+ISNUMBER('Dvd Calendar'!$K$2103)*100000000+('Dvd Calendar'!$K$2105=SPECIAL_LBL)*10000000+(N('Dvd Calendar'!$K$2099)&gt;0)*(N('Dvd Calendar'!$K$2099)&lt;=VAL_SERIAL)*1000000+50*1000+7))</f>
        <v/>
      </c>
      <c r="EL209" s="121">
        <f>IF(N('Dvd Calendar'!$L$2100)=0,"",IF(('Dvd Calendar'!$L$2100&gt;=GRID_FROM)*('Dvd Calendar'!$L$2100&lt;=GRID_TO)*((('Dvd Calendar'!$L$2100&lt;=VAL_DATE)+(COUNTIF('Dvd Calendar'!$E$2107:$AR$2107,'Dvd Calendar'!$L$2100)=0))&gt;0)=0,"",'Dvd Calendar'!$L$2100*1000000000+ISNUMBER('Dvd Calendar'!$L$2103)*100000000+('Dvd Calendar'!$L$2105=SPECIAL_LBL)*10000000+(N('Dvd Calendar'!$L$2099)&gt;0)*(N('Dvd Calendar'!$L$2099)&lt;=VAL_SERIAL)*1000000+50*1000+8))</f>
        <v/>
      </c>
      <c r="EM209" s="121">
        <f>IF(N('Dvd Calendar'!$M$2100)=0,"",IF(('Dvd Calendar'!$M$2100&gt;=GRID_FROM)*('Dvd Calendar'!$M$2100&lt;=GRID_TO)*((('Dvd Calendar'!$M$2100&lt;=VAL_DATE)+(COUNTIF('Dvd Calendar'!$E$2107:$AR$2107,'Dvd Calendar'!$M$2100)=0))&gt;0)=0,"",'Dvd Calendar'!$M$2100*1000000000+ISNUMBER('Dvd Calendar'!$M$2103)*100000000+('Dvd Calendar'!$M$2105=SPECIAL_LBL)*10000000+(N('Dvd Calendar'!$M$2099)&gt;0)*(N('Dvd Calendar'!$M$2099)&lt;=VAL_SERIAL)*1000000+50*1000+9))</f>
        <v/>
      </c>
      <c r="EN209" s="121">
        <f>IF(N('Dvd Calendar'!$N$2100)=0,"",IF(('Dvd Calendar'!$N$2100&gt;=GRID_FROM)*('Dvd Calendar'!$N$2100&lt;=GRID_TO)*((('Dvd Calendar'!$N$2100&lt;=VAL_DATE)+(COUNTIF('Dvd Calendar'!$E$2107:$AR$2107,'Dvd Calendar'!$N$2100)=0))&gt;0)=0,"",'Dvd Calendar'!$N$2100*1000000000+ISNUMBER('Dvd Calendar'!$N$2103)*100000000+('Dvd Calendar'!$N$2105=SPECIAL_LBL)*10000000+(N('Dvd Calendar'!$N$2099)&gt;0)*(N('Dvd Calendar'!$N$2099)&lt;=VAL_SERIAL)*1000000+50*1000+10))</f>
        <v/>
      </c>
      <c r="EO209" s="121">
        <f>IF(N('Dvd Calendar'!$O$2100)=0,"",IF(('Dvd Calendar'!$O$2100&gt;=GRID_FROM)*('Dvd Calendar'!$O$2100&lt;=GRID_TO)*((('Dvd Calendar'!$O$2100&lt;=VAL_DATE)+(COUNTIF('Dvd Calendar'!$E$2107:$AR$2107,'Dvd Calendar'!$O$2100)=0))&gt;0)=0,"",'Dvd Calendar'!$O$2100*1000000000+ISNUMBER('Dvd Calendar'!$O$2103)*100000000+('Dvd Calendar'!$O$2105=SPECIAL_LBL)*10000000+(N('Dvd Calendar'!$O$2099)&gt;0)*(N('Dvd Calendar'!$O$2099)&lt;=VAL_SERIAL)*1000000+50*1000+11))</f>
        <v/>
      </c>
      <c r="EP209" s="121">
        <f>IF(N('Dvd Calendar'!$P$2100)=0,"",IF(('Dvd Calendar'!$P$2100&gt;=GRID_FROM)*('Dvd Calendar'!$P$2100&lt;=GRID_TO)*((('Dvd Calendar'!$P$2100&lt;=VAL_DATE)+(COUNTIF('Dvd Calendar'!$E$2107:$AR$2107,'Dvd Calendar'!$P$2100)=0))&gt;0)=0,"",'Dvd Calendar'!$P$2100*1000000000+ISNUMBER('Dvd Calendar'!$P$2103)*100000000+('Dvd Calendar'!$P$2105=SPECIAL_LBL)*10000000+(N('Dvd Calendar'!$P$2099)&gt;0)*(N('Dvd Calendar'!$P$2099)&lt;=VAL_SERIAL)*1000000+50*1000+12))</f>
        <v/>
      </c>
      <c r="EQ209" s="121">
        <f>IF(N('Dvd Calendar'!$Q$2100)=0,"",IF(('Dvd Calendar'!$Q$2100&gt;=GRID_FROM)*('Dvd Calendar'!$Q$2100&lt;=GRID_TO)*((('Dvd Calendar'!$Q$2100&lt;=VAL_DATE)+(COUNTIF('Dvd Calendar'!$E$2107:$AR$2107,'Dvd Calendar'!$Q$2100)=0))&gt;0)=0,"",'Dvd Calendar'!$Q$2100*1000000000+ISNUMBER('Dvd Calendar'!$Q$2103)*100000000+('Dvd Calendar'!$Q$2105=SPECIAL_LBL)*10000000+(N('Dvd Calendar'!$Q$2099)&gt;0)*(N('Dvd Calendar'!$Q$2099)&lt;=VAL_SERIAL)*1000000+50*1000+13))</f>
        <v/>
      </c>
      <c r="ER209" s="121">
        <f>IF(N('Dvd Calendar'!$R$2100)=0,"",IF(('Dvd Calendar'!$R$2100&gt;=GRID_FROM)*('Dvd Calendar'!$R$2100&lt;=GRID_TO)*((('Dvd Calendar'!$R$2100&lt;=VAL_DATE)+(COUNTIF('Dvd Calendar'!$E$2107:$AR$2107,'Dvd Calendar'!$R$2100)=0))&gt;0)=0,"",'Dvd Calendar'!$R$2100*1000000000+ISNUMBER('Dvd Calendar'!$R$2103)*100000000+('Dvd Calendar'!$R$2105=SPECIAL_LBL)*10000000+(N('Dvd Calendar'!$R$2099)&gt;0)*(N('Dvd Calendar'!$R$2099)&lt;=VAL_SERIAL)*1000000+50*1000+14))</f>
        <v/>
      </c>
      <c r="ES209" s="121">
        <f>IF(N('Dvd Calendar'!$S$2100)=0,"",IF(('Dvd Calendar'!$S$2100&gt;=GRID_FROM)*('Dvd Calendar'!$S$2100&lt;=GRID_TO)*((('Dvd Calendar'!$S$2100&lt;=VAL_DATE)+(COUNTIF('Dvd Calendar'!$E$2107:$AR$2107,'Dvd Calendar'!$S$2100)=0))&gt;0)=0,"",'Dvd Calendar'!$S$2100*1000000000+ISNUMBER('Dvd Calendar'!$S$2103)*100000000+('Dvd Calendar'!$S$2105=SPECIAL_LBL)*10000000+(N('Dvd Calendar'!$S$2099)&gt;0)*(N('Dvd Calendar'!$S$2099)&lt;=VAL_SERIAL)*1000000+50*1000+15))</f>
        <v/>
      </c>
      <c r="ET209" s="121">
        <f>IF(N('Dvd Calendar'!$T$2100)=0,"",IF(('Dvd Calendar'!$T$2100&gt;=GRID_FROM)*('Dvd Calendar'!$T$2100&lt;=GRID_TO)*((('Dvd Calendar'!$T$2100&lt;=VAL_DATE)+(COUNTIF('Dvd Calendar'!$E$2107:$AR$2107,'Dvd Calendar'!$T$2100)=0))&gt;0)=0,"",'Dvd Calendar'!$T$2100*1000000000+ISNUMBER('Dvd Calendar'!$T$2103)*100000000+('Dvd Calendar'!$T$2105=SPECIAL_LBL)*10000000+(N('Dvd Calendar'!$T$2099)&gt;0)*(N('Dvd Calendar'!$T$2099)&lt;=VAL_SERIAL)*1000000+50*1000+16))</f>
        <v/>
      </c>
      <c r="EU209" s="121">
        <f>IF(N('Dvd Calendar'!$U$2100)=0,"",IF(('Dvd Calendar'!$U$2100&gt;=GRID_FROM)*('Dvd Calendar'!$U$2100&lt;=GRID_TO)*((('Dvd Calendar'!$U$2100&lt;=VAL_DATE)+(COUNTIF('Dvd Calendar'!$E$2107:$AR$2107,'Dvd Calendar'!$U$2100)=0))&gt;0)=0,"",'Dvd Calendar'!$U$2100*1000000000+ISNUMBER('Dvd Calendar'!$U$2103)*100000000+('Dvd Calendar'!$U$2105=SPECIAL_LBL)*10000000+(N('Dvd Calendar'!$U$2099)&gt;0)*(N('Dvd Calendar'!$U$2099)&lt;=VAL_SERIAL)*1000000+50*1000+17))</f>
        <v/>
      </c>
      <c r="EV209" s="121">
        <f>IF(N('Dvd Calendar'!$V$2100)=0,"",IF(('Dvd Calendar'!$V$2100&gt;=GRID_FROM)*('Dvd Calendar'!$V$2100&lt;=GRID_TO)*((('Dvd Calendar'!$V$2100&lt;=VAL_DATE)+(COUNTIF('Dvd Calendar'!$E$2107:$AR$2107,'Dvd Calendar'!$V$2100)=0))&gt;0)=0,"",'Dvd Calendar'!$V$2100*1000000000+ISNUMBER('Dvd Calendar'!$V$2103)*100000000+('Dvd Calendar'!$V$2105=SPECIAL_LBL)*10000000+(N('Dvd Calendar'!$V$2099)&gt;0)*(N('Dvd Calendar'!$V$2099)&lt;=VAL_SERIAL)*1000000+50*1000+18))</f>
        <v/>
      </c>
      <c r="EW209" s="121">
        <f>IF(N('Dvd Calendar'!$W$2100)=0,"",IF(('Dvd Calendar'!$W$2100&gt;=GRID_FROM)*('Dvd Calendar'!$W$2100&lt;=GRID_TO)*((('Dvd Calendar'!$W$2100&lt;=VAL_DATE)+(COUNTIF('Dvd Calendar'!$E$2107:$AR$2107,'Dvd Calendar'!$W$2100)=0))&gt;0)=0,"",'Dvd Calendar'!$W$2100*1000000000+ISNUMBER('Dvd Calendar'!$W$2103)*100000000+('Dvd Calendar'!$W$2105=SPECIAL_LBL)*10000000+(N('Dvd Calendar'!$W$2099)&gt;0)*(N('Dvd Calendar'!$W$2099)&lt;=VAL_SERIAL)*1000000+50*1000+19))</f>
        <v/>
      </c>
      <c r="EX209" s="121">
        <f>IF(N('Dvd Calendar'!$X$2100)=0,"",IF(('Dvd Calendar'!$X$2100&gt;=GRID_FROM)*('Dvd Calendar'!$X$2100&lt;=GRID_TO)*((('Dvd Calendar'!$X$2100&lt;=VAL_DATE)+(COUNTIF('Dvd Calendar'!$E$2107:$AR$2107,'Dvd Calendar'!$X$2100)=0))&gt;0)=0,"",'Dvd Calendar'!$X$2100*1000000000+ISNUMBER('Dvd Calendar'!$X$2103)*100000000+('Dvd Calendar'!$X$2105=SPECIAL_LBL)*10000000+(N('Dvd Calendar'!$X$2099)&gt;0)*(N('Dvd Calendar'!$X$2099)&lt;=VAL_SERIAL)*1000000+50*1000+20))</f>
        <v/>
      </c>
      <c r="EY209" s="121">
        <f>IF(N('Dvd Calendar'!$Y$2100)=0,"",IF(('Dvd Calendar'!$Y$2100&gt;=GRID_FROM)*('Dvd Calendar'!$Y$2100&lt;=GRID_TO)*((('Dvd Calendar'!$Y$2100&lt;=VAL_DATE)+(COUNTIF('Dvd Calendar'!$E$2107:$AR$2107,'Dvd Calendar'!$Y$2100)=0))&gt;0)=0,"",'Dvd Calendar'!$Y$2100*1000000000+ISNUMBER('Dvd Calendar'!$Y$2103)*100000000+('Dvd Calendar'!$Y$2105=SPECIAL_LBL)*10000000+(N('Dvd Calendar'!$Y$2099)&gt;0)*(N('Dvd Calendar'!$Y$2099)&lt;=VAL_SERIAL)*1000000+50*1000+21))</f>
        <v/>
      </c>
      <c r="EZ209" s="121">
        <f>IF(N('Dvd Calendar'!$Z$2100)=0,"",IF(('Dvd Calendar'!$Z$2100&gt;=GRID_FROM)*('Dvd Calendar'!$Z$2100&lt;=GRID_TO)*((('Dvd Calendar'!$Z$2100&lt;=VAL_DATE)+(COUNTIF('Dvd Calendar'!$E$2107:$AR$2107,'Dvd Calendar'!$Z$2100)=0))&gt;0)=0,"",'Dvd Calendar'!$Z$2100*1000000000+ISNUMBER('Dvd Calendar'!$Z$2103)*100000000+('Dvd Calendar'!$Z$2105=SPECIAL_LBL)*10000000+(N('Dvd Calendar'!$Z$2099)&gt;0)*(N('Dvd Calendar'!$Z$2099)&lt;=VAL_SERIAL)*1000000+50*1000+22))</f>
        <v/>
      </c>
      <c r="FA209" s="121">
        <f>IF(N('Dvd Calendar'!$AA$2100)=0,"",IF(('Dvd Calendar'!$AA$2100&gt;=GRID_FROM)*('Dvd Calendar'!$AA$2100&lt;=GRID_TO)*((('Dvd Calendar'!$AA$2100&lt;=VAL_DATE)+(COUNTIF('Dvd Calendar'!$E$2107:$AR$2107,'Dvd Calendar'!$AA$2100)=0))&gt;0)=0,"",'Dvd Calendar'!$AA$2100*1000000000+ISNUMBER('Dvd Calendar'!$AA$2103)*100000000+('Dvd Calendar'!$AA$2105=SPECIAL_LBL)*10000000+(N('Dvd Calendar'!$AA$2099)&gt;0)*(N('Dvd Calendar'!$AA$2099)&lt;=VAL_SERIAL)*1000000+50*1000+23))</f>
        <v/>
      </c>
      <c r="FB209" s="121">
        <f>IF(N('Dvd Calendar'!$AB$2100)=0,"",IF(('Dvd Calendar'!$AB$2100&gt;=GRID_FROM)*('Dvd Calendar'!$AB$2100&lt;=GRID_TO)*((('Dvd Calendar'!$AB$2100&lt;=VAL_DATE)+(COUNTIF('Dvd Calendar'!$E$2107:$AR$2107,'Dvd Calendar'!$AB$2100)=0))&gt;0)=0,"",'Dvd Calendar'!$AB$2100*1000000000+ISNUMBER('Dvd Calendar'!$AB$2103)*100000000+('Dvd Calendar'!$AB$2105=SPECIAL_LBL)*10000000+(N('Dvd Calendar'!$AB$2099)&gt;0)*(N('Dvd Calendar'!$AB$2099)&lt;=VAL_SERIAL)*1000000+50*1000+24))</f>
        <v/>
      </c>
      <c r="FC209" s="121">
        <f>IF(N('Dvd Calendar'!$AC$2100)=0,"",IF(('Dvd Calendar'!$AC$2100&gt;=GRID_FROM)*('Dvd Calendar'!$AC$2100&lt;=GRID_TO)*((('Dvd Calendar'!$AC$2100&lt;=VAL_DATE)+(COUNTIF('Dvd Calendar'!$E$2107:$AR$2107,'Dvd Calendar'!$AC$2100)=0))&gt;0)=0,"",'Dvd Calendar'!$AC$2100*1000000000+ISNUMBER('Dvd Calendar'!$AC$2103)*100000000+('Dvd Calendar'!$AC$2105=SPECIAL_LBL)*10000000+(N('Dvd Calendar'!$AC$2099)&gt;0)*(N('Dvd Calendar'!$AC$2099)&lt;=VAL_SERIAL)*1000000+50*1000+25))</f>
        <v/>
      </c>
      <c r="FD209" s="121">
        <f>IF(N('Dvd Calendar'!$AD$2100)=0,"",IF(('Dvd Calendar'!$AD$2100&gt;=GRID_FROM)*('Dvd Calendar'!$AD$2100&lt;=GRID_TO)*((('Dvd Calendar'!$AD$2100&lt;=VAL_DATE)+(COUNTIF('Dvd Calendar'!$E$2107:$AR$2107,'Dvd Calendar'!$AD$2100)=0))&gt;0)=0,"",'Dvd Calendar'!$AD$2100*1000000000+ISNUMBER('Dvd Calendar'!$AD$2103)*100000000+('Dvd Calendar'!$AD$2105=SPECIAL_LBL)*10000000+(N('Dvd Calendar'!$AD$2099)&gt;0)*(N('Dvd Calendar'!$AD$2099)&lt;=VAL_SERIAL)*1000000+50*1000+26))</f>
        <v/>
      </c>
      <c r="FE209" s="121">
        <f>IF(N('Dvd Calendar'!$AE$2100)=0,"",IF(('Dvd Calendar'!$AE$2100&gt;=GRID_FROM)*('Dvd Calendar'!$AE$2100&lt;=GRID_TO)*((('Dvd Calendar'!$AE$2100&lt;=VAL_DATE)+(COUNTIF('Dvd Calendar'!$E$2107:$AR$2107,'Dvd Calendar'!$AE$2100)=0))&gt;0)=0,"",'Dvd Calendar'!$AE$2100*1000000000+ISNUMBER('Dvd Calendar'!$AE$2103)*100000000+('Dvd Calendar'!$AE$2105=SPECIAL_LBL)*10000000+(N('Dvd Calendar'!$AE$2099)&gt;0)*(N('Dvd Calendar'!$AE$2099)&lt;=VAL_SERIAL)*1000000+50*1000+27))</f>
        <v/>
      </c>
      <c r="FF209" s="121">
        <f>IF(N('Dvd Calendar'!$AF$2100)=0,"",IF(('Dvd Calendar'!$AF$2100&gt;=GRID_FROM)*('Dvd Calendar'!$AF$2100&lt;=GRID_TO)*((('Dvd Calendar'!$AF$2100&lt;=VAL_DATE)+(COUNTIF('Dvd Calendar'!$E$2107:$AR$2107,'Dvd Calendar'!$AF$2100)=0))&gt;0)=0,"",'Dvd Calendar'!$AF$2100*1000000000+ISNUMBER('Dvd Calendar'!$AF$2103)*100000000+('Dvd Calendar'!$AF$2105=SPECIAL_LBL)*10000000+(N('Dvd Calendar'!$AF$2099)&gt;0)*(N('Dvd Calendar'!$AF$2099)&lt;=VAL_SERIAL)*1000000+50*1000+28))</f>
        <v/>
      </c>
      <c r="FG209" s="121">
        <f>IF(N('Dvd Calendar'!$AG$2100)=0,"",IF(('Dvd Calendar'!$AG$2100&gt;=GRID_FROM)*('Dvd Calendar'!$AG$2100&lt;=GRID_TO)*((('Dvd Calendar'!$AG$2100&lt;=VAL_DATE)+(COUNTIF('Dvd Calendar'!$E$2107:$AR$2107,'Dvd Calendar'!$AG$2100)=0))&gt;0)=0,"",'Dvd Calendar'!$AG$2100*1000000000+ISNUMBER('Dvd Calendar'!$AG$2103)*100000000+('Dvd Calendar'!$AG$2105=SPECIAL_LBL)*10000000+(N('Dvd Calendar'!$AG$2099)&gt;0)*(N('Dvd Calendar'!$AG$2099)&lt;=VAL_SERIAL)*1000000+50*1000+29))</f>
        <v/>
      </c>
      <c r="FH209" s="121">
        <f>IF(N('Dvd Calendar'!$AH$2100)=0,"",IF(('Dvd Calendar'!$AH$2100&gt;=GRID_FROM)*('Dvd Calendar'!$AH$2100&lt;=GRID_TO)*((('Dvd Calendar'!$AH$2100&lt;=VAL_DATE)+(COUNTIF('Dvd Calendar'!$E$2107:$AR$2107,'Dvd Calendar'!$AH$2100)=0))&gt;0)=0,"",'Dvd Calendar'!$AH$2100*1000000000+ISNUMBER('Dvd Calendar'!$AH$2103)*100000000+('Dvd Calendar'!$AH$2105=SPECIAL_LBL)*10000000+(N('Dvd Calendar'!$AH$2099)&gt;0)*(N('Dvd Calendar'!$AH$2099)&lt;=VAL_SERIAL)*1000000+50*1000+30))</f>
        <v/>
      </c>
      <c r="FI209" s="121">
        <f>IF(N('Dvd Calendar'!$AI$2100)=0,"",IF(('Dvd Calendar'!$AI$2100&gt;=GRID_FROM)*('Dvd Calendar'!$AI$2100&lt;=GRID_TO)*((('Dvd Calendar'!$AI$2100&lt;=VAL_DATE)+(COUNTIF('Dvd Calendar'!$E$2107:$AR$2107,'Dvd Calendar'!$AI$2100)=0))&gt;0)=0,"",'Dvd Calendar'!$AI$2100*1000000000+ISNUMBER('Dvd Calendar'!$AI$2103)*100000000+('Dvd Calendar'!$AI$2105=SPECIAL_LBL)*10000000+(N('Dvd Calendar'!$AI$2099)&gt;0)*(N('Dvd Calendar'!$AI$2099)&lt;=VAL_SERIAL)*1000000+50*1000+31))</f>
        <v/>
      </c>
      <c r="FJ209" s="121">
        <f>IF(N('Dvd Calendar'!$AJ$2100)=0,"",IF(('Dvd Calendar'!$AJ$2100&gt;=GRID_FROM)*('Dvd Calendar'!$AJ$2100&lt;=GRID_TO)*((('Dvd Calendar'!$AJ$2100&lt;=VAL_DATE)+(COUNTIF('Dvd Calendar'!$E$2107:$AR$2107,'Dvd Calendar'!$AJ$2100)=0))&gt;0)=0,"",'Dvd Calendar'!$AJ$2100*1000000000+ISNUMBER('Dvd Calendar'!$AJ$2103)*100000000+('Dvd Calendar'!$AJ$2105=SPECIAL_LBL)*10000000+(N('Dvd Calendar'!$AJ$2099)&gt;0)*(N('Dvd Calendar'!$AJ$2099)&lt;=VAL_SERIAL)*1000000+50*1000+32))</f>
        <v/>
      </c>
      <c r="FK209" s="121">
        <f>IF(N('Dvd Calendar'!$AK$2100)=0,"",IF(('Dvd Calendar'!$AK$2100&gt;=GRID_FROM)*('Dvd Calendar'!$AK$2100&lt;=GRID_TO)*((('Dvd Calendar'!$AK$2100&lt;=VAL_DATE)+(COUNTIF('Dvd Calendar'!$E$2107:$AR$2107,'Dvd Calendar'!$AK$2100)=0))&gt;0)=0,"",'Dvd Calendar'!$AK$2100*1000000000+ISNUMBER('Dvd Calendar'!$AK$2103)*100000000+('Dvd Calendar'!$AK$2105=SPECIAL_LBL)*10000000+(N('Dvd Calendar'!$AK$2099)&gt;0)*(N('Dvd Calendar'!$AK$2099)&lt;=VAL_SERIAL)*1000000+50*1000+33))</f>
        <v/>
      </c>
      <c r="FL209" s="121">
        <f>IF(N('Dvd Calendar'!$AL$2100)=0,"",IF(('Dvd Calendar'!$AL$2100&gt;=GRID_FROM)*('Dvd Calendar'!$AL$2100&lt;=GRID_TO)*((('Dvd Calendar'!$AL$2100&lt;=VAL_DATE)+(COUNTIF('Dvd Calendar'!$E$2107:$AR$2107,'Dvd Calendar'!$AL$2100)=0))&gt;0)=0,"",'Dvd Calendar'!$AL$2100*1000000000+ISNUMBER('Dvd Calendar'!$AL$2103)*100000000+('Dvd Calendar'!$AL$2105=SPECIAL_LBL)*10000000+(N('Dvd Calendar'!$AL$2099)&gt;0)*(N('Dvd Calendar'!$AL$2099)&lt;=VAL_SERIAL)*1000000+50*1000+34))</f>
        <v/>
      </c>
      <c r="FM209" s="121">
        <f>IF(N('Dvd Calendar'!$AM$2100)=0,"",IF(('Dvd Calendar'!$AM$2100&gt;=GRID_FROM)*('Dvd Calendar'!$AM$2100&lt;=GRID_TO)*((('Dvd Calendar'!$AM$2100&lt;=VAL_DATE)+(COUNTIF('Dvd Calendar'!$E$2107:$AR$2107,'Dvd Calendar'!$AM$2100)=0))&gt;0)=0,"",'Dvd Calendar'!$AM$2100*1000000000+ISNUMBER('Dvd Calendar'!$AM$2103)*100000000+('Dvd Calendar'!$AM$2105=SPECIAL_LBL)*10000000+(N('Dvd Calendar'!$AM$2099)&gt;0)*(N('Dvd Calendar'!$AM$2099)&lt;=VAL_SERIAL)*1000000+50*1000+35))</f>
        <v/>
      </c>
      <c r="FN209" s="121">
        <f>IF(N('Dvd Calendar'!$AN$2100)=0,"",IF(('Dvd Calendar'!$AN$2100&gt;=GRID_FROM)*('Dvd Calendar'!$AN$2100&lt;=GRID_TO)*((('Dvd Calendar'!$AN$2100&lt;=VAL_DATE)+(COUNTIF('Dvd Calendar'!$E$2107:$AR$2107,'Dvd Calendar'!$AN$2100)=0))&gt;0)=0,"",'Dvd Calendar'!$AN$2100*1000000000+ISNUMBER('Dvd Calendar'!$AN$2103)*100000000+('Dvd Calendar'!$AN$2105=SPECIAL_LBL)*10000000+(N('Dvd Calendar'!$AN$2099)&gt;0)*(N('Dvd Calendar'!$AN$2099)&lt;=VAL_SERIAL)*1000000+50*1000+36))</f>
        <v/>
      </c>
      <c r="FO209" s="121">
        <f>IF(N('Dvd Calendar'!$AO$2100)=0,"",IF(('Dvd Calendar'!$AO$2100&gt;=GRID_FROM)*('Dvd Calendar'!$AO$2100&lt;=GRID_TO)*((('Dvd Calendar'!$AO$2100&lt;=VAL_DATE)+(COUNTIF('Dvd Calendar'!$E$2107:$AR$2107,'Dvd Calendar'!$AO$2100)=0))&gt;0)=0,"",'Dvd Calendar'!$AO$2100*1000000000+ISNUMBER('Dvd Calendar'!$AO$2103)*100000000+('Dvd Calendar'!$AO$2105=SPECIAL_LBL)*10000000+(N('Dvd Calendar'!$AO$2099)&gt;0)*(N('Dvd Calendar'!$AO$2099)&lt;=VAL_SERIAL)*1000000+50*1000+37))</f>
        <v/>
      </c>
      <c r="FP209" s="121">
        <f>IF(N('Dvd Calendar'!$AP$2100)=0,"",IF(('Dvd Calendar'!$AP$2100&gt;=GRID_FROM)*('Dvd Calendar'!$AP$2100&lt;=GRID_TO)*((('Dvd Calendar'!$AP$2100&lt;=VAL_DATE)+(COUNTIF('Dvd Calendar'!$E$2107:$AR$2107,'Dvd Calendar'!$AP$2100)=0))&gt;0)=0,"",'Dvd Calendar'!$AP$2100*1000000000+ISNUMBER('Dvd Calendar'!$AP$2103)*100000000+('Dvd Calendar'!$AP$2105=SPECIAL_LBL)*10000000+(N('Dvd Calendar'!$AP$2099)&gt;0)*(N('Dvd Calendar'!$AP$2099)&lt;=VAL_SERIAL)*1000000+50*1000+38))</f>
        <v/>
      </c>
      <c r="FQ209" s="121">
        <f>IF(N('Dvd Calendar'!$AQ$2100)=0,"",IF(('Dvd Calendar'!$AQ$2100&gt;=GRID_FROM)*('Dvd Calendar'!$AQ$2100&lt;=GRID_TO)*((('Dvd Calendar'!$AQ$2100&lt;=VAL_DATE)+(COUNTIF('Dvd Calendar'!$E$2107:$AR$2107,'Dvd Calendar'!$AQ$2100)=0))&gt;0)=0,"",'Dvd Calendar'!$AQ$2100*1000000000+ISNUMBER('Dvd Calendar'!$AQ$2103)*100000000+('Dvd Calendar'!$AQ$2105=SPECIAL_LBL)*10000000+(N('Dvd Calendar'!$AQ$2099)&gt;0)*(N('Dvd Calendar'!$AQ$2099)&lt;=VAL_SERIAL)*1000000+50*1000+39))</f>
        <v/>
      </c>
      <c r="FR209" s="121">
        <f>IF(N('Dvd Calendar'!$AR$2100)=0,"",IF(('Dvd Calendar'!$AR$2100&gt;=GRID_FROM)*('Dvd Calendar'!$AR$2100&lt;=GRID_TO)*((('Dvd Calendar'!$AR$2100&lt;=VAL_DATE)+(COUNTIF('Dvd Calendar'!$E$2107:$AR$2107,'Dvd Calendar'!$AR$2100)=0))&gt;0)=0,"",'Dvd Calendar'!$AR$2100*1000000000+ISNUMBER('Dvd Calendar'!$AR$2103)*100000000+('Dvd Calendar'!$AR$2105=SPECIAL_LBL)*10000000+(N('Dvd Calendar'!$AR$2099)&gt;0)*(N('Dvd Calendar'!$AR$2099)&lt;=VAL_SERIAL)*1000000+50*1000+40))</f>
        <v/>
      </c>
      <c r="FS209" s="121">
        <f>IF(N('Dvd Calendar'!$E$2107)=0,"",IF(('Dvd Calendar'!$E$2107&gt;=GRID_FROM)*('Dvd Calendar'!$E$2107&lt;=GRID_TO)*('Dvd Calendar'!$E$2107&gt;VAL_DATE)=0,"",'Dvd Calendar'!$E$2107*1000000000+ISNUMBER('Dvd Calendar'!$E$2108)*100000000+0*10000000+(N('Dvd Calendar'!$E$2106)&gt;0)*(N('Dvd Calendar'!$E$2106)&lt;=VAL_SERIAL)*1000000+50*1000+41))</f>
        <v/>
      </c>
      <c r="FT209" s="121">
        <f>IF(N('Dvd Calendar'!$F$2107)=0,"",IF(('Dvd Calendar'!$F$2107&gt;=GRID_FROM)*('Dvd Calendar'!$F$2107&lt;=GRID_TO)*('Dvd Calendar'!$F$2107&gt;VAL_DATE)=0,"",'Dvd Calendar'!$F$2107*1000000000+ISNUMBER('Dvd Calendar'!$F$2108)*100000000+0*10000000+(N('Dvd Calendar'!$F$2106)&gt;0)*(N('Dvd Calendar'!$F$2106)&lt;=VAL_SERIAL)*1000000+50*1000+42))</f>
        <v/>
      </c>
      <c r="FU209" s="121">
        <f>IF(N('Dvd Calendar'!$G$2107)=0,"",IF(('Dvd Calendar'!$G$2107&gt;=GRID_FROM)*('Dvd Calendar'!$G$2107&lt;=GRID_TO)*('Dvd Calendar'!$G$2107&gt;VAL_DATE)=0,"",'Dvd Calendar'!$G$2107*1000000000+ISNUMBER('Dvd Calendar'!$G$2108)*100000000+0*10000000+(N('Dvd Calendar'!$G$2106)&gt;0)*(N('Dvd Calendar'!$G$2106)&lt;=VAL_SERIAL)*1000000+50*1000+43))</f>
        <v/>
      </c>
      <c r="FV209" s="121">
        <f>IF(N('Dvd Calendar'!$H$2107)=0,"",IF(('Dvd Calendar'!$H$2107&gt;=GRID_FROM)*('Dvd Calendar'!$H$2107&lt;=GRID_TO)*('Dvd Calendar'!$H$2107&gt;VAL_DATE)=0,"",'Dvd Calendar'!$H$2107*1000000000+ISNUMBER('Dvd Calendar'!$H$2108)*100000000+0*10000000+(N('Dvd Calendar'!$H$2106)&gt;0)*(N('Dvd Calendar'!$H$2106)&lt;=VAL_SERIAL)*1000000+50*1000+44))</f>
        <v/>
      </c>
      <c r="FW209" s="121">
        <f>IF(N('Dvd Calendar'!$I$2107)=0,"",IF(('Dvd Calendar'!$I$2107&gt;=GRID_FROM)*('Dvd Calendar'!$I$2107&lt;=GRID_TO)*('Dvd Calendar'!$I$2107&gt;VAL_DATE)=0,"",'Dvd Calendar'!$I$2107*1000000000+ISNUMBER('Dvd Calendar'!$I$2108)*100000000+0*10000000+(N('Dvd Calendar'!$I$2106)&gt;0)*(N('Dvd Calendar'!$I$2106)&lt;=VAL_SERIAL)*1000000+50*1000+45))</f>
        <v/>
      </c>
      <c r="FX209" s="121">
        <f>IF(N('Dvd Calendar'!$J$2107)=0,"",IF(('Dvd Calendar'!$J$2107&gt;=GRID_FROM)*('Dvd Calendar'!$J$2107&lt;=GRID_TO)*('Dvd Calendar'!$J$2107&gt;VAL_DATE)=0,"",'Dvd Calendar'!$J$2107*1000000000+ISNUMBER('Dvd Calendar'!$J$2108)*100000000+0*10000000+(N('Dvd Calendar'!$J$2106)&gt;0)*(N('Dvd Calendar'!$J$2106)&lt;=VAL_SERIAL)*1000000+50*1000+46))</f>
        <v/>
      </c>
      <c r="FY209" s="121">
        <f>IF(N('Dvd Calendar'!$K$2107)=0,"",IF(('Dvd Calendar'!$K$2107&gt;=GRID_FROM)*('Dvd Calendar'!$K$2107&lt;=GRID_TO)*('Dvd Calendar'!$K$2107&gt;VAL_DATE)=0,"",'Dvd Calendar'!$K$2107*1000000000+ISNUMBER('Dvd Calendar'!$K$2108)*100000000+0*10000000+(N('Dvd Calendar'!$K$2106)&gt;0)*(N('Dvd Calendar'!$K$2106)&lt;=VAL_SERIAL)*1000000+50*1000+47))</f>
        <v/>
      </c>
      <c r="FZ209" s="121">
        <f>IF(N('Dvd Calendar'!$L$2107)=0,"",IF(('Dvd Calendar'!$L$2107&gt;=GRID_FROM)*('Dvd Calendar'!$L$2107&lt;=GRID_TO)*('Dvd Calendar'!$L$2107&gt;VAL_DATE)=0,"",'Dvd Calendar'!$L$2107*1000000000+ISNUMBER('Dvd Calendar'!$L$2108)*100000000+0*10000000+(N('Dvd Calendar'!$L$2106)&gt;0)*(N('Dvd Calendar'!$L$2106)&lt;=VAL_SERIAL)*1000000+50*1000+48))</f>
        <v/>
      </c>
      <c r="GA209" s="121">
        <f>IF(N('Dvd Calendar'!$M$2107)=0,"",IF(('Dvd Calendar'!$M$2107&gt;=GRID_FROM)*('Dvd Calendar'!$M$2107&lt;=GRID_TO)*('Dvd Calendar'!$M$2107&gt;VAL_DATE)=0,"",'Dvd Calendar'!$M$2107*1000000000+ISNUMBER('Dvd Calendar'!$M$2108)*100000000+0*10000000+(N('Dvd Calendar'!$M$2106)&gt;0)*(N('Dvd Calendar'!$M$2106)&lt;=VAL_SERIAL)*1000000+50*1000+49))</f>
        <v/>
      </c>
      <c r="GB209" s="121">
        <f>IF(N('Dvd Calendar'!$N$2107)=0,"",IF(('Dvd Calendar'!$N$2107&gt;=GRID_FROM)*('Dvd Calendar'!$N$2107&lt;=GRID_TO)*('Dvd Calendar'!$N$2107&gt;VAL_DATE)=0,"",'Dvd Calendar'!$N$2107*1000000000+ISNUMBER('Dvd Calendar'!$N$2108)*100000000+0*10000000+(N('Dvd Calendar'!$N$2106)&gt;0)*(N('Dvd Calendar'!$N$2106)&lt;=VAL_SERIAL)*1000000+50*1000+50))</f>
        <v/>
      </c>
      <c r="GC209" s="121">
        <f>IF(N('Dvd Calendar'!$O$2107)=0,"",IF(('Dvd Calendar'!$O$2107&gt;=GRID_FROM)*('Dvd Calendar'!$O$2107&lt;=GRID_TO)*('Dvd Calendar'!$O$2107&gt;VAL_DATE)=0,"",'Dvd Calendar'!$O$2107*1000000000+ISNUMBER('Dvd Calendar'!$O$2108)*100000000+0*10000000+(N('Dvd Calendar'!$O$2106)&gt;0)*(N('Dvd Calendar'!$O$2106)&lt;=VAL_SERIAL)*1000000+50*1000+51))</f>
        <v/>
      </c>
      <c r="GD209" s="121">
        <f>IF(N('Dvd Calendar'!$P$2107)=0,"",IF(('Dvd Calendar'!$P$2107&gt;=GRID_FROM)*('Dvd Calendar'!$P$2107&lt;=GRID_TO)*('Dvd Calendar'!$P$2107&gt;VAL_DATE)=0,"",'Dvd Calendar'!$P$2107*1000000000+ISNUMBER('Dvd Calendar'!$P$2108)*100000000+0*10000000+(N('Dvd Calendar'!$P$2106)&gt;0)*(N('Dvd Calendar'!$P$2106)&lt;=VAL_SERIAL)*1000000+50*1000+52))</f>
        <v/>
      </c>
      <c r="GE209" s="121">
        <f>IF(N('Dvd Calendar'!$Q$2107)=0,"",IF(('Dvd Calendar'!$Q$2107&gt;=GRID_FROM)*('Dvd Calendar'!$Q$2107&lt;=GRID_TO)*('Dvd Calendar'!$Q$2107&gt;VAL_DATE)=0,"",'Dvd Calendar'!$Q$2107*1000000000+ISNUMBER('Dvd Calendar'!$Q$2108)*100000000+0*10000000+(N('Dvd Calendar'!$Q$2106)&gt;0)*(N('Dvd Calendar'!$Q$2106)&lt;=VAL_SERIAL)*1000000+50*1000+53))</f>
        <v/>
      </c>
      <c r="GF209" s="121">
        <f>IF(N('Dvd Calendar'!$R$2107)=0,"",IF(('Dvd Calendar'!$R$2107&gt;=GRID_FROM)*('Dvd Calendar'!$R$2107&lt;=GRID_TO)*('Dvd Calendar'!$R$2107&gt;VAL_DATE)=0,"",'Dvd Calendar'!$R$2107*1000000000+ISNUMBER('Dvd Calendar'!$R$2108)*100000000+0*10000000+(N('Dvd Calendar'!$R$2106)&gt;0)*(N('Dvd Calendar'!$R$2106)&lt;=VAL_SERIAL)*1000000+50*1000+54))</f>
        <v/>
      </c>
      <c r="GG209" s="121">
        <f>IF(N('Dvd Calendar'!$S$2107)=0,"",IF(('Dvd Calendar'!$S$2107&gt;=GRID_FROM)*('Dvd Calendar'!$S$2107&lt;=GRID_TO)*('Dvd Calendar'!$S$2107&gt;VAL_DATE)=0,"",'Dvd Calendar'!$S$2107*1000000000+ISNUMBER('Dvd Calendar'!$S$2108)*100000000+0*10000000+(N('Dvd Calendar'!$S$2106)&gt;0)*(N('Dvd Calendar'!$S$2106)&lt;=VAL_SERIAL)*1000000+50*1000+55))</f>
        <v/>
      </c>
      <c r="GH209" s="121">
        <f>IF(N('Dvd Calendar'!$T$2107)=0,"",IF(('Dvd Calendar'!$T$2107&gt;=GRID_FROM)*('Dvd Calendar'!$T$2107&lt;=GRID_TO)*('Dvd Calendar'!$T$2107&gt;VAL_DATE)=0,"",'Dvd Calendar'!$T$2107*1000000000+ISNUMBER('Dvd Calendar'!$T$2108)*100000000+0*10000000+(N('Dvd Calendar'!$T$2106)&gt;0)*(N('Dvd Calendar'!$T$2106)&lt;=VAL_SERIAL)*1000000+50*1000+56))</f>
        <v/>
      </c>
      <c r="GI209" s="121">
        <f>IF(N('Dvd Calendar'!$U$2107)=0,"",IF(('Dvd Calendar'!$U$2107&gt;=GRID_FROM)*('Dvd Calendar'!$U$2107&lt;=GRID_TO)*('Dvd Calendar'!$U$2107&gt;VAL_DATE)=0,"",'Dvd Calendar'!$U$2107*1000000000+ISNUMBER('Dvd Calendar'!$U$2108)*100000000+0*10000000+(N('Dvd Calendar'!$U$2106)&gt;0)*(N('Dvd Calendar'!$U$2106)&lt;=VAL_SERIAL)*1000000+50*1000+57))</f>
        <v/>
      </c>
      <c r="GJ209" s="121">
        <f>IF(N('Dvd Calendar'!$V$2107)=0,"",IF(('Dvd Calendar'!$V$2107&gt;=GRID_FROM)*('Dvd Calendar'!$V$2107&lt;=GRID_TO)*('Dvd Calendar'!$V$2107&gt;VAL_DATE)=0,"",'Dvd Calendar'!$V$2107*1000000000+ISNUMBER('Dvd Calendar'!$V$2108)*100000000+0*10000000+(N('Dvd Calendar'!$V$2106)&gt;0)*(N('Dvd Calendar'!$V$2106)&lt;=VAL_SERIAL)*1000000+50*1000+58))</f>
        <v/>
      </c>
      <c r="GK209" s="121">
        <f>IF(N('Dvd Calendar'!$W$2107)=0,"",IF(('Dvd Calendar'!$W$2107&gt;=GRID_FROM)*('Dvd Calendar'!$W$2107&lt;=GRID_TO)*('Dvd Calendar'!$W$2107&gt;VAL_DATE)=0,"",'Dvd Calendar'!$W$2107*1000000000+ISNUMBER('Dvd Calendar'!$W$2108)*100000000+0*10000000+(N('Dvd Calendar'!$W$2106)&gt;0)*(N('Dvd Calendar'!$W$2106)&lt;=VAL_SERIAL)*1000000+50*1000+59))</f>
        <v/>
      </c>
      <c r="GL209" s="121">
        <f>IF(N('Dvd Calendar'!$X$2107)=0,"",IF(('Dvd Calendar'!$X$2107&gt;=GRID_FROM)*('Dvd Calendar'!$X$2107&lt;=GRID_TO)*('Dvd Calendar'!$X$2107&gt;VAL_DATE)=0,"",'Dvd Calendar'!$X$2107*1000000000+ISNUMBER('Dvd Calendar'!$X$2108)*100000000+0*10000000+(N('Dvd Calendar'!$X$2106)&gt;0)*(N('Dvd Calendar'!$X$2106)&lt;=VAL_SERIAL)*1000000+50*1000+60))</f>
        <v/>
      </c>
      <c r="GM209" s="121">
        <f>IF(N('Dvd Calendar'!$Y$2107)=0,"",IF(('Dvd Calendar'!$Y$2107&gt;=GRID_FROM)*('Dvd Calendar'!$Y$2107&lt;=GRID_TO)*('Dvd Calendar'!$Y$2107&gt;VAL_DATE)=0,"",'Dvd Calendar'!$Y$2107*1000000000+ISNUMBER('Dvd Calendar'!$Y$2108)*100000000+0*10000000+(N('Dvd Calendar'!$Y$2106)&gt;0)*(N('Dvd Calendar'!$Y$2106)&lt;=VAL_SERIAL)*1000000+50*1000+61))</f>
        <v/>
      </c>
      <c r="GN209" s="121">
        <f>IF(N('Dvd Calendar'!$Z$2107)=0,"",IF(('Dvd Calendar'!$Z$2107&gt;=GRID_FROM)*('Dvd Calendar'!$Z$2107&lt;=GRID_TO)*('Dvd Calendar'!$Z$2107&gt;VAL_DATE)=0,"",'Dvd Calendar'!$Z$2107*1000000000+ISNUMBER('Dvd Calendar'!$Z$2108)*100000000+0*10000000+(N('Dvd Calendar'!$Z$2106)&gt;0)*(N('Dvd Calendar'!$Z$2106)&lt;=VAL_SERIAL)*1000000+50*1000+62))</f>
        <v/>
      </c>
      <c r="GO209" s="121">
        <f>IF(N('Dvd Calendar'!$AA$2107)=0,"",IF(('Dvd Calendar'!$AA$2107&gt;=GRID_FROM)*('Dvd Calendar'!$AA$2107&lt;=GRID_TO)*('Dvd Calendar'!$AA$2107&gt;VAL_DATE)=0,"",'Dvd Calendar'!$AA$2107*1000000000+ISNUMBER('Dvd Calendar'!$AA$2108)*100000000+0*10000000+(N('Dvd Calendar'!$AA$2106)&gt;0)*(N('Dvd Calendar'!$AA$2106)&lt;=VAL_SERIAL)*1000000+50*1000+63))</f>
        <v/>
      </c>
      <c r="GP209" s="121">
        <f>IF(N('Dvd Calendar'!$AB$2107)=0,"",IF(('Dvd Calendar'!$AB$2107&gt;=GRID_FROM)*('Dvd Calendar'!$AB$2107&lt;=GRID_TO)*('Dvd Calendar'!$AB$2107&gt;VAL_DATE)=0,"",'Dvd Calendar'!$AB$2107*1000000000+ISNUMBER('Dvd Calendar'!$AB$2108)*100000000+0*10000000+(N('Dvd Calendar'!$AB$2106)&gt;0)*(N('Dvd Calendar'!$AB$2106)&lt;=VAL_SERIAL)*1000000+50*1000+64))</f>
        <v/>
      </c>
      <c r="GQ209" s="121">
        <f>IF(N('Dvd Calendar'!$AC$2107)=0,"",IF(('Dvd Calendar'!$AC$2107&gt;=GRID_FROM)*('Dvd Calendar'!$AC$2107&lt;=GRID_TO)*('Dvd Calendar'!$AC$2107&gt;VAL_DATE)=0,"",'Dvd Calendar'!$AC$2107*1000000000+ISNUMBER('Dvd Calendar'!$AC$2108)*100000000+0*10000000+(N('Dvd Calendar'!$AC$2106)&gt;0)*(N('Dvd Calendar'!$AC$2106)&lt;=VAL_SERIAL)*1000000+50*1000+65))</f>
        <v/>
      </c>
    </row>
    <row r="210">
      <c r="B210" s="2">
        <f>IF(HSCEI!$C$57="","",HSCEI!$C$57)</f>
        <v/>
      </c>
      <c r="C210" s="161">
        <f>IF(EE210="","",IF(ISNUMBER('Dvd Calendar'!$E$2114)=FALSE,"",IF((('Dvd Calendar'!$E$2116=TYPE1)*(TYPE1&lt;&gt;"")+('Dvd Calendar'!$E$2116=TYPE2)*(TYPE2&lt;&gt;"")+('Dvd Calendar'!$E$2116=TYPE3)*(TYPE3&lt;&gt;"")+('Dvd Calendar'!$E$2116=TYPE4)*(TYPE4&lt;&gt;"")+('Dvd Calendar'!$E$2116=SPECIAL_LBL)*(INC_SPECIALS="Y"))=0,"",'Dvd Calendar'!$E$2114)))</f>
        <v/>
      </c>
      <c r="D210" s="161">
        <f>IF(EF210="","",IF(ISNUMBER('Dvd Calendar'!$F$2114)=FALSE,"",IF((('Dvd Calendar'!$F$2116=TYPE1)*(TYPE1&lt;&gt;"")+('Dvd Calendar'!$F$2116=TYPE2)*(TYPE2&lt;&gt;"")+('Dvd Calendar'!$F$2116=TYPE3)*(TYPE3&lt;&gt;"")+('Dvd Calendar'!$F$2116=TYPE4)*(TYPE4&lt;&gt;"")+('Dvd Calendar'!$F$2116=SPECIAL_LBL)*(INC_SPECIALS="Y"))=0,"",'Dvd Calendar'!$F$2114)))</f>
        <v/>
      </c>
      <c r="E210" s="161">
        <f>IF(EG210="","",IF(ISNUMBER('Dvd Calendar'!$G$2114)=FALSE,"",IF((('Dvd Calendar'!$G$2116=TYPE1)*(TYPE1&lt;&gt;"")+('Dvd Calendar'!$G$2116=TYPE2)*(TYPE2&lt;&gt;"")+('Dvd Calendar'!$G$2116=TYPE3)*(TYPE3&lt;&gt;"")+('Dvd Calendar'!$G$2116=TYPE4)*(TYPE4&lt;&gt;"")+('Dvd Calendar'!$G$2116=SPECIAL_LBL)*(INC_SPECIALS="Y"))=0,"",'Dvd Calendar'!$G$2114)))</f>
        <v/>
      </c>
      <c r="F210" s="161">
        <f>IF(EH210="","",IF(ISNUMBER('Dvd Calendar'!$H$2114)=FALSE,"",IF((('Dvd Calendar'!$H$2116=TYPE1)*(TYPE1&lt;&gt;"")+('Dvd Calendar'!$H$2116=TYPE2)*(TYPE2&lt;&gt;"")+('Dvd Calendar'!$H$2116=TYPE3)*(TYPE3&lt;&gt;"")+('Dvd Calendar'!$H$2116=TYPE4)*(TYPE4&lt;&gt;"")+('Dvd Calendar'!$H$2116=SPECIAL_LBL)*(INC_SPECIALS="Y"))=0,"",'Dvd Calendar'!$H$2114)))</f>
        <v/>
      </c>
      <c r="G210" s="161">
        <f>IF(EI210="","",IF(ISNUMBER('Dvd Calendar'!$I$2114)=FALSE,"",IF((('Dvd Calendar'!$I$2116=TYPE1)*(TYPE1&lt;&gt;"")+('Dvd Calendar'!$I$2116=TYPE2)*(TYPE2&lt;&gt;"")+('Dvd Calendar'!$I$2116=TYPE3)*(TYPE3&lt;&gt;"")+('Dvd Calendar'!$I$2116=TYPE4)*(TYPE4&lt;&gt;"")+('Dvd Calendar'!$I$2116=SPECIAL_LBL)*(INC_SPECIALS="Y"))=0,"",'Dvd Calendar'!$I$2114)))</f>
        <v/>
      </c>
      <c r="H210" s="161">
        <f>IF(EJ210="","",IF(ISNUMBER('Dvd Calendar'!$J$2114)=FALSE,"",IF((('Dvd Calendar'!$J$2116=TYPE1)*(TYPE1&lt;&gt;"")+('Dvd Calendar'!$J$2116=TYPE2)*(TYPE2&lt;&gt;"")+('Dvd Calendar'!$J$2116=TYPE3)*(TYPE3&lt;&gt;"")+('Dvd Calendar'!$J$2116=TYPE4)*(TYPE4&lt;&gt;"")+('Dvd Calendar'!$J$2116=SPECIAL_LBL)*(INC_SPECIALS="Y"))=0,"",'Dvd Calendar'!$J$2114)))</f>
        <v/>
      </c>
      <c r="I210" s="161">
        <f>IF(EK210="","",IF(ISNUMBER('Dvd Calendar'!$K$2114)=FALSE,"",IF((('Dvd Calendar'!$K$2116=TYPE1)*(TYPE1&lt;&gt;"")+('Dvd Calendar'!$K$2116=TYPE2)*(TYPE2&lt;&gt;"")+('Dvd Calendar'!$K$2116=TYPE3)*(TYPE3&lt;&gt;"")+('Dvd Calendar'!$K$2116=TYPE4)*(TYPE4&lt;&gt;"")+('Dvd Calendar'!$K$2116=SPECIAL_LBL)*(INC_SPECIALS="Y"))=0,"",'Dvd Calendar'!$K$2114)))</f>
        <v/>
      </c>
      <c r="J210" s="161">
        <f>IF(EL210="","",IF(ISNUMBER('Dvd Calendar'!$L$2114)=FALSE,"",IF((('Dvd Calendar'!$L$2116=TYPE1)*(TYPE1&lt;&gt;"")+('Dvd Calendar'!$L$2116=TYPE2)*(TYPE2&lt;&gt;"")+('Dvd Calendar'!$L$2116=TYPE3)*(TYPE3&lt;&gt;"")+('Dvd Calendar'!$L$2116=TYPE4)*(TYPE4&lt;&gt;"")+('Dvd Calendar'!$L$2116=SPECIAL_LBL)*(INC_SPECIALS="Y"))=0,"",'Dvd Calendar'!$L$2114)))</f>
        <v/>
      </c>
      <c r="K210" s="161">
        <f>IF(EM210="","",IF(ISNUMBER('Dvd Calendar'!$M$2114)=FALSE,"",IF((('Dvd Calendar'!$M$2116=TYPE1)*(TYPE1&lt;&gt;"")+('Dvd Calendar'!$M$2116=TYPE2)*(TYPE2&lt;&gt;"")+('Dvd Calendar'!$M$2116=TYPE3)*(TYPE3&lt;&gt;"")+('Dvd Calendar'!$M$2116=TYPE4)*(TYPE4&lt;&gt;"")+('Dvd Calendar'!$M$2116=SPECIAL_LBL)*(INC_SPECIALS="Y"))=0,"",'Dvd Calendar'!$M$2114)))</f>
        <v/>
      </c>
      <c r="L210" s="161">
        <f>IF(EN210="","",IF(ISNUMBER('Dvd Calendar'!$N$2114)=FALSE,"",IF((('Dvd Calendar'!$N$2116=TYPE1)*(TYPE1&lt;&gt;"")+('Dvd Calendar'!$N$2116=TYPE2)*(TYPE2&lt;&gt;"")+('Dvd Calendar'!$N$2116=TYPE3)*(TYPE3&lt;&gt;"")+('Dvd Calendar'!$N$2116=TYPE4)*(TYPE4&lt;&gt;"")+('Dvd Calendar'!$N$2116=SPECIAL_LBL)*(INC_SPECIALS="Y"))=0,"",'Dvd Calendar'!$N$2114)))</f>
        <v/>
      </c>
      <c r="M210" s="161">
        <f>IF(EO210="","",IF(ISNUMBER('Dvd Calendar'!$O$2114)=FALSE,"",IF((('Dvd Calendar'!$O$2116=TYPE1)*(TYPE1&lt;&gt;"")+('Dvd Calendar'!$O$2116=TYPE2)*(TYPE2&lt;&gt;"")+('Dvd Calendar'!$O$2116=TYPE3)*(TYPE3&lt;&gt;"")+('Dvd Calendar'!$O$2116=TYPE4)*(TYPE4&lt;&gt;"")+('Dvd Calendar'!$O$2116=SPECIAL_LBL)*(INC_SPECIALS="Y"))=0,"",'Dvd Calendar'!$O$2114)))</f>
        <v/>
      </c>
      <c r="N210" s="161">
        <f>IF(EP210="","",IF(ISNUMBER('Dvd Calendar'!$P$2114)=FALSE,"",IF((('Dvd Calendar'!$P$2116=TYPE1)*(TYPE1&lt;&gt;"")+('Dvd Calendar'!$P$2116=TYPE2)*(TYPE2&lt;&gt;"")+('Dvd Calendar'!$P$2116=TYPE3)*(TYPE3&lt;&gt;"")+('Dvd Calendar'!$P$2116=TYPE4)*(TYPE4&lt;&gt;"")+('Dvd Calendar'!$P$2116=SPECIAL_LBL)*(INC_SPECIALS="Y"))=0,"",'Dvd Calendar'!$P$2114)))</f>
        <v/>
      </c>
      <c r="O210" s="161">
        <f>IF(EQ210="","",IF(ISNUMBER('Dvd Calendar'!$Q$2114)=FALSE,"",IF((('Dvd Calendar'!$Q$2116=TYPE1)*(TYPE1&lt;&gt;"")+('Dvd Calendar'!$Q$2116=TYPE2)*(TYPE2&lt;&gt;"")+('Dvd Calendar'!$Q$2116=TYPE3)*(TYPE3&lt;&gt;"")+('Dvd Calendar'!$Q$2116=TYPE4)*(TYPE4&lt;&gt;"")+('Dvd Calendar'!$Q$2116=SPECIAL_LBL)*(INC_SPECIALS="Y"))=0,"",'Dvd Calendar'!$Q$2114)))</f>
        <v/>
      </c>
      <c r="P210" s="161">
        <f>IF(ER210="","",IF(ISNUMBER('Dvd Calendar'!$R$2114)=FALSE,"",IF((('Dvd Calendar'!$R$2116=TYPE1)*(TYPE1&lt;&gt;"")+('Dvd Calendar'!$R$2116=TYPE2)*(TYPE2&lt;&gt;"")+('Dvd Calendar'!$R$2116=TYPE3)*(TYPE3&lt;&gt;"")+('Dvd Calendar'!$R$2116=TYPE4)*(TYPE4&lt;&gt;"")+('Dvd Calendar'!$R$2116=SPECIAL_LBL)*(INC_SPECIALS="Y"))=0,"",'Dvd Calendar'!$R$2114)))</f>
        <v/>
      </c>
      <c r="Q210" s="161">
        <f>IF(ES210="","",IF(ISNUMBER('Dvd Calendar'!$S$2114)=FALSE,"",IF((('Dvd Calendar'!$S$2116=TYPE1)*(TYPE1&lt;&gt;"")+('Dvd Calendar'!$S$2116=TYPE2)*(TYPE2&lt;&gt;"")+('Dvd Calendar'!$S$2116=TYPE3)*(TYPE3&lt;&gt;"")+('Dvd Calendar'!$S$2116=TYPE4)*(TYPE4&lt;&gt;"")+('Dvd Calendar'!$S$2116=SPECIAL_LBL)*(INC_SPECIALS="Y"))=0,"",'Dvd Calendar'!$S$2114)))</f>
        <v/>
      </c>
      <c r="R210" s="161">
        <f>IF(ET210="","",IF(ISNUMBER('Dvd Calendar'!$T$2114)=FALSE,"",IF((('Dvd Calendar'!$T$2116=TYPE1)*(TYPE1&lt;&gt;"")+('Dvd Calendar'!$T$2116=TYPE2)*(TYPE2&lt;&gt;"")+('Dvd Calendar'!$T$2116=TYPE3)*(TYPE3&lt;&gt;"")+('Dvd Calendar'!$T$2116=TYPE4)*(TYPE4&lt;&gt;"")+('Dvd Calendar'!$T$2116=SPECIAL_LBL)*(INC_SPECIALS="Y"))=0,"",'Dvd Calendar'!$T$2114)))</f>
        <v/>
      </c>
      <c r="S210" s="161">
        <f>IF(EU210="","",IF(ISNUMBER('Dvd Calendar'!$U$2114)=FALSE,"",IF((('Dvd Calendar'!$U$2116=TYPE1)*(TYPE1&lt;&gt;"")+('Dvd Calendar'!$U$2116=TYPE2)*(TYPE2&lt;&gt;"")+('Dvd Calendar'!$U$2116=TYPE3)*(TYPE3&lt;&gt;"")+('Dvd Calendar'!$U$2116=TYPE4)*(TYPE4&lt;&gt;"")+('Dvd Calendar'!$U$2116=SPECIAL_LBL)*(INC_SPECIALS="Y"))=0,"",'Dvd Calendar'!$U$2114)))</f>
        <v/>
      </c>
      <c r="T210" s="161">
        <f>IF(EV210="","",IF(ISNUMBER('Dvd Calendar'!$V$2114)=FALSE,"",IF((('Dvd Calendar'!$V$2116=TYPE1)*(TYPE1&lt;&gt;"")+('Dvd Calendar'!$V$2116=TYPE2)*(TYPE2&lt;&gt;"")+('Dvd Calendar'!$V$2116=TYPE3)*(TYPE3&lt;&gt;"")+('Dvd Calendar'!$V$2116=TYPE4)*(TYPE4&lt;&gt;"")+('Dvd Calendar'!$V$2116=SPECIAL_LBL)*(INC_SPECIALS="Y"))=0,"",'Dvd Calendar'!$V$2114)))</f>
        <v/>
      </c>
      <c r="U210" s="161">
        <f>IF(EW210="","",IF(ISNUMBER('Dvd Calendar'!$W$2114)=FALSE,"",IF((('Dvd Calendar'!$W$2116=TYPE1)*(TYPE1&lt;&gt;"")+('Dvd Calendar'!$W$2116=TYPE2)*(TYPE2&lt;&gt;"")+('Dvd Calendar'!$W$2116=TYPE3)*(TYPE3&lt;&gt;"")+('Dvd Calendar'!$W$2116=TYPE4)*(TYPE4&lt;&gt;"")+('Dvd Calendar'!$W$2116=SPECIAL_LBL)*(INC_SPECIALS="Y"))=0,"",'Dvd Calendar'!$W$2114)))</f>
        <v/>
      </c>
      <c r="V210" s="161">
        <f>IF(EX210="","",IF(ISNUMBER('Dvd Calendar'!$X$2114)=FALSE,"",IF((('Dvd Calendar'!$X$2116=TYPE1)*(TYPE1&lt;&gt;"")+('Dvd Calendar'!$X$2116=TYPE2)*(TYPE2&lt;&gt;"")+('Dvd Calendar'!$X$2116=TYPE3)*(TYPE3&lt;&gt;"")+('Dvd Calendar'!$X$2116=TYPE4)*(TYPE4&lt;&gt;"")+('Dvd Calendar'!$X$2116=SPECIAL_LBL)*(INC_SPECIALS="Y"))=0,"",'Dvd Calendar'!$X$2114)))</f>
        <v/>
      </c>
      <c r="W210" s="161">
        <f>IF(EY210="","",IF(ISNUMBER('Dvd Calendar'!$Y$2114)=FALSE,"",IF((('Dvd Calendar'!$Y$2116=TYPE1)*(TYPE1&lt;&gt;"")+('Dvd Calendar'!$Y$2116=TYPE2)*(TYPE2&lt;&gt;"")+('Dvd Calendar'!$Y$2116=TYPE3)*(TYPE3&lt;&gt;"")+('Dvd Calendar'!$Y$2116=TYPE4)*(TYPE4&lt;&gt;"")+('Dvd Calendar'!$Y$2116=SPECIAL_LBL)*(INC_SPECIALS="Y"))=0,"",'Dvd Calendar'!$Y$2114)))</f>
        <v/>
      </c>
      <c r="X210" s="161">
        <f>IF(EZ210="","",IF(ISNUMBER('Dvd Calendar'!$Z$2114)=FALSE,"",IF((('Dvd Calendar'!$Z$2116=TYPE1)*(TYPE1&lt;&gt;"")+('Dvd Calendar'!$Z$2116=TYPE2)*(TYPE2&lt;&gt;"")+('Dvd Calendar'!$Z$2116=TYPE3)*(TYPE3&lt;&gt;"")+('Dvd Calendar'!$Z$2116=TYPE4)*(TYPE4&lt;&gt;"")+('Dvd Calendar'!$Z$2116=SPECIAL_LBL)*(INC_SPECIALS="Y"))=0,"",'Dvd Calendar'!$Z$2114)))</f>
        <v/>
      </c>
      <c r="Y210" s="161">
        <f>IF(FA210="","",IF(ISNUMBER('Dvd Calendar'!$AA$2114)=FALSE,"",IF((('Dvd Calendar'!$AA$2116=TYPE1)*(TYPE1&lt;&gt;"")+('Dvd Calendar'!$AA$2116=TYPE2)*(TYPE2&lt;&gt;"")+('Dvd Calendar'!$AA$2116=TYPE3)*(TYPE3&lt;&gt;"")+('Dvd Calendar'!$AA$2116=TYPE4)*(TYPE4&lt;&gt;"")+('Dvd Calendar'!$AA$2116=SPECIAL_LBL)*(INC_SPECIALS="Y"))=0,"",'Dvd Calendar'!$AA$2114)))</f>
        <v/>
      </c>
      <c r="Z210" s="161">
        <f>IF(FB210="","",IF(ISNUMBER('Dvd Calendar'!$AB$2114)=FALSE,"",IF((('Dvd Calendar'!$AB$2116=TYPE1)*(TYPE1&lt;&gt;"")+('Dvd Calendar'!$AB$2116=TYPE2)*(TYPE2&lt;&gt;"")+('Dvd Calendar'!$AB$2116=TYPE3)*(TYPE3&lt;&gt;"")+('Dvd Calendar'!$AB$2116=TYPE4)*(TYPE4&lt;&gt;"")+('Dvd Calendar'!$AB$2116=SPECIAL_LBL)*(INC_SPECIALS="Y"))=0,"",'Dvd Calendar'!$AB$2114)))</f>
        <v/>
      </c>
      <c r="AA210" s="161">
        <f>IF(FC210="","",IF(ISNUMBER('Dvd Calendar'!$AC$2114)=FALSE,"",IF((('Dvd Calendar'!$AC$2116=TYPE1)*(TYPE1&lt;&gt;"")+('Dvd Calendar'!$AC$2116=TYPE2)*(TYPE2&lt;&gt;"")+('Dvd Calendar'!$AC$2116=TYPE3)*(TYPE3&lt;&gt;"")+('Dvd Calendar'!$AC$2116=TYPE4)*(TYPE4&lt;&gt;"")+('Dvd Calendar'!$AC$2116=SPECIAL_LBL)*(INC_SPECIALS="Y"))=0,"",'Dvd Calendar'!$AC$2114)))</f>
        <v/>
      </c>
      <c r="AB210" s="161">
        <f>IF(FD210="","",IF(ISNUMBER('Dvd Calendar'!$AD$2114)=FALSE,"",IF((('Dvd Calendar'!$AD$2116=TYPE1)*(TYPE1&lt;&gt;"")+('Dvd Calendar'!$AD$2116=TYPE2)*(TYPE2&lt;&gt;"")+('Dvd Calendar'!$AD$2116=TYPE3)*(TYPE3&lt;&gt;"")+('Dvd Calendar'!$AD$2116=TYPE4)*(TYPE4&lt;&gt;"")+('Dvd Calendar'!$AD$2116=SPECIAL_LBL)*(INC_SPECIALS="Y"))=0,"",'Dvd Calendar'!$AD$2114)))</f>
        <v/>
      </c>
      <c r="AC210" s="161">
        <f>IF(FE210="","",IF(ISNUMBER('Dvd Calendar'!$AE$2114)=FALSE,"",IF((('Dvd Calendar'!$AE$2116=TYPE1)*(TYPE1&lt;&gt;"")+('Dvd Calendar'!$AE$2116=TYPE2)*(TYPE2&lt;&gt;"")+('Dvd Calendar'!$AE$2116=TYPE3)*(TYPE3&lt;&gt;"")+('Dvd Calendar'!$AE$2116=TYPE4)*(TYPE4&lt;&gt;"")+('Dvd Calendar'!$AE$2116=SPECIAL_LBL)*(INC_SPECIALS="Y"))=0,"",'Dvd Calendar'!$AE$2114)))</f>
        <v/>
      </c>
      <c r="AD210" s="161">
        <f>IF(FF210="","",IF(ISNUMBER('Dvd Calendar'!$AF$2114)=FALSE,"",IF((('Dvd Calendar'!$AF$2116=TYPE1)*(TYPE1&lt;&gt;"")+('Dvd Calendar'!$AF$2116=TYPE2)*(TYPE2&lt;&gt;"")+('Dvd Calendar'!$AF$2116=TYPE3)*(TYPE3&lt;&gt;"")+('Dvd Calendar'!$AF$2116=TYPE4)*(TYPE4&lt;&gt;"")+('Dvd Calendar'!$AF$2116=SPECIAL_LBL)*(INC_SPECIALS="Y"))=0,"",'Dvd Calendar'!$AF$2114)))</f>
        <v/>
      </c>
      <c r="AE210" s="161">
        <f>IF(FG210="","",IF(ISNUMBER('Dvd Calendar'!$AG$2114)=FALSE,"",IF((('Dvd Calendar'!$AG$2116=TYPE1)*(TYPE1&lt;&gt;"")+('Dvd Calendar'!$AG$2116=TYPE2)*(TYPE2&lt;&gt;"")+('Dvd Calendar'!$AG$2116=TYPE3)*(TYPE3&lt;&gt;"")+('Dvd Calendar'!$AG$2116=TYPE4)*(TYPE4&lt;&gt;"")+('Dvd Calendar'!$AG$2116=SPECIAL_LBL)*(INC_SPECIALS="Y"))=0,"",'Dvd Calendar'!$AG$2114)))</f>
        <v/>
      </c>
      <c r="AF210" s="161">
        <f>IF(FH210="","",IF(ISNUMBER('Dvd Calendar'!$AH$2114)=FALSE,"",IF((('Dvd Calendar'!$AH$2116=TYPE1)*(TYPE1&lt;&gt;"")+('Dvd Calendar'!$AH$2116=TYPE2)*(TYPE2&lt;&gt;"")+('Dvd Calendar'!$AH$2116=TYPE3)*(TYPE3&lt;&gt;"")+('Dvd Calendar'!$AH$2116=TYPE4)*(TYPE4&lt;&gt;"")+('Dvd Calendar'!$AH$2116=SPECIAL_LBL)*(INC_SPECIALS="Y"))=0,"",'Dvd Calendar'!$AH$2114)))</f>
        <v/>
      </c>
      <c r="AG210" s="161">
        <f>IF(FI210="","",IF(ISNUMBER('Dvd Calendar'!$AI$2114)=FALSE,"",IF((('Dvd Calendar'!$AI$2116=TYPE1)*(TYPE1&lt;&gt;"")+('Dvd Calendar'!$AI$2116=TYPE2)*(TYPE2&lt;&gt;"")+('Dvd Calendar'!$AI$2116=TYPE3)*(TYPE3&lt;&gt;"")+('Dvd Calendar'!$AI$2116=TYPE4)*(TYPE4&lt;&gt;"")+('Dvd Calendar'!$AI$2116=SPECIAL_LBL)*(INC_SPECIALS="Y"))=0,"",'Dvd Calendar'!$AI$2114)))</f>
        <v/>
      </c>
      <c r="AH210" s="161">
        <f>IF(FJ210="","",IF(ISNUMBER('Dvd Calendar'!$AJ$2114)=FALSE,"",IF((('Dvd Calendar'!$AJ$2116=TYPE1)*(TYPE1&lt;&gt;"")+('Dvd Calendar'!$AJ$2116=TYPE2)*(TYPE2&lt;&gt;"")+('Dvd Calendar'!$AJ$2116=TYPE3)*(TYPE3&lt;&gt;"")+('Dvd Calendar'!$AJ$2116=TYPE4)*(TYPE4&lt;&gt;"")+('Dvd Calendar'!$AJ$2116=SPECIAL_LBL)*(INC_SPECIALS="Y"))=0,"",'Dvd Calendar'!$AJ$2114)))</f>
        <v/>
      </c>
      <c r="AI210" s="161">
        <f>IF(FK210="","",IF(ISNUMBER('Dvd Calendar'!$AK$2114)=FALSE,"",IF((('Dvd Calendar'!$AK$2116=TYPE1)*(TYPE1&lt;&gt;"")+('Dvd Calendar'!$AK$2116=TYPE2)*(TYPE2&lt;&gt;"")+('Dvd Calendar'!$AK$2116=TYPE3)*(TYPE3&lt;&gt;"")+('Dvd Calendar'!$AK$2116=TYPE4)*(TYPE4&lt;&gt;"")+('Dvd Calendar'!$AK$2116=SPECIAL_LBL)*(INC_SPECIALS="Y"))=0,"",'Dvd Calendar'!$AK$2114)))</f>
        <v/>
      </c>
      <c r="AJ210" s="161">
        <f>IF(FL210="","",IF(ISNUMBER('Dvd Calendar'!$AL$2114)=FALSE,"",IF((('Dvd Calendar'!$AL$2116=TYPE1)*(TYPE1&lt;&gt;"")+('Dvd Calendar'!$AL$2116=TYPE2)*(TYPE2&lt;&gt;"")+('Dvd Calendar'!$AL$2116=TYPE3)*(TYPE3&lt;&gt;"")+('Dvd Calendar'!$AL$2116=TYPE4)*(TYPE4&lt;&gt;"")+('Dvd Calendar'!$AL$2116=SPECIAL_LBL)*(INC_SPECIALS="Y"))=0,"",'Dvd Calendar'!$AL$2114)))</f>
        <v/>
      </c>
      <c r="AK210" s="161">
        <f>IF(FM210="","",IF(ISNUMBER('Dvd Calendar'!$AM$2114)=FALSE,"",IF((('Dvd Calendar'!$AM$2116=TYPE1)*(TYPE1&lt;&gt;"")+('Dvd Calendar'!$AM$2116=TYPE2)*(TYPE2&lt;&gt;"")+('Dvd Calendar'!$AM$2116=TYPE3)*(TYPE3&lt;&gt;"")+('Dvd Calendar'!$AM$2116=TYPE4)*(TYPE4&lt;&gt;"")+('Dvd Calendar'!$AM$2116=SPECIAL_LBL)*(INC_SPECIALS="Y"))=0,"",'Dvd Calendar'!$AM$2114)))</f>
        <v/>
      </c>
      <c r="AL210" s="161">
        <f>IF(FN210="","",IF(ISNUMBER('Dvd Calendar'!$AN$2114)=FALSE,"",IF((('Dvd Calendar'!$AN$2116=TYPE1)*(TYPE1&lt;&gt;"")+('Dvd Calendar'!$AN$2116=TYPE2)*(TYPE2&lt;&gt;"")+('Dvd Calendar'!$AN$2116=TYPE3)*(TYPE3&lt;&gt;"")+('Dvd Calendar'!$AN$2116=TYPE4)*(TYPE4&lt;&gt;"")+('Dvd Calendar'!$AN$2116=SPECIAL_LBL)*(INC_SPECIALS="Y"))=0,"",'Dvd Calendar'!$AN$2114)))</f>
        <v/>
      </c>
      <c r="AM210" s="161">
        <f>IF(FO210="","",IF(ISNUMBER('Dvd Calendar'!$AO$2114)=FALSE,"",IF((('Dvd Calendar'!$AO$2116=TYPE1)*(TYPE1&lt;&gt;"")+('Dvd Calendar'!$AO$2116=TYPE2)*(TYPE2&lt;&gt;"")+('Dvd Calendar'!$AO$2116=TYPE3)*(TYPE3&lt;&gt;"")+('Dvd Calendar'!$AO$2116=TYPE4)*(TYPE4&lt;&gt;"")+('Dvd Calendar'!$AO$2116=SPECIAL_LBL)*(INC_SPECIALS="Y"))=0,"",'Dvd Calendar'!$AO$2114)))</f>
        <v/>
      </c>
      <c r="AN210" s="161">
        <f>IF(FP210="","",IF(ISNUMBER('Dvd Calendar'!$AP$2114)=FALSE,"",IF((('Dvd Calendar'!$AP$2116=TYPE1)*(TYPE1&lt;&gt;"")+('Dvd Calendar'!$AP$2116=TYPE2)*(TYPE2&lt;&gt;"")+('Dvd Calendar'!$AP$2116=TYPE3)*(TYPE3&lt;&gt;"")+('Dvd Calendar'!$AP$2116=TYPE4)*(TYPE4&lt;&gt;"")+('Dvd Calendar'!$AP$2116=SPECIAL_LBL)*(INC_SPECIALS="Y"))=0,"",'Dvd Calendar'!$AP$2114)))</f>
        <v/>
      </c>
      <c r="AO210" s="161">
        <f>IF(FQ210="","",IF(ISNUMBER('Dvd Calendar'!$AQ$2114)=FALSE,"",IF((('Dvd Calendar'!$AQ$2116=TYPE1)*(TYPE1&lt;&gt;"")+('Dvd Calendar'!$AQ$2116=TYPE2)*(TYPE2&lt;&gt;"")+('Dvd Calendar'!$AQ$2116=TYPE3)*(TYPE3&lt;&gt;"")+('Dvd Calendar'!$AQ$2116=TYPE4)*(TYPE4&lt;&gt;"")+('Dvd Calendar'!$AQ$2116=SPECIAL_LBL)*(INC_SPECIALS="Y"))=0,"",'Dvd Calendar'!$AQ$2114)))</f>
        <v/>
      </c>
      <c r="AP210" s="161">
        <f>IF(FR210="","",IF(ISNUMBER('Dvd Calendar'!$AR$2114)=FALSE,"",IF((('Dvd Calendar'!$AR$2116=TYPE1)*(TYPE1&lt;&gt;"")+('Dvd Calendar'!$AR$2116=TYPE2)*(TYPE2&lt;&gt;"")+('Dvd Calendar'!$AR$2116=TYPE3)*(TYPE3&lt;&gt;"")+('Dvd Calendar'!$AR$2116=TYPE4)*(TYPE4&lt;&gt;"")+('Dvd Calendar'!$AR$2116=SPECIAL_LBL)*(INC_SPECIALS="Y"))=0,"",'Dvd Calendar'!$AR$2114)))</f>
        <v/>
      </c>
      <c r="AQ210" s="161">
        <f>IF(FS210="","",IF(ISNUMBER('Dvd Calendar'!$E$2119)=FALSE,"",'Dvd Calendar'!$E$2119))</f>
        <v/>
      </c>
      <c r="AR210" s="161">
        <f>IF(FT210="","",IF(ISNUMBER('Dvd Calendar'!$F$2119)=FALSE,"",'Dvd Calendar'!$F$2119))</f>
        <v/>
      </c>
      <c r="AS210" s="161">
        <f>IF(FU210="","",IF(ISNUMBER('Dvd Calendar'!$G$2119)=FALSE,"",'Dvd Calendar'!$G$2119))</f>
        <v/>
      </c>
      <c r="AT210" s="161">
        <f>IF(FV210="","",IF(ISNUMBER('Dvd Calendar'!$H$2119)=FALSE,"",'Dvd Calendar'!$H$2119))</f>
        <v/>
      </c>
      <c r="AU210" s="161">
        <f>IF(FW210="","",IF(ISNUMBER('Dvd Calendar'!$I$2119)=FALSE,"",'Dvd Calendar'!$I$2119))</f>
        <v/>
      </c>
      <c r="AV210" s="161">
        <f>IF(FX210="","",IF(ISNUMBER('Dvd Calendar'!$J$2119)=FALSE,"",'Dvd Calendar'!$J$2119))</f>
        <v/>
      </c>
      <c r="AW210" s="161">
        <f>IF(FY210="","",IF(ISNUMBER('Dvd Calendar'!$K$2119)=FALSE,"",'Dvd Calendar'!$K$2119))</f>
        <v/>
      </c>
      <c r="AX210" s="161">
        <f>IF(FZ210="","",IF(ISNUMBER('Dvd Calendar'!$L$2119)=FALSE,"",'Dvd Calendar'!$L$2119))</f>
        <v/>
      </c>
      <c r="AY210" s="161">
        <f>IF(GA210="","",IF(ISNUMBER('Dvd Calendar'!$M$2119)=FALSE,"",'Dvd Calendar'!$M$2119))</f>
        <v/>
      </c>
      <c r="AZ210" s="161">
        <f>IF(GB210="","",IF(ISNUMBER('Dvd Calendar'!$N$2119)=FALSE,"",'Dvd Calendar'!$N$2119))</f>
        <v/>
      </c>
      <c r="BA210" s="161">
        <f>IF(GC210="","",IF(ISNUMBER('Dvd Calendar'!$O$2119)=FALSE,"",'Dvd Calendar'!$O$2119))</f>
        <v/>
      </c>
      <c r="BB210" s="161">
        <f>IF(GD210="","",IF(ISNUMBER('Dvd Calendar'!$P$2119)=FALSE,"",'Dvd Calendar'!$P$2119))</f>
        <v/>
      </c>
      <c r="BC210" s="161">
        <f>IF(GE210="","",IF(ISNUMBER('Dvd Calendar'!$Q$2119)=FALSE,"",'Dvd Calendar'!$Q$2119))</f>
        <v/>
      </c>
      <c r="BD210" s="161">
        <f>IF(GF210="","",IF(ISNUMBER('Dvd Calendar'!$R$2119)=FALSE,"",'Dvd Calendar'!$R$2119))</f>
        <v/>
      </c>
      <c r="BE210" s="161">
        <f>IF(GG210="","",IF(ISNUMBER('Dvd Calendar'!$S$2119)=FALSE,"",'Dvd Calendar'!$S$2119))</f>
        <v/>
      </c>
      <c r="BF210" s="161">
        <f>IF(GH210="","",IF(ISNUMBER('Dvd Calendar'!$T$2119)=FALSE,"",'Dvd Calendar'!$T$2119))</f>
        <v/>
      </c>
      <c r="BG210" s="161">
        <f>IF(GI210="","",IF(ISNUMBER('Dvd Calendar'!$U$2119)=FALSE,"",'Dvd Calendar'!$U$2119))</f>
        <v/>
      </c>
      <c r="BH210" s="161">
        <f>IF(GJ210="","",IF(ISNUMBER('Dvd Calendar'!$V$2119)=FALSE,"",'Dvd Calendar'!$V$2119))</f>
        <v/>
      </c>
      <c r="BI210" s="161">
        <f>IF(GK210="","",IF(ISNUMBER('Dvd Calendar'!$W$2119)=FALSE,"",'Dvd Calendar'!$W$2119))</f>
        <v/>
      </c>
      <c r="BJ210" s="161">
        <f>IF(GL210="","",IF(ISNUMBER('Dvd Calendar'!$X$2119)=FALSE,"",'Dvd Calendar'!$X$2119))</f>
        <v/>
      </c>
      <c r="BK210" s="161">
        <f>IF(GM210="","",IF(ISNUMBER('Dvd Calendar'!$Y$2119)=FALSE,"",'Dvd Calendar'!$Y$2119))</f>
        <v/>
      </c>
      <c r="BL210" s="161">
        <f>IF(GN210="","",IF(ISNUMBER('Dvd Calendar'!$Z$2119)=FALSE,"",'Dvd Calendar'!$Z$2119))</f>
        <v/>
      </c>
      <c r="BM210" s="161">
        <f>IF(GO210="","",IF(ISNUMBER('Dvd Calendar'!$AA$2119)=FALSE,"",'Dvd Calendar'!$AA$2119))</f>
        <v/>
      </c>
      <c r="BN210" s="161">
        <f>IF(GP210="","",IF(ISNUMBER('Dvd Calendar'!$AB$2119)=FALSE,"",'Dvd Calendar'!$AB$2119))</f>
        <v/>
      </c>
      <c r="BO210" s="161">
        <f>IF(GQ210="","",IF(ISNUMBER('Dvd Calendar'!$AC$2119)=FALSE,"",'Dvd Calendar'!$AC$2119))</f>
        <v/>
      </c>
      <c r="BQ210" s="161">
        <f>IF(C210="","",IFERROR(C210*HSCEI!$B$57*HSCEI!$G$57/HSCEI!$B$3,""))</f>
        <v/>
      </c>
      <c r="BR210" s="161">
        <f>IF(D210="","",IFERROR(D210*HSCEI!$B$57*HSCEI!$G$57/HSCEI!$B$3,""))</f>
        <v/>
      </c>
      <c r="BS210" s="161">
        <f>IF(E210="","",IFERROR(E210*HSCEI!$B$57*HSCEI!$G$57/HSCEI!$B$3,""))</f>
        <v/>
      </c>
      <c r="BT210" s="161">
        <f>IF(F210="","",IFERROR(F210*HSCEI!$B$57*HSCEI!$G$57/HSCEI!$B$3,""))</f>
        <v/>
      </c>
      <c r="BU210" s="161">
        <f>IF(G210="","",IFERROR(G210*HSCEI!$B$57*HSCEI!$G$57/HSCEI!$B$3,""))</f>
        <v/>
      </c>
      <c r="BV210" s="161">
        <f>IF(H210="","",IFERROR(H210*HSCEI!$B$57*HSCEI!$G$57/HSCEI!$B$3,""))</f>
        <v/>
      </c>
      <c r="BW210" s="161">
        <f>IF(I210="","",IFERROR(I210*HSCEI!$B$57*HSCEI!$G$57/HSCEI!$B$3,""))</f>
        <v/>
      </c>
      <c r="BX210" s="161">
        <f>IF(J210="","",IFERROR(J210*HSCEI!$B$57*HSCEI!$G$57/HSCEI!$B$3,""))</f>
        <v/>
      </c>
      <c r="BY210" s="161">
        <f>IF(K210="","",IFERROR(K210*HSCEI!$B$57*HSCEI!$G$57/HSCEI!$B$3,""))</f>
        <v/>
      </c>
      <c r="BZ210" s="161">
        <f>IF(L210="","",IFERROR(L210*HSCEI!$B$57*HSCEI!$G$57/HSCEI!$B$3,""))</f>
        <v/>
      </c>
      <c r="CA210" s="161">
        <f>IF(M210="","",IFERROR(M210*HSCEI!$B$57*HSCEI!$G$57/HSCEI!$B$3,""))</f>
        <v/>
      </c>
      <c r="CB210" s="161">
        <f>IF(N210="","",IFERROR(N210*HSCEI!$B$57*HSCEI!$G$57/HSCEI!$B$3,""))</f>
        <v/>
      </c>
      <c r="CC210" s="161">
        <f>IF(O210="","",IFERROR(O210*HSCEI!$B$57*HSCEI!$G$57/HSCEI!$B$3,""))</f>
        <v/>
      </c>
      <c r="CD210" s="161">
        <f>IF(P210="","",IFERROR(P210*HSCEI!$B$57*HSCEI!$G$57/HSCEI!$B$3,""))</f>
        <v/>
      </c>
      <c r="CE210" s="161">
        <f>IF(Q210="","",IFERROR(Q210*HSCEI!$B$57*HSCEI!$G$57/HSCEI!$B$3,""))</f>
        <v/>
      </c>
      <c r="CF210" s="161">
        <f>IF(R210="","",IFERROR(R210*HSCEI!$B$57*HSCEI!$G$57/HSCEI!$B$3,""))</f>
        <v/>
      </c>
      <c r="CG210" s="161">
        <f>IF(S210="","",IFERROR(S210*HSCEI!$B$57*HSCEI!$G$57/HSCEI!$B$3,""))</f>
        <v/>
      </c>
      <c r="CH210" s="161">
        <f>IF(T210="","",IFERROR(T210*HSCEI!$B$57*HSCEI!$G$57/HSCEI!$B$3,""))</f>
        <v/>
      </c>
      <c r="CI210" s="161">
        <f>IF(U210="","",IFERROR(U210*HSCEI!$B$57*HSCEI!$G$57/HSCEI!$B$3,""))</f>
        <v/>
      </c>
      <c r="CJ210" s="161">
        <f>IF(V210="","",IFERROR(V210*HSCEI!$B$57*HSCEI!$G$57/HSCEI!$B$3,""))</f>
        <v/>
      </c>
      <c r="CK210" s="161">
        <f>IF(W210="","",IFERROR(W210*HSCEI!$B$57*HSCEI!$G$57/HSCEI!$B$3,""))</f>
        <v/>
      </c>
      <c r="CL210" s="161">
        <f>IF(X210="","",IFERROR(X210*HSCEI!$B$57*HSCEI!$G$57/HSCEI!$B$3,""))</f>
        <v/>
      </c>
      <c r="CM210" s="161">
        <f>IF(Y210="","",IFERROR(Y210*HSCEI!$B$57*HSCEI!$G$57/HSCEI!$B$3,""))</f>
        <v/>
      </c>
      <c r="CN210" s="161">
        <f>IF(Z210="","",IFERROR(Z210*HSCEI!$B$57*HSCEI!$G$57/HSCEI!$B$3,""))</f>
        <v/>
      </c>
      <c r="CO210" s="161">
        <f>IF(AA210="","",IFERROR(AA210*HSCEI!$B$57*HSCEI!$G$57/HSCEI!$B$3,""))</f>
        <v/>
      </c>
      <c r="CP210" s="161">
        <f>IF(AB210="","",IFERROR(AB210*HSCEI!$B$57*HSCEI!$G$57/HSCEI!$B$3,""))</f>
        <v/>
      </c>
      <c r="CQ210" s="161">
        <f>IF(AC210="","",IFERROR(AC210*HSCEI!$B$57*HSCEI!$G$57/HSCEI!$B$3,""))</f>
        <v/>
      </c>
      <c r="CR210" s="161">
        <f>IF(AD210="","",IFERROR(AD210*HSCEI!$B$57*HSCEI!$G$57/HSCEI!$B$3,""))</f>
        <v/>
      </c>
      <c r="CS210" s="161">
        <f>IF(AE210="","",IFERROR(AE210*HSCEI!$B$57*HSCEI!$G$57/HSCEI!$B$3,""))</f>
        <v/>
      </c>
      <c r="CT210" s="161">
        <f>IF(AF210="","",IFERROR(AF210*HSCEI!$B$57*HSCEI!$G$57/HSCEI!$B$3,""))</f>
        <v/>
      </c>
      <c r="CU210" s="161">
        <f>IF(AG210="","",IFERROR(AG210*HSCEI!$B$57*HSCEI!$G$57/HSCEI!$B$3,""))</f>
        <v/>
      </c>
      <c r="CV210" s="161">
        <f>IF(AH210="","",IFERROR(AH210*HSCEI!$B$57*HSCEI!$G$57/HSCEI!$B$3,""))</f>
        <v/>
      </c>
      <c r="CW210" s="161">
        <f>IF(AI210="","",IFERROR(AI210*HSCEI!$B$57*HSCEI!$G$57/HSCEI!$B$3,""))</f>
        <v/>
      </c>
      <c r="CX210" s="161">
        <f>IF(AJ210="","",IFERROR(AJ210*HSCEI!$B$57*HSCEI!$G$57/HSCEI!$B$3,""))</f>
        <v/>
      </c>
      <c r="CY210" s="161">
        <f>IF(AK210="","",IFERROR(AK210*HSCEI!$B$57*HSCEI!$G$57/HSCEI!$B$3,""))</f>
        <v/>
      </c>
      <c r="CZ210" s="161">
        <f>IF(AL210="","",IFERROR(AL210*HSCEI!$B$57*HSCEI!$G$57/HSCEI!$B$3,""))</f>
        <v/>
      </c>
      <c r="DA210" s="161">
        <f>IF(AM210="","",IFERROR(AM210*HSCEI!$B$57*HSCEI!$G$57/HSCEI!$B$3,""))</f>
        <v/>
      </c>
      <c r="DB210" s="161">
        <f>IF(AN210="","",IFERROR(AN210*HSCEI!$B$57*HSCEI!$G$57/HSCEI!$B$3,""))</f>
        <v/>
      </c>
      <c r="DC210" s="161">
        <f>IF(AO210="","",IFERROR(AO210*HSCEI!$B$57*HSCEI!$G$57/HSCEI!$B$3,""))</f>
        <v/>
      </c>
      <c r="DD210" s="161">
        <f>IF(AP210="","",IFERROR(AP210*HSCEI!$B$57*HSCEI!$G$57/HSCEI!$B$3,""))</f>
        <v/>
      </c>
      <c r="DE210" s="161">
        <f>IF(AQ210="","",IFERROR(AQ210*HSCEI!$B$57*HSCEI!$G$57/HSCEI!$B$3,""))</f>
        <v/>
      </c>
      <c r="DF210" s="161">
        <f>IF(AR210="","",IFERROR(AR210*HSCEI!$B$57*HSCEI!$G$57/HSCEI!$B$3,""))</f>
        <v/>
      </c>
      <c r="DG210" s="161">
        <f>IF(AS210="","",IFERROR(AS210*HSCEI!$B$57*HSCEI!$G$57/HSCEI!$B$3,""))</f>
        <v/>
      </c>
      <c r="DH210" s="161">
        <f>IF(AT210="","",IFERROR(AT210*HSCEI!$B$57*HSCEI!$G$57/HSCEI!$B$3,""))</f>
        <v/>
      </c>
      <c r="DI210" s="161">
        <f>IF(AU210="","",IFERROR(AU210*HSCEI!$B$57*HSCEI!$G$57/HSCEI!$B$3,""))</f>
        <v/>
      </c>
      <c r="DJ210" s="161">
        <f>IF(AV210="","",IFERROR(AV210*HSCEI!$B$57*HSCEI!$G$57/HSCEI!$B$3,""))</f>
        <v/>
      </c>
      <c r="DK210" s="161">
        <f>IF(AW210="","",IFERROR(AW210*HSCEI!$B$57*HSCEI!$G$57/HSCEI!$B$3,""))</f>
        <v/>
      </c>
      <c r="DL210" s="161">
        <f>IF(AX210="","",IFERROR(AX210*HSCEI!$B$57*HSCEI!$G$57/HSCEI!$B$3,""))</f>
        <v/>
      </c>
      <c r="DM210" s="161">
        <f>IF(AY210="","",IFERROR(AY210*HSCEI!$B$57*HSCEI!$G$57/HSCEI!$B$3,""))</f>
        <v/>
      </c>
      <c r="DN210" s="161">
        <f>IF(AZ210="","",IFERROR(AZ210*HSCEI!$B$57*HSCEI!$G$57/HSCEI!$B$3,""))</f>
        <v/>
      </c>
      <c r="DO210" s="161">
        <f>IF(BA210="","",IFERROR(BA210*HSCEI!$B$57*HSCEI!$G$57/HSCEI!$B$3,""))</f>
        <v/>
      </c>
      <c r="DP210" s="161">
        <f>IF(BB210="","",IFERROR(BB210*HSCEI!$B$57*HSCEI!$G$57/HSCEI!$B$3,""))</f>
        <v/>
      </c>
      <c r="DQ210" s="161">
        <f>IF(BC210="","",IFERROR(BC210*HSCEI!$B$57*HSCEI!$G$57/HSCEI!$B$3,""))</f>
        <v/>
      </c>
      <c r="DR210" s="161">
        <f>IF(BD210="","",IFERROR(BD210*HSCEI!$B$57*HSCEI!$G$57/HSCEI!$B$3,""))</f>
        <v/>
      </c>
      <c r="DS210" s="161">
        <f>IF(BE210="","",IFERROR(BE210*HSCEI!$B$57*HSCEI!$G$57/HSCEI!$B$3,""))</f>
        <v/>
      </c>
      <c r="DT210" s="161">
        <f>IF(BF210="","",IFERROR(BF210*HSCEI!$B$57*HSCEI!$G$57/HSCEI!$B$3,""))</f>
        <v/>
      </c>
      <c r="DU210" s="161">
        <f>IF(BG210="","",IFERROR(BG210*HSCEI!$B$57*HSCEI!$G$57/HSCEI!$B$3,""))</f>
        <v/>
      </c>
      <c r="DV210" s="161">
        <f>IF(BH210="","",IFERROR(BH210*HSCEI!$B$57*HSCEI!$G$57/HSCEI!$B$3,""))</f>
        <v/>
      </c>
      <c r="DW210" s="161">
        <f>IF(BI210="","",IFERROR(BI210*HSCEI!$B$57*HSCEI!$G$57/HSCEI!$B$3,""))</f>
        <v/>
      </c>
      <c r="DX210" s="161">
        <f>IF(BJ210="","",IFERROR(BJ210*HSCEI!$B$57*HSCEI!$G$57/HSCEI!$B$3,""))</f>
        <v/>
      </c>
      <c r="DY210" s="161">
        <f>IF(BK210="","",IFERROR(BK210*HSCEI!$B$57*HSCEI!$G$57/HSCEI!$B$3,""))</f>
        <v/>
      </c>
      <c r="DZ210" s="161">
        <f>IF(BL210="","",IFERROR(BL210*HSCEI!$B$57*HSCEI!$G$57/HSCEI!$B$3,""))</f>
        <v/>
      </c>
      <c r="EA210" s="161">
        <f>IF(BM210="","",IFERROR(BM210*HSCEI!$B$57*HSCEI!$G$57/HSCEI!$B$3,""))</f>
        <v/>
      </c>
      <c r="EB210" s="161">
        <f>IF(BN210="","",IFERROR(BN210*HSCEI!$B$57*HSCEI!$G$57/HSCEI!$B$3,""))</f>
        <v/>
      </c>
      <c r="EC210" s="161">
        <f>IF(BO210="","",IFERROR(BO210*HSCEI!$B$57*HSCEI!$G$57/HSCEI!$B$3,""))</f>
        <v/>
      </c>
      <c r="EE210" s="121">
        <f>IF(N('Dvd Calendar'!$E$2111)=0,"",IF(('Dvd Calendar'!$E$2111&gt;=GRID_FROM)*('Dvd Calendar'!$E$2111&lt;=GRID_TO)*((('Dvd Calendar'!$E$2111&lt;=VAL_DATE)+(COUNTIF('Dvd Calendar'!$E$2118:$AR$2118,'Dvd Calendar'!$E$2111)=0))&gt;0)=0,"",'Dvd Calendar'!$E$2111*1000000000+ISNUMBER('Dvd Calendar'!$E$2114)*100000000+('Dvd Calendar'!$E$2116=SPECIAL_LBL)*10000000+(N('Dvd Calendar'!$E$2110)&gt;0)*(N('Dvd Calendar'!$E$2110)&lt;=VAL_SERIAL)*1000000+51*1000+1))</f>
        <v/>
      </c>
      <c r="EF210" s="121">
        <f>IF(N('Dvd Calendar'!$F$2111)=0,"",IF(('Dvd Calendar'!$F$2111&gt;=GRID_FROM)*('Dvd Calendar'!$F$2111&lt;=GRID_TO)*((('Dvd Calendar'!$F$2111&lt;=VAL_DATE)+(COUNTIF('Dvd Calendar'!$E$2118:$AR$2118,'Dvd Calendar'!$F$2111)=0))&gt;0)=0,"",'Dvd Calendar'!$F$2111*1000000000+ISNUMBER('Dvd Calendar'!$F$2114)*100000000+('Dvd Calendar'!$F$2116=SPECIAL_LBL)*10000000+(N('Dvd Calendar'!$F$2110)&gt;0)*(N('Dvd Calendar'!$F$2110)&lt;=VAL_SERIAL)*1000000+51*1000+2))</f>
        <v/>
      </c>
      <c r="EG210" s="121">
        <f>IF(N('Dvd Calendar'!$G$2111)=0,"",IF(('Dvd Calendar'!$G$2111&gt;=GRID_FROM)*('Dvd Calendar'!$G$2111&lt;=GRID_TO)*((('Dvd Calendar'!$G$2111&lt;=VAL_DATE)+(COUNTIF('Dvd Calendar'!$E$2118:$AR$2118,'Dvd Calendar'!$G$2111)=0))&gt;0)=0,"",'Dvd Calendar'!$G$2111*1000000000+ISNUMBER('Dvd Calendar'!$G$2114)*100000000+('Dvd Calendar'!$G$2116=SPECIAL_LBL)*10000000+(N('Dvd Calendar'!$G$2110)&gt;0)*(N('Dvd Calendar'!$G$2110)&lt;=VAL_SERIAL)*1000000+51*1000+3))</f>
        <v/>
      </c>
      <c r="EH210" s="121">
        <f>IF(N('Dvd Calendar'!$H$2111)=0,"",IF(('Dvd Calendar'!$H$2111&gt;=GRID_FROM)*('Dvd Calendar'!$H$2111&lt;=GRID_TO)*((('Dvd Calendar'!$H$2111&lt;=VAL_DATE)+(COUNTIF('Dvd Calendar'!$E$2118:$AR$2118,'Dvd Calendar'!$H$2111)=0))&gt;0)=0,"",'Dvd Calendar'!$H$2111*1000000000+ISNUMBER('Dvd Calendar'!$H$2114)*100000000+('Dvd Calendar'!$H$2116=SPECIAL_LBL)*10000000+(N('Dvd Calendar'!$H$2110)&gt;0)*(N('Dvd Calendar'!$H$2110)&lt;=VAL_SERIAL)*1000000+51*1000+4))</f>
        <v/>
      </c>
      <c r="EI210" s="121">
        <f>IF(N('Dvd Calendar'!$I$2111)=0,"",IF(('Dvd Calendar'!$I$2111&gt;=GRID_FROM)*('Dvd Calendar'!$I$2111&lt;=GRID_TO)*((('Dvd Calendar'!$I$2111&lt;=VAL_DATE)+(COUNTIF('Dvd Calendar'!$E$2118:$AR$2118,'Dvd Calendar'!$I$2111)=0))&gt;0)=0,"",'Dvd Calendar'!$I$2111*1000000000+ISNUMBER('Dvd Calendar'!$I$2114)*100000000+('Dvd Calendar'!$I$2116=SPECIAL_LBL)*10000000+(N('Dvd Calendar'!$I$2110)&gt;0)*(N('Dvd Calendar'!$I$2110)&lt;=VAL_SERIAL)*1000000+51*1000+5))</f>
        <v/>
      </c>
      <c r="EJ210" s="121">
        <f>IF(N('Dvd Calendar'!$J$2111)=0,"",IF(('Dvd Calendar'!$J$2111&gt;=GRID_FROM)*('Dvd Calendar'!$J$2111&lt;=GRID_TO)*((('Dvd Calendar'!$J$2111&lt;=VAL_DATE)+(COUNTIF('Dvd Calendar'!$E$2118:$AR$2118,'Dvd Calendar'!$J$2111)=0))&gt;0)=0,"",'Dvd Calendar'!$J$2111*1000000000+ISNUMBER('Dvd Calendar'!$J$2114)*100000000+('Dvd Calendar'!$J$2116=SPECIAL_LBL)*10000000+(N('Dvd Calendar'!$J$2110)&gt;0)*(N('Dvd Calendar'!$J$2110)&lt;=VAL_SERIAL)*1000000+51*1000+6))</f>
        <v/>
      </c>
      <c r="EK210" s="121">
        <f>IF(N('Dvd Calendar'!$K$2111)=0,"",IF(('Dvd Calendar'!$K$2111&gt;=GRID_FROM)*('Dvd Calendar'!$K$2111&lt;=GRID_TO)*((('Dvd Calendar'!$K$2111&lt;=VAL_DATE)+(COUNTIF('Dvd Calendar'!$E$2118:$AR$2118,'Dvd Calendar'!$K$2111)=0))&gt;0)=0,"",'Dvd Calendar'!$K$2111*1000000000+ISNUMBER('Dvd Calendar'!$K$2114)*100000000+('Dvd Calendar'!$K$2116=SPECIAL_LBL)*10000000+(N('Dvd Calendar'!$K$2110)&gt;0)*(N('Dvd Calendar'!$K$2110)&lt;=VAL_SERIAL)*1000000+51*1000+7))</f>
        <v/>
      </c>
      <c r="EL210" s="121">
        <f>IF(N('Dvd Calendar'!$L$2111)=0,"",IF(('Dvd Calendar'!$L$2111&gt;=GRID_FROM)*('Dvd Calendar'!$L$2111&lt;=GRID_TO)*((('Dvd Calendar'!$L$2111&lt;=VAL_DATE)+(COUNTIF('Dvd Calendar'!$E$2118:$AR$2118,'Dvd Calendar'!$L$2111)=0))&gt;0)=0,"",'Dvd Calendar'!$L$2111*1000000000+ISNUMBER('Dvd Calendar'!$L$2114)*100000000+('Dvd Calendar'!$L$2116=SPECIAL_LBL)*10000000+(N('Dvd Calendar'!$L$2110)&gt;0)*(N('Dvd Calendar'!$L$2110)&lt;=VAL_SERIAL)*1000000+51*1000+8))</f>
        <v/>
      </c>
      <c r="EM210" s="121">
        <f>IF(N('Dvd Calendar'!$M$2111)=0,"",IF(('Dvd Calendar'!$M$2111&gt;=GRID_FROM)*('Dvd Calendar'!$M$2111&lt;=GRID_TO)*((('Dvd Calendar'!$M$2111&lt;=VAL_DATE)+(COUNTIF('Dvd Calendar'!$E$2118:$AR$2118,'Dvd Calendar'!$M$2111)=0))&gt;0)=0,"",'Dvd Calendar'!$M$2111*1000000000+ISNUMBER('Dvd Calendar'!$M$2114)*100000000+('Dvd Calendar'!$M$2116=SPECIAL_LBL)*10000000+(N('Dvd Calendar'!$M$2110)&gt;0)*(N('Dvd Calendar'!$M$2110)&lt;=VAL_SERIAL)*1000000+51*1000+9))</f>
        <v/>
      </c>
      <c r="EN210" s="121">
        <f>IF(N('Dvd Calendar'!$N$2111)=0,"",IF(('Dvd Calendar'!$N$2111&gt;=GRID_FROM)*('Dvd Calendar'!$N$2111&lt;=GRID_TO)*((('Dvd Calendar'!$N$2111&lt;=VAL_DATE)+(COUNTIF('Dvd Calendar'!$E$2118:$AR$2118,'Dvd Calendar'!$N$2111)=0))&gt;0)=0,"",'Dvd Calendar'!$N$2111*1000000000+ISNUMBER('Dvd Calendar'!$N$2114)*100000000+('Dvd Calendar'!$N$2116=SPECIAL_LBL)*10000000+(N('Dvd Calendar'!$N$2110)&gt;0)*(N('Dvd Calendar'!$N$2110)&lt;=VAL_SERIAL)*1000000+51*1000+10))</f>
        <v/>
      </c>
      <c r="EO210" s="121">
        <f>IF(N('Dvd Calendar'!$O$2111)=0,"",IF(('Dvd Calendar'!$O$2111&gt;=GRID_FROM)*('Dvd Calendar'!$O$2111&lt;=GRID_TO)*((('Dvd Calendar'!$O$2111&lt;=VAL_DATE)+(COUNTIF('Dvd Calendar'!$E$2118:$AR$2118,'Dvd Calendar'!$O$2111)=0))&gt;0)=0,"",'Dvd Calendar'!$O$2111*1000000000+ISNUMBER('Dvd Calendar'!$O$2114)*100000000+('Dvd Calendar'!$O$2116=SPECIAL_LBL)*10000000+(N('Dvd Calendar'!$O$2110)&gt;0)*(N('Dvd Calendar'!$O$2110)&lt;=VAL_SERIAL)*1000000+51*1000+11))</f>
        <v/>
      </c>
      <c r="EP210" s="121">
        <f>IF(N('Dvd Calendar'!$P$2111)=0,"",IF(('Dvd Calendar'!$P$2111&gt;=GRID_FROM)*('Dvd Calendar'!$P$2111&lt;=GRID_TO)*((('Dvd Calendar'!$P$2111&lt;=VAL_DATE)+(COUNTIF('Dvd Calendar'!$E$2118:$AR$2118,'Dvd Calendar'!$P$2111)=0))&gt;0)=0,"",'Dvd Calendar'!$P$2111*1000000000+ISNUMBER('Dvd Calendar'!$P$2114)*100000000+('Dvd Calendar'!$P$2116=SPECIAL_LBL)*10000000+(N('Dvd Calendar'!$P$2110)&gt;0)*(N('Dvd Calendar'!$P$2110)&lt;=VAL_SERIAL)*1000000+51*1000+12))</f>
        <v/>
      </c>
      <c r="EQ210" s="121">
        <f>IF(N('Dvd Calendar'!$Q$2111)=0,"",IF(('Dvd Calendar'!$Q$2111&gt;=GRID_FROM)*('Dvd Calendar'!$Q$2111&lt;=GRID_TO)*((('Dvd Calendar'!$Q$2111&lt;=VAL_DATE)+(COUNTIF('Dvd Calendar'!$E$2118:$AR$2118,'Dvd Calendar'!$Q$2111)=0))&gt;0)=0,"",'Dvd Calendar'!$Q$2111*1000000000+ISNUMBER('Dvd Calendar'!$Q$2114)*100000000+('Dvd Calendar'!$Q$2116=SPECIAL_LBL)*10000000+(N('Dvd Calendar'!$Q$2110)&gt;0)*(N('Dvd Calendar'!$Q$2110)&lt;=VAL_SERIAL)*1000000+51*1000+13))</f>
        <v/>
      </c>
      <c r="ER210" s="121">
        <f>IF(N('Dvd Calendar'!$R$2111)=0,"",IF(('Dvd Calendar'!$R$2111&gt;=GRID_FROM)*('Dvd Calendar'!$R$2111&lt;=GRID_TO)*((('Dvd Calendar'!$R$2111&lt;=VAL_DATE)+(COUNTIF('Dvd Calendar'!$E$2118:$AR$2118,'Dvd Calendar'!$R$2111)=0))&gt;0)=0,"",'Dvd Calendar'!$R$2111*1000000000+ISNUMBER('Dvd Calendar'!$R$2114)*100000000+('Dvd Calendar'!$R$2116=SPECIAL_LBL)*10000000+(N('Dvd Calendar'!$R$2110)&gt;0)*(N('Dvd Calendar'!$R$2110)&lt;=VAL_SERIAL)*1000000+51*1000+14))</f>
        <v/>
      </c>
      <c r="ES210" s="121">
        <f>IF(N('Dvd Calendar'!$S$2111)=0,"",IF(('Dvd Calendar'!$S$2111&gt;=GRID_FROM)*('Dvd Calendar'!$S$2111&lt;=GRID_TO)*((('Dvd Calendar'!$S$2111&lt;=VAL_DATE)+(COUNTIF('Dvd Calendar'!$E$2118:$AR$2118,'Dvd Calendar'!$S$2111)=0))&gt;0)=0,"",'Dvd Calendar'!$S$2111*1000000000+ISNUMBER('Dvd Calendar'!$S$2114)*100000000+('Dvd Calendar'!$S$2116=SPECIAL_LBL)*10000000+(N('Dvd Calendar'!$S$2110)&gt;0)*(N('Dvd Calendar'!$S$2110)&lt;=VAL_SERIAL)*1000000+51*1000+15))</f>
        <v/>
      </c>
      <c r="ET210" s="121">
        <f>IF(N('Dvd Calendar'!$T$2111)=0,"",IF(('Dvd Calendar'!$T$2111&gt;=GRID_FROM)*('Dvd Calendar'!$T$2111&lt;=GRID_TO)*((('Dvd Calendar'!$T$2111&lt;=VAL_DATE)+(COUNTIF('Dvd Calendar'!$E$2118:$AR$2118,'Dvd Calendar'!$T$2111)=0))&gt;0)=0,"",'Dvd Calendar'!$T$2111*1000000000+ISNUMBER('Dvd Calendar'!$T$2114)*100000000+('Dvd Calendar'!$T$2116=SPECIAL_LBL)*10000000+(N('Dvd Calendar'!$T$2110)&gt;0)*(N('Dvd Calendar'!$T$2110)&lt;=VAL_SERIAL)*1000000+51*1000+16))</f>
        <v/>
      </c>
      <c r="EU210" s="121">
        <f>IF(N('Dvd Calendar'!$U$2111)=0,"",IF(('Dvd Calendar'!$U$2111&gt;=GRID_FROM)*('Dvd Calendar'!$U$2111&lt;=GRID_TO)*((('Dvd Calendar'!$U$2111&lt;=VAL_DATE)+(COUNTIF('Dvd Calendar'!$E$2118:$AR$2118,'Dvd Calendar'!$U$2111)=0))&gt;0)=0,"",'Dvd Calendar'!$U$2111*1000000000+ISNUMBER('Dvd Calendar'!$U$2114)*100000000+('Dvd Calendar'!$U$2116=SPECIAL_LBL)*10000000+(N('Dvd Calendar'!$U$2110)&gt;0)*(N('Dvd Calendar'!$U$2110)&lt;=VAL_SERIAL)*1000000+51*1000+17))</f>
        <v/>
      </c>
      <c r="EV210" s="121">
        <f>IF(N('Dvd Calendar'!$V$2111)=0,"",IF(('Dvd Calendar'!$V$2111&gt;=GRID_FROM)*('Dvd Calendar'!$V$2111&lt;=GRID_TO)*((('Dvd Calendar'!$V$2111&lt;=VAL_DATE)+(COUNTIF('Dvd Calendar'!$E$2118:$AR$2118,'Dvd Calendar'!$V$2111)=0))&gt;0)=0,"",'Dvd Calendar'!$V$2111*1000000000+ISNUMBER('Dvd Calendar'!$V$2114)*100000000+('Dvd Calendar'!$V$2116=SPECIAL_LBL)*10000000+(N('Dvd Calendar'!$V$2110)&gt;0)*(N('Dvd Calendar'!$V$2110)&lt;=VAL_SERIAL)*1000000+51*1000+18))</f>
        <v/>
      </c>
      <c r="EW210" s="121">
        <f>IF(N('Dvd Calendar'!$W$2111)=0,"",IF(('Dvd Calendar'!$W$2111&gt;=GRID_FROM)*('Dvd Calendar'!$W$2111&lt;=GRID_TO)*((('Dvd Calendar'!$W$2111&lt;=VAL_DATE)+(COUNTIF('Dvd Calendar'!$E$2118:$AR$2118,'Dvd Calendar'!$W$2111)=0))&gt;0)=0,"",'Dvd Calendar'!$W$2111*1000000000+ISNUMBER('Dvd Calendar'!$W$2114)*100000000+('Dvd Calendar'!$W$2116=SPECIAL_LBL)*10000000+(N('Dvd Calendar'!$W$2110)&gt;0)*(N('Dvd Calendar'!$W$2110)&lt;=VAL_SERIAL)*1000000+51*1000+19))</f>
        <v/>
      </c>
      <c r="EX210" s="121">
        <f>IF(N('Dvd Calendar'!$X$2111)=0,"",IF(('Dvd Calendar'!$X$2111&gt;=GRID_FROM)*('Dvd Calendar'!$X$2111&lt;=GRID_TO)*((('Dvd Calendar'!$X$2111&lt;=VAL_DATE)+(COUNTIF('Dvd Calendar'!$E$2118:$AR$2118,'Dvd Calendar'!$X$2111)=0))&gt;0)=0,"",'Dvd Calendar'!$X$2111*1000000000+ISNUMBER('Dvd Calendar'!$X$2114)*100000000+('Dvd Calendar'!$X$2116=SPECIAL_LBL)*10000000+(N('Dvd Calendar'!$X$2110)&gt;0)*(N('Dvd Calendar'!$X$2110)&lt;=VAL_SERIAL)*1000000+51*1000+20))</f>
        <v/>
      </c>
      <c r="EY210" s="121">
        <f>IF(N('Dvd Calendar'!$Y$2111)=0,"",IF(('Dvd Calendar'!$Y$2111&gt;=GRID_FROM)*('Dvd Calendar'!$Y$2111&lt;=GRID_TO)*((('Dvd Calendar'!$Y$2111&lt;=VAL_DATE)+(COUNTIF('Dvd Calendar'!$E$2118:$AR$2118,'Dvd Calendar'!$Y$2111)=0))&gt;0)=0,"",'Dvd Calendar'!$Y$2111*1000000000+ISNUMBER('Dvd Calendar'!$Y$2114)*100000000+('Dvd Calendar'!$Y$2116=SPECIAL_LBL)*10000000+(N('Dvd Calendar'!$Y$2110)&gt;0)*(N('Dvd Calendar'!$Y$2110)&lt;=VAL_SERIAL)*1000000+51*1000+21))</f>
        <v/>
      </c>
      <c r="EZ210" s="121">
        <f>IF(N('Dvd Calendar'!$Z$2111)=0,"",IF(('Dvd Calendar'!$Z$2111&gt;=GRID_FROM)*('Dvd Calendar'!$Z$2111&lt;=GRID_TO)*((('Dvd Calendar'!$Z$2111&lt;=VAL_DATE)+(COUNTIF('Dvd Calendar'!$E$2118:$AR$2118,'Dvd Calendar'!$Z$2111)=0))&gt;0)=0,"",'Dvd Calendar'!$Z$2111*1000000000+ISNUMBER('Dvd Calendar'!$Z$2114)*100000000+('Dvd Calendar'!$Z$2116=SPECIAL_LBL)*10000000+(N('Dvd Calendar'!$Z$2110)&gt;0)*(N('Dvd Calendar'!$Z$2110)&lt;=VAL_SERIAL)*1000000+51*1000+22))</f>
        <v/>
      </c>
      <c r="FA210" s="121">
        <f>IF(N('Dvd Calendar'!$AA$2111)=0,"",IF(('Dvd Calendar'!$AA$2111&gt;=GRID_FROM)*('Dvd Calendar'!$AA$2111&lt;=GRID_TO)*((('Dvd Calendar'!$AA$2111&lt;=VAL_DATE)+(COUNTIF('Dvd Calendar'!$E$2118:$AR$2118,'Dvd Calendar'!$AA$2111)=0))&gt;0)=0,"",'Dvd Calendar'!$AA$2111*1000000000+ISNUMBER('Dvd Calendar'!$AA$2114)*100000000+('Dvd Calendar'!$AA$2116=SPECIAL_LBL)*10000000+(N('Dvd Calendar'!$AA$2110)&gt;0)*(N('Dvd Calendar'!$AA$2110)&lt;=VAL_SERIAL)*1000000+51*1000+23))</f>
        <v/>
      </c>
      <c r="FB210" s="121">
        <f>IF(N('Dvd Calendar'!$AB$2111)=0,"",IF(('Dvd Calendar'!$AB$2111&gt;=GRID_FROM)*('Dvd Calendar'!$AB$2111&lt;=GRID_TO)*((('Dvd Calendar'!$AB$2111&lt;=VAL_DATE)+(COUNTIF('Dvd Calendar'!$E$2118:$AR$2118,'Dvd Calendar'!$AB$2111)=0))&gt;0)=0,"",'Dvd Calendar'!$AB$2111*1000000000+ISNUMBER('Dvd Calendar'!$AB$2114)*100000000+('Dvd Calendar'!$AB$2116=SPECIAL_LBL)*10000000+(N('Dvd Calendar'!$AB$2110)&gt;0)*(N('Dvd Calendar'!$AB$2110)&lt;=VAL_SERIAL)*1000000+51*1000+24))</f>
        <v/>
      </c>
      <c r="FC210" s="121">
        <f>IF(N('Dvd Calendar'!$AC$2111)=0,"",IF(('Dvd Calendar'!$AC$2111&gt;=GRID_FROM)*('Dvd Calendar'!$AC$2111&lt;=GRID_TO)*((('Dvd Calendar'!$AC$2111&lt;=VAL_DATE)+(COUNTIF('Dvd Calendar'!$E$2118:$AR$2118,'Dvd Calendar'!$AC$2111)=0))&gt;0)=0,"",'Dvd Calendar'!$AC$2111*1000000000+ISNUMBER('Dvd Calendar'!$AC$2114)*100000000+('Dvd Calendar'!$AC$2116=SPECIAL_LBL)*10000000+(N('Dvd Calendar'!$AC$2110)&gt;0)*(N('Dvd Calendar'!$AC$2110)&lt;=VAL_SERIAL)*1000000+51*1000+25))</f>
        <v/>
      </c>
      <c r="FD210" s="121">
        <f>IF(N('Dvd Calendar'!$AD$2111)=0,"",IF(('Dvd Calendar'!$AD$2111&gt;=GRID_FROM)*('Dvd Calendar'!$AD$2111&lt;=GRID_TO)*((('Dvd Calendar'!$AD$2111&lt;=VAL_DATE)+(COUNTIF('Dvd Calendar'!$E$2118:$AR$2118,'Dvd Calendar'!$AD$2111)=0))&gt;0)=0,"",'Dvd Calendar'!$AD$2111*1000000000+ISNUMBER('Dvd Calendar'!$AD$2114)*100000000+('Dvd Calendar'!$AD$2116=SPECIAL_LBL)*10000000+(N('Dvd Calendar'!$AD$2110)&gt;0)*(N('Dvd Calendar'!$AD$2110)&lt;=VAL_SERIAL)*1000000+51*1000+26))</f>
        <v/>
      </c>
      <c r="FE210" s="121">
        <f>IF(N('Dvd Calendar'!$AE$2111)=0,"",IF(('Dvd Calendar'!$AE$2111&gt;=GRID_FROM)*('Dvd Calendar'!$AE$2111&lt;=GRID_TO)*((('Dvd Calendar'!$AE$2111&lt;=VAL_DATE)+(COUNTIF('Dvd Calendar'!$E$2118:$AR$2118,'Dvd Calendar'!$AE$2111)=0))&gt;0)=0,"",'Dvd Calendar'!$AE$2111*1000000000+ISNUMBER('Dvd Calendar'!$AE$2114)*100000000+('Dvd Calendar'!$AE$2116=SPECIAL_LBL)*10000000+(N('Dvd Calendar'!$AE$2110)&gt;0)*(N('Dvd Calendar'!$AE$2110)&lt;=VAL_SERIAL)*1000000+51*1000+27))</f>
        <v/>
      </c>
      <c r="FF210" s="121">
        <f>IF(N('Dvd Calendar'!$AF$2111)=0,"",IF(('Dvd Calendar'!$AF$2111&gt;=GRID_FROM)*('Dvd Calendar'!$AF$2111&lt;=GRID_TO)*((('Dvd Calendar'!$AF$2111&lt;=VAL_DATE)+(COUNTIF('Dvd Calendar'!$E$2118:$AR$2118,'Dvd Calendar'!$AF$2111)=0))&gt;0)=0,"",'Dvd Calendar'!$AF$2111*1000000000+ISNUMBER('Dvd Calendar'!$AF$2114)*100000000+('Dvd Calendar'!$AF$2116=SPECIAL_LBL)*10000000+(N('Dvd Calendar'!$AF$2110)&gt;0)*(N('Dvd Calendar'!$AF$2110)&lt;=VAL_SERIAL)*1000000+51*1000+28))</f>
        <v/>
      </c>
      <c r="FG210" s="121">
        <f>IF(N('Dvd Calendar'!$AG$2111)=0,"",IF(('Dvd Calendar'!$AG$2111&gt;=GRID_FROM)*('Dvd Calendar'!$AG$2111&lt;=GRID_TO)*((('Dvd Calendar'!$AG$2111&lt;=VAL_DATE)+(COUNTIF('Dvd Calendar'!$E$2118:$AR$2118,'Dvd Calendar'!$AG$2111)=0))&gt;0)=0,"",'Dvd Calendar'!$AG$2111*1000000000+ISNUMBER('Dvd Calendar'!$AG$2114)*100000000+('Dvd Calendar'!$AG$2116=SPECIAL_LBL)*10000000+(N('Dvd Calendar'!$AG$2110)&gt;0)*(N('Dvd Calendar'!$AG$2110)&lt;=VAL_SERIAL)*1000000+51*1000+29))</f>
        <v/>
      </c>
      <c r="FH210" s="121">
        <f>IF(N('Dvd Calendar'!$AH$2111)=0,"",IF(('Dvd Calendar'!$AH$2111&gt;=GRID_FROM)*('Dvd Calendar'!$AH$2111&lt;=GRID_TO)*((('Dvd Calendar'!$AH$2111&lt;=VAL_DATE)+(COUNTIF('Dvd Calendar'!$E$2118:$AR$2118,'Dvd Calendar'!$AH$2111)=0))&gt;0)=0,"",'Dvd Calendar'!$AH$2111*1000000000+ISNUMBER('Dvd Calendar'!$AH$2114)*100000000+('Dvd Calendar'!$AH$2116=SPECIAL_LBL)*10000000+(N('Dvd Calendar'!$AH$2110)&gt;0)*(N('Dvd Calendar'!$AH$2110)&lt;=VAL_SERIAL)*1000000+51*1000+30))</f>
        <v/>
      </c>
      <c r="FI210" s="121">
        <f>IF(N('Dvd Calendar'!$AI$2111)=0,"",IF(('Dvd Calendar'!$AI$2111&gt;=GRID_FROM)*('Dvd Calendar'!$AI$2111&lt;=GRID_TO)*((('Dvd Calendar'!$AI$2111&lt;=VAL_DATE)+(COUNTIF('Dvd Calendar'!$E$2118:$AR$2118,'Dvd Calendar'!$AI$2111)=0))&gt;0)=0,"",'Dvd Calendar'!$AI$2111*1000000000+ISNUMBER('Dvd Calendar'!$AI$2114)*100000000+('Dvd Calendar'!$AI$2116=SPECIAL_LBL)*10000000+(N('Dvd Calendar'!$AI$2110)&gt;0)*(N('Dvd Calendar'!$AI$2110)&lt;=VAL_SERIAL)*1000000+51*1000+31))</f>
        <v/>
      </c>
      <c r="FJ210" s="121">
        <f>IF(N('Dvd Calendar'!$AJ$2111)=0,"",IF(('Dvd Calendar'!$AJ$2111&gt;=GRID_FROM)*('Dvd Calendar'!$AJ$2111&lt;=GRID_TO)*((('Dvd Calendar'!$AJ$2111&lt;=VAL_DATE)+(COUNTIF('Dvd Calendar'!$E$2118:$AR$2118,'Dvd Calendar'!$AJ$2111)=0))&gt;0)=0,"",'Dvd Calendar'!$AJ$2111*1000000000+ISNUMBER('Dvd Calendar'!$AJ$2114)*100000000+('Dvd Calendar'!$AJ$2116=SPECIAL_LBL)*10000000+(N('Dvd Calendar'!$AJ$2110)&gt;0)*(N('Dvd Calendar'!$AJ$2110)&lt;=VAL_SERIAL)*1000000+51*1000+32))</f>
        <v/>
      </c>
      <c r="FK210" s="121">
        <f>IF(N('Dvd Calendar'!$AK$2111)=0,"",IF(('Dvd Calendar'!$AK$2111&gt;=GRID_FROM)*('Dvd Calendar'!$AK$2111&lt;=GRID_TO)*((('Dvd Calendar'!$AK$2111&lt;=VAL_DATE)+(COUNTIF('Dvd Calendar'!$E$2118:$AR$2118,'Dvd Calendar'!$AK$2111)=0))&gt;0)=0,"",'Dvd Calendar'!$AK$2111*1000000000+ISNUMBER('Dvd Calendar'!$AK$2114)*100000000+('Dvd Calendar'!$AK$2116=SPECIAL_LBL)*10000000+(N('Dvd Calendar'!$AK$2110)&gt;0)*(N('Dvd Calendar'!$AK$2110)&lt;=VAL_SERIAL)*1000000+51*1000+33))</f>
        <v/>
      </c>
      <c r="FL210" s="121">
        <f>IF(N('Dvd Calendar'!$AL$2111)=0,"",IF(('Dvd Calendar'!$AL$2111&gt;=GRID_FROM)*('Dvd Calendar'!$AL$2111&lt;=GRID_TO)*((('Dvd Calendar'!$AL$2111&lt;=VAL_DATE)+(COUNTIF('Dvd Calendar'!$E$2118:$AR$2118,'Dvd Calendar'!$AL$2111)=0))&gt;0)=0,"",'Dvd Calendar'!$AL$2111*1000000000+ISNUMBER('Dvd Calendar'!$AL$2114)*100000000+('Dvd Calendar'!$AL$2116=SPECIAL_LBL)*10000000+(N('Dvd Calendar'!$AL$2110)&gt;0)*(N('Dvd Calendar'!$AL$2110)&lt;=VAL_SERIAL)*1000000+51*1000+34))</f>
        <v/>
      </c>
      <c r="FM210" s="121">
        <f>IF(N('Dvd Calendar'!$AM$2111)=0,"",IF(('Dvd Calendar'!$AM$2111&gt;=GRID_FROM)*('Dvd Calendar'!$AM$2111&lt;=GRID_TO)*((('Dvd Calendar'!$AM$2111&lt;=VAL_DATE)+(COUNTIF('Dvd Calendar'!$E$2118:$AR$2118,'Dvd Calendar'!$AM$2111)=0))&gt;0)=0,"",'Dvd Calendar'!$AM$2111*1000000000+ISNUMBER('Dvd Calendar'!$AM$2114)*100000000+('Dvd Calendar'!$AM$2116=SPECIAL_LBL)*10000000+(N('Dvd Calendar'!$AM$2110)&gt;0)*(N('Dvd Calendar'!$AM$2110)&lt;=VAL_SERIAL)*1000000+51*1000+35))</f>
        <v/>
      </c>
      <c r="FN210" s="121">
        <f>IF(N('Dvd Calendar'!$AN$2111)=0,"",IF(('Dvd Calendar'!$AN$2111&gt;=GRID_FROM)*('Dvd Calendar'!$AN$2111&lt;=GRID_TO)*((('Dvd Calendar'!$AN$2111&lt;=VAL_DATE)+(COUNTIF('Dvd Calendar'!$E$2118:$AR$2118,'Dvd Calendar'!$AN$2111)=0))&gt;0)=0,"",'Dvd Calendar'!$AN$2111*1000000000+ISNUMBER('Dvd Calendar'!$AN$2114)*100000000+('Dvd Calendar'!$AN$2116=SPECIAL_LBL)*10000000+(N('Dvd Calendar'!$AN$2110)&gt;0)*(N('Dvd Calendar'!$AN$2110)&lt;=VAL_SERIAL)*1000000+51*1000+36))</f>
        <v/>
      </c>
      <c r="FO210" s="121">
        <f>IF(N('Dvd Calendar'!$AO$2111)=0,"",IF(('Dvd Calendar'!$AO$2111&gt;=GRID_FROM)*('Dvd Calendar'!$AO$2111&lt;=GRID_TO)*((('Dvd Calendar'!$AO$2111&lt;=VAL_DATE)+(COUNTIF('Dvd Calendar'!$E$2118:$AR$2118,'Dvd Calendar'!$AO$2111)=0))&gt;0)=0,"",'Dvd Calendar'!$AO$2111*1000000000+ISNUMBER('Dvd Calendar'!$AO$2114)*100000000+('Dvd Calendar'!$AO$2116=SPECIAL_LBL)*10000000+(N('Dvd Calendar'!$AO$2110)&gt;0)*(N('Dvd Calendar'!$AO$2110)&lt;=VAL_SERIAL)*1000000+51*1000+37))</f>
        <v/>
      </c>
      <c r="FP210" s="121">
        <f>IF(N('Dvd Calendar'!$AP$2111)=0,"",IF(('Dvd Calendar'!$AP$2111&gt;=GRID_FROM)*('Dvd Calendar'!$AP$2111&lt;=GRID_TO)*((('Dvd Calendar'!$AP$2111&lt;=VAL_DATE)+(COUNTIF('Dvd Calendar'!$E$2118:$AR$2118,'Dvd Calendar'!$AP$2111)=0))&gt;0)=0,"",'Dvd Calendar'!$AP$2111*1000000000+ISNUMBER('Dvd Calendar'!$AP$2114)*100000000+('Dvd Calendar'!$AP$2116=SPECIAL_LBL)*10000000+(N('Dvd Calendar'!$AP$2110)&gt;0)*(N('Dvd Calendar'!$AP$2110)&lt;=VAL_SERIAL)*1000000+51*1000+38))</f>
        <v/>
      </c>
      <c r="FQ210" s="121">
        <f>IF(N('Dvd Calendar'!$AQ$2111)=0,"",IF(('Dvd Calendar'!$AQ$2111&gt;=GRID_FROM)*('Dvd Calendar'!$AQ$2111&lt;=GRID_TO)*((('Dvd Calendar'!$AQ$2111&lt;=VAL_DATE)+(COUNTIF('Dvd Calendar'!$E$2118:$AR$2118,'Dvd Calendar'!$AQ$2111)=0))&gt;0)=0,"",'Dvd Calendar'!$AQ$2111*1000000000+ISNUMBER('Dvd Calendar'!$AQ$2114)*100000000+('Dvd Calendar'!$AQ$2116=SPECIAL_LBL)*10000000+(N('Dvd Calendar'!$AQ$2110)&gt;0)*(N('Dvd Calendar'!$AQ$2110)&lt;=VAL_SERIAL)*1000000+51*1000+39))</f>
        <v/>
      </c>
      <c r="FR210" s="121">
        <f>IF(N('Dvd Calendar'!$AR$2111)=0,"",IF(('Dvd Calendar'!$AR$2111&gt;=GRID_FROM)*('Dvd Calendar'!$AR$2111&lt;=GRID_TO)*((('Dvd Calendar'!$AR$2111&lt;=VAL_DATE)+(COUNTIF('Dvd Calendar'!$E$2118:$AR$2118,'Dvd Calendar'!$AR$2111)=0))&gt;0)=0,"",'Dvd Calendar'!$AR$2111*1000000000+ISNUMBER('Dvd Calendar'!$AR$2114)*100000000+('Dvd Calendar'!$AR$2116=SPECIAL_LBL)*10000000+(N('Dvd Calendar'!$AR$2110)&gt;0)*(N('Dvd Calendar'!$AR$2110)&lt;=VAL_SERIAL)*1000000+51*1000+40))</f>
        <v/>
      </c>
      <c r="FS210" s="121">
        <f>IF(N('Dvd Calendar'!$E$2118)=0,"",IF(('Dvd Calendar'!$E$2118&gt;=GRID_FROM)*('Dvd Calendar'!$E$2118&lt;=GRID_TO)*('Dvd Calendar'!$E$2118&gt;VAL_DATE)=0,"",'Dvd Calendar'!$E$2118*1000000000+ISNUMBER('Dvd Calendar'!$E$2119)*100000000+0*10000000+(N('Dvd Calendar'!$E$2117)&gt;0)*(N('Dvd Calendar'!$E$2117)&lt;=VAL_SERIAL)*1000000+51*1000+41))</f>
        <v/>
      </c>
      <c r="FT210" s="121">
        <f>IF(N('Dvd Calendar'!$F$2118)=0,"",IF(('Dvd Calendar'!$F$2118&gt;=GRID_FROM)*('Dvd Calendar'!$F$2118&lt;=GRID_TO)*('Dvd Calendar'!$F$2118&gt;VAL_DATE)=0,"",'Dvd Calendar'!$F$2118*1000000000+ISNUMBER('Dvd Calendar'!$F$2119)*100000000+0*10000000+(N('Dvd Calendar'!$F$2117)&gt;0)*(N('Dvd Calendar'!$F$2117)&lt;=VAL_SERIAL)*1000000+51*1000+42))</f>
        <v/>
      </c>
      <c r="FU210" s="121">
        <f>IF(N('Dvd Calendar'!$G$2118)=0,"",IF(('Dvd Calendar'!$G$2118&gt;=GRID_FROM)*('Dvd Calendar'!$G$2118&lt;=GRID_TO)*('Dvd Calendar'!$G$2118&gt;VAL_DATE)=0,"",'Dvd Calendar'!$G$2118*1000000000+ISNUMBER('Dvd Calendar'!$G$2119)*100000000+0*10000000+(N('Dvd Calendar'!$G$2117)&gt;0)*(N('Dvd Calendar'!$G$2117)&lt;=VAL_SERIAL)*1000000+51*1000+43))</f>
        <v/>
      </c>
      <c r="FV210" s="121">
        <f>IF(N('Dvd Calendar'!$H$2118)=0,"",IF(('Dvd Calendar'!$H$2118&gt;=GRID_FROM)*('Dvd Calendar'!$H$2118&lt;=GRID_TO)*('Dvd Calendar'!$H$2118&gt;VAL_DATE)=0,"",'Dvd Calendar'!$H$2118*1000000000+ISNUMBER('Dvd Calendar'!$H$2119)*100000000+0*10000000+(N('Dvd Calendar'!$H$2117)&gt;0)*(N('Dvd Calendar'!$H$2117)&lt;=VAL_SERIAL)*1000000+51*1000+44))</f>
        <v/>
      </c>
      <c r="FW210" s="121">
        <f>IF(N('Dvd Calendar'!$I$2118)=0,"",IF(('Dvd Calendar'!$I$2118&gt;=GRID_FROM)*('Dvd Calendar'!$I$2118&lt;=GRID_TO)*('Dvd Calendar'!$I$2118&gt;VAL_DATE)=0,"",'Dvd Calendar'!$I$2118*1000000000+ISNUMBER('Dvd Calendar'!$I$2119)*100000000+0*10000000+(N('Dvd Calendar'!$I$2117)&gt;0)*(N('Dvd Calendar'!$I$2117)&lt;=VAL_SERIAL)*1000000+51*1000+45))</f>
        <v/>
      </c>
      <c r="FX210" s="121">
        <f>IF(N('Dvd Calendar'!$J$2118)=0,"",IF(('Dvd Calendar'!$J$2118&gt;=GRID_FROM)*('Dvd Calendar'!$J$2118&lt;=GRID_TO)*('Dvd Calendar'!$J$2118&gt;VAL_DATE)=0,"",'Dvd Calendar'!$J$2118*1000000000+ISNUMBER('Dvd Calendar'!$J$2119)*100000000+0*10000000+(N('Dvd Calendar'!$J$2117)&gt;0)*(N('Dvd Calendar'!$J$2117)&lt;=VAL_SERIAL)*1000000+51*1000+46))</f>
        <v/>
      </c>
      <c r="FY210" s="121">
        <f>IF(N('Dvd Calendar'!$K$2118)=0,"",IF(('Dvd Calendar'!$K$2118&gt;=GRID_FROM)*('Dvd Calendar'!$K$2118&lt;=GRID_TO)*('Dvd Calendar'!$K$2118&gt;VAL_DATE)=0,"",'Dvd Calendar'!$K$2118*1000000000+ISNUMBER('Dvd Calendar'!$K$2119)*100000000+0*10000000+(N('Dvd Calendar'!$K$2117)&gt;0)*(N('Dvd Calendar'!$K$2117)&lt;=VAL_SERIAL)*1000000+51*1000+47))</f>
        <v/>
      </c>
      <c r="FZ210" s="121">
        <f>IF(N('Dvd Calendar'!$L$2118)=0,"",IF(('Dvd Calendar'!$L$2118&gt;=GRID_FROM)*('Dvd Calendar'!$L$2118&lt;=GRID_TO)*('Dvd Calendar'!$L$2118&gt;VAL_DATE)=0,"",'Dvd Calendar'!$L$2118*1000000000+ISNUMBER('Dvd Calendar'!$L$2119)*100000000+0*10000000+(N('Dvd Calendar'!$L$2117)&gt;0)*(N('Dvd Calendar'!$L$2117)&lt;=VAL_SERIAL)*1000000+51*1000+48))</f>
        <v/>
      </c>
      <c r="GA210" s="121">
        <f>IF(N('Dvd Calendar'!$M$2118)=0,"",IF(('Dvd Calendar'!$M$2118&gt;=GRID_FROM)*('Dvd Calendar'!$M$2118&lt;=GRID_TO)*('Dvd Calendar'!$M$2118&gt;VAL_DATE)=0,"",'Dvd Calendar'!$M$2118*1000000000+ISNUMBER('Dvd Calendar'!$M$2119)*100000000+0*10000000+(N('Dvd Calendar'!$M$2117)&gt;0)*(N('Dvd Calendar'!$M$2117)&lt;=VAL_SERIAL)*1000000+51*1000+49))</f>
        <v/>
      </c>
      <c r="GB210" s="121">
        <f>IF(N('Dvd Calendar'!$N$2118)=0,"",IF(('Dvd Calendar'!$N$2118&gt;=GRID_FROM)*('Dvd Calendar'!$N$2118&lt;=GRID_TO)*('Dvd Calendar'!$N$2118&gt;VAL_DATE)=0,"",'Dvd Calendar'!$N$2118*1000000000+ISNUMBER('Dvd Calendar'!$N$2119)*100000000+0*10000000+(N('Dvd Calendar'!$N$2117)&gt;0)*(N('Dvd Calendar'!$N$2117)&lt;=VAL_SERIAL)*1000000+51*1000+50))</f>
        <v/>
      </c>
      <c r="GC210" s="121">
        <f>IF(N('Dvd Calendar'!$O$2118)=0,"",IF(('Dvd Calendar'!$O$2118&gt;=GRID_FROM)*('Dvd Calendar'!$O$2118&lt;=GRID_TO)*('Dvd Calendar'!$O$2118&gt;VAL_DATE)=0,"",'Dvd Calendar'!$O$2118*1000000000+ISNUMBER('Dvd Calendar'!$O$2119)*100000000+0*10000000+(N('Dvd Calendar'!$O$2117)&gt;0)*(N('Dvd Calendar'!$O$2117)&lt;=VAL_SERIAL)*1000000+51*1000+51))</f>
        <v/>
      </c>
      <c r="GD210" s="121">
        <f>IF(N('Dvd Calendar'!$P$2118)=0,"",IF(('Dvd Calendar'!$P$2118&gt;=GRID_FROM)*('Dvd Calendar'!$P$2118&lt;=GRID_TO)*('Dvd Calendar'!$P$2118&gt;VAL_DATE)=0,"",'Dvd Calendar'!$P$2118*1000000000+ISNUMBER('Dvd Calendar'!$P$2119)*100000000+0*10000000+(N('Dvd Calendar'!$P$2117)&gt;0)*(N('Dvd Calendar'!$P$2117)&lt;=VAL_SERIAL)*1000000+51*1000+52))</f>
        <v/>
      </c>
      <c r="GE210" s="121">
        <f>IF(N('Dvd Calendar'!$Q$2118)=0,"",IF(('Dvd Calendar'!$Q$2118&gt;=GRID_FROM)*('Dvd Calendar'!$Q$2118&lt;=GRID_TO)*('Dvd Calendar'!$Q$2118&gt;VAL_DATE)=0,"",'Dvd Calendar'!$Q$2118*1000000000+ISNUMBER('Dvd Calendar'!$Q$2119)*100000000+0*10000000+(N('Dvd Calendar'!$Q$2117)&gt;0)*(N('Dvd Calendar'!$Q$2117)&lt;=VAL_SERIAL)*1000000+51*1000+53))</f>
        <v/>
      </c>
      <c r="GF210" s="121">
        <f>IF(N('Dvd Calendar'!$R$2118)=0,"",IF(('Dvd Calendar'!$R$2118&gt;=GRID_FROM)*('Dvd Calendar'!$R$2118&lt;=GRID_TO)*('Dvd Calendar'!$R$2118&gt;VAL_DATE)=0,"",'Dvd Calendar'!$R$2118*1000000000+ISNUMBER('Dvd Calendar'!$R$2119)*100000000+0*10000000+(N('Dvd Calendar'!$R$2117)&gt;0)*(N('Dvd Calendar'!$R$2117)&lt;=VAL_SERIAL)*1000000+51*1000+54))</f>
        <v/>
      </c>
      <c r="GG210" s="121">
        <f>IF(N('Dvd Calendar'!$S$2118)=0,"",IF(('Dvd Calendar'!$S$2118&gt;=GRID_FROM)*('Dvd Calendar'!$S$2118&lt;=GRID_TO)*('Dvd Calendar'!$S$2118&gt;VAL_DATE)=0,"",'Dvd Calendar'!$S$2118*1000000000+ISNUMBER('Dvd Calendar'!$S$2119)*100000000+0*10000000+(N('Dvd Calendar'!$S$2117)&gt;0)*(N('Dvd Calendar'!$S$2117)&lt;=VAL_SERIAL)*1000000+51*1000+55))</f>
        <v/>
      </c>
      <c r="GH210" s="121">
        <f>IF(N('Dvd Calendar'!$T$2118)=0,"",IF(('Dvd Calendar'!$T$2118&gt;=GRID_FROM)*('Dvd Calendar'!$T$2118&lt;=GRID_TO)*('Dvd Calendar'!$T$2118&gt;VAL_DATE)=0,"",'Dvd Calendar'!$T$2118*1000000000+ISNUMBER('Dvd Calendar'!$T$2119)*100000000+0*10000000+(N('Dvd Calendar'!$T$2117)&gt;0)*(N('Dvd Calendar'!$T$2117)&lt;=VAL_SERIAL)*1000000+51*1000+56))</f>
        <v/>
      </c>
      <c r="GI210" s="121">
        <f>IF(N('Dvd Calendar'!$U$2118)=0,"",IF(('Dvd Calendar'!$U$2118&gt;=GRID_FROM)*('Dvd Calendar'!$U$2118&lt;=GRID_TO)*('Dvd Calendar'!$U$2118&gt;VAL_DATE)=0,"",'Dvd Calendar'!$U$2118*1000000000+ISNUMBER('Dvd Calendar'!$U$2119)*100000000+0*10000000+(N('Dvd Calendar'!$U$2117)&gt;0)*(N('Dvd Calendar'!$U$2117)&lt;=VAL_SERIAL)*1000000+51*1000+57))</f>
        <v/>
      </c>
      <c r="GJ210" s="121">
        <f>IF(N('Dvd Calendar'!$V$2118)=0,"",IF(('Dvd Calendar'!$V$2118&gt;=GRID_FROM)*('Dvd Calendar'!$V$2118&lt;=GRID_TO)*('Dvd Calendar'!$V$2118&gt;VAL_DATE)=0,"",'Dvd Calendar'!$V$2118*1000000000+ISNUMBER('Dvd Calendar'!$V$2119)*100000000+0*10000000+(N('Dvd Calendar'!$V$2117)&gt;0)*(N('Dvd Calendar'!$V$2117)&lt;=VAL_SERIAL)*1000000+51*1000+58))</f>
        <v/>
      </c>
      <c r="GK210" s="121">
        <f>IF(N('Dvd Calendar'!$W$2118)=0,"",IF(('Dvd Calendar'!$W$2118&gt;=GRID_FROM)*('Dvd Calendar'!$W$2118&lt;=GRID_TO)*('Dvd Calendar'!$W$2118&gt;VAL_DATE)=0,"",'Dvd Calendar'!$W$2118*1000000000+ISNUMBER('Dvd Calendar'!$W$2119)*100000000+0*10000000+(N('Dvd Calendar'!$W$2117)&gt;0)*(N('Dvd Calendar'!$W$2117)&lt;=VAL_SERIAL)*1000000+51*1000+59))</f>
        <v/>
      </c>
      <c r="GL210" s="121">
        <f>IF(N('Dvd Calendar'!$X$2118)=0,"",IF(('Dvd Calendar'!$X$2118&gt;=GRID_FROM)*('Dvd Calendar'!$X$2118&lt;=GRID_TO)*('Dvd Calendar'!$X$2118&gt;VAL_DATE)=0,"",'Dvd Calendar'!$X$2118*1000000000+ISNUMBER('Dvd Calendar'!$X$2119)*100000000+0*10000000+(N('Dvd Calendar'!$X$2117)&gt;0)*(N('Dvd Calendar'!$X$2117)&lt;=VAL_SERIAL)*1000000+51*1000+60))</f>
        <v/>
      </c>
      <c r="GM210" s="121">
        <f>IF(N('Dvd Calendar'!$Y$2118)=0,"",IF(('Dvd Calendar'!$Y$2118&gt;=GRID_FROM)*('Dvd Calendar'!$Y$2118&lt;=GRID_TO)*('Dvd Calendar'!$Y$2118&gt;VAL_DATE)=0,"",'Dvd Calendar'!$Y$2118*1000000000+ISNUMBER('Dvd Calendar'!$Y$2119)*100000000+0*10000000+(N('Dvd Calendar'!$Y$2117)&gt;0)*(N('Dvd Calendar'!$Y$2117)&lt;=VAL_SERIAL)*1000000+51*1000+61))</f>
        <v/>
      </c>
      <c r="GN210" s="121">
        <f>IF(N('Dvd Calendar'!$Z$2118)=0,"",IF(('Dvd Calendar'!$Z$2118&gt;=GRID_FROM)*('Dvd Calendar'!$Z$2118&lt;=GRID_TO)*('Dvd Calendar'!$Z$2118&gt;VAL_DATE)=0,"",'Dvd Calendar'!$Z$2118*1000000000+ISNUMBER('Dvd Calendar'!$Z$2119)*100000000+0*10000000+(N('Dvd Calendar'!$Z$2117)&gt;0)*(N('Dvd Calendar'!$Z$2117)&lt;=VAL_SERIAL)*1000000+51*1000+62))</f>
        <v/>
      </c>
      <c r="GO210" s="121">
        <f>IF(N('Dvd Calendar'!$AA$2118)=0,"",IF(('Dvd Calendar'!$AA$2118&gt;=GRID_FROM)*('Dvd Calendar'!$AA$2118&lt;=GRID_TO)*('Dvd Calendar'!$AA$2118&gt;VAL_DATE)=0,"",'Dvd Calendar'!$AA$2118*1000000000+ISNUMBER('Dvd Calendar'!$AA$2119)*100000000+0*10000000+(N('Dvd Calendar'!$AA$2117)&gt;0)*(N('Dvd Calendar'!$AA$2117)&lt;=VAL_SERIAL)*1000000+51*1000+63))</f>
        <v/>
      </c>
      <c r="GP210" s="121">
        <f>IF(N('Dvd Calendar'!$AB$2118)=0,"",IF(('Dvd Calendar'!$AB$2118&gt;=GRID_FROM)*('Dvd Calendar'!$AB$2118&lt;=GRID_TO)*('Dvd Calendar'!$AB$2118&gt;VAL_DATE)=0,"",'Dvd Calendar'!$AB$2118*1000000000+ISNUMBER('Dvd Calendar'!$AB$2119)*100000000+0*10000000+(N('Dvd Calendar'!$AB$2117)&gt;0)*(N('Dvd Calendar'!$AB$2117)&lt;=VAL_SERIAL)*1000000+51*1000+64))</f>
        <v/>
      </c>
      <c r="GQ210" s="121">
        <f>IF(N('Dvd Calendar'!$AC$2118)=0,"",IF(('Dvd Calendar'!$AC$2118&gt;=GRID_FROM)*('Dvd Calendar'!$AC$2118&lt;=GRID_TO)*('Dvd Calendar'!$AC$2118&gt;VAL_DATE)=0,"",'Dvd Calendar'!$AC$2118*1000000000+ISNUMBER('Dvd Calendar'!$AC$2119)*100000000+0*10000000+(N('Dvd Calendar'!$AC$2117)&gt;0)*(N('Dvd Calendar'!$AC$2117)&lt;=VAL_SERIAL)*1000000+51*1000+65))</f>
        <v/>
      </c>
    </row>
    <row r="211">
      <c r="B211" s="2">
        <f>IF(HSCEI!$C$58="","",HSCEI!$C$58)</f>
        <v/>
      </c>
      <c r="C211" s="161">
        <f>IF(EE211="","",IF(ISNUMBER('Dvd Calendar'!$E$2125)=FALSE,"",IF((('Dvd Calendar'!$E$2127=TYPE1)*(TYPE1&lt;&gt;"")+('Dvd Calendar'!$E$2127=TYPE2)*(TYPE2&lt;&gt;"")+('Dvd Calendar'!$E$2127=TYPE3)*(TYPE3&lt;&gt;"")+('Dvd Calendar'!$E$2127=TYPE4)*(TYPE4&lt;&gt;"")+('Dvd Calendar'!$E$2127=SPECIAL_LBL)*(INC_SPECIALS="Y"))=0,"",'Dvd Calendar'!$E$2125)))</f>
        <v/>
      </c>
      <c r="D211" s="161">
        <f>IF(EF211="","",IF(ISNUMBER('Dvd Calendar'!$F$2125)=FALSE,"",IF((('Dvd Calendar'!$F$2127=TYPE1)*(TYPE1&lt;&gt;"")+('Dvd Calendar'!$F$2127=TYPE2)*(TYPE2&lt;&gt;"")+('Dvd Calendar'!$F$2127=TYPE3)*(TYPE3&lt;&gt;"")+('Dvd Calendar'!$F$2127=TYPE4)*(TYPE4&lt;&gt;"")+('Dvd Calendar'!$F$2127=SPECIAL_LBL)*(INC_SPECIALS="Y"))=0,"",'Dvd Calendar'!$F$2125)))</f>
        <v/>
      </c>
      <c r="E211" s="161">
        <f>IF(EG211="","",IF(ISNUMBER('Dvd Calendar'!$G$2125)=FALSE,"",IF((('Dvd Calendar'!$G$2127=TYPE1)*(TYPE1&lt;&gt;"")+('Dvd Calendar'!$G$2127=TYPE2)*(TYPE2&lt;&gt;"")+('Dvd Calendar'!$G$2127=TYPE3)*(TYPE3&lt;&gt;"")+('Dvd Calendar'!$G$2127=TYPE4)*(TYPE4&lt;&gt;"")+('Dvd Calendar'!$G$2127=SPECIAL_LBL)*(INC_SPECIALS="Y"))=0,"",'Dvd Calendar'!$G$2125)))</f>
        <v/>
      </c>
      <c r="F211" s="161">
        <f>IF(EH211="","",IF(ISNUMBER('Dvd Calendar'!$H$2125)=FALSE,"",IF((('Dvd Calendar'!$H$2127=TYPE1)*(TYPE1&lt;&gt;"")+('Dvd Calendar'!$H$2127=TYPE2)*(TYPE2&lt;&gt;"")+('Dvd Calendar'!$H$2127=TYPE3)*(TYPE3&lt;&gt;"")+('Dvd Calendar'!$H$2127=TYPE4)*(TYPE4&lt;&gt;"")+('Dvd Calendar'!$H$2127=SPECIAL_LBL)*(INC_SPECIALS="Y"))=0,"",'Dvd Calendar'!$H$2125)))</f>
        <v/>
      </c>
      <c r="G211" s="161">
        <f>IF(EI211="","",IF(ISNUMBER('Dvd Calendar'!$I$2125)=FALSE,"",IF((('Dvd Calendar'!$I$2127=TYPE1)*(TYPE1&lt;&gt;"")+('Dvd Calendar'!$I$2127=TYPE2)*(TYPE2&lt;&gt;"")+('Dvd Calendar'!$I$2127=TYPE3)*(TYPE3&lt;&gt;"")+('Dvd Calendar'!$I$2127=TYPE4)*(TYPE4&lt;&gt;"")+('Dvd Calendar'!$I$2127=SPECIAL_LBL)*(INC_SPECIALS="Y"))=0,"",'Dvd Calendar'!$I$2125)))</f>
        <v/>
      </c>
      <c r="H211" s="161">
        <f>IF(EJ211="","",IF(ISNUMBER('Dvd Calendar'!$J$2125)=FALSE,"",IF((('Dvd Calendar'!$J$2127=TYPE1)*(TYPE1&lt;&gt;"")+('Dvd Calendar'!$J$2127=TYPE2)*(TYPE2&lt;&gt;"")+('Dvd Calendar'!$J$2127=TYPE3)*(TYPE3&lt;&gt;"")+('Dvd Calendar'!$J$2127=TYPE4)*(TYPE4&lt;&gt;"")+('Dvd Calendar'!$J$2127=SPECIAL_LBL)*(INC_SPECIALS="Y"))=0,"",'Dvd Calendar'!$J$2125)))</f>
        <v/>
      </c>
      <c r="I211" s="161">
        <f>IF(EK211="","",IF(ISNUMBER('Dvd Calendar'!$K$2125)=FALSE,"",IF((('Dvd Calendar'!$K$2127=TYPE1)*(TYPE1&lt;&gt;"")+('Dvd Calendar'!$K$2127=TYPE2)*(TYPE2&lt;&gt;"")+('Dvd Calendar'!$K$2127=TYPE3)*(TYPE3&lt;&gt;"")+('Dvd Calendar'!$K$2127=TYPE4)*(TYPE4&lt;&gt;"")+('Dvd Calendar'!$K$2127=SPECIAL_LBL)*(INC_SPECIALS="Y"))=0,"",'Dvd Calendar'!$K$2125)))</f>
        <v/>
      </c>
      <c r="J211" s="161">
        <f>IF(EL211="","",IF(ISNUMBER('Dvd Calendar'!$L$2125)=FALSE,"",IF((('Dvd Calendar'!$L$2127=TYPE1)*(TYPE1&lt;&gt;"")+('Dvd Calendar'!$L$2127=TYPE2)*(TYPE2&lt;&gt;"")+('Dvd Calendar'!$L$2127=TYPE3)*(TYPE3&lt;&gt;"")+('Dvd Calendar'!$L$2127=TYPE4)*(TYPE4&lt;&gt;"")+('Dvd Calendar'!$L$2127=SPECIAL_LBL)*(INC_SPECIALS="Y"))=0,"",'Dvd Calendar'!$L$2125)))</f>
        <v/>
      </c>
      <c r="K211" s="161">
        <f>IF(EM211="","",IF(ISNUMBER('Dvd Calendar'!$M$2125)=FALSE,"",IF((('Dvd Calendar'!$M$2127=TYPE1)*(TYPE1&lt;&gt;"")+('Dvd Calendar'!$M$2127=TYPE2)*(TYPE2&lt;&gt;"")+('Dvd Calendar'!$M$2127=TYPE3)*(TYPE3&lt;&gt;"")+('Dvd Calendar'!$M$2127=TYPE4)*(TYPE4&lt;&gt;"")+('Dvd Calendar'!$M$2127=SPECIAL_LBL)*(INC_SPECIALS="Y"))=0,"",'Dvd Calendar'!$M$2125)))</f>
        <v/>
      </c>
      <c r="L211" s="161">
        <f>IF(EN211="","",IF(ISNUMBER('Dvd Calendar'!$N$2125)=FALSE,"",IF((('Dvd Calendar'!$N$2127=TYPE1)*(TYPE1&lt;&gt;"")+('Dvd Calendar'!$N$2127=TYPE2)*(TYPE2&lt;&gt;"")+('Dvd Calendar'!$N$2127=TYPE3)*(TYPE3&lt;&gt;"")+('Dvd Calendar'!$N$2127=TYPE4)*(TYPE4&lt;&gt;"")+('Dvd Calendar'!$N$2127=SPECIAL_LBL)*(INC_SPECIALS="Y"))=0,"",'Dvd Calendar'!$N$2125)))</f>
        <v/>
      </c>
      <c r="M211" s="161">
        <f>IF(EO211="","",IF(ISNUMBER('Dvd Calendar'!$O$2125)=FALSE,"",IF((('Dvd Calendar'!$O$2127=TYPE1)*(TYPE1&lt;&gt;"")+('Dvd Calendar'!$O$2127=TYPE2)*(TYPE2&lt;&gt;"")+('Dvd Calendar'!$O$2127=TYPE3)*(TYPE3&lt;&gt;"")+('Dvd Calendar'!$O$2127=TYPE4)*(TYPE4&lt;&gt;"")+('Dvd Calendar'!$O$2127=SPECIAL_LBL)*(INC_SPECIALS="Y"))=0,"",'Dvd Calendar'!$O$2125)))</f>
        <v/>
      </c>
      <c r="N211" s="161">
        <f>IF(EP211="","",IF(ISNUMBER('Dvd Calendar'!$P$2125)=FALSE,"",IF((('Dvd Calendar'!$P$2127=TYPE1)*(TYPE1&lt;&gt;"")+('Dvd Calendar'!$P$2127=TYPE2)*(TYPE2&lt;&gt;"")+('Dvd Calendar'!$P$2127=TYPE3)*(TYPE3&lt;&gt;"")+('Dvd Calendar'!$P$2127=TYPE4)*(TYPE4&lt;&gt;"")+('Dvd Calendar'!$P$2127=SPECIAL_LBL)*(INC_SPECIALS="Y"))=0,"",'Dvd Calendar'!$P$2125)))</f>
        <v/>
      </c>
      <c r="O211" s="161">
        <f>IF(EQ211="","",IF(ISNUMBER('Dvd Calendar'!$Q$2125)=FALSE,"",IF((('Dvd Calendar'!$Q$2127=TYPE1)*(TYPE1&lt;&gt;"")+('Dvd Calendar'!$Q$2127=TYPE2)*(TYPE2&lt;&gt;"")+('Dvd Calendar'!$Q$2127=TYPE3)*(TYPE3&lt;&gt;"")+('Dvd Calendar'!$Q$2127=TYPE4)*(TYPE4&lt;&gt;"")+('Dvd Calendar'!$Q$2127=SPECIAL_LBL)*(INC_SPECIALS="Y"))=0,"",'Dvd Calendar'!$Q$2125)))</f>
        <v/>
      </c>
      <c r="P211" s="161">
        <f>IF(ER211="","",IF(ISNUMBER('Dvd Calendar'!$R$2125)=FALSE,"",IF((('Dvd Calendar'!$R$2127=TYPE1)*(TYPE1&lt;&gt;"")+('Dvd Calendar'!$R$2127=TYPE2)*(TYPE2&lt;&gt;"")+('Dvd Calendar'!$R$2127=TYPE3)*(TYPE3&lt;&gt;"")+('Dvd Calendar'!$R$2127=TYPE4)*(TYPE4&lt;&gt;"")+('Dvd Calendar'!$R$2127=SPECIAL_LBL)*(INC_SPECIALS="Y"))=0,"",'Dvd Calendar'!$R$2125)))</f>
        <v/>
      </c>
      <c r="Q211" s="161">
        <f>IF(ES211="","",IF(ISNUMBER('Dvd Calendar'!$S$2125)=FALSE,"",IF((('Dvd Calendar'!$S$2127=TYPE1)*(TYPE1&lt;&gt;"")+('Dvd Calendar'!$S$2127=TYPE2)*(TYPE2&lt;&gt;"")+('Dvd Calendar'!$S$2127=TYPE3)*(TYPE3&lt;&gt;"")+('Dvd Calendar'!$S$2127=TYPE4)*(TYPE4&lt;&gt;"")+('Dvd Calendar'!$S$2127=SPECIAL_LBL)*(INC_SPECIALS="Y"))=0,"",'Dvd Calendar'!$S$2125)))</f>
        <v/>
      </c>
      <c r="R211" s="161">
        <f>IF(ET211="","",IF(ISNUMBER('Dvd Calendar'!$T$2125)=FALSE,"",IF((('Dvd Calendar'!$T$2127=TYPE1)*(TYPE1&lt;&gt;"")+('Dvd Calendar'!$T$2127=TYPE2)*(TYPE2&lt;&gt;"")+('Dvd Calendar'!$T$2127=TYPE3)*(TYPE3&lt;&gt;"")+('Dvd Calendar'!$T$2127=TYPE4)*(TYPE4&lt;&gt;"")+('Dvd Calendar'!$T$2127=SPECIAL_LBL)*(INC_SPECIALS="Y"))=0,"",'Dvd Calendar'!$T$2125)))</f>
        <v/>
      </c>
      <c r="S211" s="161">
        <f>IF(EU211="","",IF(ISNUMBER('Dvd Calendar'!$U$2125)=FALSE,"",IF((('Dvd Calendar'!$U$2127=TYPE1)*(TYPE1&lt;&gt;"")+('Dvd Calendar'!$U$2127=TYPE2)*(TYPE2&lt;&gt;"")+('Dvd Calendar'!$U$2127=TYPE3)*(TYPE3&lt;&gt;"")+('Dvd Calendar'!$U$2127=TYPE4)*(TYPE4&lt;&gt;"")+('Dvd Calendar'!$U$2127=SPECIAL_LBL)*(INC_SPECIALS="Y"))=0,"",'Dvd Calendar'!$U$2125)))</f>
        <v/>
      </c>
      <c r="T211" s="161">
        <f>IF(EV211="","",IF(ISNUMBER('Dvd Calendar'!$V$2125)=FALSE,"",IF((('Dvd Calendar'!$V$2127=TYPE1)*(TYPE1&lt;&gt;"")+('Dvd Calendar'!$V$2127=TYPE2)*(TYPE2&lt;&gt;"")+('Dvd Calendar'!$V$2127=TYPE3)*(TYPE3&lt;&gt;"")+('Dvd Calendar'!$V$2127=TYPE4)*(TYPE4&lt;&gt;"")+('Dvd Calendar'!$V$2127=SPECIAL_LBL)*(INC_SPECIALS="Y"))=0,"",'Dvd Calendar'!$V$2125)))</f>
        <v/>
      </c>
      <c r="U211" s="161">
        <f>IF(EW211="","",IF(ISNUMBER('Dvd Calendar'!$W$2125)=FALSE,"",IF((('Dvd Calendar'!$W$2127=TYPE1)*(TYPE1&lt;&gt;"")+('Dvd Calendar'!$W$2127=TYPE2)*(TYPE2&lt;&gt;"")+('Dvd Calendar'!$W$2127=TYPE3)*(TYPE3&lt;&gt;"")+('Dvd Calendar'!$W$2127=TYPE4)*(TYPE4&lt;&gt;"")+('Dvd Calendar'!$W$2127=SPECIAL_LBL)*(INC_SPECIALS="Y"))=0,"",'Dvd Calendar'!$W$2125)))</f>
        <v/>
      </c>
      <c r="V211" s="161">
        <f>IF(EX211="","",IF(ISNUMBER('Dvd Calendar'!$X$2125)=FALSE,"",IF((('Dvd Calendar'!$X$2127=TYPE1)*(TYPE1&lt;&gt;"")+('Dvd Calendar'!$X$2127=TYPE2)*(TYPE2&lt;&gt;"")+('Dvd Calendar'!$X$2127=TYPE3)*(TYPE3&lt;&gt;"")+('Dvd Calendar'!$X$2127=TYPE4)*(TYPE4&lt;&gt;"")+('Dvd Calendar'!$X$2127=SPECIAL_LBL)*(INC_SPECIALS="Y"))=0,"",'Dvd Calendar'!$X$2125)))</f>
        <v/>
      </c>
      <c r="W211" s="161">
        <f>IF(EY211="","",IF(ISNUMBER('Dvd Calendar'!$Y$2125)=FALSE,"",IF((('Dvd Calendar'!$Y$2127=TYPE1)*(TYPE1&lt;&gt;"")+('Dvd Calendar'!$Y$2127=TYPE2)*(TYPE2&lt;&gt;"")+('Dvd Calendar'!$Y$2127=TYPE3)*(TYPE3&lt;&gt;"")+('Dvd Calendar'!$Y$2127=TYPE4)*(TYPE4&lt;&gt;"")+('Dvd Calendar'!$Y$2127=SPECIAL_LBL)*(INC_SPECIALS="Y"))=0,"",'Dvd Calendar'!$Y$2125)))</f>
        <v/>
      </c>
      <c r="X211" s="161">
        <f>IF(EZ211="","",IF(ISNUMBER('Dvd Calendar'!$Z$2125)=FALSE,"",IF((('Dvd Calendar'!$Z$2127=TYPE1)*(TYPE1&lt;&gt;"")+('Dvd Calendar'!$Z$2127=TYPE2)*(TYPE2&lt;&gt;"")+('Dvd Calendar'!$Z$2127=TYPE3)*(TYPE3&lt;&gt;"")+('Dvd Calendar'!$Z$2127=TYPE4)*(TYPE4&lt;&gt;"")+('Dvd Calendar'!$Z$2127=SPECIAL_LBL)*(INC_SPECIALS="Y"))=0,"",'Dvd Calendar'!$Z$2125)))</f>
        <v/>
      </c>
      <c r="Y211" s="161">
        <f>IF(FA211="","",IF(ISNUMBER('Dvd Calendar'!$AA$2125)=FALSE,"",IF((('Dvd Calendar'!$AA$2127=TYPE1)*(TYPE1&lt;&gt;"")+('Dvd Calendar'!$AA$2127=TYPE2)*(TYPE2&lt;&gt;"")+('Dvd Calendar'!$AA$2127=TYPE3)*(TYPE3&lt;&gt;"")+('Dvd Calendar'!$AA$2127=TYPE4)*(TYPE4&lt;&gt;"")+('Dvd Calendar'!$AA$2127=SPECIAL_LBL)*(INC_SPECIALS="Y"))=0,"",'Dvd Calendar'!$AA$2125)))</f>
        <v/>
      </c>
      <c r="Z211" s="161">
        <f>IF(FB211="","",IF(ISNUMBER('Dvd Calendar'!$AB$2125)=FALSE,"",IF((('Dvd Calendar'!$AB$2127=TYPE1)*(TYPE1&lt;&gt;"")+('Dvd Calendar'!$AB$2127=TYPE2)*(TYPE2&lt;&gt;"")+('Dvd Calendar'!$AB$2127=TYPE3)*(TYPE3&lt;&gt;"")+('Dvd Calendar'!$AB$2127=TYPE4)*(TYPE4&lt;&gt;"")+('Dvd Calendar'!$AB$2127=SPECIAL_LBL)*(INC_SPECIALS="Y"))=0,"",'Dvd Calendar'!$AB$2125)))</f>
        <v/>
      </c>
      <c r="AA211" s="161">
        <f>IF(FC211="","",IF(ISNUMBER('Dvd Calendar'!$AC$2125)=FALSE,"",IF((('Dvd Calendar'!$AC$2127=TYPE1)*(TYPE1&lt;&gt;"")+('Dvd Calendar'!$AC$2127=TYPE2)*(TYPE2&lt;&gt;"")+('Dvd Calendar'!$AC$2127=TYPE3)*(TYPE3&lt;&gt;"")+('Dvd Calendar'!$AC$2127=TYPE4)*(TYPE4&lt;&gt;"")+('Dvd Calendar'!$AC$2127=SPECIAL_LBL)*(INC_SPECIALS="Y"))=0,"",'Dvd Calendar'!$AC$2125)))</f>
        <v/>
      </c>
      <c r="AB211" s="161">
        <f>IF(FD211="","",IF(ISNUMBER('Dvd Calendar'!$AD$2125)=FALSE,"",IF((('Dvd Calendar'!$AD$2127=TYPE1)*(TYPE1&lt;&gt;"")+('Dvd Calendar'!$AD$2127=TYPE2)*(TYPE2&lt;&gt;"")+('Dvd Calendar'!$AD$2127=TYPE3)*(TYPE3&lt;&gt;"")+('Dvd Calendar'!$AD$2127=TYPE4)*(TYPE4&lt;&gt;"")+('Dvd Calendar'!$AD$2127=SPECIAL_LBL)*(INC_SPECIALS="Y"))=0,"",'Dvd Calendar'!$AD$2125)))</f>
        <v/>
      </c>
      <c r="AC211" s="161">
        <f>IF(FE211="","",IF(ISNUMBER('Dvd Calendar'!$AE$2125)=FALSE,"",IF((('Dvd Calendar'!$AE$2127=TYPE1)*(TYPE1&lt;&gt;"")+('Dvd Calendar'!$AE$2127=TYPE2)*(TYPE2&lt;&gt;"")+('Dvd Calendar'!$AE$2127=TYPE3)*(TYPE3&lt;&gt;"")+('Dvd Calendar'!$AE$2127=TYPE4)*(TYPE4&lt;&gt;"")+('Dvd Calendar'!$AE$2127=SPECIAL_LBL)*(INC_SPECIALS="Y"))=0,"",'Dvd Calendar'!$AE$2125)))</f>
        <v/>
      </c>
      <c r="AD211" s="161">
        <f>IF(FF211="","",IF(ISNUMBER('Dvd Calendar'!$AF$2125)=FALSE,"",IF((('Dvd Calendar'!$AF$2127=TYPE1)*(TYPE1&lt;&gt;"")+('Dvd Calendar'!$AF$2127=TYPE2)*(TYPE2&lt;&gt;"")+('Dvd Calendar'!$AF$2127=TYPE3)*(TYPE3&lt;&gt;"")+('Dvd Calendar'!$AF$2127=TYPE4)*(TYPE4&lt;&gt;"")+('Dvd Calendar'!$AF$2127=SPECIAL_LBL)*(INC_SPECIALS="Y"))=0,"",'Dvd Calendar'!$AF$2125)))</f>
        <v/>
      </c>
      <c r="AE211" s="161">
        <f>IF(FG211="","",IF(ISNUMBER('Dvd Calendar'!$AG$2125)=FALSE,"",IF((('Dvd Calendar'!$AG$2127=TYPE1)*(TYPE1&lt;&gt;"")+('Dvd Calendar'!$AG$2127=TYPE2)*(TYPE2&lt;&gt;"")+('Dvd Calendar'!$AG$2127=TYPE3)*(TYPE3&lt;&gt;"")+('Dvd Calendar'!$AG$2127=TYPE4)*(TYPE4&lt;&gt;"")+('Dvd Calendar'!$AG$2127=SPECIAL_LBL)*(INC_SPECIALS="Y"))=0,"",'Dvd Calendar'!$AG$2125)))</f>
        <v/>
      </c>
      <c r="AF211" s="161">
        <f>IF(FH211="","",IF(ISNUMBER('Dvd Calendar'!$AH$2125)=FALSE,"",IF((('Dvd Calendar'!$AH$2127=TYPE1)*(TYPE1&lt;&gt;"")+('Dvd Calendar'!$AH$2127=TYPE2)*(TYPE2&lt;&gt;"")+('Dvd Calendar'!$AH$2127=TYPE3)*(TYPE3&lt;&gt;"")+('Dvd Calendar'!$AH$2127=TYPE4)*(TYPE4&lt;&gt;"")+('Dvd Calendar'!$AH$2127=SPECIAL_LBL)*(INC_SPECIALS="Y"))=0,"",'Dvd Calendar'!$AH$2125)))</f>
        <v/>
      </c>
      <c r="AG211" s="161">
        <f>IF(FI211="","",IF(ISNUMBER('Dvd Calendar'!$AI$2125)=FALSE,"",IF((('Dvd Calendar'!$AI$2127=TYPE1)*(TYPE1&lt;&gt;"")+('Dvd Calendar'!$AI$2127=TYPE2)*(TYPE2&lt;&gt;"")+('Dvd Calendar'!$AI$2127=TYPE3)*(TYPE3&lt;&gt;"")+('Dvd Calendar'!$AI$2127=TYPE4)*(TYPE4&lt;&gt;"")+('Dvd Calendar'!$AI$2127=SPECIAL_LBL)*(INC_SPECIALS="Y"))=0,"",'Dvd Calendar'!$AI$2125)))</f>
        <v/>
      </c>
      <c r="AH211" s="161">
        <f>IF(FJ211="","",IF(ISNUMBER('Dvd Calendar'!$AJ$2125)=FALSE,"",IF((('Dvd Calendar'!$AJ$2127=TYPE1)*(TYPE1&lt;&gt;"")+('Dvd Calendar'!$AJ$2127=TYPE2)*(TYPE2&lt;&gt;"")+('Dvd Calendar'!$AJ$2127=TYPE3)*(TYPE3&lt;&gt;"")+('Dvd Calendar'!$AJ$2127=TYPE4)*(TYPE4&lt;&gt;"")+('Dvd Calendar'!$AJ$2127=SPECIAL_LBL)*(INC_SPECIALS="Y"))=0,"",'Dvd Calendar'!$AJ$2125)))</f>
        <v/>
      </c>
      <c r="AI211" s="161">
        <f>IF(FK211="","",IF(ISNUMBER('Dvd Calendar'!$AK$2125)=FALSE,"",IF((('Dvd Calendar'!$AK$2127=TYPE1)*(TYPE1&lt;&gt;"")+('Dvd Calendar'!$AK$2127=TYPE2)*(TYPE2&lt;&gt;"")+('Dvd Calendar'!$AK$2127=TYPE3)*(TYPE3&lt;&gt;"")+('Dvd Calendar'!$AK$2127=TYPE4)*(TYPE4&lt;&gt;"")+('Dvd Calendar'!$AK$2127=SPECIAL_LBL)*(INC_SPECIALS="Y"))=0,"",'Dvd Calendar'!$AK$2125)))</f>
        <v/>
      </c>
      <c r="AJ211" s="161">
        <f>IF(FL211="","",IF(ISNUMBER('Dvd Calendar'!$AL$2125)=FALSE,"",IF((('Dvd Calendar'!$AL$2127=TYPE1)*(TYPE1&lt;&gt;"")+('Dvd Calendar'!$AL$2127=TYPE2)*(TYPE2&lt;&gt;"")+('Dvd Calendar'!$AL$2127=TYPE3)*(TYPE3&lt;&gt;"")+('Dvd Calendar'!$AL$2127=TYPE4)*(TYPE4&lt;&gt;"")+('Dvd Calendar'!$AL$2127=SPECIAL_LBL)*(INC_SPECIALS="Y"))=0,"",'Dvd Calendar'!$AL$2125)))</f>
        <v/>
      </c>
      <c r="AK211" s="161">
        <f>IF(FM211="","",IF(ISNUMBER('Dvd Calendar'!$AM$2125)=FALSE,"",IF((('Dvd Calendar'!$AM$2127=TYPE1)*(TYPE1&lt;&gt;"")+('Dvd Calendar'!$AM$2127=TYPE2)*(TYPE2&lt;&gt;"")+('Dvd Calendar'!$AM$2127=TYPE3)*(TYPE3&lt;&gt;"")+('Dvd Calendar'!$AM$2127=TYPE4)*(TYPE4&lt;&gt;"")+('Dvd Calendar'!$AM$2127=SPECIAL_LBL)*(INC_SPECIALS="Y"))=0,"",'Dvd Calendar'!$AM$2125)))</f>
        <v/>
      </c>
      <c r="AL211" s="161">
        <f>IF(FN211="","",IF(ISNUMBER('Dvd Calendar'!$AN$2125)=FALSE,"",IF((('Dvd Calendar'!$AN$2127=TYPE1)*(TYPE1&lt;&gt;"")+('Dvd Calendar'!$AN$2127=TYPE2)*(TYPE2&lt;&gt;"")+('Dvd Calendar'!$AN$2127=TYPE3)*(TYPE3&lt;&gt;"")+('Dvd Calendar'!$AN$2127=TYPE4)*(TYPE4&lt;&gt;"")+('Dvd Calendar'!$AN$2127=SPECIAL_LBL)*(INC_SPECIALS="Y"))=0,"",'Dvd Calendar'!$AN$2125)))</f>
        <v/>
      </c>
      <c r="AM211" s="161">
        <f>IF(FO211="","",IF(ISNUMBER('Dvd Calendar'!$AO$2125)=FALSE,"",IF((('Dvd Calendar'!$AO$2127=TYPE1)*(TYPE1&lt;&gt;"")+('Dvd Calendar'!$AO$2127=TYPE2)*(TYPE2&lt;&gt;"")+('Dvd Calendar'!$AO$2127=TYPE3)*(TYPE3&lt;&gt;"")+('Dvd Calendar'!$AO$2127=TYPE4)*(TYPE4&lt;&gt;"")+('Dvd Calendar'!$AO$2127=SPECIAL_LBL)*(INC_SPECIALS="Y"))=0,"",'Dvd Calendar'!$AO$2125)))</f>
        <v/>
      </c>
      <c r="AN211" s="161">
        <f>IF(FP211="","",IF(ISNUMBER('Dvd Calendar'!$AP$2125)=FALSE,"",IF((('Dvd Calendar'!$AP$2127=TYPE1)*(TYPE1&lt;&gt;"")+('Dvd Calendar'!$AP$2127=TYPE2)*(TYPE2&lt;&gt;"")+('Dvd Calendar'!$AP$2127=TYPE3)*(TYPE3&lt;&gt;"")+('Dvd Calendar'!$AP$2127=TYPE4)*(TYPE4&lt;&gt;"")+('Dvd Calendar'!$AP$2127=SPECIAL_LBL)*(INC_SPECIALS="Y"))=0,"",'Dvd Calendar'!$AP$2125)))</f>
        <v/>
      </c>
      <c r="AO211" s="161">
        <f>IF(FQ211="","",IF(ISNUMBER('Dvd Calendar'!$AQ$2125)=FALSE,"",IF((('Dvd Calendar'!$AQ$2127=TYPE1)*(TYPE1&lt;&gt;"")+('Dvd Calendar'!$AQ$2127=TYPE2)*(TYPE2&lt;&gt;"")+('Dvd Calendar'!$AQ$2127=TYPE3)*(TYPE3&lt;&gt;"")+('Dvd Calendar'!$AQ$2127=TYPE4)*(TYPE4&lt;&gt;"")+('Dvd Calendar'!$AQ$2127=SPECIAL_LBL)*(INC_SPECIALS="Y"))=0,"",'Dvd Calendar'!$AQ$2125)))</f>
        <v/>
      </c>
      <c r="AP211" s="161">
        <f>IF(FR211="","",IF(ISNUMBER('Dvd Calendar'!$AR$2125)=FALSE,"",IF((('Dvd Calendar'!$AR$2127=TYPE1)*(TYPE1&lt;&gt;"")+('Dvd Calendar'!$AR$2127=TYPE2)*(TYPE2&lt;&gt;"")+('Dvd Calendar'!$AR$2127=TYPE3)*(TYPE3&lt;&gt;"")+('Dvd Calendar'!$AR$2127=TYPE4)*(TYPE4&lt;&gt;"")+('Dvd Calendar'!$AR$2127=SPECIAL_LBL)*(INC_SPECIALS="Y"))=0,"",'Dvd Calendar'!$AR$2125)))</f>
        <v/>
      </c>
      <c r="AQ211" s="161">
        <f>IF(FS211="","",IF(ISNUMBER('Dvd Calendar'!$E$2130)=FALSE,"",'Dvd Calendar'!$E$2130))</f>
        <v/>
      </c>
      <c r="AR211" s="161">
        <f>IF(FT211="","",IF(ISNUMBER('Dvd Calendar'!$F$2130)=FALSE,"",'Dvd Calendar'!$F$2130))</f>
        <v/>
      </c>
      <c r="AS211" s="161">
        <f>IF(FU211="","",IF(ISNUMBER('Dvd Calendar'!$G$2130)=FALSE,"",'Dvd Calendar'!$G$2130))</f>
        <v/>
      </c>
      <c r="AT211" s="161">
        <f>IF(FV211="","",IF(ISNUMBER('Dvd Calendar'!$H$2130)=FALSE,"",'Dvd Calendar'!$H$2130))</f>
        <v/>
      </c>
      <c r="AU211" s="161">
        <f>IF(FW211="","",IF(ISNUMBER('Dvd Calendar'!$I$2130)=FALSE,"",'Dvd Calendar'!$I$2130))</f>
        <v/>
      </c>
      <c r="AV211" s="161">
        <f>IF(FX211="","",IF(ISNUMBER('Dvd Calendar'!$J$2130)=FALSE,"",'Dvd Calendar'!$J$2130))</f>
        <v/>
      </c>
      <c r="AW211" s="161">
        <f>IF(FY211="","",IF(ISNUMBER('Dvd Calendar'!$K$2130)=FALSE,"",'Dvd Calendar'!$K$2130))</f>
        <v/>
      </c>
      <c r="AX211" s="161">
        <f>IF(FZ211="","",IF(ISNUMBER('Dvd Calendar'!$L$2130)=FALSE,"",'Dvd Calendar'!$L$2130))</f>
        <v/>
      </c>
      <c r="AY211" s="161">
        <f>IF(GA211="","",IF(ISNUMBER('Dvd Calendar'!$M$2130)=FALSE,"",'Dvd Calendar'!$M$2130))</f>
        <v/>
      </c>
      <c r="AZ211" s="161">
        <f>IF(GB211="","",IF(ISNUMBER('Dvd Calendar'!$N$2130)=FALSE,"",'Dvd Calendar'!$N$2130))</f>
        <v/>
      </c>
      <c r="BA211" s="161">
        <f>IF(GC211="","",IF(ISNUMBER('Dvd Calendar'!$O$2130)=FALSE,"",'Dvd Calendar'!$O$2130))</f>
        <v/>
      </c>
      <c r="BB211" s="161">
        <f>IF(GD211="","",IF(ISNUMBER('Dvd Calendar'!$P$2130)=FALSE,"",'Dvd Calendar'!$P$2130))</f>
        <v/>
      </c>
      <c r="BC211" s="161">
        <f>IF(GE211="","",IF(ISNUMBER('Dvd Calendar'!$Q$2130)=FALSE,"",'Dvd Calendar'!$Q$2130))</f>
        <v/>
      </c>
      <c r="BD211" s="161">
        <f>IF(GF211="","",IF(ISNUMBER('Dvd Calendar'!$R$2130)=FALSE,"",'Dvd Calendar'!$R$2130))</f>
        <v/>
      </c>
      <c r="BE211" s="161">
        <f>IF(GG211="","",IF(ISNUMBER('Dvd Calendar'!$S$2130)=FALSE,"",'Dvd Calendar'!$S$2130))</f>
        <v/>
      </c>
      <c r="BF211" s="161">
        <f>IF(GH211="","",IF(ISNUMBER('Dvd Calendar'!$T$2130)=FALSE,"",'Dvd Calendar'!$T$2130))</f>
        <v/>
      </c>
      <c r="BG211" s="161">
        <f>IF(GI211="","",IF(ISNUMBER('Dvd Calendar'!$U$2130)=FALSE,"",'Dvd Calendar'!$U$2130))</f>
        <v/>
      </c>
      <c r="BH211" s="161">
        <f>IF(GJ211="","",IF(ISNUMBER('Dvd Calendar'!$V$2130)=FALSE,"",'Dvd Calendar'!$V$2130))</f>
        <v/>
      </c>
      <c r="BI211" s="161">
        <f>IF(GK211="","",IF(ISNUMBER('Dvd Calendar'!$W$2130)=FALSE,"",'Dvd Calendar'!$W$2130))</f>
        <v/>
      </c>
      <c r="BJ211" s="161">
        <f>IF(GL211="","",IF(ISNUMBER('Dvd Calendar'!$X$2130)=FALSE,"",'Dvd Calendar'!$X$2130))</f>
        <v/>
      </c>
      <c r="BK211" s="161">
        <f>IF(GM211="","",IF(ISNUMBER('Dvd Calendar'!$Y$2130)=FALSE,"",'Dvd Calendar'!$Y$2130))</f>
        <v/>
      </c>
      <c r="BL211" s="161">
        <f>IF(GN211="","",IF(ISNUMBER('Dvd Calendar'!$Z$2130)=FALSE,"",'Dvd Calendar'!$Z$2130))</f>
        <v/>
      </c>
      <c r="BM211" s="161">
        <f>IF(GO211="","",IF(ISNUMBER('Dvd Calendar'!$AA$2130)=FALSE,"",'Dvd Calendar'!$AA$2130))</f>
        <v/>
      </c>
      <c r="BN211" s="161">
        <f>IF(GP211="","",IF(ISNUMBER('Dvd Calendar'!$AB$2130)=FALSE,"",'Dvd Calendar'!$AB$2130))</f>
        <v/>
      </c>
      <c r="BO211" s="161">
        <f>IF(GQ211="","",IF(ISNUMBER('Dvd Calendar'!$AC$2130)=FALSE,"",'Dvd Calendar'!$AC$2130))</f>
        <v/>
      </c>
      <c r="BQ211" s="161">
        <f>IF(C211="","",IFERROR(C211*HSCEI!$B$58*HSCEI!$G$58/HSCEI!$B$3,""))</f>
        <v/>
      </c>
      <c r="BR211" s="161">
        <f>IF(D211="","",IFERROR(D211*HSCEI!$B$58*HSCEI!$G$58/HSCEI!$B$3,""))</f>
        <v/>
      </c>
      <c r="BS211" s="161">
        <f>IF(E211="","",IFERROR(E211*HSCEI!$B$58*HSCEI!$G$58/HSCEI!$B$3,""))</f>
        <v/>
      </c>
      <c r="BT211" s="161">
        <f>IF(F211="","",IFERROR(F211*HSCEI!$B$58*HSCEI!$G$58/HSCEI!$B$3,""))</f>
        <v/>
      </c>
      <c r="BU211" s="161">
        <f>IF(G211="","",IFERROR(G211*HSCEI!$B$58*HSCEI!$G$58/HSCEI!$B$3,""))</f>
        <v/>
      </c>
      <c r="BV211" s="161">
        <f>IF(H211="","",IFERROR(H211*HSCEI!$B$58*HSCEI!$G$58/HSCEI!$B$3,""))</f>
        <v/>
      </c>
      <c r="BW211" s="161">
        <f>IF(I211="","",IFERROR(I211*HSCEI!$B$58*HSCEI!$G$58/HSCEI!$B$3,""))</f>
        <v/>
      </c>
      <c r="BX211" s="161">
        <f>IF(J211="","",IFERROR(J211*HSCEI!$B$58*HSCEI!$G$58/HSCEI!$B$3,""))</f>
        <v/>
      </c>
      <c r="BY211" s="161">
        <f>IF(K211="","",IFERROR(K211*HSCEI!$B$58*HSCEI!$G$58/HSCEI!$B$3,""))</f>
        <v/>
      </c>
      <c r="BZ211" s="161">
        <f>IF(L211="","",IFERROR(L211*HSCEI!$B$58*HSCEI!$G$58/HSCEI!$B$3,""))</f>
        <v/>
      </c>
      <c r="CA211" s="161">
        <f>IF(M211="","",IFERROR(M211*HSCEI!$B$58*HSCEI!$G$58/HSCEI!$B$3,""))</f>
        <v/>
      </c>
      <c r="CB211" s="161">
        <f>IF(N211="","",IFERROR(N211*HSCEI!$B$58*HSCEI!$G$58/HSCEI!$B$3,""))</f>
        <v/>
      </c>
      <c r="CC211" s="161">
        <f>IF(O211="","",IFERROR(O211*HSCEI!$B$58*HSCEI!$G$58/HSCEI!$B$3,""))</f>
        <v/>
      </c>
      <c r="CD211" s="161">
        <f>IF(P211="","",IFERROR(P211*HSCEI!$B$58*HSCEI!$G$58/HSCEI!$B$3,""))</f>
        <v/>
      </c>
      <c r="CE211" s="161">
        <f>IF(Q211="","",IFERROR(Q211*HSCEI!$B$58*HSCEI!$G$58/HSCEI!$B$3,""))</f>
        <v/>
      </c>
      <c r="CF211" s="161">
        <f>IF(R211="","",IFERROR(R211*HSCEI!$B$58*HSCEI!$G$58/HSCEI!$B$3,""))</f>
        <v/>
      </c>
      <c r="CG211" s="161">
        <f>IF(S211="","",IFERROR(S211*HSCEI!$B$58*HSCEI!$G$58/HSCEI!$B$3,""))</f>
        <v/>
      </c>
      <c r="CH211" s="161">
        <f>IF(T211="","",IFERROR(T211*HSCEI!$B$58*HSCEI!$G$58/HSCEI!$B$3,""))</f>
        <v/>
      </c>
      <c r="CI211" s="161">
        <f>IF(U211="","",IFERROR(U211*HSCEI!$B$58*HSCEI!$G$58/HSCEI!$B$3,""))</f>
        <v/>
      </c>
      <c r="CJ211" s="161">
        <f>IF(V211="","",IFERROR(V211*HSCEI!$B$58*HSCEI!$G$58/HSCEI!$B$3,""))</f>
        <v/>
      </c>
      <c r="CK211" s="161">
        <f>IF(W211="","",IFERROR(W211*HSCEI!$B$58*HSCEI!$G$58/HSCEI!$B$3,""))</f>
        <v/>
      </c>
      <c r="CL211" s="161">
        <f>IF(X211="","",IFERROR(X211*HSCEI!$B$58*HSCEI!$G$58/HSCEI!$B$3,""))</f>
        <v/>
      </c>
      <c r="CM211" s="161">
        <f>IF(Y211="","",IFERROR(Y211*HSCEI!$B$58*HSCEI!$G$58/HSCEI!$B$3,""))</f>
        <v/>
      </c>
      <c r="CN211" s="161">
        <f>IF(Z211="","",IFERROR(Z211*HSCEI!$B$58*HSCEI!$G$58/HSCEI!$B$3,""))</f>
        <v/>
      </c>
      <c r="CO211" s="161">
        <f>IF(AA211="","",IFERROR(AA211*HSCEI!$B$58*HSCEI!$G$58/HSCEI!$B$3,""))</f>
        <v/>
      </c>
      <c r="CP211" s="161">
        <f>IF(AB211="","",IFERROR(AB211*HSCEI!$B$58*HSCEI!$G$58/HSCEI!$B$3,""))</f>
        <v/>
      </c>
      <c r="CQ211" s="161">
        <f>IF(AC211="","",IFERROR(AC211*HSCEI!$B$58*HSCEI!$G$58/HSCEI!$B$3,""))</f>
        <v/>
      </c>
      <c r="CR211" s="161">
        <f>IF(AD211="","",IFERROR(AD211*HSCEI!$B$58*HSCEI!$G$58/HSCEI!$B$3,""))</f>
        <v/>
      </c>
      <c r="CS211" s="161">
        <f>IF(AE211="","",IFERROR(AE211*HSCEI!$B$58*HSCEI!$G$58/HSCEI!$B$3,""))</f>
        <v/>
      </c>
      <c r="CT211" s="161">
        <f>IF(AF211="","",IFERROR(AF211*HSCEI!$B$58*HSCEI!$G$58/HSCEI!$B$3,""))</f>
        <v/>
      </c>
      <c r="CU211" s="161">
        <f>IF(AG211="","",IFERROR(AG211*HSCEI!$B$58*HSCEI!$G$58/HSCEI!$B$3,""))</f>
        <v/>
      </c>
      <c r="CV211" s="161">
        <f>IF(AH211="","",IFERROR(AH211*HSCEI!$B$58*HSCEI!$G$58/HSCEI!$B$3,""))</f>
        <v/>
      </c>
      <c r="CW211" s="161">
        <f>IF(AI211="","",IFERROR(AI211*HSCEI!$B$58*HSCEI!$G$58/HSCEI!$B$3,""))</f>
        <v/>
      </c>
      <c r="CX211" s="161">
        <f>IF(AJ211="","",IFERROR(AJ211*HSCEI!$B$58*HSCEI!$G$58/HSCEI!$B$3,""))</f>
        <v/>
      </c>
      <c r="CY211" s="161">
        <f>IF(AK211="","",IFERROR(AK211*HSCEI!$B$58*HSCEI!$G$58/HSCEI!$B$3,""))</f>
        <v/>
      </c>
      <c r="CZ211" s="161">
        <f>IF(AL211="","",IFERROR(AL211*HSCEI!$B$58*HSCEI!$G$58/HSCEI!$B$3,""))</f>
        <v/>
      </c>
      <c r="DA211" s="161">
        <f>IF(AM211="","",IFERROR(AM211*HSCEI!$B$58*HSCEI!$G$58/HSCEI!$B$3,""))</f>
        <v/>
      </c>
      <c r="DB211" s="161">
        <f>IF(AN211="","",IFERROR(AN211*HSCEI!$B$58*HSCEI!$G$58/HSCEI!$B$3,""))</f>
        <v/>
      </c>
      <c r="DC211" s="161">
        <f>IF(AO211="","",IFERROR(AO211*HSCEI!$B$58*HSCEI!$G$58/HSCEI!$B$3,""))</f>
        <v/>
      </c>
      <c r="DD211" s="161">
        <f>IF(AP211="","",IFERROR(AP211*HSCEI!$B$58*HSCEI!$G$58/HSCEI!$B$3,""))</f>
        <v/>
      </c>
      <c r="DE211" s="161">
        <f>IF(AQ211="","",IFERROR(AQ211*HSCEI!$B$58*HSCEI!$G$58/HSCEI!$B$3,""))</f>
        <v/>
      </c>
      <c r="DF211" s="161">
        <f>IF(AR211="","",IFERROR(AR211*HSCEI!$B$58*HSCEI!$G$58/HSCEI!$B$3,""))</f>
        <v/>
      </c>
      <c r="DG211" s="161">
        <f>IF(AS211="","",IFERROR(AS211*HSCEI!$B$58*HSCEI!$G$58/HSCEI!$B$3,""))</f>
        <v/>
      </c>
      <c r="DH211" s="161">
        <f>IF(AT211="","",IFERROR(AT211*HSCEI!$B$58*HSCEI!$G$58/HSCEI!$B$3,""))</f>
        <v/>
      </c>
      <c r="DI211" s="161">
        <f>IF(AU211="","",IFERROR(AU211*HSCEI!$B$58*HSCEI!$G$58/HSCEI!$B$3,""))</f>
        <v/>
      </c>
      <c r="DJ211" s="161">
        <f>IF(AV211="","",IFERROR(AV211*HSCEI!$B$58*HSCEI!$G$58/HSCEI!$B$3,""))</f>
        <v/>
      </c>
      <c r="DK211" s="161">
        <f>IF(AW211="","",IFERROR(AW211*HSCEI!$B$58*HSCEI!$G$58/HSCEI!$B$3,""))</f>
        <v/>
      </c>
      <c r="DL211" s="161">
        <f>IF(AX211="","",IFERROR(AX211*HSCEI!$B$58*HSCEI!$G$58/HSCEI!$B$3,""))</f>
        <v/>
      </c>
      <c r="DM211" s="161">
        <f>IF(AY211="","",IFERROR(AY211*HSCEI!$B$58*HSCEI!$G$58/HSCEI!$B$3,""))</f>
        <v/>
      </c>
      <c r="DN211" s="161">
        <f>IF(AZ211="","",IFERROR(AZ211*HSCEI!$B$58*HSCEI!$G$58/HSCEI!$B$3,""))</f>
        <v/>
      </c>
      <c r="DO211" s="161">
        <f>IF(BA211="","",IFERROR(BA211*HSCEI!$B$58*HSCEI!$G$58/HSCEI!$B$3,""))</f>
        <v/>
      </c>
      <c r="DP211" s="161">
        <f>IF(BB211="","",IFERROR(BB211*HSCEI!$B$58*HSCEI!$G$58/HSCEI!$B$3,""))</f>
        <v/>
      </c>
      <c r="DQ211" s="161">
        <f>IF(BC211="","",IFERROR(BC211*HSCEI!$B$58*HSCEI!$G$58/HSCEI!$B$3,""))</f>
        <v/>
      </c>
      <c r="DR211" s="161">
        <f>IF(BD211="","",IFERROR(BD211*HSCEI!$B$58*HSCEI!$G$58/HSCEI!$B$3,""))</f>
        <v/>
      </c>
      <c r="DS211" s="161">
        <f>IF(BE211="","",IFERROR(BE211*HSCEI!$B$58*HSCEI!$G$58/HSCEI!$B$3,""))</f>
        <v/>
      </c>
      <c r="DT211" s="161">
        <f>IF(BF211="","",IFERROR(BF211*HSCEI!$B$58*HSCEI!$G$58/HSCEI!$B$3,""))</f>
        <v/>
      </c>
      <c r="DU211" s="161">
        <f>IF(BG211="","",IFERROR(BG211*HSCEI!$B$58*HSCEI!$G$58/HSCEI!$B$3,""))</f>
        <v/>
      </c>
      <c r="DV211" s="161">
        <f>IF(BH211="","",IFERROR(BH211*HSCEI!$B$58*HSCEI!$G$58/HSCEI!$B$3,""))</f>
        <v/>
      </c>
      <c r="DW211" s="161">
        <f>IF(BI211="","",IFERROR(BI211*HSCEI!$B$58*HSCEI!$G$58/HSCEI!$B$3,""))</f>
        <v/>
      </c>
      <c r="DX211" s="161">
        <f>IF(BJ211="","",IFERROR(BJ211*HSCEI!$B$58*HSCEI!$G$58/HSCEI!$B$3,""))</f>
        <v/>
      </c>
      <c r="DY211" s="161">
        <f>IF(BK211="","",IFERROR(BK211*HSCEI!$B$58*HSCEI!$G$58/HSCEI!$B$3,""))</f>
        <v/>
      </c>
      <c r="DZ211" s="161">
        <f>IF(BL211="","",IFERROR(BL211*HSCEI!$B$58*HSCEI!$G$58/HSCEI!$B$3,""))</f>
        <v/>
      </c>
      <c r="EA211" s="161">
        <f>IF(BM211="","",IFERROR(BM211*HSCEI!$B$58*HSCEI!$G$58/HSCEI!$B$3,""))</f>
        <v/>
      </c>
      <c r="EB211" s="161">
        <f>IF(BN211="","",IFERROR(BN211*HSCEI!$B$58*HSCEI!$G$58/HSCEI!$B$3,""))</f>
        <v/>
      </c>
      <c r="EC211" s="161">
        <f>IF(BO211="","",IFERROR(BO211*HSCEI!$B$58*HSCEI!$G$58/HSCEI!$B$3,""))</f>
        <v/>
      </c>
      <c r="EE211" s="121">
        <f>IF(N('Dvd Calendar'!$E$2122)=0,"",IF(('Dvd Calendar'!$E$2122&gt;=GRID_FROM)*('Dvd Calendar'!$E$2122&lt;=GRID_TO)*((('Dvd Calendar'!$E$2122&lt;=VAL_DATE)+(COUNTIF('Dvd Calendar'!$E$2129:$AR$2129,'Dvd Calendar'!$E$2122)=0))&gt;0)=0,"",'Dvd Calendar'!$E$2122*1000000000+ISNUMBER('Dvd Calendar'!$E$2125)*100000000+('Dvd Calendar'!$E$2127=SPECIAL_LBL)*10000000+(N('Dvd Calendar'!$E$2121)&gt;0)*(N('Dvd Calendar'!$E$2121)&lt;=VAL_SERIAL)*1000000+52*1000+1))</f>
        <v/>
      </c>
      <c r="EF211" s="121">
        <f>IF(N('Dvd Calendar'!$F$2122)=0,"",IF(('Dvd Calendar'!$F$2122&gt;=GRID_FROM)*('Dvd Calendar'!$F$2122&lt;=GRID_TO)*((('Dvd Calendar'!$F$2122&lt;=VAL_DATE)+(COUNTIF('Dvd Calendar'!$E$2129:$AR$2129,'Dvd Calendar'!$F$2122)=0))&gt;0)=0,"",'Dvd Calendar'!$F$2122*1000000000+ISNUMBER('Dvd Calendar'!$F$2125)*100000000+('Dvd Calendar'!$F$2127=SPECIAL_LBL)*10000000+(N('Dvd Calendar'!$F$2121)&gt;0)*(N('Dvd Calendar'!$F$2121)&lt;=VAL_SERIAL)*1000000+52*1000+2))</f>
        <v/>
      </c>
      <c r="EG211" s="121">
        <f>IF(N('Dvd Calendar'!$G$2122)=0,"",IF(('Dvd Calendar'!$G$2122&gt;=GRID_FROM)*('Dvd Calendar'!$G$2122&lt;=GRID_TO)*((('Dvd Calendar'!$G$2122&lt;=VAL_DATE)+(COUNTIF('Dvd Calendar'!$E$2129:$AR$2129,'Dvd Calendar'!$G$2122)=0))&gt;0)=0,"",'Dvd Calendar'!$G$2122*1000000000+ISNUMBER('Dvd Calendar'!$G$2125)*100000000+('Dvd Calendar'!$G$2127=SPECIAL_LBL)*10000000+(N('Dvd Calendar'!$G$2121)&gt;0)*(N('Dvd Calendar'!$G$2121)&lt;=VAL_SERIAL)*1000000+52*1000+3))</f>
        <v/>
      </c>
      <c r="EH211" s="121">
        <f>IF(N('Dvd Calendar'!$H$2122)=0,"",IF(('Dvd Calendar'!$H$2122&gt;=GRID_FROM)*('Dvd Calendar'!$H$2122&lt;=GRID_TO)*((('Dvd Calendar'!$H$2122&lt;=VAL_DATE)+(COUNTIF('Dvd Calendar'!$E$2129:$AR$2129,'Dvd Calendar'!$H$2122)=0))&gt;0)=0,"",'Dvd Calendar'!$H$2122*1000000000+ISNUMBER('Dvd Calendar'!$H$2125)*100000000+('Dvd Calendar'!$H$2127=SPECIAL_LBL)*10000000+(N('Dvd Calendar'!$H$2121)&gt;0)*(N('Dvd Calendar'!$H$2121)&lt;=VAL_SERIAL)*1000000+52*1000+4))</f>
        <v/>
      </c>
      <c r="EI211" s="121">
        <f>IF(N('Dvd Calendar'!$I$2122)=0,"",IF(('Dvd Calendar'!$I$2122&gt;=GRID_FROM)*('Dvd Calendar'!$I$2122&lt;=GRID_TO)*((('Dvd Calendar'!$I$2122&lt;=VAL_DATE)+(COUNTIF('Dvd Calendar'!$E$2129:$AR$2129,'Dvd Calendar'!$I$2122)=0))&gt;0)=0,"",'Dvd Calendar'!$I$2122*1000000000+ISNUMBER('Dvd Calendar'!$I$2125)*100000000+('Dvd Calendar'!$I$2127=SPECIAL_LBL)*10000000+(N('Dvd Calendar'!$I$2121)&gt;0)*(N('Dvd Calendar'!$I$2121)&lt;=VAL_SERIAL)*1000000+52*1000+5))</f>
        <v/>
      </c>
      <c r="EJ211" s="121">
        <f>IF(N('Dvd Calendar'!$J$2122)=0,"",IF(('Dvd Calendar'!$J$2122&gt;=GRID_FROM)*('Dvd Calendar'!$J$2122&lt;=GRID_TO)*((('Dvd Calendar'!$J$2122&lt;=VAL_DATE)+(COUNTIF('Dvd Calendar'!$E$2129:$AR$2129,'Dvd Calendar'!$J$2122)=0))&gt;0)=0,"",'Dvd Calendar'!$J$2122*1000000000+ISNUMBER('Dvd Calendar'!$J$2125)*100000000+('Dvd Calendar'!$J$2127=SPECIAL_LBL)*10000000+(N('Dvd Calendar'!$J$2121)&gt;0)*(N('Dvd Calendar'!$J$2121)&lt;=VAL_SERIAL)*1000000+52*1000+6))</f>
        <v/>
      </c>
      <c r="EK211" s="121">
        <f>IF(N('Dvd Calendar'!$K$2122)=0,"",IF(('Dvd Calendar'!$K$2122&gt;=GRID_FROM)*('Dvd Calendar'!$K$2122&lt;=GRID_TO)*((('Dvd Calendar'!$K$2122&lt;=VAL_DATE)+(COUNTIF('Dvd Calendar'!$E$2129:$AR$2129,'Dvd Calendar'!$K$2122)=0))&gt;0)=0,"",'Dvd Calendar'!$K$2122*1000000000+ISNUMBER('Dvd Calendar'!$K$2125)*100000000+('Dvd Calendar'!$K$2127=SPECIAL_LBL)*10000000+(N('Dvd Calendar'!$K$2121)&gt;0)*(N('Dvd Calendar'!$K$2121)&lt;=VAL_SERIAL)*1000000+52*1000+7))</f>
        <v/>
      </c>
      <c r="EL211" s="121">
        <f>IF(N('Dvd Calendar'!$L$2122)=0,"",IF(('Dvd Calendar'!$L$2122&gt;=GRID_FROM)*('Dvd Calendar'!$L$2122&lt;=GRID_TO)*((('Dvd Calendar'!$L$2122&lt;=VAL_DATE)+(COUNTIF('Dvd Calendar'!$E$2129:$AR$2129,'Dvd Calendar'!$L$2122)=0))&gt;0)=0,"",'Dvd Calendar'!$L$2122*1000000000+ISNUMBER('Dvd Calendar'!$L$2125)*100000000+('Dvd Calendar'!$L$2127=SPECIAL_LBL)*10000000+(N('Dvd Calendar'!$L$2121)&gt;0)*(N('Dvd Calendar'!$L$2121)&lt;=VAL_SERIAL)*1000000+52*1000+8))</f>
        <v/>
      </c>
      <c r="EM211" s="121">
        <f>IF(N('Dvd Calendar'!$M$2122)=0,"",IF(('Dvd Calendar'!$M$2122&gt;=GRID_FROM)*('Dvd Calendar'!$M$2122&lt;=GRID_TO)*((('Dvd Calendar'!$M$2122&lt;=VAL_DATE)+(COUNTIF('Dvd Calendar'!$E$2129:$AR$2129,'Dvd Calendar'!$M$2122)=0))&gt;0)=0,"",'Dvd Calendar'!$M$2122*1000000000+ISNUMBER('Dvd Calendar'!$M$2125)*100000000+('Dvd Calendar'!$M$2127=SPECIAL_LBL)*10000000+(N('Dvd Calendar'!$M$2121)&gt;0)*(N('Dvd Calendar'!$M$2121)&lt;=VAL_SERIAL)*1000000+52*1000+9))</f>
        <v/>
      </c>
      <c r="EN211" s="121">
        <f>IF(N('Dvd Calendar'!$N$2122)=0,"",IF(('Dvd Calendar'!$N$2122&gt;=GRID_FROM)*('Dvd Calendar'!$N$2122&lt;=GRID_TO)*((('Dvd Calendar'!$N$2122&lt;=VAL_DATE)+(COUNTIF('Dvd Calendar'!$E$2129:$AR$2129,'Dvd Calendar'!$N$2122)=0))&gt;0)=0,"",'Dvd Calendar'!$N$2122*1000000000+ISNUMBER('Dvd Calendar'!$N$2125)*100000000+('Dvd Calendar'!$N$2127=SPECIAL_LBL)*10000000+(N('Dvd Calendar'!$N$2121)&gt;0)*(N('Dvd Calendar'!$N$2121)&lt;=VAL_SERIAL)*1000000+52*1000+10))</f>
        <v/>
      </c>
      <c r="EO211" s="121">
        <f>IF(N('Dvd Calendar'!$O$2122)=0,"",IF(('Dvd Calendar'!$O$2122&gt;=GRID_FROM)*('Dvd Calendar'!$O$2122&lt;=GRID_TO)*((('Dvd Calendar'!$O$2122&lt;=VAL_DATE)+(COUNTIF('Dvd Calendar'!$E$2129:$AR$2129,'Dvd Calendar'!$O$2122)=0))&gt;0)=0,"",'Dvd Calendar'!$O$2122*1000000000+ISNUMBER('Dvd Calendar'!$O$2125)*100000000+('Dvd Calendar'!$O$2127=SPECIAL_LBL)*10000000+(N('Dvd Calendar'!$O$2121)&gt;0)*(N('Dvd Calendar'!$O$2121)&lt;=VAL_SERIAL)*1000000+52*1000+11))</f>
        <v/>
      </c>
      <c r="EP211" s="121">
        <f>IF(N('Dvd Calendar'!$P$2122)=0,"",IF(('Dvd Calendar'!$P$2122&gt;=GRID_FROM)*('Dvd Calendar'!$P$2122&lt;=GRID_TO)*((('Dvd Calendar'!$P$2122&lt;=VAL_DATE)+(COUNTIF('Dvd Calendar'!$E$2129:$AR$2129,'Dvd Calendar'!$P$2122)=0))&gt;0)=0,"",'Dvd Calendar'!$P$2122*1000000000+ISNUMBER('Dvd Calendar'!$P$2125)*100000000+('Dvd Calendar'!$P$2127=SPECIAL_LBL)*10000000+(N('Dvd Calendar'!$P$2121)&gt;0)*(N('Dvd Calendar'!$P$2121)&lt;=VAL_SERIAL)*1000000+52*1000+12))</f>
        <v/>
      </c>
      <c r="EQ211" s="121">
        <f>IF(N('Dvd Calendar'!$Q$2122)=0,"",IF(('Dvd Calendar'!$Q$2122&gt;=GRID_FROM)*('Dvd Calendar'!$Q$2122&lt;=GRID_TO)*((('Dvd Calendar'!$Q$2122&lt;=VAL_DATE)+(COUNTIF('Dvd Calendar'!$E$2129:$AR$2129,'Dvd Calendar'!$Q$2122)=0))&gt;0)=0,"",'Dvd Calendar'!$Q$2122*1000000000+ISNUMBER('Dvd Calendar'!$Q$2125)*100000000+('Dvd Calendar'!$Q$2127=SPECIAL_LBL)*10000000+(N('Dvd Calendar'!$Q$2121)&gt;0)*(N('Dvd Calendar'!$Q$2121)&lt;=VAL_SERIAL)*1000000+52*1000+13))</f>
        <v/>
      </c>
      <c r="ER211" s="121">
        <f>IF(N('Dvd Calendar'!$R$2122)=0,"",IF(('Dvd Calendar'!$R$2122&gt;=GRID_FROM)*('Dvd Calendar'!$R$2122&lt;=GRID_TO)*((('Dvd Calendar'!$R$2122&lt;=VAL_DATE)+(COUNTIF('Dvd Calendar'!$E$2129:$AR$2129,'Dvd Calendar'!$R$2122)=0))&gt;0)=0,"",'Dvd Calendar'!$R$2122*1000000000+ISNUMBER('Dvd Calendar'!$R$2125)*100000000+('Dvd Calendar'!$R$2127=SPECIAL_LBL)*10000000+(N('Dvd Calendar'!$R$2121)&gt;0)*(N('Dvd Calendar'!$R$2121)&lt;=VAL_SERIAL)*1000000+52*1000+14))</f>
        <v/>
      </c>
      <c r="ES211" s="121">
        <f>IF(N('Dvd Calendar'!$S$2122)=0,"",IF(('Dvd Calendar'!$S$2122&gt;=GRID_FROM)*('Dvd Calendar'!$S$2122&lt;=GRID_TO)*((('Dvd Calendar'!$S$2122&lt;=VAL_DATE)+(COUNTIF('Dvd Calendar'!$E$2129:$AR$2129,'Dvd Calendar'!$S$2122)=0))&gt;0)=0,"",'Dvd Calendar'!$S$2122*1000000000+ISNUMBER('Dvd Calendar'!$S$2125)*100000000+('Dvd Calendar'!$S$2127=SPECIAL_LBL)*10000000+(N('Dvd Calendar'!$S$2121)&gt;0)*(N('Dvd Calendar'!$S$2121)&lt;=VAL_SERIAL)*1000000+52*1000+15))</f>
        <v/>
      </c>
      <c r="ET211" s="121">
        <f>IF(N('Dvd Calendar'!$T$2122)=0,"",IF(('Dvd Calendar'!$T$2122&gt;=GRID_FROM)*('Dvd Calendar'!$T$2122&lt;=GRID_TO)*((('Dvd Calendar'!$T$2122&lt;=VAL_DATE)+(COUNTIF('Dvd Calendar'!$E$2129:$AR$2129,'Dvd Calendar'!$T$2122)=0))&gt;0)=0,"",'Dvd Calendar'!$T$2122*1000000000+ISNUMBER('Dvd Calendar'!$T$2125)*100000000+('Dvd Calendar'!$T$2127=SPECIAL_LBL)*10000000+(N('Dvd Calendar'!$T$2121)&gt;0)*(N('Dvd Calendar'!$T$2121)&lt;=VAL_SERIAL)*1000000+52*1000+16))</f>
        <v/>
      </c>
      <c r="EU211" s="121">
        <f>IF(N('Dvd Calendar'!$U$2122)=0,"",IF(('Dvd Calendar'!$U$2122&gt;=GRID_FROM)*('Dvd Calendar'!$U$2122&lt;=GRID_TO)*((('Dvd Calendar'!$U$2122&lt;=VAL_DATE)+(COUNTIF('Dvd Calendar'!$E$2129:$AR$2129,'Dvd Calendar'!$U$2122)=0))&gt;0)=0,"",'Dvd Calendar'!$U$2122*1000000000+ISNUMBER('Dvd Calendar'!$U$2125)*100000000+('Dvd Calendar'!$U$2127=SPECIAL_LBL)*10000000+(N('Dvd Calendar'!$U$2121)&gt;0)*(N('Dvd Calendar'!$U$2121)&lt;=VAL_SERIAL)*1000000+52*1000+17))</f>
        <v/>
      </c>
      <c r="EV211" s="121">
        <f>IF(N('Dvd Calendar'!$V$2122)=0,"",IF(('Dvd Calendar'!$V$2122&gt;=GRID_FROM)*('Dvd Calendar'!$V$2122&lt;=GRID_TO)*((('Dvd Calendar'!$V$2122&lt;=VAL_DATE)+(COUNTIF('Dvd Calendar'!$E$2129:$AR$2129,'Dvd Calendar'!$V$2122)=0))&gt;0)=0,"",'Dvd Calendar'!$V$2122*1000000000+ISNUMBER('Dvd Calendar'!$V$2125)*100000000+('Dvd Calendar'!$V$2127=SPECIAL_LBL)*10000000+(N('Dvd Calendar'!$V$2121)&gt;0)*(N('Dvd Calendar'!$V$2121)&lt;=VAL_SERIAL)*1000000+52*1000+18))</f>
        <v/>
      </c>
      <c r="EW211" s="121">
        <f>IF(N('Dvd Calendar'!$W$2122)=0,"",IF(('Dvd Calendar'!$W$2122&gt;=GRID_FROM)*('Dvd Calendar'!$W$2122&lt;=GRID_TO)*((('Dvd Calendar'!$W$2122&lt;=VAL_DATE)+(COUNTIF('Dvd Calendar'!$E$2129:$AR$2129,'Dvd Calendar'!$W$2122)=0))&gt;0)=0,"",'Dvd Calendar'!$W$2122*1000000000+ISNUMBER('Dvd Calendar'!$W$2125)*100000000+('Dvd Calendar'!$W$2127=SPECIAL_LBL)*10000000+(N('Dvd Calendar'!$W$2121)&gt;0)*(N('Dvd Calendar'!$W$2121)&lt;=VAL_SERIAL)*1000000+52*1000+19))</f>
        <v/>
      </c>
      <c r="EX211" s="121">
        <f>IF(N('Dvd Calendar'!$X$2122)=0,"",IF(('Dvd Calendar'!$X$2122&gt;=GRID_FROM)*('Dvd Calendar'!$X$2122&lt;=GRID_TO)*((('Dvd Calendar'!$X$2122&lt;=VAL_DATE)+(COUNTIF('Dvd Calendar'!$E$2129:$AR$2129,'Dvd Calendar'!$X$2122)=0))&gt;0)=0,"",'Dvd Calendar'!$X$2122*1000000000+ISNUMBER('Dvd Calendar'!$X$2125)*100000000+('Dvd Calendar'!$X$2127=SPECIAL_LBL)*10000000+(N('Dvd Calendar'!$X$2121)&gt;0)*(N('Dvd Calendar'!$X$2121)&lt;=VAL_SERIAL)*1000000+52*1000+20))</f>
        <v/>
      </c>
      <c r="EY211" s="121">
        <f>IF(N('Dvd Calendar'!$Y$2122)=0,"",IF(('Dvd Calendar'!$Y$2122&gt;=GRID_FROM)*('Dvd Calendar'!$Y$2122&lt;=GRID_TO)*((('Dvd Calendar'!$Y$2122&lt;=VAL_DATE)+(COUNTIF('Dvd Calendar'!$E$2129:$AR$2129,'Dvd Calendar'!$Y$2122)=0))&gt;0)=0,"",'Dvd Calendar'!$Y$2122*1000000000+ISNUMBER('Dvd Calendar'!$Y$2125)*100000000+('Dvd Calendar'!$Y$2127=SPECIAL_LBL)*10000000+(N('Dvd Calendar'!$Y$2121)&gt;0)*(N('Dvd Calendar'!$Y$2121)&lt;=VAL_SERIAL)*1000000+52*1000+21))</f>
        <v/>
      </c>
      <c r="EZ211" s="121">
        <f>IF(N('Dvd Calendar'!$Z$2122)=0,"",IF(('Dvd Calendar'!$Z$2122&gt;=GRID_FROM)*('Dvd Calendar'!$Z$2122&lt;=GRID_TO)*((('Dvd Calendar'!$Z$2122&lt;=VAL_DATE)+(COUNTIF('Dvd Calendar'!$E$2129:$AR$2129,'Dvd Calendar'!$Z$2122)=0))&gt;0)=0,"",'Dvd Calendar'!$Z$2122*1000000000+ISNUMBER('Dvd Calendar'!$Z$2125)*100000000+('Dvd Calendar'!$Z$2127=SPECIAL_LBL)*10000000+(N('Dvd Calendar'!$Z$2121)&gt;0)*(N('Dvd Calendar'!$Z$2121)&lt;=VAL_SERIAL)*1000000+52*1000+22))</f>
        <v/>
      </c>
      <c r="FA211" s="121">
        <f>IF(N('Dvd Calendar'!$AA$2122)=0,"",IF(('Dvd Calendar'!$AA$2122&gt;=GRID_FROM)*('Dvd Calendar'!$AA$2122&lt;=GRID_TO)*((('Dvd Calendar'!$AA$2122&lt;=VAL_DATE)+(COUNTIF('Dvd Calendar'!$E$2129:$AR$2129,'Dvd Calendar'!$AA$2122)=0))&gt;0)=0,"",'Dvd Calendar'!$AA$2122*1000000000+ISNUMBER('Dvd Calendar'!$AA$2125)*100000000+('Dvd Calendar'!$AA$2127=SPECIAL_LBL)*10000000+(N('Dvd Calendar'!$AA$2121)&gt;0)*(N('Dvd Calendar'!$AA$2121)&lt;=VAL_SERIAL)*1000000+52*1000+23))</f>
        <v/>
      </c>
      <c r="FB211" s="121">
        <f>IF(N('Dvd Calendar'!$AB$2122)=0,"",IF(('Dvd Calendar'!$AB$2122&gt;=GRID_FROM)*('Dvd Calendar'!$AB$2122&lt;=GRID_TO)*((('Dvd Calendar'!$AB$2122&lt;=VAL_DATE)+(COUNTIF('Dvd Calendar'!$E$2129:$AR$2129,'Dvd Calendar'!$AB$2122)=0))&gt;0)=0,"",'Dvd Calendar'!$AB$2122*1000000000+ISNUMBER('Dvd Calendar'!$AB$2125)*100000000+('Dvd Calendar'!$AB$2127=SPECIAL_LBL)*10000000+(N('Dvd Calendar'!$AB$2121)&gt;0)*(N('Dvd Calendar'!$AB$2121)&lt;=VAL_SERIAL)*1000000+52*1000+24))</f>
        <v/>
      </c>
      <c r="FC211" s="121">
        <f>IF(N('Dvd Calendar'!$AC$2122)=0,"",IF(('Dvd Calendar'!$AC$2122&gt;=GRID_FROM)*('Dvd Calendar'!$AC$2122&lt;=GRID_TO)*((('Dvd Calendar'!$AC$2122&lt;=VAL_DATE)+(COUNTIF('Dvd Calendar'!$E$2129:$AR$2129,'Dvd Calendar'!$AC$2122)=0))&gt;0)=0,"",'Dvd Calendar'!$AC$2122*1000000000+ISNUMBER('Dvd Calendar'!$AC$2125)*100000000+('Dvd Calendar'!$AC$2127=SPECIAL_LBL)*10000000+(N('Dvd Calendar'!$AC$2121)&gt;0)*(N('Dvd Calendar'!$AC$2121)&lt;=VAL_SERIAL)*1000000+52*1000+25))</f>
        <v/>
      </c>
      <c r="FD211" s="121">
        <f>IF(N('Dvd Calendar'!$AD$2122)=0,"",IF(('Dvd Calendar'!$AD$2122&gt;=GRID_FROM)*('Dvd Calendar'!$AD$2122&lt;=GRID_TO)*((('Dvd Calendar'!$AD$2122&lt;=VAL_DATE)+(COUNTIF('Dvd Calendar'!$E$2129:$AR$2129,'Dvd Calendar'!$AD$2122)=0))&gt;0)=0,"",'Dvd Calendar'!$AD$2122*1000000000+ISNUMBER('Dvd Calendar'!$AD$2125)*100000000+('Dvd Calendar'!$AD$2127=SPECIAL_LBL)*10000000+(N('Dvd Calendar'!$AD$2121)&gt;0)*(N('Dvd Calendar'!$AD$2121)&lt;=VAL_SERIAL)*1000000+52*1000+26))</f>
        <v/>
      </c>
      <c r="FE211" s="121">
        <f>IF(N('Dvd Calendar'!$AE$2122)=0,"",IF(('Dvd Calendar'!$AE$2122&gt;=GRID_FROM)*('Dvd Calendar'!$AE$2122&lt;=GRID_TO)*((('Dvd Calendar'!$AE$2122&lt;=VAL_DATE)+(COUNTIF('Dvd Calendar'!$E$2129:$AR$2129,'Dvd Calendar'!$AE$2122)=0))&gt;0)=0,"",'Dvd Calendar'!$AE$2122*1000000000+ISNUMBER('Dvd Calendar'!$AE$2125)*100000000+('Dvd Calendar'!$AE$2127=SPECIAL_LBL)*10000000+(N('Dvd Calendar'!$AE$2121)&gt;0)*(N('Dvd Calendar'!$AE$2121)&lt;=VAL_SERIAL)*1000000+52*1000+27))</f>
        <v/>
      </c>
      <c r="FF211" s="121">
        <f>IF(N('Dvd Calendar'!$AF$2122)=0,"",IF(('Dvd Calendar'!$AF$2122&gt;=GRID_FROM)*('Dvd Calendar'!$AF$2122&lt;=GRID_TO)*((('Dvd Calendar'!$AF$2122&lt;=VAL_DATE)+(COUNTIF('Dvd Calendar'!$E$2129:$AR$2129,'Dvd Calendar'!$AF$2122)=0))&gt;0)=0,"",'Dvd Calendar'!$AF$2122*1000000000+ISNUMBER('Dvd Calendar'!$AF$2125)*100000000+('Dvd Calendar'!$AF$2127=SPECIAL_LBL)*10000000+(N('Dvd Calendar'!$AF$2121)&gt;0)*(N('Dvd Calendar'!$AF$2121)&lt;=VAL_SERIAL)*1000000+52*1000+28))</f>
        <v/>
      </c>
      <c r="FG211" s="121">
        <f>IF(N('Dvd Calendar'!$AG$2122)=0,"",IF(('Dvd Calendar'!$AG$2122&gt;=GRID_FROM)*('Dvd Calendar'!$AG$2122&lt;=GRID_TO)*((('Dvd Calendar'!$AG$2122&lt;=VAL_DATE)+(COUNTIF('Dvd Calendar'!$E$2129:$AR$2129,'Dvd Calendar'!$AG$2122)=0))&gt;0)=0,"",'Dvd Calendar'!$AG$2122*1000000000+ISNUMBER('Dvd Calendar'!$AG$2125)*100000000+('Dvd Calendar'!$AG$2127=SPECIAL_LBL)*10000000+(N('Dvd Calendar'!$AG$2121)&gt;0)*(N('Dvd Calendar'!$AG$2121)&lt;=VAL_SERIAL)*1000000+52*1000+29))</f>
        <v/>
      </c>
      <c r="FH211" s="121">
        <f>IF(N('Dvd Calendar'!$AH$2122)=0,"",IF(('Dvd Calendar'!$AH$2122&gt;=GRID_FROM)*('Dvd Calendar'!$AH$2122&lt;=GRID_TO)*((('Dvd Calendar'!$AH$2122&lt;=VAL_DATE)+(COUNTIF('Dvd Calendar'!$E$2129:$AR$2129,'Dvd Calendar'!$AH$2122)=0))&gt;0)=0,"",'Dvd Calendar'!$AH$2122*1000000000+ISNUMBER('Dvd Calendar'!$AH$2125)*100000000+('Dvd Calendar'!$AH$2127=SPECIAL_LBL)*10000000+(N('Dvd Calendar'!$AH$2121)&gt;0)*(N('Dvd Calendar'!$AH$2121)&lt;=VAL_SERIAL)*1000000+52*1000+30))</f>
        <v/>
      </c>
      <c r="FI211" s="121">
        <f>IF(N('Dvd Calendar'!$AI$2122)=0,"",IF(('Dvd Calendar'!$AI$2122&gt;=GRID_FROM)*('Dvd Calendar'!$AI$2122&lt;=GRID_TO)*((('Dvd Calendar'!$AI$2122&lt;=VAL_DATE)+(COUNTIF('Dvd Calendar'!$E$2129:$AR$2129,'Dvd Calendar'!$AI$2122)=0))&gt;0)=0,"",'Dvd Calendar'!$AI$2122*1000000000+ISNUMBER('Dvd Calendar'!$AI$2125)*100000000+('Dvd Calendar'!$AI$2127=SPECIAL_LBL)*10000000+(N('Dvd Calendar'!$AI$2121)&gt;0)*(N('Dvd Calendar'!$AI$2121)&lt;=VAL_SERIAL)*1000000+52*1000+31))</f>
        <v/>
      </c>
      <c r="FJ211" s="121">
        <f>IF(N('Dvd Calendar'!$AJ$2122)=0,"",IF(('Dvd Calendar'!$AJ$2122&gt;=GRID_FROM)*('Dvd Calendar'!$AJ$2122&lt;=GRID_TO)*((('Dvd Calendar'!$AJ$2122&lt;=VAL_DATE)+(COUNTIF('Dvd Calendar'!$E$2129:$AR$2129,'Dvd Calendar'!$AJ$2122)=0))&gt;0)=0,"",'Dvd Calendar'!$AJ$2122*1000000000+ISNUMBER('Dvd Calendar'!$AJ$2125)*100000000+('Dvd Calendar'!$AJ$2127=SPECIAL_LBL)*10000000+(N('Dvd Calendar'!$AJ$2121)&gt;0)*(N('Dvd Calendar'!$AJ$2121)&lt;=VAL_SERIAL)*1000000+52*1000+32))</f>
        <v/>
      </c>
      <c r="FK211" s="121">
        <f>IF(N('Dvd Calendar'!$AK$2122)=0,"",IF(('Dvd Calendar'!$AK$2122&gt;=GRID_FROM)*('Dvd Calendar'!$AK$2122&lt;=GRID_TO)*((('Dvd Calendar'!$AK$2122&lt;=VAL_DATE)+(COUNTIF('Dvd Calendar'!$E$2129:$AR$2129,'Dvd Calendar'!$AK$2122)=0))&gt;0)=0,"",'Dvd Calendar'!$AK$2122*1000000000+ISNUMBER('Dvd Calendar'!$AK$2125)*100000000+('Dvd Calendar'!$AK$2127=SPECIAL_LBL)*10000000+(N('Dvd Calendar'!$AK$2121)&gt;0)*(N('Dvd Calendar'!$AK$2121)&lt;=VAL_SERIAL)*1000000+52*1000+33))</f>
        <v/>
      </c>
      <c r="FL211" s="121">
        <f>IF(N('Dvd Calendar'!$AL$2122)=0,"",IF(('Dvd Calendar'!$AL$2122&gt;=GRID_FROM)*('Dvd Calendar'!$AL$2122&lt;=GRID_TO)*((('Dvd Calendar'!$AL$2122&lt;=VAL_DATE)+(COUNTIF('Dvd Calendar'!$E$2129:$AR$2129,'Dvd Calendar'!$AL$2122)=0))&gt;0)=0,"",'Dvd Calendar'!$AL$2122*1000000000+ISNUMBER('Dvd Calendar'!$AL$2125)*100000000+('Dvd Calendar'!$AL$2127=SPECIAL_LBL)*10000000+(N('Dvd Calendar'!$AL$2121)&gt;0)*(N('Dvd Calendar'!$AL$2121)&lt;=VAL_SERIAL)*1000000+52*1000+34))</f>
        <v/>
      </c>
      <c r="FM211" s="121">
        <f>IF(N('Dvd Calendar'!$AM$2122)=0,"",IF(('Dvd Calendar'!$AM$2122&gt;=GRID_FROM)*('Dvd Calendar'!$AM$2122&lt;=GRID_TO)*((('Dvd Calendar'!$AM$2122&lt;=VAL_DATE)+(COUNTIF('Dvd Calendar'!$E$2129:$AR$2129,'Dvd Calendar'!$AM$2122)=0))&gt;0)=0,"",'Dvd Calendar'!$AM$2122*1000000000+ISNUMBER('Dvd Calendar'!$AM$2125)*100000000+('Dvd Calendar'!$AM$2127=SPECIAL_LBL)*10000000+(N('Dvd Calendar'!$AM$2121)&gt;0)*(N('Dvd Calendar'!$AM$2121)&lt;=VAL_SERIAL)*1000000+52*1000+35))</f>
        <v/>
      </c>
      <c r="FN211" s="121">
        <f>IF(N('Dvd Calendar'!$AN$2122)=0,"",IF(('Dvd Calendar'!$AN$2122&gt;=GRID_FROM)*('Dvd Calendar'!$AN$2122&lt;=GRID_TO)*((('Dvd Calendar'!$AN$2122&lt;=VAL_DATE)+(COUNTIF('Dvd Calendar'!$E$2129:$AR$2129,'Dvd Calendar'!$AN$2122)=0))&gt;0)=0,"",'Dvd Calendar'!$AN$2122*1000000000+ISNUMBER('Dvd Calendar'!$AN$2125)*100000000+('Dvd Calendar'!$AN$2127=SPECIAL_LBL)*10000000+(N('Dvd Calendar'!$AN$2121)&gt;0)*(N('Dvd Calendar'!$AN$2121)&lt;=VAL_SERIAL)*1000000+52*1000+36))</f>
        <v/>
      </c>
      <c r="FO211" s="121">
        <f>IF(N('Dvd Calendar'!$AO$2122)=0,"",IF(('Dvd Calendar'!$AO$2122&gt;=GRID_FROM)*('Dvd Calendar'!$AO$2122&lt;=GRID_TO)*((('Dvd Calendar'!$AO$2122&lt;=VAL_DATE)+(COUNTIF('Dvd Calendar'!$E$2129:$AR$2129,'Dvd Calendar'!$AO$2122)=0))&gt;0)=0,"",'Dvd Calendar'!$AO$2122*1000000000+ISNUMBER('Dvd Calendar'!$AO$2125)*100000000+('Dvd Calendar'!$AO$2127=SPECIAL_LBL)*10000000+(N('Dvd Calendar'!$AO$2121)&gt;0)*(N('Dvd Calendar'!$AO$2121)&lt;=VAL_SERIAL)*1000000+52*1000+37))</f>
        <v/>
      </c>
      <c r="FP211" s="121">
        <f>IF(N('Dvd Calendar'!$AP$2122)=0,"",IF(('Dvd Calendar'!$AP$2122&gt;=GRID_FROM)*('Dvd Calendar'!$AP$2122&lt;=GRID_TO)*((('Dvd Calendar'!$AP$2122&lt;=VAL_DATE)+(COUNTIF('Dvd Calendar'!$E$2129:$AR$2129,'Dvd Calendar'!$AP$2122)=0))&gt;0)=0,"",'Dvd Calendar'!$AP$2122*1000000000+ISNUMBER('Dvd Calendar'!$AP$2125)*100000000+('Dvd Calendar'!$AP$2127=SPECIAL_LBL)*10000000+(N('Dvd Calendar'!$AP$2121)&gt;0)*(N('Dvd Calendar'!$AP$2121)&lt;=VAL_SERIAL)*1000000+52*1000+38))</f>
        <v/>
      </c>
      <c r="FQ211" s="121">
        <f>IF(N('Dvd Calendar'!$AQ$2122)=0,"",IF(('Dvd Calendar'!$AQ$2122&gt;=GRID_FROM)*('Dvd Calendar'!$AQ$2122&lt;=GRID_TO)*((('Dvd Calendar'!$AQ$2122&lt;=VAL_DATE)+(COUNTIF('Dvd Calendar'!$E$2129:$AR$2129,'Dvd Calendar'!$AQ$2122)=0))&gt;0)=0,"",'Dvd Calendar'!$AQ$2122*1000000000+ISNUMBER('Dvd Calendar'!$AQ$2125)*100000000+('Dvd Calendar'!$AQ$2127=SPECIAL_LBL)*10000000+(N('Dvd Calendar'!$AQ$2121)&gt;0)*(N('Dvd Calendar'!$AQ$2121)&lt;=VAL_SERIAL)*1000000+52*1000+39))</f>
        <v/>
      </c>
      <c r="FR211" s="121">
        <f>IF(N('Dvd Calendar'!$AR$2122)=0,"",IF(('Dvd Calendar'!$AR$2122&gt;=GRID_FROM)*('Dvd Calendar'!$AR$2122&lt;=GRID_TO)*((('Dvd Calendar'!$AR$2122&lt;=VAL_DATE)+(COUNTIF('Dvd Calendar'!$E$2129:$AR$2129,'Dvd Calendar'!$AR$2122)=0))&gt;0)=0,"",'Dvd Calendar'!$AR$2122*1000000000+ISNUMBER('Dvd Calendar'!$AR$2125)*100000000+('Dvd Calendar'!$AR$2127=SPECIAL_LBL)*10000000+(N('Dvd Calendar'!$AR$2121)&gt;0)*(N('Dvd Calendar'!$AR$2121)&lt;=VAL_SERIAL)*1000000+52*1000+40))</f>
        <v/>
      </c>
      <c r="FS211" s="121">
        <f>IF(N('Dvd Calendar'!$E$2129)=0,"",IF(('Dvd Calendar'!$E$2129&gt;=GRID_FROM)*('Dvd Calendar'!$E$2129&lt;=GRID_TO)*('Dvd Calendar'!$E$2129&gt;VAL_DATE)=0,"",'Dvd Calendar'!$E$2129*1000000000+ISNUMBER('Dvd Calendar'!$E$2130)*100000000+0*10000000+(N('Dvd Calendar'!$E$2128)&gt;0)*(N('Dvd Calendar'!$E$2128)&lt;=VAL_SERIAL)*1000000+52*1000+41))</f>
        <v/>
      </c>
      <c r="FT211" s="121">
        <f>IF(N('Dvd Calendar'!$F$2129)=0,"",IF(('Dvd Calendar'!$F$2129&gt;=GRID_FROM)*('Dvd Calendar'!$F$2129&lt;=GRID_TO)*('Dvd Calendar'!$F$2129&gt;VAL_DATE)=0,"",'Dvd Calendar'!$F$2129*1000000000+ISNUMBER('Dvd Calendar'!$F$2130)*100000000+0*10000000+(N('Dvd Calendar'!$F$2128)&gt;0)*(N('Dvd Calendar'!$F$2128)&lt;=VAL_SERIAL)*1000000+52*1000+42))</f>
        <v/>
      </c>
      <c r="FU211" s="121">
        <f>IF(N('Dvd Calendar'!$G$2129)=0,"",IF(('Dvd Calendar'!$G$2129&gt;=GRID_FROM)*('Dvd Calendar'!$G$2129&lt;=GRID_TO)*('Dvd Calendar'!$G$2129&gt;VAL_DATE)=0,"",'Dvd Calendar'!$G$2129*1000000000+ISNUMBER('Dvd Calendar'!$G$2130)*100000000+0*10000000+(N('Dvd Calendar'!$G$2128)&gt;0)*(N('Dvd Calendar'!$G$2128)&lt;=VAL_SERIAL)*1000000+52*1000+43))</f>
        <v/>
      </c>
      <c r="FV211" s="121">
        <f>IF(N('Dvd Calendar'!$H$2129)=0,"",IF(('Dvd Calendar'!$H$2129&gt;=GRID_FROM)*('Dvd Calendar'!$H$2129&lt;=GRID_TO)*('Dvd Calendar'!$H$2129&gt;VAL_DATE)=0,"",'Dvd Calendar'!$H$2129*1000000000+ISNUMBER('Dvd Calendar'!$H$2130)*100000000+0*10000000+(N('Dvd Calendar'!$H$2128)&gt;0)*(N('Dvd Calendar'!$H$2128)&lt;=VAL_SERIAL)*1000000+52*1000+44))</f>
        <v/>
      </c>
      <c r="FW211" s="121">
        <f>IF(N('Dvd Calendar'!$I$2129)=0,"",IF(('Dvd Calendar'!$I$2129&gt;=GRID_FROM)*('Dvd Calendar'!$I$2129&lt;=GRID_TO)*('Dvd Calendar'!$I$2129&gt;VAL_DATE)=0,"",'Dvd Calendar'!$I$2129*1000000000+ISNUMBER('Dvd Calendar'!$I$2130)*100000000+0*10000000+(N('Dvd Calendar'!$I$2128)&gt;0)*(N('Dvd Calendar'!$I$2128)&lt;=VAL_SERIAL)*1000000+52*1000+45))</f>
        <v/>
      </c>
      <c r="FX211" s="121">
        <f>IF(N('Dvd Calendar'!$J$2129)=0,"",IF(('Dvd Calendar'!$J$2129&gt;=GRID_FROM)*('Dvd Calendar'!$J$2129&lt;=GRID_TO)*('Dvd Calendar'!$J$2129&gt;VAL_DATE)=0,"",'Dvd Calendar'!$J$2129*1000000000+ISNUMBER('Dvd Calendar'!$J$2130)*100000000+0*10000000+(N('Dvd Calendar'!$J$2128)&gt;0)*(N('Dvd Calendar'!$J$2128)&lt;=VAL_SERIAL)*1000000+52*1000+46))</f>
        <v/>
      </c>
      <c r="FY211" s="121">
        <f>IF(N('Dvd Calendar'!$K$2129)=0,"",IF(('Dvd Calendar'!$K$2129&gt;=GRID_FROM)*('Dvd Calendar'!$K$2129&lt;=GRID_TO)*('Dvd Calendar'!$K$2129&gt;VAL_DATE)=0,"",'Dvd Calendar'!$K$2129*1000000000+ISNUMBER('Dvd Calendar'!$K$2130)*100000000+0*10000000+(N('Dvd Calendar'!$K$2128)&gt;0)*(N('Dvd Calendar'!$K$2128)&lt;=VAL_SERIAL)*1000000+52*1000+47))</f>
        <v/>
      </c>
      <c r="FZ211" s="121">
        <f>IF(N('Dvd Calendar'!$L$2129)=0,"",IF(('Dvd Calendar'!$L$2129&gt;=GRID_FROM)*('Dvd Calendar'!$L$2129&lt;=GRID_TO)*('Dvd Calendar'!$L$2129&gt;VAL_DATE)=0,"",'Dvd Calendar'!$L$2129*1000000000+ISNUMBER('Dvd Calendar'!$L$2130)*100000000+0*10000000+(N('Dvd Calendar'!$L$2128)&gt;0)*(N('Dvd Calendar'!$L$2128)&lt;=VAL_SERIAL)*1000000+52*1000+48))</f>
        <v/>
      </c>
      <c r="GA211" s="121">
        <f>IF(N('Dvd Calendar'!$M$2129)=0,"",IF(('Dvd Calendar'!$M$2129&gt;=GRID_FROM)*('Dvd Calendar'!$M$2129&lt;=GRID_TO)*('Dvd Calendar'!$M$2129&gt;VAL_DATE)=0,"",'Dvd Calendar'!$M$2129*1000000000+ISNUMBER('Dvd Calendar'!$M$2130)*100000000+0*10000000+(N('Dvd Calendar'!$M$2128)&gt;0)*(N('Dvd Calendar'!$M$2128)&lt;=VAL_SERIAL)*1000000+52*1000+49))</f>
        <v/>
      </c>
      <c r="GB211" s="121">
        <f>IF(N('Dvd Calendar'!$N$2129)=0,"",IF(('Dvd Calendar'!$N$2129&gt;=GRID_FROM)*('Dvd Calendar'!$N$2129&lt;=GRID_TO)*('Dvd Calendar'!$N$2129&gt;VAL_DATE)=0,"",'Dvd Calendar'!$N$2129*1000000000+ISNUMBER('Dvd Calendar'!$N$2130)*100000000+0*10000000+(N('Dvd Calendar'!$N$2128)&gt;0)*(N('Dvd Calendar'!$N$2128)&lt;=VAL_SERIAL)*1000000+52*1000+50))</f>
        <v/>
      </c>
      <c r="GC211" s="121">
        <f>IF(N('Dvd Calendar'!$O$2129)=0,"",IF(('Dvd Calendar'!$O$2129&gt;=GRID_FROM)*('Dvd Calendar'!$O$2129&lt;=GRID_TO)*('Dvd Calendar'!$O$2129&gt;VAL_DATE)=0,"",'Dvd Calendar'!$O$2129*1000000000+ISNUMBER('Dvd Calendar'!$O$2130)*100000000+0*10000000+(N('Dvd Calendar'!$O$2128)&gt;0)*(N('Dvd Calendar'!$O$2128)&lt;=VAL_SERIAL)*1000000+52*1000+51))</f>
        <v/>
      </c>
      <c r="GD211" s="121">
        <f>IF(N('Dvd Calendar'!$P$2129)=0,"",IF(('Dvd Calendar'!$P$2129&gt;=GRID_FROM)*('Dvd Calendar'!$P$2129&lt;=GRID_TO)*('Dvd Calendar'!$P$2129&gt;VAL_DATE)=0,"",'Dvd Calendar'!$P$2129*1000000000+ISNUMBER('Dvd Calendar'!$P$2130)*100000000+0*10000000+(N('Dvd Calendar'!$P$2128)&gt;0)*(N('Dvd Calendar'!$P$2128)&lt;=VAL_SERIAL)*1000000+52*1000+52))</f>
        <v/>
      </c>
      <c r="GE211" s="121">
        <f>IF(N('Dvd Calendar'!$Q$2129)=0,"",IF(('Dvd Calendar'!$Q$2129&gt;=GRID_FROM)*('Dvd Calendar'!$Q$2129&lt;=GRID_TO)*('Dvd Calendar'!$Q$2129&gt;VAL_DATE)=0,"",'Dvd Calendar'!$Q$2129*1000000000+ISNUMBER('Dvd Calendar'!$Q$2130)*100000000+0*10000000+(N('Dvd Calendar'!$Q$2128)&gt;0)*(N('Dvd Calendar'!$Q$2128)&lt;=VAL_SERIAL)*1000000+52*1000+53))</f>
        <v/>
      </c>
      <c r="GF211" s="121">
        <f>IF(N('Dvd Calendar'!$R$2129)=0,"",IF(('Dvd Calendar'!$R$2129&gt;=GRID_FROM)*('Dvd Calendar'!$R$2129&lt;=GRID_TO)*('Dvd Calendar'!$R$2129&gt;VAL_DATE)=0,"",'Dvd Calendar'!$R$2129*1000000000+ISNUMBER('Dvd Calendar'!$R$2130)*100000000+0*10000000+(N('Dvd Calendar'!$R$2128)&gt;0)*(N('Dvd Calendar'!$R$2128)&lt;=VAL_SERIAL)*1000000+52*1000+54))</f>
        <v/>
      </c>
      <c r="GG211" s="121">
        <f>IF(N('Dvd Calendar'!$S$2129)=0,"",IF(('Dvd Calendar'!$S$2129&gt;=GRID_FROM)*('Dvd Calendar'!$S$2129&lt;=GRID_TO)*('Dvd Calendar'!$S$2129&gt;VAL_DATE)=0,"",'Dvd Calendar'!$S$2129*1000000000+ISNUMBER('Dvd Calendar'!$S$2130)*100000000+0*10000000+(N('Dvd Calendar'!$S$2128)&gt;0)*(N('Dvd Calendar'!$S$2128)&lt;=VAL_SERIAL)*1000000+52*1000+55))</f>
        <v/>
      </c>
      <c r="GH211" s="121">
        <f>IF(N('Dvd Calendar'!$T$2129)=0,"",IF(('Dvd Calendar'!$T$2129&gt;=GRID_FROM)*('Dvd Calendar'!$T$2129&lt;=GRID_TO)*('Dvd Calendar'!$T$2129&gt;VAL_DATE)=0,"",'Dvd Calendar'!$T$2129*1000000000+ISNUMBER('Dvd Calendar'!$T$2130)*100000000+0*10000000+(N('Dvd Calendar'!$T$2128)&gt;0)*(N('Dvd Calendar'!$T$2128)&lt;=VAL_SERIAL)*1000000+52*1000+56))</f>
        <v/>
      </c>
      <c r="GI211" s="121">
        <f>IF(N('Dvd Calendar'!$U$2129)=0,"",IF(('Dvd Calendar'!$U$2129&gt;=GRID_FROM)*('Dvd Calendar'!$U$2129&lt;=GRID_TO)*('Dvd Calendar'!$U$2129&gt;VAL_DATE)=0,"",'Dvd Calendar'!$U$2129*1000000000+ISNUMBER('Dvd Calendar'!$U$2130)*100000000+0*10000000+(N('Dvd Calendar'!$U$2128)&gt;0)*(N('Dvd Calendar'!$U$2128)&lt;=VAL_SERIAL)*1000000+52*1000+57))</f>
        <v/>
      </c>
      <c r="GJ211" s="121">
        <f>IF(N('Dvd Calendar'!$V$2129)=0,"",IF(('Dvd Calendar'!$V$2129&gt;=GRID_FROM)*('Dvd Calendar'!$V$2129&lt;=GRID_TO)*('Dvd Calendar'!$V$2129&gt;VAL_DATE)=0,"",'Dvd Calendar'!$V$2129*1000000000+ISNUMBER('Dvd Calendar'!$V$2130)*100000000+0*10000000+(N('Dvd Calendar'!$V$2128)&gt;0)*(N('Dvd Calendar'!$V$2128)&lt;=VAL_SERIAL)*1000000+52*1000+58))</f>
        <v/>
      </c>
      <c r="GK211" s="121">
        <f>IF(N('Dvd Calendar'!$W$2129)=0,"",IF(('Dvd Calendar'!$W$2129&gt;=GRID_FROM)*('Dvd Calendar'!$W$2129&lt;=GRID_TO)*('Dvd Calendar'!$W$2129&gt;VAL_DATE)=0,"",'Dvd Calendar'!$W$2129*1000000000+ISNUMBER('Dvd Calendar'!$W$2130)*100000000+0*10000000+(N('Dvd Calendar'!$W$2128)&gt;0)*(N('Dvd Calendar'!$W$2128)&lt;=VAL_SERIAL)*1000000+52*1000+59))</f>
        <v/>
      </c>
      <c r="GL211" s="121">
        <f>IF(N('Dvd Calendar'!$X$2129)=0,"",IF(('Dvd Calendar'!$X$2129&gt;=GRID_FROM)*('Dvd Calendar'!$X$2129&lt;=GRID_TO)*('Dvd Calendar'!$X$2129&gt;VAL_DATE)=0,"",'Dvd Calendar'!$X$2129*1000000000+ISNUMBER('Dvd Calendar'!$X$2130)*100000000+0*10000000+(N('Dvd Calendar'!$X$2128)&gt;0)*(N('Dvd Calendar'!$X$2128)&lt;=VAL_SERIAL)*1000000+52*1000+60))</f>
        <v/>
      </c>
      <c r="GM211" s="121">
        <f>IF(N('Dvd Calendar'!$Y$2129)=0,"",IF(('Dvd Calendar'!$Y$2129&gt;=GRID_FROM)*('Dvd Calendar'!$Y$2129&lt;=GRID_TO)*('Dvd Calendar'!$Y$2129&gt;VAL_DATE)=0,"",'Dvd Calendar'!$Y$2129*1000000000+ISNUMBER('Dvd Calendar'!$Y$2130)*100000000+0*10000000+(N('Dvd Calendar'!$Y$2128)&gt;0)*(N('Dvd Calendar'!$Y$2128)&lt;=VAL_SERIAL)*1000000+52*1000+61))</f>
        <v/>
      </c>
      <c r="GN211" s="121">
        <f>IF(N('Dvd Calendar'!$Z$2129)=0,"",IF(('Dvd Calendar'!$Z$2129&gt;=GRID_FROM)*('Dvd Calendar'!$Z$2129&lt;=GRID_TO)*('Dvd Calendar'!$Z$2129&gt;VAL_DATE)=0,"",'Dvd Calendar'!$Z$2129*1000000000+ISNUMBER('Dvd Calendar'!$Z$2130)*100000000+0*10000000+(N('Dvd Calendar'!$Z$2128)&gt;0)*(N('Dvd Calendar'!$Z$2128)&lt;=VAL_SERIAL)*1000000+52*1000+62))</f>
        <v/>
      </c>
      <c r="GO211" s="121">
        <f>IF(N('Dvd Calendar'!$AA$2129)=0,"",IF(('Dvd Calendar'!$AA$2129&gt;=GRID_FROM)*('Dvd Calendar'!$AA$2129&lt;=GRID_TO)*('Dvd Calendar'!$AA$2129&gt;VAL_DATE)=0,"",'Dvd Calendar'!$AA$2129*1000000000+ISNUMBER('Dvd Calendar'!$AA$2130)*100000000+0*10000000+(N('Dvd Calendar'!$AA$2128)&gt;0)*(N('Dvd Calendar'!$AA$2128)&lt;=VAL_SERIAL)*1000000+52*1000+63))</f>
        <v/>
      </c>
      <c r="GP211" s="121">
        <f>IF(N('Dvd Calendar'!$AB$2129)=0,"",IF(('Dvd Calendar'!$AB$2129&gt;=GRID_FROM)*('Dvd Calendar'!$AB$2129&lt;=GRID_TO)*('Dvd Calendar'!$AB$2129&gt;VAL_DATE)=0,"",'Dvd Calendar'!$AB$2129*1000000000+ISNUMBER('Dvd Calendar'!$AB$2130)*100000000+0*10000000+(N('Dvd Calendar'!$AB$2128)&gt;0)*(N('Dvd Calendar'!$AB$2128)&lt;=VAL_SERIAL)*1000000+52*1000+64))</f>
        <v/>
      </c>
      <c r="GQ211" s="121">
        <f>IF(N('Dvd Calendar'!$AC$2129)=0,"",IF(('Dvd Calendar'!$AC$2129&gt;=GRID_FROM)*('Dvd Calendar'!$AC$2129&lt;=GRID_TO)*('Dvd Calendar'!$AC$2129&gt;VAL_DATE)=0,"",'Dvd Calendar'!$AC$2129*1000000000+ISNUMBER('Dvd Calendar'!$AC$2130)*100000000+0*10000000+(N('Dvd Calendar'!$AC$2128)&gt;0)*(N('Dvd Calendar'!$AC$2128)&lt;=VAL_SERIAL)*1000000+52*1000+65))</f>
        <v/>
      </c>
    </row>
    <row r="212">
      <c r="B212" s="2">
        <f>IF(HSCEI!$C$59="","",HSCEI!$C$59)</f>
        <v/>
      </c>
      <c r="C212" s="161">
        <f>IF(EE212="","",IF(ISNUMBER('Dvd Calendar'!$E$2136)=FALSE,"",IF((('Dvd Calendar'!$E$2138=TYPE1)*(TYPE1&lt;&gt;"")+('Dvd Calendar'!$E$2138=TYPE2)*(TYPE2&lt;&gt;"")+('Dvd Calendar'!$E$2138=TYPE3)*(TYPE3&lt;&gt;"")+('Dvd Calendar'!$E$2138=TYPE4)*(TYPE4&lt;&gt;"")+('Dvd Calendar'!$E$2138=SPECIAL_LBL)*(INC_SPECIALS="Y"))=0,"",'Dvd Calendar'!$E$2136)))</f>
        <v/>
      </c>
      <c r="D212" s="161">
        <f>IF(EF212="","",IF(ISNUMBER('Dvd Calendar'!$F$2136)=FALSE,"",IF((('Dvd Calendar'!$F$2138=TYPE1)*(TYPE1&lt;&gt;"")+('Dvd Calendar'!$F$2138=TYPE2)*(TYPE2&lt;&gt;"")+('Dvd Calendar'!$F$2138=TYPE3)*(TYPE3&lt;&gt;"")+('Dvd Calendar'!$F$2138=TYPE4)*(TYPE4&lt;&gt;"")+('Dvd Calendar'!$F$2138=SPECIAL_LBL)*(INC_SPECIALS="Y"))=0,"",'Dvd Calendar'!$F$2136)))</f>
        <v/>
      </c>
      <c r="E212" s="161">
        <f>IF(EG212="","",IF(ISNUMBER('Dvd Calendar'!$G$2136)=FALSE,"",IF((('Dvd Calendar'!$G$2138=TYPE1)*(TYPE1&lt;&gt;"")+('Dvd Calendar'!$G$2138=TYPE2)*(TYPE2&lt;&gt;"")+('Dvd Calendar'!$G$2138=TYPE3)*(TYPE3&lt;&gt;"")+('Dvd Calendar'!$G$2138=TYPE4)*(TYPE4&lt;&gt;"")+('Dvd Calendar'!$G$2138=SPECIAL_LBL)*(INC_SPECIALS="Y"))=0,"",'Dvd Calendar'!$G$2136)))</f>
        <v/>
      </c>
      <c r="F212" s="161">
        <f>IF(EH212="","",IF(ISNUMBER('Dvd Calendar'!$H$2136)=FALSE,"",IF((('Dvd Calendar'!$H$2138=TYPE1)*(TYPE1&lt;&gt;"")+('Dvd Calendar'!$H$2138=TYPE2)*(TYPE2&lt;&gt;"")+('Dvd Calendar'!$H$2138=TYPE3)*(TYPE3&lt;&gt;"")+('Dvd Calendar'!$H$2138=TYPE4)*(TYPE4&lt;&gt;"")+('Dvd Calendar'!$H$2138=SPECIAL_LBL)*(INC_SPECIALS="Y"))=0,"",'Dvd Calendar'!$H$2136)))</f>
        <v/>
      </c>
      <c r="G212" s="161">
        <f>IF(EI212="","",IF(ISNUMBER('Dvd Calendar'!$I$2136)=FALSE,"",IF((('Dvd Calendar'!$I$2138=TYPE1)*(TYPE1&lt;&gt;"")+('Dvd Calendar'!$I$2138=TYPE2)*(TYPE2&lt;&gt;"")+('Dvd Calendar'!$I$2138=TYPE3)*(TYPE3&lt;&gt;"")+('Dvd Calendar'!$I$2138=TYPE4)*(TYPE4&lt;&gt;"")+('Dvd Calendar'!$I$2138=SPECIAL_LBL)*(INC_SPECIALS="Y"))=0,"",'Dvd Calendar'!$I$2136)))</f>
        <v/>
      </c>
      <c r="H212" s="161">
        <f>IF(EJ212="","",IF(ISNUMBER('Dvd Calendar'!$J$2136)=FALSE,"",IF((('Dvd Calendar'!$J$2138=TYPE1)*(TYPE1&lt;&gt;"")+('Dvd Calendar'!$J$2138=TYPE2)*(TYPE2&lt;&gt;"")+('Dvd Calendar'!$J$2138=TYPE3)*(TYPE3&lt;&gt;"")+('Dvd Calendar'!$J$2138=TYPE4)*(TYPE4&lt;&gt;"")+('Dvd Calendar'!$J$2138=SPECIAL_LBL)*(INC_SPECIALS="Y"))=0,"",'Dvd Calendar'!$J$2136)))</f>
        <v/>
      </c>
      <c r="I212" s="161">
        <f>IF(EK212="","",IF(ISNUMBER('Dvd Calendar'!$K$2136)=FALSE,"",IF((('Dvd Calendar'!$K$2138=TYPE1)*(TYPE1&lt;&gt;"")+('Dvd Calendar'!$K$2138=TYPE2)*(TYPE2&lt;&gt;"")+('Dvd Calendar'!$K$2138=TYPE3)*(TYPE3&lt;&gt;"")+('Dvd Calendar'!$K$2138=TYPE4)*(TYPE4&lt;&gt;"")+('Dvd Calendar'!$K$2138=SPECIAL_LBL)*(INC_SPECIALS="Y"))=0,"",'Dvd Calendar'!$K$2136)))</f>
        <v/>
      </c>
      <c r="J212" s="161">
        <f>IF(EL212="","",IF(ISNUMBER('Dvd Calendar'!$L$2136)=FALSE,"",IF((('Dvd Calendar'!$L$2138=TYPE1)*(TYPE1&lt;&gt;"")+('Dvd Calendar'!$L$2138=TYPE2)*(TYPE2&lt;&gt;"")+('Dvd Calendar'!$L$2138=TYPE3)*(TYPE3&lt;&gt;"")+('Dvd Calendar'!$L$2138=TYPE4)*(TYPE4&lt;&gt;"")+('Dvd Calendar'!$L$2138=SPECIAL_LBL)*(INC_SPECIALS="Y"))=0,"",'Dvd Calendar'!$L$2136)))</f>
        <v/>
      </c>
      <c r="K212" s="161">
        <f>IF(EM212="","",IF(ISNUMBER('Dvd Calendar'!$M$2136)=FALSE,"",IF((('Dvd Calendar'!$M$2138=TYPE1)*(TYPE1&lt;&gt;"")+('Dvd Calendar'!$M$2138=TYPE2)*(TYPE2&lt;&gt;"")+('Dvd Calendar'!$M$2138=TYPE3)*(TYPE3&lt;&gt;"")+('Dvd Calendar'!$M$2138=TYPE4)*(TYPE4&lt;&gt;"")+('Dvd Calendar'!$M$2138=SPECIAL_LBL)*(INC_SPECIALS="Y"))=0,"",'Dvd Calendar'!$M$2136)))</f>
        <v/>
      </c>
      <c r="L212" s="161">
        <f>IF(EN212="","",IF(ISNUMBER('Dvd Calendar'!$N$2136)=FALSE,"",IF((('Dvd Calendar'!$N$2138=TYPE1)*(TYPE1&lt;&gt;"")+('Dvd Calendar'!$N$2138=TYPE2)*(TYPE2&lt;&gt;"")+('Dvd Calendar'!$N$2138=TYPE3)*(TYPE3&lt;&gt;"")+('Dvd Calendar'!$N$2138=TYPE4)*(TYPE4&lt;&gt;"")+('Dvd Calendar'!$N$2138=SPECIAL_LBL)*(INC_SPECIALS="Y"))=0,"",'Dvd Calendar'!$N$2136)))</f>
        <v/>
      </c>
      <c r="M212" s="161">
        <f>IF(EO212="","",IF(ISNUMBER('Dvd Calendar'!$O$2136)=FALSE,"",IF((('Dvd Calendar'!$O$2138=TYPE1)*(TYPE1&lt;&gt;"")+('Dvd Calendar'!$O$2138=TYPE2)*(TYPE2&lt;&gt;"")+('Dvd Calendar'!$O$2138=TYPE3)*(TYPE3&lt;&gt;"")+('Dvd Calendar'!$O$2138=TYPE4)*(TYPE4&lt;&gt;"")+('Dvd Calendar'!$O$2138=SPECIAL_LBL)*(INC_SPECIALS="Y"))=0,"",'Dvd Calendar'!$O$2136)))</f>
        <v/>
      </c>
      <c r="N212" s="161">
        <f>IF(EP212="","",IF(ISNUMBER('Dvd Calendar'!$P$2136)=FALSE,"",IF((('Dvd Calendar'!$P$2138=TYPE1)*(TYPE1&lt;&gt;"")+('Dvd Calendar'!$P$2138=TYPE2)*(TYPE2&lt;&gt;"")+('Dvd Calendar'!$P$2138=TYPE3)*(TYPE3&lt;&gt;"")+('Dvd Calendar'!$P$2138=TYPE4)*(TYPE4&lt;&gt;"")+('Dvd Calendar'!$P$2138=SPECIAL_LBL)*(INC_SPECIALS="Y"))=0,"",'Dvd Calendar'!$P$2136)))</f>
        <v/>
      </c>
      <c r="O212" s="161">
        <f>IF(EQ212="","",IF(ISNUMBER('Dvd Calendar'!$Q$2136)=FALSE,"",IF((('Dvd Calendar'!$Q$2138=TYPE1)*(TYPE1&lt;&gt;"")+('Dvd Calendar'!$Q$2138=TYPE2)*(TYPE2&lt;&gt;"")+('Dvd Calendar'!$Q$2138=TYPE3)*(TYPE3&lt;&gt;"")+('Dvd Calendar'!$Q$2138=TYPE4)*(TYPE4&lt;&gt;"")+('Dvd Calendar'!$Q$2138=SPECIAL_LBL)*(INC_SPECIALS="Y"))=0,"",'Dvd Calendar'!$Q$2136)))</f>
        <v/>
      </c>
      <c r="P212" s="161">
        <f>IF(ER212="","",IF(ISNUMBER('Dvd Calendar'!$R$2136)=FALSE,"",IF((('Dvd Calendar'!$R$2138=TYPE1)*(TYPE1&lt;&gt;"")+('Dvd Calendar'!$R$2138=TYPE2)*(TYPE2&lt;&gt;"")+('Dvd Calendar'!$R$2138=TYPE3)*(TYPE3&lt;&gt;"")+('Dvd Calendar'!$R$2138=TYPE4)*(TYPE4&lt;&gt;"")+('Dvd Calendar'!$R$2138=SPECIAL_LBL)*(INC_SPECIALS="Y"))=0,"",'Dvd Calendar'!$R$2136)))</f>
        <v/>
      </c>
      <c r="Q212" s="161">
        <f>IF(ES212="","",IF(ISNUMBER('Dvd Calendar'!$S$2136)=FALSE,"",IF((('Dvd Calendar'!$S$2138=TYPE1)*(TYPE1&lt;&gt;"")+('Dvd Calendar'!$S$2138=TYPE2)*(TYPE2&lt;&gt;"")+('Dvd Calendar'!$S$2138=TYPE3)*(TYPE3&lt;&gt;"")+('Dvd Calendar'!$S$2138=TYPE4)*(TYPE4&lt;&gt;"")+('Dvd Calendar'!$S$2138=SPECIAL_LBL)*(INC_SPECIALS="Y"))=0,"",'Dvd Calendar'!$S$2136)))</f>
        <v/>
      </c>
      <c r="R212" s="161">
        <f>IF(ET212="","",IF(ISNUMBER('Dvd Calendar'!$T$2136)=FALSE,"",IF((('Dvd Calendar'!$T$2138=TYPE1)*(TYPE1&lt;&gt;"")+('Dvd Calendar'!$T$2138=TYPE2)*(TYPE2&lt;&gt;"")+('Dvd Calendar'!$T$2138=TYPE3)*(TYPE3&lt;&gt;"")+('Dvd Calendar'!$T$2138=TYPE4)*(TYPE4&lt;&gt;"")+('Dvd Calendar'!$T$2138=SPECIAL_LBL)*(INC_SPECIALS="Y"))=0,"",'Dvd Calendar'!$T$2136)))</f>
        <v/>
      </c>
      <c r="S212" s="161">
        <f>IF(EU212="","",IF(ISNUMBER('Dvd Calendar'!$U$2136)=FALSE,"",IF((('Dvd Calendar'!$U$2138=TYPE1)*(TYPE1&lt;&gt;"")+('Dvd Calendar'!$U$2138=TYPE2)*(TYPE2&lt;&gt;"")+('Dvd Calendar'!$U$2138=TYPE3)*(TYPE3&lt;&gt;"")+('Dvd Calendar'!$U$2138=TYPE4)*(TYPE4&lt;&gt;"")+('Dvd Calendar'!$U$2138=SPECIAL_LBL)*(INC_SPECIALS="Y"))=0,"",'Dvd Calendar'!$U$2136)))</f>
        <v/>
      </c>
      <c r="T212" s="161">
        <f>IF(EV212="","",IF(ISNUMBER('Dvd Calendar'!$V$2136)=FALSE,"",IF((('Dvd Calendar'!$V$2138=TYPE1)*(TYPE1&lt;&gt;"")+('Dvd Calendar'!$V$2138=TYPE2)*(TYPE2&lt;&gt;"")+('Dvd Calendar'!$V$2138=TYPE3)*(TYPE3&lt;&gt;"")+('Dvd Calendar'!$V$2138=TYPE4)*(TYPE4&lt;&gt;"")+('Dvd Calendar'!$V$2138=SPECIAL_LBL)*(INC_SPECIALS="Y"))=0,"",'Dvd Calendar'!$V$2136)))</f>
        <v/>
      </c>
      <c r="U212" s="161">
        <f>IF(EW212="","",IF(ISNUMBER('Dvd Calendar'!$W$2136)=FALSE,"",IF((('Dvd Calendar'!$W$2138=TYPE1)*(TYPE1&lt;&gt;"")+('Dvd Calendar'!$W$2138=TYPE2)*(TYPE2&lt;&gt;"")+('Dvd Calendar'!$W$2138=TYPE3)*(TYPE3&lt;&gt;"")+('Dvd Calendar'!$W$2138=TYPE4)*(TYPE4&lt;&gt;"")+('Dvd Calendar'!$W$2138=SPECIAL_LBL)*(INC_SPECIALS="Y"))=0,"",'Dvd Calendar'!$W$2136)))</f>
        <v/>
      </c>
      <c r="V212" s="161">
        <f>IF(EX212="","",IF(ISNUMBER('Dvd Calendar'!$X$2136)=FALSE,"",IF((('Dvd Calendar'!$X$2138=TYPE1)*(TYPE1&lt;&gt;"")+('Dvd Calendar'!$X$2138=TYPE2)*(TYPE2&lt;&gt;"")+('Dvd Calendar'!$X$2138=TYPE3)*(TYPE3&lt;&gt;"")+('Dvd Calendar'!$X$2138=TYPE4)*(TYPE4&lt;&gt;"")+('Dvd Calendar'!$X$2138=SPECIAL_LBL)*(INC_SPECIALS="Y"))=0,"",'Dvd Calendar'!$X$2136)))</f>
        <v/>
      </c>
      <c r="W212" s="161">
        <f>IF(EY212="","",IF(ISNUMBER('Dvd Calendar'!$Y$2136)=FALSE,"",IF((('Dvd Calendar'!$Y$2138=TYPE1)*(TYPE1&lt;&gt;"")+('Dvd Calendar'!$Y$2138=TYPE2)*(TYPE2&lt;&gt;"")+('Dvd Calendar'!$Y$2138=TYPE3)*(TYPE3&lt;&gt;"")+('Dvd Calendar'!$Y$2138=TYPE4)*(TYPE4&lt;&gt;"")+('Dvd Calendar'!$Y$2138=SPECIAL_LBL)*(INC_SPECIALS="Y"))=0,"",'Dvd Calendar'!$Y$2136)))</f>
        <v/>
      </c>
      <c r="X212" s="161">
        <f>IF(EZ212="","",IF(ISNUMBER('Dvd Calendar'!$Z$2136)=FALSE,"",IF((('Dvd Calendar'!$Z$2138=TYPE1)*(TYPE1&lt;&gt;"")+('Dvd Calendar'!$Z$2138=TYPE2)*(TYPE2&lt;&gt;"")+('Dvd Calendar'!$Z$2138=TYPE3)*(TYPE3&lt;&gt;"")+('Dvd Calendar'!$Z$2138=TYPE4)*(TYPE4&lt;&gt;"")+('Dvd Calendar'!$Z$2138=SPECIAL_LBL)*(INC_SPECIALS="Y"))=0,"",'Dvd Calendar'!$Z$2136)))</f>
        <v/>
      </c>
      <c r="Y212" s="161">
        <f>IF(FA212="","",IF(ISNUMBER('Dvd Calendar'!$AA$2136)=FALSE,"",IF((('Dvd Calendar'!$AA$2138=TYPE1)*(TYPE1&lt;&gt;"")+('Dvd Calendar'!$AA$2138=TYPE2)*(TYPE2&lt;&gt;"")+('Dvd Calendar'!$AA$2138=TYPE3)*(TYPE3&lt;&gt;"")+('Dvd Calendar'!$AA$2138=TYPE4)*(TYPE4&lt;&gt;"")+('Dvd Calendar'!$AA$2138=SPECIAL_LBL)*(INC_SPECIALS="Y"))=0,"",'Dvd Calendar'!$AA$2136)))</f>
        <v/>
      </c>
      <c r="Z212" s="161">
        <f>IF(FB212="","",IF(ISNUMBER('Dvd Calendar'!$AB$2136)=FALSE,"",IF((('Dvd Calendar'!$AB$2138=TYPE1)*(TYPE1&lt;&gt;"")+('Dvd Calendar'!$AB$2138=TYPE2)*(TYPE2&lt;&gt;"")+('Dvd Calendar'!$AB$2138=TYPE3)*(TYPE3&lt;&gt;"")+('Dvd Calendar'!$AB$2138=TYPE4)*(TYPE4&lt;&gt;"")+('Dvd Calendar'!$AB$2138=SPECIAL_LBL)*(INC_SPECIALS="Y"))=0,"",'Dvd Calendar'!$AB$2136)))</f>
        <v/>
      </c>
      <c r="AA212" s="161">
        <f>IF(FC212="","",IF(ISNUMBER('Dvd Calendar'!$AC$2136)=FALSE,"",IF((('Dvd Calendar'!$AC$2138=TYPE1)*(TYPE1&lt;&gt;"")+('Dvd Calendar'!$AC$2138=TYPE2)*(TYPE2&lt;&gt;"")+('Dvd Calendar'!$AC$2138=TYPE3)*(TYPE3&lt;&gt;"")+('Dvd Calendar'!$AC$2138=TYPE4)*(TYPE4&lt;&gt;"")+('Dvd Calendar'!$AC$2138=SPECIAL_LBL)*(INC_SPECIALS="Y"))=0,"",'Dvd Calendar'!$AC$2136)))</f>
        <v/>
      </c>
      <c r="AB212" s="161">
        <f>IF(FD212="","",IF(ISNUMBER('Dvd Calendar'!$AD$2136)=FALSE,"",IF((('Dvd Calendar'!$AD$2138=TYPE1)*(TYPE1&lt;&gt;"")+('Dvd Calendar'!$AD$2138=TYPE2)*(TYPE2&lt;&gt;"")+('Dvd Calendar'!$AD$2138=TYPE3)*(TYPE3&lt;&gt;"")+('Dvd Calendar'!$AD$2138=TYPE4)*(TYPE4&lt;&gt;"")+('Dvd Calendar'!$AD$2138=SPECIAL_LBL)*(INC_SPECIALS="Y"))=0,"",'Dvd Calendar'!$AD$2136)))</f>
        <v/>
      </c>
      <c r="AC212" s="161">
        <f>IF(FE212="","",IF(ISNUMBER('Dvd Calendar'!$AE$2136)=FALSE,"",IF((('Dvd Calendar'!$AE$2138=TYPE1)*(TYPE1&lt;&gt;"")+('Dvd Calendar'!$AE$2138=TYPE2)*(TYPE2&lt;&gt;"")+('Dvd Calendar'!$AE$2138=TYPE3)*(TYPE3&lt;&gt;"")+('Dvd Calendar'!$AE$2138=TYPE4)*(TYPE4&lt;&gt;"")+('Dvd Calendar'!$AE$2138=SPECIAL_LBL)*(INC_SPECIALS="Y"))=0,"",'Dvd Calendar'!$AE$2136)))</f>
        <v/>
      </c>
      <c r="AD212" s="161">
        <f>IF(FF212="","",IF(ISNUMBER('Dvd Calendar'!$AF$2136)=FALSE,"",IF((('Dvd Calendar'!$AF$2138=TYPE1)*(TYPE1&lt;&gt;"")+('Dvd Calendar'!$AF$2138=TYPE2)*(TYPE2&lt;&gt;"")+('Dvd Calendar'!$AF$2138=TYPE3)*(TYPE3&lt;&gt;"")+('Dvd Calendar'!$AF$2138=TYPE4)*(TYPE4&lt;&gt;"")+('Dvd Calendar'!$AF$2138=SPECIAL_LBL)*(INC_SPECIALS="Y"))=0,"",'Dvd Calendar'!$AF$2136)))</f>
        <v/>
      </c>
      <c r="AE212" s="161">
        <f>IF(FG212="","",IF(ISNUMBER('Dvd Calendar'!$AG$2136)=FALSE,"",IF((('Dvd Calendar'!$AG$2138=TYPE1)*(TYPE1&lt;&gt;"")+('Dvd Calendar'!$AG$2138=TYPE2)*(TYPE2&lt;&gt;"")+('Dvd Calendar'!$AG$2138=TYPE3)*(TYPE3&lt;&gt;"")+('Dvd Calendar'!$AG$2138=TYPE4)*(TYPE4&lt;&gt;"")+('Dvd Calendar'!$AG$2138=SPECIAL_LBL)*(INC_SPECIALS="Y"))=0,"",'Dvd Calendar'!$AG$2136)))</f>
        <v/>
      </c>
      <c r="AF212" s="161">
        <f>IF(FH212="","",IF(ISNUMBER('Dvd Calendar'!$AH$2136)=FALSE,"",IF((('Dvd Calendar'!$AH$2138=TYPE1)*(TYPE1&lt;&gt;"")+('Dvd Calendar'!$AH$2138=TYPE2)*(TYPE2&lt;&gt;"")+('Dvd Calendar'!$AH$2138=TYPE3)*(TYPE3&lt;&gt;"")+('Dvd Calendar'!$AH$2138=TYPE4)*(TYPE4&lt;&gt;"")+('Dvd Calendar'!$AH$2138=SPECIAL_LBL)*(INC_SPECIALS="Y"))=0,"",'Dvd Calendar'!$AH$2136)))</f>
        <v/>
      </c>
      <c r="AG212" s="161">
        <f>IF(FI212="","",IF(ISNUMBER('Dvd Calendar'!$AI$2136)=FALSE,"",IF((('Dvd Calendar'!$AI$2138=TYPE1)*(TYPE1&lt;&gt;"")+('Dvd Calendar'!$AI$2138=TYPE2)*(TYPE2&lt;&gt;"")+('Dvd Calendar'!$AI$2138=TYPE3)*(TYPE3&lt;&gt;"")+('Dvd Calendar'!$AI$2138=TYPE4)*(TYPE4&lt;&gt;"")+('Dvd Calendar'!$AI$2138=SPECIAL_LBL)*(INC_SPECIALS="Y"))=0,"",'Dvd Calendar'!$AI$2136)))</f>
        <v/>
      </c>
      <c r="AH212" s="161">
        <f>IF(FJ212="","",IF(ISNUMBER('Dvd Calendar'!$AJ$2136)=FALSE,"",IF((('Dvd Calendar'!$AJ$2138=TYPE1)*(TYPE1&lt;&gt;"")+('Dvd Calendar'!$AJ$2138=TYPE2)*(TYPE2&lt;&gt;"")+('Dvd Calendar'!$AJ$2138=TYPE3)*(TYPE3&lt;&gt;"")+('Dvd Calendar'!$AJ$2138=TYPE4)*(TYPE4&lt;&gt;"")+('Dvd Calendar'!$AJ$2138=SPECIAL_LBL)*(INC_SPECIALS="Y"))=0,"",'Dvd Calendar'!$AJ$2136)))</f>
        <v/>
      </c>
      <c r="AI212" s="161">
        <f>IF(FK212="","",IF(ISNUMBER('Dvd Calendar'!$AK$2136)=FALSE,"",IF((('Dvd Calendar'!$AK$2138=TYPE1)*(TYPE1&lt;&gt;"")+('Dvd Calendar'!$AK$2138=TYPE2)*(TYPE2&lt;&gt;"")+('Dvd Calendar'!$AK$2138=TYPE3)*(TYPE3&lt;&gt;"")+('Dvd Calendar'!$AK$2138=TYPE4)*(TYPE4&lt;&gt;"")+('Dvd Calendar'!$AK$2138=SPECIAL_LBL)*(INC_SPECIALS="Y"))=0,"",'Dvd Calendar'!$AK$2136)))</f>
        <v/>
      </c>
      <c r="AJ212" s="161">
        <f>IF(FL212="","",IF(ISNUMBER('Dvd Calendar'!$AL$2136)=FALSE,"",IF((('Dvd Calendar'!$AL$2138=TYPE1)*(TYPE1&lt;&gt;"")+('Dvd Calendar'!$AL$2138=TYPE2)*(TYPE2&lt;&gt;"")+('Dvd Calendar'!$AL$2138=TYPE3)*(TYPE3&lt;&gt;"")+('Dvd Calendar'!$AL$2138=TYPE4)*(TYPE4&lt;&gt;"")+('Dvd Calendar'!$AL$2138=SPECIAL_LBL)*(INC_SPECIALS="Y"))=0,"",'Dvd Calendar'!$AL$2136)))</f>
        <v/>
      </c>
      <c r="AK212" s="161">
        <f>IF(FM212="","",IF(ISNUMBER('Dvd Calendar'!$AM$2136)=FALSE,"",IF((('Dvd Calendar'!$AM$2138=TYPE1)*(TYPE1&lt;&gt;"")+('Dvd Calendar'!$AM$2138=TYPE2)*(TYPE2&lt;&gt;"")+('Dvd Calendar'!$AM$2138=TYPE3)*(TYPE3&lt;&gt;"")+('Dvd Calendar'!$AM$2138=TYPE4)*(TYPE4&lt;&gt;"")+('Dvd Calendar'!$AM$2138=SPECIAL_LBL)*(INC_SPECIALS="Y"))=0,"",'Dvd Calendar'!$AM$2136)))</f>
        <v/>
      </c>
      <c r="AL212" s="161">
        <f>IF(FN212="","",IF(ISNUMBER('Dvd Calendar'!$AN$2136)=FALSE,"",IF((('Dvd Calendar'!$AN$2138=TYPE1)*(TYPE1&lt;&gt;"")+('Dvd Calendar'!$AN$2138=TYPE2)*(TYPE2&lt;&gt;"")+('Dvd Calendar'!$AN$2138=TYPE3)*(TYPE3&lt;&gt;"")+('Dvd Calendar'!$AN$2138=TYPE4)*(TYPE4&lt;&gt;"")+('Dvd Calendar'!$AN$2138=SPECIAL_LBL)*(INC_SPECIALS="Y"))=0,"",'Dvd Calendar'!$AN$2136)))</f>
        <v/>
      </c>
      <c r="AM212" s="161">
        <f>IF(FO212="","",IF(ISNUMBER('Dvd Calendar'!$AO$2136)=FALSE,"",IF((('Dvd Calendar'!$AO$2138=TYPE1)*(TYPE1&lt;&gt;"")+('Dvd Calendar'!$AO$2138=TYPE2)*(TYPE2&lt;&gt;"")+('Dvd Calendar'!$AO$2138=TYPE3)*(TYPE3&lt;&gt;"")+('Dvd Calendar'!$AO$2138=TYPE4)*(TYPE4&lt;&gt;"")+('Dvd Calendar'!$AO$2138=SPECIAL_LBL)*(INC_SPECIALS="Y"))=0,"",'Dvd Calendar'!$AO$2136)))</f>
        <v/>
      </c>
      <c r="AN212" s="161">
        <f>IF(FP212="","",IF(ISNUMBER('Dvd Calendar'!$AP$2136)=FALSE,"",IF((('Dvd Calendar'!$AP$2138=TYPE1)*(TYPE1&lt;&gt;"")+('Dvd Calendar'!$AP$2138=TYPE2)*(TYPE2&lt;&gt;"")+('Dvd Calendar'!$AP$2138=TYPE3)*(TYPE3&lt;&gt;"")+('Dvd Calendar'!$AP$2138=TYPE4)*(TYPE4&lt;&gt;"")+('Dvd Calendar'!$AP$2138=SPECIAL_LBL)*(INC_SPECIALS="Y"))=0,"",'Dvd Calendar'!$AP$2136)))</f>
        <v/>
      </c>
      <c r="AO212" s="161">
        <f>IF(FQ212="","",IF(ISNUMBER('Dvd Calendar'!$AQ$2136)=FALSE,"",IF((('Dvd Calendar'!$AQ$2138=TYPE1)*(TYPE1&lt;&gt;"")+('Dvd Calendar'!$AQ$2138=TYPE2)*(TYPE2&lt;&gt;"")+('Dvd Calendar'!$AQ$2138=TYPE3)*(TYPE3&lt;&gt;"")+('Dvd Calendar'!$AQ$2138=TYPE4)*(TYPE4&lt;&gt;"")+('Dvd Calendar'!$AQ$2138=SPECIAL_LBL)*(INC_SPECIALS="Y"))=0,"",'Dvd Calendar'!$AQ$2136)))</f>
        <v/>
      </c>
      <c r="AP212" s="161">
        <f>IF(FR212="","",IF(ISNUMBER('Dvd Calendar'!$AR$2136)=FALSE,"",IF((('Dvd Calendar'!$AR$2138=TYPE1)*(TYPE1&lt;&gt;"")+('Dvd Calendar'!$AR$2138=TYPE2)*(TYPE2&lt;&gt;"")+('Dvd Calendar'!$AR$2138=TYPE3)*(TYPE3&lt;&gt;"")+('Dvd Calendar'!$AR$2138=TYPE4)*(TYPE4&lt;&gt;"")+('Dvd Calendar'!$AR$2138=SPECIAL_LBL)*(INC_SPECIALS="Y"))=0,"",'Dvd Calendar'!$AR$2136)))</f>
        <v/>
      </c>
      <c r="AQ212" s="161">
        <f>IF(FS212="","",IF(ISNUMBER('Dvd Calendar'!$E$2141)=FALSE,"",'Dvd Calendar'!$E$2141))</f>
        <v/>
      </c>
      <c r="AR212" s="161">
        <f>IF(FT212="","",IF(ISNUMBER('Dvd Calendar'!$F$2141)=FALSE,"",'Dvd Calendar'!$F$2141))</f>
        <v/>
      </c>
      <c r="AS212" s="161">
        <f>IF(FU212="","",IF(ISNUMBER('Dvd Calendar'!$G$2141)=FALSE,"",'Dvd Calendar'!$G$2141))</f>
        <v/>
      </c>
      <c r="AT212" s="161">
        <f>IF(FV212="","",IF(ISNUMBER('Dvd Calendar'!$H$2141)=FALSE,"",'Dvd Calendar'!$H$2141))</f>
        <v/>
      </c>
      <c r="AU212" s="161">
        <f>IF(FW212="","",IF(ISNUMBER('Dvd Calendar'!$I$2141)=FALSE,"",'Dvd Calendar'!$I$2141))</f>
        <v/>
      </c>
      <c r="AV212" s="161">
        <f>IF(FX212="","",IF(ISNUMBER('Dvd Calendar'!$J$2141)=FALSE,"",'Dvd Calendar'!$J$2141))</f>
        <v/>
      </c>
      <c r="AW212" s="161">
        <f>IF(FY212="","",IF(ISNUMBER('Dvd Calendar'!$K$2141)=FALSE,"",'Dvd Calendar'!$K$2141))</f>
        <v/>
      </c>
      <c r="AX212" s="161">
        <f>IF(FZ212="","",IF(ISNUMBER('Dvd Calendar'!$L$2141)=FALSE,"",'Dvd Calendar'!$L$2141))</f>
        <v/>
      </c>
      <c r="AY212" s="161">
        <f>IF(GA212="","",IF(ISNUMBER('Dvd Calendar'!$M$2141)=FALSE,"",'Dvd Calendar'!$M$2141))</f>
        <v/>
      </c>
      <c r="AZ212" s="161">
        <f>IF(GB212="","",IF(ISNUMBER('Dvd Calendar'!$N$2141)=FALSE,"",'Dvd Calendar'!$N$2141))</f>
        <v/>
      </c>
      <c r="BA212" s="161">
        <f>IF(GC212="","",IF(ISNUMBER('Dvd Calendar'!$O$2141)=FALSE,"",'Dvd Calendar'!$O$2141))</f>
        <v/>
      </c>
      <c r="BB212" s="161">
        <f>IF(GD212="","",IF(ISNUMBER('Dvd Calendar'!$P$2141)=FALSE,"",'Dvd Calendar'!$P$2141))</f>
        <v/>
      </c>
      <c r="BC212" s="161">
        <f>IF(GE212="","",IF(ISNUMBER('Dvd Calendar'!$Q$2141)=FALSE,"",'Dvd Calendar'!$Q$2141))</f>
        <v/>
      </c>
      <c r="BD212" s="161">
        <f>IF(GF212="","",IF(ISNUMBER('Dvd Calendar'!$R$2141)=FALSE,"",'Dvd Calendar'!$R$2141))</f>
        <v/>
      </c>
      <c r="BE212" s="161">
        <f>IF(GG212="","",IF(ISNUMBER('Dvd Calendar'!$S$2141)=FALSE,"",'Dvd Calendar'!$S$2141))</f>
        <v/>
      </c>
      <c r="BF212" s="161">
        <f>IF(GH212="","",IF(ISNUMBER('Dvd Calendar'!$T$2141)=FALSE,"",'Dvd Calendar'!$T$2141))</f>
        <v/>
      </c>
      <c r="BG212" s="161">
        <f>IF(GI212="","",IF(ISNUMBER('Dvd Calendar'!$U$2141)=FALSE,"",'Dvd Calendar'!$U$2141))</f>
        <v/>
      </c>
      <c r="BH212" s="161">
        <f>IF(GJ212="","",IF(ISNUMBER('Dvd Calendar'!$V$2141)=FALSE,"",'Dvd Calendar'!$V$2141))</f>
        <v/>
      </c>
      <c r="BI212" s="161">
        <f>IF(GK212="","",IF(ISNUMBER('Dvd Calendar'!$W$2141)=FALSE,"",'Dvd Calendar'!$W$2141))</f>
        <v/>
      </c>
      <c r="BJ212" s="161">
        <f>IF(GL212="","",IF(ISNUMBER('Dvd Calendar'!$X$2141)=FALSE,"",'Dvd Calendar'!$X$2141))</f>
        <v/>
      </c>
      <c r="BK212" s="161">
        <f>IF(GM212="","",IF(ISNUMBER('Dvd Calendar'!$Y$2141)=FALSE,"",'Dvd Calendar'!$Y$2141))</f>
        <v/>
      </c>
      <c r="BL212" s="161">
        <f>IF(GN212="","",IF(ISNUMBER('Dvd Calendar'!$Z$2141)=FALSE,"",'Dvd Calendar'!$Z$2141))</f>
        <v/>
      </c>
      <c r="BM212" s="161">
        <f>IF(GO212="","",IF(ISNUMBER('Dvd Calendar'!$AA$2141)=FALSE,"",'Dvd Calendar'!$AA$2141))</f>
        <v/>
      </c>
      <c r="BN212" s="161">
        <f>IF(GP212="","",IF(ISNUMBER('Dvd Calendar'!$AB$2141)=FALSE,"",'Dvd Calendar'!$AB$2141))</f>
        <v/>
      </c>
      <c r="BO212" s="161">
        <f>IF(GQ212="","",IF(ISNUMBER('Dvd Calendar'!$AC$2141)=FALSE,"",'Dvd Calendar'!$AC$2141))</f>
        <v/>
      </c>
      <c r="BQ212" s="161">
        <f>IF(C212="","",IFERROR(C212*HSCEI!$B$59*HSCEI!$G$59/HSCEI!$B$3,""))</f>
        <v/>
      </c>
      <c r="BR212" s="161">
        <f>IF(D212="","",IFERROR(D212*HSCEI!$B$59*HSCEI!$G$59/HSCEI!$B$3,""))</f>
        <v/>
      </c>
      <c r="BS212" s="161">
        <f>IF(E212="","",IFERROR(E212*HSCEI!$B$59*HSCEI!$G$59/HSCEI!$B$3,""))</f>
        <v/>
      </c>
      <c r="BT212" s="161">
        <f>IF(F212="","",IFERROR(F212*HSCEI!$B$59*HSCEI!$G$59/HSCEI!$B$3,""))</f>
        <v/>
      </c>
      <c r="BU212" s="161">
        <f>IF(G212="","",IFERROR(G212*HSCEI!$B$59*HSCEI!$G$59/HSCEI!$B$3,""))</f>
        <v/>
      </c>
      <c r="BV212" s="161">
        <f>IF(H212="","",IFERROR(H212*HSCEI!$B$59*HSCEI!$G$59/HSCEI!$B$3,""))</f>
        <v/>
      </c>
      <c r="BW212" s="161">
        <f>IF(I212="","",IFERROR(I212*HSCEI!$B$59*HSCEI!$G$59/HSCEI!$B$3,""))</f>
        <v/>
      </c>
      <c r="BX212" s="161">
        <f>IF(J212="","",IFERROR(J212*HSCEI!$B$59*HSCEI!$G$59/HSCEI!$B$3,""))</f>
        <v/>
      </c>
      <c r="BY212" s="161">
        <f>IF(K212="","",IFERROR(K212*HSCEI!$B$59*HSCEI!$G$59/HSCEI!$B$3,""))</f>
        <v/>
      </c>
      <c r="BZ212" s="161">
        <f>IF(L212="","",IFERROR(L212*HSCEI!$B$59*HSCEI!$G$59/HSCEI!$B$3,""))</f>
        <v/>
      </c>
      <c r="CA212" s="161">
        <f>IF(M212="","",IFERROR(M212*HSCEI!$B$59*HSCEI!$G$59/HSCEI!$B$3,""))</f>
        <v/>
      </c>
      <c r="CB212" s="161">
        <f>IF(N212="","",IFERROR(N212*HSCEI!$B$59*HSCEI!$G$59/HSCEI!$B$3,""))</f>
        <v/>
      </c>
      <c r="CC212" s="161">
        <f>IF(O212="","",IFERROR(O212*HSCEI!$B$59*HSCEI!$G$59/HSCEI!$B$3,""))</f>
        <v/>
      </c>
      <c r="CD212" s="161">
        <f>IF(P212="","",IFERROR(P212*HSCEI!$B$59*HSCEI!$G$59/HSCEI!$B$3,""))</f>
        <v/>
      </c>
      <c r="CE212" s="161">
        <f>IF(Q212="","",IFERROR(Q212*HSCEI!$B$59*HSCEI!$G$59/HSCEI!$B$3,""))</f>
        <v/>
      </c>
      <c r="CF212" s="161">
        <f>IF(R212="","",IFERROR(R212*HSCEI!$B$59*HSCEI!$G$59/HSCEI!$B$3,""))</f>
        <v/>
      </c>
      <c r="CG212" s="161">
        <f>IF(S212="","",IFERROR(S212*HSCEI!$B$59*HSCEI!$G$59/HSCEI!$B$3,""))</f>
        <v/>
      </c>
      <c r="CH212" s="161">
        <f>IF(T212="","",IFERROR(T212*HSCEI!$B$59*HSCEI!$G$59/HSCEI!$B$3,""))</f>
        <v/>
      </c>
      <c r="CI212" s="161">
        <f>IF(U212="","",IFERROR(U212*HSCEI!$B$59*HSCEI!$G$59/HSCEI!$B$3,""))</f>
        <v/>
      </c>
      <c r="CJ212" s="161">
        <f>IF(V212="","",IFERROR(V212*HSCEI!$B$59*HSCEI!$G$59/HSCEI!$B$3,""))</f>
        <v/>
      </c>
      <c r="CK212" s="161">
        <f>IF(W212="","",IFERROR(W212*HSCEI!$B$59*HSCEI!$G$59/HSCEI!$B$3,""))</f>
        <v/>
      </c>
      <c r="CL212" s="161">
        <f>IF(X212="","",IFERROR(X212*HSCEI!$B$59*HSCEI!$G$59/HSCEI!$B$3,""))</f>
        <v/>
      </c>
      <c r="CM212" s="161">
        <f>IF(Y212="","",IFERROR(Y212*HSCEI!$B$59*HSCEI!$G$59/HSCEI!$B$3,""))</f>
        <v/>
      </c>
      <c r="CN212" s="161">
        <f>IF(Z212="","",IFERROR(Z212*HSCEI!$B$59*HSCEI!$G$59/HSCEI!$B$3,""))</f>
        <v/>
      </c>
      <c r="CO212" s="161">
        <f>IF(AA212="","",IFERROR(AA212*HSCEI!$B$59*HSCEI!$G$59/HSCEI!$B$3,""))</f>
        <v/>
      </c>
      <c r="CP212" s="161">
        <f>IF(AB212="","",IFERROR(AB212*HSCEI!$B$59*HSCEI!$G$59/HSCEI!$B$3,""))</f>
        <v/>
      </c>
      <c r="CQ212" s="161">
        <f>IF(AC212="","",IFERROR(AC212*HSCEI!$B$59*HSCEI!$G$59/HSCEI!$B$3,""))</f>
        <v/>
      </c>
      <c r="CR212" s="161">
        <f>IF(AD212="","",IFERROR(AD212*HSCEI!$B$59*HSCEI!$G$59/HSCEI!$B$3,""))</f>
        <v/>
      </c>
      <c r="CS212" s="161">
        <f>IF(AE212="","",IFERROR(AE212*HSCEI!$B$59*HSCEI!$G$59/HSCEI!$B$3,""))</f>
        <v/>
      </c>
      <c r="CT212" s="161">
        <f>IF(AF212="","",IFERROR(AF212*HSCEI!$B$59*HSCEI!$G$59/HSCEI!$B$3,""))</f>
        <v/>
      </c>
      <c r="CU212" s="161">
        <f>IF(AG212="","",IFERROR(AG212*HSCEI!$B$59*HSCEI!$G$59/HSCEI!$B$3,""))</f>
        <v/>
      </c>
      <c r="CV212" s="161">
        <f>IF(AH212="","",IFERROR(AH212*HSCEI!$B$59*HSCEI!$G$59/HSCEI!$B$3,""))</f>
        <v/>
      </c>
      <c r="CW212" s="161">
        <f>IF(AI212="","",IFERROR(AI212*HSCEI!$B$59*HSCEI!$G$59/HSCEI!$B$3,""))</f>
        <v/>
      </c>
      <c r="CX212" s="161">
        <f>IF(AJ212="","",IFERROR(AJ212*HSCEI!$B$59*HSCEI!$G$59/HSCEI!$B$3,""))</f>
        <v/>
      </c>
      <c r="CY212" s="161">
        <f>IF(AK212="","",IFERROR(AK212*HSCEI!$B$59*HSCEI!$G$59/HSCEI!$B$3,""))</f>
        <v/>
      </c>
      <c r="CZ212" s="161">
        <f>IF(AL212="","",IFERROR(AL212*HSCEI!$B$59*HSCEI!$G$59/HSCEI!$B$3,""))</f>
        <v/>
      </c>
      <c r="DA212" s="161">
        <f>IF(AM212="","",IFERROR(AM212*HSCEI!$B$59*HSCEI!$G$59/HSCEI!$B$3,""))</f>
        <v/>
      </c>
      <c r="DB212" s="161">
        <f>IF(AN212="","",IFERROR(AN212*HSCEI!$B$59*HSCEI!$G$59/HSCEI!$B$3,""))</f>
        <v/>
      </c>
      <c r="DC212" s="161">
        <f>IF(AO212="","",IFERROR(AO212*HSCEI!$B$59*HSCEI!$G$59/HSCEI!$B$3,""))</f>
        <v/>
      </c>
      <c r="DD212" s="161">
        <f>IF(AP212="","",IFERROR(AP212*HSCEI!$B$59*HSCEI!$G$59/HSCEI!$B$3,""))</f>
        <v/>
      </c>
      <c r="DE212" s="161">
        <f>IF(AQ212="","",IFERROR(AQ212*HSCEI!$B$59*HSCEI!$G$59/HSCEI!$B$3,""))</f>
        <v/>
      </c>
      <c r="DF212" s="161">
        <f>IF(AR212="","",IFERROR(AR212*HSCEI!$B$59*HSCEI!$G$59/HSCEI!$B$3,""))</f>
        <v/>
      </c>
      <c r="DG212" s="161">
        <f>IF(AS212="","",IFERROR(AS212*HSCEI!$B$59*HSCEI!$G$59/HSCEI!$B$3,""))</f>
        <v/>
      </c>
      <c r="DH212" s="161">
        <f>IF(AT212="","",IFERROR(AT212*HSCEI!$B$59*HSCEI!$G$59/HSCEI!$B$3,""))</f>
        <v/>
      </c>
      <c r="DI212" s="161">
        <f>IF(AU212="","",IFERROR(AU212*HSCEI!$B$59*HSCEI!$G$59/HSCEI!$B$3,""))</f>
        <v/>
      </c>
      <c r="DJ212" s="161">
        <f>IF(AV212="","",IFERROR(AV212*HSCEI!$B$59*HSCEI!$G$59/HSCEI!$B$3,""))</f>
        <v/>
      </c>
      <c r="DK212" s="161">
        <f>IF(AW212="","",IFERROR(AW212*HSCEI!$B$59*HSCEI!$G$59/HSCEI!$B$3,""))</f>
        <v/>
      </c>
      <c r="DL212" s="161">
        <f>IF(AX212="","",IFERROR(AX212*HSCEI!$B$59*HSCEI!$G$59/HSCEI!$B$3,""))</f>
        <v/>
      </c>
      <c r="DM212" s="161">
        <f>IF(AY212="","",IFERROR(AY212*HSCEI!$B$59*HSCEI!$G$59/HSCEI!$B$3,""))</f>
        <v/>
      </c>
      <c r="DN212" s="161">
        <f>IF(AZ212="","",IFERROR(AZ212*HSCEI!$B$59*HSCEI!$G$59/HSCEI!$B$3,""))</f>
        <v/>
      </c>
      <c r="DO212" s="161">
        <f>IF(BA212="","",IFERROR(BA212*HSCEI!$B$59*HSCEI!$G$59/HSCEI!$B$3,""))</f>
        <v/>
      </c>
      <c r="DP212" s="161">
        <f>IF(BB212="","",IFERROR(BB212*HSCEI!$B$59*HSCEI!$G$59/HSCEI!$B$3,""))</f>
        <v/>
      </c>
      <c r="DQ212" s="161">
        <f>IF(BC212="","",IFERROR(BC212*HSCEI!$B$59*HSCEI!$G$59/HSCEI!$B$3,""))</f>
        <v/>
      </c>
      <c r="DR212" s="161">
        <f>IF(BD212="","",IFERROR(BD212*HSCEI!$B$59*HSCEI!$G$59/HSCEI!$B$3,""))</f>
        <v/>
      </c>
      <c r="DS212" s="161">
        <f>IF(BE212="","",IFERROR(BE212*HSCEI!$B$59*HSCEI!$G$59/HSCEI!$B$3,""))</f>
        <v/>
      </c>
      <c r="DT212" s="161">
        <f>IF(BF212="","",IFERROR(BF212*HSCEI!$B$59*HSCEI!$G$59/HSCEI!$B$3,""))</f>
        <v/>
      </c>
      <c r="DU212" s="161">
        <f>IF(BG212="","",IFERROR(BG212*HSCEI!$B$59*HSCEI!$G$59/HSCEI!$B$3,""))</f>
        <v/>
      </c>
      <c r="DV212" s="161">
        <f>IF(BH212="","",IFERROR(BH212*HSCEI!$B$59*HSCEI!$G$59/HSCEI!$B$3,""))</f>
        <v/>
      </c>
      <c r="DW212" s="161">
        <f>IF(BI212="","",IFERROR(BI212*HSCEI!$B$59*HSCEI!$G$59/HSCEI!$B$3,""))</f>
        <v/>
      </c>
      <c r="DX212" s="161">
        <f>IF(BJ212="","",IFERROR(BJ212*HSCEI!$B$59*HSCEI!$G$59/HSCEI!$B$3,""))</f>
        <v/>
      </c>
      <c r="DY212" s="161">
        <f>IF(BK212="","",IFERROR(BK212*HSCEI!$B$59*HSCEI!$G$59/HSCEI!$B$3,""))</f>
        <v/>
      </c>
      <c r="DZ212" s="161">
        <f>IF(BL212="","",IFERROR(BL212*HSCEI!$B$59*HSCEI!$G$59/HSCEI!$B$3,""))</f>
        <v/>
      </c>
      <c r="EA212" s="161">
        <f>IF(BM212="","",IFERROR(BM212*HSCEI!$B$59*HSCEI!$G$59/HSCEI!$B$3,""))</f>
        <v/>
      </c>
      <c r="EB212" s="161">
        <f>IF(BN212="","",IFERROR(BN212*HSCEI!$B$59*HSCEI!$G$59/HSCEI!$B$3,""))</f>
        <v/>
      </c>
      <c r="EC212" s="161">
        <f>IF(BO212="","",IFERROR(BO212*HSCEI!$B$59*HSCEI!$G$59/HSCEI!$B$3,""))</f>
        <v/>
      </c>
      <c r="EE212" s="121">
        <f>IF(N('Dvd Calendar'!$E$2133)=0,"",IF(('Dvd Calendar'!$E$2133&gt;=GRID_FROM)*('Dvd Calendar'!$E$2133&lt;=GRID_TO)*((('Dvd Calendar'!$E$2133&lt;=VAL_DATE)+(COUNTIF('Dvd Calendar'!$E$2140:$AR$2140,'Dvd Calendar'!$E$2133)=0))&gt;0)=0,"",'Dvd Calendar'!$E$2133*1000000000+ISNUMBER('Dvd Calendar'!$E$2136)*100000000+('Dvd Calendar'!$E$2138=SPECIAL_LBL)*10000000+(N('Dvd Calendar'!$E$2132)&gt;0)*(N('Dvd Calendar'!$E$2132)&lt;=VAL_SERIAL)*1000000+53*1000+1))</f>
        <v/>
      </c>
      <c r="EF212" s="121">
        <f>IF(N('Dvd Calendar'!$F$2133)=0,"",IF(('Dvd Calendar'!$F$2133&gt;=GRID_FROM)*('Dvd Calendar'!$F$2133&lt;=GRID_TO)*((('Dvd Calendar'!$F$2133&lt;=VAL_DATE)+(COUNTIF('Dvd Calendar'!$E$2140:$AR$2140,'Dvd Calendar'!$F$2133)=0))&gt;0)=0,"",'Dvd Calendar'!$F$2133*1000000000+ISNUMBER('Dvd Calendar'!$F$2136)*100000000+('Dvd Calendar'!$F$2138=SPECIAL_LBL)*10000000+(N('Dvd Calendar'!$F$2132)&gt;0)*(N('Dvd Calendar'!$F$2132)&lt;=VAL_SERIAL)*1000000+53*1000+2))</f>
        <v/>
      </c>
      <c r="EG212" s="121">
        <f>IF(N('Dvd Calendar'!$G$2133)=0,"",IF(('Dvd Calendar'!$G$2133&gt;=GRID_FROM)*('Dvd Calendar'!$G$2133&lt;=GRID_TO)*((('Dvd Calendar'!$G$2133&lt;=VAL_DATE)+(COUNTIF('Dvd Calendar'!$E$2140:$AR$2140,'Dvd Calendar'!$G$2133)=0))&gt;0)=0,"",'Dvd Calendar'!$G$2133*1000000000+ISNUMBER('Dvd Calendar'!$G$2136)*100000000+('Dvd Calendar'!$G$2138=SPECIAL_LBL)*10000000+(N('Dvd Calendar'!$G$2132)&gt;0)*(N('Dvd Calendar'!$G$2132)&lt;=VAL_SERIAL)*1000000+53*1000+3))</f>
        <v/>
      </c>
      <c r="EH212" s="121">
        <f>IF(N('Dvd Calendar'!$H$2133)=0,"",IF(('Dvd Calendar'!$H$2133&gt;=GRID_FROM)*('Dvd Calendar'!$H$2133&lt;=GRID_TO)*((('Dvd Calendar'!$H$2133&lt;=VAL_DATE)+(COUNTIF('Dvd Calendar'!$E$2140:$AR$2140,'Dvd Calendar'!$H$2133)=0))&gt;0)=0,"",'Dvd Calendar'!$H$2133*1000000000+ISNUMBER('Dvd Calendar'!$H$2136)*100000000+('Dvd Calendar'!$H$2138=SPECIAL_LBL)*10000000+(N('Dvd Calendar'!$H$2132)&gt;0)*(N('Dvd Calendar'!$H$2132)&lt;=VAL_SERIAL)*1000000+53*1000+4))</f>
        <v/>
      </c>
      <c r="EI212" s="121">
        <f>IF(N('Dvd Calendar'!$I$2133)=0,"",IF(('Dvd Calendar'!$I$2133&gt;=GRID_FROM)*('Dvd Calendar'!$I$2133&lt;=GRID_TO)*((('Dvd Calendar'!$I$2133&lt;=VAL_DATE)+(COUNTIF('Dvd Calendar'!$E$2140:$AR$2140,'Dvd Calendar'!$I$2133)=0))&gt;0)=0,"",'Dvd Calendar'!$I$2133*1000000000+ISNUMBER('Dvd Calendar'!$I$2136)*100000000+('Dvd Calendar'!$I$2138=SPECIAL_LBL)*10000000+(N('Dvd Calendar'!$I$2132)&gt;0)*(N('Dvd Calendar'!$I$2132)&lt;=VAL_SERIAL)*1000000+53*1000+5))</f>
        <v/>
      </c>
      <c r="EJ212" s="121">
        <f>IF(N('Dvd Calendar'!$J$2133)=0,"",IF(('Dvd Calendar'!$J$2133&gt;=GRID_FROM)*('Dvd Calendar'!$J$2133&lt;=GRID_TO)*((('Dvd Calendar'!$J$2133&lt;=VAL_DATE)+(COUNTIF('Dvd Calendar'!$E$2140:$AR$2140,'Dvd Calendar'!$J$2133)=0))&gt;0)=0,"",'Dvd Calendar'!$J$2133*1000000000+ISNUMBER('Dvd Calendar'!$J$2136)*100000000+('Dvd Calendar'!$J$2138=SPECIAL_LBL)*10000000+(N('Dvd Calendar'!$J$2132)&gt;0)*(N('Dvd Calendar'!$J$2132)&lt;=VAL_SERIAL)*1000000+53*1000+6))</f>
        <v/>
      </c>
      <c r="EK212" s="121">
        <f>IF(N('Dvd Calendar'!$K$2133)=0,"",IF(('Dvd Calendar'!$K$2133&gt;=GRID_FROM)*('Dvd Calendar'!$K$2133&lt;=GRID_TO)*((('Dvd Calendar'!$K$2133&lt;=VAL_DATE)+(COUNTIF('Dvd Calendar'!$E$2140:$AR$2140,'Dvd Calendar'!$K$2133)=0))&gt;0)=0,"",'Dvd Calendar'!$K$2133*1000000000+ISNUMBER('Dvd Calendar'!$K$2136)*100000000+('Dvd Calendar'!$K$2138=SPECIAL_LBL)*10000000+(N('Dvd Calendar'!$K$2132)&gt;0)*(N('Dvd Calendar'!$K$2132)&lt;=VAL_SERIAL)*1000000+53*1000+7))</f>
        <v/>
      </c>
      <c r="EL212" s="121">
        <f>IF(N('Dvd Calendar'!$L$2133)=0,"",IF(('Dvd Calendar'!$L$2133&gt;=GRID_FROM)*('Dvd Calendar'!$L$2133&lt;=GRID_TO)*((('Dvd Calendar'!$L$2133&lt;=VAL_DATE)+(COUNTIF('Dvd Calendar'!$E$2140:$AR$2140,'Dvd Calendar'!$L$2133)=0))&gt;0)=0,"",'Dvd Calendar'!$L$2133*1000000000+ISNUMBER('Dvd Calendar'!$L$2136)*100000000+('Dvd Calendar'!$L$2138=SPECIAL_LBL)*10000000+(N('Dvd Calendar'!$L$2132)&gt;0)*(N('Dvd Calendar'!$L$2132)&lt;=VAL_SERIAL)*1000000+53*1000+8))</f>
        <v/>
      </c>
      <c r="EM212" s="121">
        <f>IF(N('Dvd Calendar'!$M$2133)=0,"",IF(('Dvd Calendar'!$M$2133&gt;=GRID_FROM)*('Dvd Calendar'!$M$2133&lt;=GRID_TO)*((('Dvd Calendar'!$M$2133&lt;=VAL_DATE)+(COUNTIF('Dvd Calendar'!$E$2140:$AR$2140,'Dvd Calendar'!$M$2133)=0))&gt;0)=0,"",'Dvd Calendar'!$M$2133*1000000000+ISNUMBER('Dvd Calendar'!$M$2136)*100000000+('Dvd Calendar'!$M$2138=SPECIAL_LBL)*10000000+(N('Dvd Calendar'!$M$2132)&gt;0)*(N('Dvd Calendar'!$M$2132)&lt;=VAL_SERIAL)*1000000+53*1000+9))</f>
        <v/>
      </c>
      <c r="EN212" s="121">
        <f>IF(N('Dvd Calendar'!$N$2133)=0,"",IF(('Dvd Calendar'!$N$2133&gt;=GRID_FROM)*('Dvd Calendar'!$N$2133&lt;=GRID_TO)*((('Dvd Calendar'!$N$2133&lt;=VAL_DATE)+(COUNTIF('Dvd Calendar'!$E$2140:$AR$2140,'Dvd Calendar'!$N$2133)=0))&gt;0)=0,"",'Dvd Calendar'!$N$2133*1000000000+ISNUMBER('Dvd Calendar'!$N$2136)*100000000+('Dvd Calendar'!$N$2138=SPECIAL_LBL)*10000000+(N('Dvd Calendar'!$N$2132)&gt;0)*(N('Dvd Calendar'!$N$2132)&lt;=VAL_SERIAL)*1000000+53*1000+10))</f>
        <v/>
      </c>
      <c r="EO212" s="121">
        <f>IF(N('Dvd Calendar'!$O$2133)=0,"",IF(('Dvd Calendar'!$O$2133&gt;=GRID_FROM)*('Dvd Calendar'!$O$2133&lt;=GRID_TO)*((('Dvd Calendar'!$O$2133&lt;=VAL_DATE)+(COUNTIF('Dvd Calendar'!$E$2140:$AR$2140,'Dvd Calendar'!$O$2133)=0))&gt;0)=0,"",'Dvd Calendar'!$O$2133*1000000000+ISNUMBER('Dvd Calendar'!$O$2136)*100000000+('Dvd Calendar'!$O$2138=SPECIAL_LBL)*10000000+(N('Dvd Calendar'!$O$2132)&gt;0)*(N('Dvd Calendar'!$O$2132)&lt;=VAL_SERIAL)*1000000+53*1000+11))</f>
        <v/>
      </c>
      <c r="EP212" s="121">
        <f>IF(N('Dvd Calendar'!$P$2133)=0,"",IF(('Dvd Calendar'!$P$2133&gt;=GRID_FROM)*('Dvd Calendar'!$P$2133&lt;=GRID_TO)*((('Dvd Calendar'!$P$2133&lt;=VAL_DATE)+(COUNTIF('Dvd Calendar'!$E$2140:$AR$2140,'Dvd Calendar'!$P$2133)=0))&gt;0)=0,"",'Dvd Calendar'!$P$2133*1000000000+ISNUMBER('Dvd Calendar'!$P$2136)*100000000+('Dvd Calendar'!$P$2138=SPECIAL_LBL)*10000000+(N('Dvd Calendar'!$P$2132)&gt;0)*(N('Dvd Calendar'!$P$2132)&lt;=VAL_SERIAL)*1000000+53*1000+12))</f>
        <v/>
      </c>
      <c r="EQ212" s="121">
        <f>IF(N('Dvd Calendar'!$Q$2133)=0,"",IF(('Dvd Calendar'!$Q$2133&gt;=GRID_FROM)*('Dvd Calendar'!$Q$2133&lt;=GRID_TO)*((('Dvd Calendar'!$Q$2133&lt;=VAL_DATE)+(COUNTIF('Dvd Calendar'!$E$2140:$AR$2140,'Dvd Calendar'!$Q$2133)=0))&gt;0)=0,"",'Dvd Calendar'!$Q$2133*1000000000+ISNUMBER('Dvd Calendar'!$Q$2136)*100000000+('Dvd Calendar'!$Q$2138=SPECIAL_LBL)*10000000+(N('Dvd Calendar'!$Q$2132)&gt;0)*(N('Dvd Calendar'!$Q$2132)&lt;=VAL_SERIAL)*1000000+53*1000+13))</f>
        <v/>
      </c>
      <c r="ER212" s="121">
        <f>IF(N('Dvd Calendar'!$R$2133)=0,"",IF(('Dvd Calendar'!$R$2133&gt;=GRID_FROM)*('Dvd Calendar'!$R$2133&lt;=GRID_TO)*((('Dvd Calendar'!$R$2133&lt;=VAL_DATE)+(COUNTIF('Dvd Calendar'!$E$2140:$AR$2140,'Dvd Calendar'!$R$2133)=0))&gt;0)=0,"",'Dvd Calendar'!$R$2133*1000000000+ISNUMBER('Dvd Calendar'!$R$2136)*100000000+('Dvd Calendar'!$R$2138=SPECIAL_LBL)*10000000+(N('Dvd Calendar'!$R$2132)&gt;0)*(N('Dvd Calendar'!$R$2132)&lt;=VAL_SERIAL)*1000000+53*1000+14))</f>
        <v/>
      </c>
      <c r="ES212" s="121">
        <f>IF(N('Dvd Calendar'!$S$2133)=0,"",IF(('Dvd Calendar'!$S$2133&gt;=GRID_FROM)*('Dvd Calendar'!$S$2133&lt;=GRID_TO)*((('Dvd Calendar'!$S$2133&lt;=VAL_DATE)+(COUNTIF('Dvd Calendar'!$E$2140:$AR$2140,'Dvd Calendar'!$S$2133)=0))&gt;0)=0,"",'Dvd Calendar'!$S$2133*1000000000+ISNUMBER('Dvd Calendar'!$S$2136)*100000000+('Dvd Calendar'!$S$2138=SPECIAL_LBL)*10000000+(N('Dvd Calendar'!$S$2132)&gt;0)*(N('Dvd Calendar'!$S$2132)&lt;=VAL_SERIAL)*1000000+53*1000+15))</f>
        <v/>
      </c>
      <c r="ET212" s="121">
        <f>IF(N('Dvd Calendar'!$T$2133)=0,"",IF(('Dvd Calendar'!$T$2133&gt;=GRID_FROM)*('Dvd Calendar'!$T$2133&lt;=GRID_TO)*((('Dvd Calendar'!$T$2133&lt;=VAL_DATE)+(COUNTIF('Dvd Calendar'!$E$2140:$AR$2140,'Dvd Calendar'!$T$2133)=0))&gt;0)=0,"",'Dvd Calendar'!$T$2133*1000000000+ISNUMBER('Dvd Calendar'!$T$2136)*100000000+('Dvd Calendar'!$T$2138=SPECIAL_LBL)*10000000+(N('Dvd Calendar'!$T$2132)&gt;0)*(N('Dvd Calendar'!$T$2132)&lt;=VAL_SERIAL)*1000000+53*1000+16))</f>
        <v/>
      </c>
      <c r="EU212" s="121">
        <f>IF(N('Dvd Calendar'!$U$2133)=0,"",IF(('Dvd Calendar'!$U$2133&gt;=GRID_FROM)*('Dvd Calendar'!$U$2133&lt;=GRID_TO)*((('Dvd Calendar'!$U$2133&lt;=VAL_DATE)+(COUNTIF('Dvd Calendar'!$E$2140:$AR$2140,'Dvd Calendar'!$U$2133)=0))&gt;0)=0,"",'Dvd Calendar'!$U$2133*1000000000+ISNUMBER('Dvd Calendar'!$U$2136)*100000000+('Dvd Calendar'!$U$2138=SPECIAL_LBL)*10000000+(N('Dvd Calendar'!$U$2132)&gt;0)*(N('Dvd Calendar'!$U$2132)&lt;=VAL_SERIAL)*1000000+53*1000+17))</f>
        <v/>
      </c>
      <c r="EV212" s="121">
        <f>IF(N('Dvd Calendar'!$V$2133)=0,"",IF(('Dvd Calendar'!$V$2133&gt;=GRID_FROM)*('Dvd Calendar'!$V$2133&lt;=GRID_TO)*((('Dvd Calendar'!$V$2133&lt;=VAL_DATE)+(COUNTIF('Dvd Calendar'!$E$2140:$AR$2140,'Dvd Calendar'!$V$2133)=0))&gt;0)=0,"",'Dvd Calendar'!$V$2133*1000000000+ISNUMBER('Dvd Calendar'!$V$2136)*100000000+('Dvd Calendar'!$V$2138=SPECIAL_LBL)*10000000+(N('Dvd Calendar'!$V$2132)&gt;0)*(N('Dvd Calendar'!$V$2132)&lt;=VAL_SERIAL)*1000000+53*1000+18))</f>
        <v/>
      </c>
      <c r="EW212" s="121">
        <f>IF(N('Dvd Calendar'!$W$2133)=0,"",IF(('Dvd Calendar'!$W$2133&gt;=GRID_FROM)*('Dvd Calendar'!$W$2133&lt;=GRID_TO)*((('Dvd Calendar'!$W$2133&lt;=VAL_DATE)+(COUNTIF('Dvd Calendar'!$E$2140:$AR$2140,'Dvd Calendar'!$W$2133)=0))&gt;0)=0,"",'Dvd Calendar'!$W$2133*1000000000+ISNUMBER('Dvd Calendar'!$W$2136)*100000000+('Dvd Calendar'!$W$2138=SPECIAL_LBL)*10000000+(N('Dvd Calendar'!$W$2132)&gt;0)*(N('Dvd Calendar'!$W$2132)&lt;=VAL_SERIAL)*1000000+53*1000+19))</f>
        <v/>
      </c>
      <c r="EX212" s="121">
        <f>IF(N('Dvd Calendar'!$X$2133)=0,"",IF(('Dvd Calendar'!$X$2133&gt;=GRID_FROM)*('Dvd Calendar'!$X$2133&lt;=GRID_TO)*((('Dvd Calendar'!$X$2133&lt;=VAL_DATE)+(COUNTIF('Dvd Calendar'!$E$2140:$AR$2140,'Dvd Calendar'!$X$2133)=0))&gt;0)=0,"",'Dvd Calendar'!$X$2133*1000000000+ISNUMBER('Dvd Calendar'!$X$2136)*100000000+('Dvd Calendar'!$X$2138=SPECIAL_LBL)*10000000+(N('Dvd Calendar'!$X$2132)&gt;0)*(N('Dvd Calendar'!$X$2132)&lt;=VAL_SERIAL)*1000000+53*1000+20))</f>
        <v/>
      </c>
      <c r="EY212" s="121">
        <f>IF(N('Dvd Calendar'!$Y$2133)=0,"",IF(('Dvd Calendar'!$Y$2133&gt;=GRID_FROM)*('Dvd Calendar'!$Y$2133&lt;=GRID_TO)*((('Dvd Calendar'!$Y$2133&lt;=VAL_DATE)+(COUNTIF('Dvd Calendar'!$E$2140:$AR$2140,'Dvd Calendar'!$Y$2133)=0))&gt;0)=0,"",'Dvd Calendar'!$Y$2133*1000000000+ISNUMBER('Dvd Calendar'!$Y$2136)*100000000+('Dvd Calendar'!$Y$2138=SPECIAL_LBL)*10000000+(N('Dvd Calendar'!$Y$2132)&gt;0)*(N('Dvd Calendar'!$Y$2132)&lt;=VAL_SERIAL)*1000000+53*1000+21))</f>
        <v/>
      </c>
      <c r="EZ212" s="121">
        <f>IF(N('Dvd Calendar'!$Z$2133)=0,"",IF(('Dvd Calendar'!$Z$2133&gt;=GRID_FROM)*('Dvd Calendar'!$Z$2133&lt;=GRID_TO)*((('Dvd Calendar'!$Z$2133&lt;=VAL_DATE)+(COUNTIF('Dvd Calendar'!$E$2140:$AR$2140,'Dvd Calendar'!$Z$2133)=0))&gt;0)=0,"",'Dvd Calendar'!$Z$2133*1000000000+ISNUMBER('Dvd Calendar'!$Z$2136)*100000000+('Dvd Calendar'!$Z$2138=SPECIAL_LBL)*10000000+(N('Dvd Calendar'!$Z$2132)&gt;0)*(N('Dvd Calendar'!$Z$2132)&lt;=VAL_SERIAL)*1000000+53*1000+22))</f>
        <v/>
      </c>
      <c r="FA212" s="121">
        <f>IF(N('Dvd Calendar'!$AA$2133)=0,"",IF(('Dvd Calendar'!$AA$2133&gt;=GRID_FROM)*('Dvd Calendar'!$AA$2133&lt;=GRID_TO)*((('Dvd Calendar'!$AA$2133&lt;=VAL_DATE)+(COUNTIF('Dvd Calendar'!$E$2140:$AR$2140,'Dvd Calendar'!$AA$2133)=0))&gt;0)=0,"",'Dvd Calendar'!$AA$2133*1000000000+ISNUMBER('Dvd Calendar'!$AA$2136)*100000000+('Dvd Calendar'!$AA$2138=SPECIAL_LBL)*10000000+(N('Dvd Calendar'!$AA$2132)&gt;0)*(N('Dvd Calendar'!$AA$2132)&lt;=VAL_SERIAL)*1000000+53*1000+23))</f>
        <v/>
      </c>
      <c r="FB212" s="121">
        <f>IF(N('Dvd Calendar'!$AB$2133)=0,"",IF(('Dvd Calendar'!$AB$2133&gt;=GRID_FROM)*('Dvd Calendar'!$AB$2133&lt;=GRID_TO)*((('Dvd Calendar'!$AB$2133&lt;=VAL_DATE)+(COUNTIF('Dvd Calendar'!$E$2140:$AR$2140,'Dvd Calendar'!$AB$2133)=0))&gt;0)=0,"",'Dvd Calendar'!$AB$2133*1000000000+ISNUMBER('Dvd Calendar'!$AB$2136)*100000000+('Dvd Calendar'!$AB$2138=SPECIAL_LBL)*10000000+(N('Dvd Calendar'!$AB$2132)&gt;0)*(N('Dvd Calendar'!$AB$2132)&lt;=VAL_SERIAL)*1000000+53*1000+24))</f>
        <v/>
      </c>
      <c r="FC212" s="121">
        <f>IF(N('Dvd Calendar'!$AC$2133)=0,"",IF(('Dvd Calendar'!$AC$2133&gt;=GRID_FROM)*('Dvd Calendar'!$AC$2133&lt;=GRID_TO)*((('Dvd Calendar'!$AC$2133&lt;=VAL_DATE)+(COUNTIF('Dvd Calendar'!$E$2140:$AR$2140,'Dvd Calendar'!$AC$2133)=0))&gt;0)=0,"",'Dvd Calendar'!$AC$2133*1000000000+ISNUMBER('Dvd Calendar'!$AC$2136)*100000000+('Dvd Calendar'!$AC$2138=SPECIAL_LBL)*10000000+(N('Dvd Calendar'!$AC$2132)&gt;0)*(N('Dvd Calendar'!$AC$2132)&lt;=VAL_SERIAL)*1000000+53*1000+25))</f>
        <v/>
      </c>
      <c r="FD212" s="121">
        <f>IF(N('Dvd Calendar'!$AD$2133)=0,"",IF(('Dvd Calendar'!$AD$2133&gt;=GRID_FROM)*('Dvd Calendar'!$AD$2133&lt;=GRID_TO)*((('Dvd Calendar'!$AD$2133&lt;=VAL_DATE)+(COUNTIF('Dvd Calendar'!$E$2140:$AR$2140,'Dvd Calendar'!$AD$2133)=0))&gt;0)=0,"",'Dvd Calendar'!$AD$2133*1000000000+ISNUMBER('Dvd Calendar'!$AD$2136)*100000000+('Dvd Calendar'!$AD$2138=SPECIAL_LBL)*10000000+(N('Dvd Calendar'!$AD$2132)&gt;0)*(N('Dvd Calendar'!$AD$2132)&lt;=VAL_SERIAL)*1000000+53*1000+26))</f>
        <v/>
      </c>
      <c r="FE212" s="121">
        <f>IF(N('Dvd Calendar'!$AE$2133)=0,"",IF(('Dvd Calendar'!$AE$2133&gt;=GRID_FROM)*('Dvd Calendar'!$AE$2133&lt;=GRID_TO)*((('Dvd Calendar'!$AE$2133&lt;=VAL_DATE)+(COUNTIF('Dvd Calendar'!$E$2140:$AR$2140,'Dvd Calendar'!$AE$2133)=0))&gt;0)=0,"",'Dvd Calendar'!$AE$2133*1000000000+ISNUMBER('Dvd Calendar'!$AE$2136)*100000000+('Dvd Calendar'!$AE$2138=SPECIAL_LBL)*10000000+(N('Dvd Calendar'!$AE$2132)&gt;0)*(N('Dvd Calendar'!$AE$2132)&lt;=VAL_SERIAL)*1000000+53*1000+27))</f>
        <v/>
      </c>
      <c r="FF212" s="121">
        <f>IF(N('Dvd Calendar'!$AF$2133)=0,"",IF(('Dvd Calendar'!$AF$2133&gt;=GRID_FROM)*('Dvd Calendar'!$AF$2133&lt;=GRID_TO)*((('Dvd Calendar'!$AF$2133&lt;=VAL_DATE)+(COUNTIF('Dvd Calendar'!$E$2140:$AR$2140,'Dvd Calendar'!$AF$2133)=0))&gt;0)=0,"",'Dvd Calendar'!$AF$2133*1000000000+ISNUMBER('Dvd Calendar'!$AF$2136)*100000000+('Dvd Calendar'!$AF$2138=SPECIAL_LBL)*10000000+(N('Dvd Calendar'!$AF$2132)&gt;0)*(N('Dvd Calendar'!$AF$2132)&lt;=VAL_SERIAL)*1000000+53*1000+28))</f>
        <v/>
      </c>
      <c r="FG212" s="121">
        <f>IF(N('Dvd Calendar'!$AG$2133)=0,"",IF(('Dvd Calendar'!$AG$2133&gt;=GRID_FROM)*('Dvd Calendar'!$AG$2133&lt;=GRID_TO)*((('Dvd Calendar'!$AG$2133&lt;=VAL_DATE)+(COUNTIF('Dvd Calendar'!$E$2140:$AR$2140,'Dvd Calendar'!$AG$2133)=0))&gt;0)=0,"",'Dvd Calendar'!$AG$2133*1000000000+ISNUMBER('Dvd Calendar'!$AG$2136)*100000000+('Dvd Calendar'!$AG$2138=SPECIAL_LBL)*10000000+(N('Dvd Calendar'!$AG$2132)&gt;0)*(N('Dvd Calendar'!$AG$2132)&lt;=VAL_SERIAL)*1000000+53*1000+29))</f>
        <v/>
      </c>
      <c r="FH212" s="121">
        <f>IF(N('Dvd Calendar'!$AH$2133)=0,"",IF(('Dvd Calendar'!$AH$2133&gt;=GRID_FROM)*('Dvd Calendar'!$AH$2133&lt;=GRID_TO)*((('Dvd Calendar'!$AH$2133&lt;=VAL_DATE)+(COUNTIF('Dvd Calendar'!$E$2140:$AR$2140,'Dvd Calendar'!$AH$2133)=0))&gt;0)=0,"",'Dvd Calendar'!$AH$2133*1000000000+ISNUMBER('Dvd Calendar'!$AH$2136)*100000000+('Dvd Calendar'!$AH$2138=SPECIAL_LBL)*10000000+(N('Dvd Calendar'!$AH$2132)&gt;0)*(N('Dvd Calendar'!$AH$2132)&lt;=VAL_SERIAL)*1000000+53*1000+30))</f>
        <v/>
      </c>
      <c r="FI212" s="121">
        <f>IF(N('Dvd Calendar'!$AI$2133)=0,"",IF(('Dvd Calendar'!$AI$2133&gt;=GRID_FROM)*('Dvd Calendar'!$AI$2133&lt;=GRID_TO)*((('Dvd Calendar'!$AI$2133&lt;=VAL_DATE)+(COUNTIF('Dvd Calendar'!$E$2140:$AR$2140,'Dvd Calendar'!$AI$2133)=0))&gt;0)=0,"",'Dvd Calendar'!$AI$2133*1000000000+ISNUMBER('Dvd Calendar'!$AI$2136)*100000000+('Dvd Calendar'!$AI$2138=SPECIAL_LBL)*10000000+(N('Dvd Calendar'!$AI$2132)&gt;0)*(N('Dvd Calendar'!$AI$2132)&lt;=VAL_SERIAL)*1000000+53*1000+31))</f>
        <v/>
      </c>
      <c r="FJ212" s="121">
        <f>IF(N('Dvd Calendar'!$AJ$2133)=0,"",IF(('Dvd Calendar'!$AJ$2133&gt;=GRID_FROM)*('Dvd Calendar'!$AJ$2133&lt;=GRID_TO)*((('Dvd Calendar'!$AJ$2133&lt;=VAL_DATE)+(COUNTIF('Dvd Calendar'!$E$2140:$AR$2140,'Dvd Calendar'!$AJ$2133)=0))&gt;0)=0,"",'Dvd Calendar'!$AJ$2133*1000000000+ISNUMBER('Dvd Calendar'!$AJ$2136)*100000000+('Dvd Calendar'!$AJ$2138=SPECIAL_LBL)*10000000+(N('Dvd Calendar'!$AJ$2132)&gt;0)*(N('Dvd Calendar'!$AJ$2132)&lt;=VAL_SERIAL)*1000000+53*1000+32))</f>
        <v/>
      </c>
      <c r="FK212" s="121">
        <f>IF(N('Dvd Calendar'!$AK$2133)=0,"",IF(('Dvd Calendar'!$AK$2133&gt;=GRID_FROM)*('Dvd Calendar'!$AK$2133&lt;=GRID_TO)*((('Dvd Calendar'!$AK$2133&lt;=VAL_DATE)+(COUNTIF('Dvd Calendar'!$E$2140:$AR$2140,'Dvd Calendar'!$AK$2133)=0))&gt;0)=0,"",'Dvd Calendar'!$AK$2133*1000000000+ISNUMBER('Dvd Calendar'!$AK$2136)*100000000+('Dvd Calendar'!$AK$2138=SPECIAL_LBL)*10000000+(N('Dvd Calendar'!$AK$2132)&gt;0)*(N('Dvd Calendar'!$AK$2132)&lt;=VAL_SERIAL)*1000000+53*1000+33))</f>
        <v/>
      </c>
      <c r="FL212" s="121">
        <f>IF(N('Dvd Calendar'!$AL$2133)=0,"",IF(('Dvd Calendar'!$AL$2133&gt;=GRID_FROM)*('Dvd Calendar'!$AL$2133&lt;=GRID_TO)*((('Dvd Calendar'!$AL$2133&lt;=VAL_DATE)+(COUNTIF('Dvd Calendar'!$E$2140:$AR$2140,'Dvd Calendar'!$AL$2133)=0))&gt;0)=0,"",'Dvd Calendar'!$AL$2133*1000000000+ISNUMBER('Dvd Calendar'!$AL$2136)*100000000+('Dvd Calendar'!$AL$2138=SPECIAL_LBL)*10000000+(N('Dvd Calendar'!$AL$2132)&gt;0)*(N('Dvd Calendar'!$AL$2132)&lt;=VAL_SERIAL)*1000000+53*1000+34))</f>
        <v/>
      </c>
      <c r="FM212" s="121">
        <f>IF(N('Dvd Calendar'!$AM$2133)=0,"",IF(('Dvd Calendar'!$AM$2133&gt;=GRID_FROM)*('Dvd Calendar'!$AM$2133&lt;=GRID_TO)*((('Dvd Calendar'!$AM$2133&lt;=VAL_DATE)+(COUNTIF('Dvd Calendar'!$E$2140:$AR$2140,'Dvd Calendar'!$AM$2133)=0))&gt;0)=0,"",'Dvd Calendar'!$AM$2133*1000000000+ISNUMBER('Dvd Calendar'!$AM$2136)*100000000+('Dvd Calendar'!$AM$2138=SPECIAL_LBL)*10000000+(N('Dvd Calendar'!$AM$2132)&gt;0)*(N('Dvd Calendar'!$AM$2132)&lt;=VAL_SERIAL)*1000000+53*1000+35))</f>
        <v/>
      </c>
      <c r="FN212" s="121">
        <f>IF(N('Dvd Calendar'!$AN$2133)=0,"",IF(('Dvd Calendar'!$AN$2133&gt;=GRID_FROM)*('Dvd Calendar'!$AN$2133&lt;=GRID_TO)*((('Dvd Calendar'!$AN$2133&lt;=VAL_DATE)+(COUNTIF('Dvd Calendar'!$E$2140:$AR$2140,'Dvd Calendar'!$AN$2133)=0))&gt;0)=0,"",'Dvd Calendar'!$AN$2133*1000000000+ISNUMBER('Dvd Calendar'!$AN$2136)*100000000+('Dvd Calendar'!$AN$2138=SPECIAL_LBL)*10000000+(N('Dvd Calendar'!$AN$2132)&gt;0)*(N('Dvd Calendar'!$AN$2132)&lt;=VAL_SERIAL)*1000000+53*1000+36))</f>
        <v/>
      </c>
      <c r="FO212" s="121">
        <f>IF(N('Dvd Calendar'!$AO$2133)=0,"",IF(('Dvd Calendar'!$AO$2133&gt;=GRID_FROM)*('Dvd Calendar'!$AO$2133&lt;=GRID_TO)*((('Dvd Calendar'!$AO$2133&lt;=VAL_DATE)+(COUNTIF('Dvd Calendar'!$E$2140:$AR$2140,'Dvd Calendar'!$AO$2133)=0))&gt;0)=0,"",'Dvd Calendar'!$AO$2133*1000000000+ISNUMBER('Dvd Calendar'!$AO$2136)*100000000+('Dvd Calendar'!$AO$2138=SPECIAL_LBL)*10000000+(N('Dvd Calendar'!$AO$2132)&gt;0)*(N('Dvd Calendar'!$AO$2132)&lt;=VAL_SERIAL)*1000000+53*1000+37))</f>
        <v/>
      </c>
      <c r="FP212" s="121">
        <f>IF(N('Dvd Calendar'!$AP$2133)=0,"",IF(('Dvd Calendar'!$AP$2133&gt;=GRID_FROM)*('Dvd Calendar'!$AP$2133&lt;=GRID_TO)*((('Dvd Calendar'!$AP$2133&lt;=VAL_DATE)+(COUNTIF('Dvd Calendar'!$E$2140:$AR$2140,'Dvd Calendar'!$AP$2133)=0))&gt;0)=0,"",'Dvd Calendar'!$AP$2133*1000000000+ISNUMBER('Dvd Calendar'!$AP$2136)*100000000+('Dvd Calendar'!$AP$2138=SPECIAL_LBL)*10000000+(N('Dvd Calendar'!$AP$2132)&gt;0)*(N('Dvd Calendar'!$AP$2132)&lt;=VAL_SERIAL)*1000000+53*1000+38))</f>
        <v/>
      </c>
      <c r="FQ212" s="121">
        <f>IF(N('Dvd Calendar'!$AQ$2133)=0,"",IF(('Dvd Calendar'!$AQ$2133&gt;=GRID_FROM)*('Dvd Calendar'!$AQ$2133&lt;=GRID_TO)*((('Dvd Calendar'!$AQ$2133&lt;=VAL_DATE)+(COUNTIF('Dvd Calendar'!$E$2140:$AR$2140,'Dvd Calendar'!$AQ$2133)=0))&gt;0)=0,"",'Dvd Calendar'!$AQ$2133*1000000000+ISNUMBER('Dvd Calendar'!$AQ$2136)*100000000+('Dvd Calendar'!$AQ$2138=SPECIAL_LBL)*10000000+(N('Dvd Calendar'!$AQ$2132)&gt;0)*(N('Dvd Calendar'!$AQ$2132)&lt;=VAL_SERIAL)*1000000+53*1000+39))</f>
        <v/>
      </c>
      <c r="FR212" s="121">
        <f>IF(N('Dvd Calendar'!$AR$2133)=0,"",IF(('Dvd Calendar'!$AR$2133&gt;=GRID_FROM)*('Dvd Calendar'!$AR$2133&lt;=GRID_TO)*((('Dvd Calendar'!$AR$2133&lt;=VAL_DATE)+(COUNTIF('Dvd Calendar'!$E$2140:$AR$2140,'Dvd Calendar'!$AR$2133)=0))&gt;0)=0,"",'Dvd Calendar'!$AR$2133*1000000000+ISNUMBER('Dvd Calendar'!$AR$2136)*100000000+('Dvd Calendar'!$AR$2138=SPECIAL_LBL)*10000000+(N('Dvd Calendar'!$AR$2132)&gt;0)*(N('Dvd Calendar'!$AR$2132)&lt;=VAL_SERIAL)*1000000+53*1000+40))</f>
        <v/>
      </c>
      <c r="FS212" s="121">
        <f>IF(N('Dvd Calendar'!$E$2140)=0,"",IF(('Dvd Calendar'!$E$2140&gt;=GRID_FROM)*('Dvd Calendar'!$E$2140&lt;=GRID_TO)*('Dvd Calendar'!$E$2140&gt;VAL_DATE)=0,"",'Dvd Calendar'!$E$2140*1000000000+ISNUMBER('Dvd Calendar'!$E$2141)*100000000+0*10000000+(N('Dvd Calendar'!$E$2139)&gt;0)*(N('Dvd Calendar'!$E$2139)&lt;=VAL_SERIAL)*1000000+53*1000+41))</f>
        <v/>
      </c>
      <c r="FT212" s="121">
        <f>IF(N('Dvd Calendar'!$F$2140)=0,"",IF(('Dvd Calendar'!$F$2140&gt;=GRID_FROM)*('Dvd Calendar'!$F$2140&lt;=GRID_TO)*('Dvd Calendar'!$F$2140&gt;VAL_DATE)=0,"",'Dvd Calendar'!$F$2140*1000000000+ISNUMBER('Dvd Calendar'!$F$2141)*100000000+0*10000000+(N('Dvd Calendar'!$F$2139)&gt;0)*(N('Dvd Calendar'!$F$2139)&lt;=VAL_SERIAL)*1000000+53*1000+42))</f>
        <v/>
      </c>
      <c r="FU212" s="121">
        <f>IF(N('Dvd Calendar'!$G$2140)=0,"",IF(('Dvd Calendar'!$G$2140&gt;=GRID_FROM)*('Dvd Calendar'!$G$2140&lt;=GRID_TO)*('Dvd Calendar'!$G$2140&gt;VAL_DATE)=0,"",'Dvd Calendar'!$G$2140*1000000000+ISNUMBER('Dvd Calendar'!$G$2141)*100000000+0*10000000+(N('Dvd Calendar'!$G$2139)&gt;0)*(N('Dvd Calendar'!$G$2139)&lt;=VAL_SERIAL)*1000000+53*1000+43))</f>
        <v/>
      </c>
      <c r="FV212" s="121">
        <f>IF(N('Dvd Calendar'!$H$2140)=0,"",IF(('Dvd Calendar'!$H$2140&gt;=GRID_FROM)*('Dvd Calendar'!$H$2140&lt;=GRID_TO)*('Dvd Calendar'!$H$2140&gt;VAL_DATE)=0,"",'Dvd Calendar'!$H$2140*1000000000+ISNUMBER('Dvd Calendar'!$H$2141)*100000000+0*10000000+(N('Dvd Calendar'!$H$2139)&gt;0)*(N('Dvd Calendar'!$H$2139)&lt;=VAL_SERIAL)*1000000+53*1000+44))</f>
        <v/>
      </c>
      <c r="FW212" s="121">
        <f>IF(N('Dvd Calendar'!$I$2140)=0,"",IF(('Dvd Calendar'!$I$2140&gt;=GRID_FROM)*('Dvd Calendar'!$I$2140&lt;=GRID_TO)*('Dvd Calendar'!$I$2140&gt;VAL_DATE)=0,"",'Dvd Calendar'!$I$2140*1000000000+ISNUMBER('Dvd Calendar'!$I$2141)*100000000+0*10000000+(N('Dvd Calendar'!$I$2139)&gt;0)*(N('Dvd Calendar'!$I$2139)&lt;=VAL_SERIAL)*1000000+53*1000+45))</f>
        <v/>
      </c>
      <c r="FX212" s="121">
        <f>IF(N('Dvd Calendar'!$J$2140)=0,"",IF(('Dvd Calendar'!$J$2140&gt;=GRID_FROM)*('Dvd Calendar'!$J$2140&lt;=GRID_TO)*('Dvd Calendar'!$J$2140&gt;VAL_DATE)=0,"",'Dvd Calendar'!$J$2140*1000000000+ISNUMBER('Dvd Calendar'!$J$2141)*100000000+0*10000000+(N('Dvd Calendar'!$J$2139)&gt;0)*(N('Dvd Calendar'!$J$2139)&lt;=VAL_SERIAL)*1000000+53*1000+46))</f>
        <v/>
      </c>
      <c r="FY212" s="121">
        <f>IF(N('Dvd Calendar'!$K$2140)=0,"",IF(('Dvd Calendar'!$K$2140&gt;=GRID_FROM)*('Dvd Calendar'!$K$2140&lt;=GRID_TO)*('Dvd Calendar'!$K$2140&gt;VAL_DATE)=0,"",'Dvd Calendar'!$K$2140*1000000000+ISNUMBER('Dvd Calendar'!$K$2141)*100000000+0*10000000+(N('Dvd Calendar'!$K$2139)&gt;0)*(N('Dvd Calendar'!$K$2139)&lt;=VAL_SERIAL)*1000000+53*1000+47))</f>
        <v/>
      </c>
      <c r="FZ212" s="121">
        <f>IF(N('Dvd Calendar'!$L$2140)=0,"",IF(('Dvd Calendar'!$L$2140&gt;=GRID_FROM)*('Dvd Calendar'!$L$2140&lt;=GRID_TO)*('Dvd Calendar'!$L$2140&gt;VAL_DATE)=0,"",'Dvd Calendar'!$L$2140*1000000000+ISNUMBER('Dvd Calendar'!$L$2141)*100000000+0*10000000+(N('Dvd Calendar'!$L$2139)&gt;0)*(N('Dvd Calendar'!$L$2139)&lt;=VAL_SERIAL)*1000000+53*1000+48))</f>
        <v/>
      </c>
      <c r="GA212" s="121">
        <f>IF(N('Dvd Calendar'!$M$2140)=0,"",IF(('Dvd Calendar'!$M$2140&gt;=GRID_FROM)*('Dvd Calendar'!$M$2140&lt;=GRID_TO)*('Dvd Calendar'!$M$2140&gt;VAL_DATE)=0,"",'Dvd Calendar'!$M$2140*1000000000+ISNUMBER('Dvd Calendar'!$M$2141)*100000000+0*10000000+(N('Dvd Calendar'!$M$2139)&gt;0)*(N('Dvd Calendar'!$M$2139)&lt;=VAL_SERIAL)*1000000+53*1000+49))</f>
        <v/>
      </c>
      <c r="GB212" s="121">
        <f>IF(N('Dvd Calendar'!$N$2140)=0,"",IF(('Dvd Calendar'!$N$2140&gt;=GRID_FROM)*('Dvd Calendar'!$N$2140&lt;=GRID_TO)*('Dvd Calendar'!$N$2140&gt;VAL_DATE)=0,"",'Dvd Calendar'!$N$2140*1000000000+ISNUMBER('Dvd Calendar'!$N$2141)*100000000+0*10000000+(N('Dvd Calendar'!$N$2139)&gt;0)*(N('Dvd Calendar'!$N$2139)&lt;=VAL_SERIAL)*1000000+53*1000+50))</f>
        <v/>
      </c>
      <c r="GC212" s="121">
        <f>IF(N('Dvd Calendar'!$O$2140)=0,"",IF(('Dvd Calendar'!$O$2140&gt;=GRID_FROM)*('Dvd Calendar'!$O$2140&lt;=GRID_TO)*('Dvd Calendar'!$O$2140&gt;VAL_DATE)=0,"",'Dvd Calendar'!$O$2140*1000000000+ISNUMBER('Dvd Calendar'!$O$2141)*100000000+0*10000000+(N('Dvd Calendar'!$O$2139)&gt;0)*(N('Dvd Calendar'!$O$2139)&lt;=VAL_SERIAL)*1000000+53*1000+51))</f>
        <v/>
      </c>
      <c r="GD212" s="121">
        <f>IF(N('Dvd Calendar'!$P$2140)=0,"",IF(('Dvd Calendar'!$P$2140&gt;=GRID_FROM)*('Dvd Calendar'!$P$2140&lt;=GRID_TO)*('Dvd Calendar'!$P$2140&gt;VAL_DATE)=0,"",'Dvd Calendar'!$P$2140*1000000000+ISNUMBER('Dvd Calendar'!$P$2141)*100000000+0*10000000+(N('Dvd Calendar'!$P$2139)&gt;0)*(N('Dvd Calendar'!$P$2139)&lt;=VAL_SERIAL)*1000000+53*1000+52))</f>
        <v/>
      </c>
      <c r="GE212" s="121">
        <f>IF(N('Dvd Calendar'!$Q$2140)=0,"",IF(('Dvd Calendar'!$Q$2140&gt;=GRID_FROM)*('Dvd Calendar'!$Q$2140&lt;=GRID_TO)*('Dvd Calendar'!$Q$2140&gt;VAL_DATE)=0,"",'Dvd Calendar'!$Q$2140*1000000000+ISNUMBER('Dvd Calendar'!$Q$2141)*100000000+0*10000000+(N('Dvd Calendar'!$Q$2139)&gt;0)*(N('Dvd Calendar'!$Q$2139)&lt;=VAL_SERIAL)*1000000+53*1000+53))</f>
        <v/>
      </c>
      <c r="GF212" s="121">
        <f>IF(N('Dvd Calendar'!$R$2140)=0,"",IF(('Dvd Calendar'!$R$2140&gt;=GRID_FROM)*('Dvd Calendar'!$R$2140&lt;=GRID_TO)*('Dvd Calendar'!$R$2140&gt;VAL_DATE)=0,"",'Dvd Calendar'!$R$2140*1000000000+ISNUMBER('Dvd Calendar'!$R$2141)*100000000+0*10000000+(N('Dvd Calendar'!$R$2139)&gt;0)*(N('Dvd Calendar'!$R$2139)&lt;=VAL_SERIAL)*1000000+53*1000+54))</f>
        <v/>
      </c>
      <c r="GG212" s="121">
        <f>IF(N('Dvd Calendar'!$S$2140)=0,"",IF(('Dvd Calendar'!$S$2140&gt;=GRID_FROM)*('Dvd Calendar'!$S$2140&lt;=GRID_TO)*('Dvd Calendar'!$S$2140&gt;VAL_DATE)=0,"",'Dvd Calendar'!$S$2140*1000000000+ISNUMBER('Dvd Calendar'!$S$2141)*100000000+0*10000000+(N('Dvd Calendar'!$S$2139)&gt;0)*(N('Dvd Calendar'!$S$2139)&lt;=VAL_SERIAL)*1000000+53*1000+55))</f>
        <v/>
      </c>
      <c r="GH212" s="121">
        <f>IF(N('Dvd Calendar'!$T$2140)=0,"",IF(('Dvd Calendar'!$T$2140&gt;=GRID_FROM)*('Dvd Calendar'!$T$2140&lt;=GRID_TO)*('Dvd Calendar'!$T$2140&gt;VAL_DATE)=0,"",'Dvd Calendar'!$T$2140*1000000000+ISNUMBER('Dvd Calendar'!$T$2141)*100000000+0*10000000+(N('Dvd Calendar'!$T$2139)&gt;0)*(N('Dvd Calendar'!$T$2139)&lt;=VAL_SERIAL)*1000000+53*1000+56))</f>
        <v/>
      </c>
      <c r="GI212" s="121">
        <f>IF(N('Dvd Calendar'!$U$2140)=0,"",IF(('Dvd Calendar'!$U$2140&gt;=GRID_FROM)*('Dvd Calendar'!$U$2140&lt;=GRID_TO)*('Dvd Calendar'!$U$2140&gt;VAL_DATE)=0,"",'Dvd Calendar'!$U$2140*1000000000+ISNUMBER('Dvd Calendar'!$U$2141)*100000000+0*10000000+(N('Dvd Calendar'!$U$2139)&gt;0)*(N('Dvd Calendar'!$U$2139)&lt;=VAL_SERIAL)*1000000+53*1000+57))</f>
        <v/>
      </c>
      <c r="GJ212" s="121">
        <f>IF(N('Dvd Calendar'!$V$2140)=0,"",IF(('Dvd Calendar'!$V$2140&gt;=GRID_FROM)*('Dvd Calendar'!$V$2140&lt;=GRID_TO)*('Dvd Calendar'!$V$2140&gt;VAL_DATE)=0,"",'Dvd Calendar'!$V$2140*1000000000+ISNUMBER('Dvd Calendar'!$V$2141)*100000000+0*10000000+(N('Dvd Calendar'!$V$2139)&gt;0)*(N('Dvd Calendar'!$V$2139)&lt;=VAL_SERIAL)*1000000+53*1000+58))</f>
        <v/>
      </c>
      <c r="GK212" s="121">
        <f>IF(N('Dvd Calendar'!$W$2140)=0,"",IF(('Dvd Calendar'!$W$2140&gt;=GRID_FROM)*('Dvd Calendar'!$W$2140&lt;=GRID_TO)*('Dvd Calendar'!$W$2140&gt;VAL_DATE)=0,"",'Dvd Calendar'!$W$2140*1000000000+ISNUMBER('Dvd Calendar'!$W$2141)*100000000+0*10000000+(N('Dvd Calendar'!$W$2139)&gt;0)*(N('Dvd Calendar'!$W$2139)&lt;=VAL_SERIAL)*1000000+53*1000+59))</f>
        <v/>
      </c>
      <c r="GL212" s="121">
        <f>IF(N('Dvd Calendar'!$X$2140)=0,"",IF(('Dvd Calendar'!$X$2140&gt;=GRID_FROM)*('Dvd Calendar'!$X$2140&lt;=GRID_TO)*('Dvd Calendar'!$X$2140&gt;VAL_DATE)=0,"",'Dvd Calendar'!$X$2140*1000000000+ISNUMBER('Dvd Calendar'!$X$2141)*100000000+0*10000000+(N('Dvd Calendar'!$X$2139)&gt;0)*(N('Dvd Calendar'!$X$2139)&lt;=VAL_SERIAL)*1000000+53*1000+60))</f>
        <v/>
      </c>
      <c r="GM212" s="121">
        <f>IF(N('Dvd Calendar'!$Y$2140)=0,"",IF(('Dvd Calendar'!$Y$2140&gt;=GRID_FROM)*('Dvd Calendar'!$Y$2140&lt;=GRID_TO)*('Dvd Calendar'!$Y$2140&gt;VAL_DATE)=0,"",'Dvd Calendar'!$Y$2140*1000000000+ISNUMBER('Dvd Calendar'!$Y$2141)*100000000+0*10000000+(N('Dvd Calendar'!$Y$2139)&gt;0)*(N('Dvd Calendar'!$Y$2139)&lt;=VAL_SERIAL)*1000000+53*1000+61))</f>
        <v/>
      </c>
      <c r="GN212" s="121">
        <f>IF(N('Dvd Calendar'!$Z$2140)=0,"",IF(('Dvd Calendar'!$Z$2140&gt;=GRID_FROM)*('Dvd Calendar'!$Z$2140&lt;=GRID_TO)*('Dvd Calendar'!$Z$2140&gt;VAL_DATE)=0,"",'Dvd Calendar'!$Z$2140*1000000000+ISNUMBER('Dvd Calendar'!$Z$2141)*100000000+0*10000000+(N('Dvd Calendar'!$Z$2139)&gt;0)*(N('Dvd Calendar'!$Z$2139)&lt;=VAL_SERIAL)*1000000+53*1000+62))</f>
        <v/>
      </c>
      <c r="GO212" s="121">
        <f>IF(N('Dvd Calendar'!$AA$2140)=0,"",IF(('Dvd Calendar'!$AA$2140&gt;=GRID_FROM)*('Dvd Calendar'!$AA$2140&lt;=GRID_TO)*('Dvd Calendar'!$AA$2140&gt;VAL_DATE)=0,"",'Dvd Calendar'!$AA$2140*1000000000+ISNUMBER('Dvd Calendar'!$AA$2141)*100000000+0*10000000+(N('Dvd Calendar'!$AA$2139)&gt;0)*(N('Dvd Calendar'!$AA$2139)&lt;=VAL_SERIAL)*1000000+53*1000+63))</f>
        <v/>
      </c>
      <c r="GP212" s="121">
        <f>IF(N('Dvd Calendar'!$AB$2140)=0,"",IF(('Dvd Calendar'!$AB$2140&gt;=GRID_FROM)*('Dvd Calendar'!$AB$2140&lt;=GRID_TO)*('Dvd Calendar'!$AB$2140&gt;VAL_DATE)=0,"",'Dvd Calendar'!$AB$2140*1000000000+ISNUMBER('Dvd Calendar'!$AB$2141)*100000000+0*10000000+(N('Dvd Calendar'!$AB$2139)&gt;0)*(N('Dvd Calendar'!$AB$2139)&lt;=VAL_SERIAL)*1000000+53*1000+64))</f>
        <v/>
      </c>
      <c r="GQ212" s="121">
        <f>IF(N('Dvd Calendar'!$AC$2140)=0,"",IF(('Dvd Calendar'!$AC$2140&gt;=GRID_FROM)*('Dvd Calendar'!$AC$2140&lt;=GRID_TO)*('Dvd Calendar'!$AC$2140&gt;VAL_DATE)=0,"",'Dvd Calendar'!$AC$2140*1000000000+ISNUMBER('Dvd Calendar'!$AC$2141)*100000000+0*10000000+(N('Dvd Calendar'!$AC$2139)&gt;0)*(N('Dvd Calendar'!$AC$2139)&lt;=VAL_SERIAL)*1000000+53*1000+65))</f>
        <v/>
      </c>
    </row>
    <row r="213">
      <c r="B213" s="2">
        <f>IF(HSCEI!$C$60="","",HSCEI!$C$60)</f>
        <v/>
      </c>
      <c r="C213" s="161">
        <f>IF(EE213="","",IF(ISNUMBER('Dvd Calendar'!$E$2147)=FALSE,"",IF((('Dvd Calendar'!$E$2149=TYPE1)*(TYPE1&lt;&gt;"")+('Dvd Calendar'!$E$2149=TYPE2)*(TYPE2&lt;&gt;"")+('Dvd Calendar'!$E$2149=TYPE3)*(TYPE3&lt;&gt;"")+('Dvd Calendar'!$E$2149=TYPE4)*(TYPE4&lt;&gt;"")+('Dvd Calendar'!$E$2149=SPECIAL_LBL)*(INC_SPECIALS="Y"))=0,"",'Dvd Calendar'!$E$2147)))</f>
        <v/>
      </c>
      <c r="D213" s="161">
        <f>IF(EF213="","",IF(ISNUMBER('Dvd Calendar'!$F$2147)=FALSE,"",IF((('Dvd Calendar'!$F$2149=TYPE1)*(TYPE1&lt;&gt;"")+('Dvd Calendar'!$F$2149=TYPE2)*(TYPE2&lt;&gt;"")+('Dvd Calendar'!$F$2149=TYPE3)*(TYPE3&lt;&gt;"")+('Dvd Calendar'!$F$2149=TYPE4)*(TYPE4&lt;&gt;"")+('Dvd Calendar'!$F$2149=SPECIAL_LBL)*(INC_SPECIALS="Y"))=0,"",'Dvd Calendar'!$F$2147)))</f>
        <v/>
      </c>
      <c r="E213" s="161">
        <f>IF(EG213="","",IF(ISNUMBER('Dvd Calendar'!$G$2147)=FALSE,"",IF((('Dvd Calendar'!$G$2149=TYPE1)*(TYPE1&lt;&gt;"")+('Dvd Calendar'!$G$2149=TYPE2)*(TYPE2&lt;&gt;"")+('Dvd Calendar'!$G$2149=TYPE3)*(TYPE3&lt;&gt;"")+('Dvd Calendar'!$G$2149=TYPE4)*(TYPE4&lt;&gt;"")+('Dvd Calendar'!$G$2149=SPECIAL_LBL)*(INC_SPECIALS="Y"))=0,"",'Dvd Calendar'!$G$2147)))</f>
        <v/>
      </c>
      <c r="F213" s="161">
        <f>IF(EH213="","",IF(ISNUMBER('Dvd Calendar'!$H$2147)=FALSE,"",IF((('Dvd Calendar'!$H$2149=TYPE1)*(TYPE1&lt;&gt;"")+('Dvd Calendar'!$H$2149=TYPE2)*(TYPE2&lt;&gt;"")+('Dvd Calendar'!$H$2149=TYPE3)*(TYPE3&lt;&gt;"")+('Dvd Calendar'!$H$2149=TYPE4)*(TYPE4&lt;&gt;"")+('Dvd Calendar'!$H$2149=SPECIAL_LBL)*(INC_SPECIALS="Y"))=0,"",'Dvd Calendar'!$H$2147)))</f>
        <v/>
      </c>
      <c r="G213" s="161">
        <f>IF(EI213="","",IF(ISNUMBER('Dvd Calendar'!$I$2147)=FALSE,"",IF((('Dvd Calendar'!$I$2149=TYPE1)*(TYPE1&lt;&gt;"")+('Dvd Calendar'!$I$2149=TYPE2)*(TYPE2&lt;&gt;"")+('Dvd Calendar'!$I$2149=TYPE3)*(TYPE3&lt;&gt;"")+('Dvd Calendar'!$I$2149=TYPE4)*(TYPE4&lt;&gt;"")+('Dvd Calendar'!$I$2149=SPECIAL_LBL)*(INC_SPECIALS="Y"))=0,"",'Dvd Calendar'!$I$2147)))</f>
        <v/>
      </c>
      <c r="H213" s="161">
        <f>IF(EJ213="","",IF(ISNUMBER('Dvd Calendar'!$J$2147)=FALSE,"",IF((('Dvd Calendar'!$J$2149=TYPE1)*(TYPE1&lt;&gt;"")+('Dvd Calendar'!$J$2149=TYPE2)*(TYPE2&lt;&gt;"")+('Dvd Calendar'!$J$2149=TYPE3)*(TYPE3&lt;&gt;"")+('Dvd Calendar'!$J$2149=TYPE4)*(TYPE4&lt;&gt;"")+('Dvd Calendar'!$J$2149=SPECIAL_LBL)*(INC_SPECIALS="Y"))=0,"",'Dvd Calendar'!$J$2147)))</f>
        <v/>
      </c>
      <c r="I213" s="161">
        <f>IF(EK213="","",IF(ISNUMBER('Dvd Calendar'!$K$2147)=FALSE,"",IF((('Dvd Calendar'!$K$2149=TYPE1)*(TYPE1&lt;&gt;"")+('Dvd Calendar'!$K$2149=TYPE2)*(TYPE2&lt;&gt;"")+('Dvd Calendar'!$K$2149=TYPE3)*(TYPE3&lt;&gt;"")+('Dvd Calendar'!$K$2149=TYPE4)*(TYPE4&lt;&gt;"")+('Dvd Calendar'!$K$2149=SPECIAL_LBL)*(INC_SPECIALS="Y"))=0,"",'Dvd Calendar'!$K$2147)))</f>
        <v/>
      </c>
      <c r="J213" s="161">
        <f>IF(EL213="","",IF(ISNUMBER('Dvd Calendar'!$L$2147)=FALSE,"",IF((('Dvd Calendar'!$L$2149=TYPE1)*(TYPE1&lt;&gt;"")+('Dvd Calendar'!$L$2149=TYPE2)*(TYPE2&lt;&gt;"")+('Dvd Calendar'!$L$2149=TYPE3)*(TYPE3&lt;&gt;"")+('Dvd Calendar'!$L$2149=TYPE4)*(TYPE4&lt;&gt;"")+('Dvd Calendar'!$L$2149=SPECIAL_LBL)*(INC_SPECIALS="Y"))=0,"",'Dvd Calendar'!$L$2147)))</f>
        <v/>
      </c>
      <c r="K213" s="161">
        <f>IF(EM213="","",IF(ISNUMBER('Dvd Calendar'!$M$2147)=FALSE,"",IF((('Dvd Calendar'!$M$2149=TYPE1)*(TYPE1&lt;&gt;"")+('Dvd Calendar'!$M$2149=TYPE2)*(TYPE2&lt;&gt;"")+('Dvd Calendar'!$M$2149=TYPE3)*(TYPE3&lt;&gt;"")+('Dvd Calendar'!$M$2149=TYPE4)*(TYPE4&lt;&gt;"")+('Dvd Calendar'!$M$2149=SPECIAL_LBL)*(INC_SPECIALS="Y"))=0,"",'Dvd Calendar'!$M$2147)))</f>
        <v/>
      </c>
      <c r="L213" s="161">
        <f>IF(EN213="","",IF(ISNUMBER('Dvd Calendar'!$N$2147)=FALSE,"",IF((('Dvd Calendar'!$N$2149=TYPE1)*(TYPE1&lt;&gt;"")+('Dvd Calendar'!$N$2149=TYPE2)*(TYPE2&lt;&gt;"")+('Dvd Calendar'!$N$2149=TYPE3)*(TYPE3&lt;&gt;"")+('Dvd Calendar'!$N$2149=TYPE4)*(TYPE4&lt;&gt;"")+('Dvd Calendar'!$N$2149=SPECIAL_LBL)*(INC_SPECIALS="Y"))=0,"",'Dvd Calendar'!$N$2147)))</f>
        <v/>
      </c>
      <c r="M213" s="161">
        <f>IF(EO213="","",IF(ISNUMBER('Dvd Calendar'!$O$2147)=FALSE,"",IF((('Dvd Calendar'!$O$2149=TYPE1)*(TYPE1&lt;&gt;"")+('Dvd Calendar'!$O$2149=TYPE2)*(TYPE2&lt;&gt;"")+('Dvd Calendar'!$O$2149=TYPE3)*(TYPE3&lt;&gt;"")+('Dvd Calendar'!$O$2149=TYPE4)*(TYPE4&lt;&gt;"")+('Dvd Calendar'!$O$2149=SPECIAL_LBL)*(INC_SPECIALS="Y"))=0,"",'Dvd Calendar'!$O$2147)))</f>
        <v/>
      </c>
      <c r="N213" s="161">
        <f>IF(EP213="","",IF(ISNUMBER('Dvd Calendar'!$P$2147)=FALSE,"",IF((('Dvd Calendar'!$P$2149=TYPE1)*(TYPE1&lt;&gt;"")+('Dvd Calendar'!$P$2149=TYPE2)*(TYPE2&lt;&gt;"")+('Dvd Calendar'!$P$2149=TYPE3)*(TYPE3&lt;&gt;"")+('Dvd Calendar'!$P$2149=TYPE4)*(TYPE4&lt;&gt;"")+('Dvd Calendar'!$P$2149=SPECIAL_LBL)*(INC_SPECIALS="Y"))=0,"",'Dvd Calendar'!$P$2147)))</f>
        <v/>
      </c>
      <c r="O213" s="161">
        <f>IF(EQ213="","",IF(ISNUMBER('Dvd Calendar'!$Q$2147)=FALSE,"",IF((('Dvd Calendar'!$Q$2149=TYPE1)*(TYPE1&lt;&gt;"")+('Dvd Calendar'!$Q$2149=TYPE2)*(TYPE2&lt;&gt;"")+('Dvd Calendar'!$Q$2149=TYPE3)*(TYPE3&lt;&gt;"")+('Dvd Calendar'!$Q$2149=TYPE4)*(TYPE4&lt;&gt;"")+('Dvd Calendar'!$Q$2149=SPECIAL_LBL)*(INC_SPECIALS="Y"))=0,"",'Dvd Calendar'!$Q$2147)))</f>
        <v/>
      </c>
      <c r="P213" s="161">
        <f>IF(ER213="","",IF(ISNUMBER('Dvd Calendar'!$R$2147)=FALSE,"",IF((('Dvd Calendar'!$R$2149=TYPE1)*(TYPE1&lt;&gt;"")+('Dvd Calendar'!$R$2149=TYPE2)*(TYPE2&lt;&gt;"")+('Dvd Calendar'!$R$2149=TYPE3)*(TYPE3&lt;&gt;"")+('Dvd Calendar'!$R$2149=TYPE4)*(TYPE4&lt;&gt;"")+('Dvd Calendar'!$R$2149=SPECIAL_LBL)*(INC_SPECIALS="Y"))=0,"",'Dvd Calendar'!$R$2147)))</f>
        <v/>
      </c>
      <c r="Q213" s="161">
        <f>IF(ES213="","",IF(ISNUMBER('Dvd Calendar'!$S$2147)=FALSE,"",IF((('Dvd Calendar'!$S$2149=TYPE1)*(TYPE1&lt;&gt;"")+('Dvd Calendar'!$S$2149=TYPE2)*(TYPE2&lt;&gt;"")+('Dvd Calendar'!$S$2149=TYPE3)*(TYPE3&lt;&gt;"")+('Dvd Calendar'!$S$2149=TYPE4)*(TYPE4&lt;&gt;"")+('Dvd Calendar'!$S$2149=SPECIAL_LBL)*(INC_SPECIALS="Y"))=0,"",'Dvd Calendar'!$S$2147)))</f>
        <v/>
      </c>
      <c r="R213" s="161">
        <f>IF(ET213="","",IF(ISNUMBER('Dvd Calendar'!$T$2147)=FALSE,"",IF((('Dvd Calendar'!$T$2149=TYPE1)*(TYPE1&lt;&gt;"")+('Dvd Calendar'!$T$2149=TYPE2)*(TYPE2&lt;&gt;"")+('Dvd Calendar'!$T$2149=TYPE3)*(TYPE3&lt;&gt;"")+('Dvd Calendar'!$T$2149=TYPE4)*(TYPE4&lt;&gt;"")+('Dvd Calendar'!$T$2149=SPECIAL_LBL)*(INC_SPECIALS="Y"))=0,"",'Dvd Calendar'!$T$2147)))</f>
        <v/>
      </c>
      <c r="S213" s="161">
        <f>IF(EU213="","",IF(ISNUMBER('Dvd Calendar'!$U$2147)=FALSE,"",IF((('Dvd Calendar'!$U$2149=TYPE1)*(TYPE1&lt;&gt;"")+('Dvd Calendar'!$U$2149=TYPE2)*(TYPE2&lt;&gt;"")+('Dvd Calendar'!$U$2149=TYPE3)*(TYPE3&lt;&gt;"")+('Dvd Calendar'!$U$2149=TYPE4)*(TYPE4&lt;&gt;"")+('Dvd Calendar'!$U$2149=SPECIAL_LBL)*(INC_SPECIALS="Y"))=0,"",'Dvd Calendar'!$U$2147)))</f>
        <v/>
      </c>
      <c r="T213" s="161">
        <f>IF(EV213="","",IF(ISNUMBER('Dvd Calendar'!$V$2147)=FALSE,"",IF((('Dvd Calendar'!$V$2149=TYPE1)*(TYPE1&lt;&gt;"")+('Dvd Calendar'!$V$2149=TYPE2)*(TYPE2&lt;&gt;"")+('Dvd Calendar'!$V$2149=TYPE3)*(TYPE3&lt;&gt;"")+('Dvd Calendar'!$V$2149=TYPE4)*(TYPE4&lt;&gt;"")+('Dvd Calendar'!$V$2149=SPECIAL_LBL)*(INC_SPECIALS="Y"))=0,"",'Dvd Calendar'!$V$2147)))</f>
        <v/>
      </c>
      <c r="U213" s="161">
        <f>IF(EW213="","",IF(ISNUMBER('Dvd Calendar'!$W$2147)=FALSE,"",IF((('Dvd Calendar'!$W$2149=TYPE1)*(TYPE1&lt;&gt;"")+('Dvd Calendar'!$W$2149=TYPE2)*(TYPE2&lt;&gt;"")+('Dvd Calendar'!$W$2149=TYPE3)*(TYPE3&lt;&gt;"")+('Dvd Calendar'!$W$2149=TYPE4)*(TYPE4&lt;&gt;"")+('Dvd Calendar'!$W$2149=SPECIAL_LBL)*(INC_SPECIALS="Y"))=0,"",'Dvd Calendar'!$W$2147)))</f>
        <v/>
      </c>
      <c r="V213" s="161">
        <f>IF(EX213="","",IF(ISNUMBER('Dvd Calendar'!$X$2147)=FALSE,"",IF((('Dvd Calendar'!$X$2149=TYPE1)*(TYPE1&lt;&gt;"")+('Dvd Calendar'!$X$2149=TYPE2)*(TYPE2&lt;&gt;"")+('Dvd Calendar'!$X$2149=TYPE3)*(TYPE3&lt;&gt;"")+('Dvd Calendar'!$X$2149=TYPE4)*(TYPE4&lt;&gt;"")+('Dvd Calendar'!$X$2149=SPECIAL_LBL)*(INC_SPECIALS="Y"))=0,"",'Dvd Calendar'!$X$2147)))</f>
        <v/>
      </c>
      <c r="W213" s="161">
        <f>IF(EY213="","",IF(ISNUMBER('Dvd Calendar'!$Y$2147)=FALSE,"",IF((('Dvd Calendar'!$Y$2149=TYPE1)*(TYPE1&lt;&gt;"")+('Dvd Calendar'!$Y$2149=TYPE2)*(TYPE2&lt;&gt;"")+('Dvd Calendar'!$Y$2149=TYPE3)*(TYPE3&lt;&gt;"")+('Dvd Calendar'!$Y$2149=TYPE4)*(TYPE4&lt;&gt;"")+('Dvd Calendar'!$Y$2149=SPECIAL_LBL)*(INC_SPECIALS="Y"))=0,"",'Dvd Calendar'!$Y$2147)))</f>
        <v/>
      </c>
      <c r="X213" s="161">
        <f>IF(EZ213="","",IF(ISNUMBER('Dvd Calendar'!$Z$2147)=FALSE,"",IF((('Dvd Calendar'!$Z$2149=TYPE1)*(TYPE1&lt;&gt;"")+('Dvd Calendar'!$Z$2149=TYPE2)*(TYPE2&lt;&gt;"")+('Dvd Calendar'!$Z$2149=TYPE3)*(TYPE3&lt;&gt;"")+('Dvd Calendar'!$Z$2149=TYPE4)*(TYPE4&lt;&gt;"")+('Dvd Calendar'!$Z$2149=SPECIAL_LBL)*(INC_SPECIALS="Y"))=0,"",'Dvd Calendar'!$Z$2147)))</f>
        <v/>
      </c>
      <c r="Y213" s="161">
        <f>IF(FA213="","",IF(ISNUMBER('Dvd Calendar'!$AA$2147)=FALSE,"",IF((('Dvd Calendar'!$AA$2149=TYPE1)*(TYPE1&lt;&gt;"")+('Dvd Calendar'!$AA$2149=TYPE2)*(TYPE2&lt;&gt;"")+('Dvd Calendar'!$AA$2149=TYPE3)*(TYPE3&lt;&gt;"")+('Dvd Calendar'!$AA$2149=TYPE4)*(TYPE4&lt;&gt;"")+('Dvd Calendar'!$AA$2149=SPECIAL_LBL)*(INC_SPECIALS="Y"))=0,"",'Dvd Calendar'!$AA$2147)))</f>
        <v/>
      </c>
      <c r="Z213" s="161">
        <f>IF(FB213="","",IF(ISNUMBER('Dvd Calendar'!$AB$2147)=FALSE,"",IF((('Dvd Calendar'!$AB$2149=TYPE1)*(TYPE1&lt;&gt;"")+('Dvd Calendar'!$AB$2149=TYPE2)*(TYPE2&lt;&gt;"")+('Dvd Calendar'!$AB$2149=TYPE3)*(TYPE3&lt;&gt;"")+('Dvd Calendar'!$AB$2149=TYPE4)*(TYPE4&lt;&gt;"")+('Dvd Calendar'!$AB$2149=SPECIAL_LBL)*(INC_SPECIALS="Y"))=0,"",'Dvd Calendar'!$AB$2147)))</f>
        <v/>
      </c>
      <c r="AA213" s="161">
        <f>IF(FC213="","",IF(ISNUMBER('Dvd Calendar'!$AC$2147)=FALSE,"",IF((('Dvd Calendar'!$AC$2149=TYPE1)*(TYPE1&lt;&gt;"")+('Dvd Calendar'!$AC$2149=TYPE2)*(TYPE2&lt;&gt;"")+('Dvd Calendar'!$AC$2149=TYPE3)*(TYPE3&lt;&gt;"")+('Dvd Calendar'!$AC$2149=TYPE4)*(TYPE4&lt;&gt;"")+('Dvd Calendar'!$AC$2149=SPECIAL_LBL)*(INC_SPECIALS="Y"))=0,"",'Dvd Calendar'!$AC$2147)))</f>
        <v/>
      </c>
      <c r="AB213" s="161">
        <f>IF(FD213="","",IF(ISNUMBER('Dvd Calendar'!$AD$2147)=FALSE,"",IF((('Dvd Calendar'!$AD$2149=TYPE1)*(TYPE1&lt;&gt;"")+('Dvd Calendar'!$AD$2149=TYPE2)*(TYPE2&lt;&gt;"")+('Dvd Calendar'!$AD$2149=TYPE3)*(TYPE3&lt;&gt;"")+('Dvd Calendar'!$AD$2149=TYPE4)*(TYPE4&lt;&gt;"")+('Dvd Calendar'!$AD$2149=SPECIAL_LBL)*(INC_SPECIALS="Y"))=0,"",'Dvd Calendar'!$AD$2147)))</f>
        <v/>
      </c>
      <c r="AC213" s="161">
        <f>IF(FE213="","",IF(ISNUMBER('Dvd Calendar'!$AE$2147)=FALSE,"",IF((('Dvd Calendar'!$AE$2149=TYPE1)*(TYPE1&lt;&gt;"")+('Dvd Calendar'!$AE$2149=TYPE2)*(TYPE2&lt;&gt;"")+('Dvd Calendar'!$AE$2149=TYPE3)*(TYPE3&lt;&gt;"")+('Dvd Calendar'!$AE$2149=TYPE4)*(TYPE4&lt;&gt;"")+('Dvd Calendar'!$AE$2149=SPECIAL_LBL)*(INC_SPECIALS="Y"))=0,"",'Dvd Calendar'!$AE$2147)))</f>
        <v/>
      </c>
      <c r="AD213" s="161">
        <f>IF(FF213="","",IF(ISNUMBER('Dvd Calendar'!$AF$2147)=FALSE,"",IF((('Dvd Calendar'!$AF$2149=TYPE1)*(TYPE1&lt;&gt;"")+('Dvd Calendar'!$AF$2149=TYPE2)*(TYPE2&lt;&gt;"")+('Dvd Calendar'!$AF$2149=TYPE3)*(TYPE3&lt;&gt;"")+('Dvd Calendar'!$AF$2149=TYPE4)*(TYPE4&lt;&gt;"")+('Dvd Calendar'!$AF$2149=SPECIAL_LBL)*(INC_SPECIALS="Y"))=0,"",'Dvd Calendar'!$AF$2147)))</f>
        <v/>
      </c>
      <c r="AE213" s="161">
        <f>IF(FG213="","",IF(ISNUMBER('Dvd Calendar'!$AG$2147)=FALSE,"",IF((('Dvd Calendar'!$AG$2149=TYPE1)*(TYPE1&lt;&gt;"")+('Dvd Calendar'!$AG$2149=TYPE2)*(TYPE2&lt;&gt;"")+('Dvd Calendar'!$AG$2149=TYPE3)*(TYPE3&lt;&gt;"")+('Dvd Calendar'!$AG$2149=TYPE4)*(TYPE4&lt;&gt;"")+('Dvd Calendar'!$AG$2149=SPECIAL_LBL)*(INC_SPECIALS="Y"))=0,"",'Dvd Calendar'!$AG$2147)))</f>
        <v/>
      </c>
      <c r="AF213" s="161">
        <f>IF(FH213="","",IF(ISNUMBER('Dvd Calendar'!$AH$2147)=FALSE,"",IF((('Dvd Calendar'!$AH$2149=TYPE1)*(TYPE1&lt;&gt;"")+('Dvd Calendar'!$AH$2149=TYPE2)*(TYPE2&lt;&gt;"")+('Dvd Calendar'!$AH$2149=TYPE3)*(TYPE3&lt;&gt;"")+('Dvd Calendar'!$AH$2149=TYPE4)*(TYPE4&lt;&gt;"")+('Dvd Calendar'!$AH$2149=SPECIAL_LBL)*(INC_SPECIALS="Y"))=0,"",'Dvd Calendar'!$AH$2147)))</f>
        <v/>
      </c>
      <c r="AG213" s="161">
        <f>IF(FI213="","",IF(ISNUMBER('Dvd Calendar'!$AI$2147)=FALSE,"",IF((('Dvd Calendar'!$AI$2149=TYPE1)*(TYPE1&lt;&gt;"")+('Dvd Calendar'!$AI$2149=TYPE2)*(TYPE2&lt;&gt;"")+('Dvd Calendar'!$AI$2149=TYPE3)*(TYPE3&lt;&gt;"")+('Dvd Calendar'!$AI$2149=TYPE4)*(TYPE4&lt;&gt;"")+('Dvd Calendar'!$AI$2149=SPECIAL_LBL)*(INC_SPECIALS="Y"))=0,"",'Dvd Calendar'!$AI$2147)))</f>
        <v/>
      </c>
      <c r="AH213" s="161">
        <f>IF(FJ213="","",IF(ISNUMBER('Dvd Calendar'!$AJ$2147)=FALSE,"",IF((('Dvd Calendar'!$AJ$2149=TYPE1)*(TYPE1&lt;&gt;"")+('Dvd Calendar'!$AJ$2149=TYPE2)*(TYPE2&lt;&gt;"")+('Dvd Calendar'!$AJ$2149=TYPE3)*(TYPE3&lt;&gt;"")+('Dvd Calendar'!$AJ$2149=TYPE4)*(TYPE4&lt;&gt;"")+('Dvd Calendar'!$AJ$2149=SPECIAL_LBL)*(INC_SPECIALS="Y"))=0,"",'Dvd Calendar'!$AJ$2147)))</f>
        <v/>
      </c>
      <c r="AI213" s="161">
        <f>IF(FK213="","",IF(ISNUMBER('Dvd Calendar'!$AK$2147)=FALSE,"",IF((('Dvd Calendar'!$AK$2149=TYPE1)*(TYPE1&lt;&gt;"")+('Dvd Calendar'!$AK$2149=TYPE2)*(TYPE2&lt;&gt;"")+('Dvd Calendar'!$AK$2149=TYPE3)*(TYPE3&lt;&gt;"")+('Dvd Calendar'!$AK$2149=TYPE4)*(TYPE4&lt;&gt;"")+('Dvd Calendar'!$AK$2149=SPECIAL_LBL)*(INC_SPECIALS="Y"))=0,"",'Dvd Calendar'!$AK$2147)))</f>
        <v/>
      </c>
      <c r="AJ213" s="161">
        <f>IF(FL213="","",IF(ISNUMBER('Dvd Calendar'!$AL$2147)=FALSE,"",IF((('Dvd Calendar'!$AL$2149=TYPE1)*(TYPE1&lt;&gt;"")+('Dvd Calendar'!$AL$2149=TYPE2)*(TYPE2&lt;&gt;"")+('Dvd Calendar'!$AL$2149=TYPE3)*(TYPE3&lt;&gt;"")+('Dvd Calendar'!$AL$2149=TYPE4)*(TYPE4&lt;&gt;"")+('Dvd Calendar'!$AL$2149=SPECIAL_LBL)*(INC_SPECIALS="Y"))=0,"",'Dvd Calendar'!$AL$2147)))</f>
        <v/>
      </c>
      <c r="AK213" s="161">
        <f>IF(FM213="","",IF(ISNUMBER('Dvd Calendar'!$AM$2147)=FALSE,"",IF((('Dvd Calendar'!$AM$2149=TYPE1)*(TYPE1&lt;&gt;"")+('Dvd Calendar'!$AM$2149=TYPE2)*(TYPE2&lt;&gt;"")+('Dvd Calendar'!$AM$2149=TYPE3)*(TYPE3&lt;&gt;"")+('Dvd Calendar'!$AM$2149=TYPE4)*(TYPE4&lt;&gt;"")+('Dvd Calendar'!$AM$2149=SPECIAL_LBL)*(INC_SPECIALS="Y"))=0,"",'Dvd Calendar'!$AM$2147)))</f>
        <v/>
      </c>
      <c r="AL213" s="161">
        <f>IF(FN213="","",IF(ISNUMBER('Dvd Calendar'!$AN$2147)=FALSE,"",IF((('Dvd Calendar'!$AN$2149=TYPE1)*(TYPE1&lt;&gt;"")+('Dvd Calendar'!$AN$2149=TYPE2)*(TYPE2&lt;&gt;"")+('Dvd Calendar'!$AN$2149=TYPE3)*(TYPE3&lt;&gt;"")+('Dvd Calendar'!$AN$2149=TYPE4)*(TYPE4&lt;&gt;"")+('Dvd Calendar'!$AN$2149=SPECIAL_LBL)*(INC_SPECIALS="Y"))=0,"",'Dvd Calendar'!$AN$2147)))</f>
        <v/>
      </c>
      <c r="AM213" s="161">
        <f>IF(FO213="","",IF(ISNUMBER('Dvd Calendar'!$AO$2147)=FALSE,"",IF((('Dvd Calendar'!$AO$2149=TYPE1)*(TYPE1&lt;&gt;"")+('Dvd Calendar'!$AO$2149=TYPE2)*(TYPE2&lt;&gt;"")+('Dvd Calendar'!$AO$2149=TYPE3)*(TYPE3&lt;&gt;"")+('Dvd Calendar'!$AO$2149=TYPE4)*(TYPE4&lt;&gt;"")+('Dvd Calendar'!$AO$2149=SPECIAL_LBL)*(INC_SPECIALS="Y"))=0,"",'Dvd Calendar'!$AO$2147)))</f>
        <v/>
      </c>
      <c r="AN213" s="161">
        <f>IF(FP213="","",IF(ISNUMBER('Dvd Calendar'!$AP$2147)=FALSE,"",IF((('Dvd Calendar'!$AP$2149=TYPE1)*(TYPE1&lt;&gt;"")+('Dvd Calendar'!$AP$2149=TYPE2)*(TYPE2&lt;&gt;"")+('Dvd Calendar'!$AP$2149=TYPE3)*(TYPE3&lt;&gt;"")+('Dvd Calendar'!$AP$2149=TYPE4)*(TYPE4&lt;&gt;"")+('Dvd Calendar'!$AP$2149=SPECIAL_LBL)*(INC_SPECIALS="Y"))=0,"",'Dvd Calendar'!$AP$2147)))</f>
        <v/>
      </c>
      <c r="AO213" s="161">
        <f>IF(FQ213="","",IF(ISNUMBER('Dvd Calendar'!$AQ$2147)=FALSE,"",IF((('Dvd Calendar'!$AQ$2149=TYPE1)*(TYPE1&lt;&gt;"")+('Dvd Calendar'!$AQ$2149=TYPE2)*(TYPE2&lt;&gt;"")+('Dvd Calendar'!$AQ$2149=TYPE3)*(TYPE3&lt;&gt;"")+('Dvd Calendar'!$AQ$2149=TYPE4)*(TYPE4&lt;&gt;"")+('Dvd Calendar'!$AQ$2149=SPECIAL_LBL)*(INC_SPECIALS="Y"))=0,"",'Dvd Calendar'!$AQ$2147)))</f>
        <v/>
      </c>
      <c r="AP213" s="161">
        <f>IF(FR213="","",IF(ISNUMBER('Dvd Calendar'!$AR$2147)=FALSE,"",IF((('Dvd Calendar'!$AR$2149=TYPE1)*(TYPE1&lt;&gt;"")+('Dvd Calendar'!$AR$2149=TYPE2)*(TYPE2&lt;&gt;"")+('Dvd Calendar'!$AR$2149=TYPE3)*(TYPE3&lt;&gt;"")+('Dvd Calendar'!$AR$2149=TYPE4)*(TYPE4&lt;&gt;"")+('Dvd Calendar'!$AR$2149=SPECIAL_LBL)*(INC_SPECIALS="Y"))=0,"",'Dvd Calendar'!$AR$2147)))</f>
        <v/>
      </c>
      <c r="AQ213" s="161">
        <f>IF(FS213="","",IF(ISNUMBER('Dvd Calendar'!$E$2152)=FALSE,"",'Dvd Calendar'!$E$2152))</f>
        <v/>
      </c>
      <c r="AR213" s="161">
        <f>IF(FT213="","",IF(ISNUMBER('Dvd Calendar'!$F$2152)=FALSE,"",'Dvd Calendar'!$F$2152))</f>
        <v/>
      </c>
      <c r="AS213" s="161">
        <f>IF(FU213="","",IF(ISNUMBER('Dvd Calendar'!$G$2152)=FALSE,"",'Dvd Calendar'!$G$2152))</f>
        <v/>
      </c>
      <c r="AT213" s="161">
        <f>IF(FV213="","",IF(ISNUMBER('Dvd Calendar'!$H$2152)=FALSE,"",'Dvd Calendar'!$H$2152))</f>
        <v/>
      </c>
      <c r="AU213" s="161">
        <f>IF(FW213="","",IF(ISNUMBER('Dvd Calendar'!$I$2152)=FALSE,"",'Dvd Calendar'!$I$2152))</f>
        <v/>
      </c>
      <c r="AV213" s="161">
        <f>IF(FX213="","",IF(ISNUMBER('Dvd Calendar'!$J$2152)=FALSE,"",'Dvd Calendar'!$J$2152))</f>
        <v/>
      </c>
      <c r="AW213" s="161">
        <f>IF(FY213="","",IF(ISNUMBER('Dvd Calendar'!$K$2152)=FALSE,"",'Dvd Calendar'!$K$2152))</f>
        <v/>
      </c>
      <c r="AX213" s="161">
        <f>IF(FZ213="","",IF(ISNUMBER('Dvd Calendar'!$L$2152)=FALSE,"",'Dvd Calendar'!$L$2152))</f>
        <v/>
      </c>
      <c r="AY213" s="161">
        <f>IF(GA213="","",IF(ISNUMBER('Dvd Calendar'!$M$2152)=FALSE,"",'Dvd Calendar'!$M$2152))</f>
        <v/>
      </c>
      <c r="AZ213" s="161">
        <f>IF(GB213="","",IF(ISNUMBER('Dvd Calendar'!$N$2152)=FALSE,"",'Dvd Calendar'!$N$2152))</f>
        <v/>
      </c>
      <c r="BA213" s="161">
        <f>IF(GC213="","",IF(ISNUMBER('Dvd Calendar'!$O$2152)=FALSE,"",'Dvd Calendar'!$O$2152))</f>
        <v/>
      </c>
      <c r="BB213" s="161">
        <f>IF(GD213="","",IF(ISNUMBER('Dvd Calendar'!$P$2152)=FALSE,"",'Dvd Calendar'!$P$2152))</f>
        <v/>
      </c>
      <c r="BC213" s="161">
        <f>IF(GE213="","",IF(ISNUMBER('Dvd Calendar'!$Q$2152)=FALSE,"",'Dvd Calendar'!$Q$2152))</f>
        <v/>
      </c>
      <c r="BD213" s="161">
        <f>IF(GF213="","",IF(ISNUMBER('Dvd Calendar'!$R$2152)=FALSE,"",'Dvd Calendar'!$R$2152))</f>
        <v/>
      </c>
      <c r="BE213" s="161">
        <f>IF(GG213="","",IF(ISNUMBER('Dvd Calendar'!$S$2152)=FALSE,"",'Dvd Calendar'!$S$2152))</f>
        <v/>
      </c>
      <c r="BF213" s="161">
        <f>IF(GH213="","",IF(ISNUMBER('Dvd Calendar'!$T$2152)=FALSE,"",'Dvd Calendar'!$T$2152))</f>
        <v/>
      </c>
      <c r="BG213" s="161">
        <f>IF(GI213="","",IF(ISNUMBER('Dvd Calendar'!$U$2152)=FALSE,"",'Dvd Calendar'!$U$2152))</f>
        <v/>
      </c>
      <c r="BH213" s="161">
        <f>IF(GJ213="","",IF(ISNUMBER('Dvd Calendar'!$V$2152)=FALSE,"",'Dvd Calendar'!$V$2152))</f>
        <v/>
      </c>
      <c r="BI213" s="161">
        <f>IF(GK213="","",IF(ISNUMBER('Dvd Calendar'!$W$2152)=FALSE,"",'Dvd Calendar'!$W$2152))</f>
        <v/>
      </c>
      <c r="BJ213" s="161">
        <f>IF(GL213="","",IF(ISNUMBER('Dvd Calendar'!$X$2152)=FALSE,"",'Dvd Calendar'!$X$2152))</f>
        <v/>
      </c>
      <c r="BK213" s="161">
        <f>IF(GM213="","",IF(ISNUMBER('Dvd Calendar'!$Y$2152)=FALSE,"",'Dvd Calendar'!$Y$2152))</f>
        <v/>
      </c>
      <c r="BL213" s="161">
        <f>IF(GN213="","",IF(ISNUMBER('Dvd Calendar'!$Z$2152)=FALSE,"",'Dvd Calendar'!$Z$2152))</f>
        <v/>
      </c>
      <c r="BM213" s="161">
        <f>IF(GO213="","",IF(ISNUMBER('Dvd Calendar'!$AA$2152)=FALSE,"",'Dvd Calendar'!$AA$2152))</f>
        <v/>
      </c>
      <c r="BN213" s="161">
        <f>IF(GP213="","",IF(ISNUMBER('Dvd Calendar'!$AB$2152)=FALSE,"",'Dvd Calendar'!$AB$2152))</f>
        <v/>
      </c>
      <c r="BO213" s="161">
        <f>IF(GQ213="","",IF(ISNUMBER('Dvd Calendar'!$AC$2152)=FALSE,"",'Dvd Calendar'!$AC$2152))</f>
        <v/>
      </c>
      <c r="BQ213" s="161">
        <f>IF(C213="","",IFERROR(C213*HSCEI!$B$60*HSCEI!$G$60/HSCEI!$B$3,""))</f>
        <v/>
      </c>
      <c r="BR213" s="161">
        <f>IF(D213="","",IFERROR(D213*HSCEI!$B$60*HSCEI!$G$60/HSCEI!$B$3,""))</f>
        <v/>
      </c>
      <c r="BS213" s="161">
        <f>IF(E213="","",IFERROR(E213*HSCEI!$B$60*HSCEI!$G$60/HSCEI!$B$3,""))</f>
        <v/>
      </c>
      <c r="BT213" s="161">
        <f>IF(F213="","",IFERROR(F213*HSCEI!$B$60*HSCEI!$G$60/HSCEI!$B$3,""))</f>
        <v/>
      </c>
      <c r="BU213" s="161">
        <f>IF(G213="","",IFERROR(G213*HSCEI!$B$60*HSCEI!$G$60/HSCEI!$B$3,""))</f>
        <v/>
      </c>
      <c r="BV213" s="161">
        <f>IF(H213="","",IFERROR(H213*HSCEI!$B$60*HSCEI!$G$60/HSCEI!$B$3,""))</f>
        <v/>
      </c>
      <c r="BW213" s="161">
        <f>IF(I213="","",IFERROR(I213*HSCEI!$B$60*HSCEI!$G$60/HSCEI!$B$3,""))</f>
        <v/>
      </c>
      <c r="BX213" s="161">
        <f>IF(J213="","",IFERROR(J213*HSCEI!$B$60*HSCEI!$G$60/HSCEI!$B$3,""))</f>
        <v/>
      </c>
      <c r="BY213" s="161">
        <f>IF(K213="","",IFERROR(K213*HSCEI!$B$60*HSCEI!$G$60/HSCEI!$B$3,""))</f>
        <v/>
      </c>
      <c r="BZ213" s="161">
        <f>IF(L213="","",IFERROR(L213*HSCEI!$B$60*HSCEI!$G$60/HSCEI!$B$3,""))</f>
        <v/>
      </c>
      <c r="CA213" s="161">
        <f>IF(M213="","",IFERROR(M213*HSCEI!$B$60*HSCEI!$G$60/HSCEI!$B$3,""))</f>
        <v/>
      </c>
      <c r="CB213" s="161">
        <f>IF(N213="","",IFERROR(N213*HSCEI!$B$60*HSCEI!$G$60/HSCEI!$B$3,""))</f>
        <v/>
      </c>
      <c r="CC213" s="161">
        <f>IF(O213="","",IFERROR(O213*HSCEI!$B$60*HSCEI!$G$60/HSCEI!$B$3,""))</f>
        <v/>
      </c>
      <c r="CD213" s="161">
        <f>IF(P213="","",IFERROR(P213*HSCEI!$B$60*HSCEI!$G$60/HSCEI!$B$3,""))</f>
        <v/>
      </c>
      <c r="CE213" s="161">
        <f>IF(Q213="","",IFERROR(Q213*HSCEI!$B$60*HSCEI!$G$60/HSCEI!$B$3,""))</f>
        <v/>
      </c>
      <c r="CF213" s="161">
        <f>IF(R213="","",IFERROR(R213*HSCEI!$B$60*HSCEI!$G$60/HSCEI!$B$3,""))</f>
        <v/>
      </c>
      <c r="CG213" s="161">
        <f>IF(S213="","",IFERROR(S213*HSCEI!$B$60*HSCEI!$G$60/HSCEI!$B$3,""))</f>
        <v/>
      </c>
      <c r="CH213" s="161">
        <f>IF(T213="","",IFERROR(T213*HSCEI!$B$60*HSCEI!$G$60/HSCEI!$B$3,""))</f>
        <v/>
      </c>
      <c r="CI213" s="161">
        <f>IF(U213="","",IFERROR(U213*HSCEI!$B$60*HSCEI!$G$60/HSCEI!$B$3,""))</f>
        <v/>
      </c>
      <c r="CJ213" s="161">
        <f>IF(V213="","",IFERROR(V213*HSCEI!$B$60*HSCEI!$G$60/HSCEI!$B$3,""))</f>
        <v/>
      </c>
      <c r="CK213" s="161">
        <f>IF(W213="","",IFERROR(W213*HSCEI!$B$60*HSCEI!$G$60/HSCEI!$B$3,""))</f>
        <v/>
      </c>
      <c r="CL213" s="161">
        <f>IF(X213="","",IFERROR(X213*HSCEI!$B$60*HSCEI!$G$60/HSCEI!$B$3,""))</f>
        <v/>
      </c>
      <c r="CM213" s="161">
        <f>IF(Y213="","",IFERROR(Y213*HSCEI!$B$60*HSCEI!$G$60/HSCEI!$B$3,""))</f>
        <v/>
      </c>
      <c r="CN213" s="161">
        <f>IF(Z213="","",IFERROR(Z213*HSCEI!$B$60*HSCEI!$G$60/HSCEI!$B$3,""))</f>
        <v/>
      </c>
      <c r="CO213" s="161">
        <f>IF(AA213="","",IFERROR(AA213*HSCEI!$B$60*HSCEI!$G$60/HSCEI!$B$3,""))</f>
        <v/>
      </c>
      <c r="CP213" s="161">
        <f>IF(AB213="","",IFERROR(AB213*HSCEI!$B$60*HSCEI!$G$60/HSCEI!$B$3,""))</f>
        <v/>
      </c>
      <c r="CQ213" s="161">
        <f>IF(AC213="","",IFERROR(AC213*HSCEI!$B$60*HSCEI!$G$60/HSCEI!$B$3,""))</f>
        <v/>
      </c>
      <c r="CR213" s="161">
        <f>IF(AD213="","",IFERROR(AD213*HSCEI!$B$60*HSCEI!$G$60/HSCEI!$B$3,""))</f>
        <v/>
      </c>
      <c r="CS213" s="161">
        <f>IF(AE213="","",IFERROR(AE213*HSCEI!$B$60*HSCEI!$G$60/HSCEI!$B$3,""))</f>
        <v/>
      </c>
      <c r="CT213" s="161">
        <f>IF(AF213="","",IFERROR(AF213*HSCEI!$B$60*HSCEI!$G$60/HSCEI!$B$3,""))</f>
        <v/>
      </c>
      <c r="CU213" s="161">
        <f>IF(AG213="","",IFERROR(AG213*HSCEI!$B$60*HSCEI!$G$60/HSCEI!$B$3,""))</f>
        <v/>
      </c>
      <c r="CV213" s="161">
        <f>IF(AH213="","",IFERROR(AH213*HSCEI!$B$60*HSCEI!$G$60/HSCEI!$B$3,""))</f>
        <v/>
      </c>
      <c r="CW213" s="161">
        <f>IF(AI213="","",IFERROR(AI213*HSCEI!$B$60*HSCEI!$G$60/HSCEI!$B$3,""))</f>
        <v/>
      </c>
      <c r="CX213" s="161">
        <f>IF(AJ213="","",IFERROR(AJ213*HSCEI!$B$60*HSCEI!$G$60/HSCEI!$B$3,""))</f>
        <v/>
      </c>
      <c r="CY213" s="161">
        <f>IF(AK213="","",IFERROR(AK213*HSCEI!$B$60*HSCEI!$G$60/HSCEI!$B$3,""))</f>
        <v/>
      </c>
      <c r="CZ213" s="161">
        <f>IF(AL213="","",IFERROR(AL213*HSCEI!$B$60*HSCEI!$G$60/HSCEI!$B$3,""))</f>
        <v/>
      </c>
      <c r="DA213" s="161">
        <f>IF(AM213="","",IFERROR(AM213*HSCEI!$B$60*HSCEI!$G$60/HSCEI!$B$3,""))</f>
        <v/>
      </c>
      <c r="DB213" s="161">
        <f>IF(AN213="","",IFERROR(AN213*HSCEI!$B$60*HSCEI!$G$60/HSCEI!$B$3,""))</f>
        <v/>
      </c>
      <c r="DC213" s="161">
        <f>IF(AO213="","",IFERROR(AO213*HSCEI!$B$60*HSCEI!$G$60/HSCEI!$B$3,""))</f>
        <v/>
      </c>
      <c r="DD213" s="161">
        <f>IF(AP213="","",IFERROR(AP213*HSCEI!$B$60*HSCEI!$G$60/HSCEI!$B$3,""))</f>
        <v/>
      </c>
      <c r="DE213" s="161">
        <f>IF(AQ213="","",IFERROR(AQ213*HSCEI!$B$60*HSCEI!$G$60/HSCEI!$B$3,""))</f>
        <v/>
      </c>
      <c r="DF213" s="161">
        <f>IF(AR213="","",IFERROR(AR213*HSCEI!$B$60*HSCEI!$G$60/HSCEI!$B$3,""))</f>
        <v/>
      </c>
      <c r="DG213" s="161">
        <f>IF(AS213="","",IFERROR(AS213*HSCEI!$B$60*HSCEI!$G$60/HSCEI!$B$3,""))</f>
        <v/>
      </c>
      <c r="DH213" s="161">
        <f>IF(AT213="","",IFERROR(AT213*HSCEI!$B$60*HSCEI!$G$60/HSCEI!$B$3,""))</f>
        <v/>
      </c>
      <c r="DI213" s="161">
        <f>IF(AU213="","",IFERROR(AU213*HSCEI!$B$60*HSCEI!$G$60/HSCEI!$B$3,""))</f>
        <v/>
      </c>
      <c r="DJ213" s="161">
        <f>IF(AV213="","",IFERROR(AV213*HSCEI!$B$60*HSCEI!$G$60/HSCEI!$B$3,""))</f>
        <v/>
      </c>
      <c r="DK213" s="161">
        <f>IF(AW213="","",IFERROR(AW213*HSCEI!$B$60*HSCEI!$G$60/HSCEI!$B$3,""))</f>
        <v/>
      </c>
      <c r="DL213" s="161">
        <f>IF(AX213="","",IFERROR(AX213*HSCEI!$B$60*HSCEI!$G$60/HSCEI!$B$3,""))</f>
        <v/>
      </c>
      <c r="DM213" s="161">
        <f>IF(AY213="","",IFERROR(AY213*HSCEI!$B$60*HSCEI!$G$60/HSCEI!$B$3,""))</f>
        <v/>
      </c>
      <c r="DN213" s="161">
        <f>IF(AZ213="","",IFERROR(AZ213*HSCEI!$B$60*HSCEI!$G$60/HSCEI!$B$3,""))</f>
        <v/>
      </c>
      <c r="DO213" s="161">
        <f>IF(BA213="","",IFERROR(BA213*HSCEI!$B$60*HSCEI!$G$60/HSCEI!$B$3,""))</f>
        <v/>
      </c>
      <c r="DP213" s="161">
        <f>IF(BB213="","",IFERROR(BB213*HSCEI!$B$60*HSCEI!$G$60/HSCEI!$B$3,""))</f>
        <v/>
      </c>
      <c r="DQ213" s="161">
        <f>IF(BC213="","",IFERROR(BC213*HSCEI!$B$60*HSCEI!$G$60/HSCEI!$B$3,""))</f>
        <v/>
      </c>
      <c r="DR213" s="161">
        <f>IF(BD213="","",IFERROR(BD213*HSCEI!$B$60*HSCEI!$G$60/HSCEI!$B$3,""))</f>
        <v/>
      </c>
      <c r="DS213" s="161">
        <f>IF(BE213="","",IFERROR(BE213*HSCEI!$B$60*HSCEI!$G$60/HSCEI!$B$3,""))</f>
        <v/>
      </c>
      <c r="DT213" s="161">
        <f>IF(BF213="","",IFERROR(BF213*HSCEI!$B$60*HSCEI!$G$60/HSCEI!$B$3,""))</f>
        <v/>
      </c>
      <c r="DU213" s="161">
        <f>IF(BG213="","",IFERROR(BG213*HSCEI!$B$60*HSCEI!$G$60/HSCEI!$B$3,""))</f>
        <v/>
      </c>
      <c r="DV213" s="161">
        <f>IF(BH213="","",IFERROR(BH213*HSCEI!$B$60*HSCEI!$G$60/HSCEI!$B$3,""))</f>
        <v/>
      </c>
      <c r="DW213" s="161">
        <f>IF(BI213="","",IFERROR(BI213*HSCEI!$B$60*HSCEI!$G$60/HSCEI!$B$3,""))</f>
        <v/>
      </c>
      <c r="DX213" s="161">
        <f>IF(BJ213="","",IFERROR(BJ213*HSCEI!$B$60*HSCEI!$G$60/HSCEI!$B$3,""))</f>
        <v/>
      </c>
      <c r="DY213" s="161">
        <f>IF(BK213="","",IFERROR(BK213*HSCEI!$B$60*HSCEI!$G$60/HSCEI!$B$3,""))</f>
        <v/>
      </c>
      <c r="DZ213" s="161">
        <f>IF(BL213="","",IFERROR(BL213*HSCEI!$B$60*HSCEI!$G$60/HSCEI!$B$3,""))</f>
        <v/>
      </c>
      <c r="EA213" s="161">
        <f>IF(BM213="","",IFERROR(BM213*HSCEI!$B$60*HSCEI!$G$60/HSCEI!$B$3,""))</f>
        <v/>
      </c>
      <c r="EB213" s="161">
        <f>IF(BN213="","",IFERROR(BN213*HSCEI!$B$60*HSCEI!$G$60/HSCEI!$B$3,""))</f>
        <v/>
      </c>
      <c r="EC213" s="161">
        <f>IF(BO213="","",IFERROR(BO213*HSCEI!$B$60*HSCEI!$G$60/HSCEI!$B$3,""))</f>
        <v/>
      </c>
      <c r="EE213" s="121">
        <f>IF(N('Dvd Calendar'!$E$2144)=0,"",IF(('Dvd Calendar'!$E$2144&gt;=GRID_FROM)*('Dvd Calendar'!$E$2144&lt;=GRID_TO)*((('Dvd Calendar'!$E$2144&lt;=VAL_DATE)+(COUNTIF('Dvd Calendar'!$E$2151:$AR$2151,'Dvd Calendar'!$E$2144)=0))&gt;0)=0,"",'Dvd Calendar'!$E$2144*1000000000+ISNUMBER('Dvd Calendar'!$E$2147)*100000000+('Dvd Calendar'!$E$2149=SPECIAL_LBL)*10000000+(N('Dvd Calendar'!$E$2143)&gt;0)*(N('Dvd Calendar'!$E$2143)&lt;=VAL_SERIAL)*1000000+54*1000+1))</f>
        <v/>
      </c>
      <c r="EF213" s="121">
        <f>IF(N('Dvd Calendar'!$F$2144)=0,"",IF(('Dvd Calendar'!$F$2144&gt;=GRID_FROM)*('Dvd Calendar'!$F$2144&lt;=GRID_TO)*((('Dvd Calendar'!$F$2144&lt;=VAL_DATE)+(COUNTIF('Dvd Calendar'!$E$2151:$AR$2151,'Dvd Calendar'!$F$2144)=0))&gt;0)=0,"",'Dvd Calendar'!$F$2144*1000000000+ISNUMBER('Dvd Calendar'!$F$2147)*100000000+('Dvd Calendar'!$F$2149=SPECIAL_LBL)*10000000+(N('Dvd Calendar'!$F$2143)&gt;0)*(N('Dvd Calendar'!$F$2143)&lt;=VAL_SERIAL)*1000000+54*1000+2))</f>
        <v/>
      </c>
      <c r="EG213" s="121">
        <f>IF(N('Dvd Calendar'!$G$2144)=0,"",IF(('Dvd Calendar'!$G$2144&gt;=GRID_FROM)*('Dvd Calendar'!$G$2144&lt;=GRID_TO)*((('Dvd Calendar'!$G$2144&lt;=VAL_DATE)+(COUNTIF('Dvd Calendar'!$E$2151:$AR$2151,'Dvd Calendar'!$G$2144)=0))&gt;0)=0,"",'Dvd Calendar'!$G$2144*1000000000+ISNUMBER('Dvd Calendar'!$G$2147)*100000000+('Dvd Calendar'!$G$2149=SPECIAL_LBL)*10000000+(N('Dvd Calendar'!$G$2143)&gt;0)*(N('Dvd Calendar'!$G$2143)&lt;=VAL_SERIAL)*1000000+54*1000+3))</f>
        <v/>
      </c>
      <c r="EH213" s="121">
        <f>IF(N('Dvd Calendar'!$H$2144)=0,"",IF(('Dvd Calendar'!$H$2144&gt;=GRID_FROM)*('Dvd Calendar'!$H$2144&lt;=GRID_TO)*((('Dvd Calendar'!$H$2144&lt;=VAL_DATE)+(COUNTIF('Dvd Calendar'!$E$2151:$AR$2151,'Dvd Calendar'!$H$2144)=0))&gt;0)=0,"",'Dvd Calendar'!$H$2144*1000000000+ISNUMBER('Dvd Calendar'!$H$2147)*100000000+('Dvd Calendar'!$H$2149=SPECIAL_LBL)*10000000+(N('Dvd Calendar'!$H$2143)&gt;0)*(N('Dvd Calendar'!$H$2143)&lt;=VAL_SERIAL)*1000000+54*1000+4))</f>
        <v/>
      </c>
      <c r="EI213" s="121">
        <f>IF(N('Dvd Calendar'!$I$2144)=0,"",IF(('Dvd Calendar'!$I$2144&gt;=GRID_FROM)*('Dvd Calendar'!$I$2144&lt;=GRID_TO)*((('Dvd Calendar'!$I$2144&lt;=VAL_DATE)+(COUNTIF('Dvd Calendar'!$E$2151:$AR$2151,'Dvd Calendar'!$I$2144)=0))&gt;0)=0,"",'Dvd Calendar'!$I$2144*1000000000+ISNUMBER('Dvd Calendar'!$I$2147)*100000000+('Dvd Calendar'!$I$2149=SPECIAL_LBL)*10000000+(N('Dvd Calendar'!$I$2143)&gt;0)*(N('Dvd Calendar'!$I$2143)&lt;=VAL_SERIAL)*1000000+54*1000+5))</f>
        <v/>
      </c>
      <c r="EJ213" s="121">
        <f>IF(N('Dvd Calendar'!$J$2144)=0,"",IF(('Dvd Calendar'!$J$2144&gt;=GRID_FROM)*('Dvd Calendar'!$J$2144&lt;=GRID_TO)*((('Dvd Calendar'!$J$2144&lt;=VAL_DATE)+(COUNTIF('Dvd Calendar'!$E$2151:$AR$2151,'Dvd Calendar'!$J$2144)=0))&gt;0)=0,"",'Dvd Calendar'!$J$2144*1000000000+ISNUMBER('Dvd Calendar'!$J$2147)*100000000+('Dvd Calendar'!$J$2149=SPECIAL_LBL)*10000000+(N('Dvd Calendar'!$J$2143)&gt;0)*(N('Dvd Calendar'!$J$2143)&lt;=VAL_SERIAL)*1000000+54*1000+6))</f>
        <v/>
      </c>
      <c r="EK213" s="121">
        <f>IF(N('Dvd Calendar'!$K$2144)=0,"",IF(('Dvd Calendar'!$K$2144&gt;=GRID_FROM)*('Dvd Calendar'!$K$2144&lt;=GRID_TO)*((('Dvd Calendar'!$K$2144&lt;=VAL_DATE)+(COUNTIF('Dvd Calendar'!$E$2151:$AR$2151,'Dvd Calendar'!$K$2144)=0))&gt;0)=0,"",'Dvd Calendar'!$K$2144*1000000000+ISNUMBER('Dvd Calendar'!$K$2147)*100000000+('Dvd Calendar'!$K$2149=SPECIAL_LBL)*10000000+(N('Dvd Calendar'!$K$2143)&gt;0)*(N('Dvd Calendar'!$K$2143)&lt;=VAL_SERIAL)*1000000+54*1000+7))</f>
        <v/>
      </c>
      <c r="EL213" s="121">
        <f>IF(N('Dvd Calendar'!$L$2144)=0,"",IF(('Dvd Calendar'!$L$2144&gt;=GRID_FROM)*('Dvd Calendar'!$L$2144&lt;=GRID_TO)*((('Dvd Calendar'!$L$2144&lt;=VAL_DATE)+(COUNTIF('Dvd Calendar'!$E$2151:$AR$2151,'Dvd Calendar'!$L$2144)=0))&gt;0)=0,"",'Dvd Calendar'!$L$2144*1000000000+ISNUMBER('Dvd Calendar'!$L$2147)*100000000+('Dvd Calendar'!$L$2149=SPECIAL_LBL)*10000000+(N('Dvd Calendar'!$L$2143)&gt;0)*(N('Dvd Calendar'!$L$2143)&lt;=VAL_SERIAL)*1000000+54*1000+8))</f>
        <v/>
      </c>
      <c r="EM213" s="121">
        <f>IF(N('Dvd Calendar'!$M$2144)=0,"",IF(('Dvd Calendar'!$M$2144&gt;=GRID_FROM)*('Dvd Calendar'!$M$2144&lt;=GRID_TO)*((('Dvd Calendar'!$M$2144&lt;=VAL_DATE)+(COUNTIF('Dvd Calendar'!$E$2151:$AR$2151,'Dvd Calendar'!$M$2144)=0))&gt;0)=0,"",'Dvd Calendar'!$M$2144*1000000000+ISNUMBER('Dvd Calendar'!$M$2147)*100000000+('Dvd Calendar'!$M$2149=SPECIAL_LBL)*10000000+(N('Dvd Calendar'!$M$2143)&gt;0)*(N('Dvd Calendar'!$M$2143)&lt;=VAL_SERIAL)*1000000+54*1000+9))</f>
        <v/>
      </c>
      <c r="EN213" s="121">
        <f>IF(N('Dvd Calendar'!$N$2144)=0,"",IF(('Dvd Calendar'!$N$2144&gt;=GRID_FROM)*('Dvd Calendar'!$N$2144&lt;=GRID_TO)*((('Dvd Calendar'!$N$2144&lt;=VAL_DATE)+(COUNTIF('Dvd Calendar'!$E$2151:$AR$2151,'Dvd Calendar'!$N$2144)=0))&gt;0)=0,"",'Dvd Calendar'!$N$2144*1000000000+ISNUMBER('Dvd Calendar'!$N$2147)*100000000+('Dvd Calendar'!$N$2149=SPECIAL_LBL)*10000000+(N('Dvd Calendar'!$N$2143)&gt;0)*(N('Dvd Calendar'!$N$2143)&lt;=VAL_SERIAL)*1000000+54*1000+10))</f>
        <v/>
      </c>
      <c r="EO213" s="121">
        <f>IF(N('Dvd Calendar'!$O$2144)=0,"",IF(('Dvd Calendar'!$O$2144&gt;=GRID_FROM)*('Dvd Calendar'!$O$2144&lt;=GRID_TO)*((('Dvd Calendar'!$O$2144&lt;=VAL_DATE)+(COUNTIF('Dvd Calendar'!$E$2151:$AR$2151,'Dvd Calendar'!$O$2144)=0))&gt;0)=0,"",'Dvd Calendar'!$O$2144*1000000000+ISNUMBER('Dvd Calendar'!$O$2147)*100000000+('Dvd Calendar'!$O$2149=SPECIAL_LBL)*10000000+(N('Dvd Calendar'!$O$2143)&gt;0)*(N('Dvd Calendar'!$O$2143)&lt;=VAL_SERIAL)*1000000+54*1000+11))</f>
        <v/>
      </c>
      <c r="EP213" s="121">
        <f>IF(N('Dvd Calendar'!$P$2144)=0,"",IF(('Dvd Calendar'!$P$2144&gt;=GRID_FROM)*('Dvd Calendar'!$P$2144&lt;=GRID_TO)*((('Dvd Calendar'!$P$2144&lt;=VAL_DATE)+(COUNTIF('Dvd Calendar'!$E$2151:$AR$2151,'Dvd Calendar'!$P$2144)=0))&gt;0)=0,"",'Dvd Calendar'!$P$2144*1000000000+ISNUMBER('Dvd Calendar'!$P$2147)*100000000+('Dvd Calendar'!$P$2149=SPECIAL_LBL)*10000000+(N('Dvd Calendar'!$P$2143)&gt;0)*(N('Dvd Calendar'!$P$2143)&lt;=VAL_SERIAL)*1000000+54*1000+12))</f>
        <v/>
      </c>
      <c r="EQ213" s="121">
        <f>IF(N('Dvd Calendar'!$Q$2144)=0,"",IF(('Dvd Calendar'!$Q$2144&gt;=GRID_FROM)*('Dvd Calendar'!$Q$2144&lt;=GRID_TO)*((('Dvd Calendar'!$Q$2144&lt;=VAL_DATE)+(COUNTIF('Dvd Calendar'!$E$2151:$AR$2151,'Dvd Calendar'!$Q$2144)=0))&gt;0)=0,"",'Dvd Calendar'!$Q$2144*1000000000+ISNUMBER('Dvd Calendar'!$Q$2147)*100000000+('Dvd Calendar'!$Q$2149=SPECIAL_LBL)*10000000+(N('Dvd Calendar'!$Q$2143)&gt;0)*(N('Dvd Calendar'!$Q$2143)&lt;=VAL_SERIAL)*1000000+54*1000+13))</f>
        <v/>
      </c>
      <c r="ER213" s="121">
        <f>IF(N('Dvd Calendar'!$R$2144)=0,"",IF(('Dvd Calendar'!$R$2144&gt;=GRID_FROM)*('Dvd Calendar'!$R$2144&lt;=GRID_TO)*((('Dvd Calendar'!$R$2144&lt;=VAL_DATE)+(COUNTIF('Dvd Calendar'!$E$2151:$AR$2151,'Dvd Calendar'!$R$2144)=0))&gt;0)=0,"",'Dvd Calendar'!$R$2144*1000000000+ISNUMBER('Dvd Calendar'!$R$2147)*100000000+('Dvd Calendar'!$R$2149=SPECIAL_LBL)*10000000+(N('Dvd Calendar'!$R$2143)&gt;0)*(N('Dvd Calendar'!$R$2143)&lt;=VAL_SERIAL)*1000000+54*1000+14))</f>
        <v/>
      </c>
      <c r="ES213" s="121">
        <f>IF(N('Dvd Calendar'!$S$2144)=0,"",IF(('Dvd Calendar'!$S$2144&gt;=GRID_FROM)*('Dvd Calendar'!$S$2144&lt;=GRID_TO)*((('Dvd Calendar'!$S$2144&lt;=VAL_DATE)+(COUNTIF('Dvd Calendar'!$E$2151:$AR$2151,'Dvd Calendar'!$S$2144)=0))&gt;0)=0,"",'Dvd Calendar'!$S$2144*1000000000+ISNUMBER('Dvd Calendar'!$S$2147)*100000000+('Dvd Calendar'!$S$2149=SPECIAL_LBL)*10000000+(N('Dvd Calendar'!$S$2143)&gt;0)*(N('Dvd Calendar'!$S$2143)&lt;=VAL_SERIAL)*1000000+54*1000+15))</f>
        <v/>
      </c>
      <c r="ET213" s="121">
        <f>IF(N('Dvd Calendar'!$T$2144)=0,"",IF(('Dvd Calendar'!$T$2144&gt;=GRID_FROM)*('Dvd Calendar'!$T$2144&lt;=GRID_TO)*((('Dvd Calendar'!$T$2144&lt;=VAL_DATE)+(COUNTIF('Dvd Calendar'!$E$2151:$AR$2151,'Dvd Calendar'!$T$2144)=0))&gt;0)=0,"",'Dvd Calendar'!$T$2144*1000000000+ISNUMBER('Dvd Calendar'!$T$2147)*100000000+('Dvd Calendar'!$T$2149=SPECIAL_LBL)*10000000+(N('Dvd Calendar'!$T$2143)&gt;0)*(N('Dvd Calendar'!$T$2143)&lt;=VAL_SERIAL)*1000000+54*1000+16))</f>
        <v/>
      </c>
      <c r="EU213" s="121">
        <f>IF(N('Dvd Calendar'!$U$2144)=0,"",IF(('Dvd Calendar'!$U$2144&gt;=GRID_FROM)*('Dvd Calendar'!$U$2144&lt;=GRID_TO)*((('Dvd Calendar'!$U$2144&lt;=VAL_DATE)+(COUNTIF('Dvd Calendar'!$E$2151:$AR$2151,'Dvd Calendar'!$U$2144)=0))&gt;0)=0,"",'Dvd Calendar'!$U$2144*1000000000+ISNUMBER('Dvd Calendar'!$U$2147)*100000000+('Dvd Calendar'!$U$2149=SPECIAL_LBL)*10000000+(N('Dvd Calendar'!$U$2143)&gt;0)*(N('Dvd Calendar'!$U$2143)&lt;=VAL_SERIAL)*1000000+54*1000+17))</f>
        <v/>
      </c>
      <c r="EV213" s="121">
        <f>IF(N('Dvd Calendar'!$V$2144)=0,"",IF(('Dvd Calendar'!$V$2144&gt;=GRID_FROM)*('Dvd Calendar'!$V$2144&lt;=GRID_TO)*((('Dvd Calendar'!$V$2144&lt;=VAL_DATE)+(COUNTIF('Dvd Calendar'!$E$2151:$AR$2151,'Dvd Calendar'!$V$2144)=0))&gt;0)=0,"",'Dvd Calendar'!$V$2144*1000000000+ISNUMBER('Dvd Calendar'!$V$2147)*100000000+('Dvd Calendar'!$V$2149=SPECIAL_LBL)*10000000+(N('Dvd Calendar'!$V$2143)&gt;0)*(N('Dvd Calendar'!$V$2143)&lt;=VAL_SERIAL)*1000000+54*1000+18))</f>
        <v/>
      </c>
      <c r="EW213" s="121">
        <f>IF(N('Dvd Calendar'!$W$2144)=0,"",IF(('Dvd Calendar'!$W$2144&gt;=GRID_FROM)*('Dvd Calendar'!$W$2144&lt;=GRID_TO)*((('Dvd Calendar'!$W$2144&lt;=VAL_DATE)+(COUNTIF('Dvd Calendar'!$E$2151:$AR$2151,'Dvd Calendar'!$W$2144)=0))&gt;0)=0,"",'Dvd Calendar'!$W$2144*1000000000+ISNUMBER('Dvd Calendar'!$W$2147)*100000000+('Dvd Calendar'!$W$2149=SPECIAL_LBL)*10000000+(N('Dvd Calendar'!$W$2143)&gt;0)*(N('Dvd Calendar'!$W$2143)&lt;=VAL_SERIAL)*1000000+54*1000+19))</f>
        <v/>
      </c>
      <c r="EX213" s="121">
        <f>IF(N('Dvd Calendar'!$X$2144)=0,"",IF(('Dvd Calendar'!$X$2144&gt;=GRID_FROM)*('Dvd Calendar'!$X$2144&lt;=GRID_TO)*((('Dvd Calendar'!$X$2144&lt;=VAL_DATE)+(COUNTIF('Dvd Calendar'!$E$2151:$AR$2151,'Dvd Calendar'!$X$2144)=0))&gt;0)=0,"",'Dvd Calendar'!$X$2144*1000000000+ISNUMBER('Dvd Calendar'!$X$2147)*100000000+('Dvd Calendar'!$X$2149=SPECIAL_LBL)*10000000+(N('Dvd Calendar'!$X$2143)&gt;0)*(N('Dvd Calendar'!$X$2143)&lt;=VAL_SERIAL)*1000000+54*1000+20))</f>
        <v/>
      </c>
      <c r="EY213" s="121">
        <f>IF(N('Dvd Calendar'!$Y$2144)=0,"",IF(('Dvd Calendar'!$Y$2144&gt;=GRID_FROM)*('Dvd Calendar'!$Y$2144&lt;=GRID_TO)*((('Dvd Calendar'!$Y$2144&lt;=VAL_DATE)+(COUNTIF('Dvd Calendar'!$E$2151:$AR$2151,'Dvd Calendar'!$Y$2144)=0))&gt;0)=0,"",'Dvd Calendar'!$Y$2144*1000000000+ISNUMBER('Dvd Calendar'!$Y$2147)*100000000+('Dvd Calendar'!$Y$2149=SPECIAL_LBL)*10000000+(N('Dvd Calendar'!$Y$2143)&gt;0)*(N('Dvd Calendar'!$Y$2143)&lt;=VAL_SERIAL)*1000000+54*1000+21))</f>
        <v/>
      </c>
      <c r="EZ213" s="121">
        <f>IF(N('Dvd Calendar'!$Z$2144)=0,"",IF(('Dvd Calendar'!$Z$2144&gt;=GRID_FROM)*('Dvd Calendar'!$Z$2144&lt;=GRID_TO)*((('Dvd Calendar'!$Z$2144&lt;=VAL_DATE)+(COUNTIF('Dvd Calendar'!$E$2151:$AR$2151,'Dvd Calendar'!$Z$2144)=0))&gt;0)=0,"",'Dvd Calendar'!$Z$2144*1000000000+ISNUMBER('Dvd Calendar'!$Z$2147)*100000000+('Dvd Calendar'!$Z$2149=SPECIAL_LBL)*10000000+(N('Dvd Calendar'!$Z$2143)&gt;0)*(N('Dvd Calendar'!$Z$2143)&lt;=VAL_SERIAL)*1000000+54*1000+22))</f>
        <v/>
      </c>
      <c r="FA213" s="121">
        <f>IF(N('Dvd Calendar'!$AA$2144)=0,"",IF(('Dvd Calendar'!$AA$2144&gt;=GRID_FROM)*('Dvd Calendar'!$AA$2144&lt;=GRID_TO)*((('Dvd Calendar'!$AA$2144&lt;=VAL_DATE)+(COUNTIF('Dvd Calendar'!$E$2151:$AR$2151,'Dvd Calendar'!$AA$2144)=0))&gt;0)=0,"",'Dvd Calendar'!$AA$2144*1000000000+ISNUMBER('Dvd Calendar'!$AA$2147)*100000000+('Dvd Calendar'!$AA$2149=SPECIAL_LBL)*10000000+(N('Dvd Calendar'!$AA$2143)&gt;0)*(N('Dvd Calendar'!$AA$2143)&lt;=VAL_SERIAL)*1000000+54*1000+23))</f>
        <v/>
      </c>
      <c r="FB213" s="121">
        <f>IF(N('Dvd Calendar'!$AB$2144)=0,"",IF(('Dvd Calendar'!$AB$2144&gt;=GRID_FROM)*('Dvd Calendar'!$AB$2144&lt;=GRID_TO)*((('Dvd Calendar'!$AB$2144&lt;=VAL_DATE)+(COUNTIF('Dvd Calendar'!$E$2151:$AR$2151,'Dvd Calendar'!$AB$2144)=0))&gt;0)=0,"",'Dvd Calendar'!$AB$2144*1000000000+ISNUMBER('Dvd Calendar'!$AB$2147)*100000000+('Dvd Calendar'!$AB$2149=SPECIAL_LBL)*10000000+(N('Dvd Calendar'!$AB$2143)&gt;0)*(N('Dvd Calendar'!$AB$2143)&lt;=VAL_SERIAL)*1000000+54*1000+24))</f>
        <v/>
      </c>
      <c r="FC213" s="121">
        <f>IF(N('Dvd Calendar'!$AC$2144)=0,"",IF(('Dvd Calendar'!$AC$2144&gt;=GRID_FROM)*('Dvd Calendar'!$AC$2144&lt;=GRID_TO)*((('Dvd Calendar'!$AC$2144&lt;=VAL_DATE)+(COUNTIF('Dvd Calendar'!$E$2151:$AR$2151,'Dvd Calendar'!$AC$2144)=0))&gt;0)=0,"",'Dvd Calendar'!$AC$2144*1000000000+ISNUMBER('Dvd Calendar'!$AC$2147)*100000000+('Dvd Calendar'!$AC$2149=SPECIAL_LBL)*10000000+(N('Dvd Calendar'!$AC$2143)&gt;0)*(N('Dvd Calendar'!$AC$2143)&lt;=VAL_SERIAL)*1000000+54*1000+25))</f>
        <v/>
      </c>
      <c r="FD213" s="121">
        <f>IF(N('Dvd Calendar'!$AD$2144)=0,"",IF(('Dvd Calendar'!$AD$2144&gt;=GRID_FROM)*('Dvd Calendar'!$AD$2144&lt;=GRID_TO)*((('Dvd Calendar'!$AD$2144&lt;=VAL_DATE)+(COUNTIF('Dvd Calendar'!$E$2151:$AR$2151,'Dvd Calendar'!$AD$2144)=0))&gt;0)=0,"",'Dvd Calendar'!$AD$2144*1000000000+ISNUMBER('Dvd Calendar'!$AD$2147)*100000000+('Dvd Calendar'!$AD$2149=SPECIAL_LBL)*10000000+(N('Dvd Calendar'!$AD$2143)&gt;0)*(N('Dvd Calendar'!$AD$2143)&lt;=VAL_SERIAL)*1000000+54*1000+26))</f>
        <v/>
      </c>
      <c r="FE213" s="121">
        <f>IF(N('Dvd Calendar'!$AE$2144)=0,"",IF(('Dvd Calendar'!$AE$2144&gt;=GRID_FROM)*('Dvd Calendar'!$AE$2144&lt;=GRID_TO)*((('Dvd Calendar'!$AE$2144&lt;=VAL_DATE)+(COUNTIF('Dvd Calendar'!$E$2151:$AR$2151,'Dvd Calendar'!$AE$2144)=0))&gt;0)=0,"",'Dvd Calendar'!$AE$2144*1000000000+ISNUMBER('Dvd Calendar'!$AE$2147)*100000000+('Dvd Calendar'!$AE$2149=SPECIAL_LBL)*10000000+(N('Dvd Calendar'!$AE$2143)&gt;0)*(N('Dvd Calendar'!$AE$2143)&lt;=VAL_SERIAL)*1000000+54*1000+27))</f>
        <v/>
      </c>
      <c r="FF213" s="121">
        <f>IF(N('Dvd Calendar'!$AF$2144)=0,"",IF(('Dvd Calendar'!$AF$2144&gt;=GRID_FROM)*('Dvd Calendar'!$AF$2144&lt;=GRID_TO)*((('Dvd Calendar'!$AF$2144&lt;=VAL_DATE)+(COUNTIF('Dvd Calendar'!$E$2151:$AR$2151,'Dvd Calendar'!$AF$2144)=0))&gt;0)=0,"",'Dvd Calendar'!$AF$2144*1000000000+ISNUMBER('Dvd Calendar'!$AF$2147)*100000000+('Dvd Calendar'!$AF$2149=SPECIAL_LBL)*10000000+(N('Dvd Calendar'!$AF$2143)&gt;0)*(N('Dvd Calendar'!$AF$2143)&lt;=VAL_SERIAL)*1000000+54*1000+28))</f>
        <v/>
      </c>
      <c r="FG213" s="121">
        <f>IF(N('Dvd Calendar'!$AG$2144)=0,"",IF(('Dvd Calendar'!$AG$2144&gt;=GRID_FROM)*('Dvd Calendar'!$AG$2144&lt;=GRID_TO)*((('Dvd Calendar'!$AG$2144&lt;=VAL_DATE)+(COUNTIF('Dvd Calendar'!$E$2151:$AR$2151,'Dvd Calendar'!$AG$2144)=0))&gt;0)=0,"",'Dvd Calendar'!$AG$2144*1000000000+ISNUMBER('Dvd Calendar'!$AG$2147)*100000000+('Dvd Calendar'!$AG$2149=SPECIAL_LBL)*10000000+(N('Dvd Calendar'!$AG$2143)&gt;0)*(N('Dvd Calendar'!$AG$2143)&lt;=VAL_SERIAL)*1000000+54*1000+29))</f>
        <v/>
      </c>
      <c r="FH213" s="121">
        <f>IF(N('Dvd Calendar'!$AH$2144)=0,"",IF(('Dvd Calendar'!$AH$2144&gt;=GRID_FROM)*('Dvd Calendar'!$AH$2144&lt;=GRID_TO)*((('Dvd Calendar'!$AH$2144&lt;=VAL_DATE)+(COUNTIF('Dvd Calendar'!$E$2151:$AR$2151,'Dvd Calendar'!$AH$2144)=0))&gt;0)=0,"",'Dvd Calendar'!$AH$2144*1000000000+ISNUMBER('Dvd Calendar'!$AH$2147)*100000000+('Dvd Calendar'!$AH$2149=SPECIAL_LBL)*10000000+(N('Dvd Calendar'!$AH$2143)&gt;0)*(N('Dvd Calendar'!$AH$2143)&lt;=VAL_SERIAL)*1000000+54*1000+30))</f>
        <v/>
      </c>
      <c r="FI213" s="121">
        <f>IF(N('Dvd Calendar'!$AI$2144)=0,"",IF(('Dvd Calendar'!$AI$2144&gt;=GRID_FROM)*('Dvd Calendar'!$AI$2144&lt;=GRID_TO)*((('Dvd Calendar'!$AI$2144&lt;=VAL_DATE)+(COUNTIF('Dvd Calendar'!$E$2151:$AR$2151,'Dvd Calendar'!$AI$2144)=0))&gt;0)=0,"",'Dvd Calendar'!$AI$2144*1000000000+ISNUMBER('Dvd Calendar'!$AI$2147)*100000000+('Dvd Calendar'!$AI$2149=SPECIAL_LBL)*10000000+(N('Dvd Calendar'!$AI$2143)&gt;0)*(N('Dvd Calendar'!$AI$2143)&lt;=VAL_SERIAL)*1000000+54*1000+31))</f>
        <v/>
      </c>
      <c r="FJ213" s="121">
        <f>IF(N('Dvd Calendar'!$AJ$2144)=0,"",IF(('Dvd Calendar'!$AJ$2144&gt;=GRID_FROM)*('Dvd Calendar'!$AJ$2144&lt;=GRID_TO)*((('Dvd Calendar'!$AJ$2144&lt;=VAL_DATE)+(COUNTIF('Dvd Calendar'!$E$2151:$AR$2151,'Dvd Calendar'!$AJ$2144)=0))&gt;0)=0,"",'Dvd Calendar'!$AJ$2144*1000000000+ISNUMBER('Dvd Calendar'!$AJ$2147)*100000000+('Dvd Calendar'!$AJ$2149=SPECIAL_LBL)*10000000+(N('Dvd Calendar'!$AJ$2143)&gt;0)*(N('Dvd Calendar'!$AJ$2143)&lt;=VAL_SERIAL)*1000000+54*1000+32))</f>
        <v/>
      </c>
      <c r="FK213" s="121">
        <f>IF(N('Dvd Calendar'!$AK$2144)=0,"",IF(('Dvd Calendar'!$AK$2144&gt;=GRID_FROM)*('Dvd Calendar'!$AK$2144&lt;=GRID_TO)*((('Dvd Calendar'!$AK$2144&lt;=VAL_DATE)+(COUNTIF('Dvd Calendar'!$E$2151:$AR$2151,'Dvd Calendar'!$AK$2144)=0))&gt;0)=0,"",'Dvd Calendar'!$AK$2144*1000000000+ISNUMBER('Dvd Calendar'!$AK$2147)*100000000+('Dvd Calendar'!$AK$2149=SPECIAL_LBL)*10000000+(N('Dvd Calendar'!$AK$2143)&gt;0)*(N('Dvd Calendar'!$AK$2143)&lt;=VAL_SERIAL)*1000000+54*1000+33))</f>
        <v/>
      </c>
      <c r="FL213" s="121">
        <f>IF(N('Dvd Calendar'!$AL$2144)=0,"",IF(('Dvd Calendar'!$AL$2144&gt;=GRID_FROM)*('Dvd Calendar'!$AL$2144&lt;=GRID_TO)*((('Dvd Calendar'!$AL$2144&lt;=VAL_DATE)+(COUNTIF('Dvd Calendar'!$E$2151:$AR$2151,'Dvd Calendar'!$AL$2144)=0))&gt;0)=0,"",'Dvd Calendar'!$AL$2144*1000000000+ISNUMBER('Dvd Calendar'!$AL$2147)*100000000+('Dvd Calendar'!$AL$2149=SPECIAL_LBL)*10000000+(N('Dvd Calendar'!$AL$2143)&gt;0)*(N('Dvd Calendar'!$AL$2143)&lt;=VAL_SERIAL)*1000000+54*1000+34))</f>
        <v/>
      </c>
      <c r="FM213" s="121">
        <f>IF(N('Dvd Calendar'!$AM$2144)=0,"",IF(('Dvd Calendar'!$AM$2144&gt;=GRID_FROM)*('Dvd Calendar'!$AM$2144&lt;=GRID_TO)*((('Dvd Calendar'!$AM$2144&lt;=VAL_DATE)+(COUNTIF('Dvd Calendar'!$E$2151:$AR$2151,'Dvd Calendar'!$AM$2144)=0))&gt;0)=0,"",'Dvd Calendar'!$AM$2144*1000000000+ISNUMBER('Dvd Calendar'!$AM$2147)*100000000+('Dvd Calendar'!$AM$2149=SPECIAL_LBL)*10000000+(N('Dvd Calendar'!$AM$2143)&gt;0)*(N('Dvd Calendar'!$AM$2143)&lt;=VAL_SERIAL)*1000000+54*1000+35))</f>
        <v/>
      </c>
      <c r="FN213" s="121">
        <f>IF(N('Dvd Calendar'!$AN$2144)=0,"",IF(('Dvd Calendar'!$AN$2144&gt;=GRID_FROM)*('Dvd Calendar'!$AN$2144&lt;=GRID_TO)*((('Dvd Calendar'!$AN$2144&lt;=VAL_DATE)+(COUNTIF('Dvd Calendar'!$E$2151:$AR$2151,'Dvd Calendar'!$AN$2144)=0))&gt;0)=0,"",'Dvd Calendar'!$AN$2144*1000000000+ISNUMBER('Dvd Calendar'!$AN$2147)*100000000+('Dvd Calendar'!$AN$2149=SPECIAL_LBL)*10000000+(N('Dvd Calendar'!$AN$2143)&gt;0)*(N('Dvd Calendar'!$AN$2143)&lt;=VAL_SERIAL)*1000000+54*1000+36))</f>
        <v/>
      </c>
      <c r="FO213" s="121">
        <f>IF(N('Dvd Calendar'!$AO$2144)=0,"",IF(('Dvd Calendar'!$AO$2144&gt;=GRID_FROM)*('Dvd Calendar'!$AO$2144&lt;=GRID_TO)*((('Dvd Calendar'!$AO$2144&lt;=VAL_DATE)+(COUNTIF('Dvd Calendar'!$E$2151:$AR$2151,'Dvd Calendar'!$AO$2144)=0))&gt;0)=0,"",'Dvd Calendar'!$AO$2144*1000000000+ISNUMBER('Dvd Calendar'!$AO$2147)*100000000+('Dvd Calendar'!$AO$2149=SPECIAL_LBL)*10000000+(N('Dvd Calendar'!$AO$2143)&gt;0)*(N('Dvd Calendar'!$AO$2143)&lt;=VAL_SERIAL)*1000000+54*1000+37))</f>
        <v/>
      </c>
      <c r="FP213" s="121">
        <f>IF(N('Dvd Calendar'!$AP$2144)=0,"",IF(('Dvd Calendar'!$AP$2144&gt;=GRID_FROM)*('Dvd Calendar'!$AP$2144&lt;=GRID_TO)*((('Dvd Calendar'!$AP$2144&lt;=VAL_DATE)+(COUNTIF('Dvd Calendar'!$E$2151:$AR$2151,'Dvd Calendar'!$AP$2144)=0))&gt;0)=0,"",'Dvd Calendar'!$AP$2144*1000000000+ISNUMBER('Dvd Calendar'!$AP$2147)*100000000+('Dvd Calendar'!$AP$2149=SPECIAL_LBL)*10000000+(N('Dvd Calendar'!$AP$2143)&gt;0)*(N('Dvd Calendar'!$AP$2143)&lt;=VAL_SERIAL)*1000000+54*1000+38))</f>
        <v/>
      </c>
      <c r="FQ213" s="121">
        <f>IF(N('Dvd Calendar'!$AQ$2144)=0,"",IF(('Dvd Calendar'!$AQ$2144&gt;=GRID_FROM)*('Dvd Calendar'!$AQ$2144&lt;=GRID_TO)*((('Dvd Calendar'!$AQ$2144&lt;=VAL_DATE)+(COUNTIF('Dvd Calendar'!$E$2151:$AR$2151,'Dvd Calendar'!$AQ$2144)=0))&gt;0)=0,"",'Dvd Calendar'!$AQ$2144*1000000000+ISNUMBER('Dvd Calendar'!$AQ$2147)*100000000+('Dvd Calendar'!$AQ$2149=SPECIAL_LBL)*10000000+(N('Dvd Calendar'!$AQ$2143)&gt;0)*(N('Dvd Calendar'!$AQ$2143)&lt;=VAL_SERIAL)*1000000+54*1000+39))</f>
        <v/>
      </c>
      <c r="FR213" s="121">
        <f>IF(N('Dvd Calendar'!$AR$2144)=0,"",IF(('Dvd Calendar'!$AR$2144&gt;=GRID_FROM)*('Dvd Calendar'!$AR$2144&lt;=GRID_TO)*((('Dvd Calendar'!$AR$2144&lt;=VAL_DATE)+(COUNTIF('Dvd Calendar'!$E$2151:$AR$2151,'Dvd Calendar'!$AR$2144)=0))&gt;0)=0,"",'Dvd Calendar'!$AR$2144*1000000000+ISNUMBER('Dvd Calendar'!$AR$2147)*100000000+('Dvd Calendar'!$AR$2149=SPECIAL_LBL)*10000000+(N('Dvd Calendar'!$AR$2143)&gt;0)*(N('Dvd Calendar'!$AR$2143)&lt;=VAL_SERIAL)*1000000+54*1000+40))</f>
        <v/>
      </c>
      <c r="FS213" s="121">
        <f>IF(N('Dvd Calendar'!$E$2151)=0,"",IF(('Dvd Calendar'!$E$2151&gt;=GRID_FROM)*('Dvd Calendar'!$E$2151&lt;=GRID_TO)*('Dvd Calendar'!$E$2151&gt;VAL_DATE)=0,"",'Dvd Calendar'!$E$2151*1000000000+ISNUMBER('Dvd Calendar'!$E$2152)*100000000+0*10000000+(N('Dvd Calendar'!$E$2150)&gt;0)*(N('Dvd Calendar'!$E$2150)&lt;=VAL_SERIAL)*1000000+54*1000+41))</f>
        <v/>
      </c>
      <c r="FT213" s="121">
        <f>IF(N('Dvd Calendar'!$F$2151)=0,"",IF(('Dvd Calendar'!$F$2151&gt;=GRID_FROM)*('Dvd Calendar'!$F$2151&lt;=GRID_TO)*('Dvd Calendar'!$F$2151&gt;VAL_DATE)=0,"",'Dvd Calendar'!$F$2151*1000000000+ISNUMBER('Dvd Calendar'!$F$2152)*100000000+0*10000000+(N('Dvd Calendar'!$F$2150)&gt;0)*(N('Dvd Calendar'!$F$2150)&lt;=VAL_SERIAL)*1000000+54*1000+42))</f>
        <v/>
      </c>
      <c r="FU213" s="121">
        <f>IF(N('Dvd Calendar'!$G$2151)=0,"",IF(('Dvd Calendar'!$G$2151&gt;=GRID_FROM)*('Dvd Calendar'!$G$2151&lt;=GRID_TO)*('Dvd Calendar'!$G$2151&gt;VAL_DATE)=0,"",'Dvd Calendar'!$G$2151*1000000000+ISNUMBER('Dvd Calendar'!$G$2152)*100000000+0*10000000+(N('Dvd Calendar'!$G$2150)&gt;0)*(N('Dvd Calendar'!$G$2150)&lt;=VAL_SERIAL)*1000000+54*1000+43))</f>
        <v/>
      </c>
      <c r="FV213" s="121">
        <f>IF(N('Dvd Calendar'!$H$2151)=0,"",IF(('Dvd Calendar'!$H$2151&gt;=GRID_FROM)*('Dvd Calendar'!$H$2151&lt;=GRID_TO)*('Dvd Calendar'!$H$2151&gt;VAL_DATE)=0,"",'Dvd Calendar'!$H$2151*1000000000+ISNUMBER('Dvd Calendar'!$H$2152)*100000000+0*10000000+(N('Dvd Calendar'!$H$2150)&gt;0)*(N('Dvd Calendar'!$H$2150)&lt;=VAL_SERIAL)*1000000+54*1000+44))</f>
        <v/>
      </c>
      <c r="FW213" s="121">
        <f>IF(N('Dvd Calendar'!$I$2151)=0,"",IF(('Dvd Calendar'!$I$2151&gt;=GRID_FROM)*('Dvd Calendar'!$I$2151&lt;=GRID_TO)*('Dvd Calendar'!$I$2151&gt;VAL_DATE)=0,"",'Dvd Calendar'!$I$2151*1000000000+ISNUMBER('Dvd Calendar'!$I$2152)*100000000+0*10000000+(N('Dvd Calendar'!$I$2150)&gt;0)*(N('Dvd Calendar'!$I$2150)&lt;=VAL_SERIAL)*1000000+54*1000+45))</f>
        <v/>
      </c>
      <c r="FX213" s="121">
        <f>IF(N('Dvd Calendar'!$J$2151)=0,"",IF(('Dvd Calendar'!$J$2151&gt;=GRID_FROM)*('Dvd Calendar'!$J$2151&lt;=GRID_TO)*('Dvd Calendar'!$J$2151&gt;VAL_DATE)=0,"",'Dvd Calendar'!$J$2151*1000000000+ISNUMBER('Dvd Calendar'!$J$2152)*100000000+0*10000000+(N('Dvd Calendar'!$J$2150)&gt;0)*(N('Dvd Calendar'!$J$2150)&lt;=VAL_SERIAL)*1000000+54*1000+46))</f>
        <v/>
      </c>
      <c r="FY213" s="121">
        <f>IF(N('Dvd Calendar'!$K$2151)=0,"",IF(('Dvd Calendar'!$K$2151&gt;=GRID_FROM)*('Dvd Calendar'!$K$2151&lt;=GRID_TO)*('Dvd Calendar'!$K$2151&gt;VAL_DATE)=0,"",'Dvd Calendar'!$K$2151*1000000000+ISNUMBER('Dvd Calendar'!$K$2152)*100000000+0*10000000+(N('Dvd Calendar'!$K$2150)&gt;0)*(N('Dvd Calendar'!$K$2150)&lt;=VAL_SERIAL)*1000000+54*1000+47))</f>
        <v/>
      </c>
      <c r="FZ213" s="121">
        <f>IF(N('Dvd Calendar'!$L$2151)=0,"",IF(('Dvd Calendar'!$L$2151&gt;=GRID_FROM)*('Dvd Calendar'!$L$2151&lt;=GRID_TO)*('Dvd Calendar'!$L$2151&gt;VAL_DATE)=0,"",'Dvd Calendar'!$L$2151*1000000000+ISNUMBER('Dvd Calendar'!$L$2152)*100000000+0*10000000+(N('Dvd Calendar'!$L$2150)&gt;0)*(N('Dvd Calendar'!$L$2150)&lt;=VAL_SERIAL)*1000000+54*1000+48))</f>
        <v/>
      </c>
      <c r="GA213" s="121">
        <f>IF(N('Dvd Calendar'!$M$2151)=0,"",IF(('Dvd Calendar'!$M$2151&gt;=GRID_FROM)*('Dvd Calendar'!$M$2151&lt;=GRID_TO)*('Dvd Calendar'!$M$2151&gt;VAL_DATE)=0,"",'Dvd Calendar'!$M$2151*1000000000+ISNUMBER('Dvd Calendar'!$M$2152)*100000000+0*10000000+(N('Dvd Calendar'!$M$2150)&gt;0)*(N('Dvd Calendar'!$M$2150)&lt;=VAL_SERIAL)*1000000+54*1000+49))</f>
        <v/>
      </c>
      <c r="GB213" s="121">
        <f>IF(N('Dvd Calendar'!$N$2151)=0,"",IF(('Dvd Calendar'!$N$2151&gt;=GRID_FROM)*('Dvd Calendar'!$N$2151&lt;=GRID_TO)*('Dvd Calendar'!$N$2151&gt;VAL_DATE)=0,"",'Dvd Calendar'!$N$2151*1000000000+ISNUMBER('Dvd Calendar'!$N$2152)*100000000+0*10000000+(N('Dvd Calendar'!$N$2150)&gt;0)*(N('Dvd Calendar'!$N$2150)&lt;=VAL_SERIAL)*1000000+54*1000+50))</f>
        <v/>
      </c>
      <c r="GC213" s="121">
        <f>IF(N('Dvd Calendar'!$O$2151)=0,"",IF(('Dvd Calendar'!$O$2151&gt;=GRID_FROM)*('Dvd Calendar'!$O$2151&lt;=GRID_TO)*('Dvd Calendar'!$O$2151&gt;VAL_DATE)=0,"",'Dvd Calendar'!$O$2151*1000000000+ISNUMBER('Dvd Calendar'!$O$2152)*100000000+0*10000000+(N('Dvd Calendar'!$O$2150)&gt;0)*(N('Dvd Calendar'!$O$2150)&lt;=VAL_SERIAL)*1000000+54*1000+51))</f>
        <v/>
      </c>
      <c r="GD213" s="121">
        <f>IF(N('Dvd Calendar'!$P$2151)=0,"",IF(('Dvd Calendar'!$P$2151&gt;=GRID_FROM)*('Dvd Calendar'!$P$2151&lt;=GRID_TO)*('Dvd Calendar'!$P$2151&gt;VAL_DATE)=0,"",'Dvd Calendar'!$P$2151*1000000000+ISNUMBER('Dvd Calendar'!$P$2152)*100000000+0*10000000+(N('Dvd Calendar'!$P$2150)&gt;0)*(N('Dvd Calendar'!$P$2150)&lt;=VAL_SERIAL)*1000000+54*1000+52))</f>
        <v/>
      </c>
      <c r="GE213" s="121">
        <f>IF(N('Dvd Calendar'!$Q$2151)=0,"",IF(('Dvd Calendar'!$Q$2151&gt;=GRID_FROM)*('Dvd Calendar'!$Q$2151&lt;=GRID_TO)*('Dvd Calendar'!$Q$2151&gt;VAL_DATE)=0,"",'Dvd Calendar'!$Q$2151*1000000000+ISNUMBER('Dvd Calendar'!$Q$2152)*100000000+0*10000000+(N('Dvd Calendar'!$Q$2150)&gt;0)*(N('Dvd Calendar'!$Q$2150)&lt;=VAL_SERIAL)*1000000+54*1000+53))</f>
        <v/>
      </c>
      <c r="GF213" s="121">
        <f>IF(N('Dvd Calendar'!$R$2151)=0,"",IF(('Dvd Calendar'!$R$2151&gt;=GRID_FROM)*('Dvd Calendar'!$R$2151&lt;=GRID_TO)*('Dvd Calendar'!$R$2151&gt;VAL_DATE)=0,"",'Dvd Calendar'!$R$2151*1000000000+ISNUMBER('Dvd Calendar'!$R$2152)*100000000+0*10000000+(N('Dvd Calendar'!$R$2150)&gt;0)*(N('Dvd Calendar'!$R$2150)&lt;=VAL_SERIAL)*1000000+54*1000+54))</f>
        <v/>
      </c>
      <c r="GG213" s="121">
        <f>IF(N('Dvd Calendar'!$S$2151)=0,"",IF(('Dvd Calendar'!$S$2151&gt;=GRID_FROM)*('Dvd Calendar'!$S$2151&lt;=GRID_TO)*('Dvd Calendar'!$S$2151&gt;VAL_DATE)=0,"",'Dvd Calendar'!$S$2151*1000000000+ISNUMBER('Dvd Calendar'!$S$2152)*100000000+0*10000000+(N('Dvd Calendar'!$S$2150)&gt;0)*(N('Dvd Calendar'!$S$2150)&lt;=VAL_SERIAL)*1000000+54*1000+55))</f>
        <v/>
      </c>
      <c r="GH213" s="121">
        <f>IF(N('Dvd Calendar'!$T$2151)=0,"",IF(('Dvd Calendar'!$T$2151&gt;=GRID_FROM)*('Dvd Calendar'!$T$2151&lt;=GRID_TO)*('Dvd Calendar'!$T$2151&gt;VAL_DATE)=0,"",'Dvd Calendar'!$T$2151*1000000000+ISNUMBER('Dvd Calendar'!$T$2152)*100000000+0*10000000+(N('Dvd Calendar'!$T$2150)&gt;0)*(N('Dvd Calendar'!$T$2150)&lt;=VAL_SERIAL)*1000000+54*1000+56))</f>
        <v/>
      </c>
      <c r="GI213" s="121">
        <f>IF(N('Dvd Calendar'!$U$2151)=0,"",IF(('Dvd Calendar'!$U$2151&gt;=GRID_FROM)*('Dvd Calendar'!$U$2151&lt;=GRID_TO)*('Dvd Calendar'!$U$2151&gt;VAL_DATE)=0,"",'Dvd Calendar'!$U$2151*1000000000+ISNUMBER('Dvd Calendar'!$U$2152)*100000000+0*10000000+(N('Dvd Calendar'!$U$2150)&gt;0)*(N('Dvd Calendar'!$U$2150)&lt;=VAL_SERIAL)*1000000+54*1000+57))</f>
        <v/>
      </c>
      <c r="GJ213" s="121">
        <f>IF(N('Dvd Calendar'!$V$2151)=0,"",IF(('Dvd Calendar'!$V$2151&gt;=GRID_FROM)*('Dvd Calendar'!$V$2151&lt;=GRID_TO)*('Dvd Calendar'!$V$2151&gt;VAL_DATE)=0,"",'Dvd Calendar'!$V$2151*1000000000+ISNUMBER('Dvd Calendar'!$V$2152)*100000000+0*10000000+(N('Dvd Calendar'!$V$2150)&gt;0)*(N('Dvd Calendar'!$V$2150)&lt;=VAL_SERIAL)*1000000+54*1000+58))</f>
        <v/>
      </c>
      <c r="GK213" s="121">
        <f>IF(N('Dvd Calendar'!$W$2151)=0,"",IF(('Dvd Calendar'!$W$2151&gt;=GRID_FROM)*('Dvd Calendar'!$W$2151&lt;=GRID_TO)*('Dvd Calendar'!$W$2151&gt;VAL_DATE)=0,"",'Dvd Calendar'!$W$2151*1000000000+ISNUMBER('Dvd Calendar'!$W$2152)*100000000+0*10000000+(N('Dvd Calendar'!$W$2150)&gt;0)*(N('Dvd Calendar'!$W$2150)&lt;=VAL_SERIAL)*1000000+54*1000+59))</f>
        <v/>
      </c>
      <c r="GL213" s="121">
        <f>IF(N('Dvd Calendar'!$X$2151)=0,"",IF(('Dvd Calendar'!$X$2151&gt;=GRID_FROM)*('Dvd Calendar'!$X$2151&lt;=GRID_TO)*('Dvd Calendar'!$X$2151&gt;VAL_DATE)=0,"",'Dvd Calendar'!$X$2151*1000000000+ISNUMBER('Dvd Calendar'!$X$2152)*100000000+0*10000000+(N('Dvd Calendar'!$X$2150)&gt;0)*(N('Dvd Calendar'!$X$2150)&lt;=VAL_SERIAL)*1000000+54*1000+60))</f>
        <v/>
      </c>
      <c r="GM213" s="121">
        <f>IF(N('Dvd Calendar'!$Y$2151)=0,"",IF(('Dvd Calendar'!$Y$2151&gt;=GRID_FROM)*('Dvd Calendar'!$Y$2151&lt;=GRID_TO)*('Dvd Calendar'!$Y$2151&gt;VAL_DATE)=0,"",'Dvd Calendar'!$Y$2151*1000000000+ISNUMBER('Dvd Calendar'!$Y$2152)*100000000+0*10000000+(N('Dvd Calendar'!$Y$2150)&gt;0)*(N('Dvd Calendar'!$Y$2150)&lt;=VAL_SERIAL)*1000000+54*1000+61))</f>
        <v/>
      </c>
      <c r="GN213" s="121">
        <f>IF(N('Dvd Calendar'!$Z$2151)=0,"",IF(('Dvd Calendar'!$Z$2151&gt;=GRID_FROM)*('Dvd Calendar'!$Z$2151&lt;=GRID_TO)*('Dvd Calendar'!$Z$2151&gt;VAL_DATE)=0,"",'Dvd Calendar'!$Z$2151*1000000000+ISNUMBER('Dvd Calendar'!$Z$2152)*100000000+0*10000000+(N('Dvd Calendar'!$Z$2150)&gt;0)*(N('Dvd Calendar'!$Z$2150)&lt;=VAL_SERIAL)*1000000+54*1000+62))</f>
        <v/>
      </c>
      <c r="GO213" s="121">
        <f>IF(N('Dvd Calendar'!$AA$2151)=0,"",IF(('Dvd Calendar'!$AA$2151&gt;=GRID_FROM)*('Dvd Calendar'!$AA$2151&lt;=GRID_TO)*('Dvd Calendar'!$AA$2151&gt;VAL_DATE)=0,"",'Dvd Calendar'!$AA$2151*1000000000+ISNUMBER('Dvd Calendar'!$AA$2152)*100000000+0*10000000+(N('Dvd Calendar'!$AA$2150)&gt;0)*(N('Dvd Calendar'!$AA$2150)&lt;=VAL_SERIAL)*1000000+54*1000+63))</f>
        <v/>
      </c>
      <c r="GP213" s="121">
        <f>IF(N('Dvd Calendar'!$AB$2151)=0,"",IF(('Dvd Calendar'!$AB$2151&gt;=GRID_FROM)*('Dvd Calendar'!$AB$2151&lt;=GRID_TO)*('Dvd Calendar'!$AB$2151&gt;VAL_DATE)=0,"",'Dvd Calendar'!$AB$2151*1000000000+ISNUMBER('Dvd Calendar'!$AB$2152)*100000000+0*10000000+(N('Dvd Calendar'!$AB$2150)&gt;0)*(N('Dvd Calendar'!$AB$2150)&lt;=VAL_SERIAL)*1000000+54*1000+64))</f>
        <v/>
      </c>
      <c r="GQ213" s="121">
        <f>IF(N('Dvd Calendar'!$AC$2151)=0,"",IF(('Dvd Calendar'!$AC$2151&gt;=GRID_FROM)*('Dvd Calendar'!$AC$2151&lt;=GRID_TO)*('Dvd Calendar'!$AC$2151&gt;VAL_DATE)=0,"",'Dvd Calendar'!$AC$2151*1000000000+ISNUMBER('Dvd Calendar'!$AC$2152)*100000000+0*10000000+(N('Dvd Calendar'!$AC$2150)&gt;0)*(N('Dvd Calendar'!$AC$2150)&lt;=VAL_SERIAL)*1000000+54*1000+65))</f>
        <v/>
      </c>
    </row>
    <row r="214">
      <c r="B214" s="2">
        <f>IF(HSCEI!$C$61="","",HSCEI!$C$61)</f>
        <v/>
      </c>
      <c r="C214" s="161">
        <f>IF(EE214="","",IF(ISNUMBER('Dvd Calendar'!$E$2158)=FALSE,"",IF((('Dvd Calendar'!$E$2160=TYPE1)*(TYPE1&lt;&gt;"")+('Dvd Calendar'!$E$2160=TYPE2)*(TYPE2&lt;&gt;"")+('Dvd Calendar'!$E$2160=TYPE3)*(TYPE3&lt;&gt;"")+('Dvd Calendar'!$E$2160=TYPE4)*(TYPE4&lt;&gt;"")+('Dvd Calendar'!$E$2160=SPECIAL_LBL)*(INC_SPECIALS="Y"))=0,"",'Dvd Calendar'!$E$2158)))</f>
        <v/>
      </c>
      <c r="D214" s="161">
        <f>IF(EF214="","",IF(ISNUMBER('Dvd Calendar'!$F$2158)=FALSE,"",IF((('Dvd Calendar'!$F$2160=TYPE1)*(TYPE1&lt;&gt;"")+('Dvd Calendar'!$F$2160=TYPE2)*(TYPE2&lt;&gt;"")+('Dvd Calendar'!$F$2160=TYPE3)*(TYPE3&lt;&gt;"")+('Dvd Calendar'!$F$2160=TYPE4)*(TYPE4&lt;&gt;"")+('Dvd Calendar'!$F$2160=SPECIAL_LBL)*(INC_SPECIALS="Y"))=0,"",'Dvd Calendar'!$F$2158)))</f>
        <v/>
      </c>
      <c r="E214" s="161">
        <f>IF(EG214="","",IF(ISNUMBER('Dvd Calendar'!$G$2158)=FALSE,"",IF((('Dvd Calendar'!$G$2160=TYPE1)*(TYPE1&lt;&gt;"")+('Dvd Calendar'!$G$2160=TYPE2)*(TYPE2&lt;&gt;"")+('Dvd Calendar'!$G$2160=TYPE3)*(TYPE3&lt;&gt;"")+('Dvd Calendar'!$G$2160=TYPE4)*(TYPE4&lt;&gt;"")+('Dvd Calendar'!$G$2160=SPECIAL_LBL)*(INC_SPECIALS="Y"))=0,"",'Dvd Calendar'!$G$2158)))</f>
        <v/>
      </c>
      <c r="F214" s="161">
        <f>IF(EH214="","",IF(ISNUMBER('Dvd Calendar'!$H$2158)=FALSE,"",IF((('Dvd Calendar'!$H$2160=TYPE1)*(TYPE1&lt;&gt;"")+('Dvd Calendar'!$H$2160=TYPE2)*(TYPE2&lt;&gt;"")+('Dvd Calendar'!$H$2160=TYPE3)*(TYPE3&lt;&gt;"")+('Dvd Calendar'!$H$2160=TYPE4)*(TYPE4&lt;&gt;"")+('Dvd Calendar'!$H$2160=SPECIAL_LBL)*(INC_SPECIALS="Y"))=0,"",'Dvd Calendar'!$H$2158)))</f>
        <v/>
      </c>
      <c r="G214" s="161">
        <f>IF(EI214="","",IF(ISNUMBER('Dvd Calendar'!$I$2158)=FALSE,"",IF((('Dvd Calendar'!$I$2160=TYPE1)*(TYPE1&lt;&gt;"")+('Dvd Calendar'!$I$2160=TYPE2)*(TYPE2&lt;&gt;"")+('Dvd Calendar'!$I$2160=TYPE3)*(TYPE3&lt;&gt;"")+('Dvd Calendar'!$I$2160=TYPE4)*(TYPE4&lt;&gt;"")+('Dvd Calendar'!$I$2160=SPECIAL_LBL)*(INC_SPECIALS="Y"))=0,"",'Dvd Calendar'!$I$2158)))</f>
        <v/>
      </c>
      <c r="H214" s="161">
        <f>IF(EJ214="","",IF(ISNUMBER('Dvd Calendar'!$J$2158)=FALSE,"",IF((('Dvd Calendar'!$J$2160=TYPE1)*(TYPE1&lt;&gt;"")+('Dvd Calendar'!$J$2160=TYPE2)*(TYPE2&lt;&gt;"")+('Dvd Calendar'!$J$2160=TYPE3)*(TYPE3&lt;&gt;"")+('Dvd Calendar'!$J$2160=TYPE4)*(TYPE4&lt;&gt;"")+('Dvd Calendar'!$J$2160=SPECIAL_LBL)*(INC_SPECIALS="Y"))=0,"",'Dvd Calendar'!$J$2158)))</f>
        <v/>
      </c>
      <c r="I214" s="161">
        <f>IF(EK214="","",IF(ISNUMBER('Dvd Calendar'!$K$2158)=FALSE,"",IF((('Dvd Calendar'!$K$2160=TYPE1)*(TYPE1&lt;&gt;"")+('Dvd Calendar'!$K$2160=TYPE2)*(TYPE2&lt;&gt;"")+('Dvd Calendar'!$K$2160=TYPE3)*(TYPE3&lt;&gt;"")+('Dvd Calendar'!$K$2160=TYPE4)*(TYPE4&lt;&gt;"")+('Dvd Calendar'!$K$2160=SPECIAL_LBL)*(INC_SPECIALS="Y"))=0,"",'Dvd Calendar'!$K$2158)))</f>
        <v/>
      </c>
      <c r="J214" s="161">
        <f>IF(EL214="","",IF(ISNUMBER('Dvd Calendar'!$L$2158)=FALSE,"",IF((('Dvd Calendar'!$L$2160=TYPE1)*(TYPE1&lt;&gt;"")+('Dvd Calendar'!$L$2160=TYPE2)*(TYPE2&lt;&gt;"")+('Dvd Calendar'!$L$2160=TYPE3)*(TYPE3&lt;&gt;"")+('Dvd Calendar'!$L$2160=TYPE4)*(TYPE4&lt;&gt;"")+('Dvd Calendar'!$L$2160=SPECIAL_LBL)*(INC_SPECIALS="Y"))=0,"",'Dvd Calendar'!$L$2158)))</f>
        <v/>
      </c>
      <c r="K214" s="161">
        <f>IF(EM214="","",IF(ISNUMBER('Dvd Calendar'!$M$2158)=FALSE,"",IF((('Dvd Calendar'!$M$2160=TYPE1)*(TYPE1&lt;&gt;"")+('Dvd Calendar'!$M$2160=TYPE2)*(TYPE2&lt;&gt;"")+('Dvd Calendar'!$M$2160=TYPE3)*(TYPE3&lt;&gt;"")+('Dvd Calendar'!$M$2160=TYPE4)*(TYPE4&lt;&gt;"")+('Dvd Calendar'!$M$2160=SPECIAL_LBL)*(INC_SPECIALS="Y"))=0,"",'Dvd Calendar'!$M$2158)))</f>
        <v/>
      </c>
      <c r="L214" s="161">
        <f>IF(EN214="","",IF(ISNUMBER('Dvd Calendar'!$N$2158)=FALSE,"",IF((('Dvd Calendar'!$N$2160=TYPE1)*(TYPE1&lt;&gt;"")+('Dvd Calendar'!$N$2160=TYPE2)*(TYPE2&lt;&gt;"")+('Dvd Calendar'!$N$2160=TYPE3)*(TYPE3&lt;&gt;"")+('Dvd Calendar'!$N$2160=TYPE4)*(TYPE4&lt;&gt;"")+('Dvd Calendar'!$N$2160=SPECIAL_LBL)*(INC_SPECIALS="Y"))=0,"",'Dvd Calendar'!$N$2158)))</f>
        <v/>
      </c>
      <c r="M214" s="161">
        <f>IF(EO214="","",IF(ISNUMBER('Dvd Calendar'!$O$2158)=FALSE,"",IF((('Dvd Calendar'!$O$2160=TYPE1)*(TYPE1&lt;&gt;"")+('Dvd Calendar'!$O$2160=TYPE2)*(TYPE2&lt;&gt;"")+('Dvd Calendar'!$O$2160=TYPE3)*(TYPE3&lt;&gt;"")+('Dvd Calendar'!$O$2160=TYPE4)*(TYPE4&lt;&gt;"")+('Dvd Calendar'!$O$2160=SPECIAL_LBL)*(INC_SPECIALS="Y"))=0,"",'Dvd Calendar'!$O$2158)))</f>
        <v/>
      </c>
      <c r="N214" s="161">
        <f>IF(EP214="","",IF(ISNUMBER('Dvd Calendar'!$P$2158)=FALSE,"",IF((('Dvd Calendar'!$P$2160=TYPE1)*(TYPE1&lt;&gt;"")+('Dvd Calendar'!$P$2160=TYPE2)*(TYPE2&lt;&gt;"")+('Dvd Calendar'!$P$2160=TYPE3)*(TYPE3&lt;&gt;"")+('Dvd Calendar'!$P$2160=TYPE4)*(TYPE4&lt;&gt;"")+('Dvd Calendar'!$P$2160=SPECIAL_LBL)*(INC_SPECIALS="Y"))=0,"",'Dvd Calendar'!$P$2158)))</f>
        <v/>
      </c>
      <c r="O214" s="161">
        <f>IF(EQ214="","",IF(ISNUMBER('Dvd Calendar'!$Q$2158)=FALSE,"",IF((('Dvd Calendar'!$Q$2160=TYPE1)*(TYPE1&lt;&gt;"")+('Dvd Calendar'!$Q$2160=TYPE2)*(TYPE2&lt;&gt;"")+('Dvd Calendar'!$Q$2160=TYPE3)*(TYPE3&lt;&gt;"")+('Dvd Calendar'!$Q$2160=TYPE4)*(TYPE4&lt;&gt;"")+('Dvd Calendar'!$Q$2160=SPECIAL_LBL)*(INC_SPECIALS="Y"))=0,"",'Dvd Calendar'!$Q$2158)))</f>
        <v/>
      </c>
      <c r="P214" s="161">
        <f>IF(ER214="","",IF(ISNUMBER('Dvd Calendar'!$R$2158)=FALSE,"",IF((('Dvd Calendar'!$R$2160=TYPE1)*(TYPE1&lt;&gt;"")+('Dvd Calendar'!$R$2160=TYPE2)*(TYPE2&lt;&gt;"")+('Dvd Calendar'!$R$2160=TYPE3)*(TYPE3&lt;&gt;"")+('Dvd Calendar'!$R$2160=TYPE4)*(TYPE4&lt;&gt;"")+('Dvd Calendar'!$R$2160=SPECIAL_LBL)*(INC_SPECIALS="Y"))=0,"",'Dvd Calendar'!$R$2158)))</f>
        <v/>
      </c>
      <c r="Q214" s="161">
        <f>IF(ES214="","",IF(ISNUMBER('Dvd Calendar'!$S$2158)=FALSE,"",IF((('Dvd Calendar'!$S$2160=TYPE1)*(TYPE1&lt;&gt;"")+('Dvd Calendar'!$S$2160=TYPE2)*(TYPE2&lt;&gt;"")+('Dvd Calendar'!$S$2160=TYPE3)*(TYPE3&lt;&gt;"")+('Dvd Calendar'!$S$2160=TYPE4)*(TYPE4&lt;&gt;"")+('Dvd Calendar'!$S$2160=SPECIAL_LBL)*(INC_SPECIALS="Y"))=0,"",'Dvd Calendar'!$S$2158)))</f>
        <v/>
      </c>
      <c r="R214" s="161">
        <f>IF(ET214="","",IF(ISNUMBER('Dvd Calendar'!$T$2158)=FALSE,"",IF((('Dvd Calendar'!$T$2160=TYPE1)*(TYPE1&lt;&gt;"")+('Dvd Calendar'!$T$2160=TYPE2)*(TYPE2&lt;&gt;"")+('Dvd Calendar'!$T$2160=TYPE3)*(TYPE3&lt;&gt;"")+('Dvd Calendar'!$T$2160=TYPE4)*(TYPE4&lt;&gt;"")+('Dvd Calendar'!$T$2160=SPECIAL_LBL)*(INC_SPECIALS="Y"))=0,"",'Dvd Calendar'!$T$2158)))</f>
        <v/>
      </c>
      <c r="S214" s="161">
        <f>IF(EU214="","",IF(ISNUMBER('Dvd Calendar'!$U$2158)=FALSE,"",IF((('Dvd Calendar'!$U$2160=TYPE1)*(TYPE1&lt;&gt;"")+('Dvd Calendar'!$U$2160=TYPE2)*(TYPE2&lt;&gt;"")+('Dvd Calendar'!$U$2160=TYPE3)*(TYPE3&lt;&gt;"")+('Dvd Calendar'!$U$2160=TYPE4)*(TYPE4&lt;&gt;"")+('Dvd Calendar'!$U$2160=SPECIAL_LBL)*(INC_SPECIALS="Y"))=0,"",'Dvd Calendar'!$U$2158)))</f>
        <v/>
      </c>
      <c r="T214" s="161">
        <f>IF(EV214="","",IF(ISNUMBER('Dvd Calendar'!$V$2158)=FALSE,"",IF((('Dvd Calendar'!$V$2160=TYPE1)*(TYPE1&lt;&gt;"")+('Dvd Calendar'!$V$2160=TYPE2)*(TYPE2&lt;&gt;"")+('Dvd Calendar'!$V$2160=TYPE3)*(TYPE3&lt;&gt;"")+('Dvd Calendar'!$V$2160=TYPE4)*(TYPE4&lt;&gt;"")+('Dvd Calendar'!$V$2160=SPECIAL_LBL)*(INC_SPECIALS="Y"))=0,"",'Dvd Calendar'!$V$2158)))</f>
        <v/>
      </c>
      <c r="U214" s="161">
        <f>IF(EW214="","",IF(ISNUMBER('Dvd Calendar'!$W$2158)=FALSE,"",IF((('Dvd Calendar'!$W$2160=TYPE1)*(TYPE1&lt;&gt;"")+('Dvd Calendar'!$W$2160=TYPE2)*(TYPE2&lt;&gt;"")+('Dvd Calendar'!$W$2160=TYPE3)*(TYPE3&lt;&gt;"")+('Dvd Calendar'!$W$2160=TYPE4)*(TYPE4&lt;&gt;"")+('Dvd Calendar'!$W$2160=SPECIAL_LBL)*(INC_SPECIALS="Y"))=0,"",'Dvd Calendar'!$W$2158)))</f>
        <v/>
      </c>
      <c r="V214" s="161">
        <f>IF(EX214="","",IF(ISNUMBER('Dvd Calendar'!$X$2158)=FALSE,"",IF((('Dvd Calendar'!$X$2160=TYPE1)*(TYPE1&lt;&gt;"")+('Dvd Calendar'!$X$2160=TYPE2)*(TYPE2&lt;&gt;"")+('Dvd Calendar'!$X$2160=TYPE3)*(TYPE3&lt;&gt;"")+('Dvd Calendar'!$X$2160=TYPE4)*(TYPE4&lt;&gt;"")+('Dvd Calendar'!$X$2160=SPECIAL_LBL)*(INC_SPECIALS="Y"))=0,"",'Dvd Calendar'!$X$2158)))</f>
        <v/>
      </c>
      <c r="W214" s="161">
        <f>IF(EY214="","",IF(ISNUMBER('Dvd Calendar'!$Y$2158)=FALSE,"",IF((('Dvd Calendar'!$Y$2160=TYPE1)*(TYPE1&lt;&gt;"")+('Dvd Calendar'!$Y$2160=TYPE2)*(TYPE2&lt;&gt;"")+('Dvd Calendar'!$Y$2160=TYPE3)*(TYPE3&lt;&gt;"")+('Dvd Calendar'!$Y$2160=TYPE4)*(TYPE4&lt;&gt;"")+('Dvd Calendar'!$Y$2160=SPECIAL_LBL)*(INC_SPECIALS="Y"))=0,"",'Dvd Calendar'!$Y$2158)))</f>
        <v/>
      </c>
      <c r="X214" s="161">
        <f>IF(EZ214="","",IF(ISNUMBER('Dvd Calendar'!$Z$2158)=FALSE,"",IF((('Dvd Calendar'!$Z$2160=TYPE1)*(TYPE1&lt;&gt;"")+('Dvd Calendar'!$Z$2160=TYPE2)*(TYPE2&lt;&gt;"")+('Dvd Calendar'!$Z$2160=TYPE3)*(TYPE3&lt;&gt;"")+('Dvd Calendar'!$Z$2160=TYPE4)*(TYPE4&lt;&gt;"")+('Dvd Calendar'!$Z$2160=SPECIAL_LBL)*(INC_SPECIALS="Y"))=0,"",'Dvd Calendar'!$Z$2158)))</f>
        <v/>
      </c>
      <c r="Y214" s="161">
        <f>IF(FA214="","",IF(ISNUMBER('Dvd Calendar'!$AA$2158)=FALSE,"",IF((('Dvd Calendar'!$AA$2160=TYPE1)*(TYPE1&lt;&gt;"")+('Dvd Calendar'!$AA$2160=TYPE2)*(TYPE2&lt;&gt;"")+('Dvd Calendar'!$AA$2160=TYPE3)*(TYPE3&lt;&gt;"")+('Dvd Calendar'!$AA$2160=TYPE4)*(TYPE4&lt;&gt;"")+('Dvd Calendar'!$AA$2160=SPECIAL_LBL)*(INC_SPECIALS="Y"))=0,"",'Dvd Calendar'!$AA$2158)))</f>
        <v/>
      </c>
      <c r="Z214" s="161">
        <f>IF(FB214="","",IF(ISNUMBER('Dvd Calendar'!$AB$2158)=FALSE,"",IF((('Dvd Calendar'!$AB$2160=TYPE1)*(TYPE1&lt;&gt;"")+('Dvd Calendar'!$AB$2160=TYPE2)*(TYPE2&lt;&gt;"")+('Dvd Calendar'!$AB$2160=TYPE3)*(TYPE3&lt;&gt;"")+('Dvd Calendar'!$AB$2160=TYPE4)*(TYPE4&lt;&gt;"")+('Dvd Calendar'!$AB$2160=SPECIAL_LBL)*(INC_SPECIALS="Y"))=0,"",'Dvd Calendar'!$AB$2158)))</f>
        <v/>
      </c>
      <c r="AA214" s="161">
        <f>IF(FC214="","",IF(ISNUMBER('Dvd Calendar'!$AC$2158)=FALSE,"",IF((('Dvd Calendar'!$AC$2160=TYPE1)*(TYPE1&lt;&gt;"")+('Dvd Calendar'!$AC$2160=TYPE2)*(TYPE2&lt;&gt;"")+('Dvd Calendar'!$AC$2160=TYPE3)*(TYPE3&lt;&gt;"")+('Dvd Calendar'!$AC$2160=TYPE4)*(TYPE4&lt;&gt;"")+('Dvd Calendar'!$AC$2160=SPECIAL_LBL)*(INC_SPECIALS="Y"))=0,"",'Dvd Calendar'!$AC$2158)))</f>
        <v/>
      </c>
      <c r="AB214" s="161">
        <f>IF(FD214="","",IF(ISNUMBER('Dvd Calendar'!$AD$2158)=FALSE,"",IF((('Dvd Calendar'!$AD$2160=TYPE1)*(TYPE1&lt;&gt;"")+('Dvd Calendar'!$AD$2160=TYPE2)*(TYPE2&lt;&gt;"")+('Dvd Calendar'!$AD$2160=TYPE3)*(TYPE3&lt;&gt;"")+('Dvd Calendar'!$AD$2160=TYPE4)*(TYPE4&lt;&gt;"")+('Dvd Calendar'!$AD$2160=SPECIAL_LBL)*(INC_SPECIALS="Y"))=0,"",'Dvd Calendar'!$AD$2158)))</f>
        <v/>
      </c>
      <c r="AC214" s="161">
        <f>IF(FE214="","",IF(ISNUMBER('Dvd Calendar'!$AE$2158)=FALSE,"",IF((('Dvd Calendar'!$AE$2160=TYPE1)*(TYPE1&lt;&gt;"")+('Dvd Calendar'!$AE$2160=TYPE2)*(TYPE2&lt;&gt;"")+('Dvd Calendar'!$AE$2160=TYPE3)*(TYPE3&lt;&gt;"")+('Dvd Calendar'!$AE$2160=TYPE4)*(TYPE4&lt;&gt;"")+('Dvd Calendar'!$AE$2160=SPECIAL_LBL)*(INC_SPECIALS="Y"))=0,"",'Dvd Calendar'!$AE$2158)))</f>
        <v/>
      </c>
      <c r="AD214" s="161">
        <f>IF(FF214="","",IF(ISNUMBER('Dvd Calendar'!$AF$2158)=FALSE,"",IF((('Dvd Calendar'!$AF$2160=TYPE1)*(TYPE1&lt;&gt;"")+('Dvd Calendar'!$AF$2160=TYPE2)*(TYPE2&lt;&gt;"")+('Dvd Calendar'!$AF$2160=TYPE3)*(TYPE3&lt;&gt;"")+('Dvd Calendar'!$AF$2160=TYPE4)*(TYPE4&lt;&gt;"")+('Dvd Calendar'!$AF$2160=SPECIAL_LBL)*(INC_SPECIALS="Y"))=0,"",'Dvd Calendar'!$AF$2158)))</f>
        <v/>
      </c>
      <c r="AE214" s="161">
        <f>IF(FG214="","",IF(ISNUMBER('Dvd Calendar'!$AG$2158)=FALSE,"",IF((('Dvd Calendar'!$AG$2160=TYPE1)*(TYPE1&lt;&gt;"")+('Dvd Calendar'!$AG$2160=TYPE2)*(TYPE2&lt;&gt;"")+('Dvd Calendar'!$AG$2160=TYPE3)*(TYPE3&lt;&gt;"")+('Dvd Calendar'!$AG$2160=TYPE4)*(TYPE4&lt;&gt;"")+('Dvd Calendar'!$AG$2160=SPECIAL_LBL)*(INC_SPECIALS="Y"))=0,"",'Dvd Calendar'!$AG$2158)))</f>
        <v/>
      </c>
      <c r="AF214" s="161">
        <f>IF(FH214="","",IF(ISNUMBER('Dvd Calendar'!$AH$2158)=FALSE,"",IF((('Dvd Calendar'!$AH$2160=TYPE1)*(TYPE1&lt;&gt;"")+('Dvd Calendar'!$AH$2160=TYPE2)*(TYPE2&lt;&gt;"")+('Dvd Calendar'!$AH$2160=TYPE3)*(TYPE3&lt;&gt;"")+('Dvd Calendar'!$AH$2160=TYPE4)*(TYPE4&lt;&gt;"")+('Dvd Calendar'!$AH$2160=SPECIAL_LBL)*(INC_SPECIALS="Y"))=0,"",'Dvd Calendar'!$AH$2158)))</f>
        <v/>
      </c>
      <c r="AG214" s="161">
        <f>IF(FI214="","",IF(ISNUMBER('Dvd Calendar'!$AI$2158)=FALSE,"",IF((('Dvd Calendar'!$AI$2160=TYPE1)*(TYPE1&lt;&gt;"")+('Dvd Calendar'!$AI$2160=TYPE2)*(TYPE2&lt;&gt;"")+('Dvd Calendar'!$AI$2160=TYPE3)*(TYPE3&lt;&gt;"")+('Dvd Calendar'!$AI$2160=TYPE4)*(TYPE4&lt;&gt;"")+('Dvd Calendar'!$AI$2160=SPECIAL_LBL)*(INC_SPECIALS="Y"))=0,"",'Dvd Calendar'!$AI$2158)))</f>
        <v/>
      </c>
      <c r="AH214" s="161">
        <f>IF(FJ214="","",IF(ISNUMBER('Dvd Calendar'!$AJ$2158)=FALSE,"",IF((('Dvd Calendar'!$AJ$2160=TYPE1)*(TYPE1&lt;&gt;"")+('Dvd Calendar'!$AJ$2160=TYPE2)*(TYPE2&lt;&gt;"")+('Dvd Calendar'!$AJ$2160=TYPE3)*(TYPE3&lt;&gt;"")+('Dvd Calendar'!$AJ$2160=TYPE4)*(TYPE4&lt;&gt;"")+('Dvd Calendar'!$AJ$2160=SPECIAL_LBL)*(INC_SPECIALS="Y"))=0,"",'Dvd Calendar'!$AJ$2158)))</f>
        <v/>
      </c>
      <c r="AI214" s="161">
        <f>IF(FK214="","",IF(ISNUMBER('Dvd Calendar'!$AK$2158)=FALSE,"",IF((('Dvd Calendar'!$AK$2160=TYPE1)*(TYPE1&lt;&gt;"")+('Dvd Calendar'!$AK$2160=TYPE2)*(TYPE2&lt;&gt;"")+('Dvd Calendar'!$AK$2160=TYPE3)*(TYPE3&lt;&gt;"")+('Dvd Calendar'!$AK$2160=TYPE4)*(TYPE4&lt;&gt;"")+('Dvd Calendar'!$AK$2160=SPECIAL_LBL)*(INC_SPECIALS="Y"))=0,"",'Dvd Calendar'!$AK$2158)))</f>
        <v/>
      </c>
      <c r="AJ214" s="161">
        <f>IF(FL214="","",IF(ISNUMBER('Dvd Calendar'!$AL$2158)=FALSE,"",IF((('Dvd Calendar'!$AL$2160=TYPE1)*(TYPE1&lt;&gt;"")+('Dvd Calendar'!$AL$2160=TYPE2)*(TYPE2&lt;&gt;"")+('Dvd Calendar'!$AL$2160=TYPE3)*(TYPE3&lt;&gt;"")+('Dvd Calendar'!$AL$2160=TYPE4)*(TYPE4&lt;&gt;"")+('Dvd Calendar'!$AL$2160=SPECIAL_LBL)*(INC_SPECIALS="Y"))=0,"",'Dvd Calendar'!$AL$2158)))</f>
        <v/>
      </c>
      <c r="AK214" s="161">
        <f>IF(FM214="","",IF(ISNUMBER('Dvd Calendar'!$AM$2158)=FALSE,"",IF((('Dvd Calendar'!$AM$2160=TYPE1)*(TYPE1&lt;&gt;"")+('Dvd Calendar'!$AM$2160=TYPE2)*(TYPE2&lt;&gt;"")+('Dvd Calendar'!$AM$2160=TYPE3)*(TYPE3&lt;&gt;"")+('Dvd Calendar'!$AM$2160=TYPE4)*(TYPE4&lt;&gt;"")+('Dvd Calendar'!$AM$2160=SPECIAL_LBL)*(INC_SPECIALS="Y"))=0,"",'Dvd Calendar'!$AM$2158)))</f>
        <v/>
      </c>
      <c r="AL214" s="161">
        <f>IF(FN214="","",IF(ISNUMBER('Dvd Calendar'!$AN$2158)=FALSE,"",IF((('Dvd Calendar'!$AN$2160=TYPE1)*(TYPE1&lt;&gt;"")+('Dvd Calendar'!$AN$2160=TYPE2)*(TYPE2&lt;&gt;"")+('Dvd Calendar'!$AN$2160=TYPE3)*(TYPE3&lt;&gt;"")+('Dvd Calendar'!$AN$2160=TYPE4)*(TYPE4&lt;&gt;"")+('Dvd Calendar'!$AN$2160=SPECIAL_LBL)*(INC_SPECIALS="Y"))=0,"",'Dvd Calendar'!$AN$2158)))</f>
        <v/>
      </c>
      <c r="AM214" s="161">
        <f>IF(FO214="","",IF(ISNUMBER('Dvd Calendar'!$AO$2158)=FALSE,"",IF((('Dvd Calendar'!$AO$2160=TYPE1)*(TYPE1&lt;&gt;"")+('Dvd Calendar'!$AO$2160=TYPE2)*(TYPE2&lt;&gt;"")+('Dvd Calendar'!$AO$2160=TYPE3)*(TYPE3&lt;&gt;"")+('Dvd Calendar'!$AO$2160=TYPE4)*(TYPE4&lt;&gt;"")+('Dvd Calendar'!$AO$2160=SPECIAL_LBL)*(INC_SPECIALS="Y"))=0,"",'Dvd Calendar'!$AO$2158)))</f>
        <v/>
      </c>
      <c r="AN214" s="161">
        <f>IF(FP214="","",IF(ISNUMBER('Dvd Calendar'!$AP$2158)=FALSE,"",IF((('Dvd Calendar'!$AP$2160=TYPE1)*(TYPE1&lt;&gt;"")+('Dvd Calendar'!$AP$2160=TYPE2)*(TYPE2&lt;&gt;"")+('Dvd Calendar'!$AP$2160=TYPE3)*(TYPE3&lt;&gt;"")+('Dvd Calendar'!$AP$2160=TYPE4)*(TYPE4&lt;&gt;"")+('Dvd Calendar'!$AP$2160=SPECIAL_LBL)*(INC_SPECIALS="Y"))=0,"",'Dvd Calendar'!$AP$2158)))</f>
        <v/>
      </c>
      <c r="AO214" s="161">
        <f>IF(FQ214="","",IF(ISNUMBER('Dvd Calendar'!$AQ$2158)=FALSE,"",IF((('Dvd Calendar'!$AQ$2160=TYPE1)*(TYPE1&lt;&gt;"")+('Dvd Calendar'!$AQ$2160=TYPE2)*(TYPE2&lt;&gt;"")+('Dvd Calendar'!$AQ$2160=TYPE3)*(TYPE3&lt;&gt;"")+('Dvd Calendar'!$AQ$2160=TYPE4)*(TYPE4&lt;&gt;"")+('Dvd Calendar'!$AQ$2160=SPECIAL_LBL)*(INC_SPECIALS="Y"))=0,"",'Dvd Calendar'!$AQ$2158)))</f>
        <v/>
      </c>
      <c r="AP214" s="161">
        <f>IF(FR214="","",IF(ISNUMBER('Dvd Calendar'!$AR$2158)=FALSE,"",IF((('Dvd Calendar'!$AR$2160=TYPE1)*(TYPE1&lt;&gt;"")+('Dvd Calendar'!$AR$2160=TYPE2)*(TYPE2&lt;&gt;"")+('Dvd Calendar'!$AR$2160=TYPE3)*(TYPE3&lt;&gt;"")+('Dvd Calendar'!$AR$2160=TYPE4)*(TYPE4&lt;&gt;"")+('Dvd Calendar'!$AR$2160=SPECIAL_LBL)*(INC_SPECIALS="Y"))=0,"",'Dvd Calendar'!$AR$2158)))</f>
        <v/>
      </c>
      <c r="AQ214" s="161">
        <f>IF(FS214="","",IF(ISNUMBER('Dvd Calendar'!$E$2163)=FALSE,"",'Dvd Calendar'!$E$2163))</f>
        <v/>
      </c>
      <c r="AR214" s="161">
        <f>IF(FT214="","",IF(ISNUMBER('Dvd Calendar'!$F$2163)=FALSE,"",'Dvd Calendar'!$F$2163))</f>
        <v/>
      </c>
      <c r="AS214" s="161">
        <f>IF(FU214="","",IF(ISNUMBER('Dvd Calendar'!$G$2163)=FALSE,"",'Dvd Calendar'!$G$2163))</f>
        <v/>
      </c>
      <c r="AT214" s="161">
        <f>IF(FV214="","",IF(ISNUMBER('Dvd Calendar'!$H$2163)=FALSE,"",'Dvd Calendar'!$H$2163))</f>
        <v/>
      </c>
      <c r="AU214" s="161">
        <f>IF(FW214="","",IF(ISNUMBER('Dvd Calendar'!$I$2163)=FALSE,"",'Dvd Calendar'!$I$2163))</f>
        <v/>
      </c>
      <c r="AV214" s="161">
        <f>IF(FX214="","",IF(ISNUMBER('Dvd Calendar'!$J$2163)=FALSE,"",'Dvd Calendar'!$J$2163))</f>
        <v/>
      </c>
      <c r="AW214" s="161">
        <f>IF(FY214="","",IF(ISNUMBER('Dvd Calendar'!$K$2163)=FALSE,"",'Dvd Calendar'!$K$2163))</f>
        <v/>
      </c>
      <c r="AX214" s="161">
        <f>IF(FZ214="","",IF(ISNUMBER('Dvd Calendar'!$L$2163)=FALSE,"",'Dvd Calendar'!$L$2163))</f>
        <v/>
      </c>
      <c r="AY214" s="161">
        <f>IF(GA214="","",IF(ISNUMBER('Dvd Calendar'!$M$2163)=FALSE,"",'Dvd Calendar'!$M$2163))</f>
        <v/>
      </c>
      <c r="AZ214" s="161">
        <f>IF(GB214="","",IF(ISNUMBER('Dvd Calendar'!$N$2163)=FALSE,"",'Dvd Calendar'!$N$2163))</f>
        <v/>
      </c>
      <c r="BA214" s="161">
        <f>IF(GC214="","",IF(ISNUMBER('Dvd Calendar'!$O$2163)=FALSE,"",'Dvd Calendar'!$O$2163))</f>
        <v/>
      </c>
      <c r="BB214" s="161">
        <f>IF(GD214="","",IF(ISNUMBER('Dvd Calendar'!$P$2163)=FALSE,"",'Dvd Calendar'!$P$2163))</f>
        <v/>
      </c>
      <c r="BC214" s="161">
        <f>IF(GE214="","",IF(ISNUMBER('Dvd Calendar'!$Q$2163)=FALSE,"",'Dvd Calendar'!$Q$2163))</f>
        <v/>
      </c>
      <c r="BD214" s="161">
        <f>IF(GF214="","",IF(ISNUMBER('Dvd Calendar'!$R$2163)=FALSE,"",'Dvd Calendar'!$R$2163))</f>
        <v/>
      </c>
      <c r="BE214" s="161">
        <f>IF(GG214="","",IF(ISNUMBER('Dvd Calendar'!$S$2163)=FALSE,"",'Dvd Calendar'!$S$2163))</f>
        <v/>
      </c>
      <c r="BF214" s="161">
        <f>IF(GH214="","",IF(ISNUMBER('Dvd Calendar'!$T$2163)=FALSE,"",'Dvd Calendar'!$T$2163))</f>
        <v/>
      </c>
      <c r="BG214" s="161">
        <f>IF(GI214="","",IF(ISNUMBER('Dvd Calendar'!$U$2163)=FALSE,"",'Dvd Calendar'!$U$2163))</f>
        <v/>
      </c>
      <c r="BH214" s="161">
        <f>IF(GJ214="","",IF(ISNUMBER('Dvd Calendar'!$V$2163)=FALSE,"",'Dvd Calendar'!$V$2163))</f>
        <v/>
      </c>
      <c r="BI214" s="161">
        <f>IF(GK214="","",IF(ISNUMBER('Dvd Calendar'!$W$2163)=FALSE,"",'Dvd Calendar'!$W$2163))</f>
        <v/>
      </c>
      <c r="BJ214" s="161">
        <f>IF(GL214="","",IF(ISNUMBER('Dvd Calendar'!$X$2163)=FALSE,"",'Dvd Calendar'!$X$2163))</f>
        <v/>
      </c>
      <c r="BK214" s="161">
        <f>IF(GM214="","",IF(ISNUMBER('Dvd Calendar'!$Y$2163)=FALSE,"",'Dvd Calendar'!$Y$2163))</f>
        <v/>
      </c>
      <c r="BL214" s="161">
        <f>IF(GN214="","",IF(ISNUMBER('Dvd Calendar'!$Z$2163)=FALSE,"",'Dvd Calendar'!$Z$2163))</f>
        <v/>
      </c>
      <c r="BM214" s="161">
        <f>IF(GO214="","",IF(ISNUMBER('Dvd Calendar'!$AA$2163)=FALSE,"",'Dvd Calendar'!$AA$2163))</f>
        <v/>
      </c>
      <c r="BN214" s="161">
        <f>IF(GP214="","",IF(ISNUMBER('Dvd Calendar'!$AB$2163)=FALSE,"",'Dvd Calendar'!$AB$2163))</f>
        <v/>
      </c>
      <c r="BO214" s="161">
        <f>IF(GQ214="","",IF(ISNUMBER('Dvd Calendar'!$AC$2163)=FALSE,"",'Dvd Calendar'!$AC$2163))</f>
        <v/>
      </c>
      <c r="BQ214" s="161">
        <f>IF(C214="","",IFERROR(C214*HSCEI!$B$61*HSCEI!$G$61/HSCEI!$B$3,""))</f>
        <v/>
      </c>
      <c r="BR214" s="161">
        <f>IF(D214="","",IFERROR(D214*HSCEI!$B$61*HSCEI!$G$61/HSCEI!$B$3,""))</f>
        <v/>
      </c>
      <c r="BS214" s="161">
        <f>IF(E214="","",IFERROR(E214*HSCEI!$B$61*HSCEI!$G$61/HSCEI!$B$3,""))</f>
        <v/>
      </c>
      <c r="BT214" s="161">
        <f>IF(F214="","",IFERROR(F214*HSCEI!$B$61*HSCEI!$G$61/HSCEI!$B$3,""))</f>
        <v/>
      </c>
      <c r="BU214" s="161">
        <f>IF(G214="","",IFERROR(G214*HSCEI!$B$61*HSCEI!$G$61/HSCEI!$B$3,""))</f>
        <v/>
      </c>
      <c r="BV214" s="161">
        <f>IF(H214="","",IFERROR(H214*HSCEI!$B$61*HSCEI!$G$61/HSCEI!$B$3,""))</f>
        <v/>
      </c>
      <c r="BW214" s="161">
        <f>IF(I214="","",IFERROR(I214*HSCEI!$B$61*HSCEI!$G$61/HSCEI!$B$3,""))</f>
        <v/>
      </c>
      <c r="BX214" s="161">
        <f>IF(J214="","",IFERROR(J214*HSCEI!$B$61*HSCEI!$G$61/HSCEI!$B$3,""))</f>
        <v/>
      </c>
      <c r="BY214" s="161">
        <f>IF(K214="","",IFERROR(K214*HSCEI!$B$61*HSCEI!$G$61/HSCEI!$B$3,""))</f>
        <v/>
      </c>
      <c r="BZ214" s="161">
        <f>IF(L214="","",IFERROR(L214*HSCEI!$B$61*HSCEI!$G$61/HSCEI!$B$3,""))</f>
        <v/>
      </c>
      <c r="CA214" s="161">
        <f>IF(M214="","",IFERROR(M214*HSCEI!$B$61*HSCEI!$G$61/HSCEI!$B$3,""))</f>
        <v/>
      </c>
      <c r="CB214" s="161">
        <f>IF(N214="","",IFERROR(N214*HSCEI!$B$61*HSCEI!$G$61/HSCEI!$B$3,""))</f>
        <v/>
      </c>
      <c r="CC214" s="161">
        <f>IF(O214="","",IFERROR(O214*HSCEI!$B$61*HSCEI!$G$61/HSCEI!$B$3,""))</f>
        <v/>
      </c>
      <c r="CD214" s="161">
        <f>IF(P214="","",IFERROR(P214*HSCEI!$B$61*HSCEI!$G$61/HSCEI!$B$3,""))</f>
        <v/>
      </c>
      <c r="CE214" s="161">
        <f>IF(Q214="","",IFERROR(Q214*HSCEI!$B$61*HSCEI!$G$61/HSCEI!$B$3,""))</f>
        <v/>
      </c>
      <c r="CF214" s="161">
        <f>IF(R214="","",IFERROR(R214*HSCEI!$B$61*HSCEI!$G$61/HSCEI!$B$3,""))</f>
        <v/>
      </c>
      <c r="CG214" s="161">
        <f>IF(S214="","",IFERROR(S214*HSCEI!$B$61*HSCEI!$G$61/HSCEI!$B$3,""))</f>
        <v/>
      </c>
      <c r="CH214" s="161">
        <f>IF(T214="","",IFERROR(T214*HSCEI!$B$61*HSCEI!$G$61/HSCEI!$B$3,""))</f>
        <v/>
      </c>
      <c r="CI214" s="161">
        <f>IF(U214="","",IFERROR(U214*HSCEI!$B$61*HSCEI!$G$61/HSCEI!$B$3,""))</f>
        <v/>
      </c>
      <c r="CJ214" s="161">
        <f>IF(V214="","",IFERROR(V214*HSCEI!$B$61*HSCEI!$G$61/HSCEI!$B$3,""))</f>
        <v/>
      </c>
      <c r="CK214" s="161">
        <f>IF(W214="","",IFERROR(W214*HSCEI!$B$61*HSCEI!$G$61/HSCEI!$B$3,""))</f>
        <v/>
      </c>
      <c r="CL214" s="161">
        <f>IF(X214="","",IFERROR(X214*HSCEI!$B$61*HSCEI!$G$61/HSCEI!$B$3,""))</f>
        <v/>
      </c>
      <c r="CM214" s="161">
        <f>IF(Y214="","",IFERROR(Y214*HSCEI!$B$61*HSCEI!$G$61/HSCEI!$B$3,""))</f>
        <v/>
      </c>
      <c r="CN214" s="161">
        <f>IF(Z214="","",IFERROR(Z214*HSCEI!$B$61*HSCEI!$G$61/HSCEI!$B$3,""))</f>
        <v/>
      </c>
      <c r="CO214" s="161">
        <f>IF(AA214="","",IFERROR(AA214*HSCEI!$B$61*HSCEI!$G$61/HSCEI!$B$3,""))</f>
        <v/>
      </c>
      <c r="CP214" s="161">
        <f>IF(AB214="","",IFERROR(AB214*HSCEI!$B$61*HSCEI!$G$61/HSCEI!$B$3,""))</f>
        <v/>
      </c>
      <c r="CQ214" s="161">
        <f>IF(AC214="","",IFERROR(AC214*HSCEI!$B$61*HSCEI!$G$61/HSCEI!$B$3,""))</f>
        <v/>
      </c>
      <c r="CR214" s="161">
        <f>IF(AD214="","",IFERROR(AD214*HSCEI!$B$61*HSCEI!$G$61/HSCEI!$B$3,""))</f>
        <v/>
      </c>
      <c r="CS214" s="161">
        <f>IF(AE214="","",IFERROR(AE214*HSCEI!$B$61*HSCEI!$G$61/HSCEI!$B$3,""))</f>
        <v/>
      </c>
      <c r="CT214" s="161">
        <f>IF(AF214="","",IFERROR(AF214*HSCEI!$B$61*HSCEI!$G$61/HSCEI!$B$3,""))</f>
        <v/>
      </c>
      <c r="CU214" s="161">
        <f>IF(AG214="","",IFERROR(AG214*HSCEI!$B$61*HSCEI!$G$61/HSCEI!$B$3,""))</f>
        <v/>
      </c>
      <c r="CV214" s="161">
        <f>IF(AH214="","",IFERROR(AH214*HSCEI!$B$61*HSCEI!$G$61/HSCEI!$B$3,""))</f>
        <v/>
      </c>
      <c r="CW214" s="161">
        <f>IF(AI214="","",IFERROR(AI214*HSCEI!$B$61*HSCEI!$G$61/HSCEI!$B$3,""))</f>
        <v/>
      </c>
      <c r="CX214" s="161">
        <f>IF(AJ214="","",IFERROR(AJ214*HSCEI!$B$61*HSCEI!$G$61/HSCEI!$B$3,""))</f>
        <v/>
      </c>
      <c r="CY214" s="161">
        <f>IF(AK214="","",IFERROR(AK214*HSCEI!$B$61*HSCEI!$G$61/HSCEI!$B$3,""))</f>
        <v/>
      </c>
      <c r="CZ214" s="161">
        <f>IF(AL214="","",IFERROR(AL214*HSCEI!$B$61*HSCEI!$G$61/HSCEI!$B$3,""))</f>
        <v/>
      </c>
      <c r="DA214" s="161">
        <f>IF(AM214="","",IFERROR(AM214*HSCEI!$B$61*HSCEI!$G$61/HSCEI!$B$3,""))</f>
        <v/>
      </c>
      <c r="DB214" s="161">
        <f>IF(AN214="","",IFERROR(AN214*HSCEI!$B$61*HSCEI!$G$61/HSCEI!$B$3,""))</f>
        <v/>
      </c>
      <c r="DC214" s="161">
        <f>IF(AO214="","",IFERROR(AO214*HSCEI!$B$61*HSCEI!$G$61/HSCEI!$B$3,""))</f>
        <v/>
      </c>
      <c r="DD214" s="161">
        <f>IF(AP214="","",IFERROR(AP214*HSCEI!$B$61*HSCEI!$G$61/HSCEI!$B$3,""))</f>
        <v/>
      </c>
      <c r="DE214" s="161">
        <f>IF(AQ214="","",IFERROR(AQ214*HSCEI!$B$61*HSCEI!$G$61/HSCEI!$B$3,""))</f>
        <v/>
      </c>
      <c r="DF214" s="161">
        <f>IF(AR214="","",IFERROR(AR214*HSCEI!$B$61*HSCEI!$G$61/HSCEI!$B$3,""))</f>
        <v/>
      </c>
      <c r="DG214" s="161">
        <f>IF(AS214="","",IFERROR(AS214*HSCEI!$B$61*HSCEI!$G$61/HSCEI!$B$3,""))</f>
        <v/>
      </c>
      <c r="DH214" s="161">
        <f>IF(AT214="","",IFERROR(AT214*HSCEI!$B$61*HSCEI!$G$61/HSCEI!$B$3,""))</f>
        <v/>
      </c>
      <c r="DI214" s="161">
        <f>IF(AU214="","",IFERROR(AU214*HSCEI!$B$61*HSCEI!$G$61/HSCEI!$B$3,""))</f>
        <v/>
      </c>
      <c r="DJ214" s="161">
        <f>IF(AV214="","",IFERROR(AV214*HSCEI!$B$61*HSCEI!$G$61/HSCEI!$B$3,""))</f>
        <v/>
      </c>
      <c r="DK214" s="161">
        <f>IF(AW214="","",IFERROR(AW214*HSCEI!$B$61*HSCEI!$G$61/HSCEI!$B$3,""))</f>
        <v/>
      </c>
      <c r="DL214" s="161">
        <f>IF(AX214="","",IFERROR(AX214*HSCEI!$B$61*HSCEI!$G$61/HSCEI!$B$3,""))</f>
        <v/>
      </c>
      <c r="DM214" s="161">
        <f>IF(AY214="","",IFERROR(AY214*HSCEI!$B$61*HSCEI!$G$61/HSCEI!$B$3,""))</f>
        <v/>
      </c>
      <c r="DN214" s="161">
        <f>IF(AZ214="","",IFERROR(AZ214*HSCEI!$B$61*HSCEI!$G$61/HSCEI!$B$3,""))</f>
        <v/>
      </c>
      <c r="DO214" s="161">
        <f>IF(BA214="","",IFERROR(BA214*HSCEI!$B$61*HSCEI!$G$61/HSCEI!$B$3,""))</f>
        <v/>
      </c>
      <c r="DP214" s="161">
        <f>IF(BB214="","",IFERROR(BB214*HSCEI!$B$61*HSCEI!$G$61/HSCEI!$B$3,""))</f>
        <v/>
      </c>
      <c r="DQ214" s="161">
        <f>IF(BC214="","",IFERROR(BC214*HSCEI!$B$61*HSCEI!$G$61/HSCEI!$B$3,""))</f>
        <v/>
      </c>
      <c r="DR214" s="161">
        <f>IF(BD214="","",IFERROR(BD214*HSCEI!$B$61*HSCEI!$G$61/HSCEI!$B$3,""))</f>
        <v/>
      </c>
      <c r="DS214" s="161">
        <f>IF(BE214="","",IFERROR(BE214*HSCEI!$B$61*HSCEI!$G$61/HSCEI!$B$3,""))</f>
        <v/>
      </c>
      <c r="DT214" s="161">
        <f>IF(BF214="","",IFERROR(BF214*HSCEI!$B$61*HSCEI!$G$61/HSCEI!$B$3,""))</f>
        <v/>
      </c>
      <c r="DU214" s="161">
        <f>IF(BG214="","",IFERROR(BG214*HSCEI!$B$61*HSCEI!$G$61/HSCEI!$B$3,""))</f>
        <v/>
      </c>
      <c r="DV214" s="161">
        <f>IF(BH214="","",IFERROR(BH214*HSCEI!$B$61*HSCEI!$G$61/HSCEI!$B$3,""))</f>
        <v/>
      </c>
      <c r="DW214" s="161">
        <f>IF(BI214="","",IFERROR(BI214*HSCEI!$B$61*HSCEI!$G$61/HSCEI!$B$3,""))</f>
        <v/>
      </c>
      <c r="DX214" s="161">
        <f>IF(BJ214="","",IFERROR(BJ214*HSCEI!$B$61*HSCEI!$G$61/HSCEI!$B$3,""))</f>
        <v/>
      </c>
      <c r="DY214" s="161">
        <f>IF(BK214="","",IFERROR(BK214*HSCEI!$B$61*HSCEI!$G$61/HSCEI!$B$3,""))</f>
        <v/>
      </c>
      <c r="DZ214" s="161">
        <f>IF(BL214="","",IFERROR(BL214*HSCEI!$B$61*HSCEI!$G$61/HSCEI!$B$3,""))</f>
        <v/>
      </c>
      <c r="EA214" s="161">
        <f>IF(BM214="","",IFERROR(BM214*HSCEI!$B$61*HSCEI!$G$61/HSCEI!$B$3,""))</f>
        <v/>
      </c>
      <c r="EB214" s="161">
        <f>IF(BN214="","",IFERROR(BN214*HSCEI!$B$61*HSCEI!$G$61/HSCEI!$B$3,""))</f>
        <v/>
      </c>
      <c r="EC214" s="161">
        <f>IF(BO214="","",IFERROR(BO214*HSCEI!$B$61*HSCEI!$G$61/HSCEI!$B$3,""))</f>
        <v/>
      </c>
      <c r="EE214" s="121">
        <f>IF(N('Dvd Calendar'!$E$2155)=0,"",IF(('Dvd Calendar'!$E$2155&gt;=GRID_FROM)*('Dvd Calendar'!$E$2155&lt;=GRID_TO)*((('Dvd Calendar'!$E$2155&lt;=VAL_DATE)+(COUNTIF('Dvd Calendar'!$E$2162:$AR$2162,'Dvd Calendar'!$E$2155)=0))&gt;0)=0,"",'Dvd Calendar'!$E$2155*1000000000+ISNUMBER('Dvd Calendar'!$E$2158)*100000000+('Dvd Calendar'!$E$2160=SPECIAL_LBL)*10000000+(N('Dvd Calendar'!$E$2154)&gt;0)*(N('Dvd Calendar'!$E$2154)&lt;=VAL_SERIAL)*1000000+55*1000+1))</f>
        <v/>
      </c>
      <c r="EF214" s="121">
        <f>IF(N('Dvd Calendar'!$F$2155)=0,"",IF(('Dvd Calendar'!$F$2155&gt;=GRID_FROM)*('Dvd Calendar'!$F$2155&lt;=GRID_TO)*((('Dvd Calendar'!$F$2155&lt;=VAL_DATE)+(COUNTIF('Dvd Calendar'!$E$2162:$AR$2162,'Dvd Calendar'!$F$2155)=0))&gt;0)=0,"",'Dvd Calendar'!$F$2155*1000000000+ISNUMBER('Dvd Calendar'!$F$2158)*100000000+('Dvd Calendar'!$F$2160=SPECIAL_LBL)*10000000+(N('Dvd Calendar'!$F$2154)&gt;0)*(N('Dvd Calendar'!$F$2154)&lt;=VAL_SERIAL)*1000000+55*1000+2))</f>
        <v/>
      </c>
      <c r="EG214" s="121">
        <f>IF(N('Dvd Calendar'!$G$2155)=0,"",IF(('Dvd Calendar'!$G$2155&gt;=GRID_FROM)*('Dvd Calendar'!$G$2155&lt;=GRID_TO)*((('Dvd Calendar'!$G$2155&lt;=VAL_DATE)+(COUNTIF('Dvd Calendar'!$E$2162:$AR$2162,'Dvd Calendar'!$G$2155)=0))&gt;0)=0,"",'Dvd Calendar'!$G$2155*1000000000+ISNUMBER('Dvd Calendar'!$G$2158)*100000000+('Dvd Calendar'!$G$2160=SPECIAL_LBL)*10000000+(N('Dvd Calendar'!$G$2154)&gt;0)*(N('Dvd Calendar'!$G$2154)&lt;=VAL_SERIAL)*1000000+55*1000+3))</f>
        <v/>
      </c>
      <c r="EH214" s="121">
        <f>IF(N('Dvd Calendar'!$H$2155)=0,"",IF(('Dvd Calendar'!$H$2155&gt;=GRID_FROM)*('Dvd Calendar'!$H$2155&lt;=GRID_TO)*((('Dvd Calendar'!$H$2155&lt;=VAL_DATE)+(COUNTIF('Dvd Calendar'!$E$2162:$AR$2162,'Dvd Calendar'!$H$2155)=0))&gt;0)=0,"",'Dvd Calendar'!$H$2155*1000000000+ISNUMBER('Dvd Calendar'!$H$2158)*100000000+('Dvd Calendar'!$H$2160=SPECIAL_LBL)*10000000+(N('Dvd Calendar'!$H$2154)&gt;0)*(N('Dvd Calendar'!$H$2154)&lt;=VAL_SERIAL)*1000000+55*1000+4))</f>
        <v/>
      </c>
      <c r="EI214" s="121">
        <f>IF(N('Dvd Calendar'!$I$2155)=0,"",IF(('Dvd Calendar'!$I$2155&gt;=GRID_FROM)*('Dvd Calendar'!$I$2155&lt;=GRID_TO)*((('Dvd Calendar'!$I$2155&lt;=VAL_DATE)+(COUNTIF('Dvd Calendar'!$E$2162:$AR$2162,'Dvd Calendar'!$I$2155)=0))&gt;0)=0,"",'Dvd Calendar'!$I$2155*1000000000+ISNUMBER('Dvd Calendar'!$I$2158)*100000000+('Dvd Calendar'!$I$2160=SPECIAL_LBL)*10000000+(N('Dvd Calendar'!$I$2154)&gt;0)*(N('Dvd Calendar'!$I$2154)&lt;=VAL_SERIAL)*1000000+55*1000+5))</f>
        <v/>
      </c>
      <c r="EJ214" s="121">
        <f>IF(N('Dvd Calendar'!$J$2155)=0,"",IF(('Dvd Calendar'!$J$2155&gt;=GRID_FROM)*('Dvd Calendar'!$J$2155&lt;=GRID_TO)*((('Dvd Calendar'!$J$2155&lt;=VAL_DATE)+(COUNTIF('Dvd Calendar'!$E$2162:$AR$2162,'Dvd Calendar'!$J$2155)=0))&gt;0)=0,"",'Dvd Calendar'!$J$2155*1000000000+ISNUMBER('Dvd Calendar'!$J$2158)*100000000+('Dvd Calendar'!$J$2160=SPECIAL_LBL)*10000000+(N('Dvd Calendar'!$J$2154)&gt;0)*(N('Dvd Calendar'!$J$2154)&lt;=VAL_SERIAL)*1000000+55*1000+6))</f>
        <v/>
      </c>
      <c r="EK214" s="121">
        <f>IF(N('Dvd Calendar'!$K$2155)=0,"",IF(('Dvd Calendar'!$K$2155&gt;=GRID_FROM)*('Dvd Calendar'!$K$2155&lt;=GRID_TO)*((('Dvd Calendar'!$K$2155&lt;=VAL_DATE)+(COUNTIF('Dvd Calendar'!$E$2162:$AR$2162,'Dvd Calendar'!$K$2155)=0))&gt;0)=0,"",'Dvd Calendar'!$K$2155*1000000000+ISNUMBER('Dvd Calendar'!$K$2158)*100000000+('Dvd Calendar'!$K$2160=SPECIAL_LBL)*10000000+(N('Dvd Calendar'!$K$2154)&gt;0)*(N('Dvd Calendar'!$K$2154)&lt;=VAL_SERIAL)*1000000+55*1000+7))</f>
        <v/>
      </c>
      <c r="EL214" s="121">
        <f>IF(N('Dvd Calendar'!$L$2155)=0,"",IF(('Dvd Calendar'!$L$2155&gt;=GRID_FROM)*('Dvd Calendar'!$L$2155&lt;=GRID_TO)*((('Dvd Calendar'!$L$2155&lt;=VAL_DATE)+(COUNTIF('Dvd Calendar'!$E$2162:$AR$2162,'Dvd Calendar'!$L$2155)=0))&gt;0)=0,"",'Dvd Calendar'!$L$2155*1000000000+ISNUMBER('Dvd Calendar'!$L$2158)*100000000+('Dvd Calendar'!$L$2160=SPECIAL_LBL)*10000000+(N('Dvd Calendar'!$L$2154)&gt;0)*(N('Dvd Calendar'!$L$2154)&lt;=VAL_SERIAL)*1000000+55*1000+8))</f>
        <v/>
      </c>
      <c r="EM214" s="121">
        <f>IF(N('Dvd Calendar'!$M$2155)=0,"",IF(('Dvd Calendar'!$M$2155&gt;=GRID_FROM)*('Dvd Calendar'!$M$2155&lt;=GRID_TO)*((('Dvd Calendar'!$M$2155&lt;=VAL_DATE)+(COUNTIF('Dvd Calendar'!$E$2162:$AR$2162,'Dvd Calendar'!$M$2155)=0))&gt;0)=0,"",'Dvd Calendar'!$M$2155*1000000000+ISNUMBER('Dvd Calendar'!$M$2158)*100000000+('Dvd Calendar'!$M$2160=SPECIAL_LBL)*10000000+(N('Dvd Calendar'!$M$2154)&gt;0)*(N('Dvd Calendar'!$M$2154)&lt;=VAL_SERIAL)*1000000+55*1000+9))</f>
        <v/>
      </c>
      <c r="EN214" s="121">
        <f>IF(N('Dvd Calendar'!$N$2155)=0,"",IF(('Dvd Calendar'!$N$2155&gt;=GRID_FROM)*('Dvd Calendar'!$N$2155&lt;=GRID_TO)*((('Dvd Calendar'!$N$2155&lt;=VAL_DATE)+(COUNTIF('Dvd Calendar'!$E$2162:$AR$2162,'Dvd Calendar'!$N$2155)=0))&gt;0)=0,"",'Dvd Calendar'!$N$2155*1000000000+ISNUMBER('Dvd Calendar'!$N$2158)*100000000+('Dvd Calendar'!$N$2160=SPECIAL_LBL)*10000000+(N('Dvd Calendar'!$N$2154)&gt;0)*(N('Dvd Calendar'!$N$2154)&lt;=VAL_SERIAL)*1000000+55*1000+10))</f>
        <v/>
      </c>
      <c r="EO214" s="121">
        <f>IF(N('Dvd Calendar'!$O$2155)=0,"",IF(('Dvd Calendar'!$O$2155&gt;=GRID_FROM)*('Dvd Calendar'!$O$2155&lt;=GRID_TO)*((('Dvd Calendar'!$O$2155&lt;=VAL_DATE)+(COUNTIF('Dvd Calendar'!$E$2162:$AR$2162,'Dvd Calendar'!$O$2155)=0))&gt;0)=0,"",'Dvd Calendar'!$O$2155*1000000000+ISNUMBER('Dvd Calendar'!$O$2158)*100000000+('Dvd Calendar'!$O$2160=SPECIAL_LBL)*10000000+(N('Dvd Calendar'!$O$2154)&gt;0)*(N('Dvd Calendar'!$O$2154)&lt;=VAL_SERIAL)*1000000+55*1000+11))</f>
        <v/>
      </c>
      <c r="EP214" s="121">
        <f>IF(N('Dvd Calendar'!$P$2155)=0,"",IF(('Dvd Calendar'!$P$2155&gt;=GRID_FROM)*('Dvd Calendar'!$P$2155&lt;=GRID_TO)*((('Dvd Calendar'!$P$2155&lt;=VAL_DATE)+(COUNTIF('Dvd Calendar'!$E$2162:$AR$2162,'Dvd Calendar'!$P$2155)=0))&gt;0)=0,"",'Dvd Calendar'!$P$2155*1000000000+ISNUMBER('Dvd Calendar'!$P$2158)*100000000+('Dvd Calendar'!$P$2160=SPECIAL_LBL)*10000000+(N('Dvd Calendar'!$P$2154)&gt;0)*(N('Dvd Calendar'!$P$2154)&lt;=VAL_SERIAL)*1000000+55*1000+12))</f>
        <v/>
      </c>
      <c r="EQ214" s="121">
        <f>IF(N('Dvd Calendar'!$Q$2155)=0,"",IF(('Dvd Calendar'!$Q$2155&gt;=GRID_FROM)*('Dvd Calendar'!$Q$2155&lt;=GRID_TO)*((('Dvd Calendar'!$Q$2155&lt;=VAL_DATE)+(COUNTIF('Dvd Calendar'!$E$2162:$AR$2162,'Dvd Calendar'!$Q$2155)=0))&gt;0)=0,"",'Dvd Calendar'!$Q$2155*1000000000+ISNUMBER('Dvd Calendar'!$Q$2158)*100000000+('Dvd Calendar'!$Q$2160=SPECIAL_LBL)*10000000+(N('Dvd Calendar'!$Q$2154)&gt;0)*(N('Dvd Calendar'!$Q$2154)&lt;=VAL_SERIAL)*1000000+55*1000+13))</f>
        <v/>
      </c>
      <c r="ER214" s="121">
        <f>IF(N('Dvd Calendar'!$R$2155)=0,"",IF(('Dvd Calendar'!$R$2155&gt;=GRID_FROM)*('Dvd Calendar'!$R$2155&lt;=GRID_TO)*((('Dvd Calendar'!$R$2155&lt;=VAL_DATE)+(COUNTIF('Dvd Calendar'!$E$2162:$AR$2162,'Dvd Calendar'!$R$2155)=0))&gt;0)=0,"",'Dvd Calendar'!$R$2155*1000000000+ISNUMBER('Dvd Calendar'!$R$2158)*100000000+('Dvd Calendar'!$R$2160=SPECIAL_LBL)*10000000+(N('Dvd Calendar'!$R$2154)&gt;0)*(N('Dvd Calendar'!$R$2154)&lt;=VAL_SERIAL)*1000000+55*1000+14))</f>
        <v/>
      </c>
      <c r="ES214" s="121">
        <f>IF(N('Dvd Calendar'!$S$2155)=0,"",IF(('Dvd Calendar'!$S$2155&gt;=GRID_FROM)*('Dvd Calendar'!$S$2155&lt;=GRID_TO)*((('Dvd Calendar'!$S$2155&lt;=VAL_DATE)+(COUNTIF('Dvd Calendar'!$E$2162:$AR$2162,'Dvd Calendar'!$S$2155)=0))&gt;0)=0,"",'Dvd Calendar'!$S$2155*1000000000+ISNUMBER('Dvd Calendar'!$S$2158)*100000000+('Dvd Calendar'!$S$2160=SPECIAL_LBL)*10000000+(N('Dvd Calendar'!$S$2154)&gt;0)*(N('Dvd Calendar'!$S$2154)&lt;=VAL_SERIAL)*1000000+55*1000+15))</f>
        <v/>
      </c>
      <c r="ET214" s="121">
        <f>IF(N('Dvd Calendar'!$T$2155)=0,"",IF(('Dvd Calendar'!$T$2155&gt;=GRID_FROM)*('Dvd Calendar'!$T$2155&lt;=GRID_TO)*((('Dvd Calendar'!$T$2155&lt;=VAL_DATE)+(COUNTIF('Dvd Calendar'!$E$2162:$AR$2162,'Dvd Calendar'!$T$2155)=0))&gt;0)=0,"",'Dvd Calendar'!$T$2155*1000000000+ISNUMBER('Dvd Calendar'!$T$2158)*100000000+('Dvd Calendar'!$T$2160=SPECIAL_LBL)*10000000+(N('Dvd Calendar'!$T$2154)&gt;0)*(N('Dvd Calendar'!$T$2154)&lt;=VAL_SERIAL)*1000000+55*1000+16))</f>
        <v/>
      </c>
      <c r="EU214" s="121">
        <f>IF(N('Dvd Calendar'!$U$2155)=0,"",IF(('Dvd Calendar'!$U$2155&gt;=GRID_FROM)*('Dvd Calendar'!$U$2155&lt;=GRID_TO)*((('Dvd Calendar'!$U$2155&lt;=VAL_DATE)+(COUNTIF('Dvd Calendar'!$E$2162:$AR$2162,'Dvd Calendar'!$U$2155)=0))&gt;0)=0,"",'Dvd Calendar'!$U$2155*1000000000+ISNUMBER('Dvd Calendar'!$U$2158)*100000000+('Dvd Calendar'!$U$2160=SPECIAL_LBL)*10000000+(N('Dvd Calendar'!$U$2154)&gt;0)*(N('Dvd Calendar'!$U$2154)&lt;=VAL_SERIAL)*1000000+55*1000+17))</f>
        <v/>
      </c>
      <c r="EV214" s="121">
        <f>IF(N('Dvd Calendar'!$V$2155)=0,"",IF(('Dvd Calendar'!$V$2155&gt;=GRID_FROM)*('Dvd Calendar'!$V$2155&lt;=GRID_TO)*((('Dvd Calendar'!$V$2155&lt;=VAL_DATE)+(COUNTIF('Dvd Calendar'!$E$2162:$AR$2162,'Dvd Calendar'!$V$2155)=0))&gt;0)=0,"",'Dvd Calendar'!$V$2155*1000000000+ISNUMBER('Dvd Calendar'!$V$2158)*100000000+('Dvd Calendar'!$V$2160=SPECIAL_LBL)*10000000+(N('Dvd Calendar'!$V$2154)&gt;0)*(N('Dvd Calendar'!$V$2154)&lt;=VAL_SERIAL)*1000000+55*1000+18))</f>
        <v/>
      </c>
      <c r="EW214" s="121">
        <f>IF(N('Dvd Calendar'!$W$2155)=0,"",IF(('Dvd Calendar'!$W$2155&gt;=GRID_FROM)*('Dvd Calendar'!$W$2155&lt;=GRID_TO)*((('Dvd Calendar'!$W$2155&lt;=VAL_DATE)+(COUNTIF('Dvd Calendar'!$E$2162:$AR$2162,'Dvd Calendar'!$W$2155)=0))&gt;0)=0,"",'Dvd Calendar'!$W$2155*1000000000+ISNUMBER('Dvd Calendar'!$W$2158)*100000000+('Dvd Calendar'!$W$2160=SPECIAL_LBL)*10000000+(N('Dvd Calendar'!$W$2154)&gt;0)*(N('Dvd Calendar'!$W$2154)&lt;=VAL_SERIAL)*1000000+55*1000+19))</f>
        <v/>
      </c>
      <c r="EX214" s="121">
        <f>IF(N('Dvd Calendar'!$X$2155)=0,"",IF(('Dvd Calendar'!$X$2155&gt;=GRID_FROM)*('Dvd Calendar'!$X$2155&lt;=GRID_TO)*((('Dvd Calendar'!$X$2155&lt;=VAL_DATE)+(COUNTIF('Dvd Calendar'!$E$2162:$AR$2162,'Dvd Calendar'!$X$2155)=0))&gt;0)=0,"",'Dvd Calendar'!$X$2155*1000000000+ISNUMBER('Dvd Calendar'!$X$2158)*100000000+('Dvd Calendar'!$X$2160=SPECIAL_LBL)*10000000+(N('Dvd Calendar'!$X$2154)&gt;0)*(N('Dvd Calendar'!$X$2154)&lt;=VAL_SERIAL)*1000000+55*1000+20))</f>
        <v/>
      </c>
      <c r="EY214" s="121">
        <f>IF(N('Dvd Calendar'!$Y$2155)=0,"",IF(('Dvd Calendar'!$Y$2155&gt;=GRID_FROM)*('Dvd Calendar'!$Y$2155&lt;=GRID_TO)*((('Dvd Calendar'!$Y$2155&lt;=VAL_DATE)+(COUNTIF('Dvd Calendar'!$E$2162:$AR$2162,'Dvd Calendar'!$Y$2155)=0))&gt;0)=0,"",'Dvd Calendar'!$Y$2155*1000000000+ISNUMBER('Dvd Calendar'!$Y$2158)*100000000+('Dvd Calendar'!$Y$2160=SPECIAL_LBL)*10000000+(N('Dvd Calendar'!$Y$2154)&gt;0)*(N('Dvd Calendar'!$Y$2154)&lt;=VAL_SERIAL)*1000000+55*1000+21))</f>
        <v/>
      </c>
      <c r="EZ214" s="121">
        <f>IF(N('Dvd Calendar'!$Z$2155)=0,"",IF(('Dvd Calendar'!$Z$2155&gt;=GRID_FROM)*('Dvd Calendar'!$Z$2155&lt;=GRID_TO)*((('Dvd Calendar'!$Z$2155&lt;=VAL_DATE)+(COUNTIF('Dvd Calendar'!$E$2162:$AR$2162,'Dvd Calendar'!$Z$2155)=0))&gt;0)=0,"",'Dvd Calendar'!$Z$2155*1000000000+ISNUMBER('Dvd Calendar'!$Z$2158)*100000000+('Dvd Calendar'!$Z$2160=SPECIAL_LBL)*10000000+(N('Dvd Calendar'!$Z$2154)&gt;0)*(N('Dvd Calendar'!$Z$2154)&lt;=VAL_SERIAL)*1000000+55*1000+22))</f>
        <v/>
      </c>
      <c r="FA214" s="121">
        <f>IF(N('Dvd Calendar'!$AA$2155)=0,"",IF(('Dvd Calendar'!$AA$2155&gt;=GRID_FROM)*('Dvd Calendar'!$AA$2155&lt;=GRID_TO)*((('Dvd Calendar'!$AA$2155&lt;=VAL_DATE)+(COUNTIF('Dvd Calendar'!$E$2162:$AR$2162,'Dvd Calendar'!$AA$2155)=0))&gt;0)=0,"",'Dvd Calendar'!$AA$2155*1000000000+ISNUMBER('Dvd Calendar'!$AA$2158)*100000000+('Dvd Calendar'!$AA$2160=SPECIAL_LBL)*10000000+(N('Dvd Calendar'!$AA$2154)&gt;0)*(N('Dvd Calendar'!$AA$2154)&lt;=VAL_SERIAL)*1000000+55*1000+23))</f>
        <v/>
      </c>
      <c r="FB214" s="121">
        <f>IF(N('Dvd Calendar'!$AB$2155)=0,"",IF(('Dvd Calendar'!$AB$2155&gt;=GRID_FROM)*('Dvd Calendar'!$AB$2155&lt;=GRID_TO)*((('Dvd Calendar'!$AB$2155&lt;=VAL_DATE)+(COUNTIF('Dvd Calendar'!$E$2162:$AR$2162,'Dvd Calendar'!$AB$2155)=0))&gt;0)=0,"",'Dvd Calendar'!$AB$2155*1000000000+ISNUMBER('Dvd Calendar'!$AB$2158)*100000000+('Dvd Calendar'!$AB$2160=SPECIAL_LBL)*10000000+(N('Dvd Calendar'!$AB$2154)&gt;0)*(N('Dvd Calendar'!$AB$2154)&lt;=VAL_SERIAL)*1000000+55*1000+24))</f>
        <v/>
      </c>
      <c r="FC214" s="121">
        <f>IF(N('Dvd Calendar'!$AC$2155)=0,"",IF(('Dvd Calendar'!$AC$2155&gt;=GRID_FROM)*('Dvd Calendar'!$AC$2155&lt;=GRID_TO)*((('Dvd Calendar'!$AC$2155&lt;=VAL_DATE)+(COUNTIF('Dvd Calendar'!$E$2162:$AR$2162,'Dvd Calendar'!$AC$2155)=0))&gt;0)=0,"",'Dvd Calendar'!$AC$2155*1000000000+ISNUMBER('Dvd Calendar'!$AC$2158)*100000000+('Dvd Calendar'!$AC$2160=SPECIAL_LBL)*10000000+(N('Dvd Calendar'!$AC$2154)&gt;0)*(N('Dvd Calendar'!$AC$2154)&lt;=VAL_SERIAL)*1000000+55*1000+25))</f>
        <v/>
      </c>
      <c r="FD214" s="121">
        <f>IF(N('Dvd Calendar'!$AD$2155)=0,"",IF(('Dvd Calendar'!$AD$2155&gt;=GRID_FROM)*('Dvd Calendar'!$AD$2155&lt;=GRID_TO)*((('Dvd Calendar'!$AD$2155&lt;=VAL_DATE)+(COUNTIF('Dvd Calendar'!$E$2162:$AR$2162,'Dvd Calendar'!$AD$2155)=0))&gt;0)=0,"",'Dvd Calendar'!$AD$2155*1000000000+ISNUMBER('Dvd Calendar'!$AD$2158)*100000000+('Dvd Calendar'!$AD$2160=SPECIAL_LBL)*10000000+(N('Dvd Calendar'!$AD$2154)&gt;0)*(N('Dvd Calendar'!$AD$2154)&lt;=VAL_SERIAL)*1000000+55*1000+26))</f>
        <v/>
      </c>
      <c r="FE214" s="121">
        <f>IF(N('Dvd Calendar'!$AE$2155)=0,"",IF(('Dvd Calendar'!$AE$2155&gt;=GRID_FROM)*('Dvd Calendar'!$AE$2155&lt;=GRID_TO)*((('Dvd Calendar'!$AE$2155&lt;=VAL_DATE)+(COUNTIF('Dvd Calendar'!$E$2162:$AR$2162,'Dvd Calendar'!$AE$2155)=0))&gt;0)=0,"",'Dvd Calendar'!$AE$2155*1000000000+ISNUMBER('Dvd Calendar'!$AE$2158)*100000000+('Dvd Calendar'!$AE$2160=SPECIAL_LBL)*10000000+(N('Dvd Calendar'!$AE$2154)&gt;0)*(N('Dvd Calendar'!$AE$2154)&lt;=VAL_SERIAL)*1000000+55*1000+27))</f>
        <v/>
      </c>
      <c r="FF214" s="121">
        <f>IF(N('Dvd Calendar'!$AF$2155)=0,"",IF(('Dvd Calendar'!$AF$2155&gt;=GRID_FROM)*('Dvd Calendar'!$AF$2155&lt;=GRID_TO)*((('Dvd Calendar'!$AF$2155&lt;=VAL_DATE)+(COUNTIF('Dvd Calendar'!$E$2162:$AR$2162,'Dvd Calendar'!$AF$2155)=0))&gt;0)=0,"",'Dvd Calendar'!$AF$2155*1000000000+ISNUMBER('Dvd Calendar'!$AF$2158)*100000000+('Dvd Calendar'!$AF$2160=SPECIAL_LBL)*10000000+(N('Dvd Calendar'!$AF$2154)&gt;0)*(N('Dvd Calendar'!$AF$2154)&lt;=VAL_SERIAL)*1000000+55*1000+28))</f>
        <v/>
      </c>
      <c r="FG214" s="121">
        <f>IF(N('Dvd Calendar'!$AG$2155)=0,"",IF(('Dvd Calendar'!$AG$2155&gt;=GRID_FROM)*('Dvd Calendar'!$AG$2155&lt;=GRID_TO)*((('Dvd Calendar'!$AG$2155&lt;=VAL_DATE)+(COUNTIF('Dvd Calendar'!$E$2162:$AR$2162,'Dvd Calendar'!$AG$2155)=0))&gt;0)=0,"",'Dvd Calendar'!$AG$2155*1000000000+ISNUMBER('Dvd Calendar'!$AG$2158)*100000000+('Dvd Calendar'!$AG$2160=SPECIAL_LBL)*10000000+(N('Dvd Calendar'!$AG$2154)&gt;0)*(N('Dvd Calendar'!$AG$2154)&lt;=VAL_SERIAL)*1000000+55*1000+29))</f>
        <v/>
      </c>
      <c r="FH214" s="121">
        <f>IF(N('Dvd Calendar'!$AH$2155)=0,"",IF(('Dvd Calendar'!$AH$2155&gt;=GRID_FROM)*('Dvd Calendar'!$AH$2155&lt;=GRID_TO)*((('Dvd Calendar'!$AH$2155&lt;=VAL_DATE)+(COUNTIF('Dvd Calendar'!$E$2162:$AR$2162,'Dvd Calendar'!$AH$2155)=0))&gt;0)=0,"",'Dvd Calendar'!$AH$2155*1000000000+ISNUMBER('Dvd Calendar'!$AH$2158)*100000000+('Dvd Calendar'!$AH$2160=SPECIAL_LBL)*10000000+(N('Dvd Calendar'!$AH$2154)&gt;0)*(N('Dvd Calendar'!$AH$2154)&lt;=VAL_SERIAL)*1000000+55*1000+30))</f>
        <v/>
      </c>
      <c r="FI214" s="121">
        <f>IF(N('Dvd Calendar'!$AI$2155)=0,"",IF(('Dvd Calendar'!$AI$2155&gt;=GRID_FROM)*('Dvd Calendar'!$AI$2155&lt;=GRID_TO)*((('Dvd Calendar'!$AI$2155&lt;=VAL_DATE)+(COUNTIF('Dvd Calendar'!$E$2162:$AR$2162,'Dvd Calendar'!$AI$2155)=0))&gt;0)=0,"",'Dvd Calendar'!$AI$2155*1000000000+ISNUMBER('Dvd Calendar'!$AI$2158)*100000000+('Dvd Calendar'!$AI$2160=SPECIAL_LBL)*10000000+(N('Dvd Calendar'!$AI$2154)&gt;0)*(N('Dvd Calendar'!$AI$2154)&lt;=VAL_SERIAL)*1000000+55*1000+31))</f>
        <v/>
      </c>
      <c r="FJ214" s="121">
        <f>IF(N('Dvd Calendar'!$AJ$2155)=0,"",IF(('Dvd Calendar'!$AJ$2155&gt;=GRID_FROM)*('Dvd Calendar'!$AJ$2155&lt;=GRID_TO)*((('Dvd Calendar'!$AJ$2155&lt;=VAL_DATE)+(COUNTIF('Dvd Calendar'!$E$2162:$AR$2162,'Dvd Calendar'!$AJ$2155)=0))&gt;0)=0,"",'Dvd Calendar'!$AJ$2155*1000000000+ISNUMBER('Dvd Calendar'!$AJ$2158)*100000000+('Dvd Calendar'!$AJ$2160=SPECIAL_LBL)*10000000+(N('Dvd Calendar'!$AJ$2154)&gt;0)*(N('Dvd Calendar'!$AJ$2154)&lt;=VAL_SERIAL)*1000000+55*1000+32))</f>
        <v/>
      </c>
      <c r="FK214" s="121">
        <f>IF(N('Dvd Calendar'!$AK$2155)=0,"",IF(('Dvd Calendar'!$AK$2155&gt;=GRID_FROM)*('Dvd Calendar'!$AK$2155&lt;=GRID_TO)*((('Dvd Calendar'!$AK$2155&lt;=VAL_DATE)+(COUNTIF('Dvd Calendar'!$E$2162:$AR$2162,'Dvd Calendar'!$AK$2155)=0))&gt;0)=0,"",'Dvd Calendar'!$AK$2155*1000000000+ISNUMBER('Dvd Calendar'!$AK$2158)*100000000+('Dvd Calendar'!$AK$2160=SPECIAL_LBL)*10000000+(N('Dvd Calendar'!$AK$2154)&gt;0)*(N('Dvd Calendar'!$AK$2154)&lt;=VAL_SERIAL)*1000000+55*1000+33))</f>
        <v/>
      </c>
      <c r="FL214" s="121">
        <f>IF(N('Dvd Calendar'!$AL$2155)=0,"",IF(('Dvd Calendar'!$AL$2155&gt;=GRID_FROM)*('Dvd Calendar'!$AL$2155&lt;=GRID_TO)*((('Dvd Calendar'!$AL$2155&lt;=VAL_DATE)+(COUNTIF('Dvd Calendar'!$E$2162:$AR$2162,'Dvd Calendar'!$AL$2155)=0))&gt;0)=0,"",'Dvd Calendar'!$AL$2155*1000000000+ISNUMBER('Dvd Calendar'!$AL$2158)*100000000+('Dvd Calendar'!$AL$2160=SPECIAL_LBL)*10000000+(N('Dvd Calendar'!$AL$2154)&gt;0)*(N('Dvd Calendar'!$AL$2154)&lt;=VAL_SERIAL)*1000000+55*1000+34))</f>
        <v/>
      </c>
      <c r="FM214" s="121">
        <f>IF(N('Dvd Calendar'!$AM$2155)=0,"",IF(('Dvd Calendar'!$AM$2155&gt;=GRID_FROM)*('Dvd Calendar'!$AM$2155&lt;=GRID_TO)*((('Dvd Calendar'!$AM$2155&lt;=VAL_DATE)+(COUNTIF('Dvd Calendar'!$E$2162:$AR$2162,'Dvd Calendar'!$AM$2155)=0))&gt;0)=0,"",'Dvd Calendar'!$AM$2155*1000000000+ISNUMBER('Dvd Calendar'!$AM$2158)*100000000+('Dvd Calendar'!$AM$2160=SPECIAL_LBL)*10000000+(N('Dvd Calendar'!$AM$2154)&gt;0)*(N('Dvd Calendar'!$AM$2154)&lt;=VAL_SERIAL)*1000000+55*1000+35))</f>
        <v/>
      </c>
      <c r="FN214" s="121">
        <f>IF(N('Dvd Calendar'!$AN$2155)=0,"",IF(('Dvd Calendar'!$AN$2155&gt;=GRID_FROM)*('Dvd Calendar'!$AN$2155&lt;=GRID_TO)*((('Dvd Calendar'!$AN$2155&lt;=VAL_DATE)+(COUNTIF('Dvd Calendar'!$E$2162:$AR$2162,'Dvd Calendar'!$AN$2155)=0))&gt;0)=0,"",'Dvd Calendar'!$AN$2155*1000000000+ISNUMBER('Dvd Calendar'!$AN$2158)*100000000+('Dvd Calendar'!$AN$2160=SPECIAL_LBL)*10000000+(N('Dvd Calendar'!$AN$2154)&gt;0)*(N('Dvd Calendar'!$AN$2154)&lt;=VAL_SERIAL)*1000000+55*1000+36))</f>
        <v/>
      </c>
      <c r="FO214" s="121">
        <f>IF(N('Dvd Calendar'!$AO$2155)=0,"",IF(('Dvd Calendar'!$AO$2155&gt;=GRID_FROM)*('Dvd Calendar'!$AO$2155&lt;=GRID_TO)*((('Dvd Calendar'!$AO$2155&lt;=VAL_DATE)+(COUNTIF('Dvd Calendar'!$E$2162:$AR$2162,'Dvd Calendar'!$AO$2155)=0))&gt;0)=0,"",'Dvd Calendar'!$AO$2155*1000000000+ISNUMBER('Dvd Calendar'!$AO$2158)*100000000+('Dvd Calendar'!$AO$2160=SPECIAL_LBL)*10000000+(N('Dvd Calendar'!$AO$2154)&gt;0)*(N('Dvd Calendar'!$AO$2154)&lt;=VAL_SERIAL)*1000000+55*1000+37))</f>
        <v/>
      </c>
      <c r="FP214" s="121">
        <f>IF(N('Dvd Calendar'!$AP$2155)=0,"",IF(('Dvd Calendar'!$AP$2155&gt;=GRID_FROM)*('Dvd Calendar'!$AP$2155&lt;=GRID_TO)*((('Dvd Calendar'!$AP$2155&lt;=VAL_DATE)+(COUNTIF('Dvd Calendar'!$E$2162:$AR$2162,'Dvd Calendar'!$AP$2155)=0))&gt;0)=0,"",'Dvd Calendar'!$AP$2155*1000000000+ISNUMBER('Dvd Calendar'!$AP$2158)*100000000+('Dvd Calendar'!$AP$2160=SPECIAL_LBL)*10000000+(N('Dvd Calendar'!$AP$2154)&gt;0)*(N('Dvd Calendar'!$AP$2154)&lt;=VAL_SERIAL)*1000000+55*1000+38))</f>
        <v/>
      </c>
      <c r="FQ214" s="121">
        <f>IF(N('Dvd Calendar'!$AQ$2155)=0,"",IF(('Dvd Calendar'!$AQ$2155&gt;=GRID_FROM)*('Dvd Calendar'!$AQ$2155&lt;=GRID_TO)*((('Dvd Calendar'!$AQ$2155&lt;=VAL_DATE)+(COUNTIF('Dvd Calendar'!$E$2162:$AR$2162,'Dvd Calendar'!$AQ$2155)=0))&gt;0)=0,"",'Dvd Calendar'!$AQ$2155*1000000000+ISNUMBER('Dvd Calendar'!$AQ$2158)*100000000+('Dvd Calendar'!$AQ$2160=SPECIAL_LBL)*10000000+(N('Dvd Calendar'!$AQ$2154)&gt;0)*(N('Dvd Calendar'!$AQ$2154)&lt;=VAL_SERIAL)*1000000+55*1000+39))</f>
        <v/>
      </c>
      <c r="FR214" s="121">
        <f>IF(N('Dvd Calendar'!$AR$2155)=0,"",IF(('Dvd Calendar'!$AR$2155&gt;=GRID_FROM)*('Dvd Calendar'!$AR$2155&lt;=GRID_TO)*((('Dvd Calendar'!$AR$2155&lt;=VAL_DATE)+(COUNTIF('Dvd Calendar'!$E$2162:$AR$2162,'Dvd Calendar'!$AR$2155)=0))&gt;0)=0,"",'Dvd Calendar'!$AR$2155*1000000000+ISNUMBER('Dvd Calendar'!$AR$2158)*100000000+('Dvd Calendar'!$AR$2160=SPECIAL_LBL)*10000000+(N('Dvd Calendar'!$AR$2154)&gt;0)*(N('Dvd Calendar'!$AR$2154)&lt;=VAL_SERIAL)*1000000+55*1000+40))</f>
        <v/>
      </c>
      <c r="FS214" s="121">
        <f>IF(N('Dvd Calendar'!$E$2162)=0,"",IF(('Dvd Calendar'!$E$2162&gt;=GRID_FROM)*('Dvd Calendar'!$E$2162&lt;=GRID_TO)*('Dvd Calendar'!$E$2162&gt;VAL_DATE)=0,"",'Dvd Calendar'!$E$2162*1000000000+ISNUMBER('Dvd Calendar'!$E$2163)*100000000+0*10000000+(N('Dvd Calendar'!$E$2161)&gt;0)*(N('Dvd Calendar'!$E$2161)&lt;=VAL_SERIAL)*1000000+55*1000+41))</f>
        <v/>
      </c>
      <c r="FT214" s="121">
        <f>IF(N('Dvd Calendar'!$F$2162)=0,"",IF(('Dvd Calendar'!$F$2162&gt;=GRID_FROM)*('Dvd Calendar'!$F$2162&lt;=GRID_TO)*('Dvd Calendar'!$F$2162&gt;VAL_DATE)=0,"",'Dvd Calendar'!$F$2162*1000000000+ISNUMBER('Dvd Calendar'!$F$2163)*100000000+0*10000000+(N('Dvd Calendar'!$F$2161)&gt;0)*(N('Dvd Calendar'!$F$2161)&lt;=VAL_SERIAL)*1000000+55*1000+42))</f>
        <v/>
      </c>
      <c r="FU214" s="121">
        <f>IF(N('Dvd Calendar'!$G$2162)=0,"",IF(('Dvd Calendar'!$G$2162&gt;=GRID_FROM)*('Dvd Calendar'!$G$2162&lt;=GRID_TO)*('Dvd Calendar'!$G$2162&gt;VAL_DATE)=0,"",'Dvd Calendar'!$G$2162*1000000000+ISNUMBER('Dvd Calendar'!$G$2163)*100000000+0*10000000+(N('Dvd Calendar'!$G$2161)&gt;0)*(N('Dvd Calendar'!$G$2161)&lt;=VAL_SERIAL)*1000000+55*1000+43))</f>
        <v/>
      </c>
      <c r="FV214" s="121">
        <f>IF(N('Dvd Calendar'!$H$2162)=0,"",IF(('Dvd Calendar'!$H$2162&gt;=GRID_FROM)*('Dvd Calendar'!$H$2162&lt;=GRID_TO)*('Dvd Calendar'!$H$2162&gt;VAL_DATE)=0,"",'Dvd Calendar'!$H$2162*1000000000+ISNUMBER('Dvd Calendar'!$H$2163)*100000000+0*10000000+(N('Dvd Calendar'!$H$2161)&gt;0)*(N('Dvd Calendar'!$H$2161)&lt;=VAL_SERIAL)*1000000+55*1000+44))</f>
        <v/>
      </c>
      <c r="FW214" s="121">
        <f>IF(N('Dvd Calendar'!$I$2162)=0,"",IF(('Dvd Calendar'!$I$2162&gt;=GRID_FROM)*('Dvd Calendar'!$I$2162&lt;=GRID_TO)*('Dvd Calendar'!$I$2162&gt;VAL_DATE)=0,"",'Dvd Calendar'!$I$2162*1000000000+ISNUMBER('Dvd Calendar'!$I$2163)*100000000+0*10000000+(N('Dvd Calendar'!$I$2161)&gt;0)*(N('Dvd Calendar'!$I$2161)&lt;=VAL_SERIAL)*1000000+55*1000+45))</f>
        <v/>
      </c>
      <c r="FX214" s="121">
        <f>IF(N('Dvd Calendar'!$J$2162)=0,"",IF(('Dvd Calendar'!$J$2162&gt;=GRID_FROM)*('Dvd Calendar'!$J$2162&lt;=GRID_TO)*('Dvd Calendar'!$J$2162&gt;VAL_DATE)=0,"",'Dvd Calendar'!$J$2162*1000000000+ISNUMBER('Dvd Calendar'!$J$2163)*100000000+0*10000000+(N('Dvd Calendar'!$J$2161)&gt;0)*(N('Dvd Calendar'!$J$2161)&lt;=VAL_SERIAL)*1000000+55*1000+46))</f>
        <v/>
      </c>
      <c r="FY214" s="121">
        <f>IF(N('Dvd Calendar'!$K$2162)=0,"",IF(('Dvd Calendar'!$K$2162&gt;=GRID_FROM)*('Dvd Calendar'!$K$2162&lt;=GRID_TO)*('Dvd Calendar'!$K$2162&gt;VAL_DATE)=0,"",'Dvd Calendar'!$K$2162*1000000000+ISNUMBER('Dvd Calendar'!$K$2163)*100000000+0*10000000+(N('Dvd Calendar'!$K$2161)&gt;0)*(N('Dvd Calendar'!$K$2161)&lt;=VAL_SERIAL)*1000000+55*1000+47))</f>
        <v/>
      </c>
      <c r="FZ214" s="121">
        <f>IF(N('Dvd Calendar'!$L$2162)=0,"",IF(('Dvd Calendar'!$L$2162&gt;=GRID_FROM)*('Dvd Calendar'!$L$2162&lt;=GRID_TO)*('Dvd Calendar'!$L$2162&gt;VAL_DATE)=0,"",'Dvd Calendar'!$L$2162*1000000000+ISNUMBER('Dvd Calendar'!$L$2163)*100000000+0*10000000+(N('Dvd Calendar'!$L$2161)&gt;0)*(N('Dvd Calendar'!$L$2161)&lt;=VAL_SERIAL)*1000000+55*1000+48))</f>
        <v/>
      </c>
      <c r="GA214" s="121">
        <f>IF(N('Dvd Calendar'!$M$2162)=0,"",IF(('Dvd Calendar'!$M$2162&gt;=GRID_FROM)*('Dvd Calendar'!$M$2162&lt;=GRID_TO)*('Dvd Calendar'!$M$2162&gt;VAL_DATE)=0,"",'Dvd Calendar'!$M$2162*1000000000+ISNUMBER('Dvd Calendar'!$M$2163)*100000000+0*10000000+(N('Dvd Calendar'!$M$2161)&gt;0)*(N('Dvd Calendar'!$M$2161)&lt;=VAL_SERIAL)*1000000+55*1000+49))</f>
        <v/>
      </c>
      <c r="GB214" s="121">
        <f>IF(N('Dvd Calendar'!$N$2162)=0,"",IF(('Dvd Calendar'!$N$2162&gt;=GRID_FROM)*('Dvd Calendar'!$N$2162&lt;=GRID_TO)*('Dvd Calendar'!$N$2162&gt;VAL_DATE)=0,"",'Dvd Calendar'!$N$2162*1000000000+ISNUMBER('Dvd Calendar'!$N$2163)*100000000+0*10000000+(N('Dvd Calendar'!$N$2161)&gt;0)*(N('Dvd Calendar'!$N$2161)&lt;=VAL_SERIAL)*1000000+55*1000+50))</f>
        <v/>
      </c>
      <c r="GC214" s="121">
        <f>IF(N('Dvd Calendar'!$O$2162)=0,"",IF(('Dvd Calendar'!$O$2162&gt;=GRID_FROM)*('Dvd Calendar'!$O$2162&lt;=GRID_TO)*('Dvd Calendar'!$O$2162&gt;VAL_DATE)=0,"",'Dvd Calendar'!$O$2162*1000000000+ISNUMBER('Dvd Calendar'!$O$2163)*100000000+0*10000000+(N('Dvd Calendar'!$O$2161)&gt;0)*(N('Dvd Calendar'!$O$2161)&lt;=VAL_SERIAL)*1000000+55*1000+51))</f>
        <v/>
      </c>
      <c r="GD214" s="121">
        <f>IF(N('Dvd Calendar'!$P$2162)=0,"",IF(('Dvd Calendar'!$P$2162&gt;=GRID_FROM)*('Dvd Calendar'!$P$2162&lt;=GRID_TO)*('Dvd Calendar'!$P$2162&gt;VAL_DATE)=0,"",'Dvd Calendar'!$P$2162*1000000000+ISNUMBER('Dvd Calendar'!$P$2163)*100000000+0*10000000+(N('Dvd Calendar'!$P$2161)&gt;0)*(N('Dvd Calendar'!$P$2161)&lt;=VAL_SERIAL)*1000000+55*1000+52))</f>
        <v/>
      </c>
      <c r="GE214" s="121">
        <f>IF(N('Dvd Calendar'!$Q$2162)=0,"",IF(('Dvd Calendar'!$Q$2162&gt;=GRID_FROM)*('Dvd Calendar'!$Q$2162&lt;=GRID_TO)*('Dvd Calendar'!$Q$2162&gt;VAL_DATE)=0,"",'Dvd Calendar'!$Q$2162*1000000000+ISNUMBER('Dvd Calendar'!$Q$2163)*100000000+0*10000000+(N('Dvd Calendar'!$Q$2161)&gt;0)*(N('Dvd Calendar'!$Q$2161)&lt;=VAL_SERIAL)*1000000+55*1000+53))</f>
        <v/>
      </c>
      <c r="GF214" s="121">
        <f>IF(N('Dvd Calendar'!$R$2162)=0,"",IF(('Dvd Calendar'!$R$2162&gt;=GRID_FROM)*('Dvd Calendar'!$R$2162&lt;=GRID_TO)*('Dvd Calendar'!$R$2162&gt;VAL_DATE)=0,"",'Dvd Calendar'!$R$2162*1000000000+ISNUMBER('Dvd Calendar'!$R$2163)*100000000+0*10000000+(N('Dvd Calendar'!$R$2161)&gt;0)*(N('Dvd Calendar'!$R$2161)&lt;=VAL_SERIAL)*1000000+55*1000+54))</f>
        <v/>
      </c>
      <c r="GG214" s="121">
        <f>IF(N('Dvd Calendar'!$S$2162)=0,"",IF(('Dvd Calendar'!$S$2162&gt;=GRID_FROM)*('Dvd Calendar'!$S$2162&lt;=GRID_TO)*('Dvd Calendar'!$S$2162&gt;VAL_DATE)=0,"",'Dvd Calendar'!$S$2162*1000000000+ISNUMBER('Dvd Calendar'!$S$2163)*100000000+0*10000000+(N('Dvd Calendar'!$S$2161)&gt;0)*(N('Dvd Calendar'!$S$2161)&lt;=VAL_SERIAL)*1000000+55*1000+55))</f>
        <v/>
      </c>
      <c r="GH214" s="121">
        <f>IF(N('Dvd Calendar'!$T$2162)=0,"",IF(('Dvd Calendar'!$T$2162&gt;=GRID_FROM)*('Dvd Calendar'!$T$2162&lt;=GRID_TO)*('Dvd Calendar'!$T$2162&gt;VAL_DATE)=0,"",'Dvd Calendar'!$T$2162*1000000000+ISNUMBER('Dvd Calendar'!$T$2163)*100000000+0*10000000+(N('Dvd Calendar'!$T$2161)&gt;0)*(N('Dvd Calendar'!$T$2161)&lt;=VAL_SERIAL)*1000000+55*1000+56))</f>
        <v/>
      </c>
      <c r="GI214" s="121">
        <f>IF(N('Dvd Calendar'!$U$2162)=0,"",IF(('Dvd Calendar'!$U$2162&gt;=GRID_FROM)*('Dvd Calendar'!$U$2162&lt;=GRID_TO)*('Dvd Calendar'!$U$2162&gt;VAL_DATE)=0,"",'Dvd Calendar'!$U$2162*1000000000+ISNUMBER('Dvd Calendar'!$U$2163)*100000000+0*10000000+(N('Dvd Calendar'!$U$2161)&gt;0)*(N('Dvd Calendar'!$U$2161)&lt;=VAL_SERIAL)*1000000+55*1000+57))</f>
        <v/>
      </c>
      <c r="GJ214" s="121">
        <f>IF(N('Dvd Calendar'!$V$2162)=0,"",IF(('Dvd Calendar'!$V$2162&gt;=GRID_FROM)*('Dvd Calendar'!$V$2162&lt;=GRID_TO)*('Dvd Calendar'!$V$2162&gt;VAL_DATE)=0,"",'Dvd Calendar'!$V$2162*1000000000+ISNUMBER('Dvd Calendar'!$V$2163)*100000000+0*10000000+(N('Dvd Calendar'!$V$2161)&gt;0)*(N('Dvd Calendar'!$V$2161)&lt;=VAL_SERIAL)*1000000+55*1000+58))</f>
        <v/>
      </c>
      <c r="GK214" s="121">
        <f>IF(N('Dvd Calendar'!$W$2162)=0,"",IF(('Dvd Calendar'!$W$2162&gt;=GRID_FROM)*('Dvd Calendar'!$W$2162&lt;=GRID_TO)*('Dvd Calendar'!$W$2162&gt;VAL_DATE)=0,"",'Dvd Calendar'!$W$2162*1000000000+ISNUMBER('Dvd Calendar'!$W$2163)*100000000+0*10000000+(N('Dvd Calendar'!$W$2161)&gt;0)*(N('Dvd Calendar'!$W$2161)&lt;=VAL_SERIAL)*1000000+55*1000+59))</f>
        <v/>
      </c>
      <c r="GL214" s="121">
        <f>IF(N('Dvd Calendar'!$X$2162)=0,"",IF(('Dvd Calendar'!$X$2162&gt;=GRID_FROM)*('Dvd Calendar'!$X$2162&lt;=GRID_TO)*('Dvd Calendar'!$X$2162&gt;VAL_DATE)=0,"",'Dvd Calendar'!$X$2162*1000000000+ISNUMBER('Dvd Calendar'!$X$2163)*100000000+0*10000000+(N('Dvd Calendar'!$X$2161)&gt;0)*(N('Dvd Calendar'!$X$2161)&lt;=VAL_SERIAL)*1000000+55*1000+60))</f>
        <v/>
      </c>
      <c r="GM214" s="121">
        <f>IF(N('Dvd Calendar'!$Y$2162)=0,"",IF(('Dvd Calendar'!$Y$2162&gt;=GRID_FROM)*('Dvd Calendar'!$Y$2162&lt;=GRID_TO)*('Dvd Calendar'!$Y$2162&gt;VAL_DATE)=0,"",'Dvd Calendar'!$Y$2162*1000000000+ISNUMBER('Dvd Calendar'!$Y$2163)*100000000+0*10000000+(N('Dvd Calendar'!$Y$2161)&gt;0)*(N('Dvd Calendar'!$Y$2161)&lt;=VAL_SERIAL)*1000000+55*1000+61))</f>
        <v/>
      </c>
      <c r="GN214" s="121">
        <f>IF(N('Dvd Calendar'!$Z$2162)=0,"",IF(('Dvd Calendar'!$Z$2162&gt;=GRID_FROM)*('Dvd Calendar'!$Z$2162&lt;=GRID_TO)*('Dvd Calendar'!$Z$2162&gt;VAL_DATE)=0,"",'Dvd Calendar'!$Z$2162*1000000000+ISNUMBER('Dvd Calendar'!$Z$2163)*100000000+0*10000000+(N('Dvd Calendar'!$Z$2161)&gt;0)*(N('Dvd Calendar'!$Z$2161)&lt;=VAL_SERIAL)*1000000+55*1000+62))</f>
        <v/>
      </c>
      <c r="GO214" s="121">
        <f>IF(N('Dvd Calendar'!$AA$2162)=0,"",IF(('Dvd Calendar'!$AA$2162&gt;=GRID_FROM)*('Dvd Calendar'!$AA$2162&lt;=GRID_TO)*('Dvd Calendar'!$AA$2162&gt;VAL_DATE)=0,"",'Dvd Calendar'!$AA$2162*1000000000+ISNUMBER('Dvd Calendar'!$AA$2163)*100000000+0*10000000+(N('Dvd Calendar'!$AA$2161)&gt;0)*(N('Dvd Calendar'!$AA$2161)&lt;=VAL_SERIAL)*1000000+55*1000+63))</f>
        <v/>
      </c>
      <c r="GP214" s="121">
        <f>IF(N('Dvd Calendar'!$AB$2162)=0,"",IF(('Dvd Calendar'!$AB$2162&gt;=GRID_FROM)*('Dvd Calendar'!$AB$2162&lt;=GRID_TO)*('Dvd Calendar'!$AB$2162&gt;VAL_DATE)=0,"",'Dvd Calendar'!$AB$2162*1000000000+ISNUMBER('Dvd Calendar'!$AB$2163)*100000000+0*10000000+(N('Dvd Calendar'!$AB$2161)&gt;0)*(N('Dvd Calendar'!$AB$2161)&lt;=VAL_SERIAL)*1000000+55*1000+64))</f>
        <v/>
      </c>
      <c r="GQ214" s="121">
        <f>IF(N('Dvd Calendar'!$AC$2162)=0,"",IF(('Dvd Calendar'!$AC$2162&gt;=GRID_FROM)*('Dvd Calendar'!$AC$2162&lt;=GRID_TO)*('Dvd Calendar'!$AC$2162&gt;VAL_DATE)=0,"",'Dvd Calendar'!$AC$2162*1000000000+ISNUMBER('Dvd Calendar'!$AC$2163)*100000000+0*10000000+(N('Dvd Calendar'!$AC$2161)&gt;0)*(N('Dvd Calendar'!$AC$2161)&lt;=VAL_SERIAL)*1000000+55*1000+65))</f>
        <v/>
      </c>
    </row>
    <row r="215">
      <c r="B215" s="2">
        <f>IF(HSCEI!$C$62="","",HSCEI!$C$62)</f>
        <v/>
      </c>
      <c r="C215" s="161">
        <f>IF(EE215="","",IF(ISNUMBER('Dvd Calendar'!$E$2169)=FALSE,"",IF((('Dvd Calendar'!$E$2171=TYPE1)*(TYPE1&lt;&gt;"")+('Dvd Calendar'!$E$2171=TYPE2)*(TYPE2&lt;&gt;"")+('Dvd Calendar'!$E$2171=TYPE3)*(TYPE3&lt;&gt;"")+('Dvd Calendar'!$E$2171=TYPE4)*(TYPE4&lt;&gt;"")+('Dvd Calendar'!$E$2171=SPECIAL_LBL)*(INC_SPECIALS="Y"))=0,"",'Dvd Calendar'!$E$2169)))</f>
        <v/>
      </c>
      <c r="D215" s="161">
        <f>IF(EF215="","",IF(ISNUMBER('Dvd Calendar'!$F$2169)=FALSE,"",IF((('Dvd Calendar'!$F$2171=TYPE1)*(TYPE1&lt;&gt;"")+('Dvd Calendar'!$F$2171=TYPE2)*(TYPE2&lt;&gt;"")+('Dvd Calendar'!$F$2171=TYPE3)*(TYPE3&lt;&gt;"")+('Dvd Calendar'!$F$2171=TYPE4)*(TYPE4&lt;&gt;"")+('Dvd Calendar'!$F$2171=SPECIAL_LBL)*(INC_SPECIALS="Y"))=0,"",'Dvd Calendar'!$F$2169)))</f>
        <v/>
      </c>
      <c r="E215" s="161">
        <f>IF(EG215="","",IF(ISNUMBER('Dvd Calendar'!$G$2169)=FALSE,"",IF((('Dvd Calendar'!$G$2171=TYPE1)*(TYPE1&lt;&gt;"")+('Dvd Calendar'!$G$2171=TYPE2)*(TYPE2&lt;&gt;"")+('Dvd Calendar'!$G$2171=TYPE3)*(TYPE3&lt;&gt;"")+('Dvd Calendar'!$G$2171=TYPE4)*(TYPE4&lt;&gt;"")+('Dvd Calendar'!$G$2171=SPECIAL_LBL)*(INC_SPECIALS="Y"))=0,"",'Dvd Calendar'!$G$2169)))</f>
        <v/>
      </c>
      <c r="F215" s="161">
        <f>IF(EH215="","",IF(ISNUMBER('Dvd Calendar'!$H$2169)=FALSE,"",IF((('Dvd Calendar'!$H$2171=TYPE1)*(TYPE1&lt;&gt;"")+('Dvd Calendar'!$H$2171=TYPE2)*(TYPE2&lt;&gt;"")+('Dvd Calendar'!$H$2171=TYPE3)*(TYPE3&lt;&gt;"")+('Dvd Calendar'!$H$2171=TYPE4)*(TYPE4&lt;&gt;"")+('Dvd Calendar'!$H$2171=SPECIAL_LBL)*(INC_SPECIALS="Y"))=0,"",'Dvd Calendar'!$H$2169)))</f>
        <v/>
      </c>
      <c r="G215" s="161">
        <f>IF(EI215="","",IF(ISNUMBER('Dvd Calendar'!$I$2169)=FALSE,"",IF((('Dvd Calendar'!$I$2171=TYPE1)*(TYPE1&lt;&gt;"")+('Dvd Calendar'!$I$2171=TYPE2)*(TYPE2&lt;&gt;"")+('Dvd Calendar'!$I$2171=TYPE3)*(TYPE3&lt;&gt;"")+('Dvd Calendar'!$I$2171=TYPE4)*(TYPE4&lt;&gt;"")+('Dvd Calendar'!$I$2171=SPECIAL_LBL)*(INC_SPECIALS="Y"))=0,"",'Dvd Calendar'!$I$2169)))</f>
        <v/>
      </c>
      <c r="H215" s="161">
        <f>IF(EJ215="","",IF(ISNUMBER('Dvd Calendar'!$J$2169)=FALSE,"",IF((('Dvd Calendar'!$J$2171=TYPE1)*(TYPE1&lt;&gt;"")+('Dvd Calendar'!$J$2171=TYPE2)*(TYPE2&lt;&gt;"")+('Dvd Calendar'!$J$2171=TYPE3)*(TYPE3&lt;&gt;"")+('Dvd Calendar'!$J$2171=TYPE4)*(TYPE4&lt;&gt;"")+('Dvd Calendar'!$J$2171=SPECIAL_LBL)*(INC_SPECIALS="Y"))=0,"",'Dvd Calendar'!$J$2169)))</f>
        <v/>
      </c>
      <c r="I215" s="161">
        <f>IF(EK215="","",IF(ISNUMBER('Dvd Calendar'!$K$2169)=FALSE,"",IF((('Dvd Calendar'!$K$2171=TYPE1)*(TYPE1&lt;&gt;"")+('Dvd Calendar'!$K$2171=TYPE2)*(TYPE2&lt;&gt;"")+('Dvd Calendar'!$K$2171=TYPE3)*(TYPE3&lt;&gt;"")+('Dvd Calendar'!$K$2171=TYPE4)*(TYPE4&lt;&gt;"")+('Dvd Calendar'!$K$2171=SPECIAL_LBL)*(INC_SPECIALS="Y"))=0,"",'Dvd Calendar'!$K$2169)))</f>
        <v/>
      </c>
      <c r="J215" s="161">
        <f>IF(EL215="","",IF(ISNUMBER('Dvd Calendar'!$L$2169)=FALSE,"",IF((('Dvd Calendar'!$L$2171=TYPE1)*(TYPE1&lt;&gt;"")+('Dvd Calendar'!$L$2171=TYPE2)*(TYPE2&lt;&gt;"")+('Dvd Calendar'!$L$2171=TYPE3)*(TYPE3&lt;&gt;"")+('Dvd Calendar'!$L$2171=TYPE4)*(TYPE4&lt;&gt;"")+('Dvd Calendar'!$L$2171=SPECIAL_LBL)*(INC_SPECIALS="Y"))=0,"",'Dvd Calendar'!$L$2169)))</f>
        <v/>
      </c>
      <c r="K215" s="161">
        <f>IF(EM215="","",IF(ISNUMBER('Dvd Calendar'!$M$2169)=FALSE,"",IF((('Dvd Calendar'!$M$2171=TYPE1)*(TYPE1&lt;&gt;"")+('Dvd Calendar'!$M$2171=TYPE2)*(TYPE2&lt;&gt;"")+('Dvd Calendar'!$M$2171=TYPE3)*(TYPE3&lt;&gt;"")+('Dvd Calendar'!$M$2171=TYPE4)*(TYPE4&lt;&gt;"")+('Dvd Calendar'!$M$2171=SPECIAL_LBL)*(INC_SPECIALS="Y"))=0,"",'Dvd Calendar'!$M$2169)))</f>
        <v/>
      </c>
      <c r="L215" s="161">
        <f>IF(EN215="","",IF(ISNUMBER('Dvd Calendar'!$N$2169)=FALSE,"",IF((('Dvd Calendar'!$N$2171=TYPE1)*(TYPE1&lt;&gt;"")+('Dvd Calendar'!$N$2171=TYPE2)*(TYPE2&lt;&gt;"")+('Dvd Calendar'!$N$2171=TYPE3)*(TYPE3&lt;&gt;"")+('Dvd Calendar'!$N$2171=TYPE4)*(TYPE4&lt;&gt;"")+('Dvd Calendar'!$N$2171=SPECIAL_LBL)*(INC_SPECIALS="Y"))=0,"",'Dvd Calendar'!$N$2169)))</f>
        <v/>
      </c>
      <c r="M215" s="161">
        <f>IF(EO215="","",IF(ISNUMBER('Dvd Calendar'!$O$2169)=FALSE,"",IF((('Dvd Calendar'!$O$2171=TYPE1)*(TYPE1&lt;&gt;"")+('Dvd Calendar'!$O$2171=TYPE2)*(TYPE2&lt;&gt;"")+('Dvd Calendar'!$O$2171=TYPE3)*(TYPE3&lt;&gt;"")+('Dvd Calendar'!$O$2171=TYPE4)*(TYPE4&lt;&gt;"")+('Dvd Calendar'!$O$2171=SPECIAL_LBL)*(INC_SPECIALS="Y"))=0,"",'Dvd Calendar'!$O$2169)))</f>
        <v/>
      </c>
      <c r="N215" s="161">
        <f>IF(EP215="","",IF(ISNUMBER('Dvd Calendar'!$P$2169)=FALSE,"",IF((('Dvd Calendar'!$P$2171=TYPE1)*(TYPE1&lt;&gt;"")+('Dvd Calendar'!$P$2171=TYPE2)*(TYPE2&lt;&gt;"")+('Dvd Calendar'!$P$2171=TYPE3)*(TYPE3&lt;&gt;"")+('Dvd Calendar'!$P$2171=TYPE4)*(TYPE4&lt;&gt;"")+('Dvd Calendar'!$P$2171=SPECIAL_LBL)*(INC_SPECIALS="Y"))=0,"",'Dvd Calendar'!$P$2169)))</f>
        <v/>
      </c>
      <c r="O215" s="161">
        <f>IF(EQ215="","",IF(ISNUMBER('Dvd Calendar'!$Q$2169)=FALSE,"",IF((('Dvd Calendar'!$Q$2171=TYPE1)*(TYPE1&lt;&gt;"")+('Dvd Calendar'!$Q$2171=TYPE2)*(TYPE2&lt;&gt;"")+('Dvd Calendar'!$Q$2171=TYPE3)*(TYPE3&lt;&gt;"")+('Dvd Calendar'!$Q$2171=TYPE4)*(TYPE4&lt;&gt;"")+('Dvd Calendar'!$Q$2171=SPECIAL_LBL)*(INC_SPECIALS="Y"))=0,"",'Dvd Calendar'!$Q$2169)))</f>
        <v/>
      </c>
      <c r="P215" s="161">
        <f>IF(ER215="","",IF(ISNUMBER('Dvd Calendar'!$R$2169)=FALSE,"",IF((('Dvd Calendar'!$R$2171=TYPE1)*(TYPE1&lt;&gt;"")+('Dvd Calendar'!$R$2171=TYPE2)*(TYPE2&lt;&gt;"")+('Dvd Calendar'!$R$2171=TYPE3)*(TYPE3&lt;&gt;"")+('Dvd Calendar'!$R$2171=TYPE4)*(TYPE4&lt;&gt;"")+('Dvd Calendar'!$R$2171=SPECIAL_LBL)*(INC_SPECIALS="Y"))=0,"",'Dvd Calendar'!$R$2169)))</f>
        <v/>
      </c>
      <c r="Q215" s="161">
        <f>IF(ES215="","",IF(ISNUMBER('Dvd Calendar'!$S$2169)=FALSE,"",IF((('Dvd Calendar'!$S$2171=TYPE1)*(TYPE1&lt;&gt;"")+('Dvd Calendar'!$S$2171=TYPE2)*(TYPE2&lt;&gt;"")+('Dvd Calendar'!$S$2171=TYPE3)*(TYPE3&lt;&gt;"")+('Dvd Calendar'!$S$2171=TYPE4)*(TYPE4&lt;&gt;"")+('Dvd Calendar'!$S$2171=SPECIAL_LBL)*(INC_SPECIALS="Y"))=0,"",'Dvd Calendar'!$S$2169)))</f>
        <v/>
      </c>
      <c r="R215" s="161">
        <f>IF(ET215="","",IF(ISNUMBER('Dvd Calendar'!$T$2169)=FALSE,"",IF((('Dvd Calendar'!$T$2171=TYPE1)*(TYPE1&lt;&gt;"")+('Dvd Calendar'!$T$2171=TYPE2)*(TYPE2&lt;&gt;"")+('Dvd Calendar'!$T$2171=TYPE3)*(TYPE3&lt;&gt;"")+('Dvd Calendar'!$T$2171=TYPE4)*(TYPE4&lt;&gt;"")+('Dvd Calendar'!$T$2171=SPECIAL_LBL)*(INC_SPECIALS="Y"))=0,"",'Dvd Calendar'!$T$2169)))</f>
        <v/>
      </c>
      <c r="S215" s="161">
        <f>IF(EU215="","",IF(ISNUMBER('Dvd Calendar'!$U$2169)=FALSE,"",IF((('Dvd Calendar'!$U$2171=TYPE1)*(TYPE1&lt;&gt;"")+('Dvd Calendar'!$U$2171=TYPE2)*(TYPE2&lt;&gt;"")+('Dvd Calendar'!$U$2171=TYPE3)*(TYPE3&lt;&gt;"")+('Dvd Calendar'!$U$2171=TYPE4)*(TYPE4&lt;&gt;"")+('Dvd Calendar'!$U$2171=SPECIAL_LBL)*(INC_SPECIALS="Y"))=0,"",'Dvd Calendar'!$U$2169)))</f>
        <v/>
      </c>
      <c r="T215" s="161">
        <f>IF(EV215="","",IF(ISNUMBER('Dvd Calendar'!$V$2169)=FALSE,"",IF((('Dvd Calendar'!$V$2171=TYPE1)*(TYPE1&lt;&gt;"")+('Dvd Calendar'!$V$2171=TYPE2)*(TYPE2&lt;&gt;"")+('Dvd Calendar'!$V$2171=TYPE3)*(TYPE3&lt;&gt;"")+('Dvd Calendar'!$V$2171=TYPE4)*(TYPE4&lt;&gt;"")+('Dvd Calendar'!$V$2171=SPECIAL_LBL)*(INC_SPECIALS="Y"))=0,"",'Dvd Calendar'!$V$2169)))</f>
        <v/>
      </c>
      <c r="U215" s="161">
        <f>IF(EW215="","",IF(ISNUMBER('Dvd Calendar'!$W$2169)=FALSE,"",IF((('Dvd Calendar'!$W$2171=TYPE1)*(TYPE1&lt;&gt;"")+('Dvd Calendar'!$W$2171=TYPE2)*(TYPE2&lt;&gt;"")+('Dvd Calendar'!$W$2171=TYPE3)*(TYPE3&lt;&gt;"")+('Dvd Calendar'!$W$2171=TYPE4)*(TYPE4&lt;&gt;"")+('Dvd Calendar'!$W$2171=SPECIAL_LBL)*(INC_SPECIALS="Y"))=0,"",'Dvd Calendar'!$W$2169)))</f>
        <v/>
      </c>
      <c r="V215" s="161">
        <f>IF(EX215="","",IF(ISNUMBER('Dvd Calendar'!$X$2169)=FALSE,"",IF((('Dvd Calendar'!$X$2171=TYPE1)*(TYPE1&lt;&gt;"")+('Dvd Calendar'!$X$2171=TYPE2)*(TYPE2&lt;&gt;"")+('Dvd Calendar'!$X$2171=TYPE3)*(TYPE3&lt;&gt;"")+('Dvd Calendar'!$X$2171=TYPE4)*(TYPE4&lt;&gt;"")+('Dvd Calendar'!$X$2171=SPECIAL_LBL)*(INC_SPECIALS="Y"))=0,"",'Dvd Calendar'!$X$2169)))</f>
        <v/>
      </c>
      <c r="W215" s="161">
        <f>IF(EY215="","",IF(ISNUMBER('Dvd Calendar'!$Y$2169)=FALSE,"",IF((('Dvd Calendar'!$Y$2171=TYPE1)*(TYPE1&lt;&gt;"")+('Dvd Calendar'!$Y$2171=TYPE2)*(TYPE2&lt;&gt;"")+('Dvd Calendar'!$Y$2171=TYPE3)*(TYPE3&lt;&gt;"")+('Dvd Calendar'!$Y$2171=TYPE4)*(TYPE4&lt;&gt;"")+('Dvd Calendar'!$Y$2171=SPECIAL_LBL)*(INC_SPECIALS="Y"))=0,"",'Dvd Calendar'!$Y$2169)))</f>
        <v/>
      </c>
      <c r="X215" s="161">
        <f>IF(EZ215="","",IF(ISNUMBER('Dvd Calendar'!$Z$2169)=FALSE,"",IF((('Dvd Calendar'!$Z$2171=TYPE1)*(TYPE1&lt;&gt;"")+('Dvd Calendar'!$Z$2171=TYPE2)*(TYPE2&lt;&gt;"")+('Dvd Calendar'!$Z$2171=TYPE3)*(TYPE3&lt;&gt;"")+('Dvd Calendar'!$Z$2171=TYPE4)*(TYPE4&lt;&gt;"")+('Dvd Calendar'!$Z$2171=SPECIAL_LBL)*(INC_SPECIALS="Y"))=0,"",'Dvd Calendar'!$Z$2169)))</f>
        <v/>
      </c>
      <c r="Y215" s="161">
        <f>IF(FA215="","",IF(ISNUMBER('Dvd Calendar'!$AA$2169)=FALSE,"",IF((('Dvd Calendar'!$AA$2171=TYPE1)*(TYPE1&lt;&gt;"")+('Dvd Calendar'!$AA$2171=TYPE2)*(TYPE2&lt;&gt;"")+('Dvd Calendar'!$AA$2171=TYPE3)*(TYPE3&lt;&gt;"")+('Dvd Calendar'!$AA$2171=TYPE4)*(TYPE4&lt;&gt;"")+('Dvd Calendar'!$AA$2171=SPECIAL_LBL)*(INC_SPECIALS="Y"))=0,"",'Dvd Calendar'!$AA$2169)))</f>
        <v/>
      </c>
      <c r="Z215" s="161">
        <f>IF(FB215="","",IF(ISNUMBER('Dvd Calendar'!$AB$2169)=FALSE,"",IF((('Dvd Calendar'!$AB$2171=TYPE1)*(TYPE1&lt;&gt;"")+('Dvd Calendar'!$AB$2171=TYPE2)*(TYPE2&lt;&gt;"")+('Dvd Calendar'!$AB$2171=TYPE3)*(TYPE3&lt;&gt;"")+('Dvd Calendar'!$AB$2171=TYPE4)*(TYPE4&lt;&gt;"")+('Dvd Calendar'!$AB$2171=SPECIAL_LBL)*(INC_SPECIALS="Y"))=0,"",'Dvd Calendar'!$AB$2169)))</f>
        <v/>
      </c>
      <c r="AA215" s="161">
        <f>IF(FC215="","",IF(ISNUMBER('Dvd Calendar'!$AC$2169)=FALSE,"",IF((('Dvd Calendar'!$AC$2171=TYPE1)*(TYPE1&lt;&gt;"")+('Dvd Calendar'!$AC$2171=TYPE2)*(TYPE2&lt;&gt;"")+('Dvd Calendar'!$AC$2171=TYPE3)*(TYPE3&lt;&gt;"")+('Dvd Calendar'!$AC$2171=TYPE4)*(TYPE4&lt;&gt;"")+('Dvd Calendar'!$AC$2171=SPECIAL_LBL)*(INC_SPECIALS="Y"))=0,"",'Dvd Calendar'!$AC$2169)))</f>
        <v/>
      </c>
      <c r="AB215" s="161">
        <f>IF(FD215="","",IF(ISNUMBER('Dvd Calendar'!$AD$2169)=FALSE,"",IF((('Dvd Calendar'!$AD$2171=TYPE1)*(TYPE1&lt;&gt;"")+('Dvd Calendar'!$AD$2171=TYPE2)*(TYPE2&lt;&gt;"")+('Dvd Calendar'!$AD$2171=TYPE3)*(TYPE3&lt;&gt;"")+('Dvd Calendar'!$AD$2171=TYPE4)*(TYPE4&lt;&gt;"")+('Dvd Calendar'!$AD$2171=SPECIAL_LBL)*(INC_SPECIALS="Y"))=0,"",'Dvd Calendar'!$AD$2169)))</f>
        <v/>
      </c>
      <c r="AC215" s="161">
        <f>IF(FE215="","",IF(ISNUMBER('Dvd Calendar'!$AE$2169)=FALSE,"",IF((('Dvd Calendar'!$AE$2171=TYPE1)*(TYPE1&lt;&gt;"")+('Dvd Calendar'!$AE$2171=TYPE2)*(TYPE2&lt;&gt;"")+('Dvd Calendar'!$AE$2171=TYPE3)*(TYPE3&lt;&gt;"")+('Dvd Calendar'!$AE$2171=TYPE4)*(TYPE4&lt;&gt;"")+('Dvd Calendar'!$AE$2171=SPECIAL_LBL)*(INC_SPECIALS="Y"))=0,"",'Dvd Calendar'!$AE$2169)))</f>
        <v/>
      </c>
      <c r="AD215" s="161">
        <f>IF(FF215="","",IF(ISNUMBER('Dvd Calendar'!$AF$2169)=FALSE,"",IF((('Dvd Calendar'!$AF$2171=TYPE1)*(TYPE1&lt;&gt;"")+('Dvd Calendar'!$AF$2171=TYPE2)*(TYPE2&lt;&gt;"")+('Dvd Calendar'!$AF$2171=TYPE3)*(TYPE3&lt;&gt;"")+('Dvd Calendar'!$AF$2171=TYPE4)*(TYPE4&lt;&gt;"")+('Dvd Calendar'!$AF$2171=SPECIAL_LBL)*(INC_SPECIALS="Y"))=0,"",'Dvd Calendar'!$AF$2169)))</f>
        <v/>
      </c>
      <c r="AE215" s="161">
        <f>IF(FG215="","",IF(ISNUMBER('Dvd Calendar'!$AG$2169)=FALSE,"",IF((('Dvd Calendar'!$AG$2171=TYPE1)*(TYPE1&lt;&gt;"")+('Dvd Calendar'!$AG$2171=TYPE2)*(TYPE2&lt;&gt;"")+('Dvd Calendar'!$AG$2171=TYPE3)*(TYPE3&lt;&gt;"")+('Dvd Calendar'!$AG$2171=TYPE4)*(TYPE4&lt;&gt;"")+('Dvd Calendar'!$AG$2171=SPECIAL_LBL)*(INC_SPECIALS="Y"))=0,"",'Dvd Calendar'!$AG$2169)))</f>
        <v/>
      </c>
      <c r="AF215" s="161">
        <f>IF(FH215="","",IF(ISNUMBER('Dvd Calendar'!$AH$2169)=FALSE,"",IF((('Dvd Calendar'!$AH$2171=TYPE1)*(TYPE1&lt;&gt;"")+('Dvd Calendar'!$AH$2171=TYPE2)*(TYPE2&lt;&gt;"")+('Dvd Calendar'!$AH$2171=TYPE3)*(TYPE3&lt;&gt;"")+('Dvd Calendar'!$AH$2171=TYPE4)*(TYPE4&lt;&gt;"")+('Dvd Calendar'!$AH$2171=SPECIAL_LBL)*(INC_SPECIALS="Y"))=0,"",'Dvd Calendar'!$AH$2169)))</f>
        <v/>
      </c>
      <c r="AG215" s="161">
        <f>IF(FI215="","",IF(ISNUMBER('Dvd Calendar'!$AI$2169)=FALSE,"",IF((('Dvd Calendar'!$AI$2171=TYPE1)*(TYPE1&lt;&gt;"")+('Dvd Calendar'!$AI$2171=TYPE2)*(TYPE2&lt;&gt;"")+('Dvd Calendar'!$AI$2171=TYPE3)*(TYPE3&lt;&gt;"")+('Dvd Calendar'!$AI$2171=TYPE4)*(TYPE4&lt;&gt;"")+('Dvd Calendar'!$AI$2171=SPECIAL_LBL)*(INC_SPECIALS="Y"))=0,"",'Dvd Calendar'!$AI$2169)))</f>
        <v/>
      </c>
      <c r="AH215" s="161">
        <f>IF(FJ215="","",IF(ISNUMBER('Dvd Calendar'!$AJ$2169)=FALSE,"",IF((('Dvd Calendar'!$AJ$2171=TYPE1)*(TYPE1&lt;&gt;"")+('Dvd Calendar'!$AJ$2171=TYPE2)*(TYPE2&lt;&gt;"")+('Dvd Calendar'!$AJ$2171=TYPE3)*(TYPE3&lt;&gt;"")+('Dvd Calendar'!$AJ$2171=TYPE4)*(TYPE4&lt;&gt;"")+('Dvd Calendar'!$AJ$2171=SPECIAL_LBL)*(INC_SPECIALS="Y"))=0,"",'Dvd Calendar'!$AJ$2169)))</f>
        <v/>
      </c>
      <c r="AI215" s="161">
        <f>IF(FK215="","",IF(ISNUMBER('Dvd Calendar'!$AK$2169)=FALSE,"",IF((('Dvd Calendar'!$AK$2171=TYPE1)*(TYPE1&lt;&gt;"")+('Dvd Calendar'!$AK$2171=TYPE2)*(TYPE2&lt;&gt;"")+('Dvd Calendar'!$AK$2171=TYPE3)*(TYPE3&lt;&gt;"")+('Dvd Calendar'!$AK$2171=TYPE4)*(TYPE4&lt;&gt;"")+('Dvd Calendar'!$AK$2171=SPECIAL_LBL)*(INC_SPECIALS="Y"))=0,"",'Dvd Calendar'!$AK$2169)))</f>
        <v/>
      </c>
      <c r="AJ215" s="161">
        <f>IF(FL215="","",IF(ISNUMBER('Dvd Calendar'!$AL$2169)=FALSE,"",IF((('Dvd Calendar'!$AL$2171=TYPE1)*(TYPE1&lt;&gt;"")+('Dvd Calendar'!$AL$2171=TYPE2)*(TYPE2&lt;&gt;"")+('Dvd Calendar'!$AL$2171=TYPE3)*(TYPE3&lt;&gt;"")+('Dvd Calendar'!$AL$2171=TYPE4)*(TYPE4&lt;&gt;"")+('Dvd Calendar'!$AL$2171=SPECIAL_LBL)*(INC_SPECIALS="Y"))=0,"",'Dvd Calendar'!$AL$2169)))</f>
        <v/>
      </c>
      <c r="AK215" s="161">
        <f>IF(FM215="","",IF(ISNUMBER('Dvd Calendar'!$AM$2169)=FALSE,"",IF((('Dvd Calendar'!$AM$2171=TYPE1)*(TYPE1&lt;&gt;"")+('Dvd Calendar'!$AM$2171=TYPE2)*(TYPE2&lt;&gt;"")+('Dvd Calendar'!$AM$2171=TYPE3)*(TYPE3&lt;&gt;"")+('Dvd Calendar'!$AM$2171=TYPE4)*(TYPE4&lt;&gt;"")+('Dvd Calendar'!$AM$2171=SPECIAL_LBL)*(INC_SPECIALS="Y"))=0,"",'Dvd Calendar'!$AM$2169)))</f>
        <v/>
      </c>
      <c r="AL215" s="161">
        <f>IF(FN215="","",IF(ISNUMBER('Dvd Calendar'!$AN$2169)=FALSE,"",IF((('Dvd Calendar'!$AN$2171=TYPE1)*(TYPE1&lt;&gt;"")+('Dvd Calendar'!$AN$2171=TYPE2)*(TYPE2&lt;&gt;"")+('Dvd Calendar'!$AN$2171=TYPE3)*(TYPE3&lt;&gt;"")+('Dvd Calendar'!$AN$2171=TYPE4)*(TYPE4&lt;&gt;"")+('Dvd Calendar'!$AN$2171=SPECIAL_LBL)*(INC_SPECIALS="Y"))=0,"",'Dvd Calendar'!$AN$2169)))</f>
        <v/>
      </c>
      <c r="AM215" s="161">
        <f>IF(FO215="","",IF(ISNUMBER('Dvd Calendar'!$AO$2169)=FALSE,"",IF((('Dvd Calendar'!$AO$2171=TYPE1)*(TYPE1&lt;&gt;"")+('Dvd Calendar'!$AO$2171=TYPE2)*(TYPE2&lt;&gt;"")+('Dvd Calendar'!$AO$2171=TYPE3)*(TYPE3&lt;&gt;"")+('Dvd Calendar'!$AO$2171=TYPE4)*(TYPE4&lt;&gt;"")+('Dvd Calendar'!$AO$2171=SPECIAL_LBL)*(INC_SPECIALS="Y"))=0,"",'Dvd Calendar'!$AO$2169)))</f>
        <v/>
      </c>
      <c r="AN215" s="161">
        <f>IF(FP215="","",IF(ISNUMBER('Dvd Calendar'!$AP$2169)=FALSE,"",IF((('Dvd Calendar'!$AP$2171=TYPE1)*(TYPE1&lt;&gt;"")+('Dvd Calendar'!$AP$2171=TYPE2)*(TYPE2&lt;&gt;"")+('Dvd Calendar'!$AP$2171=TYPE3)*(TYPE3&lt;&gt;"")+('Dvd Calendar'!$AP$2171=TYPE4)*(TYPE4&lt;&gt;"")+('Dvd Calendar'!$AP$2171=SPECIAL_LBL)*(INC_SPECIALS="Y"))=0,"",'Dvd Calendar'!$AP$2169)))</f>
        <v/>
      </c>
      <c r="AO215" s="161">
        <f>IF(FQ215="","",IF(ISNUMBER('Dvd Calendar'!$AQ$2169)=FALSE,"",IF((('Dvd Calendar'!$AQ$2171=TYPE1)*(TYPE1&lt;&gt;"")+('Dvd Calendar'!$AQ$2171=TYPE2)*(TYPE2&lt;&gt;"")+('Dvd Calendar'!$AQ$2171=TYPE3)*(TYPE3&lt;&gt;"")+('Dvd Calendar'!$AQ$2171=TYPE4)*(TYPE4&lt;&gt;"")+('Dvd Calendar'!$AQ$2171=SPECIAL_LBL)*(INC_SPECIALS="Y"))=0,"",'Dvd Calendar'!$AQ$2169)))</f>
        <v/>
      </c>
      <c r="AP215" s="161">
        <f>IF(FR215="","",IF(ISNUMBER('Dvd Calendar'!$AR$2169)=FALSE,"",IF((('Dvd Calendar'!$AR$2171=TYPE1)*(TYPE1&lt;&gt;"")+('Dvd Calendar'!$AR$2171=TYPE2)*(TYPE2&lt;&gt;"")+('Dvd Calendar'!$AR$2171=TYPE3)*(TYPE3&lt;&gt;"")+('Dvd Calendar'!$AR$2171=TYPE4)*(TYPE4&lt;&gt;"")+('Dvd Calendar'!$AR$2171=SPECIAL_LBL)*(INC_SPECIALS="Y"))=0,"",'Dvd Calendar'!$AR$2169)))</f>
        <v/>
      </c>
      <c r="AQ215" s="161">
        <f>IF(FS215="","",IF(ISNUMBER('Dvd Calendar'!$E$2174)=FALSE,"",'Dvd Calendar'!$E$2174))</f>
        <v/>
      </c>
      <c r="AR215" s="161">
        <f>IF(FT215="","",IF(ISNUMBER('Dvd Calendar'!$F$2174)=FALSE,"",'Dvd Calendar'!$F$2174))</f>
        <v/>
      </c>
      <c r="AS215" s="161">
        <f>IF(FU215="","",IF(ISNUMBER('Dvd Calendar'!$G$2174)=FALSE,"",'Dvd Calendar'!$G$2174))</f>
        <v/>
      </c>
      <c r="AT215" s="161">
        <f>IF(FV215="","",IF(ISNUMBER('Dvd Calendar'!$H$2174)=FALSE,"",'Dvd Calendar'!$H$2174))</f>
        <v/>
      </c>
      <c r="AU215" s="161">
        <f>IF(FW215="","",IF(ISNUMBER('Dvd Calendar'!$I$2174)=FALSE,"",'Dvd Calendar'!$I$2174))</f>
        <v/>
      </c>
      <c r="AV215" s="161">
        <f>IF(FX215="","",IF(ISNUMBER('Dvd Calendar'!$J$2174)=FALSE,"",'Dvd Calendar'!$J$2174))</f>
        <v/>
      </c>
      <c r="AW215" s="161">
        <f>IF(FY215="","",IF(ISNUMBER('Dvd Calendar'!$K$2174)=FALSE,"",'Dvd Calendar'!$K$2174))</f>
        <v/>
      </c>
      <c r="AX215" s="161">
        <f>IF(FZ215="","",IF(ISNUMBER('Dvd Calendar'!$L$2174)=FALSE,"",'Dvd Calendar'!$L$2174))</f>
        <v/>
      </c>
      <c r="AY215" s="161">
        <f>IF(GA215="","",IF(ISNUMBER('Dvd Calendar'!$M$2174)=FALSE,"",'Dvd Calendar'!$M$2174))</f>
        <v/>
      </c>
      <c r="AZ215" s="161">
        <f>IF(GB215="","",IF(ISNUMBER('Dvd Calendar'!$N$2174)=FALSE,"",'Dvd Calendar'!$N$2174))</f>
        <v/>
      </c>
      <c r="BA215" s="161">
        <f>IF(GC215="","",IF(ISNUMBER('Dvd Calendar'!$O$2174)=FALSE,"",'Dvd Calendar'!$O$2174))</f>
        <v/>
      </c>
      <c r="BB215" s="161">
        <f>IF(GD215="","",IF(ISNUMBER('Dvd Calendar'!$P$2174)=FALSE,"",'Dvd Calendar'!$P$2174))</f>
        <v/>
      </c>
      <c r="BC215" s="161">
        <f>IF(GE215="","",IF(ISNUMBER('Dvd Calendar'!$Q$2174)=FALSE,"",'Dvd Calendar'!$Q$2174))</f>
        <v/>
      </c>
      <c r="BD215" s="161">
        <f>IF(GF215="","",IF(ISNUMBER('Dvd Calendar'!$R$2174)=FALSE,"",'Dvd Calendar'!$R$2174))</f>
        <v/>
      </c>
      <c r="BE215" s="161">
        <f>IF(GG215="","",IF(ISNUMBER('Dvd Calendar'!$S$2174)=FALSE,"",'Dvd Calendar'!$S$2174))</f>
        <v/>
      </c>
      <c r="BF215" s="161">
        <f>IF(GH215="","",IF(ISNUMBER('Dvd Calendar'!$T$2174)=FALSE,"",'Dvd Calendar'!$T$2174))</f>
        <v/>
      </c>
      <c r="BG215" s="161">
        <f>IF(GI215="","",IF(ISNUMBER('Dvd Calendar'!$U$2174)=FALSE,"",'Dvd Calendar'!$U$2174))</f>
        <v/>
      </c>
      <c r="BH215" s="161">
        <f>IF(GJ215="","",IF(ISNUMBER('Dvd Calendar'!$V$2174)=FALSE,"",'Dvd Calendar'!$V$2174))</f>
        <v/>
      </c>
      <c r="BI215" s="161">
        <f>IF(GK215="","",IF(ISNUMBER('Dvd Calendar'!$W$2174)=FALSE,"",'Dvd Calendar'!$W$2174))</f>
        <v/>
      </c>
      <c r="BJ215" s="161">
        <f>IF(GL215="","",IF(ISNUMBER('Dvd Calendar'!$X$2174)=FALSE,"",'Dvd Calendar'!$X$2174))</f>
        <v/>
      </c>
      <c r="BK215" s="161">
        <f>IF(GM215="","",IF(ISNUMBER('Dvd Calendar'!$Y$2174)=FALSE,"",'Dvd Calendar'!$Y$2174))</f>
        <v/>
      </c>
      <c r="BL215" s="161">
        <f>IF(GN215="","",IF(ISNUMBER('Dvd Calendar'!$Z$2174)=FALSE,"",'Dvd Calendar'!$Z$2174))</f>
        <v/>
      </c>
      <c r="BM215" s="161">
        <f>IF(GO215="","",IF(ISNUMBER('Dvd Calendar'!$AA$2174)=FALSE,"",'Dvd Calendar'!$AA$2174))</f>
        <v/>
      </c>
      <c r="BN215" s="161">
        <f>IF(GP215="","",IF(ISNUMBER('Dvd Calendar'!$AB$2174)=FALSE,"",'Dvd Calendar'!$AB$2174))</f>
        <v/>
      </c>
      <c r="BO215" s="161">
        <f>IF(GQ215="","",IF(ISNUMBER('Dvd Calendar'!$AC$2174)=FALSE,"",'Dvd Calendar'!$AC$2174))</f>
        <v/>
      </c>
      <c r="BQ215" s="161">
        <f>IF(C215="","",IFERROR(C215*HSCEI!$B$62*HSCEI!$G$62/HSCEI!$B$3,""))</f>
        <v/>
      </c>
      <c r="BR215" s="161">
        <f>IF(D215="","",IFERROR(D215*HSCEI!$B$62*HSCEI!$G$62/HSCEI!$B$3,""))</f>
        <v/>
      </c>
      <c r="BS215" s="161">
        <f>IF(E215="","",IFERROR(E215*HSCEI!$B$62*HSCEI!$G$62/HSCEI!$B$3,""))</f>
        <v/>
      </c>
      <c r="BT215" s="161">
        <f>IF(F215="","",IFERROR(F215*HSCEI!$B$62*HSCEI!$G$62/HSCEI!$B$3,""))</f>
        <v/>
      </c>
      <c r="BU215" s="161">
        <f>IF(G215="","",IFERROR(G215*HSCEI!$B$62*HSCEI!$G$62/HSCEI!$B$3,""))</f>
        <v/>
      </c>
      <c r="BV215" s="161">
        <f>IF(H215="","",IFERROR(H215*HSCEI!$B$62*HSCEI!$G$62/HSCEI!$B$3,""))</f>
        <v/>
      </c>
      <c r="BW215" s="161">
        <f>IF(I215="","",IFERROR(I215*HSCEI!$B$62*HSCEI!$G$62/HSCEI!$B$3,""))</f>
        <v/>
      </c>
      <c r="BX215" s="161">
        <f>IF(J215="","",IFERROR(J215*HSCEI!$B$62*HSCEI!$G$62/HSCEI!$B$3,""))</f>
        <v/>
      </c>
      <c r="BY215" s="161">
        <f>IF(K215="","",IFERROR(K215*HSCEI!$B$62*HSCEI!$G$62/HSCEI!$B$3,""))</f>
        <v/>
      </c>
      <c r="BZ215" s="161">
        <f>IF(L215="","",IFERROR(L215*HSCEI!$B$62*HSCEI!$G$62/HSCEI!$B$3,""))</f>
        <v/>
      </c>
      <c r="CA215" s="161">
        <f>IF(M215="","",IFERROR(M215*HSCEI!$B$62*HSCEI!$G$62/HSCEI!$B$3,""))</f>
        <v/>
      </c>
      <c r="CB215" s="161">
        <f>IF(N215="","",IFERROR(N215*HSCEI!$B$62*HSCEI!$G$62/HSCEI!$B$3,""))</f>
        <v/>
      </c>
      <c r="CC215" s="161">
        <f>IF(O215="","",IFERROR(O215*HSCEI!$B$62*HSCEI!$G$62/HSCEI!$B$3,""))</f>
        <v/>
      </c>
      <c r="CD215" s="161">
        <f>IF(P215="","",IFERROR(P215*HSCEI!$B$62*HSCEI!$G$62/HSCEI!$B$3,""))</f>
        <v/>
      </c>
      <c r="CE215" s="161">
        <f>IF(Q215="","",IFERROR(Q215*HSCEI!$B$62*HSCEI!$G$62/HSCEI!$B$3,""))</f>
        <v/>
      </c>
      <c r="CF215" s="161">
        <f>IF(R215="","",IFERROR(R215*HSCEI!$B$62*HSCEI!$G$62/HSCEI!$B$3,""))</f>
        <v/>
      </c>
      <c r="CG215" s="161">
        <f>IF(S215="","",IFERROR(S215*HSCEI!$B$62*HSCEI!$G$62/HSCEI!$B$3,""))</f>
        <v/>
      </c>
      <c r="CH215" s="161">
        <f>IF(T215="","",IFERROR(T215*HSCEI!$B$62*HSCEI!$G$62/HSCEI!$B$3,""))</f>
        <v/>
      </c>
      <c r="CI215" s="161">
        <f>IF(U215="","",IFERROR(U215*HSCEI!$B$62*HSCEI!$G$62/HSCEI!$B$3,""))</f>
        <v/>
      </c>
      <c r="CJ215" s="161">
        <f>IF(V215="","",IFERROR(V215*HSCEI!$B$62*HSCEI!$G$62/HSCEI!$B$3,""))</f>
        <v/>
      </c>
      <c r="CK215" s="161">
        <f>IF(W215="","",IFERROR(W215*HSCEI!$B$62*HSCEI!$G$62/HSCEI!$B$3,""))</f>
        <v/>
      </c>
      <c r="CL215" s="161">
        <f>IF(X215="","",IFERROR(X215*HSCEI!$B$62*HSCEI!$G$62/HSCEI!$B$3,""))</f>
        <v/>
      </c>
      <c r="CM215" s="161">
        <f>IF(Y215="","",IFERROR(Y215*HSCEI!$B$62*HSCEI!$G$62/HSCEI!$B$3,""))</f>
        <v/>
      </c>
      <c r="CN215" s="161">
        <f>IF(Z215="","",IFERROR(Z215*HSCEI!$B$62*HSCEI!$G$62/HSCEI!$B$3,""))</f>
        <v/>
      </c>
      <c r="CO215" s="161">
        <f>IF(AA215="","",IFERROR(AA215*HSCEI!$B$62*HSCEI!$G$62/HSCEI!$B$3,""))</f>
        <v/>
      </c>
      <c r="CP215" s="161">
        <f>IF(AB215="","",IFERROR(AB215*HSCEI!$B$62*HSCEI!$G$62/HSCEI!$B$3,""))</f>
        <v/>
      </c>
      <c r="CQ215" s="161">
        <f>IF(AC215="","",IFERROR(AC215*HSCEI!$B$62*HSCEI!$G$62/HSCEI!$B$3,""))</f>
        <v/>
      </c>
      <c r="CR215" s="161">
        <f>IF(AD215="","",IFERROR(AD215*HSCEI!$B$62*HSCEI!$G$62/HSCEI!$B$3,""))</f>
        <v/>
      </c>
      <c r="CS215" s="161">
        <f>IF(AE215="","",IFERROR(AE215*HSCEI!$B$62*HSCEI!$G$62/HSCEI!$B$3,""))</f>
        <v/>
      </c>
      <c r="CT215" s="161">
        <f>IF(AF215="","",IFERROR(AF215*HSCEI!$B$62*HSCEI!$G$62/HSCEI!$B$3,""))</f>
        <v/>
      </c>
      <c r="CU215" s="161">
        <f>IF(AG215="","",IFERROR(AG215*HSCEI!$B$62*HSCEI!$G$62/HSCEI!$B$3,""))</f>
        <v/>
      </c>
      <c r="CV215" s="161">
        <f>IF(AH215="","",IFERROR(AH215*HSCEI!$B$62*HSCEI!$G$62/HSCEI!$B$3,""))</f>
        <v/>
      </c>
      <c r="CW215" s="161">
        <f>IF(AI215="","",IFERROR(AI215*HSCEI!$B$62*HSCEI!$G$62/HSCEI!$B$3,""))</f>
        <v/>
      </c>
      <c r="CX215" s="161">
        <f>IF(AJ215="","",IFERROR(AJ215*HSCEI!$B$62*HSCEI!$G$62/HSCEI!$B$3,""))</f>
        <v/>
      </c>
      <c r="CY215" s="161">
        <f>IF(AK215="","",IFERROR(AK215*HSCEI!$B$62*HSCEI!$G$62/HSCEI!$B$3,""))</f>
        <v/>
      </c>
      <c r="CZ215" s="161">
        <f>IF(AL215="","",IFERROR(AL215*HSCEI!$B$62*HSCEI!$G$62/HSCEI!$B$3,""))</f>
        <v/>
      </c>
      <c r="DA215" s="161">
        <f>IF(AM215="","",IFERROR(AM215*HSCEI!$B$62*HSCEI!$G$62/HSCEI!$B$3,""))</f>
        <v/>
      </c>
      <c r="DB215" s="161">
        <f>IF(AN215="","",IFERROR(AN215*HSCEI!$B$62*HSCEI!$G$62/HSCEI!$B$3,""))</f>
        <v/>
      </c>
      <c r="DC215" s="161">
        <f>IF(AO215="","",IFERROR(AO215*HSCEI!$B$62*HSCEI!$G$62/HSCEI!$B$3,""))</f>
        <v/>
      </c>
      <c r="DD215" s="161">
        <f>IF(AP215="","",IFERROR(AP215*HSCEI!$B$62*HSCEI!$G$62/HSCEI!$B$3,""))</f>
        <v/>
      </c>
      <c r="DE215" s="161">
        <f>IF(AQ215="","",IFERROR(AQ215*HSCEI!$B$62*HSCEI!$G$62/HSCEI!$B$3,""))</f>
        <v/>
      </c>
      <c r="DF215" s="161">
        <f>IF(AR215="","",IFERROR(AR215*HSCEI!$B$62*HSCEI!$G$62/HSCEI!$B$3,""))</f>
        <v/>
      </c>
      <c r="DG215" s="161">
        <f>IF(AS215="","",IFERROR(AS215*HSCEI!$B$62*HSCEI!$G$62/HSCEI!$B$3,""))</f>
        <v/>
      </c>
      <c r="DH215" s="161">
        <f>IF(AT215="","",IFERROR(AT215*HSCEI!$B$62*HSCEI!$G$62/HSCEI!$B$3,""))</f>
        <v/>
      </c>
      <c r="DI215" s="161">
        <f>IF(AU215="","",IFERROR(AU215*HSCEI!$B$62*HSCEI!$G$62/HSCEI!$B$3,""))</f>
        <v/>
      </c>
      <c r="DJ215" s="161">
        <f>IF(AV215="","",IFERROR(AV215*HSCEI!$B$62*HSCEI!$G$62/HSCEI!$B$3,""))</f>
        <v/>
      </c>
      <c r="DK215" s="161">
        <f>IF(AW215="","",IFERROR(AW215*HSCEI!$B$62*HSCEI!$G$62/HSCEI!$B$3,""))</f>
        <v/>
      </c>
      <c r="DL215" s="161">
        <f>IF(AX215="","",IFERROR(AX215*HSCEI!$B$62*HSCEI!$G$62/HSCEI!$B$3,""))</f>
        <v/>
      </c>
      <c r="DM215" s="161">
        <f>IF(AY215="","",IFERROR(AY215*HSCEI!$B$62*HSCEI!$G$62/HSCEI!$B$3,""))</f>
        <v/>
      </c>
      <c r="DN215" s="161">
        <f>IF(AZ215="","",IFERROR(AZ215*HSCEI!$B$62*HSCEI!$G$62/HSCEI!$B$3,""))</f>
        <v/>
      </c>
      <c r="DO215" s="161">
        <f>IF(BA215="","",IFERROR(BA215*HSCEI!$B$62*HSCEI!$G$62/HSCEI!$B$3,""))</f>
        <v/>
      </c>
      <c r="DP215" s="161">
        <f>IF(BB215="","",IFERROR(BB215*HSCEI!$B$62*HSCEI!$G$62/HSCEI!$B$3,""))</f>
        <v/>
      </c>
      <c r="DQ215" s="161">
        <f>IF(BC215="","",IFERROR(BC215*HSCEI!$B$62*HSCEI!$G$62/HSCEI!$B$3,""))</f>
        <v/>
      </c>
      <c r="DR215" s="161">
        <f>IF(BD215="","",IFERROR(BD215*HSCEI!$B$62*HSCEI!$G$62/HSCEI!$B$3,""))</f>
        <v/>
      </c>
      <c r="DS215" s="161">
        <f>IF(BE215="","",IFERROR(BE215*HSCEI!$B$62*HSCEI!$G$62/HSCEI!$B$3,""))</f>
        <v/>
      </c>
      <c r="DT215" s="161">
        <f>IF(BF215="","",IFERROR(BF215*HSCEI!$B$62*HSCEI!$G$62/HSCEI!$B$3,""))</f>
        <v/>
      </c>
      <c r="DU215" s="161">
        <f>IF(BG215="","",IFERROR(BG215*HSCEI!$B$62*HSCEI!$G$62/HSCEI!$B$3,""))</f>
        <v/>
      </c>
      <c r="DV215" s="161">
        <f>IF(BH215="","",IFERROR(BH215*HSCEI!$B$62*HSCEI!$G$62/HSCEI!$B$3,""))</f>
        <v/>
      </c>
      <c r="DW215" s="161">
        <f>IF(BI215="","",IFERROR(BI215*HSCEI!$B$62*HSCEI!$G$62/HSCEI!$B$3,""))</f>
        <v/>
      </c>
      <c r="DX215" s="161">
        <f>IF(BJ215="","",IFERROR(BJ215*HSCEI!$B$62*HSCEI!$G$62/HSCEI!$B$3,""))</f>
        <v/>
      </c>
      <c r="DY215" s="161">
        <f>IF(BK215="","",IFERROR(BK215*HSCEI!$B$62*HSCEI!$G$62/HSCEI!$B$3,""))</f>
        <v/>
      </c>
      <c r="DZ215" s="161">
        <f>IF(BL215="","",IFERROR(BL215*HSCEI!$B$62*HSCEI!$G$62/HSCEI!$B$3,""))</f>
        <v/>
      </c>
      <c r="EA215" s="161">
        <f>IF(BM215="","",IFERROR(BM215*HSCEI!$B$62*HSCEI!$G$62/HSCEI!$B$3,""))</f>
        <v/>
      </c>
      <c r="EB215" s="161">
        <f>IF(BN215="","",IFERROR(BN215*HSCEI!$B$62*HSCEI!$G$62/HSCEI!$B$3,""))</f>
        <v/>
      </c>
      <c r="EC215" s="161">
        <f>IF(BO215="","",IFERROR(BO215*HSCEI!$B$62*HSCEI!$G$62/HSCEI!$B$3,""))</f>
        <v/>
      </c>
      <c r="EE215" s="121">
        <f>IF(N('Dvd Calendar'!$E$2166)=0,"",IF(('Dvd Calendar'!$E$2166&gt;=GRID_FROM)*('Dvd Calendar'!$E$2166&lt;=GRID_TO)*((('Dvd Calendar'!$E$2166&lt;=VAL_DATE)+(COUNTIF('Dvd Calendar'!$E$2173:$AR$2173,'Dvd Calendar'!$E$2166)=0))&gt;0)=0,"",'Dvd Calendar'!$E$2166*1000000000+ISNUMBER('Dvd Calendar'!$E$2169)*100000000+('Dvd Calendar'!$E$2171=SPECIAL_LBL)*10000000+(N('Dvd Calendar'!$E$2165)&gt;0)*(N('Dvd Calendar'!$E$2165)&lt;=VAL_SERIAL)*1000000+56*1000+1))</f>
        <v/>
      </c>
      <c r="EF215" s="121">
        <f>IF(N('Dvd Calendar'!$F$2166)=0,"",IF(('Dvd Calendar'!$F$2166&gt;=GRID_FROM)*('Dvd Calendar'!$F$2166&lt;=GRID_TO)*((('Dvd Calendar'!$F$2166&lt;=VAL_DATE)+(COUNTIF('Dvd Calendar'!$E$2173:$AR$2173,'Dvd Calendar'!$F$2166)=0))&gt;0)=0,"",'Dvd Calendar'!$F$2166*1000000000+ISNUMBER('Dvd Calendar'!$F$2169)*100000000+('Dvd Calendar'!$F$2171=SPECIAL_LBL)*10000000+(N('Dvd Calendar'!$F$2165)&gt;0)*(N('Dvd Calendar'!$F$2165)&lt;=VAL_SERIAL)*1000000+56*1000+2))</f>
        <v/>
      </c>
      <c r="EG215" s="121">
        <f>IF(N('Dvd Calendar'!$G$2166)=0,"",IF(('Dvd Calendar'!$G$2166&gt;=GRID_FROM)*('Dvd Calendar'!$G$2166&lt;=GRID_TO)*((('Dvd Calendar'!$G$2166&lt;=VAL_DATE)+(COUNTIF('Dvd Calendar'!$E$2173:$AR$2173,'Dvd Calendar'!$G$2166)=0))&gt;0)=0,"",'Dvd Calendar'!$G$2166*1000000000+ISNUMBER('Dvd Calendar'!$G$2169)*100000000+('Dvd Calendar'!$G$2171=SPECIAL_LBL)*10000000+(N('Dvd Calendar'!$G$2165)&gt;0)*(N('Dvd Calendar'!$G$2165)&lt;=VAL_SERIAL)*1000000+56*1000+3))</f>
        <v/>
      </c>
      <c r="EH215" s="121">
        <f>IF(N('Dvd Calendar'!$H$2166)=0,"",IF(('Dvd Calendar'!$H$2166&gt;=GRID_FROM)*('Dvd Calendar'!$H$2166&lt;=GRID_TO)*((('Dvd Calendar'!$H$2166&lt;=VAL_DATE)+(COUNTIF('Dvd Calendar'!$E$2173:$AR$2173,'Dvd Calendar'!$H$2166)=0))&gt;0)=0,"",'Dvd Calendar'!$H$2166*1000000000+ISNUMBER('Dvd Calendar'!$H$2169)*100000000+('Dvd Calendar'!$H$2171=SPECIAL_LBL)*10000000+(N('Dvd Calendar'!$H$2165)&gt;0)*(N('Dvd Calendar'!$H$2165)&lt;=VAL_SERIAL)*1000000+56*1000+4))</f>
        <v/>
      </c>
      <c r="EI215" s="121">
        <f>IF(N('Dvd Calendar'!$I$2166)=0,"",IF(('Dvd Calendar'!$I$2166&gt;=GRID_FROM)*('Dvd Calendar'!$I$2166&lt;=GRID_TO)*((('Dvd Calendar'!$I$2166&lt;=VAL_DATE)+(COUNTIF('Dvd Calendar'!$E$2173:$AR$2173,'Dvd Calendar'!$I$2166)=0))&gt;0)=0,"",'Dvd Calendar'!$I$2166*1000000000+ISNUMBER('Dvd Calendar'!$I$2169)*100000000+('Dvd Calendar'!$I$2171=SPECIAL_LBL)*10000000+(N('Dvd Calendar'!$I$2165)&gt;0)*(N('Dvd Calendar'!$I$2165)&lt;=VAL_SERIAL)*1000000+56*1000+5))</f>
        <v/>
      </c>
      <c r="EJ215" s="121">
        <f>IF(N('Dvd Calendar'!$J$2166)=0,"",IF(('Dvd Calendar'!$J$2166&gt;=GRID_FROM)*('Dvd Calendar'!$J$2166&lt;=GRID_TO)*((('Dvd Calendar'!$J$2166&lt;=VAL_DATE)+(COUNTIF('Dvd Calendar'!$E$2173:$AR$2173,'Dvd Calendar'!$J$2166)=0))&gt;0)=0,"",'Dvd Calendar'!$J$2166*1000000000+ISNUMBER('Dvd Calendar'!$J$2169)*100000000+('Dvd Calendar'!$J$2171=SPECIAL_LBL)*10000000+(N('Dvd Calendar'!$J$2165)&gt;0)*(N('Dvd Calendar'!$J$2165)&lt;=VAL_SERIAL)*1000000+56*1000+6))</f>
        <v/>
      </c>
      <c r="EK215" s="121">
        <f>IF(N('Dvd Calendar'!$K$2166)=0,"",IF(('Dvd Calendar'!$K$2166&gt;=GRID_FROM)*('Dvd Calendar'!$K$2166&lt;=GRID_TO)*((('Dvd Calendar'!$K$2166&lt;=VAL_DATE)+(COUNTIF('Dvd Calendar'!$E$2173:$AR$2173,'Dvd Calendar'!$K$2166)=0))&gt;0)=0,"",'Dvd Calendar'!$K$2166*1000000000+ISNUMBER('Dvd Calendar'!$K$2169)*100000000+('Dvd Calendar'!$K$2171=SPECIAL_LBL)*10000000+(N('Dvd Calendar'!$K$2165)&gt;0)*(N('Dvd Calendar'!$K$2165)&lt;=VAL_SERIAL)*1000000+56*1000+7))</f>
        <v/>
      </c>
      <c r="EL215" s="121">
        <f>IF(N('Dvd Calendar'!$L$2166)=0,"",IF(('Dvd Calendar'!$L$2166&gt;=GRID_FROM)*('Dvd Calendar'!$L$2166&lt;=GRID_TO)*((('Dvd Calendar'!$L$2166&lt;=VAL_DATE)+(COUNTIF('Dvd Calendar'!$E$2173:$AR$2173,'Dvd Calendar'!$L$2166)=0))&gt;0)=0,"",'Dvd Calendar'!$L$2166*1000000000+ISNUMBER('Dvd Calendar'!$L$2169)*100000000+('Dvd Calendar'!$L$2171=SPECIAL_LBL)*10000000+(N('Dvd Calendar'!$L$2165)&gt;0)*(N('Dvd Calendar'!$L$2165)&lt;=VAL_SERIAL)*1000000+56*1000+8))</f>
        <v/>
      </c>
      <c r="EM215" s="121">
        <f>IF(N('Dvd Calendar'!$M$2166)=0,"",IF(('Dvd Calendar'!$M$2166&gt;=GRID_FROM)*('Dvd Calendar'!$M$2166&lt;=GRID_TO)*((('Dvd Calendar'!$M$2166&lt;=VAL_DATE)+(COUNTIF('Dvd Calendar'!$E$2173:$AR$2173,'Dvd Calendar'!$M$2166)=0))&gt;0)=0,"",'Dvd Calendar'!$M$2166*1000000000+ISNUMBER('Dvd Calendar'!$M$2169)*100000000+('Dvd Calendar'!$M$2171=SPECIAL_LBL)*10000000+(N('Dvd Calendar'!$M$2165)&gt;0)*(N('Dvd Calendar'!$M$2165)&lt;=VAL_SERIAL)*1000000+56*1000+9))</f>
        <v/>
      </c>
      <c r="EN215" s="121">
        <f>IF(N('Dvd Calendar'!$N$2166)=0,"",IF(('Dvd Calendar'!$N$2166&gt;=GRID_FROM)*('Dvd Calendar'!$N$2166&lt;=GRID_TO)*((('Dvd Calendar'!$N$2166&lt;=VAL_DATE)+(COUNTIF('Dvd Calendar'!$E$2173:$AR$2173,'Dvd Calendar'!$N$2166)=0))&gt;0)=0,"",'Dvd Calendar'!$N$2166*1000000000+ISNUMBER('Dvd Calendar'!$N$2169)*100000000+('Dvd Calendar'!$N$2171=SPECIAL_LBL)*10000000+(N('Dvd Calendar'!$N$2165)&gt;0)*(N('Dvd Calendar'!$N$2165)&lt;=VAL_SERIAL)*1000000+56*1000+10))</f>
        <v/>
      </c>
      <c r="EO215" s="121">
        <f>IF(N('Dvd Calendar'!$O$2166)=0,"",IF(('Dvd Calendar'!$O$2166&gt;=GRID_FROM)*('Dvd Calendar'!$O$2166&lt;=GRID_TO)*((('Dvd Calendar'!$O$2166&lt;=VAL_DATE)+(COUNTIF('Dvd Calendar'!$E$2173:$AR$2173,'Dvd Calendar'!$O$2166)=0))&gt;0)=0,"",'Dvd Calendar'!$O$2166*1000000000+ISNUMBER('Dvd Calendar'!$O$2169)*100000000+('Dvd Calendar'!$O$2171=SPECIAL_LBL)*10000000+(N('Dvd Calendar'!$O$2165)&gt;0)*(N('Dvd Calendar'!$O$2165)&lt;=VAL_SERIAL)*1000000+56*1000+11))</f>
        <v/>
      </c>
      <c r="EP215" s="121">
        <f>IF(N('Dvd Calendar'!$P$2166)=0,"",IF(('Dvd Calendar'!$P$2166&gt;=GRID_FROM)*('Dvd Calendar'!$P$2166&lt;=GRID_TO)*((('Dvd Calendar'!$P$2166&lt;=VAL_DATE)+(COUNTIF('Dvd Calendar'!$E$2173:$AR$2173,'Dvd Calendar'!$P$2166)=0))&gt;0)=0,"",'Dvd Calendar'!$P$2166*1000000000+ISNUMBER('Dvd Calendar'!$P$2169)*100000000+('Dvd Calendar'!$P$2171=SPECIAL_LBL)*10000000+(N('Dvd Calendar'!$P$2165)&gt;0)*(N('Dvd Calendar'!$P$2165)&lt;=VAL_SERIAL)*1000000+56*1000+12))</f>
        <v/>
      </c>
      <c r="EQ215" s="121">
        <f>IF(N('Dvd Calendar'!$Q$2166)=0,"",IF(('Dvd Calendar'!$Q$2166&gt;=GRID_FROM)*('Dvd Calendar'!$Q$2166&lt;=GRID_TO)*((('Dvd Calendar'!$Q$2166&lt;=VAL_DATE)+(COUNTIF('Dvd Calendar'!$E$2173:$AR$2173,'Dvd Calendar'!$Q$2166)=0))&gt;0)=0,"",'Dvd Calendar'!$Q$2166*1000000000+ISNUMBER('Dvd Calendar'!$Q$2169)*100000000+('Dvd Calendar'!$Q$2171=SPECIAL_LBL)*10000000+(N('Dvd Calendar'!$Q$2165)&gt;0)*(N('Dvd Calendar'!$Q$2165)&lt;=VAL_SERIAL)*1000000+56*1000+13))</f>
        <v/>
      </c>
      <c r="ER215" s="121">
        <f>IF(N('Dvd Calendar'!$R$2166)=0,"",IF(('Dvd Calendar'!$R$2166&gt;=GRID_FROM)*('Dvd Calendar'!$R$2166&lt;=GRID_TO)*((('Dvd Calendar'!$R$2166&lt;=VAL_DATE)+(COUNTIF('Dvd Calendar'!$E$2173:$AR$2173,'Dvd Calendar'!$R$2166)=0))&gt;0)=0,"",'Dvd Calendar'!$R$2166*1000000000+ISNUMBER('Dvd Calendar'!$R$2169)*100000000+('Dvd Calendar'!$R$2171=SPECIAL_LBL)*10000000+(N('Dvd Calendar'!$R$2165)&gt;0)*(N('Dvd Calendar'!$R$2165)&lt;=VAL_SERIAL)*1000000+56*1000+14))</f>
        <v/>
      </c>
      <c r="ES215" s="121">
        <f>IF(N('Dvd Calendar'!$S$2166)=0,"",IF(('Dvd Calendar'!$S$2166&gt;=GRID_FROM)*('Dvd Calendar'!$S$2166&lt;=GRID_TO)*((('Dvd Calendar'!$S$2166&lt;=VAL_DATE)+(COUNTIF('Dvd Calendar'!$E$2173:$AR$2173,'Dvd Calendar'!$S$2166)=0))&gt;0)=0,"",'Dvd Calendar'!$S$2166*1000000000+ISNUMBER('Dvd Calendar'!$S$2169)*100000000+('Dvd Calendar'!$S$2171=SPECIAL_LBL)*10000000+(N('Dvd Calendar'!$S$2165)&gt;0)*(N('Dvd Calendar'!$S$2165)&lt;=VAL_SERIAL)*1000000+56*1000+15))</f>
        <v/>
      </c>
      <c r="ET215" s="121">
        <f>IF(N('Dvd Calendar'!$T$2166)=0,"",IF(('Dvd Calendar'!$T$2166&gt;=GRID_FROM)*('Dvd Calendar'!$T$2166&lt;=GRID_TO)*((('Dvd Calendar'!$T$2166&lt;=VAL_DATE)+(COUNTIF('Dvd Calendar'!$E$2173:$AR$2173,'Dvd Calendar'!$T$2166)=0))&gt;0)=0,"",'Dvd Calendar'!$T$2166*1000000000+ISNUMBER('Dvd Calendar'!$T$2169)*100000000+('Dvd Calendar'!$T$2171=SPECIAL_LBL)*10000000+(N('Dvd Calendar'!$T$2165)&gt;0)*(N('Dvd Calendar'!$T$2165)&lt;=VAL_SERIAL)*1000000+56*1000+16))</f>
        <v/>
      </c>
      <c r="EU215" s="121">
        <f>IF(N('Dvd Calendar'!$U$2166)=0,"",IF(('Dvd Calendar'!$U$2166&gt;=GRID_FROM)*('Dvd Calendar'!$U$2166&lt;=GRID_TO)*((('Dvd Calendar'!$U$2166&lt;=VAL_DATE)+(COUNTIF('Dvd Calendar'!$E$2173:$AR$2173,'Dvd Calendar'!$U$2166)=0))&gt;0)=0,"",'Dvd Calendar'!$U$2166*1000000000+ISNUMBER('Dvd Calendar'!$U$2169)*100000000+('Dvd Calendar'!$U$2171=SPECIAL_LBL)*10000000+(N('Dvd Calendar'!$U$2165)&gt;0)*(N('Dvd Calendar'!$U$2165)&lt;=VAL_SERIAL)*1000000+56*1000+17))</f>
        <v/>
      </c>
      <c r="EV215" s="121">
        <f>IF(N('Dvd Calendar'!$V$2166)=0,"",IF(('Dvd Calendar'!$V$2166&gt;=GRID_FROM)*('Dvd Calendar'!$V$2166&lt;=GRID_TO)*((('Dvd Calendar'!$V$2166&lt;=VAL_DATE)+(COUNTIF('Dvd Calendar'!$E$2173:$AR$2173,'Dvd Calendar'!$V$2166)=0))&gt;0)=0,"",'Dvd Calendar'!$V$2166*1000000000+ISNUMBER('Dvd Calendar'!$V$2169)*100000000+('Dvd Calendar'!$V$2171=SPECIAL_LBL)*10000000+(N('Dvd Calendar'!$V$2165)&gt;0)*(N('Dvd Calendar'!$V$2165)&lt;=VAL_SERIAL)*1000000+56*1000+18))</f>
        <v/>
      </c>
      <c r="EW215" s="121">
        <f>IF(N('Dvd Calendar'!$W$2166)=0,"",IF(('Dvd Calendar'!$W$2166&gt;=GRID_FROM)*('Dvd Calendar'!$W$2166&lt;=GRID_TO)*((('Dvd Calendar'!$W$2166&lt;=VAL_DATE)+(COUNTIF('Dvd Calendar'!$E$2173:$AR$2173,'Dvd Calendar'!$W$2166)=0))&gt;0)=0,"",'Dvd Calendar'!$W$2166*1000000000+ISNUMBER('Dvd Calendar'!$W$2169)*100000000+('Dvd Calendar'!$W$2171=SPECIAL_LBL)*10000000+(N('Dvd Calendar'!$W$2165)&gt;0)*(N('Dvd Calendar'!$W$2165)&lt;=VAL_SERIAL)*1000000+56*1000+19))</f>
        <v/>
      </c>
      <c r="EX215" s="121">
        <f>IF(N('Dvd Calendar'!$X$2166)=0,"",IF(('Dvd Calendar'!$X$2166&gt;=GRID_FROM)*('Dvd Calendar'!$X$2166&lt;=GRID_TO)*((('Dvd Calendar'!$X$2166&lt;=VAL_DATE)+(COUNTIF('Dvd Calendar'!$E$2173:$AR$2173,'Dvd Calendar'!$X$2166)=0))&gt;0)=0,"",'Dvd Calendar'!$X$2166*1000000000+ISNUMBER('Dvd Calendar'!$X$2169)*100000000+('Dvd Calendar'!$X$2171=SPECIAL_LBL)*10000000+(N('Dvd Calendar'!$X$2165)&gt;0)*(N('Dvd Calendar'!$X$2165)&lt;=VAL_SERIAL)*1000000+56*1000+20))</f>
        <v/>
      </c>
      <c r="EY215" s="121">
        <f>IF(N('Dvd Calendar'!$Y$2166)=0,"",IF(('Dvd Calendar'!$Y$2166&gt;=GRID_FROM)*('Dvd Calendar'!$Y$2166&lt;=GRID_TO)*((('Dvd Calendar'!$Y$2166&lt;=VAL_DATE)+(COUNTIF('Dvd Calendar'!$E$2173:$AR$2173,'Dvd Calendar'!$Y$2166)=0))&gt;0)=0,"",'Dvd Calendar'!$Y$2166*1000000000+ISNUMBER('Dvd Calendar'!$Y$2169)*100000000+('Dvd Calendar'!$Y$2171=SPECIAL_LBL)*10000000+(N('Dvd Calendar'!$Y$2165)&gt;0)*(N('Dvd Calendar'!$Y$2165)&lt;=VAL_SERIAL)*1000000+56*1000+21))</f>
        <v/>
      </c>
      <c r="EZ215" s="121">
        <f>IF(N('Dvd Calendar'!$Z$2166)=0,"",IF(('Dvd Calendar'!$Z$2166&gt;=GRID_FROM)*('Dvd Calendar'!$Z$2166&lt;=GRID_TO)*((('Dvd Calendar'!$Z$2166&lt;=VAL_DATE)+(COUNTIF('Dvd Calendar'!$E$2173:$AR$2173,'Dvd Calendar'!$Z$2166)=0))&gt;0)=0,"",'Dvd Calendar'!$Z$2166*1000000000+ISNUMBER('Dvd Calendar'!$Z$2169)*100000000+('Dvd Calendar'!$Z$2171=SPECIAL_LBL)*10000000+(N('Dvd Calendar'!$Z$2165)&gt;0)*(N('Dvd Calendar'!$Z$2165)&lt;=VAL_SERIAL)*1000000+56*1000+22))</f>
        <v/>
      </c>
      <c r="FA215" s="121">
        <f>IF(N('Dvd Calendar'!$AA$2166)=0,"",IF(('Dvd Calendar'!$AA$2166&gt;=GRID_FROM)*('Dvd Calendar'!$AA$2166&lt;=GRID_TO)*((('Dvd Calendar'!$AA$2166&lt;=VAL_DATE)+(COUNTIF('Dvd Calendar'!$E$2173:$AR$2173,'Dvd Calendar'!$AA$2166)=0))&gt;0)=0,"",'Dvd Calendar'!$AA$2166*1000000000+ISNUMBER('Dvd Calendar'!$AA$2169)*100000000+('Dvd Calendar'!$AA$2171=SPECIAL_LBL)*10000000+(N('Dvd Calendar'!$AA$2165)&gt;0)*(N('Dvd Calendar'!$AA$2165)&lt;=VAL_SERIAL)*1000000+56*1000+23))</f>
        <v/>
      </c>
      <c r="FB215" s="121">
        <f>IF(N('Dvd Calendar'!$AB$2166)=0,"",IF(('Dvd Calendar'!$AB$2166&gt;=GRID_FROM)*('Dvd Calendar'!$AB$2166&lt;=GRID_TO)*((('Dvd Calendar'!$AB$2166&lt;=VAL_DATE)+(COUNTIF('Dvd Calendar'!$E$2173:$AR$2173,'Dvd Calendar'!$AB$2166)=0))&gt;0)=0,"",'Dvd Calendar'!$AB$2166*1000000000+ISNUMBER('Dvd Calendar'!$AB$2169)*100000000+('Dvd Calendar'!$AB$2171=SPECIAL_LBL)*10000000+(N('Dvd Calendar'!$AB$2165)&gt;0)*(N('Dvd Calendar'!$AB$2165)&lt;=VAL_SERIAL)*1000000+56*1000+24))</f>
        <v/>
      </c>
      <c r="FC215" s="121">
        <f>IF(N('Dvd Calendar'!$AC$2166)=0,"",IF(('Dvd Calendar'!$AC$2166&gt;=GRID_FROM)*('Dvd Calendar'!$AC$2166&lt;=GRID_TO)*((('Dvd Calendar'!$AC$2166&lt;=VAL_DATE)+(COUNTIF('Dvd Calendar'!$E$2173:$AR$2173,'Dvd Calendar'!$AC$2166)=0))&gt;0)=0,"",'Dvd Calendar'!$AC$2166*1000000000+ISNUMBER('Dvd Calendar'!$AC$2169)*100000000+('Dvd Calendar'!$AC$2171=SPECIAL_LBL)*10000000+(N('Dvd Calendar'!$AC$2165)&gt;0)*(N('Dvd Calendar'!$AC$2165)&lt;=VAL_SERIAL)*1000000+56*1000+25))</f>
        <v/>
      </c>
      <c r="FD215" s="121">
        <f>IF(N('Dvd Calendar'!$AD$2166)=0,"",IF(('Dvd Calendar'!$AD$2166&gt;=GRID_FROM)*('Dvd Calendar'!$AD$2166&lt;=GRID_TO)*((('Dvd Calendar'!$AD$2166&lt;=VAL_DATE)+(COUNTIF('Dvd Calendar'!$E$2173:$AR$2173,'Dvd Calendar'!$AD$2166)=0))&gt;0)=0,"",'Dvd Calendar'!$AD$2166*1000000000+ISNUMBER('Dvd Calendar'!$AD$2169)*100000000+('Dvd Calendar'!$AD$2171=SPECIAL_LBL)*10000000+(N('Dvd Calendar'!$AD$2165)&gt;0)*(N('Dvd Calendar'!$AD$2165)&lt;=VAL_SERIAL)*1000000+56*1000+26))</f>
        <v/>
      </c>
      <c r="FE215" s="121">
        <f>IF(N('Dvd Calendar'!$AE$2166)=0,"",IF(('Dvd Calendar'!$AE$2166&gt;=GRID_FROM)*('Dvd Calendar'!$AE$2166&lt;=GRID_TO)*((('Dvd Calendar'!$AE$2166&lt;=VAL_DATE)+(COUNTIF('Dvd Calendar'!$E$2173:$AR$2173,'Dvd Calendar'!$AE$2166)=0))&gt;0)=0,"",'Dvd Calendar'!$AE$2166*1000000000+ISNUMBER('Dvd Calendar'!$AE$2169)*100000000+('Dvd Calendar'!$AE$2171=SPECIAL_LBL)*10000000+(N('Dvd Calendar'!$AE$2165)&gt;0)*(N('Dvd Calendar'!$AE$2165)&lt;=VAL_SERIAL)*1000000+56*1000+27))</f>
        <v/>
      </c>
      <c r="FF215" s="121">
        <f>IF(N('Dvd Calendar'!$AF$2166)=0,"",IF(('Dvd Calendar'!$AF$2166&gt;=GRID_FROM)*('Dvd Calendar'!$AF$2166&lt;=GRID_TO)*((('Dvd Calendar'!$AF$2166&lt;=VAL_DATE)+(COUNTIF('Dvd Calendar'!$E$2173:$AR$2173,'Dvd Calendar'!$AF$2166)=0))&gt;0)=0,"",'Dvd Calendar'!$AF$2166*1000000000+ISNUMBER('Dvd Calendar'!$AF$2169)*100000000+('Dvd Calendar'!$AF$2171=SPECIAL_LBL)*10000000+(N('Dvd Calendar'!$AF$2165)&gt;0)*(N('Dvd Calendar'!$AF$2165)&lt;=VAL_SERIAL)*1000000+56*1000+28))</f>
        <v/>
      </c>
      <c r="FG215" s="121">
        <f>IF(N('Dvd Calendar'!$AG$2166)=0,"",IF(('Dvd Calendar'!$AG$2166&gt;=GRID_FROM)*('Dvd Calendar'!$AG$2166&lt;=GRID_TO)*((('Dvd Calendar'!$AG$2166&lt;=VAL_DATE)+(COUNTIF('Dvd Calendar'!$E$2173:$AR$2173,'Dvd Calendar'!$AG$2166)=0))&gt;0)=0,"",'Dvd Calendar'!$AG$2166*1000000000+ISNUMBER('Dvd Calendar'!$AG$2169)*100000000+('Dvd Calendar'!$AG$2171=SPECIAL_LBL)*10000000+(N('Dvd Calendar'!$AG$2165)&gt;0)*(N('Dvd Calendar'!$AG$2165)&lt;=VAL_SERIAL)*1000000+56*1000+29))</f>
        <v/>
      </c>
      <c r="FH215" s="121">
        <f>IF(N('Dvd Calendar'!$AH$2166)=0,"",IF(('Dvd Calendar'!$AH$2166&gt;=GRID_FROM)*('Dvd Calendar'!$AH$2166&lt;=GRID_TO)*((('Dvd Calendar'!$AH$2166&lt;=VAL_DATE)+(COUNTIF('Dvd Calendar'!$E$2173:$AR$2173,'Dvd Calendar'!$AH$2166)=0))&gt;0)=0,"",'Dvd Calendar'!$AH$2166*1000000000+ISNUMBER('Dvd Calendar'!$AH$2169)*100000000+('Dvd Calendar'!$AH$2171=SPECIAL_LBL)*10000000+(N('Dvd Calendar'!$AH$2165)&gt;0)*(N('Dvd Calendar'!$AH$2165)&lt;=VAL_SERIAL)*1000000+56*1000+30))</f>
        <v/>
      </c>
      <c r="FI215" s="121">
        <f>IF(N('Dvd Calendar'!$AI$2166)=0,"",IF(('Dvd Calendar'!$AI$2166&gt;=GRID_FROM)*('Dvd Calendar'!$AI$2166&lt;=GRID_TO)*((('Dvd Calendar'!$AI$2166&lt;=VAL_DATE)+(COUNTIF('Dvd Calendar'!$E$2173:$AR$2173,'Dvd Calendar'!$AI$2166)=0))&gt;0)=0,"",'Dvd Calendar'!$AI$2166*1000000000+ISNUMBER('Dvd Calendar'!$AI$2169)*100000000+('Dvd Calendar'!$AI$2171=SPECIAL_LBL)*10000000+(N('Dvd Calendar'!$AI$2165)&gt;0)*(N('Dvd Calendar'!$AI$2165)&lt;=VAL_SERIAL)*1000000+56*1000+31))</f>
        <v/>
      </c>
      <c r="FJ215" s="121">
        <f>IF(N('Dvd Calendar'!$AJ$2166)=0,"",IF(('Dvd Calendar'!$AJ$2166&gt;=GRID_FROM)*('Dvd Calendar'!$AJ$2166&lt;=GRID_TO)*((('Dvd Calendar'!$AJ$2166&lt;=VAL_DATE)+(COUNTIF('Dvd Calendar'!$E$2173:$AR$2173,'Dvd Calendar'!$AJ$2166)=0))&gt;0)=0,"",'Dvd Calendar'!$AJ$2166*1000000000+ISNUMBER('Dvd Calendar'!$AJ$2169)*100000000+('Dvd Calendar'!$AJ$2171=SPECIAL_LBL)*10000000+(N('Dvd Calendar'!$AJ$2165)&gt;0)*(N('Dvd Calendar'!$AJ$2165)&lt;=VAL_SERIAL)*1000000+56*1000+32))</f>
        <v/>
      </c>
      <c r="FK215" s="121">
        <f>IF(N('Dvd Calendar'!$AK$2166)=0,"",IF(('Dvd Calendar'!$AK$2166&gt;=GRID_FROM)*('Dvd Calendar'!$AK$2166&lt;=GRID_TO)*((('Dvd Calendar'!$AK$2166&lt;=VAL_DATE)+(COUNTIF('Dvd Calendar'!$E$2173:$AR$2173,'Dvd Calendar'!$AK$2166)=0))&gt;0)=0,"",'Dvd Calendar'!$AK$2166*1000000000+ISNUMBER('Dvd Calendar'!$AK$2169)*100000000+('Dvd Calendar'!$AK$2171=SPECIAL_LBL)*10000000+(N('Dvd Calendar'!$AK$2165)&gt;0)*(N('Dvd Calendar'!$AK$2165)&lt;=VAL_SERIAL)*1000000+56*1000+33))</f>
        <v/>
      </c>
      <c r="FL215" s="121">
        <f>IF(N('Dvd Calendar'!$AL$2166)=0,"",IF(('Dvd Calendar'!$AL$2166&gt;=GRID_FROM)*('Dvd Calendar'!$AL$2166&lt;=GRID_TO)*((('Dvd Calendar'!$AL$2166&lt;=VAL_DATE)+(COUNTIF('Dvd Calendar'!$E$2173:$AR$2173,'Dvd Calendar'!$AL$2166)=0))&gt;0)=0,"",'Dvd Calendar'!$AL$2166*1000000000+ISNUMBER('Dvd Calendar'!$AL$2169)*100000000+('Dvd Calendar'!$AL$2171=SPECIAL_LBL)*10000000+(N('Dvd Calendar'!$AL$2165)&gt;0)*(N('Dvd Calendar'!$AL$2165)&lt;=VAL_SERIAL)*1000000+56*1000+34))</f>
        <v/>
      </c>
      <c r="FM215" s="121">
        <f>IF(N('Dvd Calendar'!$AM$2166)=0,"",IF(('Dvd Calendar'!$AM$2166&gt;=GRID_FROM)*('Dvd Calendar'!$AM$2166&lt;=GRID_TO)*((('Dvd Calendar'!$AM$2166&lt;=VAL_DATE)+(COUNTIF('Dvd Calendar'!$E$2173:$AR$2173,'Dvd Calendar'!$AM$2166)=0))&gt;0)=0,"",'Dvd Calendar'!$AM$2166*1000000000+ISNUMBER('Dvd Calendar'!$AM$2169)*100000000+('Dvd Calendar'!$AM$2171=SPECIAL_LBL)*10000000+(N('Dvd Calendar'!$AM$2165)&gt;0)*(N('Dvd Calendar'!$AM$2165)&lt;=VAL_SERIAL)*1000000+56*1000+35))</f>
        <v/>
      </c>
      <c r="FN215" s="121">
        <f>IF(N('Dvd Calendar'!$AN$2166)=0,"",IF(('Dvd Calendar'!$AN$2166&gt;=GRID_FROM)*('Dvd Calendar'!$AN$2166&lt;=GRID_TO)*((('Dvd Calendar'!$AN$2166&lt;=VAL_DATE)+(COUNTIF('Dvd Calendar'!$E$2173:$AR$2173,'Dvd Calendar'!$AN$2166)=0))&gt;0)=0,"",'Dvd Calendar'!$AN$2166*1000000000+ISNUMBER('Dvd Calendar'!$AN$2169)*100000000+('Dvd Calendar'!$AN$2171=SPECIAL_LBL)*10000000+(N('Dvd Calendar'!$AN$2165)&gt;0)*(N('Dvd Calendar'!$AN$2165)&lt;=VAL_SERIAL)*1000000+56*1000+36))</f>
        <v/>
      </c>
      <c r="FO215" s="121">
        <f>IF(N('Dvd Calendar'!$AO$2166)=0,"",IF(('Dvd Calendar'!$AO$2166&gt;=GRID_FROM)*('Dvd Calendar'!$AO$2166&lt;=GRID_TO)*((('Dvd Calendar'!$AO$2166&lt;=VAL_DATE)+(COUNTIF('Dvd Calendar'!$E$2173:$AR$2173,'Dvd Calendar'!$AO$2166)=0))&gt;0)=0,"",'Dvd Calendar'!$AO$2166*1000000000+ISNUMBER('Dvd Calendar'!$AO$2169)*100000000+('Dvd Calendar'!$AO$2171=SPECIAL_LBL)*10000000+(N('Dvd Calendar'!$AO$2165)&gt;0)*(N('Dvd Calendar'!$AO$2165)&lt;=VAL_SERIAL)*1000000+56*1000+37))</f>
        <v/>
      </c>
      <c r="FP215" s="121">
        <f>IF(N('Dvd Calendar'!$AP$2166)=0,"",IF(('Dvd Calendar'!$AP$2166&gt;=GRID_FROM)*('Dvd Calendar'!$AP$2166&lt;=GRID_TO)*((('Dvd Calendar'!$AP$2166&lt;=VAL_DATE)+(COUNTIF('Dvd Calendar'!$E$2173:$AR$2173,'Dvd Calendar'!$AP$2166)=0))&gt;0)=0,"",'Dvd Calendar'!$AP$2166*1000000000+ISNUMBER('Dvd Calendar'!$AP$2169)*100000000+('Dvd Calendar'!$AP$2171=SPECIAL_LBL)*10000000+(N('Dvd Calendar'!$AP$2165)&gt;0)*(N('Dvd Calendar'!$AP$2165)&lt;=VAL_SERIAL)*1000000+56*1000+38))</f>
        <v/>
      </c>
      <c r="FQ215" s="121">
        <f>IF(N('Dvd Calendar'!$AQ$2166)=0,"",IF(('Dvd Calendar'!$AQ$2166&gt;=GRID_FROM)*('Dvd Calendar'!$AQ$2166&lt;=GRID_TO)*((('Dvd Calendar'!$AQ$2166&lt;=VAL_DATE)+(COUNTIF('Dvd Calendar'!$E$2173:$AR$2173,'Dvd Calendar'!$AQ$2166)=0))&gt;0)=0,"",'Dvd Calendar'!$AQ$2166*1000000000+ISNUMBER('Dvd Calendar'!$AQ$2169)*100000000+('Dvd Calendar'!$AQ$2171=SPECIAL_LBL)*10000000+(N('Dvd Calendar'!$AQ$2165)&gt;0)*(N('Dvd Calendar'!$AQ$2165)&lt;=VAL_SERIAL)*1000000+56*1000+39))</f>
        <v/>
      </c>
      <c r="FR215" s="121">
        <f>IF(N('Dvd Calendar'!$AR$2166)=0,"",IF(('Dvd Calendar'!$AR$2166&gt;=GRID_FROM)*('Dvd Calendar'!$AR$2166&lt;=GRID_TO)*((('Dvd Calendar'!$AR$2166&lt;=VAL_DATE)+(COUNTIF('Dvd Calendar'!$E$2173:$AR$2173,'Dvd Calendar'!$AR$2166)=0))&gt;0)=0,"",'Dvd Calendar'!$AR$2166*1000000000+ISNUMBER('Dvd Calendar'!$AR$2169)*100000000+('Dvd Calendar'!$AR$2171=SPECIAL_LBL)*10000000+(N('Dvd Calendar'!$AR$2165)&gt;0)*(N('Dvd Calendar'!$AR$2165)&lt;=VAL_SERIAL)*1000000+56*1000+40))</f>
        <v/>
      </c>
      <c r="FS215" s="121">
        <f>IF(N('Dvd Calendar'!$E$2173)=0,"",IF(('Dvd Calendar'!$E$2173&gt;=GRID_FROM)*('Dvd Calendar'!$E$2173&lt;=GRID_TO)*('Dvd Calendar'!$E$2173&gt;VAL_DATE)=0,"",'Dvd Calendar'!$E$2173*1000000000+ISNUMBER('Dvd Calendar'!$E$2174)*100000000+0*10000000+(N('Dvd Calendar'!$E$2172)&gt;0)*(N('Dvd Calendar'!$E$2172)&lt;=VAL_SERIAL)*1000000+56*1000+41))</f>
        <v/>
      </c>
      <c r="FT215" s="121">
        <f>IF(N('Dvd Calendar'!$F$2173)=0,"",IF(('Dvd Calendar'!$F$2173&gt;=GRID_FROM)*('Dvd Calendar'!$F$2173&lt;=GRID_TO)*('Dvd Calendar'!$F$2173&gt;VAL_DATE)=0,"",'Dvd Calendar'!$F$2173*1000000000+ISNUMBER('Dvd Calendar'!$F$2174)*100000000+0*10000000+(N('Dvd Calendar'!$F$2172)&gt;0)*(N('Dvd Calendar'!$F$2172)&lt;=VAL_SERIAL)*1000000+56*1000+42))</f>
        <v/>
      </c>
      <c r="FU215" s="121">
        <f>IF(N('Dvd Calendar'!$G$2173)=0,"",IF(('Dvd Calendar'!$G$2173&gt;=GRID_FROM)*('Dvd Calendar'!$G$2173&lt;=GRID_TO)*('Dvd Calendar'!$G$2173&gt;VAL_DATE)=0,"",'Dvd Calendar'!$G$2173*1000000000+ISNUMBER('Dvd Calendar'!$G$2174)*100000000+0*10000000+(N('Dvd Calendar'!$G$2172)&gt;0)*(N('Dvd Calendar'!$G$2172)&lt;=VAL_SERIAL)*1000000+56*1000+43))</f>
        <v/>
      </c>
      <c r="FV215" s="121">
        <f>IF(N('Dvd Calendar'!$H$2173)=0,"",IF(('Dvd Calendar'!$H$2173&gt;=GRID_FROM)*('Dvd Calendar'!$H$2173&lt;=GRID_TO)*('Dvd Calendar'!$H$2173&gt;VAL_DATE)=0,"",'Dvd Calendar'!$H$2173*1000000000+ISNUMBER('Dvd Calendar'!$H$2174)*100000000+0*10000000+(N('Dvd Calendar'!$H$2172)&gt;0)*(N('Dvd Calendar'!$H$2172)&lt;=VAL_SERIAL)*1000000+56*1000+44))</f>
        <v/>
      </c>
      <c r="FW215" s="121">
        <f>IF(N('Dvd Calendar'!$I$2173)=0,"",IF(('Dvd Calendar'!$I$2173&gt;=GRID_FROM)*('Dvd Calendar'!$I$2173&lt;=GRID_TO)*('Dvd Calendar'!$I$2173&gt;VAL_DATE)=0,"",'Dvd Calendar'!$I$2173*1000000000+ISNUMBER('Dvd Calendar'!$I$2174)*100000000+0*10000000+(N('Dvd Calendar'!$I$2172)&gt;0)*(N('Dvd Calendar'!$I$2172)&lt;=VAL_SERIAL)*1000000+56*1000+45))</f>
        <v/>
      </c>
      <c r="FX215" s="121">
        <f>IF(N('Dvd Calendar'!$J$2173)=0,"",IF(('Dvd Calendar'!$J$2173&gt;=GRID_FROM)*('Dvd Calendar'!$J$2173&lt;=GRID_TO)*('Dvd Calendar'!$J$2173&gt;VAL_DATE)=0,"",'Dvd Calendar'!$J$2173*1000000000+ISNUMBER('Dvd Calendar'!$J$2174)*100000000+0*10000000+(N('Dvd Calendar'!$J$2172)&gt;0)*(N('Dvd Calendar'!$J$2172)&lt;=VAL_SERIAL)*1000000+56*1000+46))</f>
        <v/>
      </c>
      <c r="FY215" s="121">
        <f>IF(N('Dvd Calendar'!$K$2173)=0,"",IF(('Dvd Calendar'!$K$2173&gt;=GRID_FROM)*('Dvd Calendar'!$K$2173&lt;=GRID_TO)*('Dvd Calendar'!$K$2173&gt;VAL_DATE)=0,"",'Dvd Calendar'!$K$2173*1000000000+ISNUMBER('Dvd Calendar'!$K$2174)*100000000+0*10000000+(N('Dvd Calendar'!$K$2172)&gt;0)*(N('Dvd Calendar'!$K$2172)&lt;=VAL_SERIAL)*1000000+56*1000+47))</f>
        <v/>
      </c>
      <c r="FZ215" s="121">
        <f>IF(N('Dvd Calendar'!$L$2173)=0,"",IF(('Dvd Calendar'!$L$2173&gt;=GRID_FROM)*('Dvd Calendar'!$L$2173&lt;=GRID_TO)*('Dvd Calendar'!$L$2173&gt;VAL_DATE)=0,"",'Dvd Calendar'!$L$2173*1000000000+ISNUMBER('Dvd Calendar'!$L$2174)*100000000+0*10000000+(N('Dvd Calendar'!$L$2172)&gt;0)*(N('Dvd Calendar'!$L$2172)&lt;=VAL_SERIAL)*1000000+56*1000+48))</f>
        <v/>
      </c>
      <c r="GA215" s="121">
        <f>IF(N('Dvd Calendar'!$M$2173)=0,"",IF(('Dvd Calendar'!$M$2173&gt;=GRID_FROM)*('Dvd Calendar'!$M$2173&lt;=GRID_TO)*('Dvd Calendar'!$M$2173&gt;VAL_DATE)=0,"",'Dvd Calendar'!$M$2173*1000000000+ISNUMBER('Dvd Calendar'!$M$2174)*100000000+0*10000000+(N('Dvd Calendar'!$M$2172)&gt;0)*(N('Dvd Calendar'!$M$2172)&lt;=VAL_SERIAL)*1000000+56*1000+49))</f>
        <v/>
      </c>
      <c r="GB215" s="121">
        <f>IF(N('Dvd Calendar'!$N$2173)=0,"",IF(('Dvd Calendar'!$N$2173&gt;=GRID_FROM)*('Dvd Calendar'!$N$2173&lt;=GRID_TO)*('Dvd Calendar'!$N$2173&gt;VAL_DATE)=0,"",'Dvd Calendar'!$N$2173*1000000000+ISNUMBER('Dvd Calendar'!$N$2174)*100000000+0*10000000+(N('Dvd Calendar'!$N$2172)&gt;0)*(N('Dvd Calendar'!$N$2172)&lt;=VAL_SERIAL)*1000000+56*1000+50))</f>
        <v/>
      </c>
      <c r="GC215" s="121">
        <f>IF(N('Dvd Calendar'!$O$2173)=0,"",IF(('Dvd Calendar'!$O$2173&gt;=GRID_FROM)*('Dvd Calendar'!$O$2173&lt;=GRID_TO)*('Dvd Calendar'!$O$2173&gt;VAL_DATE)=0,"",'Dvd Calendar'!$O$2173*1000000000+ISNUMBER('Dvd Calendar'!$O$2174)*100000000+0*10000000+(N('Dvd Calendar'!$O$2172)&gt;0)*(N('Dvd Calendar'!$O$2172)&lt;=VAL_SERIAL)*1000000+56*1000+51))</f>
        <v/>
      </c>
      <c r="GD215" s="121">
        <f>IF(N('Dvd Calendar'!$P$2173)=0,"",IF(('Dvd Calendar'!$P$2173&gt;=GRID_FROM)*('Dvd Calendar'!$P$2173&lt;=GRID_TO)*('Dvd Calendar'!$P$2173&gt;VAL_DATE)=0,"",'Dvd Calendar'!$P$2173*1000000000+ISNUMBER('Dvd Calendar'!$P$2174)*100000000+0*10000000+(N('Dvd Calendar'!$P$2172)&gt;0)*(N('Dvd Calendar'!$P$2172)&lt;=VAL_SERIAL)*1000000+56*1000+52))</f>
        <v/>
      </c>
      <c r="GE215" s="121">
        <f>IF(N('Dvd Calendar'!$Q$2173)=0,"",IF(('Dvd Calendar'!$Q$2173&gt;=GRID_FROM)*('Dvd Calendar'!$Q$2173&lt;=GRID_TO)*('Dvd Calendar'!$Q$2173&gt;VAL_DATE)=0,"",'Dvd Calendar'!$Q$2173*1000000000+ISNUMBER('Dvd Calendar'!$Q$2174)*100000000+0*10000000+(N('Dvd Calendar'!$Q$2172)&gt;0)*(N('Dvd Calendar'!$Q$2172)&lt;=VAL_SERIAL)*1000000+56*1000+53))</f>
        <v/>
      </c>
      <c r="GF215" s="121">
        <f>IF(N('Dvd Calendar'!$R$2173)=0,"",IF(('Dvd Calendar'!$R$2173&gt;=GRID_FROM)*('Dvd Calendar'!$R$2173&lt;=GRID_TO)*('Dvd Calendar'!$R$2173&gt;VAL_DATE)=0,"",'Dvd Calendar'!$R$2173*1000000000+ISNUMBER('Dvd Calendar'!$R$2174)*100000000+0*10000000+(N('Dvd Calendar'!$R$2172)&gt;0)*(N('Dvd Calendar'!$R$2172)&lt;=VAL_SERIAL)*1000000+56*1000+54))</f>
        <v/>
      </c>
      <c r="GG215" s="121">
        <f>IF(N('Dvd Calendar'!$S$2173)=0,"",IF(('Dvd Calendar'!$S$2173&gt;=GRID_FROM)*('Dvd Calendar'!$S$2173&lt;=GRID_TO)*('Dvd Calendar'!$S$2173&gt;VAL_DATE)=0,"",'Dvd Calendar'!$S$2173*1000000000+ISNUMBER('Dvd Calendar'!$S$2174)*100000000+0*10000000+(N('Dvd Calendar'!$S$2172)&gt;0)*(N('Dvd Calendar'!$S$2172)&lt;=VAL_SERIAL)*1000000+56*1000+55))</f>
        <v/>
      </c>
      <c r="GH215" s="121">
        <f>IF(N('Dvd Calendar'!$T$2173)=0,"",IF(('Dvd Calendar'!$T$2173&gt;=GRID_FROM)*('Dvd Calendar'!$T$2173&lt;=GRID_TO)*('Dvd Calendar'!$T$2173&gt;VAL_DATE)=0,"",'Dvd Calendar'!$T$2173*1000000000+ISNUMBER('Dvd Calendar'!$T$2174)*100000000+0*10000000+(N('Dvd Calendar'!$T$2172)&gt;0)*(N('Dvd Calendar'!$T$2172)&lt;=VAL_SERIAL)*1000000+56*1000+56))</f>
        <v/>
      </c>
      <c r="GI215" s="121">
        <f>IF(N('Dvd Calendar'!$U$2173)=0,"",IF(('Dvd Calendar'!$U$2173&gt;=GRID_FROM)*('Dvd Calendar'!$U$2173&lt;=GRID_TO)*('Dvd Calendar'!$U$2173&gt;VAL_DATE)=0,"",'Dvd Calendar'!$U$2173*1000000000+ISNUMBER('Dvd Calendar'!$U$2174)*100000000+0*10000000+(N('Dvd Calendar'!$U$2172)&gt;0)*(N('Dvd Calendar'!$U$2172)&lt;=VAL_SERIAL)*1000000+56*1000+57))</f>
        <v/>
      </c>
      <c r="GJ215" s="121">
        <f>IF(N('Dvd Calendar'!$V$2173)=0,"",IF(('Dvd Calendar'!$V$2173&gt;=GRID_FROM)*('Dvd Calendar'!$V$2173&lt;=GRID_TO)*('Dvd Calendar'!$V$2173&gt;VAL_DATE)=0,"",'Dvd Calendar'!$V$2173*1000000000+ISNUMBER('Dvd Calendar'!$V$2174)*100000000+0*10000000+(N('Dvd Calendar'!$V$2172)&gt;0)*(N('Dvd Calendar'!$V$2172)&lt;=VAL_SERIAL)*1000000+56*1000+58))</f>
        <v/>
      </c>
      <c r="GK215" s="121">
        <f>IF(N('Dvd Calendar'!$W$2173)=0,"",IF(('Dvd Calendar'!$W$2173&gt;=GRID_FROM)*('Dvd Calendar'!$W$2173&lt;=GRID_TO)*('Dvd Calendar'!$W$2173&gt;VAL_DATE)=0,"",'Dvd Calendar'!$W$2173*1000000000+ISNUMBER('Dvd Calendar'!$W$2174)*100000000+0*10000000+(N('Dvd Calendar'!$W$2172)&gt;0)*(N('Dvd Calendar'!$W$2172)&lt;=VAL_SERIAL)*1000000+56*1000+59))</f>
        <v/>
      </c>
      <c r="GL215" s="121">
        <f>IF(N('Dvd Calendar'!$X$2173)=0,"",IF(('Dvd Calendar'!$X$2173&gt;=GRID_FROM)*('Dvd Calendar'!$X$2173&lt;=GRID_TO)*('Dvd Calendar'!$X$2173&gt;VAL_DATE)=0,"",'Dvd Calendar'!$X$2173*1000000000+ISNUMBER('Dvd Calendar'!$X$2174)*100000000+0*10000000+(N('Dvd Calendar'!$X$2172)&gt;0)*(N('Dvd Calendar'!$X$2172)&lt;=VAL_SERIAL)*1000000+56*1000+60))</f>
        <v/>
      </c>
      <c r="GM215" s="121">
        <f>IF(N('Dvd Calendar'!$Y$2173)=0,"",IF(('Dvd Calendar'!$Y$2173&gt;=GRID_FROM)*('Dvd Calendar'!$Y$2173&lt;=GRID_TO)*('Dvd Calendar'!$Y$2173&gt;VAL_DATE)=0,"",'Dvd Calendar'!$Y$2173*1000000000+ISNUMBER('Dvd Calendar'!$Y$2174)*100000000+0*10000000+(N('Dvd Calendar'!$Y$2172)&gt;0)*(N('Dvd Calendar'!$Y$2172)&lt;=VAL_SERIAL)*1000000+56*1000+61))</f>
        <v/>
      </c>
      <c r="GN215" s="121">
        <f>IF(N('Dvd Calendar'!$Z$2173)=0,"",IF(('Dvd Calendar'!$Z$2173&gt;=GRID_FROM)*('Dvd Calendar'!$Z$2173&lt;=GRID_TO)*('Dvd Calendar'!$Z$2173&gt;VAL_DATE)=0,"",'Dvd Calendar'!$Z$2173*1000000000+ISNUMBER('Dvd Calendar'!$Z$2174)*100000000+0*10000000+(N('Dvd Calendar'!$Z$2172)&gt;0)*(N('Dvd Calendar'!$Z$2172)&lt;=VAL_SERIAL)*1000000+56*1000+62))</f>
        <v/>
      </c>
      <c r="GO215" s="121">
        <f>IF(N('Dvd Calendar'!$AA$2173)=0,"",IF(('Dvd Calendar'!$AA$2173&gt;=GRID_FROM)*('Dvd Calendar'!$AA$2173&lt;=GRID_TO)*('Dvd Calendar'!$AA$2173&gt;VAL_DATE)=0,"",'Dvd Calendar'!$AA$2173*1000000000+ISNUMBER('Dvd Calendar'!$AA$2174)*100000000+0*10000000+(N('Dvd Calendar'!$AA$2172)&gt;0)*(N('Dvd Calendar'!$AA$2172)&lt;=VAL_SERIAL)*1000000+56*1000+63))</f>
        <v/>
      </c>
      <c r="GP215" s="121">
        <f>IF(N('Dvd Calendar'!$AB$2173)=0,"",IF(('Dvd Calendar'!$AB$2173&gt;=GRID_FROM)*('Dvd Calendar'!$AB$2173&lt;=GRID_TO)*('Dvd Calendar'!$AB$2173&gt;VAL_DATE)=0,"",'Dvd Calendar'!$AB$2173*1000000000+ISNUMBER('Dvd Calendar'!$AB$2174)*100000000+0*10000000+(N('Dvd Calendar'!$AB$2172)&gt;0)*(N('Dvd Calendar'!$AB$2172)&lt;=VAL_SERIAL)*1000000+56*1000+64))</f>
        <v/>
      </c>
      <c r="GQ215" s="121">
        <f>IF(N('Dvd Calendar'!$AC$2173)=0,"",IF(('Dvd Calendar'!$AC$2173&gt;=GRID_FROM)*('Dvd Calendar'!$AC$2173&lt;=GRID_TO)*('Dvd Calendar'!$AC$2173&gt;VAL_DATE)=0,"",'Dvd Calendar'!$AC$2173*1000000000+ISNUMBER('Dvd Calendar'!$AC$2174)*100000000+0*10000000+(N('Dvd Calendar'!$AC$2172)&gt;0)*(N('Dvd Calendar'!$AC$2172)&lt;=VAL_SERIAL)*1000000+56*1000+65))</f>
        <v/>
      </c>
    </row>
    <row r="216">
      <c r="B216" s="2">
        <f>IF(HSCEI!$C$63="","",HSCEI!$C$63)</f>
        <v/>
      </c>
      <c r="C216" s="161">
        <f>IF(EE216="","",IF(ISNUMBER('Dvd Calendar'!$E$2180)=FALSE,"",IF((('Dvd Calendar'!$E$2182=TYPE1)*(TYPE1&lt;&gt;"")+('Dvd Calendar'!$E$2182=TYPE2)*(TYPE2&lt;&gt;"")+('Dvd Calendar'!$E$2182=TYPE3)*(TYPE3&lt;&gt;"")+('Dvd Calendar'!$E$2182=TYPE4)*(TYPE4&lt;&gt;"")+('Dvd Calendar'!$E$2182=SPECIAL_LBL)*(INC_SPECIALS="Y"))=0,"",'Dvd Calendar'!$E$2180)))</f>
        <v/>
      </c>
      <c r="D216" s="161">
        <f>IF(EF216="","",IF(ISNUMBER('Dvd Calendar'!$F$2180)=FALSE,"",IF((('Dvd Calendar'!$F$2182=TYPE1)*(TYPE1&lt;&gt;"")+('Dvd Calendar'!$F$2182=TYPE2)*(TYPE2&lt;&gt;"")+('Dvd Calendar'!$F$2182=TYPE3)*(TYPE3&lt;&gt;"")+('Dvd Calendar'!$F$2182=TYPE4)*(TYPE4&lt;&gt;"")+('Dvd Calendar'!$F$2182=SPECIAL_LBL)*(INC_SPECIALS="Y"))=0,"",'Dvd Calendar'!$F$2180)))</f>
        <v/>
      </c>
      <c r="E216" s="161">
        <f>IF(EG216="","",IF(ISNUMBER('Dvd Calendar'!$G$2180)=FALSE,"",IF((('Dvd Calendar'!$G$2182=TYPE1)*(TYPE1&lt;&gt;"")+('Dvd Calendar'!$G$2182=TYPE2)*(TYPE2&lt;&gt;"")+('Dvd Calendar'!$G$2182=TYPE3)*(TYPE3&lt;&gt;"")+('Dvd Calendar'!$G$2182=TYPE4)*(TYPE4&lt;&gt;"")+('Dvd Calendar'!$G$2182=SPECIAL_LBL)*(INC_SPECIALS="Y"))=0,"",'Dvd Calendar'!$G$2180)))</f>
        <v/>
      </c>
      <c r="F216" s="161">
        <f>IF(EH216="","",IF(ISNUMBER('Dvd Calendar'!$H$2180)=FALSE,"",IF((('Dvd Calendar'!$H$2182=TYPE1)*(TYPE1&lt;&gt;"")+('Dvd Calendar'!$H$2182=TYPE2)*(TYPE2&lt;&gt;"")+('Dvd Calendar'!$H$2182=TYPE3)*(TYPE3&lt;&gt;"")+('Dvd Calendar'!$H$2182=TYPE4)*(TYPE4&lt;&gt;"")+('Dvd Calendar'!$H$2182=SPECIAL_LBL)*(INC_SPECIALS="Y"))=0,"",'Dvd Calendar'!$H$2180)))</f>
        <v/>
      </c>
      <c r="G216" s="161">
        <f>IF(EI216="","",IF(ISNUMBER('Dvd Calendar'!$I$2180)=FALSE,"",IF((('Dvd Calendar'!$I$2182=TYPE1)*(TYPE1&lt;&gt;"")+('Dvd Calendar'!$I$2182=TYPE2)*(TYPE2&lt;&gt;"")+('Dvd Calendar'!$I$2182=TYPE3)*(TYPE3&lt;&gt;"")+('Dvd Calendar'!$I$2182=TYPE4)*(TYPE4&lt;&gt;"")+('Dvd Calendar'!$I$2182=SPECIAL_LBL)*(INC_SPECIALS="Y"))=0,"",'Dvd Calendar'!$I$2180)))</f>
        <v/>
      </c>
      <c r="H216" s="161">
        <f>IF(EJ216="","",IF(ISNUMBER('Dvd Calendar'!$J$2180)=FALSE,"",IF((('Dvd Calendar'!$J$2182=TYPE1)*(TYPE1&lt;&gt;"")+('Dvd Calendar'!$J$2182=TYPE2)*(TYPE2&lt;&gt;"")+('Dvd Calendar'!$J$2182=TYPE3)*(TYPE3&lt;&gt;"")+('Dvd Calendar'!$J$2182=TYPE4)*(TYPE4&lt;&gt;"")+('Dvd Calendar'!$J$2182=SPECIAL_LBL)*(INC_SPECIALS="Y"))=0,"",'Dvd Calendar'!$J$2180)))</f>
        <v/>
      </c>
      <c r="I216" s="161">
        <f>IF(EK216="","",IF(ISNUMBER('Dvd Calendar'!$K$2180)=FALSE,"",IF((('Dvd Calendar'!$K$2182=TYPE1)*(TYPE1&lt;&gt;"")+('Dvd Calendar'!$K$2182=TYPE2)*(TYPE2&lt;&gt;"")+('Dvd Calendar'!$K$2182=TYPE3)*(TYPE3&lt;&gt;"")+('Dvd Calendar'!$K$2182=TYPE4)*(TYPE4&lt;&gt;"")+('Dvd Calendar'!$K$2182=SPECIAL_LBL)*(INC_SPECIALS="Y"))=0,"",'Dvd Calendar'!$K$2180)))</f>
        <v/>
      </c>
      <c r="J216" s="161">
        <f>IF(EL216="","",IF(ISNUMBER('Dvd Calendar'!$L$2180)=FALSE,"",IF((('Dvd Calendar'!$L$2182=TYPE1)*(TYPE1&lt;&gt;"")+('Dvd Calendar'!$L$2182=TYPE2)*(TYPE2&lt;&gt;"")+('Dvd Calendar'!$L$2182=TYPE3)*(TYPE3&lt;&gt;"")+('Dvd Calendar'!$L$2182=TYPE4)*(TYPE4&lt;&gt;"")+('Dvd Calendar'!$L$2182=SPECIAL_LBL)*(INC_SPECIALS="Y"))=0,"",'Dvd Calendar'!$L$2180)))</f>
        <v/>
      </c>
      <c r="K216" s="161">
        <f>IF(EM216="","",IF(ISNUMBER('Dvd Calendar'!$M$2180)=FALSE,"",IF((('Dvd Calendar'!$M$2182=TYPE1)*(TYPE1&lt;&gt;"")+('Dvd Calendar'!$M$2182=TYPE2)*(TYPE2&lt;&gt;"")+('Dvd Calendar'!$M$2182=TYPE3)*(TYPE3&lt;&gt;"")+('Dvd Calendar'!$M$2182=TYPE4)*(TYPE4&lt;&gt;"")+('Dvd Calendar'!$M$2182=SPECIAL_LBL)*(INC_SPECIALS="Y"))=0,"",'Dvd Calendar'!$M$2180)))</f>
        <v/>
      </c>
      <c r="L216" s="161">
        <f>IF(EN216="","",IF(ISNUMBER('Dvd Calendar'!$N$2180)=FALSE,"",IF((('Dvd Calendar'!$N$2182=TYPE1)*(TYPE1&lt;&gt;"")+('Dvd Calendar'!$N$2182=TYPE2)*(TYPE2&lt;&gt;"")+('Dvd Calendar'!$N$2182=TYPE3)*(TYPE3&lt;&gt;"")+('Dvd Calendar'!$N$2182=TYPE4)*(TYPE4&lt;&gt;"")+('Dvd Calendar'!$N$2182=SPECIAL_LBL)*(INC_SPECIALS="Y"))=0,"",'Dvd Calendar'!$N$2180)))</f>
        <v/>
      </c>
      <c r="M216" s="161">
        <f>IF(EO216="","",IF(ISNUMBER('Dvd Calendar'!$O$2180)=FALSE,"",IF((('Dvd Calendar'!$O$2182=TYPE1)*(TYPE1&lt;&gt;"")+('Dvd Calendar'!$O$2182=TYPE2)*(TYPE2&lt;&gt;"")+('Dvd Calendar'!$O$2182=TYPE3)*(TYPE3&lt;&gt;"")+('Dvd Calendar'!$O$2182=TYPE4)*(TYPE4&lt;&gt;"")+('Dvd Calendar'!$O$2182=SPECIAL_LBL)*(INC_SPECIALS="Y"))=0,"",'Dvd Calendar'!$O$2180)))</f>
        <v/>
      </c>
      <c r="N216" s="161">
        <f>IF(EP216="","",IF(ISNUMBER('Dvd Calendar'!$P$2180)=FALSE,"",IF((('Dvd Calendar'!$P$2182=TYPE1)*(TYPE1&lt;&gt;"")+('Dvd Calendar'!$P$2182=TYPE2)*(TYPE2&lt;&gt;"")+('Dvd Calendar'!$P$2182=TYPE3)*(TYPE3&lt;&gt;"")+('Dvd Calendar'!$P$2182=TYPE4)*(TYPE4&lt;&gt;"")+('Dvd Calendar'!$P$2182=SPECIAL_LBL)*(INC_SPECIALS="Y"))=0,"",'Dvd Calendar'!$P$2180)))</f>
        <v/>
      </c>
      <c r="O216" s="161">
        <f>IF(EQ216="","",IF(ISNUMBER('Dvd Calendar'!$Q$2180)=FALSE,"",IF((('Dvd Calendar'!$Q$2182=TYPE1)*(TYPE1&lt;&gt;"")+('Dvd Calendar'!$Q$2182=TYPE2)*(TYPE2&lt;&gt;"")+('Dvd Calendar'!$Q$2182=TYPE3)*(TYPE3&lt;&gt;"")+('Dvd Calendar'!$Q$2182=TYPE4)*(TYPE4&lt;&gt;"")+('Dvd Calendar'!$Q$2182=SPECIAL_LBL)*(INC_SPECIALS="Y"))=0,"",'Dvd Calendar'!$Q$2180)))</f>
        <v/>
      </c>
      <c r="P216" s="161">
        <f>IF(ER216="","",IF(ISNUMBER('Dvd Calendar'!$R$2180)=FALSE,"",IF((('Dvd Calendar'!$R$2182=TYPE1)*(TYPE1&lt;&gt;"")+('Dvd Calendar'!$R$2182=TYPE2)*(TYPE2&lt;&gt;"")+('Dvd Calendar'!$R$2182=TYPE3)*(TYPE3&lt;&gt;"")+('Dvd Calendar'!$R$2182=TYPE4)*(TYPE4&lt;&gt;"")+('Dvd Calendar'!$R$2182=SPECIAL_LBL)*(INC_SPECIALS="Y"))=0,"",'Dvd Calendar'!$R$2180)))</f>
        <v/>
      </c>
      <c r="Q216" s="161">
        <f>IF(ES216="","",IF(ISNUMBER('Dvd Calendar'!$S$2180)=FALSE,"",IF((('Dvd Calendar'!$S$2182=TYPE1)*(TYPE1&lt;&gt;"")+('Dvd Calendar'!$S$2182=TYPE2)*(TYPE2&lt;&gt;"")+('Dvd Calendar'!$S$2182=TYPE3)*(TYPE3&lt;&gt;"")+('Dvd Calendar'!$S$2182=TYPE4)*(TYPE4&lt;&gt;"")+('Dvd Calendar'!$S$2182=SPECIAL_LBL)*(INC_SPECIALS="Y"))=0,"",'Dvd Calendar'!$S$2180)))</f>
        <v/>
      </c>
      <c r="R216" s="161">
        <f>IF(ET216="","",IF(ISNUMBER('Dvd Calendar'!$T$2180)=FALSE,"",IF((('Dvd Calendar'!$T$2182=TYPE1)*(TYPE1&lt;&gt;"")+('Dvd Calendar'!$T$2182=TYPE2)*(TYPE2&lt;&gt;"")+('Dvd Calendar'!$T$2182=TYPE3)*(TYPE3&lt;&gt;"")+('Dvd Calendar'!$T$2182=TYPE4)*(TYPE4&lt;&gt;"")+('Dvd Calendar'!$T$2182=SPECIAL_LBL)*(INC_SPECIALS="Y"))=0,"",'Dvd Calendar'!$T$2180)))</f>
        <v/>
      </c>
      <c r="S216" s="161">
        <f>IF(EU216="","",IF(ISNUMBER('Dvd Calendar'!$U$2180)=FALSE,"",IF((('Dvd Calendar'!$U$2182=TYPE1)*(TYPE1&lt;&gt;"")+('Dvd Calendar'!$U$2182=TYPE2)*(TYPE2&lt;&gt;"")+('Dvd Calendar'!$U$2182=TYPE3)*(TYPE3&lt;&gt;"")+('Dvd Calendar'!$U$2182=TYPE4)*(TYPE4&lt;&gt;"")+('Dvd Calendar'!$U$2182=SPECIAL_LBL)*(INC_SPECIALS="Y"))=0,"",'Dvd Calendar'!$U$2180)))</f>
        <v/>
      </c>
      <c r="T216" s="161">
        <f>IF(EV216="","",IF(ISNUMBER('Dvd Calendar'!$V$2180)=FALSE,"",IF((('Dvd Calendar'!$V$2182=TYPE1)*(TYPE1&lt;&gt;"")+('Dvd Calendar'!$V$2182=TYPE2)*(TYPE2&lt;&gt;"")+('Dvd Calendar'!$V$2182=TYPE3)*(TYPE3&lt;&gt;"")+('Dvd Calendar'!$V$2182=TYPE4)*(TYPE4&lt;&gt;"")+('Dvd Calendar'!$V$2182=SPECIAL_LBL)*(INC_SPECIALS="Y"))=0,"",'Dvd Calendar'!$V$2180)))</f>
        <v/>
      </c>
      <c r="U216" s="161">
        <f>IF(EW216="","",IF(ISNUMBER('Dvd Calendar'!$W$2180)=FALSE,"",IF((('Dvd Calendar'!$W$2182=TYPE1)*(TYPE1&lt;&gt;"")+('Dvd Calendar'!$W$2182=TYPE2)*(TYPE2&lt;&gt;"")+('Dvd Calendar'!$W$2182=TYPE3)*(TYPE3&lt;&gt;"")+('Dvd Calendar'!$W$2182=TYPE4)*(TYPE4&lt;&gt;"")+('Dvd Calendar'!$W$2182=SPECIAL_LBL)*(INC_SPECIALS="Y"))=0,"",'Dvd Calendar'!$W$2180)))</f>
        <v/>
      </c>
      <c r="V216" s="161">
        <f>IF(EX216="","",IF(ISNUMBER('Dvd Calendar'!$X$2180)=FALSE,"",IF((('Dvd Calendar'!$X$2182=TYPE1)*(TYPE1&lt;&gt;"")+('Dvd Calendar'!$X$2182=TYPE2)*(TYPE2&lt;&gt;"")+('Dvd Calendar'!$X$2182=TYPE3)*(TYPE3&lt;&gt;"")+('Dvd Calendar'!$X$2182=TYPE4)*(TYPE4&lt;&gt;"")+('Dvd Calendar'!$X$2182=SPECIAL_LBL)*(INC_SPECIALS="Y"))=0,"",'Dvd Calendar'!$X$2180)))</f>
        <v/>
      </c>
      <c r="W216" s="161">
        <f>IF(EY216="","",IF(ISNUMBER('Dvd Calendar'!$Y$2180)=FALSE,"",IF((('Dvd Calendar'!$Y$2182=TYPE1)*(TYPE1&lt;&gt;"")+('Dvd Calendar'!$Y$2182=TYPE2)*(TYPE2&lt;&gt;"")+('Dvd Calendar'!$Y$2182=TYPE3)*(TYPE3&lt;&gt;"")+('Dvd Calendar'!$Y$2182=TYPE4)*(TYPE4&lt;&gt;"")+('Dvd Calendar'!$Y$2182=SPECIAL_LBL)*(INC_SPECIALS="Y"))=0,"",'Dvd Calendar'!$Y$2180)))</f>
        <v/>
      </c>
      <c r="X216" s="161">
        <f>IF(EZ216="","",IF(ISNUMBER('Dvd Calendar'!$Z$2180)=FALSE,"",IF((('Dvd Calendar'!$Z$2182=TYPE1)*(TYPE1&lt;&gt;"")+('Dvd Calendar'!$Z$2182=TYPE2)*(TYPE2&lt;&gt;"")+('Dvd Calendar'!$Z$2182=TYPE3)*(TYPE3&lt;&gt;"")+('Dvd Calendar'!$Z$2182=TYPE4)*(TYPE4&lt;&gt;"")+('Dvd Calendar'!$Z$2182=SPECIAL_LBL)*(INC_SPECIALS="Y"))=0,"",'Dvd Calendar'!$Z$2180)))</f>
        <v/>
      </c>
      <c r="Y216" s="161">
        <f>IF(FA216="","",IF(ISNUMBER('Dvd Calendar'!$AA$2180)=FALSE,"",IF((('Dvd Calendar'!$AA$2182=TYPE1)*(TYPE1&lt;&gt;"")+('Dvd Calendar'!$AA$2182=TYPE2)*(TYPE2&lt;&gt;"")+('Dvd Calendar'!$AA$2182=TYPE3)*(TYPE3&lt;&gt;"")+('Dvd Calendar'!$AA$2182=TYPE4)*(TYPE4&lt;&gt;"")+('Dvd Calendar'!$AA$2182=SPECIAL_LBL)*(INC_SPECIALS="Y"))=0,"",'Dvd Calendar'!$AA$2180)))</f>
        <v/>
      </c>
      <c r="Z216" s="161">
        <f>IF(FB216="","",IF(ISNUMBER('Dvd Calendar'!$AB$2180)=FALSE,"",IF((('Dvd Calendar'!$AB$2182=TYPE1)*(TYPE1&lt;&gt;"")+('Dvd Calendar'!$AB$2182=TYPE2)*(TYPE2&lt;&gt;"")+('Dvd Calendar'!$AB$2182=TYPE3)*(TYPE3&lt;&gt;"")+('Dvd Calendar'!$AB$2182=TYPE4)*(TYPE4&lt;&gt;"")+('Dvd Calendar'!$AB$2182=SPECIAL_LBL)*(INC_SPECIALS="Y"))=0,"",'Dvd Calendar'!$AB$2180)))</f>
        <v/>
      </c>
      <c r="AA216" s="161">
        <f>IF(FC216="","",IF(ISNUMBER('Dvd Calendar'!$AC$2180)=FALSE,"",IF((('Dvd Calendar'!$AC$2182=TYPE1)*(TYPE1&lt;&gt;"")+('Dvd Calendar'!$AC$2182=TYPE2)*(TYPE2&lt;&gt;"")+('Dvd Calendar'!$AC$2182=TYPE3)*(TYPE3&lt;&gt;"")+('Dvd Calendar'!$AC$2182=TYPE4)*(TYPE4&lt;&gt;"")+('Dvd Calendar'!$AC$2182=SPECIAL_LBL)*(INC_SPECIALS="Y"))=0,"",'Dvd Calendar'!$AC$2180)))</f>
        <v/>
      </c>
      <c r="AB216" s="161">
        <f>IF(FD216="","",IF(ISNUMBER('Dvd Calendar'!$AD$2180)=FALSE,"",IF((('Dvd Calendar'!$AD$2182=TYPE1)*(TYPE1&lt;&gt;"")+('Dvd Calendar'!$AD$2182=TYPE2)*(TYPE2&lt;&gt;"")+('Dvd Calendar'!$AD$2182=TYPE3)*(TYPE3&lt;&gt;"")+('Dvd Calendar'!$AD$2182=TYPE4)*(TYPE4&lt;&gt;"")+('Dvd Calendar'!$AD$2182=SPECIAL_LBL)*(INC_SPECIALS="Y"))=0,"",'Dvd Calendar'!$AD$2180)))</f>
        <v/>
      </c>
      <c r="AC216" s="161">
        <f>IF(FE216="","",IF(ISNUMBER('Dvd Calendar'!$AE$2180)=FALSE,"",IF((('Dvd Calendar'!$AE$2182=TYPE1)*(TYPE1&lt;&gt;"")+('Dvd Calendar'!$AE$2182=TYPE2)*(TYPE2&lt;&gt;"")+('Dvd Calendar'!$AE$2182=TYPE3)*(TYPE3&lt;&gt;"")+('Dvd Calendar'!$AE$2182=TYPE4)*(TYPE4&lt;&gt;"")+('Dvd Calendar'!$AE$2182=SPECIAL_LBL)*(INC_SPECIALS="Y"))=0,"",'Dvd Calendar'!$AE$2180)))</f>
        <v/>
      </c>
      <c r="AD216" s="161">
        <f>IF(FF216="","",IF(ISNUMBER('Dvd Calendar'!$AF$2180)=FALSE,"",IF((('Dvd Calendar'!$AF$2182=TYPE1)*(TYPE1&lt;&gt;"")+('Dvd Calendar'!$AF$2182=TYPE2)*(TYPE2&lt;&gt;"")+('Dvd Calendar'!$AF$2182=TYPE3)*(TYPE3&lt;&gt;"")+('Dvd Calendar'!$AF$2182=TYPE4)*(TYPE4&lt;&gt;"")+('Dvd Calendar'!$AF$2182=SPECIAL_LBL)*(INC_SPECIALS="Y"))=0,"",'Dvd Calendar'!$AF$2180)))</f>
        <v/>
      </c>
      <c r="AE216" s="161">
        <f>IF(FG216="","",IF(ISNUMBER('Dvd Calendar'!$AG$2180)=FALSE,"",IF((('Dvd Calendar'!$AG$2182=TYPE1)*(TYPE1&lt;&gt;"")+('Dvd Calendar'!$AG$2182=TYPE2)*(TYPE2&lt;&gt;"")+('Dvd Calendar'!$AG$2182=TYPE3)*(TYPE3&lt;&gt;"")+('Dvd Calendar'!$AG$2182=TYPE4)*(TYPE4&lt;&gt;"")+('Dvd Calendar'!$AG$2182=SPECIAL_LBL)*(INC_SPECIALS="Y"))=0,"",'Dvd Calendar'!$AG$2180)))</f>
        <v/>
      </c>
      <c r="AF216" s="161">
        <f>IF(FH216="","",IF(ISNUMBER('Dvd Calendar'!$AH$2180)=FALSE,"",IF((('Dvd Calendar'!$AH$2182=TYPE1)*(TYPE1&lt;&gt;"")+('Dvd Calendar'!$AH$2182=TYPE2)*(TYPE2&lt;&gt;"")+('Dvd Calendar'!$AH$2182=TYPE3)*(TYPE3&lt;&gt;"")+('Dvd Calendar'!$AH$2182=TYPE4)*(TYPE4&lt;&gt;"")+('Dvd Calendar'!$AH$2182=SPECIAL_LBL)*(INC_SPECIALS="Y"))=0,"",'Dvd Calendar'!$AH$2180)))</f>
        <v/>
      </c>
      <c r="AG216" s="161">
        <f>IF(FI216="","",IF(ISNUMBER('Dvd Calendar'!$AI$2180)=FALSE,"",IF((('Dvd Calendar'!$AI$2182=TYPE1)*(TYPE1&lt;&gt;"")+('Dvd Calendar'!$AI$2182=TYPE2)*(TYPE2&lt;&gt;"")+('Dvd Calendar'!$AI$2182=TYPE3)*(TYPE3&lt;&gt;"")+('Dvd Calendar'!$AI$2182=TYPE4)*(TYPE4&lt;&gt;"")+('Dvd Calendar'!$AI$2182=SPECIAL_LBL)*(INC_SPECIALS="Y"))=0,"",'Dvd Calendar'!$AI$2180)))</f>
        <v/>
      </c>
      <c r="AH216" s="161">
        <f>IF(FJ216="","",IF(ISNUMBER('Dvd Calendar'!$AJ$2180)=FALSE,"",IF((('Dvd Calendar'!$AJ$2182=TYPE1)*(TYPE1&lt;&gt;"")+('Dvd Calendar'!$AJ$2182=TYPE2)*(TYPE2&lt;&gt;"")+('Dvd Calendar'!$AJ$2182=TYPE3)*(TYPE3&lt;&gt;"")+('Dvd Calendar'!$AJ$2182=TYPE4)*(TYPE4&lt;&gt;"")+('Dvd Calendar'!$AJ$2182=SPECIAL_LBL)*(INC_SPECIALS="Y"))=0,"",'Dvd Calendar'!$AJ$2180)))</f>
        <v/>
      </c>
      <c r="AI216" s="161">
        <f>IF(FK216="","",IF(ISNUMBER('Dvd Calendar'!$AK$2180)=FALSE,"",IF((('Dvd Calendar'!$AK$2182=TYPE1)*(TYPE1&lt;&gt;"")+('Dvd Calendar'!$AK$2182=TYPE2)*(TYPE2&lt;&gt;"")+('Dvd Calendar'!$AK$2182=TYPE3)*(TYPE3&lt;&gt;"")+('Dvd Calendar'!$AK$2182=TYPE4)*(TYPE4&lt;&gt;"")+('Dvd Calendar'!$AK$2182=SPECIAL_LBL)*(INC_SPECIALS="Y"))=0,"",'Dvd Calendar'!$AK$2180)))</f>
        <v/>
      </c>
      <c r="AJ216" s="161">
        <f>IF(FL216="","",IF(ISNUMBER('Dvd Calendar'!$AL$2180)=FALSE,"",IF((('Dvd Calendar'!$AL$2182=TYPE1)*(TYPE1&lt;&gt;"")+('Dvd Calendar'!$AL$2182=TYPE2)*(TYPE2&lt;&gt;"")+('Dvd Calendar'!$AL$2182=TYPE3)*(TYPE3&lt;&gt;"")+('Dvd Calendar'!$AL$2182=TYPE4)*(TYPE4&lt;&gt;"")+('Dvd Calendar'!$AL$2182=SPECIAL_LBL)*(INC_SPECIALS="Y"))=0,"",'Dvd Calendar'!$AL$2180)))</f>
        <v/>
      </c>
      <c r="AK216" s="161">
        <f>IF(FM216="","",IF(ISNUMBER('Dvd Calendar'!$AM$2180)=FALSE,"",IF((('Dvd Calendar'!$AM$2182=TYPE1)*(TYPE1&lt;&gt;"")+('Dvd Calendar'!$AM$2182=TYPE2)*(TYPE2&lt;&gt;"")+('Dvd Calendar'!$AM$2182=TYPE3)*(TYPE3&lt;&gt;"")+('Dvd Calendar'!$AM$2182=TYPE4)*(TYPE4&lt;&gt;"")+('Dvd Calendar'!$AM$2182=SPECIAL_LBL)*(INC_SPECIALS="Y"))=0,"",'Dvd Calendar'!$AM$2180)))</f>
        <v/>
      </c>
      <c r="AL216" s="161">
        <f>IF(FN216="","",IF(ISNUMBER('Dvd Calendar'!$AN$2180)=FALSE,"",IF((('Dvd Calendar'!$AN$2182=TYPE1)*(TYPE1&lt;&gt;"")+('Dvd Calendar'!$AN$2182=TYPE2)*(TYPE2&lt;&gt;"")+('Dvd Calendar'!$AN$2182=TYPE3)*(TYPE3&lt;&gt;"")+('Dvd Calendar'!$AN$2182=TYPE4)*(TYPE4&lt;&gt;"")+('Dvd Calendar'!$AN$2182=SPECIAL_LBL)*(INC_SPECIALS="Y"))=0,"",'Dvd Calendar'!$AN$2180)))</f>
        <v/>
      </c>
      <c r="AM216" s="161">
        <f>IF(FO216="","",IF(ISNUMBER('Dvd Calendar'!$AO$2180)=FALSE,"",IF((('Dvd Calendar'!$AO$2182=TYPE1)*(TYPE1&lt;&gt;"")+('Dvd Calendar'!$AO$2182=TYPE2)*(TYPE2&lt;&gt;"")+('Dvd Calendar'!$AO$2182=TYPE3)*(TYPE3&lt;&gt;"")+('Dvd Calendar'!$AO$2182=TYPE4)*(TYPE4&lt;&gt;"")+('Dvd Calendar'!$AO$2182=SPECIAL_LBL)*(INC_SPECIALS="Y"))=0,"",'Dvd Calendar'!$AO$2180)))</f>
        <v/>
      </c>
      <c r="AN216" s="161">
        <f>IF(FP216="","",IF(ISNUMBER('Dvd Calendar'!$AP$2180)=FALSE,"",IF((('Dvd Calendar'!$AP$2182=TYPE1)*(TYPE1&lt;&gt;"")+('Dvd Calendar'!$AP$2182=TYPE2)*(TYPE2&lt;&gt;"")+('Dvd Calendar'!$AP$2182=TYPE3)*(TYPE3&lt;&gt;"")+('Dvd Calendar'!$AP$2182=TYPE4)*(TYPE4&lt;&gt;"")+('Dvd Calendar'!$AP$2182=SPECIAL_LBL)*(INC_SPECIALS="Y"))=0,"",'Dvd Calendar'!$AP$2180)))</f>
        <v/>
      </c>
      <c r="AO216" s="161">
        <f>IF(FQ216="","",IF(ISNUMBER('Dvd Calendar'!$AQ$2180)=FALSE,"",IF((('Dvd Calendar'!$AQ$2182=TYPE1)*(TYPE1&lt;&gt;"")+('Dvd Calendar'!$AQ$2182=TYPE2)*(TYPE2&lt;&gt;"")+('Dvd Calendar'!$AQ$2182=TYPE3)*(TYPE3&lt;&gt;"")+('Dvd Calendar'!$AQ$2182=TYPE4)*(TYPE4&lt;&gt;"")+('Dvd Calendar'!$AQ$2182=SPECIAL_LBL)*(INC_SPECIALS="Y"))=0,"",'Dvd Calendar'!$AQ$2180)))</f>
        <v/>
      </c>
      <c r="AP216" s="161">
        <f>IF(FR216="","",IF(ISNUMBER('Dvd Calendar'!$AR$2180)=FALSE,"",IF((('Dvd Calendar'!$AR$2182=TYPE1)*(TYPE1&lt;&gt;"")+('Dvd Calendar'!$AR$2182=TYPE2)*(TYPE2&lt;&gt;"")+('Dvd Calendar'!$AR$2182=TYPE3)*(TYPE3&lt;&gt;"")+('Dvd Calendar'!$AR$2182=TYPE4)*(TYPE4&lt;&gt;"")+('Dvd Calendar'!$AR$2182=SPECIAL_LBL)*(INC_SPECIALS="Y"))=0,"",'Dvd Calendar'!$AR$2180)))</f>
        <v/>
      </c>
      <c r="AQ216" s="161">
        <f>IF(FS216="","",IF(ISNUMBER('Dvd Calendar'!$E$2185)=FALSE,"",'Dvd Calendar'!$E$2185))</f>
        <v/>
      </c>
      <c r="AR216" s="161">
        <f>IF(FT216="","",IF(ISNUMBER('Dvd Calendar'!$F$2185)=FALSE,"",'Dvd Calendar'!$F$2185))</f>
        <v/>
      </c>
      <c r="AS216" s="161">
        <f>IF(FU216="","",IF(ISNUMBER('Dvd Calendar'!$G$2185)=FALSE,"",'Dvd Calendar'!$G$2185))</f>
        <v/>
      </c>
      <c r="AT216" s="161">
        <f>IF(FV216="","",IF(ISNUMBER('Dvd Calendar'!$H$2185)=FALSE,"",'Dvd Calendar'!$H$2185))</f>
        <v/>
      </c>
      <c r="AU216" s="161">
        <f>IF(FW216="","",IF(ISNUMBER('Dvd Calendar'!$I$2185)=FALSE,"",'Dvd Calendar'!$I$2185))</f>
        <v/>
      </c>
      <c r="AV216" s="161">
        <f>IF(FX216="","",IF(ISNUMBER('Dvd Calendar'!$J$2185)=FALSE,"",'Dvd Calendar'!$J$2185))</f>
        <v/>
      </c>
      <c r="AW216" s="161">
        <f>IF(FY216="","",IF(ISNUMBER('Dvd Calendar'!$K$2185)=FALSE,"",'Dvd Calendar'!$K$2185))</f>
        <v/>
      </c>
      <c r="AX216" s="161">
        <f>IF(FZ216="","",IF(ISNUMBER('Dvd Calendar'!$L$2185)=FALSE,"",'Dvd Calendar'!$L$2185))</f>
        <v/>
      </c>
      <c r="AY216" s="161">
        <f>IF(GA216="","",IF(ISNUMBER('Dvd Calendar'!$M$2185)=FALSE,"",'Dvd Calendar'!$M$2185))</f>
        <v/>
      </c>
      <c r="AZ216" s="161">
        <f>IF(GB216="","",IF(ISNUMBER('Dvd Calendar'!$N$2185)=FALSE,"",'Dvd Calendar'!$N$2185))</f>
        <v/>
      </c>
      <c r="BA216" s="161">
        <f>IF(GC216="","",IF(ISNUMBER('Dvd Calendar'!$O$2185)=FALSE,"",'Dvd Calendar'!$O$2185))</f>
        <v/>
      </c>
      <c r="BB216" s="161">
        <f>IF(GD216="","",IF(ISNUMBER('Dvd Calendar'!$P$2185)=FALSE,"",'Dvd Calendar'!$P$2185))</f>
        <v/>
      </c>
      <c r="BC216" s="161">
        <f>IF(GE216="","",IF(ISNUMBER('Dvd Calendar'!$Q$2185)=FALSE,"",'Dvd Calendar'!$Q$2185))</f>
        <v/>
      </c>
      <c r="BD216" s="161">
        <f>IF(GF216="","",IF(ISNUMBER('Dvd Calendar'!$R$2185)=FALSE,"",'Dvd Calendar'!$R$2185))</f>
        <v/>
      </c>
      <c r="BE216" s="161">
        <f>IF(GG216="","",IF(ISNUMBER('Dvd Calendar'!$S$2185)=FALSE,"",'Dvd Calendar'!$S$2185))</f>
        <v/>
      </c>
      <c r="BF216" s="161">
        <f>IF(GH216="","",IF(ISNUMBER('Dvd Calendar'!$T$2185)=FALSE,"",'Dvd Calendar'!$T$2185))</f>
        <v/>
      </c>
      <c r="BG216" s="161">
        <f>IF(GI216="","",IF(ISNUMBER('Dvd Calendar'!$U$2185)=FALSE,"",'Dvd Calendar'!$U$2185))</f>
        <v/>
      </c>
      <c r="BH216" s="161">
        <f>IF(GJ216="","",IF(ISNUMBER('Dvd Calendar'!$V$2185)=FALSE,"",'Dvd Calendar'!$V$2185))</f>
        <v/>
      </c>
      <c r="BI216" s="161">
        <f>IF(GK216="","",IF(ISNUMBER('Dvd Calendar'!$W$2185)=FALSE,"",'Dvd Calendar'!$W$2185))</f>
        <v/>
      </c>
      <c r="BJ216" s="161">
        <f>IF(GL216="","",IF(ISNUMBER('Dvd Calendar'!$X$2185)=FALSE,"",'Dvd Calendar'!$X$2185))</f>
        <v/>
      </c>
      <c r="BK216" s="161">
        <f>IF(GM216="","",IF(ISNUMBER('Dvd Calendar'!$Y$2185)=FALSE,"",'Dvd Calendar'!$Y$2185))</f>
        <v/>
      </c>
      <c r="BL216" s="161">
        <f>IF(GN216="","",IF(ISNUMBER('Dvd Calendar'!$Z$2185)=FALSE,"",'Dvd Calendar'!$Z$2185))</f>
        <v/>
      </c>
      <c r="BM216" s="161">
        <f>IF(GO216="","",IF(ISNUMBER('Dvd Calendar'!$AA$2185)=FALSE,"",'Dvd Calendar'!$AA$2185))</f>
        <v/>
      </c>
      <c r="BN216" s="161">
        <f>IF(GP216="","",IF(ISNUMBER('Dvd Calendar'!$AB$2185)=FALSE,"",'Dvd Calendar'!$AB$2185))</f>
        <v/>
      </c>
      <c r="BO216" s="161">
        <f>IF(GQ216="","",IF(ISNUMBER('Dvd Calendar'!$AC$2185)=FALSE,"",'Dvd Calendar'!$AC$2185))</f>
        <v/>
      </c>
      <c r="BQ216" s="161">
        <f>IF(C216="","",IFERROR(C216*HSCEI!$B$63*HSCEI!$G$63/HSCEI!$B$3,""))</f>
        <v/>
      </c>
      <c r="BR216" s="161">
        <f>IF(D216="","",IFERROR(D216*HSCEI!$B$63*HSCEI!$G$63/HSCEI!$B$3,""))</f>
        <v/>
      </c>
      <c r="BS216" s="161">
        <f>IF(E216="","",IFERROR(E216*HSCEI!$B$63*HSCEI!$G$63/HSCEI!$B$3,""))</f>
        <v/>
      </c>
      <c r="BT216" s="161">
        <f>IF(F216="","",IFERROR(F216*HSCEI!$B$63*HSCEI!$G$63/HSCEI!$B$3,""))</f>
        <v/>
      </c>
      <c r="BU216" s="161">
        <f>IF(G216="","",IFERROR(G216*HSCEI!$B$63*HSCEI!$G$63/HSCEI!$B$3,""))</f>
        <v/>
      </c>
      <c r="BV216" s="161">
        <f>IF(H216="","",IFERROR(H216*HSCEI!$B$63*HSCEI!$G$63/HSCEI!$B$3,""))</f>
        <v/>
      </c>
      <c r="BW216" s="161">
        <f>IF(I216="","",IFERROR(I216*HSCEI!$B$63*HSCEI!$G$63/HSCEI!$B$3,""))</f>
        <v/>
      </c>
      <c r="BX216" s="161">
        <f>IF(J216="","",IFERROR(J216*HSCEI!$B$63*HSCEI!$G$63/HSCEI!$B$3,""))</f>
        <v/>
      </c>
      <c r="BY216" s="161">
        <f>IF(K216="","",IFERROR(K216*HSCEI!$B$63*HSCEI!$G$63/HSCEI!$B$3,""))</f>
        <v/>
      </c>
      <c r="BZ216" s="161">
        <f>IF(L216="","",IFERROR(L216*HSCEI!$B$63*HSCEI!$G$63/HSCEI!$B$3,""))</f>
        <v/>
      </c>
      <c r="CA216" s="161">
        <f>IF(M216="","",IFERROR(M216*HSCEI!$B$63*HSCEI!$G$63/HSCEI!$B$3,""))</f>
        <v/>
      </c>
      <c r="CB216" s="161">
        <f>IF(N216="","",IFERROR(N216*HSCEI!$B$63*HSCEI!$G$63/HSCEI!$B$3,""))</f>
        <v/>
      </c>
      <c r="CC216" s="161">
        <f>IF(O216="","",IFERROR(O216*HSCEI!$B$63*HSCEI!$G$63/HSCEI!$B$3,""))</f>
        <v/>
      </c>
      <c r="CD216" s="161">
        <f>IF(P216="","",IFERROR(P216*HSCEI!$B$63*HSCEI!$G$63/HSCEI!$B$3,""))</f>
        <v/>
      </c>
      <c r="CE216" s="161">
        <f>IF(Q216="","",IFERROR(Q216*HSCEI!$B$63*HSCEI!$G$63/HSCEI!$B$3,""))</f>
        <v/>
      </c>
      <c r="CF216" s="161">
        <f>IF(R216="","",IFERROR(R216*HSCEI!$B$63*HSCEI!$G$63/HSCEI!$B$3,""))</f>
        <v/>
      </c>
      <c r="CG216" s="161">
        <f>IF(S216="","",IFERROR(S216*HSCEI!$B$63*HSCEI!$G$63/HSCEI!$B$3,""))</f>
        <v/>
      </c>
      <c r="CH216" s="161">
        <f>IF(T216="","",IFERROR(T216*HSCEI!$B$63*HSCEI!$G$63/HSCEI!$B$3,""))</f>
        <v/>
      </c>
      <c r="CI216" s="161">
        <f>IF(U216="","",IFERROR(U216*HSCEI!$B$63*HSCEI!$G$63/HSCEI!$B$3,""))</f>
        <v/>
      </c>
      <c r="CJ216" s="161">
        <f>IF(V216="","",IFERROR(V216*HSCEI!$B$63*HSCEI!$G$63/HSCEI!$B$3,""))</f>
        <v/>
      </c>
      <c r="CK216" s="161">
        <f>IF(W216="","",IFERROR(W216*HSCEI!$B$63*HSCEI!$G$63/HSCEI!$B$3,""))</f>
        <v/>
      </c>
      <c r="CL216" s="161">
        <f>IF(X216="","",IFERROR(X216*HSCEI!$B$63*HSCEI!$G$63/HSCEI!$B$3,""))</f>
        <v/>
      </c>
      <c r="CM216" s="161">
        <f>IF(Y216="","",IFERROR(Y216*HSCEI!$B$63*HSCEI!$G$63/HSCEI!$B$3,""))</f>
        <v/>
      </c>
      <c r="CN216" s="161">
        <f>IF(Z216="","",IFERROR(Z216*HSCEI!$B$63*HSCEI!$G$63/HSCEI!$B$3,""))</f>
        <v/>
      </c>
      <c r="CO216" s="161">
        <f>IF(AA216="","",IFERROR(AA216*HSCEI!$B$63*HSCEI!$G$63/HSCEI!$B$3,""))</f>
        <v/>
      </c>
      <c r="CP216" s="161">
        <f>IF(AB216="","",IFERROR(AB216*HSCEI!$B$63*HSCEI!$G$63/HSCEI!$B$3,""))</f>
        <v/>
      </c>
      <c r="CQ216" s="161">
        <f>IF(AC216="","",IFERROR(AC216*HSCEI!$B$63*HSCEI!$G$63/HSCEI!$B$3,""))</f>
        <v/>
      </c>
      <c r="CR216" s="161">
        <f>IF(AD216="","",IFERROR(AD216*HSCEI!$B$63*HSCEI!$G$63/HSCEI!$B$3,""))</f>
        <v/>
      </c>
      <c r="CS216" s="161">
        <f>IF(AE216="","",IFERROR(AE216*HSCEI!$B$63*HSCEI!$G$63/HSCEI!$B$3,""))</f>
        <v/>
      </c>
      <c r="CT216" s="161">
        <f>IF(AF216="","",IFERROR(AF216*HSCEI!$B$63*HSCEI!$G$63/HSCEI!$B$3,""))</f>
        <v/>
      </c>
      <c r="CU216" s="161">
        <f>IF(AG216="","",IFERROR(AG216*HSCEI!$B$63*HSCEI!$G$63/HSCEI!$B$3,""))</f>
        <v/>
      </c>
      <c r="CV216" s="161">
        <f>IF(AH216="","",IFERROR(AH216*HSCEI!$B$63*HSCEI!$G$63/HSCEI!$B$3,""))</f>
        <v/>
      </c>
      <c r="CW216" s="161">
        <f>IF(AI216="","",IFERROR(AI216*HSCEI!$B$63*HSCEI!$G$63/HSCEI!$B$3,""))</f>
        <v/>
      </c>
      <c r="CX216" s="161">
        <f>IF(AJ216="","",IFERROR(AJ216*HSCEI!$B$63*HSCEI!$G$63/HSCEI!$B$3,""))</f>
        <v/>
      </c>
      <c r="CY216" s="161">
        <f>IF(AK216="","",IFERROR(AK216*HSCEI!$B$63*HSCEI!$G$63/HSCEI!$B$3,""))</f>
        <v/>
      </c>
      <c r="CZ216" s="161">
        <f>IF(AL216="","",IFERROR(AL216*HSCEI!$B$63*HSCEI!$G$63/HSCEI!$B$3,""))</f>
        <v/>
      </c>
      <c r="DA216" s="161">
        <f>IF(AM216="","",IFERROR(AM216*HSCEI!$B$63*HSCEI!$G$63/HSCEI!$B$3,""))</f>
        <v/>
      </c>
      <c r="DB216" s="161">
        <f>IF(AN216="","",IFERROR(AN216*HSCEI!$B$63*HSCEI!$G$63/HSCEI!$B$3,""))</f>
        <v/>
      </c>
      <c r="DC216" s="161">
        <f>IF(AO216="","",IFERROR(AO216*HSCEI!$B$63*HSCEI!$G$63/HSCEI!$B$3,""))</f>
        <v/>
      </c>
      <c r="DD216" s="161">
        <f>IF(AP216="","",IFERROR(AP216*HSCEI!$B$63*HSCEI!$G$63/HSCEI!$B$3,""))</f>
        <v/>
      </c>
      <c r="DE216" s="161">
        <f>IF(AQ216="","",IFERROR(AQ216*HSCEI!$B$63*HSCEI!$G$63/HSCEI!$B$3,""))</f>
        <v/>
      </c>
      <c r="DF216" s="161">
        <f>IF(AR216="","",IFERROR(AR216*HSCEI!$B$63*HSCEI!$G$63/HSCEI!$B$3,""))</f>
        <v/>
      </c>
      <c r="DG216" s="161">
        <f>IF(AS216="","",IFERROR(AS216*HSCEI!$B$63*HSCEI!$G$63/HSCEI!$B$3,""))</f>
        <v/>
      </c>
      <c r="DH216" s="161">
        <f>IF(AT216="","",IFERROR(AT216*HSCEI!$B$63*HSCEI!$G$63/HSCEI!$B$3,""))</f>
        <v/>
      </c>
      <c r="DI216" s="161">
        <f>IF(AU216="","",IFERROR(AU216*HSCEI!$B$63*HSCEI!$G$63/HSCEI!$B$3,""))</f>
        <v/>
      </c>
      <c r="DJ216" s="161">
        <f>IF(AV216="","",IFERROR(AV216*HSCEI!$B$63*HSCEI!$G$63/HSCEI!$B$3,""))</f>
        <v/>
      </c>
      <c r="DK216" s="161">
        <f>IF(AW216="","",IFERROR(AW216*HSCEI!$B$63*HSCEI!$G$63/HSCEI!$B$3,""))</f>
        <v/>
      </c>
      <c r="DL216" s="161">
        <f>IF(AX216="","",IFERROR(AX216*HSCEI!$B$63*HSCEI!$G$63/HSCEI!$B$3,""))</f>
        <v/>
      </c>
      <c r="DM216" s="161">
        <f>IF(AY216="","",IFERROR(AY216*HSCEI!$B$63*HSCEI!$G$63/HSCEI!$B$3,""))</f>
        <v/>
      </c>
      <c r="DN216" s="161">
        <f>IF(AZ216="","",IFERROR(AZ216*HSCEI!$B$63*HSCEI!$G$63/HSCEI!$B$3,""))</f>
        <v/>
      </c>
      <c r="DO216" s="161">
        <f>IF(BA216="","",IFERROR(BA216*HSCEI!$B$63*HSCEI!$G$63/HSCEI!$B$3,""))</f>
        <v/>
      </c>
      <c r="DP216" s="161">
        <f>IF(BB216="","",IFERROR(BB216*HSCEI!$B$63*HSCEI!$G$63/HSCEI!$B$3,""))</f>
        <v/>
      </c>
      <c r="DQ216" s="161">
        <f>IF(BC216="","",IFERROR(BC216*HSCEI!$B$63*HSCEI!$G$63/HSCEI!$B$3,""))</f>
        <v/>
      </c>
      <c r="DR216" s="161">
        <f>IF(BD216="","",IFERROR(BD216*HSCEI!$B$63*HSCEI!$G$63/HSCEI!$B$3,""))</f>
        <v/>
      </c>
      <c r="DS216" s="161">
        <f>IF(BE216="","",IFERROR(BE216*HSCEI!$B$63*HSCEI!$G$63/HSCEI!$B$3,""))</f>
        <v/>
      </c>
      <c r="DT216" s="161">
        <f>IF(BF216="","",IFERROR(BF216*HSCEI!$B$63*HSCEI!$G$63/HSCEI!$B$3,""))</f>
        <v/>
      </c>
      <c r="DU216" s="161">
        <f>IF(BG216="","",IFERROR(BG216*HSCEI!$B$63*HSCEI!$G$63/HSCEI!$B$3,""))</f>
        <v/>
      </c>
      <c r="DV216" s="161">
        <f>IF(BH216="","",IFERROR(BH216*HSCEI!$B$63*HSCEI!$G$63/HSCEI!$B$3,""))</f>
        <v/>
      </c>
      <c r="DW216" s="161">
        <f>IF(BI216="","",IFERROR(BI216*HSCEI!$B$63*HSCEI!$G$63/HSCEI!$B$3,""))</f>
        <v/>
      </c>
      <c r="DX216" s="161">
        <f>IF(BJ216="","",IFERROR(BJ216*HSCEI!$B$63*HSCEI!$G$63/HSCEI!$B$3,""))</f>
        <v/>
      </c>
      <c r="DY216" s="161">
        <f>IF(BK216="","",IFERROR(BK216*HSCEI!$B$63*HSCEI!$G$63/HSCEI!$B$3,""))</f>
        <v/>
      </c>
      <c r="DZ216" s="161">
        <f>IF(BL216="","",IFERROR(BL216*HSCEI!$B$63*HSCEI!$G$63/HSCEI!$B$3,""))</f>
        <v/>
      </c>
      <c r="EA216" s="161">
        <f>IF(BM216="","",IFERROR(BM216*HSCEI!$B$63*HSCEI!$G$63/HSCEI!$B$3,""))</f>
        <v/>
      </c>
      <c r="EB216" s="161">
        <f>IF(BN216="","",IFERROR(BN216*HSCEI!$B$63*HSCEI!$G$63/HSCEI!$B$3,""))</f>
        <v/>
      </c>
      <c r="EC216" s="161">
        <f>IF(BO216="","",IFERROR(BO216*HSCEI!$B$63*HSCEI!$G$63/HSCEI!$B$3,""))</f>
        <v/>
      </c>
      <c r="EE216" s="121">
        <f>IF(N('Dvd Calendar'!$E$2177)=0,"",IF(('Dvd Calendar'!$E$2177&gt;=GRID_FROM)*('Dvd Calendar'!$E$2177&lt;=GRID_TO)*((('Dvd Calendar'!$E$2177&lt;=VAL_DATE)+(COUNTIF('Dvd Calendar'!$E$2184:$AR$2184,'Dvd Calendar'!$E$2177)=0))&gt;0)=0,"",'Dvd Calendar'!$E$2177*1000000000+ISNUMBER('Dvd Calendar'!$E$2180)*100000000+('Dvd Calendar'!$E$2182=SPECIAL_LBL)*10000000+(N('Dvd Calendar'!$E$2176)&gt;0)*(N('Dvd Calendar'!$E$2176)&lt;=VAL_SERIAL)*1000000+57*1000+1))</f>
        <v/>
      </c>
      <c r="EF216" s="121">
        <f>IF(N('Dvd Calendar'!$F$2177)=0,"",IF(('Dvd Calendar'!$F$2177&gt;=GRID_FROM)*('Dvd Calendar'!$F$2177&lt;=GRID_TO)*((('Dvd Calendar'!$F$2177&lt;=VAL_DATE)+(COUNTIF('Dvd Calendar'!$E$2184:$AR$2184,'Dvd Calendar'!$F$2177)=0))&gt;0)=0,"",'Dvd Calendar'!$F$2177*1000000000+ISNUMBER('Dvd Calendar'!$F$2180)*100000000+('Dvd Calendar'!$F$2182=SPECIAL_LBL)*10000000+(N('Dvd Calendar'!$F$2176)&gt;0)*(N('Dvd Calendar'!$F$2176)&lt;=VAL_SERIAL)*1000000+57*1000+2))</f>
        <v/>
      </c>
      <c r="EG216" s="121">
        <f>IF(N('Dvd Calendar'!$G$2177)=0,"",IF(('Dvd Calendar'!$G$2177&gt;=GRID_FROM)*('Dvd Calendar'!$G$2177&lt;=GRID_TO)*((('Dvd Calendar'!$G$2177&lt;=VAL_DATE)+(COUNTIF('Dvd Calendar'!$E$2184:$AR$2184,'Dvd Calendar'!$G$2177)=0))&gt;0)=0,"",'Dvd Calendar'!$G$2177*1000000000+ISNUMBER('Dvd Calendar'!$G$2180)*100000000+('Dvd Calendar'!$G$2182=SPECIAL_LBL)*10000000+(N('Dvd Calendar'!$G$2176)&gt;0)*(N('Dvd Calendar'!$G$2176)&lt;=VAL_SERIAL)*1000000+57*1000+3))</f>
        <v/>
      </c>
      <c r="EH216" s="121">
        <f>IF(N('Dvd Calendar'!$H$2177)=0,"",IF(('Dvd Calendar'!$H$2177&gt;=GRID_FROM)*('Dvd Calendar'!$H$2177&lt;=GRID_TO)*((('Dvd Calendar'!$H$2177&lt;=VAL_DATE)+(COUNTIF('Dvd Calendar'!$E$2184:$AR$2184,'Dvd Calendar'!$H$2177)=0))&gt;0)=0,"",'Dvd Calendar'!$H$2177*1000000000+ISNUMBER('Dvd Calendar'!$H$2180)*100000000+('Dvd Calendar'!$H$2182=SPECIAL_LBL)*10000000+(N('Dvd Calendar'!$H$2176)&gt;0)*(N('Dvd Calendar'!$H$2176)&lt;=VAL_SERIAL)*1000000+57*1000+4))</f>
        <v/>
      </c>
      <c r="EI216" s="121">
        <f>IF(N('Dvd Calendar'!$I$2177)=0,"",IF(('Dvd Calendar'!$I$2177&gt;=GRID_FROM)*('Dvd Calendar'!$I$2177&lt;=GRID_TO)*((('Dvd Calendar'!$I$2177&lt;=VAL_DATE)+(COUNTIF('Dvd Calendar'!$E$2184:$AR$2184,'Dvd Calendar'!$I$2177)=0))&gt;0)=0,"",'Dvd Calendar'!$I$2177*1000000000+ISNUMBER('Dvd Calendar'!$I$2180)*100000000+('Dvd Calendar'!$I$2182=SPECIAL_LBL)*10000000+(N('Dvd Calendar'!$I$2176)&gt;0)*(N('Dvd Calendar'!$I$2176)&lt;=VAL_SERIAL)*1000000+57*1000+5))</f>
        <v/>
      </c>
      <c r="EJ216" s="121">
        <f>IF(N('Dvd Calendar'!$J$2177)=0,"",IF(('Dvd Calendar'!$J$2177&gt;=GRID_FROM)*('Dvd Calendar'!$J$2177&lt;=GRID_TO)*((('Dvd Calendar'!$J$2177&lt;=VAL_DATE)+(COUNTIF('Dvd Calendar'!$E$2184:$AR$2184,'Dvd Calendar'!$J$2177)=0))&gt;0)=0,"",'Dvd Calendar'!$J$2177*1000000000+ISNUMBER('Dvd Calendar'!$J$2180)*100000000+('Dvd Calendar'!$J$2182=SPECIAL_LBL)*10000000+(N('Dvd Calendar'!$J$2176)&gt;0)*(N('Dvd Calendar'!$J$2176)&lt;=VAL_SERIAL)*1000000+57*1000+6))</f>
        <v/>
      </c>
      <c r="EK216" s="121">
        <f>IF(N('Dvd Calendar'!$K$2177)=0,"",IF(('Dvd Calendar'!$K$2177&gt;=GRID_FROM)*('Dvd Calendar'!$K$2177&lt;=GRID_TO)*((('Dvd Calendar'!$K$2177&lt;=VAL_DATE)+(COUNTIF('Dvd Calendar'!$E$2184:$AR$2184,'Dvd Calendar'!$K$2177)=0))&gt;0)=0,"",'Dvd Calendar'!$K$2177*1000000000+ISNUMBER('Dvd Calendar'!$K$2180)*100000000+('Dvd Calendar'!$K$2182=SPECIAL_LBL)*10000000+(N('Dvd Calendar'!$K$2176)&gt;0)*(N('Dvd Calendar'!$K$2176)&lt;=VAL_SERIAL)*1000000+57*1000+7))</f>
        <v/>
      </c>
      <c r="EL216" s="121">
        <f>IF(N('Dvd Calendar'!$L$2177)=0,"",IF(('Dvd Calendar'!$L$2177&gt;=GRID_FROM)*('Dvd Calendar'!$L$2177&lt;=GRID_TO)*((('Dvd Calendar'!$L$2177&lt;=VAL_DATE)+(COUNTIF('Dvd Calendar'!$E$2184:$AR$2184,'Dvd Calendar'!$L$2177)=0))&gt;0)=0,"",'Dvd Calendar'!$L$2177*1000000000+ISNUMBER('Dvd Calendar'!$L$2180)*100000000+('Dvd Calendar'!$L$2182=SPECIAL_LBL)*10000000+(N('Dvd Calendar'!$L$2176)&gt;0)*(N('Dvd Calendar'!$L$2176)&lt;=VAL_SERIAL)*1000000+57*1000+8))</f>
        <v/>
      </c>
      <c r="EM216" s="121">
        <f>IF(N('Dvd Calendar'!$M$2177)=0,"",IF(('Dvd Calendar'!$M$2177&gt;=GRID_FROM)*('Dvd Calendar'!$M$2177&lt;=GRID_TO)*((('Dvd Calendar'!$M$2177&lt;=VAL_DATE)+(COUNTIF('Dvd Calendar'!$E$2184:$AR$2184,'Dvd Calendar'!$M$2177)=0))&gt;0)=0,"",'Dvd Calendar'!$M$2177*1000000000+ISNUMBER('Dvd Calendar'!$M$2180)*100000000+('Dvd Calendar'!$M$2182=SPECIAL_LBL)*10000000+(N('Dvd Calendar'!$M$2176)&gt;0)*(N('Dvd Calendar'!$M$2176)&lt;=VAL_SERIAL)*1000000+57*1000+9))</f>
        <v/>
      </c>
      <c r="EN216" s="121">
        <f>IF(N('Dvd Calendar'!$N$2177)=0,"",IF(('Dvd Calendar'!$N$2177&gt;=GRID_FROM)*('Dvd Calendar'!$N$2177&lt;=GRID_TO)*((('Dvd Calendar'!$N$2177&lt;=VAL_DATE)+(COUNTIF('Dvd Calendar'!$E$2184:$AR$2184,'Dvd Calendar'!$N$2177)=0))&gt;0)=0,"",'Dvd Calendar'!$N$2177*1000000000+ISNUMBER('Dvd Calendar'!$N$2180)*100000000+('Dvd Calendar'!$N$2182=SPECIAL_LBL)*10000000+(N('Dvd Calendar'!$N$2176)&gt;0)*(N('Dvd Calendar'!$N$2176)&lt;=VAL_SERIAL)*1000000+57*1000+10))</f>
        <v/>
      </c>
      <c r="EO216" s="121">
        <f>IF(N('Dvd Calendar'!$O$2177)=0,"",IF(('Dvd Calendar'!$O$2177&gt;=GRID_FROM)*('Dvd Calendar'!$O$2177&lt;=GRID_TO)*((('Dvd Calendar'!$O$2177&lt;=VAL_DATE)+(COUNTIF('Dvd Calendar'!$E$2184:$AR$2184,'Dvd Calendar'!$O$2177)=0))&gt;0)=0,"",'Dvd Calendar'!$O$2177*1000000000+ISNUMBER('Dvd Calendar'!$O$2180)*100000000+('Dvd Calendar'!$O$2182=SPECIAL_LBL)*10000000+(N('Dvd Calendar'!$O$2176)&gt;0)*(N('Dvd Calendar'!$O$2176)&lt;=VAL_SERIAL)*1000000+57*1000+11))</f>
        <v/>
      </c>
      <c r="EP216" s="121">
        <f>IF(N('Dvd Calendar'!$P$2177)=0,"",IF(('Dvd Calendar'!$P$2177&gt;=GRID_FROM)*('Dvd Calendar'!$P$2177&lt;=GRID_TO)*((('Dvd Calendar'!$P$2177&lt;=VAL_DATE)+(COUNTIF('Dvd Calendar'!$E$2184:$AR$2184,'Dvd Calendar'!$P$2177)=0))&gt;0)=0,"",'Dvd Calendar'!$P$2177*1000000000+ISNUMBER('Dvd Calendar'!$P$2180)*100000000+('Dvd Calendar'!$P$2182=SPECIAL_LBL)*10000000+(N('Dvd Calendar'!$P$2176)&gt;0)*(N('Dvd Calendar'!$P$2176)&lt;=VAL_SERIAL)*1000000+57*1000+12))</f>
        <v/>
      </c>
      <c r="EQ216" s="121">
        <f>IF(N('Dvd Calendar'!$Q$2177)=0,"",IF(('Dvd Calendar'!$Q$2177&gt;=GRID_FROM)*('Dvd Calendar'!$Q$2177&lt;=GRID_TO)*((('Dvd Calendar'!$Q$2177&lt;=VAL_DATE)+(COUNTIF('Dvd Calendar'!$E$2184:$AR$2184,'Dvd Calendar'!$Q$2177)=0))&gt;0)=0,"",'Dvd Calendar'!$Q$2177*1000000000+ISNUMBER('Dvd Calendar'!$Q$2180)*100000000+('Dvd Calendar'!$Q$2182=SPECIAL_LBL)*10000000+(N('Dvd Calendar'!$Q$2176)&gt;0)*(N('Dvd Calendar'!$Q$2176)&lt;=VAL_SERIAL)*1000000+57*1000+13))</f>
        <v/>
      </c>
      <c r="ER216" s="121">
        <f>IF(N('Dvd Calendar'!$R$2177)=0,"",IF(('Dvd Calendar'!$R$2177&gt;=GRID_FROM)*('Dvd Calendar'!$R$2177&lt;=GRID_TO)*((('Dvd Calendar'!$R$2177&lt;=VAL_DATE)+(COUNTIF('Dvd Calendar'!$E$2184:$AR$2184,'Dvd Calendar'!$R$2177)=0))&gt;0)=0,"",'Dvd Calendar'!$R$2177*1000000000+ISNUMBER('Dvd Calendar'!$R$2180)*100000000+('Dvd Calendar'!$R$2182=SPECIAL_LBL)*10000000+(N('Dvd Calendar'!$R$2176)&gt;0)*(N('Dvd Calendar'!$R$2176)&lt;=VAL_SERIAL)*1000000+57*1000+14))</f>
        <v/>
      </c>
      <c r="ES216" s="121">
        <f>IF(N('Dvd Calendar'!$S$2177)=0,"",IF(('Dvd Calendar'!$S$2177&gt;=GRID_FROM)*('Dvd Calendar'!$S$2177&lt;=GRID_TO)*((('Dvd Calendar'!$S$2177&lt;=VAL_DATE)+(COUNTIF('Dvd Calendar'!$E$2184:$AR$2184,'Dvd Calendar'!$S$2177)=0))&gt;0)=0,"",'Dvd Calendar'!$S$2177*1000000000+ISNUMBER('Dvd Calendar'!$S$2180)*100000000+('Dvd Calendar'!$S$2182=SPECIAL_LBL)*10000000+(N('Dvd Calendar'!$S$2176)&gt;0)*(N('Dvd Calendar'!$S$2176)&lt;=VAL_SERIAL)*1000000+57*1000+15))</f>
        <v/>
      </c>
      <c r="ET216" s="121">
        <f>IF(N('Dvd Calendar'!$T$2177)=0,"",IF(('Dvd Calendar'!$T$2177&gt;=GRID_FROM)*('Dvd Calendar'!$T$2177&lt;=GRID_TO)*((('Dvd Calendar'!$T$2177&lt;=VAL_DATE)+(COUNTIF('Dvd Calendar'!$E$2184:$AR$2184,'Dvd Calendar'!$T$2177)=0))&gt;0)=0,"",'Dvd Calendar'!$T$2177*1000000000+ISNUMBER('Dvd Calendar'!$T$2180)*100000000+('Dvd Calendar'!$T$2182=SPECIAL_LBL)*10000000+(N('Dvd Calendar'!$T$2176)&gt;0)*(N('Dvd Calendar'!$T$2176)&lt;=VAL_SERIAL)*1000000+57*1000+16))</f>
        <v/>
      </c>
      <c r="EU216" s="121">
        <f>IF(N('Dvd Calendar'!$U$2177)=0,"",IF(('Dvd Calendar'!$U$2177&gt;=GRID_FROM)*('Dvd Calendar'!$U$2177&lt;=GRID_TO)*((('Dvd Calendar'!$U$2177&lt;=VAL_DATE)+(COUNTIF('Dvd Calendar'!$E$2184:$AR$2184,'Dvd Calendar'!$U$2177)=0))&gt;0)=0,"",'Dvd Calendar'!$U$2177*1000000000+ISNUMBER('Dvd Calendar'!$U$2180)*100000000+('Dvd Calendar'!$U$2182=SPECIAL_LBL)*10000000+(N('Dvd Calendar'!$U$2176)&gt;0)*(N('Dvd Calendar'!$U$2176)&lt;=VAL_SERIAL)*1000000+57*1000+17))</f>
        <v/>
      </c>
      <c r="EV216" s="121">
        <f>IF(N('Dvd Calendar'!$V$2177)=0,"",IF(('Dvd Calendar'!$V$2177&gt;=GRID_FROM)*('Dvd Calendar'!$V$2177&lt;=GRID_TO)*((('Dvd Calendar'!$V$2177&lt;=VAL_DATE)+(COUNTIF('Dvd Calendar'!$E$2184:$AR$2184,'Dvd Calendar'!$V$2177)=0))&gt;0)=0,"",'Dvd Calendar'!$V$2177*1000000000+ISNUMBER('Dvd Calendar'!$V$2180)*100000000+('Dvd Calendar'!$V$2182=SPECIAL_LBL)*10000000+(N('Dvd Calendar'!$V$2176)&gt;0)*(N('Dvd Calendar'!$V$2176)&lt;=VAL_SERIAL)*1000000+57*1000+18))</f>
        <v/>
      </c>
      <c r="EW216" s="121">
        <f>IF(N('Dvd Calendar'!$W$2177)=0,"",IF(('Dvd Calendar'!$W$2177&gt;=GRID_FROM)*('Dvd Calendar'!$W$2177&lt;=GRID_TO)*((('Dvd Calendar'!$W$2177&lt;=VAL_DATE)+(COUNTIF('Dvd Calendar'!$E$2184:$AR$2184,'Dvd Calendar'!$W$2177)=0))&gt;0)=0,"",'Dvd Calendar'!$W$2177*1000000000+ISNUMBER('Dvd Calendar'!$W$2180)*100000000+('Dvd Calendar'!$W$2182=SPECIAL_LBL)*10000000+(N('Dvd Calendar'!$W$2176)&gt;0)*(N('Dvd Calendar'!$W$2176)&lt;=VAL_SERIAL)*1000000+57*1000+19))</f>
        <v/>
      </c>
      <c r="EX216" s="121">
        <f>IF(N('Dvd Calendar'!$X$2177)=0,"",IF(('Dvd Calendar'!$X$2177&gt;=GRID_FROM)*('Dvd Calendar'!$X$2177&lt;=GRID_TO)*((('Dvd Calendar'!$X$2177&lt;=VAL_DATE)+(COUNTIF('Dvd Calendar'!$E$2184:$AR$2184,'Dvd Calendar'!$X$2177)=0))&gt;0)=0,"",'Dvd Calendar'!$X$2177*1000000000+ISNUMBER('Dvd Calendar'!$X$2180)*100000000+('Dvd Calendar'!$X$2182=SPECIAL_LBL)*10000000+(N('Dvd Calendar'!$X$2176)&gt;0)*(N('Dvd Calendar'!$X$2176)&lt;=VAL_SERIAL)*1000000+57*1000+20))</f>
        <v/>
      </c>
      <c r="EY216" s="121">
        <f>IF(N('Dvd Calendar'!$Y$2177)=0,"",IF(('Dvd Calendar'!$Y$2177&gt;=GRID_FROM)*('Dvd Calendar'!$Y$2177&lt;=GRID_TO)*((('Dvd Calendar'!$Y$2177&lt;=VAL_DATE)+(COUNTIF('Dvd Calendar'!$E$2184:$AR$2184,'Dvd Calendar'!$Y$2177)=0))&gt;0)=0,"",'Dvd Calendar'!$Y$2177*1000000000+ISNUMBER('Dvd Calendar'!$Y$2180)*100000000+('Dvd Calendar'!$Y$2182=SPECIAL_LBL)*10000000+(N('Dvd Calendar'!$Y$2176)&gt;0)*(N('Dvd Calendar'!$Y$2176)&lt;=VAL_SERIAL)*1000000+57*1000+21))</f>
        <v/>
      </c>
      <c r="EZ216" s="121">
        <f>IF(N('Dvd Calendar'!$Z$2177)=0,"",IF(('Dvd Calendar'!$Z$2177&gt;=GRID_FROM)*('Dvd Calendar'!$Z$2177&lt;=GRID_TO)*((('Dvd Calendar'!$Z$2177&lt;=VAL_DATE)+(COUNTIF('Dvd Calendar'!$E$2184:$AR$2184,'Dvd Calendar'!$Z$2177)=0))&gt;0)=0,"",'Dvd Calendar'!$Z$2177*1000000000+ISNUMBER('Dvd Calendar'!$Z$2180)*100000000+('Dvd Calendar'!$Z$2182=SPECIAL_LBL)*10000000+(N('Dvd Calendar'!$Z$2176)&gt;0)*(N('Dvd Calendar'!$Z$2176)&lt;=VAL_SERIAL)*1000000+57*1000+22))</f>
        <v/>
      </c>
      <c r="FA216" s="121">
        <f>IF(N('Dvd Calendar'!$AA$2177)=0,"",IF(('Dvd Calendar'!$AA$2177&gt;=GRID_FROM)*('Dvd Calendar'!$AA$2177&lt;=GRID_TO)*((('Dvd Calendar'!$AA$2177&lt;=VAL_DATE)+(COUNTIF('Dvd Calendar'!$E$2184:$AR$2184,'Dvd Calendar'!$AA$2177)=0))&gt;0)=0,"",'Dvd Calendar'!$AA$2177*1000000000+ISNUMBER('Dvd Calendar'!$AA$2180)*100000000+('Dvd Calendar'!$AA$2182=SPECIAL_LBL)*10000000+(N('Dvd Calendar'!$AA$2176)&gt;0)*(N('Dvd Calendar'!$AA$2176)&lt;=VAL_SERIAL)*1000000+57*1000+23))</f>
        <v/>
      </c>
      <c r="FB216" s="121">
        <f>IF(N('Dvd Calendar'!$AB$2177)=0,"",IF(('Dvd Calendar'!$AB$2177&gt;=GRID_FROM)*('Dvd Calendar'!$AB$2177&lt;=GRID_TO)*((('Dvd Calendar'!$AB$2177&lt;=VAL_DATE)+(COUNTIF('Dvd Calendar'!$E$2184:$AR$2184,'Dvd Calendar'!$AB$2177)=0))&gt;0)=0,"",'Dvd Calendar'!$AB$2177*1000000000+ISNUMBER('Dvd Calendar'!$AB$2180)*100000000+('Dvd Calendar'!$AB$2182=SPECIAL_LBL)*10000000+(N('Dvd Calendar'!$AB$2176)&gt;0)*(N('Dvd Calendar'!$AB$2176)&lt;=VAL_SERIAL)*1000000+57*1000+24))</f>
        <v/>
      </c>
      <c r="FC216" s="121">
        <f>IF(N('Dvd Calendar'!$AC$2177)=0,"",IF(('Dvd Calendar'!$AC$2177&gt;=GRID_FROM)*('Dvd Calendar'!$AC$2177&lt;=GRID_TO)*((('Dvd Calendar'!$AC$2177&lt;=VAL_DATE)+(COUNTIF('Dvd Calendar'!$E$2184:$AR$2184,'Dvd Calendar'!$AC$2177)=0))&gt;0)=0,"",'Dvd Calendar'!$AC$2177*1000000000+ISNUMBER('Dvd Calendar'!$AC$2180)*100000000+('Dvd Calendar'!$AC$2182=SPECIAL_LBL)*10000000+(N('Dvd Calendar'!$AC$2176)&gt;0)*(N('Dvd Calendar'!$AC$2176)&lt;=VAL_SERIAL)*1000000+57*1000+25))</f>
        <v/>
      </c>
      <c r="FD216" s="121">
        <f>IF(N('Dvd Calendar'!$AD$2177)=0,"",IF(('Dvd Calendar'!$AD$2177&gt;=GRID_FROM)*('Dvd Calendar'!$AD$2177&lt;=GRID_TO)*((('Dvd Calendar'!$AD$2177&lt;=VAL_DATE)+(COUNTIF('Dvd Calendar'!$E$2184:$AR$2184,'Dvd Calendar'!$AD$2177)=0))&gt;0)=0,"",'Dvd Calendar'!$AD$2177*1000000000+ISNUMBER('Dvd Calendar'!$AD$2180)*100000000+('Dvd Calendar'!$AD$2182=SPECIAL_LBL)*10000000+(N('Dvd Calendar'!$AD$2176)&gt;0)*(N('Dvd Calendar'!$AD$2176)&lt;=VAL_SERIAL)*1000000+57*1000+26))</f>
        <v/>
      </c>
      <c r="FE216" s="121">
        <f>IF(N('Dvd Calendar'!$AE$2177)=0,"",IF(('Dvd Calendar'!$AE$2177&gt;=GRID_FROM)*('Dvd Calendar'!$AE$2177&lt;=GRID_TO)*((('Dvd Calendar'!$AE$2177&lt;=VAL_DATE)+(COUNTIF('Dvd Calendar'!$E$2184:$AR$2184,'Dvd Calendar'!$AE$2177)=0))&gt;0)=0,"",'Dvd Calendar'!$AE$2177*1000000000+ISNUMBER('Dvd Calendar'!$AE$2180)*100000000+('Dvd Calendar'!$AE$2182=SPECIAL_LBL)*10000000+(N('Dvd Calendar'!$AE$2176)&gt;0)*(N('Dvd Calendar'!$AE$2176)&lt;=VAL_SERIAL)*1000000+57*1000+27))</f>
        <v/>
      </c>
      <c r="FF216" s="121">
        <f>IF(N('Dvd Calendar'!$AF$2177)=0,"",IF(('Dvd Calendar'!$AF$2177&gt;=GRID_FROM)*('Dvd Calendar'!$AF$2177&lt;=GRID_TO)*((('Dvd Calendar'!$AF$2177&lt;=VAL_DATE)+(COUNTIF('Dvd Calendar'!$E$2184:$AR$2184,'Dvd Calendar'!$AF$2177)=0))&gt;0)=0,"",'Dvd Calendar'!$AF$2177*1000000000+ISNUMBER('Dvd Calendar'!$AF$2180)*100000000+('Dvd Calendar'!$AF$2182=SPECIAL_LBL)*10000000+(N('Dvd Calendar'!$AF$2176)&gt;0)*(N('Dvd Calendar'!$AF$2176)&lt;=VAL_SERIAL)*1000000+57*1000+28))</f>
        <v/>
      </c>
      <c r="FG216" s="121">
        <f>IF(N('Dvd Calendar'!$AG$2177)=0,"",IF(('Dvd Calendar'!$AG$2177&gt;=GRID_FROM)*('Dvd Calendar'!$AG$2177&lt;=GRID_TO)*((('Dvd Calendar'!$AG$2177&lt;=VAL_DATE)+(COUNTIF('Dvd Calendar'!$E$2184:$AR$2184,'Dvd Calendar'!$AG$2177)=0))&gt;0)=0,"",'Dvd Calendar'!$AG$2177*1000000000+ISNUMBER('Dvd Calendar'!$AG$2180)*100000000+('Dvd Calendar'!$AG$2182=SPECIAL_LBL)*10000000+(N('Dvd Calendar'!$AG$2176)&gt;0)*(N('Dvd Calendar'!$AG$2176)&lt;=VAL_SERIAL)*1000000+57*1000+29))</f>
        <v/>
      </c>
      <c r="FH216" s="121">
        <f>IF(N('Dvd Calendar'!$AH$2177)=0,"",IF(('Dvd Calendar'!$AH$2177&gt;=GRID_FROM)*('Dvd Calendar'!$AH$2177&lt;=GRID_TO)*((('Dvd Calendar'!$AH$2177&lt;=VAL_DATE)+(COUNTIF('Dvd Calendar'!$E$2184:$AR$2184,'Dvd Calendar'!$AH$2177)=0))&gt;0)=0,"",'Dvd Calendar'!$AH$2177*1000000000+ISNUMBER('Dvd Calendar'!$AH$2180)*100000000+('Dvd Calendar'!$AH$2182=SPECIAL_LBL)*10000000+(N('Dvd Calendar'!$AH$2176)&gt;0)*(N('Dvd Calendar'!$AH$2176)&lt;=VAL_SERIAL)*1000000+57*1000+30))</f>
        <v/>
      </c>
      <c r="FI216" s="121">
        <f>IF(N('Dvd Calendar'!$AI$2177)=0,"",IF(('Dvd Calendar'!$AI$2177&gt;=GRID_FROM)*('Dvd Calendar'!$AI$2177&lt;=GRID_TO)*((('Dvd Calendar'!$AI$2177&lt;=VAL_DATE)+(COUNTIF('Dvd Calendar'!$E$2184:$AR$2184,'Dvd Calendar'!$AI$2177)=0))&gt;0)=0,"",'Dvd Calendar'!$AI$2177*1000000000+ISNUMBER('Dvd Calendar'!$AI$2180)*100000000+('Dvd Calendar'!$AI$2182=SPECIAL_LBL)*10000000+(N('Dvd Calendar'!$AI$2176)&gt;0)*(N('Dvd Calendar'!$AI$2176)&lt;=VAL_SERIAL)*1000000+57*1000+31))</f>
        <v/>
      </c>
      <c r="FJ216" s="121">
        <f>IF(N('Dvd Calendar'!$AJ$2177)=0,"",IF(('Dvd Calendar'!$AJ$2177&gt;=GRID_FROM)*('Dvd Calendar'!$AJ$2177&lt;=GRID_TO)*((('Dvd Calendar'!$AJ$2177&lt;=VAL_DATE)+(COUNTIF('Dvd Calendar'!$E$2184:$AR$2184,'Dvd Calendar'!$AJ$2177)=0))&gt;0)=0,"",'Dvd Calendar'!$AJ$2177*1000000000+ISNUMBER('Dvd Calendar'!$AJ$2180)*100000000+('Dvd Calendar'!$AJ$2182=SPECIAL_LBL)*10000000+(N('Dvd Calendar'!$AJ$2176)&gt;0)*(N('Dvd Calendar'!$AJ$2176)&lt;=VAL_SERIAL)*1000000+57*1000+32))</f>
        <v/>
      </c>
      <c r="FK216" s="121">
        <f>IF(N('Dvd Calendar'!$AK$2177)=0,"",IF(('Dvd Calendar'!$AK$2177&gt;=GRID_FROM)*('Dvd Calendar'!$AK$2177&lt;=GRID_TO)*((('Dvd Calendar'!$AK$2177&lt;=VAL_DATE)+(COUNTIF('Dvd Calendar'!$E$2184:$AR$2184,'Dvd Calendar'!$AK$2177)=0))&gt;0)=0,"",'Dvd Calendar'!$AK$2177*1000000000+ISNUMBER('Dvd Calendar'!$AK$2180)*100000000+('Dvd Calendar'!$AK$2182=SPECIAL_LBL)*10000000+(N('Dvd Calendar'!$AK$2176)&gt;0)*(N('Dvd Calendar'!$AK$2176)&lt;=VAL_SERIAL)*1000000+57*1000+33))</f>
        <v/>
      </c>
      <c r="FL216" s="121">
        <f>IF(N('Dvd Calendar'!$AL$2177)=0,"",IF(('Dvd Calendar'!$AL$2177&gt;=GRID_FROM)*('Dvd Calendar'!$AL$2177&lt;=GRID_TO)*((('Dvd Calendar'!$AL$2177&lt;=VAL_DATE)+(COUNTIF('Dvd Calendar'!$E$2184:$AR$2184,'Dvd Calendar'!$AL$2177)=0))&gt;0)=0,"",'Dvd Calendar'!$AL$2177*1000000000+ISNUMBER('Dvd Calendar'!$AL$2180)*100000000+('Dvd Calendar'!$AL$2182=SPECIAL_LBL)*10000000+(N('Dvd Calendar'!$AL$2176)&gt;0)*(N('Dvd Calendar'!$AL$2176)&lt;=VAL_SERIAL)*1000000+57*1000+34))</f>
        <v/>
      </c>
      <c r="FM216" s="121">
        <f>IF(N('Dvd Calendar'!$AM$2177)=0,"",IF(('Dvd Calendar'!$AM$2177&gt;=GRID_FROM)*('Dvd Calendar'!$AM$2177&lt;=GRID_TO)*((('Dvd Calendar'!$AM$2177&lt;=VAL_DATE)+(COUNTIF('Dvd Calendar'!$E$2184:$AR$2184,'Dvd Calendar'!$AM$2177)=0))&gt;0)=0,"",'Dvd Calendar'!$AM$2177*1000000000+ISNUMBER('Dvd Calendar'!$AM$2180)*100000000+('Dvd Calendar'!$AM$2182=SPECIAL_LBL)*10000000+(N('Dvd Calendar'!$AM$2176)&gt;0)*(N('Dvd Calendar'!$AM$2176)&lt;=VAL_SERIAL)*1000000+57*1000+35))</f>
        <v/>
      </c>
      <c r="FN216" s="121">
        <f>IF(N('Dvd Calendar'!$AN$2177)=0,"",IF(('Dvd Calendar'!$AN$2177&gt;=GRID_FROM)*('Dvd Calendar'!$AN$2177&lt;=GRID_TO)*((('Dvd Calendar'!$AN$2177&lt;=VAL_DATE)+(COUNTIF('Dvd Calendar'!$E$2184:$AR$2184,'Dvd Calendar'!$AN$2177)=0))&gt;0)=0,"",'Dvd Calendar'!$AN$2177*1000000000+ISNUMBER('Dvd Calendar'!$AN$2180)*100000000+('Dvd Calendar'!$AN$2182=SPECIAL_LBL)*10000000+(N('Dvd Calendar'!$AN$2176)&gt;0)*(N('Dvd Calendar'!$AN$2176)&lt;=VAL_SERIAL)*1000000+57*1000+36))</f>
        <v/>
      </c>
      <c r="FO216" s="121">
        <f>IF(N('Dvd Calendar'!$AO$2177)=0,"",IF(('Dvd Calendar'!$AO$2177&gt;=GRID_FROM)*('Dvd Calendar'!$AO$2177&lt;=GRID_TO)*((('Dvd Calendar'!$AO$2177&lt;=VAL_DATE)+(COUNTIF('Dvd Calendar'!$E$2184:$AR$2184,'Dvd Calendar'!$AO$2177)=0))&gt;0)=0,"",'Dvd Calendar'!$AO$2177*1000000000+ISNUMBER('Dvd Calendar'!$AO$2180)*100000000+('Dvd Calendar'!$AO$2182=SPECIAL_LBL)*10000000+(N('Dvd Calendar'!$AO$2176)&gt;0)*(N('Dvd Calendar'!$AO$2176)&lt;=VAL_SERIAL)*1000000+57*1000+37))</f>
        <v/>
      </c>
      <c r="FP216" s="121">
        <f>IF(N('Dvd Calendar'!$AP$2177)=0,"",IF(('Dvd Calendar'!$AP$2177&gt;=GRID_FROM)*('Dvd Calendar'!$AP$2177&lt;=GRID_TO)*((('Dvd Calendar'!$AP$2177&lt;=VAL_DATE)+(COUNTIF('Dvd Calendar'!$E$2184:$AR$2184,'Dvd Calendar'!$AP$2177)=0))&gt;0)=0,"",'Dvd Calendar'!$AP$2177*1000000000+ISNUMBER('Dvd Calendar'!$AP$2180)*100000000+('Dvd Calendar'!$AP$2182=SPECIAL_LBL)*10000000+(N('Dvd Calendar'!$AP$2176)&gt;0)*(N('Dvd Calendar'!$AP$2176)&lt;=VAL_SERIAL)*1000000+57*1000+38))</f>
        <v/>
      </c>
      <c r="FQ216" s="121">
        <f>IF(N('Dvd Calendar'!$AQ$2177)=0,"",IF(('Dvd Calendar'!$AQ$2177&gt;=GRID_FROM)*('Dvd Calendar'!$AQ$2177&lt;=GRID_TO)*((('Dvd Calendar'!$AQ$2177&lt;=VAL_DATE)+(COUNTIF('Dvd Calendar'!$E$2184:$AR$2184,'Dvd Calendar'!$AQ$2177)=0))&gt;0)=0,"",'Dvd Calendar'!$AQ$2177*1000000000+ISNUMBER('Dvd Calendar'!$AQ$2180)*100000000+('Dvd Calendar'!$AQ$2182=SPECIAL_LBL)*10000000+(N('Dvd Calendar'!$AQ$2176)&gt;0)*(N('Dvd Calendar'!$AQ$2176)&lt;=VAL_SERIAL)*1000000+57*1000+39))</f>
        <v/>
      </c>
      <c r="FR216" s="121">
        <f>IF(N('Dvd Calendar'!$AR$2177)=0,"",IF(('Dvd Calendar'!$AR$2177&gt;=GRID_FROM)*('Dvd Calendar'!$AR$2177&lt;=GRID_TO)*((('Dvd Calendar'!$AR$2177&lt;=VAL_DATE)+(COUNTIF('Dvd Calendar'!$E$2184:$AR$2184,'Dvd Calendar'!$AR$2177)=0))&gt;0)=0,"",'Dvd Calendar'!$AR$2177*1000000000+ISNUMBER('Dvd Calendar'!$AR$2180)*100000000+('Dvd Calendar'!$AR$2182=SPECIAL_LBL)*10000000+(N('Dvd Calendar'!$AR$2176)&gt;0)*(N('Dvd Calendar'!$AR$2176)&lt;=VAL_SERIAL)*1000000+57*1000+40))</f>
        <v/>
      </c>
      <c r="FS216" s="121">
        <f>IF(N('Dvd Calendar'!$E$2184)=0,"",IF(('Dvd Calendar'!$E$2184&gt;=GRID_FROM)*('Dvd Calendar'!$E$2184&lt;=GRID_TO)*('Dvd Calendar'!$E$2184&gt;VAL_DATE)=0,"",'Dvd Calendar'!$E$2184*1000000000+ISNUMBER('Dvd Calendar'!$E$2185)*100000000+0*10000000+(N('Dvd Calendar'!$E$2183)&gt;0)*(N('Dvd Calendar'!$E$2183)&lt;=VAL_SERIAL)*1000000+57*1000+41))</f>
        <v/>
      </c>
      <c r="FT216" s="121">
        <f>IF(N('Dvd Calendar'!$F$2184)=0,"",IF(('Dvd Calendar'!$F$2184&gt;=GRID_FROM)*('Dvd Calendar'!$F$2184&lt;=GRID_TO)*('Dvd Calendar'!$F$2184&gt;VAL_DATE)=0,"",'Dvd Calendar'!$F$2184*1000000000+ISNUMBER('Dvd Calendar'!$F$2185)*100000000+0*10000000+(N('Dvd Calendar'!$F$2183)&gt;0)*(N('Dvd Calendar'!$F$2183)&lt;=VAL_SERIAL)*1000000+57*1000+42))</f>
        <v/>
      </c>
      <c r="FU216" s="121">
        <f>IF(N('Dvd Calendar'!$G$2184)=0,"",IF(('Dvd Calendar'!$G$2184&gt;=GRID_FROM)*('Dvd Calendar'!$G$2184&lt;=GRID_TO)*('Dvd Calendar'!$G$2184&gt;VAL_DATE)=0,"",'Dvd Calendar'!$G$2184*1000000000+ISNUMBER('Dvd Calendar'!$G$2185)*100000000+0*10000000+(N('Dvd Calendar'!$G$2183)&gt;0)*(N('Dvd Calendar'!$G$2183)&lt;=VAL_SERIAL)*1000000+57*1000+43))</f>
        <v/>
      </c>
      <c r="FV216" s="121">
        <f>IF(N('Dvd Calendar'!$H$2184)=0,"",IF(('Dvd Calendar'!$H$2184&gt;=GRID_FROM)*('Dvd Calendar'!$H$2184&lt;=GRID_TO)*('Dvd Calendar'!$H$2184&gt;VAL_DATE)=0,"",'Dvd Calendar'!$H$2184*1000000000+ISNUMBER('Dvd Calendar'!$H$2185)*100000000+0*10000000+(N('Dvd Calendar'!$H$2183)&gt;0)*(N('Dvd Calendar'!$H$2183)&lt;=VAL_SERIAL)*1000000+57*1000+44))</f>
        <v/>
      </c>
      <c r="FW216" s="121">
        <f>IF(N('Dvd Calendar'!$I$2184)=0,"",IF(('Dvd Calendar'!$I$2184&gt;=GRID_FROM)*('Dvd Calendar'!$I$2184&lt;=GRID_TO)*('Dvd Calendar'!$I$2184&gt;VAL_DATE)=0,"",'Dvd Calendar'!$I$2184*1000000000+ISNUMBER('Dvd Calendar'!$I$2185)*100000000+0*10000000+(N('Dvd Calendar'!$I$2183)&gt;0)*(N('Dvd Calendar'!$I$2183)&lt;=VAL_SERIAL)*1000000+57*1000+45))</f>
        <v/>
      </c>
      <c r="FX216" s="121">
        <f>IF(N('Dvd Calendar'!$J$2184)=0,"",IF(('Dvd Calendar'!$J$2184&gt;=GRID_FROM)*('Dvd Calendar'!$J$2184&lt;=GRID_TO)*('Dvd Calendar'!$J$2184&gt;VAL_DATE)=0,"",'Dvd Calendar'!$J$2184*1000000000+ISNUMBER('Dvd Calendar'!$J$2185)*100000000+0*10000000+(N('Dvd Calendar'!$J$2183)&gt;0)*(N('Dvd Calendar'!$J$2183)&lt;=VAL_SERIAL)*1000000+57*1000+46))</f>
        <v/>
      </c>
      <c r="FY216" s="121">
        <f>IF(N('Dvd Calendar'!$K$2184)=0,"",IF(('Dvd Calendar'!$K$2184&gt;=GRID_FROM)*('Dvd Calendar'!$K$2184&lt;=GRID_TO)*('Dvd Calendar'!$K$2184&gt;VAL_DATE)=0,"",'Dvd Calendar'!$K$2184*1000000000+ISNUMBER('Dvd Calendar'!$K$2185)*100000000+0*10000000+(N('Dvd Calendar'!$K$2183)&gt;0)*(N('Dvd Calendar'!$K$2183)&lt;=VAL_SERIAL)*1000000+57*1000+47))</f>
        <v/>
      </c>
      <c r="FZ216" s="121">
        <f>IF(N('Dvd Calendar'!$L$2184)=0,"",IF(('Dvd Calendar'!$L$2184&gt;=GRID_FROM)*('Dvd Calendar'!$L$2184&lt;=GRID_TO)*('Dvd Calendar'!$L$2184&gt;VAL_DATE)=0,"",'Dvd Calendar'!$L$2184*1000000000+ISNUMBER('Dvd Calendar'!$L$2185)*100000000+0*10000000+(N('Dvd Calendar'!$L$2183)&gt;0)*(N('Dvd Calendar'!$L$2183)&lt;=VAL_SERIAL)*1000000+57*1000+48))</f>
        <v/>
      </c>
      <c r="GA216" s="121">
        <f>IF(N('Dvd Calendar'!$M$2184)=0,"",IF(('Dvd Calendar'!$M$2184&gt;=GRID_FROM)*('Dvd Calendar'!$M$2184&lt;=GRID_TO)*('Dvd Calendar'!$M$2184&gt;VAL_DATE)=0,"",'Dvd Calendar'!$M$2184*1000000000+ISNUMBER('Dvd Calendar'!$M$2185)*100000000+0*10000000+(N('Dvd Calendar'!$M$2183)&gt;0)*(N('Dvd Calendar'!$M$2183)&lt;=VAL_SERIAL)*1000000+57*1000+49))</f>
        <v/>
      </c>
      <c r="GB216" s="121">
        <f>IF(N('Dvd Calendar'!$N$2184)=0,"",IF(('Dvd Calendar'!$N$2184&gt;=GRID_FROM)*('Dvd Calendar'!$N$2184&lt;=GRID_TO)*('Dvd Calendar'!$N$2184&gt;VAL_DATE)=0,"",'Dvd Calendar'!$N$2184*1000000000+ISNUMBER('Dvd Calendar'!$N$2185)*100000000+0*10000000+(N('Dvd Calendar'!$N$2183)&gt;0)*(N('Dvd Calendar'!$N$2183)&lt;=VAL_SERIAL)*1000000+57*1000+50))</f>
        <v/>
      </c>
      <c r="GC216" s="121">
        <f>IF(N('Dvd Calendar'!$O$2184)=0,"",IF(('Dvd Calendar'!$O$2184&gt;=GRID_FROM)*('Dvd Calendar'!$O$2184&lt;=GRID_TO)*('Dvd Calendar'!$O$2184&gt;VAL_DATE)=0,"",'Dvd Calendar'!$O$2184*1000000000+ISNUMBER('Dvd Calendar'!$O$2185)*100000000+0*10000000+(N('Dvd Calendar'!$O$2183)&gt;0)*(N('Dvd Calendar'!$O$2183)&lt;=VAL_SERIAL)*1000000+57*1000+51))</f>
        <v/>
      </c>
      <c r="GD216" s="121">
        <f>IF(N('Dvd Calendar'!$P$2184)=0,"",IF(('Dvd Calendar'!$P$2184&gt;=GRID_FROM)*('Dvd Calendar'!$P$2184&lt;=GRID_TO)*('Dvd Calendar'!$P$2184&gt;VAL_DATE)=0,"",'Dvd Calendar'!$P$2184*1000000000+ISNUMBER('Dvd Calendar'!$P$2185)*100000000+0*10000000+(N('Dvd Calendar'!$P$2183)&gt;0)*(N('Dvd Calendar'!$P$2183)&lt;=VAL_SERIAL)*1000000+57*1000+52))</f>
        <v/>
      </c>
      <c r="GE216" s="121">
        <f>IF(N('Dvd Calendar'!$Q$2184)=0,"",IF(('Dvd Calendar'!$Q$2184&gt;=GRID_FROM)*('Dvd Calendar'!$Q$2184&lt;=GRID_TO)*('Dvd Calendar'!$Q$2184&gt;VAL_DATE)=0,"",'Dvd Calendar'!$Q$2184*1000000000+ISNUMBER('Dvd Calendar'!$Q$2185)*100000000+0*10000000+(N('Dvd Calendar'!$Q$2183)&gt;0)*(N('Dvd Calendar'!$Q$2183)&lt;=VAL_SERIAL)*1000000+57*1000+53))</f>
        <v/>
      </c>
      <c r="GF216" s="121">
        <f>IF(N('Dvd Calendar'!$R$2184)=0,"",IF(('Dvd Calendar'!$R$2184&gt;=GRID_FROM)*('Dvd Calendar'!$R$2184&lt;=GRID_TO)*('Dvd Calendar'!$R$2184&gt;VAL_DATE)=0,"",'Dvd Calendar'!$R$2184*1000000000+ISNUMBER('Dvd Calendar'!$R$2185)*100000000+0*10000000+(N('Dvd Calendar'!$R$2183)&gt;0)*(N('Dvd Calendar'!$R$2183)&lt;=VAL_SERIAL)*1000000+57*1000+54))</f>
        <v/>
      </c>
      <c r="GG216" s="121">
        <f>IF(N('Dvd Calendar'!$S$2184)=0,"",IF(('Dvd Calendar'!$S$2184&gt;=GRID_FROM)*('Dvd Calendar'!$S$2184&lt;=GRID_TO)*('Dvd Calendar'!$S$2184&gt;VAL_DATE)=0,"",'Dvd Calendar'!$S$2184*1000000000+ISNUMBER('Dvd Calendar'!$S$2185)*100000000+0*10000000+(N('Dvd Calendar'!$S$2183)&gt;0)*(N('Dvd Calendar'!$S$2183)&lt;=VAL_SERIAL)*1000000+57*1000+55))</f>
        <v/>
      </c>
      <c r="GH216" s="121">
        <f>IF(N('Dvd Calendar'!$T$2184)=0,"",IF(('Dvd Calendar'!$T$2184&gt;=GRID_FROM)*('Dvd Calendar'!$T$2184&lt;=GRID_TO)*('Dvd Calendar'!$T$2184&gt;VAL_DATE)=0,"",'Dvd Calendar'!$T$2184*1000000000+ISNUMBER('Dvd Calendar'!$T$2185)*100000000+0*10000000+(N('Dvd Calendar'!$T$2183)&gt;0)*(N('Dvd Calendar'!$T$2183)&lt;=VAL_SERIAL)*1000000+57*1000+56))</f>
        <v/>
      </c>
      <c r="GI216" s="121">
        <f>IF(N('Dvd Calendar'!$U$2184)=0,"",IF(('Dvd Calendar'!$U$2184&gt;=GRID_FROM)*('Dvd Calendar'!$U$2184&lt;=GRID_TO)*('Dvd Calendar'!$U$2184&gt;VAL_DATE)=0,"",'Dvd Calendar'!$U$2184*1000000000+ISNUMBER('Dvd Calendar'!$U$2185)*100000000+0*10000000+(N('Dvd Calendar'!$U$2183)&gt;0)*(N('Dvd Calendar'!$U$2183)&lt;=VAL_SERIAL)*1000000+57*1000+57))</f>
        <v/>
      </c>
      <c r="GJ216" s="121">
        <f>IF(N('Dvd Calendar'!$V$2184)=0,"",IF(('Dvd Calendar'!$V$2184&gt;=GRID_FROM)*('Dvd Calendar'!$V$2184&lt;=GRID_TO)*('Dvd Calendar'!$V$2184&gt;VAL_DATE)=0,"",'Dvd Calendar'!$V$2184*1000000000+ISNUMBER('Dvd Calendar'!$V$2185)*100000000+0*10000000+(N('Dvd Calendar'!$V$2183)&gt;0)*(N('Dvd Calendar'!$V$2183)&lt;=VAL_SERIAL)*1000000+57*1000+58))</f>
        <v/>
      </c>
      <c r="GK216" s="121">
        <f>IF(N('Dvd Calendar'!$W$2184)=0,"",IF(('Dvd Calendar'!$W$2184&gt;=GRID_FROM)*('Dvd Calendar'!$W$2184&lt;=GRID_TO)*('Dvd Calendar'!$W$2184&gt;VAL_DATE)=0,"",'Dvd Calendar'!$W$2184*1000000000+ISNUMBER('Dvd Calendar'!$W$2185)*100000000+0*10000000+(N('Dvd Calendar'!$W$2183)&gt;0)*(N('Dvd Calendar'!$W$2183)&lt;=VAL_SERIAL)*1000000+57*1000+59))</f>
        <v/>
      </c>
      <c r="GL216" s="121">
        <f>IF(N('Dvd Calendar'!$X$2184)=0,"",IF(('Dvd Calendar'!$X$2184&gt;=GRID_FROM)*('Dvd Calendar'!$X$2184&lt;=GRID_TO)*('Dvd Calendar'!$X$2184&gt;VAL_DATE)=0,"",'Dvd Calendar'!$X$2184*1000000000+ISNUMBER('Dvd Calendar'!$X$2185)*100000000+0*10000000+(N('Dvd Calendar'!$X$2183)&gt;0)*(N('Dvd Calendar'!$X$2183)&lt;=VAL_SERIAL)*1000000+57*1000+60))</f>
        <v/>
      </c>
      <c r="GM216" s="121">
        <f>IF(N('Dvd Calendar'!$Y$2184)=0,"",IF(('Dvd Calendar'!$Y$2184&gt;=GRID_FROM)*('Dvd Calendar'!$Y$2184&lt;=GRID_TO)*('Dvd Calendar'!$Y$2184&gt;VAL_DATE)=0,"",'Dvd Calendar'!$Y$2184*1000000000+ISNUMBER('Dvd Calendar'!$Y$2185)*100000000+0*10000000+(N('Dvd Calendar'!$Y$2183)&gt;0)*(N('Dvd Calendar'!$Y$2183)&lt;=VAL_SERIAL)*1000000+57*1000+61))</f>
        <v/>
      </c>
      <c r="GN216" s="121">
        <f>IF(N('Dvd Calendar'!$Z$2184)=0,"",IF(('Dvd Calendar'!$Z$2184&gt;=GRID_FROM)*('Dvd Calendar'!$Z$2184&lt;=GRID_TO)*('Dvd Calendar'!$Z$2184&gt;VAL_DATE)=0,"",'Dvd Calendar'!$Z$2184*1000000000+ISNUMBER('Dvd Calendar'!$Z$2185)*100000000+0*10000000+(N('Dvd Calendar'!$Z$2183)&gt;0)*(N('Dvd Calendar'!$Z$2183)&lt;=VAL_SERIAL)*1000000+57*1000+62))</f>
        <v/>
      </c>
      <c r="GO216" s="121">
        <f>IF(N('Dvd Calendar'!$AA$2184)=0,"",IF(('Dvd Calendar'!$AA$2184&gt;=GRID_FROM)*('Dvd Calendar'!$AA$2184&lt;=GRID_TO)*('Dvd Calendar'!$AA$2184&gt;VAL_DATE)=0,"",'Dvd Calendar'!$AA$2184*1000000000+ISNUMBER('Dvd Calendar'!$AA$2185)*100000000+0*10000000+(N('Dvd Calendar'!$AA$2183)&gt;0)*(N('Dvd Calendar'!$AA$2183)&lt;=VAL_SERIAL)*1000000+57*1000+63))</f>
        <v/>
      </c>
      <c r="GP216" s="121">
        <f>IF(N('Dvd Calendar'!$AB$2184)=0,"",IF(('Dvd Calendar'!$AB$2184&gt;=GRID_FROM)*('Dvd Calendar'!$AB$2184&lt;=GRID_TO)*('Dvd Calendar'!$AB$2184&gt;VAL_DATE)=0,"",'Dvd Calendar'!$AB$2184*1000000000+ISNUMBER('Dvd Calendar'!$AB$2185)*100000000+0*10000000+(N('Dvd Calendar'!$AB$2183)&gt;0)*(N('Dvd Calendar'!$AB$2183)&lt;=VAL_SERIAL)*1000000+57*1000+64))</f>
        <v/>
      </c>
      <c r="GQ216" s="121">
        <f>IF(N('Dvd Calendar'!$AC$2184)=0,"",IF(('Dvd Calendar'!$AC$2184&gt;=GRID_FROM)*('Dvd Calendar'!$AC$2184&lt;=GRID_TO)*('Dvd Calendar'!$AC$2184&gt;VAL_DATE)=0,"",'Dvd Calendar'!$AC$2184*1000000000+ISNUMBER('Dvd Calendar'!$AC$2185)*100000000+0*10000000+(N('Dvd Calendar'!$AC$2183)&gt;0)*(N('Dvd Calendar'!$AC$2183)&lt;=VAL_SERIAL)*1000000+57*1000+65))</f>
        <v/>
      </c>
    </row>
    <row r="217">
      <c r="B217" s="2">
        <f>IF(HSCEI!$C$64="","",HSCEI!$C$64)</f>
        <v/>
      </c>
      <c r="C217" s="161">
        <f>IF(EE217="","",IF(ISNUMBER('Dvd Calendar'!$E$2191)=FALSE,"",IF((('Dvd Calendar'!$E$2193=TYPE1)*(TYPE1&lt;&gt;"")+('Dvd Calendar'!$E$2193=TYPE2)*(TYPE2&lt;&gt;"")+('Dvd Calendar'!$E$2193=TYPE3)*(TYPE3&lt;&gt;"")+('Dvd Calendar'!$E$2193=TYPE4)*(TYPE4&lt;&gt;"")+('Dvd Calendar'!$E$2193=SPECIAL_LBL)*(INC_SPECIALS="Y"))=0,"",'Dvd Calendar'!$E$2191)))</f>
        <v/>
      </c>
      <c r="D217" s="161">
        <f>IF(EF217="","",IF(ISNUMBER('Dvd Calendar'!$F$2191)=FALSE,"",IF((('Dvd Calendar'!$F$2193=TYPE1)*(TYPE1&lt;&gt;"")+('Dvd Calendar'!$F$2193=TYPE2)*(TYPE2&lt;&gt;"")+('Dvd Calendar'!$F$2193=TYPE3)*(TYPE3&lt;&gt;"")+('Dvd Calendar'!$F$2193=TYPE4)*(TYPE4&lt;&gt;"")+('Dvd Calendar'!$F$2193=SPECIAL_LBL)*(INC_SPECIALS="Y"))=0,"",'Dvd Calendar'!$F$2191)))</f>
        <v/>
      </c>
      <c r="E217" s="161">
        <f>IF(EG217="","",IF(ISNUMBER('Dvd Calendar'!$G$2191)=FALSE,"",IF((('Dvd Calendar'!$G$2193=TYPE1)*(TYPE1&lt;&gt;"")+('Dvd Calendar'!$G$2193=TYPE2)*(TYPE2&lt;&gt;"")+('Dvd Calendar'!$G$2193=TYPE3)*(TYPE3&lt;&gt;"")+('Dvd Calendar'!$G$2193=TYPE4)*(TYPE4&lt;&gt;"")+('Dvd Calendar'!$G$2193=SPECIAL_LBL)*(INC_SPECIALS="Y"))=0,"",'Dvd Calendar'!$G$2191)))</f>
        <v/>
      </c>
      <c r="F217" s="161">
        <f>IF(EH217="","",IF(ISNUMBER('Dvd Calendar'!$H$2191)=FALSE,"",IF((('Dvd Calendar'!$H$2193=TYPE1)*(TYPE1&lt;&gt;"")+('Dvd Calendar'!$H$2193=TYPE2)*(TYPE2&lt;&gt;"")+('Dvd Calendar'!$H$2193=TYPE3)*(TYPE3&lt;&gt;"")+('Dvd Calendar'!$H$2193=TYPE4)*(TYPE4&lt;&gt;"")+('Dvd Calendar'!$H$2193=SPECIAL_LBL)*(INC_SPECIALS="Y"))=0,"",'Dvd Calendar'!$H$2191)))</f>
        <v/>
      </c>
      <c r="G217" s="161">
        <f>IF(EI217="","",IF(ISNUMBER('Dvd Calendar'!$I$2191)=FALSE,"",IF((('Dvd Calendar'!$I$2193=TYPE1)*(TYPE1&lt;&gt;"")+('Dvd Calendar'!$I$2193=TYPE2)*(TYPE2&lt;&gt;"")+('Dvd Calendar'!$I$2193=TYPE3)*(TYPE3&lt;&gt;"")+('Dvd Calendar'!$I$2193=TYPE4)*(TYPE4&lt;&gt;"")+('Dvd Calendar'!$I$2193=SPECIAL_LBL)*(INC_SPECIALS="Y"))=0,"",'Dvd Calendar'!$I$2191)))</f>
        <v/>
      </c>
      <c r="H217" s="161">
        <f>IF(EJ217="","",IF(ISNUMBER('Dvd Calendar'!$J$2191)=FALSE,"",IF((('Dvd Calendar'!$J$2193=TYPE1)*(TYPE1&lt;&gt;"")+('Dvd Calendar'!$J$2193=TYPE2)*(TYPE2&lt;&gt;"")+('Dvd Calendar'!$J$2193=TYPE3)*(TYPE3&lt;&gt;"")+('Dvd Calendar'!$J$2193=TYPE4)*(TYPE4&lt;&gt;"")+('Dvd Calendar'!$J$2193=SPECIAL_LBL)*(INC_SPECIALS="Y"))=0,"",'Dvd Calendar'!$J$2191)))</f>
        <v/>
      </c>
      <c r="I217" s="161">
        <f>IF(EK217="","",IF(ISNUMBER('Dvd Calendar'!$K$2191)=FALSE,"",IF((('Dvd Calendar'!$K$2193=TYPE1)*(TYPE1&lt;&gt;"")+('Dvd Calendar'!$K$2193=TYPE2)*(TYPE2&lt;&gt;"")+('Dvd Calendar'!$K$2193=TYPE3)*(TYPE3&lt;&gt;"")+('Dvd Calendar'!$K$2193=TYPE4)*(TYPE4&lt;&gt;"")+('Dvd Calendar'!$K$2193=SPECIAL_LBL)*(INC_SPECIALS="Y"))=0,"",'Dvd Calendar'!$K$2191)))</f>
        <v/>
      </c>
      <c r="J217" s="161">
        <f>IF(EL217="","",IF(ISNUMBER('Dvd Calendar'!$L$2191)=FALSE,"",IF((('Dvd Calendar'!$L$2193=TYPE1)*(TYPE1&lt;&gt;"")+('Dvd Calendar'!$L$2193=TYPE2)*(TYPE2&lt;&gt;"")+('Dvd Calendar'!$L$2193=TYPE3)*(TYPE3&lt;&gt;"")+('Dvd Calendar'!$L$2193=TYPE4)*(TYPE4&lt;&gt;"")+('Dvd Calendar'!$L$2193=SPECIAL_LBL)*(INC_SPECIALS="Y"))=0,"",'Dvd Calendar'!$L$2191)))</f>
        <v/>
      </c>
      <c r="K217" s="161">
        <f>IF(EM217="","",IF(ISNUMBER('Dvd Calendar'!$M$2191)=FALSE,"",IF((('Dvd Calendar'!$M$2193=TYPE1)*(TYPE1&lt;&gt;"")+('Dvd Calendar'!$M$2193=TYPE2)*(TYPE2&lt;&gt;"")+('Dvd Calendar'!$M$2193=TYPE3)*(TYPE3&lt;&gt;"")+('Dvd Calendar'!$M$2193=TYPE4)*(TYPE4&lt;&gt;"")+('Dvd Calendar'!$M$2193=SPECIAL_LBL)*(INC_SPECIALS="Y"))=0,"",'Dvd Calendar'!$M$2191)))</f>
        <v/>
      </c>
      <c r="L217" s="161">
        <f>IF(EN217="","",IF(ISNUMBER('Dvd Calendar'!$N$2191)=FALSE,"",IF((('Dvd Calendar'!$N$2193=TYPE1)*(TYPE1&lt;&gt;"")+('Dvd Calendar'!$N$2193=TYPE2)*(TYPE2&lt;&gt;"")+('Dvd Calendar'!$N$2193=TYPE3)*(TYPE3&lt;&gt;"")+('Dvd Calendar'!$N$2193=TYPE4)*(TYPE4&lt;&gt;"")+('Dvd Calendar'!$N$2193=SPECIAL_LBL)*(INC_SPECIALS="Y"))=0,"",'Dvd Calendar'!$N$2191)))</f>
        <v/>
      </c>
      <c r="M217" s="161">
        <f>IF(EO217="","",IF(ISNUMBER('Dvd Calendar'!$O$2191)=FALSE,"",IF((('Dvd Calendar'!$O$2193=TYPE1)*(TYPE1&lt;&gt;"")+('Dvd Calendar'!$O$2193=TYPE2)*(TYPE2&lt;&gt;"")+('Dvd Calendar'!$O$2193=TYPE3)*(TYPE3&lt;&gt;"")+('Dvd Calendar'!$O$2193=TYPE4)*(TYPE4&lt;&gt;"")+('Dvd Calendar'!$O$2193=SPECIAL_LBL)*(INC_SPECIALS="Y"))=0,"",'Dvd Calendar'!$O$2191)))</f>
        <v/>
      </c>
      <c r="N217" s="161">
        <f>IF(EP217="","",IF(ISNUMBER('Dvd Calendar'!$P$2191)=FALSE,"",IF((('Dvd Calendar'!$P$2193=TYPE1)*(TYPE1&lt;&gt;"")+('Dvd Calendar'!$P$2193=TYPE2)*(TYPE2&lt;&gt;"")+('Dvd Calendar'!$P$2193=TYPE3)*(TYPE3&lt;&gt;"")+('Dvd Calendar'!$P$2193=TYPE4)*(TYPE4&lt;&gt;"")+('Dvd Calendar'!$P$2193=SPECIAL_LBL)*(INC_SPECIALS="Y"))=0,"",'Dvd Calendar'!$P$2191)))</f>
        <v/>
      </c>
      <c r="O217" s="161">
        <f>IF(EQ217="","",IF(ISNUMBER('Dvd Calendar'!$Q$2191)=FALSE,"",IF((('Dvd Calendar'!$Q$2193=TYPE1)*(TYPE1&lt;&gt;"")+('Dvd Calendar'!$Q$2193=TYPE2)*(TYPE2&lt;&gt;"")+('Dvd Calendar'!$Q$2193=TYPE3)*(TYPE3&lt;&gt;"")+('Dvd Calendar'!$Q$2193=TYPE4)*(TYPE4&lt;&gt;"")+('Dvd Calendar'!$Q$2193=SPECIAL_LBL)*(INC_SPECIALS="Y"))=0,"",'Dvd Calendar'!$Q$2191)))</f>
        <v/>
      </c>
      <c r="P217" s="161">
        <f>IF(ER217="","",IF(ISNUMBER('Dvd Calendar'!$R$2191)=FALSE,"",IF((('Dvd Calendar'!$R$2193=TYPE1)*(TYPE1&lt;&gt;"")+('Dvd Calendar'!$R$2193=TYPE2)*(TYPE2&lt;&gt;"")+('Dvd Calendar'!$R$2193=TYPE3)*(TYPE3&lt;&gt;"")+('Dvd Calendar'!$R$2193=TYPE4)*(TYPE4&lt;&gt;"")+('Dvd Calendar'!$R$2193=SPECIAL_LBL)*(INC_SPECIALS="Y"))=0,"",'Dvd Calendar'!$R$2191)))</f>
        <v/>
      </c>
      <c r="Q217" s="161">
        <f>IF(ES217="","",IF(ISNUMBER('Dvd Calendar'!$S$2191)=FALSE,"",IF((('Dvd Calendar'!$S$2193=TYPE1)*(TYPE1&lt;&gt;"")+('Dvd Calendar'!$S$2193=TYPE2)*(TYPE2&lt;&gt;"")+('Dvd Calendar'!$S$2193=TYPE3)*(TYPE3&lt;&gt;"")+('Dvd Calendar'!$S$2193=TYPE4)*(TYPE4&lt;&gt;"")+('Dvd Calendar'!$S$2193=SPECIAL_LBL)*(INC_SPECIALS="Y"))=0,"",'Dvd Calendar'!$S$2191)))</f>
        <v/>
      </c>
      <c r="R217" s="161">
        <f>IF(ET217="","",IF(ISNUMBER('Dvd Calendar'!$T$2191)=FALSE,"",IF((('Dvd Calendar'!$T$2193=TYPE1)*(TYPE1&lt;&gt;"")+('Dvd Calendar'!$T$2193=TYPE2)*(TYPE2&lt;&gt;"")+('Dvd Calendar'!$T$2193=TYPE3)*(TYPE3&lt;&gt;"")+('Dvd Calendar'!$T$2193=TYPE4)*(TYPE4&lt;&gt;"")+('Dvd Calendar'!$T$2193=SPECIAL_LBL)*(INC_SPECIALS="Y"))=0,"",'Dvd Calendar'!$T$2191)))</f>
        <v/>
      </c>
      <c r="S217" s="161">
        <f>IF(EU217="","",IF(ISNUMBER('Dvd Calendar'!$U$2191)=FALSE,"",IF((('Dvd Calendar'!$U$2193=TYPE1)*(TYPE1&lt;&gt;"")+('Dvd Calendar'!$U$2193=TYPE2)*(TYPE2&lt;&gt;"")+('Dvd Calendar'!$U$2193=TYPE3)*(TYPE3&lt;&gt;"")+('Dvd Calendar'!$U$2193=TYPE4)*(TYPE4&lt;&gt;"")+('Dvd Calendar'!$U$2193=SPECIAL_LBL)*(INC_SPECIALS="Y"))=0,"",'Dvd Calendar'!$U$2191)))</f>
        <v/>
      </c>
      <c r="T217" s="161">
        <f>IF(EV217="","",IF(ISNUMBER('Dvd Calendar'!$V$2191)=FALSE,"",IF((('Dvd Calendar'!$V$2193=TYPE1)*(TYPE1&lt;&gt;"")+('Dvd Calendar'!$V$2193=TYPE2)*(TYPE2&lt;&gt;"")+('Dvd Calendar'!$V$2193=TYPE3)*(TYPE3&lt;&gt;"")+('Dvd Calendar'!$V$2193=TYPE4)*(TYPE4&lt;&gt;"")+('Dvd Calendar'!$V$2193=SPECIAL_LBL)*(INC_SPECIALS="Y"))=0,"",'Dvd Calendar'!$V$2191)))</f>
        <v/>
      </c>
      <c r="U217" s="161">
        <f>IF(EW217="","",IF(ISNUMBER('Dvd Calendar'!$W$2191)=FALSE,"",IF((('Dvd Calendar'!$W$2193=TYPE1)*(TYPE1&lt;&gt;"")+('Dvd Calendar'!$W$2193=TYPE2)*(TYPE2&lt;&gt;"")+('Dvd Calendar'!$W$2193=TYPE3)*(TYPE3&lt;&gt;"")+('Dvd Calendar'!$W$2193=TYPE4)*(TYPE4&lt;&gt;"")+('Dvd Calendar'!$W$2193=SPECIAL_LBL)*(INC_SPECIALS="Y"))=0,"",'Dvd Calendar'!$W$2191)))</f>
        <v/>
      </c>
      <c r="V217" s="161">
        <f>IF(EX217="","",IF(ISNUMBER('Dvd Calendar'!$X$2191)=FALSE,"",IF((('Dvd Calendar'!$X$2193=TYPE1)*(TYPE1&lt;&gt;"")+('Dvd Calendar'!$X$2193=TYPE2)*(TYPE2&lt;&gt;"")+('Dvd Calendar'!$X$2193=TYPE3)*(TYPE3&lt;&gt;"")+('Dvd Calendar'!$X$2193=TYPE4)*(TYPE4&lt;&gt;"")+('Dvd Calendar'!$X$2193=SPECIAL_LBL)*(INC_SPECIALS="Y"))=0,"",'Dvd Calendar'!$X$2191)))</f>
        <v/>
      </c>
      <c r="W217" s="161">
        <f>IF(EY217="","",IF(ISNUMBER('Dvd Calendar'!$Y$2191)=FALSE,"",IF((('Dvd Calendar'!$Y$2193=TYPE1)*(TYPE1&lt;&gt;"")+('Dvd Calendar'!$Y$2193=TYPE2)*(TYPE2&lt;&gt;"")+('Dvd Calendar'!$Y$2193=TYPE3)*(TYPE3&lt;&gt;"")+('Dvd Calendar'!$Y$2193=TYPE4)*(TYPE4&lt;&gt;"")+('Dvd Calendar'!$Y$2193=SPECIAL_LBL)*(INC_SPECIALS="Y"))=0,"",'Dvd Calendar'!$Y$2191)))</f>
        <v/>
      </c>
      <c r="X217" s="161">
        <f>IF(EZ217="","",IF(ISNUMBER('Dvd Calendar'!$Z$2191)=FALSE,"",IF((('Dvd Calendar'!$Z$2193=TYPE1)*(TYPE1&lt;&gt;"")+('Dvd Calendar'!$Z$2193=TYPE2)*(TYPE2&lt;&gt;"")+('Dvd Calendar'!$Z$2193=TYPE3)*(TYPE3&lt;&gt;"")+('Dvd Calendar'!$Z$2193=TYPE4)*(TYPE4&lt;&gt;"")+('Dvd Calendar'!$Z$2193=SPECIAL_LBL)*(INC_SPECIALS="Y"))=0,"",'Dvd Calendar'!$Z$2191)))</f>
        <v/>
      </c>
      <c r="Y217" s="161">
        <f>IF(FA217="","",IF(ISNUMBER('Dvd Calendar'!$AA$2191)=FALSE,"",IF((('Dvd Calendar'!$AA$2193=TYPE1)*(TYPE1&lt;&gt;"")+('Dvd Calendar'!$AA$2193=TYPE2)*(TYPE2&lt;&gt;"")+('Dvd Calendar'!$AA$2193=TYPE3)*(TYPE3&lt;&gt;"")+('Dvd Calendar'!$AA$2193=TYPE4)*(TYPE4&lt;&gt;"")+('Dvd Calendar'!$AA$2193=SPECIAL_LBL)*(INC_SPECIALS="Y"))=0,"",'Dvd Calendar'!$AA$2191)))</f>
        <v/>
      </c>
      <c r="Z217" s="161">
        <f>IF(FB217="","",IF(ISNUMBER('Dvd Calendar'!$AB$2191)=FALSE,"",IF((('Dvd Calendar'!$AB$2193=TYPE1)*(TYPE1&lt;&gt;"")+('Dvd Calendar'!$AB$2193=TYPE2)*(TYPE2&lt;&gt;"")+('Dvd Calendar'!$AB$2193=TYPE3)*(TYPE3&lt;&gt;"")+('Dvd Calendar'!$AB$2193=TYPE4)*(TYPE4&lt;&gt;"")+('Dvd Calendar'!$AB$2193=SPECIAL_LBL)*(INC_SPECIALS="Y"))=0,"",'Dvd Calendar'!$AB$2191)))</f>
        <v/>
      </c>
      <c r="AA217" s="161">
        <f>IF(FC217="","",IF(ISNUMBER('Dvd Calendar'!$AC$2191)=FALSE,"",IF((('Dvd Calendar'!$AC$2193=TYPE1)*(TYPE1&lt;&gt;"")+('Dvd Calendar'!$AC$2193=TYPE2)*(TYPE2&lt;&gt;"")+('Dvd Calendar'!$AC$2193=TYPE3)*(TYPE3&lt;&gt;"")+('Dvd Calendar'!$AC$2193=TYPE4)*(TYPE4&lt;&gt;"")+('Dvd Calendar'!$AC$2193=SPECIAL_LBL)*(INC_SPECIALS="Y"))=0,"",'Dvd Calendar'!$AC$2191)))</f>
        <v/>
      </c>
      <c r="AB217" s="161">
        <f>IF(FD217="","",IF(ISNUMBER('Dvd Calendar'!$AD$2191)=FALSE,"",IF((('Dvd Calendar'!$AD$2193=TYPE1)*(TYPE1&lt;&gt;"")+('Dvd Calendar'!$AD$2193=TYPE2)*(TYPE2&lt;&gt;"")+('Dvd Calendar'!$AD$2193=TYPE3)*(TYPE3&lt;&gt;"")+('Dvd Calendar'!$AD$2193=TYPE4)*(TYPE4&lt;&gt;"")+('Dvd Calendar'!$AD$2193=SPECIAL_LBL)*(INC_SPECIALS="Y"))=0,"",'Dvd Calendar'!$AD$2191)))</f>
        <v/>
      </c>
      <c r="AC217" s="161">
        <f>IF(FE217="","",IF(ISNUMBER('Dvd Calendar'!$AE$2191)=FALSE,"",IF((('Dvd Calendar'!$AE$2193=TYPE1)*(TYPE1&lt;&gt;"")+('Dvd Calendar'!$AE$2193=TYPE2)*(TYPE2&lt;&gt;"")+('Dvd Calendar'!$AE$2193=TYPE3)*(TYPE3&lt;&gt;"")+('Dvd Calendar'!$AE$2193=TYPE4)*(TYPE4&lt;&gt;"")+('Dvd Calendar'!$AE$2193=SPECIAL_LBL)*(INC_SPECIALS="Y"))=0,"",'Dvd Calendar'!$AE$2191)))</f>
        <v/>
      </c>
      <c r="AD217" s="161">
        <f>IF(FF217="","",IF(ISNUMBER('Dvd Calendar'!$AF$2191)=FALSE,"",IF((('Dvd Calendar'!$AF$2193=TYPE1)*(TYPE1&lt;&gt;"")+('Dvd Calendar'!$AF$2193=TYPE2)*(TYPE2&lt;&gt;"")+('Dvd Calendar'!$AF$2193=TYPE3)*(TYPE3&lt;&gt;"")+('Dvd Calendar'!$AF$2193=TYPE4)*(TYPE4&lt;&gt;"")+('Dvd Calendar'!$AF$2193=SPECIAL_LBL)*(INC_SPECIALS="Y"))=0,"",'Dvd Calendar'!$AF$2191)))</f>
        <v/>
      </c>
      <c r="AE217" s="161">
        <f>IF(FG217="","",IF(ISNUMBER('Dvd Calendar'!$AG$2191)=FALSE,"",IF((('Dvd Calendar'!$AG$2193=TYPE1)*(TYPE1&lt;&gt;"")+('Dvd Calendar'!$AG$2193=TYPE2)*(TYPE2&lt;&gt;"")+('Dvd Calendar'!$AG$2193=TYPE3)*(TYPE3&lt;&gt;"")+('Dvd Calendar'!$AG$2193=TYPE4)*(TYPE4&lt;&gt;"")+('Dvd Calendar'!$AG$2193=SPECIAL_LBL)*(INC_SPECIALS="Y"))=0,"",'Dvd Calendar'!$AG$2191)))</f>
        <v/>
      </c>
      <c r="AF217" s="161">
        <f>IF(FH217="","",IF(ISNUMBER('Dvd Calendar'!$AH$2191)=FALSE,"",IF((('Dvd Calendar'!$AH$2193=TYPE1)*(TYPE1&lt;&gt;"")+('Dvd Calendar'!$AH$2193=TYPE2)*(TYPE2&lt;&gt;"")+('Dvd Calendar'!$AH$2193=TYPE3)*(TYPE3&lt;&gt;"")+('Dvd Calendar'!$AH$2193=TYPE4)*(TYPE4&lt;&gt;"")+('Dvd Calendar'!$AH$2193=SPECIAL_LBL)*(INC_SPECIALS="Y"))=0,"",'Dvd Calendar'!$AH$2191)))</f>
        <v/>
      </c>
      <c r="AG217" s="161">
        <f>IF(FI217="","",IF(ISNUMBER('Dvd Calendar'!$AI$2191)=FALSE,"",IF((('Dvd Calendar'!$AI$2193=TYPE1)*(TYPE1&lt;&gt;"")+('Dvd Calendar'!$AI$2193=TYPE2)*(TYPE2&lt;&gt;"")+('Dvd Calendar'!$AI$2193=TYPE3)*(TYPE3&lt;&gt;"")+('Dvd Calendar'!$AI$2193=TYPE4)*(TYPE4&lt;&gt;"")+('Dvd Calendar'!$AI$2193=SPECIAL_LBL)*(INC_SPECIALS="Y"))=0,"",'Dvd Calendar'!$AI$2191)))</f>
        <v/>
      </c>
      <c r="AH217" s="161">
        <f>IF(FJ217="","",IF(ISNUMBER('Dvd Calendar'!$AJ$2191)=FALSE,"",IF((('Dvd Calendar'!$AJ$2193=TYPE1)*(TYPE1&lt;&gt;"")+('Dvd Calendar'!$AJ$2193=TYPE2)*(TYPE2&lt;&gt;"")+('Dvd Calendar'!$AJ$2193=TYPE3)*(TYPE3&lt;&gt;"")+('Dvd Calendar'!$AJ$2193=TYPE4)*(TYPE4&lt;&gt;"")+('Dvd Calendar'!$AJ$2193=SPECIAL_LBL)*(INC_SPECIALS="Y"))=0,"",'Dvd Calendar'!$AJ$2191)))</f>
        <v/>
      </c>
      <c r="AI217" s="161">
        <f>IF(FK217="","",IF(ISNUMBER('Dvd Calendar'!$AK$2191)=FALSE,"",IF((('Dvd Calendar'!$AK$2193=TYPE1)*(TYPE1&lt;&gt;"")+('Dvd Calendar'!$AK$2193=TYPE2)*(TYPE2&lt;&gt;"")+('Dvd Calendar'!$AK$2193=TYPE3)*(TYPE3&lt;&gt;"")+('Dvd Calendar'!$AK$2193=TYPE4)*(TYPE4&lt;&gt;"")+('Dvd Calendar'!$AK$2193=SPECIAL_LBL)*(INC_SPECIALS="Y"))=0,"",'Dvd Calendar'!$AK$2191)))</f>
        <v/>
      </c>
      <c r="AJ217" s="161">
        <f>IF(FL217="","",IF(ISNUMBER('Dvd Calendar'!$AL$2191)=FALSE,"",IF((('Dvd Calendar'!$AL$2193=TYPE1)*(TYPE1&lt;&gt;"")+('Dvd Calendar'!$AL$2193=TYPE2)*(TYPE2&lt;&gt;"")+('Dvd Calendar'!$AL$2193=TYPE3)*(TYPE3&lt;&gt;"")+('Dvd Calendar'!$AL$2193=TYPE4)*(TYPE4&lt;&gt;"")+('Dvd Calendar'!$AL$2193=SPECIAL_LBL)*(INC_SPECIALS="Y"))=0,"",'Dvd Calendar'!$AL$2191)))</f>
        <v/>
      </c>
      <c r="AK217" s="161">
        <f>IF(FM217="","",IF(ISNUMBER('Dvd Calendar'!$AM$2191)=FALSE,"",IF((('Dvd Calendar'!$AM$2193=TYPE1)*(TYPE1&lt;&gt;"")+('Dvd Calendar'!$AM$2193=TYPE2)*(TYPE2&lt;&gt;"")+('Dvd Calendar'!$AM$2193=TYPE3)*(TYPE3&lt;&gt;"")+('Dvd Calendar'!$AM$2193=TYPE4)*(TYPE4&lt;&gt;"")+('Dvd Calendar'!$AM$2193=SPECIAL_LBL)*(INC_SPECIALS="Y"))=0,"",'Dvd Calendar'!$AM$2191)))</f>
        <v/>
      </c>
      <c r="AL217" s="161">
        <f>IF(FN217="","",IF(ISNUMBER('Dvd Calendar'!$AN$2191)=FALSE,"",IF((('Dvd Calendar'!$AN$2193=TYPE1)*(TYPE1&lt;&gt;"")+('Dvd Calendar'!$AN$2193=TYPE2)*(TYPE2&lt;&gt;"")+('Dvd Calendar'!$AN$2193=TYPE3)*(TYPE3&lt;&gt;"")+('Dvd Calendar'!$AN$2193=TYPE4)*(TYPE4&lt;&gt;"")+('Dvd Calendar'!$AN$2193=SPECIAL_LBL)*(INC_SPECIALS="Y"))=0,"",'Dvd Calendar'!$AN$2191)))</f>
        <v/>
      </c>
      <c r="AM217" s="161">
        <f>IF(FO217="","",IF(ISNUMBER('Dvd Calendar'!$AO$2191)=FALSE,"",IF((('Dvd Calendar'!$AO$2193=TYPE1)*(TYPE1&lt;&gt;"")+('Dvd Calendar'!$AO$2193=TYPE2)*(TYPE2&lt;&gt;"")+('Dvd Calendar'!$AO$2193=TYPE3)*(TYPE3&lt;&gt;"")+('Dvd Calendar'!$AO$2193=TYPE4)*(TYPE4&lt;&gt;"")+('Dvd Calendar'!$AO$2193=SPECIAL_LBL)*(INC_SPECIALS="Y"))=0,"",'Dvd Calendar'!$AO$2191)))</f>
        <v/>
      </c>
      <c r="AN217" s="161">
        <f>IF(FP217="","",IF(ISNUMBER('Dvd Calendar'!$AP$2191)=FALSE,"",IF((('Dvd Calendar'!$AP$2193=TYPE1)*(TYPE1&lt;&gt;"")+('Dvd Calendar'!$AP$2193=TYPE2)*(TYPE2&lt;&gt;"")+('Dvd Calendar'!$AP$2193=TYPE3)*(TYPE3&lt;&gt;"")+('Dvd Calendar'!$AP$2193=TYPE4)*(TYPE4&lt;&gt;"")+('Dvd Calendar'!$AP$2193=SPECIAL_LBL)*(INC_SPECIALS="Y"))=0,"",'Dvd Calendar'!$AP$2191)))</f>
        <v/>
      </c>
      <c r="AO217" s="161">
        <f>IF(FQ217="","",IF(ISNUMBER('Dvd Calendar'!$AQ$2191)=FALSE,"",IF((('Dvd Calendar'!$AQ$2193=TYPE1)*(TYPE1&lt;&gt;"")+('Dvd Calendar'!$AQ$2193=TYPE2)*(TYPE2&lt;&gt;"")+('Dvd Calendar'!$AQ$2193=TYPE3)*(TYPE3&lt;&gt;"")+('Dvd Calendar'!$AQ$2193=TYPE4)*(TYPE4&lt;&gt;"")+('Dvd Calendar'!$AQ$2193=SPECIAL_LBL)*(INC_SPECIALS="Y"))=0,"",'Dvd Calendar'!$AQ$2191)))</f>
        <v/>
      </c>
      <c r="AP217" s="161">
        <f>IF(FR217="","",IF(ISNUMBER('Dvd Calendar'!$AR$2191)=FALSE,"",IF((('Dvd Calendar'!$AR$2193=TYPE1)*(TYPE1&lt;&gt;"")+('Dvd Calendar'!$AR$2193=TYPE2)*(TYPE2&lt;&gt;"")+('Dvd Calendar'!$AR$2193=TYPE3)*(TYPE3&lt;&gt;"")+('Dvd Calendar'!$AR$2193=TYPE4)*(TYPE4&lt;&gt;"")+('Dvd Calendar'!$AR$2193=SPECIAL_LBL)*(INC_SPECIALS="Y"))=0,"",'Dvd Calendar'!$AR$2191)))</f>
        <v/>
      </c>
      <c r="AQ217" s="161">
        <f>IF(FS217="","",IF(ISNUMBER('Dvd Calendar'!$E$2196)=FALSE,"",'Dvd Calendar'!$E$2196))</f>
        <v/>
      </c>
      <c r="AR217" s="161">
        <f>IF(FT217="","",IF(ISNUMBER('Dvd Calendar'!$F$2196)=FALSE,"",'Dvd Calendar'!$F$2196))</f>
        <v/>
      </c>
      <c r="AS217" s="161">
        <f>IF(FU217="","",IF(ISNUMBER('Dvd Calendar'!$G$2196)=FALSE,"",'Dvd Calendar'!$G$2196))</f>
        <v/>
      </c>
      <c r="AT217" s="161">
        <f>IF(FV217="","",IF(ISNUMBER('Dvd Calendar'!$H$2196)=FALSE,"",'Dvd Calendar'!$H$2196))</f>
        <v/>
      </c>
      <c r="AU217" s="161">
        <f>IF(FW217="","",IF(ISNUMBER('Dvd Calendar'!$I$2196)=FALSE,"",'Dvd Calendar'!$I$2196))</f>
        <v/>
      </c>
      <c r="AV217" s="161">
        <f>IF(FX217="","",IF(ISNUMBER('Dvd Calendar'!$J$2196)=FALSE,"",'Dvd Calendar'!$J$2196))</f>
        <v/>
      </c>
      <c r="AW217" s="161">
        <f>IF(FY217="","",IF(ISNUMBER('Dvd Calendar'!$K$2196)=FALSE,"",'Dvd Calendar'!$K$2196))</f>
        <v/>
      </c>
      <c r="AX217" s="161">
        <f>IF(FZ217="","",IF(ISNUMBER('Dvd Calendar'!$L$2196)=FALSE,"",'Dvd Calendar'!$L$2196))</f>
        <v/>
      </c>
      <c r="AY217" s="161">
        <f>IF(GA217="","",IF(ISNUMBER('Dvd Calendar'!$M$2196)=FALSE,"",'Dvd Calendar'!$M$2196))</f>
        <v/>
      </c>
      <c r="AZ217" s="161">
        <f>IF(GB217="","",IF(ISNUMBER('Dvd Calendar'!$N$2196)=FALSE,"",'Dvd Calendar'!$N$2196))</f>
        <v/>
      </c>
      <c r="BA217" s="161">
        <f>IF(GC217="","",IF(ISNUMBER('Dvd Calendar'!$O$2196)=FALSE,"",'Dvd Calendar'!$O$2196))</f>
        <v/>
      </c>
      <c r="BB217" s="161">
        <f>IF(GD217="","",IF(ISNUMBER('Dvd Calendar'!$P$2196)=FALSE,"",'Dvd Calendar'!$P$2196))</f>
        <v/>
      </c>
      <c r="BC217" s="161">
        <f>IF(GE217="","",IF(ISNUMBER('Dvd Calendar'!$Q$2196)=FALSE,"",'Dvd Calendar'!$Q$2196))</f>
        <v/>
      </c>
      <c r="BD217" s="161">
        <f>IF(GF217="","",IF(ISNUMBER('Dvd Calendar'!$R$2196)=FALSE,"",'Dvd Calendar'!$R$2196))</f>
        <v/>
      </c>
      <c r="BE217" s="161">
        <f>IF(GG217="","",IF(ISNUMBER('Dvd Calendar'!$S$2196)=FALSE,"",'Dvd Calendar'!$S$2196))</f>
        <v/>
      </c>
      <c r="BF217" s="161">
        <f>IF(GH217="","",IF(ISNUMBER('Dvd Calendar'!$T$2196)=FALSE,"",'Dvd Calendar'!$T$2196))</f>
        <v/>
      </c>
      <c r="BG217" s="161">
        <f>IF(GI217="","",IF(ISNUMBER('Dvd Calendar'!$U$2196)=FALSE,"",'Dvd Calendar'!$U$2196))</f>
        <v/>
      </c>
      <c r="BH217" s="161">
        <f>IF(GJ217="","",IF(ISNUMBER('Dvd Calendar'!$V$2196)=FALSE,"",'Dvd Calendar'!$V$2196))</f>
        <v/>
      </c>
      <c r="BI217" s="161">
        <f>IF(GK217="","",IF(ISNUMBER('Dvd Calendar'!$W$2196)=FALSE,"",'Dvd Calendar'!$W$2196))</f>
        <v/>
      </c>
      <c r="BJ217" s="161">
        <f>IF(GL217="","",IF(ISNUMBER('Dvd Calendar'!$X$2196)=FALSE,"",'Dvd Calendar'!$X$2196))</f>
        <v/>
      </c>
      <c r="BK217" s="161">
        <f>IF(GM217="","",IF(ISNUMBER('Dvd Calendar'!$Y$2196)=FALSE,"",'Dvd Calendar'!$Y$2196))</f>
        <v/>
      </c>
      <c r="BL217" s="161">
        <f>IF(GN217="","",IF(ISNUMBER('Dvd Calendar'!$Z$2196)=FALSE,"",'Dvd Calendar'!$Z$2196))</f>
        <v/>
      </c>
      <c r="BM217" s="161">
        <f>IF(GO217="","",IF(ISNUMBER('Dvd Calendar'!$AA$2196)=FALSE,"",'Dvd Calendar'!$AA$2196))</f>
        <v/>
      </c>
      <c r="BN217" s="161">
        <f>IF(GP217="","",IF(ISNUMBER('Dvd Calendar'!$AB$2196)=FALSE,"",'Dvd Calendar'!$AB$2196))</f>
        <v/>
      </c>
      <c r="BO217" s="161">
        <f>IF(GQ217="","",IF(ISNUMBER('Dvd Calendar'!$AC$2196)=FALSE,"",'Dvd Calendar'!$AC$2196))</f>
        <v/>
      </c>
      <c r="BQ217" s="161">
        <f>IF(C217="","",IFERROR(C217*HSCEI!$B$64*HSCEI!$G$64/HSCEI!$B$3,""))</f>
        <v/>
      </c>
      <c r="BR217" s="161">
        <f>IF(D217="","",IFERROR(D217*HSCEI!$B$64*HSCEI!$G$64/HSCEI!$B$3,""))</f>
        <v/>
      </c>
      <c r="BS217" s="161">
        <f>IF(E217="","",IFERROR(E217*HSCEI!$B$64*HSCEI!$G$64/HSCEI!$B$3,""))</f>
        <v/>
      </c>
      <c r="BT217" s="161">
        <f>IF(F217="","",IFERROR(F217*HSCEI!$B$64*HSCEI!$G$64/HSCEI!$B$3,""))</f>
        <v/>
      </c>
      <c r="BU217" s="161">
        <f>IF(G217="","",IFERROR(G217*HSCEI!$B$64*HSCEI!$G$64/HSCEI!$B$3,""))</f>
        <v/>
      </c>
      <c r="BV217" s="161">
        <f>IF(H217="","",IFERROR(H217*HSCEI!$B$64*HSCEI!$G$64/HSCEI!$B$3,""))</f>
        <v/>
      </c>
      <c r="BW217" s="161">
        <f>IF(I217="","",IFERROR(I217*HSCEI!$B$64*HSCEI!$G$64/HSCEI!$B$3,""))</f>
        <v/>
      </c>
      <c r="BX217" s="161">
        <f>IF(J217="","",IFERROR(J217*HSCEI!$B$64*HSCEI!$G$64/HSCEI!$B$3,""))</f>
        <v/>
      </c>
      <c r="BY217" s="161">
        <f>IF(K217="","",IFERROR(K217*HSCEI!$B$64*HSCEI!$G$64/HSCEI!$B$3,""))</f>
        <v/>
      </c>
      <c r="BZ217" s="161">
        <f>IF(L217="","",IFERROR(L217*HSCEI!$B$64*HSCEI!$G$64/HSCEI!$B$3,""))</f>
        <v/>
      </c>
      <c r="CA217" s="161">
        <f>IF(M217="","",IFERROR(M217*HSCEI!$B$64*HSCEI!$G$64/HSCEI!$B$3,""))</f>
        <v/>
      </c>
      <c r="CB217" s="161">
        <f>IF(N217="","",IFERROR(N217*HSCEI!$B$64*HSCEI!$G$64/HSCEI!$B$3,""))</f>
        <v/>
      </c>
      <c r="CC217" s="161">
        <f>IF(O217="","",IFERROR(O217*HSCEI!$B$64*HSCEI!$G$64/HSCEI!$B$3,""))</f>
        <v/>
      </c>
      <c r="CD217" s="161">
        <f>IF(P217="","",IFERROR(P217*HSCEI!$B$64*HSCEI!$G$64/HSCEI!$B$3,""))</f>
        <v/>
      </c>
      <c r="CE217" s="161">
        <f>IF(Q217="","",IFERROR(Q217*HSCEI!$B$64*HSCEI!$G$64/HSCEI!$B$3,""))</f>
        <v/>
      </c>
      <c r="CF217" s="161">
        <f>IF(R217="","",IFERROR(R217*HSCEI!$B$64*HSCEI!$G$64/HSCEI!$B$3,""))</f>
        <v/>
      </c>
      <c r="CG217" s="161">
        <f>IF(S217="","",IFERROR(S217*HSCEI!$B$64*HSCEI!$G$64/HSCEI!$B$3,""))</f>
        <v/>
      </c>
      <c r="CH217" s="161">
        <f>IF(T217="","",IFERROR(T217*HSCEI!$B$64*HSCEI!$G$64/HSCEI!$B$3,""))</f>
        <v/>
      </c>
      <c r="CI217" s="161">
        <f>IF(U217="","",IFERROR(U217*HSCEI!$B$64*HSCEI!$G$64/HSCEI!$B$3,""))</f>
        <v/>
      </c>
      <c r="CJ217" s="161">
        <f>IF(V217="","",IFERROR(V217*HSCEI!$B$64*HSCEI!$G$64/HSCEI!$B$3,""))</f>
        <v/>
      </c>
      <c r="CK217" s="161">
        <f>IF(W217="","",IFERROR(W217*HSCEI!$B$64*HSCEI!$G$64/HSCEI!$B$3,""))</f>
        <v/>
      </c>
      <c r="CL217" s="161">
        <f>IF(X217="","",IFERROR(X217*HSCEI!$B$64*HSCEI!$G$64/HSCEI!$B$3,""))</f>
        <v/>
      </c>
      <c r="CM217" s="161">
        <f>IF(Y217="","",IFERROR(Y217*HSCEI!$B$64*HSCEI!$G$64/HSCEI!$B$3,""))</f>
        <v/>
      </c>
      <c r="CN217" s="161">
        <f>IF(Z217="","",IFERROR(Z217*HSCEI!$B$64*HSCEI!$G$64/HSCEI!$B$3,""))</f>
        <v/>
      </c>
      <c r="CO217" s="161">
        <f>IF(AA217="","",IFERROR(AA217*HSCEI!$B$64*HSCEI!$G$64/HSCEI!$B$3,""))</f>
        <v/>
      </c>
      <c r="CP217" s="161">
        <f>IF(AB217="","",IFERROR(AB217*HSCEI!$B$64*HSCEI!$G$64/HSCEI!$B$3,""))</f>
        <v/>
      </c>
      <c r="CQ217" s="161">
        <f>IF(AC217="","",IFERROR(AC217*HSCEI!$B$64*HSCEI!$G$64/HSCEI!$B$3,""))</f>
        <v/>
      </c>
      <c r="CR217" s="161">
        <f>IF(AD217="","",IFERROR(AD217*HSCEI!$B$64*HSCEI!$G$64/HSCEI!$B$3,""))</f>
        <v/>
      </c>
      <c r="CS217" s="161">
        <f>IF(AE217="","",IFERROR(AE217*HSCEI!$B$64*HSCEI!$G$64/HSCEI!$B$3,""))</f>
        <v/>
      </c>
      <c r="CT217" s="161">
        <f>IF(AF217="","",IFERROR(AF217*HSCEI!$B$64*HSCEI!$G$64/HSCEI!$B$3,""))</f>
        <v/>
      </c>
      <c r="CU217" s="161">
        <f>IF(AG217="","",IFERROR(AG217*HSCEI!$B$64*HSCEI!$G$64/HSCEI!$B$3,""))</f>
        <v/>
      </c>
      <c r="CV217" s="161">
        <f>IF(AH217="","",IFERROR(AH217*HSCEI!$B$64*HSCEI!$G$64/HSCEI!$B$3,""))</f>
        <v/>
      </c>
      <c r="CW217" s="161">
        <f>IF(AI217="","",IFERROR(AI217*HSCEI!$B$64*HSCEI!$G$64/HSCEI!$B$3,""))</f>
        <v/>
      </c>
      <c r="CX217" s="161">
        <f>IF(AJ217="","",IFERROR(AJ217*HSCEI!$B$64*HSCEI!$G$64/HSCEI!$B$3,""))</f>
        <v/>
      </c>
      <c r="CY217" s="161">
        <f>IF(AK217="","",IFERROR(AK217*HSCEI!$B$64*HSCEI!$G$64/HSCEI!$B$3,""))</f>
        <v/>
      </c>
      <c r="CZ217" s="161">
        <f>IF(AL217="","",IFERROR(AL217*HSCEI!$B$64*HSCEI!$G$64/HSCEI!$B$3,""))</f>
        <v/>
      </c>
      <c r="DA217" s="161">
        <f>IF(AM217="","",IFERROR(AM217*HSCEI!$B$64*HSCEI!$G$64/HSCEI!$B$3,""))</f>
        <v/>
      </c>
      <c r="DB217" s="161">
        <f>IF(AN217="","",IFERROR(AN217*HSCEI!$B$64*HSCEI!$G$64/HSCEI!$B$3,""))</f>
        <v/>
      </c>
      <c r="DC217" s="161">
        <f>IF(AO217="","",IFERROR(AO217*HSCEI!$B$64*HSCEI!$G$64/HSCEI!$B$3,""))</f>
        <v/>
      </c>
      <c r="DD217" s="161">
        <f>IF(AP217="","",IFERROR(AP217*HSCEI!$B$64*HSCEI!$G$64/HSCEI!$B$3,""))</f>
        <v/>
      </c>
      <c r="DE217" s="161">
        <f>IF(AQ217="","",IFERROR(AQ217*HSCEI!$B$64*HSCEI!$G$64/HSCEI!$B$3,""))</f>
        <v/>
      </c>
      <c r="DF217" s="161">
        <f>IF(AR217="","",IFERROR(AR217*HSCEI!$B$64*HSCEI!$G$64/HSCEI!$B$3,""))</f>
        <v/>
      </c>
      <c r="DG217" s="161">
        <f>IF(AS217="","",IFERROR(AS217*HSCEI!$B$64*HSCEI!$G$64/HSCEI!$B$3,""))</f>
        <v/>
      </c>
      <c r="DH217" s="161">
        <f>IF(AT217="","",IFERROR(AT217*HSCEI!$B$64*HSCEI!$G$64/HSCEI!$B$3,""))</f>
        <v/>
      </c>
      <c r="DI217" s="161">
        <f>IF(AU217="","",IFERROR(AU217*HSCEI!$B$64*HSCEI!$G$64/HSCEI!$B$3,""))</f>
        <v/>
      </c>
      <c r="DJ217" s="161">
        <f>IF(AV217="","",IFERROR(AV217*HSCEI!$B$64*HSCEI!$G$64/HSCEI!$B$3,""))</f>
        <v/>
      </c>
      <c r="DK217" s="161">
        <f>IF(AW217="","",IFERROR(AW217*HSCEI!$B$64*HSCEI!$G$64/HSCEI!$B$3,""))</f>
        <v/>
      </c>
      <c r="DL217" s="161">
        <f>IF(AX217="","",IFERROR(AX217*HSCEI!$B$64*HSCEI!$G$64/HSCEI!$B$3,""))</f>
        <v/>
      </c>
      <c r="DM217" s="161">
        <f>IF(AY217="","",IFERROR(AY217*HSCEI!$B$64*HSCEI!$G$64/HSCEI!$B$3,""))</f>
        <v/>
      </c>
      <c r="DN217" s="161">
        <f>IF(AZ217="","",IFERROR(AZ217*HSCEI!$B$64*HSCEI!$G$64/HSCEI!$B$3,""))</f>
        <v/>
      </c>
      <c r="DO217" s="161">
        <f>IF(BA217="","",IFERROR(BA217*HSCEI!$B$64*HSCEI!$G$64/HSCEI!$B$3,""))</f>
        <v/>
      </c>
      <c r="DP217" s="161">
        <f>IF(BB217="","",IFERROR(BB217*HSCEI!$B$64*HSCEI!$G$64/HSCEI!$B$3,""))</f>
        <v/>
      </c>
      <c r="DQ217" s="161">
        <f>IF(BC217="","",IFERROR(BC217*HSCEI!$B$64*HSCEI!$G$64/HSCEI!$B$3,""))</f>
        <v/>
      </c>
      <c r="DR217" s="161">
        <f>IF(BD217="","",IFERROR(BD217*HSCEI!$B$64*HSCEI!$G$64/HSCEI!$B$3,""))</f>
        <v/>
      </c>
      <c r="DS217" s="161">
        <f>IF(BE217="","",IFERROR(BE217*HSCEI!$B$64*HSCEI!$G$64/HSCEI!$B$3,""))</f>
        <v/>
      </c>
      <c r="DT217" s="161">
        <f>IF(BF217="","",IFERROR(BF217*HSCEI!$B$64*HSCEI!$G$64/HSCEI!$B$3,""))</f>
        <v/>
      </c>
      <c r="DU217" s="161">
        <f>IF(BG217="","",IFERROR(BG217*HSCEI!$B$64*HSCEI!$G$64/HSCEI!$B$3,""))</f>
        <v/>
      </c>
      <c r="DV217" s="161">
        <f>IF(BH217="","",IFERROR(BH217*HSCEI!$B$64*HSCEI!$G$64/HSCEI!$B$3,""))</f>
        <v/>
      </c>
      <c r="DW217" s="161">
        <f>IF(BI217="","",IFERROR(BI217*HSCEI!$B$64*HSCEI!$G$64/HSCEI!$B$3,""))</f>
        <v/>
      </c>
      <c r="DX217" s="161">
        <f>IF(BJ217="","",IFERROR(BJ217*HSCEI!$B$64*HSCEI!$G$64/HSCEI!$B$3,""))</f>
        <v/>
      </c>
      <c r="DY217" s="161">
        <f>IF(BK217="","",IFERROR(BK217*HSCEI!$B$64*HSCEI!$G$64/HSCEI!$B$3,""))</f>
        <v/>
      </c>
      <c r="DZ217" s="161">
        <f>IF(BL217="","",IFERROR(BL217*HSCEI!$B$64*HSCEI!$G$64/HSCEI!$B$3,""))</f>
        <v/>
      </c>
      <c r="EA217" s="161">
        <f>IF(BM217="","",IFERROR(BM217*HSCEI!$B$64*HSCEI!$G$64/HSCEI!$B$3,""))</f>
        <v/>
      </c>
      <c r="EB217" s="161">
        <f>IF(BN217="","",IFERROR(BN217*HSCEI!$B$64*HSCEI!$G$64/HSCEI!$B$3,""))</f>
        <v/>
      </c>
      <c r="EC217" s="161">
        <f>IF(BO217="","",IFERROR(BO217*HSCEI!$B$64*HSCEI!$G$64/HSCEI!$B$3,""))</f>
        <v/>
      </c>
      <c r="EE217" s="121">
        <f>IF(N('Dvd Calendar'!$E$2188)=0,"",IF(('Dvd Calendar'!$E$2188&gt;=GRID_FROM)*('Dvd Calendar'!$E$2188&lt;=GRID_TO)*((('Dvd Calendar'!$E$2188&lt;=VAL_DATE)+(COUNTIF('Dvd Calendar'!$E$2195:$AR$2195,'Dvd Calendar'!$E$2188)=0))&gt;0)=0,"",'Dvd Calendar'!$E$2188*1000000000+ISNUMBER('Dvd Calendar'!$E$2191)*100000000+('Dvd Calendar'!$E$2193=SPECIAL_LBL)*10000000+(N('Dvd Calendar'!$E$2187)&gt;0)*(N('Dvd Calendar'!$E$2187)&lt;=VAL_SERIAL)*1000000+58*1000+1))</f>
        <v/>
      </c>
      <c r="EF217" s="121">
        <f>IF(N('Dvd Calendar'!$F$2188)=0,"",IF(('Dvd Calendar'!$F$2188&gt;=GRID_FROM)*('Dvd Calendar'!$F$2188&lt;=GRID_TO)*((('Dvd Calendar'!$F$2188&lt;=VAL_DATE)+(COUNTIF('Dvd Calendar'!$E$2195:$AR$2195,'Dvd Calendar'!$F$2188)=0))&gt;0)=0,"",'Dvd Calendar'!$F$2188*1000000000+ISNUMBER('Dvd Calendar'!$F$2191)*100000000+('Dvd Calendar'!$F$2193=SPECIAL_LBL)*10000000+(N('Dvd Calendar'!$F$2187)&gt;0)*(N('Dvd Calendar'!$F$2187)&lt;=VAL_SERIAL)*1000000+58*1000+2))</f>
        <v/>
      </c>
      <c r="EG217" s="121">
        <f>IF(N('Dvd Calendar'!$G$2188)=0,"",IF(('Dvd Calendar'!$G$2188&gt;=GRID_FROM)*('Dvd Calendar'!$G$2188&lt;=GRID_TO)*((('Dvd Calendar'!$G$2188&lt;=VAL_DATE)+(COUNTIF('Dvd Calendar'!$E$2195:$AR$2195,'Dvd Calendar'!$G$2188)=0))&gt;0)=0,"",'Dvd Calendar'!$G$2188*1000000000+ISNUMBER('Dvd Calendar'!$G$2191)*100000000+('Dvd Calendar'!$G$2193=SPECIAL_LBL)*10000000+(N('Dvd Calendar'!$G$2187)&gt;0)*(N('Dvd Calendar'!$G$2187)&lt;=VAL_SERIAL)*1000000+58*1000+3))</f>
        <v/>
      </c>
      <c r="EH217" s="121">
        <f>IF(N('Dvd Calendar'!$H$2188)=0,"",IF(('Dvd Calendar'!$H$2188&gt;=GRID_FROM)*('Dvd Calendar'!$H$2188&lt;=GRID_TO)*((('Dvd Calendar'!$H$2188&lt;=VAL_DATE)+(COUNTIF('Dvd Calendar'!$E$2195:$AR$2195,'Dvd Calendar'!$H$2188)=0))&gt;0)=0,"",'Dvd Calendar'!$H$2188*1000000000+ISNUMBER('Dvd Calendar'!$H$2191)*100000000+('Dvd Calendar'!$H$2193=SPECIAL_LBL)*10000000+(N('Dvd Calendar'!$H$2187)&gt;0)*(N('Dvd Calendar'!$H$2187)&lt;=VAL_SERIAL)*1000000+58*1000+4))</f>
        <v/>
      </c>
      <c r="EI217" s="121">
        <f>IF(N('Dvd Calendar'!$I$2188)=0,"",IF(('Dvd Calendar'!$I$2188&gt;=GRID_FROM)*('Dvd Calendar'!$I$2188&lt;=GRID_TO)*((('Dvd Calendar'!$I$2188&lt;=VAL_DATE)+(COUNTIF('Dvd Calendar'!$E$2195:$AR$2195,'Dvd Calendar'!$I$2188)=0))&gt;0)=0,"",'Dvd Calendar'!$I$2188*1000000000+ISNUMBER('Dvd Calendar'!$I$2191)*100000000+('Dvd Calendar'!$I$2193=SPECIAL_LBL)*10000000+(N('Dvd Calendar'!$I$2187)&gt;0)*(N('Dvd Calendar'!$I$2187)&lt;=VAL_SERIAL)*1000000+58*1000+5))</f>
        <v/>
      </c>
      <c r="EJ217" s="121">
        <f>IF(N('Dvd Calendar'!$J$2188)=0,"",IF(('Dvd Calendar'!$J$2188&gt;=GRID_FROM)*('Dvd Calendar'!$J$2188&lt;=GRID_TO)*((('Dvd Calendar'!$J$2188&lt;=VAL_DATE)+(COUNTIF('Dvd Calendar'!$E$2195:$AR$2195,'Dvd Calendar'!$J$2188)=0))&gt;0)=0,"",'Dvd Calendar'!$J$2188*1000000000+ISNUMBER('Dvd Calendar'!$J$2191)*100000000+('Dvd Calendar'!$J$2193=SPECIAL_LBL)*10000000+(N('Dvd Calendar'!$J$2187)&gt;0)*(N('Dvd Calendar'!$J$2187)&lt;=VAL_SERIAL)*1000000+58*1000+6))</f>
        <v/>
      </c>
      <c r="EK217" s="121">
        <f>IF(N('Dvd Calendar'!$K$2188)=0,"",IF(('Dvd Calendar'!$K$2188&gt;=GRID_FROM)*('Dvd Calendar'!$K$2188&lt;=GRID_TO)*((('Dvd Calendar'!$K$2188&lt;=VAL_DATE)+(COUNTIF('Dvd Calendar'!$E$2195:$AR$2195,'Dvd Calendar'!$K$2188)=0))&gt;0)=0,"",'Dvd Calendar'!$K$2188*1000000000+ISNUMBER('Dvd Calendar'!$K$2191)*100000000+('Dvd Calendar'!$K$2193=SPECIAL_LBL)*10000000+(N('Dvd Calendar'!$K$2187)&gt;0)*(N('Dvd Calendar'!$K$2187)&lt;=VAL_SERIAL)*1000000+58*1000+7))</f>
        <v/>
      </c>
      <c r="EL217" s="121">
        <f>IF(N('Dvd Calendar'!$L$2188)=0,"",IF(('Dvd Calendar'!$L$2188&gt;=GRID_FROM)*('Dvd Calendar'!$L$2188&lt;=GRID_TO)*((('Dvd Calendar'!$L$2188&lt;=VAL_DATE)+(COUNTIF('Dvd Calendar'!$E$2195:$AR$2195,'Dvd Calendar'!$L$2188)=0))&gt;0)=0,"",'Dvd Calendar'!$L$2188*1000000000+ISNUMBER('Dvd Calendar'!$L$2191)*100000000+('Dvd Calendar'!$L$2193=SPECIAL_LBL)*10000000+(N('Dvd Calendar'!$L$2187)&gt;0)*(N('Dvd Calendar'!$L$2187)&lt;=VAL_SERIAL)*1000000+58*1000+8))</f>
        <v/>
      </c>
      <c r="EM217" s="121">
        <f>IF(N('Dvd Calendar'!$M$2188)=0,"",IF(('Dvd Calendar'!$M$2188&gt;=GRID_FROM)*('Dvd Calendar'!$M$2188&lt;=GRID_TO)*((('Dvd Calendar'!$M$2188&lt;=VAL_DATE)+(COUNTIF('Dvd Calendar'!$E$2195:$AR$2195,'Dvd Calendar'!$M$2188)=0))&gt;0)=0,"",'Dvd Calendar'!$M$2188*1000000000+ISNUMBER('Dvd Calendar'!$M$2191)*100000000+('Dvd Calendar'!$M$2193=SPECIAL_LBL)*10000000+(N('Dvd Calendar'!$M$2187)&gt;0)*(N('Dvd Calendar'!$M$2187)&lt;=VAL_SERIAL)*1000000+58*1000+9))</f>
        <v/>
      </c>
      <c r="EN217" s="121">
        <f>IF(N('Dvd Calendar'!$N$2188)=0,"",IF(('Dvd Calendar'!$N$2188&gt;=GRID_FROM)*('Dvd Calendar'!$N$2188&lt;=GRID_TO)*((('Dvd Calendar'!$N$2188&lt;=VAL_DATE)+(COUNTIF('Dvd Calendar'!$E$2195:$AR$2195,'Dvd Calendar'!$N$2188)=0))&gt;0)=0,"",'Dvd Calendar'!$N$2188*1000000000+ISNUMBER('Dvd Calendar'!$N$2191)*100000000+('Dvd Calendar'!$N$2193=SPECIAL_LBL)*10000000+(N('Dvd Calendar'!$N$2187)&gt;0)*(N('Dvd Calendar'!$N$2187)&lt;=VAL_SERIAL)*1000000+58*1000+10))</f>
        <v/>
      </c>
      <c r="EO217" s="121">
        <f>IF(N('Dvd Calendar'!$O$2188)=0,"",IF(('Dvd Calendar'!$O$2188&gt;=GRID_FROM)*('Dvd Calendar'!$O$2188&lt;=GRID_TO)*((('Dvd Calendar'!$O$2188&lt;=VAL_DATE)+(COUNTIF('Dvd Calendar'!$E$2195:$AR$2195,'Dvd Calendar'!$O$2188)=0))&gt;0)=0,"",'Dvd Calendar'!$O$2188*1000000000+ISNUMBER('Dvd Calendar'!$O$2191)*100000000+('Dvd Calendar'!$O$2193=SPECIAL_LBL)*10000000+(N('Dvd Calendar'!$O$2187)&gt;0)*(N('Dvd Calendar'!$O$2187)&lt;=VAL_SERIAL)*1000000+58*1000+11))</f>
        <v/>
      </c>
      <c r="EP217" s="121">
        <f>IF(N('Dvd Calendar'!$P$2188)=0,"",IF(('Dvd Calendar'!$P$2188&gt;=GRID_FROM)*('Dvd Calendar'!$P$2188&lt;=GRID_TO)*((('Dvd Calendar'!$P$2188&lt;=VAL_DATE)+(COUNTIF('Dvd Calendar'!$E$2195:$AR$2195,'Dvd Calendar'!$P$2188)=0))&gt;0)=0,"",'Dvd Calendar'!$P$2188*1000000000+ISNUMBER('Dvd Calendar'!$P$2191)*100000000+('Dvd Calendar'!$P$2193=SPECIAL_LBL)*10000000+(N('Dvd Calendar'!$P$2187)&gt;0)*(N('Dvd Calendar'!$P$2187)&lt;=VAL_SERIAL)*1000000+58*1000+12))</f>
        <v/>
      </c>
      <c r="EQ217" s="121">
        <f>IF(N('Dvd Calendar'!$Q$2188)=0,"",IF(('Dvd Calendar'!$Q$2188&gt;=GRID_FROM)*('Dvd Calendar'!$Q$2188&lt;=GRID_TO)*((('Dvd Calendar'!$Q$2188&lt;=VAL_DATE)+(COUNTIF('Dvd Calendar'!$E$2195:$AR$2195,'Dvd Calendar'!$Q$2188)=0))&gt;0)=0,"",'Dvd Calendar'!$Q$2188*1000000000+ISNUMBER('Dvd Calendar'!$Q$2191)*100000000+('Dvd Calendar'!$Q$2193=SPECIAL_LBL)*10000000+(N('Dvd Calendar'!$Q$2187)&gt;0)*(N('Dvd Calendar'!$Q$2187)&lt;=VAL_SERIAL)*1000000+58*1000+13))</f>
        <v/>
      </c>
      <c r="ER217" s="121">
        <f>IF(N('Dvd Calendar'!$R$2188)=0,"",IF(('Dvd Calendar'!$R$2188&gt;=GRID_FROM)*('Dvd Calendar'!$R$2188&lt;=GRID_TO)*((('Dvd Calendar'!$R$2188&lt;=VAL_DATE)+(COUNTIF('Dvd Calendar'!$E$2195:$AR$2195,'Dvd Calendar'!$R$2188)=0))&gt;0)=0,"",'Dvd Calendar'!$R$2188*1000000000+ISNUMBER('Dvd Calendar'!$R$2191)*100000000+('Dvd Calendar'!$R$2193=SPECIAL_LBL)*10000000+(N('Dvd Calendar'!$R$2187)&gt;0)*(N('Dvd Calendar'!$R$2187)&lt;=VAL_SERIAL)*1000000+58*1000+14))</f>
        <v/>
      </c>
      <c r="ES217" s="121">
        <f>IF(N('Dvd Calendar'!$S$2188)=0,"",IF(('Dvd Calendar'!$S$2188&gt;=GRID_FROM)*('Dvd Calendar'!$S$2188&lt;=GRID_TO)*((('Dvd Calendar'!$S$2188&lt;=VAL_DATE)+(COUNTIF('Dvd Calendar'!$E$2195:$AR$2195,'Dvd Calendar'!$S$2188)=0))&gt;0)=0,"",'Dvd Calendar'!$S$2188*1000000000+ISNUMBER('Dvd Calendar'!$S$2191)*100000000+('Dvd Calendar'!$S$2193=SPECIAL_LBL)*10000000+(N('Dvd Calendar'!$S$2187)&gt;0)*(N('Dvd Calendar'!$S$2187)&lt;=VAL_SERIAL)*1000000+58*1000+15))</f>
        <v/>
      </c>
      <c r="ET217" s="121">
        <f>IF(N('Dvd Calendar'!$T$2188)=0,"",IF(('Dvd Calendar'!$T$2188&gt;=GRID_FROM)*('Dvd Calendar'!$T$2188&lt;=GRID_TO)*((('Dvd Calendar'!$T$2188&lt;=VAL_DATE)+(COUNTIF('Dvd Calendar'!$E$2195:$AR$2195,'Dvd Calendar'!$T$2188)=0))&gt;0)=0,"",'Dvd Calendar'!$T$2188*1000000000+ISNUMBER('Dvd Calendar'!$T$2191)*100000000+('Dvd Calendar'!$T$2193=SPECIAL_LBL)*10000000+(N('Dvd Calendar'!$T$2187)&gt;0)*(N('Dvd Calendar'!$T$2187)&lt;=VAL_SERIAL)*1000000+58*1000+16))</f>
        <v/>
      </c>
      <c r="EU217" s="121">
        <f>IF(N('Dvd Calendar'!$U$2188)=0,"",IF(('Dvd Calendar'!$U$2188&gt;=GRID_FROM)*('Dvd Calendar'!$U$2188&lt;=GRID_TO)*((('Dvd Calendar'!$U$2188&lt;=VAL_DATE)+(COUNTIF('Dvd Calendar'!$E$2195:$AR$2195,'Dvd Calendar'!$U$2188)=0))&gt;0)=0,"",'Dvd Calendar'!$U$2188*1000000000+ISNUMBER('Dvd Calendar'!$U$2191)*100000000+('Dvd Calendar'!$U$2193=SPECIAL_LBL)*10000000+(N('Dvd Calendar'!$U$2187)&gt;0)*(N('Dvd Calendar'!$U$2187)&lt;=VAL_SERIAL)*1000000+58*1000+17))</f>
        <v/>
      </c>
      <c r="EV217" s="121">
        <f>IF(N('Dvd Calendar'!$V$2188)=0,"",IF(('Dvd Calendar'!$V$2188&gt;=GRID_FROM)*('Dvd Calendar'!$V$2188&lt;=GRID_TO)*((('Dvd Calendar'!$V$2188&lt;=VAL_DATE)+(COUNTIF('Dvd Calendar'!$E$2195:$AR$2195,'Dvd Calendar'!$V$2188)=0))&gt;0)=0,"",'Dvd Calendar'!$V$2188*1000000000+ISNUMBER('Dvd Calendar'!$V$2191)*100000000+('Dvd Calendar'!$V$2193=SPECIAL_LBL)*10000000+(N('Dvd Calendar'!$V$2187)&gt;0)*(N('Dvd Calendar'!$V$2187)&lt;=VAL_SERIAL)*1000000+58*1000+18))</f>
        <v/>
      </c>
      <c r="EW217" s="121">
        <f>IF(N('Dvd Calendar'!$W$2188)=0,"",IF(('Dvd Calendar'!$W$2188&gt;=GRID_FROM)*('Dvd Calendar'!$W$2188&lt;=GRID_TO)*((('Dvd Calendar'!$W$2188&lt;=VAL_DATE)+(COUNTIF('Dvd Calendar'!$E$2195:$AR$2195,'Dvd Calendar'!$W$2188)=0))&gt;0)=0,"",'Dvd Calendar'!$W$2188*1000000000+ISNUMBER('Dvd Calendar'!$W$2191)*100000000+('Dvd Calendar'!$W$2193=SPECIAL_LBL)*10000000+(N('Dvd Calendar'!$W$2187)&gt;0)*(N('Dvd Calendar'!$W$2187)&lt;=VAL_SERIAL)*1000000+58*1000+19))</f>
        <v/>
      </c>
      <c r="EX217" s="121">
        <f>IF(N('Dvd Calendar'!$X$2188)=0,"",IF(('Dvd Calendar'!$X$2188&gt;=GRID_FROM)*('Dvd Calendar'!$X$2188&lt;=GRID_TO)*((('Dvd Calendar'!$X$2188&lt;=VAL_DATE)+(COUNTIF('Dvd Calendar'!$E$2195:$AR$2195,'Dvd Calendar'!$X$2188)=0))&gt;0)=0,"",'Dvd Calendar'!$X$2188*1000000000+ISNUMBER('Dvd Calendar'!$X$2191)*100000000+('Dvd Calendar'!$X$2193=SPECIAL_LBL)*10000000+(N('Dvd Calendar'!$X$2187)&gt;0)*(N('Dvd Calendar'!$X$2187)&lt;=VAL_SERIAL)*1000000+58*1000+20))</f>
        <v/>
      </c>
      <c r="EY217" s="121">
        <f>IF(N('Dvd Calendar'!$Y$2188)=0,"",IF(('Dvd Calendar'!$Y$2188&gt;=GRID_FROM)*('Dvd Calendar'!$Y$2188&lt;=GRID_TO)*((('Dvd Calendar'!$Y$2188&lt;=VAL_DATE)+(COUNTIF('Dvd Calendar'!$E$2195:$AR$2195,'Dvd Calendar'!$Y$2188)=0))&gt;0)=0,"",'Dvd Calendar'!$Y$2188*1000000000+ISNUMBER('Dvd Calendar'!$Y$2191)*100000000+('Dvd Calendar'!$Y$2193=SPECIAL_LBL)*10000000+(N('Dvd Calendar'!$Y$2187)&gt;0)*(N('Dvd Calendar'!$Y$2187)&lt;=VAL_SERIAL)*1000000+58*1000+21))</f>
        <v/>
      </c>
      <c r="EZ217" s="121">
        <f>IF(N('Dvd Calendar'!$Z$2188)=0,"",IF(('Dvd Calendar'!$Z$2188&gt;=GRID_FROM)*('Dvd Calendar'!$Z$2188&lt;=GRID_TO)*((('Dvd Calendar'!$Z$2188&lt;=VAL_DATE)+(COUNTIF('Dvd Calendar'!$E$2195:$AR$2195,'Dvd Calendar'!$Z$2188)=0))&gt;0)=0,"",'Dvd Calendar'!$Z$2188*1000000000+ISNUMBER('Dvd Calendar'!$Z$2191)*100000000+('Dvd Calendar'!$Z$2193=SPECIAL_LBL)*10000000+(N('Dvd Calendar'!$Z$2187)&gt;0)*(N('Dvd Calendar'!$Z$2187)&lt;=VAL_SERIAL)*1000000+58*1000+22))</f>
        <v/>
      </c>
      <c r="FA217" s="121">
        <f>IF(N('Dvd Calendar'!$AA$2188)=0,"",IF(('Dvd Calendar'!$AA$2188&gt;=GRID_FROM)*('Dvd Calendar'!$AA$2188&lt;=GRID_TO)*((('Dvd Calendar'!$AA$2188&lt;=VAL_DATE)+(COUNTIF('Dvd Calendar'!$E$2195:$AR$2195,'Dvd Calendar'!$AA$2188)=0))&gt;0)=0,"",'Dvd Calendar'!$AA$2188*1000000000+ISNUMBER('Dvd Calendar'!$AA$2191)*100000000+('Dvd Calendar'!$AA$2193=SPECIAL_LBL)*10000000+(N('Dvd Calendar'!$AA$2187)&gt;0)*(N('Dvd Calendar'!$AA$2187)&lt;=VAL_SERIAL)*1000000+58*1000+23))</f>
        <v/>
      </c>
      <c r="FB217" s="121">
        <f>IF(N('Dvd Calendar'!$AB$2188)=0,"",IF(('Dvd Calendar'!$AB$2188&gt;=GRID_FROM)*('Dvd Calendar'!$AB$2188&lt;=GRID_TO)*((('Dvd Calendar'!$AB$2188&lt;=VAL_DATE)+(COUNTIF('Dvd Calendar'!$E$2195:$AR$2195,'Dvd Calendar'!$AB$2188)=0))&gt;0)=0,"",'Dvd Calendar'!$AB$2188*1000000000+ISNUMBER('Dvd Calendar'!$AB$2191)*100000000+('Dvd Calendar'!$AB$2193=SPECIAL_LBL)*10000000+(N('Dvd Calendar'!$AB$2187)&gt;0)*(N('Dvd Calendar'!$AB$2187)&lt;=VAL_SERIAL)*1000000+58*1000+24))</f>
        <v/>
      </c>
      <c r="FC217" s="121">
        <f>IF(N('Dvd Calendar'!$AC$2188)=0,"",IF(('Dvd Calendar'!$AC$2188&gt;=GRID_FROM)*('Dvd Calendar'!$AC$2188&lt;=GRID_TO)*((('Dvd Calendar'!$AC$2188&lt;=VAL_DATE)+(COUNTIF('Dvd Calendar'!$E$2195:$AR$2195,'Dvd Calendar'!$AC$2188)=0))&gt;0)=0,"",'Dvd Calendar'!$AC$2188*1000000000+ISNUMBER('Dvd Calendar'!$AC$2191)*100000000+('Dvd Calendar'!$AC$2193=SPECIAL_LBL)*10000000+(N('Dvd Calendar'!$AC$2187)&gt;0)*(N('Dvd Calendar'!$AC$2187)&lt;=VAL_SERIAL)*1000000+58*1000+25))</f>
        <v/>
      </c>
      <c r="FD217" s="121">
        <f>IF(N('Dvd Calendar'!$AD$2188)=0,"",IF(('Dvd Calendar'!$AD$2188&gt;=GRID_FROM)*('Dvd Calendar'!$AD$2188&lt;=GRID_TO)*((('Dvd Calendar'!$AD$2188&lt;=VAL_DATE)+(COUNTIF('Dvd Calendar'!$E$2195:$AR$2195,'Dvd Calendar'!$AD$2188)=0))&gt;0)=0,"",'Dvd Calendar'!$AD$2188*1000000000+ISNUMBER('Dvd Calendar'!$AD$2191)*100000000+('Dvd Calendar'!$AD$2193=SPECIAL_LBL)*10000000+(N('Dvd Calendar'!$AD$2187)&gt;0)*(N('Dvd Calendar'!$AD$2187)&lt;=VAL_SERIAL)*1000000+58*1000+26))</f>
        <v/>
      </c>
      <c r="FE217" s="121">
        <f>IF(N('Dvd Calendar'!$AE$2188)=0,"",IF(('Dvd Calendar'!$AE$2188&gt;=GRID_FROM)*('Dvd Calendar'!$AE$2188&lt;=GRID_TO)*((('Dvd Calendar'!$AE$2188&lt;=VAL_DATE)+(COUNTIF('Dvd Calendar'!$E$2195:$AR$2195,'Dvd Calendar'!$AE$2188)=0))&gt;0)=0,"",'Dvd Calendar'!$AE$2188*1000000000+ISNUMBER('Dvd Calendar'!$AE$2191)*100000000+('Dvd Calendar'!$AE$2193=SPECIAL_LBL)*10000000+(N('Dvd Calendar'!$AE$2187)&gt;0)*(N('Dvd Calendar'!$AE$2187)&lt;=VAL_SERIAL)*1000000+58*1000+27))</f>
        <v/>
      </c>
      <c r="FF217" s="121">
        <f>IF(N('Dvd Calendar'!$AF$2188)=0,"",IF(('Dvd Calendar'!$AF$2188&gt;=GRID_FROM)*('Dvd Calendar'!$AF$2188&lt;=GRID_TO)*((('Dvd Calendar'!$AF$2188&lt;=VAL_DATE)+(COUNTIF('Dvd Calendar'!$E$2195:$AR$2195,'Dvd Calendar'!$AF$2188)=0))&gt;0)=0,"",'Dvd Calendar'!$AF$2188*1000000000+ISNUMBER('Dvd Calendar'!$AF$2191)*100000000+('Dvd Calendar'!$AF$2193=SPECIAL_LBL)*10000000+(N('Dvd Calendar'!$AF$2187)&gt;0)*(N('Dvd Calendar'!$AF$2187)&lt;=VAL_SERIAL)*1000000+58*1000+28))</f>
        <v/>
      </c>
      <c r="FG217" s="121">
        <f>IF(N('Dvd Calendar'!$AG$2188)=0,"",IF(('Dvd Calendar'!$AG$2188&gt;=GRID_FROM)*('Dvd Calendar'!$AG$2188&lt;=GRID_TO)*((('Dvd Calendar'!$AG$2188&lt;=VAL_DATE)+(COUNTIF('Dvd Calendar'!$E$2195:$AR$2195,'Dvd Calendar'!$AG$2188)=0))&gt;0)=0,"",'Dvd Calendar'!$AG$2188*1000000000+ISNUMBER('Dvd Calendar'!$AG$2191)*100000000+('Dvd Calendar'!$AG$2193=SPECIAL_LBL)*10000000+(N('Dvd Calendar'!$AG$2187)&gt;0)*(N('Dvd Calendar'!$AG$2187)&lt;=VAL_SERIAL)*1000000+58*1000+29))</f>
        <v/>
      </c>
      <c r="FH217" s="121">
        <f>IF(N('Dvd Calendar'!$AH$2188)=0,"",IF(('Dvd Calendar'!$AH$2188&gt;=GRID_FROM)*('Dvd Calendar'!$AH$2188&lt;=GRID_TO)*((('Dvd Calendar'!$AH$2188&lt;=VAL_DATE)+(COUNTIF('Dvd Calendar'!$E$2195:$AR$2195,'Dvd Calendar'!$AH$2188)=0))&gt;0)=0,"",'Dvd Calendar'!$AH$2188*1000000000+ISNUMBER('Dvd Calendar'!$AH$2191)*100000000+('Dvd Calendar'!$AH$2193=SPECIAL_LBL)*10000000+(N('Dvd Calendar'!$AH$2187)&gt;0)*(N('Dvd Calendar'!$AH$2187)&lt;=VAL_SERIAL)*1000000+58*1000+30))</f>
        <v/>
      </c>
      <c r="FI217" s="121">
        <f>IF(N('Dvd Calendar'!$AI$2188)=0,"",IF(('Dvd Calendar'!$AI$2188&gt;=GRID_FROM)*('Dvd Calendar'!$AI$2188&lt;=GRID_TO)*((('Dvd Calendar'!$AI$2188&lt;=VAL_DATE)+(COUNTIF('Dvd Calendar'!$E$2195:$AR$2195,'Dvd Calendar'!$AI$2188)=0))&gt;0)=0,"",'Dvd Calendar'!$AI$2188*1000000000+ISNUMBER('Dvd Calendar'!$AI$2191)*100000000+('Dvd Calendar'!$AI$2193=SPECIAL_LBL)*10000000+(N('Dvd Calendar'!$AI$2187)&gt;0)*(N('Dvd Calendar'!$AI$2187)&lt;=VAL_SERIAL)*1000000+58*1000+31))</f>
        <v/>
      </c>
      <c r="FJ217" s="121">
        <f>IF(N('Dvd Calendar'!$AJ$2188)=0,"",IF(('Dvd Calendar'!$AJ$2188&gt;=GRID_FROM)*('Dvd Calendar'!$AJ$2188&lt;=GRID_TO)*((('Dvd Calendar'!$AJ$2188&lt;=VAL_DATE)+(COUNTIF('Dvd Calendar'!$E$2195:$AR$2195,'Dvd Calendar'!$AJ$2188)=0))&gt;0)=0,"",'Dvd Calendar'!$AJ$2188*1000000000+ISNUMBER('Dvd Calendar'!$AJ$2191)*100000000+('Dvd Calendar'!$AJ$2193=SPECIAL_LBL)*10000000+(N('Dvd Calendar'!$AJ$2187)&gt;0)*(N('Dvd Calendar'!$AJ$2187)&lt;=VAL_SERIAL)*1000000+58*1000+32))</f>
        <v/>
      </c>
      <c r="FK217" s="121">
        <f>IF(N('Dvd Calendar'!$AK$2188)=0,"",IF(('Dvd Calendar'!$AK$2188&gt;=GRID_FROM)*('Dvd Calendar'!$AK$2188&lt;=GRID_TO)*((('Dvd Calendar'!$AK$2188&lt;=VAL_DATE)+(COUNTIF('Dvd Calendar'!$E$2195:$AR$2195,'Dvd Calendar'!$AK$2188)=0))&gt;0)=0,"",'Dvd Calendar'!$AK$2188*1000000000+ISNUMBER('Dvd Calendar'!$AK$2191)*100000000+('Dvd Calendar'!$AK$2193=SPECIAL_LBL)*10000000+(N('Dvd Calendar'!$AK$2187)&gt;0)*(N('Dvd Calendar'!$AK$2187)&lt;=VAL_SERIAL)*1000000+58*1000+33))</f>
        <v/>
      </c>
      <c r="FL217" s="121">
        <f>IF(N('Dvd Calendar'!$AL$2188)=0,"",IF(('Dvd Calendar'!$AL$2188&gt;=GRID_FROM)*('Dvd Calendar'!$AL$2188&lt;=GRID_TO)*((('Dvd Calendar'!$AL$2188&lt;=VAL_DATE)+(COUNTIF('Dvd Calendar'!$E$2195:$AR$2195,'Dvd Calendar'!$AL$2188)=0))&gt;0)=0,"",'Dvd Calendar'!$AL$2188*1000000000+ISNUMBER('Dvd Calendar'!$AL$2191)*100000000+('Dvd Calendar'!$AL$2193=SPECIAL_LBL)*10000000+(N('Dvd Calendar'!$AL$2187)&gt;0)*(N('Dvd Calendar'!$AL$2187)&lt;=VAL_SERIAL)*1000000+58*1000+34))</f>
        <v/>
      </c>
      <c r="FM217" s="121">
        <f>IF(N('Dvd Calendar'!$AM$2188)=0,"",IF(('Dvd Calendar'!$AM$2188&gt;=GRID_FROM)*('Dvd Calendar'!$AM$2188&lt;=GRID_TO)*((('Dvd Calendar'!$AM$2188&lt;=VAL_DATE)+(COUNTIF('Dvd Calendar'!$E$2195:$AR$2195,'Dvd Calendar'!$AM$2188)=0))&gt;0)=0,"",'Dvd Calendar'!$AM$2188*1000000000+ISNUMBER('Dvd Calendar'!$AM$2191)*100000000+('Dvd Calendar'!$AM$2193=SPECIAL_LBL)*10000000+(N('Dvd Calendar'!$AM$2187)&gt;0)*(N('Dvd Calendar'!$AM$2187)&lt;=VAL_SERIAL)*1000000+58*1000+35))</f>
        <v/>
      </c>
      <c r="FN217" s="121">
        <f>IF(N('Dvd Calendar'!$AN$2188)=0,"",IF(('Dvd Calendar'!$AN$2188&gt;=GRID_FROM)*('Dvd Calendar'!$AN$2188&lt;=GRID_TO)*((('Dvd Calendar'!$AN$2188&lt;=VAL_DATE)+(COUNTIF('Dvd Calendar'!$E$2195:$AR$2195,'Dvd Calendar'!$AN$2188)=0))&gt;0)=0,"",'Dvd Calendar'!$AN$2188*1000000000+ISNUMBER('Dvd Calendar'!$AN$2191)*100000000+('Dvd Calendar'!$AN$2193=SPECIAL_LBL)*10000000+(N('Dvd Calendar'!$AN$2187)&gt;0)*(N('Dvd Calendar'!$AN$2187)&lt;=VAL_SERIAL)*1000000+58*1000+36))</f>
        <v/>
      </c>
      <c r="FO217" s="121">
        <f>IF(N('Dvd Calendar'!$AO$2188)=0,"",IF(('Dvd Calendar'!$AO$2188&gt;=GRID_FROM)*('Dvd Calendar'!$AO$2188&lt;=GRID_TO)*((('Dvd Calendar'!$AO$2188&lt;=VAL_DATE)+(COUNTIF('Dvd Calendar'!$E$2195:$AR$2195,'Dvd Calendar'!$AO$2188)=0))&gt;0)=0,"",'Dvd Calendar'!$AO$2188*1000000000+ISNUMBER('Dvd Calendar'!$AO$2191)*100000000+('Dvd Calendar'!$AO$2193=SPECIAL_LBL)*10000000+(N('Dvd Calendar'!$AO$2187)&gt;0)*(N('Dvd Calendar'!$AO$2187)&lt;=VAL_SERIAL)*1000000+58*1000+37))</f>
        <v/>
      </c>
      <c r="FP217" s="121">
        <f>IF(N('Dvd Calendar'!$AP$2188)=0,"",IF(('Dvd Calendar'!$AP$2188&gt;=GRID_FROM)*('Dvd Calendar'!$AP$2188&lt;=GRID_TO)*((('Dvd Calendar'!$AP$2188&lt;=VAL_DATE)+(COUNTIF('Dvd Calendar'!$E$2195:$AR$2195,'Dvd Calendar'!$AP$2188)=0))&gt;0)=0,"",'Dvd Calendar'!$AP$2188*1000000000+ISNUMBER('Dvd Calendar'!$AP$2191)*100000000+('Dvd Calendar'!$AP$2193=SPECIAL_LBL)*10000000+(N('Dvd Calendar'!$AP$2187)&gt;0)*(N('Dvd Calendar'!$AP$2187)&lt;=VAL_SERIAL)*1000000+58*1000+38))</f>
        <v/>
      </c>
      <c r="FQ217" s="121">
        <f>IF(N('Dvd Calendar'!$AQ$2188)=0,"",IF(('Dvd Calendar'!$AQ$2188&gt;=GRID_FROM)*('Dvd Calendar'!$AQ$2188&lt;=GRID_TO)*((('Dvd Calendar'!$AQ$2188&lt;=VAL_DATE)+(COUNTIF('Dvd Calendar'!$E$2195:$AR$2195,'Dvd Calendar'!$AQ$2188)=0))&gt;0)=0,"",'Dvd Calendar'!$AQ$2188*1000000000+ISNUMBER('Dvd Calendar'!$AQ$2191)*100000000+('Dvd Calendar'!$AQ$2193=SPECIAL_LBL)*10000000+(N('Dvd Calendar'!$AQ$2187)&gt;0)*(N('Dvd Calendar'!$AQ$2187)&lt;=VAL_SERIAL)*1000000+58*1000+39))</f>
        <v/>
      </c>
      <c r="FR217" s="121">
        <f>IF(N('Dvd Calendar'!$AR$2188)=0,"",IF(('Dvd Calendar'!$AR$2188&gt;=GRID_FROM)*('Dvd Calendar'!$AR$2188&lt;=GRID_TO)*((('Dvd Calendar'!$AR$2188&lt;=VAL_DATE)+(COUNTIF('Dvd Calendar'!$E$2195:$AR$2195,'Dvd Calendar'!$AR$2188)=0))&gt;0)=0,"",'Dvd Calendar'!$AR$2188*1000000000+ISNUMBER('Dvd Calendar'!$AR$2191)*100000000+('Dvd Calendar'!$AR$2193=SPECIAL_LBL)*10000000+(N('Dvd Calendar'!$AR$2187)&gt;0)*(N('Dvd Calendar'!$AR$2187)&lt;=VAL_SERIAL)*1000000+58*1000+40))</f>
        <v/>
      </c>
      <c r="FS217" s="121">
        <f>IF(N('Dvd Calendar'!$E$2195)=0,"",IF(('Dvd Calendar'!$E$2195&gt;=GRID_FROM)*('Dvd Calendar'!$E$2195&lt;=GRID_TO)*('Dvd Calendar'!$E$2195&gt;VAL_DATE)=0,"",'Dvd Calendar'!$E$2195*1000000000+ISNUMBER('Dvd Calendar'!$E$2196)*100000000+0*10000000+(N('Dvd Calendar'!$E$2194)&gt;0)*(N('Dvd Calendar'!$E$2194)&lt;=VAL_SERIAL)*1000000+58*1000+41))</f>
        <v/>
      </c>
      <c r="FT217" s="121">
        <f>IF(N('Dvd Calendar'!$F$2195)=0,"",IF(('Dvd Calendar'!$F$2195&gt;=GRID_FROM)*('Dvd Calendar'!$F$2195&lt;=GRID_TO)*('Dvd Calendar'!$F$2195&gt;VAL_DATE)=0,"",'Dvd Calendar'!$F$2195*1000000000+ISNUMBER('Dvd Calendar'!$F$2196)*100000000+0*10000000+(N('Dvd Calendar'!$F$2194)&gt;0)*(N('Dvd Calendar'!$F$2194)&lt;=VAL_SERIAL)*1000000+58*1000+42))</f>
        <v/>
      </c>
      <c r="FU217" s="121">
        <f>IF(N('Dvd Calendar'!$G$2195)=0,"",IF(('Dvd Calendar'!$G$2195&gt;=GRID_FROM)*('Dvd Calendar'!$G$2195&lt;=GRID_TO)*('Dvd Calendar'!$G$2195&gt;VAL_DATE)=0,"",'Dvd Calendar'!$G$2195*1000000000+ISNUMBER('Dvd Calendar'!$G$2196)*100000000+0*10000000+(N('Dvd Calendar'!$G$2194)&gt;0)*(N('Dvd Calendar'!$G$2194)&lt;=VAL_SERIAL)*1000000+58*1000+43))</f>
        <v/>
      </c>
      <c r="FV217" s="121">
        <f>IF(N('Dvd Calendar'!$H$2195)=0,"",IF(('Dvd Calendar'!$H$2195&gt;=GRID_FROM)*('Dvd Calendar'!$H$2195&lt;=GRID_TO)*('Dvd Calendar'!$H$2195&gt;VAL_DATE)=0,"",'Dvd Calendar'!$H$2195*1000000000+ISNUMBER('Dvd Calendar'!$H$2196)*100000000+0*10000000+(N('Dvd Calendar'!$H$2194)&gt;0)*(N('Dvd Calendar'!$H$2194)&lt;=VAL_SERIAL)*1000000+58*1000+44))</f>
        <v/>
      </c>
      <c r="FW217" s="121">
        <f>IF(N('Dvd Calendar'!$I$2195)=0,"",IF(('Dvd Calendar'!$I$2195&gt;=GRID_FROM)*('Dvd Calendar'!$I$2195&lt;=GRID_TO)*('Dvd Calendar'!$I$2195&gt;VAL_DATE)=0,"",'Dvd Calendar'!$I$2195*1000000000+ISNUMBER('Dvd Calendar'!$I$2196)*100000000+0*10000000+(N('Dvd Calendar'!$I$2194)&gt;0)*(N('Dvd Calendar'!$I$2194)&lt;=VAL_SERIAL)*1000000+58*1000+45))</f>
        <v/>
      </c>
      <c r="FX217" s="121">
        <f>IF(N('Dvd Calendar'!$J$2195)=0,"",IF(('Dvd Calendar'!$J$2195&gt;=GRID_FROM)*('Dvd Calendar'!$J$2195&lt;=GRID_TO)*('Dvd Calendar'!$J$2195&gt;VAL_DATE)=0,"",'Dvd Calendar'!$J$2195*1000000000+ISNUMBER('Dvd Calendar'!$J$2196)*100000000+0*10000000+(N('Dvd Calendar'!$J$2194)&gt;0)*(N('Dvd Calendar'!$J$2194)&lt;=VAL_SERIAL)*1000000+58*1000+46))</f>
        <v/>
      </c>
      <c r="FY217" s="121">
        <f>IF(N('Dvd Calendar'!$K$2195)=0,"",IF(('Dvd Calendar'!$K$2195&gt;=GRID_FROM)*('Dvd Calendar'!$K$2195&lt;=GRID_TO)*('Dvd Calendar'!$K$2195&gt;VAL_DATE)=0,"",'Dvd Calendar'!$K$2195*1000000000+ISNUMBER('Dvd Calendar'!$K$2196)*100000000+0*10000000+(N('Dvd Calendar'!$K$2194)&gt;0)*(N('Dvd Calendar'!$K$2194)&lt;=VAL_SERIAL)*1000000+58*1000+47))</f>
        <v/>
      </c>
      <c r="FZ217" s="121">
        <f>IF(N('Dvd Calendar'!$L$2195)=0,"",IF(('Dvd Calendar'!$L$2195&gt;=GRID_FROM)*('Dvd Calendar'!$L$2195&lt;=GRID_TO)*('Dvd Calendar'!$L$2195&gt;VAL_DATE)=0,"",'Dvd Calendar'!$L$2195*1000000000+ISNUMBER('Dvd Calendar'!$L$2196)*100000000+0*10000000+(N('Dvd Calendar'!$L$2194)&gt;0)*(N('Dvd Calendar'!$L$2194)&lt;=VAL_SERIAL)*1000000+58*1000+48))</f>
        <v/>
      </c>
      <c r="GA217" s="121">
        <f>IF(N('Dvd Calendar'!$M$2195)=0,"",IF(('Dvd Calendar'!$M$2195&gt;=GRID_FROM)*('Dvd Calendar'!$M$2195&lt;=GRID_TO)*('Dvd Calendar'!$M$2195&gt;VAL_DATE)=0,"",'Dvd Calendar'!$M$2195*1000000000+ISNUMBER('Dvd Calendar'!$M$2196)*100000000+0*10000000+(N('Dvd Calendar'!$M$2194)&gt;0)*(N('Dvd Calendar'!$M$2194)&lt;=VAL_SERIAL)*1000000+58*1000+49))</f>
        <v/>
      </c>
      <c r="GB217" s="121">
        <f>IF(N('Dvd Calendar'!$N$2195)=0,"",IF(('Dvd Calendar'!$N$2195&gt;=GRID_FROM)*('Dvd Calendar'!$N$2195&lt;=GRID_TO)*('Dvd Calendar'!$N$2195&gt;VAL_DATE)=0,"",'Dvd Calendar'!$N$2195*1000000000+ISNUMBER('Dvd Calendar'!$N$2196)*100000000+0*10000000+(N('Dvd Calendar'!$N$2194)&gt;0)*(N('Dvd Calendar'!$N$2194)&lt;=VAL_SERIAL)*1000000+58*1000+50))</f>
        <v/>
      </c>
      <c r="GC217" s="121">
        <f>IF(N('Dvd Calendar'!$O$2195)=0,"",IF(('Dvd Calendar'!$O$2195&gt;=GRID_FROM)*('Dvd Calendar'!$O$2195&lt;=GRID_TO)*('Dvd Calendar'!$O$2195&gt;VAL_DATE)=0,"",'Dvd Calendar'!$O$2195*1000000000+ISNUMBER('Dvd Calendar'!$O$2196)*100000000+0*10000000+(N('Dvd Calendar'!$O$2194)&gt;0)*(N('Dvd Calendar'!$O$2194)&lt;=VAL_SERIAL)*1000000+58*1000+51))</f>
        <v/>
      </c>
      <c r="GD217" s="121">
        <f>IF(N('Dvd Calendar'!$P$2195)=0,"",IF(('Dvd Calendar'!$P$2195&gt;=GRID_FROM)*('Dvd Calendar'!$P$2195&lt;=GRID_TO)*('Dvd Calendar'!$P$2195&gt;VAL_DATE)=0,"",'Dvd Calendar'!$P$2195*1000000000+ISNUMBER('Dvd Calendar'!$P$2196)*100000000+0*10000000+(N('Dvd Calendar'!$P$2194)&gt;0)*(N('Dvd Calendar'!$P$2194)&lt;=VAL_SERIAL)*1000000+58*1000+52))</f>
        <v/>
      </c>
      <c r="GE217" s="121">
        <f>IF(N('Dvd Calendar'!$Q$2195)=0,"",IF(('Dvd Calendar'!$Q$2195&gt;=GRID_FROM)*('Dvd Calendar'!$Q$2195&lt;=GRID_TO)*('Dvd Calendar'!$Q$2195&gt;VAL_DATE)=0,"",'Dvd Calendar'!$Q$2195*1000000000+ISNUMBER('Dvd Calendar'!$Q$2196)*100000000+0*10000000+(N('Dvd Calendar'!$Q$2194)&gt;0)*(N('Dvd Calendar'!$Q$2194)&lt;=VAL_SERIAL)*1000000+58*1000+53))</f>
        <v/>
      </c>
      <c r="GF217" s="121">
        <f>IF(N('Dvd Calendar'!$R$2195)=0,"",IF(('Dvd Calendar'!$R$2195&gt;=GRID_FROM)*('Dvd Calendar'!$R$2195&lt;=GRID_TO)*('Dvd Calendar'!$R$2195&gt;VAL_DATE)=0,"",'Dvd Calendar'!$R$2195*1000000000+ISNUMBER('Dvd Calendar'!$R$2196)*100000000+0*10000000+(N('Dvd Calendar'!$R$2194)&gt;0)*(N('Dvd Calendar'!$R$2194)&lt;=VAL_SERIAL)*1000000+58*1000+54))</f>
        <v/>
      </c>
      <c r="GG217" s="121">
        <f>IF(N('Dvd Calendar'!$S$2195)=0,"",IF(('Dvd Calendar'!$S$2195&gt;=GRID_FROM)*('Dvd Calendar'!$S$2195&lt;=GRID_TO)*('Dvd Calendar'!$S$2195&gt;VAL_DATE)=0,"",'Dvd Calendar'!$S$2195*1000000000+ISNUMBER('Dvd Calendar'!$S$2196)*100000000+0*10000000+(N('Dvd Calendar'!$S$2194)&gt;0)*(N('Dvd Calendar'!$S$2194)&lt;=VAL_SERIAL)*1000000+58*1000+55))</f>
        <v/>
      </c>
      <c r="GH217" s="121">
        <f>IF(N('Dvd Calendar'!$T$2195)=0,"",IF(('Dvd Calendar'!$T$2195&gt;=GRID_FROM)*('Dvd Calendar'!$T$2195&lt;=GRID_TO)*('Dvd Calendar'!$T$2195&gt;VAL_DATE)=0,"",'Dvd Calendar'!$T$2195*1000000000+ISNUMBER('Dvd Calendar'!$T$2196)*100000000+0*10000000+(N('Dvd Calendar'!$T$2194)&gt;0)*(N('Dvd Calendar'!$T$2194)&lt;=VAL_SERIAL)*1000000+58*1000+56))</f>
        <v/>
      </c>
      <c r="GI217" s="121">
        <f>IF(N('Dvd Calendar'!$U$2195)=0,"",IF(('Dvd Calendar'!$U$2195&gt;=GRID_FROM)*('Dvd Calendar'!$U$2195&lt;=GRID_TO)*('Dvd Calendar'!$U$2195&gt;VAL_DATE)=0,"",'Dvd Calendar'!$U$2195*1000000000+ISNUMBER('Dvd Calendar'!$U$2196)*100000000+0*10000000+(N('Dvd Calendar'!$U$2194)&gt;0)*(N('Dvd Calendar'!$U$2194)&lt;=VAL_SERIAL)*1000000+58*1000+57))</f>
        <v/>
      </c>
      <c r="GJ217" s="121">
        <f>IF(N('Dvd Calendar'!$V$2195)=0,"",IF(('Dvd Calendar'!$V$2195&gt;=GRID_FROM)*('Dvd Calendar'!$V$2195&lt;=GRID_TO)*('Dvd Calendar'!$V$2195&gt;VAL_DATE)=0,"",'Dvd Calendar'!$V$2195*1000000000+ISNUMBER('Dvd Calendar'!$V$2196)*100000000+0*10000000+(N('Dvd Calendar'!$V$2194)&gt;0)*(N('Dvd Calendar'!$V$2194)&lt;=VAL_SERIAL)*1000000+58*1000+58))</f>
        <v/>
      </c>
      <c r="GK217" s="121">
        <f>IF(N('Dvd Calendar'!$W$2195)=0,"",IF(('Dvd Calendar'!$W$2195&gt;=GRID_FROM)*('Dvd Calendar'!$W$2195&lt;=GRID_TO)*('Dvd Calendar'!$W$2195&gt;VAL_DATE)=0,"",'Dvd Calendar'!$W$2195*1000000000+ISNUMBER('Dvd Calendar'!$W$2196)*100000000+0*10000000+(N('Dvd Calendar'!$W$2194)&gt;0)*(N('Dvd Calendar'!$W$2194)&lt;=VAL_SERIAL)*1000000+58*1000+59))</f>
        <v/>
      </c>
      <c r="GL217" s="121">
        <f>IF(N('Dvd Calendar'!$X$2195)=0,"",IF(('Dvd Calendar'!$X$2195&gt;=GRID_FROM)*('Dvd Calendar'!$X$2195&lt;=GRID_TO)*('Dvd Calendar'!$X$2195&gt;VAL_DATE)=0,"",'Dvd Calendar'!$X$2195*1000000000+ISNUMBER('Dvd Calendar'!$X$2196)*100000000+0*10000000+(N('Dvd Calendar'!$X$2194)&gt;0)*(N('Dvd Calendar'!$X$2194)&lt;=VAL_SERIAL)*1000000+58*1000+60))</f>
        <v/>
      </c>
      <c r="GM217" s="121">
        <f>IF(N('Dvd Calendar'!$Y$2195)=0,"",IF(('Dvd Calendar'!$Y$2195&gt;=GRID_FROM)*('Dvd Calendar'!$Y$2195&lt;=GRID_TO)*('Dvd Calendar'!$Y$2195&gt;VAL_DATE)=0,"",'Dvd Calendar'!$Y$2195*1000000000+ISNUMBER('Dvd Calendar'!$Y$2196)*100000000+0*10000000+(N('Dvd Calendar'!$Y$2194)&gt;0)*(N('Dvd Calendar'!$Y$2194)&lt;=VAL_SERIAL)*1000000+58*1000+61))</f>
        <v/>
      </c>
      <c r="GN217" s="121">
        <f>IF(N('Dvd Calendar'!$Z$2195)=0,"",IF(('Dvd Calendar'!$Z$2195&gt;=GRID_FROM)*('Dvd Calendar'!$Z$2195&lt;=GRID_TO)*('Dvd Calendar'!$Z$2195&gt;VAL_DATE)=0,"",'Dvd Calendar'!$Z$2195*1000000000+ISNUMBER('Dvd Calendar'!$Z$2196)*100000000+0*10000000+(N('Dvd Calendar'!$Z$2194)&gt;0)*(N('Dvd Calendar'!$Z$2194)&lt;=VAL_SERIAL)*1000000+58*1000+62))</f>
        <v/>
      </c>
      <c r="GO217" s="121">
        <f>IF(N('Dvd Calendar'!$AA$2195)=0,"",IF(('Dvd Calendar'!$AA$2195&gt;=GRID_FROM)*('Dvd Calendar'!$AA$2195&lt;=GRID_TO)*('Dvd Calendar'!$AA$2195&gt;VAL_DATE)=0,"",'Dvd Calendar'!$AA$2195*1000000000+ISNUMBER('Dvd Calendar'!$AA$2196)*100000000+0*10000000+(N('Dvd Calendar'!$AA$2194)&gt;0)*(N('Dvd Calendar'!$AA$2194)&lt;=VAL_SERIAL)*1000000+58*1000+63))</f>
        <v/>
      </c>
      <c r="GP217" s="121">
        <f>IF(N('Dvd Calendar'!$AB$2195)=0,"",IF(('Dvd Calendar'!$AB$2195&gt;=GRID_FROM)*('Dvd Calendar'!$AB$2195&lt;=GRID_TO)*('Dvd Calendar'!$AB$2195&gt;VAL_DATE)=0,"",'Dvd Calendar'!$AB$2195*1000000000+ISNUMBER('Dvd Calendar'!$AB$2196)*100000000+0*10000000+(N('Dvd Calendar'!$AB$2194)&gt;0)*(N('Dvd Calendar'!$AB$2194)&lt;=VAL_SERIAL)*1000000+58*1000+64))</f>
        <v/>
      </c>
      <c r="GQ217" s="121">
        <f>IF(N('Dvd Calendar'!$AC$2195)=0,"",IF(('Dvd Calendar'!$AC$2195&gt;=GRID_FROM)*('Dvd Calendar'!$AC$2195&lt;=GRID_TO)*('Dvd Calendar'!$AC$2195&gt;VAL_DATE)=0,"",'Dvd Calendar'!$AC$2195*1000000000+ISNUMBER('Dvd Calendar'!$AC$2196)*100000000+0*10000000+(N('Dvd Calendar'!$AC$2194)&gt;0)*(N('Dvd Calendar'!$AC$2194)&lt;=VAL_SERIAL)*1000000+58*1000+65))</f>
        <v/>
      </c>
    </row>
    <row r="218">
      <c r="B218" s="2">
        <f>IF(HSCEI!$C$65="","",HSCEI!$C$65)</f>
        <v/>
      </c>
      <c r="C218" s="161">
        <f>IF(EE218="","",IF(ISNUMBER('Dvd Calendar'!$E$2202)=FALSE,"",IF((('Dvd Calendar'!$E$2204=TYPE1)*(TYPE1&lt;&gt;"")+('Dvd Calendar'!$E$2204=TYPE2)*(TYPE2&lt;&gt;"")+('Dvd Calendar'!$E$2204=TYPE3)*(TYPE3&lt;&gt;"")+('Dvd Calendar'!$E$2204=TYPE4)*(TYPE4&lt;&gt;"")+('Dvd Calendar'!$E$2204=SPECIAL_LBL)*(INC_SPECIALS="Y"))=0,"",'Dvd Calendar'!$E$2202)))</f>
        <v/>
      </c>
      <c r="D218" s="161">
        <f>IF(EF218="","",IF(ISNUMBER('Dvd Calendar'!$F$2202)=FALSE,"",IF((('Dvd Calendar'!$F$2204=TYPE1)*(TYPE1&lt;&gt;"")+('Dvd Calendar'!$F$2204=TYPE2)*(TYPE2&lt;&gt;"")+('Dvd Calendar'!$F$2204=TYPE3)*(TYPE3&lt;&gt;"")+('Dvd Calendar'!$F$2204=TYPE4)*(TYPE4&lt;&gt;"")+('Dvd Calendar'!$F$2204=SPECIAL_LBL)*(INC_SPECIALS="Y"))=0,"",'Dvd Calendar'!$F$2202)))</f>
        <v/>
      </c>
      <c r="E218" s="161">
        <f>IF(EG218="","",IF(ISNUMBER('Dvd Calendar'!$G$2202)=FALSE,"",IF((('Dvd Calendar'!$G$2204=TYPE1)*(TYPE1&lt;&gt;"")+('Dvd Calendar'!$G$2204=TYPE2)*(TYPE2&lt;&gt;"")+('Dvd Calendar'!$G$2204=TYPE3)*(TYPE3&lt;&gt;"")+('Dvd Calendar'!$G$2204=TYPE4)*(TYPE4&lt;&gt;"")+('Dvd Calendar'!$G$2204=SPECIAL_LBL)*(INC_SPECIALS="Y"))=0,"",'Dvd Calendar'!$G$2202)))</f>
        <v/>
      </c>
      <c r="F218" s="161">
        <f>IF(EH218="","",IF(ISNUMBER('Dvd Calendar'!$H$2202)=FALSE,"",IF((('Dvd Calendar'!$H$2204=TYPE1)*(TYPE1&lt;&gt;"")+('Dvd Calendar'!$H$2204=TYPE2)*(TYPE2&lt;&gt;"")+('Dvd Calendar'!$H$2204=TYPE3)*(TYPE3&lt;&gt;"")+('Dvd Calendar'!$H$2204=TYPE4)*(TYPE4&lt;&gt;"")+('Dvd Calendar'!$H$2204=SPECIAL_LBL)*(INC_SPECIALS="Y"))=0,"",'Dvd Calendar'!$H$2202)))</f>
        <v/>
      </c>
      <c r="G218" s="161">
        <f>IF(EI218="","",IF(ISNUMBER('Dvd Calendar'!$I$2202)=FALSE,"",IF((('Dvd Calendar'!$I$2204=TYPE1)*(TYPE1&lt;&gt;"")+('Dvd Calendar'!$I$2204=TYPE2)*(TYPE2&lt;&gt;"")+('Dvd Calendar'!$I$2204=TYPE3)*(TYPE3&lt;&gt;"")+('Dvd Calendar'!$I$2204=TYPE4)*(TYPE4&lt;&gt;"")+('Dvd Calendar'!$I$2204=SPECIAL_LBL)*(INC_SPECIALS="Y"))=0,"",'Dvd Calendar'!$I$2202)))</f>
        <v/>
      </c>
      <c r="H218" s="161">
        <f>IF(EJ218="","",IF(ISNUMBER('Dvd Calendar'!$J$2202)=FALSE,"",IF((('Dvd Calendar'!$J$2204=TYPE1)*(TYPE1&lt;&gt;"")+('Dvd Calendar'!$J$2204=TYPE2)*(TYPE2&lt;&gt;"")+('Dvd Calendar'!$J$2204=TYPE3)*(TYPE3&lt;&gt;"")+('Dvd Calendar'!$J$2204=TYPE4)*(TYPE4&lt;&gt;"")+('Dvd Calendar'!$J$2204=SPECIAL_LBL)*(INC_SPECIALS="Y"))=0,"",'Dvd Calendar'!$J$2202)))</f>
        <v/>
      </c>
      <c r="I218" s="161">
        <f>IF(EK218="","",IF(ISNUMBER('Dvd Calendar'!$K$2202)=FALSE,"",IF((('Dvd Calendar'!$K$2204=TYPE1)*(TYPE1&lt;&gt;"")+('Dvd Calendar'!$K$2204=TYPE2)*(TYPE2&lt;&gt;"")+('Dvd Calendar'!$K$2204=TYPE3)*(TYPE3&lt;&gt;"")+('Dvd Calendar'!$K$2204=TYPE4)*(TYPE4&lt;&gt;"")+('Dvd Calendar'!$K$2204=SPECIAL_LBL)*(INC_SPECIALS="Y"))=0,"",'Dvd Calendar'!$K$2202)))</f>
        <v/>
      </c>
      <c r="J218" s="161">
        <f>IF(EL218="","",IF(ISNUMBER('Dvd Calendar'!$L$2202)=FALSE,"",IF((('Dvd Calendar'!$L$2204=TYPE1)*(TYPE1&lt;&gt;"")+('Dvd Calendar'!$L$2204=TYPE2)*(TYPE2&lt;&gt;"")+('Dvd Calendar'!$L$2204=TYPE3)*(TYPE3&lt;&gt;"")+('Dvd Calendar'!$L$2204=TYPE4)*(TYPE4&lt;&gt;"")+('Dvd Calendar'!$L$2204=SPECIAL_LBL)*(INC_SPECIALS="Y"))=0,"",'Dvd Calendar'!$L$2202)))</f>
        <v/>
      </c>
      <c r="K218" s="161">
        <f>IF(EM218="","",IF(ISNUMBER('Dvd Calendar'!$M$2202)=FALSE,"",IF((('Dvd Calendar'!$M$2204=TYPE1)*(TYPE1&lt;&gt;"")+('Dvd Calendar'!$M$2204=TYPE2)*(TYPE2&lt;&gt;"")+('Dvd Calendar'!$M$2204=TYPE3)*(TYPE3&lt;&gt;"")+('Dvd Calendar'!$M$2204=TYPE4)*(TYPE4&lt;&gt;"")+('Dvd Calendar'!$M$2204=SPECIAL_LBL)*(INC_SPECIALS="Y"))=0,"",'Dvd Calendar'!$M$2202)))</f>
        <v/>
      </c>
      <c r="L218" s="161">
        <f>IF(EN218="","",IF(ISNUMBER('Dvd Calendar'!$N$2202)=FALSE,"",IF((('Dvd Calendar'!$N$2204=TYPE1)*(TYPE1&lt;&gt;"")+('Dvd Calendar'!$N$2204=TYPE2)*(TYPE2&lt;&gt;"")+('Dvd Calendar'!$N$2204=TYPE3)*(TYPE3&lt;&gt;"")+('Dvd Calendar'!$N$2204=TYPE4)*(TYPE4&lt;&gt;"")+('Dvd Calendar'!$N$2204=SPECIAL_LBL)*(INC_SPECIALS="Y"))=0,"",'Dvd Calendar'!$N$2202)))</f>
        <v/>
      </c>
      <c r="M218" s="161">
        <f>IF(EO218="","",IF(ISNUMBER('Dvd Calendar'!$O$2202)=FALSE,"",IF((('Dvd Calendar'!$O$2204=TYPE1)*(TYPE1&lt;&gt;"")+('Dvd Calendar'!$O$2204=TYPE2)*(TYPE2&lt;&gt;"")+('Dvd Calendar'!$O$2204=TYPE3)*(TYPE3&lt;&gt;"")+('Dvd Calendar'!$O$2204=TYPE4)*(TYPE4&lt;&gt;"")+('Dvd Calendar'!$O$2204=SPECIAL_LBL)*(INC_SPECIALS="Y"))=0,"",'Dvd Calendar'!$O$2202)))</f>
        <v/>
      </c>
      <c r="N218" s="161">
        <f>IF(EP218="","",IF(ISNUMBER('Dvd Calendar'!$P$2202)=FALSE,"",IF((('Dvd Calendar'!$P$2204=TYPE1)*(TYPE1&lt;&gt;"")+('Dvd Calendar'!$P$2204=TYPE2)*(TYPE2&lt;&gt;"")+('Dvd Calendar'!$P$2204=TYPE3)*(TYPE3&lt;&gt;"")+('Dvd Calendar'!$P$2204=TYPE4)*(TYPE4&lt;&gt;"")+('Dvd Calendar'!$P$2204=SPECIAL_LBL)*(INC_SPECIALS="Y"))=0,"",'Dvd Calendar'!$P$2202)))</f>
        <v/>
      </c>
      <c r="O218" s="161">
        <f>IF(EQ218="","",IF(ISNUMBER('Dvd Calendar'!$Q$2202)=FALSE,"",IF((('Dvd Calendar'!$Q$2204=TYPE1)*(TYPE1&lt;&gt;"")+('Dvd Calendar'!$Q$2204=TYPE2)*(TYPE2&lt;&gt;"")+('Dvd Calendar'!$Q$2204=TYPE3)*(TYPE3&lt;&gt;"")+('Dvd Calendar'!$Q$2204=TYPE4)*(TYPE4&lt;&gt;"")+('Dvd Calendar'!$Q$2204=SPECIAL_LBL)*(INC_SPECIALS="Y"))=0,"",'Dvd Calendar'!$Q$2202)))</f>
        <v/>
      </c>
      <c r="P218" s="161">
        <f>IF(ER218="","",IF(ISNUMBER('Dvd Calendar'!$R$2202)=FALSE,"",IF((('Dvd Calendar'!$R$2204=TYPE1)*(TYPE1&lt;&gt;"")+('Dvd Calendar'!$R$2204=TYPE2)*(TYPE2&lt;&gt;"")+('Dvd Calendar'!$R$2204=TYPE3)*(TYPE3&lt;&gt;"")+('Dvd Calendar'!$R$2204=TYPE4)*(TYPE4&lt;&gt;"")+('Dvd Calendar'!$R$2204=SPECIAL_LBL)*(INC_SPECIALS="Y"))=0,"",'Dvd Calendar'!$R$2202)))</f>
        <v/>
      </c>
      <c r="Q218" s="161">
        <f>IF(ES218="","",IF(ISNUMBER('Dvd Calendar'!$S$2202)=FALSE,"",IF((('Dvd Calendar'!$S$2204=TYPE1)*(TYPE1&lt;&gt;"")+('Dvd Calendar'!$S$2204=TYPE2)*(TYPE2&lt;&gt;"")+('Dvd Calendar'!$S$2204=TYPE3)*(TYPE3&lt;&gt;"")+('Dvd Calendar'!$S$2204=TYPE4)*(TYPE4&lt;&gt;"")+('Dvd Calendar'!$S$2204=SPECIAL_LBL)*(INC_SPECIALS="Y"))=0,"",'Dvd Calendar'!$S$2202)))</f>
        <v/>
      </c>
      <c r="R218" s="161">
        <f>IF(ET218="","",IF(ISNUMBER('Dvd Calendar'!$T$2202)=FALSE,"",IF((('Dvd Calendar'!$T$2204=TYPE1)*(TYPE1&lt;&gt;"")+('Dvd Calendar'!$T$2204=TYPE2)*(TYPE2&lt;&gt;"")+('Dvd Calendar'!$T$2204=TYPE3)*(TYPE3&lt;&gt;"")+('Dvd Calendar'!$T$2204=TYPE4)*(TYPE4&lt;&gt;"")+('Dvd Calendar'!$T$2204=SPECIAL_LBL)*(INC_SPECIALS="Y"))=0,"",'Dvd Calendar'!$T$2202)))</f>
        <v/>
      </c>
      <c r="S218" s="161">
        <f>IF(EU218="","",IF(ISNUMBER('Dvd Calendar'!$U$2202)=FALSE,"",IF((('Dvd Calendar'!$U$2204=TYPE1)*(TYPE1&lt;&gt;"")+('Dvd Calendar'!$U$2204=TYPE2)*(TYPE2&lt;&gt;"")+('Dvd Calendar'!$U$2204=TYPE3)*(TYPE3&lt;&gt;"")+('Dvd Calendar'!$U$2204=TYPE4)*(TYPE4&lt;&gt;"")+('Dvd Calendar'!$U$2204=SPECIAL_LBL)*(INC_SPECIALS="Y"))=0,"",'Dvd Calendar'!$U$2202)))</f>
        <v/>
      </c>
      <c r="T218" s="161">
        <f>IF(EV218="","",IF(ISNUMBER('Dvd Calendar'!$V$2202)=FALSE,"",IF((('Dvd Calendar'!$V$2204=TYPE1)*(TYPE1&lt;&gt;"")+('Dvd Calendar'!$V$2204=TYPE2)*(TYPE2&lt;&gt;"")+('Dvd Calendar'!$V$2204=TYPE3)*(TYPE3&lt;&gt;"")+('Dvd Calendar'!$V$2204=TYPE4)*(TYPE4&lt;&gt;"")+('Dvd Calendar'!$V$2204=SPECIAL_LBL)*(INC_SPECIALS="Y"))=0,"",'Dvd Calendar'!$V$2202)))</f>
        <v/>
      </c>
      <c r="U218" s="161">
        <f>IF(EW218="","",IF(ISNUMBER('Dvd Calendar'!$W$2202)=FALSE,"",IF((('Dvd Calendar'!$W$2204=TYPE1)*(TYPE1&lt;&gt;"")+('Dvd Calendar'!$W$2204=TYPE2)*(TYPE2&lt;&gt;"")+('Dvd Calendar'!$W$2204=TYPE3)*(TYPE3&lt;&gt;"")+('Dvd Calendar'!$W$2204=TYPE4)*(TYPE4&lt;&gt;"")+('Dvd Calendar'!$W$2204=SPECIAL_LBL)*(INC_SPECIALS="Y"))=0,"",'Dvd Calendar'!$W$2202)))</f>
        <v/>
      </c>
      <c r="V218" s="161">
        <f>IF(EX218="","",IF(ISNUMBER('Dvd Calendar'!$X$2202)=FALSE,"",IF((('Dvd Calendar'!$X$2204=TYPE1)*(TYPE1&lt;&gt;"")+('Dvd Calendar'!$X$2204=TYPE2)*(TYPE2&lt;&gt;"")+('Dvd Calendar'!$X$2204=TYPE3)*(TYPE3&lt;&gt;"")+('Dvd Calendar'!$X$2204=TYPE4)*(TYPE4&lt;&gt;"")+('Dvd Calendar'!$X$2204=SPECIAL_LBL)*(INC_SPECIALS="Y"))=0,"",'Dvd Calendar'!$X$2202)))</f>
        <v/>
      </c>
      <c r="W218" s="161">
        <f>IF(EY218="","",IF(ISNUMBER('Dvd Calendar'!$Y$2202)=FALSE,"",IF((('Dvd Calendar'!$Y$2204=TYPE1)*(TYPE1&lt;&gt;"")+('Dvd Calendar'!$Y$2204=TYPE2)*(TYPE2&lt;&gt;"")+('Dvd Calendar'!$Y$2204=TYPE3)*(TYPE3&lt;&gt;"")+('Dvd Calendar'!$Y$2204=TYPE4)*(TYPE4&lt;&gt;"")+('Dvd Calendar'!$Y$2204=SPECIAL_LBL)*(INC_SPECIALS="Y"))=0,"",'Dvd Calendar'!$Y$2202)))</f>
        <v/>
      </c>
      <c r="X218" s="161">
        <f>IF(EZ218="","",IF(ISNUMBER('Dvd Calendar'!$Z$2202)=FALSE,"",IF((('Dvd Calendar'!$Z$2204=TYPE1)*(TYPE1&lt;&gt;"")+('Dvd Calendar'!$Z$2204=TYPE2)*(TYPE2&lt;&gt;"")+('Dvd Calendar'!$Z$2204=TYPE3)*(TYPE3&lt;&gt;"")+('Dvd Calendar'!$Z$2204=TYPE4)*(TYPE4&lt;&gt;"")+('Dvd Calendar'!$Z$2204=SPECIAL_LBL)*(INC_SPECIALS="Y"))=0,"",'Dvd Calendar'!$Z$2202)))</f>
        <v/>
      </c>
      <c r="Y218" s="161">
        <f>IF(FA218="","",IF(ISNUMBER('Dvd Calendar'!$AA$2202)=FALSE,"",IF((('Dvd Calendar'!$AA$2204=TYPE1)*(TYPE1&lt;&gt;"")+('Dvd Calendar'!$AA$2204=TYPE2)*(TYPE2&lt;&gt;"")+('Dvd Calendar'!$AA$2204=TYPE3)*(TYPE3&lt;&gt;"")+('Dvd Calendar'!$AA$2204=TYPE4)*(TYPE4&lt;&gt;"")+('Dvd Calendar'!$AA$2204=SPECIAL_LBL)*(INC_SPECIALS="Y"))=0,"",'Dvd Calendar'!$AA$2202)))</f>
        <v/>
      </c>
      <c r="Z218" s="161">
        <f>IF(FB218="","",IF(ISNUMBER('Dvd Calendar'!$AB$2202)=FALSE,"",IF((('Dvd Calendar'!$AB$2204=TYPE1)*(TYPE1&lt;&gt;"")+('Dvd Calendar'!$AB$2204=TYPE2)*(TYPE2&lt;&gt;"")+('Dvd Calendar'!$AB$2204=TYPE3)*(TYPE3&lt;&gt;"")+('Dvd Calendar'!$AB$2204=TYPE4)*(TYPE4&lt;&gt;"")+('Dvd Calendar'!$AB$2204=SPECIAL_LBL)*(INC_SPECIALS="Y"))=0,"",'Dvd Calendar'!$AB$2202)))</f>
        <v/>
      </c>
      <c r="AA218" s="161">
        <f>IF(FC218="","",IF(ISNUMBER('Dvd Calendar'!$AC$2202)=FALSE,"",IF((('Dvd Calendar'!$AC$2204=TYPE1)*(TYPE1&lt;&gt;"")+('Dvd Calendar'!$AC$2204=TYPE2)*(TYPE2&lt;&gt;"")+('Dvd Calendar'!$AC$2204=TYPE3)*(TYPE3&lt;&gt;"")+('Dvd Calendar'!$AC$2204=TYPE4)*(TYPE4&lt;&gt;"")+('Dvd Calendar'!$AC$2204=SPECIAL_LBL)*(INC_SPECIALS="Y"))=0,"",'Dvd Calendar'!$AC$2202)))</f>
        <v/>
      </c>
      <c r="AB218" s="161">
        <f>IF(FD218="","",IF(ISNUMBER('Dvd Calendar'!$AD$2202)=FALSE,"",IF((('Dvd Calendar'!$AD$2204=TYPE1)*(TYPE1&lt;&gt;"")+('Dvd Calendar'!$AD$2204=TYPE2)*(TYPE2&lt;&gt;"")+('Dvd Calendar'!$AD$2204=TYPE3)*(TYPE3&lt;&gt;"")+('Dvd Calendar'!$AD$2204=TYPE4)*(TYPE4&lt;&gt;"")+('Dvd Calendar'!$AD$2204=SPECIAL_LBL)*(INC_SPECIALS="Y"))=0,"",'Dvd Calendar'!$AD$2202)))</f>
        <v/>
      </c>
      <c r="AC218" s="161">
        <f>IF(FE218="","",IF(ISNUMBER('Dvd Calendar'!$AE$2202)=FALSE,"",IF((('Dvd Calendar'!$AE$2204=TYPE1)*(TYPE1&lt;&gt;"")+('Dvd Calendar'!$AE$2204=TYPE2)*(TYPE2&lt;&gt;"")+('Dvd Calendar'!$AE$2204=TYPE3)*(TYPE3&lt;&gt;"")+('Dvd Calendar'!$AE$2204=TYPE4)*(TYPE4&lt;&gt;"")+('Dvd Calendar'!$AE$2204=SPECIAL_LBL)*(INC_SPECIALS="Y"))=0,"",'Dvd Calendar'!$AE$2202)))</f>
        <v/>
      </c>
      <c r="AD218" s="161">
        <f>IF(FF218="","",IF(ISNUMBER('Dvd Calendar'!$AF$2202)=FALSE,"",IF((('Dvd Calendar'!$AF$2204=TYPE1)*(TYPE1&lt;&gt;"")+('Dvd Calendar'!$AF$2204=TYPE2)*(TYPE2&lt;&gt;"")+('Dvd Calendar'!$AF$2204=TYPE3)*(TYPE3&lt;&gt;"")+('Dvd Calendar'!$AF$2204=TYPE4)*(TYPE4&lt;&gt;"")+('Dvd Calendar'!$AF$2204=SPECIAL_LBL)*(INC_SPECIALS="Y"))=0,"",'Dvd Calendar'!$AF$2202)))</f>
        <v/>
      </c>
      <c r="AE218" s="161">
        <f>IF(FG218="","",IF(ISNUMBER('Dvd Calendar'!$AG$2202)=FALSE,"",IF((('Dvd Calendar'!$AG$2204=TYPE1)*(TYPE1&lt;&gt;"")+('Dvd Calendar'!$AG$2204=TYPE2)*(TYPE2&lt;&gt;"")+('Dvd Calendar'!$AG$2204=TYPE3)*(TYPE3&lt;&gt;"")+('Dvd Calendar'!$AG$2204=TYPE4)*(TYPE4&lt;&gt;"")+('Dvd Calendar'!$AG$2204=SPECIAL_LBL)*(INC_SPECIALS="Y"))=0,"",'Dvd Calendar'!$AG$2202)))</f>
        <v/>
      </c>
      <c r="AF218" s="161">
        <f>IF(FH218="","",IF(ISNUMBER('Dvd Calendar'!$AH$2202)=FALSE,"",IF((('Dvd Calendar'!$AH$2204=TYPE1)*(TYPE1&lt;&gt;"")+('Dvd Calendar'!$AH$2204=TYPE2)*(TYPE2&lt;&gt;"")+('Dvd Calendar'!$AH$2204=TYPE3)*(TYPE3&lt;&gt;"")+('Dvd Calendar'!$AH$2204=TYPE4)*(TYPE4&lt;&gt;"")+('Dvd Calendar'!$AH$2204=SPECIAL_LBL)*(INC_SPECIALS="Y"))=0,"",'Dvd Calendar'!$AH$2202)))</f>
        <v/>
      </c>
      <c r="AG218" s="161">
        <f>IF(FI218="","",IF(ISNUMBER('Dvd Calendar'!$AI$2202)=FALSE,"",IF((('Dvd Calendar'!$AI$2204=TYPE1)*(TYPE1&lt;&gt;"")+('Dvd Calendar'!$AI$2204=TYPE2)*(TYPE2&lt;&gt;"")+('Dvd Calendar'!$AI$2204=TYPE3)*(TYPE3&lt;&gt;"")+('Dvd Calendar'!$AI$2204=TYPE4)*(TYPE4&lt;&gt;"")+('Dvd Calendar'!$AI$2204=SPECIAL_LBL)*(INC_SPECIALS="Y"))=0,"",'Dvd Calendar'!$AI$2202)))</f>
        <v/>
      </c>
      <c r="AH218" s="161">
        <f>IF(FJ218="","",IF(ISNUMBER('Dvd Calendar'!$AJ$2202)=FALSE,"",IF((('Dvd Calendar'!$AJ$2204=TYPE1)*(TYPE1&lt;&gt;"")+('Dvd Calendar'!$AJ$2204=TYPE2)*(TYPE2&lt;&gt;"")+('Dvd Calendar'!$AJ$2204=TYPE3)*(TYPE3&lt;&gt;"")+('Dvd Calendar'!$AJ$2204=TYPE4)*(TYPE4&lt;&gt;"")+('Dvd Calendar'!$AJ$2204=SPECIAL_LBL)*(INC_SPECIALS="Y"))=0,"",'Dvd Calendar'!$AJ$2202)))</f>
        <v/>
      </c>
      <c r="AI218" s="161">
        <f>IF(FK218="","",IF(ISNUMBER('Dvd Calendar'!$AK$2202)=FALSE,"",IF((('Dvd Calendar'!$AK$2204=TYPE1)*(TYPE1&lt;&gt;"")+('Dvd Calendar'!$AK$2204=TYPE2)*(TYPE2&lt;&gt;"")+('Dvd Calendar'!$AK$2204=TYPE3)*(TYPE3&lt;&gt;"")+('Dvd Calendar'!$AK$2204=TYPE4)*(TYPE4&lt;&gt;"")+('Dvd Calendar'!$AK$2204=SPECIAL_LBL)*(INC_SPECIALS="Y"))=0,"",'Dvd Calendar'!$AK$2202)))</f>
        <v/>
      </c>
      <c r="AJ218" s="161">
        <f>IF(FL218="","",IF(ISNUMBER('Dvd Calendar'!$AL$2202)=FALSE,"",IF((('Dvd Calendar'!$AL$2204=TYPE1)*(TYPE1&lt;&gt;"")+('Dvd Calendar'!$AL$2204=TYPE2)*(TYPE2&lt;&gt;"")+('Dvd Calendar'!$AL$2204=TYPE3)*(TYPE3&lt;&gt;"")+('Dvd Calendar'!$AL$2204=TYPE4)*(TYPE4&lt;&gt;"")+('Dvd Calendar'!$AL$2204=SPECIAL_LBL)*(INC_SPECIALS="Y"))=0,"",'Dvd Calendar'!$AL$2202)))</f>
        <v/>
      </c>
      <c r="AK218" s="161">
        <f>IF(FM218="","",IF(ISNUMBER('Dvd Calendar'!$AM$2202)=FALSE,"",IF((('Dvd Calendar'!$AM$2204=TYPE1)*(TYPE1&lt;&gt;"")+('Dvd Calendar'!$AM$2204=TYPE2)*(TYPE2&lt;&gt;"")+('Dvd Calendar'!$AM$2204=TYPE3)*(TYPE3&lt;&gt;"")+('Dvd Calendar'!$AM$2204=TYPE4)*(TYPE4&lt;&gt;"")+('Dvd Calendar'!$AM$2204=SPECIAL_LBL)*(INC_SPECIALS="Y"))=0,"",'Dvd Calendar'!$AM$2202)))</f>
        <v/>
      </c>
      <c r="AL218" s="161">
        <f>IF(FN218="","",IF(ISNUMBER('Dvd Calendar'!$AN$2202)=FALSE,"",IF((('Dvd Calendar'!$AN$2204=TYPE1)*(TYPE1&lt;&gt;"")+('Dvd Calendar'!$AN$2204=TYPE2)*(TYPE2&lt;&gt;"")+('Dvd Calendar'!$AN$2204=TYPE3)*(TYPE3&lt;&gt;"")+('Dvd Calendar'!$AN$2204=TYPE4)*(TYPE4&lt;&gt;"")+('Dvd Calendar'!$AN$2204=SPECIAL_LBL)*(INC_SPECIALS="Y"))=0,"",'Dvd Calendar'!$AN$2202)))</f>
        <v/>
      </c>
      <c r="AM218" s="161">
        <f>IF(FO218="","",IF(ISNUMBER('Dvd Calendar'!$AO$2202)=FALSE,"",IF((('Dvd Calendar'!$AO$2204=TYPE1)*(TYPE1&lt;&gt;"")+('Dvd Calendar'!$AO$2204=TYPE2)*(TYPE2&lt;&gt;"")+('Dvd Calendar'!$AO$2204=TYPE3)*(TYPE3&lt;&gt;"")+('Dvd Calendar'!$AO$2204=TYPE4)*(TYPE4&lt;&gt;"")+('Dvd Calendar'!$AO$2204=SPECIAL_LBL)*(INC_SPECIALS="Y"))=0,"",'Dvd Calendar'!$AO$2202)))</f>
        <v/>
      </c>
      <c r="AN218" s="161">
        <f>IF(FP218="","",IF(ISNUMBER('Dvd Calendar'!$AP$2202)=FALSE,"",IF((('Dvd Calendar'!$AP$2204=TYPE1)*(TYPE1&lt;&gt;"")+('Dvd Calendar'!$AP$2204=TYPE2)*(TYPE2&lt;&gt;"")+('Dvd Calendar'!$AP$2204=TYPE3)*(TYPE3&lt;&gt;"")+('Dvd Calendar'!$AP$2204=TYPE4)*(TYPE4&lt;&gt;"")+('Dvd Calendar'!$AP$2204=SPECIAL_LBL)*(INC_SPECIALS="Y"))=0,"",'Dvd Calendar'!$AP$2202)))</f>
        <v/>
      </c>
      <c r="AO218" s="161">
        <f>IF(FQ218="","",IF(ISNUMBER('Dvd Calendar'!$AQ$2202)=FALSE,"",IF((('Dvd Calendar'!$AQ$2204=TYPE1)*(TYPE1&lt;&gt;"")+('Dvd Calendar'!$AQ$2204=TYPE2)*(TYPE2&lt;&gt;"")+('Dvd Calendar'!$AQ$2204=TYPE3)*(TYPE3&lt;&gt;"")+('Dvd Calendar'!$AQ$2204=TYPE4)*(TYPE4&lt;&gt;"")+('Dvd Calendar'!$AQ$2204=SPECIAL_LBL)*(INC_SPECIALS="Y"))=0,"",'Dvd Calendar'!$AQ$2202)))</f>
        <v/>
      </c>
      <c r="AP218" s="161">
        <f>IF(FR218="","",IF(ISNUMBER('Dvd Calendar'!$AR$2202)=FALSE,"",IF((('Dvd Calendar'!$AR$2204=TYPE1)*(TYPE1&lt;&gt;"")+('Dvd Calendar'!$AR$2204=TYPE2)*(TYPE2&lt;&gt;"")+('Dvd Calendar'!$AR$2204=TYPE3)*(TYPE3&lt;&gt;"")+('Dvd Calendar'!$AR$2204=TYPE4)*(TYPE4&lt;&gt;"")+('Dvd Calendar'!$AR$2204=SPECIAL_LBL)*(INC_SPECIALS="Y"))=0,"",'Dvd Calendar'!$AR$2202)))</f>
        <v/>
      </c>
      <c r="AQ218" s="161">
        <f>IF(FS218="","",IF(ISNUMBER('Dvd Calendar'!$E$2207)=FALSE,"",'Dvd Calendar'!$E$2207))</f>
        <v/>
      </c>
      <c r="AR218" s="161">
        <f>IF(FT218="","",IF(ISNUMBER('Dvd Calendar'!$F$2207)=FALSE,"",'Dvd Calendar'!$F$2207))</f>
        <v/>
      </c>
      <c r="AS218" s="161">
        <f>IF(FU218="","",IF(ISNUMBER('Dvd Calendar'!$G$2207)=FALSE,"",'Dvd Calendar'!$G$2207))</f>
        <v/>
      </c>
      <c r="AT218" s="161">
        <f>IF(FV218="","",IF(ISNUMBER('Dvd Calendar'!$H$2207)=FALSE,"",'Dvd Calendar'!$H$2207))</f>
        <v/>
      </c>
      <c r="AU218" s="161">
        <f>IF(FW218="","",IF(ISNUMBER('Dvd Calendar'!$I$2207)=FALSE,"",'Dvd Calendar'!$I$2207))</f>
        <v/>
      </c>
      <c r="AV218" s="161">
        <f>IF(FX218="","",IF(ISNUMBER('Dvd Calendar'!$J$2207)=FALSE,"",'Dvd Calendar'!$J$2207))</f>
        <v/>
      </c>
      <c r="AW218" s="161">
        <f>IF(FY218="","",IF(ISNUMBER('Dvd Calendar'!$K$2207)=FALSE,"",'Dvd Calendar'!$K$2207))</f>
        <v/>
      </c>
      <c r="AX218" s="161">
        <f>IF(FZ218="","",IF(ISNUMBER('Dvd Calendar'!$L$2207)=FALSE,"",'Dvd Calendar'!$L$2207))</f>
        <v/>
      </c>
      <c r="AY218" s="161">
        <f>IF(GA218="","",IF(ISNUMBER('Dvd Calendar'!$M$2207)=FALSE,"",'Dvd Calendar'!$M$2207))</f>
        <v/>
      </c>
      <c r="AZ218" s="161">
        <f>IF(GB218="","",IF(ISNUMBER('Dvd Calendar'!$N$2207)=FALSE,"",'Dvd Calendar'!$N$2207))</f>
        <v/>
      </c>
      <c r="BA218" s="161">
        <f>IF(GC218="","",IF(ISNUMBER('Dvd Calendar'!$O$2207)=FALSE,"",'Dvd Calendar'!$O$2207))</f>
        <v/>
      </c>
      <c r="BB218" s="161">
        <f>IF(GD218="","",IF(ISNUMBER('Dvd Calendar'!$P$2207)=FALSE,"",'Dvd Calendar'!$P$2207))</f>
        <v/>
      </c>
      <c r="BC218" s="161">
        <f>IF(GE218="","",IF(ISNUMBER('Dvd Calendar'!$Q$2207)=FALSE,"",'Dvd Calendar'!$Q$2207))</f>
        <v/>
      </c>
      <c r="BD218" s="161">
        <f>IF(GF218="","",IF(ISNUMBER('Dvd Calendar'!$R$2207)=FALSE,"",'Dvd Calendar'!$R$2207))</f>
        <v/>
      </c>
      <c r="BE218" s="161">
        <f>IF(GG218="","",IF(ISNUMBER('Dvd Calendar'!$S$2207)=FALSE,"",'Dvd Calendar'!$S$2207))</f>
        <v/>
      </c>
      <c r="BF218" s="161">
        <f>IF(GH218="","",IF(ISNUMBER('Dvd Calendar'!$T$2207)=FALSE,"",'Dvd Calendar'!$T$2207))</f>
        <v/>
      </c>
      <c r="BG218" s="161">
        <f>IF(GI218="","",IF(ISNUMBER('Dvd Calendar'!$U$2207)=FALSE,"",'Dvd Calendar'!$U$2207))</f>
        <v/>
      </c>
      <c r="BH218" s="161">
        <f>IF(GJ218="","",IF(ISNUMBER('Dvd Calendar'!$V$2207)=FALSE,"",'Dvd Calendar'!$V$2207))</f>
        <v/>
      </c>
      <c r="BI218" s="161">
        <f>IF(GK218="","",IF(ISNUMBER('Dvd Calendar'!$W$2207)=FALSE,"",'Dvd Calendar'!$W$2207))</f>
        <v/>
      </c>
      <c r="BJ218" s="161">
        <f>IF(GL218="","",IF(ISNUMBER('Dvd Calendar'!$X$2207)=FALSE,"",'Dvd Calendar'!$X$2207))</f>
        <v/>
      </c>
      <c r="BK218" s="161">
        <f>IF(GM218="","",IF(ISNUMBER('Dvd Calendar'!$Y$2207)=FALSE,"",'Dvd Calendar'!$Y$2207))</f>
        <v/>
      </c>
      <c r="BL218" s="161">
        <f>IF(GN218="","",IF(ISNUMBER('Dvd Calendar'!$Z$2207)=FALSE,"",'Dvd Calendar'!$Z$2207))</f>
        <v/>
      </c>
      <c r="BM218" s="161">
        <f>IF(GO218="","",IF(ISNUMBER('Dvd Calendar'!$AA$2207)=FALSE,"",'Dvd Calendar'!$AA$2207))</f>
        <v/>
      </c>
      <c r="BN218" s="161">
        <f>IF(GP218="","",IF(ISNUMBER('Dvd Calendar'!$AB$2207)=FALSE,"",'Dvd Calendar'!$AB$2207))</f>
        <v/>
      </c>
      <c r="BO218" s="161">
        <f>IF(GQ218="","",IF(ISNUMBER('Dvd Calendar'!$AC$2207)=FALSE,"",'Dvd Calendar'!$AC$2207))</f>
        <v/>
      </c>
      <c r="BQ218" s="161">
        <f>IF(C218="","",IFERROR(C218*HSCEI!$B$65*HSCEI!$G$65/HSCEI!$B$3,""))</f>
        <v/>
      </c>
      <c r="BR218" s="161">
        <f>IF(D218="","",IFERROR(D218*HSCEI!$B$65*HSCEI!$G$65/HSCEI!$B$3,""))</f>
        <v/>
      </c>
      <c r="BS218" s="161">
        <f>IF(E218="","",IFERROR(E218*HSCEI!$B$65*HSCEI!$G$65/HSCEI!$B$3,""))</f>
        <v/>
      </c>
      <c r="BT218" s="161">
        <f>IF(F218="","",IFERROR(F218*HSCEI!$B$65*HSCEI!$G$65/HSCEI!$B$3,""))</f>
        <v/>
      </c>
      <c r="BU218" s="161">
        <f>IF(G218="","",IFERROR(G218*HSCEI!$B$65*HSCEI!$G$65/HSCEI!$B$3,""))</f>
        <v/>
      </c>
      <c r="BV218" s="161">
        <f>IF(H218="","",IFERROR(H218*HSCEI!$B$65*HSCEI!$G$65/HSCEI!$B$3,""))</f>
        <v/>
      </c>
      <c r="BW218" s="161">
        <f>IF(I218="","",IFERROR(I218*HSCEI!$B$65*HSCEI!$G$65/HSCEI!$B$3,""))</f>
        <v/>
      </c>
      <c r="BX218" s="161">
        <f>IF(J218="","",IFERROR(J218*HSCEI!$B$65*HSCEI!$G$65/HSCEI!$B$3,""))</f>
        <v/>
      </c>
      <c r="BY218" s="161">
        <f>IF(K218="","",IFERROR(K218*HSCEI!$B$65*HSCEI!$G$65/HSCEI!$B$3,""))</f>
        <v/>
      </c>
      <c r="BZ218" s="161">
        <f>IF(L218="","",IFERROR(L218*HSCEI!$B$65*HSCEI!$G$65/HSCEI!$B$3,""))</f>
        <v/>
      </c>
      <c r="CA218" s="161">
        <f>IF(M218="","",IFERROR(M218*HSCEI!$B$65*HSCEI!$G$65/HSCEI!$B$3,""))</f>
        <v/>
      </c>
      <c r="CB218" s="161">
        <f>IF(N218="","",IFERROR(N218*HSCEI!$B$65*HSCEI!$G$65/HSCEI!$B$3,""))</f>
        <v/>
      </c>
      <c r="CC218" s="161">
        <f>IF(O218="","",IFERROR(O218*HSCEI!$B$65*HSCEI!$G$65/HSCEI!$B$3,""))</f>
        <v/>
      </c>
      <c r="CD218" s="161">
        <f>IF(P218="","",IFERROR(P218*HSCEI!$B$65*HSCEI!$G$65/HSCEI!$B$3,""))</f>
        <v/>
      </c>
      <c r="CE218" s="161">
        <f>IF(Q218="","",IFERROR(Q218*HSCEI!$B$65*HSCEI!$G$65/HSCEI!$B$3,""))</f>
        <v/>
      </c>
      <c r="CF218" s="161">
        <f>IF(R218="","",IFERROR(R218*HSCEI!$B$65*HSCEI!$G$65/HSCEI!$B$3,""))</f>
        <v/>
      </c>
      <c r="CG218" s="161">
        <f>IF(S218="","",IFERROR(S218*HSCEI!$B$65*HSCEI!$G$65/HSCEI!$B$3,""))</f>
        <v/>
      </c>
      <c r="CH218" s="161">
        <f>IF(T218="","",IFERROR(T218*HSCEI!$B$65*HSCEI!$G$65/HSCEI!$B$3,""))</f>
        <v/>
      </c>
      <c r="CI218" s="161">
        <f>IF(U218="","",IFERROR(U218*HSCEI!$B$65*HSCEI!$G$65/HSCEI!$B$3,""))</f>
        <v/>
      </c>
      <c r="CJ218" s="161">
        <f>IF(V218="","",IFERROR(V218*HSCEI!$B$65*HSCEI!$G$65/HSCEI!$B$3,""))</f>
        <v/>
      </c>
      <c r="CK218" s="161">
        <f>IF(W218="","",IFERROR(W218*HSCEI!$B$65*HSCEI!$G$65/HSCEI!$B$3,""))</f>
        <v/>
      </c>
      <c r="CL218" s="161">
        <f>IF(X218="","",IFERROR(X218*HSCEI!$B$65*HSCEI!$G$65/HSCEI!$B$3,""))</f>
        <v/>
      </c>
      <c r="CM218" s="161">
        <f>IF(Y218="","",IFERROR(Y218*HSCEI!$B$65*HSCEI!$G$65/HSCEI!$B$3,""))</f>
        <v/>
      </c>
      <c r="CN218" s="161">
        <f>IF(Z218="","",IFERROR(Z218*HSCEI!$B$65*HSCEI!$G$65/HSCEI!$B$3,""))</f>
        <v/>
      </c>
      <c r="CO218" s="161">
        <f>IF(AA218="","",IFERROR(AA218*HSCEI!$B$65*HSCEI!$G$65/HSCEI!$B$3,""))</f>
        <v/>
      </c>
      <c r="CP218" s="161">
        <f>IF(AB218="","",IFERROR(AB218*HSCEI!$B$65*HSCEI!$G$65/HSCEI!$B$3,""))</f>
        <v/>
      </c>
      <c r="CQ218" s="161">
        <f>IF(AC218="","",IFERROR(AC218*HSCEI!$B$65*HSCEI!$G$65/HSCEI!$B$3,""))</f>
        <v/>
      </c>
      <c r="CR218" s="161">
        <f>IF(AD218="","",IFERROR(AD218*HSCEI!$B$65*HSCEI!$G$65/HSCEI!$B$3,""))</f>
        <v/>
      </c>
      <c r="CS218" s="161">
        <f>IF(AE218="","",IFERROR(AE218*HSCEI!$B$65*HSCEI!$G$65/HSCEI!$B$3,""))</f>
        <v/>
      </c>
      <c r="CT218" s="161">
        <f>IF(AF218="","",IFERROR(AF218*HSCEI!$B$65*HSCEI!$G$65/HSCEI!$B$3,""))</f>
        <v/>
      </c>
      <c r="CU218" s="161">
        <f>IF(AG218="","",IFERROR(AG218*HSCEI!$B$65*HSCEI!$G$65/HSCEI!$B$3,""))</f>
        <v/>
      </c>
      <c r="CV218" s="161">
        <f>IF(AH218="","",IFERROR(AH218*HSCEI!$B$65*HSCEI!$G$65/HSCEI!$B$3,""))</f>
        <v/>
      </c>
      <c r="CW218" s="161">
        <f>IF(AI218="","",IFERROR(AI218*HSCEI!$B$65*HSCEI!$G$65/HSCEI!$B$3,""))</f>
        <v/>
      </c>
      <c r="CX218" s="161">
        <f>IF(AJ218="","",IFERROR(AJ218*HSCEI!$B$65*HSCEI!$G$65/HSCEI!$B$3,""))</f>
        <v/>
      </c>
      <c r="CY218" s="161">
        <f>IF(AK218="","",IFERROR(AK218*HSCEI!$B$65*HSCEI!$G$65/HSCEI!$B$3,""))</f>
        <v/>
      </c>
      <c r="CZ218" s="161">
        <f>IF(AL218="","",IFERROR(AL218*HSCEI!$B$65*HSCEI!$G$65/HSCEI!$B$3,""))</f>
        <v/>
      </c>
      <c r="DA218" s="161">
        <f>IF(AM218="","",IFERROR(AM218*HSCEI!$B$65*HSCEI!$G$65/HSCEI!$B$3,""))</f>
        <v/>
      </c>
      <c r="DB218" s="161">
        <f>IF(AN218="","",IFERROR(AN218*HSCEI!$B$65*HSCEI!$G$65/HSCEI!$B$3,""))</f>
        <v/>
      </c>
      <c r="DC218" s="161">
        <f>IF(AO218="","",IFERROR(AO218*HSCEI!$B$65*HSCEI!$G$65/HSCEI!$B$3,""))</f>
        <v/>
      </c>
      <c r="DD218" s="161">
        <f>IF(AP218="","",IFERROR(AP218*HSCEI!$B$65*HSCEI!$G$65/HSCEI!$B$3,""))</f>
        <v/>
      </c>
      <c r="DE218" s="161">
        <f>IF(AQ218="","",IFERROR(AQ218*HSCEI!$B$65*HSCEI!$G$65/HSCEI!$B$3,""))</f>
        <v/>
      </c>
      <c r="DF218" s="161">
        <f>IF(AR218="","",IFERROR(AR218*HSCEI!$B$65*HSCEI!$G$65/HSCEI!$B$3,""))</f>
        <v/>
      </c>
      <c r="DG218" s="161">
        <f>IF(AS218="","",IFERROR(AS218*HSCEI!$B$65*HSCEI!$G$65/HSCEI!$B$3,""))</f>
        <v/>
      </c>
      <c r="DH218" s="161">
        <f>IF(AT218="","",IFERROR(AT218*HSCEI!$B$65*HSCEI!$G$65/HSCEI!$B$3,""))</f>
        <v/>
      </c>
      <c r="DI218" s="161">
        <f>IF(AU218="","",IFERROR(AU218*HSCEI!$B$65*HSCEI!$G$65/HSCEI!$B$3,""))</f>
        <v/>
      </c>
      <c r="DJ218" s="161">
        <f>IF(AV218="","",IFERROR(AV218*HSCEI!$B$65*HSCEI!$G$65/HSCEI!$B$3,""))</f>
        <v/>
      </c>
      <c r="DK218" s="161">
        <f>IF(AW218="","",IFERROR(AW218*HSCEI!$B$65*HSCEI!$G$65/HSCEI!$B$3,""))</f>
        <v/>
      </c>
      <c r="DL218" s="161">
        <f>IF(AX218="","",IFERROR(AX218*HSCEI!$B$65*HSCEI!$G$65/HSCEI!$B$3,""))</f>
        <v/>
      </c>
      <c r="DM218" s="161">
        <f>IF(AY218="","",IFERROR(AY218*HSCEI!$B$65*HSCEI!$G$65/HSCEI!$B$3,""))</f>
        <v/>
      </c>
      <c r="DN218" s="161">
        <f>IF(AZ218="","",IFERROR(AZ218*HSCEI!$B$65*HSCEI!$G$65/HSCEI!$B$3,""))</f>
        <v/>
      </c>
      <c r="DO218" s="161">
        <f>IF(BA218="","",IFERROR(BA218*HSCEI!$B$65*HSCEI!$G$65/HSCEI!$B$3,""))</f>
        <v/>
      </c>
      <c r="DP218" s="161">
        <f>IF(BB218="","",IFERROR(BB218*HSCEI!$B$65*HSCEI!$G$65/HSCEI!$B$3,""))</f>
        <v/>
      </c>
      <c r="DQ218" s="161">
        <f>IF(BC218="","",IFERROR(BC218*HSCEI!$B$65*HSCEI!$G$65/HSCEI!$B$3,""))</f>
        <v/>
      </c>
      <c r="DR218" s="161">
        <f>IF(BD218="","",IFERROR(BD218*HSCEI!$B$65*HSCEI!$G$65/HSCEI!$B$3,""))</f>
        <v/>
      </c>
      <c r="DS218" s="161">
        <f>IF(BE218="","",IFERROR(BE218*HSCEI!$B$65*HSCEI!$G$65/HSCEI!$B$3,""))</f>
        <v/>
      </c>
      <c r="DT218" s="161">
        <f>IF(BF218="","",IFERROR(BF218*HSCEI!$B$65*HSCEI!$G$65/HSCEI!$B$3,""))</f>
        <v/>
      </c>
      <c r="DU218" s="161">
        <f>IF(BG218="","",IFERROR(BG218*HSCEI!$B$65*HSCEI!$G$65/HSCEI!$B$3,""))</f>
        <v/>
      </c>
      <c r="DV218" s="161">
        <f>IF(BH218="","",IFERROR(BH218*HSCEI!$B$65*HSCEI!$G$65/HSCEI!$B$3,""))</f>
        <v/>
      </c>
      <c r="DW218" s="161">
        <f>IF(BI218="","",IFERROR(BI218*HSCEI!$B$65*HSCEI!$G$65/HSCEI!$B$3,""))</f>
        <v/>
      </c>
      <c r="DX218" s="161">
        <f>IF(BJ218="","",IFERROR(BJ218*HSCEI!$B$65*HSCEI!$G$65/HSCEI!$B$3,""))</f>
        <v/>
      </c>
      <c r="DY218" s="161">
        <f>IF(BK218="","",IFERROR(BK218*HSCEI!$B$65*HSCEI!$G$65/HSCEI!$B$3,""))</f>
        <v/>
      </c>
      <c r="DZ218" s="161">
        <f>IF(BL218="","",IFERROR(BL218*HSCEI!$B$65*HSCEI!$G$65/HSCEI!$B$3,""))</f>
        <v/>
      </c>
      <c r="EA218" s="161">
        <f>IF(BM218="","",IFERROR(BM218*HSCEI!$B$65*HSCEI!$G$65/HSCEI!$B$3,""))</f>
        <v/>
      </c>
      <c r="EB218" s="161">
        <f>IF(BN218="","",IFERROR(BN218*HSCEI!$B$65*HSCEI!$G$65/HSCEI!$B$3,""))</f>
        <v/>
      </c>
      <c r="EC218" s="161">
        <f>IF(BO218="","",IFERROR(BO218*HSCEI!$B$65*HSCEI!$G$65/HSCEI!$B$3,""))</f>
        <v/>
      </c>
      <c r="EE218" s="121">
        <f>IF(N('Dvd Calendar'!$E$2199)=0,"",IF(('Dvd Calendar'!$E$2199&gt;=GRID_FROM)*('Dvd Calendar'!$E$2199&lt;=GRID_TO)*((('Dvd Calendar'!$E$2199&lt;=VAL_DATE)+(COUNTIF('Dvd Calendar'!$E$2206:$AR$2206,'Dvd Calendar'!$E$2199)=0))&gt;0)=0,"",'Dvd Calendar'!$E$2199*1000000000+ISNUMBER('Dvd Calendar'!$E$2202)*100000000+('Dvd Calendar'!$E$2204=SPECIAL_LBL)*10000000+(N('Dvd Calendar'!$E$2198)&gt;0)*(N('Dvd Calendar'!$E$2198)&lt;=VAL_SERIAL)*1000000+59*1000+1))</f>
        <v/>
      </c>
      <c r="EF218" s="121">
        <f>IF(N('Dvd Calendar'!$F$2199)=0,"",IF(('Dvd Calendar'!$F$2199&gt;=GRID_FROM)*('Dvd Calendar'!$F$2199&lt;=GRID_TO)*((('Dvd Calendar'!$F$2199&lt;=VAL_DATE)+(COUNTIF('Dvd Calendar'!$E$2206:$AR$2206,'Dvd Calendar'!$F$2199)=0))&gt;0)=0,"",'Dvd Calendar'!$F$2199*1000000000+ISNUMBER('Dvd Calendar'!$F$2202)*100000000+('Dvd Calendar'!$F$2204=SPECIAL_LBL)*10000000+(N('Dvd Calendar'!$F$2198)&gt;0)*(N('Dvd Calendar'!$F$2198)&lt;=VAL_SERIAL)*1000000+59*1000+2))</f>
        <v/>
      </c>
      <c r="EG218" s="121">
        <f>IF(N('Dvd Calendar'!$G$2199)=0,"",IF(('Dvd Calendar'!$G$2199&gt;=GRID_FROM)*('Dvd Calendar'!$G$2199&lt;=GRID_TO)*((('Dvd Calendar'!$G$2199&lt;=VAL_DATE)+(COUNTIF('Dvd Calendar'!$E$2206:$AR$2206,'Dvd Calendar'!$G$2199)=0))&gt;0)=0,"",'Dvd Calendar'!$G$2199*1000000000+ISNUMBER('Dvd Calendar'!$G$2202)*100000000+('Dvd Calendar'!$G$2204=SPECIAL_LBL)*10000000+(N('Dvd Calendar'!$G$2198)&gt;0)*(N('Dvd Calendar'!$G$2198)&lt;=VAL_SERIAL)*1000000+59*1000+3))</f>
        <v/>
      </c>
      <c r="EH218" s="121">
        <f>IF(N('Dvd Calendar'!$H$2199)=0,"",IF(('Dvd Calendar'!$H$2199&gt;=GRID_FROM)*('Dvd Calendar'!$H$2199&lt;=GRID_TO)*((('Dvd Calendar'!$H$2199&lt;=VAL_DATE)+(COUNTIF('Dvd Calendar'!$E$2206:$AR$2206,'Dvd Calendar'!$H$2199)=0))&gt;0)=0,"",'Dvd Calendar'!$H$2199*1000000000+ISNUMBER('Dvd Calendar'!$H$2202)*100000000+('Dvd Calendar'!$H$2204=SPECIAL_LBL)*10000000+(N('Dvd Calendar'!$H$2198)&gt;0)*(N('Dvd Calendar'!$H$2198)&lt;=VAL_SERIAL)*1000000+59*1000+4))</f>
        <v/>
      </c>
      <c r="EI218" s="121">
        <f>IF(N('Dvd Calendar'!$I$2199)=0,"",IF(('Dvd Calendar'!$I$2199&gt;=GRID_FROM)*('Dvd Calendar'!$I$2199&lt;=GRID_TO)*((('Dvd Calendar'!$I$2199&lt;=VAL_DATE)+(COUNTIF('Dvd Calendar'!$E$2206:$AR$2206,'Dvd Calendar'!$I$2199)=0))&gt;0)=0,"",'Dvd Calendar'!$I$2199*1000000000+ISNUMBER('Dvd Calendar'!$I$2202)*100000000+('Dvd Calendar'!$I$2204=SPECIAL_LBL)*10000000+(N('Dvd Calendar'!$I$2198)&gt;0)*(N('Dvd Calendar'!$I$2198)&lt;=VAL_SERIAL)*1000000+59*1000+5))</f>
        <v/>
      </c>
      <c r="EJ218" s="121">
        <f>IF(N('Dvd Calendar'!$J$2199)=0,"",IF(('Dvd Calendar'!$J$2199&gt;=GRID_FROM)*('Dvd Calendar'!$J$2199&lt;=GRID_TO)*((('Dvd Calendar'!$J$2199&lt;=VAL_DATE)+(COUNTIF('Dvd Calendar'!$E$2206:$AR$2206,'Dvd Calendar'!$J$2199)=0))&gt;0)=0,"",'Dvd Calendar'!$J$2199*1000000000+ISNUMBER('Dvd Calendar'!$J$2202)*100000000+('Dvd Calendar'!$J$2204=SPECIAL_LBL)*10000000+(N('Dvd Calendar'!$J$2198)&gt;0)*(N('Dvd Calendar'!$J$2198)&lt;=VAL_SERIAL)*1000000+59*1000+6))</f>
        <v/>
      </c>
      <c r="EK218" s="121">
        <f>IF(N('Dvd Calendar'!$K$2199)=0,"",IF(('Dvd Calendar'!$K$2199&gt;=GRID_FROM)*('Dvd Calendar'!$K$2199&lt;=GRID_TO)*((('Dvd Calendar'!$K$2199&lt;=VAL_DATE)+(COUNTIF('Dvd Calendar'!$E$2206:$AR$2206,'Dvd Calendar'!$K$2199)=0))&gt;0)=0,"",'Dvd Calendar'!$K$2199*1000000000+ISNUMBER('Dvd Calendar'!$K$2202)*100000000+('Dvd Calendar'!$K$2204=SPECIAL_LBL)*10000000+(N('Dvd Calendar'!$K$2198)&gt;0)*(N('Dvd Calendar'!$K$2198)&lt;=VAL_SERIAL)*1000000+59*1000+7))</f>
        <v/>
      </c>
      <c r="EL218" s="121">
        <f>IF(N('Dvd Calendar'!$L$2199)=0,"",IF(('Dvd Calendar'!$L$2199&gt;=GRID_FROM)*('Dvd Calendar'!$L$2199&lt;=GRID_TO)*((('Dvd Calendar'!$L$2199&lt;=VAL_DATE)+(COUNTIF('Dvd Calendar'!$E$2206:$AR$2206,'Dvd Calendar'!$L$2199)=0))&gt;0)=0,"",'Dvd Calendar'!$L$2199*1000000000+ISNUMBER('Dvd Calendar'!$L$2202)*100000000+('Dvd Calendar'!$L$2204=SPECIAL_LBL)*10000000+(N('Dvd Calendar'!$L$2198)&gt;0)*(N('Dvd Calendar'!$L$2198)&lt;=VAL_SERIAL)*1000000+59*1000+8))</f>
        <v/>
      </c>
      <c r="EM218" s="121">
        <f>IF(N('Dvd Calendar'!$M$2199)=0,"",IF(('Dvd Calendar'!$M$2199&gt;=GRID_FROM)*('Dvd Calendar'!$M$2199&lt;=GRID_TO)*((('Dvd Calendar'!$M$2199&lt;=VAL_DATE)+(COUNTIF('Dvd Calendar'!$E$2206:$AR$2206,'Dvd Calendar'!$M$2199)=0))&gt;0)=0,"",'Dvd Calendar'!$M$2199*1000000000+ISNUMBER('Dvd Calendar'!$M$2202)*100000000+('Dvd Calendar'!$M$2204=SPECIAL_LBL)*10000000+(N('Dvd Calendar'!$M$2198)&gt;0)*(N('Dvd Calendar'!$M$2198)&lt;=VAL_SERIAL)*1000000+59*1000+9))</f>
        <v/>
      </c>
      <c r="EN218" s="121">
        <f>IF(N('Dvd Calendar'!$N$2199)=0,"",IF(('Dvd Calendar'!$N$2199&gt;=GRID_FROM)*('Dvd Calendar'!$N$2199&lt;=GRID_TO)*((('Dvd Calendar'!$N$2199&lt;=VAL_DATE)+(COUNTIF('Dvd Calendar'!$E$2206:$AR$2206,'Dvd Calendar'!$N$2199)=0))&gt;0)=0,"",'Dvd Calendar'!$N$2199*1000000000+ISNUMBER('Dvd Calendar'!$N$2202)*100000000+('Dvd Calendar'!$N$2204=SPECIAL_LBL)*10000000+(N('Dvd Calendar'!$N$2198)&gt;0)*(N('Dvd Calendar'!$N$2198)&lt;=VAL_SERIAL)*1000000+59*1000+10))</f>
        <v/>
      </c>
      <c r="EO218" s="121">
        <f>IF(N('Dvd Calendar'!$O$2199)=0,"",IF(('Dvd Calendar'!$O$2199&gt;=GRID_FROM)*('Dvd Calendar'!$O$2199&lt;=GRID_TO)*((('Dvd Calendar'!$O$2199&lt;=VAL_DATE)+(COUNTIF('Dvd Calendar'!$E$2206:$AR$2206,'Dvd Calendar'!$O$2199)=0))&gt;0)=0,"",'Dvd Calendar'!$O$2199*1000000000+ISNUMBER('Dvd Calendar'!$O$2202)*100000000+('Dvd Calendar'!$O$2204=SPECIAL_LBL)*10000000+(N('Dvd Calendar'!$O$2198)&gt;0)*(N('Dvd Calendar'!$O$2198)&lt;=VAL_SERIAL)*1000000+59*1000+11))</f>
        <v/>
      </c>
      <c r="EP218" s="121">
        <f>IF(N('Dvd Calendar'!$P$2199)=0,"",IF(('Dvd Calendar'!$P$2199&gt;=GRID_FROM)*('Dvd Calendar'!$P$2199&lt;=GRID_TO)*((('Dvd Calendar'!$P$2199&lt;=VAL_DATE)+(COUNTIF('Dvd Calendar'!$E$2206:$AR$2206,'Dvd Calendar'!$P$2199)=0))&gt;0)=0,"",'Dvd Calendar'!$P$2199*1000000000+ISNUMBER('Dvd Calendar'!$P$2202)*100000000+('Dvd Calendar'!$P$2204=SPECIAL_LBL)*10000000+(N('Dvd Calendar'!$P$2198)&gt;0)*(N('Dvd Calendar'!$P$2198)&lt;=VAL_SERIAL)*1000000+59*1000+12))</f>
        <v/>
      </c>
      <c r="EQ218" s="121">
        <f>IF(N('Dvd Calendar'!$Q$2199)=0,"",IF(('Dvd Calendar'!$Q$2199&gt;=GRID_FROM)*('Dvd Calendar'!$Q$2199&lt;=GRID_TO)*((('Dvd Calendar'!$Q$2199&lt;=VAL_DATE)+(COUNTIF('Dvd Calendar'!$E$2206:$AR$2206,'Dvd Calendar'!$Q$2199)=0))&gt;0)=0,"",'Dvd Calendar'!$Q$2199*1000000000+ISNUMBER('Dvd Calendar'!$Q$2202)*100000000+('Dvd Calendar'!$Q$2204=SPECIAL_LBL)*10000000+(N('Dvd Calendar'!$Q$2198)&gt;0)*(N('Dvd Calendar'!$Q$2198)&lt;=VAL_SERIAL)*1000000+59*1000+13))</f>
        <v/>
      </c>
      <c r="ER218" s="121">
        <f>IF(N('Dvd Calendar'!$R$2199)=0,"",IF(('Dvd Calendar'!$R$2199&gt;=GRID_FROM)*('Dvd Calendar'!$R$2199&lt;=GRID_TO)*((('Dvd Calendar'!$R$2199&lt;=VAL_DATE)+(COUNTIF('Dvd Calendar'!$E$2206:$AR$2206,'Dvd Calendar'!$R$2199)=0))&gt;0)=0,"",'Dvd Calendar'!$R$2199*1000000000+ISNUMBER('Dvd Calendar'!$R$2202)*100000000+('Dvd Calendar'!$R$2204=SPECIAL_LBL)*10000000+(N('Dvd Calendar'!$R$2198)&gt;0)*(N('Dvd Calendar'!$R$2198)&lt;=VAL_SERIAL)*1000000+59*1000+14))</f>
        <v/>
      </c>
      <c r="ES218" s="121">
        <f>IF(N('Dvd Calendar'!$S$2199)=0,"",IF(('Dvd Calendar'!$S$2199&gt;=GRID_FROM)*('Dvd Calendar'!$S$2199&lt;=GRID_TO)*((('Dvd Calendar'!$S$2199&lt;=VAL_DATE)+(COUNTIF('Dvd Calendar'!$E$2206:$AR$2206,'Dvd Calendar'!$S$2199)=0))&gt;0)=0,"",'Dvd Calendar'!$S$2199*1000000000+ISNUMBER('Dvd Calendar'!$S$2202)*100000000+('Dvd Calendar'!$S$2204=SPECIAL_LBL)*10000000+(N('Dvd Calendar'!$S$2198)&gt;0)*(N('Dvd Calendar'!$S$2198)&lt;=VAL_SERIAL)*1000000+59*1000+15))</f>
        <v/>
      </c>
      <c r="ET218" s="121">
        <f>IF(N('Dvd Calendar'!$T$2199)=0,"",IF(('Dvd Calendar'!$T$2199&gt;=GRID_FROM)*('Dvd Calendar'!$T$2199&lt;=GRID_TO)*((('Dvd Calendar'!$T$2199&lt;=VAL_DATE)+(COUNTIF('Dvd Calendar'!$E$2206:$AR$2206,'Dvd Calendar'!$T$2199)=0))&gt;0)=0,"",'Dvd Calendar'!$T$2199*1000000000+ISNUMBER('Dvd Calendar'!$T$2202)*100000000+('Dvd Calendar'!$T$2204=SPECIAL_LBL)*10000000+(N('Dvd Calendar'!$T$2198)&gt;0)*(N('Dvd Calendar'!$T$2198)&lt;=VAL_SERIAL)*1000000+59*1000+16))</f>
        <v/>
      </c>
      <c r="EU218" s="121">
        <f>IF(N('Dvd Calendar'!$U$2199)=0,"",IF(('Dvd Calendar'!$U$2199&gt;=GRID_FROM)*('Dvd Calendar'!$U$2199&lt;=GRID_TO)*((('Dvd Calendar'!$U$2199&lt;=VAL_DATE)+(COUNTIF('Dvd Calendar'!$E$2206:$AR$2206,'Dvd Calendar'!$U$2199)=0))&gt;0)=0,"",'Dvd Calendar'!$U$2199*1000000000+ISNUMBER('Dvd Calendar'!$U$2202)*100000000+('Dvd Calendar'!$U$2204=SPECIAL_LBL)*10000000+(N('Dvd Calendar'!$U$2198)&gt;0)*(N('Dvd Calendar'!$U$2198)&lt;=VAL_SERIAL)*1000000+59*1000+17))</f>
        <v/>
      </c>
      <c r="EV218" s="121">
        <f>IF(N('Dvd Calendar'!$V$2199)=0,"",IF(('Dvd Calendar'!$V$2199&gt;=GRID_FROM)*('Dvd Calendar'!$V$2199&lt;=GRID_TO)*((('Dvd Calendar'!$V$2199&lt;=VAL_DATE)+(COUNTIF('Dvd Calendar'!$E$2206:$AR$2206,'Dvd Calendar'!$V$2199)=0))&gt;0)=0,"",'Dvd Calendar'!$V$2199*1000000000+ISNUMBER('Dvd Calendar'!$V$2202)*100000000+('Dvd Calendar'!$V$2204=SPECIAL_LBL)*10000000+(N('Dvd Calendar'!$V$2198)&gt;0)*(N('Dvd Calendar'!$V$2198)&lt;=VAL_SERIAL)*1000000+59*1000+18))</f>
        <v/>
      </c>
      <c r="EW218" s="121">
        <f>IF(N('Dvd Calendar'!$W$2199)=0,"",IF(('Dvd Calendar'!$W$2199&gt;=GRID_FROM)*('Dvd Calendar'!$W$2199&lt;=GRID_TO)*((('Dvd Calendar'!$W$2199&lt;=VAL_DATE)+(COUNTIF('Dvd Calendar'!$E$2206:$AR$2206,'Dvd Calendar'!$W$2199)=0))&gt;0)=0,"",'Dvd Calendar'!$W$2199*1000000000+ISNUMBER('Dvd Calendar'!$W$2202)*100000000+('Dvd Calendar'!$W$2204=SPECIAL_LBL)*10000000+(N('Dvd Calendar'!$W$2198)&gt;0)*(N('Dvd Calendar'!$W$2198)&lt;=VAL_SERIAL)*1000000+59*1000+19))</f>
        <v/>
      </c>
      <c r="EX218" s="121">
        <f>IF(N('Dvd Calendar'!$X$2199)=0,"",IF(('Dvd Calendar'!$X$2199&gt;=GRID_FROM)*('Dvd Calendar'!$X$2199&lt;=GRID_TO)*((('Dvd Calendar'!$X$2199&lt;=VAL_DATE)+(COUNTIF('Dvd Calendar'!$E$2206:$AR$2206,'Dvd Calendar'!$X$2199)=0))&gt;0)=0,"",'Dvd Calendar'!$X$2199*1000000000+ISNUMBER('Dvd Calendar'!$X$2202)*100000000+('Dvd Calendar'!$X$2204=SPECIAL_LBL)*10000000+(N('Dvd Calendar'!$X$2198)&gt;0)*(N('Dvd Calendar'!$X$2198)&lt;=VAL_SERIAL)*1000000+59*1000+20))</f>
        <v/>
      </c>
      <c r="EY218" s="121">
        <f>IF(N('Dvd Calendar'!$Y$2199)=0,"",IF(('Dvd Calendar'!$Y$2199&gt;=GRID_FROM)*('Dvd Calendar'!$Y$2199&lt;=GRID_TO)*((('Dvd Calendar'!$Y$2199&lt;=VAL_DATE)+(COUNTIF('Dvd Calendar'!$E$2206:$AR$2206,'Dvd Calendar'!$Y$2199)=0))&gt;0)=0,"",'Dvd Calendar'!$Y$2199*1000000000+ISNUMBER('Dvd Calendar'!$Y$2202)*100000000+('Dvd Calendar'!$Y$2204=SPECIAL_LBL)*10000000+(N('Dvd Calendar'!$Y$2198)&gt;0)*(N('Dvd Calendar'!$Y$2198)&lt;=VAL_SERIAL)*1000000+59*1000+21))</f>
        <v/>
      </c>
      <c r="EZ218" s="121">
        <f>IF(N('Dvd Calendar'!$Z$2199)=0,"",IF(('Dvd Calendar'!$Z$2199&gt;=GRID_FROM)*('Dvd Calendar'!$Z$2199&lt;=GRID_TO)*((('Dvd Calendar'!$Z$2199&lt;=VAL_DATE)+(COUNTIF('Dvd Calendar'!$E$2206:$AR$2206,'Dvd Calendar'!$Z$2199)=0))&gt;0)=0,"",'Dvd Calendar'!$Z$2199*1000000000+ISNUMBER('Dvd Calendar'!$Z$2202)*100000000+('Dvd Calendar'!$Z$2204=SPECIAL_LBL)*10000000+(N('Dvd Calendar'!$Z$2198)&gt;0)*(N('Dvd Calendar'!$Z$2198)&lt;=VAL_SERIAL)*1000000+59*1000+22))</f>
        <v/>
      </c>
      <c r="FA218" s="121">
        <f>IF(N('Dvd Calendar'!$AA$2199)=0,"",IF(('Dvd Calendar'!$AA$2199&gt;=GRID_FROM)*('Dvd Calendar'!$AA$2199&lt;=GRID_TO)*((('Dvd Calendar'!$AA$2199&lt;=VAL_DATE)+(COUNTIF('Dvd Calendar'!$E$2206:$AR$2206,'Dvd Calendar'!$AA$2199)=0))&gt;0)=0,"",'Dvd Calendar'!$AA$2199*1000000000+ISNUMBER('Dvd Calendar'!$AA$2202)*100000000+('Dvd Calendar'!$AA$2204=SPECIAL_LBL)*10000000+(N('Dvd Calendar'!$AA$2198)&gt;0)*(N('Dvd Calendar'!$AA$2198)&lt;=VAL_SERIAL)*1000000+59*1000+23))</f>
        <v/>
      </c>
      <c r="FB218" s="121">
        <f>IF(N('Dvd Calendar'!$AB$2199)=0,"",IF(('Dvd Calendar'!$AB$2199&gt;=GRID_FROM)*('Dvd Calendar'!$AB$2199&lt;=GRID_TO)*((('Dvd Calendar'!$AB$2199&lt;=VAL_DATE)+(COUNTIF('Dvd Calendar'!$E$2206:$AR$2206,'Dvd Calendar'!$AB$2199)=0))&gt;0)=0,"",'Dvd Calendar'!$AB$2199*1000000000+ISNUMBER('Dvd Calendar'!$AB$2202)*100000000+('Dvd Calendar'!$AB$2204=SPECIAL_LBL)*10000000+(N('Dvd Calendar'!$AB$2198)&gt;0)*(N('Dvd Calendar'!$AB$2198)&lt;=VAL_SERIAL)*1000000+59*1000+24))</f>
        <v/>
      </c>
      <c r="FC218" s="121">
        <f>IF(N('Dvd Calendar'!$AC$2199)=0,"",IF(('Dvd Calendar'!$AC$2199&gt;=GRID_FROM)*('Dvd Calendar'!$AC$2199&lt;=GRID_TO)*((('Dvd Calendar'!$AC$2199&lt;=VAL_DATE)+(COUNTIF('Dvd Calendar'!$E$2206:$AR$2206,'Dvd Calendar'!$AC$2199)=0))&gt;0)=0,"",'Dvd Calendar'!$AC$2199*1000000000+ISNUMBER('Dvd Calendar'!$AC$2202)*100000000+('Dvd Calendar'!$AC$2204=SPECIAL_LBL)*10000000+(N('Dvd Calendar'!$AC$2198)&gt;0)*(N('Dvd Calendar'!$AC$2198)&lt;=VAL_SERIAL)*1000000+59*1000+25))</f>
        <v/>
      </c>
      <c r="FD218" s="121">
        <f>IF(N('Dvd Calendar'!$AD$2199)=0,"",IF(('Dvd Calendar'!$AD$2199&gt;=GRID_FROM)*('Dvd Calendar'!$AD$2199&lt;=GRID_TO)*((('Dvd Calendar'!$AD$2199&lt;=VAL_DATE)+(COUNTIF('Dvd Calendar'!$E$2206:$AR$2206,'Dvd Calendar'!$AD$2199)=0))&gt;0)=0,"",'Dvd Calendar'!$AD$2199*1000000000+ISNUMBER('Dvd Calendar'!$AD$2202)*100000000+('Dvd Calendar'!$AD$2204=SPECIAL_LBL)*10000000+(N('Dvd Calendar'!$AD$2198)&gt;0)*(N('Dvd Calendar'!$AD$2198)&lt;=VAL_SERIAL)*1000000+59*1000+26))</f>
        <v/>
      </c>
      <c r="FE218" s="121">
        <f>IF(N('Dvd Calendar'!$AE$2199)=0,"",IF(('Dvd Calendar'!$AE$2199&gt;=GRID_FROM)*('Dvd Calendar'!$AE$2199&lt;=GRID_TO)*((('Dvd Calendar'!$AE$2199&lt;=VAL_DATE)+(COUNTIF('Dvd Calendar'!$E$2206:$AR$2206,'Dvd Calendar'!$AE$2199)=0))&gt;0)=0,"",'Dvd Calendar'!$AE$2199*1000000000+ISNUMBER('Dvd Calendar'!$AE$2202)*100000000+('Dvd Calendar'!$AE$2204=SPECIAL_LBL)*10000000+(N('Dvd Calendar'!$AE$2198)&gt;0)*(N('Dvd Calendar'!$AE$2198)&lt;=VAL_SERIAL)*1000000+59*1000+27))</f>
        <v/>
      </c>
      <c r="FF218" s="121">
        <f>IF(N('Dvd Calendar'!$AF$2199)=0,"",IF(('Dvd Calendar'!$AF$2199&gt;=GRID_FROM)*('Dvd Calendar'!$AF$2199&lt;=GRID_TO)*((('Dvd Calendar'!$AF$2199&lt;=VAL_DATE)+(COUNTIF('Dvd Calendar'!$E$2206:$AR$2206,'Dvd Calendar'!$AF$2199)=0))&gt;0)=0,"",'Dvd Calendar'!$AF$2199*1000000000+ISNUMBER('Dvd Calendar'!$AF$2202)*100000000+('Dvd Calendar'!$AF$2204=SPECIAL_LBL)*10000000+(N('Dvd Calendar'!$AF$2198)&gt;0)*(N('Dvd Calendar'!$AF$2198)&lt;=VAL_SERIAL)*1000000+59*1000+28))</f>
        <v/>
      </c>
      <c r="FG218" s="121">
        <f>IF(N('Dvd Calendar'!$AG$2199)=0,"",IF(('Dvd Calendar'!$AG$2199&gt;=GRID_FROM)*('Dvd Calendar'!$AG$2199&lt;=GRID_TO)*((('Dvd Calendar'!$AG$2199&lt;=VAL_DATE)+(COUNTIF('Dvd Calendar'!$E$2206:$AR$2206,'Dvd Calendar'!$AG$2199)=0))&gt;0)=0,"",'Dvd Calendar'!$AG$2199*1000000000+ISNUMBER('Dvd Calendar'!$AG$2202)*100000000+('Dvd Calendar'!$AG$2204=SPECIAL_LBL)*10000000+(N('Dvd Calendar'!$AG$2198)&gt;0)*(N('Dvd Calendar'!$AG$2198)&lt;=VAL_SERIAL)*1000000+59*1000+29))</f>
        <v/>
      </c>
      <c r="FH218" s="121">
        <f>IF(N('Dvd Calendar'!$AH$2199)=0,"",IF(('Dvd Calendar'!$AH$2199&gt;=GRID_FROM)*('Dvd Calendar'!$AH$2199&lt;=GRID_TO)*((('Dvd Calendar'!$AH$2199&lt;=VAL_DATE)+(COUNTIF('Dvd Calendar'!$E$2206:$AR$2206,'Dvd Calendar'!$AH$2199)=0))&gt;0)=0,"",'Dvd Calendar'!$AH$2199*1000000000+ISNUMBER('Dvd Calendar'!$AH$2202)*100000000+('Dvd Calendar'!$AH$2204=SPECIAL_LBL)*10000000+(N('Dvd Calendar'!$AH$2198)&gt;0)*(N('Dvd Calendar'!$AH$2198)&lt;=VAL_SERIAL)*1000000+59*1000+30))</f>
        <v/>
      </c>
      <c r="FI218" s="121">
        <f>IF(N('Dvd Calendar'!$AI$2199)=0,"",IF(('Dvd Calendar'!$AI$2199&gt;=GRID_FROM)*('Dvd Calendar'!$AI$2199&lt;=GRID_TO)*((('Dvd Calendar'!$AI$2199&lt;=VAL_DATE)+(COUNTIF('Dvd Calendar'!$E$2206:$AR$2206,'Dvd Calendar'!$AI$2199)=0))&gt;0)=0,"",'Dvd Calendar'!$AI$2199*1000000000+ISNUMBER('Dvd Calendar'!$AI$2202)*100000000+('Dvd Calendar'!$AI$2204=SPECIAL_LBL)*10000000+(N('Dvd Calendar'!$AI$2198)&gt;0)*(N('Dvd Calendar'!$AI$2198)&lt;=VAL_SERIAL)*1000000+59*1000+31))</f>
        <v/>
      </c>
      <c r="FJ218" s="121">
        <f>IF(N('Dvd Calendar'!$AJ$2199)=0,"",IF(('Dvd Calendar'!$AJ$2199&gt;=GRID_FROM)*('Dvd Calendar'!$AJ$2199&lt;=GRID_TO)*((('Dvd Calendar'!$AJ$2199&lt;=VAL_DATE)+(COUNTIF('Dvd Calendar'!$E$2206:$AR$2206,'Dvd Calendar'!$AJ$2199)=0))&gt;0)=0,"",'Dvd Calendar'!$AJ$2199*1000000000+ISNUMBER('Dvd Calendar'!$AJ$2202)*100000000+('Dvd Calendar'!$AJ$2204=SPECIAL_LBL)*10000000+(N('Dvd Calendar'!$AJ$2198)&gt;0)*(N('Dvd Calendar'!$AJ$2198)&lt;=VAL_SERIAL)*1000000+59*1000+32))</f>
        <v/>
      </c>
      <c r="FK218" s="121">
        <f>IF(N('Dvd Calendar'!$AK$2199)=0,"",IF(('Dvd Calendar'!$AK$2199&gt;=GRID_FROM)*('Dvd Calendar'!$AK$2199&lt;=GRID_TO)*((('Dvd Calendar'!$AK$2199&lt;=VAL_DATE)+(COUNTIF('Dvd Calendar'!$E$2206:$AR$2206,'Dvd Calendar'!$AK$2199)=0))&gt;0)=0,"",'Dvd Calendar'!$AK$2199*1000000000+ISNUMBER('Dvd Calendar'!$AK$2202)*100000000+('Dvd Calendar'!$AK$2204=SPECIAL_LBL)*10000000+(N('Dvd Calendar'!$AK$2198)&gt;0)*(N('Dvd Calendar'!$AK$2198)&lt;=VAL_SERIAL)*1000000+59*1000+33))</f>
        <v/>
      </c>
      <c r="FL218" s="121">
        <f>IF(N('Dvd Calendar'!$AL$2199)=0,"",IF(('Dvd Calendar'!$AL$2199&gt;=GRID_FROM)*('Dvd Calendar'!$AL$2199&lt;=GRID_TO)*((('Dvd Calendar'!$AL$2199&lt;=VAL_DATE)+(COUNTIF('Dvd Calendar'!$E$2206:$AR$2206,'Dvd Calendar'!$AL$2199)=0))&gt;0)=0,"",'Dvd Calendar'!$AL$2199*1000000000+ISNUMBER('Dvd Calendar'!$AL$2202)*100000000+('Dvd Calendar'!$AL$2204=SPECIAL_LBL)*10000000+(N('Dvd Calendar'!$AL$2198)&gt;0)*(N('Dvd Calendar'!$AL$2198)&lt;=VAL_SERIAL)*1000000+59*1000+34))</f>
        <v/>
      </c>
      <c r="FM218" s="121">
        <f>IF(N('Dvd Calendar'!$AM$2199)=0,"",IF(('Dvd Calendar'!$AM$2199&gt;=GRID_FROM)*('Dvd Calendar'!$AM$2199&lt;=GRID_TO)*((('Dvd Calendar'!$AM$2199&lt;=VAL_DATE)+(COUNTIF('Dvd Calendar'!$E$2206:$AR$2206,'Dvd Calendar'!$AM$2199)=0))&gt;0)=0,"",'Dvd Calendar'!$AM$2199*1000000000+ISNUMBER('Dvd Calendar'!$AM$2202)*100000000+('Dvd Calendar'!$AM$2204=SPECIAL_LBL)*10000000+(N('Dvd Calendar'!$AM$2198)&gt;0)*(N('Dvd Calendar'!$AM$2198)&lt;=VAL_SERIAL)*1000000+59*1000+35))</f>
        <v/>
      </c>
      <c r="FN218" s="121">
        <f>IF(N('Dvd Calendar'!$AN$2199)=0,"",IF(('Dvd Calendar'!$AN$2199&gt;=GRID_FROM)*('Dvd Calendar'!$AN$2199&lt;=GRID_TO)*((('Dvd Calendar'!$AN$2199&lt;=VAL_DATE)+(COUNTIF('Dvd Calendar'!$E$2206:$AR$2206,'Dvd Calendar'!$AN$2199)=0))&gt;0)=0,"",'Dvd Calendar'!$AN$2199*1000000000+ISNUMBER('Dvd Calendar'!$AN$2202)*100000000+('Dvd Calendar'!$AN$2204=SPECIAL_LBL)*10000000+(N('Dvd Calendar'!$AN$2198)&gt;0)*(N('Dvd Calendar'!$AN$2198)&lt;=VAL_SERIAL)*1000000+59*1000+36))</f>
        <v/>
      </c>
      <c r="FO218" s="121">
        <f>IF(N('Dvd Calendar'!$AO$2199)=0,"",IF(('Dvd Calendar'!$AO$2199&gt;=GRID_FROM)*('Dvd Calendar'!$AO$2199&lt;=GRID_TO)*((('Dvd Calendar'!$AO$2199&lt;=VAL_DATE)+(COUNTIF('Dvd Calendar'!$E$2206:$AR$2206,'Dvd Calendar'!$AO$2199)=0))&gt;0)=0,"",'Dvd Calendar'!$AO$2199*1000000000+ISNUMBER('Dvd Calendar'!$AO$2202)*100000000+('Dvd Calendar'!$AO$2204=SPECIAL_LBL)*10000000+(N('Dvd Calendar'!$AO$2198)&gt;0)*(N('Dvd Calendar'!$AO$2198)&lt;=VAL_SERIAL)*1000000+59*1000+37))</f>
        <v/>
      </c>
      <c r="FP218" s="121">
        <f>IF(N('Dvd Calendar'!$AP$2199)=0,"",IF(('Dvd Calendar'!$AP$2199&gt;=GRID_FROM)*('Dvd Calendar'!$AP$2199&lt;=GRID_TO)*((('Dvd Calendar'!$AP$2199&lt;=VAL_DATE)+(COUNTIF('Dvd Calendar'!$E$2206:$AR$2206,'Dvd Calendar'!$AP$2199)=0))&gt;0)=0,"",'Dvd Calendar'!$AP$2199*1000000000+ISNUMBER('Dvd Calendar'!$AP$2202)*100000000+('Dvd Calendar'!$AP$2204=SPECIAL_LBL)*10000000+(N('Dvd Calendar'!$AP$2198)&gt;0)*(N('Dvd Calendar'!$AP$2198)&lt;=VAL_SERIAL)*1000000+59*1000+38))</f>
        <v/>
      </c>
      <c r="FQ218" s="121">
        <f>IF(N('Dvd Calendar'!$AQ$2199)=0,"",IF(('Dvd Calendar'!$AQ$2199&gt;=GRID_FROM)*('Dvd Calendar'!$AQ$2199&lt;=GRID_TO)*((('Dvd Calendar'!$AQ$2199&lt;=VAL_DATE)+(COUNTIF('Dvd Calendar'!$E$2206:$AR$2206,'Dvd Calendar'!$AQ$2199)=0))&gt;0)=0,"",'Dvd Calendar'!$AQ$2199*1000000000+ISNUMBER('Dvd Calendar'!$AQ$2202)*100000000+('Dvd Calendar'!$AQ$2204=SPECIAL_LBL)*10000000+(N('Dvd Calendar'!$AQ$2198)&gt;0)*(N('Dvd Calendar'!$AQ$2198)&lt;=VAL_SERIAL)*1000000+59*1000+39))</f>
        <v/>
      </c>
      <c r="FR218" s="121">
        <f>IF(N('Dvd Calendar'!$AR$2199)=0,"",IF(('Dvd Calendar'!$AR$2199&gt;=GRID_FROM)*('Dvd Calendar'!$AR$2199&lt;=GRID_TO)*((('Dvd Calendar'!$AR$2199&lt;=VAL_DATE)+(COUNTIF('Dvd Calendar'!$E$2206:$AR$2206,'Dvd Calendar'!$AR$2199)=0))&gt;0)=0,"",'Dvd Calendar'!$AR$2199*1000000000+ISNUMBER('Dvd Calendar'!$AR$2202)*100000000+('Dvd Calendar'!$AR$2204=SPECIAL_LBL)*10000000+(N('Dvd Calendar'!$AR$2198)&gt;0)*(N('Dvd Calendar'!$AR$2198)&lt;=VAL_SERIAL)*1000000+59*1000+40))</f>
        <v/>
      </c>
      <c r="FS218" s="121">
        <f>IF(N('Dvd Calendar'!$E$2206)=0,"",IF(('Dvd Calendar'!$E$2206&gt;=GRID_FROM)*('Dvd Calendar'!$E$2206&lt;=GRID_TO)*('Dvd Calendar'!$E$2206&gt;VAL_DATE)=0,"",'Dvd Calendar'!$E$2206*1000000000+ISNUMBER('Dvd Calendar'!$E$2207)*100000000+0*10000000+(N('Dvd Calendar'!$E$2205)&gt;0)*(N('Dvd Calendar'!$E$2205)&lt;=VAL_SERIAL)*1000000+59*1000+41))</f>
        <v/>
      </c>
      <c r="FT218" s="121">
        <f>IF(N('Dvd Calendar'!$F$2206)=0,"",IF(('Dvd Calendar'!$F$2206&gt;=GRID_FROM)*('Dvd Calendar'!$F$2206&lt;=GRID_TO)*('Dvd Calendar'!$F$2206&gt;VAL_DATE)=0,"",'Dvd Calendar'!$F$2206*1000000000+ISNUMBER('Dvd Calendar'!$F$2207)*100000000+0*10000000+(N('Dvd Calendar'!$F$2205)&gt;0)*(N('Dvd Calendar'!$F$2205)&lt;=VAL_SERIAL)*1000000+59*1000+42))</f>
        <v/>
      </c>
      <c r="FU218" s="121">
        <f>IF(N('Dvd Calendar'!$G$2206)=0,"",IF(('Dvd Calendar'!$G$2206&gt;=GRID_FROM)*('Dvd Calendar'!$G$2206&lt;=GRID_TO)*('Dvd Calendar'!$G$2206&gt;VAL_DATE)=0,"",'Dvd Calendar'!$G$2206*1000000000+ISNUMBER('Dvd Calendar'!$G$2207)*100000000+0*10000000+(N('Dvd Calendar'!$G$2205)&gt;0)*(N('Dvd Calendar'!$G$2205)&lt;=VAL_SERIAL)*1000000+59*1000+43))</f>
        <v/>
      </c>
      <c r="FV218" s="121">
        <f>IF(N('Dvd Calendar'!$H$2206)=0,"",IF(('Dvd Calendar'!$H$2206&gt;=GRID_FROM)*('Dvd Calendar'!$H$2206&lt;=GRID_TO)*('Dvd Calendar'!$H$2206&gt;VAL_DATE)=0,"",'Dvd Calendar'!$H$2206*1000000000+ISNUMBER('Dvd Calendar'!$H$2207)*100000000+0*10000000+(N('Dvd Calendar'!$H$2205)&gt;0)*(N('Dvd Calendar'!$H$2205)&lt;=VAL_SERIAL)*1000000+59*1000+44))</f>
        <v/>
      </c>
      <c r="FW218" s="121">
        <f>IF(N('Dvd Calendar'!$I$2206)=0,"",IF(('Dvd Calendar'!$I$2206&gt;=GRID_FROM)*('Dvd Calendar'!$I$2206&lt;=GRID_TO)*('Dvd Calendar'!$I$2206&gt;VAL_DATE)=0,"",'Dvd Calendar'!$I$2206*1000000000+ISNUMBER('Dvd Calendar'!$I$2207)*100000000+0*10000000+(N('Dvd Calendar'!$I$2205)&gt;0)*(N('Dvd Calendar'!$I$2205)&lt;=VAL_SERIAL)*1000000+59*1000+45))</f>
        <v/>
      </c>
      <c r="FX218" s="121">
        <f>IF(N('Dvd Calendar'!$J$2206)=0,"",IF(('Dvd Calendar'!$J$2206&gt;=GRID_FROM)*('Dvd Calendar'!$J$2206&lt;=GRID_TO)*('Dvd Calendar'!$J$2206&gt;VAL_DATE)=0,"",'Dvd Calendar'!$J$2206*1000000000+ISNUMBER('Dvd Calendar'!$J$2207)*100000000+0*10000000+(N('Dvd Calendar'!$J$2205)&gt;0)*(N('Dvd Calendar'!$J$2205)&lt;=VAL_SERIAL)*1000000+59*1000+46))</f>
        <v/>
      </c>
      <c r="FY218" s="121">
        <f>IF(N('Dvd Calendar'!$K$2206)=0,"",IF(('Dvd Calendar'!$K$2206&gt;=GRID_FROM)*('Dvd Calendar'!$K$2206&lt;=GRID_TO)*('Dvd Calendar'!$K$2206&gt;VAL_DATE)=0,"",'Dvd Calendar'!$K$2206*1000000000+ISNUMBER('Dvd Calendar'!$K$2207)*100000000+0*10000000+(N('Dvd Calendar'!$K$2205)&gt;0)*(N('Dvd Calendar'!$K$2205)&lt;=VAL_SERIAL)*1000000+59*1000+47))</f>
        <v/>
      </c>
      <c r="FZ218" s="121">
        <f>IF(N('Dvd Calendar'!$L$2206)=0,"",IF(('Dvd Calendar'!$L$2206&gt;=GRID_FROM)*('Dvd Calendar'!$L$2206&lt;=GRID_TO)*('Dvd Calendar'!$L$2206&gt;VAL_DATE)=0,"",'Dvd Calendar'!$L$2206*1000000000+ISNUMBER('Dvd Calendar'!$L$2207)*100000000+0*10000000+(N('Dvd Calendar'!$L$2205)&gt;0)*(N('Dvd Calendar'!$L$2205)&lt;=VAL_SERIAL)*1000000+59*1000+48))</f>
        <v/>
      </c>
      <c r="GA218" s="121">
        <f>IF(N('Dvd Calendar'!$M$2206)=0,"",IF(('Dvd Calendar'!$M$2206&gt;=GRID_FROM)*('Dvd Calendar'!$M$2206&lt;=GRID_TO)*('Dvd Calendar'!$M$2206&gt;VAL_DATE)=0,"",'Dvd Calendar'!$M$2206*1000000000+ISNUMBER('Dvd Calendar'!$M$2207)*100000000+0*10000000+(N('Dvd Calendar'!$M$2205)&gt;0)*(N('Dvd Calendar'!$M$2205)&lt;=VAL_SERIAL)*1000000+59*1000+49))</f>
        <v/>
      </c>
      <c r="GB218" s="121">
        <f>IF(N('Dvd Calendar'!$N$2206)=0,"",IF(('Dvd Calendar'!$N$2206&gt;=GRID_FROM)*('Dvd Calendar'!$N$2206&lt;=GRID_TO)*('Dvd Calendar'!$N$2206&gt;VAL_DATE)=0,"",'Dvd Calendar'!$N$2206*1000000000+ISNUMBER('Dvd Calendar'!$N$2207)*100000000+0*10000000+(N('Dvd Calendar'!$N$2205)&gt;0)*(N('Dvd Calendar'!$N$2205)&lt;=VAL_SERIAL)*1000000+59*1000+50))</f>
        <v/>
      </c>
      <c r="GC218" s="121">
        <f>IF(N('Dvd Calendar'!$O$2206)=0,"",IF(('Dvd Calendar'!$O$2206&gt;=GRID_FROM)*('Dvd Calendar'!$O$2206&lt;=GRID_TO)*('Dvd Calendar'!$O$2206&gt;VAL_DATE)=0,"",'Dvd Calendar'!$O$2206*1000000000+ISNUMBER('Dvd Calendar'!$O$2207)*100000000+0*10000000+(N('Dvd Calendar'!$O$2205)&gt;0)*(N('Dvd Calendar'!$O$2205)&lt;=VAL_SERIAL)*1000000+59*1000+51))</f>
        <v/>
      </c>
      <c r="GD218" s="121">
        <f>IF(N('Dvd Calendar'!$P$2206)=0,"",IF(('Dvd Calendar'!$P$2206&gt;=GRID_FROM)*('Dvd Calendar'!$P$2206&lt;=GRID_TO)*('Dvd Calendar'!$P$2206&gt;VAL_DATE)=0,"",'Dvd Calendar'!$P$2206*1000000000+ISNUMBER('Dvd Calendar'!$P$2207)*100000000+0*10000000+(N('Dvd Calendar'!$P$2205)&gt;0)*(N('Dvd Calendar'!$P$2205)&lt;=VAL_SERIAL)*1000000+59*1000+52))</f>
        <v/>
      </c>
      <c r="GE218" s="121">
        <f>IF(N('Dvd Calendar'!$Q$2206)=0,"",IF(('Dvd Calendar'!$Q$2206&gt;=GRID_FROM)*('Dvd Calendar'!$Q$2206&lt;=GRID_TO)*('Dvd Calendar'!$Q$2206&gt;VAL_DATE)=0,"",'Dvd Calendar'!$Q$2206*1000000000+ISNUMBER('Dvd Calendar'!$Q$2207)*100000000+0*10000000+(N('Dvd Calendar'!$Q$2205)&gt;0)*(N('Dvd Calendar'!$Q$2205)&lt;=VAL_SERIAL)*1000000+59*1000+53))</f>
        <v/>
      </c>
      <c r="GF218" s="121">
        <f>IF(N('Dvd Calendar'!$R$2206)=0,"",IF(('Dvd Calendar'!$R$2206&gt;=GRID_FROM)*('Dvd Calendar'!$R$2206&lt;=GRID_TO)*('Dvd Calendar'!$R$2206&gt;VAL_DATE)=0,"",'Dvd Calendar'!$R$2206*1000000000+ISNUMBER('Dvd Calendar'!$R$2207)*100000000+0*10000000+(N('Dvd Calendar'!$R$2205)&gt;0)*(N('Dvd Calendar'!$R$2205)&lt;=VAL_SERIAL)*1000000+59*1000+54))</f>
        <v/>
      </c>
      <c r="GG218" s="121">
        <f>IF(N('Dvd Calendar'!$S$2206)=0,"",IF(('Dvd Calendar'!$S$2206&gt;=GRID_FROM)*('Dvd Calendar'!$S$2206&lt;=GRID_TO)*('Dvd Calendar'!$S$2206&gt;VAL_DATE)=0,"",'Dvd Calendar'!$S$2206*1000000000+ISNUMBER('Dvd Calendar'!$S$2207)*100000000+0*10000000+(N('Dvd Calendar'!$S$2205)&gt;0)*(N('Dvd Calendar'!$S$2205)&lt;=VAL_SERIAL)*1000000+59*1000+55))</f>
        <v/>
      </c>
      <c r="GH218" s="121">
        <f>IF(N('Dvd Calendar'!$T$2206)=0,"",IF(('Dvd Calendar'!$T$2206&gt;=GRID_FROM)*('Dvd Calendar'!$T$2206&lt;=GRID_TO)*('Dvd Calendar'!$T$2206&gt;VAL_DATE)=0,"",'Dvd Calendar'!$T$2206*1000000000+ISNUMBER('Dvd Calendar'!$T$2207)*100000000+0*10000000+(N('Dvd Calendar'!$T$2205)&gt;0)*(N('Dvd Calendar'!$T$2205)&lt;=VAL_SERIAL)*1000000+59*1000+56))</f>
        <v/>
      </c>
      <c r="GI218" s="121">
        <f>IF(N('Dvd Calendar'!$U$2206)=0,"",IF(('Dvd Calendar'!$U$2206&gt;=GRID_FROM)*('Dvd Calendar'!$U$2206&lt;=GRID_TO)*('Dvd Calendar'!$U$2206&gt;VAL_DATE)=0,"",'Dvd Calendar'!$U$2206*1000000000+ISNUMBER('Dvd Calendar'!$U$2207)*100000000+0*10000000+(N('Dvd Calendar'!$U$2205)&gt;0)*(N('Dvd Calendar'!$U$2205)&lt;=VAL_SERIAL)*1000000+59*1000+57))</f>
        <v/>
      </c>
      <c r="GJ218" s="121">
        <f>IF(N('Dvd Calendar'!$V$2206)=0,"",IF(('Dvd Calendar'!$V$2206&gt;=GRID_FROM)*('Dvd Calendar'!$V$2206&lt;=GRID_TO)*('Dvd Calendar'!$V$2206&gt;VAL_DATE)=0,"",'Dvd Calendar'!$V$2206*1000000000+ISNUMBER('Dvd Calendar'!$V$2207)*100000000+0*10000000+(N('Dvd Calendar'!$V$2205)&gt;0)*(N('Dvd Calendar'!$V$2205)&lt;=VAL_SERIAL)*1000000+59*1000+58))</f>
        <v/>
      </c>
      <c r="GK218" s="121">
        <f>IF(N('Dvd Calendar'!$W$2206)=0,"",IF(('Dvd Calendar'!$W$2206&gt;=GRID_FROM)*('Dvd Calendar'!$W$2206&lt;=GRID_TO)*('Dvd Calendar'!$W$2206&gt;VAL_DATE)=0,"",'Dvd Calendar'!$W$2206*1000000000+ISNUMBER('Dvd Calendar'!$W$2207)*100000000+0*10000000+(N('Dvd Calendar'!$W$2205)&gt;0)*(N('Dvd Calendar'!$W$2205)&lt;=VAL_SERIAL)*1000000+59*1000+59))</f>
        <v/>
      </c>
      <c r="GL218" s="121">
        <f>IF(N('Dvd Calendar'!$X$2206)=0,"",IF(('Dvd Calendar'!$X$2206&gt;=GRID_FROM)*('Dvd Calendar'!$X$2206&lt;=GRID_TO)*('Dvd Calendar'!$X$2206&gt;VAL_DATE)=0,"",'Dvd Calendar'!$X$2206*1000000000+ISNUMBER('Dvd Calendar'!$X$2207)*100000000+0*10000000+(N('Dvd Calendar'!$X$2205)&gt;0)*(N('Dvd Calendar'!$X$2205)&lt;=VAL_SERIAL)*1000000+59*1000+60))</f>
        <v/>
      </c>
      <c r="GM218" s="121">
        <f>IF(N('Dvd Calendar'!$Y$2206)=0,"",IF(('Dvd Calendar'!$Y$2206&gt;=GRID_FROM)*('Dvd Calendar'!$Y$2206&lt;=GRID_TO)*('Dvd Calendar'!$Y$2206&gt;VAL_DATE)=0,"",'Dvd Calendar'!$Y$2206*1000000000+ISNUMBER('Dvd Calendar'!$Y$2207)*100000000+0*10000000+(N('Dvd Calendar'!$Y$2205)&gt;0)*(N('Dvd Calendar'!$Y$2205)&lt;=VAL_SERIAL)*1000000+59*1000+61))</f>
        <v/>
      </c>
      <c r="GN218" s="121">
        <f>IF(N('Dvd Calendar'!$Z$2206)=0,"",IF(('Dvd Calendar'!$Z$2206&gt;=GRID_FROM)*('Dvd Calendar'!$Z$2206&lt;=GRID_TO)*('Dvd Calendar'!$Z$2206&gt;VAL_DATE)=0,"",'Dvd Calendar'!$Z$2206*1000000000+ISNUMBER('Dvd Calendar'!$Z$2207)*100000000+0*10000000+(N('Dvd Calendar'!$Z$2205)&gt;0)*(N('Dvd Calendar'!$Z$2205)&lt;=VAL_SERIAL)*1000000+59*1000+62))</f>
        <v/>
      </c>
      <c r="GO218" s="121">
        <f>IF(N('Dvd Calendar'!$AA$2206)=0,"",IF(('Dvd Calendar'!$AA$2206&gt;=GRID_FROM)*('Dvd Calendar'!$AA$2206&lt;=GRID_TO)*('Dvd Calendar'!$AA$2206&gt;VAL_DATE)=0,"",'Dvd Calendar'!$AA$2206*1000000000+ISNUMBER('Dvd Calendar'!$AA$2207)*100000000+0*10000000+(N('Dvd Calendar'!$AA$2205)&gt;0)*(N('Dvd Calendar'!$AA$2205)&lt;=VAL_SERIAL)*1000000+59*1000+63))</f>
        <v/>
      </c>
      <c r="GP218" s="121">
        <f>IF(N('Dvd Calendar'!$AB$2206)=0,"",IF(('Dvd Calendar'!$AB$2206&gt;=GRID_FROM)*('Dvd Calendar'!$AB$2206&lt;=GRID_TO)*('Dvd Calendar'!$AB$2206&gt;VAL_DATE)=0,"",'Dvd Calendar'!$AB$2206*1000000000+ISNUMBER('Dvd Calendar'!$AB$2207)*100000000+0*10000000+(N('Dvd Calendar'!$AB$2205)&gt;0)*(N('Dvd Calendar'!$AB$2205)&lt;=VAL_SERIAL)*1000000+59*1000+64))</f>
        <v/>
      </c>
      <c r="GQ218" s="121">
        <f>IF(N('Dvd Calendar'!$AC$2206)=0,"",IF(('Dvd Calendar'!$AC$2206&gt;=GRID_FROM)*('Dvd Calendar'!$AC$2206&lt;=GRID_TO)*('Dvd Calendar'!$AC$2206&gt;VAL_DATE)=0,"",'Dvd Calendar'!$AC$2206*1000000000+ISNUMBER('Dvd Calendar'!$AC$2207)*100000000+0*10000000+(N('Dvd Calendar'!$AC$2205)&gt;0)*(N('Dvd Calendar'!$AC$2205)&lt;=VAL_SERIAL)*1000000+59*1000+65))</f>
        <v/>
      </c>
    </row>
    <row r="219">
      <c r="B219" s="2">
        <f>IF(HSCEI!$C$66="","",HSCEI!$C$66)</f>
        <v/>
      </c>
      <c r="C219" s="161">
        <f>IF(EE219="","",IF(ISNUMBER('Dvd Calendar'!$E$2213)=FALSE,"",IF((('Dvd Calendar'!$E$2215=TYPE1)*(TYPE1&lt;&gt;"")+('Dvd Calendar'!$E$2215=TYPE2)*(TYPE2&lt;&gt;"")+('Dvd Calendar'!$E$2215=TYPE3)*(TYPE3&lt;&gt;"")+('Dvd Calendar'!$E$2215=TYPE4)*(TYPE4&lt;&gt;"")+('Dvd Calendar'!$E$2215=SPECIAL_LBL)*(INC_SPECIALS="Y"))=0,"",'Dvd Calendar'!$E$2213)))</f>
        <v/>
      </c>
      <c r="D219" s="161">
        <f>IF(EF219="","",IF(ISNUMBER('Dvd Calendar'!$F$2213)=FALSE,"",IF((('Dvd Calendar'!$F$2215=TYPE1)*(TYPE1&lt;&gt;"")+('Dvd Calendar'!$F$2215=TYPE2)*(TYPE2&lt;&gt;"")+('Dvd Calendar'!$F$2215=TYPE3)*(TYPE3&lt;&gt;"")+('Dvd Calendar'!$F$2215=TYPE4)*(TYPE4&lt;&gt;"")+('Dvd Calendar'!$F$2215=SPECIAL_LBL)*(INC_SPECIALS="Y"))=0,"",'Dvd Calendar'!$F$2213)))</f>
        <v/>
      </c>
      <c r="E219" s="161">
        <f>IF(EG219="","",IF(ISNUMBER('Dvd Calendar'!$G$2213)=FALSE,"",IF((('Dvd Calendar'!$G$2215=TYPE1)*(TYPE1&lt;&gt;"")+('Dvd Calendar'!$G$2215=TYPE2)*(TYPE2&lt;&gt;"")+('Dvd Calendar'!$G$2215=TYPE3)*(TYPE3&lt;&gt;"")+('Dvd Calendar'!$G$2215=TYPE4)*(TYPE4&lt;&gt;"")+('Dvd Calendar'!$G$2215=SPECIAL_LBL)*(INC_SPECIALS="Y"))=0,"",'Dvd Calendar'!$G$2213)))</f>
        <v/>
      </c>
      <c r="F219" s="161">
        <f>IF(EH219="","",IF(ISNUMBER('Dvd Calendar'!$H$2213)=FALSE,"",IF((('Dvd Calendar'!$H$2215=TYPE1)*(TYPE1&lt;&gt;"")+('Dvd Calendar'!$H$2215=TYPE2)*(TYPE2&lt;&gt;"")+('Dvd Calendar'!$H$2215=TYPE3)*(TYPE3&lt;&gt;"")+('Dvd Calendar'!$H$2215=TYPE4)*(TYPE4&lt;&gt;"")+('Dvd Calendar'!$H$2215=SPECIAL_LBL)*(INC_SPECIALS="Y"))=0,"",'Dvd Calendar'!$H$2213)))</f>
        <v/>
      </c>
      <c r="G219" s="161">
        <f>IF(EI219="","",IF(ISNUMBER('Dvd Calendar'!$I$2213)=FALSE,"",IF((('Dvd Calendar'!$I$2215=TYPE1)*(TYPE1&lt;&gt;"")+('Dvd Calendar'!$I$2215=TYPE2)*(TYPE2&lt;&gt;"")+('Dvd Calendar'!$I$2215=TYPE3)*(TYPE3&lt;&gt;"")+('Dvd Calendar'!$I$2215=TYPE4)*(TYPE4&lt;&gt;"")+('Dvd Calendar'!$I$2215=SPECIAL_LBL)*(INC_SPECIALS="Y"))=0,"",'Dvd Calendar'!$I$2213)))</f>
        <v/>
      </c>
      <c r="H219" s="161">
        <f>IF(EJ219="","",IF(ISNUMBER('Dvd Calendar'!$J$2213)=FALSE,"",IF((('Dvd Calendar'!$J$2215=TYPE1)*(TYPE1&lt;&gt;"")+('Dvd Calendar'!$J$2215=TYPE2)*(TYPE2&lt;&gt;"")+('Dvd Calendar'!$J$2215=TYPE3)*(TYPE3&lt;&gt;"")+('Dvd Calendar'!$J$2215=TYPE4)*(TYPE4&lt;&gt;"")+('Dvd Calendar'!$J$2215=SPECIAL_LBL)*(INC_SPECIALS="Y"))=0,"",'Dvd Calendar'!$J$2213)))</f>
        <v/>
      </c>
      <c r="I219" s="161">
        <f>IF(EK219="","",IF(ISNUMBER('Dvd Calendar'!$K$2213)=FALSE,"",IF((('Dvd Calendar'!$K$2215=TYPE1)*(TYPE1&lt;&gt;"")+('Dvd Calendar'!$K$2215=TYPE2)*(TYPE2&lt;&gt;"")+('Dvd Calendar'!$K$2215=TYPE3)*(TYPE3&lt;&gt;"")+('Dvd Calendar'!$K$2215=TYPE4)*(TYPE4&lt;&gt;"")+('Dvd Calendar'!$K$2215=SPECIAL_LBL)*(INC_SPECIALS="Y"))=0,"",'Dvd Calendar'!$K$2213)))</f>
        <v/>
      </c>
      <c r="J219" s="161">
        <f>IF(EL219="","",IF(ISNUMBER('Dvd Calendar'!$L$2213)=FALSE,"",IF((('Dvd Calendar'!$L$2215=TYPE1)*(TYPE1&lt;&gt;"")+('Dvd Calendar'!$L$2215=TYPE2)*(TYPE2&lt;&gt;"")+('Dvd Calendar'!$L$2215=TYPE3)*(TYPE3&lt;&gt;"")+('Dvd Calendar'!$L$2215=TYPE4)*(TYPE4&lt;&gt;"")+('Dvd Calendar'!$L$2215=SPECIAL_LBL)*(INC_SPECIALS="Y"))=0,"",'Dvd Calendar'!$L$2213)))</f>
        <v/>
      </c>
      <c r="K219" s="161">
        <f>IF(EM219="","",IF(ISNUMBER('Dvd Calendar'!$M$2213)=FALSE,"",IF((('Dvd Calendar'!$M$2215=TYPE1)*(TYPE1&lt;&gt;"")+('Dvd Calendar'!$M$2215=TYPE2)*(TYPE2&lt;&gt;"")+('Dvd Calendar'!$M$2215=TYPE3)*(TYPE3&lt;&gt;"")+('Dvd Calendar'!$M$2215=TYPE4)*(TYPE4&lt;&gt;"")+('Dvd Calendar'!$M$2215=SPECIAL_LBL)*(INC_SPECIALS="Y"))=0,"",'Dvd Calendar'!$M$2213)))</f>
        <v/>
      </c>
      <c r="L219" s="161">
        <f>IF(EN219="","",IF(ISNUMBER('Dvd Calendar'!$N$2213)=FALSE,"",IF((('Dvd Calendar'!$N$2215=TYPE1)*(TYPE1&lt;&gt;"")+('Dvd Calendar'!$N$2215=TYPE2)*(TYPE2&lt;&gt;"")+('Dvd Calendar'!$N$2215=TYPE3)*(TYPE3&lt;&gt;"")+('Dvd Calendar'!$N$2215=TYPE4)*(TYPE4&lt;&gt;"")+('Dvd Calendar'!$N$2215=SPECIAL_LBL)*(INC_SPECIALS="Y"))=0,"",'Dvd Calendar'!$N$2213)))</f>
        <v/>
      </c>
      <c r="M219" s="161">
        <f>IF(EO219="","",IF(ISNUMBER('Dvd Calendar'!$O$2213)=FALSE,"",IF((('Dvd Calendar'!$O$2215=TYPE1)*(TYPE1&lt;&gt;"")+('Dvd Calendar'!$O$2215=TYPE2)*(TYPE2&lt;&gt;"")+('Dvd Calendar'!$O$2215=TYPE3)*(TYPE3&lt;&gt;"")+('Dvd Calendar'!$O$2215=TYPE4)*(TYPE4&lt;&gt;"")+('Dvd Calendar'!$O$2215=SPECIAL_LBL)*(INC_SPECIALS="Y"))=0,"",'Dvd Calendar'!$O$2213)))</f>
        <v/>
      </c>
      <c r="N219" s="161">
        <f>IF(EP219="","",IF(ISNUMBER('Dvd Calendar'!$P$2213)=FALSE,"",IF((('Dvd Calendar'!$P$2215=TYPE1)*(TYPE1&lt;&gt;"")+('Dvd Calendar'!$P$2215=TYPE2)*(TYPE2&lt;&gt;"")+('Dvd Calendar'!$P$2215=TYPE3)*(TYPE3&lt;&gt;"")+('Dvd Calendar'!$P$2215=TYPE4)*(TYPE4&lt;&gt;"")+('Dvd Calendar'!$P$2215=SPECIAL_LBL)*(INC_SPECIALS="Y"))=0,"",'Dvd Calendar'!$P$2213)))</f>
        <v/>
      </c>
      <c r="O219" s="161">
        <f>IF(EQ219="","",IF(ISNUMBER('Dvd Calendar'!$Q$2213)=FALSE,"",IF((('Dvd Calendar'!$Q$2215=TYPE1)*(TYPE1&lt;&gt;"")+('Dvd Calendar'!$Q$2215=TYPE2)*(TYPE2&lt;&gt;"")+('Dvd Calendar'!$Q$2215=TYPE3)*(TYPE3&lt;&gt;"")+('Dvd Calendar'!$Q$2215=TYPE4)*(TYPE4&lt;&gt;"")+('Dvd Calendar'!$Q$2215=SPECIAL_LBL)*(INC_SPECIALS="Y"))=0,"",'Dvd Calendar'!$Q$2213)))</f>
        <v/>
      </c>
      <c r="P219" s="161">
        <f>IF(ER219="","",IF(ISNUMBER('Dvd Calendar'!$R$2213)=FALSE,"",IF((('Dvd Calendar'!$R$2215=TYPE1)*(TYPE1&lt;&gt;"")+('Dvd Calendar'!$R$2215=TYPE2)*(TYPE2&lt;&gt;"")+('Dvd Calendar'!$R$2215=TYPE3)*(TYPE3&lt;&gt;"")+('Dvd Calendar'!$R$2215=TYPE4)*(TYPE4&lt;&gt;"")+('Dvd Calendar'!$R$2215=SPECIAL_LBL)*(INC_SPECIALS="Y"))=0,"",'Dvd Calendar'!$R$2213)))</f>
        <v/>
      </c>
      <c r="Q219" s="161">
        <f>IF(ES219="","",IF(ISNUMBER('Dvd Calendar'!$S$2213)=FALSE,"",IF((('Dvd Calendar'!$S$2215=TYPE1)*(TYPE1&lt;&gt;"")+('Dvd Calendar'!$S$2215=TYPE2)*(TYPE2&lt;&gt;"")+('Dvd Calendar'!$S$2215=TYPE3)*(TYPE3&lt;&gt;"")+('Dvd Calendar'!$S$2215=TYPE4)*(TYPE4&lt;&gt;"")+('Dvd Calendar'!$S$2215=SPECIAL_LBL)*(INC_SPECIALS="Y"))=0,"",'Dvd Calendar'!$S$2213)))</f>
        <v/>
      </c>
      <c r="R219" s="161">
        <f>IF(ET219="","",IF(ISNUMBER('Dvd Calendar'!$T$2213)=FALSE,"",IF((('Dvd Calendar'!$T$2215=TYPE1)*(TYPE1&lt;&gt;"")+('Dvd Calendar'!$T$2215=TYPE2)*(TYPE2&lt;&gt;"")+('Dvd Calendar'!$T$2215=TYPE3)*(TYPE3&lt;&gt;"")+('Dvd Calendar'!$T$2215=TYPE4)*(TYPE4&lt;&gt;"")+('Dvd Calendar'!$T$2215=SPECIAL_LBL)*(INC_SPECIALS="Y"))=0,"",'Dvd Calendar'!$T$2213)))</f>
        <v/>
      </c>
      <c r="S219" s="161">
        <f>IF(EU219="","",IF(ISNUMBER('Dvd Calendar'!$U$2213)=FALSE,"",IF((('Dvd Calendar'!$U$2215=TYPE1)*(TYPE1&lt;&gt;"")+('Dvd Calendar'!$U$2215=TYPE2)*(TYPE2&lt;&gt;"")+('Dvd Calendar'!$U$2215=TYPE3)*(TYPE3&lt;&gt;"")+('Dvd Calendar'!$U$2215=TYPE4)*(TYPE4&lt;&gt;"")+('Dvd Calendar'!$U$2215=SPECIAL_LBL)*(INC_SPECIALS="Y"))=0,"",'Dvd Calendar'!$U$2213)))</f>
        <v/>
      </c>
      <c r="T219" s="161">
        <f>IF(EV219="","",IF(ISNUMBER('Dvd Calendar'!$V$2213)=FALSE,"",IF((('Dvd Calendar'!$V$2215=TYPE1)*(TYPE1&lt;&gt;"")+('Dvd Calendar'!$V$2215=TYPE2)*(TYPE2&lt;&gt;"")+('Dvd Calendar'!$V$2215=TYPE3)*(TYPE3&lt;&gt;"")+('Dvd Calendar'!$V$2215=TYPE4)*(TYPE4&lt;&gt;"")+('Dvd Calendar'!$V$2215=SPECIAL_LBL)*(INC_SPECIALS="Y"))=0,"",'Dvd Calendar'!$V$2213)))</f>
        <v/>
      </c>
      <c r="U219" s="161">
        <f>IF(EW219="","",IF(ISNUMBER('Dvd Calendar'!$W$2213)=FALSE,"",IF((('Dvd Calendar'!$W$2215=TYPE1)*(TYPE1&lt;&gt;"")+('Dvd Calendar'!$W$2215=TYPE2)*(TYPE2&lt;&gt;"")+('Dvd Calendar'!$W$2215=TYPE3)*(TYPE3&lt;&gt;"")+('Dvd Calendar'!$W$2215=TYPE4)*(TYPE4&lt;&gt;"")+('Dvd Calendar'!$W$2215=SPECIAL_LBL)*(INC_SPECIALS="Y"))=0,"",'Dvd Calendar'!$W$2213)))</f>
        <v/>
      </c>
      <c r="V219" s="161">
        <f>IF(EX219="","",IF(ISNUMBER('Dvd Calendar'!$X$2213)=FALSE,"",IF((('Dvd Calendar'!$X$2215=TYPE1)*(TYPE1&lt;&gt;"")+('Dvd Calendar'!$X$2215=TYPE2)*(TYPE2&lt;&gt;"")+('Dvd Calendar'!$X$2215=TYPE3)*(TYPE3&lt;&gt;"")+('Dvd Calendar'!$X$2215=TYPE4)*(TYPE4&lt;&gt;"")+('Dvd Calendar'!$X$2215=SPECIAL_LBL)*(INC_SPECIALS="Y"))=0,"",'Dvd Calendar'!$X$2213)))</f>
        <v/>
      </c>
      <c r="W219" s="161">
        <f>IF(EY219="","",IF(ISNUMBER('Dvd Calendar'!$Y$2213)=FALSE,"",IF((('Dvd Calendar'!$Y$2215=TYPE1)*(TYPE1&lt;&gt;"")+('Dvd Calendar'!$Y$2215=TYPE2)*(TYPE2&lt;&gt;"")+('Dvd Calendar'!$Y$2215=TYPE3)*(TYPE3&lt;&gt;"")+('Dvd Calendar'!$Y$2215=TYPE4)*(TYPE4&lt;&gt;"")+('Dvd Calendar'!$Y$2215=SPECIAL_LBL)*(INC_SPECIALS="Y"))=0,"",'Dvd Calendar'!$Y$2213)))</f>
        <v/>
      </c>
      <c r="X219" s="161">
        <f>IF(EZ219="","",IF(ISNUMBER('Dvd Calendar'!$Z$2213)=FALSE,"",IF((('Dvd Calendar'!$Z$2215=TYPE1)*(TYPE1&lt;&gt;"")+('Dvd Calendar'!$Z$2215=TYPE2)*(TYPE2&lt;&gt;"")+('Dvd Calendar'!$Z$2215=TYPE3)*(TYPE3&lt;&gt;"")+('Dvd Calendar'!$Z$2215=TYPE4)*(TYPE4&lt;&gt;"")+('Dvd Calendar'!$Z$2215=SPECIAL_LBL)*(INC_SPECIALS="Y"))=0,"",'Dvd Calendar'!$Z$2213)))</f>
        <v/>
      </c>
      <c r="Y219" s="161">
        <f>IF(FA219="","",IF(ISNUMBER('Dvd Calendar'!$AA$2213)=FALSE,"",IF((('Dvd Calendar'!$AA$2215=TYPE1)*(TYPE1&lt;&gt;"")+('Dvd Calendar'!$AA$2215=TYPE2)*(TYPE2&lt;&gt;"")+('Dvd Calendar'!$AA$2215=TYPE3)*(TYPE3&lt;&gt;"")+('Dvd Calendar'!$AA$2215=TYPE4)*(TYPE4&lt;&gt;"")+('Dvd Calendar'!$AA$2215=SPECIAL_LBL)*(INC_SPECIALS="Y"))=0,"",'Dvd Calendar'!$AA$2213)))</f>
        <v/>
      </c>
      <c r="Z219" s="161">
        <f>IF(FB219="","",IF(ISNUMBER('Dvd Calendar'!$AB$2213)=FALSE,"",IF((('Dvd Calendar'!$AB$2215=TYPE1)*(TYPE1&lt;&gt;"")+('Dvd Calendar'!$AB$2215=TYPE2)*(TYPE2&lt;&gt;"")+('Dvd Calendar'!$AB$2215=TYPE3)*(TYPE3&lt;&gt;"")+('Dvd Calendar'!$AB$2215=TYPE4)*(TYPE4&lt;&gt;"")+('Dvd Calendar'!$AB$2215=SPECIAL_LBL)*(INC_SPECIALS="Y"))=0,"",'Dvd Calendar'!$AB$2213)))</f>
        <v/>
      </c>
      <c r="AA219" s="161">
        <f>IF(FC219="","",IF(ISNUMBER('Dvd Calendar'!$AC$2213)=FALSE,"",IF((('Dvd Calendar'!$AC$2215=TYPE1)*(TYPE1&lt;&gt;"")+('Dvd Calendar'!$AC$2215=TYPE2)*(TYPE2&lt;&gt;"")+('Dvd Calendar'!$AC$2215=TYPE3)*(TYPE3&lt;&gt;"")+('Dvd Calendar'!$AC$2215=TYPE4)*(TYPE4&lt;&gt;"")+('Dvd Calendar'!$AC$2215=SPECIAL_LBL)*(INC_SPECIALS="Y"))=0,"",'Dvd Calendar'!$AC$2213)))</f>
        <v/>
      </c>
      <c r="AB219" s="161">
        <f>IF(FD219="","",IF(ISNUMBER('Dvd Calendar'!$AD$2213)=FALSE,"",IF((('Dvd Calendar'!$AD$2215=TYPE1)*(TYPE1&lt;&gt;"")+('Dvd Calendar'!$AD$2215=TYPE2)*(TYPE2&lt;&gt;"")+('Dvd Calendar'!$AD$2215=TYPE3)*(TYPE3&lt;&gt;"")+('Dvd Calendar'!$AD$2215=TYPE4)*(TYPE4&lt;&gt;"")+('Dvd Calendar'!$AD$2215=SPECIAL_LBL)*(INC_SPECIALS="Y"))=0,"",'Dvd Calendar'!$AD$2213)))</f>
        <v/>
      </c>
      <c r="AC219" s="161">
        <f>IF(FE219="","",IF(ISNUMBER('Dvd Calendar'!$AE$2213)=FALSE,"",IF((('Dvd Calendar'!$AE$2215=TYPE1)*(TYPE1&lt;&gt;"")+('Dvd Calendar'!$AE$2215=TYPE2)*(TYPE2&lt;&gt;"")+('Dvd Calendar'!$AE$2215=TYPE3)*(TYPE3&lt;&gt;"")+('Dvd Calendar'!$AE$2215=TYPE4)*(TYPE4&lt;&gt;"")+('Dvd Calendar'!$AE$2215=SPECIAL_LBL)*(INC_SPECIALS="Y"))=0,"",'Dvd Calendar'!$AE$2213)))</f>
        <v/>
      </c>
      <c r="AD219" s="161">
        <f>IF(FF219="","",IF(ISNUMBER('Dvd Calendar'!$AF$2213)=FALSE,"",IF((('Dvd Calendar'!$AF$2215=TYPE1)*(TYPE1&lt;&gt;"")+('Dvd Calendar'!$AF$2215=TYPE2)*(TYPE2&lt;&gt;"")+('Dvd Calendar'!$AF$2215=TYPE3)*(TYPE3&lt;&gt;"")+('Dvd Calendar'!$AF$2215=TYPE4)*(TYPE4&lt;&gt;"")+('Dvd Calendar'!$AF$2215=SPECIAL_LBL)*(INC_SPECIALS="Y"))=0,"",'Dvd Calendar'!$AF$2213)))</f>
        <v/>
      </c>
      <c r="AE219" s="161">
        <f>IF(FG219="","",IF(ISNUMBER('Dvd Calendar'!$AG$2213)=FALSE,"",IF((('Dvd Calendar'!$AG$2215=TYPE1)*(TYPE1&lt;&gt;"")+('Dvd Calendar'!$AG$2215=TYPE2)*(TYPE2&lt;&gt;"")+('Dvd Calendar'!$AG$2215=TYPE3)*(TYPE3&lt;&gt;"")+('Dvd Calendar'!$AG$2215=TYPE4)*(TYPE4&lt;&gt;"")+('Dvd Calendar'!$AG$2215=SPECIAL_LBL)*(INC_SPECIALS="Y"))=0,"",'Dvd Calendar'!$AG$2213)))</f>
        <v/>
      </c>
      <c r="AF219" s="161">
        <f>IF(FH219="","",IF(ISNUMBER('Dvd Calendar'!$AH$2213)=FALSE,"",IF((('Dvd Calendar'!$AH$2215=TYPE1)*(TYPE1&lt;&gt;"")+('Dvd Calendar'!$AH$2215=TYPE2)*(TYPE2&lt;&gt;"")+('Dvd Calendar'!$AH$2215=TYPE3)*(TYPE3&lt;&gt;"")+('Dvd Calendar'!$AH$2215=TYPE4)*(TYPE4&lt;&gt;"")+('Dvd Calendar'!$AH$2215=SPECIAL_LBL)*(INC_SPECIALS="Y"))=0,"",'Dvd Calendar'!$AH$2213)))</f>
        <v/>
      </c>
      <c r="AG219" s="161">
        <f>IF(FI219="","",IF(ISNUMBER('Dvd Calendar'!$AI$2213)=FALSE,"",IF((('Dvd Calendar'!$AI$2215=TYPE1)*(TYPE1&lt;&gt;"")+('Dvd Calendar'!$AI$2215=TYPE2)*(TYPE2&lt;&gt;"")+('Dvd Calendar'!$AI$2215=TYPE3)*(TYPE3&lt;&gt;"")+('Dvd Calendar'!$AI$2215=TYPE4)*(TYPE4&lt;&gt;"")+('Dvd Calendar'!$AI$2215=SPECIAL_LBL)*(INC_SPECIALS="Y"))=0,"",'Dvd Calendar'!$AI$2213)))</f>
        <v/>
      </c>
      <c r="AH219" s="161">
        <f>IF(FJ219="","",IF(ISNUMBER('Dvd Calendar'!$AJ$2213)=FALSE,"",IF((('Dvd Calendar'!$AJ$2215=TYPE1)*(TYPE1&lt;&gt;"")+('Dvd Calendar'!$AJ$2215=TYPE2)*(TYPE2&lt;&gt;"")+('Dvd Calendar'!$AJ$2215=TYPE3)*(TYPE3&lt;&gt;"")+('Dvd Calendar'!$AJ$2215=TYPE4)*(TYPE4&lt;&gt;"")+('Dvd Calendar'!$AJ$2215=SPECIAL_LBL)*(INC_SPECIALS="Y"))=0,"",'Dvd Calendar'!$AJ$2213)))</f>
        <v/>
      </c>
      <c r="AI219" s="161">
        <f>IF(FK219="","",IF(ISNUMBER('Dvd Calendar'!$AK$2213)=FALSE,"",IF((('Dvd Calendar'!$AK$2215=TYPE1)*(TYPE1&lt;&gt;"")+('Dvd Calendar'!$AK$2215=TYPE2)*(TYPE2&lt;&gt;"")+('Dvd Calendar'!$AK$2215=TYPE3)*(TYPE3&lt;&gt;"")+('Dvd Calendar'!$AK$2215=TYPE4)*(TYPE4&lt;&gt;"")+('Dvd Calendar'!$AK$2215=SPECIAL_LBL)*(INC_SPECIALS="Y"))=0,"",'Dvd Calendar'!$AK$2213)))</f>
        <v/>
      </c>
      <c r="AJ219" s="161">
        <f>IF(FL219="","",IF(ISNUMBER('Dvd Calendar'!$AL$2213)=FALSE,"",IF((('Dvd Calendar'!$AL$2215=TYPE1)*(TYPE1&lt;&gt;"")+('Dvd Calendar'!$AL$2215=TYPE2)*(TYPE2&lt;&gt;"")+('Dvd Calendar'!$AL$2215=TYPE3)*(TYPE3&lt;&gt;"")+('Dvd Calendar'!$AL$2215=TYPE4)*(TYPE4&lt;&gt;"")+('Dvd Calendar'!$AL$2215=SPECIAL_LBL)*(INC_SPECIALS="Y"))=0,"",'Dvd Calendar'!$AL$2213)))</f>
        <v/>
      </c>
      <c r="AK219" s="161">
        <f>IF(FM219="","",IF(ISNUMBER('Dvd Calendar'!$AM$2213)=FALSE,"",IF((('Dvd Calendar'!$AM$2215=TYPE1)*(TYPE1&lt;&gt;"")+('Dvd Calendar'!$AM$2215=TYPE2)*(TYPE2&lt;&gt;"")+('Dvd Calendar'!$AM$2215=TYPE3)*(TYPE3&lt;&gt;"")+('Dvd Calendar'!$AM$2215=TYPE4)*(TYPE4&lt;&gt;"")+('Dvd Calendar'!$AM$2215=SPECIAL_LBL)*(INC_SPECIALS="Y"))=0,"",'Dvd Calendar'!$AM$2213)))</f>
        <v/>
      </c>
      <c r="AL219" s="161">
        <f>IF(FN219="","",IF(ISNUMBER('Dvd Calendar'!$AN$2213)=FALSE,"",IF((('Dvd Calendar'!$AN$2215=TYPE1)*(TYPE1&lt;&gt;"")+('Dvd Calendar'!$AN$2215=TYPE2)*(TYPE2&lt;&gt;"")+('Dvd Calendar'!$AN$2215=TYPE3)*(TYPE3&lt;&gt;"")+('Dvd Calendar'!$AN$2215=TYPE4)*(TYPE4&lt;&gt;"")+('Dvd Calendar'!$AN$2215=SPECIAL_LBL)*(INC_SPECIALS="Y"))=0,"",'Dvd Calendar'!$AN$2213)))</f>
        <v/>
      </c>
      <c r="AM219" s="161">
        <f>IF(FO219="","",IF(ISNUMBER('Dvd Calendar'!$AO$2213)=FALSE,"",IF((('Dvd Calendar'!$AO$2215=TYPE1)*(TYPE1&lt;&gt;"")+('Dvd Calendar'!$AO$2215=TYPE2)*(TYPE2&lt;&gt;"")+('Dvd Calendar'!$AO$2215=TYPE3)*(TYPE3&lt;&gt;"")+('Dvd Calendar'!$AO$2215=TYPE4)*(TYPE4&lt;&gt;"")+('Dvd Calendar'!$AO$2215=SPECIAL_LBL)*(INC_SPECIALS="Y"))=0,"",'Dvd Calendar'!$AO$2213)))</f>
        <v/>
      </c>
      <c r="AN219" s="161">
        <f>IF(FP219="","",IF(ISNUMBER('Dvd Calendar'!$AP$2213)=FALSE,"",IF((('Dvd Calendar'!$AP$2215=TYPE1)*(TYPE1&lt;&gt;"")+('Dvd Calendar'!$AP$2215=TYPE2)*(TYPE2&lt;&gt;"")+('Dvd Calendar'!$AP$2215=TYPE3)*(TYPE3&lt;&gt;"")+('Dvd Calendar'!$AP$2215=TYPE4)*(TYPE4&lt;&gt;"")+('Dvd Calendar'!$AP$2215=SPECIAL_LBL)*(INC_SPECIALS="Y"))=0,"",'Dvd Calendar'!$AP$2213)))</f>
        <v/>
      </c>
      <c r="AO219" s="161">
        <f>IF(FQ219="","",IF(ISNUMBER('Dvd Calendar'!$AQ$2213)=FALSE,"",IF((('Dvd Calendar'!$AQ$2215=TYPE1)*(TYPE1&lt;&gt;"")+('Dvd Calendar'!$AQ$2215=TYPE2)*(TYPE2&lt;&gt;"")+('Dvd Calendar'!$AQ$2215=TYPE3)*(TYPE3&lt;&gt;"")+('Dvd Calendar'!$AQ$2215=TYPE4)*(TYPE4&lt;&gt;"")+('Dvd Calendar'!$AQ$2215=SPECIAL_LBL)*(INC_SPECIALS="Y"))=0,"",'Dvd Calendar'!$AQ$2213)))</f>
        <v/>
      </c>
      <c r="AP219" s="161">
        <f>IF(FR219="","",IF(ISNUMBER('Dvd Calendar'!$AR$2213)=FALSE,"",IF((('Dvd Calendar'!$AR$2215=TYPE1)*(TYPE1&lt;&gt;"")+('Dvd Calendar'!$AR$2215=TYPE2)*(TYPE2&lt;&gt;"")+('Dvd Calendar'!$AR$2215=TYPE3)*(TYPE3&lt;&gt;"")+('Dvd Calendar'!$AR$2215=TYPE4)*(TYPE4&lt;&gt;"")+('Dvd Calendar'!$AR$2215=SPECIAL_LBL)*(INC_SPECIALS="Y"))=0,"",'Dvd Calendar'!$AR$2213)))</f>
        <v/>
      </c>
      <c r="AQ219" s="161">
        <f>IF(FS219="","",IF(ISNUMBER('Dvd Calendar'!$E$2218)=FALSE,"",'Dvd Calendar'!$E$2218))</f>
        <v/>
      </c>
      <c r="AR219" s="161">
        <f>IF(FT219="","",IF(ISNUMBER('Dvd Calendar'!$F$2218)=FALSE,"",'Dvd Calendar'!$F$2218))</f>
        <v/>
      </c>
      <c r="AS219" s="161">
        <f>IF(FU219="","",IF(ISNUMBER('Dvd Calendar'!$G$2218)=FALSE,"",'Dvd Calendar'!$G$2218))</f>
        <v/>
      </c>
      <c r="AT219" s="161">
        <f>IF(FV219="","",IF(ISNUMBER('Dvd Calendar'!$H$2218)=FALSE,"",'Dvd Calendar'!$H$2218))</f>
        <v/>
      </c>
      <c r="AU219" s="161">
        <f>IF(FW219="","",IF(ISNUMBER('Dvd Calendar'!$I$2218)=FALSE,"",'Dvd Calendar'!$I$2218))</f>
        <v/>
      </c>
      <c r="AV219" s="161">
        <f>IF(FX219="","",IF(ISNUMBER('Dvd Calendar'!$J$2218)=FALSE,"",'Dvd Calendar'!$J$2218))</f>
        <v/>
      </c>
      <c r="AW219" s="161">
        <f>IF(FY219="","",IF(ISNUMBER('Dvd Calendar'!$K$2218)=FALSE,"",'Dvd Calendar'!$K$2218))</f>
        <v/>
      </c>
      <c r="AX219" s="161">
        <f>IF(FZ219="","",IF(ISNUMBER('Dvd Calendar'!$L$2218)=FALSE,"",'Dvd Calendar'!$L$2218))</f>
        <v/>
      </c>
      <c r="AY219" s="161">
        <f>IF(GA219="","",IF(ISNUMBER('Dvd Calendar'!$M$2218)=FALSE,"",'Dvd Calendar'!$M$2218))</f>
        <v/>
      </c>
      <c r="AZ219" s="161">
        <f>IF(GB219="","",IF(ISNUMBER('Dvd Calendar'!$N$2218)=FALSE,"",'Dvd Calendar'!$N$2218))</f>
        <v/>
      </c>
      <c r="BA219" s="161">
        <f>IF(GC219="","",IF(ISNUMBER('Dvd Calendar'!$O$2218)=FALSE,"",'Dvd Calendar'!$O$2218))</f>
        <v/>
      </c>
      <c r="BB219" s="161">
        <f>IF(GD219="","",IF(ISNUMBER('Dvd Calendar'!$P$2218)=FALSE,"",'Dvd Calendar'!$P$2218))</f>
        <v/>
      </c>
      <c r="BC219" s="161">
        <f>IF(GE219="","",IF(ISNUMBER('Dvd Calendar'!$Q$2218)=FALSE,"",'Dvd Calendar'!$Q$2218))</f>
        <v/>
      </c>
      <c r="BD219" s="161">
        <f>IF(GF219="","",IF(ISNUMBER('Dvd Calendar'!$R$2218)=FALSE,"",'Dvd Calendar'!$R$2218))</f>
        <v/>
      </c>
      <c r="BE219" s="161">
        <f>IF(GG219="","",IF(ISNUMBER('Dvd Calendar'!$S$2218)=FALSE,"",'Dvd Calendar'!$S$2218))</f>
        <v/>
      </c>
      <c r="BF219" s="161">
        <f>IF(GH219="","",IF(ISNUMBER('Dvd Calendar'!$T$2218)=FALSE,"",'Dvd Calendar'!$T$2218))</f>
        <v/>
      </c>
      <c r="BG219" s="161">
        <f>IF(GI219="","",IF(ISNUMBER('Dvd Calendar'!$U$2218)=FALSE,"",'Dvd Calendar'!$U$2218))</f>
        <v/>
      </c>
      <c r="BH219" s="161">
        <f>IF(GJ219="","",IF(ISNUMBER('Dvd Calendar'!$V$2218)=FALSE,"",'Dvd Calendar'!$V$2218))</f>
        <v/>
      </c>
      <c r="BI219" s="161">
        <f>IF(GK219="","",IF(ISNUMBER('Dvd Calendar'!$W$2218)=FALSE,"",'Dvd Calendar'!$W$2218))</f>
        <v/>
      </c>
      <c r="BJ219" s="161">
        <f>IF(GL219="","",IF(ISNUMBER('Dvd Calendar'!$X$2218)=FALSE,"",'Dvd Calendar'!$X$2218))</f>
        <v/>
      </c>
      <c r="BK219" s="161">
        <f>IF(GM219="","",IF(ISNUMBER('Dvd Calendar'!$Y$2218)=FALSE,"",'Dvd Calendar'!$Y$2218))</f>
        <v/>
      </c>
      <c r="BL219" s="161">
        <f>IF(GN219="","",IF(ISNUMBER('Dvd Calendar'!$Z$2218)=FALSE,"",'Dvd Calendar'!$Z$2218))</f>
        <v/>
      </c>
      <c r="BM219" s="161">
        <f>IF(GO219="","",IF(ISNUMBER('Dvd Calendar'!$AA$2218)=FALSE,"",'Dvd Calendar'!$AA$2218))</f>
        <v/>
      </c>
      <c r="BN219" s="161">
        <f>IF(GP219="","",IF(ISNUMBER('Dvd Calendar'!$AB$2218)=FALSE,"",'Dvd Calendar'!$AB$2218))</f>
        <v/>
      </c>
      <c r="BO219" s="161">
        <f>IF(GQ219="","",IF(ISNUMBER('Dvd Calendar'!$AC$2218)=FALSE,"",'Dvd Calendar'!$AC$2218))</f>
        <v/>
      </c>
      <c r="BQ219" s="161">
        <f>IF(C219="","",IFERROR(C219*HSCEI!$B$66*HSCEI!$G$66/HSCEI!$B$3,""))</f>
        <v/>
      </c>
      <c r="BR219" s="161">
        <f>IF(D219="","",IFERROR(D219*HSCEI!$B$66*HSCEI!$G$66/HSCEI!$B$3,""))</f>
        <v/>
      </c>
      <c r="BS219" s="161">
        <f>IF(E219="","",IFERROR(E219*HSCEI!$B$66*HSCEI!$G$66/HSCEI!$B$3,""))</f>
        <v/>
      </c>
      <c r="BT219" s="161">
        <f>IF(F219="","",IFERROR(F219*HSCEI!$B$66*HSCEI!$G$66/HSCEI!$B$3,""))</f>
        <v/>
      </c>
      <c r="BU219" s="161">
        <f>IF(G219="","",IFERROR(G219*HSCEI!$B$66*HSCEI!$G$66/HSCEI!$B$3,""))</f>
        <v/>
      </c>
      <c r="BV219" s="161">
        <f>IF(H219="","",IFERROR(H219*HSCEI!$B$66*HSCEI!$G$66/HSCEI!$B$3,""))</f>
        <v/>
      </c>
      <c r="BW219" s="161">
        <f>IF(I219="","",IFERROR(I219*HSCEI!$B$66*HSCEI!$G$66/HSCEI!$B$3,""))</f>
        <v/>
      </c>
      <c r="BX219" s="161">
        <f>IF(J219="","",IFERROR(J219*HSCEI!$B$66*HSCEI!$G$66/HSCEI!$B$3,""))</f>
        <v/>
      </c>
      <c r="BY219" s="161">
        <f>IF(K219="","",IFERROR(K219*HSCEI!$B$66*HSCEI!$G$66/HSCEI!$B$3,""))</f>
        <v/>
      </c>
      <c r="BZ219" s="161">
        <f>IF(L219="","",IFERROR(L219*HSCEI!$B$66*HSCEI!$G$66/HSCEI!$B$3,""))</f>
        <v/>
      </c>
      <c r="CA219" s="161">
        <f>IF(M219="","",IFERROR(M219*HSCEI!$B$66*HSCEI!$G$66/HSCEI!$B$3,""))</f>
        <v/>
      </c>
      <c r="CB219" s="161">
        <f>IF(N219="","",IFERROR(N219*HSCEI!$B$66*HSCEI!$G$66/HSCEI!$B$3,""))</f>
        <v/>
      </c>
      <c r="CC219" s="161">
        <f>IF(O219="","",IFERROR(O219*HSCEI!$B$66*HSCEI!$G$66/HSCEI!$B$3,""))</f>
        <v/>
      </c>
      <c r="CD219" s="161">
        <f>IF(P219="","",IFERROR(P219*HSCEI!$B$66*HSCEI!$G$66/HSCEI!$B$3,""))</f>
        <v/>
      </c>
      <c r="CE219" s="161">
        <f>IF(Q219="","",IFERROR(Q219*HSCEI!$B$66*HSCEI!$G$66/HSCEI!$B$3,""))</f>
        <v/>
      </c>
      <c r="CF219" s="161">
        <f>IF(R219="","",IFERROR(R219*HSCEI!$B$66*HSCEI!$G$66/HSCEI!$B$3,""))</f>
        <v/>
      </c>
      <c r="CG219" s="161">
        <f>IF(S219="","",IFERROR(S219*HSCEI!$B$66*HSCEI!$G$66/HSCEI!$B$3,""))</f>
        <v/>
      </c>
      <c r="CH219" s="161">
        <f>IF(T219="","",IFERROR(T219*HSCEI!$B$66*HSCEI!$G$66/HSCEI!$B$3,""))</f>
        <v/>
      </c>
      <c r="CI219" s="161">
        <f>IF(U219="","",IFERROR(U219*HSCEI!$B$66*HSCEI!$G$66/HSCEI!$B$3,""))</f>
        <v/>
      </c>
      <c r="CJ219" s="161">
        <f>IF(V219="","",IFERROR(V219*HSCEI!$B$66*HSCEI!$G$66/HSCEI!$B$3,""))</f>
        <v/>
      </c>
      <c r="CK219" s="161">
        <f>IF(W219="","",IFERROR(W219*HSCEI!$B$66*HSCEI!$G$66/HSCEI!$B$3,""))</f>
        <v/>
      </c>
      <c r="CL219" s="161">
        <f>IF(X219="","",IFERROR(X219*HSCEI!$B$66*HSCEI!$G$66/HSCEI!$B$3,""))</f>
        <v/>
      </c>
      <c r="CM219" s="161">
        <f>IF(Y219="","",IFERROR(Y219*HSCEI!$B$66*HSCEI!$G$66/HSCEI!$B$3,""))</f>
        <v/>
      </c>
      <c r="CN219" s="161">
        <f>IF(Z219="","",IFERROR(Z219*HSCEI!$B$66*HSCEI!$G$66/HSCEI!$B$3,""))</f>
        <v/>
      </c>
      <c r="CO219" s="161">
        <f>IF(AA219="","",IFERROR(AA219*HSCEI!$B$66*HSCEI!$G$66/HSCEI!$B$3,""))</f>
        <v/>
      </c>
      <c r="CP219" s="161">
        <f>IF(AB219="","",IFERROR(AB219*HSCEI!$B$66*HSCEI!$G$66/HSCEI!$B$3,""))</f>
        <v/>
      </c>
      <c r="CQ219" s="161">
        <f>IF(AC219="","",IFERROR(AC219*HSCEI!$B$66*HSCEI!$G$66/HSCEI!$B$3,""))</f>
        <v/>
      </c>
      <c r="CR219" s="161">
        <f>IF(AD219="","",IFERROR(AD219*HSCEI!$B$66*HSCEI!$G$66/HSCEI!$B$3,""))</f>
        <v/>
      </c>
      <c r="CS219" s="161">
        <f>IF(AE219="","",IFERROR(AE219*HSCEI!$B$66*HSCEI!$G$66/HSCEI!$B$3,""))</f>
        <v/>
      </c>
      <c r="CT219" s="161">
        <f>IF(AF219="","",IFERROR(AF219*HSCEI!$B$66*HSCEI!$G$66/HSCEI!$B$3,""))</f>
        <v/>
      </c>
      <c r="CU219" s="161">
        <f>IF(AG219="","",IFERROR(AG219*HSCEI!$B$66*HSCEI!$G$66/HSCEI!$B$3,""))</f>
        <v/>
      </c>
      <c r="CV219" s="161">
        <f>IF(AH219="","",IFERROR(AH219*HSCEI!$B$66*HSCEI!$G$66/HSCEI!$B$3,""))</f>
        <v/>
      </c>
      <c r="CW219" s="161">
        <f>IF(AI219="","",IFERROR(AI219*HSCEI!$B$66*HSCEI!$G$66/HSCEI!$B$3,""))</f>
        <v/>
      </c>
      <c r="CX219" s="161">
        <f>IF(AJ219="","",IFERROR(AJ219*HSCEI!$B$66*HSCEI!$G$66/HSCEI!$B$3,""))</f>
        <v/>
      </c>
      <c r="CY219" s="161">
        <f>IF(AK219="","",IFERROR(AK219*HSCEI!$B$66*HSCEI!$G$66/HSCEI!$B$3,""))</f>
        <v/>
      </c>
      <c r="CZ219" s="161">
        <f>IF(AL219="","",IFERROR(AL219*HSCEI!$B$66*HSCEI!$G$66/HSCEI!$B$3,""))</f>
        <v/>
      </c>
      <c r="DA219" s="161">
        <f>IF(AM219="","",IFERROR(AM219*HSCEI!$B$66*HSCEI!$G$66/HSCEI!$B$3,""))</f>
        <v/>
      </c>
      <c r="DB219" s="161">
        <f>IF(AN219="","",IFERROR(AN219*HSCEI!$B$66*HSCEI!$G$66/HSCEI!$B$3,""))</f>
        <v/>
      </c>
      <c r="DC219" s="161">
        <f>IF(AO219="","",IFERROR(AO219*HSCEI!$B$66*HSCEI!$G$66/HSCEI!$B$3,""))</f>
        <v/>
      </c>
      <c r="DD219" s="161">
        <f>IF(AP219="","",IFERROR(AP219*HSCEI!$B$66*HSCEI!$G$66/HSCEI!$B$3,""))</f>
        <v/>
      </c>
      <c r="DE219" s="161">
        <f>IF(AQ219="","",IFERROR(AQ219*HSCEI!$B$66*HSCEI!$G$66/HSCEI!$B$3,""))</f>
        <v/>
      </c>
      <c r="DF219" s="161">
        <f>IF(AR219="","",IFERROR(AR219*HSCEI!$B$66*HSCEI!$G$66/HSCEI!$B$3,""))</f>
        <v/>
      </c>
      <c r="DG219" s="161">
        <f>IF(AS219="","",IFERROR(AS219*HSCEI!$B$66*HSCEI!$G$66/HSCEI!$B$3,""))</f>
        <v/>
      </c>
      <c r="DH219" s="161">
        <f>IF(AT219="","",IFERROR(AT219*HSCEI!$B$66*HSCEI!$G$66/HSCEI!$B$3,""))</f>
        <v/>
      </c>
      <c r="DI219" s="161">
        <f>IF(AU219="","",IFERROR(AU219*HSCEI!$B$66*HSCEI!$G$66/HSCEI!$B$3,""))</f>
        <v/>
      </c>
      <c r="DJ219" s="161">
        <f>IF(AV219="","",IFERROR(AV219*HSCEI!$B$66*HSCEI!$G$66/HSCEI!$B$3,""))</f>
        <v/>
      </c>
      <c r="DK219" s="161">
        <f>IF(AW219="","",IFERROR(AW219*HSCEI!$B$66*HSCEI!$G$66/HSCEI!$B$3,""))</f>
        <v/>
      </c>
      <c r="DL219" s="161">
        <f>IF(AX219="","",IFERROR(AX219*HSCEI!$B$66*HSCEI!$G$66/HSCEI!$B$3,""))</f>
        <v/>
      </c>
      <c r="DM219" s="161">
        <f>IF(AY219="","",IFERROR(AY219*HSCEI!$B$66*HSCEI!$G$66/HSCEI!$B$3,""))</f>
        <v/>
      </c>
      <c r="DN219" s="161">
        <f>IF(AZ219="","",IFERROR(AZ219*HSCEI!$B$66*HSCEI!$G$66/HSCEI!$B$3,""))</f>
        <v/>
      </c>
      <c r="DO219" s="161">
        <f>IF(BA219="","",IFERROR(BA219*HSCEI!$B$66*HSCEI!$G$66/HSCEI!$B$3,""))</f>
        <v/>
      </c>
      <c r="DP219" s="161">
        <f>IF(BB219="","",IFERROR(BB219*HSCEI!$B$66*HSCEI!$G$66/HSCEI!$B$3,""))</f>
        <v/>
      </c>
      <c r="DQ219" s="161">
        <f>IF(BC219="","",IFERROR(BC219*HSCEI!$B$66*HSCEI!$G$66/HSCEI!$B$3,""))</f>
        <v/>
      </c>
      <c r="DR219" s="161">
        <f>IF(BD219="","",IFERROR(BD219*HSCEI!$B$66*HSCEI!$G$66/HSCEI!$B$3,""))</f>
        <v/>
      </c>
      <c r="DS219" s="161">
        <f>IF(BE219="","",IFERROR(BE219*HSCEI!$B$66*HSCEI!$G$66/HSCEI!$B$3,""))</f>
        <v/>
      </c>
      <c r="DT219" s="161">
        <f>IF(BF219="","",IFERROR(BF219*HSCEI!$B$66*HSCEI!$G$66/HSCEI!$B$3,""))</f>
        <v/>
      </c>
      <c r="DU219" s="161">
        <f>IF(BG219="","",IFERROR(BG219*HSCEI!$B$66*HSCEI!$G$66/HSCEI!$B$3,""))</f>
        <v/>
      </c>
      <c r="DV219" s="161">
        <f>IF(BH219="","",IFERROR(BH219*HSCEI!$B$66*HSCEI!$G$66/HSCEI!$B$3,""))</f>
        <v/>
      </c>
      <c r="DW219" s="161">
        <f>IF(BI219="","",IFERROR(BI219*HSCEI!$B$66*HSCEI!$G$66/HSCEI!$B$3,""))</f>
        <v/>
      </c>
      <c r="DX219" s="161">
        <f>IF(BJ219="","",IFERROR(BJ219*HSCEI!$B$66*HSCEI!$G$66/HSCEI!$B$3,""))</f>
        <v/>
      </c>
      <c r="DY219" s="161">
        <f>IF(BK219="","",IFERROR(BK219*HSCEI!$B$66*HSCEI!$G$66/HSCEI!$B$3,""))</f>
        <v/>
      </c>
      <c r="DZ219" s="161">
        <f>IF(BL219="","",IFERROR(BL219*HSCEI!$B$66*HSCEI!$G$66/HSCEI!$B$3,""))</f>
        <v/>
      </c>
      <c r="EA219" s="161">
        <f>IF(BM219="","",IFERROR(BM219*HSCEI!$B$66*HSCEI!$G$66/HSCEI!$B$3,""))</f>
        <v/>
      </c>
      <c r="EB219" s="161">
        <f>IF(BN219="","",IFERROR(BN219*HSCEI!$B$66*HSCEI!$G$66/HSCEI!$B$3,""))</f>
        <v/>
      </c>
      <c r="EC219" s="161">
        <f>IF(BO219="","",IFERROR(BO219*HSCEI!$B$66*HSCEI!$G$66/HSCEI!$B$3,""))</f>
        <v/>
      </c>
      <c r="EE219" s="121">
        <f>IF(N('Dvd Calendar'!$E$2210)=0,"",IF(('Dvd Calendar'!$E$2210&gt;=GRID_FROM)*('Dvd Calendar'!$E$2210&lt;=GRID_TO)*((('Dvd Calendar'!$E$2210&lt;=VAL_DATE)+(COUNTIF('Dvd Calendar'!$E$2217:$AR$2217,'Dvd Calendar'!$E$2210)=0))&gt;0)=0,"",'Dvd Calendar'!$E$2210*1000000000+ISNUMBER('Dvd Calendar'!$E$2213)*100000000+('Dvd Calendar'!$E$2215=SPECIAL_LBL)*10000000+(N('Dvd Calendar'!$E$2209)&gt;0)*(N('Dvd Calendar'!$E$2209)&lt;=VAL_SERIAL)*1000000+60*1000+1))</f>
        <v/>
      </c>
      <c r="EF219" s="121">
        <f>IF(N('Dvd Calendar'!$F$2210)=0,"",IF(('Dvd Calendar'!$F$2210&gt;=GRID_FROM)*('Dvd Calendar'!$F$2210&lt;=GRID_TO)*((('Dvd Calendar'!$F$2210&lt;=VAL_DATE)+(COUNTIF('Dvd Calendar'!$E$2217:$AR$2217,'Dvd Calendar'!$F$2210)=0))&gt;0)=0,"",'Dvd Calendar'!$F$2210*1000000000+ISNUMBER('Dvd Calendar'!$F$2213)*100000000+('Dvd Calendar'!$F$2215=SPECIAL_LBL)*10000000+(N('Dvd Calendar'!$F$2209)&gt;0)*(N('Dvd Calendar'!$F$2209)&lt;=VAL_SERIAL)*1000000+60*1000+2))</f>
        <v/>
      </c>
      <c r="EG219" s="121">
        <f>IF(N('Dvd Calendar'!$G$2210)=0,"",IF(('Dvd Calendar'!$G$2210&gt;=GRID_FROM)*('Dvd Calendar'!$G$2210&lt;=GRID_TO)*((('Dvd Calendar'!$G$2210&lt;=VAL_DATE)+(COUNTIF('Dvd Calendar'!$E$2217:$AR$2217,'Dvd Calendar'!$G$2210)=0))&gt;0)=0,"",'Dvd Calendar'!$G$2210*1000000000+ISNUMBER('Dvd Calendar'!$G$2213)*100000000+('Dvd Calendar'!$G$2215=SPECIAL_LBL)*10000000+(N('Dvd Calendar'!$G$2209)&gt;0)*(N('Dvd Calendar'!$G$2209)&lt;=VAL_SERIAL)*1000000+60*1000+3))</f>
        <v/>
      </c>
      <c r="EH219" s="121">
        <f>IF(N('Dvd Calendar'!$H$2210)=0,"",IF(('Dvd Calendar'!$H$2210&gt;=GRID_FROM)*('Dvd Calendar'!$H$2210&lt;=GRID_TO)*((('Dvd Calendar'!$H$2210&lt;=VAL_DATE)+(COUNTIF('Dvd Calendar'!$E$2217:$AR$2217,'Dvd Calendar'!$H$2210)=0))&gt;0)=0,"",'Dvd Calendar'!$H$2210*1000000000+ISNUMBER('Dvd Calendar'!$H$2213)*100000000+('Dvd Calendar'!$H$2215=SPECIAL_LBL)*10000000+(N('Dvd Calendar'!$H$2209)&gt;0)*(N('Dvd Calendar'!$H$2209)&lt;=VAL_SERIAL)*1000000+60*1000+4))</f>
        <v/>
      </c>
      <c r="EI219" s="121">
        <f>IF(N('Dvd Calendar'!$I$2210)=0,"",IF(('Dvd Calendar'!$I$2210&gt;=GRID_FROM)*('Dvd Calendar'!$I$2210&lt;=GRID_TO)*((('Dvd Calendar'!$I$2210&lt;=VAL_DATE)+(COUNTIF('Dvd Calendar'!$E$2217:$AR$2217,'Dvd Calendar'!$I$2210)=0))&gt;0)=0,"",'Dvd Calendar'!$I$2210*1000000000+ISNUMBER('Dvd Calendar'!$I$2213)*100000000+('Dvd Calendar'!$I$2215=SPECIAL_LBL)*10000000+(N('Dvd Calendar'!$I$2209)&gt;0)*(N('Dvd Calendar'!$I$2209)&lt;=VAL_SERIAL)*1000000+60*1000+5))</f>
        <v/>
      </c>
      <c r="EJ219" s="121">
        <f>IF(N('Dvd Calendar'!$J$2210)=0,"",IF(('Dvd Calendar'!$J$2210&gt;=GRID_FROM)*('Dvd Calendar'!$J$2210&lt;=GRID_TO)*((('Dvd Calendar'!$J$2210&lt;=VAL_DATE)+(COUNTIF('Dvd Calendar'!$E$2217:$AR$2217,'Dvd Calendar'!$J$2210)=0))&gt;0)=0,"",'Dvd Calendar'!$J$2210*1000000000+ISNUMBER('Dvd Calendar'!$J$2213)*100000000+('Dvd Calendar'!$J$2215=SPECIAL_LBL)*10000000+(N('Dvd Calendar'!$J$2209)&gt;0)*(N('Dvd Calendar'!$J$2209)&lt;=VAL_SERIAL)*1000000+60*1000+6))</f>
        <v/>
      </c>
      <c r="EK219" s="121">
        <f>IF(N('Dvd Calendar'!$K$2210)=0,"",IF(('Dvd Calendar'!$K$2210&gt;=GRID_FROM)*('Dvd Calendar'!$K$2210&lt;=GRID_TO)*((('Dvd Calendar'!$K$2210&lt;=VAL_DATE)+(COUNTIF('Dvd Calendar'!$E$2217:$AR$2217,'Dvd Calendar'!$K$2210)=0))&gt;0)=0,"",'Dvd Calendar'!$K$2210*1000000000+ISNUMBER('Dvd Calendar'!$K$2213)*100000000+('Dvd Calendar'!$K$2215=SPECIAL_LBL)*10000000+(N('Dvd Calendar'!$K$2209)&gt;0)*(N('Dvd Calendar'!$K$2209)&lt;=VAL_SERIAL)*1000000+60*1000+7))</f>
        <v/>
      </c>
      <c r="EL219" s="121">
        <f>IF(N('Dvd Calendar'!$L$2210)=0,"",IF(('Dvd Calendar'!$L$2210&gt;=GRID_FROM)*('Dvd Calendar'!$L$2210&lt;=GRID_TO)*((('Dvd Calendar'!$L$2210&lt;=VAL_DATE)+(COUNTIF('Dvd Calendar'!$E$2217:$AR$2217,'Dvd Calendar'!$L$2210)=0))&gt;0)=0,"",'Dvd Calendar'!$L$2210*1000000000+ISNUMBER('Dvd Calendar'!$L$2213)*100000000+('Dvd Calendar'!$L$2215=SPECIAL_LBL)*10000000+(N('Dvd Calendar'!$L$2209)&gt;0)*(N('Dvd Calendar'!$L$2209)&lt;=VAL_SERIAL)*1000000+60*1000+8))</f>
        <v/>
      </c>
      <c r="EM219" s="121">
        <f>IF(N('Dvd Calendar'!$M$2210)=0,"",IF(('Dvd Calendar'!$M$2210&gt;=GRID_FROM)*('Dvd Calendar'!$M$2210&lt;=GRID_TO)*((('Dvd Calendar'!$M$2210&lt;=VAL_DATE)+(COUNTIF('Dvd Calendar'!$E$2217:$AR$2217,'Dvd Calendar'!$M$2210)=0))&gt;0)=0,"",'Dvd Calendar'!$M$2210*1000000000+ISNUMBER('Dvd Calendar'!$M$2213)*100000000+('Dvd Calendar'!$M$2215=SPECIAL_LBL)*10000000+(N('Dvd Calendar'!$M$2209)&gt;0)*(N('Dvd Calendar'!$M$2209)&lt;=VAL_SERIAL)*1000000+60*1000+9))</f>
        <v/>
      </c>
      <c r="EN219" s="121">
        <f>IF(N('Dvd Calendar'!$N$2210)=0,"",IF(('Dvd Calendar'!$N$2210&gt;=GRID_FROM)*('Dvd Calendar'!$N$2210&lt;=GRID_TO)*((('Dvd Calendar'!$N$2210&lt;=VAL_DATE)+(COUNTIF('Dvd Calendar'!$E$2217:$AR$2217,'Dvd Calendar'!$N$2210)=0))&gt;0)=0,"",'Dvd Calendar'!$N$2210*1000000000+ISNUMBER('Dvd Calendar'!$N$2213)*100000000+('Dvd Calendar'!$N$2215=SPECIAL_LBL)*10000000+(N('Dvd Calendar'!$N$2209)&gt;0)*(N('Dvd Calendar'!$N$2209)&lt;=VAL_SERIAL)*1000000+60*1000+10))</f>
        <v/>
      </c>
      <c r="EO219" s="121">
        <f>IF(N('Dvd Calendar'!$O$2210)=0,"",IF(('Dvd Calendar'!$O$2210&gt;=GRID_FROM)*('Dvd Calendar'!$O$2210&lt;=GRID_TO)*((('Dvd Calendar'!$O$2210&lt;=VAL_DATE)+(COUNTIF('Dvd Calendar'!$E$2217:$AR$2217,'Dvd Calendar'!$O$2210)=0))&gt;0)=0,"",'Dvd Calendar'!$O$2210*1000000000+ISNUMBER('Dvd Calendar'!$O$2213)*100000000+('Dvd Calendar'!$O$2215=SPECIAL_LBL)*10000000+(N('Dvd Calendar'!$O$2209)&gt;0)*(N('Dvd Calendar'!$O$2209)&lt;=VAL_SERIAL)*1000000+60*1000+11))</f>
        <v/>
      </c>
      <c r="EP219" s="121">
        <f>IF(N('Dvd Calendar'!$P$2210)=0,"",IF(('Dvd Calendar'!$P$2210&gt;=GRID_FROM)*('Dvd Calendar'!$P$2210&lt;=GRID_TO)*((('Dvd Calendar'!$P$2210&lt;=VAL_DATE)+(COUNTIF('Dvd Calendar'!$E$2217:$AR$2217,'Dvd Calendar'!$P$2210)=0))&gt;0)=0,"",'Dvd Calendar'!$P$2210*1000000000+ISNUMBER('Dvd Calendar'!$P$2213)*100000000+('Dvd Calendar'!$P$2215=SPECIAL_LBL)*10000000+(N('Dvd Calendar'!$P$2209)&gt;0)*(N('Dvd Calendar'!$P$2209)&lt;=VAL_SERIAL)*1000000+60*1000+12))</f>
        <v/>
      </c>
      <c r="EQ219" s="121">
        <f>IF(N('Dvd Calendar'!$Q$2210)=0,"",IF(('Dvd Calendar'!$Q$2210&gt;=GRID_FROM)*('Dvd Calendar'!$Q$2210&lt;=GRID_TO)*((('Dvd Calendar'!$Q$2210&lt;=VAL_DATE)+(COUNTIF('Dvd Calendar'!$E$2217:$AR$2217,'Dvd Calendar'!$Q$2210)=0))&gt;0)=0,"",'Dvd Calendar'!$Q$2210*1000000000+ISNUMBER('Dvd Calendar'!$Q$2213)*100000000+('Dvd Calendar'!$Q$2215=SPECIAL_LBL)*10000000+(N('Dvd Calendar'!$Q$2209)&gt;0)*(N('Dvd Calendar'!$Q$2209)&lt;=VAL_SERIAL)*1000000+60*1000+13))</f>
        <v/>
      </c>
      <c r="ER219" s="121">
        <f>IF(N('Dvd Calendar'!$R$2210)=0,"",IF(('Dvd Calendar'!$R$2210&gt;=GRID_FROM)*('Dvd Calendar'!$R$2210&lt;=GRID_TO)*((('Dvd Calendar'!$R$2210&lt;=VAL_DATE)+(COUNTIF('Dvd Calendar'!$E$2217:$AR$2217,'Dvd Calendar'!$R$2210)=0))&gt;0)=0,"",'Dvd Calendar'!$R$2210*1000000000+ISNUMBER('Dvd Calendar'!$R$2213)*100000000+('Dvd Calendar'!$R$2215=SPECIAL_LBL)*10000000+(N('Dvd Calendar'!$R$2209)&gt;0)*(N('Dvd Calendar'!$R$2209)&lt;=VAL_SERIAL)*1000000+60*1000+14))</f>
        <v/>
      </c>
      <c r="ES219" s="121">
        <f>IF(N('Dvd Calendar'!$S$2210)=0,"",IF(('Dvd Calendar'!$S$2210&gt;=GRID_FROM)*('Dvd Calendar'!$S$2210&lt;=GRID_TO)*((('Dvd Calendar'!$S$2210&lt;=VAL_DATE)+(COUNTIF('Dvd Calendar'!$E$2217:$AR$2217,'Dvd Calendar'!$S$2210)=0))&gt;0)=0,"",'Dvd Calendar'!$S$2210*1000000000+ISNUMBER('Dvd Calendar'!$S$2213)*100000000+('Dvd Calendar'!$S$2215=SPECIAL_LBL)*10000000+(N('Dvd Calendar'!$S$2209)&gt;0)*(N('Dvd Calendar'!$S$2209)&lt;=VAL_SERIAL)*1000000+60*1000+15))</f>
        <v/>
      </c>
      <c r="ET219" s="121">
        <f>IF(N('Dvd Calendar'!$T$2210)=0,"",IF(('Dvd Calendar'!$T$2210&gt;=GRID_FROM)*('Dvd Calendar'!$T$2210&lt;=GRID_TO)*((('Dvd Calendar'!$T$2210&lt;=VAL_DATE)+(COUNTIF('Dvd Calendar'!$E$2217:$AR$2217,'Dvd Calendar'!$T$2210)=0))&gt;0)=0,"",'Dvd Calendar'!$T$2210*1000000000+ISNUMBER('Dvd Calendar'!$T$2213)*100000000+('Dvd Calendar'!$T$2215=SPECIAL_LBL)*10000000+(N('Dvd Calendar'!$T$2209)&gt;0)*(N('Dvd Calendar'!$T$2209)&lt;=VAL_SERIAL)*1000000+60*1000+16))</f>
        <v/>
      </c>
      <c r="EU219" s="121">
        <f>IF(N('Dvd Calendar'!$U$2210)=0,"",IF(('Dvd Calendar'!$U$2210&gt;=GRID_FROM)*('Dvd Calendar'!$U$2210&lt;=GRID_TO)*((('Dvd Calendar'!$U$2210&lt;=VAL_DATE)+(COUNTIF('Dvd Calendar'!$E$2217:$AR$2217,'Dvd Calendar'!$U$2210)=0))&gt;0)=0,"",'Dvd Calendar'!$U$2210*1000000000+ISNUMBER('Dvd Calendar'!$U$2213)*100000000+('Dvd Calendar'!$U$2215=SPECIAL_LBL)*10000000+(N('Dvd Calendar'!$U$2209)&gt;0)*(N('Dvd Calendar'!$U$2209)&lt;=VAL_SERIAL)*1000000+60*1000+17))</f>
        <v/>
      </c>
      <c r="EV219" s="121">
        <f>IF(N('Dvd Calendar'!$V$2210)=0,"",IF(('Dvd Calendar'!$V$2210&gt;=GRID_FROM)*('Dvd Calendar'!$V$2210&lt;=GRID_TO)*((('Dvd Calendar'!$V$2210&lt;=VAL_DATE)+(COUNTIF('Dvd Calendar'!$E$2217:$AR$2217,'Dvd Calendar'!$V$2210)=0))&gt;0)=0,"",'Dvd Calendar'!$V$2210*1000000000+ISNUMBER('Dvd Calendar'!$V$2213)*100000000+('Dvd Calendar'!$V$2215=SPECIAL_LBL)*10000000+(N('Dvd Calendar'!$V$2209)&gt;0)*(N('Dvd Calendar'!$V$2209)&lt;=VAL_SERIAL)*1000000+60*1000+18))</f>
        <v/>
      </c>
      <c r="EW219" s="121">
        <f>IF(N('Dvd Calendar'!$W$2210)=0,"",IF(('Dvd Calendar'!$W$2210&gt;=GRID_FROM)*('Dvd Calendar'!$W$2210&lt;=GRID_TO)*((('Dvd Calendar'!$W$2210&lt;=VAL_DATE)+(COUNTIF('Dvd Calendar'!$E$2217:$AR$2217,'Dvd Calendar'!$W$2210)=0))&gt;0)=0,"",'Dvd Calendar'!$W$2210*1000000000+ISNUMBER('Dvd Calendar'!$W$2213)*100000000+('Dvd Calendar'!$W$2215=SPECIAL_LBL)*10000000+(N('Dvd Calendar'!$W$2209)&gt;0)*(N('Dvd Calendar'!$W$2209)&lt;=VAL_SERIAL)*1000000+60*1000+19))</f>
        <v/>
      </c>
      <c r="EX219" s="121">
        <f>IF(N('Dvd Calendar'!$X$2210)=0,"",IF(('Dvd Calendar'!$X$2210&gt;=GRID_FROM)*('Dvd Calendar'!$X$2210&lt;=GRID_TO)*((('Dvd Calendar'!$X$2210&lt;=VAL_DATE)+(COUNTIF('Dvd Calendar'!$E$2217:$AR$2217,'Dvd Calendar'!$X$2210)=0))&gt;0)=0,"",'Dvd Calendar'!$X$2210*1000000000+ISNUMBER('Dvd Calendar'!$X$2213)*100000000+('Dvd Calendar'!$X$2215=SPECIAL_LBL)*10000000+(N('Dvd Calendar'!$X$2209)&gt;0)*(N('Dvd Calendar'!$X$2209)&lt;=VAL_SERIAL)*1000000+60*1000+20))</f>
        <v/>
      </c>
      <c r="EY219" s="121">
        <f>IF(N('Dvd Calendar'!$Y$2210)=0,"",IF(('Dvd Calendar'!$Y$2210&gt;=GRID_FROM)*('Dvd Calendar'!$Y$2210&lt;=GRID_TO)*((('Dvd Calendar'!$Y$2210&lt;=VAL_DATE)+(COUNTIF('Dvd Calendar'!$E$2217:$AR$2217,'Dvd Calendar'!$Y$2210)=0))&gt;0)=0,"",'Dvd Calendar'!$Y$2210*1000000000+ISNUMBER('Dvd Calendar'!$Y$2213)*100000000+('Dvd Calendar'!$Y$2215=SPECIAL_LBL)*10000000+(N('Dvd Calendar'!$Y$2209)&gt;0)*(N('Dvd Calendar'!$Y$2209)&lt;=VAL_SERIAL)*1000000+60*1000+21))</f>
        <v/>
      </c>
      <c r="EZ219" s="121">
        <f>IF(N('Dvd Calendar'!$Z$2210)=0,"",IF(('Dvd Calendar'!$Z$2210&gt;=GRID_FROM)*('Dvd Calendar'!$Z$2210&lt;=GRID_TO)*((('Dvd Calendar'!$Z$2210&lt;=VAL_DATE)+(COUNTIF('Dvd Calendar'!$E$2217:$AR$2217,'Dvd Calendar'!$Z$2210)=0))&gt;0)=0,"",'Dvd Calendar'!$Z$2210*1000000000+ISNUMBER('Dvd Calendar'!$Z$2213)*100000000+('Dvd Calendar'!$Z$2215=SPECIAL_LBL)*10000000+(N('Dvd Calendar'!$Z$2209)&gt;0)*(N('Dvd Calendar'!$Z$2209)&lt;=VAL_SERIAL)*1000000+60*1000+22))</f>
        <v/>
      </c>
      <c r="FA219" s="121">
        <f>IF(N('Dvd Calendar'!$AA$2210)=0,"",IF(('Dvd Calendar'!$AA$2210&gt;=GRID_FROM)*('Dvd Calendar'!$AA$2210&lt;=GRID_TO)*((('Dvd Calendar'!$AA$2210&lt;=VAL_DATE)+(COUNTIF('Dvd Calendar'!$E$2217:$AR$2217,'Dvd Calendar'!$AA$2210)=0))&gt;0)=0,"",'Dvd Calendar'!$AA$2210*1000000000+ISNUMBER('Dvd Calendar'!$AA$2213)*100000000+('Dvd Calendar'!$AA$2215=SPECIAL_LBL)*10000000+(N('Dvd Calendar'!$AA$2209)&gt;0)*(N('Dvd Calendar'!$AA$2209)&lt;=VAL_SERIAL)*1000000+60*1000+23))</f>
        <v/>
      </c>
      <c r="FB219" s="121">
        <f>IF(N('Dvd Calendar'!$AB$2210)=0,"",IF(('Dvd Calendar'!$AB$2210&gt;=GRID_FROM)*('Dvd Calendar'!$AB$2210&lt;=GRID_TO)*((('Dvd Calendar'!$AB$2210&lt;=VAL_DATE)+(COUNTIF('Dvd Calendar'!$E$2217:$AR$2217,'Dvd Calendar'!$AB$2210)=0))&gt;0)=0,"",'Dvd Calendar'!$AB$2210*1000000000+ISNUMBER('Dvd Calendar'!$AB$2213)*100000000+('Dvd Calendar'!$AB$2215=SPECIAL_LBL)*10000000+(N('Dvd Calendar'!$AB$2209)&gt;0)*(N('Dvd Calendar'!$AB$2209)&lt;=VAL_SERIAL)*1000000+60*1000+24))</f>
        <v/>
      </c>
      <c r="FC219" s="121">
        <f>IF(N('Dvd Calendar'!$AC$2210)=0,"",IF(('Dvd Calendar'!$AC$2210&gt;=GRID_FROM)*('Dvd Calendar'!$AC$2210&lt;=GRID_TO)*((('Dvd Calendar'!$AC$2210&lt;=VAL_DATE)+(COUNTIF('Dvd Calendar'!$E$2217:$AR$2217,'Dvd Calendar'!$AC$2210)=0))&gt;0)=0,"",'Dvd Calendar'!$AC$2210*1000000000+ISNUMBER('Dvd Calendar'!$AC$2213)*100000000+('Dvd Calendar'!$AC$2215=SPECIAL_LBL)*10000000+(N('Dvd Calendar'!$AC$2209)&gt;0)*(N('Dvd Calendar'!$AC$2209)&lt;=VAL_SERIAL)*1000000+60*1000+25))</f>
        <v/>
      </c>
      <c r="FD219" s="121">
        <f>IF(N('Dvd Calendar'!$AD$2210)=0,"",IF(('Dvd Calendar'!$AD$2210&gt;=GRID_FROM)*('Dvd Calendar'!$AD$2210&lt;=GRID_TO)*((('Dvd Calendar'!$AD$2210&lt;=VAL_DATE)+(COUNTIF('Dvd Calendar'!$E$2217:$AR$2217,'Dvd Calendar'!$AD$2210)=0))&gt;0)=0,"",'Dvd Calendar'!$AD$2210*1000000000+ISNUMBER('Dvd Calendar'!$AD$2213)*100000000+('Dvd Calendar'!$AD$2215=SPECIAL_LBL)*10000000+(N('Dvd Calendar'!$AD$2209)&gt;0)*(N('Dvd Calendar'!$AD$2209)&lt;=VAL_SERIAL)*1000000+60*1000+26))</f>
        <v/>
      </c>
      <c r="FE219" s="121">
        <f>IF(N('Dvd Calendar'!$AE$2210)=0,"",IF(('Dvd Calendar'!$AE$2210&gt;=GRID_FROM)*('Dvd Calendar'!$AE$2210&lt;=GRID_TO)*((('Dvd Calendar'!$AE$2210&lt;=VAL_DATE)+(COUNTIF('Dvd Calendar'!$E$2217:$AR$2217,'Dvd Calendar'!$AE$2210)=0))&gt;0)=0,"",'Dvd Calendar'!$AE$2210*1000000000+ISNUMBER('Dvd Calendar'!$AE$2213)*100000000+('Dvd Calendar'!$AE$2215=SPECIAL_LBL)*10000000+(N('Dvd Calendar'!$AE$2209)&gt;0)*(N('Dvd Calendar'!$AE$2209)&lt;=VAL_SERIAL)*1000000+60*1000+27))</f>
        <v/>
      </c>
      <c r="FF219" s="121">
        <f>IF(N('Dvd Calendar'!$AF$2210)=0,"",IF(('Dvd Calendar'!$AF$2210&gt;=GRID_FROM)*('Dvd Calendar'!$AF$2210&lt;=GRID_TO)*((('Dvd Calendar'!$AF$2210&lt;=VAL_DATE)+(COUNTIF('Dvd Calendar'!$E$2217:$AR$2217,'Dvd Calendar'!$AF$2210)=0))&gt;0)=0,"",'Dvd Calendar'!$AF$2210*1000000000+ISNUMBER('Dvd Calendar'!$AF$2213)*100000000+('Dvd Calendar'!$AF$2215=SPECIAL_LBL)*10000000+(N('Dvd Calendar'!$AF$2209)&gt;0)*(N('Dvd Calendar'!$AF$2209)&lt;=VAL_SERIAL)*1000000+60*1000+28))</f>
        <v/>
      </c>
      <c r="FG219" s="121">
        <f>IF(N('Dvd Calendar'!$AG$2210)=0,"",IF(('Dvd Calendar'!$AG$2210&gt;=GRID_FROM)*('Dvd Calendar'!$AG$2210&lt;=GRID_TO)*((('Dvd Calendar'!$AG$2210&lt;=VAL_DATE)+(COUNTIF('Dvd Calendar'!$E$2217:$AR$2217,'Dvd Calendar'!$AG$2210)=0))&gt;0)=0,"",'Dvd Calendar'!$AG$2210*1000000000+ISNUMBER('Dvd Calendar'!$AG$2213)*100000000+('Dvd Calendar'!$AG$2215=SPECIAL_LBL)*10000000+(N('Dvd Calendar'!$AG$2209)&gt;0)*(N('Dvd Calendar'!$AG$2209)&lt;=VAL_SERIAL)*1000000+60*1000+29))</f>
        <v/>
      </c>
      <c r="FH219" s="121">
        <f>IF(N('Dvd Calendar'!$AH$2210)=0,"",IF(('Dvd Calendar'!$AH$2210&gt;=GRID_FROM)*('Dvd Calendar'!$AH$2210&lt;=GRID_TO)*((('Dvd Calendar'!$AH$2210&lt;=VAL_DATE)+(COUNTIF('Dvd Calendar'!$E$2217:$AR$2217,'Dvd Calendar'!$AH$2210)=0))&gt;0)=0,"",'Dvd Calendar'!$AH$2210*1000000000+ISNUMBER('Dvd Calendar'!$AH$2213)*100000000+('Dvd Calendar'!$AH$2215=SPECIAL_LBL)*10000000+(N('Dvd Calendar'!$AH$2209)&gt;0)*(N('Dvd Calendar'!$AH$2209)&lt;=VAL_SERIAL)*1000000+60*1000+30))</f>
        <v/>
      </c>
      <c r="FI219" s="121">
        <f>IF(N('Dvd Calendar'!$AI$2210)=0,"",IF(('Dvd Calendar'!$AI$2210&gt;=GRID_FROM)*('Dvd Calendar'!$AI$2210&lt;=GRID_TO)*((('Dvd Calendar'!$AI$2210&lt;=VAL_DATE)+(COUNTIF('Dvd Calendar'!$E$2217:$AR$2217,'Dvd Calendar'!$AI$2210)=0))&gt;0)=0,"",'Dvd Calendar'!$AI$2210*1000000000+ISNUMBER('Dvd Calendar'!$AI$2213)*100000000+('Dvd Calendar'!$AI$2215=SPECIAL_LBL)*10000000+(N('Dvd Calendar'!$AI$2209)&gt;0)*(N('Dvd Calendar'!$AI$2209)&lt;=VAL_SERIAL)*1000000+60*1000+31))</f>
        <v/>
      </c>
      <c r="FJ219" s="121">
        <f>IF(N('Dvd Calendar'!$AJ$2210)=0,"",IF(('Dvd Calendar'!$AJ$2210&gt;=GRID_FROM)*('Dvd Calendar'!$AJ$2210&lt;=GRID_TO)*((('Dvd Calendar'!$AJ$2210&lt;=VAL_DATE)+(COUNTIF('Dvd Calendar'!$E$2217:$AR$2217,'Dvd Calendar'!$AJ$2210)=0))&gt;0)=0,"",'Dvd Calendar'!$AJ$2210*1000000000+ISNUMBER('Dvd Calendar'!$AJ$2213)*100000000+('Dvd Calendar'!$AJ$2215=SPECIAL_LBL)*10000000+(N('Dvd Calendar'!$AJ$2209)&gt;0)*(N('Dvd Calendar'!$AJ$2209)&lt;=VAL_SERIAL)*1000000+60*1000+32))</f>
        <v/>
      </c>
      <c r="FK219" s="121">
        <f>IF(N('Dvd Calendar'!$AK$2210)=0,"",IF(('Dvd Calendar'!$AK$2210&gt;=GRID_FROM)*('Dvd Calendar'!$AK$2210&lt;=GRID_TO)*((('Dvd Calendar'!$AK$2210&lt;=VAL_DATE)+(COUNTIF('Dvd Calendar'!$E$2217:$AR$2217,'Dvd Calendar'!$AK$2210)=0))&gt;0)=0,"",'Dvd Calendar'!$AK$2210*1000000000+ISNUMBER('Dvd Calendar'!$AK$2213)*100000000+('Dvd Calendar'!$AK$2215=SPECIAL_LBL)*10000000+(N('Dvd Calendar'!$AK$2209)&gt;0)*(N('Dvd Calendar'!$AK$2209)&lt;=VAL_SERIAL)*1000000+60*1000+33))</f>
        <v/>
      </c>
      <c r="FL219" s="121">
        <f>IF(N('Dvd Calendar'!$AL$2210)=0,"",IF(('Dvd Calendar'!$AL$2210&gt;=GRID_FROM)*('Dvd Calendar'!$AL$2210&lt;=GRID_TO)*((('Dvd Calendar'!$AL$2210&lt;=VAL_DATE)+(COUNTIF('Dvd Calendar'!$E$2217:$AR$2217,'Dvd Calendar'!$AL$2210)=0))&gt;0)=0,"",'Dvd Calendar'!$AL$2210*1000000000+ISNUMBER('Dvd Calendar'!$AL$2213)*100000000+('Dvd Calendar'!$AL$2215=SPECIAL_LBL)*10000000+(N('Dvd Calendar'!$AL$2209)&gt;0)*(N('Dvd Calendar'!$AL$2209)&lt;=VAL_SERIAL)*1000000+60*1000+34))</f>
        <v/>
      </c>
      <c r="FM219" s="121">
        <f>IF(N('Dvd Calendar'!$AM$2210)=0,"",IF(('Dvd Calendar'!$AM$2210&gt;=GRID_FROM)*('Dvd Calendar'!$AM$2210&lt;=GRID_TO)*((('Dvd Calendar'!$AM$2210&lt;=VAL_DATE)+(COUNTIF('Dvd Calendar'!$E$2217:$AR$2217,'Dvd Calendar'!$AM$2210)=0))&gt;0)=0,"",'Dvd Calendar'!$AM$2210*1000000000+ISNUMBER('Dvd Calendar'!$AM$2213)*100000000+('Dvd Calendar'!$AM$2215=SPECIAL_LBL)*10000000+(N('Dvd Calendar'!$AM$2209)&gt;0)*(N('Dvd Calendar'!$AM$2209)&lt;=VAL_SERIAL)*1000000+60*1000+35))</f>
        <v/>
      </c>
      <c r="FN219" s="121">
        <f>IF(N('Dvd Calendar'!$AN$2210)=0,"",IF(('Dvd Calendar'!$AN$2210&gt;=GRID_FROM)*('Dvd Calendar'!$AN$2210&lt;=GRID_TO)*((('Dvd Calendar'!$AN$2210&lt;=VAL_DATE)+(COUNTIF('Dvd Calendar'!$E$2217:$AR$2217,'Dvd Calendar'!$AN$2210)=0))&gt;0)=0,"",'Dvd Calendar'!$AN$2210*1000000000+ISNUMBER('Dvd Calendar'!$AN$2213)*100000000+('Dvd Calendar'!$AN$2215=SPECIAL_LBL)*10000000+(N('Dvd Calendar'!$AN$2209)&gt;0)*(N('Dvd Calendar'!$AN$2209)&lt;=VAL_SERIAL)*1000000+60*1000+36))</f>
        <v/>
      </c>
      <c r="FO219" s="121">
        <f>IF(N('Dvd Calendar'!$AO$2210)=0,"",IF(('Dvd Calendar'!$AO$2210&gt;=GRID_FROM)*('Dvd Calendar'!$AO$2210&lt;=GRID_TO)*((('Dvd Calendar'!$AO$2210&lt;=VAL_DATE)+(COUNTIF('Dvd Calendar'!$E$2217:$AR$2217,'Dvd Calendar'!$AO$2210)=0))&gt;0)=0,"",'Dvd Calendar'!$AO$2210*1000000000+ISNUMBER('Dvd Calendar'!$AO$2213)*100000000+('Dvd Calendar'!$AO$2215=SPECIAL_LBL)*10000000+(N('Dvd Calendar'!$AO$2209)&gt;0)*(N('Dvd Calendar'!$AO$2209)&lt;=VAL_SERIAL)*1000000+60*1000+37))</f>
        <v/>
      </c>
      <c r="FP219" s="121">
        <f>IF(N('Dvd Calendar'!$AP$2210)=0,"",IF(('Dvd Calendar'!$AP$2210&gt;=GRID_FROM)*('Dvd Calendar'!$AP$2210&lt;=GRID_TO)*((('Dvd Calendar'!$AP$2210&lt;=VAL_DATE)+(COUNTIF('Dvd Calendar'!$E$2217:$AR$2217,'Dvd Calendar'!$AP$2210)=0))&gt;0)=0,"",'Dvd Calendar'!$AP$2210*1000000000+ISNUMBER('Dvd Calendar'!$AP$2213)*100000000+('Dvd Calendar'!$AP$2215=SPECIAL_LBL)*10000000+(N('Dvd Calendar'!$AP$2209)&gt;0)*(N('Dvd Calendar'!$AP$2209)&lt;=VAL_SERIAL)*1000000+60*1000+38))</f>
        <v/>
      </c>
      <c r="FQ219" s="121">
        <f>IF(N('Dvd Calendar'!$AQ$2210)=0,"",IF(('Dvd Calendar'!$AQ$2210&gt;=GRID_FROM)*('Dvd Calendar'!$AQ$2210&lt;=GRID_TO)*((('Dvd Calendar'!$AQ$2210&lt;=VAL_DATE)+(COUNTIF('Dvd Calendar'!$E$2217:$AR$2217,'Dvd Calendar'!$AQ$2210)=0))&gt;0)=0,"",'Dvd Calendar'!$AQ$2210*1000000000+ISNUMBER('Dvd Calendar'!$AQ$2213)*100000000+('Dvd Calendar'!$AQ$2215=SPECIAL_LBL)*10000000+(N('Dvd Calendar'!$AQ$2209)&gt;0)*(N('Dvd Calendar'!$AQ$2209)&lt;=VAL_SERIAL)*1000000+60*1000+39))</f>
        <v/>
      </c>
      <c r="FR219" s="121">
        <f>IF(N('Dvd Calendar'!$AR$2210)=0,"",IF(('Dvd Calendar'!$AR$2210&gt;=GRID_FROM)*('Dvd Calendar'!$AR$2210&lt;=GRID_TO)*((('Dvd Calendar'!$AR$2210&lt;=VAL_DATE)+(COUNTIF('Dvd Calendar'!$E$2217:$AR$2217,'Dvd Calendar'!$AR$2210)=0))&gt;0)=0,"",'Dvd Calendar'!$AR$2210*1000000000+ISNUMBER('Dvd Calendar'!$AR$2213)*100000000+('Dvd Calendar'!$AR$2215=SPECIAL_LBL)*10000000+(N('Dvd Calendar'!$AR$2209)&gt;0)*(N('Dvd Calendar'!$AR$2209)&lt;=VAL_SERIAL)*1000000+60*1000+40))</f>
        <v/>
      </c>
      <c r="FS219" s="121">
        <f>IF(N('Dvd Calendar'!$E$2217)=0,"",IF(('Dvd Calendar'!$E$2217&gt;=GRID_FROM)*('Dvd Calendar'!$E$2217&lt;=GRID_TO)*('Dvd Calendar'!$E$2217&gt;VAL_DATE)=0,"",'Dvd Calendar'!$E$2217*1000000000+ISNUMBER('Dvd Calendar'!$E$2218)*100000000+0*10000000+(N('Dvd Calendar'!$E$2216)&gt;0)*(N('Dvd Calendar'!$E$2216)&lt;=VAL_SERIAL)*1000000+60*1000+41))</f>
        <v/>
      </c>
      <c r="FT219" s="121">
        <f>IF(N('Dvd Calendar'!$F$2217)=0,"",IF(('Dvd Calendar'!$F$2217&gt;=GRID_FROM)*('Dvd Calendar'!$F$2217&lt;=GRID_TO)*('Dvd Calendar'!$F$2217&gt;VAL_DATE)=0,"",'Dvd Calendar'!$F$2217*1000000000+ISNUMBER('Dvd Calendar'!$F$2218)*100000000+0*10000000+(N('Dvd Calendar'!$F$2216)&gt;0)*(N('Dvd Calendar'!$F$2216)&lt;=VAL_SERIAL)*1000000+60*1000+42))</f>
        <v/>
      </c>
      <c r="FU219" s="121">
        <f>IF(N('Dvd Calendar'!$G$2217)=0,"",IF(('Dvd Calendar'!$G$2217&gt;=GRID_FROM)*('Dvd Calendar'!$G$2217&lt;=GRID_TO)*('Dvd Calendar'!$G$2217&gt;VAL_DATE)=0,"",'Dvd Calendar'!$G$2217*1000000000+ISNUMBER('Dvd Calendar'!$G$2218)*100000000+0*10000000+(N('Dvd Calendar'!$G$2216)&gt;0)*(N('Dvd Calendar'!$G$2216)&lt;=VAL_SERIAL)*1000000+60*1000+43))</f>
        <v/>
      </c>
      <c r="FV219" s="121">
        <f>IF(N('Dvd Calendar'!$H$2217)=0,"",IF(('Dvd Calendar'!$H$2217&gt;=GRID_FROM)*('Dvd Calendar'!$H$2217&lt;=GRID_TO)*('Dvd Calendar'!$H$2217&gt;VAL_DATE)=0,"",'Dvd Calendar'!$H$2217*1000000000+ISNUMBER('Dvd Calendar'!$H$2218)*100000000+0*10000000+(N('Dvd Calendar'!$H$2216)&gt;0)*(N('Dvd Calendar'!$H$2216)&lt;=VAL_SERIAL)*1000000+60*1000+44))</f>
        <v/>
      </c>
      <c r="FW219" s="121">
        <f>IF(N('Dvd Calendar'!$I$2217)=0,"",IF(('Dvd Calendar'!$I$2217&gt;=GRID_FROM)*('Dvd Calendar'!$I$2217&lt;=GRID_TO)*('Dvd Calendar'!$I$2217&gt;VAL_DATE)=0,"",'Dvd Calendar'!$I$2217*1000000000+ISNUMBER('Dvd Calendar'!$I$2218)*100000000+0*10000000+(N('Dvd Calendar'!$I$2216)&gt;0)*(N('Dvd Calendar'!$I$2216)&lt;=VAL_SERIAL)*1000000+60*1000+45))</f>
        <v/>
      </c>
      <c r="FX219" s="121">
        <f>IF(N('Dvd Calendar'!$J$2217)=0,"",IF(('Dvd Calendar'!$J$2217&gt;=GRID_FROM)*('Dvd Calendar'!$J$2217&lt;=GRID_TO)*('Dvd Calendar'!$J$2217&gt;VAL_DATE)=0,"",'Dvd Calendar'!$J$2217*1000000000+ISNUMBER('Dvd Calendar'!$J$2218)*100000000+0*10000000+(N('Dvd Calendar'!$J$2216)&gt;0)*(N('Dvd Calendar'!$J$2216)&lt;=VAL_SERIAL)*1000000+60*1000+46))</f>
        <v/>
      </c>
      <c r="FY219" s="121">
        <f>IF(N('Dvd Calendar'!$K$2217)=0,"",IF(('Dvd Calendar'!$K$2217&gt;=GRID_FROM)*('Dvd Calendar'!$K$2217&lt;=GRID_TO)*('Dvd Calendar'!$K$2217&gt;VAL_DATE)=0,"",'Dvd Calendar'!$K$2217*1000000000+ISNUMBER('Dvd Calendar'!$K$2218)*100000000+0*10000000+(N('Dvd Calendar'!$K$2216)&gt;0)*(N('Dvd Calendar'!$K$2216)&lt;=VAL_SERIAL)*1000000+60*1000+47))</f>
        <v/>
      </c>
      <c r="FZ219" s="121">
        <f>IF(N('Dvd Calendar'!$L$2217)=0,"",IF(('Dvd Calendar'!$L$2217&gt;=GRID_FROM)*('Dvd Calendar'!$L$2217&lt;=GRID_TO)*('Dvd Calendar'!$L$2217&gt;VAL_DATE)=0,"",'Dvd Calendar'!$L$2217*1000000000+ISNUMBER('Dvd Calendar'!$L$2218)*100000000+0*10000000+(N('Dvd Calendar'!$L$2216)&gt;0)*(N('Dvd Calendar'!$L$2216)&lt;=VAL_SERIAL)*1000000+60*1000+48))</f>
        <v/>
      </c>
      <c r="GA219" s="121">
        <f>IF(N('Dvd Calendar'!$M$2217)=0,"",IF(('Dvd Calendar'!$M$2217&gt;=GRID_FROM)*('Dvd Calendar'!$M$2217&lt;=GRID_TO)*('Dvd Calendar'!$M$2217&gt;VAL_DATE)=0,"",'Dvd Calendar'!$M$2217*1000000000+ISNUMBER('Dvd Calendar'!$M$2218)*100000000+0*10000000+(N('Dvd Calendar'!$M$2216)&gt;0)*(N('Dvd Calendar'!$M$2216)&lt;=VAL_SERIAL)*1000000+60*1000+49))</f>
        <v/>
      </c>
      <c r="GB219" s="121">
        <f>IF(N('Dvd Calendar'!$N$2217)=0,"",IF(('Dvd Calendar'!$N$2217&gt;=GRID_FROM)*('Dvd Calendar'!$N$2217&lt;=GRID_TO)*('Dvd Calendar'!$N$2217&gt;VAL_DATE)=0,"",'Dvd Calendar'!$N$2217*1000000000+ISNUMBER('Dvd Calendar'!$N$2218)*100000000+0*10000000+(N('Dvd Calendar'!$N$2216)&gt;0)*(N('Dvd Calendar'!$N$2216)&lt;=VAL_SERIAL)*1000000+60*1000+50))</f>
        <v/>
      </c>
      <c r="GC219" s="121">
        <f>IF(N('Dvd Calendar'!$O$2217)=0,"",IF(('Dvd Calendar'!$O$2217&gt;=GRID_FROM)*('Dvd Calendar'!$O$2217&lt;=GRID_TO)*('Dvd Calendar'!$O$2217&gt;VAL_DATE)=0,"",'Dvd Calendar'!$O$2217*1000000000+ISNUMBER('Dvd Calendar'!$O$2218)*100000000+0*10000000+(N('Dvd Calendar'!$O$2216)&gt;0)*(N('Dvd Calendar'!$O$2216)&lt;=VAL_SERIAL)*1000000+60*1000+51))</f>
        <v/>
      </c>
      <c r="GD219" s="121">
        <f>IF(N('Dvd Calendar'!$P$2217)=0,"",IF(('Dvd Calendar'!$P$2217&gt;=GRID_FROM)*('Dvd Calendar'!$P$2217&lt;=GRID_TO)*('Dvd Calendar'!$P$2217&gt;VAL_DATE)=0,"",'Dvd Calendar'!$P$2217*1000000000+ISNUMBER('Dvd Calendar'!$P$2218)*100000000+0*10000000+(N('Dvd Calendar'!$P$2216)&gt;0)*(N('Dvd Calendar'!$P$2216)&lt;=VAL_SERIAL)*1000000+60*1000+52))</f>
        <v/>
      </c>
      <c r="GE219" s="121">
        <f>IF(N('Dvd Calendar'!$Q$2217)=0,"",IF(('Dvd Calendar'!$Q$2217&gt;=GRID_FROM)*('Dvd Calendar'!$Q$2217&lt;=GRID_TO)*('Dvd Calendar'!$Q$2217&gt;VAL_DATE)=0,"",'Dvd Calendar'!$Q$2217*1000000000+ISNUMBER('Dvd Calendar'!$Q$2218)*100000000+0*10000000+(N('Dvd Calendar'!$Q$2216)&gt;0)*(N('Dvd Calendar'!$Q$2216)&lt;=VAL_SERIAL)*1000000+60*1000+53))</f>
        <v/>
      </c>
      <c r="GF219" s="121">
        <f>IF(N('Dvd Calendar'!$R$2217)=0,"",IF(('Dvd Calendar'!$R$2217&gt;=GRID_FROM)*('Dvd Calendar'!$R$2217&lt;=GRID_TO)*('Dvd Calendar'!$R$2217&gt;VAL_DATE)=0,"",'Dvd Calendar'!$R$2217*1000000000+ISNUMBER('Dvd Calendar'!$R$2218)*100000000+0*10000000+(N('Dvd Calendar'!$R$2216)&gt;0)*(N('Dvd Calendar'!$R$2216)&lt;=VAL_SERIAL)*1000000+60*1000+54))</f>
        <v/>
      </c>
      <c r="GG219" s="121">
        <f>IF(N('Dvd Calendar'!$S$2217)=0,"",IF(('Dvd Calendar'!$S$2217&gt;=GRID_FROM)*('Dvd Calendar'!$S$2217&lt;=GRID_TO)*('Dvd Calendar'!$S$2217&gt;VAL_DATE)=0,"",'Dvd Calendar'!$S$2217*1000000000+ISNUMBER('Dvd Calendar'!$S$2218)*100000000+0*10000000+(N('Dvd Calendar'!$S$2216)&gt;0)*(N('Dvd Calendar'!$S$2216)&lt;=VAL_SERIAL)*1000000+60*1000+55))</f>
        <v/>
      </c>
      <c r="GH219" s="121">
        <f>IF(N('Dvd Calendar'!$T$2217)=0,"",IF(('Dvd Calendar'!$T$2217&gt;=GRID_FROM)*('Dvd Calendar'!$T$2217&lt;=GRID_TO)*('Dvd Calendar'!$T$2217&gt;VAL_DATE)=0,"",'Dvd Calendar'!$T$2217*1000000000+ISNUMBER('Dvd Calendar'!$T$2218)*100000000+0*10000000+(N('Dvd Calendar'!$T$2216)&gt;0)*(N('Dvd Calendar'!$T$2216)&lt;=VAL_SERIAL)*1000000+60*1000+56))</f>
        <v/>
      </c>
      <c r="GI219" s="121">
        <f>IF(N('Dvd Calendar'!$U$2217)=0,"",IF(('Dvd Calendar'!$U$2217&gt;=GRID_FROM)*('Dvd Calendar'!$U$2217&lt;=GRID_TO)*('Dvd Calendar'!$U$2217&gt;VAL_DATE)=0,"",'Dvd Calendar'!$U$2217*1000000000+ISNUMBER('Dvd Calendar'!$U$2218)*100000000+0*10000000+(N('Dvd Calendar'!$U$2216)&gt;0)*(N('Dvd Calendar'!$U$2216)&lt;=VAL_SERIAL)*1000000+60*1000+57))</f>
        <v/>
      </c>
      <c r="GJ219" s="121">
        <f>IF(N('Dvd Calendar'!$V$2217)=0,"",IF(('Dvd Calendar'!$V$2217&gt;=GRID_FROM)*('Dvd Calendar'!$V$2217&lt;=GRID_TO)*('Dvd Calendar'!$V$2217&gt;VAL_DATE)=0,"",'Dvd Calendar'!$V$2217*1000000000+ISNUMBER('Dvd Calendar'!$V$2218)*100000000+0*10000000+(N('Dvd Calendar'!$V$2216)&gt;0)*(N('Dvd Calendar'!$V$2216)&lt;=VAL_SERIAL)*1000000+60*1000+58))</f>
        <v/>
      </c>
      <c r="GK219" s="121">
        <f>IF(N('Dvd Calendar'!$W$2217)=0,"",IF(('Dvd Calendar'!$W$2217&gt;=GRID_FROM)*('Dvd Calendar'!$W$2217&lt;=GRID_TO)*('Dvd Calendar'!$W$2217&gt;VAL_DATE)=0,"",'Dvd Calendar'!$W$2217*1000000000+ISNUMBER('Dvd Calendar'!$W$2218)*100000000+0*10000000+(N('Dvd Calendar'!$W$2216)&gt;0)*(N('Dvd Calendar'!$W$2216)&lt;=VAL_SERIAL)*1000000+60*1000+59))</f>
        <v/>
      </c>
      <c r="GL219" s="121">
        <f>IF(N('Dvd Calendar'!$X$2217)=0,"",IF(('Dvd Calendar'!$X$2217&gt;=GRID_FROM)*('Dvd Calendar'!$X$2217&lt;=GRID_TO)*('Dvd Calendar'!$X$2217&gt;VAL_DATE)=0,"",'Dvd Calendar'!$X$2217*1000000000+ISNUMBER('Dvd Calendar'!$X$2218)*100000000+0*10000000+(N('Dvd Calendar'!$X$2216)&gt;0)*(N('Dvd Calendar'!$X$2216)&lt;=VAL_SERIAL)*1000000+60*1000+60))</f>
        <v/>
      </c>
      <c r="GM219" s="121">
        <f>IF(N('Dvd Calendar'!$Y$2217)=0,"",IF(('Dvd Calendar'!$Y$2217&gt;=GRID_FROM)*('Dvd Calendar'!$Y$2217&lt;=GRID_TO)*('Dvd Calendar'!$Y$2217&gt;VAL_DATE)=0,"",'Dvd Calendar'!$Y$2217*1000000000+ISNUMBER('Dvd Calendar'!$Y$2218)*100000000+0*10000000+(N('Dvd Calendar'!$Y$2216)&gt;0)*(N('Dvd Calendar'!$Y$2216)&lt;=VAL_SERIAL)*1000000+60*1000+61))</f>
        <v/>
      </c>
      <c r="GN219" s="121">
        <f>IF(N('Dvd Calendar'!$Z$2217)=0,"",IF(('Dvd Calendar'!$Z$2217&gt;=GRID_FROM)*('Dvd Calendar'!$Z$2217&lt;=GRID_TO)*('Dvd Calendar'!$Z$2217&gt;VAL_DATE)=0,"",'Dvd Calendar'!$Z$2217*1000000000+ISNUMBER('Dvd Calendar'!$Z$2218)*100000000+0*10000000+(N('Dvd Calendar'!$Z$2216)&gt;0)*(N('Dvd Calendar'!$Z$2216)&lt;=VAL_SERIAL)*1000000+60*1000+62))</f>
        <v/>
      </c>
      <c r="GO219" s="121">
        <f>IF(N('Dvd Calendar'!$AA$2217)=0,"",IF(('Dvd Calendar'!$AA$2217&gt;=GRID_FROM)*('Dvd Calendar'!$AA$2217&lt;=GRID_TO)*('Dvd Calendar'!$AA$2217&gt;VAL_DATE)=0,"",'Dvd Calendar'!$AA$2217*1000000000+ISNUMBER('Dvd Calendar'!$AA$2218)*100000000+0*10000000+(N('Dvd Calendar'!$AA$2216)&gt;0)*(N('Dvd Calendar'!$AA$2216)&lt;=VAL_SERIAL)*1000000+60*1000+63))</f>
        <v/>
      </c>
      <c r="GP219" s="121">
        <f>IF(N('Dvd Calendar'!$AB$2217)=0,"",IF(('Dvd Calendar'!$AB$2217&gt;=GRID_FROM)*('Dvd Calendar'!$AB$2217&lt;=GRID_TO)*('Dvd Calendar'!$AB$2217&gt;VAL_DATE)=0,"",'Dvd Calendar'!$AB$2217*1000000000+ISNUMBER('Dvd Calendar'!$AB$2218)*100000000+0*10000000+(N('Dvd Calendar'!$AB$2216)&gt;0)*(N('Dvd Calendar'!$AB$2216)&lt;=VAL_SERIAL)*1000000+60*1000+64))</f>
        <v/>
      </c>
      <c r="GQ219" s="121">
        <f>IF(N('Dvd Calendar'!$AC$2217)=0,"",IF(('Dvd Calendar'!$AC$2217&gt;=GRID_FROM)*('Dvd Calendar'!$AC$2217&lt;=GRID_TO)*('Dvd Calendar'!$AC$2217&gt;VAL_DATE)=0,"",'Dvd Calendar'!$AC$2217*1000000000+ISNUMBER('Dvd Calendar'!$AC$2218)*100000000+0*10000000+(N('Dvd Calendar'!$AC$2216)&gt;0)*(N('Dvd Calendar'!$AC$2216)&lt;=VAL_SERIAL)*1000000+60*1000+65))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2026-08-11T14:47:08Z</dcterms:created>
  <dcterms:modified xsi:type="dcterms:W3CDTF">2026-08-15T17:06:41Z</dcterms:modified>
</cp:coreProperties>
</file>